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"/>
    </mc:Choice>
  </mc:AlternateContent>
  <xr:revisionPtr revIDLastSave="0" documentId="13_ncr:1_{75F60795-D245-413C-8005-3B0AB35B1272}" xr6:coauthVersionLast="47" xr6:coauthVersionMax="47" xr10:uidLastSave="{00000000-0000-0000-0000-000000000000}"/>
  <bookViews>
    <workbookView xWindow="-108" yWindow="-108" windowWidth="30936" windowHeight="16776" firstSheet="10" activeTab="16" xr2:uid="{00000000-000D-0000-FFFF-FFFF00000000}"/>
  </bookViews>
  <sheets>
    <sheet name="Cover" sheetId="13" r:id="rId1"/>
    <sheet name="TechComm" sheetId="29" r:id="rId2"/>
    <sheet name="Dwelling stock" sheetId="11" r:id="rId3"/>
    <sheet name="All Stock" sheetId="52" r:id="rId4"/>
    <sheet name="TechHeat-RES" sheetId="53" r:id="rId5"/>
    <sheet name="IDEES okt 2017 template" sheetId="28" r:id="rId6"/>
    <sheet name="IDEES okt 2017" sheetId="58" r:id="rId7"/>
    <sheet name="IDEES 2015" sheetId="59" r:id="rId8"/>
    <sheet name="HP-Stock" sheetId="57" r:id="rId9"/>
    <sheet name="HDD-by Country" sheetId="8" r:id="rId10"/>
    <sheet name="TechWaterHeat-RES" sheetId="36" r:id="rId11"/>
    <sheet name="TechWaterHeat-RES per dwelling" sheetId="55" r:id="rId12"/>
    <sheet name="TechCool-RES" sheetId="47" r:id="rId13"/>
    <sheet name="TechCool-RES per dwelling" sheetId="56" r:id="rId14"/>
    <sheet name="TechCook-RES" sheetId="48" r:id="rId15"/>
    <sheet name="TechELC-RES" sheetId="50" r:id="rId16"/>
    <sheet name="RES_Fuel" sheetId="35" r:id="rId17"/>
    <sheet name="EMI" sheetId="49" r:id="rId18"/>
    <sheet name="IDEES(ELC)" sheetId="41" r:id="rId19"/>
    <sheet name="Eurostat-IEA" sheetId="31" r:id="rId20"/>
    <sheet name="Ceiling-U" sheetId="1" r:id="rId21"/>
    <sheet name="Wall-U" sheetId="3" r:id="rId22"/>
    <sheet name="Floor-U" sheetId="2" r:id="rId23"/>
    <sheet name="Window-U" sheetId="4" r:id="rId24"/>
    <sheet name="Data by dwelling type" sheetId="5" r:id="rId25"/>
    <sheet name="Energy Efficiency Measures-DBT" sheetId="16" r:id="rId26"/>
    <sheet name="Detached" sheetId="18" r:id="rId27"/>
    <sheet name="Semidetached" sheetId="19" r:id="rId28"/>
    <sheet name="Flat" sheetId="20" r:id="rId29"/>
    <sheet name="Savings_Detached" sheetId="25" r:id="rId30"/>
    <sheet name="Savings_SemiDet" sheetId="26" r:id="rId31"/>
    <sheet name="Savings_Flat" sheetId="27" r:id="rId32"/>
    <sheet name="SubRes-RSD_MaxRetrofit" sheetId="33" r:id="rId33"/>
    <sheet name="SubRes-RSD_Saving" sheetId="32" r:id="rId34"/>
    <sheet name="SubRes-RSD_Invcost" sheetId="34" r:id="rId35"/>
    <sheet name="Population" sheetId="24" r:id="rId36"/>
    <sheet name="Sheet1" sheetId="54" r:id="rId37"/>
  </sheets>
  <externalReferences>
    <externalReference r:id="rId38"/>
  </externalReferences>
  <definedNames>
    <definedName name="_xlnm._FilterDatabase" localSheetId="33" hidden="1">'SubRes-RSD_Saving'!$B$5:$AQ$205</definedName>
    <definedName name="FID_1">[1]AGR_Fuels!$A$2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35" l="1"/>
  <c r="M44" i="35"/>
  <c r="N44" i="35" s="1"/>
  <c r="O44" i="35" s="1"/>
  <c r="P44" i="35" s="1"/>
  <c r="Q44" i="35" s="1"/>
  <c r="R44" i="35" s="1"/>
  <c r="S44" i="35" s="1"/>
  <c r="T44" i="35" s="1"/>
  <c r="U44" i="35" s="1"/>
  <c r="V44" i="35" s="1"/>
  <c r="W44" i="35" s="1"/>
  <c r="X44" i="35" s="1"/>
  <c r="Y44" i="35" s="1"/>
  <c r="Z44" i="35" s="1"/>
  <c r="AA44" i="35" s="1"/>
  <c r="AB44" i="35" s="1"/>
  <c r="AC44" i="35" s="1"/>
  <c r="AD44" i="35" s="1"/>
  <c r="AE44" i="35" s="1"/>
  <c r="AF44" i="35" s="1"/>
  <c r="AG44" i="35" s="1"/>
  <c r="AH44" i="35" s="1"/>
  <c r="AI44" i="35" s="1"/>
  <c r="AJ44" i="35" s="1"/>
  <c r="AK44" i="35" s="1"/>
  <c r="AL44" i="35" s="1"/>
  <c r="AM44" i="35" s="1"/>
  <c r="AN44" i="35" s="1"/>
  <c r="AO44" i="35" s="1"/>
  <c r="AP44" i="35" s="1"/>
  <c r="AQ44" i="35" s="1"/>
  <c r="AR44" i="35" s="1"/>
  <c r="AS44" i="35" s="1"/>
  <c r="AT44" i="35" s="1"/>
  <c r="K44" i="35"/>
  <c r="L38" i="35"/>
  <c r="M38" i="35" s="1"/>
  <c r="N38" i="35" s="1"/>
  <c r="O38" i="35" s="1"/>
  <c r="P38" i="35" s="1"/>
  <c r="Q38" i="35" s="1"/>
  <c r="R38" i="35" s="1"/>
  <c r="S38" i="35" s="1"/>
  <c r="T38" i="35" s="1"/>
  <c r="U38" i="35" s="1"/>
  <c r="V38" i="35" s="1"/>
  <c r="W38" i="35" s="1"/>
  <c r="X38" i="35" s="1"/>
  <c r="Y38" i="35" s="1"/>
  <c r="Z38" i="35" s="1"/>
  <c r="AA38" i="35" s="1"/>
  <c r="AB38" i="35" s="1"/>
  <c r="AC38" i="35" s="1"/>
  <c r="AD38" i="35" s="1"/>
  <c r="AE38" i="35" s="1"/>
  <c r="AF38" i="35" s="1"/>
  <c r="AG38" i="35" s="1"/>
  <c r="AH38" i="35" s="1"/>
  <c r="AI38" i="35" s="1"/>
  <c r="AJ38" i="35" s="1"/>
  <c r="AK38" i="35" s="1"/>
  <c r="AL38" i="35" s="1"/>
  <c r="AM38" i="35" s="1"/>
  <c r="AN38" i="35" s="1"/>
  <c r="AO38" i="35" s="1"/>
  <c r="AP38" i="35" s="1"/>
  <c r="AQ38" i="35" s="1"/>
  <c r="AR38" i="35" s="1"/>
  <c r="AS38" i="35" s="1"/>
  <c r="AT38" i="35" s="1"/>
  <c r="L39" i="35"/>
  <c r="M39" i="35" s="1"/>
  <c r="N39" i="35" s="1"/>
  <c r="O39" i="35" s="1"/>
  <c r="P39" i="35" s="1"/>
  <c r="Q39" i="35" s="1"/>
  <c r="R39" i="35" s="1"/>
  <c r="S39" i="35" s="1"/>
  <c r="T39" i="35" s="1"/>
  <c r="U39" i="35" s="1"/>
  <c r="V39" i="35" s="1"/>
  <c r="W39" i="35" s="1"/>
  <c r="X39" i="35" s="1"/>
  <c r="Y39" i="35" s="1"/>
  <c r="Z39" i="35" s="1"/>
  <c r="AA39" i="35" s="1"/>
  <c r="AB39" i="35" s="1"/>
  <c r="AC39" i="35" s="1"/>
  <c r="AD39" i="35" s="1"/>
  <c r="AE39" i="35" s="1"/>
  <c r="AF39" i="35" s="1"/>
  <c r="AG39" i="35" s="1"/>
  <c r="AH39" i="35" s="1"/>
  <c r="AI39" i="35" s="1"/>
  <c r="AJ39" i="35" s="1"/>
  <c r="AK39" i="35" s="1"/>
  <c r="AL39" i="35" s="1"/>
  <c r="AM39" i="35" s="1"/>
  <c r="AN39" i="35" s="1"/>
  <c r="AO39" i="35" s="1"/>
  <c r="AP39" i="35" s="1"/>
  <c r="AQ39" i="35" s="1"/>
  <c r="AR39" i="35" s="1"/>
  <c r="AS39" i="35" s="1"/>
  <c r="AT39" i="35" s="1"/>
  <c r="K39" i="35"/>
  <c r="K38" i="35"/>
  <c r="D5" i="55"/>
  <c r="D5" i="48"/>
  <c r="D4" i="50"/>
  <c r="A5" i="53"/>
  <c r="A15" i="53" s="1"/>
  <c r="AD20" i="58"/>
  <c r="C20" i="58"/>
  <c r="D20" i="58"/>
  <c r="E20" i="58"/>
  <c r="F20" i="58"/>
  <c r="G20" i="58"/>
  <c r="H20" i="58"/>
  <c r="I20" i="58"/>
  <c r="J20" i="58"/>
  <c r="K20" i="58"/>
  <c r="L20" i="58"/>
  <c r="M20" i="58"/>
  <c r="N20" i="58"/>
  <c r="O20" i="58"/>
  <c r="P20" i="58"/>
  <c r="Q20" i="58"/>
  <c r="R20" i="58"/>
  <c r="S20" i="58"/>
  <c r="T20" i="58"/>
  <c r="U20" i="58"/>
  <c r="V20" i="58"/>
  <c r="W20" i="58"/>
  <c r="X20" i="58"/>
  <c r="Y20" i="58"/>
  <c r="Z20" i="58"/>
  <c r="AA20" i="58"/>
  <c r="AB20" i="58"/>
  <c r="AC20" i="58"/>
  <c r="AE20" i="58"/>
  <c r="AF20" i="58"/>
  <c r="AG20" i="58"/>
  <c r="E17" i="58"/>
  <c r="E31" i="58"/>
  <c r="G17" i="58"/>
  <c r="G31" i="58"/>
  <c r="O17" i="58"/>
  <c r="O31" i="58"/>
  <c r="P17" i="58"/>
  <c r="P31" i="58"/>
  <c r="S17" i="58"/>
  <c r="S31" i="58" s="1"/>
  <c r="V17" i="58"/>
  <c r="V31" i="58" s="1"/>
  <c r="W17" i="58"/>
  <c r="W31" i="58" s="1"/>
  <c r="X17" i="58"/>
  <c r="X31" i="58"/>
  <c r="AC17" i="58"/>
  <c r="AC31" i="58" s="1"/>
  <c r="AE17" i="58"/>
  <c r="AE31" i="58" s="1"/>
  <c r="A35" i="53"/>
  <c r="AG50" i="53"/>
  <c r="A49" i="53"/>
  <c r="A79" i="53"/>
  <c r="F54" i="28"/>
  <c r="E54" i="28"/>
  <c r="D54" i="28"/>
  <c r="F53" i="28"/>
  <c r="E53" i="28"/>
  <c r="E118" i="28" s="1"/>
  <c r="E149" i="28" s="1"/>
  <c r="D53" i="28"/>
  <c r="D118" i="28" s="1"/>
  <c r="D149" i="28" s="1"/>
  <c r="F52" i="28"/>
  <c r="F117" i="28" s="1"/>
  <c r="F148" i="28" s="1"/>
  <c r="E52" i="28"/>
  <c r="E117" i="28" s="1"/>
  <c r="E148" i="28" s="1"/>
  <c r="D52" i="28"/>
  <c r="D117" i="28" s="1"/>
  <c r="D148" i="28" s="1"/>
  <c r="F51" i="28"/>
  <c r="F116" i="28" s="1"/>
  <c r="E51" i="28"/>
  <c r="E116" i="28" s="1"/>
  <c r="E147" i="28" s="1"/>
  <c r="E44" i="52" s="1"/>
  <c r="D51" i="28"/>
  <c r="F50" i="28"/>
  <c r="E50" i="28"/>
  <c r="E115" i="28" s="1"/>
  <c r="E146" i="28" s="1"/>
  <c r="E42" i="52" s="1"/>
  <c r="D50" i="28"/>
  <c r="F49" i="28"/>
  <c r="E49" i="28"/>
  <c r="D49" i="28"/>
  <c r="F48" i="28"/>
  <c r="F113" i="28"/>
  <c r="E48" i="28"/>
  <c r="E113" i="28" s="1"/>
  <c r="D48" i="28"/>
  <c r="D113" i="28"/>
  <c r="F47" i="28"/>
  <c r="E47" i="28"/>
  <c r="D47" i="28"/>
  <c r="F46" i="28"/>
  <c r="E46" i="28"/>
  <c r="D46" i="28"/>
  <c r="S54" i="28"/>
  <c r="S119" i="28" s="1"/>
  <c r="S150" i="28" s="1"/>
  <c r="S46" i="52" s="1"/>
  <c r="R54" i="28"/>
  <c r="R119" i="28" s="1"/>
  <c r="Q54" i="28"/>
  <c r="Q119" i="28" s="1"/>
  <c r="Q150" i="28" s="1"/>
  <c r="P54" i="28"/>
  <c r="P119" i="28" s="1"/>
  <c r="P150" i="28" s="1"/>
  <c r="O54" i="28"/>
  <c r="O119" i="28" s="1"/>
  <c r="N54" i="28"/>
  <c r="M54" i="28"/>
  <c r="M119" i="28" s="1"/>
  <c r="M150" i="28" s="1"/>
  <c r="M46" i="52" s="1"/>
  <c r="L54" i="28"/>
  <c r="L119" i="28" s="1"/>
  <c r="L150" i="28" s="1"/>
  <c r="L46" i="52" s="1"/>
  <c r="K54" i="28"/>
  <c r="J54" i="28"/>
  <c r="I54" i="28"/>
  <c r="H54" i="28"/>
  <c r="H119" i="28" s="1"/>
  <c r="H150" i="28" s="1"/>
  <c r="H46" i="52" s="1"/>
  <c r="S53" i="28"/>
  <c r="R53" i="28"/>
  <c r="Q53" i="28"/>
  <c r="P53" i="28"/>
  <c r="O53" i="28"/>
  <c r="N53" i="28"/>
  <c r="M53" i="28"/>
  <c r="L53" i="28"/>
  <c r="K53" i="28"/>
  <c r="J53" i="28"/>
  <c r="I53" i="28"/>
  <c r="H53" i="28"/>
  <c r="H118" i="28" s="1"/>
  <c r="S52" i="28"/>
  <c r="S117" i="28" s="1"/>
  <c r="S148" i="28" s="1"/>
  <c r="R52" i="28"/>
  <c r="R117" i="28" s="1"/>
  <c r="R148" i="28" s="1"/>
  <c r="Q52" i="28"/>
  <c r="Q117" i="28" s="1"/>
  <c r="Q148" i="28" s="1"/>
  <c r="P52" i="28"/>
  <c r="P117" i="28" s="1"/>
  <c r="P148" i="28" s="1"/>
  <c r="O52" i="28"/>
  <c r="O117" i="28" s="1"/>
  <c r="N52" i="28"/>
  <c r="M52" i="28"/>
  <c r="M117" i="28" s="1"/>
  <c r="M148" i="28" s="1"/>
  <c r="L52" i="28"/>
  <c r="L117" i="28" s="1"/>
  <c r="L148" i="28" s="1"/>
  <c r="K52" i="28"/>
  <c r="J52" i="28"/>
  <c r="I52" i="28"/>
  <c r="H52" i="28"/>
  <c r="H117" i="28" s="1"/>
  <c r="H148" i="28" s="1"/>
  <c r="S51" i="28"/>
  <c r="R51" i="28"/>
  <c r="Q51" i="28"/>
  <c r="P51" i="28"/>
  <c r="O51" i="28"/>
  <c r="N51" i="28"/>
  <c r="M51" i="28"/>
  <c r="L51" i="28"/>
  <c r="K51" i="28"/>
  <c r="J51" i="28"/>
  <c r="I51" i="28"/>
  <c r="H51" i="28"/>
  <c r="H116" i="28" s="1"/>
  <c r="S50" i="28"/>
  <c r="S115" i="28" s="1"/>
  <c r="S146" i="28" s="1"/>
  <c r="S42" i="52" s="1"/>
  <c r="R50" i="28"/>
  <c r="R115" i="28" s="1"/>
  <c r="R146" i="28" s="1"/>
  <c r="R42" i="52" s="1"/>
  <c r="Q50" i="28"/>
  <c r="Q115" i="28" s="1"/>
  <c r="Q146" i="28" s="1"/>
  <c r="P50" i="28"/>
  <c r="P115" i="28" s="1"/>
  <c r="P146" i="28" s="1"/>
  <c r="O50" i="28"/>
  <c r="O115" i="28" s="1"/>
  <c r="N50" i="28"/>
  <c r="M50" i="28"/>
  <c r="M115" i="28" s="1"/>
  <c r="L50" i="28"/>
  <c r="L115" i="28" s="1"/>
  <c r="K50" i="28"/>
  <c r="J50" i="28"/>
  <c r="I50" i="28"/>
  <c r="H50" i="28"/>
  <c r="H115" i="28" s="1"/>
  <c r="H146" i="28" s="1"/>
  <c r="H42" i="52" s="1"/>
  <c r="S49" i="28"/>
  <c r="R49" i="28"/>
  <c r="Q49" i="28"/>
  <c r="P49" i="28"/>
  <c r="O49" i="28"/>
  <c r="N49" i="28"/>
  <c r="M49" i="28"/>
  <c r="L49" i="28"/>
  <c r="K49" i="28"/>
  <c r="J49" i="28"/>
  <c r="I49" i="28"/>
  <c r="H49" i="28"/>
  <c r="S48" i="28"/>
  <c r="S113" i="28"/>
  <c r="S144" i="28" s="1"/>
  <c r="R48" i="28"/>
  <c r="R113" i="28"/>
  <c r="R144" i="28" s="1"/>
  <c r="Q48" i="28"/>
  <c r="Q113" i="28" s="1"/>
  <c r="Q144" i="28" s="1"/>
  <c r="P48" i="28"/>
  <c r="P113" i="28" s="1"/>
  <c r="O48" i="28"/>
  <c r="O113" i="28"/>
  <c r="N48" i="28"/>
  <c r="N113" i="28"/>
  <c r="N144" i="28" s="1"/>
  <c r="M48" i="28"/>
  <c r="M113" i="28"/>
  <c r="L48" i="28"/>
  <c r="L113" i="28" s="1"/>
  <c r="K48" i="28"/>
  <c r="K113" i="28" s="1"/>
  <c r="J48" i="28"/>
  <c r="J113" i="28"/>
  <c r="I48" i="28"/>
  <c r="I113" i="28" s="1"/>
  <c r="H48" i="28"/>
  <c r="H113" i="28" s="1"/>
  <c r="H144" i="28" s="1"/>
  <c r="S47" i="28"/>
  <c r="R47" i="28"/>
  <c r="Q47" i="28"/>
  <c r="P47" i="28"/>
  <c r="O47" i="28"/>
  <c r="N47" i="28"/>
  <c r="M47" i="28"/>
  <c r="M112" i="28" s="1"/>
  <c r="M143" i="28" s="1"/>
  <c r="M43" i="52" s="1"/>
  <c r="O107" i="53" s="1"/>
  <c r="O112" i="53" s="1"/>
  <c r="L47" i="28"/>
  <c r="K47" i="28"/>
  <c r="J47" i="28"/>
  <c r="J45" i="28" s="1"/>
  <c r="J110" i="28" s="1"/>
  <c r="I47" i="28"/>
  <c r="H47" i="28"/>
  <c r="S46" i="28"/>
  <c r="R46" i="28"/>
  <c r="Q46" i="28"/>
  <c r="P46" i="28"/>
  <c r="O46" i="28"/>
  <c r="N46" i="28"/>
  <c r="M46" i="28"/>
  <c r="L46" i="28"/>
  <c r="K46" i="28"/>
  <c r="K45" i="28" s="1"/>
  <c r="J46" i="28"/>
  <c r="I46" i="28"/>
  <c r="H46" i="28"/>
  <c r="Z54" i="28"/>
  <c r="Y54" i="28"/>
  <c r="X54" i="28"/>
  <c r="W54" i="28"/>
  <c r="V54" i="28"/>
  <c r="V119" i="28" s="1"/>
  <c r="V150" i="28" s="1"/>
  <c r="V46" i="52" s="1"/>
  <c r="U54" i="28"/>
  <c r="Z53" i="28"/>
  <c r="Z118" i="28" s="1"/>
  <c r="Z149" i="28" s="1"/>
  <c r="Y53" i="28"/>
  <c r="Y118" i="28" s="1"/>
  <c r="Y149" i="28" s="1"/>
  <c r="X53" i="28"/>
  <c r="W53" i="28"/>
  <c r="V53" i="28"/>
  <c r="U53" i="28"/>
  <c r="U118" i="28" s="1"/>
  <c r="U149" i="28" s="1"/>
  <c r="Z52" i="28"/>
  <c r="Y52" i="28"/>
  <c r="Y117" i="28" s="1"/>
  <c r="Y148" i="28" s="1"/>
  <c r="X52" i="28"/>
  <c r="W52" i="28"/>
  <c r="V52" i="28"/>
  <c r="U52" i="28"/>
  <c r="Z51" i="28"/>
  <c r="Y51" i="28"/>
  <c r="X51" i="28"/>
  <c r="W51" i="28"/>
  <c r="V51" i="28"/>
  <c r="U51" i="28"/>
  <c r="Z50" i="28"/>
  <c r="Y50" i="28"/>
  <c r="X50" i="28"/>
  <c r="W50" i="28"/>
  <c r="V50" i="28"/>
  <c r="V115" i="28" s="1"/>
  <c r="V146" i="28" s="1"/>
  <c r="V42" i="52" s="1"/>
  <c r="U50" i="28"/>
  <c r="Z49" i="28"/>
  <c r="Z114" i="28" s="1"/>
  <c r="Z145" i="28" s="1"/>
  <c r="Z41" i="52" s="1"/>
  <c r="Y49" i="28"/>
  <c r="Y114" i="28" s="1"/>
  <c r="Y145" i="28" s="1"/>
  <c r="Y41" i="52" s="1"/>
  <c r="X49" i="28"/>
  <c r="W49" i="28"/>
  <c r="V49" i="28"/>
  <c r="U49" i="28"/>
  <c r="U114" i="28" s="1"/>
  <c r="U145" i="28" s="1"/>
  <c r="U41" i="52" s="1"/>
  <c r="Z48" i="28"/>
  <c r="Z113" i="28"/>
  <c r="Z144" i="28" s="1"/>
  <c r="Y48" i="28"/>
  <c r="Y113" i="28" s="1"/>
  <c r="X48" i="28"/>
  <c r="X113" i="28"/>
  <c r="W48" i="28"/>
  <c r="W113" i="28" s="1"/>
  <c r="W144" i="28" s="1"/>
  <c r="V48" i="28"/>
  <c r="V113" i="28" s="1"/>
  <c r="U48" i="28"/>
  <c r="U113" i="28"/>
  <c r="Z47" i="28"/>
  <c r="Y47" i="28"/>
  <c r="X47" i="28"/>
  <c r="W47" i="28"/>
  <c r="V47" i="28"/>
  <c r="U47" i="28"/>
  <c r="Z46" i="28"/>
  <c r="Y46" i="28"/>
  <c r="X46" i="28"/>
  <c r="W46" i="28"/>
  <c r="V46" i="28"/>
  <c r="U46" i="28"/>
  <c r="AB46" i="28"/>
  <c r="AC46" i="28"/>
  <c r="AD46" i="28"/>
  <c r="AB47" i="28"/>
  <c r="AC47" i="28"/>
  <c r="AC112" i="28" s="1"/>
  <c r="AC143" i="28" s="1"/>
  <c r="AC43" i="52" s="1"/>
  <c r="AE107" i="53" s="1"/>
  <c r="AE112" i="53" s="1"/>
  <c r="AD47" i="28"/>
  <c r="AB48" i="28"/>
  <c r="AB113" i="28"/>
  <c r="AC48" i="28"/>
  <c r="AC113" i="28" s="1"/>
  <c r="AD48" i="28"/>
  <c r="AD113" i="28"/>
  <c r="AB49" i="28"/>
  <c r="AC49" i="28"/>
  <c r="AD49" i="28"/>
  <c r="AB50" i="28"/>
  <c r="AC50" i="28"/>
  <c r="AD50" i="28"/>
  <c r="AB51" i="28"/>
  <c r="AC51" i="28"/>
  <c r="AD51" i="28"/>
  <c r="AB52" i="28"/>
  <c r="AC52" i="28"/>
  <c r="AD52" i="28"/>
  <c r="AD117" i="28" s="1"/>
  <c r="AD148" i="28" s="1"/>
  <c r="AB53" i="28"/>
  <c r="AC53" i="28"/>
  <c r="AC118" i="28" s="1"/>
  <c r="AC149" i="28" s="1"/>
  <c r="AD53" i="28"/>
  <c r="AD118" i="28" s="1"/>
  <c r="AD149" i="28" s="1"/>
  <c r="AB54" i="28"/>
  <c r="AC54" i="28"/>
  <c r="AC119" i="28" s="1"/>
  <c r="AC150" i="28" s="1"/>
  <c r="AC46" i="52" s="1"/>
  <c r="AD54" i="28"/>
  <c r="AD119" i="28" s="1"/>
  <c r="AD150" i="28" s="1"/>
  <c r="AD46" i="52" s="1"/>
  <c r="AF46" i="28"/>
  <c r="AG46" i="28"/>
  <c r="AH46" i="28"/>
  <c r="AF47" i="28"/>
  <c r="AG47" i="28"/>
  <c r="AH47" i="28"/>
  <c r="AF48" i="28"/>
  <c r="AF113" i="28" s="1"/>
  <c r="AG48" i="28"/>
  <c r="AG113" i="28" s="1"/>
  <c r="AG144" i="28" s="1"/>
  <c r="AH48" i="28"/>
  <c r="AH113" i="28"/>
  <c r="AH144" i="28" s="1"/>
  <c r="AF49" i="28"/>
  <c r="AG49" i="28"/>
  <c r="AG45" i="28" s="1"/>
  <c r="AH49" i="28"/>
  <c r="AF50" i="28"/>
  <c r="AG50" i="28"/>
  <c r="AH50" i="28"/>
  <c r="AF51" i="28"/>
  <c r="AG51" i="28"/>
  <c r="AH51" i="28"/>
  <c r="AH116" i="28" s="1"/>
  <c r="AF52" i="28"/>
  <c r="AF117" i="28" s="1"/>
  <c r="AG52" i="28"/>
  <c r="AH52" i="28"/>
  <c r="AH117" i="28" s="1"/>
  <c r="AF53" i="28"/>
  <c r="AF118" i="28" s="1"/>
  <c r="AF149" i="28" s="1"/>
  <c r="AG53" i="28"/>
  <c r="AH53" i="28"/>
  <c r="AF54" i="28"/>
  <c r="AG54" i="28"/>
  <c r="AH54" i="28"/>
  <c r="F21" i="28"/>
  <c r="E21" i="28"/>
  <c r="D21" i="28"/>
  <c r="F20" i="28"/>
  <c r="E20" i="28"/>
  <c r="D20" i="28"/>
  <c r="F19" i="28"/>
  <c r="E19" i="28"/>
  <c r="D19" i="28"/>
  <c r="F18" i="28"/>
  <c r="E18" i="28"/>
  <c r="D18" i="28"/>
  <c r="F17" i="28"/>
  <c r="F82" i="28" s="1"/>
  <c r="E17" i="28"/>
  <c r="D17" i="28"/>
  <c r="D82" i="28" s="1"/>
  <c r="D146" i="28" s="1"/>
  <c r="D42" i="52" s="1"/>
  <c r="F16" i="28"/>
  <c r="F81" i="28" s="1"/>
  <c r="E16" i="28"/>
  <c r="D16" i="28"/>
  <c r="F15" i="28"/>
  <c r="F80" i="28" s="1"/>
  <c r="F144" i="28" s="1"/>
  <c r="E15" i="28"/>
  <c r="E80" i="28"/>
  <c r="D15" i="28"/>
  <c r="D80" i="28"/>
  <c r="F14" i="28"/>
  <c r="F12" i="28" s="1"/>
  <c r="E14" i="28"/>
  <c r="D14" i="28"/>
  <c r="F13" i="28"/>
  <c r="E13" i="28"/>
  <c r="D13" i="28"/>
  <c r="H13" i="28"/>
  <c r="I13" i="28"/>
  <c r="J13" i="28"/>
  <c r="K13" i="28"/>
  <c r="L13" i="28"/>
  <c r="M13" i="28"/>
  <c r="N13" i="28"/>
  <c r="O13" i="28"/>
  <c r="P13" i="28"/>
  <c r="Q13" i="28"/>
  <c r="R13" i="28"/>
  <c r="H14" i="28"/>
  <c r="I14" i="28"/>
  <c r="I79" i="28" s="1"/>
  <c r="I143" i="28" s="1"/>
  <c r="I43" i="52" s="1"/>
  <c r="K107" i="53" s="1"/>
  <c r="K112" i="53" s="1"/>
  <c r="J14" i="28"/>
  <c r="K14" i="28"/>
  <c r="L14" i="28"/>
  <c r="M14" i="28"/>
  <c r="N14" i="28"/>
  <c r="O14" i="28"/>
  <c r="P14" i="28"/>
  <c r="Q14" i="28"/>
  <c r="R14" i="28"/>
  <c r="H15" i="28"/>
  <c r="H80" i="28"/>
  <c r="I15" i="28"/>
  <c r="I80" i="28"/>
  <c r="J15" i="28"/>
  <c r="J80" i="28" s="1"/>
  <c r="J144" i="28" s="1"/>
  <c r="G144" i="28" s="1"/>
  <c r="K15" i="28"/>
  <c r="K80" i="28" s="1"/>
  <c r="L15" i="28"/>
  <c r="L80" i="28" s="1"/>
  <c r="M15" i="28"/>
  <c r="M80" i="28"/>
  <c r="N15" i="28"/>
  <c r="N80" i="28"/>
  <c r="O15" i="28"/>
  <c r="P15" i="28"/>
  <c r="P80" i="28"/>
  <c r="Q15" i="28"/>
  <c r="Q80" i="28"/>
  <c r="R15" i="28"/>
  <c r="R80" i="28" s="1"/>
  <c r="H16" i="28"/>
  <c r="I16" i="28"/>
  <c r="J16" i="28"/>
  <c r="K16" i="28"/>
  <c r="L16" i="28"/>
  <c r="M16" i="28"/>
  <c r="N16" i="28"/>
  <c r="O16" i="28"/>
  <c r="P16" i="28"/>
  <c r="Q16" i="28"/>
  <c r="R16" i="28"/>
  <c r="H17" i="28"/>
  <c r="I17" i="28"/>
  <c r="J17" i="28"/>
  <c r="J82" i="28" s="1"/>
  <c r="K17" i="28"/>
  <c r="L17" i="28"/>
  <c r="M17" i="28"/>
  <c r="M82" i="28" s="1"/>
  <c r="N17" i="28"/>
  <c r="N82" i="28" s="1"/>
  <c r="O17" i="28"/>
  <c r="O82" i="28" s="1"/>
  <c r="P17" i="28"/>
  <c r="P82" i="28" s="1"/>
  <c r="Q17" i="28"/>
  <c r="R17" i="28"/>
  <c r="H18" i="28"/>
  <c r="I18" i="28"/>
  <c r="J18" i="28"/>
  <c r="K18" i="28"/>
  <c r="L18" i="28"/>
  <c r="M18" i="28"/>
  <c r="N18" i="28"/>
  <c r="O18" i="28"/>
  <c r="P18" i="28"/>
  <c r="Q18" i="28"/>
  <c r="R18" i="28"/>
  <c r="H19" i="28"/>
  <c r="I19" i="28"/>
  <c r="J19" i="28"/>
  <c r="K19" i="28"/>
  <c r="L19" i="28"/>
  <c r="L84" i="28" s="1"/>
  <c r="M19" i="28"/>
  <c r="N19" i="28"/>
  <c r="N84" i="28" s="1"/>
  <c r="N148" i="28" s="1"/>
  <c r="O19" i="28"/>
  <c r="O84" i="28" s="1"/>
  <c r="O148" i="28" s="1"/>
  <c r="P19" i="28"/>
  <c r="P84" i="28" s="1"/>
  <c r="Q19" i="28"/>
  <c r="Q84" i="28" s="1"/>
  <c r="R19" i="28"/>
  <c r="R84" i="28" s="1"/>
  <c r="H20" i="28"/>
  <c r="I20" i="28"/>
  <c r="J20" i="28"/>
  <c r="K20" i="28"/>
  <c r="L20" i="28"/>
  <c r="M20" i="28"/>
  <c r="N20" i="28"/>
  <c r="O20" i="28"/>
  <c r="P20" i="28"/>
  <c r="Q20" i="28"/>
  <c r="R20" i="28"/>
  <c r="H21" i="28"/>
  <c r="I21" i="28"/>
  <c r="J21" i="28"/>
  <c r="K21" i="28"/>
  <c r="L21" i="28"/>
  <c r="M21" i="28"/>
  <c r="N21" i="28"/>
  <c r="N86" i="28" s="1"/>
  <c r="O21" i="28"/>
  <c r="P21" i="28"/>
  <c r="P86" i="28" s="1"/>
  <c r="Q21" i="28"/>
  <c r="Q86" i="28" s="1"/>
  <c r="R21" i="28"/>
  <c r="R86" i="28" s="1"/>
  <c r="S21" i="28"/>
  <c r="S86" i="28" s="1"/>
  <c r="S20" i="28"/>
  <c r="S85" i="28" s="1"/>
  <c r="S19" i="28"/>
  <c r="S18" i="28"/>
  <c r="S17" i="28"/>
  <c r="S16" i="28"/>
  <c r="S15" i="28"/>
  <c r="S80" i="28"/>
  <c r="S14" i="28"/>
  <c r="S13" i="28"/>
  <c r="U13" i="28"/>
  <c r="V13" i="28"/>
  <c r="W13" i="28"/>
  <c r="X13" i="28"/>
  <c r="Y13" i="28"/>
  <c r="U14" i="28"/>
  <c r="V14" i="28"/>
  <c r="W14" i="28"/>
  <c r="X14" i="28"/>
  <c r="Y14" i="28"/>
  <c r="U15" i="28"/>
  <c r="U80" i="28"/>
  <c r="U144" i="28" s="1"/>
  <c r="V15" i="28"/>
  <c r="V12" i="28" s="1"/>
  <c r="V80" i="28"/>
  <c r="V144" i="28" s="1"/>
  <c r="W15" i="28"/>
  <c r="W80" i="28"/>
  <c r="X15" i="28"/>
  <c r="X80" i="28"/>
  <c r="Y15" i="28"/>
  <c r="Y80" i="28" s="1"/>
  <c r="U16" i="28"/>
  <c r="V16" i="28"/>
  <c r="W16" i="28"/>
  <c r="X16" i="28"/>
  <c r="Y16" i="28"/>
  <c r="U17" i="28"/>
  <c r="V17" i="28"/>
  <c r="W17" i="28"/>
  <c r="X17" i="28"/>
  <c r="Y17" i="28"/>
  <c r="U18" i="28"/>
  <c r="V18" i="28"/>
  <c r="W18" i="28"/>
  <c r="X18" i="28"/>
  <c r="Y18" i="28"/>
  <c r="U19" i="28"/>
  <c r="U84" i="28" s="1"/>
  <c r="V19" i="28"/>
  <c r="V84" i="28" s="1"/>
  <c r="V148" i="28" s="1"/>
  <c r="W19" i="28"/>
  <c r="W84" i="28" s="1"/>
  <c r="W148" i="28" s="1"/>
  <c r="X19" i="28"/>
  <c r="Y19" i="28"/>
  <c r="U20" i="28"/>
  <c r="V20" i="28"/>
  <c r="W20" i="28"/>
  <c r="X20" i="28"/>
  <c r="Y20" i="28"/>
  <c r="U21" i="28"/>
  <c r="V21" i="28"/>
  <c r="W21" i="28"/>
  <c r="X21" i="28"/>
  <c r="Y21" i="28"/>
  <c r="Z21" i="28"/>
  <c r="Z20" i="28"/>
  <c r="Z19" i="28"/>
  <c r="Z18" i="28"/>
  <c r="Z17" i="28"/>
  <c r="Z16" i="28"/>
  <c r="Z15" i="28"/>
  <c r="Z80" i="28"/>
  <c r="Z14" i="28"/>
  <c r="Z13" i="28"/>
  <c r="AB13" i="28"/>
  <c r="AC13" i="28"/>
  <c r="AD13" i="28"/>
  <c r="AB14" i="28"/>
  <c r="AB79" i="28" s="1"/>
  <c r="AC14" i="28"/>
  <c r="AD14" i="28"/>
  <c r="AB15" i="28"/>
  <c r="AB80" i="28" s="1"/>
  <c r="AC15" i="28"/>
  <c r="AC80" i="28"/>
  <c r="AC144" i="28" s="1"/>
  <c r="AD15" i="28"/>
  <c r="AD80" i="28" s="1"/>
  <c r="AB16" i="28"/>
  <c r="AC16" i="28"/>
  <c r="AD16" i="28"/>
  <c r="AB17" i="28"/>
  <c r="AC17" i="28"/>
  <c r="AD17" i="28"/>
  <c r="AB18" i="28"/>
  <c r="AC18" i="28"/>
  <c r="AD18" i="28"/>
  <c r="AB19" i="28"/>
  <c r="AC19" i="28"/>
  <c r="AD19" i="28"/>
  <c r="AB20" i="28"/>
  <c r="AB85" i="28" s="1"/>
  <c r="AB149" i="28" s="1"/>
  <c r="AC20" i="28"/>
  <c r="AC85" i="28" s="1"/>
  <c r="AD20" i="28"/>
  <c r="AD85" i="28" s="1"/>
  <c r="AB21" i="28"/>
  <c r="AB86" i="28" s="1"/>
  <c r="AB150" i="28" s="1"/>
  <c r="AB46" i="52" s="1"/>
  <c r="AC21" i="28"/>
  <c r="AD21" i="28"/>
  <c r="AF13" i="28"/>
  <c r="AG13" i="28"/>
  <c r="AH13" i="28"/>
  <c r="AF14" i="28"/>
  <c r="AG14" i="28"/>
  <c r="AH14" i="28"/>
  <c r="AF15" i="28"/>
  <c r="AF80" i="28"/>
  <c r="AG15" i="28"/>
  <c r="AG80" i="28" s="1"/>
  <c r="AH15" i="28"/>
  <c r="AH80" i="28" s="1"/>
  <c r="AF16" i="28"/>
  <c r="AG16" i="28"/>
  <c r="AH16" i="28"/>
  <c r="AF17" i="28"/>
  <c r="AG17" i="28"/>
  <c r="AH17" i="28"/>
  <c r="AF18" i="28"/>
  <c r="AG18" i="28"/>
  <c r="AH18" i="28"/>
  <c r="AF19" i="28"/>
  <c r="AF84" i="28" s="1"/>
  <c r="AG19" i="28"/>
  <c r="AH19" i="28"/>
  <c r="AH84" i="28" s="1"/>
  <c r="AF20" i="28"/>
  <c r="AG20" i="28"/>
  <c r="AH20" i="28"/>
  <c r="AF21" i="28"/>
  <c r="AG21" i="28"/>
  <c r="AH21" i="28"/>
  <c r="AE48" i="28"/>
  <c r="AE113" i="28"/>
  <c r="AE144" i="28" s="1"/>
  <c r="AE15" i="28"/>
  <c r="AE80" i="28" s="1"/>
  <c r="AE54" i="28"/>
  <c r="AE53" i="28"/>
  <c r="AE52" i="28"/>
  <c r="AE51" i="28"/>
  <c r="AE50" i="28"/>
  <c r="AE49" i="28"/>
  <c r="AE47" i="28"/>
  <c r="AE46" i="28"/>
  <c r="AE17" i="28"/>
  <c r="AE21" i="28"/>
  <c r="AE20" i="28"/>
  <c r="AE19" i="28"/>
  <c r="AE84" i="28" s="1"/>
  <c r="AE18" i="28"/>
  <c r="AE16" i="28"/>
  <c r="AE81" i="28" s="1"/>
  <c r="AE145" i="28" s="1"/>
  <c r="AE41" i="52" s="1"/>
  <c r="AG93" i="53" s="1"/>
  <c r="AG95" i="53" s="1"/>
  <c r="AE14" i="28"/>
  <c r="AE13" i="28"/>
  <c r="N45" i="28"/>
  <c r="N110" i="28" s="1"/>
  <c r="W45" i="28"/>
  <c r="W110" i="28" s="1"/>
  <c r="D144" i="28"/>
  <c r="E144" i="28"/>
  <c r="I45" i="28"/>
  <c r="I110" i="28" s="1"/>
  <c r="AF144" i="28"/>
  <c r="AE45" i="28"/>
  <c r="D50" i="58"/>
  <c r="E50" i="58"/>
  <c r="G50" i="58"/>
  <c r="H50" i="58"/>
  <c r="I50" i="58"/>
  <c r="J50" i="58"/>
  <c r="K50" i="58"/>
  <c r="O50" i="58"/>
  <c r="L50" i="58"/>
  <c r="M50" i="58"/>
  <c r="N50" i="58"/>
  <c r="P50" i="58"/>
  <c r="Q50" i="58"/>
  <c r="R50" i="58"/>
  <c r="T50" i="58"/>
  <c r="U50" i="58"/>
  <c r="V50" i="58"/>
  <c r="W50" i="58"/>
  <c r="X50" i="58"/>
  <c r="Y50" i="58"/>
  <c r="AA50" i="58"/>
  <c r="AB50" i="58"/>
  <c r="AC50" i="58"/>
  <c r="AD50" i="58"/>
  <c r="AE50" i="58"/>
  <c r="AF50" i="58"/>
  <c r="AG50" i="58"/>
  <c r="D51" i="58"/>
  <c r="E51" i="58"/>
  <c r="G51" i="58"/>
  <c r="H51" i="58"/>
  <c r="I51" i="58"/>
  <c r="J51" i="58"/>
  <c r="K51" i="58"/>
  <c r="O51" i="58"/>
  <c r="L51" i="58"/>
  <c r="M51" i="58"/>
  <c r="N51" i="58"/>
  <c r="P51" i="58"/>
  <c r="Q51" i="58"/>
  <c r="R51" i="58"/>
  <c r="T51" i="58"/>
  <c r="U51" i="58"/>
  <c r="V51" i="58"/>
  <c r="W51" i="58"/>
  <c r="X51" i="58"/>
  <c r="Y51" i="58"/>
  <c r="AA51" i="58"/>
  <c r="AB51" i="58"/>
  <c r="AC51" i="58"/>
  <c r="AD51" i="58"/>
  <c r="AE51" i="58"/>
  <c r="AF51" i="58"/>
  <c r="AG51" i="58"/>
  <c r="D52" i="58"/>
  <c r="E52" i="58"/>
  <c r="G52" i="58"/>
  <c r="H52" i="58"/>
  <c r="I52" i="58"/>
  <c r="J52" i="58"/>
  <c r="K52" i="58"/>
  <c r="O52" i="58"/>
  <c r="L52" i="58"/>
  <c r="M52" i="58"/>
  <c r="N52" i="58"/>
  <c r="P52" i="58"/>
  <c r="Q52" i="58"/>
  <c r="R52" i="58"/>
  <c r="T52" i="58"/>
  <c r="U52" i="58"/>
  <c r="V52" i="58"/>
  <c r="W52" i="58"/>
  <c r="X52" i="58"/>
  <c r="Y52" i="58"/>
  <c r="AA52" i="58"/>
  <c r="AB52" i="58"/>
  <c r="AC52" i="58"/>
  <c r="AD52" i="58"/>
  <c r="AE52" i="58"/>
  <c r="AF52" i="58"/>
  <c r="AG52" i="58"/>
  <c r="D53" i="58"/>
  <c r="E53" i="58"/>
  <c r="G53" i="58"/>
  <c r="H53" i="58"/>
  <c r="I53" i="58"/>
  <c r="J53" i="58"/>
  <c r="K53" i="58"/>
  <c r="O53" i="58"/>
  <c r="L53" i="58"/>
  <c r="M53" i="58"/>
  <c r="N53" i="58"/>
  <c r="P53" i="58"/>
  <c r="Q53" i="58"/>
  <c r="R53" i="58"/>
  <c r="T53" i="58"/>
  <c r="U53" i="58"/>
  <c r="V53" i="58"/>
  <c r="W53" i="58"/>
  <c r="X53" i="58"/>
  <c r="Y53" i="58"/>
  <c r="AA53" i="58"/>
  <c r="AB53" i="58"/>
  <c r="AC53" i="58"/>
  <c r="AD53" i="58"/>
  <c r="AE53" i="58"/>
  <c r="AF53" i="58"/>
  <c r="AG53" i="58"/>
  <c r="D54" i="58"/>
  <c r="E54" i="58"/>
  <c r="G54" i="58"/>
  <c r="H54" i="58"/>
  <c r="I54" i="58"/>
  <c r="J54" i="58"/>
  <c r="K54" i="58"/>
  <c r="O54" i="58"/>
  <c r="L54" i="58"/>
  <c r="M54" i="58"/>
  <c r="N54" i="58"/>
  <c r="P54" i="58"/>
  <c r="Q54" i="58"/>
  <c r="R54" i="58"/>
  <c r="T54" i="58"/>
  <c r="U54" i="58"/>
  <c r="V54" i="58"/>
  <c r="W54" i="58"/>
  <c r="X54" i="58"/>
  <c r="Y54" i="58"/>
  <c r="AA54" i="58"/>
  <c r="AB54" i="58"/>
  <c r="AC54" i="58"/>
  <c r="AD54" i="58"/>
  <c r="AE54" i="58"/>
  <c r="AF54" i="58"/>
  <c r="AG54" i="58"/>
  <c r="D55" i="58"/>
  <c r="E55" i="58"/>
  <c r="G55" i="58"/>
  <c r="H55" i="58"/>
  <c r="I55" i="58"/>
  <c r="J55" i="58"/>
  <c r="K55" i="58"/>
  <c r="O55" i="58"/>
  <c r="L55" i="58"/>
  <c r="M55" i="58"/>
  <c r="N55" i="58"/>
  <c r="P55" i="58"/>
  <c r="Q55" i="58"/>
  <c r="R55" i="58"/>
  <c r="T55" i="58"/>
  <c r="U55" i="58"/>
  <c r="V55" i="58"/>
  <c r="W55" i="58"/>
  <c r="X55" i="58"/>
  <c r="Y55" i="58"/>
  <c r="AA55" i="58"/>
  <c r="AB55" i="58"/>
  <c r="AC55" i="58"/>
  <c r="AD55" i="58"/>
  <c r="AE55" i="58"/>
  <c r="AF55" i="58"/>
  <c r="AG55" i="58"/>
  <c r="D56" i="58"/>
  <c r="E56" i="58"/>
  <c r="G56" i="58"/>
  <c r="H56" i="58"/>
  <c r="I56" i="58"/>
  <c r="J56" i="58"/>
  <c r="K56" i="58"/>
  <c r="O56" i="58"/>
  <c r="L56" i="58"/>
  <c r="M56" i="58"/>
  <c r="N56" i="58"/>
  <c r="P56" i="58"/>
  <c r="Q56" i="58"/>
  <c r="R56" i="58"/>
  <c r="T56" i="58"/>
  <c r="U56" i="58"/>
  <c r="V56" i="58"/>
  <c r="W56" i="58"/>
  <c r="X56" i="58"/>
  <c r="Y56" i="58"/>
  <c r="AA56" i="58"/>
  <c r="AB56" i="58"/>
  <c r="AC56" i="58"/>
  <c r="AD56" i="58"/>
  <c r="AE56" i="58"/>
  <c r="AF56" i="58"/>
  <c r="AG56" i="58"/>
  <c r="D57" i="58"/>
  <c r="E57" i="58"/>
  <c r="G57" i="58"/>
  <c r="H57" i="58"/>
  <c r="I57" i="58"/>
  <c r="J57" i="58"/>
  <c r="K57" i="58"/>
  <c r="O57" i="58"/>
  <c r="L57" i="58"/>
  <c r="M57" i="58"/>
  <c r="N57" i="58"/>
  <c r="P57" i="58"/>
  <c r="Q57" i="58"/>
  <c r="R57" i="58"/>
  <c r="T57" i="58"/>
  <c r="U57" i="58"/>
  <c r="V57" i="58"/>
  <c r="W57" i="58"/>
  <c r="X57" i="58"/>
  <c r="Y57" i="58"/>
  <c r="AA57" i="58"/>
  <c r="AB57" i="58"/>
  <c r="AC57" i="58"/>
  <c r="AD57" i="58"/>
  <c r="AE57" i="58"/>
  <c r="AF57" i="58"/>
  <c r="AG57" i="58"/>
  <c r="D58" i="58"/>
  <c r="E58" i="58"/>
  <c r="G58" i="58"/>
  <c r="H58" i="58"/>
  <c r="I58" i="58"/>
  <c r="J58" i="58"/>
  <c r="K58" i="58"/>
  <c r="O58" i="58"/>
  <c r="L58" i="58"/>
  <c r="M58" i="58"/>
  <c r="N58" i="58"/>
  <c r="P58" i="58"/>
  <c r="Q58" i="58"/>
  <c r="R58" i="58"/>
  <c r="T58" i="58"/>
  <c r="U58" i="58"/>
  <c r="V58" i="58"/>
  <c r="W58" i="58"/>
  <c r="X58" i="58"/>
  <c r="Y58" i="58"/>
  <c r="AA58" i="58"/>
  <c r="AB58" i="58"/>
  <c r="AC58" i="58"/>
  <c r="AD58" i="58"/>
  <c r="AE58" i="58"/>
  <c r="AF58" i="58"/>
  <c r="AG58" i="58"/>
  <c r="D59" i="58"/>
  <c r="E59" i="58"/>
  <c r="G59" i="58"/>
  <c r="H59" i="58"/>
  <c r="I59" i="58"/>
  <c r="J59" i="58"/>
  <c r="K59" i="58"/>
  <c r="O59" i="58"/>
  <c r="L59" i="58"/>
  <c r="M59" i="58"/>
  <c r="N59" i="58"/>
  <c r="P59" i="58"/>
  <c r="Q59" i="58"/>
  <c r="R59" i="58"/>
  <c r="T59" i="58"/>
  <c r="U59" i="58"/>
  <c r="V59" i="58"/>
  <c r="W59" i="58"/>
  <c r="X59" i="58"/>
  <c r="Y59" i="58"/>
  <c r="AA59" i="58"/>
  <c r="AB59" i="58"/>
  <c r="AC59" i="58"/>
  <c r="AD59" i="58"/>
  <c r="AE59" i="58"/>
  <c r="AF59" i="58"/>
  <c r="AG59" i="58"/>
  <c r="D60" i="58"/>
  <c r="E60" i="58"/>
  <c r="G60" i="58"/>
  <c r="H60" i="58"/>
  <c r="I60" i="58"/>
  <c r="J60" i="58"/>
  <c r="K60" i="58"/>
  <c r="O60" i="58"/>
  <c r="L60" i="58"/>
  <c r="M60" i="58"/>
  <c r="N60" i="58"/>
  <c r="P60" i="58"/>
  <c r="Q60" i="58"/>
  <c r="R60" i="58"/>
  <c r="T60" i="58"/>
  <c r="U60" i="58"/>
  <c r="V60" i="58"/>
  <c r="W60" i="58"/>
  <c r="X60" i="58"/>
  <c r="Y60" i="58"/>
  <c r="AA60" i="58"/>
  <c r="AB60" i="58"/>
  <c r="AC60" i="58"/>
  <c r="AD60" i="58"/>
  <c r="AE60" i="58"/>
  <c r="AF60" i="58"/>
  <c r="AG60" i="58"/>
  <c r="C58" i="58"/>
  <c r="C59" i="58"/>
  <c r="C52" i="58"/>
  <c r="C53" i="58"/>
  <c r="C54" i="58"/>
  <c r="C55" i="58"/>
  <c r="C56" i="58"/>
  <c r="C57" i="58"/>
  <c r="C50" i="58"/>
  <c r="C51" i="58"/>
  <c r="AA154" i="59"/>
  <c r="AN153" i="59"/>
  <c r="AM153" i="59"/>
  <c r="AM123" i="59" s="1"/>
  <c r="AL153" i="59"/>
  <c r="AL123" i="59" s="1"/>
  <c r="AL60" i="59" s="1"/>
  <c r="AK153" i="59"/>
  <c r="AJ153" i="59"/>
  <c r="AI153" i="59"/>
  <c r="AA153" i="59"/>
  <c r="T153" i="59"/>
  <c r="G153" i="59"/>
  <c r="AN152" i="59"/>
  <c r="AM152" i="59"/>
  <c r="AL152" i="59"/>
  <c r="AK152" i="59"/>
  <c r="AJ152" i="59"/>
  <c r="AI152" i="59"/>
  <c r="AA152" i="59"/>
  <c r="T152" i="59"/>
  <c r="G152" i="59"/>
  <c r="AN151" i="59"/>
  <c r="AM151" i="59"/>
  <c r="AL151" i="59"/>
  <c r="AK151" i="59"/>
  <c r="AJ151" i="59"/>
  <c r="AI151" i="59"/>
  <c r="AA151" i="59"/>
  <c r="T151" i="59"/>
  <c r="G151" i="59"/>
  <c r="AN150" i="59"/>
  <c r="AM150" i="59"/>
  <c r="AL150" i="59"/>
  <c r="AK150" i="59"/>
  <c r="AJ150" i="59"/>
  <c r="AI150" i="59"/>
  <c r="AA150" i="59"/>
  <c r="T150" i="59"/>
  <c r="G150" i="59"/>
  <c r="AN149" i="59"/>
  <c r="AM149" i="59"/>
  <c r="AL149" i="59"/>
  <c r="AK149" i="59"/>
  <c r="AJ149" i="59"/>
  <c r="AI149" i="59"/>
  <c r="AA149" i="59"/>
  <c r="T149" i="59"/>
  <c r="G149" i="59"/>
  <c r="AN148" i="59"/>
  <c r="AM148" i="59"/>
  <c r="AL148" i="59"/>
  <c r="AK148" i="59"/>
  <c r="AJ148" i="59"/>
  <c r="AI148" i="59"/>
  <c r="AA148" i="59"/>
  <c r="T148" i="59"/>
  <c r="G148" i="59"/>
  <c r="AN147" i="59"/>
  <c r="AM147" i="59"/>
  <c r="AL147" i="59"/>
  <c r="AK147" i="59"/>
  <c r="AJ147" i="59"/>
  <c r="AI147" i="59"/>
  <c r="AA147" i="59"/>
  <c r="T147" i="59"/>
  <c r="G147" i="59"/>
  <c r="AN146" i="59"/>
  <c r="AM146" i="59"/>
  <c r="AL146" i="59"/>
  <c r="AK146" i="59"/>
  <c r="AJ146" i="59"/>
  <c r="AI146" i="59"/>
  <c r="AA146" i="59"/>
  <c r="T146" i="59"/>
  <c r="G146" i="59"/>
  <c r="AN145" i="59"/>
  <c r="AM145" i="59"/>
  <c r="AL145" i="59"/>
  <c r="AK145" i="59"/>
  <c r="AJ145" i="59"/>
  <c r="AI145" i="59"/>
  <c r="AA145" i="59"/>
  <c r="T145" i="59"/>
  <c r="G145" i="59"/>
  <c r="AN144" i="59"/>
  <c r="AM144" i="59"/>
  <c r="AL144" i="59"/>
  <c r="AK144" i="59"/>
  <c r="AJ144" i="59"/>
  <c r="AI144" i="59"/>
  <c r="AA144" i="59"/>
  <c r="T144" i="59"/>
  <c r="G144" i="59"/>
  <c r="AA143" i="59"/>
  <c r="T143" i="59"/>
  <c r="G143" i="59"/>
  <c r="AN142" i="59"/>
  <c r="AM142" i="59"/>
  <c r="AL142" i="59"/>
  <c r="AK142" i="59"/>
  <c r="AJ142" i="59"/>
  <c r="AI142" i="59"/>
  <c r="AA142" i="59"/>
  <c r="T142" i="59"/>
  <c r="G142" i="59"/>
  <c r="AN141" i="59"/>
  <c r="AM141" i="59"/>
  <c r="AL141" i="59"/>
  <c r="AK141" i="59"/>
  <c r="AJ141" i="59"/>
  <c r="AI141" i="59"/>
  <c r="AA141" i="59"/>
  <c r="T141" i="59"/>
  <c r="G141" i="59"/>
  <c r="AN140" i="59"/>
  <c r="AM140" i="59"/>
  <c r="AL140" i="59"/>
  <c r="AK140" i="59"/>
  <c r="AJ140" i="59"/>
  <c r="AI140" i="59"/>
  <c r="AA140" i="59"/>
  <c r="T140" i="59"/>
  <c r="G140" i="59"/>
  <c r="AN139" i="59"/>
  <c r="AN109" i="59" s="1"/>
  <c r="AM139" i="59"/>
  <c r="AL139" i="59"/>
  <c r="AK139" i="59"/>
  <c r="AJ139" i="59"/>
  <c r="AI139" i="59"/>
  <c r="AA139" i="59"/>
  <c r="T139" i="59"/>
  <c r="G139" i="59"/>
  <c r="AN138" i="59"/>
  <c r="AM138" i="59"/>
  <c r="AL138" i="59"/>
  <c r="AK138" i="59"/>
  <c r="AJ138" i="59"/>
  <c r="AI138" i="59"/>
  <c r="AA138" i="59"/>
  <c r="T138" i="59"/>
  <c r="G138" i="59"/>
  <c r="AN137" i="59"/>
  <c r="AM137" i="59"/>
  <c r="AL137" i="59"/>
  <c r="AK137" i="59"/>
  <c r="AJ137" i="59"/>
  <c r="AI137" i="59"/>
  <c r="AA137" i="59"/>
  <c r="T137" i="59"/>
  <c r="G137" i="59"/>
  <c r="AN136" i="59"/>
  <c r="AM136" i="59"/>
  <c r="AL136" i="59"/>
  <c r="AK136" i="59"/>
  <c r="AJ136" i="59"/>
  <c r="AI136" i="59"/>
  <c r="AA136" i="59"/>
  <c r="T136" i="59"/>
  <c r="G136" i="59"/>
  <c r="AN135" i="59"/>
  <c r="AM135" i="59"/>
  <c r="AL135" i="59"/>
  <c r="AK135" i="59"/>
  <c r="AJ135" i="59"/>
  <c r="AI135" i="59"/>
  <c r="AA135" i="59"/>
  <c r="T135" i="59"/>
  <c r="G135" i="59"/>
  <c r="AA134" i="59"/>
  <c r="T134" i="59"/>
  <c r="G134" i="59"/>
  <c r="AN133" i="59"/>
  <c r="AM133" i="59"/>
  <c r="AL133" i="59"/>
  <c r="AK133" i="59"/>
  <c r="AJ133" i="59"/>
  <c r="AI133" i="59"/>
  <c r="AA133" i="59"/>
  <c r="T133" i="59"/>
  <c r="G133" i="59"/>
  <c r="AN132" i="59"/>
  <c r="AM132" i="59"/>
  <c r="AL132" i="59"/>
  <c r="AK132" i="59"/>
  <c r="AJ132" i="59"/>
  <c r="AI132" i="59"/>
  <c r="AA132" i="59"/>
  <c r="T132" i="59"/>
  <c r="G132" i="59"/>
  <c r="AN131" i="59"/>
  <c r="AM131" i="59"/>
  <c r="AL131" i="59"/>
  <c r="AK131" i="59"/>
  <c r="AJ131" i="59"/>
  <c r="AI131" i="59"/>
  <c r="AA131" i="59"/>
  <c r="T131" i="59"/>
  <c r="G131" i="59"/>
  <c r="AL130" i="59"/>
  <c r="AK130" i="59"/>
  <c r="AI130" i="59"/>
  <c r="AA130" i="59"/>
  <c r="T130" i="59"/>
  <c r="G130" i="59"/>
  <c r="AN129" i="59"/>
  <c r="AM129" i="59"/>
  <c r="AL129" i="59"/>
  <c r="AK129" i="59"/>
  <c r="AJ129" i="59"/>
  <c r="AI129" i="59"/>
  <c r="AA129" i="59"/>
  <c r="T129" i="59"/>
  <c r="G129" i="59"/>
  <c r="AN128" i="59"/>
  <c r="AM128" i="59"/>
  <c r="AL128" i="59"/>
  <c r="AK128" i="59"/>
  <c r="AJ128" i="59"/>
  <c r="AI128" i="59"/>
  <c r="AA128" i="59"/>
  <c r="T128" i="59"/>
  <c r="G128" i="59"/>
  <c r="AH124" i="59"/>
  <c r="AH184" i="59" s="1"/>
  <c r="AG124" i="59"/>
  <c r="AF124" i="59"/>
  <c r="AE124" i="59"/>
  <c r="AD124" i="59"/>
  <c r="AC124" i="59"/>
  <c r="AB124" i="59"/>
  <c r="Z124" i="59"/>
  <c r="Y124" i="59"/>
  <c r="X124" i="59"/>
  <c r="W124" i="59"/>
  <c r="V124" i="59"/>
  <c r="U124" i="59"/>
  <c r="S124" i="59"/>
  <c r="R124" i="59"/>
  <c r="Q124" i="59"/>
  <c r="Q184" i="59" s="1"/>
  <c r="P124" i="59"/>
  <c r="P184" i="59" s="1"/>
  <c r="O124" i="59"/>
  <c r="N124" i="59"/>
  <c r="M124" i="59"/>
  <c r="L124" i="59"/>
  <c r="L184" i="59" s="1"/>
  <c r="K124" i="59"/>
  <c r="K184" i="59" s="1"/>
  <c r="J124" i="59"/>
  <c r="J184" i="59" s="1"/>
  <c r="I124" i="59"/>
  <c r="I184" i="59" s="1"/>
  <c r="H124" i="59"/>
  <c r="F124" i="59"/>
  <c r="E124" i="59"/>
  <c r="D124" i="59"/>
  <c r="AH123" i="59"/>
  <c r="AG123" i="59"/>
  <c r="AF123" i="59"/>
  <c r="AE123" i="59"/>
  <c r="AD123" i="59"/>
  <c r="AC123" i="59"/>
  <c r="AB123" i="59"/>
  <c r="AB183" i="59" s="1"/>
  <c r="Z123" i="59"/>
  <c r="Z183" i="59" s="1"/>
  <c r="Y123" i="59"/>
  <c r="X123" i="59"/>
  <c r="W123" i="59"/>
  <c r="V123" i="59"/>
  <c r="U123" i="59"/>
  <c r="S123" i="59"/>
  <c r="S183" i="59" s="1"/>
  <c r="R123" i="59"/>
  <c r="Q123" i="59"/>
  <c r="P123" i="59"/>
  <c r="P183" i="59" s="1"/>
  <c r="O123" i="59"/>
  <c r="N123" i="59"/>
  <c r="N183" i="59" s="1"/>
  <c r="M123" i="59"/>
  <c r="L123" i="59"/>
  <c r="K123" i="59"/>
  <c r="J123" i="59"/>
  <c r="I123" i="59"/>
  <c r="H123" i="59"/>
  <c r="F123" i="59"/>
  <c r="E123" i="59"/>
  <c r="D123" i="59"/>
  <c r="D183" i="59" s="1"/>
  <c r="AH122" i="59"/>
  <c r="AG122" i="59"/>
  <c r="AF122" i="59"/>
  <c r="AF182" i="59" s="1"/>
  <c r="AE122" i="59"/>
  <c r="AE182" i="59" s="1"/>
  <c r="AD122" i="59"/>
  <c r="AC122" i="59"/>
  <c r="AC182" i="59" s="1"/>
  <c r="AB122" i="59"/>
  <c r="AB182" i="59" s="1"/>
  <c r="Z122" i="59"/>
  <c r="Y122" i="59"/>
  <c r="X122" i="59"/>
  <c r="W122" i="59"/>
  <c r="V122" i="59"/>
  <c r="U122" i="59"/>
  <c r="S122" i="59"/>
  <c r="R122" i="59"/>
  <c r="R182" i="59" s="1"/>
  <c r="Q122" i="59"/>
  <c r="P122" i="59"/>
  <c r="O122" i="59"/>
  <c r="N122" i="59"/>
  <c r="M122" i="59"/>
  <c r="L122" i="59"/>
  <c r="K122" i="59"/>
  <c r="J122" i="59"/>
  <c r="I122" i="59"/>
  <c r="H122" i="59"/>
  <c r="F122" i="59"/>
  <c r="E122" i="59"/>
  <c r="D122" i="59"/>
  <c r="AH121" i="59"/>
  <c r="AH181" i="59"/>
  <c r="AG121" i="59"/>
  <c r="AG181" i="59"/>
  <c r="AF121" i="59"/>
  <c r="AE121" i="59"/>
  <c r="AD121" i="59"/>
  <c r="AC121" i="59"/>
  <c r="AB121" i="59"/>
  <c r="AB181" i="59" s="1"/>
  <c r="Z121" i="59"/>
  <c r="Z181" i="59" s="1"/>
  <c r="Y121" i="59"/>
  <c r="X121" i="59"/>
  <c r="W121" i="59"/>
  <c r="V121" i="59"/>
  <c r="U121" i="59"/>
  <c r="S121" i="59"/>
  <c r="R121" i="59"/>
  <c r="Q121" i="59"/>
  <c r="P121" i="59"/>
  <c r="P181" i="59" s="1"/>
  <c r="O121" i="59"/>
  <c r="N121" i="59"/>
  <c r="M121" i="59"/>
  <c r="L121" i="59"/>
  <c r="L181" i="59" s="1"/>
  <c r="K121" i="59"/>
  <c r="K181" i="59" s="1"/>
  <c r="J121" i="59"/>
  <c r="I121" i="59"/>
  <c r="I181" i="59" s="1"/>
  <c r="H121" i="59"/>
  <c r="H181" i="59"/>
  <c r="F121" i="59"/>
  <c r="F181" i="59"/>
  <c r="E121" i="59"/>
  <c r="D121" i="59"/>
  <c r="D181" i="59" s="1"/>
  <c r="AH120" i="59"/>
  <c r="AG120" i="59"/>
  <c r="AG180" i="59" s="1"/>
  <c r="AF120" i="59"/>
  <c r="AE120" i="59"/>
  <c r="AE180" i="59" s="1"/>
  <c r="AD120" i="59"/>
  <c r="AC120" i="59"/>
  <c r="AB120" i="59"/>
  <c r="Z120" i="59"/>
  <c r="Y120" i="59"/>
  <c r="X120" i="59"/>
  <c r="W120" i="59"/>
  <c r="V120" i="59"/>
  <c r="U120" i="59"/>
  <c r="S120" i="59"/>
  <c r="R120" i="59"/>
  <c r="R180" i="59" s="1"/>
  <c r="Q120" i="59"/>
  <c r="Q180" i="59" s="1"/>
  <c r="P120" i="59"/>
  <c r="P180" i="59" s="1"/>
  <c r="O120" i="59"/>
  <c r="N120" i="59"/>
  <c r="N180" i="59" s="1"/>
  <c r="M120" i="59"/>
  <c r="L120" i="59"/>
  <c r="L180" i="59" s="1"/>
  <c r="K120" i="59"/>
  <c r="J120" i="59"/>
  <c r="J180" i="59" s="1"/>
  <c r="I120" i="59"/>
  <c r="I180" i="59" s="1"/>
  <c r="H120" i="59"/>
  <c r="H180" i="59" s="1"/>
  <c r="F120" i="59"/>
  <c r="E120" i="59"/>
  <c r="E180" i="59" s="1"/>
  <c r="D120" i="59"/>
  <c r="D180" i="59" s="1"/>
  <c r="AH119" i="59"/>
  <c r="AG119" i="59"/>
  <c r="AG179" i="59"/>
  <c r="AF119" i="59"/>
  <c r="AE119" i="59"/>
  <c r="AE179" i="59" s="1"/>
  <c r="AD119" i="59"/>
  <c r="AC119" i="59"/>
  <c r="AB119" i="59"/>
  <c r="AB179" i="59"/>
  <c r="Z119" i="59"/>
  <c r="Z179" i="59"/>
  <c r="Y119" i="59"/>
  <c r="X119" i="59"/>
  <c r="W119" i="59"/>
  <c r="V119" i="59"/>
  <c r="V179" i="59" s="1"/>
  <c r="U119" i="59"/>
  <c r="S119" i="59"/>
  <c r="R119" i="59"/>
  <c r="Q119" i="59"/>
  <c r="P119" i="59"/>
  <c r="P179" i="59" s="1"/>
  <c r="O119" i="59"/>
  <c r="N119" i="59"/>
  <c r="N179" i="59" s="1"/>
  <c r="M119" i="59"/>
  <c r="M179" i="59" s="1"/>
  <c r="L119" i="59"/>
  <c r="K119" i="59"/>
  <c r="J119" i="59"/>
  <c r="I119" i="59"/>
  <c r="H119" i="59"/>
  <c r="H179" i="59"/>
  <c r="F119" i="59"/>
  <c r="E119" i="59"/>
  <c r="D119" i="59"/>
  <c r="AH118" i="59"/>
  <c r="AG118" i="59"/>
  <c r="AG178" i="59"/>
  <c r="AF118" i="59"/>
  <c r="AF178" i="59" s="1"/>
  <c r="AE118" i="59"/>
  <c r="AE178" i="59"/>
  <c r="AD118" i="59"/>
  <c r="AD178" i="59" s="1"/>
  <c r="AC118" i="59"/>
  <c r="AB118" i="59"/>
  <c r="AB178" i="59" s="1"/>
  <c r="Z118" i="59"/>
  <c r="Z178" i="59" s="1"/>
  <c r="Y118" i="59"/>
  <c r="X118" i="59"/>
  <c r="W118" i="59"/>
  <c r="V118" i="59"/>
  <c r="V178" i="59" s="1"/>
  <c r="U118" i="59"/>
  <c r="S118" i="59"/>
  <c r="R118" i="59"/>
  <c r="Q118" i="59"/>
  <c r="P118" i="59"/>
  <c r="P178" i="59" s="1"/>
  <c r="O118" i="59"/>
  <c r="N118" i="59"/>
  <c r="M118" i="59"/>
  <c r="L118" i="59"/>
  <c r="K118" i="59"/>
  <c r="J118" i="59"/>
  <c r="J178" i="59" s="1"/>
  <c r="I118" i="59"/>
  <c r="I178" i="59" s="1"/>
  <c r="H118" i="59"/>
  <c r="H178" i="59" s="1"/>
  <c r="F118" i="59"/>
  <c r="F178" i="59" s="1"/>
  <c r="E118" i="59"/>
  <c r="E178" i="59" s="1"/>
  <c r="D118" i="59"/>
  <c r="AH117" i="59"/>
  <c r="AH177" i="59"/>
  <c r="AG117" i="59"/>
  <c r="AG177" i="59" s="1"/>
  <c r="AF117" i="59"/>
  <c r="AF177" i="59" s="1"/>
  <c r="AE117" i="59"/>
  <c r="AE177" i="59" s="1"/>
  <c r="AD117" i="59"/>
  <c r="AC117" i="59"/>
  <c r="AB117" i="59"/>
  <c r="AB177" i="59"/>
  <c r="Z117" i="59"/>
  <c r="Z177" i="59"/>
  <c r="Y117" i="59"/>
  <c r="X117" i="59"/>
  <c r="W117" i="59"/>
  <c r="V117" i="59"/>
  <c r="U117" i="59"/>
  <c r="S117" i="59"/>
  <c r="R117" i="59"/>
  <c r="Q117" i="59"/>
  <c r="P117" i="59"/>
  <c r="P177" i="59"/>
  <c r="O117" i="59"/>
  <c r="N117" i="59"/>
  <c r="M117" i="59"/>
  <c r="M177" i="59" s="1"/>
  <c r="L117" i="59"/>
  <c r="K117" i="59"/>
  <c r="K177" i="59" s="1"/>
  <c r="J117" i="59"/>
  <c r="I117" i="59"/>
  <c r="H117" i="59"/>
  <c r="H177" i="59" s="1"/>
  <c r="F117" i="59"/>
  <c r="F177" i="59" s="1"/>
  <c r="E117" i="59"/>
  <c r="D117" i="59"/>
  <c r="AH116" i="59"/>
  <c r="AH179" i="59" s="1"/>
  <c r="AG116" i="59"/>
  <c r="AF116" i="59"/>
  <c r="AF183" i="59"/>
  <c r="AE116" i="59"/>
  <c r="AD116" i="59"/>
  <c r="AD177" i="59" s="1"/>
  <c r="AC116" i="59"/>
  <c r="AC184" i="59"/>
  <c r="AB116" i="59"/>
  <c r="AB180" i="59" s="1"/>
  <c r="Z116" i="59"/>
  <c r="Y116" i="59"/>
  <c r="X116" i="59"/>
  <c r="W116" i="59"/>
  <c r="V116" i="59"/>
  <c r="U116" i="59"/>
  <c r="S116" i="59"/>
  <c r="R116" i="59"/>
  <c r="Q116" i="59"/>
  <c r="P116" i="59"/>
  <c r="O116" i="59"/>
  <c r="O179" i="59" s="1"/>
  <c r="N116" i="59"/>
  <c r="M116" i="59"/>
  <c r="L116" i="59"/>
  <c r="L183" i="59"/>
  <c r="K116" i="59"/>
  <c r="J116" i="59"/>
  <c r="I116" i="59"/>
  <c r="H116" i="59"/>
  <c r="F116" i="59"/>
  <c r="E116" i="59"/>
  <c r="E179" i="59" s="1"/>
  <c r="D116" i="59"/>
  <c r="AH115" i="59"/>
  <c r="AG115" i="59"/>
  <c r="AF115" i="59"/>
  <c r="AF175" i="59" s="1"/>
  <c r="AE115" i="59"/>
  <c r="AE175" i="59" s="1"/>
  <c r="AD115" i="59"/>
  <c r="AD175" i="59" s="1"/>
  <c r="AC115" i="59"/>
  <c r="AB115" i="59"/>
  <c r="AB175" i="59"/>
  <c r="Z115" i="59"/>
  <c r="Y115" i="59"/>
  <c r="X115" i="59"/>
  <c r="W115" i="59"/>
  <c r="V115" i="59"/>
  <c r="U115" i="59"/>
  <c r="S115" i="59"/>
  <c r="S175" i="59" s="1"/>
  <c r="R115" i="59"/>
  <c r="Q115" i="59"/>
  <c r="P115" i="59"/>
  <c r="P175" i="59" s="1"/>
  <c r="O115" i="59"/>
  <c r="N115" i="59"/>
  <c r="M115" i="59"/>
  <c r="L115" i="59"/>
  <c r="L175" i="59" s="1"/>
  <c r="K115" i="59"/>
  <c r="J115" i="59"/>
  <c r="I115" i="59"/>
  <c r="I175" i="59"/>
  <c r="H115" i="59"/>
  <c r="H175" i="59" s="1"/>
  <c r="F115" i="59"/>
  <c r="F175" i="59" s="1"/>
  <c r="E115" i="59"/>
  <c r="E175" i="59"/>
  <c r="D115" i="59"/>
  <c r="AH114" i="59"/>
  <c r="AG114" i="59"/>
  <c r="AF114" i="59"/>
  <c r="AE114" i="59"/>
  <c r="AD114" i="59"/>
  <c r="AC114" i="59"/>
  <c r="AB114" i="59"/>
  <c r="AB174" i="59" s="1"/>
  <c r="Z114" i="59"/>
  <c r="Z174" i="59" s="1"/>
  <c r="Y114" i="59"/>
  <c r="X114" i="59"/>
  <c r="W114" i="59"/>
  <c r="V114" i="59"/>
  <c r="U114" i="59"/>
  <c r="S114" i="59"/>
  <c r="R114" i="59"/>
  <c r="R174" i="59" s="1"/>
  <c r="Q114" i="59"/>
  <c r="Q174" i="59" s="1"/>
  <c r="P114" i="59"/>
  <c r="O114" i="59"/>
  <c r="N114" i="59"/>
  <c r="N174" i="59"/>
  <c r="M114" i="59"/>
  <c r="M174" i="59" s="1"/>
  <c r="L114" i="59"/>
  <c r="K114" i="59"/>
  <c r="K174" i="59" s="1"/>
  <c r="J114" i="59"/>
  <c r="J174" i="59" s="1"/>
  <c r="I114" i="59"/>
  <c r="H114" i="59"/>
  <c r="F114" i="59"/>
  <c r="E114" i="59"/>
  <c r="E174" i="59" s="1"/>
  <c r="D114" i="59"/>
  <c r="AH113" i="59"/>
  <c r="AH173" i="59" s="1"/>
  <c r="AG113" i="59"/>
  <c r="AF113" i="59"/>
  <c r="AE113" i="59"/>
  <c r="AD113" i="59"/>
  <c r="AC113" i="59"/>
  <c r="AB113" i="59"/>
  <c r="Z113" i="59"/>
  <c r="Y113" i="59"/>
  <c r="X113" i="59"/>
  <c r="W113" i="59"/>
  <c r="V113" i="59"/>
  <c r="V173" i="59"/>
  <c r="U113" i="59"/>
  <c r="S113" i="59"/>
  <c r="S173" i="59" s="1"/>
  <c r="R113" i="59"/>
  <c r="Q113" i="59"/>
  <c r="Q173" i="59" s="1"/>
  <c r="P113" i="59"/>
  <c r="P143" i="59" s="1"/>
  <c r="O113" i="59"/>
  <c r="O173" i="59"/>
  <c r="N113" i="59"/>
  <c r="M113" i="59"/>
  <c r="M143" i="59" s="1"/>
  <c r="L113" i="59"/>
  <c r="K113" i="59"/>
  <c r="J113" i="59"/>
  <c r="J173" i="59" s="1"/>
  <c r="I113" i="59"/>
  <c r="H113" i="59"/>
  <c r="F113" i="59"/>
  <c r="E113" i="59"/>
  <c r="D113" i="59"/>
  <c r="AH112" i="59"/>
  <c r="AG112" i="59"/>
  <c r="AF112" i="59"/>
  <c r="AF172" i="59" s="1"/>
  <c r="AE112" i="59"/>
  <c r="AD112" i="59"/>
  <c r="AC112" i="59"/>
  <c r="AB112" i="59"/>
  <c r="AB172" i="59" s="1"/>
  <c r="Z112" i="59"/>
  <c r="Z172" i="59" s="1"/>
  <c r="Y112" i="59"/>
  <c r="X112" i="59"/>
  <c r="W112" i="59"/>
  <c r="V112" i="59"/>
  <c r="U112" i="59"/>
  <c r="S112" i="59"/>
  <c r="R112" i="59"/>
  <c r="Q112" i="59"/>
  <c r="P112" i="59"/>
  <c r="O112" i="59"/>
  <c r="N112" i="59"/>
  <c r="N172" i="59" s="1"/>
  <c r="M112" i="59"/>
  <c r="L112" i="59"/>
  <c r="K112" i="59"/>
  <c r="J112" i="59"/>
  <c r="I112" i="59"/>
  <c r="H112" i="59"/>
  <c r="H172" i="59" s="1"/>
  <c r="F112" i="59"/>
  <c r="E112" i="59"/>
  <c r="D112" i="59"/>
  <c r="AH111" i="59"/>
  <c r="AH171" i="59" s="1"/>
  <c r="AG111" i="59"/>
  <c r="AF111" i="59"/>
  <c r="AF171" i="59" s="1"/>
  <c r="AE111" i="59"/>
  <c r="AE171" i="59" s="1"/>
  <c r="AD111" i="59"/>
  <c r="AC111" i="59"/>
  <c r="AB111" i="59"/>
  <c r="Z111" i="59"/>
  <c r="Y111" i="59"/>
  <c r="X111" i="59"/>
  <c r="W111" i="59"/>
  <c r="V111" i="59"/>
  <c r="S111" i="59"/>
  <c r="R111" i="59"/>
  <c r="R171" i="59" s="1"/>
  <c r="Q111" i="59"/>
  <c r="P111" i="59"/>
  <c r="O111" i="59"/>
  <c r="N111" i="59"/>
  <c r="M111" i="59"/>
  <c r="L111" i="59"/>
  <c r="K111" i="59"/>
  <c r="J111" i="59"/>
  <c r="I111" i="59"/>
  <c r="H111" i="59"/>
  <c r="H171" i="59" s="1"/>
  <c r="F111" i="59"/>
  <c r="E111" i="59"/>
  <c r="D111" i="59"/>
  <c r="AH110" i="59"/>
  <c r="AG110" i="59"/>
  <c r="AG170" i="59" s="1"/>
  <c r="AF110" i="59"/>
  <c r="AE110" i="59"/>
  <c r="AD110" i="59"/>
  <c r="AC110" i="59"/>
  <c r="AB110" i="59"/>
  <c r="AB170" i="59" s="1"/>
  <c r="Z110" i="59"/>
  <c r="Y110" i="59"/>
  <c r="X110" i="59"/>
  <c r="W110" i="59"/>
  <c r="V110" i="59"/>
  <c r="U110" i="59"/>
  <c r="S110" i="59"/>
  <c r="R110" i="59"/>
  <c r="R170" i="59" s="1"/>
  <c r="Q110" i="59"/>
  <c r="P110" i="59"/>
  <c r="O110" i="59"/>
  <c r="O170" i="59" s="1"/>
  <c r="N110" i="59"/>
  <c r="M110" i="59"/>
  <c r="M170" i="59" s="1"/>
  <c r="L110" i="59"/>
  <c r="L170" i="59" s="1"/>
  <c r="K110" i="59"/>
  <c r="J110" i="59"/>
  <c r="J170" i="59" s="1"/>
  <c r="I110" i="59"/>
  <c r="H110" i="59"/>
  <c r="H170" i="59" s="1"/>
  <c r="F110" i="59"/>
  <c r="E110" i="59"/>
  <c r="E170" i="59" s="1"/>
  <c r="D110" i="59"/>
  <c r="AH109" i="59"/>
  <c r="AG109" i="59"/>
  <c r="AF109" i="59"/>
  <c r="AF169" i="59" s="1"/>
  <c r="AE109" i="59"/>
  <c r="AD109" i="59"/>
  <c r="AC109" i="59"/>
  <c r="AB109" i="59"/>
  <c r="AB169" i="59"/>
  <c r="Z109" i="59"/>
  <c r="Y109" i="59"/>
  <c r="X109" i="59"/>
  <c r="W109" i="59"/>
  <c r="V109" i="59"/>
  <c r="V169" i="59" s="1"/>
  <c r="U109" i="59"/>
  <c r="S109" i="59"/>
  <c r="R109" i="59"/>
  <c r="R169" i="59" s="1"/>
  <c r="Q109" i="59"/>
  <c r="P109" i="59"/>
  <c r="P169" i="59" s="1"/>
  <c r="O109" i="59"/>
  <c r="N109" i="59"/>
  <c r="N169" i="59"/>
  <c r="M109" i="59"/>
  <c r="L109" i="59"/>
  <c r="L169" i="59" s="1"/>
  <c r="K109" i="59"/>
  <c r="K169" i="59" s="1"/>
  <c r="J109" i="59"/>
  <c r="I109" i="59"/>
  <c r="H109" i="59"/>
  <c r="F109" i="59"/>
  <c r="E109" i="59"/>
  <c r="D109" i="59"/>
  <c r="AH108" i="59"/>
  <c r="AG108" i="59"/>
  <c r="AF108" i="59"/>
  <c r="AF168" i="59" s="1"/>
  <c r="AE108" i="59"/>
  <c r="AD108" i="59"/>
  <c r="AC108" i="59"/>
  <c r="AB108" i="59"/>
  <c r="AB168" i="59" s="1"/>
  <c r="Z108" i="59"/>
  <c r="Z168" i="59" s="1"/>
  <c r="Y108" i="59"/>
  <c r="X108" i="59"/>
  <c r="W108" i="59"/>
  <c r="V108" i="59"/>
  <c r="V168" i="59" s="1"/>
  <c r="S108" i="59"/>
  <c r="S168" i="59"/>
  <c r="R108" i="59"/>
  <c r="R168" i="59" s="1"/>
  <c r="Q108" i="59"/>
  <c r="Q168" i="59" s="1"/>
  <c r="P108" i="59"/>
  <c r="O108" i="59"/>
  <c r="N108" i="59"/>
  <c r="M108" i="59"/>
  <c r="L108" i="59"/>
  <c r="L168" i="59" s="1"/>
  <c r="K108" i="59"/>
  <c r="J108" i="59"/>
  <c r="I108" i="59"/>
  <c r="H108" i="59"/>
  <c r="H168" i="59" s="1"/>
  <c r="F108" i="59"/>
  <c r="E108" i="59"/>
  <c r="D108" i="59"/>
  <c r="AH107" i="59"/>
  <c r="AG107" i="59"/>
  <c r="AF107" i="59"/>
  <c r="AE107" i="59"/>
  <c r="AD107" i="59"/>
  <c r="AC107" i="59"/>
  <c r="AC172" i="59" s="1"/>
  <c r="AB107" i="59"/>
  <c r="Z107" i="59"/>
  <c r="Y107" i="59"/>
  <c r="X107" i="59"/>
  <c r="W107" i="59"/>
  <c r="V107" i="59"/>
  <c r="S107" i="59"/>
  <c r="R107" i="59"/>
  <c r="Q107" i="59"/>
  <c r="Q169" i="59" s="1"/>
  <c r="P107" i="59"/>
  <c r="P174" i="59" s="1"/>
  <c r="O107" i="59"/>
  <c r="O171" i="59" s="1"/>
  <c r="N107" i="59"/>
  <c r="N168" i="59" s="1"/>
  <c r="M107" i="59"/>
  <c r="M171" i="59"/>
  <c r="L107" i="59"/>
  <c r="K107" i="59"/>
  <c r="J107" i="59"/>
  <c r="I107" i="59"/>
  <c r="H107" i="59"/>
  <c r="F107" i="59"/>
  <c r="F174" i="59" s="1"/>
  <c r="E107" i="59"/>
  <c r="E171" i="59"/>
  <c r="D107" i="59"/>
  <c r="AH106" i="59"/>
  <c r="AG106" i="59"/>
  <c r="AF106" i="59"/>
  <c r="AE106" i="59"/>
  <c r="AD106" i="59"/>
  <c r="AC106" i="59"/>
  <c r="AB106" i="59"/>
  <c r="Z106" i="59"/>
  <c r="Y106" i="59"/>
  <c r="X106" i="59"/>
  <c r="W106" i="59"/>
  <c r="V106" i="59"/>
  <c r="U106" i="59"/>
  <c r="S106" i="59"/>
  <c r="R106" i="59"/>
  <c r="Q106" i="59"/>
  <c r="P106" i="59"/>
  <c r="O106" i="59"/>
  <c r="N106" i="59"/>
  <c r="M106" i="59"/>
  <c r="L106" i="59"/>
  <c r="K106" i="59"/>
  <c r="J106" i="59"/>
  <c r="I106" i="59"/>
  <c r="H106" i="59"/>
  <c r="F106" i="59"/>
  <c r="E106" i="59"/>
  <c r="D106" i="59"/>
  <c r="AH105" i="59"/>
  <c r="AG105" i="59"/>
  <c r="AF105" i="59"/>
  <c r="AE105" i="59"/>
  <c r="AD105" i="59"/>
  <c r="AC105" i="59"/>
  <c r="AB105" i="59"/>
  <c r="Z105" i="59"/>
  <c r="Y105" i="59"/>
  <c r="X105" i="59"/>
  <c r="W105" i="59"/>
  <c r="V105" i="59"/>
  <c r="U105" i="59"/>
  <c r="S105" i="59"/>
  <c r="R105" i="59"/>
  <c r="Q105" i="59"/>
  <c r="P105" i="59"/>
  <c r="O105" i="59"/>
  <c r="N105" i="59"/>
  <c r="M105" i="59"/>
  <c r="L105" i="59"/>
  <c r="K105" i="59"/>
  <c r="J105" i="59"/>
  <c r="I105" i="59"/>
  <c r="H105" i="59"/>
  <c r="F105" i="59"/>
  <c r="E105" i="59"/>
  <c r="D105" i="59"/>
  <c r="AH104" i="59"/>
  <c r="AG104" i="59"/>
  <c r="AF104" i="59"/>
  <c r="AE104" i="59"/>
  <c r="AD104" i="59"/>
  <c r="AD164" i="59" s="1"/>
  <c r="AC104" i="59"/>
  <c r="AB104" i="59"/>
  <c r="Z104" i="59"/>
  <c r="Y104" i="59"/>
  <c r="X104" i="59"/>
  <c r="W104" i="59"/>
  <c r="W164" i="59" s="1"/>
  <c r="V104" i="59"/>
  <c r="U104" i="59"/>
  <c r="U164" i="59" s="1"/>
  <c r="S104" i="59"/>
  <c r="S164" i="59" s="1"/>
  <c r="R104" i="59"/>
  <c r="R164" i="59" s="1"/>
  <c r="Q104" i="59"/>
  <c r="Q164" i="59" s="1"/>
  <c r="P104" i="59"/>
  <c r="O104" i="59"/>
  <c r="N104" i="59"/>
  <c r="N164" i="59" s="1"/>
  <c r="M104" i="59"/>
  <c r="M164" i="59" s="1"/>
  <c r="L104" i="59"/>
  <c r="L164" i="59" s="1"/>
  <c r="K104" i="59"/>
  <c r="J104" i="59"/>
  <c r="I104" i="59"/>
  <c r="H104" i="59"/>
  <c r="F104" i="59"/>
  <c r="E104" i="59"/>
  <c r="D104" i="59"/>
  <c r="AH103" i="59"/>
  <c r="AG103" i="59"/>
  <c r="AF103" i="59"/>
  <c r="AE103" i="59"/>
  <c r="AD103" i="59"/>
  <c r="AC103" i="59"/>
  <c r="AB103" i="59"/>
  <c r="Z103" i="59"/>
  <c r="Z163" i="59" s="1"/>
  <c r="Y103" i="59"/>
  <c r="X103" i="59"/>
  <c r="W103" i="59"/>
  <c r="W163" i="59" s="1"/>
  <c r="V103" i="59"/>
  <c r="U103" i="59"/>
  <c r="S103" i="59"/>
  <c r="S163" i="59" s="1"/>
  <c r="R103" i="59"/>
  <c r="Q103" i="59"/>
  <c r="Q163" i="59" s="1"/>
  <c r="P103" i="59"/>
  <c r="P163" i="59" s="1"/>
  <c r="O103" i="59"/>
  <c r="O163" i="59" s="1"/>
  <c r="N103" i="59"/>
  <c r="M103" i="59"/>
  <c r="M163" i="59" s="1"/>
  <c r="L103" i="59"/>
  <c r="K103" i="59"/>
  <c r="J103" i="59"/>
  <c r="I103" i="59"/>
  <c r="H103" i="59"/>
  <c r="F103" i="59"/>
  <c r="E103" i="59"/>
  <c r="D103" i="59"/>
  <c r="AH102" i="59"/>
  <c r="AG102" i="59"/>
  <c r="AG162" i="59" s="1"/>
  <c r="AF102" i="59"/>
  <c r="AF162" i="59" s="1"/>
  <c r="AE102" i="59"/>
  <c r="AE162" i="59" s="1"/>
  <c r="AD102" i="59"/>
  <c r="AD162" i="59" s="1"/>
  <c r="AC102" i="59"/>
  <c r="AC162" i="59" s="1"/>
  <c r="AB102" i="59"/>
  <c r="AB162" i="59" s="1"/>
  <c r="Z102" i="59"/>
  <c r="Z162" i="59" s="1"/>
  <c r="Y102" i="59"/>
  <c r="Y162" i="59" s="1"/>
  <c r="X102" i="59"/>
  <c r="X162" i="59" s="1"/>
  <c r="W102" i="59"/>
  <c r="W162" i="59" s="1"/>
  <c r="V102" i="59"/>
  <c r="V162" i="59" s="1"/>
  <c r="U102" i="59"/>
  <c r="S102" i="59"/>
  <c r="S162" i="59" s="1"/>
  <c r="R102" i="59"/>
  <c r="R162" i="59" s="1"/>
  <c r="Q102" i="59"/>
  <c r="P102" i="59"/>
  <c r="O102" i="59"/>
  <c r="N102" i="59"/>
  <c r="M102" i="59"/>
  <c r="L102" i="59"/>
  <c r="L162" i="59" s="1"/>
  <c r="K102" i="59"/>
  <c r="K162" i="59" s="1"/>
  <c r="J102" i="59"/>
  <c r="I102" i="59"/>
  <c r="H102" i="59"/>
  <c r="H162" i="59" s="1"/>
  <c r="F102" i="59"/>
  <c r="F162" i="59" s="1"/>
  <c r="E102" i="59"/>
  <c r="E162" i="59" s="1"/>
  <c r="D102" i="59"/>
  <c r="AH101" i="59"/>
  <c r="AG101" i="59"/>
  <c r="AG161" i="59" s="1"/>
  <c r="AF101" i="59"/>
  <c r="AF161" i="59" s="1"/>
  <c r="AE101" i="59"/>
  <c r="AE161" i="59" s="1"/>
  <c r="AD101" i="59"/>
  <c r="AD161" i="59" s="1"/>
  <c r="AC101" i="59"/>
  <c r="AC161" i="59" s="1"/>
  <c r="AB101" i="59"/>
  <c r="Z101" i="59"/>
  <c r="Y101" i="59"/>
  <c r="X101" i="59"/>
  <c r="W101" i="59"/>
  <c r="W161" i="59" s="1"/>
  <c r="V101" i="59"/>
  <c r="U101" i="59"/>
  <c r="S101" i="59"/>
  <c r="R101" i="59"/>
  <c r="R161" i="59" s="1"/>
  <c r="Q101" i="59"/>
  <c r="Q161" i="59" s="1"/>
  <c r="P101" i="59"/>
  <c r="P161" i="59" s="1"/>
  <c r="O101" i="59"/>
  <c r="O161" i="59" s="1"/>
  <c r="N101" i="59"/>
  <c r="N161" i="59" s="1"/>
  <c r="M101" i="59"/>
  <c r="M161" i="59" s="1"/>
  <c r="L101" i="59"/>
  <c r="L161" i="59" s="1"/>
  <c r="K101" i="59"/>
  <c r="J101" i="59"/>
  <c r="J161" i="59" s="1"/>
  <c r="I101" i="59"/>
  <c r="I161" i="59" s="1"/>
  <c r="H101" i="59"/>
  <c r="H161" i="59" s="1"/>
  <c r="F101" i="59"/>
  <c r="F161" i="59" s="1"/>
  <c r="E101" i="59"/>
  <c r="D101" i="59"/>
  <c r="AH100" i="59"/>
  <c r="AG100" i="59"/>
  <c r="AF100" i="59"/>
  <c r="AE100" i="59"/>
  <c r="AD100" i="59"/>
  <c r="AC100" i="59"/>
  <c r="AB100" i="59"/>
  <c r="Z100" i="59"/>
  <c r="Y100" i="59"/>
  <c r="X100" i="59"/>
  <c r="W100" i="59"/>
  <c r="V100" i="59"/>
  <c r="U100" i="59"/>
  <c r="U160" i="59" s="1"/>
  <c r="S100" i="59"/>
  <c r="S160" i="59"/>
  <c r="R100" i="59"/>
  <c r="R160" i="59" s="1"/>
  <c r="Q100" i="59"/>
  <c r="Q160" i="59" s="1"/>
  <c r="P100" i="59"/>
  <c r="O100" i="59"/>
  <c r="N100" i="59"/>
  <c r="M100" i="59"/>
  <c r="L100" i="59"/>
  <c r="K100" i="59"/>
  <c r="J100" i="59"/>
  <c r="I100" i="59"/>
  <c r="H100" i="59"/>
  <c r="F100" i="59"/>
  <c r="E100" i="59"/>
  <c r="E160" i="59" s="1"/>
  <c r="D100" i="59"/>
  <c r="AH99" i="59"/>
  <c r="AG99" i="59"/>
  <c r="AG160" i="59" s="1"/>
  <c r="AF99" i="59"/>
  <c r="AE99" i="59"/>
  <c r="AD99" i="59"/>
  <c r="AD160" i="59"/>
  <c r="AC99" i="59"/>
  <c r="AC164" i="59" s="1"/>
  <c r="AB99" i="59"/>
  <c r="Z99" i="59"/>
  <c r="Y99" i="59"/>
  <c r="X99" i="59"/>
  <c r="X161" i="59" s="1"/>
  <c r="W99" i="59"/>
  <c r="V99" i="59"/>
  <c r="U99" i="59"/>
  <c r="U163" i="59" s="1"/>
  <c r="S99" i="59"/>
  <c r="R99" i="59"/>
  <c r="Q99" i="59"/>
  <c r="P99" i="59"/>
  <c r="O99" i="59"/>
  <c r="N99" i="59"/>
  <c r="M99" i="59"/>
  <c r="L99" i="59"/>
  <c r="L160" i="59"/>
  <c r="K99" i="59"/>
  <c r="K160" i="59" s="1"/>
  <c r="J99" i="59"/>
  <c r="J164" i="59" s="1"/>
  <c r="I99" i="59"/>
  <c r="I160" i="59" s="1"/>
  <c r="H99" i="59"/>
  <c r="F99" i="59"/>
  <c r="E99" i="59"/>
  <c r="D99" i="59"/>
  <c r="AH93" i="59"/>
  <c r="AG93" i="59"/>
  <c r="AF93" i="59"/>
  <c r="AE93" i="59"/>
  <c r="AE94" i="59" s="1"/>
  <c r="AD93" i="59"/>
  <c r="AC93" i="59"/>
  <c r="AB93" i="59"/>
  <c r="Z93" i="59"/>
  <c r="Y93" i="59"/>
  <c r="X93" i="59"/>
  <c r="W93" i="59"/>
  <c r="V93" i="59"/>
  <c r="U93" i="59"/>
  <c r="S93" i="59"/>
  <c r="R93" i="59"/>
  <c r="Q93" i="59"/>
  <c r="P93" i="59"/>
  <c r="AK74" i="59" s="1"/>
  <c r="AK106" i="59" s="1"/>
  <c r="AK105" i="59" s="1"/>
  <c r="AK42" i="59" s="1"/>
  <c r="O93" i="59"/>
  <c r="N93" i="59"/>
  <c r="M93" i="59"/>
  <c r="L93" i="59"/>
  <c r="K93" i="59"/>
  <c r="J93" i="59"/>
  <c r="I93" i="59"/>
  <c r="H93" i="59"/>
  <c r="F93" i="59"/>
  <c r="E93" i="59"/>
  <c r="D93" i="59"/>
  <c r="AH92" i="59"/>
  <c r="AG92" i="59"/>
  <c r="AF92" i="59"/>
  <c r="AE92" i="59"/>
  <c r="AD92" i="59"/>
  <c r="AC92" i="59"/>
  <c r="AB92" i="59"/>
  <c r="Z92" i="59"/>
  <c r="Y92" i="59"/>
  <c r="X92" i="59"/>
  <c r="W92" i="59"/>
  <c r="V92" i="59"/>
  <c r="U92" i="59"/>
  <c r="S92" i="59"/>
  <c r="R92" i="59"/>
  <c r="Q92" i="59"/>
  <c r="P92" i="59"/>
  <c r="AI92" i="59" s="1"/>
  <c r="AI124" i="59" s="1"/>
  <c r="O92" i="59"/>
  <c r="N92" i="59"/>
  <c r="M92" i="59"/>
  <c r="L92" i="59"/>
  <c r="K92" i="59"/>
  <c r="J92" i="59"/>
  <c r="I92" i="59"/>
  <c r="H92" i="59"/>
  <c r="F92" i="59"/>
  <c r="E92" i="59"/>
  <c r="D92" i="59"/>
  <c r="AN91" i="59"/>
  <c r="AN28" i="59"/>
  <c r="AM91" i="59"/>
  <c r="AL91" i="59"/>
  <c r="AL28" i="59"/>
  <c r="AK91" i="59"/>
  <c r="AK28" i="59"/>
  <c r="AJ91" i="59"/>
  <c r="AJ28" i="59"/>
  <c r="AI91" i="59"/>
  <c r="AI28" i="59"/>
  <c r="AH91" i="59"/>
  <c r="AG91" i="59"/>
  <c r="AF91" i="59"/>
  <c r="AE91" i="59"/>
  <c r="AD91" i="59"/>
  <c r="AC91" i="59"/>
  <c r="AB91" i="59"/>
  <c r="AA91" i="59"/>
  <c r="Z91" i="59"/>
  <c r="Y91" i="59"/>
  <c r="X91" i="59"/>
  <c r="W91" i="59"/>
  <c r="V91" i="59"/>
  <c r="U91" i="59"/>
  <c r="T91" i="59"/>
  <c r="T28" i="59" s="1"/>
  <c r="S91" i="59"/>
  <c r="R91" i="59"/>
  <c r="Q91" i="59"/>
  <c r="P91" i="59"/>
  <c r="O91" i="59"/>
  <c r="N91" i="59"/>
  <c r="M91" i="59"/>
  <c r="L91" i="59"/>
  <c r="K91" i="59"/>
  <c r="J91" i="59"/>
  <c r="I91" i="59"/>
  <c r="H91" i="59"/>
  <c r="G91" i="59"/>
  <c r="F91" i="59"/>
  <c r="E91" i="59"/>
  <c r="D91" i="59"/>
  <c r="AH90" i="59"/>
  <c r="AG90" i="59"/>
  <c r="AF90" i="59"/>
  <c r="AE90" i="59"/>
  <c r="AD90" i="59"/>
  <c r="AC90" i="59"/>
  <c r="AB90" i="59"/>
  <c r="Z90" i="59"/>
  <c r="Y90" i="59"/>
  <c r="X90" i="59"/>
  <c r="W90" i="59"/>
  <c r="V90" i="59"/>
  <c r="U90" i="59"/>
  <c r="S90" i="59"/>
  <c r="R90" i="59"/>
  <c r="Q90" i="59"/>
  <c r="AM90" i="59" s="1"/>
  <c r="P90" i="59"/>
  <c r="AI90" i="59" s="1"/>
  <c r="O90" i="59"/>
  <c r="N90" i="59"/>
  <c r="M90" i="59"/>
  <c r="L90" i="59"/>
  <c r="K90" i="59"/>
  <c r="J90" i="59"/>
  <c r="I90" i="59"/>
  <c r="H90" i="59"/>
  <c r="F90" i="59"/>
  <c r="E90" i="59"/>
  <c r="D90" i="59"/>
  <c r="AH89" i="59"/>
  <c r="AG89" i="59"/>
  <c r="AF89" i="59"/>
  <c r="AE89" i="59"/>
  <c r="AD89" i="59"/>
  <c r="AC89" i="59"/>
  <c r="AB89" i="59"/>
  <c r="Z89" i="59"/>
  <c r="Y89" i="59"/>
  <c r="X89" i="59"/>
  <c r="W89" i="59"/>
  <c r="V89" i="59"/>
  <c r="U89" i="59"/>
  <c r="S89" i="59"/>
  <c r="R89" i="59"/>
  <c r="Q89" i="59"/>
  <c r="P89" i="59"/>
  <c r="O89" i="59"/>
  <c r="N89" i="59"/>
  <c r="M89" i="59"/>
  <c r="L89" i="59"/>
  <c r="K89" i="59"/>
  <c r="J89" i="59"/>
  <c r="I89" i="59"/>
  <c r="H89" i="59"/>
  <c r="F89" i="59"/>
  <c r="E89" i="59"/>
  <c r="D89" i="59"/>
  <c r="AH88" i="59"/>
  <c r="AG88" i="59"/>
  <c r="AF88" i="59"/>
  <c r="AE88" i="59"/>
  <c r="AD88" i="59"/>
  <c r="AC88" i="59"/>
  <c r="AB88" i="59"/>
  <c r="Z88" i="59"/>
  <c r="Y88" i="59"/>
  <c r="X88" i="59"/>
  <c r="W88" i="59"/>
  <c r="V88" i="59"/>
  <c r="U88" i="59"/>
  <c r="S88" i="59"/>
  <c r="R88" i="59"/>
  <c r="Q88" i="59"/>
  <c r="P88" i="59"/>
  <c r="O88" i="59"/>
  <c r="N88" i="59"/>
  <c r="M88" i="59"/>
  <c r="L88" i="59"/>
  <c r="K88" i="59"/>
  <c r="J88" i="59"/>
  <c r="I88" i="59"/>
  <c r="H88" i="59"/>
  <c r="F88" i="59"/>
  <c r="E88" i="59"/>
  <c r="D88" i="59"/>
  <c r="AH87" i="59"/>
  <c r="AG87" i="59"/>
  <c r="AF87" i="59"/>
  <c r="AE87" i="59"/>
  <c r="AD87" i="59"/>
  <c r="AC87" i="59"/>
  <c r="AB87" i="59"/>
  <c r="Z87" i="59"/>
  <c r="Y87" i="59"/>
  <c r="X87" i="59"/>
  <c r="W87" i="59"/>
  <c r="V87" i="59"/>
  <c r="U87" i="59"/>
  <c r="S87" i="59"/>
  <c r="R87" i="59"/>
  <c r="Q87" i="59"/>
  <c r="P87" i="59"/>
  <c r="O87" i="59"/>
  <c r="N87" i="59"/>
  <c r="M87" i="59"/>
  <c r="L87" i="59"/>
  <c r="K87" i="59"/>
  <c r="J87" i="59"/>
  <c r="I87" i="59"/>
  <c r="H87" i="59"/>
  <c r="F87" i="59"/>
  <c r="E87" i="59"/>
  <c r="D87" i="59"/>
  <c r="AH86" i="59"/>
  <c r="AG86" i="59"/>
  <c r="AF86" i="59"/>
  <c r="AE86" i="59"/>
  <c r="AD86" i="59"/>
  <c r="AC86" i="59"/>
  <c r="AB86" i="59"/>
  <c r="Z86" i="59"/>
  <c r="Y86" i="59"/>
  <c r="X86" i="59"/>
  <c r="W86" i="59"/>
  <c r="V86" i="59"/>
  <c r="U86" i="59"/>
  <c r="S86" i="59"/>
  <c r="R86" i="59"/>
  <c r="Q86" i="59"/>
  <c r="AN77" i="59" s="1"/>
  <c r="AN86" i="59"/>
  <c r="AN118" i="59" s="1"/>
  <c r="AN55" i="59" s="1"/>
  <c r="P86" i="59"/>
  <c r="O86" i="59"/>
  <c r="N86" i="59"/>
  <c r="AA86" i="59"/>
  <c r="M86" i="59"/>
  <c r="L86" i="59"/>
  <c r="K86" i="59"/>
  <c r="J86" i="59"/>
  <c r="I86" i="59"/>
  <c r="H86" i="59"/>
  <c r="F86" i="59"/>
  <c r="E86" i="59"/>
  <c r="D86" i="59"/>
  <c r="AH85" i="59"/>
  <c r="AG85" i="59"/>
  <c r="AF85" i="59"/>
  <c r="AE85" i="59"/>
  <c r="AD85" i="59"/>
  <c r="AC85" i="59"/>
  <c r="AB85" i="59"/>
  <c r="Z85" i="59"/>
  <c r="Y85" i="59"/>
  <c r="X85" i="59"/>
  <c r="W85" i="59"/>
  <c r="V85" i="59"/>
  <c r="U85" i="59"/>
  <c r="S85" i="59"/>
  <c r="R85" i="59"/>
  <c r="Q85" i="59"/>
  <c r="P85" i="59"/>
  <c r="O85" i="59"/>
  <c r="N85" i="59"/>
  <c r="M85" i="59"/>
  <c r="L85" i="59"/>
  <c r="K85" i="59"/>
  <c r="J85" i="59"/>
  <c r="G85" i="59" s="1"/>
  <c r="I85" i="59"/>
  <c r="H85" i="59"/>
  <c r="F85" i="59"/>
  <c r="E85" i="59"/>
  <c r="D85" i="59"/>
  <c r="AH84" i="59"/>
  <c r="AG84" i="59"/>
  <c r="AF84" i="59"/>
  <c r="AE84" i="59"/>
  <c r="AD84" i="59"/>
  <c r="AD94" i="59" s="1"/>
  <c r="AC84" i="59"/>
  <c r="AB84" i="59"/>
  <c r="Z84" i="59"/>
  <c r="Y84" i="59"/>
  <c r="X84" i="59"/>
  <c r="W84" i="59"/>
  <c r="V84" i="59"/>
  <c r="U84" i="59"/>
  <c r="S84" i="59"/>
  <c r="R84" i="59"/>
  <c r="Q84" i="59"/>
  <c r="P84" i="59"/>
  <c r="O84" i="59"/>
  <c r="N84" i="59"/>
  <c r="M84" i="59"/>
  <c r="L84" i="59"/>
  <c r="K84" i="59"/>
  <c r="J84" i="59"/>
  <c r="I84" i="59"/>
  <c r="H84" i="59"/>
  <c r="F84" i="59"/>
  <c r="E84" i="59"/>
  <c r="D84" i="59"/>
  <c r="AH83" i="59"/>
  <c r="AG83" i="59"/>
  <c r="AF83" i="59"/>
  <c r="AE83" i="59"/>
  <c r="AD83" i="59"/>
  <c r="AC83" i="59"/>
  <c r="AB83" i="59"/>
  <c r="Z83" i="59"/>
  <c r="Y83" i="59"/>
  <c r="X83" i="59"/>
  <c r="W83" i="59"/>
  <c r="V83" i="59"/>
  <c r="U83" i="59"/>
  <c r="S83" i="59"/>
  <c r="R83" i="59"/>
  <c r="Q83" i="59"/>
  <c r="P83" i="59"/>
  <c r="O83" i="59"/>
  <c r="N83" i="59"/>
  <c r="M83" i="59"/>
  <c r="L83" i="59"/>
  <c r="K83" i="59"/>
  <c r="J83" i="59"/>
  <c r="I83" i="59"/>
  <c r="H83" i="59"/>
  <c r="F83" i="59"/>
  <c r="E83" i="59"/>
  <c r="D83" i="59"/>
  <c r="AH82" i="59"/>
  <c r="AG82" i="59"/>
  <c r="AF82" i="59"/>
  <c r="AE82" i="59"/>
  <c r="AD82" i="59"/>
  <c r="AC82" i="59"/>
  <c r="AB82" i="59"/>
  <c r="Z82" i="59"/>
  <c r="Y82" i="59"/>
  <c r="X82" i="59"/>
  <c r="W82" i="59"/>
  <c r="V82" i="59"/>
  <c r="U82" i="59"/>
  <c r="S82" i="59"/>
  <c r="R82" i="59"/>
  <c r="Q82" i="59"/>
  <c r="P82" i="59"/>
  <c r="O82" i="59"/>
  <c r="N82" i="59"/>
  <c r="M82" i="59"/>
  <c r="L82" i="59"/>
  <c r="K82" i="59"/>
  <c r="J82" i="59"/>
  <c r="I82" i="59"/>
  <c r="H82" i="59"/>
  <c r="F82" i="59"/>
  <c r="E82" i="59"/>
  <c r="D82" i="59"/>
  <c r="AN81" i="59"/>
  <c r="AM81" i="59"/>
  <c r="AL81" i="59"/>
  <c r="AL113" i="59" s="1"/>
  <c r="AL50" i="59" s="1"/>
  <c r="AK81" i="59"/>
  <c r="AK113" i="59"/>
  <c r="AJ81" i="59"/>
  <c r="AJ113" i="59"/>
  <c r="AJ50" i="59" s="1"/>
  <c r="AI81" i="59"/>
  <c r="AH81" i="59"/>
  <c r="AG81" i="59"/>
  <c r="AF81" i="59"/>
  <c r="AE81" i="59"/>
  <c r="AD81" i="59"/>
  <c r="AC81" i="59"/>
  <c r="AB81" i="59"/>
  <c r="AA81" i="59"/>
  <c r="Z81" i="59"/>
  <c r="Y81" i="59"/>
  <c r="X81" i="59"/>
  <c r="W81" i="59"/>
  <c r="V81" i="59"/>
  <c r="U81" i="59"/>
  <c r="T81" i="59"/>
  <c r="T113" i="59" s="1"/>
  <c r="S81" i="59"/>
  <c r="R81" i="59"/>
  <c r="Q81" i="59"/>
  <c r="P81" i="59"/>
  <c r="O81" i="59"/>
  <c r="N81" i="59"/>
  <c r="M81" i="59"/>
  <c r="L81" i="59"/>
  <c r="K81" i="59"/>
  <c r="J81" i="59"/>
  <c r="I81" i="59"/>
  <c r="H81" i="59"/>
  <c r="H143" i="59" s="1"/>
  <c r="G81" i="59"/>
  <c r="G18" i="59" s="1"/>
  <c r="F81" i="59"/>
  <c r="E81" i="59"/>
  <c r="D81" i="59"/>
  <c r="AH80" i="59"/>
  <c r="AG80" i="59"/>
  <c r="AF80" i="59"/>
  <c r="AE80" i="59"/>
  <c r="AD80" i="59"/>
  <c r="AC80" i="59"/>
  <c r="AB80" i="59"/>
  <c r="Z80" i="59"/>
  <c r="Y80" i="59"/>
  <c r="X80" i="59"/>
  <c r="W80" i="59"/>
  <c r="V80" i="59"/>
  <c r="U80" i="59"/>
  <c r="S80" i="59"/>
  <c r="R80" i="59"/>
  <c r="Q80" i="59"/>
  <c r="P80" i="59"/>
  <c r="O80" i="59"/>
  <c r="N80" i="59"/>
  <c r="T80" i="59" s="1"/>
  <c r="T17" i="59" s="1"/>
  <c r="AA80" i="59"/>
  <c r="AA112" i="59" s="1"/>
  <c r="M80" i="59"/>
  <c r="L80" i="59"/>
  <c r="K80" i="59"/>
  <c r="J80" i="59"/>
  <c r="I80" i="59"/>
  <c r="H80" i="59"/>
  <c r="F80" i="59"/>
  <c r="E80" i="59"/>
  <c r="D80" i="59"/>
  <c r="AH79" i="59"/>
  <c r="AG79" i="59"/>
  <c r="AF79" i="59"/>
  <c r="AE79" i="59"/>
  <c r="AD79" i="59"/>
  <c r="AC79" i="59"/>
  <c r="AB79" i="59"/>
  <c r="Z79" i="59"/>
  <c r="Y79" i="59"/>
  <c r="X79" i="59"/>
  <c r="W79" i="59"/>
  <c r="V79" i="59"/>
  <c r="U79" i="59"/>
  <c r="S79" i="59"/>
  <c r="R79" i="59"/>
  <c r="Q79" i="59"/>
  <c r="P79" i="59"/>
  <c r="O79" i="59"/>
  <c r="N79" i="59"/>
  <c r="M79" i="59"/>
  <c r="L79" i="59"/>
  <c r="K79" i="59"/>
  <c r="J79" i="59"/>
  <c r="I79" i="59"/>
  <c r="H79" i="59"/>
  <c r="F79" i="59"/>
  <c r="E79" i="59"/>
  <c r="D79" i="59"/>
  <c r="AH78" i="59"/>
  <c r="AG78" i="59"/>
  <c r="AF78" i="59"/>
  <c r="AE78" i="59"/>
  <c r="AD78" i="59"/>
  <c r="AC78" i="59"/>
  <c r="AB78" i="59"/>
  <c r="Z78" i="59"/>
  <c r="Y78" i="59"/>
  <c r="X78" i="59"/>
  <c r="W78" i="59"/>
  <c r="V78" i="59"/>
  <c r="U78" i="59"/>
  <c r="S78" i="59"/>
  <c r="R78" i="59"/>
  <c r="Q78" i="59"/>
  <c r="P78" i="59"/>
  <c r="O78" i="59"/>
  <c r="N78" i="59"/>
  <c r="M78" i="59"/>
  <c r="L78" i="59"/>
  <c r="K78" i="59"/>
  <c r="J78" i="59"/>
  <c r="I78" i="59"/>
  <c r="H78" i="59"/>
  <c r="F78" i="59"/>
  <c r="E78" i="59"/>
  <c r="D78" i="59"/>
  <c r="AH77" i="59"/>
  <c r="AG77" i="59"/>
  <c r="AF77" i="59"/>
  <c r="AE77" i="59"/>
  <c r="AD77" i="59"/>
  <c r="AC77" i="59"/>
  <c r="AB77" i="59"/>
  <c r="Z77" i="59"/>
  <c r="Y77" i="59"/>
  <c r="X77" i="59"/>
  <c r="W77" i="59"/>
  <c r="V77" i="59"/>
  <c r="U77" i="59"/>
  <c r="S77" i="59"/>
  <c r="R77" i="59"/>
  <c r="Q77" i="59"/>
  <c r="P77" i="59"/>
  <c r="O77" i="59"/>
  <c r="N77" i="59"/>
  <c r="M77" i="59"/>
  <c r="L77" i="59"/>
  <c r="K77" i="59"/>
  <c r="J77" i="59"/>
  <c r="I77" i="59"/>
  <c r="H77" i="59"/>
  <c r="F77" i="59"/>
  <c r="E77" i="59"/>
  <c r="D77" i="59"/>
  <c r="AH76" i="59"/>
  <c r="AG76" i="59"/>
  <c r="AF76" i="59"/>
  <c r="AE76" i="59"/>
  <c r="AD76" i="59"/>
  <c r="AC76" i="59"/>
  <c r="AB76" i="59"/>
  <c r="Z76" i="59"/>
  <c r="Y76" i="59"/>
  <c r="X76" i="59"/>
  <c r="W76" i="59"/>
  <c r="V76" i="59"/>
  <c r="U76" i="59"/>
  <c r="S76" i="59"/>
  <c r="R76" i="59"/>
  <c r="Q76" i="59"/>
  <c r="P76" i="59"/>
  <c r="O76" i="59"/>
  <c r="N76" i="59"/>
  <c r="M76" i="59"/>
  <c r="L76" i="59"/>
  <c r="K76" i="59"/>
  <c r="J76" i="59"/>
  <c r="G68" i="59" s="1"/>
  <c r="I76" i="59"/>
  <c r="H76" i="59"/>
  <c r="F76" i="59"/>
  <c r="E76" i="59"/>
  <c r="D76" i="59"/>
  <c r="AH75" i="59"/>
  <c r="AG75" i="59"/>
  <c r="AF75" i="59"/>
  <c r="AE75" i="59"/>
  <c r="AD75" i="59"/>
  <c r="AC75" i="59"/>
  <c r="AB75" i="59"/>
  <c r="Z75" i="59"/>
  <c r="Y75" i="59"/>
  <c r="X75" i="59"/>
  <c r="W75" i="59"/>
  <c r="V75" i="59"/>
  <c r="U75" i="59"/>
  <c r="S75" i="59"/>
  <c r="R75" i="59"/>
  <c r="Q75" i="59"/>
  <c r="P75" i="59"/>
  <c r="O75" i="59"/>
  <c r="N75" i="59"/>
  <c r="M75" i="59"/>
  <c r="L75" i="59"/>
  <c r="K75" i="59"/>
  <c r="J75" i="59"/>
  <c r="I75" i="59"/>
  <c r="H75" i="59"/>
  <c r="F75" i="59"/>
  <c r="E75" i="59"/>
  <c r="D75" i="59"/>
  <c r="AH74" i="59"/>
  <c r="AG74" i="59"/>
  <c r="AF74" i="59"/>
  <c r="AE74" i="59"/>
  <c r="AD74" i="59"/>
  <c r="AC74" i="59"/>
  <c r="AB74" i="59"/>
  <c r="Z74" i="59"/>
  <c r="Y74" i="59"/>
  <c r="X74" i="59"/>
  <c r="W74" i="59"/>
  <c r="V74" i="59"/>
  <c r="U74" i="59"/>
  <c r="S74" i="59"/>
  <c r="R74" i="59"/>
  <c r="Q74" i="59"/>
  <c r="AN87" i="59" s="1"/>
  <c r="P74" i="59"/>
  <c r="O74" i="59"/>
  <c r="N74" i="59"/>
  <c r="M74" i="59"/>
  <c r="L74" i="59"/>
  <c r="K74" i="59"/>
  <c r="J74" i="59"/>
  <c r="I74" i="59"/>
  <c r="H74" i="59"/>
  <c r="F74" i="59"/>
  <c r="E74" i="59"/>
  <c r="D74" i="59"/>
  <c r="AH73" i="59"/>
  <c r="AG73" i="59"/>
  <c r="AF73" i="59"/>
  <c r="AE73" i="59"/>
  <c r="AD73" i="59"/>
  <c r="AC73" i="59"/>
  <c r="AB73" i="59"/>
  <c r="Z73" i="59"/>
  <c r="Z94" i="59" s="1"/>
  <c r="Y73" i="59"/>
  <c r="X73" i="59"/>
  <c r="W73" i="59"/>
  <c r="V73" i="59"/>
  <c r="U73" i="59"/>
  <c r="S73" i="59"/>
  <c r="R73" i="59"/>
  <c r="Q73" i="59"/>
  <c r="P73" i="59"/>
  <c r="O73" i="59"/>
  <c r="O94" i="59" s="1"/>
  <c r="N73" i="59"/>
  <c r="M73" i="59"/>
  <c r="L73" i="59"/>
  <c r="K73" i="59"/>
  <c r="J73" i="59"/>
  <c r="I73" i="59"/>
  <c r="H73" i="59"/>
  <c r="F73" i="59"/>
  <c r="E73" i="59"/>
  <c r="D73" i="59"/>
  <c r="AH72" i="59"/>
  <c r="AG72" i="59"/>
  <c r="AF72" i="59"/>
  <c r="AE72" i="59"/>
  <c r="AD72" i="59"/>
  <c r="AC72" i="59"/>
  <c r="AB72" i="59"/>
  <c r="Z72" i="59"/>
  <c r="Y72" i="59"/>
  <c r="X72" i="59"/>
  <c r="W72" i="59"/>
  <c r="V72" i="59"/>
  <c r="U72" i="59"/>
  <c r="S72" i="59"/>
  <c r="R72" i="59"/>
  <c r="Q72" i="59"/>
  <c r="P72" i="59"/>
  <c r="O72" i="59"/>
  <c r="N72" i="59"/>
  <c r="M72" i="59"/>
  <c r="L72" i="59"/>
  <c r="K72" i="59"/>
  <c r="J72" i="59"/>
  <c r="I72" i="59"/>
  <c r="H72" i="59"/>
  <c r="F72" i="59"/>
  <c r="E72" i="59"/>
  <c r="D72" i="59"/>
  <c r="AH71" i="59"/>
  <c r="AG71" i="59"/>
  <c r="AF71" i="59"/>
  <c r="AE71" i="59"/>
  <c r="AD71" i="59"/>
  <c r="AC71" i="59"/>
  <c r="AB71" i="59"/>
  <c r="Z71" i="59"/>
  <c r="Y71" i="59"/>
  <c r="X71" i="59"/>
  <c r="W71" i="59"/>
  <c r="V71" i="59"/>
  <c r="U71" i="59"/>
  <c r="S71" i="59"/>
  <c r="R71" i="59"/>
  <c r="Q71" i="59"/>
  <c r="P71" i="59"/>
  <c r="O71" i="59"/>
  <c r="N71" i="59"/>
  <c r="M71" i="59"/>
  <c r="L71" i="59"/>
  <c r="K71" i="59"/>
  <c r="J71" i="59"/>
  <c r="I71" i="59"/>
  <c r="H71" i="59"/>
  <c r="F71" i="59"/>
  <c r="E71" i="59"/>
  <c r="D71" i="59"/>
  <c r="AH70" i="59"/>
  <c r="AG70" i="59"/>
  <c r="AF70" i="59"/>
  <c r="AE70" i="59"/>
  <c r="AD70" i="59"/>
  <c r="AC70" i="59"/>
  <c r="AB70" i="59"/>
  <c r="Z70" i="59"/>
  <c r="Y70" i="59"/>
  <c r="X70" i="59"/>
  <c r="W70" i="59"/>
  <c r="V70" i="59"/>
  <c r="U70" i="59"/>
  <c r="S70" i="59"/>
  <c r="R70" i="59"/>
  <c r="Q70" i="59"/>
  <c r="P70" i="59"/>
  <c r="O70" i="59"/>
  <c r="N70" i="59"/>
  <c r="M70" i="59"/>
  <c r="L70" i="59"/>
  <c r="K70" i="59"/>
  <c r="J70" i="59"/>
  <c r="I70" i="59"/>
  <c r="H70" i="59"/>
  <c r="F70" i="59"/>
  <c r="E70" i="59"/>
  <c r="D70" i="59"/>
  <c r="AH69" i="59"/>
  <c r="AG69" i="59"/>
  <c r="AF69" i="59"/>
  <c r="AE69" i="59"/>
  <c r="AD69" i="59"/>
  <c r="AC69" i="59"/>
  <c r="AB69" i="59"/>
  <c r="Z69" i="59"/>
  <c r="Y69" i="59"/>
  <c r="X69" i="59"/>
  <c r="W69" i="59"/>
  <c r="V69" i="59"/>
  <c r="U69" i="59"/>
  <c r="S69" i="59"/>
  <c r="R69" i="59"/>
  <c r="Q69" i="59"/>
  <c r="P69" i="59"/>
  <c r="O69" i="59"/>
  <c r="N69" i="59"/>
  <c r="M69" i="59"/>
  <c r="L69" i="59"/>
  <c r="K69" i="59"/>
  <c r="J69" i="59"/>
  <c r="I69" i="59"/>
  <c r="H69" i="59"/>
  <c r="F69" i="59"/>
  <c r="E69" i="59"/>
  <c r="D69" i="59"/>
  <c r="AH68" i="59"/>
  <c r="AG68" i="59"/>
  <c r="AF68" i="59"/>
  <c r="AE68" i="59"/>
  <c r="AD68" i="59"/>
  <c r="AC68" i="59"/>
  <c r="AB68" i="59"/>
  <c r="Z68" i="59"/>
  <c r="Y68" i="59"/>
  <c r="X68" i="59"/>
  <c r="W68" i="59"/>
  <c r="V68" i="59"/>
  <c r="U68" i="59"/>
  <c r="S68" i="59"/>
  <c r="R68" i="59"/>
  <c r="Q68" i="59"/>
  <c r="P68" i="59"/>
  <c r="AI68" i="59" s="1"/>
  <c r="O68" i="59"/>
  <c r="N68" i="59"/>
  <c r="M68" i="59"/>
  <c r="L68" i="59"/>
  <c r="K68" i="59"/>
  <c r="J68" i="59"/>
  <c r="I68" i="59"/>
  <c r="H68" i="59"/>
  <c r="F68" i="59"/>
  <c r="E68" i="59"/>
  <c r="D68" i="59"/>
  <c r="AH67" i="59"/>
  <c r="AG67" i="59"/>
  <c r="AF67" i="59"/>
  <c r="AE67" i="59"/>
  <c r="AD67" i="59"/>
  <c r="AC67" i="59"/>
  <c r="AB67" i="59"/>
  <c r="AB94" i="59" s="1"/>
  <c r="Z67" i="59"/>
  <c r="Y67" i="59"/>
  <c r="X67" i="59"/>
  <c r="W67" i="59"/>
  <c r="W94" i="59" s="1"/>
  <c r="V67" i="59"/>
  <c r="V94" i="59" s="1"/>
  <c r="U67" i="59"/>
  <c r="U94" i="59" s="1"/>
  <c r="S67" i="59"/>
  <c r="R67" i="59"/>
  <c r="Q67" i="59"/>
  <c r="Q94" i="59" s="1"/>
  <c r="P67" i="59"/>
  <c r="O67" i="59"/>
  <c r="N67" i="59"/>
  <c r="M67" i="59"/>
  <c r="L67" i="59"/>
  <c r="K67" i="59"/>
  <c r="K94" i="59" s="1"/>
  <c r="J67" i="59"/>
  <c r="J94" i="59" s="1"/>
  <c r="I67" i="59"/>
  <c r="H67" i="59"/>
  <c r="F67" i="59"/>
  <c r="E67" i="59"/>
  <c r="D67" i="59"/>
  <c r="U48" i="59"/>
  <c r="U111" i="59"/>
  <c r="U45" i="59"/>
  <c r="AH31" i="59"/>
  <c r="AG31" i="59"/>
  <c r="AF31" i="59"/>
  <c r="AE31" i="59"/>
  <c r="AD31" i="59"/>
  <c r="AC31" i="59"/>
  <c r="AB31" i="59"/>
  <c r="Z31" i="59"/>
  <c r="Y31" i="59"/>
  <c r="X31" i="59"/>
  <c r="W31" i="59"/>
  <c r="V31" i="59"/>
  <c r="U31" i="59"/>
  <c r="S31" i="59"/>
  <c r="R31" i="59"/>
  <c r="Q31" i="59"/>
  <c r="P31" i="59"/>
  <c r="O31" i="59"/>
  <c r="N31" i="59"/>
  <c r="M31" i="59"/>
  <c r="L31" i="59"/>
  <c r="K31" i="59"/>
  <c r="J31" i="59"/>
  <c r="I31" i="59"/>
  <c r="H31" i="59"/>
  <c r="F31" i="59"/>
  <c r="E31" i="59"/>
  <c r="D31" i="59"/>
  <c r="I61" i="58"/>
  <c r="B60" i="58"/>
  <c r="C60" i="58"/>
  <c r="Q162" i="59"/>
  <c r="K168" i="59"/>
  <c r="Q177" i="59"/>
  <c r="I183" i="59"/>
  <c r="J183" i="59"/>
  <c r="R177" i="59"/>
  <c r="K175" i="59"/>
  <c r="L182" i="59"/>
  <c r="Q183" i="59"/>
  <c r="E172" i="59"/>
  <c r="J181" i="59"/>
  <c r="N182" i="59"/>
  <c r="R183" i="59"/>
  <c r="AL83" i="59"/>
  <c r="I172" i="59"/>
  <c r="M173" i="59"/>
  <c r="Q182" i="59"/>
  <c r="AM87" i="59"/>
  <c r="AM74" i="59"/>
  <c r="K172" i="59"/>
  <c r="AM28" i="59"/>
  <c r="AD179" i="59"/>
  <c r="T112" i="59"/>
  <c r="I179" i="59"/>
  <c r="Q181" i="59"/>
  <c r="X164" i="59"/>
  <c r="J179" i="59"/>
  <c r="J171" i="59"/>
  <c r="R181" i="59"/>
  <c r="T86" i="59"/>
  <c r="T23" i="59" s="1"/>
  <c r="N171" i="59"/>
  <c r="E169" i="59"/>
  <c r="K170" i="59"/>
  <c r="AH175" i="59"/>
  <c r="L178" i="59"/>
  <c r="Y181" i="59"/>
  <c r="AH183" i="59"/>
  <c r="E161" i="59"/>
  <c r="AG168" i="59"/>
  <c r="P171" i="59"/>
  <c r="I177" i="59"/>
  <c r="Q179" i="59"/>
  <c r="AK68" i="59"/>
  <c r="AM86" i="59"/>
  <c r="AB173" i="59"/>
  <c r="J177" i="59"/>
  <c r="N178" i="59"/>
  <c r="E184" i="59"/>
  <c r="E168" i="59"/>
  <c r="L174" i="59"/>
  <c r="F180" i="59"/>
  <c r="M162" i="59"/>
  <c r="Q175" i="59"/>
  <c r="L173" i="59"/>
  <c r="L177" i="59"/>
  <c r="O164" i="59"/>
  <c r="AN76" i="59"/>
  <c r="AN108" i="59"/>
  <c r="T77" i="59"/>
  <c r="AJ77" i="59"/>
  <c r="AJ109" i="59" s="1"/>
  <c r="AN78" i="59"/>
  <c r="AN15" i="59" s="1"/>
  <c r="W160" i="59"/>
  <c r="N162" i="59"/>
  <c r="D179" i="59"/>
  <c r="Z184" i="59"/>
  <c r="AL77" i="59"/>
  <c r="O162" i="59"/>
  <c r="F164" i="59"/>
  <c r="M169" i="59"/>
  <c r="Q170" i="59"/>
  <c r="N177" i="59"/>
  <c r="AJ76" i="59"/>
  <c r="AM77" i="59"/>
  <c r="AM109" i="59"/>
  <c r="AM68" i="59"/>
  <c r="AN85" i="59"/>
  <c r="AN22" i="59"/>
  <c r="AI123" i="59"/>
  <c r="E163" i="59"/>
  <c r="D182" i="59"/>
  <c r="AF180" i="59"/>
  <c r="AA77" i="59"/>
  <c r="AA14" i="59" s="1"/>
  <c r="AE160" i="59"/>
  <c r="I163" i="59"/>
  <c r="AE164" i="59"/>
  <c r="H174" i="59"/>
  <c r="L179" i="59"/>
  <c r="AK71" i="59"/>
  <c r="AK8" i="59" s="1"/>
  <c r="N163" i="59"/>
  <c r="T68" i="59"/>
  <c r="G76" i="59"/>
  <c r="G108" i="59"/>
  <c r="V163" i="59"/>
  <c r="M172" i="59"/>
  <c r="F182" i="59"/>
  <c r="X94" i="59"/>
  <c r="J162" i="59"/>
  <c r="L171" i="59"/>
  <c r="D177" i="59"/>
  <c r="V177" i="59"/>
  <c r="I182" i="59"/>
  <c r="D184" i="59"/>
  <c r="AJ18" i="59"/>
  <c r="F179" i="59"/>
  <c r="P172" i="59"/>
  <c r="AK18" i="59"/>
  <c r="R94" i="59"/>
  <c r="L172" i="59"/>
  <c r="AA83" i="59"/>
  <c r="AJ123" i="59"/>
  <c r="AJ60" i="59" s="1"/>
  <c r="D178" i="59"/>
  <c r="M168" i="59"/>
  <c r="O177" i="59"/>
  <c r="Y94" i="59"/>
  <c r="AA68" i="59"/>
  <c r="O160" i="59"/>
  <c r="K173" i="59"/>
  <c r="R184" i="59"/>
  <c r="AL82" i="59"/>
  <c r="AK92" i="59"/>
  <c r="AK72" i="59"/>
  <c r="AL18" i="59"/>
  <c r="AM82" i="59"/>
  <c r="AM19" i="59" s="1"/>
  <c r="AA109" i="59"/>
  <c r="AI80" i="59"/>
  <c r="T71" i="59"/>
  <c r="AA90" i="59"/>
  <c r="AA71" i="59"/>
  <c r="G77" i="59"/>
  <c r="G86" i="59"/>
  <c r="G23" i="59" s="1"/>
  <c r="G113" i="59"/>
  <c r="T18" i="59"/>
  <c r="AM83" i="59"/>
  <c r="AI87" i="59"/>
  <c r="AM89" i="59"/>
  <c r="AN89" i="59"/>
  <c r="AL89" i="59"/>
  <c r="AJ89" i="59"/>
  <c r="AN92" i="59"/>
  <c r="AM92" i="59"/>
  <c r="AC180" i="59"/>
  <c r="AN23" i="59"/>
  <c r="G92" i="59"/>
  <c r="AF173" i="59"/>
  <c r="AF143" i="59"/>
  <c r="AD180" i="59"/>
  <c r="L94" i="59"/>
  <c r="AC94" i="59"/>
  <c r="AK86" i="59"/>
  <c r="AJ90" i="59"/>
  <c r="AK90" i="59"/>
  <c r="AA92" i="59"/>
  <c r="D94" i="59"/>
  <c r="M94" i="59"/>
  <c r="AI69" i="59"/>
  <c r="AI6" i="59" s="1"/>
  <c r="AA74" i="59"/>
  <c r="AL93" i="59"/>
  <c r="AL30" i="59" s="1"/>
  <c r="AC181" i="59"/>
  <c r="AK69" i="59"/>
  <c r="AI74" i="59"/>
  <c r="AK82" i="59"/>
  <c r="AI82" i="59"/>
  <c r="AI19" i="59" s="1"/>
  <c r="AI113" i="59"/>
  <c r="AI18" i="59"/>
  <c r="U148" i="59"/>
  <c r="AL86" i="59"/>
  <c r="AL87" i="59"/>
  <c r="AN93" i="59"/>
  <c r="AN30" i="59" s="1"/>
  <c r="AJ93" i="59"/>
  <c r="AJ30" i="59" s="1"/>
  <c r="AC160" i="59"/>
  <c r="V161" i="59"/>
  <c r="F163" i="59"/>
  <c r="AC177" i="59"/>
  <c r="P170" i="59"/>
  <c r="AJ86" i="59"/>
  <c r="N160" i="59"/>
  <c r="V164" i="59"/>
  <c r="AH172" i="59"/>
  <c r="AH169" i="59"/>
  <c r="J168" i="59"/>
  <c r="H173" i="59"/>
  <c r="P173" i="59"/>
  <c r="AH174" i="59"/>
  <c r="AI85" i="59"/>
  <c r="T88" i="59"/>
  <c r="P160" i="59"/>
  <c r="U162" i="59"/>
  <c r="AD163" i="59"/>
  <c r="AD169" i="59"/>
  <c r="U182" i="59"/>
  <c r="AD182" i="59"/>
  <c r="J160" i="59"/>
  <c r="AE163" i="59"/>
  <c r="J175" i="59"/>
  <c r="S177" i="59"/>
  <c r="K178" i="59"/>
  <c r="S178" i="59"/>
  <c r="AC178" i="59"/>
  <c r="V180" i="59"/>
  <c r="V181" i="59"/>
  <c r="AN123" i="59"/>
  <c r="M160" i="59"/>
  <c r="V160" i="59"/>
  <c r="K161" i="59"/>
  <c r="S161" i="59"/>
  <c r="J163" i="59"/>
  <c r="R163" i="59"/>
  <c r="O169" i="59"/>
  <c r="AF179" i="59"/>
  <c r="S184" i="59"/>
  <c r="F160" i="59"/>
  <c r="AB161" i="59"/>
  <c r="P162" i="59"/>
  <c r="H164" i="59"/>
  <c r="H169" i="59"/>
  <c r="AF170" i="59"/>
  <c r="O178" i="59"/>
  <c r="K183" i="59"/>
  <c r="U184" i="59"/>
  <c r="U161" i="59"/>
  <c r="L163" i="59"/>
  <c r="AH168" i="59"/>
  <c r="O172" i="59"/>
  <c r="AD173" i="59"/>
  <c r="W174" i="59"/>
  <c r="AF174" i="59"/>
  <c r="K180" i="59"/>
  <c r="M184" i="59"/>
  <c r="AC163" i="59"/>
  <c r="P164" i="59"/>
  <c r="J169" i="59"/>
  <c r="N170" i="59"/>
  <c r="Q171" i="59"/>
  <c r="O174" i="59"/>
  <c r="K179" i="59"/>
  <c r="S179" i="59"/>
  <c r="S181" i="59"/>
  <c r="H182" i="59"/>
  <c r="P182" i="59"/>
  <c r="K171" i="59"/>
  <c r="S171" i="59"/>
  <c r="AB171" i="59"/>
  <c r="M175" i="59"/>
  <c r="E177" i="59"/>
  <c r="R178" i="59"/>
  <c r="AH178" i="59"/>
  <c r="U179" i="59"/>
  <c r="AC179" i="59"/>
  <c r="E181" i="59"/>
  <c r="M181" i="59"/>
  <c r="U181" i="59"/>
  <c r="AD181" i="59"/>
  <c r="J182" i="59"/>
  <c r="AE183" i="59"/>
  <c r="AE184" i="59"/>
  <c r="K164" i="59"/>
  <c r="O168" i="59"/>
  <c r="Q172" i="59"/>
  <c r="E173" i="59"/>
  <c r="N175" i="59"/>
  <c r="V175" i="59"/>
  <c r="Z180" i="59"/>
  <c r="AH180" i="59"/>
  <c r="N181" i="59"/>
  <c r="AE181" i="59"/>
  <c r="K182" i="59"/>
  <c r="S182" i="59"/>
  <c r="O183" i="59"/>
  <c r="O184" i="59"/>
  <c r="P168" i="59"/>
  <c r="AH170" i="59"/>
  <c r="J172" i="59"/>
  <c r="N173" i="59"/>
  <c r="O175" i="59"/>
  <c r="S180" i="59"/>
  <c r="AF181" i="59"/>
  <c r="H183" i="59"/>
  <c r="AG184" i="59"/>
  <c r="N184" i="59"/>
  <c r="AD184" i="59"/>
  <c r="Z182" i="59"/>
  <c r="AH182" i="59"/>
  <c r="E183" i="59"/>
  <c r="M183" i="59"/>
  <c r="AC183" i="59"/>
  <c r="H184" i="59"/>
  <c r="AF184" i="59"/>
  <c r="AM14" i="59"/>
  <c r="T118" i="59"/>
  <c r="T55" i="59" s="1"/>
  <c r="AN46" i="59"/>
  <c r="AN14" i="59"/>
  <c r="AA115" i="59"/>
  <c r="AA20" i="59"/>
  <c r="AJ14" i="59"/>
  <c r="G118" i="59"/>
  <c r="AK73" i="59"/>
  <c r="AK10" i="59"/>
  <c r="AK11" i="59"/>
  <c r="AI122" i="59"/>
  <c r="AI59" i="59" s="1"/>
  <c r="AI27" i="59"/>
  <c r="AA46" i="59"/>
  <c r="AI29" i="59"/>
  <c r="AA49" i="59"/>
  <c r="AM114" i="59"/>
  <c r="AI114" i="59"/>
  <c r="AI50" i="59"/>
  <c r="AL119" i="59"/>
  <c r="AL24" i="59"/>
  <c r="AI101" i="59"/>
  <c r="AI38" i="59" s="1"/>
  <c r="AK43" i="59"/>
  <c r="AI61" i="59"/>
  <c r="Y81" i="28"/>
  <c r="AP81" i="53"/>
  <c r="AO81" i="53"/>
  <c r="AN81" i="53"/>
  <c r="AM81" i="53"/>
  <c r="AL81" i="53"/>
  <c r="AK81" i="53"/>
  <c r="AJ81" i="53"/>
  <c r="AI81" i="53"/>
  <c r="AH81" i="53"/>
  <c r="AG81" i="53"/>
  <c r="AF81" i="53"/>
  <c r="AE81" i="53"/>
  <c r="AD81" i="53"/>
  <c r="AC81" i="53"/>
  <c r="AB81" i="53"/>
  <c r="AA81" i="53"/>
  <c r="Z81" i="53"/>
  <c r="Y81" i="53"/>
  <c r="X81" i="53"/>
  <c r="W81" i="53"/>
  <c r="V81" i="53"/>
  <c r="U81" i="53"/>
  <c r="T81" i="53"/>
  <c r="S81" i="53"/>
  <c r="R81" i="53"/>
  <c r="Q81" i="53"/>
  <c r="P81" i="53"/>
  <c r="O81" i="53"/>
  <c r="N81" i="53"/>
  <c r="M81" i="53"/>
  <c r="L81" i="53"/>
  <c r="K81" i="53"/>
  <c r="J81" i="53"/>
  <c r="I81" i="53"/>
  <c r="H81" i="53"/>
  <c r="G81" i="53"/>
  <c r="AP80" i="53"/>
  <c r="AO80" i="53"/>
  <c r="AN80" i="53"/>
  <c r="AM80" i="53"/>
  <c r="AL80" i="53"/>
  <c r="AK80" i="53"/>
  <c r="AJ80" i="53"/>
  <c r="AI80" i="53"/>
  <c r="AH80" i="53"/>
  <c r="AG80" i="53"/>
  <c r="AF80" i="53"/>
  <c r="AE80" i="53"/>
  <c r="AD80" i="53"/>
  <c r="AC80" i="53"/>
  <c r="AB80" i="53"/>
  <c r="AA80" i="53"/>
  <c r="Z80" i="53"/>
  <c r="Y80" i="53"/>
  <c r="X80" i="53"/>
  <c r="W80" i="53"/>
  <c r="V80" i="53"/>
  <c r="U80" i="53"/>
  <c r="T80" i="53"/>
  <c r="S80" i="53"/>
  <c r="R80" i="53"/>
  <c r="Q80" i="53"/>
  <c r="P80" i="53"/>
  <c r="O80" i="53"/>
  <c r="N80" i="53"/>
  <c r="M80" i="53"/>
  <c r="L80" i="53"/>
  <c r="K80" i="53"/>
  <c r="J80" i="53"/>
  <c r="I80" i="53"/>
  <c r="H80" i="53"/>
  <c r="G80" i="53"/>
  <c r="F81" i="53"/>
  <c r="F80" i="53"/>
  <c r="AP71" i="53"/>
  <c r="AO71" i="53"/>
  <c r="AN71" i="53"/>
  <c r="AM71" i="53"/>
  <c r="AL71" i="53"/>
  <c r="AK71" i="53"/>
  <c r="AJ71" i="53"/>
  <c r="AI71" i="53"/>
  <c r="AH71" i="53"/>
  <c r="AG71" i="53"/>
  <c r="AF71" i="53"/>
  <c r="AE71" i="53"/>
  <c r="AD71" i="53"/>
  <c r="AC71" i="53"/>
  <c r="AB71" i="53"/>
  <c r="AA71" i="53"/>
  <c r="Z71" i="53"/>
  <c r="Y71" i="53"/>
  <c r="X71" i="53"/>
  <c r="W71" i="53"/>
  <c r="V71" i="53"/>
  <c r="U71" i="53"/>
  <c r="T71" i="53"/>
  <c r="S71" i="53"/>
  <c r="R71" i="53"/>
  <c r="Q71" i="53"/>
  <c r="P71" i="53"/>
  <c r="O71" i="53"/>
  <c r="N71" i="53"/>
  <c r="M71" i="53"/>
  <c r="L71" i="53"/>
  <c r="K71" i="53"/>
  <c r="J71" i="53"/>
  <c r="I71" i="53"/>
  <c r="H71" i="53"/>
  <c r="G71" i="53"/>
  <c r="AP70" i="53"/>
  <c r="AO70" i="53"/>
  <c r="AN70" i="53"/>
  <c r="AM70" i="53"/>
  <c r="AL70" i="53"/>
  <c r="AK70" i="53"/>
  <c r="AJ70" i="53"/>
  <c r="AI70" i="53"/>
  <c r="AH70" i="53"/>
  <c r="AG70" i="53"/>
  <c r="AF70" i="53"/>
  <c r="AE70" i="53"/>
  <c r="AD70" i="53"/>
  <c r="AC70" i="53"/>
  <c r="AB70" i="53"/>
  <c r="AA70" i="53"/>
  <c r="Z70" i="53"/>
  <c r="Y70" i="53"/>
  <c r="X70" i="53"/>
  <c r="W70" i="53"/>
  <c r="V70" i="53"/>
  <c r="U70" i="53"/>
  <c r="T70" i="53"/>
  <c r="S70" i="53"/>
  <c r="R70" i="53"/>
  <c r="Q70" i="53"/>
  <c r="P70" i="53"/>
  <c r="O70" i="53"/>
  <c r="N70" i="53"/>
  <c r="M70" i="53"/>
  <c r="L70" i="53"/>
  <c r="K70" i="53"/>
  <c r="J70" i="53"/>
  <c r="I70" i="53"/>
  <c r="H70" i="53"/>
  <c r="G70" i="53"/>
  <c r="F71" i="53"/>
  <c r="F70" i="53"/>
  <c r="AP61" i="53"/>
  <c r="AO61" i="53"/>
  <c r="AN61" i="53"/>
  <c r="AM61" i="53"/>
  <c r="AL61" i="53"/>
  <c r="AK61" i="53"/>
  <c r="AJ61" i="53"/>
  <c r="AI61" i="53"/>
  <c r="AH61" i="53"/>
  <c r="AG61" i="53"/>
  <c r="AF61" i="53"/>
  <c r="AE61" i="53"/>
  <c r="AD61" i="53"/>
  <c r="AC61" i="53"/>
  <c r="AB61" i="53"/>
  <c r="AA61" i="53"/>
  <c r="Z61" i="53"/>
  <c r="Y61" i="53"/>
  <c r="X61" i="53"/>
  <c r="W61" i="53"/>
  <c r="V61" i="53"/>
  <c r="U61" i="53"/>
  <c r="T61" i="53"/>
  <c r="S61" i="53"/>
  <c r="R61" i="53"/>
  <c r="Q61" i="53"/>
  <c r="P61" i="53"/>
  <c r="O61" i="53"/>
  <c r="N61" i="53"/>
  <c r="M61" i="53"/>
  <c r="L61" i="53"/>
  <c r="K61" i="53"/>
  <c r="J61" i="53"/>
  <c r="I61" i="53"/>
  <c r="H61" i="53"/>
  <c r="G61" i="53"/>
  <c r="AP60" i="53"/>
  <c r="AO60" i="53"/>
  <c r="AN60" i="53"/>
  <c r="AM60" i="53"/>
  <c r="AL60" i="53"/>
  <c r="AK60" i="53"/>
  <c r="AJ60" i="53"/>
  <c r="AI60" i="53"/>
  <c r="AH60" i="53"/>
  <c r="AG60" i="53"/>
  <c r="AF60" i="53"/>
  <c r="AE60" i="53"/>
  <c r="AD60" i="53"/>
  <c r="AC60" i="53"/>
  <c r="AB60" i="53"/>
  <c r="AA60" i="53"/>
  <c r="Z60" i="53"/>
  <c r="Y60" i="53"/>
  <c r="X60" i="53"/>
  <c r="W60" i="53"/>
  <c r="V60" i="53"/>
  <c r="U60" i="53"/>
  <c r="T60" i="53"/>
  <c r="S60" i="53"/>
  <c r="R60" i="53"/>
  <c r="Q60" i="53"/>
  <c r="P60" i="53"/>
  <c r="O60" i="53"/>
  <c r="N60" i="53"/>
  <c r="M60" i="53"/>
  <c r="L60" i="53"/>
  <c r="K60" i="53"/>
  <c r="J60" i="53"/>
  <c r="I60" i="53"/>
  <c r="H60" i="53"/>
  <c r="G60" i="53"/>
  <c r="F61" i="53"/>
  <c r="F60" i="53"/>
  <c r="AP51" i="53"/>
  <c r="AO51" i="53"/>
  <c r="AN51" i="53"/>
  <c r="AM51" i="53"/>
  <c r="AL51" i="53"/>
  <c r="AK51" i="53"/>
  <c r="AJ51" i="53"/>
  <c r="AI51" i="53"/>
  <c r="AH51" i="53"/>
  <c r="AG51" i="53"/>
  <c r="AF51" i="53"/>
  <c r="AE51" i="53"/>
  <c r="AD51" i="53"/>
  <c r="AC51" i="53"/>
  <c r="AB51" i="53"/>
  <c r="AA51" i="53"/>
  <c r="Z51" i="53"/>
  <c r="Y51" i="53"/>
  <c r="X51" i="53"/>
  <c r="W51" i="53"/>
  <c r="V51" i="53"/>
  <c r="U51" i="53"/>
  <c r="T51" i="53"/>
  <c r="S51" i="53"/>
  <c r="R51" i="53"/>
  <c r="Q51" i="53"/>
  <c r="P51" i="53"/>
  <c r="O51" i="53"/>
  <c r="N51" i="53"/>
  <c r="M51" i="53"/>
  <c r="L51" i="53"/>
  <c r="K51" i="53"/>
  <c r="J51" i="53"/>
  <c r="I51" i="53"/>
  <c r="H51" i="53"/>
  <c r="G51" i="53"/>
  <c r="AP50" i="53"/>
  <c r="AO50" i="53"/>
  <c r="AN50" i="53"/>
  <c r="AM50" i="53"/>
  <c r="AL50" i="53"/>
  <c r="AK50" i="53"/>
  <c r="AJ50" i="53"/>
  <c r="AI50" i="53"/>
  <c r="AH50" i="53"/>
  <c r="AF50" i="53"/>
  <c r="AE50" i="53"/>
  <c r="AD50" i="53"/>
  <c r="AC50" i="53"/>
  <c r="AB50" i="53"/>
  <c r="AA50" i="53"/>
  <c r="Z50" i="53"/>
  <c r="Y50" i="53"/>
  <c r="X50" i="53"/>
  <c r="W50" i="53"/>
  <c r="V50" i="53"/>
  <c r="U50" i="53"/>
  <c r="T50" i="53"/>
  <c r="S50" i="53"/>
  <c r="R50" i="53"/>
  <c r="Q50" i="53"/>
  <c r="P50" i="53"/>
  <c r="O50" i="53"/>
  <c r="N50" i="53"/>
  <c r="M50" i="53"/>
  <c r="L50" i="53"/>
  <c r="K50" i="53"/>
  <c r="J50" i="53"/>
  <c r="I50" i="53"/>
  <c r="H50" i="53"/>
  <c r="G50" i="53"/>
  <c r="F51" i="53"/>
  <c r="F50" i="53"/>
  <c r="C41" i="52"/>
  <c r="AD14" i="57"/>
  <c r="Y6" i="57"/>
  <c r="AA13" i="57" s="1"/>
  <c r="AM5" i="57"/>
  <c r="AL5" i="57"/>
  <c r="AJ5" i="57"/>
  <c r="AR13" i="57" s="1"/>
  <c r="AE5" i="57"/>
  <c r="AJ13" i="57" s="1"/>
  <c r="T17" i="58" s="1"/>
  <c r="T31" i="58" s="1"/>
  <c r="AC5" i="57"/>
  <c r="AG13" i="57" s="1"/>
  <c r="Q17" i="58" s="1"/>
  <c r="Q31" i="58" s="1"/>
  <c r="Z5" i="57"/>
  <c r="AB13" i="57" s="1"/>
  <c r="L17" i="58" s="1"/>
  <c r="L31" i="58" s="1"/>
  <c r="N18" i="57"/>
  <c r="S7" i="57" s="1"/>
  <c r="O25" i="57"/>
  <c r="AK8" i="57" s="1"/>
  <c r="AT14" i="57" s="1"/>
  <c r="N25" i="57"/>
  <c r="AK7" i="57" s="1"/>
  <c r="M25" i="57"/>
  <c r="AK6" i="57"/>
  <c r="L25" i="57"/>
  <c r="AK5" i="57"/>
  <c r="AT13" i="57" s="1"/>
  <c r="O24" i="57"/>
  <c r="AB8" i="57" s="1"/>
  <c r="N24" i="57"/>
  <c r="AB7" i="57" s="1"/>
  <c r="M24" i="57"/>
  <c r="AB6" i="57" s="1"/>
  <c r="L24" i="57"/>
  <c r="AB5" i="57"/>
  <c r="AD13" i="57" s="1"/>
  <c r="N17" i="58" s="1"/>
  <c r="N31" i="58" s="1"/>
  <c r="O23" i="57"/>
  <c r="AE8" i="57" s="1"/>
  <c r="AJ14" i="57" s="1"/>
  <c r="N23" i="57"/>
  <c r="AE7" i="57" s="1"/>
  <c r="M23" i="57"/>
  <c r="AE6" i="57"/>
  <c r="L23" i="57"/>
  <c r="O22" i="57"/>
  <c r="AH8" i="57" s="1"/>
  <c r="AP14" i="57"/>
  <c r="N22" i="57"/>
  <c r="AH7" i="57"/>
  <c r="M22" i="57"/>
  <c r="AH6" i="57" s="1"/>
  <c r="L22" i="57"/>
  <c r="AH5" i="57"/>
  <c r="AP13" i="57" s="1"/>
  <c r="Z17" i="58" s="1"/>
  <c r="Z31" i="58" s="1"/>
  <c r="O21" i="57"/>
  <c r="W8" i="57"/>
  <c r="Y14" i="57" s="1"/>
  <c r="N21" i="57"/>
  <c r="W7" i="57" s="1"/>
  <c r="M21" i="57"/>
  <c r="W6" i="57" s="1"/>
  <c r="L21" i="57"/>
  <c r="W5" i="57" s="1"/>
  <c r="Y13" i="57" s="1"/>
  <c r="O20" i="57"/>
  <c r="AA8" i="57"/>
  <c r="AC14" i="57" s="1"/>
  <c r="N20" i="57"/>
  <c r="AA7" i="57"/>
  <c r="M20" i="57"/>
  <c r="AA6" i="57"/>
  <c r="L20" i="57"/>
  <c r="AA5" i="57" s="1"/>
  <c r="AC13" i="57"/>
  <c r="O19" i="57"/>
  <c r="Z8" i="57"/>
  <c r="AB14" i="57"/>
  <c r="N19" i="57"/>
  <c r="Z7" i="57" s="1"/>
  <c r="M19" i="57"/>
  <c r="Z6" i="57"/>
  <c r="L19" i="57"/>
  <c r="O18" i="57"/>
  <c r="S8" i="57" s="1"/>
  <c r="S14" i="57"/>
  <c r="M18" i="57"/>
  <c r="S6" i="57"/>
  <c r="L18" i="57"/>
  <c r="S5" i="57"/>
  <c r="S13" i="57"/>
  <c r="O17" i="57"/>
  <c r="U8" i="57" s="1"/>
  <c r="V14" i="57"/>
  <c r="N17" i="57"/>
  <c r="U7" i="57" s="1"/>
  <c r="M17" i="57"/>
  <c r="U6" i="57" s="1"/>
  <c r="L17" i="57"/>
  <c r="U5" i="57" s="1"/>
  <c r="V13" i="57" s="1"/>
  <c r="F17" i="58" s="1"/>
  <c r="F31" i="58" s="1"/>
  <c r="O16" i="57"/>
  <c r="X8" i="57"/>
  <c r="Z14" i="57"/>
  <c r="N16" i="57"/>
  <c r="X7" i="57" s="1"/>
  <c r="M16" i="57"/>
  <c r="X6" i="57" s="1"/>
  <c r="L16" i="57"/>
  <c r="X5" i="57"/>
  <c r="Z13" i="57" s="1"/>
  <c r="J17" i="58" s="1"/>
  <c r="J31" i="58" s="1"/>
  <c r="O15" i="57"/>
  <c r="AM8" i="57" s="1"/>
  <c r="AW14" i="57" s="1"/>
  <c r="N15" i="57"/>
  <c r="AM7" i="57"/>
  <c r="M15" i="57"/>
  <c r="AM6" i="57" s="1"/>
  <c r="L15" i="57"/>
  <c r="O14" i="57"/>
  <c r="AJ8" i="57"/>
  <c r="AR14" i="57" s="1"/>
  <c r="N14" i="57"/>
  <c r="AJ7" i="57" s="1"/>
  <c r="M14" i="57"/>
  <c r="AJ6" i="57"/>
  <c r="L14" i="57"/>
  <c r="O13" i="57"/>
  <c r="Y8" i="57"/>
  <c r="AA14" i="57"/>
  <c r="N13" i="57"/>
  <c r="Y7" i="57" s="1"/>
  <c r="M13" i="57"/>
  <c r="L13" i="57"/>
  <c r="Y5" i="57" s="1"/>
  <c r="O12" i="57"/>
  <c r="AG8" i="57"/>
  <c r="AO14" i="57" s="1"/>
  <c r="N12" i="57"/>
  <c r="AG7" i="57"/>
  <c r="M12" i="57"/>
  <c r="AG6" i="57" s="1"/>
  <c r="L12" i="57"/>
  <c r="AG5" i="57" s="1"/>
  <c r="AO13" i="57" s="1"/>
  <c r="Y17" i="58" s="1"/>
  <c r="Y31" i="58" s="1"/>
  <c r="O11" i="57"/>
  <c r="AI8" i="57"/>
  <c r="AQ14" i="57" s="1"/>
  <c r="N11" i="57"/>
  <c r="AI7" i="57" s="1"/>
  <c r="M11" i="57"/>
  <c r="AI6" i="57"/>
  <c r="L11" i="57"/>
  <c r="AI5" i="57"/>
  <c r="AQ13" i="57" s="1"/>
  <c r="AA17" i="58" s="1"/>
  <c r="AA31" i="58" s="1"/>
  <c r="O10" i="57"/>
  <c r="V8" i="57" s="1"/>
  <c r="X14" i="57" s="1"/>
  <c r="N10" i="57"/>
  <c r="V7" i="57" s="1"/>
  <c r="M10" i="57"/>
  <c r="V6" i="57"/>
  <c r="L10" i="57"/>
  <c r="V5" i="57"/>
  <c r="O9" i="57"/>
  <c r="T8" i="57" s="1"/>
  <c r="T14" i="57" s="1"/>
  <c r="N9" i="57"/>
  <c r="T7" i="57" s="1"/>
  <c r="M9" i="57"/>
  <c r="T6" i="57"/>
  <c r="L9" i="57"/>
  <c r="T5" i="57" s="1"/>
  <c r="T13" i="57" s="1"/>
  <c r="D17" i="58" s="1"/>
  <c r="D31" i="58" s="1"/>
  <c r="O8" i="57"/>
  <c r="AD8" i="57"/>
  <c r="AH14" i="57" s="1"/>
  <c r="N8" i="57"/>
  <c r="AD7" i="57" s="1"/>
  <c r="M8" i="57"/>
  <c r="AD6" i="57" s="1"/>
  <c r="L8" i="57"/>
  <c r="AD5" i="57"/>
  <c r="O7" i="57"/>
  <c r="AL8" i="57"/>
  <c r="AV14" i="57" s="1"/>
  <c r="N7" i="57"/>
  <c r="AL7" i="57"/>
  <c r="M7" i="57"/>
  <c r="AL6" i="57" s="1"/>
  <c r="L7" i="57"/>
  <c r="O6" i="57"/>
  <c r="AC8" i="57" s="1"/>
  <c r="AG14" i="57" s="1"/>
  <c r="N6" i="57"/>
  <c r="AC7" i="57" s="1"/>
  <c r="M6" i="57"/>
  <c r="AC6" i="57"/>
  <c r="L6" i="57"/>
  <c r="O5" i="57"/>
  <c r="AF8" i="57"/>
  <c r="AK14" i="57" s="1"/>
  <c r="N5" i="57"/>
  <c r="AF7" i="57" s="1"/>
  <c r="M5" i="57"/>
  <c r="AF6" i="57"/>
  <c r="L5" i="57"/>
  <c r="AF5" i="57"/>
  <c r="AK13" i="57"/>
  <c r="U17" i="58" s="1"/>
  <c r="U31" i="58" s="1"/>
  <c r="AV13" i="57"/>
  <c r="AF17" i="58"/>
  <c r="AF31" i="58" s="1"/>
  <c r="AW13" i="57"/>
  <c r="AG17" i="58" s="1"/>
  <c r="AG31" i="58" s="1"/>
  <c r="E71" i="53"/>
  <c r="E115" i="53"/>
  <c r="E159" i="53" s="1"/>
  <c r="E204" i="53" s="1"/>
  <c r="E248" i="53" s="1"/>
  <c r="E70" i="53"/>
  <c r="E114" i="53" s="1"/>
  <c r="E158" i="53" s="1"/>
  <c r="E203" i="53" s="1"/>
  <c r="E247" i="53" s="1"/>
  <c r="D7" i="53"/>
  <c r="M40" i="29"/>
  <c r="M39" i="29"/>
  <c r="M38" i="29"/>
  <c r="M28" i="29"/>
  <c r="L40" i="29"/>
  <c r="C37" i="53"/>
  <c r="C81" i="53" s="1"/>
  <c r="C125" i="53"/>
  <c r="C169" i="53" s="1"/>
  <c r="C214" i="53" s="1"/>
  <c r="C258" i="53" s="1"/>
  <c r="L39" i="29"/>
  <c r="C36" i="53"/>
  <c r="C80" i="53" s="1"/>
  <c r="C124" i="53" s="1"/>
  <c r="C168" i="53" s="1"/>
  <c r="C213" i="53" s="1"/>
  <c r="C257" i="53" s="1"/>
  <c r="L38" i="29"/>
  <c r="L28" i="29"/>
  <c r="M30" i="29"/>
  <c r="M29" i="29"/>
  <c r="M10" i="29"/>
  <c r="M9" i="29"/>
  <c r="L30" i="29"/>
  <c r="C27" i="53" s="1"/>
  <c r="C71" i="53" s="1"/>
  <c r="C115" i="53" s="1"/>
  <c r="C159" i="53"/>
  <c r="C204" i="53"/>
  <c r="C248" i="53" s="1"/>
  <c r="L29" i="29"/>
  <c r="C26" i="53"/>
  <c r="C70" i="53" s="1"/>
  <c r="C114" i="53" s="1"/>
  <c r="C158" i="53" s="1"/>
  <c r="C203" i="53" s="1"/>
  <c r="C247" i="53" s="1"/>
  <c r="L19" i="29"/>
  <c r="C16" i="53"/>
  <c r="C60" i="53" s="1"/>
  <c r="C104" i="53" s="1"/>
  <c r="C148" i="53" s="1"/>
  <c r="C193" i="53" s="1"/>
  <c r="C237" i="53" s="1"/>
  <c r="M20" i="29"/>
  <c r="M19" i="29"/>
  <c r="M18" i="29"/>
  <c r="M8" i="29"/>
  <c r="L20" i="29"/>
  <c r="C17" i="53" s="1"/>
  <c r="C61" i="53"/>
  <c r="C105" i="53" s="1"/>
  <c r="C149" i="53"/>
  <c r="C194" i="53" s="1"/>
  <c r="C238" i="53" s="1"/>
  <c r="L18" i="29"/>
  <c r="L8" i="29"/>
  <c r="L10" i="29"/>
  <c r="C7" i="53" s="1"/>
  <c r="C51" i="53" s="1"/>
  <c r="C95" i="53" s="1"/>
  <c r="C139" i="53" s="1"/>
  <c r="C184" i="53" s="1"/>
  <c r="C228" i="53" s="1"/>
  <c r="L9" i="29"/>
  <c r="C6" i="53"/>
  <c r="C50" i="53" s="1"/>
  <c r="C94" i="53" s="1"/>
  <c r="C138" i="53" s="1"/>
  <c r="C183" i="53" s="1"/>
  <c r="C227" i="53" s="1"/>
  <c r="D6" i="53"/>
  <c r="AS96" i="35"/>
  <c r="AR96" i="35"/>
  <c r="AQ96" i="35"/>
  <c r="AP96" i="35"/>
  <c r="AO96" i="35"/>
  <c r="AN96" i="35"/>
  <c r="AM96" i="35"/>
  <c r="AL96" i="35"/>
  <c r="AK96" i="35"/>
  <c r="AJ96" i="35"/>
  <c r="AI96" i="35"/>
  <c r="AH96" i="35"/>
  <c r="AG96" i="35"/>
  <c r="AF96" i="35"/>
  <c r="AE96" i="35"/>
  <c r="AD96" i="35"/>
  <c r="AC96" i="35"/>
  <c r="AB96" i="35"/>
  <c r="AA96" i="35"/>
  <c r="Z96" i="35"/>
  <c r="Y96" i="35"/>
  <c r="X96" i="35"/>
  <c r="W96" i="35"/>
  <c r="V96" i="35"/>
  <c r="U96" i="35"/>
  <c r="T96" i="35"/>
  <c r="S96" i="35"/>
  <c r="R96" i="35"/>
  <c r="Q96" i="35"/>
  <c r="P96" i="35"/>
  <c r="O96" i="35"/>
  <c r="N96" i="35"/>
  <c r="M96" i="35"/>
  <c r="L96" i="35"/>
  <c r="K96" i="35"/>
  <c r="J96" i="35"/>
  <c r="I96" i="35"/>
  <c r="AT16" i="35"/>
  <c r="AT20" i="35" s="1"/>
  <c r="AS16" i="35"/>
  <c r="AS20" i="35" s="1"/>
  <c r="AR16" i="35"/>
  <c r="AR20" i="35" s="1"/>
  <c r="AQ16" i="35"/>
  <c r="AQ20" i="35"/>
  <c r="AP16" i="35"/>
  <c r="AP20" i="35" s="1"/>
  <c r="AO16" i="35"/>
  <c r="AO20" i="35" s="1"/>
  <c r="AN16" i="35"/>
  <c r="AN20" i="35" s="1"/>
  <c r="AM16" i="35"/>
  <c r="AM20" i="35" s="1"/>
  <c r="AL16" i="35"/>
  <c r="AL20" i="35" s="1"/>
  <c r="AK16" i="35"/>
  <c r="AK20" i="35"/>
  <c r="AJ16" i="35"/>
  <c r="AJ20" i="35" s="1"/>
  <c r="AI16" i="35"/>
  <c r="AI20" i="35" s="1"/>
  <c r="AH16" i="35"/>
  <c r="AH20" i="35" s="1"/>
  <c r="AG16" i="35"/>
  <c r="AG20" i="35" s="1"/>
  <c r="AF16" i="35"/>
  <c r="AF20" i="35" s="1"/>
  <c r="AE16" i="35"/>
  <c r="AE20" i="35" s="1"/>
  <c r="AD16" i="35"/>
  <c r="AD20" i="35" s="1"/>
  <c r="AC16" i="35"/>
  <c r="AC20" i="35" s="1"/>
  <c r="AB16" i="35"/>
  <c r="AB20" i="35" s="1"/>
  <c r="AA16" i="35"/>
  <c r="AA20" i="35" s="1"/>
  <c r="Z16" i="35"/>
  <c r="Z20" i="35"/>
  <c r="Y16" i="35"/>
  <c r="Y20" i="35" s="1"/>
  <c r="X16" i="35"/>
  <c r="X20" i="35" s="1"/>
  <c r="W16" i="35"/>
  <c r="W20" i="35" s="1"/>
  <c r="V16" i="35"/>
  <c r="V20" i="35" s="1"/>
  <c r="U16" i="35"/>
  <c r="U20" i="35" s="1"/>
  <c r="T16" i="35"/>
  <c r="T20" i="35" s="1"/>
  <c r="S16" i="35"/>
  <c r="S20" i="35" s="1"/>
  <c r="R16" i="35"/>
  <c r="R20" i="35" s="1"/>
  <c r="Q16" i="35"/>
  <c r="Q20" i="35" s="1"/>
  <c r="P16" i="35"/>
  <c r="P20" i="35" s="1"/>
  <c r="O16" i="35"/>
  <c r="O20" i="35" s="1"/>
  <c r="N16" i="35"/>
  <c r="N20" i="35" s="1"/>
  <c r="M16" i="35"/>
  <c r="M20" i="35" s="1"/>
  <c r="L16" i="35"/>
  <c r="L20" i="35" s="1"/>
  <c r="K16" i="35"/>
  <c r="K20" i="35"/>
  <c r="J16" i="35"/>
  <c r="J20" i="35" s="1"/>
  <c r="D330" i="53"/>
  <c r="D331" i="53"/>
  <c r="D332" i="53"/>
  <c r="D333" i="53"/>
  <c r="D334" i="53"/>
  <c r="D335" i="53"/>
  <c r="D336" i="53"/>
  <c r="D337" i="53"/>
  <c r="D338" i="53"/>
  <c r="D339" i="53"/>
  <c r="D340" i="53"/>
  <c r="D341" i="53"/>
  <c r="D342" i="53"/>
  <c r="D343" i="53"/>
  <c r="D344" i="53"/>
  <c r="D345" i="53"/>
  <c r="D346" i="53"/>
  <c r="D347" i="53"/>
  <c r="D348" i="53"/>
  <c r="D349" i="53"/>
  <c r="D350" i="53"/>
  <c r="D351" i="53"/>
  <c r="D352" i="53"/>
  <c r="D353" i="53"/>
  <c r="D354" i="53"/>
  <c r="D355" i="53"/>
  <c r="D356" i="53"/>
  <c r="D357" i="53"/>
  <c r="D358" i="53"/>
  <c r="D359" i="53"/>
  <c r="D360" i="53"/>
  <c r="D329" i="53"/>
  <c r="D14" i="53"/>
  <c r="A14" i="53"/>
  <c r="A24" i="53" s="1"/>
  <c r="M47" i="29"/>
  <c r="L47" i="29"/>
  <c r="M37" i="29"/>
  <c r="L37" i="29"/>
  <c r="C34" i="53" s="1"/>
  <c r="C78" i="53" s="1"/>
  <c r="C122" i="53" s="1"/>
  <c r="C166" i="53" s="1"/>
  <c r="C211" i="53" s="1"/>
  <c r="C352" i="53" s="1"/>
  <c r="C387" i="53" s="1"/>
  <c r="M27" i="29"/>
  <c r="L27" i="29"/>
  <c r="M17" i="29"/>
  <c r="L17" i="29"/>
  <c r="AP2" i="56"/>
  <c r="AO2" i="56"/>
  <c r="AN2" i="56"/>
  <c r="AM2" i="56"/>
  <c r="AL2" i="56"/>
  <c r="AK2" i="56"/>
  <c r="AJ2" i="56"/>
  <c r="AI2" i="56"/>
  <c r="AH2" i="56"/>
  <c r="AG2" i="56"/>
  <c r="AF2" i="56"/>
  <c r="AE2" i="56"/>
  <c r="AD2" i="56"/>
  <c r="AC2" i="56"/>
  <c r="AB2" i="56"/>
  <c r="AA2" i="56"/>
  <c r="Z2" i="56"/>
  <c r="Y2" i="56"/>
  <c r="X2" i="56"/>
  <c r="W2" i="56"/>
  <c r="V2" i="56"/>
  <c r="U2" i="56"/>
  <c r="T2" i="56"/>
  <c r="S2" i="56"/>
  <c r="R2" i="56"/>
  <c r="Q2" i="56"/>
  <c r="P2" i="56"/>
  <c r="O2" i="56"/>
  <c r="N2" i="56"/>
  <c r="M2" i="56"/>
  <c r="L2" i="56"/>
  <c r="K2" i="56"/>
  <c r="J2" i="56"/>
  <c r="I2" i="56"/>
  <c r="H2" i="56"/>
  <c r="G2" i="56"/>
  <c r="F2" i="56"/>
  <c r="AP33" i="55"/>
  <c r="AO33" i="55"/>
  <c r="AN33" i="55"/>
  <c r="AM33" i="55"/>
  <c r="AL33" i="55"/>
  <c r="AK33" i="55"/>
  <c r="AJ33" i="55"/>
  <c r="AI33" i="55"/>
  <c r="AH33" i="55"/>
  <c r="AG33" i="55"/>
  <c r="AF33" i="55"/>
  <c r="AE33" i="55"/>
  <c r="AD33" i="55"/>
  <c r="AC33" i="55"/>
  <c r="AB33" i="55"/>
  <c r="AA33" i="55"/>
  <c r="Z33" i="55"/>
  <c r="Y33" i="55"/>
  <c r="X33" i="55"/>
  <c r="W33" i="55"/>
  <c r="V33" i="55"/>
  <c r="U33" i="55"/>
  <c r="T33" i="55"/>
  <c r="S33" i="55"/>
  <c r="R33" i="55"/>
  <c r="Q33" i="55"/>
  <c r="P33" i="55"/>
  <c r="O33" i="55"/>
  <c r="N33" i="55"/>
  <c r="M33" i="55"/>
  <c r="L33" i="55"/>
  <c r="K33" i="55"/>
  <c r="J33" i="55"/>
  <c r="I33" i="55"/>
  <c r="H33" i="55"/>
  <c r="G33" i="55"/>
  <c r="F33" i="55"/>
  <c r="AR27" i="55"/>
  <c r="AR26" i="55"/>
  <c r="AR25" i="55"/>
  <c r="AR24" i="55"/>
  <c r="AR23" i="55"/>
  <c r="A19" i="55"/>
  <c r="A27" i="55" s="1"/>
  <c r="D11" i="55"/>
  <c r="D19" i="55" s="1"/>
  <c r="D27" i="55" s="1"/>
  <c r="D10" i="55"/>
  <c r="D18" i="55"/>
  <c r="D26" i="55" s="1"/>
  <c r="A10" i="55"/>
  <c r="D9" i="55"/>
  <c r="D17" i="55" s="1"/>
  <c r="D25" i="55" s="1"/>
  <c r="A9" i="55"/>
  <c r="D8" i="55"/>
  <c r="D16" i="55"/>
  <c r="D24" i="55" s="1"/>
  <c r="A8" i="55"/>
  <c r="D7" i="55"/>
  <c r="D15" i="55"/>
  <c r="D23" i="55" s="1"/>
  <c r="A7" i="55"/>
  <c r="D6" i="55"/>
  <c r="D14" i="55"/>
  <c r="D22" i="55"/>
  <c r="A6" i="55"/>
  <c r="A14" i="55" s="1"/>
  <c r="A22" i="55" s="1"/>
  <c r="D13" i="55"/>
  <c r="D21" i="55" s="1"/>
  <c r="A5" i="55"/>
  <c r="A13" i="55" s="1"/>
  <c r="A21" i="55" s="1"/>
  <c r="D12" i="55"/>
  <c r="D20" i="55"/>
  <c r="A4" i="55"/>
  <c r="AP3" i="55"/>
  <c r="AO3" i="55"/>
  <c r="AN3" i="55"/>
  <c r="AM3" i="55"/>
  <c r="AL3" i="55"/>
  <c r="AK3" i="55"/>
  <c r="AJ3" i="55"/>
  <c r="AI3" i="55"/>
  <c r="AH3" i="55"/>
  <c r="AG3" i="55"/>
  <c r="AF3" i="55"/>
  <c r="AE3" i="55"/>
  <c r="AD3" i="55"/>
  <c r="AC3" i="55"/>
  <c r="AB3" i="55"/>
  <c r="AA3" i="55"/>
  <c r="Z3" i="55"/>
  <c r="Y3" i="55"/>
  <c r="X3" i="55"/>
  <c r="W3" i="55"/>
  <c r="V3" i="55"/>
  <c r="U3" i="55"/>
  <c r="T3" i="55"/>
  <c r="S3" i="55"/>
  <c r="R3" i="55"/>
  <c r="Q3" i="55"/>
  <c r="P3" i="55"/>
  <c r="O3" i="55"/>
  <c r="N3" i="55"/>
  <c r="M3" i="55"/>
  <c r="L3" i="55"/>
  <c r="K3" i="55"/>
  <c r="J3" i="55"/>
  <c r="I3" i="55"/>
  <c r="H3" i="55"/>
  <c r="G3" i="55"/>
  <c r="F3" i="55"/>
  <c r="AS7" i="55"/>
  <c r="A15" i="55"/>
  <c r="A23" i="55" s="1"/>
  <c r="AS11" i="55"/>
  <c r="A16" i="55"/>
  <c r="A24" i="55" s="1"/>
  <c r="A12" i="55"/>
  <c r="A20" i="55" s="1"/>
  <c r="A17" i="55"/>
  <c r="A25" i="55" s="1"/>
  <c r="A18" i="55"/>
  <c r="AS4" i="55"/>
  <c r="AS10" i="55"/>
  <c r="AS5" i="55"/>
  <c r="AS6" i="55"/>
  <c r="AS9" i="55"/>
  <c r="A26" i="55"/>
  <c r="AS19" i="55"/>
  <c r="AS8" i="55"/>
  <c r="AS14" i="55"/>
  <c r="AS13" i="55"/>
  <c r="AS21" i="55"/>
  <c r="AS27" i="55"/>
  <c r="AS15" i="55"/>
  <c r="AS12" i="55"/>
  <c r="AS16" i="55"/>
  <c r="AS24" i="55"/>
  <c r="AS18" i="55"/>
  <c r="AS17" i="55"/>
  <c r="D310" i="53"/>
  <c r="E310" i="53"/>
  <c r="E69" i="53"/>
  <c r="E113" i="53"/>
  <c r="E157" i="53"/>
  <c r="E202" i="53"/>
  <c r="E345" i="53" s="1"/>
  <c r="E380" i="53" s="1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AN22" i="16"/>
  <c r="AM22" i="16"/>
  <c r="AL22" i="16"/>
  <c r="AK22" i="16"/>
  <c r="E28" i="53"/>
  <c r="E29" i="53" s="1"/>
  <c r="E30" i="53" s="1"/>
  <c r="E31" i="53"/>
  <c r="E246" i="53"/>
  <c r="AS26" i="55"/>
  <c r="AS20" i="55"/>
  <c r="AS25" i="55"/>
  <c r="AS22" i="55"/>
  <c r="AS23" i="55"/>
  <c r="E72" i="53"/>
  <c r="E116" i="53" s="1"/>
  <c r="E160" i="53" s="1"/>
  <c r="E205" i="53" s="1"/>
  <c r="E73" i="53"/>
  <c r="E117" i="53" s="1"/>
  <c r="E161" i="53" s="1"/>
  <c r="E206" i="53" s="1"/>
  <c r="E74" i="53"/>
  <c r="E118" i="53"/>
  <c r="E162" i="53" s="1"/>
  <c r="E207" i="53" s="1"/>
  <c r="M6" i="29"/>
  <c r="L6" i="29"/>
  <c r="M5" i="29"/>
  <c r="M31" i="29"/>
  <c r="M32" i="29"/>
  <c r="M33" i="29"/>
  <c r="M34" i="29"/>
  <c r="M35" i="29"/>
  <c r="M36" i="29"/>
  <c r="L31" i="29"/>
  <c r="C28" i="53" s="1"/>
  <c r="C72" i="53" s="1"/>
  <c r="C116" i="53" s="1"/>
  <c r="C160" i="53" s="1"/>
  <c r="C205" i="53" s="1"/>
  <c r="L32" i="29"/>
  <c r="C29" i="53" s="1"/>
  <c r="C73" i="53" s="1"/>
  <c r="C117" i="53" s="1"/>
  <c r="C161" i="53" s="1"/>
  <c r="C206" i="53" s="1"/>
  <c r="L33" i="29"/>
  <c r="C30" i="53"/>
  <c r="C74" i="53"/>
  <c r="C118" i="53" s="1"/>
  <c r="C162" i="53" s="1"/>
  <c r="C207" i="53" s="1"/>
  <c r="C251" i="53" s="1"/>
  <c r="L34" i="29"/>
  <c r="C31" i="53" s="1"/>
  <c r="C75" i="53" s="1"/>
  <c r="C119" i="53" s="1"/>
  <c r="C163" i="53" s="1"/>
  <c r="C208" i="53" s="1"/>
  <c r="L35" i="29"/>
  <c r="C32" i="53"/>
  <c r="C76" i="53" s="1"/>
  <c r="C120" i="53" s="1"/>
  <c r="C164" i="53" s="1"/>
  <c r="C209" i="53" s="1"/>
  <c r="L36" i="29"/>
  <c r="C33" i="53" s="1"/>
  <c r="C77" i="53"/>
  <c r="C121" i="53" s="1"/>
  <c r="C165" i="53" s="1"/>
  <c r="C210" i="53" s="1"/>
  <c r="C25" i="53"/>
  <c r="C69" i="53" s="1"/>
  <c r="C113" i="53" s="1"/>
  <c r="C157" i="53" s="1"/>
  <c r="C202" i="53"/>
  <c r="M21" i="29"/>
  <c r="M22" i="29"/>
  <c r="M23" i="29"/>
  <c r="M24" i="29"/>
  <c r="M25" i="29"/>
  <c r="M26" i="29"/>
  <c r="L5" i="29"/>
  <c r="C255" i="53"/>
  <c r="H8" i="54"/>
  <c r="H9" i="54"/>
  <c r="H10" i="54"/>
  <c r="H11" i="54"/>
  <c r="H12" i="54"/>
  <c r="H13" i="54"/>
  <c r="H14" i="54"/>
  <c r="H15" i="54"/>
  <c r="H16" i="54"/>
  <c r="H17" i="54"/>
  <c r="H18" i="54"/>
  <c r="H19" i="54"/>
  <c r="H20" i="54"/>
  <c r="H21" i="54"/>
  <c r="H22" i="54"/>
  <c r="H23" i="54"/>
  <c r="H24" i="54"/>
  <c r="H25" i="54"/>
  <c r="H26" i="54"/>
  <c r="H27" i="54"/>
  <c r="H28" i="54"/>
  <c r="H29" i="54"/>
  <c r="H30" i="54"/>
  <c r="H31" i="54"/>
  <c r="H32" i="54"/>
  <c r="H33" i="54"/>
  <c r="H34" i="54"/>
  <c r="H35" i="54"/>
  <c r="H36" i="54"/>
  <c r="H37" i="54"/>
  <c r="H7" i="54"/>
  <c r="O91" i="29"/>
  <c r="O92" i="29"/>
  <c r="O93" i="29"/>
  <c r="O94" i="29"/>
  <c r="O95" i="29"/>
  <c r="O90" i="29"/>
  <c r="H18" i="8"/>
  <c r="J116" i="28"/>
  <c r="J83" i="28"/>
  <c r="J147" i="28"/>
  <c r="G147" i="28" s="1"/>
  <c r="AA11" i="52"/>
  <c r="G11" i="52"/>
  <c r="F139" i="11"/>
  <c r="F138" i="11"/>
  <c r="F137" i="11"/>
  <c r="F136" i="11"/>
  <c r="F135" i="11"/>
  <c r="F134" i="11"/>
  <c r="F133" i="11"/>
  <c r="F132" i="11"/>
  <c r="F131" i="11"/>
  <c r="F130" i="11"/>
  <c r="F129" i="11"/>
  <c r="F128" i="11"/>
  <c r="F127" i="11"/>
  <c r="D127" i="11"/>
  <c r="D130" i="11" s="1"/>
  <c r="D133" i="11" s="1"/>
  <c r="D136" i="11" s="1"/>
  <c r="D139" i="11" s="1"/>
  <c r="F126" i="11"/>
  <c r="D126" i="11"/>
  <c r="D129" i="11"/>
  <c r="D132" i="11"/>
  <c r="D135" i="11" s="1"/>
  <c r="D138" i="11" s="1"/>
  <c r="F125" i="11"/>
  <c r="D125" i="11"/>
  <c r="D128" i="11" s="1"/>
  <c r="D131" i="11" s="1"/>
  <c r="D134" i="11" s="1"/>
  <c r="D137" i="11" s="1"/>
  <c r="F124" i="11"/>
  <c r="F123" i="11"/>
  <c r="F122" i="11"/>
  <c r="AP79" i="48"/>
  <c r="AO79" i="48"/>
  <c r="AN79" i="48"/>
  <c r="AM79" i="48"/>
  <c r="AL79" i="48"/>
  <c r="AK79" i="48"/>
  <c r="AJ79" i="48"/>
  <c r="AI79" i="48"/>
  <c r="AH79" i="48"/>
  <c r="AG79" i="48"/>
  <c r="AF79" i="48"/>
  <c r="AE79" i="48"/>
  <c r="AD79" i="48"/>
  <c r="AC79" i="48"/>
  <c r="AB79" i="48"/>
  <c r="AA79" i="48"/>
  <c r="Z79" i="48"/>
  <c r="Y79" i="48"/>
  <c r="X79" i="48"/>
  <c r="W79" i="48"/>
  <c r="V79" i="48"/>
  <c r="U79" i="48"/>
  <c r="T79" i="48"/>
  <c r="S79" i="48"/>
  <c r="R79" i="48"/>
  <c r="Q79" i="48"/>
  <c r="P79" i="48"/>
  <c r="O79" i="48"/>
  <c r="N79" i="48"/>
  <c r="M79" i="48"/>
  <c r="L79" i="48"/>
  <c r="K79" i="48"/>
  <c r="J79" i="48"/>
  <c r="I79" i="48"/>
  <c r="H79" i="48"/>
  <c r="G79" i="48"/>
  <c r="F79" i="48"/>
  <c r="AP60" i="48"/>
  <c r="AO60" i="48"/>
  <c r="AN60" i="48"/>
  <c r="AM60" i="48"/>
  <c r="AL60" i="48"/>
  <c r="AK60" i="48"/>
  <c r="AJ60" i="48"/>
  <c r="AI60" i="48"/>
  <c r="AH60" i="48"/>
  <c r="AG60" i="48"/>
  <c r="AF60" i="48"/>
  <c r="AE60" i="48"/>
  <c r="AD60" i="48"/>
  <c r="AC60" i="48"/>
  <c r="AB60" i="48"/>
  <c r="AA60" i="48"/>
  <c r="Z60" i="48"/>
  <c r="Y60" i="48"/>
  <c r="X60" i="48"/>
  <c r="W60" i="48"/>
  <c r="V60" i="48"/>
  <c r="U60" i="48"/>
  <c r="T60" i="48"/>
  <c r="S60" i="48"/>
  <c r="R60" i="48"/>
  <c r="Q60" i="48"/>
  <c r="P60" i="48"/>
  <c r="O60" i="48"/>
  <c r="N60" i="48"/>
  <c r="M60" i="48"/>
  <c r="L60" i="48"/>
  <c r="K60" i="48"/>
  <c r="J60" i="48"/>
  <c r="I60" i="48"/>
  <c r="H60" i="48"/>
  <c r="G60" i="48"/>
  <c r="F60" i="48"/>
  <c r="AP41" i="48"/>
  <c r="AO41" i="48"/>
  <c r="AN41" i="48"/>
  <c r="AM41" i="48"/>
  <c r="AL41" i="48"/>
  <c r="AK41" i="48"/>
  <c r="AJ41" i="48"/>
  <c r="AI41" i="48"/>
  <c r="AH41" i="48"/>
  <c r="AG41" i="48"/>
  <c r="AF41" i="48"/>
  <c r="AE41" i="48"/>
  <c r="AD41" i="48"/>
  <c r="AC41" i="48"/>
  <c r="AB41" i="48"/>
  <c r="AA41" i="48"/>
  <c r="Z41" i="48"/>
  <c r="Y41" i="48"/>
  <c r="X41" i="48"/>
  <c r="W41" i="48"/>
  <c r="V41" i="48"/>
  <c r="U41" i="48"/>
  <c r="T41" i="48"/>
  <c r="S41" i="48"/>
  <c r="R41" i="48"/>
  <c r="Q41" i="48"/>
  <c r="P41" i="48"/>
  <c r="O41" i="48"/>
  <c r="N41" i="48"/>
  <c r="M41" i="48"/>
  <c r="L41" i="48"/>
  <c r="K41" i="48"/>
  <c r="J41" i="48"/>
  <c r="I41" i="48"/>
  <c r="H41" i="48"/>
  <c r="G41" i="48"/>
  <c r="F41" i="48"/>
  <c r="AP22" i="48"/>
  <c r="AO22" i="48"/>
  <c r="AN22" i="48"/>
  <c r="AM22" i="48"/>
  <c r="AL22" i="48"/>
  <c r="AK22" i="48"/>
  <c r="AJ22" i="48"/>
  <c r="AI22" i="48"/>
  <c r="AH22" i="48"/>
  <c r="AG22" i="48"/>
  <c r="AF22" i="48"/>
  <c r="AE22" i="48"/>
  <c r="AD22" i="48"/>
  <c r="AC22" i="48"/>
  <c r="AB22" i="48"/>
  <c r="AA22" i="48"/>
  <c r="Z22" i="48"/>
  <c r="Y22" i="48"/>
  <c r="X22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AP3" i="48"/>
  <c r="AO3" i="48"/>
  <c r="AN3" i="48"/>
  <c r="AM3" i="48"/>
  <c r="AL3" i="48"/>
  <c r="AK3" i="48"/>
  <c r="AJ3" i="48"/>
  <c r="AI3" i="48"/>
  <c r="AH3" i="48"/>
  <c r="AG3" i="48"/>
  <c r="AF3" i="48"/>
  <c r="AE3" i="48"/>
  <c r="AD3" i="48"/>
  <c r="AC3" i="48"/>
  <c r="AB3" i="48"/>
  <c r="AA3" i="48"/>
  <c r="Z3" i="48"/>
  <c r="Y3" i="48"/>
  <c r="X3" i="48"/>
  <c r="W3" i="48"/>
  <c r="V3" i="48"/>
  <c r="U3" i="48"/>
  <c r="T3" i="48"/>
  <c r="S3" i="48"/>
  <c r="R3" i="48"/>
  <c r="Q3" i="48"/>
  <c r="P3" i="48"/>
  <c r="O3" i="48"/>
  <c r="N3" i="48"/>
  <c r="M3" i="48"/>
  <c r="L3" i="48"/>
  <c r="K3" i="48"/>
  <c r="J3" i="48"/>
  <c r="I3" i="48"/>
  <c r="H3" i="48"/>
  <c r="G3" i="48"/>
  <c r="F3" i="48"/>
  <c r="AP31" i="47"/>
  <c r="AO31" i="47"/>
  <c r="AN31" i="47"/>
  <c r="AM31" i="47"/>
  <c r="AL31" i="47"/>
  <c r="AK31" i="47"/>
  <c r="AJ31" i="47"/>
  <c r="AI31" i="47"/>
  <c r="AH31" i="47"/>
  <c r="AG31" i="47"/>
  <c r="AF31" i="47"/>
  <c r="AE31" i="47"/>
  <c r="AD31" i="47"/>
  <c r="AC31" i="47"/>
  <c r="AB31" i="47"/>
  <c r="AA31" i="47"/>
  <c r="Z31" i="47"/>
  <c r="Y31" i="47"/>
  <c r="X31" i="47"/>
  <c r="W31" i="47"/>
  <c r="V31" i="47"/>
  <c r="U31" i="47"/>
  <c r="T31" i="47"/>
  <c r="S31" i="47"/>
  <c r="R31" i="47"/>
  <c r="Q31" i="47"/>
  <c r="P31" i="47"/>
  <c r="O31" i="47"/>
  <c r="N31" i="47"/>
  <c r="M31" i="47"/>
  <c r="L31" i="47"/>
  <c r="K31" i="47"/>
  <c r="J31" i="47"/>
  <c r="I31" i="47"/>
  <c r="H31" i="47"/>
  <c r="G31" i="47"/>
  <c r="F31" i="47"/>
  <c r="AP24" i="47"/>
  <c r="AO24" i="47"/>
  <c r="AN24" i="47"/>
  <c r="AM24" i="47"/>
  <c r="AL24" i="47"/>
  <c r="AK24" i="47"/>
  <c r="AJ24" i="47"/>
  <c r="AI24" i="47"/>
  <c r="AH24" i="47"/>
  <c r="AG24" i="47"/>
  <c r="AF24" i="47"/>
  <c r="AE24" i="47"/>
  <c r="AD24" i="47"/>
  <c r="AC24" i="47"/>
  <c r="AB24" i="47"/>
  <c r="AA24" i="47"/>
  <c r="Z24" i="47"/>
  <c r="Y24" i="47"/>
  <c r="X24" i="47"/>
  <c r="W24" i="47"/>
  <c r="V24" i="47"/>
  <c r="U24" i="47"/>
  <c r="T24" i="47"/>
  <c r="S24" i="47"/>
  <c r="R24" i="47"/>
  <c r="Q24" i="47"/>
  <c r="P24" i="47"/>
  <c r="O24" i="47"/>
  <c r="N24" i="47"/>
  <c r="M24" i="47"/>
  <c r="L24" i="47"/>
  <c r="K24" i="47"/>
  <c r="J24" i="47"/>
  <c r="I24" i="47"/>
  <c r="H24" i="47"/>
  <c r="G24" i="47"/>
  <c r="F24" i="47"/>
  <c r="AP17" i="47"/>
  <c r="AO17" i="47"/>
  <c r="AN17" i="47"/>
  <c r="AM17" i="47"/>
  <c r="AL17" i="47"/>
  <c r="AK17" i="47"/>
  <c r="AJ17" i="47"/>
  <c r="AI17" i="47"/>
  <c r="AH17" i="47"/>
  <c r="AG17" i="47"/>
  <c r="AF17" i="47"/>
  <c r="AE17" i="47"/>
  <c r="AD17" i="47"/>
  <c r="AC17" i="47"/>
  <c r="AB17" i="47"/>
  <c r="AA17" i="47"/>
  <c r="Z17" i="47"/>
  <c r="Y17" i="47"/>
  <c r="X17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AP10" i="47"/>
  <c r="AO10" i="47"/>
  <c r="AN10" i="47"/>
  <c r="AM10" i="47"/>
  <c r="AL10" i="47"/>
  <c r="AK10" i="47"/>
  <c r="AJ10" i="47"/>
  <c r="AI10" i="47"/>
  <c r="AH10" i="47"/>
  <c r="AG10" i="47"/>
  <c r="AF10" i="47"/>
  <c r="AE10" i="47"/>
  <c r="AD10" i="47"/>
  <c r="AC10" i="47"/>
  <c r="AB10" i="47"/>
  <c r="AA10" i="47"/>
  <c r="Z10" i="47"/>
  <c r="Y10" i="47"/>
  <c r="X10" i="47"/>
  <c r="W10" i="47"/>
  <c r="V10" i="47"/>
  <c r="U10" i="47"/>
  <c r="T10" i="47"/>
  <c r="S10" i="47"/>
  <c r="R10" i="47"/>
  <c r="Q10" i="47"/>
  <c r="P10" i="47"/>
  <c r="O10" i="47"/>
  <c r="N10" i="47"/>
  <c r="M10" i="47"/>
  <c r="L10" i="47"/>
  <c r="K10" i="47"/>
  <c r="J10" i="47"/>
  <c r="I10" i="47"/>
  <c r="H10" i="47"/>
  <c r="G10" i="47"/>
  <c r="F10" i="47"/>
  <c r="AP3" i="47"/>
  <c r="AO3" i="47"/>
  <c r="AN3" i="47"/>
  <c r="AM3" i="47"/>
  <c r="AL3" i="47"/>
  <c r="AK3" i="47"/>
  <c r="AJ3" i="47"/>
  <c r="AI3" i="47"/>
  <c r="AH3" i="47"/>
  <c r="AG3" i="47"/>
  <c r="AF3" i="47"/>
  <c r="AE3" i="47"/>
  <c r="AD3" i="47"/>
  <c r="AC3" i="47"/>
  <c r="AB3" i="47"/>
  <c r="AA3" i="47"/>
  <c r="Z3" i="47"/>
  <c r="Y3" i="47"/>
  <c r="X3" i="47"/>
  <c r="W3" i="47"/>
  <c r="V3" i="47"/>
  <c r="U3" i="47"/>
  <c r="T3" i="47"/>
  <c r="S3" i="47"/>
  <c r="R3" i="47"/>
  <c r="Q3" i="47"/>
  <c r="P3" i="47"/>
  <c r="O3" i="47"/>
  <c r="N3" i="47"/>
  <c r="M3" i="47"/>
  <c r="L3" i="47"/>
  <c r="K3" i="47"/>
  <c r="J3" i="47"/>
  <c r="I3" i="47"/>
  <c r="H3" i="47"/>
  <c r="G3" i="47"/>
  <c r="F3" i="47"/>
  <c r="AP115" i="36"/>
  <c r="AO115" i="36"/>
  <c r="AN115" i="36"/>
  <c r="AM115" i="36"/>
  <c r="AL115" i="36"/>
  <c r="AK115" i="36"/>
  <c r="AJ115" i="36"/>
  <c r="AI115" i="36"/>
  <c r="AH115" i="36"/>
  <c r="AG115" i="36"/>
  <c r="AF115" i="36"/>
  <c r="AE115" i="36"/>
  <c r="AD115" i="36"/>
  <c r="AC115" i="36"/>
  <c r="AB115" i="36"/>
  <c r="AA115" i="36"/>
  <c r="Z115" i="36"/>
  <c r="Y115" i="36"/>
  <c r="X115" i="36"/>
  <c r="W115" i="36"/>
  <c r="V115" i="36"/>
  <c r="U115" i="36"/>
  <c r="T115" i="36"/>
  <c r="S115" i="36"/>
  <c r="R115" i="36"/>
  <c r="Q115" i="36"/>
  <c r="P115" i="36"/>
  <c r="O115" i="36"/>
  <c r="N115" i="36"/>
  <c r="M115" i="36"/>
  <c r="L115" i="36"/>
  <c r="K115" i="36"/>
  <c r="J115" i="36"/>
  <c r="I115" i="36"/>
  <c r="H115" i="36"/>
  <c r="G115" i="36"/>
  <c r="F115" i="36"/>
  <c r="AP87" i="36"/>
  <c r="AO87" i="36"/>
  <c r="AN87" i="36"/>
  <c r="AM87" i="36"/>
  <c r="AL87" i="36"/>
  <c r="AK87" i="36"/>
  <c r="AJ87" i="36"/>
  <c r="AI87" i="36"/>
  <c r="AH87" i="36"/>
  <c r="AG87" i="36"/>
  <c r="AF87" i="36"/>
  <c r="AE87" i="36"/>
  <c r="AD87" i="36"/>
  <c r="AC87" i="36"/>
  <c r="AB87" i="36"/>
  <c r="AA87" i="36"/>
  <c r="Z87" i="36"/>
  <c r="Y87" i="36"/>
  <c r="X87" i="36"/>
  <c r="W87" i="36"/>
  <c r="V87" i="36"/>
  <c r="U87" i="36"/>
  <c r="T87" i="36"/>
  <c r="S87" i="36"/>
  <c r="R87" i="36"/>
  <c r="Q87" i="36"/>
  <c r="P87" i="36"/>
  <c r="O87" i="36"/>
  <c r="N87" i="36"/>
  <c r="M87" i="36"/>
  <c r="L87" i="36"/>
  <c r="K87" i="36"/>
  <c r="J87" i="36"/>
  <c r="I87" i="36"/>
  <c r="H87" i="36"/>
  <c r="G87" i="36"/>
  <c r="F87" i="36"/>
  <c r="AP59" i="36"/>
  <c r="AO59" i="36"/>
  <c r="AN59" i="36"/>
  <c r="AM59" i="36"/>
  <c r="AL59" i="36"/>
  <c r="AK59" i="36"/>
  <c r="AJ59" i="36"/>
  <c r="AI59" i="36"/>
  <c r="AH59" i="36"/>
  <c r="AG59" i="36"/>
  <c r="AF59" i="36"/>
  <c r="AE59" i="36"/>
  <c r="AD59" i="36"/>
  <c r="AC59" i="36"/>
  <c r="AB59" i="36"/>
  <c r="AA59" i="36"/>
  <c r="Z59" i="36"/>
  <c r="Y59" i="36"/>
  <c r="X59" i="36"/>
  <c r="W59" i="36"/>
  <c r="V59" i="36"/>
  <c r="U59" i="36"/>
  <c r="T59" i="36"/>
  <c r="S59" i="36"/>
  <c r="R59" i="36"/>
  <c r="Q59" i="36"/>
  <c r="P59" i="36"/>
  <c r="O59" i="36"/>
  <c r="N59" i="36"/>
  <c r="M59" i="36"/>
  <c r="L59" i="36"/>
  <c r="K59" i="36"/>
  <c r="J59" i="36"/>
  <c r="I59" i="36"/>
  <c r="H59" i="36"/>
  <c r="G59" i="36"/>
  <c r="F59" i="36"/>
  <c r="AP31" i="36"/>
  <c r="AO31" i="36"/>
  <c r="AN31" i="36"/>
  <c r="AM31" i="36"/>
  <c r="AL31" i="36"/>
  <c r="AK31" i="36"/>
  <c r="AJ31" i="36"/>
  <c r="AI31" i="36"/>
  <c r="AH31" i="36"/>
  <c r="AG31" i="36"/>
  <c r="AF31" i="36"/>
  <c r="AE31" i="36"/>
  <c r="AD31" i="36"/>
  <c r="AC31" i="36"/>
  <c r="AB31" i="36"/>
  <c r="AA31" i="36"/>
  <c r="Z31" i="36"/>
  <c r="Y31" i="36"/>
  <c r="X31" i="36"/>
  <c r="W31" i="36"/>
  <c r="V31" i="36"/>
  <c r="U31" i="36"/>
  <c r="T31" i="36"/>
  <c r="S31" i="36"/>
  <c r="R31" i="36"/>
  <c r="Q31" i="36"/>
  <c r="P31" i="36"/>
  <c r="O31" i="36"/>
  <c r="N31" i="36"/>
  <c r="M31" i="36"/>
  <c r="L31" i="36"/>
  <c r="K31" i="36"/>
  <c r="J31" i="36"/>
  <c r="I31" i="36"/>
  <c r="H31" i="36"/>
  <c r="G31" i="36"/>
  <c r="F31" i="36"/>
  <c r="AP3" i="36"/>
  <c r="AO3" i="36"/>
  <c r="AN3" i="36"/>
  <c r="AM3" i="36"/>
  <c r="AL3" i="36"/>
  <c r="AK3" i="36"/>
  <c r="AJ3" i="36"/>
  <c r="AI3" i="36"/>
  <c r="AH3" i="36"/>
  <c r="AG3" i="36"/>
  <c r="AF3" i="36"/>
  <c r="AE3" i="36"/>
  <c r="AD3" i="36"/>
  <c r="AC3" i="36"/>
  <c r="AB3" i="36"/>
  <c r="AA3" i="36"/>
  <c r="Z3" i="36"/>
  <c r="Y3" i="36"/>
  <c r="X3" i="36"/>
  <c r="W3" i="36"/>
  <c r="V3" i="36"/>
  <c r="U3" i="36"/>
  <c r="T3" i="36"/>
  <c r="S3" i="36"/>
  <c r="R3" i="36"/>
  <c r="Q3" i="36"/>
  <c r="P3" i="36"/>
  <c r="O3" i="36"/>
  <c r="N3" i="36"/>
  <c r="M3" i="36"/>
  <c r="L3" i="36"/>
  <c r="K3" i="36"/>
  <c r="J3" i="36"/>
  <c r="I3" i="36"/>
  <c r="H3" i="36"/>
  <c r="G3" i="36"/>
  <c r="F3" i="36"/>
  <c r="AQ45" i="11"/>
  <c r="AQ121" i="11" s="1"/>
  <c r="AQ140" i="11" s="1"/>
  <c r="AP45" i="11"/>
  <c r="AP121" i="11"/>
  <c r="AP140" i="11"/>
  <c r="AO45" i="11"/>
  <c r="AO121" i="11"/>
  <c r="AO140" i="11"/>
  <c r="AN45" i="11"/>
  <c r="AN121" i="11" s="1"/>
  <c r="AN140" i="11" s="1"/>
  <c r="AM45" i="11"/>
  <c r="AM121" i="11" s="1"/>
  <c r="AM140" i="11"/>
  <c r="AL45" i="11"/>
  <c r="AL121" i="11"/>
  <c r="AL140" i="11" s="1"/>
  <c r="AK45" i="11"/>
  <c r="AK121" i="11"/>
  <c r="AK140" i="11" s="1"/>
  <c r="AJ45" i="11"/>
  <c r="AJ121" i="11" s="1"/>
  <c r="AJ140" i="11" s="1"/>
  <c r="AI45" i="11"/>
  <c r="AI121" i="11"/>
  <c r="AI140" i="11" s="1"/>
  <c r="AH45" i="11"/>
  <c r="AH121" i="11" s="1"/>
  <c r="AH140" i="11" s="1"/>
  <c r="AG45" i="11"/>
  <c r="AG121" i="11"/>
  <c r="AG140" i="11" s="1"/>
  <c r="AF45" i="11"/>
  <c r="AF121" i="11"/>
  <c r="AF140" i="11" s="1"/>
  <c r="AE45" i="11"/>
  <c r="AE121" i="11" s="1"/>
  <c r="AE140" i="11" s="1"/>
  <c r="AD45" i="11"/>
  <c r="AD121" i="11" s="1"/>
  <c r="AD140" i="11" s="1"/>
  <c r="AC45" i="11"/>
  <c r="AC121" i="11"/>
  <c r="AC140" i="11" s="1"/>
  <c r="AB45" i="11"/>
  <c r="AB121" i="11" s="1"/>
  <c r="AB140" i="11" s="1"/>
  <c r="AA45" i="11"/>
  <c r="AA121" i="11"/>
  <c r="AA140" i="11"/>
  <c r="Z45" i="11"/>
  <c r="Z121" i="11"/>
  <c r="Z140" i="11" s="1"/>
  <c r="Y45" i="11"/>
  <c r="Y121" i="11"/>
  <c r="Y140" i="11"/>
  <c r="X45" i="11"/>
  <c r="X121" i="11" s="1"/>
  <c r="X140" i="11" s="1"/>
  <c r="W45" i="11"/>
  <c r="W121" i="11" s="1"/>
  <c r="W140" i="11" s="1"/>
  <c r="V45" i="11"/>
  <c r="V121" i="11" s="1"/>
  <c r="V140" i="11"/>
  <c r="U45" i="11"/>
  <c r="U121" i="11" s="1"/>
  <c r="U140" i="11" s="1"/>
  <c r="T45" i="11"/>
  <c r="T121" i="11" s="1"/>
  <c r="T140" i="11" s="1"/>
  <c r="S45" i="11"/>
  <c r="S121" i="11" s="1"/>
  <c r="S140" i="11" s="1"/>
  <c r="R45" i="11"/>
  <c r="R121" i="11"/>
  <c r="R140" i="11" s="1"/>
  <c r="Q45" i="11"/>
  <c r="Q121" i="11"/>
  <c r="Q140" i="11" s="1"/>
  <c r="P45" i="11"/>
  <c r="P121" i="11"/>
  <c r="P140" i="11"/>
  <c r="O45" i="11"/>
  <c r="O121" i="11" s="1"/>
  <c r="O140" i="11"/>
  <c r="N45" i="11"/>
  <c r="N121" i="11" s="1"/>
  <c r="N140" i="11" s="1"/>
  <c r="M45" i="11"/>
  <c r="M121" i="11"/>
  <c r="M140" i="11" s="1"/>
  <c r="L45" i="11"/>
  <c r="L121" i="11" s="1"/>
  <c r="L140" i="11" s="1"/>
  <c r="K45" i="11"/>
  <c r="K121" i="11" s="1"/>
  <c r="K140" i="11" s="1"/>
  <c r="J45" i="11"/>
  <c r="J121" i="11"/>
  <c r="J140" i="11" s="1"/>
  <c r="I45" i="11"/>
  <c r="I121" i="11"/>
  <c r="I140" i="11" s="1"/>
  <c r="H45" i="11"/>
  <c r="H121" i="11" s="1"/>
  <c r="H140" i="11" s="1"/>
  <c r="G45" i="11"/>
  <c r="G121" i="11"/>
  <c r="G140" i="11"/>
  <c r="AP307" i="53"/>
  <c r="AP308" i="53" s="1"/>
  <c r="AO307" i="53"/>
  <c r="AN307" i="53"/>
  <c r="AM307" i="53"/>
  <c r="AM308" i="53" s="1"/>
  <c r="AM309" i="53" s="1"/>
  <c r="AM310" i="53" s="1"/>
  <c r="AL307" i="53"/>
  <c r="AK307" i="53"/>
  <c r="AC307" i="53"/>
  <c r="AC308" i="53" s="1"/>
  <c r="AC309" i="53" s="1"/>
  <c r="AC310" i="53" s="1"/>
  <c r="V307" i="53"/>
  <c r="Q307" i="53"/>
  <c r="Q308" i="53" s="1"/>
  <c r="I307" i="53"/>
  <c r="I308" i="53" s="1"/>
  <c r="I309" i="53" s="1"/>
  <c r="D24" i="53"/>
  <c r="A58" i="53"/>
  <c r="A102" i="53"/>
  <c r="A146" i="53"/>
  <c r="D13" i="53"/>
  <c r="D23" i="53"/>
  <c r="A13" i="53"/>
  <c r="A57" i="53" s="1"/>
  <c r="A101" i="53" s="1"/>
  <c r="A145" i="53" s="1"/>
  <c r="A23" i="53"/>
  <c r="D12" i="53"/>
  <c r="D22" i="53" s="1"/>
  <c r="D32" i="53" s="1"/>
  <c r="A12" i="53"/>
  <c r="A22" i="53"/>
  <c r="A32" i="53" s="1"/>
  <c r="A76" i="53"/>
  <c r="Y76" i="53" s="1"/>
  <c r="A120" i="53"/>
  <c r="A164" i="53" s="1"/>
  <c r="A209" i="53"/>
  <c r="D11" i="53"/>
  <c r="D21" i="53"/>
  <c r="A11" i="53"/>
  <c r="A55" i="53" s="1"/>
  <c r="A99" i="53" s="1"/>
  <c r="A143" i="53" s="1"/>
  <c r="D10" i="53"/>
  <c r="D20" i="53" s="1"/>
  <c r="A10" i="53"/>
  <c r="A54" i="53" s="1"/>
  <c r="A20" i="53"/>
  <c r="A30" i="53"/>
  <c r="A74" i="53"/>
  <c r="A118" i="53" s="1"/>
  <c r="D9" i="53"/>
  <c r="D19" i="53"/>
  <c r="A9" i="53"/>
  <c r="A19" i="53"/>
  <c r="A39" i="53" s="1"/>
  <c r="A83" i="53" s="1"/>
  <c r="D8" i="53"/>
  <c r="D18" i="53" s="1"/>
  <c r="A8" i="53"/>
  <c r="A52" i="53"/>
  <c r="N52" i="53" s="1"/>
  <c r="D15" i="53"/>
  <c r="D35" i="53" s="1"/>
  <c r="AM49" i="53"/>
  <c r="AI49" i="53"/>
  <c r="AE49" i="53"/>
  <c r="AA49" i="53"/>
  <c r="W49" i="53"/>
  <c r="S49" i="53"/>
  <c r="O49" i="53"/>
  <c r="K49" i="53"/>
  <c r="G49" i="53"/>
  <c r="AD49" i="53"/>
  <c r="V49" i="53"/>
  <c r="N49" i="53"/>
  <c r="AK49" i="53"/>
  <c r="Y49" i="53"/>
  <c r="Q49" i="53"/>
  <c r="AP49" i="53"/>
  <c r="AL49" i="53"/>
  <c r="AH49" i="53"/>
  <c r="Z49" i="53"/>
  <c r="R49" i="53"/>
  <c r="J49" i="53"/>
  <c r="AO49" i="53"/>
  <c r="AG49" i="53"/>
  <c r="AC49" i="53"/>
  <c r="U49" i="53"/>
  <c r="M49" i="53"/>
  <c r="I49" i="53"/>
  <c r="AN49" i="53"/>
  <c r="AJ49" i="53"/>
  <c r="AF49" i="53"/>
  <c r="AB49" i="53"/>
  <c r="X49" i="53"/>
  <c r="T49" i="53"/>
  <c r="P49" i="53"/>
  <c r="L49" i="53"/>
  <c r="H49" i="53"/>
  <c r="F49" i="53"/>
  <c r="D16" i="53"/>
  <c r="D26" i="53" s="1"/>
  <c r="D17" i="53"/>
  <c r="D27" i="53" s="1"/>
  <c r="AN308" i="53"/>
  <c r="AN309" i="53" s="1"/>
  <c r="AN310" i="53" s="1"/>
  <c r="AM76" i="53"/>
  <c r="O76" i="53"/>
  <c r="G76" i="53"/>
  <c r="AL76" i="53"/>
  <c r="AD76" i="53"/>
  <c r="V76" i="53"/>
  <c r="F76" i="53"/>
  <c r="AI76" i="53"/>
  <c r="M76" i="53"/>
  <c r="AH76" i="53"/>
  <c r="X76" i="53"/>
  <c r="L76" i="53"/>
  <c r="AG76" i="53"/>
  <c r="U76" i="53"/>
  <c r="K76" i="53"/>
  <c r="AP76" i="53"/>
  <c r="AF76" i="53"/>
  <c r="T76" i="53"/>
  <c r="J76" i="53"/>
  <c r="H76" i="53"/>
  <c r="AA76" i="53"/>
  <c r="Z76" i="53"/>
  <c r="AN76" i="53"/>
  <c r="R76" i="53"/>
  <c r="AK76" i="53"/>
  <c r="P76" i="53"/>
  <c r="Q76" i="53"/>
  <c r="AC76" i="53"/>
  <c r="I76" i="53"/>
  <c r="V74" i="53"/>
  <c r="V77" i="53" s="1"/>
  <c r="X74" i="53"/>
  <c r="X77" i="53" s="1"/>
  <c r="L74" i="53"/>
  <c r="L77" i="53" s="1"/>
  <c r="A63" i="53"/>
  <c r="U63" i="53" s="1"/>
  <c r="U68" i="53" s="1"/>
  <c r="A29" i="53"/>
  <c r="A73" i="53" s="1"/>
  <c r="D25" i="53"/>
  <c r="AO308" i="53"/>
  <c r="V308" i="53"/>
  <c r="V309" i="53" s="1"/>
  <c r="V310" i="53" s="1"/>
  <c r="V55" i="53"/>
  <c r="AH55" i="53"/>
  <c r="AD55" i="53"/>
  <c r="Z55" i="53"/>
  <c r="AL308" i="53"/>
  <c r="AL309" i="53" s="1"/>
  <c r="AL310" i="53" s="1"/>
  <c r="A18" i="53"/>
  <c r="A53" i="53"/>
  <c r="F55" i="53"/>
  <c r="AL55" i="53"/>
  <c r="AK308" i="53"/>
  <c r="AK309" i="53" s="1"/>
  <c r="AK310" i="53" s="1"/>
  <c r="N55" i="53"/>
  <c r="A56" i="53"/>
  <c r="A100" i="53" s="1"/>
  <c r="AN52" i="53"/>
  <c r="AJ52" i="53"/>
  <c r="AF52" i="53"/>
  <c r="AB52" i="53"/>
  <c r="X52" i="53"/>
  <c r="P52" i="53"/>
  <c r="L52" i="53"/>
  <c r="H52" i="53"/>
  <c r="AP52" i="53"/>
  <c r="AL52" i="53"/>
  <c r="AH52" i="53"/>
  <c r="Z52" i="53"/>
  <c r="R52" i="53"/>
  <c r="J52" i="53"/>
  <c r="F52" i="53"/>
  <c r="AI52" i="53"/>
  <c r="AA52" i="53"/>
  <c r="K52" i="53"/>
  <c r="AG52" i="53"/>
  <c r="Q52" i="53"/>
  <c r="I52" i="53"/>
  <c r="AM52" i="53"/>
  <c r="AE52" i="53"/>
  <c r="W52" i="53"/>
  <c r="O52" i="53"/>
  <c r="G52" i="53"/>
  <c r="AK52" i="53"/>
  <c r="M52" i="53"/>
  <c r="A66" i="53"/>
  <c r="AN66" i="53" s="1"/>
  <c r="A110" i="53"/>
  <c r="A154" i="53" s="1"/>
  <c r="A42" i="53"/>
  <c r="A86" i="53" s="1"/>
  <c r="H86" i="53" s="1"/>
  <c r="A130" i="53"/>
  <c r="A174" i="53" s="1"/>
  <c r="H55" i="53"/>
  <c r="P55" i="53"/>
  <c r="AO55" i="53"/>
  <c r="AK55" i="53"/>
  <c r="AG55" i="53"/>
  <c r="Y55" i="53"/>
  <c r="U55" i="53"/>
  <c r="Q55" i="53"/>
  <c r="M55" i="53"/>
  <c r="I55" i="53"/>
  <c r="A93" i="53"/>
  <c r="A137" i="53" s="1"/>
  <c r="AS5" i="53" s="1"/>
  <c r="A21" i="53"/>
  <c r="A31" i="53" s="1"/>
  <c r="A75" i="53" s="1"/>
  <c r="A96" i="53"/>
  <c r="A140" i="53" s="1"/>
  <c r="D37" i="53"/>
  <c r="D36" i="53"/>
  <c r="Q309" i="53"/>
  <c r="Q310" i="53" s="1"/>
  <c r="I310" i="53"/>
  <c r="AO309" i="53"/>
  <c r="AO310" i="53"/>
  <c r="AP309" i="53"/>
  <c r="AP310" i="53" s="1"/>
  <c r="A107" i="53"/>
  <c r="A151" i="53" s="1"/>
  <c r="AO63" i="53"/>
  <c r="AO68" i="53" s="1"/>
  <c r="AM63" i="53"/>
  <c r="AM68" i="53"/>
  <c r="AP63" i="53"/>
  <c r="AP68" i="53"/>
  <c r="K63" i="53"/>
  <c r="K68" i="53" s="1"/>
  <c r="K75" i="53"/>
  <c r="AP75" i="53"/>
  <c r="AF75" i="53"/>
  <c r="T75" i="53"/>
  <c r="Y75" i="53"/>
  <c r="AA75" i="53"/>
  <c r="AH75" i="53"/>
  <c r="A68" i="53"/>
  <c r="A112" i="53"/>
  <c r="A156" i="53" s="1"/>
  <c r="A38" i="53"/>
  <c r="A82" i="53" s="1"/>
  <c r="AN82" i="53" s="1"/>
  <c r="A126" i="53"/>
  <c r="A170" i="53"/>
  <c r="AS28" i="53" s="1"/>
  <c r="A28" i="53"/>
  <c r="A72" i="53" s="1"/>
  <c r="A62" i="53"/>
  <c r="AC62" i="53" s="1"/>
  <c r="M53" i="53"/>
  <c r="M58" i="53" s="1"/>
  <c r="R53" i="53"/>
  <c r="R58" i="53" s="1"/>
  <c r="AH66" i="53"/>
  <c r="AD66" i="53"/>
  <c r="Z66" i="53"/>
  <c r="V66" i="53"/>
  <c r="R66" i="53"/>
  <c r="J66" i="53"/>
  <c r="F66" i="53"/>
  <c r="AJ66" i="53"/>
  <c r="AF66" i="53"/>
  <c r="AB66" i="53"/>
  <c r="X66" i="53"/>
  <c r="T66" i="53"/>
  <c r="P66" i="53"/>
  <c r="L66" i="53"/>
  <c r="H66" i="53"/>
  <c r="AK66" i="53"/>
  <c r="AC66" i="53"/>
  <c r="U66" i="53"/>
  <c r="AO66" i="53"/>
  <c r="AG66" i="53"/>
  <c r="Y66" i="53"/>
  <c r="AA66" i="53"/>
  <c r="K66" i="53"/>
  <c r="AM66" i="53"/>
  <c r="G66" i="53"/>
  <c r="AI66" i="53"/>
  <c r="S66" i="53"/>
  <c r="AE66" i="53"/>
  <c r="AE83" i="53"/>
  <c r="AE88" i="53"/>
  <c r="AA83" i="53"/>
  <c r="AA88" i="53" s="1"/>
  <c r="W83" i="53"/>
  <c r="W88" i="53" s="1"/>
  <c r="O83" i="53"/>
  <c r="O88" i="53"/>
  <c r="K83" i="53"/>
  <c r="K88" i="53" s="1"/>
  <c r="G83" i="53"/>
  <c r="G88" i="53" s="1"/>
  <c r="U83" i="53"/>
  <c r="U88" i="53" s="1"/>
  <c r="F83" i="53"/>
  <c r="F88" i="53" s="1"/>
  <c r="AP83" i="53"/>
  <c r="AP88" i="53" s="1"/>
  <c r="R83" i="53"/>
  <c r="R88" i="53" s="1"/>
  <c r="J83" i="53"/>
  <c r="J88" i="53"/>
  <c r="AB83" i="53"/>
  <c r="AB88" i="53" s="1"/>
  <c r="AN83" i="53"/>
  <c r="AN88" i="53" s="1"/>
  <c r="X83" i="53"/>
  <c r="X88" i="53"/>
  <c r="AD54" i="53"/>
  <c r="AD57" i="53"/>
  <c r="V54" i="53"/>
  <c r="V57" i="53" s="1"/>
  <c r="AO54" i="53"/>
  <c r="AO57" i="53" s="1"/>
  <c r="O54" i="53"/>
  <c r="O57" i="53" s="1"/>
  <c r="AA54" i="53"/>
  <c r="AA57" i="53" s="1"/>
  <c r="AF56" i="53"/>
  <c r="X56" i="53"/>
  <c r="T56" i="53"/>
  <c r="P56" i="53"/>
  <c r="AP56" i="53"/>
  <c r="AL56" i="53"/>
  <c r="AH56" i="53"/>
  <c r="AD56" i="53"/>
  <c r="Z56" i="53"/>
  <c r="F56" i="53"/>
  <c r="AE56" i="53"/>
  <c r="W56" i="53"/>
  <c r="O56" i="53"/>
  <c r="AI56" i="53"/>
  <c r="AA56" i="53"/>
  <c r="S56" i="53"/>
  <c r="K56" i="53"/>
  <c r="AG56" i="53"/>
  <c r="Y56" i="53"/>
  <c r="Q56" i="53"/>
  <c r="I56" i="53"/>
  <c r="AN86" i="53"/>
  <c r="AJ86" i="53"/>
  <c r="AF86" i="53"/>
  <c r="AB86" i="53"/>
  <c r="X86" i="53"/>
  <c r="T86" i="53"/>
  <c r="P86" i="53"/>
  <c r="L86" i="53"/>
  <c r="AL86" i="53"/>
  <c r="AH86" i="53"/>
  <c r="AD86" i="53"/>
  <c r="Z86" i="53"/>
  <c r="V86" i="53"/>
  <c r="R86" i="53"/>
  <c r="N86" i="53"/>
  <c r="F86" i="53"/>
  <c r="AM86" i="53"/>
  <c r="AE86" i="53"/>
  <c r="W86" i="53"/>
  <c r="O86" i="53"/>
  <c r="G86" i="53"/>
  <c r="AI86" i="53"/>
  <c r="AA86" i="53"/>
  <c r="S86" i="53"/>
  <c r="K86" i="53"/>
  <c r="AC86" i="53"/>
  <c r="M86" i="53"/>
  <c r="AO86" i="53"/>
  <c r="Y86" i="53"/>
  <c r="U86" i="53"/>
  <c r="AG86" i="53"/>
  <c r="Q86" i="53"/>
  <c r="A144" i="53"/>
  <c r="AP79" i="53"/>
  <c r="AL79" i="53"/>
  <c r="AH79" i="53"/>
  <c r="AD79" i="53"/>
  <c r="Z79" i="53"/>
  <c r="V79" i="53"/>
  <c r="R79" i="53"/>
  <c r="N79" i="53"/>
  <c r="J79" i="53"/>
  <c r="AC79" i="53"/>
  <c r="Q79" i="53"/>
  <c r="I79" i="53"/>
  <c r="AN79" i="53"/>
  <c r="AF79" i="53"/>
  <c r="AB79" i="53"/>
  <c r="T79" i="53"/>
  <c r="L79" i="53"/>
  <c r="F79" i="53"/>
  <c r="AJ79" i="53"/>
  <c r="X79" i="53"/>
  <c r="P79" i="53"/>
  <c r="H79" i="53"/>
  <c r="AM79" i="53"/>
  <c r="AI79" i="53"/>
  <c r="AE79" i="53"/>
  <c r="AA79" i="53"/>
  <c r="W79" i="53"/>
  <c r="S79" i="53"/>
  <c r="O79" i="53"/>
  <c r="K79" i="53"/>
  <c r="G79" i="53"/>
  <c r="AO79" i="53"/>
  <c r="AK79" i="53"/>
  <c r="AG79" i="53"/>
  <c r="Y79" i="53"/>
  <c r="U79" i="53"/>
  <c r="M79" i="53"/>
  <c r="AP82" i="53"/>
  <c r="AJ82" i="53"/>
  <c r="F82" i="53"/>
  <c r="U82" i="53"/>
  <c r="AA82" i="53"/>
  <c r="AI82" i="53"/>
  <c r="AF82" i="53"/>
  <c r="AB82" i="53"/>
  <c r="AD82" i="53"/>
  <c r="AH82" i="53"/>
  <c r="Q82" i="53"/>
  <c r="AG82" i="53"/>
  <c r="AL82" i="53"/>
  <c r="AO82" i="53"/>
  <c r="K82" i="53"/>
  <c r="Z82" i="53"/>
  <c r="X82" i="53"/>
  <c r="H82" i="53"/>
  <c r="N82" i="53"/>
  <c r="J82" i="53"/>
  <c r="I82" i="53"/>
  <c r="W82" i="53"/>
  <c r="P82" i="53"/>
  <c r="AE82" i="53"/>
  <c r="T82" i="53"/>
  <c r="F62" i="53"/>
  <c r="M82" i="53"/>
  <c r="AM82" i="53"/>
  <c r="R82" i="53"/>
  <c r="L82" i="53"/>
  <c r="AM72" i="53"/>
  <c r="L72" i="53"/>
  <c r="AG72" i="53"/>
  <c r="U72" i="53"/>
  <c r="K72" i="53"/>
  <c r="AP72" i="53"/>
  <c r="AF72" i="53"/>
  <c r="J72" i="53"/>
  <c r="Z72" i="53"/>
  <c r="AO72" i="53"/>
  <c r="AN72" i="53"/>
  <c r="R72" i="53"/>
  <c r="AK72" i="53"/>
  <c r="AJ72" i="53"/>
  <c r="AL62" i="53"/>
  <c r="AH62" i="53"/>
  <c r="K62" i="53"/>
  <c r="M62" i="53"/>
  <c r="AO62" i="53"/>
  <c r="X62" i="53"/>
  <c r="AJ62" i="53"/>
  <c r="O62" i="53"/>
  <c r="AN62" i="53"/>
  <c r="AF62" i="53"/>
  <c r="AE62" i="53"/>
  <c r="AK62" i="53"/>
  <c r="Q62" i="53"/>
  <c r="H62" i="53"/>
  <c r="Z62" i="53"/>
  <c r="AG62" i="53"/>
  <c r="L62" i="53"/>
  <c r="AD62" i="53"/>
  <c r="A106" i="53"/>
  <c r="A150" i="53"/>
  <c r="A195" i="53" s="1"/>
  <c r="R62" i="53"/>
  <c r="AA62" i="53"/>
  <c r="P62" i="53"/>
  <c r="J62" i="53"/>
  <c r="AP62" i="53"/>
  <c r="I62" i="53"/>
  <c r="AI62" i="53"/>
  <c r="T62" i="53"/>
  <c r="N62" i="53"/>
  <c r="U62" i="53"/>
  <c r="AB62" i="53"/>
  <c r="A182" i="53"/>
  <c r="A315" i="53" s="1"/>
  <c r="A123" i="53"/>
  <c r="AS18" i="53"/>
  <c r="A167" i="53"/>
  <c r="AS25" i="53"/>
  <c r="A212" i="53"/>
  <c r="AS35" i="53"/>
  <c r="E292" i="53"/>
  <c r="AA159" i="28"/>
  <c r="AC37" i="36" s="1"/>
  <c r="AC45" i="36" s="1"/>
  <c r="AC53" i="36" s="1"/>
  <c r="AN158" i="28"/>
  <c r="AM158" i="28"/>
  <c r="AL158" i="28"/>
  <c r="AK158" i="28"/>
  <c r="AJ158" i="28"/>
  <c r="AI158" i="28"/>
  <c r="AA158" i="28"/>
  <c r="T158" i="28"/>
  <c r="G158" i="28"/>
  <c r="AN157" i="28"/>
  <c r="AM157" i="28"/>
  <c r="AL157" i="28"/>
  <c r="AK157" i="28"/>
  <c r="AM38" i="36" s="1"/>
  <c r="AM46" i="36" s="1"/>
  <c r="AM54" i="36" s="1"/>
  <c r="AJ157" i="28"/>
  <c r="AI157" i="28"/>
  <c r="AA157" i="28"/>
  <c r="T157" i="28"/>
  <c r="G157" i="28"/>
  <c r="AN156" i="28"/>
  <c r="AM156" i="28"/>
  <c r="AL156" i="28"/>
  <c r="AK156" i="28"/>
  <c r="AM35" i="36" s="1"/>
  <c r="AM43" i="36" s="1"/>
  <c r="AM51" i="36" s="1"/>
  <c r="AJ156" i="28"/>
  <c r="AI156" i="28"/>
  <c r="AK35" i="36" s="1"/>
  <c r="AK43" i="36" s="1"/>
  <c r="AK51" i="36" s="1"/>
  <c r="AA156" i="28"/>
  <c r="AC35" i="36" s="1"/>
  <c r="AC43" i="36" s="1"/>
  <c r="AC51" i="36" s="1"/>
  <c r="T156" i="28"/>
  <c r="V35" i="36" s="1"/>
  <c r="V43" i="36" s="1"/>
  <c r="V51" i="36" s="1"/>
  <c r="G156" i="28"/>
  <c r="AN155" i="28"/>
  <c r="AM155" i="28"/>
  <c r="AL155" i="28"/>
  <c r="AN33" i="36" s="1"/>
  <c r="AN41" i="36" s="1"/>
  <c r="AN49" i="36" s="1"/>
  <c r="AK155" i="28"/>
  <c r="AJ155" i="28"/>
  <c r="AL33" i="36" s="1"/>
  <c r="AL41" i="36" s="1"/>
  <c r="AL49" i="36" s="1"/>
  <c r="AI155" i="28"/>
  <c r="AA155" i="28"/>
  <c r="T155" i="28"/>
  <c r="G155" i="28"/>
  <c r="AN154" i="28"/>
  <c r="AP32" i="36" s="1"/>
  <c r="AP40" i="36" s="1"/>
  <c r="AP48" i="36" s="1"/>
  <c r="AM154" i="28"/>
  <c r="AO32" i="36" s="1"/>
  <c r="AL154" i="28"/>
  <c r="AN32" i="36" s="1"/>
  <c r="AN40" i="36" s="1"/>
  <c r="AN48" i="36" s="1"/>
  <c r="AK154" i="28"/>
  <c r="AJ154" i="28"/>
  <c r="AI154" i="28"/>
  <c r="AK32" i="36" s="1"/>
  <c r="AK40" i="36" s="1"/>
  <c r="AK48" i="36" s="1"/>
  <c r="AA154" i="28"/>
  <c r="T154" i="28"/>
  <c r="G154" i="28"/>
  <c r="I32" i="36" s="1"/>
  <c r="I40" i="36" s="1"/>
  <c r="I48" i="36" s="1"/>
  <c r="AN153" i="28"/>
  <c r="AP34" i="36" s="1"/>
  <c r="AM153" i="28"/>
  <c r="AL153" i="28"/>
  <c r="AN34" i="36" s="1"/>
  <c r="AK153" i="28"/>
  <c r="AM34" i="36" s="1"/>
  <c r="AJ153" i="28"/>
  <c r="AL34" i="36" s="1"/>
  <c r="AI153" i="28"/>
  <c r="AA153" i="28"/>
  <c r="T153" i="28"/>
  <c r="G153" i="28"/>
  <c r="AN152" i="28"/>
  <c r="AM152" i="28"/>
  <c r="AL152" i="28"/>
  <c r="AK152" i="28"/>
  <c r="AJ152" i="28"/>
  <c r="AI152" i="28"/>
  <c r="AA152" i="28"/>
  <c r="T152" i="28"/>
  <c r="G152" i="28"/>
  <c r="AN151" i="28"/>
  <c r="AM151" i="28"/>
  <c r="AL151" i="28"/>
  <c r="AK151" i="28"/>
  <c r="AJ151" i="28"/>
  <c r="AI151" i="28"/>
  <c r="AA151" i="28"/>
  <c r="T151" i="28"/>
  <c r="G151" i="28"/>
  <c r="AN140" i="28"/>
  <c r="AP11" i="47" s="1"/>
  <c r="AP12" i="47" s="1"/>
  <c r="AP13" i="47" s="1"/>
  <c r="AM140" i="28"/>
  <c r="AO11" i="47" s="1"/>
  <c r="AO12" i="47" s="1"/>
  <c r="AO13" i="47" s="1"/>
  <c r="AL140" i="28"/>
  <c r="AN11" i="47" s="1"/>
  <c r="AK140" i="28"/>
  <c r="AJ140" i="28"/>
  <c r="AI140" i="28"/>
  <c r="AA140" i="28"/>
  <c r="T140" i="28"/>
  <c r="G140" i="28"/>
  <c r="AN139" i="28"/>
  <c r="AM139" i="28"/>
  <c r="AL139" i="28"/>
  <c r="AK139" i="28"/>
  <c r="AJ139" i="28"/>
  <c r="AI139" i="28"/>
  <c r="AA139" i="28"/>
  <c r="T139" i="28"/>
  <c r="G139" i="28"/>
  <c r="AA138" i="28"/>
  <c r="T138" i="28"/>
  <c r="V26" i="48" s="1"/>
  <c r="G138" i="28"/>
  <c r="AN137" i="28"/>
  <c r="AM137" i="28"/>
  <c r="AL137" i="28"/>
  <c r="AN27" i="48" s="1"/>
  <c r="AN32" i="48" s="1"/>
  <c r="AN37" i="48" s="1"/>
  <c r="AK137" i="28"/>
  <c r="AM27" i="48" s="1"/>
  <c r="AM32" i="48" s="1"/>
  <c r="AM37" i="48" s="1"/>
  <c r="AJ137" i="28"/>
  <c r="AL27" i="48" s="1"/>
  <c r="AL32" i="48" s="1"/>
  <c r="AL37" i="48" s="1"/>
  <c r="AI137" i="28"/>
  <c r="AA137" i="28"/>
  <c r="T137" i="28"/>
  <c r="G137" i="28"/>
  <c r="AN136" i="28"/>
  <c r="AM136" i="28"/>
  <c r="AO24" i="48" s="1"/>
  <c r="AO29" i="48" s="1"/>
  <c r="AO34" i="48" s="1"/>
  <c r="AL136" i="28"/>
  <c r="AK136" i="28"/>
  <c r="AJ136" i="28"/>
  <c r="AI136" i="28"/>
  <c r="AA136" i="28"/>
  <c r="AC24" i="48" s="1"/>
  <c r="AC29" i="48" s="1"/>
  <c r="AC34" i="48" s="1"/>
  <c r="T136" i="28"/>
  <c r="G136" i="28"/>
  <c r="AN135" i="28"/>
  <c r="AM135" i="28"/>
  <c r="AL135" i="28"/>
  <c r="AK135" i="28"/>
  <c r="AJ135" i="28"/>
  <c r="AI135" i="28"/>
  <c r="AA135" i="28"/>
  <c r="AC23" i="48" s="1"/>
  <c r="T135" i="28"/>
  <c r="G135" i="28"/>
  <c r="I23" i="48" s="1"/>
  <c r="I28" i="48" s="1"/>
  <c r="I33" i="48" s="1"/>
  <c r="AL134" i="28"/>
  <c r="AN25" i="48" s="1"/>
  <c r="AN30" i="48" s="1"/>
  <c r="AK134" i="28"/>
  <c r="AM25" i="48" s="1"/>
  <c r="AM30" i="48" s="1"/>
  <c r="AM35" i="48" s="1"/>
  <c r="AI134" i="28"/>
  <c r="AA134" i="28"/>
  <c r="T134" i="28"/>
  <c r="V25" i="48" s="1"/>
  <c r="G134" i="28"/>
  <c r="I25" i="48" s="1"/>
  <c r="AN133" i="28"/>
  <c r="AM133" i="28"/>
  <c r="AL133" i="28"/>
  <c r="AK133" i="28"/>
  <c r="AJ133" i="28"/>
  <c r="AI133" i="28"/>
  <c r="AA133" i="28"/>
  <c r="T133" i="28"/>
  <c r="G133" i="28"/>
  <c r="AN132" i="28"/>
  <c r="AM132" i="28"/>
  <c r="AL132" i="28"/>
  <c r="AK132" i="28"/>
  <c r="AJ132" i="28"/>
  <c r="AI132" i="28"/>
  <c r="AA132" i="28"/>
  <c r="T132" i="28"/>
  <c r="G132" i="28"/>
  <c r="F163" i="35"/>
  <c r="L111" i="29" s="1"/>
  <c r="F168" i="35"/>
  <c r="F173" i="35" s="1"/>
  <c r="F179" i="35" s="1"/>
  <c r="F184" i="35" s="1"/>
  <c r="L114" i="29"/>
  <c r="L113" i="29"/>
  <c r="L112" i="29"/>
  <c r="L110" i="29"/>
  <c r="J179" i="35"/>
  <c r="H27" i="8"/>
  <c r="Z307" i="53" s="1"/>
  <c r="Z308" i="53" s="1"/>
  <c r="Z309" i="53"/>
  <c r="Z310" i="53" s="1"/>
  <c r="H26" i="8"/>
  <c r="Y307" i="53"/>
  <c r="Y308" i="53" s="1"/>
  <c r="Y309" i="53" s="1"/>
  <c r="Y310" i="53" s="1"/>
  <c r="H25" i="8"/>
  <c r="X307" i="53"/>
  <c r="X308" i="53" s="1"/>
  <c r="X309" i="53" s="1"/>
  <c r="X310" i="53" s="1"/>
  <c r="H31" i="8"/>
  <c r="AB307" i="53" s="1"/>
  <c r="AB308" i="53" s="1"/>
  <c r="AB309" i="53" s="1"/>
  <c r="AB310" i="53"/>
  <c r="H30" i="8"/>
  <c r="AA307" i="53"/>
  <c r="AA308" i="53"/>
  <c r="AA309" i="53" s="1"/>
  <c r="AA310" i="53" s="1"/>
  <c r="H35" i="8"/>
  <c r="AF307" i="53"/>
  <c r="AF308" i="53"/>
  <c r="AF309" i="53" s="1"/>
  <c r="AF310" i="53" s="1"/>
  <c r="H34" i="8"/>
  <c r="AE307" i="53" s="1"/>
  <c r="AE308" i="53" s="1"/>
  <c r="AE309" i="53" s="1"/>
  <c r="AE310" i="53" s="1"/>
  <c r="H33" i="8"/>
  <c r="AD307" i="53"/>
  <c r="AD308" i="53" s="1"/>
  <c r="AD309" i="53" s="1"/>
  <c r="AD310" i="53" s="1"/>
  <c r="H40" i="8"/>
  <c r="AJ307" i="53" s="1"/>
  <c r="AJ308" i="53" s="1"/>
  <c r="AJ309" i="53" s="1"/>
  <c r="AJ310" i="53" s="1"/>
  <c r="H39" i="8"/>
  <c r="AI307" i="53"/>
  <c r="AI308" i="53"/>
  <c r="AI309" i="53" s="1"/>
  <c r="AI310" i="53" s="1"/>
  <c r="H38" i="8"/>
  <c r="AH307" i="53" s="1"/>
  <c r="AH308" i="53" s="1"/>
  <c r="AH309" i="53" s="1"/>
  <c r="AH310" i="53" s="1"/>
  <c r="H37" i="8"/>
  <c r="AG307" i="53"/>
  <c r="AG308" i="53" s="1"/>
  <c r="AG309" i="53" s="1"/>
  <c r="AG310" i="53" s="1"/>
  <c r="H23" i="8"/>
  <c r="W307" i="53"/>
  <c r="W308" i="53" s="1"/>
  <c r="W309" i="53" s="1"/>
  <c r="W310" i="53" s="1"/>
  <c r="H21" i="8"/>
  <c r="U307" i="53"/>
  <c r="U308" i="53"/>
  <c r="U309" i="53"/>
  <c r="U310" i="53" s="1"/>
  <c r="H20" i="8"/>
  <c r="T307" i="53" s="1"/>
  <c r="T308" i="53" s="1"/>
  <c r="T309" i="53" s="1"/>
  <c r="T310" i="53" s="1"/>
  <c r="H19" i="8"/>
  <c r="S307" i="53"/>
  <c r="S308" i="53" s="1"/>
  <c r="S309" i="53" s="1"/>
  <c r="S310" i="53" s="1"/>
  <c r="H17" i="8"/>
  <c r="P307" i="53" s="1"/>
  <c r="P308" i="53" s="1"/>
  <c r="P309" i="53" s="1"/>
  <c r="P310" i="53" s="1"/>
  <c r="H16" i="8"/>
  <c r="O307" i="53"/>
  <c r="O308" i="53" s="1"/>
  <c r="O309" i="53" s="1"/>
  <c r="O310" i="53" s="1"/>
  <c r="H15" i="8"/>
  <c r="R307" i="53" s="1"/>
  <c r="R308" i="53" s="1"/>
  <c r="R309" i="53" s="1"/>
  <c r="R310" i="53" s="1"/>
  <c r="H14" i="8"/>
  <c r="N307" i="53" s="1"/>
  <c r="N308" i="53" s="1"/>
  <c r="N309" i="53" s="1"/>
  <c r="N310" i="53" s="1"/>
  <c r="H13" i="8"/>
  <c r="M307" i="53" s="1"/>
  <c r="M308" i="53" s="1"/>
  <c r="M309" i="53" s="1"/>
  <c r="M310" i="53" s="1"/>
  <c r="H12" i="8"/>
  <c r="L307" i="53" s="1"/>
  <c r="L308" i="53" s="1"/>
  <c r="L309" i="53" s="1"/>
  <c r="L310" i="53" s="1"/>
  <c r="H11" i="8"/>
  <c r="K307" i="53"/>
  <c r="K308" i="53" s="1"/>
  <c r="K309" i="53" s="1"/>
  <c r="K310" i="53" s="1"/>
  <c r="H10" i="8"/>
  <c r="J307" i="53"/>
  <c r="J308" i="53" s="1"/>
  <c r="J309" i="53" s="1"/>
  <c r="J310" i="53" s="1"/>
  <c r="H8" i="8"/>
  <c r="H307" i="53" s="1"/>
  <c r="H308" i="53" s="1"/>
  <c r="H309" i="53" s="1"/>
  <c r="H310" i="53" s="1"/>
  <c r="H7" i="8"/>
  <c r="G307" i="53"/>
  <c r="G308" i="53" s="1"/>
  <c r="G309" i="53" s="1"/>
  <c r="G310" i="53" s="1"/>
  <c r="H5" i="8"/>
  <c r="F307" i="53"/>
  <c r="F308" i="53" s="1"/>
  <c r="F309" i="53" s="1"/>
  <c r="F310" i="53"/>
  <c r="E48" i="29"/>
  <c r="E47" i="29"/>
  <c r="E46" i="29"/>
  <c r="X9" i="5"/>
  <c r="W9" i="5"/>
  <c r="G97" i="50"/>
  <c r="H97" i="50" s="1"/>
  <c r="I97" i="50" s="1"/>
  <c r="J97" i="50" s="1"/>
  <c r="K97" i="50" s="1"/>
  <c r="L97" i="50" s="1"/>
  <c r="M97" i="50" s="1"/>
  <c r="N97" i="50" s="1"/>
  <c r="O97" i="50" s="1"/>
  <c r="P97" i="50" s="1"/>
  <c r="Q97" i="50" s="1"/>
  <c r="R97" i="50" s="1"/>
  <c r="S97" i="50" s="1"/>
  <c r="T97" i="50" s="1"/>
  <c r="U97" i="50" s="1"/>
  <c r="V97" i="50" s="1"/>
  <c r="W97" i="50" s="1"/>
  <c r="X97" i="50" s="1"/>
  <c r="Y97" i="50" s="1"/>
  <c r="Z97" i="50" s="1"/>
  <c r="AA97" i="50" s="1"/>
  <c r="AB97" i="50" s="1"/>
  <c r="AC97" i="50" s="1"/>
  <c r="AD97" i="50" s="1"/>
  <c r="AE97" i="50" s="1"/>
  <c r="AF97" i="50" s="1"/>
  <c r="AG97" i="50" s="1"/>
  <c r="AH97" i="50" s="1"/>
  <c r="AI97" i="50" s="1"/>
  <c r="AJ97" i="50" s="1"/>
  <c r="AK97" i="50" s="1"/>
  <c r="AL97" i="50" s="1"/>
  <c r="AM97" i="50" s="1"/>
  <c r="AN97" i="50" s="1"/>
  <c r="AO97" i="50" s="1"/>
  <c r="AP97" i="50" s="1"/>
  <c r="J32" i="36"/>
  <c r="K32" i="36"/>
  <c r="L32" i="36"/>
  <c r="M32" i="36"/>
  <c r="M40" i="36" s="1"/>
  <c r="M48" i="36" s="1"/>
  <c r="N32" i="36"/>
  <c r="N40" i="36" s="1"/>
  <c r="N48" i="36" s="1"/>
  <c r="O32" i="36"/>
  <c r="P32" i="36"/>
  <c r="Q32" i="36"/>
  <c r="R32" i="36"/>
  <c r="S32" i="36"/>
  <c r="T32" i="36"/>
  <c r="U32" i="36"/>
  <c r="U40" i="36" s="1"/>
  <c r="W32" i="36"/>
  <c r="X32" i="36"/>
  <c r="Y32" i="36"/>
  <c r="Z32" i="36"/>
  <c r="AA32" i="36"/>
  <c r="AA40" i="36" s="1"/>
  <c r="AB32" i="36"/>
  <c r="AD32" i="36"/>
  <c r="AD40" i="36" s="1"/>
  <c r="AD48" i="36" s="1"/>
  <c r="AE32" i="36"/>
  <c r="AE40" i="36" s="1"/>
  <c r="AE48" i="36" s="1"/>
  <c r="AF32" i="36"/>
  <c r="AF40" i="36" s="1"/>
  <c r="AF48" i="36" s="1"/>
  <c r="AG32" i="36"/>
  <c r="AG40" i="36" s="1"/>
  <c r="AG48" i="36" s="1"/>
  <c r="AH32" i="36"/>
  <c r="AH40" i="36" s="1"/>
  <c r="AH48" i="36" s="1"/>
  <c r="AI32" i="36"/>
  <c r="AJ32" i="36"/>
  <c r="J33" i="36"/>
  <c r="K33" i="36"/>
  <c r="L33" i="36"/>
  <c r="M33" i="36"/>
  <c r="M41" i="36" s="1"/>
  <c r="M49" i="36" s="1"/>
  <c r="N33" i="36"/>
  <c r="O33" i="36"/>
  <c r="P33" i="36"/>
  <c r="Q33" i="36"/>
  <c r="R33" i="36"/>
  <c r="S33" i="36"/>
  <c r="T33" i="36"/>
  <c r="U33" i="36"/>
  <c r="W33" i="36"/>
  <c r="W41" i="36" s="1"/>
  <c r="W49" i="36" s="1"/>
  <c r="X33" i="36"/>
  <c r="Y33" i="36"/>
  <c r="Y41" i="36" s="1"/>
  <c r="Y49" i="36" s="1"/>
  <c r="Z33" i="36"/>
  <c r="Z41" i="36" s="1"/>
  <c r="Z49" i="36" s="1"/>
  <c r="AA33" i="36"/>
  <c r="AB33" i="36"/>
  <c r="AB41" i="36" s="1"/>
  <c r="AB49" i="36" s="1"/>
  <c r="AD33" i="36"/>
  <c r="AD41" i="36" s="1"/>
  <c r="AD49" i="36" s="1"/>
  <c r="AE33" i="36"/>
  <c r="AE41" i="36" s="1"/>
  <c r="AE49" i="36" s="1"/>
  <c r="AF33" i="36"/>
  <c r="AF41" i="36" s="1"/>
  <c r="AF49" i="36" s="1"/>
  <c r="AG33" i="36"/>
  <c r="AG41" i="36" s="1"/>
  <c r="AG49" i="36" s="1"/>
  <c r="AH33" i="36"/>
  <c r="AI33" i="36"/>
  <c r="AJ33" i="36"/>
  <c r="J34" i="36"/>
  <c r="K34" i="36"/>
  <c r="L34" i="36"/>
  <c r="L39" i="36" s="1"/>
  <c r="M34" i="36"/>
  <c r="N34" i="36"/>
  <c r="O34" i="36"/>
  <c r="P34" i="36"/>
  <c r="Q34" i="36"/>
  <c r="R34" i="36"/>
  <c r="R39" i="36" s="1"/>
  <c r="R47" i="36" s="1"/>
  <c r="S34" i="36"/>
  <c r="T34" i="36"/>
  <c r="U34" i="36"/>
  <c r="X34" i="36"/>
  <c r="Y34" i="36"/>
  <c r="Y42" i="36" s="1"/>
  <c r="Y50" i="36" s="1"/>
  <c r="Z34" i="36"/>
  <c r="Z42" i="36" s="1"/>
  <c r="AA34" i="36"/>
  <c r="AB34" i="36"/>
  <c r="AD34" i="36"/>
  <c r="AD42" i="36" s="1"/>
  <c r="AD50" i="36" s="1"/>
  <c r="AE34" i="36"/>
  <c r="AE42" i="36" s="1"/>
  <c r="AE50" i="36" s="1"/>
  <c r="AF34" i="36"/>
  <c r="AG34" i="36"/>
  <c r="AH34" i="36"/>
  <c r="AI34" i="36"/>
  <c r="AJ34" i="36"/>
  <c r="AJ42" i="36" s="1"/>
  <c r="J35" i="36"/>
  <c r="K35" i="36"/>
  <c r="L35" i="36"/>
  <c r="M35" i="36"/>
  <c r="N35" i="36"/>
  <c r="O35" i="36"/>
  <c r="P35" i="36"/>
  <c r="Q35" i="36"/>
  <c r="R35" i="36"/>
  <c r="R43" i="36" s="1"/>
  <c r="S35" i="36"/>
  <c r="T35" i="36"/>
  <c r="U35" i="36"/>
  <c r="W35" i="36"/>
  <c r="X35" i="36"/>
  <c r="X43" i="36" s="1"/>
  <c r="X51" i="36" s="1"/>
  <c r="Y35" i="36"/>
  <c r="Y43" i="36" s="1"/>
  <c r="Y51" i="36" s="1"/>
  <c r="Z35" i="36"/>
  <c r="AA35" i="36"/>
  <c r="AA43" i="36" s="1"/>
  <c r="AA51" i="36" s="1"/>
  <c r="AB35" i="36"/>
  <c r="AB43" i="36" s="1"/>
  <c r="AB51" i="36" s="1"/>
  <c r="AD35" i="36"/>
  <c r="AD43" i="36" s="1"/>
  <c r="AD51" i="36" s="1"/>
  <c r="AE35" i="36"/>
  <c r="AE43" i="36" s="1"/>
  <c r="AE51" i="36" s="1"/>
  <c r="AF35" i="36"/>
  <c r="AF43" i="36" s="1"/>
  <c r="AF51" i="36" s="1"/>
  <c r="AG35" i="36"/>
  <c r="AH35" i="36"/>
  <c r="AI35" i="36"/>
  <c r="AJ35" i="36"/>
  <c r="J36" i="36"/>
  <c r="J44" i="36" s="1"/>
  <c r="J52" i="36" s="1"/>
  <c r="K36" i="36"/>
  <c r="K44" i="36" s="1"/>
  <c r="K52" i="36" s="1"/>
  <c r="L36" i="36"/>
  <c r="M36" i="36"/>
  <c r="N36" i="36"/>
  <c r="O36" i="36"/>
  <c r="P36" i="36"/>
  <c r="P44" i="36" s="1"/>
  <c r="P52" i="36" s="1"/>
  <c r="Q36" i="36"/>
  <c r="Q44" i="36" s="1"/>
  <c r="R36" i="36"/>
  <c r="S36" i="36"/>
  <c r="T36" i="36"/>
  <c r="U36" i="36"/>
  <c r="W36" i="36"/>
  <c r="X36" i="36"/>
  <c r="Y36" i="36"/>
  <c r="Z36" i="36"/>
  <c r="Z44" i="36" s="1"/>
  <c r="Z52" i="36" s="1"/>
  <c r="AA36" i="36"/>
  <c r="AB36" i="36"/>
  <c r="AB44" i="36" s="1"/>
  <c r="AB52" i="36" s="1"/>
  <c r="AD36" i="36"/>
  <c r="AD44" i="36" s="1"/>
  <c r="AD52" i="36" s="1"/>
  <c r="AE36" i="36"/>
  <c r="AE44" i="36" s="1"/>
  <c r="AE52" i="36" s="1"/>
  <c r="AF36" i="36"/>
  <c r="AG36" i="36"/>
  <c r="AG44" i="36" s="1"/>
  <c r="AG52" i="36" s="1"/>
  <c r="AH36" i="36"/>
  <c r="AH44" i="36" s="1"/>
  <c r="AH52" i="36" s="1"/>
  <c r="AI36" i="36"/>
  <c r="AJ36" i="36"/>
  <c r="J37" i="36"/>
  <c r="K37" i="36"/>
  <c r="L37" i="36"/>
  <c r="M37" i="36"/>
  <c r="N37" i="36"/>
  <c r="O37" i="36"/>
  <c r="P37" i="36"/>
  <c r="Q37" i="36"/>
  <c r="R37" i="36"/>
  <c r="S37" i="36"/>
  <c r="T37" i="36"/>
  <c r="U37" i="36"/>
  <c r="W37" i="36"/>
  <c r="X37" i="36"/>
  <c r="Y37" i="36"/>
  <c r="Z37" i="36"/>
  <c r="Z45" i="36" s="1"/>
  <c r="AA37" i="36"/>
  <c r="AA45" i="36" s="1"/>
  <c r="AA53" i="36" s="1"/>
  <c r="AB37" i="36"/>
  <c r="AD37" i="36"/>
  <c r="AD45" i="36" s="1"/>
  <c r="AD53" i="36" s="1"/>
  <c r="AE37" i="36"/>
  <c r="AF37" i="36"/>
  <c r="AG37" i="36"/>
  <c r="AH37" i="36"/>
  <c r="AI37" i="36"/>
  <c r="AJ37" i="36"/>
  <c r="J38" i="36"/>
  <c r="K38" i="36"/>
  <c r="K46" i="36" s="1"/>
  <c r="K54" i="36" s="1"/>
  <c r="L38" i="36"/>
  <c r="M38" i="36"/>
  <c r="N38" i="36"/>
  <c r="O38" i="36"/>
  <c r="P38" i="36"/>
  <c r="Q38" i="36"/>
  <c r="R38" i="36"/>
  <c r="S38" i="36"/>
  <c r="S46" i="36" s="1"/>
  <c r="T38" i="36"/>
  <c r="T46" i="36" s="1"/>
  <c r="T54" i="36" s="1"/>
  <c r="U38" i="36"/>
  <c r="U46" i="36" s="1"/>
  <c r="U54" i="36" s="1"/>
  <c r="W38" i="36"/>
  <c r="X38" i="36"/>
  <c r="X46" i="36" s="1"/>
  <c r="X54" i="36" s="1"/>
  <c r="Y38" i="36"/>
  <c r="Y46" i="36" s="1"/>
  <c r="Y54" i="36" s="1"/>
  <c r="Z38" i="36"/>
  <c r="Z46" i="36" s="1"/>
  <c r="AA38" i="36"/>
  <c r="AA46" i="36" s="1"/>
  <c r="AA54" i="36" s="1"/>
  <c r="AB38" i="36"/>
  <c r="AB46" i="36" s="1"/>
  <c r="AB54" i="36" s="1"/>
  <c r="AD38" i="36"/>
  <c r="AE38" i="36"/>
  <c r="AF38" i="36"/>
  <c r="AF46" i="36" s="1"/>
  <c r="AF54" i="36" s="1"/>
  <c r="AG38" i="36"/>
  <c r="AH38" i="36"/>
  <c r="AI38" i="36"/>
  <c r="AJ38" i="36"/>
  <c r="G32" i="36"/>
  <c r="H32" i="36"/>
  <c r="G33" i="36"/>
  <c r="H33" i="36"/>
  <c r="G34" i="36"/>
  <c r="H34" i="36"/>
  <c r="G35" i="36"/>
  <c r="G43" i="36" s="1"/>
  <c r="G51" i="36" s="1"/>
  <c r="H35" i="36"/>
  <c r="G36" i="36"/>
  <c r="H36" i="36"/>
  <c r="H44" i="36" s="1"/>
  <c r="H52" i="36" s="1"/>
  <c r="G37" i="36"/>
  <c r="H37" i="36"/>
  <c r="G38" i="36"/>
  <c r="G46" i="36" s="1"/>
  <c r="G54" i="36" s="1"/>
  <c r="H38" i="36"/>
  <c r="H46" i="36" s="1"/>
  <c r="H54" i="36" s="1"/>
  <c r="F38" i="36"/>
  <c r="F46" i="36" s="1"/>
  <c r="F54" i="36" s="1"/>
  <c r="F37" i="36"/>
  <c r="F45" i="36" s="1"/>
  <c r="F53" i="36" s="1"/>
  <c r="F36" i="36"/>
  <c r="F44" i="36" s="1"/>
  <c r="F52" i="36" s="1"/>
  <c r="F35" i="36"/>
  <c r="F34" i="36"/>
  <c r="F33" i="36"/>
  <c r="F32" i="36"/>
  <c r="W36" i="52"/>
  <c r="W35" i="52"/>
  <c r="T36" i="52"/>
  <c r="T35" i="52"/>
  <c r="AA35" i="52" s="1"/>
  <c r="AC52" i="53" s="1"/>
  <c r="Q36" i="52"/>
  <c r="Q35" i="52"/>
  <c r="S52" i="53"/>
  <c r="S62" i="53"/>
  <c r="S82" i="53"/>
  <c r="S72" i="53"/>
  <c r="Y52" i="53"/>
  <c r="Y72" i="53"/>
  <c r="Y62" i="53"/>
  <c r="Y82" i="53"/>
  <c r="S83" i="53"/>
  <c r="S88" i="53"/>
  <c r="S73" i="53"/>
  <c r="S78" i="53" s="1"/>
  <c r="S63" i="53"/>
  <c r="S68" i="53" s="1"/>
  <c r="V62" i="53"/>
  <c r="V82" i="53"/>
  <c r="V72" i="53"/>
  <c r="AA36" i="52"/>
  <c r="V63" i="53"/>
  <c r="V68" i="53" s="1"/>
  <c r="V83" i="53"/>
  <c r="V88" i="53"/>
  <c r="C87" i="52"/>
  <c r="C117" i="52"/>
  <c r="C86" i="52"/>
  <c r="C116" i="52" s="1"/>
  <c r="C85" i="52"/>
  <c r="C115" i="52"/>
  <c r="C84" i="52"/>
  <c r="C114" i="52" s="1"/>
  <c r="C83" i="52"/>
  <c r="C113" i="52" s="1"/>
  <c r="C82" i="52"/>
  <c r="C112" i="52"/>
  <c r="C81" i="52"/>
  <c r="C111" i="52" s="1"/>
  <c r="C80" i="52"/>
  <c r="C110" i="52"/>
  <c r="C79" i="52"/>
  <c r="C109" i="52"/>
  <c r="C78" i="52"/>
  <c r="C108" i="52"/>
  <c r="C77" i="52"/>
  <c r="C107" i="52"/>
  <c r="C76" i="52"/>
  <c r="C106" i="52" s="1"/>
  <c r="C75" i="52"/>
  <c r="C105" i="52" s="1"/>
  <c r="C74" i="52"/>
  <c r="C104" i="52" s="1"/>
  <c r="C73" i="52"/>
  <c r="C103" i="52" s="1"/>
  <c r="C72" i="52"/>
  <c r="C102" i="52"/>
  <c r="C71" i="52"/>
  <c r="C101" i="52"/>
  <c r="C70" i="52"/>
  <c r="C100" i="52"/>
  <c r="AN69" i="52"/>
  <c r="AM69" i="52"/>
  <c r="AL69" i="52"/>
  <c r="AK69" i="52"/>
  <c r="AJ69" i="52"/>
  <c r="AI69" i="52"/>
  <c r="AH69" i="52"/>
  <c r="AG69" i="52"/>
  <c r="AF69" i="52"/>
  <c r="AE69" i="52"/>
  <c r="AD69" i="52"/>
  <c r="AC69" i="52"/>
  <c r="AB69" i="52"/>
  <c r="AA69" i="52"/>
  <c r="Z69" i="52"/>
  <c r="Y69" i="52"/>
  <c r="X69" i="52"/>
  <c r="W69" i="52"/>
  <c r="V69" i="52"/>
  <c r="U69" i="52"/>
  <c r="T69" i="52"/>
  <c r="S69" i="52"/>
  <c r="R69" i="52"/>
  <c r="Q69" i="52"/>
  <c r="P69" i="52"/>
  <c r="O69" i="52"/>
  <c r="N69" i="52"/>
  <c r="M69" i="52"/>
  <c r="L69" i="52"/>
  <c r="K69" i="52"/>
  <c r="J69" i="52"/>
  <c r="I69" i="52"/>
  <c r="H69" i="52"/>
  <c r="G69" i="52"/>
  <c r="F69" i="52"/>
  <c r="E69" i="52"/>
  <c r="D69" i="52"/>
  <c r="AN48" i="52"/>
  <c r="AM48" i="52"/>
  <c r="AL48" i="52"/>
  <c r="AK48" i="52"/>
  <c r="AJ48" i="52"/>
  <c r="AI48" i="52"/>
  <c r="AH48" i="52"/>
  <c r="AG48" i="52"/>
  <c r="AF48" i="52"/>
  <c r="AE48" i="52"/>
  <c r="AD48" i="52"/>
  <c r="AC48" i="52"/>
  <c r="AB48" i="52"/>
  <c r="AA48" i="52"/>
  <c r="Z48" i="52"/>
  <c r="Y48" i="52"/>
  <c r="X48" i="52"/>
  <c r="W48" i="52"/>
  <c r="V48" i="52"/>
  <c r="U48" i="52"/>
  <c r="T48" i="52"/>
  <c r="S48" i="52"/>
  <c r="R48" i="52"/>
  <c r="Q48" i="52"/>
  <c r="P48" i="52"/>
  <c r="O48" i="52"/>
  <c r="N48" i="52"/>
  <c r="M48" i="52"/>
  <c r="L48" i="52"/>
  <c r="K48" i="52"/>
  <c r="J48" i="52"/>
  <c r="I48" i="52"/>
  <c r="H48" i="52"/>
  <c r="G48" i="52"/>
  <c r="F48" i="52"/>
  <c r="E48" i="52"/>
  <c r="D48" i="52"/>
  <c r="C46" i="52"/>
  <c r="C45" i="52"/>
  <c r="C44" i="52"/>
  <c r="J44" i="52" s="1"/>
  <c r="C43" i="52"/>
  <c r="C42" i="52"/>
  <c r="AN19" i="52"/>
  <c r="AM19" i="52"/>
  <c r="AL19" i="52"/>
  <c r="AK19" i="52"/>
  <c r="AJ19" i="52"/>
  <c r="AI19" i="52"/>
  <c r="AH19" i="52"/>
  <c r="AG19" i="52"/>
  <c r="AF19" i="52"/>
  <c r="AE19" i="52"/>
  <c r="AD19" i="52"/>
  <c r="AC19" i="52"/>
  <c r="AB19" i="52"/>
  <c r="AA19" i="52"/>
  <c r="Z19" i="52"/>
  <c r="Y19" i="52"/>
  <c r="X19" i="52"/>
  <c r="W19" i="52"/>
  <c r="V19" i="52"/>
  <c r="U19" i="52"/>
  <c r="T19" i="52"/>
  <c r="S19" i="52"/>
  <c r="R19" i="52"/>
  <c r="Q19" i="52"/>
  <c r="P19" i="52"/>
  <c r="O19" i="52"/>
  <c r="N19" i="52"/>
  <c r="M19" i="52"/>
  <c r="L19" i="52"/>
  <c r="K19" i="52"/>
  <c r="J19" i="52"/>
  <c r="I19" i="52"/>
  <c r="H19" i="52"/>
  <c r="G19" i="52"/>
  <c r="F19" i="52"/>
  <c r="E19" i="52"/>
  <c r="D19" i="52"/>
  <c r="AC82" i="53"/>
  <c r="AC72" i="53"/>
  <c r="L71" i="29"/>
  <c r="C27" i="55"/>
  <c r="L70" i="29"/>
  <c r="C26" i="55"/>
  <c r="L69" i="29"/>
  <c r="C25" i="55" s="1"/>
  <c r="L68" i="29"/>
  <c r="C24" i="55" s="1"/>
  <c r="L67" i="29"/>
  <c r="C23" i="55"/>
  <c r="L66" i="29"/>
  <c r="C22" i="36" s="1"/>
  <c r="L65" i="29"/>
  <c r="C21" i="55" s="1"/>
  <c r="L64" i="29"/>
  <c r="C20" i="55"/>
  <c r="L63" i="29"/>
  <c r="C19" i="55" s="1"/>
  <c r="L62" i="29"/>
  <c r="C18" i="36" s="1"/>
  <c r="C46" i="36" s="1"/>
  <c r="C74" i="36" s="1"/>
  <c r="C102" i="36" s="1"/>
  <c r="C130" i="36" s="1"/>
  <c r="C18" i="55"/>
  <c r="L61" i="29"/>
  <c r="C17" i="36" s="1"/>
  <c r="C45" i="36" s="1"/>
  <c r="C73" i="36" s="1"/>
  <c r="C101" i="36" s="1"/>
  <c r="C17" i="55"/>
  <c r="L60" i="29"/>
  <c r="C16" i="55"/>
  <c r="L59" i="29"/>
  <c r="C15" i="55"/>
  <c r="L58" i="29"/>
  <c r="L57" i="29"/>
  <c r="C13" i="55"/>
  <c r="L56" i="29"/>
  <c r="C12" i="55"/>
  <c r="G155" i="35"/>
  <c r="G148" i="35"/>
  <c r="L96" i="29"/>
  <c r="L97" i="29"/>
  <c r="L98" i="29"/>
  <c r="L99" i="29"/>
  <c r="L100" i="29"/>
  <c r="L101" i="29"/>
  <c r="L102" i="29"/>
  <c r="L103" i="29"/>
  <c r="L104" i="29"/>
  <c r="L105" i="29"/>
  <c r="L106" i="29"/>
  <c r="L107" i="29"/>
  <c r="L108" i="29"/>
  <c r="L109" i="29"/>
  <c r="AI67" i="41"/>
  <c r="I38" i="36"/>
  <c r="I46" i="36"/>
  <c r="I54" i="36" s="1"/>
  <c r="I33" i="36"/>
  <c r="I41" i="36"/>
  <c r="I49" i="36" s="1"/>
  <c r="I34" i="36"/>
  <c r="I42" i="36" s="1"/>
  <c r="I50" i="36" s="1"/>
  <c r="I30" i="48"/>
  <c r="I35" i="48"/>
  <c r="I26" i="48"/>
  <c r="I31" i="48"/>
  <c r="I36" i="48"/>
  <c r="AK37" i="36"/>
  <c r="AK45" i="36"/>
  <c r="AK53" i="36"/>
  <c r="AK38" i="36"/>
  <c r="AK46" i="36" s="1"/>
  <c r="AK54" i="36"/>
  <c r="AK34" i="36"/>
  <c r="AK11" i="47"/>
  <c r="AK12" i="47" s="1"/>
  <c r="AK13" i="47" s="1"/>
  <c r="AK26" i="48"/>
  <c r="AK31" i="48"/>
  <c r="AK36" i="48"/>
  <c r="AK27" i="48"/>
  <c r="AK32" i="48" s="1"/>
  <c r="AK37" i="48" s="1"/>
  <c r="AK24" i="48"/>
  <c r="AK29" i="48"/>
  <c r="AK34" i="48"/>
  <c r="AK23" i="48"/>
  <c r="AK28" i="48"/>
  <c r="AK33" i="48" s="1"/>
  <c r="AK25" i="48"/>
  <c r="AK30" i="48" s="1"/>
  <c r="AK35" i="48" s="1"/>
  <c r="AN37" i="36"/>
  <c r="AN45" i="36" s="1"/>
  <c r="AN53" i="36" s="1"/>
  <c r="AN38" i="36"/>
  <c r="AN46" i="36" s="1"/>
  <c r="AN54" i="36" s="1"/>
  <c r="AN12" i="47"/>
  <c r="AN13" i="47" s="1"/>
  <c r="AN26" i="48"/>
  <c r="AN31" i="48"/>
  <c r="AN36" i="48"/>
  <c r="AN23" i="48"/>
  <c r="AN28" i="48" s="1"/>
  <c r="AN33" i="48" s="1"/>
  <c r="AN35" i="48"/>
  <c r="AP37" i="36"/>
  <c r="AP45" i="36"/>
  <c r="AP53" i="36" s="1"/>
  <c r="AP38" i="36"/>
  <c r="AP46" i="36" s="1"/>
  <c r="AP54" i="36" s="1"/>
  <c r="AP35" i="36"/>
  <c r="AP43" i="36" s="1"/>
  <c r="AP51" i="36" s="1"/>
  <c r="AP33" i="36"/>
  <c r="AP41" i="36" s="1"/>
  <c r="AP49" i="36" s="1"/>
  <c r="AP26" i="48"/>
  <c r="AP31" i="48" s="1"/>
  <c r="AP36" i="48"/>
  <c r="AP27" i="48"/>
  <c r="AP32" i="48"/>
  <c r="AP37" i="48" s="1"/>
  <c r="AP24" i="48"/>
  <c r="AP29" i="48"/>
  <c r="AP34" i="48"/>
  <c r="AP23" i="48"/>
  <c r="AP28" i="48"/>
  <c r="AP33" i="48"/>
  <c r="AP25" i="48"/>
  <c r="AP30" i="48"/>
  <c r="AP35" i="48"/>
  <c r="AO37" i="36"/>
  <c r="AO45" i="36" s="1"/>
  <c r="AO53" i="36" s="1"/>
  <c r="AO33" i="36"/>
  <c r="AO41" i="36"/>
  <c r="AO49" i="36" s="1"/>
  <c r="AO40" i="36"/>
  <c r="AO48" i="36" s="1"/>
  <c r="AO34" i="36"/>
  <c r="AO23" i="48"/>
  <c r="AO28" i="48"/>
  <c r="AO33" i="48" s="1"/>
  <c r="AM37" i="36"/>
  <c r="AM45" i="36"/>
  <c r="AM53" i="36"/>
  <c r="AM33" i="36"/>
  <c r="AM41" i="36" s="1"/>
  <c r="AM49" i="36" s="1"/>
  <c r="AM32" i="36"/>
  <c r="AM40" i="36" s="1"/>
  <c r="AM48" i="36" s="1"/>
  <c r="AM36" i="36"/>
  <c r="AM44" i="36"/>
  <c r="AM52" i="36" s="1"/>
  <c r="AM26" i="48"/>
  <c r="AM31" i="48" s="1"/>
  <c r="AM36" i="48" s="1"/>
  <c r="AM23" i="48"/>
  <c r="AM28" i="48"/>
  <c r="AM33" i="48" s="1"/>
  <c r="AL37" i="36"/>
  <c r="AL45" i="36"/>
  <c r="AL53" i="36"/>
  <c r="AL35" i="36"/>
  <c r="AL43" i="36" s="1"/>
  <c r="AL51" i="36"/>
  <c r="AL36" i="36"/>
  <c r="AL44" i="36"/>
  <c r="AL52" i="36" s="1"/>
  <c r="AL11" i="47"/>
  <c r="AL12" i="47" s="1"/>
  <c r="AL13" i="47"/>
  <c r="AL24" i="48"/>
  <c r="AL29" i="48" s="1"/>
  <c r="AL34" i="48" s="1"/>
  <c r="AL23" i="48"/>
  <c r="AL28" i="48" s="1"/>
  <c r="AL33" i="48" s="1"/>
  <c r="AL25" i="48"/>
  <c r="AL30" i="48" s="1"/>
  <c r="AL35" i="48" s="1"/>
  <c r="AC33" i="36"/>
  <c r="AC41" i="36"/>
  <c r="AC49" i="36" s="1"/>
  <c r="AC32" i="36"/>
  <c r="AC40" i="36" s="1"/>
  <c r="AC48" i="36" s="1"/>
  <c r="AC34" i="36"/>
  <c r="AC36" i="36"/>
  <c r="AC44" i="36" s="1"/>
  <c r="AC52" i="36" s="1"/>
  <c r="AC11" i="47"/>
  <c r="AC12" i="47"/>
  <c r="AC13" i="47"/>
  <c r="AC26" i="48"/>
  <c r="AC31" i="48" s="1"/>
  <c r="AC36" i="48" s="1"/>
  <c r="AC27" i="48"/>
  <c r="AC32" i="48"/>
  <c r="AC37" i="48"/>
  <c r="AC28" i="48"/>
  <c r="AC33" i="48"/>
  <c r="AC25" i="48"/>
  <c r="AC30" i="48" s="1"/>
  <c r="AC35" i="48" s="1"/>
  <c r="V37" i="36"/>
  <c r="V45" i="36"/>
  <c r="V53" i="36" s="1"/>
  <c r="V38" i="36"/>
  <c r="V46" i="36" s="1"/>
  <c r="V54" i="36" s="1"/>
  <c r="V33" i="36"/>
  <c r="V41" i="36"/>
  <c r="V49" i="36" s="1"/>
  <c r="V32" i="36"/>
  <c r="V40" i="36"/>
  <c r="V48" i="36" s="1"/>
  <c r="V11" i="47"/>
  <c r="V12" i="47"/>
  <c r="V13" i="47"/>
  <c r="V31" i="48"/>
  <c r="V36" i="48"/>
  <c r="V24" i="48"/>
  <c r="V29" i="48"/>
  <c r="V34" i="48"/>
  <c r="V23" i="48"/>
  <c r="V28" i="48" s="1"/>
  <c r="V33" i="48" s="1"/>
  <c r="V30" i="48"/>
  <c r="V35" i="48"/>
  <c r="V27" i="48"/>
  <c r="V32" i="48" s="1"/>
  <c r="V37" i="48"/>
  <c r="X20" i="29"/>
  <c r="D12" i="29" s="1"/>
  <c r="C12" i="29"/>
  <c r="E110" i="50"/>
  <c r="C11" i="29"/>
  <c r="E109" i="50"/>
  <c r="C10" i="29"/>
  <c r="E108" i="50" s="1"/>
  <c r="C9" i="29"/>
  <c r="E107" i="50" s="1"/>
  <c r="C8" i="29"/>
  <c r="E106" i="50"/>
  <c r="C7" i="29"/>
  <c r="E105" i="50" s="1"/>
  <c r="D32" i="29"/>
  <c r="C32" i="29"/>
  <c r="D31" i="29"/>
  <c r="C31" i="29"/>
  <c r="D30" i="29"/>
  <c r="C30" i="29"/>
  <c r="D29" i="29"/>
  <c r="C29" i="29"/>
  <c r="D28" i="29"/>
  <c r="C28" i="29"/>
  <c r="D27" i="29"/>
  <c r="C27" i="29"/>
  <c r="D26" i="29"/>
  <c r="C26" i="29"/>
  <c r="D25" i="29"/>
  <c r="C25" i="29"/>
  <c r="D24" i="29"/>
  <c r="D48" i="29"/>
  <c r="C24" i="29"/>
  <c r="E35" i="53" s="1"/>
  <c r="E36" i="53" s="1"/>
  <c r="D23" i="29"/>
  <c r="D47" i="29" s="1"/>
  <c r="C23" i="29"/>
  <c r="E15" i="53"/>
  <c r="D22" i="29"/>
  <c r="D46" i="29"/>
  <c r="C22" i="29"/>
  <c r="B84" i="52" s="1"/>
  <c r="E5" i="53"/>
  <c r="D21" i="29"/>
  <c r="C21" i="29"/>
  <c r="D20" i="29"/>
  <c r="C20" i="29"/>
  <c r="D19" i="29"/>
  <c r="C19" i="29"/>
  <c r="D18" i="29"/>
  <c r="C18" i="29"/>
  <c r="E6" i="47"/>
  <c r="D17" i="29"/>
  <c r="C17" i="29"/>
  <c r="E5" i="47"/>
  <c r="D16" i="29"/>
  <c r="C16" i="29"/>
  <c r="E4" i="47" s="1"/>
  <c r="D15" i="29"/>
  <c r="C15" i="29"/>
  <c r="E14" i="48"/>
  <c r="D14" i="29"/>
  <c r="C14" i="29"/>
  <c r="E9" i="48" s="1"/>
  <c r="D13" i="29"/>
  <c r="C13" i="29"/>
  <c r="E4" i="48"/>
  <c r="C6" i="29"/>
  <c r="C5" i="29"/>
  <c r="C4" i="29"/>
  <c r="D5" i="47"/>
  <c r="D6" i="47" s="1"/>
  <c r="A4" i="47"/>
  <c r="D8" i="48"/>
  <c r="D13" i="48"/>
  <c r="D18" i="48"/>
  <c r="A8" i="48"/>
  <c r="A13" i="48"/>
  <c r="D7" i="48"/>
  <c r="D12" i="48" s="1"/>
  <c r="D17" i="48" s="1"/>
  <c r="A7" i="48"/>
  <c r="D6" i="48"/>
  <c r="D11" i="48"/>
  <c r="D16" i="48"/>
  <c r="A6" i="48"/>
  <c r="A25" i="48" s="1"/>
  <c r="A44" i="48"/>
  <c r="A63" i="48" s="1"/>
  <c r="D10" i="48"/>
  <c r="D15" i="48" s="1"/>
  <c r="A5" i="48"/>
  <c r="D9" i="48"/>
  <c r="D14" i="48" s="1"/>
  <c r="A4" i="48"/>
  <c r="A23" i="48"/>
  <c r="A42" i="48"/>
  <c r="A61" i="48"/>
  <c r="A80" i="48"/>
  <c r="AM11" i="47"/>
  <c r="AM12" i="47" s="1"/>
  <c r="AM13" i="47"/>
  <c r="AJ11" i="47"/>
  <c r="AJ12" i="47"/>
  <c r="AJ13" i="47"/>
  <c r="AI11" i="47"/>
  <c r="AI12" i="47"/>
  <c r="AI13" i="47"/>
  <c r="AH11" i="47"/>
  <c r="AH12" i="47"/>
  <c r="AH13" i="47"/>
  <c r="AG11" i="47"/>
  <c r="AG12" i="47"/>
  <c r="AG13" i="47"/>
  <c r="AF11" i="47"/>
  <c r="AF12" i="47" s="1"/>
  <c r="AF13" i="47" s="1"/>
  <c r="AE11" i="47"/>
  <c r="AE12" i="47" s="1"/>
  <c r="AE13" i="47" s="1"/>
  <c r="AD11" i="47"/>
  <c r="AD12" i="47"/>
  <c r="AD13" i="47" s="1"/>
  <c r="AB11" i="47"/>
  <c r="AB12" i="47" s="1"/>
  <c r="AB13" i="47" s="1"/>
  <c r="AA11" i="47"/>
  <c r="AA12" i="47" s="1"/>
  <c r="AA13" i="47" s="1"/>
  <c r="Z11" i="47"/>
  <c r="Z12" i="47"/>
  <c r="Z13" i="47"/>
  <c r="Y11" i="47"/>
  <c r="Y12" i="47" s="1"/>
  <c r="Y13" i="47" s="1"/>
  <c r="X11" i="47"/>
  <c r="X12" i="47" s="1"/>
  <c r="X13" i="47" s="1"/>
  <c r="W11" i="47"/>
  <c r="W12" i="47" s="1"/>
  <c r="W13" i="47"/>
  <c r="U11" i="47"/>
  <c r="U12" i="47"/>
  <c r="U13" i="47"/>
  <c r="T11" i="47"/>
  <c r="T12" i="47"/>
  <c r="T13" i="47" s="1"/>
  <c r="S11" i="47"/>
  <c r="S12" i="47" s="1"/>
  <c r="S13" i="47"/>
  <c r="R11" i="47"/>
  <c r="R12" i="47" s="1"/>
  <c r="R13" i="47"/>
  <c r="Q11" i="47"/>
  <c r="Q12" i="47" s="1"/>
  <c r="Q13" i="47" s="1"/>
  <c r="P11" i="47"/>
  <c r="P12" i="47"/>
  <c r="P13" i="47"/>
  <c r="O11" i="47"/>
  <c r="O12" i="47"/>
  <c r="O13" i="47"/>
  <c r="N11" i="47"/>
  <c r="N12" i="47" s="1"/>
  <c r="N13" i="47" s="1"/>
  <c r="M11" i="47"/>
  <c r="M12" i="47" s="1"/>
  <c r="M13" i="47" s="1"/>
  <c r="L11" i="47"/>
  <c r="L12" i="47" s="1"/>
  <c r="L13" i="47" s="1"/>
  <c r="K11" i="47"/>
  <c r="K12" i="47" s="1"/>
  <c r="K13" i="47"/>
  <c r="J11" i="47"/>
  <c r="J12" i="47"/>
  <c r="J13" i="47" s="1"/>
  <c r="I11" i="47"/>
  <c r="I12" i="47"/>
  <c r="I13" i="47"/>
  <c r="H11" i="47"/>
  <c r="H12" i="47"/>
  <c r="H13" i="47"/>
  <c r="G11" i="47"/>
  <c r="G12" i="47"/>
  <c r="G13" i="47"/>
  <c r="F11" i="47"/>
  <c r="F12" i="47" s="1"/>
  <c r="F13" i="47" s="1"/>
  <c r="AO27" i="48"/>
  <c r="AO32" i="48" s="1"/>
  <c r="AO37" i="48"/>
  <c r="AJ27" i="48"/>
  <c r="AJ32" i="48" s="1"/>
  <c r="AJ37" i="48"/>
  <c r="AI27" i="48"/>
  <c r="AI32" i="48"/>
  <c r="AI37" i="48"/>
  <c r="AH27" i="48"/>
  <c r="AH32" i="48"/>
  <c r="AH37" i="48" s="1"/>
  <c r="AG27" i="48"/>
  <c r="AG32" i="48"/>
  <c r="AG37" i="48" s="1"/>
  <c r="AF27" i="48"/>
  <c r="AF32" i="48"/>
  <c r="AF37" i="48"/>
  <c r="AE27" i="48"/>
  <c r="AE32" i="48" s="1"/>
  <c r="AE37" i="48"/>
  <c r="AD27" i="48"/>
  <c r="AD32" i="48" s="1"/>
  <c r="AD37" i="48" s="1"/>
  <c r="AB27" i="48"/>
  <c r="AB32" i="48"/>
  <c r="AB37" i="48" s="1"/>
  <c r="AA27" i="48"/>
  <c r="AA32" i="48" s="1"/>
  <c r="AA37" i="48"/>
  <c r="Z27" i="48"/>
  <c r="Z32" i="48"/>
  <c r="Z37" i="48" s="1"/>
  <c r="Y27" i="48"/>
  <c r="Y32" i="48"/>
  <c r="Y37" i="48"/>
  <c r="X27" i="48"/>
  <c r="X32" i="48"/>
  <c r="X37" i="48" s="1"/>
  <c r="W27" i="48"/>
  <c r="W32" i="48" s="1"/>
  <c r="W37" i="48" s="1"/>
  <c r="U27" i="48"/>
  <c r="U32" i="48" s="1"/>
  <c r="U37" i="48"/>
  <c r="T27" i="48"/>
  <c r="T32" i="48"/>
  <c r="T37" i="48"/>
  <c r="S27" i="48"/>
  <c r="S32" i="48"/>
  <c r="S37" i="48" s="1"/>
  <c r="R27" i="48"/>
  <c r="R32" i="48" s="1"/>
  <c r="R37" i="48"/>
  <c r="Q27" i="48"/>
  <c r="Q32" i="48" s="1"/>
  <c r="Q37" i="48" s="1"/>
  <c r="P27" i="48"/>
  <c r="P32" i="48"/>
  <c r="P37" i="48"/>
  <c r="O27" i="48"/>
  <c r="O32" i="48"/>
  <c r="O37" i="48" s="1"/>
  <c r="N27" i="48"/>
  <c r="N32" i="48"/>
  <c r="N37" i="48" s="1"/>
  <c r="M27" i="48"/>
  <c r="M32" i="48" s="1"/>
  <c r="M37" i="48"/>
  <c r="L27" i="48"/>
  <c r="L32" i="48"/>
  <c r="L37" i="48"/>
  <c r="K27" i="48"/>
  <c r="K32" i="48"/>
  <c r="K37" i="48" s="1"/>
  <c r="J27" i="48"/>
  <c r="J32" i="48" s="1"/>
  <c r="J37" i="48" s="1"/>
  <c r="I27" i="48"/>
  <c r="I32" i="48"/>
  <c r="I37" i="48"/>
  <c r="H27" i="48"/>
  <c r="H32" i="48"/>
  <c r="H37" i="48" s="1"/>
  <c r="G27" i="48"/>
  <c r="G32" i="48" s="1"/>
  <c r="G37" i="48" s="1"/>
  <c r="F27" i="48"/>
  <c r="F32" i="48"/>
  <c r="F37" i="48" s="1"/>
  <c r="AO26" i="48"/>
  <c r="AL26" i="48"/>
  <c r="AL31" i="48"/>
  <c r="AL36" i="48"/>
  <c r="AJ26" i="48"/>
  <c r="AJ31" i="48"/>
  <c r="AJ36" i="48"/>
  <c r="AI26" i="48"/>
  <c r="AI31" i="48" s="1"/>
  <c r="AI36" i="48"/>
  <c r="AH26" i="48"/>
  <c r="AH31" i="48"/>
  <c r="AH36" i="48"/>
  <c r="AG26" i="48"/>
  <c r="AG31" i="48"/>
  <c r="AG36" i="48"/>
  <c r="AF26" i="48"/>
  <c r="AF31" i="48"/>
  <c r="AF36" i="48" s="1"/>
  <c r="AE26" i="48"/>
  <c r="AE31" i="48" s="1"/>
  <c r="AE36" i="48" s="1"/>
  <c r="AD26" i="48"/>
  <c r="AD31" i="48" s="1"/>
  <c r="AD36" i="48" s="1"/>
  <c r="AB26" i="48"/>
  <c r="AB31" i="48"/>
  <c r="AB36" i="48"/>
  <c r="AA26" i="48"/>
  <c r="AA31" i="48"/>
  <c r="AA36" i="48"/>
  <c r="Z26" i="48"/>
  <c r="Z31" i="48" s="1"/>
  <c r="Z36" i="48" s="1"/>
  <c r="Y26" i="48"/>
  <c r="Y31" i="48"/>
  <c r="Y36" i="48"/>
  <c r="X26" i="48"/>
  <c r="X31" i="48" s="1"/>
  <c r="X36" i="48" s="1"/>
  <c r="W26" i="48"/>
  <c r="W31" i="48" s="1"/>
  <c r="W36" i="48" s="1"/>
  <c r="U26" i="48"/>
  <c r="U31" i="48"/>
  <c r="U36" i="48"/>
  <c r="T26" i="48"/>
  <c r="T31" i="48" s="1"/>
  <c r="T36" i="48" s="1"/>
  <c r="S26" i="48"/>
  <c r="S31" i="48"/>
  <c r="S36" i="48"/>
  <c r="R26" i="48"/>
  <c r="R31" i="48"/>
  <c r="R36" i="48"/>
  <c r="Q26" i="48"/>
  <c r="Q31" i="48" s="1"/>
  <c r="Q36" i="48" s="1"/>
  <c r="P26" i="48"/>
  <c r="P31" i="48"/>
  <c r="P36" i="48"/>
  <c r="O26" i="48"/>
  <c r="O31" i="48"/>
  <c r="O36" i="48"/>
  <c r="N26" i="48"/>
  <c r="N31" i="48" s="1"/>
  <c r="N36" i="48"/>
  <c r="M26" i="48"/>
  <c r="M31" i="48"/>
  <c r="M36" i="48" s="1"/>
  <c r="L26" i="48"/>
  <c r="L31" i="48" s="1"/>
  <c r="L36" i="48" s="1"/>
  <c r="K26" i="48"/>
  <c r="K31" i="48"/>
  <c r="K36" i="48"/>
  <c r="J26" i="48"/>
  <c r="J31" i="48"/>
  <c r="J36" i="48"/>
  <c r="H26" i="48"/>
  <c r="H31" i="48" s="1"/>
  <c r="H36" i="48"/>
  <c r="G26" i="48"/>
  <c r="G31" i="48"/>
  <c r="G36" i="48"/>
  <c r="F26" i="48"/>
  <c r="F31" i="48" s="1"/>
  <c r="F36" i="48" s="1"/>
  <c r="AO25" i="48"/>
  <c r="AO30" i="48"/>
  <c r="AO35" i="48"/>
  <c r="AJ25" i="48"/>
  <c r="AJ30" i="48"/>
  <c r="AJ35" i="48" s="1"/>
  <c r="AI25" i="48"/>
  <c r="AI30" i="48" s="1"/>
  <c r="AI35" i="48" s="1"/>
  <c r="AH25" i="48"/>
  <c r="AH30" i="48"/>
  <c r="AH35" i="48"/>
  <c r="AG25" i="48"/>
  <c r="AG30" i="48"/>
  <c r="AG35" i="48"/>
  <c r="AF25" i="48"/>
  <c r="AF30" i="48" s="1"/>
  <c r="AF35" i="48"/>
  <c r="AE25" i="48"/>
  <c r="AE30" i="48"/>
  <c r="AE35" i="48"/>
  <c r="AD25" i="48"/>
  <c r="AD30" i="48"/>
  <c r="AD35" i="48" s="1"/>
  <c r="AB25" i="48"/>
  <c r="AB30" i="48" s="1"/>
  <c r="AB35" i="48" s="1"/>
  <c r="AA25" i="48"/>
  <c r="AA30" i="48"/>
  <c r="AA35" i="48" s="1"/>
  <c r="Z25" i="48"/>
  <c r="Z30" i="48" s="1"/>
  <c r="Z35" i="48" s="1"/>
  <c r="Y25" i="48"/>
  <c r="Y30" i="48"/>
  <c r="Y35" i="48"/>
  <c r="X25" i="48"/>
  <c r="X30" i="48"/>
  <c r="X35" i="48"/>
  <c r="W25" i="48"/>
  <c r="W30" i="48" s="1"/>
  <c r="W35" i="48" s="1"/>
  <c r="U25" i="48"/>
  <c r="U30" i="48"/>
  <c r="U35" i="48"/>
  <c r="T25" i="48"/>
  <c r="T30" i="48"/>
  <c r="T35" i="48"/>
  <c r="S25" i="48"/>
  <c r="S30" i="48"/>
  <c r="S35" i="48" s="1"/>
  <c r="R25" i="48"/>
  <c r="R30" i="48" s="1"/>
  <c r="R35" i="48" s="1"/>
  <c r="Q25" i="48"/>
  <c r="Q30" i="48" s="1"/>
  <c r="Q35" i="48" s="1"/>
  <c r="P25" i="48"/>
  <c r="P30" i="48"/>
  <c r="P35" i="48"/>
  <c r="O25" i="48"/>
  <c r="O30" i="48"/>
  <c r="O35" i="48"/>
  <c r="N25" i="48"/>
  <c r="N30" i="48" s="1"/>
  <c r="N35" i="48"/>
  <c r="M25" i="48"/>
  <c r="M30" i="48"/>
  <c r="M35" i="48"/>
  <c r="L25" i="48"/>
  <c r="L30" i="48" s="1"/>
  <c r="L35" i="48" s="1"/>
  <c r="K25" i="48"/>
  <c r="K30" i="48"/>
  <c r="K35" i="48"/>
  <c r="J25" i="48"/>
  <c r="J30" i="48"/>
  <c r="J35" i="48" s="1"/>
  <c r="H25" i="48"/>
  <c r="H30" i="48" s="1"/>
  <c r="H35" i="48" s="1"/>
  <c r="G25" i="48"/>
  <c r="G30" i="48"/>
  <c r="G35" i="48"/>
  <c r="F25" i="48"/>
  <c r="F30" i="48"/>
  <c r="F35" i="48"/>
  <c r="AN24" i="48"/>
  <c r="AN29" i="48" s="1"/>
  <c r="AN34" i="48"/>
  <c r="AM24" i="48"/>
  <c r="AM29" i="48"/>
  <c r="AM34" i="48"/>
  <c r="AJ24" i="48"/>
  <c r="AJ29" i="48"/>
  <c r="AJ34" i="48"/>
  <c r="AI24" i="48"/>
  <c r="AI29" i="48"/>
  <c r="AI34" i="48"/>
  <c r="AH24" i="48"/>
  <c r="AH29" i="48"/>
  <c r="AH34" i="48"/>
  <c r="AG24" i="48"/>
  <c r="AG29" i="48" s="1"/>
  <c r="AG34" i="48" s="1"/>
  <c r="AF24" i="48"/>
  <c r="AF29" i="48"/>
  <c r="AF34" i="48"/>
  <c r="AE24" i="48"/>
  <c r="AE29" i="48"/>
  <c r="AE34" i="48"/>
  <c r="AD24" i="48"/>
  <c r="AD29" i="48" s="1"/>
  <c r="AD34" i="48" s="1"/>
  <c r="AB24" i="48"/>
  <c r="AB29" i="48"/>
  <c r="AB34" i="48"/>
  <c r="AA24" i="48"/>
  <c r="AA29" i="48" s="1"/>
  <c r="AA34" i="48" s="1"/>
  <c r="Z24" i="48"/>
  <c r="Z29" i="48"/>
  <c r="Z34" i="48"/>
  <c r="Y24" i="48"/>
  <c r="Y29" i="48"/>
  <c r="Y34" i="48"/>
  <c r="X24" i="48"/>
  <c r="X29" i="48" s="1"/>
  <c r="X34" i="48" s="1"/>
  <c r="W24" i="48"/>
  <c r="W29" i="48"/>
  <c r="W34" i="48"/>
  <c r="U24" i="48"/>
  <c r="U29" i="48"/>
  <c r="U34" i="48"/>
  <c r="T24" i="48"/>
  <c r="T29" i="48" s="1"/>
  <c r="T34" i="48" s="1"/>
  <c r="S24" i="48"/>
  <c r="S29" i="48"/>
  <c r="S34" i="48"/>
  <c r="R24" i="48"/>
  <c r="R29" i="48"/>
  <c r="R34" i="48"/>
  <c r="Q24" i="48"/>
  <c r="Q29" i="48"/>
  <c r="Q34" i="48" s="1"/>
  <c r="P24" i="48"/>
  <c r="P29" i="48" s="1"/>
  <c r="P34" i="48" s="1"/>
  <c r="O24" i="48"/>
  <c r="O29" i="48" s="1"/>
  <c r="O34" i="48" s="1"/>
  <c r="N24" i="48"/>
  <c r="N29" i="48"/>
  <c r="N34" i="48"/>
  <c r="M24" i="48"/>
  <c r="M29" i="48"/>
  <c r="M34" i="48"/>
  <c r="L24" i="48"/>
  <c r="L29" i="48" s="1"/>
  <c r="L34" i="48" s="1"/>
  <c r="K24" i="48"/>
  <c r="K29" i="48"/>
  <c r="K34" i="48"/>
  <c r="J24" i="48"/>
  <c r="J29" i="48"/>
  <c r="J34" i="48" s="1"/>
  <c r="I24" i="48"/>
  <c r="I29" i="48" s="1"/>
  <c r="I34" i="48" s="1"/>
  <c r="H24" i="48"/>
  <c r="H29" i="48" s="1"/>
  <c r="H34" i="48" s="1"/>
  <c r="G24" i="48"/>
  <c r="G29" i="48" s="1"/>
  <c r="G34" i="48" s="1"/>
  <c r="F24" i="48"/>
  <c r="F29" i="48"/>
  <c r="F34" i="48"/>
  <c r="AJ23" i="48"/>
  <c r="AJ28" i="48"/>
  <c r="AJ33" i="48"/>
  <c r="AI23" i="48"/>
  <c r="AI28" i="48" s="1"/>
  <c r="AI33" i="48"/>
  <c r="AH23" i="48"/>
  <c r="AH28" i="48"/>
  <c r="AH33" i="48"/>
  <c r="AG23" i="48"/>
  <c r="AG28" i="48" s="1"/>
  <c r="AG33" i="48" s="1"/>
  <c r="AF23" i="48"/>
  <c r="AF28" i="48"/>
  <c r="AF33" i="48" s="1"/>
  <c r="AE23" i="48"/>
  <c r="AE28" i="48" s="1"/>
  <c r="AE33" i="48" s="1"/>
  <c r="AD23" i="48"/>
  <c r="AD28" i="48" s="1"/>
  <c r="AD33" i="48" s="1"/>
  <c r="AB23" i="48"/>
  <c r="AB28" i="48"/>
  <c r="AB33" i="48"/>
  <c r="AA23" i="48"/>
  <c r="AA28" i="48"/>
  <c r="AA33" i="48"/>
  <c r="Z23" i="48"/>
  <c r="Z28" i="48" s="1"/>
  <c r="Z33" i="48" s="1"/>
  <c r="Y23" i="48"/>
  <c r="Y28" i="48"/>
  <c r="Y33" i="48"/>
  <c r="X23" i="48"/>
  <c r="X28" i="48"/>
  <c r="X33" i="48" s="1"/>
  <c r="W23" i="48"/>
  <c r="W28" i="48" s="1"/>
  <c r="W33" i="48" s="1"/>
  <c r="U23" i="48"/>
  <c r="U28" i="48"/>
  <c r="U33" i="48"/>
  <c r="T23" i="48"/>
  <c r="T28" i="48" s="1"/>
  <c r="T33" i="48" s="1"/>
  <c r="S23" i="48"/>
  <c r="S28" i="48"/>
  <c r="S33" i="48"/>
  <c r="R23" i="48"/>
  <c r="R28" i="48"/>
  <c r="R33" i="48"/>
  <c r="Q23" i="48"/>
  <c r="Q28" i="48" s="1"/>
  <c r="Q33" i="48"/>
  <c r="P23" i="48"/>
  <c r="P28" i="48"/>
  <c r="P33" i="48"/>
  <c r="O23" i="48"/>
  <c r="O28" i="48"/>
  <c r="O33" i="48"/>
  <c r="N23" i="48"/>
  <c r="N28" i="48"/>
  <c r="N33" i="48" s="1"/>
  <c r="M23" i="48"/>
  <c r="M28" i="48" s="1"/>
  <c r="M33" i="48" s="1"/>
  <c r="L23" i="48"/>
  <c r="L28" i="48" s="1"/>
  <c r="L33" i="48" s="1"/>
  <c r="K23" i="48"/>
  <c r="K28" i="48"/>
  <c r="K33" i="48"/>
  <c r="J23" i="48"/>
  <c r="J28" i="48"/>
  <c r="J33" i="48"/>
  <c r="H23" i="48"/>
  <c r="H28" i="48" s="1"/>
  <c r="H33" i="48" s="1"/>
  <c r="G23" i="48"/>
  <c r="G28" i="48"/>
  <c r="G33" i="48"/>
  <c r="F23" i="48"/>
  <c r="F28" i="48"/>
  <c r="F33" i="48" s="1"/>
  <c r="C89" i="50"/>
  <c r="L95" i="29"/>
  <c r="C72" i="50"/>
  <c r="L94" i="29" s="1"/>
  <c r="C76" i="50"/>
  <c r="C80" i="50"/>
  <c r="C84" i="50" s="1"/>
  <c r="C55" i="50"/>
  <c r="L93" i="29" s="1"/>
  <c r="C38" i="50"/>
  <c r="C42" i="50" s="1"/>
  <c r="C46" i="50"/>
  <c r="C50" i="50" s="1"/>
  <c r="C21" i="50"/>
  <c r="C25" i="50" s="1"/>
  <c r="C29" i="50" s="1"/>
  <c r="C33" i="50"/>
  <c r="A21" i="50"/>
  <c r="A38" i="50"/>
  <c r="A8" i="50"/>
  <c r="A12" i="50"/>
  <c r="A16" i="50" s="1"/>
  <c r="D21" i="50"/>
  <c r="D38" i="50" s="1"/>
  <c r="D55" i="50" s="1"/>
  <c r="C4" i="50"/>
  <c r="C8" i="50" s="1"/>
  <c r="C12" i="50" s="1"/>
  <c r="C16" i="50" s="1"/>
  <c r="AO31" i="48"/>
  <c r="AO36" i="48" s="1"/>
  <c r="AR6" i="47"/>
  <c r="AI46" i="36"/>
  <c r="AI54" i="36"/>
  <c r="AE46" i="36"/>
  <c r="AE54" i="36" s="1"/>
  <c r="W46" i="36"/>
  <c r="W54" i="36" s="1"/>
  <c r="S54" i="36"/>
  <c r="L46" i="36"/>
  <c r="L54" i="36"/>
  <c r="AG45" i="36"/>
  <c r="AG53" i="36" s="1"/>
  <c r="AB45" i="36"/>
  <c r="AB53" i="36"/>
  <c r="U45" i="36"/>
  <c r="U53" i="36" s="1"/>
  <c r="Q45" i="36"/>
  <c r="Q53" i="36" s="1"/>
  <c r="P45" i="36"/>
  <c r="P53" i="36"/>
  <c r="M45" i="36"/>
  <c r="M53" i="36"/>
  <c r="Y44" i="36"/>
  <c r="Y52" i="36"/>
  <c r="N44" i="36"/>
  <c r="N52" i="36" s="1"/>
  <c r="AI43" i="36"/>
  <c r="AI51" i="36"/>
  <c r="W43" i="36"/>
  <c r="W51" i="36" s="1"/>
  <c r="S43" i="36"/>
  <c r="S51" i="36" s="1"/>
  <c r="O43" i="36"/>
  <c r="O51" i="36" s="1"/>
  <c r="K43" i="36"/>
  <c r="K51" i="36" s="1"/>
  <c r="AJ50" i="36"/>
  <c r="X39" i="36"/>
  <c r="X47" i="36"/>
  <c r="X55" i="36" s="1"/>
  <c r="T42" i="36"/>
  <c r="T50" i="36" s="1"/>
  <c r="S39" i="36"/>
  <c r="S47" i="36"/>
  <c r="S55" i="36"/>
  <c r="P39" i="36"/>
  <c r="P47" i="36" s="1"/>
  <c r="P55" i="36" s="1"/>
  <c r="L47" i="36"/>
  <c r="L55" i="36" s="1"/>
  <c r="U41" i="36"/>
  <c r="U49" i="36"/>
  <c r="Q41" i="36"/>
  <c r="Q49" i="36" s="1"/>
  <c r="R40" i="36"/>
  <c r="R48" i="36"/>
  <c r="J40" i="36"/>
  <c r="J48" i="36" s="1"/>
  <c r="AJ46" i="36"/>
  <c r="AJ54" i="36" s="1"/>
  <c r="AD46" i="36"/>
  <c r="AD54" i="36" s="1"/>
  <c r="Z54" i="36"/>
  <c r="P46" i="36"/>
  <c r="P54" i="36" s="1"/>
  <c r="N46" i="36"/>
  <c r="N54" i="36"/>
  <c r="J46" i="36"/>
  <c r="J54" i="36"/>
  <c r="AI45" i="36"/>
  <c r="AI53" i="36" s="1"/>
  <c r="AE45" i="36"/>
  <c r="AE53" i="36"/>
  <c r="Y45" i="36"/>
  <c r="Y53" i="36" s="1"/>
  <c r="S45" i="36"/>
  <c r="S53" i="36" s="1"/>
  <c r="O45" i="36"/>
  <c r="O53" i="36" s="1"/>
  <c r="K45" i="36"/>
  <c r="K53" i="36" s="1"/>
  <c r="AJ44" i="36"/>
  <c r="AJ52" i="36"/>
  <c r="AF44" i="36"/>
  <c r="AF52" i="36"/>
  <c r="X44" i="36"/>
  <c r="X52" i="36"/>
  <c r="T44" i="36"/>
  <c r="T52" i="36" s="1"/>
  <c r="U43" i="36"/>
  <c r="U51" i="36" s="1"/>
  <c r="M43" i="36"/>
  <c r="M51" i="36" s="1"/>
  <c r="AH42" i="36"/>
  <c r="AH50" i="36"/>
  <c r="Z50" i="36"/>
  <c r="R42" i="36"/>
  <c r="R50" i="36" s="1"/>
  <c r="N42" i="36"/>
  <c r="N50" i="36" s="1"/>
  <c r="M42" i="36"/>
  <c r="M50" i="36"/>
  <c r="J42" i="36"/>
  <c r="J50" i="36" s="1"/>
  <c r="AI41" i="36"/>
  <c r="AI49" i="36" s="1"/>
  <c r="S41" i="36"/>
  <c r="S49" i="36"/>
  <c r="O41" i="36"/>
  <c r="O49" i="36" s="1"/>
  <c r="G41" i="36"/>
  <c r="G49" i="36" s="1"/>
  <c r="AJ40" i="36"/>
  <c r="AJ48" i="36" s="1"/>
  <c r="AB40" i="36"/>
  <c r="AB48" i="36"/>
  <c r="X40" i="36"/>
  <c r="X48" i="36"/>
  <c r="T40" i="36"/>
  <c r="T48" i="36"/>
  <c r="O40" i="36"/>
  <c r="O48" i="36"/>
  <c r="L40" i="36"/>
  <c r="L48" i="36"/>
  <c r="H40" i="36"/>
  <c r="H48" i="36" s="1"/>
  <c r="AE39" i="36"/>
  <c r="AE47" i="36" s="1"/>
  <c r="AE55" i="36" s="1"/>
  <c r="O39" i="36"/>
  <c r="O47" i="36" s="1"/>
  <c r="O55" i="36" s="1"/>
  <c r="AH46" i="36"/>
  <c r="AH54" i="36"/>
  <c r="AG46" i="36"/>
  <c r="AG54" i="36" s="1"/>
  <c r="R46" i="36"/>
  <c r="R54" i="36" s="1"/>
  <c r="Q46" i="36"/>
  <c r="Q54" i="36"/>
  <c r="O46" i="36"/>
  <c r="O54" i="36" s="1"/>
  <c r="M46" i="36"/>
  <c r="M54" i="36" s="1"/>
  <c r="AJ45" i="36"/>
  <c r="AJ53" i="36" s="1"/>
  <c r="AH45" i="36"/>
  <c r="AH53" i="36"/>
  <c r="AF45" i="36"/>
  <c r="AF53" i="36" s="1"/>
  <c r="Z53" i="36"/>
  <c r="X45" i="36"/>
  <c r="X53" i="36" s="1"/>
  <c r="W45" i="36"/>
  <c r="W53" i="36"/>
  <c r="T45" i="36"/>
  <c r="T53" i="36" s="1"/>
  <c r="R45" i="36"/>
  <c r="R53" i="36"/>
  <c r="N45" i="36"/>
  <c r="N53" i="36"/>
  <c r="L45" i="36"/>
  <c r="L53" i="36"/>
  <c r="J45" i="36"/>
  <c r="J53" i="36" s="1"/>
  <c r="H45" i="36"/>
  <c r="H53" i="36"/>
  <c r="G45" i="36"/>
  <c r="G53" i="36"/>
  <c r="AI44" i="36"/>
  <c r="AI52" i="36"/>
  <c r="AA44" i="36"/>
  <c r="AA52" i="36" s="1"/>
  <c r="W44" i="36"/>
  <c r="W52" i="36" s="1"/>
  <c r="U44" i="36"/>
  <c r="U52" i="36"/>
  <c r="S44" i="36"/>
  <c r="S52" i="36"/>
  <c r="R44" i="36"/>
  <c r="R52" i="36" s="1"/>
  <c r="Q52" i="36"/>
  <c r="O44" i="36"/>
  <c r="O52" i="36"/>
  <c r="M44" i="36"/>
  <c r="M52" i="36"/>
  <c r="L44" i="36"/>
  <c r="L52" i="36"/>
  <c r="G44" i="36"/>
  <c r="G52" i="36" s="1"/>
  <c r="AJ43" i="36"/>
  <c r="AJ51" i="36" s="1"/>
  <c r="AH43" i="36"/>
  <c r="AH51" i="36" s="1"/>
  <c r="AG43" i="36"/>
  <c r="AG51" i="36" s="1"/>
  <c r="Z43" i="36"/>
  <c r="Z51" i="36" s="1"/>
  <c r="T43" i="36"/>
  <c r="T51" i="36" s="1"/>
  <c r="R51" i="36"/>
  <c r="Q43" i="36"/>
  <c r="Q51" i="36" s="1"/>
  <c r="P43" i="36"/>
  <c r="P51" i="36" s="1"/>
  <c r="N43" i="36"/>
  <c r="N51" i="36"/>
  <c r="L43" i="36"/>
  <c r="L51" i="36"/>
  <c r="J43" i="36"/>
  <c r="J51" i="36"/>
  <c r="H43" i="36"/>
  <c r="H51" i="36" s="1"/>
  <c r="F43" i="36"/>
  <c r="F51" i="36" s="1"/>
  <c r="AJ39" i="36"/>
  <c r="AJ47" i="36"/>
  <c r="AJ55" i="36"/>
  <c r="AI42" i="36"/>
  <c r="AI50" i="36"/>
  <c r="AH39" i="36"/>
  <c r="AH47" i="36"/>
  <c r="AH55" i="36"/>
  <c r="AD39" i="36"/>
  <c r="AD47" i="36" s="1"/>
  <c r="AD55" i="36" s="1"/>
  <c r="Z39" i="36"/>
  <c r="Z47" i="36" s="1"/>
  <c r="Z55" i="36" s="1"/>
  <c r="X42" i="36"/>
  <c r="X50" i="36" s="1"/>
  <c r="S42" i="36"/>
  <c r="S50" i="36" s="1"/>
  <c r="R55" i="36"/>
  <c r="Q42" i="36"/>
  <c r="Q50" i="36" s="1"/>
  <c r="O42" i="36"/>
  <c r="O50" i="36"/>
  <c r="N39" i="36"/>
  <c r="N47" i="36"/>
  <c r="N55" i="36" s="1"/>
  <c r="M39" i="36"/>
  <c r="M47" i="36"/>
  <c r="M55" i="36"/>
  <c r="J39" i="36"/>
  <c r="J47" i="36" s="1"/>
  <c r="J55" i="36"/>
  <c r="G42" i="36"/>
  <c r="G50" i="36"/>
  <c r="F39" i="36"/>
  <c r="F47" i="36"/>
  <c r="F55" i="36" s="1"/>
  <c r="AJ41" i="36"/>
  <c r="AJ49" i="36" s="1"/>
  <c r="AH41" i="36"/>
  <c r="AH49" i="36" s="1"/>
  <c r="AA41" i="36"/>
  <c r="AA49" i="36"/>
  <c r="X41" i="36"/>
  <c r="X49" i="36"/>
  <c r="T41" i="36"/>
  <c r="T49" i="36" s="1"/>
  <c r="R41" i="36"/>
  <c r="R49" i="36" s="1"/>
  <c r="P41" i="36"/>
  <c r="P49" i="36"/>
  <c r="N41" i="36"/>
  <c r="N49" i="36"/>
  <c r="L41" i="36"/>
  <c r="L49" i="36" s="1"/>
  <c r="K41" i="36"/>
  <c r="K49" i="36"/>
  <c r="J41" i="36"/>
  <c r="J49" i="36"/>
  <c r="H41" i="36"/>
  <c r="H49" i="36"/>
  <c r="F41" i="36"/>
  <c r="F49" i="36" s="1"/>
  <c r="AI40" i="36"/>
  <c r="AI48" i="36"/>
  <c r="AA48" i="36"/>
  <c r="Z40" i="36"/>
  <c r="Z48" i="36" s="1"/>
  <c r="Y40" i="36"/>
  <c r="Y48" i="36" s="1"/>
  <c r="W40" i="36"/>
  <c r="W48" i="36" s="1"/>
  <c r="U48" i="36"/>
  <c r="S40" i="36"/>
  <c r="S48" i="36" s="1"/>
  <c r="Q40" i="36"/>
  <c r="Q48" i="36"/>
  <c r="P40" i="36"/>
  <c r="P48" i="36" s="1"/>
  <c r="K40" i="36"/>
  <c r="K48" i="36"/>
  <c r="G40" i="36"/>
  <c r="G48" i="36" s="1"/>
  <c r="F40" i="36"/>
  <c r="F48" i="36" s="1"/>
  <c r="D11" i="36"/>
  <c r="D19" i="36"/>
  <c r="D27" i="36"/>
  <c r="A11" i="36"/>
  <c r="A39" i="36"/>
  <c r="A67" i="36"/>
  <c r="A95" i="36" s="1"/>
  <c r="A123" i="36" s="1"/>
  <c r="D10" i="36"/>
  <c r="D18" i="36"/>
  <c r="D26" i="36"/>
  <c r="A10" i="36"/>
  <c r="A18" i="36" s="1"/>
  <c r="A46" i="36" s="1"/>
  <c r="A74" i="36" s="1"/>
  <c r="A102" i="36" s="1"/>
  <c r="AS18" i="36" s="1"/>
  <c r="D9" i="36"/>
  <c r="D17" i="36"/>
  <c r="D25" i="36" s="1"/>
  <c r="A9" i="36"/>
  <c r="D8" i="36"/>
  <c r="D16" i="36"/>
  <c r="D24" i="36" s="1"/>
  <c r="A8" i="36"/>
  <c r="A16" i="36"/>
  <c r="D7" i="36"/>
  <c r="D15" i="36"/>
  <c r="D23" i="36" s="1"/>
  <c r="A7" i="36"/>
  <c r="A35" i="36"/>
  <c r="A63" i="36"/>
  <c r="A91" i="36" s="1"/>
  <c r="AS7" i="36" s="1"/>
  <c r="A119" i="36"/>
  <c r="D6" i="36"/>
  <c r="D14" i="36" s="1"/>
  <c r="D22" i="36" s="1"/>
  <c r="A6" i="36"/>
  <c r="A14" i="36"/>
  <c r="A42" i="36" s="1"/>
  <c r="D5" i="36"/>
  <c r="D13" i="36"/>
  <c r="D21" i="36" s="1"/>
  <c r="A5" i="36"/>
  <c r="A33" i="36" s="1"/>
  <c r="A61" i="36" s="1"/>
  <c r="D12" i="36"/>
  <c r="D20" i="36" s="1"/>
  <c r="A4" i="36"/>
  <c r="E12" i="29"/>
  <c r="E11" i="29"/>
  <c r="E10" i="29"/>
  <c r="E9" i="29"/>
  <c r="E8" i="29"/>
  <c r="E7" i="29"/>
  <c r="AI88" i="41"/>
  <c r="AJ88" i="41" s="1"/>
  <c r="AK88" i="41" s="1"/>
  <c r="AL88" i="41" s="1"/>
  <c r="AM88" i="41" s="1"/>
  <c r="AN88" i="41" s="1"/>
  <c r="AA88" i="41"/>
  <c r="T88" i="41" s="1"/>
  <c r="G88" i="41"/>
  <c r="AI87" i="41"/>
  <c r="AJ87" i="41" s="1"/>
  <c r="AK87" i="41" s="1"/>
  <c r="AL87" i="41" s="1"/>
  <c r="AM87" i="41" s="1"/>
  <c r="AN87" i="41" s="1"/>
  <c r="AA87" i="41"/>
  <c r="T87" i="41" s="1"/>
  <c r="G87" i="41"/>
  <c r="AI86" i="41"/>
  <c r="AJ86" i="41"/>
  <c r="AK86" i="41" s="1"/>
  <c r="AL86" i="41" s="1"/>
  <c r="AM86" i="41" s="1"/>
  <c r="AN86" i="41" s="1"/>
  <c r="AA86" i="41"/>
  <c r="T86" i="41" s="1"/>
  <c r="G86" i="41"/>
  <c r="AI85" i="41"/>
  <c r="AJ85" i="41"/>
  <c r="AK85" i="41"/>
  <c r="AL85" i="41"/>
  <c r="AM85" i="41" s="1"/>
  <c r="AN85" i="41" s="1"/>
  <c r="AA85" i="41"/>
  <c r="T85" i="41" s="1"/>
  <c r="G85" i="41"/>
  <c r="AI84" i="41"/>
  <c r="AJ84" i="41"/>
  <c r="AK84" i="41" s="1"/>
  <c r="AL84" i="41" s="1"/>
  <c r="AM84" i="41" s="1"/>
  <c r="AN84" i="41" s="1"/>
  <c r="AA84" i="41"/>
  <c r="T84" i="41"/>
  <c r="G84" i="41"/>
  <c r="AI83" i="41"/>
  <c r="AJ83" i="41"/>
  <c r="AK83" i="41"/>
  <c r="AL83" i="41" s="1"/>
  <c r="AM83" i="41" s="1"/>
  <c r="AN83" i="41" s="1"/>
  <c r="AA83" i="41"/>
  <c r="T83" i="41"/>
  <c r="G83" i="41"/>
  <c r="AI82" i="41"/>
  <c r="AJ82" i="41" s="1"/>
  <c r="AK82" i="41"/>
  <c r="AL82" i="41"/>
  <c r="AM82" i="41" s="1"/>
  <c r="AN82" i="41" s="1"/>
  <c r="AA82" i="41"/>
  <c r="T82" i="41" s="1"/>
  <c r="G82" i="41"/>
  <c r="AI81" i="41"/>
  <c r="AJ81" i="41" s="1"/>
  <c r="AK81" i="41" s="1"/>
  <c r="AL81" i="41" s="1"/>
  <c r="AM81" i="41" s="1"/>
  <c r="AN81" i="41" s="1"/>
  <c r="AA81" i="41"/>
  <c r="T81" i="41"/>
  <c r="G81" i="41"/>
  <c r="AI80" i="41"/>
  <c r="AJ80" i="41" s="1"/>
  <c r="AK80" i="41" s="1"/>
  <c r="AL80" i="41" s="1"/>
  <c r="AM80" i="41" s="1"/>
  <c r="AN80" i="41" s="1"/>
  <c r="AA80" i="41"/>
  <c r="T80" i="41" s="1"/>
  <c r="G80" i="41"/>
  <c r="AI79" i="41"/>
  <c r="AJ79" i="41"/>
  <c r="AK79" i="41"/>
  <c r="AL79" i="41" s="1"/>
  <c r="AM79" i="41"/>
  <c r="AN79" i="41" s="1"/>
  <c r="AA79" i="41"/>
  <c r="T79" i="41" s="1"/>
  <c r="G79" i="41"/>
  <c r="AI78" i="41"/>
  <c r="AJ78" i="41" s="1"/>
  <c r="AK78" i="41" s="1"/>
  <c r="AL78" i="41" s="1"/>
  <c r="AM78" i="41" s="1"/>
  <c r="AN78" i="41" s="1"/>
  <c r="AA78" i="41"/>
  <c r="T78" i="41" s="1"/>
  <c r="G78" i="41"/>
  <c r="AI77" i="41"/>
  <c r="AJ77" i="41" s="1"/>
  <c r="AK77" i="41" s="1"/>
  <c r="AL77" i="41" s="1"/>
  <c r="AM77" i="41" s="1"/>
  <c r="AN77" i="41" s="1"/>
  <c r="AA77" i="41"/>
  <c r="T77" i="41" s="1"/>
  <c r="G77" i="41"/>
  <c r="AI68" i="41"/>
  <c r="AJ68" i="41"/>
  <c r="AK68" i="41" s="1"/>
  <c r="AL68" i="41"/>
  <c r="AM68" i="41" s="1"/>
  <c r="AN68" i="41" s="1"/>
  <c r="AA68" i="41"/>
  <c r="T68" i="41"/>
  <c r="G68" i="41"/>
  <c r="AJ67" i="41"/>
  <c r="AK67" i="41"/>
  <c r="AL67" i="41" s="1"/>
  <c r="AM67" i="41" s="1"/>
  <c r="AN67" i="41" s="1"/>
  <c r="AA67" i="41"/>
  <c r="T67" i="41" s="1"/>
  <c r="G67" i="41"/>
  <c r="AI66" i="41"/>
  <c r="AJ66" i="41" s="1"/>
  <c r="AK66" i="41" s="1"/>
  <c r="AL66" i="41" s="1"/>
  <c r="AM66" i="41" s="1"/>
  <c r="AN66" i="41" s="1"/>
  <c r="AA66" i="41"/>
  <c r="T66" i="41" s="1"/>
  <c r="G66" i="41"/>
  <c r="AI65" i="41"/>
  <c r="AJ65" i="41"/>
  <c r="AK65" i="41" s="1"/>
  <c r="AL65" i="41" s="1"/>
  <c r="AM65" i="41"/>
  <c r="AN65" i="41" s="1"/>
  <c r="AA65" i="41"/>
  <c r="T65" i="41" s="1"/>
  <c r="G65" i="41"/>
  <c r="AI64" i="41"/>
  <c r="AJ64" i="41"/>
  <c r="AK64" i="41"/>
  <c r="AL64" i="41" s="1"/>
  <c r="AM64" i="41" s="1"/>
  <c r="AN64" i="41" s="1"/>
  <c r="AA64" i="41"/>
  <c r="T64" i="41"/>
  <c r="G64" i="41"/>
  <c r="AI63" i="41"/>
  <c r="AJ63" i="41"/>
  <c r="AK63" i="41"/>
  <c r="AL63" i="41" s="1"/>
  <c r="AM63" i="41" s="1"/>
  <c r="AN63" i="41" s="1"/>
  <c r="AA63" i="41"/>
  <c r="T63" i="41"/>
  <c r="G63" i="41"/>
  <c r="AI62" i="41"/>
  <c r="AJ62" i="41"/>
  <c r="AK62" i="41"/>
  <c r="AL62" i="41" s="1"/>
  <c r="AM62" i="41" s="1"/>
  <c r="AN62" i="41" s="1"/>
  <c r="AA62" i="41"/>
  <c r="T62" i="41"/>
  <c r="G62" i="41"/>
  <c r="AI61" i="41"/>
  <c r="AJ61" i="41" s="1"/>
  <c r="AK61" i="41" s="1"/>
  <c r="AL61" i="41" s="1"/>
  <c r="AM61" i="41" s="1"/>
  <c r="AN61" i="41" s="1"/>
  <c r="AA61" i="41"/>
  <c r="T61" i="41" s="1"/>
  <c r="G61" i="41"/>
  <c r="AI55" i="41"/>
  <c r="AJ55" i="41" s="1"/>
  <c r="AK55" i="41" s="1"/>
  <c r="AL55" i="41" s="1"/>
  <c r="AM55" i="41" s="1"/>
  <c r="AN55" i="41" s="1"/>
  <c r="AA55" i="41"/>
  <c r="T55" i="41"/>
  <c r="G55" i="41"/>
  <c r="AI54" i="41"/>
  <c r="AJ54" i="41" s="1"/>
  <c r="AK54" i="41"/>
  <c r="AL54" i="41"/>
  <c r="AM54" i="41" s="1"/>
  <c r="AN54" i="41" s="1"/>
  <c r="AA54" i="41"/>
  <c r="T54" i="41"/>
  <c r="G54" i="41"/>
  <c r="AI53" i="41"/>
  <c r="AJ53" i="41" s="1"/>
  <c r="AK53" i="41" s="1"/>
  <c r="AL53" i="41" s="1"/>
  <c r="AM53" i="41" s="1"/>
  <c r="AN53" i="41" s="1"/>
  <c r="AA53" i="41"/>
  <c r="T53" i="41"/>
  <c r="G53" i="41"/>
  <c r="AI52" i="41"/>
  <c r="AJ52" i="41"/>
  <c r="AK52" i="41" s="1"/>
  <c r="AL52" i="41" s="1"/>
  <c r="AM52" i="41" s="1"/>
  <c r="AN52" i="41" s="1"/>
  <c r="AA52" i="41"/>
  <c r="T52" i="41" s="1"/>
  <c r="G52" i="41"/>
  <c r="AI51" i="41"/>
  <c r="AJ51" i="41"/>
  <c r="AK51" i="41" s="1"/>
  <c r="AL51" i="41" s="1"/>
  <c r="AM51" i="41" s="1"/>
  <c r="AN51" i="41" s="1"/>
  <c r="AA51" i="41"/>
  <c r="T51" i="41"/>
  <c r="G51" i="41"/>
  <c r="AI50" i="41"/>
  <c r="AJ50" i="41" s="1"/>
  <c r="AK50" i="41" s="1"/>
  <c r="AL50" i="41"/>
  <c r="AM50" i="41" s="1"/>
  <c r="AN50" i="41" s="1"/>
  <c r="AA50" i="41"/>
  <c r="T50" i="41" s="1"/>
  <c r="G50" i="41"/>
  <c r="AI49" i="41"/>
  <c r="AJ49" i="41"/>
  <c r="AK49" i="41"/>
  <c r="AL49" i="41"/>
  <c r="AM49" i="41" s="1"/>
  <c r="AN49" i="41" s="1"/>
  <c r="AA49" i="41"/>
  <c r="T49" i="41"/>
  <c r="G49" i="41"/>
  <c r="AI48" i="41"/>
  <c r="AJ48" i="41" s="1"/>
  <c r="AK48" i="41" s="1"/>
  <c r="AL48" i="41" s="1"/>
  <c r="AM48" i="41" s="1"/>
  <c r="AN48" i="41" s="1"/>
  <c r="AA48" i="41"/>
  <c r="T48" i="41"/>
  <c r="G48" i="41"/>
  <c r="B42" i="41"/>
  <c r="A37" i="50"/>
  <c r="X17" i="29" s="1"/>
  <c r="B41" i="41"/>
  <c r="A20" i="50"/>
  <c r="X16" i="29" s="1"/>
  <c r="M91" i="29" s="1"/>
  <c r="B40" i="41"/>
  <c r="A71" i="50" s="1"/>
  <c r="X19" i="29" s="1"/>
  <c r="D11" i="29" s="1"/>
  <c r="B39" i="41"/>
  <c r="A54" i="50" s="1"/>
  <c r="X18" i="29" s="1"/>
  <c r="B38" i="41"/>
  <c r="B37" i="41"/>
  <c r="A3" i="50"/>
  <c r="X15" i="29" s="1"/>
  <c r="B36" i="41"/>
  <c r="B35" i="41"/>
  <c r="AH30" i="41"/>
  <c r="AG30" i="41"/>
  <c r="AF30" i="41"/>
  <c r="AE30" i="41"/>
  <c r="AD30" i="41"/>
  <c r="AC30" i="41"/>
  <c r="AB30" i="41"/>
  <c r="Z30" i="41"/>
  <c r="Y30" i="41"/>
  <c r="X30" i="41"/>
  <c r="W30" i="41"/>
  <c r="V30" i="41"/>
  <c r="U30" i="41"/>
  <c r="S30" i="41"/>
  <c r="R30" i="41"/>
  <c r="Q30" i="41"/>
  <c r="P30" i="41"/>
  <c r="O30" i="41"/>
  <c r="N30" i="41"/>
  <c r="M30" i="41"/>
  <c r="O42" i="50" s="1"/>
  <c r="L30" i="41"/>
  <c r="K30" i="41"/>
  <c r="J30" i="41"/>
  <c r="I30" i="41"/>
  <c r="H30" i="41"/>
  <c r="F30" i="41"/>
  <c r="E30" i="41"/>
  <c r="D30" i="41"/>
  <c r="AH29" i="41"/>
  <c r="AG29" i="41"/>
  <c r="AF29" i="41"/>
  <c r="AE29" i="41"/>
  <c r="AD29" i="41"/>
  <c r="AC29" i="41"/>
  <c r="AB29" i="41"/>
  <c r="Z29" i="41"/>
  <c r="Y29" i="41"/>
  <c r="X29" i="41"/>
  <c r="W29" i="41"/>
  <c r="V29" i="41"/>
  <c r="U29" i="41"/>
  <c r="W25" i="50" s="1"/>
  <c r="S29" i="41"/>
  <c r="U25" i="50" s="1"/>
  <c r="R29" i="41"/>
  <c r="Q29" i="41"/>
  <c r="P29" i="41"/>
  <c r="O29" i="41"/>
  <c r="N29" i="41"/>
  <c r="M29" i="41"/>
  <c r="L29" i="41"/>
  <c r="K29" i="41"/>
  <c r="J29" i="41"/>
  <c r="I29" i="41"/>
  <c r="K25" i="50" s="1"/>
  <c r="H29" i="41"/>
  <c r="F29" i="41"/>
  <c r="E29" i="41"/>
  <c r="D29" i="41"/>
  <c r="AH28" i="41"/>
  <c r="AG28" i="41"/>
  <c r="AF28" i="41"/>
  <c r="AE28" i="41"/>
  <c r="AD28" i="41"/>
  <c r="AC28" i="41"/>
  <c r="AB28" i="41"/>
  <c r="Z28" i="41"/>
  <c r="Y28" i="41"/>
  <c r="X28" i="41"/>
  <c r="W28" i="41"/>
  <c r="V28" i="41"/>
  <c r="U28" i="41"/>
  <c r="W76" i="50" s="1"/>
  <c r="S28" i="41"/>
  <c r="R28" i="41"/>
  <c r="Q28" i="41"/>
  <c r="P28" i="41"/>
  <c r="O28" i="41"/>
  <c r="N28" i="41"/>
  <c r="M28" i="41"/>
  <c r="L28" i="41"/>
  <c r="K28" i="41"/>
  <c r="J28" i="41"/>
  <c r="I28" i="41"/>
  <c r="H28" i="41"/>
  <c r="F28" i="41"/>
  <c r="E28" i="41"/>
  <c r="D28" i="41"/>
  <c r="AH27" i="41"/>
  <c r="AG27" i="41"/>
  <c r="AF27" i="41"/>
  <c r="AE27" i="41"/>
  <c r="AD27" i="41"/>
  <c r="AC27" i="41"/>
  <c r="AB27" i="41"/>
  <c r="Z27" i="41"/>
  <c r="Y27" i="41"/>
  <c r="X27" i="41"/>
  <c r="W27" i="41"/>
  <c r="V27" i="41"/>
  <c r="U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F27" i="41"/>
  <c r="E27" i="41"/>
  <c r="D27" i="41"/>
  <c r="F59" i="50" s="1"/>
  <c r="I59" i="50" s="1"/>
  <c r="AH26" i="41"/>
  <c r="AG26" i="41"/>
  <c r="AF26" i="41"/>
  <c r="AE26" i="41"/>
  <c r="AD26" i="41"/>
  <c r="AC26" i="41"/>
  <c r="AB26" i="41"/>
  <c r="Z26" i="41"/>
  <c r="Y26" i="41"/>
  <c r="X26" i="41"/>
  <c r="W26" i="41"/>
  <c r="V26" i="41"/>
  <c r="U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F26" i="41"/>
  <c r="E26" i="41"/>
  <c r="D26" i="41"/>
  <c r="AH25" i="41"/>
  <c r="AG25" i="41"/>
  <c r="AF25" i="41"/>
  <c r="AE25" i="41"/>
  <c r="AD25" i="41"/>
  <c r="AC25" i="41"/>
  <c r="AB25" i="41"/>
  <c r="Z25" i="41"/>
  <c r="Y25" i="41"/>
  <c r="X25" i="41"/>
  <c r="W25" i="41"/>
  <c r="V25" i="41"/>
  <c r="U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J93" i="50" s="1"/>
  <c r="F25" i="41"/>
  <c r="E25" i="41"/>
  <c r="D25" i="41"/>
  <c r="AH24" i="41"/>
  <c r="AG24" i="41"/>
  <c r="AF24" i="41"/>
  <c r="AE24" i="41"/>
  <c r="AD24" i="41"/>
  <c r="AC24" i="41"/>
  <c r="AB24" i="41"/>
  <c r="Z24" i="41"/>
  <c r="Y24" i="41"/>
  <c r="X24" i="41"/>
  <c r="W24" i="41"/>
  <c r="V24" i="41"/>
  <c r="U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F24" i="41"/>
  <c r="E24" i="41"/>
  <c r="D24" i="41"/>
  <c r="AH23" i="41"/>
  <c r="AG23" i="41"/>
  <c r="AF23" i="41"/>
  <c r="AE23" i="41"/>
  <c r="AD23" i="41"/>
  <c r="AC23" i="41"/>
  <c r="AB23" i="41"/>
  <c r="Z23" i="41"/>
  <c r="Y23" i="41"/>
  <c r="X23" i="41"/>
  <c r="W23" i="41"/>
  <c r="V23" i="41"/>
  <c r="U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F23" i="41"/>
  <c r="E23" i="41"/>
  <c r="D23" i="41"/>
  <c r="AH22" i="41"/>
  <c r="AG22" i="41"/>
  <c r="AF22" i="41"/>
  <c r="AE22" i="41"/>
  <c r="AD22" i="41"/>
  <c r="AC22" i="41"/>
  <c r="AB22" i="41"/>
  <c r="Z22" i="41"/>
  <c r="Y22" i="41"/>
  <c r="X22" i="41"/>
  <c r="W22" i="41"/>
  <c r="V22" i="41"/>
  <c r="U22" i="41"/>
  <c r="W93" i="50" s="1"/>
  <c r="S22" i="41"/>
  <c r="R22" i="41"/>
  <c r="Q22" i="41"/>
  <c r="P22" i="41"/>
  <c r="O22" i="41"/>
  <c r="N22" i="41"/>
  <c r="M22" i="41"/>
  <c r="L22" i="41"/>
  <c r="K22" i="41"/>
  <c r="J22" i="41"/>
  <c r="I22" i="41"/>
  <c r="H22" i="41"/>
  <c r="F22" i="41"/>
  <c r="E22" i="41"/>
  <c r="D22" i="41"/>
  <c r="AH21" i="41"/>
  <c r="AG21" i="41"/>
  <c r="AF21" i="41"/>
  <c r="AE21" i="41"/>
  <c r="AD21" i="41"/>
  <c r="AC21" i="41"/>
  <c r="AB21" i="41"/>
  <c r="Z21" i="41"/>
  <c r="Y21" i="41"/>
  <c r="X21" i="41"/>
  <c r="W21" i="41"/>
  <c r="V21" i="41"/>
  <c r="U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F21" i="41"/>
  <c r="E21" i="41"/>
  <c r="D21" i="41"/>
  <c r="AH20" i="41"/>
  <c r="AG20" i="41"/>
  <c r="AF20" i="41"/>
  <c r="AE20" i="41"/>
  <c r="AD20" i="41"/>
  <c r="AC20" i="41"/>
  <c r="AB20" i="41"/>
  <c r="Z20" i="41"/>
  <c r="Y20" i="41"/>
  <c r="X20" i="41"/>
  <c r="W20" i="41"/>
  <c r="V20" i="41"/>
  <c r="U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F20" i="41"/>
  <c r="E20" i="41"/>
  <c r="D20" i="41"/>
  <c r="AH19" i="41"/>
  <c r="AH32" i="41" s="1"/>
  <c r="AG19" i="41"/>
  <c r="AG32" i="41"/>
  <c r="AG39" i="41" s="1"/>
  <c r="AF19" i="41"/>
  <c r="AF32" i="41" s="1"/>
  <c r="AE19" i="41"/>
  <c r="AE32" i="41" s="1"/>
  <c r="AE41" i="41" s="1"/>
  <c r="AD19" i="41"/>
  <c r="AD32" i="41"/>
  <c r="AC19" i="41"/>
  <c r="AC32" i="41" s="1"/>
  <c r="AB19" i="41"/>
  <c r="AB32" i="41"/>
  <c r="AB36" i="41" s="1"/>
  <c r="Z19" i="41"/>
  <c r="Z32" i="41" s="1"/>
  <c r="Y19" i="41"/>
  <c r="Y32" i="41" s="1"/>
  <c r="Y37" i="41" s="1"/>
  <c r="X19" i="41"/>
  <c r="X32" i="41" s="1"/>
  <c r="W19" i="41"/>
  <c r="W32" i="41" s="1"/>
  <c r="V19" i="41"/>
  <c r="V32" i="41" s="1"/>
  <c r="U19" i="41"/>
  <c r="U32" i="41"/>
  <c r="U37" i="41" s="1"/>
  <c r="S19" i="41"/>
  <c r="S32" i="41"/>
  <c r="S38" i="41"/>
  <c r="R19" i="41"/>
  <c r="R32" i="41" s="1"/>
  <c r="R36" i="41" s="1"/>
  <c r="Q19" i="41"/>
  <c r="Q32" i="41"/>
  <c r="Q41" i="41" s="1"/>
  <c r="S21" i="50" s="1"/>
  <c r="P19" i="41"/>
  <c r="P32" i="41"/>
  <c r="O19" i="41"/>
  <c r="O32" i="41"/>
  <c r="N19" i="41"/>
  <c r="N32" i="41"/>
  <c r="N37" i="41" s="1"/>
  <c r="M19" i="41"/>
  <c r="M32" i="41"/>
  <c r="M39" i="41" s="1"/>
  <c r="L19" i="41"/>
  <c r="L32" i="41" s="1"/>
  <c r="K19" i="41"/>
  <c r="K32" i="41" s="1"/>
  <c r="K38" i="41" s="1"/>
  <c r="J19" i="41"/>
  <c r="J32" i="41" s="1"/>
  <c r="J37" i="41"/>
  <c r="I19" i="41"/>
  <c r="I32" i="41"/>
  <c r="I41" i="41" s="1"/>
  <c r="K21" i="50" s="1"/>
  <c r="H19" i="41"/>
  <c r="H32" i="41"/>
  <c r="F19" i="41"/>
  <c r="F32" i="41"/>
  <c r="F36" i="41" s="1"/>
  <c r="E19" i="41"/>
  <c r="E32" i="41" s="1"/>
  <c r="D19" i="41"/>
  <c r="D32" i="41" s="1"/>
  <c r="D41" i="41" s="1"/>
  <c r="AN18" i="41"/>
  <c r="AP104" i="50" s="1"/>
  <c r="AM18" i="41"/>
  <c r="AO104" i="50"/>
  <c r="AL18" i="41"/>
  <c r="AN104" i="50"/>
  <c r="AK18" i="41"/>
  <c r="AM104" i="50" s="1"/>
  <c r="AJ18" i="41"/>
  <c r="AL104" i="50"/>
  <c r="AI18" i="41"/>
  <c r="AK104" i="50" s="1"/>
  <c r="AH18" i="41"/>
  <c r="AJ104" i="50"/>
  <c r="AG18" i="41"/>
  <c r="AI104" i="50"/>
  <c r="AF18" i="41"/>
  <c r="AH104" i="50" s="1"/>
  <c r="AE18" i="41"/>
  <c r="AG104" i="50"/>
  <c r="AD18" i="41"/>
  <c r="AF104" i="50" s="1"/>
  <c r="AC18" i="41"/>
  <c r="AE104" i="50"/>
  <c r="AB18" i="41"/>
  <c r="AD104" i="50" s="1"/>
  <c r="AA18" i="41"/>
  <c r="AC104" i="50"/>
  <c r="Z18" i="41"/>
  <c r="AB104" i="50" s="1"/>
  <c r="Y18" i="41"/>
  <c r="AA104" i="50"/>
  <c r="X18" i="41"/>
  <c r="Z104" i="50"/>
  <c r="W18" i="41"/>
  <c r="Y104" i="50" s="1"/>
  <c r="V18" i="41"/>
  <c r="X104" i="50" s="1"/>
  <c r="U18" i="41"/>
  <c r="W104" i="50"/>
  <c r="T18" i="41"/>
  <c r="V104" i="50" s="1"/>
  <c r="S18" i="41"/>
  <c r="U104" i="50"/>
  <c r="R18" i="41"/>
  <c r="T104" i="50"/>
  <c r="Q18" i="41"/>
  <c r="S104" i="50"/>
  <c r="P18" i="41"/>
  <c r="R104" i="50" s="1"/>
  <c r="O18" i="41"/>
  <c r="Q104" i="50"/>
  <c r="N18" i="41"/>
  <c r="P104" i="50" s="1"/>
  <c r="M18" i="41"/>
  <c r="O104" i="50" s="1"/>
  <c r="L18" i="41"/>
  <c r="N104" i="50"/>
  <c r="K18" i="41"/>
  <c r="M104" i="50" s="1"/>
  <c r="J18" i="41"/>
  <c r="L104" i="50"/>
  <c r="I18" i="41"/>
  <c r="K104" i="50"/>
  <c r="H18" i="41"/>
  <c r="J104" i="50"/>
  <c r="G18" i="41"/>
  <c r="I104" i="50" s="1"/>
  <c r="F18" i="41"/>
  <c r="H104" i="50"/>
  <c r="E18" i="41"/>
  <c r="G104" i="50" s="1"/>
  <c r="D18" i="41"/>
  <c r="F104" i="50"/>
  <c r="AR27" i="36"/>
  <c r="AR26" i="36"/>
  <c r="AR25" i="36"/>
  <c r="AR24" i="36"/>
  <c r="AR23" i="36"/>
  <c r="AR22" i="36"/>
  <c r="AR21" i="36"/>
  <c r="AR20" i="36"/>
  <c r="AS268" i="35"/>
  <c r="AR268" i="35"/>
  <c r="AQ268" i="35"/>
  <c r="AP268" i="35"/>
  <c r="AO268" i="35"/>
  <c r="AN268" i="35"/>
  <c r="AM268" i="35"/>
  <c r="AL268" i="35"/>
  <c r="AK268" i="35"/>
  <c r="AJ268" i="35"/>
  <c r="AI268" i="35"/>
  <c r="AH268" i="35"/>
  <c r="AG268" i="35"/>
  <c r="AF268" i="35"/>
  <c r="AE268" i="35"/>
  <c r="AD268" i="35"/>
  <c r="AC268" i="35"/>
  <c r="AB268" i="35"/>
  <c r="AA268" i="35"/>
  <c r="Z268" i="35"/>
  <c r="Y268" i="35"/>
  <c r="X268" i="35"/>
  <c r="W268" i="35"/>
  <c r="V268" i="35"/>
  <c r="U268" i="35"/>
  <c r="T268" i="35"/>
  <c r="S268" i="35"/>
  <c r="R268" i="35"/>
  <c r="Q268" i="35"/>
  <c r="P268" i="35"/>
  <c r="O268" i="35"/>
  <c r="N268" i="35"/>
  <c r="M268" i="35"/>
  <c r="L268" i="35"/>
  <c r="K268" i="35"/>
  <c r="J268" i="35"/>
  <c r="I268" i="35"/>
  <c r="AS232" i="35"/>
  <c r="AR232" i="35"/>
  <c r="AQ232" i="35"/>
  <c r="AP232" i="35"/>
  <c r="AO232" i="35"/>
  <c r="AN232" i="35"/>
  <c r="AM232" i="35"/>
  <c r="AL232" i="35"/>
  <c r="AK232" i="35"/>
  <c r="AJ232" i="35"/>
  <c r="AI232" i="35"/>
  <c r="AH232" i="35"/>
  <c r="AG232" i="35"/>
  <c r="AF232" i="35"/>
  <c r="AE232" i="35"/>
  <c r="AD232" i="35"/>
  <c r="AC232" i="35"/>
  <c r="AB232" i="35"/>
  <c r="AA232" i="35"/>
  <c r="Z232" i="35"/>
  <c r="Y232" i="35"/>
  <c r="X232" i="35"/>
  <c r="W232" i="35"/>
  <c r="V232" i="35"/>
  <c r="U232" i="35"/>
  <c r="T232" i="35"/>
  <c r="S232" i="35"/>
  <c r="R232" i="35"/>
  <c r="Q232" i="35"/>
  <c r="P232" i="35"/>
  <c r="O232" i="35"/>
  <c r="N232" i="35"/>
  <c r="M232" i="35"/>
  <c r="L232" i="35"/>
  <c r="K232" i="35"/>
  <c r="J232" i="35"/>
  <c r="I232" i="35"/>
  <c r="AS205" i="35"/>
  <c r="AR205" i="35"/>
  <c r="AQ205" i="35"/>
  <c r="AP205" i="35"/>
  <c r="AO205" i="35"/>
  <c r="AN205" i="35"/>
  <c r="AM205" i="35"/>
  <c r="AL205" i="35"/>
  <c r="AK205" i="35"/>
  <c r="AJ205" i="35"/>
  <c r="AI205" i="35"/>
  <c r="AH205" i="35"/>
  <c r="AG205" i="35"/>
  <c r="AF205" i="35"/>
  <c r="AE205" i="35"/>
  <c r="AD205" i="35"/>
  <c r="AC205" i="35"/>
  <c r="AB205" i="35"/>
  <c r="AA205" i="35"/>
  <c r="Z205" i="35"/>
  <c r="Y205" i="35"/>
  <c r="X205" i="35"/>
  <c r="W205" i="35"/>
  <c r="V205" i="35"/>
  <c r="U205" i="35"/>
  <c r="T205" i="35"/>
  <c r="S205" i="35"/>
  <c r="R205" i="35"/>
  <c r="Q205" i="35"/>
  <c r="P205" i="35"/>
  <c r="O205" i="35"/>
  <c r="N205" i="35"/>
  <c r="M205" i="35"/>
  <c r="L205" i="35"/>
  <c r="K205" i="35"/>
  <c r="J205" i="35"/>
  <c r="I205" i="35"/>
  <c r="AS179" i="35"/>
  <c r="AR179" i="35"/>
  <c r="AQ179" i="35"/>
  <c r="AP179" i="35"/>
  <c r="AO179" i="35"/>
  <c r="AN179" i="35"/>
  <c r="AM179" i="35"/>
  <c r="AL179" i="35"/>
  <c r="AK179" i="35"/>
  <c r="AJ179" i="35"/>
  <c r="AI179" i="35"/>
  <c r="AH179" i="35"/>
  <c r="AG179" i="35"/>
  <c r="AF179" i="35"/>
  <c r="AE179" i="35"/>
  <c r="AD179" i="35"/>
  <c r="AC179" i="35"/>
  <c r="AB179" i="35"/>
  <c r="AA179" i="35"/>
  <c r="Z179" i="35"/>
  <c r="Y179" i="35"/>
  <c r="X179" i="35"/>
  <c r="W179" i="35"/>
  <c r="V179" i="35"/>
  <c r="U179" i="35"/>
  <c r="T179" i="35"/>
  <c r="S179" i="35"/>
  <c r="R179" i="35"/>
  <c r="Q179" i="35"/>
  <c r="P179" i="35"/>
  <c r="O179" i="35"/>
  <c r="N179" i="35"/>
  <c r="M179" i="35"/>
  <c r="L179" i="35"/>
  <c r="K179" i="35"/>
  <c r="I179" i="35"/>
  <c r="M89" i="29"/>
  <c r="L89" i="29"/>
  <c r="C18" i="48"/>
  <c r="C37" i="48"/>
  <c r="C56" i="48"/>
  <c r="C75" i="48" s="1"/>
  <c r="C94" i="48" s="1"/>
  <c r="M88" i="29"/>
  <c r="L88" i="29"/>
  <c r="C17" i="48"/>
  <c r="C36" i="48" s="1"/>
  <c r="C55" i="48"/>
  <c r="C74" i="48" s="1"/>
  <c r="C93" i="48" s="1"/>
  <c r="M87" i="29"/>
  <c r="L87" i="29"/>
  <c r="C16" i="48"/>
  <c r="C35" i="48" s="1"/>
  <c r="C54" i="48" s="1"/>
  <c r="C73" i="48" s="1"/>
  <c r="C92" i="48" s="1"/>
  <c r="M86" i="29"/>
  <c r="L86" i="29"/>
  <c r="C15" i="48"/>
  <c r="C34" i="48"/>
  <c r="C53" i="48"/>
  <c r="C72" i="48" s="1"/>
  <c r="C91" i="48" s="1"/>
  <c r="M85" i="29"/>
  <c r="L85" i="29"/>
  <c r="C14" i="48" s="1"/>
  <c r="C33" i="48" s="1"/>
  <c r="C52" i="48" s="1"/>
  <c r="C71" i="48" s="1"/>
  <c r="C90" i="48" s="1"/>
  <c r="M84" i="29"/>
  <c r="L84" i="29"/>
  <c r="C13" i="48" s="1"/>
  <c r="C32" i="48" s="1"/>
  <c r="C51" i="48" s="1"/>
  <c r="C70" i="48" s="1"/>
  <c r="C89" i="48" s="1"/>
  <c r="M83" i="29"/>
  <c r="L83" i="29"/>
  <c r="C12" i="48"/>
  <c r="C31" i="48" s="1"/>
  <c r="C50" i="48" s="1"/>
  <c r="C69" i="48" s="1"/>
  <c r="C88" i="48" s="1"/>
  <c r="M82" i="29"/>
  <c r="L82" i="29"/>
  <c r="C11" i="48"/>
  <c r="C30" i="48" s="1"/>
  <c r="C49" i="48" s="1"/>
  <c r="C68" i="48" s="1"/>
  <c r="C87" i="48" s="1"/>
  <c r="M81" i="29"/>
  <c r="L81" i="29"/>
  <c r="C10" i="48"/>
  <c r="C29" i="48"/>
  <c r="C48" i="48"/>
  <c r="C67" i="48" s="1"/>
  <c r="C86" i="48" s="1"/>
  <c r="M80" i="29"/>
  <c r="L80" i="29"/>
  <c r="C9" i="48"/>
  <c r="C28" i="48" s="1"/>
  <c r="C47" i="48" s="1"/>
  <c r="C66" i="48" s="1"/>
  <c r="C85" i="48" s="1"/>
  <c r="M79" i="29"/>
  <c r="L79" i="29"/>
  <c r="C8" i="48"/>
  <c r="C27" i="48"/>
  <c r="C46" i="48"/>
  <c r="C65" i="48"/>
  <c r="C84" i="48" s="1"/>
  <c r="M78" i="29"/>
  <c r="L78" i="29"/>
  <c r="C7" i="48"/>
  <c r="C26" i="48"/>
  <c r="C45" i="48" s="1"/>
  <c r="C64" i="48" s="1"/>
  <c r="C83" i="48" s="1"/>
  <c r="M77" i="29"/>
  <c r="L77" i="29"/>
  <c r="C6" i="48"/>
  <c r="C25" i="48"/>
  <c r="C44" i="48" s="1"/>
  <c r="C63" i="48" s="1"/>
  <c r="C82" i="48" s="1"/>
  <c r="M76" i="29"/>
  <c r="L76" i="29"/>
  <c r="C5" i="48" s="1"/>
  <c r="C24" i="48" s="1"/>
  <c r="C43" i="48" s="1"/>
  <c r="C62" i="48" s="1"/>
  <c r="C81" i="48" s="1"/>
  <c r="M75" i="29"/>
  <c r="L75" i="29"/>
  <c r="C4" i="48"/>
  <c r="C23" i="48" s="1"/>
  <c r="C42" i="48" s="1"/>
  <c r="C61" i="48" s="1"/>
  <c r="C80" i="48" s="1"/>
  <c r="M74" i="29"/>
  <c r="L74" i="29"/>
  <c r="C6" i="47" s="1"/>
  <c r="C13" i="47" s="1"/>
  <c r="C20" i="47" s="1"/>
  <c r="C27" i="47" s="1"/>
  <c r="C34" i="47" s="1"/>
  <c r="M73" i="29"/>
  <c r="L73" i="29"/>
  <c r="C5" i="47" s="1"/>
  <c r="C12" i="47" s="1"/>
  <c r="C19" i="47" s="1"/>
  <c r="C26" i="47" s="1"/>
  <c r="C33" i="47" s="1"/>
  <c r="M72" i="29"/>
  <c r="L72" i="29"/>
  <c r="C4" i="47" s="1"/>
  <c r="C11" i="47" s="1"/>
  <c r="C18" i="47" s="1"/>
  <c r="C25" i="47" s="1"/>
  <c r="C32" i="47" s="1"/>
  <c r="M71" i="29"/>
  <c r="C27" i="36"/>
  <c r="C55" i="36" s="1"/>
  <c r="C83" i="36" s="1"/>
  <c r="C111" i="36" s="1"/>
  <c r="C139" i="36" s="1"/>
  <c r="M70" i="29"/>
  <c r="C26" i="36"/>
  <c r="C54" i="36"/>
  <c r="C82" i="36"/>
  <c r="C110" i="36"/>
  <c r="C138" i="36" s="1"/>
  <c r="M69" i="29"/>
  <c r="C25" i="36"/>
  <c r="C53" i="36"/>
  <c r="C81" i="36"/>
  <c r="C109" i="36" s="1"/>
  <c r="C137" i="36" s="1"/>
  <c r="M68" i="29"/>
  <c r="C24" i="36"/>
  <c r="C52" i="36"/>
  <c r="C80" i="36" s="1"/>
  <c r="C108" i="36" s="1"/>
  <c r="C136" i="36" s="1"/>
  <c r="M67" i="29"/>
  <c r="C23" i="36"/>
  <c r="C51" i="36" s="1"/>
  <c r="C79" i="36" s="1"/>
  <c r="C107" i="36" s="1"/>
  <c r="C135" i="36" s="1"/>
  <c r="M66" i="29"/>
  <c r="C50" i="36"/>
  <c r="C78" i="36" s="1"/>
  <c r="C106" i="36" s="1"/>
  <c r="C134" i="36" s="1"/>
  <c r="M65" i="29"/>
  <c r="C21" i="36"/>
  <c r="C49" i="36"/>
  <c r="C77" i="36" s="1"/>
  <c r="C105" i="36" s="1"/>
  <c r="C133" i="36" s="1"/>
  <c r="M64" i="29"/>
  <c r="C20" i="36"/>
  <c r="C48" i="36" s="1"/>
  <c r="C76" i="36" s="1"/>
  <c r="C104" i="36"/>
  <c r="C132" i="36" s="1"/>
  <c r="M63" i="29"/>
  <c r="C19" i="36"/>
  <c r="C47" i="36" s="1"/>
  <c r="C75" i="36" s="1"/>
  <c r="C103" i="36" s="1"/>
  <c r="C131" i="36" s="1"/>
  <c r="M62" i="29"/>
  <c r="M61" i="29"/>
  <c r="C129" i="36"/>
  <c r="M60" i="29"/>
  <c r="C16" i="36"/>
  <c r="C44" i="36" s="1"/>
  <c r="C72" i="36"/>
  <c r="C100" i="36"/>
  <c r="C128" i="36" s="1"/>
  <c r="M59" i="29"/>
  <c r="C15" i="36"/>
  <c r="C43" i="36" s="1"/>
  <c r="C71" i="36" s="1"/>
  <c r="C99" i="36" s="1"/>
  <c r="C127" i="36" s="1"/>
  <c r="M58" i="29"/>
  <c r="M57" i="29"/>
  <c r="C13" i="36"/>
  <c r="C41" i="36"/>
  <c r="C69" i="36"/>
  <c r="C97" i="36" s="1"/>
  <c r="C125" i="36"/>
  <c r="M56" i="29"/>
  <c r="C12" i="36"/>
  <c r="C40" i="36"/>
  <c r="C68" i="36" s="1"/>
  <c r="C96" i="36" s="1"/>
  <c r="C124" i="36" s="1"/>
  <c r="M55" i="29"/>
  <c r="L55" i="29"/>
  <c r="M54" i="29"/>
  <c r="L54" i="29"/>
  <c r="M53" i="29"/>
  <c r="L53" i="29"/>
  <c r="M52" i="29"/>
  <c r="L52" i="29"/>
  <c r="M51" i="29"/>
  <c r="L51" i="29"/>
  <c r="M50" i="29"/>
  <c r="L50" i="29"/>
  <c r="C6" i="55" s="1"/>
  <c r="M49" i="29"/>
  <c r="L49" i="29"/>
  <c r="M48" i="29"/>
  <c r="L48" i="29"/>
  <c r="C4" i="55" s="1"/>
  <c r="M46" i="29"/>
  <c r="L46" i="29"/>
  <c r="M45" i="29"/>
  <c r="L45" i="29"/>
  <c r="M44" i="29"/>
  <c r="L44" i="29"/>
  <c r="C41" i="53" s="1"/>
  <c r="C85" i="53" s="1"/>
  <c r="C129" i="53" s="1"/>
  <c r="C173" i="53" s="1"/>
  <c r="C218" i="53" s="1"/>
  <c r="M43" i="29"/>
  <c r="L43" i="29"/>
  <c r="C40" i="53" s="1"/>
  <c r="M42" i="29"/>
  <c r="L42" i="29"/>
  <c r="M41" i="29"/>
  <c r="L41" i="29"/>
  <c r="L26" i="29"/>
  <c r="C23" i="53" s="1"/>
  <c r="C67" i="53" s="1"/>
  <c r="C111" i="53" s="1"/>
  <c r="C155" i="53" s="1"/>
  <c r="C200" i="53" s="1"/>
  <c r="C244" i="53" s="1"/>
  <c r="L25" i="29"/>
  <c r="C22" i="53" s="1"/>
  <c r="C66" i="53" s="1"/>
  <c r="C110" i="53" s="1"/>
  <c r="C154" i="53" s="1"/>
  <c r="C199" i="53" s="1"/>
  <c r="L24" i="29"/>
  <c r="C21" i="53" s="1"/>
  <c r="C65" i="53" s="1"/>
  <c r="C109" i="53" s="1"/>
  <c r="C153" i="53" s="1"/>
  <c r="C198" i="53" s="1"/>
  <c r="L23" i="29"/>
  <c r="L22" i="29"/>
  <c r="L21" i="29"/>
  <c r="M16" i="29"/>
  <c r="L16" i="29"/>
  <c r="M15" i="29"/>
  <c r="L15" i="29"/>
  <c r="M14" i="29"/>
  <c r="L14" i="29"/>
  <c r="M13" i="29"/>
  <c r="L13" i="29"/>
  <c r="M12" i="29"/>
  <c r="L12" i="29"/>
  <c r="M11" i="29"/>
  <c r="L11" i="29"/>
  <c r="C8" i="53" s="1"/>
  <c r="M7" i="29"/>
  <c r="D6" i="29" s="1"/>
  <c r="L7" i="29"/>
  <c r="E6" i="29"/>
  <c r="D5" i="29"/>
  <c r="E5" i="29"/>
  <c r="M4" i="29"/>
  <c r="D4" i="29"/>
  <c r="L4" i="29"/>
  <c r="E4" i="29"/>
  <c r="Y4" i="29"/>
  <c r="E37" i="53"/>
  <c r="E81" i="53"/>
  <c r="E125" i="53"/>
  <c r="E169" i="53" s="1"/>
  <c r="E214" i="53" s="1"/>
  <c r="E258" i="53" s="1"/>
  <c r="E80" i="53"/>
  <c r="E124" i="53"/>
  <c r="E168" i="53" s="1"/>
  <c r="E213" i="53"/>
  <c r="E257" i="53" s="1"/>
  <c r="E7" i="53"/>
  <c r="E51" i="53" s="1"/>
  <c r="E95" i="53" s="1"/>
  <c r="E139" i="53" s="1"/>
  <c r="E184" i="53" s="1"/>
  <c r="E228" i="53" s="1"/>
  <c r="A9" i="48"/>
  <c r="A14" i="48" s="1"/>
  <c r="A33" i="48" s="1"/>
  <c r="A52" i="48" s="1"/>
  <c r="A71" i="48" s="1"/>
  <c r="A90" i="48" s="1"/>
  <c r="A28" i="48"/>
  <c r="A47" i="48"/>
  <c r="A66" i="48" s="1"/>
  <c r="C4" i="36"/>
  <c r="C32" i="36" s="1"/>
  <c r="C60" i="36" s="1"/>
  <c r="C88" i="36" s="1"/>
  <c r="C116" i="36" s="1"/>
  <c r="C6" i="36"/>
  <c r="C34" i="36"/>
  <c r="C62" i="36" s="1"/>
  <c r="C90" i="36" s="1"/>
  <c r="C118" i="36" s="1"/>
  <c r="C8" i="36"/>
  <c r="C36" i="36"/>
  <c r="C64" i="36" s="1"/>
  <c r="C92" i="36"/>
  <c r="C120" i="36" s="1"/>
  <c r="C8" i="55"/>
  <c r="E12" i="36"/>
  <c r="B88" i="52"/>
  <c r="B89" i="52" s="1"/>
  <c r="E12" i="55"/>
  <c r="E13" i="55" s="1"/>
  <c r="E14" i="55" s="1"/>
  <c r="E15" i="55"/>
  <c r="E16" i="55"/>
  <c r="E17" i="55" s="1"/>
  <c r="E18" i="55" s="1"/>
  <c r="E19" i="55" s="1"/>
  <c r="C5" i="36"/>
  <c r="C33" i="36"/>
  <c r="C61" i="36" s="1"/>
  <c r="C89" i="36" s="1"/>
  <c r="C117" i="36" s="1"/>
  <c r="C5" i="55"/>
  <c r="C7" i="36"/>
  <c r="C35" i="36" s="1"/>
  <c r="C63" i="36" s="1"/>
  <c r="C91" i="36" s="1"/>
  <c r="C119" i="36" s="1"/>
  <c r="C7" i="55"/>
  <c r="E20" i="36"/>
  <c r="B90" i="52"/>
  <c r="E20" i="55"/>
  <c r="E21" i="55"/>
  <c r="E22" i="55"/>
  <c r="E23" i="55" s="1"/>
  <c r="E24" i="55" s="1"/>
  <c r="E25" i="55" s="1"/>
  <c r="E26" i="55" s="1"/>
  <c r="E27" i="55" s="1"/>
  <c r="C20" i="53"/>
  <c r="C64" i="53"/>
  <c r="C108" i="53"/>
  <c r="C152" i="53" s="1"/>
  <c r="C197" i="53"/>
  <c r="C13" i="53"/>
  <c r="C57" i="53" s="1"/>
  <c r="C101" i="53" s="1"/>
  <c r="C145" i="53" s="1"/>
  <c r="C190" i="53" s="1"/>
  <c r="C43" i="53"/>
  <c r="C87" i="53" s="1"/>
  <c r="C131" i="53" s="1"/>
  <c r="C175" i="53" s="1"/>
  <c r="C220" i="53" s="1"/>
  <c r="C14" i="53"/>
  <c r="C58" i="53"/>
  <c r="C102" i="53"/>
  <c r="C146" i="53" s="1"/>
  <c r="C191" i="53" s="1"/>
  <c r="C44" i="53"/>
  <c r="C88" i="53"/>
  <c r="C132" i="53"/>
  <c r="C176" i="53" s="1"/>
  <c r="C221" i="53" s="1"/>
  <c r="C11" i="53"/>
  <c r="C55" i="53" s="1"/>
  <c r="C99" i="53" s="1"/>
  <c r="C143" i="53" s="1"/>
  <c r="C188" i="53" s="1"/>
  <c r="C15" i="53"/>
  <c r="C59" i="53" s="1"/>
  <c r="C103" i="53" s="1"/>
  <c r="C147" i="53" s="1"/>
  <c r="C192" i="53" s="1"/>
  <c r="C52" i="53"/>
  <c r="C96" i="53" s="1"/>
  <c r="C140" i="53" s="1"/>
  <c r="C185" i="53" s="1"/>
  <c r="C12" i="53"/>
  <c r="C56" i="53"/>
  <c r="C100" i="53" s="1"/>
  <c r="C144" i="53" s="1"/>
  <c r="C189" i="53"/>
  <c r="C19" i="53"/>
  <c r="C63" i="53"/>
  <c r="C107" i="53" s="1"/>
  <c r="C151" i="53" s="1"/>
  <c r="C196" i="53" s="1"/>
  <c r="C38" i="53"/>
  <c r="C82" i="53" s="1"/>
  <c r="C126" i="53" s="1"/>
  <c r="C170" i="53" s="1"/>
  <c r="C215" i="53" s="1"/>
  <c r="C42" i="53"/>
  <c r="C86" i="53" s="1"/>
  <c r="C130" i="53" s="1"/>
  <c r="C174" i="53" s="1"/>
  <c r="C219" i="53" s="1"/>
  <c r="C9" i="53"/>
  <c r="C53" i="53" s="1"/>
  <c r="C97" i="53" s="1"/>
  <c r="C141" i="53" s="1"/>
  <c r="C186" i="53" s="1"/>
  <c r="C39" i="53"/>
  <c r="C83" i="53" s="1"/>
  <c r="C127" i="53" s="1"/>
  <c r="C171" i="53" s="1"/>
  <c r="C216" i="53" s="1"/>
  <c r="C355" i="53" s="1"/>
  <c r="C390" i="53" s="1"/>
  <c r="C10" i="53"/>
  <c r="C54" i="53" s="1"/>
  <c r="C98" i="53" s="1"/>
  <c r="C142" i="53" s="1"/>
  <c r="C187" i="53" s="1"/>
  <c r="C24" i="53"/>
  <c r="C68" i="53"/>
  <c r="C112" i="53" s="1"/>
  <c r="C156" i="53" s="1"/>
  <c r="C201" i="53" s="1"/>
  <c r="C84" i="53"/>
  <c r="C128" i="53" s="1"/>
  <c r="C172" i="53" s="1"/>
  <c r="C217" i="53" s="1"/>
  <c r="C5" i="53"/>
  <c r="C49" i="53" s="1"/>
  <c r="C93" i="53" s="1"/>
  <c r="C137" i="53"/>
  <c r="C182" i="53" s="1"/>
  <c r="C329" i="53" s="1"/>
  <c r="C364" i="53" s="1"/>
  <c r="C35" i="53"/>
  <c r="C79" i="53" s="1"/>
  <c r="C123" i="53" s="1"/>
  <c r="C167" i="53" s="1"/>
  <c r="C212" i="53"/>
  <c r="C18" i="53"/>
  <c r="C62" i="53"/>
  <c r="C106" i="53"/>
  <c r="C150" i="53"/>
  <c r="C195" i="53" s="1"/>
  <c r="M95" i="29"/>
  <c r="A11" i="48"/>
  <c r="A16" i="48"/>
  <c r="E8" i="53"/>
  <c r="E49" i="53"/>
  <c r="E93" i="53"/>
  <c r="E137" i="53"/>
  <c r="E182" i="53" s="1"/>
  <c r="D309" i="53"/>
  <c r="E79" i="53"/>
  <c r="E123" i="53" s="1"/>
  <c r="E167" i="53" s="1"/>
  <c r="E212" i="53" s="1"/>
  <c r="E38" i="53"/>
  <c r="A19" i="36"/>
  <c r="A47" i="36"/>
  <c r="A75" i="36" s="1"/>
  <c r="A103" i="36" s="1"/>
  <c r="A131" i="36" s="1"/>
  <c r="K106" i="50"/>
  <c r="V34" i="36"/>
  <c r="V42" i="36" s="1"/>
  <c r="V50" i="36" s="1"/>
  <c r="AL38" i="36"/>
  <c r="AL46" i="36"/>
  <c r="AL54" i="36" s="1"/>
  <c r="AO36" i="36"/>
  <c r="AO44" i="36" s="1"/>
  <c r="AO52" i="36" s="1"/>
  <c r="AO35" i="36"/>
  <c r="AO43" i="36"/>
  <c r="AO51" i="36"/>
  <c r="AN36" i="36"/>
  <c r="AN44" i="36"/>
  <c r="AN52" i="36" s="1"/>
  <c r="AN35" i="36"/>
  <c r="AN43" i="36" s="1"/>
  <c r="AN51" i="36" s="1"/>
  <c r="AK33" i="36"/>
  <c r="AK41" i="36" s="1"/>
  <c r="AK49" i="36" s="1"/>
  <c r="L4" i="50"/>
  <c r="L105" i="50"/>
  <c r="E23" i="48"/>
  <c r="E42" i="48" s="1"/>
  <c r="E61" i="48" s="1"/>
  <c r="E80" i="48" s="1"/>
  <c r="E12" i="47"/>
  <c r="E19" i="47" s="1"/>
  <c r="E26" i="47" s="1"/>
  <c r="E33" i="47" s="1"/>
  <c r="B92" i="52"/>
  <c r="B93" i="52" s="1"/>
  <c r="AL32" i="36"/>
  <c r="AL40" i="36" s="1"/>
  <c r="AL48" i="36"/>
  <c r="AO38" i="36"/>
  <c r="AO46" i="36" s="1"/>
  <c r="AO54" i="36"/>
  <c r="AK36" i="36"/>
  <c r="AK44" i="36"/>
  <c r="AK52" i="36" s="1"/>
  <c r="AG21" i="50"/>
  <c r="AG106" i="50"/>
  <c r="E13" i="47"/>
  <c r="E20" i="47"/>
  <c r="E27" i="47" s="1"/>
  <c r="E34" i="47" s="1"/>
  <c r="B94" i="52"/>
  <c r="B80" i="52"/>
  <c r="B78" i="52"/>
  <c r="B76" i="52"/>
  <c r="B81" i="52"/>
  <c r="B79" i="52"/>
  <c r="B77" i="52"/>
  <c r="B98" i="52"/>
  <c r="AC38" i="36"/>
  <c r="AC46" i="36"/>
  <c r="AC54" i="36" s="1"/>
  <c r="AP36" i="36"/>
  <c r="AP44" i="36"/>
  <c r="AP52" i="36"/>
  <c r="I37" i="36"/>
  <c r="I45" i="36" s="1"/>
  <c r="I53" i="36" s="1"/>
  <c r="S106" i="50"/>
  <c r="B86" i="52"/>
  <c r="B82" i="52"/>
  <c r="B87" i="52"/>
  <c r="B85" i="52"/>
  <c r="B83" i="52"/>
  <c r="W4" i="50"/>
  <c r="W105" i="50"/>
  <c r="V36" i="36"/>
  <c r="V44" i="36"/>
  <c r="V52" i="36" s="1"/>
  <c r="I36" i="36"/>
  <c r="I44" i="36" s="1"/>
  <c r="I52" i="36" s="1"/>
  <c r="I35" i="36"/>
  <c r="I43" i="36"/>
  <c r="I51" i="36" s="1"/>
  <c r="A27" i="48"/>
  <c r="A46" i="48" s="1"/>
  <c r="A65" i="48" s="1"/>
  <c r="C93" i="50"/>
  <c r="C97" i="50" s="1"/>
  <c r="C101" i="50" s="1"/>
  <c r="L90" i="29"/>
  <c r="L91" i="29"/>
  <c r="AS4" i="48"/>
  <c r="L92" i="29"/>
  <c r="C59" i="50"/>
  <c r="C63" i="50" s="1"/>
  <c r="C67" i="50" s="1"/>
  <c r="W8" i="50"/>
  <c r="AE38" i="41"/>
  <c r="AG110" i="50" s="1"/>
  <c r="AG25" i="50"/>
  <c r="AC25" i="50" s="1"/>
  <c r="V25" i="50" s="1"/>
  <c r="O38" i="41"/>
  <c r="S25" i="50"/>
  <c r="U39" i="41"/>
  <c r="W59" i="50" s="1"/>
  <c r="R35" i="41"/>
  <c r="AB35" i="41"/>
  <c r="AF37" i="41"/>
  <c r="L8" i="50"/>
  <c r="D8" i="29"/>
  <c r="AP42" i="36"/>
  <c r="AP50" i="36" s="1"/>
  <c r="AP39" i="36"/>
  <c r="AP47" i="36"/>
  <c r="AP55" i="36"/>
  <c r="A32" i="48"/>
  <c r="A51" i="48" s="1"/>
  <c r="A70" i="48" s="1"/>
  <c r="A89" i="48" s="1"/>
  <c r="A18" i="48"/>
  <c r="A37" i="48" s="1"/>
  <c r="A56" i="48" s="1"/>
  <c r="A75" i="48" s="1"/>
  <c r="A11" i="47"/>
  <c r="A18" i="47" s="1"/>
  <c r="A25" i="47" s="1"/>
  <c r="AS4" i="47" s="1"/>
  <c r="A5" i="47"/>
  <c r="A12" i="47" s="1"/>
  <c r="A19" i="47" s="1"/>
  <c r="A26" i="47" s="1"/>
  <c r="AS5" i="47" s="1"/>
  <c r="A10" i="48"/>
  <c r="A29" i="48" s="1"/>
  <c r="A48" i="48" s="1"/>
  <c r="A67" i="48" s="1"/>
  <c r="A24" i="48"/>
  <c r="A43" i="48" s="1"/>
  <c r="A62" i="48" s="1"/>
  <c r="E33" i="48"/>
  <c r="E52" i="48" s="1"/>
  <c r="E71" i="48" s="1"/>
  <c r="E90" i="48" s="1"/>
  <c r="E15" i="48"/>
  <c r="A12" i="48"/>
  <c r="A31" i="48" s="1"/>
  <c r="A26" i="48"/>
  <c r="A45" i="48" s="1"/>
  <c r="A64" i="48" s="1"/>
  <c r="A25" i="50"/>
  <c r="A29" i="50" s="1"/>
  <c r="A33" i="50" s="1"/>
  <c r="A55" i="50"/>
  <c r="A42" i="50"/>
  <c r="A46" i="50"/>
  <c r="A50" i="50" s="1"/>
  <c r="M94" i="29"/>
  <c r="AN39" i="36"/>
  <c r="AN47" i="36" s="1"/>
  <c r="AN55" i="36" s="1"/>
  <c r="AN42" i="36"/>
  <c r="AN50" i="36" s="1"/>
  <c r="L42" i="36"/>
  <c r="L50" i="36"/>
  <c r="T39" i="36"/>
  <c r="T47" i="36" s="1"/>
  <c r="T55" i="36" s="1"/>
  <c r="H42" i="36"/>
  <c r="H50" i="36" s="1"/>
  <c r="H39" i="36"/>
  <c r="H47" i="36"/>
  <c r="H55" i="36" s="1"/>
  <c r="Y39" i="36"/>
  <c r="Y47" i="36" s="1"/>
  <c r="Y55" i="36" s="1"/>
  <c r="AK39" i="36"/>
  <c r="AK47" i="36" s="1"/>
  <c r="AK55" i="36" s="1"/>
  <c r="AK42" i="36"/>
  <c r="AK50" i="36" s="1"/>
  <c r="Q39" i="36"/>
  <c r="Q47" i="36" s="1"/>
  <c r="Q55" i="36"/>
  <c r="U39" i="36"/>
  <c r="U47" i="36" s="1"/>
  <c r="U55" i="36" s="1"/>
  <c r="U42" i="36"/>
  <c r="U50" i="36"/>
  <c r="AC39" i="36"/>
  <c r="AC47" i="36" s="1"/>
  <c r="AC55" i="36" s="1"/>
  <c r="AC42" i="36"/>
  <c r="AC50" i="36"/>
  <c r="I39" i="36"/>
  <c r="I47" i="36"/>
  <c r="I55" i="36" s="1"/>
  <c r="K42" i="36"/>
  <c r="K50" i="36" s="1"/>
  <c r="K39" i="36"/>
  <c r="K47" i="36" s="1"/>
  <c r="K55" i="36" s="1"/>
  <c r="AA42" i="36"/>
  <c r="AA50" i="36"/>
  <c r="AA39" i="36"/>
  <c r="AA47" i="36"/>
  <c r="AA55" i="36" s="1"/>
  <c r="G39" i="36"/>
  <c r="G47" i="36"/>
  <c r="G55" i="36" s="1"/>
  <c r="AI39" i="36"/>
  <c r="AI47" i="36" s="1"/>
  <c r="AI55" i="36" s="1"/>
  <c r="P42" i="36"/>
  <c r="P50" i="36" s="1"/>
  <c r="F42" i="36"/>
  <c r="F50" i="36"/>
  <c r="A26" i="36"/>
  <c r="A54" i="36" s="1"/>
  <c r="A82" i="36" s="1"/>
  <c r="A110" i="36" s="1"/>
  <c r="A24" i="36"/>
  <c r="A52" i="36" s="1"/>
  <c r="A80" i="36" s="1"/>
  <c r="A108" i="36" s="1"/>
  <c r="A44" i="36"/>
  <c r="A72" i="36" s="1"/>
  <c r="A100" i="36" s="1"/>
  <c r="A22" i="36"/>
  <c r="A34" i="36"/>
  <c r="A62" i="36"/>
  <c r="A90" i="36" s="1"/>
  <c r="A70" i="36"/>
  <c r="A98" i="36"/>
  <c r="A126" i="36" s="1"/>
  <c r="A32" i="36"/>
  <c r="A60" i="36" s="1"/>
  <c r="A88" i="36" s="1"/>
  <c r="AS4" i="36" s="1"/>
  <c r="A38" i="36"/>
  <c r="A66" i="36"/>
  <c r="A94" i="36" s="1"/>
  <c r="A122" i="36" s="1"/>
  <c r="A12" i="36"/>
  <c r="A40" i="36" s="1"/>
  <c r="AS11" i="36"/>
  <c r="A36" i="36"/>
  <c r="A64" i="36" s="1"/>
  <c r="A92" i="36" s="1"/>
  <c r="A13" i="36"/>
  <c r="A15" i="36"/>
  <c r="A17" i="36"/>
  <c r="A25" i="36" s="1"/>
  <c r="A53" i="36" s="1"/>
  <c r="A81" i="36" s="1"/>
  <c r="A109" i="36" s="1"/>
  <c r="A89" i="36"/>
  <c r="A37" i="36"/>
  <c r="A65" i="36" s="1"/>
  <c r="A93" i="36" s="1"/>
  <c r="AD41" i="41"/>
  <c r="AD39" i="41"/>
  <c r="AD42" i="41"/>
  <c r="AD40" i="41"/>
  <c r="AD38" i="41"/>
  <c r="AF89" i="50" s="1"/>
  <c r="AD36" i="41"/>
  <c r="AD35" i="41"/>
  <c r="AD37" i="41"/>
  <c r="N42" i="41"/>
  <c r="N36" i="41"/>
  <c r="N35" i="41"/>
  <c r="N38" i="41"/>
  <c r="S41" i="41"/>
  <c r="S37" i="41"/>
  <c r="S35" i="41"/>
  <c r="S42" i="41"/>
  <c r="U38" i="50" s="1"/>
  <c r="S39" i="41"/>
  <c r="S36" i="41"/>
  <c r="S40" i="41"/>
  <c r="P36" i="41"/>
  <c r="U42" i="41"/>
  <c r="W107" i="50" s="1"/>
  <c r="U38" i="41"/>
  <c r="U36" i="41"/>
  <c r="U35" i="41"/>
  <c r="U40" i="41"/>
  <c r="U41" i="41"/>
  <c r="Y42" i="41"/>
  <c r="AA42" i="50" s="1"/>
  <c r="H42" i="41"/>
  <c r="H40" i="41"/>
  <c r="H41" i="41"/>
  <c r="H39" i="41"/>
  <c r="H37" i="41"/>
  <c r="H36" i="41"/>
  <c r="H38" i="41"/>
  <c r="I40" i="41"/>
  <c r="K76" i="50" s="1"/>
  <c r="I38" i="41"/>
  <c r="I36" i="41"/>
  <c r="I42" i="41"/>
  <c r="I39" i="41"/>
  <c r="I35" i="41"/>
  <c r="I37" i="41"/>
  <c r="M42" i="41"/>
  <c r="M38" i="41"/>
  <c r="M36" i="41"/>
  <c r="M41" i="41"/>
  <c r="O25" i="50" s="1"/>
  <c r="Q40" i="41"/>
  <c r="S72" i="50" s="1"/>
  <c r="Q38" i="41"/>
  <c r="Q36" i="41"/>
  <c r="Q42" i="41"/>
  <c r="Q39" i="41"/>
  <c r="Q37" i="41"/>
  <c r="S105" i="50" s="1"/>
  <c r="Q35" i="41"/>
  <c r="J41" i="41"/>
  <c r="L25" i="50" s="1"/>
  <c r="J39" i="41"/>
  <c r="L59" i="50" s="1"/>
  <c r="J42" i="41"/>
  <c r="L42" i="50" s="1"/>
  <c r="J40" i="41"/>
  <c r="L76" i="50" s="1"/>
  <c r="J36" i="41"/>
  <c r="J35" i="41"/>
  <c r="J38" i="41"/>
  <c r="H35" i="41"/>
  <c r="R41" i="41"/>
  <c r="R39" i="41"/>
  <c r="T108" i="50" s="1"/>
  <c r="R42" i="41"/>
  <c r="R38" i="41"/>
  <c r="R37" i="41"/>
  <c r="T105" i="50"/>
  <c r="AB42" i="41"/>
  <c r="AB40" i="41"/>
  <c r="AB38" i="41"/>
  <c r="AB41" i="41"/>
  <c r="AB39" i="41"/>
  <c r="AB37" i="41"/>
  <c r="AE39" i="41"/>
  <c r="AG108" i="50" s="1"/>
  <c r="AE37" i="41"/>
  <c r="AG8" i="50" s="1"/>
  <c r="AE35" i="41"/>
  <c r="AE42" i="41"/>
  <c r="AG42" i="50" s="1"/>
  <c r="AE36" i="41"/>
  <c r="AE40" i="41"/>
  <c r="F41" i="41"/>
  <c r="F39" i="41"/>
  <c r="H108" i="50"/>
  <c r="F42" i="41"/>
  <c r="H38" i="50" s="1"/>
  <c r="F40" i="41"/>
  <c r="F38" i="41"/>
  <c r="F37" i="41"/>
  <c r="K41" i="41"/>
  <c r="K37" i="41"/>
  <c r="AC42" i="41"/>
  <c r="AC38" i="41"/>
  <c r="AC39" i="41"/>
  <c r="AC37" i="41"/>
  <c r="AE8" i="50" s="1"/>
  <c r="AG40" i="41"/>
  <c r="AI76" i="50" s="1"/>
  <c r="AG36" i="41"/>
  <c r="AG41" i="41"/>
  <c r="AG38" i="41"/>
  <c r="AG37" i="41"/>
  <c r="O35" i="41"/>
  <c r="O41" i="41"/>
  <c r="Q21" i="50" s="1"/>
  <c r="F35" i="41"/>
  <c r="AC40" i="41"/>
  <c r="AC41" i="41"/>
  <c r="AE25" i="50" s="1"/>
  <c r="AG42" i="41"/>
  <c r="E48" i="36"/>
  <c r="E76" i="36"/>
  <c r="E104" i="36" s="1"/>
  <c r="E132" i="36" s="1"/>
  <c r="E21" i="36"/>
  <c r="E40" i="36"/>
  <c r="E68" i="36" s="1"/>
  <c r="E96" i="36" s="1"/>
  <c r="E124" i="36" s="1"/>
  <c r="E13" i="36"/>
  <c r="E41" i="36"/>
  <c r="E69" i="36" s="1"/>
  <c r="E97" i="36" s="1"/>
  <c r="E125" i="36" s="1"/>
  <c r="A30" i="48"/>
  <c r="A49" i="48" s="1"/>
  <c r="A68" i="48" s="1"/>
  <c r="D42" i="41"/>
  <c r="F38" i="50"/>
  <c r="C235" i="53"/>
  <c r="C336" i="53"/>
  <c r="C371" i="53" s="1"/>
  <c r="C239" i="53"/>
  <c r="C338" i="53"/>
  <c r="C373" i="53" s="1"/>
  <c r="C260" i="53"/>
  <c r="C232" i="53"/>
  <c r="C333" i="53"/>
  <c r="C368" i="53" s="1"/>
  <c r="C226" i="53"/>
  <c r="C229" i="53"/>
  <c r="C330" i="53"/>
  <c r="C365" i="53" s="1"/>
  <c r="C343" i="53"/>
  <c r="C378" i="53"/>
  <c r="C231" i="53"/>
  <c r="C332" i="53"/>
  <c r="C367" i="53"/>
  <c r="C262" i="53"/>
  <c r="C357" i="53"/>
  <c r="C392" i="53"/>
  <c r="A27" i="36"/>
  <c r="A55" i="36" s="1"/>
  <c r="A83" i="36" s="1"/>
  <c r="A111" i="36" s="1"/>
  <c r="AS27" i="36" s="1"/>
  <c r="A139" i="36"/>
  <c r="E82" i="53"/>
  <c r="E126" i="53"/>
  <c r="E170" i="53" s="1"/>
  <c r="E215" i="53" s="1"/>
  <c r="E39" i="53"/>
  <c r="E309" i="53"/>
  <c r="C48" i="29" s="1"/>
  <c r="C309" i="53"/>
  <c r="AS19" i="36"/>
  <c r="D40" i="41"/>
  <c r="F72" i="50"/>
  <c r="P110" i="50"/>
  <c r="D35" i="41"/>
  <c r="D36" i="41"/>
  <c r="S110" i="50"/>
  <c r="W110" i="50"/>
  <c r="Q106" i="50"/>
  <c r="AI4" i="50"/>
  <c r="AI105" i="50"/>
  <c r="H21" i="50"/>
  <c r="H106" i="50"/>
  <c r="AG55" i="50"/>
  <c r="T38" i="50"/>
  <c r="T107" i="50"/>
  <c r="L38" i="50"/>
  <c r="L107" i="50"/>
  <c r="S38" i="50"/>
  <c r="S107" i="50"/>
  <c r="U4" i="50"/>
  <c r="U105" i="50"/>
  <c r="W55" i="50"/>
  <c r="W108" i="50"/>
  <c r="F21" i="50"/>
  <c r="F106" i="50"/>
  <c r="H72" i="50"/>
  <c r="H109" i="50"/>
  <c r="T55" i="50"/>
  <c r="K55" i="50"/>
  <c r="K72" i="50"/>
  <c r="K109" i="50"/>
  <c r="J55" i="50"/>
  <c r="J108" i="50"/>
  <c r="AI55" i="50"/>
  <c r="AI108" i="50"/>
  <c r="AE4" i="50"/>
  <c r="AE105" i="50"/>
  <c r="M4" i="50"/>
  <c r="AG107" i="50"/>
  <c r="AI21" i="50"/>
  <c r="AI106" i="50"/>
  <c r="M106" i="50"/>
  <c r="H107" i="50"/>
  <c r="L21" i="50"/>
  <c r="L106" i="50"/>
  <c r="S4" i="50"/>
  <c r="O38" i="50"/>
  <c r="O107" i="50"/>
  <c r="J21" i="50"/>
  <c r="J106" i="50"/>
  <c r="AF4" i="50"/>
  <c r="AF105" i="50"/>
  <c r="AF109" i="50"/>
  <c r="AD110" i="50"/>
  <c r="AG72" i="50"/>
  <c r="AG109" i="50"/>
  <c r="AG4" i="50"/>
  <c r="AG105" i="50"/>
  <c r="AD4" i="50"/>
  <c r="AD105" i="50"/>
  <c r="L109" i="50"/>
  <c r="S109" i="50"/>
  <c r="K4" i="50"/>
  <c r="K105" i="50"/>
  <c r="J72" i="50"/>
  <c r="J109" i="50"/>
  <c r="W21" i="50"/>
  <c r="W106" i="50"/>
  <c r="U109" i="50"/>
  <c r="U110" i="50"/>
  <c r="P38" i="50"/>
  <c r="P107" i="50"/>
  <c r="D37" i="41"/>
  <c r="F8" i="50" s="1"/>
  <c r="I8" i="50" s="1"/>
  <c r="AS13" i="48"/>
  <c r="D39" i="41"/>
  <c r="D38" i="41"/>
  <c r="K93" i="50"/>
  <c r="AI8" i="50"/>
  <c r="S42" i="50"/>
  <c r="F25" i="50"/>
  <c r="I25" i="50"/>
  <c r="U93" i="50"/>
  <c r="S8" i="50"/>
  <c r="T25" i="50"/>
  <c r="H25" i="50"/>
  <c r="H89" i="50"/>
  <c r="K89" i="50"/>
  <c r="AD8" i="50"/>
  <c r="AC42" i="50"/>
  <c r="V42" i="50" s="1"/>
  <c r="AF8" i="50"/>
  <c r="L89" i="50"/>
  <c r="S89" i="50"/>
  <c r="P93" i="50"/>
  <c r="AE76" i="50"/>
  <c r="U42" i="50"/>
  <c r="P42" i="50"/>
  <c r="J76" i="50"/>
  <c r="T42" i="50"/>
  <c r="T4" i="50"/>
  <c r="T8" i="50"/>
  <c r="K42" i="50"/>
  <c r="J59" i="50"/>
  <c r="S93" i="50"/>
  <c r="AG76" i="50"/>
  <c r="AC76" i="50"/>
  <c r="V76" i="50" s="1"/>
  <c r="H93" i="50"/>
  <c r="U8" i="50"/>
  <c r="AI59" i="50"/>
  <c r="K8" i="50"/>
  <c r="S76" i="50"/>
  <c r="H76" i="50"/>
  <c r="O21" i="50"/>
  <c r="Q25" i="50"/>
  <c r="H55" i="50"/>
  <c r="H59" i="50"/>
  <c r="AC8" i="50"/>
  <c r="V8" i="50"/>
  <c r="W89" i="50"/>
  <c r="AH8" i="50"/>
  <c r="T59" i="50"/>
  <c r="AG59" i="50"/>
  <c r="AC59" i="50" s="1"/>
  <c r="V59" i="50" s="1"/>
  <c r="AI25" i="50"/>
  <c r="A83" i="48"/>
  <c r="AS7" i="48"/>
  <c r="A17" i="48"/>
  <c r="A36" i="48" s="1"/>
  <c r="A55" i="48" s="1"/>
  <c r="A74" i="48" s="1"/>
  <c r="A93" i="48" s="1"/>
  <c r="A50" i="48"/>
  <c r="A69" i="48" s="1"/>
  <c r="A32" i="47"/>
  <c r="E16" i="48"/>
  <c r="E35" i="48" s="1"/>
  <c r="E34" i="48"/>
  <c r="E53" i="48"/>
  <c r="E72" i="48" s="1"/>
  <c r="E91" i="48" s="1"/>
  <c r="A35" i="48"/>
  <c r="A54" i="48" s="1"/>
  <c r="A73" i="48"/>
  <c r="A15" i="48"/>
  <c r="A34" i="48" s="1"/>
  <c r="A53" i="48" s="1"/>
  <c r="A72" i="48" s="1"/>
  <c r="A59" i="50"/>
  <c r="A63" i="50" s="1"/>
  <c r="A67" i="50" s="1"/>
  <c r="A72" i="50"/>
  <c r="A130" i="36"/>
  <c r="A50" i="36"/>
  <c r="A78" i="36" s="1"/>
  <c r="A106" i="36"/>
  <c r="A134" i="36" s="1"/>
  <c r="A21" i="36"/>
  <c r="A49" i="36" s="1"/>
  <c r="A77" i="36" s="1"/>
  <c r="A105" i="36" s="1"/>
  <c r="A41" i="36"/>
  <c r="A69" i="36"/>
  <c r="A97" i="36" s="1"/>
  <c r="AS10" i="36"/>
  <c r="A20" i="36"/>
  <c r="A68" i="36"/>
  <c r="A96" i="36"/>
  <c r="A124" i="36" s="1"/>
  <c r="A116" i="36"/>
  <c r="AS14" i="36"/>
  <c r="E14" i="36"/>
  <c r="F107" i="50"/>
  <c r="F42" i="50"/>
  <c r="I42" i="50"/>
  <c r="E259" i="53"/>
  <c r="E354" i="53"/>
  <c r="E389" i="53" s="1"/>
  <c r="B106" i="52"/>
  <c r="B107" i="52" s="1"/>
  <c r="B108" i="52" s="1"/>
  <c r="B109" i="52" s="1"/>
  <c r="B110" i="52" s="1"/>
  <c r="B111" i="52" s="1"/>
  <c r="B103" i="52"/>
  <c r="B104" i="52" s="1"/>
  <c r="B105" i="52" s="1"/>
  <c r="L117" i="29"/>
  <c r="M117" i="29" s="1"/>
  <c r="F4" i="50"/>
  <c r="F105" i="50"/>
  <c r="F55" i="50"/>
  <c r="F108" i="50"/>
  <c r="A86" i="48"/>
  <c r="AS10" i="48"/>
  <c r="A92" i="48"/>
  <c r="AS16" i="48"/>
  <c r="E54" i="48"/>
  <c r="E73" i="48"/>
  <c r="E92" i="48" s="1"/>
  <c r="E17" i="48"/>
  <c r="AS14" i="48"/>
  <c r="A48" i="36"/>
  <c r="A76" i="36"/>
  <c r="A104" i="36" s="1"/>
  <c r="AS12" i="36"/>
  <c r="AS22" i="36"/>
  <c r="E15" i="36"/>
  <c r="E42" i="36"/>
  <c r="E70" i="36" s="1"/>
  <c r="E98" i="36" s="1"/>
  <c r="E126" i="36" s="1"/>
  <c r="AS17" i="48"/>
  <c r="A91" i="48"/>
  <c r="AS15" i="48"/>
  <c r="E16" i="36"/>
  <c r="E43" i="36"/>
  <c r="E71" i="36" s="1"/>
  <c r="E99" i="36" s="1"/>
  <c r="E127" i="36" s="1"/>
  <c r="AH128" i="28"/>
  <c r="AG128" i="28"/>
  <c r="AF128" i="28"/>
  <c r="AE128" i="28"/>
  <c r="AD128" i="28"/>
  <c r="AC128" i="28"/>
  <c r="AB128" i="28"/>
  <c r="AH127" i="28"/>
  <c r="AG127" i="28"/>
  <c r="AF127" i="28"/>
  <c r="AE127" i="28"/>
  <c r="AD127" i="28"/>
  <c r="AC127" i="28"/>
  <c r="AB127" i="28"/>
  <c r="AH126" i="28"/>
  <c r="AG126" i="28"/>
  <c r="AF126" i="28"/>
  <c r="AE126" i="28"/>
  <c r="AE45" i="52"/>
  <c r="AG99" i="53" s="1"/>
  <c r="AD126" i="28"/>
  <c r="AD188" i="28" s="1"/>
  <c r="AC126" i="28"/>
  <c r="AB126" i="28"/>
  <c r="AH125" i="28"/>
  <c r="AG125" i="28"/>
  <c r="AG187" i="28" s="1"/>
  <c r="AF125" i="28"/>
  <c r="AE125" i="28"/>
  <c r="AD125" i="28"/>
  <c r="AC125" i="28"/>
  <c r="AB125" i="28"/>
  <c r="AH124" i="28"/>
  <c r="AG124" i="28"/>
  <c r="AF124" i="28"/>
  <c r="AF186" i="28" s="1"/>
  <c r="AE124" i="28"/>
  <c r="AD124" i="28"/>
  <c r="AC124" i="28"/>
  <c r="AB124" i="28"/>
  <c r="AH123" i="28"/>
  <c r="AG123" i="28"/>
  <c r="AF123" i="28"/>
  <c r="AE123" i="28"/>
  <c r="AD123" i="28"/>
  <c r="AC123" i="28"/>
  <c r="AB123" i="28"/>
  <c r="AB185" i="28" s="1"/>
  <c r="AH122" i="28"/>
  <c r="AH184" i="28" s="1"/>
  <c r="AG122" i="28"/>
  <c r="AF122" i="28"/>
  <c r="AE122" i="28"/>
  <c r="AD122" i="28"/>
  <c r="AD184" i="28" s="1"/>
  <c r="AC122" i="28"/>
  <c r="AB122" i="28"/>
  <c r="AH121" i="28"/>
  <c r="AG121" i="28"/>
  <c r="AF121" i="28"/>
  <c r="AE121" i="28"/>
  <c r="AD121" i="28"/>
  <c r="AC121" i="28"/>
  <c r="AB121" i="28"/>
  <c r="AH120" i="28"/>
  <c r="AG120" i="28"/>
  <c r="AF120" i="28"/>
  <c r="AE120" i="28"/>
  <c r="AD120" i="28"/>
  <c r="AC120" i="28"/>
  <c r="AB120" i="28"/>
  <c r="AH119" i="28"/>
  <c r="AH150" i="28" s="1"/>
  <c r="AG119" i="28"/>
  <c r="AF119" i="28"/>
  <c r="AE119" i="28"/>
  <c r="AE150" i="28" s="1"/>
  <c r="AE46" i="52" s="1"/>
  <c r="AB119" i="28"/>
  <c r="AH118" i="28"/>
  <c r="AH149" i="28" s="1"/>
  <c r="AG118" i="28"/>
  <c r="AE118" i="28"/>
  <c r="AB118" i="28"/>
  <c r="AG117" i="28"/>
  <c r="AE117" i="28"/>
  <c r="AC117" i="28"/>
  <c r="AB117" i="28"/>
  <c r="AG116" i="28"/>
  <c r="AE116" i="28"/>
  <c r="AD116" i="28"/>
  <c r="AC116" i="28"/>
  <c r="AC147" i="28" s="1"/>
  <c r="AB116" i="28"/>
  <c r="AH115" i="28"/>
  <c r="AG115" i="28"/>
  <c r="AG146" i="28" s="1"/>
  <c r="AF115" i="28"/>
  <c r="AE115" i="28"/>
  <c r="AD115" i="28"/>
  <c r="AC115" i="28"/>
  <c r="AB115" i="28"/>
  <c r="AH114" i="28"/>
  <c r="AG114" i="28"/>
  <c r="AF114" i="28"/>
  <c r="AE114" i="28"/>
  <c r="AD114" i="28"/>
  <c r="AC114" i="28"/>
  <c r="AB114" i="28"/>
  <c r="AH112" i="28"/>
  <c r="AG112" i="28"/>
  <c r="AG143" i="28" s="1"/>
  <c r="AG43" i="52" s="1"/>
  <c r="AF112" i="28"/>
  <c r="AE112" i="28"/>
  <c r="AD112" i="28"/>
  <c r="AB112" i="28"/>
  <c r="AH111" i="28"/>
  <c r="AG111" i="28"/>
  <c r="AF111" i="28"/>
  <c r="AE111" i="28"/>
  <c r="AB111" i="28"/>
  <c r="AG110" i="28"/>
  <c r="AE110" i="28"/>
  <c r="AH109" i="28"/>
  <c r="AG109" i="28"/>
  <c r="AF109" i="28"/>
  <c r="AE109" i="28"/>
  <c r="AD109" i="28"/>
  <c r="AC109" i="28"/>
  <c r="AB109" i="28"/>
  <c r="AH108" i="28"/>
  <c r="AG108" i="28"/>
  <c r="AF108" i="28"/>
  <c r="AE108" i="28"/>
  <c r="AD108" i="28"/>
  <c r="AC108" i="28"/>
  <c r="AB108" i="28"/>
  <c r="AH107" i="28"/>
  <c r="AG107" i="28"/>
  <c r="AF107" i="28"/>
  <c r="AE107" i="28"/>
  <c r="AD107" i="28"/>
  <c r="AC107" i="28"/>
  <c r="AB107" i="28"/>
  <c r="AH106" i="28"/>
  <c r="AG106" i="28"/>
  <c r="AF106" i="28"/>
  <c r="AE106" i="28"/>
  <c r="AD106" i="28"/>
  <c r="AC106" i="28"/>
  <c r="AC168" i="28" s="1"/>
  <c r="AB106" i="28"/>
  <c r="AH105" i="28"/>
  <c r="AG105" i="28"/>
  <c r="AF105" i="28"/>
  <c r="AE105" i="28"/>
  <c r="AE167" i="28" s="1"/>
  <c r="AD105" i="28"/>
  <c r="AD167" i="28" s="1"/>
  <c r="AC105" i="28"/>
  <c r="AC167" i="28" s="1"/>
  <c r="AB105" i="28"/>
  <c r="AH104" i="28"/>
  <c r="AH166" i="28" s="1"/>
  <c r="AG104" i="28"/>
  <c r="AF104" i="28"/>
  <c r="AE104" i="28"/>
  <c r="AD104" i="28"/>
  <c r="AC104" i="28"/>
  <c r="AB104" i="28"/>
  <c r="AH103" i="28"/>
  <c r="AG103" i="28"/>
  <c r="AF103" i="28"/>
  <c r="AE103" i="28"/>
  <c r="AD103" i="28"/>
  <c r="AC103" i="28"/>
  <c r="AB103" i="28"/>
  <c r="AH102" i="28"/>
  <c r="AG102" i="28"/>
  <c r="AF102" i="28"/>
  <c r="AE102" i="28"/>
  <c r="AD102" i="28"/>
  <c r="AC102" i="28"/>
  <c r="AB102" i="28"/>
  <c r="Z128" i="28"/>
  <c r="Z190" i="28" s="1"/>
  <c r="Y128" i="28"/>
  <c r="X128" i="28"/>
  <c r="X190" i="28" s="1"/>
  <c r="W128" i="28"/>
  <c r="V128" i="28"/>
  <c r="U128" i="28"/>
  <c r="Z127" i="28"/>
  <c r="Y127" i="28"/>
  <c r="X127" i="28"/>
  <c r="W127" i="28"/>
  <c r="V127" i="28"/>
  <c r="U127" i="28"/>
  <c r="Z126" i="28"/>
  <c r="Y126" i="28"/>
  <c r="X126" i="28"/>
  <c r="W126" i="28"/>
  <c r="V126" i="28"/>
  <c r="U126" i="28"/>
  <c r="Z125" i="28"/>
  <c r="Z187" i="28" s="1"/>
  <c r="Y125" i="28"/>
  <c r="X125" i="28"/>
  <c r="W125" i="28"/>
  <c r="V125" i="28"/>
  <c r="U125" i="28"/>
  <c r="U187" i="28" s="1"/>
  <c r="Z124" i="28"/>
  <c r="Y124" i="28"/>
  <c r="X124" i="28"/>
  <c r="X186" i="28" s="1"/>
  <c r="W124" i="28"/>
  <c r="V124" i="28"/>
  <c r="U124" i="28"/>
  <c r="Z123" i="28"/>
  <c r="Y123" i="28"/>
  <c r="X123" i="28"/>
  <c r="W123" i="28"/>
  <c r="V123" i="28"/>
  <c r="U123" i="28"/>
  <c r="Z122" i="28"/>
  <c r="Y122" i="28"/>
  <c r="X122" i="28"/>
  <c r="W122" i="28"/>
  <c r="V122" i="28"/>
  <c r="U122" i="28"/>
  <c r="U153" i="28"/>
  <c r="W34" i="36" s="1"/>
  <c r="Z121" i="28"/>
  <c r="Y121" i="28"/>
  <c r="X121" i="28"/>
  <c r="W121" i="28"/>
  <c r="W183" i="28" s="1"/>
  <c r="V121" i="28"/>
  <c r="V183" i="28" s="1"/>
  <c r="U121" i="28"/>
  <c r="U183" i="28" s="1"/>
  <c r="Z120" i="28"/>
  <c r="Y120" i="28"/>
  <c r="X120" i="28"/>
  <c r="W120" i="28"/>
  <c r="V120" i="28"/>
  <c r="U120" i="28"/>
  <c r="Z119" i="28"/>
  <c r="Y119" i="28"/>
  <c r="X119" i="28"/>
  <c r="X150" i="28" s="1"/>
  <c r="X46" i="52" s="1"/>
  <c r="Z100" i="53" s="1"/>
  <c r="W119" i="28"/>
  <c r="U119" i="28"/>
  <c r="X118" i="28"/>
  <c r="W118" i="28"/>
  <c r="V118" i="28"/>
  <c r="Z117" i="28"/>
  <c r="Z148" i="28" s="1"/>
  <c r="W117" i="28"/>
  <c r="V117" i="28"/>
  <c r="U117" i="28"/>
  <c r="U148" i="28" s="1"/>
  <c r="Z116" i="28"/>
  <c r="Z147" i="28"/>
  <c r="Z44" i="52"/>
  <c r="Y116" i="28"/>
  <c r="Y147" i="28"/>
  <c r="Y44" i="52" s="1"/>
  <c r="X116" i="28"/>
  <c r="W116" i="28"/>
  <c r="V116" i="28"/>
  <c r="V147" i="28" s="1"/>
  <c r="V44" i="52" s="1"/>
  <c r="U116" i="28"/>
  <c r="Z115" i="28"/>
  <c r="Y115" i="28"/>
  <c r="X115" i="28"/>
  <c r="W115" i="28"/>
  <c r="X114" i="28"/>
  <c r="W114" i="28"/>
  <c r="V114" i="28"/>
  <c r="Z112" i="28"/>
  <c r="Y112" i="28"/>
  <c r="X112" i="28"/>
  <c r="X143" i="28" s="1"/>
  <c r="X43" i="52" s="1"/>
  <c r="Z107" i="53" s="1"/>
  <c r="Z112" i="53" s="1"/>
  <c r="W112" i="28"/>
  <c r="W143" i="28" s="1"/>
  <c r="W43" i="52" s="1"/>
  <c r="Y107" i="53" s="1"/>
  <c r="Y112" i="53" s="1"/>
  <c r="V112" i="28"/>
  <c r="U112" i="28"/>
  <c r="U143" i="28" s="1"/>
  <c r="U43" i="52" s="1"/>
  <c r="W107" i="53" s="1"/>
  <c r="W112" i="53" s="1"/>
  <c r="Z111" i="28"/>
  <c r="X111" i="28"/>
  <c r="W111" i="28"/>
  <c r="W142" i="28" s="1"/>
  <c r="W45" i="52" s="1"/>
  <c r="Y99" i="53" s="1"/>
  <c r="V111" i="28"/>
  <c r="Z109" i="28"/>
  <c r="Y109" i="28"/>
  <c r="X109" i="28"/>
  <c r="W109" i="28"/>
  <c r="V109" i="28"/>
  <c r="U109" i="28"/>
  <c r="Z108" i="28"/>
  <c r="Y108" i="28"/>
  <c r="X108" i="28"/>
  <c r="W108" i="28"/>
  <c r="V108" i="28"/>
  <c r="U108" i="28"/>
  <c r="Z107" i="28"/>
  <c r="Y107" i="28"/>
  <c r="X107" i="28"/>
  <c r="W107" i="28"/>
  <c r="V107" i="28"/>
  <c r="U107" i="28"/>
  <c r="Z106" i="28"/>
  <c r="Y106" i="28"/>
  <c r="X106" i="28"/>
  <c r="W106" i="28"/>
  <c r="V106" i="28"/>
  <c r="U106" i="28"/>
  <c r="Z105" i="28"/>
  <c r="Y105" i="28"/>
  <c r="X105" i="28"/>
  <c r="X167" i="28" s="1"/>
  <c r="W105" i="28"/>
  <c r="V105" i="28"/>
  <c r="U105" i="28"/>
  <c r="Z104" i="28"/>
  <c r="Y104" i="28"/>
  <c r="X104" i="28"/>
  <c r="W104" i="28"/>
  <c r="V104" i="28"/>
  <c r="U104" i="28"/>
  <c r="Z103" i="28"/>
  <c r="Y103" i="28"/>
  <c r="X103" i="28"/>
  <c r="W103" i="28"/>
  <c r="V103" i="28"/>
  <c r="V165" i="28" s="1"/>
  <c r="U103" i="28"/>
  <c r="Z102" i="28"/>
  <c r="Y102" i="28"/>
  <c r="X102" i="28"/>
  <c r="W102" i="28"/>
  <c r="V102" i="28"/>
  <c r="U102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S127" i="28"/>
  <c r="R127" i="28"/>
  <c r="Q127" i="28"/>
  <c r="P127" i="28"/>
  <c r="O127" i="28"/>
  <c r="N127" i="28"/>
  <c r="M127" i="28"/>
  <c r="M189" i="28" s="1"/>
  <c r="L127" i="28"/>
  <c r="K127" i="28"/>
  <c r="J127" i="28"/>
  <c r="J189" i="28" s="1"/>
  <c r="I127" i="28"/>
  <c r="H127" i="28"/>
  <c r="H189" i="28" s="1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S125" i="28"/>
  <c r="R125" i="28"/>
  <c r="Q125" i="28"/>
  <c r="P125" i="28"/>
  <c r="O125" i="28"/>
  <c r="N125" i="28"/>
  <c r="M125" i="28"/>
  <c r="M187" i="28" s="1"/>
  <c r="L125" i="28"/>
  <c r="K125" i="28"/>
  <c r="J125" i="28"/>
  <c r="J187" i="28" s="1"/>
  <c r="I125" i="28"/>
  <c r="H125" i="28"/>
  <c r="S124" i="28"/>
  <c r="R124" i="28"/>
  <c r="Q124" i="28"/>
  <c r="P124" i="28"/>
  <c r="O124" i="28"/>
  <c r="N124" i="28"/>
  <c r="M124" i="28"/>
  <c r="L124" i="28"/>
  <c r="K124" i="28"/>
  <c r="J124" i="28"/>
  <c r="I124" i="28"/>
  <c r="H124" i="28"/>
  <c r="S123" i="28"/>
  <c r="R123" i="28"/>
  <c r="Q123" i="28"/>
  <c r="P123" i="28"/>
  <c r="O123" i="28"/>
  <c r="O185" i="28" s="1"/>
  <c r="N123" i="28"/>
  <c r="M123" i="28"/>
  <c r="M185" i="28" s="1"/>
  <c r="L123" i="28"/>
  <c r="K123" i="28"/>
  <c r="J123" i="28"/>
  <c r="J185" i="28" s="1"/>
  <c r="I123" i="28"/>
  <c r="H123" i="28"/>
  <c r="H185" i="28" s="1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S121" i="28"/>
  <c r="R121" i="28"/>
  <c r="Q121" i="28"/>
  <c r="P121" i="28"/>
  <c r="O121" i="28"/>
  <c r="N121" i="28"/>
  <c r="M121" i="28"/>
  <c r="M183" i="28" s="1"/>
  <c r="L121" i="28"/>
  <c r="K121" i="28"/>
  <c r="J121" i="28"/>
  <c r="J183" i="28" s="1"/>
  <c r="I121" i="28"/>
  <c r="H121" i="28"/>
  <c r="H183" i="28" s="1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N119" i="28"/>
  <c r="K119" i="28"/>
  <c r="J119" i="28"/>
  <c r="I119" i="28"/>
  <c r="S118" i="28"/>
  <c r="R118" i="28"/>
  <c r="R149" i="28" s="1"/>
  <c r="Q118" i="28"/>
  <c r="Q149" i="28" s="1"/>
  <c r="P118" i="28"/>
  <c r="P149" i="28" s="1"/>
  <c r="O118" i="28"/>
  <c r="O149" i="28" s="1"/>
  <c r="N118" i="28"/>
  <c r="N149" i="28" s="1"/>
  <c r="M118" i="28"/>
  <c r="M149" i="28" s="1"/>
  <c r="L118" i="28"/>
  <c r="K118" i="28"/>
  <c r="J118" i="28"/>
  <c r="I118" i="28"/>
  <c r="N117" i="28"/>
  <c r="K117" i="28"/>
  <c r="J117" i="28"/>
  <c r="I117" i="28"/>
  <c r="I148" i="28" s="1"/>
  <c r="S116" i="28"/>
  <c r="R116" i="28"/>
  <c r="R147" i="28" s="1"/>
  <c r="Q116" i="28"/>
  <c r="P116" i="28"/>
  <c r="P147" i="28" s="1"/>
  <c r="O116" i="28"/>
  <c r="O147" i="28" s="1"/>
  <c r="O44" i="52" s="1"/>
  <c r="N116" i="28"/>
  <c r="N147" i="28" s="1"/>
  <c r="N44" i="52" s="1"/>
  <c r="M116" i="28"/>
  <c r="M147" i="28" s="1"/>
  <c r="M44" i="52" s="1"/>
  <c r="L116" i="28"/>
  <c r="L147" i="28" s="1"/>
  <c r="L44" i="52" s="1"/>
  <c r="K116" i="28"/>
  <c r="I116" i="28"/>
  <c r="N115" i="28"/>
  <c r="K115" i="28"/>
  <c r="J115" i="28"/>
  <c r="I115" i="28"/>
  <c r="S114" i="28"/>
  <c r="S145" i="28" s="1"/>
  <c r="S41" i="52" s="1"/>
  <c r="R114" i="28"/>
  <c r="Q114" i="28"/>
  <c r="P114" i="28"/>
  <c r="O114" i="28"/>
  <c r="N114" i="28"/>
  <c r="N145" i="28" s="1"/>
  <c r="N41" i="52" s="1"/>
  <c r="M114" i="28"/>
  <c r="L114" i="28"/>
  <c r="L145" i="28" s="1"/>
  <c r="L41" i="52" s="1"/>
  <c r="K114" i="28"/>
  <c r="J114" i="28"/>
  <c r="I114" i="28"/>
  <c r="H114" i="28"/>
  <c r="H145" i="28" s="1"/>
  <c r="S112" i="28"/>
  <c r="R112" i="28"/>
  <c r="R143" i="28" s="1"/>
  <c r="R43" i="52" s="1"/>
  <c r="T107" i="53" s="1"/>
  <c r="T112" i="53" s="1"/>
  <c r="Q112" i="28"/>
  <c r="Q143" i="28" s="1"/>
  <c r="P112" i="28"/>
  <c r="P143" i="28" s="1"/>
  <c r="P43" i="52" s="1"/>
  <c r="N112" i="28"/>
  <c r="K112" i="28"/>
  <c r="J112" i="28"/>
  <c r="J143" i="28" s="1"/>
  <c r="I112" i="28"/>
  <c r="S111" i="28"/>
  <c r="P111" i="28"/>
  <c r="O111" i="28"/>
  <c r="N111" i="28"/>
  <c r="M111" i="28"/>
  <c r="M142" i="28" s="1"/>
  <c r="M45" i="52" s="1"/>
  <c r="O99" i="53" s="1"/>
  <c r="L111" i="28"/>
  <c r="L142" i="28"/>
  <c r="L45" i="52" s="1"/>
  <c r="K111" i="28"/>
  <c r="K142" i="28"/>
  <c r="J111" i="28"/>
  <c r="I111" i="28"/>
  <c r="H111" i="28"/>
  <c r="H142" i="28" s="1"/>
  <c r="H45" i="52" s="1"/>
  <c r="K110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H169" i="28" s="1"/>
  <c r="S106" i="28"/>
  <c r="S168" i="28" s="1"/>
  <c r="R106" i="28"/>
  <c r="Q106" i="28"/>
  <c r="P106" i="28"/>
  <c r="O106" i="28"/>
  <c r="N106" i="28"/>
  <c r="M106" i="28"/>
  <c r="L106" i="28"/>
  <c r="K106" i="28"/>
  <c r="J106" i="28"/>
  <c r="I106" i="28"/>
  <c r="H106" i="28"/>
  <c r="S105" i="28"/>
  <c r="R105" i="28"/>
  <c r="Q105" i="28"/>
  <c r="P105" i="28"/>
  <c r="O105" i="28"/>
  <c r="N105" i="28"/>
  <c r="N167" i="28" s="1"/>
  <c r="M105" i="28"/>
  <c r="L105" i="28"/>
  <c r="K105" i="28"/>
  <c r="J105" i="28"/>
  <c r="I105" i="28"/>
  <c r="H105" i="28"/>
  <c r="H167" i="28" s="1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S103" i="28"/>
  <c r="R103" i="28"/>
  <c r="Q103" i="28"/>
  <c r="P103" i="28"/>
  <c r="O103" i="28"/>
  <c r="N103" i="28"/>
  <c r="N165" i="28" s="1"/>
  <c r="M103" i="28"/>
  <c r="L103" i="28"/>
  <c r="K103" i="28"/>
  <c r="J103" i="28"/>
  <c r="I103" i="28"/>
  <c r="H103" i="28"/>
  <c r="H165" i="28" s="1"/>
  <c r="S102" i="28"/>
  <c r="R102" i="28"/>
  <c r="Q102" i="28"/>
  <c r="P102" i="28"/>
  <c r="O102" i="28"/>
  <c r="N102" i="28"/>
  <c r="M102" i="28"/>
  <c r="L102" i="28"/>
  <c r="K102" i="28"/>
  <c r="J102" i="28"/>
  <c r="I102" i="28"/>
  <c r="H102" i="28"/>
  <c r="F128" i="28"/>
  <c r="E128" i="28"/>
  <c r="D128" i="28"/>
  <c r="F127" i="28"/>
  <c r="E127" i="28"/>
  <c r="D127" i="28"/>
  <c r="F126" i="28"/>
  <c r="E126" i="28"/>
  <c r="D126" i="28"/>
  <c r="F125" i="28"/>
  <c r="E125" i="28"/>
  <c r="D125" i="28"/>
  <c r="D187" i="28" s="1"/>
  <c r="F124" i="28"/>
  <c r="F186" i="28" s="1"/>
  <c r="E124" i="28"/>
  <c r="D124" i="28"/>
  <c r="F123" i="28"/>
  <c r="E123" i="28"/>
  <c r="D123" i="28"/>
  <c r="F122" i="28"/>
  <c r="E122" i="28"/>
  <c r="D122" i="28"/>
  <c r="F121" i="28"/>
  <c r="E121" i="28"/>
  <c r="D121" i="28"/>
  <c r="F120" i="28"/>
  <c r="E120" i="28"/>
  <c r="D120" i="28"/>
  <c r="F119" i="28"/>
  <c r="E119" i="28"/>
  <c r="D119" i="28"/>
  <c r="D150" i="28" s="1"/>
  <c r="D46" i="52" s="1"/>
  <c r="F118" i="28"/>
  <c r="D116" i="28"/>
  <c r="D147" i="28" s="1"/>
  <c r="D44" i="52" s="1"/>
  <c r="D115" i="28"/>
  <c r="F114" i="28"/>
  <c r="E114" i="28"/>
  <c r="E145" i="28" s="1"/>
  <c r="E41" i="52" s="1"/>
  <c r="D114" i="28"/>
  <c r="F112" i="28"/>
  <c r="E112" i="28"/>
  <c r="D112" i="28"/>
  <c r="F111" i="28"/>
  <c r="E111" i="28"/>
  <c r="F109" i="28"/>
  <c r="E109" i="28"/>
  <c r="D109" i="28"/>
  <c r="F108" i="28"/>
  <c r="E108" i="28"/>
  <c r="D108" i="28"/>
  <c r="F107" i="28"/>
  <c r="E107" i="28"/>
  <c r="D107" i="28"/>
  <c r="F106" i="28"/>
  <c r="F168" i="28" s="1"/>
  <c r="E106" i="28"/>
  <c r="D106" i="28"/>
  <c r="F105" i="28"/>
  <c r="E105" i="28"/>
  <c r="D105" i="28"/>
  <c r="D167" i="28" s="1"/>
  <c r="F104" i="28"/>
  <c r="F166" i="28" s="1"/>
  <c r="E104" i="28"/>
  <c r="E166" i="28" s="1"/>
  <c r="D104" i="28"/>
  <c r="D166" i="28" s="1"/>
  <c r="F103" i="28"/>
  <c r="E103" i="28"/>
  <c r="D103" i="28"/>
  <c r="F102" i="28"/>
  <c r="E102" i="28"/>
  <c r="D102" i="28"/>
  <c r="AH96" i="28"/>
  <c r="AG96" i="28"/>
  <c r="AF96" i="28"/>
  <c r="AE96" i="28"/>
  <c r="AD96" i="28"/>
  <c r="AC96" i="28"/>
  <c r="AB96" i="28"/>
  <c r="AH95" i="28"/>
  <c r="AG95" i="28"/>
  <c r="AF95" i="28"/>
  <c r="AE95" i="28"/>
  <c r="AD95" i="28"/>
  <c r="AC95" i="28"/>
  <c r="AB95" i="28"/>
  <c r="AH94" i="28"/>
  <c r="AG94" i="28"/>
  <c r="AF94" i="28"/>
  <c r="AE94" i="28"/>
  <c r="AD94" i="28"/>
  <c r="AC94" i="28"/>
  <c r="AB94" i="28"/>
  <c r="AH93" i="28"/>
  <c r="AG93" i="28"/>
  <c r="AF93" i="28"/>
  <c r="AE93" i="28"/>
  <c r="AD93" i="28"/>
  <c r="AC93" i="28"/>
  <c r="AB93" i="28"/>
  <c r="AH92" i="28"/>
  <c r="AG92" i="28"/>
  <c r="AF92" i="28"/>
  <c r="AE92" i="28"/>
  <c r="AD92" i="28"/>
  <c r="AC92" i="28"/>
  <c r="AB92" i="28"/>
  <c r="AH91" i="28"/>
  <c r="AG91" i="28"/>
  <c r="AF91" i="28"/>
  <c r="AE91" i="28"/>
  <c r="AD91" i="28"/>
  <c r="AC91" i="28"/>
  <c r="AB91" i="28"/>
  <c r="AH90" i="28"/>
  <c r="AG90" i="28"/>
  <c r="AF90" i="28"/>
  <c r="AE90" i="28"/>
  <c r="AD90" i="28"/>
  <c r="AC90" i="28"/>
  <c r="AB90" i="28"/>
  <c r="AH89" i="28"/>
  <c r="AG89" i="28"/>
  <c r="AF89" i="28"/>
  <c r="AE89" i="28"/>
  <c r="AD89" i="28"/>
  <c r="AC89" i="28"/>
  <c r="AB89" i="28"/>
  <c r="AH88" i="28"/>
  <c r="AG88" i="28"/>
  <c r="AF88" i="28"/>
  <c r="AE88" i="28"/>
  <c r="AD88" i="28"/>
  <c r="AC88" i="28"/>
  <c r="AB88" i="28"/>
  <c r="AH87" i="28"/>
  <c r="AG87" i="28"/>
  <c r="AF87" i="28"/>
  <c r="AE87" i="28"/>
  <c r="AD87" i="28"/>
  <c r="AC87" i="28"/>
  <c r="AB87" i="28"/>
  <c r="AH86" i="28"/>
  <c r="AG86" i="28"/>
  <c r="AF86" i="28"/>
  <c r="AE86" i="28"/>
  <c r="AD86" i="28"/>
  <c r="AC86" i="28"/>
  <c r="AH85" i="28"/>
  <c r="AG85" i="28"/>
  <c r="AG149" i="28" s="1"/>
  <c r="AF85" i="28"/>
  <c r="AE85" i="28"/>
  <c r="AE149" i="28" s="1"/>
  <c r="AG84" i="28"/>
  <c r="AG148" i="28" s="1"/>
  <c r="AE148" i="28"/>
  <c r="AD84" i="28"/>
  <c r="AC84" i="28"/>
  <c r="AB84" i="28"/>
  <c r="AB148" i="28" s="1"/>
  <c r="AG83" i="28"/>
  <c r="AF83" i="28"/>
  <c r="AE83" i="28"/>
  <c r="AD83" i="28"/>
  <c r="AC83" i="28"/>
  <c r="AB83" i="28"/>
  <c r="AH82" i="28"/>
  <c r="AG82" i="28"/>
  <c r="AF82" i="28"/>
  <c r="AE82" i="28"/>
  <c r="AD82" i="28"/>
  <c r="AD146" i="28" s="1"/>
  <c r="AC82" i="28"/>
  <c r="AB82" i="28"/>
  <c r="AH81" i="28"/>
  <c r="AG81" i="28"/>
  <c r="AF81" i="28"/>
  <c r="AD81" i="28"/>
  <c r="AC81" i="28"/>
  <c r="AB81" i="28"/>
  <c r="AB145" i="28" s="1"/>
  <c r="AB41" i="52" s="1"/>
  <c r="AH79" i="28"/>
  <c r="AG79" i="28"/>
  <c r="AF79" i="28"/>
  <c r="AD79" i="28"/>
  <c r="AD143" i="28" s="1"/>
  <c r="AD43" i="52" s="1"/>
  <c r="AF107" i="53" s="1"/>
  <c r="AF112" i="53" s="1"/>
  <c r="AC79" i="28"/>
  <c r="AH78" i="28"/>
  <c r="AH142" i="28" s="1"/>
  <c r="AH45" i="52" s="1"/>
  <c r="AJ99" i="53" s="1"/>
  <c r="AG78" i="28"/>
  <c r="AF78" i="28"/>
  <c r="AF142" i="28" s="1"/>
  <c r="AF45" i="52" s="1"/>
  <c r="AE78" i="28"/>
  <c r="AE142" i="28" s="1"/>
  <c r="AH76" i="28"/>
  <c r="AG76" i="28"/>
  <c r="AF76" i="28"/>
  <c r="AE76" i="28"/>
  <c r="AD76" i="28"/>
  <c r="AC76" i="28"/>
  <c r="AB76" i="28"/>
  <c r="AH75" i="28"/>
  <c r="AG75" i="28"/>
  <c r="AF75" i="28"/>
  <c r="AE75" i="28"/>
  <c r="AD75" i="28"/>
  <c r="AC75" i="28"/>
  <c r="AB75" i="28"/>
  <c r="AH74" i="28"/>
  <c r="AG74" i="28"/>
  <c r="AF74" i="28"/>
  <c r="AE74" i="28"/>
  <c r="AD74" i="28"/>
  <c r="AC74" i="28"/>
  <c r="AB74" i="28"/>
  <c r="AH73" i="28"/>
  <c r="AG73" i="28"/>
  <c r="AF73" i="28"/>
  <c r="AE73" i="28"/>
  <c r="AD73" i="28"/>
  <c r="AC73" i="28"/>
  <c r="AB73" i="28"/>
  <c r="AH72" i="28"/>
  <c r="AG72" i="28"/>
  <c r="AF72" i="28"/>
  <c r="AE72" i="28"/>
  <c r="AD72" i="28"/>
  <c r="AC72" i="28"/>
  <c r="AB72" i="28"/>
  <c r="AH71" i="28"/>
  <c r="AG71" i="28"/>
  <c r="AF71" i="28"/>
  <c r="AE71" i="28"/>
  <c r="AD71" i="28"/>
  <c r="AC71" i="28"/>
  <c r="AB71" i="28"/>
  <c r="AH70" i="28"/>
  <c r="AG70" i="28"/>
  <c r="AF70" i="28"/>
  <c r="AE70" i="28"/>
  <c r="AD70" i="28"/>
  <c r="AC70" i="28"/>
  <c r="AB70" i="28"/>
  <c r="AH69" i="28"/>
  <c r="AG69" i="28"/>
  <c r="AF69" i="28"/>
  <c r="AE69" i="28"/>
  <c r="AD69" i="28"/>
  <c r="AC69" i="28"/>
  <c r="AB69" i="28"/>
  <c r="Z96" i="28"/>
  <c r="Y96" i="28"/>
  <c r="X96" i="28"/>
  <c r="W96" i="28"/>
  <c r="V96" i="28"/>
  <c r="U96" i="28"/>
  <c r="Z95" i="28"/>
  <c r="Y95" i="28"/>
  <c r="X95" i="28"/>
  <c r="W95" i="28"/>
  <c r="V95" i="28"/>
  <c r="U95" i="28"/>
  <c r="Z94" i="28"/>
  <c r="Y94" i="28"/>
  <c r="X94" i="28"/>
  <c r="W94" i="28"/>
  <c r="V94" i="28"/>
  <c r="U94" i="28"/>
  <c r="Z93" i="28"/>
  <c r="Y93" i="28"/>
  <c r="X93" i="28"/>
  <c r="W93" i="28"/>
  <c r="V93" i="28"/>
  <c r="U93" i="28"/>
  <c r="Z92" i="28"/>
  <c r="Y92" i="28"/>
  <c r="X92" i="28"/>
  <c r="W92" i="28"/>
  <c r="V92" i="28"/>
  <c r="U92" i="28"/>
  <c r="Z91" i="28"/>
  <c r="Y91" i="28"/>
  <c r="X91" i="28"/>
  <c r="W91" i="28"/>
  <c r="V91" i="28"/>
  <c r="U91" i="28"/>
  <c r="Z90" i="28"/>
  <c r="Y90" i="28"/>
  <c r="X90" i="28"/>
  <c r="W90" i="28"/>
  <c r="V90" i="28"/>
  <c r="U90" i="28"/>
  <c r="Z89" i="28"/>
  <c r="Y89" i="28"/>
  <c r="X89" i="28"/>
  <c r="W89" i="28"/>
  <c r="V89" i="28"/>
  <c r="U89" i="28"/>
  <c r="Z88" i="28"/>
  <c r="Y88" i="28"/>
  <c r="X88" i="28"/>
  <c r="W88" i="28"/>
  <c r="V88" i="28"/>
  <c r="U88" i="28"/>
  <c r="Z87" i="28"/>
  <c r="Y87" i="28"/>
  <c r="X87" i="28"/>
  <c r="W87" i="28"/>
  <c r="V87" i="28"/>
  <c r="U87" i="28"/>
  <c r="Z86" i="28"/>
  <c r="Y86" i="28"/>
  <c r="X86" i="28"/>
  <c r="W86" i="28"/>
  <c r="V86" i="28"/>
  <c r="U86" i="28"/>
  <c r="U150" i="28" s="1"/>
  <c r="Z85" i="28"/>
  <c r="Y85" i="28"/>
  <c r="X85" i="28"/>
  <c r="X149" i="28" s="1"/>
  <c r="W85" i="28"/>
  <c r="V85" i="28"/>
  <c r="U85" i="28"/>
  <c r="Z84" i="28"/>
  <c r="Y84" i="28"/>
  <c r="Z83" i="28"/>
  <c r="Y83" i="28"/>
  <c r="X83" i="28"/>
  <c r="W83" i="28"/>
  <c r="V83" i="28"/>
  <c r="U83" i="28"/>
  <c r="U147" i="28" s="1"/>
  <c r="U44" i="52" s="1"/>
  <c r="Z82" i="28"/>
  <c r="Y82" i="28"/>
  <c r="X82" i="28"/>
  <c r="X146" i="28" s="1"/>
  <c r="W82" i="28"/>
  <c r="V82" i="28"/>
  <c r="U82" i="28"/>
  <c r="Z81" i="28"/>
  <c r="X81" i="28"/>
  <c r="W81" i="28"/>
  <c r="V81" i="28"/>
  <c r="U81" i="28"/>
  <c r="Z79" i="28"/>
  <c r="X79" i="28"/>
  <c r="W79" i="28"/>
  <c r="V79" i="28"/>
  <c r="U79" i="28"/>
  <c r="Y78" i="28"/>
  <c r="X78" i="28"/>
  <c r="X142" i="28" s="1"/>
  <c r="X45" i="52" s="1"/>
  <c r="Z99" i="53" s="1"/>
  <c r="W78" i="28"/>
  <c r="V78" i="28"/>
  <c r="U78" i="28"/>
  <c r="Z76" i="28"/>
  <c r="Y76" i="28"/>
  <c r="X76" i="28"/>
  <c r="W76" i="28"/>
  <c r="V76" i="28"/>
  <c r="U76" i="28"/>
  <c r="Z75" i="28"/>
  <c r="Y75" i="28"/>
  <c r="X75" i="28"/>
  <c r="W75" i="28"/>
  <c r="V75" i="28"/>
  <c r="U75" i="28"/>
  <c r="Z74" i="28"/>
  <c r="Y74" i="28"/>
  <c r="X74" i="28"/>
  <c r="W74" i="28"/>
  <c r="V74" i="28"/>
  <c r="U74" i="28"/>
  <c r="Z73" i="28"/>
  <c r="Y73" i="28"/>
  <c r="X73" i="28"/>
  <c r="W73" i="28"/>
  <c r="V73" i="28"/>
  <c r="U73" i="28"/>
  <c r="Z72" i="28"/>
  <c r="Y72" i="28"/>
  <c r="X72" i="28"/>
  <c r="W72" i="28"/>
  <c r="V72" i="28"/>
  <c r="U72" i="28"/>
  <c r="Z71" i="28"/>
  <c r="Y71" i="28"/>
  <c r="X71" i="28"/>
  <c r="W71" i="28"/>
  <c r="V71" i="28"/>
  <c r="U71" i="28"/>
  <c r="Z70" i="28"/>
  <c r="Y70" i="28"/>
  <c r="X70" i="28"/>
  <c r="W70" i="28"/>
  <c r="V70" i="28"/>
  <c r="U70" i="28"/>
  <c r="Z69" i="28"/>
  <c r="Y69" i="28"/>
  <c r="X69" i="28"/>
  <c r="W69" i="28"/>
  <c r="V69" i="28"/>
  <c r="U69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S92" i="28"/>
  <c r="R92" i="28"/>
  <c r="Q92" i="28"/>
  <c r="P92" i="28"/>
  <c r="O92" i="28"/>
  <c r="N92" i="28"/>
  <c r="M92" i="28"/>
  <c r="L92" i="28"/>
  <c r="K92" i="28"/>
  <c r="J92" i="28"/>
  <c r="G92" i="28" s="1"/>
  <c r="I92" i="28"/>
  <c r="H92" i="28"/>
  <c r="S91" i="28"/>
  <c r="R91" i="28"/>
  <c r="Q91" i="28"/>
  <c r="P91" i="28"/>
  <c r="O91" i="28"/>
  <c r="N91" i="28"/>
  <c r="M91" i="28"/>
  <c r="L91" i="28"/>
  <c r="K91" i="28"/>
  <c r="J91" i="28"/>
  <c r="I91" i="28"/>
  <c r="H91" i="28"/>
  <c r="S90" i="28"/>
  <c r="R90" i="28"/>
  <c r="Q90" i="28"/>
  <c r="P90" i="28"/>
  <c r="O90" i="28"/>
  <c r="N90" i="28"/>
  <c r="M90" i="28"/>
  <c r="L90" i="28"/>
  <c r="K90" i="28"/>
  <c r="J90" i="28"/>
  <c r="I90" i="28"/>
  <c r="H90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O86" i="28"/>
  <c r="M86" i="28"/>
  <c r="L86" i="28"/>
  <c r="K86" i="28"/>
  <c r="J86" i="28"/>
  <c r="I86" i="28"/>
  <c r="H86" i="28"/>
  <c r="R85" i="28"/>
  <c r="Q85" i="28"/>
  <c r="P85" i="28"/>
  <c r="O85" i="28"/>
  <c r="N85" i="28"/>
  <c r="AA85" i="28" s="1"/>
  <c r="M85" i="28"/>
  <c r="L85" i="28"/>
  <c r="K85" i="28"/>
  <c r="J85" i="28"/>
  <c r="G93" i="28" s="1"/>
  <c r="I85" i="28"/>
  <c r="H85" i="28"/>
  <c r="S84" i="28"/>
  <c r="M84" i="28"/>
  <c r="K84" i="28"/>
  <c r="J84" i="28"/>
  <c r="I84" i="28"/>
  <c r="H84" i="28"/>
  <c r="S83" i="28"/>
  <c r="R83" i="28"/>
  <c r="Q83" i="28"/>
  <c r="P83" i="28"/>
  <c r="O83" i="28"/>
  <c r="N83" i="28"/>
  <c r="AA83" i="28" s="1"/>
  <c r="AA92" i="28"/>
  <c r="M83" i="28"/>
  <c r="L83" i="28"/>
  <c r="K83" i="28"/>
  <c r="I83" i="28"/>
  <c r="I147" i="28" s="1"/>
  <c r="I44" i="52" s="1"/>
  <c r="H83" i="28"/>
  <c r="S82" i="28"/>
  <c r="R82" i="28"/>
  <c r="Q82" i="28"/>
  <c r="K82" i="28"/>
  <c r="I82" i="28"/>
  <c r="I146" i="28" s="1"/>
  <c r="H82" i="28"/>
  <c r="S81" i="28"/>
  <c r="R81" i="28"/>
  <c r="Q81" i="28"/>
  <c r="AL81" i="28" s="1"/>
  <c r="P81" i="28"/>
  <c r="O81" i="28"/>
  <c r="N81" i="28"/>
  <c r="M81" i="28"/>
  <c r="L81" i="28"/>
  <c r="K81" i="28"/>
  <c r="K145" i="28" s="1"/>
  <c r="J81" i="28"/>
  <c r="I81" i="28"/>
  <c r="I145" i="28" s="1"/>
  <c r="I41" i="52" s="1"/>
  <c r="H81" i="28"/>
  <c r="S79" i="28"/>
  <c r="R79" i="28"/>
  <c r="Q79" i="28"/>
  <c r="P79" i="28"/>
  <c r="O79" i="28"/>
  <c r="N79" i="28"/>
  <c r="M79" i="28"/>
  <c r="L79" i="28"/>
  <c r="K79" i="28"/>
  <c r="K143" i="28" s="1"/>
  <c r="J79" i="28"/>
  <c r="S78" i="28"/>
  <c r="R78" i="28"/>
  <c r="O78" i="28"/>
  <c r="M78" i="28"/>
  <c r="L78" i="28"/>
  <c r="K78" i="28"/>
  <c r="J78" i="28"/>
  <c r="I78" i="28"/>
  <c r="H78" i="28"/>
  <c r="S76" i="28"/>
  <c r="R76" i="28"/>
  <c r="Q76" i="28"/>
  <c r="P76" i="28"/>
  <c r="O76" i="28"/>
  <c r="N76" i="28"/>
  <c r="T71" i="28" s="1"/>
  <c r="M76" i="28"/>
  <c r="L76" i="28"/>
  <c r="K76" i="28"/>
  <c r="J76" i="28"/>
  <c r="I76" i="28"/>
  <c r="H76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S73" i="28"/>
  <c r="R73" i="28"/>
  <c r="Q73" i="28"/>
  <c r="AM73" i="28" s="1"/>
  <c r="P73" i="28"/>
  <c r="AI73" i="28" s="1"/>
  <c r="O73" i="28"/>
  <c r="N73" i="28"/>
  <c r="M73" i="28"/>
  <c r="L73" i="28"/>
  <c r="K73" i="28"/>
  <c r="J73" i="28"/>
  <c r="I73" i="28"/>
  <c r="H73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S71" i="28"/>
  <c r="R71" i="28"/>
  <c r="Q71" i="28"/>
  <c r="P71" i="28"/>
  <c r="AI71" i="28" s="1"/>
  <c r="O71" i="28"/>
  <c r="N71" i="28"/>
  <c r="M71" i="28"/>
  <c r="L71" i="28"/>
  <c r="K71" i="28"/>
  <c r="J71" i="28"/>
  <c r="I71" i="28"/>
  <c r="H71" i="28"/>
  <c r="S70" i="28"/>
  <c r="R70" i="28"/>
  <c r="Q70" i="28"/>
  <c r="P70" i="28"/>
  <c r="O70" i="28"/>
  <c r="N70" i="28"/>
  <c r="M70" i="28"/>
  <c r="L70" i="28"/>
  <c r="K70" i="28"/>
  <c r="J70" i="28"/>
  <c r="G78" i="28" s="1"/>
  <c r="I70" i="28"/>
  <c r="H70" i="28"/>
  <c r="S69" i="28"/>
  <c r="R69" i="28"/>
  <c r="Q69" i="28"/>
  <c r="P69" i="28"/>
  <c r="O69" i="28"/>
  <c r="N69" i="28"/>
  <c r="M69" i="28"/>
  <c r="L69" i="28"/>
  <c r="K69" i="28"/>
  <c r="J69" i="28"/>
  <c r="I69" i="28"/>
  <c r="H69" i="28"/>
  <c r="F96" i="28"/>
  <c r="E96" i="28"/>
  <c r="D96" i="28"/>
  <c r="F95" i="28"/>
  <c r="E95" i="28"/>
  <c r="D95" i="28"/>
  <c r="F94" i="28"/>
  <c r="E94" i="28"/>
  <c r="D94" i="28"/>
  <c r="F93" i="28"/>
  <c r="E93" i="28"/>
  <c r="D93" i="28"/>
  <c r="F92" i="28"/>
  <c r="E92" i="28"/>
  <c r="D92" i="28"/>
  <c r="F91" i="28"/>
  <c r="E91" i="28"/>
  <c r="D91" i="28"/>
  <c r="F90" i="28"/>
  <c r="E90" i="28"/>
  <c r="D90" i="28"/>
  <c r="F89" i="28"/>
  <c r="E89" i="28"/>
  <c r="D89" i="28"/>
  <c r="F88" i="28"/>
  <c r="E88" i="28"/>
  <c r="D88" i="28"/>
  <c r="F87" i="28"/>
  <c r="E87" i="28"/>
  <c r="D87" i="28"/>
  <c r="F86" i="28"/>
  <c r="E86" i="28"/>
  <c r="D86" i="28"/>
  <c r="F85" i="28"/>
  <c r="E85" i="28"/>
  <c r="D85" i="28"/>
  <c r="F84" i="28"/>
  <c r="E84" i="28"/>
  <c r="D84" i="28"/>
  <c r="F83" i="28"/>
  <c r="E83" i="28"/>
  <c r="D83" i="28"/>
  <c r="E82" i="28"/>
  <c r="E81" i="28"/>
  <c r="F79" i="28"/>
  <c r="E79" i="28"/>
  <c r="D79" i="28"/>
  <c r="D143" i="28" s="1"/>
  <c r="D43" i="52" s="1"/>
  <c r="F107" i="53" s="1"/>
  <c r="F112" i="53" s="1"/>
  <c r="F78" i="28"/>
  <c r="F142" i="28" s="1"/>
  <c r="F45" i="52" s="1"/>
  <c r="H99" i="53" s="1"/>
  <c r="E78" i="28"/>
  <c r="E142" i="28" s="1"/>
  <c r="D78" i="28"/>
  <c r="F76" i="28"/>
  <c r="E76" i="28"/>
  <c r="D76" i="28"/>
  <c r="F75" i="28"/>
  <c r="E75" i="28"/>
  <c r="D75" i="28"/>
  <c r="F74" i="28"/>
  <c r="E74" i="28"/>
  <c r="D74" i="28"/>
  <c r="F73" i="28"/>
  <c r="E73" i="28"/>
  <c r="D73" i="28"/>
  <c r="F72" i="28"/>
  <c r="E72" i="28"/>
  <c r="D72" i="28"/>
  <c r="F71" i="28"/>
  <c r="E71" i="28"/>
  <c r="D71" i="28"/>
  <c r="F70" i="28"/>
  <c r="E70" i="28"/>
  <c r="D70" i="28"/>
  <c r="F69" i="28"/>
  <c r="E69" i="28"/>
  <c r="D69" i="28"/>
  <c r="G84" i="28"/>
  <c r="T84" i="28"/>
  <c r="T117" i="28" s="1"/>
  <c r="AA84" i="28"/>
  <c r="AI84" i="28"/>
  <c r="AJ84" i="28"/>
  <c r="AK84" i="28"/>
  <c r="AL84" i="28"/>
  <c r="AM84" i="28"/>
  <c r="AN84" i="28"/>
  <c r="G94" i="28"/>
  <c r="T94" i="28"/>
  <c r="AA94" i="28"/>
  <c r="AI94" i="28"/>
  <c r="AJ94" i="28"/>
  <c r="AK94" i="28"/>
  <c r="AL94" i="28"/>
  <c r="AM94" i="28"/>
  <c r="AN94" i="28"/>
  <c r="AD42" i="52"/>
  <c r="AH46" i="52"/>
  <c r="S142" i="28"/>
  <c r="S45" i="52"/>
  <c r="U99" i="53"/>
  <c r="O146" i="28"/>
  <c r="O42" i="52" s="1"/>
  <c r="W150" i="28"/>
  <c r="W46" i="52"/>
  <c r="W146" i="28"/>
  <c r="W42" i="52"/>
  <c r="Y106" i="53" s="1"/>
  <c r="AC145" i="28"/>
  <c r="AC41" i="52" s="1"/>
  <c r="I150" i="28"/>
  <c r="I46" i="52" s="1"/>
  <c r="X42" i="52"/>
  <c r="AD145" i="28"/>
  <c r="AD41" i="52" s="1"/>
  <c r="K45" i="52"/>
  <c r="T142" i="28"/>
  <c r="AA142" i="28"/>
  <c r="T73" i="28"/>
  <c r="T95" i="28"/>
  <c r="AL92" i="28"/>
  <c r="AH107" i="11"/>
  <c r="K148" i="28"/>
  <c r="K150" i="28"/>
  <c r="AF145" i="28"/>
  <c r="AF41" i="52" s="1"/>
  <c r="AG42" i="52"/>
  <c r="AI126" i="53"/>
  <c r="W145" i="28"/>
  <c r="W41" i="52" s="1"/>
  <c r="E150" i="28"/>
  <c r="E46" i="52" s="1"/>
  <c r="O142" i="28"/>
  <c r="O45" i="52" s="1"/>
  <c r="Q99" i="53" s="1"/>
  <c r="S143" i="28"/>
  <c r="S43" i="52"/>
  <c r="O145" i="28"/>
  <c r="O41" i="52" s="1"/>
  <c r="H149" i="28"/>
  <c r="V143" i="28"/>
  <c r="V43" i="52"/>
  <c r="X107" i="53" s="1"/>
  <c r="X112" i="53" s="1"/>
  <c r="X145" i="28"/>
  <c r="X41" i="52"/>
  <c r="Z146" i="28"/>
  <c r="Z42" i="52"/>
  <c r="AB96" i="53" s="1"/>
  <c r="Z150" i="28"/>
  <c r="Z46" i="52" s="1"/>
  <c r="T93" i="28"/>
  <c r="G96" i="28"/>
  <c r="M99" i="53"/>
  <c r="AF96" i="53"/>
  <c r="AF126" i="53"/>
  <c r="AF106" i="53"/>
  <c r="AJ110" i="53"/>
  <c r="AJ100" i="53"/>
  <c r="N99" i="53"/>
  <c r="F149" i="28"/>
  <c r="M145" i="28"/>
  <c r="M41" i="52" s="1"/>
  <c r="I42" i="52"/>
  <c r="J148" i="28"/>
  <c r="G148" i="28"/>
  <c r="J150" i="28"/>
  <c r="V145" i="28"/>
  <c r="V41" i="52"/>
  <c r="Y146" i="28"/>
  <c r="Y42" i="52" s="1"/>
  <c r="W149" i="28"/>
  <c r="Y150" i="28"/>
  <c r="Y46" i="52" s="1"/>
  <c r="AF146" i="28"/>
  <c r="AF42" i="52" s="1"/>
  <c r="AG145" i="28"/>
  <c r="AG41" i="52"/>
  <c r="AI83" i="28"/>
  <c r="F150" i="28"/>
  <c r="F46" i="52" s="1"/>
  <c r="H41" i="52"/>
  <c r="P145" i="28"/>
  <c r="H147" i="28"/>
  <c r="H44" i="52"/>
  <c r="Q147" i="28"/>
  <c r="AJ147" i="28" s="1"/>
  <c r="I149" i="28"/>
  <c r="AH145" i="28"/>
  <c r="AH41" i="52" s="1"/>
  <c r="AC148" i="28"/>
  <c r="I142" i="28"/>
  <c r="I45" i="52" s="1"/>
  <c r="Q145" i="28"/>
  <c r="AJ145" i="28" s="1"/>
  <c r="R44" i="52"/>
  <c r="J149" i="28"/>
  <c r="G149" i="28" s="1"/>
  <c r="V142" i="28"/>
  <c r="V45" i="52"/>
  <c r="W147" i="28"/>
  <c r="W44" i="52" s="1"/>
  <c r="U46" i="52"/>
  <c r="AG142" i="28"/>
  <c r="AG45" i="52"/>
  <c r="AH143" i="28"/>
  <c r="AH43" i="52" s="1"/>
  <c r="AJ107" i="53" s="1"/>
  <c r="AJ112" i="53" s="1"/>
  <c r="AB146" i="28"/>
  <c r="AB42" i="52" s="1"/>
  <c r="AC44" i="52"/>
  <c r="AF150" i="28"/>
  <c r="AF46" i="52"/>
  <c r="AH130" i="53" s="1"/>
  <c r="N107" i="11"/>
  <c r="E45" i="52"/>
  <c r="J142" i="28"/>
  <c r="N143" i="28"/>
  <c r="N43" i="52" s="1"/>
  <c r="J145" i="28"/>
  <c r="R145" i="28"/>
  <c r="R41" i="52" s="1"/>
  <c r="K147" i="28"/>
  <c r="S147" i="28"/>
  <c r="S44" i="52"/>
  <c r="K149" i="28"/>
  <c r="T149" i="28" s="1"/>
  <c r="O150" i="28"/>
  <c r="O46" i="52" s="1"/>
  <c r="X147" i="28"/>
  <c r="X44" i="52" s="1"/>
  <c r="AJ107" i="11"/>
  <c r="AC146" i="28"/>
  <c r="AC42" i="52"/>
  <c r="AD147" i="28"/>
  <c r="AD44" i="52"/>
  <c r="AG150" i="28"/>
  <c r="AG46" i="52"/>
  <c r="AE146" i="28"/>
  <c r="AE42" i="52"/>
  <c r="AE147" i="28"/>
  <c r="AE44" i="52"/>
  <c r="AL96" i="28"/>
  <c r="AJ96" i="28"/>
  <c r="G72" i="28"/>
  <c r="AA96" i="28"/>
  <c r="G85" i="28"/>
  <c r="G86" i="28"/>
  <c r="AJ92" i="28"/>
  <c r="G95" i="28"/>
  <c r="AM96" i="28"/>
  <c r="AA93" i="28"/>
  <c r="AM83" i="28"/>
  <c r="AA73" i="28"/>
  <c r="AI93" i="28"/>
  <c r="AA163" i="35"/>
  <c r="AE163" i="35"/>
  <c r="AJ83" i="28"/>
  <c r="G79" i="28"/>
  <c r="AA89" i="28"/>
  <c r="AN92" i="28"/>
  <c r="AM92" i="28"/>
  <c r="AN90" i="28"/>
  <c r="AA90" i="28"/>
  <c r="G90" i="28"/>
  <c r="AA79" i="28"/>
  <c r="T79" i="28"/>
  <c r="T89" i="28"/>
  <c r="AN96" i="28"/>
  <c r="T96" i="28"/>
  <c r="AI96" i="28"/>
  <c r="T92" i="28"/>
  <c r="AI92" i="28"/>
  <c r="AK83" i="28"/>
  <c r="AK92" i="28"/>
  <c r="AM91" i="28"/>
  <c r="G83" i="28"/>
  <c r="AM71" i="28"/>
  <c r="AL76" i="28"/>
  <c r="AL75" i="28"/>
  <c r="AN71" i="28"/>
  <c r="AM76" i="28"/>
  <c r="AM75" i="28" s="1"/>
  <c r="AJ76" i="28"/>
  <c r="AJ75" i="28"/>
  <c r="AN76" i="28"/>
  <c r="AN75" i="28"/>
  <c r="T90" i="28"/>
  <c r="AA86" i="28"/>
  <c r="AL85" i="28"/>
  <c r="AL73" i="28"/>
  <c r="AJ85" i="28"/>
  <c r="AN85" i="28"/>
  <c r="T83" i="28"/>
  <c r="AJ82" i="28"/>
  <c r="AK73" i="28"/>
  <c r="AI85" i="28"/>
  <c r="AA71" i="28"/>
  <c r="AL90" i="28"/>
  <c r="G89" i="28"/>
  <c r="G74" i="28"/>
  <c r="AN73" i="28"/>
  <c r="AL71" i="28"/>
  <c r="T85" i="28"/>
  <c r="AL83" i="28"/>
  <c r="T81" i="28"/>
  <c r="T76" i="28"/>
  <c r="T75" i="28" s="1"/>
  <c r="AA76" i="28"/>
  <c r="AA75" i="28"/>
  <c r="G76" i="28"/>
  <c r="G75" i="28" s="1"/>
  <c r="AN83" i="28"/>
  <c r="R107" i="53"/>
  <c r="R112" i="53" s="1"/>
  <c r="AL143" i="28"/>
  <c r="AI143" i="28"/>
  <c r="Z110" i="53"/>
  <c r="Z130" i="53"/>
  <c r="Z120" i="53"/>
  <c r="Y96" i="53"/>
  <c r="Y126" i="53"/>
  <c r="Z96" i="53"/>
  <c r="P41" i="52"/>
  <c r="J46" i="52"/>
  <c r="G150" i="28"/>
  <c r="J41" i="52"/>
  <c r="G145" i="28"/>
  <c r="J45" i="52"/>
  <c r="G142" i="28"/>
  <c r="Q44" i="52"/>
  <c r="AN147" i="28"/>
  <c r="AM147" i="28"/>
  <c r="AK147" i="28"/>
  <c r="Q41" i="52"/>
  <c r="AK145" i="28"/>
  <c r="AN145" i="28"/>
  <c r="AM145" i="28"/>
  <c r="P44" i="52"/>
  <c r="AL147" i="28"/>
  <c r="AI147" i="28"/>
  <c r="J43" i="52"/>
  <c r="L107" i="53"/>
  <c r="L112" i="53" s="1"/>
  <c r="G143" i="28"/>
  <c r="AA149" i="28"/>
  <c r="AI96" i="53"/>
  <c r="AI106" i="53"/>
  <c r="U107" i="53"/>
  <c r="U112" i="53" s="1"/>
  <c r="AB120" i="53"/>
  <c r="AG106" i="53"/>
  <c r="W110" i="53"/>
  <c r="W100" i="53"/>
  <c r="W120" i="53"/>
  <c r="W130" i="53"/>
  <c r="AI120" i="53"/>
  <c r="AI130" i="53"/>
  <c r="AI110" i="53"/>
  <c r="AI100" i="53"/>
  <c r="X100" i="53"/>
  <c r="X120" i="53"/>
  <c r="X110" i="53"/>
  <c r="X130" i="53"/>
  <c r="AI107" i="53"/>
  <c r="AI112" i="53"/>
  <c r="AI99" i="53"/>
  <c r="X99" i="53"/>
  <c r="AH99" i="53"/>
  <c r="J99" i="53"/>
  <c r="K99" i="53"/>
  <c r="X96" i="53"/>
  <c r="G99" i="53"/>
  <c r="AH110" i="53"/>
  <c r="P107" i="53"/>
  <c r="P112" i="53"/>
  <c r="K106" i="53"/>
  <c r="K126" i="53"/>
  <c r="K96" i="53"/>
  <c r="L99" i="53"/>
  <c r="AN5" i="34"/>
  <c r="AM5" i="34"/>
  <c r="AL5" i="34"/>
  <c r="AK5" i="34"/>
  <c r="AJ5" i="34"/>
  <c r="AI5" i="34"/>
  <c r="AH5" i="34"/>
  <c r="AG5" i="34"/>
  <c r="AF5" i="34"/>
  <c r="AE5" i="34"/>
  <c r="AD5" i="34"/>
  <c r="AC5" i="34"/>
  <c r="AB5" i="34"/>
  <c r="AA5" i="34"/>
  <c r="Z5" i="34"/>
  <c r="Y5" i="34"/>
  <c r="X5" i="34"/>
  <c r="W5" i="34"/>
  <c r="V5" i="34"/>
  <c r="U5" i="34"/>
  <c r="T5" i="34"/>
  <c r="S5" i="34"/>
  <c r="R5" i="34"/>
  <c r="Q5" i="34"/>
  <c r="P5" i="34"/>
  <c r="O5" i="34"/>
  <c r="N5" i="34"/>
  <c r="M5" i="34"/>
  <c r="L5" i="34"/>
  <c r="K5" i="34"/>
  <c r="J5" i="34"/>
  <c r="I5" i="34"/>
  <c r="H5" i="34"/>
  <c r="G5" i="34"/>
  <c r="F5" i="34"/>
  <c r="E5" i="34"/>
  <c r="D5" i="34"/>
  <c r="AK4" i="34"/>
  <c r="AJ4" i="34"/>
  <c r="AH4" i="34"/>
  <c r="AF4" i="34"/>
  <c r="AD4" i="34"/>
  <c r="AC4" i="34"/>
  <c r="AB4" i="34"/>
  <c r="AA4" i="34"/>
  <c r="X4" i="34"/>
  <c r="V4" i="34"/>
  <c r="T4" i="34"/>
  <c r="S4" i="34"/>
  <c r="N4" i="34"/>
  <c r="J4" i="34"/>
  <c r="I4" i="34"/>
  <c r="F4" i="34"/>
  <c r="D4" i="34"/>
  <c r="H70" i="33"/>
  <c r="I69" i="33"/>
  <c r="H69" i="33"/>
  <c r="I68" i="33"/>
  <c r="H68" i="33"/>
  <c r="I67" i="33"/>
  <c r="H67" i="33"/>
  <c r="I66" i="33"/>
  <c r="D10" i="33" s="1"/>
  <c r="K10" i="33" s="1"/>
  <c r="H66" i="33"/>
  <c r="I65" i="33"/>
  <c r="D7" i="33" s="1"/>
  <c r="K7" i="33" s="1"/>
  <c r="B40" i="33"/>
  <c r="B58" i="33" s="1"/>
  <c r="B39" i="33"/>
  <c r="B57" i="33"/>
  <c r="B38" i="33"/>
  <c r="B56" i="33"/>
  <c r="B37" i="33"/>
  <c r="B55" i="33" s="1"/>
  <c r="B36" i="33"/>
  <c r="B54" i="33"/>
  <c r="B35" i="33"/>
  <c r="B53" i="33" s="1"/>
  <c r="B34" i="33"/>
  <c r="B52" i="33" s="1"/>
  <c r="B33" i="33"/>
  <c r="B51" i="33" s="1"/>
  <c r="B32" i="33"/>
  <c r="B50" i="33" s="1"/>
  <c r="B31" i="33"/>
  <c r="B49" i="33"/>
  <c r="B30" i="33"/>
  <c r="B48" i="33"/>
  <c r="B29" i="33"/>
  <c r="B47" i="33" s="1"/>
  <c r="B28" i="33"/>
  <c r="B46" i="33" s="1"/>
  <c r="B27" i="33"/>
  <c r="B45" i="33"/>
  <c r="B26" i="33"/>
  <c r="B44" i="33" s="1"/>
  <c r="C25" i="33"/>
  <c r="D25" i="33" s="1"/>
  <c r="B25" i="33"/>
  <c r="B43" i="33" s="1"/>
  <c r="C24" i="33"/>
  <c r="D24" i="33" s="1"/>
  <c r="C42" i="33"/>
  <c r="B24" i="33"/>
  <c r="B42" i="33" s="1"/>
  <c r="C23" i="33"/>
  <c r="C41" i="33"/>
  <c r="B23" i="33"/>
  <c r="B41" i="33" s="1"/>
  <c r="E10" i="33"/>
  <c r="E13" i="33"/>
  <c r="C10" i="33"/>
  <c r="C13" i="33"/>
  <c r="C31" i="33" s="1"/>
  <c r="E9" i="33"/>
  <c r="C9" i="33"/>
  <c r="E8" i="33"/>
  <c r="C8" i="33"/>
  <c r="C26" i="33"/>
  <c r="C44" i="33" s="1"/>
  <c r="D44" i="33" s="1"/>
  <c r="AX4" i="33"/>
  <c r="AW4" i="33"/>
  <c r="AV4" i="33"/>
  <c r="AU4" i="33"/>
  <c r="AT4" i="33"/>
  <c r="AS4" i="33"/>
  <c r="AR4" i="33"/>
  <c r="AQ4" i="33"/>
  <c r="AP4" i="33"/>
  <c r="AO4" i="33"/>
  <c r="AN4" i="33"/>
  <c r="AM4" i="33"/>
  <c r="AL4" i="33"/>
  <c r="AK4" i="33"/>
  <c r="AJ4" i="33"/>
  <c r="AI4" i="33"/>
  <c r="AH4" i="33"/>
  <c r="AG4" i="33"/>
  <c r="AF4" i="33"/>
  <c r="AE4" i="33"/>
  <c r="AD4" i="33"/>
  <c r="AC4" i="33"/>
  <c r="AB4" i="33"/>
  <c r="AA4" i="33"/>
  <c r="Z4" i="33"/>
  <c r="Y4" i="33"/>
  <c r="X4" i="33"/>
  <c r="W4" i="33"/>
  <c r="V4" i="33"/>
  <c r="U4" i="33"/>
  <c r="T4" i="33"/>
  <c r="S4" i="33"/>
  <c r="R4" i="33"/>
  <c r="Q4" i="33"/>
  <c r="P4" i="33"/>
  <c r="O4" i="33"/>
  <c r="N4" i="33"/>
  <c r="C205" i="32"/>
  <c r="A205" i="32"/>
  <c r="C204" i="32"/>
  <c r="A204" i="32"/>
  <c r="C203" i="32"/>
  <c r="A203" i="32"/>
  <c r="C202" i="32"/>
  <c r="A202" i="32"/>
  <c r="C201" i="32"/>
  <c r="A201" i="32"/>
  <c r="C200" i="32"/>
  <c r="A200" i="32"/>
  <c r="C199" i="32"/>
  <c r="A199" i="32"/>
  <c r="C198" i="32"/>
  <c r="A198" i="32"/>
  <c r="C197" i="32"/>
  <c r="A197" i="32"/>
  <c r="C196" i="32"/>
  <c r="A196" i="32"/>
  <c r="C195" i="32"/>
  <c r="A195" i="32"/>
  <c r="C194" i="32"/>
  <c r="A194" i="32"/>
  <c r="C193" i="32"/>
  <c r="A193" i="32"/>
  <c r="C192" i="32"/>
  <c r="A192" i="32"/>
  <c r="C191" i="32"/>
  <c r="A191" i="32"/>
  <c r="C190" i="32"/>
  <c r="A190" i="32"/>
  <c r="C189" i="32"/>
  <c r="A189" i="32"/>
  <c r="C188" i="32"/>
  <c r="A188" i="32"/>
  <c r="C187" i="32"/>
  <c r="A187" i="32"/>
  <c r="C186" i="32"/>
  <c r="A186" i="32"/>
  <c r="C185" i="32"/>
  <c r="A185" i="32"/>
  <c r="C184" i="32"/>
  <c r="A184" i="32"/>
  <c r="C183" i="32"/>
  <c r="A183" i="32"/>
  <c r="C182" i="32"/>
  <c r="A182" i="32"/>
  <c r="C181" i="32"/>
  <c r="A181" i="32"/>
  <c r="C180" i="32"/>
  <c r="A180" i="32"/>
  <c r="C179" i="32"/>
  <c r="A179" i="32"/>
  <c r="C178" i="32"/>
  <c r="A178" i="32"/>
  <c r="C177" i="32"/>
  <c r="A177" i="32"/>
  <c r="C176" i="32"/>
  <c r="A176" i="32"/>
  <c r="C175" i="32"/>
  <c r="A175" i="32"/>
  <c r="C174" i="32"/>
  <c r="A174" i="32"/>
  <c r="C173" i="32"/>
  <c r="A173" i="32"/>
  <c r="C172" i="32"/>
  <c r="A172" i="32"/>
  <c r="C171" i="32"/>
  <c r="A171" i="32"/>
  <c r="C170" i="32"/>
  <c r="A170" i="32"/>
  <c r="C169" i="32"/>
  <c r="A169" i="32"/>
  <c r="C168" i="32"/>
  <c r="A168" i="32"/>
  <c r="C167" i="32"/>
  <c r="A167" i="32"/>
  <c r="C166" i="32"/>
  <c r="A166" i="32"/>
  <c r="C165" i="32"/>
  <c r="A165" i="32"/>
  <c r="C164" i="32"/>
  <c r="A164" i="32"/>
  <c r="C163" i="32"/>
  <c r="A163" i="32"/>
  <c r="C162" i="32"/>
  <c r="A162" i="32"/>
  <c r="C161" i="32"/>
  <c r="A161" i="32"/>
  <c r="C160" i="32"/>
  <c r="A160" i="32"/>
  <c r="C159" i="32"/>
  <c r="A159" i="32"/>
  <c r="C158" i="32"/>
  <c r="A158" i="32"/>
  <c r="C157" i="32"/>
  <c r="A157" i="32"/>
  <c r="C156" i="32"/>
  <c r="A156" i="32"/>
  <c r="C155" i="32"/>
  <c r="A155" i="32"/>
  <c r="C154" i="32"/>
  <c r="A154" i="32"/>
  <c r="C153" i="32"/>
  <c r="A153" i="32"/>
  <c r="C152" i="32"/>
  <c r="A152" i="32"/>
  <c r="C151" i="32"/>
  <c r="A151" i="32"/>
  <c r="C150" i="32"/>
  <c r="A150" i="32"/>
  <c r="C149" i="32"/>
  <c r="A149" i="32"/>
  <c r="C148" i="32"/>
  <c r="A148" i="32"/>
  <c r="C147" i="32"/>
  <c r="A147" i="32"/>
  <c r="C146" i="32"/>
  <c r="A146" i="32"/>
  <c r="C145" i="32"/>
  <c r="A145" i="32"/>
  <c r="C144" i="32"/>
  <c r="A144" i="32"/>
  <c r="C143" i="32"/>
  <c r="A143" i="32"/>
  <c r="C142" i="32"/>
  <c r="A142" i="32"/>
  <c r="C141" i="32"/>
  <c r="A141" i="32"/>
  <c r="C140" i="32"/>
  <c r="A140" i="32"/>
  <c r="C139" i="32"/>
  <c r="A139" i="32"/>
  <c r="C138" i="32"/>
  <c r="A138" i="32"/>
  <c r="C137" i="32"/>
  <c r="A137" i="32"/>
  <c r="C136" i="32"/>
  <c r="A136" i="32"/>
  <c r="C135" i="32"/>
  <c r="A135" i="32"/>
  <c r="C134" i="32"/>
  <c r="A134" i="32"/>
  <c r="C133" i="32"/>
  <c r="A133" i="32"/>
  <c r="C132" i="32"/>
  <c r="A132" i="32"/>
  <c r="C131" i="32"/>
  <c r="A131" i="32"/>
  <c r="C130" i="32"/>
  <c r="A130" i="32"/>
  <c r="C129" i="32"/>
  <c r="A129" i="32"/>
  <c r="C128" i="32"/>
  <c r="A128" i="32"/>
  <c r="C127" i="32"/>
  <c r="A127" i="32"/>
  <c r="C126" i="32"/>
  <c r="A126" i="32"/>
  <c r="C125" i="32"/>
  <c r="A125" i="32"/>
  <c r="C124" i="32"/>
  <c r="A124" i="32"/>
  <c r="C123" i="32"/>
  <c r="A123" i="32"/>
  <c r="C122" i="32"/>
  <c r="A122" i="32"/>
  <c r="C121" i="32"/>
  <c r="A121" i="32"/>
  <c r="C120" i="32"/>
  <c r="A120" i="32"/>
  <c r="C119" i="32"/>
  <c r="A119" i="32"/>
  <c r="C118" i="32"/>
  <c r="A118" i="32"/>
  <c r="C117" i="32"/>
  <c r="A117" i="32"/>
  <c r="C116" i="32"/>
  <c r="A116" i="32"/>
  <c r="C115" i="32"/>
  <c r="A115" i="32"/>
  <c r="C114" i="32"/>
  <c r="A114" i="32"/>
  <c r="C113" i="32"/>
  <c r="A113" i="32"/>
  <c r="C112" i="32"/>
  <c r="A112" i="32"/>
  <c r="C111" i="32"/>
  <c r="A111" i="32"/>
  <c r="C110" i="32"/>
  <c r="A110" i="32"/>
  <c r="C109" i="32"/>
  <c r="A109" i="32"/>
  <c r="C108" i="32"/>
  <c r="A108" i="32"/>
  <c r="C107" i="32"/>
  <c r="A107" i="32"/>
  <c r="C106" i="32"/>
  <c r="A106" i="32"/>
  <c r="C105" i="32"/>
  <c r="A105" i="32"/>
  <c r="C104" i="32"/>
  <c r="A104" i="32"/>
  <c r="C103" i="32"/>
  <c r="A103" i="32"/>
  <c r="C102" i="32"/>
  <c r="A102" i="32"/>
  <c r="C101" i="32"/>
  <c r="A101" i="32"/>
  <c r="C100" i="32"/>
  <c r="A100" i="32"/>
  <c r="C99" i="32"/>
  <c r="A99" i="32"/>
  <c r="C98" i="32"/>
  <c r="A98" i="32"/>
  <c r="C97" i="32"/>
  <c r="A97" i="32"/>
  <c r="C96" i="32"/>
  <c r="A96" i="32"/>
  <c r="C95" i="32"/>
  <c r="A95" i="32"/>
  <c r="C94" i="32"/>
  <c r="A94" i="32"/>
  <c r="C93" i="32"/>
  <c r="A93" i="32"/>
  <c r="C92" i="32"/>
  <c r="A92" i="32"/>
  <c r="C91" i="32"/>
  <c r="A91" i="32"/>
  <c r="C90" i="32"/>
  <c r="A90" i="32"/>
  <c r="C89" i="32"/>
  <c r="A89" i="32"/>
  <c r="C88" i="32"/>
  <c r="A88" i="32"/>
  <c r="C87" i="32"/>
  <c r="A87" i="32"/>
  <c r="C86" i="32"/>
  <c r="A86" i="32"/>
  <c r="C85" i="32"/>
  <c r="A85" i="32"/>
  <c r="C84" i="32"/>
  <c r="A84" i="32"/>
  <c r="C83" i="32"/>
  <c r="A83" i="32"/>
  <c r="C82" i="32"/>
  <c r="A82" i="32"/>
  <c r="C81" i="32"/>
  <c r="A81" i="32"/>
  <c r="C80" i="32"/>
  <c r="A80" i="32"/>
  <c r="C79" i="32"/>
  <c r="A79" i="32"/>
  <c r="C78" i="32"/>
  <c r="A78" i="32"/>
  <c r="C77" i="32"/>
  <c r="A77" i="32"/>
  <c r="C76" i="32"/>
  <c r="A76" i="32"/>
  <c r="C75" i="32"/>
  <c r="A75" i="32"/>
  <c r="C74" i="32"/>
  <c r="A74" i="32"/>
  <c r="C73" i="32"/>
  <c r="A73" i="32"/>
  <c r="C72" i="32"/>
  <c r="A72" i="32"/>
  <c r="C71" i="32"/>
  <c r="A71" i="32"/>
  <c r="C70" i="32"/>
  <c r="A70" i="32"/>
  <c r="C69" i="32"/>
  <c r="A69" i="32"/>
  <c r="C68" i="32"/>
  <c r="A68" i="32"/>
  <c r="C67" i="32"/>
  <c r="A67" i="32"/>
  <c r="C66" i="32"/>
  <c r="A66" i="32"/>
  <c r="C65" i="32"/>
  <c r="A65" i="32"/>
  <c r="C64" i="32"/>
  <c r="A64" i="32"/>
  <c r="C63" i="32"/>
  <c r="A63" i="32"/>
  <c r="C62" i="32"/>
  <c r="A62" i="32"/>
  <c r="C61" i="32"/>
  <c r="A61" i="32"/>
  <c r="C60" i="32"/>
  <c r="A60" i="32"/>
  <c r="C59" i="32"/>
  <c r="A59" i="32"/>
  <c r="C58" i="32"/>
  <c r="A58" i="32"/>
  <c r="C57" i="32"/>
  <c r="A57" i="32"/>
  <c r="C56" i="32"/>
  <c r="A56" i="32"/>
  <c r="C55" i="32"/>
  <c r="A55" i="32"/>
  <c r="C54" i="32"/>
  <c r="A54" i="32"/>
  <c r="C53" i="32"/>
  <c r="A53" i="32"/>
  <c r="C52" i="32"/>
  <c r="A52" i="32"/>
  <c r="C51" i="32"/>
  <c r="A51" i="32"/>
  <c r="C50" i="32"/>
  <c r="A50" i="32"/>
  <c r="C49" i="32"/>
  <c r="A49" i="32"/>
  <c r="C48" i="32"/>
  <c r="A48" i="32"/>
  <c r="C47" i="32"/>
  <c r="A47" i="32"/>
  <c r="C46" i="32"/>
  <c r="A46" i="32"/>
  <c r="C45" i="32"/>
  <c r="A45" i="32"/>
  <c r="C44" i="32"/>
  <c r="A44" i="32"/>
  <c r="C43" i="32"/>
  <c r="A43" i="32"/>
  <c r="C42" i="32"/>
  <c r="A42" i="32"/>
  <c r="C41" i="32"/>
  <c r="A41" i="32"/>
  <c r="C40" i="32"/>
  <c r="A40" i="32"/>
  <c r="C39" i="32"/>
  <c r="A39" i="32"/>
  <c r="C38" i="32"/>
  <c r="A38" i="32"/>
  <c r="C37" i="32"/>
  <c r="A37" i="32"/>
  <c r="C36" i="32"/>
  <c r="A36" i="32"/>
  <c r="C35" i="32"/>
  <c r="A35" i="32"/>
  <c r="C34" i="32"/>
  <c r="A34" i="32"/>
  <c r="C33" i="32"/>
  <c r="A33" i="32"/>
  <c r="C32" i="32"/>
  <c r="A32" i="32"/>
  <c r="C31" i="32"/>
  <c r="A31" i="32"/>
  <c r="C30" i="32"/>
  <c r="A30" i="32"/>
  <c r="C29" i="32"/>
  <c r="A29" i="32"/>
  <c r="C28" i="32"/>
  <c r="A28" i="32"/>
  <c r="C27" i="32"/>
  <c r="A27" i="32"/>
  <c r="C26" i="32"/>
  <c r="A26" i="32"/>
  <c r="C25" i="32"/>
  <c r="A25" i="32"/>
  <c r="C24" i="32"/>
  <c r="A24" i="32"/>
  <c r="C23" i="32"/>
  <c r="A23" i="32"/>
  <c r="C22" i="32"/>
  <c r="A22" i="32"/>
  <c r="C21" i="32"/>
  <c r="A21" i="32"/>
  <c r="C20" i="32"/>
  <c r="A20" i="32"/>
  <c r="C19" i="32"/>
  <c r="A19" i="32"/>
  <c r="C18" i="32"/>
  <c r="A18" i="32"/>
  <c r="C17" i="32"/>
  <c r="A17" i="32"/>
  <c r="C16" i="32"/>
  <c r="A16" i="32"/>
  <c r="C15" i="32"/>
  <c r="A15" i="32"/>
  <c r="C14" i="32"/>
  <c r="A14" i="32"/>
  <c r="C13" i="32"/>
  <c r="A13" i="32"/>
  <c r="C12" i="32"/>
  <c r="A12" i="32"/>
  <c r="C11" i="32"/>
  <c r="A11" i="32"/>
  <c r="C10" i="32"/>
  <c r="A10" i="32"/>
  <c r="C9" i="32"/>
  <c r="A9" i="32"/>
  <c r="C8" i="32"/>
  <c r="A8" i="32"/>
  <c r="A7" i="32"/>
  <c r="A6" i="32"/>
  <c r="F1" i="32"/>
  <c r="D23" i="33"/>
  <c r="D5" i="33"/>
  <c r="K5" i="33"/>
  <c r="D6" i="33"/>
  <c r="K6" i="33"/>
  <c r="D42" i="33"/>
  <c r="E11" i="33"/>
  <c r="E16" i="33"/>
  <c r="C28" i="33"/>
  <c r="C46" i="33" s="1"/>
  <c r="D46" i="33" s="1"/>
  <c r="C11" i="33"/>
  <c r="E14" i="33"/>
  <c r="D28" i="33"/>
  <c r="E19" i="33"/>
  <c r="E17" i="33"/>
  <c r="E20" i="33" s="1"/>
  <c r="J12" i="31"/>
  <c r="E48" i="11"/>
  <c r="E47" i="11"/>
  <c r="E53" i="11" s="1"/>
  <c r="E46" i="11"/>
  <c r="F47" i="11"/>
  <c r="AV47" i="11"/>
  <c r="F48" i="11"/>
  <c r="AV48" i="11" s="1"/>
  <c r="F49" i="11"/>
  <c r="F50" i="11"/>
  <c r="F51" i="11"/>
  <c r="F52" i="11"/>
  <c r="F53" i="11"/>
  <c r="AV53" i="11" s="1"/>
  <c r="F54" i="11"/>
  <c r="F55" i="11"/>
  <c r="F56" i="11"/>
  <c r="F57" i="11"/>
  <c r="F58" i="11"/>
  <c r="F59" i="11"/>
  <c r="F60" i="11"/>
  <c r="F61" i="11"/>
  <c r="F62" i="11"/>
  <c r="F63" i="11"/>
  <c r="F46" i="11"/>
  <c r="AV46" i="11" s="1"/>
  <c r="D51" i="11"/>
  <c r="D50" i="11"/>
  <c r="D49" i="11"/>
  <c r="AF183" i="28"/>
  <c r="Y169" i="28"/>
  <c r="O169" i="28"/>
  <c r="Y165" i="28"/>
  <c r="O165" i="28"/>
  <c r="AV50" i="11"/>
  <c r="D54" i="11"/>
  <c r="AV51" i="11"/>
  <c r="D52" i="11"/>
  <c r="AV49" i="11"/>
  <c r="K165" i="28"/>
  <c r="AH165" i="28"/>
  <c r="K169" i="28"/>
  <c r="AH169" i="28"/>
  <c r="L183" i="28"/>
  <c r="AG185" i="28"/>
  <c r="AG189" i="28"/>
  <c r="F185" i="28"/>
  <c r="N189" i="28"/>
  <c r="K167" i="28"/>
  <c r="AH167" i="28"/>
  <c r="E183" i="28"/>
  <c r="AG183" i="28"/>
  <c r="N185" i="28"/>
  <c r="X185" i="28"/>
  <c r="F189" i="28"/>
  <c r="X189" i="28"/>
  <c r="J165" i="28"/>
  <c r="R165" i="28"/>
  <c r="AC165" i="28"/>
  <c r="O167" i="28"/>
  <c r="Y167" i="28"/>
  <c r="AC169" i="28"/>
  <c r="F183" i="28"/>
  <c r="N183" i="28"/>
  <c r="X183" i="28"/>
  <c r="F187" i="28"/>
  <c r="N187" i="28"/>
  <c r="X187" i="28"/>
  <c r="X168" i="28"/>
  <c r="AC184" i="28"/>
  <c r="AC186" i="28"/>
  <c r="I165" i="28"/>
  <c r="Q165" i="28"/>
  <c r="P166" i="28"/>
  <c r="V166" i="28"/>
  <c r="AE166" i="28"/>
  <c r="I167" i="28"/>
  <c r="Q167" i="28"/>
  <c r="D168" i="28"/>
  <c r="P168" i="28"/>
  <c r="V168" i="28"/>
  <c r="AE168" i="28"/>
  <c r="I169" i="28"/>
  <c r="Q169" i="28"/>
  <c r="D183" i="28"/>
  <c r="P183" i="28"/>
  <c r="AE183" i="28"/>
  <c r="I184" i="28"/>
  <c r="D185" i="28"/>
  <c r="P185" i="28"/>
  <c r="V185" i="28"/>
  <c r="AE185" i="28"/>
  <c r="I186" i="28"/>
  <c r="Q186" i="28"/>
  <c r="Z186" i="28"/>
  <c r="P187" i="28"/>
  <c r="V187" i="28"/>
  <c r="AE187" i="28"/>
  <c r="I188" i="28"/>
  <c r="Q188" i="28"/>
  <c r="Z188" i="28"/>
  <c r="D189" i="28"/>
  <c r="P189" i="28"/>
  <c r="V189" i="28"/>
  <c r="AE189" i="28"/>
  <c r="I190" i="28"/>
  <c r="X166" i="28"/>
  <c r="K186" i="28"/>
  <c r="K188" i="28"/>
  <c r="K190" i="28"/>
  <c r="M166" i="28"/>
  <c r="AF166" i="28"/>
  <c r="J167" i="28"/>
  <c r="R167" i="28"/>
  <c r="E168" i="28"/>
  <c r="M168" i="28"/>
  <c r="W168" i="28"/>
  <c r="AF168" i="28"/>
  <c r="J169" i="28"/>
  <c r="R169" i="28"/>
  <c r="J184" i="28"/>
  <c r="AB184" i="28"/>
  <c r="E185" i="28"/>
  <c r="W185" i="28"/>
  <c r="AF185" i="28"/>
  <c r="J186" i="28"/>
  <c r="AB186" i="28"/>
  <c r="E187" i="28"/>
  <c r="W187" i="28"/>
  <c r="AF187" i="28"/>
  <c r="J188" i="28"/>
  <c r="AB188" i="28"/>
  <c r="E189" i="28"/>
  <c r="W189" i="28"/>
  <c r="AF189" i="28"/>
  <c r="J190" i="28"/>
  <c r="R190" i="28"/>
  <c r="AB190" i="28"/>
  <c r="N166" i="28"/>
  <c r="N168" i="28"/>
  <c r="AC188" i="28"/>
  <c r="L165" i="28"/>
  <c r="AD165" i="28"/>
  <c r="H166" i="28"/>
  <c r="O166" i="28"/>
  <c r="Y166" i="28"/>
  <c r="L167" i="28"/>
  <c r="H168" i="28"/>
  <c r="O168" i="28"/>
  <c r="Y168" i="28"/>
  <c r="AH168" i="28"/>
  <c r="L169" i="28"/>
  <c r="AD169" i="28"/>
  <c r="O183" i="28"/>
  <c r="AH183" i="28"/>
  <c r="L184" i="28"/>
  <c r="U184" i="28"/>
  <c r="AH185" i="28"/>
  <c r="L186" i="28"/>
  <c r="U186" i="28"/>
  <c r="AD186" i="28"/>
  <c r="H187" i="28"/>
  <c r="O187" i="28"/>
  <c r="Y187" i="28"/>
  <c r="AH187" i="28"/>
  <c r="L188" i="28"/>
  <c r="U188" i="28"/>
  <c r="O189" i="28"/>
  <c r="AH189" i="28"/>
  <c r="L190" i="28"/>
  <c r="U190" i="28"/>
  <c r="AD190" i="28"/>
  <c r="K184" i="28"/>
  <c r="D165" i="28"/>
  <c r="P165" i="28"/>
  <c r="AE165" i="28"/>
  <c r="I166" i="28"/>
  <c r="Q166" i="28"/>
  <c r="P167" i="28"/>
  <c r="V167" i="28"/>
  <c r="I168" i="28"/>
  <c r="Q168" i="28"/>
  <c r="D169" i="28"/>
  <c r="P169" i="28"/>
  <c r="V169" i="28"/>
  <c r="AE169" i="28"/>
  <c r="I183" i="28"/>
  <c r="D184" i="28"/>
  <c r="P184" i="28"/>
  <c r="V184" i="28"/>
  <c r="AE184" i="28"/>
  <c r="I185" i="28"/>
  <c r="D186" i="28"/>
  <c r="P186" i="28"/>
  <c r="V186" i="28"/>
  <c r="AE186" i="28"/>
  <c r="I187" i="28"/>
  <c r="Q187" i="28"/>
  <c r="D188" i="28"/>
  <c r="P188" i="28"/>
  <c r="V188" i="28"/>
  <c r="AE188" i="28"/>
  <c r="I189" i="28"/>
  <c r="Q189" i="28"/>
  <c r="Z189" i="28"/>
  <c r="D190" i="28"/>
  <c r="P190" i="28"/>
  <c r="V190" i="28"/>
  <c r="AE190" i="28"/>
  <c r="E165" i="28"/>
  <c r="M165" i="28"/>
  <c r="AF165" i="28"/>
  <c r="J166" i="28"/>
  <c r="R166" i="28"/>
  <c r="E167" i="28"/>
  <c r="M167" i="28"/>
  <c r="AF167" i="28"/>
  <c r="J168" i="28"/>
  <c r="R168" i="28"/>
  <c r="E169" i="28"/>
  <c r="M169" i="28"/>
  <c r="AF169" i="28"/>
  <c r="R183" i="28"/>
  <c r="AB183" i="28"/>
  <c r="E184" i="28"/>
  <c r="M184" i="28"/>
  <c r="W184" i="28"/>
  <c r="AF184" i="28"/>
  <c r="E186" i="28"/>
  <c r="M186" i="28"/>
  <c r="W186" i="28"/>
  <c r="AB187" i="28"/>
  <c r="E188" i="28"/>
  <c r="M188" i="28"/>
  <c r="W188" i="28"/>
  <c r="AF188" i="28"/>
  <c r="R189" i="28"/>
  <c r="AB189" i="28"/>
  <c r="E190" i="28"/>
  <c r="M190" i="28"/>
  <c r="W190" i="28"/>
  <c r="AF190" i="28"/>
  <c r="F165" i="28"/>
  <c r="X165" i="28"/>
  <c r="K166" i="28"/>
  <c r="AC166" i="28"/>
  <c r="F167" i="28"/>
  <c r="K168" i="28"/>
  <c r="F169" i="28"/>
  <c r="N169" i="28"/>
  <c r="X169" i="28"/>
  <c r="K183" i="28"/>
  <c r="AC183" i="28"/>
  <c r="F184" i="28"/>
  <c r="N184" i="28"/>
  <c r="X184" i="28"/>
  <c r="AG184" i="28"/>
  <c r="K185" i="28"/>
  <c r="AC185" i="28"/>
  <c r="N186" i="28"/>
  <c r="AG186" i="28"/>
  <c r="K187" i="28"/>
  <c r="AC187" i="28"/>
  <c r="F188" i="28"/>
  <c r="N188" i="28"/>
  <c r="X188" i="28"/>
  <c r="AG188" i="28"/>
  <c r="K189" i="28"/>
  <c r="AC189" i="28"/>
  <c r="F190" i="28"/>
  <c r="N190" i="28"/>
  <c r="AG190" i="28"/>
  <c r="AC190" i="28"/>
  <c r="L166" i="28"/>
  <c r="AD166" i="28"/>
  <c r="L168" i="28"/>
  <c r="AD168" i="28"/>
  <c r="AD183" i="28"/>
  <c r="H184" i="28"/>
  <c r="O184" i="28"/>
  <c r="L185" i="28"/>
  <c r="U185" i="28"/>
  <c r="AD185" i="28"/>
  <c r="H186" i="28"/>
  <c r="O186" i="28"/>
  <c r="Y186" i="28"/>
  <c r="AH186" i="28"/>
  <c r="L187" i="28"/>
  <c r="AD187" i="28"/>
  <c r="H188" i="28"/>
  <c r="O188" i="28"/>
  <c r="AH188" i="28"/>
  <c r="L189" i="28"/>
  <c r="U189" i="28"/>
  <c r="AD189" i="28"/>
  <c r="H190" i="28"/>
  <c r="O190" i="28"/>
  <c r="AH190" i="28"/>
  <c r="D56" i="11"/>
  <c r="D59" i="11"/>
  <c r="AV56" i="11"/>
  <c r="AX5" i="5"/>
  <c r="AA5" i="5" s="1"/>
  <c r="AX7" i="5"/>
  <c r="AA7" i="5"/>
  <c r="U7" i="11" s="1"/>
  <c r="AX8" i="5"/>
  <c r="AA8" i="5" s="1"/>
  <c r="AX10" i="5"/>
  <c r="AA10" i="5"/>
  <c r="AX11" i="5"/>
  <c r="AA11" i="5"/>
  <c r="AX12" i="5"/>
  <c r="AA12" i="5"/>
  <c r="AX13" i="5"/>
  <c r="AA13" i="5" s="1"/>
  <c r="AA13" i="11" s="1"/>
  <c r="AX14" i="5"/>
  <c r="AA14" i="5"/>
  <c r="AA14" i="11" s="1"/>
  <c r="AX15" i="5"/>
  <c r="AA15" i="5"/>
  <c r="X15" i="11" s="1"/>
  <c r="AX16" i="5"/>
  <c r="AA16" i="5"/>
  <c r="AA16" i="11" s="1"/>
  <c r="AX17" i="5"/>
  <c r="AA17" i="5"/>
  <c r="AX18" i="5"/>
  <c r="AA18" i="5"/>
  <c r="AX19" i="5"/>
  <c r="AA19" i="5"/>
  <c r="AX20" i="5"/>
  <c r="AA20" i="5" s="1"/>
  <c r="AX21" i="5"/>
  <c r="AA21" i="5"/>
  <c r="AX23" i="5"/>
  <c r="AA23" i="5" s="1"/>
  <c r="AX25" i="5"/>
  <c r="AA25" i="5" s="1"/>
  <c r="AX26" i="5"/>
  <c r="AA26" i="5" s="1"/>
  <c r="AX27" i="5"/>
  <c r="AA27" i="5" s="1"/>
  <c r="X27" i="11" s="1"/>
  <c r="AX30" i="5"/>
  <c r="AA30" i="5"/>
  <c r="X30" i="11" s="1"/>
  <c r="AX31" i="5"/>
  <c r="AA31" i="5" s="1"/>
  <c r="X31" i="11" s="1"/>
  <c r="AO76" i="33" s="1"/>
  <c r="AO14" i="33" s="1"/>
  <c r="AO32" i="33" s="1"/>
  <c r="AX33" i="5"/>
  <c r="AA33" i="5" s="1"/>
  <c r="U33" i="11" s="1"/>
  <c r="AQ73" i="33" s="1"/>
  <c r="AQ11" i="33" s="1"/>
  <c r="AQ29" i="33" s="1"/>
  <c r="AQ47" i="33" s="1"/>
  <c r="AX34" i="5"/>
  <c r="AA34" i="5"/>
  <c r="AX35" i="5"/>
  <c r="AA35" i="5" s="1"/>
  <c r="AX36" i="5"/>
  <c r="AA36" i="5" s="1"/>
  <c r="AX37" i="5"/>
  <c r="AA37" i="5"/>
  <c r="AX38" i="5"/>
  <c r="AA38" i="5"/>
  <c r="AX39" i="5"/>
  <c r="AA39" i="5"/>
  <c r="AX40" i="5"/>
  <c r="AA40" i="5" s="1"/>
  <c r="AA33" i="11"/>
  <c r="AE134" i="11" s="1"/>
  <c r="R33" i="11"/>
  <c r="AD33" i="11"/>
  <c r="X33" i="11"/>
  <c r="AA26" i="11"/>
  <c r="AD26" i="11"/>
  <c r="R26" i="11"/>
  <c r="X26" i="11"/>
  <c r="U26" i="11"/>
  <c r="O26" i="11"/>
  <c r="Z122" i="11" s="1"/>
  <c r="U16" i="11"/>
  <c r="O16" i="11"/>
  <c r="AA12" i="11"/>
  <c r="R12" i="11"/>
  <c r="AD12" i="11"/>
  <c r="M137" i="11" s="1"/>
  <c r="U12" i="11"/>
  <c r="O12" i="11"/>
  <c r="M122" i="11"/>
  <c r="X12" i="11"/>
  <c r="M131" i="11" s="1"/>
  <c r="AD7" i="11"/>
  <c r="H137" i="11" s="1"/>
  <c r="X7" i="11"/>
  <c r="O7" i="11"/>
  <c r="H122" i="11" s="1"/>
  <c r="AD31" i="11"/>
  <c r="AA31" i="11"/>
  <c r="O31" i="11"/>
  <c r="AC122" i="11" s="1"/>
  <c r="U31" i="11"/>
  <c r="R31" i="11"/>
  <c r="O25" i="11"/>
  <c r="Y122" i="11" s="1"/>
  <c r="AA25" i="11"/>
  <c r="AD15" i="11"/>
  <c r="O15" i="11"/>
  <c r="AA15" i="11"/>
  <c r="U15" i="11"/>
  <c r="R15" i="11"/>
  <c r="AD11" i="11"/>
  <c r="U82" i="33" s="1"/>
  <c r="X11" i="11"/>
  <c r="AA11" i="11"/>
  <c r="O11" i="11"/>
  <c r="U11" i="11"/>
  <c r="R11" i="11"/>
  <c r="AA30" i="11"/>
  <c r="R30" i="11"/>
  <c r="O30" i="11"/>
  <c r="AD30" i="11"/>
  <c r="U30" i="11"/>
  <c r="X18" i="11"/>
  <c r="R18" i="11"/>
  <c r="U14" i="11"/>
  <c r="O10" i="11"/>
  <c r="AD10" i="11"/>
  <c r="U10" i="11"/>
  <c r="T73" i="33" s="1"/>
  <c r="T11" i="33" s="1"/>
  <c r="O34" i="11"/>
  <c r="AD27" i="11"/>
  <c r="O27" i="11"/>
  <c r="AA27" i="11"/>
  <c r="R27" i="11"/>
  <c r="O21" i="11"/>
  <c r="V122" i="11" s="1"/>
  <c r="AA21" i="11"/>
  <c r="X13" i="11"/>
  <c r="N131" i="11" s="1"/>
  <c r="AD13" i="11"/>
  <c r="U13" i="11"/>
  <c r="O13" i="11"/>
  <c r="N122" i="11" s="1"/>
  <c r="R13" i="11"/>
  <c r="AW40" i="5"/>
  <c r="AW39" i="5"/>
  <c r="AW38" i="5"/>
  <c r="AW37" i="5"/>
  <c r="AW36" i="5"/>
  <c r="AW35" i="5"/>
  <c r="AW34" i="5"/>
  <c r="AW33" i="5"/>
  <c r="AW32" i="5"/>
  <c r="AW31" i="5"/>
  <c r="AW30" i="5"/>
  <c r="AW29" i="5"/>
  <c r="AW28" i="5"/>
  <c r="AW27" i="5"/>
  <c r="AW26" i="5"/>
  <c r="AW25" i="5"/>
  <c r="AW24" i="5"/>
  <c r="AW23" i="5"/>
  <c r="AW22" i="5"/>
  <c r="AW21" i="5"/>
  <c r="AW20" i="5"/>
  <c r="AW19" i="5"/>
  <c r="AW18" i="5"/>
  <c r="AW17" i="5"/>
  <c r="AW16" i="5"/>
  <c r="AW15" i="5"/>
  <c r="AW14" i="5"/>
  <c r="AW13" i="5"/>
  <c r="AW12" i="5"/>
  <c r="AW11" i="5"/>
  <c r="AW10" i="5"/>
  <c r="AW9" i="5"/>
  <c r="AW8" i="5"/>
  <c r="AW7" i="5"/>
  <c r="AW6" i="5"/>
  <c r="AW5" i="5"/>
  <c r="AW4" i="5"/>
  <c r="Q4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K22" i="11"/>
  <c r="T11" i="52" s="1"/>
  <c r="AD2" i="11"/>
  <c r="AA2" i="11"/>
  <c r="X2" i="11"/>
  <c r="U2" i="11"/>
  <c r="R2" i="11"/>
  <c r="O2" i="11"/>
  <c r="Q3" i="11"/>
  <c r="T3" i="11" s="1"/>
  <c r="W3" i="11" s="1"/>
  <c r="Z3" i="11" s="1"/>
  <c r="AC3" i="11" s="1"/>
  <c r="AF3" i="11" s="1"/>
  <c r="P3" i="11"/>
  <c r="S3" i="11"/>
  <c r="V3" i="11"/>
  <c r="Y3" i="11"/>
  <c r="AB3" i="11" s="1"/>
  <c r="AE3" i="11" s="1"/>
  <c r="O3" i="11"/>
  <c r="R3" i="11"/>
  <c r="U3" i="11" s="1"/>
  <c r="X3" i="11" s="1"/>
  <c r="AA3" i="11" s="1"/>
  <c r="AD3" i="11" s="1"/>
  <c r="J55" i="16"/>
  <c r="S55" i="16" s="1"/>
  <c r="AN55" i="16"/>
  <c r="AM55" i="16"/>
  <c r="AL55" i="16"/>
  <c r="AK55" i="16"/>
  <c r="AJ55" i="16"/>
  <c r="AI55" i="16"/>
  <c r="AG55" i="16"/>
  <c r="AF55" i="16"/>
  <c r="AE55" i="16"/>
  <c r="AC55" i="16"/>
  <c r="AB55" i="16"/>
  <c r="AA55" i="16"/>
  <c r="Y55" i="16"/>
  <c r="X55" i="16"/>
  <c r="W55" i="16"/>
  <c r="V55" i="16"/>
  <c r="T55" i="16"/>
  <c r="R55" i="16"/>
  <c r="Q55" i="16"/>
  <c r="P55" i="16"/>
  <c r="L55" i="16"/>
  <c r="K55" i="16"/>
  <c r="H55" i="16"/>
  <c r="G55" i="16"/>
  <c r="F55" i="16"/>
  <c r="E55" i="16"/>
  <c r="AN56" i="16"/>
  <c r="AM56" i="16"/>
  <c r="AL56" i="16"/>
  <c r="AK56" i="16"/>
  <c r="AJ56" i="16"/>
  <c r="AI56" i="16"/>
  <c r="AH56" i="16"/>
  <c r="AG56" i="16"/>
  <c r="AF56" i="16"/>
  <c r="AE56" i="16"/>
  <c r="AC56" i="16"/>
  <c r="AC57" i="16" s="1"/>
  <c r="AB56" i="16"/>
  <c r="AA56" i="16"/>
  <c r="Z56" i="16"/>
  <c r="Y56" i="16"/>
  <c r="X56" i="16"/>
  <c r="W56" i="16"/>
  <c r="V56" i="16"/>
  <c r="T56" i="16"/>
  <c r="S56" i="16"/>
  <c r="R56" i="16"/>
  <c r="Q56" i="16"/>
  <c r="P56" i="16"/>
  <c r="L56" i="16"/>
  <c r="K56" i="16"/>
  <c r="H56" i="16"/>
  <c r="G56" i="16"/>
  <c r="F56" i="16"/>
  <c r="E56" i="16"/>
  <c r="AJ23" i="1"/>
  <c r="AL12" i="3"/>
  <c r="AJ12" i="3"/>
  <c r="AJ23" i="3"/>
  <c r="AB7" i="4"/>
  <c r="AC7" i="4"/>
  <c r="AD7" i="4"/>
  <c r="AE7" i="4"/>
  <c r="AF7" i="4"/>
  <c r="AG7" i="4"/>
  <c r="AB10" i="4"/>
  <c r="AD10" i="4"/>
  <c r="AE10" i="4"/>
  <c r="AF10" i="4"/>
  <c r="AG10" i="4"/>
  <c r="AB13" i="4"/>
  <c r="AC13" i="4"/>
  <c r="AD13" i="4"/>
  <c r="AE13" i="4"/>
  <c r="AF13" i="4"/>
  <c r="AG13" i="4"/>
  <c r="AB14" i="4"/>
  <c r="AC14" i="4"/>
  <c r="AD14" i="4"/>
  <c r="AE14" i="4"/>
  <c r="AF14" i="4"/>
  <c r="AG14" i="4"/>
  <c r="AB15" i="4"/>
  <c r="AC15" i="4"/>
  <c r="AD15" i="4"/>
  <c r="AE15" i="4"/>
  <c r="AF15" i="4"/>
  <c r="AG15" i="4"/>
  <c r="AB19" i="4"/>
  <c r="AC19" i="4"/>
  <c r="AD19" i="4"/>
  <c r="AE19" i="4"/>
  <c r="AF19" i="4"/>
  <c r="AG19" i="4"/>
  <c r="AB20" i="4"/>
  <c r="AC20" i="4"/>
  <c r="AD20" i="4"/>
  <c r="AE20" i="4"/>
  <c r="AF20" i="4"/>
  <c r="AG20" i="4"/>
  <c r="AB21" i="4"/>
  <c r="AC21" i="4"/>
  <c r="AD21" i="4"/>
  <c r="AE21" i="4"/>
  <c r="AF21" i="4"/>
  <c r="AG21" i="4"/>
  <c r="AB23" i="4"/>
  <c r="AC23" i="4"/>
  <c r="AD23" i="4"/>
  <c r="AE23" i="4"/>
  <c r="AG23" i="4"/>
  <c r="AB25" i="4"/>
  <c r="AC25" i="4"/>
  <c r="AD25" i="4"/>
  <c r="AE25" i="4"/>
  <c r="AF25" i="4"/>
  <c r="AG25" i="4"/>
  <c r="AB26" i="4"/>
  <c r="AC26" i="4"/>
  <c r="AD26" i="4"/>
  <c r="AE26" i="4"/>
  <c r="AF26" i="4"/>
  <c r="AG26" i="4"/>
  <c r="AB27" i="4"/>
  <c r="AC27" i="4"/>
  <c r="AD27" i="4"/>
  <c r="AE27" i="4"/>
  <c r="AB30" i="4"/>
  <c r="AC30" i="4"/>
  <c r="AD30" i="4"/>
  <c r="AE30" i="4"/>
  <c r="AF30" i="4"/>
  <c r="AG30" i="4"/>
  <c r="AB31" i="4"/>
  <c r="AC31" i="4"/>
  <c r="AD31" i="4"/>
  <c r="AE31" i="4"/>
  <c r="AF31" i="4"/>
  <c r="AG31" i="4"/>
  <c r="AD33" i="4"/>
  <c r="AE33" i="4"/>
  <c r="AF33" i="4"/>
  <c r="AG33" i="4"/>
  <c r="AB34" i="4"/>
  <c r="AC34" i="4"/>
  <c r="AD34" i="4"/>
  <c r="AE34" i="4"/>
  <c r="AF34" i="4"/>
  <c r="AG34" i="4"/>
  <c r="AB35" i="4"/>
  <c r="AC35" i="4"/>
  <c r="AD35" i="4"/>
  <c r="AE35" i="4"/>
  <c r="AF35" i="4"/>
  <c r="AG35" i="4"/>
  <c r="AB36" i="4"/>
  <c r="AC36" i="4"/>
  <c r="AD36" i="4"/>
  <c r="AE36" i="4"/>
  <c r="AF36" i="4"/>
  <c r="AG36" i="4"/>
  <c r="AB38" i="4"/>
  <c r="AC38" i="4"/>
  <c r="AD38" i="4"/>
  <c r="AE38" i="4"/>
  <c r="AF38" i="4"/>
  <c r="AG38" i="4"/>
  <c r="AB39" i="4"/>
  <c r="AC39" i="4"/>
  <c r="AD39" i="4"/>
  <c r="AE39" i="4"/>
  <c r="AF39" i="4"/>
  <c r="AG39" i="4"/>
  <c r="AB40" i="4"/>
  <c r="AC40" i="4"/>
  <c r="AD40" i="4"/>
  <c r="AE40" i="4"/>
  <c r="AF40" i="4"/>
  <c r="AF23" i="4"/>
  <c r="P3" i="19"/>
  <c r="P21" i="19" s="1"/>
  <c r="P22" i="19" s="1"/>
  <c r="AJ16" i="16"/>
  <c r="R17" i="16"/>
  <c r="R16" i="16"/>
  <c r="L17" i="16"/>
  <c r="L16" i="16"/>
  <c r="X17" i="16"/>
  <c r="AG16" i="16"/>
  <c r="L36" i="16"/>
  <c r="E16" i="16"/>
  <c r="N16" i="16"/>
  <c r="Z16" i="16"/>
  <c r="N36" i="16"/>
  <c r="K36" i="16"/>
  <c r="Q17" i="16"/>
  <c r="Q16" i="16"/>
  <c r="AE16" i="16"/>
  <c r="AA16" i="16"/>
  <c r="W16" i="16"/>
  <c r="T16" i="16"/>
  <c r="K16" i="16"/>
  <c r="G16" i="16"/>
  <c r="AH16" i="16"/>
  <c r="S16" i="16"/>
  <c r="AC16" i="16"/>
  <c r="AB16" i="16"/>
  <c r="M17" i="16"/>
  <c r="AC17" i="16" s="1"/>
  <c r="J17" i="16"/>
  <c r="O17" i="16"/>
  <c r="I17" i="16"/>
  <c r="AG17" i="16"/>
  <c r="D17" i="16"/>
  <c r="K17" i="16"/>
  <c r="H17" i="16"/>
  <c r="H16" i="16"/>
  <c r="Y17" i="16"/>
  <c r="Y16" i="16"/>
  <c r="P17" i="16"/>
  <c r="P16" i="16"/>
  <c r="V17" i="16"/>
  <c r="V16" i="16"/>
  <c r="X16" i="16"/>
  <c r="AF17" i="16"/>
  <c r="AF16" i="16"/>
  <c r="AN17" i="16"/>
  <c r="AM17" i="16"/>
  <c r="AL17" i="16"/>
  <c r="AK17" i="16"/>
  <c r="AJ17" i="16"/>
  <c r="AN16" i="16"/>
  <c r="AM16" i="16"/>
  <c r="AL16" i="16"/>
  <c r="AK16" i="16"/>
  <c r="AI17" i="16"/>
  <c r="AI16" i="16"/>
  <c r="AD17" i="16"/>
  <c r="AB17" i="16"/>
  <c r="AI36" i="16"/>
  <c r="Y37" i="16"/>
  <c r="Y36" i="16"/>
  <c r="P37" i="16"/>
  <c r="P36" i="16"/>
  <c r="Z36" i="16"/>
  <c r="T37" i="16"/>
  <c r="T36" i="16"/>
  <c r="S36" i="16"/>
  <c r="W37" i="16"/>
  <c r="AA37" i="16"/>
  <c r="AE37" i="16"/>
  <c r="AF57" i="16"/>
  <c r="AF36" i="16"/>
  <c r="AC36" i="16"/>
  <c r="AB36" i="16"/>
  <c r="X36" i="16"/>
  <c r="V36" i="16"/>
  <c r="R36" i="16"/>
  <c r="R57" i="16"/>
  <c r="Q36" i="16"/>
  <c r="AG36" i="16"/>
  <c r="AH36" i="16"/>
  <c r="AN36" i="16"/>
  <c r="AM36" i="16"/>
  <c r="AL36" i="16"/>
  <c r="AK36" i="16"/>
  <c r="AJ36" i="16"/>
  <c r="F36" i="16"/>
  <c r="K37" i="16"/>
  <c r="H37" i="16"/>
  <c r="H36" i="16"/>
  <c r="E36" i="16"/>
  <c r="G36" i="16"/>
  <c r="O36" i="16"/>
  <c r="M37" i="16"/>
  <c r="AC37" i="16"/>
  <c r="AD37" i="16"/>
  <c r="F37" i="16" s="1"/>
  <c r="AF37" i="16"/>
  <c r="I37" i="16"/>
  <c r="AG37" i="16" s="1"/>
  <c r="J37" i="16"/>
  <c r="D37" i="16"/>
  <c r="G37" i="16"/>
  <c r="Q57" i="16"/>
  <c r="AG57" i="16"/>
  <c r="I57" i="16"/>
  <c r="AN57" i="16"/>
  <c r="AM57" i="16"/>
  <c r="AP24" i="32" s="1"/>
  <c r="AL57" i="16"/>
  <c r="AK57" i="16"/>
  <c r="AJ57" i="16"/>
  <c r="AI57" i="16"/>
  <c r="T57" i="16"/>
  <c r="E57" i="16"/>
  <c r="W57" i="16"/>
  <c r="F57" i="16"/>
  <c r="L57" i="16"/>
  <c r="X57" i="16"/>
  <c r="V57" i="16"/>
  <c r="AB57" i="16"/>
  <c r="S57" i="16"/>
  <c r="M57" i="16"/>
  <c r="O57" i="16"/>
  <c r="U57" i="16"/>
  <c r="AE57" i="16"/>
  <c r="K57" i="16"/>
  <c r="AA57" i="16"/>
  <c r="Z57" i="16"/>
  <c r="AH57" i="16"/>
  <c r="G57" i="16"/>
  <c r="AE36" i="16"/>
  <c r="W36" i="16"/>
  <c r="AA36" i="16"/>
  <c r="W17" i="16"/>
  <c r="AA17" i="16"/>
  <c r="G17" i="16"/>
  <c r="T17" i="16"/>
  <c r="E37" i="16"/>
  <c r="H53" i="32" s="1"/>
  <c r="H54" i="32" s="1"/>
  <c r="G15" i="34" s="1"/>
  <c r="AL37" i="16"/>
  <c r="AI37" i="16"/>
  <c r="Z17" i="16"/>
  <c r="Y57" i="16"/>
  <c r="AM37" i="16"/>
  <c r="AH37" i="16"/>
  <c r="V37" i="16"/>
  <c r="AB37" i="16"/>
  <c r="E17" i="16"/>
  <c r="S4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X5" i="4" s="1"/>
  <c r="R4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O38" i="25" s="1"/>
  <c r="R17" i="4"/>
  <c r="R16" i="4"/>
  <c r="R15" i="4"/>
  <c r="R14" i="4"/>
  <c r="R13" i="4"/>
  <c r="R12" i="4"/>
  <c r="R11" i="4"/>
  <c r="R10" i="4"/>
  <c r="R9" i="4"/>
  <c r="R8" i="4"/>
  <c r="R6" i="4"/>
  <c r="R7" i="4"/>
  <c r="R5" i="4"/>
  <c r="AN11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AM4" i="20"/>
  <c r="AM5" i="20" s="1"/>
  <c r="AH4" i="20"/>
  <c r="AG4" i="20"/>
  <c r="AF4" i="20"/>
  <c r="AE4" i="20"/>
  <c r="AD4" i="20"/>
  <c r="AC4" i="20"/>
  <c r="AB4" i="20"/>
  <c r="Z4" i="20"/>
  <c r="Y4" i="20"/>
  <c r="X4" i="20"/>
  <c r="W4" i="20"/>
  <c r="V4" i="20"/>
  <c r="U4" i="20"/>
  <c r="S4" i="20"/>
  <c r="S7" i="20"/>
  <c r="R4" i="20"/>
  <c r="P4" i="20"/>
  <c r="O4" i="20"/>
  <c r="N4" i="20"/>
  <c r="N7" i="20" s="1"/>
  <c r="M4" i="20"/>
  <c r="L4" i="20"/>
  <c r="L5" i="20" s="1"/>
  <c r="K4" i="20"/>
  <c r="J4" i="20"/>
  <c r="I4" i="20"/>
  <c r="F4" i="20"/>
  <c r="F7" i="20" s="1"/>
  <c r="E4" i="20"/>
  <c r="D4" i="20"/>
  <c r="AN3" i="20"/>
  <c r="AN21" i="20" s="1"/>
  <c r="AN22" i="20" s="1"/>
  <c r="AM3" i="20"/>
  <c r="AM21" i="20"/>
  <c r="AM22" i="20" s="1"/>
  <c r="AL3" i="20"/>
  <c r="AL21" i="20"/>
  <c r="AL22" i="20" s="1"/>
  <c r="AK3" i="20"/>
  <c r="AK21" i="20" s="1"/>
  <c r="AK22" i="20" s="1"/>
  <c r="AJ3" i="20"/>
  <c r="AJ21" i="20"/>
  <c r="AJ22" i="20" s="1"/>
  <c r="AI3" i="20"/>
  <c r="AI21" i="20" s="1"/>
  <c r="AI22" i="20" s="1"/>
  <c r="AL160" i="32" s="1"/>
  <c r="AE3" i="20"/>
  <c r="AE21" i="20"/>
  <c r="AE22" i="20" s="1"/>
  <c r="AC3" i="20"/>
  <c r="AA3" i="20"/>
  <c r="AA21" i="20" s="1"/>
  <c r="AA22" i="20" s="1"/>
  <c r="Y3" i="20"/>
  <c r="Y21" i="20"/>
  <c r="Y22" i="20" s="1"/>
  <c r="X3" i="20"/>
  <c r="X21" i="20"/>
  <c r="X22" i="20" s="1"/>
  <c r="T3" i="20"/>
  <c r="T21" i="20" s="1"/>
  <c r="T22" i="20" s="1"/>
  <c r="R3" i="20"/>
  <c r="R5" i="20" s="1"/>
  <c r="R21" i="20"/>
  <c r="R22" i="20" s="1"/>
  <c r="Q3" i="20"/>
  <c r="Q21" i="20" s="1"/>
  <c r="Q22" i="20" s="1"/>
  <c r="L3" i="20"/>
  <c r="L21" i="20"/>
  <c r="L22" i="20" s="1"/>
  <c r="H3" i="20"/>
  <c r="H21" i="20" s="1"/>
  <c r="H22" i="20" s="1"/>
  <c r="G3" i="20"/>
  <c r="G21" i="20" s="1"/>
  <c r="G22" i="20" s="1"/>
  <c r="AN11" i="19"/>
  <c r="AM11" i="19"/>
  <c r="AL11" i="19"/>
  <c r="AK11" i="19"/>
  <c r="AJ11" i="19"/>
  <c r="AI11" i="19"/>
  <c r="AH11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AN3" i="19"/>
  <c r="AN21" i="19" s="1"/>
  <c r="AN22" i="19" s="1"/>
  <c r="AM3" i="19"/>
  <c r="AM21" i="19" s="1"/>
  <c r="AM22" i="19" s="1"/>
  <c r="AL3" i="19"/>
  <c r="AL21" i="19" s="1"/>
  <c r="AL22" i="19" s="1"/>
  <c r="AK3" i="19"/>
  <c r="AK21" i="19" s="1"/>
  <c r="AK22" i="19" s="1"/>
  <c r="AJ3" i="19"/>
  <c r="AJ21" i="19" s="1"/>
  <c r="AJ22" i="19" s="1"/>
  <c r="AI3" i="19"/>
  <c r="AI21" i="19"/>
  <c r="AI22" i="19" s="1"/>
  <c r="AH3" i="19"/>
  <c r="AG3" i="19"/>
  <c r="AG21" i="19" s="1"/>
  <c r="AG22" i="19"/>
  <c r="AF3" i="19"/>
  <c r="AF21" i="19"/>
  <c r="AF22" i="19" s="1"/>
  <c r="AE3" i="19"/>
  <c r="AE21" i="19"/>
  <c r="AE22" i="19"/>
  <c r="AD3" i="19"/>
  <c r="AC3" i="19"/>
  <c r="AC21" i="19"/>
  <c r="AC22" i="19" s="1"/>
  <c r="AB3" i="19"/>
  <c r="AB21" i="19"/>
  <c r="AB22" i="19" s="1"/>
  <c r="AA3" i="19"/>
  <c r="Z3" i="19"/>
  <c r="Z21" i="19" s="1"/>
  <c r="Z22" i="19" s="1"/>
  <c r="Y3" i="19"/>
  <c r="Y21" i="19"/>
  <c r="Y22" i="19" s="1"/>
  <c r="X3" i="19"/>
  <c r="W3" i="19"/>
  <c r="W21" i="19" s="1"/>
  <c r="W22" i="19"/>
  <c r="V3" i="19"/>
  <c r="V21" i="19" s="1"/>
  <c r="V22" i="19" s="1"/>
  <c r="U3" i="19"/>
  <c r="U21" i="19"/>
  <c r="U22" i="19" s="1"/>
  <c r="T3" i="19"/>
  <c r="T21" i="19" s="1"/>
  <c r="S3" i="19"/>
  <c r="S21" i="19"/>
  <c r="S22" i="19" s="1"/>
  <c r="R3" i="19"/>
  <c r="Q3" i="19"/>
  <c r="Q21" i="19" s="1"/>
  <c r="Q22" i="19" s="1"/>
  <c r="O3" i="19"/>
  <c r="O21" i="19"/>
  <c r="O22" i="19"/>
  <c r="N3" i="19"/>
  <c r="M3" i="19"/>
  <c r="M21" i="19"/>
  <c r="M22" i="19"/>
  <c r="L3" i="19"/>
  <c r="K3" i="19"/>
  <c r="K21" i="19"/>
  <c r="K22" i="19" s="1"/>
  <c r="J3" i="19"/>
  <c r="J21" i="19"/>
  <c r="J22" i="19"/>
  <c r="I3" i="19"/>
  <c r="I21" i="19"/>
  <c r="I22" i="19" s="1"/>
  <c r="H3" i="19"/>
  <c r="H21" i="19" s="1"/>
  <c r="H22" i="19" s="1"/>
  <c r="G3" i="19"/>
  <c r="G21" i="19"/>
  <c r="G22" i="19" s="1"/>
  <c r="F3" i="19"/>
  <c r="F21" i="19" s="1"/>
  <c r="F22" i="19" s="1"/>
  <c r="E3" i="19"/>
  <c r="E21" i="19"/>
  <c r="E22" i="19" s="1"/>
  <c r="D3" i="19"/>
  <c r="D21" i="19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AA92" i="18" s="1"/>
  <c r="AA94" i="18" s="1"/>
  <c r="Z21" i="18"/>
  <c r="Y21" i="18"/>
  <c r="X21" i="18"/>
  <c r="W21" i="18"/>
  <c r="V21" i="18"/>
  <c r="U21" i="18"/>
  <c r="T21" i="18"/>
  <c r="W24" i="32" s="1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AN10" i="18"/>
  <c r="AM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AD7" i="20"/>
  <c r="AB7" i="20"/>
  <c r="Y5" i="20"/>
  <c r="Y7" i="20" s="1"/>
  <c r="Y8" i="20"/>
  <c r="AE5" i="20"/>
  <c r="X5" i="20"/>
  <c r="X7" i="20" s="1"/>
  <c r="AA21" i="19"/>
  <c r="AA22" i="19" s="1"/>
  <c r="D22" i="19"/>
  <c r="L21" i="19"/>
  <c r="L22" i="19"/>
  <c r="T22" i="19"/>
  <c r="X21" i="19"/>
  <c r="X22" i="19" s="1"/>
  <c r="N21" i="19"/>
  <c r="N22" i="19" s="1"/>
  <c r="R21" i="19"/>
  <c r="R22" i="19" s="1"/>
  <c r="AD21" i="19"/>
  <c r="AD22" i="19"/>
  <c r="AH21" i="19"/>
  <c r="AH22" i="19"/>
  <c r="R14" i="2"/>
  <c r="D24" i="5"/>
  <c r="G21" i="5"/>
  <c r="F21" i="5"/>
  <c r="E21" i="5"/>
  <c r="D21" i="5"/>
  <c r="AH160" i="32"/>
  <c r="I21" i="5"/>
  <c r="J21" i="5"/>
  <c r="AM92" i="20"/>
  <c r="AM94" i="20" s="1"/>
  <c r="Y92" i="20"/>
  <c r="Y94" i="20" s="1"/>
  <c r="X8" i="20"/>
  <c r="AN63" i="16"/>
  <c r="AM63" i="16"/>
  <c r="AL63" i="16"/>
  <c r="AK63" i="16"/>
  <c r="AJ63" i="16"/>
  <c r="AI63" i="16"/>
  <c r="AH63" i="16"/>
  <c r="AG63" i="16"/>
  <c r="AF63" i="16"/>
  <c r="AE63" i="16"/>
  <c r="AD63" i="16"/>
  <c r="AC63" i="16"/>
  <c r="AB63" i="16"/>
  <c r="AA63" i="16"/>
  <c r="Z63" i="16"/>
  <c r="Y63" i="16"/>
  <c r="X63" i="16"/>
  <c r="W63" i="16"/>
  <c r="V63" i="16"/>
  <c r="U63" i="16"/>
  <c r="T63" i="16"/>
  <c r="S63" i="16"/>
  <c r="R63" i="16"/>
  <c r="Q63" i="16"/>
  <c r="P63" i="16"/>
  <c r="O63" i="16"/>
  <c r="N63" i="16"/>
  <c r="M63" i="16"/>
  <c r="L63" i="16"/>
  <c r="K63" i="16"/>
  <c r="J63" i="16"/>
  <c r="I63" i="16"/>
  <c r="H63" i="16"/>
  <c r="G63" i="16"/>
  <c r="F63" i="16"/>
  <c r="E63" i="16"/>
  <c r="AN62" i="16"/>
  <c r="AM62" i="16"/>
  <c r="AL62" i="16"/>
  <c r="AK62" i="16"/>
  <c r="AJ62" i="16"/>
  <c r="AI62" i="16"/>
  <c r="AH62" i="16"/>
  <c r="AG62" i="16"/>
  <c r="AF62" i="16"/>
  <c r="AE62" i="16"/>
  <c r="AD62" i="16"/>
  <c r="AC62" i="16"/>
  <c r="AB62" i="16"/>
  <c r="AA62" i="16"/>
  <c r="Z62" i="16"/>
  <c r="Y62" i="16"/>
  <c r="X62" i="16"/>
  <c r="W62" i="16"/>
  <c r="V62" i="16"/>
  <c r="U62" i="16"/>
  <c r="T62" i="16"/>
  <c r="S62" i="16"/>
  <c r="R62" i="16"/>
  <c r="Q62" i="16"/>
  <c r="P62" i="16"/>
  <c r="O62" i="16"/>
  <c r="N62" i="16"/>
  <c r="M62" i="16"/>
  <c r="L62" i="16"/>
  <c r="K62" i="16"/>
  <c r="J62" i="16"/>
  <c r="I62" i="16"/>
  <c r="H62" i="16"/>
  <c r="G62" i="16"/>
  <c r="F62" i="16"/>
  <c r="E62" i="16"/>
  <c r="AN61" i="16"/>
  <c r="AM61" i="16"/>
  <c r="AL61" i="16"/>
  <c r="AK61" i="16"/>
  <c r="AJ61" i="16"/>
  <c r="AI61" i="16"/>
  <c r="AH61" i="16"/>
  <c r="AG61" i="16"/>
  <c r="AF61" i="16"/>
  <c r="AE61" i="16"/>
  <c r="AD61" i="16"/>
  <c r="AC61" i="16"/>
  <c r="AB61" i="16"/>
  <c r="AA61" i="16"/>
  <c r="Z61" i="16"/>
  <c r="Y61" i="16"/>
  <c r="X61" i="16"/>
  <c r="W61" i="16"/>
  <c r="V61" i="16"/>
  <c r="U61" i="16"/>
  <c r="T61" i="16"/>
  <c r="S61" i="16"/>
  <c r="R61" i="16"/>
  <c r="Q61" i="16"/>
  <c r="P61" i="16"/>
  <c r="O61" i="16"/>
  <c r="N61" i="16"/>
  <c r="M61" i="16"/>
  <c r="L61" i="16"/>
  <c r="K61" i="16"/>
  <c r="J61" i="16"/>
  <c r="I61" i="16"/>
  <c r="H61" i="16"/>
  <c r="G61" i="16"/>
  <c r="F61" i="16"/>
  <c r="E61" i="16"/>
  <c r="D63" i="16"/>
  <c r="D62" i="16"/>
  <c r="D61" i="16"/>
  <c r="AN43" i="16"/>
  <c r="R39" i="3" s="1"/>
  <c r="AM43" i="16"/>
  <c r="AM46" i="16" s="1"/>
  <c r="AL43" i="16"/>
  <c r="AL46" i="16" s="1"/>
  <c r="AK43" i="16"/>
  <c r="AK46" i="16"/>
  <c r="AJ43" i="16"/>
  <c r="AJ46" i="16" s="1"/>
  <c r="AI43" i="16"/>
  <c r="AH43" i="16"/>
  <c r="AH46" i="16"/>
  <c r="AG43" i="16"/>
  <c r="AG46" i="16" s="1"/>
  <c r="AF43" i="16"/>
  <c r="AF46" i="16"/>
  <c r="AE43" i="16"/>
  <c r="AE46" i="16" s="1"/>
  <c r="AD43" i="16"/>
  <c r="AC43" i="16"/>
  <c r="AB43" i="16"/>
  <c r="R33" i="3" s="1"/>
  <c r="AN33" i="3" s="1"/>
  <c r="AA43" i="16"/>
  <c r="S32" i="3" s="1"/>
  <c r="AA46" i="16"/>
  <c r="Z43" i="16"/>
  <c r="Y43" i="16"/>
  <c r="Q30" i="3" s="1"/>
  <c r="X43" i="16"/>
  <c r="W43" i="16"/>
  <c r="V43" i="16"/>
  <c r="U43" i="16"/>
  <c r="T43" i="16"/>
  <c r="S43" i="16"/>
  <c r="U21" i="3" s="1"/>
  <c r="R43" i="16"/>
  <c r="Q43" i="16"/>
  <c r="P43" i="16"/>
  <c r="P46" i="16" s="1"/>
  <c r="O43" i="16"/>
  <c r="N43" i="16"/>
  <c r="M43" i="16"/>
  <c r="L43" i="16"/>
  <c r="L46" i="16" s="1"/>
  <c r="K43" i="16"/>
  <c r="J43" i="16"/>
  <c r="I43" i="16"/>
  <c r="H43" i="16"/>
  <c r="G43" i="16"/>
  <c r="F43" i="16"/>
  <c r="V8" i="3" s="1"/>
  <c r="E43" i="16"/>
  <c r="W7" i="3" s="1"/>
  <c r="AN42" i="16"/>
  <c r="AM42" i="16"/>
  <c r="AM45" i="16" s="1"/>
  <c r="AL42" i="16"/>
  <c r="AK42" i="16"/>
  <c r="AK45" i="16"/>
  <c r="AJ42" i="16"/>
  <c r="AJ45" i="16"/>
  <c r="AI42" i="16"/>
  <c r="AI45" i="16"/>
  <c r="AH42" i="16"/>
  <c r="AH45" i="16"/>
  <c r="AG42" i="16"/>
  <c r="AG45" i="16" s="1"/>
  <c r="AF42" i="16"/>
  <c r="AF45" i="16"/>
  <c r="AE42" i="16"/>
  <c r="AD42" i="16"/>
  <c r="X36" i="3" s="1"/>
  <c r="AC42" i="16"/>
  <c r="AA34" i="3" s="1"/>
  <c r="AB42" i="16"/>
  <c r="Y33" i="3" s="1"/>
  <c r="AA42" i="16"/>
  <c r="AA45" i="16"/>
  <c r="Z42" i="16"/>
  <c r="Y42" i="16"/>
  <c r="X42" i="16"/>
  <c r="W42" i="16"/>
  <c r="V42" i="16"/>
  <c r="U42" i="16"/>
  <c r="T42" i="16"/>
  <c r="S42" i="16"/>
  <c r="R42" i="16"/>
  <c r="Q42" i="16"/>
  <c r="P42" i="16"/>
  <c r="P45" i="16" s="1"/>
  <c r="O42" i="16"/>
  <c r="N42" i="16"/>
  <c r="AB17" i="3" s="1"/>
  <c r="M42" i="16"/>
  <c r="L42" i="16"/>
  <c r="AB15" i="3" s="1"/>
  <c r="K42" i="16"/>
  <c r="J42" i="16"/>
  <c r="Z12" i="3" s="1"/>
  <c r="I42" i="16"/>
  <c r="H42" i="16"/>
  <c r="G42" i="16"/>
  <c r="G45" i="16"/>
  <c r="F42" i="16"/>
  <c r="E42" i="16"/>
  <c r="AN41" i="16"/>
  <c r="AN44" i="16"/>
  <c r="AM41" i="16"/>
  <c r="AM44" i="16"/>
  <c r="AL41" i="16"/>
  <c r="AL44" i="16"/>
  <c r="AK41" i="16"/>
  <c r="AK44" i="16"/>
  <c r="AJ41" i="16"/>
  <c r="AJ44" i="16" s="1"/>
  <c r="AI41" i="16"/>
  <c r="AI44" i="16" s="1"/>
  <c r="AH41" i="16"/>
  <c r="AH44" i="16"/>
  <c r="AG41" i="16"/>
  <c r="AG44" i="16" s="1"/>
  <c r="AF41" i="16"/>
  <c r="AF44" i="16"/>
  <c r="AE41" i="16"/>
  <c r="AE44" i="16" s="1"/>
  <c r="AD41" i="16"/>
  <c r="AD44" i="16" s="1"/>
  <c r="AC41" i="16"/>
  <c r="AC44" i="16"/>
  <c r="AB41" i="16"/>
  <c r="AB44" i="16"/>
  <c r="AA41" i="16"/>
  <c r="AA44" i="16" s="1"/>
  <c r="Z41" i="16"/>
  <c r="Z44" i="16"/>
  <c r="Y41" i="16"/>
  <c r="Y44" i="16"/>
  <c r="X41" i="16"/>
  <c r="X44" i="16"/>
  <c r="W41" i="16"/>
  <c r="W44" i="16" s="1"/>
  <c r="V41" i="16"/>
  <c r="V44" i="16"/>
  <c r="U41" i="16"/>
  <c r="U44" i="16" s="1"/>
  <c r="T41" i="16"/>
  <c r="T44" i="16"/>
  <c r="S41" i="16"/>
  <c r="S44" i="16" s="1"/>
  <c r="R41" i="16"/>
  <c r="R44" i="16"/>
  <c r="Q41" i="16"/>
  <c r="Q44" i="16"/>
  <c r="P41" i="16"/>
  <c r="P44" i="16"/>
  <c r="O41" i="16"/>
  <c r="O44" i="16" s="1"/>
  <c r="N41" i="16"/>
  <c r="N44" i="16"/>
  <c r="M41" i="16"/>
  <c r="M44" i="16" s="1"/>
  <c r="L41" i="16"/>
  <c r="L44" i="16" s="1"/>
  <c r="K41" i="16"/>
  <c r="K44" i="16"/>
  <c r="J41" i="16"/>
  <c r="J44" i="16"/>
  <c r="I41" i="16"/>
  <c r="I44" i="16" s="1"/>
  <c r="H41" i="16"/>
  <c r="H44" i="16"/>
  <c r="G41" i="16"/>
  <c r="G44" i="16" s="1"/>
  <c r="F41" i="16"/>
  <c r="F44" i="16" s="1"/>
  <c r="E41" i="16"/>
  <c r="E44" i="16"/>
  <c r="D43" i="16"/>
  <c r="D42" i="16"/>
  <c r="D41" i="16"/>
  <c r="D44" i="16" s="1"/>
  <c r="F45" i="16"/>
  <c r="Z8" i="3"/>
  <c r="X8" i="3"/>
  <c r="AC8" i="3"/>
  <c r="Y8" i="3"/>
  <c r="AB8" i="3"/>
  <c r="AA8" i="3"/>
  <c r="J45" i="16"/>
  <c r="X12" i="3"/>
  <c r="AA12" i="3"/>
  <c r="AB20" i="3"/>
  <c r="AC20" i="3"/>
  <c r="X20" i="3"/>
  <c r="AA20" i="3"/>
  <c r="AD45" i="16"/>
  <c r="Z36" i="3"/>
  <c r="AB35" i="3"/>
  <c r="X35" i="3"/>
  <c r="AC36" i="3"/>
  <c r="AB36" i="3"/>
  <c r="Y35" i="3"/>
  <c r="AA36" i="3"/>
  <c r="AC35" i="3"/>
  <c r="F46" i="16"/>
  <c r="R8" i="3"/>
  <c r="Q8" i="3"/>
  <c r="T8" i="3"/>
  <c r="U8" i="3"/>
  <c r="S8" i="3"/>
  <c r="AO8" i="3" s="1"/>
  <c r="J46" i="16"/>
  <c r="V12" i="3"/>
  <c r="R12" i="3"/>
  <c r="U12" i="3"/>
  <c r="Q12" i="3"/>
  <c r="AM12" i="3" s="1"/>
  <c r="T12" i="3"/>
  <c r="AP12" i="3" s="1"/>
  <c r="S12" i="3"/>
  <c r="R46" i="16"/>
  <c r="U25" i="3"/>
  <c r="Q25" i="3"/>
  <c r="U31" i="3"/>
  <c r="Q31" i="3"/>
  <c r="AD46" i="16"/>
  <c r="V36" i="3"/>
  <c r="AR36" i="3" s="1"/>
  <c r="R36" i="3"/>
  <c r="S36" i="3"/>
  <c r="AO36" i="3" s="1"/>
  <c r="U35" i="3"/>
  <c r="AQ35" i="3" s="1"/>
  <c r="AB5" i="3"/>
  <c r="X5" i="3"/>
  <c r="Z5" i="3"/>
  <c r="AA5" i="3"/>
  <c r="AC5" i="3"/>
  <c r="Y5" i="3"/>
  <c r="K45" i="16"/>
  <c r="AB13" i="3"/>
  <c r="X13" i="3"/>
  <c r="AA13" i="3"/>
  <c r="Z13" i="3"/>
  <c r="AC13" i="3"/>
  <c r="Y13" i="3"/>
  <c r="K46" i="16"/>
  <c r="T13" i="3"/>
  <c r="AP13" i="3" s="1"/>
  <c r="V13" i="3"/>
  <c r="S13" i="3"/>
  <c r="R13" i="3"/>
  <c r="AN13" i="3" s="1"/>
  <c r="U13" i="3"/>
  <c r="AQ13" i="3" s="1"/>
  <c r="Q13" i="3"/>
  <c r="AM13" i="3" s="1"/>
  <c r="O46" i="16"/>
  <c r="V18" i="3"/>
  <c r="R18" i="3"/>
  <c r="U18" i="3"/>
  <c r="T18" i="3"/>
  <c r="S18" i="3"/>
  <c r="W46" i="16"/>
  <c r="V26" i="3"/>
  <c r="R26" i="3"/>
  <c r="T37" i="3"/>
  <c r="AP37" i="3" s="1"/>
  <c r="V37" i="3"/>
  <c r="R37" i="3"/>
  <c r="S37" i="3"/>
  <c r="U37" i="3"/>
  <c r="Q37" i="3"/>
  <c r="H45" i="16"/>
  <c r="Z10" i="3"/>
  <c r="X10" i="3"/>
  <c r="AC10" i="3"/>
  <c r="AB10" i="3"/>
  <c r="L45" i="16"/>
  <c r="X15" i="3"/>
  <c r="Z14" i="3"/>
  <c r="AB14" i="3"/>
  <c r="X14" i="3"/>
  <c r="AA15" i="3"/>
  <c r="AC14" i="3"/>
  <c r="Y14" i="3"/>
  <c r="Z15" i="3"/>
  <c r="Y15" i="3"/>
  <c r="AA14" i="3"/>
  <c r="AC15" i="3"/>
  <c r="AR15" i="3" s="1"/>
  <c r="T45" i="16"/>
  <c r="X22" i="3"/>
  <c r="AB45" i="16"/>
  <c r="AB33" i="3"/>
  <c r="AC33" i="3"/>
  <c r="AC39" i="3"/>
  <c r="AA40" i="3"/>
  <c r="X38" i="3"/>
  <c r="AB40" i="3"/>
  <c r="Z39" i="3"/>
  <c r="Y38" i="3"/>
  <c r="AN38" i="3" s="1"/>
  <c r="T15" i="3"/>
  <c r="V14" i="3"/>
  <c r="R14" i="3"/>
  <c r="U14" i="3"/>
  <c r="Q14" i="3"/>
  <c r="V15" i="3"/>
  <c r="T14" i="3"/>
  <c r="S15" i="3"/>
  <c r="AO15" i="3" s="1"/>
  <c r="R15" i="3"/>
  <c r="AN15" i="3" s="1"/>
  <c r="Q15" i="3"/>
  <c r="S14" i="3"/>
  <c r="AO14" i="3" s="1"/>
  <c r="U15" i="3"/>
  <c r="AQ15" i="3" s="1"/>
  <c r="T46" i="16"/>
  <c r="Q22" i="3"/>
  <c r="X46" i="16"/>
  <c r="T27" i="3"/>
  <c r="R27" i="3"/>
  <c r="S27" i="3"/>
  <c r="Q27" i="3"/>
  <c r="AB46" i="16"/>
  <c r="T33" i="3"/>
  <c r="R38" i="3"/>
  <c r="U40" i="3"/>
  <c r="AQ40" i="3" s="1"/>
  <c r="Q40" i="3"/>
  <c r="S39" i="3"/>
  <c r="AO39" i="3" s="1"/>
  <c r="U38" i="3"/>
  <c r="Q38" i="3"/>
  <c r="V39" i="3"/>
  <c r="T38" i="3"/>
  <c r="S40" i="3"/>
  <c r="U39" i="3"/>
  <c r="Q39" i="3"/>
  <c r="S38" i="3"/>
  <c r="N45" i="16"/>
  <c r="X17" i="3"/>
  <c r="Z17" i="3"/>
  <c r="AA17" i="3"/>
  <c r="AC17" i="3"/>
  <c r="Y17" i="3"/>
  <c r="T17" i="3"/>
  <c r="V17" i="3"/>
  <c r="S17" i="3"/>
  <c r="R17" i="3"/>
  <c r="AN17" i="3" s="1"/>
  <c r="U17" i="3"/>
  <c r="Q17" i="3"/>
  <c r="O45" i="16"/>
  <c r="Z18" i="3"/>
  <c r="AB18" i="3"/>
  <c r="AQ18" i="3" s="1"/>
  <c r="AC18" i="3"/>
  <c r="Y18" i="3"/>
  <c r="AN18" i="3" s="1"/>
  <c r="AA18" i="3"/>
  <c r="AE45" i="16"/>
  <c r="AB37" i="3"/>
  <c r="AQ37" i="3" s="1"/>
  <c r="X37" i="3"/>
  <c r="Z37" i="3"/>
  <c r="AO37" i="3" s="1"/>
  <c r="AA37" i="3"/>
  <c r="AC37" i="3"/>
  <c r="Y37" i="3"/>
  <c r="AN37" i="3" s="1"/>
  <c r="S46" i="16"/>
  <c r="T21" i="3"/>
  <c r="V21" i="3"/>
  <c r="S21" i="3"/>
  <c r="R21" i="3"/>
  <c r="Q21" i="3"/>
  <c r="I45" i="16"/>
  <c r="AB11" i="3"/>
  <c r="X11" i="3"/>
  <c r="Z11" i="3"/>
  <c r="AA11" i="3"/>
  <c r="AP11" i="3" s="1"/>
  <c r="Y11" i="3"/>
  <c r="AN11" i="3" s="1"/>
  <c r="AC11" i="3"/>
  <c r="M45" i="16"/>
  <c r="Z16" i="3"/>
  <c r="X16" i="3"/>
  <c r="AC16" i="3"/>
  <c r="Y16" i="3"/>
  <c r="AB16" i="3"/>
  <c r="AA16" i="3"/>
  <c r="Q45" i="16"/>
  <c r="AB19" i="3"/>
  <c r="X19" i="3"/>
  <c r="Y30" i="3"/>
  <c r="AB30" i="3"/>
  <c r="AA30" i="3"/>
  <c r="AC45" i="16"/>
  <c r="Z34" i="3"/>
  <c r="X34" i="3"/>
  <c r="AC34" i="3"/>
  <c r="Y34" i="3"/>
  <c r="U7" i="3"/>
  <c r="I46" i="16"/>
  <c r="T11" i="3"/>
  <c r="V11" i="3"/>
  <c r="S11" i="3"/>
  <c r="R11" i="3"/>
  <c r="Q11" i="3"/>
  <c r="U11" i="3"/>
  <c r="M46" i="16"/>
  <c r="V16" i="3"/>
  <c r="R16" i="3"/>
  <c r="U16" i="3"/>
  <c r="Q16" i="3"/>
  <c r="T16" i="3"/>
  <c r="S16" i="3"/>
  <c r="Q46" i="16"/>
  <c r="V23" i="3"/>
  <c r="S23" i="3"/>
  <c r="Q23" i="3"/>
  <c r="U23" i="3"/>
  <c r="U30" i="3"/>
  <c r="AQ30" i="3"/>
  <c r="S30" i="3"/>
  <c r="N46" i="16"/>
  <c r="Y12" i="20"/>
  <c r="Y23" i="20" s="1"/>
  <c r="Y13" i="20"/>
  <c r="AB198" i="32"/>
  <c r="Y15" i="20"/>
  <c r="AN23" i="16"/>
  <c r="AM23" i="16"/>
  <c r="AM26" i="16"/>
  <c r="AL23" i="16"/>
  <c r="AL26" i="16"/>
  <c r="AK23" i="16"/>
  <c r="AK26" i="16"/>
  <c r="AJ23" i="16"/>
  <c r="AJ26" i="16"/>
  <c r="AI23" i="16"/>
  <c r="AH23" i="16"/>
  <c r="AH26" i="16"/>
  <c r="AG23" i="16"/>
  <c r="AG26" i="16" s="1"/>
  <c r="AF23" i="16"/>
  <c r="AF26" i="16"/>
  <c r="AE23" i="16"/>
  <c r="AE26" i="16" s="1"/>
  <c r="AD23" i="16"/>
  <c r="AC23" i="16"/>
  <c r="AB23" i="16"/>
  <c r="AB26" i="16" s="1"/>
  <c r="AA23" i="16"/>
  <c r="AA26" i="16" s="1"/>
  <c r="Z23" i="16"/>
  <c r="Z26" i="16" s="1"/>
  <c r="Y23" i="16"/>
  <c r="U30" i="1" s="1"/>
  <c r="X23" i="16"/>
  <c r="S27" i="1" s="1"/>
  <c r="AO27" i="1" s="1"/>
  <c r="W23" i="16"/>
  <c r="V23" i="16"/>
  <c r="U23" i="16"/>
  <c r="T23" i="16"/>
  <c r="S23" i="16"/>
  <c r="R23" i="16"/>
  <c r="R20" i="1" s="1"/>
  <c r="AN20" i="1" s="1"/>
  <c r="Q23" i="16"/>
  <c r="T19" i="1" s="1"/>
  <c r="AP19" i="1" s="1"/>
  <c r="P23" i="16"/>
  <c r="P26" i="16"/>
  <c r="O23" i="16"/>
  <c r="N23" i="16"/>
  <c r="M23" i="16"/>
  <c r="M26" i="16" s="1"/>
  <c r="L23" i="16"/>
  <c r="K23" i="16"/>
  <c r="T13" i="1" s="1"/>
  <c r="J23" i="16"/>
  <c r="R12" i="1" s="1"/>
  <c r="AN12" i="1" s="1"/>
  <c r="I23" i="16"/>
  <c r="H23" i="16"/>
  <c r="G23" i="16"/>
  <c r="F23" i="16"/>
  <c r="E23" i="16"/>
  <c r="D23" i="16"/>
  <c r="S5" i="1" s="1"/>
  <c r="AM25" i="16"/>
  <c r="AL25" i="16"/>
  <c r="AK25" i="16"/>
  <c r="AJ25" i="16"/>
  <c r="AH25" i="16"/>
  <c r="AG25" i="16"/>
  <c r="AF25" i="16"/>
  <c r="P25" i="16"/>
  <c r="AN24" i="16"/>
  <c r="AM24" i="16"/>
  <c r="AL24" i="16"/>
  <c r="AK24" i="16"/>
  <c r="AJ24" i="16"/>
  <c r="AI24" i="16"/>
  <c r="AH24" i="16"/>
  <c r="AG24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AN14" i="3"/>
  <c r="AP15" i="3"/>
  <c r="AR14" i="3"/>
  <c r="AM14" i="3"/>
  <c r="AO12" i="3"/>
  <c r="AP14" i="3"/>
  <c r="AO13" i="3"/>
  <c r="AQ14" i="3"/>
  <c r="AM22" i="3"/>
  <c r="AM15" i="3"/>
  <c r="AM37" i="3"/>
  <c r="AR37" i="3"/>
  <c r="AR13" i="3"/>
  <c r="AB7" i="1"/>
  <c r="X7" i="1"/>
  <c r="AM7" i="1" s="1"/>
  <c r="AA7" i="1"/>
  <c r="Z7" i="1"/>
  <c r="AC7" i="1"/>
  <c r="Y7" i="1"/>
  <c r="AB11" i="1"/>
  <c r="X11" i="1"/>
  <c r="Y11" i="1"/>
  <c r="AA11" i="1"/>
  <c r="Z11" i="1"/>
  <c r="AC11" i="1"/>
  <c r="AB19" i="1"/>
  <c r="X19" i="1"/>
  <c r="Y19" i="1"/>
  <c r="AA19" i="1"/>
  <c r="Z19" i="1"/>
  <c r="AC19" i="1"/>
  <c r="AB23" i="1"/>
  <c r="X23" i="1"/>
  <c r="AM23" i="1" s="1"/>
  <c r="AA23" i="1"/>
  <c r="AP23" i="1" s="1"/>
  <c r="Z23" i="1"/>
  <c r="AO23" i="1" s="1"/>
  <c r="AC23" i="1"/>
  <c r="AR23" i="1" s="1"/>
  <c r="Y23" i="1"/>
  <c r="AN23" i="1" s="1"/>
  <c r="Z34" i="1"/>
  <c r="AA34" i="1"/>
  <c r="AC34" i="1"/>
  <c r="Y34" i="1"/>
  <c r="AB34" i="1"/>
  <c r="X34" i="1"/>
  <c r="U5" i="1"/>
  <c r="U10" i="1"/>
  <c r="AQ10" i="1" s="1"/>
  <c r="Q10" i="1"/>
  <c r="T10" i="1"/>
  <c r="AP10" i="1" s="1"/>
  <c r="S10" i="1"/>
  <c r="AO10" i="1" s="1"/>
  <c r="V10" i="1"/>
  <c r="R27" i="1"/>
  <c r="T27" i="1"/>
  <c r="AP27" i="1" s="1"/>
  <c r="S33" i="1"/>
  <c r="AO33" i="1" s="1"/>
  <c r="Z8" i="1"/>
  <c r="AA8" i="1"/>
  <c r="AC8" i="1"/>
  <c r="Y8" i="1"/>
  <c r="AB8" i="1"/>
  <c r="X8" i="1"/>
  <c r="Z12" i="1"/>
  <c r="AO12" i="1" s="1"/>
  <c r="AC12" i="1"/>
  <c r="Y12" i="1"/>
  <c r="AB12" i="1"/>
  <c r="X12" i="1"/>
  <c r="AA12" i="1"/>
  <c r="Z20" i="1"/>
  <c r="AC20" i="1"/>
  <c r="AR20" i="1" s="1"/>
  <c r="Y20" i="1"/>
  <c r="AB20" i="1"/>
  <c r="X20" i="1"/>
  <c r="AA20" i="1"/>
  <c r="AB25" i="1"/>
  <c r="X25" i="1"/>
  <c r="Y25" i="1"/>
  <c r="AA25" i="1"/>
  <c r="Z25" i="1"/>
  <c r="AC25" i="1"/>
  <c r="AB31" i="1"/>
  <c r="X31" i="1"/>
  <c r="Y31" i="1"/>
  <c r="AA31" i="1"/>
  <c r="Z31" i="1"/>
  <c r="AO31" i="1" s="1"/>
  <c r="AC31" i="1"/>
  <c r="Z36" i="1"/>
  <c r="AB35" i="1"/>
  <c r="X35" i="1"/>
  <c r="AA36" i="1"/>
  <c r="AC36" i="1"/>
  <c r="Y36" i="1"/>
  <c r="AA35" i="1"/>
  <c r="AB36" i="1"/>
  <c r="X36" i="1"/>
  <c r="Z35" i="1"/>
  <c r="AC35" i="1"/>
  <c r="Y35" i="1"/>
  <c r="Q7" i="1"/>
  <c r="T7" i="1"/>
  <c r="AP7" i="1"/>
  <c r="U16" i="1"/>
  <c r="Q16" i="1"/>
  <c r="R16" i="1"/>
  <c r="AN16" i="1" s="1"/>
  <c r="T16" i="1"/>
  <c r="S16" i="1"/>
  <c r="V16" i="1"/>
  <c r="AR16" i="1" s="1"/>
  <c r="S19" i="1"/>
  <c r="U19" i="1"/>
  <c r="V19" i="1"/>
  <c r="R19" i="1"/>
  <c r="Q19" i="1"/>
  <c r="AM19" i="1"/>
  <c r="S23" i="1"/>
  <c r="Q23" i="1"/>
  <c r="T23" i="1"/>
  <c r="V23" i="1"/>
  <c r="R23" i="1"/>
  <c r="U23" i="1"/>
  <c r="Q30" i="1"/>
  <c r="AM30" i="1" s="1"/>
  <c r="V30" i="1"/>
  <c r="T30" i="1"/>
  <c r="AP30" i="1" s="1"/>
  <c r="S30" i="1"/>
  <c r="AO30" i="1" s="1"/>
  <c r="R30" i="1"/>
  <c r="AN30" i="1" s="1"/>
  <c r="U34" i="1"/>
  <c r="Q34" i="1"/>
  <c r="AM34" i="1" s="1"/>
  <c r="T34" i="1"/>
  <c r="AP34" i="1" s="1"/>
  <c r="S34" i="1"/>
  <c r="AO34" i="1" s="1"/>
  <c r="V34" i="1"/>
  <c r="R34" i="1"/>
  <c r="AB13" i="1"/>
  <c r="X13" i="1"/>
  <c r="Y13" i="1"/>
  <c r="AA13" i="1"/>
  <c r="Z13" i="1"/>
  <c r="AC13" i="1"/>
  <c r="Z18" i="1"/>
  <c r="AC18" i="1"/>
  <c r="Y18" i="1"/>
  <c r="AB18" i="1"/>
  <c r="AA18" i="1"/>
  <c r="AB21" i="1"/>
  <c r="AC21" i="1"/>
  <c r="AR21" i="1" s="1"/>
  <c r="AA21" i="1"/>
  <c r="AP21" i="1" s="1"/>
  <c r="Z26" i="1"/>
  <c r="AC26" i="1"/>
  <c r="Y26" i="1"/>
  <c r="AB26" i="1"/>
  <c r="AQ26" i="1" s="1"/>
  <c r="X26" i="1"/>
  <c r="AA26" i="1"/>
  <c r="AB37" i="1"/>
  <c r="X37" i="1"/>
  <c r="AA37" i="1"/>
  <c r="Z37" i="1"/>
  <c r="Y37" i="1"/>
  <c r="U12" i="1"/>
  <c r="AQ12" i="1"/>
  <c r="Q12" i="1"/>
  <c r="AM12" i="1"/>
  <c r="T12" i="1"/>
  <c r="S12" i="1"/>
  <c r="V12" i="1"/>
  <c r="U20" i="1"/>
  <c r="Q20" i="1"/>
  <c r="T20" i="1"/>
  <c r="S20" i="1"/>
  <c r="V20" i="1"/>
  <c r="S25" i="1"/>
  <c r="V25" i="1"/>
  <c r="R25" i="1"/>
  <c r="U25" i="1"/>
  <c r="Q25" i="1"/>
  <c r="T25" i="1"/>
  <c r="S31" i="1"/>
  <c r="Q31" i="1"/>
  <c r="AM31" i="1" s="1"/>
  <c r="V31" i="1"/>
  <c r="U31" i="1"/>
  <c r="AQ31" i="1" s="1"/>
  <c r="T31" i="1"/>
  <c r="AP31" i="1" s="1"/>
  <c r="AD26" i="16"/>
  <c r="U36" i="1"/>
  <c r="Q36" i="1"/>
  <c r="S35" i="1"/>
  <c r="R36" i="1"/>
  <c r="AN36" i="1" s="1"/>
  <c r="Z16" i="1"/>
  <c r="AC16" i="1"/>
  <c r="Y16" i="1"/>
  <c r="AB16" i="1"/>
  <c r="X16" i="1"/>
  <c r="AA16" i="1"/>
  <c r="Z30" i="1"/>
  <c r="AC30" i="1"/>
  <c r="Y30" i="1"/>
  <c r="AB30" i="1"/>
  <c r="X30" i="1"/>
  <c r="AA30" i="1"/>
  <c r="L26" i="16"/>
  <c r="S15" i="1"/>
  <c r="AN26" i="16"/>
  <c r="U40" i="1"/>
  <c r="Q40" i="1"/>
  <c r="AM40" i="1" s="1"/>
  <c r="S39" i="1"/>
  <c r="U38" i="1"/>
  <c r="Q38" i="1"/>
  <c r="S38" i="1"/>
  <c r="AO38" i="1" s="1"/>
  <c r="R40" i="1"/>
  <c r="AN40" i="1" s="1"/>
  <c r="T40" i="1"/>
  <c r="V39" i="1"/>
  <c r="R39" i="1"/>
  <c r="T38" i="1"/>
  <c r="S40" i="1"/>
  <c r="AO40" i="1" s="1"/>
  <c r="U39" i="1"/>
  <c r="Q39" i="1"/>
  <c r="T39" i="1"/>
  <c r="V38" i="1"/>
  <c r="R38" i="1"/>
  <c r="AB17" i="1"/>
  <c r="X17" i="1"/>
  <c r="Y17" i="1"/>
  <c r="AA17" i="1"/>
  <c r="Z17" i="1"/>
  <c r="AC17" i="1"/>
  <c r="S11" i="1"/>
  <c r="U11" i="1"/>
  <c r="V11" i="1"/>
  <c r="R11" i="1"/>
  <c r="Q11" i="1"/>
  <c r="T11" i="1"/>
  <c r="D25" i="16"/>
  <c r="AA5" i="1"/>
  <c r="AB5" i="1"/>
  <c r="AQ5" i="1" s="1"/>
  <c r="Z5" i="1"/>
  <c r="AC5" i="1"/>
  <c r="Y5" i="1"/>
  <c r="X5" i="1"/>
  <c r="Z10" i="1"/>
  <c r="AC10" i="1"/>
  <c r="AB10" i="1"/>
  <c r="X10" i="1"/>
  <c r="AA10" i="1"/>
  <c r="AB15" i="1"/>
  <c r="X15" i="1"/>
  <c r="Z14" i="1"/>
  <c r="Y15" i="1"/>
  <c r="AA15" i="1"/>
  <c r="AC14" i="1"/>
  <c r="Y14" i="1"/>
  <c r="Z15" i="1"/>
  <c r="AB14" i="1"/>
  <c r="X14" i="1"/>
  <c r="AC15" i="1"/>
  <c r="AA14" i="1"/>
  <c r="X27" i="1"/>
  <c r="Y27" i="1"/>
  <c r="AA27" i="1"/>
  <c r="Z27" i="1"/>
  <c r="AB33" i="1"/>
  <c r="AA33" i="1"/>
  <c r="Z33" i="1"/>
  <c r="AC33" i="1"/>
  <c r="Y33" i="1"/>
  <c r="Z40" i="1"/>
  <c r="AB39" i="1"/>
  <c r="X39" i="1"/>
  <c r="Z38" i="1"/>
  <c r="AC39" i="1"/>
  <c r="Y40" i="1"/>
  <c r="AA39" i="1"/>
  <c r="AP39" i="1" s="1"/>
  <c r="AC38" i="1"/>
  <c r="AR38" i="1" s="1"/>
  <c r="Y38" i="1"/>
  <c r="AN38" i="1" s="1"/>
  <c r="AB40" i="1"/>
  <c r="X40" i="1"/>
  <c r="Z39" i="1"/>
  <c r="AB38" i="1"/>
  <c r="X38" i="1"/>
  <c r="AA40" i="1"/>
  <c r="Y39" i="1"/>
  <c r="AA38" i="1"/>
  <c r="S13" i="1"/>
  <c r="AO13" i="1" s="1"/>
  <c r="U13" i="1"/>
  <c r="AQ13" i="1" s="1"/>
  <c r="V13" i="1"/>
  <c r="R13" i="1"/>
  <c r="Q13" i="1"/>
  <c r="V21" i="1"/>
  <c r="U21" i="1"/>
  <c r="T21" i="1"/>
  <c r="U26" i="1"/>
  <c r="Q26" i="1"/>
  <c r="S26" i="1"/>
  <c r="V26" i="1"/>
  <c r="AR26" i="1" s="1"/>
  <c r="T26" i="1"/>
  <c r="R26" i="1"/>
  <c r="S37" i="1"/>
  <c r="AO37" i="1" s="1"/>
  <c r="T37" i="1"/>
  <c r="R37" i="1"/>
  <c r="AN37" i="1" s="1"/>
  <c r="U37" i="1"/>
  <c r="AQ37" i="1" s="1"/>
  <c r="Q37" i="1"/>
  <c r="AM37" i="1" s="1"/>
  <c r="T26" i="16"/>
  <c r="D26" i="16"/>
  <c r="H26" i="16"/>
  <c r="J26" i="16"/>
  <c r="R26" i="16"/>
  <c r="V26" i="16"/>
  <c r="F25" i="16"/>
  <c r="J25" i="16"/>
  <c r="N25" i="16"/>
  <c r="R25" i="16"/>
  <c r="V25" i="16"/>
  <c r="Z25" i="16"/>
  <c r="AD25" i="16"/>
  <c r="G25" i="16"/>
  <c r="K25" i="16"/>
  <c r="O25" i="16"/>
  <c r="S25" i="16"/>
  <c r="W25" i="16"/>
  <c r="AA25" i="16"/>
  <c r="AE25" i="16"/>
  <c r="AI25" i="16"/>
  <c r="G26" i="16"/>
  <c r="K26" i="16"/>
  <c r="S26" i="16"/>
  <c r="W26" i="16"/>
  <c r="H25" i="16"/>
  <c r="L25" i="16"/>
  <c r="T25" i="16"/>
  <c r="X25" i="16"/>
  <c r="AB25" i="16"/>
  <c r="AN25" i="16"/>
  <c r="E25" i="16"/>
  <c r="I25" i="16"/>
  <c r="M25" i="16"/>
  <c r="Q25" i="16"/>
  <c r="U25" i="16"/>
  <c r="Y25" i="16"/>
  <c r="AC25" i="16"/>
  <c r="I26" i="16"/>
  <c r="Q26" i="16"/>
  <c r="U26" i="16"/>
  <c r="Y26" i="16"/>
  <c r="AC26" i="16"/>
  <c r="X32" i="5"/>
  <c r="AX32" i="5" s="1"/>
  <c r="W32" i="5"/>
  <c r="K39" i="4"/>
  <c r="K38" i="4"/>
  <c r="K36" i="4"/>
  <c r="K35" i="4"/>
  <c r="K34" i="4"/>
  <c r="K31" i="4"/>
  <c r="K30" i="4"/>
  <c r="K26" i="4"/>
  <c r="K25" i="4"/>
  <c r="K23" i="4"/>
  <c r="K21" i="4"/>
  <c r="K20" i="4"/>
  <c r="K19" i="4"/>
  <c r="K17" i="4"/>
  <c r="K16" i="4"/>
  <c r="K15" i="4"/>
  <c r="K14" i="4"/>
  <c r="K13" i="4"/>
  <c r="K12" i="4"/>
  <c r="K11" i="4"/>
  <c r="K8" i="4"/>
  <c r="K7" i="4"/>
  <c r="K5" i="4"/>
  <c r="K39" i="2"/>
  <c r="K38" i="2"/>
  <c r="K37" i="2"/>
  <c r="K36" i="2"/>
  <c r="K35" i="2"/>
  <c r="K34" i="2"/>
  <c r="K31" i="2"/>
  <c r="K30" i="2"/>
  <c r="K26" i="2"/>
  <c r="K25" i="2"/>
  <c r="K23" i="2"/>
  <c r="K20" i="2"/>
  <c r="K19" i="2"/>
  <c r="K17" i="2"/>
  <c r="K16" i="2"/>
  <c r="K15" i="2"/>
  <c r="K14" i="2"/>
  <c r="K13" i="2"/>
  <c r="K12" i="2"/>
  <c r="K11" i="2"/>
  <c r="K8" i="2"/>
  <c r="K7" i="2"/>
  <c r="K5" i="2"/>
  <c r="K39" i="3"/>
  <c r="K38" i="3"/>
  <c r="K37" i="3"/>
  <c r="K36" i="3"/>
  <c r="K35" i="3"/>
  <c r="K34" i="3"/>
  <c r="K31" i="3"/>
  <c r="K30" i="3"/>
  <c r="K26" i="3"/>
  <c r="K25" i="3"/>
  <c r="W25" i="3" s="1"/>
  <c r="K23" i="3"/>
  <c r="K21" i="3"/>
  <c r="K20" i="3"/>
  <c r="K19" i="3"/>
  <c r="K17" i="3"/>
  <c r="K16" i="3"/>
  <c r="K15" i="3"/>
  <c r="AD15" i="3" s="1"/>
  <c r="K14" i="3"/>
  <c r="K13" i="3"/>
  <c r="K12" i="3"/>
  <c r="K11" i="3"/>
  <c r="K8" i="3"/>
  <c r="K7" i="3"/>
  <c r="AD7" i="3" s="1"/>
  <c r="K5" i="3"/>
  <c r="K39" i="1"/>
  <c r="W39" i="1" s="1"/>
  <c r="K38" i="1"/>
  <c r="AD38" i="1" s="1"/>
  <c r="K36" i="1"/>
  <c r="AD36" i="1" s="1"/>
  <c r="K35" i="1"/>
  <c r="K34" i="1"/>
  <c r="W34" i="1"/>
  <c r="K31" i="1"/>
  <c r="K30" i="1"/>
  <c r="W30" i="1" s="1"/>
  <c r="AD30" i="1"/>
  <c r="K26" i="1"/>
  <c r="W26" i="1" s="1"/>
  <c r="AD26" i="1"/>
  <c r="K25" i="1"/>
  <c r="W25" i="1"/>
  <c r="K23" i="1"/>
  <c r="W23" i="1" s="1"/>
  <c r="AD23" i="1"/>
  <c r="K20" i="1"/>
  <c r="AD20" i="1" s="1"/>
  <c r="K19" i="1"/>
  <c r="W19" i="1"/>
  <c r="K17" i="1"/>
  <c r="K16" i="1"/>
  <c r="K15" i="1"/>
  <c r="K14" i="1"/>
  <c r="K13" i="1"/>
  <c r="AD13" i="1" s="1"/>
  <c r="K12" i="1"/>
  <c r="AD12" i="1" s="1"/>
  <c r="K11" i="1"/>
  <c r="W11" i="1" s="1"/>
  <c r="K8" i="1"/>
  <c r="W8" i="1" s="1"/>
  <c r="AD8" i="1"/>
  <c r="K7" i="1"/>
  <c r="W7" i="1" s="1"/>
  <c r="AD7" i="1"/>
  <c r="K5" i="1"/>
  <c r="G28" i="5"/>
  <c r="I28" i="5" s="1"/>
  <c r="O27" i="5"/>
  <c r="N27" i="5"/>
  <c r="R27" i="5" s="1"/>
  <c r="O26" i="5"/>
  <c r="N26" i="5"/>
  <c r="O25" i="5"/>
  <c r="N25" i="5"/>
  <c r="R25" i="5" s="1"/>
  <c r="O5" i="5"/>
  <c r="N5" i="5"/>
  <c r="AJ40" i="5"/>
  <c r="AJ39" i="5"/>
  <c r="AJ38" i="5"/>
  <c r="AJ37" i="5"/>
  <c r="AJ36" i="5"/>
  <c r="AJ35" i="5"/>
  <c r="AJ34" i="5"/>
  <c r="AJ33" i="5"/>
  <c r="AJ31" i="5"/>
  <c r="Z4" i="18" s="1"/>
  <c r="AC24" i="32" s="1"/>
  <c r="AJ30" i="5"/>
  <c r="Y4" i="18" s="1"/>
  <c r="AJ27" i="5"/>
  <c r="Y27" i="5" s="1"/>
  <c r="AJ26" i="5"/>
  <c r="W4" i="18" s="1"/>
  <c r="AJ25" i="5"/>
  <c r="AJ23" i="5"/>
  <c r="U4" i="18" s="1"/>
  <c r="U6" i="18" s="1"/>
  <c r="AJ21" i="5"/>
  <c r="S4" i="18" s="1"/>
  <c r="AJ20" i="5"/>
  <c r="R4" i="18" s="1"/>
  <c r="U24" i="32" s="1"/>
  <c r="AJ18" i="5"/>
  <c r="O4" i="18" s="1"/>
  <c r="O7" i="18" s="1"/>
  <c r="AJ17" i="5"/>
  <c r="N4" i="18" s="1"/>
  <c r="AJ16" i="5"/>
  <c r="AJ15" i="5"/>
  <c r="P4" i="18" s="1"/>
  <c r="AJ14" i="5"/>
  <c r="L4" i="18" s="1"/>
  <c r="AJ13" i="5"/>
  <c r="K4" i="18" s="1"/>
  <c r="AJ12" i="5"/>
  <c r="AJ11" i="5"/>
  <c r="AJ8" i="5"/>
  <c r="AJ7" i="5"/>
  <c r="AI32" i="5"/>
  <c r="AJ32" i="5"/>
  <c r="AA4" i="18"/>
  <c r="AH32" i="5"/>
  <c r="AA4" i="20"/>
  <c r="AA5" i="20" s="1"/>
  <c r="AA8" i="20" s="1"/>
  <c r="AI29" i="5"/>
  <c r="AJ29" i="5" s="1"/>
  <c r="AL4" i="18" s="1"/>
  <c r="AO24" i="32"/>
  <c r="AH29" i="5"/>
  <c r="AL4" i="20"/>
  <c r="AL5" i="20"/>
  <c r="AO160" i="32"/>
  <c r="AI28" i="5"/>
  <c r="AH28" i="5"/>
  <c r="AK4" i="20"/>
  <c r="AI24" i="5"/>
  <c r="AH24" i="5"/>
  <c r="AN4" i="20"/>
  <c r="AN5" i="20" s="1"/>
  <c r="AI22" i="5"/>
  <c r="AJ22" i="5"/>
  <c r="T4" i="18"/>
  <c r="AH22" i="5"/>
  <c r="T4" i="20"/>
  <c r="T5" i="20" s="1"/>
  <c r="AI19" i="5"/>
  <c r="AJ19" i="5" s="1"/>
  <c r="Q4" i="18"/>
  <c r="Q7" i="18" s="1"/>
  <c r="AH19" i="5"/>
  <c r="Q4" i="20" s="1"/>
  <c r="Q5" i="20" s="1"/>
  <c r="AI10" i="5"/>
  <c r="AJ10" i="5"/>
  <c r="H4" i="18" s="1"/>
  <c r="AH10" i="5"/>
  <c r="AI9" i="5"/>
  <c r="AJ9" i="5" s="1"/>
  <c r="G4" i="18" s="1"/>
  <c r="G7" i="18" s="1"/>
  <c r="AH9" i="5"/>
  <c r="AI6" i="5"/>
  <c r="AJ6" i="5" s="1"/>
  <c r="AJ4" i="18" s="1"/>
  <c r="AH6" i="5"/>
  <c r="AI4" i="5"/>
  <c r="AJ4" i="5"/>
  <c r="AI4" i="18" s="1"/>
  <c r="AI92" i="18" s="1"/>
  <c r="AI94" i="18" s="1"/>
  <c r="AH4" i="5"/>
  <c r="AI4" i="20"/>
  <c r="AI5" i="20"/>
  <c r="J40" i="5"/>
  <c r="I40" i="5"/>
  <c r="H40" i="5"/>
  <c r="J39" i="5"/>
  <c r="I39" i="5"/>
  <c r="H39" i="5"/>
  <c r="J38" i="5"/>
  <c r="I38" i="5"/>
  <c r="H38" i="5"/>
  <c r="J37" i="5"/>
  <c r="I37" i="5"/>
  <c r="H37" i="5"/>
  <c r="J35" i="5"/>
  <c r="I35" i="5"/>
  <c r="H35" i="5"/>
  <c r="J34" i="5"/>
  <c r="I34" i="5"/>
  <c r="H34" i="5"/>
  <c r="J33" i="5"/>
  <c r="I33" i="5"/>
  <c r="H33" i="5"/>
  <c r="J32" i="5"/>
  <c r="I32" i="5"/>
  <c r="H32" i="5"/>
  <c r="J31" i="5"/>
  <c r="I31" i="5"/>
  <c r="H31" i="5"/>
  <c r="J30" i="5"/>
  <c r="I30" i="5"/>
  <c r="H30" i="5"/>
  <c r="J27" i="5"/>
  <c r="I27" i="5"/>
  <c r="H27" i="5"/>
  <c r="J26" i="5"/>
  <c r="I26" i="5"/>
  <c r="H26" i="5"/>
  <c r="J25" i="5"/>
  <c r="I25" i="5"/>
  <c r="H25" i="5"/>
  <c r="J23" i="5"/>
  <c r="I23" i="5"/>
  <c r="H23" i="5"/>
  <c r="J22" i="5"/>
  <c r="I22" i="5"/>
  <c r="H22" i="5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J14" i="5"/>
  <c r="I14" i="5"/>
  <c r="H14" i="5"/>
  <c r="J13" i="5"/>
  <c r="I13" i="5"/>
  <c r="H13" i="5"/>
  <c r="J12" i="5"/>
  <c r="I12" i="5"/>
  <c r="H12" i="5"/>
  <c r="J11" i="5"/>
  <c r="I11" i="5"/>
  <c r="H11" i="5"/>
  <c r="J10" i="5"/>
  <c r="I10" i="5"/>
  <c r="H10" i="5"/>
  <c r="J9" i="5"/>
  <c r="I9" i="5"/>
  <c r="H9" i="5"/>
  <c r="J8" i="5"/>
  <c r="I8" i="5"/>
  <c r="H8" i="5"/>
  <c r="J7" i="5"/>
  <c r="I7" i="5"/>
  <c r="H7" i="5"/>
  <c r="G36" i="5"/>
  <c r="F36" i="5"/>
  <c r="E36" i="5"/>
  <c r="D36" i="5"/>
  <c r="G29" i="5"/>
  <c r="F29" i="5"/>
  <c r="E29" i="5"/>
  <c r="I29" i="5" s="1"/>
  <c r="D29" i="5"/>
  <c r="H29" i="5" s="1"/>
  <c r="F28" i="5"/>
  <c r="E28" i="5"/>
  <c r="D28" i="5"/>
  <c r="G24" i="5"/>
  <c r="F24" i="5"/>
  <c r="E24" i="5"/>
  <c r="H21" i="5"/>
  <c r="G6" i="5"/>
  <c r="F6" i="5"/>
  <c r="E6" i="5"/>
  <c r="D6" i="5"/>
  <c r="G4" i="5"/>
  <c r="F4" i="5"/>
  <c r="E4" i="5"/>
  <c r="D4" i="5"/>
  <c r="AC37" i="4"/>
  <c r="AC33" i="4"/>
  <c r="AB33" i="4"/>
  <c r="AG29" i="4"/>
  <c r="AF29" i="4"/>
  <c r="AE29" i="4"/>
  <c r="AD29" i="4"/>
  <c r="AC29" i="4"/>
  <c r="AB29" i="4"/>
  <c r="AG28" i="4"/>
  <c r="AF28" i="4"/>
  <c r="AE28" i="4"/>
  <c r="AD28" i="4"/>
  <c r="AC28" i="4"/>
  <c r="AB28" i="4"/>
  <c r="AG27" i="4"/>
  <c r="AF27" i="4"/>
  <c r="AG24" i="4"/>
  <c r="AF24" i="4"/>
  <c r="AE24" i="4"/>
  <c r="AD24" i="4"/>
  <c r="AC24" i="4"/>
  <c r="AB24" i="4"/>
  <c r="AG22" i="4"/>
  <c r="AF22" i="4"/>
  <c r="AE22" i="4"/>
  <c r="AD22" i="4"/>
  <c r="AC22" i="4"/>
  <c r="AB22" i="4"/>
  <c r="AG9" i="4"/>
  <c r="AF9" i="4"/>
  <c r="AE9" i="4"/>
  <c r="AD9" i="4"/>
  <c r="AC9" i="4"/>
  <c r="AB9" i="4"/>
  <c r="AG6" i="4"/>
  <c r="AF6" i="4"/>
  <c r="AE6" i="4"/>
  <c r="AD6" i="4"/>
  <c r="AC6" i="4"/>
  <c r="AB6" i="4"/>
  <c r="AG4" i="4"/>
  <c r="AF4" i="4"/>
  <c r="AE4" i="4"/>
  <c r="AD4" i="4"/>
  <c r="AC4" i="4"/>
  <c r="AB4" i="4"/>
  <c r="S39" i="2"/>
  <c r="R39" i="2"/>
  <c r="S35" i="2"/>
  <c r="R35" i="2"/>
  <c r="S34" i="2"/>
  <c r="R34" i="2"/>
  <c r="S31" i="2"/>
  <c r="R31" i="2"/>
  <c r="S30" i="2"/>
  <c r="R30" i="2"/>
  <c r="S28" i="2"/>
  <c r="R28" i="2"/>
  <c r="S27" i="2"/>
  <c r="R27" i="2"/>
  <c r="S26" i="2"/>
  <c r="R26" i="2"/>
  <c r="S25" i="2"/>
  <c r="R25" i="2"/>
  <c r="S20" i="2"/>
  <c r="R20" i="2"/>
  <c r="S17" i="2"/>
  <c r="S22" i="2" s="1"/>
  <c r="R17" i="2"/>
  <c r="R22" i="2"/>
  <c r="S15" i="2"/>
  <c r="S6" i="2"/>
  <c r="R15" i="2"/>
  <c r="S14" i="2"/>
  <c r="S9" i="2"/>
  <c r="R9" i="2"/>
  <c r="K40" i="2"/>
  <c r="K33" i="2"/>
  <c r="K18" i="2"/>
  <c r="Y4" i="1"/>
  <c r="K10" i="1"/>
  <c r="W10" i="1" s="1"/>
  <c r="K40" i="11"/>
  <c r="AH11" i="52"/>
  <c r="K39" i="11"/>
  <c r="AG11" i="52" s="1"/>
  <c r="AG20" i="52" s="1"/>
  <c r="K38" i="11"/>
  <c r="AF11" i="52"/>
  <c r="K37" i="11"/>
  <c r="AE11" i="52"/>
  <c r="AE20" i="52" s="1"/>
  <c r="K36" i="11"/>
  <c r="AM11" i="52" s="1"/>
  <c r="K35" i="11"/>
  <c r="AD11" i="52" s="1"/>
  <c r="K34" i="11"/>
  <c r="AC11" i="52" s="1"/>
  <c r="K33" i="11"/>
  <c r="AB11" i="52" s="1"/>
  <c r="J32" i="11"/>
  <c r="I32" i="11"/>
  <c r="H32" i="11"/>
  <c r="G32" i="11"/>
  <c r="F32" i="11"/>
  <c r="E32" i="11"/>
  <c r="K31" i="11"/>
  <c r="Z11" i="52"/>
  <c r="K30" i="11"/>
  <c r="Y11" i="52"/>
  <c r="K27" i="11"/>
  <c r="X11" i="52"/>
  <c r="K26" i="11"/>
  <c r="W11" i="52"/>
  <c r="K25" i="11"/>
  <c r="V11" i="52"/>
  <c r="K23" i="11"/>
  <c r="U11" i="52"/>
  <c r="K21" i="11"/>
  <c r="S11" i="52" s="1"/>
  <c r="K20" i="11"/>
  <c r="R11" i="52"/>
  <c r="K19" i="11"/>
  <c r="Q11" i="52"/>
  <c r="K18" i="11"/>
  <c r="K17" i="11"/>
  <c r="N11" i="52"/>
  <c r="K16" i="11"/>
  <c r="M11" i="52" s="1"/>
  <c r="K15" i="11"/>
  <c r="P11" i="52" s="1"/>
  <c r="K14" i="11"/>
  <c r="L11" i="52"/>
  <c r="K13" i="11"/>
  <c r="K11" i="52"/>
  <c r="K20" i="52" s="1"/>
  <c r="K12" i="11"/>
  <c r="J11" i="52"/>
  <c r="J20" i="52" s="1"/>
  <c r="K11" i="11"/>
  <c r="I11" i="52" s="1"/>
  <c r="K10" i="11"/>
  <c r="H11" i="52" s="1"/>
  <c r="K8" i="11"/>
  <c r="F11" i="52"/>
  <c r="K7" i="11"/>
  <c r="E11" i="52" s="1"/>
  <c r="K5" i="11"/>
  <c r="D11" i="52" s="1"/>
  <c r="AM26" i="1"/>
  <c r="AQ21" i="1"/>
  <c r="AN13" i="1"/>
  <c r="AR13" i="1"/>
  <c r="AM25" i="1"/>
  <c r="AQ25" i="1"/>
  <c r="AQ20" i="1"/>
  <c r="O11" i="52"/>
  <c r="K42" i="11"/>
  <c r="AL161" i="32"/>
  <c r="D18" i="34" s="1"/>
  <c r="D32" i="34" s="1"/>
  <c r="F4" i="18"/>
  <c r="I24" i="32"/>
  <c r="AH4" i="18"/>
  <c r="AX9" i="5"/>
  <c r="AA9" i="5"/>
  <c r="H4" i="20"/>
  <c r="H5" i="20"/>
  <c r="I4" i="18"/>
  <c r="I6" i="18" s="1"/>
  <c r="L24" i="32"/>
  <c r="AB4" i="18"/>
  <c r="J4" i="18"/>
  <c r="AC4" i="18"/>
  <c r="AD4" i="18"/>
  <c r="AG24" i="32" s="1"/>
  <c r="AM4" i="18"/>
  <c r="AE4" i="18"/>
  <c r="M4" i="18"/>
  <c r="X4" i="18"/>
  <c r="AF4" i="18"/>
  <c r="AI24" i="32"/>
  <c r="G4" i="20"/>
  <c r="G5" i="20" s="1"/>
  <c r="E4" i="18"/>
  <c r="H24" i="32" s="1"/>
  <c r="AG4" i="18"/>
  <c r="AG7" i="18" s="1"/>
  <c r="AJ24" i="32"/>
  <c r="AA32" i="5"/>
  <c r="AP37" i="1"/>
  <c r="AM20" i="1"/>
  <c r="AQ19" i="1"/>
  <c r="AM13" i="1"/>
  <c r="AQ23" i="1"/>
  <c r="AN19" i="1"/>
  <c r="P25" i="5"/>
  <c r="AB122" i="11"/>
  <c r="AF122" i="11"/>
  <c r="AA122" i="11"/>
  <c r="AM39" i="1"/>
  <c r="AO25" i="1"/>
  <c r="K4" i="11"/>
  <c r="K24" i="11"/>
  <c r="H24" i="11" s="1"/>
  <c r="V67" i="33"/>
  <c r="V5" i="33" s="1"/>
  <c r="V23" i="33" s="1"/>
  <c r="V41" i="33" s="1"/>
  <c r="S122" i="11"/>
  <c r="AP40" i="1"/>
  <c r="AQ38" i="1"/>
  <c r="AO15" i="1"/>
  <c r="AM36" i="1"/>
  <c r="AN25" i="1"/>
  <c r="AO20" i="1"/>
  <c r="AN34" i="1"/>
  <c r="AG32" i="4"/>
  <c r="AG37" i="4"/>
  <c r="K10" i="4"/>
  <c r="AC10" i="4"/>
  <c r="AD32" i="4"/>
  <c r="AD37" i="4"/>
  <c r="K40" i="4"/>
  <c r="AG40" i="4"/>
  <c r="K18" i="4"/>
  <c r="AE32" i="4"/>
  <c r="AE37" i="4"/>
  <c r="AB32" i="4"/>
  <c r="AB37" i="4"/>
  <c r="AF32" i="4"/>
  <c r="AF37" i="4"/>
  <c r="AR10" i="1"/>
  <c r="AO39" i="1"/>
  <c r="AQ36" i="1"/>
  <c r="AP25" i="1"/>
  <c r="AR25" i="1"/>
  <c r="AP20" i="1"/>
  <c r="AP12" i="1"/>
  <c r="AR34" i="1"/>
  <c r="AQ34" i="1"/>
  <c r="AR30" i="1"/>
  <c r="Q4" i="1"/>
  <c r="AM4" i="1" s="1"/>
  <c r="AP13" i="1"/>
  <c r="AQ39" i="1"/>
  <c r="AR39" i="1"/>
  <c r="AM38" i="1"/>
  <c r="AQ40" i="1"/>
  <c r="AO35" i="1"/>
  <c r="AM10" i="1"/>
  <c r="AI92" i="20"/>
  <c r="AI94" i="20"/>
  <c r="AG92" i="18"/>
  <c r="AG94" i="18"/>
  <c r="G92" i="18"/>
  <c r="G94" i="18" s="1"/>
  <c r="Q92" i="18"/>
  <c r="Q94" i="18"/>
  <c r="AL92" i="18"/>
  <c r="AL94" i="18"/>
  <c r="T92" i="18"/>
  <c r="T94" i="18"/>
  <c r="P26" i="5"/>
  <c r="Q26" i="5"/>
  <c r="P27" i="5"/>
  <c r="Q27" i="5"/>
  <c r="E22" i="11"/>
  <c r="H6" i="5"/>
  <c r="K32" i="2"/>
  <c r="K21" i="2"/>
  <c r="AC4" i="1"/>
  <c r="T6" i="1"/>
  <c r="AA6" i="1"/>
  <c r="V9" i="1"/>
  <c r="AC9" i="1"/>
  <c r="R21" i="1"/>
  <c r="Y21" i="1"/>
  <c r="AN21" i="1" s="1"/>
  <c r="Z22" i="1"/>
  <c r="S22" i="1"/>
  <c r="AO22" i="1" s="1"/>
  <c r="U24" i="1"/>
  <c r="AQ24" i="1" s="1"/>
  <c r="AB24" i="1"/>
  <c r="X28" i="1"/>
  <c r="U28" i="1"/>
  <c r="AQ28" i="1" s="1"/>
  <c r="AB28" i="1"/>
  <c r="Q32" i="1"/>
  <c r="X32" i="1"/>
  <c r="U32" i="1"/>
  <c r="AB32" i="1"/>
  <c r="T4" i="3"/>
  <c r="T10" i="3"/>
  <c r="AA10" i="3"/>
  <c r="T22" i="3"/>
  <c r="AA22" i="3"/>
  <c r="V24" i="3"/>
  <c r="V28" i="3"/>
  <c r="AC28" i="3"/>
  <c r="R32" i="3"/>
  <c r="Y32" i="3"/>
  <c r="T7" i="18"/>
  <c r="T6" i="18"/>
  <c r="AA7" i="18"/>
  <c r="AA6" i="18"/>
  <c r="G6" i="18"/>
  <c r="AD5" i="3"/>
  <c r="Z4" i="1"/>
  <c r="S4" i="1"/>
  <c r="U6" i="1"/>
  <c r="AB6" i="1"/>
  <c r="R10" i="1"/>
  <c r="Y10" i="1"/>
  <c r="AN10" i="1" s="1"/>
  <c r="S21" i="1"/>
  <c r="Z21" i="1"/>
  <c r="Y24" i="1"/>
  <c r="R24" i="1"/>
  <c r="V24" i="1"/>
  <c r="AC24" i="1"/>
  <c r="AC28" i="1"/>
  <c r="Y32" i="1"/>
  <c r="R32" i="1"/>
  <c r="X4" i="3"/>
  <c r="U4" i="3"/>
  <c r="AB4" i="3"/>
  <c r="K18" i="3"/>
  <c r="AD18" i="3"/>
  <c r="Q18" i="3"/>
  <c r="AM18" i="3" s="1"/>
  <c r="X18" i="3"/>
  <c r="AB27" i="3"/>
  <c r="AQ27" i="3" s="1"/>
  <c r="U27" i="3"/>
  <c r="AB29" i="3"/>
  <c r="U29" i="3"/>
  <c r="K10" i="2"/>
  <c r="S4" i="2"/>
  <c r="S8" i="2"/>
  <c r="S29" i="2"/>
  <c r="S10" i="2"/>
  <c r="I36" i="5"/>
  <c r="AI7" i="20"/>
  <c r="AI8" i="20"/>
  <c r="Y7" i="18"/>
  <c r="J22" i="11"/>
  <c r="T4" i="1"/>
  <c r="AA4" i="1"/>
  <c r="AP4" i="1" s="1"/>
  <c r="Y6" i="1"/>
  <c r="R6" i="1"/>
  <c r="AC6" i="1"/>
  <c r="V6" i="1"/>
  <c r="T9" i="1"/>
  <c r="AA9" i="1"/>
  <c r="K18" i="1"/>
  <c r="W18" i="1" s="1"/>
  <c r="X18" i="1"/>
  <c r="Q22" i="1"/>
  <c r="X22" i="1"/>
  <c r="U22" i="1"/>
  <c r="AB22" i="1"/>
  <c r="Z24" i="1"/>
  <c r="S24" i="1"/>
  <c r="K27" i="1"/>
  <c r="AD27" i="1" s="1"/>
  <c r="AB27" i="1"/>
  <c r="U27" i="1"/>
  <c r="Z28" i="1"/>
  <c r="S28" i="1"/>
  <c r="AO28" i="1" s="1"/>
  <c r="X29" i="1"/>
  <c r="Q29" i="1"/>
  <c r="AB29" i="1"/>
  <c r="U29" i="1"/>
  <c r="AQ29" i="1" s="1"/>
  <c r="Z32" i="1"/>
  <c r="S32" i="1"/>
  <c r="K37" i="1"/>
  <c r="AD37" i="1" s="1"/>
  <c r="W37" i="1"/>
  <c r="V37" i="1"/>
  <c r="AR37" i="1" s="1"/>
  <c r="AC37" i="1"/>
  <c r="Y4" i="3"/>
  <c r="AN4" i="3" s="1"/>
  <c r="R4" i="3"/>
  <c r="V4" i="3"/>
  <c r="AA6" i="3"/>
  <c r="R9" i="3"/>
  <c r="V9" i="3"/>
  <c r="AC9" i="3"/>
  <c r="R22" i="3"/>
  <c r="Y22" i="3"/>
  <c r="V22" i="3"/>
  <c r="AC22" i="3"/>
  <c r="T24" i="3"/>
  <c r="AA24" i="3"/>
  <c r="V27" i="3"/>
  <c r="AC27" i="3"/>
  <c r="T28" i="3"/>
  <c r="AA28" i="3"/>
  <c r="R29" i="3"/>
  <c r="Y29" i="3"/>
  <c r="V29" i="3"/>
  <c r="T32" i="3"/>
  <c r="AA32" i="3"/>
  <c r="K40" i="3"/>
  <c r="AC40" i="3"/>
  <c r="AR40" i="3" s="1"/>
  <c r="V40" i="3"/>
  <c r="J4" i="5"/>
  <c r="J6" i="5"/>
  <c r="J29" i="5"/>
  <c r="J36" i="5"/>
  <c r="AH6" i="18"/>
  <c r="X4" i="1"/>
  <c r="R9" i="1"/>
  <c r="Y9" i="1"/>
  <c r="Q24" i="1"/>
  <c r="X24" i="1"/>
  <c r="S29" i="1"/>
  <c r="Z29" i="1"/>
  <c r="R4" i="1"/>
  <c r="AN4" i="1"/>
  <c r="R24" i="3"/>
  <c r="R28" i="3"/>
  <c r="Y28" i="3"/>
  <c r="T29" i="3"/>
  <c r="AA29" i="3"/>
  <c r="V32" i="3"/>
  <c r="AR32" i="3" s="1"/>
  <c r="AC32" i="3"/>
  <c r="Q6" i="1"/>
  <c r="X6" i="1"/>
  <c r="S9" i="1"/>
  <c r="Z9" i="1"/>
  <c r="AA22" i="1"/>
  <c r="T22" i="1"/>
  <c r="Y28" i="1"/>
  <c r="R28" i="1"/>
  <c r="AN28" i="1" s="1"/>
  <c r="AA29" i="1"/>
  <c r="K33" i="1"/>
  <c r="W33" i="1"/>
  <c r="X33" i="1"/>
  <c r="Q33" i="1"/>
  <c r="Z6" i="3"/>
  <c r="AB9" i="3"/>
  <c r="U9" i="3"/>
  <c r="U22" i="3"/>
  <c r="AB22" i="3"/>
  <c r="AQ22" i="3" s="1"/>
  <c r="Z24" i="3"/>
  <c r="S24" i="3"/>
  <c r="AO24" i="3" s="1"/>
  <c r="Z28" i="3"/>
  <c r="AO28" i="3" s="1"/>
  <c r="S28" i="3"/>
  <c r="X29" i="3"/>
  <c r="Q29" i="3"/>
  <c r="Z32" i="3"/>
  <c r="K33" i="3"/>
  <c r="AD33" i="3"/>
  <c r="X33" i="3"/>
  <c r="Q33" i="3"/>
  <c r="I4" i="5"/>
  <c r="AN7" i="20"/>
  <c r="AN8" i="20"/>
  <c r="I7" i="18"/>
  <c r="Q6" i="18"/>
  <c r="AB4" i="1"/>
  <c r="S6" i="1"/>
  <c r="AO6" i="1" s="1"/>
  <c r="Z6" i="1"/>
  <c r="X9" i="1"/>
  <c r="Q9" i="1"/>
  <c r="AB9" i="1"/>
  <c r="U9" i="1"/>
  <c r="X21" i="1"/>
  <c r="Q21" i="1"/>
  <c r="AM21" i="1" s="1"/>
  <c r="Y22" i="1"/>
  <c r="AN22" i="1" s="1"/>
  <c r="R22" i="1"/>
  <c r="AC22" i="1"/>
  <c r="AR22" i="1" s="1"/>
  <c r="V22" i="1"/>
  <c r="T24" i="1"/>
  <c r="AA24" i="1"/>
  <c r="V27" i="1"/>
  <c r="AC27" i="1"/>
  <c r="T28" i="1"/>
  <c r="AA28" i="1"/>
  <c r="Y29" i="1"/>
  <c r="R29" i="1"/>
  <c r="AN29" i="1" s="1"/>
  <c r="AC29" i="1"/>
  <c r="AA32" i="1"/>
  <c r="AP32" i="1" s="1"/>
  <c r="T32" i="1"/>
  <c r="K40" i="1"/>
  <c r="AC40" i="1"/>
  <c r="V40" i="1"/>
  <c r="Z4" i="3"/>
  <c r="S4" i="3"/>
  <c r="AO4" i="3" s="1"/>
  <c r="X6" i="3"/>
  <c r="AB6" i="3"/>
  <c r="Z9" i="3"/>
  <c r="S9" i="3"/>
  <c r="AO9" i="3" s="1"/>
  <c r="R10" i="3"/>
  <c r="Y10" i="3"/>
  <c r="Z22" i="3"/>
  <c r="S22" i="3"/>
  <c r="Q24" i="3"/>
  <c r="U24" i="3"/>
  <c r="Q28" i="3"/>
  <c r="AB28" i="3"/>
  <c r="U28" i="3"/>
  <c r="S29" i="3"/>
  <c r="Z29" i="3"/>
  <c r="X32" i="3"/>
  <c r="Q32" i="3"/>
  <c r="AM32" i="3" s="1"/>
  <c r="U32" i="3"/>
  <c r="AQ32" i="3" s="1"/>
  <c r="AB32" i="3"/>
  <c r="K27" i="4"/>
  <c r="I6" i="5"/>
  <c r="J24" i="5"/>
  <c r="J28" i="5"/>
  <c r="AJ4" i="20"/>
  <c r="AJ5" i="20"/>
  <c r="AM160" i="32" s="1"/>
  <c r="AA7" i="20"/>
  <c r="R5" i="5"/>
  <c r="K33" i="4"/>
  <c r="AD14" i="1"/>
  <c r="W13" i="1"/>
  <c r="AD25" i="1"/>
  <c r="Q25" i="5"/>
  <c r="H4" i="5"/>
  <c r="K27" i="2"/>
  <c r="K37" i="4"/>
  <c r="AJ24" i="5"/>
  <c r="AN4" i="18"/>
  <c r="AQ24" i="32"/>
  <c r="X22" i="5"/>
  <c r="AD35" i="1"/>
  <c r="AD17" i="1"/>
  <c r="AD19" i="1"/>
  <c r="K21" i="1"/>
  <c r="W21" i="1" s="1"/>
  <c r="K10" i="3"/>
  <c r="K27" i="3"/>
  <c r="AD27" i="3" s="1"/>
  <c r="R26" i="5"/>
  <c r="AD15" i="1"/>
  <c r="AD11" i="1"/>
  <c r="K32" i="3"/>
  <c r="W38" i="1"/>
  <c r="W36" i="1"/>
  <c r="AD10" i="1"/>
  <c r="W12" i="1"/>
  <c r="AD16" i="1"/>
  <c r="W14" i="1"/>
  <c r="AD34" i="1"/>
  <c r="W20" i="1"/>
  <c r="W13" i="3"/>
  <c r="AD13" i="3"/>
  <c r="W17" i="3"/>
  <c r="AD17" i="3"/>
  <c r="W21" i="3"/>
  <c r="AD21" i="3"/>
  <c r="AD25" i="3"/>
  <c r="W37" i="3"/>
  <c r="AD37" i="3"/>
  <c r="AD14" i="3"/>
  <c r="W14" i="3"/>
  <c r="W26" i="3"/>
  <c r="AD30" i="3"/>
  <c r="AD34" i="3"/>
  <c r="W34" i="3"/>
  <c r="W38" i="3"/>
  <c r="W11" i="3"/>
  <c r="AD11" i="3"/>
  <c r="W15" i="3"/>
  <c r="W19" i="3"/>
  <c r="AD19" i="3"/>
  <c r="W23" i="3"/>
  <c r="AD23" i="3"/>
  <c r="AD31" i="3"/>
  <c r="W35" i="3"/>
  <c r="AD35" i="3"/>
  <c r="W39" i="3"/>
  <c r="AD39" i="3"/>
  <c r="AD8" i="3"/>
  <c r="W8" i="3"/>
  <c r="AD12" i="3"/>
  <c r="W12" i="3"/>
  <c r="AD36" i="3"/>
  <c r="AC32" i="4"/>
  <c r="Z16" i="2"/>
  <c r="AA16" i="2" s="1"/>
  <c r="Y16" i="2"/>
  <c r="AK16" i="1"/>
  <c r="AL16" i="1"/>
  <c r="AJ16" i="1"/>
  <c r="Z16" i="4"/>
  <c r="AA16" i="4"/>
  <c r="Y16" i="4"/>
  <c r="AJ16" i="3"/>
  <c r="AK16" i="3"/>
  <c r="AL16" i="3"/>
  <c r="AL35" i="1"/>
  <c r="AK35" i="1"/>
  <c r="AA35" i="2"/>
  <c r="Z35" i="2"/>
  <c r="AA35" i="4"/>
  <c r="Z35" i="4"/>
  <c r="AL35" i="3"/>
  <c r="AK35" i="3"/>
  <c r="AK23" i="3"/>
  <c r="AL23" i="3" s="1"/>
  <c r="Z23" i="2"/>
  <c r="AK23" i="1"/>
  <c r="AL23" i="1" s="1"/>
  <c r="Z23" i="4"/>
  <c r="AK12" i="1"/>
  <c r="Z12" i="4"/>
  <c r="AA12" i="4"/>
  <c r="Y12" i="4"/>
  <c r="Z18" i="2"/>
  <c r="AA18" i="2" s="1"/>
  <c r="Y18" i="2"/>
  <c r="AK18" i="1"/>
  <c r="AL18" i="1"/>
  <c r="AJ18" i="1"/>
  <c r="Z18" i="4"/>
  <c r="AA18" i="4"/>
  <c r="Y18" i="4"/>
  <c r="AK18" i="3"/>
  <c r="AL18" i="3"/>
  <c r="AJ18" i="3"/>
  <c r="Z17" i="2"/>
  <c r="AA17" i="2"/>
  <c r="Y17" i="2"/>
  <c r="AK17" i="1"/>
  <c r="AL17" i="1"/>
  <c r="AJ17" i="1"/>
  <c r="Z17" i="4"/>
  <c r="AA17" i="4"/>
  <c r="Y17" i="4"/>
  <c r="AK17" i="3"/>
  <c r="AL17" i="3" s="1"/>
  <c r="AJ17" i="3"/>
  <c r="AP17" i="3" s="1"/>
  <c r="Z11" i="2"/>
  <c r="AA11" i="2"/>
  <c r="Y11" i="2"/>
  <c r="AK11" i="1"/>
  <c r="AL11" i="1"/>
  <c r="AJ11" i="1"/>
  <c r="AP11" i="1"/>
  <c r="Z11" i="4"/>
  <c r="AA11" i="4"/>
  <c r="Y11" i="4"/>
  <c r="AK11" i="3"/>
  <c r="AL11" i="3" s="1"/>
  <c r="AJ11" i="3"/>
  <c r="Z8" i="2"/>
  <c r="AA8" i="2"/>
  <c r="Y8" i="2"/>
  <c r="AK8" i="1"/>
  <c r="AL8" i="1"/>
  <c r="AJ8" i="1"/>
  <c r="Z8" i="4"/>
  <c r="AA8" i="4"/>
  <c r="AK8" i="3"/>
  <c r="AL8" i="3"/>
  <c r="AJ8" i="3"/>
  <c r="AR8" i="3" s="1"/>
  <c r="AK5" i="3"/>
  <c r="AL5" i="3"/>
  <c r="Z5" i="2"/>
  <c r="AA5" i="2" s="1"/>
  <c r="AK5" i="1"/>
  <c r="AL5" i="1" s="1"/>
  <c r="AJ5" i="1"/>
  <c r="Z92" i="18"/>
  <c r="Z94" i="18"/>
  <c r="Y26" i="5"/>
  <c r="AB26" i="5" s="1"/>
  <c r="N92" i="18"/>
  <c r="N94" i="18"/>
  <c r="O6" i="18"/>
  <c r="O11" i="18" s="1"/>
  <c r="AH7" i="18"/>
  <c r="AH17" i="18" s="1"/>
  <c r="W4" i="5"/>
  <c r="AD32" i="11"/>
  <c r="AP82" i="33" s="1"/>
  <c r="AP20" i="33" s="1"/>
  <c r="AP38" i="33" s="1"/>
  <c r="AP56" i="33" s="1"/>
  <c r="AO73" i="33"/>
  <c r="AO11" i="33" s="1"/>
  <c r="AO29" i="33" s="1"/>
  <c r="AO47" i="33" s="1"/>
  <c r="AC128" i="11"/>
  <c r="W76" i="33"/>
  <c r="W14" i="33" s="1"/>
  <c r="W32" i="33" s="1"/>
  <c r="W50" i="33" s="1"/>
  <c r="X73" i="33"/>
  <c r="X11" i="33" s="1"/>
  <c r="X29" i="33" s="1"/>
  <c r="X47" i="33" s="1"/>
  <c r="O128" i="11"/>
  <c r="AO70" i="33"/>
  <c r="AO8" i="33"/>
  <c r="AO26" i="33" s="1"/>
  <c r="AO44" i="33" s="1"/>
  <c r="AC125" i="11"/>
  <c r="Y70" i="33"/>
  <c r="Y8" i="33" s="1"/>
  <c r="Y26" i="33"/>
  <c r="Y44" i="33"/>
  <c r="S125" i="11"/>
  <c r="AJ82" i="33"/>
  <c r="AJ20" i="33" s="1"/>
  <c r="AJ38" i="33"/>
  <c r="AJ56" i="33" s="1"/>
  <c r="Z137" i="11"/>
  <c r="V82" i="33"/>
  <c r="V20" i="33" s="1"/>
  <c r="V38" i="33" s="1"/>
  <c r="V56" i="33" s="1"/>
  <c r="AK82" i="33"/>
  <c r="AK20" i="33" s="1"/>
  <c r="AK38" i="33" s="1"/>
  <c r="AK56" i="33"/>
  <c r="AA137" i="11"/>
  <c r="AN73" i="33"/>
  <c r="AN11" i="33" s="1"/>
  <c r="AN29" i="33" s="1"/>
  <c r="AN47" i="33" s="1"/>
  <c r="AB128" i="11"/>
  <c r="AM6" i="18"/>
  <c r="AM11" i="18" s="1"/>
  <c r="Y76" i="33"/>
  <c r="Y14" i="33" s="1"/>
  <c r="Y32" i="33" s="1"/>
  <c r="Y50" i="33" s="1"/>
  <c r="S131" i="11"/>
  <c r="AM7" i="18"/>
  <c r="AO82" i="33"/>
  <c r="AO20" i="33"/>
  <c r="AO38" i="33" s="1"/>
  <c r="AO56" i="33" s="1"/>
  <c r="AC137" i="11"/>
  <c r="Y82" i="33"/>
  <c r="Y20" i="33"/>
  <c r="Y38" i="33"/>
  <c r="Y56" i="33"/>
  <c r="S137" i="11"/>
  <c r="AJ79" i="33"/>
  <c r="AJ17" i="33"/>
  <c r="AJ35" i="33"/>
  <c r="AJ53" i="33" s="1"/>
  <c r="Z134" i="11"/>
  <c r="Z73" i="33"/>
  <c r="Z11" i="33"/>
  <c r="Z29" i="33"/>
  <c r="Z47" i="33" s="1"/>
  <c r="P128" i="11"/>
  <c r="AQ82" i="33"/>
  <c r="AQ20" i="33" s="1"/>
  <c r="AQ38" i="33" s="1"/>
  <c r="AQ56" i="33" s="1"/>
  <c r="AE137" i="11"/>
  <c r="AN82" i="33"/>
  <c r="AN20" i="33"/>
  <c r="AN38" i="33"/>
  <c r="AN56" i="33" s="1"/>
  <c r="AB137" i="11"/>
  <c r="W92" i="18"/>
  <c r="W94" i="18"/>
  <c r="W6" i="18"/>
  <c r="H8" i="20"/>
  <c r="AG6" i="18"/>
  <c r="AI79" i="33"/>
  <c r="AI17" i="33" s="1"/>
  <c r="AI35" i="33" s="1"/>
  <c r="AI53" i="33" s="1"/>
  <c r="Y134" i="11"/>
  <c r="Q82" i="33"/>
  <c r="Q20" i="33"/>
  <c r="Q38" i="33"/>
  <c r="Q56" i="33" s="1"/>
  <c r="AE128" i="11"/>
  <c r="AK70" i="33"/>
  <c r="AK8" i="33"/>
  <c r="AK26" i="33" s="1"/>
  <c r="AK44" i="33" s="1"/>
  <c r="AA125" i="11"/>
  <c r="W70" i="33"/>
  <c r="W8" i="33" s="1"/>
  <c r="W26" i="33" s="1"/>
  <c r="W44" i="33" s="1"/>
  <c r="N125" i="11"/>
  <c r="AK76" i="33"/>
  <c r="AK14" i="33" s="1"/>
  <c r="AK32" i="33"/>
  <c r="AK50" i="33"/>
  <c r="AA131" i="11"/>
  <c r="AO50" i="33"/>
  <c r="AC131" i="11"/>
  <c r="AN70" i="33"/>
  <c r="AN8" i="33" s="1"/>
  <c r="AN26" i="33" s="1"/>
  <c r="AN44" i="33" s="1"/>
  <c r="AB125" i="11"/>
  <c r="T29" i="33"/>
  <c r="T47" i="33"/>
  <c r="K128" i="11"/>
  <c r="P6" i="18"/>
  <c r="Q73" i="33"/>
  <c r="Q11" i="33"/>
  <c r="Q29" i="33" s="1"/>
  <c r="Q47" i="33" s="1"/>
  <c r="H128" i="11"/>
  <c r="AJ76" i="33"/>
  <c r="AJ14" i="33"/>
  <c r="AJ32" i="33"/>
  <c r="AJ50" i="33"/>
  <c r="Z131" i="11"/>
  <c r="V76" i="33"/>
  <c r="V14" i="33" s="1"/>
  <c r="V32" i="33" s="1"/>
  <c r="V50" i="33" s="1"/>
  <c r="X79" i="33"/>
  <c r="X17" i="33"/>
  <c r="X35" i="33"/>
  <c r="X53" i="33"/>
  <c r="O134" i="11"/>
  <c r="AE79" i="33"/>
  <c r="AE17" i="33"/>
  <c r="AE35" i="33"/>
  <c r="AE53" i="33" s="1"/>
  <c r="V134" i="11"/>
  <c r="AN76" i="33"/>
  <c r="AN14" i="33"/>
  <c r="AN32" i="33" s="1"/>
  <c r="AN50" i="33" s="1"/>
  <c r="AB131" i="11"/>
  <c r="AQ70" i="33"/>
  <c r="AQ8" i="33" s="1"/>
  <c r="AQ26" i="33" s="1"/>
  <c r="AQ44" i="33" s="1"/>
  <c r="AE125" i="11"/>
  <c r="Z7" i="18"/>
  <c r="Z17" i="18" s="1"/>
  <c r="AO79" i="33"/>
  <c r="AO17" i="33" s="1"/>
  <c r="AO35" i="33" s="1"/>
  <c r="AO53" i="33" s="1"/>
  <c r="AC134" i="11"/>
  <c r="Y79" i="33"/>
  <c r="Y17" i="33"/>
  <c r="Y35" i="33" s="1"/>
  <c r="Y53" i="33" s="1"/>
  <c r="S134" i="11"/>
  <c r="U20" i="33"/>
  <c r="U38" i="33" s="1"/>
  <c r="U56" i="33" s="1"/>
  <c r="L137" i="11"/>
  <c r="AJ73" i="33"/>
  <c r="AJ11" i="33"/>
  <c r="AJ29" i="33" s="1"/>
  <c r="AJ47" i="33" s="1"/>
  <c r="Z128" i="11"/>
  <c r="AQ79" i="33"/>
  <c r="AQ17" i="33" s="1"/>
  <c r="AQ35" i="33" s="1"/>
  <c r="AQ53" i="33" s="1"/>
  <c r="AK79" i="33"/>
  <c r="AK17" i="33"/>
  <c r="AK35" i="33"/>
  <c r="AK53" i="33" s="1"/>
  <c r="AA134" i="11"/>
  <c r="W79" i="33"/>
  <c r="W17" i="33"/>
  <c r="W35" i="33" s="1"/>
  <c r="W53" i="33" s="1"/>
  <c r="N134" i="11"/>
  <c r="AN79" i="33"/>
  <c r="AN17" i="33"/>
  <c r="AN35" i="33"/>
  <c r="AN53" i="33"/>
  <c r="AB134" i="11"/>
  <c r="AB76" i="33"/>
  <c r="AB14" i="33"/>
  <c r="AB32" i="33" s="1"/>
  <c r="AB50" i="33" s="1"/>
  <c r="R131" i="11"/>
  <c r="AJ70" i="33"/>
  <c r="AJ8" i="33" s="1"/>
  <c r="AJ26" i="33"/>
  <c r="AJ44" i="33" s="1"/>
  <c r="Z125" i="11"/>
  <c r="AE6" i="18"/>
  <c r="Q76" i="33"/>
  <c r="Q14" i="33"/>
  <c r="Q32" i="33" s="1"/>
  <c r="Q50" i="33" s="1"/>
  <c r="H131" i="11"/>
  <c r="AE92" i="18"/>
  <c r="AE94" i="18" s="1"/>
  <c r="P7" i="18"/>
  <c r="P5" i="18" s="1"/>
  <c r="U7" i="18"/>
  <c r="K6" i="18"/>
  <c r="AQ76" i="33"/>
  <c r="AQ14" i="33" s="1"/>
  <c r="AQ32" i="33" s="1"/>
  <c r="AQ50" i="33" s="1"/>
  <c r="AE131" i="11"/>
  <c r="W73" i="33"/>
  <c r="W11" i="33"/>
  <c r="W29" i="33" s="1"/>
  <c r="W47" i="33" s="1"/>
  <c r="AI67" i="33"/>
  <c r="AI5" i="33" s="1"/>
  <c r="AI23" i="33" s="1"/>
  <c r="AI41" i="33" s="1"/>
  <c r="Q67" i="33"/>
  <c r="Q5" i="33"/>
  <c r="Q23" i="33"/>
  <c r="Q41" i="33" s="1"/>
  <c r="T67" i="33"/>
  <c r="T5" i="33" s="1"/>
  <c r="T23" i="33" s="1"/>
  <c r="T41" i="33"/>
  <c r="AI11" i="11"/>
  <c r="AL11" i="11"/>
  <c r="AJ67" i="33"/>
  <c r="AJ5" i="33" s="1"/>
  <c r="AJ23" i="33"/>
  <c r="AJ41" i="33"/>
  <c r="AI26" i="11"/>
  <c r="AL26" i="11" s="1"/>
  <c r="AE67" i="33"/>
  <c r="AE5" i="33"/>
  <c r="AE23" i="33" s="1"/>
  <c r="AE41" i="33" s="1"/>
  <c r="AI12" i="11"/>
  <c r="AL12" i="11" s="1"/>
  <c r="AO67" i="33"/>
  <c r="AO5" i="33"/>
  <c r="AO23" i="33"/>
  <c r="AO41" i="33"/>
  <c r="AI31" i="11"/>
  <c r="AL31" i="11"/>
  <c r="Y67" i="33"/>
  <c r="Y5" i="33" s="1"/>
  <c r="Y23" i="33"/>
  <c r="Y41" i="33" s="1"/>
  <c r="AK67" i="33"/>
  <c r="AK5" i="33"/>
  <c r="AK23" i="33"/>
  <c r="AK41" i="33" s="1"/>
  <c r="W67" i="33"/>
  <c r="W5" i="33"/>
  <c r="W23" i="33" s="1"/>
  <c r="W41" i="33" s="1"/>
  <c r="AR67" i="33"/>
  <c r="AR5" i="33" s="1"/>
  <c r="AR23" i="33"/>
  <c r="AR41" i="33"/>
  <c r="AN67" i="33"/>
  <c r="AN5" i="33" s="1"/>
  <c r="AN23" i="33" s="1"/>
  <c r="AN41" i="33" s="1"/>
  <c r="AI30" i="11"/>
  <c r="AL30" i="11" s="1"/>
  <c r="J7" i="18"/>
  <c r="AD92" i="18"/>
  <c r="AD94" i="18"/>
  <c r="G92" i="20"/>
  <c r="G94" i="20" s="1"/>
  <c r="G7" i="20"/>
  <c r="E6" i="18"/>
  <c r="AE7" i="18"/>
  <c r="AD7" i="18"/>
  <c r="E7" i="18"/>
  <c r="AB7" i="18"/>
  <c r="H7" i="20"/>
  <c r="AD6" i="18"/>
  <c r="AD5" i="18" s="1"/>
  <c r="AF6" i="18"/>
  <c r="AB6" i="18"/>
  <c r="F7" i="18"/>
  <c r="AF7" i="18"/>
  <c r="R7" i="18"/>
  <c r="AF92" i="18"/>
  <c r="AF94" i="18" s="1"/>
  <c r="R92" i="18"/>
  <c r="R94" i="18" s="1"/>
  <c r="R6" i="18"/>
  <c r="F92" i="18"/>
  <c r="F94" i="18" s="1"/>
  <c r="E92" i="18"/>
  <c r="E94" i="18" s="1"/>
  <c r="F6" i="18"/>
  <c r="L7" i="18"/>
  <c r="Z6" i="18"/>
  <c r="J6" i="18"/>
  <c r="Y6" i="18"/>
  <c r="Y11" i="18" s="1"/>
  <c r="Y12" i="18" s="1"/>
  <c r="AB62" i="32" s="1"/>
  <c r="AB53" i="32" s="1"/>
  <c r="I92" i="18"/>
  <c r="I94" i="18"/>
  <c r="F24" i="11"/>
  <c r="AM92" i="18"/>
  <c r="AM94" i="18"/>
  <c r="L92" i="18"/>
  <c r="L94" i="18"/>
  <c r="J92" i="18"/>
  <c r="J94" i="18"/>
  <c r="I25" i="32"/>
  <c r="H11" i="34"/>
  <c r="I6" i="32"/>
  <c r="I7" i="32"/>
  <c r="H9" i="34" s="1"/>
  <c r="I15" i="32"/>
  <c r="I16" i="32"/>
  <c r="H10" i="34"/>
  <c r="U25" i="32"/>
  <c r="T11" i="34" s="1"/>
  <c r="U6" i="32"/>
  <c r="U7" i="32" s="1"/>
  <c r="T9" i="34" s="1"/>
  <c r="U15" i="32"/>
  <c r="U16" i="32"/>
  <c r="T10" i="34" s="1"/>
  <c r="L25" i="32"/>
  <c r="K11" i="34"/>
  <c r="L15" i="32"/>
  <c r="L16" i="32" s="1"/>
  <c r="K10" i="34" s="1"/>
  <c r="L6" i="32"/>
  <c r="L7" i="32"/>
  <c r="K9" i="34"/>
  <c r="AP25" i="32"/>
  <c r="AJ11" i="34" s="1"/>
  <c r="AP15" i="32"/>
  <c r="AP16" i="32"/>
  <c r="AJ10" i="34"/>
  <c r="AP6" i="32"/>
  <c r="AP7" i="32" s="1"/>
  <c r="AJ9" i="34" s="1"/>
  <c r="AQ25" i="32"/>
  <c r="X11" i="34"/>
  <c r="AQ15" i="32"/>
  <c r="AQ16" i="32" s="1"/>
  <c r="X10" i="34" s="1"/>
  <c r="AQ6" i="32"/>
  <c r="AQ7" i="32" s="1"/>
  <c r="X9" i="34" s="1"/>
  <c r="AJ25" i="32"/>
  <c r="AM11" i="34" s="1"/>
  <c r="AJ15" i="32"/>
  <c r="AJ16" i="32" s="1"/>
  <c r="AM10" i="34" s="1"/>
  <c r="AJ6" i="32"/>
  <c r="AJ7" i="32" s="1"/>
  <c r="AM9" i="34"/>
  <c r="AM151" i="32"/>
  <c r="AM152" i="32" s="1"/>
  <c r="F17" i="34" s="1"/>
  <c r="F31" i="34" s="1"/>
  <c r="AC25" i="32"/>
  <c r="AE11" i="34" s="1"/>
  <c r="AC15" i="32"/>
  <c r="AC16" i="32"/>
  <c r="AE10" i="34" s="1"/>
  <c r="H25" i="32"/>
  <c r="G11" i="34" s="1"/>
  <c r="H15" i="32"/>
  <c r="H16" i="32"/>
  <c r="G10" i="34" s="1"/>
  <c r="H6" i="32"/>
  <c r="H7" i="32" s="1"/>
  <c r="G9" i="34" s="1"/>
  <c r="AQ29" i="3"/>
  <c r="Z26" i="5"/>
  <c r="AC26" i="5" s="1"/>
  <c r="AP22" i="3"/>
  <c r="AM33" i="3"/>
  <c r="AP22" i="1"/>
  <c r="AO32" i="1"/>
  <c r="AQ27" i="1"/>
  <c r="AN6" i="1"/>
  <c r="AM32" i="1"/>
  <c r="AR9" i="1"/>
  <c r="AM9" i="1"/>
  <c r="AM29" i="3"/>
  <c r="AQ28" i="3"/>
  <c r="AN28" i="3"/>
  <c r="AR40" i="1"/>
  <c r="AQ9" i="1"/>
  <c r="AP28" i="1"/>
  <c r="AP24" i="1"/>
  <c r="AR22" i="3"/>
  <c r="AN10" i="3"/>
  <c r="AP32" i="3"/>
  <c r="AR27" i="3"/>
  <c r="AR9" i="3"/>
  <c r="AO22" i="3"/>
  <c r="AP28" i="3"/>
  <c r="AP24" i="3"/>
  <c r="AN22" i="3"/>
  <c r="AN32" i="3"/>
  <c r="AN24" i="1"/>
  <c r="AM22" i="1"/>
  <c r="AM33" i="1"/>
  <c r="AQ22" i="1"/>
  <c r="AR24" i="1"/>
  <c r="AO21" i="1"/>
  <c r="AQ6" i="1"/>
  <c r="AP6" i="1"/>
  <c r="AO11" i="1"/>
  <c r="F4" i="11"/>
  <c r="E4" i="11"/>
  <c r="H4" i="11"/>
  <c r="AO32" i="3"/>
  <c r="AO9" i="1"/>
  <c r="AN9" i="1"/>
  <c r="AO24" i="1"/>
  <c r="AP10" i="3"/>
  <c r="AQ32" i="1"/>
  <c r="AQ11" i="1"/>
  <c r="AN11" i="1"/>
  <c r="AR27" i="1"/>
  <c r="AQ9" i="3"/>
  <c r="AM6" i="1"/>
  <c r="AP29" i="3"/>
  <c r="AM24" i="1"/>
  <c r="AP9" i="1"/>
  <c r="AQ4" i="3"/>
  <c r="AN32" i="1"/>
  <c r="AR28" i="3"/>
  <c r="AE11" i="4"/>
  <c r="AB11" i="4"/>
  <c r="AF11" i="4"/>
  <c r="AC11" i="4"/>
  <c r="AG11" i="4"/>
  <c r="AD11" i="4"/>
  <c r="AC18" i="4"/>
  <c r="AG18" i="4"/>
  <c r="AD18" i="4"/>
  <c r="AE18" i="4"/>
  <c r="AF18" i="4"/>
  <c r="AG12" i="4"/>
  <c r="AE12" i="4"/>
  <c r="AB12" i="4"/>
  <c r="AC16" i="4"/>
  <c r="AG16" i="4"/>
  <c r="AB16" i="4"/>
  <c r="AF16" i="4"/>
  <c r="AB18" i="4"/>
  <c r="S36" i="2"/>
  <c r="S24" i="2" s="1"/>
  <c r="S19" i="2"/>
  <c r="AM11" i="3"/>
  <c r="AQ11" i="3"/>
  <c r="AR11" i="3"/>
  <c r="AO11" i="3"/>
  <c r="AO17" i="3"/>
  <c r="AM17" i="3"/>
  <c r="AQ17" i="3"/>
  <c r="AR17" i="3"/>
  <c r="AN16" i="3"/>
  <c r="AQ8" i="3"/>
  <c r="AR18" i="3"/>
  <c r="AP18" i="3"/>
  <c r="AO5" i="1"/>
  <c r="AP16" i="1"/>
  <c r="AR11" i="1"/>
  <c r="AQ16" i="1"/>
  <c r="AM16" i="1"/>
  <c r="AM11" i="1"/>
  <c r="AD33" i="1"/>
  <c r="W27" i="1"/>
  <c r="AJ92" i="20"/>
  <c r="AJ94" i="20" s="1"/>
  <c r="AN92" i="18"/>
  <c r="AN94" i="18" s="1"/>
  <c r="W18" i="3"/>
  <c r="W33" i="3"/>
  <c r="AD40" i="3"/>
  <c r="W32" i="3"/>
  <c r="AA15" i="20"/>
  <c r="AD179" i="32"/>
  <c r="AI12" i="20"/>
  <c r="AI13" i="20" s="1"/>
  <c r="AJ6" i="18"/>
  <c r="T17" i="18"/>
  <c r="AJ8" i="20"/>
  <c r="AJ7" i="20"/>
  <c r="AJ12" i="20" s="1"/>
  <c r="W40" i="3"/>
  <c r="K32" i="1"/>
  <c r="AD32" i="1" s="1"/>
  <c r="AC32" i="1"/>
  <c r="V32" i="1"/>
  <c r="AA18" i="20"/>
  <c r="AA6" i="20"/>
  <c r="AA12" i="20"/>
  <c r="AN15" i="20"/>
  <c r="AQ179" i="32" s="1"/>
  <c r="AN12" i="20"/>
  <c r="AN6" i="20"/>
  <c r="AN18" i="20"/>
  <c r="AI15" i="20"/>
  <c r="AL179" i="32" s="1"/>
  <c r="AI18" i="20"/>
  <c r="AI6" i="20"/>
  <c r="AA5" i="18"/>
  <c r="AA14" i="18"/>
  <c r="AA128" i="18" s="1"/>
  <c r="AA17" i="18"/>
  <c r="AA11" i="18"/>
  <c r="AA22" i="18" s="1"/>
  <c r="AN6" i="18"/>
  <c r="AN5" i="18" s="1"/>
  <c r="AN7" i="18"/>
  <c r="K32" i="4"/>
  <c r="AD32" i="3"/>
  <c r="W27" i="3"/>
  <c r="W10" i="3"/>
  <c r="AD10" i="3"/>
  <c r="AD21" i="1"/>
  <c r="Y8" i="4"/>
  <c r="AJ5" i="3"/>
  <c r="Y5" i="2"/>
  <c r="S26" i="11"/>
  <c r="AJ71" i="33" s="1"/>
  <c r="AJ9" i="33" s="1"/>
  <c r="AJ27" i="33" s="1"/>
  <c r="AJ45" i="33" s="1"/>
  <c r="F14" i="18"/>
  <c r="I43" i="32" s="1"/>
  <c r="P14" i="18"/>
  <c r="S43" i="32"/>
  <c r="AG14" i="18"/>
  <c r="AH14" i="18"/>
  <c r="AK43" i="32"/>
  <c r="E17" i="18"/>
  <c r="O5" i="18"/>
  <c r="O14" i="18"/>
  <c r="O15" i="18" s="1"/>
  <c r="R43" i="32"/>
  <c r="R44" i="32"/>
  <c r="R12" i="34"/>
  <c r="Z5" i="18"/>
  <c r="H15" i="20"/>
  <c r="K179" i="32"/>
  <c r="O17" i="18"/>
  <c r="I14" i="18"/>
  <c r="L43" i="32"/>
  <c r="L44" i="32" s="1"/>
  <c r="K12" i="34" s="1"/>
  <c r="I11" i="18"/>
  <c r="I17" i="18"/>
  <c r="AH5" i="18"/>
  <c r="AH11" i="18"/>
  <c r="AH12" i="18" s="1"/>
  <c r="E14" i="18"/>
  <c r="H43" i="32" s="1"/>
  <c r="AM14" i="18"/>
  <c r="AP43" i="32"/>
  <c r="E11" i="18"/>
  <c r="E22" i="18"/>
  <c r="AM12" i="18"/>
  <c r="Y14" i="18"/>
  <c r="AM17" i="18"/>
  <c r="AE11" i="18"/>
  <c r="AE22" i="18" s="1"/>
  <c r="Y5" i="18"/>
  <c r="I5" i="18"/>
  <c r="AD14" i="18"/>
  <c r="AD128" i="18" s="1"/>
  <c r="AG43" i="32"/>
  <c r="H18" i="20"/>
  <c r="H6" i="20"/>
  <c r="E5" i="18"/>
  <c r="AD11" i="18"/>
  <c r="AD22" i="18" s="1"/>
  <c r="J5" i="18"/>
  <c r="H12" i="20"/>
  <c r="H13" i="20"/>
  <c r="K198" i="32"/>
  <c r="K189" i="32" s="1"/>
  <c r="K190" i="32" s="1"/>
  <c r="J22" i="34" s="1"/>
  <c r="AL180" i="32"/>
  <c r="D19" i="34"/>
  <c r="D33" i="34" s="1"/>
  <c r="AL170" i="32"/>
  <c r="AL171" i="32" s="1"/>
  <c r="D20" i="34" s="1"/>
  <c r="D34" i="34" s="1"/>
  <c r="AK44" i="32"/>
  <c r="AN12" i="34" s="1"/>
  <c r="AR32" i="1"/>
  <c r="AC8" i="4"/>
  <c r="AG8" i="4"/>
  <c r="AD8" i="4"/>
  <c r="AE8" i="4"/>
  <c r="AB8" i="4"/>
  <c r="AF8" i="4"/>
  <c r="W32" i="1"/>
  <c r="AI128" i="20"/>
  <c r="AI130" i="20" s="1"/>
  <c r="AA128" i="20"/>
  <c r="AA130" i="20" s="1"/>
  <c r="AA130" i="18"/>
  <c r="AA16" i="20"/>
  <c r="AI23" i="20"/>
  <c r="AI16" i="20"/>
  <c r="AD12" i="18"/>
  <c r="AG62" i="32" s="1"/>
  <c r="AG63" i="32" s="1"/>
  <c r="AA12" i="18"/>
  <c r="AD62" i="32" s="1"/>
  <c r="AN14" i="18"/>
  <c r="AQ43" i="32"/>
  <c r="O12" i="18"/>
  <c r="O22" i="18"/>
  <c r="AM22" i="18"/>
  <c r="AH15" i="18"/>
  <c r="AJ18" i="20"/>
  <c r="AJ6" i="20"/>
  <c r="AJ15" i="20"/>
  <c r="AM179" i="32" s="1"/>
  <c r="AM170" i="32" s="1"/>
  <c r="AM171" i="32" s="1"/>
  <c r="F20" i="34" s="1"/>
  <c r="F34" i="34" s="1"/>
  <c r="AA15" i="18"/>
  <c r="AA8" i="25" s="1"/>
  <c r="AA14" i="25" s="1"/>
  <c r="AA20" i="25" s="1"/>
  <c r="AA26" i="25" s="1"/>
  <c r="Y22" i="18"/>
  <c r="AM128" i="18"/>
  <c r="AM130" i="18" s="1"/>
  <c r="O128" i="18"/>
  <c r="O130" i="18" s="1"/>
  <c r="R34" i="32"/>
  <c r="R35" i="32" s="1"/>
  <c r="R13" i="34" s="1"/>
  <c r="Z126" i="11"/>
  <c r="L34" i="32"/>
  <c r="L35" i="32"/>
  <c r="K13" i="34" s="1"/>
  <c r="E15" i="18"/>
  <c r="AM15" i="18"/>
  <c r="E128" i="18"/>
  <c r="E130" i="18"/>
  <c r="E12" i="18"/>
  <c r="E140" i="25" s="1"/>
  <c r="H62" i="32"/>
  <c r="H63" i="32" s="1"/>
  <c r="G14" i="34" s="1"/>
  <c r="AD15" i="18"/>
  <c r="H23" i="20"/>
  <c r="AD130" i="18"/>
  <c r="AM180" i="32"/>
  <c r="F19" i="34" s="1"/>
  <c r="F33" i="34" s="1"/>
  <c r="AI14" i="34"/>
  <c r="AG53" i="32"/>
  <c r="AG54" i="32" s="1"/>
  <c r="AI15" i="34" s="1"/>
  <c r="R62" i="32"/>
  <c r="AB63" i="32"/>
  <c r="AD14" i="34"/>
  <c r="AB54" i="32"/>
  <c r="AD15" i="34" s="1"/>
  <c r="K199" i="32"/>
  <c r="J21" i="34" s="1"/>
  <c r="J35" i="34" s="1"/>
  <c r="J36" i="34"/>
  <c r="AM41" i="25"/>
  <c r="AM47" i="25" s="1"/>
  <c r="AM72" i="25"/>
  <c r="AM78" i="25"/>
  <c r="O208" i="25"/>
  <c r="O214" i="25" s="1"/>
  <c r="O171" i="25"/>
  <c r="O177" i="25"/>
  <c r="O140" i="25"/>
  <c r="O146" i="25"/>
  <c r="O5" i="25"/>
  <c r="O11" i="25" s="1"/>
  <c r="O207" i="25"/>
  <c r="O213" i="25"/>
  <c r="E7" i="25"/>
  <c r="E13" i="25" s="1"/>
  <c r="E146" i="25"/>
  <c r="E104" i="25"/>
  <c r="E110" i="25" s="1"/>
  <c r="E116" i="25" s="1"/>
  <c r="E174" i="25"/>
  <c r="E180" i="25"/>
  <c r="E74" i="25"/>
  <c r="E80" i="25" s="1"/>
  <c r="E86" i="25" s="1"/>
  <c r="E139" i="25"/>
  <c r="E145" i="25" s="1"/>
  <c r="E151" i="25" s="1"/>
  <c r="E157" i="25" s="1"/>
  <c r="AA142" i="25"/>
  <c r="AA148" i="25"/>
  <c r="AM205" i="25"/>
  <c r="AM211" i="25" s="1"/>
  <c r="E76" i="25"/>
  <c r="E82" i="25"/>
  <c r="E8" i="25"/>
  <c r="E14" i="25" s="1"/>
  <c r="E10" i="25"/>
  <c r="E16" i="25" s="1"/>
  <c r="E43" i="25"/>
  <c r="E49" i="25" s="1"/>
  <c r="E138" i="25"/>
  <c r="E144" i="25"/>
  <c r="AA9" i="25"/>
  <c r="AA15" i="25" s="1"/>
  <c r="AA74" i="25"/>
  <c r="AA80" i="25" s="1"/>
  <c r="AA5" i="25"/>
  <c r="AA11" i="25"/>
  <c r="AA105" i="25"/>
  <c r="AA111" i="25"/>
  <c r="AA117" i="25" s="1"/>
  <c r="AA123" i="25" s="1"/>
  <c r="AA73" i="25"/>
  <c r="AA79" i="25" s="1"/>
  <c r="AA85" i="25" s="1"/>
  <c r="AA91" i="25" s="1"/>
  <c r="AA42" i="25"/>
  <c r="AA48" i="25"/>
  <c r="AA54" i="25" s="1"/>
  <c r="AA60" i="25" s="1"/>
  <c r="AH42" i="25"/>
  <c r="AH48" i="25"/>
  <c r="AH109" i="25"/>
  <c r="AH115" i="25" s="1"/>
  <c r="AH121" i="25" s="1"/>
  <c r="AH71" i="25"/>
  <c r="AH77" i="25" s="1"/>
  <c r="AH83" i="25" s="1"/>
  <c r="AH89" i="25" s="1"/>
  <c r="AM71" i="25"/>
  <c r="AM77" i="25"/>
  <c r="AM172" i="25"/>
  <c r="AM178" i="25" s="1"/>
  <c r="O7" i="25"/>
  <c r="O13" i="25" s="1"/>
  <c r="O19" i="25" s="1"/>
  <c r="O25" i="25" s="1"/>
  <c r="O9" i="25"/>
  <c r="O15" i="25"/>
  <c r="O173" i="25"/>
  <c r="O179" i="25" s="1"/>
  <c r="O142" i="25"/>
  <c r="O148" i="25" s="1"/>
  <c r="O172" i="25"/>
  <c r="O178" i="25" s="1"/>
  <c r="O174" i="25"/>
  <c r="O180" i="25"/>
  <c r="O175" i="25"/>
  <c r="O181" i="25"/>
  <c r="E5" i="25"/>
  <c r="E11" i="25" s="1"/>
  <c r="E72" i="25"/>
  <c r="E78" i="25" s="1"/>
  <c r="E107" i="25"/>
  <c r="E113" i="25" s="1"/>
  <c r="E9" i="25"/>
  <c r="E15" i="25" s="1"/>
  <c r="E141" i="25"/>
  <c r="E147" i="25"/>
  <c r="AA75" i="25"/>
  <c r="AA81" i="25"/>
  <c r="AA107" i="25"/>
  <c r="AA113" i="25" s="1"/>
  <c r="AA173" i="25"/>
  <c r="AA179" i="25" s="1"/>
  <c r="E137" i="25"/>
  <c r="E143" i="25" s="1"/>
  <c r="E149" i="25" s="1"/>
  <c r="E155" i="25" s="1"/>
  <c r="E75" i="25"/>
  <c r="E81" i="25" s="1"/>
  <c r="E87" i="25" s="1"/>
  <c r="E93" i="25" s="1"/>
  <c r="E42" i="25"/>
  <c r="E48" i="25" s="1"/>
  <c r="E54" i="25" s="1"/>
  <c r="E60" i="25" s="1"/>
  <c r="E38" i="25"/>
  <c r="E44" i="25" s="1"/>
  <c r="E40" i="25"/>
  <c r="E46" i="25" s="1"/>
  <c r="E73" i="25"/>
  <c r="E79" i="25" s="1"/>
  <c r="AA41" i="25"/>
  <c r="AA47" i="25"/>
  <c r="AA109" i="25"/>
  <c r="AA115" i="25" s="1"/>
  <c r="AA121" i="25" s="1"/>
  <c r="AA127" i="25" s="1"/>
  <c r="AA138" i="25"/>
  <c r="AA144" i="25" s="1"/>
  <c r="AA150" i="25" s="1"/>
  <c r="AA137" i="25"/>
  <c r="AA143" i="25" s="1"/>
  <c r="AA149" i="25" s="1"/>
  <c r="AA155" i="25" s="1"/>
  <c r="AA174" i="25"/>
  <c r="AA180" i="25" s="1"/>
  <c r="AA186" i="25" s="1"/>
  <c r="AA192" i="25" s="1"/>
  <c r="AA204" i="25"/>
  <c r="AA210" i="25" s="1"/>
  <c r="AA216" i="25" s="1"/>
  <c r="AA222" i="25" s="1"/>
  <c r="AA228" i="25" s="1"/>
  <c r="AM7" i="25"/>
  <c r="AM13" i="25"/>
  <c r="AM6" i="25"/>
  <c r="AM12" i="25"/>
  <c r="AM8" i="25"/>
  <c r="AM14" i="25" s="1"/>
  <c r="AM38" i="25"/>
  <c r="AM44" i="25" s="1"/>
  <c r="AM75" i="25"/>
  <c r="AM81" i="25"/>
  <c r="AM139" i="25"/>
  <c r="AM145" i="25" s="1"/>
  <c r="AM137" i="25"/>
  <c r="AM143" i="25" s="1"/>
  <c r="AM149" i="25" s="1"/>
  <c r="AM155" i="25" s="1"/>
  <c r="AM171" i="25"/>
  <c r="AM177" i="25" s="1"/>
  <c r="O6" i="25"/>
  <c r="O12" i="25"/>
  <c r="O203" i="25"/>
  <c r="O209" i="25" s="1"/>
  <c r="O137" i="25"/>
  <c r="O143" i="25" s="1"/>
  <c r="O204" i="25"/>
  <c r="O210" i="25" s="1"/>
  <c r="O216" i="25" s="1"/>
  <c r="O222" i="25" s="1"/>
  <c r="Y164" i="18"/>
  <c r="Y166" i="18"/>
  <c r="AA164" i="18"/>
  <c r="AA166" i="18"/>
  <c r="AD164" i="18"/>
  <c r="AD166" i="18"/>
  <c r="O164" i="18"/>
  <c r="O166" i="18"/>
  <c r="E164" i="18"/>
  <c r="E166" i="18"/>
  <c r="AM100" i="18"/>
  <c r="AJ128" i="20"/>
  <c r="AJ130" i="20"/>
  <c r="AN128" i="18"/>
  <c r="AN130" i="18" s="1"/>
  <c r="AA101" i="18"/>
  <c r="AM25" i="18"/>
  <c r="O65" i="18"/>
  <c r="O71" i="18" s="1"/>
  <c r="O77" i="18" s="1"/>
  <c r="O83" i="18" s="1"/>
  <c r="AA102" i="18"/>
  <c r="AM65" i="18"/>
  <c r="AM71" i="18" s="1"/>
  <c r="AM77" i="18" s="1"/>
  <c r="AM30" i="18"/>
  <c r="AM29" i="18"/>
  <c r="AM36" i="18" s="1"/>
  <c r="AM44" i="18" s="1"/>
  <c r="AM74" i="52" s="1"/>
  <c r="AM98" i="18"/>
  <c r="AM104" i="18" s="1"/>
  <c r="AM110" i="18" s="1"/>
  <c r="AM138" i="18"/>
  <c r="AM137" i="18"/>
  <c r="AM103" i="18"/>
  <c r="AM27" i="18"/>
  <c r="AM102" i="18"/>
  <c r="AM67" i="18"/>
  <c r="O30" i="18"/>
  <c r="O101" i="18"/>
  <c r="O100" i="18"/>
  <c r="O26" i="18"/>
  <c r="O139" i="18"/>
  <c r="O25" i="18"/>
  <c r="E67" i="18"/>
  <c r="E29" i="18"/>
  <c r="E100" i="18"/>
  <c r="E62" i="18"/>
  <c r="E64" i="18"/>
  <c r="E65" i="18"/>
  <c r="E26" i="18"/>
  <c r="E33" i="18" s="1"/>
  <c r="E41" i="18" s="1"/>
  <c r="E71" i="52" s="1"/>
  <c r="E27" i="18"/>
  <c r="E28" i="18"/>
  <c r="O28" i="18"/>
  <c r="O35" i="18" s="1"/>
  <c r="O43" i="18" s="1"/>
  <c r="O63" i="18"/>
  <c r="AA139" i="18"/>
  <c r="AA135" i="18"/>
  <c r="AA138" i="18"/>
  <c r="AA137" i="18"/>
  <c r="AA134" i="18"/>
  <c r="AA26" i="18"/>
  <c r="AA103" i="18"/>
  <c r="AA27" i="18"/>
  <c r="AA136" i="18"/>
  <c r="E31" i="18"/>
  <c r="E99" i="18"/>
  <c r="E102" i="18"/>
  <c r="AA67" i="18"/>
  <c r="AD101" i="18"/>
  <c r="O98" i="18"/>
  <c r="O27" i="18"/>
  <c r="O64" i="18"/>
  <c r="AM134" i="18"/>
  <c r="AM66" i="18"/>
  <c r="AM16" i="18"/>
  <c r="AM18" i="18"/>
  <c r="AJ23" i="20"/>
  <c r="AJ13" i="20"/>
  <c r="AM198" i="32"/>
  <c r="AJ16" i="20"/>
  <c r="AN15" i="18"/>
  <c r="AA16" i="18"/>
  <c r="AA18" i="18" s="1"/>
  <c r="E16" i="18"/>
  <c r="O16" i="18"/>
  <c r="O31" i="18"/>
  <c r="O44" i="25"/>
  <c r="O50" i="25" s="1"/>
  <c r="O56" i="25"/>
  <c r="O76" i="25"/>
  <c r="O82" i="25"/>
  <c r="O206" i="25"/>
  <c r="O212" i="25"/>
  <c r="O135" i="18"/>
  <c r="O62" i="18"/>
  <c r="O71" i="25"/>
  <c r="O77" i="25" s="1"/>
  <c r="O83" i="25" s="1"/>
  <c r="O89" i="25" s="1"/>
  <c r="O73" i="25"/>
  <c r="O79" i="25"/>
  <c r="O138" i="18"/>
  <c r="O144" i="18"/>
  <c r="O150" i="18" s="1"/>
  <c r="E63" i="18"/>
  <c r="E69" i="18" s="1"/>
  <c r="E75" i="18" s="1"/>
  <c r="O42" i="25"/>
  <c r="O48" i="25" s="1"/>
  <c r="O54" i="25" s="1"/>
  <c r="O60" i="25" s="1"/>
  <c r="E6" i="25"/>
  <c r="E12" i="25" s="1"/>
  <c r="E18" i="25" s="1"/>
  <c r="E24" i="25" s="1"/>
  <c r="E41" i="25"/>
  <c r="E47" i="25"/>
  <c r="E39" i="25"/>
  <c r="E45" i="25" s="1"/>
  <c r="E71" i="25"/>
  <c r="E77" i="25" s="1"/>
  <c r="O75" i="25"/>
  <c r="O81" i="25" s="1"/>
  <c r="O87" i="25" s="1"/>
  <c r="O93" i="25" s="1"/>
  <c r="O136" i="18"/>
  <c r="O43" i="25"/>
  <c r="O49" i="25"/>
  <c r="O137" i="18"/>
  <c r="O67" i="18"/>
  <c r="O134" i="18"/>
  <c r="E103" i="18"/>
  <c r="E98" i="18"/>
  <c r="E104" i="18"/>
  <c r="E110" i="18" s="1"/>
  <c r="O29" i="18"/>
  <c r="O102" i="18"/>
  <c r="O10" i="25"/>
  <c r="O16" i="25"/>
  <c r="O22" i="25" s="1"/>
  <c r="O28" i="25" s="1"/>
  <c r="O72" i="25"/>
  <c r="O78" i="25" s="1"/>
  <c r="O84" i="25" s="1"/>
  <c r="O90" i="25" s="1"/>
  <c r="O74" i="25"/>
  <c r="O80" i="25" s="1"/>
  <c r="E30" i="18"/>
  <c r="E37" i="18" s="1"/>
  <c r="E45" i="18" s="1"/>
  <c r="E75" i="52"/>
  <c r="E101" i="18"/>
  <c r="E107" i="18" s="1"/>
  <c r="E113" i="18" s="1"/>
  <c r="O66" i="18"/>
  <c r="O72" i="18"/>
  <c r="O78" i="18" s="1"/>
  <c r="E66" i="18"/>
  <c r="E142" i="25"/>
  <c r="E148" i="25" s="1"/>
  <c r="O170" i="25"/>
  <c r="O176" i="25"/>
  <c r="O182" i="25" s="1"/>
  <c r="O188" i="25"/>
  <c r="O39" i="25"/>
  <c r="O45" i="25"/>
  <c r="O51" i="25"/>
  <c r="O57" i="25"/>
  <c r="O141" i="25"/>
  <c r="O147" i="25"/>
  <c r="O153" i="25"/>
  <c r="O159" i="25" s="1"/>
  <c r="O99" i="18"/>
  <c r="O105" i="18" s="1"/>
  <c r="O111" i="18" s="1"/>
  <c r="E25" i="18"/>
  <c r="E32" i="18"/>
  <c r="E40" i="18" s="1"/>
  <c r="E70" i="52"/>
  <c r="O103" i="18"/>
  <c r="O109" i="18" s="1"/>
  <c r="O115" i="18" s="1"/>
  <c r="AD139" i="18"/>
  <c r="AD8" i="25"/>
  <c r="AD14" i="25" s="1"/>
  <c r="AD75" i="25"/>
  <c r="AD81" i="25" s="1"/>
  <c r="AD38" i="25"/>
  <c r="AD44" i="25"/>
  <c r="AD140" i="25"/>
  <c r="AD146" i="25"/>
  <c r="AD10" i="25"/>
  <c r="AD16" i="25"/>
  <c r="AD41" i="25"/>
  <c r="AD47" i="25"/>
  <c r="AD73" i="25"/>
  <c r="AD79" i="25"/>
  <c r="AD100" i="18"/>
  <c r="AD106" i="18"/>
  <c r="AD99" i="18"/>
  <c r="AD65" i="18"/>
  <c r="AD5" i="25"/>
  <c r="AD11" i="25" s="1"/>
  <c r="AD74" i="25"/>
  <c r="AD80" i="25"/>
  <c r="AD139" i="25"/>
  <c r="AD145" i="25" s="1"/>
  <c r="AD66" i="18"/>
  <c r="AD25" i="18"/>
  <c r="AD31" i="18"/>
  <c r="AD63" i="18"/>
  <c r="AD69" i="18" s="1"/>
  <c r="AD98" i="18"/>
  <c r="AD104" i="18"/>
  <c r="AD28" i="18"/>
  <c r="AD102" i="18"/>
  <c r="AD106" i="25"/>
  <c r="AD112" i="25" s="1"/>
  <c r="AD207" i="25"/>
  <c r="AD213" i="25"/>
  <c r="AD7" i="25"/>
  <c r="AD13" i="25" s="1"/>
  <c r="AD203" i="25"/>
  <c r="AD209" i="25" s="1"/>
  <c r="AD76" i="25"/>
  <c r="AD82" i="25" s="1"/>
  <c r="AD71" i="25"/>
  <c r="AD77" i="25" s="1"/>
  <c r="AD204" i="25"/>
  <c r="AD210" i="25" s="1"/>
  <c r="AD72" i="25"/>
  <c r="AD78" i="25" s="1"/>
  <c r="AD40" i="25"/>
  <c r="AD46" i="25"/>
  <c r="AD174" i="25"/>
  <c r="AD180" i="25" s="1"/>
  <c r="AD16" i="18"/>
  <c r="AD62" i="18"/>
  <c r="AD68" i="18"/>
  <c r="AD134" i="18"/>
  <c r="AD138" i="18"/>
  <c r="AD144" i="18" s="1"/>
  <c r="AD135" i="18"/>
  <c r="AD141" i="18" s="1"/>
  <c r="AD64" i="18"/>
  <c r="AD70" i="18"/>
  <c r="AD30" i="18"/>
  <c r="AD37" i="18"/>
  <c r="AD27" i="18"/>
  <c r="AD34" i="18"/>
  <c r="AD142" i="25"/>
  <c r="AD148" i="25"/>
  <c r="AD39" i="25"/>
  <c r="AD45" i="25" s="1"/>
  <c r="AD141" i="25"/>
  <c r="AD147" i="25" s="1"/>
  <c r="AD42" i="25"/>
  <c r="AD48" i="25" s="1"/>
  <c r="AD138" i="25"/>
  <c r="AD144" i="25"/>
  <c r="AD9" i="25"/>
  <c r="AD15" i="25"/>
  <c r="AD43" i="25"/>
  <c r="AD49" i="25"/>
  <c r="AD137" i="25"/>
  <c r="AD143" i="25" s="1"/>
  <c r="AM199" i="32"/>
  <c r="F21" i="34" s="1"/>
  <c r="F35" i="34" s="1"/>
  <c r="R63" i="32"/>
  <c r="R14" i="34" s="1"/>
  <c r="R53" i="32"/>
  <c r="R54" i="32" s="1"/>
  <c r="R15" i="34" s="1"/>
  <c r="O184" i="25"/>
  <c r="O190" i="25" s="1"/>
  <c r="O55" i="25"/>
  <c r="O61" i="25" s="1"/>
  <c r="AM50" i="25"/>
  <c r="AM56" i="25" s="1"/>
  <c r="E119" i="25"/>
  <c r="E125" i="25" s="1"/>
  <c r="O186" i="25"/>
  <c r="O192" i="25"/>
  <c r="AM83" i="25"/>
  <c r="AM89" i="25" s="1"/>
  <c r="E53" i="25"/>
  <c r="E59" i="25"/>
  <c r="E92" i="25"/>
  <c r="O86" i="25"/>
  <c r="O92" i="25" s="1"/>
  <c r="O152" i="25"/>
  <c r="O158" i="25"/>
  <c r="O183" i="25"/>
  <c r="O189" i="25" s="1"/>
  <c r="E153" i="25"/>
  <c r="E159" i="25" s="1"/>
  <c r="O149" i="25"/>
  <c r="O155" i="25"/>
  <c r="AM20" i="25"/>
  <c r="AM26" i="25"/>
  <c r="AA185" i="25"/>
  <c r="AA191" i="25" s="1"/>
  <c r="E17" i="25"/>
  <c r="E23" i="25" s="1"/>
  <c r="O154" i="25"/>
  <c r="O160" i="25"/>
  <c r="E150" i="25"/>
  <c r="E156" i="25" s="1"/>
  <c r="E152" i="25"/>
  <c r="E158" i="25"/>
  <c r="O218" i="25"/>
  <c r="O224" i="25" s="1"/>
  <c r="E84" i="25"/>
  <c r="H27" i="32" s="1"/>
  <c r="E90" i="25"/>
  <c r="AM18" i="25"/>
  <c r="AM24" i="25" s="1"/>
  <c r="AA53" i="25"/>
  <c r="AA59" i="25" s="1"/>
  <c r="E85" i="25"/>
  <c r="E91" i="25"/>
  <c r="AA119" i="25"/>
  <c r="AA125" i="25" s="1"/>
  <c r="O185" i="25"/>
  <c r="O191" i="25" s="1"/>
  <c r="AM217" i="25"/>
  <c r="AM223" i="25" s="1"/>
  <c r="E19" i="25"/>
  <c r="E25" i="25" s="1"/>
  <c r="O219" i="25"/>
  <c r="O225" i="25"/>
  <c r="O17" i="25"/>
  <c r="O23" i="25" s="1"/>
  <c r="AM84" i="25"/>
  <c r="AM90" i="25"/>
  <c r="AA154" i="25"/>
  <c r="AA160" i="25" s="1"/>
  <c r="E83" i="25"/>
  <c r="E89" i="25" s="1"/>
  <c r="AM183" i="25"/>
  <c r="AM189" i="25" s="1"/>
  <c r="AM19" i="25"/>
  <c r="AM25" i="25" s="1"/>
  <c r="E52" i="25"/>
  <c r="E58" i="25" s="1"/>
  <c r="AA87" i="25"/>
  <c r="AA93" i="25" s="1"/>
  <c r="E21" i="25"/>
  <c r="E27" i="25" s="1"/>
  <c r="AH127" i="25"/>
  <c r="O88" i="25"/>
  <c r="O94" i="25"/>
  <c r="E50" i="25"/>
  <c r="E56" i="25"/>
  <c r="AH54" i="25"/>
  <c r="AH60" i="25"/>
  <c r="AA17" i="25"/>
  <c r="AA23" i="25"/>
  <c r="E55" i="25"/>
  <c r="E61" i="25" s="1"/>
  <c r="O85" i="25"/>
  <c r="O91" i="25"/>
  <c r="E154" i="25"/>
  <c r="E160" i="25" s="1"/>
  <c r="E88" i="25"/>
  <c r="E94" i="25" s="1"/>
  <c r="O215" i="25"/>
  <c r="AM151" i="25"/>
  <c r="AM157" i="25"/>
  <c r="AM184" i="25"/>
  <c r="AM190" i="25" s="1"/>
  <c r="AA86" i="25"/>
  <c r="AA92" i="25"/>
  <c r="E22" i="25"/>
  <c r="E28" i="25" s="1"/>
  <c r="E51" i="25"/>
  <c r="E57" i="25"/>
  <c r="O18" i="25"/>
  <c r="O24" i="25"/>
  <c r="AM87" i="25"/>
  <c r="AM93" i="25" s="1"/>
  <c r="O187" i="25"/>
  <c r="O21" i="25"/>
  <c r="O27" i="25"/>
  <c r="AA21" i="25"/>
  <c r="AA27" i="25" s="1"/>
  <c r="E20" i="25"/>
  <c r="E26" i="25" s="1"/>
  <c r="E186" i="25"/>
  <c r="E192" i="25"/>
  <c r="O220" i="25"/>
  <c r="O226" i="25" s="1"/>
  <c r="AM53" i="25"/>
  <c r="AM59" i="25"/>
  <c r="AJ71" i="27"/>
  <c r="AJ77" i="27" s="1"/>
  <c r="AJ83" i="27" s="1"/>
  <c r="AJ89" i="27" s="1"/>
  <c r="AJ39" i="27"/>
  <c r="AJ45" i="27" s="1"/>
  <c r="AJ6" i="27"/>
  <c r="AJ12" i="27"/>
  <c r="AJ207" i="27"/>
  <c r="AJ213" i="27" s="1"/>
  <c r="AJ10" i="27"/>
  <c r="AJ16" i="27" s="1"/>
  <c r="AJ22" i="27" s="1"/>
  <c r="AJ28" i="27" s="1"/>
  <c r="AJ72" i="27"/>
  <c r="AJ78" i="27"/>
  <c r="AJ84" i="27" s="1"/>
  <c r="AJ90" i="27" s="1"/>
  <c r="AJ141" i="27"/>
  <c r="AJ147" i="27" s="1"/>
  <c r="AJ153" i="27" s="1"/>
  <c r="AJ159" i="27" s="1"/>
  <c r="AJ106" i="27"/>
  <c r="AJ112" i="27" s="1"/>
  <c r="AJ118" i="27" s="1"/>
  <c r="AJ124" i="27" s="1"/>
  <c r="AJ140" i="27"/>
  <c r="AJ146" i="27" s="1"/>
  <c r="AJ152" i="27" s="1"/>
  <c r="AJ158" i="27" s="1"/>
  <c r="AJ203" i="27"/>
  <c r="AJ209" i="27" s="1"/>
  <c r="AJ215" i="27" s="1"/>
  <c r="AJ221" i="27" s="1"/>
  <c r="AJ43" i="27"/>
  <c r="AJ49" i="27" s="1"/>
  <c r="AJ55" i="27" s="1"/>
  <c r="AJ61" i="27" s="1"/>
  <c r="AJ108" i="27"/>
  <c r="AJ114" i="27" s="1"/>
  <c r="AJ42" i="27"/>
  <c r="AJ48" i="27" s="1"/>
  <c r="AJ54" i="27" s="1"/>
  <c r="AJ60" i="27" s="1"/>
  <c r="AJ41" i="27"/>
  <c r="AJ47" i="27" s="1"/>
  <c r="AJ53" i="27" s="1"/>
  <c r="AJ59" i="27" s="1"/>
  <c r="AJ105" i="27"/>
  <c r="AJ111" i="27" s="1"/>
  <c r="AJ107" i="27"/>
  <c r="AJ113" i="27" s="1"/>
  <c r="AJ119" i="27" s="1"/>
  <c r="AJ142" i="27"/>
  <c r="AJ148" i="27" s="1"/>
  <c r="AJ164" i="20"/>
  <c r="AJ166" i="20"/>
  <c r="AA107" i="18"/>
  <c r="O142" i="18"/>
  <c r="O148" i="18" s="1"/>
  <c r="E71" i="18"/>
  <c r="E77" i="18" s="1"/>
  <c r="E83" i="18" s="1"/>
  <c r="AJ102" i="20"/>
  <c r="AJ101" i="20"/>
  <c r="AJ137" i="20"/>
  <c r="AJ27" i="20"/>
  <c r="AJ34" i="20" s="1"/>
  <c r="AJ63" i="20"/>
  <c r="AJ136" i="20"/>
  <c r="AJ29" i="20"/>
  <c r="AJ64" i="20"/>
  <c r="AJ99" i="20"/>
  <c r="AJ65" i="20"/>
  <c r="AJ138" i="20"/>
  <c r="AJ30" i="20"/>
  <c r="AJ37" i="20" s="1"/>
  <c r="AJ45" i="20" s="1"/>
  <c r="AJ66" i="20"/>
  <c r="E35" i="18"/>
  <c r="E43" i="18"/>
  <c r="E73" i="52" s="1"/>
  <c r="AA109" i="18"/>
  <c r="AA115" i="18"/>
  <c r="AM143" i="18"/>
  <c r="AM149" i="18" s="1"/>
  <c r="AM155" i="18" s="1"/>
  <c r="AM73" i="18"/>
  <c r="AM79" i="18"/>
  <c r="AM85" i="18" s="1"/>
  <c r="AM109" i="18"/>
  <c r="AM115" i="18"/>
  <c r="AM32" i="18"/>
  <c r="AM40" i="18" s="1"/>
  <c r="AM144" i="18"/>
  <c r="AM150" i="18" s="1"/>
  <c r="AM140" i="18"/>
  <c r="AM146" i="18"/>
  <c r="AM106" i="18"/>
  <c r="AM112" i="18"/>
  <c r="AM37" i="18"/>
  <c r="AM45" i="18"/>
  <c r="AM75" i="52"/>
  <c r="O34" i="18"/>
  <c r="O42" i="18" s="1"/>
  <c r="O72" i="52"/>
  <c r="AA144" i="18"/>
  <c r="AA150" i="18" s="1"/>
  <c r="AM108" i="18"/>
  <c r="AM114" i="18" s="1"/>
  <c r="AM120" i="18" s="1"/>
  <c r="AM72" i="18"/>
  <c r="AM78" i="18"/>
  <c r="AA142" i="18"/>
  <c r="AA148" i="18"/>
  <c r="AA154" i="18" s="1"/>
  <c r="AM34" i="18"/>
  <c r="AM42" i="18"/>
  <c r="AM72" i="52" s="1"/>
  <c r="AD35" i="18"/>
  <c r="AD32" i="18"/>
  <c r="AD38" i="18"/>
  <c r="AD39" i="18"/>
  <c r="AD105" i="18"/>
  <c r="AD145" i="18"/>
  <c r="AD140" i="18"/>
  <c r="AD72" i="18"/>
  <c r="AD107" i="18"/>
  <c r="AD71" i="18"/>
  <c r="AD108" i="18"/>
  <c r="O36" i="18"/>
  <c r="O44" i="18" s="1"/>
  <c r="O18" i="18"/>
  <c r="O32" i="18"/>
  <c r="O40" i="18" s="1"/>
  <c r="O37" i="18"/>
  <c r="O45" i="18"/>
  <c r="R22" i="32" s="1"/>
  <c r="O106" i="18"/>
  <c r="O112" i="18" s="1"/>
  <c r="O118" i="18" s="1"/>
  <c r="O107" i="18"/>
  <c r="O113" i="18"/>
  <c r="O119" i="18" s="1"/>
  <c r="O69" i="18"/>
  <c r="O75" i="18" s="1"/>
  <c r="O33" i="18"/>
  <c r="O41" i="18" s="1"/>
  <c r="O68" i="18"/>
  <c r="O74" i="18"/>
  <c r="O140" i="18"/>
  <c r="O146" i="18"/>
  <c r="O152" i="18" s="1"/>
  <c r="O70" i="18"/>
  <c r="O76" i="18" s="1"/>
  <c r="O143" i="18"/>
  <c r="O149" i="18"/>
  <c r="O145" i="18"/>
  <c r="O151" i="18" s="1"/>
  <c r="O157" i="18" s="1"/>
  <c r="O163" i="18" s="1"/>
  <c r="O38" i="18"/>
  <c r="O39" i="18" s="1"/>
  <c r="O73" i="18"/>
  <c r="O79" i="18" s="1"/>
  <c r="O85" i="18" s="1"/>
  <c r="O104" i="18"/>
  <c r="O110" i="18" s="1"/>
  <c r="O116" i="18" s="1"/>
  <c r="O108" i="18"/>
  <c r="O114" i="18" s="1"/>
  <c r="O141" i="18"/>
  <c r="O147" i="18" s="1"/>
  <c r="E18" i="18"/>
  <c r="E68" i="18"/>
  <c r="E74" i="18" s="1"/>
  <c r="E80" i="18" s="1"/>
  <c r="E72" i="18"/>
  <c r="E78" i="18"/>
  <c r="E34" i="18"/>
  <c r="E42" i="18" s="1"/>
  <c r="AA145" i="18"/>
  <c r="AA151" i="18"/>
  <c r="E36" i="18"/>
  <c r="E44" i="18" s="1"/>
  <c r="AA141" i="18"/>
  <c r="AA147" i="18" s="1"/>
  <c r="AA73" i="18"/>
  <c r="AA79" i="18" s="1"/>
  <c r="AA85" i="18" s="1"/>
  <c r="AA34" i="18"/>
  <c r="AA42" i="18" s="1"/>
  <c r="AA108" i="18"/>
  <c r="AA114" i="18"/>
  <c r="AA120" i="18" s="1"/>
  <c r="E38" i="18"/>
  <c r="E39" i="18" s="1"/>
  <c r="AA140" i="18"/>
  <c r="AA146" i="18" s="1"/>
  <c r="AA33" i="18"/>
  <c r="AA41" i="18" s="1"/>
  <c r="AA71" i="52" s="1"/>
  <c r="E109" i="18"/>
  <c r="E115" i="18"/>
  <c r="E121" i="18" s="1"/>
  <c r="E105" i="18"/>
  <c r="E111" i="18"/>
  <c r="E73" i="18"/>
  <c r="E79" i="18" s="1"/>
  <c r="E70" i="18"/>
  <c r="E76" i="18" s="1"/>
  <c r="E82" i="18" s="1"/>
  <c r="E106" i="18"/>
  <c r="E112" i="18" s="1"/>
  <c r="E118" i="18" s="1"/>
  <c r="AJ17" i="20"/>
  <c r="AJ117" i="27" s="1"/>
  <c r="E108" i="18"/>
  <c r="E114" i="18"/>
  <c r="AA143" i="18"/>
  <c r="AA149" i="18"/>
  <c r="AA155" i="18" s="1"/>
  <c r="R49" i="32"/>
  <c r="R59" i="32"/>
  <c r="AP26" i="32"/>
  <c r="AD65" i="32"/>
  <c r="AD37" i="32"/>
  <c r="H45" i="32"/>
  <c r="H8" i="32"/>
  <c r="H26" i="32"/>
  <c r="R9" i="32"/>
  <c r="R18" i="32"/>
  <c r="R27" i="32"/>
  <c r="H47" i="32"/>
  <c r="H19" i="32"/>
  <c r="H22" i="32"/>
  <c r="H31" i="32"/>
  <c r="H13" i="32"/>
  <c r="H50" i="32"/>
  <c r="H11" i="32"/>
  <c r="H48" i="32"/>
  <c r="H20" i="32"/>
  <c r="H39" i="32"/>
  <c r="H29" i="32"/>
  <c r="H9" i="32"/>
  <c r="H46" i="32"/>
  <c r="H18" i="32"/>
  <c r="R31" i="32"/>
  <c r="R13" i="32"/>
  <c r="R69" i="32"/>
  <c r="AP30" i="32"/>
  <c r="R8" i="32"/>
  <c r="R45" i="32"/>
  <c r="R17" i="32"/>
  <c r="R55" i="32"/>
  <c r="AP47" i="32"/>
  <c r="AJ123" i="27"/>
  <c r="AJ120" i="27"/>
  <c r="AM176" i="32" s="1"/>
  <c r="AJ154" i="27"/>
  <c r="AJ160" i="27" s="1"/>
  <c r="AJ219" i="27"/>
  <c r="AJ225" i="27" s="1"/>
  <c r="AJ18" i="27"/>
  <c r="AJ24" i="27" s="1"/>
  <c r="AJ51" i="27"/>
  <c r="AJ57" i="27" s="1"/>
  <c r="AA113" i="18"/>
  <c r="AA119" i="18" s="1"/>
  <c r="AJ125" i="27"/>
  <c r="E85" i="18"/>
  <c r="E117" i="18"/>
  <c r="O82" i="18"/>
  <c r="O121" i="18"/>
  <c r="AM84" i="18"/>
  <c r="E119" i="18"/>
  <c r="AA121" i="18"/>
  <c r="E120" i="18"/>
  <c r="O117" i="18"/>
  <c r="O123" i="18" s="1"/>
  <c r="O84" i="18"/>
  <c r="O81" i="18"/>
  <c r="AM83" i="18"/>
  <c r="AM118" i="18"/>
  <c r="AM121" i="18"/>
  <c r="E84" i="18"/>
  <c r="AM116" i="18"/>
  <c r="E116" i="18"/>
  <c r="E81" i="18"/>
  <c r="O120" i="18"/>
  <c r="O80" i="18"/>
  <c r="AM156" i="18"/>
  <c r="AA157" i="18"/>
  <c r="AA156" i="18"/>
  <c r="AM152" i="18"/>
  <c r="AA152" i="18"/>
  <c r="O153" i="18"/>
  <c r="O159" i="18" s="1"/>
  <c r="O156" i="18"/>
  <c r="O162" i="18" s="1"/>
  <c r="O154" i="18"/>
  <c r="AA153" i="18"/>
  <c r="O155" i="18"/>
  <c r="O52" i="18"/>
  <c r="O51" i="18"/>
  <c r="O50" i="18"/>
  <c r="AA48" i="18"/>
  <c r="O48" i="18"/>
  <c r="AM49" i="18"/>
  <c r="AM52" i="18"/>
  <c r="E52" i="18"/>
  <c r="E48" i="18"/>
  <c r="E50" i="18"/>
  <c r="E98" i="25" s="1"/>
  <c r="AJ105" i="20"/>
  <c r="AJ111" i="20" s="1"/>
  <c r="AJ108" i="20"/>
  <c r="AJ114" i="20" s="1"/>
  <c r="AJ120" i="20" s="1"/>
  <c r="O47" i="18"/>
  <c r="AJ142" i="20"/>
  <c r="AJ148" i="20" s="1"/>
  <c r="AJ19" i="20"/>
  <c r="AJ71" i="20"/>
  <c r="AJ77" i="20" s="1"/>
  <c r="AJ83" i="20" s="1"/>
  <c r="AJ89" i="20" s="1"/>
  <c r="AJ143" i="20"/>
  <c r="AJ149" i="20" s="1"/>
  <c r="AJ155" i="20" s="1"/>
  <c r="AJ107" i="20"/>
  <c r="AJ113" i="20" s="1"/>
  <c r="AJ119" i="20" s="1"/>
  <c r="AJ69" i="20"/>
  <c r="AJ75" i="20" s="1"/>
  <c r="AJ81" i="20" s="1"/>
  <c r="AJ70" i="20"/>
  <c r="AJ76" i="20" s="1"/>
  <c r="AJ82" i="20" s="1"/>
  <c r="AJ36" i="20"/>
  <c r="AJ44" i="20"/>
  <c r="AJ85" i="52" s="1"/>
  <c r="AJ72" i="20"/>
  <c r="AJ78" i="20" s="1"/>
  <c r="AJ144" i="20"/>
  <c r="AJ150" i="20"/>
  <c r="E47" i="18"/>
  <c r="AM175" i="32"/>
  <c r="AM204" i="32"/>
  <c r="AM157" i="32"/>
  <c r="O194" i="25"/>
  <c r="O161" i="25"/>
  <c r="O95" i="25"/>
  <c r="O62" i="25"/>
  <c r="O29" i="25"/>
  <c r="E131" i="25"/>
  <c r="E164" i="25"/>
  <c r="E32" i="25"/>
  <c r="E65" i="25"/>
  <c r="O232" i="25"/>
  <c r="O166" i="25"/>
  <c r="O100" i="25"/>
  <c r="O34" i="25"/>
  <c r="O67" i="25"/>
  <c r="E67" i="25"/>
  <c r="E34" i="25"/>
  <c r="O228" i="25"/>
  <c r="O195" i="25"/>
  <c r="O63" i="25"/>
  <c r="O230" i="25"/>
  <c r="E162" i="25"/>
  <c r="AA129" i="25"/>
  <c r="O198" i="25"/>
  <c r="O165" i="25"/>
  <c r="O33" i="25"/>
  <c r="O129" i="18"/>
  <c r="O87" i="18"/>
  <c r="O89" i="18"/>
  <c r="AM129" i="18"/>
  <c r="E129" i="18"/>
  <c r="O165" i="18"/>
  <c r="AJ84" i="20"/>
  <c r="AJ90" i="20" s="1"/>
  <c r="AJ117" i="20"/>
  <c r="AJ51" i="20"/>
  <c r="AJ52" i="20"/>
  <c r="E125" i="18"/>
  <c r="AM91" i="18"/>
  <c r="AA159" i="18"/>
  <c r="O90" i="18"/>
  <c r="O161" i="18"/>
  <c r="AJ156" i="20"/>
  <c r="AJ162" i="20" s="1"/>
  <c r="AJ154" i="20"/>
  <c r="O91" i="18"/>
  <c r="O127" i="18"/>
  <c r="AM51" i="18"/>
  <c r="E87" i="18"/>
  <c r="E123" i="18"/>
  <c r="E89" i="18"/>
  <c r="O158" i="18"/>
  <c r="O122" i="18"/>
  <c r="O86" i="18"/>
  <c r="AJ231" i="27"/>
  <c r="AJ66" i="27"/>
  <c r="AJ126" i="20"/>
  <c r="AJ5" i="5"/>
  <c r="D4" i="18" s="1"/>
  <c r="N9" i="5"/>
  <c r="D7" i="18"/>
  <c r="J5" i="5"/>
  <c r="P5" i="5" s="1"/>
  <c r="I5" i="5"/>
  <c r="H5" i="5"/>
  <c r="P9" i="5"/>
  <c r="Y9" i="5"/>
  <c r="AB9" i="5" s="1"/>
  <c r="P36" i="5"/>
  <c r="Y36" i="5"/>
  <c r="AB36" i="5"/>
  <c r="P38" i="5"/>
  <c r="Q38" i="5" s="1"/>
  <c r="Y38" i="5"/>
  <c r="Z38" i="5" s="1"/>
  <c r="AB38" i="5"/>
  <c r="P33" i="5"/>
  <c r="Q33" i="5" s="1"/>
  <c r="Y33" i="5"/>
  <c r="AB33" i="5" s="1"/>
  <c r="P21" i="5"/>
  <c r="P12" i="5"/>
  <c r="P13" i="5"/>
  <c r="O36" i="5"/>
  <c r="O40" i="5"/>
  <c r="O9" i="5"/>
  <c r="O37" i="5"/>
  <c r="O16" i="5"/>
  <c r="O38" i="5"/>
  <c r="O39" i="5"/>
  <c r="O35" i="5"/>
  <c r="O34" i="5"/>
  <c r="O33" i="5"/>
  <c r="O32" i="5"/>
  <c r="O31" i="5"/>
  <c r="O30" i="5"/>
  <c r="O23" i="5"/>
  <c r="O21" i="5"/>
  <c r="O22" i="5"/>
  <c r="O20" i="5"/>
  <c r="O15" i="5"/>
  <c r="O12" i="5"/>
  <c r="O18" i="5"/>
  <c r="R18" i="5" s="1"/>
  <c r="O17" i="5"/>
  <c r="O14" i="5"/>
  <c r="O13" i="5"/>
  <c r="O11" i="5"/>
  <c r="O10" i="5"/>
  <c r="O19" i="5"/>
  <c r="O8" i="5"/>
  <c r="O7" i="5"/>
  <c r="P36" i="11"/>
  <c r="S36" i="11"/>
  <c r="AT71" i="33" s="1"/>
  <c r="Z9" i="5"/>
  <c r="Z36" i="5"/>
  <c r="AK36" i="5" s="1"/>
  <c r="AV36" i="5" s="1"/>
  <c r="AC36" i="5"/>
  <c r="AC38" i="5"/>
  <c r="Q36" i="5"/>
  <c r="P7" i="5"/>
  <c r="Y7" i="5" s="1"/>
  <c r="AB7" i="5" s="1"/>
  <c r="P7" i="11" s="1"/>
  <c r="H123" i="11" s="1"/>
  <c r="P8" i="5"/>
  <c r="Y8" i="5" s="1"/>
  <c r="Z8" i="5" s="1"/>
  <c r="P11" i="5"/>
  <c r="Y11" i="5"/>
  <c r="AB11" i="5" s="1"/>
  <c r="P18" i="5"/>
  <c r="Q18" i="5" s="1"/>
  <c r="P40" i="5"/>
  <c r="Y40" i="5" s="1"/>
  <c r="AB40" i="5" s="1"/>
  <c r="P10" i="5"/>
  <c r="Y10" i="5"/>
  <c r="P17" i="5"/>
  <c r="Y17" i="5" s="1"/>
  <c r="P20" i="5"/>
  <c r="Q20" i="5" s="1"/>
  <c r="P31" i="5"/>
  <c r="Y31" i="5" s="1"/>
  <c r="P35" i="5"/>
  <c r="Y35" i="5"/>
  <c r="AB35" i="5" s="1"/>
  <c r="AE35" i="11" s="1"/>
  <c r="P37" i="5"/>
  <c r="Y37" i="5" s="1"/>
  <c r="P22" i="5"/>
  <c r="Y22" i="5"/>
  <c r="P32" i="5"/>
  <c r="Q32" i="5" s="1"/>
  <c r="P39" i="5"/>
  <c r="Y39" i="5"/>
  <c r="AB39" i="5" s="1"/>
  <c r="P19" i="5"/>
  <c r="Q19" i="5" s="1"/>
  <c r="P14" i="5"/>
  <c r="Y14" i="5" s="1"/>
  <c r="P15" i="5"/>
  <c r="Y15" i="5"/>
  <c r="P23" i="5"/>
  <c r="Q23" i="5" s="1"/>
  <c r="Y23" i="5"/>
  <c r="P30" i="5"/>
  <c r="Q30" i="5" s="1"/>
  <c r="P34" i="5"/>
  <c r="P16" i="5"/>
  <c r="Q16" i="5" s="1"/>
  <c r="Y7" i="11"/>
  <c r="AE7" i="11"/>
  <c r="Q83" i="33" s="1"/>
  <c r="Q21" i="33" s="1"/>
  <c r="Q39" i="33" s="1"/>
  <c r="V7" i="11"/>
  <c r="AB7" i="11"/>
  <c r="S7" i="11"/>
  <c r="AJ7" i="11" s="1"/>
  <c r="AM7" i="11" s="1"/>
  <c r="Y35" i="11"/>
  <c r="S35" i="11"/>
  <c r="V35" i="11"/>
  <c r="AG129" i="11" s="1"/>
  <c r="AF38" i="11"/>
  <c r="AI139" i="11" s="1"/>
  <c r="Z38" i="11"/>
  <c r="AP126" i="11"/>
  <c r="AT9" i="33"/>
  <c r="AT27" i="33" s="1"/>
  <c r="AT45" i="33" s="1"/>
  <c r="S11" i="11"/>
  <c r="AE11" i="11"/>
  <c r="Y11" i="11"/>
  <c r="Z7" i="5"/>
  <c r="AC7" i="5" s="1"/>
  <c r="Z17" i="5"/>
  <c r="AC17" i="5"/>
  <c r="Z39" i="5"/>
  <c r="AC39" i="5" s="1"/>
  <c r="Z37" i="5"/>
  <c r="AC37" i="5" s="1"/>
  <c r="Z23" i="5"/>
  <c r="AC23" i="5"/>
  <c r="Z35" i="5"/>
  <c r="AK35" i="5" s="1"/>
  <c r="AV35" i="5" s="1"/>
  <c r="AD17" i="52" s="1"/>
  <c r="AC8" i="5"/>
  <c r="Z22" i="5"/>
  <c r="AK38" i="5"/>
  <c r="AK26" i="5"/>
  <c r="AK8" i="5"/>
  <c r="F4" i="19"/>
  <c r="F7" i="19" s="1"/>
  <c r="Q31" i="5"/>
  <c r="Q10" i="5"/>
  <c r="Q11" i="5"/>
  <c r="Q15" i="5"/>
  <c r="Q9" i="5"/>
  <c r="Q22" i="5"/>
  <c r="Q40" i="5"/>
  <c r="Q8" i="5"/>
  <c r="Q14" i="5"/>
  <c r="Q39" i="5"/>
  <c r="Q37" i="5"/>
  <c r="Q7" i="5"/>
  <c r="Q35" i="5"/>
  <c r="Q17" i="5"/>
  <c r="AK3" i="5"/>
  <c r="AJ3" i="5"/>
  <c r="AC7" i="11"/>
  <c r="H136" i="11" s="1"/>
  <c r="Q68" i="33"/>
  <c r="Q6" i="33" s="1"/>
  <c r="Q24" i="33" s="1"/>
  <c r="Q42" i="33" s="1"/>
  <c r="Z17" i="11"/>
  <c r="AA78" i="33" s="1"/>
  <c r="AA16" i="33" s="1"/>
  <c r="AA34" i="33" s="1"/>
  <c r="AA52" i="33" s="1"/>
  <c r="AG132" i="11"/>
  <c r="AS77" i="33"/>
  <c r="AS15" i="33" s="1"/>
  <c r="AS33" i="33" s="1"/>
  <c r="AS51" i="33"/>
  <c r="T37" i="11"/>
  <c r="AU72" i="33" s="1"/>
  <c r="AU10" i="33" s="1"/>
  <c r="AU28" i="33" s="1"/>
  <c r="AU46" i="33" s="1"/>
  <c r="AS74" i="33"/>
  <c r="AS12" i="33" s="1"/>
  <c r="AS30" i="33" s="1"/>
  <c r="AS48" i="33" s="1"/>
  <c r="H138" i="11"/>
  <c r="Q57" i="33"/>
  <c r="W39" i="11"/>
  <c r="AW75" i="33" s="1"/>
  <c r="AW13" i="33" s="1"/>
  <c r="AW31" i="33" s="1"/>
  <c r="AW49" i="33" s="1"/>
  <c r="AI133" i="11"/>
  <c r="AV78" i="33"/>
  <c r="AV16" i="33" s="1"/>
  <c r="AV34" i="33" s="1"/>
  <c r="AV52" i="33" s="1"/>
  <c r="AM17" i="52"/>
  <c r="AK7" i="5"/>
  <c r="E4" i="19" s="1"/>
  <c r="W4" i="19"/>
  <c r="W7" i="19" s="1"/>
  <c r="AV26" i="5"/>
  <c r="W17" i="52" s="1"/>
  <c r="AV8" i="5"/>
  <c r="F17" i="52" s="1"/>
  <c r="AK22" i="5"/>
  <c r="T4" i="19" s="1"/>
  <c r="T8" i="19" s="1"/>
  <c r="T15" i="19" s="1"/>
  <c r="T7" i="19"/>
  <c r="F5" i="19"/>
  <c r="F92" i="19" s="1"/>
  <c r="F94" i="19" s="1"/>
  <c r="F8" i="19"/>
  <c r="AV7" i="5"/>
  <c r="E17" i="52" s="1"/>
  <c r="AJ130" i="11"/>
  <c r="Q81" i="33"/>
  <c r="Q19" i="33" s="1"/>
  <c r="Q37" i="33" s="1"/>
  <c r="Q55" i="33" s="1"/>
  <c r="T5" i="19"/>
  <c r="W92" i="32"/>
  <c r="W74" i="32" s="1"/>
  <c r="W75" i="32" s="1"/>
  <c r="V23" i="34" s="1"/>
  <c r="W93" i="32"/>
  <c r="V25" i="34" s="1"/>
  <c r="V39" i="34" s="1"/>
  <c r="V37" i="34"/>
  <c r="N7" i="5"/>
  <c r="R7" i="5" s="1"/>
  <c r="N8" i="5"/>
  <c r="R8" i="5" s="1"/>
  <c r="N19" i="5"/>
  <c r="R19" i="5" s="1"/>
  <c r="N10" i="5"/>
  <c r="R10" i="5" s="1"/>
  <c r="N11" i="5"/>
  <c r="R11" i="5"/>
  <c r="N13" i="5"/>
  <c r="R13" i="5"/>
  <c r="N14" i="5"/>
  <c r="R14" i="5"/>
  <c r="N17" i="5"/>
  <c r="R17" i="5"/>
  <c r="N18" i="5"/>
  <c r="N12" i="5"/>
  <c r="R12" i="5" s="1"/>
  <c r="N15" i="5"/>
  <c r="R15" i="5" s="1"/>
  <c r="N20" i="5"/>
  <c r="R20" i="5"/>
  <c r="N21" i="5"/>
  <c r="R21" i="5" s="1"/>
  <c r="N23" i="5"/>
  <c r="R23" i="5" s="1"/>
  <c r="N30" i="5"/>
  <c r="N31" i="5"/>
  <c r="R31" i="5"/>
  <c r="N32" i="5"/>
  <c r="R32" i="5"/>
  <c r="N33" i="5"/>
  <c r="R33" i="5"/>
  <c r="N34" i="5"/>
  <c r="R34" i="5"/>
  <c r="N35" i="5"/>
  <c r="R35" i="5"/>
  <c r="N39" i="5"/>
  <c r="R39" i="5" s="1"/>
  <c r="N38" i="5"/>
  <c r="R38" i="5" s="1"/>
  <c r="N16" i="5"/>
  <c r="R16" i="5"/>
  <c r="N37" i="5"/>
  <c r="R37" i="5" s="1"/>
  <c r="R9" i="5"/>
  <c r="N40" i="5"/>
  <c r="R40" i="5" s="1"/>
  <c r="N36" i="5"/>
  <c r="R36" i="5"/>
  <c r="T92" i="19"/>
  <c r="T94" i="19" s="1"/>
  <c r="W83" i="32"/>
  <c r="W84" i="32" s="1"/>
  <c r="V24" i="34" s="1"/>
  <c r="V38" i="34" s="1"/>
  <c r="AQ8" i="5"/>
  <c r="AQ35" i="5"/>
  <c r="AQ38" i="5"/>
  <c r="AR38" i="5" s="1"/>
  <c r="AQ7" i="5"/>
  <c r="AQ37" i="5"/>
  <c r="AR37" i="5" s="1"/>
  <c r="AQ17" i="5"/>
  <c r="AQ26" i="5"/>
  <c r="AQ39" i="5"/>
  <c r="AQ36" i="5"/>
  <c r="AR36" i="5" s="1"/>
  <c r="AS35" i="5"/>
  <c r="AS17" i="5"/>
  <c r="AS7" i="5"/>
  <c r="AS39" i="5"/>
  <c r="AG3" i="20" s="1"/>
  <c r="AG5" i="20" s="1"/>
  <c r="AS38" i="5"/>
  <c r="AS8" i="5"/>
  <c r="H4" i="34" s="1"/>
  <c r="AQ23" i="5"/>
  <c r="AR39" i="5"/>
  <c r="AR17" i="5"/>
  <c r="AR7" i="5"/>
  <c r="AR35" i="5"/>
  <c r="AR8" i="5"/>
  <c r="AM4" i="34"/>
  <c r="F3" i="20"/>
  <c r="F8" i="20"/>
  <c r="F18" i="20" s="1"/>
  <c r="N3" i="20"/>
  <c r="N8" i="20"/>
  <c r="Q4" i="34"/>
  <c r="AF3" i="20"/>
  <c r="AF21" i="20" s="1"/>
  <c r="AF22" i="20" s="1"/>
  <c r="AL4" i="34"/>
  <c r="AS23" i="5"/>
  <c r="AR23" i="5"/>
  <c r="AG21" i="20"/>
  <c r="AG22" i="20" s="1"/>
  <c r="AF5" i="20"/>
  <c r="F15" i="20"/>
  <c r="F12" i="20"/>
  <c r="AF7" i="20"/>
  <c r="AF8" i="20"/>
  <c r="AF12" i="20" s="1"/>
  <c r="AF13" i="20" s="1"/>
  <c r="AI198" i="32" s="1"/>
  <c r="AI189" i="32" s="1"/>
  <c r="AI190" i="32" s="1"/>
  <c r="AL22" i="34" s="1"/>
  <c r="AL36" i="34" s="1"/>
  <c r="AI199" i="32"/>
  <c r="AL21" i="34" s="1"/>
  <c r="AL35" i="34" s="1"/>
  <c r="U93" i="53"/>
  <c r="U123" i="53"/>
  <c r="U94" i="53"/>
  <c r="U95" i="53"/>
  <c r="U124" i="53"/>
  <c r="U125" i="53"/>
  <c r="P56" i="20"/>
  <c r="P56" i="18"/>
  <c r="N123" i="53"/>
  <c r="N93" i="53"/>
  <c r="N94" i="53" s="1"/>
  <c r="T93" i="53"/>
  <c r="T94" i="53" s="1"/>
  <c r="T123" i="53"/>
  <c r="S123" i="53"/>
  <c r="S125" i="53" s="1"/>
  <c r="S124" i="53"/>
  <c r="N125" i="53"/>
  <c r="N124" i="53"/>
  <c r="O123" i="53"/>
  <c r="O93" i="53"/>
  <c r="L93" i="53"/>
  <c r="L123" i="53"/>
  <c r="L124" i="53" s="1"/>
  <c r="W123" i="53"/>
  <c r="W93" i="53"/>
  <c r="J123" i="53"/>
  <c r="J125" i="53" s="1"/>
  <c r="J93" i="53"/>
  <c r="J95" i="53" s="1"/>
  <c r="S93" i="53"/>
  <c r="S95" i="53" s="1"/>
  <c r="O94" i="53"/>
  <c r="O95" i="53"/>
  <c r="W94" i="53"/>
  <c r="W95" i="53"/>
  <c r="AI123" i="53"/>
  <c r="AI124" i="53" s="1"/>
  <c r="AI125" i="53"/>
  <c r="AG123" i="53"/>
  <c r="AG125" i="53" s="1"/>
  <c r="AG124" i="53"/>
  <c r="AA123" i="53"/>
  <c r="AA125" i="53" s="1"/>
  <c r="J124" i="53"/>
  <c r="L125" i="53"/>
  <c r="O125" i="53"/>
  <c r="O124" i="53"/>
  <c r="P93" i="53"/>
  <c r="P123" i="53"/>
  <c r="AJ123" i="53"/>
  <c r="AJ125" i="53" s="1"/>
  <c r="AJ93" i="53"/>
  <c r="AF93" i="53"/>
  <c r="AF95" i="53" s="1"/>
  <c r="AF123" i="53"/>
  <c r="Y123" i="53"/>
  <c r="Y93" i="53"/>
  <c r="AB123" i="53"/>
  <c r="AB125" i="53" s="1"/>
  <c r="AB93" i="53"/>
  <c r="AI93" i="53"/>
  <c r="S94" i="53"/>
  <c r="AJ94" i="53"/>
  <c r="AJ95" i="53"/>
  <c r="Y94" i="53"/>
  <c r="Y95" i="53"/>
  <c r="AF94" i="53"/>
  <c r="P95" i="53"/>
  <c r="P94" i="53"/>
  <c r="AG94" i="53"/>
  <c r="AA124" i="53"/>
  <c r="Q93" i="53"/>
  <c r="Y124" i="53"/>
  <c r="Y125" i="53"/>
  <c r="AJ124" i="53"/>
  <c r="AF125" i="53"/>
  <c r="AF124" i="53"/>
  <c r="AB124" i="53"/>
  <c r="P125" i="53"/>
  <c r="P124" i="53"/>
  <c r="AA127" i="28"/>
  <c r="AA62" i="28" s="1"/>
  <c r="T104" i="28"/>
  <c r="T39" i="28" s="1"/>
  <c r="AM104" i="28"/>
  <c r="AL109" i="28"/>
  <c r="AL108" i="28"/>
  <c r="AL43" i="28" s="1"/>
  <c r="AA11" i="28"/>
  <c r="AA109" i="28"/>
  <c r="AA108" i="28" s="1"/>
  <c r="AA43" i="28" s="1"/>
  <c r="AM29" i="28"/>
  <c r="AM127" i="28"/>
  <c r="G11" i="28"/>
  <c r="G109" i="28"/>
  <c r="G108" i="28"/>
  <c r="G43" i="28"/>
  <c r="AM125" i="28"/>
  <c r="AN127" i="28"/>
  <c r="AN62" i="28"/>
  <c r="AI104" i="28"/>
  <c r="AN11" i="28"/>
  <c r="AN109" i="28"/>
  <c r="AN44" i="28" s="1"/>
  <c r="AN108" i="28"/>
  <c r="AN43" i="28" s="1"/>
  <c r="T6" i="28"/>
  <c r="AM27" i="28"/>
  <c r="AJ31" i="28"/>
  <c r="AJ4" i="41"/>
  <c r="AJ6" i="41" s="1"/>
  <c r="T109" i="28"/>
  <c r="T108" i="28"/>
  <c r="T43" i="28" s="1"/>
  <c r="AL31" i="28"/>
  <c r="AL4" i="41"/>
  <c r="AI27" i="28"/>
  <c r="AI125" i="28"/>
  <c r="AI60" i="28"/>
  <c r="T29" i="28"/>
  <c r="T127" i="28"/>
  <c r="T62" i="28"/>
  <c r="G31" i="28"/>
  <c r="G4" i="41"/>
  <c r="G15" i="41" s="1"/>
  <c r="G30" i="41" s="1"/>
  <c r="G126" i="28"/>
  <c r="G61" i="28"/>
  <c r="T123" i="28"/>
  <c r="AM31" i="28"/>
  <c r="AM4" i="41" s="1"/>
  <c r="AA25" i="28"/>
  <c r="AA123" i="28"/>
  <c r="AA58" i="28" s="1"/>
  <c r="AA29" i="28"/>
  <c r="AA28" i="28"/>
  <c r="AA126" i="28"/>
  <c r="AA61" i="28"/>
  <c r="AM11" i="28"/>
  <c r="AM109" i="28"/>
  <c r="AN29" i="28"/>
  <c r="G28" i="28"/>
  <c r="AL25" i="28"/>
  <c r="AL123" i="28"/>
  <c r="AL58" i="28"/>
  <c r="AI127" i="28"/>
  <c r="AI62" i="28"/>
  <c r="AJ125" i="28"/>
  <c r="AJ60" i="28"/>
  <c r="AA10" i="28"/>
  <c r="G10" i="28"/>
  <c r="AK127" i="28"/>
  <c r="AK62" i="28"/>
  <c r="AN31" i="28"/>
  <c r="AN4" i="41" s="1"/>
  <c r="T10" i="28"/>
  <c r="AL27" i="28"/>
  <c r="AL125" i="28"/>
  <c r="AL60" i="28" s="1"/>
  <c r="AN20" i="28"/>
  <c r="AL8" i="28"/>
  <c r="AL106" i="28"/>
  <c r="AA24" i="28"/>
  <c r="AA122" i="28"/>
  <c r="AA6" i="28"/>
  <c r="AA104" i="28"/>
  <c r="AA39" i="28"/>
  <c r="AJ17" i="28"/>
  <c r="G18" i="28"/>
  <c r="AI19" i="28"/>
  <c r="AM106" i="28"/>
  <c r="AM41" i="28" s="1"/>
  <c r="AM8" i="28"/>
  <c r="T125" i="28"/>
  <c r="AJ27" i="28"/>
  <c r="AL6" i="28"/>
  <c r="AL104" i="28"/>
  <c r="AL39" i="28" s="1"/>
  <c r="AN104" i="28"/>
  <c r="AN6" i="28"/>
  <c r="AN25" i="28"/>
  <c r="AN123" i="28"/>
  <c r="G7" i="28"/>
  <c r="G105" i="28"/>
  <c r="G40" i="28"/>
  <c r="AA125" i="28"/>
  <c r="AA60" i="28" s="1"/>
  <c r="AA27" i="28"/>
  <c r="G14" i="28"/>
  <c r="AI106" i="28"/>
  <c r="G125" i="28"/>
  <c r="T122" i="28"/>
  <c r="T57" i="28"/>
  <c r="AA106" i="28"/>
  <c r="AA41" i="28"/>
  <c r="T128" i="28"/>
  <c r="T63" i="28" s="1"/>
  <c r="AJ11" i="28"/>
  <c r="AJ109" i="28"/>
  <c r="AJ44" i="28" s="1"/>
  <c r="T11" i="28"/>
  <c r="AI6" i="28"/>
  <c r="T8" i="28"/>
  <c r="T106" i="28"/>
  <c r="AK29" i="28"/>
  <c r="AL29" i="28"/>
  <c r="AL127" i="28"/>
  <c r="AJ29" i="28"/>
  <c r="AJ127" i="28"/>
  <c r="AK27" i="28"/>
  <c r="AK125" i="28"/>
  <c r="G29" i="28"/>
  <c r="G127" i="28"/>
  <c r="G62" i="28" s="1"/>
  <c r="T20" i="28"/>
  <c r="AN27" i="28"/>
  <c r="AN125" i="28"/>
  <c r="AN60" i="28" s="1"/>
  <c r="AK19" i="28"/>
  <c r="T28" i="28"/>
  <c r="T126" i="28"/>
  <c r="T61" i="28" s="1"/>
  <c r="AI8" i="28"/>
  <c r="T24" i="28"/>
  <c r="AA8" i="28"/>
  <c r="G9" i="28"/>
  <c r="G107" i="28"/>
  <c r="G42" i="28"/>
  <c r="AJ18" i="28"/>
  <c r="AL11" i="28"/>
  <c r="AN10" i="28"/>
  <c r="AL10" i="28"/>
  <c r="T31" i="28"/>
  <c r="T4" i="41" s="1"/>
  <c r="AN18" i="28"/>
  <c r="AI29" i="28"/>
  <c r="AN8" i="28"/>
  <c r="AN106" i="28"/>
  <c r="AI20" i="28"/>
  <c r="AK8" i="28"/>
  <c r="AK106" i="28"/>
  <c r="AK41" i="28" s="1"/>
  <c r="G24" i="28"/>
  <c r="G122" i="28"/>
  <c r="AM18" i="28"/>
  <c r="G30" i="28"/>
  <c r="G128" i="28"/>
  <c r="T30" i="28"/>
  <c r="G21" i="28"/>
  <c r="AA19" i="28"/>
  <c r="AL18" i="28"/>
  <c r="AI18" i="28"/>
  <c r="T19" i="28"/>
  <c r="G13" i="28"/>
  <c r="G19" i="28"/>
  <c r="AM19" i="28"/>
  <c r="T16" i="28"/>
  <c r="T14" i="28"/>
  <c r="G25" i="28"/>
  <c r="G123" i="28"/>
  <c r="AM6" i="28"/>
  <c r="AI31" i="28"/>
  <c r="AI4" i="41"/>
  <c r="AJ10" i="28"/>
  <c r="AI28" i="28"/>
  <c r="AI126" i="28"/>
  <c r="AM26" i="28"/>
  <c r="AM124" i="28"/>
  <c r="T27" i="28"/>
  <c r="G27" i="28"/>
  <c r="AJ20" i="28"/>
  <c r="G20" i="28"/>
  <c r="AA20" i="28"/>
  <c r="AM10" i="28"/>
  <c r="T25" i="28"/>
  <c r="AL19" i="28"/>
  <c r="AA18" i="28"/>
  <c r="AK18" i="28"/>
  <c r="AL20" i="28"/>
  <c r="AN19" i="28"/>
  <c r="AL16" i="28"/>
  <c r="AA14" i="28"/>
  <c r="AA21" i="28"/>
  <c r="T18" i="28"/>
  <c r="AA31" i="28"/>
  <c r="AA4" i="41" s="1"/>
  <c r="AJ19" i="28"/>
  <c r="AA93" i="53"/>
  <c r="AA95" i="53" s="1"/>
  <c r="Q94" i="53"/>
  <c r="Q95" i="53"/>
  <c r="R93" i="53"/>
  <c r="AN15" i="41"/>
  <c r="AN30" i="41"/>
  <c r="AN9" i="41"/>
  <c r="AN19" i="41"/>
  <c r="AN32" i="41"/>
  <c r="AN7" i="41"/>
  <c r="AN22" i="41" s="1"/>
  <c r="AN14" i="41"/>
  <c r="AN29" i="41"/>
  <c r="AN10" i="41"/>
  <c r="AN25" i="41" s="1"/>
  <c r="AA19" i="41"/>
  <c r="AA32" i="41" s="1"/>
  <c r="AL12" i="41"/>
  <c r="AL27" i="41" s="1"/>
  <c r="AL6" i="41"/>
  <c r="AL21" i="41" s="1"/>
  <c r="AL19" i="41"/>
  <c r="AL32" i="41"/>
  <c r="AL9" i="41"/>
  <c r="AL13" i="41"/>
  <c r="AL28" i="41" s="1"/>
  <c r="AL15" i="41"/>
  <c r="AL30" i="41" s="1"/>
  <c r="AL7" i="41"/>
  <c r="AL22" i="41" s="1"/>
  <c r="AL14" i="41"/>
  <c r="AL29" i="41" s="1"/>
  <c r="AL10" i="41"/>
  <c r="AL25" i="41" s="1"/>
  <c r="AI12" i="41"/>
  <c r="AI9" i="41"/>
  <c r="AI14" i="41"/>
  <c r="AI29" i="41"/>
  <c r="T10" i="41"/>
  <c r="T25" i="41"/>
  <c r="T13" i="41"/>
  <c r="T28" i="41" s="1"/>
  <c r="AM9" i="41"/>
  <c r="AM24" i="41" s="1"/>
  <c r="AM6" i="41"/>
  <c r="AM21" i="41" s="1"/>
  <c r="G44" i="28"/>
  <c r="AL44" i="28"/>
  <c r="T44" i="28"/>
  <c r="G63" i="28"/>
  <c r="AN41" i="28"/>
  <c r="T41" i="28"/>
  <c r="G58" i="28"/>
  <c r="AI61" i="28"/>
  <c r="AM59" i="28"/>
  <c r="G57" i="28"/>
  <c r="T60" i="28"/>
  <c r="G60" i="28"/>
  <c r="AA57" i="28"/>
  <c r="AN39" i="28"/>
  <c r="AL62" i="28"/>
  <c r="AN58" i="28"/>
  <c r="T58" i="28"/>
  <c r="AM62" i="28"/>
  <c r="AA94" i="53"/>
  <c r="Q123" i="53"/>
  <c r="Q124" i="53" s="1"/>
  <c r="Q125" i="53"/>
  <c r="R94" i="53"/>
  <c r="R95" i="53"/>
  <c r="AL39" i="41"/>
  <c r="AN55" i="50" s="1"/>
  <c r="AL42" i="41"/>
  <c r="R123" i="53"/>
  <c r="R125" i="53" s="1"/>
  <c r="AE123" i="53"/>
  <c r="AE124" i="53" s="1"/>
  <c r="AE125" i="53"/>
  <c r="AE93" i="53"/>
  <c r="Z123" i="53"/>
  <c r="Z125" i="53" s="1"/>
  <c r="Z93" i="53"/>
  <c r="AD123" i="53"/>
  <c r="AD93" i="53"/>
  <c r="AD94" i="53"/>
  <c r="AD95" i="53"/>
  <c r="AD125" i="53"/>
  <c r="AD124" i="53"/>
  <c r="K93" i="53"/>
  <c r="K123" i="53"/>
  <c r="K124" i="53" s="1"/>
  <c r="X93" i="53"/>
  <c r="X95" i="53" s="1"/>
  <c r="X123" i="53"/>
  <c r="AH123" i="53"/>
  <c r="AH125" i="53" s="1"/>
  <c r="AH93" i="53"/>
  <c r="AH94" i="53"/>
  <c r="AH95" i="53"/>
  <c r="X94" i="53"/>
  <c r="K94" i="53"/>
  <c r="K95" i="53"/>
  <c r="X125" i="53"/>
  <c r="X124" i="53"/>
  <c r="K125" i="53"/>
  <c r="G123" i="53"/>
  <c r="G93" i="53"/>
  <c r="U115" i="28"/>
  <c r="U146" i="28" s="1"/>
  <c r="U42" i="52" s="1"/>
  <c r="G46" i="52"/>
  <c r="I100" i="53" s="1"/>
  <c r="G119" i="28"/>
  <c r="G118" i="28"/>
  <c r="G41" i="52"/>
  <c r="I123" i="53" s="1"/>
  <c r="I93" i="53"/>
  <c r="G116" i="28"/>
  <c r="G44" i="52"/>
  <c r="I118" i="53"/>
  <c r="I121" i="53"/>
  <c r="G45" i="52"/>
  <c r="I99" i="53" s="1"/>
  <c r="G113" i="28"/>
  <c r="G117" i="28"/>
  <c r="G52" i="28"/>
  <c r="G112" i="28"/>
  <c r="G47" i="28"/>
  <c r="G43" i="52"/>
  <c r="I107" i="53" s="1"/>
  <c r="I112" i="53" s="1"/>
  <c r="G111" i="28"/>
  <c r="I110" i="53"/>
  <c r="G46" i="28"/>
  <c r="G54" i="28"/>
  <c r="G53" i="28"/>
  <c r="I120" i="53"/>
  <c r="I130" i="53"/>
  <c r="T118" i="28"/>
  <c r="T53" i="28" s="1"/>
  <c r="T52" i="28"/>
  <c r="T45" i="52"/>
  <c r="V99" i="53" s="1"/>
  <c r="AA45" i="52"/>
  <c r="AA118" i="28"/>
  <c r="AA117" i="28"/>
  <c r="AA53" i="28"/>
  <c r="AC99" i="53"/>
  <c r="AK41" i="52"/>
  <c r="AM123" i="53" s="1"/>
  <c r="AM125" i="53" s="1"/>
  <c r="AM93" i="53"/>
  <c r="AN41" i="52"/>
  <c r="AM117" i="28"/>
  <c r="AK117" i="28"/>
  <c r="AK52" i="28"/>
  <c r="AM41" i="52"/>
  <c r="AO123" i="53"/>
  <c r="AO124" i="53" s="1"/>
  <c r="AJ117" i="28"/>
  <c r="AJ52" i="28" s="1"/>
  <c r="AJ41" i="52"/>
  <c r="AN117" i="28"/>
  <c r="AI116" i="28"/>
  <c r="AI44" i="52"/>
  <c r="AN44" i="52"/>
  <c r="AN116" i="28"/>
  <c r="AN51" i="28" s="1"/>
  <c r="AM116" i="28"/>
  <c r="AM44" i="52"/>
  <c r="AO118" i="53" s="1"/>
  <c r="AO121" i="53" s="1"/>
  <c r="AL116" i="28"/>
  <c r="AL51" i="28" s="1"/>
  <c r="AL44" i="52"/>
  <c r="AN118" i="53" s="1"/>
  <c r="AN121" i="53" s="1"/>
  <c r="AJ116" i="28"/>
  <c r="AJ44" i="52"/>
  <c r="AL118" i="53" s="1"/>
  <c r="AL121" i="53" s="1"/>
  <c r="AK116" i="28"/>
  <c r="AK44" i="52"/>
  <c r="AM118" i="53"/>
  <c r="AM121" i="53"/>
  <c r="AI43" i="52"/>
  <c r="AL43" i="52"/>
  <c r="AN107" i="53" s="1"/>
  <c r="AN112" i="53" s="1"/>
  <c r="AK107" i="53"/>
  <c r="AK112" i="53"/>
  <c r="AK118" i="53"/>
  <c r="AK121" i="53"/>
  <c r="AP118" i="53"/>
  <c r="AP121" i="53" s="1"/>
  <c r="AK51" i="28"/>
  <c r="AP123" i="53"/>
  <c r="AP93" i="53"/>
  <c r="AP95" i="53" s="1"/>
  <c r="AI51" i="28"/>
  <c r="AM94" i="53"/>
  <c r="AM95" i="53"/>
  <c r="AO125" i="53"/>
  <c r="AM52" i="28"/>
  <c r="AO93" i="53"/>
  <c r="AO94" i="53"/>
  <c r="AO95" i="53"/>
  <c r="D25" i="50" l="1"/>
  <c r="D42" i="50"/>
  <c r="W126" i="53"/>
  <c r="W106" i="53"/>
  <c r="W96" i="53"/>
  <c r="AA41" i="41"/>
  <c r="AA36" i="41"/>
  <c r="AA38" i="41"/>
  <c r="AA37" i="41"/>
  <c r="AA42" i="41"/>
  <c r="AA35" i="41"/>
  <c r="AA40" i="41"/>
  <c r="AA39" i="41"/>
  <c r="AJ21" i="41"/>
  <c r="AJ5" i="41"/>
  <c r="AJ20" i="41" s="1"/>
  <c r="F77" i="28"/>
  <c r="F97" i="28" s="1"/>
  <c r="F32" i="28"/>
  <c r="AN52" i="28"/>
  <c r="G48" i="28"/>
  <c r="AN41" i="41"/>
  <c r="AN36" i="41"/>
  <c r="AN40" i="41"/>
  <c r="AN35" i="41"/>
  <c r="AN39" i="41"/>
  <c r="AN37" i="41"/>
  <c r="AN38" i="41"/>
  <c r="AN42" i="41"/>
  <c r="T125" i="53"/>
  <c r="T124" i="53"/>
  <c r="AM39" i="28"/>
  <c r="AI24" i="41"/>
  <c r="AM12" i="41"/>
  <c r="AM13" i="41"/>
  <c r="AM28" i="41" s="1"/>
  <c r="AM7" i="41"/>
  <c r="AM22" i="41" s="1"/>
  <c r="AM10" i="41"/>
  <c r="AM25" i="41" s="1"/>
  <c r="AM19" i="41"/>
  <c r="AM32" i="41" s="1"/>
  <c r="G51" i="28"/>
  <c r="AI27" i="41"/>
  <c r="AI11" i="41"/>
  <c r="AI26" i="41" s="1"/>
  <c r="AI10" i="41"/>
  <c r="AI25" i="41" s="1"/>
  <c r="AI19" i="41"/>
  <c r="AI32" i="41" s="1"/>
  <c r="AI7" i="41"/>
  <c r="AI22" i="41" s="1"/>
  <c r="AI13" i="41"/>
  <c r="AI28" i="41" s="1"/>
  <c r="AI15" i="41"/>
  <c r="AI30" i="41" s="1"/>
  <c r="AI6" i="41"/>
  <c r="I95" i="53"/>
  <c r="I94" i="53"/>
  <c r="AN108" i="50"/>
  <c r="AJ160" i="32"/>
  <c r="AG92" i="20"/>
  <c r="AG94" i="20" s="1"/>
  <c r="AJ51" i="28"/>
  <c r="W125" i="53"/>
  <c r="W124" i="53"/>
  <c r="Z124" i="53"/>
  <c r="AL41" i="28"/>
  <c r="AL11" i="41"/>
  <c r="AL26" i="41" s="1"/>
  <c r="AI39" i="28"/>
  <c r="L95" i="53"/>
  <c r="L94" i="53"/>
  <c r="AA52" i="28"/>
  <c r="AL24" i="41"/>
  <c r="AL8" i="41"/>
  <c r="AL23" i="41" s="1"/>
  <c r="AI94" i="53"/>
  <c r="AI95" i="53"/>
  <c r="J126" i="53"/>
  <c r="J96" i="53"/>
  <c r="J106" i="53"/>
  <c r="G14" i="41"/>
  <c r="G29" i="41" s="1"/>
  <c r="G9" i="41"/>
  <c r="G12" i="41"/>
  <c r="G19" i="41"/>
  <c r="G32" i="41" s="1"/>
  <c r="G7" i="41"/>
  <c r="G22" i="41" s="1"/>
  <c r="G6" i="41"/>
  <c r="G10" i="41"/>
  <c r="G25" i="41" s="1"/>
  <c r="G13" i="41"/>
  <c r="G28" i="41" s="1"/>
  <c r="I124" i="53"/>
  <c r="I125" i="53"/>
  <c r="AL40" i="41"/>
  <c r="AL35" i="41"/>
  <c r="AL37" i="41"/>
  <c r="AL38" i="41"/>
  <c r="AL41" i="41"/>
  <c r="AL36" i="41"/>
  <c r="AB94" i="53"/>
  <c r="AB95" i="53"/>
  <c r="Z94" i="53"/>
  <c r="Z95" i="53"/>
  <c r="AM60" i="28"/>
  <c r="J100" i="53"/>
  <c r="J120" i="53"/>
  <c r="J110" i="53"/>
  <c r="J130" i="53"/>
  <c r="AL93" i="53"/>
  <c r="AL123" i="53"/>
  <c r="AM8" i="41"/>
  <c r="AM23" i="41" s="1"/>
  <c r="AM15" i="41"/>
  <c r="AM30" i="41" s="1"/>
  <c r="AN24" i="41"/>
  <c r="AN8" i="41"/>
  <c r="AN23" i="41" s="1"/>
  <c r="AA7" i="41"/>
  <c r="AA22" i="41" s="1"/>
  <c r="AA9" i="41"/>
  <c r="AA13" i="41"/>
  <c r="AA28" i="41" s="1"/>
  <c r="AA14" i="41"/>
  <c r="AA29" i="41" s="1"/>
  <c r="AA6" i="41"/>
  <c r="AA12" i="41"/>
  <c r="AA15" i="41"/>
  <c r="AA30" i="41" s="1"/>
  <c r="AL5" i="41"/>
  <c r="AL20" i="41" s="1"/>
  <c r="AA10" i="41"/>
  <c r="AA25" i="41" s="1"/>
  <c r="AE94" i="53"/>
  <c r="AE95" i="53"/>
  <c r="AN38" i="50"/>
  <c r="AN107" i="50"/>
  <c r="G94" i="53"/>
  <c r="G95" i="53"/>
  <c r="G125" i="53"/>
  <c r="G124" i="53"/>
  <c r="AJ62" i="28"/>
  <c r="AM5" i="41"/>
  <c r="AM20" i="41" s="1"/>
  <c r="AJ19" i="41"/>
  <c r="AJ32" i="41" s="1"/>
  <c r="AJ13" i="41"/>
  <c r="AJ28" i="41" s="1"/>
  <c r="AJ10" i="41"/>
  <c r="AJ25" i="41" s="1"/>
  <c r="AJ15" i="41"/>
  <c r="AJ30" i="41" s="1"/>
  <c r="AJ9" i="41"/>
  <c r="AJ12" i="41"/>
  <c r="AJ14" i="41"/>
  <c r="AJ29" i="41" s="1"/>
  <c r="AJ7" i="41"/>
  <c r="AJ22" i="41" s="1"/>
  <c r="AM124" i="53"/>
  <c r="AP125" i="53"/>
  <c r="AP124" i="53"/>
  <c r="AI41" i="28"/>
  <c r="AM14" i="41"/>
  <c r="AM29" i="41" s="1"/>
  <c r="T14" i="41"/>
  <c r="T29" i="41" s="1"/>
  <c r="T9" i="41"/>
  <c r="T6" i="41"/>
  <c r="T15" i="41"/>
  <c r="T30" i="41" s="1"/>
  <c r="T12" i="41"/>
  <c r="T19" i="41"/>
  <c r="T32" i="41" s="1"/>
  <c r="T7" i="41"/>
  <c r="T22" i="41" s="1"/>
  <c r="AM108" i="28"/>
  <c r="AM43" i="28" s="1"/>
  <c r="AM44" i="28"/>
  <c r="AR26" i="5"/>
  <c r="AS26" i="5"/>
  <c r="AM51" i="28"/>
  <c r="R124" i="53"/>
  <c r="AK60" i="28"/>
  <c r="AN12" i="41"/>
  <c r="AN6" i="41"/>
  <c r="AP94" i="53"/>
  <c r="AH124" i="53"/>
  <c r="AN13" i="41"/>
  <c r="AN28" i="41" s="1"/>
  <c r="N95" i="53"/>
  <c r="AA44" i="28"/>
  <c r="AJ108" i="28"/>
  <c r="AJ43" i="28" s="1"/>
  <c r="T95" i="53"/>
  <c r="AF15" i="20"/>
  <c r="AG7" i="20"/>
  <c r="AG8" i="20"/>
  <c r="F137" i="20"/>
  <c r="F143" i="20" s="1"/>
  <c r="J94" i="53"/>
  <c r="F6" i="20"/>
  <c r="AD3" i="20"/>
  <c r="AI4" i="34"/>
  <c r="F13" i="20"/>
  <c r="I198" i="32" s="1"/>
  <c r="N15" i="20"/>
  <c r="N12" i="20"/>
  <c r="N13" i="20" s="1"/>
  <c r="N21" i="20"/>
  <c r="N22" i="20" s="1"/>
  <c r="N5" i="20"/>
  <c r="F40" i="27"/>
  <c r="F46" i="27" s="1"/>
  <c r="F206" i="27"/>
  <c r="F212" i="27" s="1"/>
  <c r="F16" i="20"/>
  <c r="F139" i="27"/>
  <c r="F145" i="27" s="1"/>
  <c r="F26" i="20"/>
  <c r="F33" i="20" s="1"/>
  <c r="F207" i="27"/>
  <c r="F213" i="27" s="1"/>
  <c r="F173" i="27"/>
  <c r="F179" i="27" s="1"/>
  <c r="F170" i="27"/>
  <c r="F176" i="27" s="1"/>
  <c r="F30" i="20"/>
  <c r="F37" i="20" s="1"/>
  <c r="F32" i="20"/>
  <c r="F39" i="20" s="1"/>
  <c r="F40" i="20" s="1"/>
  <c r="F43" i="27"/>
  <c r="F49" i="27" s="1"/>
  <c r="F204" i="27"/>
  <c r="F210" i="27" s="1"/>
  <c r="F28" i="20"/>
  <c r="F35" i="20" s="1"/>
  <c r="F134" i="20"/>
  <c r="F140" i="20" s="1"/>
  <c r="I179" i="32"/>
  <c r="F73" i="27"/>
  <c r="F79" i="27" s="1"/>
  <c r="F139" i="20"/>
  <c r="F145" i="20" s="1"/>
  <c r="F172" i="27"/>
  <c r="F178" i="27" s="1"/>
  <c r="N6" i="20"/>
  <c r="F21" i="20"/>
  <c r="F22" i="20" s="1"/>
  <c r="F5" i="20"/>
  <c r="N18" i="20"/>
  <c r="F174" i="27"/>
  <c r="F180" i="27" s="1"/>
  <c r="U3" i="20"/>
  <c r="W4" i="34"/>
  <c r="AF6" i="20"/>
  <c r="AF18" i="20"/>
  <c r="AF92" i="20"/>
  <c r="AF94" i="20" s="1"/>
  <c r="AI160" i="32"/>
  <c r="AF23" i="20"/>
  <c r="E3" i="20"/>
  <c r="G4" i="34"/>
  <c r="AS83" i="33"/>
  <c r="AS21" i="33" s="1"/>
  <c r="AS39" i="33" s="1"/>
  <c r="AS57" i="33" s="1"/>
  <c r="AG138" i="11"/>
  <c r="AB40" i="11"/>
  <c r="V40" i="11"/>
  <c r="AE40" i="11"/>
  <c r="P40" i="11"/>
  <c r="Y40" i="11"/>
  <c r="S40" i="11"/>
  <c r="W18" i="19"/>
  <c r="L132" i="11"/>
  <c r="U77" i="33"/>
  <c r="U15" i="33" s="1"/>
  <c r="U33" i="33" s="1"/>
  <c r="U51" i="33" s="1"/>
  <c r="L138" i="11"/>
  <c r="U83" i="33"/>
  <c r="U21" i="33" s="1"/>
  <c r="U39" i="33" s="1"/>
  <c r="U57" i="33" s="1"/>
  <c r="AB10" i="5"/>
  <c r="AK10" i="5"/>
  <c r="H4" i="19" s="1"/>
  <c r="Z10" i="5"/>
  <c r="AH127" i="11"/>
  <c r="T16" i="19"/>
  <c r="T128" i="19"/>
  <c r="T130" i="19" s="1"/>
  <c r="W111" i="32"/>
  <c r="T8" i="11"/>
  <c r="Q8" i="11"/>
  <c r="AF8" i="11"/>
  <c r="Z8" i="11"/>
  <c r="AC8" i="11"/>
  <c r="W8" i="11"/>
  <c r="Z40" i="5"/>
  <c r="AK40" i="5" s="1"/>
  <c r="Y13" i="5"/>
  <c r="Q13" i="5"/>
  <c r="Q12" i="5"/>
  <c r="Y12" i="5"/>
  <c r="Y21" i="5"/>
  <c r="Q21" i="5"/>
  <c r="P33" i="11"/>
  <c r="S33" i="11"/>
  <c r="AB33" i="11"/>
  <c r="V33" i="11"/>
  <c r="Y33" i="11"/>
  <c r="AE33" i="11"/>
  <c r="W5" i="19"/>
  <c r="W8" i="19"/>
  <c r="W15" i="19" s="1"/>
  <c r="AB17" i="5"/>
  <c r="AK17" i="5"/>
  <c r="N4" i="19" s="1"/>
  <c r="S38" i="11"/>
  <c r="P38" i="11"/>
  <c r="AB38" i="11"/>
  <c r="Y38" i="11"/>
  <c r="V38" i="11"/>
  <c r="AE38" i="11"/>
  <c r="AC35" i="5"/>
  <c r="U71" i="33"/>
  <c r="U9" i="33" s="1"/>
  <c r="U27" i="33" s="1"/>
  <c r="U45" i="33" s="1"/>
  <c r="L126" i="11"/>
  <c r="AB11" i="11"/>
  <c r="V11" i="11"/>
  <c r="P11" i="11"/>
  <c r="F18" i="19"/>
  <c r="F6" i="19"/>
  <c r="Q133" i="11"/>
  <c r="I92" i="32"/>
  <c r="T23" i="11"/>
  <c r="Q23" i="11"/>
  <c r="AC23" i="11"/>
  <c r="W23" i="11"/>
  <c r="AF23" i="11"/>
  <c r="Z23" i="11"/>
  <c r="AC37" i="11"/>
  <c r="W37" i="11"/>
  <c r="Q37" i="11"/>
  <c r="Z37" i="11"/>
  <c r="AF37" i="11"/>
  <c r="T12" i="19"/>
  <c r="Q39" i="11"/>
  <c r="AC39" i="11"/>
  <c r="AF39" i="11"/>
  <c r="T39" i="11"/>
  <c r="Z39" i="11"/>
  <c r="T6" i="19"/>
  <c r="T18" i="19"/>
  <c r="AC17" i="11"/>
  <c r="W17" i="11"/>
  <c r="Q17" i="11"/>
  <c r="T17" i="11"/>
  <c r="AF17" i="11"/>
  <c r="Q71" i="33"/>
  <c r="Q9" i="33" s="1"/>
  <c r="Q27" i="33" s="1"/>
  <c r="Q45" i="33" s="1"/>
  <c r="H126" i="11"/>
  <c r="Q80" i="33"/>
  <c r="Q18" i="33" s="1"/>
  <c r="Q36" i="33" s="1"/>
  <c r="Q54" i="33" s="1"/>
  <c r="H135" i="11"/>
  <c r="Q7" i="11"/>
  <c r="Z7" i="11"/>
  <c r="W7" i="11"/>
  <c r="T7" i="11"/>
  <c r="AF7" i="11"/>
  <c r="Q74" i="33"/>
  <c r="Q12" i="33" s="1"/>
  <c r="Q30" i="33" s="1"/>
  <c r="Q48" i="33" s="1"/>
  <c r="H129" i="11"/>
  <c r="AD4" i="19"/>
  <c r="AB31" i="5"/>
  <c r="Q77" i="33"/>
  <c r="Q15" i="33" s="1"/>
  <c r="Q33" i="33" s="1"/>
  <c r="Q51" i="33" s="1"/>
  <c r="H132" i="11"/>
  <c r="Y5" i="5"/>
  <c r="Q5" i="5"/>
  <c r="Y30" i="5"/>
  <c r="F12" i="19"/>
  <c r="AG126" i="11"/>
  <c r="AS71" i="33"/>
  <c r="AS9" i="33" s="1"/>
  <c r="AS27" i="33" s="1"/>
  <c r="AS45" i="33" s="1"/>
  <c r="Y18" i="5"/>
  <c r="E8" i="19"/>
  <c r="E7" i="19"/>
  <c r="AK23" i="5"/>
  <c r="U4" i="19" s="1"/>
  <c r="AV23" i="5"/>
  <c r="U17" i="52" s="1"/>
  <c r="AB23" i="5"/>
  <c r="Z31" i="5"/>
  <c r="AK31" i="5" s="1"/>
  <c r="Z36" i="11"/>
  <c r="T36" i="11"/>
  <c r="AF36" i="11"/>
  <c r="W36" i="11"/>
  <c r="AC36" i="11"/>
  <c r="Q36" i="11"/>
  <c r="R30" i="5"/>
  <c r="Z15" i="5"/>
  <c r="AB15" i="5"/>
  <c r="AK11" i="5"/>
  <c r="Z11" i="5"/>
  <c r="AK39" i="5"/>
  <c r="AF4" i="19"/>
  <c r="AV38" i="5"/>
  <c r="AF17" i="52" s="1"/>
  <c r="AK9" i="5"/>
  <c r="AC9" i="5"/>
  <c r="AP123" i="11"/>
  <c r="AT68" i="33"/>
  <c r="AT6" i="33" s="1"/>
  <c r="AT24" i="33" s="1"/>
  <c r="AT42" i="33" s="1"/>
  <c r="AB14" i="5"/>
  <c r="Z14" i="5"/>
  <c r="AK14" i="5"/>
  <c r="Y19" i="5"/>
  <c r="AE39" i="11"/>
  <c r="Y39" i="11"/>
  <c r="AB39" i="11"/>
  <c r="S39" i="11"/>
  <c r="V39" i="11"/>
  <c r="P39" i="11"/>
  <c r="F15" i="19"/>
  <c r="E5" i="19"/>
  <c r="AM163" i="25"/>
  <c r="AM31" i="25"/>
  <c r="AM196" i="25"/>
  <c r="AM229" i="25"/>
  <c r="AI108" i="27"/>
  <c r="AI114" i="27" s="1"/>
  <c r="AI120" i="27" s="1"/>
  <c r="AI126" i="27" s="1"/>
  <c r="AI8" i="27"/>
  <c r="AI14" i="27" s="1"/>
  <c r="AI20" i="27" s="1"/>
  <c r="AI26" i="27" s="1"/>
  <c r="AI74" i="27"/>
  <c r="AI80" i="27" s="1"/>
  <c r="AI86" i="27" s="1"/>
  <c r="AI92" i="27" s="1"/>
  <c r="AI6" i="27"/>
  <c r="AI12" i="27" s="1"/>
  <c r="AI107" i="27"/>
  <c r="AI113" i="27" s="1"/>
  <c r="AI75" i="27"/>
  <c r="AI81" i="27" s="1"/>
  <c r="AI87" i="27" s="1"/>
  <c r="AI93" i="27" s="1"/>
  <c r="AI173" i="27"/>
  <c r="AI179" i="27" s="1"/>
  <c r="AI72" i="27"/>
  <c r="AI78" i="27" s="1"/>
  <c r="AI84" i="27" s="1"/>
  <c r="AI90" i="27" s="1"/>
  <c r="AI204" i="27"/>
  <c r="AI210" i="27" s="1"/>
  <c r="AI216" i="27" s="1"/>
  <c r="AI222" i="27" s="1"/>
  <c r="AL198" i="32"/>
  <c r="AI5" i="27"/>
  <c r="AI11" i="27" s="1"/>
  <c r="AI10" i="27"/>
  <c r="AI16" i="27" s="1"/>
  <c r="AI139" i="27"/>
  <c r="AI145" i="27" s="1"/>
  <c r="AI42" i="27"/>
  <c r="AI48" i="27" s="1"/>
  <c r="AI103" i="20"/>
  <c r="AI109" i="20" s="1"/>
  <c r="AI65" i="20"/>
  <c r="AI71" i="20" s="1"/>
  <c r="AI71" i="27"/>
  <c r="AI77" i="27" s="1"/>
  <c r="AI83" i="27" s="1"/>
  <c r="AI89" i="27" s="1"/>
  <c r="AI135" i="20"/>
  <c r="AI141" i="20" s="1"/>
  <c r="AI147" i="20" s="1"/>
  <c r="AI153" i="20" s="1"/>
  <c r="AI39" i="27"/>
  <c r="AI45" i="27" s="1"/>
  <c r="AI51" i="27" s="1"/>
  <c r="AI57" i="27" s="1"/>
  <c r="AI76" i="27"/>
  <c r="AI82" i="27" s="1"/>
  <c r="AI88" i="27" s="1"/>
  <c r="AI94" i="27" s="1"/>
  <c r="AI40" i="27"/>
  <c r="AI46" i="27" s="1"/>
  <c r="AI101" i="20"/>
  <c r="AI107" i="20" s="1"/>
  <c r="AI113" i="20" s="1"/>
  <c r="AI119" i="20" s="1"/>
  <c r="AI31" i="20"/>
  <c r="AI38" i="20" s="1"/>
  <c r="AI46" i="20" s="1"/>
  <c r="AI62" i="20"/>
  <c r="AI68" i="20" s="1"/>
  <c r="AI30" i="20"/>
  <c r="AI37" i="20" s="1"/>
  <c r="AI45" i="20" s="1"/>
  <c r="AI27" i="20"/>
  <c r="AI34" i="20" s="1"/>
  <c r="AI38" i="27"/>
  <c r="AI44" i="27" s="1"/>
  <c r="AI50" i="27" s="1"/>
  <c r="AI56" i="27" s="1"/>
  <c r="AI138" i="27"/>
  <c r="AI144" i="27" s="1"/>
  <c r="AI43" i="27"/>
  <c r="AI49" i="27" s="1"/>
  <c r="AI55" i="27" s="1"/>
  <c r="AI61" i="27" s="1"/>
  <c r="AI66" i="20"/>
  <c r="AI72" i="20" s="1"/>
  <c r="AI78" i="20" s="1"/>
  <c r="AI84" i="20" s="1"/>
  <c r="AI26" i="20"/>
  <c r="AI33" i="20" s="1"/>
  <c r="AI41" i="20" s="1"/>
  <c r="AI64" i="20"/>
  <c r="AI70" i="20" s="1"/>
  <c r="AI136" i="20"/>
  <c r="AI142" i="20" s="1"/>
  <c r="AI63" i="20"/>
  <c r="AI69" i="20" s="1"/>
  <c r="AI134" i="20"/>
  <c r="AI140" i="20" s="1"/>
  <c r="AI105" i="27"/>
  <c r="AI111" i="27" s="1"/>
  <c r="AI171" i="27"/>
  <c r="AI177" i="27" s="1"/>
  <c r="AI98" i="20"/>
  <c r="AI104" i="20" s="1"/>
  <c r="AI110" i="20" s="1"/>
  <c r="AI116" i="20" s="1"/>
  <c r="AI67" i="20"/>
  <c r="AI73" i="20" s="1"/>
  <c r="AI79" i="20" s="1"/>
  <c r="AI85" i="20" s="1"/>
  <c r="AI138" i="20"/>
  <c r="AI144" i="20" s="1"/>
  <c r="AI142" i="27"/>
  <c r="AI148" i="27" s="1"/>
  <c r="AI154" i="27" s="1"/>
  <c r="AI160" i="27" s="1"/>
  <c r="AI164" i="20"/>
  <c r="AI166" i="20" s="1"/>
  <c r="AI137" i="27"/>
  <c r="AI143" i="27" s="1"/>
  <c r="AI99" i="20"/>
  <c r="AI105" i="20" s="1"/>
  <c r="AI111" i="20" s="1"/>
  <c r="AI117" i="20" s="1"/>
  <c r="AI137" i="20"/>
  <c r="AI143" i="20" s="1"/>
  <c r="AI149" i="20" s="1"/>
  <c r="AI155" i="20" s="1"/>
  <c r="AI7" i="27"/>
  <c r="AI13" i="27" s="1"/>
  <c r="AI19" i="27" s="1"/>
  <c r="AI25" i="27" s="1"/>
  <c r="AI9" i="27"/>
  <c r="AI15" i="27" s="1"/>
  <c r="AI21" i="27" s="1"/>
  <c r="AI27" i="27" s="1"/>
  <c r="AI29" i="20"/>
  <c r="AI36" i="20" s="1"/>
  <c r="AI140" i="27"/>
  <c r="AI146" i="27" s="1"/>
  <c r="AI152" i="27" s="1"/>
  <c r="AI158" i="27" s="1"/>
  <c r="AI28" i="20"/>
  <c r="AI35" i="20" s="1"/>
  <c r="AI104" i="27"/>
  <c r="AI110" i="27" s="1"/>
  <c r="AI116" i="27" s="1"/>
  <c r="AI122" i="27" s="1"/>
  <c r="AI17" i="20"/>
  <c r="AI19" i="20" s="1"/>
  <c r="AI41" i="27"/>
  <c r="AI47" i="27" s="1"/>
  <c r="AI53" i="27" s="1"/>
  <c r="AI59" i="27" s="1"/>
  <c r="AI141" i="27"/>
  <c r="AI147" i="27" s="1"/>
  <c r="AI153" i="27" s="1"/>
  <c r="AI159" i="27" s="1"/>
  <c r="AI175" i="27"/>
  <c r="AI181" i="27" s="1"/>
  <c r="AI187" i="27" s="1"/>
  <c r="AI193" i="27" s="1"/>
  <c r="AI207" i="27"/>
  <c r="AI213" i="27" s="1"/>
  <c r="AI205" i="27"/>
  <c r="AI211" i="27" s="1"/>
  <c r="AI102" i="20"/>
  <c r="AI108" i="20" s="1"/>
  <c r="AI100" i="20"/>
  <c r="AI106" i="20" s="1"/>
  <c r="AI73" i="27"/>
  <c r="AI79" i="27" s="1"/>
  <c r="AI174" i="27"/>
  <c r="AI180" i="27" s="1"/>
  <c r="AI172" i="27"/>
  <c r="AI178" i="27" s="1"/>
  <c r="AI184" i="27" s="1"/>
  <c r="AI190" i="27" s="1"/>
  <c r="AI203" i="27"/>
  <c r="AI209" i="27" s="1"/>
  <c r="AI106" i="27"/>
  <c r="AI112" i="27" s="1"/>
  <c r="AI118" i="27" s="1"/>
  <c r="AI124" i="27" s="1"/>
  <c r="C354" i="53"/>
  <c r="C389" i="53" s="1"/>
  <c r="C259" i="53"/>
  <c r="Z33" i="5"/>
  <c r="AB8" i="5"/>
  <c r="Y32" i="5"/>
  <c r="D92" i="18"/>
  <c r="D94" i="18" s="1"/>
  <c r="D6" i="18"/>
  <c r="G24" i="32"/>
  <c r="AK37" i="5"/>
  <c r="AB37" i="5"/>
  <c r="AV84" i="33"/>
  <c r="AV22" i="33" s="1"/>
  <c r="AV40" i="33" s="1"/>
  <c r="AV58" i="33" s="1"/>
  <c r="AB35" i="11"/>
  <c r="P35" i="11"/>
  <c r="AM4" i="19"/>
  <c r="AM90" i="18"/>
  <c r="AM162" i="18"/>
  <c r="AM126" i="18"/>
  <c r="AM99" i="25"/>
  <c r="E161" i="25"/>
  <c r="E29" i="25"/>
  <c r="E122" i="18"/>
  <c r="E62" i="25"/>
  <c r="E95" i="25"/>
  <c r="E86" i="18"/>
  <c r="Y34" i="5"/>
  <c r="Q34" i="5"/>
  <c r="H12" i="28"/>
  <c r="H79" i="28"/>
  <c r="AC45" i="28"/>
  <c r="AC110" i="28" s="1"/>
  <c r="AC111" i="28"/>
  <c r="AJ131" i="27"/>
  <c r="AJ161" i="20"/>
  <c r="AJ230" i="27"/>
  <c r="AJ164" i="27"/>
  <c r="AJ65" i="27"/>
  <c r="T38" i="11"/>
  <c r="AC38" i="11"/>
  <c r="Q38" i="11"/>
  <c r="W38" i="11"/>
  <c r="Y16" i="5"/>
  <c r="AB36" i="11"/>
  <c r="AE36" i="11"/>
  <c r="V36" i="11"/>
  <c r="Y36" i="11"/>
  <c r="AJ125" i="20"/>
  <c r="AA72" i="52"/>
  <c r="AD28" i="32"/>
  <c r="AD66" i="32"/>
  <c r="AD10" i="32"/>
  <c r="AD57" i="32"/>
  <c r="AD47" i="32"/>
  <c r="AA49" i="18"/>
  <c r="AM5" i="59"/>
  <c r="AM100" i="59"/>
  <c r="E127" i="18"/>
  <c r="Y20" i="5"/>
  <c r="AM124" i="18"/>
  <c r="E49" i="18"/>
  <c r="E124" i="18" s="1"/>
  <c r="E72" i="52"/>
  <c r="H28" i="32"/>
  <c r="H10" i="32"/>
  <c r="E46" i="18"/>
  <c r="E53" i="18" s="1"/>
  <c r="E166" i="25"/>
  <c r="E100" i="25"/>
  <c r="AM232" i="25"/>
  <c r="AM199" i="25"/>
  <c r="AM127" i="18"/>
  <c r="O96" i="25"/>
  <c r="O30" i="25"/>
  <c r="AJ165" i="27"/>
  <c r="AJ126" i="27"/>
  <c r="AJ132" i="27" s="1"/>
  <c r="AJ86" i="52"/>
  <c r="AM185" i="32"/>
  <c r="AM184" i="32"/>
  <c r="AM156" i="32"/>
  <c r="O126" i="18"/>
  <c r="O231" i="25"/>
  <c r="O99" i="25"/>
  <c r="O66" i="25"/>
  <c r="E91" i="18"/>
  <c r="O197" i="25"/>
  <c r="O164" i="25"/>
  <c r="O98" i="25"/>
  <c r="E96" i="25"/>
  <c r="E30" i="25"/>
  <c r="E63" i="25"/>
  <c r="Z107" i="11"/>
  <c r="W20" i="52"/>
  <c r="AI146" i="28"/>
  <c r="AI42" i="52" s="1"/>
  <c r="AL146" i="28"/>
  <c r="AL42" i="52" s="1"/>
  <c r="P42" i="52"/>
  <c r="AI148" i="28"/>
  <c r="AI117" i="28" s="1"/>
  <c r="AL148" i="28"/>
  <c r="AL117" i="28" s="1"/>
  <c r="P46" i="52"/>
  <c r="AL150" i="28"/>
  <c r="AL46" i="52" s="1"/>
  <c r="AI150" i="28"/>
  <c r="AI46" i="52" s="1"/>
  <c r="O125" i="18"/>
  <c r="AD51" i="25"/>
  <c r="AD57" i="25" s="1"/>
  <c r="Q107" i="11"/>
  <c r="N20" i="52"/>
  <c r="O80" i="28"/>
  <c r="O12" i="28"/>
  <c r="Q12" i="28"/>
  <c r="Q78" i="28"/>
  <c r="AM88" i="28" s="1"/>
  <c r="F126" i="53"/>
  <c r="F106" i="53"/>
  <c r="F96" i="53"/>
  <c r="U45" i="28"/>
  <c r="U110" i="28" s="1"/>
  <c r="U111" i="28"/>
  <c r="U142" i="28" s="1"/>
  <c r="U45" i="52" s="1"/>
  <c r="W99" i="53" s="1"/>
  <c r="Q42" i="52"/>
  <c r="AN146" i="28"/>
  <c r="AN42" i="52" s="1"/>
  <c r="AM146" i="28"/>
  <c r="AM42" i="52" s="1"/>
  <c r="AJ146" i="28"/>
  <c r="AK146" i="28"/>
  <c r="AK42" i="52" s="1"/>
  <c r="AK150" i="28"/>
  <c r="AK46" i="52" s="1"/>
  <c r="AM150" i="28"/>
  <c r="AM46" i="52" s="1"/>
  <c r="Q46" i="52"/>
  <c r="AN150" i="28"/>
  <c r="AN46" i="52" s="1"/>
  <c r="AJ150" i="28"/>
  <c r="AJ46" i="52" s="1"/>
  <c r="R57" i="32"/>
  <c r="R28" i="32"/>
  <c r="O49" i="18"/>
  <c r="O88" i="18" s="1"/>
  <c r="R10" i="32"/>
  <c r="AK104" i="59"/>
  <c r="AK9" i="59"/>
  <c r="AM70" i="52"/>
  <c r="AP64" i="32"/>
  <c r="AM47" i="18"/>
  <c r="AM158" i="18" s="1"/>
  <c r="AP17" i="32"/>
  <c r="AP45" i="32"/>
  <c r="AS6" i="48"/>
  <c r="A82" i="48"/>
  <c r="H12" i="32"/>
  <c r="H59" i="32"/>
  <c r="H49" i="32"/>
  <c r="E51" i="18"/>
  <c r="H21" i="32"/>
  <c r="H30" i="32"/>
  <c r="E74" i="52"/>
  <c r="AP69" i="32"/>
  <c r="AP60" i="32"/>
  <c r="R67" i="32"/>
  <c r="R29" i="32"/>
  <c r="R48" i="32"/>
  <c r="R58" i="32"/>
  <c r="O73" i="52"/>
  <c r="O193" i="25"/>
  <c r="O199" i="25" s="1"/>
  <c r="R60" i="32"/>
  <c r="AD42" i="18"/>
  <c r="Y144" i="28"/>
  <c r="X45" i="28"/>
  <c r="X110" i="28" s="1"/>
  <c r="X117" i="28"/>
  <c r="Q45" i="28"/>
  <c r="Q110" i="28" s="1"/>
  <c r="Q111" i="28"/>
  <c r="G126" i="53"/>
  <c r="G96" i="53"/>
  <c r="G106" i="53"/>
  <c r="I20" i="52"/>
  <c r="L107" i="11"/>
  <c r="AF100" i="53"/>
  <c r="AF130" i="53"/>
  <c r="AF120" i="53"/>
  <c r="AF110" i="53"/>
  <c r="R45" i="28"/>
  <c r="R110" i="28" s="1"/>
  <c r="R111" i="28"/>
  <c r="R142" i="28" s="1"/>
  <c r="R45" i="52" s="1"/>
  <c r="T99" i="53" s="1"/>
  <c r="O144" i="28"/>
  <c r="L146" i="28"/>
  <c r="L42" i="52" s="1"/>
  <c r="N110" i="53"/>
  <c r="N100" i="53"/>
  <c r="N120" i="53"/>
  <c r="N130" i="53"/>
  <c r="F45" i="28"/>
  <c r="F110" i="28" s="1"/>
  <c r="F115" i="28"/>
  <c r="F146" i="28" s="1"/>
  <c r="F42" i="52" s="1"/>
  <c r="R21" i="32"/>
  <c r="R30" i="32"/>
  <c r="R12" i="32"/>
  <c r="O74" i="52"/>
  <c r="H36" i="32"/>
  <c r="E122" i="25"/>
  <c r="E128" i="25" s="1"/>
  <c r="AE110" i="53"/>
  <c r="AE100" i="53"/>
  <c r="AE130" i="53"/>
  <c r="AE120" i="53"/>
  <c r="AN84" i="59"/>
  <c r="AN21" i="59" s="1"/>
  <c r="AN117" i="59"/>
  <c r="P144" i="28"/>
  <c r="I34" i="32"/>
  <c r="I35" i="32" s="1"/>
  <c r="H13" i="34" s="1"/>
  <c r="I44" i="32"/>
  <c r="H12" i="34" s="1"/>
  <c r="C234" i="53"/>
  <c r="C335" i="53"/>
  <c r="C370" i="53" s="1"/>
  <c r="G29" i="59"/>
  <c r="G124" i="59"/>
  <c r="AK29" i="59"/>
  <c r="AK124" i="59"/>
  <c r="AD12" i="28"/>
  <c r="AD78" i="28"/>
  <c r="X12" i="28"/>
  <c r="X84" i="28"/>
  <c r="T82" i="28"/>
  <c r="AA91" i="28"/>
  <c r="AA72" i="28"/>
  <c r="N146" i="28"/>
  <c r="N42" i="52" s="1"/>
  <c r="AA82" i="28"/>
  <c r="T72" i="28"/>
  <c r="T91" i="28"/>
  <c r="P12" i="28"/>
  <c r="P78" i="28"/>
  <c r="L45" i="28"/>
  <c r="L110" i="28" s="1"/>
  <c r="L112" i="28"/>
  <c r="L143" i="28" s="1"/>
  <c r="L43" i="52" s="1"/>
  <c r="N107" i="53" s="1"/>
  <c r="N112" i="53" s="1"/>
  <c r="T106" i="53"/>
  <c r="T126" i="53"/>
  <c r="T96" i="53"/>
  <c r="R150" i="28"/>
  <c r="R46" i="52" s="1"/>
  <c r="AL23" i="59"/>
  <c r="AL118" i="59"/>
  <c r="AE12" i="28"/>
  <c r="AE79" i="28"/>
  <c r="AD110" i="53"/>
  <c r="AD130" i="53"/>
  <c r="AD120" i="53"/>
  <c r="AD100" i="53"/>
  <c r="AC12" i="28"/>
  <c r="AC78" i="28"/>
  <c r="V77" i="28"/>
  <c r="V97" i="28" s="1"/>
  <c r="V32" i="28"/>
  <c r="AJ86" i="28"/>
  <c r="AL86" i="28"/>
  <c r="AN74" i="28"/>
  <c r="AN86" i="28"/>
  <c r="AM95" i="28"/>
  <c r="AM74" i="28"/>
  <c r="AM86" i="28"/>
  <c r="AF45" i="28"/>
  <c r="AF110" i="28" s="1"/>
  <c r="AF116" i="28"/>
  <c r="AF147" i="28" s="1"/>
  <c r="AF44" i="52" s="1"/>
  <c r="AA156" i="25"/>
  <c r="AA162" i="25" s="1"/>
  <c r="AD46" i="32"/>
  <c r="A85" i="48"/>
  <c r="AS9" i="48"/>
  <c r="AM124" i="59"/>
  <c r="AM29" i="59"/>
  <c r="T92" i="20"/>
  <c r="T94" i="20" s="1"/>
  <c r="W160" i="32"/>
  <c r="E93" i="18"/>
  <c r="AJ42" i="20"/>
  <c r="O71" i="52"/>
  <c r="R65" i="32"/>
  <c r="R56" i="32"/>
  <c r="AP10" i="32"/>
  <c r="AP19" i="32"/>
  <c r="AP57" i="32"/>
  <c r="AP66" i="32"/>
  <c r="A125" i="36"/>
  <c r="AS13" i="36"/>
  <c r="R68" i="32"/>
  <c r="O221" i="25"/>
  <c r="O227" i="25" s="1"/>
  <c r="R64" i="32"/>
  <c r="D62" i="11"/>
  <c r="AV62" i="11" s="1"/>
  <c r="AV59" i="11"/>
  <c r="D12" i="28"/>
  <c r="D81" i="28"/>
  <c r="D145" i="28" s="1"/>
  <c r="D41" i="52" s="1"/>
  <c r="AH148" i="28"/>
  <c r="AD45" i="28"/>
  <c r="AD110" i="28" s="1"/>
  <c r="AD111" i="28"/>
  <c r="H45" i="28"/>
  <c r="H110" i="28" s="1"/>
  <c r="H112" i="28"/>
  <c r="M146" i="28"/>
  <c r="M42" i="52" s="1"/>
  <c r="O100" i="53"/>
  <c r="O110" i="53"/>
  <c r="O120" i="53"/>
  <c r="O130" i="53"/>
  <c r="AN124" i="59"/>
  <c r="AN29" i="59"/>
  <c r="AB12" i="28"/>
  <c r="AB78" i="28"/>
  <c r="AB142" i="28" s="1"/>
  <c r="AB45" i="52" s="1"/>
  <c r="AD99" i="53" s="1"/>
  <c r="AI86" i="28"/>
  <c r="AK86" i="28"/>
  <c r="AI74" i="28"/>
  <c r="AK95" i="28"/>
  <c r="L12" i="28"/>
  <c r="L82" i="28"/>
  <c r="N12" i="28"/>
  <c r="N78" i="28"/>
  <c r="U106" i="53"/>
  <c r="U96" i="53"/>
  <c r="U126" i="53"/>
  <c r="U110" i="53"/>
  <c r="U120" i="53"/>
  <c r="U100" i="53"/>
  <c r="U130" i="53"/>
  <c r="AD40" i="11"/>
  <c r="X40" i="11"/>
  <c r="AA40" i="11"/>
  <c r="O40" i="11"/>
  <c r="U40" i="11"/>
  <c r="R40" i="11"/>
  <c r="E226" i="53"/>
  <c r="E329" i="53"/>
  <c r="E364" i="53" s="1"/>
  <c r="AI51" i="59"/>
  <c r="G45" i="59"/>
  <c r="AD53" i="25"/>
  <c r="AD59" i="25" s="1"/>
  <c r="C240" i="53"/>
  <c r="C339" i="53"/>
  <c r="C374" i="53" s="1"/>
  <c r="A162" i="53"/>
  <c r="A207" i="53" s="1"/>
  <c r="L118" i="53"/>
  <c r="L121" i="53" s="1"/>
  <c r="AH118" i="53"/>
  <c r="AH121" i="53" s="1"/>
  <c r="AB118" i="53"/>
  <c r="AB121" i="53" s="1"/>
  <c r="AG118" i="53"/>
  <c r="AG121" i="53" s="1"/>
  <c r="X118" i="53"/>
  <c r="X121" i="53" s="1"/>
  <c r="U118" i="53"/>
  <c r="U121" i="53" s="1"/>
  <c r="T118" i="53"/>
  <c r="T121" i="53" s="1"/>
  <c r="AF118" i="53"/>
  <c r="AF121" i="53" s="1"/>
  <c r="N118" i="53"/>
  <c r="N121" i="53" s="1"/>
  <c r="F118" i="53"/>
  <c r="F121" i="53" s="1"/>
  <c r="G118" i="53"/>
  <c r="G121" i="53" s="1"/>
  <c r="J118" i="53"/>
  <c r="J121" i="53" s="1"/>
  <c r="K118" i="53"/>
  <c r="K121" i="53" s="1"/>
  <c r="AA118" i="53"/>
  <c r="AA121" i="53" s="1"/>
  <c r="Z118" i="53"/>
  <c r="Z121" i="53" s="1"/>
  <c r="R118" i="53"/>
  <c r="R121" i="53" s="1"/>
  <c r="Q118" i="53"/>
  <c r="Q121" i="53" s="1"/>
  <c r="AE118" i="53"/>
  <c r="AE121" i="53" s="1"/>
  <c r="W118" i="53"/>
  <c r="W121" i="53" s="1"/>
  <c r="S118" i="53"/>
  <c r="S121" i="53" s="1"/>
  <c r="P118" i="53"/>
  <c r="P121" i="53" s="1"/>
  <c r="Y118" i="53"/>
  <c r="Y121" i="53" s="1"/>
  <c r="O118" i="53"/>
  <c r="O121" i="53" s="1"/>
  <c r="AD118" i="53"/>
  <c r="AD121" i="53" s="1"/>
  <c r="T120" i="59"/>
  <c r="T25" i="59"/>
  <c r="AK114" i="59"/>
  <c r="AK19" i="59"/>
  <c r="AL121" i="59"/>
  <c r="AL26" i="59"/>
  <c r="AA5" i="59"/>
  <c r="AA100" i="59"/>
  <c r="R50" i="32"/>
  <c r="O75" i="52"/>
  <c r="AD215" i="25"/>
  <c r="AD221" i="25" s="1"/>
  <c r="R26" i="32"/>
  <c r="O46" i="18"/>
  <c r="O70" i="52"/>
  <c r="H17" i="32"/>
  <c r="AD54" i="25"/>
  <c r="AD60" i="25" s="1"/>
  <c r="AL114" i="59"/>
  <c r="AL19" i="59"/>
  <c r="AM46" i="59"/>
  <c r="AK82" i="28"/>
  <c r="AI82" i="28"/>
  <c r="AH206" i="25"/>
  <c r="AH212" i="25" s="1"/>
  <c r="AH218" i="25" s="1"/>
  <c r="AH224" i="25" s="1"/>
  <c r="AH207" i="25"/>
  <c r="AH213" i="25" s="1"/>
  <c r="AH219" i="25" s="1"/>
  <c r="AH225" i="25" s="1"/>
  <c r="AH6" i="25"/>
  <c r="AH12" i="25" s="1"/>
  <c r="AH18" i="25" s="1"/>
  <c r="AH24" i="25" s="1"/>
  <c r="AH108" i="25"/>
  <c r="AH114" i="25" s="1"/>
  <c r="AH120" i="25" s="1"/>
  <c r="AH126" i="25" s="1"/>
  <c r="AH39" i="25"/>
  <c r="AH45" i="25" s="1"/>
  <c r="AH51" i="25" s="1"/>
  <c r="AH57" i="25" s="1"/>
  <c r="AH41" i="25"/>
  <c r="AH47" i="25" s="1"/>
  <c r="AH53" i="25" s="1"/>
  <c r="AH59" i="25" s="1"/>
  <c r="AH26" i="18"/>
  <c r="AH33" i="18" s="1"/>
  <c r="AH41" i="18" s="1"/>
  <c r="AH141" i="25"/>
  <c r="AH147" i="25" s="1"/>
  <c r="AH153" i="25" s="1"/>
  <c r="AH159" i="25" s="1"/>
  <c r="AK62" i="32"/>
  <c r="AH7" i="25"/>
  <c r="AH13" i="25" s="1"/>
  <c r="AH19" i="25" s="1"/>
  <c r="AH25" i="25" s="1"/>
  <c r="AH203" i="25"/>
  <c r="AH209" i="25" s="1"/>
  <c r="AH215" i="25" s="1"/>
  <c r="AH221" i="25" s="1"/>
  <c r="AH105" i="25"/>
  <c r="AH111" i="25" s="1"/>
  <c r="AH117" i="25" s="1"/>
  <c r="AH123" i="25" s="1"/>
  <c r="AH75" i="25"/>
  <c r="AH81" i="25" s="1"/>
  <c r="AH87" i="25" s="1"/>
  <c r="AH93" i="25" s="1"/>
  <c r="AH5" i="25"/>
  <c r="AH11" i="25" s="1"/>
  <c r="AH17" i="25" s="1"/>
  <c r="AH23" i="25" s="1"/>
  <c r="AH31" i="18"/>
  <c r="AH38" i="18" s="1"/>
  <c r="AH39" i="18" s="1"/>
  <c r="AH170" i="25"/>
  <c r="AH176" i="25" s="1"/>
  <c r="AH182" i="25" s="1"/>
  <c r="AH188" i="25" s="1"/>
  <c r="AH139" i="18"/>
  <c r="AH145" i="18" s="1"/>
  <c r="AH151" i="18" s="1"/>
  <c r="AH157" i="18" s="1"/>
  <c r="AH103" i="18"/>
  <c r="AH109" i="18" s="1"/>
  <c r="AH115" i="18" s="1"/>
  <c r="AH121" i="18" s="1"/>
  <c r="AH76" i="25"/>
  <c r="AH82" i="25" s="1"/>
  <c r="AH88" i="25" s="1"/>
  <c r="AH94" i="25" s="1"/>
  <c r="AH73" i="25"/>
  <c r="AH79" i="25" s="1"/>
  <c r="AH85" i="25" s="1"/>
  <c r="AH91" i="25" s="1"/>
  <c r="AH102" i="18"/>
  <c r="AH108" i="18" s="1"/>
  <c r="AH114" i="18" s="1"/>
  <c r="AH120" i="18" s="1"/>
  <c r="AH64" i="18"/>
  <c r="AH70" i="18" s="1"/>
  <c r="AH76" i="18" s="1"/>
  <c r="AH82" i="18" s="1"/>
  <c r="AH29" i="18"/>
  <c r="AH36" i="18" s="1"/>
  <c r="AH44" i="18" s="1"/>
  <c r="AH139" i="25"/>
  <c r="AH145" i="25" s="1"/>
  <c r="AH151" i="25" s="1"/>
  <c r="AH157" i="25" s="1"/>
  <c r="AH100" i="18"/>
  <c r="AH106" i="18" s="1"/>
  <c r="AH112" i="18" s="1"/>
  <c r="AH118" i="18" s="1"/>
  <c r="AH136" i="18"/>
  <c r="AH142" i="18" s="1"/>
  <c r="AH148" i="18" s="1"/>
  <c r="AH154" i="18" s="1"/>
  <c r="AH99" i="18"/>
  <c r="AH105" i="18" s="1"/>
  <c r="AH111" i="18" s="1"/>
  <c r="AH117" i="18" s="1"/>
  <c r="AH25" i="18"/>
  <c r="AH32" i="18" s="1"/>
  <c r="AH40" i="18" s="1"/>
  <c r="AH98" i="18"/>
  <c r="AH104" i="18" s="1"/>
  <c r="AH110" i="18" s="1"/>
  <c r="AH116" i="18" s="1"/>
  <c r="AH9" i="25"/>
  <c r="AH15" i="25" s="1"/>
  <c r="AH21" i="25" s="1"/>
  <c r="AH27" i="25" s="1"/>
  <c r="AH106" i="25"/>
  <c r="AH112" i="25" s="1"/>
  <c r="AH118" i="25" s="1"/>
  <c r="AH124" i="25" s="1"/>
  <c r="AH28" i="18"/>
  <c r="AH35" i="18" s="1"/>
  <c r="AH43" i="18" s="1"/>
  <c r="AH40" i="25"/>
  <c r="AH46" i="25" s="1"/>
  <c r="AH52" i="25" s="1"/>
  <c r="AH58" i="25" s="1"/>
  <c r="AH208" i="25"/>
  <c r="AH214" i="25" s="1"/>
  <c r="AH220" i="25" s="1"/>
  <c r="AH226" i="25" s="1"/>
  <c r="AH104" i="25"/>
  <c r="AH110" i="25" s="1"/>
  <c r="AH116" i="25" s="1"/>
  <c r="AH122" i="25" s="1"/>
  <c r="AH30" i="18"/>
  <c r="AH37" i="18" s="1"/>
  <c r="AH45" i="18" s="1"/>
  <c r="AH62" i="18"/>
  <c r="AH68" i="18" s="1"/>
  <c r="AH74" i="18" s="1"/>
  <c r="AH80" i="18" s="1"/>
  <c r="AH16" i="18"/>
  <c r="AH18" i="18" s="1"/>
  <c r="AH137" i="18"/>
  <c r="AH143" i="18" s="1"/>
  <c r="AH149" i="18" s="1"/>
  <c r="AH155" i="18" s="1"/>
  <c r="AH107" i="25"/>
  <c r="AH113" i="25" s="1"/>
  <c r="AH119" i="25" s="1"/>
  <c r="AH125" i="25" s="1"/>
  <c r="AH174" i="25"/>
  <c r="AH180" i="25" s="1"/>
  <c r="AH186" i="25" s="1"/>
  <c r="AH192" i="25" s="1"/>
  <c r="AH138" i="25"/>
  <c r="AH144" i="25" s="1"/>
  <c r="AH150" i="25" s="1"/>
  <c r="AH156" i="25" s="1"/>
  <c r="AH137" i="25"/>
  <c r="AH143" i="25" s="1"/>
  <c r="AH149" i="25" s="1"/>
  <c r="AH155" i="25" s="1"/>
  <c r="AH142" i="25"/>
  <c r="AH148" i="25" s="1"/>
  <c r="AH154" i="25" s="1"/>
  <c r="AH160" i="25" s="1"/>
  <c r="AH67" i="18"/>
  <c r="AH73" i="18" s="1"/>
  <c r="AH79" i="18" s="1"/>
  <c r="AH85" i="18" s="1"/>
  <c r="AH175" i="25"/>
  <c r="AH181" i="25" s="1"/>
  <c r="AH187" i="25" s="1"/>
  <c r="AH193" i="25" s="1"/>
  <c r="AH65" i="18"/>
  <c r="AH71" i="18" s="1"/>
  <c r="AH77" i="18" s="1"/>
  <c r="AH83" i="18" s="1"/>
  <c r="AH172" i="25"/>
  <c r="AH178" i="25" s="1"/>
  <c r="AH184" i="25" s="1"/>
  <c r="AH190" i="25" s="1"/>
  <c r="AH8" i="25"/>
  <c r="AH14" i="25" s="1"/>
  <c r="AH20" i="25" s="1"/>
  <c r="AH26" i="25" s="1"/>
  <c r="AH27" i="18"/>
  <c r="AH34" i="18" s="1"/>
  <c r="AH42" i="18" s="1"/>
  <c r="AH38" i="25"/>
  <c r="AH44" i="25" s="1"/>
  <c r="AH50" i="25" s="1"/>
  <c r="AH56" i="25" s="1"/>
  <c r="AH63" i="18"/>
  <c r="AH69" i="18" s="1"/>
  <c r="AH75" i="18" s="1"/>
  <c r="AH81" i="18" s="1"/>
  <c r="AH43" i="25"/>
  <c r="AH49" i="25" s="1"/>
  <c r="AH55" i="25" s="1"/>
  <c r="AH61" i="25" s="1"/>
  <c r="AH10" i="25"/>
  <c r="AH16" i="25" s="1"/>
  <c r="AH22" i="25" s="1"/>
  <c r="AH28" i="25" s="1"/>
  <c r="AH140" i="25"/>
  <c r="AH146" i="25" s="1"/>
  <c r="AH152" i="25" s="1"/>
  <c r="AH158" i="25" s="1"/>
  <c r="S44" i="32"/>
  <c r="O12" i="34" s="1"/>
  <c r="S34" i="32"/>
  <c r="S35" i="32" s="1"/>
  <c r="O13" i="34" s="1"/>
  <c r="P15" i="18"/>
  <c r="AH138" i="18"/>
  <c r="AH144" i="18" s="1"/>
  <c r="AH150" i="18" s="1"/>
  <c r="AH156" i="18" s="1"/>
  <c r="F15" i="18"/>
  <c r="F128" i="18"/>
  <c r="F130" i="18" s="1"/>
  <c r="AJ109" i="27"/>
  <c r="AJ115" i="27" s="1"/>
  <c r="AJ121" i="27" s="1"/>
  <c r="AJ127" i="27" s="1"/>
  <c r="AJ38" i="27"/>
  <c r="AJ44" i="27" s="1"/>
  <c r="AJ50" i="27" s="1"/>
  <c r="AJ56" i="27" s="1"/>
  <c r="AJ206" i="27"/>
  <c r="AJ212" i="27" s="1"/>
  <c r="AJ218" i="27" s="1"/>
  <c r="AJ224" i="27" s="1"/>
  <c r="AJ134" i="20"/>
  <c r="AJ140" i="20" s="1"/>
  <c r="AJ146" i="20" s="1"/>
  <c r="AJ152" i="20" s="1"/>
  <c r="AJ138" i="27"/>
  <c r="AJ144" i="27" s="1"/>
  <c r="AJ150" i="27" s="1"/>
  <c r="AJ156" i="27" s="1"/>
  <c r="AJ7" i="27"/>
  <c r="AJ13" i="27" s="1"/>
  <c r="AJ19" i="27" s="1"/>
  <c r="AJ25" i="27" s="1"/>
  <c r="AJ26" i="20"/>
  <c r="AJ33" i="20" s="1"/>
  <c r="AJ41" i="20" s="1"/>
  <c r="AJ73" i="27"/>
  <c r="AJ79" i="27" s="1"/>
  <c r="AJ85" i="27" s="1"/>
  <c r="AJ91" i="27" s="1"/>
  <c r="AJ5" i="27"/>
  <c r="AJ11" i="27" s="1"/>
  <c r="AJ17" i="27" s="1"/>
  <c r="AJ23" i="27" s="1"/>
  <c r="AJ103" i="20"/>
  <c r="AJ109" i="20" s="1"/>
  <c r="AJ115" i="20" s="1"/>
  <c r="AJ121" i="20" s="1"/>
  <c r="AJ67" i="20"/>
  <c r="AJ73" i="20" s="1"/>
  <c r="AJ79" i="20" s="1"/>
  <c r="AJ85" i="20" s="1"/>
  <c r="AJ75" i="27"/>
  <c r="AJ81" i="27" s="1"/>
  <c r="AJ87" i="27" s="1"/>
  <c r="AJ100" i="20"/>
  <c r="AJ106" i="20" s="1"/>
  <c r="AJ112" i="20" s="1"/>
  <c r="AJ118" i="20" s="1"/>
  <c r="AJ40" i="27"/>
  <c r="AJ46" i="27" s="1"/>
  <c r="AJ52" i="27" s="1"/>
  <c r="AJ58" i="27" s="1"/>
  <c r="AJ31" i="20"/>
  <c r="AJ38" i="20" s="1"/>
  <c r="AJ46" i="20" s="1"/>
  <c r="AJ139" i="27"/>
  <c r="AJ145" i="27" s="1"/>
  <c r="AJ151" i="27" s="1"/>
  <c r="AJ157" i="27" s="1"/>
  <c r="AJ74" i="27"/>
  <c r="AJ80" i="27" s="1"/>
  <c r="AJ86" i="27" s="1"/>
  <c r="AJ92" i="27" s="1"/>
  <c r="AJ98" i="27" s="1"/>
  <c r="AJ8" i="27"/>
  <c r="AJ14" i="27" s="1"/>
  <c r="AJ20" i="27" s="1"/>
  <c r="AJ26" i="27" s="1"/>
  <c r="AJ32" i="27" s="1"/>
  <c r="AJ98" i="20"/>
  <c r="AJ104" i="20" s="1"/>
  <c r="AJ110" i="20" s="1"/>
  <c r="AJ116" i="20" s="1"/>
  <c r="AJ76" i="27"/>
  <c r="AJ82" i="27" s="1"/>
  <c r="AJ88" i="27" s="1"/>
  <c r="AJ94" i="27" s="1"/>
  <c r="AJ28" i="20"/>
  <c r="AJ35" i="20" s="1"/>
  <c r="AJ43" i="20" s="1"/>
  <c r="AJ104" i="27"/>
  <c r="AJ110" i="27" s="1"/>
  <c r="AJ116" i="27" s="1"/>
  <c r="AJ122" i="27" s="1"/>
  <c r="AJ9" i="27"/>
  <c r="AJ15" i="27" s="1"/>
  <c r="AJ21" i="27" s="1"/>
  <c r="AJ62" i="20"/>
  <c r="AJ68" i="20" s="1"/>
  <c r="AJ74" i="20" s="1"/>
  <c r="AJ80" i="20" s="1"/>
  <c r="AH101" i="18"/>
  <c r="AH107" i="18" s="1"/>
  <c r="AH113" i="18" s="1"/>
  <c r="AH119" i="18" s="1"/>
  <c r="AD22" i="25"/>
  <c r="AD28" i="25" s="1"/>
  <c r="AH66" i="18"/>
  <c r="AH72" i="18" s="1"/>
  <c r="AH78" i="18" s="1"/>
  <c r="AH84" i="18" s="1"/>
  <c r="AD216" i="25"/>
  <c r="AD222" i="25" s="1"/>
  <c r="AJ137" i="27"/>
  <c r="AJ143" i="27" s="1"/>
  <c r="AJ149" i="27" s="1"/>
  <c r="AJ155" i="27" s="1"/>
  <c r="AJ205" i="27"/>
  <c r="AJ211" i="27" s="1"/>
  <c r="AJ217" i="27" s="1"/>
  <c r="AJ223" i="27" s="1"/>
  <c r="AJ174" i="27"/>
  <c r="AJ180" i="27" s="1"/>
  <c r="AJ186" i="27" s="1"/>
  <c r="AG34" i="32"/>
  <c r="AG35" i="32" s="1"/>
  <c r="AI13" i="34" s="1"/>
  <c r="AG44" i="32"/>
  <c r="AI12" i="34" s="1"/>
  <c r="AN23" i="20"/>
  <c r="AN13" i="20"/>
  <c r="AQ198" i="32" s="1"/>
  <c r="T26" i="11"/>
  <c r="AC26" i="11"/>
  <c r="W26" i="11"/>
  <c r="Q26" i="11"/>
  <c r="Z26" i="11"/>
  <c r="AF26" i="11"/>
  <c r="R14" i="18"/>
  <c r="R5" i="18"/>
  <c r="AQ170" i="32"/>
  <c r="AQ171" i="32" s="1"/>
  <c r="X20" i="34" s="1"/>
  <c r="X34" i="34" s="1"/>
  <c r="AQ180" i="32"/>
  <c r="X19" i="34" s="1"/>
  <c r="X33" i="34" s="1"/>
  <c r="F11" i="18"/>
  <c r="F5" i="18"/>
  <c r="F17" i="18"/>
  <c r="AD76" i="18"/>
  <c r="AD82" i="18" s="1"/>
  <c r="AB11" i="18"/>
  <c r="AB14" i="18"/>
  <c r="AB17" i="18"/>
  <c r="AB5" i="18"/>
  <c r="AF11" i="18"/>
  <c r="AF12" i="18" s="1"/>
  <c r="AF17" i="18"/>
  <c r="AF14" i="18"/>
  <c r="AF5" i="18"/>
  <c r="W17" i="18"/>
  <c r="W5" i="18"/>
  <c r="W14" i="18"/>
  <c r="W11" i="18"/>
  <c r="AD50" i="25"/>
  <c r="AD56" i="25" s="1"/>
  <c r="AD180" i="32"/>
  <c r="AF19" i="34" s="1"/>
  <c r="AF33" i="34" s="1"/>
  <c r="AD170" i="32"/>
  <c r="AD171" i="32" s="1"/>
  <c r="AF20" i="34" s="1"/>
  <c r="AF34" i="34" s="1"/>
  <c r="AN16" i="20"/>
  <c r="AN204" i="27" s="1"/>
  <c r="AN210" i="27" s="1"/>
  <c r="AN170" i="27"/>
  <c r="AN176" i="27" s="1"/>
  <c r="AN164" i="20"/>
  <c r="AN166" i="20" s="1"/>
  <c r="AN134" i="20"/>
  <c r="AN140" i="20" s="1"/>
  <c r="AN128" i="20"/>
  <c r="AN130" i="20" s="1"/>
  <c r="AQ34" i="32"/>
  <c r="AQ35" i="32" s="1"/>
  <c r="X13" i="34" s="1"/>
  <c r="AQ44" i="32"/>
  <c r="X12" i="34" s="1"/>
  <c r="AD55" i="25"/>
  <c r="AD61" i="25" s="1"/>
  <c r="AD84" i="25"/>
  <c r="AD90" i="25" s="1"/>
  <c r="AD53" i="32"/>
  <c r="AD54" i="32" s="1"/>
  <c r="AF15" i="34" s="1"/>
  <c r="AD63" i="32"/>
  <c r="AF14" i="34" s="1"/>
  <c r="AD112" i="18"/>
  <c r="AD118" i="18" s="1"/>
  <c r="AD16" i="3"/>
  <c r="W16" i="3"/>
  <c r="T8" i="20"/>
  <c r="T7" i="20"/>
  <c r="I12" i="18"/>
  <c r="I22" i="18"/>
  <c r="AP62" i="32"/>
  <c r="AM207" i="25"/>
  <c r="AM213" i="25" s="1"/>
  <c r="AM219" i="25" s="1"/>
  <c r="AM208" i="25"/>
  <c r="AM214" i="25" s="1"/>
  <c r="AM220" i="25" s="1"/>
  <c r="AM226" i="25" s="1"/>
  <c r="AM76" i="25"/>
  <c r="AM82" i="25" s="1"/>
  <c r="AM88" i="25" s="1"/>
  <c r="AM94" i="25" s="1"/>
  <c r="AM100" i="25" s="1"/>
  <c r="AM206" i="25"/>
  <c r="AM212" i="25" s="1"/>
  <c r="AM218" i="25" s="1"/>
  <c r="AM224" i="25" s="1"/>
  <c r="AM74" i="25"/>
  <c r="AM80" i="25" s="1"/>
  <c r="AM86" i="25" s="1"/>
  <c r="AM92" i="25" s="1"/>
  <c r="AM138" i="25"/>
  <c r="AM144" i="25" s="1"/>
  <c r="AM150" i="25" s="1"/>
  <c r="AM156" i="25" s="1"/>
  <c r="AM141" i="25"/>
  <c r="AM147" i="25" s="1"/>
  <c r="AM153" i="25" s="1"/>
  <c r="AM10" i="25"/>
  <c r="AM16" i="25" s="1"/>
  <c r="AM22" i="25" s="1"/>
  <c r="AM28" i="25" s="1"/>
  <c r="AM34" i="25" s="1"/>
  <c r="AM28" i="18"/>
  <c r="AM35" i="18" s="1"/>
  <c r="AM43" i="18" s="1"/>
  <c r="AM5" i="25"/>
  <c r="AM11" i="25" s="1"/>
  <c r="AM17" i="25" s="1"/>
  <c r="AM23" i="25" s="1"/>
  <c r="AM43" i="25"/>
  <c r="AM49" i="25" s="1"/>
  <c r="AM55" i="25" s="1"/>
  <c r="AM61" i="25" s="1"/>
  <c r="AM67" i="25" s="1"/>
  <c r="AM136" i="18"/>
  <c r="AM142" i="18" s="1"/>
  <c r="AM148" i="18" s="1"/>
  <c r="AM154" i="18" s="1"/>
  <c r="AM160" i="18" s="1"/>
  <c r="AM105" i="25"/>
  <c r="AM111" i="25" s="1"/>
  <c r="AM117" i="25" s="1"/>
  <c r="AM123" i="25" s="1"/>
  <c r="AM101" i="18"/>
  <c r="AM107" i="18" s="1"/>
  <c r="AM113" i="18" s="1"/>
  <c r="AM119" i="18" s="1"/>
  <c r="AM42" i="25"/>
  <c r="AM48" i="25" s="1"/>
  <c r="AM54" i="25" s="1"/>
  <c r="AM9" i="25"/>
  <c r="AM15" i="25" s="1"/>
  <c r="AM21" i="25" s="1"/>
  <c r="AM63" i="18"/>
  <c r="AM69" i="18" s="1"/>
  <c r="AM75" i="18" s="1"/>
  <c r="AM81" i="18" s="1"/>
  <c r="AM142" i="25"/>
  <c r="AM148" i="25" s="1"/>
  <c r="AM154" i="25" s="1"/>
  <c r="AM160" i="25" s="1"/>
  <c r="AM166" i="25" s="1"/>
  <c r="AM139" i="18"/>
  <c r="AM145" i="18" s="1"/>
  <c r="AM151" i="18" s="1"/>
  <c r="AM157" i="18" s="1"/>
  <c r="AM163" i="18" s="1"/>
  <c r="AM31" i="18"/>
  <c r="AM38" i="18" s="1"/>
  <c r="AM39" i="18" s="1"/>
  <c r="AM108" i="25"/>
  <c r="AM114" i="25" s="1"/>
  <c r="AM120" i="25" s="1"/>
  <c r="AM175" i="25"/>
  <c r="AM181" i="25" s="1"/>
  <c r="AM187" i="25" s="1"/>
  <c r="AM193" i="25" s="1"/>
  <c r="AM140" i="25"/>
  <c r="AM146" i="25" s="1"/>
  <c r="AM152" i="25" s="1"/>
  <c r="AM158" i="25" s="1"/>
  <c r="AM99" i="18"/>
  <c r="AM105" i="18" s="1"/>
  <c r="AM111" i="18" s="1"/>
  <c r="AM117" i="18" s="1"/>
  <c r="AM26" i="18"/>
  <c r="AM33" i="18" s="1"/>
  <c r="AM41" i="18" s="1"/>
  <c r="AM62" i="18"/>
  <c r="AM68" i="18" s="1"/>
  <c r="AM74" i="18" s="1"/>
  <c r="AM80" i="18" s="1"/>
  <c r="AM86" i="18" s="1"/>
  <c r="AM73" i="25"/>
  <c r="AM79" i="25" s="1"/>
  <c r="AM85" i="25" s="1"/>
  <c r="AM91" i="25" s="1"/>
  <c r="AM97" i="25" s="1"/>
  <c r="AM164" i="18"/>
  <c r="AM166" i="18" s="1"/>
  <c r="AM165" i="18" s="1"/>
  <c r="AM64" i="18"/>
  <c r="AM70" i="18" s="1"/>
  <c r="AM76" i="18" s="1"/>
  <c r="AM82" i="18" s="1"/>
  <c r="AM88" i="18" s="1"/>
  <c r="AM203" i="25"/>
  <c r="AM209" i="25" s="1"/>
  <c r="AM215" i="25" s="1"/>
  <c r="AM221" i="25" s="1"/>
  <c r="AM104" i="25"/>
  <c r="AM110" i="25" s="1"/>
  <c r="AM116" i="25" s="1"/>
  <c r="AM122" i="25" s="1"/>
  <c r="AD17" i="4"/>
  <c r="AE17" i="4"/>
  <c r="AB17" i="4"/>
  <c r="AF17" i="4"/>
  <c r="AC17" i="4"/>
  <c r="AG17" i="4"/>
  <c r="AA203" i="25"/>
  <c r="AA209" i="25" s="1"/>
  <c r="AA215" i="25" s="1"/>
  <c r="AA221" i="25" s="1"/>
  <c r="AA104" i="25"/>
  <c r="AA110" i="25" s="1"/>
  <c r="AA116" i="25" s="1"/>
  <c r="AA122" i="25" s="1"/>
  <c r="AA38" i="25"/>
  <c r="AA44" i="25" s="1"/>
  <c r="AA50" i="25" s="1"/>
  <c r="AA56" i="25" s="1"/>
  <c r="AA207" i="25"/>
  <c r="AA213" i="25" s="1"/>
  <c r="AA219" i="25" s="1"/>
  <c r="AA225" i="25" s="1"/>
  <c r="AA39" i="25"/>
  <c r="AA45" i="25" s="1"/>
  <c r="AA51" i="25" s="1"/>
  <c r="AA10" i="25"/>
  <c r="AA16" i="25" s="1"/>
  <c r="AA22" i="25" s="1"/>
  <c r="AA28" i="25" s="1"/>
  <c r="AA71" i="25"/>
  <c r="AA77" i="25" s="1"/>
  <c r="AA83" i="25" s="1"/>
  <c r="AA89" i="25" s="1"/>
  <c r="AA171" i="25"/>
  <c r="AA177" i="25" s="1"/>
  <c r="AA183" i="25" s="1"/>
  <c r="AA141" i="25"/>
  <c r="AA147" i="25" s="1"/>
  <c r="AA153" i="25" s="1"/>
  <c r="AA159" i="25" s="1"/>
  <c r="AA30" i="18"/>
  <c r="AA37" i="18" s="1"/>
  <c r="AA45" i="18" s="1"/>
  <c r="AA206" i="25"/>
  <c r="AA212" i="25" s="1"/>
  <c r="AA218" i="25" s="1"/>
  <c r="AA224" i="25" s="1"/>
  <c r="AA106" i="25"/>
  <c r="AA112" i="25" s="1"/>
  <c r="AA118" i="25" s="1"/>
  <c r="AA124" i="25" s="1"/>
  <c r="AA63" i="18"/>
  <c r="AA69" i="18" s="1"/>
  <c r="AA75" i="18" s="1"/>
  <c r="AA81" i="18" s="1"/>
  <c r="AA87" i="18" s="1"/>
  <c r="AA140" i="25"/>
  <c r="AA146" i="25" s="1"/>
  <c r="AA152" i="25" s="1"/>
  <c r="AA158" i="25" s="1"/>
  <c r="AA64" i="18"/>
  <c r="AA70" i="18" s="1"/>
  <c r="AA76" i="18" s="1"/>
  <c r="AA82" i="18" s="1"/>
  <c r="AA88" i="18" s="1"/>
  <c r="AA25" i="18"/>
  <c r="AA32" i="18" s="1"/>
  <c r="AA40" i="18" s="1"/>
  <c r="AA170" i="25"/>
  <c r="AA176" i="25" s="1"/>
  <c r="AA182" i="25" s="1"/>
  <c r="AA188" i="25" s="1"/>
  <c r="AA98" i="18"/>
  <c r="AA104" i="18" s="1"/>
  <c r="AA110" i="18" s="1"/>
  <c r="AA116" i="18" s="1"/>
  <c r="AA29" i="18"/>
  <c r="AA36" i="18" s="1"/>
  <c r="AA44" i="18" s="1"/>
  <c r="AA66" i="18"/>
  <c r="AA72" i="18" s="1"/>
  <c r="AA78" i="18" s="1"/>
  <c r="AA84" i="18" s="1"/>
  <c r="AA6" i="25"/>
  <c r="AA12" i="25" s="1"/>
  <c r="AA18" i="25" s="1"/>
  <c r="AA24" i="25" s="1"/>
  <c r="AA30" i="25" s="1"/>
  <c r="AA7" i="25"/>
  <c r="AA13" i="25" s="1"/>
  <c r="AA19" i="25" s="1"/>
  <c r="AA25" i="25" s="1"/>
  <c r="AA65" i="18"/>
  <c r="AA71" i="18" s="1"/>
  <c r="AA77" i="18" s="1"/>
  <c r="AA83" i="18" s="1"/>
  <c r="AA62" i="18"/>
  <c r="AA68" i="18" s="1"/>
  <c r="AA74" i="18" s="1"/>
  <c r="AA80" i="18" s="1"/>
  <c r="AA72" i="25"/>
  <c r="AA78" i="25" s="1"/>
  <c r="AA84" i="25" s="1"/>
  <c r="AA108" i="25"/>
  <c r="AA114" i="25" s="1"/>
  <c r="AA120" i="25" s="1"/>
  <c r="AA126" i="25" s="1"/>
  <c r="AA100" i="18"/>
  <c r="AA106" i="18" s="1"/>
  <c r="AA112" i="18" s="1"/>
  <c r="AA118" i="18" s="1"/>
  <c r="AA124" i="18" s="1"/>
  <c r="AA40" i="25"/>
  <c r="AA46" i="25" s="1"/>
  <c r="AA52" i="25" s="1"/>
  <c r="AA58" i="25" s="1"/>
  <c r="AA28" i="18"/>
  <c r="AA35" i="18" s="1"/>
  <c r="AA43" i="18" s="1"/>
  <c r="AD40" i="1"/>
  <c r="W40" i="1"/>
  <c r="K22" i="2"/>
  <c r="K22" i="1"/>
  <c r="I15" i="18"/>
  <c r="I171" i="25" s="1"/>
  <c r="I177" i="25" s="1"/>
  <c r="I183" i="25" s="1"/>
  <c r="I189" i="25" s="1"/>
  <c r="I204" i="25"/>
  <c r="I210" i="25" s="1"/>
  <c r="I216" i="25" s="1"/>
  <c r="I222" i="25" s="1"/>
  <c r="I25" i="18"/>
  <c r="I32" i="18" s="1"/>
  <c r="I40" i="18" s="1"/>
  <c r="I128" i="18"/>
  <c r="I130" i="18" s="1"/>
  <c r="I72" i="25"/>
  <c r="I78" i="25" s="1"/>
  <c r="I84" i="25" s="1"/>
  <c r="I90" i="25" s="1"/>
  <c r="I6" i="25"/>
  <c r="I12" i="25" s="1"/>
  <c r="I18" i="25" s="1"/>
  <c r="I24" i="25" s="1"/>
  <c r="I135" i="18"/>
  <c r="I141" i="18" s="1"/>
  <c r="I147" i="18" s="1"/>
  <c r="I153" i="18" s="1"/>
  <c r="Q5" i="18"/>
  <c r="Q11" i="18"/>
  <c r="Q17" i="18"/>
  <c r="Q14" i="18"/>
  <c r="J9" i="11"/>
  <c r="H9" i="11"/>
  <c r="E9" i="11"/>
  <c r="I9" i="11"/>
  <c r="F9" i="11"/>
  <c r="G9" i="11"/>
  <c r="AD6" i="25"/>
  <c r="AD12" i="25" s="1"/>
  <c r="AD18" i="25" s="1"/>
  <c r="AD24" i="25" s="1"/>
  <c r="AD29" i="18"/>
  <c r="AD36" i="18" s="1"/>
  <c r="AD103" i="18"/>
  <c r="AD109" i="18" s="1"/>
  <c r="AD115" i="18" s="1"/>
  <c r="AD121" i="18" s="1"/>
  <c r="AD208" i="25"/>
  <c r="AD214" i="25" s="1"/>
  <c r="AD220" i="25" s="1"/>
  <c r="AD226" i="25" s="1"/>
  <c r="AD67" i="18"/>
  <c r="AD73" i="18" s="1"/>
  <c r="AD26" i="18"/>
  <c r="AD33" i="18" s="1"/>
  <c r="AD41" i="18" s="1"/>
  <c r="AD137" i="11"/>
  <c r="W31" i="1"/>
  <c r="AD31" i="1"/>
  <c r="S7" i="18"/>
  <c r="S6" i="18"/>
  <c r="AD5" i="1"/>
  <c r="W5" i="1"/>
  <c r="Y73" i="33"/>
  <c r="Y11" i="33" s="1"/>
  <c r="Y29" i="33" s="1"/>
  <c r="Y47" i="33" s="1"/>
  <c r="S128" i="11"/>
  <c r="S141" i="11" s="1"/>
  <c r="L8" i="20"/>
  <c r="L7" i="20"/>
  <c r="Y5" i="4"/>
  <c r="Z5" i="4"/>
  <c r="AA5" i="4" s="1"/>
  <c r="AA31" i="18"/>
  <c r="AA38" i="18" s="1"/>
  <c r="AA39" i="18" s="1"/>
  <c r="AA99" i="18"/>
  <c r="AA105" i="18" s="1"/>
  <c r="AA111" i="18" s="1"/>
  <c r="AA117" i="18" s="1"/>
  <c r="AA123" i="18" s="1"/>
  <c r="AM107" i="25"/>
  <c r="AM113" i="25" s="1"/>
  <c r="AM119" i="25" s="1"/>
  <c r="AM125" i="25" s="1"/>
  <c r="N4" i="5"/>
  <c r="AA160" i="32"/>
  <c r="P17" i="18"/>
  <c r="AJ28" i="5"/>
  <c r="AK4" i="18" s="1"/>
  <c r="U5" i="18"/>
  <c r="U14" i="18"/>
  <c r="U17" i="18"/>
  <c r="U11" i="18"/>
  <c r="U12" i="18" s="1"/>
  <c r="AE8" i="20"/>
  <c r="AE7" i="20"/>
  <c r="M24" i="32"/>
  <c r="J128" i="18"/>
  <c r="J130" i="18" s="1"/>
  <c r="J22" i="18"/>
  <c r="AK24" i="32"/>
  <c r="AH92" i="18"/>
  <c r="AH94" i="18" s="1"/>
  <c r="AH128" i="18"/>
  <c r="AH130" i="18" s="1"/>
  <c r="AH164" i="18"/>
  <c r="AH166" i="18" s="1"/>
  <c r="AH22" i="18"/>
  <c r="AB70" i="33"/>
  <c r="AB8" i="33" s="1"/>
  <c r="AB26" i="33" s="1"/>
  <c r="AB44" i="33" s="1"/>
  <c r="R125" i="11"/>
  <c r="AE26" i="11"/>
  <c r="V26" i="11"/>
  <c r="Y26" i="11"/>
  <c r="P26" i="11"/>
  <c r="AB26" i="11"/>
  <c r="X17" i="11"/>
  <c r="AD17" i="11"/>
  <c r="U17" i="11"/>
  <c r="O17" i="11"/>
  <c r="R17" i="11"/>
  <c r="AA17" i="11"/>
  <c r="K170" i="32"/>
  <c r="K171" i="32" s="1"/>
  <c r="J20" i="34" s="1"/>
  <c r="J34" i="34" s="1"/>
  <c r="K180" i="32"/>
  <c r="J19" i="34" s="1"/>
  <c r="J33" i="34" s="1"/>
  <c r="G14" i="18"/>
  <c r="G17" i="18"/>
  <c r="G5" i="18"/>
  <c r="G11" i="18"/>
  <c r="H207" i="27"/>
  <c r="H213" i="27" s="1"/>
  <c r="H16" i="20"/>
  <c r="H73" i="27" s="1"/>
  <c r="H79" i="27" s="1"/>
  <c r="AH142" i="32"/>
  <c r="AH143" i="32" s="1"/>
  <c r="AK16" i="34" s="1"/>
  <c r="AK30" i="34" s="1"/>
  <c r="AH151" i="32"/>
  <c r="AH152" i="32" s="1"/>
  <c r="AK17" i="34" s="1"/>
  <c r="AK31" i="34" s="1"/>
  <c r="AH161" i="32"/>
  <c r="AK18" i="34" s="1"/>
  <c r="AK32" i="34" s="1"/>
  <c r="AE12" i="18"/>
  <c r="AR6" i="1"/>
  <c r="AI15" i="32"/>
  <c r="AI16" i="32" s="1"/>
  <c r="AL10" i="34" s="1"/>
  <c r="AI25" i="32"/>
  <c r="AL11" i="34" s="1"/>
  <c r="AI6" i="32"/>
  <c r="AI7" i="32" s="1"/>
  <c r="AL9" i="34" s="1"/>
  <c r="AO40" i="3"/>
  <c r="H44" i="32"/>
  <c r="G12" i="34" s="1"/>
  <c r="H34" i="32"/>
  <c r="H35" i="32" s="1"/>
  <c r="G13" i="34" s="1"/>
  <c r="AH74" i="25"/>
  <c r="AH80" i="25" s="1"/>
  <c r="AH86" i="25" s="1"/>
  <c r="AH92" i="25" s="1"/>
  <c r="AA205" i="27"/>
  <c r="AA211" i="27" s="1"/>
  <c r="AA41" i="27"/>
  <c r="AA47" i="27" s="1"/>
  <c r="AA8" i="27"/>
  <c r="AA14" i="27" s="1"/>
  <c r="AA108" i="27"/>
  <c r="AA114" i="27" s="1"/>
  <c r="AA10" i="27"/>
  <c r="AA16" i="27" s="1"/>
  <c r="AA105" i="27"/>
  <c r="AA111" i="27" s="1"/>
  <c r="AA138" i="27"/>
  <c r="AA144" i="27" s="1"/>
  <c r="AA106" i="27"/>
  <c r="AA112" i="27" s="1"/>
  <c r="AA74" i="27"/>
  <c r="AA80" i="27" s="1"/>
  <c r="AA204" i="27"/>
  <c r="AA210" i="27" s="1"/>
  <c r="AC12" i="4"/>
  <c r="AD12" i="4"/>
  <c r="AF12" i="4"/>
  <c r="X6" i="18"/>
  <c r="X7" i="18"/>
  <c r="X92" i="18"/>
  <c r="X94" i="18" s="1"/>
  <c r="AB169" i="28"/>
  <c r="AB166" i="28"/>
  <c r="AB165" i="28"/>
  <c r="AB168" i="28"/>
  <c r="AQ31" i="3"/>
  <c r="AQ38" i="3"/>
  <c r="U165" i="28"/>
  <c r="U169" i="28"/>
  <c r="U166" i="28"/>
  <c r="U167" i="28"/>
  <c r="U168" i="28"/>
  <c r="AN11" i="18"/>
  <c r="AO151" i="32"/>
  <c r="AO152" i="32" s="1"/>
  <c r="AC17" i="34" s="1"/>
  <c r="AC31" i="34" s="1"/>
  <c r="AO142" i="32"/>
  <c r="AO143" i="32" s="1"/>
  <c r="AC16" i="34" s="1"/>
  <c r="AC30" i="34" s="1"/>
  <c r="AO161" i="32"/>
  <c r="AC18" i="34" s="1"/>
  <c r="AC32" i="34" s="1"/>
  <c r="V4" i="18"/>
  <c r="Y25" i="5"/>
  <c r="AR39" i="3"/>
  <c r="U38" i="11"/>
  <c r="O38" i="11"/>
  <c r="R38" i="11"/>
  <c r="AA38" i="11"/>
  <c r="X38" i="11"/>
  <c r="AD38" i="11"/>
  <c r="A133" i="36"/>
  <c r="AS21" i="36"/>
  <c r="AA139" i="25"/>
  <c r="AA145" i="25" s="1"/>
  <c r="AA151" i="25" s="1"/>
  <c r="AA157" i="25" s="1"/>
  <c r="AA175" i="25"/>
  <c r="AA181" i="25" s="1"/>
  <c r="AA187" i="25" s="1"/>
  <c r="AA193" i="25" s="1"/>
  <c r="AN17" i="18"/>
  <c r="AG15" i="18"/>
  <c r="AL8" i="20"/>
  <c r="AL7" i="20"/>
  <c r="AM38" i="3"/>
  <c r="AM31" i="3"/>
  <c r="AN39" i="3"/>
  <c r="S187" i="28"/>
  <c r="S185" i="28"/>
  <c r="S183" i="28"/>
  <c r="S189" i="28"/>
  <c r="S184" i="28"/>
  <c r="S186" i="28"/>
  <c r="S188" i="28"/>
  <c r="S190" i="28"/>
  <c r="Z167" i="28"/>
  <c r="AE17" i="18"/>
  <c r="AE14" i="18"/>
  <c r="AE5" i="18"/>
  <c r="Y174" i="27"/>
  <c r="Y180" i="27" s="1"/>
  <c r="Y71" i="27"/>
  <c r="Y77" i="27" s="1"/>
  <c r="Y83" i="27" s="1"/>
  <c r="Y89" i="27" s="1"/>
  <c r="Y16" i="20"/>
  <c r="Y204" i="27" s="1"/>
  <c r="Y210" i="27" s="1"/>
  <c r="Y216" i="27" s="1"/>
  <c r="Y222" i="27" s="1"/>
  <c r="Y7" i="27"/>
  <c r="Y13" i="27" s="1"/>
  <c r="Y19" i="27" s="1"/>
  <c r="Y25" i="27" s="1"/>
  <c r="Y17" i="20"/>
  <c r="Y19" i="20" s="1"/>
  <c r="Y6" i="27"/>
  <c r="Y12" i="27" s="1"/>
  <c r="Y18" i="27" s="1"/>
  <c r="Y24" i="27" s="1"/>
  <c r="Y109" i="27"/>
  <c r="Y115" i="27" s="1"/>
  <c r="Y121" i="27" s="1"/>
  <c r="Y127" i="27" s="1"/>
  <c r="Y105" i="27"/>
  <c r="Y111" i="27" s="1"/>
  <c r="Y29" i="20"/>
  <c r="Y36" i="20" s="1"/>
  <c r="Y44" i="20" s="1"/>
  <c r="Y73" i="27"/>
  <c r="Y79" i="27" s="1"/>
  <c r="Y30" i="20"/>
  <c r="Y37" i="20" s="1"/>
  <c r="Y45" i="20" s="1"/>
  <c r="Y206" i="27"/>
  <c r="Y212" i="27" s="1"/>
  <c r="Y42" i="27"/>
  <c r="Y48" i="27" s="1"/>
  <c r="Y99" i="20"/>
  <c r="Y105" i="20" s="1"/>
  <c r="Y111" i="20" s="1"/>
  <c r="Y117" i="20" s="1"/>
  <c r="Y32" i="20"/>
  <c r="Y39" i="20" s="1"/>
  <c r="Y40" i="20" s="1"/>
  <c r="Y139" i="20"/>
  <c r="Y145" i="20" s="1"/>
  <c r="Y151" i="20" s="1"/>
  <c r="Y157" i="20" s="1"/>
  <c r="Y10" i="27"/>
  <c r="Y16" i="27" s="1"/>
  <c r="Y22" i="27" s="1"/>
  <c r="Y28" i="27" s="1"/>
  <c r="Y39" i="27"/>
  <c r="Y45" i="27" s="1"/>
  <c r="Y51" i="27" s="1"/>
  <c r="Y57" i="27" s="1"/>
  <c r="Y43" i="27"/>
  <c r="Y49" i="27" s="1"/>
  <c r="Y55" i="27" s="1"/>
  <c r="Y61" i="27" s="1"/>
  <c r="Y66" i="20"/>
  <c r="Y72" i="20" s="1"/>
  <c r="AB179" i="32"/>
  <c r="Y170" i="27"/>
  <c r="Y176" i="27" s="1"/>
  <c r="Y182" i="27" s="1"/>
  <c r="Y188" i="27" s="1"/>
  <c r="Y26" i="20"/>
  <c r="Y33" i="20" s="1"/>
  <c r="Y106" i="27"/>
  <c r="Y112" i="27" s="1"/>
  <c r="Y118" i="27" s="1"/>
  <c r="Y124" i="27" s="1"/>
  <c r="Y67" i="20"/>
  <c r="Y73" i="20" s="1"/>
  <c r="Y31" i="20"/>
  <c r="Y38" i="20" s="1"/>
  <c r="Y46" i="20" s="1"/>
  <c r="Y205" i="27"/>
  <c r="Y211" i="27" s="1"/>
  <c r="Y40" i="27"/>
  <c r="Y46" i="27" s="1"/>
  <c r="Y52" i="27" s="1"/>
  <c r="Y58" i="27" s="1"/>
  <c r="Y141" i="27"/>
  <c r="Y147" i="27" s="1"/>
  <c r="Y153" i="27" s="1"/>
  <c r="Y159" i="27" s="1"/>
  <c r="Y108" i="27"/>
  <c r="Y114" i="27" s="1"/>
  <c r="Y120" i="27" s="1"/>
  <c r="Y126" i="27" s="1"/>
  <c r="Y135" i="20"/>
  <c r="Y141" i="20" s="1"/>
  <c r="Y147" i="20" s="1"/>
  <c r="Y153" i="20" s="1"/>
  <c r="Y142" i="27"/>
  <c r="Y148" i="27" s="1"/>
  <c r="AL145" i="28"/>
  <c r="AI145" i="28"/>
  <c r="AI41" i="52" s="1"/>
  <c r="AG110" i="53"/>
  <c r="AG120" i="53"/>
  <c r="AG130" i="53"/>
  <c r="AG100" i="53"/>
  <c r="AC7" i="18"/>
  <c r="AC6" i="18"/>
  <c r="AC92" i="18"/>
  <c r="AC94" i="18" s="1"/>
  <c r="AO25" i="32"/>
  <c r="AC11" i="34" s="1"/>
  <c r="AO6" i="32"/>
  <c r="AO7" i="32" s="1"/>
  <c r="AC9" i="34" s="1"/>
  <c r="AO15" i="32"/>
  <c r="AO16" i="32" s="1"/>
  <c r="AC10" i="34" s="1"/>
  <c r="AB199" i="32"/>
  <c r="AD21" i="34" s="1"/>
  <c r="AD35" i="34" s="1"/>
  <c r="AB189" i="32"/>
  <c r="AB190" i="32" s="1"/>
  <c r="AD22" i="34" s="1"/>
  <c r="AD36" i="34" s="1"/>
  <c r="AM40" i="3"/>
  <c r="AD36" i="11"/>
  <c r="X36" i="11"/>
  <c r="O36" i="11"/>
  <c r="U36" i="11"/>
  <c r="R36" i="11"/>
  <c r="AA36" i="11"/>
  <c r="W165" i="28"/>
  <c r="W166" i="28"/>
  <c r="W167" i="28"/>
  <c r="W169" i="28"/>
  <c r="AA172" i="25"/>
  <c r="AA178" i="25" s="1"/>
  <c r="AA184" i="25" s="1"/>
  <c r="AA190" i="25" s="1"/>
  <c r="AA43" i="25"/>
  <c r="AA49" i="25" s="1"/>
  <c r="AA55" i="25" s="1"/>
  <c r="AA61" i="25" s="1"/>
  <c r="O205" i="25"/>
  <c r="O211" i="25" s="1"/>
  <c r="O217" i="25" s="1"/>
  <c r="O8" i="25"/>
  <c r="O14" i="25" s="1"/>
  <c r="O20" i="25" s="1"/>
  <c r="O26" i="25" s="1"/>
  <c r="O32" i="25" s="1"/>
  <c r="O41" i="25"/>
  <c r="O47" i="25" s="1"/>
  <c r="O53" i="25" s="1"/>
  <c r="O59" i="25" s="1"/>
  <c r="O65" i="25" s="1"/>
  <c r="O40" i="25"/>
  <c r="O46" i="25" s="1"/>
  <c r="O52" i="25" s="1"/>
  <c r="O58" i="25" s="1"/>
  <c r="O138" i="25"/>
  <c r="O144" i="25" s="1"/>
  <c r="O150" i="25" s="1"/>
  <c r="O139" i="25"/>
  <c r="O145" i="25" s="1"/>
  <c r="O151" i="25" s="1"/>
  <c r="AA13" i="20"/>
  <c r="AA208" i="27" s="1"/>
  <c r="AA214" i="27" s="1"/>
  <c r="AA23" i="20"/>
  <c r="AJ17" i="18"/>
  <c r="AJ14" i="18"/>
  <c r="AL7" i="18"/>
  <c r="AL6" i="18"/>
  <c r="D46" i="16"/>
  <c r="T5" i="3"/>
  <c r="AP5" i="3" s="1"/>
  <c r="T6" i="3"/>
  <c r="S6" i="3"/>
  <c r="S5" i="3"/>
  <c r="AO5" i="3" s="1"/>
  <c r="V5" i="3"/>
  <c r="AR5" i="3" s="1"/>
  <c r="R5" i="3"/>
  <c r="AN5" i="3" s="1"/>
  <c r="Q5" i="3"/>
  <c r="AM5" i="3" s="1"/>
  <c r="U5" i="3"/>
  <c r="AQ5" i="3" s="1"/>
  <c r="R6" i="3"/>
  <c r="V6" i="3"/>
  <c r="Q6" i="3"/>
  <c r="AM6" i="3" s="1"/>
  <c r="U6" i="3"/>
  <c r="AQ6" i="3" s="1"/>
  <c r="AH120" i="53"/>
  <c r="AH100" i="53"/>
  <c r="H100" i="53"/>
  <c r="H110" i="53"/>
  <c r="H120" i="53"/>
  <c r="H130" i="53"/>
  <c r="AM39" i="25"/>
  <c r="AM45" i="25" s="1"/>
  <c r="AM51" i="25" s="1"/>
  <c r="AM57" i="25" s="1"/>
  <c r="AM40" i="25"/>
  <c r="AM46" i="25" s="1"/>
  <c r="AM52" i="25" s="1"/>
  <c r="AM58" i="25" s="1"/>
  <c r="AM64" i="25" s="1"/>
  <c r="AM30" i="3"/>
  <c r="AA76" i="25"/>
  <c r="AA82" i="25" s="1"/>
  <c r="AA88" i="25" s="1"/>
  <c r="AA94" i="25" s="1"/>
  <c r="AA205" i="25"/>
  <c r="AA211" i="25" s="1"/>
  <c r="AA217" i="25" s="1"/>
  <c r="AA223" i="25" s="1"/>
  <c r="AK149" i="28"/>
  <c r="AM149" i="28"/>
  <c r="AN149" i="28"/>
  <c r="AN118" i="28" s="1"/>
  <c r="AJ149" i="28"/>
  <c r="AJ118" i="28" s="1"/>
  <c r="Z169" i="28"/>
  <c r="Z166" i="28"/>
  <c r="Z165" i="28"/>
  <c r="Z168" i="28"/>
  <c r="W39" i="36"/>
  <c r="W47" i="36" s="1"/>
  <c r="W55" i="36" s="1"/>
  <c r="W42" i="36"/>
  <c r="W50" i="36" s="1"/>
  <c r="AG165" i="28"/>
  <c r="AG166" i="28"/>
  <c r="AG168" i="28"/>
  <c r="AG167" i="28"/>
  <c r="AG169" i="28"/>
  <c r="AA208" i="25"/>
  <c r="AA214" i="25" s="1"/>
  <c r="AA220" i="25" s="1"/>
  <c r="AA226" i="25" s="1"/>
  <c r="Q92" i="20"/>
  <c r="Q94" i="20" s="1"/>
  <c r="AB43" i="32"/>
  <c r="Y15" i="18"/>
  <c r="Y137" i="25" s="1"/>
  <c r="Y143" i="25" s="1"/>
  <c r="Y149" i="25" s="1"/>
  <c r="Y155" i="25" s="1"/>
  <c r="Y128" i="18"/>
  <c r="Y130" i="18" s="1"/>
  <c r="R17" i="18"/>
  <c r="R11" i="18"/>
  <c r="U160" i="32"/>
  <c r="U76" i="33"/>
  <c r="U14" i="33" s="1"/>
  <c r="U32" i="33" s="1"/>
  <c r="U50" i="33" s="1"/>
  <c r="L131" i="11"/>
  <c r="P122" i="11"/>
  <c r="Z67" i="33"/>
  <c r="Z5" i="33" s="1"/>
  <c r="Z23" i="33" s="1"/>
  <c r="Z41" i="33" s="1"/>
  <c r="AI16" i="11"/>
  <c r="AL16" i="11" s="1"/>
  <c r="AP44" i="32"/>
  <c r="AJ12" i="34" s="1"/>
  <c r="AP34" i="32"/>
  <c r="AP35" i="32" s="1"/>
  <c r="AJ13" i="34" s="1"/>
  <c r="AG128" i="18"/>
  <c r="AG130" i="18" s="1"/>
  <c r="AJ43" i="32"/>
  <c r="K17" i="18"/>
  <c r="F145" i="28"/>
  <c r="F41" i="52" s="1"/>
  <c r="Z24" i="32"/>
  <c r="W7" i="18"/>
  <c r="AR31" i="1"/>
  <c r="AO16" i="1"/>
  <c r="AF24" i="32"/>
  <c r="O18" i="11"/>
  <c r="U18" i="11"/>
  <c r="AD18" i="11"/>
  <c r="S169" i="28"/>
  <c r="S167" i="28"/>
  <c r="S166" i="28"/>
  <c r="T11" i="18"/>
  <c r="T14" i="18"/>
  <c r="T5" i="18"/>
  <c r="AJ7" i="18"/>
  <c r="AJ5" i="18" s="1"/>
  <c r="AM24" i="32"/>
  <c r="AJ92" i="18"/>
  <c r="AJ94" i="18" s="1"/>
  <c r="AB27" i="5"/>
  <c r="Z27" i="5"/>
  <c r="AO30" i="3"/>
  <c r="AA18" i="11"/>
  <c r="S165" i="28"/>
  <c r="AI149" i="28"/>
  <c r="AI118" i="28" s="1"/>
  <c r="AL149" i="28"/>
  <c r="AL118" i="28" s="1"/>
  <c r="AH72" i="25"/>
  <c r="AH78" i="25" s="1"/>
  <c r="AH84" i="25" s="1"/>
  <c r="AH90" i="25" s="1"/>
  <c r="AM161" i="32"/>
  <c r="F18" i="34" s="1"/>
  <c r="F32" i="34" s="1"/>
  <c r="AM142" i="32"/>
  <c r="AM143" i="32" s="1"/>
  <c r="F16" i="34" s="1"/>
  <c r="F30" i="34" s="1"/>
  <c r="AN29" i="3"/>
  <c r="M92" i="18"/>
  <c r="M94" i="18" s="1"/>
  <c r="P24" i="32"/>
  <c r="W24" i="5"/>
  <c r="G24" i="11"/>
  <c r="AN11" i="52"/>
  <c r="I24" i="11"/>
  <c r="J24" i="11"/>
  <c r="X24" i="5"/>
  <c r="E24" i="11"/>
  <c r="AG25" i="32"/>
  <c r="AI11" i="34" s="1"/>
  <c r="AG15" i="32"/>
  <c r="AG16" i="32" s="1"/>
  <c r="AI10" i="34" s="1"/>
  <c r="AG6" i="32"/>
  <c r="AG7" i="32" s="1"/>
  <c r="AI9" i="34" s="1"/>
  <c r="R4" i="2"/>
  <c r="R10" i="2"/>
  <c r="R6" i="2"/>
  <c r="R8" i="2"/>
  <c r="U14" i="1"/>
  <c r="AQ14" i="1" s="1"/>
  <c r="Q14" i="1"/>
  <c r="AM14" i="1" s="1"/>
  <c r="U15" i="1"/>
  <c r="AQ15" i="1" s="1"/>
  <c r="R14" i="1"/>
  <c r="AN14" i="1" s="1"/>
  <c r="V15" i="1"/>
  <c r="AR15" i="1" s="1"/>
  <c r="R15" i="1"/>
  <c r="AN15" i="1" s="1"/>
  <c r="T14" i="1"/>
  <c r="AP14" i="1" s="1"/>
  <c r="Q15" i="1"/>
  <c r="AM15" i="1" s="1"/>
  <c r="S14" i="1"/>
  <c r="AO14" i="1" s="1"/>
  <c r="T15" i="1"/>
  <c r="AP15" i="1" s="1"/>
  <c r="V14" i="1"/>
  <c r="AR14" i="1" s="1"/>
  <c r="L92" i="20"/>
  <c r="L94" i="20" s="1"/>
  <c r="O160" i="32"/>
  <c r="S92" i="18"/>
  <c r="S94" i="18" s="1"/>
  <c r="V24" i="32"/>
  <c r="I22" i="11"/>
  <c r="W22" i="5"/>
  <c r="F22" i="11"/>
  <c r="H22" i="11"/>
  <c r="G22" i="11"/>
  <c r="AA37" i="11"/>
  <c r="AD37" i="11"/>
  <c r="R37" i="11"/>
  <c r="X37" i="11"/>
  <c r="U37" i="11"/>
  <c r="O37" i="11"/>
  <c r="Z79" i="33"/>
  <c r="Z17" i="33" s="1"/>
  <c r="Z35" i="33" s="1"/>
  <c r="Z53" i="33" s="1"/>
  <c r="P134" i="11"/>
  <c r="S149" i="28"/>
  <c r="E203" i="25"/>
  <c r="E209" i="25" s="1"/>
  <c r="E215" i="25" s="1"/>
  <c r="AD43" i="32"/>
  <c r="Y17" i="18"/>
  <c r="AR16" i="3"/>
  <c r="AQ16" i="3"/>
  <c r="AO16" i="3"/>
  <c r="AP16" i="3"/>
  <c r="AM16" i="3"/>
  <c r="AM29" i="1"/>
  <c r="AI11" i="52"/>
  <c r="J4" i="11"/>
  <c r="I4" i="11"/>
  <c r="K4" i="2" s="1"/>
  <c r="G4" i="11"/>
  <c r="K4" i="3" s="1"/>
  <c r="X4" i="5"/>
  <c r="H6" i="18"/>
  <c r="H7" i="18"/>
  <c r="J11" i="18"/>
  <c r="J12" i="18" s="1"/>
  <c r="U22" i="18"/>
  <c r="AE24" i="32"/>
  <c r="AB92" i="18"/>
  <c r="AB94" i="18" s="1"/>
  <c r="E22" i="33"/>
  <c r="AD16" i="4"/>
  <c r="AE16" i="4"/>
  <c r="AP26" i="1"/>
  <c r="AQ160" i="32"/>
  <c r="AN92" i="20"/>
  <c r="AN94" i="20" s="1"/>
  <c r="Y24" i="32"/>
  <c r="Q8" i="20"/>
  <c r="Q7" i="20"/>
  <c r="Y128" i="20"/>
  <c r="Y130" i="20" s="1"/>
  <c r="Y164" i="20"/>
  <c r="Y166" i="20" s="1"/>
  <c r="Y92" i="18"/>
  <c r="Y94" i="18" s="1"/>
  <c r="AB24" i="32"/>
  <c r="AB160" i="32"/>
  <c r="X92" i="20"/>
  <c r="X94" i="20" s="1"/>
  <c r="AA24" i="32"/>
  <c r="U70" i="33"/>
  <c r="U8" i="33" s="1"/>
  <c r="U26" i="33" s="1"/>
  <c r="U44" i="33" s="1"/>
  <c r="L125" i="11"/>
  <c r="M128" i="11"/>
  <c r="V73" i="33"/>
  <c r="V11" i="33" s="1"/>
  <c r="V29" i="33" s="1"/>
  <c r="V47" i="33" s="1"/>
  <c r="AA32" i="11"/>
  <c r="X32" i="11"/>
  <c r="U32" i="11"/>
  <c r="R32" i="11"/>
  <c r="O32" i="11"/>
  <c r="T24" i="32"/>
  <c r="U73" i="33"/>
  <c r="U11" i="33" s="1"/>
  <c r="U29" i="33" s="1"/>
  <c r="U47" i="33" s="1"/>
  <c r="L128" i="11"/>
  <c r="AA35" i="11"/>
  <c r="X35" i="11"/>
  <c r="R35" i="11"/>
  <c r="AD35" i="11"/>
  <c r="U35" i="11"/>
  <c r="O35" i="11"/>
  <c r="Y100" i="53"/>
  <c r="Y120" i="53"/>
  <c r="Y110" i="53"/>
  <c r="Y130" i="53"/>
  <c r="P11" i="18"/>
  <c r="AO29" i="1"/>
  <c r="AI13" i="11"/>
  <c r="AL13" i="11" s="1"/>
  <c r="N128" i="11"/>
  <c r="L122" i="11"/>
  <c r="U67" i="33"/>
  <c r="U5" i="33" s="1"/>
  <c r="U23" i="33" s="1"/>
  <c r="U41" i="33" s="1"/>
  <c r="M125" i="11"/>
  <c r="V70" i="33"/>
  <c r="V8" i="33" s="1"/>
  <c r="V26" i="33" s="1"/>
  <c r="V44" i="33" s="1"/>
  <c r="R8" i="20"/>
  <c r="R7" i="20"/>
  <c r="AM7" i="20"/>
  <c r="AM8" i="20"/>
  <c r="W82" i="33"/>
  <c r="W20" i="33" s="1"/>
  <c r="W38" i="33" s="1"/>
  <c r="W56" i="33" s="1"/>
  <c r="N137" i="11"/>
  <c r="U79" i="33"/>
  <c r="U17" i="33" s="1"/>
  <c r="U35" i="33" s="1"/>
  <c r="U53" i="33" s="1"/>
  <c r="L134" i="11"/>
  <c r="V79" i="33"/>
  <c r="V17" i="33" s="1"/>
  <c r="V35" i="33" s="1"/>
  <c r="V53" i="33" s="1"/>
  <c r="M134" i="11"/>
  <c r="Q126" i="53"/>
  <c r="Q96" i="53"/>
  <c r="Q106" i="53"/>
  <c r="X18" i="20"/>
  <c r="X15" i="20"/>
  <c r="X128" i="20" s="1"/>
  <c r="X130" i="20" s="1"/>
  <c r="X12" i="20"/>
  <c r="X13" i="20" s="1"/>
  <c r="X6" i="20"/>
  <c r="AF22" i="18"/>
  <c r="G120" i="53"/>
  <c r="G130" i="53"/>
  <c r="G110" i="53"/>
  <c r="G100" i="53"/>
  <c r="AI117" i="59"/>
  <c r="AI22" i="59"/>
  <c r="AI73" i="59"/>
  <c r="AI10" i="59" s="1"/>
  <c r="AI106" i="59"/>
  <c r="AI11" i="59"/>
  <c r="AN26" i="59"/>
  <c r="AN121" i="59"/>
  <c r="D163" i="59"/>
  <c r="D164" i="59"/>
  <c r="D161" i="59"/>
  <c r="Z12" i="28"/>
  <c r="Z78" i="28"/>
  <c r="Z142" i="28" s="1"/>
  <c r="Z45" i="52" s="1"/>
  <c r="AB99" i="53" s="1"/>
  <c r="AD17" i="18"/>
  <c r="AD78" i="18" s="1"/>
  <c r="AD84" i="18" s="1"/>
  <c r="AO29" i="3"/>
  <c r="D45" i="16"/>
  <c r="Y6" i="3"/>
  <c r="AJ204" i="27" s="1"/>
  <c r="AJ210" i="27" s="1"/>
  <c r="AJ216" i="27" s="1"/>
  <c r="AJ222" i="27" s="1"/>
  <c r="AC6" i="3"/>
  <c r="AI15" i="11"/>
  <c r="AL15" i="11" s="1"/>
  <c r="D41" i="33"/>
  <c r="AD18" i="1"/>
  <c r="M7" i="18"/>
  <c r="M6" i="18"/>
  <c r="N24" i="32"/>
  <c r="K92" i="18"/>
  <c r="K94" i="18" s="1"/>
  <c r="K7" i="18"/>
  <c r="K11" i="18" s="1"/>
  <c r="N26" i="16"/>
  <c r="S17" i="1"/>
  <c r="AO17" i="1" s="1"/>
  <c r="U17" i="1"/>
  <c r="AQ17" i="1" s="1"/>
  <c r="V17" i="1"/>
  <c r="AR17" i="1" s="1"/>
  <c r="R17" i="1"/>
  <c r="AN17" i="1" s="1"/>
  <c r="Q17" i="1"/>
  <c r="AM17" i="1" s="1"/>
  <c r="T17" i="1"/>
  <c r="AP17" i="1" s="1"/>
  <c r="AI26" i="16"/>
  <c r="U4" i="1"/>
  <c r="AQ4" i="1" s="1"/>
  <c r="V4" i="1"/>
  <c r="AR4" i="1" s="1"/>
  <c r="AP8" i="3"/>
  <c r="AL45" i="16"/>
  <c r="AA4" i="3"/>
  <c r="AP4" i="3" s="1"/>
  <c r="W30" i="3"/>
  <c r="Y46" i="16"/>
  <c r="V30" i="3"/>
  <c r="R30" i="3"/>
  <c r="AN30" i="3" s="1"/>
  <c r="T30" i="3"/>
  <c r="AP30" i="3" s="1"/>
  <c r="J14" i="18"/>
  <c r="J17" i="18"/>
  <c r="L6" i="18"/>
  <c r="O24" i="32"/>
  <c r="AD20" i="3"/>
  <c r="W20" i="3"/>
  <c r="U18" i="1"/>
  <c r="R18" i="1"/>
  <c r="T18" i="1"/>
  <c r="S18" i="1"/>
  <c r="V18" i="1"/>
  <c r="Q18" i="1"/>
  <c r="O26" i="16"/>
  <c r="AM8" i="3"/>
  <c r="U45" i="16"/>
  <c r="AB23" i="3"/>
  <c r="AQ23" i="3" s="1"/>
  <c r="X23" i="3"/>
  <c r="AM23" i="3" s="1"/>
  <c r="Z23" i="3"/>
  <c r="AC23" i="3"/>
  <c r="AR23" i="3" s="1"/>
  <c r="Y24" i="3"/>
  <c r="AN24" i="3" s="1"/>
  <c r="AA23" i="3"/>
  <c r="AB24" i="3"/>
  <c r="AQ24" i="3" s="1"/>
  <c r="Y23" i="3"/>
  <c r="X24" i="3"/>
  <c r="AM24" i="3" s="1"/>
  <c r="AC24" i="3"/>
  <c r="AR24" i="3" s="1"/>
  <c r="Z46" i="16"/>
  <c r="T31" i="3"/>
  <c r="R31" i="3"/>
  <c r="S31" i="3"/>
  <c r="AO31" i="3" s="1"/>
  <c r="V31" i="3"/>
  <c r="W31" i="3"/>
  <c r="X8" i="11"/>
  <c r="AD8" i="11"/>
  <c r="O8" i="11"/>
  <c r="AA8" i="11"/>
  <c r="U8" i="11"/>
  <c r="R8" i="11"/>
  <c r="AA126" i="53"/>
  <c r="AA96" i="53"/>
  <c r="AA106" i="53"/>
  <c r="T150" i="28"/>
  <c r="T46" i="52" s="1"/>
  <c r="K46" i="52"/>
  <c r="AA150" i="28"/>
  <c r="Z14" i="18"/>
  <c r="Z11" i="18"/>
  <c r="AG17" i="18"/>
  <c r="AG5" i="18"/>
  <c r="AG11" i="18"/>
  <c r="AP38" i="1"/>
  <c r="AO18" i="3"/>
  <c r="AN8" i="3"/>
  <c r="Y25" i="3"/>
  <c r="V45" i="16"/>
  <c r="AB25" i="3"/>
  <c r="X25" i="3"/>
  <c r="AM25" i="3" s="1"/>
  <c r="AA25" i="3"/>
  <c r="Z25" i="3"/>
  <c r="AC25" i="3"/>
  <c r="AA23" i="11"/>
  <c r="X23" i="11"/>
  <c r="R23" i="11"/>
  <c r="U23" i="11"/>
  <c r="O23" i="11"/>
  <c r="AD23" i="11"/>
  <c r="AM5" i="18"/>
  <c r="W45" i="16"/>
  <c r="Z26" i="3"/>
  <c r="AB26" i="3"/>
  <c r="X26" i="3"/>
  <c r="AC26" i="3"/>
  <c r="AR26" i="3" s="1"/>
  <c r="Y26" i="3"/>
  <c r="AN26" i="3" s="1"/>
  <c r="AA26" i="3"/>
  <c r="AD26" i="3"/>
  <c r="AN45" i="16"/>
  <c r="Z40" i="3"/>
  <c r="AH205" i="25" s="1"/>
  <c r="AH211" i="25" s="1"/>
  <c r="AH217" i="25" s="1"/>
  <c r="AH223" i="25" s="1"/>
  <c r="AB39" i="3"/>
  <c r="X39" i="3"/>
  <c r="Z38" i="3"/>
  <c r="AO38" i="3" s="1"/>
  <c r="Y40" i="3"/>
  <c r="AH135" i="18" s="1"/>
  <c r="AH141" i="18" s="1"/>
  <c r="AH147" i="18" s="1"/>
  <c r="AH153" i="18" s="1"/>
  <c r="AA39" i="3"/>
  <c r="AA38" i="3"/>
  <c r="AP38" i="3" s="1"/>
  <c r="Y39" i="3"/>
  <c r="AB38" i="3"/>
  <c r="X40" i="3"/>
  <c r="AH134" i="18" s="1"/>
  <c r="AH140" i="18" s="1"/>
  <c r="AH146" i="18" s="1"/>
  <c r="AH152" i="18" s="1"/>
  <c r="AC4" i="3"/>
  <c r="AR4" i="3" s="1"/>
  <c r="AD38" i="3"/>
  <c r="AC38" i="3"/>
  <c r="K137" i="11"/>
  <c r="T82" i="33"/>
  <c r="T20" i="33" s="1"/>
  <c r="T38" i="33" s="1"/>
  <c r="T56" i="33" s="1"/>
  <c r="C43" i="33"/>
  <c r="D43" i="33" s="1"/>
  <c r="G18" i="20"/>
  <c r="N6" i="18"/>
  <c r="Q24" i="32"/>
  <c r="N7" i="18"/>
  <c r="AC29" i="3"/>
  <c r="AR29" i="3" s="1"/>
  <c r="X28" i="3"/>
  <c r="AM28" i="3" s="1"/>
  <c r="X45" i="16"/>
  <c r="X27" i="3"/>
  <c r="AM27" i="3" s="1"/>
  <c r="AA27" i="3"/>
  <c r="Z27" i="3"/>
  <c r="AO27" i="3" s="1"/>
  <c r="Y27" i="3"/>
  <c r="AN27" i="3" s="1"/>
  <c r="E46" i="16"/>
  <c r="T7" i="3"/>
  <c r="S7" i="3"/>
  <c r="R7" i="3"/>
  <c r="V7" i="3"/>
  <c r="Q7" i="3"/>
  <c r="S37" i="16"/>
  <c r="Z37" i="16"/>
  <c r="K122" i="11"/>
  <c r="R5" i="11"/>
  <c r="O5" i="11"/>
  <c r="X5" i="11"/>
  <c r="AA5" i="11"/>
  <c r="U5" i="11"/>
  <c r="AD5" i="11"/>
  <c r="A128" i="36"/>
  <c r="AS16" i="36"/>
  <c r="AO4" i="1"/>
  <c r="AL24" i="32"/>
  <c r="AI6" i="18"/>
  <c r="AI7" i="18"/>
  <c r="AM39" i="3"/>
  <c r="AN160" i="32"/>
  <c r="AK92" i="20"/>
  <c r="AK94" i="20" s="1"/>
  <c r="P57" i="16"/>
  <c r="H57" i="16"/>
  <c r="X24" i="32"/>
  <c r="U92" i="18"/>
  <c r="U94" i="18" s="1"/>
  <c r="AA198" i="32"/>
  <c r="AC92" i="20"/>
  <c r="AC94" i="20" s="1"/>
  <c r="AA20" i="11"/>
  <c r="R20" i="11"/>
  <c r="AD20" i="11"/>
  <c r="U20" i="11"/>
  <c r="X20" i="11"/>
  <c r="O20" i="11"/>
  <c r="AQ39" i="3"/>
  <c r="R24" i="32"/>
  <c r="O92" i="18"/>
  <c r="O94" i="18" s="1"/>
  <c r="O93" i="18" s="1"/>
  <c r="E23" i="33"/>
  <c r="Q27" i="1"/>
  <c r="AM27" i="1" s="1"/>
  <c r="AB34" i="3"/>
  <c r="Y45" i="16"/>
  <c r="Z30" i="3"/>
  <c r="X30" i="3"/>
  <c r="Y203" i="27" s="1"/>
  <c r="Y209" i="27" s="1"/>
  <c r="Y215" i="27" s="1"/>
  <c r="Y221" i="27" s="1"/>
  <c r="AC30" i="3"/>
  <c r="R34" i="3"/>
  <c r="AN34" i="3" s="1"/>
  <c r="T34" i="3"/>
  <c r="AP34" i="3" s="1"/>
  <c r="U34" i="3"/>
  <c r="AQ34" i="3" s="1"/>
  <c r="Q34" i="3"/>
  <c r="AM34" i="3" s="1"/>
  <c r="S34" i="3"/>
  <c r="AO34" i="3" s="1"/>
  <c r="AC46" i="16"/>
  <c r="V34" i="3"/>
  <c r="AR34" i="3" s="1"/>
  <c r="Y18" i="20"/>
  <c r="Y6" i="20"/>
  <c r="K44" i="52"/>
  <c r="M118" i="53" s="1"/>
  <c r="M121" i="53" s="1"/>
  <c r="T147" i="28"/>
  <c r="AA147" i="28"/>
  <c r="K28" i="11"/>
  <c r="K6" i="11"/>
  <c r="K29" i="11"/>
  <c r="AN27" i="1"/>
  <c r="AQ25" i="3"/>
  <c r="Z45" i="16"/>
  <c r="AB31" i="3"/>
  <c r="AA31" i="3"/>
  <c r="X31" i="3"/>
  <c r="Z31" i="3"/>
  <c r="AC31" i="3"/>
  <c r="Y31" i="3"/>
  <c r="G46" i="16"/>
  <c r="T9" i="3"/>
  <c r="Q9" i="3"/>
  <c r="AM9" i="3" s="1"/>
  <c r="T35" i="3"/>
  <c r="T36" i="3"/>
  <c r="R35" i="3"/>
  <c r="U36" i="3"/>
  <c r="Q36" i="3"/>
  <c r="AM36" i="3" s="1"/>
  <c r="S35" i="3"/>
  <c r="V35" i="3"/>
  <c r="Q35" i="3"/>
  <c r="AM35" i="3" s="1"/>
  <c r="W36" i="3"/>
  <c r="AL92" i="20"/>
  <c r="AL94" i="20" s="1"/>
  <c r="U25" i="11"/>
  <c r="R25" i="11"/>
  <c r="AD25" i="11"/>
  <c r="X25" i="11"/>
  <c r="AA10" i="11"/>
  <c r="X10" i="11"/>
  <c r="R10" i="11"/>
  <c r="AD160" i="32"/>
  <c r="AP27" i="3"/>
  <c r="AA33" i="3"/>
  <c r="AP33" i="3" s="1"/>
  <c r="H46" i="16"/>
  <c r="V10" i="3"/>
  <c r="AR10" i="3" s="1"/>
  <c r="U10" i="3"/>
  <c r="AQ10" i="3" s="1"/>
  <c r="Q10" i="3"/>
  <c r="AM10" i="3" s="1"/>
  <c r="S10" i="3"/>
  <c r="AO10" i="3" s="1"/>
  <c r="AA92" i="20"/>
  <c r="AA94" i="20" s="1"/>
  <c r="D7" i="29"/>
  <c r="M90" i="29"/>
  <c r="W5" i="3"/>
  <c r="Z33" i="3"/>
  <c r="E45" i="16"/>
  <c r="AB7" i="3"/>
  <c r="AQ7" i="3" s="1"/>
  <c r="X7" i="3"/>
  <c r="E134" i="18" s="1"/>
  <c r="E140" i="18" s="1"/>
  <c r="E146" i="18" s="1"/>
  <c r="Z7" i="3"/>
  <c r="AA7" i="3"/>
  <c r="E137" i="18" s="1"/>
  <c r="E143" i="18" s="1"/>
  <c r="E149" i="18" s="1"/>
  <c r="E155" i="18" s="1"/>
  <c r="E161" i="18" s="1"/>
  <c r="Y7" i="3"/>
  <c r="AC7" i="3"/>
  <c r="AC21" i="20"/>
  <c r="AC22" i="20" s="1"/>
  <c r="AC5" i="20"/>
  <c r="H24" i="5"/>
  <c r="I24" i="5"/>
  <c r="Q28" i="1"/>
  <c r="AM28" i="1" s="1"/>
  <c r="T29" i="1"/>
  <c r="AP29" i="1" s="1"/>
  <c r="V28" i="1"/>
  <c r="AR28" i="1" s="1"/>
  <c r="V29" i="1"/>
  <c r="AR29" i="1" s="1"/>
  <c r="X26" i="16"/>
  <c r="X21" i="11"/>
  <c r="AD21" i="11"/>
  <c r="U21" i="11"/>
  <c r="AH106" i="53"/>
  <c r="AH126" i="53"/>
  <c r="AH96" i="53"/>
  <c r="J160" i="32"/>
  <c r="G8" i="20"/>
  <c r="A121" i="36"/>
  <c r="AS9" i="36"/>
  <c r="AO23" i="3"/>
  <c r="AA9" i="3"/>
  <c r="X9" i="3"/>
  <c r="Y9" i="3"/>
  <c r="AN9" i="3" s="1"/>
  <c r="AL142" i="32"/>
  <c r="AL143" i="32" s="1"/>
  <c r="D16" i="34" s="1"/>
  <c r="D30" i="34" s="1"/>
  <c r="AL151" i="32"/>
  <c r="AL152" i="32" s="1"/>
  <c r="D17" i="34" s="1"/>
  <c r="D31" i="34" s="1"/>
  <c r="R21" i="11"/>
  <c r="R7" i="11"/>
  <c r="A117" i="36"/>
  <c r="AS5" i="36"/>
  <c r="H28" i="5"/>
  <c r="AN12" i="3"/>
  <c r="L130" i="53"/>
  <c r="L100" i="53"/>
  <c r="L110" i="53"/>
  <c r="L120" i="53"/>
  <c r="AD76" i="50"/>
  <c r="AD72" i="50"/>
  <c r="AD109" i="50"/>
  <c r="W38" i="50"/>
  <c r="W42" i="50"/>
  <c r="AS25" i="36"/>
  <c r="A137" i="36"/>
  <c r="C263" i="53"/>
  <c r="C358" i="53"/>
  <c r="C393" i="53" s="1"/>
  <c r="AR12" i="1"/>
  <c r="AI46" i="16"/>
  <c r="Q4" i="3"/>
  <c r="AM4" i="3" s="1"/>
  <c r="AA39" i="11"/>
  <c r="X39" i="11"/>
  <c r="R39" i="11"/>
  <c r="AD39" i="11"/>
  <c r="O39" i="11"/>
  <c r="U39" i="11"/>
  <c r="AD19" i="11"/>
  <c r="X19" i="11"/>
  <c r="AA19" i="11"/>
  <c r="O19" i="11"/>
  <c r="U19" i="11"/>
  <c r="R19" i="11"/>
  <c r="Q183" i="28"/>
  <c r="Q185" i="28"/>
  <c r="Q184" i="28"/>
  <c r="Q190" i="28"/>
  <c r="Y184" i="28"/>
  <c r="Y185" i="28"/>
  <c r="Y189" i="28"/>
  <c r="Y188" i="28"/>
  <c r="Y183" i="28"/>
  <c r="AB167" i="28"/>
  <c r="AD38" i="50"/>
  <c r="AD107" i="50"/>
  <c r="AD42" i="50"/>
  <c r="C241" i="53"/>
  <c r="C340" i="53"/>
  <c r="C375" i="53" s="1"/>
  <c r="AN26" i="1"/>
  <c r="W6" i="32"/>
  <c r="W7" i="32" s="1"/>
  <c r="V9" i="34" s="1"/>
  <c r="W15" i="32"/>
  <c r="W16" i="32" s="1"/>
  <c r="V10" i="34" s="1"/>
  <c r="W25" i="32"/>
  <c r="V11" i="34" s="1"/>
  <c r="AE92" i="20"/>
  <c r="AE94" i="20" s="1"/>
  <c r="AH24" i="32"/>
  <c r="AA7" i="11"/>
  <c r="R185" i="28"/>
  <c r="R187" i="28"/>
  <c r="R184" i="28"/>
  <c r="R186" i="28"/>
  <c r="R188" i="28"/>
  <c r="Z183" i="28"/>
  <c r="Z184" i="28"/>
  <c r="Z185" i="28"/>
  <c r="Y190" i="28"/>
  <c r="AE108" i="50"/>
  <c r="AE55" i="50"/>
  <c r="AE59" i="50"/>
  <c r="AO26" i="1"/>
  <c r="R31" i="1"/>
  <c r="AN31" i="1" s="1"/>
  <c r="AQ30" i="1"/>
  <c r="AP160" i="32"/>
  <c r="E52" i="53"/>
  <c r="E96" i="53" s="1"/>
  <c r="E140" i="53" s="1"/>
  <c r="E185" i="53" s="1"/>
  <c r="E9" i="53"/>
  <c r="A201" i="53"/>
  <c r="AS24" i="53"/>
  <c r="AK101" i="59"/>
  <c r="AK6" i="59"/>
  <c r="AM121" i="59"/>
  <c r="AM26" i="59"/>
  <c r="G123" i="59"/>
  <c r="G28" i="59"/>
  <c r="W180" i="59"/>
  <c r="W184" i="59"/>
  <c r="W177" i="59"/>
  <c r="W181" i="59"/>
  <c r="AA120" i="53"/>
  <c r="AA100" i="53"/>
  <c r="AA130" i="53"/>
  <c r="AA110" i="53"/>
  <c r="AI24" i="59"/>
  <c r="AI119" i="59"/>
  <c r="AO21" i="3"/>
  <c r="T19" i="3"/>
  <c r="AP19" i="3" s="1"/>
  <c r="V19" i="3"/>
  <c r="S19" i="3"/>
  <c r="R19" i="3"/>
  <c r="Q19" i="3"/>
  <c r="AM19" i="3" s="1"/>
  <c r="U19" i="3"/>
  <c r="AQ19" i="3" s="1"/>
  <c r="AH55" i="16"/>
  <c r="Z55" i="16"/>
  <c r="AC6" i="32" s="1"/>
  <c r="AC7" i="32" s="1"/>
  <c r="AE9" i="34" s="1"/>
  <c r="AA34" i="11"/>
  <c r="R34" i="11"/>
  <c r="AD126" i="53"/>
  <c r="AD96" i="53"/>
  <c r="AD106" i="53"/>
  <c r="Z106" i="53"/>
  <c r="Z126" i="53"/>
  <c r="AK96" i="28"/>
  <c r="AK31" i="28" s="1"/>
  <c r="AK4" i="41" s="1"/>
  <c r="AK90" i="28"/>
  <c r="AK81" i="28"/>
  <c r="AI81" i="28"/>
  <c r="AI90" i="28"/>
  <c r="AK71" i="28"/>
  <c r="F120" i="53"/>
  <c r="F100" i="53"/>
  <c r="F130" i="53"/>
  <c r="F110" i="53"/>
  <c r="Q43" i="52"/>
  <c r="S107" i="53" s="1"/>
  <c r="S112" i="53" s="1"/>
  <c r="AK143" i="28"/>
  <c r="AK43" i="52" s="1"/>
  <c r="AM107" i="53" s="1"/>
  <c r="AM112" i="53" s="1"/>
  <c r="AJ143" i="28"/>
  <c r="AJ43" i="52" s="1"/>
  <c r="AL107" i="53" s="1"/>
  <c r="AL112" i="53" s="1"/>
  <c r="AN143" i="28"/>
  <c r="AN43" i="52" s="1"/>
  <c r="AP107" i="53" s="1"/>
  <c r="AP112" i="53" s="1"/>
  <c r="AM143" i="28"/>
  <c r="AM43" i="52" s="1"/>
  <c r="AO107" i="53" s="1"/>
  <c r="AO112" i="53" s="1"/>
  <c r="S7" i="1"/>
  <c r="U7" i="1"/>
  <c r="V7" i="1"/>
  <c r="R7" i="1"/>
  <c r="U33" i="1"/>
  <c r="AQ33" i="1" s="1"/>
  <c r="T33" i="1"/>
  <c r="AP33" i="1" s="1"/>
  <c r="V33" i="1"/>
  <c r="AR33" i="1" s="1"/>
  <c r="R33" i="1"/>
  <c r="AN33" i="1" s="1"/>
  <c r="V20" i="3"/>
  <c r="AR20" i="3" s="1"/>
  <c r="R20" i="3"/>
  <c r="AN20" i="3" s="1"/>
  <c r="Q20" i="3"/>
  <c r="AM20" i="3" s="1"/>
  <c r="T20" i="3"/>
  <c r="AP20" i="3" s="1"/>
  <c r="U20" i="3"/>
  <c r="AQ20" i="3" s="1"/>
  <c r="S20" i="3"/>
  <c r="U34" i="11"/>
  <c r="D8" i="33"/>
  <c r="K8" i="33" s="1"/>
  <c r="K110" i="53"/>
  <c r="K130" i="53"/>
  <c r="K100" i="53"/>
  <c r="K120" i="53"/>
  <c r="AJ73" i="28"/>
  <c r="AM85" i="28"/>
  <c r="W15" i="1"/>
  <c r="F26" i="16"/>
  <c r="U8" i="1"/>
  <c r="AQ8" i="1" s="1"/>
  <c r="Q8" i="1"/>
  <c r="AM8" i="1" s="1"/>
  <c r="R8" i="1"/>
  <c r="AN8" i="1" s="1"/>
  <c r="T8" i="1"/>
  <c r="AP8" i="1" s="1"/>
  <c r="S8" i="1"/>
  <c r="AO8" i="1" s="1"/>
  <c r="V8" i="1"/>
  <c r="AR8" i="1" s="1"/>
  <c r="AD34" i="11"/>
  <c r="D26" i="33"/>
  <c r="Q120" i="53"/>
  <c r="Q100" i="53"/>
  <c r="Q130" i="53"/>
  <c r="Q110" i="53"/>
  <c r="K43" i="52"/>
  <c r="M107" i="53" s="1"/>
  <c r="M112" i="53" s="1"/>
  <c r="T143" i="28"/>
  <c r="AA143" i="28"/>
  <c r="W16" i="1"/>
  <c r="U35" i="1"/>
  <c r="T35" i="1"/>
  <c r="AP35" i="1" s="1"/>
  <c r="T36" i="1"/>
  <c r="AP36" i="1" s="1"/>
  <c r="V35" i="1"/>
  <c r="R35" i="1"/>
  <c r="S36" i="1"/>
  <c r="AO36" i="1" s="1"/>
  <c r="Q35" i="1"/>
  <c r="W35" i="1"/>
  <c r="V36" i="1"/>
  <c r="AR36" i="1" s="1"/>
  <c r="J24" i="32"/>
  <c r="X34" i="11"/>
  <c r="AS12" i="48"/>
  <c r="A88" i="48"/>
  <c r="AA38" i="50"/>
  <c r="AA107" i="50"/>
  <c r="A136" i="36"/>
  <c r="AS24" i="36"/>
  <c r="A81" i="48"/>
  <c r="AS5" i="48"/>
  <c r="AA8" i="50"/>
  <c r="AA4" i="50"/>
  <c r="AA105" i="50"/>
  <c r="H36" i="5"/>
  <c r="W17" i="1"/>
  <c r="T5" i="1"/>
  <c r="AP5" i="1" s="1"/>
  <c r="Z19" i="3"/>
  <c r="AA19" i="3"/>
  <c r="Y19" i="3"/>
  <c r="AC19" i="3"/>
  <c r="U46" i="16"/>
  <c r="T23" i="3"/>
  <c r="AP23" i="3" s="1"/>
  <c r="R23" i="3"/>
  <c r="AN23" i="3" s="1"/>
  <c r="AB130" i="53"/>
  <c r="AB100" i="53"/>
  <c r="AB110" i="53"/>
  <c r="AK79" i="28"/>
  <c r="AI89" i="28"/>
  <c r="AK89" i="28"/>
  <c r="AI79" i="28"/>
  <c r="AN163" i="35" s="1"/>
  <c r="AK91" i="28"/>
  <c r="AI91" i="28"/>
  <c r="AK93" i="28"/>
  <c r="AI95" i="28"/>
  <c r="S59" i="50"/>
  <c r="S55" i="50"/>
  <c r="S108" i="50"/>
  <c r="AF76" i="50"/>
  <c r="AF72" i="50"/>
  <c r="A138" i="36"/>
  <c r="AS26" i="36"/>
  <c r="B95" i="52"/>
  <c r="E11" i="47"/>
  <c r="E18" i="47" s="1"/>
  <c r="E25" i="47" s="1"/>
  <c r="E32" i="47" s="1"/>
  <c r="AR19" i="1"/>
  <c r="Q5" i="1"/>
  <c r="AM5" i="1" s="1"/>
  <c r="R45" i="16"/>
  <c r="Z20" i="3"/>
  <c r="Y20" i="3"/>
  <c r="V46" i="16"/>
  <c r="T25" i="3"/>
  <c r="S25" i="3"/>
  <c r="T160" i="32"/>
  <c r="AV52" i="11"/>
  <c r="D55" i="11"/>
  <c r="D11" i="33"/>
  <c r="K11" i="33" s="1"/>
  <c r="C29" i="33"/>
  <c r="C14" i="33"/>
  <c r="C49" i="33"/>
  <c r="D49" i="33" s="1"/>
  <c r="D31" i="33"/>
  <c r="AL89" i="28"/>
  <c r="AJ89" i="28"/>
  <c r="AN89" i="28"/>
  <c r="AS163" i="35" s="1"/>
  <c r="AL79" i="28"/>
  <c r="AM79" i="28"/>
  <c r="AM89" i="28"/>
  <c r="AN91" i="28"/>
  <c r="AL72" i="28"/>
  <c r="AJ91" i="28"/>
  <c r="AM72" i="28"/>
  <c r="AL91" i="28"/>
  <c r="AN82" i="28"/>
  <c r="AL93" i="28"/>
  <c r="AJ93" i="28"/>
  <c r="AN93" i="28"/>
  <c r="AM93" i="28"/>
  <c r="AJ95" i="28"/>
  <c r="AN95" i="28"/>
  <c r="AL95" i="28"/>
  <c r="AF107" i="50"/>
  <c r="AF42" i="50"/>
  <c r="AF38" i="50"/>
  <c r="AN39" i="1"/>
  <c r="R5" i="1"/>
  <c r="AN5" i="1" s="1"/>
  <c r="R25" i="3"/>
  <c r="AN25" i="3" s="1"/>
  <c r="S45" i="16"/>
  <c r="AB21" i="3"/>
  <c r="AQ21" i="3" s="1"/>
  <c r="X21" i="3"/>
  <c r="AM21" i="3" s="1"/>
  <c r="AA21" i="3"/>
  <c r="AP21" i="3" s="1"/>
  <c r="Z21" i="3"/>
  <c r="AC21" i="3"/>
  <c r="AR21" i="3" s="1"/>
  <c r="Y21" i="3"/>
  <c r="AN21" i="3" s="1"/>
  <c r="U26" i="3"/>
  <c r="AQ26" i="3" s="1"/>
  <c r="Q26" i="3"/>
  <c r="AM26" i="3" s="1"/>
  <c r="T26" i="3"/>
  <c r="AP26" i="3" s="1"/>
  <c r="S26" i="3"/>
  <c r="AN46" i="16"/>
  <c r="R40" i="3"/>
  <c r="AH171" i="25" s="1"/>
  <c r="AH177" i="25" s="1"/>
  <c r="AH183" i="25" s="1"/>
  <c r="AH189" i="25" s="1"/>
  <c r="T39" i="3"/>
  <c r="V38" i="3"/>
  <c r="AR38" i="3" s="1"/>
  <c r="T40" i="3"/>
  <c r="AP40" i="3" s="1"/>
  <c r="AD24" i="32"/>
  <c r="O33" i="11"/>
  <c r="G77" i="28"/>
  <c r="G12" i="28" s="1"/>
  <c r="AF55" i="50"/>
  <c r="AF108" i="50"/>
  <c r="AD39" i="1"/>
  <c r="AK5" i="20"/>
  <c r="E26" i="16"/>
  <c r="AO19" i="1"/>
  <c r="V5" i="1"/>
  <c r="AR5" i="1" s="1"/>
  <c r="V25" i="3"/>
  <c r="AR25" i="3" s="1"/>
  <c r="R92" i="20"/>
  <c r="R94" i="20" s="1"/>
  <c r="S17" i="16"/>
  <c r="AE17" i="16"/>
  <c r="N17" i="16"/>
  <c r="AH17" i="16"/>
  <c r="AK34" i="32" s="1"/>
  <c r="AK35" i="32" s="1"/>
  <c r="AN13" i="34" s="1"/>
  <c r="D57" i="11"/>
  <c r="AV54" i="11"/>
  <c r="F110" i="50"/>
  <c r="F89" i="50"/>
  <c r="AD55" i="50"/>
  <c r="AD59" i="50"/>
  <c r="AD108" i="50"/>
  <c r="AF25" i="50"/>
  <c r="AF21" i="50"/>
  <c r="AF106" i="50"/>
  <c r="L39" i="41"/>
  <c r="L38" i="41"/>
  <c r="L37" i="41"/>
  <c r="L35" i="41"/>
  <c r="N93" i="50" s="1"/>
  <c r="L36" i="41"/>
  <c r="L42" i="41"/>
  <c r="L40" i="41"/>
  <c r="L41" i="41"/>
  <c r="AD25" i="50"/>
  <c r="AD21" i="50"/>
  <c r="AD106" i="50"/>
  <c r="AJ26" i="59"/>
  <c r="AJ121" i="59"/>
  <c r="AJ75" i="59"/>
  <c r="AJ12" i="59" s="1"/>
  <c r="AJ108" i="59"/>
  <c r="AJ13" i="59"/>
  <c r="AF148" i="28"/>
  <c r="AN144" i="28"/>
  <c r="AN113" i="28" s="1"/>
  <c r="AK144" i="28"/>
  <c r="AK113" i="28" s="1"/>
  <c r="AM144" i="28"/>
  <c r="AM113" i="28" s="1"/>
  <c r="AJ144" i="28"/>
  <c r="AJ113" i="28" s="1"/>
  <c r="F147" i="28"/>
  <c r="F44" i="52" s="1"/>
  <c r="H118" i="53" s="1"/>
  <c r="H121" i="53" s="1"/>
  <c r="AG126" i="53"/>
  <c r="AG96" i="53"/>
  <c r="AI70" i="28"/>
  <c r="AI72" i="28"/>
  <c r="AK74" i="28"/>
  <c r="AK76" i="28"/>
  <c r="AI76" i="28"/>
  <c r="AE42" i="50"/>
  <c r="AE38" i="50"/>
  <c r="AE107" i="50"/>
  <c r="AS8" i="48"/>
  <c r="A84" i="48"/>
  <c r="V35" i="41"/>
  <c r="V41" i="41"/>
  <c r="V36" i="41"/>
  <c r="X93" i="50" s="1"/>
  <c r="V39" i="41"/>
  <c r="V42" i="41"/>
  <c r="V40" i="41"/>
  <c r="V38" i="41"/>
  <c r="V37" i="41"/>
  <c r="AM80" i="59"/>
  <c r="AN80" i="59"/>
  <c r="AJ80" i="59"/>
  <c r="X179" i="59"/>
  <c r="X177" i="59"/>
  <c r="X178" i="59"/>
  <c r="X182" i="59"/>
  <c r="X180" i="59"/>
  <c r="X183" i="59"/>
  <c r="AH12" i="28"/>
  <c r="AH83" i="28"/>
  <c r="AH147" i="28" s="1"/>
  <c r="AH44" i="52" s="1"/>
  <c r="AJ118" i="53" s="1"/>
  <c r="AJ121" i="53" s="1"/>
  <c r="Y12" i="28"/>
  <c r="Y79" i="28"/>
  <c r="AD163" i="35" s="1"/>
  <c r="T86" i="28"/>
  <c r="T74" i="28"/>
  <c r="G82" i="28"/>
  <c r="J146" i="28"/>
  <c r="M12" i="28"/>
  <c r="Y45" i="28"/>
  <c r="Y110" i="28" s="1"/>
  <c r="Y111" i="28"/>
  <c r="Y142" i="28" s="1"/>
  <c r="Y45" i="52" s="1"/>
  <c r="AA99" i="53" s="1"/>
  <c r="X126" i="53"/>
  <c r="X106" i="53"/>
  <c r="O45" i="28"/>
  <c r="O110" i="28" s="1"/>
  <c r="O112" i="28"/>
  <c r="O143" i="28" s="1"/>
  <c r="O43" i="52" s="1"/>
  <c r="Q107" i="53" s="1"/>
  <c r="Q112" i="53" s="1"/>
  <c r="D45" i="28"/>
  <c r="D110" i="28" s="1"/>
  <c r="D111" i="28"/>
  <c r="D142" i="28" s="1"/>
  <c r="D45" i="52" s="1"/>
  <c r="F99" i="53" s="1"/>
  <c r="X16" i="11"/>
  <c r="D13" i="33"/>
  <c r="K13" i="33" s="1"/>
  <c r="AK88" i="28"/>
  <c r="M107" i="11"/>
  <c r="AL82" i="28"/>
  <c r="AJ72" i="28"/>
  <c r="AN72" i="28"/>
  <c r="AM82" i="28"/>
  <c r="AJ74" i="28"/>
  <c r="AL74" i="28"/>
  <c r="AJ71" i="28"/>
  <c r="AJ90" i="28"/>
  <c r="AM90" i="28"/>
  <c r="AM81" i="28"/>
  <c r="AJ81" i="28"/>
  <c r="AJ79" i="28"/>
  <c r="AN79" i="28"/>
  <c r="A132" i="36"/>
  <c r="AS20" i="36"/>
  <c r="A87" i="48"/>
  <c r="AS11" i="48"/>
  <c r="W40" i="41"/>
  <c r="Y76" i="50" s="1"/>
  <c r="W41" i="41"/>
  <c r="W42" i="41"/>
  <c r="W36" i="41"/>
  <c r="W38" i="41"/>
  <c r="W39" i="41"/>
  <c r="W37" i="41"/>
  <c r="W35" i="41"/>
  <c r="R16" i="11"/>
  <c r="C16" i="33"/>
  <c r="D9" i="33"/>
  <c r="K9" i="33" s="1"/>
  <c r="C27" i="33"/>
  <c r="M105" i="50"/>
  <c r="M8" i="50"/>
  <c r="K59" i="50"/>
  <c r="K108" i="50"/>
  <c r="X35" i="41"/>
  <c r="X39" i="41"/>
  <c r="X37" i="41"/>
  <c r="X42" i="41"/>
  <c r="X40" i="41"/>
  <c r="X38" i="41"/>
  <c r="X41" i="41"/>
  <c r="X36" i="41"/>
  <c r="O14" i="11"/>
  <c r="AD16" i="11"/>
  <c r="E12" i="33"/>
  <c r="AI88" i="28"/>
  <c r="AK85" i="28"/>
  <c r="A45" i="36"/>
  <c r="A73" i="36" s="1"/>
  <c r="A101" i="36" s="1"/>
  <c r="M21" i="50"/>
  <c r="M25" i="50"/>
  <c r="Q37" i="16"/>
  <c r="AB126" i="53"/>
  <c r="AB106" i="53"/>
  <c r="G88" i="28"/>
  <c r="G70" i="28"/>
  <c r="H4" i="50"/>
  <c r="H105" i="50"/>
  <c r="H8" i="50"/>
  <c r="C242" i="53"/>
  <c r="C341" i="53"/>
  <c r="C376" i="53" s="1"/>
  <c r="Y40" i="41"/>
  <c r="Y36" i="41"/>
  <c r="Y41" i="41"/>
  <c r="Y38" i="41"/>
  <c r="Y35" i="41"/>
  <c r="Y39" i="41"/>
  <c r="AA59" i="50" s="1"/>
  <c r="AK37" i="16"/>
  <c r="AD14" i="11"/>
  <c r="AB143" i="28"/>
  <c r="AB43" i="52" s="1"/>
  <c r="AD107" i="53" s="1"/>
  <c r="AD112" i="53" s="1"/>
  <c r="C243" i="53"/>
  <c r="C342" i="53"/>
  <c r="C377" i="53" s="1"/>
  <c r="C9" i="36"/>
  <c r="C37" i="36" s="1"/>
  <c r="C65" i="36" s="1"/>
  <c r="C93" i="36" s="1"/>
  <c r="C121" i="36" s="1"/>
  <c r="C9" i="55"/>
  <c r="K35" i="41"/>
  <c r="K40" i="41"/>
  <c r="K39" i="41"/>
  <c r="K36" i="41"/>
  <c r="K42" i="41"/>
  <c r="Z39" i="41"/>
  <c r="Z42" i="41"/>
  <c r="Z40" i="41"/>
  <c r="Z38" i="41"/>
  <c r="Z35" i="41"/>
  <c r="AB93" i="50" s="1"/>
  <c r="Z37" i="41"/>
  <c r="Z41" i="41"/>
  <c r="Z36" i="41"/>
  <c r="AA35" i="3"/>
  <c r="Y12" i="3"/>
  <c r="R37" i="16"/>
  <c r="U27" i="11"/>
  <c r="R14" i="11"/>
  <c r="C12" i="33"/>
  <c r="G71" i="28"/>
  <c r="G81" i="28"/>
  <c r="G73" i="28"/>
  <c r="E22" i="36"/>
  <c r="E49" i="36"/>
  <c r="E77" i="36" s="1"/>
  <c r="E105" i="36" s="1"/>
  <c r="E133" i="36" s="1"/>
  <c r="U33" i="3"/>
  <c r="AQ33" i="3" s="1"/>
  <c r="Y36" i="3"/>
  <c r="AN36" i="3" s="1"/>
  <c r="AC12" i="3"/>
  <c r="AR12" i="3" s="1"/>
  <c r="AN37" i="16"/>
  <c r="L37" i="16"/>
  <c r="X14" i="11"/>
  <c r="AE96" i="53"/>
  <c r="AE126" i="53"/>
  <c r="AE106" i="53"/>
  <c r="K41" i="52"/>
  <c r="T145" i="28"/>
  <c r="AA145" i="28"/>
  <c r="AA41" i="52" s="1"/>
  <c r="AG147" i="28"/>
  <c r="AG44" i="52" s="1"/>
  <c r="AI118" i="53" s="1"/>
  <c r="AI121" i="53" s="1"/>
  <c r="C10" i="36"/>
  <c r="C38" i="36" s="1"/>
  <c r="C66" i="36" s="1"/>
  <c r="C94" i="36" s="1"/>
  <c r="C122" i="36" s="1"/>
  <c r="C10" i="55"/>
  <c r="V33" i="3"/>
  <c r="AR33" i="3" s="1"/>
  <c r="AJ37" i="16"/>
  <c r="AM189" i="32" s="1"/>
  <c r="AM190" i="32" s="1"/>
  <c r="F22" i="34" s="1"/>
  <c r="F36" i="34" s="1"/>
  <c r="X37" i="16"/>
  <c r="AK70" i="28"/>
  <c r="E143" i="28"/>
  <c r="E43" i="52" s="1"/>
  <c r="G107" i="53" s="1"/>
  <c r="G112" i="53" s="1"/>
  <c r="AE143" i="28"/>
  <c r="AE43" i="52" s="1"/>
  <c r="AG107" i="53" s="1"/>
  <c r="AG112" i="53" s="1"/>
  <c r="O59" i="50"/>
  <c r="O55" i="50"/>
  <c r="O108" i="50"/>
  <c r="S33" i="3"/>
  <c r="AO33" i="3" s="1"/>
  <c r="Z35" i="3"/>
  <c r="AB12" i="3"/>
  <c r="AQ12" i="3" s="1"/>
  <c r="AK72" i="28"/>
  <c r="AA95" i="28"/>
  <c r="G91" i="28"/>
  <c r="F143" i="28"/>
  <c r="F43" i="52" s="1"/>
  <c r="H107" i="53" s="1"/>
  <c r="H112" i="53" s="1"/>
  <c r="AF143" i="28"/>
  <c r="AF43" i="52" s="1"/>
  <c r="AH107" i="53" s="1"/>
  <c r="AH112" i="53" s="1"/>
  <c r="C331" i="53"/>
  <c r="C366" i="53" s="1"/>
  <c r="C230" i="53"/>
  <c r="AA74" i="28"/>
  <c r="N150" i="28"/>
  <c r="N46" i="52" s="1"/>
  <c r="AD93" i="50"/>
  <c r="C264" i="53"/>
  <c r="C359" i="53"/>
  <c r="C394" i="53" s="1"/>
  <c r="P8" i="50"/>
  <c r="P4" i="50"/>
  <c r="P105" i="50"/>
  <c r="AN81" i="28"/>
  <c r="V149" i="28"/>
  <c r="AA81" i="28"/>
  <c r="AF40" i="41"/>
  <c r="AF35" i="41"/>
  <c r="AF36" i="41"/>
  <c r="AF42" i="41"/>
  <c r="AF38" i="41"/>
  <c r="AF41" i="41"/>
  <c r="AF39" i="41"/>
  <c r="A89" i="50"/>
  <c r="A93" i="50" s="1"/>
  <c r="A97" i="50" s="1"/>
  <c r="A101" i="50" s="1"/>
  <c r="A76" i="50"/>
  <c r="A80" i="50" s="1"/>
  <c r="A84" i="50" s="1"/>
  <c r="C256" i="53"/>
  <c r="C353" i="53"/>
  <c r="C388" i="53" s="1"/>
  <c r="AJ120" i="53"/>
  <c r="AJ130" i="53"/>
  <c r="AI107" i="50"/>
  <c r="AI38" i="50"/>
  <c r="AI42" i="50"/>
  <c r="AH39" i="41"/>
  <c r="AH42" i="41"/>
  <c r="AH37" i="41"/>
  <c r="AH41" i="41"/>
  <c r="AH40" i="41"/>
  <c r="AH38" i="41"/>
  <c r="AH35" i="41"/>
  <c r="AH36" i="41"/>
  <c r="AJ93" i="50" s="1"/>
  <c r="R25" i="50"/>
  <c r="AK25" i="50" s="1"/>
  <c r="AL25" i="50" s="1"/>
  <c r="AM25" i="50" s="1"/>
  <c r="AN25" i="50" s="1"/>
  <c r="AO25" i="50" s="1"/>
  <c r="AP25" i="50" s="1"/>
  <c r="N42" i="50"/>
  <c r="AO42" i="36"/>
  <c r="AO50" i="36" s="1"/>
  <c r="AO39" i="36"/>
  <c r="AO47" i="36" s="1"/>
  <c r="AO55" i="36" s="1"/>
  <c r="AH146" i="28"/>
  <c r="AH42" i="52" s="1"/>
  <c r="AB147" i="28"/>
  <c r="AB44" i="52" s="1"/>
  <c r="E44" i="36"/>
  <c r="E72" i="36" s="1"/>
  <c r="E100" i="36" s="1"/>
  <c r="E128" i="36" s="1"/>
  <c r="E17" i="36"/>
  <c r="AE21" i="50"/>
  <c r="AE106" i="50"/>
  <c r="AH4" i="50"/>
  <c r="AH105" i="50"/>
  <c r="C261" i="53"/>
  <c r="C356" i="53"/>
  <c r="C391" i="53" s="1"/>
  <c r="C265" i="53"/>
  <c r="C360" i="53"/>
  <c r="C395" i="53" s="1"/>
  <c r="AE72" i="50"/>
  <c r="AE109" i="50"/>
  <c r="A118" i="36"/>
  <c r="AS6" i="36"/>
  <c r="AD89" i="50"/>
  <c r="Q42" i="50"/>
  <c r="M93" i="29"/>
  <c r="D10" i="29"/>
  <c r="E17" i="53"/>
  <c r="E61" i="53" s="1"/>
  <c r="E105" i="53" s="1"/>
  <c r="E149" i="53" s="1"/>
  <c r="E194" i="53" s="1"/>
  <c r="E238" i="53" s="1"/>
  <c r="E59" i="53"/>
  <c r="E103" i="53" s="1"/>
  <c r="E147" i="53" s="1"/>
  <c r="E192" i="53" s="1"/>
  <c r="E18" i="53"/>
  <c r="E16" i="53"/>
  <c r="E60" i="53" s="1"/>
  <c r="E104" i="53" s="1"/>
  <c r="E148" i="53" s="1"/>
  <c r="E193" i="53" s="1"/>
  <c r="E237" i="53" s="1"/>
  <c r="D308" i="53"/>
  <c r="F74" i="53"/>
  <c r="F77" i="53" s="1"/>
  <c r="AJ74" i="53"/>
  <c r="AJ77" i="53" s="1"/>
  <c r="K74" i="53"/>
  <c r="K77" i="53" s="1"/>
  <c r="Y74" i="53"/>
  <c r="Y77" i="53" s="1"/>
  <c r="N74" i="53"/>
  <c r="N77" i="53" s="1"/>
  <c r="Z74" i="53"/>
  <c r="Z77" i="53" s="1"/>
  <c r="AF74" i="53"/>
  <c r="AF77" i="53" s="1"/>
  <c r="AO74" i="53"/>
  <c r="AO77" i="53" s="1"/>
  <c r="P74" i="53"/>
  <c r="P77" i="53" s="1"/>
  <c r="J74" i="53"/>
  <c r="J77" i="53" s="1"/>
  <c r="S74" i="53"/>
  <c r="S77" i="53" s="1"/>
  <c r="U74" i="53"/>
  <c r="U77" i="53" s="1"/>
  <c r="AB74" i="53"/>
  <c r="AB77" i="53" s="1"/>
  <c r="AG74" i="53"/>
  <c r="AG77" i="53" s="1"/>
  <c r="AM74" i="53"/>
  <c r="AM77" i="53" s="1"/>
  <c r="R74" i="53"/>
  <c r="R77" i="53" s="1"/>
  <c r="H74" i="53"/>
  <c r="H77" i="53" s="1"/>
  <c r="AE74" i="53"/>
  <c r="AE77" i="53" s="1"/>
  <c r="AK74" i="53"/>
  <c r="AK77" i="53" s="1"/>
  <c r="W74" i="53"/>
  <c r="W77" i="53" s="1"/>
  <c r="AA74" i="53"/>
  <c r="AA77" i="53" s="1"/>
  <c r="O74" i="53"/>
  <c r="O77" i="53" s="1"/>
  <c r="Q74" i="53"/>
  <c r="Q77" i="53" s="1"/>
  <c r="AP74" i="53"/>
  <c r="AP77" i="53" s="1"/>
  <c r="T74" i="53"/>
  <c r="T77" i="53" s="1"/>
  <c r="AI74" i="53"/>
  <c r="AI77" i="53" s="1"/>
  <c r="M74" i="53"/>
  <c r="M77" i="53" s="1"/>
  <c r="G74" i="53"/>
  <c r="G77" i="53" s="1"/>
  <c r="AL74" i="53"/>
  <c r="AL77" i="53" s="1"/>
  <c r="AH74" i="53"/>
  <c r="AH77" i="53" s="1"/>
  <c r="AD74" i="53"/>
  <c r="AD77" i="53" s="1"/>
  <c r="AC74" i="53"/>
  <c r="AC77" i="53" s="1"/>
  <c r="I74" i="53"/>
  <c r="I77" i="53" s="1"/>
  <c r="AN74" i="53"/>
  <c r="AN77" i="53" s="1"/>
  <c r="E36" i="48"/>
  <c r="E55" i="48" s="1"/>
  <c r="E74" i="48" s="1"/>
  <c r="E93" i="48" s="1"/>
  <c r="E18" i="48"/>
  <c r="E37" i="48" s="1"/>
  <c r="E56" i="48" s="1"/>
  <c r="E75" i="48" s="1"/>
  <c r="E94" i="48" s="1"/>
  <c r="J107" i="50"/>
  <c r="J38" i="50"/>
  <c r="J42" i="50"/>
  <c r="T110" i="50"/>
  <c r="T93" i="50"/>
  <c r="T89" i="50"/>
  <c r="AF93" i="50"/>
  <c r="B96" i="52"/>
  <c r="B97" i="52" s="1"/>
  <c r="E10" i="48"/>
  <c r="E28" i="48"/>
  <c r="E47" i="48" s="1"/>
  <c r="E66" i="48" s="1"/>
  <c r="E85" i="48" s="1"/>
  <c r="B70" i="52"/>
  <c r="B75" i="52"/>
  <c r="B73" i="52"/>
  <c r="B71" i="52"/>
  <c r="B74" i="52"/>
  <c r="B72" i="52"/>
  <c r="K146" i="28"/>
  <c r="E38" i="41"/>
  <c r="E42" i="41"/>
  <c r="E36" i="41"/>
  <c r="E41" i="41"/>
  <c r="E35" i="41"/>
  <c r="E39" i="41"/>
  <c r="E37" i="41"/>
  <c r="E40" i="41"/>
  <c r="A40" i="53"/>
  <c r="A84" i="53" s="1"/>
  <c r="A64" i="53"/>
  <c r="Z143" i="28"/>
  <c r="Z43" i="52" s="1"/>
  <c r="AB107" i="53" s="1"/>
  <c r="AB112" i="53" s="1"/>
  <c r="A6" i="47"/>
  <c r="A13" i="47" s="1"/>
  <c r="A20" i="47" s="1"/>
  <c r="A27" i="47" s="1"/>
  <c r="D72" i="50"/>
  <c r="D59" i="50"/>
  <c r="L108" i="50"/>
  <c r="H110" i="50"/>
  <c r="K38" i="50"/>
  <c r="K107" i="50"/>
  <c r="A43" i="36"/>
  <c r="A71" i="36" s="1"/>
  <c r="A99" i="36" s="1"/>
  <c r="A23" i="36"/>
  <c r="A51" i="36" s="1"/>
  <c r="A79" i="36" s="1"/>
  <c r="A107" i="36" s="1"/>
  <c r="AP54" i="53"/>
  <c r="AP57" i="53" s="1"/>
  <c r="AF54" i="53"/>
  <c r="AF57" i="53" s="1"/>
  <c r="AM54" i="53"/>
  <c r="AM57" i="53" s="1"/>
  <c r="AL54" i="53"/>
  <c r="AL57" i="53" s="1"/>
  <c r="AB54" i="53"/>
  <c r="AB57" i="53" s="1"/>
  <c r="AE54" i="53"/>
  <c r="AE57" i="53" s="1"/>
  <c r="AH54" i="53"/>
  <c r="AH57" i="53" s="1"/>
  <c r="X54" i="53"/>
  <c r="X57" i="53" s="1"/>
  <c r="W54" i="53"/>
  <c r="W57" i="53" s="1"/>
  <c r="Z54" i="53"/>
  <c r="Z57" i="53" s="1"/>
  <c r="P54" i="53"/>
  <c r="P57" i="53" s="1"/>
  <c r="AK54" i="53"/>
  <c r="AK57" i="53" s="1"/>
  <c r="G54" i="53"/>
  <c r="G57" i="53" s="1"/>
  <c r="AJ54" i="53"/>
  <c r="AJ57" i="53" s="1"/>
  <c r="AC54" i="53"/>
  <c r="AC57" i="53" s="1"/>
  <c r="A98" i="53"/>
  <c r="U54" i="53"/>
  <c r="U57" i="53" s="1"/>
  <c r="T54" i="53"/>
  <c r="T57" i="53" s="1"/>
  <c r="M54" i="53"/>
  <c r="M57" i="53" s="1"/>
  <c r="L54" i="53"/>
  <c r="L57" i="53" s="1"/>
  <c r="AI54" i="53"/>
  <c r="AI57" i="53" s="1"/>
  <c r="H54" i="53"/>
  <c r="H57" i="53" s="1"/>
  <c r="R54" i="53"/>
  <c r="R57" i="53" s="1"/>
  <c r="S54" i="53"/>
  <c r="S57" i="53" s="1"/>
  <c r="N54" i="53"/>
  <c r="N57" i="53" s="1"/>
  <c r="K54" i="53"/>
  <c r="K57" i="53" s="1"/>
  <c r="J54" i="53"/>
  <c r="J57" i="53" s="1"/>
  <c r="F54" i="53"/>
  <c r="F57" i="53" s="1"/>
  <c r="AN54" i="53"/>
  <c r="AN57" i="53" s="1"/>
  <c r="AG54" i="53"/>
  <c r="AG57" i="53" s="1"/>
  <c r="Y54" i="53"/>
  <c r="Y57" i="53" s="1"/>
  <c r="Q54" i="53"/>
  <c r="Q57" i="53" s="1"/>
  <c r="I54" i="53"/>
  <c r="I57" i="53" s="1"/>
  <c r="L55" i="50"/>
  <c r="F109" i="50"/>
  <c r="F76" i="50"/>
  <c r="I76" i="50" s="1"/>
  <c r="U72" i="50"/>
  <c r="U76" i="50"/>
  <c r="V39" i="36"/>
  <c r="V47" i="36" s="1"/>
  <c r="V55" i="36" s="1"/>
  <c r="C233" i="53"/>
  <c r="C334" i="53"/>
  <c r="C369" i="53" s="1"/>
  <c r="Y93" i="50"/>
  <c r="L93" i="50"/>
  <c r="D40" i="53"/>
  <c r="D30" i="53"/>
  <c r="A120" i="36"/>
  <c r="AS8" i="36"/>
  <c r="L163" i="35"/>
  <c r="AJ163" i="35"/>
  <c r="Z76" i="50"/>
  <c r="AL42" i="36"/>
  <c r="AL50" i="36" s="1"/>
  <c r="AL39" i="36"/>
  <c r="AL47" i="36" s="1"/>
  <c r="AL55" i="36" s="1"/>
  <c r="A188" i="53"/>
  <c r="A313" i="53" s="1"/>
  <c r="AS11" i="53"/>
  <c r="C246" i="53"/>
  <c r="C345" i="53"/>
  <c r="C380" i="53" s="1"/>
  <c r="U59" i="50"/>
  <c r="U55" i="50"/>
  <c r="U108" i="50"/>
  <c r="M163" i="35"/>
  <c r="AK163" i="35"/>
  <c r="R8" i="50"/>
  <c r="AK8" i="50" s="1"/>
  <c r="AL8" i="50" s="1"/>
  <c r="AM8" i="50" s="1"/>
  <c r="AN8" i="50" s="1"/>
  <c r="AO8" i="50" s="1"/>
  <c r="AP8" i="50" s="1"/>
  <c r="AF59" i="50"/>
  <c r="R42" i="50"/>
  <c r="AK42" i="50" s="1"/>
  <c r="AL42" i="50" s="1"/>
  <c r="AM42" i="50" s="1"/>
  <c r="AN42" i="50" s="1"/>
  <c r="AO42" i="50" s="1"/>
  <c r="AP42" i="50" s="1"/>
  <c r="AG42" i="36"/>
  <c r="AG50" i="36" s="1"/>
  <c r="AG39" i="36"/>
  <c r="AG47" i="36" s="1"/>
  <c r="AG55" i="36" s="1"/>
  <c r="AM39" i="36"/>
  <c r="AM47" i="36" s="1"/>
  <c r="AM55" i="36" s="1"/>
  <c r="AM42" i="36"/>
  <c r="AM50" i="36" s="1"/>
  <c r="F93" i="50"/>
  <c r="I93" i="50" s="1"/>
  <c r="AG93" i="50"/>
  <c r="AC93" i="50" s="1"/>
  <c r="V93" i="50" s="1"/>
  <c r="AF39" i="36"/>
  <c r="AF47" i="36" s="1"/>
  <c r="AF55" i="36" s="1"/>
  <c r="AF42" i="36"/>
  <c r="AF50" i="36" s="1"/>
  <c r="C254" i="53"/>
  <c r="C351" i="53"/>
  <c r="C386" i="53" s="1"/>
  <c r="L72" i="50"/>
  <c r="E40" i="53"/>
  <c r="E83" i="53"/>
  <c r="E127" i="53" s="1"/>
  <c r="E171" i="53" s="1"/>
  <c r="E216" i="53" s="1"/>
  <c r="J89" i="50"/>
  <c r="J110" i="50"/>
  <c r="U89" i="50"/>
  <c r="C236" i="53"/>
  <c r="C337" i="53"/>
  <c r="C372" i="53" s="1"/>
  <c r="A33" i="47"/>
  <c r="U107" i="50"/>
  <c r="J4" i="50"/>
  <c r="J105" i="50"/>
  <c r="J8" i="50"/>
  <c r="E6" i="53"/>
  <c r="E50" i="53" s="1"/>
  <c r="E94" i="53" s="1"/>
  <c r="E138" i="53" s="1"/>
  <c r="E183" i="53" s="1"/>
  <c r="E227" i="53" s="1"/>
  <c r="D307" i="53"/>
  <c r="A196" i="53"/>
  <c r="AS19" i="53"/>
  <c r="AI72" i="50"/>
  <c r="AI109" i="50"/>
  <c r="U21" i="50"/>
  <c r="U106" i="50"/>
  <c r="E256" i="53"/>
  <c r="E353" i="53"/>
  <c r="E388" i="53" s="1"/>
  <c r="AB42" i="36"/>
  <c r="AB50" i="36" s="1"/>
  <c r="AB39" i="36"/>
  <c r="AB47" i="36" s="1"/>
  <c r="AB55" i="36" s="1"/>
  <c r="A94" i="48"/>
  <c r="AS18" i="48"/>
  <c r="C245" i="53"/>
  <c r="C344" i="53"/>
  <c r="C379" i="53" s="1"/>
  <c r="D9" i="29"/>
  <c r="M92" i="29"/>
  <c r="E5" i="48"/>
  <c r="B99" i="52"/>
  <c r="L149" i="28"/>
  <c r="A199" i="53"/>
  <c r="AS22" i="53"/>
  <c r="AE73" i="53"/>
  <c r="AE78" i="53" s="1"/>
  <c r="Z73" i="53"/>
  <c r="Z78" i="53" s="1"/>
  <c r="R73" i="53"/>
  <c r="R78" i="53" s="1"/>
  <c r="W73" i="53"/>
  <c r="W78" i="53" s="1"/>
  <c r="AI73" i="53"/>
  <c r="AI78" i="53" s="1"/>
  <c r="K73" i="53"/>
  <c r="K78" i="53" s="1"/>
  <c r="O73" i="53"/>
  <c r="O78" i="53" s="1"/>
  <c r="M73" i="53"/>
  <c r="M78" i="53" s="1"/>
  <c r="J73" i="53"/>
  <c r="J78" i="53" s="1"/>
  <c r="G73" i="53"/>
  <c r="G78" i="53" s="1"/>
  <c r="AH73" i="53"/>
  <c r="AH78" i="53" s="1"/>
  <c r="AB73" i="53"/>
  <c r="AB78" i="53" s="1"/>
  <c r="AD73" i="53"/>
  <c r="AD78" i="53" s="1"/>
  <c r="L73" i="53"/>
  <c r="L78" i="53" s="1"/>
  <c r="I73" i="53"/>
  <c r="I78" i="53" s="1"/>
  <c r="F73" i="53"/>
  <c r="F78" i="53" s="1"/>
  <c r="AK73" i="53"/>
  <c r="AK78" i="53" s="1"/>
  <c r="AG73" i="53"/>
  <c r="AG78" i="53" s="1"/>
  <c r="Y73" i="53"/>
  <c r="Y78" i="53" s="1"/>
  <c r="AA73" i="53"/>
  <c r="AA78" i="53" s="1"/>
  <c r="AF73" i="53"/>
  <c r="AF78" i="53" s="1"/>
  <c r="Q73" i="53"/>
  <c r="Q78" i="53" s="1"/>
  <c r="AC73" i="53"/>
  <c r="AC78" i="53" s="1"/>
  <c r="AJ73" i="53"/>
  <c r="AJ78" i="53" s="1"/>
  <c r="H73" i="53"/>
  <c r="H78" i="53" s="1"/>
  <c r="AO73" i="53"/>
  <c r="AO78" i="53" s="1"/>
  <c r="V73" i="53"/>
  <c r="V78" i="53" s="1"/>
  <c r="AN73" i="53"/>
  <c r="AN78" i="53" s="1"/>
  <c r="AM73" i="53"/>
  <c r="AM78" i="53" s="1"/>
  <c r="AL73" i="53"/>
  <c r="AL78" i="53" s="1"/>
  <c r="X73" i="53"/>
  <c r="X78" i="53" s="1"/>
  <c r="U73" i="53"/>
  <c r="U78" i="53" s="1"/>
  <c r="AP73" i="53"/>
  <c r="AP78" i="53" s="1"/>
  <c r="T73" i="53"/>
  <c r="T78" i="53" s="1"/>
  <c r="A117" i="53"/>
  <c r="N73" i="53"/>
  <c r="N78" i="53" s="1"/>
  <c r="P73" i="53"/>
  <c r="P78" i="53" s="1"/>
  <c r="H42" i="50"/>
  <c r="AA73" i="59"/>
  <c r="AA10" i="59" s="1"/>
  <c r="AA11" i="59"/>
  <c r="AA106" i="59"/>
  <c r="M40" i="41"/>
  <c r="O76" i="50" s="1"/>
  <c r="M37" i="41"/>
  <c r="M35" i="41"/>
  <c r="P89" i="50"/>
  <c r="A189" i="53"/>
  <c r="A320" i="53" s="1"/>
  <c r="AS12" i="53"/>
  <c r="G55" i="59"/>
  <c r="O106" i="50"/>
  <c r="N41" i="41"/>
  <c r="N40" i="41"/>
  <c r="N39" i="41"/>
  <c r="T21" i="50"/>
  <c r="T106" i="50"/>
  <c r="O39" i="41"/>
  <c r="O42" i="41"/>
  <c r="O37" i="41"/>
  <c r="O40" i="41"/>
  <c r="O36" i="41"/>
  <c r="A185" i="53"/>
  <c r="A316" i="53" s="1"/>
  <c r="AS8" i="53"/>
  <c r="BA8" i="53" s="1"/>
  <c r="W72" i="50"/>
  <c r="W109" i="50"/>
  <c r="AC36" i="41"/>
  <c r="AE93" i="50" s="1"/>
  <c r="AC35" i="41"/>
  <c r="R75" i="53"/>
  <c r="N75" i="53"/>
  <c r="M75" i="53"/>
  <c r="J75" i="53"/>
  <c r="AO75" i="53"/>
  <c r="AC75" i="53"/>
  <c r="I75" i="53"/>
  <c r="Z75" i="53"/>
  <c r="AM75" i="53"/>
  <c r="X75" i="53"/>
  <c r="S75" i="53"/>
  <c r="AN75" i="53"/>
  <c r="AB75" i="53"/>
  <c r="H75" i="53"/>
  <c r="AK75" i="53"/>
  <c r="Q75" i="53"/>
  <c r="AJ75" i="53"/>
  <c r="P75" i="53"/>
  <c r="AI75" i="53"/>
  <c r="L75" i="53"/>
  <c r="AE75" i="53"/>
  <c r="W75" i="53"/>
  <c r="O75" i="53"/>
  <c r="G75" i="53"/>
  <c r="AL75" i="53"/>
  <c r="AD75" i="53"/>
  <c r="V75" i="53"/>
  <c r="A119" i="53"/>
  <c r="F75" i="53"/>
  <c r="AG75" i="53"/>
  <c r="U75" i="53"/>
  <c r="AB17" i="58"/>
  <c r="AB31" i="58" s="1"/>
  <c r="AG163" i="35"/>
  <c r="P40" i="41"/>
  <c r="P41" i="41"/>
  <c r="P38" i="41"/>
  <c r="P42" i="41"/>
  <c r="P39" i="41"/>
  <c r="P35" i="41"/>
  <c r="P37" i="41"/>
  <c r="AD53" i="53"/>
  <c r="AD58" i="53" s="1"/>
  <c r="AH53" i="53"/>
  <c r="AH58" i="53" s="1"/>
  <c r="AN53" i="53"/>
  <c r="AN58" i="53" s="1"/>
  <c r="S53" i="53"/>
  <c r="S58" i="53" s="1"/>
  <c r="V53" i="53"/>
  <c r="V58" i="53" s="1"/>
  <c r="T53" i="53"/>
  <c r="T58" i="53" s="1"/>
  <c r="AI53" i="53"/>
  <c r="AI58" i="53" s="1"/>
  <c r="AF53" i="53"/>
  <c r="AF58" i="53" s="1"/>
  <c r="J53" i="53"/>
  <c r="J58" i="53" s="1"/>
  <c r="F53" i="53"/>
  <c r="F58" i="53" s="1"/>
  <c r="AL53" i="53"/>
  <c r="AL58" i="53" s="1"/>
  <c r="U53" i="53"/>
  <c r="U58" i="53" s="1"/>
  <c r="H53" i="53"/>
  <c r="H58" i="53" s="1"/>
  <c r="G53" i="53"/>
  <c r="G58" i="53" s="1"/>
  <c r="AM53" i="53"/>
  <c r="AM58" i="53" s="1"/>
  <c r="AC53" i="53"/>
  <c r="AC58" i="53" s="1"/>
  <c r="AJ53" i="53"/>
  <c r="AJ58" i="53" s="1"/>
  <c r="A97" i="53"/>
  <c r="P53" i="53"/>
  <c r="P58" i="53" s="1"/>
  <c r="Y53" i="53"/>
  <c r="Y58" i="53" s="1"/>
  <c r="I53" i="53"/>
  <c r="I58" i="53" s="1"/>
  <c r="AP53" i="53"/>
  <c r="AP58" i="53" s="1"/>
  <c r="AK53" i="53"/>
  <c r="AK58" i="53" s="1"/>
  <c r="AA53" i="53"/>
  <c r="AA58" i="53" s="1"/>
  <c r="W53" i="53"/>
  <c r="W58" i="53" s="1"/>
  <c r="O53" i="53"/>
  <c r="O58" i="53" s="1"/>
  <c r="AG53" i="53"/>
  <c r="AG58" i="53" s="1"/>
  <c r="Q53" i="53"/>
  <c r="Q58" i="53" s="1"/>
  <c r="Z53" i="53"/>
  <c r="Z58" i="53" s="1"/>
  <c r="N53" i="53"/>
  <c r="N58" i="53" s="1"/>
  <c r="AO53" i="53"/>
  <c r="AO58" i="53" s="1"/>
  <c r="K53" i="53"/>
  <c r="K58" i="53" s="1"/>
  <c r="AE53" i="53"/>
  <c r="AE58" i="53" s="1"/>
  <c r="X53" i="53"/>
  <c r="X58" i="53" s="1"/>
  <c r="L53" i="53"/>
  <c r="L58" i="53" s="1"/>
  <c r="AB53" i="53"/>
  <c r="AB58" i="53" s="1"/>
  <c r="AF110" i="50"/>
  <c r="I163" i="35"/>
  <c r="AH163" i="35"/>
  <c r="L110" i="50"/>
  <c r="K110" i="50"/>
  <c r="R40" i="41"/>
  <c r="C11" i="36"/>
  <c r="C39" i="36" s="1"/>
  <c r="C67" i="36" s="1"/>
  <c r="C95" i="36" s="1"/>
  <c r="C123" i="36" s="1"/>
  <c r="C11" i="55"/>
  <c r="N163" i="35"/>
  <c r="AL163" i="35"/>
  <c r="AD63" i="53"/>
  <c r="AD68" i="53" s="1"/>
  <c r="E250" i="53"/>
  <c r="E347" i="53"/>
  <c r="E382" i="53" s="1"/>
  <c r="AM20" i="59"/>
  <c r="AM115" i="59"/>
  <c r="O163" i="35"/>
  <c r="AM163" i="35"/>
  <c r="G63" i="53"/>
  <c r="G68" i="53" s="1"/>
  <c r="C350" i="53"/>
  <c r="C385" i="53" s="1"/>
  <c r="C253" i="53"/>
  <c r="E346" i="53"/>
  <c r="E381" i="53" s="1"/>
  <c r="E249" i="53"/>
  <c r="P163" i="35"/>
  <c r="J25" i="50"/>
  <c r="AN60" i="59"/>
  <c r="Q163" i="35"/>
  <c r="AO163" i="35"/>
  <c r="C14" i="55"/>
  <c r="C14" i="36"/>
  <c r="C42" i="36" s="1"/>
  <c r="C70" i="36" s="1"/>
  <c r="C98" i="36" s="1"/>
  <c r="C126" i="36" s="1"/>
  <c r="C349" i="53"/>
  <c r="C384" i="53" s="1"/>
  <c r="C252" i="53"/>
  <c r="A44" i="53"/>
  <c r="A88" i="53" s="1"/>
  <c r="A132" i="53" s="1"/>
  <c r="A176" i="53" s="1"/>
  <c r="A34" i="53"/>
  <c r="A78" i="53" s="1"/>
  <c r="A122" i="53" s="1"/>
  <c r="A166" i="53" s="1"/>
  <c r="A211" i="53" s="1"/>
  <c r="R163" i="35"/>
  <c r="AP163" i="35"/>
  <c r="S163" i="35"/>
  <c r="AQ163" i="35"/>
  <c r="A65" i="53"/>
  <c r="A41" i="53"/>
  <c r="A85" i="53" s="1"/>
  <c r="AS14" i="53"/>
  <c r="A191" i="53"/>
  <c r="A318" i="53" s="1"/>
  <c r="AG38" i="50"/>
  <c r="AG35" i="41"/>
  <c r="N25" i="50"/>
  <c r="D29" i="53"/>
  <c r="D39" i="53"/>
  <c r="U163" i="35"/>
  <c r="AG89" i="50"/>
  <c r="V163" i="35"/>
  <c r="AJ63" i="53"/>
  <c r="AJ68" i="53" s="1"/>
  <c r="I63" i="53"/>
  <c r="I68" i="53" s="1"/>
  <c r="J63" i="53"/>
  <c r="J68" i="53" s="1"/>
  <c r="L63" i="53"/>
  <c r="L68" i="53" s="1"/>
  <c r="X63" i="53"/>
  <c r="X68" i="53" s="1"/>
  <c r="AL63" i="53"/>
  <c r="AL68" i="53" s="1"/>
  <c r="AI63" i="53"/>
  <c r="AI68" i="53" s="1"/>
  <c r="AH63" i="53"/>
  <c r="AH68" i="53" s="1"/>
  <c r="M63" i="53"/>
  <c r="M68" i="53" s="1"/>
  <c r="Z63" i="53"/>
  <c r="Z68" i="53" s="1"/>
  <c r="AG63" i="53"/>
  <c r="AG68" i="53" s="1"/>
  <c r="Y63" i="53"/>
  <c r="Y68" i="53" s="1"/>
  <c r="O63" i="53"/>
  <c r="O68" i="53" s="1"/>
  <c r="AE63" i="53"/>
  <c r="AE68" i="53" s="1"/>
  <c r="N63" i="53"/>
  <c r="N68" i="53" s="1"/>
  <c r="T63" i="53"/>
  <c r="T68" i="53" s="1"/>
  <c r="AF63" i="53"/>
  <c r="AF68" i="53" s="1"/>
  <c r="H63" i="53"/>
  <c r="H68" i="53" s="1"/>
  <c r="AA63" i="53"/>
  <c r="AA68" i="53" s="1"/>
  <c r="Q63" i="53"/>
  <c r="Q68" i="53" s="1"/>
  <c r="AB63" i="53"/>
  <c r="AB68" i="53" s="1"/>
  <c r="P63" i="53"/>
  <c r="P68" i="53" s="1"/>
  <c r="W63" i="53"/>
  <c r="W68" i="53" s="1"/>
  <c r="AN63" i="53"/>
  <c r="AN68" i="53" s="1"/>
  <c r="R63" i="53"/>
  <c r="R68" i="53" s="1"/>
  <c r="F63" i="53"/>
  <c r="F68" i="53" s="1"/>
  <c r="AC63" i="53"/>
  <c r="AC68" i="53" s="1"/>
  <c r="AK63" i="53"/>
  <c r="AK68" i="53" s="1"/>
  <c r="D34" i="53"/>
  <c r="D44" i="53"/>
  <c r="C249" i="53"/>
  <c r="C346" i="53"/>
  <c r="C381" i="53" s="1"/>
  <c r="E75" i="53"/>
  <c r="E119" i="53" s="1"/>
  <c r="E163" i="53" s="1"/>
  <c r="E208" i="53" s="1"/>
  <c r="E32" i="53"/>
  <c r="Z59" i="50"/>
  <c r="E4" i="55"/>
  <c r="E5" i="55" s="1"/>
  <c r="E6" i="55" s="1"/>
  <c r="E7" i="55" s="1"/>
  <c r="E8" i="55" s="1"/>
  <c r="E9" i="55" s="1"/>
  <c r="E10" i="55" s="1"/>
  <c r="E11" i="55" s="1"/>
  <c r="E4" i="36"/>
  <c r="D42" i="53"/>
  <c r="AL56" i="59"/>
  <c r="W163" i="35"/>
  <c r="M17" i="58"/>
  <c r="M31" i="58" s="1"/>
  <c r="AK100" i="59"/>
  <c r="AK5" i="59"/>
  <c r="AM73" i="59"/>
  <c r="AM10" i="59" s="1"/>
  <c r="AM106" i="59"/>
  <c r="AM11" i="59"/>
  <c r="Y178" i="59"/>
  <c r="Y177" i="59"/>
  <c r="Y180" i="59"/>
  <c r="Y183" i="59"/>
  <c r="Y182" i="59"/>
  <c r="Y184" i="59"/>
  <c r="Y179" i="59"/>
  <c r="X163" i="35"/>
  <c r="AM119" i="59"/>
  <c r="AM24" i="59"/>
  <c r="Y163" i="35"/>
  <c r="U44" i="59"/>
  <c r="U107" i="59" s="1"/>
  <c r="U108" i="59"/>
  <c r="AA70" i="59"/>
  <c r="T70" i="59"/>
  <c r="AA88" i="59"/>
  <c r="G71" i="59"/>
  <c r="G90" i="59"/>
  <c r="W170" i="59"/>
  <c r="W173" i="59"/>
  <c r="W175" i="59"/>
  <c r="W168" i="59"/>
  <c r="U173" i="59"/>
  <c r="Z163" i="35"/>
  <c r="M72" i="53"/>
  <c r="AH72" i="53"/>
  <c r="T72" i="53"/>
  <c r="A116" i="53"/>
  <c r="AE72" i="53"/>
  <c r="P72" i="53"/>
  <c r="W72" i="53"/>
  <c r="I72" i="53"/>
  <c r="O72" i="53"/>
  <c r="AA72" i="53"/>
  <c r="G72" i="53"/>
  <c r="H72" i="53"/>
  <c r="AL72" i="53"/>
  <c r="AB72" i="53"/>
  <c r="AD72" i="53"/>
  <c r="N72" i="53"/>
  <c r="F72" i="53"/>
  <c r="AI72" i="53"/>
  <c r="X72" i="53"/>
  <c r="AM122" i="59"/>
  <c r="AM27" i="59"/>
  <c r="X170" i="59"/>
  <c r="X174" i="59"/>
  <c r="X169" i="59"/>
  <c r="X173" i="59"/>
  <c r="D171" i="59"/>
  <c r="D189" i="59"/>
  <c r="AM51" i="59"/>
  <c r="AN110" i="59"/>
  <c r="Y168" i="59"/>
  <c r="Y173" i="59"/>
  <c r="Y175" i="59"/>
  <c r="Y172" i="59"/>
  <c r="Y174" i="59"/>
  <c r="AB163" i="35"/>
  <c r="A215" i="53"/>
  <c r="E295" i="53" s="1"/>
  <c r="AS38" i="53"/>
  <c r="C250" i="53"/>
  <c r="C347" i="53"/>
  <c r="C382" i="53" s="1"/>
  <c r="AL115" i="59"/>
  <c r="AL20" i="59"/>
  <c r="AC163" i="35"/>
  <c r="A67" i="53"/>
  <c r="A111" i="53" s="1"/>
  <c r="A155" i="53" s="1"/>
  <c r="A33" i="53"/>
  <c r="A77" i="53" s="1"/>
  <c r="A121" i="53" s="1"/>
  <c r="A165" i="53" s="1"/>
  <c r="A210" i="53" s="1"/>
  <c r="A43" i="53"/>
  <c r="A87" i="53" s="1"/>
  <c r="A131" i="53" s="1"/>
  <c r="A175" i="53" s="1"/>
  <c r="AJ46" i="59"/>
  <c r="T50" i="59"/>
  <c r="D38" i="53"/>
  <c r="D28" i="53"/>
  <c r="A190" i="53"/>
  <c r="A319" i="53" s="1"/>
  <c r="AS13" i="53"/>
  <c r="T109" i="59"/>
  <c r="T14" i="59"/>
  <c r="AS32" i="53"/>
  <c r="AS42" i="53"/>
  <c r="A219" i="53"/>
  <c r="E299" i="53" s="1"/>
  <c r="AK83" i="53"/>
  <c r="AK88" i="53" s="1"/>
  <c r="Z83" i="53"/>
  <c r="Z88" i="53" s="1"/>
  <c r="AH83" i="53"/>
  <c r="AH88" i="53" s="1"/>
  <c r="AO83" i="53"/>
  <c r="AO88" i="53" s="1"/>
  <c r="AG83" i="53"/>
  <c r="AG88" i="53" s="1"/>
  <c r="Q83" i="53"/>
  <c r="Q88" i="53" s="1"/>
  <c r="L83" i="53"/>
  <c r="L88" i="53" s="1"/>
  <c r="H83" i="53"/>
  <c r="H88" i="53" s="1"/>
  <c r="M83" i="53"/>
  <c r="M88" i="53" s="1"/>
  <c r="AJ83" i="53"/>
  <c r="AJ88" i="53" s="1"/>
  <c r="I83" i="53"/>
  <c r="I88" i="53" s="1"/>
  <c r="T83" i="53"/>
  <c r="T88" i="53" s="1"/>
  <c r="Y83" i="53"/>
  <c r="Y88" i="53" s="1"/>
  <c r="AL83" i="53"/>
  <c r="AL88" i="53" s="1"/>
  <c r="AF83" i="53"/>
  <c r="AF88" i="53" s="1"/>
  <c r="AM83" i="53"/>
  <c r="AM88" i="53" s="1"/>
  <c r="AD83" i="53"/>
  <c r="AD88" i="53" s="1"/>
  <c r="P83" i="53"/>
  <c r="P88" i="53" s="1"/>
  <c r="A127" i="53"/>
  <c r="AI83" i="53"/>
  <c r="AI88" i="53" s="1"/>
  <c r="N83" i="53"/>
  <c r="N88" i="53" s="1"/>
  <c r="AC83" i="53"/>
  <c r="AC88" i="53" s="1"/>
  <c r="D43" i="53"/>
  <c r="D33" i="53"/>
  <c r="C348" i="53"/>
  <c r="C383" i="53" s="1"/>
  <c r="E348" i="53"/>
  <c r="E383" i="53" s="1"/>
  <c r="E251" i="53"/>
  <c r="I17" i="58"/>
  <c r="I31" i="58" s="1"/>
  <c r="AN45" i="59"/>
  <c r="AF163" i="35"/>
  <c r="Q72" i="53"/>
  <c r="AI60" i="59"/>
  <c r="AN75" i="59"/>
  <c r="AN12" i="59" s="1"/>
  <c r="AN13" i="59"/>
  <c r="K163" i="35"/>
  <c r="AI163" i="35"/>
  <c r="C22" i="55"/>
  <c r="V52" i="53"/>
  <c r="U56" i="53"/>
  <c r="G13" i="59"/>
  <c r="AJ78" i="59"/>
  <c r="AJ69" i="59"/>
  <c r="AM78" i="59"/>
  <c r="AJ87" i="59"/>
  <c r="AM69" i="59"/>
  <c r="AL78" i="59"/>
  <c r="AA18" i="59"/>
  <c r="AA113" i="59"/>
  <c r="Z170" i="59"/>
  <c r="Z171" i="59"/>
  <c r="Z173" i="59"/>
  <c r="AG171" i="59"/>
  <c r="K17" i="58"/>
  <c r="K31" i="58" s="1"/>
  <c r="T100" i="59"/>
  <c r="T5" i="59"/>
  <c r="G74" i="59"/>
  <c r="E94" i="59"/>
  <c r="T79" i="59"/>
  <c r="AA79" i="59"/>
  <c r="G89" i="59"/>
  <c r="G80" i="59"/>
  <c r="AP55" i="53"/>
  <c r="T55" i="53"/>
  <c r="K55" i="53"/>
  <c r="AN55" i="53"/>
  <c r="AC55" i="53"/>
  <c r="O55" i="53"/>
  <c r="G55" i="53"/>
  <c r="R55" i="53"/>
  <c r="L55" i="53"/>
  <c r="AJ55" i="53"/>
  <c r="J55" i="53"/>
  <c r="X55" i="53"/>
  <c r="AF55" i="53"/>
  <c r="D173" i="59"/>
  <c r="D191" i="59" s="1"/>
  <c r="D169" i="59"/>
  <c r="D187" i="59" s="1"/>
  <c r="AC169" i="59"/>
  <c r="AC173" i="59"/>
  <c r="AC175" i="59"/>
  <c r="AC174" i="59"/>
  <c r="D172" i="59"/>
  <c r="D190" i="59"/>
  <c r="AB55" i="53"/>
  <c r="D41" i="53"/>
  <c r="D31" i="53"/>
  <c r="AA29" i="59"/>
  <c r="AA124" i="59"/>
  <c r="AK103" i="59"/>
  <c r="AI79" i="59"/>
  <c r="AK79" i="59"/>
  <c r="AD174" i="59"/>
  <c r="AD170" i="59"/>
  <c r="AD171" i="59"/>
  <c r="AD172" i="59"/>
  <c r="X168" i="59"/>
  <c r="I171" i="59"/>
  <c r="J163" i="35"/>
  <c r="AM56" i="53"/>
  <c r="S55" i="53"/>
  <c r="AK122" i="59"/>
  <c r="AK27" i="59"/>
  <c r="X163" i="59"/>
  <c r="AE168" i="59"/>
  <c r="AE172" i="59"/>
  <c r="W55" i="53"/>
  <c r="G56" i="53"/>
  <c r="AN56" i="53"/>
  <c r="AK56" i="53"/>
  <c r="AJ56" i="53"/>
  <c r="AC56" i="53"/>
  <c r="AB56" i="53"/>
  <c r="M56" i="53"/>
  <c r="L56" i="53"/>
  <c r="H56" i="53"/>
  <c r="AO56" i="53"/>
  <c r="C17" i="58"/>
  <c r="C31" i="58" s="1"/>
  <c r="AJ122" i="59"/>
  <c r="AJ27" i="59"/>
  <c r="AA122" i="59"/>
  <c r="AA27" i="59"/>
  <c r="AA76" i="59"/>
  <c r="T76" i="59"/>
  <c r="AA85" i="59"/>
  <c r="G69" i="59"/>
  <c r="G78" i="59"/>
  <c r="AI88" i="59"/>
  <c r="AK88" i="59"/>
  <c r="D162" i="59"/>
  <c r="Y163" i="59"/>
  <c r="U139" i="59"/>
  <c r="U169" i="59"/>
  <c r="J56" i="53"/>
  <c r="AA55" i="53"/>
  <c r="T8" i="59"/>
  <c r="T103" i="59"/>
  <c r="AL88" i="59"/>
  <c r="AN79" i="59"/>
  <c r="AL79" i="59"/>
  <c r="AJ70" i="59"/>
  <c r="AJ88" i="59"/>
  <c r="AL70" i="59"/>
  <c r="AJ79" i="59"/>
  <c r="AM79" i="59"/>
  <c r="AM88" i="59"/>
  <c r="Y161" i="59"/>
  <c r="Y160" i="59"/>
  <c r="F170" i="59"/>
  <c r="F173" i="59"/>
  <c r="F171" i="59"/>
  <c r="F172" i="59"/>
  <c r="F168" i="59"/>
  <c r="AG172" i="59"/>
  <c r="AG174" i="59"/>
  <c r="AG173" i="59"/>
  <c r="X181" i="59"/>
  <c r="N56" i="53"/>
  <c r="AE55" i="53"/>
  <c r="AI100" i="59"/>
  <c r="AI5" i="59"/>
  <c r="AA123" i="59"/>
  <c r="AA28" i="59"/>
  <c r="Z164" i="59"/>
  <c r="Z160" i="59"/>
  <c r="AC168" i="59"/>
  <c r="W169" i="59"/>
  <c r="AM60" i="59"/>
  <c r="R56" i="53"/>
  <c r="AI55" i="53"/>
  <c r="AH13" i="57"/>
  <c r="R17" i="58" s="1"/>
  <c r="R31" i="58" s="1"/>
  <c r="AI17" i="59"/>
  <c r="AI112" i="59"/>
  <c r="AM118" i="59"/>
  <c r="AM23" i="59"/>
  <c r="AL68" i="59"/>
  <c r="AJ68" i="59"/>
  <c r="AN68" i="59"/>
  <c r="AN119" i="59"/>
  <c r="AN24" i="59"/>
  <c r="AB163" i="59"/>
  <c r="AB164" i="59"/>
  <c r="I173" i="59"/>
  <c r="I169" i="59"/>
  <c r="I174" i="59"/>
  <c r="I170" i="59"/>
  <c r="D168" i="59"/>
  <c r="D186" i="59"/>
  <c r="T163" i="35"/>
  <c r="AR163" i="35"/>
  <c r="V56" i="53"/>
  <c r="AM55" i="53"/>
  <c r="AN88" i="59"/>
  <c r="T69" i="59"/>
  <c r="AA69" i="59"/>
  <c r="G88" i="59"/>
  <c r="G70" i="59"/>
  <c r="G100" i="59"/>
  <c r="G5" i="59"/>
  <c r="G67" i="59"/>
  <c r="G22" i="59"/>
  <c r="G117" i="59"/>
  <c r="AK89" i="59"/>
  <c r="AI89" i="59"/>
  <c r="AM62" i="53"/>
  <c r="G62" i="53"/>
  <c r="G82" i="53"/>
  <c r="J86" i="53"/>
  <c r="O66" i="53"/>
  <c r="U175" i="59"/>
  <c r="M182" i="59"/>
  <c r="M178" i="59"/>
  <c r="M180" i="59"/>
  <c r="W178" i="59"/>
  <c r="AK118" i="59"/>
  <c r="AK23" i="59"/>
  <c r="AK70" i="59"/>
  <c r="AK67" i="59" s="1"/>
  <c r="T85" i="59"/>
  <c r="AF164" i="59"/>
  <c r="AF160" i="59"/>
  <c r="AF163" i="59"/>
  <c r="X160" i="59"/>
  <c r="I168" i="59"/>
  <c r="AA52" i="59"/>
  <c r="AL90" i="59"/>
  <c r="AJ71" i="59"/>
  <c r="AM71" i="59"/>
  <c r="AN90" i="59"/>
  <c r="AJ82" i="59"/>
  <c r="AL71" i="59"/>
  <c r="AJ92" i="59"/>
  <c r="AL92" i="59"/>
  <c r="AL72" i="59"/>
  <c r="AN83" i="59"/>
  <c r="AJ83" i="59"/>
  <c r="AN72" i="59"/>
  <c r="AM72" i="59"/>
  <c r="R12" i="28"/>
  <c r="AL14" i="59"/>
  <c r="AL109" i="59"/>
  <c r="G72" i="59"/>
  <c r="AN113" i="59"/>
  <c r="AN18" i="59"/>
  <c r="AK85" i="59"/>
  <c r="T93" i="59"/>
  <c r="T30" i="59" s="1"/>
  <c r="AA93" i="59"/>
  <c r="AA30" i="59" s="1"/>
  <c r="AH163" i="59"/>
  <c r="AH161" i="59"/>
  <c r="AH162" i="59"/>
  <c r="I12" i="28"/>
  <c r="X13" i="57"/>
  <c r="H17" i="58" s="1"/>
  <c r="H31" i="58" s="1"/>
  <c r="AJ72" i="59"/>
  <c r="AL76" i="59"/>
  <c r="AM76" i="59"/>
  <c r="AM85" i="59"/>
  <c r="AJ85" i="59"/>
  <c r="AL85" i="59"/>
  <c r="AJ118" i="59"/>
  <c r="AJ23" i="59"/>
  <c r="AN71" i="59"/>
  <c r="AF94" i="59"/>
  <c r="V183" i="59"/>
  <c r="AD17" i="58"/>
  <c r="AD31" i="58" s="1"/>
  <c r="AG169" i="59"/>
  <c r="W183" i="59"/>
  <c r="M66" i="53"/>
  <c r="N66" i="53"/>
  <c r="W66" i="53"/>
  <c r="AB76" i="53"/>
  <c r="N76" i="53"/>
  <c r="AJ76" i="53"/>
  <c r="AH164" i="59"/>
  <c r="AH94" i="59"/>
  <c r="D175" i="59"/>
  <c r="D193" i="59"/>
  <c r="U183" i="59"/>
  <c r="U177" i="59"/>
  <c r="U178" i="59"/>
  <c r="W179" i="59"/>
  <c r="W62" i="53"/>
  <c r="O82" i="53"/>
  <c r="AK86" i="53"/>
  <c r="AP86" i="53"/>
  <c r="I66" i="53"/>
  <c r="AL66" i="53"/>
  <c r="S76" i="53"/>
  <c r="W76" i="53"/>
  <c r="AD52" i="53"/>
  <c r="AO52" i="53"/>
  <c r="G109" i="59"/>
  <c r="G14" i="59"/>
  <c r="S169" i="59"/>
  <c r="S174" i="59"/>
  <c r="S172" i="59"/>
  <c r="D170" i="59"/>
  <c r="D188" i="59" s="1"/>
  <c r="W172" i="59"/>
  <c r="AK82" i="53"/>
  <c r="I86" i="53"/>
  <c r="Q66" i="53"/>
  <c r="AP66" i="53"/>
  <c r="U52" i="53"/>
  <c r="T52" i="53"/>
  <c r="AO76" i="53"/>
  <c r="AE76" i="53"/>
  <c r="AI71" i="59"/>
  <c r="AA103" i="59"/>
  <c r="AA8" i="59"/>
  <c r="Z161" i="59"/>
  <c r="V172" i="59"/>
  <c r="V170" i="59"/>
  <c r="AC171" i="59"/>
  <c r="X172" i="59"/>
  <c r="V184" i="59"/>
  <c r="O181" i="59"/>
  <c r="K163" i="59"/>
  <c r="AG94" i="59"/>
  <c r="AM113" i="59"/>
  <c r="AM18" i="59"/>
  <c r="T90" i="59"/>
  <c r="AA82" i="59"/>
  <c r="T92" i="59"/>
  <c r="G93" i="59"/>
  <c r="G30" i="59" s="1"/>
  <c r="I162" i="59"/>
  <c r="Y164" i="59"/>
  <c r="Y169" i="59"/>
  <c r="S170" i="59"/>
  <c r="Z45" i="28"/>
  <c r="Z110" i="28" s="1"/>
  <c r="E45" i="28"/>
  <c r="E110" i="28" s="1"/>
  <c r="AK76" i="59"/>
  <c r="AI76" i="59"/>
  <c r="Z169" i="59"/>
  <c r="AE173" i="59"/>
  <c r="J12" i="28"/>
  <c r="V45" i="28"/>
  <c r="V110" i="28" s="1"/>
  <c r="U12" i="28"/>
  <c r="T72" i="59"/>
  <c r="T83" i="59"/>
  <c r="AA72" i="59"/>
  <c r="AI77" i="59"/>
  <c r="AK77" i="59"/>
  <c r="AA118" i="59"/>
  <c r="AA23" i="59"/>
  <c r="D160" i="59"/>
  <c r="Y170" i="59"/>
  <c r="V171" i="59"/>
  <c r="D174" i="59"/>
  <c r="D192" i="59" s="1"/>
  <c r="AK93" i="59"/>
  <c r="AK30" i="59" s="1"/>
  <c r="AI93" i="59"/>
  <c r="AI30" i="59" s="1"/>
  <c r="W171" i="59"/>
  <c r="AE174" i="59"/>
  <c r="X175" i="59"/>
  <c r="V182" i="59"/>
  <c r="W12" i="28"/>
  <c r="N94" i="59"/>
  <c r="AI72" i="59"/>
  <c r="AK83" i="59"/>
  <c r="AA78" i="59"/>
  <c r="T78" i="59"/>
  <c r="G79" i="59"/>
  <c r="AG164" i="59"/>
  <c r="X171" i="59"/>
  <c r="R179" i="59"/>
  <c r="W182" i="59"/>
  <c r="O180" i="59"/>
  <c r="AB45" i="28"/>
  <c r="AB110" i="28" s="1"/>
  <c r="T49" i="59"/>
  <c r="G82" i="59"/>
  <c r="AI86" i="59"/>
  <c r="AI84" i="59" s="1"/>
  <c r="AI21" i="59" s="1"/>
  <c r="G87" i="59"/>
  <c r="AC170" i="59"/>
  <c r="Y171" i="59"/>
  <c r="Z175" i="59"/>
  <c r="AH45" i="28"/>
  <c r="AH110" i="28" s="1"/>
  <c r="K144" i="28"/>
  <c r="AK87" i="59"/>
  <c r="P94" i="59"/>
  <c r="AK78" i="59"/>
  <c r="AI78" i="59"/>
  <c r="I164" i="59"/>
  <c r="U172" i="59"/>
  <c r="AD183" i="59"/>
  <c r="T89" i="59"/>
  <c r="AI70" i="59"/>
  <c r="T74" i="59"/>
  <c r="T82" i="59"/>
  <c r="G83" i="59"/>
  <c r="AM93" i="59"/>
  <c r="AM30" i="59" s="1"/>
  <c r="AD168" i="59"/>
  <c r="AG175" i="59"/>
  <c r="E182" i="59"/>
  <c r="E12" i="28"/>
  <c r="S45" i="28"/>
  <c r="S110" i="28" s="1"/>
  <c r="AA89" i="59"/>
  <c r="AL69" i="59"/>
  <c r="S94" i="59"/>
  <c r="AA17" i="59"/>
  <c r="AK123" i="59"/>
  <c r="H160" i="59"/>
  <c r="AB160" i="59"/>
  <c r="AG163" i="59"/>
  <c r="U180" i="59"/>
  <c r="AG182" i="59"/>
  <c r="X184" i="59"/>
  <c r="H163" i="59"/>
  <c r="S12" i="28"/>
  <c r="AN82" i="59"/>
  <c r="AA87" i="59"/>
  <c r="I144" i="28"/>
  <c r="E164" i="59"/>
  <c r="F184" i="59"/>
  <c r="F183" i="59"/>
  <c r="AD144" i="28"/>
  <c r="AL74" i="59"/>
  <c r="AM70" i="59"/>
  <c r="AN70" i="59"/>
  <c r="AK80" i="59"/>
  <c r="U170" i="59"/>
  <c r="AG183" i="59"/>
  <c r="AN74" i="59"/>
  <c r="T87" i="59"/>
  <c r="AL80" i="59"/>
  <c r="AN69" i="59"/>
  <c r="V174" i="59"/>
  <c r="Q178" i="59"/>
  <c r="AG12" i="28"/>
  <c r="M45" i="28"/>
  <c r="M110" i="28" s="1"/>
  <c r="F94" i="59"/>
  <c r="AI83" i="59"/>
  <c r="AH160" i="59"/>
  <c r="F169" i="59"/>
  <c r="AF12" i="28"/>
  <c r="AB144" i="28"/>
  <c r="AJ74" i="59"/>
  <c r="G50" i="59"/>
  <c r="H94" i="59"/>
  <c r="AE169" i="59"/>
  <c r="K12" i="28"/>
  <c r="X144" i="28"/>
  <c r="L144" i="28"/>
  <c r="T123" i="59"/>
  <c r="I94" i="59"/>
  <c r="AK50" i="59"/>
  <c r="R173" i="59"/>
  <c r="R172" i="59"/>
  <c r="R175" i="59"/>
  <c r="O182" i="59"/>
  <c r="P45" i="28"/>
  <c r="P110" i="28" s="1"/>
  <c r="M144" i="28"/>
  <c r="A25" i="53"/>
  <c r="A69" i="53" s="1"/>
  <c r="A59" i="53"/>
  <c r="AB184" i="59"/>
  <c r="AB141" i="11"/>
  <c r="Z141" i="11"/>
  <c r="AC141" i="11"/>
  <c r="H142" i="11" l="1"/>
  <c r="M141" i="11"/>
  <c r="L141" i="11"/>
  <c r="N141" i="11"/>
  <c r="Z4" i="19"/>
  <c r="AV31" i="5"/>
  <c r="Z17" i="52" s="1"/>
  <c r="W4" i="3"/>
  <c r="AD4" i="3"/>
  <c r="AK4" i="59"/>
  <c r="AH4" i="19"/>
  <c r="AV40" i="5"/>
  <c r="AH17" i="52" s="1"/>
  <c r="AM87" i="28"/>
  <c r="AM22" i="28" s="1"/>
  <c r="AM23" i="28"/>
  <c r="AM121" i="28"/>
  <c r="AH158" i="18"/>
  <c r="AM50" i="59"/>
  <c r="F41" i="20"/>
  <c r="T134" i="11"/>
  <c r="AC79" i="33"/>
  <c r="AC17" i="33" s="1"/>
  <c r="AC35" i="33" s="1"/>
  <c r="AC53" i="33" s="1"/>
  <c r="T15" i="32"/>
  <c r="T16" i="32" s="1"/>
  <c r="S10" i="34" s="1"/>
  <c r="T25" i="32"/>
  <c r="S11" i="34" s="1"/>
  <c r="T6" i="32"/>
  <c r="T7" i="32" s="1"/>
  <c r="S9" i="34" s="1"/>
  <c r="E221" i="25"/>
  <c r="E227" i="25" s="1"/>
  <c r="H64" i="32"/>
  <c r="Y41" i="20"/>
  <c r="Y85" i="27"/>
  <c r="Y91" i="27" s="1"/>
  <c r="M6" i="32"/>
  <c r="M7" i="32" s="1"/>
  <c r="L9" i="34" s="1"/>
  <c r="M25" i="32"/>
  <c r="L11" i="34" s="1"/>
  <c r="M15" i="32"/>
  <c r="M16" i="32" s="1"/>
  <c r="L10" i="34" s="1"/>
  <c r="AM27" i="25"/>
  <c r="AM33" i="25" s="1"/>
  <c r="AP12" i="32"/>
  <c r="AN172" i="27"/>
  <c r="AN178" i="27" s="1"/>
  <c r="AN9" i="27"/>
  <c r="AN15" i="27" s="1"/>
  <c r="W22" i="18"/>
  <c r="W12" i="18"/>
  <c r="W74" i="25" s="1"/>
  <c r="W80" i="25" s="1"/>
  <c r="W86" i="25" s="1"/>
  <c r="W92" i="25" s="1"/>
  <c r="AJ75" i="33"/>
  <c r="AJ13" i="33" s="1"/>
  <c r="AJ31" i="33" s="1"/>
  <c r="AJ49" i="33" s="1"/>
  <c r="Z130" i="11"/>
  <c r="AH161" i="18"/>
  <c r="AD77" i="28"/>
  <c r="AD32" i="28"/>
  <c r="H96" i="53"/>
  <c r="H106" i="53"/>
  <c r="H126" i="53"/>
  <c r="E165" i="25"/>
  <c r="E66" i="25"/>
  <c r="E33" i="25"/>
  <c r="E99" i="25"/>
  <c r="E90" i="18"/>
  <c r="E198" i="25"/>
  <c r="E126" i="18"/>
  <c r="AP130" i="53"/>
  <c r="AP110" i="53"/>
  <c r="AP120" i="53"/>
  <c r="AP100" i="53"/>
  <c r="AV9" i="5"/>
  <c r="G17" i="52" s="1"/>
  <c r="G4" i="19"/>
  <c r="F13" i="19"/>
  <c r="F101" i="19" s="1"/>
  <c r="F107" i="19" s="1"/>
  <c r="F113" i="19" s="1"/>
  <c r="F119" i="19" s="1"/>
  <c r="F23" i="19"/>
  <c r="Q130" i="11"/>
  <c r="AA75" i="33"/>
  <c r="AA13" i="33" s="1"/>
  <c r="AA31" i="33" s="1"/>
  <c r="AA49" i="33" s="1"/>
  <c r="AQ68" i="33"/>
  <c r="AQ6" i="33" s="1"/>
  <c r="AQ24" i="33" s="1"/>
  <c r="AQ42" i="33" s="1"/>
  <c r="AJ33" i="11"/>
  <c r="AM33" i="11" s="1"/>
  <c r="AE123" i="11"/>
  <c r="AE10" i="11"/>
  <c r="Y10" i="11"/>
  <c r="AB10" i="11"/>
  <c r="P10" i="11"/>
  <c r="V10" i="11"/>
  <c r="S10" i="11"/>
  <c r="W3" i="20"/>
  <c r="Z4" i="34"/>
  <c r="AP21" i="50"/>
  <c r="AP106" i="50"/>
  <c r="AI149" i="27"/>
  <c r="AI155" i="27" s="1"/>
  <c r="AI52" i="27"/>
  <c r="AI58" i="27" s="1"/>
  <c r="AB30" i="5"/>
  <c r="AK30" i="5"/>
  <c r="Z30" i="5"/>
  <c r="AC30" i="5" s="1"/>
  <c r="AQ30" i="5"/>
  <c r="AR30" i="5" s="1"/>
  <c r="Q136" i="11"/>
  <c r="AA81" i="33"/>
  <c r="AA19" i="33" s="1"/>
  <c r="AA37" i="33" s="1"/>
  <c r="AA55" i="33" s="1"/>
  <c r="U5" i="20"/>
  <c r="U21" i="20"/>
  <c r="U22" i="20" s="1"/>
  <c r="F72" i="27"/>
  <c r="F78" i="27" s="1"/>
  <c r="F84" i="27" s="1"/>
  <c r="F90" i="27" s="1"/>
  <c r="F63" i="20"/>
  <c r="F69" i="20" s="1"/>
  <c r="F75" i="20" s="1"/>
  <c r="F81" i="20" s="1"/>
  <c r="F65" i="20"/>
  <c r="F71" i="20" s="1"/>
  <c r="F77" i="20" s="1"/>
  <c r="F83" i="20" s="1"/>
  <c r="F208" i="27"/>
  <c r="F214" i="27" s="1"/>
  <c r="F220" i="27" s="1"/>
  <c r="F226" i="27" s="1"/>
  <c r="F62" i="20"/>
  <c r="F68" i="20" s="1"/>
  <c r="F74" i="20" s="1"/>
  <c r="F80" i="20" s="1"/>
  <c r="F17" i="20"/>
  <c r="F19" i="20" s="1"/>
  <c r="F38" i="27"/>
  <c r="F44" i="27" s="1"/>
  <c r="F50" i="27" s="1"/>
  <c r="F56" i="27" s="1"/>
  <c r="F203" i="27"/>
  <c r="F209" i="27" s="1"/>
  <c r="F215" i="27" s="1"/>
  <c r="F221" i="27" s="1"/>
  <c r="F142" i="27"/>
  <c r="F148" i="27" s="1"/>
  <c r="F154" i="27" s="1"/>
  <c r="F160" i="27" s="1"/>
  <c r="F10" i="27"/>
  <c r="F16" i="27" s="1"/>
  <c r="F22" i="27" s="1"/>
  <c r="F28" i="27" s="1"/>
  <c r="F5" i="27"/>
  <c r="F11" i="27" s="1"/>
  <c r="F17" i="27" s="1"/>
  <c r="F23" i="27" s="1"/>
  <c r="F7" i="27"/>
  <c r="F13" i="27" s="1"/>
  <c r="F19" i="27" s="1"/>
  <c r="F25" i="27" s="1"/>
  <c r="F103" i="20"/>
  <c r="F109" i="20" s="1"/>
  <c r="F115" i="20" s="1"/>
  <c r="F121" i="20" s="1"/>
  <c r="AG15" i="20"/>
  <c r="AG6" i="20"/>
  <c r="AG18" i="20"/>
  <c r="AG12" i="20"/>
  <c r="AJ42" i="41"/>
  <c r="AJ38" i="41"/>
  <c r="AJ37" i="41"/>
  <c r="AJ36" i="41"/>
  <c r="AJ40" i="41"/>
  <c r="AJ35" i="41"/>
  <c r="AJ41" i="41"/>
  <c r="AJ39" i="41"/>
  <c r="Y85" i="52"/>
  <c r="Y51" i="20"/>
  <c r="J43" i="32"/>
  <c r="G15" i="18"/>
  <c r="G65" i="18" s="1"/>
  <c r="G71" i="18" s="1"/>
  <c r="G77" i="18" s="1"/>
  <c r="G83" i="18" s="1"/>
  <c r="G128" i="18"/>
  <c r="G130" i="18" s="1"/>
  <c r="AM60" i="25"/>
  <c r="AM66" i="25" s="1"/>
  <c r="AP21" i="32"/>
  <c r="AN75" i="27"/>
  <c r="AN81" i="27" s="1"/>
  <c r="AN106" i="27"/>
  <c r="AN112" i="27" s="1"/>
  <c r="Z43" i="32"/>
  <c r="W15" i="18"/>
  <c r="W102" i="18" s="1"/>
  <c r="W108" i="18" s="1"/>
  <c r="W114" i="18" s="1"/>
  <c r="W120" i="18" s="1"/>
  <c r="W128" i="18"/>
  <c r="W130" i="18" s="1"/>
  <c r="W66" i="18"/>
  <c r="W72" i="18" s="1"/>
  <c r="W78" i="18" s="1"/>
  <c r="W84" i="18" s="1"/>
  <c r="W103" i="18"/>
  <c r="W109" i="18" s="1"/>
  <c r="W115" i="18" s="1"/>
  <c r="W121" i="18" s="1"/>
  <c r="F93" i="53"/>
  <c r="F123" i="53"/>
  <c r="AK61" i="59"/>
  <c r="AD72" i="52"/>
  <c r="AD49" i="18"/>
  <c r="AI120" i="59"/>
  <c r="AI25" i="59"/>
  <c r="C308" i="53"/>
  <c r="L116" i="29" s="1"/>
  <c r="M116" i="29" s="1"/>
  <c r="E308" i="53"/>
  <c r="C47" i="29" s="1"/>
  <c r="B100" i="52" s="1"/>
  <c r="B101" i="52" s="1"/>
  <c r="G124" i="28"/>
  <c r="G26" i="28"/>
  <c r="AB108" i="50"/>
  <c r="AB59" i="50"/>
  <c r="AB55" i="50"/>
  <c r="X89" i="50"/>
  <c r="X110" i="50"/>
  <c r="AC82" i="33"/>
  <c r="AC20" i="33" s="1"/>
  <c r="AC38" i="33" s="1"/>
  <c r="AC56" i="33" s="1"/>
  <c r="T137" i="11"/>
  <c r="AE82" i="33"/>
  <c r="AE20" i="33" s="1"/>
  <c r="AE38" i="33" s="1"/>
  <c r="AE56" i="33" s="1"/>
  <c r="V137" i="11"/>
  <c r="AP35" i="3"/>
  <c r="AD173" i="25"/>
  <c r="AD179" i="25" s="1"/>
  <c r="AD185" i="25" s="1"/>
  <c r="AD191" i="25" s="1"/>
  <c r="AN161" i="32"/>
  <c r="AB18" i="34" s="1"/>
  <c r="AB32" i="34" s="1"/>
  <c r="AN142" i="32"/>
  <c r="AN143" i="32" s="1"/>
  <c r="AB16" i="34" s="1"/>
  <c r="AB30" i="34" s="1"/>
  <c r="AN151" i="32"/>
  <c r="AN152" i="32" s="1"/>
  <c r="AB17" i="34" s="1"/>
  <c r="AB31" i="34" s="1"/>
  <c r="AR31" i="3"/>
  <c r="R15" i="20"/>
  <c r="R12" i="20"/>
  <c r="R18" i="20"/>
  <c r="R6" i="20"/>
  <c r="AD125" i="11"/>
  <c r="AP70" i="33"/>
  <c r="AP8" i="33" s="1"/>
  <c r="AP26" i="33" s="1"/>
  <c r="AP44" i="33" s="1"/>
  <c r="N24" i="5"/>
  <c r="AX24" i="5"/>
  <c r="AA24" i="5" s="1"/>
  <c r="AB82" i="33"/>
  <c r="AB20" i="33" s="1"/>
  <c r="AB38" i="33" s="1"/>
  <c r="AB56" i="33" s="1"/>
  <c r="R137" i="11"/>
  <c r="AR6" i="3"/>
  <c r="AJ175" i="27"/>
  <c r="AJ181" i="27" s="1"/>
  <c r="AJ187" i="27" s="1"/>
  <c r="AJ193" i="27" s="1"/>
  <c r="AB180" i="32"/>
  <c r="AD19" i="34" s="1"/>
  <c r="AD33" i="34" s="1"/>
  <c r="AB170" i="32"/>
  <c r="AB171" i="32" s="1"/>
  <c r="AD20" i="34" s="1"/>
  <c r="AD34" i="34" s="1"/>
  <c r="AB25" i="5"/>
  <c r="Z25" i="5"/>
  <c r="AC25" i="5" s="1"/>
  <c r="S17" i="18"/>
  <c r="S14" i="18"/>
  <c r="S11" i="18"/>
  <c r="S5" i="18"/>
  <c r="AN30" i="20"/>
  <c r="AN37" i="20" s="1"/>
  <c r="Z127" i="11"/>
  <c r="AJ72" i="33"/>
  <c r="AJ10" i="33" s="1"/>
  <c r="AJ28" i="33" s="1"/>
  <c r="AJ46" i="33" s="1"/>
  <c r="D32" i="28"/>
  <c r="D77" i="28"/>
  <c r="D97" i="28" s="1"/>
  <c r="AO130" i="53"/>
  <c r="AO100" i="53"/>
  <c r="AO110" i="53"/>
  <c r="AO120" i="53"/>
  <c r="AI165" i="20"/>
  <c r="AF8" i="19"/>
  <c r="AF7" i="19"/>
  <c r="AF5" i="19"/>
  <c r="L123" i="11"/>
  <c r="AJ11" i="11"/>
  <c r="AM11" i="11" s="1"/>
  <c r="U68" i="33"/>
  <c r="U6" i="33" s="1"/>
  <c r="U24" i="33" s="1"/>
  <c r="U42" i="33" s="1"/>
  <c r="Z21" i="5"/>
  <c r="AC21" i="5" s="1"/>
  <c r="AK21" i="5"/>
  <c r="S4" i="19" s="1"/>
  <c r="AQ21" i="5"/>
  <c r="AB21" i="5"/>
  <c r="F186" i="27"/>
  <c r="F192" i="27" s="1"/>
  <c r="F55" i="27"/>
  <c r="F61" i="27" s="1"/>
  <c r="F218" i="27"/>
  <c r="F224" i="27" s="1"/>
  <c r="AI179" i="32"/>
  <c r="AF30" i="20"/>
  <c r="AF37" i="20" s="1"/>
  <c r="AF45" i="20" s="1"/>
  <c r="AF5" i="27"/>
  <c r="AF11" i="27" s="1"/>
  <c r="AF17" i="27" s="1"/>
  <c r="AF23" i="27" s="1"/>
  <c r="AF137" i="27"/>
  <c r="AF143" i="27" s="1"/>
  <c r="AF149" i="27" s="1"/>
  <c r="AF155" i="27" s="1"/>
  <c r="AF8" i="27"/>
  <c r="AF14" i="27" s="1"/>
  <c r="AF20" i="27" s="1"/>
  <c r="AF26" i="27" s="1"/>
  <c r="AF17" i="20"/>
  <c r="AF19" i="20" s="1"/>
  <c r="AF128" i="20"/>
  <c r="AF130" i="20" s="1"/>
  <c r="AF207" i="27"/>
  <c r="AF213" i="27" s="1"/>
  <c r="AF219" i="27" s="1"/>
  <c r="AF225" i="27" s="1"/>
  <c r="AF16" i="20"/>
  <c r="AF206" i="27" s="1"/>
  <c r="AF212" i="27" s="1"/>
  <c r="AF218" i="27" s="1"/>
  <c r="AF224" i="27" s="1"/>
  <c r="G21" i="41"/>
  <c r="G5" i="41"/>
  <c r="G20" i="41" s="1"/>
  <c r="AH25" i="32"/>
  <c r="AK11" i="34" s="1"/>
  <c r="AH6" i="32"/>
  <c r="AH7" i="32" s="1"/>
  <c r="AK9" i="34" s="1"/>
  <c r="AH15" i="32"/>
  <c r="AH16" i="32" s="1"/>
  <c r="AK10" i="34" s="1"/>
  <c r="AB38" i="50"/>
  <c r="AB42" i="50"/>
  <c r="AB107" i="50"/>
  <c r="AJ25" i="28"/>
  <c r="AJ123" i="28"/>
  <c r="M77" i="28"/>
  <c r="M32" i="28"/>
  <c r="X106" i="50"/>
  <c r="X21" i="50"/>
  <c r="AJ58" i="59"/>
  <c r="AL105" i="28"/>
  <c r="AL7" i="28"/>
  <c r="AN35" i="1"/>
  <c r="AD105" i="25"/>
  <c r="AD111" i="25" s="1"/>
  <c r="AD117" i="25" s="1"/>
  <c r="AD123" i="25" s="1"/>
  <c r="AC76" i="33"/>
  <c r="AC14" i="33" s="1"/>
  <c r="AC32" i="33" s="1"/>
  <c r="AC50" i="33" s="1"/>
  <c r="T131" i="11"/>
  <c r="V128" i="11"/>
  <c r="AE73" i="33"/>
  <c r="AE11" i="33" s="1"/>
  <c r="AE29" i="33" s="1"/>
  <c r="AE47" i="33" s="1"/>
  <c r="AP7" i="3"/>
  <c r="E173" i="25"/>
  <c r="E179" i="25" s="1"/>
  <c r="E185" i="25" s="1"/>
  <c r="AQ18" i="1"/>
  <c r="O108" i="25"/>
  <c r="O114" i="25" s="1"/>
  <c r="O120" i="25" s="1"/>
  <c r="AI43" i="59"/>
  <c r="AI105" i="59"/>
  <c r="AI42" i="59" s="1"/>
  <c r="AD122" i="11"/>
  <c r="AI32" i="11"/>
  <c r="AL32" i="11" s="1"/>
  <c r="AP67" i="33"/>
  <c r="AP5" i="33" s="1"/>
  <c r="AP23" i="33" s="1"/>
  <c r="AP41" i="33" s="1"/>
  <c r="O223" i="25"/>
  <c r="R66" i="32"/>
  <c r="S100" i="53"/>
  <c r="S120" i="53"/>
  <c r="S110" i="53"/>
  <c r="S130" i="53"/>
  <c r="X76" i="33"/>
  <c r="X14" i="33" s="1"/>
  <c r="X32" i="33" s="1"/>
  <c r="X50" i="33" s="1"/>
  <c r="O131" i="11"/>
  <c r="G69" i="28"/>
  <c r="G103" i="28"/>
  <c r="G5" i="28"/>
  <c r="AJ104" i="28"/>
  <c r="AJ6" i="28"/>
  <c r="J42" i="52"/>
  <c r="G146" i="28"/>
  <c r="G42" i="52" s="1"/>
  <c r="AN26" i="28"/>
  <c r="AN124" i="28"/>
  <c r="AR35" i="1"/>
  <c r="AD109" i="25"/>
  <c r="AD115" i="25" s="1"/>
  <c r="AD121" i="25" s="1"/>
  <c r="AD127" i="25" s="1"/>
  <c r="AM118" i="28"/>
  <c r="AM20" i="28"/>
  <c r="AN19" i="3"/>
  <c r="E53" i="53"/>
  <c r="E97" i="53" s="1"/>
  <c r="E141" i="53" s="1"/>
  <c r="E186" i="53" s="1"/>
  <c r="E10" i="53"/>
  <c r="AF77" i="28"/>
  <c r="AF32" i="28"/>
  <c r="T11" i="59"/>
  <c r="T73" i="59"/>
  <c r="T10" i="59" s="1"/>
  <c r="T106" i="59"/>
  <c r="T20" i="59"/>
  <c r="T115" i="59"/>
  <c r="G37" i="59"/>
  <c r="AM55" i="59"/>
  <c r="T37" i="59"/>
  <c r="AJ126" i="53"/>
  <c r="AJ96" i="53"/>
  <c r="AJ106" i="53"/>
  <c r="AH59" i="50"/>
  <c r="AH55" i="50"/>
  <c r="AH108" i="50"/>
  <c r="AA30" i="28"/>
  <c r="AA128" i="28"/>
  <c r="M38" i="50"/>
  <c r="M107" i="50"/>
  <c r="M42" i="50"/>
  <c r="G87" i="28"/>
  <c r="G22" i="28" s="1"/>
  <c r="G121" i="28"/>
  <c r="G23" i="28"/>
  <c r="AL107" i="28"/>
  <c r="AL9" i="28"/>
  <c r="G17" i="28"/>
  <c r="G115" i="28"/>
  <c r="AM24" i="28"/>
  <c r="AM122" i="28"/>
  <c r="AJ8" i="28"/>
  <c r="AJ106" i="28"/>
  <c r="AO19" i="3"/>
  <c r="E330" i="53"/>
  <c r="E365" i="53" s="1"/>
  <c r="E229" i="53"/>
  <c r="AW73" i="33"/>
  <c r="AW11" i="33" s="1"/>
  <c r="AW29" i="33" s="1"/>
  <c r="AW47" i="33" s="1"/>
  <c r="AJ128" i="11"/>
  <c r="AE76" i="33"/>
  <c r="AE14" i="33" s="1"/>
  <c r="AE32" i="33" s="1"/>
  <c r="AE50" i="33" s="1"/>
  <c r="V131" i="11"/>
  <c r="K12" i="18"/>
  <c r="K22" i="18"/>
  <c r="AD128" i="11"/>
  <c r="AP73" i="33"/>
  <c r="AP11" i="33" s="1"/>
  <c r="AP29" i="33" s="1"/>
  <c r="AP47" i="33" s="1"/>
  <c r="E25" i="33"/>
  <c r="P25" i="32"/>
  <c r="P11" i="34" s="1"/>
  <c r="P15" i="32"/>
  <c r="P16" i="32" s="1"/>
  <c r="P10" i="34" s="1"/>
  <c r="P6" i="32"/>
  <c r="P7" i="32" s="1"/>
  <c r="P9" i="34" s="1"/>
  <c r="R128" i="11"/>
  <c r="AB73" i="33"/>
  <c r="AB11" i="33" s="1"/>
  <c r="AB29" i="33" s="1"/>
  <c r="AB47" i="33" s="1"/>
  <c r="AN6" i="3"/>
  <c r="AJ171" i="27"/>
  <c r="AJ177" i="27" s="1"/>
  <c r="AJ183" i="27" s="1"/>
  <c r="AJ189" i="27" s="1"/>
  <c r="AK93" i="53"/>
  <c r="AK123" i="53"/>
  <c r="Y136" i="20"/>
  <c r="Y142" i="20" s="1"/>
  <c r="Y148" i="20" s="1"/>
  <c r="Y154" i="20" s="1"/>
  <c r="Y173" i="27"/>
  <c r="Y179" i="27" s="1"/>
  <c r="Y185" i="27" s="1"/>
  <c r="Y191" i="27" s="1"/>
  <c r="V7" i="18"/>
  <c r="V6" i="18"/>
  <c r="V92" i="18"/>
  <c r="V94" i="18" s="1"/>
  <c r="AA102" i="20"/>
  <c r="AA108" i="20" s="1"/>
  <c r="X62" i="32"/>
  <c r="I30" i="18"/>
  <c r="I37" i="18" s="1"/>
  <c r="I45" i="18" s="1"/>
  <c r="AA90" i="18"/>
  <c r="AN206" i="27"/>
  <c r="AN212" i="27" s="1"/>
  <c r="AN31" i="20"/>
  <c r="AN38" i="20" s="1"/>
  <c r="AQ189" i="32"/>
  <c r="AQ190" i="32" s="1"/>
  <c r="X22" i="34" s="1"/>
  <c r="X36" i="34" s="1"/>
  <c r="AQ199" i="32"/>
  <c r="X21" i="34" s="1"/>
  <c r="X35" i="34" s="1"/>
  <c r="AJ135" i="20"/>
  <c r="AJ141" i="20" s="1"/>
  <c r="AJ147" i="20" s="1"/>
  <c r="AJ153" i="20" s="1"/>
  <c r="AH75" i="52"/>
  <c r="AK13" i="32"/>
  <c r="AH52" i="18"/>
  <c r="AK22" i="32"/>
  <c r="AK69" i="32"/>
  <c r="AK41" i="32"/>
  <c r="AK60" i="32"/>
  <c r="AK31" i="32"/>
  <c r="AK50" i="32"/>
  <c r="AA78" i="28"/>
  <c r="N142" i="28"/>
  <c r="N45" i="52" s="1"/>
  <c r="P99" i="53" s="1"/>
  <c r="T78" i="28"/>
  <c r="AA88" i="28"/>
  <c r="AA70" i="28"/>
  <c r="T70" i="28"/>
  <c r="T88" i="28"/>
  <c r="AE77" i="28"/>
  <c r="AE32" i="28"/>
  <c r="G61" i="59"/>
  <c r="AM110" i="53"/>
  <c r="AM120" i="53"/>
  <c r="AM130" i="53"/>
  <c r="AM100" i="53"/>
  <c r="AK110" i="53"/>
  <c r="AK130" i="53"/>
  <c r="AK100" i="53"/>
  <c r="AK120" i="53"/>
  <c r="AD151" i="25"/>
  <c r="AD157" i="25" s="1"/>
  <c r="AI208" i="27"/>
  <c r="AI214" i="27" s="1"/>
  <c r="AI220" i="27" s="1"/>
  <c r="AI226" i="27" s="1"/>
  <c r="AG4" i="19"/>
  <c r="AV39" i="5"/>
  <c r="AG17" i="52" s="1"/>
  <c r="L129" i="11"/>
  <c r="U74" i="33"/>
  <c r="U12" i="33" s="1"/>
  <c r="U30" i="33" s="1"/>
  <c r="U48" i="33" s="1"/>
  <c r="AB12" i="5"/>
  <c r="AK12" i="5"/>
  <c r="J4" i="19" s="1"/>
  <c r="Z12" i="5"/>
  <c r="AC12" i="5" s="1"/>
  <c r="AQ12" i="5"/>
  <c r="T138" i="26"/>
  <c r="T144" i="26" s="1"/>
  <c r="T27" i="19"/>
  <c r="T34" i="19" s="1"/>
  <c r="F109" i="27"/>
  <c r="F115" i="27" s="1"/>
  <c r="F121" i="27" s="1"/>
  <c r="F127" i="27" s="1"/>
  <c r="F175" i="27"/>
  <c r="F181" i="27" s="1"/>
  <c r="F187" i="27" s="1"/>
  <c r="F193" i="27" s="1"/>
  <c r="AM36" i="41"/>
  <c r="AM40" i="41"/>
  <c r="AM41" i="41"/>
  <c r="AM38" i="41"/>
  <c r="AM39" i="41"/>
  <c r="AM37" i="41"/>
  <c r="AM35" i="41"/>
  <c r="AM42" i="41"/>
  <c r="G54" i="59"/>
  <c r="AP36" i="3"/>
  <c r="AM173" i="25"/>
  <c r="AM179" i="25" s="1"/>
  <c r="AM185" i="25" s="1"/>
  <c r="AM191" i="25" s="1"/>
  <c r="AM6" i="20"/>
  <c r="AM12" i="20"/>
  <c r="AM18" i="20"/>
  <c r="AM15" i="20"/>
  <c r="AE18" i="20"/>
  <c r="AE6" i="20"/>
  <c r="AE15" i="20"/>
  <c r="AE12" i="20"/>
  <c r="AN104" i="27"/>
  <c r="AN110" i="27" s="1"/>
  <c r="AN116" i="27" s="1"/>
  <c r="AN122" i="27" s="1"/>
  <c r="Z136" i="11"/>
  <c r="AJ81" i="33"/>
  <c r="AJ19" i="33" s="1"/>
  <c r="AJ37" i="33" s="1"/>
  <c r="AJ55" i="33" s="1"/>
  <c r="AL51" i="59"/>
  <c r="W151" i="32"/>
  <c r="W152" i="32" s="1"/>
  <c r="V17" i="34" s="1"/>
  <c r="V31" i="34" s="1"/>
  <c r="W142" i="32"/>
  <c r="W143" i="32" s="1"/>
  <c r="V16" i="34" s="1"/>
  <c r="V30" i="34" s="1"/>
  <c r="W161" i="32"/>
  <c r="V18" i="34" s="1"/>
  <c r="V32" i="34" s="1"/>
  <c r="F20" i="52"/>
  <c r="I107" i="11"/>
  <c r="F141" i="28"/>
  <c r="T114" i="59"/>
  <c r="T19" i="59"/>
  <c r="AA104" i="59"/>
  <c r="AA9" i="59"/>
  <c r="AK22" i="59"/>
  <c r="AK117" i="59"/>
  <c r="AK84" i="59"/>
  <c r="AK21" i="59" s="1"/>
  <c r="AS33" i="53"/>
  <c r="A220" i="53"/>
  <c r="E300" i="53" s="1"/>
  <c r="AS43" i="53"/>
  <c r="AA24" i="59"/>
  <c r="AA119" i="59"/>
  <c r="AI102" i="59"/>
  <c r="AI7" i="59"/>
  <c r="AI67" i="59"/>
  <c r="T104" i="59"/>
  <c r="T9" i="59"/>
  <c r="G46" i="59"/>
  <c r="AN50" i="59"/>
  <c r="G7" i="59"/>
  <c r="G102" i="59"/>
  <c r="AI49" i="59"/>
  <c r="G110" i="59"/>
  <c r="G15" i="59"/>
  <c r="A200" i="53"/>
  <c r="AS23" i="53"/>
  <c r="AM59" i="59"/>
  <c r="A163" i="53"/>
  <c r="A208" i="53" s="1"/>
  <c r="AA119" i="53"/>
  <c r="N119" i="53"/>
  <c r="U119" i="53"/>
  <c r="T119" i="53"/>
  <c r="Q119" i="53"/>
  <c r="AG119" i="53"/>
  <c r="AE119" i="53"/>
  <c r="P119" i="53"/>
  <c r="Z119" i="53"/>
  <c r="L119" i="53"/>
  <c r="J119" i="53"/>
  <c r="G119" i="53"/>
  <c r="W119" i="53"/>
  <c r="AD119" i="53"/>
  <c r="AB119" i="53"/>
  <c r="O119" i="53"/>
  <c r="AJ119" i="53"/>
  <c r="H119" i="53"/>
  <c r="Y119" i="53"/>
  <c r="M119" i="53"/>
  <c r="K119" i="53"/>
  <c r="F119" i="53"/>
  <c r="AI119" i="53"/>
  <c r="X119" i="53"/>
  <c r="AH119" i="53"/>
  <c r="I119" i="53"/>
  <c r="AC119" i="53"/>
  <c r="V119" i="53"/>
  <c r="E29" i="48"/>
  <c r="E48" i="48" s="1"/>
  <c r="E67" i="48" s="1"/>
  <c r="E86" i="48" s="1"/>
  <c r="E11" i="48"/>
  <c r="E19" i="53"/>
  <c r="E62" i="53"/>
  <c r="E106" i="53" s="1"/>
  <c r="E150" i="53" s="1"/>
  <c r="E195" i="53" s="1"/>
  <c r="AH25" i="50"/>
  <c r="AH21" i="50"/>
  <c r="AH106" i="50"/>
  <c r="AK105" i="28"/>
  <c r="AK7" i="28"/>
  <c r="D27" i="33"/>
  <c r="C45" i="33"/>
  <c r="D45" i="33" s="1"/>
  <c r="AJ107" i="28"/>
  <c r="AJ9" i="28"/>
  <c r="T9" i="28"/>
  <c r="T107" i="28"/>
  <c r="AM14" i="28"/>
  <c r="AM112" i="28"/>
  <c r="AR19" i="3"/>
  <c r="AP151" i="32"/>
  <c r="AP152" i="32" s="1"/>
  <c r="AJ17" i="34" s="1"/>
  <c r="AJ31" i="34" s="1"/>
  <c r="AP161" i="32"/>
  <c r="AJ18" i="34" s="1"/>
  <c r="AJ32" i="34" s="1"/>
  <c r="AP142" i="32"/>
  <c r="AP143" i="32" s="1"/>
  <c r="AJ16" i="34" s="1"/>
  <c r="AJ30" i="34" s="1"/>
  <c r="AJ122" i="11"/>
  <c r="AW67" i="33"/>
  <c r="AW5" i="33" s="1"/>
  <c r="AW23" i="33" s="1"/>
  <c r="AW41" i="33" s="1"/>
  <c r="AI39" i="11"/>
  <c r="AL39" i="11" s="1"/>
  <c r="AP9" i="3"/>
  <c r="AN31" i="3"/>
  <c r="O6" i="32"/>
  <c r="O7" i="32" s="1"/>
  <c r="N9" i="34" s="1"/>
  <c r="O15" i="32"/>
  <c r="O16" i="32" s="1"/>
  <c r="N10" i="34" s="1"/>
  <c r="O25" i="32"/>
  <c r="N11" i="34" s="1"/>
  <c r="AI54" i="59"/>
  <c r="AD131" i="11"/>
  <c r="AP76" i="33"/>
  <c r="AP14" i="33" s="1"/>
  <c r="AP32" i="33" s="1"/>
  <c r="AP50" i="33" s="1"/>
  <c r="AH122" i="11"/>
  <c r="AU67" i="33"/>
  <c r="AU5" i="33" s="1"/>
  <c r="AU23" i="33" s="1"/>
  <c r="AU41" i="33" s="1"/>
  <c r="AI37" i="11"/>
  <c r="AL37" i="11" s="1"/>
  <c r="R122" i="11"/>
  <c r="AB67" i="33"/>
  <c r="AB5" i="33" s="1"/>
  <c r="AB23" i="33" s="1"/>
  <c r="AB41" i="33" s="1"/>
  <c r="AI18" i="11"/>
  <c r="AL18" i="11" s="1"/>
  <c r="AL114" i="28"/>
  <c r="AL41" i="52"/>
  <c r="Y64" i="20"/>
  <c r="Y70" i="20" s="1"/>
  <c r="Y76" i="20" s="1"/>
  <c r="Y82" i="20" s="1"/>
  <c r="Y41" i="27"/>
  <c r="Y47" i="27" s="1"/>
  <c r="Y53" i="27" s="1"/>
  <c r="Y59" i="27" s="1"/>
  <c r="AA75" i="27"/>
  <c r="AA81" i="27" s="1"/>
  <c r="AA79" i="33"/>
  <c r="AA17" i="33" s="1"/>
  <c r="AA35" i="33" s="1"/>
  <c r="AA53" i="33" s="1"/>
  <c r="Q134" i="11"/>
  <c r="I5" i="25"/>
  <c r="I11" i="25" s="1"/>
  <c r="I17" i="25" s="1"/>
  <c r="I23" i="25" s="1"/>
  <c r="AD49" i="32"/>
  <c r="AD21" i="32"/>
  <c r="AA51" i="18"/>
  <c r="AA74" i="52"/>
  <c r="AD12" i="32"/>
  <c r="AD68" i="32"/>
  <c r="AD59" i="32"/>
  <c r="AD30" i="32"/>
  <c r="AD40" i="32"/>
  <c r="AD87" i="25"/>
  <c r="AD93" i="25" s="1"/>
  <c r="AN103" i="20"/>
  <c r="AN109" i="20" s="1"/>
  <c r="AN137" i="20"/>
  <c r="AN143" i="20" s="1"/>
  <c r="AD154" i="25"/>
  <c r="AD160" i="25" s="1"/>
  <c r="AM205" i="32"/>
  <c r="AM177" i="32"/>
  <c r="AM158" i="32"/>
  <c r="AM149" i="32"/>
  <c r="AM167" i="32"/>
  <c r="AJ87" i="52"/>
  <c r="AM196" i="32"/>
  <c r="AM186" i="32"/>
  <c r="AJ53" i="20"/>
  <c r="P107" i="25"/>
  <c r="P113" i="25" s="1"/>
  <c r="P119" i="25" s="1"/>
  <c r="P125" i="25" s="1"/>
  <c r="P173" i="25"/>
  <c r="P179" i="25" s="1"/>
  <c r="P185" i="25" s="1"/>
  <c r="P191" i="25" s="1"/>
  <c r="AD20" i="25"/>
  <c r="AD26" i="25" s="1"/>
  <c r="N32" i="28"/>
  <c r="N77" i="28"/>
  <c r="AM61" i="59"/>
  <c r="AL55" i="59"/>
  <c r="AD113" i="18"/>
  <c r="AD119" i="18" s="1"/>
  <c r="AM106" i="53"/>
  <c r="AM96" i="53"/>
  <c r="AM126" i="53"/>
  <c r="AN130" i="53"/>
  <c r="AN100" i="53"/>
  <c r="AN110" i="53"/>
  <c r="AN120" i="53"/>
  <c r="AD38" i="32"/>
  <c r="AC142" i="28"/>
  <c r="AC45" i="52" s="1"/>
  <c r="AE99" i="53" s="1"/>
  <c r="AI215" i="27"/>
  <c r="AI221" i="27" s="1"/>
  <c r="AI150" i="20"/>
  <c r="AI156" i="20" s="1"/>
  <c r="AI139" i="20"/>
  <c r="AI145" i="20" s="1"/>
  <c r="AI151" i="20" s="1"/>
  <c r="AI157" i="20" s="1"/>
  <c r="AC11" i="5"/>
  <c r="AQ11" i="5"/>
  <c r="AQ5" i="5"/>
  <c r="AB5" i="5"/>
  <c r="Z5" i="5"/>
  <c r="AC5" i="5" s="1"/>
  <c r="AK5" i="5"/>
  <c r="D4" i="19" s="1"/>
  <c r="AV5" i="5"/>
  <c r="D17" i="52" s="1"/>
  <c r="AW78" i="33"/>
  <c r="AW16" i="33" s="1"/>
  <c r="AW34" i="33" s="1"/>
  <c r="AW52" i="33" s="1"/>
  <c r="AJ133" i="11"/>
  <c r="U80" i="33"/>
  <c r="U18" i="33" s="1"/>
  <c r="U36" i="33" s="1"/>
  <c r="U54" i="33" s="1"/>
  <c r="L135" i="11"/>
  <c r="F101" i="20"/>
  <c r="F107" i="20" s="1"/>
  <c r="F113" i="20" s="1"/>
  <c r="F119" i="20" s="1"/>
  <c r="F6" i="27"/>
  <c r="F12" i="27" s="1"/>
  <c r="F18" i="27" s="1"/>
  <c r="F24" i="27" s="1"/>
  <c r="AL125" i="53"/>
  <c r="AL124" i="53"/>
  <c r="G39" i="41"/>
  <c r="G35" i="41"/>
  <c r="G37" i="41"/>
  <c r="G41" i="41"/>
  <c r="G42" i="41"/>
  <c r="G38" i="41"/>
  <c r="G40" i="41"/>
  <c r="G36" i="41"/>
  <c r="R82" i="33"/>
  <c r="R20" i="33" s="1"/>
  <c r="R38" i="33" s="1"/>
  <c r="R56" i="33" s="1"/>
  <c r="I137" i="11"/>
  <c r="AB107" i="11"/>
  <c r="Y141" i="28"/>
  <c r="Y20" i="52"/>
  <c r="AJ124" i="28"/>
  <c r="AJ26" i="28"/>
  <c r="AJ73" i="59"/>
  <c r="AJ10" i="59" s="1"/>
  <c r="AJ11" i="59"/>
  <c r="AJ106" i="59"/>
  <c r="AI14" i="59"/>
  <c r="AI109" i="59"/>
  <c r="E236" i="53"/>
  <c r="E337" i="53"/>
  <c r="E372" i="53" s="1"/>
  <c r="M55" i="50"/>
  <c r="M108" i="50"/>
  <c r="M59" i="50"/>
  <c r="AM115" i="28"/>
  <c r="AM17" i="28"/>
  <c r="T21" i="28"/>
  <c r="T119" i="28"/>
  <c r="AL112" i="28"/>
  <c r="AL14" i="28"/>
  <c r="AQ35" i="1"/>
  <c r="AD108" i="25"/>
  <c r="AD114" i="25" s="1"/>
  <c r="AD120" i="25" s="1"/>
  <c r="AD126" i="25" s="1"/>
  <c r="AW82" i="33"/>
  <c r="AW20" i="33" s="1"/>
  <c r="AW38" i="33" s="1"/>
  <c r="AW56" i="33" s="1"/>
  <c r="AJ137" i="11"/>
  <c r="AI14" i="18"/>
  <c r="AI11" i="18"/>
  <c r="AI17" i="18"/>
  <c r="AI5" i="18"/>
  <c r="AP31" i="3"/>
  <c r="L14" i="18"/>
  <c r="L17" i="18"/>
  <c r="L5" i="18"/>
  <c r="L11" i="18"/>
  <c r="N15" i="32"/>
  <c r="N16" i="32" s="1"/>
  <c r="M10" i="34" s="1"/>
  <c r="N6" i="32"/>
  <c r="N7" i="32" s="1"/>
  <c r="M9" i="34" s="1"/>
  <c r="N25" i="32"/>
  <c r="M11" i="34" s="1"/>
  <c r="AP79" i="33"/>
  <c r="AP17" i="33" s="1"/>
  <c r="AP35" i="33" s="1"/>
  <c r="AP53" i="33" s="1"/>
  <c r="AD134" i="11"/>
  <c r="AU73" i="33"/>
  <c r="AU11" i="33" s="1"/>
  <c r="AU29" i="33" s="1"/>
  <c r="AU47" i="33" s="1"/>
  <c r="AH128" i="11"/>
  <c r="AF25" i="32"/>
  <c r="AH11" i="34" s="1"/>
  <c r="AF15" i="32"/>
  <c r="AF16" i="32" s="1"/>
  <c r="AH10" i="34" s="1"/>
  <c r="AF6" i="32"/>
  <c r="AF7" i="32" s="1"/>
  <c r="AH9" i="34" s="1"/>
  <c r="Y154" i="27"/>
  <c r="Y160" i="27" s="1"/>
  <c r="Y78" i="20"/>
  <c r="Y84" i="20" s="1"/>
  <c r="Y117" i="27"/>
  <c r="Y123" i="27" s="1"/>
  <c r="AA86" i="27"/>
  <c r="AA92" i="27" s="1"/>
  <c r="AA70" i="33"/>
  <c r="AA8" i="33" s="1"/>
  <c r="AA26" i="33" s="1"/>
  <c r="AA44" i="33" s="1"/>
  <c r="Q125" i="11"/>
  <c r="X43" i="32"/>
  <c r="U39" i="25"/>
  <c r="U45" i="25" s="1"/>
  <c r="U51" i="25" s="1"/>
  <c r="U57" i="25" s="1"/>
  <c r="U109" i="25"/>
  <c r="U115" i="25" s="1"/>
  <c r="U121" i="25" s="1"/>
  <c r="U127" i="25" s="1"/>
  <c r="U72" i="25"/>
  <c r="U78" i="25" s="1"/>
  <c r="U84" i="25" s="1"/>
  <c r="U90" i="25" s="1"/>
  <c r="U43" i="25"/>
  <c r="U49" i="25" s="1"/>
  <c r="U55" i="25" s="1"/>
  <c r="U61" i="25" s="1"/>
  <c r="U207" i="25"/>
  <c r="U213" i="25" s="1"/>
  <c r="U219" i="25" s="1"/>
  <c r="U225" i="25" s="1"/>
  <c r="U174" i="25"/>
  <c r="U180" i="25" s="1"/>
  <c r="U186" i="25" s="1"/>
  <c r="U192" i="25" s="1"/>
  <c r="U172" i="25"/>
  <c r="U178" i="25" s="1"/>
  <c r="U184" i="25" s="1"/>
  <c r="U190" i="25" s="1"/>
  <c r="U128" i="18"/>
  <c r="U130" i="18" s="1"/>
  <c r="U15" i="18"/>
  <c r="U137" i="25" s="1"/>
  <c r="U143" i="25" s="1"/>
  <c r="U149" i="25" s="1"/>
  <c r="U155" i="25" s="1"/>
  <c r="U38" i="25"/>
  <c r="U44" i="25" s="1"/>
  <c r="U50" i="25" s="1"/>
  <c r="U56" i="25" s="1"/>
  <c r="U206" i="25"/>
  <c r="U212" i="25" s="1"/>
  <c r="U218" i="25" s="1"/>
  <c r="U224" i="25" s="1"/>
  <c r="U40" i="25"/>
  <c r="U46" i="25" s="1"/>
  <c r="U52" i="25" s="1"/>
  <c r="U58" i="25" s="1"/>
  <c r="U76" i="25"/>
  <c r="U82" i="25" s="1"/>
  <c r="U88" i="25" s="1"/>
  <c r="U94" i="25" s="1"/>
  <c r="U138" i="18"/>
  <c r="U144" i="18" s="1"/>
  <c r="U150" i="18" s="1"/>
  <c r="U156" i="18" s="1"/>
  <c r="U205" i="25"/>
  <c r="U211" i="25" s="1"/>
  <c r="U217" i="25" s="1"/>
  <c r="U223" i="25" s="1"/>
  <c r="U7" i="25"/>
  <c r="U13" i="25" s="1"/>
  <c r="U19" i="25" s="1"/>
  <c r="U25" i="25" s="1"/>
  <c r="U103" i="18"/>
  <c r="U109" i="18" s="1"/>
  <c r="U115" i="18" s="1"/>
  <c r="U121" i="18" s="1"/>
  <c r="U105" i="25"/>
  <c r="U111" i="25" s="1"/>
  <c r="U117" i="25" s="1"/>
  <c r="U123" i="25" s="1"/>
  <c r="U8" i="25"/>
  <c r="U14" i="25" s="1"/>
  <c r="U20" i="25" s="1"/>
  <c r="U26" i="25" s="1"/>
  <c r="U102" i="18"/>
  <c r="U108" i="18" s="1"/>
  <c r="U114" i="18" s="1"/>
  <c r="U120" i="18" s="1"/>
  <c r="U29" i="18"/>
  <c r="U36" i="18" s="1"/>
  <c r="U44" i="18" s="1"/>
  <c r="U31" i="18"/>
  <c r="U38" i="18" s="1"/>
  <c r="U39" i="18" s="1"/>
  <c r="U74" i="25"/>
  <c r="U80" i="25" s="1"/>
  <c r="U86" i="25" s="1"/>
  <c r="U92" i="25" s="1"/>
  <c r="U75" i="25"/>
  <c r="U81" i="25" s="1"/>
  <c r="U87" i="25" s="1"/>
  <c r="U93" i="25" s="1"/>
  <c r="U66" i="18"/>
  <c r="U72" i="18" s="1"/>
  <c r="U78" i="18" s="1"/>
  <c r="U84" i="18" s="1"/>
  <c r="U42" i="25"/>
  <c r="U48" i="25" s="1"/>
  <c r="U54" i="25" s="1"/>
  <c r="U60" i="25" s="1"/>
  <c r="U164" i="18"/>
  <c r="U166" i="18" s="1"/>
  <c r="U28" i="18"/>
  <c r="U35" i="18" s="1"/>
  <c r="U43" i="18" s="1"/>
  <c r="U6" i="25"/>
  <c r="U12" i="25" s="1"/>
  <c r="U18" i="25" s="1"/>
  <c r="U24" i="25" s="1"/>
  <c r="U5" i="25"/>
  <c r="U11" i="25" s="1"/>
  <c r="U17" i="25" s="1"/>
  <c r="U23" i="25" s="1"/>
  <c r="U136" i="18"/>
  <c r="U142" i="18" s="1"/>
  <c r="U148" i="18" s="1"/>
  <c r="U154" i="18" s="1"/>
  <c r="U139" i="18"/>
  <c r="U145" i="18" s="1"/>
  <c r="U151" i="18" s="1"/>
  <c r="U157" i="18" s="1"/>
  <c r="U137" i="18"/>
  <c r="U143" i="18" s="1"/>
  <c r="U149" i="18" s="1"/>
  <c r="U155" i="18" s="1"/>
  <c r="U171" i="25"/>
  <c r="U177" i="25" s="1"/>
  <c r="U183" i="25" s="1"/>
  <c r="U189" i="25" s="1"/>
  <c r="U173" i="25"/>
  <c r="U179" i="25" s="1"/>
  <c r="U185" i="25" s="1"/>
  <c r="U191" i="25" s="1"/>
  <c r="U41" i="25"/>
  <c r="U47" i="25" s="1"/>
  <c r="U53" i="25" s="1"/>
  <c r="U59" i="25" s="1"/>
  <c r="U140" i="25"/>
  <c r="U146" i="25" s="1"/>
  <c r="U152" i="25" s="1"/>
  <c r="U158" i="25" s="1"/>
  <c r="U104" i="25"/>
  <c r="U110" i="25" s="1"/>
  <c r="U116" i="25" s="1"/>
  <c r="U122" i="25" s="1"/>
  <c r="U99" i="18"/>
  <c r="U105" i="18" s="1"/>
  <c r="U111" i="18" s="1"/>
  <c r="U117" i="18" s="1"/>
  <c r="U139" i="25"/>
  <c r="U145" i="25" s="1"/>
  <c r="U151" i="25" s="1"/>
  <c r="U157" i="25" s="1"/>
  <c r="U101" i="18"/>
  <c r="U107" i="18" s="1"/>
  <c r="U113" i="18" s="1"/>
  <c r="U119" i="18" s="1"/>
  <c r="U26" i="18"/>
  <c r="U33" i="18" s="1"/>
  <c r="U41" i="18" s="1"/>
  <c r="U30" i="18"/>
  <c r="U37" i="18" s="1"/>
  <c r="U45" i="18" s="1"/>
  <c r="U71" i="25"/>
  <c r="U77" i="25" s="1"/>
  <c r="U83" i="25" s="1"/>
  <c r="U89" i="25" s="1"/>
  <c r="U25" i="18"/>
  <c r="U32" i="18" s="1"/>
  <c r="U40" i="18" s="1"/>
  <c r="U64" i="18"/>
  <c r="U70" i="18" s="1"/>
  <c r="U76" i="18" s="1"/>
  <c r="U82" i="18" s="1"/>
  <c r="U62" i="18"/>
  <c r="U68" i="18" s="1"/>
  <c r="U74" i="18" s="1"/>
  <c r="U80" i="18" s="1"/>
  <c r="U27" i="18"/>
  <c r="U34" i="18" s="1"/>
  <c r="U42" i="18" s="1"/>
  <c r="U98" i="18"/>
  <c r="U104" i="18" s="1"/>
  <c r="U110" i="18" s="1"/>
  <c r="U116" i="18" s="1"/>
  <c r="U134" i="18"/>
  <c r="U140" i="18" s="1"/>
  <c r="U146" i="18" s="1"/>
  <c r="U152" i="18" s="1"/>
  <c r="U135" i="18"/>
  <c r="U141" i="18" s="1"/>
  <c r="U147" i="18" s="1"/>
  <c r="U153" i="18" s="1"/>
  <c r="U203" i="25"/>
  <c r="U209" i="25" s="1"/>
  <c r="U215" i="25" s="1"/>
  <c r="U221" i="25" s="1"/>
  <c r="U208" i="25"/>
  <c r="U214" i="25" s="1"/>
  <c r="U220" i="25" s="1"/>
  <c r="U226" i="25" s="1"/>
  <c r="U204" i="25"/>
  <c r="U210" i="25" s="1"/>
  <c r="U216" i="25" s="1"/>
  <c r="U222" i="25" s="1"/>
  <c r="U73" i="25"/>
  <c r="U79" i="25" s="1"/>
  <c r="U85" i="25" s="1"/>
  <c r="U91" i="25" s="1"/>
  <c r="U9" i="25"/>
  <c r="U15" i="25" s="1"/>
  <c r="U21" i="25" s="1"/>
  <c r="U27" i="25" s="1"/>
  <c r="U10" i="25"/>
  <c r="U16" i="25" s="1"/>
  <c r="U22" i="25" s="1"/>
  <c r="U28" i="25" s="1"/>
  <c r="U65" i="18"/>
  <c r="U71" i="18" s="1"/>
  <c r="U77" i="18" s="1"/>
  <c r="U83" i="18" s="1"/>
  <c r="U170" i="25"/>
  <c r="U176" i="25" s="1"/>
  <c r="U182" i="25" s="1"/>
  <c r="U188" i="25" s="1"/>
  <c r="U107" i="25"/>
  <c r="U113" i="25" s="1"/>
  <c r="U119" i="25" s="1"/>
  <c r="U125" i="25" s="1"/>
  <c r="U138" i="25"/>
  <c r="U144" i="25" s="1"/>
  <c r="U150" i="25" s="1"/>
  <c r="U156" i="25" s="1"/>
  <c r="AA122" i="18"/>
  <c r="AM135" i="18"/>
  <c r="AM141" i="18" s="1"/>
  <c r="AM147" i="18" s="1"/>
  <c r="AM153" i="18" s="1"/>
  <c r="AD124" i="18"/>
  <c r="AN137" i="27"/>
  <c r="AN143" i="27" s="1"/>
  <c r="AN136" i="20"/>
  <c r="AN142" i="20" s="1"/>
  <c r="AD77" i="18"/>
  <c r="AD83" i="18" s="1"/>
  <c r="AJ115" i="28"/>
  <c r="AJ42" i="52"/>
  <c r="R110" i="53"/>
  <c r="R130" i="53"/>
  <c r="R120" i="53"/>
  <c r="R100" i="53"/>
  <c r="AM203" i="32"/>
  <c r="AC20" i="52"/>
  <c r="AF107" i="11"/>
  <c r="I4" i="19"/>
  <c r="AV11" i="5"/>
  <c r="I17" i="52" s="1"/>
  <c r="AJ127" i="11"/>
  <c r="AW72" i="33"/>
  <c r="AW10" i="33" s="1"/>
  <c r="AW28" i="33" s="1"/>
  <c r="AW46" i="33" s="1"/>
  <c r="W6" i="19"/>
  <c r="F23" i="20"/>
  <c r="F164" i="20"/>
  <c r="F166" i="20" s="1"/>
  <c r="F92" i="20"/>
  <c r="F94" i="20" s="1"/>
  <c r="F128" i="20"/>
  <c r="F130" i="20" s="1"/>
  <c r="I160" i="32"/>
  <c r="F8" i="27"/>
  <c r="F14" i="27" s="1"/>
  <c r="F20" i="27" s="1"/>
  <c r="F26" i="27" s="1"/>
  <c r="F171" i="27"/>
  <c r="F177" i="27" s="1"/>
  <c r="F183" i="27" s="1"/>
  <c r="F189" i="27" s="1"/>
  <c r="F102" i="20"/>
  <c r="F108" i="20" s="1"/>
  <c r="F114" i="20" s="1"/>
  <c r="F120" i="20" s="1"/>
  <c r="AL95" i="53"/>
  <c r="AL94" i="53"/>
  <c r="G11" i="41"/>
  <c r="G26" i="41" s="1"/>
  <c r="G27" i="41"/>
  <c r="X55" i="50"/>
  <c r="X108" i="50"/>
  <c r="X59" i="50"/>
  <c r="C307" i="53"/>
  <c r="L115" i="29" s="1"/>
  <c r="M115" i="29" s="1"/>
  <c r="E307" i="53"/>
  <c r="C46" i="29" s="1"/>
  <c r="B112" i="52" s="1"/>
  <c r="B113" i="52" s="1"/>
  <c r="B114" i="52" s="1"/>
  <c r="B115" i="52" s="1"/>
  <c r="B116" i="52" s="1"/>
  <c r="B117" i="52" s="1"/>
  <c r="AO7" i="3"/>
  <c r="E172" i="25"/>
  <c r="E178" i="25" s="1"/>
  <c r="E184" i="25" s="1"/>
  <c r="AM59" i="53"/>
  <c r="Q59" i="53"/>
  <c r="AI59" i="53"/>
  <c r="M59" i="53"/>
  <c r="AP59" i="53"/>
  <c r="G59" i="53"/>
  <c r="AL59" i="53"/>
  <c r="AH59" i="53"/>
  <c r="AD59" i="53"/>
  <c r="V59" i="53"/>
  <c r="R59" i="53"/>
  <c r="J59" i="53"/>
  <c r="Z59" i="53"/>
  <c r="AN59" i="53"/>
  <c r="N59" i="53"/>
  <c r="AJ59" i="53"/>
  <c r="AO59" i="53"/>
  <c r="AC59" i="53"/>
  <c r="Y59" i="53"/>
  <c r="U59" i="53"/>
  <c r="I59" i="53"/>
  <c r="AF59" i="53"/>
  <c r="AB59" i="53"/>
  <c r="A103" i="53"/>
  <c r="X59" i="53"/>
  <c r="T59" i="53"/>
  <c r="P59" i="53"/>
  <c r="L59" i="53"/>
  <c r="H59" i="53"/>
  <c r="F59" i="53"/>
  <c r="AE59" i="53"/>
  <c r="AA59" i="53"/>
  <c r="O59" i="53"/>
  <c r="K59" i="53"/>
  <c r="AK59" i="53"/>
  <c r="AG59" i="53"/>
  <c r="W59" i="53"/>
  <c r="S59" i="53"/>
  <c r="G27" i="59"/>
  <c r="G122" i="59"/>
  <c r="M72" i="50"/>
  <c r="M109" i="50"/>
  <c r="M76" i="50"/>
  <c r="AW70" i="33"/>
  <c r="AW8" i="33" s="1"/>
  <c r="AW26" i="33" s="1"/>
  <c r="AW44" i="33" s="1"/>
  <c r="AJ125" i="11"/>
  <c r="AL6" i="32"/>
  <c r="AL7" i="32" s="1"/>
  <c r="D9" i="34" s="1"/>
  <c r="AL25" i="32"/>
  <c r="D11" i="34" s="1"/>
  <c r="AL15" i="32"/>
  <c r="AL16" i="32" s="1"/>
  <c r="D10" i="34" s="1"/>
  <c r="M17" i="18"/>
  <c r="M5" i="18"/>
  <c r="M14" i="18"/>
  <c r="M11" i="18"/>
  <c r="AE25" i="32"/>
  <c r="AG11" i="34" s="1"/>
  <c r="AE6" i="32"/>
  <c r="AE7" i="32" s="1"/>
  <c r="AG9" i="34" s="1"/>
  <c r="AE15" i="32"/>
  <c r="AE16" i="32" s="1"/>
  <c r="AG10" i="34" s="1"/>
  <c r="AU76" i="33"/>
  <c r="AU14" i="33" s="1"/>
  <c r="AU32" i="33" s="1"/>
  <c r="AU50" i="33" s="1"/>
  <c r="AH131" i="11"/>
  <c r="Q122" i="11"/>
  <c r="AA67" i="33"/>
  <c r="AA5" i="33" s="1"/>
  <c r="AA23" i="33" s="1"/>
  <c r="AA41" i="33" s="1"/>
  <c r="AI17" i="11"/>
  <c r="AL17" i="11" s="1"/>
  <c r="L8" i="32"/>
  <c r="I70" i="52"/>
  <c r="L36" i="32"/>
  <c r="I47" i="18"/>
  <c r="AN138" i="27"/>
  <c r="AN144" i="27" s="1"/>
  <c r="AN71" i="27"/>
  <c r="AN77" i="27" s="1"/>
  <c r="AF74" i="25"/>
  <c r="AF80" i="25" s="1"/>
  <c r="AF86" i="25" s="1"/>
  <c r="AF92" i="25" s="1"/>
  <c r="AF128" i="18"/>
  <c r="AF130" i="18" s="1"/>
  <c r="AF175" i="25"/>
  <c r="AF181" i="25" s="1"/>
  <c r="AF187" i="25" s="1"/>
  <c r="AF193" i="25" s="1"/>
  <c r="AF15" i="18"/>
  <c r="AF43" i="25" s="1"/>
  <c r="AF49" i="25" s="1"/>
  <c r="AF55" i="25" s="1"/>
  <c r="AF61" i="25" s="1"/>
  <c r="AI43" i="32"/>
  <c r="AF142" i="25"/>
  <c r="AF148" i="25" s="1"/>
  <c r="AF154" i="25" s="1"/>
  <c r="AF160" i="25" s="1"/>
  <c r="AF71" i="25"/>
  <c r="AF77" i="25" s="1"/>
  <c r="AF83" i="25" s="1"/>
  <c r="AF89" i="25" s="1"/>
  <c r="AF8" i="25"/>
  <c r="AF14" i="25" s="1"/>
  <c r="AF20" i="25" s="1"/>
  <c r="AF26" i="25" s="1"/>
  <c r="AF29" i="18"/>
  <c r="AF36" i="18" s="1"/>
  <c r="AF44" i="18" s="1"/>
  <c r="AF30" i="18"/>
  <c r="AF37" i="18" s="1"/>
  <c r="AF45" i="18" s="1"/>
  <c r="AF7" i="25"/>
  <c r="AF13" i="25" s="1"/>
  <c r="AF19" i="25" s="1"/>
  <c r="AF25" i="25" s="1"/>
  <c r="AF103" i="18"/>
  <c r="AF109" i="18" s="1"/>
  <c r="AF115" i="18" s="1"/>
  <c r="AF121" i="18" s="1"/>
  <c r="AF98" i="18"/>
  <c r="AF104" i="18" s="1"/>
  <c r="AF110" i="18" s="1"/>
  <c r="AF116" i="18" s="1"/>
  <c r="AF135" i="18"/>
  <c r="AF141" i="18" s="1"/>
  <c r="AF147" i="18" s="1"/>
  <c r="AF153" i="18" s="1"/>
  <c r="AF66" i="18"/>
  <c r="AF72" i="18" s="1"/>
  <c r="AF78" i="18" s="1"/>
  <c r="AF84" i="18" s="1"/>
  <c r="AF107" i="25"/>
  <c r="AF113" i="25" s="1"/>
  <c r="AF119" i="25" s="1"/>
  <c r="AF125" i="25" s="1"/>
  <c r="AF41" i="25"/>
  <c r="AF47" i="25" s="1"/>
  <c r="AF53" i="25" s="1"/>
  <c r="AF59" i="25" s="1"/>
  <c r="AF67" i="18"/>
  <c r="AF73" i="18" s="1"/>
  <c r="AF79" i="18" s="1"/>
  <c r="AF85" i="18" s="1"/>
  <c r="AF172" i="25"/>
  <c r="AF178" i="25" s="1"/>
  <c r="AF184" i="25" s="1"/>
  <c r="AF190" i="25" s="1"/>
  <c r="AF207" i="25"/>
  <c r="AF213" i="25" s="1"/>
  <c r="AF219" i="25" s="1"/>
  <c r="AF225" i="25" s="1"/>
  <c r="AF73" i="25"/>
  <c r="AF79" i="25" s="1"/>
  <c r="AF85" i="25" s="1"/>
  <c r="AF91" i="25" s="1"/>
  <c r="AF63" i="18"/>
  <c r="AF69" i="18" s="1"/>
  <c r="AF75" i="18" s="1"/>
  <c r="AF81" i="18" s="1"/>
  <c r="AF170" i="25"/>
  <c r="AF176" i="25" s="1"/>
  <c r="AF182" i="25" s="1"/>
  <c r="AF188" i="25" s="1"/>
  <c r="AF206" i="25"/>
  <c r="AF212" i="25" s="1"/>
  <c r="AF218" i="25" s="1"/>
  <c r="AF224" i="25" s="1"/>
  <c r="AF164" i="18"/>
  <c r="AF166" i="18" s="1"/>
  <c r="AF134" i="18"/>
  <c r="AF140" i="18" s="1"/>
  <c r="AF146" i="18" s="1"/>
  <c r="AF152" i="18" s="1"/>
  <c r="AF104" i="25"/>
  <c r="AF110" i="25" s="1"/>
  <c r="AF116" i="25" s="1"/>
  <c r="AF122" i="25" s="1"/>
  <c r="AF62" i="18"/>
  <c r="AF68" i="18" s="1"/>
  <c r="AF74" i="18" s="1"/>
  <c r="AF80" i="18" s="1"/>
  <c r="AF101" i="18"/>
  <c r="AF107" i="18" s="1"/>
  <c r="AF113" i="18" s="1"/>
  <c r="AF119" i="18" s="1"/>
  <c r="AF6" i="25"/>
  <c r="AF12" i="25" s="1"/>
  <c r="AF18" i="25" s="1"/>
  <c r="AF24" i="25" s="1"/>
  <c r="AF208" i="25"/>
  <c r="AF214" i="25" s="1"/>
  <c r="AF220" i="25" s="1"/>
  <c r="AF226" i="25" s="1"/>
  <c r="AF99" i="18"/>
  <c r="AF105" i="18" s="1"/>
  <c r="AF111" i="18" s="1"/>
  <c r="AF117" i="18" s="1"/>
  <c r="AF138" i="18"/>
  <c r="AF144" i="18" s="1"/>
  <c r="AF150" i="18" s="1"/>
  <c r="AF156" i="18" s="1"/>
  <c r="AF9" i="25"/>
  <c r="AF15" i="25" s="1"/>
  <c r="AF21" i="25" s="1"/>
  <c r="AF27" i="25" s="1"/>
  <c r="AF173" i="25"/>
  <c r="AF179" i="25" s="1"/>
  <c r="AF185" i="25" s="1"/>
  <c r="AF191" i="25" s="1"/>
  <c r="AF25" i="18"/>
  <c r="AF32" i="18" s="1"/>
  <c r="AF40" i="18" s="1"/>
  <c r="AF5" i="25"/>
  <c r="AF11" i="25" s="1"/>
  <c r="AF17" i="25" s="1"/>
  <c r="AF23" i="25" s="1"/>
  <c r="AF27" i="18"/>
  <c r="AF34" i="18" s="1"/>
  <c r="AF42" i="18" s="1"/>
  <c r="AF31" i="18"/>
  <c r="AF38" i="18" s="1"/>
  <c r="AF39" i="18" s="1"/>
  <c r="AF42" i="25"/>
  <c r="AF48" i="25" s="1"/>
  <c r="AF54" i="25" s="1"/>
  <c r="AF60" i="25" s="1"/>
  <c r="AF108" i="25"/>
  <c r="AF114" i="25" s="1"/>
  <c r="AF120" i="25" s="1"/>
  <c r="AF126" i="25" s="1"/>
  <c r="AF136" i="18"/>
  <c r="AF142" i="18" s="1"/>
  <c r="AF148" i="18" s="1"/>
  <c r="AF154" i="18" s="1"/>
  <c r="O57" i="18"/>
  <c r="O53" i="18"/>
  <c r="L77" i="28"/>
  <c r="L97" i="28" s="1"/>
  <c r="L32" i="28"/>
  <c r="T120" i="53"/>
  <c r="T100" i="53"/>
  <c r="T130" i="53"/>
  <c r="T110" i="53"/>
  <c r="N96" i="53"/>
  <c r="N106" i="53"/>
  <c r="N126" i="53"/>
  <c r="AO106" i="53"/>
  <c r="AO126" i="53"/>
  <c r="AO96" i="53"/>
  <c r="AL52" i="28"/>
  <c r="AM165" i="32"/>
  <c r="AM8" i="19"/>
  <c r="AM7" i="19"/>
  <c r="AM5" i="19"/>
  <c r="AI170" i="27"/>
  <c r="AI176" i="27" s="1"/>
  <c r="AI182" i="27" s="1"/>
  <c r="AI122" i="20"/>
  <c r="AE15" i="11"/>
  <c r="P15" i="11"/>
  <c r="AB15" i="11"/>
  <c r="Y15" i="11"/>
  <c r="S15" i="11"/>
  <c r="V15" i="11"/>
  <c r="AW84" i="33"/>
  <c r="AW22" i="33" s="1"/>
  <c r="AW40" i="33" s="1"/>
  <c r="AW58" i="33" s="1"/>
  <c r="AJ139" i="11"/>
  <c r="Z13" i="5"/>
  <c r="AC13" i="5" s="1"/>
  <c r="AB13" i="5"/>
  <c r="AQ13" i="5"/>
  <c r="T139" i="26"/>
  <c r="T145" i="26" s="1"/>
  <c r="T134" i="19"/>
  <c r="T140" i="19" s="1"/>
  <c r="T29" i="19"/>
  <c r="T36" i="19" s="1"/>
  <c r="T30" i="19"/>
  <c r="T37" i="19" s="1"/>
  <c r="F52" i="27"/>
  <c r="F58" i="27" s="1"/>
  <c r="T41" i="41"/>
  <c r="T40" i="41"/>
  <c r="T35" i="41"/>
  <c r="T42" i="41"/>
  <c r="T36" i="41"/>
  <c r="T38" i="41"/>
  <c r="T37" i="41"/>
  <c r="T39" i="41"/>
  <c r="G24" i="41"/>
  <c r="G8" i="41"/>
  <c r="G23" i="41" s="1"/>
  <c r="AE107" i="11"/>
  <c r="AB20" i="52"/>
  <c r="AB141" i="28"/>
  <c r="K24" i="32"/>
  <c r="H92" i="18"/>
  <c r="H94" i="18" s="1"/>
  <c r="H92" i="20"/>
  <c r="H94" i="20" s="1"/>
  <c r="K160" i="32"/>
  <c r="H128" i="18"/>
  <c r="H130" i="18" s="1"/>
  <c r="H128" i="20"/>
  <c r="H130" i="20" s="1"/>
  <c r="H164" i="20"/>
  <c r="H166" i="20" s="1"/>
  <c r="AP18" i="1"/>
  <c r="O107" i="25"/>
  <c r="O113" i="25" s="1"/>
  <c r="O119" i="25" s="1"/>
  <c r="AK30" i="28"/>
  <c r="AK128" i="28"/>
  <c r="AP106" i="53"/>
  <c r="AP126" i="53"/>
  <c r="AP96" i="53"/>
  <c r="AI52" i="28"/>
  <c r="AD153" i="25"/>
  <c r="AD159" i="25" s="1"/>
  <c r="H32" i="28"/>
  <c r="H77" i="28"/>
  <c r="H97" i="28" s="1"/>
  <c r="AI186" i="27"/>
  <c r="AI192" i="27" s="1"/>
  <c r="AI183" i="27"/>
  <c r="AI189" i="27" s="1"/>
  <c r="AI77" i="20"/>
  <c r="AI83" i="20" s="1"/>
  <c r="AC15" i="5"/>
  <c r="AK15" i="5"/>
  <c r="AQ15" i="5"/>
  <c r="AW81" i="33"/>
  <c r="AW19" i="33" s="1"/>
  <c r="AW37" i="33" s="1"/>
  <c r="AW55" i="33" s="1"/>
  <c r="AJ136" i="11"/>
  <c r="AC35" i="11"/>
  <c r="T35" i="11"/>
  <c r="Q35" i="11"/>
  <c r="W35" i="11"/>
  <c r="AF35" i="11"/>
  <c r="Z35" i="11"/>
  <c r="W12" i="19"/>
  <c r="F100" i="20"/>
  <c r="F106" i="20" s="1"/>
  <c r="F112" i="20" s="1"/>
  <c r="F118" i="20" s="1"/>
  <c r="F205" i="27"/>
  <c r="F211" i="27" s="1"/>
  <c r="F217" i="27" s="1"/>
  <c r="F223" i="27" s="1"/>
  <c r="F29" i="20"/>
  <c r="F36" i="20" s="1"/>
  <c r="F44" i="20" s="1"/>
  <c r="T27" i="41"/>
  <c r="T11" i="41"/>
  <c r="T26" i="41" s="1"/>
  <c r="AM11" i="41"/>
  <c r="AM26" i="41" s="1"/>
  <c r="AM27" i="41"/>
  <c r="AA55" i="59"/>
  <c r="P109" i="50"/>
  <c r="P72" i="50"/>
  <c r="P76" i="50"/>
  <c r="D60" i="11"/>
  <c r="AV57" i="11"/>
  <c r="AK38" i="59"/>
  <c r="AN7" i="3"/>
  <c r="E171" i="25"/>
  <c r="E177" i="25" s="1"/>
  <c r="E183" i="25" s="1"/>
  <c r="A127" i="36"/>
  <c r="AS15" i="36"/>
  <c r="S24" i="32"/>
  <c r="P92" i="18"/>
  <c r="P94" i="18" s="1"/>
  <c r="P128" i="18"/>
  <c r="P130" i="18" s="1"/>
  <c r="R76" i="33"/>
  <c r="R14" i="33" s="1"/>
  <c r="R32" i="33" s="1"/>
  <c r="R50" i="33" s="1"/>
  <c r="I131" i="11"/>
  <c r="G20" i="59"/>
  <c r="G115" i="59"/>
  <c r="G4" i="59"/>
  <c r="G11" i="59"/>
  <c r="G73" i="59"/>
  <c r="G10" i="59" s="1"/>
  <c r="G106" i="59"/>
  <c r="AM105" i="59"/>
  <c r="AM42" i="59" s="1"/>
  <c r="AM43" i="59"/>
  <c r="AK59" i="59"/>
  <c r="AK99" i="59"/>
  <c r="AK36" i="59" s="1"/>
  <c r="AK37" i="59"/>
  <c r="N21" i="50"/>
  <c r="N106" i="50"/>
  <c r="E24" i="48"/>
  <c r="E43" i="48" s="1"/>
  <c r="E62" i="48" s="1"/>
  <c r="E81" i="48" s="1"/>
  <c r="E6" i="48"/>
  <c r="AJ105" i="28"/>
  <c r="AJ7" i="28"/>
  <c r="AH62" i="32"/>
  <c r="Q128" i="11"/>
  <c r="AA73" i="33"/>
  <c r="AA11" i="33" s="1"/>
  <c r="AA29" i="33" s="1"/>
  <c r="AA47" i="33" s="1"/>
  <c r="AM204" i="25"/>
  <c r="AM210" i="25" s="1"/>
  <c r="AM216" i="25" s="1"/>
  <c r="AM222" i="25" s="1"/>
  <c r="AM166" i="32"/>
  <c r="AJ93" i="27"/>
  <c r="AJ99" i="27" s="1"/>
  <c r="AK67" i="32"/>
  <c r="AH73" i="52"/>
  <c r="AK48" i="32"/>
  <c r="AK20" i="32"/>
  <c r="AK39" i="32"/>
  <c r="AK29" i="32"/>
  <c r="AH50" i="18"/>
  <c r="AK11" i="32"/>
  <c r="P107" i="11"/>
  <c r="M20" i="52"/>
  <c r="AK115" i="59"/>
  <c r="AK20" i="59"/>
  <c r="R32" i="28"/>
  <c r="R77" i="28"/>
  <c r="AN120" i="59"/>
  <c r="AN25" i="59"/>
  <c r="AM120" i="59"/>
  <c r="AM25" i="59"/>
  <c r="AA13" i="59"/>
  <c r="AA108" i="59"/>
  <c r="AA75" i="59"/>
  <c r="AA12" i="59" s="1"/>
  <c r="AA25" i="59"/>
  <c r="AA120" i="59"/>
  <c r="O4" i="50"/>
  <c r="O105" i="50"/>
  <c r="O8" i="50"/>
  <c r="AH93" i="50"/>
  <c r="AH110" i="50"/>
  <c r="AH89" i="50"/>
  <c r="Y89" i="50"/>
  <c r="Y110" i="50"/>
  <c r="AL115" i="28"/>
  <c r="AL17" i="28"/>
  <c r="AI75" i="28"/>
  <c r="AI10" i="28" s="1"/>
  <c r="AI11" i="28"/>
  <c r="AI109" i="28"/>
  <c r="N38" i="50"/>
  <c r="N107" i="50"/>
  <c r="AL122" i="28"/>
  <c r="AL24" i="28"/>
  <c r="T112" i="28"/>
  <c r="T43" i="52"/>
  <c r="V107" i="53" s="1"/>
  <c r="V112" i="53" s="1"/>
  <c r="AJ134" i="11"/>
  <c r="AW79" i="33"/>
  <c r="AW17" i="33" s="1"/>
  <c r="AW35" i="33" s="1"/>
  <c r="AW53" i="33" s="1"/>
  <c r="AI21" i="11"/>
  <c r="AL21" i="11" s="1"/>
  <c r="AE70" i="33"/>
  <c r="AE8" i="33" s="1"/>
  <c r="AE26" i="33" s="1"/>
  <c r="AE44" i="33" s="1"/>
  <c r="V125" i="11"/>
  <c r="AG22" i="18"/>
  <c r="AG12" i="18"/>
  <c r="M62" i="32"/>
  <c r="AU82" i="33"/>
  <c r="AU20" i="33" s="1"/>
  <c r="AU38" i="33" s="1"/>
  <c r="AU56" i="33" s="1"/>
  <c r="AH137" i="11"/>
  <c r="U151" i="32"/>
  <c r="U152" i="32" s="1"/>
  <c r="T17" i="34" s="1"/>
  <c r="T31" i="34" s="1"/>
  <c r="U142" i="32"/>
  <c r="U143" i="32" s="1"/>
  <c r="T16" i="34" s="1"/>
  <c r="T30" i="34" s="1"/>
  <c r="U161" i="32"/>
  <c r="T18" i="34" s="1"/>
  <c r="T32" i="34" s="1"/>
  <c r="AJ53" i="28"/>
  <c r="AT79" i="33"/>
  <c r="AT17" i="33" s="1"/>
  <c r="AT35" i="33" s="1"/>
  <c r="AT53" i="33" s="1"/>
  <c r="AP134" i="11"/>
  <c r="Y65" i="20"/>
  <c r="Y71" i="20" s="1"/>
  <c r="Y77" i="20" s="1"/>
  <c r="Y83" i="20" s="1"/>
  <c r="Y89" i="20" s="1"/>
  <c r="Y62" i="20"/>
  <c r="Y68" i="20" s="1"/>
  <c r="Y74" i="20" s="1"/>
  <c r="Y80" i="20" s="1"/>
  <c r="Y5" i="27"/>
  <c r="Y11" i="27" s="1"/>
  <c r="Y17" i="27" s="1"/>
  <c r="Y23" i="27" s="1"/>
  <c r="AA5" i="27"/>
  <c r="AA11" i="27" s="1"/>
  <c r="AA82" i="33"/>
  <c r="AA20" i="33" s="1"/>
  <c r="AA38" i="33" s="1"/>
  <c r="AA56" i="33" s="1"/>
  <c r="Q137" i="11"/>
  <c r="AK92" i="18"/>
  <c r="AK94" i="18" s="1"/>
  <c r="AK6" i="18"/>
  <c r="AN24" i="32"/>
  <c r="AK7" i="18"/>
  <c r="AD79" i="18"/>
  <c r="AD85" i="18" s="1"/>
  <c r="I28" i="18"/>
  <c r="I35" i="18" s="1"/>
  <c r="I43" i="18" s="1"/>
  <c r="AP67" i="32"/>
  <c r="AP48" i="32"/>
  <c r="AP29" i="32"/>
  <c r="AP20" i="32"/>
  <c r="AM50" i="18"/>
  <c r="AP58" i="32"/>
  <c r="AP39" i="32"/>
  <c r="AP11" i="32"/>
  <c r="AM73" i="52"/>
  <c r="K5" i="18"/>
  <c r="AN66" i="20"/>
  <c r="AN72" i="20" s="1"/>
  <c r="AN7" i="27"/>
  <c r="AN13" i="27" s="1"/>
  <c r="AI62" i="32"/>
  <c r="AF16" i="18"/>
  <c r="AF18" i="18" s="1"/>
  <c r="AJ91" i="20"/>
  <c r="AK63" i="32"/>
  <c r="AN14" i="34" s="1"/>
  <c r="AK53" i="32"/>
  <c r="AK54" i="32" s="1"/>
  <c r="AN15" i="34" s="1"/>
  <c r="AD19" i="25"/>
  <c r="AD25" i="25" s="1"/>
  <c r="AI9" i="28"/>
  <c r="AI107" i="28"/>
  <c r="R11" i="32"/>
  <c r="S96" i="53"/>
  <c r="S106" i="53"/>
  <c r="S126" i="53"/>
  <c r="R106" i="53"/>
  <c r="R96" i="53"/>
  <c r="R126" i="53"/>
  <c r="AM147" i="32"/>
  <c r="AG123" i="11"/>
  <c r="AS68" i="33"/>
  <c r="AS6" i="33" s="1"/>
  <c r="AS24" i="33" s="1"/>
  <c r="AS42" i="33" s="1"/>
  <c r="AJ35" i="11"/>
  <c r="AM35" i="11" s="1"/>
  <c r="AI85" i="27"/>
  <c r="AI91" i="27" s="1"/>
  <c r="AI117" i="27"/>
  <c r="AI123" i="27" s="1"/>
  <c r="AI115" i="20"/>
  <c r="AI121" i="20" s="1"/>
  <c r="H92" i="32"/>
  <c r="E92" i="19"/>
  <c r="E94" i="19" s="1"/>
  <c r="AB31" i="11"/>
  <c r="V31" i="11"/>
  <c r="AE31" i="11"/>
  <c r="P31" i="11"/>
  <c r="Y31" i="11"/>
  <c r="S31" i="11"/>
  <c r="AJ124" i="11"/>
  <c r="AK39" i="11"/>
  <c r="AN39" i="11" s="1"/>
  <c r="AW69" i="33"/>
  <c r="AW7" i="33" s="1"/>
  <c r="AW25" i="33" s="1"/>
  <c r="AW43" i="33" s="1"/>
  <c r="AI138" i="11"/>
  <c r="AV83" i="33"/>
  <c r="AV21" i="33" s="1"/>
  <c r="AV39" i="33" s="1"/>
  <c r="AV57" i="33" s="1"/>
  <c r="AK126" i="11"/>
  <c r="AX71" i="33"/>
  <c r="AX9" i="33" s="1"/>
  <c r="AX27" i="33" s="1"/>
  <c r="AX45" i="33" s="1"/>
  <c r="F141" i="27"/>
  <c r="F147" i="27" s="1"/>
  <c r="F153" i="27" s="1"/>
  <c r="F159" i="27" s="1"/>
  <c r="F66" i="20"/>
  <c r="F72" i="20" s="1"/>
  <c r="F78" i="20" s="1"/>
  <c r="F84" i="20" s="1"/>
  <c r="F137" i="27"/>
  <c r="F143" i="27" s="1"/>
  <c r="F149" i="27" s="1"/>
  <c r="F155" i="27" s="1"/>
  <c r="AI8" i="41"/>
  <c r="AI23" i="41" s="1"/>
  <c r="L98" i="53"/>
  <c r="L101" i="53" s="1"/>
  <c r="A142" i="53"/>
  <c r="AA98" i="53"/>
  <c r="AA101" i="53" s="1"/>
  <c r="AB98" i="53"/>
  <c r="AB101" i="53" s="1"/>
  <c r="W98" i="53"/>
  <c r="W101" i="53" s="1"/>
  <c r="O98" i="53"/>
  <c r="O101" i="53" s="1"/>
  <c r="AG98" i="53"/>
  <c r="AG101" i="53" s="1"/>
  <c r="G98" i="53"/>
  <c r="G101" i="53" s="1"/>
  <c r="M98" i="53"/>
  <c r="M101" i="53" s="1"/>
  <c r="AH98" i="53"/>
  <c r="AH101" i="53" s="1"/>
  <c r="N98" i="53"/>
  <c r="N101" i="53" s="1"/>
  <c r="AF98" i="53"/>
  <c r="AF101" i="53" s="1"/>
  <c r="AI98" i="53"/>
  <c r="AI101" i="53" s="1"/>
  <c r="J98" i="53"/>
  <c r="J101" i="53" s="1"/>
  <c r="AE98" i="53"/>
  <c r="AE101" i="53" s="1"/>
  <c r="K98" i="53"/>
  <c r="K101" i="53" s="1"/>
  <c r="Z98" i="53"/>
  <c r="Z101" i="53" s="1"/>
  <c r="P98" i="53"/>
  <c r="P101" i="53" s="1"/>
  <c r="AJ98" i="53"/>
  <c r="AJ101" i="53" s="1"/>
  <c r="S98" i="53"/>
  <c r="S101" i="53" s="1"/>
  <c r="H98" i="53"/>
  <c r="H101" i="53" s="1"/>
  <c r="U98" i="53"/>
  <c r="U101" i="53" s="1"/>
  <c r="Q98" i="53"/>
  <c r="Q101" i="53" s="1"/>
  <c r="X98" i="53"/>
  <c r="X101" i="53" s="1"/>
  <c r="F98" i="53"/>
  <c r="F101" i="53" s="1"/>
  <c r="R98" i="53"/>
  <c r="R101" i="53" s="1"/>
  <c r="Y98" i="53"/>
  <c r="Y101" i="53" s="1"/>
  <c r="T98" i="53"/>
  <c r="T101" i="53" s="1"/>
  <c r="AD98" i="53"/>
  <c r="AD101" i="53" s="1"/>
  <c r="AL98" i="53"/>
  <c r="AL101" i="53" s="1"/>
  <c r="AP98" i="53"/>
  <c r="AP101" i="53" s="1"/>
  <c r="AN98" i="53"/>
  <c r="AN101" i="53" s="1"/>
  <c r="AO98" i="53"/>
  <c r="AO101" i="53" s="1"/>
  <c r="AK98" i="53"/>
  <c r="AK101" i="53" s="1"/>
  <c r="I98" i="53"/>
  <c r="I101" i="53" s="1"/>
  <c r="AM98" i="53"/>
  <c r="AM101" i="53" s="1"/>
  <c r="D89" i="50"/>
  <c r="D93" i="50" s="1"/>
  <c r="D76" i="50"/>
  <c r="AH107" i="50"/>
  <c r="AH38" i="50"/>
  <c r="AH42" i="50"/>
  <c r="C34" i="33"/>
  <c r="C19" i="33"/>
  <c r="D16" i="33"/>
  <c r="K16" i="33" s="1"/>
  <c r="AA110" i="59"/>
  <c r="AA15" i="59"/>
  <c r="J32" i="28"/>
  <c r="J77" i="28"/>
  <c r="M93" i="50"/>
  <c r="M89" i="50"/>
  <c r="M110" i="50"/>
  <c r="P125" i="11"/>
  <c r="Z70" i="33"/>
  <c r="Z8" i="33" s="1"/>
  <c r="Z26" i="33" s="1"/>
  <c r="Z44" i="33" s="1"/>
  <c r="AD55" i="32"/>
  <c r="AD45" i="32"/>
  <c r="AD17" i="32"/>
  <c r="AA70" i="52"/>
  <c r="AD26" i="32"/>
  <c r="AD8" i="32"/>
  <c r="AA47" i="18"/>
  <c r="AA46" i="18"/>
  <c r="AA53" i="18" s="1"/>
  <c r="AA93" i="18"/>
  <c r="AA129" i="18"/>
  <c r="AA165" i="18"/>
  <c r="AD64" i="32"/>
  <c r="AD36" i="32"/>
  <c r="AJ192" i="27"/>
  <c r="AJ198" i="27" s="1"/>
  <c r="AM195" i="32"/>
  <c r="S107" i="11"/>
  <c r="P20" i="52"/>
  <c r="AG77" i="28"/>
  <c r="AG32" i="28"/>
  <c r="AI110" i="59"/>
  <c r="AI15" i="59"/>
  <c r="AI9" i="59"/>
  <c r="AI104" i="59"/>
  <c r="AM9" i="59"/>
  <c r="AM104" i="59"/>
  <c r="AK55" i="59"/>
  <c r="AM111" i="59"/>
  <c r="AM16" i="59"/>
  <c r="AA50" i="59"/>
  <c r="T102" i="59"/>
  <c r="T7" i="59"/>
  <c r="AE89" i="50"/>
  <c r="AE110" i="50"/>
  <c r="O72" i="50"/>
  <c r="O109" i="50"/>
  <c r="AL64" i="53"/>
  <c r="AL67" i="53" s="1"/>
  <c r="K64" i="53"/>
  <c r="K67" i="53" s="1"/>
  <c r="AC64" i="53"/>
  <c r="AC67" i="53" s="1"/>
  <c r="AF64" i="53"/>
  <c r="AF67" i="53" s="1"/>
  <c r="V64" i="53"/>
  <c r="V67" i="53" s="1"/>
  <c r="Q64" i="53"/>
  <c r="Q67" i="53" s="1"/>
  <c r="P64" i="53"/>
  <c r="P67" i="53" s="1"/>
  <c r="AA64" i="53"/>
  <c r="AA67" i="53" s="1"/>
  <c r="M64" i="53"/>
  <c r="M67" i="53" s="1"/>
  <c r="L64" i="53"/>
  <c r="L67" i="53" s="1"/>
  <c r="S64" i="53"/>
  <c r="S67" i="53" s="1"/>
  <c r="AO64" i="53"/>
  <c r="AO67" i="53" s="1"/>
  <c r="H64" i="53"/>
  <c r="H67" i="53" s="1"/>
  <c r="AG64" i="53"/>
  <c r="AG67" i="53" s="1"/>
  <c r="AP64" i="53"/>
  <c r="AP67" i="53" s="1"/>
  <c r="AH64" i="53"/>
  <c r="AH67" i="53" s="1"/>
  <c r="Y64" i="53"/>
  <c r="Y67" i="53" s="1"/>
  <c r="AD64" i="53"/>
  <c r="AD67" i="53" s="1"/>
  <c r="AB64" i="53"/>
  <c r="AB67" i="53" s="1"/>
  <c r="AE64" i="53"/>
  <c r="AE67" i="53" s="1"/>
  <c r="X64" i="53"/>
  <c r="X67" i="53" s="1"/>
  <c r="W64" i="53"/>
  <c r="W67" i="53" s="1"/>
  <c r="T64" i="53"/>
  <c r="T67" i="53" s="1"/>
  <c r="O64" i="53"/>
  <c r="O67" i="53" s="1"/>
  <c r="G64" i="53"/>
  <c r="G67" i="53" s="1"/>
  <c r="Z64" i="53"/>
  <c r="Z67" i="53" s="1"/>
  <c r="AK64" i="53"/>
  <c r="AK67" i="53" s="1"/>
  <c r="U64" i="53"/>
  <c r="U67" i="53" s="1"/>
  <c r="I64" i="53"/>
  <c r="I67" i="53" s="1"/>
  <c r="AM64" i="53"/>
  <c r="AM67" i="53" s="1"/>
  <c r="A108" i="53"/>
  <c r="AN64" i="53"/>
  <c r="AN67" i="53" s="1"/>
  <c r="J64" i="53"/>
  <c r="J67" i="53" s="1"/>
  <c r="F64" i="53"/>
  <c r="F67" i="53" s="1"/>
  <c r="AI64" i="53"/>
  <c r="AI67" i="53" s="1"/>
  <c r="AJ64" i="53"/>
  <c r="AJ67" i="53" s="1"/>
  <c r="R64" i="53"/>
  <c r="R67" i="53" s="1"/>
  <c r="N64" i="53"/>
  <c r="N67" i="53" s="1"/>
  <c r="AH72" i="50"/>
  <c r="AH109" i="50"/>
  <c r="AH76" i="50"/>
  <c r="E23" i="36"/>
  <c r="E50" i="36"/>
  <c r="E78" i="36" s="1"/>
  <c r="E106" i="36" s="1"/>
  <c r="E134" i="36" s="1"/>
  <c r="A129" i="36"/>
  <c r="AS17" i="36"/>
  <c r="Y4" i="50"/>
  <c r="Y105" i="50"/>
  <c r="Y8" i="50"/>
  <c r="AL70" i="28"/>
  <c r="AH77" i="28"/>
  <c r="AH97" i="28" s="1"/>
  <c r="AH32" i="28"/>
  <c r="AK75" i="28"/>
  <c r="AK10" i="28" s="1"/>
  <c r="AK11" i="28"/>
  <c r="AK109" i="28"/>
  <c r="AK7" i="20"/>
  <c r="AK8" i="20"/>
  <c r="AR73" i="33"/>
  <c r="AR11" i="33" s="1"/>
  <c r="AR29" i="33" s="1"/>
  <c r="AR47" i="33" s="1"/>
  <c r="AF128" i="11"/>
  <c r="AK104" i="28"/>
  <c r="AK6" i="28"/>
  <c r="AD161" i="32"/>
  <c r="AF18" i="34" s="1"/>
  <c r="AF32" i="34" s="1"/>
  <c r="AD142" i="32"/>
  <c r="AD143" i="32" s="1"/>
  <c r="AF16" i="34" s="1"/>
  <c r="AF30" i="34" s="1"/>
  <c r="AD151" i="32"/>
  <c r="AD152" i="32" s="1"/>
  <c r="AF17" i="34" s="1"/>
  <c r="AF31" i="34" s="1"/>
  <c r="AU79" i="33"/>
  <c r="AU17" i="33" s="1"/>
  <c r="AU35" i="33" s="1"/>
  <c r="AU53" i="33" s="1"/>
  <c r="AH134" i="11"/>
  <c r="Z25" i="32"/>
  <c r="Z11" i="34" s="1"/>
  <c r="Z15" i="32"/>
  <c r="Z16" i="32" s="1"/>
  <c r="Z10" i="34" s="1"/>
  <c r="Z6" i="32"/>
  <c r="Z7" i="32" s="1"/>
  <c r="Z9" i="34" s="1"/>
  <c r="R12" i="18"/>
  <c r="R22" i="18"/>
  <c r="AN53" i="28"/>
  <c r="AO6" i="3"/>
  <c r="AJ172" i="27"/>
  <c r="AJ178" i="27" s="1"/>
  <c r="AJ184" i="27" s="1"/>
  <c r="AJ190" i="27" s="1"/>
  <c r="AT70" i="33"/>
  <c r="AT8" i="33" s="1"/>
  <c r="AT26" i="33" s="1"/>
  <c r="AT44" i="33" s="1"/>
  <c r="AP125" i="11"/>
  <c r="Y102" i="20"/>
  <c r="Y108" i="20" s="1"/>
  <c r="Y114" i="20" s="1"/>
  <c r="Y120" i="20" s="1"/>
  <c r="Y28" i="20"/>
  <c r="Y35" i="20" s="1"/>
  <c r="Y43" i="20" s="1"/>
  <c r="Y139" i="27"/>
  <c r="Y145" i="27" s="1"/>
  <c r="Y151" i="27" s="1"/>
  <c r="Y157" i="27" s="1"/>
  <c r="AL15" i="20"/>
  <c r="AL12" i="20"/>
  <c r="AL6" i="20"/>
  <c r="AL18" i="20"/>
  <c r="AA76" i="33"/>
  <c r="AA14" i="33" s="1"/>
  <c r="AA32" i="33" s="1"/>
  <c r="AA50" i="33" s="1"/>
  <c r="Q131" i="11"/>
  <c r="AN101" i="20"/>
  <c r="AN107" i="20" s="1"/>
  <c r="AN205" i="27"/>
  <c r="AN211" i="27" s="1"/>
  <c r="AJ127" i="20"/>
  <c r="AD150" i="18"/>
  <c r="AD156" i="18" s="1"/>
  <c r="AK21" i="28"/>
  <c r="AK119" i="28"/>
  <c r="AD107" i="25"/>
  <c r="AD113" i="25" s="1"/>
  <c r="AD119" i="25" s="1"/>
  <c r="AD125" i="25" s="1"/>
  <c r="U107" i="11"/>
  <c r="R20" i="52"/>
  <c r="AP36" i="32"/>
  <c r="AN126" i="53"/>
  <c r="AN106" i="53"/>
  <c r="AN96" i="53"/>
  <c r="AS80" i="33"/>
  <c r="AS18" i="33" s="1"/>
  <c r="AS36" i="33" s="1"/>
  <c r="AS54" i="33" s="1"/>
  <c r="AG135" i="11"/>
  <c r="AI112" i="20"/>
  <c r="AI118" i="20" s="1"/>
  <c r="AI146" i="20"/>
  <c r="AI152" i="20" s="1"/>
  <c r="AI54" i="27"/>
  <c r="AI60" i="27" s="1"/>
  <c r="I111" i="32"/>
  <c r="F16" i="19"/>
  <c r="F174" i="26" s="1"/>
  <c r="F180" i="26" s="1"/>
  <c r="F137" i="19"/>
  <c r="F143" i="19" s="1"/>
  <c r="F108" i="26"/>
  <c r="F114" i="26" s="1"/>
  <c r="F205" i="26"/>
  <c r="F211" i="26" s="1"/>
  <c r="F128" i="19"/>
  <c r="F130" i="19" s="1"/>
  <c r="F7" i="26"/>
  <c r="F13" i="26" s="1"/>
  <c r="F109" i="26"/>
  <c r="F115" i="26" s="1"/>
  <c r="F39" i="26"/>
  <c r="F45" i="26" s="1"/>
  <c r="F76" i="26"/>
  <c r="F82" i="26" s="1"/>
  <c r="F17" i="19"/>
  <c r="F19" i="19" s="1"/>
  <c r="AP124" i="11"/>
  <c r="AK36" i="11"/>
  <c r="AN36" i="11" s="1"/>
  <c r="AT69" i="33"/>
  <c r="AT7" i="33" s="1"/>
  <c r="AT25" i="33" s="1"/>
  <c r="AT43" i="33" s="1"/>
  <c r="AD8" i="19"/>
  <c r="AD7" i="19"/>
  <c r="AD5" i="19"/>
  <c r="T13" i="19"/>
  <c r="T139" i="19" s="1"/>
  <c r="T145" i="19" s="1"/>
  <c r="T23" i="19"/>
  <c r="AI129" i="11"/>
  <c r="AV74" i="33"/>
  <c r="AV12" i="33" s="1"/>
  <c r="AV30" i="33" s="1"/>
  <c r="AV48" i="33" s="1"/>
  <c r="AC40" i="5"/>
  <c r="AQ40" i="5"/>
  <c r="T101" i="19"/>
  <c r="T107" i="19" s="1"/>
  <c r="T98" i="19"/>
  <c r="T104" i="19" s="1"/>
  <c r="AX77" i="33"/>
  <c r="AX15" i="33" s="1"/>
  <c r="AX33" i="33" s="1"/>
  <c r="AX51" i="33" s="1"/>
  <c r="AK132" i="11"/>
  <c r="F39" i="27"/>
  <c r="F45" i="27" s="1"/>
  <c r="F51" i="27" s="1"/>
  <c r="F57" i="27" s="1"/>
  <c r="F9" i="27"/>
  <c r="F15" i="27" s="1"/>
  <c r="F21" i="27" s="1"/>
  <c r="F27" i="27" s="1"/>
  <c r="F42" i="27"/>
  <c r="F48" i="27" s="1"/>
  <c r="F54" i="27" s="1"/>
  <c r="F60" i="27" s="1"/>
  <c r="T21" i="41"/>
  <c r="T5" i="41"/>
  <c r="T20" i="41" s="1"/>
  <c r="AB72" i="50"/>
  <c r="AB76" i="50"/>
  <c r="AB109" i="50"/>
  <c r="AK120" i="59"/>
  <c r="AK25" i="59"/>
  <c r="T26" i="59"/>
  <c r="T121" i="59"/>
  <c r="G101" i="59"/>
  <c r="G6" i="59"/>
  <c r="AI115" i="59"/>
  <c r="AI20" i="59"/>
  <c r="T110" i="59"/>
  <c r="T15" i="59"/>
  <c r="T22" i="59"/>
  <c r="T84" i="59"/>
  <c r="T21" i="59" s="1"/>
  <c r="T117" i="59"/>
  <c r="AN122" i="28"/>
  <c r="AN24" i="28"/>
  <c r="AP69" i="53"/>
  <c r="M69" i="53"/>
  <c r="AN69" i="53"/>
  <c r="A113" i="53"/>
  <c r="AH69" i="53"/>
  <c r="AD69" i="53"/>
  <c r="AO69" i="53"/>
  <c r="Z69" i="53"/>
  <c r="AG69" i="53"/>
  <c r="R69" i="53"/>
  <c r="Q69" i="53"/>
  <c r="AB69" i="53"/>
  <c r="I69" i="53"/>
  <c r="T69" i="53"/>
  <c r="AK69" i="53"/>
  <c r="AC69" i="53"/>
  <c r="Y69" i="53"/>
  <c r="U69" i="53"/>
  <c r="AF69" i="53"/>
  <c r="X69" i="53"/>
  <c r="P69" i="53"/>
  <c r="H69" i="53"/>
  <c r="AM69" i="53"/>
  <c r="AI69" i="53"/>
  <c r="AA69" i="53"/>
  <c r="S69" i="53"/>
  <c r="K69" i="53"/>
  <c r="AE69" i="53"/>
  <c r="W69" i="53"/>
  <c r="O69" i="53"/>
  <c r="G69" i="53"/>
  <c r="AL69" i="53"/>
  <c r="V69" i="53"/>
  <c r="N69" i="53"/>
  <c r="J69" i="53"/>
  <c r="AJ69" i="53"/>
  <c r="L69" i="53"/>
  <c r="F69" i="53"/>
  <c r="AS6" i="47"/>
  <c r="A34" i="47"/>
  <c r="N109" i="50"/>
  <c r="N72" i="50"/>
  <c r="N76" i="50"/>
  <c r="AA59" i="59"/>
  <c r="AA7" i="59"/>
  <c r="AA102" i="59"/>
  <c r="AI25" i="28"/>
  <c r="AI123" i="28"/>
  <c r="K125" i="11"/>
  <c r="T70" i="33"/>
  <c r="T8" i="33" s="1"/>
  <c r="T26" i="33" s="1"/>
  <c r="T44" i="33" s="1"/>
  <c r="G137" i="11"/>
  <c r="O82" i="33"/>
  <c r="O20" i="33" s="1"/>
  <c r="O38" i="33" s="1"/>
  <c r="O56" i="33" s="1"/>
  <c r="AR30" i="3"/>
  <c r="H123" i="53"/>
  <c r="H93" i="53"/>
  <c r="AP6" i="3"/>
  <c r="AJ173" i="27"/>
  <c r="AJ179" i="27" s="1"/>
  <c r="AJ185" i="27" s="1"/>
  <c r="AP128" i="11"/>
  <c r="AT73" i="33"/>
  <c r="AT11" i="33" s="1"/>
  <c r="AT29" i="33" s="1"/>
  <c r="AT47" i="33" s="1"/>
  <c r="AJ80" i="33"/>
  <c r="AJ18" i="33" s="1"/>
  <c r="AJ36" i="33" s="1"/>
  <c r="AJ54" i="33" s="1"/>
  <c r="Z135" i="11"/>
  <c r="AA142" i="32"/>
  <c r="AA143" i="32" s="1"/>
  <c r="AA16" i="34" s="1"/>
  <c r="AA30" i="34" s="1"/>
  <c r="AA161" i="32"/>
  <c r="AA18" i="34" s="1"/>
  <c r="AA32" i="34" s="1"/>
  <c r="AA151" i="32"/>
  <c r="AA152" i="32" s="1"/>
  <c r="AA17" i="34" s="1"/>
  <c r="AA31" i="34" s="1"/>
  <c r="I75" i="25"/>
  <c r="I81" i="25" s="1"/>
  <c r="I87" i="25" s="1"/>
  <c r="I93" i="25" s="1"/>
  <c r="I136" i="18"/>
  <c r="I142" i="18" s="1"/>
  <c r="I148" i="18" s="1"/>
  <c r="I154" i="18" s="1"/>
  <c r="I40" i="25"/>
  <c r="I46" i="25" s="1"/>
  <c r="I52" i="25" s="1"/>
  <c r="I58" i="25" s="1"/>
  <c r="I39" i="25"/>
  <c r="I45" i="25" s="1"/>
  <c r="I51" i="25" s="1"/>
  <c r="I57" i="25" s="1"/>
  <c r="I101" i="18"/>
  <c r="I107" i="18" s="1"/>
  <c r="I113" i="18" s="1"/>
  <c r="I119" i="18" s="1"/>
  <c r="I206" i="25"/>
  <c r="I212" i="25" s="1"/>
  <c r="I218" i="25" s="1"/>
  <c r="I224" i="25" s="1"/>
  <c r="I41" i="25"/>
  <c r="I47" i="25" s="1"/>
  <c r="I53" i="25" s="1"/>
  <c r="I59" i="25" s="1"/>
  <c r="I98" i="18"/>
  <c r="I104" i="18" s="1"/>
  <c r="I110" i="18" s="1"/>
  <c r="I116" i="18" s="1"/>
  <c r="I66" i="18"/>
  <c r="I72" i="18" s="1"/>
  <c r="I78" i="18" s="1"/>
  <c r="I84" i="18" s="1"/>
  <c r="I207" i="25"/>
  <c r="I213" i="25" s="1"/>
  <c r="I219" i="25" s="1"/>
  <c r="I225" i="25" s="1"/>
  <c r="I100" i="18"/>
  <c r="I106" i="18" s="1"/>
  <c r="I112" i="18" s="1"/>
  <c r="I118" i="18" s="1"/>
  <c r="I8" i="25"/>
  <c r="I14" i="25" s="1"/>
  <c r="I20" i="25" s="1"/>
  <c r="I26" i="25" s="1"/>
  <c r="I74" i="25"/>
  <c r="I80" i="25" s="1"/>
  <c r="I86" i="25" s="1"/>
  <c r="I92" i="25" s="1"/>
  <c r="I141" i="25"/>
  <c r="I147" i="25" s="1"/>
  <c r="I153" i="25" s="1"/>
  <c r="I159" i="25" s="1"/>
  <c r="I140" i="25"/>
  <c r="I146" i="25" s="1"/>
  <c r="I152" i="25" s="1"/>
  <c r="I158" i="25" s="1"/>
  <c r="I109" i="25"/>
  <c r="I115" i="25" s="1"/>
  <c r="I121" i="25" s="1"/>
  <c r="I127" i="25" s="1"/>
  <c r="I172" i="25"/>
  <c r="I178" i="25" s="1"/>
  <c r="I184" i="25" s="1"/>
  <c r="I190" i="25" s="1"/>
  <c r="I42" i="25"/>
  <c r="I48" i="25" s="1"/>
  <c r="I54" i="25" s="1"/>
  <c r="I60" i="25" s="1"/>
  <c r="I106" i="25"/>
  <c r="I112" i="25" s="1"/>
  <c r="I118" i="25" s="1"/>
  <c r="I124" i="25" s="1"/>
  <c r="I76" i="25"/>
  <c r="I82" i="25" s="1"/>
  <c r="I88" i="25" s="1"/>
  <c r="I94" i="25" s="1"/>
  <c r="I64" i="18"/>
  <c r="I70" i="18" s="1"/>
  <c r="I76" i="18" s="1"/>
  <c r="I82" i="18" s="1"/>
  <c r="I205" i="25"/>
  <c r="I211" i="25" s="1"/>
  <c r="I217" i="25" s="1"/>
  <c r="I223" i="25" s="1"/>
  <c r="I43" i="25"/>
  <c r="I49" i="25" s="1"/>
  <c r="I55" i="25" s="1"/>
  <c r="I61" i="25" s="1"/>
  <c r="I71" i="25"/>
  <c r="I77" i="25" s="1"/>
  <c r="I83" i="25" s="1"/>
  <c r="I38" i="25"/>
  <c r="I44" i="25" s="1"/>
  <c r="I50" i="25" s="1"/>
  <c r="I56" i="25" s="1"/>
  <c r="I65" i="18"/>
  <c r="I71" i="18" s="1"/>
  <c r="I77" i="18" s="1"/>
  <c r="I83" i="18" s="1"/>
  <c r="I9" i="25"/>
  <c r="I15" i="25" s="1"/>
  <c r="I21" i="25" s="1"/>
  <c r="I27" i="25" s="1"/>
  <c r="I142" i="25"/>
  <c r="I148" i="25" s="1"/>
  <c r="I154" i="25" s="1"/>
  <c r="I160" i="25" s="1"/>
  <c r="I170" i="25"/>
  <c r="I176" i="25" s="1"/>
  <c r="I182" i="25" s="1"/>
  <c r="I188" i="25" s="1"/>
  <c r="I108" i="25"/>
  <c r="I114" i="25" s="1"/>
  <c r="I120" i="25" s="1"/>
  <c r="I126" i="25" s="1"/>
  <c r="I174" i="25"/>
  <c r="I180" i="25" s="1"/>
  <c r="I186" i="25" s="1"/>
  <c r="I192" i="25" s="1"/>
  <c r="I10" i="25"/>
  <c r="I16" i="25" s="1"/>
  <c r="I22" i="25" s="1"/>
  <c r="I28" i="25" s="1"/>
  <c r="I107" i="25"/>
  <c r="I113" i="25" s="1"/>
  <c r="I119" i="25" s="1"/>
  <c r="I125" i="25" s="1"/>
  <c r="I105" i="25"/>
  <c r="I111" i="25" s="1"/>
  <c r="I117" i="25" s="1"/>
  <c r="I123" i="25" s="1"/>
  <c r="I139" i="18"/>
  <c r="I145" i="18" s="1"/>
  <c r="I151" i="18" s="1"/>
  <c r="I157" i="18" s="1"/>
  <c r="I175" i="25"/>
  <c r="I181" i="25" s="1"/>
  <c r="I187" i="25" s="1"/>
  <c r="I193" i="25" s="1"/>
  <c r="I137" i="25"/>
  <c r="I143" i="25" s="1"/>
  <c r="I149" i="25" s="1"/>
  <c r="I155" i="25" s="1"/>
  <c r="I67" i="18"/>
  <c r="I73" i="18" s="1"/>
  <c r="I79" i="18" s="1"/>
  <c r="I85" i="18" s="1"/>
  <c r="I138" i="18"/>
  <c r="I144" i="18" s="1"/>
  <c r="I150" i="18" s="1"/>
  <c r="I156" i="18" s="1"/>
  <c r="I173" i="25"/>
  <c r="I179" i="25" s="1"/>
  <c r="I185" i="25" s="1"/>
  <c r="I191" i="25" s="1"/>
  <c r="I99" i="18"/>
  <c r="I105" i="18" s="1"/>
  <c r="I111" i="18" s="1"/>
  <c r="I117" i="18" s="1"/>
  <c r="I137" i="18"/>
  <c r="I143" i="18" s="1"/>
  <c r="I149" i="18" s="1"/>
  <c r="I155" i="18" s="1"/>
  <c r="I104" i="25"/>
  <c r="I110" i="25" s="1"/>
  <c r="I116" i="25" s="1"/>
  <c r="I122" i="25" s="1"/>
  <c r="I103" i="18"/>
  <c r="I109" i="18" s="1"/>
  <c r="I115" i="18" s="1"/>
  <c r="I121" i="18" s="1"/>
  <c r="I7" i="25"/>
  <c r="I13" i="25" s="1"/>
  <c r="I19" i="25" s="1"/>
  <c r="I25" i="25" s="1"/>
  <c r="I134" i="18"/>
  <c r="I140" i="18" s="1"/>
  <c r="I146" i="18" s="1"/>
  <c r="I152" i="18" s="1"/>
  <c r="I29" i="18"/>
  <c r="I36" i="18" s="1"/>
  <c r="I44" i="18" s="1"/>
  <c r="I46" i="18" s="1"/>
  <c r="I53" i="18" s="1"/>
  <c r="I102" i="18"/>
  <c r="I108" i="18" s="1"/>
  <c r="I114" i="18" s="1"/>
  <c r="I120" i="18" s="1"/>
  <c r="I138" i="25"/>
  <c r="I144" i="25" s="1"/>
  <c r="I150" i="25" s="1"/>
  <c r="I156" i="25" s="1"/>
  <c r="I203" i="25"/>
  <c r="I209" i="25" s="1"/>
  <c r="I215" i="25" s="1"/>
  <c r="I221" i="25" s="1"/>
  <c r="I31" i="18"/>
  <c r="I38" i="18" s="1"/>
  <c r="I39" i="18" s="1"/>
  <c r="I27" i="18"/>
  <c r="I34" i="18" s="1"/>
  <c r="I42" i="18" s="1"/>
  <c r="I62" i="18"/>
  <c r="I68" i="18" s="1"/>
  <c r="I74" i="18" s="1"/>
  <c r="I80" i="18" s="1"/>
  <c r="I73" i="25"/>
  <c r="I79" i="25" s="1"/>
  <c r="I85" i="25" s="1"/>
  <c r="I91" i="25" s="1"/>
  <c r="I139" i="25"/>
  <c r="I145" i="25" s="1"/>
  <c r="I151" i="25" s="1"/>
  <c r="I157" i="25" s="1"/>
  <c r="I208" i="25"/>
  <c r="I214" i="25" s="1"/>
  <c r="I220" i="25" s="1"/>
  <c r="I226" i="25" s="1"/>
  <c r="I26" i="18"/>
  <c r="I33" i="18" s="1"/>
  <c r="I41" i="18" s="1"/>
  <c r="I63" i="18"/>
  <c r="I69" i="18" s="1"/>
  <c r="I75" i="18" s="1"/>
  <c r="I81" i="18" s="1"/>
  <c r="AM159" i="25"/>
  <c r="AM165" i="25" s="1"/>
  <c r="AP49" i="32"/>
  <c r="AN208" i="27"/>
  <c r="AN214" i="27" s="1"/>
  <c r="AN174" i="27"/>
  <c r="AN180" i="27" s="1"/>
  <c r="AD9" i="32"/>
  <c r="AH162" i="18"/>
  <c r="AH122" i="18"/>
  <c r="AK9" i="32"/>
  <c r="AK27" i="32"/>
  <c r="AK65" i="32"/>
  <c r="AK46" i="32"/>
  <c r="AK18" i="32"/>
  <c r="AK56" i="32"/>
  <c r="AH71" i="52"/>
  <c r="AH48" i="18"/>
  <c r="AH159" i="18" s="1"/>
  <c r="AK37" i="32"/>
  <c r="AI21" i="28"/>
  <c r="AI119" i="28"/>
  <c r="AI107" i="11"/>
  <c r="AF20" i="52"/>
  <c r="AD149" i="25"/>
  <c r="AD155" i="25" s="1"/>
  <c r="AP8" i="32"/>
  <c r="X107" i="11"/>
  <c r="U20" i="52"/>
  <c r="AK106" i="53"/>
  <c r="AK96" i="53"/>
  <c r="AK126" i="53"/>
  <c r="AP132" i="11"/>
  <c r="AT77" i="33"/>
  <c r="AT15" i="33" s="1"/>
  <c r="AT33" i="33" s="1"/>
  <c r="AT51" i="33" s="1"/>
  <c r="AI114" i="20"/>
  <c r="AI120" i="20" s="1"/>
  <c r="AI75" i="20"/>
  <c r="AI81" i="20" s="1"/>
  <c r="AI151" i="27"/>
  <c r="AI157" i="27" s="1"/>
  <c r="AJ123" i="11"/>
  <c r="AJ39" i="11"/>
  <c r="AM39" i="11" s="1"/>
  <c r="AW68" i="33"/>
  <c r="AW6" i="33" s="1"/>
  <c r="AW24" i="33" s="1"/>
  <c r="AW42" i="33" s="1"/>
  <c r="AT81" i="33"/>
  <c r="AT19" i="33" s="1"/>
  <c r="AT37" i="33" s="1"/>
  <c r="AT55" i="33" s="1"/>
  <c r="AP136" i="11"/>
  <c r="AH139" i="11"/>
  <c r="AU84" i="33"/>
  <c r="AU22" i="33" s="1"/>
  <c r="AU40" i="33" s="1"/>
  <c r="AU58" i="33" s="1"/>
  <c r="AV77" i="33"/>
  <c r="AV15" i="33" s="1"/>
  <c r="AV33" i="33" s="1"/>
  <c r="AV51" i="33" s="1"/>
  <c r="AI132" i="11"/>
  <c r="I130" i="11"/>
  <c r="R75" i="33"/>
  <c r="R13" i="33" s="1"/>
  <c r="R31" i="33" s="1"/>
  <c r="R49" i="33" s="1"/>
  <c r="AK123" i="11"/>
  <c r="AJ40" i="11"/>
  <c r="AM40" i="11" s="1"/>
  <c r="AX68" i="33"/>
  <c r="AX6" i="33" s="1"/>
  <c r="AX24" i="33" s="1"/>
  <c r="AX42" i="33" s="1"/>
  <c r="F31" i="20"/>
  <c r="F38" i="20" s="1"/>
  <c r="F46" i="20" s="1"/>
  <c r="F138" i="20"/>
  <c r="F144" i="20" s="1"/>
  <c r="F150" i="20" s="1"/>
  <c r="F156" i="20" s="1"/>
  <c r="F106" i="27"/>
  <c r="F112" i="27" s="1"/>
  <c r="F118" i="27" s="1"/>
  <c r="F124" i="27" s="1"/>
  <c r="T24" i="41"/>
  <c r="T8" i="41"/>
  <c r="T23" i="41" s="1"/>
  <c r="AA86" i="18"/>
  <c r="AQ71" i="33"/>
  <c r="AQ9" i="33" s="1"/>
  <c r="AQ27" i="33" s="1"/>
  <c r="AQ45" i="33" s="1"/>
  <c r="AE126" i="11"/>
  <c r="E18" i="36"/>
  <c r="E45" i="36"/>
  <c r="E73" i="36" s="1"/>
  <c r="E101" i="36" s="1"/>
  <c r="E129" i="36" s="1"/>
  <c r="AL100" i="59"/>
  <c r="AL5" i="59"/>
  <c r="AL67" i="59"/>
  <c r="U77" i="28"/>
  <c r="U97" i="28" s="1"/>
  <c r="U32" i="28"/>
  <c r="G104" i="59"/>
  <c r="G9" i="59"/>
  <c r="Y107" i="11"/>
  <c r="V141" i="28"/>
  <c r="V20" i="52"/>
  <c r="AA6" i="59"/>
  <c r="AA101" i="59"/>
  <c r="T101" i="59"/>
  <c r="T6" i="59"/>
  <c r="T67" i="59"/>
  <c r="T108" i="59"/>
  <c r="T13" i="59"/>
  <c r="T75" i="59"/>
  <c r="T12" i="59" s="1"/>
  <c r="AI110" i="50"/>
  <c r="AI93" i="50"/>
  <c r="AI89" i="50"/>
  <c r="AJ122" i="28"/>
  <c r="AJ24" i="28"/>
  <c r="AA112" i="28"/>
  <c r="AA43" i="52"/>
  <c r="AC107" i="53" s="1"/>
  <c r="AC112" i="53" s="1"/>
  <c r="AW76" i="33"/>
  <c r="AW14" i="33" s="1"/>
  <c r="AW32" i="33" s="1"/>
  <c r="AW50" i="33" s="1"/>
  <c r="AJ131" i="11"/>
  <c r="AN12" i="18"/>
  <c r="AN22" i="18"/>
  <c r="AN73" i="27"/>
  <c r="AN79" i="27" s="1"/>
  <c r="AK110" i="59"/>
  <c r="AK15" i="59"/>
  <c r="AA40" i="59"/>
  <c r="AN104" i="59"/>
  <c r="AN9" i="59"/>
  <c r="AJ111" i="59"/>
  <c r="AJ16" i="59"/>
  <c r="AA43" i="59"/>
  <c r="AA105" i="59"/>
  <c r="AA42" i="59" s="1"/>
  <c r="V84" i="53"/>
  <c r="V87" i="53" s="1"/>
  <c r="L84" i="53"/>
  <c r="L87" i="53" s="1"/>
  <c r="W84" i="53"/>
  <c r="W87" i="53" s="1"/>
  <c r="R84" i="53"/>
  <c r="R87" i="53" s="1"/>
  <c r="H84" i="53"/>
  <c r="H87" i="53" s="1"/>
  <c r="G84" i="53"/>
  <c r="G87" i="53" s="1"/>
  <c r="N84" i="53"/>
  <c r="N87" i="53" s="1"/>
  <c r="AO84" i="53"/>
  <c r="AO87" i="53" s="1"/>
  <c r="AI84" i="53"/>
  <c r="AI87" i="53" s="1"/>
  <c r="AD84" i="53"/>
  <c r="AD87" i="53" s="1"/>
  <c r="AG84" i="53"/>
  <c r="AG87" i="53" s="1"/>
  <c r="AA84" i="53"/>
  <c r="AA87" i="53" s="1"/>
  <c r="A128" i="53"/>
  <c r="Z84" i="53"/>
  <c r="Z87" i="53" s="1"/>
  <c r="Y84" i="53"/>
  <c r="Y87" i="53" s="1"/>
  <c r="K84" i="53"/>
  <c r="K87" i="53" s="1"/>
  <c r="Q84" i="53"/>
  <c r="Q87" i="53" s="1"/>
  <c r="J84" i="53"/>
  <c r="J87" i="53" s="1"/>
  <c r="I84" i="53"/>
  <c r="I87" i="53" s="1"/>
  <c r="F84" i="53"/>
  <c r="F87" i="53" s="1"/>
  <c r="AK84" i="53"/>
  <c r="AK87" i="53" s="1"/>
  <c r="AN84" i="53"/>
  <c r="AN87" i="53" s="1"/>
  <c r="AP84" i="53"/>
  <c r="AP87" i="53" s="1"/>
  <c r="M84" i="53"/>
  <c r="M87" i="53" s="1"/>
  <c r="AL84" i="53"/>
  <c r="AL87" i="53" s="1"/>
  <c r="AM84" i="53"/>
  <c r="AM87" i="53" s="1"/>
  <c r="AH84" i="53"/>
  <c r="AH87" i="53" s="1"/>
  <c r="S84" i="53"/>
  <c r="S87" i="53" s="1"/>
  <c r="AJ84" i="53"/>
  <c r="AJ87" i="53" s="1"/>
  <c r="AE84" i="53"/>
  <c r="AE87" i="53" s="1"/>
  <c r="O84" i="53"/>
  <c r="O87" i="53" s="1"/>
  <c r="T84" i="53"/>
  <c r="T87" i="53" s="1"/>
  <c r="P84" i="53"/>
  <c r="P87" i="53" s="1"/>
  <c r="AC84" i="53"/>
  <c r="AC87" i="53" s="1"/>
  <c r="U84" i="53"/>
  <c r="U87" i="53" s="1"/>
  <c r="X84" i="53"/>
  <c r="X87" i="53" s="1"/>
  <c r="AF84" i="53"/>
  <c r="AF87" i="53" s="1"/>
  <c r="AB84" i="53"/>
  <c r="AB87" i="53" s="1"/>
  <c r="AL88" i="28"/>
  <c r="N110" i="50"/>
  <c r="N89" i="50"/>
  <c r="AA25" i="32"/>
  <c r="AA11" i="34" s="1"/>
  <c r="AA15" i="32"/>
  <c r="AA16" i="32" s="1"/>
  <c r="AA10" i="34" s="1"/>
  <c r="AA6" i="32"/>
  <c r="AA7" i="32" s="1"/>
  <c r="AA9" i="34" s="1"/>
  <c r="H14" i="18"/>
  <c r="H11" i="18"/>
  <c r="H17" i="18"/>
  <c r="H5" i="18"/>
  <c r="AL53" i="28"/>
  <c r="W32" i="28"/>
  <c r="W77" i="28"/>
  <c r="AK75" i="59"/>
  <c r="AK12" i="59" s="1"/>
  <c r="AK108" i="59"/>
  <c r="AK13" i="59"/>
  <c r="AI103" i="59"/>
  <c r="AI8" i="59"/>
  <c r="AJ115" i="59"/>
  <c r="AJ20" i="59"/>
  <c r="AL7" i="59"/>
  <c r="AL102" i="59"/>
  <c r="AL110" i="59"/>
  <c r="AL15" i="59"/>
  <c r="U168" i="59"/>
  <c r="E5" i="36"/>
  <c r="E32" i="36"/>
  <c r="E60" i="36" s="1"/>
  <c r="E88" i="36" s="1"/>
  <c r="E116" i="36" s="1"/>
  <c r="B91" i="52"/>
  <c r="AG85" i="53"/>
  <c r="H85" i="53"/>
  <c r="AC85" i="53"/>
  <c r="AH85" i="53"/>
  <c r="AE85" i="53"/>
  <c r="V85" i="53"/>
  <c r="Y85" i="53"/>
  <c r="AP85" i="53"/>
  <c r="U85" i="53"/>
  <c r="Z85" i="53"/>
  <c r="Q85" i="53"/>
  <c r="J85" i="53"/>
  <c r="M85" i="53"/>
  <c r="AL85" i="53"/>
  <c r="A129" i="53"/>
  <c r="I85" i="53"/>
  <c r="F85" i="53"/>
  <c r="AM85" i="53"/>
  <c r="AI85" i="53"/>
  <c r="AA85" i="53"/>
  <c r="W85" i="53"/>
  <c r="S85" i="53"/>
  <c r="R85" i="53"/>
  <c r="AD85" i="53"/>
  <c r="N85" i="53"/>
  <c r="G85" i="53"/>
  <c r="AJ85" i="53"/>
  <c r="AB85" i="53"/>
  <c r="T85" i="53"/>
  <c r="L85" i="53"/>
  <c r="AN85" i="53"/>
  <c r="AF85" i="53"/>
  <c r="X85" i="53"/>
  <c r="P85" i="53"/>
  <c r="AO85" i="53"/>
  <c r="AK85" i="53"/>
  <c r="O85" i="53"/>
  <c r="K85" i="53"/>
  <c r="AJ89" i="50"/>
  <c r="AJ110" i="50"/>
  <c r="G114" i="28"/>
  <c r="G16" i="28"/>
  <c r="AI87" i="28"/>
  <c r="AI22" i="28" s="1"/>
  <c r="AI121" i="28"/>
  <c r="AI23" i="28"/>
  <c r="AJ88" i="28"/>
  <c r="AI7" i="28"/>
  <c r="AI105" i="28"/>
  <c r="N4" i="50"/>
  <c r="N8" i="50"/>
  <c r="N105" i="50"/>
  <c r="C32" i="33"/>
  <c r="D14" i="33"/>
  <c r="K14" i="33" s="1"/>
  <c r="C17" i="33"/>
  <c r="AK28" i="28"/>
  <c r="AK126" i="28"/>
  <c r="AI16" i="28"/>
  <c r="AI114" i="28"/>
  <c r="AC8" i="20"/>
  <c r="AC7" i="20"/>
  <c r="T76" i="33"/>
  <c r="T14" i="33" s="1"/>
  <c r="T32" i="33" s="1"/>
  <c r="T50" i="33" s="1"/>
  <c r="K131" i="11"/>
  <c r="U122" i="11"/>
  <c r="AD67" i="33"/>
  <c r="AD5" i="33" s="1"/>
  <c r="AD23" i="33" s="1"/>
  <c r="AD41" i="33" s="1"/>
  <c r="AI20" i="11"/>
  <c r="AL20" i="11" s="1"/>
  <c r="O73" i="33"/>
  <c r="O11" i="33" s="1"/>
  <c r="O29" i="33" s="1"/>
  <c r="O47" i="33" s="1"/>
  <c r="G128" i="11"/>
  <c r="Q6" i="32"/>
  <c r="Q7" i="32" s="1"/>
  <c r="Q9" i="34" s="1"/>
  <c r="Q25" i="32"/>
  <c r="Q11" i="34" s="1"/>
  <c r="Q15" i="32"/>
  <c r="Q16" i="32" s="1"/>
  <c r="Q10" i="34" s="1"/>
  <c r="Z22" i="18"/>
  <c r="Z12" i="18"/>
  <c r="P12" i="18"/>
  <c r="P134" i="18" s="1"/>
  <c r="P140" i="18" s="1"/>
  <c r="P146" i="18" s="1"/>
  <c r="P152" i="18" s="1"/>
  <c r="P22" i="18"/>
  <c r="X164" i="20"/>
  <c r="X166" i="20" s="1"/>
  <c r="O4" i="5"/>
  <c r="R4" i="5" s="1"/>
  <c r="P4" i="5"/>
  <c r="Y4" i="5" s="1"/>
  <c r="AI53" i="28"/>
  <c r="AT67" i="33"/>
  <c r="AT5" i="33" s="1"/>
  <c r="AT23" i="33" s="1"/>
  <c r="AT41" i="33" s="1"/>
  <c r="AP122" i="11"/>
  <c r="AI36" i="11"/>
  <c r="AL36" i="11" s="1"/>
  <c r="Y98" i="20"/>
  <c r="Y104" i="20" s="1"/>
  <c r="Y110" i="20" s="1"/>
  <c r="Y116" i="20" s="1"/>
  <c r="Y9" i="27"/>
  <c r="Y15" i="27" s="1"/>
  <c r="Y21" i="27" s="1"/>
  <c r="Y27" i="27" s="1"/>
  <c r="Y140" i="27"/>
  <c r="Y146" i="27" s="1"/>
  <c r="Y152" i="27" s="1"/>
  <c r="Y158" i="27" s="1"/>
  <c r="AG41" i="25"/>
  <c r="AG47" i="25" s="1"/>
  <c r="AG53" i="25" s="1"/>
  <c r="AG59" i="25" s="1"/>
  <c r="AG40" i="25"/>
  <c r="AG46" i="25" s="1"/>
  <c r="AG52" i="25" s="1"/>
  <c r="AG58" i="25" s="1"/>
  <c r="AG140" i="25"/>
  <c r="AG146" i="25" s="1"/>
  <c r="AG152" i="25" s="1"/>
  <c r="AG158" i="25" s="1"/>
  <c r="AG42" i="25"/>
  <c r="AG48" i="25" s="1"/>
  <c r="AG54" i="25" s="1"/>
  <c r="AG60" i="25" s="1"/>
  <c r="AG173" i="25"/>
  <c r="AG179" i="25" s="1"/>
  <c r="AG185" i="25" s="1"/>
  <c r="AG191" i="25" s="1"/>
  <c r="AG104" i="25"/>
  <c r="AG110" i="25" s="1"/>
  <c r="AG116" i="25" s="1"/>
  <c r="AG122" i="25" s="1"/>
  <c r="AG135" i="18"/>
  <c r="AG141" i="18" s="1"/>
  <c r="AG147" i="18" s="1"/>
  <c r="AG153" i="18" s="1"/>
  <c r="AG71" i="25"/>
  <c r="AG77" i="25" s="1"/>
  <c r="AG83" i="25" s="1"/>
  <c r="AG89" i="25" s="1"/>
  <c r="AG142" i="25"/>
  <c r="AG148" i="25" s="1"/>
  <c r="AG154" i="25" s="1"/>
  <c r="AG160" i="25" s="1"/>
  <c r="AG5" i="25"/>
  <c r="AG11" i="25" s="1"/>
  <c r="AG17" i="25" s="1"/>
  <c r="AG23" i="25" s="1"/>
  <c r="AG103" i="18"/>
  <c r="AG109" i="18" s="1"/>
  <c r="AG115" i="18" s="1"/>
  <c r="AG121" i="18" s="1"/>
  <c r="AG99" i="18"/>
  <c r="AG105" i="18" s="1"/>
  <c r="AG111" i="18" s="1"/>
  <c r="AG117" i="18" s="1"/>
  <c r="AG175" i="25"/>
  <c r="AG181" i="25" s="1"/>
  <c r="AG187" i="25" s="1"/>
  <c r="AG193" i="25" s="1"/>
  <c r="AG8" i="25"/>
  <c r="AG14" i="25" s="1"/>
  <c r="AG20" i="25" s="1"/>
  <c r="AG26" i="25" s="1"/>
  <c r="AG136" i="18"/>
  <c r="AG142" i="18" s="1"/>
  <c r="AG148" i="18" s="1"/>
  <c r="AG154" i="18" s="1"/>
  <c r="AG66" i="18"/>
  <c r="AG72" i="18" s="1"/>
  <c r="AG78" i="18" s="1"/>
  <c r="AG84" i="18" s="1"/>
  <c r="AG100" i="18"/>
  <c r="AG106" i="18" s="1"/>
  <c r="AG112" i="18" s="1"/>
  <c r="AG118" i="18" s="1"/>
  <c r="AG138" i="18"/>
  <c r="AG144" i="18" s="1"/>
  <c r="AG150" i="18" s="1"/>
  <c r="AG156" i="18" s="1"/>
  <c r="AG204" i="25"/>
  <c r="AG210" i="25" s="1"/>
  <c r="AG216" i="25" s="1"/>
  <c r="AG222" i="25" s="1"/>
  <c r="AG74" i="25"/>
  <c r="AG80" i="25" s="1"/>
  <c r="AG86" i="25" s="1"/>
  <c r="AG92" i="25" s="1"/>
  <c r="AG98" i="18"/>
  <c r="AG104" i="18" s="1"/>
  <c r="AG110" i="18" s="1"/>
  <c r="AG116" i="18" s="1"/>
  <c r="AG9" i="25"/>
  <c r="AG15" i="25" s="1"/>
  <c r="AG21" i="25" s="1"/>
  <c r="AG27" i="25" s="1"/>
  <c r="AG65" i="18"/>
  <c r="AG71" i="18" s="1"/>
  <c r="AG77" i="18" s="1"/>
  <c r="AG83" i="18" s="1"/>
  <c r="AG43" i="25"/>
  <c r="AG49" i="25" s="1"/>
  <c r="AG55" i="25" s="1"/>
  <c r="AG61" i="25" s="1"/>
  <c r="AG139" i="18"/>
  <c r="AG145" i="18" s="1"/>
  <c r="AG151" i="18" s="1"/>
  <c r="AG157" i="18" s="1"/>
  <c r="AG134" i="18"/>
  <c r="AG140" i="18" s="1"/>
  <c r="AG146" i="18" s="1"/>
  <c r="AG152" i="18" s="1"/>
  <c r="AG76" i="25"/>
  <c r="AG82" i="25" s="1"/>
  <c r="AG88" i="25" s="1"/>
  <c r="AG94" i="25" s="1"/>
  <c r="AG67" i="18"/>
  <c r="AG73" i="18" s="1"/>
  <c r="AG79" i="18" s="1"/>
  <c r="AG85" i="18" s="1"/>
  <c r="AG64" i="18"/>
  <c r="AG70" i="18" s="1"/>
  <c r="AG76" i="18" s="1"/>
  <c r="AG82" i="18" s="1"/>
  <c r="AG137" i="25"/>
  <c r="AG143" i="25" s="1"/>
  <c r="AG149" i="25" s="1"/>
  <c r="AG155" i="25" s="1"/>
  <c r="AG10" i="25"/>
  <c r="AG16" i="25" s="1"/>
  <c r="AG22" i="25" s="1"/>
  <c r="AG28" i="25" s="1"/>
  <c r="AG101" i="18"/>
  <c r="AG107" i="18" s="1"/>
  <c r="AG113" i="18" s="1"/>
  <c r="AG119" i="18" s="1"/>
  <c r="AG208" i="25"/>
  <c r="AG214" i="25" s="1"/>
  <c r="AG220" i="25" s="1"/>
  <c r="AG226" i="25" s="1"/>
  <c r="AG72" i="25"/>
  <c r="AG78" i="25" s="1"/>
  <c r="AG84" i="25" s="1"/>
  <c r="AG90" i="25" s="1"/>
  <c r="AG170" i="25"/>
  <c r="AG176" i="25" s="1"/>
  <c r="AG182" i="25" s="1"/>
  <c r="AG188" i="25" s="1"/>
  <c r="AG206" i="25"/>
  <c r="AG212" i="25" s="1"/>
  <c r="AG218" i="25" s="1"/>
  <c r="AG224" i="25" s="1"/>
  <c r="AG105" i="25"/>
  <c r="AG111" i="25" s="1"/>
  <c r="AG117" i="25" s="1"/>
  <c r="AG123" i="25" s="1"/>
  <c r="AG26" i="18"/>
  <c r="AG33" i="18" s="1"/>
  <c r="AG41" i="18" s="1"/>
  <c r="AG172" i="25"/>
  <c r="AG178" i="25" s="1"/>
  <c r="AG184" i="25" s="1"/>
  <c r="AG190" i="25" s="1"/>
  <c r="AG107" i="25"/>
  <c r="AG113" i="25" s="1"/>
  <c r="AG119" i="25" s="1"/>
  <c r="AG125" i="25" s="1"/>
  <c r="AG203" i="25"/>
  <c r="AG209" i="25" s="1"/>
  <c r="AG215" i="25" s="1"/>
  <c r="AG221" i="25" s="1"/>
  <c r="AG106" i="25"/>
  <c r="AG112" i="25" s="1"/>
  <c r="AG118" i="25" s="1"/>
  <c r="AG124" i="25" s="1"/>
  <c r="AG108" i="25"/>
  <c r="AG114" i="25" s="1"/>
  <c r="AG120" i="25" s="1"/>
  <c r="AG126" i="25" s="1"/>
  <c r="AG30" i="18"/>
  <c r="AG37" i="18" s="1"/>
  <c r="AG45" i="18" s="1"/>
  <c r="AG109" i="25"/>
  <c r="AG115" i="25" s="1"/>
  <c r="AG121" i="25" s="1"/>
  <c r="AG127" i="25" s="1"/>
  <c r="AG6" i="25"/>
  <c r="AG12" i="25" s="1"/>
  <c r="AG18" i="25" s="1"/>
  <c r="AG24" i="25" s="1"/>
  <c r="AG174" i="25"/>
  <c r="AG180" i="25" s="1"/>
  <c r="AG186" i="25" s="1"/>
  <c r="AG192" i="25" s="1"/>
  <c r="AG39" i="25"/>
  <c r="AG45" i="25" s="1"/>
  <c r="AG51" i="25" s="1"/>
  <c r="AG57" i="25" s="1"/>
  <c r="AG63" i="18"/>
  <c r="AG69" i="18" s="1"/>
  <c r="AG75" i="18" s="1"/>
  <c r="AG81" i="18" s="1"/>
  <c r="AG25" i="18"/>
  <c r="AG32" i="18" s="1"/>
  <c r="AG40" i="18" s="1"/>
  <c r="AG27" i="18"/>
  <c r="AG34" i="18" s="1"/>
  <c r="AG42" i="18" s="1"/>
  <c r="AG28" i="18"/>
  <c r="AG35" i="18" s="1"/>
  <c r="AG43" i="18" s="1"/>
  <c r="AG137" i="18"/>
  <c r="AG143" i="18" s="1"/>
  <c r="AG149" i="18" s="1"/>
  <c r="AG155" i="18" s="1"/>
  <c r="AG102" i="18"/>
  <c r="AG108" i="18" s="1"/>
  <c r="AG114" i="18" s="1"/>
  <c r="AG120" i="18" s="1"/>
  <c r="AG29" i="18"/>
  <c r="AG36" i="18" s="1"/>
  <c r="AG44" i="18" s="1"/>
  <c r="AG31" i="18"/>
  <c r="AG38" i="18" s="1"/>
  <c r="AG39" i="18" s="1"/>
  <c r="AG62" i="18"/>
  <c r="AG68" i="18" s="1"/>
  <c r="AG74" i="18" s="1"/>
  <c r="AG80" i="18" s="1"/>
  <c r="AA76" i="27"/>
  <c r="AA82" i="27" s="1"/>
  <c r="AA88" i="27" s="1"/>
  <c r="AA94" i="27" s="1"/>
  <c r="AJ68" i="33"/>
  <c r="AJ6" i="33" s="1"/>
  <c r="AJ24" i="33" s="1"/>
  <c r="AJ42" i="33" s="1"/>
  <c r="Z123" i="11"/>
  <c r="AJ26" i="11"/>
  <c r="AM26" i="11" s="1"/>
  <c r="X23" i="20"/>
  <c r="AD44" i="18"/>
  <c r="AN28" i="20"/>
  <c r="AN35" i="20" s="1"/>
  <c r="AN139" i="27"/>
  <c r="AN145" i="27" s="1"/>
  <c r="AB175" i="25"/>
  <c r="AB181" i="25" s="1"/>
  <c r="AB187" i="25" s="1"/>
  <c r="AB193" i="25" s="1"/>
  <c r="AE43" i="32"/>
  <c r="AB128" i="18"/>
  <c r="AB130" i="18" s="1"/>
  <c r="AB15" i="18"/>
  <c r="AB139" i="25" s="1"/>
  <c r="AB145" i="25" s="1"/>
  <c r="AB151" i="25" s="1"/>
  <c r="AB157" i="25" s="1"/>
  <c r="AB164" i="18"/>
  <c r="AB166" i="18" s="1"/>
  <c r="AB173" i="25"/>
  <c r="AB179" i="25" s="1"/>
  <c r="AB185" i="25" s="1"/>
  <c r="AB191" i="25" s="1"/>
  <c r="AB74" i="25"/>
  <c r="AB80" i="25" s="1"/>
  <c r="AB86" i="25" s="1"/>
  <c r="AB92" i="25" s="1"/>
  <c r="AB98" i="18"/>
  <c r="AB104" i="18" s="1"/>
  <c r="AB110" i="18" s="1"/>
  <c r="AB116" i="18" s="1"/>
  <c r="AB67" i="18"/>
  <c r="AB73" i="18" s="1"/>
  <c r="AB79" i="18" s="1"/>
  <c r="AB85" i="18" s="1"/>
  <c r="AB206" i="25"/>
  <c r="AB212" i="25" s="1"/>
  <c r="AB218" i="25" s="1"/>
  <c r="AB224" i="25" s="1"/>
  <c r="AB141" i="25"/>
  <c r="AB147" i="25" s="1"/>
  <c r="AB153" i="25" s="1"/>
  <c r="AB159" i="25" s="1"/>
  <c r="AB65" i="18"/>
  <c r="AB71" i="18" s="1"/>
  <c r="AB77" i="18" s="1"/>
  <c r="AB83" i="18" s="1"/>
  <c r="AB205" i="25"/>
  <c r="AB211" i="25" s="1"/>
  <c r="AB217" i="25" s="1"/>
  <c r="AB223" i="25" s="1"/>
  <c r="AB62" i="18"/>
  <c r="AB68" i="18" s="1"/>
  <c r="AB74" i="18" s="1"/>
  <c r="AB80" i="18" s="1"/>
  <c r="AB172" i="25"/>
  <c r="AB178" i="25" s="1"/>
  <c r="AB184" i="25" s="1"/>
  <c r="AB190" i="25" s="1"/>
  <c r="AB102" i="18"/>
  <c r="AB108" i="18" s="1"/>
  <c r="AB114" i="18" s="1"/>
  <c r="AB120" i="18" s="1"/>
  <c r="AB26" i="18"/>
  <c r="AB33" i="18" s="1"/>
  <c r="AB41" i="18" s="1"/>
  <c r="AB30" i="18"/>
  <c r="AB37" i="18" s="1"/>
  <c r="AB45" i="18" s="1"/>
  <c r="AB25" i="18"/>
  <c r="AB32" i="18" s="1"/>
  <c r="AB40" i="18" s="1"/>
  <c r="AB93" i="18" s="1"/>
  <c r="AB9" i="25"/>
  <c r="AB15" i="25" s="1"/>
  <c r="AB21" i="25" s="1"/>
  <c r="AB27" i="25" s="1"/>
  <c r="AB103" i="18"/>
  <c r="AB109" i="18" s="1"/>
  <c r="AB115" i="18" s="1"/>
  <c r="AB121" i="18" s="1"/>
  <c r="AB174" i="25"/>
  <c r="AB180" i="25" s="1"/>
  <c r="AB186" i="25" s="1"/>
  <c r="AB192" i="25" s="1"/>
  <c r="AB99" i="18"/>
  <c r="AB105" i="18" s="1"/>
  <c r="AB111" i="18" s="1"/>
  <c r="AB117" i="18" s="1"/>
  <c r="AB207" i="25"/>
  <c r="AB213" i="25" s="1"/>
  <c r="AB219" i="25" s="1"/>
  <c r="AB225" i="25" s="1"/>
  <c r="AB43" i="25"/>
  <c r="AB49" i="25" s="1"/>
  <c r="AB55" i="25" s="1"/>
  <c r="AB61" i="25" s="1"/>
  <c r="AB7" i="25"/>
  <c r="AB13" i="25" s="1"/>
  <c r="AB19" i="25" s="1"/>
  <c r="AB25" i="25" s="1"/>
  <c r="AB5" i="25"/>
  <c r="AB11" i="25" s="1"/>
  <c r="AB17" i="25" s="1"/>
  <c r="AB23" i="25" s="1"/>
  <c r="AB100" i="18"/>
  <c r="AB106" i="18" s="1"/>
  <c r="AB112" i="18" s="1"/>
  <c r="AB118" i="18" s="1"/>
  <c r="AB170" i="25"/>
  <c r="AB176" i="25" s="1"/>
  <c r="AB182" i="25" s="1"/>
  <c r="AB188" i="25" s="1"/>
  <c r="AB6" i="25"/>
  <c r="AB12" i="25" s="1"/>
  <c r="AB18" i="25" s="1"/>
  <c r="AB24" i="25" s="1"/>
  <c r="AB31" i="18"/>
  <c r="AB38" i="18" s="1"/>
  <c r="AB39" i="18" s="1"/>
  <c r="AB71" i="25"/>
  <c r="AB77" i="25" s="1"/>
  <c r="AB83" i="25" s="1"/>
  <c r="AB89" i="25" s="1"/>
  <c r="AB108" i="25"/>
  <c r="AB114" i="25" s="1"/>
  <c r="AB120" i="25" s="1"/>
  <c r="AB126" i="25" s="1"/>
  <c r="AB64" i="18"/>
  <c r="AB70" i="18" s="1"/>
  <c r="AB76" i="18" s="1"/>
  <c r="AB82" i="18" s="1"/>
  <c r="AB41" i="25"/>
  <c r="AB47" i="25" s="1"/>
  <c r="AB53" i="25" s="1"/>
  <c r="AB59" i="25" s="1"/>
  <c r="AB28" i="18"/>
  <c r="AB35" i="18" s="1"/>
  <c r="AB43" i="18" s="1"/>
  <c r="AB136" i="18"/>
  <c r="AB142" i="18" s="1"/>
  <c r="AB148" i="18" s="1"/>
  <c r="AB154" i="18" s="1"/>
  <c r="AB171" i="25"/>
  <c r="AB177" i="25" s="1"/>
  <c r="AB183" i="25" s="1"/>
  <c r="AB189" i="25" s="1"/>
  <c r="AB134" i="18"/>
  <c r="AB140" i="18" s="1"/>
  <c r="AB146" i="18" s="1"/>
  <c r="AB152" i="18" s="1"/>
  <c r="AB138" i="25"/>
  <c r="AB144" i="25" s="1"/>
  <c r="AB150" i="25" s="1"/>
  <c r="AB156" i="25" s="1"/>
  <c r="AB73" i="25"/>
  <c r="AB79" i="25" s="1"/>
  <c r="AB85" i="25" s="1"/>
  <c r="AB91" i="25" s="1"/>
  <c r="AB105" i="25"/>
  <c r="AB111" i="25" s="1"/>
  <c r="AB117" i="25" s="1"/>
  <c r="AB123" i="25" s="1"/>
  <c r="AB104" i="25"/>
  <c r="AB110" i="25" s="1"/>
  <c r="AB116" i="25" s="1"/>
  <c r="AB122" i="25" s="1"/>
  <c r="AB29" i="18"/>
  <c r="AB36" i="18" s="1"/>
  <c r="AB44" i="18" s="1"/>
  <c r="AB63" i="18"/>
  <c r="AB69" i="18" s="1"/>
  <c r="AB75" i="18" s="1"/>
  <c r="AB81" i="18" s="1"/>
  <c r="AD75" i="18"/>
  <c r="AD81" i="18" s="1"/>
  <c r="AK8" i="32"/>
  <c r="AK45" i="32"/>
  <c r="AK55" i="32"/>
  <c r="AK36" i="32"/>
  <c r="AK26" i="32"/>
  <c r="AH70" i="52"/>
  <c r="AH47" i="18"/>
  <c r="AH86" i="18" s="1"/>
  <c r="AK17" i="32"/>
  <c r="AK64" i="32"/>
  <c r="AH46" i="18"/>
  <c r="AH53" i="18" s="1"/>
  <c r="AD147" i="18"/>
  <c r="AD153" i="18" s="1"/>
  <c r="AP28" i="32"/>
  <c r="AM119" i="28"/>
  <c r="AM21" i="28"/>
  <c r="O107" i="11"/>
  <c r="L141" i="28"/>
  <c r="L20" i="52"/>
  <c r="AL144" i="28"/>
  <c r="AL113" i="28" s="1"/>
  <c r="AI144" i="28"/>
  <c r="AI113" i="28" s="1"/>
  <c r="AM93" i="18"/>
  <c r="AT74" i="33"/>
  <c r="AT12" i="33" s="1"/>
  <c r="AT30" i="33" s="1"/>
  <c r="AT48" i="33" s="1"/>
  <c r="AP129" i="11"/>
  <c r="Z34" i="5"/>
  <c r="AC34" i="5" s="1"/>
  <c r="AK34" i="5"/>
  <c r="AC4" i="19" s="1"/>
  <c r="AB34" i="5"/>
  <c r="AI217" i="27"/>
  <c r="AI223" i="27" s="1"/>
  <c r="AI148" i="20"/>
  <c r="AI154" i="20" s="1"/>
  <c r="AI22" i="27"/>
  <c r="AI28" i="27" s="1"/>
  <c r="AJ129" i="11"/>
  <c r="AW74" i="33"/>
  <c r="AW12" i="33" s="1"/>
  <c r="AW30" i="33" s="1"/>
  <c r="AW48" i="33" s="1"/>
  <c r="AT75" i="33"/>
  <c r="AT13" i="33" s="1"/>
  <c r="AT31" i="33" s="1"/>
  <c r="AT49" i="33" s="1"/>
  <c r="AP130" i="11"/>
  <c r="AH133" i="11"/>
  <c r="AU78" i="33"/>
  <c r="AU16" i="33" s="1"/>
  <c r="AU34" i="33" s="1"/>
  <c r="AU52" i="33" s="1"/>
  <c r="AV80" i="33"/>
  <c r="AV18" i="33" s="1"/>
  <c r="AV36" i="33" s="1"/>
  <c r="AV54" i="33" s="1"/>
  <c r="AI135" i="11"/>
  <c r="I136" i="11"/>
  <c r="R81" i="33"/>
  <c r="R19" i="33" s="1"/>
  <c r="R37" i="33" s="1"/>
  <c r="R55" i="33" s="1"/>
  <c r="T5" i="26"/>
  <c r="T11" i="26" s="1"/>
  <c r="AX83" i="33"/>
  <c r="AX21" i="33" s="1"/>
  <c r="AX39" i="33" s="1"/>
  <c r="AX57" i="33" s="1"/>
  <c r="AK138" i="11"/>
  <c r="F105" i="27"/>
  <c r="F111" i="27" s="1"/>
  <c r="F117" i="27" s="1"/>
  <c r="F123" i="27" s="1"/>
  <c r="F99" i="20"/>
  <c r="F105" i="20" s="1"/>
  <c r="F111" i="20" s="1"/>
  <c r="F117" i="20" s="1"/>
  <c r="F104" i="27"/>
  <c r="F110" i="27" s="1"/>
  <c r="F116" i="27" s="1"/>
  <c r="F122" i="27" s="1"/>
  <c r="AJ151" i="32"/>
  <c r="AJ152" i="32" s="1"/>
  <c r="AM17" i="34" s="1"/>
  <c r="AM31" i="34" s="1"/>
  <c r="AJ161" i="32"/>
  <c r="AM18" i="34" s="1"/>
  <c r="AM32" i="34" s="1"/>
  <c r="AJ142" i="32"/>
  <c r="AJ143" i="32" s="1"/>
  <c r="AM16" i="34" s="1"/>
  <c r="AM30" i="34" s="1"/>
  <c r="AO7" i="1"/>
  <c r="E106" i="25"/>
  <c r="E112" i="25" s="1"/>
  <c r="E118" i="25" s="1"/>
  <c r="AN18" i="1"/>
  <c r="O105" i="25"/>
  <c r="O111" i="25" s="1"/>
  <c r="O117" i="25" s="1"/>
  <c r="AN19" i="59"/>
  <c r="AN114" i="59"/>
  <c r="G111" i="59"/>
  <c r="G16" i="59"/>
  <c r="G25" i="59"/>
  <c r="G120" i="59"/>
  <c r="S77" i="28"/>
  <c r="S97" i="28" s="1"/>
  <c r="S32" i="28"/>
  <c r="AL46" i="59"/>
  <c r="AA84" i="59"/>
  <c r="AA21" i="59" s="1"/>
  <c r="AA22" i="59"/>
  <c r="AA117" i="59"/>
  <c r="AD205" i="25"/>
  <c r="AD211" i="25" s="1"/>
  <c r="AD217" i="25" s="1"/>
  <c r="AD223" i="25" s="1"/>
  <c r="AD136" i="18"/>
  <c r="AD142" i="18" s="1"/>
  <c r="AD148" i="18" s="1"/>
  <c r="AD154" i="18" s="1"/>
  <c r="AD160" i="18" s="1"/>
  <c r="AN7" i="28"/>
  <c r="AN105" i="28"/>
  <c r="AK7" i="59"/>
  <c r="AK102" i="59"/>
  <c r="AL52" i="59"/>
  <c r="G103" i="59"/>
  <c r="G8" i="59"/>
  <c r="O110" i="50"/>
  <c r="O93" i="50"/>
  <c r="O89" i="50"/>
  <c r="Y32" i="28"/>
  <c r="Y77" i="28"/>
  <c r="Y97" i="28" s="1"/>
  <c r="AI56" i="59"/>
  <c r="Q70" i="33"/>
  <c r="Q8" i="33" s="1"/>
  <c r="Q26" i="33" s="1"/>
  <c r="Q44" i="33" s="1"/>
  <c r="H125" i="11"/>
  <c r="AI7" i="11"/>
  <c r="AL7" i="11" s="1"/>
  <c r="M43" i="32"/>
  <c r="J76" i="25"/>
  <c r="J82" i="25" s="1"/>
  <c r="J88" i="25" s="1"/>
  <c r="J94" i="25" s="1"/>
  <c r="J8" i="25"/>
  <c r="J14" i="25" s="1"/>
  <c r="J20" i="25" s="1"/>
  <c r="J26" i="25" s="1"/>
  <c r="J141" i="25"/>
  <c r="J147" i="25" s="1"/>
  <c r="J153" i="25" s="1"/>
  <c r="J159" i="25" s="1"/>
  <c r="J5" i="25"/>
  <c r="J11" i="25" s="1"/>
  <c r="J17" i="25" s="1"/>
  <c r="J23" i="25" s="1"/>
  <c r="J15" i="18"/>
  <c r="J62" i="18" s="1"/>
  <c r="J68" i="18" s="1"/>
  <c r="J74" i="18" s="1"/>
  <c r="J80" i="18" s="1"/>
  <c r="J204" i="25"/>
  <c r="J210" i="25" s="1"/>
  <c r="J216" i="25" s="1"/>
  <c r="J222" i="25" s="1"/>
  <c r="J164" i="18"/>
  <c r="J166" i="18" s="1"/>
  <c r="J103" i="18"/>
  <c r="J109" i="18" s="1"/>
  <c r="J115" i="18" s="1"/>
  <c r="J121" i="18" s="1"/>
  <c r="J173" i="25"/>
  <c r="J179" i="25" s="1"/>
  <c r="J185" i="25" s="1"/>
  <c r="J191" i="25" s="1"/>
  <c r="J100" i="18"/>
  <c r="J106" i="18" s="1"/>
  <c r="J112" i="18" s="1"/>
  <c r="J118" i="18" s="1"/>
  <c r="J26" i="18"/>
  <c r="J33" i="18" s="1"/>
  <c r="J41" i="18" s="1"/>
  <c r="J105" i="25"/>
  <c r="J111" i="25" s="1"/>
  <c r="J117" i="25" s="1"/>
  <c r="J123" i="25" s="1"/>
  <c r="J29" i="18"/>
  <c r="J36" i="18" s="1"/>
  <c r="J44" i="18" s="1"/>
  <c r="J72" i="25"/>
  <c r="J78" i="25" s="1"/>
  <c r="J84" i="25" s="1"/>
  <c r="J90" i="25" s="1"/>
  <c r="J30" i="18"/>
  <c r="J37" i="18" s="1"/>
  <c r="J45" i="18" s="1"/>
  <c r="J71" i="25"/>
  <c r="J77" i="25" s="1"/>
  <c r="J83" i="25" s="1"/>
  <c r="J89" i="25" s="1"/>
  <c r="J75" i="25"/>
  <c r="J81" i="25" s="1"/>
  <c r="J87" i="25" s="1"/>
  <c r="J93" i="25" s="1"/>
  <c r="J10" i="25"/>
  <c r="J16" i="25" s="1"/>
  <c r="J22" i="25" s="1"/>
  <c r="J28" i="25" s="1"/>
  <c r="J138" i="18"/>
  <c r="J144" i="18" s="1"/>
  <c r="J150" i="18" s="1"/>
  <c r="J156" i="18" s="1"/>
  <c r="J27" i="18"/>
  <c r="J34" i="18" s="1"/>
  <c r="J42" i="18" s="1"/>
  <c r="J174" i="25"/>
  <c r="J180" i="25" s="1"/>
  <c r="J186" i="25" s="1"/>
  <c r="J192" i="25" s="1"/>
  <c r="J203" i="25"/>
  <c r="J209" i="25" s="1"/>
  <c r="J215" i="25" s="1"/>
  <c r="J221" i="25" s="1"/>
  <c r="J136" i="18"/>
  <c r="J142" i="18" s="1"/>
  <c r="J148" i="18" s="1"/>
  <c r="J154" i="18" s="1"/>
  <c r="J171" i="25"/>
  <c r="J177" i="25" s="1"/>
  <c r="J183" i="25" s="1"/>
  <c r="J189" i="25" s="1"/>
  <c r="J74" i="25"/>
  <c r="J80" i="25" s="1"/>
  <c r="J86" i="25" s="1"/>
  <c r="J92" i="25" s="1"/>
  <c r="J109" i="25"/>
  <c r="J115" i="25" s="1"/>
  <c r="J121" i="25" s="1"/>
  <c r="J127" i="25" s="1"/>
  <c r="J207" i="25"/>
  <c r="J213" i="25" s="1"/>
  <c r="J219" i="25" s="1"/>
  <c r="J225" i="25" s="1"/>
  <c r="J137" i="18"/>
  <c r="J143" i="18" s="1"/>
  <c r="J149" i="18" s="1"/>
  <c r="J155" i="18" s="1"/>
  <c r="J104" i="25"/>
  <c r="J110" i="25" s="1"/>
  <c r="J116" i="25" s="1"/>
  <c r="J122" i="25" s="1"/>
  <c r="AU70" i="33"/>
  <c r="AU8" i="33" s="1"/>
  <c r="AU26" i="33" s="1"/>
  <c r="AU44" i="33" s="1"/>
  <c r="AH125" i="11"/>
  <c r="AD71" i="52"/>
  <c r="AG9" i="32"/>
  <c r="AG56" i="32"/>
  <c r="AG65" i="32"/>
  <c r="AG46" i="32"/>
  <c r="AG37" i="32"/>
  <c r="AG18" i="32"/>
  <c r="AG27" i="32"/>
  <c r="AD48" i="18"/>
  <c r="AN108" i="27"/>
  <c r="AN114" i="27" s="1"/>
  <c r="AI108" i="59"/>
  <c r="AI75" i="59"/>
  <c r="AI12" i="59" s="1"/>
  <c r="AI13" i="59"/>
  <c r="AN103" i="59"/>
  <c r="AN8" i="59"/>
  <c r="AA16" i="28"/>
  <c r="AA114" i="28"/>
  <c r="G106" i="28"/>
  <c r="G8" i="28"/>
  <c r="AK118" i="28"/>
  <c r="AK20" i="28"/>
  <c r="Y108" i="50"/>
  <c r="Y55" i="50"/>
  <c r="Y59" i="50"/>
  <c r="AK9" i="28"/>
  <c r="AK107" i="28"/>
  <c r="AI128" i="28"/>
  <c r="AI30" i="28"/>
  <c r="AO20" i="3"/>
  <c r="AK119" i="59"/>
  <c r="AK24" i="59"/>
  <c r="H107" i="11"/>
  <c r="E20" i="52"/>
  <c r="AJ55" i="59"/>
  <c r="AN115" i="59"/>
  <c r="AN20" i="59"/>
  <c r="AJ120" i="59"/>
  <c r="AJ25" i="59"/>
  <c r="AJ59" i="59"/>
  <c r="AM6" i="59"/>
  <c r="AM101" i="59"/>
  <c r="U174" i="59"/>
  <c r="U171" i="59"/>
  <c r="Q65" i="53"/>
  <c r="M65" i="53"/>
  <c r="AD65" i="53"/>
  <c r="AL65" i="53"/>
  <c r="V65" i="53"/>
  <c r="N65" i="53"/>
  <c r="I65" i="53"/>
  <c r="AF65" i="53"/>
  <c r="AM65" i="53"/>
  <c r="P65" i="53"/>
  <c r="AI65" i="53"/>
  <c r="F65" i="53"/>
  <c r="AE65" i="53"/>
  <c r="AB65" i="53"/>
  <c r="AA65" i="53"/>
  <c r="L65" i="53"/>
  <c r="W65" i="53"/>
  <c r="AN65" i="53"/>
  <c r="S65" i="53"/>
  <c r="O65" i="53"/>
  <c r="AO65" i="53"/>
  <c r="AK65" i="53"/>
  <c r="AG65" i="53"/>
  <c r="AC65" i="53"/>
  <c r="Y65" i="53"/>
  <c r="A109" i="53"/>
  <c r="U65" i="53"/>
  <c r="AP65" i="53"/>
  <c r="AH65" i="53"/>
  <c r="Z65" i="53"/>
  <c r="R65" i="53"/>
  <c r="K65" i="53"/>
  <c r="AJ65" i="53"/>
  <c r="T65" i="53"/>
  <c r="H65" i="53"/>
  <c r="X65" i="53"/>
  <c r="G65" i="53"/>
  <c r="J65" i="53"/>
  <c r="E260" i="53"/>
  <c r="E355" i="53"/>
  <c r="E390" i="53" s="1"/>
  <c r="G72" i="50"/>
  <c r="G109" i="50"/>
  <c r="G76" i="50"/>
  <c r="Y143" i="28"/>
  <c r="Y43" i="52" s="1"/>
  <c r="AA107" i="53" s="1"/>
  <c r="AA112" i="53" s="1"/>
  <c r="G6" i="28"/>
  <c r="G104" i="28"/>
  <c r="AI69" i="28"/>
  <c r="AI103" i="28"/>
  <c r="AI5" i="28"/>
  <c r="C47" i="33"/>
  <c r="D47" i="33" s="1"/>
  <c r="D29" i="33"/>
  <c r="AI26" i="28"/>
  <c r="AI124" i="28"/>
  <c r="AK114" i="28"/>
  <c r="AK16" i="28"/>
  <c r="AF160" i="32"/>
  <c r="T79" i="33"/>
  <c r="T17" i="33" s="1"/>
  <c r="T35" i="33" s="1"/>
  <c r="T53" i="33" s="1"/>
  <c r="K134" i="11"/>
  <c r="AD76" i="33"/>
  <c r="AD14" i="33" s="1"/>
  <c r="AD32" i="33" s="1"/>
  <c r="AD50" i="33" s="1"/>
  <c r="U131" i="11"/>
  <c r="O79" i="33"/>
  <c r="O17" i="33" s="1"/>
  <c r="O35" i="33" s="1"/>
  <c r="O53" i="33" s="1"/>
  <c r="G134" i="11"/>
  <c r="N11" i="18"/>
  <c r="N14" i="18"/>
  <c r="N17" i="18"/>
  <c r="N5" i="18"/>
  <c r="Z128" i="18"/>
  <c r="Z130" i="18" s="1"/>
  <c r="Z15" i="18"/>
  <c r="Z8" i="25" s="1"/>
  <c r="Z14" i="25" s="1"/>
  <c r="Z20" i="25" s="1"/>
  <c r="Z26" i="25" s="1"/>
  <c r="Z74" i="25"/>
  <c r="Z80" i="25" s="1"/>
  <c r="Z86" i="25" s="1"/>
  <c r="Z92" i="25" s="1"/>
  <c r="Z205" i="25"/>
  <c r="Z211" i="25" s="1"/>
  <c r="Z217" i="25" s="1"/>
  <c r="Z223" i="25" s="1"/>
  <c r="Z208" i="25"/>
  <c r="Z214" i="25" s="1"/>
  <c r="Z220" i="25" s="1"/>
  <c r="Z226" i="25" s="1"/>
  <c r="Z72" i="25"/>
  <c r="Z78" i="25" s="1"/>
  <c r="Z84" i="25" s="1"/>
  <c r="Z90" i="25" s="1"/>
  <c r="Z207" i="25"/>
  <c r="Z213" i="25" s="1"/>
  <c r="Z219" i="25" s="1"/>
  <c r="Z225" i="25" s="1"/>
  <c r="Z204" i="25"/>
  <c r="Z210" i="25" s="1"/>
  <c r="Z216" i="25" s="1"/>
  <c r="Z222" i="25" s="1"/>
  <c r="Z27" i="18"/>
  <c r="Z34" i="18" s="1"/>
  <c r="Z42" i="18" s="1"/>
  <c r="Z138" i="18"/>
  <c r="Z144" i="18" s="1"/>
  <c r="Z150" i="18" s="1"/>
  <c r="Z156" i="18" s="1"/>
  <c r="Z164" i="18"/>
  <c r="Z166" i="18" s="1"/>
  <c r="AC43" i="32"/>
  <c r="Z134" i="18"/>
  <c r="Z140" i="18" s="1"/>
  <c r="Z146" i="18" s="1"/>
  <c r="Z152" i="18" s="1"/>
  <c r="Z75" i="25"/>
  <c r="Z81" i="25" s="1"/>
  <c r="Z87" i="25" s="1"/>
  <c r="Z93" i="25" s="1"/>
  <c r="Z108" i="25"/>
  <c r="Z114" i="25" s="1"/>
  <c r="Z120" i="25" s="1"/>
  <c r="Z126" i="25" s="1"/>
  <c r="Z203" i="25"/>
  <c r="Z209" i="25" s="1"/>
  <c r="Z215" i="25" s="1"/>
  <c r="Z221" i="25" s="1"/>
  <c r="Z31" i="18"/>
  <c r="Z38" i="18" s="1"/>
  <c r="Z39" i="18" s="1"/>
  <c r="Z73" i="25"/>
  <c r="Z79" i="25" s="1"/>
  <c r="Z85" i="25" s="1"/>
  <c r="Z91" i="25" s="1"/>
  <c r="Z63" i="18"/>
  <c r="Z69" i="18" s="1"/>
  <c r="Z75" i="18" s="1"/>
  <c r="Z81" i="18" s="1"/>
  <c r="Z66" i="18"/>
  <c r="Z72" i="18" s="1"/>
  <c r="Z78" i="18" s="1"/>
  <c r="Z84" i="18" s="1"/>
  <c r="Z41" i="25"/>
  <c r="Z47" i="25" s="1"/>
  <c r="Z53" i="25" s="1"/>
  <c r="Z59" i="25" s="1"/>
  <c r="Z6" i="25"/>
  <c r="Z12" i="25" s="1"/>
  <c r="Z18" i="25" s="1"/>
  <c r="Z24" i="25" s="1"/>
  <c r="Z98" i="18"/>
  <c r="Z104" i="18" s="1"/>
  <c r="Z110" i="18" s="1"/>
  <c r="Z116" i="18" s="1"/>
  <c r="Z30" i="18"/>
  <c r="Z37" i="18" s="1"/>
  <c r="Z45" i="18" s="1"/>
  <c r="Z9" i="25"/>
  <c r="Z15" i="25" s="1"/>
  <c r="Z21" i="25" s="1"/>
  <c r="Z27" i="25" s="1"/>
  <c r="Z102" i="18"/>
  <c r="Z108" i="18" s="1"/>
  <c r="Z114" i="18" s="1"/>
  <c r="Z120" i="18" s="1"/>
  <c r="Z62" i="18"/>
  <c r="Z68" i="18" s="1"/>
  <c r="Z74" i="18" s="1"/>
  <c r="Z80" i="18" s="1"/>
  <c r="Z139" i="18"/>
  <c r="Z145" i="18" s="1"/>
  <c r="Z151" i="18" s="1"/>
  <c r="Z157" i="18" s="1"/>
  <c r="Z135" i="18"/>
  <c r="Z141" i="18" s="1"/>
  <c r="Z147" i="18" s="1"/>
  <c r="Z153" i="18" s="1"/>
  <c r="Z141" i="25"/>
  <c r="Z147" i="25" s="1"/>
  <c r="Z153" i="25" s="1"/>
  <c r="Z159" i="25" s="1"/>
  <c r="Z106" i="25"/>
  <c r="Z112" i="25" s="1"/>
  <c r="Z118" i="25" s="1"/>
  <c r="Z124" i="25" s="1"/>
  <c r="Z5" i="25"/>
  <c r="Z11" i="25" s="1"/>
  <c r="Z17" i="25" s="1"/>
  <c r="Z23" i="25" s="1"/>
  <c r="Z103" i="18"/>
  <c r="Z109" i="18" s="1"/>
  <c r="Z115" i="18" s="1"/>
  <c r="Z121" i="18" s="1"/>
  <c r="Z174" i="25"/>
  <c r="Z180" i="25" s="1"/>
  <c r="Z186" i="25" s="1"/>
  <c r="Z192" i="25" s="1"/>
  <c r="AJ208" i="27"/>
  <c r="AJ214" i="27" s="1"/>
  <c r="AJ220" i="27" s="1"/>
  <c r="AJ226" i="27" s="1"/>
  <c r="AJ139" i="20"/>
  <c r="AJ145" i="20" s="1"/>
  <c r="AJ151" i="20" s="1"/>
  <c r="AJ157" i="20" s="1"/>
  <c r="AJ163" i="20" s="1"/>
  <c r="K4" i="4"/>
  <c r="K4" i="1"/>
  <c r="K14" i="18"/>
  <c r="AP131" i="11"/>
  <c r="AT76" i="33"/>
  <c r="AT14" i="33" s="1"/>
  <c r="AT32" i="33" s="1"/>
  <c r="AT50" i="33" s="1"/>
  <c r="Y104" i="27"/>
  <c r="Y110" i="27" s="1"/>
  <c r="Y116" i="27" s="1"/>
  <c r="Y122" i="27" s="1"/>
  <c r="Y27" i="20"/>
  <c r="Y34" i="20" s="1"/>
  <c r="Y42" i="20" s="1"/>
  <c r="AA72" i="27"/>
  <c r="AA78" i="27" s="1"/>
  <c r="AA84" i="27" s="1"/>
  <c r="AA90" i="27" s="1"/>
  <c r="AJ77" i="33"/>
  <c r="AJ15" i="33" s="1"/>
  <c r="AJ33" i="33" s="1"/>
  <c r="AJ51" i="33" s="1"/>
  <c r="Z132" i="11"/>
  <c r="AX4" i="5"/>
  <c r="AA4" i="5" s="1"/>
  <c r="U4" i="11" s="1"/>
  <c r="AD170" i="25"/>
  <c r="AD176" i="25" s="1"/>
  <c r="AD182" i="25" s="1"/>
  <c r="AD188" i="25" s="1"/>
  <c r="K22" i="4"/>
  <c r="AM170" i="25"/>
  <c r="AM176" i="25" s="1"/>
  <c r="AM182" i="25" s="1"/>
  <c r="AM106" i="25"/>
  <c r="AM112" i="25" s="1"/>
  <c r="AM118" i="25" s="1"/>
  <c r="AN141" i="27"/>
  <c r="AN147" i="27" s="1"/>
  <c r="AN42" i="27"/>
  <c r="AN48" i="27" s="1"/>
  <c r="AB12" i="18"/>
  <c r="AB22" i="18"/>
  <c r="AD186" i="25"/>
  <c r="AD192" i="25" s="1"/>
  <c r="AM200" i="32"/>
  <c r="AM181" i="32"/>
  <c r="AM153" i="32"/>
  <c r="AJ82" i="52"/>
  <c r="AJ129" i="20"/>
  <c r="AM144" i="32"/>
  <c r="AM162" i="32"/>
  <c r="AM172" i="32"/>
  <c r="AJ48" i="20"/>
  <c r="AJ86" i="20" s="1"/>
  <c r="AJ93" i="20"/>
  <c r="AB77" i="28"/>
  <c r="AB97" i="28" s="1"/>
  <c r="AB32" i="28"/>
  <c r="AM107" i="28"/>
  <c r="AM9" i="28"/>
  <c r="P142" i="28"/>
  <c r="AK78" i="28"/>
  <c r="AI78" i="28"/>
  <c r="AN54" i="59"/>
  <c r="R20" i="32"/>
  <c r="AM95" i="25"/>
  <c r="AM122" i="18"/>
  <c r="AM128" i="25"/>
  <c r="AM227" i="25"/>
  <c r="AM161" i="25"/>
  <c r="AM62" i="25"/>
  <c r="AM29" i="25"/>
  <c r="AJ165" i="20"/>
  <c r="AT83" i="33"/>
  <c r="AT21" i="33" s="1"/>
  <c r="AT39" i="33" s="1"/>
  <c r="AT57" i="33" s="1"/>
  <c r="AP138" i="11"/>
  <c r="AB37" i="11"/>
  <c r="Y37" i="11"/>
  <c r="AE37" i="11"/>
  <c r="S37" i="11"/>
  <c r="P37" i="11"/>
  <c r="V37" i="11"/>
  <c r="AI219" i="27"/>
  <c r="AI225" i="27" s="1"/>
  <c r="AI76" i="20"/>
  <c r="AI82" i="20" s="1"/>
  <c r="AI17" i="27"/>
  <c r="AW71" i="33"/>
  <c r="AW9" i="33" s="1"/>
  <c r="AW27" i="33" s="1"/>
  <c r="AW45" i="33" s="1"/>
  <c r="AJ126" i="11"/>
  <c r="AT84" i="33"/>
  <c r="AT22" i="33" s="1"/>
  <c r="AT40" i="33" s="1"/>
  <c r="AT58" i="33" s="1"/>
  <c r="AP139" i="11"/>
  <c r="H139" i="11"/>
  <c r="Q84" i="33"/>
  <c r="Q22" i="33" s="1"/>
  <c r="Q40" i="33" s="1"/>
  <c r="Q58" i="33" s="1"/>
  <c r="AH124" i="11"/>
  <c r="AU69" i="33"/>
  <c r="AU7" i="33" s="1"/>
  <c r="AU25" i="33" s="1"/>
  <c r="AU43" i="33" s="1"/>
  <c r="AK37" i="11"/>
  <c r="AN37" i="11" s="1"/>
  <c r="AI123" i="11"/>
  <c r="AJ38" i="11"/>
  <c r="AM38" i="11" s="1"/>
  <c r="AV68" i="33"/>
  <c r="AV6" i="33" s="1"/>
  <c r="AV24" i="33" s="1"/>
  <c r="AV42" i="33" s="1"/>
  <c r="I133" i="11"/>
  <c r="R78" i="33"/>
  <c r="R16" i="33" s="1"/>
  <c r="R34" i="33" s="1"/>
  <c r="R52" i="33" s="1"/>
  <c r="AX74" i="33"/>
  <c r="AX12" i="33" s="1"/>
  <c r="AX30" i="33" s="1"/>
  <c r="AX48" i="33" s="1"/>
  <c r="AK129" i="11"/>
  <c r="F98" i="20"/>
  <c r="F104" i="20" s="1"/>
  <c r="F110" i="20" s="1"/>
  <c r="F116" i="20" s="1"/>
  <c r="F41" i="27"/>
  <c r="F47" i="27" s="1"/>
  <c r="F53" i="27" s="1"/>
  <c r="F59" i="27" s="1"/>
  <c r="F138" i="27"/>
  <c r="F144" i="27" s="1"/>
  <c r="F150" i="27" s="1"/>
  <c r="F156" i="27" s="1"/>
  <c r="AC55" i="50"/>
  <c r="AC108" i="50"/>
  <c r="AC72" i="50"/>
  <c r="AC109" i="50"/>
  <c r="AM114" i="28"/>
  <c r="AM16" i="28"/>
  <c r="AH163" i="18"/>
  <c r="AA107" i="11"/>
  <c r="X20" i="52"/>
  <c r="AK109" i="59"/>
  <c r="AK14" i="59"/>
  <c r="Y107" i="50"/>
  <c r="Y42" i="50"/>
  <c r="Y38" i="50"/>
  <c r="AK124" i="28"/>
  <c r="AK26" i="28"/>
  <c r="AX22" i="5"/>
  <c r="AA22" i="5" s="1"/>
  <c r="N22" i="5"/>
  <c r="R22" i="5" s="1"/>
  <c r="AV22" i="5"/>
  <c r="T17" i="52" s="1"/>
  <c r="W22" i="1"/>
  <c r="AD22" i="1"/>
  <c r="AH72" i="52"/>
  <c r="AK19" i="32"/>
  <c r="AK57" i="32"/>
  <c r="AK10" i="32"/>
  <c r="AH49" i="18"/>
  <c r="AK66" i="32"/>
  <c r="AK28" i="32"/>
  <c r="AK47" i="32"/>
  <c r="AK38" i="32"/>
  <c r="AM30" i="28"/>
  <c r="AM128" i="28"/>
  <c r="P32" i="28"/>
  <c r="P77" i="28"/>
  <c r="AP135" i="11"/>
  <c r="AT80" i="33"/>
  <c r="AT18" i="33" s="1"/>
  <c r="AT36" i="33" s="1"/>
  <c r="AT54" i="33" s="1"/>
  <c r="AE4" i="19"/>
  <c r="AV37" i="5"/>
  <c r="AE17" i="52" s="1"/>
  <c r="AI82" i="52"/>
  <c r="AL200" i="32"/>
  <c r="AL153" i="32"/>
  <c r="AL162" i="32"/>
  <c r="AI48" i="20"/>
  <c r="AL181" i="32"/>
  <c r="AL172" i="32"/>
  <c r="AI129" i="20"/>
  <c r="AL199" i="32"/>
  <c r="D21" i="34" s="1"/>
  <c r="D35" i="34" s="1"/>
  <c r="AL189" i="32"/>
  <c r="AL190" i="32" s="1"/>
  <c r="D22" i="34" s="1"/>
  <c r="D36" i="34" s="1"/>
  <c r="AJ135" i="11"/>
  <c r="AW80" i="33"/>
  <c r="AW18" i="33" s="1"/>
  <c r="AW36" i="33" s="1"/>
  <c r="AW54" i="33" s="1"/>
  <c r="AT72" i="33"/>
  <c r="AT10" i="33" s="1"/>
  <c r="AT28" i="33" s="1"/>
  <c r="AT46" i="33" s="1"/>
  <c r="AP127" i="11"/>
  <c r="H127" i="11"/>
  <c r="Q72" i="33"/>
  <c r="Q10" i="33" s="1"/>
  <c r="Q28" i="33" s="1"/>
  <c r="Q46" i="33" s="1"/>
  <c r="AH130" i="11"/>
  <c r="AU75" i="33"/>
  <c r="AU13" i="33" s="1"/>
  <c r="AU31" i="33" s="1"/>
  <c r="AU49" i="33" s="1"/>
  <c r="AI126" i="11"/>
  <c r="AV71" i="33"/>
  <c r="AV9" i="33" s="1"/>
  <c r="AV27" i="33" s="1"/>
  <c r="AV45" i="33" s="1"/>
  <c r="R84" i="33"/>
  <c r="R22" i="33" s="1"/>
  <c r="R40" i="33" s="1"/>
  <c r="R58" i="33" s="1"/>
  <c r="I139" i="11"/>
  <c r="AK135" i="11"/>
  <c r="AX80" i="33"/>
  <c r="AX18" i="33" s="1"/>
  <c r="AX36" i="33" s="1"/>
  <c r="AX54" i="33" s="1"/>
  <c r="F184" i="27"/>
  <c r="F190" i="27" s="1"/>
  <c r="F45" i="20"/>
  <c r="AL112" i="59"/>
  <c r="AL17" i="59"/>
  <c r="AK60" i="59"/>
  <c r="AK107" i="11"/>
  <c r="AH141" i="28"/>
  <c r="AH20" i="52"/>
  <c r="AJ117" i="59"/>
  <c r="AJ84" i="59"/>
  <c r="AJ21" i="59" s="1"/>
  <c r="AJ22" i="59"/>
  <c r="AL124" i="59"/>
  <c r="AL29" i="59"/>
  <c r="AL111" i="59"/>
  <c r="AL16" i="59"/>
  <c r="AM110" i="59"/>
  <c r="AM15" i="59"/>
  <c r="E33" i="53"/>
  <c r="E76" i="53"/>
  <c r="E120" i="53" s="1"/>
  <c r="E164" i="53" s="1"/>
  <c r="E209" i="53" s="1"/>
  <c r="G108" i="50"/>
  <c r="G59" i="50"/>
  <c r="G55" i="50"/>
  <c r="AJ21" i="50"/>
  <c r="AJ106" i="50"/>
  <c r="AJ25" i="50"/>
  <c r="X70" i="33"/>
  <c r="X8" i="33" s="1"/>
  <c r="X26" i="33" s="1"/>
  <c r="X44" i="33" s="1"/>
  <c r="O125" i="11"/>
  <c r="P137" i="11"/>
  <c r="Z82" i="33"/>
  <c r="Z20" i="33" s="1"/>
  <c r="Z38" i="33" s="1"/>
  <c r="Z56" i="33" s="1"/>
  <c r="Y21" i="50"/>
  <c r="Y25" i="50"/>
  <c r="Y106" i="50"/>
  <c r="AK87" i="28"/>
  <c r="AK22" i="28" s="1"/>
  <c r="AK121" i="28"/>
  <c r="AK23" i="28"/>
  <c r="AE122" i="11"/>
  <c r="AE141" i="11" s="1"/>
  <c r="AI33" i="11"/>
  <c r="AL33" i="11" s="1"/>
  <c r="AQ67" i="33"/>
  <c r="AQ5" i="33" s="1"/>
  <c r="AQ23" i="33" s="1"/>
  <c r="AQ41" i="33" s="1"/>
  <c r="AL128" i="28"/>
  <c r="AL30" i="28"/>
  <c r="AV55" i="11"/>
  <c r="D58" i="11"/>
  <c r="AI112" i="28"/>
  <c r="AI14" i="28"/>
  <c r="AK13" i="41"/>
  <c r="AK28" i="41" s="1"/>
  <c r="AK9" i="41"/>
  <c r="AK15" i="41"/>
  <c r="AK30" i="41" s="1"/>
  <c r="AK14" i="41"/>
  <c r="AK29" i="41" s="1"/>
  <c r="AK19" i="41"/>
  <c r="AK32" i="41" s="1"/>
  <c r="AK12" i="41"/>
  <c r="AK10" i="41"/>
  <c r="AK25" i="41" s="1"/>
  <c r="AK6" i="41"/>
  <c r="AK7" i="41"/>
  <c r="AK22" i="41" s="1"/>
  <c r="E204" i="25"/>
  <c r="E210" i="25" s="1"/>
  <c r="E216" i="25" s="1"/>
  <c r="E135" i="18"/>
  <c r="E141" i="18" s="1"/>
  <c r="E147" i="18" s="1"/>
  <c r="E153" i="18" s="1"/>
  <c r="E159" i="18" s="1"/>
  <c r="AI82" i="33"/>
  <c r="AI20" i="33" s="1"/>
  <c r="AI38" i="33" s="1"/>
  <c r="AI56" i="33" s="1"/>
  <c r="Y137" i="11"/>
  <c r="K23" i="33"/>
  <c r="E26" i="33"/>
  <c r="AD82" i="33"/>
  <c r="AD20" i="33" s="1"/>
  <c r="AD38" i="33" s="1"/>
  <c r="AD56" i="33" s="1"/>
  <c r="U137" i="11"/>
  <c r="O67" i="33"/>
  <c r="O5" i="33" s="1"/>
  <c r="O23" i="33" s="1"/>
  <c r="O41" i="33" s="1"/>
  <c r="AI5" i="11"/>
  <c r="AL5" i="11" s="1"/>
  <c r="G122" i="11"/>
  <c r="M100" i="53"/>
  <c r="M120" i="53"/>
  <c r="M110" i="53"/>
  <c r="M130" i="53"/>
  <c r="AB161" i="32"/>
  <c r="AD18" i="34" s="1"/>
  <c r="AD32" i="34" s="1"/>
  <c r="AB142" i="32"/>
  <c r="AB143" i="32" s="1"/>
  <c r="AD16" i="34" s="1"/>
  <c r="AD30" i="34" s="1"/>
  <c r="AB151" i="32"/>
  <c r="AB152" i="32" s="1"/>
  <c r="AD17" i="34" s="1"/>
  <c r="AD31" i="34" s="1"/>
  <c r="AD4" i="11"/>
  <c r="AB44" i="32"/>
  <c r="AD12" i="34" s="1"/>
  <c r="AB34" i="32"/>
  <c r="AB35" i="32" s="1"/>
  <c r="AD13" i="34" s="1"/>
  <c r="Y217" i="27"/>
  <c r="Y223" i="27" s="1"/>
  <c r="Y134" i="20"/>
  <c r="Y140" i="20" s="1"/>
  <c r="Y146" i="20" s="1"/>
  <c r="Y152" i="20" s="1"/>
  <c r="Y138" i="20"/>
  <c r="Y144" i="20" s="1"/>
  <c r="Y150" i="20" s="1"/>
  <c r="Y156" i="20" s="1"/>
  <c r="Y101" i="20"/>
  <c r="Y107" i="20" s="1"/>
  <c r="Y113" i="20" s="1"/>
  <c r="Y119" i="20" s="1"/>
  <c r="Y125" i="20" s="1"/>
  <c r="Y72" i="27"/>
  <c r="Y78" i="27" s="1"/>
  <c r="Y84" i="27" s="1"/>
  <c r="Y90" i="27" s="1"/>
  <c r="Y107" i="27"/>
  <c r="Y113" i="27" s="1"/>
  <c r="Y119" i="27" s="1"/>
  <c r="Y137" i="27"/>
  <c r="Y143" i="27" s="1"/>
  <c r="Y149" i="27" s="1"/>
  <c r="Y155" i="27" s="1"/>
  <c r="Y207" i="27"/>
  <c r="Y213" i="27" s="1"/>
  <c r="Y219" i="27" s="1"/>
  <c r="Y225" i="27" s="1"/>
  <c r="Y208" i="27"/>
  <c r="Y214" i="27" s="1"/>
  <c r="Y220" i="27" s="1"/>
  <c r="Y75" i="27"/>
  <c r="Y81" i="27" s="1"/>
  <c r="Y87" i="27" s="1"/>
  <c r="Y93" i="27" s="1"/>
  <c r="E206" i="25"/>
  <c r="E212" i="25" s="1"/>
  <c r="E218" i="25" s="1"/>
  <c r="AJ83" i="33"/>
  <c r="AJ21" i="33" s="1"/>
  <c r="AJ39" i="33" s="1"/>
  <c r="AJ57" i="33" s="1"/>
  <c r="Z138" i="11"/>
  <c r="U9" i="11"/>
  <c r="V9" i="11"/>
  <c r="W9" i="11"/>
  <c r="K22" i="3"/>
  <c r="AP56" i="32"/>
  <c r="AP65" i="32"/>
  <c r="AM71" i="52"/>
  <c r="AP9" i="32"/>
  <c r="AP37" i="32"/>
  <c r="AP46" i="32"/>
  <c r="AP18" i="32"/>
  <c r="AP27" i="32"/>
  <c r="AM48" i="18"/>
  <c r="AM46" i="18"/>
  <c r="AM53" i="18" s="1"/>
  <c r="AN173" i="27"/>
  <c r="AN179" i="27" s="1"/>
  <c r="AN185" i="27" s="1"/>
  <c r="AN191" i="27" s="1"/>
  <c r="AN40" i="27"/>
  <c r="AN46" i="27" s="1"/>
  <c r="AN8" i="27"/>
  <c r="AN14" i="27" s="1"/>
  <c r="AH90" i="18"/>
  <c r="AH124" i="18"/>
  <c r="AH204" i="25"/>
  <c r="AH210" i="25" s="1"/>
  <c r="AH216" i="25" s="1"/>
  <c r="AH222" i="25" s="1"/>
  <c r="AA99" i="59"/>
  <c r="AA36" i="59" s="1"/>
  <c r="AA37" i="59"/>
  <c r="AK125" i="11"/>
  <c r="AX70" i="33"/>
  <c r="AX8" i="33" s="1"/>
  <c r="AX26" i="33" s="1"/>
  <c r="AX44" i="33" s="1"/>
  <c r="AN61" i="59"/>
  <c r="AN119" i="28"/>
  <c r="AN21" i="28"/>
  <c r="T26" i="28"/>
  <c r="T124" i="28"/>
  <c r="AP50" i="32"/>
  <c r="E97" i="25"/>
  <c r="E88" i="18"/>
  <c r="E64" i="25"/>
  <c r="E31" i="25"/>
  <c r="E163" i="25"/>
  <c r="AK16" i="5"/>
  <c r="Z16" i="5"/>
  <c r="AC16" i="5" s="1"/>
  <c r="AB16" i="5"/>
  <c r="G15" i="32"/>
  <c r="G16" i="32" s="1"/>
  <c r="E10" i="34" s="1"/>
  <c r="G6" i="32"/>
  <c r="G7" i="32" s="1"/>
  <c r="E9" i="34" s="1"/>
  <c r="G25" i="32"/>
  <c r="E11" i="34" s="1"/>
  <c r="AJ132" i="11"/>
  <c r="AW77" i="33"/>
  <c r="AW15" i="33" s="1"/>
  <c r="AW33" i="33" s="1"/>
  <c r="AW51" i="33" s="1"/>
  <c r="AT78" i="33"/>
  <c r="AT16" i="33" s="1"/>
  <c r="AT34" i="33" s="1"/>
  <c r="AT52" i="33" s="1"/>
  <c r="AP133" i="11"/>
  <c r="Q75" i="33"/>
  <c r="Q13" i="33" s="1"/>
  <c r="Q31" i="33" s="1"/>
  <c r="Q49" i="33" s="1"/>
  <c r="H130" i="11"/>
  <c r="AU81" i="33"/>
  <c r="AU19" i="33" s="1"/>
  <c r="AU37" i="33" s="1"/>
  <c r="AU55" i="33" s="1"/>
  <c r="AH136" i="11"/>
  <c r="AV17" i="5"/>
  <c r="N17" i="52" s="1"/>
  <c r="R69" i="33"/>
  <c r="R7" i="33" s="1"/>
  <c r="R25" i="33" s="1"/>
  <c r="R43" i="33" s="1"/>
  <c r="I124" i="11"/>
  <c r="AK8" i="11"/>
  <c r="AN8" i="11" s="1"/>
  <c r="T171" i="26"/>
  <c r="T177" i="26" s="1"/>
  <c r="T76" i="26"/>
  <c r="T82" i="26" s="1"/>
  <c r="F151" i="20"/>
  <c r="F157" i="20" s="1"/>
  <c r="F182" i="27"/>
  <c r="F188" i="27" s="1"/>
  <c r="N92" i="20"/>
  <c r="N94" i="20" s="1"/>
  <c r="N164" i="20"/>
  <c r="N166" i="20" s="1"/>
  <c r="Q160" i="32"/>
  <c r="N128" i="20"/>
  <c r="N130" i="20" s="1"/>
  <c r="N23" i="20"/>
  <c r="AN5" i="41"/>
  <c r="AN20" i="41" s="1"/>
  <c r="AN21" i="41"/>
  <c r="AC110" i="50"/>
  <c r="AC89" i="50"/>
  <c r="AN100" i="59"/>
  <c r="AN67" i="59"/>
  <c r="AN5" i="59"/>
  <c r="AL104" i="59"/>
  <c r="AL9" i="59"/>
  <c r="AM52" i="59"/>
  <c r="D12" i="33"/>
  <c r="C30" i="33"/>
  <c r="C15" i="33"/>
  <c r="AC38" i="50"/>
  <c r="AC107" i="50"/>
  <c r="F149" i="20"/>
  <c r="F155" i="20" s="1"/>
  <c r="AJ100" i="59"/>
  <c r="AJ5" i="59"/>
  <c r="AJ67" i="59"/>
  <c r="P106" i="50"/>
  <c r="P21" i="50"/>
  <c r="P25" i="50"/>
  <c r="AJ102" i="59"/>
  <c r="AJ7" i="59"/>
  <c r="AK69" i="28"/>
  <c r="AK5" i="28"/>
  <c r="AK103" i="28"/>
  <c r="E139" i="18"/>
  <c r="E145" i="18" s="1"/>
  <c r="E151" i="18" s="1"/>
  <c r="E157" i="18" s="1"/>
  <c r="E163" i="18" s="1"/>
  <c r="E208" i="25"/>
  <c r="E214" i="25" s="1"/>
  <c r="E220" i="25" s="1"/>
  <c r="AD73" i="33"/>
  <c r="AD11" i="33" s="1"/>
  <c r="AD29" i="33" s="1"/>
  <c r="AD47" i="33" s="1"/>
  <c r="U128" i="11"/>
  <c r="AA4" i="11"/>
  <c r="R19" i="2"/>
  <c r="R36" i="2"/>
  <c r="R24" i="2" s="1"/>
  <c r="R29" i="2"/>
  <c r="AL14" i="18"/>
  <c r="AL17" i="18"/>
  <c r="AL5" i="18"/>
  <c r="AL11" i="18"/>
  <c r="AA120" i="27"/>
  <c r="AA126" i="27" s="1"/>
  <c r="Z129" i="11"/>
  <c r="AJ74" i="33"/>
  <c r="AJ12" i="33" s="1"/>
  <c r="AJ30" i="33" s="1"/>
  <c r="AJ48" i="33" s="1"/>
  <c r="AD60" i="32"/>
  <c r="AD31" i="32"/>
  <c r="AA75" i="52"/>
  <c r="AD13" i="32"/>
  <c r="AD50" i="32"/>
  <c r="AD69" i="32"/>
  <c r="AD41" i="32"/>
  <c r="AD22" i="32"/>
  <c r="AA52" i="18"/>
  <c r="AN142" i="27"/>
  <c r="AN148" i="27" s="1"/>
  <c r="AD88" i="18"/>
  <c r="AJ124" i="59"/>
  <c r="AJ29" i="59"/>
  <c r="AC27" i="5"/>
  <c r="AK27" i="5"/>
  <c r="AQ27" i="5"/>
  <c r="AR27" i="5" s="1"/>
  <c r="Y53" i="20"/>
  <c r="AB158" i="32"/>
  <c r="Y87" i="52"/>
  <c r="AB149" i="32"/>
  <c r="AB177" i="32"/>
  <c r="AX73" i="33"/>
  <c r="AX11" i="33" s="1"/>
  <c r="AX29" i="33" s="1"/>
  <c r="AX47" i="33" s="1"/>
  <c r="AK128" i="11"/>
  <c r="AN9" i="28"/>
  <c r="AN107" i="28"/>
  <c r="AL78" i="28"/>
  <c r="AM78" i="28"/>
  <c r="AN78" i="28"/>
  <c r="AJ78" i="28"/>
  <c r="AN70" i="28"/>
  <c r="AN88" i="28"/>
  <c r="AJ70" i="28"/>
  <c r="AM70" i="28"/>
  <c r="AI130" i="11"/>
  <c r="AV75" i="33"/>
  <c r="AV13" i="33" s="1"/>
  <c r="AV31" i="33" s="1"/>
  <c r="AV49" i="33" s="1"/>
  <c r="D5" i="18"/>
  <c r="D17" i="18"/>
  <c r="D14" i="18"/>
  <c r="D11" i="18"/>
  <c r="AJ138" i="11"/>
  <c r="AW83" i="33"/>
  <c r="AW21" i="33" s="1"/>
  <c r="AW39" i="33" s="1"/>
  <c r="AW57" i="33" s="1"/>
  <c r="AC31" i="5"/>
  <c r="AQ31" i="5"/>
  <c r="H133" i="11"/>
  <c r="Q78" i="33"/>
  <c r="Q16" i="33" s="1"/>
  <c r="Q34" i="33" s="1"/>
  <c r="Q52" i="33" s="1"/>
  <c r="X133" i="11"/>
  <c r="AG78" i="33"/>
  <c r="AG16" i="33" s="1"/>
  <c r="AG34" i="33" s="1"/>
  <c r="AG52" i="33" s="1"/>
  <c r="N8" i="19"/>
  <c r="N7" i="19"/>
  <c r="N5" i="19"/>
  <c r="R72" i="33"/>
  <c r="R10" i="33" s="1"/>
  <c r="R28" i="33" s="1"/>
  <c r="R46" i="33" s="1"/>
  <c r="I127" i="11"/>
  <c r="F85" i="27"/>
  <c r="F91" i="27" s="1"/>
  <c r="F185" i="27"/>
  <c r="F191" i="27" s="1"/>
  <c r="Q198" i="32"/>
  <c r="AN27" i="41"/>
  <c r="AN11" i="41"/>
  <c r="AN26" i="41" s="1"/>
  <c r="AN11" i="59"/>
  <c r="AN106" i="59"/>
  <c r="AN73" i="59"/>
  <c r="AN10" i="59" s="1"/>
  <c r="AM13" i="59"/>
  <c r="AM108" i="59"/>
  <c r="AM75" i="59"/>
  <c r="AM12" i="59" s="1"/>
  <c r="AL8" i="59"/>
  <c r="AL103" i="59"/>
  <c r="AA60" i="59"/>
  <c r="AL25" i="59"/>
  <c r="AL120" i="59"/>
  <c r="AI16" i="59"/>
  <c r="AI111" i="59"/>
  <c r="AJ110" i="59"/>
  <c r="AJ15" i="59"/>
  <c r="T46" i="59"/>
  <c r="R4" i="50"/>
  <c r="R105" i="50"/>
  <c r="Q76" i="50"/>
  <c r="Q72" i="50"/>
  <c r="Q109" i="50"/>
  <c r="A161" i="53"/>
  <c r="A206" i="53" s="1"/>
  <c r="Q117" i="53"/>
  <c r="Q122" i="53" s="1"/>
  <c r="AI117" i="53"/>
  <c r="AI122" i="53" s="1"/>
  <c r="AD117" i="53"/>
  <c r="AD122" i="53" s="1"/>
  <c r="AE117" i="53"/>
  <c r="AE122" i="53" s="1"/>
  <c r="AG117" i="53"/>
  <c r="AG122" i="53" s="1"/>
  <c r="AJ117" i="53"/>
  <c r="AJ122" i="53" s="1"/>
  <c r="U117" i="53"/>
  <c r="U122" i="53" s="1"/>
  <c r="O117" i="53"/>
  <c r="O122" i="53" s="1"/>
  <c r="N117" i="53"/>
  <c r="N122" i="53" s="1"/>
  <c r="K117" i="53"/>
  <c r="K122" i="53" s="1"/>
  <c r="W117" i="53"/>
  <c r="W122" i="53" s="1"/>
  <c r="R117" i="53"/>
  <c r="R122" i="53" s="1"/>
  <c r="M117" i="53"/>
  <c r="M122" i="53" s="1"/>
  <c r="Z117" i="53"/>
  <c r="Z122" i="53" s="1"/>
  <c r="AA117" i="53"/>
  <c r="AA122" i="53" s="1"/>
  <c r="AH117" i="53"/>
  <c r="AH122" i="53" s="1"/>
  <c r="S117" i="53"/>
  <c r="S122" i="53" s="1"/>
  <c r="H117" i="53"/>
  <c r="H122" i="53" s="1"/>
  <c r="P117" i="53"/>
  <c r="P122" i="53" s="1"/>
  <c r="X117" i="53"/>
  <c r="X122" i="53" s="1"/>
  <c r="G117" i="53"/>
  <c r="G122" i="53" s="1"/>
  <c r="L117" i="53"/>
  <c r="L122" i="53" s="1"/>
  <c r="AB117" i="53"/>
  <c r="AB122" i="53" s="1"/>
  <c r="Y117" i="53"/>
  <c r="Y122" i="53" s="1"/>
  <c r="T117" i="53"/>
  <c r="T122" i="53" s="1"/>
  <c r="F117" i="53"/>
  <c r="F122" i="53" s="1"/>
  <c r="AF117" i="53"/>
  <c r="AF122" i="53" s="1"/>
  <c r="AC117" i="53"/>
  <c r="AC122" i="53" s="1"/>
  <c r="AM117" i="53"/>
  <c r="AM122" i="53" s="1"/>
  <c r="AK117" i="53"/>
  <c r="AK122" i="53" s="1"/>
  <c r="V117" i="53"/>
  <c r="V122" i="53" s="1"/>
  <c r="AP117" i="53"/>
  <c r="AP122" i="53" s="1"/>
  <c r="AN117" i="53"/>
  <c r="AN122" i="53" s="1"/>
  <c r="AO117" i="53"/>
  <c r="AO122" i="53" s="1"/>
  <c r="I117" i="53"/>
  <c r="I122" i="53" s="1"/>
  <c r="AL117" i="53"/>
  <c r="AL122" i="53" s="1"/>
  <c r="G106" i="50"/>
  <c r="G25" i="50"/>
  <c r="G21" i="50"/>
  <c r="AJ107" i="50"/>
  <c r="AJ38" i="50"/>
  <c r="AJ42" i="50"/>
  <c r="AA110" i="50"/>
  <c r="AA89" i="50"/>
  <c r="AA93" i="50"/>
  <c r="Z76" i="33"/>
  <c r="Z14" i="33" s="1"/>
  <c r="Z32" i="33" s="1"/>
  <c r="Z50" i="33" s="1"/>
  <c r="P131" i="11"/>
  <c r="AJ17" i="59"/>
  <c r="AJ112" i="59"/>
  <c r="AJ48" i="28"/>
  <c r="AJ30" i="28"/>
  <c r="AJ128" i="28"/>
  <c r="T142" i="32"/>
  <c r="T143" i="32" s="1"/>
  <c r="S16" i="34" s="1"/>
  <c r="S30" i="34" s="1"/>
  <c r="T151" i="32"/>
  <c r="T152" i="32" s="1"/>
  <c r="S17" i="34" s="1"/>
  <c r="S31" i="34" s="1"/>
  <c r="T161" i="32"/>
  <c r="S18" i="34" s="1"/>
  <c r="S32" i="34" s="1"/>
  <c r="AI122" i="28"/>
  <c r="AI24" i="28"/>
  <c r="AR82" i="33"/>
  <c r="AR20" i="33" s="1"/>
  <c r="AR38" i="33" s="1"/>
  <c r="AR56" i="33" s="1"/>
  <c r="AF137" i="11"/>
  <c r="E136" i="18"/>
  <c r="E142" i="18" s="1"/>
  <c r="E148" i="18" s="1"/>
  <c r="E154" i="18" s="1"/>
  <c r="E160" i="18" s="1"/>
  <c r="E205" i="25"/>
  <c r="E211" i="25" s="1"/>
  <c r="E217" i="25" s="1"/>
  <c r="Y128" i="11"/>
  <c r="AI73" i="33"/>
  <c r="AI11" i="33" s="1"/>
  <c r="AI29" i="33" s="1"/>
  <c r="AI47" i="33" s="1"/>
  <c r="H6" i="11"/>
  <c r="AJ11" i="52"/>
  <c r="J6" i="11"/>
  <c r="F6" i="11"/>
  <c r="W6" i="5"/>
  <c r="G6" i="11"/>
  <c r="I6" i="11"/>
  <c r="E6" i="11"/>
  <c r="X6" i="5"/>
  <c r="AD79" i="33"/>
  <c r="AD17" i="33" s="1"/>
  <c r="AD35" i="33" s="1"/>
  <c r="AD53" i="33" s="1"/>
  <c r="U134" i="11"/>
  <c r="AI10" i="11"/>
  <c r="AL10" i="11" s="1"/>
  <c r="X137" i="11"/>
  <c r="AG82" i="33"/>
  <c r="AG20" i="33" s="1"/>
  <c r="AG38" i="33" s="1"/>
  <c r="AG56" i="33" s="1"/>
  <c r="AD45" i="18"/>
  <c r="AD74" i="18"/>
  <c r="AD80" i="18" s="1"/>
  <c r="AD86" i="25"/>
  <c r="AD92" i="25" s="1"/>
  <c r="AD21" i="25"/>
  <c r="AD27" i="25" s="1"/>
  <c r="AD150" i="25"/>
  <c r="AD156" i="25" s="1"/>
  <c r="AD114" i="18"/>
  <c r="AD120" i="18" s="1"/>
  <c r="AD118" i="25"/>
  <c r="AD43" i="18"/>
  <c r="AD40" i="18"/>
  <c r="AD83" i="25"/>
  <c r="AD89" i="25" s="1"/>
  <c r="AD88" i="25"/>
  <c r="AD94" i="25" s="1"/>
  <c r="AD111" i="18"/>
  <c r="AD117" i="18" s="1"/>
  <c r="AD151" i="18"/>
  <c r="AD157" i="18" s="1"/>
  <c r="AD146" i="18"/>
  <c r="AD152" i="18" s="1"/>
  <c r="AD219" i="25"/>
  <c r="AD225" i="25" s="1"/>
  <c r="AD85" i="25"/>
  <c r="AD17" i="25"/>
  <c r="AD23" i="25" s="1"/>
  <c r="AG122" i="11"/>
  <c r="AI35" i="11"/>
  <c r="AL35" i="11" s="1"/>
  <c r="AS67" i="33"/>
  <c r="AS5" i="33" s="1"/>
  <c r="AS23" i="33" s="1"/>
  <c r="AS41" i="33" s="1"/>
  <c r="AB27" i="11"/>
  <c r="V27" i="11"/>
  <c r="AE27" i="11"/>
  <c r="S27" i="11"/>
  <c r="Y27" i="11"/>
  <c r="P27" i="11"/>
  <c r="AJ11" i="18"/>
  <c r="Y38" i="27"/>
  <c r="Y44" i="27" s="1"/>
  <c r="Y50" i="27" s="1"/>
  <c r="Y56" i="27" s="1"/>
  <c r="Y100" i="20"/>
  <c r="Y106" i="20" s="1"/>
  <c r="Y112" i="20" s="1"/>
  <c r="Y118" i="20" s="1"/>
  <c r="Y74" i="27"/>
  <c r="Y80" i="27" s="1"/>
  <c r="Y86" i="27" s="1"/>
  <c r="AA43" i="27"/>
  <c r="AA49" i="27" s="1"/>
  <c r="AA9" i="11"/>
  <c r="AB9" i="11"/>
  <c r="AC9" i="11"/>
  <c r="AM109" i="25"/>
  <c r="AM115" i="25" s="1"/>
  <c r="AM121" i="25" s="1"/>
  <c r="AN67" i="20"/>
  <c r="AN73" i="20" s="1"/>
  <c r="AN41" i="27"/>
  <c r="AN47" i="27" s="1"/>
  <c r="AN5" i="27"/>
  <c r="AN11" i="27" s="1"/>
  <c r="F12" i="18"/>
  <c r="F27" i="18" s="1"/>
  <c r="F34" i="18" s="1"/>
  <c r="F42" i="18" s="1"/>
  <c r="F22" i="18"/>
  <c r="AH125" i="18"/>
  <c r="F39" i="25"/>
  <c r="F45" i="25" s="1"/>
  <c r="F51" i="25" s="1"/>
  <c r="F57" i="25" s="1"/>
  <c r="AH89" i="18"/>
  <c r="AH74" i="52"/>
  <c r="AK68" i="32"/>
  <c r="AK40" i="32"/>
  <c r="AK59" i="32"/>
  <c r="AK30" i="32"/>
  <c r="AK49" i="32"/>
  <c r="AK12" i="32"/>
  <c r="AK21" i="32"/>
  <c r="AH51" i="18"/>
  <c r="AK122" i="11"/>
  <c r="AX67" i="33"/>
  <c r="AX5" i="33" s="1"/>
  <c r="AX23" i="33" s="1"/>
  <c r="AX41" i="33" s="1"/>
  <c r="AI40" i="11"/>
  <c r="AL40" i="11" s="1"/>
  <c r="AL119" i="28"/>
  <c r="AL21" i="28"/>
  <c r="AA17" i="28"/>
  <c r="AP31" i="32"/>
  <c r="AK41" i="59"/>
  <c r="AK164" i="59"/>
  <c r="Q77" i="28"/>
  <c r="Q97" i="28" s="1"/>
  <c r="Q32" i="28"/>
  <c r="AB20" i="5"/>
  <c r="Z20" i="5"/>
  <c r="AK20" i="5" s="1"/>
  <c r="AK38" i="11"/>
  <c r="AN38" i="11" s="1"/>
  <c r="AV69" i="33"/>
  <c r="AV7" i="33" s="1"/>
  <c r="AV25" i="33" s="1"/>
  <c r="AV43" i="33" s="1"/>
  <c r="AI124" i="11"/>
  <c r="AI150" i="27"/>
  <c r="AI156" i="27" s="1"/>
  <c r="AI185" i="27"/>
  <c r="AI191" i="27" s="1"/>
  <c r="AB19" i="5"/>
  <c r="AK19" i="5"/>
  <c r="Z19" i="5"/>
  <c r="AC19" i="5" s="1"/>
  <c r="AQ19" i="5"/>
  <c r="AR19" i="5" s="1"/>
  <c r="AE23" i="11"/>
  <c r="Y23" i="11"/>
  <c r="S23" i="11"/>
  <c r="AB23" i="11"/>
  <c r="V23" i="11"/>
  <c r="P23" i="11"/>
  <c r="AK7" i="11"/>
  <c r="AN7" i="11" s="1"/>
  <c r="H124" i="11"/>
  <c r="Q69" i="33"/>
  <c r="Q7" i="33" s="1"/>
  <c r="Q25" i="33" s="1"/>
  <c r="Q43" i="33" s="1"/>
  <c r="AG84" i="33"/>
  <c r="AG22" i="33" s="1"/>
  <c r="AG40" i="33" s="1"/>
  <c r="AG58" i="33" s="1"/>
  <c r="X139" i="11"/>
  <c r="AB17" i="11"/>
  <c r="V17" i="11"/>
  <c r="AE17" i="11"/>
  <c r="S17" i="11"/>
  <c r="P17" i="11"/>
  <c r="Y17" i="11"/>
  <c r="T72" i="26"/>
  <c r="T78" i="26" s="1"/>
  <c r="I180" i="32"/>
  <c r="H19" i="34" s="1"/>
  <c r="H33" i="34" s="1"/>
  <c r="I170" i="32"/>
  <c r="I171" i="32" s="1"/>
  <c r="H20" i="34" s="1"/>
  <c r="H34" i="34" s="1"/>
  <c r="F136" i="20"/>
  <c r="F142" i="20" s="1"/>
  <c r="F148" i="20" s="1"/>
  <c r="F154" i="20" s="1"/>
  <c r="N175" i="27"/>
  <c r="N181" i="27" s="1"/>
  <c r="N187" i="27" s="1"/>
  <c r="N193" i="27" s="1"/>
  <c r="Q179" i="32"/>
  <c r="N203" i="27"/>
  <c r="N209" i="27" s="1"/>
  <c r="N215" i="27" s="1"/>
  <c r="N221" i="27" s="1"/>
  <c r="N207" i="27"/>
  <c r="N213" i="27" s="1"/>
  <c r="N219" i="27" s="1"/>
  <c r="N225" i="27" s="1"/>
  <c r="N63" i="20"/>
  <c r="N69" i="20" s="1"/>
  <c r="N75" i="20" s="1"/>
  <c r="N81" i="20" s="1"/>
  <c r="N72" i="27"/>
  <c r="N78" i="27" s="1"/>
  <c r="N84" i="27" s="1"/>
  <c r="N90" i="27" s="1"/>
  <c r="N105" i="27"/>
  <c r="N111" i="27" s="1"/>
  <c r="N117" i="27" s="1"/>
  <c r="N123" i="27" s="1"/>
  <c r="N109" i="27"/>
  <c r="N115" i="27" s="1"/>
  <c r="N121" i="27" s="1"/>
  <c r="N127" i="27" s="1"/>
  <c r="N42" i="27"/>
  <c r="N48" i="27" s="1"/>
  <c r="N54" i="27" s="1"/>
  <c r="N60" i="27" s="1"/>
  <c r="N135" i="20"/>
  <c r="N141" i="20" s="1"/>
  <c r="N147" i="20" s="1"/>
  <c r="N153" i="20" s="1"/>
  <c r="N30" i="20"/>
  <c r="N37" i="20" s="1"/>
  <c r="N45" i="20" s="1"/>
  <c r="N174" i="27"/>
  <c r="N180" i="27" s="1"/>
  <c r="N186" i="27" s="1"/>
  <c r="N192" i="27" s="1"/>
  <c r="N32" i="20"/>
  <c r="N39" i="20" s="1"/>
  <c r="N40" i="20" s="1"/>
  <c r="N139" i="27"/>
  <c r="N145" i="27" s="1"/>
  <c r="N151" i="27" s="1"/>
  <c r="N157" i="27" s="1"/>
  <c r="N5" i="27"/>
  <c r="N11" i="27" s="1"/>
  <c r="N17" i="27" s="1"/>
  <c r="N23" i="27" s="1"/>
  <c r="N66" i="20"/>
  <c r="N72" i="20" s="1"/>
  <c r="N78" i="20" s="1"/>
  <c r="N84" i="20" s="1"/>
  <c r="N100" i="20"/>
  <c r="N106" i="20" s="1"/>
  <c r="N141" i="27"/>
  <c r="N147" i="27" s="1"/>
  <c r="N153" i="27" s="1"/>
  <c r="N159" i="27" s="1"/>
  <c r="N64" i="20"/>
  <c r="N70" i="20" s="1"/>
  <c r="N41" i="27"/>
  <c r="N47" i="27" s="1"/>
  <c r="N103" i="20"/>
  <c r="N109" i="20" s="1"/>
  <c r="N115" i="20" s="1"/>
  <c r="N121" i="20" s="1"/>
  <c r="N138" i="27"/>
  <c r="N144" i="27" s="1"/>
  <c r="N16" i="20"/>
  <c r="N76" i="27" s="1"/>
  <c r="N82" i="27" s="1"/>
  <c r="N88" i="27" s="1"/>
  <c r="N94" i="27" s="1"/>
  <c r="N38" i="27"/>
  <c r="N44" i="27" s="1"/>
  <c r="N50" i="27" s="1"/>
  <c r="N56" i="27" s="1"/>
  <c r="N101" i="20"/>
  <c r="N107" i="20" s="1"/>
  <c r="N113" i="20" s="1"/>
  <c r="N119" i="20" s="1"/>
  <c r="N172" i="27"/>
  <c r="N178" i="27" s="1"/>
  <c r="N184" i="27" s="1"/>
  <c r="N190" i="27" s="1"/>
  <c r="N8" i="27"/>
  <c r="N14" i="27" s="1"/>
  <c r="N20" i="27" s="1"/>
  <c r="N26" i="27" s="1"/>
  <c r="N204" i="27"/>
  <c r="N210" i="27" s="1"/>
  <c r="N216" i="27" s="1"/>
  <c r="N222" i="27" s="1"/>
  <c r="N99" i="20"/>
  <c r="N105" i="20" s="1"/>
  <c r="N111" i="20" s="1"/>
  <c r="N117" i="20" s="1"/>
  <c r="N10" i="27"/>
  <c r="N16" i="27" s="1"/>
  <c r="N22" i="27" s="1"/>
  <c r="N28" i="27" s="1"/>
  <c r="N73" i="27"/>
  <c r="N79" i="27" s="1"/>
  <c r="N85" i="27" s="1"/>
  <c r="N91" i="27" s="1"/>
  <c r="N102" i="20"/>
  <c r="N108" i="20" s="1"/>
  <c r="N114" i="20" s="1"/>
  <c r="N120" i="20" s="1"/>
  <c r="N106" i="27"/>
  <c r="N112" i="27" s="1"/>
  <c r="N118" i="27" s="1"/>
  <c r="N124" i="27" s="1"/>
  <c r="N205" i="27"/>
  <c r="N211" i="27" s="1"/>
  <c r="N217" i="27" s="1"/>
  <c r="N223" i="27" s="1"/>
  <c r="N31" i="20"/>
  <c r="N38" i="20" s="1"/>
  <c r="N46" i="20" s="1"/>
  <c r="N40" i="27"/>
  <c r="N46" i="27" s="1"/>
  <c r="N52" i="27" s="1"/>
  <c r="N58" i="27" s="1"/>
  <c r="N28" i="20"/>
  <c r="N35" i="20" s="1"/>
  <c r="N43" i="20" s="1"/>
  <c r="N9" i="27"/>
  <c r="N15" i="27" s="1"/>
  <c r="N21" i="27" s="1"/>
  <c r="N27" i="27" s="1"/>
  <c r="N206" i="27"/>
  <c r="N212" i="27" s="1"/>
  <c r="N218" i="27" s="1"/>
  <c r="N224" i="27" s="1"/>
  <c r="N98" i="20"/>
  <c r="N104" i="20" s="1"/>
  <c r="N26" i="20"/>
  <c r="N33" i="20" s="1"/>
  <c r="N41" i="20" s="1"/>
  <c r="N140" i="27"/>
  <c r="N146" i="27" s="1"/>
  <c r="N138" i="20"/>
  <c r="N144" i="20" s="1"/>
  <c r="N39" i="27"/>
  <c r="N45" i="27" s="1"/>
  <c r="N51" i="27" s="1"/>
  <c r="N57" i="27" s="1"/>
  <c r="N6" i="27"/>
  <c r="N12" i="27" s="1"/>
  <c r="N104" i="27"/>
  <c r="N110" i="27" s="1"/>
  <c r="N7" i="27"/>
  <c r="N13" i="27" s="1"/>
  <c r="N19" i="27" s="1"/>
  <c r="N25" i="27" s="1"/>
  <c r="N107" i="27"/>
  <c r="N113" i="27" s="1"/>
  <c r="N119" i="27" s="1"/>
  <c r="N125" i="27" s="1"/>
  <c r="N74" i="27"/>
  <c r="N80" i="27" s="1"/>
  <c r="N86" i="27" s="1"/>
  <c r="N92" i="27" s="1"/>
  <c r="N137" i="27"/>
  <c r="N143" i="27" s="1"/>
  <c r="N149" i="27" s="1"/>
  <c r="N155" i="27" s="1"/>
  <c r="N65" i="20"/>
  <c r="N71" i="20" s="1"/>
  <c r="N77" i="20" s="1"/>
  <c r="N83" i="20" s="1"/>
  <c r="N136" i="20"/>
  <c r="N142" i="20" s="1"/>
  <c r="N148" i="20" s="1"/>
  <c r="N154" i="20" s="1"/>
  <c r="N134" i="20"/>
  <c r="N140" i="20" s="1"/>
  <c r="N146" i="20" s="1"/>
  <c r="N152" i="20" s="1"/>
  <c r="N62" i="20"/>
  <c r="N68" i="20" s="1"/>
  <c r="N74" i="20" s="1"/>
  <c r="N80" i="20" s="1"/>
  <c r="N71" i="27"/>
  <c r="N77" i="27" s="1"/>
  <c r="N83" i="27" s="1"/>
  <c r="N89" i="27" s="1"/>
  <c r="N27" i="20"/>
  <c r="N34" i="20" s="1"/>
  <c r="N42" i="20" s="1"/>
  <c r="N67" i="20"/>
  <c r="N73" i="20" s="1"/>
  <c r="N79" i="20" s="1"/>
  <c r="N85" i="20" s="1"/>
  <c r="N142" i="27"/>
  <c r="N148" i="27" s="1"/>
  <c r="N154" i="27" s="1"/>
  <c r="N160" i="27" s="1"/>
  <c r="N137" i="20"/>
  <c r="N143" i="20" s="1"/>
  <c r="N149" i="20" s="1"/>
  <c r="N155" i="20" s="1"/>
  <c r="N173" i="27"/>
  <c r="N179" i="27" s="1"/>
  <c r="N185" i="27" s="1"/>
  <c r="N191" i="27" s="1"/>
  <c r="N208" i="27"/>
  <c r="N214" i="27" s="1"/>
  <c r="N220" i="27" s="1"/>
  <c r="N226" i="27" s="1"/>
  <c r="N75" i="27"/>
  <c r="N81" i="27" s="1"/>
  <c r="N87" i="27" s="1"/>
  <c r="N93" i="27" s="1"/>
  <c r="N17" i="20"/>
  <c r="N19" i="20" s="1"/>
  <c r="N170" i="27"/>
  <c r="N176" i="27" s="1"/>
  <c r="N182" i="27" s="1"/>
  <c r="N188" i="27" s="1"/>
  <c r="N43" i="27"/>
  <c r="N49" i="27" s="1"/>
  <c r="N139" i="20"/>
  <c r="N145" i="20" s="1"/>
  <c r="N171" i="27"/>
  <c r="N177" i="27" s="1"/>
  <c r="N183" i="27" s="1"/>
  <c r="N189" i="27" s="1"/>
  <c r="AC4" i="50"/>
  <c r="AC105" i="50"/>
  <c r="T122" i="11"/>
  <c r="AC67" i="33"/>
  <c r="AC5" i="33" s="1"/>
  <c r="AC23" i="33" s="1"/>
  <c r="AC41" i="33" s="1"/>
  <c r="AI19" i="11"/>
  <c r="AL19" i="11" s="1"/>
  <c r="Y86" i="52"/>
  <c r="AB157" i="32"/>
  <c r="AB204" i="32"/>
  <c r="AB176" i="32"/>
  <c r="Y52" i="20"/>
  <c r="AB166" i="32"/>
  <c r="AB185" i="32"/>
  <c r="AB148" i="32"/>
  <c r="AL100" i="53"/>
  <c r="AL130" i="53"/>
  <c r="AL110" i="53"/>
  <c r="AL120" i="53"/>
  <c r="H5" i="19"/>
  <c r="H7" i="19"/>
  <c r="H8" i="19"/>
  <c r="AN35" i="3"/>
  <c r="AD171" i="25"/>
  <c r="AD177" i="25" s="1"/>
  <c r="AD183" i="25" s="1"/>
  <c r="AD189" i="25" s="1"/>
  <c r="T144" i="28"/>
  <c r="T113" i="28" s="1"/>
  <c r="AA144" i="28"/>
  <c r="AA113" i="28" s="1"/>
  <c r="K12" i="33"/>
  <c r="E15" i="33"/>
  <c r="N55" i="50"/>
  <c r="N59" i="50"/>
  <c r="N108" i="50"/>
  <c r="X171" i="27"/>
  <c r="X177" i="27" s="1"/>
  <c r="X106" i="27"/>
  <c r="X112" i="27" s="1"/>
  <c r="X173" i="27"/>
  <c r="X179" i="27" s="1"/>
  <c r="X185" i="27" s="1"/>
  <c r="X191" i="27" s="1"/>
  <c r="X140" i="27"/>
  <c r="X146" i="27" s="1"/>
  <c r="X205" i="27"/>
  <c r="X211" i="27" s="1"/>
  <c r="X170" i="27"/>
  <c r="X176" i="27" s="1"/>
  <c r="X182" i="27" s="1"/>
  <c r="X188" i="27" s="1"/>
  <c r="X203" i="27"/>
  <c r="X209" i="27" s="1"/>
  <c r="X74" i="27"/>
  <c r="X80" i="27" s="1"/>
  <c r="X139" i="27"/>
  <c r="X145" i="27" s="1"/>
  <c r="X142" i="27"/>
  <c r="X148" i="27" s="1"/>
  <c r="AA179" i="32"/>
  <c r="X7" i="27"/>
  <c r="X13" i="27" s="1"/>
  <c r="X172" i="27"/>
  <c r="X178" i="27" s="1"/>
  <c r="X9" i="27"/>
  <c r="X15" i="27" s="1"/>
  <c r="X8" i="27"/>
  <c r="X14" i="27" s="1"/>
  <c r="X5" i="27"/>
  <c r="X11" i="27" s="1"/>
  <c r="X39" i="27"/>
  <c r="X45" i="27" s="1"/>
  <c r="X16" i="20"/>
  <c r="X40" i="27" s="1"/>
  <c r="X46" i="27" s="1"/>
  <c r="X71" i="27"/>
  <c r="X77" i="27" s="1"/>
  <c r="X38" i="27"/>
  <c r="X44" i="27" s="1"/>
  <c r="X100" i="20"/>
  <c r="X106" i="20" s="1"/>
  <c r="X64" i="20"/>
  <c r="X70" i="20" s="1"/>
  <c r="X204" i="27"/>
  <c r="X210" i="27" s="1"/>
  <c r="X104" i="27"/>
  <c r="X110" i="27" s="1"/>
  <c r="X99" i="20"/>
  <c r="X105" i="20" s="1"/>
  <c r="X139" i="20"/>
  <c r="X145" i="20" s="1"/>
  <c r="X151" i="20" s="1"/>
  <c r="X157" i="20" s="1"/>
  <c r="X27" i="20"/>
  <c r="X34" i="20" s="1"/>
  <c r="X42" i="20" s="1"/>
  <c r="X103" i="20"/>
  <c r="X109" i="20" s="1"/>
  <c r="X28" i="20"/>
  <c r="X35" i="20" s="1"/>
  <c r="X109" i="27"/>
  <c r="X115" i="27" s="1"/>
  <c r="X121" i="27" s="1"/>
  <c r="X127" i="27" s="1"/>
  <c r="X108" i="27"/>
  <c r="X114" i="27" s="1"/>
  <c r="X135" i="20"/>
  <c r="X141" i="20" s="1"/>
  <c r="X138" i="20"/>
  <c r="X144" i="20" s="1"/>
  <c r="X29" i="20"/>
  <c r="X36" i="20" s="1"/>
  <c r="X10" i="27"/>
  <c r="X16" i="27" s="1"/>
  <c r="X141" i="27"/>
  <c r="X147" i="27" s="1"/>
  <c r="X136" i="20"/>
  <c r="X142" i="20" s="1"/>
  <c r="X63" i="20"/>
  <c r="X69" i="20" s="1"/>
  <c r="X102" i="20"/>
  <c r="X108" i="20" s="1"/>
  <c r="X62" i="20"/>
  <c r="X68" i="20" s="1"/>
  <c r="X137" i="20"/>
  <c r="X143" i="20" s="1"/>
  <c r="X105" i="27"/>
  <c r="X111" i="27" s="1"/>
  <c r="X30" i="20"/>
  <c r="X37" i="20" s="1"/>
  <c r="X31" i="20"/>
  <c r="X38" i="20" s="1"/>
  <c r="X107" i="27"/>
  <c r="X113" i="27" s="1"/>
  <c r="X41" i="27"/>
  <c r="X47" i="27" s="1"/>
  <c r="X65" i="20"/>
  <c r="X71" i="20" s="1"/>
  <c r="X75" i="27"/>
  <c r="X81" i="27" s="1"/>
  <c r="X26" i="20"/>
  <c r="X33" i="20" s="1"/>
  <c r="X17" i="20"/>
  <c r="X19" i="20" s="1"/>
  <c r="X206" i="27"/>
  <c r="X212" i="27" s="1"/>
  <c r="X218" i="27" s="1"/>
  <c r="X224" i="27" s="1"/>
  <c r="X134" i="20"/>
  <c r="X140" i="20" s="1"/>
  <c r="X101" i="20"/>
  <c r="X107" i="20" s="1"/>
  <c r="X67" i="20"/>
  <c r="X73" i="20" s="1"/>
  <c r="X79" i="20" s="1"/>
  <c r="X85" i="20" s="1"/>
  <c r="X175" i="27"/>
  <c r="X181" i="27" s="1"/>
  <c r="X138" i="27"/>
  <c r="X144" i="27" s="1"/>
  <c r="X98" i="20"/>
  <c r="X104" i="20" s="1"/>
  <c r="X32" i="20"/>
  <c r="X39" i="20" s="1"/>
  <c r="X40" i="20" s="1"/>
  <c r="X43" i="27"/>
  <c r="X49" i="27" s="1"/>
  <c r="X76" i="27"/>
  <c r="X82" i="27" s="1"/>
  <c r="X66" i="20"/>
  <c r="X72" i="20" s="1"/>
  <c r="AM84" i="59"/>
  <c r="AM21" i="59" s="1"/>
  <c r="AM117" i="59"/>
  <c r="AM22" i="59"/>
  <c r="AM56" i="59"/>
  <c r="AN30" i="28"/>
  <c r="AN128" i="28"/>
  <c r="AI70" i="33"/>
  <c r="AI8" i="33" s="1"/>
  <c r="AI26" i="33" s="1"/>
  <c r="AI44" i="33" s="1"/>
  <c r="Y125" i="11"/>
  <c r="AI25" i="11"/>
  <c r="AL25" i="11" s="1"/>
  <c r="J29" i="11"/>
  <c r="F29" i="11"/>
  <c r="AL11" i="52"/>
  <c r="W29" i="5"/>
  <c r="X29" i="5"/>
  <c r="H29" i="11"/>
  <c r="I29" i="11"/>
  <c r="G29" i="11"/>
  <c r="E29" i="11"/>
  <c r="V130" i="53"/>
  <c r="V120" i="53"/>
  <c r="V110" i="53"/>
  <c r="V100" i="53"/>
  <c r="R9" i="11"/>
  <c r="S9" i="11"/>
  <c r="T9" i="11"/>
  <c r="AA189" i="25"/>
  <c r="AA195" i="25" s="1"/>
  <c r="AD56" i="32"/>
  <c r="AM123" i="18"/>
  <c r="AN76" i="27"/>
  <c r="AN82" i="27" s="1"/>
  <c r="T60" i="59"/>
  <c r="AL101" i="59"/>
  <c r="AL6" i="59"/>
  <c r="AL75" i="59"/>
  <c r="AL12" i="59" s="1"/>
  <c r="AL108" i="59"/>
  <c r="AL13" i="59"/>
  <c r="AJ114" i="59"/>
  <c r="AJ19" i="59"/>
  <c r="T40" i="59"/>
  <c r="AK163" i="59"/>
  <c r="AK40" i="59"/>
  <c r="AN17" i="59"/>
  <c r="AN112" i="59"/>
  <c r="AM48" i="28"/>
  <c r="AM126" i="28"/>
  <c r="AM28" i="28"/>
  <c r="AK14" i="28"/>
  <c r="AK112" i="28"/>
  <c r="E165" i="18"/>
  <c r="E152" i="18"/>
  <c r="E158" i="18" s="1"/>
  <c r="G28" i="11"/>
  <c r="X28" i="5"/>
  <c r="AK11" i="52"/>
  <c r="W28" i="5"/>
  <c r="J28" i="11"/>
  <c r="I28" i="11"/>
  <c r="E28" i="11"/>
  <c r="F28" i="11"/>
  <c r="H28" i="11"/>
  <c r="R15" i="32"/>
  <c r="R16" i="32" s="1"/>
  <c r="R10" i="34" s="1"/>
  <c r="R6" i="32"/>
  <c r="R7" i="32" s="1"/>
  <c r="R9" i="34" s="1"/>
  <c r="R25" i="32"/>
  <c r="R11" i="34" s="1"/>
  <c r="X122" i="11"/>
  <c r="AG67" i="33"/>
  <c r="AG5" i="33" s="1"/>
  <c r="AG23" i="33" s="1"/>
  <c r="AG41" i="33" s="1"/>
  <c r="AI23" i="11"/>
  <c r="AL23" i="11" s="1"/>
  <c r="AG128" i="11"/>
  <c r="AS73" i="33"/>
  <c r="AS11" i="33" s="1"/>
  <c r="AS29" i="33" s="1"/>
  <c r="AS47" i="33" s="1"/>
  <c r="Y165" i="20"/>
  <c r="V25" i="32"/>
  <c r="U11" i="34" s="1"/>
  <c r="V15" i="32"/>
  <c r="V16" i="32" s="1"/>
  <c r="U10" i="34" s="1"/>
  <c r="V6" i="32"/>
  <c r="V7" i="32" s="1"/>
  <c r="U9" i="34" s="1"/>
  <c r="Y175" i="27"/>
  <c r="Y181" i="27" s="1"/>
  <c r="Y187" i="27" s="1"/>
  <c r="Y54" i="27"/>
  <c r="Y60" i="27" s="1"/>
  <c r="Y186" i="27"/>
  <c r="AA217" i="27"/>
  <c r="AA223" i="27" s="1"/>
  <c r="O9" i="11"/>
  <c r="K9" i="4"/>
  <c r="K9" i="3"/>
  <c r="K9" i="2"/>
  <c r="K9" i="1"/>
  <c r="Q9" i="11"/>
  <c r="P9" i="11"/>
  <c r="AM225" i="25"/>
  <c r="AM231" i="25" s="1"/>
  <c r="AP68" i="32"/>
  <c r="AN139" i="20"/>
  <c r="AN145" i="20" s="1"/>
  <c r="AN207" i="27"/>
  <c r="AN213" i="27" s="1"/>
  <c r="AH88" i="18"/>
  <c r="AX79" i="33"/>
  <c r="AX17" i="33" s="1"/>
  <c r="AX35" i="33" s="1"/>
  <c r="AX53" i="33" s="1"/>
  <c r="AK134" i="11"/>
  <c r="AJ21" i="28"/>
  <c r="AJ119" i="28"/>
  <c r="P96" i="53"/>
  <c r="P106" i="53"/>
  <c r="P126" i="53"/>
  <c r="O77" i="28"/>
  <c r="O97" i="28" s="1"/>
  <c r="O32" i="28"/>
  <c r="AV81" i="33"/>
  <c r="AV19" i="33" s="1"/>
  <c r="AV37" i="33" s="1"/>
  <c r="AV55" i="33" s="1"/>
  <c r="AI136" i="11"/>
  <c r="L4" i="19"/>
  <c r="AV14" i="5"/>
  <c r="L17" i="52" s="1"/>
  <c r="X130" i="11"/>
  <c r="AG75" i="33"/>
  <c r="AG13" i="33" s="1"/>
  <c r="AG31" i="33" s="1"/>
  <c r="AG49" i="33" s="1"/>
  <c r="W16" i="19"/>
  <c r="Z111" i="32"/>
  <c r="W128" i="19"/>
  <c r="W130" i="19" s="1"/>
  <c r="T135" i="19"/>
  <c r="T141" i="19" s="1"/>
  <c r="T103" i="19"/>
  <c r="T109" i="19" s="1"/>
  <c r="T64" i="19"/>
  <c r="T70" i="19" s="1"/>
  <c r="E5" i="20"/>
  <c r="E21" i="20"/>
  <c r="E22" i="20" s="1"/>
  <c r="F146" i="20"/>
  <c r="F152" i="20" s="1"/>
  <c r="F219" i="27"/>
  <c r="F225" i="27" s="1"/>
  <c r="I199" i="32"/>
  <c r="H21" i="34" s="1"/>
  <c r="H35" i="34" s="1"/>
  <c r="I189" i="32"/>
  <c r="I190" i="32" s="1"/>
  <c r="H22" i="34" s="1"/>
  <c r="H36" i="34" s="1"/>
  <c r="AN106" i="50"/>
  <c r="AN21" i="50"/>
  <c r="AI5" i="41"/>
  <c r="AI20" i="41" s="1"/>
  <c r="AI21" i="41"/>
  <c r="AP38" i="50"/>
  <c r="AP107" i="50"/>
  <c r="Z89" i="50"/>
  <c r="Z110" i="50"/>
  <c r="AM35" i="1"/>
  <c r="AD104" i="25"/>
  <c r="AD110" i="25" s="1"/>
  <c r="AD116" i="25" s="1"/>
  <c r="AD122" i="25" s="1"/>
  <c r="AQ161" i="32"/>
  <c r="X18" i="34" s="1"/>
  <c r="X32" i="34" s="1"/>
  <c r="AQ151" i="32"/>
  <c r="AQ152" i="32" s="1"/>
  <c r="X17" i="34" s="1"/>
  <c r="X31" i="34" s="1"/>
  <c r="AQ142" i="32"/>
  <c r="AQ143" i="32" s="1"/>
  <c r="X16" i="34" s="1"/>
  <c r="X30" i="34" s="1"/>
  <c r="AA24" i="11"/>
  <c r="AG107" i="11"/>
  <c r="AD20" i="52"/>
  <c r="Q124" i="11"/>
  <c r="AK17" i="11"/>
  <c r="AN17" i="11" s="1"/>
  <c r="AA69" i="33"/>
  <c r="AA7" i="33" s="1"/>
  <c r="AA25" i="33" s="1"/>
  <c r="AA43" i="33" s="1"/>
  <c r="AN16" i="28"/>
  <c r="AN114" i="28"/>
  <c r="AK25" i="28"/>
  <c r="AK123" i="28"/>
  <c r="AA46" i="52"/>
  <c r="AA119" i="28"/>
  <c r="U125" i="11"/>
  <c r="AD70" i="33"/>
  <c r="AD8" i="33" s="1"/>
  <c r="AD26" i="33" s="1"/>
  <c r="AD44" i="33" s="1"/>
  <c r="AN140" i="27"/>
  <c r="AN146" i="27" s="1"/>
  <c r="AJ158" i="20"/>
  <c r="AA67" i="59"/>
  <c r="T7" i="28"/>
  <c r="T105" i="28"/>
  <c r="G75" i="59"/>
  <c r="A171" i="53"/>
  <c r="F127" i="53"/>
  <c r="F132" i="53" s="1"/>
  <c r="T127" i="53"/>
  <c r="T132" i="53" s="1"/>
  <c r="AD127" i="53"/>
  <c r="AD132" i="53" s="1"/>
  <c r="K127" i="53"/>
  <c r="K132" i="53" s="1"/>
  <c r="AA127" i="53"/>
  <c r="AA132" i="53" s="1"/>
  <c r="W127" i="53"/>
  <c r="W132" i="53" s="1"/>
  <c r="AJ127" i="53"/>
  <c r="AJ132" i="53" s="1"/>
  <c r="S127" i="53"/>
  <c r="S132" i="53" s="1"/>
  <c r="P127" i="53"/>
  <c r="P132" i="53" s="1"/>
  <c r="AH127" i="53"/>
  <c r="AH132" i="53" s="1"/>
  <c r="Y127" i="53"/>
  <c r="Y132" i="53" s="1"/>
  <c r="AB127" i="53"/>
  <c r="AB132" i="53" s="1"/>
  <c r="H127" i="53"/>
  <c r="H132" i="53" s="1"/>
  <c r="Z127" i="53"/>
  <c r="Z132" i="53" s="1"/>
  <c r="U127" i="53"/>
  <c r="U132" i="53" s="1"/>
  <c r="AE127" i="53"/>
  <c r="AE132" i="53" s="1"/>
  <c r="Q127" i="53"/>
  <c r="Q132" i="53" s="1"/>
  <c r="X127" i="53"/>
  <c r="X132" i="53" s="1"/>
  <c r="AI127" i="53"/>
  <c r="AI132" i="53" s="1"/>
  <c r="AG127" i="53"/>
  <c r="AG132" i="53" s="1"/>
  <c r="N127" i="53"/>
  <c r="N132" i="53" s="1"/>
  <c r="M127" i="53"/>
  <c r="M132" i="53" s="1"/>
  <c r="G127" i="53"/>
  <c r="G132" i="53" s="1"/>
  <c r="R127" i="53"/>
  <c r="R132" i="53" s="1"/>
  <c r="O127" i="53"/>
  <c r="O132" i="53" s="1"/>
  <c r="L127" i="53"/>
  <c r="L132" i="53" s="1"/>
  <c r="AF127" i="53"/>
  <c r="AF132" i="53" s="1"/>
  <c r="V127" i="53"/>
  <c r="V132" i="53" s="1"/>
  <c r="AP127" i="53"/>
  <c r="AP132" i="53" s="1"/>
  <c r="AC127" i="53"/>
  <c r="AC132" i="53" s="1"/>
  <c r="AN127" i="53"/>
  <c r="AN132" i="53" s="1"/>
  <c r="AK127" i="53"/>
  <c r="AK132" i="53" s="1"/>
  <c r="AO127" i="53"/>
  <c r="AO132" i="53" s="1"/>
  <c r="AL127" i="53"/>
  <c r="AL132" i="53" s="1"/>
  <c r="I127" i="53"/>
  <c r="I132" i="53" s="1"/>
  <c r="AM127" i="53"/>
  <c r="AM132" i="53" s="1"/>
  <c r="R110" i="50"/>
  <c r="R89" i="50"/>
  <c r="R93" i="50"/>
  <c r="AK93" i="50" s="1"/>
  <c r="AL93" i="50" s="1"/>
  <c r="AM93" i="50" s="1"/>
  <c r="AN93" i="50" s="1"/>
  <c r="AO93" i="50" s="1"/>
  <c r="AP93" i="50" s="1"/>
  <c r="Q4" i="50"/>
  <c r="Q105" i="50"/>
  <c r="AJ55" i="50"/>
  <c r="AJ108" i="50"/>
  <c r="AJ59" i="50"/>
  <c r="Z106" i="50"/>
  <c r="Z21" i="50"/>
  <c r="Z25" i="50"/>
  <c r="AO25" i="3"/>
  <c r="AA121" i="59"/>
  <c r="AA26" i="59"/>
  <c r="G24" i="59"/>
  <c r="G119" i="59"/>
  <c r="AJ104" i="59"/>
  <c r="AJ9" i="59"/>
  <c r="AN122" i="59"/>
  <c r="AN27" i="59"/>
  <c r="AI160" i="59"/>
  <c r="AI99" i="59"/>
  <c r="AI37" i="59"/>
  <c r="AA61" i="59"/>
  <c r="AN47" i="59"/>
  <c r="AS34" i="53"/>
  <c r="A221" i="53"/>
  <c r="E301" i="53" s="1"/>
  <c r="AS44" i="53"/>
  <c r="R55" i="50"/>
  <c r="R59" i="50"/>
  <c r="AK59" i="50" s="1"/>
  <c r="AL59" i="50" s="1"/>
  <c r="AM59" i="50" s="1"/>
  <c r="AN59" i="50" s="1"/>
  <c r="AO59" i="50" s="1"/>
  <c r="AP59" i="50" s="1"/>
  <c r="R108" i="50"/>
  <c r="Q38" i="50"/>
  <c r="Q107" i="50"/>
  <c r="Q8" i="50"/>
  <c r="G38" i="50"/>
  <c r="G107" i="50"/>
  <c r="G42" i="50"/>
  <c r="AD137" i="18"/>
  <c r="AD143" i="18" s="1"/>
  <c r="AD149" i="18" s="1"/>
  <c r="AD155" i="18" s="1"/>
  <c r="AD206" i="25"/>
  <c r="AD212" i="25" s="1"/>
  <c r="AD218" i="25" s="1"/>
  <c r="AD224" i="25" s="1"/>
  <c r="AA21" i="50"/>
  <c r="AA106" i="50"/>
  <c r="AA25" i="50"/>
  <c r="G107" i="11"/>
  <c r="D141" i="28"/>
  <c r="D20" i="52"/>
  <c r="AM17" i="59"/>
  <c r="AM112" i="59"/>
  <c r="AK48" i="28"/>
  <c r="AP39" i="3"/>
  <c r="AN126" i="28"/>
  <c r="AN28" i="28"/>
  <c r="AP25" i="3"/>
  <c r="AR76" i="33"/>
  <c r="AR14" i="33" s="1"/>
  <c r="AR32" i="33" s="1"/>
  <c r="AR50" i="33" s="1"/>
  <c r="AF131" i="11"/>
  <c r="E207" i="25"/>
  <c r="E213" i="25" s="1"/>
  <c r="E219" i="25" s="1"/>
  <c r="E138" i="18"/>
  <c r="E144" i="18" s="1"/>
  <c r="E150" i="18" s="1"/>
  <c r="E156" i="18" s="1"/>
  <c r="E162" i="18" s="1"/>
  <c r="AA116" i="28"/>
  <c r="AA44" i="52"/>
  <c r="AC118" i="53" s="1"/>
  <c r="AC121" i="53" s="1"/>
  <c r="X128" i="11"/>
  <c r="AG73" i="33"/>
  <c r="AG11" i="33" s="1"/>
  <c r="AG29" i="33" s="1"/>
  <c r="AG47" i="33" s="1"/>
  <c r="Z77" i="28"/>
  <c r="Z97" i="28" s="1"/>
  <c r="Z32" i="28"/>
  <c r="AS82" i="33"/>
  <c r="AS20" i="33" s="1"/>
  <c r="AS38" i="33" s="1"/>
  <c r="AS56" i="33" s="1"/>
  <c r="AG137" i="11"/>
  <c r="Y129" i="20"/>
  <c r="AM6" i="32"/>
  <c r="AM7" i="32" s="1"/>
  <c r="F9" i="34" s="1"/>
  <c r="AM25" i="32"/>
  <c r="F11" i="34" s="1"/>
  <c r="AM15" i="32"/>
  <c r="AM16" i="32" s="1"/>
  <c r="F10" i="34" s="1"/>
  <c r="Y76" i="27"/>
  <c r="Y82" i="27" s="1"/>
  <c r="Y88" i="27" s="1"/>
  <c r="Y8" i="27"/>
  <c r="Y14" i="27" s="1"/>
  <c r="Y20" i="27" s="1"/>
  <c r="Y26" i="27" s="1"/>
  <c r="AI137" i="11"/>
  <c r="AV82" i="33"/>
  <c r="AV20" i="33" s="1"/>
  <c r="AV38" i="33" s="1"/>
  <c r="AV56" i="33" s="1"/>
  <c r="AH165" i="18"/>
  <c r="X9" i="11"/>
  <c r="Y9" i="11"/>
  <c r="Z9" i="11"/>
  <c r="AA73" i="52"/>
  <c r="AD67" i="32"/>
  <c r="AA50" i="18"/>
  <c r="AA89" i="18" s="1"/>
  <c r="AD11" i="32"/>
  <c r="AD58" i="32"/>
  <c r="AD20" i="32"/>
  <c r="AD29" i="32"/>
  <c r="AD48" i="32"/>
  <c r="AD39" i="32"/>
  <c r="AA57" i="25"/>
  <c r="AA63" i="25" s="1"/>
  <c r="AD18" i="32"/>
  <c r="AP63" i="32"/>
  <c r="AJ14" i="34" s="1"/>
  <c r="AP53" i="32"/>
  <c r="AP54" i="32" s="1"/>
  <c r="AJ15" i="34" s="1"/>
  <c r="AN175" i="27"/>
  <c r="AN181" i="27" s="1"/>
  <c r="AN38" i="27"/>
  <c r="AN44" i="27" s="1"/>
  <c r="AD110" i="18"/>
  <c r="AD116" i="18" s="1"/>
  <c r="AJ27" i="27"/>
  <c r="AJ33" i="27" s="1"/>
  <c r="AM148" i="32"/>
  <c r="F8" i="25"/>
  <c r="F14" i="25" s="1"/>
  <c r="F20" i="25" s="1"/>
  <c r="F26" i="25" s="1"/>
  <c r="F137" i="18"/>
  <c r="F143" i="18" s="1"/>
  <c r="F149" i="18" s="1"/>
  <c r="F155" i="18" s="1"/>
  <c r="AH91" i="18"/>
  <c r="AH126" i="18"/>
  <c r="AH173" i="25"/>
  <c r="AH179" i="25" s="1"/>
  <c r="AH185" i="25" s="1"/>
  <c r="AL58" i="59"/>
  <c r="AX76" i="33"/>
  <c r="AX14" i="33" s="1"/>
  <c r="AX32" i="33" s="1"/>
  <c r="AX50" i="33" s="1"/>
  <c r="AK131" i="11"/>
  <c r="AA105" i="28"/>
  <c r="AA7" i="28"/>
  <c r="AP13" i="32"/>
  <c r="AM37" i="59"/>
  <c r="AI127" i="11"/>
  <c r="AV72" i="33"/>
  <c r="AV10" i="33" s="1"/>
  <c r="AV28" i="33" s="1"/>
  <c r="AV46" i="33" s="1"/>
  <c r="Z32" i="5"/>
  <c r="AC32" i="5" s="1"/>
  <c r="AK32" i="5"/>
  <c r="AA4" i="19" s="1"/>
  <c r="AB32" i="5"/>
  <c r="AV32" i="5"/>
  <c r="AA17" i="52" s="1"/>
  <c r="AI43" i="20"/>
  <c r="AI42" i="20"/>
  <c r="AI47" i="20" s="1"/>
  <c r="AI54" i="20" s="1"/>
  <c r="AI119" i="27"/>
  <c r="AI125" i="27" s="1"/>
  <c r="AC14" i="5"/>
  <c r="AQ14" i="5"/>
  <c r="AR14" i="5" s="1"/>
  <c r="U7" i="19"/>
  <c r="U8" i="19"/>
  <c r="U5" i="19"/>
  <c r="AG81" i="33"/>
  <c r="AG19" i="33" s="1"/>
  <c r="AG37" i="33" s="1"/>
  <c r="AG55" i="33" s="1"/>
  <c r="X136" i="11"/>
  <c r="W92" i="19"/>
  <c r="W94" i="19" s="1"/>
  <c r="Z92" i="32"/>
  <c r="T107" i="26"/>
  <c r="T113" i="26" s="1"/>
  <c r="T6" i="26"/>
  <c r="T12" i="26" s="1"/>
  <c r="T10" i="26"/>
  <c r="T16" i="26" s="1"/>
  <c r="F107" i="27"/>
  <c r="F113" i="27" s="1"/>
  <c r="F119" i="27" s="1"/>
  <c r="F125" i="27" s="1"/>
  <c r="F135" i="20"/>
  <c r="F141" i="20" s="1"/>
  <c r="F147" i="20" s="1"/>
  <c r="F153" i="20" s="1"/>
  <c r="AA11" i="41"/>
  <c r="AA26" i="41" s="1"/>
  <c r="AA27" i="41"/>
  <c r="AI128" i="11"/>
  <c r="AV73" i="33"/>
  <c r="AV11" i="33" s="1"/>
  <c r="AV29" i="33" s="1"/>
  <c r="AV47" i="33" s="1"/>
  <c r="Z20" i="52"/>
  <c r="AC107" i="11"/>
  <c r="Z141" i="28"/>
  <c r="AL117" i="59"/>
  <c r="AL22" i="59"/>
  <c r="AL84" i="59"/>
  <c r="AL21" i="59" s="1"/>
  <c r="AJ24" i="59"/>
  <c r="AJ119" i="59"/>
  <c r="E41" i="53"/>
  <c r="E84" i="53"/>
  <c r="E128" i="53" s="1"/>
  <c r="E172" i="53" s="1"/>
  <c r="E217" i="53" s="1"/>
  <c r="G8" i="50"/>
  <c r="G105" i="50"/>
  <c r="G4" i="50"/>
  <c r="X82" i="33"/>
  <c r="X20" i="33" s="1"/>
  <c r="X38" i="33" s="1"/>
  <c r="X56" i="33" s="1"/>
  <c r="O137" i="11"/>
  <c r="AI76" i="33"/>
  <c r="AI14" i="33" s="1"/>
  <c r="AI32" i="33" s="1"/>
  <c r="AI50" i="33" s="1"/>
  <c r="Y131" i="11"/>
  <c r="T119" i="59"/>
  <c r="T24" i="59"/>
  <c r="AN111" i="59"/>
  <c r="AN16" i="59"/>
  <c r="AI27" i="11"/>
  <c r="AL27" i="11" s="1"/>
  <c r="AK73" i="33"/>
  <c r="AK11" i="33" s="1"/>
  <c r="AK29" i="33" s="1"/>
  <c r="AK47" i="33" s="1"/>
  <c r="AA128" i="11"/>
  <c r="AA141" i="11" s="1"/>
  <c r="AA108" i="50"/>
  <c r="AA55" i="50"/>
  <c r="Y72" i="50"/>
  <c r="Y109" i="50"/>
  <c r="O70" i="33"/>
  <c r="O8" i="33" s="1"/>
  <c r="O26" i="33" s="1"/>
  <c r="O44" i="33" s="1"/>
  <c r="G125" i="11"/>
  <c r="AM43" i="32"/>
  <c r="AJ15" i="18"/>
  <c r="AJ128" i="18"/>
  <c r="AJ130" i="18" s="1"/>
  <c r="AK112" i="59"/>
  <c r="AK17" i="59"/>
  <c r="S20" i="52"/>
  <c r="V107" i="11"/>
  <c r="S141" i="28"/>
  <c r="AI23" i="59"/>
  <c r="AI118" i="59"/>
  <c r="T124" i="59"/>
  <c r="T29" i="59"/>
  <c r="AM8" i="59"/>
  <c r="AM103" i="59"/>
  <c r="R38" i="50"/>
  <c r="R107" i="50"/>
  <c r="Q55" i="50"/>
  <c r="Q59" i="50"/>
  <c r="Q108" i="50"/>
  <c r="X25" i="50"/>
  <c r="Z93" i="50"/>
  <c r="Z72" i="50"/>
  <c r="Z109" i="50"/>
  <c r="X4" i="50"/>
  <c r="X105" i="50"/>
  <c r="X8" i="50"/>
  <c r="AN48" i="28"/>
  <c r="AN40" i="3"/>
  <c r="AJ126" i="28"/>
  <c r="AJ28" i="28"/>
  <c r="G60" i="59"/>
  <c r="G15" i="20"/>
  <c r="G6" i="20"/>
  <c r="G12" i="20"/>
  <c r="T116" i="28"/>
  <c r="T44" i="52"/>
  <c r="V118" i="53" s="1"/>
  <c r="V121" i="53" s="1"/>
  <c r="X125" i="11"/>
  <c r="AG70" i="33"/>
  <c r="AG8" i="33" s="1"/>
  <c r="AG26" i="33" s="1"/>
  <c r="AG44" i="33" s="1"/>
  <c r="R70" i="33"/>
  <c r="R8" i="33" s="1"/>
  <c r="R26" i="33" s="1"/>
  <c r="R44" i="33" s="1"/>
  <c r="I125" i="11"/>
  <c r="AS70" i="33"/>
  <c r="AS8" i="33" s="1"/>
  <c r="AS26" i="33" s="1"/>
  <c r="AS44" i="33" s="1"/>
  <c r="AG125" i="11"/>
  <c r="Q15" i="20"/>
  <c r="Q18" i="20"/>
  <c r="Q12" i="20"/>
  <c r="Q6" i="20"/>
  <c r="AJ44" i="32"/>
  <c r="AM12" i="34" s="1"/>
  <c r="AJ34" i="32"/>
  <c r="AJ35" i="32" s="1"/>
  <c r="AM13" i="34" s="1"/>
  <c r="AD198" i="32"/>
  <c r="AA164" i="20"/>
  <c r="AA166" i="20" s="1"/>
  <c r="AA173" i="27"/>
  <c r="AA179" i="27" s="1"/>
  <c r="AA185" i="27" s="1"/>
  <c r="AA191" i="27" s="1"/>
  <c r="AA99" i="20"/>
  <c r="AA105" i="20" s="1"/>
  <c r="AA111" i="20" s="1"/>
  <c r="AA117" i="20" s="1"/>
  <c r="AA64" i="20"/>
  <c r="AA70" i="20" s="1"/>
  <c r="AA76" i="20" s="1"/>
  <c r="AA82" i="20" s="1"/>
  <c r="AA139" i="27"/>
  <c r="AA145" i="27" s="1"/>
  <c r="AA151" i="27" s="1"/>
  <c r="AA157" i="27" s="1"/>
  <c r="AA107" i="27"/>
  <c r="AA113" i="27" s="1"/>
  <c r="AA119" i="27" s="1"/>
  <c r="AA125" i="27" s="1"/>
  <c r="AA142" i="27"/>
  <c r="AA148" i="27" s="1"/>
  <c r="AA154" i="27" s="1"/>
  <c r="AA160" i="27" s="1"/>
  <c r="AA17" i="20"/>
  <c r="AA19" i="20" s="1"/>
  <c r="AA103" i="20"/>
  <c r="AA109" i="20" s="1"/>
  <c r="AA115" i="20" s="1"/>
  <c r="AA121" i="20" s="1"/>
  <c r="AA140" i="27"/>
  <c r="AA146" i="27" s="1"/>
  <c r="AA152" i="27" s="1"/>
  <c r="AA158" i="27" s="1"/>
  <c r="AA170" i="27"/>
  <c r="AA176" i="27" s="1"/>
  <c r="AA138" i="20"/>
  <c r="AA144" i="20" s="1"/>
  <c r="AA150" i="20" s="1"/>
  <c r="AA156" i="20" s="1"/>
  <c r="AA65" i="20"/>
  <c r="AA71" i="20" s="1"/>
  <c r="AA175" i="27"/>
  <c r="AA181" i="27" s="1"/>
  <c r="AA136" i="20"/>
  <c r="AA142" i="20" s="1"/>
  <c r="AA148" i="20" s="1"/>
  <c r="AA154" i="20" s="1"/>
  <c r="AA203" i="27"/>
  <c r="AA209" i="27" s="1"/>
  <c r="AA215" i="27" s="1"/>
  <c r="AA221" i="27" s="1"/>
  <c r="AA100" i="20"/>
  <c r="AA106" i="20" s="1"/>
  <c r="AA112" i="20" s="1"/>
  <c r="AA118" i="20" s="1"/>
  <c r="AA135" i="20"/>
  <c r="AA141" i="20" s="1"/>
  <c r="AA147" i="20" s="1"/>
  <c r="AA153" i="20" s="1"/>
  <c r="AA207" i="27"/>
  <c r="AA213" i="27" s="1"/>
  <c r="AA219" i="27" s="1"/>
  <c r="AA225" i="27" s="1"/>
  <c r="AA98" i="20"/>
  <c r="AA104" i="20" s="1"/>
  <c r="AA110" i="20" s="1"/>
  <c r="AA116" i="20" s="1"/>
  <c r="AA109" i="27"/>
  <c r="AA115" i="27" s="1"/>
  <c r="AA121" i="27" s="1"/>
  <c r="AA127" i="27" s="1"/>
  <c r="AA42" i="27"/>
  <c r="AA48" i="27" s="1"/>
  <c r="AA54" i="27" s="1"/>
  <c r="AA60" i="27" s="1"/>
  <c r="AA172" i="27"/>
  <c r="AA178" i="27" s="1"/>
  <c r="AA184" i="27" s="1"/>
  <c r="AA190" i="27" s="1"/>
  <c r="AA38" i="27"/>
  <c r="AA44" i="27" s="1"/>
  <c r="AA29" i="20"/>
  <c r="AA36" i="20" s="1"/>
  <c r="AA44" i="20" s="1"/>
  <c r="AA32" i="20"/>
  <c r="AA39" i="20" s="1"/>
  <c r="AA40" i="20" s="1"/>
  <c r="AA71" i="27"/>
  <c r="AA77" i="27" s="1"/>
  <c r="AA83" i="27" s="1"/>
  <c r="AA89" i="27" s="1"/>
  <c r="AA28" i="20"/>
  <c r="AA35" i="20" s="1"/>
  <c r="AA43" i="20" s="1"/>
  <c r="AA26" i="20"/>
  <c r="AA33" i="20" s="1"/>
  <c r="AA41" i="20" s="1"/>
  <c r="AA139" i="20"/>
  <c r="AA145" i="20" s="1"/>
  <c r="AA151" i="20" s="1"/>
  <c r="AA157" i="20" s="1"/>
  <c r="AA7" i="27"/>
  <c r="AA13" i="27" s="1"/>
  <c r="AA19" i="27" s="1"/>
  <c r="AA25" i="27" s="1"/>
  <c r="AA63" i="20"/>
  <c r="AA69" i="20" s="1"/>
  <c r="AA75" i="20" s="1"/>
  <c r="AA81" i="20" s="1"/>
  <c r="AA101" i="20"/>
  <c r="AA107" i="20" s="1"/>
  <c r="AA113" i="20" s="1"/>
  <c r="AA119" i="20" s="1"/>
  <c r="AA9" i="27"/>
  <c r="AA15" i="27" s="1"/>
  <c r="AA21" i="27" s="1"/>
  <c r="AA27" i="27" s="1"/>
  <c r="AA67" i="20"/>
  <c r="AA73" i="20" s="1"/>
  <c r="AA104" i="27"/>
  <c r="AA110" i="27" s="1"/>
  <c r="AA116" i="27" s="1"/>
  <c r="AA122" i="27" s="1"/>
  <c r="AA134" i="20"/>
  <c r="AA140" i="20" s="1"/>
  <c r="AA174" i="27"/>
  <c r="AA180" i="27" s="1"/>
  <c r="AA141" i="27"/>
  <c r="AA147" i="27" s="1"/>
  <c r="AA153" i="27" s="1"/>
  <c r="AA159" i="27" s="1"/>
  <c r="AA137" i="20"/>
  <c r="AA143" i="20" s="1"/>
  <c r="AA149" i="20" s="1"/>
  <c r="AA155" i="20" s="1"/>
  <c r="AA206" i="27"/>
  <c r="AA212" i="27" s="1"/>
  <c r="AA218" i="27" s="1"/>
  <c r="AA224" i="27" s="1"/>
  <c r="AA40" i="27"/>
  <c r="AA46" i="27" s="1"/>
  <c r="AA52" i="27" s="1"/>
  <c r="AA58" i="27" s="1"/>
  <c r="AA31" i="20"/>
  <c r="AA38" i="20" s="1"/>
  <c r="AA46" i="20" s="1"/>
  <c r="AA30" i="20"/>
  <c r="AA37" i="20" s="1"/>
  <c r="AA45" i="20" s="1"/>
  <c r="AA27" i="20"/>
  <c r="AA34" i="20" s="1"/>
  <c r="AA42" i="20" s="1"/>
  <c r="AA6" i="27"/>
  <c r="AA12" i="27" s="1"/>
  <c r="AA18" i="27" s="1"/>
  <c r="AA24" i="27" s="1"/>
  <c r="AA66" i="20"/>
  <c r="AA72" i="20" s="1"/>
  <c r="AA78" i="20" s="1"/>
  <c r="AA84" i="20" s="1"/>
  <c r="AA62" i="20"/>
  <c r="AA68" i="20" s="1"/>
  <c r="AA39" i="27"/>
  <c r="AA45" i="27" s="1"/>
  <c r="AA51" i="27" s="1"/>
  <c r="AA57" i="27" s="1"/>
  <c r="AA137" i="27"/>
  <c r="AA143" i="27" s="1"/>
  <c r="AA149" i="27" s="1"/>
  <c r="AA155" i="27" s="1"/>
  <c r="AA171" i="27"/>
  <c r="AA177" i="27" s="1"/>
  <c r="AA183" i="27" s="1"/>
  <c r="AA189" i="27" s="1"/>
  <c r="AA73" i="27"/>
  <c r="AA79" i="27" s="1"/>
  <c r="AA85" i="27" s="1"/>
  <c r="AA91" i="27" s="1"/>
  <c r="Y171" i="27"/>
  <c r="Y177" i="27" s="1"/>
  <c r="Y183" i="27" s="1"/>
  <c r="Y189" i="27" s="1"/>
  <c r="Y137" i="20"/>
  <c r="Y143" i="20" s="1"/>
  <c r="Y149" i="20" s="1"/>
  <c r="Y155" i="20" s="1"/>
  <c r="Y161" i="20" s="1"/>
  <c r="AH43" i="32"/>
  <c r="AE40" i="25"/>
  <c r="AE46" i="25" s="1"/>
  <c r="AE52" i="25" s="1"/>
  <c r="AE58" i="25" s="1"/>
  <c r="AE38" i="25"/>
  <c r="AE44" i="25" s="1"/>
  <c r="AE50" i="25" s="1"/>
  <c r="AE56" i="25" s="1"/>
  <c r="AE139" i="25"/>
  <c r="AE145" i="25" s="1"/>
  <c r="AE151" i="25" s="1"/>
  <c r="AE157" i="25" s="1"/>
  <c r="AE7" i="25"/>
  <c r="AE13" i="25" s="1"/>
  <c r="AE19" i="25" s="1"/>
  <c r="AE25" i="25" s="1"/>
  <c r="AE15" i="18"/>
  <c r="AE128" i="18"/>
  <c r="AE130" i="18" s="1"/>
  <c r="AE76" i="25"/>
  <c r="AE82" i="25" s="1"/>
  <c r="AE88" i="25" s="1"/>
  <c r="AE94" i="25" s="1"/>
  <c r="AE108" i="25"/>
  <c r="AE114" i="25" s="1"/>
  <c r="AE120" i="25" s="1"/>
  <c r="AE126" i="25" s="1"/>
  <c r="AE206" i="25"/>
  <c r="AE212" i="25" s="1"/>
  <c r="AE218" i="25" s="1"/>
  <c r="AE224" i="25" s="1"/>
  <c r="AE28" i="18"/>
  <c r="AE35" i="18" s="1"/>
  <c r="AE43" i="18" s="1"/>
  <c r="AE30" i="18"/>
  <c r="AE37" i="18" s="1"/>
  <c r="AE45" i="18" s="1"/>
  <c r="AE171" i="25"/>
  <c r="AE177" i="25" s="1"/>
  <c r="AE183" i="25" s="1"/>
  <c r="AE189" i="25" s="1"/>
  <c r="AE207" i="25"/>
  <c r="AE213" i="25" s="1"/>
  <c r="AE219" i="25" s="1"/>
  <c r="AE225" i="25" s="1"/>
  <c r="AE138" i="25"/>
  <c r="AE144" i="25" s="1"/>
  <c r="AE150" i="25" s="1"/>
  <c r="AE156" i="25" s="1"/>
  <c r="AE137" i="18"/>
  <c r="AE143" i="18" s="1"/>
  <c r="AE149" i="18" s="1"/>
  <c r="AE155" i="18" s="1"/>
  <c r="AE43" i="25"/>
  <c r="AE49" i="25" s="1"/>
  <c r="AE55" i="25" s="1"/>
  <c r="AE61" i="25" s="1"/>
  <c r="AE64" i="18"/>
  <c r="AE70" i="18" s="1"/>
  <c r="AE76" i="18" s="1"/>
  <c r="AE82" i="18" s="1"/>
  <c r="AE174" i="25"/>
  <c r="AE180" i="25" s="1"/>
  <c r="AE186" i="25" s="1"/>
  <c r="AE192" i="25" s="1"/>
  <c r="AE39" i="25"/>
  <c r="AE45" i="25" s="1"/>
  <c r="AE51" i="25" s="1"/>
  <c r="AE57" i="25" s="1"/>
  <c r="AE6" i="25"/>
  <c r="AE12" i="25" s="1"/>
  <c r="AE18" i="25" s="1"/>
  <c r="AE24" i="25" s="1"/>
  <c r="AE170" i="25"/>
  <c r="AE176" i="25" s="1"/>
  <c r="AE182" i="25" s="1"/>
  <c r="AE188" i="25" s="1"/>
  <c r="AE164" i="18"/>
  <c r="AE166" i="18" s="1"/>
  <c r="AE10" i="25"/>
  <c r="AE16" i="25" s="1"/>
  <c r="AE22" i="25" s="1"/>
  <c r="AE28" i="25" s="1"/>
  <c r="AE138" i="18"/>
  <c r="AE144" i="18" s="1"/>
  <c r="AE150" i="18" s="1"/>
  <c r="AE156" i="18" s="1"/>
  <c r="AE109" i="25"/>
  <c r="AE115" i="25" s="1"/>
  <c r="AE121" i="25" s="1"/>
  <c r="AE127" i="25" s="1"/>
  <c r="AE72" i="25"/>
  <c r="AE78" i="25" s="1"/>
  <c r="AE84" i="25" s="1"/>
  <c r="AE90" i="25" s="1"/>
  <c r="AE31" i="18"/>
  <c r="AE38" i="18" s="1"/>
  <c r="AE39" i="18" s="1"/>
  <c r="AE98" i="18"/>
  <c r="AE104" i="18" s="1"/>
  <c r="AE110" i="18" s="1"/>
  <c r="AE116" i="18" s="1"/>
  <c r="AE71" i="25"/>
  <c r="AE77" i="25" s="1"/>
  <c r="AE83" i="25" s="1"/>
  <c r="AE89" i="25" s="1"/>
  <c r="AE106" i="25"/>
  <c r="AE112" i="25" s="1"/>
  <c r="AE118" i="25" s="1"/>
  <c r="AE124" i="25" s="1"/>
  <c r="AE65" i="18"/>
  <c r="AE71" i="18" s="1"/>
  <c r="AE77" i="18" s="1"/>
  <c r="AE83" i="18" s="1"/>
  <c r="AE73" i="25"/>
  <c r="AE79" i="25" s="1"/>
  <c r="AE85" i="25" s="1"/>
  <c r="AE91" i="25" s="1"/>
  <c r="AE137" i="25"/>
  <c r="AE143" i="25" s="1"/>
  <c r="AE149" i="25" s="1"/>
  <c r="AE155" i="25" s="1"/>
  <c r="AE140" i="25"/>
  <c r="AE146" i="25" s="1"/>
  <c r="AE152" i="25" s="1"/>
  <c r="AE158" i="25" s="1"/>
  <c r="AE29" i="18"/>
  <c r="AE36" i="18" s="1"/>
  <c r="AE44" i="18" s="1"/>
  <c r="AE173" i="25"/>
  <c r="AE179" i="25" s="1"/>
  <c r="AE185" i="25" s="1"/>
  <c r="AE191" i="25" s="1"/>
  <c r="AE62" i="18"/>
  <c r="AE68" i="18" s="1"/>
  <c r="AE74" i="18" s="1"/>
  <c r="AE80" i="18" s="1"/>
  <c r="AE102" i="18"/>
  <c r="AE108" i="18" s="1"/>
  <c r="AE114" i="18" s="1"/>
  <c r="AE120" i="18" s="1"/>
  <c r="AE175" i="25"/>
  <c r="AE181" i="25" s="1"/>
  <c r="AE187" i="25" s="1"/>
  <c r="AE193" i="25" s="1"/>
  <c r="AE135" i="18"/>
  <c r="AE141" i="18" s="1"/>
  <c r="AE147" i="18" s="1"/>
  <c r="AE153" i="18" s="1"/>
  <c r="AE25" i="18"/>
  <c r="AE32" i="18" s="1"/>
  <c r="AE40" i="18" s="1"/>
  <c r="AE105" i="25"/>
  <c r="AE111" i="25" s="1"/>
  <c r="AE117" i="25" s="1"/>
  <c r="AE123" i="25" s="1"/>
  <c r="AE142" i="25"/>
  <c r="AE148" i="25" s="1"/>
  <c r="AE154" i="25" s="1"/>
  <c r="AE160" i="25" s="1"/>
  <c r="AE172" i="25"/>
  <c r="AE178" i="25" s="1"/>
  <c r="AE184" i="25" s="1"/>
  <c r="AE190" i="25" s="1"/>
  <c r="AE208" i="25"/>
  <c r="AE214" i="25" s="1"/>
  <c r="AE220" i="25" s="1"/>
  <c r="AE226" i="25" s="1"/>
  <c r="AE8" i="25"/>
  <c r="AE14" i="25" s="1"/>
  <c r="AE20" i="25" s="1"/>
  <c r="AE26" i="25" s="1"/>
  <c r="AE139" i="18"/>
  <c r="AE145" i="18" s="1"/>
  <c r="AE151" i="18" s="1"/>
  <c r="AE157" i="18" s="1"/>
  <c r="AE63" i="18"/>
  <c r="AE69" i="18" s="1"/>
  <c r="AE75" i="18" s="1"/>
  <c r="AE81" i="18" s="1"/>
  <c r="AE99" i="18"/>
  <c r="AE105" i="18" s="1"/>
  <c r="AE111" i="18" s="1"/>
  <c r="AE117" i="18" s="1"/>
  <c r="AE66" i="18"/>
  <c r="AE72" i="18" s="1"/>
  <c r="AE78" i="18" s="1"/>
  <c r="AE84" i="18" s="1"/>
  <c r="AE26" i="18"/>
  <c r="AE33" i="18" s="1"/>
  <c r="AE41" i="18" s="1"/>
  <c r="AE103" i="18"/>
  <c r="AE109" i="18" s="1"/>
  <c r="AE115" i="18" s="1"/>
  <c r="AE121" i="18" s="1"/>
  <c r="AE27" i="18"/>
  <c r="AE34" i="18" s="1"/>
  <c r="AE42" i="18" s="1"/>
  <c r="AE100" i="18"/>
  <c r="AE106" i="18" s="1"/>
  <c r="AE112" i="18" s="1"/>
  <c r="AE118" i="18" s="1"/>
  <c r="AE9" i="25"/>
  <c r="AE15" i="25" s="1"/>
  <c r="AE21" i="25" s="1"/>
  <c r="AE27" i="25" s="1"/>
  <c r="AE101" i="18"/>
  <c r="AE107" i="18" s="1"/>
  <c r="AE113" i="18" s="1"/>
  <c r="AE119" i="18" s="1"/>
  <c r="AV76" i="33"/>
  <c r="AV14" i="33" s="1"/>
  <c r="AV32" i="33" s="1"/>
  <c r="AV50" i="33" s="1"/>
  <c r="AI131" i="11"/>
  <c r="H10" i="27"/>
  <c r="H16" i="27" s="1"/>
  <c r="H76" i="27"/>
  <c r="H82" i="27" s="1"/>
  <c r="H88" i="27" s="1"/>
  <c r="H94" i="27" s="1"/>
  <c r="H135" i="20"/>
  <c r="H141" i="20" s="1"/>
  <c r="H147" i="20" s="1"/>
  <c r="H153" i="20" s="1"/>
  <c r="H108" i="27"/>
  <c r="H114" i="27" s="1"/>
  <c r="H9" i="27"/>
  <c r="H15" i="27" s="1"/>
  <c r="H21" i="27" s="1"/>
  <c r="H27" i="27" s="1"/>
  <c r="H63" i="20"/>
  <c r="H69" i="20" s="1"/>
  <c r="H72" i="27"/>
  <c r="H78" i="27" s="1"/>
  <c r="H170" i="27"/>
  <c r="H176" i="27" s="1"/>
  <c r="H182" i="27" s="1"/>
  <c r="H188" i="27" s="1"/>
  <c r="H174" i="27"/>
  <c r="H180" i="27" s="1"/>
  <c r="H186" i="27" s="1"/>
  <c r="H192" i="27" s="1"/>
  <c r="H38" i="27"/>
  <c r="H44" i="27" s="1"/>
  <c r="H50" i="27" s="1"/>
  <c r="H56" i="27" s="1"/>
  <c r="H173" i="27"/>
  <c r="H179" i="27" s="1"/>
  <c r="H185" i="27" s="1"/>
  <c r="H191" i="27" s="1"/>
  <c r="H5" i="27"/>
  <c r="H11" i="27" s="1"/>
  <c r="H17" i="27" s="1"/>
  <c r="H23" i="27" s="1"/>
  <c r="H137" i="20"/>
  <c r="H143" i="20" s="1"/>
  <c r="H8" i="27"/>
  <c r="H14" i="27" s="1"/>
  <c r="H20" i="27" s="1"/>
  <c r="H26" i="27" s="1"/>
  <c r="H106" i="27"/>
  <c r="H112" i="27" s="1"/>
  <c r="H118" i="27" s="1"/>
  <c r="H124" i="27" s="1"/>
  <c r="H175" i="27"/>
  <c r="H181" i="27" s="1"/>
  <c r="H187" i="27" s="1"/>
  <c r="H193" i="27" s="1"/>
  <c r="H134" i="20"/>
  <c r="H140" i="20" s="1"/>
  <c r="H104" i="27"/>
  <c r="H110" i="27" s="1"/>
  <c r="H116" i="27" s="1"/>
  <c r="H122" i="27" s="1"/>
  <c r="H208" i="27"/>
  <c r="H214" i="27" s="1"/>
  <c r="H142" i="27"/>
  <c r="H148" i="27" s="1"/>
  <c r="H42" i="27"/>
  <c r="H48" i="27" s="1"/>
  <c r="H54" i="27" s="1"/>
  <c r="H60" i="27" s="1"/>
  <c r="H98" i="20"/>
  <c r="H104" i="20" s="1"/>
  <c r="H110" i="20" s="1"/>
  <c r="H116" i="20" s="1"/>
  <c r="H75" i="27"/>
  <c r="H81" i="27" s="1"/>
  <c r="H87" i="27" s="1"/>
  <c r="H93" i="27" s="1"/>
  <c r="H29" i="20"/>
  <c r="H36" i="20" s="1"/>
  <c r="H44" i="20" s="1"/>
  <c r="H139" i="27"/>
  <c r="H145" i="27" s="1"/>
  <c r="H74" i="27"/>
  <c r="H80" i="27" s="1"/>
  <c r="H86" i="27" s="1"/>
  <c r="H92" i="27" s="1"/>
  <c r="H6" i="27"/>
  <c r="H12" i="27" s="1"/>
  <c r="H18" i="27" s="1"/>
  <c r="H24" i="27" s="1"/>
  <c r="H67" i="20"/>
  <c r="H73" i="20" s="1"/>
  <c r="H26" i="20"/>
  <c r="H33" i="20" s="1"/>
  <c r="H41" i="20" s="1"/>
  <c r="H109" i="27"/>
  <c r="H115" i="27" s="1"/>
  <c r="H28" i="20"/>
  <c r="H35" i="20" s="1"/>
  <c r="H205" i="27"/>
  <c r="H211" i="27" s="1"/>
  <c r="H217" i="27" s="1"/>
  <c r="H223" i="27" s="1"/>
  <c r="H7" i="27"/>
  <c r="H13" i="27" s="1"/>
  <c r="H19" i="27" s="1"/>
  <c r="H25" i="27" s="1"/>
  <c r="H31" i="20"/>
  <c r="H38" i="20" s="1"/>
  <c r="H46" i="20" s="1"/>
  <c r="H40" i="27"/>
  <c r="H46" i="27" s="1"/>
  <c r="H52" i="27" s="1"/>
  <c r="H58" i="27" s="1"/>
  <c r="H105" i="27"/>
  <c r="H111" i="27" s="1"/>
  <c r="H117" i="27" s="1"/>
  <c r="H123" i="27" s="1"/>
  <c r="H140" i="27"/>
  <c r="H146" i="27" s="1"/>
  <c r="H100" i="20"/>
  <c r="H106" i="20" s="1"/>
  <c r="H112" i="20" s="1"/>
  <c r="H118" i="20" s="1"/>
  <c r="H136" i="20"/>
  <c r="H142" i="20" s="1"/>
  <c r="H148" i="20" s="1"/>
  <c r="H154" i="20" s="1"/>
  <c r="H43" i="27"/>
  <c r="H49" i="27" s="1"/>
  <c r="H55" i="27" s="1"/>
  <c r="H61" i="27" s="1"/>
  <c r="H138" i="20"/>
  <c r="H144" i="20" s="1"/>
  <c r="H141" i="27"/>
  <c r="H147" i="27" s="1"/>
  <c r="H153" i="27" s="1"/>
  <c r="H159" i="27" s="1"/>
  <c r="H66" i="20"/>
  <c r="H72" i="20" s="1"/>
  <c r="H17" i="20"/>
  <c r="H30" i="20"/>
  <c r="H37" i="20" s="1"/>
  <c r="H45" i="20" s="1"/>
  <c r="H103" i="20"/>
  <c r="H109" i="20" s="1"/>
  <c r="H115" i="20" s="1"/>
  <c r="H121" i="20" s="1"/>
  <c r="H27" i="20"/>
  <c r="H34" i="20" s="1"/>
  <c r="H42" i="20" s="1"/>
  <c r="H137" i="27"/>
  <c r="H143" i="27" s="1"/>
  <c r="H149" i="27" s="1"/>
  <c r="H155" i="27" s="1"/>
  <c r="H62" i="20"/>
  <c r="H68" i="20" s="1"/>
  <c r="H74" i="20" s="1"/>
  <c r="H80" i="20" s="1"/>
  <c r="H172" i="27"/>
  <c r="H178" i="27" s="1"/>
  <c r="H184" i="27" s="1"/>
  <c r="H190" i="27" s="1"/>
  <c r="H101" i="20"/>
  <c r="H107" i="20" s="1"/>
  <c r="H113" i="20" s="1"/>
  <c r="H119" i="20" s="1"/>
  <c r="H102" i="20"/>
  <c r="H108" i="20" s="1"/>
  <c r="H39" i="27"/>
  <c r="H45" i="27" s="1"/>
  <c r="H51" i="27" s="1"/>
  <c r="H57" i="27" s="1"/>
  <c r="H99" i="20"/>
  <c r="H105" i="20" s="1"/>
  <c r="H64" i="20"/>
  <c r="H70" i="20" s="1"/>
  <c r="H65" i="20"/>
  <c r="H71" i="20" s="1"/>
  <c r="H77" i="20" s="1"/>
  <c r="H83" i="20" s="1"/>
  <c r="H206" i="27"/>
  <c r="H212" i="27" s="1"/>
  <c r="H218" i="27" s="1"/>
  <c r="H224" i="27" s="1"/>
  <c r="H32" i="20"/>
  <c r="H39" i="20" s="1"/>
  <c r="H40" i="20" s="1"/>
  <c r="H138" i="27"/>
  <c r="H144" i="27" s="1"/>
  <c r="H150" i="27" s="1"/>
  <c r="H156" i="27" s="1"/>
  <c r="H71" i="27"/>
  <c r="H77" i="27" s="1"/>
  <c r="H83" i="27" s="1"/>
  <c r="H89" i="27" s="1"/>
  <c r="H139" i="20"/>
  <c r="H145" i="20" s="1"/>
  <c r="H204" i="27"/>
  <c r="H210" i="27" s="1"/>
  <c r="H216" i="27" s="1"/>
  <c r="H222" i="27" s="1"/>
  <c r="H41" i="27"/>
  <c r="H47" i="27" s="1"/>
  <c r="H53" i="27" s="1"/>
  <c r="H59" i="27" s="1"/>
  <c r="H107" i="27"/>
  <c r="H113" i="27" s="1"/>
  <c r="H119" i="27" s="1"/>
  <c r="H125" i="27" s="1"/>
  <c r="H171" i="27"/>
  <c r="H177" i="27" s="1"/>
  <c r="AH129" i="18"/>
  <c r="AE5" i="4"/>
  <c r="AB5" i="4"/>
  <c r="AF5" i="4"/>
  <c r="AC5" i="4"/>
  <c r="AG5" i="4"/>
  <c r="AD5" i="4"/>
  <c r="AD9" i="11"/>
  <c r="AE9" i="11"/>
  <c r="AF9" i="11"/>
  <c r="AM126" i="25"/>
  <c r="AM132" i="25" s="1"/>
  <c r="AP40" i="32"/>
  <c r="AD152" i="25"/>
  <c r="AD158" i="25" s="1"/>
  <c r="AN171" i="27"/>
  <c r="AN177" i="27" s="1"/>
  <c r="AD52" i="25"/>
  <c r="F136" i="18"/>
  <c r="F142" i="18" s="1"/>
  <c r="F148" i="18" s="1"/>
  <c r="F154" i="18" s="1"/>
  <c r="F42" i="25"/>
  <c r="F48" i="25" s="1"/>
  <c r="F54" i="25" s="1"/>
  <c r="F60" i="25" s="1"/>
  <c r="AX82" i="33"/>
  <c r="AX20" i="33" s="1"/>
  <c r="AX38" i="33" s="1"/>
  <c r="AX56" i="33" s="1"/>
  <c r="AK137" i="11"/>
  <c r="O106" i="53"/>
  <c r="O126" i="53"/>
  <c r="O96" i="53"/>
  <c r="AD18" i="18"/>
  <c r="AA124" i="28"/>
  <c r="AA26" i="28"/>
  <c r="AP22" i="32"/>
  <c r="O31" i="25"/>
  <c r="O97" i="25"/>
  <c r="O64" i="25"/>
  <c r="O229" i="25"/>
  <c r="O163" i="25"/>
  <c r="O196" i="25"/>
  <c r="O124" i="18"/>
  <c r="O160" i="18"/>
  <c r="AM67" i="59"/>
  <c r="AB8" i="11"/>
  <c r="P8" i="11"/>
  <c r="V8" i="11"/>
  <c r="Y8" i="11"/>
  <c r="S8" i="11"/>
  <c r="AE8" i="11"/>
  <c r="AL204" i="32"/>
  <c r="AI86" i="52"/>
  <c r="AL185" i="32"/>
  <c r="AL148" i="32"/>
  <c r="AI52" i="20"/>
  <c r="AL157" i="32"/>
  <c r="AL195" i="32"/>
  <c r="AL176" i="32"/>
  <c r="AL166" i="32"/>
  <c r="AI206" i="27"/>
  <c r="AI212" i="27" s="1"/>
  <c r="AI218" i="27" s="1"/>
  <c r="AI224" i="27" s="1"/>
  <c r="S14" i="11"/>
  <c r="AE14" i="11"/>
  <c r="V14" i="11"/>
  <c r="P14" i="11"/>
  <c r="AB14" i="11"/>
  <c r="Y14" i="11"/>
  <c r="E15" i="19"/>
  <c r="E18" i="19"/>
  <c r="E6" i="19"/>
  <c r="E12" i="19"/>
  <c r="AG69" i="33"/>
  <c r="AG7" i="33" s="1"/>
  <c r="AG25" i="33" s="1"/>
  <c r="AG43" i="33" s="1"/>
  <c r="X124" i="11"/>
  <c r="AK23" i="11"/>
  <c r="AN23" i="11" s="1"/>
  <c r="AQ83" i="33"/>
  <c r="AQ21" i="33" s="1"/>
  <c r="AQ39" i="33" s="1"/>
  <c r="AQ57" i="33" s="1"/>
  <c r="AE138" i="11"/>
  <c r="T208" i="26"/>
  <c r="T214" i="26" s="1"/>
  <c r="T9" i="26"/>
  <c r="T15" i="26" s="1"/>
  <c r="T73" i="26"/>
  <c r="T79" i="26" s="1"/>
  <c r="AF164" i="20"/>
  <c r="AF166" i="20" s="1"/>
  <c r="F27" i="20"/>
  <c r="F34" i="20" s="1"/>
  <c r="F42" i="20" s="1"/>
  <c r="F140" i="27"/>
  <c r="F146" i="27" s="1"/>
  <c r="F152" i="27" s="1"/>
  <c r="F158" i="27" s="1"/>
  <c r="AD21" i="20"/>
  <c r="AD22" i="20" s="1"/>
  <c r="AD8" i="20"/>
  <c r="AD5" i="20"/>
  <c r="AA5" i="41"/>
  <c r="AA20" i="41" s="1"/>
  <c r="AA21" i="41"/>
  <c r="AN4" i="50"/>
  <c r="AN105" i="50"/>
  <c r="AP105" i="50"/>
  <c r="AP4" i="50"/>
  <c r="AC21" i="50"/>
  <c r="AC106" i="50"/>
  <c r="A135" i="36"/>
  <c r="AS23" i="36"/>
  <c r="AJ168" i="59"/>
  <c r="AJ45" i="59"/>
  <c r="AJ107" i="59"/>
  <c r="F43" i="20"/>
  <c r="AN101" i="59"/>
  <c r="AN6" i="59"/>
  <c r="AT82" i="33"/>
  <c r="AT20" i="33" s="1"/>
  <c r="AT38" i="33" s="1"/>
  <c r="AT56" i="33" s="1"/>
  <c r="AP137" i="11"/>
  <c r="AN109" i="27"/>
  <c r="AN115" i="27" s="1"/>
  <c r="AN121" i="27" s="1"/>
  <c r="AN127" i="27" s="1"/>
  <c r="AN27" i="20"/>
  <c r="AN34" i="20" s="1"/>
  <c r="AN42" i="20" s="1"/>
  <c r="AN105" i="27"/>
  <c r="AN111" i="27" s="1"/>
  <c r="AN62" i="20"/>
  <c r="AN68" i="20" s="1"/>
  <c r="AN100" i="20"/>
  <c r="AN106" i="20" s="1"/>
  <c r="AN112" i="20" s="1"/>
  <c r="AN118" i="20" s="1"/>
  <c r="AN43" i="27"/>
  <c r="AN49" i="27" s="1"/>
  <c r="AN135" i="20"/>
  <c r="AN141" i="20" s="1"/>
  <c r="AN102" i="20"/>
  <c r="AN108" i="20" s="1"/>
  <c r="AN29" i="20"/>
  <c r="AN36" i="20" s="1"/>
  <c r="AN65" i="20"/>
  <c r="AN71" i="20" s="1"/>
  <c r="AN63" i="20"/>
  <c r="AN69" i="20" s="1"/>
  <c r="AN203" i="27"/>
  <c r="AN209" i="27" s="1"/>
  <c r="AN6" i="27"/>
  <c r="AN12" i="27" s="1"/>
  <c r="AN72" i="27"/>
  <c r="AN78" i="27" s="1"/>
  <c r="AN74" i="27"/>
  <c r="AN80" i="27" s="1"/>
  <c r="AN107" i="27"/>
  <c r="AN113" i="27" s="1"/>
  <c r="AN98" i="20"/>
  <c r="AN104" i="20" s="1"/>
  <c r="AH160" i="18"/>
  <c r="AJ101" i="59"/>
  <c r="AJ6" i="59"/>
  <c r="E349" i="53"/>
  <c r="E384" i="53" s="1"/>
  <c r="E252" i="53"/>
  <c r="Q110" i="50"/>
  <c r="Q93" i="50"/>
  <c r="Q89" i="50"/>
  <c r="AD25" i="32"/>
  <c r="AF11" i="34" s="1"/>
  <c r="AD15" i="32"/>
  <c r="AD16" i="32" s="1"/>
  <c r="AF10" i="34" s="1"/>
  <c r="AD6" i="32"/>
  <c r="AD7" i="32" s="1"/>
  <c r="AF9" i="34" s="1"/>
  <c r="AK122" i="28"/>
  <c r="AK24" i="28"/>
  <c r="K77" i="28"/>
  <c r="K32" i="28"/>
  <c r="AN7" i="59"/>
  <c r="AN102" i="59"/>
  <c r="E77" i="28"/>
  <c r="E97" i="28" s="1"/>
  <c r="E32" i="28"/>
  <c r="G114" i="59"/>
  <c r="G19" i="59"/>
  <c r="AA114" i="59"/>
  <c r="AA19" i="59"/>
  <c r="I77" i="28"/>
  <c r="I32" i="28"/>
  <c r="AJ8" i="59"/>
  <c r="AJ103" i="59"/>
  <c r="AI121" i="59"/>
  <c r="AI26" i="59"/>
  <c r="G112" i="59"/>
  <c r="G17" i="59"/>
  <c r="A160" i="53"/>
  <c r="A205" i="53" s="1"/>
  <c r="AF116" i="53"/>
  <c r="Q116" i="53"/>
  <c r="P116" i="53"/>
  <c r="AA116" i="53"/>
  <c r="H116" i="53"/>
  <c r="S116" i="53"/>
  <c r="T116" i="53"/>
  <c r="AJ116" i="53"/>
  <c r="AI116" i="53"/>
  <c r="AE116" i="53"/>
  <c r="AD116" i="53"/>
  <c r="R116" i="53"/>
  <c r="G116" i="53"/>
  <c r="F116" i="53"/>
  <c r="Y116" i="53"/>
  <c r="L116" i="53"/>
  <c r="N116" i="53"/>
  <c r="O116" i="53"/>
  <c r="AH116" i="53"/>
  <c r="X116" i="53"/>
  <c r="J116" i="53"/>
  <c r="Z116" i="53"/>
  <c r="AB116" i="53"/>
  <c r="U116" i="53"/>
  <c r="K116" i="53"/>
  <c r="AG116" i="53"/>
  <c r="W116" i="53"/>
  <c r="AM116" i="53"/>
  <c r="AO116" i="53"/>
  <c r="V116" i="53"/>
  <c r="AC116" i="53"/>
  <c r="AK116" i="53"/>
  <c r="I116" i="53"/>
  <c r="AP116" i="53"/>
  <c r="AL116" i="53"/>
  <c r="AN116" i="53"/>
  <c r="T146" i="28"/>
  <c r="T42" i="52" s="1"/>
  <c r="AA146" i="28"/>
  <c r="AA42" i="52" s="1"/>
  <c r="K42" i="52"/>
  <c r="M116" i="53" s="1"/>
  <c r="P100" i="53"/>
  <c r="P120" i="53"/>
  <c r="P110" i="53"/>
  <c r="P130" i="53"/>
  <c r="AC123" i="53"/>
  <c r="AC93" i="53"/>
  <c r="AB106" i="50"/>
  <c r="AB21" i="50"/>
  <c r="AB25" i="50"/>
  <c r="AA109" i="50"/>
  <c r="AA72" i="50"/>
  <c r="AA76" i="50"/>
  <c r="Z42" i="50"/>
  <c r="Z38" i="50"/>
  <c r="Z107" i="50"/>
  <c r="AN112" i="28"/>
  <c r="AN14" i="28"/>
  <c r="O20" i="52"/>
  <c r="R107" i="11"/>
  <c r="O141" i="28"/>
  <c r="AL126" i="28"/>
  <c r="AL28" i="28"/>
  <c r="J25" i="32"/>
  <c r="I11" i="34" s="1"/>
  <c r="J15" i="32"/>
  <c r="J16" i="32" s="1"/>
  <c r="I10" i="34" s="1"/>
  <c r="J6" i="32"/>
  <c r="J7" i="32" s="1"/>
  <c r="I9" i="34" s="1"/>
  <c r="AN7" i="1"/>
  <c r="E105" i="25"/>
  <c r="E111" i="25" s="1"/>
  <c r="E117" i="25" s="1"/>
  <c r="AR70" i="33"/>
  <c r="AR8" i="33" s="1"/>
  <c r="AR26" i="33" s="1"/>
  <c r="AR44" i="33" s="1"/>
  <c r="AF125" i="11"/>
  <c r="AI34" i="11"/>
  <c r="AL34" i="11" s="1"/>
  <c r="J151" i="32"/>
  <c r="J152" i="32" s="1"/>
  <c r="I17" i="34" s="1"/>
  <c r="I31" i="34" s="1"/>
  <c r="J161" i="32"/>
  <c r="I18" i="34" s="1"/>
  <c r="I32" i="34" s="1"/>
  <c r="J142" i="32"/>
  <c r="J143" i="32" s="1"/>
  <c r="I16" i="34" s="1"/>
  <c r="I30" i="34" s="1"/>
  <c r="AR35" i="3"/>
  <c r="AD175" i="25"/>
  <c r="AD181" i="25" s="1"/>
  <c r="AD187" i="25" s="1"/>
  <c r="AD193" i="25" s="1"/>
  <c r="AA199" i="32"/>
  <c r="AA21" i="34" s="1"/>
  <c r="AA35" i="34" s="1"/>
  <c r="AA189" i="32"/>
  <c r="AA190" i="32" s="1"/>
  <c r="AA22" i="34" s="1"/>
  <c r="AA36" i="34" s="1"/>
  <c r="AG76" i="33"/>
  <c r="AG14" i="33" s="1"/>
  <c r="AG32" i="33" s="1"/>
  <c r="AG50" i="33" s="1"/>
  <c r="X131" i="11"/>
  <c r="I128" i="11"/>
  <c r="R73" i="33"/>
  <c r="R11" i="33" s="1"/>
  <c r="R29" i="33" s="1"/>
  <c r="R47" i="33" s="1"/>
  <c r="AM18" i="1"/>
  <c r="O104" i="25"/>
  <c r="O110" i="25" s="1"/>
  <c r="O116" i="25" s="1"/>
  <c r="AS76" i="33"/>
  <c r="AS14" i="33" s="1"/>
  <c r="AS32" i="33" s="1"/>
  <c r="AS50" i="33" s="1"/>
  <c r="AG131" i="11"/>
  <c r="K24" i="2"/>
  <c r="K24" i="3"/>
  <c r="O24" i="11"/>
  <c r="K24" i="1"/>
  <c r="K24" i="4"/>
  <c r="O157" i="25"/>
  <c r="R47" i="32"/>
  <c r="Y138" i="27"/>
  <c r="Y144" i="27" s="1"/>
  <c r="Y150" i="27" s="1"/>
  <c r="Y156" i="27" s="1"/>
  <c r="Y172" i="27"/>
  <c r="Y178" i="27" s="1"/>
  <c r="Y184" i="27" s="1"/>
  <c r="Y190" i="27" s="1"/>
  <c r="AV79" i="33"/>
  <c r="AV17" i="33" s="1"/>
  <c r="AV35" i="33" s="1"/>
  <c r="AV53" i="33" s="1"/>
  <c r="AI134" i="11"/>
  <c r="H203" i="27"/>
  <c r="H209" i="27" s="1"/>
  <c r="H215" i="27" s="1"/>
  <c r="H221" i="27" s="1"/>
  <c r="AH93" i="18"/>
  <c r="L18" i="20"/>
  <c r="L15" i="20"/>
  <c r="L12" i="20"/>
  <c r="L6" i="20"/>
  <c r="T43" i="32"/>
  <c r="Q128" i="18"/>
  <c r="Q130" i="18" s="1"/>
  <c r="Q15" i="18"/>
  <c r="Q65" i="18" s="1"/>
  <c r="Q71" i="18" s="1"/>
  <c r="Q77" i="18" s="1"/>
  <c r="Q83" i="18" s="1"/>
  <c r="Q30" i="18"/>
  <c r="Q37" i="18" s="1"/>
  <c r="Q45" i="18" s="1"/>
  <c r="Q76" i="25"/>
  <c r="Q82" i="25" s="1"/>
  <c r="Q88" i="25" s="1"/>
  <c r="Q94" i="25" s="1"/>
  <c r="Q173" i="25"/>
  <c r="Q179" i="25" s="1"/>
  <c r="Q185" i="25" s="1"/>
  <c r="Q191" i="25" s="1"/>
  <c r="Q208" i="25"/>
  <c r="Q214" i="25" s="1"/>
  <c r="Q220" i="25" s="1"/>
  <c r="Q226" i="25" s="1"/>
  <c r="Q28" i="18"/>
  <c r="Q35" i="18" s="1"/>
  <c r="Q43" i="18" s="1"/>
  <c r="Q5" i="25"/>
  <c r="Q11" i="25" s="1"/>
  <c r="Q17" i="25" s="1"/>
  <c r="Q23" i="25" s="1"/>
  <c r="AN64" i="20"/>
  <c r="AN70" i="20" s="1"/>
  <c r="AN10" i="27"/>
  <c r="AN16" i="27" s="1"/>
  <c r="AN22" i="27" s="1"/>
  <c r="AN28" i="27" s="1"/>
  <c r="R105" i="25"/>
  <c r="R111" i="25" s="1"/>
  <c r="R117" i="25" s="1"/>
  <c r="R123" i="25" s="1"/>
  <c r="R139" i="25"/>
  <c r="R145" i="25" s="1"/>
  <c r="R151" i="25" s="1"/>
  <c r="R157" i="25" s="1"/>
  <c r="R43" i="25"/>
  <c r="R49" i="25" s="1"/>
  <c r="R55" i="25" s="1"/>
  <c r="R61" i="25" s="1"/>
  <c r="U43" i="32"/>
  <c r="R72" i="25"/>
  <c r="R78" i="25" s="1"/>
  <c r="R84" i="25" s="1"/>
  <c r="R90" i="25" s="1"/>
  <c r="R73" i="25"/>
  <c r="R79" i="25" s="1"/>
  <c r="R85" i="25" s="1"/>
  <c r="R91" i="25" s="1"/>
  <c r="R42" i="25"/>
  <c r="R48" i="25" s="1"/>
  <c r="R54" i="25" s="1"/>
  <c r="R60" i="25" s="1"/>
  <c r="R104" i="25"/>
  <c r="R110" i="25" s="1"/>
  <c r="R116" i="25" s="1"/>
  <c r="R122" i="25" s="1"/>
  <c r="R103" i="18"/>
  <c r="R109" i="18" s="1"/>
  <c r="R115" i="18" s="1"/>
  <c r="R121" i="18" s="1"/>
  <c r="R30" i="18"/>
  <c r="R37" i="18" s="1"/>
  <c r="R45" i="18" s="1"/>
  <c r="R63" i="18"/>
  <c r="R69" i="18" s="1"/>
  <c r="R75" i="18" s="1"/>
  <c r="R81" i="18" s="1"/>
  <c r="R7" i="25"/>
  <c r="R13" i="25" s="1"/>
  <c r="R19" i="25" s="1"/>
  <c r="R25" i="25" s="1"/>
  <c r="R28" i="18"/>
  <c r="R35" i="18" s="1"/>
  <c r="R43" i="18" s="1"/>
  <c r="R38" i="25"/>
  <c r="R44" i="25" s="1"/>
  <c r="R50" i="25" s="1"/>
  <c r="R56" i="25" s="1"/>
  <c r="R66" i="18"/>
  <c r="R72" i="18" s="1"/>
  <c r="R78" i="18" s="1"/>
  <c r="R84" i="18" s="1"/>
  <c r="R139" i="18"/>
  <c r="R145" i="18" s="1"/>
  <c r="R151" i="18" s="1"/>
  <c r="R157" i="18" s="1"/>
  <c r="R64" i="18"/>
  <c r="R70" i="18" s="1"/>
  <c r="R76" i="18" s="1"/>
  <c r="R82" i="18" s="1"/>
  <c r="R75" i="25"/>
  <c r="R81" i="25" s="1"/>
  <c r="R87" i="25" s="1"/>
  <c r="R93" i="25" s="1"/>
  <c r="R175" i="25"/>
  <c r="R181" i="25" s="1"/>
  <c r="R187" i="25" s="1"/>
  <c r="R193" i="25" s="1"/>
  <c r="R137" i="18"/>
  <c r="R143" i="18" s="1"/>
  <c r="R149" i="18" s="1"/>
  <c r="R155" i="18" s="1"/>
  <c r="R138" i="25"/>
  <c r="R144" i="25" s="1"/>
  <c r="R150" i="25" s="1"/>
  <c r="R156" i="25" s="1"/>
  <c r="R173" i="25"/>
  <c r="R179" i="25" s="1"/>
  <c r="R185" i="25" s="1"/>
  <c r="R191" i="25" s="1"/>
  <c r="R67" i="18"/>
  <c r="R73" i="18" s="1"/>
  <c r="R79" i="18" s="1"/>
  <c r="R85" i="18" s="1"/>
  <c r="R29" i="18"/>
  <c r="R36" i="18" s="1"/>
  <c r="R44" i="18" s="1"/>
  <c r="R99" i="18"/>
  <c r="R105" i="18" s="1"/>
  <c r="R111" i="18" s="1"/>
  <c r="R117" i="18" s="1"/>
  <c r="R207" i="25"/>
  <c r="R213" i="25" s="1"/>
  <c r="R219" i="25" s="1"/>
  <c r="R225" i="25" s="1"/>
  <c r="R137" i="25"/>
  <c r="R143" i="25" s="1"/>
  <c r="R149" i="25" s="1"/>
  <c r="R155" i="25" s="1"/>
  <c r="R26" i="18"/>
  <c r="R33" i="18" s="1"/>
  <c r="R41" i="18" s="1"/>
  <c r="R164" i="18"/>
  <c r="R166" i="18" s="1"/>
  <c r="R10" i="25"/>
  <c r="R16" i="25" s="1"/>
  <c r="R22" i="25" s="1"/>
  <c r="R28" i="25" s="1"/>
  <c r="R171" i="25"/>
  <c r="R177" i="25" s="1"/>
  <c r="R183" i="25" s="1"/>
  <c r="R189" i="25" s="1"/>
  <c r="R138" i="18"/>
  <c r="R144" i="18" s="1"/>
  <c r="R150" i="18" s="1"/>
  <c r="R156" i="18" s="1"/>
  <c r="R108" i="25"/>
  <c r="R114" i="25" s="1"/>
  <c r="R120" i="25" s="1"/>
  <c r="R126" i="25" s="1"/>
  <c r="R140" i="25"/>
  <c r="R146" i="25" s="1"/>
  <c r="R152" i="25" s="1"/>
  <c r="R158" i="25" s="1"/>
  <c r="R142" i="25"/>
  <c r="R148" i="25" s="1"/>
  <c r="R154" i="25" s="1"/>
  <c r="R160" i="25" s="1"/>
  <c r="R170" i="25"/>
  <c r="R176" i="25" s="1"/>
  <c r="R182" i="25" s="1"/>
  <c r="R188" i="25" s="1"/>
  <c r="R41" i="25"/>
  <c r="R47" i="25" s="1"/>
  <c r="R53" i="25" s="1"/>
  <c r="R59" i="25" s="1"/>
  <c r="R204" i="25"/>
  <c r="R210" i="25" s="1"/>
  <c r="R216" i="25" s="1"/>
  <c r="R222" i="25" s="1"/>
  <c r="R205" i="25"/>
  <c r="R211" i="25" s="1"/>
  <c r="R217" i="25" s="1"/>
  <c r="R223" i="25" s="1"/>
  <c r="R203" i="25"/>
  <c r="R209" i="25" s="1"/>
  <c r="R215" i="25" s="1"/>
  <c r="R221" i="25" s="1"/>
  <c r="R62" i="18"/>
  <c r="R68" i="18" s="1"/>
  <c r="R74" i="18" s="1"/>
  <c r="R80" i="18" s="1"/>
  <c r="R128" i="18"/>
  <c r="R130" i="18" s="1"/>
  <c r="R74" i="25"/>
  <c r="R80" i="25" s="1"/>
  <c r="R86" i="25" s="1"/>
  <c r="R92" i="25" s="1"/>
  <c r="R65" i="18"/>
  <c r="R71" i="18" s="1"/>
  <c r="R77" i="18" s="1"/>
  <c r="R83" i="18" s="1"/>
  <c r="R109" i="25"/>
  <c r="R115" i="25" s="1"/>
  <c r="R121" i="25" s="1"/>
  <c r="R127" i="25" s="1"/>
  <c r="R6" i="25"/>
  <c r="R12" i="25" s="1"/>
  <c r="R18" i="25" s="1"/>
  <c r="R24" i="25" s="1"/>
  <c r="R15" i="18"/>
  <c r="R27" i="18"/>
  <c r="R34" i="18" s="1"/>
  <c r="R42" i="18" s="1"/>
  <c r="R134" i="18"/>
  <c r="R140" i="18" s="1"/>
  <c r="R146" i="18" s="1"/>
  <c r="R152" i="18" s="1"/>
  <c r="R98" i="18"/>
  <c r="R104" i="18" s="1"/>
  <c r="R110" i="18" s="1"/>
  <c r="R116" i="18" s="1"/>
  <c r="R101" i="18"/>
  <c r="R107" i="18" s="1"/>
  <c r="R113" i="18" s="1"/>
  <c r="R119" i="18" s="1"/>
  <c r="R141" i="25"/>
  <c r="R147" i="25" s="1"/>
  <c r="R153" i="25" s="1"/>
  <c r="R159" i="25" s="1"/>
  <c r="R107" i="25"/>
  <c r="R113" i="25" s="1"/>
  <c r="R119" i="25" s="1"/>
  <c r="R125" i="25" s="1"/>
  <c r="R174" i="25"/>
  <c r="R180" i="25" s="1"/>
  <c r="R186" i="25" s="1"/>
  <c r="R192" i="25" s="1"/>
  <c r="R135" i="18"/>
  <c r="R141" i="18" s="1"/>
  <c r="R147" i="18" s="1"/>
  <c r="R153" i="18" s="1"/>
  <c r="R102" i="18"/>
  <c r="R108" i="18" s="1"/>
  <c r="R114" i="18" s="1"/>
  <c r="R120" i="18" s="1"/>
  <c r="AJ170" i="27"/>
  <c r="AJ176" i="27" s="1"/>
  <c r="AJ182" i="27" s="1"/>
  <c r="AJ188" i="27" s="1"/>
  <c r="F7" i="25"/>
  <c r="F13" i="25" s="1"/>
  <c r="F19" i="25" s="1"/>
  <c r="F25" i="25" s="1"/>
  <c r="P175" i="25"/>
  <c r="P181" i="25" s="1"/>
  <c r="P187" i="25" s="1"/>
  <c r="P193" i="25" s="1"/>
  <c r="P137" i="18"/>
  <c r="P143" i="18" s="1"/>
  <c r="P149" i="18" s="1"/>
  <c r="P155" i="18" s="1"/>
  <c r="P102" i="18"/>
  <c r="P108" i="18" s="1"/>
  <c r="P114" i="18" s="1"/>
  <c r="P120" i="18" s="1"/>
  <c r="AI115" i="28"/>
  <c r="AI17" i="28"/>
  <c r="AK51" i="59"/>
  <c r="H143" i="28"/>
  <c r="H43" i="52" s="1"/>
  <c r="AJ83" i="52"/>
  <c r="AM182" i="32"/>
  <c r="AM192" i="32"/>
  <c r="AM163" i="32"/>
  <c r="AM154" i="32"/>
  <c r="AM173" i="32"/>
  <c r="AM145" i="32"/>
  <c r="AM201" i="32"/>
  <c r="AJ49" i="20"/>
  <c r="T115" i="28"/>
  <c r="T17" i="28"/>
  <c r="Q142" i="28"/>
  <c r="AI44" i="20"/>
  <c r="AI74" i="20"/>
  <c r="AI80" i="20" s="1"/>
  <c r="AI86" i="20" s="1"/>
  <c r="AI18" i="27"/>
  <c r="AI24" i="27" s="1"/>
  <c r="AJ36" i="11"/>
  <c r="AM36" i="11" s="1"/>
  <c r="X127" i="11"/>
  <c r="AG72" i="33"/>
  <c r="AG10" i="33" s="1"/>
  <c r="AG28" i="33" s="1"/>
  <c r="AG46" i="33" s="1"/>
  <c r="AE132" i="11"/>
  <c r="AQ77" i="33"/>
  <c r="AQ15" i="33" s="1"/>
  <c r="AQ33" i="33" s="1"/>
  <c r="AQ51" i="33" s="1"/>
  <c r="W112" i="32"/>
  <c r="V26" i="34" s="1"/>
  <c r="V40" i="34" s="1"/>
  <c r="W102" i="32"/>
  <c r="W103" i="32" s="1"/>
  <c r="V27" i="34" s="1"/>
  <c r="V41" i="34" s="1"/>
  <c r="T207" i="26"/>
  <c r="T213" i="26" s="1"/>
  <c r="AI151" i="32"/>
  <c r="AI152" i="32" s="1"/>
  <c r="AL17" i="34" s="1"/>
  <c r="AL31" i="34" s="1"/>
  <c r="AI142" i="32"/>
  <c r="AI143" i="32" s="1"/>
  <c r="AL16" i="34" s="1"/>
  <c r="AL30" i="34" s="1"/>
  <c r="AI161" i="32"/>
  <c r="AL18" i="34" s="1"/>
  <c r="AL32" i="34" s="1"/>
  <c r="F71" i="27"/>
  <c r="F77" i="27" s="1"/>
  <c r="F83" i="27" s="1"/>
  <c r="F89" i="27" s="1"/>
  <c r="F75" i="27"/>
  <c r="F81" i="27" s="1"/>
  <c r="F87" i="27" s="1"/>
  <c r="F93" i="27" s="1"/>
  <c r="AJ27" i="41"/>
  <c r="AJ11" i="41"/>
  <c r="AJ26" i="41" s="1"/>
  <c r="AN89" i="50"/>
  <c r="AN110" i="50"/>
  <c r="AP55" i="50"/>
  <c r="AP108" i="50"/>
  <c r="T111" i="59"/>
  <c r="T16" i="59"/>
  <c r="AQ36" i="3"/>
  <c r="AM174" i="25"/>
  <c r="AM180" i="25" s="1"/>
  <c r="AM186" i="25" s="1"/>
  <c r="Z124" i="11"/>
  <c r="AJ69" i="33"/>
  <c r="AJ7" i="33" s="1"/>
  <c r="AJ25" i="33" s="1"/>
  <c r="AJ43" i="33" s="1"/>
  <c r="AK26" i="11"/>
  <c r="AN26" i="11" s="1"/>
  <c r="AM123" i="28"/>
  <c r="AM25" i="28"/>
  <c r="AJ109" i="50"/>
  <c r="AJ76" i="50"/>
  <c r="AJ72" i="50"/>
  <c r="O76" i="33"/>
  <c r="O14" i="33" s="1"/>
  <c r="O32" i="33" s="1"/>
  <c r="O50" i="33" s="1"/>
  <c r="G131" i="11"/>
  <c r="R134" i="11"/>
  <c r="AB79" i="33"/>
  <c r="AB17" i="33" s="1"/>
  <c r="AB35" i="33" s="1"/>
  <c r="AB53" i="33" s="1"/>
  <c r="Y105" i="25"/>
  <c r="Y111" i="25" s="1"/>
  <c r="Y117" i="25" s="1"/>
  <c r="Y123" i="25" s="1"/>
  <c r="Y5" i="25"/>
  <c r="Y11" i="25" s="1"/>
  <c r="Y17" i="25" s="1"/>
  <c r="Y23" i="25" s="1"/>
  <c r="Y8" i="25"/>
  <c r="Y14" i="25" s="1"/>
  <c r="Y20" i="25" s="1"/>
  <c r="Y26" i="25" s="1"/>
  <c r="Y173" i="25"/>
  <c r="Y179" i="25" s="1"/>
  <c r="Y185" i="25" s="1"/>
  <c r="Y191" i="25" s="1"/>
  <c r="Y26" i="18"/>
  <c r="Y33" i="18" s="1"/>
  <c r="Y41" i="18" s="1"/>
  <c r="Y63" i="18"/>
  <c r="Y69" i="18" s="1"/>
  <c r="Y75" i="18" s="1"/>
  <c r="Y81" i="18" s="1"/>
  <c r="Y207" i="25"/>
  <c r="Y213" i="25" s="1"/>
  <c r="Y219" i="25" s="1"/>
  <c r="Y225" i="25" s="1"/>
  <c r="Y100" i="18"/>
  <c r="Y106" i="18" s="1"/>
  <c r="Y112" i="18" s="1"/>
  <c r="Y118" i="18" s="1"/>
  <c r="Y101" i="18"/>
  <c r="Y107" i="18" s="1"/>
  <c r="Y113" i="18" s="1"/>
  <c r="Y119" i="18" s="1"/>
  <c r="Y170" i="25"/>
  <c r="Y176" i="25" s="1"/>
  <c r="Y182" i="25" s="1"/>
  <c r="Y188" i="25" s="1"/>
  <c r="Y108" i="25"/>
  <c r="Y114" i="25" s="1"/>
  <c r="Y120" i="25" s="1"/>
  <c r="Y126" i="25" s="1"/>
  <c r="Y31" i="18"/>
  <c r="Y38" i="18" s="1"/>
  <c r="Y39" i="18" s="1"/>
  <c r="Y99" i="18"/>
  <c r="Y105" i="18" s="1"/>
  <c r="Y111" i="18" s="1"/>
  <c r="Y117" i="18" s="1"/>
  <c r="Y171" i="25"/>
  <c r="Y177" i="25" s="1"/>
  <c r="Y183" i="25" s="1"/>
  <c r="Y189" i="25" s="1"/>
  <c r="Y138" i="18"/>
  <c r="Y144" i="18" s="1"/>
  <c r="Y150" i="18" s="1"/>
  <c r="Y156" i="18" s="1"/>
  <c r="Y205" i="25"/>
  <c r="Y211" i="25" s="1"/>
  <c r="Y217" i="25" s="1"/>
  <c r="Y223" i="25" s="1"/>
  <c r="Y9" i="25"/>
  <c r="Y15" i="25" s="1"/>
  <c r="Y21" i="25" s="1"/>
  <c r="Y27" i="25" s="1"/>
  <c r="Y6" i="25"/>
  <c r="Y12" i="25" s="1"/>
  <c r="Y18" i="25" s="1"/>
  <c r="Y24" i="25" s="1"/>
  <c r="Y142" i="25"/>
  <c r="Y148" i="25" s="1"/>
  <c r="Y154" i="25" s="1"/>
  <c r="Y160" i="25" s="1"/>
  <c r="Y10" i="25"/>
  <c r="Y16" i="25" s="1"/>
  <c r="Y22" i="25" s="1"/>
  <c r="Y28" i="25" s="1"/>
  <c r="Y29" i="18"/>
  <c r="Y36" i="18" s="1"/>
  <c r="Y44" i="18" s="1"/>
  <c r="Y43" i="25"/>
  <c r="Y49" i="25" s="1"/>
  <c r="Y55" i="25" s="1"/>
  <c r="Y61" i="25" s="1"/>
  <c r="Y139" i="18"/>
  <c r="Y145" i="18" s="1"/>
  <c r="Y151" i="18" s="1"/>
  <c r="Y157" i="18" s="1"/>
  <c r="Y75" i="25"/>
  <c r="Y81" i="25" s="1"/>
  <c r="Y87" i="25" s="1"/>
  <c r="Y93" i="25" s="1"/>
  <c r="Y67" i="18"/>
  <c r="Y73" i="18" s="1"/>
  <c r="Y79" i="18" s="1"/>
  <c r="Y85" i="18" s="1"/>
  <c r="Y30" i="18"/>
  <c r="Y37" i="18" s="1"/>
  <c r="Y45" i="18" s="1"/>
  <c r="Y140" i="25"/>
  <c r="Y146" i="25" s="1"/>
  <c r="Y152" i="25" s="1"/>
  <c r="Y158" i="25" s="1"/>
  <c r="Y27" i="18"/>
  <c r="Y34" i="18" s="1"/>
  <c r="Y42" i="18" s="1"/>
  <c r="Y204" i="25"/>
  <c r="Y210" i="25" s="1"/>
  <c r="Y216" i="25" s="1"/>
  <c r="Y222" i="25" s="1"/>
  <c r="Y98" i="18"/>
  <c r="Y104" i="18" s="1"/>
  <c r="Y110" i="18" s="1"/>
  <c r="Y116" i="18" s="1"/>
  <c r="Y139" i="25"/>
  <c r="Y145" i="25" s="1"/>
  <c r="Y151" i="25" s="1"/>
  <c r="Y157" i="25" s="1"/>
  <c r="Y42" i="25"/>
  <c r="Y48" i="25" s="1"/>
  <c r="Y54" i="25" s="1"/>
  <c r="Y60" i="25" s="1"/>
  <c r="Y72" i="25"/>
  <c r="Y78" i="25" s="1"/>
  <c r="Y84" i="25" s="1"/>
  <c r="Y90" i="25" s="1"/>
  <c r="Y103" i="18"/>
  <c r="Y109" i="18" s="1"/>
  <c r="Y115" i="18" s="1"/>
  <c r="Y121" i="18" s="1"/>
  <c r="Y106" i="25"/>
  <c r="Y112" i="25" s="1"/>
  <c r="Y118" i="25" s="1"/>
  <c r="Y124" i="25" s="1"/>
  <c r="Y208" i="25"/>
  <c r="Y214" i="25" s="1"/>
  <c r="Y220" i="25" s="1"/>
  <c r="Y226" i="25" s="1"/>
  <c r="Y38" i="25"/>
  <c r="Y44" i="25" s="1"/>
  <c r="Y50" i="25" s="1"/>
  <c r="Y56" i="25" s="1"/>
  <c r="Y76" i="25"/>
  <c r="Y82" i="25" s="1"/>
  <c r="Y88" i="25" s="1"/>
  <c r="Y94" i="25" s="1"/>
  <c r="Y109" i="25"/>
  <c r="Y115" i="25" s="1"/>
  <c r="Y121" i="25" s="1"/>
  <c r="Y127" i="25" s="1"/>
  <c r="Y65" i="18"/>
  <c r="Y71" i="18" s="1"/>
  <c r="Y77" i="18" s="1"/>
  <c r="Y83" i="18" s="1"/>
  <c r="Y28" i="18"/>
  <c r="Y35" i="18" s="1"/>
  <c r="Y43" i="18" s="1"/>
  <c r="Y40" i="25"/>
  <c r="Y46" i="25" s="1"/>
  <c r="Y52" i="25" s="1"/>
  <c r="Y58" i="25" s="1"/>
  <c r="Y71" i="25"/>
  <c r="Y77" i="25" s="1"/>
  <c r="Y83" i="25" s="1"/>
  <c r="Y89" i="25" s="1"/>
  <c r="Y206" i="25"/>
  <c r="Y212" i="25" s="1"/>
  <c r="Y218" i="25" s="1"/>
  <c r="Y224" i="25" s="1"/>
  <c r="Y73" i="25"/>
  <c r="Y79" i="25" s="1"/>
  <c r="Y85" i="25" s="1"/>
  <c r="Y91" i="25" s="1"/>
  <c r="Y66" i="18"/>
  <c r="Y72" i="18" s="1"/>
  <c r="Y78" i="18" s="1"/>
  <c r="Y84" i="18" s="1"/>
  <c r="Y7" i="25"/>
  <c r="Y13" i="25" s="1"/>
  <c r="Y19" i="25" s="1"/>
  <c r="Y25" i="25" s="1"/>
  <c r="Y104" i="25"/>
  <c r="Y110" i="25" s="1"/>
  <c r="Y116" i="25" s="1"/>
  <c r="Y122" i="25" s="1"/>
  <c r="Y107" i="25"/>
  <c r="Y113" i="25" s="1"/>
  <c r="Y119" i="25" s="1"/>
  <c r="Y125" i="25" s="1"/>
  <c r="Y175" i="25"/>
  <c r="Y181" i="25" s="1"/>
  <c r="Y187" i="25" s="1"/>
  <c r="Y193" i="25" s="1"/>
  <c r="Y62" i="18"/>
  <c r="Y68" i="18" s="1"/>
  <c r="Y74" i="18" s="1"/>
  <c r="Y80" i="18" s="1"/>
  <c r="Y102" i="18"/>
  <c r="Y108" i="18" s="1"/>
  <c r="Y114" i="18" s="1"/>
  <c r="Y120" i="18" s="1"/>
  <c r="Y138" i="25"/>
  <c r="Y144" i="25" s="1"/>
  <c r="Y150" i="25" s="1"/>
  <c r="Y156" i="25" s="1"/>
  <c r="Y172" i="25"/>
  <c r="Y178" i="25" s="1"/>
  <c r="Y184" i="25" s="1"/>
  <c r="Y190" i="25" s="1"/>
  <c r="Y203" i="25"/>
  <c r="Y209" i="25" s="1"/>
  <c r="Y215" i="25" s="1"/>
  <c r="Y221" i="25" s="1"/>
  <c r="Y174" i="25"/>
  <c r="Y180" i="25" s="1"/>
  <c r="Y186" i="25" s="1"/>
  <c r="Y192" i="25" s="1"/>
  <c r="Y25" i="18"/>
  <c r="Y32" i="18" s="1"/>
  <c r="Y40" i="18" s="1"/>
  <c r="Y93" i="18" s="1"/>
  <c r="Y141" i="25"/>
  <c r="Y147" i="25" s="1"/>
  <c r="Y153" i="25" s="1"/>
  <c r="Y159" i="25" s="1"/>
  <c r="Y136" i="18"/>
  <c r="Y142" i="18" s="1"/>
  <c r="Y148" i="18" s="1"/>
  <c r="Y154" i="18" s="1"/>
  <c r="Y41" i="25"/>
  <c r="Y47" i="25" s="1"/>
  <c r="Y53" i="25" s="1"/>
  <c r="Y59" i="25" s="1"/>
  <c r="Y16" i="18"/>
  <c r="Y18" i="18" s="1"/>
  <c r="Y74" i="25"/>
  <c r="Y80" i="25" s="1"/>
  <c r="Y86" i="25" s="1"/>
  <c r="Y92" i="25" s="1"/>
  <c r="Y39" i="25"/>
  <c r="Y45" i="25" s="1"/>
  <c r="Y51" i="25" s="1"/>
  <c r="Y57" i="25" s="1"/>
  <c r="Y137" i="18"/>
  <c r="Y143" i="18" s="1"/>
  <c r="Y149" i="18" s="1"/>
  <c r="Y155" i="18" s="1"/>
  <c r="Y64" i="18"/>
  <c r="Y70" i="18" s="1"/>
  <c r="Y76" i="18" s="1"/>
  <c r="Y82" i="18" s="1"/>
  <c r="Y134" i="18"/>
  <c r="Y140" i="18" s="1"/>
  <c r="Y146" i="18" s="1"/>
  <c r="Y152" i="18" s="1"/>
  <c r="Y135" i="18"/>
  <c r="Y141" i="18" s="1"/>
  <c r="Y147" i="18" s="1"/>
  <c r="Y153" i="18" s="1"/>
  <c r="AK111" i="59"/>
  <c r="AK16" i="59"/>
  <c r="G89" i="50"/>
  <c r="G93" i="50"/>
  <c r="G110" i="50"/>
  <c r="AM7" i="59"/>
  <c r="AM102" i="59"/>
  <c r="T27" i="59"/>
  <c r="T122" i="59"/>
  <c r="AL122" i="59"/>
  <c r="AL27" i="59"/>
  <c r="AK121" i="59"/>
  <c r="AK26" i="59"/>
  <c r="R21" i="50"/>
  <c r="R106" i="50"/>
  <c r="AA107" i="28"/>
  <c r="AA9" i="28"/>
  <c r="T114" i="28"/>
  <c r="T41" i="52"/>
  <c r="AB4" i="50"/>
  <c r="AB105" i="50"/>
  <c r="AB8" i="50"/>
  <c r="Z8" i="50"/>
  <c r="Z4" i="50"/>
  <c r="Z105" i="50"/>
  <c r="AJ14" i="28"/>
  <c r="AJ112" i="28"/>
  <c r="X109" i="50"/>
  <c r="X76" i="50"/>
  <c r="X72" i="50"/>
  <c r="AO26" i="3"/>
  <c r="AN115" i="28"/>
  <c r="AN17" i="28"/>
  <c r="AR7" i="1"/>
  <c r="E109" i="25"/>
  <c r="E115" i="25" s="1"/>
  <c r="E121" i="25" s="1"/>
  <c r="AR79" i="33"/>
  <c r="AR17" i="33" s="1"/>
  <c r="AR35" i="33" s="1"/>
  <c r="AR53" i="33" s="1"/>
  <c r="AF134" i="11"/>
  <c r="AM58" i="59"/>
  <c r="H134" i="11"/>
  <c r="Q79" i="33"/>
  <c r="Q17" i="33" s="1"/>
  <c r="Q35" i="33" s="1"/>
  <c r="Q53" i="33" s="1"/>
  <c r="T125" i="11"/>
  <c r="AC70" i="33"/>
  <c r="AC8" i="33" s="1"/>
  <c r="AC26" i="33" s="1"/>
  <c r="AC44" i="33" s="1"/>
  <c r="AO35" i="3"/>
  <c r="AD172" i="25"/>
  <c r="AD178" i="25" s="1"/>
  <c r="AD184" i="25" s="1"/>
  <c r="U93" i="18"/>
  <c r="AM7" i="3"/>
  <c r="E170" i="25"/>
  <c r="E176" i="25" s="1"/>
  <c r="E182" i="25" s="1"/>
  <c r="AG79" i="33"/>
  <c r="AG17" i="33" s="1"/>
  <c r="AG35" i="33" s="1"/>
  <c r="AG53" i="33" s="1"/>
  <c r="X134" i="11"/>
  <c r="R79" i="33"/>
  <c r="R17" i="33" s="1"/>
  <c r="R35" i="33" s="1"/>
  <c r="R53" i="33" s="1"/>
  <c r="I134" i="11"/>
  <c r="AR18" i="1"/>
  <c r="O109" i="25"/>
  <c r="O115" i="25" s="1"/>
  <c r="O121" i="25" s="1"/>
  <c r="AG134" i="11"/>
  <c r="AS79" i="33"/>
  <c r="AS17" i="33" s="1"/>
  <c r="AS35" i="33" s="1"/>
  <c r="AS53" i="33" s="1"/>
  <c r="Y25" i="32"/>
  <c r="Y11" i="34" s="1"/>
  <c r="Y6" i="32"/>
  <c r="Y7" i="32" s="1"/>
  <c r="Y9" i="34" s="1"/>
  <c r="Y15" i="32"/>
  <c r="Y16" i="32" s="1"/>
  <c r="Y10" i="34" s="1"/>
  <c r="O161" i="32"/>
  <c r="N18" i="34" s="1"/>
  <c r="N32" i="34" s="1"/>
  <c r="O151" i="32"/>
  <c r="O152" i="32" s="1"/>
  <c r="N17" i="34" s="1"/>
  <c r="N31" i="34" s="1"/>
  <c r="O142" i="32"/>
  <c r="O143" i="32" s="1"/>
  <c r="N16" i="34" s="1"/>
  <c r="N30" i="34" s="1"/>
  <c r="O24" i="5"/>
  <c r="P24" i="5"/>
  <c r="Y24" i="5" s="1"/>
  <c r="Z24" i="5" s="1"/>
  <c r="AC24" i="5" s="1"/>
  <c r="T15" i="18"/>
  <c r="T5" i="25" s="1"/>
  <c r="T11" i="25" s="1"/>
  <c r="T17" i="25" s="1"/>
  <c r="T23" i="25" s="1"/>
  <c r="T172" i="25"/>
  <c r="T178" i="25" s="1"/>
  <c r="T184" i="25" s="1"/>
  <c r="T190" i="25" s="1"/>
  <c r="T8" i="25"/>
  <c r="T14" i="25" s="1"/>
  <c r="T20" i="25" s="1"/>
  <c r="T26" i="25" s="1"/>
  <c r="T28" i="18"/>
  <c r="T35" i="18" s="1"/>
  <c r="T43" i="18" s="1"/>
  <c r="T63" i="18"/>
  <c r="T69" i="18" s="1"/>
  <c r="T75" i="18" s="1"/>
  <c r="T81" i="18" s="1"/>
  <c r="T75" i="25"/>
  <c r="T81" i="25" s="1"/>
  <c r="T87" i="25" s="1"/>
  <c r="T93" i="25" s="1"/>
  <c r="T74" i="25"/>
  <c r="T80" i="25" s="1"/>
  <c r="T86" i="25" s="1"/>
  <c r="T92" i="25" s="1"/>
  <c r="T67" i="18"/>
  <c r="T73" i="18" s="1"/>
  <c r="T79" i="18" s="1"/>
  <c r="T85" i="18" s="1"/>
  <c r="T171" i="25"/>
  <c r="T177" i="25" s="1"/>
  <c r="T183" i="25" s="1"/>
  <c r="T189" i="25" s="1"/>
  <c r="T106" i="25"/>
  <c r="T112" i="25" s="1"/>
  <c r="T118" i="25" s="1"/>
  <c r="T124" i="25" s="1"/>
  <c r="T139" i="18"/>
  <c r="T145" i="18" s="1"/>
  <c r="T151" i="18" s="1"/>
  <c r="T157" i="18" s="1"/>
  <c r="W43" i="32"/>
  <c r="T203" i="25"/>
  <c r="T209" i="25" s="1"/>
  <c r="T215" i="25" s="1"/>
  <c r="T221" i="25" s="1"/>
  <c r="T170" i="25"/>
  <c r="T176" i="25" s="1"/>
  <c r="T182" i="25" s="1"/>
  <c r="T188" i="25" s="1"/>
  <c r="T9" i="25"/>
  <c r="T15" i="25" s="1"/>
  <c r="T21" i="25" s="1"/>
  <c r="T27" i="25" s="1"/>
  <c r="T100" i="18"/>
  <c r="T106" i="18" s="1"/>
  <c r="T112" i="18" s="1"/>
  <c r="T118" i="18" s="1"/>
  <c r="T134" i="18"/>
  <c r="T140" i="18" s="1"/>
  <c r="T146" i="18" s="1"/>
  <c r="T152" i="18" s="1"/>
  <c r="T41" i="25"/>
  <c r="T47" i="25" s="1"/>
  <c r="T53" i="25" s="1"/>
  <c r="T59" i="25" s="1"/>
  <c r="T175" i="25"/>
  <c r="T181" i="25" s="1"/>
  <c r="T187" i="25" s="1"/>
  <c r="T193" i="25" s="1"/>
  <c r="T99" i="18"/>
  <c r="T105" i="18" s="1"/>
  <c r="T111" i="18" s="1"/>
  <c r="T117" i="18" s="1"/>
  <c r="T39" i="25"/>
  <c r="T45" i="25" s="1"/>
  <c r="T51" i="25" s="1"/>
  <c r="T57" i="25" s="1"/>
  <c r="T174" i="25"/>
  <c r="T180" i="25" s="1"/>
  <c r="T186" i="25" s="1"/>
  <c r="T192" i="25" s="1"/>
  <c r="T25" i="18"/>
  <c r="T32" i="18" s="1"/>
  <c r="T40" i="18" s="1"/>
  <c r="T142" i="25"/>
  <c r="T148" i="25" s="1"/>
  <c r="T154" i="25" s="1"/>
  <c r="T160" i="25" s="1"/>
  <c r="T40" i="25"/>
  <c r="T46" i="25" s="1"/>
  <c r="T52" i="25" s="1"/>
  <c r="T58" i="25" s="1"/>
  <c r="T102" i="18"/>
  <c r="T108" i="18" s="1"/>
  <c r="T114" i="18" s="1"/>
  <c r="T120" i="18" s="1"/>
  <c r="T31" i="18"/>
  <c r="T38" i="18" s="1"/>
  <c r="T39" i="18" s="1"/>
  <c r="T140" i="25"/>
  <c r="T146" i="25" s="1"/>
  <c r="T152" i="25" s="1"/>
  <c r="T158" i="25" s="1"/>
  <c r="T138" i="18"/>
  <c r="T144" i="18" s="1"/>
  <c r="T150" i="18" s="1"/>
  <c r="T156" i="18" s="1"/>
  <c r="T62" i="18"/>
  <c r="T68" i="18" s="1"/>
  <c r="T74" i="18" s="1"/>
  <c r="T80" i="18" s="1"/>
  <c r="T128" i="18"/>
  <c r="T130" i="18" s="1"/>
  <c r="T27" i="18"/>
  <c r="T34" i="18" s="1"/>
  <c r="T42" i="18" s="1"/>
  <c r="T26" i="18"/>
  <c r="T33" i="18" s="1"/>
  <c r="T41" i="18" s="1"/>
  <c r="T103" i="18"/>
  <c r="T109" i="18" s="1"/>
  <c r="T115" i="18" s="1"/>
  <c r="T121" i="18" s="1"/>
  <c r="T137" i="18"/>
  <c r="T143" i="18" s="1"/>
  <c r="T149" i="18" s="1"/>
  <c r="T155" i="18" s="1"/>
  <c r="T108" i="25"/>
  <c r="T114" i="25" s="1"/>
  <c r="T120" i="25" s="1"/>
  <c r="T126" i="25" s="1"/>
  <c r="T135" i="18"/>
  <c r="T141" i="18" s="1"/>
  <c r="T147" i="18" s="1"/>
  <c r="T153" i="18" s="1"/>
  <c r="T104" i="25"/>
  <c r="T110" i="25" s="1"/>
  <c r="T116" i="25" s="1"/>
  <c r="T122" i="25" s="1"/>
  <c r="T10" i="25"/>
  <c r="T16" i="25" s="1"/>
  <c r="T22" i="25" s="1"/>
  <c r="T28" i="25" s="1"/>
  <c r="AG129" i="18"/>
  <c r="O156" i="25"/>
  <c r="O162" i="25" s="1"/>
  <c r="R46" i="32"/>
  <c r="AC5" i="18"/>
  <c r="AC17" i="18"/>
  <c r="AC11" i="18"/>
  <c r="AC14" i="18"/>
  <c r="Y79" i="20"/>
  <c r="Y85" i="20" s="1"/>
  <c r="Y91" i="20" s="1"/>
  <c r="Y218" i="27"/>
  <c r="AV70" i="33"/>
  <c r="AV8" i="33" s="1"/>
  <c r="AV26" i="33" s="1"/>
  <c r="AV44" i="33" s="1"/>
  <c r="AI125" i="11"/>
  <c r="H219" i="27"/>
  <c r="H225" i="27" s="1"/>
  <c r="AK25" i="32"/>
  <c r="AN11" i="34" s="1"/>
  <c r="AK6" i="32"/>
  <c r="AK7" i="32" s="1"/>
  <c r="AN9" i="34" s="1"/>
  <c r="AK15" i="32"/>
  <c r="AK16" i="32" s="1"/>
  <c r="AN10" i="34" s="1"/>
  <c r="L62" i="32"/>
  <c r="I16" i="18"/>
  <c r="I18" i="18" s="1"/>
  <c r="I164" i="18"/>
  <c r="I166" i="18" s="1"/>
  <c r="I165" i="18" s="1"/>
  <c r="AN99" i="20"/>
  <c r="AN105" i="20" s="1"/>
  <c r="AN111" i="20" s="1"/>
  <c r="AN117" i="20" s="1"/>
  <c r="AN17" i="20"/>
  <c r="AN146" i="20" s="1"/>
  <c r="AN152" i="20" s="1"/>
  <c r="Z139" i="11"/>
  <c r="AJ84" i="33"/>
  <c r="AJ22" i="33" s="1"/>
  <c r="AJ40" i="33" s="1"/>
  <c r="AJ58" i="33" s="1"/>
  <c r="AM193" i="32"/>
  <c r="AM183" i="32"/>
  <c r="AJ84" i="52"/>
  <c r="AM146" i="32"/>
  <c r="AM155" i="32"/>
  <c r="AM164" i="32"/>
  <c r="AJ50" i="20"/>
  <c r="AM174" i="32"/>
  <c r="AM202" i="32"/>
  <c r="AH127" i="18"/>
  <c r="AK115" i="28"/>
  <c r="AK17" i="28"/>
  <c r="H20" i="52"/>
  <c r="K107" i="11"/>
  <c r="H141" i="28"/>
  <c r="AC77" i="28"/>
  <c r="AC32" i="28"/>
  <c r="Q20" i="52"/>
  <c r="T107" i="11"/>
  <c r="Q141" i="28"/>
  <c r="R19" i="32"/>
  <c r="AD19" i="32"/>
  <c r="AC33" i="5"/>
  <c r="AQ33" i="5"/>
  <c r="AI109" i="27"/>
  <c r="AI115" i="27" s="1"/>
  <c r="AI121" i="27" s="1"/>
  <c r="AI127" i="27" s="1"/>
  <c r="Z18" i="5"/>
  <c r="AC18" i="5" s="1"/>
  <c r="AV18" i="5"/>
  <c r="O17" i="52" s="1"/>
  <c r="AK18" i="5"/>
  <c r="O4" i="19" s="1"/>
  <c r="AB18" i="5"/>
  <c r="AQ18" i="5"/>
  <c r="AA84" i="33"/>
  <c r="AA22" i="33" s="1"/>
  <c r="AA40" i="33" s="1"/>
  <c r="AA58" i="33" s="1"/>
  <c r="Q139" i="11"/>
  <c r="I83" i="32"/>
  <c r="I84" i="32" s="1"/>
  <c r="H24" i="34" s="1"/>
  <c r="H38" i="34" s="1"/>
  <c r="I93" i="32"/>
  <c r="H25" i="34" s="1"/>
  <c r="H39" i="34" s="1"/>
  <c r="I74" i="32"/>
  <c r="I75" i="32" s="1"/>
  <c r="H23" i="34" s="1"/>
  <c r="H37" i="34" s="1"/>
  <c r="AE129" i="11"/>
  <c r="AQ74" i="33"/>
  <c r="AQ12" i="33" s="1"/>
  <c r="AQ30" i="33" s="1"/>
  <c r="AQ48" i="33" s="1"/>
  <c r="T32" i="19"/>
  <c r="T39" i="19" s="1"/>
  <c r="T40" i="19" s="1"/>
  <c r="T173" i="26"/>
  <c r="T179" i="26" s="1"/>
  <c r="AC10" i="5"/>
  <c r="AQ10" i="5"/>
  <c r="AR10" i="5" s="1"/>
  <c r="F76" i="27"/>
  <c r="F82" i="27" s="1"/>
  <c r="F88" i="27" s="1"/>
  <c r="F94" i="27" s="1"/>
  <c r="F67" i="20"/>
  <c r="F73" i="20" s="1"/>
  <c r="F79" i="20" s="1"/>
  <c r="F85" i="20" s="1"/>
  <c r="F64" i="20"/>
  <c r="F70" i="20" s="1"/>
  <c r="F76" i="20" s="1"/>
  <c r="F82" i="20" s="1"/>
  <c r="AJ24" i="41"/>
  <c r="AJ8" i="41"/>
  <c r="AJ23" i="41" s="1"/>
  <c r="AN72" i="50"/>
  <c r="AN109" i="50"/>
  <c r="AI37" i="41"/>
  <c r="AI36" i="41"/>
  <c r="AI41" i="41"/>
  <c r="AI39" i="41"/>
  <c r="AI40" i="41"/>
  <c r="AI42" i="41"/>
  <c r="AI35" i="41"/>
  <c r="AI38" i="41"/>
  <c r="AP89" i="50"/>
  <c r="AP110" i="50"/>
  <c r="AM105" i="28"/>
  <c r="AM7" i="28"/>
  <c r="AD34" i="32"/>
  <c r="AD35" i="32" s="1"/>
  <c r="AF13" i="34" s="1"/>
  <c r="AD44" i="32"/>
  <c r="AF12" i="34" s="1"/>
  <c r="AI87" i="52"/>
  <c r="AL167" i="32"/>
  <c r="AI53" i="20"/>
  <c r="AL186" i="32"/>
  <c r="AL158" i="32"/>
  <c r="AL149" i="32"/>
  <c r="AL205" i="32"/>
  <c r="AL177" i="32"/>
  <c r="AL196" i="32"/>
  <c r="AJ4" i="50"/>
  <c r="AJ105" i="50"/>
  <c r="AJ8" i="50"/>
  <c r="AI14" i="11"/>
  <c r="AL14" i="11" s="1"/>
  <c r="O122" i="11"/>
  <c r="X67" i="33"/>
  <c r="X5" i="33" s="1"/>
  <c r="X23" i="33" s="1"/>
  <c r="X41" i="33" s="1"/>
  <c r="AB15" i="32"/>
  <c r="AB16" i="32" s="1"/>
  <c r="AD10" i="34" s="1"/>
  <c r="AB25" i="32"/>
  <c r="AD11" i="34" s="1"/>
  <c r="AB6" i="32"/>
  <c r="AB7" i="32" s="1"/>
  <c r="AD9" i="34" s="1"/>
  <c r="G26" i="59"/>
  <c r="G121" i="59"/>
  <c r="AL106" i="59"/>
  <c r="AL73" i="59"/>
  <c r="AL10" i="59" s="1"/>
  <c r="AL11" i="59"/>
  <c r="G84" i="59"/>
  <c r="G21" i="59" s="1"/>
  <c r="AN56" i="59"/>
  <c r="AA111" i="59"/>
  <c r="AA16" i="59"/>
  <c r="T109" i="50"/>
  <c r="T72" i="50"/>
  <c r="T76" i="50"/>
  <c r="A141" i="53"/>
  <c r="R97" i="53"/>
  <c r="R102" i="53" s="1"/>
  <c r="P97" i="53"/>
  <c r="P102" i="53" s="1"/>
  <c r="AD97" i="53"/>
  <c r="AD102" i="53" s="1"/>
  <c r="N97" i="53"/>
  <c r="N102" i="53" s="1"/>
  <c r="T97" i="53"/>
  <c r="T102" i="53" s="1"/>
  <c r="AA97" i="53"/>
  <c r="AA102" i="53" s="1"/>
  <c r="S97" i="53"/>
  <c r="S102" i="53" s="1"/>
  <c r="AB97" i="53"/>
  <c r="AB102" i="53" s="1"/>
  <c r="AG97" i="53"/>
  <c r="AG102" i="53" s="1"/>
  <c r="M97" i="53"/>
  <c r="M102" i="53" s="1"/>
  <c r="U97" i="53"/>
  <c r="U102" i="53" s="1"/>
  <c r="X97" i="53"/>
  <c r="X102" i="53" s="1"/>
  <c r="Q97" i="53"/>
  <c r="Q102" i="53" s="1"/>
  <c r="Z97" i="53"/>
  <c r="Z102" i="53" s="1"/>
  <c r="K97" i="53"/>
  <c r="K102" i="53" s="1"/>
  <c r="H97" i="53"/>
  <c r="H102" i="53" s="1"/>
  <c r="AI97" i="53"/>
  <c r="AI102" i="53" s="1"/>
  <c r="AF97" i="53"/>
  <c r="AF102" i="53" s="1"/>
  <c r="AE97" i="53"/>
  <c r="AE102" i="53" s="1"/>
  <c r="AJ97" i="53"/>
  <c r="AJ102" i="53" s="1"/>
  <c r="W97" i="53"/>
  <c r="W102" i="53" s="1"/>
  <c r="O97" i="53"/>
  <c r="O102" i="53" s="1"/>
  <c r="L97" i="53"/>
  <c r="L102" i="53" s="1"/>
  <c r="G97" i="53"/>
  <c r="G102" i="53" s="1"/>
  <c r="Y97" i="53"/>
  <c r="Y102" i="53" s="1"/>
  <c r="AH97" i="53"/>
  <c r="AH102" i="53" s="1"/>
  <c r="F97" i="53"/>
  <c r="F102" i="53" s="1"/>
  <c r="AL97" i="53"/>
  <c r="AL102" i="53" s="1"/>
  <c r="AC97" i="53"/>
  <c r="AC102" i="53" s="1"/>
  <c r="AK97" i="53"/>
  <c r="AK102" i="53" s="1"/>
  <c r="V97" i="53"/>
  <c r="V102" i="53" s="1"/>
  <c r="AM97" i="53"/>
  <c r="AM102" i="53" s="1"/>
  <c r="AP97" i="53"/>
  <c r="AP102" i="53" s="1"/>
  <c r="AN97" i="53"/>
  <c r="AN102" i="53" s="1"/>
  <c r="I97" i="53"/>
  <c r="I102" i="53" s="1"/>
  <c r="AO97" i="53"/>
  <c r="AO102" i="53" s="1"/>
  <c r="R76" i="50"/>
  <c r="AK76" i="50" s="1"/>
  <c r="AL76" i="50" s="1"/>
  <c r="AM76" i="50" s="1"/>
  <c r="AN76" i="50" s="1"/>
  <c r="AO76" i="50" s="1"/>
  <c r="AP76" i="50" s="1"/>
  <c r="R72" i="50"/>
  <c r="R109" i="50"/>
  <c r="P59" i="50"/>
  <c r="P108" i="50"/>
  <c r="P55" i="50"/>
  <c r="M123" i="53"/>
  <c r="M93" i="53"/>
  <c r="AB110" i="50"/>
  <c r="AB89" i="50"/>
  <c r="Z55" i="50"/>
  <c r="Z108" i="50"/>
  <c r="AJ16" i="28"/>
  <c r="AJ114" i="28"/>
  <c r="X42" i="50"/>
  <c r="X107" i="50"/>
  <c r="X38" i="50"/>
  <c r="AL26" i="28"/>
  <c r="AL124" i="28"/>
  <c r="AQ7" i="1"/>
  <c r="E108" i="25"/>
  <c r="E114" i="25" s="1"/>
  <c r="E120" i="25" s="1"/>
  <c r="T128" i="11"/>
  <c r="AC73" i="33"/>
  <c r="AC11" i="33" s="1"/>
  <c r="AC29" i="33" s="1"/>
  <c r="AC47" i="33" s="1"/>
  <c r="X25" i="32"/>
  <c r="W11" i="34" s="1"/>
  <c r="X15" i="32"/>
  <c r="X16" i="32" s="1"/>
  <c r="W10" i="34" s="1"/>
  <c r="X6" i="32"/>
  <c r="X7" i="32" s="1"/>
  <c r="W9" i="34" s="1"/>
  <c r="AR7" i="3"/>
  <c r="E175" i="25"/>
  <c r="E181" i="25" s="1"/>
  <c r="E187" i="25" s="1"/>
  <c r="I122" i="11"/>
  <c r="AI8" i="11"/>
  <c r="AL8" i="11" s="1"/>
  <c r="R67" i="33"/>
  <c r="R5" i="33" s="1"/>
  <c r="R23" i="33" s="1"/>
  <c r="R41" i="33" s="1"/>
  <c r="O106" i="25"/>
  <c r="O112" i="25" s="1"/>
  <c r="O118" i="25" s="1"/>
  <c r="AO18" i="1"/>
  <c r="AN58" i="59"/>
  <c r="AD24" i="11"/>
  <c r="T12" i="18"/>
  <c r="T29" i="18" s="1"/>
  <c r="T36" i="18" s="1"/>
  <c r="T44" i="18" s="1"/>
  <c r="T22" i="18"/>
  <c r="Y103" i="20"/>
  <c r="Y109" i="20" s="1"/>
  <c r="Y115" i="20" s="1"/>
  <c r="Y121" i="20" s="1"/>
  <c r="Y127" i="20" s="1"/>
  <c r="Y63" i="20"/>
  <c r="Y69" i="20" s="1"/>
  <c r="Y75" i="20" s="1"/>
  <c r="Y81" i="20" s="1"/>
  <c r="AV67" i="33"/>
  <c r="AV5" i="33" s="1"/>
  <c r="AV23" i="33" s="1"/>
  <c r="AV41" i="33" s="1"/>
  <c r="AI38" i="11"/>
  <c r="AL38" i="11" s="1"/>
  <c r="AI122" i="11"/>
  <c r="X17" i="18"/>
  <c r="X14" i="18"/>
  <c r="X11" i="18"/>
  <c r="X5" i="18"/>
  <c r="G22" i="18"/>
  <c r="G12" i="18"/>
  <c r="G73" i="25" s="1"/>
  <c r="G79" i="25" s="1"/>
  <c r="G85" i="25" s="1"/>
  <c r="G91" i="25" s="1"/>
  <c r="Q22" i="18"/>
  <c r="Q12" i="18"/>
  <c r="AA90" i="25"/>
  <c r="AA96" i="25" s="1"/>
  <c r="AD27" i="32"/>
  <c r="T15" i="20"/>
  <c r="T12" i="20"/>
  <c r="T6" i="20"/>
  <c r="T18" i="20"/>
  <c r="AN26" i="20"/>
  <c r="AN33" i="20" s="1"/>
  <c r="AN138" i="20"/>
  <c r="AN144" i="20" s="1"/>
  <c r="AN39" i="27"/>
  <c r="AN45" i="27" s="1"/>
  <c r="Z133" i="11"/>
  <c r="AJ78" i="33"/>
  <c r="AJ16" i="33" s="1"/>
  <c r="AJ34" i="33" s="1"/>
  <c r="AJ52" i="33" s="1"/>
  <c r="F207" i="25"/>
  <c r="F213" i="25" s="1"/>
  <c r="F219" i="25" s="1"/>
  <c r="F225" i="25" s="1"/>
  <c r="F171" i="25"/>
  <c r="F177" i="25" s="1"/>
  <c r="F183" i="25" s="1"/>
  <c r="F189" i="25" s="1"/>
  <c r="T57" i="59"/>
  <c r="AD142" i="28"/>
  <c r="AD45" i="52" s="1"/>
  <c r="X77" i="28"/>
  <c r="X97" i="28" s="1"/>
  <c r="X32" i="28"/>
  <c r="X148" i="28"/>
  <c r="AA229" i="25"/>
  <c r="AA130" i="25"/>
  <c r="AA196" i="25"/>
  <c r="AA163" i="25"/>
  <c r="AA31" i="25"/>
  <c r="AA64" i="25"/>
  <c r="AA97" i="25"/>
  <c r="AA160" i="18"/>
  <c r="AK33" i="5"/>
  <c r="Q127" i="11"/>
  <c r="AA72" i="33"/>
  <c r="AA10" i="33" s="1"/>
  <c r="AA28" i="33" s="1"/>
  <c r="AA46" i="33" s="1"/>
  <c r="AE135" i="11"/>
  <c r="AQ80" i="33"/>
  <c r="AQ18" i="33" s="1"/>
  <c r="AQ36" i="33" s="1"/>
  <c r="AQ54" i="33" s="1"/>
  <c r="T109" i="26"/>
  <c r="T115" i="26" s="1"/>
  <c r="T142" i="26"/>
  <c r="T148" i="26" s="1"/>
  <c r="AV10" i="5"/>
  <c r="H17" i="52" s="1"/>
  <c r="F74" i="27"/>
  <c r="F80" i="27" s="1"/>
  <c r="F86" i="27" s="1"/>
  <c r="F92" i="27" s="1"/>
  <c r="F108" i="27"/>
  <c r="F114" i="27" s="1"/>
  <c r="F120" i="27" s="1"/>
  <c r="F126" i="27" s="1"/>
  <c r="AA8" i="41"/>
  <c r="AA23" i="41" s="1"/>
  <c r="AA24" i="41"/>
  <c r="AP72" i="50"/>
  <c r="AP109" i="50"/>
  <c r="AD141" i="11" l="1"/>
  <c r="H143" i="11"/>
  <c r="O141" i="11"/>
  <c r="Y141" i="11"/>
  <c r="AK141" i="11"/>
  <c r="AG142" i="11"/>
  <c r="T24" i="11"/>
  <c r="Z24" i="11"/>
  <c r="AC24" i="11"/>
  <c r="W24" i="11"/>
  <c r="AF24" i="11"/>
  <c r="Q24" i="11"/>
  <c r="R4" i="19"/>
  <c r="AV20" i="5"/>
  <c r="R17" i="52" s="1"/>
  <c r="I10" i="32"/>
  <c r="F72" i="52"/>
  <c r="I47" i="32"/>
  <c r="I66" i="32"/>
  <c r="F49" i="18"/>
  <c r="T74" i="52"/>
  <c r="W59" i="32"/>
  <c r="W30" i="32"/>
  <c r="W12" i="32"/>
  <c r="T51" i="18"/>
  <c r="T162" i="18" s="1"/>
  <c r="W40" i="32"/>
  <c r="K204" i="32"/>
  <c r="K195" i="32"/>
  <c r="H86" i="52"/>
  <c r="K148" i="32"/>
  <c r="K166" i="32"/>
  <c r="H52" i="20"/>
  <c r="K157" i="32"/>
  <c r="K185" i="32"/>
  <c r="AN182" i="59"/>
  <c r="AN59" i="59"/>
  <c r="E8" i="20"/>
  <c r="E7" i="20"/>
  <c r="X126" i="11"/>
  <c r="AG71" i="33"/>
  <c r="AG9" i="33" s="1"/>
  <c r="AG27" i="33" s="1"/>
  <c r="AG45" i="33" s="1"/>
  <c r="G57" i="59"/>
  <c r="G137" i="18"/>
  <c r="G143" i="18" s="1"/>
  <c r="G149" i="18" s="1"/>
  <c r="G155" i="18" s="1"/>
  <c r="AG16" i="20"/>
  <c r="AJ179" i="32"/>
  <c r="AG128" i="20"/>
  <c r="AG130" i="20" s="1"/>
  <c r="T62" i="32"/>
  <c r="Q16" i="18"/>
  <c r="Q18" i="18" s="1"/>
  <c r="Q164" i="18"/>
  <c r="Q166" i="18" s="1"/>
  <c r="AA48" i="59"/>
  <c r="T59" i="59"/>
  <c r="AN74" i="20"/>
  <c r="AN80" i="20" s="1"/>
  <c r="AG160" i="32"/>
  <c r="AD92" i="20"/>
  <c r="AD94" i="20" s="1"/>
  <c r="H19" i="20"/>
  <c r="H85" i="27"/>
  <c r="H91" i="27" s="1"/>
  <c r="H154" i="27"/>
  <c r="H160" i="27" s="1"/>
  <c r="AE129" i="18"/>
  <c r="AA7" i="19"/>
  <c r="AA8" i="19"/>
  <c r="AA5" i="19"/>
  <c r="AJ174" i="59"/>
  <c r="AJ51" i="59"/>
  <c r="Q29" i="5"/>
  <c r="O29" i="5"/>
  <c r="P29" i="5"/>
  <c r="Y29" i="5" s="1"/>
  <c r="Z29" i="5" s="1"/>
  <c r="AC29" i="5" s="1"/>
  <c r="X113" i="20"/>
  <c r="X119" i="20" s="1"/>
  <c r="X43" i="20"/>
  <c r="X217" i="27"/>
  <c r="X223" i="27" s="1"/>
  <c r="Y231" i="27"/>
  <c r="Y165" i="27"/>
  <c r="Y132" i="27"/>
  <c r="Y99" i="27"/>
  <c r="Y66" i="27"/>
  <c r="Y33" i="27"/>
  <c r="X132" i="11"/>
  <c r="AG77" i="33"/>
  <c r="AG15" i="33" s="1"/>
  <c r="AG33" i="33" s="1"/>
  <c r="AG51" i="33" s="1"/>
  <c r="A147" i="53"/>
  <c r="U103" i="53"/>
  <c r="J103" i="53"/>
  <c r="AB103" i="53"/>
  <c r="AA103" i="53"/>
  <c r="H103" i="53"/>
  <c r="F103" i="53"/>
  <c r="AI103" i="53"/>
  <c r="AG103" i="53"/>
  <c r="M103" i="53"/>
  <c r="AD103" i="53"/>
  <c r="R103" i="53"/>
  <c r="AM103" i="53"/>
  <c r="P103" i="53"/>
  <c r="Y103" i="53"/>
  <c r="AE103" i="53"/>
  <c r="K103" i="53"/>
  <c r="S103" i="53"/>
  <c r="AJ103" i="53"/>
  <c r="AK103" i="53"/>
  <c r="AL103" i="53"/>
  <c r="AF103" i="53"/>
  <c r="Q103" i="53"/>
  <c r="X103" i="53"/>
  <c r="I103" i="53"/>
  <c r="N103" i="53"/>
  <c r="AH103" i="53"/>
  <c r="T103" i="53"/>
  <c r="AP103" i="53"/>
  <c r="Z103" i="53"/>
  <c r="O103" i="53"/>
  <c r="AN103" i="53"/>
  <c r="AO103" i="53"/>
  <c r="L103" i="53"/>
  <c r="W103" i="53"/>
  <c r="AC103" i="53"/>
  <c r="V103" i="53"/>
  <c r="G103" i="53"/>
  <c r="E190" i="25"/>
  <c r="E196" i="25" s="1"/>
  <c r="H57" i="32"/>
  <c r="AE23" i="20"/>
  <c r="AE13" i="20"/>
  <c r="AH198" i="32" s="1"/>
  <c r="AF73" i="27"/>
  <c r="AF79" i="27" s="1"/>
  <c r="AF85" i="27" s="1"/>
  <c r="AF91" i="27" s="1"/>
  <c r="G142" i="25"/>
  <c r="G148" i="25" s="1"/>
  <c r="G154" i="25" s="1"/>
  <c r="G160" i="25" s="1"/>
  <c r="AI199" i="27"/>
  <c r="AI166" i="27"/>
  <c r="AI67" i="27"/>
  <c r="AI232" i="27"/>
  <c r="AI133" i="27"/>
  <c r="AI100" i="27"/>
  <c r="AI34" i="27"/>
  <c r="L63" i="32"/>
  <c r="K14" i="34" s="1"/>
  <c r="L53" i="32"/>
  <c r="L54" i="32" s="1"/>
  <c r="K15" i="34" s="1"/>
  <c r="Y72" i="52"/>
  <c r="AB19" i="32"/>
  <c r="Y49" i="18"/>
  <c r="AB47" i="32"/>
  <c r="AB28" i="32"/>
  <c r="AB38" i="32"/>
  <c r="AB66" i="32"/>
  <c r="AB57" i="32"/>
  <c r="AB10" i="32"/>
  <c r="U57" i="32"/>
  <c r="R72" i="52"/>
  <c r="U47" i="32"/>
  <c r="U10" i="32"/>
  <c r="R49" i="18"/>
  <c r="U28" i="32"/>
  <c r="U66" i="32"/>
  <c r="U21" i="32"/>
  <c r="U49" i="32"/>
  <c r="U30" i="32"/>
  <c r="R74" i="52"/>
  <c r="U68" i="32"/>
  <c r="U40" i="32"/>
  <c r="U59" i="32"/>
  <c r="R51" i="18"/>
  <c r="Q66" i="18"/>
  <c r="Q72" i="18" s="1"/>
  <c r="Q78" i="18" s="1"/>
  <c r="Q84" i="18" s="1"/>
  <c r="Q142" i="25"/>
  <c r="Q148" i="25" s="1"/>
  <c r="Q154" i="25" s="1"/>
  <c r="I141" i="11"/>
  <c r="T65" i="18"/>
  <c r="T71" i="18" s="1"/>
  <c r="T77" i="18" s="1"/>
  <c r="T83" i="18" s="1"/>
  <c r="T208" i="25"/>
  <c r="T214" i="25" s="1"/>
  <c r="T220" i="25" s="1"/>
  <c r="T226" i="25" s="1"/>
  <c r="T64" i="18"/>
  <c r="T70" i="18" s="1"/>
  <c r="T76" i="18" s="1"/>
  <c r="T82" i="18" s="1"/>
  <c r="AN50" i="28"/>
  <c r="R31" i="18"/>
  <c r="R38" i="18" s="1"/>
  <c r="R39" i="18" s="1"/>
  <c r="R208" i="25"/>
  <c r="R214" i="25" s="1"/>
  <c r="R220" i="25" s="1"/>
  <c r="R226" i="25" s="1"/>
  <c r="R71" i="25"/>
  <c r="R77" i="25" s="1"/>
  <c r="R83" i="25" s="1"/>
  <c r="R89" i="25" s="1"/>
  <c r="R206" i="25"/>
  <c r="R212" i="25" s="1"/>
  <c r="R218" i="25" s="1"/>
  <c r="R224" i="25" s="1"/>
  <c r="R136" i="18"/>
  <c r="R142" i="18" s="1"/>
  <c r="R148" i="18" s="1"/>
  <c r="R154" i="18" s="1"/>
  <c r="R160" i="18" s="1"/>
  <c r="R5" i="25"/>
  <c r="R11" i="25" s="1"/>
  <c r="R17" i="25" s="1"/>
  <c r="R23" i="25" s="1"/>
  <c r="R39" i="25"/>
  <c r="R45" i="25" s="1"/>
  <c r="R51" i="25" s="1"/>
  <c r="R57" i="25" s="1"/>
  <c r="R9" i="25"/>
  <c r="R15" i="25" s="1"/>
  <c r="R21" i="25" s="1"/>
  <c r="R27" i="25" s="1"/>
  <c r="R8" i="25"/>
  <c r="R14" i="25" s="1"/>
  <c r="R20" i="25" s="1"/>
  <c r="R26" i="25" s="1"/>
  <c r="R172" i="25"/>
  <c r="R178" i="25" s="1"/>
  <c r="R184" i="25" s="1"/>
  <c r="R190" i="25" s="1"/>
  <c r="R100" i="18"/>
  <c r="R106" i="18" s="1"/>
  <c r="R112" i="18" s="1"/>
  <c r="R118" i="18" s="1"/>
  <c r="R124" i="18" s="1"/>
  <c r="R25" i="18"/>
  <c r="R32" i="18" s="1"/>
  <c r="R40" i="18" s="1"/>
  <c r="R106" i="25"/>
  <c r="R112" i="25" s="1"/>
  <c r="R118" i="25" s="1"/>
  <c r="R124" i="25" s="1"/>
  <c r="R40" i="25"/>
  <c r="R46" i="25" s="1"/>
  <c r="R52" i="25" s="1"/>
  <c r="Q8" i="25"/>
  <c r="Q14" i="25" s="1"/>
  <c r="Q20" i="25" s="1"/>
  <c r="Q26" i="25" s="1"/>
  <c r="Q25" i="18"/>
  <c r="Q32" i="18" s="1"/>
  <c r="Q40" i="18" s="1"/>
  <c r="AN117" i="27"/>
  <c r="AN123" i="27" s="1"/>
  <c r="H78" i="20"/>
  <c r="H84" i="20" s="1"/>
  <c r="H220" i="27"/>
  <c r="H226" i="27" s="1"/>
  <c r="AH10" i="32"/>
  <c r="AE49" i="18"/>
  <c r="AH47" i="32"/>
  <c r="AH57" i="32"/>
  <c r="AH28" i="32"/>
  <c r="AH38" i="32"/>
  <c r="AE72" i="52"/>
  <c r="AH19" i="32"/>
  <c r="AE16" i="18"/>
  <c r="AE18" i="18" s="1"/>
  <c r="AE75" i="25"/>
  <c r="AE81" i="25" s="1"/>
  <c r="AE87" i="25" s="1"/>
  <c r="AE93" i="25" s="1"/>
  <c r="AE205" i="25"/>
  <c r="AE211" i="25" s="1"/>
  <c r="AE217" i="25" s="1"/>
  <c r="AE223" i="25" s="1"/>
  <c r="AE203" i="25"/>
  <c r="AE209" i="25" s="1"/>
  <c r="AE215" i="25" s="1"/>
  <c r="AE221" i="25" s="1"/>
  <c r="AE104" i="25"/>
  <c r="AE110" i="25" s="1"/>
  <c r="AE116" i="25" s="1"/>
  <c r="AE122" i="25" s="1"/>
  <c r="AE42" i="25"/>
  <c r="AE48" i="25" s="1"/>
  <c r="AE54" i="25" s="1"/>
  <c r="AE60" i="25" s="1"/>
  <c r="AE74" i="25"/>
  <c r="AE80" i="25" s="1"/>
  <c r="AE86" i="25" s="1"/>
  <c r="AE92" i="25" s="1"/>
  <c r="AE41" i="25"/>
  <c r="AE47" i="25" s="1"/>
  <c r="AE53" i="25" s="1"/>
  <c r="AE59" i="25" s="1"/>
  <c r="AE5" i="25"/>
  <c r="AE11" i="25" s="1"/>
  <c r="AE17" i="25" s="1"/>
  <c r="AE23" i="25" s="1"/>
  <c r="AE107" i="25"/>
  <c r="AE113" i="25" s="1"/>
  <c r="AE119" i="25" s="1"/>
  <c r="AE125" i="25" s="1"/>
  <c r="AE204" i="25"/>
  <c r="AE210" i="25" s="1"/>
  <c r="AE216" i="25" s="1"/>
  <c r="AE222" i="25" s="1"/>
  <c r="AE141" i="25"/>
  <c r="AE147" i="25" s="1"/>
  <c r="AE153" i="25" s="1"/>
  <c r="AE136" i="18"/>
  <c r="AE142" i="18" s="1"/>
  <c r="AE148" i="18" s="1"/>
  <c r="AE154" i="18" s="1"/>
  <c r="AE160" i="18" s="1"/>
  <c r="AE67" i="18"/>
  <c r="AE73" i="18" s="1"/>
  <c r="AE79" i="18" s="1"/>
  <c r="AE85" i="18" s="1"/>
  <c r="AE134" i="18"/>
  <c r="AE140" i="18" s="1"/>
  <c r="AE146" i="18" s="1"/>
  <c r="AE152" i="18" s="1"/>
  <c r="Q32" i="11"/>
  <c r="W32" i="11"/>
  <c r="T32" i="11"/>
  <c r="Z32" i="11"/>
  <c r="AF32" i="11"/>
  <c r="AC32" i="11"/>
  <c r="N29" i="5"/>
  <c r="R29" i="5" s="1"/>
  <c r="AX29" i="5"/>
  <c r="AA29" i="5" s="1"/>
  <c r="X146" i="20"/>
  <c r="X152" i="20" s="1"/>
  <c r="X115" i="20"/>
  <c r="X121" i="20" s="1"/>
  <c r="X152" i="27"/>
  <c r="X158" i="27" s="1"/>
  <c r="AG83" i="33"/>
  <c r="AG21" i="33" s="1"/>
  <c r="AG39" i="33" s="1"/>
  <c r="AG57" i="33" s="1"/>
  <c r="X138" i="11"/>
  <c r="Y92" i="27"/>
  <c r="AB165" i="32"/>
  <c r="AD124" i="25"/>
  <c r="AG38" i="32"/>
  <c r="AB186" i="32"/>
  <c r="AL22" i="18"/>
  <c r="AL12" i="18"/>
  <c r="AL137" i="25" s="1"/>
  <c r="AL143" i="25" s="1"/>
  <c r="AL149" i="25" s="1"/>
  <c r="AL155" i="25" s="1"/>
  <c r="AJ160" i="59"/>
  <c r="AJ37" i="59"/>
  <c r="AJ99" i="59"/>
  <c r="AJ36" i="59" s="1"/>
  <c r="AM129" i="25"/>
  <c r="AM96" i="25"/>
  <c r="AM30" i="25"/>
  <c r="AM63" i="25"/>
  <c r="AM162" i="25"/>
  <c r="AM228" i="25"/>
  <c r="AM195" i="25"/>
  <c r="AM87" i="18"/>
  <c r="E222" i="25"/>
  <c r="E228" i="25" s="1"/>
  <c r="H65" i="32"/>
  <c r="Z75" i="52"/>
  <c r="AC13" i="32"/>
  <c r="Z52" i="18"/>
  <c r="AC69" i="32"/>
  <c r="J72" i="52"/>
  <c r="J49" i="18"/>
  <c r="AJ142" i="11"/>
  <c r="AL69" i="28"/>
  <c r="AL5" i="28"/>
  <c r="AL103" i="28"/>
  <c r="AI91" i="20"/>
  <c r="AI39" i="59"/>
  <c r="AI162" i="59"/>
  <c r="AF109" i="27"/>
  <c r="AF115" i="27" s="1"/>
  <c r="AF121" i="27" s="1"/>
  <c r="AF127" i="27" s="1"/>
  <c r="F125" i="53"/>
  <c r="F124" i="53"/>
  <c r="P32" i="11"/>
  <c r="S32" i="11"/>
  <c r="AE32" i="11"/>
  <c r="Y32" i="11"/>
  <c r="V32" i="11"/>
  <c r="AB32" i="11"/>
  <c r="E46" i="36"/>
  <c r="E74" i="36" s="1"/>
  <c r="E102" i="36" s="1"/>
  <c r="E130" i="36" s="1"/>
  <c r="E19" i="36"/>
  <c r="E47" i="36" s="1"/>
  <c r="E75" i="36" s="1"/>
  <c r="E103" i="36" s="1"/>
  <c r="E131" i="36" s="1"/>
  <c r="N97" i="28"/>
  <c r="N141" i="28"/>
  <c r="F95" i="53"/>
  <c r="F94" i="53"/>
  <c r="G140" i="25"/>
  <c r="G146" i="25" s="1"/>
  <c r="G152" i="25" s="1"/>
  <c r="G158" i="25" s="1"/>
  <c r="AJ57" i="28"/>
  <c r="AI87" i="20"/>
  <c r="I154" i="32"/>
  <c r="I173" i="32"/>
  <c r="I192" i="32"/>
  <c r="I182" i="32"/>
  <c r="I163" i="32"/>
  <c r="I145" i="32"/>
  <c r="F83" i="52"/>
  <c r="F49" i="20"/>
  <c r="Q137" i="18"/>
  <c r="Q143" i="18" s="1"/>
  <c r="Q149" i="18" s="1"/>
  <c r="Q155" i="18" s="1"/>
  <c r="Q161" i="18" s="1"/>
  <c r="Q7" i="25"/>
  <c r="Q13" i="25" s="1"/>
  <c r="Q19" i="25" s="1"/>
  <c r="Q25" i="25" s="1"/>
  <c r="G23" i="20"/>
  <c r="G13" i="20"/>
  <c r="J198" i="32" s="1"/>
  <c r="AH79" i="33"/>
  <c r="AH17" i="33" s="1"/>
  <c r="AH35" i="33" s="1"/>
  <c r="AH53" i="33" s="1"/>
  <c r="AQ134" i="11"/>
  <c r="AD9" i="3"/>
  <c r="W9" i="3"/>
  <c r="X41" i="20"/>
  <c r="X111" i="20"/>
  <c r="X117" i="20" s="1"/>
  <c r="X183" i="27"/>
  <c r="X189" i="27" s="1"/>
  <c r="Q4" i="19"/>
  <c r="AV19" i="5"/>
  <c r="Q17" i="52" s="1"/>
  <c r="AL40" i="59"/>
  <c r="AL15" i="18"/>
  <c r="AL137" i="18" s="1"/>
  <c r="AL143" i="18" s="1"/>
  <c r="AL149" i="18" s="1"/>
  <c r="AL155" i="18" s="1"/>
  <c r="AO43" i="32"/>
  <c r="AL6" i="25"/>
  <c r="AL12" i="25" s="1"/>
  <c r="AL18" i="25" s="1"/>
  <c r="AL24" i="25" s="1"/>
  <c r="AL8" i="25"/>
  <c r="AL14" i="25" s="1"/>
  <c r="AL20" i="25" s="1"/>
  <c r="AL26" i="25" s="1"/>
  <c r="AL140" i="25"/>
  <c r="AL146" i="25" s="1"/>
  <c r="AL152" i="25" s="1"/>
  <c r="AL158" i="25" s="1"/>
  <c r="AL5" i="25"/>
  <c r="AL11" i="25" s="1"/>
  <c r="AL17" i="25" s="1"/>
  <c r="AL23" i="25" s="1"/>
  <c r="AL128" i="18"/>
  <c r="AL130" i="18" s="1"/>
  <c r="AL10" i="25"/>
  <c r="AL16" i="25" s="1"/>
  <c r="AL22" i="25" s="1"/>
  <c r="AL28" i="25" s="1"/>
  <c r="AL204" i="25"/>
  <c r="AL210" i="25" s="1"/>
  <c r="AL216" i="25" s="1"/>
  <c r="AL222" i="25" s="1"/>
  <c r="AL208" i="25"/>
  <c r="AL214" i="25" s="1"/>
  <c r="AL220" i="25" s="1"/>
  <c r="AL226" i="25" s="1"/>
  <c r="AL206" i="25"/>
  <c r="AL212" i="25" s="1"/>
  <c r="AL218" i="25" s="1"/>
  <c r="AL224" i="25" s="1"/>
  <c r="AL74" i="25"/>
  <c r="AL80" i="25" s="1"/>
  <c r="AL86" i="25" s="1"/>
  <c r="AL92" i="25" s="1"/>
  <c r="AL41" i="25"/>
  <c r="AL47" i="25" s="1"/>
  <c r="AL53" i="25" s="1"/>
  <c r="AL59" i="25" s="1"/>
  <c r="AL175" i="25"/>
  <c r="AL181" i="25" s="1"/>
  <c r="AL187" i="25" s="1"/>
  <c r="AL193" i="25" s="1"/>
  <c r="AL103" i="18"/>
  <c r="AL109" i="18" s="1"/>
  <c r="AL115" i="18" s="1"/>
  <c r="AL121" i="18" s="1"/>
  <c r="AL135" i="18"/>
  <c r="AL141" i="18" s="1"/>
  <c r="AL147" i="18" s="1"/>
  <c r="AL153" i="18" s="1"/>
  <c r="AL106" i="25"/>
  <c r="AL112" i="25" s="1"/>
  <c r="AL118" i="25" s="1"/>
  <c r="AL124" i="25" s="1"/>
  <c r="AL75" i="25"/>
  <c r="AL81" i="25" s="1"/>
  <c r="AL87" i="25" s="1"/>
  <c r="AL93" i="25" s="1"/>
  <c r="AL25" i="18"/>
  <c r="AL32" i="18" s="1"/>
  <c r="AL40" i="18" s="1"/>
  <c r="AL9" i="25"/>
  <c r="AL15" i="25" s="1"/>
  <c r="AL21" i="25" s="1"/>
  <c r="AL27" i="25" s="1"/>
  <c r="AL99" i="18"/>
  <c r="AL105" i="18" s="1"/>
  <c r="AL111" i="18" s="1"/>
  <c r="AL117" i="18" s="1"/>
  <c r="AL27" i="18"/>
  <c r="AL34" i="18" s="1"/>
  <c r="AL42" i="18" s="1"/>
  <c r="AL100" i="18"/>
  <c r="AL106" i="18" s="1"/>
  <c r="AL112" i="18" s="1"/>
  <c r="AL118" i="18" s="1"/>
  <c r="AL43" i="25"/>
  <c r="AL49" i="25" s="1"/>
  <c r="AL55" i="25" s="1"/>
  <c r="AL61" i="25" s="1"/>
  <c r="AL39" i="25"/>
  <c r="AL45" i="25" s="1"/>
  <c r="AL51" i="25" s="1"/>
  <c r="AL57" i="25" s="1"/>
  <c r="AI126" i="20"/>
  <c r="AJ40" i="28"/>
  <c r="AF165" i="18"/>
  <c r="AF52" i="20"/>
  <c r="AI204" i="32"/>
  <c r="AF86" i="52"/>
  <c r="G43" i="25"/>
  <c r="G49" i="25" s="1"/>
  <c r="G55" i="25" s="1"/>
  <c r="G61" i="25" s="1"/>
  <c r="G38" i="25"/>
  <c r="G44" i="25" s="1"/>
  <c r="G50" i="25" s="1"/>
  <c r="G56" i="25" s="1"/>
  <c r="G107" i="25"/>
  <c r="G113" i="25" s="1"/>
  <c r="G119" i="25" s="1"/>
  <c r="G125" i="25" s="1"/>
  <c r="G138" i="25"/>
  <c r="G144" i="25" s="1"/>
  <c r="G150" i="25" s="1"/>
  <c r="G156" i="25" s="1"/>
  <c r="G25" i="18"/>
  <c r="G32" i="18" s="1"/>
  <c r="G40" i="18" s="1"/>
  <c r="G172" i="25"/>
  <c r="G178" i="25" s="1"/>
  <c r="G184" i="25" s="1"/>
  <c r="G190" i="25" s="1"/>
  <c r="G205" i="25"/>
  <c r="G211" i="25" s="1"/>
  <c r="G217" i="25" s="1"/>
  <c r="G223" i="25" s="1"/>
  <c r="G30" i="18"/>
  <c r="G37" i="18" s="1"/>
  <c r="G45" i="18" s="1"/>
  <c r="G137" i="25"/>
  <c r="G143" i="25" s="1"/>
  <c r="G149" i="25" s="1"/>
  <c r="G155" i="25" s="1"/>
  <c r="G206" i="25"/>
  <c r="G212" i="25" s="1"/>
  <c r="G218" i="25" s="1"/>
  <c r="G224" i="25" s="1"/>
  <c r="G41" i="25"/>
  <c r="G47" i="25" s="1"/>
  <c r="G53" i="25" s="1"/>
  <c r="G59" i="25" s="1"/>
  <c r="G40" i="25"/>
  <c r="G46" i="25" s="1"/>
  <c r="G52" i="25" s="1"/>
  <c r="G58" i="25" s="1"/>
  <c r="G170" i="25"/>
  <c r="G176" i="25" s="1"/>
  <c r="G182" i="25" s="1"/>
  <c r="G188" i="25" s="1"/>
  <c r="G74" i="25"/>
  <c r="G80" i="25" s="1"/>
  <c r="G86" i="25" s="1"/>
  <c r="G92" i="25" s="1"/>
  <c r="G104" i="25"/>
  <c r="G110" i="25" s="1"/>
  <c r="G116" i="25" s="1"/>
  <c r="G122" i="25" s="1"/>
  <c r="G5" i="25"/>
  <c r="G11" i="25" s="1"/>
  <c r="G17" i="25" s="1"/>
  <c r="G23" i="25" s="1"/>
  <c r="G99" i="18"/>
  <c r="G105" i="18" s="1"/>
  <c r="G111" i="18" s="1"/>
  <c r="G117" i="18" s="1"/>
  <c r="G204" i="25"/>
  <c r="G210" i="25" s="1"/>
  <c r="G216" i="25" s="1"/>
  <c r="G222" i="25" s="1"/>
  <c r="G75" i="25"/>
  <c r="G81" i="25" s="1"/>
  <c r="G87" i="25" s="1"/>
  <c r="G93" i="25" s="1"/>
  <c r="G39" i="25"/>
  <c r="G45" i="25" s="1"/>
  <c r="G51" i="25" s="1"/>
  <c r="G57" i="25" s="1"/>
  <c r="G6" i="25"/>
  <c r="G12" i="25" s="1"/>
  <c r="G18" i="25" s="1"/>
  <c r="G24" i="25" s="1"/>
  <c r="G134" i="18"/>
  <c r="G140" i="18" s="1"/>
  <c r="G146" i="18" s="1"/>
  <c r="G152" i="18" s="1"/>
  <c r="G100" i="18"/>
  <c r="G106" i="18" s="1"/>
  <c r="G112" i="18" s="1"/>
  <c r="G118" i="18" s="1"/>
  <c r="G98" i="18"/>
  <c r="G104" i="18" s="1"/>
  <c r="G110" i="18" s="1"/>
  <c r="G116" i="18" s="1"/>
  <c r="G63" i="18"/>
  <c r="G69" i="18" s="1"/>
  <c r="G75" i="18" s="1"/>
  <c r="G81" i="18" s="1"/>
  <c r="G105" i="25"/>
  <c r="G111" i="25" s="1"/>
  <c r="G117" i="25" s="1"/>
  <c r="G123" i="25" s="1"/>
  <c r="G62" i="18"/>
  <c r="G68" i="18" s="1"/>
  <c r="G74" i="18" s="1"/>
  <c r="G80" i="18" s="1"/>
  <c r="G42" i="25"/>
  <c r="G48" i="25" s="1"/>
  <c r="G54" i="25" s="1"/>
  <c r="G60" i="25" s="1"/>
  <c r="G72" i="25"/>
  <c r="G78" i="25" s="1"/>
  <c r="G84" i="25" s="1"/>
  <c r="G90" i="25" s="1"/>
  <c r="G27" i="18"/>
  <c r="G34" i="18" s="1"/>
  <c r="G42" i="18" s="1"/>
  <c r="G102" i="18"/>
  <c r="G108" i="18" s="1"/>
  <c r="G114" i="18" s="1"/>
  <c r="G120" i="18" s="1"/>
  <c r="G109" i="25"/>
  <c r="G115" i="25" s="1"/>
  <c r="G121" i="25" s="1"/>
  <c r="G127" i="25" s="1"/>
  <c r="G29" i="18"/>
  <c r="G36" i="18" s="1"/>
  <c r="G44" i="18" s="1"/>
  <c r="G28" i="18"/>
  <c r="G35" i="18" s="1"/>
  <c r="G43" i="18" s="1"/>
  <c r="G139" i="25"/>
  <c r="G145" i="25" s="1"/>
  <c r="G151" i="25" s="1"/>
  <c r="G157" i="25" s="1"/>
  <c r="G66" i="18"/>
  <c r="G72" i="18" s="1"/>
  <c r="G78" i="18" s="1"/>
  <c r="G84" i="18" s="1"/>
  <c r="G108" i="25"/>
  <c r="G114" i="25" s="1"/>
  <c r="G120" i="25" s="1"/>
  <c r="G126" i="25" s="1"/>
  <c r="G10" i="25"/>
  <c r="G16" i="25" s="1"/>
  <c r="G22" i="25" s="1"/>
  <c r="G28" i="25" s="1"/>
  <c r="G208" i="25"/>
  <c r="G214" i="25" s="1"/>
  <c r="G220" i="25" s="1"/>
  <c r="G226" i="25" s="1"/>
  <c r="G9" i="25"/>
  <c r="G15" i="25" s="1"/>
  <c r="G21" i="25" s="1"/>
  <c r="G27" i="25" s="1"/>
  <c r="G139" i="18"/>
  <c r="G145" i="18" s="1"/>
  <c r="G151" i="18" s="1"/>
  <c r="G157" i="18" s="1"/>
  <c r="G136" i="18"/>
  <c r="G142" i="18" s="1"/>
  <c r="G148" i="18" s="1"/>
  <c r="G154" i="18" s="1"/>
  <c r="G171" i="25"/>
  <c r="G177" i="25" s="1"/>
  <c r="G183" i="25" s="1"/>
  <c r="G189" i="25" s="1"/>
  <c r="G7" i="25"/>
  <c r="G13" i="25" s="1"/>
  <c r="G19" i="25" s="1"/>
  <c r="G25" i="25" s="1"/>
  <c r="G174" i="25"/>
  <c r="G180" i="25" s="1"/>
  <c r="G186" i="25" s="1"/>
  <c r="G192" i="25" s="1"/>
  <c r="G71" i="25"/>
  <c r="G77" i="25" s="1"/>
  <c r="G83" i="25" s="1"/>
  <c r="G89" i="25" s="1"/>
  <c r="G64" i="18"/>
  <c r="G70" i="18" s="1"/>
  <c r="G76" i="18" s="1"/>
  <c r="G82" i="18" s="1"/>
  <c r="G76" i="25"/>
  <c r="G82" i="25" s="1"/>
  <c r="G88" i="25" s="1"/>
  <c r="G94" i="25" s="1"/>
  <c r="G67" i="18"/>
  <c r="G73" i="18" s="1"/>
  <c r="G79" i="18" s="1"/>
  <c r="G85" i="18" s="1"/>
  <c r="G103" i="18"/>
  <c r="G109" i="18" s="1"/>
  <c r="G115" i="18" s="1"/>
  <c r="G121" i="18" s="1"/>
  <c r="G106" i="25"/>
  <c r="G112" i="25" s="1"/>
  <c r="G118" i="25" s="1"/>
  <c r="G124" i="25" s="1"/>
  <c r="G31" i="18"/>
  <c r="G38" i="18" s="1"/>
  <c r="G39" i="18" s="1"/>
  <c r="G8" i="25"/>
  <c r="G14" i="25" s="1"/>
  <c r="G20" i="25" s="1"/>
  <c r="G26" i="25" s="1"/>
  <c r="G173" i="25"/>
  <c r="G179" i="25" s="1"/>
  <c r="G185" i="25" s="1"/>
  <c r="G191" i="25" s="1"/>
  <c r="G26" i="18"/>
  <c r="G33" i="18" s="1"/>
  <c r="G41" i="18" s="1"/>
  <c r="G138" i="18"/>
  <c r="G144" i="18" s="1"/>
  <c r="G150" i="18" s="1"/>
  <c r="G156" i="18" s="1"/>
  <c r="X49" i="20"/>
  <c r="X83" i="52"/>
  <c r="G49" i="59"/>
  <c r="AE123" i="18"/>
  <c r="Z102" i="32"/>
  <c r="Z103" i="32" s="1"/>
  <c r="Z27" i="34" s="1"/>
  <c r="Z41" i="34" s="1"/>
  <c r="Z112" i="32"/>
  <c r="Z26" i="34" s="1"/>
  <c r="Z40" i="34" s="1"/>
  <c r="AL38" i="59"/>
  <c r="X87" i="27"/>
  <c r="X93" i="27" s="1"/>
  <c r="X116" i="27"/>
  <c r="X122" i="27" s="1"/>
  <c r="Y67" i="27"/>
  <c r="Y133" i="27"/>
  <c r="Y34" i="27"/>
  <c r="Y166" i="27"/>
  <c r="Y163" i="20"/>
  <c r="D15" i="33"/>
  <c r="C18" i="33"/>
  <c r="C33" i="33"/>
  <c r="I143" i="11"/>
  <c r="AK188" i="28"/>
  <c r="AK61" i="28"/>
  <c r="F29" i="19"/>
  <c r="F36" i="19" s="1"/>
  <c r="F44" i="19" s="1"/>
  <c r="E25" i="48"/>
  <c r="E44" i="48" s="1"/>
  <c r="E63" i="48" s="1"/>
  <c r="E82" i="48" s="1"/>
  <c r="E7" i="48"/>
  <c r="D7" i="19"/>
  <c r="D5" i="19"/>
  <c r="D8" i="19"/>
  <c r="M97" i="28"/>
  <c r="M141" i="28"/>
  <c r="W98" i="18"/>
  <c r="W104" i="18" s="1"/>
  <c r="W110" i="18" s="1"/>
  <c r="W116" i="18" s="1"/>
  <c r="G16" i="18"/>
  <c r="G18" i="18" s="1"/>
  <c r="J62" i="32"/>
  <c r="G164" i="18"/>
  <c r="G166" i="18" s="1"/>
  <c r="AI231" i="27"/>
  <c r="AI165" i="27"/>
  <c r="AI198" i="27"/>
  <c r="AI99" i="27"/>
  <c r="AI132" i="27"/>
  <c r="AI66" i="27"/>
  <c r="AI33" i="27"/>
  <c r="AI90" i="20"/>
  <c r="Y90" i="18"/>
  <c r="J122" i="11"/>
  <c r="AI9" i="11"/>
  <c r="AL9" i="11" s="1"/>
  <c r="S67" i="33"/>
  <c r="S5" i="33" s="1"/>
  <c r="S23" i="33" s="1"/>
  <c r="S41" i="33" s="1"/>
  <c r="AX28" i="5"/>
  <c r="AA28" i="5" s="1"/>
  <c r="N28" i="5"/>
  <c r="R28" i="5" s="1"/>
  <c r="X77" i="20"/>
  <c r="X83" i="20" s="1"/>
  <c r="X216" i="27"/>
  <c r="X222" i="27" s="1"/>
  <c r="AA132" i="11"/>
  <c r="AK77" i="33"/>
  <c r="AK15" i="33" s="1"/>
  <c r="AK33" i="33" s="1"/>
  <c r="AK51" i="33" s="1"/>
  <c r="D12" i="18"/>
  <c r="D22" i="18"/>
  <c r="D30" i="33"/>
  <c r="C48" i="33"/>
  <c r="D48" i="33" s="1"/>
  <c r="AD22" i="11"/>
  <c r="O22" i="11"/>
  <c r="AA22" i="11"/>
  <c r="U22" i="11"/>
  <c r="Y129" i="18"/>
  <c r="X22" i="11"/>
  <c r="F88" i="26"/>
  <c r="F94" i="26" s="1"/>
  <c r="AI12" i="18"/>
  <c r="AI22" i="18"/>
  <c r="AJ58" i="28"/>
  <c r="G175" i="25"/>
  <c r="G181" i="25" s="1"/>
  <c r="G187" i="25" s="1"/>
  <c r="G193" i="25" s="1"/>
  <c r="W56" i="32"/>
  <c r="T71" i="52"/>
  <c r="W18" i="32"/>
  <c r="W65" i="32"/>
  <c r="T48" i="18"/>
  <c r="AF31" i="11"/>
  <c r="AC31" i="11"/>
  <c r="Q31" i="11"/>
  <c r="T31" i="11"/>
  <c r="W31" i="11"/>
  <c r="Z31" i="11"/>
  <c r="J107" i="53"/>
  <c r="J112" i="53" s="1"/>
  <c r="J117" i="53"/>
  <c r="J122" i="53" s="1"/>
  <c r="Q31" i="18"/>
  <c r="Q38" i="18" s="1"/>
  <c r="Q39" i="18" s="1"/>
  <c r="Q207" i="25"/>
  <c r="Q213" i="25" s="1"/>
  <c r="Q219" i="25" s="1"/>
  <c r="Q225" i="25" s="1"/>
  <c r="Q109" i="25"/>
  <c r="Q115" i="25" s="1"/>
  <c r="Q121" i="25" s="1"/>
  <c r="Q127" i="25" s="1"/>
  <c r="AF141" i="11"/>
  <c r="AC124" i="53"/>
  <c r="AC125" i="53"/>
  <c r="AH34" i="32"/>
  <c r="AH35" i="32" s="1"/>
  <c r="AK13" i="34" s="1"/>
  <c r="AH44" i="32"/>
  <c r="AK12" i="34" s="1"/>
  <c r="G173" i="27"/>
  <c r="G179" i="27" s="1"/>
  <c r="G41" i="27"/>
  <c r="G47" i="27" s="1"/>
  <c r="G171" i="27"/>
  <c r="G177" i="27" s="1"/>
  <c r="G16" i="20"/>
  <c r="G135" i="20" s="1"/>
  <c r="G141" i="20" s="1"/>
  <c r="G147" i="20" s="1"/>
  <c r="G153" i="20" s="1"/>
  <c r="G27" i="20"/>
  <c r="G34" i="20" s="1"/>
  <c r="G42" i="20" s="1"/>
  <c r="G207" i="27"/>
  <c r="G213" i="27" s="1"/>
  <c r="G219" i="27" s="1"/>
  <c r="G225" i="27" s="1"/>
  <c r="G208" i="27"/>
  <c r="G214" i="27" s="1"/>
  <c r="G220" i="27" s="1"/>
  <c r="G226" i="27" s="1"/>
  <c r="G30" i="20"/>
  <c r="G37" i="20" s="1"/>
  <c r="G45" i="20" s="1"/>
  <c r="G76" i="27"/>
  <c r="G82" i="27" s="1"/>
  <c r="G134" i="20"/>
  <c r="G140" i="20" s="1"/>
  <c r="G146" i="20" s="1"/>
  <c r="G152" i="20" s="1"/>
  <c r="G164" i="20"/>
  <c r="G166" i="20" s="1"/>
  <c r="G73" i="27"/>
  <c r="G79" i="27" s="1"/>
  <c r="G85" i="27" s="1"/>
  <c r="G91" i="27" s="1"/>
  <c r="G103" i="20"/>
  <c r="G109" i="20" s="1"/>
  <c r="G172" i="27"/>
  <c r="G178" i="27" s="1"/>
  <c r="G184" i="27" s="1"/>
  <c r="G190" i="27" s="1"/>
  <c r="G9" i="27"/>
  <c r="G15" i="27" s="1"/>
  <c r="G21" i="27" s="1"/>
  <c r="G27" i="27" s="1"/>
  <c r="G174" i="27"/>
  <c r="G180" i="27" s="1"/>
  <c r="G39" i="27"/>
  <c r="G45" i="27" s="1"/>
  <c r="G51" i="27" s="1"/>
  <c r="G57" i="27" s="1"/>
  <c r="G42" i="27"/>
  <c r="G48" i="27" s="1"/>
  <c r="G31" i="20"/>
  <c r="G38" i="20" s="1"/>
  <c r="G46" i="20" s="1"/>
  <c r="G137" i="20"/>
  <c r="G143" i="20" s="1"/>
  <c r="G99" i="20"/>
  <c r="G105" i="20" s="1"/>
  <c r="G111" i="20" s="1"/>
  <c r="G117" i="20" s="1"/>
  <c r="G175" i="27"/>
  <c r="G181" i="27" s="1"/>
  <c r="G187" i="27" s="1"/>
  <c r="G193" i="27" s="1"/>
  <c r="G138" i="27"/>
  <c r="G144" i="27" s="1"/>
  <c r="G71" i="27"/>
  <c r="G77" i="27" s="1"/>
  <c r="G5" i="27"/>
  <c r="G11" i="27" s="1"/>
  <c r="G138" i="20"/>
  <c r="G144" i="20" s="1"/>
  <c r="G7" i="27"/>
  <c r="G13" i="27" s="1"/>
  <c r="G29" i="20"/>
  <c r="G36" i="20" s="1"/>
  <c r="G44" i="20" s="1"/>
  <c r="G74" i="27"/>
  <c r="G80" i="27" s="1"/>
  <c r="G86" i="27" s="1"/>
  <c r="G92" i="27" s="1"/>
  <c r="G104" i="27"/>
  <c r="G110" i="27" s="1"/>
  <c r="G116" i="27" s="1"/>
  <c r="G122" i="27" s="1"/>
  <c r="G139" i="27"/>
  <c r="G145" i="27" s="1"/>
  <c r="G151" i="27" s="1"/>
  <c r="G157" i="27" s="1"/>
  <c r="G141" i="27"/>
  <c r="G147" i="27" s="1"/>
  <c r="G101" i="20"/>
  <c r="G107" i="20" s="1"/>
  <c r="G113" i="20" s="1"/>
  <c r="G119" i="20" s="1"/>
  <c r="G206" i="27"/>
  <c r="G212" i="27" s="1"/>
  <c r="G218" i="27" s="1"/>
  <c r="G224" i="27" s="1"/>
  <c r="G205" i="27"/>
  <c r="G211" i="27" s="1"/>
  <c r="G217" i="27" s="1"/>
  <c r="G223" i="27" s="1"/>
  <c r="G26" i="20"/>
  <c r="G33" i="20" s="1"/>
  <c r="G140" i="27"/>
  <c r="G146" i="27" s="1"/>
  <c r="G152" i="27" s="1"/>
  <c r="G158" i="27" s="1"/>
  <c r="G106" i="27"/>
  <c r="G112" i="27" s="1"/>
  <c r="G118" i="27" s="1"/>
  <c r="G124" i="27" s="1"/>
  <c r="G17" i="20"/>
  <c r="G19" i="20" s="1"/>
  <c r="G32" i="20"/>
  <c r="G39" i="20" s="1"/>
  <c r="G40" i="20" s="1"/>
  <c r="G43" i="27"/>
  <c r="G49" i="27" s="1"/>
  <c r="G75" i="27"/>
  <c r="G81" i="27" s="1"/>
  <c r="G87" i="27" s="1"/>
  <c r="G93" i="27" s="1"/>
  <c r="G8" i="27"/>
  <c r="G14" i="27" s="1"/>
  <c r="G107" i="27"/>
  <c r="G113" i="27" s="1"/>
  <c r="G119" i="27" s="1"/>
  <c r="G125" i="27" s="1"/>
  <c r="G203" i="27"/>
  <c r="G209" i="27" s="1"/>
  <c r="G215" i="27" s="1"/>
  <c r="G221" i="27" s="1"/>
  <c r="G64" i="20"/>
  <c r="G70" i="20" s="1"/>
  <c r="G66" i="20"/>
  <c r="G72" i="20" s="1"/>
  <c r="G78" i="20" s="1"/>
  <c r="G84" i="20" s="1"/>
  <c r="G38" i="27"/>
  <c r="G44" i="27" s="1"/>
  <c r="G139" i="20"/>
  <c r="G145" i="20" s="1"/>
  <c r="G142" i="27"/>
  <c r="G148" i="27" s="1"/>
  <c r="G108" i="27"/>
  <c r="G114" i="27" s="1"/>
  <c r="G120" i="27" s="1"/>
  <c r="G126" i="27" s="1"/>
  <c r="G28" i="20"/>
  <c r="G35" i="20" s="1"/>
  <c r="G43" i="20" s="1"/>
  <c r="G65" i="20"/>
  <c r="G71" i="20" s="1"/>
  <c r="G77" i="20" s="1"/>
  <c r="G83" i="20" s="1"/>
  <c r="G6" i="27"/>
  <c r="G12" i="27" s="1"/>
  <c r="G18" i="27" s="1"/>
  <c r="G24" i="27" s="1"/>
  <c r="G62" i="20"/>
  <c r="G68" i="20" s="1"/>
  <c r="G102" i="20"/>
  <c r="G108" i="20" s="1"/>
  <c r="G114" i="20" s="1"/>
  <c r="G120" i="20" s="1"/>
  <c r="G170" i="27"/>
  <c r="G176" i="27" s="1"/>
  <c r="G182" i="27" s="1"/>
  <c r="G188" i="27" s="1"/>
  <c r="G63" i="20"/>
  <c r="G69" i="20" s="1"/>
  <c r="G40" i="27"/>
  <c r="G46" i="27" s="1"/>
  <c r="G52" i="27" s="1"/>
  <c r="G58" i="27" s="1"/>
  <c r="G105" i="27"/>
  <c r="G111" i="27" s="1"/>
  <c r="G98" i="20"/>
  <c r="G104" i="20" s="1"/>
  <c r="G110" i="20" s="1"/>
  <c r="G116" i="20" s="1"/>
  <c r="G67" i="20"/>
  <c r="G73" i="20" s="1"/>
  <c r="G79" i="20" s="1"/>
  <c r="G85" i="20" s="1"/>
  <c r="G137" i="27"/>
  <c r="G143" i="27" s="1"/>
  <c r="G149" i="27" s="1"/>
  <c r="G155" i="27" s="1"/>
  <c r="G204" i="27"/>
  <c r="G210" i="27" s="1"/>
  <c r="G216" i="27" s="1"/>
  <c r="G222" i="27" s="1"/>
  <c r="G10" i="27"/>
  <c r="G16" i="27" s="1"/>
  <c r="G100" i="20"/>
  <c r="G106" i="20" s="1"/>
  <c r="G112" i="20" s="1"/>
  <c r="G118" i="20" s="1"/>
  <c r="G72" i="27"/>
  <c r="G78" i="27" s="1"/>
  <c r="G84" i="27" s="1"/>
  <c r="G90" i="27" s="1"/>
  <c r="G109" i="27"/>
  <c r="G115" i="27" s="1"/>
  <c r="G121" i="27" s="1"/>
  <c r="G127" i="27" s="1"/>
  <c r="J179" i="32"/>
  <c r="G128" i="20"/>
  <c r="G130" i="20" s="1"/>
  <c r="AI178" i="59"/>
  <c r="AI55" i="59"/>
  <c r="AI116" i="59"/>
  <c r="G58" i="59"/>
  <c r="AK50" i="28"/>
  <c r="Y224" i="27"/>
  <c r="AB203" i="32"/>
  <c r="T136" i="18"/>
  <c r="T142" i="18" s="1"/>
  <c r="T148" i="18" s="1"/>
  <c r="T154" i="18" s="1"/>
  <c r="T160" i="18" s="1"/>
  <c r="T72" i="25"/>
  <c r="T78" i="25" s="1"/>
  <c r="T84" i="25" s="1"/>
  <c r="T204" i="25"/>
  <c r="T210" i="25" s="1"/>
  <c r="T216" i="25" s="1"/>
  <c r="T222" i="25" s="1"/>
  <c r="Y74" i="52"/>
  <c r="AB30" i="32"/>
  <c r="AB49" i="32"/>
  <c r="AB68" i="32"/>
  <c r="Y51" i="18"/>
  <c r="Y126" i="18" s="1"/>
  <c r="AB12" i="32"/>
  <c r="AB21" i="32"/>
  <c r="AB40" i="32"/>
  <c r="AB59" i="32"/>
  <c r="R76" i="25"/>
  <c r="R82" i="25" s="1"/>
  <c r="R88" i="25" s="1"/>
  <c r="R94" i="25" s="1"/>
  <c r="Q135" i="18"/>
  <c r="Q141" i="18" s="1"/>
  <c r="Q147" i="18" s="1"/>
  <c r="Q153" i="18" s="1"/>
  <c r="Q27" i="18"/>
  <c r="Q34" i="18" s="1"/>
  <c r="Q42" i="18" s="1"/>
  <c r="Q9" i="25"/>
  <c r="Q15" i="25" s="1"/>
  <c r="Q21" i="25" s="1"/>
  <c r="Q27" i="25" s="1"/>
  <c r="AI58" i="59"/>
  <c r="AI181" i="59"/>
  <c r="AN38" i="59"/>
  <c r="H151" i="20"/>
  <c r="H157" i="20" s="1"/>
  <c r="H163" i="20" s="1"/>
  <c r="H152" i="27"/>
  <c r="H158" i="27" s="1"/>
  <c r="H149" i="20"/>
  <c r="H155" i="20" s="1"/>
  <c r="AE163" i="18"/>
  <c r="AA40" i="28"/>
  <c r="L5" i="19"/>
  <c r="L8" i="19"/>
  <c r="L7" i="19"/>
  <c r="X53" i="27"/>
  <c r="X59" i="27" s="1"/>
  <c r="X76" i="20"/>
  <c r="X82" i="20" s="1"/>
  <c r="AA126" i="11"/>
  <c r="AK71" i="33"/>
  <c r="AK9" i="33" s="1"/>
  <c r="AK27" i="33" s="1"/>
  <c r="AK45" i="33" s="1"/>
  <c r="AD75" i="52"/>
  <c r="AG13" i="32"/>
  <c r="AG41" i="32"/>
  <c r="AG69" i="32"/>
  <c r="AG22" i="32"/>
  <c r="AG50" i="32"/>
  <c r="AG60" i="32"/>
  <c r="AG31" i="32"/>
  <c r="AD52" i="18"/>
  <c r="AM45" i="59"/>
  <c r="AM168" i="59"/>
  <c r="AM107" i="59"/>
  <c r="G43" i="32"/>
  <c r="D128" i="18"/>
  <c r="D130" i="18" s="1"/>
  <c r="D15" i="18"/>
  <c r="D100" i="18"/>
  <c r="D106" i="18" s="1"/>
  <c r="D112" i="18" s="1"/>
  <c r="D118" i="18" s="1"/>
  <c r="N43" i="32"/>
  <c r="K128" i="18"/>
  <c r="K130" i="18" s="1"/>
  <c r="K15" i="18"/>
  <c r="K40" i="25" s="1"/>
  <c r="K46" i="25" s="1"/>
  <c r="K52" i="25" s="1"/>
  <c r="K58" i="25" s="1"/>
  <c r="K138" i="18"/>
  <c r="K144" i="18" s="1"/>
  <c r="K150" i="18" s="1"/>
  <c r="K156" i="18" s="1"/>
  <c r="K104" i="25"/>
  <c r="K110" i="25" s="1"/>
  <c r="K116" i="25" s="1"/>
  <c r="K122" i="25" s="1"/>
  <c r="K139" i="18"/>
  <c r="K145" i="18" s="1"/>
  <c r="K151" i="18" s="1"/>
  <c r="K157" i="18" s="1"/>
  <c r="K7" i="25"/>
  <c r="K13" i="25" s="1"/>
  <c r="K19" i="25" s="1"/>
  <c r="K25" i="25" s="1"/>
  <c r="K72" i="25"/>
  <c r="K78" i="25" s="1"/>
  <c r="K84" i="25" s="1"/>
  <c r="K90" i="25" s="1"/>
  <c r="K108" i="25"/>
  <c r="K114" i="25" s="1"/>
  <c r="K120" i="25" s="1"/>
  <c r="K126" i="25" s="1"/>
  <c r="K205" i="25"/>
  <c r="K211" i="25" s="1"/>
  <c r="K217" i="25" s="1"/>
  <c r="K223" i="25" s="1"/>
  <c r="K64" i="18"/>
  <c r="K70" i="18" s="1"/>
  <c r="K76" i="18" s="1"/>
  <c r="K82" i="18" s="1"/>
  <c r="K42" i="25"/>
  <c r="K48" i="25" s="1"/>
  <c r="K54" i="25" s="1"/>
  <c r="K60" i="25" s="1"/>
  <c r="K65" i="18"/>
  <c r="K71" i="18" s="1"/>
  <c r="K77" i="18" s="1"/>
  <c r="K83" i="18" s="1"/>
  <c r="K138" i="25"/>
  <c r="K144" i="25" s="1"/>
  <c r="K150" i="25" s="1"/>
  <c r="K156" i="25" s="1"/>
  <c r="K173" i="25"/>
  <c r="K179" i="25" s="1"/>
  <c r="K185" i="25" s="1"/>
  <c r="K191" i="25" s="1"/>
  <c r="K98" i="18"/>
  <c r="K104" i="18" s="1"/>
  <c r="K110" i="18" s="1"/>
  <c r="K116" i="18" s="1"/>
  <c r="K39" i="25"/>
  <c r="K45" i="25" s="1"/>
  <c r="K51" i="25" s="1"/>
  <c r="K57" i="25" s="1"/>
  <c r="K75" i="25"/>
  <c r="K81" i="25" s="1"/>
  <c r="K87" i="25" s="1"/>
  <c r="K93" i="25" s="1"/>
  <c r="K5" i="25"/>
  <c r="K11" i="25" s="1"/>
  <c r="K17" i="25" s="1"/>
  <c r="K23" i="25" s="1"/>
  <c r="K71" i="25"/>
  <c r="K77" i="25" s="1"/>
  <c r="K83" i="25" s="1"/>
  <c r="K89" i="25" s="1"/>
  <c r="K74" i="25"/>
  <c r="K80" i="25" s="1"/>
  <c r="K86" i="25" s="1"/>
  <c r="K92" i="25" s="1"/>
  <c r="K10" i="25"/>
  <c r="K16" i="25" s="1"/>
  <c r="K22" i="25" s="1"/>
  <c r="K28" i="25" s="1"/>
  <c r="K164" i="18"/>
  <c r="K166" i="18" s="1"/>
  <c r="K142" i="25"/>
  <c r="K148" i="25" s="1"/>
  <c r="K154" i="25" s="1"/>
  <c r="K160" i="25" s="1"/>
  <c r="K172" i="25"/>
  <c r="K178" i="25" s="1"/>
  <c r="K184" i="25" s="1"/>
  <c r="K190" i="25" s="1"/>
  <c r="K174" i="25"/>
  <c r="K180" i="25" s="1"/>
  <c r="K186" i="25" s="1"/>
  <c r="K192" i="25" s="1"/>
  <c r="K170" i="25"/>
  <c r="K176" i="25" s="1"/>
  <c r="K182" i="25" s="1"/>
  <c r="K188" i="25" s="1"/>
  <c r="K76" i="25"/>
  <c r="K82" i="25" s="1"/>
  <c r="K88" i="25" s="1"/>
  <c r="K94" i="25" s="1"/>
  <c r="K67" i="18"/>
  <c r="K73" i="18" s="1"/>
  <c r="K79" i="18" s="1"/>
  <c r="K85" i="18" s="1"/>
  <c r="K26" i="18"/>
  <c r="K33" i="18" s="1"/>
  <c r="K41" i="18" s="1"/>
  <c r="K8" i="25"/>
  <c r="K14" i="25" s="1"/>
  <c r="K20" i="25" s="1"/>
  <c r="K26" i="25" s="1"/>
  <c r="K6" i="25"/>
  <c r="K12" i="25" s="1"/>
  <c r="K18" i="25" s="1"/>
  <c r="K24" i="25" s="1"/>
  <c r="K28" i="18"/>
  <c r="K35" i="18" s="1"/>
  <c r="K43" i="18" s="1"/>
  <c r="K31" i="18"/>
  <c r="K38" i="18" s="1"/>
  <c r="K39" i="18" s="1"/>
  <c r="Q4" i="5"/>
  <c r="F134" i="19"/>
  <c r="F140" i="19" s="1"/>
  <c r="F146" i="19" s="1"/>
  <c r="F152" i="19" s="1"/>
  <c r="AK54" i="28"/>
  <c r="R97" i="28"/>
  <c r="R141" i="28"/>
  <c r="AL43" i="32"/>
  <c r="AI15" i="18"/>
  <c r="AI138" i="25" s="1"/>
  <c r="AI144" i="25" s="1"/>
  <c r="AI150" i="25" s="1"/>
  <c r="AI156" i="25" s="1"/>
  <c r="AI171" i="25"/>
  <c r="AI177" i="25" s="1"/>
  <c r="AI183" i="25" s="1"/>
  <c r="AI189" i="25" s="1"/>
  <c r="AI139" i="25"/>
  <c r="AI145" i="25" s="1"/>
  <c r="AI151" i="25" s="1"/>
  <c r="AI157" i="25" s="1"/>
  <c r="AI72" i="25"/>
  <c r="AI78" i="25" s="1"/>
  <c r="AI84" i="25" s="1"/>
  <c r="AI90" i="25" s="1"/>
  <c r="AI128" i="18"/>
  <c r="AI130" i="18" s="1"/>
  <c r="AI9" i="25"/>
  <c r="AI15" i="25" s="1"/>
  <c r="AI21" i="25" s="1"/>
  <c r="AI27" i="25" s="1"/>
  <c r="AI173" i="25"/>
  <c r="AI179" i="25" s="1"/>
  <c r="AI185" i="25" s="1"/>
  <c r="AI191" i="25" s="1"/>
  <c r="AI76" i="25"/>
  <c r="AI82" i="25" s="1"/>
  <c r="AI88" i="25" s="1"/>
  <c r="AI94" i="25" s="1"/>
  <c r="AI39" i="25"/>
  <c r="AI45" i="25" s="1"/>
  <c r="AI51" i="25" s="1"/>
  <c r="AI57" i="25" s="1"/>
  <c r="AI106" i="25"/>
  <c r="AI112" i="25" s="1"/>
  <c r="AI118" i="25" s="1"/>
  <c r="AI124" i="25" s="1"/>
  <c r="AI99" i="18"/>
  <c r="AI105" i="18" s="1"/>
  <c r="AI111" i="18" s="1"/>
  <c r="AI117" i="18" s="1"/>
  <c r="AI64" i="18"/>
  <c r="AI70" i="18" s="1"/>
  <c r="AI76" i="18" s="1"/>
  <c r="AI82" i="18" s="1"/>
  <c r="AI108" i="25"/>
  <c r="AI114" i="25" s="1"/>
  <c r="AI120" i="25" s="1"/>
  <c r="AI126" i="25" s="1"/>
  <c r="AI137" i="18"/>
  <c r="AI143" i="18" s="1"/>
  <c r="AI149" i="18" s="1"/>
  <c r="AI155" i="18" s="1"/>
  <c r="AI172" i="25"/>
  <c r="AI178" i="25" s="1"/>
  <c r="AI184" i="25" s="1"/>
  <c r="AI190" i="25" s="1"/>
  <c r="AI137" i="25"/>
  <c r="AI143" i="25" s="1"/>
  <c r="AI149" i="25" s="1"/>
  <c r="AI155" i="25" s="1"/>
  <c r="AI164" i="18"/>
  <c r="AI166" i="18" s="1"/>
  <c r="AI10" i="25"/>
  <c r="AI16" i="25" s="1"/>
  <c r="AI22" i="25" s="1"/>
  <c r="AI28" i="25" s="1"/>
  <c r="AI27" i="18"/>
  <c r="AI34" i="18" s="1"/>
  <c r="AI42" i="18" s="1"/>
  <c r="AI142" i="25"/>
  <c r="AI148" i="25" s="1"/>
  <c r="AI154" i="25" s="1"/>
  <c r="AI160" i="25" s="1"/>
  <c r="AI174" i="25"/>
  <c r="AI180" i="25" s="1"/>
  <c r="AI186" i="25" s="1"/>
  <c r="AI192" i="25" s="1"/>
  <c r="AI41" i="25"/>
  <c r="AI47" i="25" s="1"/>
  <c r="AI53" i="25" s="1"/>
  <c r="AI59" i="25" s="1"/>
  <c r="AI203" i="25"/>
  <c r="AI209" i="25" s="1"/>
  <c r="AI215" i="25" s="1"/>
  <c r="AI221" i="25" s="1"/>
  <c r="AI134" i="18"/>
  <c r="AI140" i="18" s="1"/>
  <c r="AI146" i="18" s="1"/>
  <c r="AI152" i="18" s="1"/>
  <c r="AI139" i="18"/>
  <c r="AI145" i="18" s="1"/>
  <c r="AI151" i="18" s="1"/>
  <c r="AI157" i="18" s="1"/>
  <c r="AI204" i="25"/>
  <c r="AI210" i="25" s="1"/>
  <c r="AI216" i="25" s="1"/>
  <c r="AI222" i="25" s="1"/>
  <c r="AI105" i="25"/>
  <c r="AI111" i="25" s="1"/>
  <c r="AI117" i="25" s="1"/>
  <c r="AI123" i="25" s="1"/>
  <c r="AI74" i="25"/>
  <c r="AI80" i="25" s="1"/>
  <c r="AI86" i="25" s="1"/>
  <c r="AI92" i="25" s="1"/>
  <c r="AI40" i="25"/>
  <c r="AI46" i="25" s="1"/>
  <c r="AI52" i="25" s="1"/>
  <c r="AI58" i="25" s="1"/>
  <c r="AI207" i="25"/>
  <c r="AI213" i="25" s="1"/>
  <c r="AI219" i="25" s="1"/>
  <c r="AI225" i="25" s="1"/>
  <c r="AI100" i="18"/>
  <c r="AI106" i="18" s="1"/>
  <c r="AI112" i="18" s="1"/>
  <c r="AI118" i="18" s="1"/>
  <c r="AI7" i="25"/>
  <c r="AI13" i="25" s="1"/>
  <c r="AI19" i="25" s="1"/>
  <c r="AI25" i="25" s="1"/>
  <c r="AI66" i="18"/>
  <c r="AI72" i="18" s="1"/>
  <c r="AI78" i="18" s="1"/>
  <c r="AI84" i="18" s="1"/>
  <c r="AI136" i="18"/>
  <c r="AI142" i="18" s="1"/>
  <c r="AI148" i="18" s="1"/>
  <c r="AI154" i="18" s="1"/>
  <c r="AI75" i="25"/>
  <c r="AI81" i="25" s="1"/>
  <c r="AI87" i="25" s="1"/>
  <c r="AI93" i="25" s="1"/>
  <c r="AI138" i="18"/>
  <c r="AI144" i="18" s="1"/>
  <c r="AI150" i="18" s="1"/>
  <c r="AI156" i="18" s="1"/>
  <c r="AI102" i="18"/>
  <c r="AI108" i="18" s="1"/>
  <c r="AI114" i="18" s="1"/>
  <c r="AI120" i="18" s="1"/>
  <c r="AI6" i="25"/>
  <c r="AI12" i="25" s="1"/>
  <c r="AI18" i="25" s="1"/>
  <c r="AI24" i="25" s="1"/>
  <c r="AI170" i="25"/>
  <c r="AI176" i="25" s="1"/>
  <c r="AI182" i="25" s="1"/>
  <c r="AI188" i="25" s="1"/>
  <c r="AI141" i="25"/>
  <c r="AI147" i="25" s="1"/>
  <c r="AI153" i="25" s="1"/>
  <c r="AI159" i="25" s="1"/>
  <c r="AI62" i="18"/>
  <c r="AI68" i="18" s="1"/>
  <c r="AI74" i="18" s="1"/>
  <c r="AI80" i="18" s="1"/>
  <c r="AI208" i="25"/>
  <c r="AI214" i="25" s="1"/>
  <c r="AI220" i="25" s="1"/>
  <c r="AI226" i="25" s="1"/>
  <c r="AI103" i="18"/>
  <c r="AI109" i="18" s="1"/>
  <c r="AI115" i="18" s="1"/>
  <c r="AI121" i="18" s="1"/>
  <c r="AI31" i="18"/>
  <c r="AI38" i="18" s="1"/>
  <c r="AI39" i="18" s="1"/>
  <c r="AI140" i="25"/>
  <c r="AI146" i="25" s="1"/>
  <c r="AI152" i="25" s="1"/>
  <c r="AI158" i="25" s="1"/>
  <c r="AI63" i="18"/>
  <c r="AI69" i="18" s="1"/>
  <c r="AI75" i="18" s="1"/>
  <c r="AI81" i="18" s="1"/>
  <c r="AI109" i="25"/>
  <c r="AI115" i="25" s="1"/>
  <c r="AI121" i="25" s="1"/>
  <c r="AI127" i="25" s="1"/>
  <c r="AI107" i="25"/>
  <c r="AI113" i="25" s="1"/>
  <c r="AI119" i="25" s="1"/>
  <c r="AI125" i="25" s="1"/>
  <c r="AI28" i="18"/>
  <c r="AI35" i="18" s="1"/>
  <c r="AI43" i="18" s="1"/>
  <c r="AI175" i="25"/>
  <c r="AI181" i="25" s="1"/>
  <c r="AI187" i="25" s="1"/>
  <c r="AI193" i="25" s="1"/>
  <c r="AI5" i="25"/>
  <c r="AI11" i="25" s="1"/>
  <c r="AI17" i="25" s="1"/>
  <c r="AI23" i="25" s="1"/>
  <c r="AB5" i="11"/>
  <c r="AE5" i="11"/>
  <c r="S5" i="11"/>
  <c r="V5" i="11"/>
  <c r="Y5" i="11"/>
  <c r="P5" i="11"/>
  <c r="AF97" i="28"/>
  <c r="AF141" i="28"/>
  <c r="W203" i="25"/>
  <c r="W209" i="25" s="1"/>
  <c r="W215" i="25" s="1"/>
  <c r="W221" i="25" s="1"/>
  <c r="G207" i="25"/>
  <c r="G213" i="25" s="1"/>
  <c r="G219" i="25" s="1"/>
  <c r="G225" i="25" s="1"/>
  <c r="AK57" i="28"/>
  <c r="AK184" i="28"/>
  <c r="Q10" i="11"/>
  <c r="W10" i="11"/>
  <c r="AC10" i="11"/>
  <c r="AF10" i="11"/>
  <c r="T10" i="11"/>
  <c r="Z10" i="11"/>
  <c r="AM39" i="59"/>
  <c r="AH37" i="32"/>
  <c r="AH56" i="32"/>
  <c r="AH65" i="32"/>
  <c r="AH18" i="32"/>
  <c r="AH46" i="32"/>
  <c r="AH27" i="32"/>
  <c r="AE71" i="52"/>
  <c r="AH9" i="32"/>
  <c r="AE48" i="18"/>
  <c r="T51" i="28"/>
  <c r="AK5" i="41"/>
  <c r="AK20" i="41" s="1"/>
  <c r="AK21" i="41"/>
  <c r="Q74" i="25"/>
  <c r="Q80" i="25" s="1"/>
  <c r="Q86" i="25" s="1"/>
  <c r="Q92" i="25" s="1"/>
  <c r="AF99" i="53"/>
  <c r="AF119" i="53"/>
  <c r="T73" i="25"/>
  <c r="T79" i="25" s="1"/>
  <c r="T85" i="25" s="1"/>
  <c r="T91" i="25" s="1"/>
  <c r="T30" i="18"/>
  <c r="T37" i="18" s="1"/>
  <c r="T45" i="18" s="1"/>
  <c r="T46" i="18" s="1"/>
  <c r="T53" i="18" s="1"/>
  <c r="T71" i="25"/>
  <c r="T77" i="25" s="1"/>
  <c r="T83" i="25" s="1"/>
  <c r="T89" i="25" s="1"/>
  <c r="AK48" i="59"/>
  <c r="Q64" i="18"/>
  <c r="Q70" i="18" s="1"/>
  <c r="Q76" i="18" s="1"/>
  <c r="Q82" i="18" s="1"/>
  <c r="Q101" i="18"/>
  <c r="Q107" i="18" s="1"/>
  <c r="Q113" i="18" s="1"/>
  <c r="Q119" i="18" s="1"/>
  <c r="Q125" i="18" s="1"/>
  <c r="Q40" i="25"/>
  <c r="Q46" i="25" s="1"/>
  <c r="Q52" i="25" s="1"/>
  <c r="Q58" i="25" s="1"/>
  <c r="E123" i="25"/>
  <c r="E129" i="25" s="1"/>
  <c r="H37" i="32"/>
  <c r="AJ163" i="59"/>
  <c r="AJ40" i="59"/>
  <c r="I193" i="32"/>
  <c r="I164" i="32"/>
  <c r="I202" i="32"/>
  <c r="I146" i="32"/>
  <c r="I155" i="32"/>
  <c r="I174" i="32"/>
  <c r="F84" i="52"/>
  <c r="F50" i="20"/>
  <c r="R83" i="33"/>
  <c r="R21" i="33" s="1"/>
  <c r="R39" i="33" s="1"/>
  <c r="R57" i="33" s="1"/>
  <c r="I138" i="11"/>
  <c r="AA82" i="52"/>
  <c r="AD172" i="32"/>
  <c r="AD181" i="32"/>
  <c r="AD162" i="32"/>
  <c r="AA48" i="20"/>
  <c r="AA47" i="20"/>
  <c r="AA54" i="20" s="1"/>
  <c r="AD200" i="32"/>
  <c r="AA129" i="20"/>
  <c r="G12" i="59"/>
  <c r="G94" i="59"/>
  <c r="Y192" i="27"/>
  <c r="Y198" i="27" s="1"/>
  <c r="AB195" i="32"/>
  <c r="P28" i="5"/>
  <c r="Y28" i="5" s="1"/>
  <c r="Z28" i="5" s="1"/>
  <c r="AC28" i="5" s="1"/>
  <c r="O28" i="5"/>
  <c r="AN88" i="27"/>
  <c r="AN94" i="27" s="1"/>
  <c r="AN63" i="28"/>
  <c r="X119" i="27"/>
  <c r="X125" i="27" s="1"/>
  <c r="X112" i="20"/>
  <c r="X118" i="20" s="1"/>
  <c r="AI143" i="11"/>
  <c r="AA138" i="11"/>
  <c r="AK83" i="33"/>
  <c r="AK21" i="33" s="1"/>
  <c r="AK39" i="33" s="1"/>
  <c r="AK57" i="33" s="1"/>
  <c r="Z27" i="11"/>
  <c r="AF27" i="11"/>
  <c r="T27" i="11"/>
  <c r="AC27" i="11"/>
  <c r="Q27" i="11"/>
  <c r="W27" i="11"/>
  <c r="AB4" i="5"/>
  <c r="AK4" i="5"/>
  <c r="AI4" i="19" s="1"/>
  <c r="Z4" i="5"/>
  <c r="AC4" i="5" s="1"/>
  <c r="F51" i="26"/>
  <c r="F57" i="26" s="1"/>
  <c r="K15" i="32"/>
  <c r="K16" i="32" s="1"/>
  <c r="J10" i="34" s="1"/>
  <c r="K25" i="32"/>
  <c r="J11" i="34" s="1"/>
  <c r="K6" i="32"/>
  <c r="K7" i="32" s="1"/>
  <c r="J9" i="34" s="1"/>
  <c r="I194" i="25"/>
  <c r="I227" i="25"/>
  <c r="I161" i="25"/>
  <c r="I128" i="25"/>
  <c r="I62" i="25"/>
  <c r="I29" i="25"/>
  <c r="AS5" i="5"/>
  <c r="AR5" i="5"/>
  <c r="E11" i="53"/>
  <c r="E54" i="53"/>
  <c r="E98" i="53" s="1"/>
  <c r="E142" i="53" s="1"/>
  <c r="E187" i="53" s="1"/>
  <c r="W172" i="25"/>
  <c r="W178" i="25" s="1"/>
  <c r="W184" i="25" s="1"/>
  <c r="W190" i="25" s="1"/>
  <c r="G141" i="25"/>
  <c r="G147" i="25" s="1"/>
  <c r="G153" i="25" s="1"/>
  <c r="G159" i="25" s="1"/>
  <c r="AL107" i="59"/>
  <c r="AL168" i="59" s="1"/>
  <c r="AL45" i="59"/>
  <c r="O127" i="25"/>
  <c r="O133" i="25" s="1"/>
  <c r="R41" i="32"/>
  <c r="Q137" i="25"/>
  <c r="Q143" i="25" s="1"/>
  <c r="Q149" i="25" s="1"/>
  <c r="Q155" i="25" s="1"/>
  <c r="AC94" i="53"/>
  <c r="AC95" i="53"/>
  <c r="AL105" i="59"/>
  <c r="AL42" i="59" s="1"/>
  <c r="AL43" i="59"/>
  <c r="AM40" i="28"/>
  <c r="T124" i="18"/>
  <c r="AI141" i="11"/>
  <c r="E126" i="25"/>
  <c r="E132" i="25" s="1"/>
  <c r="H40" i="32"/>
  <c r="AC128" i="18"/>
  <c r="AC130" i="18" s="1"/>
  <c r="AC15" i="18"/>
  <c r="AC137" i="25"/>
  <c r="AC143" i="25" s="1"/>
  <c r="AC149" i="25" s="1"/>
  <c r="AC155" i="25" s="1"/>
  <c r="AC8" i="25"/>
  <c r="AC14" i="25" s="1"/>
  <c r="AC20" i="25" s="1"/>
  <c r="AC26" i="25" s="1"/>
  <c r="AC203" i="25"/>
  <c r="AC209" i="25" s="1"/>
  <c r="AC215" i="25" s="1"/>
  <c r="AC221" i="25" s="1"/>
  <c r="AF43" i="32"/>
  <c r="AC204" i="25"/>
  <c r="AC210" i="25" s="1"/>
  <c r="AC216" i="25" s="1"/>
  <c r="AC222" i="25" s="1"/>
  <c r="AC26" i="18"/>
  <c r="AC33" i="18" s="1"/>
  <c r="AC41" i="18" s="1"/>
  <c r="AC42" i="25"/>
  <c r="AC48" i="25" s="1"/>
  <c r="AC54" i="25" s="1"/>
  <c r="AC60" i="25" s="1"/>
  <c r="AC105" i="25"/>
  <c r="AC111" i="25" s="1"/>
  <c r="AC117" i="25" s="1"/>
  <c r="AC123" i="25" s="1"/>
  <c r="AC174" i="25"/>
  <c r="AC180" i="25" s="1"/>
  <c r="AC186" i="25" s="1"/>
  <c r="AC192" i="25" s="1"/>
  <c r="AC9" i="25"/>
  <c r="AC15" i="25" s="1"/>
  <c r="AC21" i="25" s="1"/>
  <c r="AC27" i="25" s="1"/>
  <c r="AC76" i="25"/>
  <c r="AC82" i="25" s="1"/>
  <c r="AC88" i="25" s="1"/>
  <c r="AC94" i="25" s="1"/>
  <c r="AC208" i="25"/>
  <c r="AC214" i="25" s="1"/>
  <c r="AC220" i="25" s="1"/>
  <c r="AC226" i="25" s="1"/>
  <c r="AC139" i="18"/>
  <c r="AC145" i="18" s="1"/>
  <c r="AC151" i="18" s="1"/>
  <c r="AC157" i="18" s="1"/>
  <c r="AC71" i="25"/>
  <c r="AC77" i="25" s="1"/>
  <c r="AC83" i="25" s="1"/>
  <c r="AC89" i="25" s="1"/>
  <c r="AC138" i="25"/>
  <c r="AC144" i="25" s="1"/>
  <c r="AC150" i="25" s="1"/>
  <c r="AC156" i="25" s="1"/>
  <c r="AC27" i="18"/>
  <c r="AC34" i="18" s="1"/>
  <c r="AC42" i="18" s="1"/>
  <c r="AC104" i="25"/>
  <c r="AC110" i="25" s="1"/>
  <c r="AC116" i="25" s="1"/>
  <c r="AC122" i="25" s="1"/>
  <c r="AC74" i="25"/>
  <c r="AC80" i="25" s="1"/>
  <c r="AC86" i="25" s="1"/>
  <c r="AC92" i="25" s="1"/>
  <c r="AC140" i="25"/>
  <c r="AC146" i="25" s="1"/>
  <c r="AC152" i="25" s="1"/>
  <c r="AC158" i="25" s="1"/>
  <c r="AC41" i="25"/>
  <c r="AC47" i="25" s="1"/>
  <c r="AC53" i="25" s="1"/>
  <c r="AC59" i="25" s="1"/>
  <c r="AC108" i="25"/>
  <c r="AC114" i="25" s="1"/>
  <c r="AC120" i="25" s="1"/>
  <c r="AC126" i="25" s="1"/>
  <c r="AC138" i="18"/>
  <c r="AC144" i="18" s="1"/>
  <c r="AC150" i="18" s="1"/>
  <c r="AC156" i="18" s="1"/>
  <c r="AC30" i="18"/>
  <c r="AC37" i="18" s="1"/>
  <c r="AC45" i="18" s="1"/>
  <c r="AC136" i="18"/>
  <c r="AC142" i="18" s="1"/>
  <c r="AC148" i="18" s="1"/>
  <c r="AC154" i="18" s="1"/>
  <c r="AC103" i="18"/>
  <c r="AC109" i="18" s="1"/>
  <c r="AC115" i="18" s="1"/>
  <c r="AC121" i="18" s="1"/>
  <c r="AC67" i="18"/>
  <c r="AC73" i="18" s="1"/>
  <c r="AC79" i="18" s="1"/>
  <c r="AC85" i="18" s="1"/>
  <c r="AC29" i="18"/>
  <c r="AC36" i="18" s="1"/>
  <c r="AC44" i="18" s="1"/>
  <c r="AC100" i="18"/>
  <c r="AC106" i="18" s="1"/>
  <c r="AC112" i="18" s="1"/>
  <c r="AC118" i="18" s="1"/>
  <c r="AC102" i="18"/>
  <c r="AC108" i="18" s="1"/>
  <c r="AC114" i="18" s="1"/>
  <c r="AC120" i="18" s="1"/>
  <c r="AC207" i="25"/>
  <c r="AC213" i="25" s="1"/>
  <c r="AC219" i="25" s="1"/>
  <c r="AC225" i="25" s="1"/>
  <c r="AC141" i="25"/>
  <c r="AC147" i="25" s="1"/>
  <c r="AC153" i="25" s="1"/>
  <c r="AC159" i="25" s="1"/>
  <c r="AC139" i="25"/>
  <c r="AC145" i="25" s="1"/>
  <c r="AC151" i="25" s="1"/>
  <c r="AC157" i="25" s="1"/>
  <c r="AC173" i="25"/>
  <c r="AC179" i="25" s="1"/>
  <c r="AC185" i="25" s="1"/>
  <c r="AC191" i="25" s="1"/>
  <c r="AC40" i="25"/>
  <c r="AC46" i="25" s="1"/>
  <c r="AC52" i="25" s="1"/>
  <c r="AC58" i="25" s="1"/>
  <c r="AC170" i="25"/>
  <c r="AC176" i="25" s="1"/>
  <c r="AC182" i="25" s="1"/>
  <c r="AC188" i="25" s="1"/>
  <c r="T137" i="25"/>
  <c r="T143" i="25" s="1"/>
  <c r="T149" i="25" s="1"/>
  <c r="T7" i="25"/>
  <c r="T13" i="25" s="1"/>
  <c r="T19" i="25" s="1"/>
  <c r="T141" i="25"/>
  <c r="T147" i="25" s="1"/>
  <c r="T153" i="25" s="1"/>
  <c r="T159" i="25" s="1"/>
  <c r="E188" i="25"/>
  <c r="E194" i="25" s="1"/>
  <c r="H55" i="32"/>
  <c r="R88" i="18"/>
  <c r="Q63" i="18"/>
  <c r="Q69" i="18" s="1"/>
  <c r="Q75" i="18" s="1"/>
  <c r="Q81" i="18" s="1"/>
  <c r="Q100" i="18"/>
  <c r="Q106" i="18" s="1"/>
  <c r="Q112" i="18" s="1"/>
  <c r="Q118" i="18" s="1"/>
  <c r="Q108" i="25"/>
  <c r="Q114" i="25" s="1"/>
  <c r="Q120" i="25" s="1"/>
  <c r="Q126" i="25" s="1"/>
  <c r="AJ38" i="59"/>
  <c r="AJ161" i="59"/>
  <c r="AJ44" i="59"/>
  <c r="AJ173" i="59"/>
  <c r="AJ169" i="59"/>
  <c r="I126" i="11"/>
  <c r="R71" i="33"/>
  <c r="R9" i="33" s="1"/>
  <c r="R27" i="33" s="1"/>
  <c r="R45" i="33" s="1"/>
  <c r="AD146" i="32"/>
  <c r="AD164" i="32"/>
  <c r="AD193" i="32"/>
  <c r="AA50" i="20"/>
  <c r="AD155" i="32"/>
  <c r="AA84" i="52"/>
  <c r="AD183" i="32"/>
  <c r="AD202" i="32"/>
  <c r="E225" i="25"/>
  <c r="E231" i="25" s="1"/>
  <c r="H68" i="32"/>
  <c r="T40" i="28"/>
  <c r="X46" i="20"/>
  <c r="X50" i="27"/>
  <c r="X56" i="27" s="1"/>
  <c r="AK74" i="33"/>
  <c r="AK12" i="33" s="1"/>
  <c r="AK30" i="33" s="1"/>
  <c r="AK48" i="33" s="1"/>
  <c r="AA129" i="11"/>
  <c r="AJ63" i="28"/>
  <c r="T59" i="28"/>
  <c r="R22" i="11"/>
  <c r="AJ65" i="32"/>
  <c r="AG71" i="52"/>
  <c r="AJ27" i="32"/>
  <c r="AJ18" i="32"/>
  <c r="AJ9" i="32"/>
  <c r="AJ37" i="32"/>
  <c r="AG48" i="18"/>
  <c r="AG159" i="18" s="1"/>
  <c r="C50" i="33"/>
  <c r="D50" i="33" s="1"/>
  <c r="D32" i="33"/>
  <c r="T168" i="59"/>
  <c r="T45" i="59"/>
  <c r="T107" i="59"/>
  <c r="W208" i="25"/>
  <c r="W214" i="25" s="1"/>
  <c r="W220" i="25" s="1"/>
  <c r="W226" i="25" s="1"/>
  <c r="G203" i="25"/>
  <c r="G209" i="25" s="1"/>
  <c r="G215" i="25" s="1"/>
  <c r="G221" i="25" s="1"/>
  <c r="I191" i="32"/>
  <c r="I162" i="32"/>
  <c r="F82" i="52"/>
  <c r="I144" i="32"/>
  <c r="F48" i="20"/>
  <c r="F47" i="20"/>
  <c r="F54" i="20" s="1"/>
  <c r="I200" i="32"/>
  <c r="I153" i="32"/>
  <c r="I172" i="32"/>
  <c r="I181" i="32"/>
  <c r="Q73" i="52"/>
  <c r="T29" i="32"/>
  <c r="Q50" i="18"/>
  <c r="Q89" i="18" s="1"/>
  <c r="T11" i="32"/>
  <c r="T58" i="32"/>
  <c r="T72" i="52"/>
  <c r="W57" i="32"/>
  <c r="T49" i="18"/>
  <c r="W47" i="32"/>
  <c r="W28" i="32"/>
  <c r="W19" i="32"/>
  <c r="W38" i="32"/>
  <c r="T87" i="18"/>
  <c r="X22" i="18"/>
  <c r="X12" i="18"/>
  <c r="X205" i="25" s="1"/>
  <c r="X211" i="25" s="1"/>
  <c r="X217" i="25" s="1"/>
  <c r="X223" i="25" s="1"/>
  <c r="X15" i="18"/>
  <c r="X128" i="18"/>
  <c r="X130" i="18" s="1"/>
  <c r="AA43" i="32"/>
  <c r="AJ47" i="28"/>
  <c r="AK89" i="50"/>
  <c r="AK110" i="50"/>
  <c r="AC22" i="18"/>
  <c r="AC12" i="18"/>
  <c r="AC98" i="18" s="1"/>
  <c r="AC104" i="18" s="1"/>
  <c r="AC110" i="18" s="1"/>
  <c r="AC116" i="18" s="1"/>
  <c r="T6" i="25"/>
  <c r="T12" i="25" s="1"/>
  <c r="T18" i="25" s="1"/>
  <c r="T24" i="25" s="1"/>
  <c r="T205" i="25"/>
  <c r="T211" i="25" s="1"/>
  <c r="T217" i="25" s="1"/>
  <c r="T223" i="25" s="1"/>
  <c r="T173" i="25"/>
  <c r="T179" i="25" s="1"/>
  <c r="T185" i="25" s="1"/>
  <c r="T191" i="25" s="1"/>
  <c r="AI50" i="28"/>
  <c r="Q139" i="18"/>
  <c r="Q145" i="18" s="1"/>
  <c r="Q151" i="18" s="1"/>
  <c r="Q157" i="18" s="1"/>
  <c r="Q106" i="25"/>
  <c r="Q112" i="25" s="1"/>
  <c r="Q118" i="25" s="1"/>
  <c r="Q124" i="25" s="1"/>
  <c r="AD24" i="1"/>
  <c r="W24" i="1"/>
  <c r="AN32" i="20"/>
  <c r="AN39" i="20" s="1"/>
  <c r="AN40" i="20" s="1"/>
  <c r="X143" i="11"/>
  <c r="I132" i="11"/>
  <c r="R77" i="33"/>
  <c r="R15" i="33" s="1"/>
  <c r="R33" i="33" s="1"/>
  <c r="R51" i="33" s="1"/>
  <c r="H87" i="52"/>
  <c r="K205" i="32"/>
  <c r="K167" i="32"/>
  <c r="K186" i="32"/>
  <c r="H53" i="20"/>
  <c r="K196" i="32"/>
  <c r="K158" i="32"/>
  <c r="AA123" i="20"/>
  <c r="AJ61" i="28"/>
  <c r="Z93" i="32"/>
  <c r="Z25" i="34" s="1"/>
  <c r="Z39" i="34" s="1"/>
  <c r="Z83" i="32"/>
  <c r="Z84" i="32" s="1"/>
  <c r="Z24" i="34" s="1"/>
  <c r="Z38" i="34" s="1"/>
  <c r="Z74" i="32"/>
  <c r="Z75" i="32" s="1"/>
  <c r="Z23" i="34" s="1"/>
  <c r="Z37" i="34" s="1"/>
  <c r="Y193" i="27"/>
  <c r="Y199" i="27" s="1"/>
  <c r="AB196" i="32"/>
  <c r="X45" i="20"/>
  <c r="AA48" i="28"/>
  <c r="Q123" i="11"/>
  <c r="AJ17" i="11"/>
  <c r="AM17" i="11" s="1"/>
  <c r="AA68" i="33"/>
  <c r="AA6" i="33" s="1"/>
  <c r="AA24" i="33" s="1"/>
  <c r="AA42" i="33" s="1"/>
  <c r="AK80" i="33"/>
  <c r="AK18" i="33" s="1"/>
  <c r="AK36" i="33" s="1"/>
  <c r="AK54" i="33" s="1"/>
  <c r="AA135" i="11"/>
  <c r="AJ61" i="59"/>
  <c r="N79" i="33"/>
  <c r="N17" i="33" s="1"/>
  <c r="N35" i="33" s="1"/>
  <c r="N53" i="33" s="1"/>
  <c r="AL134" i="11"/>
  <c r="AM191" i="32"/>
  <c r="J71" i="52"/>
  <c r="J48" i="18"/>
  <c r="M37" i="32"/>
  <c r="M65" i="32"/>
  <c r="M27" i="32"/>
  <c r="M56" i="32"/>
  <c r="F121" i="26"/>
  <c r="F127" i="26" s="1"/>
  <c r="AI53" i="32"/>
  <c r="AI54" i="32" s="1"/>
  <c r="AL15" i="34" s="1"/>
  <c r="AI63" i="32"/>
  <c r="AL14" i="34" s="1"/>
  <c r="AK52" i="59"/>
  <c r="W73" i="25"/>
  <c r="W79" i="25" s="1"/>
  <c r="W85" i="25" s="1"/>
  <c r="W91" i="25" s="1"/>
  <c r="AK38" i="50"/>
  <c r="AK107" i="50"/>
  <c r="Y88" i="18"/>
  <c r="Q39" i="25"/>
  <c r="Q45" i="25" s="1"/>
  <c r="Q51" i="25" s="1"/>
  <c r="Q57" i="25" s="1"/>
  <c r="Q42" i="25"/>
  <c r="Q48" i="25" s="1"/>
  <c r="Q54" i="25" s="1"/>
  <c r="Q60" i="25" s="1"/>
  <c r="Q136" i="18"/>
  <c r="Q142" i="18" s="1"/>
  <c r="Q148" i="18" s="1"/>
  <c r="Q154" i="18" s="1"/>
  <c r="Q138" i="18"/>
  <c r="Q144" i="18" s="1"/>
  <c r="Q150" i="18" s="1"/>
  <c r="Q156" i="18" s="1"/>
  <c r="Q6" i="25"/>
  <c r="Q12" i="25" s="1"/>
  <c r="Q18" i="25" s="1"/>
  <c r="Q24" i="25" s="1"/>
  <c r="Q204" i="25"/>
  <c r="Q210" i="25" s="1"/>
  <c r="Q216" i="25" s="1"/>
  <c r="Q222" i="25" s="1"/>
  <c r="Q172" i="25"/>
  <c r="Q178" i="25" s="1"/>
  <c r="Q184" i="25" s="1"/>
  <c r="Q190" i="25" s="1"/>
  <c r="Q174" i="25"/>
  <c r="Q180" i="25" s="1"/>
  <c r="Q186" i="25" s="1"/>
  <c r="Q192" i="25" s="1"/>
  <c r="Q102" i="18"/>
  <c r="Q108" i="18" s="1"/>
  <c r="Q114" i="18" s="1"/>
  <c r="Q120" i="18" s="1"/>
  <c r="Q99" i="18"/>
  <c r="Q105" i="18" s="1"/>
  <c r="Q111" i="18" s="1"/>
  <c r="Q117" i="18" s="1"/>
  <c r="AQ122" i="11"/>
  <c r="AH67" i="33"/>
  <c r="AH5" i="33" s="1"/>
  <c r="AH23" i="33" s="1"/>
  <c r="AH41" i="33" s="1"/>
  <c r="M106" i="53"/>
  <c r="M126" i="53"/>
  <c r="M96" i="53"/>
  <c r="I97" i="28"/>
  <c r="I141" i="28"/>
  <c r="AN110" i="20"/>
  <c r="AN116" i="20" s="1"/>
  <c r="R74" i="33"/>
  <c r="R12" i="33" s="1"/>
  <c r="R30" i="33" s="1"/>
  <c r="R48" i="33" s="1"/>
  <c r="I129" i="11"/>
  <c r="J133" i="11"/>
  <c r="S78" i="33"/>
  <c r="S16" i="33" s="1"/>
  <c r="S34" i="33" s="1"/>
  <c r="S52" i="33" s="1"/>
  <c r="AA94" i="59"/>
  <c r="AA4" i="59"/>
  <c r="AA31" i="59" s="1"/>
  <c r="X117" i="27"/>
  <c r="X52" i="27"/>
  <c r="X58" i="27" s="1"/>
  <c r="AA71" i="33"/>
  <c r="AA9" i="33" s="1"/>
  <c r="AA27" i="33" s="1"/>
  <c r="AA45" i="33" s="1"/>
  <c r="Q126" i="11"/>
  <c r="AL41" i="59"/>
  <c r="AD4" i="1"/>
  <c r="W4" i="1"/>
  <c r="AI32" i="20"/>
  <c r="AI39" i="20" s="1"/>
  <c r="AI40" i="20" s="1"/>
  <c r="AI63" i="28"/>
  <c r="J124" i="18"/>
  <c r="F19" i="26"/>
  <c r="F25" i="26" s="1"/>
  <c r="Y90" i="20"/>
  <c r="W137" i="25"/>
  <c r="W143" i="25" s="1"/>
  <c r="W149" i="25" s="1"/>
  <c r="W155" i="25" s="1"/>
  <c r="AD97" i="28"/>
  <c r="AD141" i="28"/>
  <c r="Q140" i="25"/>
  <c r="Q146" i="25" s="1"/>
  <c r="Q152" i="25" s="1"/>
  <c r="Q158" i="25" s="1"/>
  <c r="AL59" i="28"/>
  <c r="Y161" i="18"/>
  <c r="AM58" i="28"/>
  <c r="Q105" i="25"/>
  <c r="Q111" i="25" s="1"/>
  <c r="Q117" i="25" s="1"/>
  <c r="Q123" i="25" s="1"/>
  <c r="Q67" i="18"/>
  <c r="Q73" i="18" s="1"/>
  <c r="Q79" i="18" s="1"/>
  <c r="Q85" i="18" s="1"/>
  <c r="Q38" i="25"/>
  <c r="Q44" i="25" s="1"/>
  <c r="Q50" i="25" s="1"/>
  <c r="Q56" i="25" s="1"/>
  <c r="AD24" i="3"/>
  <c r="W24" i="3"/>
  <c r="AC126" i="53"/>
  <c r="AC96" i="53"/>
  <c r="AC106" i="53"/>
  <c r="AN119" i="27"/>
  <c r="AN125" i="27" s="1"/>
  <c r="E23" i="19"/>
  <c r="E13" i="19"/>
  <c r="H130" i="32" s="1"/>
  <c r="I123" i="11"/>
  <c r="AJ8" i="11"/>
  <c r="AM8" i="11" s="1"/>
  <c r="R68" i="33"/>
  <c r="R6" i="33" s="1"/>
  <c r="R24" i="33" s="1"/>
  <c r="R42" i="33" s="1"/>
  <c r="AD58" i="25"/>
  <c r="AG19" i="32"/>
  <c r="AA85" i="52"/>
  <c r="AA51" i="20"/>
  <c r="AD175" i="32"/>
  <c r="AD194" i="32"/>
  <c r="AD184" i="32"/>
  <c r="AD165" i="32"/>
  <c r="AD156" i="32"/>
  <c r="AD203" i="32"/>
  <c r="AK49" i="59"/>
  <c r="AH191" i="25"/>
  <c r="AH197" i="25" s="1"/>
  <c r="AK58" i="32"/>
  <c r="S77" i="33"/>
  <c r="S15" i="33" s="1"/>
  <c r="S33" i="33" s="1"/>
  <c r="S51" i="33" s="1"/>
  <c r="J132" i="11"/>
  <c r="J127" i="11"/>
  <c r="S72" i="33"/>
  <c r="S10" i="33" s="1"/>
  <c r="S28" i="33" s="1"/>
  <c r="S46" i="33" s="1"/>
  <c r="X149" i="20"/>
  <c r="X155" i="20" s="1"/>
  <c r="X51" i="27"/>
  <c r="X57" i="27" s="1"/>
  <c r="Q138" i="11"/>
  <c r="AA83" i="33"/>
  <c r="AA21" i="33" s="1"/>
  <c r="AA39" i="33" s="1"/>
  <c r="AA57" i="33" s="1"/>
  <c r="AM69" i="28"/>
  <c r="AM5" i="28"/>
  <c r="AM103" i="28"/>
  <c r="AN154" i="27"/>
  <c r="AN160" i="27" s="1"/>
  <c r="AH143" i="11"/>
  <c r="AN78" i="20"/>
  <c r="AN84" i="20" s="1"/>
  <c r="K25" i="33"/>
  <c r="E28" i="33"/>
  <c r="T139" i="25"/>
  <c r="T145" i="25" s="1"/>
  <c r="T151" i="25" s="1"/>
  <c r="T157" i="25" s="1"/>
  <c r="AK55" i="50"/>
  <c r="AK108" i="50"/>
  <c r="S18" i="11"/>
  <c r="P18" i="11"/>
  <c r="Y18" i="11"/>
  <c r="V18" i="11"/>
  <c r="AE18" i="11"/>
  <c r="AB18" i="11"/>
  <c r="T138" i="25"/>
  <c r="T144" i="25" s="1"/>
  <c r="T150" i="25" s="1"/>
  <c r="T156" i="25" s="1"/>
  <c r="T66" i="18"/>
  <c r="T72" i="18" s="1"/>
  <c r="T78" i="18" s="1"/>
  <c r="T84" i="18" s="1"/>
  <c r="T90" i="18" s="1"/>
  <c r="Y162" i="18"/>
  <c r="U11" i="32"/>
  <c r="U67" i="32"/>
  <c r="U39" i="32"/>
  <c r="U58" i="32"/>
  <c r="R73" i="52"/>
  <c r="U20" i="32"/>
  <c r="U48" i="32"/>
  <c r="U29" i="32"/>
  <c r="R50" i="18"/>
  <c r="Q206" i="25"/>
  <c r="Q212" i="25" s="1"/>
  <c r="Q218" i="25" s="1"/>
  <c r="Q224" i="25" s="1"/>
  <c r="Q175" i="25"/>
  <c r="Q181" i="25" s="1"/>
  <c r="Q187" i="25" s="1"/>
  <c r="Q107" i="25"/>
  <c r="Q113" i="25" s="1"/>
  <c r="Q119" i="25" s="1"/>
  <c r="V96" i="53"/>
  <c r="V126" i="53"/>
  <c r="V106" i="53"/>
  <c r="AA51" i="59"/>
  <c r="AN86" i="27"/>
  <c r="AN92" i="27" s="1"/>
  <c r="I135" i="11"/>
  <c r="R80" i="33"/>
  <c r="R18" i="33" s="1"/>
  <c r="R36" i="33" s="1"/>
  <c r="R54" i="33" s="1"/>
  <c r="AH55" i="32"/>
  <c r="AH45" i="32"/>
  <c r="AH26" i="32"/>
  <c r="AH64" i="32"/>
  <c r="AE70" i="52"/>
  <c r="AH8" i="32"/>
  <c r="AH36" i="32"/>
  <c r="AE93" i="18"/>
  <c r="AE47" i="18"/>
  <c r="AH17" i="32"/>
  <c r="AE46" i="18"/>
  <c r="AE53" i="18" s="1"/>
  <c r="AE88" i="18"/>
  <c r="S76" i="33"/>
  <c r="S14" i="33" s="1"/>
  <c r="S32" i="33" s="1"/>
  <c r="S50" i="33" s="1"/>
  <c r="J131" i="11"/>
  <c r="J127" i="53"/>
  <c r="J132" i="53" s="1"/>
  <c r="AN152" i="27"/>
  <c r="AN158" i="27" s="1"/>
  <c r="AK47" i="28"/>
  <c r="J126" i="11"/>
  <c r="S71" i="33"/>
  <c r="S9" i="33" s="1"/>
  <c r="S27" i="33" s="1"/>
  <c r="S45" i="33" s="1"/>
  <c r="AM116" i="59"/>
  <c r="AM177" i="59" s="1"/>
  <c r="AM54" i="59"/>
  <c r="AA74" i="33"/>
  <c r="AA12" i="33" s="1"/>
  <c r="AA30" i="33" s="1"/>
  <c r="AA48" i="33" s="1"/>
  <c r="Q129" i="11"/>
  <c r="AC20" i="5"/>
  <c r="AQ20" i="5"/>
  <c r="AR20" i="5" s="1"/>
  <c r="AJ69" i="28"/>
  <c r="AJ103" i="28"/>
  <c r="AJ5" i="28"/>
  <c r="AA232" i="25"/>
  <c r="AA199" i="25"/>
  <c r="AA133" i="25"/>
  <c r="AA100" i="25"/>
  <c r="AA127" i="18"/>
  <c r="AA67" i="25"/>
  <c r="AA166" i="25"/>
  <c r="AA34" i="25"/>
  <c r="AA163" i="18"/>
  <c r="AA91" i="18"/>
  <c r="E226" i="25"/>
  <c r="E232" i="25" s="1"/>
  <c r="H69" i="32"/>
  <c r="AN4" i="59"/>
  <c r="AN31" i="59" s="1"/>
  <c r="AN94" i="59"/>
  <c r="P97" i="28"/>
  <c r="P141" i="28"/>
  <c r="AK46" i="59"/>
  <c r="AK49" i="28"/>
  <c r="AI48" i="28"/>
  <c r="F217" i="26"/>
  <c r="F223" i="26" s="1"/>
  <c r="AI127" i="20"/>
  <c r="AM56" i="28"/>
  <c r="AM120" i="28"/>
  <c r="AL59" i="59"/>
  <c r="AD12" i="20"/>
  <c r="AD13" i="20" s="1"/>
  <c r="AG198" i="32" s="1"/>
  <c r="AD15" i="20"/>
  <c r="AD6" i="20"/>
  <c r="AD18" i="20"/>
  <c r="AJ229" i="27"/>
  <c r="AJ196" i="27"/>
  <c r="AJ163" i="27"/>
  <c r="AJ130" i="27"/>
  <c r="AJ97" i="27"/>
  <c r="AJ64" i="27"/>
  <c r="AJ31" i="27"/>
  <c r="AJ160" i="20"/>
  <c r="AJ88" i="20"/>
  <c r="AJ124" i="20"/>
  <c r="Q138" i="25"/>
  <c r="Q144" i="25" s="1"/>
  <c r="Q150" i="25" s="1"/>
  <c r="Q156" i="25" s="1"/>
  <c r="AS18" i="5"/>
  <c r="AR18" i="5"/>
  <c r="W62" i="32"/>
  <c r="T16" i="18"/>
  <c r="T18" i="18" s="1"/>
  <c r="AK21" i="50"/>
  <c r="AK106" i="50"/>
  <c r="O7" i="19"/>
  <c r="O5" i="19"/>
  <c r="O8" i="19"/>
  <c r="T98" i="18"/>
  <c r="T104" i="18" s="1"/>
  <c r="T110" i="18" s="1"/>
  <c r="T38" i="25"/>
  <c r="T44" i="25" s="1"/>
  <c r="T50" i="25" s="1"/>
  <c r="T56" i="25" s="1"/>
  <c r="V93" i="53"/>
  <c r="V123" i="53"/>
  <c r="Q170" i="25"/>
  <c r="Q176" i="25" s="1"/>
  <c r="Q182" i="25" s="1"/>
  <c r="Q188" i="25" s="1"/>
  <c r="Q29" i="18"/>
  <c r="Q36" i="18" s="1"/>
  <c r="Q44" i="18" s="1"/>
  <c r="Q203" i="25"/>
  <c r="Q209" i="25" s="1"/>
  <c r="Q215" i="25" s="1"/>
  <c r="Q221" i="25" s="1"/>
  <c r="AE159" i="18"/>
  <c r="E261" i="53"/>
  <c r="E356" i="53"/>
  <c r="E391" i="53" s="1"/>
  <c r="U92" i="19"/>
  <c r="U94" i="19" s="1"/>
  <c r="X92" i="32"/>
  <c r="AN61" i="28"/>
  <c r="J125" i="11"/>
  <c r="S70" i="33"/>
  <c r="S8" i="33" s="1"/>
  <c r="S26" i="33" s="1"/>
  <c r="S44" i="33" s="1"/>
  <c r="Q135" i="11"/>
  <c r="AA80" i="33"/>
  <c r="AA18" i="33" s="1"/>
  <c r="AA36" i="33" s="1"/>
  <c r="AA54" i="33" s="1"/>
  <c r="AE20" i="11"/>
  <c r="P20" i="11"/>
  <c r="AB20" i="11"/>
  <c r="Y20" i="11"/>
  <c r="S20" i="11"/>
  <c r="V20" i="11"/>
  <c r="AG141" i="11"/>
  <c r="K6" i="1"/>
  <c r="K6" i="3"/>
  <c r="K6" i="2"/>
  <c r="K6" i="4"/>
  <c r="AJ47" i="20"/>
  <c r="AJ54" i="20" s="1"/>
  <c r="Q199" i="32"/>
  <c r="Q21" i="34" s="1"/>
  <c r="Q35" i="34" s="1"/>
  <c r="Q189" i="32"/>
  <c r="Q190" i="32" s="1"/>
  <c r="Q22" i="34" s="1"/>
  <c r="Q36" i="34" s="1"/>
  <c r="AN87" i="28"/>
  <c r="AN22" i="28" s="1"/>
  <c r="AN121" i="28"/>
  <c r="AN23" i="28"/>
  <c r="AI59" i="28"/>
  <c r="AL48" i="28"/>
  <c r="F120" i="26"/>
  <c r="F126" i="26" s="1"/>
  <c r="W207" i="25"/>
  <c r="W213" i="25" s="1"/>
  <c r="W219" i="25" s="1"/>
  <c r="W225" i="25" s="1"/>
  <c r="W64" i="18"/>
  <c r="W70" i="18" s="1"/>
  <c r="W76" i="18" s="1"/>
  <c r="W82" i="18" s="1"/>
  <c r="W141" i="25"/>
  <c r="W147" i="25" s="1"/>
  <c r="W153" i="25" s="1"/>
  <c r="W159" i="25" s="1"/>
  <c r="W105" i="25"/>
  <c r="W111" i="25" s="1"/>
  <c r="W117" i="25" s="1"/>
  <c r="W123" i="25" s="1"/>
  <c r="W38" i="25"/>
  <c r="W44" i="25" s="1"/>
  <c r="W50" i="25" s="1"/>
  <c r="W56" i="25" s="1"/>
  <c r="W42" i="25"/>
  <c r="W48" i="25" s="1"/>
  <c r="W54" i="25" s="1"/>
  <c r="W60" i="25" s="1"/>
  <c r="W142" i="25"/>
  <c r="W148" i="25" s="1"/>
  <c r="W154" i="25" s="1"/>
  <c r="W160" i="25" s="1"/>
  <c r="W75" i="25"/>
  <c r="W81" i="25" s="1"/>
  <c r="W87" i="25" s="1"/>
  <c r="W93" i="25" s="1"/>
  <c r="W106" i="25"/>
  <c r="W112" i="25" s="1"/>
  <c r="W118" i="25" s="1"/>
  <c r="W124" i="25" s="1"/>
  <c r="W101" i="18"/>
  <c r="W107" i="18" s="1"/>
  <c r="W113" i="18" s="1"/>
  <c r="W119" i="18" s="1"/>
  <c r="W109" i="25"/>
  <c r="W115" i="25" s="1"/>
  <c r="W121" i="25" s="1"/>
  <c r="W127" i="25" s="1"/>
  <c r="W175" i="25"/>
  <c r="W181" i="25" s="1"/>
  <c r="W187" i="25" s="1"/>
  <c r="W193" i="25" s="1"/>
  <c r="W139" i="25"/>
  <c r="W145" i="25" s="1"/>
  <c r="W151" i="25" s="1"/>
  <c r="W157" i="25" s="1"/>
  <c r="W108" i="25"/>
  <c r="W114" i="25" s="1"/>
  <c r="W120" i="25" s="1"/>
  <c r="W126" i="25" s="1"/>
  <c r="W5" i="25"/>
  <c r="W11" i="25" s="1"/>
  <c r="W17" i="25" s="1"/>
  <c r="W23" i="25" s="1"/>
  <c r="W206" i="25"/>
  <c r="W212" i="25" s="1"/>
  <c r="W218" i="25" s="1"/>
  <c r="W224" i="25" s="1"/>
  <c r="W171" i="25"/>
  <c r="W177" i="25" s="1"/>
  <c r="W183" i="25" s="1"/>
  <c r="W189" i="25" s="1"/>
  <c r="W174" i="25"/>
  <c r="W180" i="25" s="1"/>
  <c r="W186" i="25" s="1"/>
  <c r="W192" i="25" s="1"/>
  <c r="W99" i="18"/>
  <c r="W105" i="18" s="1"/>
  <c r="W111" i="18" s="1"/>
  <c r="W117" i="18" s="1"/>
  <c r="W204" i="25"/>
  <c r="W210" i="25" s="1"/>
  <c r="W216" i="25" s="1"/>
  <c r="W222" i="25" s="1"/>
  <c r="W10" i="25"/>
  <c r="W16" i="25" s="1"/>
  <c r="W22" i="25" s="1"/>
  <c r="W28" i="25" s="1"/>
  <c r="W135" i="18"/>
  <c r="W141" i="18" s="1"/>
  <c r="W147" i="18" s="1"/>
  <c r="W153" i="18" s="1"/>
  <c r="W9" i="25"/>
  <c r="W15" i="25" s="1"/>
  <c r="W21" i="25" s="1"/>
  <c r="W27" i="25" s="1"/>
  <c r="W43" i="25"/>
  <c r="W49" i="25" s="1"/>
  <c r="W55" i="25" s="1"/>
  <c r="W61" i="25" s="1"/>
  <c r="W62" i="18"/>
  <c r="W68" i="18" s="1"/>
  <c r="W74" i="18" s="1"/>
  <c r="W80" i="18" s="1"/>
  <c r="W7" i="25"/>
  <c r="W13" i="25" s="1"/>
  <c r="W19" i="25" s="1"/>
  <c r="W25" i="25" s="1"/>
  <c r="W40" i="25"/>
  <c r="W46" i="25" s="1"/>
  <c r="W52" i="25" s="1"/>
  <c r="W58" i="25" s="1"/>
  <c r="W26" i="18"/>
  <c r="W33" i="18" s="1"/>
  <c r="W41" i="18" s="1"/>
  <c r="W63" i="18"/>
  <c r="W69" i="18" s="1"/>
  <c r="W75" i="18" s="1"/>
  <c r="W81" i="18" s="1"/>
  <c r="W27" i="18"/>
  <c r="W34" i="18" s="1"/>
  <c r="W42" i="18" s="1"/>
  <c r="W139" i="18"/>
  <c r="W145" i="18" s="1"/>
  <c r="W151" i="18" s="1"/>
  <c r="W157" i="18" s="1"/>
  <c r="W173" i="25"/>
  <c r="W179" i="25" s="1"/>
  <c r="W185" i="25" s="1"/>
  <c r="W191" i="25" s="1"/>
  <c r="W72" i="25"/>
  <c r="W78" i="25" s="1"/>
  <c r="W84" i="25" s="1"/>
  <c r="W90" i="25" s="1"/>
  <c r="W25" i="18"/>
  <c r="W32" i="18" s="1"/>
  <c r="W40" i="18" s="1"/>
  <c r="W29" i="18"/>
  <c r="W36" i="18" s="1"/>
  <c r="W44" i="18" s="1"/>
  <c r="W39" i="25"/>
  <c r="W45" i="25" s="1"/>
  <c r="W51" i="25" s="1"/>
  <c r="W57" i="25" s="1"/>
  <c r="W138" i="18"/>
  <c r="W144" i="18" s="1"/>
  <c r="W150" i="18" s="1"/>
  <c r="W156" i="18" s="1"/>
  <c r="W134" i="18"/>
  <c r="W140" i="18" s="1"/>
  <c r="W146" i="18" s="1"/>
  <c r="W152" i="18" s="1"/>
  <c r="W104" i="25"/>
  <c r="W110" i="25" s="1"/>
  <c r="W116" i="25" s="1"/>
  <c r="W122" i="25" s="1"/>
  <c r="W30" i="18"/>
  <c r="W37" i="18" s="1"/>
  <c r="W45" i="18" s="1"/>
  <c r="W140" i="25"/>
  <c r="W146" i="25" s="1"/>
  <c r="W152" i="25" s="1"/>
  <c r="W158" i="25" s="1"/>
  <c r="W71" i="25"/>
  <c r="W77" i="25" s="1"/>
  <c r="W83" i="25" s="1"/>
  <c r="W89" i="25" s="1"/>
  <c r="W41" i="25"/>
  <c r="W47" i="25" s="1"/>
  <c r="W53" i="25" s="1"/>
  <c r="W59" i="25" s="1"/>
  <c r="W8" i="25"/>
  <c r="W14" i="25" s="1"/>
  <c r="W20" i="25" s="1"/>
  <c r="W26" i="25" s="1"/>
  <c r="W205" i="25"/>
  <c r="W211" i="25" s="1"/>
  <c r="W217" i="25" s="1"/>
  <c r="W223" i="25" s="1"/>
  <c r="W28" i="18"/>
  <c r="W35" i="18" s="1"/>
  <c r="W43" i="18" s="1"/>
  <c r="W170" i="25"/>
  <c r="W176" i="25" s="1"/>
  <c r="W182" i="25" s="1"/>
  <c r="W188" i="25" s="1"/>
  <c r="W100" i="18"/>
  <c r="W106" i="18" s="1"/>
  <c r="W112" i="18" s="1"/>
  <c r="W118" i="18" s="1"/>
  <c r="W107" i="25"/>
  <c r="W113" i="25" s="1"/>
  <c r="W119" i="25" s="1"/>
  <c r="W125" i="25" s="1"/>
  <c r="W136" i="18"/>
  <c r="W142" i="18" s="1"/>
  <c r="W148" i="18" s="1"/>
  <c r="W154" i="18" s="1"/>
  <c r="W6" i="25"/>
  <c r="W12" i="25" s="1"/>
  <c r="W18" i="25" s="1"/>
  <c r="W24" i="25" s="1"/>
  <c r="W67" i="18"/>
  <c r="W73" i="18" s="1"/>
  <c r="W79" i="18" s="1"/>
  <c r="W85" i="18" s="1"/>
  <c r="W65" i="18"/>
  <c r="W71" i="18" s="1"/>
  <c r="W77" i="18" s="1"/>
  <c r="W83" i="18" s="1"/>
  <c r="W76" i="25"/>
  <c r="W82" i="25" s="1"/>
  <c r="W88" i="25" s="1"/>
  <c r="W94" i="25" s="1"/>
  <c r="W31" i="18"/>
  <c r="W38" i="18" s="1"/>
  <c r="W39" i="18" s="1"/>
  <c r="W137" i="18"/>
  <c r="W143" i="18" s="1"/>
  <c r="W149" i="18" s="1"/>
  <c r="W155" i="18" s="1"/>
  <c r="W138" i="25"/>
  <c r="W144" i="25" s="1"/>
  <c r="W150" i="25" s="1"/>
  <c r="W156" i="25" s="1"/>
  <c r="AN51" i="27"/>
  <c r="AN57" i="27" s="1"/>
  <c r="T207" i="25"/>
  <c r="T213" i="25" s="1"/>
  <c r="T219" i="25" s="1"/>
  <c r="T225" i="25" s="1"/>
  <c r="T164" i="18"/>
  <c r="T166" i="18" s="1"/>
  <c r="T165" i="18" s="1"/>
  <c r="T49" i="28"/>
  <c r="Z143" i="11"/>
  <c r="Q43" i="25"/>
  <c r="Q49" i="25" s="1"/>
  <c r="Q55" i="25" s="1"/>
  <c r="Q72" i="25"/>
  <c r="Q78" i="25" s="1"/>
  <c r="Q84" i="25" s="1"/>
  <c r="Q90" i="25" s="1"/>
  <c r="Q41" i="25"/>
  <c r="Q47" i="25" s="1"/>
  <c r="Q53" i="25" s="1"/>
  <c r="H82" i="52"/>
  <c r="K144" i="32"/>
  <c r="K181" i="32"/>
  <c r="K153" i="32"/>
  <c r="K172" i="32"/>
  <c r="K191" i="32"/>
  <c r="K200" i="32"/>
  <c r="K162" i="32"/>
  <c r="H48" i="20"/>
  <c r="E85" i="53"/>
  <c r="E129" i="53" s="1"/>
  <c r="E173" i="53" s="1"/>
  <c r="E218" i="53" s="1"/>
  <c r="E42" i="53"/>
  <c r="AJ54" i="28"/>
  <c r="X75" i="20"/>
  <c r="X81" i="20" s="1"/>
  <c r="X87" i="20" s="1"/>
  <c r="H15" i="19"/>
  <c r="H6" i="19"/>
  <c r="H12" i="19"/>
  <c r="H18" i="19"/>
  <c r="AN69" i="28"/>
  <c r="AN103" i="28"/>
  <c r="AN5" i="28"/>
  <c r="AM63" i="28"/>
  <c r="X141" i="28"/>
  <c r="F149" i="19"/>
  <c r="F155" i="19" s="1"/>
  <c r="AI188" i="27"/>
  <c r="AL191" i="32"/>
  <c r="AF72" i="52"/>
  <c r="AI10" i="32"/>
  <c r="AI38" i="32"/>
  <c r="AI28" i="32"/>
  <c r="AI47" i="32"/>
  <c r="AI57" i="32"/>
  <c r="AI66" i="32"/>
  <c r="AF49" i="18"/>
  <c r="R141" i="11"/>
  <c r="G107" i="59"/>
  <c r="Z34" i="32"/>
  <c r="Z35" i="32" s="1"/>
  <c r="Z13" i="34" s="1"/>
  <c r="Z44" i="32"/>
  <c r="Z12" i="34" s="1"/>
  <c r="I130" i="32"/>
  <c r="F5" i="26"/>
  <c r="F11" i="26" s="1"/>
  <c r="F17" i="26" s="1"/>
  <c r="F23" i="26" s="1"/>
  <c r="F73" i="26"/>
  <c r="F79" i="26" s="1"/>
  <c r="F85" i="26" s="1"/>
  <c r="F91" i="26" s="1"/>
  <c r="F204" i="26"/>
  <c r="F210" i="26" s="1"/>
  <c r="F216" i="26" s="1"/>
  <c r="F222" i="26" s="1"/>
  <c r="F135" i="19"/>
  <c r="F141" i="19" s="1"/>
  <c r="F147" i="19" s="1"/>
  <c r="F153" i="19" s="1"/>
  <c r="F6" i="26"/>
  <c r="F12" i="26" s="1"/>
  <c r="F18" i="26" s="1"/>
  <c r="F24" i="26" s="1"/>
  <c r="F72" i="26"/>
  <c r="F78" i="26" s="1"/>
  <c r="F84" i="26" s="1"/>
  <c r="F90" i="26" s="1"/>
  <c r="F67" i="19"/>
  <c r="F73" i="19" s="1"/>
  <c r="F79" i="19" s="1"/>
  <c r="F85" i="19" s="1"/>
  <c r="F99" i="19"/>
  <c r="F105" i="19" s="1"/>
  <c r="F111" i="19" s="1"/>
  <c r="F117" i="19" s="1"/>
  <c r="F66" i="19"/>
  <c r="F72" i="19" s="1"/>
  <c r="F78" i="19" s="1"/>
  <c r="F84" i="19" s="1"/>
  <c r="F40" i="26"/>
  <c r="F46" i="26" s="1"/>
  <c r="F52" i="26" s="1"/>
  <c r="F58" i="26" s="1"/>
  <c r="F9" i="26"/>
  <c r="F15" i="26" s="1"/>
  <c r="F21" i="26" s="1"/>
  <c r="F27" i="26" s="1"/>
  <c r="F203" i="26"/>
  <c r="F209" i="26" s="1"/>
  <c r="F215" i="26" s="1"/>
  <c r="F221" i="26" s="1"/>
  <c r="F138" i="26"/>
  <c r="F144" i="26" s="1"/>
  <c r="F150" i="26" s="1"/>
  <c r="F156" i="26" s="1"/>
  <c r="F98" i="19"/>
  <c r="F104" i="19" s="1"/>
  <c r="F110" i="19" s="1"/>
  <c r="F116" i="19" s="1"/>
  <c r="F107" i="26"/>
  <c r="F113" i="26" s="1"/>
  <c r="F119" i="26" s="1"/>
  <c r="F125" i="26" s="1"/>
  <c r="F164" i="19"/>
  <c r="F166" i="19" s="1"/>
  <c r="F64" i="19"/>
  <c r="F70" i="19" s="1"/>
  <c r="F76" i="19" s="1"/>
  <c r="F82" i="19" s="1"/>
  <c r="W16" i="18"/>
  <c r="W18" i="18" s="1"/>
  <c r="Z62" i="32"/>
  <c r="W164" i="18"/>
  <c r="W166" i="18" s="1"/>
  <c r="T161" i="18"/>
  <c r="Y73" i="52"/>
  <c r="AB20" i="32"/>
  <c r="AB39" i="32"/>
  <c r="AB11" i="32"/>
  <c r="AB67" i="32"/>
  <c r="AB58" i="32"/>
  <c r="Y50" i="18"/>
  <c r="Y89" i="18" s="1"/>
  <c r="AB48" i="32"/>
  <c r="AB29" i="32"/>
  <c r="AN150" i="20"/>
  <c r="AN156" i="20" s="1"/>
  <c r="AJ49" i="28"/>
  <c r="AK4" i="50"/>
  <c r="AK105" i="50"/>
  <c r="Q18" i="11"/>
  <c r="T18" i="11"/>
  <c r="Z18" i="11"/>
  <c r="AC18" i="11"/>
  <c r="W18" i="11"/>
  <c r="AF18" i="11"/>
  <c r="T107" i="25"/>
  <c r="T113" i="25" s="1"/>
  <c r="T119" i="25" s="1"/>
  <c r="T125" i="25" s="1"/>
  <c r="T76" i="25"/>
  <c r="T82" i="25" s="1"/>
  <c r="T88" i="25" s="1"/>
  <c r="T94" i="25" s="1"/>
  <c r="Q24" i="5"/>
  <c r="AM192" i="25"/>
  <c r="AM198" i="25" s="1"/>
  <c r="AP59" i="32"/>
  <c r="R52" i="18"/>
  <c r="R127" i="18" s="1"/>
  <c r="R75" i="52"/>
  <c r="U50" i="32"/>
  <c r="U31" i="32"/>
  <c r="U13" i="32"/>
  <c r="U69" i="32"/>
  <c r="U41" i="32"/>
  <c r="U22" i="32"/>
  <c r="U60" i="32"/>
  <c r="Q205" i="25"/>
  <c r="Q211" i="25" s="1"/>
  <c r="Q217" i="25" s="1"/>
  <c r="Q223" i="25" s="1"/>
  <c r="Q73" i="25"/>
  <c r="Q79" i="25" s="1"/>
  <c r="Q85" i="25" s="1"/>
  <c r="Q91" i="25" s="1"/>
  <c r="O122" i="25"/>
  <c r="O128" i="25" s="1"/>
  <c r="R36" i="32"/>
  <c r="AN215" i="27"/>
  <c r="AN221" i="27" s="1"/>
  <c r="X77" i="33"/>
  <c r="X15" i="33" s="1"/>
  <c r="X33" i="33" s="1"/>
  <c r="X51" i="33" s="1"/>
  <c r="O132" i="11"/>
  <c r="AE126" i="18"/>
  <c r="AA83" i="52"/>
  <c r="AD192" i="32"/>
  <c r="AD154" i="32"/>
  <c r="AA49" i="20"/>
  <c r="AD163" i="32"/>
  <c r="AD145" i="32"/>
  <c r="AJ56" i="59"/>
  <c r="U6" i="19"/>
  <c r="U18" i="19"/>
  <c r="U12" i="19"/>
  <c r="U15" i="19"/>
  <c r="AM61" i="28"/>
  <c r="X184" i="27"/>
  <c r="X190" i="27" s="1"/>
  <c r="K92" i="32"/>
  <c r="H92" i="19"/>
  <c r="H94" i="19" s="1"/>
  <c r="Q183" i="32"/>
  <c r="N84" i="52"/>
  <c r="Q155" i="32"/>
  <c r="Q193" i="32"/>
  <c r="N50" i="20"/>
  <c r="Q164" i="32"/>
  <c r="Q202" i="32"/>
  <c r="Q146" i="32"/>
  <c r="Q174" i="32"/>
  <c r="I62" i="32"/>
  <c r="F16" i="18"/>
  <c r="F18" i="18" s="1"/>
  <c r="F164" i="18"/>
  <c r="F166" i="18" s="1"/>
  <c r="F165" i="18" s="1"/>
  <c r="F205" i="25"/>
  <c r="F211" i="25" s="1"/>
  <c r="F217" i="25" s="1"/>
  <c r="F223" i="25" s="1"/>
  <c r="F65" i="18"/>
  <c r="F71" i="18" s="1"/>
  <c r="F77" i="18" s="1"/>
  <c r="F83" i="18" s="1"/>
  <c r="F43" i="25"/>
  <c r="F49" i="25" s="1"/>
  <c r="F55" i="25" s="1"/>
  <c r="F61" i="25" s="1"/>
  <c r="F31" i="18"/>
  <c r="F38" i="18" s="1"/>
  <c r="F39" i="18" s="1"/>
  <c r="F142" i="25"/>
  <c r="F148" i="25" s="1"/>
  <c r="F154" i="25" s="1"/>
  <c r="F160" i="25" s="1"/>
  <c r="F139" i="18"/>
  <c r="F145" i="18" s="1"/>
  <c r="F151" i="18" s="1"/>
  <c r="F157" i="18" s="1"/>
  <c r="F40" i="25"/>
  <c r="F46" i="25" s="1"/>
  <c r="F52" i="25" s="1"/>
  <c r="F58" i="25" s="1"/>
  <c r="F6" i="25"/>
  <c r="F12" i="25" s="1"/>
  <c r="F18" i="25" s="1"/>
  <c r="F24" i="25" s="1"/>
  <c r="F62" i="18"/>
  <c r="F68" i="18" s="1"/>
  <c r="F74" i="18" s="1"/>
  <c r="F80" i="18" s="1"/>
  <c r="F73" i="25"/>
  <c r="F79" i="25" s="1"/>
  <c r="F85" i="25" s="1"/>
  <c r="F91" i="25" s="1"/>
  <c r="F10" i="25"/>
  <c r="F16" i="25" s="1"/>
  <c r="F22" i="25" s="1"/>
  <c r="F28" i="25" s="1"/>
  <c r="F134" i="18"/>
  <c r="F140" i="18" s="1"/>
  <c r="F146" i="18" s="1"/>
  <c r="F152" i="18" s="1"/>
  <c r="F170" i="25"/>
  <c r="F176" i="25" s="1"/>
  <c r="F182" i="25" s="1"/>
  <c r="F188" i="25" s="1"/>
  <c r="F172" i="25"/>
  <c r="F178" i="25" s="1"/>
  <c r="F184" i="25" s="1"/>
  <c r="F67" i="18"/>
  <c r="F73" i="18" s="1"/>
  <c r="F79" i="18" s="1"/>
  <c r="F85" i="18" s="1"/>
  <c r="F204" i="25"/>
  <c r="F210" i="25" s="1"/>
  <c r="F216" i="25" s="1"/>
  <c r="F222" i="25" s="1"/>
  <c r="F135" i="18"/>
  <c r="F141" i="18" s="1"/>
  <c r="F147" i="18" s="1"/>
  <c r="F153" i="18" s="1"/>
  <c r="F74" i="25"/>
  <c r="F80" i="25" s="1"/>
  <c r="F86" i="25" s="1"/>
  <c r="F92" i="25" s="1"/>
  <c r="F141" i="25"/>
  <c r="F147" i="25" s="1"/>
  <c r="F153" i="25" s="1"/>
  <c r="F159" i="25" s="1"/>
  <c r="F26" i="18"/>
  <c r="F33" i="18" s="1"/>
  <c r="F41" i="18" s="1"/>
  <c r="F109" i="25"/>
  <c r="F115" i="25" s="1"/>
  <c r="F121" i="25" s="1"/>
  <c r="F127" i="25" s="1"/>
  <c r="F203" i="25"/>
  <c r="F209" i="25" s="1"/>
  <c r="F215" i="25" s="1"/>
  <c r="F221" i="25" s="1"/>
  <c r="F66" i="18"/>
  <c r="F72" i="18" s="1"/>
  <c r="F78" i="18" s="1"/>
  <c r="F84" i="18" s="1"/>
  <c r="F98" i="18"/>
  <c r="F104" i="18" s="1"/>
  <c r="F110" i="18" s="1"/>
  <c r="F116" i="18" s="1"/>
  <c r="F63" i="18"/>
  <c r="F69" i="18" s="1"/>
  <c r="F75" i="18" s="1"/>
  <c r="F81" i="18" s="1"/>
  <c r="F100" i="18"/>
  <c r="F106" i="18" s="1"/>
  <c r="F112" i="18" s="1"/>
  <c r="F118" i="18" s="1"/>
  <c r="F105" i="25"/>
  <c r="F111" i="25" s="1"/>
  <c r="F117" i="25" s="1"/>
  <c r="F123" i="25" s="1"/>
  <c r="F75" i="25"/>
  <c r="F81" i="25" s="1"/>
  <c r="F87" i="25" s="1"/>
  <c r="F93" i="25" s="1"/>
  <c r="F106" i="25"/>
  <c r="F112" i="25" s="1"/>
  <c r="F118" i="25" s="1"/>
  <c r="F124" i="25" s="1"/>
  <c r="F5" i="25"/>
  <c r="F11" i="25" s="1"/>
  <c r="F17" i="25" s="1"/>
  <c r="F23" i="25" s="1"/>
  <c r="F9" i="25"/>
  <c r="F15" i="25" s="1"/>
  <c r="F21" i="25" s="1"/>
  <c r="F27" i="25" s="1"/>
  <c r="F29" i="18"/>
  <c r="F36" i="18" s="1"/>
  <c r="F44" i="18" s="1"/>
  <c r="F38" i="25"/>
  <c r="F44" i="25" s="1"/>
  <c r="F50" i="25" s="1"/>
  <c r="F56" i="25" s="1"/>
  <c r="F41" i="25"/>
  <c r="F47" i="25" s="1"/>
  <c r="F53" i="25" s="1"/>
  <c r="F59" i="25" s="1"/>
  <c r="F99" i="18"/>
  <c r="F105" i="18" s="1"/>
  <c r="F111" i="18" s="1"/>
  <c r="F117" i="18" s="1"/>
  <c r="F175" i="25"/>
  <c r="F181" i="25" s="1"/>
  <c r="F187" i="25" s="1"/>
  <c r="F193" i="25" s="1"/>
  <c r="F108" i="25"/>
  <c r="F114" i="25" s="1"/>
  <c r="F120" i="25" s="1"/>
  <c r="F126" i="25" s="1"/>
  <c r="F71" i="25"/>
  <c r="F77" i="25" s="1"/>
  <c r="F83" i="25" s="1"/>
  <c r="F89" i="25" s="1"/>
  <c r="F101" i="18"/>
  <c r="F107" i="18" s="1"/>
  <c r="F113" i="18" s="1"/>
  <c r="F119" i="18" s="1"/>
  <c r="F107" i="25"/>
  <c r="F113" i="25" s="1"/>
  <c r="F119" i="25" s="1"/>
  <c r="F125" i="25" s="1"/>
  <c r="F64" i="18"/>
  <c r="F70" i="18" s="1"/>
  <c r="F76" i="18" s="1"/>
  <c r="F82" i="18" s="1"/>
  <c r="F137" i="25"/>
  <c r="F143" i="25" s="1"/>
  <c r="F149" i="25" s="1"/>
  <c r="F155" i="25" s="1"/>
  <c r="F138" i="25"/>
  <c r="F144" i="25" s="1"/>
  <c r="F150" i="25" s="1"/>
  <c r="F156" i="25" s="1"/>
  <c r="F208" i="25"/>
  <c r="F214" i="25" s="1"/>
  <c r="F220" i="25" s="1"/>
  <c r="F226" i="25" s="1"/>
  <c r="F174" i="25"/>
  <c r="F180" i="25" s="1"/>
  <c r="F186" i="25" s="1"/>
  <c r="F192" i="25" s="1"/>
  <c r="F173" i="25"/>
  <c r="F179" i="25" s="1"/>
  <c r="F185" i="25" s="1"/>
  <c r="F191" i="25" s="1"/>
  <c r="F72" i="25"/>
  <c r="F78" i="25" s="1"/>
  <c r="F84" i="25" s="1"/>
  <c r="F90" i="25" s="1"/>
  <c r="F140" i="25"/>
  <c r="F146" i="25" s="1"/>
  <c r="F152" i="25" s="1"/>
  <c r="F158" i="25" s="1"/>
  <c r="F139" i="25"/>
  <c r="F145" i="25" s="1"/>
  <c r="F151" i="25" s="1"/>
  <c r="F157" i="25" s="1"/>
  <c r="F30" i="18"/>
  <c r="F37" i="18" s="1"/>
  <c r="F45" i="18" s="1"/>
  <c r="F76" i="25"/>
  <c r="F82" i="25" s="1"/>
  <c r="F88" i="25" s="1"/>
  <c r="F94" i="25" s="1"/>
  <c r="F25" i="18"/>
  <c r="F32" i="18" s="1"/>
  <c r="F40" i="18" s="1"/>
  <c r="F138" i="18"/>
  <c r="F144" i="18" s="1"/>
  <c r="F150" i="18" s="1"/>
  <c r="F156" i="18" s="1"/>
  <c r="F102" i="18"/>
  <c r="F108" i="18" s="1"/>
  <c r="F114" i="18" s="1"/>
  <c r="F120" i="18" s="1"/>
  <c r="F104" i="25"/>
  <c r="F110" i="25" s="1"/>
  <c r="F116" i="25" s="1"/>
  <c r="F122" i="25" s="1"/>
  <c r="F103" i="18"/>
  <c r="F109" i="18" s="1"/>
  <c r="F115" i="18" s="1"/>
  <c r="F121" i="18" s="1"/>
  <c r="F206" i="25"/>
  <c r="F212" i="25" s="1"/>
  <c r="F218" i="25" s="1"/>
  <c r="F224" i="25" s="1"/>
  <c r="F28" i="18"/>
  <c r="F35" i="18" s="1"/>
  <c r="F43" i="18" s="1"/>
  <c r="AD91" i="25"/>
  <c r="AG28" i="32"/>
  <c r="AJ77" i="28"/>
  <c r="AJ12" i="28" s="1"/>
  <c r="AJ13" i="28"/>
  <c r="AL63" i="28"/>
  <c r="AC66" i="32"/>
  <c r="Z72" i="52"/>
  <c r="AC38" i="32"/>
  <c r="AC47" i="32"/>
  <c r="Z49" i="18"/>
  <c r="AC28" i="32"/>
  <c r="AA116" i="59"/>
  <c r="AA177" i="59" s="1"/>
  <c r="AA54" i="59"/>
  <c r="AS40" i="5"/>
  <c r="AR40" i="5"/>
  <c r="F63" i="19"/>
  <c r="F69" i="19" s="1"/>
  <c r="F75" i="19" s="1"/>
  <c r="F81" i="19" s="1"/>
  <c r="A187" i="53"/>
  <c r="A317" i="53" s="1"/>
  <c r="AS10" i="53"/>
  <c r="N62" i="32"/>
  <c r="K16" i="18"/>
  <c r="K18" i="18" s="1"/>
  <c r="AF100" i="20"/>
  <c r="AF106" i="20" s="1"/>
  <c r="AF112" i="20" s="1"/>
  <c r="AF118" i="20" s="1"/>
  <c r="G5" i="19"/>
  <c r="G8" i="19"/>
  <c r="G7" i="19"/>
  <c r="T123" i="18"/>
  <c r="AE122" i="18"/>
  <c r="W48" i="32"/>
  <c r="T73" i="52"/>
  <c r="W67" i="32"/>
  <c r="W29" i="32"/>
  <c r="W11" i="32"/>
  <c r="T50" i="18"/>
  <c r="W20" i="32"/>
  <c r="AN41" i="20"/>
  <c r="T42" i="25"/>
  <c r="T48" i="25" s="1"/>
  <c r="T54" i="25" s="1"/>
  <c r="T101" i="18"/>
  <c r="T107" i="18" s="1"/>
  <c r="T113" i="18" s="1"/>
  <c r="T119" i="18" s="1"/>
  <c r="T125" i="18" s="1"/>
  <c r="T43" i="25"/>
  <c r="T49" i="25" s="1"/>
  <c r="T55" i="25" s="1"/>
  <c r="T61" i="25" s="1"/>
  <c r="AB24" i="5"/>
  <c r="AK24" i="5"/>
  <c r="AN4" i="19" s="1"/>
  <c r="AA42" i="28"/>
  <c r="Y160" i="18"/>
  <c r="AI85" i="52"/>
  <c r="AI51" i="20"/>
  <c r="AL203" i="32"/>
  <c r="AL175" i="32"/>
  <c r="AL147" i="32"/>
  <c r="AL156" i="32"/>
  <c r="AL194" i="32"/>
  <c r="AL184" i="32"/>
  <c r="AL165" i="32"/>
  <c r="Q103" i="18"/>
  <c r="Q109" i="18" s="1"/>
  <c r="Q115" i="18" s="1"/>
  <c r="Q121" i="18" s="1"/>
  <c r="Q26" i="18"/>
  <c r="Q33" i="18" s="1"/>
  <c r="Q41" i="18" s="1"/>
  <c r="T44" i="32"/>
  <c r="S12" i="34" s="1"/>
  <c r="T34" i="32"/>
  <c r="T35" i="32" s="1"/>
  <c r="S13" i="34" s="1"/>
  <c r="J139" i="11"/>
  <c r="S84" i="33"/>
  <c r="S22" i="33" s="1"/>
  <c r="S40" i="33" s="1"/>
  <c r="S58" i="33" s="1"/>
  <c r="AE86" i="18"/>
  <c r="AD185" i="32"/>
  <c r="AD204" i="32"/>
  <c r="AA86" i="52"/>
  <c r="AD176" i="32"/>
  <c r="AA52" i="20"/>
  <c r="AA90" i="20" s="1"/>
  <c r="AD157" i="32"/>
  <c r="AD148" i="32"/>
  <c r="AA122" i="20"/>
  <c r="Q13" i="20"/>
  <c r="T198" i="32" s="1"/>
  <c r="Q23" i="20"/>
  <c r="AM34" i="32"/>
  <c r="AM35" i="32" s="1"/>
  <c r="F13" i="34" s="1"/>
  <c r="AM44" i="32"/>
  <c r="F12" i="34" s="1"/>
  <c r="AM172" i="59"/>
  <c r="AM49" i="59"/>
  <c r="AA54" i="28"/>
  <c r="X19" i="27"/>
  <c r="X25" i="27" s="1"/>
  <c r="AN17" i="27"/>
  <c r="AN23" i="27" s="1"/>
  <c r="N6" i="5"/>
  <c r="AX6" i="5"/>
  <c r="AA6" i="5" s="1"/>
  <c r="AL171" i="59"/>
  <c r="AL48" i="59"/>
  <c r="AN116" i="59"/>
  <c r="A153" i="53"/>
  <c r="U109" i="53"/>
  <c r="AA109" i="53"/>
  <c r="M109" i="53"/>
  <c r="L109" i="53"/>
  <c r="AJ109" i="53"/>
  <c r="W109" i="53"/>
  <c r="O109" i="53"/>
  <c r="Y109" i="53"/>
  <c r="H109" i="53"/>
  <c r="AE109" i="53"/>
  <c r="Z109" i="53"/>
  <c r="AG109" i="53"/>
  <c r="J109" i="53"/>
  <c r="G109" i="53"/>
  <c r="Q109" i="53"/>
  <c r="AD109" i="53"/>
  <c r="AI109" i="53"/>
  <c r="N109" i="53"/>
  <c r="AF109" i="53"/>
  <c r="F109" i="53"/>
  <c r="T109" i="53"/>
  <c r="AB109" i="53"/>
  <c r="X109" i="53"/>
  <c r="K109" i="53"/>
  <c r="AH109" i="53"/>
  <c r="P109" i="53"/>
  <c r="V109" i="53"/>
  <c r="I109" i="53"/>
  <c r="AC109" i="53"/>
  <c r="T17" i="26"/>
  <c r="T23" i="26" s="1"/>
  <c r="AC40" i="11"/>
  <c r="W40" i="11"/>
  <c r="Z40" i="11"/>
  <c r="T40" i="11"/>
  <c r="AF40" i="11"/>
  <c r="Q40" i="11"/>
  <c r="F186" i="26"/>
  <c r="F192" i="26" s="1"/>
  <c r="AM12" i="19"/>
  <c r="AM15" i="19"/>
  <c r="AM6" i="19"/>
  <c r="AM18" i="19"/>
  <c r="AF127" i="18"/>
  <c r="AN218" i="27"/>
  <c r="AN224" i="27" s="1"/>
  <c r="R24" i="11"/>
  <c r="X24" i="11"/>
  <c r="U24" i="11"/>
  <c r="AN87" i="27"/>
  <c r="AN93" i="27" s="1"/>
  <c r="AK72" i="50"/>
  <c r="AK109" i="50"/>
  <c r="AD190" i="25"/>
  <c r="AG57" i="32"/>
  <c r="AH82" i="33"/>
  <c r="AH20" i="33" s="1"/>
  <c r="AH38" i="33" s="1"/>
  <c r="AH56" i="33" s="1"/>
  <c r="AQ137" i="11"/>
  <c r="J97" i="53"/>
  <c r="J102" i="53" s="1"/>
  <c r="AB4" i="19"/>
  <c r="AV33" i="5"/>
  <c r="AB17" i="52" s="1"/>
  <c r="AR33" i="5"/>
  <c r="AS33" i="5"/>
  <c r="T105" i="25"/>
  <c r="T111" i="25" s="1"/>
  <c r="T117" i="25" s="1"/>
  <c r="T109" i="25"/>
  <c r="T115" i="25" s="1"/>
  <c r="T121" i="25" s="1"/>
  <c r="T127" i="25" s="1"/>
  <c r="T206" i="25"/>
  <c r="T212" i="25" s="1"/>
  <c r="T218" i="25" s="1"/>
  <c r="T224" i="25" s="1"/>
  <c r="Y127" i="18"/>
  <c r="Q104" i="25"/>
  <c r="Q110" i="25" s="1"/>
  <c r="Q116" i="25" s="1"/>
  <c r="Q122" i="25" s="1"/>
  <c r="Q75" i="25"/>
  <c r="Q81" i="25" s="1"/>
  <c r="Q87" i="25" s="1"/>
  <c r="Q93" i="25" s="1"/>
  <c r="AN39" i="59"/>
  <c r="AN77" i="20"/>
  <c r="AN83" i="20" s="1"/>
  <c r="AJ14" i="11"/>
  <c r="AM14" i="11" s="1"/>
  <c r="O123" i="11"/>
  <c r="X68" i="33"/>
  <c r="X6" i="33" s="1"/>
  <c r="X24" i="33" s="1"/>
  <c r="X42" i="33" s="1"/>
  <c r="J138" i="11"/>
  <c r="S83" i="33"/>
  <c r="S21" i="33" s="1"/>
  <c r="S39" i="33" s="1"/>
  <c r="S57" i="33" s="1"/>
  <c r="AA87" i="52"/>
  <c r="AD186" i="32"/>
  <c r="AA53" i="20"/>
  <c r="AD167" i="32"/>
  <c r="AD177" i="32"/>
  <c r="AD205" i="32"/>
  <c r="W14" i="11"/>
  <c r="T14" i="11"/>
  <c r="Q14" i="11"/>
  <c r="AC14" i="11"/>
  <c r="AF14" i="11"/>
  <c r="Z14" i="11"/>
  <c r="Y94" i="27"/>
  <c r="Y100" i="27" s="1"/>
  <c r="AB167" i="32"/>
  <c r="AC100" i="53"/>
  <c r="AC110" i="53"/>
  <c r="AC130" i="53"/>
  <c r="AC120" i="53"/>
  <c r="X55" i="27"/>
  <c r="X61" i="27" s="1"/>
  <c r="AA170" i="32"/>
  <c r="AA171" i="32" s="1"/>
  <c r="AA20" i="34" s="1"/>
  <c r="AA34" i="34" s="1"/>
  <c r="AA180" i="32"/>
  <c r="AA19" i="34" s="1"/>
  <c r="AA33" i="34" s="1"/>
  <c r="Q177" i="32"/>
  <c r="Q149" i="32"/>
  <c r="Q167" i="32"/>
  <c r="N87" i="52"/>
  <c r="Q205" i="32"/>
  <c r="Q196" i="32"/>
  <c r="Q186" i="32"/>
  <c r="N53" i="20"/>
  <c r="Q195" i="32"/>
  <c r="Q204" i="32"/>
  <c r="Q157" i="32"/>
  <c r="Q148" i="32"/>
  <c r="Q166" i="32"/>
  <c r="Q185" i="32"/>
  <c r="N86" i="52"/>
  <c r="N52" i="20"/>
  <c r="AN53" i="27"/>
  <c r="AN59" i="27" s="1"/>
  <c r="Y226" i="27"/>
  <c r="Y232" i="27" s="1"/>
  <c r="AB205" i="32"/>
  <c r="J97" i="28"/>
  <c r="J141" i="28"/>
  <c r="G141" i="28" s="1"/>
  <c r="AN115" i="20"/>
  <c r="AN121" i="20" s="1"/>
  <c r="AH141" i="11"/>
  <c r="AF205" i="27"/>
  <c r="AF211" i="27" s="1"/>
  <c r="AF217" i="27" s="1"/>
  <c r="AF223" i="27" s="1"/>
  <c r="AF65" i="20"/>
  <c r="AF71" i="20" s="1"/>
  <c r="AF77" i="20" s="1"/>
  <c r="AF83" i="20" s="1"/>
  <c r="AF137" i="20"/>
  <c r="AF143" i="20" s="1"/>
  <c r="AF149" i="20" s="1"/>
  <c r="AF155" i="20" s="1"/>
  <c r="AF9" i="27"/>
  <c r="AF15" i="27" s="1"/>
  <c r="AF21" i="27" s="1"/>
  <c r="AF63" i="20"/>
  <c r="AF69" i="20" s="1"/>
  <c r="AF75" i="20" s="1"/>
  <c r="AF81" i="20" s="1"/>
  <c r="AF7" i="27"/>
  <c r="AF13" i="27" s="1"/>
  <c r="AF19" i="27" s="1"/>
  <c r="AF25" i="27" s="1"/>
  <c r="AF134" i="20"/>
  <c r="AF140" i="20" s="1"/>
  <c r="AF146" i="20" s="1"/>
  <c r="AF152" i="20" s="1"/>
  <c r="AF172" i="27"/>
  <c r="AF178" i="27" s="1"/>
  <c r="AF184" i="27" s="1"/>
  <c r="AF190" i="27" s="1"/>
  <c r="AF40" i="27"/>
  <c r="AF46" i="27" s="1"/>
  <c r="AF52" i="27" s="1"/>
  <c r="AF58" i="27" s="1"/>
  <c r="AF31" i="20"/>
  <c r="AF38" i="20" s="1"/>
  <c r="AF46" i="20" s="1"/>
  <c r="AF10" i="27"/>
  <c r="AF16" i="27" s="1"/>
  <c r="AF22" i="27" s="1"/>
  <c r="AF28" i="27" s="1"/>
  <c r="AF139" i="27"/>
  <c r="AF145" i="27" s="1"/>
  <c r="AF151" i="27" s="1"/>
  <c r="AF157" i="27" s="1"/>
  <c r="AF170" i="27"/>
  <c r="AF176" i="27" s="1"/>
  <c r="AF182" i="27" s="1"/>
  <c r="AF188" i="27" s="1"/>
  <c r="AF173" i="27"/>
  <c r="AF179" i="27" s="1"/>
  <c r="AF185" i="27" s="1"/>
  <c r="AF191" i="27" s="1"/>
  <c r="AF98" i="20"/>
  <c r="AF104" i="20" s="1"/>
  <c r="AF110" i="20" s="1"/>
  <c r="AF116" i="20" s="1"/>
  <c r="AF75" i="27"/>
  <c r="AF81" i="27" s="1"/>
  <c r="AF87" i="27" s="1"/>
  <c r="AF93" i="27" s="1"/>
  <c r="AF76" i="27"/>
  <c r="AF82" i="27" s="1"/>
  <c r="AF88" i="27" s="1"/>
  <c r="AF94" i="27" s="1"/>
  <c r="AF29" i="20"/>
  <c r="AF36" i="20" s="1"/>
  <c r="AF44" i="20" s="1"/>
  <c r="AF138" i="20"/>
  <c r="AF144" i="20" s="1"/>
  <c r="AF150" i="20" s="1"/>
  <c r="AF156" i="20" s="1"/>
  <c r="AF162" i="20" s="1"/>
  <c r="AF38" i="27"/>
  <c r="AF44" i="27" s="1"/>
  <c r="AF50" i="27" s="1"/>
  <c r="AF56" i="27" s="1"/>
  <c r="AF135" i="20"/>
  <c r="AF141" i="20" s="1"/>
  <c r="AF147" i="20" s="1"/>
  <c r="AF153" i="20" s="1"/>
  <c r="AF136" i="20"/>
  <c r="AF142" i="20" s="1"/>
  <c r="AF148" i="20" s="1"/>
  <c r="AF154" i="20" s="1"/>
  <c r="AF171" i="27"/>
  <c r="AF177" i="27" s="1"/>
  <c r="AF183" i="27" s="1"/>
  <c r="AF189" i="27" s="1"/>
  <c r="AF204" i="27"/>
  <c r="AF210" i="27" s="1"/>
  <c r="AF216" i="27" s="1"/>
  <c r="AF222" i="27" s="1"/>
  <c r="AF6" i="27"/>
  <c r="AF12" i="27" s="1"/>
  <c r="AF18" i="27" s="1"/>
  <c r="AF24" i="27" s="1"/>
  <c r="AF27" i="20"/>
  <c r="AF34" i="20" s="1"/>
  <c r="AF42" i="20" s="1"/>
  <c r="AF67" i="20"/>
  <c r="AF73" i="20" s="1"/>
  <c r="AF79" i="20" s="1"/>
  <c r="AF85" i="20" s="1"/>
  <c r="AF28" i="20"/>
  <c r="AF35" i="20" s="1"/>
  <c r="AF43" i="20" s="1"/>
  <c r="AF62" i="20"/>
  <c r="AF68" i="20" s="1"/>
  <c r="AF74" i="20" s="1"/>
  <c r="AF80" i="20" s="1"/>
  <c r="AF203" i="27"/>
  <c r="AF209" i="27" s="1"/>
  <c r="AF215" i="27" s="1"/>
  <c r="AF221" i="27" s="1"/>
  <c r="AF72" i="27"/>
  <c r="AF78" i="27" s="1"/>
  <c r="AF84" i="27" s="1"/>
  <c r="AF90" i="27" s="1"/>
  <c r="AF74" i="27"/>
  <c r="AF80" i="27" s="1"/>
  <c r="AF86" i="27" s="1"/>
  <c r="AF92" i="27" s="1"/>
  <c r="AF26" i="20"/>
  <c r="AF33" i="20" s="1"/>
  <c r="AF41" i="20" s="1"/>
  <c r="AF39" i="27"/>
  <c r="AF45" i="27" s="1"/>
  <c r="AF51" i="27" s="1"/>
  <c r="AF57" i="27" s="1"/>
  <c r="AF208" i="27"/>
  <c r="AF214" i="27" s="1"/>
  <c r="AF220" i="27" s="1"/>
  <c r="AF226" i="27" s="1"/>
  <c r="AF102" i="20"/>
  <c r="AF108" i="20" s="1"/>
  <c r="AF114" i="20" s="1"/>
  <c r="AF120" i="20" s="1"/>
  <c r="AF126" i="20" s="1"/>
  <c r="AF140" i="27"/>
  <c r="AF146" i="27" s="1"/>
  <c r="AF152" i="27" s="1"/>
  <c r="AF158" i="27" s="1"/>
  <c r="AF107" i="27"/>
  <c r="AF113" i="27" s="1"/>
  <c r="AF119" i="27" s="1"/>
  <c r="AF125" i="27" s="1"/>
  <c r="AF139" i="20"/>
  <c r="AF145" i="20" s="1"/>
  <c r="AF151" i="20" s="1"/>
  <c r="AF157" i="20" s="1"/>
  <c r="AF108" i="27"/>
  <c r="AF114" i="27" s="1"/>
  <c r="AF120" i="27" s="1"/>
  <c r="AF126" i="27" s="1"/>
  <c r="AF106" i="27"/>
  <c r="AF112" i="27" s="1"/>
  <c r="AF118" i="27" s="1"/>
  <c r="AF124" i="27" s="1"/>
  <c r="AF105" i="27"/>
  <c r="AF111" i="27" s="1"/>
  <c r="AF117" i="27" s="1"/>
  <c r="AF123" i="27" s="1"/>
  <c r="AF175" i="27"/>
  <c r="AF181" i="27" s="1"/>
  <c r="AF187" i="27" s="1"/>
  <c r="AF193" i="27" s="1"/>
  <c r="AF41" i="27"/>
  <c r="AF47" i="27" s="1"/>
  <c r="AF53" i="27" s="1"/>
  <c r="AF59" i="27" s="1"/>
  <c r="AF32" i="20"/>
  <c r="AF39" i="20" s="1"/>
  <c r="AF40" i="20" s="1"/>
  <c r="AF103" i="20"/>
  <c r="AF109" i="20" s="1"/>
  <c r="AF115" i="20" s="1"/>
  <c r="AF121" i="20" s="1"/>
  <c r="AF141" i="27"/>
  <c r="AF147" i="27" s="1"/>
  <c r="AF153" i="27" s="1"/>
  <c r="AF159" i="27" s="1"/>
  <c r="AF101" i="20"/>
  <c r="AF107" i="20" s="1"/>
  <c r="AF113" i="20" s="1"/>
  <c r="AF119" i="20" s="1"/>
  <c r="AF174" i="27"/>
  <c r="AF180" i="27" s="1"/>
  <c r="AF186" i="27" s="1"/>
  <c r="AF99" i="20"/>
  <c r="AF105" i="20" s="1"/>
  <c r="AF111" i="20" s="1"/>
  <c r="AF117" i="20" s="1"/>
  <c r="AF66" i="20"/>
  <c r="AF72" i="20" s="1"/>
  <c r="AF78" i="20" s="1"/>
  <c r="AF84" i="20" s="1"/>
  <c r="AF90" i="20" s="1"/>
  <c r="AF42" i="27"/>
  <c r="AF48" i="27" s="1"/>
  <c r="AF54" i="27" s="1"/>
  <c r="AF71" i="27"/>
  <c r="AF77" i="27" s="1"/>
  <c r="AF83" i="27" s="1"/>
  <c r="AF89" i="27" s="1"/>
  <c r="AF142" i="27"/>
  <c r="AF148" i="27" s="1"/>
  <c r="AF154" i="27" s="1"/>
  <c r="AF160" i="27" s="1"/>
  <c r="AF104" i="27"/>
  <c r="AF110" i="27" s="1"/>
  <c r="AF116" i="27" s="1"/>
  <c r="AF122" i="27" s="1"/>
  <c r="AF138" i="27"/>
  <c r="AF144" i="27" s="1"/>
  <c r="AF150" i="27" s="1"/>
  <c r="AF156" i="27" s="1"/>
  <c r="AF64" i="20"/>
  <c r="AF70" i="20" s="1"/>
  <c r="AF76" i="20" s="1"/>
  <c r="AF82" i="20" s="1"/>
  <c r="AD9" i="1"/>
  <c r="W9" i="1"/>
  <c r="Q170" i="32"/>
  <c r="Q171" i="32" s="1"/>
  <c r="Q20" i="34" s="1"/>
  <c r="Q34" i="34" s="1"/>
  <c r="Q180" i="32"/>
  <c r="Q19" i="34" s="1"/>
  <c r="Q33" i="34" s="1"/>
  <c r="T171" i="59"/>
  <c r="T48" i="59"/>
  <c r="R165" i="18"/>
  <c r="Q139" i="25"/>
  <c r="Q145" i="25" s="1"/>
  <c r="Q151" i="25" s="1"/>
  <c r="Q157" i="25" s="1"/>
  <c r="Q71" i="25"/>
  <c r="Q77" i="25" s="1"/>
  <c r="Q83" i="25" s="1"/>
  <c r="Q89" i="25" s="1"/>
  <c r="L13" i="20"/>
  <c r="L138" i="20" s="1"/>
  <c r="L144" i="20" s="1"/>
  <c r="L23" i="20"/>
  <c r="AN47" i="28"/>
  <c r="AN44" i="20"/>
  <c r="O129" i="11"/>
  <c r="X74" i="33"/>
  <c r="X12" i="33" s="1"/>
  <c r="X30" i="33" s="1"/>
  <c r="X48" i="33" s="1"/>
  <c r="J137" i="11"/>
  <c r="S82" i="33"/>
  <c r="S20" i="33" s="1"/>
  <c r="S38" i="33" s="1"/>
  <c r="S56" i="33" s="1"/>
  <c r="AH59" i="32"/>
  <c r="AH40" i="32"/>
  <c r="AE74" i="52"/>
  <c r="AE51" i="18"/>
  <c r="AE90" i="18" s="1"/>
  <c r="AH21" i="32"/>
  <c r="AH68" i="32"/>
  <c r="AH12" i="32"/>
  <c r="AH30" i="32"/>
  <c r="AH22" i="32"/>
  <c r="AE75" i="52"/>
  <c r="AH31" i="32"/>
  <c r="AH41" i="32"/>
  <c r="AH60" i="32"/>
  <c r="AH13" i="32"/>
  <c r="AE52" i="18"/>
  <c r="AH69" i="32"/>
  <c r="AH50" i="32"/>
  <c r="AA159" i="20"/>
  <c r="T179" i="32"/>
  <c r="Q170" i="27"/>
  <c r="Q176" i="27" s="1"/>
  <c r="Q182" i="27" s="1"/>
  <c r="Q188" i="27" s="1"/>
  <c r="Q43" i="27"/>
  <c r="Q49" i="27" s="1"/>
  <c r="Q139" i="27"/>
  <c r="Q145" i="27" s="1"/>
  <c r="Q7" i="27"/>
  <c r="Q13" i="27" s="1"/>
  <c r="Q19" i="27" s="1"/>
  <c r="Q25" i="27" s="1"/>
  <c r="Q174" i="27"/>
  <c r="Q180" i="27" s="1"/>
  <c r="Q40" i="27"/>
  <c r="Q46" i="27" s="1"/>
  <c r="Q75" i="27"/>
  <c r="Q81" i="27" s="1"/>
  <c r="Q16" i="20"/>
  <c r="Q8" i="27" s="1"/>
  <c r="Q14" i="27" s="1"/>
  <c r="Q104" i="27"/>
  <c r="Q110" i="27" s="1"/>
  <c r="Q140" i="27"/>
  <c r="Q146" i="27" s="1"/>
  <c r="Q109" i="27"/>
  <c r="Q115" i="27" s="1"/>
  <c r="Q121" i="27" s="1"/>
  <c r="Q127" i="27" s="1"/>
  <c r="Q73" i="27"/>
  <c r="Q79" i="27" s="1"/>
  <c r="Q105" i="27"/>
  <c r="Q111" i="27" s="1"/>
  <c r="Q39" i="27"/>
  <c r="Q45" i="27" s="1"/>
  <c r="Q51" i="27" s="1"/>
  <c r="Q57" i="27" s="1"/>
  <c r="Q103" i="20"/>
  <c r="Q109" i="20" s="1"/>
  <c r="Q175" i="27"/>
  <c r="Q181" i="27" s="1"/>
  <c r="Q187" i="27" s="1"/>
  <c r="Q193" i="27" s="1"/>
  <c r="Q6" i="27"/>
  <c r="Q12" i="27" s="1"/>
  <c r="Q32" i="20"/>
  <c r="Q39" i="20" s="1"/>
  <c r="Q40" i="20" s="1"/>
  <c r="Q62" i="20"/>
  <c r="Q68" i="20" s="1"/>
  <c r="Q65" i="20"/>
  <c r="Q71" i="20" s="1"/>
  <c r="Q135" i="20"/>
  <c r="Q141" i="20" s="1"/>
  <c r="Q71" i="27"/>
  <c r="Q77" i="27" s="1"/>
  <c r="Q99" i="20"/>
  <c r="Q105" i="20" s="1"/>
  <c r="Q111" i="20" s="1"/>
  <c r="Q117" i="20" s="1"/>
  <c r="Q29" i="20"/>
  <c r="Q36" i="20" s="1"/>
  <c r="Q26" i="20"/>
  <c r="Q33" i="20" s="1"/>
  <c r="Q66" i="20"/>
  <c r="Q72" i="20" s="1"/>
  <c r="Q108" i="27"/>
  <c r="Q114" i="27" s="1"/>
  <c r="Q120" i="27" s="1"/>
  <c r="Q126" i="27" s="1"/>
  <c r="Q41" i="27"/>
  <c r="Q47" i="27" s="1"/>
  <c r="Q53" i="27" s="1"/>
  <c r="Q59" i="27" s="1"/>
  <c r="Q17" i="20"/>
  <c r="Q19" i="20" s="1"/>
  <c r="Q107" i="27"/>
  <c r="Q113" i="27" s="1"/>
  <c r="Q207" i="27"/>
  <c r="Q213" i="27" s="1"/>
  <c r="Q204" i="27"/>
  <c r="Q210" i="27" s="1"/>
  <c r="Q42" i="27"/>
  <c r="Q48" i="27" s="1"/>
  <c r="Q138" i="27"/>
  <c r="Q144" i="27" s="1"/>
  <c r="Q141" i="27"/>
  <c r="Q147" i="27" s="1"/>
  <c r="Q173" i="27"/>
  <c r="Q179" i="27" s="1"/>
  <c r="Q206" i="27"/>
  <c r="Q212" i="27" s="1"/>
  <c r="Q139" i="20"/>
  <c r="Q145" i="20" s="1"/>
  <c r="Q151" i="20" s="1"/>
  <c r="Q157" i="20" s="1"/>
  <c r="Q142" i="27"/>
  <c r="Q148" i="27" s="1"/>
  <c r="Q172" i="27"/>
  <c r="Q178" i="27" s="1"/>
  <c r="Q72" i="27"/>
  <c r="Q78" i="27" s="1"/>
  <c r="Q38" i="27"/>
  <c r="Q44" i="27" s="1"/>
  <c r="Q101" i="20"/>
  <c r="Q107" i="20" s="1"/>
  <c r="Q31" i="20"/>
  <c r="Q38" i="20" s="1"/>
  <c r="Q137" i="20"/>
  <c r="Q143" i="20" s="1"/>
  <c r="Q10" i="27"/>
  <c r="Q16" i="27" s="1"/>
  <c r="Q22" i="27" s="1"/>
  <c r="Q28" i="27" s="1"/>
  <c r="Q76" i="27"/>
  <c r="Q82" i="27" s="1"/>
  <c r="Q88" i="27" s="1"/>
  <c r="Q94" i="27" s="1"/>
  <c r="Q30" i="20"/>
  <c r="Q37" i="20" s="1"/>
  <c r="Q45" i="20" s="1"/>
  <c r="Q28" i="20"/>
  <c r="Q35" i="20" s="1"/>
  <c r="Q134" i="20"/>
  <c r="Q140" i="20" s="1"/>
  <c r="Q146" i="20" s="1"/>
  <c r="Q152" i="20" s="1"/>
  <c r="Q138" i="20"/>
  <c r="Q144" i="20" s="1"/>
  <c r="Q150" i="20" s="1"/>
  <c r="Q156" i="20" s="1"/>
  <c r="Q100" i="20"/>
  <c r="Q106" i="20" s="1"/>
  <c r="Q112" i="20" s="1"/>
  <c r="Q118" i="20" s="1"/>
  <c r="Q64" i="20"/>
  <c r="Q70" i="20" s="1"/>
  <c r="Q128" i="20"/>
  <c r="Q130" i="20" s="1"/>
  <c r="AK58" i="28"/>
  <c r="AK185" i="28"/>
  <c r="X44" i="20"/>
  <c r="X154" i="27"/>
  <c r="X160" i="27" s="1"/>
  <c r="N159" i="20"/>
  <c r="AN79" i="20"/>
  <c r="AN85" i="20" s="1"/>
  <c r="AL61" i="59"/>
  <c r="AM49" i="28"/>
  <c r="AI23" i="27"/>
  <c r="AL144" i="32"/>
  <c r="AI38" i="28"/>
  <c r="AI102" i="28"/>
  <c r="AI165" i="28"/>
  <c r="AM54" i="28"/>
  <c r="T47" i="59"/>
  <c r="T170" i="59"/>
  <c r="AG141" i="28"/>
  <c r="AG97" i="28"/>
  <c r="AI22" i="32"/>
  <c r="AI69" i="32"/>
  <c r="AF75" i="52"/>
  <c r="AI60" i="32"/>
  <c r="AF52" i="18"/>
  <c r="AI50" i="32"/>
  <c r="Y4" i="19"/>
  <c r="AV30" i="5"/>
  <c r="Y17" i="52" s="1"/>
  <c r="M125" i="53"/>
  <c r="M124" i="53"/>
  <c r="E193" i="25"/>
  <c r="E199" i="25" s="1"/>
  <c r="H60" i="32"/>
  <c r="AQ192" i="32"/>
  <c r="AN83" i="52"/>
  <c r="AN49" i="20"/>
  <c r="AQ173" i="32"/>
  <c r="AQ145" i="32"/>
  <c r="AQ154" i="32"/>
  <c r="AQ201" i="32"/>
  <c r="Q75" i="52"/>
  <c r="T69" i="32"/>
  <c r="T41" i="32"/>
  <c r="T31" i="32"/>
  <c r="Q52" i="18"/>
  <c r="AS9" i="53"/>
  <c r="BA9" i="53" s="1"/>
  <c r="A186" i="53"/>
  <c r="A314" i="53" s="1"/>
  <c r="W33" i="11"/>
  <c r="Z33" i="11"/>
  <c r="Q33" i="11"/>
  <c r="AF33" i="11"/>
  <c r="AC33" i="11"/>
  <c r="T33" i="11"/>
  <c r="T126" i="18"/>
  <c r="Y70" i="52"/>
  <c r="AB64" i="32"/>
  <c r="Y46" i="18"/>
  <c r="Y53" i="18" s="1"/>
  <c r="AB55" i="32"/>
  <c r="Y47" i="18"/>
  <c r="Y165" i="18"/>
  <c r="AB8" i="32"/>
  <c r="AB26" i="32"/>
  <c r="AB17" i="32"/>
  <c r="AB45" i="32"/>
  <c r="AB36" i="32"/>
  <c r="T13" i="20"/>
  <c r="W198" i="32" s="1"/>
  <c r="T23" i="20"/>
  <c r="AN19" i="20"/>
  <c r="AN216" i="27"/>
  <c r="AN222" i="27" s="1"/>
  <c r="AN182" i="27"/>
  <c r="AN188" i="27" s="1"/>
  <c r="W34" i="32"/>
  <c r="W35" i="32" s="1"/>
  <c r="V13" i="34" s="1"/>
  <c r="W44" i="32"/>
  <c r="V12" i="34" s="1"/>
  <c r="Y124" i="18"/>
  <c r="T50" i="28"/>
  <c r="U46" i="32"/>
  <c r="U9" i="32"/>
  <c r="U65" i="32"/>
  <c r="U56" i="32"/>
  <c r="U37" i="32"/>
  <c r="R48" i="18"/>
  <c r="R71" i="52"/>
  <c r="U18" i="32"/>
  <c r="U27" i="32"/>
  <c r="Q62" i="18"/>
  <c r="Q68" i="18" s="1"/>
  <c r="Q74" i="18" s="1"/>
  <c r="Q80" i="18" s="1"/>
  <c r="Q98" i="18"/>
  <c r="Q104" i="18" s="1"/>
  <c r="Q110" i="18" s="1"/>
  <c r="Q116" i="18" s="1"/>
  <c r="L7" i="27"/>
  <c r="L13" i="27" s="1"/>
  <c r="L75" i="27"/>
  <c r="L81" i="27" s="1"/>
  <c r="L73" i="27"/>
  <c r="L79" i="27" s="1"/>
  <c r="L109" i="27"/>
  <c r="L115" i="27" s="1"/>
  <c r="L16" i="20"/>
  <c r="O179" i="32"/>
  <c r="L205" i="27"/>
  <c r="L211" i="27" s="1"/>
  <c r="L43" i="27"/>
  <c r="L49" i="27" s="1"/>
  <c r="L5" i="27"/>
  <c r="L11" i="27" s="1"/>
  <c r="L6" i="27"/>
  <c r="L12" i="27" s="1"/>
  <c r="L29" i="20"/>
  <c r="L36" i="20" s="1"/>
  <c r="L63" i="20"/>
  <c r="L69" i="20" s="1"/>
  <c r="L136" i="20"/>
  <c r="L142" i="20" s="1"/>
  <c r="L28" i="20"/>
  <c r="L35" i="20" s="1"/>
  <c r="L32" i="20"/>
  <c r="L39" i="20" s="1"/>
  <c r="L40" i="20" s="1"/>
  <c r="L128" i="20"/>
  <c r="L130" i="20" s="1"/>
  <c r="AN114" i="20"/>
  <c r="AN120" i="20" s="1"/>
  <c r="X83" i="33"/>
  <c r="X21" i="33" s="1"/>
  <c r="X39" i="33" s="1"/>
  <c r="X57" i="33" s="1"/>
  <c r="O138" i="11"/>
  <c r="H85" i="52"/>
  <c r="K156" i="32"/>
  <c r="K203" i="32"/>
  <c r="K175" i="32"/>
  <c r="K184" i="32"/>
  <c r="K147" i="32"/>
  <c r="H51" i="20"/>
  <c r="K194" i="32"/>
  <c r="K165" i="32"/>
  <c r="AE73" i="52"/>
  <c r="AH48" i="32"/>
  <c r="AH67" i="32"/>
  <c r="AH58" i="32"/>
  <c r="AH29" i="32"/>
  <c r="AH11" i="32"/>
  <c r="AE50" i="18"/>
  <c r="AE125" i="18" s="1"/>
  <c r="AH20" i="32"/>
  <c r="AL116" i="59"/>
  <c r="AL182" i="59" s="1"/>
  <c r="AL54" i="59"/>
  <c r="AL192" i="32"/>
  <c r="AL182" i="32"/>
  <c r="AL201" i="32"/>
  <c r="AI49" i="20"/>
  <c r="AL173" i="32"/>
  <c r="AL163" i="32"/>
  <c r="AL154" i="32"/>
  <c r="AL145" i="32"/>
  <c r="AI83" i="52"/>
  <c r="AN50" i="27"/>
  <c r="AN56" i="27" s="1"/>
  <c r="AI36" i="59"/>
  <c r="AI161" i="59"/>
  <c r="W71" i="26"/>
  <c r="W77" i="26" s="1"/>
  <c r="X150" i="20"/>
  <c r="X156" i="20" s="1"/>
  <c r="X151" i="27"/>
  <c r="X157" i="27" s="1"/>
  <c r="AG68" i="33"/>
  <c r="AG6" i="33" s="1"/>
  <c r="AG24" i="33" s="1"/>
  <c r="AG42" i="33" s="1"/>
  <c r="X123" i="11"/>
  <c r="AJ23" i="11"/>
  <c r="AM23" i="11" s="1"/>
  <c r="AA115" i="28"/>
  <c r="AM127" i="25"/>
  <c r="AM133" i="25" s="1"/>
  <c r="AP41" i="32"/>
  <c r="E29" i="33"/>
  <c r="K26" i="33"/>
  <c r="AI97" i="28"/>
  <c r="AI4" i="28"/>
  <c r="AI32" i="28" s="1"/>
  <c r="I89" i="25"/>
  <c r="I95" i="25" s="1"/>
  <c r="L26" i="32"/>
  <c r="I165" i="32"/>
  <c r="I175" i="32"/>
  <c r="F85" i="52"/>
  <c r="I147" i="32"/>
  <c r="I184" i="32"/>
  <c r="I203" i="32"/>
  <c r="I156" i="32"/>
  <c r="I194" i="32"/>
  <c r="F51" i="20"/>
  <c r="F161" i="20" s="1"/>
  <c r="AE141" i="28"/>
  <c r="AE97" i="28"/>
  <c r="AE30" i="11"/>
  <c r="AB30" i="11"/>
  <c r="P30" i="11"/>
  <c r="Y30" i="11"/>
  <c r="V30" i="11"/>
  <c r="S30" i="11"/>
  <c r="AC97" i="28"/>
  <c r="AC141" i="28"/>
  <c r="X118" i="27"/>
  <c r="X124" i="27" s="1"/>
  <c r="T16" i="20"/>
  <c r="T109" i="27" s="1"/>
  <c r="T115" i="27" s="1"/>
  <c r="T137" i="27"/>
  <c r="T143" i="27" s="1"/>
  <c r="T206" i="27"/>
  <c r="T212" i="27" s="1"/>
  <c r="W179" i="32"/>
  <c r="T171" i="27"/>
  <c r="T177" i="27" s="1"/>
  <c r="T142" i="27"/>
  <c r="T148" i="27" s="1"/>
  <c r="T208" i="27"/>
  <c r="T214" i="27" s="1"/>
  <c r="T67" i="20"/>
  <c r="T73" i="20" s="1"/>
  <c r="T39" i="27"/>
  <c r="T45" i="27" s="1"/>
  <c r="T128" i="20"/>
  <c r="T130" i="20" s="1"/>
  <c r="F88" i="20"/>
  <c r="AN123" i="20"/>
  <c r="T159" i="18"/>
  <c r="AK58" i="59"/>
  <c r="AJ96" i="27"/>
  <c r="AJ63" i="27"/>
  <c r="AJ30" i="27"/>
  <c r="AJ228" i="27"/>
  <c r="AJ195" i="27"/>
  <c r="AJ162" i="27"/>
  <c r="AJ129" i="27"/>
  <c r="AJ123" i="20"/>
  <c r="AJ87" i="20"/>
  <c r="Q10" i="25"/>
  <c r="Q16" i="25" s="1"/>
  <c r="Q22" i="25" s="1"/>
  <c r="Q28" i="25" s="1"/>
  <c r="Q134" i="18"/>
  <c r="Q140" i="18" s="1"/>
  <c r="Q146" i="18" s="1"/>
  <c r="Q152" i="18" s="1"/>
  <c r="K97" i="28"/>
  <c r="K141" i="28"/>
  <c r="AN147" i="20"/>
  <c r="AN153" i="20" s="1"/>
  <c r="O126" i="11"/>
  <c r="X71" i="33"/>
  <c r="X9" i="33" s="1"/>
  <c r="X27" i="33" s="1"/>
  <c r="X45" i="33" s="1"/>
  <c r="H49" i="20"/>
  <c r="K201" i="32"/>
  <c r="K192" i="32"/>
  <c r="K173" i="32"/>
  <c r="K182" i="32"/>
  <c r="K154" i="32"/>
  <c r="K145" i="32"/>
  <c r="H83" i="52"/>
  <c r="AA161" i="20"/>
  <c r="AI84" i="52"/>
  <c r="AL202" i="32"/>
  <c r="AI50" i="20"/>
  <c r="AL164" i="32"/>
  <c r="AL183" i="32"/>
  <c r="AL146" i="32"/>
  <c r="AL174" i="32"/>
  <c r="AL193" i="32"/>
  <c r="AL155" i="32"/>
  <c r="AN187" i="27"/>
  <c r="AN193" i="27" s="1"/>
  <c r="AN49" i="28"/>
  <c r="AN151" i="20"/>
  <c r="AN157" i="20" s="1"/>
  <c r="X141" i="11"/>
  <c r="X147" i="20"/>
  <c r="X153" i="20" s="1"/>
  <c r="X159" i="20" s="1"/>
  <c r="X86" i="27"/>
  <c r="X92" i="27" s="1"/>
  <c r="Q192" i="32"/>
  <c r="Q201" i="32"/>
  <c r="Q163" i="32"/>
  <c r="Q154" i="32"/>
  <c r="Q173" i="32"/>
  <c r="N83" i="52"/>
  <c r="N49" i="20"/>
  <c r="N126" i="20"/>
  <c r="AG74" i="33"/>
  <c r="AG12" i="33" s="1"/>
  <c r="AG30" i="33" s="1"/>
  <c r="AG48" i="33" s="1"/>
  <c r="X129" i="11"/>
  <c r="S81" i="33"/>
  <c r="S19" i="33" s="1"/>
  <c r="S37" i="33" s="1"/>
  <c r="S55" i="33" s="1"/>
  <c r="J136" i="11"/>
  <c r="M4" i="19"/>
  <c r="AV16" i="5"/>
  <c r="M17" i="52" s="1"/>
  <c r="AN20" i="27"/>
  <c r="AN26" i="27" s="1"/>
  <c r="Y125" i="27"/>
  <c r="AB175" i="32"/>
  <c r="AH64" i="25"/>
  <c r="AH130" i="25"/>
  <c r="AH163" i="25"/>
  <c r="AH229" i="25"/>
  <c r="AH196" i="25"/>
  <c r="AH97" i="25"/>
  <c r="AH31" i="25"/>
  <c r="Z163" i="18"/>
  <c r="M44" i="32"/>
  <c r="L12" i="34" s="1"/>
  <c r="M34" i="32"/>
  <c r="M35" i="32" s="1"/>
  <c r="L13" i="34" s="1"/>
  <c r="I74" i="52"/>
  <c r="L30" i="32"/>
  <c r="L68" i="32"/>
  <c r="L40" i="32"/>
  <c r="L59" i="32"/>
  <c r="L21" i="32"/>
  <c r="L12" i="32"/>
  <c r="I51" i="18"/>
  <c r="I162" i="18" s="1"/>
  <c r="L49" i="32"/>
  <c r="AI52" i="59"/>
  <c r="AA47" i="59"/>
  <c r="T87" i="28"/>
  <c r="T22" i="28" s="1"/>
  <c r="T121" i="28"/>
  <c r="T23" i="28"/>
  <c r="AF43" i="27"/>
  <c r="AF49" i="27" s="1"/>
  <c r="AF55" i="27" s="1"/>
  <c r="AF61" i="27" s="1"/>
  <c r="G101" i="18"/>
  <c r="G107" i="18" s="1"/>
  <c r="G113" i="18" s="1"/>
  <c r="G119" i="18" s="1"/>
  <c r="AB46" i="32"/>
  <c r="Y71" i="52"/>
  <c r="AB56" i="32"/>
  <c r="Y48" i="18"/>
  <c r="Y123" i="18" s="1"/>
  <c r="AB9" i="32"/>
  <c r="AB18" i="32"/>
  <c r="AB27" i="32"/>
  <c r="AB37" i="32"/>
  <c r="AB65" i="32"/>
  <c r="AB31" i="32"/>
  <c r="AB50" i="32"/>
  <c r="AB69" i="32"/>
  <c r="AB22" i="32"/>
  <c r="Y75" i="52"/>
  <c r="AB41" i="32"/>
  <c r="AB13" i="32"/>
  <c r="AB60" i="32"/>
  <c r="Y52" i="18"/>
  <c r="K28" i="1"/>
  <c r="K28" i="3"/>
  <c r="K28" i="4"/>
  <c r="K28" i="2"/>
  <c r="O124" i="25"/>
  <c r="O130" i="25" s="1"/>
  <c r="R38" i="32"/>
  <c r="M94" i="53"/>
  <c r="M95" i="53"/>
  <c r="F91" i="20"/>
  <c r="AN141" i="28"/>
  <c r="AJ141" i="28"/>
  <c r="AM141" i="28"/>
  <c r="AK141" i="28"/>
  <c r="T70" i="52"/>
  <c r="W36" i="32"/>
  <c r="W55" i="32"/>
  <c r="W8" i="32"/>
  <c r="T93" i="18"/>
  <c r="W64" i="32"/>
  <c r="W17" i="32"/>
  <c r="T47" i="18"/>
  <c r="W26" i="32"/>
  <c r="H41" i="32"/>
  <c r="E127" i="25"/>
  <c r="E133" i="25" s="1"/>
  <c r="Y122" i="18"/>
  <c r="Y87" i="18"/>
  <c r="U44" i="32"/>
  <c r="T12" i="34" s="1"/>
  <c r="U34" i="32"/>
  <c r="U35" i="32" s="1"/>
  <c r="T13" i="34" s="1"/>
  <c r="Q171" i="25"/>
  <c r="Q177" i="25" s="1"/>
  <c r="Q183" i="25" s="1"/>
  <c r="Q189" i="25" s="1"/>
  <c r="Q141" i="25"/>
  <c r="Q147" i="25" s="1"/>
  <c r="Q153" i="25" s="1"/>
  <c r="Q159" i="25" s="1"/>
  <c r="AN55" i="27"/>
  <c r="AN61" i="27" s="1"/>
  <c r="H127" i="20"/>
  <c r="H122" i="20"/>
  <c r="X187" i="27"/>
  <c r="X193" i="27" s="1"/>
  <c r="X120" i="27"/>
  <c r="X126" i="27" s="1"/>
  <c r="X215" i="27"/>
  <c r="X221" i="27" s="1"/>
  <c r="X135" i="11"/>
  <c r="AG80" i="33"/>
  <c r="AG18" i="33" s="1"/>
  <c r="AG36" i="33" s="1"/>
  <c r="AG54" i="33" s="1"/>
  <c r="AN52" i="27"/>
  <c r="AN58" i="27" s="1"/>
  <c r="AJ54" i="59"/>
  <c r="AJ116" i="59"/>
  <c r="AJ184" i="59" s="1"/>
  <c r="AJ177" i="59"/>
  <c r="AL128" i="11"/>
  <c r="N73" i="33"/>
  <c r="N11" i="33" s="1"/>
  <c r="N29" i="33" s="1"/>
  <c r="N47" i="33" s="1"/>
  <c r="J160" i="18"/>
  <c r="Y126" i="20"/>
  <c r="G135" i="18"/>
  <c r="G141" i="18" s="1"/>
  <c r="G147" i="18" s="1"/>
  <c r="G153" i="18" s="1"/>
  <c r="AA59" i="28"/>
  <c r="H183" i="27"/>
  <c r="H189" i="27" s="1"/>
  <c r="H150" i="20"/>
  <c r="H156" i="20" s="1"/>
  <c r="H162" i="20" s="1"/>
  <c r="H146" i="20"/>
  <c r="H152" i="20" s="1"/>
  <c r="H158" i="20" s="1"/>
  <c r="AA74" i="20"/>
  <c r="AA80" i="20" s="1"/>
  <c r="AA86" i="20" s="1"/>
  <c r="AA50" i="27"/>
  <c r="AA56" i="27" s="1"/>
  <c r="AD199" i="32"/>
  <c r="AF21" i="34" s="1"/>
  <c r="AF35" i="34" s="1"/>
  <c r="AD189" i="32"/>
  <c r="AD190" i="32" s="1"/>
  <c r="AF22" i="34" s="1"/>
  <c r="AF36" i="34" s="1"/>
  <c r="AA53" i="27"/>
  <c r="AA59" i="27" s="1"/>
  <c r="W28" i="11"/>
  <c r="X137" i="27"/>
  <c r="X143" i="27" s="1"/>
  <c r="X149" i="27" s="1"/>
  <c r="X155" i="27" s="1"/>
  <c r="X208" i="27"/>
  <c r="X214" i="27" s="1"/>
  <c r="X220" i="27" s="1"/>
  <c r="X226" i="27" s="1"/>
  <c r="X6" i="27"/>
  <c r="X12" i="27" s="1"/>
  <c r="X18" i="27" s="1"/>
  <c r="N108" i="27"/>
  <c r="N114" i="27" s="1"/>
  <c r="N120" i="27" s="1"/>
  <c r="N29" i="20"/>
  <c r="N36" i="20" s="1"/>
  <c r="N44" i="20" s="1"/>
  <c r="O6" i="5"/>
  <c r="Q6" i="5"/>
  <c r="P6" i="5"/>
  <c r="Y6" i="5" s="1"/>
  <c r="Z6" i="5"/>
  <c r="AJ172" i="59"/>
  <c r="AJ49" i="59"/>
  <c r="AN105" i="59"/>
  <c r="AN42" i="59" s="1"/>
  <c r="AN43" i="59"/>
  <c r="X4" i="19"/>
  <c r="AV27" i="5"/>
  <c r="X17" i="52" s="1"/>
  <c r="Y162" i="20"/>
  <c r="AK183" i="28"/>
  <c r="AK56" i="28"/>
  <c r="AK120" i="28"/>
  <c r="Z28" i="18"/>
  <c r="Z35" i="18" s="1"/>
  <c r="Z43" i="18" s="1"/>
  <c r="Z172" i="25"/>
  <c r="Z178" i="25" s="1"/>
  <c r="Z184" i="25" s="1"/>
  <c r="Z7" i="25"/>
  <c r="Z13" i="25" s="1"/>
  <c r="Z19" i="25" s="1"/>
  <c r="AK169" i="28"/>
  <c r="AK42" i="28"/>
  <c r="J138" i="25"/>
  <c r="J144" i="25" s="1"/>
  <c r="J150" i="25" s="1"/>
  <c r="J156" i="25" s="1"/>
  <c r="J65" i="18"/>
  <c r="J71" i="18" s="1"/>
  <c r="J77" i="18" s="1"/>
  <c r="J83" i="18" s="1"/>
  <c r="J208" i="25"/>
  <c r="J214" i="25" s="1"/>
  <c r="J220" i="25" s="1"/>
  <c r="J226" i="25" s="1"/>
  <c r="T28" i="19"/>
  <c r="T35" i="19" s="1"/>
  <c r="AB138" i="18"/>
  <c r="AB144" i="18" s="1"/>
  <c r="AB150" i="18" s="1"/>
  <c r="AB156" i="18" s="1"/>
  <c r="AB40" i="25"/>
  <c r="AB46" i="25" s="1"/>
  <c r="AB52" i="25" s="1"/>
  <c r="AB58" i="25" s="1"/>
  <c r="AB27" i="18"/>
  <c r="AB34" i="18" s="1"/>
  <c r="AB42" i="18" s="1"/>
  <c r="Z142" i="11"/>
  <c r="AG123" i="18"/>
  <c r="C20" i="33"/>
  <c r="C35" i="33"/>
  <c r="D17" i="33"/>
  <c r="K17" i="33" s="1"/>
  <c r="I158" i="18"/>
  <c r="F26" i="19"/>
  <c r="F33" i="19" s="1"/>
  <c r="F41" i="19" s="1"/>
  <c r="F172" i="26"/>
  <c r="F178" i="26" s="1"/>
  <c r="F184" i="26" s="1"/>
  <c r="F190" i="26" s="1"/>
  <c r="F30" i="19"/>
  <c r="F37" i="19" s="1"/>
  <c r="F45" i="19" s="1"/>
  <c r="AN19" i="27"/>
  <c r="AN25" i="27" s="1"/>
  <c r="AI108" i="28"/>
  <c r="AI43" i="28" s="1"/>
  <c r="AI44" i="28"/>
  <c r="AP92" i="32"/>
  <c r="AM92" i="19"/>
  <c r="AM94" i="19" s="1"/>
  <c r="AF105" i="25"/>
  <c r="AF111" i="25" s="1"/>
  <c r="AF117" i="25" s="1"/>
  <c r="AF123" i="25" s="1"/>
  <c r="AF38" i="25"/>
  <c r="AF44" i="25" s="1"/>
  <c r="AF50" i="25" s="1"/>
  <c r="AF56" i="25" s="1"/>
  <c r="AF137" i="18"/>
  <c r="AF143" i="18" s="1"/>
  <c r="AF149" i="18" s="1"/>
  <c r="AF155" i="18" s="1"/>
  <c r="I93" i="18"/>
  <c r="I7" i="19"/>
  <c r="I8" i="19"/>
  <c r="I5" i="19"/>
  <c r="U175" i="25"/>
  <c r="U181" i="25" s="1"/>
  <c r="U187" i="25" s="1"/>
  <c r="U193" i="25" s="1"/>
  <c r="U141" i="25"/>
  <c r="U147" i="25" s="1"/>
  <c r="U153" i="25" s="1"/>
  <c r="U159" i="25" s="1"/>
  <c r="U67" i="18"/>
  <c r="U73" i="18" s="1"/>
  <c r="U79" i="18" s="1"/>
  <c r="U85" i="18" s="1"/>
  <c r="W5" i="11"/>
  <c r="Z5" i="11"/>
  <c r="AF5" i="11"/>
  <c r="T5" i="11"/>
  <c r="AC5" i="11"/>
  <c r="Q5" i="11"/>
  <c r="AN149" i="20"/>
  <c r="AN155" i="20" s="1"/>
  <c r="T42" i="28"/>
  <c r="AA56" i="59"/>
  <c r="AA179" i="59"/>
  <c r="AE10" i="27"/>
  <c r="AE16" i="27" s="1"/>
  <c r="AE138" i="27"/>
  <c r="AE144" i="27" s="1"/>
  <c r="AE73" i="27"/>
  <c r="AE79" i="27" s="1"/>
  <c r="AE38" i="27"/>
  <c r="AE44" i="27" s="1"/>
  <c r="AE175" i="27"/>
  <c r="AE181" i="27" s="1"/>
  <c r="AE8" i="27"/>
  <c r="AE14" i="27" s="1"/>
  <c r="AE75" i="27"/>
  <c r="AE81" i="27" s="1"/>
  <c r="AE74" i="27"/>
  <c r="AE80" i="27" s="1"/>
  <c r="AE137" i="20"/>
  <c r="AE143" i="20" s="1"/>
  <c r="AE39" i="27"/>
  <c r="AE45" i="27" s="1"/>
  <c r="AE27" i="20"/>
  <c r="AE34" i="20" s="1"/>
  <c r="AE66" i="20"/>
  <c r="AE72" i="20" s="1"/>
  <c r="AE136" i="20"/>
  <c r="AE142" i="20" s="1"/>
  <c r="AH179" i="32"/>
  <c r="AE170" i="27"/>
  <c r="AE176" i="27" s="1"/>
  <c r="AE42" i="27"/>
  <c r="AE48" i="27" s="1"/>
  <c r="AE138" i="20"/>
  <c r="AE144" i="20" s="1"/>
  <c r="AE208" i="27"/>
  <c r="AE214" i="27" s="1"/>
  <c r="AE102" i="20"/>
  <c r="AE108" i="20" s="1"/>
  <c r="AE164" i="20"/>
  <c r="AE166" i="20" s="1"/>
  <c r="AE16" i="20"/>
  <c r="AE105" i="27" s="1"/>
  <c r="AE111" i="27" s="1"/>
  <c r="AE205" i="27"/>
  <c r="AE211" i="27" s="1"/>
  <c r="AE141" i="27"/>
  <c r="AE147" i="27" s="1"/>
  <c r="AE174" i="27"/>
  <c r="AE180" i="27" s="1"/>
  <c r="AE128" i="20"/>
  <c r="AE130" i="20" s="1"/>
  <c r="AE41" i="27"/>
  <c r="AE47" i="27" s="1"/>
  <c r="AE26" i="20"/>
  <c r="AE33" i="20" s="1"/>
  <c r="AE103" i="20"/>
  <c r="AE109" i="20" s="1"/>
  <c r="AE104" i="27"/>
  <c r="AE110" i="27" s="1"/>
  <c r="AE171" i="27"/>
  <c r="AE177" i="27" s="1"/>
  <c r="AE135" i="20"/>
  <c r="AE141" i="20" s="1"/>
  <c r="AN46" i="20"/>
  <c r="AA63" i="28"/>
  <c r="E230" i="53"/>
  <c r="E331" i="53"/>
  <c r="E366" i="53" s="1"/>
  <c r="AN118" i="27"/>
  <c r="AN124" i="27" s="1"/>
  <c r="F127" i="20"/>
  <c r="J127" i="18"/>
  <c r="H141" i="11"/>
  <c r="X165" i="20"/>
  <c r="G38" i="59"/>
  <c r="W130" i="32"/>
  <c r="T141" i="26"/>
  <c r="T147" i="26" s="1"/>
  <c r="T137" i="19"/>
  <c r="T143" i="19" s="1"/>
  <c r="T62" i="19"/>
  <c r="T68" i="19" s="1"/>
  <c r="T71" i="26"/>
  <c r="T77" i="26" s="1"/>
  <c r="T100" i="19"/>
  <c r="T106" i="19" s="1"/>
  <c r="T108" i="26"/>
  <c r="T114" i="26" s="1"/>
  <c r="T164" i="19"/>
  <c r="T166" i="19" s="1"/>
  <c r="T74" i="26"/>
  <c r="T80" i="26" s="1"/>
  <c r="T41" i="26"/>
  <c r="T47" i="26" s="1"/>
  <c r="T206" i="26"/>
  <c r="T212" i="26" s="1"/>
  <c r="F90" i="20"/>
  <c r="P164" i="18"/>
  <c r="P166" i="18" s="1"/>
  <c r="F124" i="20"/>
  <c r="T63" i="19"/>
  <c r="T69" i="19" s="1"/>
  <c r="T75" i="19" s="1"/>
  <c r="T81" i="19" s="1"/>
  <c r="AI68" i="32"/>
  <c r="AI21" i="32"/>
  <c r="AI59" i="32"/>
  <c r="AI40" i="32"/>
  <c r="AI12" i="32"/>
  <c r="AF74" i="52"/>
  <c r="AF51" i="18"/>
  <c r="AJ122" i="20"/>
  <c r="AR11" i="5"/>
  <c r="AS11" i="5"/>
  <c r="P39" i="25"/>
  <c r="P45" i="25" s="1"/>
  <c r="P51" i="25" s="1"/>
  <c r="P57" i="25" s="1"/>
  <c r="AJ42" i="28"/>
  <c r="AR12" i="5"/>
  <c r="AS12" i="5"/>
  <c r="T69" i="28"/>
  <c r="T103" i="28"/>
  <c r="T5" i="28"/>
  <c r="I75" i="52"/>
  <c r="L41" i="32"/>
  <c r="L60" i="32"/>
  <c r="L50" i="32"/>
  <c r="L31" i="32"/>
  <c r="L69" i="32"/>
  <c r="L13" i="32"/>
  <c r="L22" i="32"/>
  <c r="I52" i="18"/>
  <c r="I127" i="18" s="1"/>
  <c r="AM53" i="28"/>
  <c r="AB194" i="32"/>
  <c r="AA22" i="27"/>
  <c r="T58" i="59"/>
  <c r="AG92" i="32"/>
  <c r="AD92" i="19"/>
  <c r="AD94" i="19" s="1"/>
  <c r="D19" i="33"/>
  <c r="K19" i="33" s="1"/>
  <c r="C37" i="33"/>
  <c r="C22" i="33"/>
  <c r="AL50" i="28"/>
  <c r="AK160" i="59"/>
  <c r="W23" i="19"/>
  <c r="W13" i="19"/>
  <c r="V55" i="50"/>
  <c r="V108" i="50"/>
  <c r="T7" i="26"/>
  <c r="T13" i="26" s="1"/>
  <c r="AF102" i="18"/>
  <c r="AF108" i="18" s="1"/>
  <c r="AF114" i="18" s="1"/>
  <c r="AF120" i="18" s="1"/>
  <c r="AF126" i="18" s="1"/>
  <c r="AF72" i="25"/>
  <c r="AF78" i="25" s="1"/>
  <c r="AF84" i="25" s="1"/>
  <c r="AF90" i="25" s="1"/>
  <c r="AF26" i="18"/>
  <c r="AF33" i="18" s="1"/>
  <c r="AF41" i="18" s="1"/>
  <c r="L45" i="32"/>
  <c r="T11" i="11"/>
  <c r="AF11" i="11"/>
  <c r="W11" i="11"/>
  <c r="AC11" i="11"/>
  <c r="Z11" i="11"/>
  <c r="Q11" i="11"/>
  <c r="AF12" i="11"/>
  <c r="AC12" i="11"/>
  <c r="W12" i="11"/>
  <c r="Q12" i="11"/>
  <c r="Z12" i="11"/>
  <c r="T12" i="11"/>
  <c r="AA69" i="28"/>
  <c r="AA5" i="28"/>
  <c r="AA103" i="28"/>
  <c r="U16" i="18"/>
  <c r="U18" i="18" s="1"/>
  <c r="O126" i="25"/>
  <c r="O132" i="25" s="1"/>
  <c r="R40" i="32"/>
  <c r="AF129" i="20"/>
  <c r="AN21" i="27"/>
  <c r="AN27" i="27" s="1"/>
  <c r="AJ12" i="32"/>
  <c r="AG74" i="52"/>
  <c r="AJ40" i="32"/>
  <c r="AJ59" i="32"/>
  <c r="AG51" i="18"/>
  <c r="AJ21" i="32"/>
  <c r="AJ68" i="32"/>
  <c r="S62" i="32"/>
  <c r="P16" i="18"/>
  <c r="P18" i="18" s="1"/>
  <c r="P73" i="25"/>
  <c r="P79" i="25" s="1"/>
  <c r="P85" i="25" s="1"/>
  <c r="P91" i="25" s="1"/>
  <c r="P138" i="25"/>
  <c r="P144" i="25" s="1"/>
  <c r="P150" i="25" s="1"/>
  <c r="P156" i="25" s="1"/>
  <c r="P76" i="25"/>
  <c r="P82" i="25" s="1"/>
  <c r="P88" i="25" s="1"/>
  <c r="P94" i="25" s="1"/>
  <c r="P71" i="25"/>
  <c r="P77" i="25" s="1"/>
  <c r="P83" i="25" s="1"/>
  <c r="P89" i="25" s="1"/>
  <c r="P31" i="18"/>
  <c r="P38" i="18" s="1"/>
  <c r="P39" i="18" s="1"/>
  <c r="P135" i="18"/>
  <c r="P141" i="18" s="1"/>
  <c r="P147" i="18" s="1"/>
  <c r="P153" i="18" s="1"/>
  <c r="P64" i="18"/>
  <c r="P70" i="18" s="1"/>
  <c r="P76" i="18" s="1"/>
  <c r="P82" i="18" s="1"/>
  <c r="P72" i="25"/>
  <c r="P78" i="25" s="1"/>
  <c r="P84" i="25" s="1"/>
  <c r="P90" i="25" s="1"/>
  <c r="P109" i="25"/>
  <c r="P115" i="25" s="1"/>
  <c r="P121" i="25" s="1"/>
  <c r="P127" i="25" s="1"/>
  <c r="P101" i="18"/>
  <c r="P107" i="18" s="1"/>
  <c r="P113" i="18" s="1"/>
  <c r="P119" i="18" s="1"/>
  <c r="P170" i="25"/>
  <c r="P176" i="25" s="1"/>
  <c r="P182" i="25" s="1"/>
  <c r="P188" i="25" s="1"/>
  <c r="P172" i="25"/>
  <c r="P178" i="25" s="1"/>
  <c r="P184" i="25" s="1"/>
  <c r="P190" i="25" s="1"/>
  <c r="P28" i="18"/>
  <c r="P35" i="18" s="1"/>
  <c r="P43" i="18" s="1"/>
  <c r="P67" i="18"/>
  <c r="P73" i="18" s="1"/>
  <c r="P79" i="18" s="1"/>
  <c r="P85" i="18" s="1"/>
  <c r="P26" i="18"/>
  <c r="P33" i="18" s="1"/>
  <c r="P41" i="18" s="1"/>
  <c r="P139" i="25"/>
  <c r="P145" i="25" s="1"/>
  <c r="P151" i="25" s="1"/>
  <c r="P157" i="25" s="1"/>
  <c r="P203" i="25"/>
  <c r="P209" i="25" s="1"/>
  <c r="P215" i="25" s="1"/>
  <c r="P221" i="25" s="1"/>
  <c r="P105" i="25"/>
  <c r="P111" i="25" s="1"/>
  <c r="P117" i="25" s="1"/>
  <c r="P123" i="25" s="1"/>
  <c r="P108" i="25"/>
  <c r="P114" i="25" s="1"/>
  <c r="P120" i="25" s="1"/>
  <c r="P126" i="25" s="1"/>
  <c r="P66" i="18"/>
  <c r="P72" i="18" s="1"/>
  <c r="P78" i="18" s="1"/>
  <c r="P84" i="18" s="1"/>
  <c r="P100" i="18"/>
  <c r="P106" i="18" s="1"/>
  <c r="P112" i="18" s="1"/>
  <c r="P118" i="18" s="1"/>
  <c r="P8" i="25"/>
  <c r="P14" i="25" s="1"/>
  <c r="P20" i="25" s="1"/>
  <c r="P26" i="25" s="1"/>
  <c r="P104" i="25"/>
  <c r="P110" i="25" s="1"/>
  <c r="P116" i="25" s="1"/>
  <c r="P122" i="25" s="1"/>
  <c r="P140" i="25"/>
  <c r="P146" i="25" s="1"/>
  <c r="P152" i="25" s="1"/>
  <c r="P158" i="25" s="1"/>
  <c r="P43" i="25"/>
  <c r="P49" i="25" s="1"/>
  <c r="P55" i="25" s="1"/>
  <c r="P61" i="25" s="1"/>
  <c r="P208" i="25"/>
  <c r="P214" i="25" s="1"/>
  <c r="P220" i="25" s="1"/>
  <c r="P226" i="25" s="1"/>
  <c r="P42" i="25"/>
  <c r="P48" i="25" s="1"/>
  <c r="P54" i="25" s="1"/>
  <c r="P60" i="25" s="1"/>
  <c r="P38" i="25"/>
  <c r="P44" i="25" s="1"/>
  <c r="P50" i="25" s="1"/>
  <c r="P56" i="25" s="1"/>
  <c r="P138" i="18"/>
  <c r="P144" i="18" s="1"/>
  <c r="P150" i="18" s="1"/>
  <c r="P156" i="18" s="1"/>
  <c r="P74" i="25"/>
  <c r="P80" i="25" s="1"/>
  <c r="P86" i="25" s="1"/>
  <c r="P92" i="25" s="1"/>
  <c r="P103" i="18"/>
  <c r="P109" i="18" s="1"/>
  <c r="P115" i="18" s="1"/>
  <c r="P121" i="18" s="1"/>
  <c r="P137" i="25"/>
  <c r="P143" i="25" s="1"/>
  <c r="P149" i="25" s="1"/>
  <c r="P155" i="25" s="1"/>
  <c r="P63" i="18"/>
  <c r="P69" i="18" s="1"/>
  <c r="P75" i="18" s="1"/>
  <c r="P81" i="18" s="1"/>
  <c r="P7" i="25"/>
  <c r="P13" i="25" s="1"/>
  <c r="P19" i="25" s="1"/>
  <c r="P25" i="25" s="1"/>
  <c r="P25" i="18"/>
  <c r="P32" i="18" s="1"/>
  <c r="P40" i="18" s="1"/>
  <c r="P62" i="18"/>
  <c r="P68" i="18" s="1"/>
  <c r="P74" i="18" s="1"/>
  <c r="P80" i="18" s="1"/>
  <c r="P9" i="25"/>
  <c r="P15" i="25" s="1"/>
  <c r="P21" i="25" s="1"/>
  <c r="P27" i="25" s="1"/>
  <c r="P5" i="25"/>
  <c r="P11" i="25" s="1"/>
  <c r="P17" i="25" s="1"/>
  <c r="P23" i="25" s="1"/>
  <c r="P99" i="18"/>
  <c r="P105" i="18" s="1"/>
  <c r="P111" i="18" s="1"/>
  <c r="P117" i="18" s="1"/>
  <c r="P10" i="25"/>
  <c r="P16" i="25" s="1"/>
  <c r="P22" i="25" s="1"/>
  <c r="P28" i="25" s="1"/>
  <c r="P174" i="25"/>
  <c r="P180" i="25" s="1"/>
  <c r="P186" i="25" s="1"/>
  <c r="P192" i="25" s="1"/>
  <c r="P29" i="18"/>
  <c r="P36" i="18" s="1"/>
  <c r="P44" i="18" s="1"/>
  <c r="P136" i="18"/>
  <c r="P142" i="18" s="1"/>
  <c r="P148" i="18" s="1"/>
  <c r="P154" i="18" s="1"/>
  <c r="P139" i="18"/>
  <c r="P145" i="18" s="1"/>
  <c r="P151" i="18" s="1"/>
  <c r="P157" i="18" s="1"/>
  <c r="P106" i="25"/>
  <c r="P112" i="25" s="1"/>
  <c r="P118" i="25" s="1"/>
  <c r="P124" i="25" s="1"/>
  <c r="P6" i="25"/>
  <c r="P12" i="25" s="1"/>
  <c r="P18" i="25" s="1"/>
  <c r="P24" i="25" s="1"/>
  <c r="P65" i="18"/>
  <c r="P71" i="18" s="1"/>
  <c r="P77" i="18" s="1"/>
  <c r="P83" i="18" s="1"/>
  <c r="P141" i="25"/>
  <c r="P147" i="25" s="1"/>
  <c r="P153" i="25" s="1"/>
  <c r="P159" i="25" s="1"/>
  <c r="P98" i="18"/>
  <c r="P104" i="18" s="1"/>
  <c r="P110" i="18" s="1"/>
  <c r="P116" i="18" s="1"/>
  <c r="P204" i="25"/>
  <c r="P210" i="25" s="1"/>
  <c r="P216" i="25" s="1"/>
  <c r="P222" i="25" s="1"/>
  <c r="P171" i="25"/>
  <c r="P177" i="25" s="1"/>
  <c r="P183" i="25" s="1"/>
  <c r="P189" i="25" s="1"/>
  <c r="P206" i="25"/>
  <c r="P212" i="25" s="1"/>
  <c r="P218" i="25" s="1"/>
  <c r="P224" i="25" s="1"/>
  <c r="T4" i="59"/>
  <c r="T31" i="59" s="1"/>
  <c r="T94" i="59"/>
  <c r="AH87" i="18"/>
  <c r="AD18" i="19"/>
  <c r="AD15" i="19"/>
  <c r="AD6" i="19"/>
  <c r="AD12" i="19"/>
  <c r="F138" i="19"/>
  <c r="F144" i="19" s="1"/>
  <c r="F150" i="19" s="1"/>
  <c r="F156" i="19" s="1"/>
  <c r="F173" i="26"/>
  <c r="F179" i="26" s="1"/>
  <c r="F185" i="26" s="1"/>
  <c r="F191" i="26" s="1"/>
  <c r="F136" i="19"/>
  <c r="F142" i="19" s="1"/>
  <c r="F148" i="19" s="1"/>
  <c r="F154" i="19" s="1"/>
  <c r="D34" i="33"/>
  <c r="C52" i="33"/>
  <c r="D52" i="33" s="1"/>
  <c r="T39" i="26"/>
  <c r="T45" i="26" s="1"/>
  <c r="AK63" i="28"/>
  <c r="AK190" i="28"/>
  <c r="V4" i="50"/>
  <c r="V105" i="50"/>
  <c r="T67" i="19"/>
  <c r="T73" i="19" s="1"/>
  <c r="AF70" i="52"/>
  <c r="AI45" i="32"/>
  <c r="AI26" i="32"/>
  <c r="AI8" i="32"/>
  <c r="AF47" i="18"/>
  <c r="AF93" i="18"/>
  <c r="AI36" i="32"/>
  <c r="AI55" i="32"/>
  <c r="L64" i="32"/>
  <c r="AL47" i="28"/>
  <c r="I72" i="50"/>
  <c r="I109" i="50"/>
  <c r="AI163" i="20"/>
  <c r="P207" i="25"/>
  <c r="P213" i="25" s="1"/>
  <c r="P219" i="25" s="1"/>
  <c r="P225" i="25" s="1"/>
  <c r="J5" i="19"/>
  <c r="J7" i="19"/>
  <c r="J8" i="19"/>
  <c r="AA87" i="28"/>
  <c r="AA22" i="28" s="1"/>
  <c r="AA23" i="28"/>
  <c r="AA121" i="28"/>
  <c r="X53" i="32"/>
  <c r="X54" i="32" s="1"/>
  <c r="W15" i="34" s="1"/>
  <c r="X63" i="32"/>
  <c r="W14" i="34" s="1"/>
  <c r="Y164" i="27"/>
  <c r="Y197" i="27"/>
  <c r="Y131" i="27"/>
  <c r="Y98" i="27"/>
  <c r="Y65" i="27"/>
  <c r="Y32" i="27"/>
  <c r="Y230" i="27"/>
  <c r="AN184" i="27"/>
  <c r="AN190" i="27" s="1"/>
  <c r="G166" i="28"/>
  <c r="G39" i="28"/>
  <c r="AM38" i="59"/>
  <c r="AK53" i="28"/>
  <c r="J107" i="25"/>
  <c r="J113" i="25" s="1"/>
  <c r="J119" i="25" s="1"/>
  <c r="J125" i="25" s="1"/>
  <c r="AD159" i="18"/>
  <c r="AB73" i="52"/>
  <c r="AE20" i="32"/>
  <c r="AE67" i="32"/>
  <c r="AE58" i="32"/>
  <c r="AB50" i="18"/>
  <c r="AE29" i="32"/>
  <c r="AG126" i="18"/>
  <c r="AC62" i="32"/>
  <c r="Z16" i="18"/>
  <c r="Z18" i="18" s="1"/>
  <c r="AI40" i="28"/>
  <c r="AI167" i="28"/>
  <c r="H12" i="18"/>
  <c r="H138" i="18" s="1"/>
  <c r="H144" i="18" s="1"/>
  <c r="H150" i="18" s="1"/>
  <c r="H156" i="18" s="1"/>
  <c r="H22" i="18"/>
  <c r="U62" i="32"/>
  <c r="R16" i="18"/>
  <c r="R18" i="18" s="1"/>
  <c r="AH230" i="25"/>
  <c r="AH164" i="25"/>
  <c r="AH98" i="25"/>
  <c r="AH65" i="25"/>
  <c r="AH32" i="25"/>
  <c r="AH131" i="25"/>
  <c r="S15" i="32"/>
  <c r="S16" i="32" s="1"/>
  <c r="O10" i="34" s="1"/>
  <c r="S25" i="32"/>
  <c r="O11" i="34" s="1"/>
  <c r="S6" i="32"/>
  <c r="S7" i="32" s="1"/>
  <c r="O9" i="34" s="1"/>
  <c r="T175" i="26"/>
  <c r="T181" i="26" s="1"/>
  <c r="T99" i="19"/>
  <c r="T105" i="19" s="1"/>
  <c r="L17" i="32"/>
  <c r="T54" i="28"/>
  <c r="AI162" i="20"/>
  <c r="P205" i="25"/>
  <c r="P211" i="25" s="1"/>
  <c r="P217" i="25" s="1"/>
  <c r="P223" i="25" s="1"/>
  <c r="AK54" i="59"/>
  <c r="AK116" i="59"/>
  <c r="AM27" i="20"/>
  <c r="AM34" i="20" s="1"/>
  <c r="AM16" i="20"/>
  <c r="AM104" i="27"/>
  <c r="AM110" i="27" s="1"/>
  <c r="AM128" i="20"/>
  <c r="AM130" i="20" s="1"/>
  <c r="AP179" i="32"/>
  <c r="Y12" i="11"/>
  <c r="AE12" i="11"/>
  <c r="V12" i="11"/>
  <c r="AB12" i="11"/>
  <c r="P12" i="11"/>
  <c r="S12" i="11"/>
  <c r="T77" i="28"/>
  <c r="T12" i="28" s="1"/>
  <c r="T111" i="28"/>
  <c r="T13" i="28"/>
  <c r="AA114" i="20"/>
  <c r="AA120" i="20" s="1"/>
  <c r="AA126" i="20" s="1"/>
  <c r="AN59" i="28"/>
  <c r="E191" i="25"/>
  <c r="E197" i="25" s="1"/>
  <c r="H58" i="32"/>
  <c r="G59" i="28"/>
  <c r="AB147" i="32"/>
  <c r="W5" i="20"/>
  <c r="W21" i="20"/>
  <c r="W22" i="20" s="1"/>
  <c r="AD123" i="18"/>
  <c r="AN77" i="28"/>
  <c r="AN12" i="28" s="1"/>
  <c r="AN111" i="28"/>
  <c r="AN13" i="28"/>
  <c r="AN160" i="59"/>
  <c r="AN99" i="59"/>
  <c r="AN36" i="59" s="1"/>
  <c r="AN37" i="59"/>
  <c r="AI77" i="28"/>
  <c r="AI12" i="28" s="1"/>
  <c r="AI13" i="28"/>
  <c r="AE62" i="32"/>
  <c r="AB16" i="18"/>
  <c r="AB18" i="18" s="1"/>
  <c r="Z100" i="18"/>
  <c r="Z106" i="18" s="1"/>
  <c r="Z112" i="18" s="1"/>
  <c r="Z118" i="18" s="1"/>
  <c r="Z124" i="18" s="1"/>
  <c r="Z171" i="25"/>
  <c r="Z177" i="25" s="1"/>
  <c r="Z183" i="25" s="1"/>
  <c r="Z189" i="25" s="1"/>
  <c r="J140" i="25"/>
  <c r="J146" i="25" s="1"/>
  <c r="J152" i="25" s="1"/>
  <c r="J158" i="25" s="1"/>
  <c r="J43" i="25"/>
  <c r="J49" i="25" s="1"/>
  <c r="J55" i="25" s="1"/>
  <c r="J61" i="25" s="1"/>
  <c r="J108" i="25"/>
  <c r="J114" i="25" s="1"/>
  <c r="J120" i="25" s="1"/>
  <c r="J126" i="25" s="1"/>
  <c r="AB142" i="25"/>
  <c r="AB148" i="25" s="1"/>
  <c r="AB154" i="25" s="1"/>
  <c r="AB160" i="25" s="1"/>
  <c r="AB101" i="18"/>
  <c r="AB107" i="18" s="1"/>
  <c r="AB113" i="18" s="1"/>
  <c r="AB119" i="18" s="1"/>
  <c r="AB10" i="25"/>
  <c r="AB16" i="25" s="1"/>
  <c r="AB22" i="25" s="1"/>
  <c r="AB28" i="25" s="1"/>
  <c r="AG88" i="18"/>
  <c r="K43" i="32"/>
  <c r="H15" i="18"/>
  <c r="H208" i="25"/>
  <c r="H214" i="25" s="1"/>
  <c r="H220" i="25" s="1"/>
  <c r="H226" i="25" s="1"/>
  <c r="H107" i="25"/>
  <c r="H113" i="25" s="1"/>
  <c r="H119" i="25" s="1"/>
  <c r="H125" i="25" s="1"/>
  <c r="H43" i="25"/>
  <c r="H49" i="25" s="1"/>
  <c r="H55" i="25" s="1"/>
  <c r="H61" i="25" s="1"/>
  <c r="H42" i="25"/>
  <c r="H48" i="25" s="1"/>
  <c r="H54" i="25" s="1"/>
  <c r="H60" i="25" s="1"/>
  <c r="H74" i="25"/>
  <c r="H80" i="25" s="1"/>
  <c r="H86" i="25" s="1"/>
  <c r="H92" i="25" s="1"/>
  <c r="H99" i="18"/>
  <c r="H105" i="18" s="1"/>
  <c r="H111" i="18" s="1"/>
  <c r="H117" i="18" s="1"/>
  <c r="H106" i="25"/>
  <c r="H112" i="25" s="1"/>
  <c r="H118" i="25" s="1"/>
  <c r="H124" i="25" s="1"/>
  <c r="H134" i="18"/>
  <c r="H140" i="18" s="1"/>
  <c r="H146" i="18" s="1"/>
  <c r="H152" i="18" s="1"/>
  <c r="H73" i="25"/>
  <c r="H79" i="25" s="1"/>
  <c r="H85" i="25" s="1"/>
  <c r="H91" i="25" s="1"/>
  <c r="H170" i="25"/>
  <c r="H176" i="25" s="1"/>
  <c r="H182" i="25" s="1"/>
  <c r="H188" i="25" s="1"/>
  <c r="AJ171" i="59"/>
  <c r="AJ48" i="59"/>
  <c r="T38" i="59"/>
  <c r="F87" i="52"/>
  <c r="I205" i="32"/>
  <c r="I196" i="32"/>
  <c r="I158" i="32"/>
  <c r="I186" i="32"/>
  <c r="I177" i="32"/>
  <c r="I167" i="32"/>
  <c r="I149" i="32"/>
  <c r="F53" i="20"/>
  <c r="AJ191" i="27"/>
  <c r="AJ197" i="27" s="1"/>
  <c r="AM194" i="32"/>
  <c r="AK57" i="59"/>
  <c r="F208" i="26"/>
  <c r="F214" i="26" s="1"/>
  <c r="F220" i="26" s="1"/>
  <c r="F226" i="26" s="1"/>
  <c r="F10" i="26"/>
  <c r="F16" i="26" s="1"/>
  <c r="F22" i="26" s="1"/>
  <c r="F28" i="26" s="1"/>
  <c r="I112" i="32"/>
  <c r="H26" i="34" s="1"/>
  <c r="H40" i="34" s="1"/>
  <c r="I102" i="32"/>
  <c r="I103" i="32" s="1"/>
  <c r="H27" i="34" s="1"/>
  <c r="H41" i="34" s="1"/>
  <c r="T170" i="26"/>
  <c r="T176" i="26" s="1"/>
  <c r="AM230" i="25"/>
  <c r="AM197" i="25"/>
  <c r="AM164" i="25"/>
  <c r="AM65" i="25"/>
  <c r="AM131" i="25"/>
  <c r="AM98" i="25"/>
  <c r="AM32" i="25"/>
  <c r="AM89" i="18"/>
  <c r="AM161" i="18"/>
  <c r="AS78" i="33"/>
  <c r="AS16" i="33" s="1"/>
  <c r="AS34" i="33" s="1"/>
  <c r="AS52" i="33" s="1"/>
  <c r="AG133" i="11"/>
  <c r="T42" i="26"/>
  <c r="T48" i="26" s="1"/>
  <c r="AF139" i="25"/>
  <c r="AF145" i="25" s="1"/>
  <c r="AF151" i="25" s="1"/>
  <c r="AF157" i="25" s="1"/>
  <c r="AF174" i="25"/>
  <c r="AF180" i="25" s="1"/>
  <c r="AF186" i="25" s="1"/>
  <c r="AF192" i="25" s="1"/>
  <c r="AF204" i="25"/>
  <c r="AF210" i="25" s="1"/>
  <c r="AF216" i="25" s="1"/>
  <c r="AF222" i="25" s="1"/>
  <c r="L55" i="32"/>
  <c r="G59" i="59"/>
  <c r="U142" i="25"/>
  <c r="U148" i="25" s="1"/>
  <c r="U154" i="25" s="1"/>
  <c r="U160" i="25" s="1"/>
  <c r="U63" i="18"/>
  <c r="U69" i="18" s="1"/>
  <c r="U75" i="18" s="1"/>
  <c r="U81" i="18" s="1"/>
  <c r="U106" i="25"/>
  <c r="U112" i="25" s="1"/>
  <c r="U118" i="25" s="1"/>
  <c r="U124" i="25" s="1"/>
  <c r="I38" i="50"/>
  <c r="I107" i="50"/>
  <c r="P75" i="25"/>
  <c r="P81" i="25" s="1"/>
  <c r="P87" i="25" s="1"/>
  <c r="P93" i="25" s="1"/>
  <c r="AK167" i="28"/>
  <c r="AK40" i="28"/>
  <c r="AV12" i="5"/>
  <c r="J17" i="52" s="1"/>
  <c r="AI180" i="32"/>
  <c r="AL19" i="34" s="1"/>
  <c r="AL33" i="34" s="1"/>
  <c r="AI170" i="32"/>
  <c r="AI171" i="32" s="1"/>
  <c r="AL20" i="34" s="1"/>
  <c r="AL34" i="34" s="1"/>
  <c r="R24" i="5"/>
  <c r="AB184" i="32"/>
  <c r="F151" i="27"/>
  <c r="F157" i="27" s="1"/>
  <c r="AH7" i="19"/>
  <c r="AH8" i="19"/>
  <c r="AH5" i="19"/>
  <c r="AM77" i="28"/>
  <c r="AM12" i="28" s="1"/>
  <c r="AM13" i="28"/>
  <c r="AM111" i="28"/>
  <c r="AK38" i="28"/>
  <c r="AK102" i="28"/>
  <c r="AN54" i="28"/>
  <c r="AD22" i="3"/>
  <c r="W22" i="3"/>
  <c r="AL137" i="11"/>
  <c r="N82" i="33"/>
  <c r="N20" i="33" s="1"/>
  <c r="N38" i="33" s="1"/>
  <c r="N56" i="33" s="1"/>
  <c r="AK11" i="41"/>
  <c r="AK26" i="41" s="1"/>
  <c r="AK27" i="41"/>
  <c r="AL172" i="59"/>
  <c r="AL49" i="59"/>
  <c r="AI93" i="20"/>
  <c r="AH129" i="11"/>
  <c r="AU74" i="33"/>
  <c r="AU12" i="33" s="1"/>
  <c r="AU30" i="33" s="1"/>
  <c r="AU48" i="33" s="1"/>
  <c r="AK77" i="28"/>
  <c r="AK12" i="28" s="1"/>
  <c r="AK13" i="28"/>
  <c r="AN54" i="27"/>
  <c r="AN60" i="27" s="1"/>
  <c r="Z10" i="25"/>
  <c r="Z16" i="25" s="1"/>
  <c r="Z22" i="25" s="1"/>
  <c r="Z28" i="25" s="1"/>
  <c r="Z138" i="25"/>
  <c r="Z144" i="25" s="1"/>
  <c r="Z150" i="25" s="1"/>
  <c r="Z156" i="25" s="1"/>
  <c r="Z42" i="25"/>
  <c r="Z48" i="25" s="1"/>
  <c r="Z54" i="25" s="1"/>
  <c r="Z60" i="25" s="1"/>
  <c r="G41" i="28"/>
  <c r="J139" i="25"/>
  <c r="J145" i="25" s="1"/>
  <c r="J151" i="25" s="1"/>
  <c r="J31" i="18"/>
  <c r="J38" i="18" s="1"/>
  <c r="J39" i="18" s="1"/>
  <c r="J7" i="25"/>
  <c r="J13" i="25" s="1"/>
  <c r="J19" i="25" s="1"/>
  <c r="G171" i="59"/>
  <c r="G48" i="59"/>
  <c r="AB109" i="25"/>
  <c r="AB115" i="25" s="1"/>
  <c r="AB121" i="25" s="1"/>
  <c r="AB127" i="25" s="1"/>
  <c r="AB66" i="18"/>
  <c r="AB72" i="18" s="1"/>
  <c r="AB78" i="18" s="1"/>
  <c r="AB84" i="18" s="1"/>
  <c r="AB203" i="25"/>
  <c r="AB209" i="25" s="1"/>
  <c r="AB215" i="25" s="1"/>
  <c r="AJ67" i="32"/>
  <c r="AJ11" i="32"/>
  <c r="AJ29" i="32"/>
  <c r="AJ20" i="32"/>
  <c r="AJ58" i="32"/>
  <c r="AJ39" i="32"/>
  <c r="AG50" i="18"/>
  <c r="AG161" i="18" s="1"/>
  <c r="AG73" i="52"/>
  <c r="AJ48" i="32"/>
  <c r="AJ87" i="28"/>
  <c r="AJ22" i="28" s="1"/>
  <c r="AJ121" i="28"/>
  <c r="AJ23" i="28"/>
  <c r="E33" i="36"/>
  <c r="E61" i="36" s="1"/>
  <c r="E89" i="36" s="1"/>
  <c r="E117" i="36" s="1"/>
  <c r="E6" i="36"/>
  <c r="AA161" i="59"/>
  <c r="AA38" i="59"/>
  <c r="AN186" i="27"/>
  <c r="AN192" i="27" s="1"/>
  <c r="I91" i="18"/>
  <c r="F139" i="26"/>
  <c r="F145" i="26" s="1"/>
  <c r="F151" i="26" s="1"/>
  <c r="F157" i="26" s="1"/>
  <c r="F129" i="19"/>
  <c r="F102" i="19"/>
  <c r="F108" i="19" s="1"/>
  <c r="F114" i="19" s="1"/>
  <c r="F120" i="19" s="1"/>
  <c r="T39" i="59"/>
  <c r="T26" i="19"/>
  <c r="T33" i="19" s="1"/>
  <c r="AS84" i="33"/>
  <c r="AS22" i="33" s="1"/>
  <c r="AS40" i="33" s="1"/>
  <c r="AS58" i="33" s="1"/>
  <c r="AG139" i="11"/>
  <c r="V38" i="50"/>
  <c r="V107" i="50"/>
  <c r="T106" i="26"/>
  <c r="T112" i="26" s="1"/>
  <c r="AF137" i="25"/>
  <c r="AF143" i="25" s="1"/>
  <c r="AF149" i="25" s="1"/>
  <c r="AF155" i="25" s="1"/>
  <c r="AF171" i="25"/>
  <c r="AF177" i="25" s="1"/>
  <c r="AF183" i="25" s="1"/>
  <c r="AF189" i="25" s="1"/>
  <c r="AF106" i="25"/>
  <c r="AF112" i="25" s="1"/>
  <c r="AF118" i="25" s="1"/>
  <c r="AF124" i="25" s="1"/>
  <c r="U100" i="18"/>
  <c r="U106" i="18" s="1"/>
  <c r="U112" i="18" s="1"/>
  <c r="U118" i="18" s="1"/>
  <c r="U108" i="25"/>
  <c r="U114" i="25" s="1"/>
  <c r="U120" i="25" s="1"/>
  <c r="U126" i="25" s="1"/>
  <c r="I21" i="50"/>
  <c r="I106" i="50"/>
  <c r="P142" i="25"/>
  <c r="P148" i="25" s="1"/>
  <c r="P154" i="25" s="1"/>
  <c r="P160" i="25" s="1"/>
  <c r="AM13" i="20"/>
  <c r="AP198" i="32" s="1"/>
  <c r="AM23" i="20"/>
  <c r="AA77" i="28"/>
  <c r="AA12" i="28" s="1"/>
  <c r="AA13" i="28"/>
  <c r="AA111" i="28"/>
  <c r="V5" i="18"/>
  <c r="V11" i="18"/>
  <c r="V14" i="18"/>
  <c r="V17" i="18"/>
  <c r="I126" i="53"/>
  <c r="I96" i="53"/>
  <c r="I106" i="53"/>
  <c r="J44" i="32"/>
  <c r="I12" i="34" s="1"/>
  <c r="J34" i="32"/>
  <c r="J35" i="32" s="1"/>
  <c r="I13" i="34" s="1"/>
  <c r="AB156" i="32"/>
  <c r="F86" i="20"/>
  <c r="F216" i="27"/>
  <c r="AN48" i="59"/>
  <c r="AN171" i="59"/>
  <c r="AN107" i="59"/>
  <c r="X78" i="20"/>
  <c r="X84" i="20" s="1"/>
  <c r="X74" i="20"/>
  <c r="X80" i="20" s="1"/>
  <c r="X83" i="27"/>
  <c r="X89" i="27" s="1"/>
  <c r="T141" i="11"/>
  <c r="AL54" i="28"/>
  <c r="J135" i="11"/>
  <c r="S80" i="33"/>
  <c r="S18" i="33" s="1"/>
  <c r="S36" i="33" s="1"/>
  <c r="S54" i="33" s="1"/>
  <c r="Q92" i="32"/>
  <c r="N92" i="19"/>
  <c r="N94" i="19" s="1"/>
  <c r="AL77" i="28"/>
  <c r="AL12" i="28" s="1"/>
  <c r="AL111" i="28"/>
  <c r="AL13" i="28"/>
  <c r="S75" i="33"/>
  <c r="S13" i="33" s="1"/>
  <c r="S31" i="33" s="1"/>
  <c r="S49" i="33" s="1"/>
  <c r="J130" i="11"/>
  <c r="AK38" i="41"/>
  <c r="AK40" i="41"/>
  <c r="AK37" i="41"/>
  <c r="AK35" i="41"/>
  <c r="AK39" i="41"/>
  <c r="AK42" i="41"/>
  <c r="AK36" i="41"/>
  <c r="AK41" i="41"/>
  <c r="I204" i="32"/>
  <c r="I195" i="32"/>
  <c r="F86" i="52"/>
  <c r="I157" i="32"/>
  <c r="I176" i="32"/>
  <c r="I148" i="32"/>
  <c r="I185" i="32"/>
  <c r="I166" i="32"/>
  <c r="F52" i="20"/>
  <c r="F162" i="20" s="1"/>
  <c r="AI227" i="27"/>
  <c r="AI194" i="27"/>
  <c r="AI161" i="27"/>
  <c r="AI95" i="27"/>
  <c r="AI62" i="27"/>
  <c r="AI29" i="27"/>
  <c r="AI128" i="27"/>
  <c r="AH123" i="11"/>
  <c r="AJ37" i="11"/>
  <c r="AM37" i="11" s="1"/>
  <c r="AU68" i="33"/>
  <c r="AU6" i="33" s="1"/>
  <c r="AU24" i="33" s="1"/>
  <c r="AU42" i="33" s="1"/>
  <c r="AI142" i="28"/>
  <c r="AI45" i="52" s="1"/>
  <c r="AK109" i="53" s="1"/>
  <c r="AL142" i="28"/>
  <c r="AL45" i="52" s="1"/>
  <c r="P45" i="52"/>
  <c r="AN153" i="27"/>
  <c r="AN159" i="27" s="1"/>
  <c r="Z40" i="25"/>
  <c r="Z46" i="25" s="1"/>
  <c r="Z52" i="25" s="1"/>
  <c r="Z58" i="25" s="1"/>
  <c r="Z107" i="25"/>
  <c r="Z113" i="25" s="1"/>
  <c r="Z119" i="25" s="1"/>
  <c r="Z125" i="25" s="1"/>
  <c r="AA49" i="28"/>
  <c r="J172" i="25"/>
  <c r="J178" i="25" s="1"/>
  <c r="J184" i="25" s="1"/>
  <c r="J170" i="25"/>
  <c r="J176" i="25" s="1"/>
  <c r="J182" i="25" s="1"/>
  <c r="J188" i="25" s="1"/>
  <c r="J41" i="25"/>
  <c r="J47" i="25" s="1"/>
  <c r="J53" i="25" s="1"/>
  <c r="J59" i="25" s="1"/>
  <c r="AN174" i="59"/>
  <c r="AN51" i="59"/>
  <c r="AB165" i="18"/>
  <c r="AJ19" i="32"/>
  <c r="AG49" i="18"/>
  <c r="AG72" i="52"/>
  <c r="AJ38" i="32"/>
  <c r="AJ57" i="32"/>
  <c r="AN41" i="59"/>
  <c r="AN164" i="59"/>
  <c r="AN220" i="27"/>
  <c r="AN226" i="27" s="1"/>
  <c r="H95" i="53"/>
  <c r="H94" i="53"/>
  <c r="AP143" i="11"/>
  <c r="F139" i="19"/>
  <c r="F145" i="19" s="1"/>
  <c r="F151" i="19" s="1"/>
  <c r="F157" i="19" s="1"/>
  <c r="F74" i="26"/>
  <c r="F80" i="26" s="1"/>
  <c r="F86" i="26" s="1"/>
  <c r="F92" i="26" s="1"/>
  <c r="F142" i="26"/>
  <c r="F148" i="26" s="1"/>
  <c r="F154" i="26" s="1"/>
  <c r="F160" i="26" s="1"/>
  <c r="E24" i="36"/>
  <c r="E51" i="36"/>
  <c r="E79" i="36" s="1"/>
  <c r="E107" i="36" s="1"/>
  <c r="E135" i="36" s="1"/>
  <c r="J16" i="18"/>
  <c r="J18" i="18" s="1"/>
  <c r="AG130" i="11"/>
  <c r="AS75" i="33"/>
  <c r="AS13" i="33" s="1"/>
  <c r="AS31" i="33" s="1"/>
  <c r="AS49" i="33" s="1"/>
  <c r="O125" i="25"/>
  <c r="O131" i="25" s="1"/>
  <c r="R39" i="32"/>
  <c r="V110" i="50"/>
  <c r="V89" i="50"/>
  <c r="AS13" i="5"/>
  <c r="AR13" i="5"/>
  <c r="AM50" i="28"/>
  <c r="I4" i="50"/>
  <c r="I105" i="50"/>
  <c r="P30" i="18"/>
  <c r="P37" i="18" s="1"/>
  <c r="P45" i="18" s="1"/>
  <c r="AA231" i="25"/>
  <c r="AA132" i="25"/>
  <c r="AA162" i="18"/>
  <c r="AA99" i="25"/>
  <c r="AA33" i="25"/>
  <c r="AA198" i="25"/>
  <c r="AA165" i="25"/>
  <c r="AA66" i="25"/>
  <c r="AA126" i="18"/>
  <c r="AA41" i="59"/>
  <c r="AA164" i="59"/>
  <c r="L106" i="53"/>
  <c r="L96" i="53"/>
  <c r="L126" i="53"/>
  <c r="AN45" i="20"/>
  <c r="K126" i="11"/>
  <c r="T71" i="33"/>
  <c r="T9" i="33" s="1"/>
  <c r="T27" i="33" s="1"/>
  <c r="T45" i="33" s="1"/>
  <c r="AA220" i="27"/>
  <c r="AA226" i="27" s="1"/>
  <c r="AL61" i="28"/>
  <c r="AN84" i="27"/>
  <c r="AN90" i="27" s="1"/>
  <c r="AM4" i="59"/>
  <c r="AM31" i="59" s="1"/>
  <c r="AM94" i="59"/>
  <c r="AN183" i="27"/>
  <c r="AN189" i="27" s="1"/>
  <c r="H76" i="20"/>
  <c r="H82" i="20" s="1"/>
  <c r="H43" i="20"/>
  <c r="H84" i="27"/>
  <c r="H90" i="27" s="1"/>
  <c r="AA186" i="27"/>
  <c r="AA192" i="27" s="1"/>
  <c r="AA187" i="27"/>
  <c r="F159" i="20"/>
  <c r="AJ164" i="59"/>
  <c r="AJ41" i="59"/>
  <c r="F158" i="20"/>
  <c r="AN219" i="27"/>
  <c r="AN225" i="27" s="1"/>
  <c r="AN172" i="59"/>
  <c r="AN49" i="59"/>
  <c r="X207" i="27"/>
  <c r="X213" i="27" s="1"/>
  <c r="X219" i="27" s="1"/>
  <c r="X225" i="27" s="1"/>
  <c r="X73" i="27"/>
  <c r="X79" i="27" s="1"/>
  <c r="X85" i="27" s="1"/>
  <c r="X91" i="27" s="1"/>
  <c r="X72" i="27"/>
  <c r="X78" i="27" s="1"/>
  <c r="X84" i="27" s="1"/>
  <c r="K15" i="33"/>
  <c r="E18" i="33"/>
  <c r="N116" i="27"/>
  <c r="N122" i="27" s="1"/>
  <c r="F160" i="20"/>
  <c r="T19" i="11"/>
  <c r="AC19" i="11"/>
  <c r="W19" i="11"/>
  <c r="AF19" i="11"/>
  <c r="Z19" i="11"/>
  <c r="Q19" i="11"/>
  <c r="S79" i="33"/>
  <c r="S17" i="33" s="1"/>
  <c r="S35" i="33" s="1"/>
  <c r="S53" i="33" s="1"/>
  <c r="J134" i="11"/>
  <c r="AG45" i="32"/>
  <c r="AG36" i="32"/>
  <c r="AD70" i="52"/>
  <c r="AG55" i="32"/>
  <c r="AD46" i="18"/>
  <c r="AD53" i="18" s="1"/>
  <c r="AG64" i="32"/>
  <c r="AG8" i="32"/>
  <c r="AG17" i="32"/>
  <c r="AG26" i="32"/>
  <c r="AD129" i="18"/>
  <c r="AD47" i="18"/>
  <c r="AD165" i="18"/>
  <c r="AD93" i="18"/>
  <c r="N15" i="19"/>
  <c r="N6" i="19"/>
  <c r="N12" i="19"/>
  <c r="N18" i="19"/>
  <c r="AN42" i="28"/>
  <c r="AK97" i="28"/>
  <c r="AK4" i="28"/>
  <c r="AK32" i="28" s="1"/>
  <c r="J129" i="11"/>
  <c r="S74" i="33"/>
  <c r="S12" i="33" s="1"/>
  <c r="S30" i="33" s="1"/>
  <c r="S48" i="33" s="1"/>
  <c r="F122" i="20"/>
  <c r="AH126" i="11"/>
  <c r="AU71" i="33"/>
  <c r="AU9" i="33" s="1"/>
  <c r="AU27" i="33" s="1"/>
  <c r="AU45" i="33" s="1"/>
  <c r="AM124" i="25"/>
  <c r="AM130" i="25" s="1"/>
  <c r="AP38" i="32"/>
  <c r="Z67" i="18"/>
  <c r="Z73" i="18" s="1"/>
  <c r="Z79" i="18" s="1"/>
  <c r="Z85" i="18" s="1"/>
  <c r="Z91" i="18" s="1"/>
  <c r="Z26" i="18"/>
  <c r="Z33" i="18" s="1"/>
  <c r="Z41" i="18" s="1"/>
  <c r="Z137" i="25"/>
  <c r="Z143" i="25" s="1"/>
  <c r="Z149" i="25" s="1"/>
  <c r="Z155" i="25" s="1"/>
  <c r="J40" i="25"/>
  <c r="J46" i="25" s="1"/>
  <c r="J52" i="25" s="1"/>
  <c r="J137" i="25"/>
  <c r="J143" i="25" s="1"/>
  <c r="J149" i="25" s="1"/>
  <c r="J155" i="25" s="1"/>
  <c r="J99" i="18"/>
  <c r="J105" i="18" s="1"/>
  <c r="J111" i="18" s="1"/>
  <c r="J117" i="18" s="1"/>
  <c r="J123" i="18" s="1"/>
  <c r="AH227" i="25"/>
  <c r="AH161" i="25"/>
  <c r="AH194" i="25"/>
  <c r="AH128" i="25"/>
  <c r="AH95" i="25"/>
  <c r="AH29" i="25"/>
  <c r="AH62" i="25"/>
  <c r="AB75" i="25"/>
  <c r="AB81" i="25" s="1"/>
  <c r="AB87" i="25" s="1"/>
  <c r="AB93" i="25" s="1"/>
  <c r="AB76" i="25"/>
  <c r="AB82" i="25" s="1"/>
  <c r="AB88" i="25" s="1"/>
  <c r="AB94" i="25" s="1"/>
  <c r="AB204" i="25"/>
  <c r="AB210" i="25" s="1"/>
  <c r="AB216" i="25" s="1"/>
  <c r="AB222" i="25" s="1"/>
  <c r="AJ36" i="32"/>
  <c r="AJ55" i="32"/>
  <c r="AJ45" i="32"/>
  <c r="AG70" i="52"/>
  <c r="AJ26" i="32"/>
  <c r="AJ8" i="32"/>
  <c r="AJ64" i="32"/>
  <c r="AJ17" i="32"/>
  <c r="AG46" i="18"/>
  <c r="AG53" i="18" s="1"/>
  <c r="AG47" i="18"/>
  <c r="AG93" i="18"/>
  <c r="AG158" i="18"/>
  <c r="AI56" i="28"/>
  <c r="AI183" i="28"/>
  <c r="AI120" i="28"/>
  <c r="AA163" i="59"/>
  <c r="AK142" i="11"/>
  <c r="H124" i="53"/>
  <c r="H125" i="53"/>
  <c r="F207" i="26"/>
  <c r="F213" i="26" s="1"/>
  <c r="F219" i="26" s="1"/>
  <c r="F225" i="26" s="1"/>
  <c r="F28" i="19"/>
  <c r="F35" i="19" s="1"/>
  <c r="F43" i="19" s="1"/>
  <c r="F43" i="26"/>
  <c r="F49" i="26" s="1"/>
  <c r="F55" i="26" s="1"/>
  <c r="F61" i="26" s="1"/>
  <c r="AA95" i="25"/>
  <c r="AA62" i="25"/>
  <c r="AA161" i="25"/>
  <c r="AA128" i="25"/>
  <c r="AA158" i="18"/>
  <c r="AA227" i="25"/>
  <c r="AA194" i="25"/>
  <c r="AA29" i="25"/>
  <c r="M53" i="32"/>
  <c r="M54" i="32" s="1"/>
  <c r="L15" i="34" s="1"/>
  <c r="M63" i="32"/>
  <c r="L14" i="34" s="1"/>
  <c r="G105" i="59"/>
  <c r="G42" i="59" s="1"/>
  <c r="G43" i="59"/>
  <c r="E189" i="25"/>
  <c r="E195" i="25" s="1"/>
  <c r="H56" i="32"/>
  <c r="AS69" i="33"/>
  <c r="AS7" i="33" s="1"/>
  <c r="AS25" i="33" s="1"/>
  <c r="AS43" i="33" s="1"/>
  <c r="AG124" i="11"/>
  <c r="AK35" i="11"/>
  <c r="AN35" i="11" s="1"/>
  <c r="V72" i="50"/>
  <c r="V109" i="50"/>
  <c r="AF40" i="25"/>
  <c r="AF46" i="25" s="1"/>
  <c r="AF52" i="25" s="1"/>
  <c r="AF58" i="25" s="1"/>
  <c r="AF64" i="18"/>
  <c r="AF70" i="18" s="1"/>
  <c r="AF76" i="18" s="1"/>
  <c r="AF82" i="18" s="1"/>
  <c r="AF88" i="18" s="1"/>
  <c r="AF205" i="25"/>
  <c r="AF211" i="25" s="1"/>
  <c r="AF217" i="25" s="1"/>
  <c r="AF223" i="25" s="1"/>
  <c r="I89" i="50"/>
  <c r="I110" i="50"/>
  <c r="P41" i="25"/>
  <c r="P47" i="25" s="1"/>
  <c r="P53" i="25" s="1"/>
  <c r="P59" i="25" s="1"/>
  <c r="G47" i="59"/>
  <c r="G170" i="59"/>
  <c r="AJ41" i="28"/>
  <c r="T99" i="59"/>
  <c r="T162" i="59" s="1"/>
  <c r="AI180" i="59"/>
  <c r="AI57" i="59"/>
  <c r="F89" i="20"/>
  <c r="T74" i="33"/>
  <c r="T12" i="33" s="1"/>
  <c r="T30" i="33" s="1"/>
  <c r="T48" i="33" s="1"/>
  <c r="K129" i="11"/>
  <c r="Q129" i="18"/>
  <c r="G174" i="59"/>
  <c r="G51" i="59"/>
  <c r="AN18" i="27"/>
  <c r="AN24" i="27" s="1"/>
  <c r="E204" i="26"/>
  <c r="E210" i="26" s="1"/>
  <c r="E216" i="26" s="1"/>
  <c r="E222" i="26" s="1"/>
  <c r="E43" i="26"/>
  <c r="E49" i="26" s="1"/>
  <c r="E55" i="26" s="1"/>
  <c r="E61" i="26" s="1"/>
  <c r="E135" i="19"/>
  <c r="E141" i="19" s="1"/>
  <c r="E147" i="19" s="1"/>
  <c r="E153" i="19" s="1"/>
  <c r="E141" i="26"/>
  <c r="E147" i="26" s="1"/>
  <c r="E153" i="26" s="1"/>
  <c r="E159" i="26" s="1"/>
  <c r="E65" i="19"/>
  <c r="E71" i="19" s="1"/>
  <c r="E77" i="19" s="1"/>
  <c r="E83" i="19" s="1"/>
  <c r="E63" i="19"/>
  <c r="E69" i="19" s="1"/>
  <c r="E75" i="19" s="1"/>
  <c r="E81" i="19" s="1"/>
  <c r="H111" i="32"/>
  <c r="E137" i="19"/>
  <c r="E143" i="19" s="1"/>
  <c r="E108" i="26"/>
  <c r="E114" i="26" s="1"/>
  <c r="E120" i="26" s="1"/>
  <c r="E126" i="26" s="1"/>
  <c r="E9" i="26"/>
  <c r="E15" i="26" s="1"/>
  <c r="E21" i="26" s="1"/>
  <c r="E27" i="26" s="1"/>
  <c r="E30" i="19"/>
  <c r="E37" i="19" s="1"/>
  <c r="E45" i="19" s="1"/>
  <c r="E64" i="19"/>
  <c r="E70" i="19" s="1"/>
  <c r="E76" i="19" s="1"/>
  <c r="E82" i="19" s="1"/>
  <c r="E208" i="26"/>
  <c r="E214" i="26" s="1"/>
  <c r="E220" i="26" s="1"/>
  <c r="E226" i="26" s="1"/>
  <c r="E75" i="26"/>
  <c r="E81" i="26" s="1"/>
  <c r="E87" i="26" s="1"/>
  <c r="E93" i="26" s="1"/>
  <c r="E100" i="19"/>
  <c r="E106" i="19" s="1"/>
  <c r="E112" i="19" s="1"/>
  <c r="E118" i="19" s="1"/>
  <c r="E207" i="26"/>
  <c r="E213" i="26" s="1"/>
  <c r="E219" i="26" s="1"/>
  <c r="E225" i="26" s="1"/>
  <c r="E40" i="26"/>
  <c r="E46" i="26" s="1"/>
  <c r="E52" i="26" s="1"/>
  <c r="E58" i="26" s="1"/>
  <c r="E170" i="26"/>
  <c r="E176" i="26" s="1"/>
  <c r="E182" i="26" s="1"/>
  <c r="E188" i="26" s="1"/>
  <c r="E142" i="26"/>
  <c r="E148" i="26" s="1"/>
  <c r="E154" i="26" s="1"/>
  <c r="E160" i="26" s="1"/>
  <c r="E138" i="19"/>
  <c r="E144" i="19" s="1"/>
  <c r="E150" i="19" s="1"/>
  <c r="E156" i="19" s="1"/>
  <c r="E16" i="19"/>
  <c r="E29" i="19"/>
  <c r="E36" i="19" s="1"/>
  <c r="E44" i="19" s="1"/>
  <c r="E136" i="19"/>
  <c r="E142" i="19" s="1"/>
  <c r="E148" i="19" s="1"/>
  <c r="E154" i="19" s="1"/>
  <c r="E128" i="19"/>
  <c r="E130" i="19" s="1"/>
  <c r="E174" i="26"/>
  <c r="E180" i="26" s="1"/>
  <c r="E186" i="26" s="1"/>
  <c r="E192" i="26" s="1"/>
  <c r="E139" i="19"/>
  <c r="E145" i="19" s="1"/>
  <c r="E151" i="19" s="1"/>
  <c r="E157" i="19" s="1"/>
  <c r="E31" i="19"/>
  <c r="E38" i="19" s="1"/>
  <c r="E46" i="19" s="1"/>
  <c r="E38" i="26"/>
  <c r="E44" i="26" s="1"/>
  <c r="E50" i="26" s="1"/>
  <c r="E56" i="26" s="1"/>
  <c r="E42" i="26"/>
  <c r="E48" i="26" s="1"/>
  <c r="E54" i="26" s="1"/>
  <c r="E60" i="26" s="1"/>
  <c r="E17" i="19"/>
  <c r="E19" i="19" s="1"/>
  <c r="E26" i="19"/>
  <c r="E33" i="19" s="1"/>
  <c r="E41" i="19" s="1"/>
  <c r="E103" i="19"/>
  <c r="E109" i="19" s="1"/>
  <c r="E115" i="19" s="1"/>
  <c r="E121" i="19" s="1"/>
  <c r="E41" i="26"/>
  <c r="E47" i="26" s="1"/>
  <c r="E53" i="26" s="1"/>
  <c r="E59" i="26" s="1"/>
  <c r="E102" i="19"/>
  <c r="E108" i="19" s="1"/>
  <c r="E114" i="19" s="1"/>
  <c r="E120" i="19" s="1"/>
  <c r="E98" i="19"/>
  <c r="E104" i="19" s="1"/>
  <c r="E110" i="19" s="1"/>
  <c r="E116" i="19" s="1"/>
  <c r="E72" i="26"/>
  <c r="E78" i="26" s="1"/>
  <c r="E84" i="26" s="1"/>
  <c r="E90" i="26" s="1"/>
  <c r="E172" i="26"/>
  <c r="E178" i="26" s="1"/>
  <c r="E184" i="26" s="1"/>
  <c r="E190" i="26" s="1"/>
  <c r="E171" i="26"/>
  <c r="E177" i="26" s="1"/>
  <c r="E183" i="26" s="1"/>
  <c r="E189" i="26" s="1"/>
  <c r="E175" i="26"/>
  <c r="E181" i="26" s="1"/>
  <c r="E187" i="26" s="1"/>
  <c r="E193" i="26" s="1"/>
  <c r="E101" i="19"/>
  <c r="E107" i="19" s="1"/>
  <c r="E113" i="19" s="1"/>
  <c r="E119" i="19" s="1"/>
  <c r="E164" i="19"/>
  <c r="E166" i="19" s="1"/>
  <c r="E8" i="26"/>
  <c r="E14" i="26" s="1"/>
  <c r="E20" i="26" s="1"/>
  <c r="E26" i="26" s="1"/>
  <c r="E6" i="26"/>
  <c r="E12" i="26" s="1"/>
  <c r="E7" i="26"/>
  <c r="E13" i="26" s="1"/>
  <c r="E19" i="26" s="1"/>
  <c r="E25" i="26" s="1"/>
  <c r="E10" i="26"/>
  <c r="E16" i="26" s="1"/>
  <c r="E22" i="26" s="1"/>
  <c r="E28" i="26" s="1"/>
  <c r="E105" i="26"/>
  <c r="E111" i="26" s="1"/>
  <c r="E117" i="26" s="1"/>
  <c r="E123" i="26" s="1"/>
  <c r="E74" i="26"/>
  <c r="E80" i="26" s="1"/>
  <c r="E86" i="26" s="1"/>
  <c r="E92" i="26" s="1"/>
  <c r="E76" i="26"/>
  <c r="E82" i="26" s="1"/>
  <c r="E88" i="26" s="1"/>
  <c r="E94" i="26" s="1"/>
  <c r="E107" i="26"/>
  <c r="E113" i="26" s="1"/>
  <c r="E119" i="26" s="1"/>
  <c r="E125" i="26" s="1"/>
  <c r="E106" i="26"/>
  <c r="E112" i="26" s="1"/>
  <c r="E118" i="26" s="1"/>
  <c r="E124" i="26" s="1"/>
  <c r="H111" i="20"/>
  <c r="H117" i="20" s="1"/>
  <c r="H123" i="20" s="1"/>
  <c r="H121" i="27"/>
  <c r="H127" i="27" s="1"/>
  <c r="H75" i="20"/>
  <c r="H81" i="20" s="1"/>
  <c r="AA146" i="20"/>
  <c r="AA77" i="20"/>
  <c r="AA83" i="20" s="1"/>
  <c r="AA89" i="20" s="1"/>
  <c r="T56" i="59"/>
  <c r="AM99" i="59"/>
  <c r="AD161" i="18"/>
  <c r="G56" i="59"/>
  <c r="Q143" i="11"/>
  <c r="E92" i="20"/>
  <c r="E94" i="20" s="1"/>
  <c r="H160" i="32"/>
  <c r="X88" i="27"/>
  <c r="X94" i="27" s="1"/>
  <c r="X114" i="20"/>
  <c r="X120" i="20" s="1"/>
  <c r="N18" i="27"/>
  <c r="N24" i="27" s="1"/>
  <c r="N150" i="27"/>
  <c r="N156" i="27" s="1"/>
  <c r="AA55" i="27"/>
  <c r="AD73" i="52"/>
  <c r="AG20" i="32"/>
  <c r="AG58" i="32"/>
  <c r="AG48" i="32"/>
  <c r="AG29" i="32"/>
  <c r="AG11" i="32"/>
  <c r="AG39" i="32"/>
  <c r="AG67" i="32"/>
  <c r="AD50" i="18"/>
  <c r="E223" i="25"/>
  <c r="E229" i="25" s="1"/>
  <c r="H66" i="32"/>
  <c r="AJ170" i="59"/>
  <c r="AJ47" i="59"/>
  <c r="S73" i="33"/>
  <c r="S11" i="33" s="1"/>
  <c r="S29" i="33" s="1"/>
  <c r="S47" i="33" s="1"/>
  <c r="J128" i="11"/>
  <c r="AU83" i="33"/>
  <c r="AU21" i="33" s="1"/>
  <c r="AU39" i="33" s="1"/>
  <c r="AU57" i="33" s="1"/>
  <c r="AH138" i="11"/>
  <c r="AM42" i="28"/>
  <c r="AM188" i="25"/>
  <c r="AM194" i="25" s="1"/>
  <c r="AP55" i="32"/>
  <c r="Z25" i="18"/>
  <c r="Z32" i="18" s="1"/>
  <c r="Z40" i="18" s="1"/>
  <c r="Z137" i="18"/>
  <c r="Z143" i="18" s="1"/>
  <c r="Z149" i="18" s="1"/>
  <c r="Z155" i="18" s="1"/>
  <c r="Z140" i="25"/>
  <c r="Z146" i="25" s="1"/>
  <c r="Z152" i="25" s="1"/>
  <c r="Z158" i="25" s="1"/>
  <c r="Q43" i="32"/>
  <c r="N128" i="18"/>
  <c r="N130" i="18" s="1"/>
  <c r="N129" i="18" s="1"/>
  <c r="N15" i="18"/>
  <c r="N134" i="18" s="1"/>
  <c r="N140" i="18" s="1"/>
  <c r="N146" i="18" s="1"/>
  <c r="N152" i="18" s="1"/>
  <c r="N171" i="25"/>
  <c r="N177" i="25" s="1"/>
  <c r="N183" i="25" s="1"/>
  <c r="N189" i="25" s="1"/>
  <c r="N205" i="25"/>
  <c r="N211" i="25" s="1"/>
  <c r="N217" i="25" s="1"/>
  <c r="N223" i="25" s="1"/>
  <c r="N170" i="25"/>
  <c r="N176" i="25" s="1"/>
  <c r="N182" i="25" s="1"/>
  <c r="N188" i="25" s="1"/>
  <c r="N31" i="18"/>
  <c r="N38" i="18" s="1"/>
  <c r="N39" i="18" s="1"/>
  <c r="N100" i="18"/>
  <c r="N106" i="18" s="1"/>
  <c r="N112" i="18" s="1"/>
  <c r="N118" i="18" s="1"/>
  <c r="N174" i="25"/>
  <c r="N180" i="25" s="1"/>
  <c r="N186" i="25" s="1"/>
  <c r="N192" i="25" s="1"/>
  <c r="N104" i="25"/>
  <c r="N110" i="25" s="1"/>
  <c r="N116" i="25" s="1"/>
  <c r="N122" i="25" s="1"/>
  <c r="N65" i="18"/>
  <c r="N71" i="18" s="1"/>
  <c r="N77" i="18" s="1"/>
  <c r="N83" i="18" s="1"/>
  <c r="N25" i="18"/>
  <c r="N32" i="18" s="1"/>
  <c r="N40" i="18" s="1"/>
  <c r="N207" i="25"/>
  <c r="N213" i="25" s="1"/>
  <c r="N219" i="25" s="1"/>
  <c r="N225" i="25" s="1"/>
  <c r="N67" i="18"/>
  <c r="N73" i="18" s="1"/>
  <c r="N79" i="18" s="1"/>
  <c r="N85" i="18" s="1"/>
  <c r="N39" i="25"/>
  <c r="N45" i="25" s="1"/>
  <c r="N51" i="25" s="1"/>
  <c r="N57" i="25" s="1"/>
  <c r="N139" i="18"/>
  <c r="N145" i="18" s="1"/>
  <c r="N151" i="18" s="1"/>
  <c r="N157" i="18" s="1"/>
  <c r="N10" i="25"/>
  <c r="N16" i="25" s="1"/>
  <c r="N22" i="25" s="1"/>
  <c r="N28" i="25" s="1"/>
  <c r="N137" i="18"/>
  <c r="N143" i="18" s="1"/>
  <c r="N149" i="18" s="1"/>
  <c r="N155" i="18" s="1"/>
  <c r="N138" i="18"/>
  <c r="N144" i="18" s="1"/>
  <c r="N150" i="18" s="1"/>
  <c r="N156" i="18" s="1"/>
  <c r="N41" i="25"/>
  <c r="N47" i="25" s="1"/>
  <c r="N53" i="25" s="1"/>
  <c r="N59" i="25" s="1"/>
  <c r="N208" i="25"/>
  <c r="N214" i="25" s="1"/>
  <c r="N220" i="25" s="1"/>
  <c r="N226" i="25" s="1"/>
  <c r="N29" i="18"/>
  <c r="N36" i="18" s="1"/>
  <c r="N44" i="18" s="1"/>
  <c r="N9" i="25"/>
  <c r="N15" i="25" s="1"/>
  <c r="N21" i="25" s="1"/>
  <c r="N27" i="25" s="1"/>
  <c r="N6" i="25"/>
  <c r="N12" i="25" s="1"/>
  <c r="N18" i="25" s="1"/>
  <c r="N24" i="25" s="1"/>
  <c r="N140" i="25"/>
  <c r="N146" i="25" s="1"/>
  <c r="N152" i="25" s="1"/>
  <c r="N158" i="25" s="1"/>
  <c r="N62" i="18"/>
  <c r="N68" i="18" s="1"/>
  <c r="N74" i="18" s="1"/>
  <c r="N80" i="18" s="1"/>
  <c r="N63" i="18"/>
  <c r="N69" i="18" s="1"/>
  <c r="N75" i="18" s="1"/>
  <c r="N81" i="18" s="1"/>
  <c r="N137" i="25"/>
  <c r="N143" i="25" s="1"/>
  <c r="N149" i="25" s="1"/>
  <c r="N155" i="25" s="1"/>
  <c r="N72" i="25"/>
  <c r="N78" i="25" s="1"/>
  <c r="N84" i="25" s="1"/>
  <c r="N90" i="25" s="1"/>
  <c r="N30" i="18"/>
  <c r="N37" i="18" s="1"/>
  <c r="N45" i="18" s="1"/>
  <c r="N206" i="25"/>
  <c r="N212" i="25" s="1"/>
  <c r="N218" i="25" s="1"/>
  <c r="N224" i="25" s="1"/>
  <c r="N107" i="25"/>
  <c r="N113" i="25" s="1"/>
  <c r="N119" i="25" s="1"/>
  <c r="N125" i="25" s="1"/>
  <c r="N139" i="25"/>
  <c r="N145" i="25" s="1"/>
  <c r="N151" i="25" s="1"/>
  <c r="N157" i="25" s="1"/>
  <c r="N106" i="25"/>
  <c r="N112" i="25" s="1"/>
  <c r="N118" i="25" s="1"/>
  <c r="N124" i="25" s="1"/>
  <c r="N64" i="18"/>
  <c r="N70" i="18" s="1"/>
  <c r="N76" i="18" s="1"/>
  <c r="N82" i="18" s="1"/>
  <c r="N105" i="25"/>
  <c r="N111" i="25" s="1"/>
  <c r="N117" i="25" s="1"/>
  <c r="N123" i="25" s="1"/>
  <c r="N8" i="25"/>
  <c r="N14" i="25" s="1"/>
  <c r="N20" i="25" s="1"/>
  <c r="N26" i="25" s="1"/>
  <c r="N71" i="25"/>
  <c r="N77" i="25" s="1"/>
  <c r="N83" i="25" s="1"/>
  <c r="N89" i="25" s="1"/>
  <c r="N141" i="25"/>
  <c r="N147" i="25" s="1"/>
  <c r="N153" i="25" s="1"/>
  <c r="N159" i="25" s="1"/>
  <c r="N74" i="25"/>
  <c r="N80" i="25" s="1"/>
  <c r="N86" i="25" s="1"/>
  <c r="N92" i="25" s="1"/>
  <c r="N101" i="18"/>
  <c r="N107" i="18" s="1"/>
  <c r="N113" i="18" s="1"/>
  <c r="N119" i="18" s="1"/>
  <c r="N99" i="18"/>
  <c r="N105" i="18" s="1"/>
  <c r="N111" i="18" s="1"/>
  <c r="N117" i="18" s="1"/>
  <c r="N43" i="25"/>
  <c r="N49" i="25" s="1"/>
  <c r="N55" i="25" s="1"/>
  <c r="N61" i="25" s="1"/>
  <c r="N175" i="25"/>
  <c r="N181" i="25" s="1"/>
  <c r="N187" i="25" s="1"/>
  <c r="N193" i="25" s="1"/>
  <c r="N66" i="18"/>
  <c r="N72" i="18" s="1"/>
  <c r="N78" i="18" s="1"/>
  <c r="N84" i="18" s="1"/>
  <c r="N27" i="18"/>
  <c r="N34" i="18" s="1"/>
  <c r="N42" i="18" s="1"/>
  <c r="N164" i="18"/>
  <c r="N166" i="18" s="1"/>
  <c r="N98" i="18"/>
  <c r="N104" i="18" s="1"/>
  <c r="N110" i="18" s="1"/>
  <c r="N116" i="18" s="1"/>
  <c r="N102" i="18"/>
  <c r="N108" i="18" s="1"/>
  <c r="N114" i="18" s="1"/>
  <c r="N120" i="18" s="1"/>
  <c r="N108" i="25"/>
  <c r="N114" i="25" s="1"/>
  <c r="N120" i="25" s="1"/>
  <c r="N126" i="25" s="1"/>
  <c r="N204" i="25"/>
  <c r="N210" i="25" s="1"/>
  <c r="N216" i="25" s="1"/>
  <c r="N222" i="25" s="1"/>
  <c r="N76" i="25"/>
  <c r="N82" i="25" s="1"/>
  <c r="N88" i="25" s="1"/>
  <c r="N94" i="25" s="1"/>
  <c r="N138" i="25"/>
  <c r="N144" i="25" s="1"/>
  <c r="N150" i="25" s="1"/>
  <c r="N156" i="25" s="1"/>
  <c r="AJ180" i="59"/>
  <c r="AJ57" i="59"/>
  <c r="J6" i="25"/>
  <c r="J12" i="25" s="1"/>
  <c r="J18" i="25" s="1"/>
  <c r="J64" i="18"/>
  <c r="J70" i="18" s="1"/>
  <c r="J76" i="18" s="1"/>
  <c r="J82" i="18" s="1"/>
  <c r="J88" i="18" s="1"/>
  <c r="J101" i="18"/>
  <c r="J107" i="18" s="1"/>
  <c r="J113" i="18" s="1"/>
  <c r="J119" i="18" s="1"/>
  <c r="O123" i="25"/>
  <c r="O129" i="25" s="1"/>
  <c r="R37" i="32"/>
  <c r="AB8" i="25"/>
  <c r="AB14" i="25" s="1"/>
  <c r="AB20" i="25" s="1"/>
  <c r="AB38" i="25"/>
  <c r="AB44" i="25" s="1"/>
  <c r="AB50" i="25" s="1"/>
  <c r="AB106" i="25"/>
  <c r="AB112" i="25" s="1"/>
  <c r="AB118" i="25" s="1"/>
  <c r="AB124" i="25" s="1"/>
  <c r="AG87" i="18"/>
  <c r="AG163" i="18"/>
  <c r="AL47" i="59"/>
  <c r="AL170" i="59"/>
  <c r="T203" i="26"/>
  <c r="T209" i="26" s="1"/>
  <c r="T215" i="26" s="1"/>
  <c r="T221" i="26" s="1"/>
  <c r="U141" i="28"/>
  <c r="I163" i="18"/>
  <c r="F105" i="26"/>
  <c r="F111" i="26" s="1"/>
  <c r="F117" i="26" s="1"/>
  <c r="F123" i="26" s="1"/>
  <c r="F206" i="26"/>
  <c r="F212" i="26" s="1"/>
  <c r="F218" i="26" s="1"/>
  <c r="F224" i="26" s="1"/>
  <c r="F41" i="26"/>
  <c r="F47" i="26" s="1"/>
  <c r="F53" i="26" s="1"/>
  <c r="F59" i="26" s="1"/>
  <c r="AI158" i="20"/>
  <c r="AN217" i="27"/>
  <c r="AN223" i="27" s="1"/>
  <c r="AJ62" i="32"/>
  <c r="AG16" i="18"/>
  <c r="AG18" i="18" s="1"/>
  <c r="AG164" i="18"/>
  <c r="AG166" i="18" s="1"/>
  <c r="AG165" i="18" s="1"/>
  <c r="AG138" i="25"/>
  <c r="AG144" i="25" s="1"/>
  <c r="AG150" i="25" s="1"/>
  <c r="AG171" i="25"/>
  <c r="AG177" i="25" s="1"/>
  <c r="AG183" i="25" s="1"/>
  <c r="AG75" i="25"/>
  <c r="AG81" i="25" s="1"/>
  <c r="AG87" i="25" s="1"/>
  <c r="AG93" i="25" s="1"/>
  <c r="AG139" i="25"/>
  <c r="AG145" i="25" s="1"/>
  <c r="AG151" i="25" s="1"/>
  <c r="AG157" i="25" s="1"/>
  <c r="AG207" i="25"/>
  <c r="AG213" i="25" s="1"/>
  <c r="AG219" i="25" s="1"/>
  <c r="AG225" i="25" s="1"/>
  <c r="AG38" i="25"/>
  <c r="AG44" i="25" s="1"/>
  <c r="AG50" i="25" s="1"/>
  <c r="AG56" i="25" s="1"/>
  <c r="AG7" i="25"/>
  <c r="AG13" i="25" s="1"/>
  <c r="AG19" i="25" s="1"/>
  <c r="AG25" i="25" s="1"/>
  <c r="AG141" i="25"/>
  <c r="AG147" i="25" s="1"/>
  <c r="AG153" i="25" s="1"/>
  <c r="AG159" i="25" s="1"/>
  <c r="AG73" i="25"/>
  <c r="AG79" i="25" s="1"/>
  <c r="AG85" i="25" s="1"/>
  <c r="AG91" i="25" s="1"/>
  <c r="AG205" i="25"/>
  <c r="AG211" i="25" s="1"/>
  <c r="AG217" i="25" s="1"/>
  <c r="AG223" i="25" s="1"/>
  <c r="AS72" i="33"/>
  <c r="AS10" i="33" s="1"/>
  <c r="AS28" i="33" s="1"/>
  <c r="AS46" i="33" s="1"/>
  <c r="AG127" i="11"/>
  <c r="V106" i="50"/>
  <c r="V21" i="50"/>
  <c r="AK13" i="5"/>
  <c r="AF203" i="25"/>
  <c r="AF209" i="25" s="1"/>
  <c r="AF215" i="25" s="1"/>
  <c r="AF221" i="25" s="1"/>
  <c r="AF140" i="25"/>
  <c r="AF146" i="25" s="1"/>
  <c r="AF152" i="25" s="1"/>
  <c r="AF158" i="25" s="1"/>
  <c r="AF39" i="25"/>
  <c r="AF45" i="25" s="1"/>
  <c r="AF51" i="25" s="1"/>
  <c r="AF57" i="25" s="1"/>
  <c r="Q141" i="11"/>
  <c r="AL126" i="53"/>
  <c r="AL96" i="53"/>
  <c r="AL106" i="53"/>
  <c r="I55" i="50"/>
  <c r="I108" i="50"/>
  <c r="E239" i="53"/>
  <c r="E338" i="53"/>
  <c r="E373" i="53" s="1"/>
  <c r="T51" i="59"/>
  <c r="T174" i="59"/>
  <c r="AG7" i="19"/>
  <c r="AG8" i="19"/>
  <c r="AG5" i="19"/>
  <c r="AJ39" i="28"/>
  <c r="AV21" i="5"/>
  <c r="S17" i="52" s="1"/>
  <c r="AM125" i="18"/>
  <c r="AD196" i="25"/>
  <c r="AD163" i="25"/>
  <c r="AD31" i="25"/>
  <c r="AD229" i="25"/>
  <c r="AD130" i="25"/>
  <c r="AD97" i="25"/>
  <c r="AD64" i="25"/>
  <c r="F87" i="20"/>
  <c r="K123" i="11"/>
  <c r="AJ10" i="11"/>
  <c r="AM10" i="11" s="1"/>
  <c r="T68" i="33"/>
  <c r="T6" i="33" s="1"/>
  <c r="T24" i="33" s="1"/>
  <c r="T42" i="33" s="1"/>
  <c r="AK31" i="59"/>
  <c r="AI48" i="59"/>
  <c r="AJ39" i="59"/>
  <c r="AJ162" i="59"/>
  <c r="AK24" i="41"/>
  <c r="AK8" i="41"/>
  <c r="AK23" i="41" s="1"/>
  <c r="AH132" i="11"/>
  <c r="AU77" i="33"/>
  <c r="AU15" i="33" s="1"/>
  <c r="AU33" i="33" s="1"/>
  <c r="AU51" i="33" s="1"/>
  <c r="Z71" i="25"/>
  <c r="Z77" i="25" s="1"/>
  <c r="Z83" i="25" s="1"/>
  <c r="Z89" i="25" s="1"/>
  <c r="Z175" i="25"/>
  <c r="Z181" i="25" s="1"/>
  <c r="Z187" i="25" s="1"/>
  <c r="Z104" i="25"/>
  <c r="Z110" i="25" s="1"/>
  <c r="Z116" i="25" s="1"/>
  <c r="Z122" i="25" s="1"/>
  <c r="N12" i="18"/>
  <c r="N5" i="25" s="1"/>
  <c r="N11" i="25" s="1"/>
  <c r="N17" i="25" s="1"/>
  <c r="N23" i="25" s="1"/>
  <c r="N22" i="18"/>
  <c r="AN40" i="59"/>
  <c r="AN163" i="59"/>
  <c r="J142" i="25"/>
  <c r="J148" i="25" s="1"/>
  <c r="J154" i="25" s="1"/>
  <c r="J160" i="25" s="1"/>
  <c r="J135" i="18"/>
  <c r="J141" i="18" s="1"/>
  <c r="J147" i="18" s="1"/>
  <c r="J153" i="18" s="1"/>
  <c r="J159" i="18" s="1"/>
  <c r="J205" i="25"/>
  <c r="J211" i="25" s="1"/>
  <c r="J217" i="25" s="1"/>
  <c r="AI160" i="20"/>
  <c r="AB70" i="52"/>
  <c r="AB47" i="18"/>
  <c r="AE8" i="32"/>
  <c r="AE36" i="32"/>
  <c r="AB46" i="18"/>
  <c r="AB53" i="18" s="1"/>
  <c r="AE26" i="32"/>
  <c r="AE55" i="32"/>
  <c r="AL39" i="59"/>
  <c r="AL162" i="59"/>
  <c r="T205" i="26"/>
  <c r="T211" i="26" s="1"/>
  <c r="I87" i="18"/>
  <c r="F71" i="26"/>
  <c r="F77" i="26" s="1"/>
  <c r="F83" i="26" s="1"/>
  <c r="F89" i="26" s="1"/>
  <c r="F106" i="26"/>
  <c r="F112" i="26" s="1"/>
  <c r="F118" i="26" s="1"/>
  <c r="F124" i="26" s="1"/>
  <c r="F100" i="19"/>
  <c r="F106" i="19" s="1"/>
  <c r="F112" i="19" s="1"/>
  <c r="F118" i="19" s="1"/>
  <c r="AI124" i="20"/>
  <c r="AN113" i="20"/>
  <c r="AN119" i="20" s="1"/>
  <c r="AM48" i="59"/>
  <c r="AM171" i="59"/>
  <c r="AI42" i="28"/>
  <c r="AI169" i="28"/>
  <c r="I73" i="52"/>
  <c r="L11" i="32"/>
  <c r="L67" i="32"/>
  <c r="L29" i="32"/>
  <c r="L48" i="32"/>
  <c r="L20" i="32"/>
  <c r="I50" i="18"/>
  <c r="L58" i="32"/>
  <c r="L39" i="32"/>
  <c r="AK161" i="59"/>
  <c r="AG136" i="11"/>
  <c r="AS81" i="33"/>
  <c r="AS19" i="33" s="1"/>
  <c r="AS37" i="33" s="1"/>
  <c r="AS55" i="33" s="1"/>
  <c r="Y13" i="11"/>
  <c r="V13" i="11"/>
  <c r="S13" i="11"/>
  <c r="AE13" i="11"/>
  <c r="AB13" i="11"/>
  <c r="P13" i="11"/>
  <c r="AF141" i="25"/>
  <c r="AF147" i="25" s="1"/>
  <c r="AF153" i="25" s="1"/>
  <c r="AF159" i="25" s="1"/>
  <c r="AF75" i="25"/>
  <c r="AF81" i="25" s="1"/>
  <c r="AF87" i="25" s="1"/>
  <c r="AF109" i="25"/>
  <c r="AF115" i="25" s="1"/>
  <c r="AF121" i="25" s="1"/>
  <c r="AA118" i="27"/>
  <c r="AA124" i="27" s="1"/>
  <c r="AJ50" i="28"/>
  <c r="U129" i="18"/>
  <c r="E20" i="53"/>
  <c r="E63" i="53"/>
  <c r="E107" i="53" s="1"/>
  <c r="E151" i="53" s="1"/>
  <c r="E196" i="53" s="1"/>
  <c r="AK124" i="53"/>
  <c r="AK125" i="53"/>
  <c r="AM57" i="28"/>
  <c r="AM184" i="28"/>
  <c r="AB21" i="11"/>
  <c r="Y21" i="11"/>
  <c r="V21" i="11"/>
  <c r="AE21" i="11"/>
  <c r="P21" i="11"/>
  <c r="S21" i="11"/>
  <c r="R13" i="20"/>
  <c r="R139" i="27" s="1"/>
  <c r="R145" i="27" s="1"/>
  <c r="R151" i="27" s="1"/>
  <c r="R157" i="27" s="1"/>
  <c r="R23" i="20"/>
  <c r="AL108" i="50"/>
  <c r="AL55" i="50"/>
  <c r="K135" i="11"/>
  <c r="T80" i="33"/>
  <c r="T18" i="33" s="1"/>
  <c r="T36" i="33" s="1"/>
  <c r="T54" i="33" s="1"/>
  <c r="AK94" i="59"/>
  <c r="AM142" i="28"/>
  <c r="AM45" i="52" s="1"/>
  <c r="Q45" i="52"/>
  <c r="AJ142" i="28"/>
  <c r="AK142" i="28"/>
  <c r="AK45" i="52" s="1"/>
  <c r="AN142" i="28"/>
  <c r="AN45" i="52" s="1"/>
  <c r="AN76" i="20"/>
  <c r="AN82" i="20" s="1"/>
  <c r="AN75" i="20"/>
  <c r="AN81" i="20" s="1"/>
  <c r="AN87" i="20" s="1"/>
  <c r="X80" i="33"/>
  <c r="X18" i="33" s="1"/>
  <c r="X36" i="33" s="1"/>
  <c r="X54" i="33" s="1"/>
  <c r="O135" i="11"/>
  <c r="H114" i="20"/>
  <c r="H120" i="20" s="1"/>
  <c r="H126" i="20" s="1"/>
  <c r="H79" i="20"/>
  <c r="H85" i="20" s="1"/>
  <c r="H91" i="20" s="1"/>
  <c r="H120" i="27"/>
  <c r="AE165" i="18"/>
  <c r="AA79" i="20"/>
  <c r="AA85" i="20" s="1"/>
  <c r="AA91" i="20" s="1"/>
  <c r="AA182" i="27"/>
  <c r="AM163" i="59"/>
  <c r="AM40" i="59"/>
  <c r="K29" i="1"/>
  <c r="K29" i="2"/>
  <c r="K29" i="3"/>
  <c r="K29" i="4"/>
  <c r="O29" i="11"/>
  <c r="Q29" i="11"/>
  <c r="X174" i="27"/>
  <c r="X180" i="27" s="1"/>
  <c r="X186" i="27" s="1"/>
  <c r="X192" i="27" s="1"/>
  <c r="X42" i="27"/>
  <c r="X48" i="27" s="1"/>
  <c r="X54" i="27" s="1"/>
  <c r="X60" i="27" s="1"/>
  <c r="T48" i="28"/>
  <c r="N151" i="20"/>
  <c r="N157" i="20" s="1"/>
  <c r="N163" i="20" s="1"/>
  <c r="N150" i="20"/>
  <c r="N156" i="20" s="1"/>
  <c r="N162" i="20" s="1"/>
  <c r="N53" i="27"/>
  <c r="N59" i="27" s="1"/>
  <c r="T138" i="19"/>
  <c r="T144" i="19" s="1"/>
  <c r="AB19" i="11"/>
  <c r="AE19" i="11"/>
  <c r="V19" i="11"/>
  <c r="P19" i="11"/>
  <c r="Y19" i="11"/>
  <c r="S19" i="11"/>
  <c r="AH231" i="25"/>
  <c r="AH132" i="25"/>
  <c r="AH66" i="25"/>
  <c r="AH198" i="25"/>
  <c r="AH165" i="25"/>
  <c r="AH99" i="25"/>
  <c r="AH33" i="25"/>
  <c r="AD126" i="18"/>
  <c r="AQ16" i="5"/>
  <c r="T40" i="26"/>
  <c r="T46" i="26" s="1"/>
  <c r="AH135" i="11"/>
  <c r="AU80" i="33"/>
  <c r="AU18" i="33" s="1"/>
  <c r="AU36" i="33" s="1"/>
  <c r="AU54" i="33" s="1"/>
  <c r="Z139" i="25"/>
  <c r="Z145" i="25" s="1"/>
  <c r="Z151" i="25" s="1"/>
  <c r="Z157" i="25" s="1"/>
  <c r="Z136" i="18"/>
  <c r="Z142" i="18" s="1"/>
  <c r="Z148" i="18" s="1"/>
  <c r="Z154" i="18" s="1"/>
  <c r="Z160" i="18" s="1"/>
  <c r="Z43" i="25"/>
  <c r="Z49" i="25" s="1"/>
  <c r="Z55" i="25" s="1"/>
  <c r="AN52" i="59"/>
  <c r="AN175" i="59"/>
  <c r="J9" i="25"/>
  <c r="J15" i="25" s="1"/>
  <c r="J21" i="25" s="1"/>
  <c r="J27" i="25" s="1"/>
  <c r="J63" i="18"/>
  <c r="J69" i="18" s="1"/>
  <c r="J75" i="18" s="1"/>
  <c r="J81" i="18" s="1"/>
  <c r="J87" i="18" s="1"/>
  <c r="J39" i="25"/>
  <c r="J45" i="25" s="1"/>
  <c r="J51" i="25" s="1"/>
  <c r="G40" i="59"/>
  <c r="E124" i="25"/>
  <c r="E130" i="25" s="1"/>
  <c r="H38" i="32"/>
  <c r="AB135" i="18"/>
  <c r="AB141" i="18" s="1"/>
  <c r="AB147" i="18" s="1"/>
  <c r="AB153" i="18" s="1"/>
  <c r="AB39" i="25"/>
  <c r="AB45" i="25" s="1"/>
  <c r="AB51" i="25" s="1"/>
  <c r="AB57" i="25" s="1"/>
  <c r="AB72" i="25"/>
  <c r="AB78" i="25" s="1"/>
  <c r="AB84" i="25" s="1"/>
  <c r="AB90" i="25" s="1"/>
  <c r="G49" i="28"/>
  <c r="G110" i="28"/>
  <c r="AL87" i="28"/>
  <c r="AL22" i="28" s="1"/>
  <c r="AL121" i="28"/>
  <c r="AL23" i="28"/>
  <c r="AK47" i="59"/>
  <c r="I71" i="52"/>
  <c r="L37" i="32"/>
  <c r="L56" i="32"/>
  <c r="L18" i="32"/>
  <c r="L65" i="32"/>
  <c r="L27" i="32"/>
  <c r="L46" i="32"/>
  <c r="L9" i="32"/>
  <c r="I48" i="18"/>
  <c r="I90" i="18"/>
  <c r="A157" i="53"/>
  <c r="A202" i="53" s="1"/>
  <c r="S113" i="53"/>
  <c r="U113" i="53"/>
  <c r="Y113" i="53"/>
  <c r="AB113" i="53"/>
  <c r="J113" i="53"/>
  <c r="O113" i="53"/>
  <c r="AH113" i="53"/>
  <c r="I113" i="53"/>
  <c r="AJ113" i="53"/>
  <c r="P113" i="53"/>
  <c r="AD113" i="53"/>
  <c r="M113" i="53"/>
  <c r="Q113" i="53"/>
  <c r="N113" i="53"/>
  <c r="AM113" i="53"/>
  <c r="AF113" i="53"/>
  <c r="K113" i="53"/>
  <c r="AO113" i="53"/>
  <c r="X113" i="53"/>
  <c r="F113" i="53"/>
  <c r="AC113" i="53"/>
  <c r="AN113" i="53"/>
  <c r="R113" i="53"/>
  <c r="AI113" i="53"/>
  <c r="AE113" i="53"/>
  <c r="Z113" i="53"/>
  <c r="H113" i="53"/>
  <c r="AG113" i="53"/>
  <c r="AK113" i="53"/>
  <c r="T113" i="53"/>
  <c r="L113" i="53"/>
  <c r="V113" i="53"/>
  <c r="W113" i="53"/>
  <c r="AL113" i="53"/>
  <c r="AA113" i="53"/>
  <c r="G113" i="53"/>
  <c r="AP113" i="53"/>
  <c r="F65" i="19"/>
  <c r="F71" i="19" s="1"/>
  <c r="F77" i="19" s="1"/>
  <c r="F83" i="19" s="1"/>
  <c r="F175" i="26"/>
  <c r="F181" i="26" s="1"/>
  <c r="F187" i="26" s="1"/>
  <c r="F193" i="26" s="1"/>
  <c r="F104" i="26"/>
  <c r="F110" i="26" s="1"/>
  <c r="F116" i="26" s="1"/>
  <c r="F122" i="26" s="1"/>
  <c r="AJ143" i="11"/>
  <c r="AD91" i="18"/>
  <c r="V141" i="11"/>
  <c r="AA57" i="59"/>
  <c r="AA180" i="59"/>
  <c r="T140" i="26"/>
  <c r="T146" i="26" s="1"/>
  <c r="AF13" i="11"/>
  <c r="T13" i="11"/>
  <c r="W13" i="11"/>
  <c r="Z13" i="11"/>
  <c r="AC13" i="11"/>
  <c r="Q13" i="11"/>
  <c r="AF65" i="18"/>
  <c r="AF71" i="18" s="1"/>
  <c r="AF77" i="18" s="1"/>
  <c r="AF83" i="18" s="1"/>
  <c r="AF100" i="18"/>
  <c r="AF106" i="18" s="1"/>
  <c r="AF112" i="18" s="1"/>
  <c r="AF118" i="18" s="1"/>
  <c r="AF124" i="18" s="1"/>
  <c r="AF10" i="25"/>
  <c r="AF16" i="25" s="1"/>
  <c r="AF22" i="25" s="1"/>
  <c r="AD89" i="18"/>
  <c r="U73" i="52"/>
  <c r="X29" i="32"/>
  <c r="X48" i="32"/>
  <c r="X58" i="32"/>
  <c r="X39" i="32"/>
  <c r="X11" i="32"/>
  <c r="X67" i="32"/>
  <c r="X20" i="32"/>
  <c r="U50" i="18"/>
  <c r="U161" i="18" s="1"/>
  <c r="E30" i="48"/>
  <c r="E49" i="48" s="1"/>
  <c r="E68" i="48" s="1"/>
  <c r="E87" i="48" s="1"/>
  <c r="E12" i="48"/>
  <c r="G39" i="59"/>
  <c r="AK94" i="53"/>
  <c r="AK95" i="53"/>
  <c r="G102" i="28"/>
  <c r="G168" i="28" s="1"/>
  <c r="G38" i="28"/>
  <c r="AS21" i="5"/>
  <c r="AR21" i="5"/>
  <c r="S12" i="18"/>
  <c r="S22" i="18"/>
  <c r="R38" i="27"/>
  <c r="R44" i="27" s="1"/>
  <c r="R172" i="27"/>
  <c r="R178" i="27" s="1"/>
  <c r="R184" i="27" s="1"/>
  <c r="R190" i="27" s="1"/>
  <c r="R16" i="20"/>
  <c r="R73" i="27"/>
  <c r="R79" i="27" s="1"/>
  <c r="R85" i="27" s="1"/>
  <c r="R91" i="27" s="1"/>
  <c r="R207" i="27"/>
  <c r="R213" i="27" s="1"/>
  <c r="R105" i="27"/>
  <c r="R111" i="27" s="1"/>
  <c r="R8" i="27"/>
  <c r="R14" i="27" s="1"/>
  <c r="R20" i="27" s="1"/>
  <c r="R26" i="27" s="1"/>
  <c r="R136" i="20"/>
  <c r="R142" i="20" s="1"/>
  <c r="R148" i="20" s="1"/>
  <c r="R154" i="20" s="1"/>
  <c r="R140" i="27"/>
  <c r="R146" i="27" s="1"/>
  <c r="R152" i="27" s="1"/>
  <c r="R158" i="27" s="1"/>
  <c r="R32" i="20"/>
  <c r="R39" i="20" s="1"/>
  <c r="R40" i="20" s="1"/>
  <c r="R107" i="27"/>
  <c r="R113" i="27" s="1"/>
  <c r="R119" i="27" s="1"/>
  <c r="R125" i="27" s="1"/>
  <c r="R67" i="20"/>
  <c r="R73" i="20" s="1"/>
  <c r="R30" i="20"/>
  <c r="R37" i="20" s="1"/>
  <c r="R135" i="20"/>
  <c r="R141" i="20" s="1"/>
  <c r="R102" i="20"/>
  <c r="R108" i="20" s="1"/>
  <c r="R114" i="20" s="1"/>
  <c r="R120" i="20" s="1"/>
  <c r="R9" i="27"/>
  <c r="R15" i="27" s="1"/>
  <c r="R21" i="27" s="1"/>
  <c r="R27" i="27" s="1"/>
  <c r="R63" i="20"/>
  <c r="R69" i="20" s="1"/>
  <c r="R75" i="20" s="1"/>
  <c r="R81" i="20" s="1"/>
  <c r="R75" i="27"/>
  <c r="R81" i="27" s="1"/>
  <c r="R137" i="20"/>
  <c r="R143" i="20" s="1"/>
  <c r="R149" i="20" s="1"/>
  <c r="R155" i="20" s="1"/>
  <c r="R17" i="20"/>
  <c r="R19" i="20" s="1"/>
  <c r="R5" i="27"/>
  <c r="R11" i="27" s="1"/>
  <c r="R43" i="27"/>
  <c r="R49" i="27" s="1"/>
  <c r="R55" i="27" s="1"/>
  <c r="R61" i="27" s="1"/>
  <c r="R203" i="27"/>
  <c r="R209" i="27" s="1"/>
  <c r="R215" i="27" s="1"/>
  <c r="R221" i="27" s="1"/>
  <c r="U179" i="32"/>
  <c r="R164" i="20"/>
  <c r="R166" i="20" s="1"/>
  <c r="R128" i="20"/>
  <c r="R130" i="20" s="1"/>
  <c r="AL106" i="50"/>
  <c r="AL21" i="50"/>
  <c r="U92" i="20"/>
  <c r="U94" i="20" s="1"/>
  <c r="X160" i="32"/>
  <c r="K132" i="11"/>
  <c r="T77" i="33"/>
  <c r="T15" i="33" s="1"/>
  <c r="T33" i="33" s="1"/>
  <c r="T51" i="33" s="1"/>
  <c r="AA181" i="59"/>
  <c r="AA58" i="59"/>
  <c r="U29" i="11"/>
  <c r="W29" i="11"/>
  <c r="X148" i="20"/>
  <c r="X154" i="20" s="1"/>
  <c r="X17" i="27"/>
  <c r="X23" i="27" s="1"/>
  <c r="N55" i="27"/>
  <c r="N152" i="27"/>
  <c r="N158" i="27" s="1"/>
  <c r="N76" i="20"/>
  <c r="N82" i="20" s="1"/>
  <c r="N88" i="20" s="1"/>
  <c r="T43" i="26"/>
  <c r="T49" i="26" s="1"/>
  <c r="T55" i="26" s="1"/>
  <c r="T61" i="26" s="1"/>
  <c r="AL57" i="59"/>
  <c r="AL180" i="59"/>
  <c r="Q142" i="32"/>
  <c r="Q143" i="32" s="1"/>
  <c r="Q16" i="34" s="1"/>
  <c r="Q30" i="34" s="1"/>
  <c r="Q151" i="32"/>
  <c r="Q152" i="32" s="1"/>
  <c r="Q17" i="34" s="1"/>
  <c r="Q31" i="34" s="1"/>
  <c r="Q161" i="32"/>
  <c r="Q18" i="34" s="1"/>
  <c r="Q32" i="34" s="1"/>
  <c r="AA160" i="59"/>
  <c r="AB22" i="5"/>
  <c r="AC22" i="5"/>
  <c r="T137" i="26"/>
  <c r="T143" i="26" s="1"/>
  <c r="AH123" i="18"/>
  <c r="R4" i="11"/>
  <c r="X4" i="11"/>
  <c r="O4" i="11"/>
  <c r="Z99" i="18"/>
  <c r="Z105" i="18" s="1"/>
  <c r="Z111" i="18" s="1"/>
  <c r="Z117" i="18" s="1"/>
  <c r="Z64" i="18"/>
  <c r="Z70" i="18" s="1"/>
  <c r="Z76" i="18" s="1"/>
  <c r="Z82" i="18" s="1"/>
  <c r="Z88" i="18" s="1"/>
  <c r="Z76" i="25"/>
  <c r="Z82" i="25" s="1"/>
  <c r="Z88" i="25" s="1"/>
  <c r="J139" i="18"/>
  <c r="J145" i="18" s="1"/>
  <c r="J151" i="18" s="1"/>
  <c r="J157" i="18" s="1"/>
  <c r="J102" i="18"/>
  <c r="J108" i="18" s="1"/>
  <c r="J114" i="18" s="1"/>
  <c r="J120" i="18" s="1"/>
  <c r="J25" i="18"/>
  <c r="J32" i="18" s="1"/>
  <c r="J40" i="18" s="1"/>
  <c r="AQ34" i="5"/>
  <c r="AR34" i="5" s="1"/>
  <c r="AB139" i="18"/>
  <c r="AB145" i="18" s="1"/>
  <c r="AB151" i="18" s="1"/>
  <c r="AB157" i="18" s="1"/>
  <c r="AB42" i="25"/>
  <c r="AB48" i="25" s="1"/>
  <c r="AB54" i="25" s="1"/>
  <c r="AB60" i="25" s="1"/>
  <c r="AB140" i="25"/>
  <c r="AB146" i="25" s="1"/>
  <c r="AB152" i="25" s="1"/>
  <c r="AB158" i="25" s="1"/>
  <c r="Y122" i="20"/>
  <c r="AN85" i="27"/>
  <c r="AN91" i="27" s="1"/>
  <c r="G164" i="59"/>
  <c r="G41" i="59"/>
  <c r="I122" i="18"/>
  <c r="F103" i="19"/>
  <c r="F109" i="19" s="1"/>
  <c r="F115" i="19" s="1"/>
  <c r="F121" i="19" s="1"/>
  <c r="F75" i="26"/>
  <c r="F81" i="26" s="1"/>
  <c r="F87" i="26" s="1"/>
  <c r="F93" i="26" s="1"/>
  <c r="F141" i="26"/>
  <c r="F147" i="26" s="1"/>
  <c r="F153" i="26" s="1"/>
  <c r="F159" i="26" s="1"/>
  <c r="AO71" i="33"/>
  <c r="AO9" i="33" s="1"/>
  <c r="AO27" i="33" s="1"/>
  <c r="AO45" i="33" s="1"/>
  <c r="AC126" i="11"/>
  <c r="G31" i="59"/>
  <c r="T75" i="26"/>
  <c r="T81" i="26" s="1"/>
  <c r="AF76" i="25"/>
  <c r="AF82" i="25" s="1"/>
  <c r="AF88" i="25" s="1"/>
  <c r="AF139" i="18"/>
  <c r="AF145" i="18" s="1"/>
  <c r="AF151" i="18" s="1"/>
  <c r="AF157" i="18" s="1"/>
  <c r="AF163" i="18" s="1"/>
  <c r="AI44" i="32"/>
  <c r="AL12" i="34" s="1"/>
  <c r="AI34" i="32"/>
  <c r="AI35" i="32" s="1"/>
  <c r="AL13" i="34" s="1"/>
  <c r="I161" i="32"/>
  <c r="H18" i="34" s="1"/>
  <c r="H32" i="34" s="1"/>
  <c r="I151" i="32"/>
  <c r="I152" i="32" s="1"/>
  <c r="H17" i="34" s="1"/>
  <c r="H31" i="34" s="1"/>
  <c r="I142" i="32"/>
  <c r="I143" i="32" s="1"/>
  <c r="H16" i="34" s="1"/>
  <c r="H30" i="34" s="1"/>
  <c r="X66" i="32"/>
  <c r="U72" i="52"/>
  <c r="X47" i="32"/>
  <c r="X38" i="32"/>
  <c r="X28" i="32"/>
  <c r="X19" i="32"/>
  <c r="U49" i="18"/>
  <c r="X10" i="32"/>
  <c r="X57" i="32"/>
  <c r="U165" i="18"/>
  <c r="AJ100" i="27"/>
  <c r="AJ232" i="27"/>
  <c r="AJ166" i="27"/>
  <c r="AJ133" i="27"/>
  <c r="AJ199" i="27"/>
  <c r="AJ67" i="27"/>
  <c r="AJ34" i="27"/>
  <c r="G116" i="59"/>
  <c r="G182" i="59" s="1"/>
  <c r="G177" i="28"/>
  <c r="G50" i="28"/>
  <c r="G97" i="28"/>
  <c r="G4" i="28"/>
  <c r="G32" i="28" s="1"/>
  <c r="S5" i="19"/>
  <c r="S8" i="19"/>
  <c r="S7" i="19"/>
  <c r="S6" i="25"/>
  <c r="S12" i="25" s="1"/>
  <c r="S18" i="25" s="1"/>
  <c r="S24" i="25" s="1"/>
  <c r="S15" i="18"/>
  <c r="S38" i="25"/>
  <c r="S44" i="25" s="1"/>
  <c r="S50" i="25" s="1"/>
  <c r="S56" i="25" s="1"/>
  <c r="S10" i="25"/>
  <c r="S16" i="25" s="1"/>
  <c r="S22" i="25" s="1"/>
  <c r="S28" i="25" s="1"/>
  <c r="S73" i="25"/>
  <c r="S79" i="25" s="1"/>
  <c r="S85" i="25" s="1"/>
  <c r="S91" i="25" s="1"/>
  <c r="S103" i="18"/>
  <c r="S109" i="18" s="1"/>
  <c r="S115" i="18" s="1"/>
  <c r="S121" i="18" s="1"/>
  <c r="S67" i="18"/>
  <c r="S73" i="18" s="1"/>
  <c r="S79" i="18" s="1"/>
  <c r="S85" i="18" s="1"/>
  <c r="S173" i="25"/>
  <c r="S179" i="25" s="1"/>
  <c r="S185" i="25" s="1"/>
  <c r="S191" i="25" s="1"/>
  <c r="S25" i="18"/>
  <c r="S32" i="18" s="1"/>
  <c r="S40" i="18" s="1"/>
  <c r="S142" i="25"/>
  <c r="S148" i="25" s="1"/>
  <c r="S154" i="25" s="1"/>
  <c r="S160" i="25" s="1"/>
  <c r="S164" i="18"/>
  <c r="S166" i="18" s="1"/>
  <c r="S128" i="18"/>
  <c r="S130" i="18" s="1"/>
  <c r="S138" i="18"/>
  <c r="S144" i="18" s="1"/>
  <c r="S150" i="18" s="1"/>
  <c r="S156" i="18" s="1"/>
  <c r="V43" i="32"/>
  <c r="AL89" i="50"/>
  <c r="AL110" i="50"/>
  <c r="U7" i="20"/>
  <c r="U8" i="20"/>
  <c r="K138" i="11"/>
  <c r="T83" i="33"/>
  <c r="T21" i="33" s="1"/>
  <c r="T39" i="33" s="1"/>
  <c r="T57" i="33" s="1"/>
  <c r="Y82" i="52"/>
  <c r="AB162" i="32"/>
  <c r="AB181" i="32"/>
  <c r="AB153" i="32"/>
  <c r="Y47" i="20"/>
  <c r="Y54" i="20" s="1"/>
  <c r="AB200" i="32"/>
  <c r="Y48" i="20"/>
  <c r="AB144" i="32"/>
  <c r="AB191" i="32"/>
  <c r="AB172" i="32"/>
  <c r="Y93" i="20"/>
  <c r="AA230" i="25"/>
  <c r="AA164" i="25"/>
  <c r="AA98" i="25"/>
  <c r="AA161" i="18"/>
  <c r="AA197" i="25"/>
  <c r="AA131" i="25"/>
  <c r="AA65" i="25"/>
  <c r="AA32" i="25"/>
  <c r="AA125" i="18"/>
  <c r="AA51" i="28"/>
  <c r="S68" i="33"/>
  <c r="S6" i="33" s="1"/>
  <c r="S24" i="33" s="1"/>
  <c r="S42" i="33" s="1"/>
  <c r="J123" i="11"/>
  <c r="AJ9" i="11"/>
  <c r="AM9" i="11" s="1"/>
  <c r="AA29" i="11"/>
  <c r="AC29" i="11"/>
  <c r="X110" i="20"/>
  <c r="X116" i="20" s="1"/>
  <c r="X153" i="27"/>
  <c r="X159" i="27" s="1"/>
  <c r="X20" i="27"/>
  <c r="X26" i="27" s="1"/>
  <c r="Q200" i="32"/>
  <c r="Q191" i="32"/>
  <c r="Q181" i="32"/>
  <c r="N82" i="52"/>
  <c r="Q162" i="32"/>
  <c r="Q153" i="32"/>
  <c r="Q144" i="32"/>
  <c r="Q172" i="32"/>
  <c r="N48" i="20"/>
  <c r="N47" i="20"/>
  <c r="N54" i="20" s="1"/>
  <c r="AJ22" i="18"/>
  <c r="AJ12" i="18"/>
  <c r="AJ99" i="18" s="1"/>
  <c r="AJ105" i="18" s="1"/>
  <c r="AJ111" i="18" s="1"/>
  <c r="AJ117" i="18" s="1"/>
  <c r="N165" i="20"/>
  <c r="AB16" i="11"/>
  <c r="Y16" i="11"/>
  <c r="AE16" i="11"/>
  <c r="S16" i="11"/>
  <c r="P16" i="11"/>
  <c r="V16" i="11"/>
  <c r="AA20" i="27"/>
  <c r="AI47" i="28"/>
  <c r="E253" i="53"/>
  <c r="E350" i="53"/>
  <c r="E385" i="53" s="1"/>
  <c r="Z105" i="25"/>
  <c r="Z111" i="25" s="1"/>
  <c r="Z117" i="25" s="1"/>
  <c r="Z123" i="25" s="1"/>
  <c r="Z170" i="25"/>
  <c r="Z176" i="25" s="1"/>
  <c r="Z182" i="25" s="1"/>
  <c r="Z188" i="25" s="1"/>
  <c r="Z142" i="25"/>
  <c r="Z148" i="25" s="1"/>
  <c r="Z154" i="25" s="1"/>
  <c r="AI107" i="59"/>
  <c r="AI170" i="59" s="1"/>
  <c r="AI168" i="59"/>
  <c r="AI45" i="59"/>
  <c r="J73" i="25"/>
  <c r="J79" i="25" s="1"/>
  <c r="J85" i="25" s="1"/>
  <c r="J98" i="18"/>
  <c r="J104" i="18" s="1"/>
  <c r="J110" i="18" s="1"/>
  <c r="J116" i="18" s="1"/>
  <c r="J206" i="25"/>
  <c r="J212" i="25" s="1"/>
  <c r="J218" i="25" s="1"/>
  <c r="J224" i="25" s="1"/>
  <c r="P34" i="11"/>
  <c r="V34" i="11"/>
  <c r="S34" i="11"/>
  <c r="AE34" i="11"/>
  <c r="AB34" i="11"/>
  <c r="Y34" i="11"/>
  <c r="AB107" i="25"/>
  <c r="AB113" i="25" s="1"/>
  <c r="AB119" i="25" s="1"/>
  <c r="AB125" i="25" s="1"/>
  <c r="AB208" i="25"/>
  <c r="AB214" i="25" s="1"/>
  <c r="AB220" i="25" s="1"/>
  <c r="AB226" i="25" s="1"/>
  <c r="AB137" i="25"/>
  <c r="AB143" i="25" s="1"/>
  <c r="AB149" i="25" s="1"/>
  <c r="AB155" i="25" s="1"/>
  <c r="AG122" i="18"/>
  <c r="U141" i="11"/>
  <c r="A173" i="53"/>
  <c r="N129" i="53"/>
  <c r="W129" i="53"/>
  <c r="U129" i="53"/>
  <c r="Y129" i="53"/>
  <c r="O129" i="53"/>
  <c r="S129" i="53"/>
  <c r="AG129" i="53"/>
  <c r="AE129" i="53"/>
  <c r="AA129" i="53"/>
  <c r="G129" i="53"/>
  <c r="H129" i="53"/>
  <c r="AF129" i="53"/>
  <c r="AD129" i="53"/>
  <c r="R129" i="53"/>
  <c r="AI129" i="53"/>
  <c r="P129" i="53"/>
  <c r="AJ129" i="53"/>
  <c r="F129" i="53"/>
  <c r="J129" i="53"/>
  <c r="T129" i="53"/>
  <c r="L129" i="53"/>
  <c r="AB129" i="53"/>
  <c r="M129" i="53"/>
  <c r="Q129" i="53"/>
  <c r="Z129" i="53"/>
  <c r="X129" i="53"/>
  <c r="AH129" i="53"/>
  <c r="K129" i="53"/>
  <c r="AM129" i="53"/>
  <c r="AN129" i="53"/>
  <c r="V129" i="53"/>
  <c r="AO129" i="53"/>
  <c r="I129" i="53"/>
  <c r="AK129" i="53"/>
  <c r="AP129" i="53"/>
  <c r="AC129" i="53"/>
  <c r="AJ175" i="59"/>
  <c r="AJ52" i="59"/>
  <c r="A172" i="53"/>
  <c r="L128" i="53"/>
  <c r="L131" i="53" s="1"/>
  <c r="AA128" i="53"/>
  <c r="AA131" i="53" s="1"/>
  <c r="U128" i="53"/>
  <c r="U131" i="53" s="1"/>
  <c r="Y128" i="53"/>
  <c r="Y131" i="53" s="1"/>
  <c r="N128" i="53"/>
  <c r="N131" i="53" s="1"/>
  <c r="G128" i="53"/>
  <c r="G131" i="53" s="1"/>
  <c r="W128" i="53"/>
  <c r="W131" i="53" s="1"/>
  <c r="AH128" i="53"/>
  <c r="AH131" i="53" s="1"/>
  <c r="M128" i="53"/>
  <c r="M131" i="53" s="1"/>
  <c r="R128" i="53"/>
  <c r="R131" i="53" s="1"/>
  <c r="AJ128" i="53"/>
  <c r="AJ131" i="53" s="1"/>
  <c r="X128" i="53"/>
  <c r="X131" i="53" s="1"/>
  <c r="AF128" i="53"/>
  <c r="AF131" i="53" s="1"/>
  <c r="AD128" i="53"/>
  <c r="AD131" i="53" s="1"/>
  <c r="AB128" i="53"/>
  <c r="AB131" i="53" s="1"/>
  <c r="AI128" i="53"/>
  <c r="AI131" i="53" s="1"/>
  <c r="J128" i="53"/>
  <c r="J131" i="53" s="1"/>
  <c r="AE128" i="53"/>
  <c r="AE131" i="53" s="1"/>
  <c r="K128" i="53"/>
  <c r="K131" i="53" s="1"/>
  <c r="Q128" i="53"/>
  <c r="Q131" i="53" s="1"/>
  <c r="Z128" i="53"/>
  <c r="Z131" i="53" s="1"/>
  <c r="H128" i="53"/>
  <c r="H131" i="53" s="1"/>
  <c r="P128" i="53"/>
  <c r="P131" i="53" s="1"/>
  <c r="AG128" i="53"/>
  <c r="AG131" i="53" s="1"/>
  <c r="T128" i="53"/>
  <c r="T131" i="53" s="1"/>
  <c r="F128" i="53"/>
  <c r="F131" i="53" s="1"/>
  <c r="O128" i="53"/>
  <c r="O131" i="53" s="1"/>
  <c r="S128" i="53"/>
  <c r="S131" i="53" s="1"/>
  <c r="AC128" i="53"/>
  <c r="AC131" i="53" s="1"/>
  <c r="I128" i="53"/>
  <c r="I131" i="53" s="1"/>
  <c r="AN128" i="53"/>
  <c r="AN131" i="53" s="1"/>
  <c r="AL128" i="53"/>
  <c r="AL131" i="53" s="1"/>
  <c r="AK128" i="53"/>
  <c r="AK131" i="53" s="1"/>
  <c r="AM128" i="53"/>
  <c r="AM131" i="53" s="1"/>
  <c r="AP128" i="53"/>
  <c r="AP131" i="53" s="1"/>
  <c r="AO128" i="53"/>
  <c r="AO131" i="53" s="1"/>
  <c r="V128" i="53"/>
  <c r="V131" i="53" s="1"/>
  <c r="K141" i="11"/>
  <c r="F27" i="19"/>
  <c r="F34" i="19" s="1"/>
  <c r="F42" i="19" s="1"/>
  <c r="F32" i="19"/>
  <c r="F39" i="19" s="1"/>
  <c r="F40" i="19" s="1"/>
  <c r="F38" i="26"/>
  <c r="F44" i="26" s="1"/>
  <c r="F50" i="26" s="1"/>
  <c r="F56" i="26" s="1"/>
  <c r="AA117" i="27"/>
  <c r="AA123" i="27" s="1"/>
  <c r="AM164" i="59"/>
  <c r="AM41" i="59"/>
  <c r="AC132" i="11"/>
  <c r="AO77" i="33"/>
  <c r="AO15" i="33" s="1"/>
  <c r="AO33" i="33" s="1"/>
  <c r="AO51" i="33" s="1"/>
  <c r="AN6" i="32"/>
  <c r="AN7" i="32" s="1"/>
  <c r="AB9" i="34" s="1"/>
  <c r="AN15" i="32"/>
  <c r="AN16" i="32" s="1"/>
  <c r="AB10" i="34" s="1"/>
  <c r="AN25" i="32"/>
  <c r="AB11" i="34" s="1"/>
  <c r="G52" i="59"/>
  <c r="G175" i="59"/>
  <c r="D63" i="11"/>
  <c r="AV63" i="11" s="1"/>
  <c r="AV60" i="11"/>
  <c r="AS15" i="5"/>
  <c r="AR15" i="5"/>
  <c r="H165" i="20"/>
  <c r="T136" i="19"/>
  <c r="T142" i="19" s="1"/>
  <c r="AF162" i="18"/>
  <c r="F129" i="20"/>
  <c r="L22" i="18"/>
  <c r="L12" i="18"/>
  <c r="L28" i="18" s="1"/>
  <c r="L35" i="18" s="1"/>
  <c r="L43" i="18" s="1"/>
  <c r="AI169" i="59"/>
  <c r="AI46" i="59"/>
  <c r="F125" i="20"/>
  <c r="AA87" i="27"/>
  <c r="AO38" i="50"/>
  <c r="AO107" i="50"/>
  <c r="AH133" i="25"/>
  <c r="AH67" i="25"/>
  <c r="AH166" i="25"/>
  <c r="AH34" i="25"/>
  <c r="AH232" i="25"/>
  <c r="AH199" i="25"/>
  <c r="AH100" i="25"/>
  <c r="G99" i="59"/>
  <c r="G163" i="59" s="1"/>
  <c r="Z21" i="11"/>
  <c r="AC21" i="11"/>
  <c r="T21" i="11"/>
  <c r="AF21" i="11"/>
  <c r="Q21" i="11"/>
  <c r="W21" i="11"/>
  <c r="AG10" i="32"/>
  <c r="AL72" i="50"/>
  <c r="AL109" i="50"/>
  <c r="T204" i="26"/>
  <c r="T210" i="26" s="1"/>
  <c r="H151" i="27"/>
  <c r="H157" i="27" s="1"/>
  <c r="H22" i="27"/>
  <c r="AA87" i="20"/>
  <c r="T61" i="59"/>
  <c r="T184" i="59"/>
  <c r="AS29" i="53"/>
  <c r="A216" i="53"/>
  <c r="E296" i="53" s="1"/>
  <c r="AS39" i="53"/>
  <c r="J124" i="11"/>
  <c r="AK9" i="11"/>
  <c r="AN9" i="11" s="1"/>
  <c r="S69" i="33"/>
  <c r="S7" i="33" s="1"/>
  <c r="S25" i="33" s="1"/>
  <c r="S43" i="33" s="1"/>
  <c r="X28" i="11"/>
  <c r="Z28" i="11"/>
  <c r="X29" i="11"/>
  <c r="Z29" i="11"/>
  <c r="X150" i="27"/>
  <c r="X22" i="27"/>
  <c r="X28" i="27" s="1"/>
  <c r="X21" i="27"/>
  <c r="X27" i="27" s="1"/>
  <c r="N110" i="20"/>
  <c r="N116" i="20" s="1"/>
  <c r="N122" i="20" s="1"/>
  <c r="N112" i="20"/>
  <c r="N118" i="20" s="1"/>
  <c r="N124" i="20" s="1"/>
  <c r="AA77" i="33"/>
  <c r="AA15" i="33" s="1"/>
  <c r="AA33" i="33" s="1"/>
  <c r="AA51" i="33" s="1"/>
  <c r="Q132" i="11"/>
  <c r="AA123" i="11"/>
  <c r="AJ27" i="11"/>
  <c r="AM27" i="11" s="1"/>
  <c r="AK68" i="33"/>
  <c r="AK6" i="33" s="1"/>
  <c r="AK24" i="33" s="1"/>
  <c r="AK42" i="33" s="1"/>
  <c r="AI184" i="28"/>
  <c r="AI57" i="28"/>
  <c r="AR31" i="5"/>
  <c r="AS31" i="5"/>
  <c r="AJ4" i="59"/>
  <c r="AJ31" i="59" s="1"/>
  <c r="AJ94" i="59"/>
  <c r="N93" i="20"/>
  <c r="T16" i="11"/>
  <c r="AC16" i="11"/>
  <c r="W16" i="11"/>
  <c r="Q16" i="11"/>
  <c r="Z16" i="11"/>
  <c r="AF16" i="11"/>
  <c r="E224" i="25"/>
  <c r="E230" i="25" s="1"/>
  <c r="H67" i="32"/>
  <c r="D61" i="11"/>
  <c r="AV61" i="11" s="1"/>
  <c r="AV58" i="11"/>
  <c r="E34" i="53"/>
  <c r="E78" i="53" s="1"/>
  <c r="E122" i="53" s="1"/>
  <c r="E166" i="53" s="1"/>
  <c r="E211" i="53" s="1"/>
  <c r="E77" i="53"/>
  <c r="E121" i="53" s="1"/>
  <c r="E165" i="53" s="1"/>
  <c r="E210" i="53" s="1"/>
  <c r="AE8" i="19"/>
  <c r="AE7" i="19"/>
  <c r="AE5" i="19"/>
  <c r="AK186" i="28"/>
  <c r="AK59" i="28"/>
  <c r="Z206" i="25"/>
  <c r="Z212" i="25" s="1"/>
  <c r="Z218" i="25" s="1"/>
  <c r="Z224" i="25" s="1"/>
  <c r="Z29" i="18"/>
  <c r="Z36" i="18" s="1"/>
  <c r="Z44" i="18" s="1"/>
  <c r="Z173" i="25"/>
  <c r="Z179" i="25" s="1"/>
  <c r="Z185" i="25" s="1"/>
  <c r="Z191" i="25" s="1"/>
  <c r="AN120" i="27"/>
  <c r="AN126" i="27" s="1"/>
  <c r="J67" i="18"/>
  <c r="J73" i="18" s="1"/>
  <c r="J79" i="18" s="1"/>
  <c r="J85" i="18" s="1"/>
  <c r="J91" i="18" s="1"/>
  <c r="J134" i="18"/>
  <c r="J140" i="18" s="1"/>
  <c r="J146" i="18" s="1"/>
  <c r="J152" i="18" s="1"/>
  <c r="J175" i="25"/>
  <c r="J181" i="25" s="1"/>
  <c r="J187" i="25" s="1"/>
  <c r="J193" i="25" s="1"/>
  <c r="AK39" i="59"/>
  <c r="AK162" i="59"/>
  <c r="AV34" i="5"/>
  <c r="AC17" i="52" s="1"/>
  <c r="AB137" i="18"/>
  <c r="AB143" i="18" s="1"/>
  <c r="AB149" i="18" s="1"/>
  <c r="AB155" i="18" s="1"/>
  <c r="AB161" i="18" s="1"/>
  <c r="AB129" i="18"/>
  <c r="AG52" i="18"/>
  <c r="AJ13" i="32"/>
  <c r="AJ22" i="32"/>
  <c r="AJ41" i="32"/>
  <c r="AJ69" i="32"/>
  <c r="AJ31" i="32"/>
  <c r="AJ60" i="32"/>
  <c r="AJ50" i="32"/>
  <c r="AG75" i="52"/>
  <c r="AP141" i="11"/>
  <c r="AN164" i="18"/>
  <c r="AN166" i="18" s="1"/>
  <c r="AN165" i="18" s="1"/>
  <c r="AN142" i="25"/>
  <c r="AN148" i="25" s="1"/>
  <c r="AN154" i="25" s="1"/>
  <c r="AN160" i="25" s="1"/>
  <c r="AN6" i="25"/>
  <c r="AN12" i="25" s="1"/>
  <c r="AN18" i="25" s="1"/>
  <c r="AN24" i="25" s="1"/>
  <c r="AN16" i="18"/>
  <c r="AN18" i="18" s="1"/>
  <c r="AQ62" i="32"/>
  <c r="AN26" i="18"/>
  <c r="AN33" i="18" s="1"/>
  <c r="AN41" i="18" s="1"/>
  <c r="AN43" i="25"/>
  <c r="AN49" i="25" s="1"/>
  <c r="AN55" i="25" s="1"/>
  <c r="AN61" i="25" s="1"/>
  <c r="AN171" i="25"/>
  <c r="AN177" i="25" s="1"/>
  <c r="AN183" i="25" s="1"/>
  <c r="AN189" i="25" s="1"/>
  <c r="AN28" i="18"/>
  <c r="AN35" i="18" s="1"/>
  <c r="AN43" i="18" s="1"/>
  <c r="AN138" i="18"/>
  <c r="AN144" i="18" s="1"/>
  <c r="AN150" i="18" s="1"/>
  <c r="AN156" i="18" s="1"/>
  <c r="AN101" i="18"/>
  <c r="AN107" i="18" s="1"/>
  <c r="AN113" i="18" s="1"/>
  <c r="AN119" i="18" s="1"/>
  <c r="AN62" i="18"/>
  <c r="AN68" i="18" s="1"/>
  <c r="AN74" i="18" s="1"/>
  <c r="AN80" i="18" s="1"/>
  <c r="AN42" i="25"/>
  <c r="AN48" i="25" s="1"/>
  <c r="AN54" i="25" s="1"/>
  <c r="AN60" i="25" s="1"/>
  <c r="AN74" i="25"/>
  <c r="AN80" i="25" s="1"/>
  <c r="AN86" i="25" s="1"/>
  <c r="AN92" i="25" s="1"/>
  <c r="AN7" i="25"/>
  <c r="AN13" i="25" s="1"/>
  <c r="AN19" i="25" s="1"/>
  <c r="AN25" i="25" s="1"/>
  <c r="AN98" i="18"/>
  <c r="AN104" i="18" s="1"/>
  <c r="AN110" i="18" s="1"/>
  <c r="AN116" i="18" s="1"/>
  <c r="AN30" i="18"/>
  <c r="AN37" i="18" s="1"/>
  <c r="AN45" i="18" s="1"/>
  <c r="AN9" i="25"/>
  <c r="AN15" i="25" s="1"/>
  <c r="AN21" i="25" s="1"/>
  <c r="AN27" i="25" s="1"/>
  <c r="AN103" i="18"/>
  <c r="AN109" i="18" s="1"/>
  <c r="AN115" i="18" s="1"/>
  <c r="AN121" i="18" s="1"/>
  <c r="AN71" i="25"/>
  <c r="AN77" i="25" s="1"/>
  <c r="AN83" i="25" s="1"/>
  <c r="AN89" i="25" s="1"/>
  <c r="AN138" i="25"/>
  <c r="AN144" i="25" s="1"/>
  <c r="AN150" i="25" s="1"/>
  <c r="AN156" i="25" s="1"/>
  <c r="AN172" i="25"/>
  <c r="AN178" i="25" s="1"/>
  <c r="AN184" i="25" s="1"/>
  <c r="AN190" i="25" s="1"/>
  <c r="AN106" i="25"/>
  <c r="AN112" i="25" s="1"/>
  <c r="AN118" i="25" s="1"/>
  <c r="AN124" i="25" s="1"/>
  <c r="AN175" i="25"/>
  <c r="AN181" i="25" s="1"/>
  <c r="AN187" i="25" s="1"/>
  <c r="AN193" i="25" s="1"/>
  <c r="AN170" i="25"/>
  <c r="AN176" i="25" s="1"/>
  <c r="AN182" i="25" s="1"/>
  <c r="AN188" i="25" s="1"/>
  <c r="AN203" i="25"/>
  <c r="AN209" i="25" s="1"/>
  <c r="AN215" i="25" s="1"/>
  <c r="AN221" i="25" s="1"/>
  <c r="AN29" i="18"/>
  <c r="AN36" i="18" s="1"/>
  <c r="AN44" i="18" s="1"/>
  <c r="AN135" i="18"/>
  <c r="AN141" i="18" s="1"/>
  <c r="AN147" i="18" s="1"/>
  <c r="AN153" i="18" s="1"/>
  <c r="AN67" i="18"/>
  <c r="AN73" i="18" s="1"/>
  <c r="AN79" i="18" s="1"/>
  <c r="AN85" i="18" s="1"/>
  <c r="AN141" i="25"/>
  <c r="AN147" i="25" s="1"/>
  <c r="AN153" i="25" s="1"/>
  <c r="AN159" i="25" s="1"/>
  <c r="AN140" i="25"/>
  <c r="AN146" i="25" s="1"/>
  <c r="AN152" i="25" s="1"/>
  <c r="AN158" i="25" s="1"/>
  <c r="AN66" i="18"/>
  <c r="AN72" i="18" s="1"/>
  <c r="AN78" i="18" s="1"/>
  <c r="AN84" i="18" s="1"/>
  <c r="AN8" i="25"/>
  <c r="AN14" i="25" s="1"/>
  <c r="AN20" i="25" s="1"/>
  <c r="AN26" i="25" s="1"/>
  <c r="AN207" i="25"/>
  <c r="AN213" i="25" s="1"/>
  <c r="AN219" i="25" s="1"/>
  <c r="AN225" i="25" s="1"/>
  <c r="AN208" i="25"/>
  <c r="AN214" i="25" s="1"/>
  <c r="AN220" i="25" s="1"/>
  <c r="AN226" i="25" s="1"/>
  <c r="AN65" i="18"/>
  <c r="AN71" i="18" s="1"/>
  <c r="AN77" i="18" s="1"/>
  <c r="AN83" i="18" s="1"/>
  <c r="AN63" i="18"/>
  <c r="AN69" i="18" s="1"/>
  <c r="AN75" i="18" s="1"/>
  <c r="AN81" i="18" s="1"/>
  <c r="AN39" i="25"/>
  <c r="AN45" i="25" s="1"/>
  <c r="AN51" i="25" s="1"/>
  <c r="AN57" i="25" s="1"/>
  <c r="AN100" i="18"/>
  <c r="AN106" i="18" s="1"/>
  <c r="AN112" i="18" s="1"/>
  <c r="AN118" i="18" s="1"/>
  <c r="AN109" i="25"/>
  <c r="AN115" i="25" s="1"/>
  <c r="AN121" i="25" s="1"/>
  <c r="AN127" i="25" s="1"/>
  <c r="AN204" i="25"/>
  <c r="AN210" i="25" s="1"/>
  <c r="AN216" i="25" s="1"/>
  <c r="AN222" i="25" s="1"/>
  <c r="AN206" i="25"/>
  <c r="AN212" i="25" s="1"/>
  <c r="AN218" i="25" s="1"/>
  <c r="AN224" i="25" s="1"/>
  <c r="AN107" i="25"/>
  <c r="AN113" i="25" s="1"/>
  <c r="AN119" i="25" s="1"/>
  <c r="AN125" i="25" s="1"/>
  <c r="AN64" i="18"/>
  <c r="AN70" i="18" s="1"/>
  <c r="AN76" i="18" s="1"/>
  <c r="AN82" i="18" s="1"/>
  <c r="AN75" i="25"/>
  <c r="AN81" i="25" s="1"/>
  <c r="AN87" i="25" s="1"/>
  <c r="AN93" i="25" s="1"/>
  <c r="AN76" i="25"/>
  <c r="AN82" i="25" s="1"/>
  <c r="AN88" i="25" s="1"/>
  <c r="AN94" i="25" s="1"/>
  <c r="AN5" i="25"/>
  <c r="AN11" i="25" s="1"/>
  <c r="AN17" i="25" s="1"/>
  <c r="AN23" i="25" s="1"/>
  <c r="AN105" i="25"/>
  <c r="AN111" i="25" s="1"/>
  <c r="AN117" i="25" s="1"/>
  <c r="AN123" i="25" s="1"/>
  <c r="AN137" i="25"/>
  <c r="AN143" i="25" s="1"/>
  <c r="AN149" i="25" s="1"/>
  <c r="AN155" i="25" s="1"/>
  <c r="AN102" i="18"/>
  <c r="AN108" i="18" s="1"/>
  <c r="AN114" i="18" s="1"/>
  <c r="AN120" i="18" s="1"/>
  <c r="AN136" i="18"/>
  <c r="AN142" i="18" s="1"/>
  <c r="AN148" i="18" s="1"/>
  <c r="AN154" i="18" s="1"/>
  <c r="AN99" i="18"/>
  <c r="AN105" i="18" s="1"/>
  <c r="AN111" i="18" s="1"/>
  <c r="AN117" i="18" s="1"/>
  <c r="AN40" i="25"/>
  <c r="AN46" i="25" s="1"/>
  <c r="AN52" i="25" s="1"/>
  <c r="AN58" i="25" s="1"/>
  <c r="AN205" i="25"/>
  <c r="AN211" i="25" s="1"/>
  <c r="AN217" i="25" s="1"/>
  <c r="AN223" i="25" s="1"/>
  <c r="AN174" i="25"/>
  <c r="AN180" i="25" s="1"/>
  <c r="AN186" i="25" s="1"/>
  <c r="AN192" i="25" s="1"/>
  <c r="AN72" i="25"/>
  <c r="AN78" i="25" s="1"/>
  <c r="AN84" i="25" s="1"/>
  <c r="AN90" i="25" s="1"/>
  <c r="AN10" i="25"/>
  <c r="AN16" i="25" s="1"/>
  <c r="AN22" i="25" s="1"/>
  <c r="AN28" i="25" s="1"/>
  <c r="AN139" i="18"/>
  <c r="AN145" i="18" s="1"/>
  <c r="AN151" i="18" s="1"/>
  <c r="AN157" i="18" s="1"/>
  <c r="AN31" i="18"/>
  <c r="AN38" i="18" s="1"/>
  <c r="AN39" i="18" s="1"/>
  <c r="AN73" i="25"/>
  <c r="AN79" i="25" s="1"/>
  <c r="AN85" i="25" s="1"/>
  <c r="AN91" i="25" s="1"/>
  <c r="AN41" i="25"/>
  <c r="AN47" i="25" s="1"/>
  <c r="AN53" i="25" s="1"/>
  <c r="AN59" i="25" s="1"/>
  <c r="AN139" i="25"/>
  <c r="AN145" i="25" s="1"/>
  <c r="AN151" i="25" s="1"/>
  <c r="AN157" i="25" s="1"/>
  <c r="AN137" i="18"/>
  <c r="AN143" i="18" s="1"/>
  <c r="AN149" i="18" s="1"/>
  <c r="AN155" i="18" s="1"/>
  <c r="AN25" i="18"/>
  <c r="AN32" i="18" s="1"/>
  <c r="AN40" i="18" s="1"/>
  <c r="AN38" i="25"/>
  <c r="AN44" i="25" s="1"/>
  <c r="AN50" i="25" s="1"/>
  <c r="AN56" i="25" s="1"/>
  <c r="AN134" i="18"/>
  <c r="AN140" i="18" s="1"/>
  <c r="AN146" i="18" s="1"/>
  <c r="AN152" i="18" s="1"/>
  <c r="AN104" i="25"/>
  <c r="AN110" i="25" s="1"/>
  <c r="AN116" i="25" s="1"/>
  <c r="AN122" i="25" s="1"/>
  <c r="AN173" i="25"/>
  <c r="AN179" i="25" s="1"/>
  <c r="AN185" i="25" s="1"/>
  <c r="AN191" i="25" s="1"/>
  <c r="AN108" i="25"/>
  <c r="AN114" i="25" s="1"/>
  <c r="AN120" i="25" s="1"/>
  <c r="AN126" i="25" s="1"/>
  <c r="AN27" i="18"/>
  <c r="AN34" i="18" s="1"/>
  <c r="AN42" i="18" s="1"/>
  <c r="AI58" i="28"/>
  <c r="AI185" i="28"/>
  <c r="F31" i="19"/>
  <c r="F38" i="19" s="1"/>
  <c r="F46" i="19" s="1"/>
  <c r="F42" i="26"/>
  <c r="F48" i="26" s="1"/>
  <c r="F54" i="26" s="1"/>
  <c r="F60" i="26" s="1"/>
  <c r="F137" i="26"/>
  <c r="F143" i="26" s="1"/>
  <c r="F149" i="26" s="1"/>
  <c r="F155" i="26" s="1"/>
  <c r="AK39" i="28"/>
  <c r="AK166" i="28"/>
  <c r="AC98" i="53"/>
  <c r="AC101" i="53" s="1"/>
  <c r="AC123" i="11"/>
  <c r="AJ31" i="11"/>
  <c r="AM31" i="11" s="1"/>
  <c r="AO68" i="33"/>
  <c r="AO6" i="33" s="1"/>
  <c r="AO24" i="33" s="1"/>
  <c r="AO42" i="33" s="1"/>
  <c r="AK17" i="18"/>
  <c r="AK11" i="18"/>
  <c r="AK5" i="18"/>
  <c r="AK14" i="18"/>
  <c r="AA107" i="59"/>
  <c r="AA170" i="59" s="1"/>
  <c r="AA45" i="59"/>
  <c r="AA168" i="59"/>
  <c r="P4" i="19"/>
  <c r="AV15" i="5"/>
  <c r="P17" i="52" s="1"/>
  <c r="H129" i="20"/>
  <c r="T172" i="26"/>
  <c r="T178" i="26" s="1"/>
  <c r="T184" i="26" s="1"/>
  <c r="T190" i="26" s="1"/>
  <c r="Y74" i="33"/>
  <c r="Y12" i="33" s="1"/>
  <c r="Y30" i="33" s="1"/>
  <c r="Y48" i="33" s="1"/>
  <c r="S129" i="11"/>
  <c r="AF138" i="25"/>
  <c r="AF144" i="25" s="1"/>
  <c r="AF150" i="25" s="1"/>
  <c r="AF156" i="25" s="1"/>
  <c r="AF28" i="18"/>
  <c r="AF35" i="18" s="1"/>
  <c r="AF43" i="18" s="1"/>
  <c r="AF46" i="18" s="1"/>
  <c r="AF53" i="18" s="1"/>
  <c r="F93" i="20"/>
  <c r="AN148" i="20"/>
  <c r="AN154" i="20" s="1"/>
  <c r="U88" i="18"/>
  <c r="T65" i="19"/>
  <c r="T71" i="19" s="1"/>
  <c r="AJ141" i="11"/>
  <c r="AO110" i="50"/>
  <c r="AO89" i="50"/>
  <c r="T175" i="59"/>
  <c r="T52" i="59"/>
  <c r="AL40" i="28"/>
  <c r="AA216" i="27"/>
  <c r="AG47" i="32"/>
  <c r="T17" i="19"/>
  <c r="T146" i="19" s="1"/>
  <c r="T152" i="19" s="1"/>
  <c r="AE142" i="11"/>
  <c r="Z65" i="18"/>
  <c r="Z71" i="18" s="1"/>
  <c r="Z77" i="18" s="1"/>
  <c r="Z83" i="18" s="1"/>
  <c r="Z38" i="25"/>
  <c r="Z44" i="25" s="1"/>
  <c r="Z50" i="25" s="1"/>
  <c r="Z56" i="25" s="1"/>
  <c r="E141" i="28"/>
  <c r="AD195" i="25"/>
  <c r="AD162" i="25"/>
  <c r="AD96" i="25"/>
  <c r="AD129" i="25"/>
  <c r="AD63" i="25"/>
  <c r="AD30" i="25"/>
  <c r="AD228" i="25"/>
  <c r="J106" i="25"/>
  <c r="J112" i="25" s="1"/>
  <c r="J118" i="25" s="1"/>
  <c r="J66" i="18"/>
  <c r="J72" i="18" s="1"/>
  <c r="J78" i="18" s="1"/>
  <c r="J84" i="18" s="1"/>
  <c r="J38" i="25"/>
  <c r="J44" i="25" s="1"/>
  <c r="J50" i="25" s="1"/>
  <c r="J56" i="25" s="1"/>
  <c r="AC5" i="19"/>
  <c r="AC8" i="19"/>
  <c r="AC7" i="19"/>
  <c r="AB75" i="52"/>
  <c r="AE22" i="32"/>
  <c r="AB52" i="18"/>
  <c r="AB127" i="18" s="1"/>
  <c r="AE13" i="32"/>
  <c r="AE60" i="32"/>
  <c r="AE41" i="32"/>
  <c r="AE31" i="32"/>
  <c r="AE50" i="32"/>
  <c r="AE34" i="32"/>
  <c r="AE35" i="32" s="1"/>
  <c r="AG13" i="34" s="1"/>
  <c r="AE44" i="32"/>
  <c r="AG12" i="34" s="1"/>
  <c r="AI163" i="59"/>
  <c r="AI40" i="59"/>
  <c r="AL4" i="59"/>
  <c r="AL31" i="59" s="1"/>
  <c r="AL94" i="59"/>
  <c r="AI54" i="28"/>
  <c r="I86" i="18"/>
  <c r="I125" i="18"/>
  <c r="AI41" i="59"/>
  <c r="AI164" i="59"/>
  <c r="AA150" i="27"/>
  <c r="V98" i="53"/>
  <c r="V101" i="53" s="1"/>
  <c r="AO83" i="33"/>
  <c r="AO21" i="33" s="1"/>
  <c r="AO39" i="33" s="1"/>
  <c r="AO57" i="33" s="1"/>
  <c r="AC138" i="11"/>
  <c r="P27" i="18"/>
  <c r="P34" i="18" s="1"/>
  <c r="P42" i="18" s="1"/>
  <c r="Z15" i="11"/>
  <c r="T15" i="11"/>
  <c r="AF15" i="11"/>
  <c r="W15" i="11"/>
  <c r="Q15" i="11"/>
  <c r="AC15" i="11"/>
  <c r="T174" i="26"/>
  <c r="T180" i="26" s="1"/>
  <c r="T186" i="26" s="1"/>
  <c r="T192" i="26" s="1"/>
  <c r="Y71" i="33"/>
  <c r="Y9" i="33" s="1"/>
  <c r="Y27" i="33" s="1"/>
  <c r="Y45" i="33" s="1"/>
  <c r="S126" i="11"/>
  <c r="AF91" i="18"/>
  <c r="F165" i="20"/>
  <c r="AN149" i="27"/>
  <c r="AN155" i="27" s="1"/>
  <c r="U70" i="52"/>
  <c r="X17" i="32"/>
  <c r="X36" i="32"/>
  <c r="X8" i="32"/>
  <c r="X45" i="32"/>
  <c r="U47" i="18"/>
  <c r="U46" i="18"/>
  <c r="U53" i="18" s="1"/>
  <c r="X26" i="32"/>
  <c r="X55" i="32"/>
  <c r="X64" i="32"/>
  <c r="AJ105" i="59"/>
  <c r="AJ42" i="59" s="1"/>
  <c r="AJ43" i="59"/>
  <c r="T38" i="26"/>
  <c r="T44" i="26" s="1"/>
  <c r="T50" i="26" s="1"/>
  <c r="T56" i="26" s="1"/>
  <c r="AD125" i="18"/>
  <c r="AO4" i="50"/>
  <c r="AO105" i="50"/>
  <c r="AL42" i="28"/>
  <c r="AQ25" i="5"/>
  <c r="AG66" i="32"/>
  <c r="AL4" i="50"/>
  <c r="AL105" i="50"/>
  <c r="G141" i="11"/>
  <c r="AM170" i="59"/>
  <c r="AM47" i="59"/>
  <c r="Y83" i="52"/>
  <c r="AB192" i="32"/>
  <c r="AB145" i="32"/>
  <c r="AB201" i="32"/>
  <c r="Y49" i="20"/>
  <c r="AB173" i="32"/>
  <c r="AB154" i="32"/>
  <c r="AB182" i="32"/>
  <c r="AB163" i="32"/>
  <c r="Z101" i="18"/>
  <c r="Z107" i="18" s="1"/>
  <c r="Z113" i="18" s="1"/>
  <c r="Z119" i="18" s="1"/>
  <c r="Z109" i="25"/>
  <c r="Z115" i="25" s="1"/>
  <c r="Z121" i="25" s="1"/>
  <c r="Z39" i="25"/>
  <c r="Z45" i="25" s="1"/>
  <c r="Z51" i="25" s="1"/>
  <c r="Z57" i="25" s="1"/>
  <c r="J28" i="18"/>
  <c r="J35" i="18" s="1"/>
  <c r="J43" i="18" s="1"/>
  <c r="J42" i="25"/>
  <c r="J48" i="25" s="1"/>
  <c r="J54" i="25" s="1"/>
  <c r="J60" i="25" s="1"/>
  <c r="AN40" i="28"/>
  <c r="Q34" i="11"/>
  <c r="T34" i="11"/>
  <c r="AF34" i="11"/>
  <c r="Z34" i="11"/>
  <c r="AC34" i="11"/>
  <c r="W34" i="11"/>
  <c r="AB71" i="52"/>
  <c r="AE65" i="32"/>
  <c r="AE9" i="32"/>
  <c r="AE37" i="32"/>
  <c r="AB48" i="18"/>
  <c r="AE46" i="32"/>
  <c r="AE56" i="32"/>
  <c r="AE18" i="32"/>
  <c r="AG162" i="18"/>
  <c r="AC6" i="20"/>
  <c r="AC12" i="20"/>
  <c r="AC15" i="20"/>
  <c r="AC18" i="20"/>
  <c r="L66" i="32"/>
  <c r="L28" i="32"/>
  <c r="L38" i="32"/>
  <c r="L47" i="32"/>
  <c r="L10" i="32"/>
  <c r="I72" i="52"/>
  <c r="I49" i="18"/>
  <c r="L57" i="32"/>
  <c r="L19" i="32"/>
  <c r="AA39" i="59"/>
  <c r="AA162" i="59"/>
  <c r="AN57" i="28"/>
  <c r="F8" i="26"/>
  <c r="F14" i="26" s="1"/>
  <c r="F20" i="26" s="1"/>
  <c r="F26" i="26" s="1"/>
  <c r="F170" i="26"/>
  <c r="F176" i="26" s="1"/>
  <c r="F182" i="26" s="1"/>
  <c r="F188" i="26" s="1"/>
  <c r="F62" i="19"/>
  <c r="F68" i="19" s="1"/>
  <c r="F74" i="19" s="1"/>
  <c r="F80" i="19" s="1"/>
  <c r="AL13" i="20"/>
  <c r="AO198" i="32" s="1"/>
  <c r="AL23" i="20"/>
  <c r="AC129" i="11"/>
  <c r="AO74" i="33"/>
  <c r="AO12" i="33" s="1"/>
  <c r="AO30" i="33" s="1"/>
  <c r="AO48" i="33" s="1"/>
  <c r="P40" i="25"/>
  <c r="P46" i="25" s="1"/>
  <c r="P52" i="25" s="1"/>
  <c r="P58" i="25" s="1"/>
  <c r="AI89" i="20"/>
  <c r="T8" i="26"/>
  <c r="T14" i="26" s="1"/>
  <c r="S132" i="11"/>
  <c r="Y77" i="33"/>
  <c r="Y15" i="33" s="1"/>
  <c r="Y33" i="33" s="1"/>
  <c r="Y51" i="33" s="1"/>
  <c r="AF129" i="18"/>
  <c r="O43" i="32"/>
  <c r="L128" i="18"/>
  <c r="L130" i="18" s="1"/>
  <c r="L15" i="18"/>
  <c r="L107" i="25" s="1"/>
  <c r="L113" i="25" s="1"/>
  <c r="L119" i="25" s="1"/>
  <c r="L125" i="25" s="1"/>
  <c r="L98" i="18"/>
  <c r="L104" i="18" s="1"/>
  <c r="L110" i="18" s="1"/>
  <c r="L116" i="18" s="1"/>
  <c r="L100" i="18"/>
  <c r="L106" i="18" s="1"/>
  <c r="L112" i="18" s="1"/>
  <c r="L118" i="18" s="1"/>
  <c r="L204" i="25"/>
  <c r="L210" i="25" s="1"/>
  <c r="L216" i="25" s="1"/>
  <c r="L222" i="25" s="1"/>
  <c r="L141" i="25"/>
  <c r="L147" i="25" s="1"/>
  <c r="L153" i="25" s="1"/>
  <c r="L159" i="25" s="1"/>
  <c r="L42" i="25"/>
  <c r="L48" i="25" s="1"/>
  <c r="L54" i="25" s="1"/>
  <c r="L60" i="25" s="1"/>
  <c r="L164" i="18"/>
  <c r="L166" i="18" s="1"/>
  <c r="L62" i="18"/>
  <c r="L68" i="18" s="1"/>
  <c r="L74" i="18" s="1"/>
  <c r="L80" i="18" s="1"/>
  <c r="L101" i="18"/>
  <c r="L107" i="18" s="1"/>
  <c r="L113" i="18" s="1"/>
  <c r="L119" i="18" s="1"/>
  <c r="L25" i="18"/>
  <c r="L32" i="18" s="1"/>
  <c r="L40" i="18" s="1"/>
  <c r="AN123" i="53"/>
  <c r="AN93" i="53"/>
  <c r="AO55" i="50"/>
  <c r="AO108" i="50"/>
  <c r="T43" i="59"/>
  <c r="T105" i="59"/>
  <c r="T42" i="59" s="1"/>
  <c r="L142" i="11"/>
  <c r="W129" i="18"/>
  <c r="AI142" i="11"/>
  <c r="AJ29" i="27"/>
  <c r="AJ227" i="27"/>
  <c r="AJ161" i="27"/>
  <c r="AJ128" i="27"/>
  <c r="AJ95" i="27"/>
  <c r="AJ62" i="27"/>
  <c r="AJ194" i="27"/>
  <c r="Z127" i="18"/>
  <c r="AC34" i="32"/>
  <c r="AC35" i="32" s="1"/>
  <c r="AE13" i="34" s="1"/>
  <c r="AC44" i="32"/>
  <c r="AE12" i="34" s="1"/>
  <c r="AF161" i="32"/>
  <c r="AH18" i="34" s="1"/>
  <c r="AH32" i="34" s="1"/>
  <c r="AF142" i="32"/>
  <c r="AF143" i="32" s="1"/>
  <c r="AH16" i="34" s="1"/>
  <c r="AH30" i="34" s="1"/>
  <c r="AF151" i="32"/>
  <c r="AF152" i="32" s="1"/>
  <c r="AH17" i="34" s="1"/>
  <c r="AH31" i="34" s="1"/>
  <c r="J75" i="52"/>
  <c r="M13" i="32"/>
  <c r="M69" i="32"/>
  <c r="M50" i="32"/>
  <c r="J52" i="18"/>
  <c r="M31" i="32"/>
  <c r="M22" i="32"/>
  <c r="M41" i="32"/>
  <c r="F123" i="20"/>
  <c r="AP142" i="11"/>
  <c r="AD87" i="18"/>
  <c r="AN151" i="27"/>
  <c r="AN157" i="27" s="1"/>
  <c r="AG124" i="18"/>
  <c r="AK107" i="59"/>
  <c r="AK45" i="59"/>
  <c r="AL160" i="59"/>
  <c r="AL99" i="59"/>
  <c r="AL37" i="59"/>
  <c r="T177" i="59"/>
  <c r="T54" i="59"/>
  <c r="T116" i="59"/>
  <c r="F140" i="26"/>
  <c r="F146" i="26" s="1"/>
  <c r="F152" i="26" s="1"/>
  <c r="F158" i="26" s="1"/>
  <c r="F171" i="26"/>
  <c r="F177" i="26" s="1"/>
  <c r="F183" i="26" s="1"/>
  <c r="F189" i="26" s="1"/>
  <c r="AO179" i="32"/>
  <c r="AL39" i="27"/>
  <c r="AL45" i="27" s="1"/>
  <c r="AL128" i="20"/>
  <c r="AL130" i="20" s="1"/>
  <c r="AL16" i="20"/>
  <c r="AL204" i="27" s="1"/>
  <c r="AL210" i="27" s="1"/>
  <c r="AL216" i="27" s="1"/>
  <c r="AL222" i="27" s="1"/>
  <c r="AL41" i="27"/>
  <c r="AL47" i="27" s="1"/>
  <c r="AL72" i="27"/>
  <c r="AL78" i="27" s="1"/>
  <c r="AL137" i="27"/>
  <c r="AL143" i="27" s="1"/>
  <c r="AL149" i="27" s="1"/>
  <c r="AL155" i="27" s="1"/>
  <c r="AL173" i="27"/>
  <c r="AL179" i="27" s="1"/>
  <c r="AL43" i="27"/>
  <c r="AL49" i="27" s="1"/>
  <c r="AL140" i="27"/>
  <c r="AL146" i="27" s="1"/>
  <c r="AL152" i="27" s="1"/>
  <c r="AL158" i="27" s="1"/>
  <c r="AL142" i="27"/>
  <c r="AL148" i="27" s="1"/>
  <c r="AL104" i="27"/>
  <c r="AL110" i="27" s="1"/>
  <c r="AL207" i="27"/>
  <c r="AL213" i="27" s="1"/>
  <c r="AL134" i="20"/>
  <c r="AL140" i="20" s="1"/>
  <c r="AL7" i="27"/>
  <c r="AL13" i="27" s="1"/>
  <c r="AL19" i="27" s="1"/>
  <c r="AL25" i="27" s="1"/>
  <c r="AL63" i="20"/>
  <c r="AL69" i="20" s="1"/>
  <c r="AL62" i="20"/>
  <c r="AL68" i="20" s="1"/>
  <c r="AL67" i="20"/>
  <c r="AL73" i="20" s="1"/>
  <c r="AL17" i="20"/>
  <c r="AL19" i="20" s="1"/>
  <c r="AL6" i="27"/>
  <c r="AL12" i="27" s="1"/>
  <c r="AL98" i="20"/>
  <c r="AL104" i="20" s="1"/>
  <c r="AL135" i="20"/>
  <c r="AL141" i="20" s="1"/>
  <c r="AL147" i="20" s="1"/>
  <c r="AL153" i="20" s="1"/>
  <c r="AL107" i="27"/>
  <c r="AL113" i="27" s="1"/>
  <c r="AL136" i="20"/>
  <c r="AL142" i="20" s="1"/>
  <c r="AL38" i="27"/>
  <c r="AL44" i="27" s="1"/>
  <c r="AL71" i="27"/>
  <c r="AL77" i="27" s="1"/>
  <c r="AL141" i="27"/>
  <c r="AL147" i="27" s="1"/>
  <c r="AL153" i="27" s="1"/>
  <c r="AL159" i="27" s="1"/>
  <c r="AL171" i="27"/>
  <c r="AL177" i="27" s="1"/>
  <c r="AL175" i="27"/>
  <c r="AL181" i="27" s="1"/>
  <c r="AL203" i="27"/>
  <c r="AL209" i="27" s="1"/>
  <c r="AL26" i="20"/>
  <c r="AL33" i="20" s="1"/>
  <c r="AL41" i="20" s="1"/>
  <c r="AL139" i="20"/>
  <c r="AL145" i="20" s="1"/>
  <c r="AL66" i="20"/>
  <c r="AL72" i="20" s="1"/>
  <c r="AL109" i="27"/>
  <c r="AL115" i="27" s="1"/>
  <c r="AL121" i="27" s="1"/>
  <c r="AL127" i="27" s="1"/>
  <c r="AL31" i="20"/>
  <c r="AL38" i="20" s="1"/>
  <c r="AL101" i="20"/>
  <c r="AL107" i="20" s="1"/>
  <c r="AL172" i="27"/>
  <c r="AL178" i="27" s="1"/>
  <c r="AL102" i="20"/>
  <c r="AL108" i="20" s="1"/>
  <c r="AL170" i="27"/>
  <c r="AL176" i="27" s="1"/>
  <c r="AL182" i="27" s="1"/>
  <c r="AL188" i="27" s="1"/>
  <c r="P141" i="11"/>
  <c r="AC135" i="11"/>
  <c r="AO80" i="33"/>
  <c r="AO18" i="33" s="1"/>
  <c r="AO36" i="33" s="1"/>
  <c r="AO54" i="33" s="1"/>
  <c r="T47" i="28"/>
  <c r="AM180" i="59"/>
  <c r="AM57" i="59"/>
  <c r="K142" i="32"/>
  <c r="K143" i="32" s="1"/>
  <c r="J16" i="34" s="1"/>
  <c r="J30" i="34" s="1"/>
  <c r="K151" i="32"/>
  <c r="K152" i="32" s="1"/>
  <c r="J17" i="34" s="1"/>
  <c r="J31" i="34" s="1"/>
  <c r="K161" i="32"/>
  <c r="J18" i="34" s="1"/>
  <c r="J32" i="34" s="1"/>
  <c r="T31" i="19"/>
  <c r="T38" i="19" s="1"/>
  <c r="T46" i="19" s="1"/>
  <c r="Y80" i="33"/>
  <c r="Y18" i="33" s="1"/>
  <c r="Y36" i="33" s="1"/>
  <c r="Y54" i="33" s="1"/>
  <c r="S135" i="11"/>
  <c r="M12" i="18"/>
  <c r="M22" i="18"/>
  <c r="AM159" i="18"/>
  <c r="X22" i="32"/>
  <c r="X50" i="32"/>
  <c r="X69" i="32"/>
  <c r="X41" i="32"/>
  <c r="X31" i="32"/>
  <c r="X13" i="32"/>
  <c r="X60" i="32"/>
  <c r="U52" i="18"/>
  <c r="U163" i="18" s="1"/>
  <c r="U75" i="52"/>
  <c r="AL49" i="28"/>
  <c r="G120" i="28"/>
  <c r="G183" i="28" s="1"/>
  <c r="G56" i="28"/>
  <c r="AF92" i="19"/>
  <c r="AF94" i="19" s="1"/>
  <c r="AI92" i="32"/>
  <c r="AK25" i="5"/>
  <c r="G129" i="18"/>
  <c r="AL38" i="50"/>
  <c r="AL107" i="50"/>
  <c r="T66" i="19"/>
  <c r="T72" i="19" s="1"/>
  <c r="AK179" i="59"/>
  <c r="AK56" i="59"/>
  <c r="AN43" i="20"/>
  <c r="AG90" i="18"/>
  <c r="AI49" i="28"/>
  <c r="AA47" i="28"/>
  <c r="AH228" i="25"/>
  <c r="AH162" i="25"/>
  <c r="AH129" i="25"/>
  <c r="AH63" i="25"/>
  <c r="AH195" i="25"/>
  <c r="AH96" i="25"/>
  <c r="AH30" i="25"/>
  <c r="I89" i="18"/>
  <c r="I160" i="18"/>
  <c r="AK15" i="20"/>
  <c r="AK18" i="20"/>
  <c r="AK6" i="20"/>
  <c r="AK12" i="20"/>
  <c r="L108" i="53"/>
  <c r="L111" i="53" s="1"/>
  <c r="A152" i="53"/>
  <c r="O108" i="53"/>
  <c r="O111" i="53" s="1"/>
  <c r="AA108" i="53"/>
  <c r="AA111" i="53" s="1"/>
  <c r="F108" i="53"/>
  <c r="F111" i="53" s="1"/>
  <c r="M108" i="53"/>
  <c r="M111" i="53" s="1"/>
  <c r="N108" i="53"/>
  <c r="N111" i="53" s="1"/>
  <c r="AH108" i="53"/>
  <c r="AH111" i="53" s="1"/>
  <c r="AJ108" i="53"/>
  <c r="AJ111" i="53" s="1"/>
  <c r="AG108" i="53"/>
  <c r="AG111" i="53" s="1"/>
  <c r="T108" i="53"/>
  <c r="T111" i="53" s="1"/>
  <c r="K108" i="53"/>
  <c r="K111" i="53" s="1"/>
  <c r="AF108" i="53"/>
  <c r="AF111" i="53" s="1"/>
  <c r="AD108" i="53"/>
  <c r="AD111" i="53" s="1"/>
  <c r="AB108" i="53"/>
  <c r="AB111" i="53" s="1"/>
  <c r="G108" i="53"/>
  <c r="G111" i="53" s="1"/>
  <c r="AI108" i="53"/>
  <c r="AI111" i="53" s="1"/>
  <c r="H108" i="53"/>
  <c r="H111" i="53" s="1"/>
  <c r="X108" i="53"/>
  <c r="X111" i="53" s="1"/>
  <c r="Z108" i="53"/>
  <c r="Z111" i="53" s="1"/>
  <c r="J108" i="53"/>
  <c r="J111" i="53" s="1"/>
  <c r="U108" i="53"/>
  <c r="U111" i="53" s="1"/>
  <c r="S108" i="53"/>
  <c r="S111" i="53" s="1"/>
  <c r="Q108" i="53"/>
  <c r="Q111" i="53" s="1"/>
  <c r="AE108" i="53"/>
  <c r="AE111" i="53" s="1"/>
  <c r="Y108" i="53"/>
  <c r="Y111" i="53" s="1"/>
  <c r="P108" i="53"/>
  <c r="P111" i="53" s="1"/>
  <c r="W108" i="53"/>
  <c r="W111" i="53" s="1"/>
  <c r="R108" i="53"/>
  <c r="R111" i="53" s="1"/>
  <c r="AN108" i="53"/>
  <c r="AN111" i="53" s="1"/>
  <c r="AL108" i="53"/>
  <c r="AL111" i="53" s="1"/>
  <c r="V108" i="53"/>
  <c r="V111" i="53" s="1"/>
  <c r="AP108" i="53"/>
  <c r="AP111" i="53" s="1"/>
  <c r="AO108" i="53"/>
  <c r="AO111" i="53" s="1"/>
  <c r="AK108" i="53"/>
  <c r="AK111" i="53" s="1"/>
  <c r="I108" i="53"/>
  <c r="I111" i="53" s="1"/>
  <c r="AC108" i="53"/>
  <c r="AC111" i="53" s="1"/>
  <c r="AM108" i="53"/>
  <c r="AM111" i="53" s="1"/>
  <c r="AI47" i="59"/>
  <c r="AA17" i="27"/>
  <c r="AH53" i="32"/>
  <c r="AH54" i="32" s="1"/>
  <c r="AK15" i="34" s="1"/>
  <c r="AH63" i="32"/>
  <c r="AK14" i="34" s="1"/>
  <c r="H93" i="20"/>
  <c r="T105" i="26"/>
  <c r="T111" i="26" s="1"/>
  <c r="T117" i="26" s="1"/>
  <c r="T123" i="26" s="1"/>
  <c r="S123" i="11"/>
  <c r="Y68" i="33"/>
  <c r="Y6" i="33" s="1"/>
  <c r="Y24" i="33" s="1"/>
  <c r="Y42" i="33" s="1"/>
  <c r="AJ15" i="11"/>
  <c r="AM15" i="11" s="1"/>
  <c r="AF90" i="18"/>
  <c r="AN83" i="27"/>
  <c r="AN89" i="27" s="1"/>
  <c r="P43" i="32"/>
  <c r="M15" i="18"/>
  <c r="M172" i="25" s="1"/>
  <c r="M178" i="25" s="1"/>
  <c r="M184" i="25" s="1"/>
  <c r="M190" i="25" s="1"/>
  <c r="M8" i="25"/>
  <c r="M14" i="25" s="1"/>
  <c r="M20" i="25" s="1"/>
  <c r="M26" i="25" s="1"/>
  <c r="M108" i="25"/>
  <c r="M114" i="25" s="1"/>
  <c r="M120" i="25" s="1"/>
  <c r="M126" i="25" s="1"/>
  <c r="M41" i="25"/>
  <c r="M47" i="25" s="1"/>
  <c r="M53" i="25" s="1"/>
  <c r="M59" i="25" s="1"/>
  <c r="M136" i="18"/>
  <c r="M142" i="18" s="1"/>
  <c r="M148" i="18" s="1"/>
  <c r="M154" i="18" s="1"/>
  <c r="M75" i="25"/>
  <c r="M81" i="25" s="1"/>
  <c r="M87" i="25" s="1"/>
  <c r="M93" i="25" s="1"/>
  <c r="M63" i="18"/>
  <c r="M69" i="18" s="1"/>
  <c r="M75" i="18" s="1"/>
  <c r="M81" i="18" s="1"/>
  <c r="M100" i="18"/>
  <c r="M106" i="18" s="1"/>
  <c r="M112" i="18" s="1"/>
  <c r="M118" i="18" s="1"/>
  <c r="M139" i="25"/>
  <c r="M145" i="25" s="1"/>
  <c r="M151" i="25" s="1"/>
  <c r="M157" i="25" s="1"/>
  <c r="M26" i="18"/>
  <c r="M33" i="18" s="1"/>
  <c r="M41" i="18" s="1"/>
  <c r="M104" i="25"/>
  <c r="M110" i="25" s="1"/>
  <c r="M116" i="25" s="1"/>
  <c r="M122" i="25" s="1"/>
  <c r="M66" i="18"/>
  <c r="M72" i="18" s="1"/>
  <c r="M78" i="18" s="1"/>
  <c r="M84" i="18" s="1"/>
  <c r="M5" i="25"/>
  <c r="M11" i="25" s="1"/>
  <c r="M17" i="25" s="1"/>
  <c r="M23" i="25" s="1"/>
  <c r="M30" i="18"/>
  <c r="M37" i="18" s="1"/>
  <c r="M45" i="18" s="1"/>
  <c r="M203" i="25"/>
  <c r="M209" i="25" s="1"/>
  <c r="M215" i="25" s="1"/>
  <c r="M221" i="25" s="1"/>
  <c r="M128" i="18"/>
  <c r="M130" i="18" s="1"/>
  <c r="T104" i="26"/>
  <c r="T110" i="26" s="1"/>
  <c r="X27" i="32"/>
  <c r="U71" i="52"/>
  <c r="X9" i="32"/>
  <c r="X18" i="32"/>
  <c r="X56" i="32"/>
  <c r="X46" i="32"/>
  <c r="X65" i="32"/>
  <c r="X37" i="32"/>
  <c r="U48" i="18"/>
  <c r="U74" i="52"/>
  <c r="X59" i="32"/>
  <c r="X21" i="32"/>
  <c r="X40" i="32"/>
  <c r="X12" i="32"/>
  <c r="X49" i="32"/>
  <c r="X68" i="32"/>
  <c r="U51" i="18"/>
  <c r="U90" i="18" s="1"/>
  <c r="X30" i="32"/>
  <c r="X44" i="32"/>
  <c r="W12" i="34" s="1"/>
  <c r="X34" i="32"/>
  <c r="X35" i="32" s="1"/>
  <c r="W13" i="34" s="1"/>
  <c r="T41" i="59"/>
  <c r="T164" i="59"/>
  <c r="AO106" i="50"/>
  <c r="AO21" i="50"/>
  <c r="AF12" i="19"/>
  <c r="AF6" i="19"/>
  <c r="AF18" i="19"/>
  <c r="AF15" i="19"/>
  <c r="Z25" i="11"/>
  <c r="T25" i="11"/>
  <c r="Q25" i="11"/>
  <c r="W25" i="11"/>
  <c r="AC25" i="11"/>
  <c r="AF25" i="11"/>
  <c r="AG13" i="20"/>
  <c r="AG40" i="27" s="1"/>
  <c r="AG46" i="27" s="1"/>
  <c r="AG23" i="20"/>
  <c r="M30" i="32"/>
  <c r="M49" i="32"/>
  <c r="M40" i="32"/>
  <c r="J74" i="52"/>
  <c r="J51" i="18"/>
  <c r="M21" i="32"/>
  <c r="M59" i="32"/>
  <c r="M68" i="32"/>
  <c r="M12" i="32"/>
  <c r="AB74" i="52"/>
  <c r="AE49" i="32"/>
  <c r="AE30" i="32"/>
  <c r="AB51" i="18"/>
  <c r="AB126" i="18" s="1"/>
  <c r="AE12" i="32"/>
  <c r="AE68" i="32"/>
  <c r="AE40" i="32"/>
  <c r="AE21" i="32"/>
  <c r="AE59" i="32"/>
  <c r="AB86" i="18"/>
  <c r="AG40" i="32"/>
  <c r="AD51" i="18"/>
  <c r="AD74" i="52"/>
  <c r="AG30" i="32"/>
  <c r="AG59" i="32"/>
  <c r="AG49" i="32"/>
  <c r="AG68" i="32"/>
  <c r="AG21" i="32"/>
  <c r="AG12" i="32"/>
  <c r="AG160" i="18"/>
  <c r="W97" i="28"/>
  <c r="W141" i="28"/>
  <c r="T113" i="19"/>
  <c r="T119" i="19" s="1"/>
  <c r="Y84" i="52"/>
  <c r="Y50" i="20"/>
  <c r="Y124" i="20" s="1"/>
  <c r="AB183" i="32"/>
  <c r="AB174" i="32"/>
  <c r="AB202" i="32"/>
  <c r="AB164" i="32"/>
  <c r="AB146" i="32"/>
  <c r="AB193" i="32"/>
  <c r="AB155" i="32"/>
  <c r="AK44" i="28"/>
  <c r="AK108" i="28"/>
  <c r="AK43" i="28" s="1"/>
  <c r="H74" i="32"/>
  <c r="H75" i="32" s="1"/>
  <c r="G23" i="34" s="1"/>
  <c r="G37" i="34" s="1"/>
  <c r="H83" i="32"/>
  <c r="H84" i="32" s="1"/>
  <c r="G24" i="34" s="1"/>
  <c r="G38" i="34" s="1"/>
  <c r="H93" i="32"/>
  <c r="G25" i="34" s="1"/>
  <c r="G39" i="34" s="1"/>
  <c r="AL57" i="28"/>
  <c r="AN57" i="59"/>
  <c r="AN180" i="59"/>
  <c r="T102" i="19"/>
  <c r="T108" i="19" s="1"/>
  <c r="T114" i="19" s="1"/>
  <c r="T120" i="19" s="1"/>
  <c r="S138" i="11"/>
  <c r="Y83" i="33"/>
  <c r="Y21" i="33" s="1"/>
  <c r="Y39" i="33" s="1"/>
  <c r="Y57" i="33" s="1"/>
  <c r="AF160" i="18"/>
  <c r="AF86" i="18"/>
  <c r="AN150" i="27"/>
  <c r="AN156" i="27" s="1"/>
  <c r="I129" i="18"/>
  <c r="U125" i="18"/>
  <c r="U126" i="18"/>
  <c r="AJ59" i="28"/>
  <c r="AM47" i="28"/>
  <c r="AI94" i="59"/>
  <c r="AI4" i="59"/>
  <c r="AI31" i="59" s="1"/>
  <c r="AO72" i="50"/>
  <c r="AO109" i="50"/>
  <c r="AJ159" i="20"/>
  <c r="AE25" i="11"/>
  <c r="AB25" i="11"/>
  <c r="S25" i="11"/>
  <c r="Y25" i="11"/>
  <c r="P25" i="11"/>
  <c r="V25" i="11"/>
  <c r="W30" i="11"/>
  <c r="T30" i="11"/>
  <c r="Z30" i="11"/>
  <c r="Q30" i="11"/>
  <c r="AC30" i="11"/>
  <c r="AF30" i="11"/>
  <c r="Z7" i="19"/>
  <c r="Z5" i="19"/>
  <c r="Z8" i="19"/>
  <c r="H144" i="11" l="1"/>
  <c r="Z144" i="11"/>
  <c r="AA142" i="11"/>
  <c r="J143" i="11"/>
  <c r="AJ144" i="11"/>
  <c r="L73" i="52"/>
  <c r="O39" i="32"/>
  <c r="L50" i="18"/>
  <c r="AL76" i="33"/>
  <c r="AL14" i="33" s="1"/>
  <c r="AL32" i="33" s="1"/>
  <c r="AL50" i="33" s="1"/>
  <c r="AN131" i="11"/>
  <c r="T90" i="25"/>
  <c r="W27" i="32"/>
  <c r="AL78" i="20"/>
  <c r="AL84" i="20" s="1"/>
  <c r="AL110" i="20"/>
  <c r="AL116" i="20" s="1"/>
  <c r="AL55" i="27"/>
  <c r="AL61" i="27" s="1"/>
  <c r="AK44" i="59"/>
  <c r="AK173" i="59"/>
  <c r="AK174" i="59"/>
  <c r="AK171" i="59"/>
  <c r="AK172" i="59"/>
  <c r="AK169" i="59"/>
  <c r="AK175" i="59"/>
  <c r="L106" i="25"/>
  <c r="L112" i="25" s="1"/>
  <c r="L118" i="25" s="1"/>
  <c r="L124" i="25" s="1"/>
  <c r="L74" i="25"/>
  <c r="L80" i="25" s="1"/>
  <c r="L86" i="25" s="1"/>
  <c r="L92" i="25" s="1"/>
  <c r="AC15" i="19"/>
  <c r="AC18" i="19"/>
  <c r="AC12" i="19"/>
  <c r="AC6" i="19"/>
  <c r="Z72" i="33"/>
  <c r="Z10" i="33" s="1"/>
  <c r="Z28" i="33" s="1"/>
  <c r="Z46" i="33" s="1"/>
  <c r="P127" i="11"/>
  <c r="P126" i="11"/>
  <c r="Z71" i="33"/>
  <c r="Z9" i="33" s="1"/>
  <c r="Z27" i="33" s="1"/>
  <c r="Z45" i="33" s="1"/>
  <c r="S108" i="25"/>
  <c r="S114" i="25" s="1"/>
  <c r="S120" i="25" s="1"/>
  <c r="S126" i="25" s="1"/>
  <c r="S204" i="25"/>
  <c r="S210" i="25" s="1"/>
  <c r="S216" i="25" s="1"/>
  <c r="S222" i="25" s="1"/>
  <c r="S141" i="25"/>
  <c r="S147" i="25" s="1"/>
  <c r="S153" i="25" s="1"/>
  <c r="S159" i="25" s="1"/>
  <c r="U180" i="32"/>
  <c r="T19" i="34" s="1"/>
  <c r="T33" i="34" s="1"/>
  <c r="U170" i="32"/>
  <c r="U171" i="32" s="1"/>
  <c r="T20" i="34" s="1"/>
  <c r="T34" i="34" s="1"/>
  <c r="N136" i="11"/>
  <c r="W81" i="33"/>
  <c r="W19" i="33" s="1"/>
  <c r="W37" i="33" s="1"/>
  <c r="W55" i="33" s="1"/>
  <c r="H114" i="53"/>
  <c r="H115" i="53"/>
  <c r="Y114" i="53"/>
  <c r="Y115" i="53"/>
  <c r="W29" i="3"/>
  <c r="AD29" i="3"/>
  <c r="W68" i="33"/>
  <c r="W6" i="33" s="1"/>
  <c r="W24" i="33" s="1"/>
  <c r="W42" i="33" s="1"/>
  <c r="AJ13" i="11"/>
  <c r="AM13" i="11" s="1"/>
  <c r="N123" i="11"/>
  <c r="Z193" i="25"/>
  <c r="AC60" i="32"/>
  <c r="E81" i="52"/>
  <c r="H81" i="32"/>
  <c r="E53" i="19"/>
  <c r="H118" i="32"/>
  <c r="H90" i="32"/>
  <c r="H128" i="32"/>
  <c r="H137" i="32"/>
  <c r="H99" i="32"/>
  <c r="I96" i="32"/>
  <c r="I134" i="32"/>
  <c r="F78" i="52"/>
  <c r="F50" i="19"/>
  <c r="F124" i="19" s="1"/>
  <c r="I78" i="32"/>
  <c r="I87" i="32"/>
  <c r="I125" i="32"/>
  <c r="I115" i="32"/>
  <c r="I106" i="32"/>
  <c r="AC72" i="33"/>
  <c r="AC10" i="33" s="1"/>
  <c r="AC28" i="33" s="1"/>
  <c r="AC46" i="33" s="1"/>
  <c r="T127" i="11"/>
  <c r="AM110" i="50"/>
  <c r="AM89" i="50"/>
  <c r="T161" i="59"/>
  <c r="AM67" i="20"/>
  <c r="AM73" i="20" s="1"/>
  <c r="AM42" i="27"/>
  <c r="AM48" i="27" s="1"/>
  <c r="AM54" i="27" s="1"/>
  <c r="AM60" i="27" s="1"/>
  <c r="AM138" i="27"/>
  <c r="AM144" i="27" s="1"/>
  <c r="H32" i="27"/>
  <c r="H230" i="27"/>
  <c r="H197" i="27"/>
  <c r="H164" i="27"/>
  <c r="H98" i="27"/>
  <c r="H131" i="27"/>
  <c r="H65" i="27"/>
  <c r="H89" i="20"/>
  <c r="R96" i="25"/>
  <c r="R228" i="25"/>
  <c r="R195" i="25"/>
  <c r="R162" i="25"/>
  <c r="R129" i="25"/>
  <c r="R63" i="25"/>
  <c r="R30" i="25"/>
  <c r="R123" i="18"/>
  <c r="R159" i="18"/>
  <c r="D38" i="25"/>
  <c r="D44" i="25" s="1"/>
  <c r="D50" i="25" s="1"/>
  <c r="D56" i="25" s="1"/>
  <c r="D103" i="18"/>
  <c r="D109" i="18" s="1"/>
  <c r="D115" i="18" s="1"/>
  <c r="D121" i="18" s="1"/>
  <c r="D138" i="25"/>
  <c r="D144" i="25" s="1"/>
  <c r="D150" i="25" s="1"/>
  <c r="D156" i="25" s="1"/>
  <c r="D74" i="25"/>
  <c r="D80" i="25" s="1"/>
  <c r="D86" i="25" s="1"/>
  <c r="D92" i="25" s="1"/>
  <c r="D72" i="25"/>
  <c r="D78" i="25" s="1"/>
  <c r="D84" i="25" s="1"/>
  <c r="D90" i="25" s="1"/>
  <c r="D76" i="25"/>
  <c r="D82" i="25" s="1"/>
  <c r="D88" i="25" s="1"/>
  <c r="D94" i="25" s="1"/>
  <c r="D6" i="25"/>
  <c r="D12" i="25" s="1"/>
  <c r="D18" i="25" s="1"/>
  <c r="D24" i="25" s="1"/>
  <c r="D204" i="25"/>
  <c r="D210" i="25" s="1"/>
  <c r="D216" i="25" s="1"/>
  <c r="D222" i="25" s="1"/>
  <c r="D107" i="25"/>
  <c r="D113" i="25" s="1"/>
  <c r="D119" i="25" s="1"/>
  <c r="D125" i="25" s="1"/>
  <c r="D73" i="25"/>
  <c r="D79" i="25" s="1"/>
  <c r="D85" i="25" s="1"/>
  <c r="D91" i="25" s="1"/>
  <c r="D134" i="18"/>
  <c r="D140" i="18" s="1"/>
  <c r="D146" i="18" s="1"/>
  <c r="D152" i="18" s="1"/>
  <c r="D140" i="25"/>
  <c r="D146" i="25" s="1"/>
  <c r="D152" i="25" s="1"/>
  <c r="D158" i="25" s="1"/>
  <c r="D7" i="25"/>
  <c r="D13" i="25" s="1"/>
  <c r="D19" i="25" s="1"/>
  <c r="D25" i="25" s="1"/>
  <c r="D98" i="18"/>
  <c r="D104" i="18" s="1"/>
  <c r="D110" i="18" s="1"/>
  <c r="D116" i="18" s="1"/>
  <c r="D208" i="25"/>
  <c r="D214" i="25" s="1"/>
  <c r="D220" i="25" s="1"/>
  <c r="D226" i="25" s="1"/>
  <c r="D40" i="25"/>
  <c r="D46" i="25" s="1"/>
  <c r="D52" i="25" s="1"/>
  <c r="D58" i="25" s="1"/>
  <c r="D39" i="25"/>
  <c r="D45" i="25" s="1"/>
  <c r="D51" i="25" s="1"/>
  <c r="D57" i="25" s="1"/>
  <c r="D25" i="18"/>
  <c r="D32" i="18" s="1"/>
  <c r="D40" i="18" s="1"/>
  <c r="D75" i="25"/>
  <c r="D81" i="25" s="1"/>
  <c r="D87" i="25" s="1"/>
  <c r="D93" i="25" s="1"/>
  <c r="D137" i="18"/>
  <c r="D143" i="18" s="1"/>
  <c r="D149" i="18" s="1"/>
  <c r="D155" i="18" s="1"/>
  <c r="D5" i="25"/>
  <c r="D11" i="25" s="1"/>
  <c r="D17" i="25" s="1"/>
  <c r="D23" i="25" s="1"/>
  <c r="D43" i="25"/>
  <c r="D49" i="25" s="1"/>
  <c r="D55" i="25" s="1"/>
  <c r="D61" i="25" s="1"/>
  <c r="D62" i="18"/>
  <c r="D68" i="18" s="1"/>
  <c r="D74" i="18" s="1"/>
  <c r="D80" i="18" s="1"/>
  <c r="D65" i="18"/>
  <c r="D71" i="18" s="1"/>
  <c r="D77" i="18" s="1"/>
  <c r="D83" i="18" s="1"/>
  <c r="D172" i="25"/>
  <c r="D178" i="25" s="1"/>
  <c r="D184" i="25" s="1"/>
  <c r="D190" i="25" s="1"/>
  <c r="D207" i="25"/>
  <c r="D213" i="25" s="1"/>
  <c r="D219" i="25" s="1"/>
  <c r="D225" i="25" s="1"/>
  <c r="D175" i="25"/>
  <c r="D181" i="25" s="1"/>
  <c r="D187" i="25" s="1"/>
  <c r="D193" i="25" s="1"/>
  <c r="D63" i="18"/>
  <c r="D69" i="18" s="1"/>
  <c r="D75" i="18" s="1"/>
  <c r="D81" i="18" s="1"/>
  <c r="D173" i="25"/>
  <c r="D179" i="25" s="1"/>
  <c r="D185" i="25" s="1"/>
  <c r="D191" i="25" s="1"/>
  <c r="D136" i="18"/>
  <c r="D142" i="18" s="1"/>
  <c r="D148" i="18" s="1"/>
  <c r="D154" i="18" s="1"/>
  <c r="D206" i="25"/>
  <c r="D212" i="25" s="1"/>
  <c r="D218" i="25" s="1"/>
  <c r="D224" i="25" s="1"/>
  <c r="D139" i="25"/>
  <c r="D145" i="25" s="1"/>
  <c r="D151" i="25" s="1"/>
  <c r="D157" i="25" s="1"/>
  <c r="D104" i="25"/>
  <c r="D110" i="25" s="1"/>
  <c r="D116" i="25" s="1"/>
  <c r="D122" i="25" s="1"/>
  <c r="D41" i="25"/>
  <c r="D47" i="25" s="1"/>
  <c r="D53" i="25" s="1"/>
  <c r="D59" i="25" s="1"/>
  <c r="D30" i="18"/>
  <c r="D37" i="18" s="1"/>
  <c r="D45" i="18" s="1"/>
  <c r="D138" i="18"/>
  <c r="D144" i="18" s="1"/>
  <c r="D150" i="18" s="1"/>
  <c r="D156" i="18" s="1"/>
  <c r="D101" i="18"/>
  <c r="D107" i="18" s="1"/>
  <c r="D113" i="18" s="1"/>
  <c r="D119" i="18" s="1"/>
  <c r="D42" i="25"/>
  <c r="D48" i="25" s="1"/>
  <c r="D54" i="25" s="1"/>
  <c r="D60" i="25" s="1"/>
  <c r="D64" i="18"/>
  <c r="D70" i="18" s="1"/>
  <c r="D76" i="18" s="1"/>
  <c r="D82" i="18" s="1"/>
  <c r="D105" i="25"/>
  <c r="D111" i="25" s="1"/>
  <c r="D117" i="25" s="1"/>
  <c r="D123" i="25" s="1"/>
  <c r="D67" i="18"/>
  <c r="D73" i="18" s="1"/>
  <c r="D79" i="18" s="1"/>
  <c r="D85" i="18" s="1"/>
  <c r="D66" i="18"/>
  <c r="D72" i="18" s="1"/>
  <c r="D78" i="18" s="1"/>
  <c r="D84" i="18" s="1"/>
  <c r="D108" i="25"/>
  <c r="D114" i="25" s="1"/>
  <c r="D120" i="25" s="1"/>
  <c r="D126" i="25" s="1"/>
  <c r="D71" i="25"/>
  <c r="D77" i="25" s="1"/>
  <c r="D83" i="25" s="1"/>
  <c r="D89" i="25" s="1"/>
  <c r="D203" i="25"/>
  <c r="D209" i="25" s="1"/>
  <c r="D215" i="25" s="1"/>
  <c r="D221" i="25" s="1"/>
  <c r="D142" i="25"/>
  <c r="D148" i="25" s="1"/>
  <c r="D154" i="25" s="1"/>
  <c r="D160" i="25" s="1"/>
  <c r="D135" i="18"/>
  <c r="D141" i="18" s="1"/>
  <c r="D147" i="18" s="1"/>
  <c r="D153" i="18" s="1"/>
  <c r="D109" i="25"/>
  <c r="D115" i="25" s="1"/>
  <c r="D121" i="25" s="1"/>
  <c r="D127" i="25" s="1"/>
  <c r="D99" i="18"/>
  <c r="D105" i="18" s="1"/>
  <c r="D111" i="18" s="1"/>
  <c r="D117" i="18" s="1"/>
  <c r="D106" i="25"/>
  <c r="D112" i="25" s="1"/>
  <c r="D118" i="25" s="1"/>
  <c r="D124" i="25" s="1"/>
  <c r="D10" i="25"/>
  <c r="D16" i="25" s="1"/>
  <c r="D22" i="25" s="1"/>
  <c r="D28" i="25" s="1"/>
  <c r="D9" i="25"/>
  <c r="D15" i="25" s="1"/>
  <c r="D21" i="25" s="1"/>
  <c r="D27" i="25" s="1"/>
  <c r="D174" i="25"/>
  <c r="D180" i="25" s="1"/>
  <c r="D186" i="25" s="1"/>
  <c r="D192" i="25" s="1"/>
  <c r="D141" i="25"/>
  <c r="D147" i="25" s="1"/>
  <c r="D153" i="25" s="1"/>
  <c r="D159" i="25" s="1"/>
  <c r="D27" i="18"/>
  <c r="D34" i="18" s="1"/>
  <c r="D42" i="18" s="1"/>
  <c r="D28" i="18"/>
  <c r="D35" i="18" s="1"/>
  <c r="D43" i="18" s="1"/>
  <c r="D137" i="25"/>
  <c r="D143" i="25" s="1"/>
  <c r="D149" i="25" s="1"/>
  <c r="D155" i="25" s="1"/>
  <c r="D171" i="25"/>
  <c r="D177" i="25" s="1"/>
  <c r="D183" i="25" s="1"/>
  <c r="D189" i="25" s="1"/>
  <c r="D26" i="18"/>
  <c r="D33" i="18" s="1"/>
  <c r="D41" i="18" s="1"/>
  <c r="AD28" i="11"/>
  <c r="R28" i="11"/>
  <c r="AN78" i="33"/>
  <c r="AN16" i="33" s="1"/>
  <c r="AN34" i="33" s="1"/>
  <c r="AN52" i="33" s="1"/>
  <c r="AB133" i="11"/>
  <c r="AK23" i="20"/>
  <c r="AK13" i="20"/>
  <c r="AN198" i="32" s="1"/>
  <c r="P62" i="32"/>
  <c r="M16" i="18"/>
  <c r="M18" i="18" s="1"/>
  <c r="AE27" i="32"/>
  <c r="AN72" i="33"/>
  <c r="AN10" i="33" s="1"/>
  <c r="AN28" i="33" s="1"/>
  <c r="AN46" i="33" s="1"/>
  <c r="AB127" i="11"/>
  <c r="M25" i="18"/>
  <c r="M32" i="18" s="1"/>
  <c r="M40" i="18" s="1"/>
  <c r="M43" i="25"/>
  <c r="M49" i="25" s="1"/>
  <c r="M55" i="25" s="1"/>
  <c r="M61" i="25" s="1"/>
  <c r="M134" i="18"/>
  <c r="M140" i="18" s="1"/>
  <c r="M146" i="18" s="1"/>
  <c r="M152" i="18" s="1"/>
  <c r="S142" i="11"/>
  <c r="T78" i="19"/>
  <c r="T84" i="19" s="1"/>
  <c r="AL151" i="20"/>
  <c r="AL157" i="20" s="1"/>
  <c r="AL18" i="27"/>
  <c r="AL24" i="27" s="1"/>
  <c r="AL185" i="27"/>
  <c r="AL191" i="27" s="1"/>
  <c r="L208" i="25"/>
  <c r="L214" i="25" s="1"/>
  <c r="L220" i="25" s="1"/>
  <c r="L226" i="25" s="1"/>
  <c r="L137" i="18"/>
  <c r="L143" i="18" s="1"/>
  <c r="L149" i="18" s="1"/>
  <c r="L155" i="18" s="1"/>
  <c r="L161" i="18" s="1"/>
  <c r="L134" i="18"/>
  <c r="L140" i="18" s="1"/>
  <c r="L146" i="18" s="1"/>
  <c r="L152" i="18" s="1"/>
  <c r="AO199" i="32"/>
  <c r="AC21" i="34" s="1"/>
  <c r="AC35" i="34" s="1"/>
  <c r="AO189" i="32"/>
  <c r="AO190" i="32" s="1"/>
  <c r="AC22" i="34" s="1"/>
  <c r="AC36" i="34" s="1"/>
  <c r="Y228" i="27"/>
  <c r="Y195" i="27"/>
  <c r="Y162" i="27"/>
  <c r="Y129" i="27"/>
  <c r="Y96" i="27"/>
  <c r="Y63" i="27"/>
  <c r="Y30" i="27"/>
  <c r="Y159" i="20"/>
  <c r="Y123" i="20"/>
  <c r="Y87" i="20"/>
  <c r="AQ20" i="32"/>
  <c r="AQ11" i="32"/>
  <c r="AN50" i="18"/>
  <c r="AQ58" i="32"/>
  <c r="AQ67" i="32"/>
  <c r="AQ39" i="32"/>
  <c r="AQ48" i="32"/>
  <c r="AQ29" i="32"/>
  <c r="AN73" i="52"/>
  <c r="Z83" i="33"/>
  <c r="Z21" i="33" s="1"/>
  <c r="Z39" i="33" s="1"/>
  <c r="Z57" i="33" s="1"/>
  <c r="P138" i="11"/>
  <c r="J142" i="11"/>
  <c r="S105" i="25"/>
  <c r="S111" i="25" s="1"/>
  <c r="S117" i="25" s="1"/>
  <c r="S123" i="25" s="1"/>
  <c r="S63" i="18"/>
  <c r="S69" i="18" s="1"/>
  <c r="S75" i="18" s="1"/>
  <c r="S81" i="18" s="1"/>
  <c r="S9" i="25"/>
  <c r="S15" i="25" s="1"/>
  <c r="S21" i="25" s="1"/>
  <c r="S27" i="25" s="1"/>
  <c r="U196" i="25"/>
  <c r="U229" i="25"/>
  <c r="U130" i="25"/>
  <c r="U97" i="25"/>
  <c r="U31" i="25"/>
  <c r="U163" i="25"/>
  <c r="U64" i="25"/>
  <c r="U160" i="18"/>
  <c r="R7" i="27"/>
  <c r="R13" i="27" s="1"/>
  <c r="R19" i="27" s="1"/>
  <c r="R25" i="27" s="1"/>
  <c r="R98" i="20"/>
  <c r="R104" i="20" s="1"/>
  <c r="R110" i="20" s="1"/>
  <c r="R116" i="20" s="1"/>
  <c r="G165" i="28"/>
  <c r="N133" i="11"/>
  <c r="W78" i="33"/>
  <c r="W16" i="33" s="1"/>
  <c r="W34" i="33" s="1"/>
  <c r="W52" i="33" s="1"/>
  <c r="Z114" i="53"/>
  <c r="Z115" i="53"/>
  <c r="U115" i="53"/>
  <c r="U114" i="53"/>
  <c r="AB159" i="18"/>
  <c r="W80" i="33"/>
  <c r="W18" i="33" s="1"/>
  <c r="W36" i="33" s="1"/>
  <c r="W54" i="33" s="1"/>
  <c r="N135" i="11"/>
  <c r="N74" i="52"/>
  <c r="Q12" i="32"/>
  <c r="Q40" i="32"/>
  <c r="Q59" i="32"/>
  <c r="Q68" i="32"/>
  <c r="Q49" i="32"/>
  <c r="N51" i="18"/>
  <c r="N90" i="18" s="1"/>
  <c r="N13" i="19"/>
  <c r="Q130" i="32" s="1"/>
  <c r="N23" i="19"/>
  <c r="AM105" i="50"/>
  <c r="AM4" i="50"/>
  <c r="H67" i="18"/>
  <c r="H73" i="18" s="1"/>
  <c r="H79" i="18" s="1"/>
  <c r="H85" i="18" s="1"/>
  <c r="H109" i="25"/>
  <c r="H115" i="25" s="1"/>
  <c r="H121" i="25" s="1"/>
  <c r="H127" i="25" s="1"/>
  <c r="H40" i="25"/>
  <c r="H46" i="25" s="1"/>
  <c r="H52" i="25" s="1"/>
  <c r="H58" i="25" s="1"/>
  <c r="H39" i="25"/>
  <c r="H45" i="25" s="1"/>
  <c r="H51" i="25" s="1"/>
  <c r="H57" i="25" s="1"/>
  <c r="H205" i="25"/>
  <c r="H211" i="25" s="1"/>
  <c r="H217" i="25" s="1"/>
  <c r="H223" i="25" s="1"/>
  <c r="H29" i="18"/>
  <c r="H36" i="18" s="1"/>
  <c r="H44" i="18" s="1"/>
  <c r="H141" i="25"/>
  <c r="H147" i="25" s="1"/>
  <c r="H153" i="25" s="1"/>
  <c r="H159" i="25" s="1"/>
  <c r="H105" i="25"/>
  <c r="H111" i="25" s="1"/>
  <c r="H117" i="25" s="1"/>
  <c r="H123" i="25" s="1"/>
  <c r="H41" i="25"/>
  <c r="H47" i="25" s="1"/>
  <c r="H53" i="25" s="1"/>
  <c r="H59" i="25" s="1"/>
  <c r="H76" i="25"/>
  <c r="H82" i="25" s="1"/>
  <c r="H88" i="25" s="1"/>
  <c r="H94" i="25" s="1"/>
  <c r="H75" i="25"/>
  <c r="H81" i="25" s="1"/>
  <c r="H87" i="25" s="1"/>
  <c r="H93" i="25" s="1"/>
  <c r="H137" i="25"/>
  <c r="H143" i="25" s="1"/>
  <c r="H149" i="25" s="1"/>
  <c r="H155" i="25" s="1"/>
  <c r="H172" i="25"/>
  <c r="H178" i="25" s="1"/>
  <c r="H184" i="25" s="1"/>
  <c r="H190" i="25" s="1"/>
  <c r="H142" i="25"/>
  <c r="H148" i="25" s="1"/>
  <c r="H154" i="25" s="1"/>
  <c r="H160" i="25" s="1"/>
  <c r="H171" i="25"/>
  <c r="H177" i="25" s="1"/>
  <c r="H183" i="25" s="1"/>
  <c r="H189" i="25" s="1"/>
  <c r="H28" i="18"/>
  <c r="H35" i="18" s="1"/>
  <c r="H43" i="18" s="1"/>
  <c r="H204" i="25"/>
  <c r="H210" i="25" s="1"/>
  <c r="H216" i="25" s="1"/>
  <c r="H222" i="25" s="1"/>
  <c r="H72" i="25"/>
  <c r="H78" i="25" s="1"/>
  <c r="H84" i="25" s="1"/>
  <c r="H90" i="25" s="1"/>
  <c r="H206" i="25"/>
  <c r="H212" i="25" s="1"/>
  <c r="H218" i="25" s="1"/>
  <c r="H224" i="25" s="1"/>
  <c r="H38" i="25"/>
  <c r="H44" i="25" s="1"/>
  <c r="H50" i="25" s="1"/>
  <c r="H56" i="25" s="1"/>
  <c r="H27" i="18"/>
  <c r="H34" i="18" s="1"/>
  <c r="H42" i="18" s="1"/>
  <c r="H62" i="18"/>
  <c r="H68" i="18" s="1"/>
  <c r="H74" i="18" s="1"/>
  <c r="H80" i="18" s="1"/>
  <c r="AM63" i="20"/>
  <c r="AM69" i="20" s="1"/>
  <c r="AM75" i="20" s="1"/>
  <c r="AM81" i="20" s="1"/>
  <c r="AM39" i="27"/>
  <c r="AM45" i="27" s="1"/>
  <c r="AM51" i="27" s="1"/>
  <c r="AM57" i="27" s="1"/>
  <c r="AM208" i="27"/>
  <c r="AM214" i="27" s="1"/>
  <c r="AM220" i="27" s="1"/>
  <c r="AM226" i="27" s="1"/>
  <c r="P165" i="18"/>
  <c r="AH180" i="32"/>
  <c r="AK19" i="34" s="1"/>
  <c r="AK33" i="34" s="1"/>
  <c r="AH170" i="32"/>
  <c r="AH171" i="32" s="1"/>
  <c r="AK20" i="34" s="1"/>
  <c r="AK34" i="34" s="1"/>
  <c r="G136" i="11"/>
  <c r="O81" i="33"/>
  <c r="O19" i="33" s="1"/>
  <c r="O37" i="33" s="1"/>
  <c r="O55" i="33" s="1"/>
  <c r="H129" i="27"/>
  <c r="H30" i="27"/>
  <c r="H195" i="27"/>
  <c r="H162" i="27"/>
  <c r="H96" i="27"/>
  <c r="H63" i="27"/>
  <c r="H228" i="27"/>
  <c r="H159" i="20"/>
  <c r="T26" i="20"/>
  <c r="T33" i="20" s="1"/>
  <c r="T172" i="27"/>
  <c r="T178" i="27" s="1"/>
  <c r="L138" i="27"/>
  <c r="L144" i="27" s="1"/>
  <c r="Q185" i="27"/>
  <c r="Q191" i="27" s="1"/>
  <c r="Q85" i="27"/>
  <c r="Q91" i="27" s="1"/>
  <c r="AF82" i="52"/>
  <c r="AI181" i="32"/>
  <c r="AI200" i="32"/>
  <c r="AI191" i="32"/>
  <c r="AI153" i="32"/>
  <c r="AI144" i="32"/>
  <c r="AI172" i="32"/>
  <c r="AI162" i="32"/>
  <c r="AF47" i="20"/>
  <c r="AF54" i="20" s="1"/>
  <c r="AF48" i="20"/>
  <c r="AF93" i="20"/>
  <c r="AF165" i="20"/>
  <c r="N232" i="27"/>
  <c r="N199" i="27"/>
  <c r="N166" i="27"/>
  <c r="N34" i="27"/>
  <c r="N133" i="27"/>
  <c r="N100" i="27"/>
  <c r="N91" i="20"/>
  <c r="N127" i="20"/>
  <c r="AV24" i="5"/>
  <c r="AN17" i="52" s="1"/>
  <c r="Q61" i="25"/>
  <c r="T22" i="32"/>
  <c r="R164" i="25"/>
  <c r="R32" i="25"/>
  <c r="R98" i="25"/>
  <c r="R65" i="25"/>
  <c r="R197" i="25"/>
  <c r="R131" i="25"/>
  <c r="R230" i="25"/>
  <c r="R125" i="18"/>
  <c r="R161" i="18"/>
  <c r="R89" i="18"/>
  <c r="AG7" i="27"/>
  <c r="AG13" i="27" s="1"/>
  <c r="K44" i="32"/>
  <c r="J12" i="34" s="1"/>
  <c r="K34" i="32"/>
  <c r="K35" i="32" s="1"/>
  <c r="J13" i="34" s="1"/>
  <c r="AM26" i="20"/>
  <c r="AM33" i="20" s="1"/>
  <c r="AM41" i="20" s="1"/>
  <c r="AM206" i="27"/>
  <c r="AM212" i="27" s="1"/>
  <c r="AM218" i="27" s="1"/>
  <c r="AM224" i="27" s="1"/>
  <c r="AK53" i="59"/>
  <c r="AK184" i="59"/>
  <c r="AK178" i="59"/>
  <c r="AK182" i="59"/>
  <c r="AK183" i="59"/>
  <c r="AK177" i="59"/>
  <c r="AK181" i="59"/>
  <c r="AD13" i="19"/>
  <c r="AG130" i="32" s="1"/>
  <c r="AD23" i="19"/>
  <c r="T19" i="26"/>
  <c r="T25" i="26" s="1"/>
  <c r="W28" i="3"/>
  <c r="AD28" i="3"/>
  <c r="T98" i="20"/>
  <c r="T104" i="20" s="1"/>
  <c r="AN7" i="19"/>
  <c r="AN5" i="19"/>
  <c r="AN8" i="19"/>
  <c r="R87" i="18"/>
  <c r="K177" i="32"/>
  <c r="AD29" i="11"/>
  <c r="R29" i="11"/>
  <c r="AG137" i="20"/>
  <c r="AG143" i="20" s="1"/>
  <c r="Q59" i="25"/>
  <c r="T20" i="32"/>
  <c r="AO191" i="32"/>
  <c r="AL82" i="52"/>
  <c r="AL48" i="20"/>
  <c r="AO181" i="32"/>
  <c r="L125" i="18"/>
  <c r="AA61" i="27"/>
  <c r="AD158" i="32"/>
  <c r="M74" i="25"/>
  <c r="M80" i="25" s="1"/>
  <c r="M86" i="25" s="1"/>
  <c r="M92" i="25" s="1"/>
  <c r="AL215" i="27"/>
  <c r="AL221" i="27" s="1"/>
  <c r="L66" i="18"/>
  <c r="L72" i="18" s="1"/>
  <c r="L78" i="18" s="1"/>
  <c r="L84" i="18" s="1"/>
  <c r="AF135" i="11"/>
  <c r="AR80" i="33"/>
  <c r="AR18" i="33" s="1"/>
  <c r="AR36" i="33" s="1"/>
  <c r="AR54" i="33" s="1"/>
  <c r="P135" i="11"/>
  <c r="Z80" i="33"/>
  <c r="Z18" i="33" s="1"/>
  <c r="Z36" i="33" s="1"/>
  <c r="Z54" i="33" s="1"/>
  <c r="T147" i="19"/>
  <c r="T153" i="19" s="1"/>
  <c r="S137" i="25"/>
  <c r="S143" i="25" s="1"/>
  <c r="S149" i="25" s="1"/>
  <c r="S155" i="25" s="1"/>
  <c r="S102" i="18"/>
  <c r="S108" i="18" s="1"/>
  <c r="S114" i="18" s="1"/>
  <c r="S120" i="18" s="1"/>
  <c r="S208" i="25"/>
  <c r="S214" i="25" s="1"/>
  <c r="S220" i="25" s="1"/>
  <c r="S226" i="25" s="1"/>
  <c r="R147" i="20"/>
  <c r="R153" i="20" s="1"/>
  <c r="R117" i="27"/>
  <c r="R123" i="27" s="1"/>
  <c r="W72" i="33"/>
  <c r="W10" i="33" s="1"/>
  <c r="W28" i="33" s="1"/>
  <c r="W46" i="33" s="1"/>
  <c r="N127" i="11"/>
  <c r="AI114" i="53"/>
  <c r="AI115" i="53"/>
  <c r="T76" i="19"/>
  <c r="T82" i="19" s="1"/>
  <c r="W71" i="33"/>
  <c r="W9" i="33" s="1"/>
  <c r="W27" i="33" s="1"/>
  <c r="W45" i="33" s="1"/>
  <c r="N126" i="11"/>
  <c r="Y160" i="20"/>
  <c r="AC64" i="32"/>
  <c r="AC8" i="32"/>
  <c r="AC26" i="32"/>
  <c r="Z70" i="52"/>
  <c r="Z46" i="18"/>
  <c r="Z53" i="18" s="1"/>
  <c r="AC17" i="32"/>
  <c r="AC55" i="32"/>
  <c r="Z47" i="18"/>
  <c r="Z93" i="18"/>
  <c r="AC45" i="32"/>
  <c r="AC36" i="32"/>
  <c r="Z165" i="18"/>
  <c r="E129" i="19"/>
  <c r="N9" i="26"/>
  <c r="N15" i="26" s="1"/>
  <c r="N30" i="19"/>
  <c r="N37" i="19" s="1"/>
  <c r="N135" i="19"/>
  <c r="N141" i="19" s="1"/>
  <c r="N106" i="26"/>
  <c r="N112" i="26" s="1"/>
  <c r="N118" i="26" s="1"/>
  <c r="N124" i="26" s="1"/>
  <c r="N6" i="26"/>
  <c r="N12" i="26" s="1"/>
  <c r="N18" i="26" s="1"/>
  <c r="N24" i="26" s="1"/>
  <c r="N8" i="26"/>
  <c r="N14" i="26" s="1"/>
  <c r="N20" i="26" s="1"/>
  <c r="N26" i="26" s="1"/>
  <c r="N65" i="19"/>
  <c r="N71" i="19" s="1"/>
  <c r="N77" i="19" s="1"/>
  <c r="N83" i="19" s="1"/>
  <c r="N164" i="19"/>
  <c r="N166" i="19" s="1"/>
  <c r="N29" i="19"/>
  <c r="N36" i="19" s="1"/>
  <c r="N44" i="19" s="1"/>
  <c r="N128" i="19"/>
  <c r="N130" i="19" s="1"/>
  <c r="N136" i="19"/>
  <c r="N142" i="19" s="1"/>
  <c r="N148" i="19" s="1"/>
  <c r="N154" i="19" s="1"/>
  <c r="N40" i="26"/>
  <c r="N46" i="26" s="1"/>
  <c r="N52" i="26" s="1"/>
  <c r="N58" i="26" s="1"/>
  <c r="N104" i="26"/>
  <c r="N110" i="26" s="1"/>
  <c r="N116" i="26" s="1"/>
  <c r="N122" i="26" s="1"/>
  <c r="N207" i="26"/>
  <c r="N213" i="26" s="1"/>
  <c r="N219" i="26" s="1"/>
  <c r="N225" i="26" s="1"/>
  <c r="N43" i="26"/>
  <c r="N49" i="26" s="1"/>
  <c r="N55" i="26" s="1"/>
  <c r="N61" i="26" s="1"/>
  <c r="N98" i="19"/>
  <c r="N104" i="19" s="1"/>
  <c r="N110" i="19" s="1"/>
  <c r="N116" i="19" s="1"/>
  <c r="N101" i="19"/>
  <c r="N107" i="19" s="1"/>
  <c r="N113" i="19" s="1"/>
  <c r="N119" i="19" s="1"/>
  <c r="N26" i="19"/>
  <c r="N33" i="19" s="1"/>
  <c r="Q111" i="32"/>
  <c r="N16" i="19"/>
  <c r="N42" i="26" s="1"/>
  <c r="N48" i="26" s="1"/>
  <c r="N54" i="26" s="1"/>
  <c r="N60" i="26" s="1"/>
  <c r="N75" i="26"/>
  <c r="N81" i="26" s="1"/>
  <c r="N175" i="26"/>
  <c r="N181" i="26" s="1"/>
  <c r="N138" i="26"/>
  <c r="N144" i="26" s="1"/>
  <c r="N32" i="19"/>
  <c r="N39" i="19" s="1"/>
  <c r="N40" i="19" s="1"/>
  <c r="N138" i="19"/>
  <c r="N144" i="19" s="1"/>
  <c r="N150" i="19" s="1"/>
  <c r="N156" i="19" s="1"/>
  <c r="N100" i="19"/>
  <c r="N106" i="19" s="1"/>
  <c r="N112" i="19" s="1"/>
  <c r="N118" i="19" s="1"/>
  <c r="N103" i="19"/>
  <c r="N109" i="19" s="1"/>
  <c r="N115" i="19" s="1"/>
  <c r="N121" i="19" s="1"/>
  <c r="N76" i="26"/>
  <c r="N82" i="26" s="1"/>
  <c r="N88" i="26" s="1"/>
  <c r="N94" i="26" s="1"/>
  <c r="N137" i="26"/>
  <c r="N143" i="26" s="1"/>
  <c r="N149" i="26" s="1"/>
  <c r="N155" i="26" s="1"/>
  <c r="N7" i="26"/>
  <c r="N13" i="26" s="1"/>
  <c r="N19" i="26" s="1"/>
  <c r="N25" i="26" s="1"/>
  <c r="N174" i="26"/>
  <c r="N180" i="26" s="1"/>
  <c r="N186" i="26" s="1"/>
  <c r="N192" i="26" s="1"/>
  <c r="N73" i="26"/>
  <c r="N79" i="26" s="1"/>
  <c r="N85" i="26" s="1"/>
  <c r="N91" i="26" s="1"/>
  <c r="N10" i="26"/>
  <c r="N16" i="26" s="1"/>
  <c r="N22" i="26" s="1"/>
  <c r="N28" i="26" s="1"/>
  <c r="N39" i="26"/>
  <c r="N45" i="26" s="1"/>
  <c r="N51" i="26" s="1"/>
  <c r="N57" i="26" s="1"/>
  <c r="N74" i="26"/>
  <c r="N80" i="26" s="1"/>
  <c r="N86" i="26" s="1"/>
  <c r="N92" i="26" s="1"/>
  <c r="N5" i="26"/>
  <c r="N11" i="26" s="1"/>
  <c r="N17" i="26" s="1"/>
  <c r="N23" i="26" s="1"/>
  <c r="N38" i="26"/>
  <c r="N44" i="26" s="1"/>
  <c r="N50" i="26" s="1"/>
  <c r="N56" i="26" s="1"/>
  <c r="N139" i="19"/>
  <c r="N145" i="19" s="1"/>
  <c r="N17" i="19"/>
  <c r="N19" i="19" s="1"/>
  <c r="N141" i="26"/>
  <c r="N147" i="26" s="1"/>
  <c r="N105" i="26"/>
  <c r="N111" i="26" s="1"/>
  <c r="N117" i="26" s="1"/>
  <c r="N123" i="26" s="1"/>
  <c r="N139" i="26"/>
  <c r="N145" i="26" s="1"/>
  <c r="N172" i="26"/>
  <c r="N178" i="26" s="1"/>
  <c r="N184" i="26" s="1"/>
  <c r="N190" i="26" s="1"/>
  <c r="N109" i="26"/>
  <c r="N115" i="26" s="1"/>
  <c r="N121" i="26" s="1"/>
  <c r="N127" i="26" s="1"/>
  <c r="N142" i="26"/>
  <c r="N148" i="26" s="1"/>
  <c r="N154" i="26" s="1"/>
  <c r="N160" i="26" s="1"/>
  <c r="N170" i="26"/>
  <c r="N176" i="26" s="1"/>
  <c r="N182" i="26" s="1"/>
  <c r="N188" i="26" s="1"/>
  <c r="N67" i="19"/>
  <c r="N73" i="19" s="1"/>
  <c r="N79" i="19" s="1"/>
  <c r="N85" i="19" s="1"/>
  <c r="N204" i="26"/>
  <c r="N210" i="26" s="1"/>
  <c r="N216" i="26" s="1"/>
  <c r="N222" i="26" s="1"/>
  <c r="N63" i="19"/>
  <c r="N69" i="19" s="1"/>
  <c r="N75" i="19" s="1"/>
  <c r="N81" i="19" s="1"/>
  <c r="N28" i="19"/>
  <c r="N35" i="19" s="1"/>
  <c r="N43" i="19" s="1"/>
  <c r="N208" i="26"/>
  <c r="N214" i="26" s="1"/>
  <c r="N220" i="26" s="1"/>
  <c r="N226" i="26" s="1"/>
  <c r="N66" i="19"/>
  <c r="N72" i="19" s="1"/>
  <c r="N78" i="19" s="1"/>
  <c r="N84" i="19" s="1"/>
  <c r="N62" i="19"/>
  <c r="N68" i="19" s="1"/>
  <c r="N74" i="19" s="1"/>
  <c r="N80" i="19" s="1"/>
  <c r="N99" i="19"/>
  <c r="N105" i="19" s="1"/>
  <c r="N111" i="19" s="1"/>
  <c r="N117" i="19" s="1"/>
  <c r="N31" i="19"/>
  <c r="N38" i="19" s="1"/>
  <c r="N46" i="19" s="1"/>
  <c r="N27" i="19"/>
  <c r="N34" i="19" s="1"/>
  <c r="N42" i="19" s="1"/>
  <c r="N102" i="19"/>
  <c r="N108" i="19" s="1"/>
  <c r="N171" i="26"/>
  <c r="N177" i="26" s="1"/>
  <c r="N183" i="26" s="1"/>
  <c r="N189" i="26" s="1"/>
  <c r="E21" i="33"/>
  <c r="W92" i="20"/>
  <c r="W94" i="20" s="1"/>
  <c r="Z160" i="32"/>
  <c r="AM29" i="20"/>
  <c r="AM36" i="20" s="1"/>
  <c r="AM108" i="27"/>
  <c r="AM114" i="27" s="1"/>
  <c r="K62" i="32"/>
  <c r="H16" i="18"/>
  <c r="H18" i="18" s="1"/>
  <c r="H164" i="18"/>
  <c r="H166" i="18" s="1"/>
  <c r="S55" i="32"/>
  <c r="S8" i="32"/>
  <c r="P70" i="52"/>
  <c r="S36" i="32"/>
  <c r="S45" i="32"/>
  <c r="S17" i="32"/>
  <c r="P46" i="18"/>
  <c r="P53" i="18" s="1"/>
  <c r="S64" i="32"/>
  <c r="P47" i="18"/>
  <c r="P86" i="18" s="1"/>
  <c r="S26" i="32"/>
  <c r="T218" i="26"/>
  <c r="T224" i="26" s="1"/>
  <c r="T150" i="26"/>
  <c r="T156" i="26" s="1"/>
  <c r="T120" i="28"/>
  <c r="T56" i="28"/>
  <c r="T183" i="28"/>
  <c r="T79" i="20"/>
  <c r="T85" i="20" s="1"/>
  <c r="T105" i="27"/>
  <c r="T111" i="27" s="1"/>
  <c r="T106" i="27"/>
  <c r="T112" i="27" s="1"/>
  <c r="T103" i="20"/>
  <c r="T109" i="20" s="1"/>
  <c r="T108" i="27"/>
  <c r="T114" i="27" s="1"/>
  <c r="T120" i="27" s="1"/>
  <c r="T126" i="27" s="1"/>
  <c r="T107" i="27"/>
  <c r="T113" i="27" s="1"/>
  <c r="T75" i="27"/>
  <c r="T81" i="27" s="1"/>
  <c r="T74" i="27"/>
  <c r="T80" i="27" s="1"/>
  <c r="T205" i="27"/>
  <c r="T211" i="27" s="1"/>
  <c r="T99" i="20"/>
  <c r="T105" i="20" s="1"/>
  <c r="T174" i="27"/>
  <c r="T180" i="27" s="1"/>
  <c r="T65" i="20"/>
  <c r="T71" i="20" s="1"/>
  <c r="T102" i="20"/>
  <c r="T108" i="20" s="1"/>
  <c r="T173" i="27"/>
  <c r="T179" i="27" s="1"/>
  <c r="T203" i="27"/>
  <c r="T209" i="27" s="1"/>
  <c r="T5" i="27"/>
  <c r="T11" i="27" s="1"/>
  <c r="T38" i="27"/>
  <c r="T44" i="27" s="1"/>
  <c r="T30" i="20"/>
  <c r="T37" i="20" s="1"/>
  <c r="T101" i="20"/>
  <c r="T107" i="20" s="1"/>
  <c r="T8" i="27"/>
  <c r="T14" i="27" s="1"/>
  <c r="T66" i="20"/>
  <c r="T72" i="20" s="1"/>
  <c r="T63" i="20"/>
  <c r="T69" i="20" s="1"/>
  <c r="T27" i="20"/>
  <c r="T34" i="20" s="1"/>
  <c r="T40" i="27"/>
  <c r="T46" i="27" s="1"/>
  <c r="T6" i="27"/>
  <c r="T12" i="27" s="1"/>
  <c r="T18" i="27" s="1"/>
  <c r="T24" i="27" s="1"/>
  <c r="T62" i="20"/>
  <c r="T68" i="20" s="1"/>
  <c r="T141" i="27"/>
  <c r="T147" i="27" s="1"/>
  <c r="T135" i="20"/>
  <c r="T141" i="20" s="1"/>
  <c r="T134" i="20"/>
  <c r="T140" i="20" s="1"/>
  <c r="T146" i="20" s="1"/>
  <c r="T152" i="20" s="1"/>
  <c r="T31" i="20"/>
  <c r="T38" i="20" s="1"/>
  <c r="T140" i="27"/>
  <c r="T146" i="27" s="1"/>
  <c r="T100" i="20"/>
  <c r="T106" i="20" s="1"/>
  <c r="T76" i="27"/>
  <c r="T82" i="27" s="1"/>
  <c r="T32" i="20"/>
  <c r="T39" i="20" s="1"/>
  <c r="T40" i="20" s="1"/>
  <c r="T41" i="27"/>
  <c r="T47" i="27" s="1"/>
  <c r="T73" i="27"/>
  <c r="T79" i="27" s="1"/>
  <c r="T29" i="20"/>
  <c r="T36" i="20" s="1"/>
  <c r="AE127" i="11"/>
  <c r="AQ72" i="33"/>
  <c r="AQ10" i="33" s="1"/>
  <c r="AQ28" i="33" s="1"/>
  <c r="AQ46" i="33" s="1"/>
  <c r="Q150" i="27"/>
  <c r="Q156" i="27" s="1"/>
  <c r="Q152" i="27"/>
  <c r="Q158" i="27" s="1"/>
  <c r="X28" i="18"/>
  <c r="X35" i="18" s="1"/>
  <c r="X43" i="18" s="1"/>
  <c r="D31" i="18"/>
  <c r="D38" i="18" s="1"/>
  <c r="D39" i="18" s="1"/>
  <c r="H161" i="20"/>
  <c r="AF29" i="11"/>
  <c r="T29" i="11"/>
  <c r="AG109" i="27"/>
  <c r="AG115" i="27" s="1"/>
  <c r="P123" i="11"/>
  <c r="AJ16" i="11"/>
  <c r="AM16" i="11" s="1"/>
  <c r="Z68" i="33"/>
  <c r="Z6" i="33" s="1"/>
  <c r="Z24" i="33" s="1"/>
  <c r="Z42" i="33" s="1"/>
  <c r="M38" i="25"/>
  <c r="M44" i="25" s="1"/>
  <c r="M50" i="25" s="1"/>
  <c r="M56" i="25" s="1"/>
  <c r="AK16" i="20"/>
  <c r="AK107" i="27" s="1"/>
  <c r="AK113" i="27" s="1"/>
  <c r="AK119" i="27" s="1"/>
  <c r="AK125" i="27" s="1"/>
  <c r="AK41" i="27"/>
  <c r="AK47" i="27" s="1"/>
  <c r="AK128" i="20"/>
  <c r="AK130" i="20" s="1"/>
  <c r="AK43" i="27"/>
  <c r="AK49" i="27" s="1"/>
  <c r="AK5" i="27"/>
  <c r="AK11" i="27" s="1"/>
  <c r="AK164" i="20"/>
  <c r="AK166" i="20" s="1"/>
  <c r="AK67" i="20"/>
  <c r="AK73" i="20" s="1"/>
  <c r="AN179" i="32"/>
  <c r="AK172" i="27"/>
  <c r="AK178" i="27" s="1"/>
  <c r="AK184" i="27" s="1"/>
  <c r="AK190" i="27" s="1"/>
  <c r="AK203" i="27"/>
  <c r="AK209" i="27" s="1"/>
  <c r="AK137" i="27"/>
  <c r="AK143" i="27" s="1"/>
  <c r="AK207" i="27"/>
  <c r="AK213" i="27" s="1"/>
  <c r="AK141" i="27"/>
  <c r="AK147" i="27" s="1"/>
  <c r="AK72" i="27"/>
  <c r="AK78" i="27" s="1"/>
  <c r="AK32" i="20"/>
  <c r="AK39" i="20" s="1"/>
  <c r="AK40" i="20" s="1"/>
  <c r="AK142" i="27"/>
  <c r="AK148" i="27" s="1"/>
  <c r="AK136" i="20"/>
  <c r="AK142" i="20" s="1"/>
  <c r="AK148" i="20" s="1"/>
  <c r="AK154" i="20" s="1"/>
  <c r="AK138" i="20"/>
  <c r="AK144" i="20" s="1"/>
  <c r="AK17" i="20"/>
  <c r="AK19" i="20" s="1"/>
  <c r="AK30" i="20"/>
  <c r="AK37" i="20" s="1"/>
  <c r="AK31" i="20"/>
  <c r="AK38" i="20" s="1"/>
  <c r="AK98" i="20"/>
  <c r="AK104" i="20" s="1"/>
  <c r="AK6" i="27"/>
  <c r="AK12" i="27" s="1"/>
  <c r="AK10" i="27"/>
  <c r="AK16" i="27" s="1"/>
  <c r="AK71" i="27"/>
  <c r="AK77" i="27" s="1"/>
  <c r="AK139" i="20"/>
  <c r="AK145" i="20" s="1"/>
  <c r="AK40" i="27"/>
  <c r="AK46" i="27" s="1"/>
  <c r="AK137" i="20"/>
  <c r="AK143" i="20" s="1"/>
  <c r="AK149" i="20" s="1"/>
  <c r="AK155" i="20" s="1"/>
  <c r="AK101" i="20"/>
  <c r="AK107" i="20" s="1"/>
  <c r="AK109" i="27"/>
  <c r="AK115" i="27" s="1"/>
  <c r="AK121" i="27" s="1"/>
  <c r="AK127" i="27" s="1"/>
  <c r="AK170" i="27"/>
  <c r="AK176" i="27" s="1"/>
  <c r="AK62" i="20"/>
  <c r="AK68" i="20" s="1"/>
  <c r="AL79" i="20"/>
  <c r="AL85" i="20" s="1"/>
  <c r="L6" i="25"/>
  <c r="L12" i="25" s="1"/>
  <c r="L18" i="25" s="1"/>
  <c r="L24" i="25" s="1"/>
  <c r="AC142" i="11"/>
  <c r="J90" i="18"/>
  <c r="S27" i="18"/>
  <c r="S34" i="18" s="1"/>
  <c r="S42" i="18" s="1"/>
  <c r="S100" i="18"/>
  <c r="S106" i="18" s="1"/>
  <c r="S112" i="18" s="1"/>
  <c r="S118" i="18" s="1"/>
  <c r="S203" i="25"/>
  <c r="S209" i="25" s="1"/>
  <c r="S215" i="25" s="1"/>
  <c r="S221" i="25" s="1"/>
  <c r="R17" i="27"/>
  <c r="R23" i="27" s="1"/>
  <c r="R45" i="20"/>
  <c r="R219" i="27"/>
  <c r="R225" i="27" s="1"/>
  <c r="N139" i="11"/>
  <c r="W84" i="33"/>
  <c r="W22" i="33" s="1"/>
  <c r="W40" i="33" s="1"/>
  <c r="W58" i="33" s="1"/>
  <c r="R114" i="53"/>
  <c r="R115" i="53"/>
  <c r="T18" i="26"/>
  <c r="T24" i="26" s="1"/>
  <c r="U198" i="32"/>
  <c r="R28" i="20"/>
  <c r="R35" i="20" s="1"/>
  <c r="R43" i="20" s="1"/>
  <c r="R65" i="20"/>
  <c r="R71" i="20" s="1"/>
  <c r="R77" i="20" s="1"/>
  <c r="R83" i="20" s="1"/>
  <c r="W74" i="33"/>
  <c r="W12" i="33" s="1"/>
  <c r="W30" i="33" s="1"/>
  <c r="W48" i="33" s="1"/>
  <c r="N129" i="11"/>
  <c r="T217" i="26"/>
  <c r="T223" i="26" s="1"/>
  <c r="AG92" i="19"/>
  <c r="AG94" i="19" s="1"/>
  <c r="AJ92" i="32"/>
  <c r="N162" i="18"/>
  <c r="AJ28" i="32"/>
  <c r="T41" i="19"/>
  <c r="AB221" i="25"/>
  <c r="AE64" i="32"/>
  <c r="H104" i="25"/>
  <c r="H110" i="25" s="1"/>
  <c r="H116" i="25" s="1"/>
  <c r="H122" i="25" s="1"/>
  <c r="H25" i="18"/>
  <c r="H32" i="18" s="1"/>
  <c r="H40" i="18" s="1"/>
  <c r="W7" i="20"/>
  <c r="W8" i="20"/>
  <c r="AM17" i="20"/>
  <c r="AM19" i="20" s="1"/>
  <c r="AM7" i="27"/>
  <c r="AM13" i="27" s="1"/>
  <c r="AG111" i="32"/>
  <c r="AD128" i="19"/>
  <c r="AD130" i="19" s="1"/>
  <c r="AD172" i="26"/>
  <c r="AD178" i="26" s="1"/>
  <c r="AD106" i="26"/>
  <c r="AD112" i="26" s="1"/>
  <c r="AD41" i="26"/>
  <c r="AD47" i="26" s="1"/>
  <c r="AD53" i="26" s="1"/>
  <c r="AD59" i="26" s="1"/>
  <c r="AD174" i="26"/>
  <c r="AD180" i="26" s="1"/>
  <c r="AD16" i="19"/>
  <c r="AD8" i="26" s="1"/>
  <c r="AD14" i="26" s="1"/>
  <c r="AD20" i="26" s="1"/>
  <c r="AD26" i="26" s="1"/>
  <c r="AD164" i="19"/>
  <c r="AD166" i="19" s="1"/>
  <c r="AD208" i="26"/>
  <c r="AD214" i="26" s="1"/>
  <c r="AD220" i="26" s="1"/>
  <c r="AD226" i="26" s="1"/>
  <c r="AD72" i="26"/>
  <c r="AD78" i="26" s="1"/>
  <c r="AD84" i="26" s="1"/>
  <c r="AD90" i="26" s="1"/>
  <c r="AD43" i="26"/>
  <c r="AD49" i="26" s="1"/>
  <c r="AD55" i="26" s="1"/>
  <c r="AD61" i="26" s="1"/>
  <c r="AD31" i="19"/>
  <c r="AD38" i="19" s="1"/>
  <c r="AD46" i="19" s="1"/>
  <c r="AD204" i="26"/>
  <c r="AD210" i="26" s="1"/>
  <c r="AD63" i="19"/>
  <c r="AD69" i="19" s="1"/>
  <c r="AD75" i="19" s="1"/>
  <c r="AD81" i="19" s="1"/>
  <c r="AD103" i="19"/>
  <c r="AD109" i="19" s="1"/>
  <c r="AD29" i="19"/>
  <c r="AD36" i="19" s="1"/>
  <c r="AD108" i="26"/>
  <c r="AD114" i="26" s="1"/>
  <c r="AD206" i="26"/>
  <c r="AD212" i="26" s="1"/>
  <c r="AD42" i="26"/>
  <c r="AD48" i="26" s="1"/>
  <c r="AD54" i="26" s="1"/>
  <c r="AD60" i="26" s="1"/>
  <c r="AD27" i="19"/>
  <c r="AD34" i="19" s="1"/>
  <c r="AD42" i="19" s="1"/>
  <c r="AD67" i="19"/>
  <c r="AD73" i="19" s="1"/>
  <c r="AD137" i="19"/>
  <c r="AD143" i="19" s="1"/>
  <c r="AD38" i="26"/>
  <c r="AD44" i="26" s="1"/>
  <c r="AD102" i="19"/>
  <c r="AD108" i="19" s="1"/>
  <c r="AD98" i="19"/>
  <c r="AD104" i="19" s="1"/>
  <c r="AD76" i="26"/>
  <c r="AD82" i="26" s="1"/>
  <c r="AD175" i="26"/>
  <c r="AD181" i="26" s="1"/>
  <c r="AD187" i="26" s="1"/>
  <c r="AD193" i="26" s="1"/>
  <c r="AD138" i="26"/>
  <c r="AD144" i="26" s="1"/>
  <c r="AD40" i="26"/>
  <c r="AD46" i="26" s="1"/>
  <c r="AD100" i="19"/>
  <c r="AD106" i="19" s="1"/>
  <c r="AD112" i="19" s="1"/>
  <c r="AD118" i="19" s="1"/>
  <c r="AD107" i="26"/>
  <c r="AD113" i="26" s="1"/>
  <c r="AD119" i="26" s="1"/>
  <c r="AD125" i="26" s="1"/>
  <c r="AD205" i="26"/>
  <c r="AD211" i="26" s="1"/>
  <c r="AD217" i="26" s="1"/>
  <c r="AD223" i="26" s="1"/>
  <c r="AD28" i="19"/>
  <c r="AD35" i="19" s="1"/>
  <c r="AD43" i="19" s="1"/>
  <c r="AD101" i="19"/>
  <c r="AD107" i="19" s="1"/>
  <c r="AD207" i="26"/>
  <c r="AD213" i="26" s="1"/>
  <c r="AD219" i="26" s="1"/>
  <c r="AD225" i="26" s="1"/>
  <c r="AD17" i="19"/>
  <c r="AD19" i="19" s="1"/>
  <c r="AD6" i="26"/>
  <c r="AD12" i="26" s="1"/>
  <c r="AD39" i="26"/>
  <c r="AD45" i="26" s="1"/>
  <c r="AD26" i="19"/>
  <c r="AD33" i="19" s="1"/>
  <c r="AD7" i="26"/>
  <c r="AD13" i="26" s="1"/>
  <c r="AD19" i="26" s="1"/>
  <c r="AD25" i="26" s="1"/>
  <c r="AD71" i="26"/>
  <c r="AD77" i="26" s="1"/>
  <c r="AD83" i="26" s="1"/>
  <c r="AD89" i="26" s="1"/>
  <c r="AD173" i="26"/>
  <c r="AD179" i="26" s="1"/>
  <c r="AD75" i="26"/>
  <c r="AD81" i="26" s="1"/>
  <c r="AD137" i="26"/>
  <c r="AD143" i="26" s="1"/>
  <c r="AD65" i="19"/>
  <c r="AD71" i="19" s="1"/>
  <c r="AD62" i="19"/>
  <c r="AD68" i="19" s="1"/>
  <c r="AD171" i="26"/>
  <c r="AD177" i="26" s="1"/>
  <c r="AD64" i="19"/>
  <c r="AD70" i="19" s="1"/>
  <c r="AD136" i="19"/>
  <c r="AD142" i="19" s="1"/>
  <c r="AD148" i="19" s="1"/>
  <c r="AD154" i="19" s="1"/>
  <c r="AD32" i="19"/>
  <c r="AD39" i="19" s="1"/>
  <c r="AD40" i="19" s="1"/>
  <c r="AD73" i="26"/>
  <c r="AD79" i="26" s="1"/>
  <c r="AD135" i="19"/>
  <c r="AD141" i="19" s="1"/>
  <c r="AD147" i="19" s="1"/>
  <c r="AD153" i="19" s="1"/>
  <c r="AD5" i="26"/>
  <c r="AD11" i="26" s="1"/>
  <c r="AD17" i="26" s="1"/>
  <c r="AD23" i="26" s="1"/>
  <c r="AD109" i="26"/>
  <c r="AD115" i="26" s="1"/>
  <c r="AD121" i="26" s="1"/>
  <c r="AD127" i="26" s="1"/>
  <c r="AD203" i="26"/>
  <c r="AD209" i="26" s="1"/>
  <c r="AD215" i="26" s="1"/>
  <c r="AD221" i="26" s="1"/>
  <c r="AD140" i="26"/>
  <c r="AD146" i="26" s="1"/>
  <c r="AD152" i="26" s="1"/>
  <c r="AD158" i="26" s="1"/>
  <c r="AD139" i="26"/>
  <c r="AD145" i="26" s="1"/>
  <c r="AD151" i="26" s="1"/>
  <c r="AD157" i="26" s="1"/>
  <c r="AD141" i="26"/>
  <c r="AD147" i="26" s="1"/>
  <c r="AD153" i="26" s="1"/>
  <c r="AD159" i="26" s="1"/>
  <c r="AD170" i="26"/>
  <c r="AD176" i="26" s="1"/>
  <c r="AD138" i="19"/>
  <c r="AD144" i="19" s="1"/>
  <c r="AD66" i="19"/>
  <c r="AD72" i="19" s="1"/>
  <c r="AD78" i="19" s="1"/>
  <c r="AD84" i="19" s="1"/>
  <c r="AD99" i="19"/>
  <c r="AD105" i="19" s="1"/>
  <c r="AD111" i="19" s="1"/>
  <c r="AD117" i="19" s="1"/>
  <c r="AD134" i="19"/>
  <c r="AD140" i="19" s="1"/>
  <c r="AD146" i="19" s="1"/>
  <c r="AD152" i="19" s="1"/>
  <c r="AD9" i="26"/>
  <c r="AD15" i="26" s="1"/>
  <c r="AD142" i="26"/>
  <c r="AD148" i="26" s="1"/>
  <c r="AD139" i="19"/>
  <c r="AD145" i="19" s="1"/>
  <c r="T53" i="26"/>
  <c r="T59" i="26" s="1"/>
  <c r="O78" i="33"/>
  <c r="O16" i="33" s="1"/>
  <c r="O34" i="33" s="1"/>
  <c r="O52" i="33" s="1"/>
  <c r="G133" i="11"/>
  <c r="O28" i="11"/>
  <c r="T42" i="27"/>
  <c r="T48" i="27" s="1"/>
  <c r="T54" i="27" s="1"/>
  <c r="T60" i="27" s="1"/>
  <c r="T43" i="27"/>
  <c r="T49" i="27" s="1"/>
  <c r="L72" i="27"/>
  <c r="L78" i="27" s="1"/>
  <c r="AQ81" i="33"/>
  <c r="AQ19" i="33" s="1"/>
  <c r="AQ37" i="33" s="1"/>
  <c r="AQ55" i="33" s="1"/>
  <c r="AE136" i="11"/>
  <c r="Q54" i="27"/>
  <c r="Q60" i="27" s="1"/>
  <c r="Q116" i="27"/>
  <c r="Q122" i="27" s="1"/>
  <c r="AJ7" i="25"/>
  <c r="AJ13" i="25" s="1"/>
  <c r="AJ19" i="25" s="1"/>
  <c r="AJ25" i="25" s="1"/>
  <c r="AA34" i="32"/>
  <c r="AA35" i="32" s="1"/>
  <c r="AA13" i="34" s="1"/>
  <c r="AA44" i="32"/>
  <c r="AA12" i="34" s="1"/>
  <c r="AC28" i="11"/>
  <c r="AF28" i="11"/>
  <c r="T28" i="11"/>
  <c r="Q28" i="11"/>
  <c r="D205" i="25"/>
  <c r="D211" i="25" s="1"/>
  <c r="D217" i="25" s="1"/>
  <c r="D223" i="25" s="1"/>
  <c r="AC104" i="53"/>
  <c r="AC105" i="53"/>
  <c r="R105" i="53"/>
  <c r="R104" i="53"/>
  <c r="AG65" i="20"/>
  <c r="AG71" i="20" s="1"/>
  <c r="AM79" i="33"/>
  <c r="AM17" i="33" s="1"/>
  <c r="AM35" i="33" s="1"/>
  <c r="AM53" i="33" s="1"/>
  <c r="AO134" i="11"/>
  <c r="AM42" i="20"/>
  <c r="J231" i="25"/>
  <c r="J198" i="25"/>
  <c r="J165" i="25"/>
  <c r="J132" i="25"/>
  <c r="J99" i="25"/>
  <c r="J33" i="25"/>
  <c r="J66" i="25"/>
  <c r="U95" i="25"/>
  <c r="U227" i="25"/>
  <c r="U161" i="25"/>
  <c r="U128" i="25"/>
  <c r="U62" i="25"/>
  <c r="U29" i="25"/>
  <c r="U194" i="25"/>
  <c r="U158" i="18"/>
  <c r="V45" i="32"/>
  <c r="S47" i="18"/>
  <c r="V17" i="32"/>
  <c r="S70" i="52"/>
  <c r="N138" i="11"/>
  <c r="W83" i="33"/>
  <c r="W21" i="33" s="1"/>
  <c r="W39" i="33" s="1"/>
  <c r="W57" i="33" s="1"/>
  <c r="Y129" i="11"/>
  <c r="AI74" i="33"/>
  <c r="AI12" i="33" s="1"/>
  <c r="AI30" i="33" s="1"/>
  <c r="AI48" i="33" s="1"/>
  <c r="AB163" i="18"/>
  <c r="N61" i="27"/>
  <c r="N67" i="27" s="1"/>
  <c r="Q158" i="32"/>
  <c r="R139" i="20"/>
  <c r="R145" i="20" s="1"/>
  <c r="R151" i="20" s="1"/>
  <c r="R157" i="20" s="1"/>
  <c r="R74" i="27"/>
  <c r="R80" i="27" s="1"/>
  <c r="R86" i="27" s="1"/>
  <c r="R92" i="27" s="1"/>
  <c r="R6" i="27"/>
  <c r="R12" i="27" s="1"/>
  <c r="R18" i="27" s="1"/>
  <c r="R24" i="27" s="1"/>
  <c r="G162" i="59"/>
  <c r="T152" i="26"/>
  <c r="T158" i="26" s="1"/>
  <c r="AN115" i="53"/>
  <c r="AN114" i="53"/>
  <c r="I30" i="25"/>
  <c r="I162" i="25"/>
  <c r="I129" i="25"/>
  <c r="I63" i="25"/>
  <c r="I96" i="25"/>
  <c r="I228" i="25"/>
  <c r="I195" i="25"/>
  <c r="I159" i="18"/>
  <c r="AE71" i="33"/>
  <c r="AE9" i="33" s="1"/>
  <c r="AE27" i="33" s="1"/>
  <c r="AE45" i="33" s="1"/>
  <c r="V126" i="11"/>
  <c r="N132" i="11"/>
  <c r="W77" i="33"/>
  <c r="W15" i="33" s="1"/>
  <c r="W33" i="33" s="1"/>
  <c r="W51" i="33" s="1"/>
  <c r="AB56" i="25"/>
  <c r="AB62" i="25" s="1"/>
  <c r="AE17" i="32"/>
  <c r="H107" i="32"/>
  <c r="H79" i="32"/>
  <c r="H88" i="32"/>
  <c r="H97" i="32"/>
  <c r="E79" i="52"/>
  <c r="E51" i="19"/>
  <c r="AG143" i="11"/>
  <c r="AG144" i="11" s="1"/>
  <c r="X90" i="27"/>
  <c r="AA163" i="32"/>
  <c r="AQ176" i="32"/>
  <c r="AN86" i="52"/>
  <c r="AQ148" i="32"/>
  <c r="AQ195" i="32"/>
  <c r="AQ157" i="32"/>
  <c r="AQ185" i="32"/>
  <c r="AQ166" i="32"/>
  <c r="AQ204" i="32"/>
  <c r="AN52" i="20"/>
  <c r="K3" i="20"/>
  <c r="M4" i="34"/>
  <c r="AG31" i="25"/>
  <c r="AG229" i="25"/>
  <c r="AG196" i="25"/>
  <c r="AG97" i="25"/>
  <c r="AG130" i="25"/>
  <c r="AG64" i="25"/>
  <c r="AG163" i="25"/>
  <c r="AB90" i="18"/>
  <c r="T182" i="26"/>
  <c r="T188" i="26" s="1"/>
  <c r="H203" i="25"/>
  <c r="H209" i="25" s="1"/>
  <c r="H215" i="25" s="1"/>
  <c r="H221" i="25" s="1"/>
  <c r="H6" i="25"/>
  <c r="H12" i="25" s="1"/>
  <c r="H18" i="25" s="1"/>
  <c r="H24" i="25" s="1"/>
  <c r="AM76" i="27"/>
  <c r="AM82" i="27" s="1"/>
  <c r="AM88" i="27" s="1"/>
  <c r="AM94" i="27" s="1"/>
  <c r="AM106" i="27"/>
  <c r="AM112" i="27" s="1"/>
  <c r="AM118" i="27" s="1"/>
  <c r="AM124" i="27" s="1"/>
  <c r="AM141" i="27"/>
  <c r="AM147" i="27" s="1"/>
  <c r="AM153" i="27" s="1"/>
  <c r="AM159" i="27" s="1"/>
  <c r="AM134" i="20"/>
  <c r="AM140" i="20" s="1"/>
  <c r="AM146" i="20" s="1"/>
  <c r="AM152" i="20" s="1"/>
  <c r="AM135" i="20"/>
  <c r="AM141" i="20" s="1"/>
  <c r="AM147" i="20" s="1"/>
  <c r="AM153" i="20" s="1"/>
  <c r="AM75" i="27"/>
  <c r="AM81" i="27" s="1"/>
  <c r="AM87" i="27" s="1"/>
  <c r="AM93" i="27" s="1"/>
  <c r="AM109" i="27"/>
  <c r="AM115" i="27" s="1"/>
  <c r="AM121" i="27" s="1"/>
  <c r="AM127" i="27" s="1"/>
  <c r="AM8" i="27"/>
  <c r="AM14" i="27" s="1"/>
  <c r="AM20" i="27" s="1"/>
  <c r="AM26" i="27" s="1"/>
  <c r="AM139" i="20"/>
  <c r="AM145" i="20" s="1"/>
  <c r="AM151" i="20" s="1"/>
  <c r="AM157" i="20" s="1"/>
  <c r="AM31" i="20"/>
  <c r="AM38" i="20" s="1"/>
  <c r="AM46" i="20" s="1"/>
  <c r="AM142" i="27"/>
  <c r="AM148" i="27" s="1"/>
  <c r="AM154" i="27" s="1"/>
  <c r="AM160" i="27" s="1"/>
  <c r="AM138" i="20"/>
  <c r="AM144" i="20" s="1"/>
  <c r="AM150" i="20" s="1"/>
  <c r="AM156" i="20" s="1"/>
  <c r="AM139" i="27"/>
  <c r="AM145" i="27" s="1"/>
  <c r="AM151" i="27" s="1"/>
  <c r="AM157" i="27" s="1"/>
  <c r="AM71" i="27"/>
  <c r="AM77" i="27" s="1"/>
  <c r="AM83" i="27" s="1"/>
  <c r="AM89" i="27" s="1"/>
  <c r="AM207" i="27"/>
  <c r="AM213" i="27" s="1"/>
  <c r="AM219" i="27" s="1"/>
  <c r="AM225" i="27" s="1"/>
  <c r="AM6" i="27"/>
  <c r="AM12" i="27" s="1"/>
  <c r="AM18" i="27" s="1"/>
  <c r="AM24" i="27" s="1"/>
  <c r="AM66" i="20"/>
  <c r="AM72" i="20" s="1"/>
  <c r="AM78" i="20" s="1"/>
  <c r="AM84" i="20" s="1"/>
  <c r="AM105" i="27"/>
  <c r="AM111" i="27" s="1"/>
  <c r="AM117" i="27" s="1"/>
  <c r="AM123" i="27" s="1"/>
  <c r="AM9" i="27"/>
  <c r="AM15" i="27" s="1"/>
  <c r="AM21" i="27" s="1"/>
  <c r="AM27" i="27" s="1"/>
  <c r="AM102" i="20"/>
  <c r="AM108" i="20" s="1"/>
  <c r="AM114" i="20" s="1"/>
  <c r="AM120" i="20" s="1"/>
  <c r="AM204" i="27"/>
  <c r="AM210" i="27" s="1"/>
  <c r="AM216" i="27" s="1"/>
  <c r="AM222" i="27" s="1"/>
  <c r="P87" i="18"/>
  <c r="Z130" i="32"/>
  <c r="W104" i="26"/>
  <c r="W110" i="26" s="1"/>
  <c r="W116" i="26" s="1"/>
  <c r="W122" i="26" s="1"/>
  <c r="W66" i="19"/>
  <c r="W72" i="19" s="1"/>
  <c r="W78" i="19" s="1"/>
  <c r="W84" i="19" s="1"/>
  <c r="W29" i="19"/>
  <c r="W36" i="19" s="1"/>
  <c r="W44" i="19" s="1"/>
  <c r="W164" i="19"/>
  <c r="W166" i="19" s="1"/>
  <c r="W171" i="26"/>
  <c r="W177" i="26" s="1"/>
  <c r="W183" i="26" s="1"/>
  <c r="W189" i="26" s="1"/>
  <c r="W38" i="26"/>
  <c r="W44" i="26" s="1"/>
  <c r="W50" i="26" s="1"/>
  <c r="W56" i="26" s="1"/>
  <c r="W170" i="26"/>
  <c r="W176" i="26" s="1"/>
  <c r="W182" i="26" s="1"/>
  <c r="W188" i="26" s="1"/>
  <c r="W10" i="26"/>
  <c r="W16" i="26" s="1"/>
  <c r="W22" i="26" s="1"/>
  <c r="W28" i="26" s="1"/>
  <c r="W99" i="19"/>
  <c r="W105" i="19" s="1"/>
  <c r="W111" i="19" s="1"/>
  <c r="W117" i="19" s="1"/>
  <c r="W28" i="19"/>
  <c r="W35" i="19" s="1"/>
  <c r="W43" i="19" s="1"/>
  <c r="W74" i="26"/>
  <c r="W80" i="26" s="1"/>
  <c r="W203" i="26"/>
  <c r="W209" i="26" s="1"/>
  <c r="W139" i="19"/>
  <c r="W145" i="19" s="1"/>
  <c r="W6" i="26"/>
  <c r="W12" i="26" s="1"/>
  <c r="W18" i="26" s="1"/>
  <c r="W24" i="26" s="1"/>
  <c r="W98" i="19"/>
  <c r="W104" i="19" s="1"/>
  <c r="W110" i="19" s="1"/>
  <c r="W116" i="19" s="1"/>
  <c r="W173" i="26"/>
  <c r="W179" i="26" s="1"/>
  <c r="W185" i="26" s="1"/>
  <c r="W191" i="26" s="1"/>
  <c r="W138" i="26"/>
  <c r="W144" i="26" s="1"/>
  <c r="W206" i="26"/>
  <c r="W212" i="26" s="1"/>
  <c r="W218" i="26" s="1"/>
  <c r="W224" i="26" s="1"/>
  <c r="W30" i="19"/>
  <c r="W37" i="19" s="1"/>
  <c r="W45" i="19" s="1"/>
  <c r="W140" i="26"/>
  <c r="W146" i="26" s="1"/>
  <c r="W152" i="26" s="1"/>
  <c r="W158" i="26" s="1"/>
  <c r="W27" i="19"/>
  <c r="W34" i="19" s="1"/>
  <c r="W100" i="19"/>
  <c r="W106" i="19" s="1"/>
  <c r="W103" i="19"/>
  <c r="W109" i="19" s="1"/>
  <c r="W115" i="19" s="1"/>
  <c r="W121" i="19" s="1"/>
  <c r="W208" i="26"/>
  <c r="W214" i="26" s="1"/>
  <c r="W220" i="26" s="1"/>
  <c r="W226" i="26" s="1"/>
  <c r="W137" i="19"/>
  <c r="W143" i="19" s="1"/>
  <c r="W149" i="19" s="1"/>
  <c r="W155" i="19" s="1"/>
  <c r="W141" i="26"/>
  <c r="W147" i="26" s="1"/>
  <c r="W153" i="26" s="1"/>
  <c r="W159" i="26" s="1"/>
  <c r="W109" i="26"/>
  <c r="W115" i="26" s="1"/>
  <c r="W121" i="26" s="1"/>
  <c r="W127" i="26" s="1"/>
  <c r="W32" i="19"/>
  <c r="W39" i="19" s="1"/>
  <c r="W40" i="19" s="1"/>
  <c r="W26" i="19"/>
  <c r="W33" i="19" s="1"/>
  <c r="W41" i="19" s="1"/>
  <c r="W40" i="26"/>
  <c r="W46" i="26" s="1"/>
  <c r="W52" i="26" s="1"/>
  <c r="W58" i="26" s="1"/>
  <c r="W108" i="26"/>
  <c r="W114" i="26" s="1"/>
  <c r="W120" i="26" s="1"/>
  <c r="W126" i="26" s="1"/>
  <c r="W205" i="26"/>
  <c r="W211" i="26" s="1"/>
  <c r="W217" i="26" s="1"/>
  <c r="W223" i="26" s="1"/>
  <c r="W39" i="26"/>
  <c r="W45" i="26" s="1"/>
  <c r="W51" i="26" s="1"/>
  <c r="W57" i="26" s="1"/>
  <c r="W175" i="26"/>
  <c r="W181" i="26" s="1"/>
  <c r="W187" i="26" s="1"/>
  <c r="W193" i="26" s="1"/>
  <c r="W101" i="19"/>
  <c r="W107" i="19" s="1"/>
  <c r="W137" i="26"/>
  <c r="W143" i="26" s="1"/>
  <c r="W149" i="26" s="1"/>
  <c r="W155" i="26" s="1"/>
  <c r="W138" i="19"/>
  <c r="W144" i="19" s="1"/>
  <c r="W134" i="19"/>
  <c r="W140" i="19" s="1"/>
  <c r="W146" i="19" s="1"/>
  <c r="W152" i="19" s="1"/>
  <c r="W102" i="19"/>
  <c r="W108" i="19" s="1"/>
  <c r="W114" i="19" s="1"/>
  <c r="W120" i="19" s="1"/>
  <c r="W105" i="26"/>
  <c r="W111" i="26" s="1"/>
  <c r="W117" i="26" s="1"/>
  <c r="W123" i="26" s="1"/>
  <c r="W17" i="19"/>
  <c r="W19" i="19" s="1"/>
  <c r="W204" i="26"/>
  <c r="W210" i="26" s="1"/>
  <c r="W216" i="26" s="1"/>
  <c r="W222" i="26" s="1"/>
  <c r="W62" i="19"/>
  <c r="W68" i="19" s="1"/>
  <c r="W74" i="19" s="1"/>
  <c r="W80" i="19" s="1"/>
  <c r="W106" i="26"/>
  <c r="W112" i="26" s="1"/>
  <c r="W118" i="26" s="1"/>
  <c r="W124" i="26" s="1"/>
  <c r="W172" i="26"/>
  <c r="W178" i="26" s="1"/>
  <c r="W73" i="26"/>
  <c r="W79" i="26" s="1"/>
  <c r="W8" i="26"/>
  <c r="W14" i="26" s="1"/>
  <c r="W20" i="26" s="1"/>
  <c r="W26" i="26" s="1"/>
  <c r="W207" i="26"/>
  <c r="W213" i="26" s="1"/>
  <c r="W219" i="26" s="1"/>
  <c r="W225" i="26" s="1"/>
  <c r="W64" i="19"/>
  <c r="W70" i="19" s="1"/>
  <c r="W76" i="19" s="1"/>
  <c r="W82" i="19" s="1"/>
  <c r="W67" i="19"/>
  <c r="W73" i="19" s="1"/>
  <c r="W79" i="19" s="1"/>
  <c r="W85" i="19" s="1"/>
  <c r="W174" i="26"/>
  <c r="W180" i="26" s="1"/>
  <c r="W186" i="26" s="1"/>
  <c r="W192" i="26" s="1"/>
  <c r="W41" i="26"/>
  <c r="W47" i="26" s="1"/>
  <c r="W53" i="26" s="1"/>
  <c r="W59" i="26" s="1"/>
  <c r="W63" i="19"/>
  <c r="W69" i="19" s="1"/>
  <c r="W75" i="19" s="1"/>
  <c r="W81" i="19" s="1"/>
  <c r="W72" i="26"/>
  <c r="W78" i="26" s="1"/>
  <c r="W84" i="26" s="1"/>
  <c r="W90" i="26" s="1"/>
  <c r="W5" i="26"/>
  <c r="W11" i="26" s="1"/>
  <c r="W17" i="26" s="1"/>
  <c r="W23" i="26" s="1"/>
  <c r="W75" i="26"/>
  <c r="W81" i="26" s="1"/>
  <c r="W87" i="26" s="1"/>
  <c r="W93" i="26" s="1"/>
  <c r="W135" i="19"/>
  <c r="W141" i="19" s="1"/>
  <c r="W147" i="19" s="1"/>
  <c r="W153" i="19" s="1"/>
  <c r="W107" i="26"/>
  <c r="W113" i="26" s="1"/>
  <c r="W119" i="26" s="1"/>
  <c r="W125" i="26" s="1"/>
  <c r="W136" i="19"/>
  <c r="W142" i="19" s="1"/>
  <c r="W7" i="26"/>
  <c r="W13" i="26" s="1"/>
  <c r="W19" i="26" s="1"/>
  <c r="W25" i="26" s="1"/>
  <c r="W65" i="19"/>
  <c r="W71" i="19" s="1"/>
  <c r="W142" i="26"/>
  <c r="W148" i="26" s="1"/>
  <c r="W154" i="26" s="1"/>
  <c r="W160" i="26" s="1"/>
  <c r="W76" i="26"/>
  <c r="W82" i="26" s="1"/>
  <c r="W88" i="26" s="1"/>
  <c r="W94" i="26" s="1"/>
  <c r="O75" i="33"/>
  <c r="O13" i="33" s="1"/>
  <c r="O31" i="33" s="1"/>
  <c r="O49" i="33" s="1"/>
  <c r="G130" i="11"/>
  <c r="AC6" i="5"/>
  <c r="AD28" i="1"/>
  <c r="W28" i="1"/>
  <c r="T42" i="19"/>
  <c r="T28" i="20"/>
  <c r="T35" i="20" s="1"/>
  <c r="T207" i="27"/>
  <c r="T213" i="27" s="1"/>
  <c r="L171" i="27"/>
  <c r="L177" i="27" s="1"/>
  <c r="AQ84" i="33"/>
  <c r="AQ22" i="33" s="1"/>
  <c r="AQ40" i="33" s="1"/>
  <c r="AQ58" i="33" s="1"/>
  <c r="AE139" i="11"/>
  <c r="Q216" i="27"/>
  <c r="Q222" i="27" s="1"/>
  <c r="Q20" i="27"/>
  <c r="Q26" i="27" s="1"/>
  <c r="AF86" i="20"/>
  <c r="A198" i="53"/>
  <c r="AS21" i="53"/>
  <c r="AD195" i="32"/>
  <c r="AJ39" i="25"/>
  <c r="AJ45" i="25" s="1"/>
  <c r="AJ51" i="25" s="1"/>
  <c r="AJ57" i="25" s="1"/>
  <c r="X106" i="25"/>
  <c r="X112" i="25" s="1"/>
  <c r="X118" i="25" s="1"/>
  <c r="X124" i="25" s="1"/>
  <c r="AI144" i="11"/>
  <c r="D139" i="18"/>
  <c r="D145" i="18" s="1"/>
  <c r="D151" i="18" s="1"/>
  <c r="D157" i="18" s="1"/>
  <c r="C51" i="33"/>
  <c r="D51" i="33" s="1"/>
  <c r="D33" i="33"/>
  <c r="W104" i="53"/>
  <c r="W105" i="53"/>
  <c r="AD105" i="53"/>
  <c r="AD104" i="53"/>
  <c r="AG173" i="27"/>
  <c r="AG179" i="27" s="1"/>
  <c r="AG185" i="27" s="1"/>
  <c r="AG191" i="27" s="1"/>
  <c r="Q47" i="32"/>
  <c r="Q38" i="32"/>
  <c r="N72" i="52"/>
  <c r="Q66" i="32"/>
  <c r="N49" i="18"/>
  <c r="N63" i="32"/>
  <c r="M14" i="34" s="1"/>
  <c r="N53" i="32"/>
  <c r="N54" i="32" s="1"/>
  <c r="M15" i="34" s="1"/>
  <c r="M75" i="52"/>
  <c r="P22" i="32"/>
  <c r="P69" i="32"/>
  <c r="M52" i="18"/>
  <c r="M62" i="18"/>
  <c r="M68" i="18" s="1"/>
  <c r="M74" i="18" s="1"/>
  <c r="M80" i="18" s="1"/>
  <c r="AL187" i="27"/>
  <c r="AL193" i="27" s="1"/>
  <c r="AI93" i="32"/>
  <c r="AL25" i="34" s="1"/>
  <c r="AL39" i="34" s="1"/>
  <c r="AI74" i="32"/>
  <c r="AI75" i="32" s="1"/>
  <c r="AL23" i="34" s="1"/>
  <c r="AL37" i="34" s="1"/>
  <c r="AI83" i="32"/>
  <c r="AI84" i="32" s="1"/>
  <c r="AL24" i="34" s="1"/>
  <c r="AL38" i="34" s="1"/>
  <c r="AL30" i="20"/>
  <c r="AL37" i="20" s="1"/>
  <c r="AL45" i="20" s="1"/>
  <c r="AL29" i="20"/>
  <c r="AL36" i="20" s="1"/>
  <c r="AL44" i="20" s="1"/>
  <c r="L138" i="25"/>
  <c r="L144" i="25" s="1"/>
  <c r="L150" i="25" s="1"/>
  <c r="L156" i="25" s="1"/>
  <c r="L72" i="25"/>
  <c r="L78" i="25" s="1"/>
  <c r="L84" i="25" s="1"/>
  <c r="L90" i="25" s="1"/>
  <c r="L73" i="25"/>
  <c r="L79" i="25" s="1"/>
  <c r="L85" i="25" s="1"/>
  <c r="L91" i="25" s="1"/>
  <c r="AN159" i="18"/>
  <c r="AC59" i="32"/>
  <c r="AC21" i="32"/>
  <c r="AC49" i="32"/>
  <c r="AC12" i="32"/>
  <c r="AC68" i="32"/>
  <c r="AC40" i="32"/>
  <c r="AC30" i="32"/>
  <c r="Z74" i="52"/>
  <c r="Z51" i="18"/>
  <c r="AF129" i="11"/>
  <c r="AR74" i="33"/>
  <c r="AR12" i="33" s="1"/>
  <c r="AR30" i="33" s="1"/>
  <c r="AR48" i="33" s="1"/>
  <c r="S41" i="25"/>
  <c r="S47" i="25" s="1"/>
  <c r="S53" i="25" s="1"/>
  <c r="S59" i="25" s="1"/>
  <c r="S65" i="18"/>
  <c r="S71" i="18" s="1"/>
  <c r="S77" i="18" s="1"/>
  <c r="S83" i="18" s="1"/>
  <c r="S18" i="19"/>
  <c r="S15" i="19"/>
  <c r="S12" i="19"/>
  <c r="S6" i="19"/>
  <c r="R170" i="27"/>
  <c r="R176" i="27" s="1"/>
  <c r="R182" i="27" s="1"/>
  <c r="R188" i="27" s="1"/>
  <c r="R206" i="27"/>
  <c r="R212" i="27" s="1"/>
  <c r="R218" i="27" s="1"/>
  <c r="R224" i="27" s="1"/>
  <c r="R205" i="27"/>
  <c r="R211" i="27" s="1"/>
  <c r="R217" i="27" s="1"/>
  <c r="R223" i="27" s="1"/>
  <c r="AC115" i="53"/>
  <c r="AC114" i="53"/>
  <c r="J57" i="25"/>
  <c r="M18" i="32"/>
  <c r="AC71" i="33"/>
  <c r="AC9" i="33" s="1"/>
  <c r="AC27" i="33" s="1"/>
  <c r="AC45" i="33" s="1"/>
  <c r="T126" i="11"/>
  <c r="V123" i="11"/>
  <c r="AE68" i="33"/>
  <c r="AE6" i="33" s="1"/>
  <c r="AE24" i="33" s="1"/>
  <c r="AE42" i="33" s="1"/>
  <c r="AJ21" i="11"/>
  <c r="AM21" i="11" s="1"/>
  <c r="AG12" i="19"/>
  <c r="AG15" i="19"/>
  <c r="AG18" i="19"/>
  <c r="AG6" i="19"/>
  <c r="AB26" i="25"/>
  <c r="AE11" i="32"/>
  <c r="E18" i="26"/>
  <c r="E24" i="26" s="1"/>
  <c r="E137" i="26"/>
  <c r="E143" i="26" s="1"/>
  <c r="E149" i="26" s="1"/>
  <c r="E67" i="19"/>
  <c r="E73" i="19" s="1"/>
  <c r="E79" i="19" s="1"/>
  <c r="E85" i="19" s="1"/>
  <c r="E140" i="26"/>
  <c r="E146" i="26" s="1"/>
  <c r="E152" i="26" s="1"/>
  <c r="E158" i="26" s="1"/>
  <c r="E71" i="26"/>
  <c r="E77" i="26" s="1"/>
  <c r="E83" i="26" s="1"/>
  <c r="E89" i="26" s="1"/>
  <c r="E62" i="19"/>
  <c r="E68" i="19" s="1"/>
  <c r="E74" i="19" s="1"/>
  <c r="E5" i="26"/>
  <c r="E11" i="26" s="1"/>
  <c r="E17" i="26" s="1"/>
  <c r="E23" i="26" s="1"/>
  <c r="E134" i="19"/>
  <c r="E140" i="19" s="1"/>
  <c r="E146" i="19" s="1"/>
  <c r="E152" i="19" s="1"/>
  <c r="E173" i="26"/>
  <c r="E179" i="26" s="1"/>
  <c r="E185" i="26" s="1"/>
  <c r="E191" i="26" s="1"/>
  <c r="E138" i="26"/>
  <c r="E144" i="26" s="1"/>
  <c r="E150" i="26" s="1"/>
  <c r="E156" i="26" s="1"/>
  <c r="E206" i="26"/>
  <c r="E212" i="26" s="1"/>
  <c r="E218" i="26" s="1"/>
  <c r="E224" i="26" s="1"/>
  <c r="E28" i="19"/>
  <c r="E35" i="19" s="1"/>
  <c r="E43" i="19" s="1"/>
  <c r="E66" i="19"/>
  <c r="E72" i="19" s="1"/>
  <c r="E78" i="19" s="1"/>
  <c r="E84" i="19" s="1"/>
  <c r="E90" i="19" s="1"/>
  <c r="E39" i="26"/>
  <c r="E45" i="26" s="1"/>
  <c r="E51" i="26" s="1"/>
  <c r="E57" i="26" s="1"/>
  <c r="E109" i="26"/>
  <c r="E115" i="26" s="1"/>
  <c r="E121" i="26" s="1"/>
  <c r="E127" i="26" s="1"/>
  <c r="E73" i="26"/>
  <c r="E79" i="26" s="1"/>
  <c r="E85" i="26" s="1"/>
  <c r="E91" i="26" s="1"/>
  <c r="E104" i="26"/>
  <c r="E110" i="26" s="1"/>
  <c r="E116" i="26" s="1"/>
  <c r="E122" i="26" s="1"/>
  <c r="E203" i="26"/>
  <c r="E209" i="26" s="1"/>
  <c r="E215" i="26" s="1"/>
  <c r="E221" i="26" s="1"/>
  <c r="E139" i="26"/>
  <c r="E145" i="26" s="1"/>
  <c r="E151" i="26" s="1"/>
  <c r="E157" i="26" s="1"/>
  <c r="AI188" i="28"/>
  <c r="AI55" i="28"/>
  <c r="AI189" i="28"/>
  <c r="AI187" i="28"/>
  <c r="AI190" i="28"/>
  <c r="AD194" i="25"/>
  <c r="AD161" i="25"/>
  <c r="AD128" i="25"/>
  <c r="AD95" i="25"/>
  <c r="AD227" i="25"/>
  <c r="AD62" i="25"/>
  <c r="AD29" i="25"/>
  <c r="AD122" i="18"/>
  <c r="AD158" i="18"/>
  <c r="AD86" i="18"/>
  <c r="AJ10" i="32"/>
  <c r="H101" i="18"/>
  <c r="H107" i="18" s="1"/>
  <c r="H113" i="18" s="1"/>
  <c r="H119" i="18" s="1"/>
  <c r="H71" i="25"/>
  <c r="H77" i="25" s="1"/>
  <c r="H83" i="25" s="1"/>
  <c r="H89" i="25" s="1"/>
  <c r="AB125" i="18"/>
  <c r="G186" i="28"/>
  <c r="AM74" i="27"/>
  <c r="AM80" i="27" s="1"/>
  <c r="AM86" i="27" s="1"/>
  <c r="AM92" i="27" s="1"/>
  <c r="AM5" i="27"/>
  <c r="AM11" i="27" s="1"/>
  <c r="AM17" i="27" s="1"/>
  <c r="AM23" i="27" s="1"/>
  <c r="I123" i="18"/>
  <c r="AA38" i="28"/>
  <c r="AA102" i="28"/>
  <c r="T38" i="28"/>
  <c r="T102" i="28"/>
  <c r="AE63" i="20"/>
  <c r="AE69" i="20" s="1"/>
  <c r="AE75" i="20" s="1"/>
  <c r="AE81" i="20" s="1"/>
  <c r="AE108" i="27"/>
  <c r="AE114" i="27" s="1"/>
  <c r="Y232" i="25"/>
  <c r="Y199" i="25"/>
  <c r="Y67" i="25"/>
  <c r="Y100" i="25"/>
  <c r="Y133" i="25"/>
  <c r="Y34" i="25"/>
  <c r="Y166" i="25"/>
  <c r="Y91" i="18"/>
  <c r="Y163" i="18"/>
  <c r="T64" i="20"/>
  <c r="T70" i="20" s="1"/>
  <c r="T10" i="27"/>
  <c r="T16" i="27" s="1"/>
  <c r="L172" i="27"/>
  <c r="L178" i="27" s="1"/>
  <c r="AF60" i="27"/>
  <c r="AI157" i="32"/>
  <c r="AF50" i="20"/>
  <c r="AI202" i="32"/>
  <c r="AI183" i="32"/>
  <c r="AF84" i="52"/>
  <c r="AI155" i="32"/>
  <c r="AI164" i="32"/>
  <c r="AI146" i="32"/>
  <c r="AI174" i="32"/>
  <c r="AI193" i="32"/>
  <c r="AF27" i="27"/>
  <c r="AI148" i="32"/>
  <c r="T60" i="25"/>
  <c r="W21" i="32"/>
  <c r="AJ101" i="18"/>
  <c r="AJ107" i="18" s="1"/>
  <c r="AJ113" i="18" s="1"/>
  <c r="AJ119" i="18" s="1"/>
  <c r="X98" i="18"/>
  <c r="X104" i="18" s="1"/>
  <c r="X110" i="18" s="1"/>
  <c r="X116" i="18" s="1"/>
  <c r="AG27" i="20"/>
  <c r="AG34" i="20" s="1"/>
  <c r="AG42" i="20" s="1"/>
  <c r="P71" i="52"/>
  <c r="S27" i="32"/>
  <c r="S37" i="32"/>
  <c r="P48" i="18"/>
  <c r="P123" i="18" s="1"/>
  <c r="S18" i="32"/>
  <c r="S56" i="32"/>
  <c r="S9" i="32"/>
  <c r="S46" i="32"/>
  <c r="S65" i="32"/>
  <c r="AB130" i="11"/>
  <c r="AN75" i="33"/>
  <c r="AN13" i="33" s="1"/>
  <c r="AN31" i="33" s="1"/>
  <c r="AN49" i="33" s="1"/>
  <c r="AN90" i="18"/>
  <c r="AR77" i="33"/>
  <c r="AR15" i="33" s="1"/>
  <c r="AR33" i="33" s="1"/>
  <c r="AR51" i="33" s="1"/>
  <c r="AF132" i="11"/>
  <c r="P132" i="11"/>
  <c r="Z77" i="33"/>
  <c r="Z15" i="33" s="1"/>
  <c r="Z33" i="33" s="1"/>
  <c r="Z51" i="33" s="1"/>
  <c r="W29" i="1"/>
  <c r="AD29" i="1"/>
  <c r="AL84" i="27"/>
  <c r="AL90" i="27" s="1"/>
  <c r="L135" i="18"/>
  <c r="L141" i="18" s="1"/>
  <c r="L147" i="18" s="1"/>
  <c r="L153" i="18" s="1"/>
  <c r="AB162" i="25"/>
  <c r="AB30" i="25"/>
  <c r="AB63" i="25"/>
  <c r="AB195" i="25"/>
  <c r="AB129" i="25"/>
  <c r="AB96" i="25"/>
  <c r="AB228" i="25"/>
  <c r="AB123" i="18"/>
  <c r="AS40" i="53"/>
  <c r="A217" i="53"/>
  <c r="E297" i="53" s="1"/>
  <c r="AS30" i="53"/>
  <c r="AR83" i="33"/>
  <c r="AR21" i="33" s="1"/>
  <c r="AR39" i="33" s="1"/>
  <c r="AR57" i="33" s="1"/>
  <c r="AF138" i="11"/>
  <c r="Y132" i="11"/>
  <c r="AI77" i="33"/>
  <c r="AI15" i="33" s="1"/>
  <c r="AI33" i="33" s="1"/>
  <c r="AI51" i="33" s="1"/>
  <c r="L207" i="25"/>
  <c r="L213" i="25" s="1"/>
  <c r="L219" i="25" s="1"/>
  <c r="L225" i="25" s="1"/>
  <c r="AR71" i="33"/>
  <c r="AR9" i="33" s="1"/>
  <c r="AR27" i="33" s="1"/>
  <c r="AR45" i="33" s="1"/>
  <c r="AF126" i="11"/>
  <c r="S136" i="18"/>
  <c r="S142" i="18" s="1"/>
  <c r="S148" i="18" s="1"/>
  <c r="S154" i="18" s="1"/>
  <c r="Y126" i="11"/>
  <c r="AI71" i="33"/>
  <c r="AI9" i="33" s="1"/>
  <c r="AI27" i="33" s="1"/>
  <c r="AI45" i="33" s="1"/>
  <c r="AL32" i="20"/>
  <c r="AL39" i="20" s="1"/>
  <c r="AL40" i="20" s="1"/>
  <c r="AL206" i="27"/>
  <c r="AL212" i="27" s="1"/>
  <c r="AL218" i="27" s="1"/>
  <c r="AL224" i="27" s="1"/>
  <c r="L203" i="25"/>
  <c r="L209" i="25" s="1"/>
  <c r="L215" i="25" s="1"/>
  <c r="L221" i="25" s="1"/>
  <c r="AN74" i="52"/>
  <c r="AQ40" i="32"/>
  <c r="AQ49" i="32"/>
  <c r="AQ59" i="32"/>
  <c r="AQ12" i="32"/>
  <c r="AQ30" i="32"/>
  <c r="AQ21" i="32"/>
  <c r="AQ68" i="32"/>
  <c r="AN51" i="18"/>
  <c r="AF123" i="11"/>
  <c r="AJ34" i="11"/>
  <c r="AM34" i="11" s="1"/>
  <c r="AR68" i="33"/>
  <c r="AR6" i="33" s="1"/>
  <c r="AR24" i="33" s="1"/>
  <c r="AR42" i="33" s="1"/>
  <c r="T84" i="26"/>
  <c r="T90" i="26" s="1"/>
  <c r="U6" i="20"/>
  <c r="U18" i="20"/>
  <c r="U12" i="20"/>
  <c r="U15" i="20"/>
  <c r="S26" i="18"/>
  <c r="S33" i="18" s="1"/>
  <c r="S41" i="18" s="1"/>
  <c r="S98" i="18"/>
  <c r="S104" i="18" s="1"/>
  <c r="S110" i="18" s="1"/>
  <c r="S116" i="18" s="1"/>
  <c r="M17" i="32"/>
  <c r="M36" i="32"/>
  <c r="M8" i="32"/>
  <c r="M55" i="32"/>
  <c r="M64" i="32"/>
  <c r="M26" i="32"/>
  <c r="J47" i="18"/>
  <c r="J158" i="18" s="1"/>
  <c r="J46" i="18"/>
  <c r="J53" i="18" s="1"/>
  <c r="J70" i="52"/>
  <c r="M45" i="32"/>
  <c r="J93" i="18"/>
  <c r="J129" i="18"/>
  <c r="R39" i="27"/>
  <c r="R45" i="27" s="1"/>
  <c r="R51" i="27" s="1"/>
  <c r="R57" i="27" s="1"/>
  <c r="R27" i="20"/>
  <c r="R34" i="20" s="1"/>
  <c r="R42" i="20" s="1"/>
  <c r="R137" i="27"/>
  <c r="R143" i="27" s="1"/>
  <c r="R149" i="27" s="1"/>
  <c r="R155" i="27" s="1"/>
  <c r="E31" i="48"/>
  <c r="E50" i="48" s="1"/>
  <c r="E69" i="48" s="1"/>
  <c r="E88" i="48" s="1"/>
  <c r="E13" i="48"/>
  <c r="E32" i="48" s="1"/>
  <c r="E51" i="48" s="1"/>
  <c r="E70" i="48" s="1"/>
  <c r="E89" i="48" s="1"/>
  <c r="F114" i="53"/>
  <c r="F115" i="53"/>
  <c r="AC77" i="33"/>
  <c r="AC15" i="33" s="1"/>
  <c r="AC33" i="33" s="1"/>
  <c r="AC51" i="33" s="1"/>
  <c r="T132" i="11"/>
  <c r="AA188" i="27"/>
  <c r="AD191" i="32"/>
  <c r="V138" i="11"/>
  <c r="AE83" i="33"/>
  <c r="AE21" i="33" s="1"/>
  <c r="AE39" i="33" s="1"/>
  <c r="AE57" i="33" s="1"/>
  <c r="AJ47" i="32"/>
  <c r="AL46" i="28"/>
  <c r="AL110" i="28"/>
  <c r="V15" i="18"/>
  <c r="V71" i="25" s="1"/>
  <c r="V77" i="25" s="1"/>
  <c r="V83" i="25" s="1"/>
  <c r="V89" i="25" s="1"/>
  <c r="V75" i="25"/>
  <c r="V81" i="25" s="1"/>
  <c r="V87" i="25" s="1"/>
  <c r="V93" i="25" s="1"/>
  <c r="Y43" i="32"/>
  <c r="V108" i="25"/>
  <c r="V114" i="25" s="1"/>
  <c r="V120" i="25" s="1"/>
  <c r="V126" i="25" s="1"/>
  <c r="V138" i="25"/>
  <c r="V144" i="25" s="1"/>
  <c r="V150" i="25" s="1"/>
  <c r="V156" i="25" s="1"/>
  <c r="V28" i="18"/>
  <c r="V35" i="18" s="1"/>
  <c r="V43" i="18" s="1"/>
  <c r="V42" i="25"/>
  <c r="V48" i="25" s="1"/>
  <c r="V54" i="25" s="1"/>
  <c r="V60" i="25" s="1"/>
  <c r="V73" i="25"/>
  <c r="V79" i="25" s="1"/>
  <c r="V85" i="25" s="1"/>
  <c r="V91" i="25" s="1"/>
  <c r="V102" i="18"/>
  <c r="V108" i="18" s="1"/>
  <c r="V114" i="18" s="1"/>
  <c r="V120" i="18" s="1"/>
  <c r="V135" i="18"/>
  <c r="V141" i="18" s="1"/>
  <c r="V147" i="18" s="1"/>
  <c r="V153" i="18" s="1"/>
  <c r="V31" i="18"/>
  <c r="V38" i="18" s="1"/>
  <c r="V39" i="18" s="1"/>
  <c r="V208" i="25"/>
  <c r="V214" i="25" s="1"/>
  <c r="V220" i="25" s="1"/>
  <c r="V226" i="25" s="1"/>
  <c r="V98" i="18"/>
  <c r="V104" i="18" s="1"/>
  <c r="V110" i="18" s="1"/>
  <c r="V116" i="18" s="1"/>
  <c r="V137" i="18"/>
  <c r="V143" i="18" s="1"/>
  <c r="V149" i="18" s="1"/>
  <c r="V155" i="18" s="1"/>
  <c r="V100" i="18"/>
  <c r="V106" i="18" s="1"/>
  <c r="V112" i="18" s="1"/>
  <c r="V118" i="18" s="1"/>
  <c r="V139" i="25"/>
  <c r="V145" i="25" s="1"/>
  <c r="V151" i="25" s="1"/>
  <c r="V157" i="25" s="1"/>
  <c r="V138" i="18"/>
  <c r="V144" i="18" s="1"/>
  <c r="V150" i="18" s="1"/>
  <c r="V156" i="18" s="1"/>
  <c r="V142" i="25"/>
  <c r="V148" i="25" s="1"/>
  <c r="V154" i="25" s="1"/>
  <c r="V160" i="25" s="1"/>
  <c r="V29" i="18"/>
  <c r="V36" i="18" s="1"/>
  <c r="V44" i="18" s="1"/>
  <c r="V128" i="18"/>
  <c r="V130" i="18" s="1"/>
  <c r="H173" i="25"/>
  <c r="H179" i="25" s="1"/>
  <c r="H185" i="25" s="1"/>
  <c r="H191" i="25" s="1"/>
  <c r="H102" i="18"/>
  <c r="H108" i="18" s="1"/>
  <c r="H114" i="18" s="1"/>
  <c r="H120" i="18" s="1"/>
  <c r="AM175" i="27"/>
  <c r="AM181" i="27" s="1"/>
  <c r="AM187" i="27" s="1"/>
  <c r="AM193" i="27" s="1"/>
  <c r="AM65" i="20"/>
  <c r="AM71" i="20" s="1"/>
  <c r="AM77" i="20" s="1"/>
  <c r="AM83" i="20" s="1"/>
  <c r="AC63" i="32"/>
  <c r="AE14" i="34" s="1"/>
  <c r="AC53" i="32"/>
  <c r="AC54" i="32" s="1"/>
  <c r="AE15" i="34" s="1"/>
  <c r="AF227" i="25"/>
  <c r="AF161" i="25"/>
  <c r="AF62" i="25"/>
  <c r="AF95" i="25"/>
  <c r="AF29" i="25"/>
  <c r="AF128" i="25"/>
  <c r="AF194" i="25"/>
  <c r="AF158" i="18"/>
  <c r="AF122" i="18"/>
  <c r="P129" i="18"/>
  <c r="AE137" i="27"/>
  <c r="AE143" i="27" s="1"/>
  <c r="T62" i="25"/>
  <c r="T227" i="25"/>
  <c r="T194" i="25"/>
  <c r="T128" i="25"/>
  <c r="T161" i="25"/>
  <c r="T95" i="25"/>
  <c r="T29" i="25"/>
  <c r="T86" i="18"/>
  <c r="T158" i="18"/>
  <c r="T136" i="20"/>
  <c r="T142" i="20" s="1"/>
  <c r="T139" i="27"/>
  <c r="T145" i="27" s="1"/>
  <c r="AE133" i="11"/>
  <c r="AQ78" i="33"/>
  <c r="AQ16" i="33" s="1"/>
  <c r="AQ34" i="33" s="1"/>
  <c r="AQ52" i="33" s="1"/>
  <c r="Q119" i="27"/>
  <c r="Q125" i="27" s="1"/>
  <c r="H125" i="20"/>
  <c r="AN82" i="52"/>
  <c r="AQ200" i="32"/>
  <c r="AQ181" i="32"/>
  <c r="AQ191" i="32"/>
  <c r="AQ162" i="32"/>
  <c r="AQ172" i="32"/>
  <c r="AQ144" i="32"/>
  <c r="AQ153" i="32"/>
  <c r="AN47" i="20"/>
  <c r="AN54" i="20" s="1"/>
  <c r="AN48" i="20"/>
  <c r="AN165" i="20"/>
  <c r="AN93" i="20"/>
  <c r="AN129" i="20"/>
  <c r="F122" i="18"/>
  <c r="AJ27" i="18"/>
  <c r="AJ34" i="18" s="1"/>
  <c r="AJ42" i="18" s="1"/>
  <c r="H23" i="19"/>
  <c r="H13" i="19"/>
  <c r="K130" i="32" s="1"/>
  <c r="X136" i="18"/>
  <c r="X142" i="18" s="1"/>
  <c r="X148" i="18" s="1"/>
  <c r="X154" i="18" s="1"/>
  <c r="K127" i="11"/>
  <c r="T72" i="33"/>
  <c r="T10" i="33" s="1"/>
  <c r="T28" i="33" s="1"/>
  <c r="T46" i="33" s="1"/>
  <c r="AO105" i="53"/>
  <c r="AO104" i="53"/>
  <c r="AG104" i="53"/>
  <c r="AG105" i="53"/>
  <c r="S114" i="53"/>
  <c r="S115" i="53"/>
  <c r="L75" i="25"/>
  <c r="L81" i="25" s="1"/>
  <c r="L87" i="25" s="1"/>
  <c r="L93" i="25" s="1"/>
  <c r="Z3" i="20"/>
  <c r="AE4" i="34"/>
  <c r="AL100" i="20"/>
  <c r="AL106" i="20" s="1"/>
  <c r="AL112" i="20" s="1"/>
  <c r="AL118" i="20" s="1"/>
  <c r="AL73" i="27"/>
  <c r="AL79" i="27" s="1"/>
  <c r="AL85" i="27" s="1"/>
  <c r="AL91" i="27" s="1"/>
  <c r="AL9" i="27"/>
  <c r="AL15" i="27" s="1"/>
  <c r="AL21" i="27" s="1"/>
  <c r="AL27" i="27" s="1"/>
  <c r="L139" i="18"/>
  <c r="L145" i="18" s="1"/>
  <c r="L151" i="18" s="1"/>
  <c r="L157" i="18" s="1"/>
  <c r="J124" i="25"/>
  <c r="M38" i="32"/>
  <c r="S75" i="25"/>
  <c r="S81" i="25" s="1"/>
  <c r="S87" i="25" s="1"/>
  <c r="S93" i="25" s="1"/>
  <c r="M174" i="25"/>
  <c r="M180" i="25" s="1"/>
  <c r="M186" i="25" s="1"/>
  <c r="M192" i="25" s="1"/>
  <c r="M98" i="18"/>
  <c r="M104" i="18" s="1"/>
  <c r="M110" i="18" s="1"/>
  <c r="M116" i="18" s="1"/>
  <c r="AA23" i="27"/>
  <c r="AD144" i="32"/>
  <c r="M72" i="25"/>
  <c r="M78" i="25" s="1"/>
  <c r="M84" i="25" s="1"/>
  <c r="M206" i="25"/>
  <c r="M212" i="25" s="1"/>
  <c r="M218" i="25" s="1"/>
  <c r="M224" i="25" s="1"/>
  <c r="M208" i="25"/>
  <c r="M214" i="25" s="1"/>
  <c r="M220" i="25" s="1"/>
  <c r="M226" i="25" s="1"/>
  <c r="AL75" i="27"/>
  <c r="AL81" i="27" s="1"/>
  <c r="AL87" i="27" s="1"/>
  <c r="AL93" i="27" s="1"/>
  <c r="L102" i="18"/>
  <c r="L108" i="18" s="1"/>
  <c r="L114" i="18" s="1"/>
  <c r="L120" i="18" s="1"/>
  <c r="L142" i="25"/>
  <c r="L148" i="25" s="1"/>
  <c r="L154" i="25" s="1"/>
  <c r="L160" i="25" s="1"/>
  <c r="AN160" i="18"/>
  <c r="Y138" i="11"/>
  <c r="AI83" i="33"/>
  <c r="AI21" i="33" s="1"/>
  <c r="AI39" i="33" s="1"/>
  <c r="AI57" i="33" s="1"/>
  <c r="M102" i="18"/>
  <c r="M108" i="18" s="1"/>
  <c r="M114" i="18" s="1"/>
  <c r="M120" i="18" s="1"/>
  <c r="M40" i="25"/>
  <c r="M46" i="25" s="1"/>
  <c r="M52" i="25" s="1"/>
  <c r="M58" i="25" s="1"/>
  <c r="M137" i="25"/>
  <c r="M143" i="25" s="1"/>
  <c r="M149" i="25" s="1"/>
  <c r="M155" i="25" s="1"/>
  <c r="AL164" i="20"/>
  <c r="AL166" i="20" s="1"/>
  <c r="AL65" i="20"/>
  <c r="AL71" i="20" s="1"/>
  <c r="AL77" i="20" s="1"/>
  <c r="AL83" i="20" s="1"/>
  <c r="AL5" i="27"/>
  <c r="AL11" i="27" s="1"/>
  <c r="AL17" i="27" s="1"/>
  <c r="AL23" i="27" s="1"/>
  <c r="L27" i="18"/>
  <c r="L34" i="18" s="1"/>
  <c r="L42" i="18" s="1"/>
  <c r="L64" i="18"/>
  <c r="L70" i="18" s="1"/>
  <c r="L76" i="18" s="1"/>
  <c r="L82" i="18" s="1"/>
  <c r="L10" i="25"/>
  <c r="L16" i="25" s="1"/>
  <c r="L22" i="25" s="1"/>
  <c r="L28" i="25" s="1"/>
  <c r="AR75" i="33"/>
  <c r="AR13" i="33" s="1"/>
  <c r="AR31" i="33" s="1"/>
  <c r="AR49" i="33" s="1"/>
  <c r="AF130" i="11"/>
  <c r="AN126" i="18"/>
  <c r="S109" i="25"/>
  <c r="S115" i="25" s="1"/>
  <c r="S121" i="25" s="1"/>
  <c r="S127" i="25" s="1"/>
  <c r="S28" i="18"/>
  <c r="S35" i="18" s="1"/>
  <c r="S43" i="18" s="1"/>
  <c r="V92" i="32"/>
  <c r="S92" i="19"/>
  <c r="S94" i="19" s="1"/>
  <c r="J126" i="18"/>
  <c r="AM75" i="33"/>
  <c r="AM13" i="33" s="1"/>
  <c r="AM31" i="33" s="1"/>
  <c r="AM49" i="33" s="1"/>
  <c r="AO130" i="11"/>
  <c r="R41" i="27"/>
  <c r="R47" i="27" s="1"/>
  <c r="R53" i="27" s="1"/>
  <c r="R59" i="27" s="1"/>
  <c r="R66" i="20"/>
  <c r="R72" i="20" s="1"/>
  <c r="R78" i="20" s="1"/>
  <c r="R84" i="20" s="1"/>
  <c r="R106" i="27"/>
  <c r="R112" i="27" s="1"/>
  <c r="R118" i="27" s="1"/>
  <c r="R124" i="27" s="1"/>
  <c r="X115" i="53"/>
  <c r="X114" i="53"/>
  <c r="T123" i="11"/>
  <c r="AJ19" i="11"/>
  <c r="AM19" i="11" s="1"/>
  <c r="AC68" i="33"/>
  <c r="AC6" i="33" s="1"/>
  <c r="AC24" i="33" s="1"/>
  <c r="AC42" i="33" s="1"/>
  <c r="AE74" i="33"/>
  <c r="AE12" i="33" s="1"/>
  <c r="AE30" i="33" s="1"/>
  <c r="AE48" i="33" s="1"/>
  <c r="V129" i="11"/>
  <c r="E165" i="19"/>
  <c r="AJ66" i="32"/>
  <c r="V22" i="18"/>
  <c r="V12" i="18"/>
  <c r="U87" i="18"/>
  <c r="H108" i="25"/>
  <c r="H114" i="25" s="1"/>
  <c r="H120" i="25" s="1"/>
  <c r="H126" i="25" s="1"/>
  <c r="H103" i="18"/>
  <c r="H109" i="18" s="1"/>
  <c r="H115" i="18" s="1"/>
  <c r="H121" i="18" s="1"/>
  <c r="AM164" i="20"/>
  <c r="AM166" i="20" s="1"/>
  <c r="AM165" i="20" s="1"/>
  <c r="AM28" i="20"/>
  <c r="AM35" i="20" s="1"/>
  <c r="AM43" i="20" s="1"/>
  <c r="AI64" i="32"/>
  <c r="AA4" i="28"/>
  <c r="AA32" i="28" s="1"/>
  <c r="AA97" i="28"/>
  <c r="T175" i="27"/>
  <c r="T181" i="27" s="1"/>
  <c r="T138" i="27"/>
  <c r="T144" i="27" s="1"/>
  <c r="L107" i="27"/>
  <c r="L113" i="27" s="1"/>
  <c r="AE130" i="11"/>
  <c r="AQ75" i="33"/>
  <c r="AQ13" i="33" s="1"/>
  <c r="AQ31" i="33" s="1"/>
  <c r="AQ49" i="33" s="1"/>
  <c r="AJ173" i="25"/>
  <c r="AJ179" i="25" s="1"/>
  <c r="AJ185" i="25" s="1"/>
  <c r="AJ191" i="25" s="1"/>
  <c r="AD63" i="20"/>
  <c r="AD69" i="20" s="1"/>
  <c r="AD40" i="27"/>
  <c r="AD46" i="27" s="1"/>
  <c r="AD108" i="27"/>
  <c r="AD114" i="27" s="1"/>
  <c r="AD205" i="27"/>
  <c r="AD211" i="27" s="1"/>
  <c r="AD26" i="20"/>
  <c r="AD33" i="20" s="1"/>
  <c r="AD66" i="20"/>
  <c r="AD72" i="20" s="1"/>
  <c r="AD135" i="20"/>
  <c r="AD141" i="20" s="1"/>
  <c r="AD29" i="20"/>
  <c r="AD36" i="20" s="1"/>
  <c r="AG179" i="32"/>
  <c r="AD74" i="27"/>
  <c r="AD80" i="27" s="1"/>
  <c r="AD64" i="20"/>
  <c r="AD70" i="20" s="1"/>
  <c r="AD106" i="27"/>
  <c r="AD112" i="27" s="1"/>
  <c r="AD32" i="20"/>
  <c r="AD39" i="20" s="1"/>
  <c r="AD40" i="20" s="1"/>
  <c r="AD139" i="27"/>
  <c r="AD145" i="27" s="1"/>
  <c r="AD134" i="20"/>
  <c r="AD140" i="20" s="1"/>
  <c r="AD30" i="20"/>
  <c r="AD37" i="20" s="1"/>
  <c r="AD173" i="27"/>
  <c r="AD179" i="27" s="1"/>
  <c r="AD171" i="27"/>
  <c r="AD177" i="27" s="1"/>
  <c r="AD105" i="27"/>
  <c r="AD111" i="27" s="1"/>
  <c r="AD138" i="27"/>
  <c r="AD144" i="27" s="1"/>
  <c r="AD16" i="20"/>
  <c r="AD38" i="27" s="1"/>
  <c r="AD44" i="27" s="1"/>
  <c r="AD137" i="27"/>
  <c r="AD143" i="27" s="1"/>
  <c r="AD164" i="20"/>
  <c r="AD166" i="20" s="1"/>
  <c r="AD128" i="20"/>
  <c r="AD130" i="20" s="1"/>
  <c r="X39" i="25"/>
  <c r="X45" i="25" s="1"/>
  <c r="X51" i="25" s="1"/>
  <c r="X57" i="25" s="1"/>
  <c r="K139" i="11"/>
  <c r="T84" i="33"/>
  <c r="T22" i="33" s="1"/>
  <c r="T40" i="33" s="1"/>
  <c r="T58" i="33" s="1"/>
  <c r="AF76" i="33"/>
  <c r="AF14" i="33" s="1"/>
  <c r="AF32" i="33" s="1"/>
  <c r="AF50" i="33" s="1"/>
  <c r="W131" i="11"/>
  <c r="AG108" i="27"/>
  <c r="AG114" i="27" s="1"/>
  <c r="AG120" i="27" s="1"/>
  <c r="AG126" i="27" s="1"/>
  <c r="L18" i="27"/>
  <c r="L24" i="27" s="1"/>
  <c r="AC92" i="19"/>
  <c r="AC94" i="19" s="1"/>
  <c r="AF92" i="32"/>
  <c r="U198" i="25"/>
  <c r="U33" i="25"/>
  <c r="U99" i="25"/>
  <c r="U231" i="25"/>
  <c r="U165" i="25"/>
  <c r="U132" i="25"/>
  <c r="U66" i="25"/>
  <c r="M28" i="18"/>
  <c r="M35" i="18" s="1"/>
  <c r="M43" i="18" s="1"/>
  <c r="T81" i="52"/>
  <c r="T53" i="19"/>
  <c r="W90" i="32"/>
  <c r="M27" i="18"/>
  <c r="M34" i="18" s="1"/>
  <c r="M42" i="18" s="1"/>
  <c r="T110" i="19"/>
  <c r="T116" i="19" s="1"/>
  <c r="AL53" i="27"/>
  <c r="AL59" i="27" s="1"/>
  <c r="M7" i="25"/>
  <c r="M13" i="25" s="1"/>
  <c r="M19" i="25" s="1"/>
  <c r="M25" i="25" s="1"/>
  <c r="M101" i="18"/>
  <c r="M107" i="18" s="1"/>
  <c r="M113" i="18" s="1"/>
  <c r="M119" i="18" s="1"/>
  <c r="AL137" i="20"/>
  <c r="AL143" i="20" s="1"/>
  <c r="AL149" i="20" s="1"/>
  <c r="AL155" i="20" s="1"/>
  <c r="L63" i="18"/>
  <c r="L69" i="18" s="1"/>
  <c r="L75" i="18" s="1"/>
  <c r="L81" i="18" s="1"/>
  <c r="AF136" i="11"/>
  <c r="AR81" i="33"/>
  <c r="AR19" i="33" s="1"/>
  <c r="AR37" i="33" s="1"/>
  <c r="AR55" i="33" s="1"/>
  <c r="I99" i="32"/>
  <c r="I128" i="32"/>
  <c r="I90" i="32"/>
  <c r="F81" i="52"/>
  <c r="I118" i="32"/>
  <c r="I137" i="32"/>
  <c r="I81" i="32"/>
  <c r="F53" i="19"/>
  <c r="I109" i="32"/>
  <c r="J122" i="18"/>
  <c r="N62" i="27"/>
  <c r="N128" i="27"/>
  <c r="N95" i="27"/>
  <c r="N29" i="27"/>
  <c r="N227" i="27"/>
  <c r="N194" i="27"/>
  <c r="N161" i="27"/>
  <c r="N86" i="20"/>
  <c r="N158" i="20"/>
  <c r="S139" i="18"/>
  <c r="S145" i="18" s="1"/>
  <c r="S151" i="18" s="1"/>
  <c r="S157" i="18" s="1"/>
  <c r="S172" i="25"/>
  <c r="S178" i="25" s="1"/>
  <c r="S184" i="25" s="1"/>
  <c r="S190" i="25" s="1"/>
  <c r="J163" i="18"/>
  <c r="R40" i="27"/>
  <c r="R46" i="27" s="1"/>
  <c r="R52" i="27" s="1"/>
  <c r="R58" i="27" s="1"/>
  <c r="R104" i="27"/>
  <c r="R110" i="27" s="1"/>
  <c r="R116" i="27" s="1"/>
  <c r="R122" i="27" s="1"/>
  <c r="R171" i="27"/>
  <c r="R177" i="27" s="1"/>
  <c r="R183" i="27" s="1"/>
  <c r="R189" i="27" s="1"/>
  <c r="U197" i="25"/>
  <c r="U131" i="25"/>
  <c r="U164" i="25"/>
  <c r="U32" i="25"/>
  <c r="U65" i="25"/>
  <c r="U230" i="25"/>
  <c r="U98" i="25"/>
  <c r="AO115" i="53"/>
  <c r="AO114" i="53"/>
  <c r="T129" i="11"/>
  <c r="AC74" i="33"/>
  <c r="AC12" i="33" s="1"/>
  <c r="AC30" i="33" s="1"/>
  <c r="AC48" i="33" s="1"/>
  <c r="AE77" i="33"/>
  <c r="AE15" i="33" s="1"/>
  <c r="AE33" i="33" s="1"/>
  <c r="AE51" i="33" s="1"/>
  <c r="V132" i="11"/>
  <c r="E125" i="19"/>
  <c r="J25" i="25"/>
  <c r="M10" i="32"/>
  <c r="AK37" i="28"/>
  <c r="AK168" i="28"/>
  <c r="H136" i="18"/>
  <c r="H142" i="18" s="1"/>
  <c r="H148" i="18" s="1"/>
  <c r="H154" i="18" s="1"/>
  <c r="H8" i="25"/>
  <c r="H14" i="25" s="1"/>
  <c r="H20" i="25" s="1"/>
  <c r="H26" i="25" s="1"/>
  <c r="AM140" i="27"/>
  <c r="AM146" i="27" s="1"/>
  <c r="AM152" i="27" s="1"/>
  <c r="AM158" i="27" s="1"/>
  <c r="AM30" i="20"/>
  <c r="AM37" i="20" s="1"/>
  <c r="AM45" i="20" s="1"/>
  <c r="V72" i="33"/>
  <c r="V10" i="33" s="1"/>
  <c r="V28" i="33" s="1"/>
  <c r="V46" i="33" s="1"/>
  <c r="M127" i="11"/>
  <c r="I92" i="19"/>
  <c r="I94" i="19" s="1"/>
  <c r="L92" i="32"/>
  <c r="T43" i="19"/>
  <c r="Q203" i="32"/>
  <c r="Q194" i="32"/>
  <c r="Q184" i="32"/>
  <c r="N85" i="52"/>
  <c r="Q165" i="32"/>
  <c r="Q175" i="32"/>
  <c r="Q147" i="32"/>
  <c r="Q156" i="32"/>
  <c r="N51" i="20"/>
  <c r="T137" i="20"/>
  <c r="T143" i="20" s="1"/>
  <c r="T170" i="27"/>
  <c r="T176" i="27" s="1"/>
  <c r="L137" i="27"/>
  <c r="L143" i="27" s="1"/>
  <c r="AF192" i="27"/>
  <c r="AF198" i="27" s="1"/>
  <c r="AI195" i="32"/>
  <c r="I63" i="32"/>
  <c r="H14" i="34" s="1"/>
  <c r="I53" i="32"/>
  <c r="I54" i="32" s="1"/>
  <c r="H15" i="34" s="1"/>
  <c r="T116" i="18"/>
  <c r="T122" i="18" s="1"/>
  <c r="T129" i="18"/>
  <c r="AG189" i="32"/>
  <c r="AG190" i="32" s="1"/>
  <c r="AI22" i="34" s="1"/>
  <c r="AI36" i="34" s="1"/>
  <c r="AG199" i="32"/>
  <c r="AI21" i="34" s="1"/>
  <c r="AI35" i="34" s="1"/>
  <c r="AD34" i="25"/>
  <c r="AD67" i="25"/>
  <c r="AD232" i="25"/>
  <c r="AD199" i="25"/>
  <c r="AD166" i="25"/>
  <c r="AD133" i="25"/>
  <c r="AD100" i="25"/>
  <c r="AD127" i="18"/>
  <c r="AD163" i="18"/>
  <c r="AI185" i="32"/>
  <c r="Q160" i="25"/>
  <c r="T50" i="32"/>
  <c r="M105" i="25"/>
  <c r="M111" i="25" s="1"/>
  <c r="M117" i="25" s="1"/>
  <c r="M123" i="25" s="1"/>
  <c r="AL74" i="20"/>
  <c r="AL80" i="20" s="1"/>
  <c r="AL86" i="20" s="1"/>
  <c r="L67" i="18"/>
  <c r="L73" i="18" s="1"/>
  <c r="L79" i="18" s="1"/>
  <c r="L85" i="18" s="1"/>
  <c r="L38" i="25"/>
  <c r="L44" i="25" s="1"/>
  <c r="L50" i="25" s="1"/>
  <c r="L56" i="25" s="1"/>
  <c r="M10" i="25"/>
  <c r="M16" i="25" s="1"/>
  <c r="M22" i="25" s="1"/>
  <c r="M28" i="25" s="1"/>
  <c r="M31" i="18"/>
  <c r="M38" i="18" s="1"/>
  <c r="M39" i="18" s="1"/>
  <c r="M139" i="18"/>
  <c r="M145" i="18" s="1"/>
  <c r="M151" i="18" s="1"/>
  <c r="M157" i="18" s="1"/>
  <c r="M163" i="18" s="1"/>
  <c r="V4" i="19"/>
  <c r="AV25" i="5"/>
  <c r="V17" i="52" s="1"/>
  <c r="L138" i="18"/>
  <c r="L144" i="18" s="1"/>
  <c r="L150" i="18" s="1"/>
  <c r="L156" i="18" s="1"/>
  <c r="T77" i="19"/>
  <c r="T83" i="19" s="1"/>
  <c r="AM62" i="32"/>
  <c r="AJ16" i="18"/>
  <c r="AJ18" i="18" s="1"/>
  <c r="AJ103" i="18"/>
  <c r="AJ109" i="18" s="1"/>
  <c r="AJ115" i="18" s="1"/>
  <c r="AJ121" i="18" s="1"/>
  <c r="AJ41" i="25"/>
  <c r="AJ47" i="25" s="1"/>
  <c r="AJ53" i="25" s="1"/>
  <c r="AJ59" i="25" s="1"/>
  <c r="AJ135" i="18"/>
  <c r="AJ141" i="18" s="1"/>
  <c r="AJ147" i="18" s="1"/>
  <c r="AJ153" i="18" s="1"/>
  <c r="AJ171" i="25"/>
  <c r="AJ177" i="25" s="1"/>
  <c r="AJ183" i="25" s="1"/>
  <c r="AJ189" i="25" s="1"/>
  <c r="AJ9" i="25"/>
  <c r="AJ15" i="25" s="1"/>
  <c r="AJ21" i="25" s="1"/>
  <c r="AJ27" i="25" s="1"/>
  <c r="AJ5" i="25"/>
  <c r="AJ11" i="25" s="1"/>
  <c r="AJ17" i="25" s="1"/>
  <c r="AJ23" i="25" s="1"/>
  <c r="AJ138" i="25"/>
  <c r="AJ144" i="25" s="1"/>
  <c r="AJ150" i="25" s="1"/>
  <c r="AJ156" i="25" s="1"/>
  <c r="AJ137" i="18"/>
  <c r="AJ143" i="18" s="1"/>
  <c r="AJ149" i="18" s="1"/>
  <c r="AJ155" i="18" s="1"/>
  <c r="AJ108" i="25"/>
  <c r="AJ114" i="25" s="1"/>
  <c r="AJ120" i="25" s="1"/>
  <c r="AJ126" i="25" s="1"/>
  <c r="AJ207" i="25"/>
  <c r="AJ213" i="25" s="1"/>
  <c r="AJ219" i="25" s="1"/>
  <c r="AJ225" i="25" s="1"/>
  <c r="AJ25" i="18"/>
  <c r="AJ32" i="18" s="1"/>
  <c r="AJ40" i="18" s="1"/>
  <c r="AJ105" i="25"/>
  <c r="AJ111" i="25" s="1"/>
  <c r="AJ117" i="25" s="1"/>
  <c r="AJ123" i="25" s="1"/>
  <c r="AJ138" i="18"/>
  <c r="AJ144" i="18" s="1"/>
  <c r="AJ150" i="18" s="1"/>
  <c r="AJ156" i="18" s="1"/>
  <c r="AJ134" i="18"/>
  <c r="AJ140" i="18" s="1"/>
  <c r="AJ146" i="18" s="1"/>
  <c r="AJ152" i="18" s="1"/>
  <c r="AJ206" i="25"/>
  <c r="AJ212" i="25" s="1"/>
  <c r="AJ218" i="25" s="1"/>
  <c r="AJ224" i="25" s="1"/>
  <c r="AJ65" i="18"/>
  <c r="AJ71" i="18" s="1"/>
  <c r="AJ77" i="18" s="1"/>
  <c r="AJ83" i="18" s="1"/>
  <c r="AJ140" i="25"/>
  <c r="AJ146" i="25" s="1"/>
  <c r="AJ152" i="25" s="1"/>
  <c r="AJ158" i="25" s="1"/>
  <c r="AJ141" i="25"/>
  <c r="AJ147" i="25" s="1"/>
  <c r="AJ153" i="25" s="1"/>
  <c r="AJ159" i="25" s="1"/>
  <c r="AJ107" i="25"/>
  <c r="AJ113" i="25" s="1"/>
  <c r="AJ119" i="25" s="1"/>
  <c r="AJ125" i="25" s="1"/>
  <c r="AJ28" i="18"/>
  <c r="AJ35" i="18" s="1"/>
  <c r="AJ43" i="18" s="1"/>
  <c r="AJ172" i="25"/>
  <c r="AJ178" i="25" s="1"/>
  <c r="AJ184" i="25" s="1"/>
  <c r="AJ190" i="25" s="1"/>
  <c r="AJ42" i="25"/>
  <c r="AJ48" i="25" s="1"/>
  <c r="AJ54" i="25" s="1"/>
  <c r="AJ60" i="25" s="1"/>
  <c r="AJ64" i="18"/>
  <c r="AJ70" i="18" s="1"/>
  <c r="AJ76" i="18" s="1"/>
  <c r="AJ82" i="18" s="1"/>
  <c r="AJ204" i="25"/>
  <c r="AJ210" i="25" s="1"/>
  <c r="AJ216" i="25" s="1"/>
  <c r="AJ222" i="25" s="1"/>
  <c r="AJ76" i="25"/>
  <c r="AJ82" i="25" s="1"/>
  <c r="AJ88" i="25" s="1"/>
  <c r="AJ94" i="25" s="1"/>
  <c r="AJ203" i="25"/>
  <c r="AJ209" i="25" s="1"/>
  <c r="AJ215" i="25" s="1"/>
  <c r="AJ221" i="25" s="1"/>
  <c r="AJ62" i="18"/>
  <c r="AJ68" i="18" s="1"/>
  <c r="AJ74" i="18" s="1"/>
  <c r="AJ80" i="18" s="1"/>
  <c r="AJ71" i="25"/>
  <c r="AJ77" i="25" s="1"/>
  <c r="AJ83" i="25" s="1"/>
  <c r="AJ89" i="25" s="1"/>
  <c r="AJ43" i="25"/>
  <c r="AJ49" i="25" s="1"/>
  <c r="AJ55" i="25" s="1"/>
  <c r="AJ61" i="25" s="1"/>
  <c r="AJ102" i="18"/>
  <c r="AJ108" i="18" s="1"/>
  <c r="AJ114" i="18" s="1"/>
  <c r="AJ120" i="18" s="1"/>
  <c r="AJ175" i="25"/>
  <c r="AJ181" i="25" s="1"/>
  <c r="AJ187" i="25" s="1"/>
  <c r="AJ193" i="25" s="1"/>
  <c r="AJ136" i="18"/>
  <c r="AJ142" i="18" s="1"/>
  <c r="AJ148" i="18" s="1"/>
  <c r="AJ154" i="18" s="1"/>
  <c r="AJ8" i="25"/>
  <c r="AJ14" i="25" s="1"/>
  <c r="AJ20" i="25" s="1"/>
  <c r="AJ26" i="25" s="1"/>
  <c r="AJ38" i="25"/>
  <c r="AJ44" i="25" s="1"/>
  <c r="AJ50" i="25" s="1"/>
  <c r="AJ56" i="25" s="1"/>
  <c r="AJ104" i="25"/>
  <c r="AJ110" i="25" s="1"/>
  <c r="AJ116" i="25" s="1"/>
  <c r="AJ122" i="25" s="1"/>
  <c r="AJ30" i="18"/>
  <c r="AJ37" i="18" s="1"/>
  <c r="AJ45" i="18" s="1"/>
  <c r="AJ205" i="25"/>
  <c r="AJ211" i="25" s="1"/>
  <c r="AJ217" i="25" s="1"/>
  <c r="AJ223" i="25" s="1"/>
  <c r="AJ72" i="25"/>
  <c r="AJ78" i="25" s="1"/>
  <c r="AJ84" i="25" s="1"/>
  <c r="AJ90" i="25" s="1"/>
  <c r="AJ137" i="25"/>
  <c r="AJ143" i="25" s="1"/>
  <c r="AJ149" i="25" s="1"/>
  <c r="AJ155" i="25" s="1"/>
  <c r="AJ164" i="18"/>
  <c r="AJ166" i="18" s="1"/>
  <c r="AJ109" i="25"/>
  <c r="AJ115" i="25" s="1"/>
  <c r="AJ121" i="25" s="1"/>
  <c r="AJ127" i="25" s="1"/>
  <c r="AJ6" i="25"/>
  <c r="AJ12" i="25" s="1"/>
  <c r="AJ18" i="25" s="1"/>
  <c r="AJ24" i="25" s="1"/>
  <c r="AJ10" i="25"/>
  <c r="AJ16" i="25" s="1"/>
  <c r="AJ22" i="25" s="1"/>
  <c r="AJ28" i="25" s="1"/>
  <c r="AJ63" i="18"/>
  <c r="AJ69" i="18" s="1"/>
  <c r="AJ75" i="18" s="1"/>
  <c r="AJ81" i="18" s="1"/>
  <c r="AJ67" i="18"/>
  <c r="AJ73" i="18" s="1"/>
  <c r="AJ79" i="18" s="1"/>
  <c r="AJ85" i="18" s="1"/>
  <c r="AJ74" i="25"/>
  <c r="AJ80" i="25" s="1"/>
  <c r="AJ86" i="25" s="1"/>
  <c r="AJ92" i="25" s="1"/>
  <c r="AJ170" i="25"/>
  <c r="AJ176" i="25" s="1"/>
  <c r="AJ182" i="25" s="1"/>
  <c r="AJ188" i="25" s="1"/>
  <c r="AJ106" i="25"/>
  <c r="AJ112" i="25" s="1"/>
  <c r="AJ118" i="25" s="1"/>
  <c r="AJ124" i="25" s="1"/>
  <c r="AJ139" i="18"/>
  <c r="AJ145" i="18" s="1"/>
  <c r="AJ151" i="18" s="1"/>
  <c r="AJ157" i="18" s="1"/>
  <c r="AJ73" i="25"/>
  <c r="AJ79" i="25" s="1"/>
  <c r="AJ85" i="25" s="1"/>
  <c r="AJ91" i="25" s="1"/>
  <c r="AJ100" i="18"/>
  <c r="AJ106" i="18" s="1"/>
  <c r="AJ112" i="18" s="1"/>
  <c r="AJ118" i="18" s="1"/>
  <c r="AJ40" i="25"/>
  <c r="AJ46" i="25" s="1"/>
  <c r="AJ52" i="25" s="1"/>
  <c r="AJ58" i="25" s="1"/>
  <c r="AJ26" i="18"/>
  <c r="AJ33" i="18" s="1"/>
  <c r="AJ41" i="18" s="1"/>
  <c r="AJ174" i="25"/>
  <c r="AJ180" i="25" s="1"/>
  <c r="AJ186" i="25" s="1"/>
  <c r="AJ192" i="25" s="1"/>
  <c r="AJ142" i="25"/>
  <c r="AJ148" i="25" s="1"/>
  <c r="AJ154" i="25" s="1"/>
  <c r="AJ160" i="25" s="1"/>
  <c r="AJ75" i="25"/>
  <c r="AJ81" i="25" s="1"/>
  <c r="AJ87" i="25" s="1"/>
  <c r="AJ93" i="25" s="1"/>
  <c r="AJ139" i="25"/>
  <c r="AJ145" i="25" s="1"/>
  <c r="AJ151" i="25" s="1"/>
  <c r="AJ157" i="25" s="1"/>
  <c r="AJ31" i="18"/>
  <c r="AJ38" i="18" s="1"/>
  <c r="AJ39" i="18" s="1"/>
  <c r="AJ98" i="18"/>
  <c r="AJ104" i="18" s="1"/>
  <c r="AJ110" i="18" s="1"/>
  <c r="AJ116" i="18" s="1"/>
  <c r="AJ66" i="18"/>
  <c r="AJ72" i="18" s="1"/>
  <c r="AJ78" i="18" s="1"/>
  <c r="AJ84" i="18" s="1"/>
  <c r="AJ208" i="25"/>
  <c r="AJ214" i="25" s="1"/>
  <c r="AJ220" i="25" s="1"/>
  <c r="AJ226" i="25" s="1"/>
  <c r="AJ29" i="18"/>
  <c r="AJ36" i="18" s="1"/>
  <c r="AJ44" i="18" s="1"/>
  <c r="S5" i="25"/>
  <c r="S11" i="25" s="1"/>
  <c r="S17" i="25" s="1"/>
  <c r="S23" i="25" s="1"/>
  <c r="Y135" i="11"/>
  <c r="AI80" i="33"/>
  <c r="AI18" i="33" s="1"/>
  <c r="AI36" i="33" s="1"/>
  <c r="AI54" i="33" s="1"/>
  <c r="AJ198" i="32"/>
  <c r="AG103" i="20"/>
  <c r="AG109" i="20" s="1"/>
  <c r="AG115" i="20" s="1"/>
  <c r="AG121" i="20" s="1"/>
  <c r="AG17" i="20"/>
  <c r="AG19" i="20" s="1"/>
  <c r="AG39" i="27"/>
  <c r="AG45" i="27" s="1"/>
  <c r="AG43" i="27"/>
  <c r="AG49" i="27" s="1"/>
  <c r="AG55" i="27" s="1"/>
  <c r="AG61" i="27" s="1"/>
  <c r="AG10" i="27"/>
  <c r="AG16" i="27" s="1"/>
  <c r="AG22" i="27" s="1"/>
  <c r="AG28" i="27" s="1"/>
  <c r="AG41" i="27"/>
  <c r="AG47" i="27" s="1"/>
  <c r="AG53" i="27" s="1"/>
  <c r="AG59" i="27" s="1"/>
  <c r="AG142" i="27"/>
  <c r="AG148" i="27" s="1"/>
  <c r="AG154" i="27" s="1"/>
  <c r="AG160" i="27" s="1"/>
  <c r="AG135" i="20"/>
  <c r="AG141" i="20" s="1"/>
  <c r="AG147" i="20" s="1"/>
  <c r="AG153" i="20" s="1"/>
  <c r="AG64" i="20"/>
  <c r="AG70" i="20" s="1"/>
  <c r="AG76" i="20" s="1"/>
  <c r="AG82" i="20" s="1"/>
  <c r="AG67" i="20"/>
  <c r="AG73" i="20" s="1"/>
  <c r="AG79" i="20" s="1"/>
  <c r="AG85" i="20" s="1"/>
  <c r="AG28" i="20"/>
  <c r="AG35" i="20" s="1"/>
  <c r="AG43" i="20" s="1"/>
  <c r="AG172" i="27"/>
  <c r="AG178" i="27" s="1"/>
  <c r="AG184" i="27" s="1"/>
  <c r="AG190" i="27" s="1"/>
  <c r="AG104" i="27"/>
  <c r="AG110" i="27" s="1"/>
  <c r="AG116" i="27" s="1"/>
  <c r="AG122" i="27" s="1"/>
  <c r="AG134" i="20"/>
  <c r="AG140" i="20" s="1"/>
  <c r="AG146" i="20" s="1"/>
  <c r="AG152" i="20" s="1"/>
  <c r="AG105" i="27"/>
  <c r="AG111" i="27" s="1"/>
  <c r="AG117" i="27" s="1"/>
  <c r="AG123" i="27" s="1"/>
  <c r="AG8" i="27"/>
  <c r="AG14" i="27" s="1"/>
  <c r="AG20" i="27" s="1"/>
  <c r="AG26" i="27" s="1"/>
  <c r="AG101" i="20"/>
  <c r="AG107" i="20" s="1"/>
  <c r="AG164" i="20"/>
  <c r="AG166" i="20" s="1"/>
  <c r="AG42" i="27"/>
  <c r="AG48" i="27" s="1"/>
  <c r="AG54" i="27" s="1"/>
  <c r="AG60" i="27" s="1"/>
  <c r="AG206" i="27"/>
  <c r="AG212" i="27" s="1"/>
  <c r="AG218" i="27" s="1"/>
  <c r="AG224" i="27" s="1"/>
  <c r="AG174" i="27"/>
  <c r="AG180" i="27" s="1"/>
  <c r="AG186" i="27" s="1"/>
  <c r="AG192" i="27" s="1"/>
  <c r="AG74" i="27"/>
  <c r="AG80" i="27" s="1"/>
  <c r="AG86" i="27" s="1"/>
  <c r="AG92" i="27" s="1"/>
  <c r="AG170" i="27"/>
  <c r="AG176" i="27" s="1"/>
  <c r="AG205" i="27"/>
  <c r="AG211" i="27" s="1"/>
  <c r="AG217" i="27" s="1"/>
  <c r="AG223" i="27" s="1"/>
  <c r="AG5" i="27"/>
  <c r="AG11" i="27" s="1"/>
  <c r="AG17" i="27" s="1"/>
  <c r="AG23" i="27" s="1"/>
  <c r="AG138" i="20"/>
  <c r="AG144" i="20" s="1"/>
  <c r="AG150" i="20" s="1"/>
  <c r="AG156" i="20" s="1"/>
  <c r="AG62" i="20"/>
  <c r="AG68" i="20" s="1"/>
  <c r="AG175" i="27"/>
  <c r="AG181" i="27" s="1"/>
  <c r="AG187" i="27" s="1"/>
  <c r="AG193" i="27" s="1"/>
  <c r="AG26" i="20"/>
  <c r="AG33" i="20" s="1"/>
  <c r="AG41" i="20" s="1"/>
  <c r="AG6" i="27"/>
  <c r="AG12" i="27" s="1"/>
  <c r="AG18" i="27" s="1"/>
  <c r="AG24" i="27" s="1"/>
  <c r="AG30" i="20"/>
  <c r="AG37" i="20" s="1"/>
  <c r="AG45" i="20" s="1"/>
  <c r="AG140" i="27"/>
  <c r="AG146" i="27" s="1"/>
  <c r="AG152" i="27" s="1"/>
  <c r="AG158" i="27" s="1"/>
  <c r="AG66" i="20"/>
  <c r="AG72" i="20" s="1"/>
  <c r="AG78" i="20" s="1"/>
  <c r="AG84" i="20" s="1"/>
  <c r="AG31" i="20"/>
  <c r="AG38" i="20" s="1"/>
  <c r="AG46" i="20" s="1"/>
  <c r="AG102" i="20"/>
  <c r="AG108" i="20" s="1"/>
  <c r="AG114" i="20" s="1"/>
  <c r="AG120" i="20" s="1"/>
  <c r="AG71" i="27"/>
  <c r="AG77" i="27" s="1"/>
  <c r="AG83" i="27" s="1"/>
  <c r="AG89" i="27" s="1"/>
  <c r="AG76" i="27"/>
  <c r="AG82" i="27" s="1"/>
  <c r="AG88" i="27" s="1"/>
  <c r="AG94" i="27" s="1"/>
  <c r="AG138" i="27"/>
  <c r="AG144" i="27" s="1"/>
  <c r="AG150" i="27" s="1"/>
  <c r="AG156" i="27" s="1"/>
  <c r="AG99" i="20"/>
  <c r="AG105" i="20" s="1"/>
  <c r="AG111" i="20" s="1"/>
  <c r="AG117" i="20" s="1"/>
  <c r="AG106" i="27"/>
  <c r="AG112" i="27" s="1"/>
  <c r="AG118" i="27" s="1"/>
  <c r="AG124" i="27" s="1"/>
  <c r="AL74" i="27"/>
  <c r="AL80" i="27" s="1"/>
  <c r="AL86" i="27" s="1"/>
  <c r="AL92" i="27" s="1"/>
  <c r="L65" i="18"/>
  <c r="L71" i="18" s="1"/>
  <c r="L77" i="18" s="1"/>
  <c r="L83" i="18" s="1"/>
  <c r="L89" i="18" s="1"/>
  <c r="L205" i="25"/>
  <c r="L211" i="25" s="1"/>
  <c r="L217" i="25" s="1"/>
  <c r="L223" i="25" s="1"/>
  <c r="M140" i="25"/>
  <c r="M146" i="25" s="1"/>
  <c r="M152" i="25" s="1"/>
  <c r="M158" i="25" s="1"/>
  <c r="M76" i="25"/>
  <c r="M82" i="25" s="1"/>
  <c r="M88" i="25" s="1"/>
  <c r="M94" i="25" s="1"/>
  <c r="M103" i="18"/>
  <c r="M109" i="18" s="1"/>
  <c r="M115" i="18" s="1"/>
  <c r="M121" i="18" s="1"/>
  <c r="M127" i="18" s="1"/>
  <c r="G55" i="28"/>
  <c r="G188" i="28"/>
  <c r="G190" i="28"/>
  <c r="G185" i="28"/>
  <c r="G189" i="28"/>
  <c r="G184" i="28"/>
  <c r="G187" i="28"/>
  <c r="AL28" i="20"/>
  <c r="AL35" i="20" s="1"/>
  <c r="AL43" i="20" s="1"/>
  <c r="AL64" i="20"/>
  <c r="AL70" i="20" s="1"/>
  <c r="AL76" i="20" s="1"/>
  <c r="AL82" i="20" s="1"/>
  <c r="AL129" i="20"/>
  <c r="J232" i="25"/>
  <c r="J199" i="25"/>
  <c r="J166" i="25"/>
  <c r="J100" i="25"/>
  <c r="J67" i="25"/>
  <c r="J34" i="25"/>
  <c r="J133" i="25"/>
  <c r="L136" i="18"/>
  <c r="L142" i="18" s="1"/>
  <c r="L148" i="18" s="1"/>
  <c r="L154" i="18" s="1"/>
  <c r="L175" i="25"/>
  <c r="L181" i="25" s="1"/>
  <c r="L187" i="25" s="1"/>
  <c r="L193" i="25" s="1"/>
  <c r="AR78" i="33"/>
  <c r="AR16" i="33" s="1"/>
  <c r="AR34" i="33" s="1"/>
  <c r="AR52" i="33" s="1"/>
  <c r="AF133" i="11"/>
  <c r="AI29" i="32"/>
  <c r="AF73" i="52"/>
  <c r="AI39" i="32"/>
  <c r="AF50" i="18"/>
  <c r="AI11" i="32"/>
  <c r="AI58" i="32"/>
  <c r="AI48" i="32"/>
  <c r="AI67" i="32"/>
  <c r="AI20" i="32"/>
  <c r="AP144" i="11"/>
  <c r="H28" i="27"/>
  <c r="H34" i="27" s="1"/>
  <c r="K149" i="32"/>
  <c r="AA93" i="27"/>
  <c r="AD166" i="32"/>
  <c r="J91" i="25"/>
  <c r="M28" i="32"/>
  <c r="V44" i="32"/>
  <c r="U12" i="34" s="1"/>
  <c r="V34" i="32"/>
  <c r="V35" i="32" s="1"/>
  <c r="U13" i="34" s="1"/>
  <c r="S207" i="25"/>
  <c r="S213" i="25" s="1"/>
  <c r="S219" i="25" s="1"/>
  <c r="S225" i="25" s="1"/>
  <c r="S64" i="18"/>
  <c r="S70" i="18" s="1"/>
  <c r="S76" i="18" s="1"/>
  <c r="S82" i="18" s="1"/>
  <c r="Z94" i="25"/>
  <c r="AC31" i="32"/>
  <c r="AO128" i="11"/>
  <c r="AM73" i="33"/>
  <c r="AM11" i="33" s="1"/>
  <c r="AM29" i="33" s="1"/>
  <c r="AM47" i="33" s="1"/>
  <c r="R64" i="20"/>
  <c r="R70" i="20" s="1"/>
  <c r="R76" i="20" s="1"/>
  <c r="R82" i="20" s="1"/>
  <c r="R26" i="20"/>
  <c r="R33" i="20" s="1"/>
  <c r="R41" i="20" s="1"/>
  <c r="R174" i="27"/>
  <c r="R180" i="27" s="1"/>
  <c r="R186" i="27" s="1"/>
  <c r="R192" i="27" s="1"/>
  <c r="K115" i="53"/>
  <c r="K114" i="53"/>
  <c r="T138" i="11"/>
  <c r="AC83" i="33"/>
  <c r="AC21" i="33" s="1"/>
  <c r="AC39" i="33" s="1"/>
  <c r="AC57" i="33" s="1"/>
  <c r="H126" i="27"/>
  <c r="K176" i="32"/>
  <c r="AE80" i="33"/>
  <c r="AE18" i="33" s="1"/>
  <c r="AE36" i="33" s="1"/>
  <c r="AE54" i="33" s="1"/>
  <c r="V135" i="11"/>
  <c r="AG189" i="25"/>
  <c r="AJ56" i="32"/>
  <c r="N88" i="18"/>
  <c r="H142" i="32"/>
  <c r="H143" i="32" s="1"/>
  <c r="G16" i="34" s="1"/>
  <c r="G30" i="34" s="1"/>
  <c r="H161" i="32"/>
  <c r="G18" i="34" s="1"/>
  <c r="G32" i="34" s="1"/>
  <c r="H151" i="32"/>
  <c r="H152" i="32" s="1"/>
  <c r="G17" i="34" s="1"/>
  <c r="G31" i="34" s="1"/>
  <c r="J58" i="25"/>
  <c r="J64" i="25" s="1"/>
  <c r="M19" i="32"/>
  <c r="Q83" i="32"/>
  <c r="Q84" i="32" s="1"/>
  <c r="Q24" i="34" s="1"/>
  <c r="Q38" i="34" s="1"/>
  <c r="Q93" i="32"/>
  <c r="Q25" i="34" s="1"/>
  <c r="Q39" i="34" s="1"/>
  <c r="Q74" i="32"/>
  <c r="Q75" i="32" s="1"/>
  <c r="Q23" i="34" s="1"/>
  <c r="Q37" i="34" s="1"/>
  <c r="AA173" i="28"/>
  <c r="AA46" i="28"/>
  <c r="AA110" i="28"/>
  <c r="H138" i="25"/>
  <c r="H144" i="25" s="1"/>
  <c r="H150" i="25" s="1"/>
  <c r="H156" i="25" s="1"/>
  <c r="H31" i="18"/>
  <c r="H38" i="18" s="1"/>
  <c r="H39" i="18" s="1"/>
  <c r="AM203" i="27"/>
  <c r="AM209" i="27" s="1"/>
  <c r="AM215" i="27" s="1"/>
  <c r="AM221" i="27" s="1"/>
  <c r="AM103" i="20"/>
  <c r="AM109" i="20" s="1"/>
  <c r="AM115" i="20" s="1"/>
  <c r="AM121" i="20" s="1"/>
  <c r="T111" i="19"/>
  <c r="T117" i="19" s="1"/>
  <c r="V78" i="33"/>
  <c r="V16" i="33" s="1"/>
  <c r="V34" i="33" s="1"/>
  <c r="V52" i="33" s="1"/>
  <c r="M133" i="11"/>
  <c r="T74" i="19"/>
  <c r="T80" i="19" s="1"/>
  <c r="AE87" i="27"/>
  <c r="AE93" i="27" s="1"/>
  <c r="N126" i="27"/>
  <c r="Q176" i="32"/>
  <c r="AJ53" i="59"/>
  <c r="AJ183" i="59"/>
  <c r="AJ181" i="59"/>
  <c r="AJ178" i="59"/>
  <c r="AJ182" i="59"/>
  <c r="AJ179" i="59"/>
  <c r="T7" i="27"/>
  <c r="T13" i="27" s="1"/>
  <c r="L8" i="27"/>
  <c r="L14" i="27" s="1"/>
  <c r="Q162" i="20"/>
  <c r="AA6" i="11"/>
  <c r="O6" i="11"/>
  <c r="R6" i="11"/>
  <c r="AD6" i="11"/>
  <c r="X6" i="11"/>
  <c r="G44" i="59"/>
  <c r="G173" i="59"/>
  <c r="G168" i="59"/>
  <c r="G169" i="59"/>
  <c r="K130" i="11"/>
  <c r="T75" i="33"/>
  <c r="T13" i="33" s="1"/>
  <c r="T31" i="33" s="1"/>
  <c r="T49" i="33" s="1"/>
  <c r="K73" i="52"/>
  <c r="N11" i="32"/>
  <c r="N58" i="32"/>
  <c r="N29" i="32"/>
  <c r="K50" i="18"/>
  <c r="AG38" i="27"/>
  <c r="AG44" i="27" s="1"/>
  <c r="AG50" i="27" s="1"/>
  <c r="AG56" i="27" s="1"/>
  <c r="F130" i="25"/>
  <c r="F64" i="25"/>
  <c r="F229" i="25"/>
  <c r="F163" i="25"/>
  <c r="F97" i="25"/>
  <c r="F31" i="25"/>
  <c r="F5" i="52"/>
  <c r="F160" i="18"/>
  <c r="AI68" i="33"/>
  <c r="AI6" i="33" s="1"/>
  <c r="AI24" i="33" s="1"/>
  <c r="AI42" i="33" s="1"/>
  <c r="Y123" i="11"/>
  <c r="AJ25" i="11"/>
  <c r="AM25" i="11" s="1"/>
  <c r="AQ65" i="32"/>
  <c r="AN71" i="52"/>
  <c r="AQ9" i="32"/>
  <c r="AN48" i="18"/>
  <c r="AN123" i="18" s="1"/>
  <c r="AQ46" i="32"/>
  <c r="AQ56" i="32"/>
  <c r="AQ37" i="32"/>
  <c r="AQ27" i="32"/>
  <c r="AQ18" i="32"/>
  <c r="AQ53" i="32"/>
  <c r="AQ54" i="32" s="1"/>
  <c r="X15" i="34" s="1"/>
  <c r="AQ63" i="32"/>
  <c r="X14" i="34" s="1"/>
  <c r="M99" i="18"/>
  <c r="M105" i="18" s="1"/>
  <c r="M111" i="18" s="1"/>
  <c r="M117" i="18" s="1"/>
  <c r="M173" i="25"/>
  <c r="M179" i="25" s="1"/>
  <c r="M185" i="25" s="1"/>
  <c r="M191" i="25" s="1"/>
  <c r="AL10" i="27"/>
  <c r="AL16" i="27" s="1"/>
  <c r="AL22" i="27" s="1"/>
  <c r="AL28" i="27" s="1"/>
  <c r="AD33" i="25"/>
  <c r="AD198" i="25"/>
  <c r="AD231" i="25"/>
  <c r="AD165" i="25"/>
  <c r="AD99" i="25"/>
  <c r="AD66" i="25"/>
  <c r="AD132" i="25"/>
  <c r="AD90" i="18"/>
  <c r="AD162" i="18"/>
  <c r="AI84" i="33"/>
  <c r="AI22" i="33" s="1"/>
  <c r="AI40" i="33" s="1"/>
  <c r="AI58" i="33" s="1"/>
  <c r="Y139" i="11"/>
  <c r="L170" i="25"/>
  <c r="L176" i="25" s="1"/>
  <c r="L182" i="25" s="1"/>
  <c r="L188" i="25" s="1"/>
  <c r="AE92" i="19"/>
  <c r="AE94" i="19" s="1"/>
  <c r="AH92" i="32"/>
  <c r="AI81" i="33"/>
  <c r="AI19" i="33" s="1"/>
  <c r="AI37" i="33" s="1"/>
  <c r="AI55" i="33" s="1"/>
  <c r="Y136" i="11"/>
  <c r="U195" i="25"/>
  <c r="U63" i="25"/>
  <c r="U30" i="25"/>
  <c r="U228" i="25"/>
  <c r="U162" i="25"/>
  <c r="U96" i="25"/>
  <c r="U129" i="25"/>
  <c r="U159" i="18"/>
  <c r="M138" i="25"/>
  <c r="M144" i="25" s="1"/>
  <c r="M150" i="25" s="1"/>
  <c r="M156" i="25" s="1"/>
  <c r="M205" i="25"/>
  <c r="M211" i="25" s="1"/>
  <c r="M217" i="25" s="1"/>
  <c r="M223" i="25" s="1"/>
  <c r="M73" i="25"/>
  <c r="M79" i="25" s="1"/>
  <c r="M85" i="25" s="1"/>
  <c r="M91" i="25" s="1"/>
  <c r="AL138" i="20"/>
  <c r="AL144" i="20" s="1"/>
  <c r="AL150" i="20" s="1"/>
  <c r="AL156" i="20" s="1"/>
  <c r="AL8" i="27"/>
  <c r="AL14" i="27" s="1"/>
  <c r="AL20" i="27" s="1"/>
  <c r="AL26" i="27" s="1"/>
  <c r="AL208" i="27"/>
  <c r="AL214" i="27" s="1"/>
  <c r="AL220" i="27" s="1"/>
  <c r="AL226" i="27" s="1"/>
  <c r="M60" i="32"/>
  <c r="L30" i="18"/>
  <c r="L37" i="18" s="1"/>
  <c r="L45" i="18" s="1"/>
  <c r="L41" i="25"/>
  <c r="L47" i="25" s="1"/>
  <c r="L53" i="25" s="1"/>
  <c r="L59" i="25" s="1"/>
  <c r="I163" i="25"/>
  <c r="I229" i="25"/>
  <c r="I196" i="25"/>
  <c r="I97" i="25"/>
  <c r="I64" i="25"/>
  <c r="I130" i="25"/>
  <c r="I31" i="25"/>
  <c r="I88" i="18"/>
  <c r="AR84" i="33"/>
  <c r="AR22" i="33" s="1"/>
  <c r="AR40" i="33" s="1"/>
  <c r="AR58" i="33" s="1"/>
  <c r="AF139" i="11"/>
  <c r="AE6" i="19"/>
  <c r="AE12" i="19"/>
  <c r="AE18" i="19"/>
  <c r="AE15" i="19"/>
  <c r="S139" i="25"/>
  <c r="S145" i="25" s="1"/>
  <c r="S151" i="25" s="1"/>
  <c r="S157" i="25" s="1"/>
  <c r="S104" i="25"/>
  <c r="S110" i="25" s="1"/>
  <c r="S116" i="25" s="1"/>
  <c r="S122" i="25" s="1"/>
  <c r="S99" i="18"/>
  <c r="S105" i="18" s="1"/>
  <c r="S111" i="18" s="1"/>
  <c r="S117" i="18" s="1"/>
  <c r="T115" i="19"/>
  <c r="T121" i="19" s="1"/>
  <c r="T127" i="19" s="1"/>
  <c r="R31" i="20"/>
  <c r="R38" i="20" s="1"/>
  <c r="R46" i="20" s="1"/>
  <c r="R204" i="27"/>
  <c r="R210" i="27" s="1"/>
  <c r="R216" i="27" s="1"/>
  <c r="R222" i="27" s="1"/>
  <c r="R108" i="27"/>
  <c r="R114" i="27" s="1"/>
  <c r="R120" i="27" s="1"/>
  <c r="R126" i="27" s="1"/>
  <c r="AF114" i="53"/>
  <c r="AF115" i="53"/>
  <c r="Z61" i="25"/>
  <c r="AC22" i="32"/>
  <c r="AC80" i="33"/>
  <c r="AC18" i="33" s="1"/>
  <c r="AC36" i="33" s="1"/>
  <c r="AC54" i="33" s="1"/>
  <c r="T135" i="11"/>
  <c r="I164" i="25"/>
  <c r="I131" i="25"/>
  <c r="I98" i="25"/>
  <c r="I32" i="25"/>
  <c r="I65" i="25"/>
  <c r="I230" i="25"/>
  <c r="I197" i="25"/>
  <c r="I161" i="18"/>
  <c r="AG156" i="25"/>
  <c r="AG162" i="25" s="1"/>
  <c r="AJ46" i="32"/>
  <c r="J24" i="25"/>
  <c r="M9" i="32"/>
  <c r="Q17" i="32"/>
  <c r="N70" i="52"/>
  <c r="Q45" i="32"/>
  <c r="N93" i="18"/>
  <c r="Q36" i="32"/>
  <c r="Q26" i="32"/>
  <c r="Q8" i="32"/>
  <c r="Q55" i="32"/>
  <c r="N47" i="18"/>
  <c r="AG194" i="25"/>
  <c r="AG161" i="25"/>
  <c r="AG128" i="25"/>
  <c r="AG95" i="25"/>
  <c r="AG62" i="25"/>
  <c r="AG227" i="25"/>
  <c r="AG29" i="25"/>
  <c r="F231" i="27"/>
  <c r="F198" i="27"/>
  <c r="F165" i="27"/>
  <c r="F99" i="27"/>
  <c r="F132" i="27"/>
  <c r="F66" i="27"/>
  <c r="F33" i="27"/>
  <c r="J157" i="25"/>
  <c r="M47" i="32"/>
  <c r="AK165" i="28"/>
  <c r="AK180" i="59"/>
  <c r="H207" i="25"/>
  <c r="H213" i="25" s="1"/>
  <c r="H219" i="25" s="1"/>
  <c r="H225" i="25" s="1"/>
  <c r="H7" i="25"/>
  <c r="H13" i="25" s="1"/>
  <c r="H19" i="25" s="1"/>
  <c r="H25" i="25" s="1"/>
  <c r="AM99" i="20"/>
  <c r="AM105" i="20" s="1"/>
  <c r="AM111" i="20" s="1"/>
  <c r="AM117" i="20" s="1"/>
  <c r="AM62" i="20"/>
  <c r="AM68" i="20" s="1"/>
  <c r="AM74" i="20" s="1"/>
  <c r="AM80" i="20" s="1"/>
  <c r="T187" i="26"/>
  <c r="T193" i="26" s="1"/>
  <c r="AB131" i="25"/>
  <c r="AB32" i="25"/>
  <c r="AB164" i="25"/>
  <c r="AB230" i="25"/>
  <c r="AB197" i="25"/>
  <c r="AB98" i="25"/>
  <c r="AB65" i="25"/>
  <c r="AB89" i="18"/>
  <c r="AI17" i="32"/>
  <c r="I15" i="19"/>
  <c r="I18" i="19"/>
  <c r="I6" i="19"/>
  <c r="I12" i="19"/>
  <c r="J89" i="18"/>
  <c r="X24" i="27"/>
  <c r="AA145" i="32"/>
  <c r="T138" i="20"/>
  <c r="T144" i="20" s="1"/>
  <c r="L164" i="20"/>
  <c r="L166" i="20" s="1"/>
  <c r="I65" i="32"/>
  <c r="I37" i="32"/>
  <c r="I18" i="32"/>
  <c r="I56" i="32"/>
  <c r="F71" i="52"/>
  <c r="F48" i="18"/>
  <c r="I9" i="32"/>
  <c r="I27" i="32"/>
  <c r="I46" i="32"/>
  <c r="R92" i="32"/>
  <c r="O92" i="19"/>
  <c r="O94" i="19" s="1"/>
  <c r="X72" i="25"/>
  <c r="X78" i="25" s="1"/>
  <c r="X84" i="25" s="1"/>
  <c r="X90" i="25" s="1"/>
  <c r="W128" i="11"/>
  <c r="AF73" i="33"/>
  <c r="AF11" i="33" s="1"/>
  <c r="AF29" i="33" s="1"/>
  <c r="AF47" i="33" s="1"/>
  <c r="R198" i="25"/>
  <c r="R165" i="25"/>
  <c r="R132" i="25"/>
  <c r="R99" i="25"/>
  <c r="R231" i="25"/>
  <c r="R66" i="25"/>
  <c r="R33" i="25"/>
  <c r="R126" i="18"/>
  <c r="R162" i="18"/>
  <c r="R90" i="18"/>
  <c r="AG73" i="27"/>
  <c r="AG79" i="27" s="1"/>
  <c r="AG85" i="27" s="1"/>
  <c r="AG91" i="27" s="1"/>
  <c r="L165" i="18"/>
  <c r="AG114" i="53"/>
  <c r="AG115" i="53"/>
  <c r="AA156" i="27"/>
  <c r="AA162" i="27" s="1"/>
  <c r="AD182" i="32"/>
  <c r="AE114" i="53"/>
  <c r="AE115" i="53"/>
  <c r="Y130" i="11"/>
  <c r="AI75" i="33"/>
  <c r="AI13" i="33" s="1"/>
  <c r="AI31" i="33" s="1"/>
  <c r="AI49" i="33" s="1"/>
  <c r="M138" i="18"/>
  <c r="M144" i="18" s="1"/>
  <c r="M150" i="18" s="1"/>
  <c r="M156" i="18" s="1"/>
  <c r="M204" i="25"/>
  <c r="M210" i="25" s="1"/>
  <c r="M216" i="25" s="1"/>
  <c r="M222" i="25" s="1"/>
  <c r="M171" i="25"/>
  <c r="M177" i="25" s="1"/>
  <c r="M183" i="25" s="1"/>
  <c r="M189" i="25" s="1"/>
  <c r="AL183" i="27"/>
  <c r="AL189" i="27" s="1"/>
  <c r="L172" i="25"/>
  <c r="L178" i="25" s="1"/>
  <c r="L184" i="25" s="1"/>
  <c r="L190" i="25" s="1"/>
  <c r="L129" i="18"/>
  <c r="AS25" i="5"/>
  <c r="AR25" i="5"/>
  <c r="AQ28" i="32"/>
  <c r="AQ66" i="32"/>
  <c r="AQ47" i="32"/>
  <c r="AN72" i="52"/>
  <c r="AQ19" i="32"/>
  <c r="AQ57" i="32"/>
  <c r="AQ38" i="32"/>
  <c r="AQ10" i="32"/>
  <c r="AN49" i="18"/>
  <c r="S62" i="18"/>
  <c r="S68" i="18" s="1"/>
  <c r="S74" i="18" s="1"/>
  <c r="S80" i="18" s="1"/>
  <c r="S74" i="25"/>
  <c r="S80" i="25" s="1"/>
  <c r="S86" i="25" s="1"/>
  <c r="S92" i="25" s="1"/>
  <c r="S72" i="25"/>
  <c r="S78" i="25" s="1"/>
  <c r="S84" i="25" s="1"/>
  <c r="S90" i="25" s="1"/>
  <c r="Z123" i="18"/>
  <c r="R79" i="20"/>
  <c r="R85" i="20" s="1"/>
  <c r="AM114" i="53"/>
  <c r="AM115" i="53"/>
  <c r="T150" i="19"/>
  <c r="T156" i="19" s="1"/>
  <c r="AE45" i="32"/>
  <c r="K142" i="11"/>
  <c r="AC65" i="32"/>
  <c r="Z48" i="18"/>
  <c r="Z71" i="52"/>
  <c r="AC27" i="32"/>
  <c r="AC18" i="32"/>
  <c r="AC46" i="32"/>
  <c r="AC9" i="32"/>
  <c r="AC37" i="32"/>
  <c r="AC56" i="32"/>
  <c r="AM110" i="28"/>
  <c r="AM173" i="28"/>
  <c r="AM46" i="28"/>
  <c r="Z129" i="18"/>
  <c r="AM170" i="27"/>
  <c r="AM176" i="27" s="1"/>
  <c r="AM182" i="27" s="1"/>
  <c r="AM188" i="27" s="1"/>
  <c r="AM107" i="27"/>
  <c r="AM113" i="27" s="1"/>
  <c r="AM119" i="27" s="1"/>
  <c r="AM125" i="27" s="1"/>
  <c r="AE48" i="32"/>
  <c r="AL53" i="59"/>
  <c r="AL183" i="59"/>
  <c r="AL179" i="59"/>
  <c r="AL178" i="59"/>
  <c r="AL181" i="59"/>
  <c r="AL177" i="59"/>
  <c r="AL184" i="59"/>
  <c r="AQ203" i="32"/>
  <c r="AQ147" i="32"/>
  <c r="AQ165" i="32"/>
  <c r="AN85" i="52"/>
  <c r="AQ184" i="32"/>
  <c r="AQ194" i="32"/>
  <c r="AQ175" i="32"/>
  <c r="AN51" i="20"/>
  <c r="AQ156" i="32"/>
  <c r="AF160" i="20"/>
  <c r="Z63" i="32"/>
  <c r="Z14" i="34" s="1"/>
  <c r="Z53" i="32"/>
  <c r="Z54" i="32" s="1"/>
  <c r="Z15" i="34" s="1"/>
  <c r="U123" i="18"/>
  <c r="O12" i="19"/>
  <c r="O6" i="19"/>
  <c r="O18" i="19"/>
  <c r="O15" i="19"/>
  <c r="AM55" i="28"/>
  <c r="AM189" i="28"/>
  <c r="AM186" i="28"/>
  <c r="AM187" i="28"/>
  <c r="AM190" i="28"/>
  <c r="AM188" i="28"/>
  <c r="AM183" i="28"/>
  <c r="AM185" i="28"/>
  <c r="X123" i="27"/>
  <c r="AA173" i="32"/>
  <c r="AA62" i="32"/>
  <c r="X16" i="18"/>
  <c r="X18" i="18" s="1"/>
  <c r="X102" i="18"/>
  <c r="X108" i="18" s="1"/>
  <c r="X114" i="18" s="1"/>
  <c r="X120" i="18" s="1"/>
  <c r="X105" i="25"/>
  <c r="X111" i="25" s="1"/>
  <c r="X117" i="25" s="1"/>
  <c r="X123" i="25" s="1"/>
  <c r="X139" i="25"/>
  <c r="X145" i="25" s="1"/>
  <c r="X151" i="25" s="1"/>
  <c r="X157" i="25" s="1"/>
  <c r="X29" i="18"/>
  <c r="X36" i="18" s="1"/>
  <c r="X44" i="18" s="1"/>
  <c r="X66" i="18"/>
  <c r="X72" i="18" s="1"/>
  <c r="X78" i="18" s="1"/>
  <c r="X84" i="18" s="1"/>
  <c r="X134" i="18"/>
  <c r="X140" i="18" s="1"/>
  <c r="X146" i="18" s="1"/>
  <c r="X152" i="18" s="1"/>
  <c r="X62" i="18"/>
  <c r="X68" i="18" s="1"/>
  <c r="X74" i="18" s="1"/>
  <c r="X80" i="18" s="1"/>
  <c r="X42" i="25"/>
  <c r="X48" i="25" s="1"/>
  <c r="X54" i="25" s="1"/>
  <c r="X60" i="25" s="1"/>
  <c r="X76" i="25"/>
  <c r="X82" i="25" s="1"/>
  <c r="X88" i="25" s="1"/>
  <c r="X94" i="25" s="1"/>
  <c r="X31" i="18"/>
  <c r="X38" i="18" s="1"/>
  <c r="X39" i="18" s="1"/>
  <c r="X207" i="25"/>
  <c r="X213" i="25" s="1"/>
  <c r="X219" i="25" s="1"/>
  <c r="X225" i="25" s="1"/>
  <c r="X208" i="25"/>
  <c r="X214" i="25" s="1"/>
  <c r="X220" i="25" s="1"/>
  <c r="X226" i="25" s="1"/>
  <c r="X170" i="25"/>
  <c r="X176" i="25" s="1"/>
  <c r="X182" i="25" s="1"/>
  <c r="X188" i="25" s="1"/>
  <c r="X7" i="25"/>
  <c r="X13" i="25" s="1"/>
  <c r="X19" i="25" s="1"/>
  <c r="X25" i="25" s="1"/>
  <c r="X38" i="25"/>
  <c r="X44" i="25" s="1"/>
  <c r="X50" i="25" s="1"/>
  <c r="X56" i="25" s="1"/>
  <c r="X104" i="25"/>
  <c r="X110" i="25" s="1"/>
  <c r="X116" i="25" s="1"/>
  <c r="X122" i="25" s="1"/>
  <c r="X137" i="25"/>
  <c r="X143" i="25" s="1"/>
  <c r="X149" i="25" s="1"/>
  <c r="X155" i="25" s="1"/>
  <c r="X138" i="25"/>
  <c r="X144" i="25" s="1"/>
  <c r="X150" i="25" s="1"/>
  <c r="X156" i="25" s="1"/>
  <c r="X99" i="18"/>
  <c r="X105" i="18" s="1"/>
  <c r="X111" i="18" s="1"/>
  <c r="X117" i="18" s="1"/>
  <c r="X74" i="25"/>
  <c r="X80" i="25" s="1"/>
  <c r="X86" i="25" s="1"/>
  <c r="X92" i="25" s="1"/>
  <c r="X40" i="25"/>
  <c r="X46" i="25" s="1"/>
  <c r="X52" i="25" s="1"/>
  <c r="X58" i="25" s="1"/>
  <c r="X64" i="18"/>
  <c r="X70" i="18" s="1"/>
  <c r="X76" i="18" s="1"/>
  <c r="X82" i="18" s="1"/>
  <c r="X164" i="18"/>
  <c r="X166" i="18" s="1"/>
  <c r="X108" i="25"/>
  <c r="X114" i="25" s="1"/>
  <c r="X120" i="25" s="1"/>
  <c r="X126" i="25" s="1"/>
  <c r="X8" i="25"/>
  <c r="X14" i="25" s="1"/>
  <c r="X20" i="25" s="1"/>
  <c r="X26" i="25" s="1"/>
  <c r="X73" i="25"/>
  <c r="X79" i="25" s="1"/>
  <c r="X85" i="25" s="1"/>
  <c r="X91" i="25" s="1"/>
  <c r="T25" i="25"/>
  <c r="T31" i="25" s="1"/>
  <c r="W10" i="32"/>
  <c r="W31" i="32"/>
  <c r="T75" i="52"/>
  <c r="W69" i="32"/>
  <c r="W60" i="32"/>
  <c r="W41" i="32"/>
  <c r="T52" i="18"/>
  <c r="W13" i="32"/>
  <c r="W50" i="32"/>
  <c r="W22" i="32"/>
  <c r="T8" i="32"/>
  <c r="T55" i="32"/>
  <c r="T17" i="32"/>
  <c r="T36" i="32"/>
  <c r="T26" i="32"/>
  <c r="T64" i="32"/>
  <c r="T45" i="32"/>
  <c r="Q46" i="18"/>
  <c r="Q53" i="18" s="1"/>
  <c r="Q47" i="18"/>
  <c r="Q93" i="18"/>
  <c r="Q70" i="52"/>
  <c r="AB124" i="11"/>
  <c r="AK30" i="11"/>
  <c r="AN30" i="11" s="1"/>
  <c r="AN69" i="33"/>
  <c r="AN7" i="33" s="1"/>
  <c r="AN25" i="33" s="1"/>
  <c r="AN43" i="33" s="1"/>
  <c r="L70" i="52"/>
  <c r="L47" i="18"/>
  <c r="L122" i="18" s="1"/>
  <c r="O17" i="32"/>
  <c r="L93" i="18"/>
  <c r="O36" i="32"/>
  <c r="AM116" i="27"/>
  <c r="AM122" i="27" s="1"/>
  <c r="G37" i="28"/>
  <c r="G169" i="28"/>
  <c r="G167" i="28"/>
  <c r="N130" i="11"/>
  <c r="W75" i="33"/>
  <c r="W13" i="33" s="1"/>
  <c r="W31" i="33" s="1"/>
  <c r="W49" i="33" s="1"/>
  <c r="AL75" i="20"/>
  <c r="AL81" i="20" s="1"/>
  <c r="AL51" i="27"/>
  <c r="AL57" i="27" s="1"/>
  <c r="L173" i="25"/>
  <c r="L179" i="25" s="1"/>
  <c r="L185" i="25" s="1"/>
  <c r="L191" i="25" s="1"/>
  <c r="AR72" i="33"/>
  <c r="AR10" i="33" s="1"/>
  <c r="AR28" i="33" s="1"/>
  <c r="AR46" i="33" s="1"/>
  <c r="AF127" i="11"/>
  <c r="T216" i="26"/>
  <c r="T222" i="26" s="1"/>
  <c r="Y124" i="11"/>
  <c r="AI69" i="33"/>
  <c r="AI7" i="33" s="1"/>
  <c r="AI25" i="33" s="1"/>
  <c r="AI43" i="33" s="1"/>
  <c r="AK25" i="11"/>
  <c r="AN25" i="11" s="1"/>
  <c r="M65" i="18"/>
  <c r="M71" i="18" s="1"/>
  <c r="M77" i="18" s="1"/>
  <c r="M83" i="18" s="1"/>
  <c r="M42" i="25"/>
  <c r="M48" i="25" s="1"/>
  <c r="M54" i="25" s="1"/>
  <c r="M60" i="25" s="1"/>
  <c r="M164" i="18"/>
  <c r="M166" i="18" s="1"/>
  <c r="M165" i="18" s="1"/>
  <c r="AL27" i="20"/>
  <c r="AL34" i="20" s="1"/>
  <c r="AL42" i="20" s="1"/>
  <c r="AL47" i="20" s="1"/>
  <c r="AL54" i="20" s="1"/>
  <c r="AL174" i="27"/>
  <c r="AL180" i="27" s="1"/>
  <c r="AL186" i="27" s="1"/>
  <c r="AL192" i="27" s="1"/>
  <c r="AO180" i="32"/>
  <c r="AC19" i="34" s="1"/>
  <c r="AC33" i="34" s="1"/>
  <c r="AO170" i="32"/>
  <c r="AO171" i="32" s="1"/>
  <c r="AC20" i="34" s="1"/>
  <c r="AC34" i="34" s="1"/>
  <c r="AN94" i="53"/>
  <c r="AN95" i="53"/>
  <c r="L174" i="25"/>
  <c r="L180" i="25" s="1"/>
  <c r="L186" i="25" s="1"/>
  <c r="L192" i="25" s="1"/>
  <c r="O44" i="32"/>
  <c r="N12" i="34" s="1"/>
  <c r="O34" i="32"/>
  <c r="O35" i="32" s="1"/>
  <c r="N13" i="34" s="1"/>
  <c r="AR69" i="33"/>
  <c r="AR7" i="33" s="1"/>
  <c r="AR25" i="33" s="1"/>
  <c r="AR43" i="33" s="1"/>
  <c r="AK34" i="11"/>
  <c r="AN34" i="11" s="1"/>
  <c r="AF124" i="11"/>
  <c r="E254" i="53"/>
  <c r="E351" i="53"/>
  <c r="E386" i="53" s="1"/>
  <c r="F77" i="52"/>
  <c r="F49" i="19"/>
  <c r="I77" i="32"/>
  <c r="I133" i="32"/>
  <c r="I124" i="32"/>
  <c r="I105" i="32"/>
  <c r="I86" i="32"/>
  <c r="I114" i="32"/>
  <c r="I95" i="32"/>
  <c r="AI44" i="59"/>
  <c r="AI173" i="59"/>
  <c r="AI174" i="59"/>
  <c r="AI172" i="59"/>
  <c r="AI171" i="59"/>
  <c r="AI175" i="59"/>
  <c r="S101" i="18"/>
  <c r="S107" i="18" s="1"/>
  <c r="S113" i="18" s="1"/>
  <c r="S119" i="18" s="1"/>
  <c r="S175" i="25"/>
  <c r="S181" i="25" s="1"/>
  <c r="S187" i="25" s="1"/>
  <c r="S193" i="25" s="1"/>
  <c r="S76" i="25"/>
  <c r="S82" i="25" s="1"/>
  <c r="S88" i="25" s="1"/>
  <c r="S94" i="25" s="1"/>
  <c r="G53" i="59"/>
  <c r="G178" i="59"/>
  <c r="G177" i="59"/>
  <c r="G184" i="59"/>
  <c r="G183" i="59"/>
  <c r="G180" i="59"/>
  <c r="G181" i="59"/>
  <c r="AI4" i="11"/>
  <c r="AL4" i="11" s="1"/>
  <c r="N67" i="33"/>
  <c r="N5" i="33" s="1"/>
  <c r="N23" i="33" s="1"/>
  <c r="N41" i="33" s="1"/>
  <c r="AL122" i="11"/>
  <c r="R134" i="20"/>
  <c r="R140" i="20" s="1"/>
  <c r="R146" i="20" s="1"/>
  <c r="R152" i="20" s="1"/>
  <c r="R99" i="20"/>
  <c r="R105" i="20" s="1"/>
  <c r="R111" i="20" s="1"/>
  <c r="R117" i="20" s="1"/>
  <c r="AB128" i="25"/>
  <c r="AB95" i="25"/>
  <c r="AB161" i="25"/>
  <c r="AB227" i="25"/>
  <c r="AB194" i="25"/>
  <c r="AB29" i="25"/>
  <c r="AB122" i="18"/>
  <c r="G179" i="59"/>
  <c r="H175" i="25"/>
  <c r="H181" i="25" s="1"/>
  <c r="H187" i="25" s="1"/>
  <c r="H193" i="25" s="1"/>
  <c r="H65" i="18"/>
  <c r="H71" i="18" s="1"/>
  <c r="H77" i="18" s="1"/>
  <c r="H83" i="18" s="1"/>
  <c r="AM32" i="20"/>
  <c r="AM39" i="20" s="1"/>
  <c r="AM40" i="20" s="1"/>
  <c r="AM101" i="20"/>
  <c r="AM107" i="20" s="1"/>
  <c r="AM113" i="20" s="1"/>
  <c r="AM119" i="20" s="1"/>
  <c r="W131" i="32"/>
  <c r="V28" i="34" s="1"/>
  <c r="V42" i="34" s="1"/>
  <c r="W121" i="32"/>
  <c r="W122" i="32" s="1"/>
  <c r="V29" i="34" s="1"/>
  <c r="V43" i="34" s="1"/>
  <c r="AE186" i="27"/>
  <c r="AE192" i="27" s="1"/>
  <c r="AE50" i="27"/>
  <c r="AE56" i="27" s="1"/>
  <c r="AI229" i="27"/>
  <c r="AI196" i="27"/>
  <c r="AI163" i="27"/>
  <c r="AI130" i="27"/>
  <c r="AI64" i="27"/>
  <c r="AI97" i="27"/>
  <c r="AI31" i="27"/>
  <c r="AI88" i="20"/>
  <c r="T176" i="32"/>
  <c r="Q86" i="52"/>
  <c r="T157" i="32"/>
  <c r="Q52" i="20"/>
  <c r="AF229" i="25"/>
  <c r="AF163" i="25"/>
  <c r="AF97" i="25"/>
  <c r="AF130" i="25"/>
  <c r="AF64" i="25"/>
  <c r="AF31" i="25"/>
  <c r="AF196" i="25"/>
  <c r="T155" i="25"/>
  <c r="W45" i="32"/>
  <c r="AE159" i="25"/>
  <c r="AH49" i="32"/>
  <c r="F88" i="19"/>
  <c r="AJ20" i="11"/>
  <c r="AM20" i="11" s="1"/>
  <c r="U123" i="11"/>
  <c r="AD68" i="33"/>
  <c r="AD6" i="33" s="1"/>
  <c r="AD24" i="33" s="1"/>
  <c r="AD42" i="33" s="1"/>
  <c r="AD174" i="32"/>
  <c r="R58" i="25"/>
  <c r="U19" i="32"/>
  <c r="L16" i="18"/>
  <c r="L18" i="18" s="1"/>
  <c r="O62" i="32"/>
  <c r="AP115" i="53"/>
  <c r="AP114" i="53"/>
  <c r="T36" i="59"/>
  <c r="T163" i="59"/>
  <c r="T160" i="59"/>
  <c r="AP199" i="32"/>
  <c r="AJ21" i="34" s="1"/>
  <c r="AJ35" i="34" s="1"/>
  <c r="AP189" i="32"/>
  <c r="AP190" i="32" s="1"/>
  <c r="AJ22" i="34" s="1"/>
  <c r="AJ36" i="34" s="1"/>
  <c r="AL75" i="33"/>
  <c r="AL13" i="33" s="1"/>
  <c r="AL31" i="33" s="1"/>
  <c r="AL49" i="33" s="1"/>
  <c r="AN130" i="11"/>
  <c r="AM105" i="26"/>
  <c r="AM111" i="26" s="1"/>
  <c r="AM128" i="19"/>
  <c r="AM130" i="19" s="1"/>
  <c r="AP111" i="32"/>
  <c r="AM16" i="19"/>
  <c r="Y133" i="11"/>
  <c r="AI78" i="33"/>
  <c r="AI16" i="33" s="1"/>
  <c r="AI34" i="33" s="1"/>
  <c r="AI52" i="33" s="1"/>
  <c r="M170" i="25"/>
  <c r="M176" i="25" s="1"/>
  <c r="M182" i="25" s="1"/>
  <c r="M188" i="25" s="1"/>
  <c r="AL205" i="27"/>
  <c r="AL211" i="27" s="1"/>
  <c r="AL217" i="27" s="1"/>
  <c r="AL223" i="27" s="1"/>
  <c r="AL42" i="27"/>
  <c r="AL48" i="27" s="1"/>
  <c r="AL54" i="27" s="1"/>
  <c r="AL60" i="27" s="1"/>
  <c r="L99" i="18"/>
  <c r="L105" i="18" s="1"/>
  <c r="L111" i="18" s="1"/>
  <c r="L117" i="18" s="1"/>
  <c r="T87" i="26"/>
  <c r="T93" i="26" s="1"/>
  <c r="N70" i="33"/>
  <c r="N8" i="33" s="1"/>
  <c r="N26" i="33" s="1"/>
  <c r="N44" i="33" s="1"/>
  <c r="AL125" i="11"/>
  <c r="R141" i="27"/>
  <c r="R147" i="27" s="1"/>
  <c r="R153" i="27" s="1"/>
  <c r="R159" i="27" s="1"/>
  <c r="R208" i="27"/>
  <c r="R214" i="27" s="1"/>
  <c r="R220" i="27" s="1"/>
  <c r="R226" i="27" s="1"/>
  <c r="R109" i="27"/>
  <c r="R115" i="27" s="1"/>
  <c r="R121" i="27" s="1"/>
  <c r="R127" i="27" s="1"/>
  <c r="G114" i="53"/>
  <c r="G115" i="53"/>
  <c r="M115" i="53"/>
  <c r="M114" i="53"/>
  <c r="AK170" i="59"/>
  <c r="E240" i="53"/>
  <c r="E339" i="53"/>
  <c r="E374" i="53" s="1"/>
  <c r="Q69" i="32"/>
  <c r="Q13" i="32"/>
  <c r="N52" i="18"/>
  <c r="N163" i="18" s="1"/>
  <c r="Q22" i="32"/>
  <c r="Q60" i="32"/>
  <c r="N75" i="52"/>
  <c r="Q31" i="32"/>
  <c r="N124" i="18"/>
  <c r="E126" i="19"/>
  <c r="AA193" i="27"/>
  <c r="AD196" i="32"/>
  <c r="E25" i="36"/>
  <c r="E52" i="36"/>
  <c r="E80" i="36" s="1"/>
  <c r="E108" i="36" s="1"/>
  <c r="E136" i="36" s="1"/>
  <c r="J190" i="25"/>
  <c r="M57" i="32"/>
  <c r="H174" i="25"/>
  <c r="H180" i="25" s="1"/>
  <c r="H186" i="25" s="1"/>
  <c r="H192" i="25" s="1"/>
  <c r="H139" i="18"/>
  <c r="H145" i="18" s="1"/>
  <c r="H151" i="18" s="1"/>
  <c r="H157" i="18" s="1"/>
  <c r="AM98" i="20"/>
  <c r="AM104" i="20" s="1"/>
  <c r="AM110" i="20" s="1"/>
  <c r="AM116" i="20" s="1"/>
  <c r="AM174" i="27"/>
  <c r="AM180" i="27" s="1"/>
  <c r="AM186" i="27" s="1"/>
  <c r="AM192" i="27" s="1"/>
  <c r="AE39" i="32"/>
  <c r="L124" i="11"/>
  <c r="AK11" i="11"/>
  <c r="AN11" i="11" s="1"/>
  <c r="U69" i="33"/>
  <c r="U7" i="33" s="1"/>
  <c r="U25" i="33" s="1"/>
  <c r="U43" i="33" s="1"/>
  <c r="AE150" i="27"/>
  <c r="AE156" i="27" s="1"/>
  <c r="Z25" i="25"/>
  <c r="AC10" i="32"/>
  <c r="T71" i="27"/>
  <c r="T77" i="27" s="1"/>
  <c r="O198" i="32"/>
  <c r="L142" i="27"/>
  <c r="L148" i="27" s="1"/>
  <c r="L74" i="27"/>
  <c r="L80" i="27" s="1"/>
  <c r="L62" i="20"/>
  <c r="L68" i="20" s="1"/>
  <c r="L67" i="20"/>
  <c r="L73" i="20" s="1"/>
  <c r="L139" i="27"/>
  <c r="L145" i="27" s="1"/>
  <c r="L151" i="27" s="1"/>
  <c r="L157" i="27" s="1"/>
  <c r="L102" i="20"/>
  <c r="L108" i="20" s="1"/>
  <c r="L103" i="20"/>
  <c r="L109" i="20" s="1"/>
  <c r="L38" i="27"/>
  <c r="L44" i="27" s="1"/>
  <c r="L135" i="20"/>
  <c r="L141" i="20" s="1"/>
  <c r="L147" i="20" s="1"/>
  <c r="L153" i="20" s="1"/>
  <c r="L98" i="20"/>
  <c r="L104" i="20" s="1"/>
  <c r="L175" i="27"/>
  <c r="L181" i="27" s="1"/>
  <c r="L27" i="20"/>
  <c r="L34" i="20" s="1"/>
  <c r="L173" i="27"/>
  <c r="L179" i="27" s="1"/>
  <c r="L30" i="20"/>
  <c r="L37" i="20" s="1"/>
  <c r="L100" i="20"/>
  <c r="L106" i="20" s="1"/>
  <c r="L137" i="20"/>
  <c r="L143" i="20" s="1"/>
  <c r="L39" i="27"/>
  <c r="L45" i="27" s="1"/>
  <c r="L204" i="27"/>
  <c r="L210" i="27" s="1"/>
  <c r="L64" i="20"/>
  <c r="L70" i="20" s="1"/>
  <c r="L26" i="20"/>
  <c r="L33" i="20" s="1"/>
  <c r="L105" i="27"/>
  <c r="L111" i="27" s="1"/>
  <c r="L208" i="27"/>
  <c r="L214" i="27" s="1"/>
  <c r="L9" i="27"/>
  <c r="L15" i="27" s="1"/>
  <c r="L31" i="20"/>
  <c r="L38" i="20" s="1"/>
  <c r="AD173" i="32"/>
  <c r="R139" i="11"/>
  <c r="AB84" i="33"/>
  <c r="AB22" i="33" s="1"/>
  <c r="AB40" i="33" s="1"/>
  <c r="AB58" i="33" s="1"/>
  <c r="AK22" i="18"/>
  <c r="AK12" i="18"/>
  <c r="W69" i="33"/>
  <c r="W7" i="33" s="1"/>
  <c r="W25" i="33" s="1"/>
  <c r="W43" i="33" s="1"/>
  <c r="N124" i="11"/>
  <c r="AK13" i="11"/>
  <c r="AN13" i="11" s="1"/>
  <c r="Q193" i="25"/>
  <c r="Q199" i="25" s="1"/>
  <c r="T60" i="32"/>
  <c r="E255" i="53"/>
  <c r="E352" i="53"/>
  <c r="E387" i="53" s="1"/>
  <c r="AJ53" i="32"/>
  <c r="AJ54" i="32" s="1"/>
  <c r="AM15" i="34" s="1"/>
  <c r="AJ63" i="32"/>
  <c r="AM14" i="34" s="1"/>
  <c r="E34" i="36"/>
  <c r="E62" i="36" s="1"/>
  <c r="E90" i="36" s="1"/>
  <c r="E118" i="36" s="1"/>
  <c r="E7" i="36"/>
  <c r="AG83" i="32"/>
  <c r="AG84" i="32" s="1"/>
  <c r="AI24" i="34" s="1"/>
  <c r="AI38" i="34" s="1"/>
  <c r="AG93" i="32"/>
  <c r="AI25" i="34" s="1"/>
  <c r="AI39" i="34" s="1"/>
  <c r="AG74" i="32"/>
  <c r="AG75" i="32" s="1"/>
  <c r="AI23" i="34" s="1"/>
  <c r="AI37" i="34" s="1"/>
  <c r="AE153" i="27"/>
  <c r="AE159" i="27" s="1"/>
  <c r="M207" i="25"/>
  <c r="M213" i="25" s="1"/>
  <c r="M219" i="25" s="1"/>
  <c r="M225" i="25" s="1"/>
  <c r="AN158" i="18"/>
  <c r="V130" i="11"/>
  <c r="AE75" i="33"/>
  <c r="AE13" i="33" s="1"/>
  <c r="AE31" i="33" s="1"/>
  <c r="AE49" i="33" s="1"/>
  <c r="U86" i="18"/>
  <c r="S137" i="18"/>
  <c r="S143" i="18" s="1"/>
  <c r="S149" i="18" s="1"/>
  <c r="S155" i="18" s="1"/>
  <c r="S66" i="18"/>
  <c r="S72" i="18" s="1"/>
  <c r="S78" i="18" s="1"/>
  <c r="S84" i="18" s="1"/>
  <c r="S106" i="25"/>
  <c r="S112" i="25" s="1"/>
  <c r="S118" i="25" s="1"/>
  <c r="S124" i="25" s="1"/>
  <c r="R103" i="20"/>
  <c r="R109" i="20" s="1"/>
  <c r="R115" i="20" s="1"/>
  <c r="R121" i="20" s="1"/>
  <c r="R42" i="27"/>
  <c r="R48" i="27" s="1"/>
  <c r="R54" i="27" s="1"/>
  <c r="R60" i="27" s="1"/>
  <c r="R71" i="27"/>
  <c r="R77" i="27" s="1"/>
  <c r="R83" i="27" s="1"/>
  <c r="R89" i="27" s="1"/>
  <c r="AA115" i="53"/>
  <c r="AA114" i="53"/>
  <c r="AD114" i="53"/>
  <c r="AD115" i="53"/>
  <c r="T52" i="26"/>
  <c r="T58" i="26" s="1"/>
  <c r="AN88" i="20"/>
  <c r="E21" i="53"/>
  <c r="E64" i="53"/>
  <c r="E108" i="53" s="1"/>
  <c r="E152" i="53" s="1"/>
  <c r="E197" i="53" s="1"/>
  <c r="J223" i="25"/>
  <c r="M66" i="32"/>
  <c r="F126" i="20"/>
  <c r="E52" i="19"/>
  <c r="H80" i="32"/>
  <c r="H117" i="32"/>
  <c r="H89" i="32"/>
  <c r="H98" i="32"/>
  <c r="H108" i="32"/>
  <c r="H127" i="32"/>
  <c r="H136" i="32"/>
  <c r="E80" i="52"/>
  <c r="H30" i="18"/>
  <c r="H37" i="18" s="1"/>
  <c r="H45" i="18" s="1"/>
  <c r="H9" i="25"/>
  <c r="H15" i="25" s="1"/>
  <c r="H21" i="25" s="1"/>
  <c r="H27" i="25" s="1"/>
  <c r="AM136" i="20"/>
  <c r="AM142" i="20" s="1"/>
  <c r="AM148" i="20" s="1"/>
  <c r="AM154" i="20" s="1"/>
  <c r="AM38" i="27"/>
  <c r="AM44" i="27" s="1"/>
  <c r="AM50" i="27" s="1"/>
  <c r="AM56" i="27" s="1"/>
  <c r="AA28" i="27"/>
  <c r="AD149" i="32"/>
  <c r="AG86" i="18"/>
  <c r="AE106" i="27"/>
  <c r="AE112" i="27" s="1"/>
  <c r="AE98" i="20"/>
  <c r="AE104" i="20" s="1"/>
  <c r="AE110" i="20" s="1"/>
  <c r="AE116" i="20" s="1"/>
  <c r="AE107" i="27"/>
  <c r="AE113" i="27" s="1"/>
  <c r="AE119" i="27" s="1"/>
  <c r="AE125" i="27" s="1"/>
  <c r="AE173" i="27"/>
  <c r="AE179" i="27" s="1"/>
  <c r="AE185" i="27" s="1"/>
  <c r="AE191" i="27" s="1"/>
  <c r="AE101" i="20"/>
  <c r="AE107" i="20" s="1"/>
  <c r="AE17" i="20"/>
  <c r="AE19" i="20" s="1"/>
  <c r="AE172" i="27"/>
  <c r="AE178" i="27" s="1"/>
  <c r="AE184" i="27" s="1"/>
  <c r="AE190" i="27" s="1"/>
  <c r="AE109" i="27"/>
  <c r="AE115" i="27" s="1"/>
  <c r="AE121" i="27" s="1"/>
  <c r="AE127" i="27" s="1"/>
  <c r="AE67" i="20"/>
  <c r="AE73" i="20" s="1"/>
  <c r="AE79" i="20" s="1"/>
  <c r="AE85" i="20" s="1"/>
  <c r="AE99" i="20"/>
  <c r="AE105" i="20" s="1"/>
  <c r="AE111" i="20" s="1"/>
  <c r="AE117" i="20" s="1"/>
  <c r="AE71" i="27"/>
  <c r="AE77" i="27" s="1"/>
  <c r="AE142" i="27"/>
  <c r="AE148" i="27" s="1"/>
  <c r="AE154" i="27" s="1"/>
  <c r="AE160" i="27" s="1"/>
  <c r="AE139" i="20"/>
  <c r="AE145" i="20" s="1"/>
  <c r="AE151" i="20" s="1"/>
  <c r="AE157" i="20" s="1"/>
  <c r="AE30" i="20"/>
  <c r="AE37" i="20" s="1"/>
  <c r="AE28" i="20"/>
  <c r="AE35" i="20" s="1"/>
  <c r="AE43" i="20" s="1"/>
  <c r="AE72" i="27"/>
  <c r="AE78" i="27" s="1"/>
  <c r="AE84" i="27" s="1"/>
  <c r="AE90" i="27" s="1"/>
  <c r="AE65" i="20"/>
  <c r="AE71" i="20" s="1"/>
  <c r="AE77" i="20" s="1"/>
  <c r="AE83" i="20" s="1"/>
  <c r="AE206" i="27"/>
  <c r="AE212" i="27" s="1"/>
  <c r="AE218" i="27" s="1"/>
  <c r="AE224" i="27" s="1"/>
  <c r="AE40" i="27"/>
  <c r="AE46" i="27" s="1"/>
  <c r="AE52" i="27" s="1"/>
  <c r="AE58" i="27" s="1"/>
  <c r="AE204" i="27"/>
  <c r="AE210" i="27" s="1"/>
  <c r="AE216" i="27" s="1"/>
  <c r="AE222" i="27" s="1"/>
  <c r="AE139" i="27"/>
  <c r="AE145" i="27" s="1"/>
  <c r="AE151" i="27" s="1"/>
  <c r="AE157" i="27" s="1"/>
  <c r="AE207" i="27"/>
  <c r="AE213" i="27" s="1"/>
  <c r="AE219" i="27" s="1"/>
  <c r="AE225" i="27" s="1"/>
  <c r="AE100" i="20"/>
  <c r="AE106" i="20" s="1"/>
  <c r="AE5" i="27"/>
  <c r="AE11" i="27" s="1"/>
  <c r="AE17" i="27" s="1"/>
  <c r="AE23" i="27" s="1"/>
  <c r="AE29" i="20"/>
  <c r="AE36" i="20" s="1"/>
  <c r="AE31" i="20"/>
  <c r="AE38" i="20" s="1"/>
  <c r="AE46" i="20" s="1"/>
  <c r="AE9" i="27"/>
  <c r="AE15" i="27" s="1"/>
  <c r="AE21" i="27" s="1"/>
  <c r="AE27" i="27" s="1"/>
  <c r="AE6" i="27"/>
  <c r="AE12" i="27" s="1"/>
  <c r="AE18" i="27" s="1"/>
  <c r="AE24" i="27" s="1"/>
  <c r="AE62" i="20"/>
  <c r="AE68" i="20" s="1"/>
  <c r="AE140" i="27"/>
  <c r="AE146" i="27" s="1"/>
  <c r="AE152" i="27" s="1"/>
  <c r="AE158" i="27" s="1"/>
  <c r="AE64" i="20"/>
  <c r="AE70" i="20" s="1"/>
  <c r="AE76" i="20" s="1"/>
  <c r="AE82" i="20" s="1"/>
  <c r="AE32" i="20"/>
  <c r="AE39" i="20" s="1"/>
  <c r="AE40" i="20" s="1"/>
  <c r="AE7" i="27"/>
  <c r="AE13" i="27" s="1"/>
  <c r="AE19" i="27" s="1"/>
  <c r="AE25" i="27" s="1"/>
  <c r="Z190" i="25"/>
  <c r="AC57" i="32"/>
  <c r="U28" i="11"/>
  <c r="N96" i="27"/>
  <c r="N30" i="27"/>
  <c r="N195" i="27"/>
  <c r="N228" i="27"/>
  <c r="N162" i="27"/>
  <c r="N129" i="27"/>
  <c r="N63" i="27"/>
  <c r="N123" i="20"/>
  <c r="N87" i="20"/>
  <c r="T204" i="27"/>
  <c r="T210" i="27" s="1"/>
  <c r="L206" i="27"/>
  <c r="L212" i="27" s="1"/>
  <c r="L41" i="27"/>
  <c r="L47" i="27" s="1"/>
  <c r="Q149" i="20"/>
  <c r="Q155" i="20" s="1"/>
  <c r="AB75" i="33"/>
  <c r="AB13" i="33" s="1"/>
  <c r="AB31" i="33" s="1"/>
  <c r="AB49" i="33" s="1"/>
  <c r="R130" i="11"/>
  <c r="AO78" i="33"/>
  <c r="AO16" i="33" s="1"/>
  <c r="AO34" i="33" s="1"/>
  <c r="AO52" i="33" s="1"/>
  <c r="AC133" i="11"/>
  <c r="AD23" i="20"/>
  <c r="E12" i="20"/>
  <c r="E15" i="20"/>
  <c r="E6" i="20"/>
  <c r="E18" i="20"/>
  <c r="P136" i="11"/>
  <c r="Z81" i="33"/>
  <c r="Z19" i="33" s="1"/>
  <c r="Z37" i="33" s="1"/>
  <c r="Z55" i="33" s="1"/>
  <c r="AN125" i="53"/>
  <c r="AN124" i="53"/>
  <c r="Z160" i="25"/>
  <c r="AC50" i="32"/>
  <c r="AF94" i="25"/>
  <c r="AI31" i="32"/>
  <c r="N76" i="33"/>
  <c r="N14" i="33" s="1"/>
  <c r="N32" i="33" s="1"/>
  <c r="N50" i="33" s="1"/>
  <c r="AL131" i="11"/>
  <c r="Q115" i="53"/>
  <c r="Q114" i="53"/>
  <c r="AM171" i="27"/>
  <c r="AM177" i="27" s="1"/>
  <c r="AM183" i="27" s="1"/>
  <c r="AM189" i="27" s="1"/>
  <c r="AM43" i="27"/>
  <c r="AM49" i="27" s="1"/>
  <c r="AM55" i="27" s="1"/>
  <c r="AM61" i="27" s="1"/>
  <c r="AE85" i="27"/>
  <c r="AE91" i="27" s="1"/>
  <c r="M106" i="25"/>
  <c r="M112" i="25" s="1"/>
  <c r="M118" i="25" s="1"/>
  <c r="M124" i="25" s="1"/>
  <c r="AL40" i="27"/>
  <c r="AL46" i="27" s="1"/>
  <c r="AL52" i="27" s="1"/>
  <c r="AL58" i="27" s="1"/>
  <c r="L8" i="25"/>
  <c r="L14" i="25" s="1"/>
  <c r="L20" i="25" s="1"/>
  <c r="L26" i="25" s="1"/>
  <c r="L26" i="18"/>
  <c r="L33" i="18" s="1"/>
  <c r="L41" i="18" s="1"/>
  <c r="S136" i="11"/>
  <c r="Y81" i="33"/>
  <c r="Y19" i="33" s="1"/>
  <c r="Y37" i="33" s="1"/>
  <c r="Y55" i="33" s="1"/>
  <c r="AN127" i="18"/>
  <c r="S31" i="18"/>
  <c r="S38" i="18" s="1"/>
  <c r="S39" i="18" s="1"/>
  <c r="S40" i="25"/>
  <c r="S46" i="25" s="1"/>
  <c r="S52" i="25" s="1"/>
  <c r="S58" i="25" s="1"/>
  <c r="S39" i="25"/>
  <c r="S45" i="25" s="1"/>
  <c r="S51" i="25" s="1"/>
  <c r="S57" i="25" s="1"/>
  <c r="AI111" i="32"/>
  <c r="AF171" i="26"/>
  <c r="AF177" i="26" s="1"/>
  <c r="AF43" i="26"/>
  <c r="AF49" i="26" s="1"/>
  <c r="AF16" i="19"/>
  <c r="AF140" i="26" s="1"/>
  <c r="AF146" i="26" s="1"/>
  <c r="AF128" i="19"/>
  <c r="AF130" i="19" s="1"/>
  <c r="AF139" i="19"/>
  <c r="AF145" i="19" s="1"/>
  <c r="AF138" i="19"/>
  <c r="AF144" i="19" s="1"/>
  <c r="AF38" i="26"/>
  <c r="AF44" i="26" s="1"/>
  <c r="AF136" i="19"/>
  <c r="AF142" i="19" s="1"/>
  <c r="AF74" i="26"/>
  <c r="AF80" i="26" s="1"/>
  <c r="AF42" i="26"/>
  <c r="AF48" i="26" s="1"/>
  <c r="AF32" i="19"/>
  <c r="AF39" i="19" s="1"/>
  <c r="AF40" i="19" s="1"/>
  <c r="AF63" i="19"/>
  <c r="AF69" i="19" s="1"/>
  <c r="AF99" i="19"/>
  <c r="AF105" i="19" s="1"/>
  <c r="AF64" i="19"/>
  <c r="AF70" i="19" s="1"/>
  <c r="AF106" i="26"/>
  <c r="AF112" i="26" s="1"/>
  <c r="M109" i="25"/>
  <c r="M115" i="25" s="1"/>
  <c r="M121" i="25" s="1"/>
  <c r="M127" i="25" s="1"/>
  <c r="M175" i="25"/>
  <c r="M181" i="25" s="1"/>
  <c r="M187" i="25" s="1"/>
  <c r="M193" i="25" s="1"/>
  <c r="M9" i="25"/>
  <c r="M15" i="25" s="1"/>
  <c r="M21" i="25" s="1"/>
  <c r="M27" i="25" s="1"/>
  <c r="AL138" i="27"/>
  <c r="AL144" i="27" s="1"/>
  <c r="AL150" i="27" s="1"/>
  <c r="AL156" i="27" s="1"/>
  <c r="AL99" i="20"/>
  <c r="AL105" i="20" s="1"/>
  <c r="AL111" i="20" s="1"/>
  <c r="AL117" i="20" s="1"/>
  <c r="AL105" i="27"/>
  <c r="AL111" i="27" s="1"/>
  <c r="AL117" i="27" s="1"/>
  <c r="AL123" i="27" s="1"/>
  <c r="T53" i="59"/>
  <c r="T178" i="59"/>
  <c r="T180" i="59"/>
  <c r="T183" i="59"/>
  <c r="T181" i="59"/>
  <c r="T179" i="59"/>
  <c r="T182" i="59"/>
  <c r="L39" i="25"/>
  <c r="L45" i="25" s="1"/>
  <c r="L51" i="25" s="1"/>
  <c r="L57" i="25" s="1"/>
  <c r="L171" i="25"/>
  <c r="L177" i="25" s="1"/>
  <c r="L183" i="25" s="1"/>
  <c r="L189" i="25" s="1"/>
  <c r="L139" i="25"/>
  <c r="L145" i="25" s="1"/>
  <c r="L151" i="25" s="1"/>
  <c r="L157" i="25" s="1"/>
  <c r="S124" i="11"/>
  <c r="Y69" i="33"/>
  <c r="Y7" i="33" s="1"/>
  <c r="Y25" i="33" s="1"/>
  <c r="Y43" i="33" s="1"/>
  <c r="AK15" i="11"/>
  <c r="AN15" i="11" s="1"/>
  <c r="M39" i="25"/>
  <c r="M45" i="25" s="1"/>
  <c r="M51" i="25" s="1"/>
  <c r="M6" i="25"/>
  <c r="M12" i="25" s="1"/>
  <c r="M18" i="25" s="1"/>
  <c r="M24" i="25" s="1"/>
  <c r="M67" i="18"/>
  <c r="M73" i="18" s="1"/>
  <c r="M79" i="18" s="1"/>
  <c r="M85" i="18" s="1"/>
  <c r="M91" i="18" s="1"/>
  <c r="AL103" i="20"/>
  <c r="AL109" i="20" s="1"/>
  <c r="AL115" i="20" s="1"/>
  <c r="AL121" i="20" s="1"/>
  <c r="AL139" i="27"/>
  <c r="AL145" i="27" s="1"/>
  <c r="AL151" i="27" s="1"/>
  <c r="AL157" i="27" s="1"/>
  <c r="AL108" i="27"/>
  <c r="AL114" i="27" s="1"/>
  <c r="AL120" i="27" s="1"/>
  <c r="AL126" i="27" s="1"/>
  <c r="L206" i="25"/>
  <c r="L212" i="25" s="1"/>
  <c r="L218" i="25" s="1"/>
  <c r="L224" i="25" s="1"/>
  <c r="L71" i="25"/>
  <c r="L77" i="25" s="1"/>
  <c r="L83" i="25" s="1"/>
  <c r="L89" i="25" s="1"/>
  <c r="L29" i="18"/>
  <c r="L36" i="18" s="1"/>
  <c r="L44" i="18" s="1"/>
  <c r="J73" i="52"/>
  <c r="M20" i="32"/>
  <c r="M58" i="32"/>
  <c r="M48" i="32"/>
  <c r="J50" i="18"/>
  <c r="M11" i="32"/>
  <c r="M67" i="32"/>
  <c r="M39" i="32"/>
  <c r="M29" i="32"/>
  <c r="Y88" i="20"/>
  <c r="Y75" i="33"/>
  <c r="Y13" i="33" s="1"/>
  <c r="Y31" i="33" s="1"/>
  <c r="Y49" i="33" s="1"/>
  <c r="S130" i="11"/>
  <c r="P7" i="19"/>
  <c r="P8" i="19"/>
  <c r="P5" i="19"/>
  <c r="AQ69" i="32"/>
  <c r="AQ22" i="32"/>
  <c r="AQ13" i="32"/>
  <c r="AQ41" i="32"/>
  <c r="AN52" i="18"/>
  <c r="AN91" i="18" s="1"/>
  <c r="AQ50" i="32"/>
  <c r="AN75" i="52"/>
  <c r="AQ60" i="32"/>
  <c r="AQ31" i="32"/>
  <c r="X156" i="27"/>
  <c r="AA182" i="32"/>
  <c r="V124" i="11"/>
  <c r="AE69" i="33"/>
  <c r="AE7" i="33" s="1"/>
  <c r="AE25" i="33" s="1"/>
  <c r="AE43" i="33" s="1"/>
  <c r="AK21" i="11"/>
  <c r="AN21" i="11" s="1"/>
  <c r="S206" i="25"/>
  <c r="S212" i="25" s="1"/>
  <c r="S218" i="25" s="1"/>
  <c r="S224" i="25" s="1"/>
  <c r="S107" i="25"/>
  <c r="S113" i="25" s="1"/>
  <c r="S119" i="25" s="1"/>
  <c r="S125" i="25" s="1"/>
  <c r="S205" i="25"/>
  <c r="S211" i="25" s="1"/>
  <c r="S217" i="25" s="1"/>
  <c r="S223" i="25" s="1"/>
  <c r="T149" i="26"/>
  <c r="T155" i="26" s="1"/>
  <c r="X161" i="32"/>
  <c r="W18" i="34" s="1"/>
  <c r="W32" i="34" s="1"/>
  <c r="X142" i="32"/>
  <c r="X143" i="32" s="1"/>
  <c r="W16" i="34" s="1"/>
  <c r="W30" i="34" s="1"/>
  <c r="X151" i="32"/>
  <c r="X152" i="32" s="1"/>
  <c r="W17" i="34" s="1"/>
  <c r="W31" i="34" s="1"/>
  <c r="R100" i="20"/>
  <c r="R106" i="20" s="1"/>
  <c r="R112" i="20" s="1"/>
  <c r="R118" i="20" s="1"/>
  <c r="R101" i="20"/>
  <c r="R107" i="20" s="1"/>
  <c r="R113" i="20" s="1"/>
  <c r="R119" i="20" s="1"/>
  <c r="R138" i="27"/>
  <c r="R144" i="27" s="1"/>
  <c r="R150" i="27" s="1"/>
  <c r="R156" i="27" s="1"/>
  <c r="AL115" i="53"/>
  <c r="AL114" i="53"/>
  <c r="P114" i="53"/>
  <c r="P115" i="53"/>
  <c r="AL120" i="28"/>
  <c r="AL183" i="28" s="1"/>
  <c r="AL56" i="28"/>
  <c r="AS16" i="5"/>
  <c r="AR16" i="5"/>
  <c r="AP99" i="53"/>
  <c r="AP119" i="53"/>
  <c r="AP109" i="53"/>
  <c r="AD230" i="25"/>
  <c r="AD164" i="25"/>
  <c r="AD131" i="25"/>
  <c r="AD197" i="25"/>
  <c r="AD65" i="25"/>
  <c r="AD32" i="25"/>
  <c r="AD98" i="25"/>
  <c r="E99" i="19"/>
  <c r="E105" i="19" s="1"/>
  <c r="E111" i="19" s="1"/>
  <c r="E117" i="19" s="1"/>
  <c r="E205" i="26"/>
  <c r="E211" i="26" s="1"/>
  <c r="E217" i="26" s="1"/>
  <c r="E223" i="26" s="1"/>
  <c r="AJ56" i="28"/>
  <c r="AJ120" i="28"/>
  <c r="H5" i="25"/>
  <c r="H11" i="25" s="1"/>
  <c r="H17" i="25" s="1"/>
  <c r="H23" i="25" s="1"/>
  <c r="H66" i="18"/>
  <c r="H72" i="18" s="1"/>
  <c r="H78" i="18" s="1"/>
  <c r="H84" i="18" s="1"/>
  <c r="AM40" i="27"/>
  <c r="AM46" i="27" s="1"/>
  <c r="AM52" i="27" s="1"/>
  <c r="AM58" i="27" s="1"/>
  <c r="AM205" i="27"/>
  <c r="AM211" i="27" s="1"/>
  <c r="AM217" i="27" s="1"/>
  <c r="AM223" i="27" s="1"/>
  <c r="J15" i="19"/>
  <c r="J6" i="19"/>
  <c r="J18" i="19"/>
  <c r="J12" i="19"/>
  <c r="AI49" i="32"/>
  <c r="AB158" i="18"/>
  <c r="AE43" i="27"/>
  <c r="AE49" i="27" s="1"/>
  <c r="AE55" i="27" s="1"/>
  <c r="AE61" i="27" s="1"/>
  <c r="T104" i="27"/>
  <c r="T110" i="27" s="1"/>
  <c r="AB135" i="11"/>
  <c r="AN80" i="33"/>
  <c r="AN18" i="33" s="1"/>
  <c r="AN36" i="33" s="1"/>
  <c r="AN54" i="33" s="1"/>
  <c r="X142" i="11"/>
  <c r="X144" i="11" s="1"/>
  <c r="L66" i="20"/>
  <c r="L72" i="20" s="1"/>
  <c r="L203" i="27"/>
  <c r="L209" i="27" s="1"/>
  <c r="Q77" i="20"/>
  <c r="Q83" i="20" s="1"/>
  <c r="AE133" i="25"/>
  <c r="AE67" i="25"/>
  <c r="AE232" i="25"/>
  <c r="AE199" i="25"/>
  <c r="AE166" i="25"/>
  <c r="AE100" i="25"/>
  <c r="AE34" i="25"/>
  <c r="AE127" i="18"/>
  <c r="AK124" i="11"/>
  <c r="AK40" i="11"/>
  <c r="AN40" i="11" s="1"/>
  <c r="AX69" i="33"/>
  <c r="AX7" i="33" s="1"/>
  <c r="AX25" i="33" s="1"/>
  <c r="AX43" i="33" s="1"/>
  <c r="F190" i="25"/>
  <c r="F196" i="25" s="1"/>
  <c r="I57" i="32"/>
  <c r="AB81" i="33"/>
  <c r="AB19" i="33" s="1"/>
  <c r="AB37" i="33" s="1"/>
  <c r="AB55" i="33" s="1"/>
  <c r="R136" i="11"/>
  <c r="W139" i="26"/>
  <c r="W145" i="26" s="1"/>
  <c r="W151" i="26" s="1"/>
  <c r="W157" i="26" s="1"/>
  <c r="AG161" i="32"/>
  <c r="AI18" i="34" s="1"/>
  <c r="AI32" i="34" s="1"/>
  <c r="AG142" i="32"/>
  <c r="AG143" i="32" s="1"/>
  <c r="AI16" i="34" s="1"/>
  <c r="AI30" i="34" s="1"/>
  <c r="AG151" i="32"/>
  <c r="AG152" i="32" s="1"/>
  <c r="AI17" i="34" s="1"/>
  <c r="AI31" i="34" s="1"/>
  <c r="M142" i="25"/>
  <c r="M148" i="25" s="1"/>
  <c r="M154" i="25" s="1"/>
  <c r="M160" i="25" s="1"/>
  <c r="M64" i="18"/>
  <c r="M70" i="18" s="1"/>
  <c r="M76" i="18" s="1"/>
  <c r="M82" i="18" s="1"/>
  <c r="AL114" i="20"/>
  <c r="AL120" i="20" s="1"/>
  <c r="AL83" i="27"/>
  <c r="AL89" i="27" s="1"/>
  <c r="AL146" i="20"/>
  <c r="AL152" i="20" s="1"/>
  <c r="AL158" i="20" s="1"/>
  <c r="L105" i="25"/>
  <c r="L111" i="25" s="1"/>
  <c r="L117" i="25" s="1"/>
  <c r="L123" i="25" s="1"/>
  <c r="L109" i="25"/>
  <c r="L115" i="25" s="1"/>
  <c r="L121" i="25" s="1"/>
  <c r="L127" i="25" s="1"/>
  <c r="L103" i="18"/>
  <c r="L109" i="18" s="1"/>
  <c r="L115" i="18" s="1"/>
  <c r="L121" i="18" s="1"/>
  <c r="T20" i="26"/>
  <c r="T26" i="26" s="1"/>
  <c r="S139" i="11"/>
  <c r="Y84" i="33"/>
  <c r="Y22" i="33" s="1"/>
  <c r="Y40" i="33" s="1"/>
  <c r="Y58" i="33" s="1"/>
  <c r="AE69" i="32"/>
  <c r="AQ45" i="32"/>
  <c r="AQ36" i="32"/>
  <c r="AQ8" i="32"/>
  <c r="AQ64" i="32"/>
  <c r="AQ55" i="32"/>
  <c r="AQ17" i="32"/>
  <c r="AN47" i="18"/>
  <c r="AQ26" i="32"/>
  <c r="AN129" i="18"/>
  <c r="AN70" i="52"/>
  <c r="AN46" i="18"/>
  <c r="AN53" i="18" s="1"/>
  <c r="AN93" i="18"/>
  <c r="AN122" i="18"/>
  <c r="AM78" i="33"/>
  <c r="AM16" i="33" s="1"/>
  <c r="AM34" i="33" s="1"/>
  <c r="AM52" i="33" s="1"/>
  <c r="AO133" i="11"/>
  <c r="V139" i="11"/>
  <c r="AE84" i="33"/>
  <c r="AE22" i="33" s="1"/>
  <c r="AE40" i="33" s="1"/>
  <c r="AE58" i="33" s="1"/>
  <c r="S171" i="25"/>
  <c r="S177" i="25" s="1"/>
  <c r="S183" i="25" s="1"/>
  <c r="S189" i="25" s="1"/>
  <c r="S134" i="18"/>
  <c r="S140" i="18" s="1"/>
  <c r="S146" i="18" s="1"/>
  <c r="S152" i="18" s="1"/>
  <c r="S43" i="25"/>
  <c r="S49" i="25" s="1"/>
  <c r="S55" i="25" s="1"/>
  <c r="S61" i="25" s="1"/>
  <c r="Q22" i="11"/>
  <c r="AF22" i="11"/>
  <c r="Z22" i="11"/>
  <c r="T22" i="11"/>
  <c r="W22" i="11"/>
  <c r="AC22" i="11"/>
  <c r="R173" i="27"/>
  <c r="R179" i="27" s="1"/>
  <c r="R185" i="27" s="1"/>
  <c r="R191" i="27" s="1"/>
  <c r="R10" i="27"/>
  <c r="R16" i="27" s="1"/>
  <c r="R22" i="27" s="1"/>
  <c r="R28" i="27" s="1"/>
  <c r="R72" i="27"/>
  <c r="R78" i="27" s="1"/>
  <c r="R84" i="27" s="1"/>
  <c r="R90" i="27" s="1"/>
  <c r="U122" i="18"/>
  <c r="W114" i="53"/>
  <c r="W115" i="53"/>
  <c r="AJ115" i="53"/>
  <c r="AJ114" i="53"/>
  <c r="N129" i="20"/>
  <c r="N126" i="18"/>
  <c r="AH12" i="19"/>
  <c r="AH15" i="19"/>
  <c r="AH6" i="19"/>
  <c r="AH18" i="19"/>
  <c r="H98" i="18"/>
  <c r="H104" i="18" s="1"/>
  <c r="H110" i="18" s="1"/>
  <c r="H116" i="18" s="1"/>
  <c r="H135" i="18"/>
  <c r="H141" i="18" s="1"/>
  <c r="H147" i="18" s="1"/>
  <c r="H153" i="18" s="1"/>
  <c r="M135" i="11"/>
  <c r="V80" i="33"/>
  <c r="V18" i="33" s="1"/>
  <c r="V36" i="33" s="1"/>
  <c r="V54" i="33" s="1"/>
  <c r="AM100" i="20"/>
  <c r="AM106" i="20" s="1"/>
  <c r="AM112" i="20" s="1"/>
  <c r="AM118" i="20" s="1"/>
  <c r="AM41" i="27"/>
  <c r="AM47" i="27" s="1"/>
  <c r="AM53" i="27" s="1"/>
  <c r="AM59" i="27" s="1"/>
  <c r="U75" i="33"/>
  <c r="U13" i="33" s="1"/>
  <c r="U31" i="33" s="1"/>
  <c r="U49" i="33" s="1"/>
  <c r="L130" i="11"/>
  <c r="AE114" i="20"/>
  <c r="AE120" i="20" s="1"/>
  <c r="AE76" i="27"/>
  <c r="AE82" i="27" s="1"/>
  <c r="AE88" i="27" s="1"/>
  <c r="AE94" i="27" s="1"/>
  <c r="K163" i="32"/>
  <c r="T9" i="27"/>
  <c r="T15" i="27" s="1"/>
  <c r="L140" i="27"/>
  <c r="L146" i="27" s="1"/>
  <c r="L152" i="27" s="1"/>
  <c r="L158" i="27" s="1"/>
  <c r="L42" i="27"/>
  <c r="L48" i="27" s="1"/>
  <c r="T123" i="25"/>
  <c r="W37" i="32"/>
  <c r="AK139" i="11"/>
  <c r="AX84" i="33"/>
  <c r="AX22" i="33" s="1"/>
  <c r="AX40" i="33" s="1"/>
  <c r="AX58" i="33" s="1"/>
  <c r="U6" i="11"/>
  <c r="W31" i="19"/>
  <c r="W38" i="19" s="1"/>
  <c r="W46" i="19" s="1"/>
  <c r="AL72" i="52"/>
  <c r="AO38" i="32"/>
  <c r="AL49" i="18"/>
  <c r="AL124" i="18" s="1"/>
  <c r="Y127" i="11"/>
  <c r="AI72" i="33"/>
  <c r="AI10" i="33" s="1"/>
  <c r="AI28" i="33" s="1"/>
  <c r="AI46" i="33" s="1"/>
  <c r="AE220" i="27"/>
  <c r="AE226" i="27" s="1"/>
  <c r="AE22" i="27"/>
  <c r="AE28" i="27" s="1"/>
  <c r="Q145" i="32"/>
  <c r="T72" i="27"/>
  <c r="T78" i="27" s="1"/>
  <c r="L99" i="20"/>
  <c r="L105" i="20" s="1"/>
  <c r="O139" i="11"/>
  <c r="X84" i="33"/>
  <c r="X22" i="33" s="1"/>
  <c r="X40" i="33" s="1"/>
  <c r="X58" i="33" s="1"/>
  <c r="AG4" i="34"/>
  <c r="AB3" i="20"/>
  <c r="AB72" i="33"/>
  <c r="AB10" i="33" s="1"/>
  <c r="AB28" i="33" s="1"/>
  <c r="AB46" i="33" s="1"/>
  <c r="R127" i="11"/>
  <c r="W42" i="26"/>
  <c r="W48" i="26" s="1"/>
  <c r="W54" i="26" s="1"/>
  <c r="W60" i="26" s="1"/>
  <c r="D8" i="25"/>
  <c r="D14" i="25" s="1"/>
  <c r="D20" i="25" s="1"/>
  <c r="D26" i="25" s="1"/>
  <c r="AN125" i="18"/>
  <c r="AB115" i="53"/>
  <c r="AB114" i="53"/>
  <c r="X75" i="33"/>
  <c r="X13" i="33" s="1"/>
  <c r="X31" i="33" s="1"/>
  <c r="X49" i="33" s="1"/>
  <c r="O130" i="11"/>
  <c r="AL184" i="27"/>
  <c r="AL190" i="27" s="1"/>
  <c r="AL50" i="27"/>
  <c r="AL56" i="27" s="1"/>
  <c r="AL219" i="27"/>
  <c r="AL225" i="27" s="1"/>
  <c r="L140" i="25"/>
  <c r="L146" i="25" s="1"/>
  <c r="L152" i="25" s="1"/>
  <c r="L158" i="25" s="1"/>
  <c r="L108" i="25"/>
  <c r="L114" i="25" s="1"/>
  <c r="L120" i="25" s="1"/>
  <c r="L126" i="25" s="1"/>
  <c r="L5" i="25"/>
  <c r="L11" i="25" s="1"/>
  <c r="L17" i="25" s="1"/>
  <c r="L23" i="25" s="1"/>
  <c r="AC173" i="27"/>
  <c r="AC179" i="27" s="1"/>
  <c r="AC16" i="20"/>
  <c r="AF179" i="32"/>
  <c r="AC128" i="20"/>
  <c r="AC130" i="20" s="1"/>
  <c r="Z127" i="25"/>
  <c r="AC41" i="32"/>
  <c r="Y72" i="33"/>
  <c r="Y10" i="33" s="1"/>
  <c r="Y28" i="33" s="1"/>
  <c r="Y46" i="33" s="1"/>
  <c r="S127" i="11"/>
  <c r="T19" i="19"/>
  <c r="T22" i="26"/>
  <c r="T119" i="26"/>
  <c r="T125" i="26" s="1"/>
  <c r="T85" i="26"/>
  <c r="T91" i="26" s="1"/>
  <c r="T45" i="19"/>
  <c r="T220" i="26"/>
  <c r="T226" i="26" s="1"/>
  <c r="T183" i="26"/>
  <c r="T189" i="26" s="1"/>
  <c r="T185" i="26"/>
  <c r="T191" i="26" s="1"/>
  <c r="T219" i="26"/>
  <c r="T225" i="26" s="1"/>
  <c r="T44" i="19"/>
  <c r="T154" i="26"/>
  <c r="T160" i="26" s="1"/>
  <c r="T151" i="26"/>
  <c r="T157" i="26" s="1"/>
  <c r="T121" i="26"/>
  <c r="T127" i="26" s="1"/>
  <c r="T88" i="26"/>
  <c r="T94" i="26" s="1"/>
  <c r="T151" i="19"/>
  <c r="T157" i="19" s="1"/>
  <c r="T163" i="19" s="1"/>
  <c r="T21" i="26"/>
  <c r="T27" i="26" s="1"/>
  <c r="AN161" i="18"/>
  <c r="AN124" i="18"/>
  <c r="AG34" i="25"/>
  <c r="AG166" i="25"/>
  <c r="AG199" i="25"/>
  <c r="AG100" i="25"/>
  <c r="AG133" i="25"/>
  <c r="AG67" i="25"/>
  <c r="AG232" i="25"/>
  <c r="AG91" i="18"/>
  <c r="AG127" i="18"/>
  <c r="P139" i="11"/>
  <c r="Z84" i="33"/>
  <c r="Z22" i="33" s="1"/>
  <c r="Z40" i="33" s="1"/>
  <c r="Z58" i="33" s="1"/>
  <c r="V127" i="11"/>
  <c r="AE72" i="33"/>
  <c r="AE10" i="33" s="1"/>
  <c r="AE28" i="33" s="1"/>
  <c r="AE46" i="33" s="1"/>
  <c r="T148" i="19"/>
  <c r="T154" i="19" s="1"/>
  <c r="S138" i="25"/>
  <c r="S144" i="25" s="1"/>
  <c r="S150" i="25" s="1"/>
  <c r="S156" i="25" s="1"/>
  <c r="S135" i="18"/>
  <c r="S141" i="18" s="1"/>
  <c r="S147" i="18" s="1"/>
  <c r="S153" i="18" s="1"/>
  <c r="S7" i="25"/>
  <c r="S13" i="25" s="1"/>
  <c r="S19" i="25" s="1"/>
  <c r="S25" i="25" s="1"/>
  <c r="AE22" i="11"/>
  <c r="P22" i="11"/>
  <c r="Y22" i="11"/>
  <c r="V22" i="11"/>
  <c r="S22" i="11"/>
  <c r="AB22" i="11"/>
  <c r="R87" i="27"/>
  <c r="R93" i="27" s="1"/>
  <c r="R50" i="27"/>
  <c r="R56" i="27" s="1"/>
  <c r="V115" i="53"/>
  <c r="V114" i="53"/>
  <c r="I115" i="53"/>
  <c r="I114" i="53"/>
  <c r="G20" i="52"/>
  <c r="G180" i="28"/>
  <c r="G173" i="28"/>
  <c r="G45" i="28"/>
  <c r="G174" i="28"/>
  <c r="J107" i="11"/>
  <c r="G181" i="28"/>
  <c r="G179" i="28"/>
  <c r="G175" i="28"/>
  <c r="G178" i="28"/>
  <c r="AJ45" i="52"/>
  <c r="AJ111" i="28"/>
  <c r="N122" i="18"/>
  <c r="N86" i="18"/>
  <c r="AA152" i="20"/>
  <c r="AA158" i="20" s="1"/>
  <c r="AA165" i="20"/>
  <c r="E76" i="52"/>
  <c r="H94" i="32"/>
  <c r="E48" i="19"/>
  <c r="H123" i="32"/>
  <c r="H85" i="32"/>
  <c r="H76" i="32"/>
  <c r="H104" i="32"/>
  <c r="H132" i="32"/>
  <c r="H140" i="25"/>
  <c r="H146" i="25" s="1"/>
  <c r="H152" i="25" s="1"/>
  <c r="H158" i="25" s="1"/>
  <c r="H26" i="18"/>
  <c r="H33" i="18" s="1"/>
  <c r="H41" i="18" s="1"/>
  <c r="AM173" i="27"/>
  <c r="AM179" i="27" s="1"/>
  <c r="AM185" i="27" s="1"/>
  <c r="AM191" i="27" s="1"/>
  <c r="AM73" i="27"/>
  <c r="AM79" i="27" s="1"/>
  <c r="AM85" i="27" s="1"/>
  <c r="AM91" i="27" s="1"/>
  <c r="Z6" i="19"/>
  <c r="Z18" i="19"/>
  <c r="Z12" i="19"/>
  <c r="Z15" i="19"/>
  <c r="T116" i="26"/>
  <c r="T122" i="26" s="1"/>
  <c r="M29" i="18"/>
  <c r="M36" i="18" s="1"/>
  <c r="M44" i="18" s="1"/>
  <c r="AL106" i="27"/>
  <c r="AL112" i="27" s="1"/>
  <c r="AL118" i="27" s="1"/>
  <c r="AL124" i="27" s="1"/>
  <c r="AL76" i="27"/>
  <c r="AL82" i="27" s="1"/>
  <c r="AL88" i="27" s="1"/>
  <c r="AL94" i="27" s="1"/>
  <c r="AL36" i="59"/>
  <c r="AL164" i="59"/>
  <c r="AL161" i="59"/>
  <c r="AL163" i="59"/>
  <c r="L104" i="25"/>
  <c r="L110" i="25" s="1"/>
  <c r="L116" i="25" s="1"/>
  <c r="L122" i="25" s="1"/>
  <c r="L43" i="25"/>
  <c r="L49" i="25" s="1"/>
  <c r="L55" i="25" s="1"/>
  <c r="L61" i="25" s="1"/>
  <c r="AC13" i="20"/>
  <c r="AC23" i="20"/>
  <c r="S133" i="11"/>
  <c r="Y78" i="33"/>
  <c r="Y16" i="33" s="1"/>
  <c r="Y34" i="33" s="1"/>
  <c r="Y52" i="33" s="1"/>
  <c r="AA44" i="59"/>
  <c r="AA169" i="59"/>
  <c r="AA175" i="59"/>
  <c r="AA172" i="59"/>
  <c r="AA173" i="59"/>
  <c r="AA174" i="59"/>
  <c r="AA171" i="59"/>
  <c r="P133" i="11"/>
  <c r="Z78" i="33"/>
  <c r="Z16" i="33" s="1"/>
  <c r="Z34" i="33" s="1"/>
  <c r="Z52" i="33" s="1"/>
  <c r="AO131" i="11"/>
  <c r="AM76" i="33"/>
  <c r="AM14" i="33" s="1"/>
  <c r="AM32" i="33" s="1"/>
  <c r="AM50" i="33" s="1"/>
  <c r="AE81" i="33"/>
  <c r="AE19" i="33" s="1"/>
  <c r="AE37" i="33" s="1"/>
  <c r="AE55" i="33" s="1"/>
  <c r="V136" i="11"/>
  <c r="S8" i="25"/>
  <c r="S14" i="25" s="1"/>
  <c r="S20" i="25" s="1"/>
  <c r="S26" i="25" s="1"/>
  <c r="S29" i="18"/>
  <c r="S36" i="18" s="1"/>
  <c r="S44" i="18" s="1"/>
  <c r="S42" i="25"/>
  <c r="S48" i="25" s="1"/>
  <c r="S54" i="25" s="1"/>
  <c r="S60" i="25" s="1"/>
  <c r="R76" i="27"/>
  <c r="R82" i="27" s="1"/>
  <c r="R88" i="27" s="1"/>
  <c r="R94" i="27" s="1"/>
  <c r="R142" i="27"/>
  <c r="R148" i="27" s="1"/>
  <c r="R154" i="27" s="1"/>
  <c r="R160" i="27" s="1"/>
  <c r="AF28" i="25"/>
  <c r="AF34" i="25" s="1"/>
  <c r="AI13" i="32"/>
  <c r="L115" i="53"/>
  <c r="L114" i="53"/>
  <c r="AH114" i="53"/>
  <c r="AH115" i="53"/>
  <c r="AO124" i="11"/>
  <c r="AM69" i="33"/>
  <c r="AM7" i="33" s="1"/>
  <c r="AM25" i="33" s="1"/>
  <c r="AM43" i="33" s="1"/>
  <c r="S99" i="53"/>
  <c r="S119" i="53"/>
  <c r="S109" i="53"/>
  <c r="I124" i="18"/>
  <c r="N38" i="25"/>
  <c r="N44" i="25" s="1"/>
  <c r="N50" i="25" s="1"/>
  <c r="N56" i="25" s="1"/>
  <c r="N203" i="25"/>
  <c r="N209" i="25" s="1"/>
  <c r="N215" i="25" s="1"/>
  <c r="N221" i="25" s="1"/>
  <c r="E149" i="19"/>
  <c r="E155" i="19" s="1"/>
  <c r="E161" i="19" s="1"/>
  <c r="H100" i="18"/>
  <c r="H106" i="18" s="1"/>
  <c r="H112" i="18" s="1"/>
  <c r="H118" i="18" s="1"/>
  <c r="H63" i="18"/>
  <c r="H69" i="18" s="1"/>
  <c r="H75" i="18" s="1"/>
  <c r="H81" i="18" s="1"/>
  <c r="AM172" i="27"/>
  <c r="AM178" i="27" s="1"/>
  <c r="AM184" i="27" s="1"/>
  <c r="AM190" i="27" s="1"/>
  <c r="AM64" i="20"/>
  <c r="AM70" i="20" s="1"/>
  <c r="AM76" i="20" s="1"/>
  <c r="AM82" i="20" s="1"/>
  <c r="P93" i="18"/>
  <c r="P74" i="52"/>
  <c r="S21" i="32"/>
  <c r="S59" i="32"/>
  <c r="S68" i="32"/>
  <c r="S49" i="32"/>
  <c r="S40" i="32"/>
  <c r="S30" i="32"/>
  <c r="S12" i="32"/>
  <c r="P51" i="18"/>
  <c r="P162" i="18" s="1"/>
  <c r="J162" i="18"/>
  <c r="AE203" i="27"/>
  <c r="AE209" i="27" s="1"/>
  <c r="AE215" i="27" s="1"/>
  <c r="AE221" i="27" s="1"/>
  <c r="T17" i="20"/>
  <c r="T19" i="20" s="1"/>
  <c r="AH39" i="32"/>
  <c r="L40" i="27"/>
  <c r="L46" i="27" s="1"/>
  <c r="AN228" i="27"/>
  <c r="AN162" i="27"/>
  <c r="AN129" i="27"/>
  <c r="AN195" i="27"/>
  <c r="AN96" i="27"/>
  <c r="AN63" i="27"/>
  <c r="AN30" i="27"/>
  <c r="Q84" i="27"/>
  <c r="Q90" i="27" s="1"/>
  <c r="AK133" i="11"/>
  <c r="AX78" i="33"/>
  <c r="AX16" i="33" s="1"/>
  <c r="AX34" i="33" s="1"/>
  <c r="AX52" i="33" s="1"/>
  <c r="J92" i="32"/>
  <c r="G92" i="19"/>
  <c r="G94" i="19" s="1"/>
  <c r="J165" i="18"/>
  <c r="W9" i="26"/>
  <c r="W15" i="26" s="1"/>
  <c r="W21" i="26" s="1"/>
  <c r="W27" i="26" s="1"/>
  <c r="D102" i="18"/>
  <c r="D108" i="18" s="1"/>
  <c r="D114" i="18" s="1"/>
  <c r="D120" i="18" s="1"/>
  <c r="G172" i="59"/>
  <c r="S3" i="20"/>
  <c r="U4" i="34"/>
  <c r="M87" i="18"/>
  <c r="AB33" i="25"/>
  <c r="AB165" i="25"/>
  <c r="AB198" i="25"/>
  <c r="AB132" i="25"/>
  <c r="AB99" i="25"/>
  <c r="AB66" i="25"/>
  <c r="AB231" i="25"/>
  <c r="AC92" i="32"/>
  <c r="Z92" i="19"/>
  <c r="Z94" i="19" s="1"/>
  <c r="AF13" i="19"/>
  <c r="AI130" i="32" s="1"/>
  <c r="AF23" i="19"/>
  <c r="P44" i="32"/>
  <c r="P12" i="34" s="1"/>
  <c r="P34" i="32"/>
  <c r="P35" i="32" s="1"/>
  <c r="P13" i="34" s="1"/>
  <c r="AN84" i="33"/>
  <c r="AN22" i="33" s="1"/>
  <c r="AN40" i="33" s="1"/>
  <c r="AN58" i="33" s="1"/>
  <c r="AB139" i="11"/>
  <c r="Y31" i="27"/>
  <c r="Y196" i="27"/>
  <c r="Y163" i="27"/>
  <c r="Y130" i="27"/>
  <c r="Y97" i="27"/>
  <c r="Y64" i="27"/>
  <c r="Y229" i="27"/>
  <c r="M141" i="25"/>
  <c r="M147" i="25" s="1"/>
  <c r="M153" i="25" s="1"/>
  <c r="M159" i="25" s="1"/>
  <c r="M135" i="18"/>
  <c r="M141" i="18" s="1"/>
  <c r="M147" i="18" s="1"/>
  <c r="M153" i="18" s="1"/>
  <c r="AN84" i="52"/>
  <c r="AQ193" i="32"/>
  <c r="AQ146" i="32"/>
  <c r="AQ174" i="32"/>
  <c r="AQ202" i="32"/>
  <c r="AQ155" i="32"/>
  <c r="AQ183" i="32"/>
  <c r="AQ164" i="32"/>
  <c r="AN50" i="20"/>
  <c r="AN160" i="20" s="1"/>
  <c r="AL113" i="20"/>
  <c r="AL119" i="20" s="1"/>
  <c r="AL116" i="27"/>
  <c r="AL122" i="27" s="1"/>
  <c r="L9" i="25"/>
  <c r="L15" i="25" s="1"/>
  <c r="L21" i="25" s="1"/>
  <c r="L27" i="25" s="1"/>
  <c r="L40" i="25"/>
  <c r="L46" i="25" s="1"/>
  <c r="L52" i="25" s="1"/>
  <c r="L58" i="25" s="1"/>
  <c r="L31" i="18"/>
  <c r="L38" i="18" s="1"/>
  <c r="L39" i="18" s="1"/>
  <c r="AB34" i="25"/>
  <c r="AB199" i="25"/>
  <c r="AB166" i="25"/>
  <c r="AB133" i="25"/>
  <c r="AB232" i="25"/>
  <c r="AB67" i="25"/>
  <c r="AB100" i="25"/>
  <c r="AB91" i="18"/>
  <c r="AA222" i="27"/>
  <c r="AD201" i="32"/>
  <c r="AN43" i="32"/>
  <c r="AK43" i="25"/>
  <c r="AK49" i="25" s="1"/>
  <c r="AK55" i="25" s="1"/>
  <c r="AK61" i="25" s="1"/>
  <c r="AK205" i="25"/>
  <c r="AK211" i="25" s="1"/>
  <c r="AK217" i="25" s="1"/>
  <c r="AK223" i="25" s="1"/>
  <c r="AK128" i="18"/>
  <c r="AK130" i="18" s="1"/>
  <c r="AK207" i="25"/>
  <c r="AK213" i="25" s="1"/>
  <c r="AK219" i="25" s="1"/>
  <c r="AK225" i="25" s="1"/>
  <c r="AK172" i="25"/>
  <c r="AK178" i="25" s="1"/>
  <c r="AK184" i="25" s="1"/>
  <c r="AK190" i="25" s="1"/>
  <c r="AK7" i="25"/>
  <c r="AK13" i="25" s="1"/>
  <c r="AK19" i="25" s="1"/>
  <c r="AK25" i="25" s="1"/>
  <c r="AK38" i="25"/>
  <c r="AK44" i="25" s="1"/>
  <c r="AK50" i="25" s="1"/>
  <c r="AK56" i="25" s="1"/>
  <c r="AK99" i="18"/>
  <c r="AK105" i="18" s="1"/>
  <c r="AK111" i="18" s="1"/>
  <c r="AK117" i="18" s="1"/>
  <c r="AK6" i="25"/>
  <c r="AK12" i="25" s="1"/>
  <c r="AK18" i="25" s="1"/>
  <c r="AK24" i="25" s="1"/>
  <c r="AK30" i="18"/>
  <c r="AK37" i="18" s="1"/>
  <c r="AK45" i="18" s="1"/>
  <c r="AK40" i="25"/>
  <c r="AK46" i="25" s="1"/>
  <c r="AK52" i="25" s="1"/>
  <c r="AK58" i="25" s="1"/>
  <c r="AK76" i="25"/>
  <c r="AK82" i="25" s="1"/>
  <c r="AK88" i="25" s="1"/>
  <c r="AK94" i="25" s="1"/>
  <c r="AK39" i="25"/>
  <c r="AK45" i="25" s="1"/>
  <c r="AK51" i="25" s="1"/>
  <c r="AK57" i="25" s="1"/>
  <c r="AK104" i="25"/>
  <c r="AK110" i="25" s="1"/>
  <c r="AK116" i="25" s="1"/>
  <c r="AK122" i="25" s="1"/>
  <c r="AK175" i="25"/>
  <c r="AK181" i="25" s="1"/>
  <c r="AK187" i="25" s="1"/>
  <c r="AK193" i="25" s="1"/>
  <c r="AK102" i="18"/>
  <c r="AK108" i="18" s="1"/>
  <c r="AK114" i="18" s="1"/>
  <c r="AK120" i="18" s="1"/>
  <c r="AK71" i="25"/>
  <c r="AK77" i="25" s="1"/>
  <c r="AK83" i="25" s="1"/>
  <c r="AK89" i="25" s="1"/>
  <c r="AK170" i="25"/>
  <c r="AK176" i="25" s="1"/>
  <c r="AK182" i="25" s="1"/>
  <c r="AK188" i="25" s="1"/>
  <c r="AK138" i="25"/>
  <c r="AK144" i="25" s="1"/>
  <c r="AK150" i="25" s="1"/>
  <c r="AK156" i="25" s="1"/>
  <c r="AK107" i="25"/>
  <c r="AK113" i="25" s="1"/>
  <c r="AK119" i="25" s="1"/>
  <c r="AK125" i="25" s="1"/>
  <c r="AK101" i="18"/>
  <c r="AK107" i="18" s="1"/>
  <c r="AK113" i="18" s="1"/>
  <c r="AK119" i="18" s="1"/>
  <c r="AK26" i="18"/>
  <c r="AK33" i="18" s="1"/>
  <c r="AK41" i="18" s="1"/>
  <c r="AK108" i="25"/>
  <c r="AK114" i="25" s="1"/>
  <c r="AK120" i="25" s="1"/>
  <c r="AK126" i="25" s="1"/>
  <c r="AK29" i="18"/>
  <c r="AK36" i="18" s="1"/>
  <c r="AK44" i="18" s="1"/>
  <c r="AK65" i="18"/>
  <c r="AK71" i="18" s="1"/>
  <c r="AK77" i="18" s="1"/>
  <c r="AK83" i="18" s="1"/>
  <c r="AK67" i="18"/>
  <c r="AK73" i="18" s="1"/>
  <c r="AK79" i="18" s="1"/>
  <c r="AK85" i="18" s="1"/>
  <c r="AK25" i="18"/>
  <c r="AK32" i="18" s="1"/>
  <c r="AK40" i="18" s="1"/>
  <c r="AK75" i="25"/>
  <c r="AK81" i="25" s="1"/>
  <c r="AK87" i="25" s="1"/>
  <c r="AK93" i="25" s="1"/>
  <c r="AK106" i="25"/>
  <c r="AK112" i="25" s="1"/>
  <c r="AK118" i="25" s="1"/>
  <c r="AK124" i="25" s="1"/>
  <c r="AK206" i="25"/>
  <c r="AK212" i="25" s="1"/>
  <c r="AK218" i="25" s="1"/>
  <c r="AK224" i="25" s="1"/>
  <c r="AK31" i="18"/>
  <c r="AK38" i="18" s="1"/>
  <c r="AK39" i="18" s="1"/>
  <c r="AK164" i="18"/>
  <c r="AK166" i="18" s="1"/>
  <c r="AK137" i="18"/>
  <c r="AK143" i="18" s="1"/>
  <c r="AK149" i="18" s="1"/>
  <c r="AK155" i="18" s="1"/>
  <c r="AK42" i="25"/>
  <c r="AK48" i="25" s="1"/>
  <c r="AK54" i="25" s="1"/>
  <c r="AK60" i="25" s="1"/>
  <c r="AK9" i="25"/>
  <c r="AK15" i="25" s="1"/>
  <c r="AK21" i="25" s="1"/>
  <c r="AK27" i="25" s="1"/>
  <c r="AK63" i="18"/>
  <c r="AK69" i="18" s="1"/>
  <c r="AK75" i="18" s="1"/>
  <c r="AK81" i="18" s="1"/>
  <c r="AK74" i="25"/>
  <c r="AK80" i="25" s="1"/>
  <c r="AK86" i="25" s="1"/>
  <c r="AK92" i="25" s="1"/>
  <c r="AK72" i="25"/>
  <c r="AK78" i="25" s="1"/>
  <c r="AK84" i="25" s="1"/>
  <c r="AK90" i="25" s="1"/>
  <c r="AK173" i="25"/>
  <c r="AK179" i="25" s="1"/>
  <c r="AK185" i="25" s="1"/>
  <c r="AK191" i="25" s="1"/>
  <c r="AK15" i="18"/>
  <c r="AK134" i="18" s="1"/>
  <c r="AK140" i="18" s="1"/>
  <c r="AK146" i="18" s="1"/>
  <c r="AK152" i="18" s="1"/>
  <c r="AN87" i="18"/>
  <c r="Z69" i="33"/>
  <c r="Z7" i="33" s="1"/>
  <c r="Z25" i="33" s="1"/>
  <c r="Z43" i="33" s="1"/>
  <c r="P124" i="11"/>
  <c r="AK16" i="11"/>
  <c r="AN16" i="11" s="1"/>
  <c r="AN133" i="11"/>
  <c r="AL78" i="33"/>
  <c r="AL16" i="33" s="1"/>
  <c r="AL34" i="33" s="1"/>
  <c r="AL52" i="33" s="1"/>
  <c r="AE78" i="33"/>
  <c r="AE16" i="33" s="1"/>
  <c r="AE34" i="33" s="1"/>
  <c r="AE52" i="33" s="1"/>
  <c r="V133" i="11"/>
  <c r="AA26" i="27"/>
  <c r="AA32" i="27" s="1"/>
  <c r="AD147" i="32"/>
  <c r="AM81" i="33"/>
  <c r="AM19" i="33" s="1"/>
  <c r="AM37" i="33" s="1"/>
  <c r="AM55" i="33" s="1"/>
  <c r="AO136" i="11"/>
  <c r="Y227" i="27"/>
  <c r="Y194" i="27"/>
  <c r="Y128" i="27"/>
  <c r="Y95" i="27"/>
  <c r="Y161" i="27"/>
  <c r="Y62" i="27"/>
  <c r="Y29" i="27"/>
  <c r="Y86" i="20"/>
  <c r="Y158" i="20"/>
  <c r="S30" i="18"/>
  <c r="S37" i="18" s="1"/>
  <c r="S45" i="18" s="1"/>
  <c r="S71" i="25"/>
  <c r="S77" i="25" s="1"/>
  <c r="S83" i="25" s="1"/>
  <c r="S89" i="25" s="1"/>
  <c r="S140" i="25"/>
  <c r="S146" i="25" s="1"/>
  <c r="S152" i="25" s="1"/>
  <c r="S158" i="25" s="1"/>
  <c r="F127" i="19"/>
  <c r="R175" i="27"/>
  <c r="R181" i="27" s="1"/>
  <c r="R187" i="27" s="1"/>
  <c r="R193" i="27" s="1"/>
  <c r="R138" i="20"/>
  <c r="R144" i="20" s="1"/>
  <c r="R150" i="20" s="1"/>
  <c r="R156" i="20" s="1"/>
  <c r="V62" i="32"/>
  <c r="S16" i="18"/>
  <c r="S18" i="18" s="1"/>
  <c r="T115" i="53"/>
  <c r="T114" i="53"/>
  <c r="O115" i="53"/>
  <c r="O114" i="53"/>
  <c r="G176" i="28"/>
  <c r="AO99" i="53"/>
  <c r="AO119" i="53"/>
  <c r="AO109" i="53"/>
  <c r="AF127" i="25"/>
  <c r="AF133" i="25" s="1"/>
  <c r="AI41" i="32"/>
  <c r="K4" i="19"/>
  <c r="AV13" i="5"/>
  <c r="K17" i="52" s="1"/>
  <c r="N165" i="18"/>
  <c r="H102" i="32"/>
  <c r="H103" i="32" s="1"/>
  <c r="G27" i="34" s="1"/>
  <c r="G41" i="34" s="1"/>
  <c r="H112" i="32"/>
  <c r="G26" i="34" s="1"/>
  <c r="G40" i="34" s="1"/>
  <c r="AG65" i="25"/>
  <c r="AG32" i="25"/>
  <c r="AG230" i="25"/>
  <c r="AG164" i="25"/>
  <c r="AG131" i="25"/>
  <c r="AG197" i="25"/>
  <c r="AG98" i="25"/>
  <c r="AG125" i="18"/>
  <c r="H10" i="25"/>
  <c r="H16" i="25" s="1"/>
  <c r="H22" i="25" s="1"/>
  <c r="H28" i="25" s="1"/>
  <c r="H64" i="18"/>
  <c r="H70" i="18" s="1"/>
  <c r="H76" i="18" s="1"/>
  <c r="H82" i="18" s="1"/>
  <c r="M132" i="11"/>
  <c r="V77" i="33"/>
  <c r="V15" i="33" s="1"/>
  <c r="V33" i="33" s="1"/>
  <c r="V51" i="33" s="1"/>
  <c r="AM137" i="27"/>
  <c r="AM143" i="27" s="1"/>
  <c r="AM149" i="27" s="1"/>
  <c r="AM155" i="27" s="1"/>
  <c r="AM10" i="27"/>
  <c r="AM16" i="27" s="1"/>
  <c r="AM22" i="27" s="1"/>
  <c r="AM28" i="27" s="1"/>
  <c r="AJ30" i="32"/>
  <c r="U162" i="18"/>
  <c r="AE150" i="20"/>
  <c r="AE156" i="20" s="1"/>
  <c r="T139" i="20"/>
  <c r="T145" i="20" s="1"/>
  <c r="U89" i="18"/>
  <c r="W83" i="26"/>
  <c r="W89" i="26" s="1"/>
  <c r="L44" i="20"/>
  <c r="AQ182" i="32"/>
  <c r="O124" i="11"/>
  <c r="AK14" i="11"/>
  <c r="AN14" i="11" s="1"/>
  <c r="X69" i="33"/>
  <c r="X7" i="33" s="1"/>
  <c r="X25" i="33" s="1"/>
  <c r="X43" i="33" s="1"/>
  <c r="AI164" i="27"/>
  <c r="AI131" i="27"/>
  <c r="AI98" i="27"/>
  <c r="AI32" i="27"/>
  <c r="AI230" i="27"/>
  <c r="AI197" i="27"/>
  <c r="AI65" i="27"/>
  <c r="AI161" i="20"/>
  <c r="AI125" i="20"/>
  <c r="AF124" i="20"/>
  <c r="D29" i="18"/>
  <c r="D36" i="18" s="1"/>
  <c r="D44" i="18" s="1"/>
  <c r="M71" i="52"/>
  <c r="P65" i="32"/>
  <c r="P9" i="32"/>
  <c r="P37" i="32"/>
  <c r="P56" i="32"/>
  <c r="M48" i="18"/>
  <c r="AN173" i="28"/>
  <c r="AN110" i="28"/>
  <c r="AN46" i="28"/>
  <c r="U34" i="25"/>
  <c r="U232" i="25"/>
  <c r="U199" i="25"/>
  <c r="U166" i="25"/>
  <c r="U133" i="25"/>
  <c r="U100" i="25"/>
  <c r="U67" i="25"/>
  <c r="U127" i="18"/>
  <c r="M129" i="18"/>
  <c r="AL148" i="20"/>
  <c r="AL154" i="20" s="1"/>
  <c r="AN81" i="33"/>
  <c r="AN19" i="33" s="1"/>
  <c r="AN37" i="33" s="1"/>
  <c r="AN55" i="33" s="1"/>
  <c r="AB136" i="11"/>
  <c r="M137" i="18"/>
  <c r="M143" i="18" s="1"/>
  <c r="M149" i="18" s="1"/>
  <c r="M155" i="18" s="1"/>
  <c r="M71" i="25"/>
  <c r="M77" i="25" s="1"/>
  <c r="M83" i="25" s="1"/>
  <c r="M89" i="25" s="1"/>
  <c r="M107" i="25"/>
  <c r="M113" i="25" s="1"/>
  <c r="M119" i="25" s="1"/>
  <c r="M125" i="25" s="1"/>
  <c r="A197" i="53"/>
  <c r="AS20" i="53"/>
  <c r="AB87" i="18"/>
  <c r="AL46" i="20"/>
  <c r="AL119" i="27"/>
  <c r="AL125" i="27" s="1"/>
  <c r="AL154" i="27"/>
  <c r="AL160" i="27" s="1"/>
  <c r="AK168" i="59"/>
  <c r="L7" i="25"/>
  <c r="L13" i="25" s="1"/>
  <c r="L19" i="25" s="1"/>
  <c r="L25" i="25" s="1"/>
  <c r="L137" i="25"/>
  <c r="L143" i="25" s="1"/>
  <c r="L149" i="25" s="1"/>
  <c r="L155" i="25" s="1"/>
  <c r="L76" i="25"/>
  <c r="L82" i="25" s="1"/>
  <c r="L88" i="25" s="1"/>
  <c r="L94" i="25" s="1"/>
  <c r="P72" i="52"/>
  <c r="S47" i="32"/>
  <c r="P49" i="18"/>
  <c r="S57" i="32"/>
  <c r="S19" i="32"/>
  <c r="S28" i="32"/>
  <c r="S38" i="32"/>
  <c r="S10" i="32"/>
  <c r="S66" i="32"/>
  <c r="AN89" i="18"/>
  <c r="AN86" i="18"/>
  <c r="P130" i="11"/>
  <c r="Z75" i="33"/>
  <c r="Z13" i="33" s="1"/>
  <c r="Z31" i="33" s="1"/>
  <c r="Z49" i="33" s="1"/>
  <c r="G36" i="59"/>
  <c r="G160" i="59"/>
  <c r="G161" i="59"/>
  <c r="O4" i="34"/>
  <c r="P3" i="20"/>
  <c r="Z74" i="33"/>
  <c r="Z12" i="33" s="1"/>
  <c r="Z30" i="33" s="1"/>
  <c r="Z48" i="33" s="1"/>
  <c r="P129" i="11"/>
  <c r="S129" i="18"/>
  <c r="S170" i="25"/>
  <c r="S176" i="25" s="1"/>
  <c r="S182" i="25" s="1"/>
  <c r="S188" i="25" s="1"/>
  <c r="S174" i="25"/>
  <c r="S180" i="25" s="1"/>
  <c r="S186" i="25" s="1"/>
  <c r="S192" i="25" s="1"/>
  <c r="R129" i="20"/>
  <c r="R29" i="20"/>
  <c r="R36" i="20" s="1"/>
  <c r="R44" i="20" s="1"/>
  <c r="R62" i="20"/>
  <c r="R68" i="20" s="1"/>
  <c r="R74" i="20" s="1"/>
  <c r="R80" i="20" s="1"/>
  <c r="AK114" i="53"/>
  <c r="AK115" i="53"/>
  <c r="J114" i="53"/>
  <c r="J115" i="53"/>
  <c r="AG89" i="18"/>
  <c r="AO122" i="11"/>
  <c r="AM67" i="33"/>
  <c r="AM5" i="33" s="1"/>
  <c r="AM23" i="33" s="1"/>
  <c r="AM41" i="33" s="1"/>
  <c r="AI29" i="11"/>
  <c r="AL29" i="11" s="1"/>
  <c r="AF93" i="25"/>
  <c r="AF99" i="25" s="1"/>
  <c r="AI30" i="32"/>
  <c r="AN125" i="20"/>
  <c r="Q62" i="32"/>
  <c r="N16" i="18"/>
  <c r="N18" i="18" s="1"/>
  <c r="N7" i="25"/>
  <c r="N13" i="25" s="1"/>
  <c r="N19" i="25" s="1"/>
  <c r="N25" i="25" s="1"/>
  <c r="N26" i="18"/>
  <c r="N33" i="18" s="1"/>
  <c r="N41" i="18" s="1"/>
  <c r="N46" i="18" s="1"/>
  <c r="N53" i="18" s="1"/>
  <c r="N28" i="18"/>
  <c r="N35" i="18" s="1"/>
  <c r="N43" i="18" s="1"/>
  <c r="N173" i="25"/>
  <c r="N179" i="25" s="1"/>
  <c r="N185" i="25" s="1"/>
  <c r="N191" i="25" s="1"/>
  <c r="N40" i="25"/>
  <c r="N46" i="25" s="1"/>
  <c r="N52" i="25" s="1"/>
  <c r="N58" i="25" s="1"/>
  <c r="N135" i="18"/>
  <c r="N141" i="18" s="1"/>
  <c r="N147" i="18" s="1"/>
  <c r="N153" i="18" s="1"/>
  <c r="N142" i="25"/>
  <c r="N148" i="25" s="1"/>
  <c r="N154" i="25" s="1"/>
  <c r="N160" i="25" s="1"/>
  <c r="N75" i="25"/>
  <c r="N81" i="25" s="1"/>
  <c r="N87" i="25" s="1"/>
  <c r="N93" i="25" s="1"/>
  <c r="N172" i="25"/>
  <c r="N178" i="25" s="1"/>
  <c r="N184" i="25" s="1"/>
  <c r="N190" i="25" s="1"/>
  <c r="N109" i="25"/>
  <c r="N115" i="25" s="1"/>
  <c r="N121" i="25" s="1"/>
  <c r="N103" i="18"/>
  <c r="N109" i="18" s="1"/>
  <c r="N115" i="18" s="1"/>
  <c r="N121" i="18" s="1"/>
  <c r="N136" i="18"/>
  <c r="N142" i="18" s="1"/>
  <c r="N148" i="18" s="1"/>
  <c r="N154" i="18" s="1"/>
  <c r="N160" i="18" s="1"/>
  <c r="N42" i="25"/>
  <c r="N48" i="25" s="1"/>
  <c r="N54" i="25" s="1"/>
  <c r="N60" i="25" s="1"/>
  <c r="N73" i="25"/>
  <c r="N79" i="25" s="1"/>
  <c r="N85" i="25" s="1"/>
  <c r="E32" i="19"/>
  <c r="E39" i="19" s="1"/>
  <c r="E40" i="19" s="1"/>
  <c r="E27" i="19"/>
  <c r="E34" i="19" s="1"/>
  <c r="E42" i="19" s="1"/>
  <c r="E47" i="19" s="1"/>
  <c r="AC75" i="33"/>
  <c r="AC13" i="33" s="1"/>
  <c r="AC31" i="33" s="1"/>
  <c r="AC49" i="33" s="1"/>
  <c r="T130" i="11"/>
  <c r="P75" i="52"/>
  <c r="S69" i="32"/>
  <c r="S60" i="32"/>
  <c r="S13" i="32"/>
  <c r="S41" i="32"/>
  <c r="S50" i="32"/>
  <c r="S31" i="32"/>
  <c r="S22" i="32"/>
  <c r="P52" i="18"/>
  <c r="AN99" i="53"/>
  <c r="AN119" i="53"/>
  <c r="AN109" i="53"/>
  <c r="AM107" i="50"/>
  <c r="AM38" i="50"/>
  <c r="F222" i="27"/>
  <c r="I201" i="32"/>
  <c r="H137" i="18"/>
  <c r="H143" i="18" s="1"/>
  <c r="H149" i="18" s="1"/>
  <c r="H155" i="18" s="1"/>
  <c r="H139" i="25"/>
  <c r="H145" i="25" s="1"/>
  <c r="H151" i="25" s="1"/>
  <c r="H157" i="25" s="1"/>
  <c r="AM72" i="27"/>
  <c r="AM78" i="27" s="1"/>
  <c r="AM84" i="27" s="1"/>
  <c r="AM90" i="27" s="1"/>
  <c r="AM137" i="20"/>
  <c r="AM143" i="20" s="1"/>
  <c r="AM149" i="20" s="1"/>
  <c r="AM155" i="20" s="1"/>
  <c r="AE134" i="20"/>
  <c r="AE140" i="20" s="1"/>
  <c r="AE146" i="20" s="1"/>
  <c r="AE152" i="20" s="1"/>
  <c r="Q182" i="32"/>
  <c r="W43" i="26"/>
  <c r="W49" i="26" s="1"/>
  <c r="W55" i="26" s="1"/>
  <c r="W61" i="26" s="1"/>
  <c r="L108" i="27"/>
  <c r="L114" i="27" s="1"/>
  <c r="L120" i="27" s="1"/>
  <c r="L126" i="27" s="1"/>
  <c r="Q115" i="20"/>
  <c r="Q121" i="20" s="1"/>
  <c r="O127" i="11"/>
  <c r="X72" i="33"/>
  <c r="X10" i="33" s="1"/>
  <c r="X28" i="33" s="1"/>
  <c r="X46" i="33" s="1"/>
  <c r="AK136" i="11"/>
  <c r="AX81" i="33"/>
  <c r="AX19" i="33" s="1"/>
  <c r="AX37" i="33" s="1"/>
  <c r="AX55" i="33" s="1"/>
  <c r="AI186" i="28"/>
  <c r="Q125" i="25"/>
  <c r="Q131" i="25" s="1"/>
  <c r="T39" i="32"/>
  <c r="E31" i="33"/>
  <c r="K28" i="33"/>
  <c r="D170" i="25"/>
  <c r="D176" i="25" s="1"/>
  <c r="D182" i="25" s="1"/>
  <c r="D188" i="25" s="1"/>
  <c r="G126" i="20"/>
  <c r="G52" i="20"/>
  <c r="J148" i="32"/>
  <c r="J204" i="32"/>
  <c r="G86" i="52"/>
  <c r="J176" i="32"/>
  <c r="J166" i="32"/>
  <c r="AA28" i="11"/>
  <c r="AK33" i="11"/>
  <c r="AN33" i="11" s="1"/>
  <c r="AE124" i="11"/>
  <c r="AQ69" i="33"/>
  <c r="AQ7" i="33" s="1"/>
  <c r="AQ25" i="33" s="1"/>
  <c r="AQ43" i="33" s="1"/>
  <c r="AI37" i="28"/>
  <c r="AI166" i="28"/>
  <c r="AI168" i="28"/>
  <c r="Q43" i="20"/>
  <c r="Q219" i="27"/>
  <c r="Q225" i="27" s="1"/>
  <c r="Q117" i="27"/>
  <c r="Q123" i="27" s="1"/>
  <c r="AI163" i="32"/>
  <c r="AF83" i="52"/>
  <c r="AF49" i="20"/>
  <c r="AF159" i="20" s="1"/>
  <c r="AI201" i="32"/>
  <c r="AI192" i="32"/>
  <c r="AI182" i="32"/>
  <c r="AI154" i="32"/>
  <c r="AI145" i="32"/>
  <c r="AI173" i="32"/>
  <c r="AX72" i="33"/>
  <c r="AX10" i="33" s="1"/>
  <c r="AX28" i="33" s="1"/>
  <c r="AX46" i="33" s="1"/>
  <c r="AK127" i="11"/>
  <c r="S24" i="11"/>
  <c r="Y24" i="11"/>
  <c r="AB24" i="11"/>
  <c r="V24" i="11"/>
  <c r="AE24" i="11"/>
  <c r="P24" i="11"/>
  <c r="F88" i="18"/>
  <c r="F159" i="18"/>
  <c r="N229" i="27"/>
  <c r="N196" i="27"/>
  <c r="N163" i="27"/>
  <c r="N130" i="27"/>
  <c r="N97" i="27"/>
  <c r="N64" i="27"/>
  <c r="N31" i="27"/>
  <c r="R133" i="11"/>
  <c r="AB78" i="33"/>
  <c r="AB16" i="33" s="1"/>
  <c r="AB34" i="33" s="1"/>
  <c r="AB52" i="33" s="1"/>
  <c r="F165" i="19"/>
  <c r="H142" i="26"/>
  <c r="H148" i="26" s="1"/>
  <c r="H76" i="26"/>
  <c r="H82" i="26" s="1"/>
  <c r="H31" i="19"/>
  <c r="H38" i="19" s="1"/>
  <c r="H46" i="19" s="1"/>
  <c r="H67" i="19"/>
  <c r="H73" i="19" s="1"/>
  <c r="H64" i="19"/>
  <c r="H70" i="19" s="1"/>
  <c r="H172" i="26"/>
  <c r="H178" i="26" s="1"/>
  <c r="H184" i="26" s="1"/>
  <c r="H190" i="26" s="1"/>
  <c r="H108" i="26"/>
  <c r="H114" i="26" s="1"/>
  <c r="H138" i="26"/>
  <c r="H144" i="26" s="1"/>
  <c r="H30" i="19"/>
  <c r="H37" i="19" s="1"/>
  <c r="H16" i="19"/>
  <c r="H17" i="19" s="1"/>
  <c r="H19" i="19" s="1"/>
  <c r="H40" i="26"/>
  <c r="H46" i="26" s="1"/>
  <c r="H32" i="19"/>
  <c r="H39" i="19" s="1"/>
  <c r="H40" i="19" s="1"/>
  <c r="H42" i="26"/>
  <c r="H48" i="26" s="1"/>
  <c r="H106" i="26"/>
  <c r="H112" i="26" s="1"/>
  <c r="H6" i="26"/>
  <c r="H12" i="26" s="1"/>
  <c r="H18" i="26" s="1"/>
  <c r="H24" i="26" s="1"/>
  <c r="H38" i="26"/>
  <c r="H44" i="26" s="1"/>
  <c r="H206" i="26"/>
  <c r="H212" i="26" s="1"/>
  <c r="H218" i="26" s="1"/>
  <c r="H224" i="26" s="1"/>
  <c r="H41" i="26"/>
  <c r="H47" i="26" s="1"/>
  <c r="H71" i="26"/>
  <c r="H77" i="26" s="1"/>
  <c r="K111" i="32"/>
  <c r="H173" i="26"/>
  <c r="H179" i="26" s="1"/>
  <c r="H203" i="26"/>
  <c r="H209" i="26" s="1"/>
  <c r="H109" i="26"/>
  <c r="H115" i="26" s="1"/>
  <c r="H139" i="19"/>
  <c r="H145" i="19" s="1"/>
  <c r="H135" i="19"/>
  <c r="H141" i="19" s="1"/>
  <c r="H72" i="26"/>
  <c r="H78" i="26" s="1"/>
  <c r="H175" i="26"/>
  <c r="H181" i="26" s="1"/>
  <c r="H27" i="19"/>
  <c r="H34" i="19" s="1"/>
  <c r="H8" i="26"/>
  <c r="H14" i="26" s="1"/>
  <c r="H101" i="19"/>
  <c r="H107" i="19" s="1"/>
  <c r="H107" i="26"/>
  <c r="H113" i="26" s="1"/>
  <c r="H119" i="26" s="1"/>
  <c r="H125" i="26" s="1"/>
  <c r="H29" i="19"/>
  <c r="H36" i="19" s="1"/>
  <c r="H74" i="26"/>
  <c r="H80" i="26" s="1"/>
  <c r="H138" i="19"/>
  <c r="H144" i="19" s="1"/>
  <c r="H150" i="19" s="1"/>
  <c r="H156" i="19" s="1"/>
  <c r="H105" i="26"/>
  <c r="H111" i="26" s="1"/>
  <c r="H5" i="26"/>
  <c r="H11" i="26" s="1"/>
  <c r="H75" i="26"/>
  <c r="H81" i="26" s="1"/>
  <c r="H170" i="26"/>
  <c r="H176" i="26" s="1"/>
  <c r="H103" i="19"/>
  <c r="H109" i="19" s="1"/>
  <c r="H9" i="26"/>
  <c r="H15" i="26" s="1"/>
  <c r="H139" i="26"/>
  <c r="H145" i="26" s="1"/>
  <c r="H128" i="19"/>
  <c r="H130" i="19" s="1"/>
  <c r="H164" i="19"/>
  <c r="H166" i="19" s="1"/>
  <c r="AN90" i="20"/>
  <c r="H67" i="27"/>
  <c r="H133" i="27"/>
  <c r="H100" i="27"/>
  <c r="H232" i="27"/>
  <c r="H199" i="27"/>
  <c r="H166" i="27"/>
  <c r="AF69" i="32"/>
  <c r="AC52" i="18"/>
  <c r="AC75" i="52"/>
  <c r="AF22" i="32"/>
  <c r="AF31" i="32"/>
  <c r="AD153" i="32"/>
  <c r="K136" i="11"/>
  <c r="T81" i="33"/>
  <c r="T19" i="33" s="1"/>
  <c r="T37" i="33" s="1"/>
  <c r="T55" i="33" s="1"/>
  <c r="AI29" i="18"/>
  <c r="AI36" i="18" s="1"/>
  <c r="AI44" i="18" s="1"/>
  <c r="AI205" i="25"/>
  <c r="AI211" i="25" s="1"/>
  <c r="AI217" i="25" s="1"/>
  <c r="AI223" i="25" s="1"/>
  <c r="AI73" i="25"/>
  <c r="AI79" i="25" s="1"/>
  <c r="AI85" i="25" s="1"/>
  <c r="AI91" i="25" s="1"/>
  <c r="K38" i="25"/>
  <c r="K44" i="25" s="1"/>
  <c r="K50" i="25" s="1"/>
  <c r="K56" i="25" s="1"/>
  <c r="K208" i="25"/>
  <c r="K214" i="25" s="1"/>
  <c r="K220" i="25" s="1"/>
  <c r="K226" i="25" s="1"/>
  <c r="K30" i="18"/>
  <c r="K37" i="18" s="1"/>
  <c r="K45" i="18" s="1"/>
  <c r="G74" i="20"/>
  <c r="G80" i="20" s="1"/>
  <c r="G153" i="27"/>
  <c r="G88" i="27"/>
  <c r="G94" i="27" s="1"/>
  <c r="AL62" i="18"/>
  <c r="AL68" i="18" s="1"/>
  <c r="AL74" i="18" s="1"/>
  <c r="AL80" i="18" s="1"/>
  <c r="AL86" i="18" s="1"/>
  <c r="AL66" i="18"/>
  <c r="AL72" i="18" s="1"/>
  <c r="AL78" i="18" s="1"/>
  <c r="AL84" i="18" s="1"/>
  <c r="AL203" i="25"/>
  <c r="AL209" i="25" s="1"/>
  <c r="AL215" i="25" s="1"/>
  <c r="AL221" i="25" s="1"/>
  <c r="U12" i="32"/>
  <c r="Y196" i="25"/>
  <c r="Y229" i="25"/>
  <c r="Y163" i="25"/>
  <c r="Y97" i="25"/>
  <c r="Y130" i="25"/>
  <c r="Y64" i="25"/>
  <c r="Y31" i="25"/>
  <c r="L105" i="53"/>
  <c r="L104" i="53"/>
  <c r="M105" i="53"/>
  <c r="M104" i="53"/>
  <c r="AG141" i="27"/>
  <c r="AG147" i="27" s="1"/>
  <c r="AG153" i="27" s="1"/>
  <c r="AG159" i="27" s="1"/>
  <c r="AG207" i="27"/>
  <c r="AG213" i="27" s="1"/>
  <c r="AG219" i="27" s="1"/>
  <c r="AG225" i="27" s="1"/>
  <c r="AG136" i="20"/>
  <c r="AG142" i="20" s="1"/>
  <c r="AG148" i="20" s="1"/>
  <c r="AG154" i="20" s="1"/>
  <c r="AB7" i="19"/>
  <c r="AB8" i="19"/>
  <c r="AB5" i="19"/>
  <c r="AX75" i="33"/>
  <c r="AX13" i="33" s="1"/>
  <c r="AX31" i="33" s="1"/>
  <c r="AX49" i="33" s="1"/>
  <c r="AK130" i="11"/>
  <c r="R6" i="5"/>
  <c r="F125" i="18"/>
  <c r="R124" i="11"/>
  <c r="AB69" i="33"/>
  <c r="AB7" i="33" s="1"/>
  <c r="AB25" i="33" s="1"/>
  <c r="AB43" i="33" s="1"/>
  <c r="AK18" i="11"/>
  <c r="AN18" i="11" s="1"/>
  <c r="W75" i="52"/>
  <c r="Z60" i="32"/>
  <c r="Z31" i="32"/>
  <c r="Z50" i="32"/>
  <c r="Z13" i="32"/>
  <c r="Z41" i="32"/>
  <c r="Z69" i="32"/>
  <c r="Z22" i="32"/>
  <c r="W52" i="18"/>
  <c r="AN120" i="28"/>
  <c r="AN56" i="28"/>
  <c r="W53" i="32"/>
  <c r="W54" i="32" s="1"/>
  <c r="V15" i="34" s="1"/>
  <c r="W63" i="32"/>
  <c r="V14" i="34" s="1"/>
  <c r="T69" i="33"/>
  <c r="T7" i="33" s="1"/>
  <c r="T25" i="33" s="1"/>
  <c r="T43" i="33" s="1"/>
  <c r="K124" i="11"/>
  <c r="AK10" i="11"/>
  <c r="AN10" i="11" s="1"/>
  <c r="AN161" i="59"/>
  <c r="AO75" i="33"/>
  <c r="AO13" i="33" s="1"/>
  <c r="AO31" i="33" s="1"/>
  <c r="AO49" i="33" s="1"/>
  <c r="AC130" i="11"/>
  <c r="W134" i="11"/>
  <c r="AF79" i="33"/>
  <c r="AF17" i="33" s="1"/>
  <c r="AF35" i="33" s="1"/>
  <c r="AF53" i="33" s="1"/>
  <c r="C36" i="33"/>
  <c r="C21" i="33"/>
  <c r="D18" i="33"/>
  <c r="K18" i="33" s="1"/>
  <c r="AF165" i="27"/>
  <c r="AF66" i="27"/>
  <c r="AF33" i="27"/>
  <c r="AF99" i="27"/>
  <c r="AF132" i="27"/>
  <c r="AF231" i="27"/>
  <c r="AL98" i="18"/>
  <c r="AL104" i="18" s="1"/>
  <c r="AL110" i="18" s="1"/>
  <c r="AL142" i="25"/>
  <c r="AL148" i="25" s="1"/>
  <c r="AL154" i="25" s="1"/>
  <c r="AL160" i="25" s="1"/>
  <c r="AL104" i="25"/>
  <c r="AL110" i="25" s="1"/>
  <c r="AL116" i="25" s="1"/>
  <c r="AL122" i="25" s="1"/>
  <c r="AL38" i="28"/>
  <c r="AL102" i="28"/>
  <c r="N160" i="20"/>
  <c r="AN105" i="53"/>
  <c r="AN104" i="53"/>
  <c r="AI105" i="53"/>
  <c r="AI104" i="53"/>
  <c r="AN86" i="20"/>
  <c r="I19" i="32"/>
  <c r="AA97" i="27"/>
  <c r="AA196" i="27"/>
  <c r="AA229" i="27"/>
  <c r="AA163" i="27"/>
  <c r="AA31" i="27"/>
  <c r="AA130" i="27"/>
  <c r="AA64" i="27"/>
  <c r="N9" i="32"/>
  <c r="K48" i="18"/>
  <c r="K71" i="52"/>
  <c r="N18" i="32"/>
  <c r="N46" i="32"/>
  <c r="N27" i="32"/>
  <c r="G84" i="52"/>
  <c r="J183" i="32"/>
  <c r="J174" i="32"/>
  <c r="J146" i="32"/>
  <c r="J155" i="32"/>
  <c r="J164" i="32"/>
  <c r="J202" i="32"/>
  <c r="G50" i="20"/>
  <c r="J193" i="32"/>
  <c r="AO72" i="33"/>
  <c r="AO10" i="33" s="1"/>
  <c r="AO28" i="33" s="1"/>
  <c r="AO46" i="33" s="1"/>
  <c r="AC127" i="11"/>
  <c r="W122" i="11"/>
  <c r="AI22" i="11"/>
  <c r="AL22" i="11" s="1"/>
  <c r="AF67" i="33"/>
  <c r="AF5" i="33" s="1"/>
  <c r="AF23" i="33" s="1"/>
  <c r="AF41" i="33" s="1"/>
  <c r="G163" i="18"/>
  <c r="G123" i="18"/>
  <c r="R70" i="52"/>
  <c r="U26" i="32"/>
  <c r="U8" i="32"/>
  <c r="U36" i="32"/>
  <c r="R47" i="18"/>
  <c r="R93" i="18"/>
  <c r="R46" i="18"/>
  <c r="R53" i="18" s="1"/>
  <c r="U45" i="32"/>
  <c r="U64" i="32"/>
  <c r="U17" i="32"/>
  <c r="U55" i="32"/>
  <c r="O104" i="53"/>
  <c r="O105" i="53"/>
  <c r="F104" i="53"/>
  <c r="F105" i="53"/>
  <c r="AA193" i="32"/>
  <c r="AA146" i="32"/>
  <c r="AA202" i="32"/>
  <c r="X84" i="52"/>
  <c r="AA155" i="32"/>
  <c r="AA164" i="32"/>
  <c r="AA183" i="32"/>
  <c r="X50" i="20"/>
  <c r="AA174" i="32"/>
  <c r="O3" i="20"/>
  <c r="R4" i="34"/>
  <c r="AA131" i="27"/>
  <c r="AA197" i="27"/>
  <c r="AA98" i="27"/>
  <c r="AA164" i="27"/>
  <c r="AA65" i="27"/>
  <c r="AA230" i="27"/>
  <c r="AF70" i="33"/>
  <c r="AF8" i="33" s="1"/>
  <c r="AF26" i="33" s="1"/>
  <c r="AF44" i="33" s="1"/>
  <c r="W125" i="11"/>
  <c r="F229" i="27"/>
  <c r="F196" i="27"/>
  <c r="F163" i="27"/>
  <c r="F130" i="27"/>
  <c r="F97" i="27"/>
  <c r="F64" i="27"/>
  <c r="F31" i="27"/>
  <c r="D129" i="18"/>
  <c r="G85" i="52"/>
  <c r="J194" i="32"/>
  <c r="J147" i="32"/>
  <c r="J175" i="32"/>
  <c r="G51" i="20"/>
  <c r="J165" i="32"/>
  <c r="J156" i="32"/>
  <c r="J203" i="32"/>
  <c r="J184" i="32"/>
  <c r="J163" i="32"/>
  <c r="J201" i="32"/>
  <c r="G49" i="20"/>
  <c r="G123" i="20" s="1"/>
  <c r="G83" i="52"/>
  <c r="J154" i="32"/>
  <c r="J182" i="32"/>
  <c r="J173" i="32"/>
  <c r="J145" i="32"/>
  <c r="AO69" i="33"/>
  <c r="AO7" i="33" s="1"/>
  <c r="AO25" i="33" s="1"/>
  <c r="AO43" i="33" s="1"/>
  <c r="AK31" i="11"/>
  <c r="AN31" i="11" s="1"/>
  <c r="AC124" i="11"/>
  <c r="W137" i="11"/>
  <c r="AF82" i="33"/>
  <c r="AF20" i="33" s="1"/>
  <c r="AF38" i="33" s="1"/>
  <c r="AF56" i="33" s="1"/>
  <c r="AI166" i="32"/>
  <c r="AO45" i="32"/>
  <c r="AO26" i="32"/>
  <c r="AL70" i="52"/>
  <c r="AO55" i="32"/>
  <c r="AO36" i="32"/>
  <c r="AO8" i="32"/>
  <c r="AL47" i="18"/>
  <c r="AO34" i="32"/>
  <c r="AO35" i="32" s="1"/>
  <c r="AC13" i="34" s="1"/>
  <c r="AO44" i="32"/>
  <c r="AC12" i="34" s="1"/>
  <c r="AL97" i="28"/>
  <c r="AL4" i="28"/>
  <c r="AL32" i="28" s="1"/>
  <c r="Z105" i="53"/>
  <c r="Z104" i="53"/>
  <c r="H104" i="53"/>
  <c r="H105" i="53"/>
  <c r="X125" i="20"/>
  <c r="AG75" i="27"/>
  <c r="AG81" i="27" s="1"/>
  <c r="AG87" i="27" s="1"/>
  <c r="AG93" i="27" s="1"/>
  <c r="H231" i="27"/>
  <c r="H132" i="27"/>
  <c r="H33" i="27"/>
  <c r="H198" i="27"/>
  <c r="H165" i="27"/>
  <c r="H99" i="27"/>
  <c r="H66" i="27"/>
  <c r="T4" i="28"/>
  <c r="T32" i="28" s="1"/>
  <c r="T97" i="28"/>
  <c r="T86" i="26"/>
  <c r="T92" i="26" s="1"/>
  <c r="AP74" i="32"/>
  <c r="AP75" i="32" s="1"/>
  <c r="AJ23" i="34" s="1"/>
  <c r="AJ37" i="34" s="1"/>
  <c r="AP93" i="32"/>
  <c r="AJ25" i="34" s="1"/>
  <c r="AJ39" i="34" s="1"/>
  <c r="AP83" i="32"/>
  <c r="AP84" i="32" s="1"/>
  <c r="AJ24" i="34" s="1"/>
  <c r="AJ38" i="34" s="1"/>
  <c r="Z73" i="52"/>
  <c r="AC39" i="32"/>
  <c r="AC29" i="32"/>
  <c r="AC58" i="32"/>
  <c r="AC67" i="32"/>
  <c r="AC48" i="32"/>
  <c r="AC20" i="32"/>
  <c r="Z50" i="18"/>
  <c r="AC11" i="32"/>
  <c r="T164" i="20"/>
  <c r="T166" i="20" s="1"/>
  <c r="I126" i="18"/>
  <c r="L134" i="20"/>
  <c r="L140" i="20" s="1"/>
  <c r="L146" i="20" s="1"/>
  <c r="L152" i="20" s="1"/>
  <c r="O170" i="32"/>
  <c r="O171" i="32" s="1"/>
  <c r="N20" i="34" s="1"/>
  <c r="N34" i="34" s="1"/>
  <c r="O180" i="32"/>
  <c r="N19" i="34" s="1"/>
  <c r="N33" i="34" s="1"/>
  <c r="L170" i="27"/>
  <c r="L176" i="27" s="1"/>
  <c r="Q67" i="25"/>
  <c r="Q34" i="25"/>
  <c r="Q166" i="25"/>
  <c r="Q133" i="25"/>
  <c r="Q232" i="25"/>
  <c r="Q100" i="25"/>
  <c r="Q67" i="20"/>
  <c r="Q73" i="20" s="1"/>
  <c r="Q79" i="20" s="1"/>
  <c r="Q85" i="20" s="1"/>
  <c r="Q5" i="27"/>
  <c r="Q11" i="27" s="1"/>
  <c r="Q17" i="27" s="1"/>
  <c r="Q23" i="27" s="1"/>
  <c r="Q106" i="27"/>
  <c r="Q112" i="27" s="1"/>
  <c r="Q118" i="27" s="1"/>
  <c r="Q124" i="27" s="1"/>
  <c r="Y125" i="18"/>
  <c r="F87" i="19"/>
  <c r="F158" i="18"/>
  <c r="E86" i="53"/>
  <c r="E130" i="53" s="1"/>
  <c r="E174" i="53" s="1"/>
  <c r="E219" i="53" s="1"/>
  <c r="E43" i="53"/>
  <c r="W162" i="18"/>
  <c r="X74" i="32"/>
  <c r="X75" i="32" s="1"/>
  <c r="W23" i="34" s="1"/>
  <c r="W37" i="34" s="1"/>
  <c r="X93" i="32"/>
  <c r="W25" i="34" s="1"/>
  <c r="W39" i="34" s="1"/>
  <c r="X83" i="32"/>
  <c r="X84" i="32" s="1"/>
  <c r="W24" i="34" s="1"/>
  <c r="W38" i="34" s="1"/>
  <c r="AE29" i="25"/>
  <c r="AE161" i="25"/>
  <c r="AE227" i="25"/>
  <c r="AE194" i="25"/>
  <c r="AE128" i="25"/>
  <c r="AE95" i="25"/>
  <c r="AE62" i="25"/>
  <c r="AM102" i="28"/>
  <c r="AM38" i="28"/>
  <c r="AM165" i="28"/>
  <c r="R91" i="18"/>
  <c r="X140" i="25"/>
  <c r="X146" i="25" s="1"/>
  <c r="X152" i="25" s="1"/>
  <c r="X158" i="25" s="1"/>
  <c r="X9" i="25"/>
  <c r="X15" i="25" s="1"/>
  <c r="X21" i="25" s="1"/>
  <c r="X27" i="25" s="1"/>
  <c r="X103" i="18"/>
  <c r="X109" i="18" s="1"/>
  <c r="X115" i="18" s="1"/>
  <c r="X121" i="18" s="1"/>
  <c r="F227" i="27"/>
  <c r="F95" i="27"/>
  <c r="F194" i="27"/>
  <c r="F161" i="27"/>
  <c r="F128" i="27"/>
  <c r="F62" i="27"/>
  <c r="F29" i="27"/>
  <c r="AC205" i="25"/>
  <c r="AC211" i="25" s="1"/>
  <c r="AC217" i="25" s="1"/>
  <c r="AC223" i="25" s="1"/>
  <c r="AC137" i="18"/>
  <c r="AC143" i="18" s="1"/>
  <c r="AC149" i="18" s="1"/>
  <c r="AC155" i="18" s="1"/>
  <c r="AC5" i="25"/>
  <c r="AC11" i="25" s="1"/>
  <c r="AC17" i="25" s="1"/>
  <c r="AC23" i="25" s="1"/>
  <c r="AI26" i="18"/>
  <c r="AI33" i="18" s="1"/>
  <c r="AI41" i="18" s="1"/>
  <c r="AI38" i="25"/>
  <c r="AI44" i="25" s="1"/>
  <c r="AI50" i="25" s="1"/>
  <c r="AI56" i="25" s="1"/>
  <c r="AI8" i="25"/>
  <c r="AI14" i="25" s="1"/>
  <c r="AI20" i="25" s="1"/>
  <c r="AI26" i="25" s="1"/>
  <c r="K100" i="18"/>
  <c r="K106" i="18" s="1"/>
  <c r="K112" i="18" s="1"/>
  <c r="K118" i="18" s="1"/>
  <c r="K9" i="25"/>
  <c r="K15" i="25" s="1"/>
  <c r="K21" i="25" s="1"/>
  <c r="K27" i="25" s="1"/>
  <c r="K101" i="18"/>
  <c r="K107" i="18" s="1"/>
  <c r="K113" i="18" s="1"/>
  <c r="K119" i="18" s="1"/>
  <c r="K125" i="18" s="1"/>
  <c r="G154" i="27"/>
  <c r="G160" i="27" s="1"/>
  <c r="G19" i="27"/>
  <c r="G25" i="27" s="1"/>
  <c r="AC136" i="11"/>
  <c r="AO81" i="33"/>
  <c r="AO19" i="33" s="1"/>
  <c r="AO37" i="33" s="1"/>
  <c r="AO55" i="33" s="1"/>
  <c r="AL102" i="18"/>
  <c r="AL108" i="18" s="1"/>
  <c r="AL114" i="18" s="1"/>
  <c r="AL120" i="18" s="1"/>
  <c r="AL109" i="25"/>
  <c r="AL115" i="25" s="1"/>
  <c r="AL121" i="25" s="1"/>
  <c r="AL127" i="25" s="1"/>
  <c r="AL71" i="25"/>
  <c r="AL77" i="25" s="1"/>
  <c r="AL83" i="25" s="1"/>
  <c r="AL89" i="25" s="1"/>
  <c r="J189" i="32"/>
  <c r="J190" i="32" s="1"/>
  <c r="I22" i="34" s="1"/>
  <c r="I36" i="34" s="1"/>
  <c r="J199" i="32"/>
  <c r="I21" i="34" s="1"/>
  <c r="I35" i="34" s="1"/>
  <c r="AP104" i="53"/>
  <c r="AP105" i="53"/>
  <c r="AA105" i="53"/>
  <c r="AA104" i="53"/>
  <c r="AG139" i="20"/>
  <c r="AG145" i="20" s="1"/>
  <c r="AG151" i="20" s="1"/>
  <c r="AG157" i="20" s="1"/>
  <c r="AG32" i="20"/>
  <c r="AG39" i="20" s="1"/>
  <c r="AG40" i="20" s="1"/>
  <c r="AG72" i="27"/>
  <c r="AG78" i="27" s="1"/>
  <c r="AG84" i="27" s="1"/>
  <c r="AG90" i="27" s="1"/>
  <c r="I28" i="32"/>
  <c r="AM36" i="59"/>
  <c r="AM160" i="59"/>
  <c r="K202" i="32"/>
  <c r="H84" i="52"/>
  <c r="K146" i="32"/>
  <c r="K183" i="32"/>
  <c r="K164" i="32"/>
  <c r="K174" i="32"/>
  <c r="K155" i="32"/>
  <c r="H50" i="20"/>
  <c r="K193" i="32"/>
  <c r="F163" i="19"/>
  <c r="T110" i="28"/>
  <c r="T173" i="28" s="1"/>
  <c r="T46" i="28"/>
  <c r="AA56" i="28"/>
  <c r="AA120" i="28"/>
  <c r="P122" i="18"/>
  <c r="M124" i="11"/>
  <c r="AK12" i="11"/>
  <c r="AN12" i="11" s="1"/>
  <c r="V69" i="33"/>
  <c r="V7" i="33" s="1"/>
  <c r="V25" i="33" s="1"/>
  <c r="V43" i="33" s="1"/>
  <c r="C40" i="33"/>
  <c r="D22" i="33"/>
  <c r="K22" i="33" s="1"/>
  <c r="J3" i="20"/>
  <c r="L4" i="34"/>
  <c r="T165" i="19"/>
  <c r="AQ149" i="32"/>
  <c r="AN87" i="52"/>
  <c r="AQ158" i="32"/>
  <c r="AQ196" i="32"/>
  <c r="AQ186" i="32"/>
  <c r="AQ205" i="32"/>
  <c r="AQ177" i="32"/>
  <c r="AQ167" i="32"/>
  <c r="AN53" i="20"/>
  <c r="AN163" i="20" s="1"/>
  <c r="AK189" i="28"/>
  <c r="AK55" i="28"/>
  <c r="AK187" i="28"/>
  <c r="L71" i="27"/>
  <c r="L77" i="27" s="1"/>
  <c r="L83" i="27" s="1"/>
  <c r="L89" i="27" s="1"/>
  <c r="L141" i="27"/>
  <c r="L147" i="27" s="1"/>
  <c r="L153" i="27" s="1"/>
  <c r="L159" i="27" s="1"/>
  <c r="L106" i="27"/>
  <c r="L112" i="27" s="1"/>
  <c r="Q63" i="20"/>
  <c r="Q69" i="20" s="1"/>
  <c r="Q75" i="20" s="1"/>
  <c r="Q81" i="20" s="1"/>
  <c r="Q9" i="27"/>
  <c r="Q15" i="27" s="1"/>
  <c r="Q21" i="27" s="1"/>
  <c r="Q205" i="27"/>
  <c r="Q211" i="27" s="1"/>
  <c r="Q217" i="27" s="1"/>
  <c r="Q223" i="27" s="1"/>
  <c r="AA34" i="27"/>
  <c r="AA100" i="27"/>
  <c r="AA166" i="27"/>
  <c r="AA133" i="27"/>
  <c r="AA67" i="27"/>
  <c r="AA232" i="27"/>
  <c r="AA199" i="27"/>
  <c r="Q71" i="52"/>
  <c r="T65" i="32"/>
  <c r="T18" i="32"/>
  <c r="T27" i="32"/>
  <c r="T46" i="32"/>
  <c r="Q48" i="18"/>
  <c r="T56" i="32"/>
  <c r="T37" i="32"/>
  <c r="T9" i="32"/>
  <c r="F123" i="18"/>
  <c r="K93" i="32"/>
  <c r="J25" i="34" s="1"/>
  <c r="J39" i="34" s="1"/>
  <c r="K83" i="32"/>
  <c r="K84" i="32" s="1"/>
  <c r="J24" i="34" s="1"/>
  <c r="J38" i="34" s="1"/>
  <c r="K74" i="32"/>
  <c r="K75" i="32" s="1"/>
  <c r="J23" i="34" s="1"/>
  <c r="J37" i="34" s="1"/>
  <c r="AI19" i="32"/>
  <c r="E262" i="53"/>
  <c r="E357" i="53"/>
  <c r="E392" i="53" s="1"/>
  <c r="AE89" i="18"/>
  <c r="X67" i="18"/>
  <c r="X73" i="18" s="1"/>
  <c r="X79" i="18" s="1"/>
  <c r="X85" i="18" s="1"/>
  <c r="X142" i="25"/>
  <c r="X148" i="25" s="1"/>
  <c r="X154" i="25" s="1"/>
  <c r="X160" i="25" s="1"/>
  <c r="X171" i="25"/>
  <c r="X177" i="25" s="1"/>
  <c r="X183" i="25" s="1"/>
  <c r="X189" i="25" s="1"/>
  <c r="AC175" i="25"/>
  <c r="AC181" i="25" s="1"/>
  <c r="AC187" i="25" s="1"/>
  <c r="AC193" i="25" s="1"/>
  <c r="AC64" i="18"/>
  <c r="AC70" i="18" s="1"/>
  <c r="AC76" i="18" s="1"/>
  <c r="AC82" i="18" s="1"/>
  <c r="AC6" i="25"/>
  <c r="AC12" i="25" s="1"/>
  <c r="AC18" i="25" s="1"/>
  <c r="AC24" i="25" s="1"/>
  <c r="AI206" i="25"/>
  <c r="AI212" i="25" s="1"/>
  <c r="AI218" i="25" s="1"/>
  <c r="AI224" i="25" s="1"/>
  <c r="AI43" i="25"/>
  <c r="AI49" i="25" s="1"/>
  <c r="AI55" i="25" s="1"/>
  <c r="AI61" i="25" s="1"/>
  <c r="AI71" i="25"/>
  <c r="AI77" i="25" s="1"/>
  <c r="AI83" i="25" s="1"/>
  <c r="AI89" i="25" s="1"/>
  <c r="K99" i="18"/>
  <c r="K105" i="18" s="1"/>
  <c r="K111" i="18" s="1"/>
  <c r="K117" i="18" s="1"/>
  <c r="K137" i="25"/>
  <c r="K143" i="25" s="1"/>
  <c r="K149" i="25" s="1"/>
  <c r="K155" i="25" s="1"/>
  <c r="K203" i="25"/>
  <c r="K209" i="25" s="1"/>
  <c r="K215" i="25" s="1"/>
  <c r="K221" i="25" s="1"/>
  <c r="AI53" i="59"/>
  <c r="AI182" i="59"/>
  <c r="AI184" i="59"/>
  <c r="AI183" i="59"/>
  <c r="AI177" i="59"/>
  <c r="AI179" i="59"/>
  <c r="G151" i="20"/>
  <c r="G157" i="20" s="1"/>
  <c r="G163" i="20" s="1"/>
  <c r="G150" i="20"/>
  <c r="G156" i="20" s="1"/>
  <c r="G162" i="20" s="1"/>
  <c r="G183" i="27"/>
  <c r="AO84" i="33"/>
  <c r="AO22" i="33" s="1"/>
  <c r="AO40" i="33" s="1"/>
  <c r="AO58" i="33" s="1"/>
  <c r="AC139" i="11"/>
  <c r="AA154" i="32"/>
  <c r="AL42" i="25"/>
  <c r="AL48" i="25" s="1"/>
  <c r="AL54" i="25" s="1"/>
  <c r="AL60" i="25" s="1"/>
  <c r="AL30" i="18"/>
  <c r="AL37" i="18" s="1"/>
  <c r="AL45" i="18" s="1"/>
  <c r="AL172" i="25"/>
  <c r="AL178" i="25" s="1"/>
  <c r="AL184" i="25" s="1"/>
  <c r="AL190" i="25" s="1"/>
  <c r="J31" i="25"/>
  <c r="J97" i="25"/>
  <c r="J229" i="25"/>
  <c r="J130" i="25"/>
  <c r="J163" i="25"/>
  <c r="J196" i="25"/>
  <c r="T105" i="53"/>
  <c r="T104" i="53"/>
  <c r="AB104" i="53"/>
  <c r="AB105" i="53"/>
  <c r="AB29" i="5"/>
  <c r="AK29" i="5"/>
  <c r="AG203" i="27"/>
  <c r="AG209" i="27" s="1"/>
  <c r="AG215" i="27" s="1"/>
  <c r="AG221" i="27" s="1"/>
  <c r="AG98" i="20"/>
  <c r="AG104" i="20" s="1"/>
  <c r="AG110" i="20" s="1"/>
  <c r="AG116" i="20" s="1"/>
  <c r="AG9" i="27"/>
  <c r="AG15" i="27" s="1"/>
  <c r="AG21" i="27" s="1"/>
  <c r="AG27" i="27" s="1"/>
  <c r="AK19" i="11"/>
  <c r="AN19" i="11" s="1"/>
  <c r="T124" i="11"/>
  <c r="AC69" i="33"/>
  <c r="AC7" i="33" s="1"/>
  <c r="AC25" i="33" s="1"/>
  <c r="AC43" i="33" s="1"/>
  <c r="AN44" i="59"/>
  <c r="AN169" i="59"/>
  <c r="AN168" i="59"/>
  <c r="AN173" i="59"/>
  <c r="AN170" i="59"/>
  <c r="U124" i="18"/>
  <c r="AK111" i="28"/>
  <c r="AE53" i="32"/>
  <c r="AE54" i="32" s="1"/>
  <c r="AG15" i="34" s="1"/>
  <c r="AE63" i="32"/>
  <c r="AG14" i="34" s="1"/>
  <c r="T79" i="19"/>
  <c r="T85" i="19" s="1"/>
  <c r="T91" i="19" s="1"/>
  <c r="M130" i="11"/>
  <c r="V75" i="33"/>
  <c r="V13" i="33" s="1"/>
  <c r="V31" i="33" s="1"/>
  <c r="V49" i="33" s="1"/>
  <c r="C55" i="33"/>
  <c r="D55" i="33" s="1"/>
  <c r="D37" i="33"/>
  <c r="T120" i="26"/>
  <c r="T126" i="26" s="1"/>
  <c r="AN159" i="20"/>
  <c r="AI228" i="27"/>
  <c r="AI195" i="27"/>
  <c r="AI129" i="27"/>
  <c r="AI96" i="27"/>
  <c r="AI162" i="27"/>
  <c r="AI30" i="27"/>
  <c r="AI63" i="27"/>
  <c r="AI123" i="20"/>
  <c r="AI159" i="20"/>
  <c r="L10" i="27"/>
  <c r="L16" i="27" s="1"/>
  <c r="T13" i="32"/>
  <c r="Y8" i="19"/>
  <c r="Y7" i="19"/>
  <c r="Y5" i="19"/>
  <c r="Q208" i="27"/>
  <c r="Q214" i="27" s="1"/>
  <c r="Q220" i="27" s="1"/>
  <c r="Q226" i="27" s="1"/>
  <c r="Q98" i="20"/>
  <c r="Q104" i="20" s="1"/>
  <c r="Q110" i="20" s="1"/>
  <c r="Q116" i="20" s="1"/>
  <c r="Q127" i="18"/>
  <c r="W39" i="32"/>
  <c r="AH3" i="20"/>
  <c r="AN4" i="34"/>
  <c r="F73" i="52"/>
  <c r="I39" i="32"/>
  <c r="F50" i="18"/>
  <c r="I20" i="32"/>
  <c r="I29" i="32"/>
  <c r="I48" i="32"/>
  <c r="I67" i="32"/>
  <c r="I11" i="32"/>
  <c r="I58" i="32"/>
  <c r="AN162" i="20"/>
  <c r="Z49" i="32"/>
  <c r="W74" i="52"/>
  <c r="Z21" i="32"/>
  <c r="Z68" i="32"/>
  <c r="Z59" i="32"/>
  <c r="Z30" i="32"/>
  <c r="Z12" i="32"/>
  <c r="Z40" i="32"/>
  <c r="W51" i="18"/>
  <c r="AM97" i="28"/>
  <c r="AM4" i="28"/>
  <c r="AM32" i="28" s="1"/>
  <c r="AN122" i="20"/>
  <c r="Q142" i="11"/>
  <c r="Q144" i="11" s="1"/>
  <c r="X206" i="25"/>
  <c r="X212" i="25" s="1"/>
  <c r="X218" i="25" s="1"/>
  <c r="X224" i="25" s="1"/>
  <c r="X137" i="18"/>
  <c r="X143" i="18" s="1"/>
  <c r="X149" i="18" s="1"/>
  <c r="X155" i="18" s="1"/>
  <c r="X75" i="25"/>
  <c r="X81" i="25" s="1"/>
  <c r="X87" i="25" s="1"/>
  <c r="X93" i="25" s="1"/>
  <c r="W66" i="32"/>
  <c r="AC38" i="25"/>
  <c r="AC44" i="25" s="1"/>
  <c r="AC50" i="25" s="1"/>
  <c r="AC56" i="25" s="1"/>
  <c r="AC142" i="25"/>
  <c r="AC148" i="25" s="1"/>
  <c r="AC154" i="25" s="1"/>
  <c r="AC160" i="25" s="1"/>
  <c r="AC73" i="25"/>
  <c r="AC79" i="25" s="1"/>
  <c r="AC85" i="25" s="1"/>
  <c r="AI135" i="18"/>
  <c r="AI141" i="18" s="1"/>
  <c r="AI147" i="18" s="1"/>
  <c r="AI153" i="18" s="1"/>
  <c r="AI65" i="18"/>
  <c r="AI71" i="18" s="1"/>
  <c r="AI77" i="18" s="1"/>
  <c r="AI83" i="18" s="1"/>
  <c r="AI89" i="18" s="1"/>
  <c r="AI129" i="18"/>
  <c r="K136" i="18"/>
  <c r="K142" i="18" s="1"/>
  <c r="K148" i="18" s="1"/>
  <c r="K154" i="18" s="1"/>
  <c r="K102" i="18"/>
  <c r="K108" i="18" s="1"/>
  <c r="K114" i="18" s="1"/>
  <c r="K120" i="18" s="1"/>
  <c r="K63" i="18"/>
  <c r="K69" i="18" s="1"/>
  <c r="K75" i="18" s="1"/>
  <c r="K81" i="18" s="1"/>
  <c r="Q72" i="52"/>
  <c r="T19" i="32"/>
  <c r="T38" i="32"/>
  <c r="Q49" i="18"/>
  <c r="T10" i="32"/>
  <c r="T47" i="32"/>
  <c r="T66" i="32"/>
  <c r="T28" i="32"/>
  <c r="T57" i="32"/>
  <c r="G50" i="27"/>
  <c r="G56" i="27" s="1"/>
  <c r="G17" i="27"/>
  <c r="G23" i="27" s="1"/>
  <c r="G53" i="27"/>
  <c r="G59" i="27" s="1"/>
  <c r="T129" i="25"/>
  <c r="T96" i="25"/>
  <c r="T63" i="25"/>
  <c r="T30" i="25"/>
  <c r="T228" i="25"/>
  <c r="T195" i="25"/>
  <c r="T162" i="25"/>
  <c r="AL28" i="18"/>
  <c r="AL35" i="18" s="1"/>
  <c r="AL43" i="18" s="1"/>
  <c r="AL164" i="18"/>
  <c r="AL166" i="18" s="1"/>
  <c r="AL165" i="18" s="1"/>
  <c r="AA127" i="20"/>
  <c r="AH105" i="53"/>
  <c r="AH104" i="53"/>
  <c r="J105" i="53"/>
  <c r="J104" i="53"/>
  <c r="AC78" i="33"/>
  <c r="AC16" i="33" s="1"/>
  <c r="AC34" i="33" s="1"/>
  <c r="AC52" i="33" s="1"/>
  <c r="T133" i="11"/>
  <c r="AM21" i="50"/>
  <c r="AM106" i="50"/>
  <c r="AK92" i="32"/>
  <c r="AH92" i="19"/>
  <c r="AH94" i="19" s="1"/>
  <c r="T54" i="26"/>
  <c r="T60" i="26" s="1"/>
  <c r="F67" i="27"/>
  <c r="F34" i="27"/>
  <c r="F232" i="27"/>
  <c r="F199" i="27"/>
  <c r="F166" i="27"/>
  <c r="F133" i="27"/>
  <c r="F100" i="27"/>
  <c r="V71" i="33"/>
  <c r="V9" i="33" s="1"/>
  <c r="V27" i="33" s="1"/>
  <c r="V45" i="33" s="1"/>
  <c r="M126" i="11"/>
  <c r="S63" i="32"/>
  <c r="O14" i="34" s="1"/>
  <c r="S53" i="32"/>
  <c r="S54" i="32" s="1"/>
  <c r="O15" i="34" s="1"/>
  <c r="V81" i="33"/>
  <c r="V19" i="33" s="1"/>
  <c r="V37" i="33" s="1"/>
  <c r="V55" i="33" s="1"/>
  <c r="M136" i="11"/>
  <c r="T112" i="19"/>
  <c r="T118" i="19" s="1"/>
  <c r="AA141" i="28"/>
  <c r="T141" i="28"/>
  <c r="L17" i="20"/>
  <c r="L19" i="20" s="1"/>
  <c r="L139" i="20"/>
  <c r="L145" i="20" s="1"/>
  <c r="L174" i="27"/>
  <c r="L180" i="27" s="1"/>
  <c r="W199" i="32"/>
  <c r="V21" i="34" s="1"/>
  <c r="V35" i="34" s="1"/>
  <c r="W189" i="32"/>
  <c r="W190" i="32" s="1"/>
  <c r="V22" i="34" s="1"/>
  <c r="V36" i="34" s="1"/>
  <c r="Q27" i="20"/>
  <c r="Q34" i="20" s="1"/>
  <c r="Q42" i="20" s="1"/>
  <c r="Q136" i="20"/>
  <c r="Q142" i="20" s="1"/>
  <c r="Q148" i="20" s="1"/>
  <c r="Q154" i="20" s="1"/>
  <c r="Q171" i="27"/>
  <c r="Q177" i="27" s="1"/>
  <c r="Q183" i="27" s="1"/>
  <c r="Q189" i="27" s="1"/>
  <c r="AI194" i="32"/>
  <c r="AI203" i="32"/>
  <c r="AI175" i="32"/>
  <c r="AI147" i="32"/>
  <c r="AI184" i="32"/>
  <c r="AI165" i="32"/>
  <c r="AF51" i="20"/>
  <c r="AI156" i="32"/>
  <c r="AF85" i="52"/>
  <c r="F86" i="18"/>
  <c r="F123" i="19"/>
  <c r="AE161" i="18"/>
  <c r="W70" i="52"/>
  <c r="Z45" i="32"/>
  <c r="Z8" i="32"/>
  <c r="W46" i="18"/>
  <c r="W53" i="18" s="1"/>
  <c r="W47" i="18"/>
  <c r="W93" i="18"/>
  <c r="Z26" i="32"/>
  <c r="Z17" i="32"/>
  <c r="Z55" i="32"/>
  <c r="Z64" i="32"/>
  <c r="Z36" i="32"/>
  <c r="AJ38" i="28"/>
  <c r="AJ102" i="28"/>
  <c r="AJ165" i="28"/>
  <c r="X174" i="25"/>
  <c r="X180" i="25" s="1"/>
  <c r="X186" i="25" s="1"/>
  <c r="X192" i="25" s="1"/>
  <c r="X172" i="25"/>
  <c r="X178" i="25" s="1"/>
  <c r="X184" i="25" s="1"/>
  <c r="X190" i="25" s="1"/>
  <c r="X41" i="25"/>
  <c r="X47" i="25" s="1"/>
  <c r="X53" i="25" s="1"/>
  <c r="X59" i="25" s="1"/>
  <c r="AC28" i="18"/>
  <c r="AC35" i="18" s="1"/>
  <c r="AC43" i="18" s="1"/>
  <c r="AC206" i="25"/>
  <c r="AC212" i="25" s="1"/>
  <c r="AC218" i="25" s="1"/>
  <c r="AC224" i="25" s="1"/>
  <c r="AC65" i="18"/>
  <c r="AC71" i="18" s="1"/>
  <c r="AC77" i="18" s="1"/>
  <c r="AC83" i="18" s="1"/>
  <c r="AB28" i="5"/>
  <c r="AK28" i="5"/>
  <c r="AK4" i="19" s="1"/>
  <c r="K107" i="25"/>
  <c r="K113" i="25" s="1"/>
  <c r="K119" i="25" s="1"/>
  <c r="K125" i="25" s="1"/>
  <c r="K103" i="18"/>
  <c r="K109" i="18" s="1"/>
  <c r="K115" i="18" s="1"/>
  <c r="K121" i="18" s="1"/>
  <c r="K175" i="25"/>
  <c r="K181" i="25" s="1"/>
  <c r="K187" i="25" s="1"/>
  <c r="K193" i="25" s="1"/>
  <c r="G90" i="20"/>
  <c r="G83" i="27"/>
  <c r="G89" i="27" s="1"/>
  <c r="G185" i="27"/>
  <c r="G191" i="27" s="1"/>
  <c r="G62" i="32"/>
  <c r="D16" i="18"/>
  <c r="D18" i="18" s="1"/>
  <c r="G165" i="18"/>
  <c r="AA192" i="32"/>
  <c r="AL26" i="18"/>
  <c r="AL33" i="18" s="1"/>
  <c r="AL41" i="18" s="1"/>
  <c r="AL170" i="25"/>
  <c r="AL176" i="25" s="1"/>
  <c r="AL182" i="25" s="1"/>
  <c r="AL188" i="25" s="1"/>
  <c r="AL72" i="25"/>
  <c r="AL78" i="25" s="1"/>
  <c r="AL84" i="25" s="1"/>
  <c r="AL90" i="25" s="1"/>
  <c r="AA125" i="20"/>
  <c r="N104" i="53"/>
  <c r="N105" i="53"/>
  <c r="U105" i="53"/>
  <c r="U104" i="53"/>
  <c r="AS31" i="53"/>
  <c r="A218" i="53"/>
  <c r="E298" i="53" s="1"/>
  <c r="AS41" i="53"/>
  <c r="F89" i="19"/>
  <c r="N115" i="53"/>
  <c r="N114" i="53"/>
  <c r="T139" i="11"/>
  <c r="AC84" i="33"/>
  <c r="AC22" i="33" s="1"/>
  <c r="AC40" i="33" s="1"/>
  <c r="AC58" i="33" s="1"/>
  <c r="R99" i="53"/>
  <c r="R119" i="53"/>
  <c r="AI111" i="28"/>
  <c r="AJ12" i="11"/>
  <c r="AM12" i="11" s="1"/>
  <c r="M123" i="11"/>
  <c r="V68" i="33"/>
  <c r="V6" i="33" s="1"/>
  <c r="V24" i="33" s="1"/>
  <c r="V42" i="33" s="1"/>
  <c r="V84" i="33"/>
  <c r="V22" i="33" s="1"/>
  <c r="V40" i="33" s="1"/>
  <c r="V58" i="33" s="1"/>
  <c r="M139" i="11"/>
  <c r="T83" i="26"/>
  <c r="T89" i="26" s="1"/>
  <c r="F80" i="52"/>
  <c r="I98" i="32"/>
  <c r="I117" i="32"/>
  <c r="F52" i="19"/>
  <c r="F90" i="19" s="1"/>
  <c r="I136" i="32"/>
  <c r="I127" i="32"/>
  <c r="I80" i="32"/>
  <c r="I108" i="32"/>
  <c r="I89" i="32"/>
  <c r="W170" i="32"/>
  <c r="W171" i="32" s="1"/>
  <c r="V20" i="34" s="1"/>
  <c r="V34" i="34" s="1"/>
  <c r="W180" i="32"/>
  <c r="V19" i="34" s="1"/>
  <c r="V33" i="34" s="1"/>
  <c r="AB126" i="11"/>
  <c r="AN71" i="33"/>
  <c r="AN9" i="33" s="1"/>
  <c r="AN27" i="33" s="1"/>
  <c r="AN45" i="33" s="1"/>
  <c r="L101" i="20"/>
  <c r="L107" i="20" s="1"/>
  <c r="L113" i="20" s="1"/>
  <c r="L119" i="20" s="1"/>
  <c r="L104" i="27"/>
  <c r="L110" i="27" s="1"/>
  <c r="L207" i="27"/>
  <c r="L213" i="27" s="1"/>
  <c r="Q203" i="27"/>
  <c r="Q209" i="27" s="1"/>
  <c r="Q215" i="27" s="1"/>
  <c r="Q221" i="27" s="1"/>
  <c r="Q164" i="20"/>
  <c r="Q166" i="20" s="1"/>
  <c r="Q165" i="20" s="1"/>
  <c r="Q74" i="27"/>
  <c r="Q80" i="27" s="1"/>
  <c r="Q86" i="27" s="1"/>
  <c r="Q92" i="27" s="1"/>
  <c r="T164" i="25"/>
  <c r="T32" i="25"/>
  <c r="T131" i="25"/>
  <c r="T230" i="25"/>
  <c r="T65" i="25"/>
  <c r="T197" i="25"/>
  <c r="T98" i="25"/>
  <c r="I21" i="32"/>
  <c r="I59" i="32"/>
  <c r="I49" i="32"/>
  <c r="I12" i="32"/>
  <c r="I40" i="32"/>
  <c r="I30" i="32"/>
  <c r="I68" i="32"/>
  <c r="F74" i="52"/>
  <c r="F51" i="18"/>
  <c r="F126" i="18" s="1"/>
  <c r="F91" i="19"/>
  <c r="H47" i="20"/>
  <c r="H54" i="20" s="1"/>
  <c r="AJ4" i="28"/>
  <c r="AJ32" i="28" s="1"/>
  <c r="AJ97" i="28"/>
  <c r="X175" i="25"/>
  <c r="X181" i="25" s="1"/>
  <c r="X187" i="25" s="1"/>
  <c r="X193" i="25" s="1"/>
  <c r="X65" i="18"/>
  <c r="X71" i="18" s="1"/>
  <c r="X77" i="18" s="1"/>
  <c r="X83" i="18" s="1"/>
  <c r="X25" i="18"/>
  <c r="X32" i="18" s="1"/>
  <c r="X40" i="18" s="1"/>
  <c r="X129" i="18" s="1"/>
  <c r="AC31" i="18"/>
  <c r="AC38" i="18" s="1"/>
  <c r="AC39" i="18" s="1"/>
  <c r="AC172" i="25"/>
  <c r="AC178" i="25" s="1"/>
  <c r="AC184" i="25" s="1"/>
  <c r="AC25" i="18"/>
  <c r="AC32" i="18" s="1"/>
  <c r="AC40" i="18" s="1"/>
  <c r="AC129" i="18" s="1"/>
  <c r="Q28" i="5"/>
  <c r="AJ5" i="11"/>
  <c r="AM5" i="11" s="1"/>
  <c r="G123" i="11"/>
  <c r="O68" i="33"/>
  <c r="O6" i="33" s="1"/>
  <c r="O24" i="33" s="1"/>
  <c r="O42" i="33" s="1"/>
  <c r="AI67" i="18"/>
  <c r="AI73" i="18" s="1"/>
  <c r="AI79" i="18" s="1"/>
  <c r="AI85" i="18" s="1"/>
  <c r="AI98" i="18"/>
  <c r="AI104" i="18" s="1"/>
  <c r="AI110" i="18" s="1"/>
  <c r="AI116" i="18" s="1"/>
  <c r="AI104" i="25"/>
  <c r="AI110" i="25" s="1"/>
  <c r="AI116" i="25" s="1"/>
  <c r="AI122" i="25" s="1"/>
  <c r="K43" i="25"/>
  <c r="K49" i="25" s="1"/>
  <c r="K55" i="25" s="1"/>
  <c r="K61" i="25" s="1"/>
  <c r="K29" i="18"/>
  <c r="K36" i="18" s="1"/>
  <c r="K44" i="18" s="1"/>
  <c r="K134" i="18"/>
  <c r="K140" i="18" s="1"/>
  <c r="K146" i="18" s="1"/>
  <c r="K152" i="18" s="1"/>
  <c r="G76" i="20"/>
  <c r="G82" i="20" s="1"/>
  <c r="G88" i="20" s="1"/>
  <c r="G150" i="27"/>
  <c r="G156" i="27" s="1"/>
  <c r="J53" i="32"/>
  <c r="J54" i="32" s="1"/>
  <c r="I15" i="34" s="1"/>
  <c r="J63" i="32"/>
  <c r="I14" i="34" s="1"/>
  <c r="AA201" i="32"/>
  <c r="AL73" i="25"/>
  <c r="AL79" i="25" s="1"/>
  <c r="AL85" i="25" s="1"/>
  <c r="AL91" i="25" s="1"/>
  <c r="AL138" i="18"/>
  <c r="AL144" i="18" s="1"/>
  <c r="AL150" i="18" s="1"/>
  <c r="AL156" i="18" s="1"/>
  <c r="AL205" i="25"/>
  <c r="AL211" i="25" s="1"/>
  <c r="AL217" i="25" s="1"/>
  <c r="I105" i="53"/>
  <c r="I104" i="53"/>
  <c r="A192" i="53"/>
  <c r="AS15" i="53"/>
  <c r="Q165" i="18"/>
  <c r="AG204" i="27"/>
  <c r="AG210" i="27" s="1"/>
  <c r="AG216" i="27" s="1"/>
  <c r="AG222" i="27" s="1"/>
  <c r="AG137" i="27"/>
  <c r="AG143" i="27" s="1"/>
  <c r="AG149" i="27" s="1"/>
  <c r="AG155" i="27" s="1"/>
  <c r="AG107" i="27"/>
  <c r="AG113" i="27" s="1"/>
  <c r="AG119" i="27" s="1"/>
  <c r="AG125" i="27" s="1"/>
  <c r="R5" i="19"/>
  <c r="R8" i="19"/>
  <c r="R7" i="19"/>
  <c r="I231" i="25"/>
  <c r="I165" i="25"/>
  <c r="I198" i="25"/>
  <c r="I132" i="25"/>
  <c r="I66" i="25"/>
  <c r="I33" i="25"/>
  <c r="I99" i="25"/>
  <c r="M8" i="19"/>
  <c r="M7" i="19"/>
  <c r="M5" i="19"/>
  <c r="Q158" i="18"/>
  <c r="AB129" i="11"/>
  <c r="AN74" i="33"/>
  <c r="AN12" i="33" s="1"/>
  <c r="AN30" i="33" s="1"/>
  <c r="AN48" i="33" s="1"/>
  <c r="Q46" i="20"/>
  <c r="Q78" i="20"/>
  <c r="Q84" i="20" s="1"/>
  <c r="Q90" i="20" s="1"/>
  <c r="Q87" i="27"/>
  <c r="AE165" i="25"/>
  <c r="AE33" i="25"/>
  <c r="AE66" i="25"/>
  <c r="AE99" i="25"/>
  <c r="AE132" i="25"/>
  <c r="AE198" i="25"/>
  <c r="AE231" i="25"/>
  <c r="AA53" i="59"/>
  <c r="AA178" i="59"/>
  <c r="AA182" i="59"/>
  <c r="AA183" i="59"/>
  <c r="AA184" i="59"/>
  <c r="H227" i="27"/>
  <c r="H161" i="27"/>
  <c r="H95" i="27"/>
  <c r="H194" i="27"/>
  <c r="H128" i="27"/>
  <c r="H62" i="27"/>
  <c r="H29" i="27"/>
  <c r="AA157" i="32"/>
  <c r="AA148" i="32"/>
  <c r="AA166" i="32"/>
  <c r="AA185" i="32"/>
  <c r="AA176" i="32"/>
  <c r="AA204" i="32"/>
  <c r="X52" i="20"/>
  <c r="X126" i="20" s="1"/>
  <c r="X86" i="52"/>
  <c r="AA195" i="32"/>
  <c r="AF65" i="32"/>
  <c r="AF27" i="32"/>
  <c r="AF46" i="32"/>
  <c r="AF9" i="32"/>
  <c r="AC71" i="52"/>
  <c r="AF18" i="32"/>
  <c r="AF37" i="32"/>
  <c r="AC48" i="18"/>
  <c r="I183" i="32"/>
  <c r="AE195" i="25"/>
  <c r="AE129" i="25"/>
  <c r="AE162" i="25"/>
  <c r="AE30" i="25"/>
  <c r="AE63" i="25"/>
  <c r="AE228" i="25"/>
  <c r="AE96" i="25"/>
  <c r="G132" i="11"/>
  <c r="O77" i="33"/>
  <c r="O15" i="33" s="1"/>
  <c r="O33" i="33" s="1"/>
  <c r="O51" i="33" s="1"/>
  <c r="J180" i="32"/>
  <c r="I19" i="34" s="1"/>
  <c r="I33" i="34" s="1"/>
  <c r="J170" i="32"/>
  <c r="J171" i="32" s="1"/>
  <c r="I20" i="34" s="1"/>
  <c r="I34" i="34" s="1"/>
  <c r="X96" i="27"/>
  <c r="X63" i="27"/>
  <c r="X30" i="27"/>
  <c r="X195" i="27"/>
  <c r="X162" i="27"/>
  <c r="X129" i="27"/>
  <c r="X228" i="27"/>
  <c r="G73" i="52"/>
  <c r="G50" i="18"/>
  <c r="J39" i="32"/>
  <c r="J67" i="32"/>
  <c r="J20" i="32"/>
  <c r="J58" i="32"/>
  <c r="J29" i="32"/>
  <c r="J11" i="32"/>
  <c r="J48" i="32"/>
  <c r="X105" i="53"/>
  <c r="X104" i="53"/>
  <c r="AG208" i="27"/>
  <c r="AG214" i="27" s="1"/>
  <c r="AG220" i="27" s="1"/>
  <c r="AG226" i="27" s="1"/>
  <c r="H87" i="20"/>
  <c r="AC81" i="33"/>
  <c r="AC19" i="33" s="1"/>
  <c r="AC37" i="33" s="1"/>
  <c r="AC55" i="33" s="1"/>
  <c r="T136" i="11"/>
  <c r="AK99" i="53"/>
  <c r="AK119" i="53"/>
  <c r="AM55" i="50"/>
  <c r="AM108" i="50"/>
  <c r="T118" i="26"/>
  <c r="T124" i="26" s="1"/>
  <c r="M129" i="11"/>
  <c r="V74" i="33"/>
  <c r="V12" i="33" s="1"/>
  <c r="V30" i="33" s="1"/>
  <c r="V48" i="33" s="1"/>
  <c r="J92" i="19"/>
  <c r="J94" i="19" s="1"/>
  <c r="M92" i="32"/>
  <c r="P163" i="18"/>
  <c r="P90" i="18"/>
  <c r="L133" i="11"/>
  <c r="U78" i="33"/>
  <c r="U16" i="33" s="1"/>
  <c r="U34" i="33" s="1"/>
  <c r="U52" i="33" s="1"/>
  <c r="I3" i="20"/>
  <c r="K4" i="34"/>
  <c r="T149" i="19"/>
  <c r="T155" i="19" s="1"/>
  <c r="AN161" i="20"/>
  <c r="F76" i="52"/>
  <c r="F93" i="19"/>
  <c r="I113" i="32"/>
  <c r="I132" i="32"/>
  <c r="I123" i="32"/>
  <c r="I85" i="32"/>
  <c r="I94" i="32"/>
  <c r="I76" i="32"/>
  <c r="I104" i="32"/>
  <c r="F47" i="19"/>
  <c r="F54" i="19" s="1"/>
  <c r="F48" i="19"/>
  <c r="AA160" i="20"/>
  <c r="AB132" i="11"/>
  <c r="AN77" i="33"/>
  <c r="AN15" i="33" s="1"/>
  <c r="AN33" i="33" s="1"/>
  <c r="AN51" i="33" s="1"/>
  <c r="K29" i="33"/>
  <c r="E32" i="33"/>
  <c r="AN126" i="20"/>
  <c r="AF100" i="25"/>
  <c r="AF166" i="25"/>
  <c r="AF67" i="25"/>
  <c r="AF232" i="25"/>
  <c r="AF199" i="25"/>
  <c r="Q113" i="20"/>
  <c r="Q119" i="20" s="1"/>
  <c r="Q41" i="20"/>
  <c r="Q52" i="27"/>
  <c r="Q58" i="27" s="1"/>
  <c r="AF122" i="20"/>
  <c r="AD6" i="3"/>
  <c r="W6" i="3"/>
  <c r="Z20" i="11"/>
  <c r="Q20" i="11"/>
  <c r="AC20" i="11"/>
  <c r="W20" i="11"/>
  <c r="T20" i="11"/>
  <c r="AF20" i="11"/>
  <c r="X161" i="20"/>
  <c r="I142" i="11"/>
  <c r="I144" i="11" s="1"/>
  <c r="F26" i="52" s="1"/>
  <c r="X109" i="25"/>
  <c r="X115" i="25" s="1"/>
  <c r="X121" i="25" s="1"/>
  <c r="X127" i="25" s="1"/>
  <c r="X203" i="25"/>
  <c r="X209" i="25" s="1"/>
  <c r="X215" i="25" s="1"/>
  <c r="X221" i="25" s="1"/>
  <c r="X27" i="18"/>
  <c r="X34" i="18" s="1"/>
  <c r="X42" i="18" s="1"/>
  <c r="T97" i="25"/>
  <c r="T130" i="25"/>
  <c r="T64" i="25"/>
  <c r="T229" i="25"/>
  <c r="T196" i="25"/>
  <c r="T163" i="25"/>
  <c r="AC39" i="25"/>
  <c r="AC45" i="25" s="1"/>
  <c r="AC51" i="25" s="1"/>
  <c r="AC57" i="25" s="1"/>
  <c r="AC171" i="25"/>
  <c r="AC177" i="25" s="1"/>
  <c r="AC183" i="25" s="1"/>
  <c r="AC189" i="25" s="1"/>
  <c r="AC134" i="18"/>
  <c r="AC140" i="18" s="1"/>
  <c r="AC146" i="18" s="1"/>
  <c r="AC152" i="18" s="1"/>
  <c r="Z4" i="11"/>
  <c r="Q4" i="11"/>
  <c r="T4" i="11"/>
  <c r="AF4" i="11"/>
  <c r="W4" i="11"/>
  <c r="AC4" i="11"/>
  <c r="O74" i="33"/>
  <c r="O12" i="33" s="1"/>
  <c r="O30" i="33" s="1"/>
  <c r="O48" i="33" s="1"/>
  <c r="G129" i="11"/>
  <c r="K206" i="25"/>
  <c r="K212" i="25" s="1"/>
  <c r="K218" i="25" s="1"/>
  <c r="K224" i="25" s="1"/>
  <c r="K73" i="25"/>
  <c r="K79" i="25" s="1"/>
  <c r="K85" i="25" s="1"/>
  <c r="K91" i="25" s="1"/>
  <c r="K204" i="25"/>
  <c r="K210" i="25" s="1"/>
  <c r="K216" i="25" s="1"/>
  <c r="K222" i="25" s="1"/>
  <c r="L15" i="19"/>
  <c r="L6" i="19"/>
  <c r="L12" i="19"/>
  <c r="L18" i="19"/>
  <c r="AE162" i="18"/>
  <c r="W46" i="32"/>
  <c r="J12" i="32"/>
  <c r="J40" i="32"/>
  <c r="J49" i="32"/>
  <c r="J68" i="32"/>
  <c r="J59" i="32"/>
  <c r="J30" i="32"/>
  <c r="G74" i="52"/>
  <c r="J21" i="32"/>
  <c r="G51" i="18"/>
  <c r="G90" i="18" s="1"/>
  <c r="AL138" i="25"/>
  <c r="AL144" i="25" s="1"/>
  <c r="AL150" i="25" s="1"/>
  <c r="AL156" i="25" s="1"/>
  <c r="AL64" i="18"/>
  <c r="AL70" i="18" s="1"/>
  <c r="AL76" i="18" s="1"/>
  <c r="AL82" i="18" s="1"/>
  <c r="AL88" i="18" s="1"/>
  <c r="AL174" i="25"/>
  <c r="AL180" i="25" s="1"/>
  <c r="AL186" i="25" s="1"/>
  <c r="AL192" i="25" s="1"/>
  <c r="U38" i="32"/>
  <c r="Q105" i="53"/>
  <c r="Q104" i="53"/>
  <c r="T63" i="32"/>
  <c r="S14" i="34" s="1"/>
  <c r="T53" i="32"/>
  <c r="T54" i="32" s="1"/>
  <c r="S15" i="34" s="1"/>
  <c r="M138" i="11"/>
  <c r="V83" i="33"/>
  <c r="V21" i="33" s="1"/>
  <c r="V39" i="33" s="1"/>
  <c r="V57" i="33" s="1"/>
  <c r="T51" i="26"/>
  <c r="T57" i="26" s="1"/>
  <c r="AG198" i="25"/>
  <c r="AG231" i="25"/>
  <c r="AG165" i="25"/>
  <c r="AG132" i="25"/>
  <c r="AG66" i="25"/>
  <c r="AG33" i="25"/>
  <c r="AG99" i="25"/>
  <c r="L136" i="11"/>
  <c r="U81" i="33"/>
  <c r="U19" i="33" s="1"/>
  <c r="U37" i="33" s="1"/>
  <c r="U55" i="33" s="1"/>
  <c r="T153" i="26"/>
  <c r="T159" i="26" s="1"/>
  <c r="G124" i="11"/>
  <c r="O69" i="33"/>
  <c r="O7" i="33" s="1"/>
  <c r="O25" i="33" s="1"/>
  <c r="O43" i="33" s="1"/>
  <c r="AK5" i="11"/>
  <c r="AN5" i="11" s="1"/>
  <c r="X5" i="19"/>
  <c r="X8" i="19"/>
  <c r="X7" i="19"/>
  <c r="AB123" i="11"/>
  <c r="AJ30" i="11"/>
  <c r="AM30" i="11" s="1"/>
  <c r="AN68" i="33"/>
  <c r="AN6" i="33" s="1"/>
  <c r="AN24" i="33" s="1"/>
  <c r="AN42" i="33" s="1"/>
  <c r="AN91" i="20"/>
  <c r="Q50" i="27"/>
  <c r="Q56" i="27" s="1"/>
  <c r="Q44" i="20"/>
  <c r="Q186" i="27"/>
  <c r="Q192" i="27" s="1"/>
  <c r="O142" i="11"/>
  <c r="AQ128" i="11"/>
  <c r="AH73" i="33"/>
  <c r="AH11" i="33" s="1"/>
  <c r="AH29" i="33" s="1"/>
  <c r="AH47" i="33" s="1"/>
  <c r="T199" i="32"/>
  <c r="S21" i="34" s="1"/>
  <c r="S35" i="34" s="1"/>
  <c r="T189" i="32"/>
  <c r="T190" i="32" s="1"/>
  <c r="S22" i="34" s="1"/>
  <c r="S36" i="34" s="1"/>
  <c r="X111" i="32"/>
  <c r="U128" i="19"/>
  <c r="U130" i="19" s="1"/>
  <c r="U207" i="26"/>
  <c r="U213" i="26" s="1"/>
  <c r="U8" i="26"/>
  <c r="U14" i="26" s="1"/>
  <c r="U164" i="19"/>
  <c r="U166" i="19" s="1"/>
  <c r="U101" i="19"/>
  <c r="U107" i="19" s="1"/>
  <c r="U99" i="19"/>
  <c r="U105" i="19" s="1"/>
  <c r="U139" i="19"/>
  <c r="U145" i="19" s="1"/>
  <c r="U7" i="26"/>
  <c r="U13" i="26" s="1"/>
  <c r="U134" i="19"/>
  <c r="U140" i="19" s="1"/>
  <c r="U43" i="26"/>
  <c r="U49" i="26" s="1"/>
  <c r="U41" i="26"/>
  <c r="U47" i="26" s="1"/>
  <c r="U29" i="19"/>
  <c r="U36" i="19" s="1"/>
  <c r="U100" i="19"/>
  <c r="U106" i="19" s="1"/>
  <c r="U137" i="19"/>
  <c r="U143" i="19" s="1"/>
  <c r="U135" i="19"/>
  <c r="U141" i="19" s="1"/>
  <c r="U138" i="19"/>
  <c r="U144" i="19" s="1"/>
  <c r="U206" i="26"/>
  <c r="U212" i="26" s="1"/>
  <c r="U139" i="26"/>
  <c r="U145" i="26" s="1"/>
  <c r="U72" i="26"/>
  <c r="U78" i="26" s="1"/>
  <c r="U65" i="19"/>
  <c r="U71" i="19" s="1"/>
  <c r="U140" i="26"/>
  <c r="U146" i="26" s="1"/>
  <c r="U142" i="26"/>
  <c r="U148" i="26" s="1"/>
  <c r="U171" i="26"/>
  <c r="U177" i="26" s="1"/>
  <c r="U173" i="26"/>
  <c r="U179" i="26" s="1"/>
  <c r="U40" i="26"/>
  <c r="U46" i="26" s="1"/>
  <c r="U170" i="26"/>
  <c r="U176" i="26" s="1"/>
  <c r="U98" i="19"/>
  <c r="U104" i="19" s="1"/>
  <c r="U105" i="26"/>
  <c r="U111" i="26" s="1"/>
  <c r="U138" i="26"/>
  <c r="U144" i="26" s="1"/>
  <c r="U39" i="26"/>
  <c r="U45" i="26" s="1"/>
  <c r="U174" i="26"/>
  <c r="U180" i="26" s="1"/>
  <c r="U16" i="19"/>
  <c r="U102" i="19" s="1"/>
  <c r="U108" i="19" s="1"/>
  <c r="U141" i="26"/>
  <c r="U147" i="26" s="1"/>
  <c r="Y230" i="25"/>
  <c r="Y131" i="25"/>
  <c r="Y197" i="25"/>
  <c r="Y164" i="25"/>
  <c r="Y98" i="25"/>
  <c r="Y32" i="25"/>
  <c r="Y65" i="25"/>
  <c r="F159" i="19"/>
  <c r="Z66" i="32"/>
  <c r="Z19" i="32"/>
  <c r="Z28" i="32"/>
  <c r="Z57" i="32"/>
  <c r="W72" i="52"/>
  <c r="Z38" i="32"/>
  <c r="Z47" i="32"/>
  <c r="W49" i="18"/>
  <c r="Z10" i="32"/>
  <c r="AD6" i="1"/>
  <c r="W6" i="1"/>
  <c r="AJ32" i="20"/>
  <c r="AJ39" i="20" s="1"/>
  <c r="AJ40" i="20" s="1"/>
  <c r="H131" i="32"/>
  <c r="G28" i="34" s="1"/>
  <c r="G42" i="34" s="1"/>
  <c r="H121" i="32"/>
  <c r="H122" i="32" s="1"/>
  <c r="G29" i="34" s="1"/>
  <c r="G43" i="34" s="1"/>
  <c r="Q163" i="18"/>
  <c r="X107" i="25"/>
  <c r="X113" i="25" s="1"/>
  <c r="X119" i="25" s="1"/>
  <c r="X125" i="25" s="1"/>
  <c r="X30" i="18"/>
  <c r="X37" i="18" s="1"/>
  <c r="X45" i="18" s="1"/>
  <c r="X10" i="25"/>
  <c r="X16" i="25" s="1"/>
  <c r="X22" i="25" s="1"/>
  <c r="X28" i="25" s="1"/>
  <c r="X87" i="52"/>
  <c r="AA149" i="32"/>
  <c r="AA205" i="32"/>
  <c r="X53" i="20"/>
  <c r="AA186" i="32"/>
  <c r="AA177" i="32"/>
  <c r="AA167" i="32"/>
  <c r="AA196" i="32"/>
  <c r="AA158" i="32"/>
  <c r="AC7" i="25"/>
  <c r="AC13" i="25" s="1"/>
  <c r="AC19" i="25" s="1"/>
  <c r="AC25" i="25" s="1"/>
  <c r="AC72" i="25"/>
  <c r="AC78" i="25" s="1"/>
  <c r="AC84" i="25" s="1"/>
  <c r="AC90" i="25" s="1"/>
  <c r="AC164" i="18"/>
  <c r="AC166" i="18" s="1"/>
  <c r="AC165" i="18" s="1"/>
  <c r="AV4" i="5"/>
  <c r="AI17" i="52" s="1"/>
  <c r="O71" i="33"/>
  <c r="O9" i="33" s="1"/>
  <c r="O27" i="33" s="1"/>
  <c r="O45" i="33" s="1"/>
  <c r="G126" i="11"/>
  <c r="AI72" i="52"/>
  <c r="AL66" i="32"/>
  <c r="AL47" i="32"/>
  <c r="AL28" i="32"/>
  <c r="AL10" i="32"/>
  <c r="AI49" i="18"/>
  <c r="AL19" i="32"/>
  <c r="AL38" i="32"/>
  <c r="AL57" i="32"/>
  <c r="K171" i="25"/>
  <c r="K177" i="25" s="1"/>
  <c r="K183" i="25" s="1"/>
  <c r="K41" i="25"/>
  <c r="K47" i="25" s="1"/>
  <c r="K53" i="25" s="1"/>
  <c r="K59" i="25" s="1"/>
  <c r="K62" i="18"/>
  <c r="K68" i="18" s="1"/>
  <c r="K74" i="18" s="1"/>
  <c r="K80" i="18" s="1"/>
  <c r="G20" i="27"/>
  <c r="G26" i="27" s="1"/>
  <c r="G149" i="20"/>
  <c r="G155" i="20" s="1"/>
  <c r="G161" i="20" s="1"/>
  <c r="AE87" i="18"/>
  <c r="W122" i="18"/>
  <c r="G75" i="52"/>
  <c r="J13" i="32"/>
  <c r="J41" i="32"/>
  <c r="J60" i="32"/>
  <c r="J69" i="32"/>
  <c r="G52" i="18"/>
  <c r="J22" i="32"/>
  <c r="J31" i="32"/>
  <c r="J50" i="32"/>
  <c r="AL171" i="25"/>
  <c r="AL177" i="25" s="1"/>
  <c r="AL183" i="25" s="1"/>
  <c r="AL189" i="25" s="1"/>
  <c r="AL76" i="25"/>
  <c r="AL82" i="25" s="1"/>
  <c r="AL88" i="25" s="1"/>
  <c r="AL94" i="25" s="1"/>
  <c r="AL31" i="18"/>
  <c r="AL38" i="18" s="1"/>
  <c r="AL39" i="18" s="1"/>
  <c r="AD136" i="11"/>
  <c r="AP81" i="33"/>
  <c r="AP19" i="33" s="1"/>
  <c r="AP37" i="33" s="1"/>
  <c r="AP55" i="33" s="1"/>
  <c r="AF105" i="53"/>
  <c r="AF104" i="53"/>
  <c r="AH76" i="33"/>
  <c r="AH14" i="33" s="1"/>
  <c r="AH32" i="33" s="1"/>
  <c r="AH50" i="33" s="1"/>
  <c r="AQ131" i="11"/>
  <c r="F70" i="52"/>
  <c r="I45" i="32"/>
  <c r="F93" i="18"/>
  <c r="I26" i="32"/>
  <c r="F46" i="18"/>
  <c r="F53" i="18" s="1"/>
  <c r="F47" i="18"/>
  <c r="I64" i="32"/>
  <c r="I8" i="32"/>
  <c r="I36" i="32"/>
  <c r="I17" i="32"/>
  <c r="I55" i="32"/>
  <c r="F129" i="18"/>
  <c r="U13" i="19"/>
  <c r="X130" i="32" s="1"/>
  <c r="U23" i="19"/>
  <c r="R67" i="25"/>
  <c r="R34" i="25"/>
  <c r="R166" i="25"/>
  <c r="R232" i="25"/>
  <c r="R199" i="25"/>
  <c r="R100" i="25"/>
  <c r="R133" i="25"/>
  <c r="AL141" i="28"/>
  <c r="AI141" i="28"/>
  <c r="AB80" i="33"/>
  <c r="AB18" i="33" s="1"/>
  <c r="AB36" i="33" s="1"/>
  <c r="AB54" i="33" s="1"/>
  <c r="R135" i="11"/>
  <c r="AI24" i="11"/>
  <c r="AL24" i="11" s="1"/>
  <c r="R163" i="18"/>
  <c r="AI8" i="19"/>
  <c r="AI7" i="19"/>
  <c r="AI5" i="19"/>
  <c r="O83" i="33"/>
  <c r="O21" i="33" s="1"/>
  <c r="O39" i="33" s="1"/>
  <c r="O57" i="33" s="1"/>
  <c r="G138" i="11"/>
  <c r="AL34" i="32"/>
  <c r="AL35" i="32" s="1"/>
  <c r="D13" i="34" s="1"/>
  <c r="AL44" i="32"/>
  <c r="D12" i="34" s="1"/>
  <c r="O92" i="32"/>
  <c r="L92" i="19"/>
  <c r="L94" i="19" s="1"/>
  <c r="G124" i="20"/>
  <c r="G87" i="52"/>
  <c r="J186" i="32"/>
  <c r="J167" i="32"/>
  <c r="J158" i="32"/>
  <c r="J205" i="32"/>
  <c r="J177" i="32"/>
  <c r="J196" i="32"/>
  <c r="G53" i="20"/>
  <c r="G91" i="20" s="1"/>
  <c r="X89" i="20"/>
  <c r="J27" i="32"/>
  <c r="J9" i="32"/>
  <c r="J56" i="32"/>
  <c r="J46" i="32"/>
  <c r="J65" i="32"/>
  <c r="G71" i="52"/>
  <c r="J37" i="32"/>
  <c r="J18" i="32"/>
  <c r="G48" i="18"/>
  <c r="G159" i="18" s="1"/>
  <c r="G126" i="18"/>
  <c r="AL108" i="25"/>
  <c r="AL114" i="25" s="1"/>
  <c r="AL120" i="25" s="1"/>
  <c r="AL126" i="25" s="1"/>
  <c r="AL65" i="18"/>
  <c r="AL71" i="18" s="1"/>
  <c r="AL77" i="18" s="1"/>
  <c r="AL83" i="18" s="1"/>
  <c r="AL139" i="25"/>
  <c r="AL145" i="25" s="1"/>
  <c r="AL151" i="25" s="1"/>
  <c r="AL157" i="25" s="1"/>
  <c r="Q5" i="19"/>
  <c r="Q8" i="19"/>
  <c r="Q7" i="19"/>
  <c r="AP80" i="33"/>
  <c r="AP18" i="33" s="1"/>
  <c r="AP36" i="33" s="1"/>
  <c r="AP54" i="33" s="1"/>
  <c r="AD135" i="11"/>
  <c r="F163" i="20"/>
  <c r="AP84" i="33"/>
  <c r="AP22" i="33" s="1"/>
  <c r="AP40" i="33" s="1"/>
  <c r="AP58" i="33" s="1"/>
  <c r="AD139" i="11"/>
  <c r="R64" i="25"/>
  <c r="R229" i="25"/>
  <c r="R196" i="25"/>
  <c r="R130" i="25"/>
  <c r="R97" i="25"/>
  <c r="R163" i="25"/>
  <c r="R31" i="25"/>
  <c r="AL105" i="53"/>
  <c r="AL104" i="53"/>
  <c r="AD92" i="32"/>
  <c r="AA92" i="19"/>
  <c r="AA94" i="19" s="1"/>
  <c r="AJ180" i="32"/>
  <c r="AM19" i="34" s="1"/>
  <c r="AM33" i="34" s="1"/>
  <c r="AJ170" i="32"/>
  <c r="AJ171" i="32" s="1"/>
  <c r="AM20" i="34" s="1"/>
  <c r="AM34" i="34" s="1"/>
  <c r="G161" i="18"/>
  <c r="T198" i="25"/>
  <c r="T165" i="25"/>
  <c r="T33" i="25"/>
  <c r="T66" i="25"/>
  <c r="T231" i="25"/>
  <c r="T132" i="25"/>
  <c r="T99" i="25"/>
  <c r="AM99" i="53"/>
  <c r="AM119" i="53"/>
  <c r="Q34" i="32"/>
  <c r="Q35" i="32" s="1"/>
  <c r="Q13" i="34" s="1"/>
  <c r="Q44" i="32"/>
  <c r="Q12" i="34" s="1"/>
  <c r="AH142" i="11"/>
  <c r="AH144" i="11" s="1"/>
  <c r="AM109" i="50"/>
  <c r="AM72" i="50"/>
  <c r="AP180" i="32"/>
  <c r="AJ19" i="34" s="1"/>
  <c r="AJ33" i="34" s="1"/>
  <c r="AP170" i="32"/>
  <c r="AP171" i="32" s="1"/>
  <c r="AJ20" i="34" s="1"/>
  <c r="AJ34" i="34" s="1"/>
  <c r="U63" i="32"/>
  <c r="T14" i="34" s="1"/>
  <c r="U53" i="32"/>
  <c r="U54" i="32" s="1"/>
  <c r="T15" i="34" s="1"/>
  <c r="AM161" i="59"/>
  <c r="AJ49" i="32"/>
  <c r="U84" i="33"/>
  <c r="U22" i="33" s="1"/>
  <c r="U40" i="33" s="1"/>
  <c r="U58" i="33" s="1"/>
  <c r="L139" i="11"/>
  <c r="AF198" i="25"/>
  <c r="AF66" i="25"/>
  <c r="AF231" i="25"/>
  <c r="AF132" i="25"/>
  <c r="AF165" i="25"/>
  <c r="AF33" i="25"/>
  <c r="O72" i="33"/>
  <c r="O10" i="33" s="1"/>
  <c r="O28" i="33" s="1"/>
  <c r="O46" i="33" s="1"/>
  <c r="G127" i="11"/>
  <c r="C53" i="33"/>
  <c r="D53" i="33" s="1"/>
  <c r="D35" i="33"/>
  <c r="AN83" i="33"/>
  <c r="AN21" i="33" s="1"/>
  <c r="AN39" i="33" s="1"/>
  <c r="AN57" i="33" s="1"/>
  <c r="AB138" i="11"/>
  <c r="AA50" i="28"/>
  <c r="AA177" i="28"/>
  <c r="AA124" i="20"/>
  <c r="L65" i="20"/>
  <c r="L71" i="20" s="1"/>
  <c r="L76" i="27"/>
  <c r="L82" i="27" s="1"/>
  <c r="L88" i="27" s="1"/>
  <c r="L94" i="27" s="1"/>
  <c r="Q137" i="27"/>
  <c r="Q143" i="27" s="1"/>
  <c r="Q149" i="27" s="1"/>
  <c r="Q155" i="27" s="1"/>
  <c r="Q102" i="20"/>
  <c r="Q108" i="20" s="1"/>
  <c r="Q114" i="20" s="1"/>
  <c r="Q120" i="20" s="1"/>
  <c r="Q126" i="20" s="1"/>
  <c r="H86" i="20"/>
  <c r="N231" i="27"/>
  <c r="N198" i="27"/>
  <c r="N165" i="27"/>
  <c r="N33" i="27"/>
  <c r="N132" i="27"/>
  <c r="N99" i="27"/>
  <c r="N66" i="27"/>
  <c r="AN89" i="20"/>
  <c r="AQ125" i="11"/>
  <c r="AH70" i="33"/>
  <c r="AH8" i="33" s="1"/>
  <c r="AH26" i="33" s="1"/>
  <c r="AH44" i="33" s="1"/>
  <c r="AM109" i="53"/>
  <c r="W58" i="32"/>
  <c r="AA195" i="27"/>
  <c r="AA96" i="27"/>
  <c r="AA63" i="27"/>
  <c r="AA30" i="27"/>
  <c r="AA228" i="27"/>
  <c r="AA129" i="27"/>
  <c r="Z65" i="32"/>
  <c r="W71" i="52"/>
  <c r="Z27" i="32"/>
  <c r="Z46" i="32"/>
  <c r="Z9" i="32"/>
  <c r="Z56" i="32"/>
  <c r="Z37" i="32"/>
  <c r="Z18" i="32"/>
  <c r="W48" i="18"/>
  <c r="T21" i="32"/>
  <c r="Q74" i="52"/>
  <c r="T68" i="32"/>
  <c r="T30" i="32"/>
  <c r="Q51" i="18"/>
  <c r="Q90" i="18" s="1"/>
  <c r="T12" i="32"/>
  <c r="T40" i="32"/>
  <c r="T49" i="32"/>
  <c r="T59" i="32"/>
  <c r="N90" i="20"/>
  <c r="AB83" i="33"/>
  <c r="AB21" i="33" s="1"/>
  <c r="AB39" i="33" s="1"/>
  <c r="AB57" i="33" s="1"/>
  <c r="R138" i="11"/>
  <c r="X71" i="25"/>
  <c r="X77" i="25" s="1"/>
  <c r="X83" i="25" s="1"/>
  <c r="X89" i="25" s="1"/>
  <c r="X100" i="18"/>
  <c r="X106" i="18" s="1"/>
  <c r="X112" i="18" s="1"/>
  <c r="X118" i="18" s="1"/>
  <c r="X173" i="25"/>
  <c r="X179" i="25" s="1"/>
  <c r="X185" i="25" s="1"/>
  <c r="X191" i="25" s="1"/>
  <c r="T44" i="59"/>
  <c r="T173" i="59"/>
  <c r="T172" i="59"/>
  <c r="T169" i="59"/>
  <c r="AC66" i="18"/>
  <c r="AC72" i="18" s="1"/>
  <c r="AC78" i="18" s="1"/>
  <c r="AC84" i="18" s="1"/>
  <c r="AC90" i="18" s="1"/>
  <c r="AC109" i="25"/>
  <c r="AC115" i="25" s="1"/>
  <c r="AC121" i="25" s="1"/>
  <c r="AF44" i="32"/>
  <c r="AH12" i="34" s="1"/>
  <c r="AF34" i="32"/>
  <c r="AF35" i="32" s="1"/>
  <c r="AH13" i="34" s="1"/>
  <c r="S4" i="11"/>
  <c r="Y4" i="11"/>
  <c r="P4" i="11"/>
  <c r="AE4" i="11"/>
  <c r="V4" i="11"/>
  <c r="AB4" i="11"/>
  <c r="AA93" i="20"/>
  <c r="O80" i="33"/>
  <c r="O18" i="33" s="1"/>
  <c r="O36" i="33" s="1"/>
  <c r="O54" i="33" s="1"/>
  <c r="G135" i="11"/>
  <c r="AI101" i="18"/>
  <c r="AI107" i="18" s="1"/>
  <c r="AI113" i="18" s="1"/>
  <c r="AI119" i="18" s="1"/>
  <c r="AI25" i="18"/>
  <c r="AI32" i="18" s="1"/>
  <c r="AI40" i="18" s="1"/>
  <c r="K140" i="25"/>
  <c r="K146" i="25" s="1"/>
  <c r="K152" i="25" s="1"/>
  <c r="K158" i="25" s="1"/>
  <c r="K27" i="18"/>
  <c r="K34" i="18" s="1"/>
  <c r="K42" i="18" s="1"/>
  <c r="K207" i="25"/>
  <c r="K213" i="25" s="1"/>
  <c r="K219" i="25" s="1"/>
  <c r="K225" i="25" s="1"/>
  <c r="D164" i="18"/>
  <c r="D166" i="18" s="1"/>
  <c r="D165" i="18" s="1"/>
  <c r="G22" i="27"/>
  <c r="G28" i="27" s="1"/>
  <c r="G55" i="27"/>
  <c r="G61" i="27" s="1"/>
  <c r="G54" i="27"/>
  <c r="AV28" i="5"/>
  <c r="AK17" i="52" s="1"/>
  <c r="J19" i="32"/>
  <c r="J47" i="32"/>
  <c r="J66" i="32"/>
  <c r="G49" i="18"/>
  <c r="G160" i="18" s="1"/>
  <c r="G72" i="52"/>
  <c r="J38" i="32"/>
  <c r="J57" i="32"/>
  <c r="J28" i="32"/>
  <c r="J10" i="32"/>
  <c r="AL107" i="25"/>
  <c r="AL113" i="25" s="1"/>
  <c r="AL119" i="25" s="1"/>
  <c r="AL125" i="25" s="1"/>
  <c r="AL134" i="18"/>
  <c r="AL140" i="18" s="1"/>
  <c r="AL146" i="18" s="1"/>
  <c r="AL152" i="18" s="1"/>
  <c r="AL158" i="18" s="1"/>
  <c r="AL105" i="25"/>
  <c r="AL111" i="25" s="1"/>
  <c r="AL117" i="25" s="1"/>
  <c r="AL123" i="25" s="1"/>
  <c r="F228" i="27"/>
  <c r="F96" i="27"/>
  <c r="F63" i="27"/>
  <c r="F30" i="27"/>
  <c r="F195" i="27"/>
  <c r="F162" i="27"/>
  <c r="F129" i="27"/>
  <c r="AD129" i="11"/>
  <c r="AP74" i="33"/>
  <c r="AP12" i="33" s="1"/>
  <c r="AP30" i="33" s="1"/>
  <c r="AP48" i="33" s="1"/>
  <c r="AP78" i="33"/>
  <c r="AP16" i="33" s="1"/>
  <c r="AP34" i="33" s="1"/>
  <c r="AP52" i="33" s="1"/>
  <c r="AD133" i="11"/>
  <c r="AK104" i="53"/>
  <c r="AK105" i="53"/>
  <c r="AG29" i="20"/>
  <c r="AG36" i="20" s="1"/>
  <c r="AG44" i="20" s="1"/>
  <c r="AG100" i="20"/>
  <c r="AG106" i="20" s="1"/>
  <c r="AG112" i="20" s="1"/>
  <c r="AG118" i="20" s="1"/>
  <c r="W49" i="32"/>
  <c r="AK24" i="11"/>
  <c r="AN24" i="11" s="1"/>
  <c r="AH69" i="33"/>
  <c r="AH7" i="33" s="1"/>
  <c r="AH25" i="33" s="1"/>
  <c r="AH43" i="33" s="1"/>
  <c r="AQ124" i="11"/>
  <c r="U72" i="33"/>
  <c r="U10" i="33" s="1"/>
  <c r="U28" i="33" s="1"/>
  <c r="U46" i="33" s="1"/>
  <c r="L127" i="11"/>
  <c r="O84" i="33"/>
  <c r="O22" i="33" s="1"/>
  <c r="O40" i="33" s="1"/>
  <c r="O58" i="33" s="1"/>
  <c r="G139" i="11"/>
  <c r="C38" i="33"/>
  <c r="D20" i="33"/>
  <c r="K20" i="33" s="1"/>
  <c r="Y29" i="25"/>
  <c r="Y95" i="25"/>
  <c r="Y62" i="25"/>
  <c r="Y227" i="25"/>
  <c r="Y194" i="25"/>
  <c r="Y161" i="25"/>
  <c r="Y128" i="25"/>
  <c r="X85" i="52"/>
  <c r="X51" i="20"/>
  <c r="AA194" i="32"/>
  <c r="AA175" i="32"/>
  <c r="AA165" i="32"/>
  <c r="AA203" i="32"/>
  <c r="AA184" i="32"/>
  <c r="AA147" i="32"/>
  <c r="AA156" i="32"/>
  <c r="Q184" i="27"/>
  <c r="Q190" i="27" s="1"/>
  <c r="Q83" i="27"/>
  <c r="Q89" i="27" s="1"/>
  <c r="Q151" i="27"/>
  <c r="Q157" i="27" s="1"/>
  <c r="AN162" i="59"/>
  <c r="Z229" i="25"/>
  <c r="Z196" i="25"/>
  <c r="Z130" i="25"/>
  <c r="Z163" i="25"/>
  <c r="Z97" i="25"/>
  <c r="Z31" i="25"/>
  <c r="Z64" i="25"/>
  <c r="I60" i="32"/>
  <c r="F75" i="52"/>
  <c r="I31" i="32"/>
  <c r="I41" i="32"/>
  <c r="I50" i="32"/>
  <c r="I13" i="32"/>
  <c r="I69" i="32"/>
  <c r="F52" i="18"/>
  <c r="I22" i="32"/>
  <c r="F124" i="18"/>
  <c r="U129" i="11"/>
  <c r="AD74" i="33"/>
  <c r="AD12" i="33" s="1"/>
  <c r="AD30" i="33" s="1"/>
  <c r="AD48" i="33" s="1"/>
  <c r="R129" i="11"/>
  <c r="AB74" i="33"/>
  <c r="AB12" i="33" s="1"/>
  <c r="AB30" i="33" s="1"/>
  <c r="AB48" i="33" s="1"/>
  <c r="Q124" i="18"/>
  <c r="AC72" i="52"/>
  <c r="AF66" i="32"/>
  <c r="AF10" i="32"/>
  <c r="AC49" i="18"/>
  <c r="AC160" i="18" s="1"/>
  <c r="AF47" i="32"/>
  <c r="AF19" i="32"/>
  <c r="AL173" i="59"/>
  <c r="AL44" i="59"/>
  <c r="AL174" i="59"/>
  <c r="AL175" i="59"/>
  <c r="AL169" i="59"/>
  <c r="AA130" i="11"/>
  <c r="AK75" i="33"/>
  <c r="AK13" i="33" s="1"/>
  <c r="AK31" i="33" s="1"/>
  <c r="AK49" i="33" s="1"/>
  <c r="AI165" i="18"/>
  <c r="W9" i="32"/>
  <c r="J8" i="32"/>
  <c r="J36" i="32"/>
  <c r="G70" i="52"/>
  <c r="J17" i="32"/>
  <c r="J64" i="32"/>
  <c r="G93" i="18"/>
  <c r="J45" i="32"/>
  <c r="J55" i="32"/>
  <c r="G47" i="18"/>
  <c r="G46" i="18"/>
  <c r="G53" i="18" s="1"/>
  <c r="J26" i="32"/>
  <c r="AP77" i="33"/>
  <c r="AP15" i="33" s="1"/>
  <c r="AP33" i="33" s="1"/>
  <c r="AP51" i="33" s="1"/>
  <c r="AD132" i="11"/>
  <c r="AD127" i="11"/>
  <c r="AP72" i="33"/>
  <c r="AP10" i="33" s="1"/>
  <c r="AP28" i="33" s="1"/>
  <c r="AP46" i="33" s="1"/>
  <c r="Y86" i="18"/>
  <c r="AJ104" i="53"/>
  <c r="AJ105" i="53"/>
  <c r="AA18" i="19"/>
  <c r="AA15" i="19"/>
  <c r="AA6" i="19"/>
  <c r="AA12" i="19"/>
  <c r="AH84" i="33"/>
  <c r="AH22" i="33" s="1"/>
  <c r="AH40" i="33" s="1"/>
  <c r="AH58" i="33" s="1"/>
  <c r="AQ139" i="11"/>
  <c r="AE197" i="25"/>
  <c r="AE131" i="25"/>
  <c r="AE230" i="25"/>
  <c r="AE164" i="25"/>
  <c r="AE65" i="25"/>
  <c r="AE32" i="25"/>
  <c r="AE98" i="25"/>
  <c r="Q154" i="27"/>
  <c r="Q160" i="27" s="1"/>
  <c r="Q147" i="20"/>
  <c r="Q153" i="20" s="1"/>
  <c r="Q55" i="27"/>
  <c r="Q61" i="27" s="1"/>
  <c r="AI177" i="32"/>
  <c r="AF53" i="20"/>
  <c r="AI149" i="32"/>
  <c r="AI196" i="32"/>
  <c r="AI186" i="32"/>
  <c r="AI167" i="32"/>
  <c r="AF87" i="52"/>
  <c r="AI205" i="32"/>
  <c r="AI158" i="32"/>
  <c r="AA33" i="27"/>
  <c r="AA132" i="27"/>
  <c r="AA99" i="27"/>
  <c r="AA231" i="27"/>
  <c r="AA198" i="27"/>
  <c r="AA66" i="27"/>
  <c r="AA165" i="27"/>
  <c r="AC19" i="32"/>
  <c r="F87" i="18"/>
  <c r="I131" i="32"/>
  <c r="H28" i="34" s="1"/>
  <c r="H42" i="34" s="1"/>
  <c r="I121" i="32"/>
  <c r="I122" i="32" s="1"/>
  <c r="H29" i="34" s="1"/>
  <c r="H43" i="34" s="1"/>
  <c r="AN38" i="28"/>
  <c r="AN102" i="28"/>
  <c r="W160" i="18"/>
  <c r="W88" i="18"/>
  <c r="U126" i="11"/>
  <c r="AD71" i="33"/>
  <c r="AD9" i="33" s="1"/>
  <c r="AD27" i="33" s="1"/>
  <c r="AD45" i="33" s="1"/>
  <c r="V124" i="53"/>
  <c r="V125" i="53"/>
  <c r="AB77" i="33"/>
  <c r="AB15" i="33" s="1"/>
  <c r="AB33" i="33" s="1"/>
  <c r="AB51" i="33" s="1"/>
  <c r="R132" i="11"/>
  <c r="Q123" i="18"/>
  <c r="Y158" i="18"/>
  <c r="X141" i="25"/>
  <c r="X147" i="25" s="1"/>
  <c r="X153" i="25" s="1"/>
  <c r="X159" i="25" s="1"/>
  <c r="X139" i="18"/>
  <c r="X145" i="18" s="1"/>
  <c r="X151" i="18" s="1"/>
  <c r="X157" i="18" s="1"/>
  <c r="X135" i="18"/>
  <c r="X141" i="18" s="1"/>
  <c r="X147" i="18" s="1"/>
  <c r="X153" i="18" s="1"/>
  <c r="Q87" i="18"/>
  <c r="AC107" i="25"/>
  <c r="AC113" i="25" s="1"/>
  <c r="AC119" i="25" s="1"/>
  <c r="AC125" i="25" s="1"/>
  <c r="AC43" i="25"/>
  <c r="AC49" i="25" s="1"/>
  <c r="AC55" i="25" s="1"/>
  <c r="AC61" i="25" s="1"/>
  <c r="AC63" i="18"/>
  <c r="AC69" i="18" s="1"/>
  <c r="AC75" i="18" s="1"/>
  <c r="AC81" i="18" s="1"/>
  <c r="AK69" i="33"/>
  <c r="AK7" i="33" s="1"/>
  <c r="AK25" i="33" s="1"/>
  <c r="AK43" i="33" s="1"/>
  <c r="AA124" i="11"/>
  <c r="AK27" i="11"/>
  <c r="AN27" i="11" s="1"/>
  <c r="K105" i="25"/>
  <c r="K111" i="25" s="1"/>
  <c r="K117" i="25" s="1"/>
  <c r="K123" i="25" s="1"/>
  <c r="K137" i="18"/>
  <c r="K143" i="18" s="1"/>
  <c r="K149" i="18" s="1"/>
  <c r="K155" i="18" s="1"/>
  <c r="K161" i="18" s="1"/>
  <c r="K135" i="18"/>
  <c r="K141" i="18" s="1"/>
  <c r="K147" i="18" s="1"/>
  <c r="K153" i="18" s="1"/>
  <c r="K159" i="18" s="1"/>
  <c r="Y198" i="25"/>
  <c r="Y33" i="25"/>
  <c r="Y99" i="25"/>
  <c r="Y165" i="25"/>
  <c r="Y231" i="25"/>
  <c r="Y66" i="25"/>
  <c r="Y132" i="25"/>
  <c r="G186" i="27"/>
  <c r="G192" i="27" s="1"/>
  <c r="D92" i="19"/>
  <c r="D94" i="19" s="1"/>
  <c r="G92" i="32"/>
  <c r="AL40" i="25"/>
  <c r="AL46" i="25" s="1"/>
  <c r="AL52" i="25" s="1"/>
  <c r="AL58" i="25" s="1"/>
  <c r="AL139" i="18"/>
  <c r="AL145" i="18" s="1"/>
  <c r="AL151" i="18" s="1"/>
  <c r="AL157" i="18" s="1"/>
  <c r="X123" i="20"/>
  <c r="AP83" i="33"/>
  <c r="AP21" i="33" s="1"/>
  <c r="AP39" i="33" s="1"/>
  <c r="AP57" i="33" s="1"/>
  <c r="AD138" i="11"/>
  <c r="AD130" i="11"/>
  <c r="AP75" i="33"/>
  <c r="AP13" i="33" s="1"/>
  <c r="AP31" i="33" s="1"/>
  <c r="AP49" i="33" s="1"/>
  <c r="AH199" i="32"/>
  <c r="AK21" i="34" s="1"/>
  <c r="AK35" i="34" s="1"/>
  <c r="AH189" i="32"/>
  <c r="AH190" i="32" s="1"/>
  <c r="AK22" i="34" s="1"/>
  <c r="AK36" i="34" s="1"/>
  <c r="S105" i="53"/>
  <c r="S104" i="53"/>
  <c r="AH75" i="33"/>
  <c r="AH13" i="33" s="1"/>
  <c r="AH31" i="33" s="1"/>
  <c r="AH49" i="33" s="1"/>
  <c r="AQ130" i="11"/>
  <c r="AN97" i="28"/>
  <c r="AN4" i="28"/>
  <c r="AN32" i="28" s="1"/>
  <c r="W86" i="18"/>
  <c r="U132" i="11"/>
  <c r="AD77" i="33"/>
  <c r="AD15" i="33" s="1"/>
  <c r="AD33" i="33" s="1"/>
  <c r="AD51" i="33" s="1"/>
  <c r="V94" i="53"/>
  <c r="V95" i="53"/>
  <c r="AM53" i="59"/>
  <c r="AM183" i="59"/>
  <c r="AM184" i="59"/>
  <c r="AM178" i="59"/>
  <c r="AM182" i="59"/>
  <c r="AM181" i="59"/>
  <c r="AM179" i="59"/>
  <c r="R123" i="11"/>
  <c r="AB68" i="33"/>
  <c r="AB6" i="33" s="1"/>
  <c r="AB24" i="33" s="1"/>
  <c r="AB42" i="33" s="1"/>
  <c r="AJ18" i="11"/>
  <c r="AM18" i="11" s="1"/>
  <c r="O56" i="18"/>
  <c r="O58" i="18" s="1"/>
  <c r="O43" i="11"/>
  <c r="P43" i="11" s="1"/>
  <c r="Q126" i="18"/>
  <c r="M46" i="32"/>
  <c r="T48" i="32"/>
  <c r="AC74" i="52"/>
  <c r="AF30" i="32"/>
  <c r="AF59" i="32"/>
  <c r="AF12" i="32"/>
  <c r="AC51" i="18"/>
  <c r="AF49" i="32"/>
  <c r="AF21" i="32"/>
  <c r="AF68" i="32"/>
  <c r="AF40" i="32"/>
  <c r="AA136" i="11"/>
  <c r="AK81" i="33"/>
  <c r="AK19" i="33" s="1"/>
  <c r="AK37" i="33" s="1"/>
  <c r="AK55" i="33" s="1"/>
  <c r="AL20" i="32"/>
  <c r="AL11" i="32"/>
  <c r="AL39" i="32"/>
  <c r="AI50" i="18"/>
  <c r="AI73" i="52"/>
  <c r="AL29" i="32"/>
  <c r="AL58" i="32"/>
  <c r="AL48" i="32"/>
  <c r="AL67" i="32"/>
  <c r="K89" i="18"/>
  <c r="D12" i="19"/>
  <c r="D18" i="19"/>
  <c r="D6" i="19"/>
  <c r="D15" i="19"/>
  <c r="G86" i="18"/>
  <c r="AA144" i="32"/>
  <c r="AA162" i="32"/>
  <c r="X82" i="52"/>
  <c r="AA153" i="32"/>
  <c r="AA172" i="32"/>
  <c r="X48" i="20"/>
  <c r="AA200" i="32"/>
  <c r="AA191" i="32"/>
  <c r="AA181" i="32"/>
  <c r="X47" i="20"/>
  <c r="X54" i="20" s="1"/>
  <c r="X129" i="20"/>
  <c r="X93" i="20"/>
  <c r="AP71" i="33"/>
  <c r="AP9" i="33" s="1"/>
  <c r="AP27" i="33" s="1"/>
  <c r="AP45" i="33" s="1"/>
  <c r="AD126" i="11"/>
  <c r="AO62" i="32"/>
  <c r="AL16" i="18"/>
  <c r="AL18" i="18" s="1"/>
  <c r="AD124" i="11"/>
  <c r="AK32" i="11"/>
  <c r="AN32" i="11" s="1"/>
  <c r="AP69" i="33"/>
  <c r="AP7" i="33" s="1"/>
  <c r="AP25" i="33" s="1"/>
  <c r="AP43" i="33" s="1"/>
  <c r="AE196" i="25"/>
  <c r="AE130" i="25"/>
  <c r="AE163" i="25"/>
  <c r="AE229" i="25"/>
  <c r="AE31" i="25"/>
  <c r="AE97" i="25"/>
  <c r="AE64" i="25"/>
  <c r="K104" i="53"/>
  <c r="K105" i="53"/>
  <c r="AE124" i="18"/>
  <c r="AG139" i="27"/>
  <c r="AG145" i="27" s="1"/>
  <c r="AG151" i="27" s="1"/>
  <c r="AG157" i="27" s="1"/>
  <c r="W68" i="32"/>
  <c r="AH81" i="33"/>
  <c r="AH19" i="33" s="1"/>
  <c r="AH37" i="33" s="1"/>
  <c r="AH55" i="33" s="1"/>
  <c r="AQ136" i="11"/>
  <c r="P73" i="52"/>
  <c r="S67" i="32"/>
  <c r="S48" i="32"/>
  <c r="S11" i="32"/>
  <c r="S29" i="32"/>
  <c r="S39" i="32"/>
  <c r="S20" i="32"/>
  <c r="P50" i="18"/>
  <c r="S58" i="32"/>
  <c r="AI46" i="32"/>
  <c r="AF71" i="52"/>
  <c r="AF48" i="18"/>
  <c r="AI18" i="32"/>
  <c r="AI37" i="32"/>
  <c r="AI65" i="32"/>
  <c r="AI27" i="32"/>
  <c r="AI9" i="32"/>
  <c r="AI56" i="32"/>
  <c r="I232" i="25"/>
  <c r="I166" i="25"/>
  <c r="I199" i="25"/>
  <c r="I100" i="25"/>
  <c r="I133" i="25"/>
  <c r="I67" i="25"/>
  <c r="I34" i="25"/>
  <c r="U91" i="18"/>
  <c r="AB72" i="52"/>
  <c r="AE38" i="32"/>
  <c r="AE19" i="32"/>
  <c r="AE10" i="32"/>
  <c r="AE47" i="32"/>
  <c r="AE66" i="32"/>
  <c r="AB49" i="18"/>
  <c r="AE57" i="32"/>
  <c r="AE28" i="32"/>
  <c r="AB6" i="5"/>
  <c r="AK6" i="5"/>
  <c r="Y63" i="25"/>
  <c r="Y30" i="25"/>
  <c r="Y96" i="25"/>
  <c r="Y195" i="25"/>
  <c r="Y228" i="25"/>
  <c r="Y162" i="25"/>
  <c r="Y129" i="25"/>
  <c r="F230" i="27"/>
  <c r="F197" i="27"/>
  <c r="F164" i="27"/>
  <c r="F131" i="27"/>
  <c r="F98" i="27"/>
  <c r="F65" i="27"/>
  <c r="F32" i="27"/>
  <c r="Q218" i="27"/>
  <c r="Q224" i="27" s="1"/>
  <c r="Q74" i="20"/>
  <c r="Q80" i="20" s="1"/>
  <c r="T180" i="32"/>
  <c r="S19" i="34" s="1"/>
  <c r="S33" i="34" s="1"/>
  <c r="T170" i="32"/>
  <c r="T171" i="32" s="1"/>
  <c r="S20" i="34" s="1"/>
  <c r="S34" i="34" s="1"/>
  <c r="O133" i="11"/>
  <c r="X78" i="33"/>
  <c r="X16" i="33" s="1"/>
  <c r="X34" i="33" s="1"/>
  <c r="X52" i="33" s="1"/>
  <c r="R109" i="53"/>
  <c r="W124" i="18"/>
  <c r="U135" i="11"/>
  <c r="AD80" i="33"/>
  <c r="AD18" i="33" s="1"/>
  <c r="AD36" i="33" s="1"/>
  <c r="AD54" i="33" s="1"/>
  <c r="AB71" i="33"/>
  <c r="AB9" i="33" s="1"/>
  <c r="AB27" i="33" s="1"/>
  <c r="AB45" i="33" s="1"/>
  <c r="R126" i="11"/>
  <c r="X6" i="25"/>
  <c r="X12" i="25" s="1"/>
  <c r="X18" i="25" s="1"/>
  <c r="X24" i="25" s="1"/>
  <c r="X101" i="18"/>
  <c r="X107" i="18" s="1"/>
  <c r="X113" i="18" s="1"/>
  <c r="X119" i="18" s="1"/>
  <c r="X63" i="18"/>
  <c r="X69" i="18" s="1"/>
  <c r="X75" i="18" s="1"/>
  <c r="X81" i="18" s="1"/>
  <c r="Y159" i="18"/>
  <c r="AC99" i="18"/>
  <c r="AC105" i="18" s="1"/>
  <c r="AC111" i="18" s="1"/>
  <c r="AC117" i="18" s="1"/>
  <c r="AC75" i="25"/>
  <c r="AC81" i="25" s="1"/>
  <c r="AC87" i="25" s="1"/>
  <c r="AC93" i="25" s="1"/>
  <c r="E332" i="53"/>
  <c r="E367" i="53" s="1"/>
  <c r="E231" i="53"/>
  <c r="AK72" i="33"/>
  <c r="AK10" i="33" s="1"/>
  <c r="AK28" i="33" s="1"/>
  <c r="AK46" i="33" s="1"/>
  <c r="AA127" i="11"/>
  <c r="AA227" i="27"/>
  <c r="AA194" i="27"/>
  <c r="AA161" i="27"/>
  <c r="AA95" i="27"/>
  <c r="AA128" i="27"/>
  <c r="AA62" i="27"/>
  <c r="AA29" i="27"/>
  <c r="AI161" i="18"/>
  <c r="F158" i="19"/>
  <c r="K25" i="18"/>
  <c r="K32" i="18" s="1"/>
  <c r="K40" i="18" s="1"/>
  <c r="E8" i="48"/>
  <c r="E27" i="48" s="1"/>
  <c r="E46" i="48" s="1"/>
  <c r="E65" i="48" s="1"/>
  <c r="E84" i="48" s="1"/>
  <c r="E26" i="48"/>
  <c r="E45" i="48" s="1"/>
  <c r="E64" i="48" s="1"/>
  <c r="E83" i="48" s="1"/>
  <c r="G127" i="18"/>
  <c r="AL207" i="25"/>
  <c r="AL213" i="25" s="1"/>
  <c r="AL219" i="25" s="1"/>
  <c r="AL225" i="25" s="1"/>
  <c r="AL7" i="25"/>
  <c r="AL13" i="25" s="1"/>
  <c r="AL19" i="25" s="1"/>
  <c r="AL25" i="25" s="1"/>
  <c r="AL141" i="25"/>
  <c r="AL147" i="25" s="1"/>
  <c r="AL153" i="25" s="1"/>
  <c r="AL159" i="25" s="1"/>
  <c r="AD123" i="11"/>
  <c r="AP68" i="33"/>
  <c r="AP6" i="33" s="1"/>
  <c r="AP24" i="33" s="1"/>
  <c r="AP42" i="33" s="1"/>
  <c r="AJ32" i="11"/>
  <c r="AM32" i="11" s="1"/>
  <c r="AH66" i="32"/>
  <c r="T88" i="18"/>
  <c r="AE104" i="53"/>
  <c r="AE105" i="53"/>
  <c r="AH78" i="33"/>
  <c r="AH16" i="33" s="1"/>
  <c r="AH34" i="33" s="1"/>
  <c r="AH52" i="33" s="1"/>
  <c r="AQ133" i="11"/>
  <c r="AG63" i="25"/>
  <c r="AG96" i="25"/>
  <c r="AG30" i="25"/>
  <c r="AG228" i="25"/>
  <c r="AG195" i="25"/>
  <c r="AG129" i="25"/>
  <c r="AC91" i="18"/>
  <c r="E12" i="53"/>
  <c r="E55" i="53"/>
  <c r="E99" i="53" s="1"/>
  <c r="E143" i="53" s="1"/>
  <c r="E188" i="53" s="1"/>
  <c r="AA139" i="11"/>
  <c r="AK84" i="33"/>
  <c r="AK22" i="33" s="1"/>
  <c r="AK40" i="33" s="1"/>
  <c r="AK58" i="33" s="1"/>
  <c r="Q88" i="18"/>
  <c r="AM162" i="59"/>
  <c r="K109" i="25"/>
  <c r="K115" i="25" s="1"/>
  <c r="K121" i="25" s="1"/>
  <c r="K127" i="25" s="1"/>
  <c r="N44" i="32"/>
  <c r="M12" i="34" s="1"/>
  <c r="N34" i="32"/>
  <c r="N35" i="32" s="1"/>
  <c r="M13" i="34" s="1"/>
  <c r="G44" i="32"/>
  <c r="E12" i="34" s="1"/>
  <c r="G34" i="32"/>
  <c r="G35" i="32" s="1"/>
  <c r="E13" i="34" s="1"/>
  <c r="AM44" i="59"/>
  <c r="AM174" i="59"/>
  <c r="AM169" i="59"/>
  <c r="AM173" i="59"/>
  <c r="AM175" i="59"/>
  <c r="G117" i="27"/>
  <c r="G123" i="27" s="1"/>
  <c r="G41" i="20"/>
  <c r="G115" i="20"/>
  <c r="G121" i="20" s="1"/>
  <c r="G127" i="20" s="1"/>
  <c r="G91" i="18"/>
  <c r="G87" i="18"/>
  <c r="AL136" i="18"/>
  <c r="AL142" i="18" s="1"/>
  <c r="AL148" i="18" s="1"/>
  <c r="AL154" i="18" s="1"/>
  <c r="AL160" i="18" s="1"/>
  <c r="AL67" i="18"/>
  <c r="AL73" i="18" s="1"/>
  <c r="AL79" i="18" s="1"/>
  <c r="AL85" i="18" s="1"/>
  <c r="AL173" i="25"/>
  <c r="AL179" i="25" s="1"/>
  <c r="AL185" i="25" s="1"/>
  <c r="AL191" i="25" s="1"/>
  <c r="AA162" i="20"/>
  <c r="Y105" i="53"/>
  <c r="Y104" i="53"/>
  <c r="AH72" i="33"/>
  <c r="AH10" i="33" s="1"/>
  <c r="AH28" i="33" s="1"/>
  <c r="AH46" i="33" s="1"/>
  <c r="AQ127" i="11"/>
  <c r="AB162" i="18"/>
  <c r="X162" i="20"/>
  <c r="AQ163" i="32"/>
  <c r="Q76" i="20"/>
  <c r="Q82" i="20" s="1"/>
  <c r="Q153" i="27"/>
  <c r="Q159" i="27" s="1"/>
  <c r="Q18" i="27"/>
  <c r="Q24" i="27" s="1"/>
  <c r="O136" i="11"/>
  <c r="X81" i="33"/>
  <c r="X19" i="33" s="1"/>
  <c r="X37" i="33" s="1"/>
  <c r="X55" i="33" s="1"/>
  <c r="AM23" i="19"/>
  <c r="AM13" i="19"/>
  <c r="AN53" i="59"/>
  <c r="AN178" i="59"/>
  <c r="AN183" i="59"/>
  <c r="AN184" i="59"/>
  <c r="AN181" i="59"/>
  <c r="AN177" i="59"/>
  <c r="AN179" i="59"/>
  <c r="G12" i="19"/>
  <c r="G18" i="19"/>
  <c r="G6" i="19"/>
  <c r="G15" i="19"/>
  <c r="W165" i="18"/>
  <c r="W73" i="52"/>
  <c r="Z29" i="32"/>
  <c r="Z48" i="32"/>
  <c r="Z11" i="32"/>
  <c r="Z67" i="32"/>
  <c r="Z39" i="32"/>
  <c r="Z20" i="32"/>
  <c r="Z58" i="32"/>
  <c r="W50" i="18"/>
  <c r="W89" i="18" s="1"/>
  <c r="U138" i="11"/>
  <c r="AD83" i="33"/>
  <c r="AD21" i="33" s="1"/>
  <c r="AD39" i="33" s="1"/>
  <c r="AD57" i="33" s="1"/>
  <c r="J228" i="25"/>
  <c r="J162" i="25"/>
  <c r="J195" i="25"/>
  <c r="J129" i="25"/>
  <c r="J96" i="25"/>
  <c r="J63" i="25"/>
  <c r="J30" i="25"/>
  <c r="AC16" i="18"/>
  <c r="AC18" i="18" s="1"/>
  <c r="AF62" i="32"/>
  <c r="X43" i="25"/>
  <c r="X49" i="25" s="1"/>
  <c r="X55" i="25" s="1"/>
  <c r="X61" i="25" s="1"/>
  <c r="X204" i="25"/>
  <c r="X210" i="25" s="1"/>
  <c r="X216" i="25" s="1"/>
  <c r="X222" i="25" s="1"/>
  <c r="X26" i="18"/>
  <c r="X33" i="18" s="1"/>
  <c r="X41" i="18" s="1"/>
  <c r="T67" i="32"/>
  <c r="AC101" i="18"/>
  <c r="AC107" i="18" s="1"/>
  <c r="AC113" i="18" s="1"/>
  <c r="AC119" i="18" s="1"/>
  <c r="AC10" i="25"/>
  <c r="AC16" i="25" s="1"/>
  <c r="AC22" i="25" s="1"/>
  <c r="AC106" i="25"/>
  <c r="AC112" i="25" s="1"/>
  <c r="AC118" i="25" s="1"/>
  <c r="AK78" i="33"/>
  <c r="AK16" i="33" s="1"/>
  <c r="AK34" i="33" s="1"/>
  <c r="AK52" i="33" s="1"/>
  <c r="AA133" i="11"/>
  <c r="AI88" i="18"/>
  <c r="K106" i="25"/>
  <c r="K112" i="25" s="1"/>
  <c r="K118" i="25" s="1"/>
  <c r="K124" i="25" s="1"/>
  <c r="K66" i="18"/>
  <c r="K72" i="18" s="1"/>
  <c r="K78" i="18" s="1"/>
  <c r="K84" i="18" s="1"/>
  <c r="AL62" i="32"/>
  <c r="AI16" i="18"/>
  <c r="AI18" i="18" s="1"/>
  <c r="J141" i="11"/>
  <c r="F79" i="52"/>
  <c r="I88" i="32"/>
  <c r="I116" i="32"/>
  <c r="I135" i="32"/>
  <c r="I79" i="32"/>
  <c r="I107" i="32"/>
  <c r="I126" i="32"/>
  <c r="I97" i="32"/>
  <c r="F51" i="19"/>
  <c r="F161" i="19" s="1"/>
  <c r="G122" i="18"/>
  <c r="AL63" i="18"/>
  <c r="AL69" i="18" s="1"/>
  <c r="AL75" i="18" s="1"/>
  <c r="AL81" i="18" s="1"/>
  <c r="AL38" i="25"/>
  <c r="AL44" i="25" s="1"/>
  <c r="AL50" i="25" s="1"/>
  <c r="AL56" i="25" s="1"/>
  <c r="AE158" i="18"/>
  <c r="T89" i="18"/>
  <c r="G104" i="53"/>
  <c r="G105" i="53"/>
  <c r="P105" i="53"/>
  <c r="P104" i="53"/>
  <c r="Q91" i="18"/>
  <c r="X5" i="25"/>
  <c r="X11" i="25" s="1"/>
  <c r="X17" i="25" s="1"/>
  <c r="X23" i="25" s="1"/>
  <c r="X138" i="18"/>
  <c r="X144" i="18" s="1"/>
  <c r="X150" i="18" s="1"/>
  <c r="X156" i="18" s="1"/>
  <c r="Q65" i="25"/>
  <c r="Q197" i="25"/>
  <c r="Q230" i="25"/>
  <c r="Q164" i="25"/>
  <c r="Q98" i="25"/>
  <c r="Q32" i="25"/>
  <c r="AA88" i="20"/>
  <c r="AC62" i="18"/>
  <c r="AC68" i="18" s="1"/>
  <c r="AC74" i="18" s="1"/>
  <c r="AC80" i="18" s="1"/>
  <c r="AC135" i="18"/>
  <c r="AC141" i="18" s="1"/>
  <c r="AC147" i="18" s="1"/>
  <c r="AC153" i="18" s="1"/>
  <c r="AC159" i="18" s="1"/>
  <c r="D3" i="20"/>
  <c r="E4" i="34"/>
  <c r="T78" i="33"/>
  <c r="T16" i="33" s="1"/>
  <c r="T34" i="33" s="1"/>
  <c r="T52" i="33" s="1"/>
  <c r="K133" i="11"/>
  <c r="AI42" i="25"/>
  <c r="AI48" i="25" s="1"/>
  <c r="AI54" i="25" s="1"/>
  <c r="AI60" i="25" s="1"/>
  <c r="AI30" i="18"/>
  <c r="AI37" i="18" s="1"/>
  <c r="AI45" i="18" s="1"/>
  <c r="K139" i="25"/>
  <c r="K145" i="25" s="1"/>
  <c r="K151" i="25" s="1"/>
  <c r="K157" i="25" s="1"/>
  <c r="K141" i="25"/>
  <c r="K147" i="25" s="1"/>
  <c r="K153" i="25" s="1"/>
  <c r="K159" i="25" s="1"/>
  <c r="AA163" i="20"/>
  <c r="G75" i="20"/>
  <c r="G81" i="20" s="1"/>
  <c r="G87" i="20" s="1"/>
  <c r="G136" i="20"/>
  <c r="G142" i="20" s="1"/>
  <c r="G148" i="20" s="1"/>
  <c r="G154" i="20" s="1"/>
  <c r="G160" i="20" s="1"/>
  <c r="R129" i="18"/>
  <c r="G88" i="18"/>
  <c r="G124" i="18"/>
  <c r="AI176" i="32"/>
  <c r="AL101" i="18"/>
  <c r="AL107" i="18" s="1"/>
  <c r="AL113" i="18" s="1"/>
  <c r="AL119" i="18" s="1"/>
  <c r="AL29" i="18"/>
  <c r="AL36" i="18" s="1"/>
  <c r="AL44" i="18" s="1"/>
  <c r="Z232" i="25"/>
  <c r="Z100" i="25"/>
  <c r="Z133" i="25"/>
  <c r="Z67" i="25"/>
  <c r="Z199" i="25"/>
  <c r="Z166" i="25"/>
  <c r="Z34" i="25"/>
  <c r="AE91" i="18"/>
  <c r="H90" i="20"/>
  <c r="V104" i="53"/>
  <c r="V105" i="53"/>
  <c r="AM104" i="53"/>
  <c r="AM105" i="53"/>
  <c r="AG171" i="27"/>
  <c r="AG177" i="27" s="1"/>
  <c r="AG183" i="27" s="1"/>
  <c r="AG189" i="27" s="1"/>
  <c r="AG63" i="20"/>
  <c r="AG69" i="20" s="1"/>
  <c r="AG75" i="20" s="1"/>
  <c r="AG81" i="20" s="1"/>
  <c r="I38" i="32"/>
  <c r="J144" i="11" l="1"/>
  <c r="AQ141" i="11"/>
  <c r="G142" i="11"/>
  <c r="AC143" i="11"/>
  <c r="AC144" i="11" s="1"/>
  <c r="N143" i="11"/>
  <c r="T143" i="11"/>
  <c r="W141" i="11"/>
  <c r="AF142" i="11"/>
  <c r="W63" i="25"/>
  <c r="W228" i="25"/>
  <c r="W195" i="25"/>
  <c r="W129" i="25"/>
  <c r="W96" i="25"/>
  <c r="W162" i="25"/>
  <c r="W30" i="25"/>
  <c r="W87" i="18"/>
  <c r="W123" i="18"/>
  <c r="I21" i="20"/>
  <c r="I22" i="20" s="1"/>
  <c r="I5" i="20"/>
  <c r="AC91" i="25"/>
  <c r="AF28" i="32"/>
  <c r="P46" i="32"/>
  <c r="T168" i="28"/>
  <c r="T37" i="28"/>
  <c r="T166" i="28"/>
  <c r="T167" i="28"/>
  <c r="T169" i="28"/>
  <c r="T165" i="28"/>
  <c r="K70" i="52"/>
  <c r="N36" i="32"/>
  <c r="N45" i="32"/>
  <c r="N26" i="32"/>
  <c r="N55" i="32"/>
  <c r="N64" i="32"/>
  <c r="N17" i="32"/>
  <c r="N8" i="32"/>
  <c r="K47" i="18"/>
  <c r="K86" i="18" s="1"/>
  <c r="K46" i="18"/>
  <c r="K53" i="18" s="1"/>
  <c r="K93" i="18"/>
  <c r="K129" i="18"/>
  <c r="K165" i="18"/>
  <c r="AB6" i="11"/>
  <c r="S6" i="11"/>
  <c r="AE6" i="11"/>
  <c r="P6" i="11"/>
  <c r="V6" i="11"/>
  <c r="Y6" i="11"/>
  <c r="AF228" i="25"/>
  <c r="AF195" i="25"/>
  <c r="AF129" i="25"/>
  <c r="AF162" i="25"/>
  <c r="AF63" i="25"/>
  <c r="AF96" i="25"/>
  <c r="AF30" i="25"/>
  <c r="AF159" i="18"/>
  <c r="AF123" i="18"/>
  <c r="AF87" i="18"/>
  <c r="AF65" i="27"/>
  <c r="AF197" i="27"/>
  <c r="AF164" i="27"/>
  <c r="AF32" i="27"/>
  <c r="AF131" i="27"/>
  <c r="AF230" i="27"/>
  <c r="AF98" i="27"/>
  <c r="AF161" i="20"/>
  <c r="AF89" i="20"/>
  <c r="AF125" i="20"/>
  <c r="K112" i="32"/>
  <c r="J26" i="34" s="1"/>
  <c r="J40" i="34" s="1"/>
  <c r="K102" i="32"/>
  <c r="K103" i="32" s="1"/>
  <c r="J27" i="34" s="1"/>
  <c r="J41" i="34" s="1"/>
  <c r="E199" i="26"/>
  <c r="E67" i="26"/>
  <c r="E166" i="26"/>
  <c r="E100" i="26"/>
  <c r="E133" i="26"/>
  <c r="E232" i="26"/>
  <c r="E34" i="26"/>
  <c r="E127" i="19"/>
  <c r="E163" i="19"/>
  <c r="AO64" i="32"/>
  <c r="G159" i="27"/>
  <c r="G165" i="27" s="1"/>
  <c r="J185" i="32"/>
  <c r="T28" i="26"/>
  <c r="W81" i="32"/>
  <c r="AA166" i="28"/>
  <c r="AA37" i="28"/>
  <c r="AA168" i="28"/>
  <c r="AA169" i="28"/>
  <c r="AA167" i="28"/>
  <c r="AA165" i="28"/>
  <c r="AJ4" i="19"/>
  <c r="AV6" i="5"/>
  <c r="AJ17" i="52" s="1"/>
  <c r="U52" i="26"/>
  <c r="U58" i="26" s="1"/>
  <c r="M90" i="25"/>
  <c r="P27" i="32"/>
  <c r="Z231" i="25"/>
  <c r="Z198" i="25"/>
  <c r="Z165" i="25"/>
  <c r="Z66" i="25"/>
  <c r="Z132" i="25"/>
  <c r="Z99" i="25"/>
  <c r="Z33" i="25"/>
  <c r="Z126" i="18"/>
  <c r="Z162" i="18"/>
  <c r="Z90" i="18"/>
  <c r="AF20" i="32"/>
  <c r="AC73" i="52"/>
  <c r="AC50" i="18"/>
  <c r="AF58" i="32"/>
  <c r="AF39" i="32"/>
  <c r="AF29" i="32"/>
  <c r="AF48" i="32"/>
  <c r="AF11" i="32"/>
  <c r="AF67" i="32"/>
  <c r="AE29" i="11"/>
  <c r="S29" i="11"/>
  <c r="AB29" i="11"/>
  <c r="P29" i="11"/>
  <c r="Y29" i="11"/>
  <c r="V29" i="11"/>
  <c r="F22" i="52"/>
  <c r="F23" i="52" s="1"/>
  <c r="I67" i="11" s="1"/>
  <c r="I47" i="11" s="1"/>
  <c r="F29" i="52"/>
  <c r="AG124" i="20"/>
  <c r="AC127" i="25"/>
  <c r="AF41" i="32"/>
  <c r="G230" i="25"/>
  <c r="G197" i="25"/>
  <c r="G164" i="25"/>
  <c r="G131" i="25"/>
  <c r="G65" i="25"/>
  <c r="G98" i="25"/>
  <c r="G32" i="25"/>
  <c r="G89" i="18"/>
  <c r="G125" i="18"/>
  <c r="F197" i="25"/>
  <c r="F32" i="25"/>
  <c r="F65" i="25"/>
  <c r="F131" i="25"/>
  <c r="F230" i="25"/>
  <c r="F164" i="25"/>
  <c r="F98" i="25"/>
  <c r="F6" i="52"/>
  <c r="F161" i="18"/>
  <c r="F89" i="18"/>
  <c r="G59" i="32"/>
  <c r="D74" i="52"/>
  <c r="G40" i="32"/>
  <c r="G30" i="32"/>
  <c r="G49" i="32"/>
  <c r="G12" i="32"/>
  <c r="G68" i="32"/>
  <c r="D51" i="18"/>
  <c r="G21" i="32"/>
  <c r="AO127" i="11"/>
  <c r="AM72" i="33"/>
  <c r="AM10" i="33" s="1"/>
  <c r="AM28" i="33" s="1"/>
  <c r="AM46" i="33" s="1"/>
  <c r="AK29" i="11"/>
  <c r="AN29" i="11" s="1"/>
  <c r="AB18" i="19"/>
  <c r="AB6" i="19"/>
  <c r="AB15" i="19"/>
  <c r="AB12" i="19"/>
  <c r="AF75" i="19"/>
  <c r="AF81" i="19" s="1"/>
  <c r="AE206" i="26"/>
  <c r="AE212" i="26" s="1"/>
  <c r="AE128" i="19"/>
  <c r="AE130" i="19" s="1"/>
  <c r="AE108" i="26"/>
  <c r="AE114" i="26" s="1"/>
  <c r="AE175" i="26"/>
  <c r="AE181" i="26" s="1"/>
  <c r="AE63" i="19"/>
  <c r="AE69" i="19" s="1"/>
  <c r="AE16" i="19"/>
  <c r="AE170" i="26"/>
  <c r="AE176" i="26" s="1"/>
  <c r="AH111" i="32"/>
  <c r="AE109" i="26"/>
  <c r="AE115" i="26" s="1"/>
  <c r="AE27" i="19"/>
  <c r="AE34" i="19" s="1"/>
  <c r="AE31" i="19"/>
  <c r="AE38" i="19" s="1"/>
  <c r="Z89" i="32"/>
  <c r="Z98" i="32"/>
  <c r="Z136" i="32"/>
  <c r="Z127" i="32"/>
  <c r="W52" i="19"/>
  <c r="Z117" i="32"/>
  <c r="Z80" i="32"/>
  <c r="W80" i="52"/>
  <c r="Z108" i="32"/>
  <c r="U84" i="26"/>
  <c r="U90" i="26" s="1"/>
  <c r="G60" i="27"/>
  <c r="J157" i="32"/>
  <c r="W125" i="18"/>
  <c r="P92" i="19"/>
  <c r="P94" i="19" s="1"/>
  <c r="S92" i="32"/>
  <c r="T185" i="32"/>
  <c r="L93" i="32"/>
  <c r="K25" i="34" s="1"/>
  <c r="K39" i="34" s="1"/>
  <c r="L83" i="32"/>
  <c r="L84" i="32" s="1"/>
  <c r="K24" i="34" s="1"/>
  <c r="K38" i="34" s="1"/>
  <c r="L74" i="32"/>
  <c r="L75" i="32" s="1"/>
  <c r="K23" i="34" s="1"/>
  <c r="K37" i="34" s="1"/>
  <c r="O111" i="32"/>
  <c r="L16" i="19"/>
  <c r="L32" i="19"/>
  <c r="L39" i="19" s="1"/>
  <c r="L40" i="19" s="1"/>
  <c r="L204" i="26"/>
  <c r="L210" i="26" s="1"/>
  <c r="L128" i="19"/>
  <c r="L130" i="19" s="1"/>
  <c r="AH5" i="20"/>
  <c r="AH21" i="20"/>
  <c r="AH22" i="20" s="1"/>
  <c r="M57" i="25"/>
  <c r="P18" i="32"/>
  <c r="J153" i="32"/>
  <c r="G48" i="20"/>
  <c r="J172" i="32"/>
  <c r="J162" i="32"/>
  <c r="G93" i="20"/>
  <c r="J181" i="32"/>
  <c r="J200" i="32"/>
  <c r="J144" i="32"/>
  <c r="G82" i="52"/>
  <c r="G47" i="20"/>
  <c r="G54" i="20" s="1"/>
  <c r="J191" i="32"/>
  <c r="G165" i="20"/>
  <c r="G129" i="20"/>
  <c r="AA23" i="19"/>
  <c r="AA13" i="19"/>
  <c r="X166" i="27"/>
  <c r="X100" i="27"/>
  <c r="X232" i="27"/>
  <c r="X199" i="27"/>
  <c r="X133" i="27"/>
  <c r="X67" i="27"/>
  <c r="X34" i="27"/>
  <c r="X91" i="20"/>
  <c r="X163" i="20"/>
  <c r="X127" i="20"/>
  <c r="AI71" i="52"/>
  <c r="AL37" i="32"/>
  <c r="AL9" i="32"/>
  <c r="AL18" i="32"/>
  <c r="AL46" i="32"/>
  <c r="AI48" i="18"/>
  <c r="AL65" i="32"/>
  <c r="AL56" i="32"/>
  <c r="AL27" i="32"/>
  <c r="H17" i="26"/>
  <c r="H23" i="26" s="1"/>
  <c r="AJ24" i="11"/>
  <c r="AM24" i="11" s="1"/>
  <c r="AQ123" i="11"/>
  <c r="AH68" i="33"/>
  <c r="AH6" i="33" s="1"/>
  <c r="AH24" i="33" s="1"/>
  <c r="AH42" i="33" s="1"/>
  <c r="E54" i="19"/>
  <c r="AF198" i="32"/>
  <c r="AC164" i="20"/>
  <c r="AC166" i="20" s="1"/>
  <c r="AD84" i="33"/>
  <c r="AD22" i="33" s="1"/>
  <c r="AD40" i="33" s="1"/>
  <c r="AD58" i="33" s="1"/>
  <c r="U139" i="11"/>
  <c r="AL71" i="52"/>
  <c r="AO37" i="32"/>
  <c r="AO27" i="32"/>
  <c r="AO65" i="32"/>
  <c r="AO9" i="32"/>
  <c r="AO46" i="32"/>
  <c r="AO56" i="32"/>
  <c r="AL48" i="18"/>
  <c r="AO18" i="32"/>
  <c r="AL46" i="18"/>
  <c r="AL53" i="18" s="1"/>
  <c r="AC27" i="20"/>
  <c r="AC34" i="20" s="1"/>
  <c r="AC109" i="27"/>
  <c r="AC115" i="27" s="1"/>
  <c r="AC121" i="27" s="1"/>
  <c r="AC127" i="27" s="1"/>
  <c r="AC136" i="20"/>
  <c r="AC142" i="20" s="1"/>
  <c r="AC104" i="27"/>
  <c r="AC110" i="27" s="1"/>
  <c r="AC17" i="20"/>
  <c r="AC19" i="20" s="1"/>
  <c r="AC8" i="27"/>
  <c r="AC14" i="27" s="1"/>
  <c r="AC208" i="27"/>
  <c r="AC214" i="27" s="1"/>
  <c r="AC106" i="27"/>
  <c r="AC112" i="27" s="1"/>
  <c r="AC100" i="20"/>
  <c r="AC106" i="20" s="1"/>
  <c r="AC112" i="20" s="1"/>
  <c r="AC118" i="20" s="1"/>
  <c r="AC203" i="27"/>
  <c r="AC209" i="27" s="1"/>
  <c r="AC172" i="27"/>
  <c r="AC178" i="27" s="1"/>
  <c r="AC184" i="27" s="1"/>
  <c r="AC190" i="27" s="1"/>
  <c r="AC101" i="20"/>
  <c r="AC107" i="20" s="1"/>
  <c r="AC175" i="27"/>
  <c r="AC181" i="27" s="1"/>
  <c r="AC187" i="27" s="1"/>
  <c r="AC193" i="27" s="1"/>
  <c r="AC63" i="20"/>
  <c r="AC69" i="20" s="1"/>
  <c r="AC75" i="20" s="1"/>
  <c r="AC81" i="20" s="1"/>
  <c r="AC137" i="20"/>
  <c r="AC143" i="20" s="1"/>
  <c r="AC65" i="20"/>
  <c r="AC71" i="20" s="1"/>
  <c r="AC73" i="27"/>
  <c r="AC79" i="27" s="1"/>
  <c r="AC85" i="27" s="1"/>
  <c r="AC91" i="27" s="1"/>
  <c r="AC7" i="27"/>
  <c r="AC13" i="27" s="1"/>
  <c r="AC135" i="20"/>
  <c r="AC141" i="20" s="1"/>
  <c r="AC174" i="27"/>
  <c r="AC180" i="27" s="1"/>
  <c r="AC5" i="27"/>
  <c r="AC11" i="27" s="1"/>
  <c r="AC138" i="27"/>
  <c r="AC144" i="27" s="1"/>
  <c r="AC150" i="27" s="1"/>
  <c r="AC156" i="27" s="1"/>
  <c r="AC30" i="20"/>
  <c r="AC37" i="20" s="1"/>
  <c r="AC45" i="20" s="1"/>
  <c r="AC108" i="27"/>
  <c r="AC114" i="27" s="1"/>
  <c r="AC9" i="27"/>
  <c r="AC15" i="27" s="1"/>
  <c r="AC205" i="27"/>
  <c r="AC211" i="27" s="1"/>
  <c r="AC217" i="27" s="1"/>
  <c r="AC223" i="27" s="1"/>
  <c r="AC170" i="27"/>
  <c r="AC176" i="27" s="1"/>
  <c r="AC206" i="27"/>
  <c r="AC212" i="27" s="1"/>
  <c r="AC105" i="27"/>
  <c r="AC111" i="27" s="1"/>
  <c r="AC117" i="27" s="1"/>
  <c r="AC123" i="27" s="1"/>
  <c r="AC140" i="27"/>
  <c r="AC146" i="27" s="1"/>
  <c r="AC102" i="20"/>
  <c r="AC108" i="20" s="1"/>
  <c r="AC38" i="27"/>
  <c r="AC44" i="27" s="1"/>
  <c r="AC50" i="27" s="1"/>
  <c r="AC56" i="27" s="1"/>
  <c r="AC10" i="27"/>
  <c r="AC16" i="27" s="1"/>
  <c r="AC22" i="27" s="1"/>
  <c r="AC28" i="27" s="1"/>
  <c r="AC41" i="27"/>
  <c r="AC47" i="27" s="1"/>
  <c r="AC66" i="20"/>
  <c r="AC72" i="20" s="1"/>
  <c r="AC78" i="20" s="1"/>
  <c r="AC84" i="20" s="1"/>
  <c r="AC74" i="27"/>
  <c r="AC80" i="27" s="1"/>
  <c r="AC98" i="20"/>
  <c r="AC104" i="20" s="1"/>
  <c r="AC110" i="20" s="1"/>
  <c r="AC116" i="20" s="1"/>
  <c r="AC207" i="27"/>
  <c r="AC213" i="27" s="1"/>
  <c r="AC219" i="27" s="1"/>
  <c r="AC225" i="27" s="1"/>
  <c r="AC141" i="27"/>
  <c r="AC147" i="27" s="1"/>
  <c r="AC99" i="20"/>
  <c r="AC105" i="20" s="1"/>
  <c r="AC111" i="20" s="1"/>
  <c r="AC117" i="20" s="1"/>
  <c r="AC76" i="27"/>
  <c r="AC82" i="27" s="1"/>
  <c r="AC88" i="27" s="1"/>
  <c r="AC94" i="27" s="1"/>
  <c r="AC67" i="20"/>
  <c r="AC73" i="20" s="1"/>
  <c r="AC31" i="20"/>
  <c r="AC38" i="20" s="1"/>
  <c r="AC138" i="20"/>
  <c r="AC144" i="20" s="1"/>
  <c r="AC64" i="20"/>
  <c r="AC70" i="20" s="1"/>
  <c r="AC134" i="20"/>
  <c r="AC140" i="20" s="1"/>
  <c r="AC146" i="20" s="1"/>
  <c r="AC152" i="20" s="1"/>
  <c r="AC171" i="27"/>
  <c r="AC177" i="27" s="1"/>
  <c r="AC183" i="27" s="1"/>
  <c r="AC189" i="27" s="1"/>
  <c r="AC107" i="27"/>
  <c r="AC113" i="27" s="1"/>
  <c r="AC32" i="20"/>
  <c r="AC39" i="20" s="1"/>
  <c r="AC40" i="20" s="1"/>
  <c r="AC40" i="27"/>
  <c r="AC46" i="27" s="1"/>
  <c r="AC52" i="27" s="1"/>
  <c r="AC58" i="27" s="1"/>
  <c r="AC26" i="20"/>
  <c r="AC33" i="20" s="1"/>
  <c r="AC39" i="27"/>
  <c r="AC45" i="27" s="1"/>
  <c r="AC28" i="20"/>
  <c r="AC35" i="20" s="1"/>
  <c r="AC43" i="20" s="1"/>
  <c r="AC139" i="27"/>
  <c r="AC145" i="27" s="1"/>
  <c r="AC75" i="27"/>
  <c r="AC81" i="27" s="1"/>
  <c r="AC137" i="27"/>
  <c r="AC143" i="27" s="1"/>
  <c r="AC149" i="27" s="1"/>
  <c r="AC155" i="27" s="1"/>
  <c r="AC204" i="27"/>
  <c r="AC210" i="27" s="1"/>
  <c r="AC216" i="27" s="1"/>
  <c r="AC222" i="27" s="1"/>
  <c r="AC29" i="20"/>
  <c r="AC36" i="20" s="1"/>
  <c r="AC44" i="20" s="1"/>
  <c r="AC43" i="27"/>
  <c r="AC49" i="27" s="1"/>
  <c r="AC55" i="27" s="1"/>
  <c r="AC61" i="27" s="1"/>
  <c r="AC139" i="20"/>
  <c r="AC145" i="20" s="1"/>
  <c r="AC103" i="20"/>
  <c r="AC109" i="20" s="1"/>
  <c r="AC115" i="20" s="1"/>
  <c r="AC121" i="20" s="1"/>
  <c r="AC72" i="27"/>
  <c r="AC78" i="27" s="1"/>
  <c r="AC84" i="27" s="1"/>
  <c r="AC90" i="27" s="1"/>
  <c r="AC71" i="27"/>
  <c r="AC77" i="27" s="1"/>
  <c r="X165" i="18"/>
  <c r="AA53" i="32"/>
  <c r="AA54" i="32" s="1"/>
  <c r="AA15" i="34" s="1"/>
  <c r="AA63" i="32"/>
  <c r="AA14" i="34" s="1"/>
  <c r="AJ153" i="32"/>
  <c r="AJ172" i="32"/>
  <c r="AJ144" i="32"/>
  <c r="AJ162" i="32"/>
  <c r="AG82" i="52"/>
  <c r="AG48" i="20"/>
  <c r="AJ181" i="32"/>
  <c r="AG47" i="20"/>
  <c r="AG54" i="20" s="1"/>
  <c r="AJ200" i="32"/>
  <c r="AG129" i="20"/>
  <c r="AM53" i="32"/>
  <c r="AM54" i="32" s="1"/>
  <c r="F15" i="34" s="1"/>
  <c r="AM63" i="32"/>
  <c r="F14" i="34" s="1"/>
  <c r="AA142" i="26"/>
  <c r="AA148" i="26" s="1"/>
  <c r="AD111" i="32"/>
  <c r="AA128" i="19"/>
  <c r="AA130" i="19" s="1"/>
  <c r="AA16" i="19"/>
  <c r="U127" i="11"/>
  <c r="AD72" i="33"/>
  <c r="AD10" i="33" s="1"/>
  <c r="AD28" i="33" s="1"/>
  <c r="AD46" i="33" s="1"/>
  <c r="AC161" i="18"/>
  <c r="W166" i="25"/>
  <c r="W232" i="25"/>
  <c r="W199" i="25"/>
  <c r="W133" i="25"/>
  <c r="W67" i="25"/>
  <c r="W34" i="25"/>
  <c r="W100" i="25"/>
  <c r="W127" i="18"/>
  <c r="W163" i="18"/>
  <c r="W91" i="18"/>
  <c r="N91" i="25"/>
  <c r="Q28" i="32"/>
  <c r="AC42" i="27"/>
  <c r="AC48" i="27" s="1"/>
  <c r="Q227" i="25"/>
  <c r="Q194" i="25"/>
  <c r="Q95" i="25"/>
  <c r="Q29" i="25"/>
  <c r="Q161" i="25"/>
  <c r="Q128" i="25"/>
  <c r="Q62" i="25"/>
  <c r="Q86" i="18"/>
  <c r="Q122" i="18"/>
  <c r="R83" i="52"/>
  <c r="U173" i="32"/>
  <c r="U192" i="32"/>
  <c r="U145" i="32"/>
  <c r="U182" i="32"/>
  <c r="U154" i="32"/>
  <c r="R49" i="20"/>
  <c r="U201" i="32"/>
  <c r="U163" i="32"/>
  <c r="F34" i="25"/>
  <c r="F133" i="25"/>
  <c r="F199" i="25"/>
  <c r="F166" i="25"/>
  <c r="F232" i="25"/>
  <c r="F100" i="25"/>
  <c r="F67" i="25"/>
  <c r="F8" i="52"/>
  <c r="F91" i="18"/>
  <c r="F127" i="18"/>
  <c r="F163" i="18"/>
  <c r="AC190" i="25"/>
  <c r="AF57" i="32"/>
  <c r="Z164" i="25"/>
  <c r="Z98" i="25"/>
  <c r="Z65" i="25"/>
  <c r="Z131" i="25"/>
  <c r="Z230" i="25"/>
  <c r="Z197" i="25"/>
  <c r="Z32" i="25"/>
  <c r="Z161" i="18"/>
  <c r="Z89" i="18"/>
  <c r="Z125" i="18"/>
  <c r="J195" i="32"/>
  <c r="AC62" i="20"/>
  <c r="AC68" i="20" s="1"/>
  <c r="AC74" i="20" s="1"/>
  <c r="AC80" i="20" s="1"/>
  <c r="AP130" i="32"/>
  <c r="AM164" i="19"/>
  <c r="AM166" i="19" s="1"/>
  <c r="K189" i="25"/>
  <c r="N56" i="32"/>
  <c r="AB142" i="11"/>
  <c r="AL116" i="18"/>
  <c r="AL122" i="18" s="1"/>
  <c r="AL129" i="18"/>
  <c r="H150" i="26"/>
  <c r="H156" i="26" s="1"/>
  <c r="P196" i="25"/>
  <c r="P97" i="25"/>
  <c r="P130" i="25"/>
  <c r="P31" i="25"/>
  <c r="P229" i="25"/>
  <c r="P163" i="25"/>
  <c r="P64" i="25"/>
  <c r="P88" i="18"/>
  <c r="P160" i="18"/>
  <c r="P124" i="18"/>
  <c r="AC142" i="27"/>
  <c r="AC148" i="27" s="1"/>
  <c r="AC154" i="27" s="1"/>
  <c r="AC160" i="27" s="1"/>
  <c r="AN18" i="19"/>
  <c r="AN6" i="19"/>
  <c r="AN12" i="19"/>
  <c r="AN15" i="19"/>
  <c r="X70" i="52"/>
  <c r="AA55" i="32"/>
  <c r="AA64" i="32"/>
  <c r="AA36" i="32"/>
  <c r="AA45" i="32"/>
  <c r="AA17" i="32"/>
  <c r="AA8" i="32"/>
  <c r="AA26" i="32"/>
  <c r="X46" i="18"/>
  <c r="X53" i="18" s="1"/>
  <c r="X47" i="18"/>
  <c r="X93" i="18"/>
  <c r="M142" i="11"/>
  <c r="AC6" i="27"/>
  <c r="AC12" i="27" s="1"/>
  <c r="AC18" i="27" s="1"/>
  <c r="AC24" i="27" s="1"/>
  <c r="V7" i="19"/>
  <c r="V5" i="19"/>
  <c r="V8" i="19"/>
  <c r="S227" i="25"/>
  <c r="S194" i="25"/>
  <c r="S95" i="25"/>
  <c r="S62" i="25"/>
  <c r="S161" i="25"/>
  <c r="S128" i="25"/>
  <c r="S29" i="25"/>
  <c r="W131" i="25"/>
  <c r="W32" i="25"/>
  <c r="W230" i="25"/>
  <c r="W164" i="25"/>
  <c r="W65" i="25"/>
  <c r="W98" i="25"/>
  <c r="W197" i="25"/>
  <c r="W161" i="18"/>
  <c r="N127" i="25"/>
  <c r="Q41" i="32"/>
  <c r="AC185" i="27"/>
  <c r="AC191" i="27" s="1"/>
  <c r="Q93" i="27"/>
  <c r="Q99" i="27" s="1"/>
  <c r="T166" i="32"/>
  <c r="AI64" i="25"/>
  <c r="AI97" i="25"/>
  <c r="AI196" i="25"/>
  <c r="AI31" i="25"/>
  <c r="AI229" i="25"/>
  <c r="AI163" i="25"/>
  <c r="AI130" i="25"/>
  <c r="AI124" i="18"/>
  <c r="AI160" i="18"/>
  <c r="T205" i="32"/>
  <c r="T149" i="32"/>
  <c r="T186" i="32"/>
  <c r="Q87" i="52"/>
  <c r="Q53" i="20"/>
  <c r="T167" i="32"/>
  <c r="T196" i="32"/>
  <c r="T158" i="32"/>
  <c r="T177" i="32"/>
  <c r="H20" i="26"/>
  <c r="H26" i="26" s="1"/>
  <c r="AF164" i="25"/>
  <c r="AF131" i="25"/>
  <c r="AF32" i="25"/>
  <c r="AF98" i="25"/>
  <c r="AF65" i="25"/>
  <c r="AF230" i="25"/>
  <c r="AF197" i="25"/>
  <c r="AF125" i="18"/>
  <c r="AF161" i="18"/>
  <c r="AF89" i="18"/>
  <c r="AD75" i="20"/>
  <c r="AD81" i="20" s="1"/>
  <c r="X62" i="27"/>
  <c r="X29" i="27"/>
  <c r="X227" i="27"/>
  <c r="X194" i="27"/>
  <c r="X161" i="27"/>
  <c r="X95" i="27"/>
  <c r="X128" i="27"/>
  <c r="X86" i="20"/>
  <c r="X122" i="20"/>
  <c r="X158" i="20"/>
  <c r="N72" i="33"/>
  <c r="N10" i="33" s="1"/>
  <c r="N28" i="33" s="1"/>
  <c r="N46" i="33" s="1"/>
  <c r="AL127" i="11"/>
  <c r="AL223" i="25"/>
  <c r="AO66" i="32"/>
  <c r="Q27" i="27"/>
  <c r="Q33" i="27" s="1"/>
  <c r="T148" i="32"/>
  <c r="AM103" i="19"/>
  <c r="AM109" i="19" s="1"/>
  <c r="W159" i="18"/>
  <c r="N81" i="33"/>
  <c r="N19" i="33" s="1"/>
  <c r="N37" i="33" s="1"/>
  <c r="N55" i="33" s="1"/>
  <c r="AL136" i="11"/>
  <c r="O184" i="32"/>
  <c r="O203" i="32"/>
  <c r="L51" i="20"/>
  <c r="L85" i="52"/>
  <c r="AL73" i="33"/>
  <c r="AL11" i="33" s="1"/>
  <c r="AL29" i="33" s="1"/>
  <c r="AL47" i="33" s="1"/>
  <c r="AN128" i="11"/>
  <c r="P76" i="33"/>
  <c r="P14" i="33" s="1"/>
  <c r="P32" i="33" s="1"/>
  <c r="P50" i="33" s="1"/>
  <c r="AM131" i="11"/>
  <c r="K53" i="32"/>
  <c r="K54" i="32" s="1"/>
  <c r="J15" i="34" s="1"/>
  <c r="K63" i="32"/>
  <c r="J14" i="34" s="1"/>
  <c r="AG85" i="52"/>
  <c r="AJ194" i="32"/>
  <c r="AJ175" i="32"/>
  <c r="AJ203" i="32"/>
  <c r="AJ165" i="32"/>
  <c r="AG51" i="20"/>
  <c r="AJ156" i="32"/>
  <c r="AJ147" i="32"/>
  <c r="AJ184" i="32"/>
  <c r="X161" i="18"/>
  <c r="G189" i="27"/>
  <c r="J192" i="32"/>
  <c r="H53" i="19"/>
  <c r="H81" i="52"/>
  <c r="AM98" i="19"/>
  <c r="AM104" i="19" s="1"/>
  <c r="AA185" i="28"/>
  <c r="AA188" i="28"/>
  <c r="AA184" i="28"/>
  <c r="AA55" i="28"/>
  <c r="AA187" i="28"/>
  <c r="AA189" i="28"/>
  <c r="AA186" i="28"/>
  <c r="AA190" i="28"/>
  <c r="AA183" i="28"/>
  <c r="AM65" i="19"/>
  <c r="AM71" i="19" s="1"/>
  <c r="AB229" i="25"/>
  <c r="AB163" i="25"/>
  <c r="AB64" i="25"/>
  <c r="AB97" i="25"/>
  <c r="AB31" i="25"/>
  <c r="AB130" i="25"/>
  <c r="AB196" i="25"/>
  <c r="AB88" i="18"/>
  <c r="AB124" i="18"/>
  <c r="AB160" i="18"/>
  <c r="AK20" i="11"/>
  <c r="AN20" i="11" s="1"/>
  <c r="U124" i="11"/>
  <c r="AD69" i="33"/>
  <c r="AD7" i="33" s="1"/>
  <c r="AD25" i="33" s="1"/>
  <c r="AD43" i="33" s="1"/>
  <c r="AC124" i="25"/>
  <c r="AF38" i="32"/>
  <c r="H154" i="26"/>
  <c r="H160" i="26" s="1"/>
  <c r="AM173" i="26"/>
  <c r="AM179" i="26" s="1"/>
  <c r="E155" i="26"/>
  <c r="H113" i="32"/>
  <c r="AC28" i="25"/>
  <c r="AF13" i="32"/>
  <c r="AC165" i="25"/>
  <c r="AC33" i="25"/>
  <c r="AC99" i="25"/>
  <c r="AC231" i="25"/>
  <c r="AC198" i="25"/>
  <c r="AC132" i="25"/>
  <c r="AC66" i="25"/>
  <c r="AC126" i="18"/>
  <c r="AC162" i="18"/>
  <c r="AL138" i="11"/>
  <c r="N83" i="33"/>
  <c r="N21" i="33" s="1"/>
  <c r="N39" i="33" s="1"/>
  <c r="N57" i="33" s="1"/>
  <c r="Q92" i="19"/>
  <c r="Q94" i="19" s="1"/>
  <c r="T92" i="32"/>
  <c r="G230" i="27"/>
  <c r="G98" i="27"/>
  <c r="G197" i="27"/>
  <c r="G164" i="27"/>
  <c r="G131" i="27"/>
  <c r="G32" i="27"/>
  <c r="G65" i="27"/>
  <c r="G125" i="20"/>
  <c r="G89" i="20"/>
  <c r="X196" i="27"/>
  <c r="X163" i="27"/>
  <c r="X130" i="27"/>
  <c r="X97" i="27"/>
  <c r="X64" i="27"/>
  <c r="X31" i="27"/>
  <c r="X229" i="27"/>
  <c r="X124" i="20"/>
  <c r="X88" i="20"/>
  <c r="X160" i="20"/>
  <c r="AP112" i="32"/>
  <c r="AJ26" i="34" s="1"/>
  <c r="AJ40" i="34" s="1"/>
  <c r="AP102" i="32"/>
  <c r="AP103" i="32" s="1"/>
  <c r="AJ27" i="34" s="1"/>
  <c r="AJ41" i="34" s="1"/>
  <c r="AM205" i="26"/>
  <c r="AM211" i="26" s="1"/>
  <c r="AN166" i="28"/>
  <c r="AN168" i="28"/>
  <c r="AN37" i="28"/>
  <c r="AN169" i="28"/>
  <c r="AN167" i="28"/>
  <c r="AN165" i="28"/>
  <c r="N77" i="33"/>
  <c r="N15" i="33" s="1"/>
  <c r="N33" i="33" s="1"/>
  <c r="N51" i="33" s="1"/>
  <c r="AL132" i="11"/>
  <c r="H215" i="26"/>
  <c r="H221" i="26" s="1"/>
  <c r="H113" i="19"/>
  <c r="H119" i="19" s="1"/>
  <c r="H50" i="26"/>
  <c r="H56" i="26" s="1"/>
  <c r="H88" i="26"/>
  <c r="H94" i="26" s="1"/>
  <c r="AK165" i="18"/>
  <c r="D126" i="18"/>
  <c r="AB5" i="20"/>
  <c r="AB8" i="20"/>
  <c r="AB21" i="20"/>
  <c r="AB22" i="20" s="1"/>
  <c r="Q89" i="20"/>
  <c r="AN62" i="32"/>
  <c r="AK16" i="18"/>
  <c r="AK18" i="18" s="1"/>
  <c r="L50" i="27"/>
  <c r="L56" i="27" s="1"/>
  <c r="AM40" i="26"/>
  <c r="AM46" i="26" s="1"/>
  <c r="AM175" i="26"/>
  <c r="AM181" i="26" s="1"/>
  <c r="AM5" i="26"/>
  <c r="AM11" i="26" s="1"/>
  <c r="AB143" i="11"/>
  <c r="AN230" i="27"/>
  <c r="AN164" i="27"/>
  <c r="AN197" i="27"/>
  <c r="AN131" i="27"/>
  <c r="AN98" i="27"/>
  <c r="AN65" i="27"/>
  <c r="AN32" i="27"/>
  <c r="S86" i="18"/>
  <c r="F195" i="25"/>
  <c r="F96" i="25"/>
  <c r="F228" i="25"/>
  <c r="F129" i="25"/>
  <c r="F63" i="25"/>
  <c r="F162" i="25"/>
  <c r="F30" i="25"/>
  <c r="F4" i="52"/>
  <c r="M72" i="52"/>
  <c r="P10" i="32"/>
  <c r="P57" i="32"/>
  <c r="P66" i="32"/>
  <c r="P28" i="32"/>
  <c r="M49" i="18"/>
  <c r="M88" i="18" s="1"/>
  <c r="P47" i="32"/>
  <c r="P38" i="32"/>
  <c r="P19" i="32"/>
  <c r="AD142" i="27"/>
  <c r="AD148" i="27" s="1"/>
  <c r="AD136" i="20"/>
  <c r="AD142" i="20" s="1"/>
  <c r="AD148" i="20" s="1"/>
  <c r="AD154" i="20" s="1"/>
  <c r="AD107" i="27"/>
  <c r="AD113" i="27" s="1"/>
  <c r="K131" i="32"/>
  <c r="J28" i="34" s="1"/>
  <c r="J42" i="34" s="1"/>
  <c r="K121" i="32"/>
  <c r="K122" i="32" s="1"/>
  <c r="J29" i="34" s="1"/>
  <c r="J43" i="34" s="1"/>
  <c r="T151" i="27"/>
  <c r="T157" i="27" s="1"/>
  <c r="V76" i="25"/>
  <c r="V82" i="25" s="1"/>
  <c r="V88" i="25" s="1"/>
  <c r="V94" i="25" s="1"/>
  <c r="V40" i="25"/>
  <c r="V46" i="25" s="1"/>
  <c r="V52" i="25" s="1"/>
  <c r="V58" i="25" s="1"/>
  <c r="V38" i="25"/>
  <c r="V44" i="25" s="1"/>
  <c r="V50" i="25" s="1"/>
  <c r="V56" i="25" s="1"/>
  <c r="W85" i="26"/>
  <c r="W91" i="26" s="1"/>
  <c r="W112" i="19"/>
  <c r="W118" i="19" s="1"/>
  <c r="E131" i="26"/>
  <c r="E98" i="26"/>
  <c r="E164" i="26"/>
  <c r="E230" i="26"/>
  <c r="E65" i="26"/>
  <c r="E197" i="26"/>
  <c r="E32" i="26"/>
  <c r="V55" i="32"/>
  <c r="AD30" i="19"/>
  <c r="AD37" i="19" s="1"/>
  <c r="AD45" i="19" s="1"/>
  <c r="AD74" i="26"/>
  <c r="AD80" i="26" s="1"/>
  <c r="AD86" i="26" s="1"/>
  <c r="AD92" i="26" s="1"/>
  <c r="AK74" i="27"/>
  <c r="AK80" i="27" s="1"/>
  <c r="AK86" i="27" s="1"/>
  <c r="AK92" i="27" s="1"/>
  <c r="AK102" i="20"/>
  <c r="AK108" i="20" s="1"/>
  <c r="AK114" i="20" s="1"/>
  <c r="AK120" i="20" s="1"/>
  <c r="AK204" i="27"/>
  <c r="AK210" i="27" s="1"/>
  <c r="AK216" i="27" s="1"/>
  <c r="AK222" i="27" s="1"/>
  <c r="T147" i="20"/>
  <c r="T153" i="20" s="1"/>
  <c r="T115" i="20"/>
  <c r="T121" i="20" s="1"/>
  <c r="AM120" i="27"/>
  <c r="N173" i="26"/>
  <c r="N179" i="26" s="1"/>
  <c r="N185" i="26" s="1"/>
  <c r="N191" i="26" s="1"/>
  <c r="N137" i="19"/>
  <c r="N143" i="19" s="1"/>
  <c r="N149" i="19" s="1"/>
  <c r="N155" i="19" s="1"/>
  <c r="N203" i="26"/>
  <c r="N209" i="26" s="1"/>
  <c r="N215" i="26" s="1"/>
  <c r="N221" i="26" s="1"/>
  <c r="AL93" i="20"/>
  <c r="L55" i="27"/>
  <c r="L61" i="27" s="1"/>
  <c r="AG19" i="27"/>
  <c r="AG25" i="27" s="1"/>
  <c r="P63" i="32"/>
  <c r="P14" i="34" s="1"/>
  <c r="P53" i="32"/>
  <c r="P54" i="32" s="1"/>
  <c r="P15" i="34" s="1"/>
  <c r="AM79" i="20"/>
  <c r="AM85" i="20" s="1"/>
  <c r="AM91" i="20" s="1"/>
  <c r="F160" i="19"/>
  <c r="D16" i="19"/>
  <c r="D29" i="19" s="1"/>
  <c r="D36" i="19" s="1"/>
  <c r="G111" i="32"/>
  <c r="D142" i="26"/>
  <c r="D148" i="26" s="1"/>
  <c r="D108" i="26"/>
  <c r="D114" i="26" s="1"/>
  <c r="D174" i="26"/>
  <c r="D180" i="26" s="1"/>
  <c r="D139" i="26"/>
  <c r="D145" i="26" s="1"/>
  <c r="D138" i="26"/>
  <c r="D144" i="26" s="1"/>
  <c r="D100" i="19"/>
  <c r="D106" i="19" s="1"/>
  <c r="D10" i="26"/>
  <c r="D16" i="26" s="1"/>
  <c r="D128" i="19"/>
  <c r="D130" i="19" s="1"/>
  <c r="D67" i="19"/>
  <c r="D73" i="19" s="1"/>
  <c r="D170" i="26"/>
  <c r="D176" i="26" s="1"/>
  <c r="D76" i="26"/>
  <c r="D82" i="26" s="1"/>
  <c r="D137" i="26"/>
  <c r="D143" i="26" s="1"/>
  <c r="D173" i="26"/>
  <c r="D179" i="26" s="1"/>
  <c r="D136" i="19"/>
  <c r="D142" i="19" s="1"/>
  <c r="AF133" i="27"/>
  <c r="AF232" i="27"/>
  <c r="AF67" i="27"/>
  <c r="AF34" i="27"/>
  <c r="AF199" i="27"/>
  <c r="AF166" i="27"/>
  <c r="AF100" i="27"/>
  <c r="X98" i="27"/>
  <c r="X65" i="27"/>
  <c r="X32" i="27"/>
  <c r="X230" i="27"/>
  <c r="X197" i="27"/>
  <c r="X164" i="27"/>
  <c r="X131" i="27"/>
  <c r="Q15" i="19"/>
  <c r="Q18" i="19"/>
  <c r="Q12" i="19"/>
  <c r="Q6" i="19"/>
  <c r="U204" i="26"/>
  <c r="U210" i="26" s="1"/>
  <c r="U136" i="19"/>
  <c r="U142" i="19" s="1"/>
  <c r="U208" i="26"/>
  <c r="U214" i="26" s="1"/>
  <c r="U220" i="26" s="1"/>
  <c r="U226" i="26" s="1"/>
  <c r="G143" i="11"/>
  <c r="G144" i="11" s="1"/>
  <c r="AL130" i="11"/>
  <c r="N75" i="33"/>
  <c r="N13" i="33" s="1"/>
  <c r="N31" i="33" s="1"/>
  <c r="N49" i="33" s="1"/>
  <c r="AD75" i="33"/>
  <c r="AD13" i="33" s="1"/>
  <c r="AD31" i="33" s="1"/>
  <c r="AD49" i="33" s="1"/>
  <c r="U130" i="11"/>
  <c r="E35" i="33"/>
  <c r="K32" i="33"/>
  <c r="P92" i="32"/>
  <c r="M92" i="19"/>
  <c r="M94" i="19" s="1"/>
  <c r="AL162" i="18"/>
  <c r="E44" i="53"/>
  <c r="E88" i="53" s="1"/>
  <c r="E132" i="53" s="1"/>
  <c r="E176" i="53" s="1"/>
  <c r="E221" i="53" s="1"/>
  <c r="E87" i="53"/>
  <c r="E131" i="53" s="1"/>
  <c r="E175" i="53" s="1"/>
  <c r="E220" i="53" s="1"/>
  <c r="AN55" i="28"/>
  <c r="AN189" i="28"/>
  <c r="AN187" i="28"/>
  <c r="AN185" i="28"/>
  <c r="AN190" i="28"/>
  <c r="AN188" i="28"/>
  <c r="AN186" i="28"/>
  <c r="AN184" i="28"/>
  <c r="K75" i="52"/>
  <c r="N41" i="32"/>
  <c r="N31" i="32"/>
  <c r="K52" i="18"/>
  <c r="N50" i="32"/>
  <c r="N13" i="32"/>
  <c r="N22" i="32"/>
  <c r="N69" i="32"/>
  <c r="N60" i="32"/>
  <c r="H136" i="19"/>
  <c r="H142" i="19" s="1"/>
  <c r="H148" i="19" s="1"/>
  <c r="H154" i="19" s="1"/>
  <c r="H66" i="19"/>
  <c r="H72" i="19" s="1"/>
  <c r="H78" i="19" s="1"/>
  <c r="H84" i="19" s="1"/>
  <c r="H104" i="26"/>
  <c r="H110" i="26" s="1"/>
  <c r="H116" i="26" s="1"/>
  <c r="H122" i="26" s="1"/>
  <c r="AK142" i="25"/>
  <c r="AK148" i="25" s="1"/>
  <c r="AK154" i="25" s="1"/>
  <c r="AK160" i="25" s="1"/>
  <c r="AK174" i="25"/>
  <c r="AK180" i="25" s="1"/>
  <c r="AK186" i="25" s="1"/>
  <c r="AK192" i="25" s="1"/>
  <c r="AK105" i="25"/>
  <c r="AK111" i="25" s="1"/>
  <c r="AK117" i="25" s="1"/>
  <c r="AK123" i="25" s="1"/>
  <c r="L215" i="27"/>
  <c r="L221" i="27" s="1"/>
  <c r="P15" i="19"/>
  <c r="P12" i="19"/>
  <c r="P6" i="19"/>
  <c r="P18" i="19"/>
  <c r="AF9" i="26"/>
  <c r="AF15" i="26" s="1"/>
  <c r="AF8" i="26"/>
  <c r="AF14" i="26" s="1"/>
  <c r="AF102" i="19"/>
  <c r="AF108" i="19" s="1"/>
  <c r="L71" i="52"/>
  <c r="O27" i="32"/>
  <c r="O56" i="32"/>
  <c r="O18" i="32"/>
  <c r="O46" i="32"/>
  <c r="O9" i="32"/>
  <c r="O37" i="32"/>
  <c r="L48" i="18"/>
  <c r="O65" i="32"/>
  <c r="AH193" i="32"/>
  <c r="AH183" i="32"/>
  <c r="AH164" i="32"/>
  <c r="AH155" i="32"/>
  <c r="AH146" i="32"/>
  <c r="AE50" i="20"/>
  <c r="AE84" i="52"/>
  <c r="L115" i="20"/>
  <c r="L121" i="20" s="1"/>
  <c r="AM101" i="19"/>
  <c r="AM107" i="19" s="1"/>
  <c r="AM28" i="19"/>
  <c r="AM35" i="19" s="1"/>
  <c r="Q165" i="27"/>
  <c r="Q132" i="27"/>
  <c r="Q66" i="27"/>
  <c r="Q231" i="27"/>
  <c r="Q198" i="27"/>
  <c r="AM179" i="28"/>
  <c r="AM45" i="28"/>
  <c r="AP107" i="11"/>
  <c r="AM20" i="52"/>
  <c r="AM178" i="28"/>
  <c r="AM175" i="28"/>
  <c r="AM176" i="28"/>
  <c r="AM180" i="28"/>
  <c r="AM181" i="28"/>
  <c r="AM174" i="28"/>
  <c r="AM177" i="28"/>
  <c r="AN97" i="25"/>
  <c r="AN31" i="25"/>
  <c r="AN229" i="25"/>
  <c r="AN163" i="25"/>
  <c r="AN196" i="25"/>
  <c r="AN64" i="25"/>
  <c r="AN130" i="25"/>
  <c r="AE23" i="19"/>
  <c r="AE13" i="19"/>
  <c r="AH130" i="32" s="1"/>
  <c r="AG74" i="20"/>
  <c r="AG80" i="20" s="1"/>
  <c r="AG86" i="20" s="1"/>
  <c r="AG51" i="27"/>
  <c r="AG57" i="27" s="1"/>
  <c r="AJ91" i="18"/>
  <c r="W118" i="32"/>
  <c r="AD208" i="27"/>
  <c r="AD214" i="27" s="1"/>
  <c r="AD73" i="27"/>
  <c r="AD79" i="27" s="1"/>
  <c r="AD31" i="20"/>
  <c r="AD38" i="20" s="1"/>
  <c r="V16" i="18"/>
  <c r="V18" i="18" s="1"/>
  <c r="Y62" i="32"/>
  <c r="T148" i="20"/>
  <c r="T154" i="20" s="1"/>
  <c r="V164" i="18"/>
  <c r="V166" i="18" s="1"/>
  <c r="V43" i="25"/>
  <c r="V49" i="25" s="1"/>
  <c r="V55" i="25" s="1"/>
  <c r="V61" i="25" s="1"/>
  <c r="V74" i="25"/>
  <c r="V80" i="25" s="1"/>
  <c r="V86" i="25" s="1"/>
  <c r="V92" i="25" s="1"/>
  <c r="T6" i="11"/>
  <c r="AF6" i="11"/>
  <c r="Q6" i="11"/>
  <c r="Z6" i="11"/>
  <c r="W6" i="11"/>
  <c r="AC6" i="11"/>
  <c r="W184" i="26"/>
  <c r="W190" i="26" s="1"/>
  <c r="W42" i="19"/>
  <c r="V64" i="32"/>
  <c r="AM49" i="20"/>
  <c r="AP201" i="32"/>
  <c r="AP154" i="32"/>
  <c r="AP145" i="32"/>
  <c r="AM83" i="52"/>
  <c r="AP192" i="32"/>
  <c r="AP173" i="32"/>
  <c r="AP163" i="32"/>
  <c r="AL67" i="33"/>
  <c r="AL5" i="33" s="1"/>
  <c r="AL23" i="33" s="1"/>
  <c r="AL41" i="33" s="1"/>
  <c r="AN122" i="11"/>
  <c r="AI28" i="11"/>
  <c r="AL28" i="11" s="1"/>
  <c r="AD85" i="26"/>
  <c r="AD91" i="26" s="1"/>
  <c r="AD52" i="26"/>
  <c r="AD58" i="26" s="1"/>
  <c r="AK27" i="20"/>
  <c r="AK34" i="20" s="1"/>
  <c r="AK42" i="20" s="1"/>
  <c r="AK100" i="20"/>
  <c r="AK106" i="20" s="1"/>
  <c r="AK112" i="20" s="1"/>
  <c r="AK118" i="20" s="1"/>
  <c r="AN180" i="32"/>
  <c r="AB19" i="34" s="1"/>
  <c r="AB33" i="34" s="1"/>
  <c r="AN170" i="32"/>
  <c r="AN171" i="32" s="1"/>
  <c r="AB20" i="34" s="1"/>
  <c r="AB34" i="34" s="1"/>
  <c r="P142" i="11"/>
  <c r="T153" i="27"/>
  <c r="T159" i="27" s="1"/>
  <c r="T118" i="27"/>
  <c r="T124" i="27" s="1"/>
  <c r="AM44" i="20"/>
  <c r="N205" i="26"/>
  <c r="N211" i="26" s="1"/>
  <c r="N217" i="26" s="1"/>
  <c r="N223" i="26" s="1"/>
  <c r="N64" i="19"/>
  <c r="N70" i="19" s="1"/>
  <c r="N76" i="19" s="1"/>
  <c r="N82" i="19" s="1"/>
  <c r="N41" i="26"/>
  <c r="N47" i="26" s="1"/>
  <c r="N53" i="26" s="1"/>
  <c r="N59" i="26" s="1"/>
  <c r="T110" i="20"/>
  <c r="T116" i="20" s="1"/>
  <c r="AN199" i="32"/>
  <c r="AB21" i="34" s="1"/>
  <c r="AB35" i="34" s="1"/>
  <c r="AN189" i="32"/>
  <c r="AN190" i="32" s="1"/>
  <c r="AB22" i="34" s="1"/>
  <c r="AB36" i="34" s="1"/>
  <c r="D90" i="18"/>
  <c r="G36" i="32"/>
  <c r="G26" i="32"/>
  <c r="G45" i="32"/>
  <c r="D47" i="18"/>
  <c r="G64" i="32"/>
  <c r="D70" i="52"/>
  <c r="G55" i="32"/>
  <c r="G17" i="32"/>
  <c r="D46" i="18"/>
  <c r="D53" i="18" s="1"/>
  <c r="G8" i="32"/>
  <c r="D93" i="18"/>
  <c r="AI75" i="52"/>
  <c r="AI52" i="18"/>
  <c r="AL22" i="32"/>
  <c r="AL31" i="32"/>
  <c r="AL41" i="32"/>
  <c r="AL60" i="32"/>
  <c r="AL69" i="32"/>
  <c r="AL50" i="32"/>
  <c r="AL13" i="32"/>
  <c r="AA22" i="32"/>
  <c r="AA41" i="32"/>
  <c r="AA69" i="32"/>
  <c r="AA31" i="32"/>
  <c r="AA60" i="32"/>
  <c r="AA50" i="32"/>
  <c r="X75" i="52"/>
  <c r="AA13" i="32"/>
  <c r="X52" i="18"/>
  <c r="G231" i="25"/>
  <c r="G198" i="25"/>
  <c r="G99" i="25"/>
  <c r="G132" i="25"/>
  <c r="G66" i="25"/>
  <c r="G165" i="25"/>
  <c r="G33" i="25"/>
  <c r="N84" i="33"/>
  <c r="N22" i="33" s="1"/>
  <c r="N40" i="33" s="1"/>
  <c r="N58" i="33" s="1"/>
  <c r="AL139" i="11"/>
  <c r="U136" i="11"/>
  <c r="AD81" i="33"/>
  <c r="AD19" i="33" s="1"/>
  <c r="AD37" i="33" s="1"/>
  <c r="AD55" i="33" s="1"/>
  <c r="M93" i="32"/>
  <c r="L25" i="34" s="1"/>
  <c r="L39" i="34" s="1"/>
  <c r="M83" i="32"/>
  <c r="M84" i="32" s="1"/>
  <c r="L24" i="34" s="1"/>
  <c r="L38" i="34" s="1"/>
  <c r="M74" i="32"/>
  <c r="M75" i="32" s="1"/>
  <c r="L23" i="34" s="1"/>
  <c r="L37" i="34" s="1"/>
  <c r="AC195" i="25"/>
  <c r="AC228" i="25"/>
  <c r="AC162" i="25"/>
  <c r="AC96" i="25"/>
  <c r="AC63" i="25"/>
  <c r="AC129" i="25"/>
  <c r="AC30" i="25"/>
  <c r="M15" i="19"/>
  <c r="M12" i="19"/>
  <c r="M18" i="19"/>
  <c r="M6" i="19"/>
  <c r="T201" i="32"/>
  <c r="T154" i="32"/>
  <c r="Q83" i="52"/>
  <c r="Q49" i="20"/>
  <c r="T192" i="32"/>
  <c r="T145" i="32"/>
  <c r="T163" i="32"/>
  <c r="T182" i="32"/>
  <c r="T173" i="32"/>
  <c r="E358" i="53"/>
  <c r="E393" i="53" s="1"/>
  <c r="E263" i="53"/>
  <c r="AN183" i="28"/>
  <c r="H171" i="26"/>
  <c r="H177" i="26" s="1"/>
  <c r="H183" i="26" s="1"/>
  <c r="H189" i="26" s="1"/>
  <c r="H204" i="26"/>
  <c r="H210" i="26" s="1"/>
  <c r="H216" i="26" s="1"/>
  <c r="H222" i="26" s="1"/>
  <c r="H205" i="26"/>
  <c r="H211" i="26" s="1"/>
  <c r="H217" i="26" s="1"/>
  <c r="H223" i="26" s="1"/>
  <c r="N127" i="18"/>
  <c r="AK5" i="25"/>
  <c r="AK11" i="25" s="1"/>
  <c r="AK17" i="25" s="1"/>
  <c r="AK23" i="25" s="1"/>
  <c r="AK66" i="18"/>
  <c r="AK72" i="18" s="1"/>
  <c r="AK78" i="18" s="1"/>
  <c r="AK84" i="18" s="1"/>
  <c r="AK41" i="25"/>
  <c r="AK47" i="25" s="1"/>
  <c r="AK53" i="25" s="1"/>
  <c r="AK59" i="25" s="1"/>
  <c r="L54" i="27"/>
  <c r="L60" i="27" s="1"/>
  <c r="L78" i="20"/>
  <c r="L84" i="20" s="1"/>
  <c r="S143" i="11"/>
  <c r="S144" i="11" s="1"/>
  <c r="AF5" i="26"/>
  <c r="AF11" i="26" s="1"/>
  <c r="AF172" i="26"/>
  <c r="AF178" i="26" s="1"/>
  <c r="AF184" i="26" s="1"/>
  <c r="AF190" i="26" s="1"/>
  <c r="AF31" i="19"/>
  <c r="AF38" i="19" s="1"/>
  <c r="AE45" i="20"/>
  <c r="L114" i="20"/>
  <c r="L120" i="20" s="1"/>
  <c r="AM137" i="19"/>
  <c r="AM143" i="19" s="1"/>
  <c r="AM73" i="26"/>
  <c r="AM79" i="26" s="1"/>
  <c r="AM31" i="19"/>
  <c r="AM38" i="19" s="1"/>
  <c r="O63" i="32"/>
  <c r="N14" i="34" s="1"/>
  <c r="O53" i="32"/>
  <c r="O54" i="32" s="1"/>
  <c r="N15" i="34" s="1"/>
  <c r="AF143" i="11"/>
  <c r="AJ87" i="18"/>
  <c r="AJ73" i="52"/>
  <c r="AM39" i="32"/>
  <c r="AM58" i="32"/>
  <c r="AM29" i="32"/>
  <c r="AM48" i="32"/>
  <c r="AM20" i="32"/>
  <c r="AM11" i="32"/>
  <c r="AM67" i="32"/>
  <c r="AJ50" i="18"/>
  <c r="T78" i="52"/>
  <c r="W78" i="32"/>
  <c r="W134" i="32"/>
  <c r="W115" i="32"/>
  <c r="W96" i="32"/>
  <c r="W125" i="32"/>
  <c r="W87" i="32"/>
  <c r="W106" i="32"/>
  <c r="T50" i="19"/>
  <c r="W99" i="32"/>
  <c r="AD104" i="27"/>
  <c r="AD110" i="27" s="1"/>
  <c r="AG180" i="32"/>
  <c r="AI19" i="34" s="1"/>
  <c r="AI33" i="34" s="1"/>
  <c r="AG170" i="32"/>
  <c r="AG171" i="32" s="1"/>
  <c r="AI20" i="34" s="1"/>
  <c r="AI34" i="34" s="1"/>
  <c r="AD62" i="20"/>
  <c r="AD68" i="20" s="1"/>
  <c r="AD74" i="20" s="1"/>
  <c r="AD80" i="20" s="1"/>
  <c r="AJ72" i="52"/>
  <c r="AM47" i="32"/>
  <c r="AM66" i="32"/>
  <c r="AM19" i="32"/>
  <c r="AM38" i="32"/>
  <c r="AJ49" i="18"/>
  <c r="AJ88" i="18" s="1"/>
  <c r="AM28" i="32"/>
  <c r="AM10" i="32"/>
  <c r="AM57" i="32"/>
  <c r="V206" i="25"/>
  <c r="V212" i="25" s="1"/>
  <c r="V218" i="25" s="1"/>
  <c r="V224" i="25" s="1"/>
  <c r="V174" i="25"/>
  <c r="V180" i="25" s="1"/>
  <c r="V186" i="25" s="1"/>
  <c r="V192" i="25" s="1"/>
  <c r="Y34" i="32"/>
  <c r="Y35" i="32" s="1"/>
  <c r="Y13" i="34" s="1"/>
  <c r="Y44" i="32"/>
  <c r="Y12" i="34" s="1"/>
  <c r="M232" i="25"/>
  <c r="M199" i="25"/>
  <c r="M166" i="25"/>
  <c r="M67" i="25"/>
  <c r="M133" i="25"/>
  <c r="M100" i="25"/>
  <c r="M34" i="25"/>
  <c r="H126" i="32"/>
  <c r="V8" i="32"/>
  <c r="AD150" i="26"/>
  <c r="AD156" i="26" s="1"/>
  <c r="AD186" i="26"/>
  <c r="AD192" i="26" s="1"/>
  <c r="AK113" i="20"/>
  <c r="AK119" i="20" s="1"/>
  <c r="AK150" i="20"/>
  <c r="AK156" i="20" s="1"/>
  <c r="AK79" i="20"/>
  <c r="AK85" i="20" s="1"/>
  <c r="AG121" i="27"/>
  <c r="AG127" i="27" s="1"/>
  <c r="T74" i="20"/>
  <c r="T80" i="20" s="1"/>
  <c r="T117" i="27"/>
  <c r="T123" i="27" s="1"/>
  <c r="T88" i="19"/>
  <c r="AO144" i="32"/>
  <c r="AK83" i="32"/>
  <c r="AK84" i="32" s="1"/>
  <c r="AN24" i="34" s="1"/>
  <c r="AN38" i="34" s="1"/>
  <c r="AK93" i="32"/>
  <c r="AN25" i="34" s="1"/>
  <c r="AN39" i="34" s="1"/>
  <c r="AK74" i="32"/>
  <c r="AK75" i="32" s="1"/>
  <c r="AN23" i="34" s="1"/>
  <c r="AN37" i="34" s="1"/>
  <c r="Q195" i="25"/>
  <c r="Q162" i="25"/>
  <c r="Q129" i="25"/>
  <c r="Q96" i="25"/>
  <c r="Q228" i="25"/>
  <c r="Q63" i="25"/>
  <c r="Q30" i="25"/>
  <c r="W107" i="11"/>
  <c r="T45" i="28"/>
  <c r="T20" i="52"/>
  <c r="T179" i="28"/>
  <c r="T180" i="28"/>
  <c r="T178" i="28"/>
  <c r="T177" i="28"/>
  <c r="T175" i="28"/>
  <c r="T174" i="28"/>
  <c r="T181" i="28"/>
  <c r="T176" i="28"/>
  <c r="H42" i="19"/>
  <c r="H118" i="26"/>
  <c r="H124" i="26" s="1"/>
  <c r="U194" i="32"/>
  <c r="R85" i="52"/>
  <c r="R51" i="20"/>
  <c r="U175" i="32"/>
  <c r="U156" i="32"/>
  <c r="U203" i="32"/>
  <c r="U184" i="32"/>
  <c r="U147" i="32"/>
  <c r="U165" i="32"/>
  <c r="J93" i="32"/>
  <c r="I25" i="34" s="1"/>
  <c r="I39" i="34" s="1"/>
  <c r="J74" i="32"/>
  <c r="J75" i="32" s="1"/>
  <c r="I23" i="34" s="1"/>
  <c r="I37" i="34" s="1"/>
  <c r="J83" i="32"/>
  <c r="J84" i="32" s="1"/>
  <c r="I24" i="34" s="1"/>
  <c r="I38" i="34" s="1"/>
  <c r="L111" i="20"/>
  <c r="L117" i="20" s="1"/>
  <c r="T21" i="27"/>
  <c r="T27" i="27" s="1"/>
  <c r="AF29" i="19"/>
  <c r="AF36" i="19" s="1"/>
  <c r="AF62" i="19"/>
  <c r="AF68" i="19" s="1"/>
  <c r="AF74" i="19" s="1"/>
  <c r="AF80" i="19" s="1"/>
  <c r="AF6" i="26"/>
  <c r="AF12" i="26" s="1"/>
  <c r="L79" i="20"/>
  <c r="L85" i="20" s="1"/>
  <c r="E53" i="36"/>
  <c r="E81" i="36" s="1"/>
  <c r="E109" i="36" s="1"/>
  <c r="E137" i="36" s="1"/>
  <c r="E26" i="36"/>
  <c r="AM142" i="26"/>
  <c r="AM148" i="26" s="1"/>
  <c r="AM135" i="19"/>
  <c r="AM141" i="19" s="1"/>
  <c r="AM27" i="19"/>
  <c r="AM34" i="19" s="1"/>
  <c r="L86" i="18"/>
  <c r="T204" i="32"/>
  <c r="AM137" i="11"/>
  <c r="P82" i="33"/>
  <c r="P20" i="33" s="1"/>
  <c r="P38" i="33" s="1"/>
  <c r="P56" i="33" s="1"/>
  <c r="U181" i="32"/>
  <c r="R82" i="52"/>
  <c r="U162" i="32"/>
  <c r="U153" i="32"/>
  <c r="U144" i="32"/>
  <c r="R48" i="20"/>
  <c r="R86" i="20" s="1"/>
  <c r="R47" i="20"/>
  <c r="R54" i="20" s="1"/>
  <c r="U200" i="32"/>
  <c r="U172" i="32"/>
  <c r="U191" i="32"/>
  <c r="R93" i="20"/>
  <c r="AJ199" i="32"/>
  <c r="AM21" i="34" s="1"/>
  <c r="AM35" i="34" s="1"/>
  <c r="AJ189" i="32"/>
  <c r="AJ190" i="32" s="1"/>
  <c r="AM22" i="34" s="1"/>
  <c r="AM36" i="34" s="1"/>
  <c r="Q162" i="18"/>
  <c r="T166" i="26"/>
  <c r="T67" i="26"/>
  <c r="T232" i="26"/>
  <c r="T199" i="26"/>
  <c r="T133" i="26"/>
  <c r="T100" i="26"/>
  <c r="T34" i="26"/>
  <c r="AD109" i="27"/>
  <c r="AD115" i="27" s="1"/>
  <c r="AD101" i="20"/>
  <c r="AD107" i="20" s="1"/>
  <c r="AD175" i="27"/>
  <c r="AD181" i="27" s="1"/>
  <c r="AD187" i="27" s="1"/>
  <c r="AD193" i="27" s="1"/>
  <c r="V107" i="25"/>
  <c r="V113" i="25" s="1"/>
  <c r="V119" i="25" s="1"/>
  <c r="V125" i="25" s="1"/>
  <c r="V9" i="25"/>
  <c r="V15" i="25" s="1"/>
  <c r="V21" i="25" s="1"/>
  <c r="V27" i="25" s="1"/>
  <c r="V10" i="25"/>
  <c r="V16" i="25" s="1"/>
  <c r="V22" i="25" s="1"/>
  <c r="V28" i="25" s="1"/>
  <c r="AN165" i="25"/>
  <c r="AN198" i="25"/>
  <c r="AN132" i="25"/>
  <c r="AN99" i="25"/>
  <c r="AN33" i="25"/>
  <c r="AN231" i="25"/>
  <c r="AN66" i="25"/>
  <c r="AF229" i="27"/>
  <c r="AF64" i="27"/>
  <c r="AF97" i="27"/>
  <c r="AF130" i="27"/>
  <c r="AF31" i="27"/>
  <c r="AF163" i="27"/>
  <c r="AF196" i="27"/>
  <c r="AG77" i="20"/>
  <c r="AG83" i="20" s="1"/>
  <c r="AG89" i="20" s="1"/>
  <c r="AE42" i="20"/>
  <c r="AD76" i="19"/>
  <c r="AD82" i="19" s="1"/>
  <c r="AD88" i="26"/>
  <c r="AD94" i="26" s="1"/>
  <c r="AD118" i="26"/>
  <c r="AD124" i="26" s="1"/>
  <c r="U193" i="32"/>
  <c r="U202" i="32"/>
  <c r="U174" i="32"/>
  <c r="U146" i="32"/>
  <c r="R84" i="52"/>
  <c r="U164" i="32"/>
  <c r="U183" i="32"/>
  <c r="R50" i="20"/>
  <c r="U155" i="32"/>
  <c r="AK63" i="20"/>
  <c r="AK69" i="20" s="1"/>
  <c r="AK75" i="20" s="1"/>
  <c r="AK81" i="20" s="1"/>
  <c r="AK134" i="20"/>
  <c r="AK140" i="20" s="1"/>
  <c r="AK146" i="20" s="1"/>
  <c r="AK152" i="20" s="1"/>
  <c r="AK208" i="27"/>
  <c r="AK214" i="27" s="1"/>
  <c r="AK220" i="27" s="1"/>
  <c r="AK226" i="27" s="1"/>
  <c r="AO139" i="11"/>
  <c r="AM84" i="33"/>
  <c r="AM22" i="33" s="1"/>
  <c r="AM40" i="33" s="1"/>
  <c r="AM58" i="33" s="1"/>
  <c r="T52" i="27"/>
  <c r="T58" i="27" s="1"/>
  <c r="N151" i="26"/>
  <c r="N157" i="26" s="1"/>
  <c r="N150" i="26"/>
  <c r="N156" i="26" s="1"/>
  <c r="N147" i="19"/>
  <c r="N153" i="19" s="1"/>
  <c r="AO162" i="32"/>
  <c r="O74" i="32"/>
  <c r="O75" i="32" s="1"/>
  <c r="N23" i="34" s="1"/>
  <c r="N37" i="34" s="1"/>
  <c r="O83" i="32"/>
  <c r="O84" i="32" s="1"/>
  <c r="N24" i="34" s="1"/>
  <c r="N38" i="34" s="1"/>
  <c r="O93" i="32"/>
  <c r="N25" i="34" s="1"/>
  <c r="N39" i="34" s="1"/>
  <c r="U109" i="26"/>
  <c r="U115" i="26" s="1"/>
  <c r="U106" i="26"/>
  <c r="U112" i="26" s="1"/>
  <c r="U74" i="26"/>
  <c r="U80" i="26" s="1"/>
  <c r="F162" i="18"/>
  <c r="AL133" i="11"/>
  <c r="N78" i="33"/>
  <c r="N16" i="33" s="1"/>
  <c r="N34" i="33" s="1"/>
  <c r="N52" i="33" s="1"/>
  <c r="L219" i="27"/>
  <c r="L225" i="27" s="1"/>
  <c r="AI46" i="28"/>
  <c r="AI110" i="28"/>
  <c r="G63" i="32"/>
  <c r="E14" i="34" s="1"/>
  <c r="G53" i="32"/>
  <c r="G54" i="32" s="1"/>
  <c r="E15" i="34" s="1"/>
  <c r="L186" i="27"/>
  <c r="L192" i="27" s="1"/>
  <c r="AN133" i="27"/>
  <c r="AN232" i="27"/>
  <c r="AN199" i="27"/>
  <c r="AN166" i="27"/>
  <c r="AN67" i="27"/>
  <c r="AN34" i="27"/>
  <c r="AN100" i="27"/>
  <c r="X90" i="20"/>
  <c r="X127" i="18"/>
  <c r="H73" i="26"/>
  <c r="H79" i="26" s="1"/>
  <c r="H85" i="26" s="1"/>
  <c r="H91" i="26" s="1"/>
  <c r="H134" i="19"/>
  <c r="H140" i="19" s="1"/>
  <c r="H146" i="19" s="1"/>
  <c r="H152" i="19" s="1"/>
  <c r="AK28" i="18"/>
  <c r="AK35" i="18" s="1"/>
  <c r="AK43" i="18" s="1"/>
  <c r="AK100" i="18"/>
  <c r="AK106" i="18" s="1"/>
  <c r="AK112" i="18" s="1"/>
  <c r="AK118" i="18" s="1"/>
  <c r="E227" i="26"/>
  <c r="E62" i="26"/>
  <c r="E161" i="26"/>
  <c r="E128" i="26"/>
  <c r="E95" i="26"/>
  <c r="E29" i="26"/>
  <c r="E194" i="26"/>
  <c r="T84" i="27"/>
  <c r="T90" i="27" s="1"/>
  <c r="AN128" i="25"/>
  <c r="AN62" i="25"/>
  <c r="AN227" i="25"/>
  <c r="AN194" i="25"/>
  <c r="AN161" i="25"/>
  <c r="AN95" i="25"/>
  <c r="AN29" i="25"/>
  <c r="AF26" i="19"/>
  <c r="AF33" i="19" s="1"/>
  <c r="AF17" i="19"/>
  <c r="AF19" i="19" s="1"/>
  <c r="AF205" i="26"/>
  <c r="AF211" i="26" s="1"/>
  <c r="L87" i="27"/>
  <c r="L93" i="27" s="1"/>
  <c r="E63" i="20"/>
  <c r="E69" i="20" s="1"/>
  <c r="E106" i="27"/>
  <c r="E112" i="27" s="1"/>
  <c r="E118" i="27" s="1"/>
  <c r="E124" i="27" s="1"/>
  <c r="E74" i="27"/>
  <c r="E80" i="27" s="1"/>
  <c r="E8" i="27"/>
  <c r="E14" i="27" s="1"/>
  <c r="E20" i="27" s="1"/>
  <c r="E26" i="27" s="1"/>
  <c r="E65" i="20"/>
  <c r="E71" i="20" s="1"/>
  <c r="E77" i="20" s="1"/>
  <c r="E83" i="20" s="1"/>
  <c r="E172" i="27"/>
  <c r="E178" i="27" s="1"/>
  <c r="E184" i="27" s="1"/>
  <c r="E190" i="27" s="1"/>
  <c r="E109" i="27"/>
  <c r="E115" i="27" s="1"/>
  <c r="E121" i="27" s="1"/>
  <c r="E127" i="27" s="1"/>
  <c r="E141" i="27"/>
  <c r="E147" i="27" s="1"/>
  <c r="E153" i="27" s="1"/>
  <c r="E159" i="27" s="1"/>
  <c r="E10" i="27"/>
  <c r="E16" i="27" s="1"/>
  <c r="E22" i="27" s="1"/>
  <c r="E28" i="27" s="1"/>
  <c r="E103" i="20"/>
  <c r="E109" i="20" s="1"/>
  <c r="E115" i="20" s="1"/>
  <c r="E121" i="20" s="1"/>
  <c r="E108" i="27"/>
  <c r="E114" i="27" s="1"/>
  <c r="E5" i="27"/>
  <c r="E11" i="27" s="1"/>
  <c r="E17" i="27" s="1"/>
  <c r="E23" i="27" s="1"/>
  <c r="E207" i="27"/>
  <c r="E213" i="27" s="1"/>
  <c r="E16" i="20"/>
  <c r="E62" i="20"/>
  <c r="E68" i="20" s="1"/>
  <c r="E74" i="20" s="1"/>
  <c r="E80" i="20" s="1"/>
  <c r="E29" i="20"/>
  <c r="E36" i="20" s="1"/>
  <c r="E44" i="20" s="1"/>
  <c r="E67" i="20"/>
  <c r="E73" i="20" s="1"/>
  <c r="E79" i="20" s="1"/>
  <c r="E85" i="20" s="1"/>
  <c r="E173" i="27"/>
  <c r="E179" i="27" s="1"/>
  <c r="E72" i="27"/>
  <c r="E78" i="27" s="1"/>
  <c r="E84" i="27" s="1"/>
  <c r="E90" i="27" s="1"/>
  <c r="H179" i="32"/>
  <c r="E107" i="27"/>
  <c r="E113" i="27" s="1"/>
  <c r="E119" i="27" s="1"/>
  <c r="E125" i="27" s="1"/>
  <c r="E137" i="20"/>
  <c r="E143" i="20" s="1"/>
  <c r="E149" i="20" s="1"/>
  <c r="E155" i="20" s="1"/>
  <c r="E205" i="27"/>
  <c r="E211" i="27" s="1"/>
  <c r="E217" i="27" s="1"/>
  <c r="E223" i="27" s="1"/>
  <c r="E105" i="27"/>
  <c r="E111" i="27" s="1"/>
  <c r="E117" i="27" s="1"/>
  <c r="E123" i="27" s="1"/>
  <c r="E75" i="27"/>
  <c r="E81" i="27" s="1"/>
  <c r="E87" i="27" s="1"/>
  <c r="E93" i="27" s="1"/>
  <c r="E39" i="27"/>
  <c r="E45" i="27" s="1"/>
  <c r="E51" i="27" s="1"/>
  <c r="E57" i="27" s="1"/>
  <c r="E135" i="20"/>
  <c r="E141" i="20" s="1"/>
  <c r="E147" i="20" s="1"/>
  <c r="E153" i="20" s="1"/>
  <c r="E204" i="27"/>
  <c r="E210" i="27" s="1"/>
  <c r="E30" i="20"/>
  <c r="E37" i="20" s="1"/>
  <c r="E45" i="20" s="1"/>
  <c r="E40" i="27"/>
  <c r="E46" i="27" s="1"/>
  <c r="E7" i="27"/>
  <c r="E13" i="27" s="1"/>
  <c r="E19" i="27" s="1"/>
  <c r="E25" i="27" s="1"/>
  <c r="E43" i="27"/>
  <c r="E49" i="27" s="1"/>
  <c r="E55" i="27" s="1"/>
  <c r="E61" i="27" s="1"/>
  <c r="E136" i="20"/>
  <c r="E142" i="20" s="1"/>
  <c r="E148" i="20" s="1"/>
  <c r="E154" i="20" s="1"/>
  <c r="E32" i="20"/>
  <c r="E39" i="20" s="1"/>
  <c r="E40" i="20" s="1"/>
  <c r="E203" i="27"/>
  <c r="E209" i="27" s="1"/>
  <c r="E215" i="27" s="1"/>
  <c r="E221" i="27" s="1"/>
  <c r="E41" i="27"/>
  <c r="E47" i="27" s="1"/>
  <c r="E175" i="27"/>
  <c r="E181" i="27" s="1"/>
  <c r="E187" i="27" s="1"/>
  <c r="E193" i="27" s="1"/>
  <c r="E138" i="20"/>
  <c r="E144" i="20" s="1"/>
  <c r="E150" i="20" s="1"/>
  <c r="E156" i="20" s="1"/>
  <c r="E31" i="20"/>
  <c r="E38" i="20" s="1"/>
  <c r="E46" i="20" s="1"/>
  <c r="E102" i="20"/>
  <c r="E108" i="20" s="1"/>
  <c r="E114" i="20" s="1"/>
  <c r="E120" i="20" s="1"/>
  <c r="E134" i="20"/>
  <c r="E140" i="20" s="1"/>
  <c r="E146" i="20" s="1"/>
  <c r="E152" i="20" s="1"/>
  <c r="E76" i="27"/>
  <c r="E82" i="27" s="1"/>
  <c r="E104" i="27"/>
  <c r="E110" i="27" s="1"/>
  <c r="E116" i="27" s="1"/>
  <c r="E122" i="27" s="1"/>
  <c r="E101" i="20"/>
  <c r="E107" i="20" s="1"/>
  <c r="E113" i="20" s="1"/>
  <c r="E119" i="20" s="1"/>
  <c r="E174" i="27"/>
  <c r="E180" i="27" s="1"/>
  <c r="E73" i="27"/>
  <c r="E79" i="27" s="1"/>
  <c r="E85" i="27" s="1"/>
  <c r="E91" i="27" s="1"/>
  <c r="E17" i="20"/>
  <c r="E19" i="20" s="1"/>
  <c r="E137" i="27"/>
  <c r="E143" i="27" s="1"/>
  <c r="E149" i="27" s="1"/>
  <c r="E155" i="27" s="1"/>
  <c r="E164" i="20"/>
  <c r="E166" i="20" s="1"/>
  <c r="E128" i="20"/>
  <c r="E130" i="20" s="1"/>
  <c r="AE83" i="27"/>
  <c r="AE89" i="27" s="1"/>
  <c r="L74" i="20"/>
  <c r="L80" i="20" s="1"/>
  <c r="AM32" i="19"/>
  <c r="AM39" i="19" s="1"/>
  <c r="AM40" i="19" s="1"/>
  <c r="AM136" i="19"/>
  <c r="AM142" i="19" s="1"/>
  <c r="AM6" i="26"/>
  <c r="AM12" i="26" s="1"/>
  <c r="T195" i="32"/>
  <c r="AM125" i="11"/>
  <c r="P70" i="33"/>
  <c r="P8" i="33" s="1"/>
  <c r="P26" i="33" s="1"/>
  <c r="P44" i="33" s="1"/>
  <c r="AD107" i="11"/>
  <c r="AA20" i="52"/>
  <c r="AA180" i="28"/>
  <c r="AA45" i="28"/>
  <c r="AA179" i="28"/>
  <c r="AA175" i="28"/>
  <c r="AA181" i="28"/>
  <c r="AA176" i="28"/>
  <c r="AA174" i="28"/>
  <c r="AA178" i="28"/>
  <c r="AG182" i="27"/>
  <c r="AG188" i="27" s="1"/>
  <c r="AE86" i="27"/>
  <c r="AE92" i="27" s="1"/>
  <c r="AD42" i="27"/>
  <c r="AD48" i="27" s="1"/>
  <c r="AD71" i="27"/>
  <c r="AD77" i="27" s="1"/>
  <c r="AD83" i="27" s="1"/>
  <c r="AD89" i="27" s="1"/>
  <c r="AD6" i="27"/>
  <c r="AD12" i="27" s="1"/>
  <c r="V27" i="18"/>
  <c r="V34" i="18" s="1"/>
  <c r="V42" i="18" s="1"/>
  <c r="V137" i="25"/>
  <c r="V143" i="25" s="1"/>
  <c r="V149" i="25" s="1"/>
  <c r="V155" i="25" s="1"/>
  <c r="V207" i="25"/>
  <c r="V213" i="25" s="1"/>
  <c r="V219" i="25" s="1"/>
  <c r="V225" i="25" s="1"/>
  <c r="AG43" i="26"/>
  <c r="AG49" i="26" s="1"/>
  <c r="AG140" i="26"/>
  <c r="AG146" i="26" s="1"/>
  <c r="AG105" i="26"/>
  <c r="AG111" i="26" s="1"/>
  <c r="AG208" i="26"/>
  <c r="AG214" i="26" s="1"/>
  <c r="AG174" i="26"/>
  <c r="AG180" i="26" s="1"/>
  <c r="AG206" i="26"/>
  <c r="AG212" i="26" s="1"/>
  <c r="AG106" i="26"/>
  <c r="AG112" i="26" s="1"/>
  <c r="AG108" i="26"/>
  <c r="AG114" i="26" s="1"/>
  <c r="AG63" i="19"/>
  <c r="AG69" i="19" s="1"/>
  <c r="AG30" i="19"/>
  <c r="AG37" i="19" s="1"/>
  <c r="AJ111" i="32"/>
  <c r="AG137" i="26"/>
  <c r="AG143" i="26" s="1"/>
  <c r="AG203" i="26"/>
  <c r="AG209" i="26" s="1"/>
  <c r="AG7" i="26"/>
  <c r="AG13" i="26" s="1"/>
  <c r="AG102" i="19"/>
  <c r="AG108" i="19" s="1"/>
  <c r="AG27" i="19"/>
  <c r="AG34" i="19" s="1"/>
  <c r="AG128" i="19"/>
  <c r="AG130" i="19" s="1"/>
  <c r="AG16" i="19"/>
  <c r="AG204" i="26" s="1"/>
  <c r="AG210" i="26" s="1"/>
  <c r="AG207" i="26"/>
  <c r="AG213" i="26" s="1"/>
  <c r="AG62" i="19"/>
  <c r="AG68" i="19" s="1"/>
  <c r="AG42" i="26"/>
  <c r="AG48" i="26" s="1"/>
  <c r="AG41" i="26"/>
  <c r="AG47" i="26" s="1"/>
  <c r="AG29" i="19"/>
  <c r="AG36" i="19" s="1"/>
  <c r="AG67" i="19"/>
  <c r="AG73" i="19" s="1"/>
  <c r="AG139" i="26"/>
  <c r="AG145" i="26" s="1"/>
  <c r="AG138" i="26"/>
  <c r="AG144" i="26" s="1"/>
  <c r="AG101" i="19"/>
  <c r="AG107" i="19" s="1"/>
  <c r="AG138" i="19"/>
  <c r="AG144" i="19" s="1"/>
  <c r="AG65" i="19"/>
  <c r="AG71" i="19" s="1"/>
  <c r="AG139" i="19"/>
  <c r="AG145" i="19" s="1"/>
  <c r="AG205" i="26"/>
  <c r="AG211" i="26" s="1"/>
  <c r="AG164" i="19"/>
  <c r="AG166" i="19" s="1"/>
  <c r="AG32" i="19"/>
  <c r="AG39" i="19" s="1"/>
  <c r="AG40" i="19" s="1"/>
  <c r="AG38" i="26"/>
  <c r="AG44" i="26" s="1"/>
  <c r="AG134" i="19"/>
  <c r="AG140" i="19" s="1"/>
  <c r="AG66" i="19"/>
  <c r="AG72" i="19" s="1"/>
  <c r="AG73" i="26"/>
  <c r="AG79" i="26" s="1"/>
  <c r="AG26" i="19"/>
  <c r="AG33" i="19" s="1"/>
  <c r="AG39" i="26"/>
  <c r="AG45" i="26" s="1"/>
  <c r="AG40" i="26"/>
  <c r="AG46" i="26" s="1"/>
  <c r="AG9" i="26"/>
  <c r="AG15" i="26" s="1"/>
  <c r="AG109" i="26"/>
  <c r="AG115" i="26" s="1"/>
  <c r="AG71" i="26"/>
  <c r="AG77" i="26" s="1"/>
  <c r="AG141" i="26"/>
  <c r="AG147" i="26" s="1"/>
  <c r="AG74" i="26"/>
  <c r="AG80" i="26" s="1"/>
  <c r="AG6" i="26"/>
  <c r="AG12" i="26" s="1"/>
  <c r="AG171" i="26"/>
  <c r="AG177" i="26" s="1"/>
  <c r="AG183" i="26" s="1"/>
  <c r="AG189" i="26" s="1"/>
  <c r="AG104" i="26"/>
  <c r="AG110" i="26" s="1"/>
  <c r="AG17" i="19"/>
  <c r="AG19" i="19" s="1"/>
  <c r="P13" i="32"/>
  <c r="AE51" i="27"/>
  <c r="AE57" i="27" s="1"/>
  <c r="W150" i="26"/>
  <c r="W156" i="26" s="1"/>
  <c r="H116" i="32"/>
  <c r="AE147" i="20"/>
  <c r="AE153" i="20" s="1"/>
  <c r="AD183" i="26"/>
  <c r="AD189" i="26" s="1"/>
  <c r="AD110" i="19"/>
  <c r="AD116" i="19" s="1"/>
  <c r="AD184" i="26"/>
  <c r="AD190" i="26" s="1"/>
  <c r="U199" i="32"/>
  <c r="T21" i="34" s="1"/>
  <c r="T35" i="34" s="1"/>
  <c r="U189" i="32"/>
  <c r="U190" i="32" s="1"/>
  <c r="T22" i="34" s="1"/>
  <c r="T36" i="34" s="1"/>
  <c r="AK103" i="20"/>
  <c r="AK109" i="20" s="1"/>
  <c r="AK115" i="20" s="1"/>
  <c r="AK121" i="20" s="1"/>
  <c r="AK66" i="20"/>
  <c r="AK72" i="20" s="1"/>
  <c r="AK78" i="20" s="1"/>
  <c r="AK84" i="20" s="1"/>
  <c r="AK75" i="27"/>
  <c r="AK81" i="27" s="1"/>
  <c r="AK87" i="27" s="1"/>
  <c r="AK93" i="27" s="1"/>
  <c r="T42" i="20"/>
  <c r="Z151" i="32"/>
  <c r="Z152" i="32" s="1"/>
  <c r="Z17" i="34" s="1"/>
  <c r="Z31" i="34" s="1"/>
  <c r="Z161" i="32"/>
  <c r="Z18" i="34" s="1"/>
  <c r="Z32" i="34" s="1"/>
  <c r="Z142" i="32"/>
  <c r="Z143" i="32" s="1"/>
  <c r="Z16" i="34" s="1"/>
  <c r="Z30" i="34" s="1"/>
  <c r="N187" i="26"/>
  <c r="N193" i="26" s="1"/>
  <c r="N45" i="19"/>
  <c r="AO200" i="32"/>
  <c r="AE148" i="20"/>
  <c r="AE154" i="20" s="1"/>
  <c r="D122" i="18"/>
  <c r="AN162" i="18"/>
  <c r="AD143" i="11"/>
  <c r="G227" i="25"/>
  <c r="G194" i="25"/>
  <c r="G161" i="25"/>
  <c r="G95" i="25"/>
  <c r="G62" i="25"/>
  <c r="G128" i="25"/>
  <c r="G29" i="25"/>
  <c r="U9" i="26"/>
  <c r="U15" i="26" s="1"/>
  <c r="U76" i="26"/>
  <c r="U82" i="26" s="1"/>
  <c r="U108" i="26"/>
  <c r="U114" i="26" s="1"/>
  <c r="U120" i="26" s="1"/>
  <c r="U126" i="26" s="1"/>
  <c r="L116" i="27"/>
  <c r="L122" i="27" s="1"/>
  <c r="L151" i="20"/>
  <c r="L157" i="20" s="1"/>
  <c r="W99" i="25"/>
  <c r="W132" i="25"/>
  <c r="W66" i="25"/>
  <c r="W165" i="25"/>
  <c r="W198" i="25"/>
  <c r="W33" i="25"/>
  <c r="W231" i="25"/>
  <c r="W126" i="18"/>
  <c r="W90" i="18"/>
  <c r="Q122" i="20"/>
  <c r="K123" i="18"/>
  <c r="AI74" i="52"/>
  <c r="AL49" i="32"/>
  <c r="AI51" i="18"/>
  <c r="AL12" i="32"/>
  <c r="AL21" i="32"/>
  <c r="AL40" i="32"/>
  <c r="AL30" i="32"/>
  <c r="AL59" i="32"/>
  <c r="AL68" i="32"/>
  <c r="H208" i="26"/>
  <c r="H214" i="26" s="1"/>
  <c r="H220" i="26" s="1"/>
  <c r="H226" i="26" s="1"/>
  <c r="H137" i="19"/>
  <c r="H143" i="19" s="1"/>
  <c r="H149" i="19" s="1"/>
  <c r="H155" i="19" s="1"/>
  <c r="H39" i="26"/>
  <c r="H45" i="26" s="1"/>
  <c r="H51" i="26" s="1"/>
  <c r="H57" i="26" s="1"/>
  <c r="G231" i="27"/>
  <c r="G66" i="27"/>
  <c r="G99" i="27"/>
  <c r="G198" i="27"/>
  <c r="G132" i="27"/>
  <c r="G33" i="27"/>
  <c r="AK171" i="25"/>
  <c r="AK177" i="25" s="1"/>
  <c r="AK183" i="25" s="1"/>
  <c r="AK189" i="25" s="1"/>
  <c r="AK109" i="25"/>
  <c r="AK115" i="25" s="1"/>
  <c r="AK121" i="25" s="1"/>
  <c r="AK127" i="25" s="1"/>
  <c r="AK208" i="25"/>
  <c r="AK214" i="25" s="1"/>
  <c r="AK220" i="25" s="1"/>
  <c r="AK226" i="25" s="1"/>
  <c r="AN229" i="27"/>
  <c r="AN196" i="27"/>
  <c r="AN163" i="27"/>
  <c r="AN97" i="27"/>
  <c r="AN130" i="27"/>
  <c r="AN64" i="27"/>
  <c r="AN31" i="27"/>
  <c r="AN124" i="20"/>
  <c r="AI131" i="32"/>
  <c r="AL28" i="34" s="1"/>
  <c r="AL42" i="34" s="1"/>
  <c r="AI121" i="32"/>
  <c r="AI122" i="32" s="1"/>
  <c r="AL29" i="34" s="1"/>
  <c r="AL43" i="34" s="1"/>
  <c r="W135" i="11"/>
  <c r="AF80" i="33"/>
  <c r="AF18" i="33" s="1"/>
  <c r="AF36" i="33" s="1"/>
  <c r="AF54" i="33" s="1"/>
  <c r="T116" i="27"/>
  <c r="T122" i="27" s="1"/>
  <c r="AF30" i="19"/>
  <c r="AF37" i="19" s="1"/>
  <c r="AF45" i="19" s="1"/>
  <c r="AF175" i="26"/>
  <c r="AF181" i="26" s="1"/>
  <c r="AF73" i="26"/>
  <c r="AF79" i="26" s="1"/>
  <c r="T183" i="27"/>
  <c r="T189" i="27" s="1"/>
  <c r="E13" i="20"/>
  <c r="H198" i="32" s="1"/>
  <c r="E23" i="20"/>
  <c r="L86" i="27"/>
  <c r="L92" i="27" s="1"/>
  <c r="AM137" i="26"/>
  <c r="AM143" i="26" s="1"/>
  <c r="AM100" i="19"/>
  <c r="AM106" i="19" s="1"/>
  <c r="AM206" i="26"/>
  <c r="AM212" i="26" s="1"/>
  <c r="AN127" i="20"/>
  <c r="M123" i="18"/>
  <c r="AI6" i="11"/>
  <c r="AL6" i="11" s="1"/>
  <c r="AM122" i="11"/>
  <c r="P67" i="33"/>
  <c r="P5" i="33" s="1"/>
  <c r="P23" i="33" s="1"/>
  <c r="P41" i="33" s="1"/>
  <c r="AJ165" i="18"/>
  <c r="AE115" i="20"/>
  <c r="AE121" i="20" s="1"/>
  <c r="W109" i="32"/>
  <c r="AD139" i="20"/>
  <c r="AD145" i="20" s="1"/>
  <c r="AD206" i="27"/>
  <c r="AD212" i="27" s="1"/>
  <c r="AD170" i="27"/>
  <c r="AD176" i="27" s="1"/>
  <c r="O66" i="32"/>
  <c r="O47" i="32"/>
  <c r="O38" i="32"/>
  <c r="L72" i="52"/>
  <c r="O28" i="32"/>
  <c r="O19" i="32"/>
  <c r="O57" i="32"/>
  <c r="O10" i="32"/>
  <c r="L49" i="18"/>
  <c r="V8" i="25"/>
  <c r="V14" i="25" s="1"/>
  <c r="V20" i="25" s="1"/>
  <c r="V26" i="25" s="1"/>
  <c r="V101" i="18"/>
  <c r="V107" i="18" s="1"/>
  <c r="V113" i="18" s="1"/>
  <c r="V119" i="18" s="1"/>
  <c r="V5" i="25"/>
  <c r="V11" i="25" s="1"/>
  <c r="V17" i="25" s="1"/>
  <c r="V23" i="25" s="1"/>
  <c r="AG23" i="19"/>
  <c r="AG13" i="19"/>
  <c r="AJ130" i="32" s="1"/>
  <c r="P50" i="32"/>
  <c r="D163" i="18"/>
  <c r="AE183" i="27"/>
  <c r="AE189" i="27" s="1"/>
  <c r="H135" i="32"/>
  <c r="AD74" i="19"/>
  <c r="AD80" i="19" s="1"/>
  <c r="AD114" i="19"/>
  <c r="AD120" i="19" s="1"/>
  <c r="AK52" i="27"/>
  <c r="AK58" i="27" s="1"/>
  <c r="AK64" i="20"/>
  <c r="AK70" i="20" s="1"/>
  <c r="AK76" i="20" s="1"/>
  <c r="AK82" i="20" s="1"/>
  <c r="AK38" i="27"/>
  <c r="AK44" i="27" s="1"/>
  <c r="AK50" i="27" s="1"/>
  <c r="AK56" i="27" s="1"/>
  <c r="T75" i="20"/>
  <c r="T81" i="20" s="1"/>
  <c r="N153" i="26"/>
  <c r="N159" i="26" s="1"/>
  <c r="N87" i="26"/>
  <c r="N93" i="26" s="1"/>
  <c r="N21" i="26"/>
  <c r="N27" i="26" s="1"/>
  <c r="AL227" i="27"/>
  <c r="AL161" i="27"/>
  <c r="AL128" i="27"/>
  <c r="AL95" i="27"/>
  <c r="AL29" i="27"/>
  <c r="AL194" i="27"/>
  <c r="AL62" i="27"/>
  <c r="AF95" i="27"/>
  <c r="AF161" i="27"/>
  <c r="AF194" i="27"/>
  <c r="AF227" i="27"/>
  <c r="AF128" i="27"/>
  <c r="AF62" i="27"/>
  <c r="AF29" i="27"/>
  <c r="AL70" i="33"/>
  <c r="AL8" i="33" s="1"/>
  <c r="AL26" i="33" s="1"/>
  <c r="AL44" i="33" s="1"/>
  <c r="AN125" i="11"/>
  <c r="D125" i="18"/>
  <c r="O67" i="32"/>
  <c r="P32" i="25"/>
  <c r="P197" i="25"/>
  <c r="P164" i="25"/>
  <c r="P65" i="25"/>
  <c r="P230" i="25"/>
  <c r="P131" i="25"/>
  <c r="P98" i="25"/>
  <c r="P161" i="18"/>
  <c r="D13" i="19"/>
  <c r="G130" i="32" s="1"/>
  <c r="D23" i="19"/>
  <c r="H151" i="26"/>
  <c r="H157" i="26" s="1"/>
  <c r="V12" i="32"/>
  <c r="V59" i="32"/>
  <c r="S74" i="52"/>
  <c r="V68" i="32"/>
  <c r="S51" i="18"/>
  <c r="S90" i="18" s="1"/>
  <c r="V30" i="32"/>
  <c r="V49" i="32"/>
  <c r="V40" i="32"/>
  <c r="V21" i="32"/>
  <c r="AF71" i="33"/>
  <c r="AF9" i="33" s="1"/>
  <c r="AF27" i="33" s="1"/>
  <c r="AF45" i="33" s="1"/>
  <c r="W126" i="11"/>
  <c r="AF180" i="32"/>
  <c r="AH19" i="34" s="1"/>
  <c r="AH33" i="34" s="1"/>
  <c r="AF170" i="32"/>
  <c r="AF171" i="32" s="1"/>
  <c r="AH20" i="34" s="1"/>
  <c r="AH34" i="34" s="1"/>
  <c r="AF138" i="26"/>
  <c r="AF144" i="26" s="1"/>
  <c r="AF150" i="26" s="1"/>
  <c r="AF156" i="26" s="1"/>
  <c r="AF39" i="26"/>
  <c r="AF45" i="26" s="1"/>
  <c r="AF51" i="26" s="1"/>
  <c r="AF57" i="26" s="1"/>
  <c r="AF139" i="26"/>
  <c r="AF145" i="26" s="1"/>
  <c r="AF151" i="26" s="1"/>
  <c r="AF157" i="26" s="1"/>
  <c r="E99" i="26"/>
  <c r="E231" i="26"/>
  <c r="E66" i="26"/>
  <c r="E33" i="26"/>
  <c r="E165" i="26"/>
  <c r="E198" i="26"/>
  <c r="E132" i="26"/>
  <c r="L154" i="27"/>
  <c r="L160" i="27" s="1"/>
  <c r="AM203" i="26"/>
  <c r="AM209" i="26" s="1"/>
  <c r="AM106" i="26"/>
  <c r="AM112" i="26" s="1"/>
  <c r="AM208" i="26"/>
  <c r="AM214" i="26" s="1"/>
  <c r="AM220" i="26" s="1"/>
  <c r="AM226" i="26" s="1"/>
  <c r="P79" i="33"/>
  <c r="P17" i="33" s="1"/>
  <c r="P35" i="33" s="1"/>
  <c r="P53" i="33" s="1"/>
  <c r="AM134" i="11"/>
  <c r="W128" i="32"/>
  <c r="AD141" i="27"/>
  <c r="AD147" i="27" s="1"/>
  <c r="AD9" i="27"/>
  <c r="AD15" i="27" s="1"/>
  <c r="AD21" i="27" s="1"/>
  <c r="AD27" i="27" s="1"/>
  <c r="AD172" i="27"/>
  <c r="AD178" i="27" s="1"/>
  <c r="AD184" i="27" s="1"/>
  <c r="AD190" i="27" s="1"/>
  <c r="AN227" i="27"/>
  <c r="AN194" i="27"/>
  <c r="AN128" i="27"/>
  <c r="AN95" i="27"/>
  <c r="AN62" i="27"/>
  <c r="AN161" i="27"/>
  <c r="AN29" i="27"/>
  <c r="AN158" i="20"/>
  <c r="V63" i="18"/>
  <c r="V69" i="18" s="1"/>
  <c r="V75" i="18" s="1"/>
  <c r="V81" i="18" s="1"/>
  <c r="V62" i="18"/>
  <c r="V68" i="18" s="1"/>
  <c r="V74" i="18" s="1"/>
  <c r="V80" i="18" s="1"/>
  <c r="V39" i="25"/>
  <c r="V45" i="25" s="1"/>
  <c r="V51" i="25" s="1"/>
  <c r="V57" i="25" s="1"/>
  <c r="L184" i="27"/>
  <c r="L190" i="27" s="1"/>
  <c r="P41" i="32"/>
  <c r="W126" i="19"/>
  <c r="P125" i="18"/>
  <c r="AD77" i="19"/>
  <c r="AD83" i="19" s="1"/>
  <c r="AD50" i="26"/>
  <c r="AD56" i="26" s="1"/>
  <c r="AG112" i="32"/>
  <c r="AI26" i="34" s="1"/>
  <c r="AI40" i="34" s="1"/>
  <c r="AG102" i="32"/>
  <c r="AG103" i="32" s="1"/>
  <c r="AI27" i="34" s="1"/>
  <c r="AI41" i="34" s="1"/>
  <c r="AK205" i="27"/>
  <c r="AK211" i="27" s="1"/>
  <c r="AK217" i="27" s="1"/>
  <c r="AK223" i="27" s="1"/>
  <c r="AK26" i="20"/>
  <c r="AK33" i="20" s="1"/>
  <c r="AK41" i="20" s="1"/>
  <c r="AK138" i="27"/>
  <c r="AK144" i="27" s="1"/>
  <c r="AK150" i="27" s="1"/>
  <c r="AK156" i="27" s="1"/>
  <c r="T78" i="20"/>
  <c r="T84" i="20" s="1"/>
  <c r="T55" i="28"/>
  <c r="T190" i="28"/>
  <c r="T189" i="28"/>
  <c r="T188" i="28"/>
  <c r="T187" i="28"/>
  <c r="T185" i="28"/>
  <c r="T184" i="28"/>
  <c r="T186" i="28"/>
  <c r="K21" i="33"/>
  <c r="E24" i="33"/>
  <c r="N71" i="26"/>
  <c r="N77" i="26" s="1"/>
  <c r="N83" i="26" s="1"/>
  <c r="N89" i="26" s="1"/>
  <c r="N134" i="19"/>
  <c r="N140" i="19" s="1"/>
  <c r="N146" i="19" s="1"/>
  <c r="N152" i="19" s="1"/>
  <c r="N140" i="26"/>
  <c r="N146" i="26" s="1"/>
  <c r="N152" i="26" s="1"/>
  <c r="N158" i="26" s="1"/>
  <c r="AO153" i="32"/>
  <c r="AN137" i="11"/>
  <c r="AL82" i="33"/>
  <c r="AL20" i="33" s="1"/>
  <c r="AL38" i="33" s="1"/>
  <c r="AL56" i="33" s="1"/>
  <c r="D162" i="18"/>
  <c r="L17" i="27"/>
  <c r="L23" i="27" s="1"/>
  <c r="N142" i="11"/>
  <c r="N144" i="11" s="1"/>
  <c r="AC23" i="19"/>
  <c r="AC13" i="19"/>
  <c r="AF130" i="32" s="1"/>
  <c r="O58" i="32"/>
  <c r="AK4" i="11"/>
  <c r="AN4" i="11" s="1"/>
  <c r="AL124" i="11"/>
  <c r="N69" i="33"/>
  <c r="N7" i="33" s="1"/>
  <c r="N25" i="33" s="1"/>
  <c r="N43" i="33" s="1"/>
  <c r="F227" i="26"/>
  <c r="F194" i="26"/>
  <c r="F161" i="26"/>
  <c r="F128" i="26"/>
  <c r="F62" i="26"/>
  <c r="F95" i="26"/>
  <c r="F29" i="26"/>
  <c r="G196" i="27"/>
  <c r="G130" i="27"/>
  <c r="G229" i="27"/>
  <c r="G163" i="27"/>
  <c r="G97" i="27"/>
  <c r="G64" i="27"/>
  <c r="G31" i="27"/>
  <c r="AO63" i="32"/>
  <c r="AC14" i="34" s="1"/>
  <c r="AO53" i="32"/>
  <c r="AO54" i="32" s="1"/>
  <c r="AC15" i="34" s="1"/>
  <c r="L77" i="20"/>
  <c r="L83" i="20" s="1"/>
  <c r="L89" i="20" s="1"/>
  <c r="AD74" i="32"/>
  <c r="AD75" i="32" s="1"/>
  <c r="AF23" i="34" s="1"/>
  <c r="AF37" i="34" s="1"/>
  <c r="AD93" i="32"/>
  <c r="AF25" i="34" s="1"/>
  <c r="AF39" i="34" s="1"/>
  <c r="AD83" i="32"/>
  <c r="AD84" i="32" s="1"/>
  <c r="AF24" i="34" s="1"/>
  <c r="AF38" i="34" s="1"/>
  <c r="X131" i="32"/>
  <c r="W28" i="34" s="1"/>
  <c r="W42" i="34" s="1"/>
  <c r="X121" i="32"/>
  <c r="X122" i="32" s="1"/>
  <c r="W29" i="34" s="1"/>
  <c r="W43" i="34" s="1"/>
  <c r="Y92" i="19"/>
  <c r="Y94" i="19" s="1"/>
  <c r="AB92" i="32"/>
  <c r="AK46" i="28"/>
  <c r="AK110" i="28"/>
  <c r="AK173" i="28"/>
  <c r="H163" i="27"/>
  <c r="H64" i="27"/>
  <c r="H31" i="27"/>
  <c r="H229" i="27"/>
  <c r="H196" i="27"/>
  <c r="H130" i="27"/>
  <c r="H97" i="27"/>
  <c r="H124" i="20"/>
  <c r="H160" i="20"/>
  <c r="H21" i="26"/>
  <c r="H27" i="26" s="1"/>
  <c r="H84" i="26"/>
  <c r="H90" i="26" s="1"/>
  <c r="AF228" i="27"/>
  <c r="AF129" i="27"/>
  <c r="AF63" i="27"/>
  <c r="AF195" i="27"/>
  <c r="AF30" i="27"/>
  <c r="AF162" i="27"/>
  <c r="AF96" i="27"/>
  <c r="V63" i="32"/>
  <c r="U14" i="34" s="1"/>
  <c r="V53" i="32"/>
  <c r="V54" i="32" s="1"/>
  <c r="U15" i="34" s="1"/>
  <c r="AC93" i="32"/>
  <c r="AE25" i="34" s="1"/>
  <c r="AE39" i="34" s="1"/>
  <c r="AC74" i="32"/>
  <c r="AC75" i="32" s="1"/>
  <c r="AE23" i="34" s="1"/>
  <c r="AE37" i="34" s="1"/>
  <c r="AC83" i="32"/>
  <c r="AC84" i="32" s="1"/>
  <c r="AE24" i="34" s="1"/>
  <c r="AE38" i="34" s="1"/>
  <c r="AF74" i="33"/>
  <c r="AF12" i="33" s="1"/>
  <c r="AF30" i="33" s="1"/>
  <c r="AF48" i="33" s="1"/>
  <c r="W129" i="11"/>
  <c r="AF206" i="26"/>
  <c r="AF212" i="26" s="1"/>
  <c r="AF218" i="26" s="1"/>
  <c r="AF224" i="26" s="1"/>
  <c r="AF98" i="19"/>
  <c r="AF104" i="19" s="1"/>
  <c r="AF110" i="19" s="1"/>
  <c r="AF116" i="19" s="1"/>
  <c r="AF65" i="19"/>
  <c r="AF71" i="19" s="1"/>
  <c r="L46" i="20"/>
  <c r="O189" i="32"/>
  <c r="O190" i="32" s="1"/>
  <c r="N22" i="34" s="1"/>
  <c r="N36" i="34" s="1"/>
  <c r="O199" i="32"/>
  <c r="N21" i="34" s="1"/>
  <c r="N35" i="34" s="1"/>
  <c r="L123" i="18"/>
  <c r="AM139" i="19"/>
  <c r="AM145" i="19" s="1"/>
  <c r="AM74" i="26"/>
  <c r="AM80" i="26" s="1"/>
  <c r="AM138" i="26"/>
  <c r="AM144" i="26" s="1"/>
  <c r="L121" i="27"/>
  <c r="L127" i="27" s="1"/>
  <c r="AM123" i="20"/>
  <c r="AM49" i="32"/>
  <c r="AJ74" i="52"/>
  <c r="AJ51" i="18"/>
  <c r="AM21" i="32"/>
  <c r="AM68" i="32"/>
  <c r="AM12" i="32"/>
  <c r="AM40" i="32"/>
  <c r="AM59" i="32"/>
  <c r="AM30" i="32"/>
  <c r="AJ158" i="18"/>
  <c r="F67" i="26"/>
  <c r="F232" i="26"/>
  <c r="F199" i="26"/>
  <c r="F166" i="26"/>
  <c r="F133" i="26"/>
  <c r="F100" i="26"/>
  <c r="F34" i="26"/>
  <c r="W137" i="32"/>
  <c r="AD146" i="20"/>
  <c r="AD152" i="20" s="1"/>
  <c r="H126" i="18"/>
  <c r="P129" i="25"/>
  <c r="P63" i="25"/>
  <c r="P30" i="25"/>
  <c r="P96" i="25"/>
  <c r="P228" i="25"/>
  <c r="P195" i="25"/>
  <c r="P162" i="25"/>
  <c r="T22" i="27"/>
  <c r="T28" i="27" s="1"/>
  <c r="AD151" i="19"/>
  <c r="AD157" i="19" s="1"/>
  <c r="AD149" i="26"/>
  <c r="AD155" i="26" s="1"/>
  <c r="AD105" i="26"/>
  <c r="AD111" i="26" s="1"/>
  <c r="AD117" i="26" s="1"/>
  <c r="AD123" i="26" s="1"/>
  <c r="AM19" i="27"/>
  <c r="AM25" i="27" s="1"/>
  <c r="AK173" i="27"/>
  <c r="AK179" i="27" s="1"/>
  <c r="AK185" i="27" s="1"/>
  <c r="AK191" i="27" s="1"/>
  <c r="AK28" i="20"/>
  <c r="AK35" i="20" s="1"/>
  <c r="AK43" i="20" s="1"/>
  <c r="AK105" i="27"/>
  <c r="AK111" i="27" s="1"/>
  <c r="AK117" i="27" s="1"/>
  <c r="AK123" i="27" s="1"/>
  <c r="X73" i="52"/>
  <c r="AA11" i="32"/>
  <c r="AA48" i="32"/>
  <c r="AA39" i="32"/>
  <c r="AA29" i="32"/>
  <c r="AA67" i="32"/>
  <c r="AA20" i="32"/>
  <c r="AA58" i="32"/>
  <c r="X50" i="18"/>
  <c r="X89" i="18" s="1"/>
  <c r="T20" i="27"/>
  <c r="T26" i="27" s="1"/>
  <c r="N107" i="26"/>
  <c r="N113" i="26" s="1"/>
  <c r="N119" i="26" s="1"/>
  <c r="N125" i="26" s="1"/>
  <c r="N206" i="26"/>
  <c r="N212" i="26" s="1"/>
  <c r="N218" i="26" s="1"/>
  <c r="N224" i="26" s="1"/>
  <c r="R159" i="20"/>
  <c r="H74" i="52"/>
  <c r="K40" i="32"/>
  <c r="K59" i="32"/>
  <c r="K30" i="32"/>
  <c r="K68" i="32"/>
  <c r="K49" i="32"/>
  <c r="K21" i="32"/>
  <c r="K12" i="32"/>
  <c r="H51" i="18"/>
  <c r="L158" i="18"/>
  <c r="D71" i="52"/>
  <c r="G56" i="32"/>
  <c r="G27" i="32"/>
  <c r="D48" i="18"/>
  <c r="G37" i="32"/>
  <c r="G65" i="32"/>
  <c r="G18" i="32"/>
  <c r="G9" i="32"/>
  <c r="G46" i="32"/>
  <c r="D75" i="52"/>
  <c r="G69" i="32"/>
  <c r="G41" i="32"/>
  <c r="G31" i="32"/>
  <c r="D52" i="18"/>
  <c r="D91" i="18" s="1"/>
  <c r="G13" i="32"/>
  <c r="G60" i="32"/>
  <c r="G22" i="32"/>
  <c r="G50" i="32"/>
  <c r="D158" i="18"/>
  <c r="O29" i="32"/>
  <c r="X102" i="32"/>
  <c r="X103" i="32" s="1"/>
  <c r="W27" i="34" s="1"/>
  <c r="W41" i="34" s="1"/>
  <c r="X112" i="32"/>
  <c r="W26" i="34" s="1"/>
  <c r="W40" i="34" s="1"/>
  <c r="X71" i="52"/>
  <c r="AA37" i="32"/>
  <c r="X48" i="18"/>
  <c r="AA9" i="32"/>
  <c r="AA18" i="32"/>
  <c r="AA56" i="32"/>
  <c r="AA46" i="32"/>
  <c r="AA65" i="32"/>
  <c r="AA27" i="32"/>
  <c r="U152" i="26"/>
  <c r="U158" i="26" s="1"/>
  <c r="H54" i="26"/>
  <c r="H60" i="26" s="1"/>
  <c r="N47" i="32"/>
  <c r="K72" i="52"/>
  <c r="N66" i="32"/>
  <c r="N57" i="32"/>
  <c r="N19" i="32"/>
  <c r="N28" i="32"/>
  <c r="N38" i="32"/>
  <c r="K49" i="18"/>
  <c r="N10" i="32"/>
  <c r="U203" i="26"/>
  <c r="U209" i="26" s="1"/>
  <c r="U107" i="26"/>
  <c r="U113" i="26" s="1"/>
  <c r="U26" i="19"/>
  <c r="U33" i="19" s="1"/>
  <c r="U104" i="26"/>
  <c r="U110" i="26" s="1"/>
  <c r="U116" i="26" s="1"/>
  <c r="U122" i="26" s="1"/>
  <c r="U28" i="19"/>
  <c r="U35" i="19" s="1"/>
  <c r="U43" i="19" s="1"/>
  <c r="AF56" i="32"/>
  <c r="Q159" i="18"/>
  <c r="Q64" i="25"/>
  <c r="Q196" i="25"/>
  <c r="Q31" i="25"/>
  <c r="Q130" i="25"/>
  <c r="Q229" i="25"/>
  <c r="Q97" i="25"/>
  <c r="Q163" i="25"/>
  <c r="Y15" i="19"/>
  <c r="Y12" i="19"/>
  <c r="Y18" i="19"/>
  <c r="Y6" i="19"/>
  <c r="H28" i="19"/>
  <c r="H35" i="19" s="1"/>
  <c r="H43" i="19" s="1"/>
  <c r="H99" i="19"/>
  <c r="H105" i="19" s="1"/>
  <c r="H111" i="19" s="1"/>
  <c r="H117" i="19" s="1"/>
  <c r="H65" i="19"/>
  <c r="H71" i="19" s="1"/>
  <c r="H77" i="19" s="1"/>
  <c r="H83" i="19" s="1"/>
  <c r="R162" i="20"/>
  <c r="AK203" i="25"/>
  <c r="AK209" i="25" s="1"/>
  <c r="AK215" i="25" s="1"/>
  <c r="AK221" i="25" s="1"/>
  <c r="AK137" i="25"/>
  <c r="AK143" i="25" s="1"/>
  <c r="AK149" i="25" s="1"/>
  <c r="AK155" i="25" s="1"/>
  <c r="AK135" i="18"/>
  <c r="AK141" i="18" s="1"/>
  <c r="AK147" i="18" s="1"/>
  <c r="AK153" i="18" s="1"/>
  <c r="W132" i="11"/>
  <c r="AF77" i="33"/>
  <c r="AF15" i="33" s="1"/>
  <c r="AF33" i="33" s="1"/>
  <c r="AF51" i="33" s="1"/>
  <c r="AF7" i="26"/>
  <c r="AF13" i="26" s="1"/>
  <c r="AF19" i="26" s="1"/>
  <c r="AF25" i="26" s="1"/>
  <c r="AF76" i="26"/>
  <c r="AF82" i="26" s="1"/>
  <c r="AF88" i="26" s="1"/>
  <c r="AF94" i="26" s="1"/>
  <c r="AF66" i="19"/>
  <c r="AF72" i="19" s="1"/>
  <c r="AF78" i="19" s="1"/>
  <c r="AF84" i="19" s="1"/>
  <c r="AE88" i="20"/>
  <c r="L21" i="27"/>
  <c r="L27" i="27" s="1"/>
  <c r="L19" i="27"/>
  <c r="L25" i="27" s="1"/>
  <c r="AM172" i="26"/>
  <c r="AM178" i="26" s="1"/>
  <c r="AM63" i="19"/>
  <c r="AM69" i="19" s="1"/>
  <c r="AM134" i="19"/>
  <c r="AM140" i="19" s="1"/>
  <c r="U142" i="11"/>
  <c r="T150" i="20"/>
  <c r="T156" i="20" s="1"/>
  <c r="L20" i="27"/>
  <c r="L26" i="27" s="1"/>
  <c r="AD76" i="27"/>
  <c r="AD82" i="27" s="1"/>
  <c r="AD88" i="27" s="1"/>
  <c r="AD94" i="27" s="1"/>
  <c r="AD103" i="20"/>
  <c r="AD109" i="20" s="1"/>
  <c r="AD115" i="20" s="1"/>
  <c r="AD121" i="20" s="1"/>
  <c r="T142" i="11"/>
  <c r="V25" i="18"/>
  <c r="V32" i="18" s="1"/>
  <c r="V40" i="18" s="1"/>
  <c r="V103" i="18"/>
  <c r="V109" i="18" s="1"/>
  <c r="V115" i="18" s="1"/>
  <c r="V121" i="18" s="1"/>
  <c r="V7" i="25"/>
  <c r="V13" i="25" s="1"/>
  <c r="V19" i="25" s="1"/>
  <c r="V25" i="25" s="1"/>
  <c r="T76" i="20"/>
  <c r="T82" i="20" s="1"/>
  <c r="V142" i="11"/>
  <c r="P60" i="32"/>
  <c r="W77" i="19"/>
  <c r="W83" i="19" s="1"/>
  <c r="W150" i="19"/>
  <c r="W156" i="19" s="1"/>
  <c r="W162" i="19" s="1"/>
  <c r="W151" i="19"/>
  <c r="W157" i="19" s="1"/>
  <c r="AD10" i="26"/>
  <c r="AD16" i="26" s="1"/>
  <c r="AD22" i="26" s="1"/>
  <c r="AD28" i="26" s="1"/>
  <c r="AD104" i="26"/>
  <c r="AD110" i="26" s="1"/>
  <c r="AD116" i="26" s="1"/>
  <c r="AD122" i="26" s="1"/>
  <c r="AK7" i="27"/>
  <c r="AK13" i="27" s="1"/>
  <c r="AK19" i="27" s="1"/>
  <c r="AK25" i="27" s="1"/>
  <c r="AK29" i="20"/>
  <c r="AK36" i="20" s="1"/>
  <c r="AK44" i="20" s="1"/>
  <c r="AK206" i="27"/>
  <c r="AK212" i="27" s="1"/>
  <c r="AK218" i="27" s="1"/>
  <c r="AK224" i="27" s="1"/>
  <c r="AF158" i="20"/>
  <c r="T113" i="20"/>
  <c r="T119" i="20" s="1"/>
  <c r="AE78" i="20"/>
  <c r="AE84" i="20" s="1"/>
  <c r="N72" i="26"/>
  <c r="N78" i="26" s="1"/>
  <c r="N84" i="26" s="1"/>
  <c r="N90" i="26" s="1"/>
  <c r="N108" i="26"/>
  <c r="N114" i="26" s="1"/>
  <c r="N120" i="26" s="1"/>
  <c r="N126" i="26" s="1"/>
  <c r="AO172" i="32"/>
  <c r="AG131" i="32"/>
  <c r="AI28" i="34" s="1"/>
  <c r="AI42" i="34" s="1"/>
  <c r="AG121" i="32"/>
  <c r="AG122" i="32" s="1"/>
  <c r="AI29" i="34" s="1"/>
  <c r="AI43" i="34" s="1"/>
  <c r="AF111" i="32"/>
  <c r="AC128" i="19"/>
  <c r="AC130" i="19" s="1"/>
  <c r="AC16" i="19"/>
  <c r="AC101" i="19" s="1"/>
  <c r="AC107" i="19" s="1"/>
  <c r="AC139" i="26"/>
  <c r="AC145" i="26" s="1"/>
  <c r="AC204" i="26"/>
  <c r="AC210" i="26" s="1"/>
  <c r="AC26" i="19"/>
  <c r="AC33" i="19" s="1"/>
  <c r="AC139" i="19"/>
  <c r="AC145" i="19" s="1"/>
  <c r="AC102" i="19"/>
  <c r="AC108" i="19" s="1"/>
  <c r="AC103" i="19"/>
  <c r="AC109" i="19" s="1"/>
  <c r="AC171" i="26"/>
  <c r="AC177" i="26" s="1"/>
  <c r="AC207" i="26"/>
  <c r="AC213" i="26" s="1"/>
  <c r="AC43" i="26"/>
  <c r="AC49" i="26" s="1"/>
  <c r="AC174" i="26"/>
  <c r="AC180" i="26" s="1"/>
  <c r="AC7" i="26"/>
  <c r="AC13" i="26" s="1"/>
  <c r="AC99" i="19"/>
  <c r="AC105" i="19" s="1"/>
  <c r="AC134" i="19"/>
  <c r="AC140" i="19" s="1"/>
  <c r="AC100" i="19"/>
  <c r="AC106" i="19" s="1"/>
  <c r="AC208" i="26"/>
  <c r="AC214" i="26" s="1"/>
  <c r="AC105" i="26"/>
  <c r="AC111" i="26" s="1"/>
  <c r="AC142" i="26"/>
  <c r="AC148" i="26" s="1"/>
  <c r="AC71" i="26"/>
  <c r="AC77" i="26" s="1"/>
  <c r="AC137" i="26"/>
  <c r="AC143" i="26" s="1"/>
  <c r="AC65" i="19"/>
  <c r="AC71" i="19" s="1"/>
  <c r="AC170" i="26"/>
  <c r="AC176" i="26" s="1"/>
  <c r="AC67" i="19"/>
  <c r="AC73" i="19" s="1"/>
  <c r="AC164" i="19"/>
  <c r="AC166" i="19" s="1"/>
  <c r="AC108" i="26"/>
  <c r="AC114" i="26" s="1"/>
  <c r="AC74" i="26"/>
  <c r="AC80" i="26" s="1"/>
  <c r="AC30" i="19"/>
  <c r="AC37" i="19" s="1"/>
  <c r="AC107" i="26"/>
  <c r="AC113" i="26" s="1"/>
  <c r="AC10" i="26"/>
  <c r="AC16" i="26" s="1"/>
  <c r="AC62" i="19"/>
  <c r="AC68" i="19" s="1"/>
  <c r="AC76" i="26"/>
  <c r="AC82" i="26" s="1"/>
  <c r="AC27" i="19"/>
  <c r="AC34" i="19" s="1"/>
  <c r="AC109" i="26"/>
  <c r="AC115" i="26" s="1"/>
  <c r="AC205" i="26"/>
  <c r="AC211" i="26" s="1"/>
  <c r="AC38" i="26"/>
  <c r="AC44" i="26" s="1"/>
  <c r="AC32" i="19"/>
  <c r="AC39" i="19" s="1"/>
  <c r="AC40" i="19" s="1"/>
  <c r="L98" i="25"/>
  <c r="L131" i="25"/>
  <c r="L32" i="25"/>
  <c r="L197" i="25"/>
  <c r="L230" i="25"/>
  <c r="L164" i="25"/>
  <c r="L65" i="25"/>
  <c r="Q88" i="20"/>
  <c r="AC64" i="25"/>
  <c r="AC31" i="25"/>
  <c r="AC229" i="25"/>
  <c r="AC196" i="25"/>
  <c r="AC163" i="25"/>
  <c r="AC97" i="25"/>
  <c r="AC130" i="25"/>
  <c r="U154" i="26"/>
  <c r="U160" i="26" s="1"/>
  <c r="F230" i="26"/>
  <c r="F164" i="26"/>
  <c r="F197" i="26"/>
  <c r="F32" i="26"/>
  <c r="F131" i="26"/>
  <c r="F98" i="26"/>
  <c r="F65" i="26"/>
  <c r="F125" i="19"/>
  <c r="AF63" i="32"/>
  <c r="AH14" i="34" s="1"/>
  <c r="AF53" i="32"/>
  <c r="AF54" i="32" s="1"/>
  <c r="AH15" i="34" s="1"/>
  <c r="AC123" i="18"/>
  <c r="AC87" i="18"/>
  <c r="AI70" i="52"/>
  <c r="AL45" i="32"/>
  <c r="AI47" i="18"/>
  <c r="AL26" i="32"/>
  <c r="AL36" i="32"/>
  <c r="AL64" i="32"/>
  <c r="AL17" i="32"/>
  <c r="AI93" i="18"/>
  <c r="AI46" i="18"/>
  <c r="AI53" i="18" s="1"/>
  <c r="AL8" i="32"/>
  <c r="AL55" i="32"/>
  <c r="AL92" i="32"/>
  <c r="AI92" i="19"/>
  <c r="AI94" i="19" s="1"/>
  <c r="G232" i="25"/>
  <c r="G166" i="25"/>
  <c r="G199" i="25"/>
  <c r="G133" i="25"/>
  <c r="G100" i="25"/>
  <c r="G67" i="25"/>
  <c r="G34" i="25"/>
  <c r="U103" i="19"/>
  <c r="U109" i="19" s="1"/>
  <c r="U115" i="19" s="1"/>
  <c r="U121" i="19" s="1"/>
  <c r="U42" i="26"/>
  <c r="U48" i="26" s="1"/>
  <c r="U63" i="19"/>
  <c r="U69" i="19" s="1"/>
  <c r="K158" i="18"/>
  <c r="Q91" i="20"/>
  <c r="C39" i="33"/>
  <c r="D21" i="33"/>
  <c r="H63" i="19"/>
  <c r="H69" i="19" s="1"/>
  <c r="H75" i="19" s="1"/>
  <c r="H81" i="19" s="1"/>
  <c r="H10" i="26"/>
  <c r="H16" i="26" s="1"/>
  <c r="H22" i="26" s="1"/>
  <c r="H28" i="26" s="1"/>
  <c r="H137" i="26"/>
  <c r="H143" i="26" s="1"/>
  <c r="H149" i="26" s="1"/>
  <c r="H155" i="26" s="1"/>
  <c r="K31" i="33"/>
  <c r="E34" i="33"/>
  <c r="P232" i="25"/>
  <c r="P166" i="25"/>
  <c r="P199" i="25"/>
  <c r="P34" i="25"/>
  <c r="P100" i="25"/>
  <c r="P133" i="25"/>
  <c r="P67" i="25"/>
  <c r="N50" i="18"/>
  <c r="Q29" i="32"/>
  <c r="N73" i="52"/>
  <c r="Q58" i="32"/>
  <c r="Q11" i="32"/>
  <c r="Q20" i="32"/>
  <c r="Q67" i="32"/>
  <c r="Q39" i="32"/>
  <c r="Q48" i="32"/>
  <c r="AK8" i="25"/>
  <c r="AK14" i="25" s="1"/>
  <c r="AK20" i="25" s="1"/>
  <c r="AK26" i="25" s="1"/>
  <c r="AK136" i="18"/>
  <c r="AK142" i="18" s="1"/>
  <c r="AK148" i="18" s="1"/>
  <c r="AK154" i="18" s="1"/>
  <c r="AK10" i="25"/>
  <c r="AK16" i="25" s="1"/>
  <c r="AK22" i="25" s="1"/>
  <c r="AK28" i="25" s="1"/>
  <c r="H87" i="18"/>
  <c r="AJ22" i="11"/>
  <c r="AM22" i="11" s="1"/>
  <c r="W123" i="11"/>
  <c r="AF68" i="33"/>
  <c r="AF6" i="33" s="1"/>
  <c r="AF24" i="33" s="1"/>
  <c r="AF42" i="33" s="1"/>
  <c r="AF81" i="33"/>
  <c r="AF19" i="33" s="1"/>
  <c r="AF37" i="33" s="1"/>
  <c r="AF55" i="33" s="1"/>
  <c r="W136" i="11"/>
  <c r="J230" i="25"/>
  <c r="J164" i="25"/>
  <c r="J197" i="25"/>
  <c r="J131" i="25"/>
  <c r="J32" i="25"/>
  <c r="J98" i="25"/>
  <c r="J65" i="25"/>
  <c r="J161" i="18"/>
  <c r="AF207" i="26"/>
  <c r="AF213" i="26" s="1"/>
  <c r="AF219" i="26" s="1"/>
  <c r="AF225" i="26" s="1"/>
  <c r="AF170" i="26"/>
  <c r="AF176" i="26" s="1"/>
  <c r="AF182" i="26" s="1"/>
  <c r="AF188" i="26" s="1"/>
  <c r="AF137" i="26"/>
  <c r="AF143" i="26" s="1"/>
  <c r="AF149" i="26" s="1"/>
  <c r="AF155" i="26" s="1"/>
  <c r="L220" i="27"/>
  <c r="L226" i="27" s="1"/>
  <c r="L75" i="20"/>
  <c r="L81" i="20" s="1"/>
  <c r="AM107" i="26"/>
  <c r="AM113" i="26" s="1"/>
  <c r="AM204" i="26"/>
  <c r="AM210" i="26" s="1"/>
  <c r="AM138" i="19"/>
  <c r="AM144" i="19" s="1"/>
  <c r="L85" i="27"/>
  <c r="L91" i="27" s="1"/>
  <c r="Z96" i="25"/>
  <c r="Z63" i="25"/>
  <c r="Z30" i="25"/>
  <c r="Z228" i="25"/>
  <c r="Z162" i="25"/>
  <c r="Z129" i="25"/>
  <c r="Z195" i="25"/>
  <c r="Z159" i="18"/>
  <c r="Z87" i="18"/>
  <c r="N161" i="25"/>
  <c r="N194" i="25"/>
  <c r="N227" i="25"/>
  <c r="N128" i="25"/>
  <c r="N62" i="25"/>
  <c r="N95" i="25"/>
  <c r="N29" i="25"/>
  <c r="G158" i="18"/>
  <c r="T19" i="27"/>
  <c r="T25" i="27" s="1"/>
  <c r="L160" i="18"/>
  <c r="AG165" i="20"/>
  <c r="AM31" i="32"/>
  <c r="AM22" i="32"/>
  <c r="AM50" i="32"/>
  <c r="AJ52" i="18"/>
  <c r="AM41" i="32"/>
  <c r="AM60" i="32"/>
  <c r="AM69" i="32"/>
  <c r="AJ75" i="52"/>
  <c r="AM13" i="32"/>
  <c r="AP204" i="32"/>
  <c r="AP157" i="32"/>
  <c r="AP166" i="32"/>
  <c r="AM52" i="20"/>
  <c r="AM162" i="20" s="1"/>
  <c r="AP195" i="32"/>
  <c r="AP148" i="32"/>
  <c r="AP185" i="32"/>
  <c r="AM86" i="52"/>
  <c r="P58" i="32"/>
  <c r="P29" i="32"/>
  <c r="P20" i="32"/>
  <c r="P67" i="32"/>
  <c r="P11" i="32"/>
  <c r="M50" i="18"/>
  <c r="P39" i="32"/>
  <c r="P48" i="32"/>
  <c r="M73" i="52"/>
  <c r="AD204" i="27"/>
  <c r="AD210" i="27" s="1"/>
  <c r="AD17" i="20"/>
  <c r="AD19" i="20" s="1"/>
  <c r="AD67" i="20"/>
  <c r="AD73" i="20" s="1"/>
  <c r="AD79" i="20" s="1"/>
  <c r="AD85" i="20" s="1"/>
  <c r="AL165" i="20"/>
  <c r="F126" i="19"/>
  <c r="V203" i="25"/>
  <c r="V209" i="25" s="1"/>
  <c r="V215" i="25" s="1"/>
  <c r="V221" i="25" s="1"/>
  <c r="V66" i="18"/>
  <c r="V72" i="18" s="1"/>
  <c r="V78" i="18" s="1"/>
  <c r="V84" i="18" s="1"/>
  <c r="AO107" i="11"/>
  <c r="AL20" i="52"/>
  <c r="AL45" i="28"/>
  <c r="AL178" i="28"/>
  <c r="AL179" i="28"/>
  <c r="AL180" i="28"/>
  <c r="AL175" i="28"/>
  <c r="AL177" i="28"/>
  <c r="AL181" i="28"/>
  <c r="AL176" i="28"/>
  <c r="AL174" i="28"/>
  <c r="P31" i="32"/>
  <c r="W215" i="26"/>
  <c r="W221" i="26" s="1"/>
  <c r="AK28" i="11"/>
  <c r="AN28" i="11" s="1"/>
  <c r="AL69" i="33"/>
  <c r="AL7" i="33" s="1"/>
  <c r="AL25" i="33" s="1"/>
  <c r="AL43" i="33" s="1"/>
  <c r="AN124" i="11"/>
  <c r="AD154" i="26"/>
  <c r="AD160" i="26" s="1"/>
  <c r="AD87" i="26"/>
  <c r="AD93" i="26" s="1"/>
  <c r="AD149" i="19"/>
  <c r="AD155" i="19" s="1"/>
  <c r="AK106" i="27"/>
  <c r="AK112" i="27" s="1"/>
  <c r="AK118" i="27" s="1"/>
  <c r="AK124" i="27" s="1"/>
  <c r="AK171" i="27"/>
  <c r="AK177" i="27" s="1"/>
  <c r="AK183" i="27" s="1"/>
  <c r="AK189" i="27" s="1"/>
  <c r="AK39" i="27"/>
  <c r="AK45" i="27" s="1"/>
  <c r="AK51" i="27" s="1"/>
  <c r="AK57" i="27" s="1"/>
  <c r="T45" i="20"/>
  <c r="Q112" i="32"/>
  <c r="Q26" i="34" s="1"/>
  <c r="Q40" i="34" s="1"/>
  <c r="Q102" i="32"/>
  <c r="Q103" i="32" s="1"/>
  <c r="Q27" i="34" s="1"/>
  <c r="Q41" i="34" s="1"/>
  <c r="O48" i="32"/>
  <c r="D5" i="20"/>
  <c r="D21" i="20"/>
  <c r="D22" i="20" s="1"/>
  <c r="U153" i="26"/>
  <c r="U159" i="26" s="1"/>
  <c r="F33" i="25"/>
  <c r="F165" i="25"/>
  <c r="F231" i="25"/>
  <c r="F198" i="25"/>
  <c r="F99" i="25"/>
  <c r="F132" i="25"/>
  <c r="F66" i="25"/>
  <c r="F7" i="52"/>
  <c r="W161" i="25"/>
  <c r="W95" i="25"/>
  <c r="W227" i="25"/>
  <c r="W194" i="25"/>
  <c r="W128" i="25"/>
  <c r="W62" i="25"/>
  <c r="W29" i="25"/>
  <c r="H187" i="26"/>
  <c r="H193" i="26" s="1"/>
  <c r="AD142" i="11"/>
  <c r="AA143" i="11"/>
  <c r="AA144" i="11" s="1"/>
  <c r="G228" i="25"/>
  <c r="G195" i="25"/>
  <c r="G129" i="25"/>
  <c r="G96" i="25"/>
  <c r="G30" i="25"/>
  <c r="G162" i="25"/>
  <c r="G63" i="25"/>
  <c r="G26" i="19"/>
  <c r="G33" i="19" s="1"/>
  <c r="G207" i="26"/>
  <c r="G213" i="26" s="1"/>
  <c r="G128" i="19"/>
  <c r="G130" i="19" s="1"/>
  <c r="G98" i="19"/>
  <c r="G104" i="19" s="1"/>
  <c r="G16" i="19"/>
  <c r="G101" i="19" s="1"/>
  <c r="G107" i="19" s="1"/>
  <c r="G174" i="26"/>
  <c r="G180" i="26" s="1"/>
  <c r="G74" i="26"/>
  <c r="G80" i="26" s="1"/>
  <c r="J111" i="32"/>
  <c r="R142" i="11"/>
  <c r="AC124" i="18"/>
  <c r="AI125" i="18"/>
  <c r="AI15" i="19"/>
  <c r="AI12" i="19"/>
  <c r="AI18" i="19"/>
  <c r="AI6" i="19"/>
  <c r="W229" i="25"/>
  <c r="W130" i="25"/>
  <c r="W196" i="25"/>
  <c r="W163" i="25"/>
  <c r="W31" i="25"/>
  <c r="W97" i="25"/>
  <c r="W64" i="25"/>
  <c r="U10" i="26"/>
  <c r="U16" i="26" s="1"/>
  <c r="U22" i="26" s="1"/>
  <c r="U28" i="26" s="1"/>
  <c r="U31" i="19"/>
  <c r="U38" i="19" s="1"/>
  <c r="U46" i="19" s="1"/>
  <c r="U62" i="19"/>
  <c r="U68" i="19" s="1"/>
  <c r="U74" i="19" s="1"/>
  <c r="U80" i="19" s="1"/>
  <c r="AF163" i="20"/>
  <c r="K74" i="52"/>
  <c r="K51" i="18"/>
  <c r="K90" i="18" s="1"/>
  <c r="N12" i="32"/>
  <c r="N40" i="32"/>
  <c r="N68" i="32"/>
  <c r="N21" i="32"/>
  <c r="N30" i="32"/>
  <c r="N49" i="32"/>
  <c r="N59" i="32"/>
  <c r="K127" i="18"/>
  <c r="AC88" i="18"/>
  <c r="AM37" i="28"/>
  <c r="AM168" i="28"/>
  <c r="AM166" i="28"/>
  <c r="AM167" i="28"/>
  <c r="AM169" i="28"/>
  <c r="C54" i="33"/>
  <c r="D54" i="33" s="1"/>
  <c r="D36" i="33"/>
  <c r="H43" i="26"/>
  <c r="H49" i="26" s="1"/>
  <c r="H55" i="26" s="1"/>
  <c r="H61" i="26" s="1"/>
  <c r="H140" i="26"/>
  <c r="H146" i="26" s="1"/>
  <c r="H152" i="26" s="1"/>
  <c r="H158" i="26" s="1"/>
  <c r="H141" i="26"/>
  <c r="H147" i="26" s="1"/>
  <c r="H153" i="26" s="1"/>
  <c r="H159" i="26" s="1"/>
  <c r="AF123" i="20"/>
  <c r="N71" i="52"/>
  <c r="Q46" i="32"/>
  <c r="Q37" i="32"/>
  <c r="Q56" i="32"/>
  <c r="Q18" i="32"/>
  <c r="N48" i="18"/>
  <c r="Q65" i="32"/>
  <c r="Q27" i="32"/>
  <c r="Q9" i="32"/>
  <c r="P21" i="20"/>
  <c r="P22" i="20" s="1"/>
  <c r="P5" i="20"/>
  <c r="AN178" i="28"/>
  <c r="AQ107" i="11"/>
  <c r="AN20" i="52"/>
  <c r="AN45" i="28"/>
  <c r="AN179" i="28"/>
  <c r="AN180" i="28"/>
  <c r="AN175" i="28"/>
  <c r="AN174" i="28"/>
  <c r="AN177" i="28"/>
  <c r="AN176" i="28"/>
  <c r="AN181" i="28"/>
  <c r="P143" i="11"/>
  <c r="AK139" i="25"/>
  <c r="AK145" i="25" s="1"/>
  <c r="AK151" i="25" s="1"/>
  <c r="AK157" i="25" s="1"/>
  <c r="AK138" i="18"/>
  <c r="AK144" i="18" s="1"/>
  <c r="AK150" i="18" s="1"/>
  <c r="AK156" i="18" s="1"/>
  <c r="AK140" i="25"/>
  <c r="AK146" i="25" s="1"/>
  <c r="AK152" i="25" s="1"/>
  <c r="AK158" i="25" s="1"/>
  <c r="AF83" i="33"/>
  <c r="AF21" i="33" s="1"/>
  <c r="AF39" i="33" s="1"/>
  <c r="AF57" i="33" s="1"/>
  <c r="W138" i="11"/>
  <c r="AO28" i="32"/>
  <c r="AF75" i="33"/>
  <c r="AF13" i="33" s="1"/>
  <c r="AF31" i="33" s="1"/>
  <c r="AF49" i="33" s="1"/>
  <c r="W130" i="11"/>
  <c r="J23" i="19"/>
  <c r="J13" i="19"/>
  <c r="M130" i="32" s="1"/>
  <c r="V143" i="11"/>
  <c r="AF101" i="19"/>
  <c r="AF107" i="19" s="1"/>
  <c r="AF113" i="19" s="1"/>
  <c r="AF119" i="19" s="1"/>
  <c r="AF75" i="26"/>
  <c r="AF81" i="26" s="1"/>
  <c r="AF87" i="26" s="1"/>
  <c r="AF93" i="26" s="1"/>
  <c r="AF104" i="26"/>
  <c r="AF110" i="26" s="1"/>
  <c r="AF116" i="26" s="1"/>
  <c r="AF122" i="26" s="1"/>
  <c r="E122" i="19"/>
  <c r="AE74" i="20"/>
  <c r="AE80" i="20" s="1"/>
  <c r="AE113" i="20"/>
  <c r="AE119" i="20" s="1"/>
  <c r="E241" i="53"/>
  <c r="E340" i="53"/>
  <c r="E375" i="53" s="1"/>
  <c r="E8" i="36"/>
  <c r="E35" i="36"/>
  <c r="E63" i="36" s="1"/>
  <c r="E91" i="36" s="1"/>
  <c r="E119" i="36" s="1"/>
  <c r="L117" i="27"/>
  <c r="L123" i="27" s="1"/>
  <c r="T83" i="27"/>
  <c r="T89" i="27" s="1"/>
  <c r="AM41" i="26"/>
  <c r="AM47" i="26" s="1"/>
  <c r="AM66" i="19"/>
  <c r="AM72" i="19" s="1"/>
  <c r="AM75" i="26"/>
  <c r="AM81" i="26" s="1"/>
  <c r="L43" i="20"/>
  <c r="O45" i="32"/>
  <c r="V3" i="20"/>
  <c r="Y4" i="34"/>
  <c r="N48" i="32"/>
  <c r="AG113" i="20"/>
  <c r="AG119" i="20" s="1"/>
  <c r="AG125" i="20" s="1"/>
  <c r="AJ122" i="18"/>
  <c r="AM55" i="32"/>
  <c r="AJ47" i="18"/>
  <c r="AM26" i="32"/>
  <c r="AM8" i="32"/>
  <c r="AJ70" i="52"/>
  <c r="AJ46" i="18"/>
  <c r="AJ53" i="18" s="1"/>
  <c r="AM17" i="32"/>
  <c r="AM45" i="32"/>
  <c r="AM64" i="32"/>
  <c r="AM36" i="32"/>
  <c r="AJ93" i="18"/>
  <c r="AJ129" i="18"/>
  <c r="AE54" i="27"/>
  <c r="AE60" i="27" s="1"/>
  <c r="AD203" i="27"/>
  <c r="AD209" i="27" s="1"/>
  <c r="AD215" i="27" s="1"/>
  <c r="AD221" i="27" s="1"/>
  <c r="AD137" i="20"/>
  <c r="AD143" i="20" s="1"/>
  <c r="AD149" i="20" s="1"/>
  <c r="AD155" i="20" s="1"/>
  <c r="AD98" i="20"/>
  <c r="AD104" i="20" s="1"/>
  <c r="AD110" i="20" s="1"/>
  <c r="AD116" i="20" s="1"/>
  <c r="L119" i="27"/>
  <c r="L125" i="27" s="1"/>
  <c r="V129" i="18"/>
  <c r="V64" i="18"/>
  <c r="V70" i="18" s="1"/>
  <c r="V76" i="18" s="1"/>
  <c r="V82" i="18" s="1"/>
  <c r="V173" i="25"/>
  <c r="V179" i="25" s="1"/>
  <c r="V185" i="25" s="1"/>
  <c r="V191" i="25" s="1"/>
  <c r="AL173" i="28"/>
  <c r="J227" i="25"/>
  <c r="J161" i="25"/>
  <c r="J128" i="25"/>
  <c r="J194" i="25"/>
  <c r="J95" i="25"/>
  <c r="J62" i="25"/>
  <c r="J29" i="25"/>
  <c r="J86" i="18"/>
  <c r="W148" i="19"/>
  <c r="W154" i="19" s="1"/>
  <c r="W160" i="19" s="1"/>
  <c r="W113" i="19"/>
  <c r="W119" i="19" s="1"/>
  <c r="W86" i="26"/>
  <c r="W92" i="26" s="1"/>
  <c r="AP186" i="32"/>
  <c r="AP177" i="32"/>
  <c r="AP167" i="32"/>
  <c r="AM87" i="52"/>
  <c r="AM53" i="20"/>
  <c r="AM127" i="20" s="1"/>
  <c r="AP158" i="32"/>
  <c r="AP196" i="32"/>
  <c r="AP149" i="32"/>
  <c r="AP205" i="32"/>
  <c r="K21" i="20"/>
  <c r="K22" i="20" s="1"/>
  <c r="K5" i="20"/>
  <c r="AN127" i="11"/>
  <c r="AL72" i="33"/>
  <c r="AL10" i="33" s="1"/>
  <c r="AL28" i="33" s="1"/>
  <c r="AL46" i="33" s="1"/>
  <c r="AD21" i="26"/>
  <c r="AD27" i="26" s="1"/>
  <c r="AD185" i="26"/>
  <c r="AD191" i="26" s="1"/>
  <c r="AD79" i="19"/>
  <c r="AD85" i="19" s="1"/>
  <c r="W15" i="20"/>
  <c r="W18" i="20"/>
  <c r="W6" i="20"/>
  <c r="W12" i="20"/>
  <c r="AK76" i="27"/>
  <c r="AK82" i="27" s="1"/>
  <c r="AK88" i="27" s="1"/>
  <c r="AK94" i="27" s="1"/>
  <c r="AK99" i="20"/>
  <c r="AK105" i="20" s="1"/>
  <c r="AK111" i="20" s="1"/>
  <c r="AK117" i="20" s="1"/>
  <c r="AK104" i="27"/>
  <c r="AK110" i="27" s="1"/>
  <c r="AK116" i="27" s="1"/>
  <c r="AK122" i="27" s="1"/>
  <c r="T50" i="27"/>
  <c r="T56" i="27" s="1"/>
  <c r="N114" i="19"/>
  <c r="N120" i="19" s="1"/>
  <c r="N151" i="19"/>
  <c r="N157" i="19" s="1"/>
  <c r="N41" i="19"/>
  <c r="G58" i="32"/>
  <c r="D50" i="18"/>
  <c r="G48" i="32"/>
  <c r="G29" i="32"/>
  <c r="G67" i="32"/>
  <c r="G39" i="32"/>
  <c r="D73" i="52"/>
  <c r="G11" i="32"/>
  <c r="G20" i="32"/>
  <c r="O20" i="32"/>
  <c r="L22" i="27"/>
  <c r="L28" i="27" s="1"/>
  <c r="H147" i="19"/>
  <c r="H153" i="19" s="1"/>
  <c r="AN17" i="32"/>
  <c r="AN45" i="32"/>
  <c r="AK47" i="18"/>
  <c r="AN55" i="32"/>
  <c r="AN26" i="32"/>
  <c r="AN8" i="32"/>
  <c r="AK70" i="52"/>
  <c r="AN64" i="32"/>
  <c r="AN36" i="32"/>
  <c r="M74" i="52"/>
  <c r="P68" i="32"/>
  <c r="P30" i="32"/>
  <c r="M51" i="18"/>
  <c r="P40" i="32"/>
  <c r="P49" i="32"/>
  <c r="P59" i="32"/>
  <c r="P12" i="32"/>
  <c r="P21" i="32"/>
  <c r="AJ46" i="28"/>
  <c r="AJ110" i="28"/>
  <c r="AF72" i="33"/>
  <c r="AF10" i="33" s="1"/>
  <c r="AF28" i="33" s="1"/>
  <c r="AF46" i="33" s="1"/>
  <c r="W127" i="11"/>
  <c r="AF150" i="19"/>
  <c r="AF156" i="19" s="1"/>
  <c r="AF183" i="26"/>
  <c r="AF189" i="26" s="1"/>
  <c r="E65" i="53"/>
  <c r="E109" i="53" s="1"/>
  <c r="E153" i="53" s="1"/>
  <c r="E198" i="53" s="1"/>
  <c r="E22" i="53"/>
  <c r="L41" i="20"/>
  <c r="AM38" i="26"/>
  <c r="AM44" i="26" s="1"/>
  <c r="AM9" i="26"/>
  <c r="AM15" i="26" s="1"/>
  <c r="T154" i="27"/>
  <c r="T160" i="27" s="1"/>
  <c r="AH93" i="32"/>
  <c r="AK25" i="34" s="1"/>
  <c r="AK39" i="34" s="1"/>
  <c r="AH83" i="32"/>
  <c r="AH84" i="32" s="1"/>
  <c r="AK24" i="34" s="1"/>
  <c r="AK38" i="34" s="1"/>
  <c r="AH74" i="32"/>
  <c r="AH75" i="32" s="1"/>
  <c r="AK23" i="34" s="1"/>
  <c r="AK37" i="34" s="1"/>
  <c r="K230" i="25"/>
  <c r="K164" i="25"/>
  <c r="K197" i="25"/>
  <c r="K98" i="25"/>
  <c r="K131" i="25"/>
  <c r="K65" i="25"/>
  <c r="K32" i="25"/>
  <c r="AD149" i="27"/>
  <c r="AD155" i="27" s="1"/>
  <c r="AD151" i="27"/>
  <c r="AD157" i="27" s="1"/>
  <c r="AD78" i="20"/>
  <c r="AD84" i="20" s="1"/>
  <c r="T150" i="27"/>
  <c r="T156" i="27" s="1"/>
  <c r="Y30" i="32"/>
  <c r="V74" i="52"/>
  <c r="V51" i="18"/>
  <c r="Y59" i="32"/>
  <c r="Y68" i="32"/>
  <c r="Y40" i="32"/>
  <c r="Y12" i="32"/>
  <c r="Y21" i="32"/>
  <c r="W78" i="52"/>
  <c r="Z134" i="32"/>
  <c r="Z115" i="32"/>
  <c r="Z125" i="32"/>
  <c r="Z106" i="32"/>
  <c r="Z78" i="32"/>
  <c r="W50" i="19"/>
  <c r="Z87" i="32"/>
  <c r="Z96" i="32"/>
  <c r="AN66" i="27"/>
  <c r="AN33" i="27"/>
  <c r="AN231" i="27"/>
  <c r="AN198" i="27"/>
  <c r="AN165" i="27"/>
  <c r="AN132" i="27"/>
  <c r="AN99" i="27"/>
  <c r="AL84" i="33"/>
  <c r="AL22" i="33" s="1"/>
  <c r="AL40" i="33" s="1"/>
  <c r="AL58" i="33" s="1"/>
  <c r="AN139" i="11"/>
  <c r="AD77" i="52"/>
  <c r="AD49" i="19"/>
  <c r="AD159" i="19" s="1"/>
  <c r="AG114" i="32"/>
  <c r="AG105" i="32"/>
  <c r="AG124" i="32"/>
  <c r="AG95" i="32"/>
  <c r="AG86" i="32"/>
  <c r="H70" i="52"/>
  <c r="H46" i="18"/>
  <c r="H53" i="18" s="1"/>
  <c r="K26" i="32"/>
  <c r="K36" i="32"/>
  <c r="K64" i="32"/>
  <c r="K8" i="32"/>
  <c r="K55" i="32"/>
  <c r="K45" i="32"/>
  <c r="H47" i="18"/>
  <c r="K17" i="32"/>
  <c r="H129" i="18"/>
  <c r="H93" i="18"/>
  <c r="U204" i="32"/>
  <c r="U157" i="32"/>
  <c r="U148" i="32"/>
  <c r="U176" i="32"/>
  <c r="U166" i="32"/>
  <c r="R86" i="52"/>
  <c r="R52" i="20"/>
  <c r="R90" i="20" s="1"/>
  <c r="U185" i="32"/>
  <c r="U195" i="32"/>
  <c r="AK151" i="20"/>
  <c r="AK157" i="20" s="1"/>
  <c r="AK154" i="27"/>
  <c r="AK160" i="27" s="1"/>
  <c r="AK17" i="27"/>
  <c r="AK23" i="27" s="1"/>
  <c r="T17" i="27"/>
  <c r="T23" i="27" s="1"/>
  <c r="P227" i="25"/>
  <c r="P194" i="25"/>
  <c r="P161" i="25"/>
  <c r="P95" i="25"/>
  <c r="P62" i="25"/>
  <c r="P128" i="25"/>
  <c r="P29" i="25"/>
  <c r="P158" i="18"/>
  <c r="Q124" i="32"/>
  <c r="Q86" i="32"/>
  <c r="N77" i="52"/>
  <c r="Q77" i="32"/>
  <c r="Q105" i="32"/>
  <c r="Q133" i="32"/>
  <c r="Q114" i="32"/>
  <c r="Q95" i="32"/>
  <c r="N49" i="19"/>
  <c r="F162" i="19"/>
  <c r="D49" i="18"/>
  <c r="D88" i="18" s="1"/>
  <c r="G38" i="32"/>
  <c r="G19" i="32"/>
  <c r="G57" i="32"/>
  <c r="G47" i="32"/>
  <c r="D72" i="52"/>
  <c r="G28" i="32"/>
  <c r="G10" i="32"/>
  <c r="G66" i="32"/>
  <c r="F229" i="26"/>
  <c r="F196" i="26"/>
  <c r="F163" i="26"/>
  <c r="F97" i="26"/>
  <c r="F130" i="26"/>
  <c r="F64" i="26"/>
  <c r="F31" i="26"/>
  <c r="O11" i="32"/>
  <c r="U146" i="19"/>
  <c r="U152" i="19" s="1"/>
  <c r="Q85" i="52"/>
  <c r="T203" i="32"/>
  <c r="T175" i="32"/>
  <c r="T147" i="32"/>
  <c r="T156" i="32"/>
  <c r="T194" i="32"/>
  <c r="T184" i="32"/>
  <c r="T165" i="32"/>
  <c r="Q51" i="20"/>
  <c r="AL87" i="52"/>
  <c r="AL53" i="20"/>
  <c r="AO177" i="32"/>
  <c r="AO149" i="32"/>
  <c r="AO158" i="32"/>
  <c r="AO196" i="32"/>
  <c r="AO186" i="32"/>
  <c r="AO205" i="32"/>
  <c r="AO167" i="32"/>
  <c r="X125" i="18"/>
  <c r="AI164" i="25"/>
  <c r="AI197" i="25"/>
  <c r="AI32" i="25"/>
  <c r="AI230" i="25"/>
  <c r="AI98" i="25"/>
  <c r="AI131" i="25"/>
  <c r="AI65" i="25"/>
  <c r="C56" i="33"/>
  <c r="D56" i="33" s="1"/>
  <c r="D38" i="33"/>
  <c r="U175" i="26"/>
  <c r="U181" i="26" s="1"/>
  <c r="U32" i="19"/>
  <c r="U39" i="19" s="1"/>
  <c r="U40" i="19" s="1"/>
  <c r="U17" i="19"/>
  <c r="U19" i="19" s="1"/>
  <c r="Q82" i="52"/>
  <c r="T162" i="32"/>
  <c r="T181" i="32"/>
  <c r="T144" i="32"/>
  <c r="T153" i="32"/>
  <c r="T172" i="32"/>
  <c r="T191" i="32"/>
  <c r="Q48" i="20"/>
  <c r="Q47" i="20"/>
  <c r="Q54" i="20" s="1"/>
  <c r="T200" i="32"/>
  <c r="Q93" i="20"/>
  <c r="X165" i="27"/>
  <c r="X99" i="27"/>
  <c r="X231" i="27"/>
  <c r="X198" i="27"/>
  <c r="X132" i="27"/>
  <c r="X66" i="27"/>
  <c r="X33" i="27"/>
  <c r="R18" i="19"/>
  <c r="R6" i="19"/>
  <c r="R15" i="19"/>
  <c r="R12" i="19"/>
  <c r="AK5" i="19"/>
  <c r="AK8" i="19"/>
  <c r="AK7" i="19"/>
  <c r="K87" i="18"/>
  <c r="AL227" i="25"/>
  <c r="AL194" i="25"/>
  <c r="AL161" i="25"/>
  <c r="AL62" i="25"/>
  <c r="AL29" i="25"/>
  <c r="AL95" i="25"/>
  <c r="AL128" i="25"/>
  <c r="AF50" i="32"/>
  <c r="H102" i="19"/>
  <c r="H108" i="19" s="1"/>
  <c r="H114" i="19" s="1"/>
  <c r="H120" i="19" s="1"/>
  <c r="H98" i="19"/>
  <c r="H104" i="19" s="1"/>
  <c r="H110" i="19" s="1"/>
  <c r="H116" i="19" s="1"/>
  <c r="H100" i="19"/>
  <c r="H106" i="19" s="1"/>
  <c r="H112" i="19" s="1"/>
  <c r="H118" i="19" s="1"/>
  <c r="M228" i="25"/>
  <c r="M162" i="25"/>
  <c r="M195" i="25"/>
  <c r="M63" i="25"/>
  <c r="M96" i="25"/>
  <c r="M30" i="25"/>
  <c r="M129" i="25"/>
  <c r="AK98" i="18"/>
  <c r="AK104" i="18" s="1"/>
  <c r="AK110" i="18" s="1"/>
  <c r="AK73" i="25"/>
  <c r="AK79" i="25" s="1"/>
  <c r="AK85" i="25" s="1"/>
  <c r="AK91" i="25" s="1"/>
  <c r="AL99" i="53"/>
  <c r="AL119" i="53"/>
  <c r="AL109" i="53"/>
  <c r="AL129" i="53"/>
  <c r="AO57" i="32"/>
  <c r="AF78" i="33"/>
  <c r="AF16" i="33" s="1"/>
  <c r="AF34" i="33" s="1"/>
  <c r="AF52" i="33" s="1"/>
  <c r="W133" i="11"/>
  <c r="AK143" i="11"/>
  <c r="AK144" i="11" s="1"/>
  <c r="AF135" i="19"/>
  <c r="AF141" i="19" s="1"/>
  <c r="AF147" i="19" s="1"/>
  <c r="AF153" i="19" s="1"/>
  <c r="AF41" i="26"/>
  <c r="AF47" i="26" s="1"/>
  <c r="AF53" i="26" s="1"/>
  <c r="AF59" i="26" s="1"/>
  <c r="AF134" i="19"/>
  <c r="AF140" i="19" s="1"/>
  <c r="AF146" i="19" s="1"/>
  <c r="AF152" i="19" s="1"/>
  <c r="Q161" i="20"/>
  <c r="L76" i="20"/>
  <c r="L82" i="20" s="1"/>
  <c r="AM174" i="26"/>
  <c r="AM180" i="26" s="1"/>
  <c r="AM186" i="26" s="1"/>
  <c r="AM192" i="26" s="1"/>
  <c r="AM7" i="26"/>
  <c r="AM13" i="26" s="1"/>
  <c r="AM39" i="26"/>
  <c r="AM45" i="26" s="1"/>
  <c r="AO201" i="32"/>
  <c r="AO192" i="32"/>
  <c r="AO182" i="32"/>
  <c r="AO145" i="32"/>
  <c r="AL83" i="52"/>
  <c r="AO173" i="32"/>
  <c r="AL49" i="20"/>
  <c r="AO154" i="32"/>
  <c r="AO163" i="32"/>
  <c r="I23" i="19"/>
  <c r="I13" i="19"/>
  <c r="L130" i="32" s="1"/>
  <c r="AG123" i="20"/>
  <c r="H160" i="18"/>
  <c r="AD7" i="27"/>
  <c r="AD13" i="27" s="1"/>
  <c r="AD19" i="27" s="1"/>
  <c r="AD25" i="27" s="1"/>
  <c r="AD41" i="27"/>
  <c r="AD47" i="27" s="1"/>
  <c r="AD53" i="27" s="1"/>
  <c r="AD59" i="27" s="1"/>
  <c r="T187" i="27"/>
  <c r="T193" i="27" s="1"/>
  <c r="M126" i="18"/>
  <c r="Z21" i="20"/>
  <c r="Z22" i="20" s="1"/>
  <c r="Z5" i="20"/>
  <c r="AE149" i="27"/>
  <c r="AE155" i="27" s="1"/>
  <c r="V105" i="25"/>
  <c r="V111" i="25" s="1"/>
  <c r="V117" i="25" s="1"/>
  <c r="V123" i="25" s="1"/>
  <c r="V26" i="18"/>
  <c r="V33" i="18" s="1"/>
  <c r="V41" i="18" s="1"/>
  <c r="V139" i="18"/>
  <c r="V145" i="18" s="1"/>
  <c r="V151" i="18" s="1"/>
  <c r="V157" i="18" s="1"/>
  <c r="AJ154" i="32"/>
  <c r="AG83" i="52"/>
  <c r="AJ192" i="32"/>
  <c r="AJ182" i="32"/>
  <c r="AJ145" i="32"/>
  <c r="AJ173" i="32"/>
  <c r="AJ163" i="32"/>
  <c r="AJ201" i="32"/>
  <c r="AG49" i="20"/>
  <c r="E78" i="52"/>
  <c r="H134" i="32"/>
  <c r="H115" i="32"/>
  <c r="H87" i="32"/>
  <c r="H125" i="32"/>
  <c r="H106" i="32"/>
  <c r="E50" i="19"/>
  <c r="H78" i="32"/>
  <c r="H96" i="32"/>
  <c r="N196" i="25"/>
  <c r="N229" i="25"/>
  <c r="N163" i="25"/>
  <c r="N130" i="25"/>
  <c r="N97" i="25"/>
  <c r="N31" i="25"/>
  <c r="N64" i="25"/>
  <c r="AF87" i="20"/>
  <c r="AL81" i="33"/>
  <c r="AL19" i="33" s="1"/>
  <c r="AL37" i="33" s="1"/>
  <c r="AL55" i="33" s="1"/>
  <c r="AN136" i="11"/>
  <c r="AK83" i="27"/>
  <c r="AK89" i="27" s="1"/>
  <c r="AK55" i="27"/>
  <c r="AK61" i="27" s="1"/>
  <c r="T215" i="27"/>
  <c r="T221" i="27" s="1"/>
  <c r="N81" i="52"/>
  <c r="Q90" i="32"/>
  <c r="Q81" i="32"/>
  <c r="Q99" i="32"/>
  <c r="Q128" i="32"/>
  <c r="Q109" i="32"/>
  <c r="Q137" i="32"/>
  <c r="Q118" i="32"/>
  <c r="N53" i="19"/>
  <c r="H91" i="18"/>
  <c r="D160" i="18"/>
  <c r="Q159" i="20"/>
  <c r="AC125" i="18"/>
  <c r="AL87" i="18"/>
  <c r="X87" i="18"/>
  <c r="U77" i="19"/>
  <c r="U83" i="19" s="1"/>
  <c r="G195" i="27"/>
  <c r="G63" i="27"/>
  <c r="G96" i="27"/>
  <c r="G129" i="27"/>
  <c r="G30" i="27"/>
  <c r="G228" i="27"/>
  <c r="G162" i="27"/>
  <c r="F122" i="19"/>
  <c r="AN34" i="32"/>
  <c r="AN35" i="32" s="1"/>
  <c r="AB13" i="34" s="1"/>
  <c r="AN44" i="32"/>
  <c r="AB12" i="34" s="1"/>
  <c r="G13" i="19"/>
  <c r="J130" i="32" s="1"/>
  <c r="G23" i="19"/>
  <c r="AL91" i="18"/>
  <c r="X159" i="18"/>
  <c r="AI122" i="18"/>
  <c r="AE28" i="11"/>
  <c r="S28" i="11"/>
  <c r="Y28" i="11"/>
  <c r="AB28" i="11"/>
  <c r="V28" i="11"/>
  <c r="P28" i="11"/>
  <c r="K126" i="18"/>
  <c r="AO31" i="32"/>
  <c r="AO13" i="32"/>
  <c r="AO60" i="32"/>
  <c r="AO69" i="32"/>
  <c r="AL75" i="52"/>
  <c r="AL52" i="18"/>
  <c r="AO22" i="32"/>
  <c r="AO41" i="32"/>
  <c r="AO50" i="32"/>
  <c r="K124" i="18"/>
  <c r="H182" i="26"/>
  <c r="H188" i="26" s="1"/>
  <c r="H151" i="19"/>
  <c r="H157" i="19" s="1"/>
  <c r="H163" i="19" s="1"/>
  <c r="T155" i="32"/>
  <c r="T193" i="32"/>
  <c r="T174" i="32"/>
  <c r="T164" i="32"/>
  <c r="T183" i="32"/>
  <c r="Q84" i="52"/>
  <c r="Q50" i="20"/>
  <c r="Q160" i="20" s="1"/>
  <c r="T202" i="32"/>
  <c r="T146" i="32"/>
  <c r="Q63" i="32"/>
  <c r="Q14" i="34" s="1"/>
  <c r="Q53" i="32"/>
  <c r="Q54" i="32" s="1"/>
  <c r="Q15" i="34" s="1"/>
  <c r="V50" i="32"/>
  <c r="S75" i="52"/>
  <c r="V41" i="32"/>
  <c r="V60" i="32"/>
  <c r="V22" i="32"/>
  <c r="V69" i="32"/>
  <c r="V13" i="32"/>
  <c r="V31" i="32"/>
  <c r="S52" i="18"/>
  <c r="AK141" i="25"/>
  <c r="AK147" i="25" s="1"/>
  <c r="AK153" i="25" s="1"/>
  <c r="AK159" i="25" s="1"/>
  <c r="AK139" i="18"/>
  <c r="AK145" i="18" s="1"/>
  <c r="AK151" i="18" s="1"/>
  <c r="AK157" i="18" s="1"/>
  <c r="Z128" i="19"/>
  <c r="Z130" i="19" s="1"/>
  <c r="Z102" i="19"/>
  <c r="Z108" i="19" s="1"/>
  <c r="Z16" i="19"/>
  <c r="Z38" i="26" s="1"/>
  <c r="Z44" i="26" s="1"/>
  <c r="Z205" i="26"/>
  <c r="Z211" i="26" s="1"/>
  <c r="AC111" i="32"/>
  <c r="Z10" i="26"/>
  <c r="Z16" i="26" s="1"/>
  <c r="Z140" i="26"/>
  <c r="Z146" i="26" s="1"/>
  <c r="AO10" i="32"/>
  <c r="W139" i="11"/>
  <c r="AF84" i="33"/>
  <c r="AF22" i="33" s="1"/>
  <c r="AF40" i="33" s="1"/>
  <c r="AF58" i="33" s="1"/>
  <c r="J76" i="26"/>
  <c r="J82" i="26" s="1"/>
  <c r="J138" i="19"/>
  <c r="J144" i="19" s="1"/>
  <c r="J17" i="19"/>
  <c r="J19" i="19" s="1"/>
  <c r="J16" i="19"/>
  <c r="J174" i="26" s="1"/>
  <c r="J180" i="26" s="1"/>
  <c r="J186" i="26" s="1"/>
  <c r="J192" i="26" s="1"/>
  <c r="J128" i="19"/>
  <c r="J130" i="19" s="1"/>
  <c r="J9" i="26"/>
  <c r="J15" i="26" s="1"/>
  <c r="J8" i="26"/>
  <c r="J14" i="26" s="1"/>
  <c r="M111" i="32"/>
  <c r="J40" i="26"/>
  <c r="J46" i="26" s="1"/>
  <c r="J107" i="26"/>
  <c r="J113" i="26" s="1"/>
  <c r="J136" i="19"/>
  <c r="J142" i="19" s="1"/>
  <c r="J148" i="19" s="1"/>
  <c r="J154" i="19" s="1"/>
  <c r="J140" i="26"/>
  <c r="J146" i="26" s="1"/>
  <c r="J74" i="26"/>
  <c r="J80" i="26" s="1"/>
  <c r="J203" i="26"/>
  <c r="J209" i="26" s="1"/>
  <c r="J164" i="19"/>
  <c r="J166" i="19" s="1"/>
  <c r="J175" i="26"/>
  <c r="J181" i="26" s="1"/>
  <c r="J137" i="19"/>
  <c r="J143" i="19" s="1"/>
  <c r="J42" i="26"/>
  <c r="J48" i="26" s="1"/>
  <c r="J54" i="26" s="1"/>
  <c r="J60" i="26" s="1"/>
  <c r="AF72" i="26"/>
  <c r="AF78" i="26" s="1"/>
  <c r="AF84" i="26" s="1"/>
  <c r="AF90" i="26" s="1"/>
  <c r="AF28" i="19"/>
  <c r="AF35" i="19" s="1"/>
  <c r="AF43" i="19" s="1"/>
  <c r="AF100" i="19"/>
  <c r="AF106" i="19" s="1"/>
  <c r="AF112" i="19" s="1"/>
  <c r="AF118" i="19" s="1"/>
  <c r="L53" i="27"/>
  <c r="AE87" i="52"/>
  <c r="AH177" i="32"/>
  <c r="AH167" i="32"/>
  <c r="AH149" i="32"/>
  <c r="AH186" i="32"/>
  <c r="AE53" i="20"/>
  <c r="AH205" i="32"/>
  <c r="AH158" i="32"/>
  <c r="AH196" i="32"/>
  <c r="L216" i="27"/>
  <c r="L222" i="27" s="1"/>
  <c r="AM71" i="26"/>
  <c r="AM77" i="26" s="1"/>
  <c r="AM83" i="26" s="1"/>
  <c r="AM89" i="26" s="1"/>
  <c r="AM72" i="26"/>
  <c r="AM78" i="26" s="1"/>
  <c r="AM102" i="19"/>
  <c r="AM108" i="19" s="1"/>
  <c r="AM114" i="19" s="1"/>
  <c r="AM120" i="19" s="1"/>
  <c r="O8" i="32"/>
  <c r="O43" i="26"/>
  <c r="O49" i="26" s="1"/>
  <c r="O172" i="26"/>
  <c r="O178" i="26" s="1"/>
  <c r="O76" i="26"/>
  <c r="O82" i="26" s="1"/>
  <c r="O88" i="26" s="1"/>
  <c r="O94" i="26" s="1"/>
  <c r="O206" i="26"/>
  <c r="O212" i="26" s="1"/>
  <c r="O218" i="26" s="1"/>
  <c r="O224" i="26" s="1"/>
  <c r="O138" i="19"/>
  <c r="O144" i="19" s="1"/>
  <c r="O150" i="19" s="1"/>
  <c r="O156" i="19" s="1"/>
  <c r="O203" i="26"/>
  <c r="O209" i="26" s="1"/>
  <c r="O7" i="26"/>
  <c r="O13" i="26" s="1"/>
  <c r="O170" i="26"/>
  <c r="O176" i="26" s="1"/>
  <c r="O29" i="19"/>
  <c r="O36" i="19" s="1"/>
  <c r="O128" i="19"/>
  <c r="O130" i="19" s="1"/>
  <c r="O27" i="19"/>
  <c r="O34" i="19" s="1"/>
  <c r="O102" i="19"/>
  <c r="O108" i="19" s="1"/>
  <c r="O114" i="19" s="1"/>
  <c r="O120" i="19" s="1"/>
  <c r="O72" i="26"/>
  <c r="O78" i="26" s="1"/>
  <c r="O103" i="19"/>
  <c r="O109" i="19" s="1"/>
  <c r="O115" i="19" s="1"/>
  <c r="O121" i="19" s="1"/>
  <c r="O74" i="26"/>
  <c r="O80" i="26" s="1"/>
  <c r="O106" i="26"/>
  <c r="O112" i="26" s="1"/>
  <c r="O99" i="19"/>
  <c r="O105" i="19" s="1"/>
  <c r="O31" i="19"/>
  <c r="O38" i="19" s="1"/>
  <c r="O142" i="26"/>
  <c r="O148" i="26" s="1"/>
  <c r="O109" i="26"/>
  <c r="O115" i="26" s="1"/>
  <c r="O139" i="19"/>
  <c r="O145" i="19" s="1"/>
  <c r="O151" i="19" s="1"/>
  <c r="O157" i="19" s="1"/>
  <c r="O98" i="19"/>
  <c r="O104" i="19" s="1"/>
  <c r="O110" i="19" s="1"/>
  <c r="O116" i="19" s="1"/>
  <c r="O32" i="19"/>
  <c r="O39" i="19" s="1"/>
  <c r="O40" i="19" s="1"/>
  <c r="O67" i="19"/>
  <c r="O73" i="19" s="1"/>
  <c r="O17" i="19"/>
  <c r="O19" i="19" s="1"/>
  <c r="R111" i="32"/>
  <c r="O64" i="19"/>
  <c r="O70" i="19" s="1"/>
  <c r="O16" i="19"/>
  <c r="O5" i="26" s="1"/>
  <c r="O11" i="26" s="1"/>
  <c r="O17" i="26" s="1"/>
  <c r="O23" i="26" s="1"/>
  <c r="O8" i="26"/>
  <c r="O14" i="26" s="1"/>
  <c r="O108" i="26"/>
  <c r="O114" i="26" s="1"/>
  <c r="O120" i="26" s="1"/>
  <c r="O126" i="26" s="1"/>
  <c r="O63" i="19"/>
  <c r="O69" i="19" s="1"/>
  <c r="O171" i="26"/>
  <c r="O177" i="26" s="1"/>
  <c r="O183" i="26" s="1"/>
  <c r="O189" i="26" s="1"/>
  <c r="O204" i="26"/>
  <c r="O210" i="26" s="1"/>
  <c r="O139" i="26"/>
  <c r="O145" i="26" s="1"/>
  <c r="O104" i="26"/>
  <c r="O110" i="26" s="1"/>
  <c r="O207" i="26"/>
  <c r="O213" i="26" s="1"/>
  <c r="O40" i="26"/>
  <c r="O46" i="26" s="1"/>
  <c r="O173" i="26"/>
  <c r="O179" i="26" s="1"/>
  <c r="O39" i="26"/>
  <c r="O45" i="26" s="1"/>
  <c r="O51" i="26" s="1"/>
  <c r="O57" i="26" s="1"/>
  <c r="O38" i="26"/>
  <c r="O44" i="26" s="1"/>
  <c r="O50" i="26" s="1"/>
  <c r="O56" i="26" s="1"/>
  <c r="O107" i="26"/>
  <c r="O113" i="26" s="1"/>
  <c r="O119" i="26" s="1"/>
  <c r="O125" i="26" s="1"/>
  <c r="O174" i="26"/>
  <c r="O180" i="26" s="1"/>
  <c r="O137" i="19"/>
  <c r="O143" i="19" s="1"/>
  <c r="O149" i="19" s="1"/>
  <c r="O155" i="19" s="1"/>
  <c r="AN30" i="25"/>
  <c r="AN228" i="25"/>
  <c r="AN129" i="25"/>
  <c r="AN63" i="25"/>
  <c r="AN96" i="25"/>
  <c r="AN195" i="25"/>
  <c r="AN162" i="25"/>
  <c r="N39" i="32"/>
  <c r="AG158" i="20"/>
  <c r="AJ160" i="18"/>
  <c r="L149" i="27"/>
  <c r="L155" i="27" s="1"/>
  <c r="AD75" i="27"/>
  <c r="AD81" i="27" s="1"/>
  <c r="AD87" i="27" s="1"/>
  <c r="AD93" i="27" s="1"/>
  <c r="AD174" i="27"/>
  <c r="AD180" i="27" s="1"/>
  <c r="AD186" i="27" s="1"/>
  <c r="AD192" i="27" s="1"/>
  <c r="AD138" i="20"/>
  <c r="AD144" i="20" s="1"/>
  <c r="AD150" i="20" s="1"/>
  <c r="AD156" i="20" s="1"/>
  <c r="AE149" i="20"/>
  <c r="AE155" i="20" s="1"/>
  <c r="V140" i="25"/>
  <c r="V146" i="25" s="1"/>
  <c r="V152" i="25" s="1"/>
  <c r="V158" i="25" s="1"/>
  <c r="V204" i="25"/>
  <c r="V210" i="25" s="1"/>
  <c r="V216" i="25" s="1"/>
  <c r="V222" i="25" s="1"/>
  <c r="V65" i="18"/>
  <c r="V71" i="18" s="1"/>
  <c r="V77" i="18" s="1"/>
  <c r="V83" i="18" s="1"/>
  <c r="E162" i="19"/>
  <c r="X122" i="18"/>
  <c r="Q10" i="32"/>
  <c r="AD41" i="19"/>
  <c r="AD218" i="26"/>
  <c r="AD224" i="26" s="1"/>
  <c r="AK175" i="27"/>
  <c r="AK181" i="27" s="1"/>
  <c r="AK187" i="27" s="1"/>
  <c r="AK193" i="27" s="1"/>
  <c r="AK8" i="27"/>
  <c r="AK14" i="27" s="1"/>
  <c r="AK20" i="27" s="1"/>
  <c r="AK26" i="27" s="1"/>
  <c r="AK139" i="27"/>
  <c r="AK145" i="27" s="1"/>
  <c r="AK151" i="27" s="1"/>
  <c r="AK157" i="27" s="1"/>
  <c r="L217" i="27"/>
  <c r="L223" i="27" s="1"/>
  <c r="T185" i="27"/>
  <c r="T191" i="27" s="1"/>
  <c r="N123" i="19"/>
  <c r="Z227" i="25"/>
  <c r="Z161" i="25"/>
  <c r="Z194" i="25"/>
  <c r="Z128" i="25"/>
  <c r="Z95" i="25"/>
  <c r="Z29" i="25"/>
  <c r="Z62" i="25"/>
  <c r="Z86" i="18"/>
  <c r="Z122" i="18"/>
  <c r="Z158" i="18"/>
  <c r="AG149" i="20"/>
  <c r="AG155" i="20" s="1"/>
  <c r="AG161" i="20" s="1"/>
  <c r="T90" i="19"/>
  <c r="E232" i="53"/>
  <c r="E333" i="53"/>
  <c r="E368" i="53" s="1"/>
  <c r="H115" i="19"/>
  <c r="H121" i="19" s="1"/>
  <c r="H127" i="19" s="1"/>
  <c r="H52" i="26"/>
  <c r="H58" i="26" s="1"/>
  <c r="E13" i="53"/>
  <c r="E56" i="53"/>
  <c r="E100" i="53" s="1"/>
  <c r="E144" i="53" s="1"/>
  <c r="E189" i="53" s="1"/>
  <c r="U75" i="26"/>
  <c r="U81" i="26" s="1"/>
  <c r="U87" i="26" s="1"/>
  <c r="U93" i="26" s="1"/>
  <c r="U64" i="19"/>
  <c r="U70" i="19" s="1"/>
  <c r="U76" i="19" s="1"/>
  <c r="U82" i="19" s="1"/>
  <c r="U67" i="19"/>
  <c r="U73" i="19" s="1"/>
  <c r="U79" i="19" s="1"/>
  <c r="U85" i="19" s="1"/>
  <c r="Q125" i="20"/>
  <c r="AO40" i="32"/>
  <c r="AO30" i="32"/>
  <c r="AL74" i="52"/>
  <c r="AO59" i="32"/>
  <c r="AO12" i="32"/>
  <c r="AO21" i="32"/>
  <c r="AO49" i="32"/>
  <c r="AO68" i="32"/>
  <c r="AL51" i="18"/>
  <c r="G74" i="32"/>
  <c r="G75" i="32" s="1"/>
  <c r="E23" i="34" s="1"/>
  <c r="E37" i="34" s="1"/>
  <c r="G83" i="32"/>
  <c r="G84" i="32" s="1"/>
  <c r="E24" i="34" s="1"/>
  <c r="E38" i="34" s="1"/>
  <c r="G93" i="32"/>
  <c r="E25" i="34" s="1"/>
  <c r="E39" i="34" s="1"/>
  <c r="X163" i="18"/>
  <c r="N80" i="33"/>
  <c r="N18" i="33" s="1"/>
  <c r="N36" i="33" s="1"/>
  <c r="N54" i="33" s="1"/>
  <c r="AL135" i="11"/>
  <c r="Q231" i="25"/>
  <c r="Q198" i="25"/>
  <c r="Q165" i="25"/>
  <c r="Q132" i="25"/>
  <c r="Q66" i="25"/>
  <c r="Q99" i="25"/>
  <c r="Q33" i="25"/>
  <c r="F161" i="25"/>
  <c r="F62" i="25"/>
  <c r="F95" i="25"/>
  <c r="F29" i="25"/>
  <c r="F194" i="25"/>
  <c r="F128" i="25"/>
  <c r="F227" i="25"/>
  <c r="F3" i="52"/>
  <c r="U5" i="26"/>
  <c r="U11" i="26" s="1"/>
  <c r="U17" i="26" s="1"/>
  <c r="U23" i="26" s="1"/>
  <c r="U30" i="19"/>
  <c r="U37" i="19" s="1"/>
  <c r="U45" i="19" s="1"/>
  <c r="U66" i="19"/>
  <c r="U72" i="19" s="1"/>
  <c r="U78" i="19" s="1"/>
  <c r="U84" i="19" s="1"/>
  <c r="L13" i="19"/>
  <c r="L23" i="19"/>
  <c r="R92" i="19"/>
  <c r="R94" i="19" s="1"/>
  <c r="U92" i="32"/>
  <c r="AI91" i="18"/>
  <c r="AC89" i="18"/>
  <c r="P89" i="18"/>
  <c r="AO58" i="32"/>
  <c r="AO39" i="32"/>
  <c r="AO20" i="32"/>
  <c r="AO48" i="32"/>
  <c r="AL73" i="52"/>
  <c r="AO11" i="32"/>
  <c r="AO67" i="32"/>
  <c r="AL50" i="18"/>
  <c r="AO29" i="32"/>
  <c r="K160" i="18"/>
  <c r="H88" i="20"/>
  <c r="X91" i="18"/>
  <c r="R143" i="11"/>
  <c r="AF60" i="32"/>
  <c r="H207" i="26"/>
  <c r="H213" i="26" s="1"/>
  <c r="H219" i="26" s="1"/>
  <c r="H225" i="26" s="1"/>
  <c r="H7" i="26"/>
  <c r="H13" i="26" s="1"/>
  <c r="H19" i="26" s="1"/>
  <c r="H25" i="26" s="1"/>
  <c r="H26" i="19"/>
  <c r="H33" i="19" s="1"/>
  <c r="H41" i="19" s="1"/>
  <c r="O143" i="11"/>
  <c r="O144" i="11" s="1"/>
  <c r="AK204" i="25"/>
  <c r="AK210" i="25" s="1"/>
  <c r="AK216" i="25" s="1"/>
  <c r="AK222" i="25" s="1"/>
  <c r="AK103" i="18"/>
  <c r="AK109" i="18" s="1"/>
  <c r="AK115" i="18" s="1"/>
  <c r="AK121" i="18" s="1"/>
  <c r="AK127" i="18" s="1"/>
  <c r="AK27" i="18"/>
  <c r="AK34" i="18" s="1"/>
  <c r="AK42" i="18" s="1"/>
  <c r="M159" i="18"/>
  <c r="Z13" i="19"/>
  <c r="Z137" i="26" s="1"/>
  <c r="Z143" i="26" s="1"/>
  <c r="Z23" i="19"/>
  <c r="T160" i="19"/>
  <c r="W97" i="32"/>
  <c r="T79" i="52"/>
  <c r="W126" i="32"/>
  <c r="W116" i="32"/>
  <c r="T51" i="19"/>
  <c r="W107" i="32"/>
  <c r="W88" i="32"/>
  <c r="W79" i="32"/>
  <c r="W135" i="32"/>
  <c r="AL163" i="25"/>
  <c r="AL130" i="25"/>
  <c r="AL64" i="25"/>
  <c r="AL229" i="25"/>
  <c r="AL196" i="25"/>
  <c r="AL97" i="25"/>
  <c r="AL31" i="25"/>
  <c r="H159" i="18"/>
  <c r="AK22" i="11"/>
  <c r="AN22" i="11" s="1"/>
  <c r="W124" i="11"/>
  <c r="AF69" i="33"/>
  <c r="AF7" i="33" s="1"/>
  <c r="AF25" i="33" s="1"/>
  <c r="AF43" i="33" s="1"/>
  <c r="P4" i="34"/>
  <c r="M3" i="20"/>
  <c r="L74" i="52"/>
  <c r="O68" i="32"/>
  <c r="L51" i="18"/>
  <c r="L162" i="18" s="1"/>
  <c r="O21" i="32"/>
  <c r="O49" i="32"/>
  <c r="O40" i="32"/>
  <c r="O30" i="32"/>
  <c r="O59" i="32"/>
  <c r="O12" i="32"/>
  <c r="AF203" i="26"/>
  <c r="AF209" i="26" s="1"/>
  <c r="AF215" i="26" s="1"/>
  <c r="AF221" i="26" s="1"/>
  <c r="AF164" i="19"/>
  <c r="AF166" i="19" s="1"/>
  <c r="AF108" i="26"/>
  <c r="AF114" i="26" s="1"/>
  <c r="AF120" i="26" s="1"/>
  <c r="AF126" i="26" s="1"/>
  <c r="L218" i="27"/>
  <c r="L224" i="27" s="1"/>
  <c r="AE44" i="20"/>
  <c r="AE118" i="27"/>
  <c r="AE124" i="27" s="1"/>
  <c r="L51" i="27"/>
  <c r="L57" i="27" s="1"/>
  <c r="AE217" i="27"/>
  <c r="Q50" i="32"/>
  <c r="AM76" i="26"/>
  <c r="AM82" i="26" s="1"/>
  <c r="AM88" i="26" s="1"/>
  <c r="AM94" i="26" s="1"/>
  <c r="AM108" i="26"/>
  <c r="AM114" i="26" s="1"/>
  <c r="AM120" i="26" s="1"/>
  <c r="AM126" i="26" s="1"/>
  <c r="AM30" i="19"/>
  <c r="AM37" i="19" s="1"/>
  <c r="AM45" i="19" s="1"/>
  <c r="L148" i="20"/>
  <c r="L154" i="20" s="1"/>
  <c r="O64" i="32"/>
  <c r="T232" i="25"/>
  <c r="T166" i="25"/>
  <c r="T199" i="25"/>
  <c r="T133" i="25"/>
  <c r="T67" i="25"/>
  <c r="T34" i="25"/>
  <c r="T100" i="25"/>
  <c r="T91" i="18"/>
  <c r="T127" i="18"/>
  <c r="T163" i="18"/>
  <c r="N20" i="32"/>
  <c r="T182" i="27"/>
  <c r="T188" i="27" s="1"/>
  <c r="AD102" i="20"/>
  <c r="AD108" i="20" s="1"/>
  <c r="AD114" i="20" s="1"/>
  <c r="AD120" i="20" s="1"/>
  <c r="AD27" i="20"/>
  <c r="AD34" i="20" s="1"/>
  <c r="AD42" i="20" s="1"/>
  <c r="AD28" i="20"/>
  <c r="AD35" i="20" s="1"/>
  <c r="AD43" i="20" s="1"/>
  <c r="AE116" i="27"/>
  <c r="AE122" i="27" s="1"/>
  <c r="V106" i="25"/>
  <c r="V112" i="25" s="1"/>
  <c r="V118" i="25" s="1"/>
  <c r="V124" i="25" s="1"/>
  <c r="V67" i="18"/>
  <c r="V73" i="18" s="1"/>
  <c r="V79" i="18" s="1"/>
  <c r="V85" i="18" s="1"/>
  <c r="V72" i="25"/>
  <c r="V78" i="25" s="1"/>
  <c r="V84" i="25" s="1"/>
  <c r="V90" i="25" s="1"/>
  <c r="L159" i="18"/>
  <c r="AJ125" i="18"/>
  <c r="F86" i="19"/>
  <c r="AD150" i="19"/>
  <c r="AD156" i="19" s="1"/>
  <c r="AD51" i="26"/>
  <c r="AD57" i="26" s="1"/>
  <c r="AD120" i="26"/>
  <c r="AD126" i="26" s="1"/>
  <c r="AK135" i="20"/>
  <c r="AK141" i="20" s="1"/>
  <c r="AK147" i="20" s="1"/>
  <c r="AK153" i="20" s="1"/>
  <c r="AK73" i="27"/>
  <c r="AK79" i="27" s="1"/>
  <c r="AK85" i="27" s="1"/>
  <c r="AK91" i="27" s="1"/>
  <c r="AK9" i="27"/>
  <c r="AK15" i="27" s="1"/>
  <c r="AK21" i="27" s="1"/>
  <c r="AK27" i="27" s="1"/>
  <c r="T44" i="20"/>
  <c r="T114" i="20"/>
  <c r="T120" i="20" s="1"/>
  <c r="AM70" i="33"/>
  <c r="AM8" i="33" s="1"/>
  <c r="AM26" i="33" s="1"/>
  <c r="AM44" i="33" s="1"/>
  <c r="AO125" i="11"/>
  <c r="AM87" i="20"/>
  <c r="R122" i="20"/>
  <c r="AN164" i="25"/>
  <c r="AN32" i="25"/>
  <c r="AN65" i="25"/>
  <c r="AN230" i="25"/>
  <c r="AN197" i="25"/>
  <c r="AN131" i="25"/>
  <c r="AN98" i="25"/>
  <c r="D87" i="18"/>
  <c r="U133" i="11"/>
  <c r="AD78" i="33"/>
  <c r="AD16" i="33" s="1"/>
  <c r="AD34" i="33" s="1"/>
  <c r="AD52" i="33" s="1"/>
  <c r="AL129" i="11"/>
  <c r="N74" i="33"/>
  <c r="N12" i="33" s="1"/>
  <c r="N30" i="33" s="1"/>
  <c r="N48" i="33" s="1"/>
  <c r="F9" i="52"/>
  <c r="G162" i="18"/>
  <c r="U71" i="26"/>
  <c r="U77" i="26" s="1"/>
  <c r="U83" i="26" s="1"/>
  <c r="U89" i="26" s="1"/>
  <c r="U27" i="19"/>
  <c r="U34" i="19" s="1"/>
  <c r="U42" i="19" s="1"/>
  <c r="U38" i="26"/>
  <c r="U44" i="26" s="1"/>
  <c r="U50" i="26" s="1"/>
  <c r="U56" i="26" s="1"/>
  <c r="J5" i="20"/>
  <c r="J21" i="20"/>
  <c r="J22" i="20" s="1"/>
  <c r="AC67" i="25"/>
  <c r="AC232" i="25"/>
  <c r="AC199" i="25"/>
  <c r="AC166" i="25"/>
  <c r="AC133" i="25"/>
  <c r="AC100" i="25"/>
  <c r="AC34" i="25"/>
  <c r="H87" i="26"/>
  <c r="H93" i="26" s="1"/>
  <c r="H121" i="26"/>
  <c r="H127" i="26" s="1"/>
  <c r="H45" i="19"/>
  <c r="AF103" i="19"/>
  <c r="AF109" i="19" s="1"/>
  <c r="AF115" i="19" s="1"/>
  <c r="AF121" i="19" s="1"/>
  <c r="AF40" i="26"/>
  <c r="AF46" i="26" s="1"/>
  <c r="AF52" i="26" s="1"/>
  <c r="AF58" i="26" s="1"/>
  <c r="AF105" i="26"/>
  <c r="AF111" i="26" s="1"/>
  <c r="AF117" i="26" s="1"/>
  <c r="AF123" i="26" s="1"/>
  <c r="T216" i="27"/>
  <c r="T222" i="27" s="1"/>
  <c r="L149" i="20"/>
  <c r="L155" i="20" s="1"/>
  <c r="L161" i="20" s="1"/>
  <c r="N232" i="25"/>
  <c r="N199" i="25"/>
  <c r="N166" i="25"/>
  <c r="N100" i="25"/>
  <c r="N67" i="25"/>
  <c r="N133" i="25"/>
  <c r="N34" i="25"/>
  <c r="AM43" i="26"/>
  <c r="AM49" i="26" s="1"/>
  <c r="AM55" i="26" s="1"/>
  <c r="AM61" i="26" s="1"/>
  <c r="AM99" i="19"/>
  <c r="AM105" i="19" s="1"/>
  <c r="AM111" i="19" s="1"/>
  <c r="AM117" i="19" s="1"/>
  <c r="AM109" i="26"/>
  <c r="AM115" i="26" s="1"/>
  <c r="AM121" i="26" s="1"/>
  <c r="AM127" i="26" s="1"/>
  <c r="L46" i="18"/>
  <c r="L53" i="18" s="1"/>
  <c r="T220" i="27"/>
  <c r="T226" i="27" s="1"/>
  <c r="I74" i="26"/>
  <c r="I80" i="26" s="1"/>
  <c r="I43" i="26"/>
  <c r="I49" i="26" s="1"/>
  <c r="I55" i="26" s="1"/>
  <c r="I61" i="26" s="1"/>
  <c r="I136" i="19"/>
  <c r="I142" i="19" s="1"/>
  <c r="I42" i="26"/>
  <c r="I48" i="26" s="1"/>
  <c r="I7" i="26"/>
  <c r="I13" i="26" s="1"/>
  <c r="I139" i="19"/>
  <c r="I145" i="19" s="1"/>
  <c r="I16" i="19"/>
  <c r="I204" i="26" s="1"/>
  <c r="I210" i="26" s="1"/>
  <c r="I216" i="26" s="1"/>
  <c r="I222" i="26" s="1"/>
  <c r="I102" i="19"/>
  <c r="I108" i="19" s="1"/>
  <c r="I114" i="19" s="1"/>
  <c r="I120" i="19" s="1"/>
  <c r="I26" i="19"/>
  <c r="I33" i="19" s="1"/>
  <c r="I203" i="26"/>
  <c r="I209" i="26" s="1"/>
  <c r="I67" i="19"/>
  <c r="I73" i="19" s="1"/>
  <c r="I140" i="26"/>
  <c r="I146" i="26" s="1"/>
  <c r="I173" i="26"/>
  <c r="I179" i="26" s="1"/>
  <c r="I105" i="26"/>
  <c r="I111" i="26" s="1"/>
  <c r="I65" i="19"/>
  <c r="I71" i="19" s="1"/>
  <c r="I77" i="19" s="1"/>
  <c r="I83" i="19" s="1"/>
  <c r="L111" i="32"/>
  <c r="I31" i="19"/>
  <c r="I38" i="19" s="1"/>
  <c r="I206" i="26"/>
  <c r="I212" i="26" s="1"/>
  <c r="I73" i="26"/>
  <c r="I79" i="26" s="1"/>
  <c r="I5" i="26"/>
  <c r="I11" i="26" s="1"/>
  <c r="I17" i="19"/>
  <c r="I19" i="19" s="1"/>
  <c r="I128" i="19"/>
  <c r="I130" i="19" s="1"/>
  <c r="I101" i="19"/>
  <c r="I107" i="19" s="1"/>
  <c r="I138" i="19"/>
  <c r="I144" i="19" s="1"/>
  <c r="I66" i="19"/>
  <c r="I72" i="19" s="1"/>
  <c r="I28" i="19"/>
  <c r="I35" i="19" s="1"/>
  <c r="I108" i="26"/>
  <c r="I114" i="26" s="1"/>
  <c r="I120" i="26" s="1"/>
  <c r="I126" i="26" s="1"/>
  <c r="I100" i="19"/>
  <c r="I106" i="19" s="1"/>
  <c r="I112" i="19" s="1"/>
  <c r="I118" i="19" s="1"/>
  <c r="I8" i="26"/>
  <c r="I14" i="26" s="1"/>
  <c r="I6" i="26"/>
  <c r="I12" i="26" s="1"/>
  <c r="I104" i="26"/>
  <c r="I110" i="26" s="1"/>
  <c r="L75" i="52"/>
  <c r="L52" i="18"/>
  <c r="L163" i="18" s="1"/>
  <c r="O50" i="32"/>
  <c r="O31" i="32"/>
  <c r="O41" i="32"/>
  <c r="O13" i="32"/>
  <c r="O60" i="32"/>
  <c r="O22" i="32"/>
  <c r="O69" i="32"/>
  <c r="AJ126" i="18"/>
  <c r="T149" i="20"/>
  <c r="T155" i="20" s="1"/>
  <c r="AD150" i="27"/>
  <c r="AD156" i="27" s="1"/>
  <c r="AD41" i="20"/>
  <c r="P127" i="18"/>
  <c r="V205" i="25"/>
  <c r="V211" i="25" s="1"/>
  <c r="V217" i="25" s="1"/>
  <c r="V223" i="25" s="1"/>
  <c r="V30" i="18"/>
  <c r="V37" i="18" s="1"/>
  <c r="V45" i="18" s="1"/>
  <c r="V6" i="25"/>
  <c r="V12" i="25" s="1"/>
  <c r="V18" i="25" s="1"/>
  <c r="V24" i="25" s="1"/>
  <c r="Q57" i="32"/>
  <c r="AM159" i="20"/>
  <c r="AD182" i="26"/>
  <c r="AD188" i="26" s="1"/>
  <c r="AD18" i="26"/>
  <c r="AD24" i="26" s="1"/>
  <c r="AD44" i="19"/>
  <c r="W94" i="32"/>
  <c r="T93" i="19"/>
  <c r="T76" i="52"/>
  <c r="W123" i="32"/>
  <c r="T47" i="19"/>
  <c r="T54" i="19" s="1"/>
  <c r="W76" i="32"/>
  <c r="W85" i="32"/>
  <c r="W132" i="32"/>
  <c r="W113" i="32"/>
  <c r="W104" i="32"/>
  <c r="T48" i="19"/>
  <c r="T129" i="19"/>
  <c r="V47" i="32"/>
  <c r="S72" i="52"/>
  <c r="V19" i="32"/>
  <c r="V66" i="32"/>
  <c r="V28" i="32"/>
  <c r="V10" i="32"/>
  <c r="V57" i="32"/>
  <c r="V38" i="32"/>
  <c r="S49" i="18"/>
  <c r="AK42" i="27"/>
  <c r="AK48" i="27" s="1"/>
  <c r="AK54" i="27" s="1"/>
  <c r="AK60" i="27" s="1"/>
  <c r="AK174" i="27"/>
  <c r="AK180" i="27" s="1"/>
  <c r="AK186" i="27" s="1"/>
  <c r="AK192" i="27" s="1"/>
  <c r="AK108" i="27"/>
  <c r="AK114" i="27" s="1"/>
  <c r="AK120" i="27" s="1"/>
  <c r="AK126" i="27" s="1"/>
  <c r="T85" i="27"/>
  <c r="T91" i="27" s="1"/>
  <c r="T77" i="20"/>
  <c r="T83" i="20" s="1"/>
  <c r="AO137" i="11"/>
  <c r="AM82" i="33"/>
  <c r="AM20" i="33" s="1"/>
  <c r="AM38" i="33" s="1"/>
  <c r="AM56" i="33" s="1"/>
  <c r="AF88" i="20"/>
  <c r="E89" i="19"/>
  <c r="AG52" i="27"/>
  <c r="AG58" i="27" s="1"/>
  <c r="L52" i="27"/>
  <c r="L58" i="27" s="1"/>
  <c r="AO19" i="32"/>
  <c r="S158" i="18"/>
  <c r="L127" i="18"/>
  <c r="H90" i="18"/>
  <c r="AF27" i="19"/>
  <c r="AF34" i="19" s="1"/>
  <c r="AF42" i="19" s="1"/>
  <c r="AF109" i="26"/>
  <c r="AF115" i="26" s="1"/>
  <c r="AF121" i="26" s="1"/>
  <c r="AF127" i="26" s="1"/>
  <c r="AF142" i="26"/>
  <c r="AF148" i="26" s="1"/>
  <c r="AF154" i="26" s="1"/>
  <c r="AF160" i="26" s="1"/>
  <c r="AE112" i="20"/>
  <c r="AE118" i="20" s="1"/>
  <c r="AE124" i="20" s="1"/>
  <c r="AN88" i="18"/>
  <c r="L112" i="20"/>
  <c r="L118" i="20" s="1"/>
  <c r="AM170" i="26"/>
  <c r="AM176" i="26" s="1"/>
  <c r="AM140" i="26"/>
  <c r="AM146" i="26" s="1"/>
  <c r="AM152" i="26" s="1"/>
  <c r="AM158" i="26" s="1"/>
  <c r="AM17" i="19"/>
  <c r="M89" i="18"/>
  <c r="O26" i="32"/>
  <c r="O13" i="19"/>
  <c r="O23" i="19"/>
  <c r="AE187" i="27"/>
  <c r="AE193" i="27" s="1"/>
  <c r="AE20" i="27"/>
  <c r="AE26" i="27" s="1"/>
  <c r="Q64" i="32"/>
  <c r="AG126" i="20"/>
  <c r="AJ155" i="32"/>
  <c r="AJ164" i="32"/>
  <c r="AJ202" i="32"/>
  <c r="AJ183" i="32"/>
  <c r="AJ146" i="32"/>
  <c r="AG50" i="20"/>
  <c r="AJ193" i="32"/>
  <c r="AJ174" i="32"/>
  <c r="AG84" i="52"/>
  <c r="AM56" i="32"/>
  <c r="AM18" i="32"/>
  <c r="AM65" i="32"/>
  <c r="AM37" i="32"/>
  <c r="AM9" i="32"/>
  <c r="AJ71" i="52"/>
  <c r="AM27" i="32"/>
  <c r="AM46" i="32"/>
  <c r="AJ48" i="18"/>
  <c r="N230" i="27"/>
  <c r="N197" i="27"/>
  <c r="N164" i="27"/>
  <c r="N131" i="27"/>
  <c r="N98" i="27"/>
  <c r="N65" i="27"/>
  <c r="N32" i="27"/>
  <c r="N125" i="20"/>
  <c r="N161" i="20"/>
  <c r="N89" i="20"/>
  <c r="AD140" i="27"/>
  <c r="AD146" i="27" s="1"/>
  <c r="AD152" i="27" s="1"/>
  <c r="AD158" i="27" s="1"/>
  <c r="AD43" i="27"/>
  <c r="AD49" i="27" s="1"/>
  <c r="AD55" i="27" s="1"/>
  <c r="AD61" i="27" s="1"/>
  <c r="AD5" i="27"/>
  <c r="AD11" i="27" s="1"/>
  <c r="AD17" i="27" s="1"/>
  <c r="AD23" i="27" s="1"/>
  <c r="V172" i="25"/>
  <c r="V178" i="25" s="1"/>
  <c r="V184" i="25" s="1"/>
  <c r="V190" i="25" s="1"/>
  <c r="V99" i="18"/>
  <c r="V105" i="18" s="1"/>
  <c r="V111" i="18" s="1"/>
  <c r="V117" i="18" s="1"/>
  <c r="V175" i="25"/>
  <c r="V181" i="25" s="1"/>
  <c r="V187" i="25" s="1"/>
  <c r="V193" i="25" s="1"/>
  <c r="E158" i="19"/>
  <c r="AO175" i="32"/>
  <c r="AO203" i="32"/>
  <c r="AO147" i="32"/>
  <c r="AL85" i="52"/>
  <c r="AO184" i="32"/>
  <c r="AO165" i="32"/>
  <c r="AL51" i="20"/>
  <c r="AL125" i="20" s="1"/>
  <c r="AO156" i="32"/>
  <c r="AO194" i="32"/>
  <c r="Z76" i="32"/>
  <c r="W48" i="19"/>
  <c r="Z85" i="32"/>
  <c r="Z94" i="32"/>
  <c r="Z104" i="32"/>
  <c r="Z132" i="32"/>
  <c r="W76" i="52"/>
  <c r="Z123" i="32"/>
  <c r="Z113" i="32"/>
  <c r="W47" i="19"/>
  <c r="W54" i="19" s="1"/>
  <c r="W129" i="19"/>
  <c r="W93" i="19"/>
  <c r="AM158" i="20"/>
  <c r="AD115" i="19"/>
  <c r="AD121" i="19" s="1"/>
  <c r="AK22" i="27"/>
  <c r="AK28" i="27" s="1"/>
  <c r="AK84" i="27"/>
  <c r="AK90" i="27" s="1"/>
  <c r="AK129" i="20"/>
  <c r="T53" i="27"/>
  <c r="T59" i="27" s="1"/>
  <c r="T186" i="27"/>
  <c r="T192" i="27" s="1"/>
  <c r="L90" i="18"/>
  <c r="G159" i="20"/>
  <c r="H72" i="52"/>
  <c r="K66" i="32"/>
  <c r="K28" i="32"/>
  <c r="K19" i="32"/>
  <c r="K10" i="32"/>
  <c r="K47" i="32"/>
  <c r="K38" i="32"/>
  <c r="K57" i="32"/>
  <c r="H49" i="18"/>
  <c r="D127" i="18"/>
  <c r="T149" i="27"/>
  <c r="T155" i="27" s="1"/>
  <c r="T121" i="27"/>
  <c r="T127" i="27" s="1"/>
  <c r="AQ143" i="11"/>
  <c r="AJ4" i="11"/>
  <c r="AM4" i="11" s="1"/>
  <c r="AL123" i="11"/>
  <c r="N68" i="33"/>
  <c r="N6" i="33" s="1"/>
  <c r="N24" i="33" s="1"/>
  <c r="N42" i="33" s="1"/>
  <c r="G166" i="27"/>
  <c r="G199" i="27"/>
  <c r="G133" i="27"/>
  <c r="G67" i="27"/>
  <c r="G34" i="27"/>
  <c r="G100" i="27"/>
  <c r="G232" i="27"/>
  <c r="U137" i="26"/>
  <c r="U143" i="26" s="1"/>
  <c r="U149" i="26" s="1"/>
  <c r="U155" i="26" s="1"/>
  <c r="U205" i="26"/>
  <c r="U211" i="26" s="1"/>
  <c r="U217" i="26" s="1"/>
  <c r="U223" i="26" s="1"/>
  <c r="U6" i="26"/>
  <c r="U12" i="26" s="1"/>
  <c r="U18" i="26" s="1"/>
  <c r="U24" i="26" s="1"/>
  <c r="X72" i="52"/>
  <c r="AA19" i="32"/>
  <c r="AA57" i="32"/>
  <c r="X49" i="18"/>
  <c r="AA10" i="32"/>
  <c r="AA28" i="32"/>
  <c r="AA38" i="32"/>
  <c r="AA66" i="32"/>
  <c r="AA47" i="32"/>
  <c r="F231" i="26"/>
  <c r="F198" i="26"/>
  <c r="F165" i="26"/>
  <c r="F132" i="26"/>
  <c r="F99" i="26"/>
  <c r="F66" i="26"/>
  <c r="F33" i="26"/>
  <c r="AI159" i="18"/>
  <c r="C58" i="33"/>
  <c r="D58" i="33" s="1"/>
  <c r="D40" i="33"/>
  <c r="AO17" i="32"/>
  <c r="R227" i="25"/>
  <c r="R161" i="25"/>
  <c r="R95" i="25"/>
  <c r="R194" i="25"/>
  <c r="R128" i="25"/>
  <c r="R62" i="25"/>
  <c r="R29" i="25"/>
  <c r="R122" i="18"/>
  <c r="R86" i="18"/>
  <c r="R158" i="18"/>
  <c r="N65" i="32"/>
  <c r="AL166" i="28"/>
  <c r="AL37" i="28"/>
  <c r="AL168" i="28"/>
  <c r="AL167" i="28"/>
  <c r="AL169" i="28"/>
  <c r="H117" i="26"/>
  <c r="H123" i="26" s="1"/>
  <c r="H185" i="26"/>
  <c r="H191" i="26" s="1"/>
  <c r="H120" i="26"/>
  <c r="H126" i="26" s="1"/>
  <c r="AQ138" i="11"/>
  <c r="AH83" i="33"/>
  <c r="AH21" i="33" s="1"/>
  <c r="AH39" i="33" s="1"/>
  <c r="AH57" i="33" s="1"/>
  <c r="Q127" i="20"/>
  <c r="M161" i="18"/>
  <c r="AK74" i="52"/>
  <c r="AN49" i="32"/>
  <c r="AN12" i="32"/>
  <c r="AN40" i="32"/>
  <c r="AK51" i="18"/>
  <c r="AN30" i="32"/>
  <c r="AN68" i="32"/>
  <c r="AN59" i="32"/>
  <c r="AN21" i="32"/>
  <c r="AL55" i="28"/>
  <c r="AL185" i="28"/>
  <c r="AL189" i="28"/>
  <c r="AL187" i="28"/>
  <c r="AL186" i="28"/>
  <c r="AL190" i="28"/>
  <c r="AL184" i="28"/>
  <c r="AL188" i="28"/>
  <c r="AN67" i="25"/>
  <c r="AN34" i="25"/>
  <c r="AN100" i="25"/>
  <c r="AN199" i="25"/>
  <c r="AN232" i="25"/>
  <c r="AN133" i="25"/>
  <c r="AN166" i="25"/>
  <c r="AF67" i="19"/>
  <c r="AF73" i="19" s="1"/>
  <c r="AF79" i="19" s="1"/>
  <c r="AF85" i="19" s="1"/>
  <c r="AF71" i="26"/>
  <c r="AF77" i="26" s="1"/>
  <c r="AF83" i="26" s="1"/>
  <c r="AF89" i="26" s="1"/>
  <c r="AI102" i="32"/>
  <c r="AI103" i="32" s="1"/>
  <c r="AL27" i="34" s="1"/>
  <c r="AL41" i="34" s="1"/>
  <c r="AI112" i="32"/>
  <c r="AL26" i="34" s="1"/>
  <c r="AL40" i="34" s="1"/>
  <c r="L45" i="20"/>
  <c r="L143" i="11"/>
  <c r="L144" i="11" s="1"/>
  <c r="AM42" i="26"/>
  <c r="AM48" i="26" s="1"/>
  <c r="AM54" i="26" s="1"/>
  <c r="AM60" i="26" s="1"/>
  <c r="AM29" i="19"/>
  <c r="AM36" i="19" s="1"/>
  <c r="AM44" i="19" s="1"/>
  <c r="AM64" i="19"/>
  <c r="AM70" i="19" s="1"/>
  <c r="AM76" i="19" s="1"/>
  <c r="AM82" i="19" s="1"/>
  <c r="R123" i="20"/>
  <c r="AE53" i="27"/>
  <c r="AE59" i="27" s="1"/>
  <c r="R87" i="52"/>
  <c r="U205" i="32"/>
  <c r="R53" i="20"/>
  <c r="R127" i="20" s="1"/>
  <c r="U196" i="32"/>
  <c r="U167" i="32"/>
  <c r="U177" i="32"/>
  <c r="U149" i="32"/>
  <c r="U186" i="32"/>
  <c r="U158" i="32"/>
  <c r="N67" i="32"/>
  <c r="AJ196" i="32"/>
  <c r="AJ167" i="32"/>
  <c r="AJ177" i="32"/>
  <c r="AG87" i="52"/>
  <c r="AJ186" i="32"/>
  <c r="AJ205" i="32"/>
  <c r="AJ158" i="32"/>
  <c r="AJ149" i="32"/>
  <c r="AG53" i="20"/>
  <c r="AG91" i="20" s="1"/>
  <c r="L87" i="18"/>
  <c r="AD100" i="20"/>
  <c r="AD106" i="20" s="1"/>
  <c r="AD112" i="20" s="1"/>
  <c r="AD118" i="20" s="1"/>
  <c r="AD99" i="20"/>
  <c r="AD105" i="20" s="1"/>
  <c r="AD111" i="20" s="1"/>
  <c r="AD117" i="20" s="1"/>
  <c r="AD65" i="20"/>
  <c r="AD71" i="20" s="1"/>
  <c r="AD77" i="20" s="1"/>
  <c r="AD83" i="20" s="1"/>
  <c r="P159" i="18"/>
  <c r="L126" i="18"/>
  <c r="V171" i="25"/>
  <c r="V177" i="25" s="1"/>
  <c r="V183" i="25" s="1"/>
  <c r="V189" i="25" s="1"/>
  <c r="V134" i="18"/>
  <c r="V140" i="18" s="1"/>
  <c r="V146" i="18" s="1"/>
  <c r="V152" i="18" s="1"/>
  <c r="V41" i="25"/>
  <c r="V47" i="25" s="1"/>
  <c r="V53" i="25" s="1"/>
  <c r="V59" i="25" s="1"/>
  <c r="S122" i="18"/>
  <c r="S160" i="18"/>
  <c r="AO148" i="32"/>
  <c r="AO204" i="32"/>
  <c r="AO195" i="32"/>
  <c r="AO166" i="32"/>
  <c r="AO176" i="32"/>
  <c r="AO185" i="32"/>
  <c r="AL52" i="20"/>
  <c r="AL86" i="52"/>
  <c r="AO157" i="32"/>
  <c r="W165" i="19"/>
  <c r="S93" i="18"/>
  <c r="AD87" i="19"/>
  <c r="AK18" i="27"/>
  <c r="AK24" i="27" s="1"/>
  <c r="AK153" i="27"/>
  <c r="AK159" i="27" s="1"/>
  <c r="AK53" i="27"/>
  <c r="AK59" i="27" s="1"/>
  <c r="T111" i="20"/>
  <c r="T117" i="20" s="1"/>
  <c r="Q125" i="32"/>
  <c r="Q96" i="32"/>
  <c r="Q78" i="32"/>
  <c r="Q106" i="32"/>
  <c r="Q134" i="32"/>
  <c r="Q87" i="32"/>
  <c r="Q115" i="32"/>
  <c r="N50" i="19"/>
  <c r="N124" i="19" s="1"/>
  <c r="N78" i="52"/>
  <c r="N160" i="19"/>
  <c r="AM82" i="52"/>
  <c r="AM48" i="20"/>
  <c r="AP144" i="32"/>
  <c r="AP181" i="32"/>
  <c r="AP153" i="32"/>
  <c r="AM47" i="20"/>
  <c r="AM54" i="20" s="1"/>
  <c r="AP200" i="32"/>
  <c r="AM93" i="20"/>
  <c r="AP162" i="32"/>
  <c r="AP191" i="32"/>
  <c r="AP172" i="32"/>
  <c r="Q131" i="32"/>
  <c r="Q28" i="34" s="1"/>
  <c r="Q42" i="34" s="1"/>
  <c r="Q121" i="32"/>
  <c r="Q122" i="32" s="1"/>
  <c r="Q29" i="34" s="1"/>
  <c r="Q43" i="34" s="1"/>
  <c r="M70" i="52"/>
  <c r="P45" i="32"/>
  <c r="P55" i="32"/>
  <c r="P17" i="32"/>
  <c r="P26" i="32"/>
  <c r="M47" i="18"/>
  <c r="M158" i="18" s="1"/>
  <c r="P8" i="32"/>
  <c r="P36" i="32"/>
  <c r="P64" i="32"/>
  <c r="M46" i="18"/>
  <c r="M53" i="18" s="1"/>
  <c r="M93" i="18"/>
  <c r="D123" i="18"/>
  <c r="T51" i="27"/>
  <c r="T57" i="27" s="1"/>
  <c r="L150" i="20"/>
  <c r="L156" i="20" s="1"/>
  <c r="AH74" i="33"/>
  <c r="AH12" i="33" s="1"/>
  <c r="AH30" i="33" s="1"/>
  <c r="AH48" i="33" s="1"/>
  <c r="AQ129" i="11"/>
  <c r="AE143" i="11"/>
  <c r="AE144" i="11" s="1"/>
  <c r="AK75" i="52"/>
  <c r="AN13" i="32"/>
  <c r="AN69" i="32"/>
  <c r="AK52" i="18"/>
  <c r="AN60" i="32"/>
  <c r="AN41" i="32"/>
  <c r="AN31" i="32"/>
  <c r="AN22" i="32"/>
  <c r="AN50" i="32"/>
  <c r="AO47" i="32"/>
  <c r="AJ55" i="28"/>
  <c r="AJ187" i="28"/>
  <c r="AJ189" i="28"/>
  <c r="AJ185" i="28"/>
  <c r="AJ188" i="28"/>
  <c r="AJ190" i="28"/>
  <c r="AJ184" i="28"/>
  <c r="AJ186" i="28"/>
  <c r="AF54" i="26"/>
  <c r="AF60" i="26" s="1"/>
  <c r="AM207" i="26"/>
  <c r="AM213" i="26" s="1"/>
  <c r="AM219" i="26" s="1"/>
  <c r="AM225" i="26" s="1"/>
  <c r="AM26" i="19"/>
  <c r="AM33" i="19" s="1"/>
  <c r="X86" i="18"/>
  <c r="Y142" i="11"/>
  <c r="AG90" i="20"/>
  <c r="AG88" i="20"/>
  <c r="AJ124" i="18"/>
  <c r="AJ86" i="18"/>
  <c r="AJ159" i="18"/>
  <c r="AF91" i="20"/>
  <c r="V73" i="52"/>
  <c r="Y58" i="32"/>
  <c r="Y67" i="32"/>
  <c r="Y11" i="32"/>
  <c r="Y39" i="32"/>
  <c r="Y20" i="32"/>
  <c r="Y29" i="32"/>
  <c r="V50" i="18"/>
  <c r="S71" i="52"/>
  <c r="V18" i="32"/>
  <c r="V56" i="32"/>
  <c r="V65" i="32"/>
  <c r="V37" i="32"/>
  <c r="V27" i="32"/>
  <c r="S48" i="18"/>
  <c r="V9" i="32"/>
  <c r="V46" i="32"/>
  <c r="E80" i="19"/>
  <c r="E86" i="19" s="1"/>
  <c r="E93" i="19"/>
  <c r="L183" i="27"/>
  <c r="L189" i="27" s="1"/>
  <c r="Z116" i="32"/>
  <c r="W51" i="19"/>
  <c r="Z126" i="32"/>
  <c r="Z97" i="32"/>
  <c r="Z107" i="32"/>
  <c r="Z88" i="32"/>
  <c r="Z135" i="32"/>
  <c r="W79" i="52"/>
  <c r="Z79" i="32"/>
  <c r="S46" i="18"/>
  <c r="S53" i="18" s="1"/>
  <c r="AD113" i="19"/>
  <c r="AD119" i="19" s="1"/>
  <c r="AD216" i="26"/>
  <c r="AK65" i="20"/>
  <c r="AK71" i="20" s="1"/>
  <c r="AK77" i="20" s="1"/>
  <c r="AK83" i="20" s="1"/>
  <c r="AK140" i="27"/>
  <c r="AK146" i="27" s="1"/>
  <c r="AK152" i="27" s="1"/>
  <c r="AK158" i="27" s="1"/>
  <c r="T88" i="27"/>
  <c r="T94" i="27" s="1"/>
  <c r="T217" i="27"/>
  <c r="T223" i="27" s="1"/>
  <c r="N87" i="19"/>
  <c r="N129" i="19"/>
  <c r="L150" i="27"/>
  <c r="L156" i="27" s="1"/>
  <c r="D89" i="18"/>
  <c r="AC127" i="18"/>
  <c r="AE117" i="27"/>
  <c r="AE123" i="27" s="1"/>
  <c r="AK111" i="32"/>
  <c r="AH43" i="26"/>
  <c r="AH49" i="26" s="1"/>
  <c r="AH208" i="26"/>
  <c r="AH214" i="26" s="1"/>
  <c r="AH16" i="19"/>
  <c r="AH140" i="26" s="1"/>
  <c r="AH146" i="26" s="1"/>
  <c r="AH73" i="26"/>
  <c r="AH79" i="26" s="1"/>
  <c r="AH128" i="19"/>
  <c r="AH130" i="19" s="1"/>
  <c r="AH31" i="19"/>
  <c r="AH38" i="19" s="1"/>
  <c r="AF118" i="26"/>
  <c r="AF124" i="26" s="1"/>
  <c r="AF151" i="19"/>
  <c r="AF157" i="19" s="1"/>
  <c r="L185" i="27"/>
  <c r="R158" i="20"/>
  <c r="L161" i="25"/>
  <c r="L194" i="25"/>
  <c r="L128" i="25"/>
  <c r="L227" i="25"/>
  <c r="L95" i="25"/>
  <c r="L62" i="25"/>
  <c r="L29" i="25"/>
  <c r="AD117" i="27"/>
  <c r="AD123" i="27" s="1"/>
  <c r="AD118" i="27"/>
  <c r="AD124" i="27" s="1"/>
  <c r="AD217" i="27"/>
  <c r="AD223" i="27" s="1"/>
  <c r="X162" i="18"/>
  <c r="AL63" i="32"/>
  <c r="D14" i="34" s="1"/>
  <c r="AL53" i="32"/>
  <c r="AL54" i="32" s="1"/>
  <c r="D15" i="34" s="1"/>
  <c r="F90" i="18"/>
  <c r="N71" i="33"/>
  <c r="N9" i="33" s="1"/>
  <c r="N27" i="33" s="1"/>
  <c r="N45" i="33" s="1"/>
  <c r="AL126" i="11"/>
  <c r="J149" i="32"/>
  <c r="U172" i="26"/>
  <c r="U178" i="26" s="1"/>
  <c r="U184" i="26" s="1"/>
  <c r="U190" i="26" s="1"/>
  <c r="U73" i="26"/>
  <c r="U79" i="26" s="1"/>
  <c r="U85" i="26" s="1"/>
  <c r="U91" i="26" s="1"/>
  <c r="X18" i="19"/>
  <c r="X6" i="19"/>
  <c r="X15" i="19"/>
  <c r="X12" i="19"/>
  <c r="AC70" i="52"/>
  <c r="AF17" i="32"/>
  <c r="AF26" i="32"/>
  <c r="AF55" i="32"/>
  <c r="AF64" i="32"/>
  <c r="AF8" i="32"/>
  <c r="AF45" i="32"/>
  <c r="AC47" i="18"/>
  <c r="AC46" i="18"/>
  <c r="AC53" i="18" s="1"/>
  <c r="AF36" i="32"/>
  <c r="AC93" i="18"/>
  <c r="AG122" i="20"/>
  <c r="Q87" i="20"/>
  <c r="L182" i="27"/>
  <c r="L188" i="27" s="1"/>
  <c r="AL93" i="18"/>
  <c r="AL165" i="28"/>
  <c r="K143" i="11"/>
  <c r="K144" i="11" s="1"/>
  <c r="AL90" i="18"/>
  <c r="H174" i="26"/>
  <c r="H180" i="26" s="1"/>
  <c r="H186" i="26" s="1"/>
  <c r="H192" i="26" s="1"/>
  <c r="H62" i="19"/>
  <c r="H68" i="19" s="1"/>
  <c r="H74" i="19" s="1"/>
  <c r="H80" i="19" s="1"/>
  <c r="AH80" i="33"/>
  <c r="AH18" i="33" s="1"/>
  <c r="AH36" i="33" s="1"/>
  <c r="AH54" i="33" s="1"/>
  <c r="AQ135" i="11"/>
  <c r="T151" i="20"/>
  <c r="T157" i="20" s="1"/>
  <c r="K8" i="19"/>
  <c r="K5" i="19"/>
  <c r="K7" i="19"/>
  <c r="AK64" i="18"/>
  <c r="AK70" i="18" s="1"/>
  <c r="AK76" i="18" s="1"/>
  <c r="AK82" i="18" s="1"/>
  <c r="AK62" i="18"/>
  <c r="AK68" i="18" s="1"/>
  <c r="AK74" i="18" s="1"/>
  <c r="AK80" i="18" s="1"/>
  <c r="AK86" i="18" s="1"/>
  <c r="K46" i="32"/>
  <c r="K18" i="32"/>
  <c r="K37" i="32"/>
  <c r="K9" i="32"/>
  <c r="K65" i="32"/>
  <c r="H71" i="52"/>
  <c r="K27" i="32"/>
  <c r="K56" i="32"/>
  <c r="H48" i="18"/>
  <c r="T80" i="52"/>
  <c r="W89" i="32"/>
  <c r="W80" i="32"/>
  <c r="W108" i="32"/>
  <c r="W117" i="32"/>
  <c r="T52" i="19"/>
  <c r="W136" i="32"/>
  <c r="W98" i="32"/>
  <c r="W127" i="32"/>
  <c r="Z99" i="32"/>
  <c r="W81" i="52"/>
  <c r="Z118" i="32"/>
  <c r="Z128" i="32"/>
  <c r="Z109" i="32"/>
  <c r="Z137" i="32"/>
  <c r="Z90" i="32"/>
  <c r="Z81" i="32"/>
  <c r="W53" i="19"/>
  <c r="AH23" i="19"/>
  <c r="AH13" i="19"/>
  <c r="AK130" i="32" s="1"/>
  <c r="AL127" i="20"/>
  <c r="AF107" i="26"/>
  <c r="AF113" i="26" s="1"/>
  <c r="AF119" i="26" s="1"/>
  <c r="AF125" i="26" s="1"/>
  <c r="AF204" i="26"/>
  <c r="AF210" i="26" s="1"/>
  <c r="AF216" i="26" s="1"/>
  <c r="AF222" i="26" s="1"/>
  <c r="AF10" i="26"/>
  <c r="AF16" i="26" s="1"/>
  <c r="AF22" i="26" s="1"/>
  <c r="AF28" i="26" s="1"/>
  <c r="L42" i="20"/>
  <c r="AM171" i="26"/>
  <c r="AM177" i="26" s="1"/>
  <c r="AM183" i="26" s="1"/>
  <c r="AM189" i="26" s="1"/>
  <c r="AM67" i="19"/>
  <c r="AM73" i="19" s="1"/>
  <c r="AM79" i="19" s="1"/>
  <c r="AM85" i="19" s="1"/>
  <c r="AM8" i="26"/>
  <c r="AM14" i="26" s="1"/>
  <c r="AM20" i="26" s="1"/>
  <c r="AM26" i="26" s="1"/>
  <c r="AL141" i="11"/>
  <c r="Y143" i="11"/>
  <c r="O55" i="32"/>
  <c r="X158" i="18"/>
  <c r="R83" i="32"/>
  <c r="R84" i="32" s="1"/>
  <c r="R24" i="34" s="1"/>
  <c r="R38" i="34" s="1"/>
  <c r="R93" i="32"/>
  <c r="R25" i="34" s="1"/>
  <c r="R39" i="34" s="1"/>
  <c r="R74" i="32"/>
  <c r="R75" i="32" s="1"/>
  <c r="R23" i="34" s="1"/>
  <c r="R37" i="34" s="1"/>
  <c r="S123" i="18"/>
  <c r="AE41" i="20"/>
  <c r="AG159" i="20"/>
  <c r="N91" i="18"/>
  <c r="M125" i="18"/>
  <c r="AD72" i="27"/>
  <c r="AD78" i="27" s="1"/>
  <c r="AD84" i="27" s="1"/>
  <c r="AD90" i="27" s="1"/>
  <c r="AD8" i="27"/>
  <c r="AD14" i="27" s="1"/>
  <c r="AD20" i="27" s="1"/>
  <c r="AD26" i="27" s="1"/>
  <c r="AD207" i="27"/>
  <c r="AD213" i="27" s="1"/>
  <c r="AD219" i="27" s="1"/>
  <c r="AD225" i="27" s="1"/>
  <c r="AM50" i="20"/>
  <c r="AM124" i="20" s="1"/>
  <c r="AM84" i="52"/>
  <c r="AP146" i="32"/>
  <c r="AP193" i="32"/>
  <c r="AP164" i="32"/>
  <c r="AP174" i="32"/>
  <c r="AP183" i="32"/>
  <c r="AP202" i="32"/>
  <c r="AP155" i="32"/>
  <c r="V83" i="32"/>
  <c r="V84" i="32" s="1"/>
  <c r="U24" i="34" s="1"/>
  <c r="U38" i="34" s="1"/>
  <c r="V74" i="32"/>
  <c r="V75" i="32" s="1"/>
  <c r="U23" i="34" s="1"/>
  <c r="U37" i="34" s="1"/>
  <c r="V93" i="32"/>
  <c r="U25" i="34" s="1"/>
  <c r="U39" i="34" s="1"/>
  <c r="V141" i="25"/>
  <c r="V147" i="25" s="1"/>
  <c r="V153" i="25" s="1"/>
  <c r="V159" i="25" s="1"/>
  <c r="V109" i="25"/>
  <c r="V115" i="25" s="1"/>
  <c r="V121" i="25" s="1"/>
  <c r="V127" i="25" s="1"/>
  <c r="V104" i="25"/>
  <c r="V110" i="25" s="1"/>
  <c r="V116" i="25" s="1"/>
  <c r="V122" i="25" s="1"/>
  <c r="X179" i="32"/>
  <c r="U16" i="20"/>
  <c r="U74" i="27"/>
  <c r="U80" i="27" s="1"/>
  <c r="U128" i="20"/>
  <c r="U130" i="20" s="1"/>
  <c r="S23" i="19"/>
  <c r="S13" i="19"/>
  <c r="V130" i="32" s="1"/>
  <c r="T219" i="27"/>
  <c r="T225" i="27" s="1"/>
  <c r="W90" i="19"/>
  <c r="V26" i="32"/>
  <c r="AD78" i="52"/>
  <c r="AD50" i="19"/>
  <c r="AG106" i="32"/>
  <c r="AG96" i="32"/>
  <c r="AG87" i="32"/>
  <c r="AG115" i="32"/>
  <c r="AG134" i="32"/>
  <c r="AG78" i="32"/>
  <c r="AG125" i="32"/>
  <c r="AG99" i="32"/>
  <c r="AG118" i="32"/>
  <c r="AG137" i="32"/>
  <c r="AG81" i="32"/>
  <c r="AD81" i="52"/>
  <c r="AD53" i="19"/>
  <c r="AG109" i="32"/>
  <c r="AG128" i="32"/>
  <c r="AG90" i="32"/>
  <c r="AL91" i="20"/>
  <c r="AK110" i="20"/>
  <c r="AK116" i="20" s="1"/>
  <c r="AK219" i="27"/>
  <c r="AK225" i="27" s="1"/>
  <c r="T112" i="20"/>
  <c r="T118" i="20" s="1"/>
  <c r="T86" i="27"/>
  <c r="T92" i="27" s="1"/>
  <c r="Q88" i="32"/>
  <c r="Q135" i="32"/>
  <c r="Q116" i="32"/>
  <c r="Q107" i="32"/>
  <c r="Q97" i="32"/>
  <c r="Q126" i="32"/>
  <c r="Q79" i="32"/>
  <c r="N79" i="52"/>
  <c r="N51" i="19"/>
  <c r="T184" i="27"/>
  <c r="T190" i="27" s="1"/>
  <c r="Q21" i="32"/>
  <c r="D159" i="18"/>
  <c r="D86" i="18"/>
  <c r="AE182" i="27"/>
  <c r="AE188" i="27" s="1"/>
  <c r="H109" i="32"/>
  <c r="AL122" i="20"/>
  <c r="M143" i="11"/>
  <c r="O5" i="20"/>
  <c r="O21" i="20"/>
  <c r="O22" i="20" s="1"/>
  <c r="K195" i="25"/>
  <c r="K162" i="25"/>
  <c r="K129" i="25"/>
  <c r="K30" i="25"/>
  <c r="K96" i="25"/>
  <c r="K228" i="25"/>
  <c r="K63" i="25"/>
  <c r="AB92" i="19"/>
  <c r="AB94" i="19" s="1"/>
  <c r="AE92" i="32"/>
  <c r="H86" i="26"/>
  <c r="H92" i="26" s="1"/>
  <c r="H83" i="26"/>
  <c r="H89" i="26" s="1"/>
  <c r="H76" i="19"/>
  <c r="H82" i="19" s="1"/>
  <c r="AQ132" i="11"/>
  <c r="AH77" i="33"/>
  <c r="AH15" i="33" s="1"/>
  <c r="AH33" i="33" s="1"/>
  <c r="AH51" i="33" s="1"/>
  <c r="AN134" i="11"/>
  <c r="AL79" i="33"/>
  <c r="AL17" i="33" s="1"/>
  <c r="AL35" i="33" s="1"/>
  <c r="AL53" i="33" s="1"/>
  <c r="H77" i="32"/>
  <c r="H133" i="32"/>
  <c r="H86" i="32"/>
  <c r="E77" i="52"/>
  <c r="E49" i="19"/>
  <c r="H105" i="32"/>
  <c r="H124" i="32"/>
  <c r="H95" i="32"/>
  <c r="H114" i="32"/>
  <c r="AK71" i="52"/>
  <c r="AN46" i="32"/>
  <c r="AN27" i="32"/>
  <c r="AN37" i="32"/>
  <c r="AN18" i="32"/>
  <c r="AN9" i="32"/>
  <c r="AK48" i="18"/>
  <c r="AN56" i="32"/>
  <c r="S21" i="20"/>
  <c r="S22" i="20" s="1"/>
  <c r="S8" i="20"/>
  <c r="S5" i="20"/>
  <c r="P73" i="33"/>
  <c r="P11" i="33" s="1"/>
  <c r="P29" i="33" s="1"/>
  <c r="P47" i="33" s="1"/>
  <c r="AM128" i="11"/>
  <c r="AJ183" i="28"/>
  <c r="AF173" i="26"/>
  <c r="AF179" i="26" s="1"/>
  <c r="AF185" i="26" s="1"/>
  <c r="AF191" i="26" s="1"/>
  <c r="AF174" i="26"/>
  <c r="AF180" i="26" s="1"/>
  <c r="AF186" i="26" s="1"/>
  <c r="AF192" i="26" s="1"/>
  <c r="AF141" i="26"/>
  <c r="AF147" i="26" s="1"/>
  <c r="AF153" i="26" s="1"/>
  <c r="AF159" i="26" s="1"/>
  <c r="L187" i="27"/>
  <c r="L193" i="27" s="1"/>
  <c r="AM141" i="26"/>
  <c r="AM147" i="26" s="1"/>
  <c r="AM153" i="26" s="1"/>
  <c r="AM159" i="26" s="1"/>
  <c r="AM139" i="26"/>
  <c r="AM145" i="26" s="1"/>
  <c r="AM151" i="26" s="1"/>
  <c r="AM157" i="26" s="1"/>
  <c r="AM10" i="26"/>
  <c r="AM16" i="26" s="1"/>
  <c r="AM22" i="26" s="1"/>
  <c r="AM28" i="26" s="1"/>
  <c r="AC163" i="18"/>
  <c r="S165" i="18"/>
  <c r="T86" i="19"/>
  <c r="AL88" i="20"/>
  <c r="AG86" i="52"/>
  <c r="AJ166" i="32"/>
  <c r="AG52" i="20"/>
  <c r="AJ204" i="32"/>
  <c r="AJ195" i="32"/>
  <c r="AJ185" i="32"/>
  <c r="AJ157" i="32"/>
  <c r="AJ148" i="32"/>
  <c r="AJ176" i="32"/>
  <c r="AJ163" i="18"/>
  <c r="AJ127" i="18"/>
  <c r="J125" i="18"/>
  <c r="AF83" i="32"/>
  <c r="AF84" i="32" s="1"/>
  <c r="AH24" i="34" s="1"/>
  <c r="AH38" i="34" s="1"/>
  <c r="AF74" i="32"/>
  <c r="AF75" i="32" s="1"/>
  <c r="AH23" i="34" s="1"/>
  <c r="AH37" i="34" s="1"/>
  <c r="AF93" i="32"/>
  <c r="AH25" i="34" s="1"/>
  <c r="AH39" i="34" s="1"/>
  <c r="AD10" i="27"/>
  <c r="AD16" i="27" s="1"/>
  <c r="AD22" i="27" s="1"/>
  <c r="AD28" i="27" s="1"/>
  <c r="AD39" i="27"/>
  <c r="AD45" i="27" s="1"/>
  <c r="AD51" i="27" s="1"/>
  <c r="AD57" i="27" s="1"/>
  <c r="V29" i="32"/>
  <c r="S73" i="52"/>
  <c r="V39" i="32"/>
  <c r="V20" i="32"/>
  <c r="V67" i="32"/>
  <c r="V11" i="32"/>
  <c r="V58" i="32"/>
  <c r="V48" i="32"/>
  <c r="S50" i="18"/>
  <c r="Q129" i="20"/>
  <c r="V170" i="25"/>
  <c r="V176" i="25" s="1"/>
  <c r="V182" i="25" s="1"/>
  <c r="V188" i="25" s="1"/>
  <c r="V136" i="18"/>
  <c r="V142" i="18" s="1"/>
  <c r="V148" i="18" s="1"/>
  <c r="V154" i="18" s="1"/>
  <c r="U13" i="20"/>
  <c r="X198" i="32" s="1"/>
  <c r="U23" i="20"/>
  <c r="AE120" i="27"/>
  <c r="AE126" i="27" s="1"/>
  <c r="V111" i="32"/>
  <c r="S7" i="26"/>
  <c r="S13" i="26" s="1"/>
  <c r="S41" i="26"/>
  <c r="S47" i="26" s="1"/>
  <c r="S134" i="19"/>
  <c r="S140" i="19" s="1"/>
  <c r="S207" i="26"/>
  <c r="S213" i="26" s="1"/>
  <c r="S10" i="26"/>
  <c r="S16" i="26" s="1"/>
  <c r="S135" i="19"/>
  <c r="S141" i="19" s="1"/>
  <c r="S63" i="19"/>
  <c r="S69" i="19" s="1"/>
  <c r="S173" i="26"/>
  <c r="S179" i="26" s="1"/>
  <c r="S67" i="19"/>
  <c r="S73" i="19" s="1"/>
  <c r="S26" i="19"/>
  <c r="S33" i="19" s="1"/>
  <c r="S42" i="26"/>
  <c r="S48" i="26" s="1"/>
  <c r="S27" i="19"/>
  <c r="S34" i="19" s="1"/>
  <c r="S64" i="19"/>
  <c r="S70" i="19" s="1"/>
  <c r="S29" i="19"/>
  <c r="S36" i="19" s="1"/>
  <c r="S103" i="19"/>
  <c r="S109" i="19" s="1"/>
  <c r="S175" i="26"/>
  <c r="S181" i="26" s="1"/>
  <c r="S71" i="26"/>
  <c r="S77" i="26" s="1"/>
  <c r="S137" i="26"/>
  <c r="S143" i="26" s="1"/>
  <c r="S99" i="19"/>
  <c r="S105" i="19" s="1"/>
  <c r="S164" i="19"/>
  <c r="S166" i="19" s="1"/>
  <c r="S8" i="26"/>
  <c r="S14" i="26" s="1"/>
  <c r="S38" i="26"/>
  <c r="S44" i="26" s="1"/>
  <c r="S107" i="26"/>
  <c r="S113" i="26" s="1"/>
  <c r="S65" i="19"/>
  <c r="S71" i="19" s="1"/>
  <c r="S30" i="19"/>
  <c r="S37" i="19" s="1"/>
  <c r="S9" i="26"/>
  <c r="S15" i="26" s="1"/>
  <c r="S73" i="26"/>
  <c r="S79" i="26" s="1"/>
  <c r="S128" i="19"/>
  <c r="S130" i="19" s="1"/>
  <c r="S98" i="19"/>
  <c r="S104" i="19" s="1"/>
  <c r="S204" i="26"/>
  <c r="S210" i="26" s="1"/>
  <c r="S105" i="26"/>
  <c r="S111" i="26" s="1"/>
  <c r="S32" i="19"/>
  <c r="S39" i="19" s="1"/>
  <c r="S40" i="19" s="1"/>
  <c r="S138" i="26"/>
  <c r="S144" i="26" s="1"/>
  <c r="S75" i="26"/>
  <c r="S81" i="26" s="1"/>
  <c r="S203" i="26"/>
  <c r="S209" i="26" s="1"/>
  <c r="S139" i="19"/>
  <c r="S145" i="19" s="1"/>
  <c r="S101" i="19"/>
  <c r="S107" i="19" s="1"/>
  <c r="S5" i="26"/>
  <c r="S11" i="26" s="1"/>
  <c r="S72" i="26"/>
  <c r="S78" i="26" s="1"/>
  <c r="S136" i="19"/>
  <c r="S142" i="19" s="1"/>
  <c r="S74" i="26"/>
  <c r="S80" i="26" s="1"/>
  <c r="S205" i="26"/>
  <c r="S211" i="26" s="1"/>
  <c r="S171" i="26"/>
  <c r="S177" i="26" s="1"/>
  <c r="S16" i="19"/>
  <c r="S206" i="26" s="1"/>
  <c r="S212" i="26" s="1"/>
  <c r="S137" i="19"/>
  <c r="S143" i="19" s="1"/>
  <c r="S76" i="26"/>
  <c r="S82" i="26" s="1"/>
  <c r="S141" i="26"/>
  <c r="S147" i="26" s="1"/>
  <c r="S172" i="26"/>
  <c r="S178" i="26" s="1"/>
  <c r="S100" i="19"/>
  <c r="S106" i="19" s="1"/>
  <c r="S142" i="26"/>
  <c r="S148" i="26" s="1"/>
  <c r="S174" i="26"/>
  <c r="S180" i="26" s="1"/>
  <c r="S170" i="26"/>
  <c r="S176" i="26" s="1"/>
  <c r="S28" i="19"/>
  <c r="S35" i="19" s="1"/>
  <c r="S43" i="26"/>
  <c r="S49" i="26" s="1"/>
  <c r="S106" i="26"/>
  <c r="S112" i="26" s="1"/>
  <c r="S109" i="26"/>
  <c r="S115" i="26" s="1"/>
  <c r="S140" i="26"/>
  <c r="S146" i="26" s="1"/>
  <c r="S6" i="26"/>
  <c r="S12" i="26" s="1"/>
  <c r="S208" i="26"/>
  <c r="S214" i="26" s="1"/>
  <c r="S108" i="26"/>
  <c r="S114" i="26" s="1"/>
  <c r="S62" i="19"/>
  <c r="S68" i="19" s="1"/>
  <c r="S40" i="26"/>
  <c r="S46" i="26" s="1"/>
  <c r="S139" i="26"/>
  <c r="S145" i="26" s="1"/>
  <c r="S31" i="19"/>
  <c r="S38" i="19" s="1"/>
  <c r="Q19" i="32"/>
  <c r="T43" i="20"/>
  <c r="W88" i="19"/>
  <c r="V36" i="32"/>
  <c r="L84" i="27"/>
  <c r="L90" i="27" s="1"/>
  <c r="AK74" i="20"/>
  <c r="AK80" i="20" s="1"/>
  <c r="AK46" i="20"/>
  <c r="AK149" i="27"/>
  <c r="AK155" i="27" s="1"/>
  <c r="T152" i="27"/>
  <c r="T158" i="27" s="1"/>
  <c r="T87" i="27"/>
  <c r="T93" i="27" s="1"/>
  <c r="H165" i="18"/>
  <c r="N91" i="19"/>
  <c r="N165" i="19"/>
  <c r="T218" i="27"/>
  <c r="T224" i="27" s="1"/>
  <c r="T41" i="20"/>
  <c r="N165" i="25"/>
  <c r="N231" i="25"/>
  <c r="N198" i="25"/>
  <c r="N99" i="25"/>
  <c r="N33" i="25"/>
  <c r="N132" i="25"/>
  <c r="N66" i="25"/>
  <c r="AN163" i="18"/>
  <c r="P91" i="18"/>
  <c r="AL90" i="20"/>
  <c r="G130" i="25"/>
  <c r="G31" i="25"/>
  <c r="G97" i="25"/>
  <c r="G163" i="25"/>
  <c r="G229" i="25"/>
  <c r="G196" i="25"/>
  <c r="G64" i="25"/>
  <c r="U110" i="19"/>
  <c r="U116" i="19" s="1"/>
  <c r="U150" i="19"/>
  <c r="U156" i="19" s="1"/>
  <c r="U113" i="19"/>
  <c r="U119" i="19" s="1"/>
  <c r="AA92" i="32"/>
  <c r="X92" i="19"/>
  <c r="X94" i="19" s="1"/>
  <c r="AJ37" i="28"/>
  <c r="AJ167" i="28"/>
  <c r="AJ169" i="28"/>
  <c r="AJ168" i="28"/>
  <c r="AJ166" i="28"/>
  <c r="AL4" i="19"/>
  <c r="AV29" i="5"/>
  <c r="AL17" i="52" s="1"/>
  <c r="L118" i="27"/>
  <c r="L124" i="27" s="1"/>
  <c r="W158" i="18"/>
  <c r="N37" i="32"/>
  <c r="H44" i="19"/>
  <c r="H53" i="26"/>
  <c r="H59" i="26" s="1"/>
  <c r="H79" i="19"/>
  <c r="H85" i="19" s="1"/>
  <c r="H91" i="19" s="1"/>
  <c r="AQ126" i="11"/>
  <c r="AH71" i="33"/>
  <c r="AH9" i="33" s="1"/>
  <c r="AH27" i="33" s="1"/>
  <c r="AH45" i="33" s="1"/>
  <c r="AK123" i="18"/>
  <c r="P165" i="25"/>
  <c r="P99" i="25"/>
  <c r="P66" i="25"/>
  <c r="P132" i="25"/>
  <c r="P33" i="25"/>
  <c r="P231" i="25"/>
  <c r="P198" i="25"/>
  <c r="P126" i="18"/>
  <c r="AL126" i="20"/>
  <c r="AF208" i="26"/>
  <c r="AF214" i="26" s="1"/>
  <c r="AF220" i="26" s="1"/>
  <c r="AF226" i="26" s="1"/>
  <c r="AF137" i="19"/>
  <c r="AF143" i="19" s="1"/>
  <c r="AF149" i="19" s="1"/>
  <c r="AF155" i="19" s="1"/>
  <c r="K41" i="32"/>
  <c r="K22" i="32"/>
  <c r="H75" i="52"/>
  <c r="K69" i="32"/>
  <c r="K50" i="32"/>
  <c r="H52" i="18"/>
  <c r="K31" i="32"/>
  <c r="K60" i="32"/>
  <c r="K13" i="32"/>
  <c r="L110" i="20"/>
  <c r="L116" i="20" s="1"/>
  <c r="H163" i="18"/>
  <c r="AM104" i="26"/>
  <c r="AM110" i="26" s="1"/>
  <c r="AM116" i="26" s="1"/>
  <c r="AM122" i="26" s="1"/>
  <c r="AM62" i="19"/>
  <c r="AM68" i="19" s="1"/>
  <c r="AM74" i="19" s="1"/>
  <c r="AM80" i="19" s="1"/>
  <c r="F96" i="26"/>
  <c r="F195" i="26"/>
  <c r="F129" i="26"/>
  <c r="F63" i="26"/>
  <c r="F162" i="26"/>
  <c r="F30" i="26"/>
  <c r="F56" i="52"/>
  <c r="F228" i="26"/>
  <c r="X74" i="52"/>
  <c r="X51" i="18"/>
  <c r="X90" i="18" s="1"/>
  <c r="AA21" i="32"/>
  <c r="AA49" i="32"/>
  <c r="AA68" i="32"/>
  <c r="AA30" i="32"/>
  <c r="AA59" i="32"/>
  <c r="AA12" i="32"/>
  <c r="AA40" i="32"/>
  <c r="AF127" i="20"/>
  <c r="Q160" i="18"/>
  <c r="AO155" i="32"/>
  <c r="AL84" i="52"/>
  <c r="AO193" i="32"/>
  <c r="AO146" i="32"/>
  <c r="AO164" i="32"/>
  <c r="AO183" i="32"/>
  <c r="AO174" i="32"/>
  <c r="AO202" i="32"/>
  <c r="AL50" i="20"/>
  <c r="AD183" i="27"/>
  <c r="AD189" i="27" s="1"/>
  <c r="AD76" i="20"/>
  <c r="AD82" i="20" s="1"/>
  <c r="AD120" i="27"/>
  <c r="AD126" i="27" s="1"/>
  <c r="H127" i="18"/>
  <c r="V162" i="18"/>
  <c r="E91" i="19"/>
  <c r="R165" i="20"/>
  <c r="T77" i="52"/>
  <c r="T49" i="19"/>
  <c r="W86" i="32"/>
  <c r="W124" i="32"/>
  <c r="W77" i="32"/>
  <c r="W114" i="32"/>
  <c r="W105" i="32"/>
  <c r="W133" i="32"/>
  <c r="W95" i="32"/>
  <c r="Z121" i="32"/>
  <c r="Z122" i="32" s="1"/>
  <c r="Z29" i="34" s="1"/>
  <c r="Z43" i="34" s="1"/>
  <c r="Z131" i="32"/>
  <c r="Z28" i="34" s="1"/>
  <c r="Z42" i="34" s="1"/>
  <c r="T55" i="27"/>
  <c r="T61" i="27" s="1"/>
  <c r="AJ83" i="32"/>
  <c r="AJ84" i="32" s="1"/>
  <c r="AM24" i="34" s="1"/>
  <c r="AM38" i="34" s="1"/>
  <c r="AJ74" i="32"/>
  <c r="AJ75" i="32" s="1"/>
  <c r="AM23" i="34" s="1"/>
  <c r="AM37" i="34" s="1"/>
  <c r="AJ93" i="32"/>
  <c r="AM25" i="34" s="1"/>
  <c r="AM39" i="34" s="1"/>
  <c r="AK182" i="27"/>
  <c r="AK188" i="27" s="1"/>
  <c r="AK45" i="20"/>
  <c r="AK215" i="27"/>
  <c r="AK221" i="27" s="1"/>
  <c r="T46" i="20"/>
  <c r="T119" i="27"/>
  <c r="T125" i="27" s="1"/>
  <c r="N127" i="19"/>
  <c r="N89" i="19"/>
  <c r="AN92" i="19"/>
  <c r="AN94" i="19" s="1"/>
  <c r="AQ92" i="32"/>
  <c r="AM129" i="20"/>
  <c r="H50" i="18"/>
  <c r="H73" i="52"/>
  <c r="K48" i="32"/>
  <c r="K39" i="32"/>
  <c r="K20" i="32"/>
  <c r="K29" i="32"/>
  <c r="K58" i="32"/>
  <c r="K11" i="32"/>
  <c r="K67" i="32"/>
  <c r="Q30" i="32"/>
  <c r="AM150" i="27"/>
  <c r="AM156" i="27" s="1"/>
  <c r="N158" i="18"/>
  <c r="T144" i="11" l="1"/>
  <c r="I58" i="11"/>
  <c r="F135" i="52" s="1"/>
  <c r="I53" i="11"/>
  <c r="F121" i="52" s="1"/>
  <c r="I62" i="11"/>
  <c r="F124" i="52" s="1"/>
  <c r="I54" i="11"/>
  <c r="F127" i="52" s="1"/>
  <c r="AD144" i="11"/>
  <c r="F24" i="52"/>
  <c r="F102" i="52" s="1"/>
  <c r="I57" i="11"/>
  <c r="F128" i="52" s="1"/>
  <c r="I49" i="11"/>
  <c r="F132" i="52" s="1"/>
  <c r="I51" i="11"/>
  <c r="F126" i="52" s="1"/>
  <c r="I61" i="11"/>
  <c r="I56" i="11"/>
  <c r="I63" i="11"/>
  <c r="F130" i="52" s="1"/>
  <c r="I60" i="11"/>
  <c r="F129" i="52" s="1"/>
  <c r="I48" i="11"/>
  <c r="I50" i="11"/>
  <c r="F13" i="52" s="1"/>
  <c r="I55" i="11"/>
  <c r="F134" i="52" s="1"/>
  <c r="I46" i="11"/>
  <c r="F131" i="52" s="1"/>
  <c r="I59" i="11"/>
  <c r="F123" i="52" s="1"/>
  <c r="I52" i="11"/>
  <c r="F133" i="52" s="1"/>
  <c r="AO143" i="11"/>
  <c r="AL143" i="11"/>
  <c r="Y144" i="11"/>
  <c r="V144" i="11"/>
  <c r="AF144" i="11"/>
  <c r="AO141" i="11"/>
  <c r="P144" i="11"/>
  <c r="AN185" i="32"/>
  <c r="AN176" i="32"/>
  <c r="AN157" i="32"/>
  <c r="AK86" i="52"/>
  <c r="AK52" i="20"/>
  <c r="AN148" i="32"/>
  <c r="AN195" i="32"/>
  <c r="AN166" i="32"/>
  <c r="AN204" i="32"/>
  <c r="U140" i="27"/>
  <c r="U146" i="27" s="1"/>
  <c r="U42" i="27"/>
  <c r="U48" i="27" s="1"/>
  <c r="U10" i="27"/>
  <c r="U16" i="27" s="1"/>
  <c r="U8" i="27"/>
  <c r="U14" i="27" s="1"/>
  <c r="U63" i="20"/>
  <c r="U69" i="20" s="1"/>
  <c r="U32" i="20"/>
  <c r="U39" i="20" s="1"/>
  <c r="U40" i="20" s="1"/>
  <c r="U205" i="27"/>
  <c r="U211" i="27" s="1"/>
  <c r="I43" i="19"/>
  <c r="J187" i="26"/>
  <c r="J193" i="26" s="1"/>
  <c r="J52" i="26"/>
  <c r="J58" i="26" s="1"/>
  <c r="J88" i="26"/>
  <c r="J94" i="26" s="1"/>
  <c r="Z105" i="26"/>
  <c r="Z111" i="26" s="1"/>
  <c r="Z109" i="26"/>
  <c r="Z115" i="26" s="1"/>
  <c r="N67" i="26"/>
  <c r="N133" i="26"/>
  <c r="N100" i="26"/>
  <c r="N34" i="26"/>
  <c r="N232" i="26"/>
  <c r="N166" i="26"/>
  <c r="N199" i="26"/>
  <c r="AD130" i="32"/>
  <c r="AA75" i="26"/>
  <c r="AA81" i="26" s="1"/>
  <c r="AA87" i="26" s="1"/>
  <c r="AA93" i="26" s="1"/>
  <c r="AA106" i="26"/>
  <c r="AA112" i="26" s="1"/>
  <c r="AA206" i="26"/>
  <c r="AA212" i="26" s="1"/>
  <c r="AA137" i="19"/>
  <c r="AA143" i="19" s="1"/>
  <c r="AA72" i="26"/>
  <c r="AA78" i="26" s="1"/>
  <c r="AA84" i="26" s="1"/>
  <c r="AA90" i="26" s="1"/>
  <c r="AA17" i="19"/>
  <c r="AA19" i="19" s="1"/>
  <c r="AA140" i="26"/>
  <c r="AA146" i="26" s="1"/>
  <c r="AA152" i="26" s="1"/>
  <c r="AA158" i="26" s="1"/>
  <c r="AA138" i="26"/>
  <c r="AA144" i="26" s="1"/>
  <c r="AA100" i="19"/>
  <c r="AA106" i="19" s="1"/>
  <c r="AA112" i="19" s="1"/>
  <c r="AA118" i="19" s="1"/>
  <c r="AA203" i="26"/>
  <c r="AA209" i="26" s="1"/>
  <c r="AA207" i="26"/>
  <c r="AA213" i="26" s="1"/>
  <c r="AA219" i="26" s="1"/>
  <c r="AA225" i="26" s="1"/>
  <c r="AA29" i="19"/>
  <c r="AA36" i="19" s="1"/>
  <c r="AA44" i="19" s="1"/>
  <c r="AA175" i="26"/>
  <c r="AA181" i="26" s="1"/>
  <c r="AA135" i="19"/>
  <c r="AA141" i="19" s="1"/>
  <c r="AA147" i="19" s="1"/>
  <c r="AA153" i="19" s="1"/>
  <c r="AA208" i="26"/>
  <c r="AA214" i="26" s="1"/>
  <c r="AA220" i="26" s="1"/>
  <c r="AA226" i="26" s="1"/>
  <c r="W16" i="20"/>
  <c r="W139" i="20" s="1"/>
  <c r="W145" i="20" s="1"/>
  <c r="Z179" i="32"/>
  <c r="W128" i="20"/>
  <c r="W130" i="20" s="1"/>
  <c r="U5" i="27"/>
  <c r="U11" i="27" s="1"/>
  <c r="AH9" i="26"/>
  <c r="AH15" i="26" s="1"/>
  <c r="U173" i="27"/>
  <c r="U179" i="27" s="1"/>
  <c r="U99" i="20"/>
  <c r="U105" i="20" s="1"/>
  <c r="AH139" i="26"/>
  <c r="AH145" i="26" s="1"/>
  <c r="AH6" i="26"/>
  <c r="AH12" i="26" s="1"/>
  <c r="AH41" i="26"/>
  <c r="AH47" i="26" s="1"/>
  <c r="I185" i="26"/>
  <c r="I191" i="26" s="1"/>
  <c r="AG231" i="27"/>
  <c r="AG198" i="27"/>
  <c r="AG165" i="27"/>
  <c r="AG132" i="27"/>
  <c r="AG99" i="27"/>
  <c r="AG33" i="27"/>
  <c r="AG66" i="27"/>
  <c r="AG162" i="20"/>
  <c r="AK228" i="25"/>
  <c r="AK195" i="25"/>
  <c r="AK129" i="25"/>
  <c r="AK30" i="25"/>
  <c r="AK162" i="25"/>
  <c r="AK96" i="25"/>
  <c r="AK63" i="25"/>
  <c r="AK87" i="18"/>
  <c r="N131" i="26"/>
  <c r="N164" i="26"/>
  <c r="N230" i="26"/>
  <c r="N197" i="26"/>
  <c r="N98" i="26"/>
  <c r="N32" i="26"/>
  <c r="N65" i="26"/>
  <c r="U103" i="20"/>
  <c r="U109" i="20" s="1"/>
  <c r="U104" i="27"/>
  <c r="U110" i="27" s="1"/>
  <c r="U134" i="20"/>
  <c r="U140" i="20" s="1"/>
  <c r="W199" i="26"/>
  <c r="W166" i="26"/>
  <c r="W100" i="26"/>
  <c r="W133" i="26"/>
  <c r="W232" i="26"/>
  <c r="W34" i="26"/>
  <c r="W67" i="26"/>
  <c r="W127" i="19"/>
  <c r="AH175" i="26"/>
  <c r="AH181" i="26" s="1"/>
  <c r="AH203" i="26"/>
  <c r="AH209" i="26" s="1"/>
  <c r="AK112" i="32"/>
  <c r="AN26" i="34" s="1"/>
  <c r="AN40" i="34" s="1"/>
  <c r="AK102" i="32"/>
  <c r="AK103" i="32" s="1"/>
  <c r="AN27" i="34" s="1"/>
  <c r="AN41" i="34" s="1"/>
  <c r="I32" i="19"/>
  <c r="I39" i="19" s="1"/>
  <c r="I40" i="19" s="1"/>
  <c r="I137" i="19"/>
  <c r="I143" i="19" s="1"/>
  <c r="I149" i="19" s="1"/>
  <c r="I155" i="19" s="1"/>
  <c r="AE223" i="27"/>
  <c r="AH202" i="32"/>
  <c r="O130" i="32"/>
  <c r="L63" i="19"/>
  <c r="L69" i="19" s="1"/>
  <c r="L164" i="19"/>
  <c r="L166" i="19" s="1"/>
  <c r="L136" i="19"/>
  <c r="L142" i="19" s="1"/>
  <c r="L17" i="19"/>
  <c r="L19" i="19" s="1"/>
  <c r="L208" i="26"/>
  <c r="L214" i="26" s="1"/>
  <c r="L101" i="19"/>
  <c r="L107" i="19" s="1"/>
  <c r="L108" i="26"/>
  <c r="L114" i="26" s="1"/>
  <c r="L120" i="26" s="1"/>
  <c r="L126" i="26" s="1"/>
  <c r="L99" i="19"/>
  <c r="L105" i="19" s="1"/>
  <c r="L111" i="19" s="1"/>
  <c r="L117" i="19" s="1"/>
  <c r="L206" i="26"/>
  <c r="L212" i="26" s="1"/>
  <c r="L107" i="26"/>
  <c r="L113" i="26" s="1"/>
  <c r="L43" i="26"/>
  <c r="L49" i="26" s="1"/>
  <c r="L55" i="26" s="1"/>
  <c r="L61" i="26" s="1"/>
  <c r="L75" i="26"/>
  <c r="L81" i="26" s="1"/>
  <c r="L30" i="19"/>
  <c r="L37" i="19" s="1"/>
  <c r="L205" i="26"/>
  <c r="L211" i="26" s="1"/>
  <c r="L40" i="26"/>
  <c r="L46" i="26" s="1"/>
  <c r="L138" i="26"/>
  <c r="L144" i="26" s="1"/>
  <c r="L38" i="26"/>
  <c r="L44" i="26" s="1"/>
  <c r="O185" i="26"/>
  <c r="O191" i="26" s="1"/>
  <c r="O121" i="26"/>
  <c r="O127" i="26" s="1"/>
  <c r="O62" i="19"/>
  <c r="O68" i="19" s="1"/>
  <c r="O74" i="19" s="1"/>
  <c r="O80" i="19" s="1"/>
  <c r="J63" i="19"/>
  <c r="J69" i="19" s="1"/>
  <c r="J75" i="19" s="1"/>
  <c r="J81" i="19" s="1"/>
  <c r="J171" i="26"/>
  <c r="J177" i="26" s="1"/>
  <c r="J183" i="26" s="1"/>
  <c r="J189" i="26" s="1"/>
  <c r="J206" i="26"/>
  <c r="J212" i="26" s="1"/>
  <c r="J218" i="26" s="1"/>
  <c r="J224" i="26" s="1"/>
  <c r="Z108" i="26"/>
  <c r="Z114" i="26" s="1"/>
  <c r="Z30" i="19"/>
  <c r="Z37" i="19" s="1"/>
  <c r="G136" i="19"/>
  <c r="G142" i="19" s="1"/>
  <c r="AK84" i="52"/>
  <c r="AN193" i="32"/>
  <c r="AK50" i="20"/>
  <c r="AN164" i="32"/>
  <c r="AN155" i="32"/>
  <c r="AN183" i="32"/>
  <c r="AN174" i="32"/>
  <c r="AN202" i="32"/>
  <c r="AN146" i="32"/>
  <c r="AG217" i="26"/>
  <c r="AG223" i="26" s="1"/>
  <c r="AA27" i="19"/>
  <c r="AA34" i="19" s="1"/>
  <c r="AQ142" i="11"/>
  <c r="AQ144" i="11" s="1"/>
  <c r="L103" i="19"/>
  <c r="L109" i="19" s="1"/>
  <c r="W196" i="32"/>
  <c r="W167" i="32"/>
  <c r="W205" i="32"/>
  <c r="W186" i="32"/>
  <c r="W177" i="32"/>
  <c r="W149" i="32"/>
  <c r="W158" i="32"/>
  <c r="T87" i="52"/>
  <c r="T53" i="20"/>
  <c r="U26" i="20"/>
  <c r="U33" i="20" s="1"/>
  <c r="Z8" i="20"/>
  <c r="Z7" i="20"/>
  <c r="S230" i="25"/>
  <c r="S164" i="25"/>
  <c r="S197" i="25"/>
  <c r="S98" i="25"/>
  <c r="S65" i="25"/>
  <c r="S131" i="25"/>
  <c r="S32" i="25"/>
  <c r="S161" i="18"/>
  <c r="S125" i="18"/>
  <c r="U108" i="27"/>
  <c r="U114" i="27" s="1"/>
  <c r="U102" i="20"/>
  <c r="U108" i="20" s="1"/>
  <c r="U137" i="27"/>
  <c r="U143" i="27" s="1"/>
  <c r="AC29" i="25"/>
  <c r="AC161" i="25"/>
  <c r="AC194" i="25"/>
  <c r="AC128" i="25"/>
  <c r="AC95" i="25"/>
  <c r="AC227" i="25"/>
  <c r="AC62" i="25"/>
  <c r="AC122" i="18"/>
  <c r="AC158" i="18"/>
  <c r="AH108" i="26"/>
  <c r="AH114" i="26" s="1"/>
  <c r="AH207" i="26"/>
  <c r="AH213" i="26" s="1"/>
  <c r="AH204" i="26"/>
  <c r="AH210" i="26" s="1"/>
  <c r="T194" i="26"/>
  <c r="T128" i="26"/>
  <c r="T227" i="26"/>
  <c r="T161" i="26"/>
  <c r="T62" i="26"/>
  <c r="T95" i="26"/>
  <c r="T29" i="26"/>
  <c r="T158" i="19"/>
  <c r="T122" i="19"/>
  <c r="I62" i="19"/>
  <c r="I68" i="19" s="1"/>
  <c r="I74" i="19" s="1"/>
  <c r="I80" i="19" s="1"/>
  <c r="AG202" i="32"/>
  <c r="AG183" i="32"/>
  <c r="AD50" i="20"/>
  <c r="AD124" i="20" s="1"/>
  <c r="AD84" i="52"/>
  <c r="AG174" i="32"/>
  <c r="AG193" i="32"/>
  <c r="AG146" i="32"/>
  <c r="H76" i="52"/>
  <c r="H47" i="19"/>
  <c r="H54" i="19" s="1"/>
  <c r="H48" i="19"/>
  <c r="K113" i="32"/>
  <c r="K132" i="32"/>
  <c r="K104" i="32"/>
  <c r="K76" i="32"/>
  <c r="K123" i="32"/>
  <c r="K85" i="32"/>
  <c r="K94" i="32"/>
  <c r="H93" i="19"/>
  <c r="H129" i="19"/>
  <c r="H165" i="19"/>
  <c r="O52" i="26"/>
  <c r="O58" i="26" s="1"/>
  <c r="O154" i="26"/>
  <c r="O160" i="26" s="1"/>
  <c r="O184" i="26"/>
  <c r="O190" i="26" s="1"/>
  <c r="J26" i="19"/>
  <c r="J33" i="19" s="1"/>
  <c r="J41" i="19" s="1"/>
  <c r="J165" i="19" s="1"/>
  <c r="J139" i="19"/>
  <c r="J145" i="19" s="1"/>
  <c r="J151" i="19" s="1"/>
  <c r="J157" i="19" s="1"/>
  <c r="AC102" i="32"/>
  <c r="AC103" i="32" s="1"/>
  <c r="AE27" i="34" s="1"/>
  <c r="AE41" i="34" s="1"/>
  <c r="AC112" i="32"/>
  <c r="AE26" i="34" s="1"/>
  <c r="AE40" i="34" s="1"/>
  <c r="E31" i="26"/>
  <c r="E163" i="26"/>
  <c r="E97" i="26"/>
  <c r="E130" i="26"/>
  <c r="E64" i="26"/>
  <c r="E229" i="26"/>
  <c r="E196" i="26"/>
  <c r="E160" i="19"/>
  <c r="E124" i="19"/>
  <c r="E88" i="19"/>
  <c r="G175" i="26"/>
  <c r="G181" i="26" s="1"/>
  <c r="U78" i="52"/>
  <c r="X125" i="32"/>
  <c r="X134" i="32"/>
  <c r="X87" i="32"/>
  <c r="X96" i="32"/>
  <c r="U50" i="19"/>
  <c r="AG218" i="26"/>
  <c r="AG224" i="26" s="1"/>
  <c r="AL107" i="11"/>
  <c r="AI20" i="52"/>
  <c r="AI45" i="28"/>
  <c r="AI178" i="28"/>
  <c r="AI180" i="28"/>
  <c r="AI179" i="28"/>
  <c r="AI177" i="28"/>
  <c r="AI174" i="28"/>
  <c r="AI175" i="28"/>
  <c r="AI176" i="28"/>
  <c r="AI181" i="28"/>
  <c r="AI173" i="28"/>
  <c r="AM85" i="26"/>
  <c r="AM91" i="26" s="1"/>
  <c r="P83" i="32"/>
  <c r="P84" i="32" s="1"/>
  <c r="P24" i="34" s="1"/>
  <c r="P38" i="34" s="1"/>
  <c r="P74" i="32"/>
  <c r="P75" i="32" s="1"/>
  <c r="P23" i="34" s="1"/>
  <c r="P37" i="34" s="1"/>
  <c r="P93" i="32"/>
  <c r="P25" i="34" s="1"/>
  <c r="P39" i="34" s="1"/>
  <c r="AM77" i="19"/>
  <c r="AM83" i="19" s="1"/>
  <c r="AA8" i="26"/>
  <c r="AA14" i="26" s="1"/>
  <c r="AA20" i="26" s="1"/>
  <c r="AA26" i="26" s="1"/>
  <c r="L134" i="19"/>
  <c r="L140" i="19" s="1"/>
  <c r="L146" i="19" s="1"/>
  <c r="L152" i="19" s="1"/>
  <c r="S92" i="20"/>
  <c r="S94" i="20" s="1"/>
  <c r="V160" i="32"/>
  <c r="AH67" i="19"/>
  <c r="AH73" i="19" s="1"/>
  <c r="AL229" i="27"/>
  <c r="AL130" i="27"/>
  <c r="AL97" i="27"/>
  <c r="AL64" i="27"/>
  <c r="AL31" i="27"/>
  <c r="AL196" i="27"/>
  <c r="AL163" i="27"/>
  <c r="AL124" i="20"/>
  <c r="AA74" i="32"/>
  <c r="AA75" i="32" s="1"/>
  <c r="AA23" i="34" s="1"/>
  <c r="AA37" i="34" s="1"/>
  <c r="AA93" i="32"/>
  <c r="AA25" i="34" s="1"/>
  <c r="AA39" i="34" s="1"/>
  <c r="AA83" i="32"/>
  <c r="AA84" i="32" s="1"/>
  <c r="AA24" i="34" s="1"/>
  <c r="AA38" i="34" s="1"/>
  <c r="AN65" i="32"/>
  <c r="AE74" i="32"/>
  <c r="AE75" i="32" s="1"/>
  <c r="AG23" i="34" s="1"/>
  <c r="AG37" i="34" s="1"/>
  <c r="AE93" i="32"/>
  <c r="AG25" i="34" s="1"/>
  <c r="AG39" i="34" s="1"/>
  <c r="AE83" i="32"/>
  <c r="AE84" i="32" s="1"/>
  <c r="AG24" i="34" s="1"/>
  <c r="AG38" i="34" s="1"/>
  <c r="U38" i="27"/>
  <c r="U44" i="27" s="1"/>
  <c r="U75" i="27"/>
  <c r="U81" i="27" s="1"/>
  <c r="U39" i="27"/>
  <c r="U45" i="27" s="1"/>
  <c r="AH137" i="26"/>
  <c r="AH143" i="26" s="1"/>
  <c r="AH107" i="26"/>
  <c r="AH113" i="26" s="1"/>
  <c r="AH39" i="26"/>
  <c r="AH45" i="26" s="1"/>
  <c r="W197" i="26"/>
  <c r="W32" i="26"/>
  <c r="W98" i="26"/>
  <c r="W164" i="26"/>
  <c r="W230" i="26"/>
  <c r="W65" i="26"/>
  <c r="W131" i="26"/>
  <c r="AP79" i="32"/>
  <c r="AP135" i="32"/>
  <c r="AM79" i="52"/>
  <c r="AP116" i="32"/>
  <c r="AM51" i="19"/>
  <c r="X229" i="25"/>
  <c r="X97" i="25"/>
  <c r="X64" i="25"/>
  <c r="X31" i="25"/>
  <c r="X130" i="25"/>
  <c r="X196" i="25"/>
  <c r="X163" i="25"/>
  <c r="X160" i="18"/>
  <c r="X88" i="18"/>
  <c r="I78" i="19"/>
  <c r="I84" i="19" s="1"/>
  <c r="I152" i="26"/>
  <c r="I158" i="26" s="1"/>
  <c r="AG182" i="32"/>
  <c r="AG154" i="32"/>
  <c r="AD83" i="52"/>
  <c r="AG163" i="32"/>
  <c r="AG192" i="32"/>
  <c r="AD49" i="20"/>
  <c r="AD87" i="20" s="1"/>
  <c r="AG173" i="32"/>
  <c r="X108" i="32"/>
  <c r="U52" i="19"/>
  <c r="U80" i="52"/>
  <c r="X117" i="32"/>
  <c r="X98" i="32"/>
  <c r="AE161" i="20"/>
  <c r="O219" i="26"/>
  <c r="O225" i="26" s="1"/>
  <c r="O46" i="19"/>
  <c r="O55" i="26"/>
  <c r="O61" i="26" s="1"/>
  <c r="J104" i="26"/>
  <c r="J110" i="26" s="1"/>
  <c r="J116" i="26" s="1"/>
  <c r="J122" i="26" s="1"/>
  <c r="J204" i="26"/>
  <c r="J210" i="26" s="1"/>
  <c r="J216" i="26" s="1"/>
  <c r="J222" i="26" s="1"/>
  <c r="Z141" i="26"/>
  <c r="Z147" i="26" s="1"/>
  <c r="Z65" i="19"/>
  <c r="Z71" i="19" s="1"/>
  <c r="H95" i="25"/>
  <c r="H29" i="25"/>
  <c r="H62" i="25"/>
  <c r="H227" i="25"/>
  <c r="H194" i="25"/>
  <c r="H161" i="25"/>
  <c r="H128" i="25"/>
  <c r="H3" i="52"/>
  <c r="H158" i="18"/>
  <c r="H122" i="18"/>
  <c r="H86" i="18"/>
  <c r="G171" i="26"/>
  <c r="G177" i="26" s="1"/>
  <c r="AB74" i="32"/>
  <c r="AB75" i="32" s="1"/>
  <c r="AD23" i="34" s="1"/>
  <c r="AD37" i="34" s="1"/>
  <c r="AB93" i="32"/>
  <c r="AD25" i="34" s="1"/>
  <c r="AD39" i="34" s="1"/>
  <c r="AB83" i="32"/>
  <c r="AB84" i="32" s="1"/>
  <c r="AD24" i="34" s="1"/>
  <c r="AD38" i="34" s="1"/>
  <c r="T163" i="26"/>
  <c r="T64" i="26"/>
  <c r="T196" i="26"/>
  <c r="T130" i="26"/>
  <c r="T31" i="26"/>
  <c r="T57" i="52"/>
  <c r="T97" i="26"/>
  <c r="T229" i="26"/>
  <c r="T124" i="19"/>
  <c r="L102" i="19"/>
  <c r="L108" i="19" s="1"/>
  <c r="L114" i="19" s="1"/>
  <c r="L120" i="19" s="1"/>
  <c r="U107" i="27"/>
  <c r="U113" i="27" s="1"/>
  <c r="T82" i="52"/>
  <c r="W191" i="32"/>
  <c r="W200" i="32"/>
  <c r="W172" i="32"/>
  <c r="W144" i="32"/>
  <c r="W181" i="32"/>
  <c r="W153" i="32"/>
  <c r="W162" i="32"/>
  <c r="T48" i="20"/>
  <c r="T3" i="52" s="1"/>
  <c r="T47" i="20"/>
  <c r="T54" i="20" s="1"/>
  <c r="T93" i="20"/>
  <c r="T129" i="20"/>
  <c r="T165" i="20"/>
  <c r="U141" i="27"/>
  <c r="U147" i="27" s="1"/>
  <c r="U109" i="27"/>
  <c r="U115" i="27" s="1"/>
  <c r="X180" i="32"/>
  <c r="W19" i="34" s="1"/>
  <c r="W33" i="34" s="1"/>
  <c r="X170" i="32"/>
  <c r="X171" i="32" s="1"/>
  <c r="W20" i="34" s="1"/>
  <c r="W34" i="34" s="1"/>
  <c r="AH8" i="26"/>
  <c r="AH14" i="26" s="1"/>
  <c r="AH109" i="26"/>
  <c r="AH115" i="26" s="1"/>
  <c r="AH62" i="19"/>
  <c r="AH68" i="19" s="1"/>
  <c r="AK199" i="25"/>
  <c r="AK100" i="25"/>
  <c r="AK232" i="25"/>
  <c r="AK166" i="25"/>
  <c r="AK133" i="25"/>
  <c r="AK67" i="25"/>
  <c r="AK34" i="25"/>
  <c r="AK91" i="18"/>
  <c r="I150" i="19"/>
  <c r="I156" i="19" s="1"/>
  <c r="I79" i="19"/>
  <c r="I85" i="19" s="1"/>
  <c r="AE85" i="52"/>
  <c r="AH194" i="32"/>
  <c r="AH203" i="32"/>
  <c r="AH156" i="32"/>
  <c r="AH175" i="32"/>
  <c r="AH165" i="32"/>
  <c r="AH147" i="32"/>
  <c r="AH184" i="32"/>
  <c r="AE51" i="20"/>
  <c r="O116" i="26"/>
  <c r="O122" i="26" s="1"/>
  <c r="O111" i="19"/>
  <c r="O117" i="19" s="1"/>
  <c r="J99" i="19"/>
  <c r="J105" i="19" s="1"/>
  <c r="J111" i="19" s="1"/>
  <c r="J117" i="19" s="1"/>
  <c r="M102" i="32"/>
  <c r="M103" i="32" s="1"/>
  <c r="L27" i="34" s="1"/>
  <c r="L41" i="34" s="1"/>
  <c r="M112" i="32"/>
  <c r="L26" i="34" s="1"/>
  <c r="L40" i="34" s="1"/>
  <c r="Z6" i="26"/>
  <c r="Z12" i="26" s="1"/>
  <c r="Z42" i="26"/>
  <c r="Z48" i="26" s="1"/>
  <c r="J131" i="32"/>
  <c r="I28" i="34" s="1"/>
  <c r="I42" i="34" s="1"/>
  <c r="J121" i="32"/>
  <c r="J122" i="32" s="1"/>
  <c r="I29" i="34" s="1"/>
  <c r="I43" i="34" s="1"/>
  <c r="N228" i="25"/>
  <c r="N162" i="25"/>
  <c r="N195" i="25"/>
  <c r="N129" i="25"/>
  <c r="N96" i="25"/>
  <c r="N30" i="25"/>
  <c r="N63" i="25"/>
  <c r="N4" i="52"/>
  <c r="N123" i="18"/>
  <c r="N87" i="18"/>
  <c r="G71" i="26"/>
  <c r="G77" i="26" s="1"/>
  <c r="G73" i="26"/>
  <c r="G79" i="26" s="1"/>
  <c r="AC86" i="18"/>
  <c r="AG220" i="26"/>
  <c r="AG226" i="26" s="1"/>
  <c r="AH174" i="32"/>
  <c r="L173" i="26"/>
  <c r="L179" i="26" s="1"/>
  <c r="X199" i="32"/>
  <c r="W21" i="34" s="1"/>
  <c r="W35" i="34" s="1"/>
  <c r="X189" i="32"/>
  <c r="X190" i="32" s="1"/>
  <c r="W22" i="34" s="1"/>
  <c r="W36" i="34" s="1"/>
  <c r="U162" i="19"/>
  <c r="U73" i="27"/>
  <c r="U79" i="27" s="1"/>
  <c r="U85" i="27" s="1"/>
  <c r="U91" i="27" s="1"/>
  <c r="U139" i="20"/>
  <c r="U145" i="20" s="1"/>
  <c r="U64" i="20"/>
  <c r="U70" i="20" s="1"/>
  <c r="U76" i="20" s="1"/>
  <c r="U82" i="20" s="1"/>
  <c r="AH65" i="19"/>
  <c r="AH71" i="19" s="1"/>
  <c r="AH74" i="26"/>
  <c r="AH80" i="26" s="1"/>
  <c r="AH174" i="26"/>
  <c r="AH180" i="26" s="1"/>
  <c r="AG232" i="27"/>
  <c r="AG199" i="27"/>
  <c r="AG133" i="27"/>
  <c r="AG34" i="27"/>
  <c r="AG166" i="27"/>
  <c r="AG67" i="27"/>
  <c r="AG100" i="27"/>
  <c r="AG127" i="20"/>
  <c r="I113" i="19"/>
  <c r="I119" i="19" s="1"/>
  <c r="I215" i="26"/>
  <c r="I221" i="26" s="1"/>
  <c r="N8" i="52"/>
  <c r="O151" i="26"/>
  <c r="O157" i="26" s="1"/>
  <c r="O118" i="26"/>
  <c r="O124" i="26" s="1"/>
  <c r="J102" i="19"/>
  <c r="J108" i="19" s="1"/>
  <c r="J114" i="19" s="1"/>
  <c r="J120" i="19" s="1"/>
  <c r="J67" i="19"/>
  <c r="J73" i="19" s="1"/>
  <c r="J79" i="19" s="1"/>
  <c r="J85" i="19" s="1"/>
  <c r="Z73" i="26"/>
  <c r="Z79" i="26" s="1"/>
  <c r="Z32" i="19"/>
  <c r="Z39" i="19" s="1"/>
  <c r="Z40" i="19" s="1"/>
  <c r="Z76" i="26"/>
  <c r="Z82" i="26" s="1"/>
  <c r="G38" i="26"/>
  <c r="G44" i="26" s="1"/>
  <c r="G205" i="26"/>
  <c r="G211" i="26" s="1"/>
  <c r="W89" i="19"/>
  <c r="S89" i="18"/>
  <c r="L72" i="26"/>
  <c r="L78" i="26" s="1"/>
  <c r="U203" i="27"/>
  <c r="U209" i="27" s="1"/>
  <c r="U215" i="27" s="1"/>
  <c r="U221" i="27" s="1"/>
  <c r="U72" i="27"/>
  <c r="U78" i="27" s="1"/>
  <c r="U84" i="27" s="1"/>
  <c r="U90" i="27" s="1"/>
  <c r="U43" i="27"/>
  <c r="U49" i="27" s="1"/>
  <c r="U17" i="20"/>
  <c r="U19" i="20" s="1"/>
  <c r="AH135" i="19"/>
  <c r="AH141" i="19" s="1"/>
  <c r="AH147" i="19" s="1"/>
  <c r="AH153" i="19" s="1"/>
  <c r="AH173" i="26"/>
  <c r="AH179" i="26" s="1"/>
  <c r="AH71" i="26"/>
  <c r="AH77" i="26" s="1"/>
  <c r="AK231" i="25"/>
  <c r="AK66" i="25"/>
  <c r="AK33" i="25"/>
  <c r="AK165" i="25"/>
  <c r="AK132" i="25"/>
  <c r="AK99" i="25"/>
  <c r="AK198" i="25"/>
  <c r="AK126" i="18"/>
  <c r="W95" i="26"/>
  <c r="W161" i="26"/>
  <c r="W227" i="26"/>
  <c r="W128" i="26"/>
  <c r="W62" i="26"/>
  <c r="W29" i="26"/>
  <c r="W194" i="26"/>
  <c r="W122" i="19"/>
  <c r="W158" i="19"/>
  <c r="W86" i="19"/>
  <c r="I41" i="19"/>
  <c r="O216" i="26"/>
  <c r="O222" i="26" s="1"/>
  <c r="O86" i="26"/>
  <c r="O92" i="26" s="1"/>
  <c r="J109" i="26"/>
  <c r="J115" i="26" s="1"/>
  <c r="J121" i="26" s="1"/>
  <c r="J127" i="26" s="1"/>
  <c r="Z40" i="26"/>
  <c r="Z46" i="26" s="1"/>
  <c r="Z74" i="26"/>
  <c r="Z80" i="26" s="1"/>
  <c r="Z107" i="26"/>
  <c r="Z113" i="26" s="1"/>
  <c r="L121" i="32"/>
  <c r="L122" i="32" s="1"/>
  <c r="K29" i="34" s="1"/>
  <c r="K43" i="34" s="1"/>
  <c r="L131" i="32"/>
  <c r="K28" i="34" s="1"/>
  <c r="K42" i="34" s="1"/>
  <c r="V21" i="20"/>
  <c r="V22" i="20" s="1"/>
  <c r="V5" i="20"/>
  <c r="G7" i="26"/>
  <c r="G13" i="26" s="1"/>
  <c r="AK82" i="52"/>
  <c r="AN191" i="32"/>
  <c r="AK48" i="20"/>
  <c r="AN200" i="32"/>
  <c r="AN172" i="32"/>
  <c r="AN153" i="32"/>
  <c r="AN144" i="32"/>
  <c r="AN162" i="32"/>
  <c r="AK47" i="20"/>
  <c r="AK54" i="20" s="1"/>
  <c r="AN181" i="32"/>
  <c r="AK93" i="20"/>
  <c r="AK165" i="20"/>
  <c r="AG152" i="26"/>
  <c r="AG158" i="26" s="1"/>
  <c r="AE8" i="26"/>
  <c r="AE14" i="26" s="1"/>
  <c r="AE30" i="19"/>
  <c r="AE37" i="19" s="1"/>
  <c r="AE45" i="19" s="1"/>
  <c r="AE140" i="26"/>
  <c r="AE146" i="26" s="1"/>
  <c r="AE39" i="26"/>
  <c r="AE45" i="26" s="1"/>
  <c r="AE107" i="26"/>
  <c r="AE113" i="26" s="1"/>
  <c r="AE172" i="26"/>
  <c r="AE178" i="26" s="1"/>
  <c r="AE28" i="19"/>
  <c r="AE35" i="19" s="1"/>
  <c r="AE138" i="26"/>
  <c r="AE144" i="26" s="1"/>
  <c r="AE139" i="19"/>
  <c r="AE145" i="19" s="1"/>
  <c r="AE204" i="26"/>
  <c r="AE210" i="26" s="1"/>
  <c r="AE100" i="19"/>
  <c r="AE106" i="19" s="1"/>
  <c r="AE17" i="19"/>
  <c r="AE19" i="19" s="1"/>
  <c r="AE173" i="26"/>
  <c r="AE179" i="26" s="1"/>
  <c r="AE103" i="19"/>
  <c r="AE109" i="19" s="1"/>
  <c r="AE73" i="26"/>
  <c r="AE79" i="26" s="1"/>
  <c r="AE41" i="26"/>
  <c r="AE47" i="26" s="1"/>
  <c r="AE106" i="26"/>
  <c r="AE112" i="26" s="1"/>
  <c r="AE174" i="26"/>
  <c r="AE180" i="26" s="1"/>
  <c r="AE71" i="26"/>
  <c r="AE77" i="26" s="1"/>
  <c r="AE7" i="26"/>
  <c r="AE13" i="26" s="1"/>
  <c r="AE104" i="26"/>
  <c r="AE110" i="26" s="1"/>
  <c r="AE138" i="19"/>
  <c r="AE144" i="19" s="1"/>
  <c r="AE105" i="26"/>
  <c r="AE111" i="26" s="1"/>
  <c r="AE137" i="26"/>
  <c r="AE143" i="26" s="1"/>
  <c r="AE134" i="19"/>
  <c r="AE140" i="19" s="1"/>
  <c r="AE142" i="26"/>
  <c r="AE148" i="26" s="1"/>
  <c r="AE154" i="26" s="1"/>
  <c r="AE160" i="26" s="1"/>
  <c r="AE205" i="26"/>
  <c r="AE211" i="26" s="1"/>
  <c r="AE67" i="19"/>
  <c r="AE73" i="19" s="1"/>
  <c r="AE171" i="26"/>
  <c r="AE177" i="26" s="1"/>
  <c r="AE141" i="26"/>
  <c r="AE147" i="26" s="1"/>
  <c r="AE208" i="26"/>
  <c r="AE214" i="26" s="1"/>
  <c r="AE98" i="19"/>
  <c r="AE104" i="19" s="1"/>
  <c r="AE139" i="26"/>
  <c r="AE145" i="26" s="1"/>
  <c r="AE10" i="26"/>
  <c r="AE16" i="26" s="1"/>
  <c r="AE99" i="19"/>
  <c r="AE105" i="19" s="1"/>
  <c r="AE5" i="26"/>
  <c r="AE11" i="26" s="1"/>
  <c r="AE17" i="26" s="1"/>
  <c r="AE23" i="26" s="1"/>
  <c r="AE40" i="26"/>
  <c r="AE46" i="26" s="1"/>
  <c r="AE62" i="19"/>
  <c r="AE68" i="19" s="1"/>
  <c r="AE9" i="26"/>
  <c r="AE15" i="26" s="1"/>
  <c r="AE74" i="26"/>
  <c r="AE80" i="26" s="1"/>
  <c r="AE29" i="19"/>
  <c r="AE36" i="19" s="1"/>
  <c r="AE203" i="26"/>
  <c r="AE209" i="26" s="1"/>
  <c r="AE26" i="19"/>
  <c r="AE33" i="19" s="1"/>
  <c r="AE137" i="19"/>
  <c r="AE143" i="19" s="1"/>
  <c r="AE101" i="19"/>
  <c r="AE107" i="19" s="1"/>
  <c r="AE64" i="19"/>
  <c r="AE70" i="19" s="1"/>
  <c r="AE65" i="19"/>
  <c r="AE71" i="19" s="1"/>
  <c r="AE66" i="19"/>
  <c r="AE72" i="19" s="1"/>
  <c r="AE38" i="26"/>
  <c r="AE44" i="26" s="1"/>
  <c r="AE32" i="19"/>
  <c r="AE39" i="19" s="1"/>
  <c r="AE40" i="19" s="1"/>
  <c r="AE135" i="19"/>
  <c r="AE141" i="19" s="1"/>
  <c r="AE76" i="26"/>
  <c r="AE82" i="26" s="1"/>
  <c r="AE102" i="19"/>
  <c r="AE108" i="19" s="1"/>
  <c r="AE136" i="19"/>
  <c r="AE142" i="19" s="1"/>
  <c r="AE75" i="26"/>
  <c r="AE81" i="26" s="1"/>
  <c r="AE6" i="26"/>
  <c r="AE12" i="26" s="1"/>
  <c r="AE72" i="26"/>
  <c r="AE78" i="26" s="1"/>
  <c r="AE207" i="26"/>
  <c r="AE213" i="26" s="1"/>
  <c r="AE42" i="26"/>
  <c r="AE48" i="26" s="1"/>
  <c r="AE43" i="26"/>
  <c r="AE49" i="26" s="1"/>
  <c r="AE55" i="26" s="1"/>
  <c r="AE61" i="26" s="1"/>
  <c r="AK131" i="32"/>
  <c r="AN28" i="34" s="1"/>
  <c r="AN42" i="34" s="1"/>
  <c r="AK121" i="32"/>
  <c r="AK122" i="32" s="1"/>
  <c r="AN29" i="34" s="1"/>
  <c r="AN43" i="34" s="1"/>
  <c r="AD229" i="26"/>
  <c r="AD196" i="26"/>
  <c r="AD64" i="26"/>
  <c r="AD130" i="26"/>
  <c r="AD97" i="26"/>
  <c r="AD163" i="26"/>
  <c r="AD31" i="26"/>
  <c r="AD160" i="19"/>
  <c r="AD124" i="19"/>
  <c r="U106" i="27"/>
  <c r="U112" i="27" s="1"/>
  <c r="U118" i="27" s="1"/>
  <c r="U124" i="27" s="1"/>
  <c r="J20" i="26"/>
  <c r="J26" i="26" s="1"/>
  <c r="V88" i="18"/>
  <c r="U71" i="27"/>
  <c r="U77" i="27" s="1"/>
  <c r="U83" i="27" s="1"/>
  <c r="U89" i="27" s="1"/>
  <c r="U65" i="20"/>
  <c r="U71" i="20" s="1"/>
  <c r="U77" i="20" s="1"/>
  <c r="U83" i="20" s="1"/>
  <c r="K92" i="19"/>
  <c r="K94" i="19" s="1"/>
  <c r="N92" i="32"/>
  <c r="AH101" i="19"/>
  <c r="AH107" i="19" s="1"/>
  <c r="AH99" i="19"/>
  <c r="AH105" i="19" s="1"/>
  <c r="T9" i="52"/>
  <c r="T55" i="52" s="1"/>
  <c r="I17" i="26"/>
  <c r="I23" i="26" s="1"/>
  <c r="I40" i="26"/>
  <c r="I46" i="26" s="1"/>
  <c r="I52" i="26" s="1"/>
  <c r="I58" i="26" s="1"/>
  <c r="I76" i="26"/>
  <c r="I82" i="26" s="1"/>
  <c r="I88" i="26" s="1"/>
  <c r="I94" i="26" s="1"/>
  <c r="I75" i="26"/>
  <c r="I81" i="26" s="1"/>
  <c r="I87" i="26" s="1"/>
  <c r="I93" i="26" s="1"/>
  <c r="I172" i="26"/>
  <c r="I178" i="26" s="1"/>
  <c r="I184" i="26" s="1"/>
  <c r="I190" i="26" s="1"/>
  <c r="I98" i="19"/>
  <c r="I104" i="19" s="1"/>
  <c r="I110" i="19" s="1"/>
  <c r="I116" i="19" s="1"/>
  <c r="I30" i="19"/>
  <c r="I37" i="19" s="1"/>
  <c r="I45" i="19" s="1"/>
  <c r="I63" i="19"/>
  <c r="I69" i="19" s="1"/>
  <c r="I75" i="19" s="1"/>
  <c r="I81" i="19" s="1"/>
  <c r="I29" i="19"/>
  <c r="I36" i="19" s="1"/>
  <c r="I44" i="19" s="1"/>
  <c r="I134" i="19"/>
  <c r="I140" i="19" s="1"/>
  <c r="I146" i="19" s="1"/>
  <c r="I152" i="19" s="1"/>
  <c r="I99" i="19"/>
  <c r="I105" i="19" s="1"/>
  <c r="I111" i="19" s="1"/>
  <c r="I117" i="19" s="1"/>
  <c r="I9" i="26"/>
  <c r="I15" i="26" s="1"/>
  <c r="I21" i="26" s="1"/>
  <c r="I27" i="26" s="1"/>
  <c r="O75" i="19"/>
  <c r="O81" i="19" s="1"/>
  <c r="O84" i="26"/>
  <c r="O90" i="26" s="1"/>
  <c r="J142" i="26"/>
  <c r="J148" i="26" s="1"/>
  <c r="J154" i="26" s="1"/>
  <c r="J160" i="26" s="1"/>
  <c r="J43" i="26"/>
  <c r="J49" i="26" s="1"/>
  <c r="J55" i="26" s="1"/>
  <c r="J61" i="26" s="1"/>
  <c r="Z207" i="26"/>
  <c r="Z213" i="26" s="1"/>
  <c r="Z173" i="26"/>
  <c r="Z179" i="26" s="1"/>
  <c r="AL34" i="27"/>
  <c r="AL199" i="27"/>
  <c r="AL232" i="27"/>
  <c r="AL166" i="27"/>
  <c r="AL133" i="27"/>
  <c r="AL100" i="27"/>
  <c r="AL67" i="27"/>
  <c r="AL163" i="20"/>
  <c r="G72" i="26"/>
  <c r="G78" i="26" s="1"/>
  <c r="G32" i="19"/>
  <c r="G39" i="19" s="1"/>
  <c r="G40" i="19" s="1"/>
  <c r="AJ165" i="25"/>
  <c r="AJ33" i="25"/>
  <c r="AJ66" i="25"/>
  <c r="AJ198" i="25"/>
  <c r="AJ231" i="25"/>
  <c r="AJ132" i="25"/>
  <c r="AJ99" i="25"/>
  <c r="AJ162" i="18"/>
  <c r="AJ90" i="18"/>
  <c r="AG79" i="19"/>
  <c r="AG85" i="19" s="1"/>
  <c r="Y53" i="32"/>
  <c r="Y54" i="32" s="1"/>
  <c r="Y15" i="34" s="1"/>
  <c r="Y63" i="32"/>
  <c r="Y14" i="34" s="1"/>
  <c r="J21" i="26"/>
  <c r="J27" i="26" s="1"/>
  <c r="Z104" i="26"/>
  <c r="Z110" i="26" s="1"/>
  <c r="Z203" i="26"/>
  <c r="Z209" i="26" s="1"/>
  <c r="S100" i="25"/>
  <c r="S67" i="25"/>
  <c r="S133" i="25"/>
  <c r="S34" i="25"/>
  <c r="S166" i="25"/>
  <c r="S232" i="25"/>
  <c r="S199" i="25"/>
  <c r="S127" i="18"/>
  <c r="S91" i="18"/>
  <c r="S163" i="18"/>
  <c r="AK18" i="19"/>
  <c r="AK6" i="19"/>
  <c r="AK12" i="19"/>
  <c r="AK15" i="19"/>
  <c r="AM126" i="27"/>
  <c r="AP176" i="32"/>
  <c r="AE187" i="26"/>
  <c r="AE193" i="26" s="1"/>
  <c r="AH138" i="19"/>
  <c r="AH144" i="19" s="1"/>
  <c r="AH150" i="19" s="1"/>
  <c r="AH156" i="19" s="1"/>
  <c r="AL160" i="20"/>
  <c r="U135" i="20"/>
  <c r="U141" i="20" s="1"/>
  <c r="U147" i="20" s="1"/>
  <c r="U153" i="20" s="1"/>
  <c r="U6" i="27"/>
  <c r="U12" i="27" s="1"/>
  <c r="U18" i="27" s="1"/>
  <c r="U24" i="27" s="1"/>
  <c r="R91" i="20"/>
  <c r="T163" i="20"/>
  <c r="X13" i="19"/>
  <c r="AA130" i="32" s="1"/>
  <c r="X23" i="19"/>
  <c r="AH172" i="26"/>
  <c r="AH178" i="26" s="1"/>
  <c r="AH40" i="26"/>
  <c r="AH46" i="26" s="1"/>
  <c r="S129" i="25"/>
  <c r="S63" i="25"/>
  <c r="S228" i="25"/>
  <c r="S195" i="25"/>
  <c r="S162" i="25"/>
  <c r="S96" i="25"/>
  <c r="S30" i="25"/>
  <c r="S87" i="18"/>
  <c r="S159" i="18"/>
  <c r="AL198" i="27"/>
  <c r="AL99" i="27"/>
  <c r="AL231" i="27"/>
  <c r="AL165" i="27"/>
  <c r="AL132" i="27"/>
  <c r="AL66" i="27"/>
  <c r="AL33" i="27"/>
  <c r="AL162" i="20"/>
  <c r="I207" i="26"/>
  <c r="I213" i="26" s="1"/>
  <c r="I219" i="26" s="1"/>
  <c r="I225" i="26" s="1"/>
  <c r="I174" i="26"/>
  <c r="I180" i="26" s="1"/>
  <c r="I186" i="26" s="1"/>
  <c r="I192" i="26" s="1"/>
  <c r="O20" i="26"/>
  <c r="O26" i="26" s="1"/>
  <c r="O42" i="19"/>
  <c r="J73" i="26"/>
  <c r="J79" i="26" s="1"/>
  <c r="J85" i="26" s="1"/>
  <c r="J91" i="26" s="1"/>
  <c r="J65" i="19"/>
  <c r="J71" i="19" s="1"/>
  <c r="J77" i="19" s="1"/>
  <c r="J83" i="19" s="1"/>
  <c r="Z98" i="19"/>
  <c r="Z104" i="19" s="1"/>
  <c r="Z31" i="19"/>
  <c r="Z38" i="19" s="1"/>
  <c r="AL162" i="27"/>
  <c r="AL129" i="27"/>
  <c r="AL96" i="27"/>
  <c r="AL30" i="27"/>
  <c r="AL195" i="27"/>
  <c r="AL228" i="27"/>
  <c r="AL63" i="27"/>
  <c r="AL159" i="20"/>
  <c r="AL123" i="20"/>
  <c r="AL87" i="20"/>
  <c r="AK116" i="18"/>
  <c r="AK122" i="18" s="1"/>
  <c r="AK129" i="18"/>
  <c r="H9" i="52"/>
  <c r="H49" i="52" s="1"/>
  <c r="M132" i="25"/>
  <c r="M99" i="25"/>
  <c r="M231" i="25"/>
  <c r="M198" i="25"/>
  <c r="M165" i="25"/>
  <c r="M66" i="25"/>
  <c r="M33" i="25"/>
  <c r="M90" i="18"/>
  <c r="M162" i="18"/>
  <c r="U81" i="52"/>
  <c r="X81" i="32"/>
  <c r="X137" i="32"/>
  <c r="X90" i="32"/>
  <c r="X118" i="32"/>
  <c r="U53" i="19"/>
  <c r="G164" i="19"/>
  <c r="G166" i="19" s="1"/>
  <c r="G142" i="26"/>
  <c r="G148" i="26" s="1"/>
  <c r="AG53" i="26"/>
  <c r="AG59" i="26" s="1"/>
  <c r="Y10" i="32"/>
  <c r="Y19" i="32"/>
  <c r="V72" i="52"/>
  <c r="Y57" i="32"/>
  <c r="Y66" i="32"/>
  <c r="Y38" i="32"/>
  <c r="Y28" i="32"/>
  <c r="Y47" i="32"/>
  <c r="V49" i="18"/>
  <c r="L90" i="20"/>
  <c r="AC86" i="52"/>
  <c r="AC52" i="20"/>
  <c r="AF204" i="32"/>
  <c r="W91" i="19"/>
  <c r="U207" i="27"/>
  <c r="U213" i="27" s="1"/>
  <c r="U219" i="27" s="1"/>
  <c r="U225" i="27" s="1"/>
  <c r="U172" i="27"/>
  <c r="U178" i="27" s="1"/>
  <c r="U184" i="27" s="1"/>
  <c r="U190" i="27" s="1"/>
  <c r="AA111" i="32"/>
  <c r="X204" i="26"/>
  <c r="X210" i="26" s="1"/>
  <c r="X28" i="19"/>
  <c r="X35" i="19" s="1"/>
  <c r="X5" i="26"/>
  <c r="X11" i="26" s="1"/>
  <c r="X63" i="19"/>
  <c r="X69" i="19" s="1"/>
  <c r="X139" i="19"/>
  <c r="X145" i="19" s="1"/>
  <c r="X141" i="26"/>
  <c r="X147" i="26" s="1"/>
  <c r="X164" i="19"/>
  <c r="X166" i="19" s="1"/>
  <c r="X31" i="19"/>
  <c r="X38" i="19" s="1"/>
  <c r="X29" i="19"/>
  <c r="X36" i="19" s="1"/>
  <c r="X106" i="26"/>
  <c r="X112" i="26" s="1"/>
  <c r="X74" i="26"/>
  <c r="X80" i="26" s="1"/>
  <c r="X98" i="19"/>
  <c r="X104" i="19" s="1"/>
  <c r="X73" i="26"/>
  <c r="X79" i="26" s="1"/>
  <c r="X32" i="19"/>
  <c r="X39" i="19" s="1"/>
  <c r="X40" i="19" s="1"/>
  <c r="X102" i="19"/>
  <c r="X108" i="19" s="1"/>
  <c r="X26" i="19"/>
  <c r="X33" i="19" s="1"/>
  <c r="X139" i="26"/>
  <c r="X145" i="26" s="1"/>
  <c r="X67" i="19"/>
  <c r="X73" i="19" s="1"/>
  <c r="X100" i="19"/>
  <c r="X106" i="19" s="1"/>
  <c r="X8" i="26"/>
  <c r="X14" i="26" s="1"/>
  <c r="X172" i="26"/>
  <c r="X178" i="26" s="1"/>
  <c r="X142" i="26"/>
  <c r="X148" i="26" s="1"/>
  <c r="X71" i="26"/>
  <c r="X77" i="26" s="1"/>
  <c r="X128" i="19"/>
  <c r="X130" i="19" s="1"/>
  <c r="X140" i="26"/>
  <c r="X146" i="26" s="1"/>
  <c r="X38" i="26"/>
  <c r="X44" i="26" s="1"/>
  <c r="X62" i="19"/>
  <c r="X68" i="19" s="1"/>
  <c r="X9" i="26"/>
  <c r="X15" i="26" s="1"/>
  <c r="X99" i="19"/>
  <c r="X105" i="19" s="1"/>
  <c r="X6" i="26"/>
  <c r="X12" i="26" s="1"/>
  <c r="X16" i="19"/>
  <c r="X75" i="26" s="1"/>
  <c r="X81" i="26" s="1"/>
  <c r="X64" i="19"/>
  <c r="X70" i="19" s="1"/>
  <c r="X138" i="19"/>
  <c r="X144" i="19" s="1"/>
  <c r="X105" i="26"/>
  <c r="X111" i="26" s="1"/>
  <c r="AH38" i="26"/>
  <c r="AH44" i="26" s="1"/>
  <c r="AH50" i="26" s="1"/>
  <c r="AH56" i="26" s="1"/>
  <c r="AH5" i="26"/>
  <c r="AH11" i="26" s="1"/>
  <c r="AH17" i="26" s="1"/>
  <c r="AH23" i="26" s="1"/>
  <c r="AM41" i="19"/>
  <c r="AM165" i="19" s="1"/>
  <c r="AL230" i="27"/>
  <c r="AL164" i="27"/>
  <c r="AL32" i="27"/>
  <c r="AL197" i="27"/>
  <c r="AL131" i="27"/>
  <c r="AL98" i="27"/>
  <c r="AL65" i="27"/>
  <c r="AL89" i="20"/>
  <c r="AL161" i="20"/>
  <c r="R130" i="32"/>
  <c r="O164" i="19"/>
  <c r="O166" i="19" s="1"/>
  <c r="I208" i="26"/>
  <c r="I214" i="26" s="1"/>
  <c r="I220" i="26" s="1"/>
  <c r="I226" i="26" s="1"/>
  <c r="I10" i="26"/>
  <c r="I16" i="26" s="1"/>
  <c r="I22" i="26" s="1"/>
  <c r="I28" i="26" s="1"/>
  <c r="I107" i="26"/>
  <c r="I113" i="26" s="1"/>
  <c r="I119" i="26" s="1"/>
  <c r="I125" i="26" s="1"/>
  <c r="AL164" i="25"/>
  <c r="AL32" i="25"/>
  <c r="AL98" i="25"/>
  <c r="AL230" i="25"/>
  <c r="AL197" i="25"/>
  <c r="AL131" i="25"/>
  <c r="AL65" i="25"/>
  <c r="AL161" i="18"/>
  <c r="AL125" i="18"/>
  <c r="O73" i="26"/>
  <c r="O79" i="26" s="1"/>
  <c r="O85" i="26" s="1"/>
  <c r="O91" i="26" s="1"/>
  <c r="J5" i="26"/>
  <c r="J11" i="26" s="1"/>
  <c r="J17" i="26" s="1"/>
  <c r="J23" i="26" s="1"/>
  <c r="J101" i="19"/>
  <c r="J107" i="19" s="1"/>
  <c r="J113" i="19" s="1"/>
  <c r="J119" i="19" s="1"/>
  <c r="Z134" i="19"/>
  <c r="Z140" i="19" s="1"/>
  <c r="Z172" i="26"/>
  <c r="Z178" i="26" s="1"/>
  <c r="AL166" i="25"/>
  <c r="AL133" i="25"/>
  <c r="AL34" i="25"/>
  <c r="AL232" i="25"/>
  <c r="AL199" i="25"/>
  <c r="AL67" i="25"/>
  <c r="AL100" i="25"/>
  <c r="AL127" i="18"/>
  <c r="AL163" i="18"/>
  <c r="AM53" i="26"/>
  <c r="AM59" i="26" s="1"/>
  <c r="G27" i="19"/>
  <c r="G34" i="19" s="1"/>
  <c r="G137" i="26"/>
  <c r="G143" i="26" s="1"/>
  <c r="V70" i="52"/>
  <c r="Y36" i="32"/>
  <c r="Y45" i="32"/>
  <c r="Y8" i="32"/>
  <c r="Y55" i="32"/>
  <c r="Y64" i="32"/>
  <c r="Y17" i="32"/>
  <c r="Y26" i="32"/>
  <c r="V46" i="18"/>
  <c r="V53" i="18" s="1"/>
  <c r="V47" i="18"/>
  <c r="V93" i="18"/>
  <c r="H78" i="52"/>
  <c r="K78" i="32"/>
  <c r="K134" i="32"/>
  <c r="H50" i="19"/>
  <c r="H88" i="19" s="1"/>
  <c r="K96" i="32"/>
  <c r="K106" i="32"/>
  <c r="K125" i="32"/>
  <c r="K87" i="32"/>
  <c r="K115" i="32"/>
  <c r="AD89" i="19"/>
  <c r="AM218" i="26"/>
  <c r="AM224" i="26" s="1"/>
  <c r="R197" i="27"/>
  <c r="R164" i="27"/>
  <c r="R131" i="27"/>
  <c r="R98" i="27"/>
  <c r="R230" i="27"/>
  <c r="R65" i="27"/>
  <c r="R32" i="27"/>
  <c r="R161" i="20"/>
  <c r="R89" i="20"/>
  <c r="R125" i="20"/>
  <c r="L197" i="27"/>
  <c r="L164" i="27"/>
  <c r="L131" i="27"/>
  <c r="L230" i="27"/>
  <c r="L98" i="27"/>
  <c r="L65" i="27"/>
  <c r="L32" i="27"/>
  <c r="L125" i="20"/>
  <c r="AM64" i="27"/>
  <c r="AM196" i="27"/>
  <c r="AM163" i="27"/>
  <c r="AM97" i="27"/>
  <c r="AM31" i="27"/>
  <c r="AM130" i="27"/>
  <c r="AM229" i="27"/>
  <c r="AM88" i="20"/>
  <c r="AM160" i="20"/>
  <c r="S74" i="19"/>
  <c r="S80" i="19" s="1"/>
  <c r="I151" i="19"/>
  <c r="I157" i="19" s="1"/>
  <c r="AN196" i="32"/>
  <c r="AN186" i="32"/>
  <c r="AN177" i="32"/>
  <c r="AN149" i="32"/>
  <c r="AN167" i="32"/>
  <c r="AK53" i="20"/>
  <c r="AK163" i="20" s="1"/>
  <c r="AK87" i="52"/>
  <c r="AN205" i="32"/>
  <c r="AN158" i="32"/>
  <c r="S102" i="19"/>
  <c r="S108" i="19" s="1"/>
  <c r="S39" i="26"/>
  <c r="S45" i="26" s="1"/>
  <c r="U66" i="20"/>
  <c r="U72" i="20" s="1"/>
  <c r="U78" i="20" s="1"/>
  <c r="U84" i="20" s="1"/>
  <c r="U28" i="20"/>
  <c r="U35" i="20" s="1"/>
  <c r="U43" i="20" s="1"/>
  <c r="AH42" i="26"/>
  <c r="AH48" i="26" s="1"/>
  <c r="AH10" i="26"/>
  <c r="AH16" i="26" s="1"/>
  <c r="AM227" i="27"/>
  <c r="AM194" i="27"/>
  <c r="AM161" i="27"/>
  <c r="AM62" i="27"/>
  <c r="AM128" i="27"/>
  <c r="AM95" i="27"/>
  <c r="AM29" i="27"/>
  <c r="AM86" i="20"/>
  <c r="AM122" i="20"/>
  <c r="I175" i="26"/>
  <c r="I181" i="26" s="1"/>
  <c r="I187" i="26" s="1"/>
  <c r="I193" i="26" s="1"/>
  <c r="I205" i="26"/>
  <c r="I211" i="26" s="1"/>
  <c r="I217" i="26" s="1"/>
  <c r="I223" i="26" s="1"/>
  <c r="I41" i="26"/>
  <c r="I47" i="26" s="1"/>
  <c r="I53" i="26" s="1"/>
  <c r="I59" i="26" s="1"/>
  <c r="T85" i="52"/>
  <c r="W175" i="32"/>
  <c r="W184" i="32"/>
  <c r="W147" i="32"/>
  <c r="W156" i="32"/>
  <c r="T51" i="20"/>
  <c r="T161" i="20" s="1"/>
  <c r="W203" i="32"/>
  <c r="W194" i="32"/>
  <c r="W165" i="32"/>
  <c r="O42" i="26"/>
  <c r="O48" i="26" s="1"/>
  <c r="O54" i="26" s="1"/>
  <c r="O60" i="26" s="1"/>
  <c r="O41" i="26"/>
  <c r="O47" i="26" s="1"/>
  <c r="O53" i="26" s="1"/>
  <c r="O59" i="26" s="1"/>
  <c r="O71" i="26"/>
  <c r="O77" i="26" s="1"/>
  <c r="O83" i="26" s="1"/>
  <c r="O89" i="26" s="1"/>
  <c r="O205" i="26"/>
  <c r="O211" i="26" s="1"/>
  <c r="O217" i="26" s="1"/>
  <c r="O223" i="26" s="1"/>
  <c r="O135" i="19"/>
  <c r="O141" i="19" s="1"/>
  <c r="O147" i="19" s="1"/>
  <c r="O153" i="19" s="1"/>
  <c r="O75" i="26"/>
  <c r="O81" i="26" s="1"/>
  <c r="O87" i="26" s="1"/>
  <c r="O93" i="26" s="1"/>
  <c r="O136" i="19"/>
  <c r="O142" i="19" s="1"/>
  <c r="O148" i="19" s="1"/>
  <c r="O154" i="19" s="1"/>
  <c r="O140" i="26"/>
  <c r="O146" i="26" s="1"/>
  <c r="O152" i="26" s="1"/>
  <c r="O158" i="26" s="1"/>
  <c r="O138" i="26"/>
  <c r="O144" i="26" s="1"/>
  <c r="O150" i="26" s="1"/>
  <c r="O156" i="26" s="1"/>
  <c r="O101" i="19"/>
  <c r="O107" i="19" s="1"/>
  <c r="O113" i="19" s="1"/>
  <c r="O119" i="19" s="1"/>
  <c r="O9" i="26"/>
  <c r="O15" i="26" s="1"/>
  <c r="O21" i="26" s="1"/>
  <c r="O27" i="26" s="1"/>
  <c r="O134" i="19"/>
  <c r="O140" i="19" s="1"/>
  <c r="O146" i="19" s="1"/>
  <c r="O152" i="19" s="1"/>
  <c r="O208" i="26"/>
  <c r="O214" i="26" s="1"/>
  <c r="O220" i="26" s="1"/>
  <c r="O226" i="26" s="1"/>
  <c r="O66" i="19"/>
  <c r="O72" i="19" s="1"/>
  <c r="O78" i="19" s="1"/>
  <c r="O84" i="19" s="1"/>
  <c r="O141" i="26"/>
  <c r="O147" i="26" s="1"/>
  <c r="O153" i="26" s="1"/>
  <c r="O159" i="26" s="1"/>
  <c r="O105" i="26"/>
  <c r="O111" i="26" s="1"/>
  <c r="O117" i="26" s="1"/>
  <c r="O123" i="26" s="1"/>
  <c r="AE133" i="27"/>
  <c r="AE232" i="27"/>
  <c r="AE199" i="27"/>
  <c r="AE166" i="27"/>
  <c r="AE100" i="27"/>
  <c r="AE67" i="27"/>
  <c r="AE34" i="27"/>
  <c r="AE163" i="20"/>
  <c r="AE91" i="20"/>
  <c r="J139" i="26"/>
  <c r="J145" i="26" s="1"/>
  <c r="J151" i="26" s="1"/>
  <c r="J157" i="26" s="1"/>
  <c r="J6" i="26"/>
  <c r="J12" i="26" s="1"/>
  <c r="J18" i="26" s="1"/>
  <c r="J24" i="26" s="1"/>
  <c r="Z63" i="19"/>
  <c r="Z69" i="19" s="1"/>
  <c r="Z75" i="19" s="1"/>
  <c r="Z81" i="19" s="1"/>
  <c r="Z75" i="26"/>
  <c r="Z81" i="26" s="1"/>
  <c r="Q94" i="32"/>
  <c r="Q123" i="32"/>
  <c r="Q76" i="32"/>
  <c r="Q104" i="32"/>
  <c r="N48" i="19"/>
  <c r="N76" i="52"/>
  <c r="N47" i="19"/>
  <c r="Q132" i="32"/>
  <c r="Q113" i="32"/>
  <c r="Q85" i="32"/>
  <c r="N93" i="19"/>
  <c r="G100" i="19"/>
  <c r="G106" i="19" s="1"/>
  <c r="G40" i="26"/>
  <c r="G46" i="26" s="1"/>
  <c r="AI161" i="25"/>
  <c r="AI128" i="25"/>
  <c r="AI227" i="25"/>
  <c r="AI95" i="25"/>
  <c r="AI62" i="25"/>
  <c r="AI29" i="25"/>
  <c r="AI194" i="25"/>
  <c r="AI86" i="18"/>
  <c r="AI158" i="18"/>
  <c r="AF102" i="32"/>
  <c r="AF103" i="32" s="1"/>
  <c r="AH27" i="34" s="1"/>
  <c r="AH41" i="34" s="1"/>
  <c r="AF112" i="32"/>
  <c r="AH26" i="34" s="1"/>
  <c r="AH40" i="34" s="1"/>
  <c r="N159" i="18"/>
  <c r="V125" i="18"/>
  <c r="Q80" i="32"/>
  <c r="Q127" i="32"/>
  <c r="Q136" i="32"/>
  <c r="Q108" i="32"/>
  <c r="Q98" i="32"/>
  <c r="Q89" i="32"/>
  <c r="Q117" i="32"/>
  <c r="N80" i="52"/>
  <c r="N52" i="19"/>
  <c r="AG74" i="19"/>
  <c r="AG80" i="19" s="1"/>
  <c r="AD88" i="19"/>
  <c r="AJ230" i="25"/>
  <c r="AJ197" i="25"/>
  <c r="AJ164" i="25"/>
  <c r="AJ98" i="25"/>
  <c r="AJ131" i="25"/>
  <c r="AJ32" i="25"/>
  <c r="AJ65" i="25"/>
  <c r="AJ89" i="18"/>
  <c r="AJ161" i="18"/>
  <c r="AM110" i="19"/>
  <c r="AM116" i="19" s="1"/>
  <c r="K15" i="19"/>
  <c r="K6" i="19"/>
  <c r="K12" i="19"/>
  <c r="K18" i="19"/>
  <c r="AH32" i="19"/>
  <c r="AH39" i="19" s="1"/>
  <c r="AH40" i="19" s="1"/>
  <c r="J8" i="20"/>
  <c r="J7" i="20"/>
  <c r="H133" i="25"/>
  <c r="H67" i="25"/>
  <c r="H34" i="25"/>
  <c r="H232" i="25"/>
  <c r="H199" i="25"/>
  <c r="H166" i="25"/>
  <c r="H100" i="25"/>
  <c r="H8" i="52"/>
  <c r="H54" i="52"/>
  <c r="AK86" i="20"/>
  <c r="AK122" i="20"/>
  <c r="U174" i="27"/>
  <c r="U180" i="27" s="1"/>
  <c r="U186" i="27" s="1"/>
  <c r="U192" i="27" s="1"/>
  <c r="U29" i="20"/>
  <c r="U36" i="20" s="1"/>
  <c r="U44" i="20" s="1"/>
  <c r="T59" i="52"/>
  <c r="T231" i="26"/>
  <c r="T198" i="26"/>
  <c r="T165" i="26"/>
  <c r="T66" i="26"/>
  <c r="T132" i="26"/>
  <c r="T99" i="26"/>
  <c r="T33" i="26"/>
  <c r="T126" i="19"/>
  <c r="T162" i="19"/>
  <c r="L191" i="27"/>
  <c r="O194" i="32"/>
  <c r="AH142" i="26"/>
  <c r="AH148" i="26" s="1"/>
  <c r="AH154" i="26" s="1"/>
  <c r="AH160" i="26" s="1"/>
  <c r="AG116" i="32"/>
  <c r="AG88" i="32"/>
  <c r="AG79" i="32"/>
  <c r="AG107" i="32"/>
  <c r="AD79" i="52"/>
  <c r="AD51" i="19"/>
  <c r="AG97" i="32"/>
  <c r="AG135" i="32"/>
  <c r="AG126" i="32"/>
  <c r="I109" i="26"/>
  <c r="I115" i="26" s="1"/>
  <c r="I121" i="26" s="1"/>
  <c r="I127" i="26" s="1"/>
  <c r="I38" i="26"/>
  <c r="I44" i="26" s="1"/>
  <c r="I50" i="26" s="1"/>
  <c r="I56" i="26" s="1"/>
  <c r="I39" i="26"/>
  <c r="I45" i="26" s="1"/>
  <c r="I51" i="26" s="1"/>
  <c r="I57" i="26" s="1"/>
  <c r="T230" i="26"/>
  <c r="T197" i="26"/>
  <c r="T164" i="26"/>
  <c r="T65" i="26"/>
  <c r="T131" i="26"/>
  <c r="T32" i="26"/>
  <c r="T98" i="26"/>
  <c r="T58" i="52"/>
  <c r="T125" i="19"/>
  <c r="T89" i="19"/>
  <c r="U88" i="19"/>
  <c r="O26" i="19"/>
  <c r="O33" i="19" s="1"/>
  <c r="O41" i="19" s="1"/>
  <c r="O28" i="19"/>
  <c r="O35" i="19" s="1"/>
  <c r="O43" i="19" s="1"/>
  <c r="J31" i="19"/>
  <c r="J38" i="19" s="1"/>
  <c r="J46" i="19" s="1"/>
  <c r="J134" i="19"/>
  <c r="J140" i="19" s="1"/>
  <c r="J146" i="19" s="1"/>
  <c r="J152" i="19" s="1"/>
  <c r="Z137" i="19"/>
  <c r="Z143" i="19" s="1"/>
  <c r="Z8" i="26"/>
  <c r="Z14" i="26" s="1"/>
  <c r="AG77" i="32"/>
  <c r="G172" i="26"/>
  <c r="G178" i="26" s="1"/>
  <c r="G140" i="26"/>
  <c r="G146" i="26" s="1"/>
  <c r="AM150" i="26"/>
  <c r="AM156" i="26" s="1"/>
  <c r="AM149" i="26"/>
  <c r="AM155" i="26" s="1"/>
  <c r="U83" i="32"/>
  <c r="U84" i="32" s="1"/>
  <c r="T24" i="34" s="1"/>
  <c r="T38" i="34" s="1"/>
  <c r="U74" i="32"/>
  <c r="U75" i="32" s="1"/>
  <c r="T23" i="34" s="1"/>
  <c r="T37" i="34" s="1"/>
  <c r="U93" i="32"/>
  <c r="T25" i="34" s="1"/>
  <c r="T39" i="34" s="1"/>
  <c r="AH134" i="19"/>
  <c r="AH140" i="19" s="1"/>
  <c r="AH146" i="19" s="1"/>
  <c r="AH152" i="19" s="1"/>
  <c r="J215" i="26"/>
  <c r="J221" i="26" s="1"/>
  <c r="U40" i="27"/>
  <c r="U46" i="27" s="1"/>
  <c r="U52" i="27" s="1"/>
  <c r="U58" i="27" s="1"/>
  <c r="I85" i="26"/>
  <c r="I91" i="26" s="1"/>
  <c r="R160" i="32"/>
  <c r="O92" i="20"/>
  <c r="O94" i="20" s="1"/>
  <c r="U100" i="20"/>
  <c r="U106" i="20" s="1"/>
  <c r="U112" i="20" s="1"/>
  <c r="U118" i="20" s="1"/>
  <c r="U98" i="20"/>
  <c r="U104" i="20" s="1"/>
  <c r="U110" i="20" s="1"/>
  <c r="U116" i="20" s="1"/>
  <c r="H86" i="19"/>
  <c r="AH76" i="26"/>
  <c r="AH82" i="26" s="1"/>
  <c r="AH88" i="26" s="1"/>
  <c r="AH94" i="26" s="1"/>
  <c r="AH75" i="26"/>
  <c r="AH81" i="26" s="1"/>
  <c r="AH87" i="26" s="1"/>
  <c r="AH93" i="26" s="1"/>
  <c r="AH138" i="26"/>
  <c r="AH144" i="26" s="1"/>
  <c r="AH150" i="26" s="1"/>
  <c r="AH156" i="26" s="1"/>
  <c r="AH30" i="19"/>
  <c r="AH37" i="19" s="1"/>
  <c r="AH45" i="19" s="1"/>
  <c r="AH64" i="19"/>
  <c r="AH70" i="19" s="1"/>
  <c r="AH171" i="26"/>
  <c r="AH177" i="26" s="1"/>
  <c r="AH183" i="26" s="1"/>
  <c r="AH189" i="26" s="1"/>
  <c r="AH205" i="26"/>
  <c r="AH211" i="26" s="1"/>
  <c r="AH217" i="26" s="1"/>
  <c r="AH223" i="26" s="1"/>
  <c r="AH106" i="26"/>
  <c r="AH112" i="26" s="1"/>
  <c r="AH139" i="19"/>
  <c r="AH145" i="19" s="1"/>
  <c r="AH151" i="19" s="1"/>
  <c r="AH157" i="19" s="1"/>
  <c r="AM19" i="19"/>
  <c r="AM117" i="26"/>
  <c r="AM123" i="26" s="1"/>
  <c r="I139" i="26"/>
  <c r="I145" i="26" s="1"/>
  <c r="I151" i="26" s="1"/>
  <c r="I157" i="26" s="1"/>
  <c r="I171" i="26"/>
  <c r="I177" i="26" s="1"/>
  <c r="I183" i="26" s="1"/>
  <c r="I189" i="26" s="1"/>
  <c r="I27" i="19"/>
  <c r="I34" i="19" s="1"/>
  <c r="I42" i="19" s="1"/>
  <c r="F27" i="52"/>
  <c r="F65" i="52"/>
  <c r="F66" i="52"/>
  <c r="F62" i="52"/>
  <c r="F64" i="52"/>
  <c r="F63" i="52"/>
  <c r="F61" i="52"/>
  <c r="F51" i="52"/>
  <c r="F57" i="52"/>
  <c r="F50" i="52"/>
  <c r="F55" i="52"/>
  <c r="F52" i="52"/>
  <c r="F53" i="52"/>
  <c r="F59" i="52"/>
  <c r="F60" i="52"/>
  <c r="F54" i="52"/>
  <c r="F49" i="52"/>
  <c r="O6" i="26"/>
  <c r="O12" i="26" s="1"/>
  <c r="O18" i="26" s="1"/>
  <c r="O24" i="26" s="1"/>
  <c r="J39" i="26"/>
  <c r="J45" i="26" s="1"/>
  <c r="J51" i="26" s="1"/>
  <c r="J57" i="26" s="1"/>
  <c r="Z204" i="26"/>
  <c r="Z210" i="26" s="1"/>
  <c r="Z206" i="26"/>
  <c r="Z212" i="26" s="1"/>
  <c r="AK93" i="18"/>
  <c r="N126" i="19"/>
  <c r="G29" i="19"/>
  <c r="G36" i="19" s="1"/>
  <c r="G44" i="19" s="1"/>
  <c r="AG216" i="26"/>
  <c r="AG222" i="26" s="1"/>
  <c r="AL89" i="18"/>
  <c r="AB13" i="19"/>
  <c r="AE130" i="32" s="1"/>
  <c r="AB23" i="19"/>
  <c r="S79" i="19"/>
  <c r="S85" i="19" s="1"/>
  <c r="U9" i="27"/>
  <c r="U15" i="27" s="1"/>
  <c r="U21" i="27" s="1"/>
  <c r="U27" i="27" s="1"/>
  <c r="U138" i="27"/>
  <c r="U144" i="27" s="1"/>
  <c r="U150" i="27" s="1"/>
  <c r="U156" i="27" s="1"/>
  <c r="H65" i="25"/>
  <c r="H32" i="25"/>
  <c r="H197" i="25"/>
  <c r="H164" i="25"/>
  <c r="H131" i="25"/>
  <c r="H98" i="25"/>
  <c r="H230" i="25"/>
  <c r="H52" i="52"/>
  <c r="H161" i="18"/>
  <c r="H89" i="18"/>
  <c r="T129" i="26"/>
  <c r="T162" i="26"/>
  <c r="T96" i="26"/>
  <c r="T56" i="52"/>
  <c r="T63" i="26"/>
  <c r="T228" i="26"/>
  <c r="T195" i="26"/>
  <c r="T30" i="26"/>
  <c r="T87" i="19"/>
  <c r="T123" i="19"/>
  <c r="K126" i="32"/>
  <c r="H51" i="19"/>
  <c r="H125" i="19" s="1"/>
  <c r="K97" i="32"/>
  <c r="H79" i="52"/>
  <c r="K135" i="32"/>
  <c r="K116" i="32"/>
  <c r="K107" i="32"/>
  <c r="K79" i="32"/>
  <c r="K88" i="32"/>
  <c r="E195" i="26"/>
  <c r="E228" i="26"/>
  <c r="E162" i="26"/>
  <c r="E129" i="26"/>
  <c r="E63" i="26"/>
  <c r="E96" i="26"/>
  <c r="E30" i="26"/>
  <c r="E159" i="19"/>
  <c r="E87" i="19"/>
  <c r="E123" i="19"/>
  <c r="O7" i="20"/>
  <c r="O8" i="20"/>
  <c r="U164" i="20"/>
  <c r="U166" i="20" s="1"/>
  <c r="U170" i="27"/>
  <c r="U176" i="27" s="1"/>
  <c r="U182" i="27" s="1"/>
  <c r="U188" i="27" s="1"/>
  <c r="U30" i="20"/>
  <c r="U37" i="20" s="1"/>
  <c r="U45" i="20" s="1"/>
  <c r="AH136" i="19"/>
  <c r="AH142" i="19" s="1"/>
  <c r="AH7" i="26"/>
  <c r="AH13" i="26" s="1"/>
  <c r="AH19" i="26" s="1"/>
  <c r="AH25" i="26" s="1"/>
  <c r="I142" i="26"/>
  <c r="I148" i="26" s="1"/>
  <c r="I154" i="26" s="1"/>
  <c r="I160" i="26" s="1"/>
  <c r="I103" i="19"/>
  <c r="I109" i="19" s="1"/>
  <c r="I115" i="19" s="1"/>
  <c r="I121" i="19" s="1"/>
  <c r="I135" i="19"/>
  <c r="I141" i="19" s="1"/>
  <c r="I147" i="19" s="1"/>
  <c r="I153" i="19" s="1"/>
  <c r="E233" i="53"/>
  <c r="E334" i="53"/>
  <c r="E369" i="53" s="1"/>
  <c r="O10" i="26"/>
  <c r="O16" i="26" s="1"/>
  <c r="O22" i="26" s="1"/>
  <c r="O28" i="26" s="1"/>
  <c r="O137" i="26"/>
  <c r="O143" i="26" s="1"/>
  <c r="O149" i="26" s="1"/>
  <c r="O155" i="26" s="1"/>
  <c r="J173" i="26"/>
  <c r="J179" i="26" s="1"/>
  <c r="J185" i="26" s="1"/>
  <c r="J191" i="26" s="1"/>
  <c r="J135" i="19"/>
  <c r="J141" i="19" s="1"/>
  <c r="J147" i="19" s="1"/>
  <c r="J153" i="19" s="1"/>
  <c r="Z7" i="26"/>
  <c r="Z13" i="26" s="1"/>
  <c r="Z5" i="26"/>
  <c r="Z11" i="26" s="1"/>
  <c r="T159" i="19"/>
  <c r="K90" i="32"/>
  <c r="AA102" i="19"/>
  <c r="AA108" i="19" s="1"/>
  <c r="AA114" i="19" s="1"/>
  <c r="AA120" i="19" s="1"/>
  <c r="W161" i="19"/>
  <c r="S104" i="26"/>
  <c r="S110" i="26" s="1"/>
  <c r="S17" i="19"/>
  <c r="S19" i="19" s="1"/>
  <c r="AG163" i="20"/>
  <c r="U31" i="20"/>
  <c r="U38" i="20" s="1"/>
  <c r="U46" i="20" s="1"/>
  <c r="U175" i="27"/>
  <c r="U181" i="27" s="1"/>
  <c r="U187" i="27" s="1"/>
  <c r="U193" i="27" s="1"/>
  <c r="AH102" i="19"/>
  <c r="AH108" i="19" s="1"/>
  <c r="AH114" i="19" s="1"/>
  <c r="AH120" i="19" s="1"/>
  <c r="AH170" i="26"/>
  <c r="AH176" i="26" s="1"/>
  <c r="AH28" i="19"/>
  <c r="AH35" i="19" s="1"/>
  <c r="AM182" i="26"/>
  <c r="AM188" i="26" s="1"/>
  <c r="S196" i="25"/>
  <c r="S163" i="25"/>
  <c r="S130" i="25"/>
  <c r="S97" i="25"/>
  <c r="S31" i="25"/>
  <c r="S64" i="25"/>
  <c r="S229" i="25"/>
  <c r="S88" i="18"/>
  <c r="S124" i="18"/>
  <c r="I137" i="26"/>
  <c r="I143" i="26" s="1"/>
  <c r="I149" i="26" s="1"/>
  <c r="I155" i="26" s="1"/>
  <c r="I138" i="26"/>
  <c r="I144" i="26" s="1"/>
  <c r="I150" i="26" s="1"/>
  <c r="I156" i="26" s="1"/>
  <c r="I106" i="26"/>
  <c r="I112" i="26" s="1"/>
  <c r="I118" i="26" s="1"/>
  <c r="I124" i="26" s="1"/>
  <c r="E14" i="53"/>
  <c r="E58" i="53" s="1"/>
  <c r="E102" i="53" s="1"/>
  <c r="E146" i="53" s="1"/>
  <c r="E191" i="53" s="1"/>
  <c r="E57" i="53"/>
  <c r="E101" i="53" s="1"/>
  <c r="E145" i="53" s="1"/>
  <c r="E190" i="53" s="1"/>
  <c r="O30" i="19"/>
  <c r="O37" i="19" s="1"/>
  <c r="O45" i="19" s="1"/>
  <c r="O100" i="19"/>
  <c r="O106" i="19" s="1"/>
  <c r="O112" i="19" s="1"/>
  <c r="O118" i="19" s="1"/>
  <c r="J172" i="26"/>
  <c r="J178" i="26" s="1"/>
  <c r="J184" i="26" s="1"/>
  <c r="J190" i="26" s="1"/>
  <c r="J75" i="26"/>
  <c r="J81" i="26" s="1"/>
  <c r="J87" i="26" s="1"/>
  <c r="J93" i="26" s="1"/>
  <c r="Z17" i="19"/>
  <c r="Z19" i="19" s="1"/>
  <c r="N125" i="19"/>
  <c r="G39" i="26"/>
  <c r="G45" i="26" s="1"/>
  <c r="AG52" i="26"/>
  <c r="AG58" i="26" s="1"/>
  <c r="AG42" i="19"/>
  <c r="T86" i="20"/>
  <c r="AP182" i="32"/>
  <c r="T161" i="19"/>
  <c r="AA164" i="19"/>
  <c r="AA166" i="19" s="1"/>
  <c r="AK72" i="52"/>
  <c r="AN38" i="32"/>
  <c r="AN47" i="32"/>
  <c r="AN28" i="32"/>
  <c r="AK49" i="18"/>
  <c r="AN10" i="32"/>
  <c r="AN19" i="32"/>
  <c r="AN57" i="32"/>
  <c r="AN66" i="32"/>
  <c r="AK46" i="18"/>
  <c r="AK53" i="18" s="1"/>
  <c r="U139" i="27"/>
  <c r="U145" i="27" s="1"/>
  <c r="U151" i="27" s="1"/>
  <c r="U157" i="27" s="1"/>
  <c r="AH98" i="19"/>
  <c r="AH104" i="19" s="1"/>
  <c r="J86" i="26"/>
  <c r="J92" i="26" s="1"/>
  <c r="AQ83" i="32"/>
  <c r="AQ84" i="32" s="1"/>
  <c r="X24" i="34" s="1"/>
  <c r="X38" i="34" s="1"/>
  <c r="AQ93" i="32"/>
  <c r="X25" i="34" s="1"/>
  <c r="X39" i="34" s="1"/>
  <c r="AQ74" i="32"/>
  <c r="AQ75" i="32" s="1"/>
  <c r="X23" i="34" s="1"/>
  <c r="X37" i="34" s="1"/>
  <c r="S183" i="26"/>
  <c r="S189" i="26" s="1"/>
  <c r="S50" i="26"/>
  <c r="S56" i="26" s="1"/>
  <c r="U138" i="20"/>
  <c r="U144" i="20" s="1"/>
  <c r="U150" i="20" s="1"/>
  <c r="U156" i="20" s="1"/>
  <c r="U137" i="20"/>
  <c r="U143" i="20" s="1"/>
  <c r="U149" i="20" s="1"/>
  <c r="U155" i="20" s="1"/>
  <c r="U7" i="27"/>
  <c r="U13" i="27" s="1"/>
  <c r="U19" i="27" s="1"/>
  <c r="U25" i="27" s="1"/>
  <c r="H26" i="52"/>
  <c r="AH26" i="19"/>
  <c r="AH33" i="19" s="1"/>
  <c r="AH41" i="19" s="1"/>
  <c r="AH72" i="26"/>
  <c r="AH78" i="26" s="1"/>
  <c r="AH84" i="26" s="1"/>
  <c r="AH90" i="26" s="1"/>
  <c r="AH104" i="26"/>
  <c r="AH110" i="26" s="1"/>
  <c r="AH116" i="26" s="1"/>
  <c r="AH122" i="26" s="1"/>
  <c r="AD222" i="26"/>
  <c r="AG133" i="32"/>
  <c r="Y48" i="32"/>
  <c r="I164" i="19"/>
  <c r="I166" i="19" s="1"/>
  <c r="I165" i="19" s="1"/>
  <c r="I64" i="19"/>
  <c r="I70" i="19" s="1"/>
  <c r="I76" i="19" s="1"/>
  <c r="I82" i="19" s="1"/>
  <c r="I71" i="26"/>
  <c r="I77" i="26" s="1"/>
  <c r="I83" i="26" s="1"/>
  <c r="I89" i="26" s="1"/>
  <c r="O76" i="19"/>
  <c r="O82" i="19" s="1"/>
  <c r="O44" i="19"/>
  <c r="J7" i="26"/>
  <c r="J13" i="26" s="1"/>
  <c r="J19" i="26" s="1"/>
  <c r="J25" i="26" s="1"/>
  <c r="J38" i="26"/>
  <c r="J44" i="26" s="1"/>
  <c r="J50" i="26" s="1"/>
  <c r="J56" i="26" s="1"/>
  <c r="Z99" i="19"/>
  <c r="Z105" i="19" s="1"/>
  <c r="Z138" i="19"/>
  <c r="Z144" i="19" s="1"/>
  <c r="Z150" i="19" s="1"/>
  <c r="Z156" i="19" s="1"/>
  <c r="Z171" i="26"/>
  <c r="Z177" i="26" s="1"/>
  <c r="Z183" i="26" s="1"/>
  <c r="Z189" i="26" s="1"/>
  <c r="Z43" i="26"/>
  <c r="Z49" i="26" s="1"/>
  <c r="Z100" i="19"/>
  <c r="Z106" i="19" s="1"/>
  <c r="Z39" i="26"/>
  <c r="Z45" i="26" s="1"/>
  <c r="Z27" i="19"/>
  <c r="Z34" i="19" s="1"/>
  <c r="Z138" i="26"/>
  <c r="Z144" i="26" s="1"/>
  <c r="Z208" i="26"/>
  <c r="Z214" i="26" s="1"/>
  <c r="Z101" i="19"/>
  <c r="Z107" i="19" s="1"/>
  <c r="Z103" i="19"/>
  <c r="Z109" i="19" s="1"/>
  <c r="Z106" i="26"/>
  <c r="Z112" i="26" s="1"/>
  <c r="Z136" i="19"/>
  <c r="Z142" i="19" s="1"/>
  <c r="Z26" i="19"/>
  <c r="Z33" i="19" s="1"/>
  <c r="Z135" i="19"/>
  <c r="Z141" i="19" s="1"/>
  <c r="Z175" i="26"/>
  <c r="Z181" i="26" s="1"/>
  <c r="Z72" i="26"/>
  <c r="Z78" i="26" s="1"/>
  <c r="Z142" i="26"/>
  <c r="Z148" i="26" s="1"/>
  <c r="Z154" i="26" s="1"/>
  <c r="Z160" i="26" s="1"/>
  <c r="Z28" i="19"/>
  <c r="Z35" i="19" s="1"/>
  <c r="Z62" i="19"/>
  <c r="Z68" i="19" s="1"/>
  <c r="Z174" i="26"/>
  <c r="Z180" i="26" s="1"/>
  <c r="Z186" i="26" s="1"/>
  <c r="Z192" i="26" s="1"/>
  <c r="Z71" i="26"/>
  <c r="Z77" i="26" s="1"/>
  <c r="AM21" i="26"/>
  <c r="AM27" i="26" s="1"/>
  <c r="G134" i="19"/>
  <c r="G140" i="19" s="1"/>
  <c r="G146" i="19" s="1"/>
  <c r="G152" i="19" s="1"/>
  <c r="G204" i="26"/>
  <c r="G210" i="26" s="1"/>
  <c r="G216" i="26" s="1"/>
  <c r="G222" i="26" s="1"/>
  <c r="G42" i="26"/>
  <c r="G48" i="26" s="1"/>
  <c r="G54" i="26" s="1"/>
  <c r="G60" i="26" s="1"/>
  <c r="G203" i="26"/>
  <c r="G209" i="26" s="1"/>
  <c r="G215" i="26" s="1"/>
  <c r="G221" i="26" s="1"/>
  <c r="G138" i="19"/>
  <c r="G144" i="19" s="1"/>
  <c r="G150" i="19" s="1"/>
  <c r="G156" i="19" s="1"/>
  <c r="G170" i="26"/>
  <c r="G176" i="26" s="1"/>
  <c r="G104" i="26"/>
  <c r="G110" i="26" s="1"/>
  <c r="G28" i="19"/>
  <c r="G35" i="19" s="1"/>
  <c r="G208" i="26"/>
  <c r="G214" i="26" s="1"/>
  <c r="G67" i="19"/>
  <c r="G73" i="19" s="1"/>
  <c r="G43" i="26"/>
  <c r="G49" i="26" s="1"/>
  <c r="G55" i="26" s="1"/>
  <c r="G61" i="26" s="1"/>
  <c r="G103" i="19"/>
  <c r="G109" i="19" s="1"/>
  <c r="G115" i="19" s="1"/>
  <c r="G121" i="19" s="1"/>
  <c r="G138" i="26"/>
  <c r="G144" i="26" s="1"/>
  <c r="G17" i="19"/>
  <c r="G19" i="19" s="1"/>
  <c r="G76" i="26"/>
  <c r="G82" i="26" s="1"/>
  <c r="G88" i="26" s="1"/>
  <c r="G94" i="26" s="1"/>
  <c r="G41" i="26"/>
  <c r="G47" i="26" s="1"/>
  <c r="G53" i="26" s="1"/>
  <c r="G59" i="26" s="1"/>
  <c r="G9" i="26"/>
  <c r="G15" i="26" s="1"/>
  <c r="G21" i="26" s="1"/>
  <c r="G27" i="26" s="1"/>
  <c r="G139" i="26"/>
  <c r="G145" i="26" s="1"/>
  <c r="G151" i="26" s="1"/>
  <c r="G157" i="26" s="1"/>
  <c r="G99" i="19"/>
  <c r="G105" i="19" s="1"/>
  <c r="G105" i="26"/>
  <c r="G111" i="26" s="1"/>
  <c r="G117" i="26" s="1"/>
  <c r="G123" i="26" s="1"/>
  <c r="G30" i="19"/>
  <c r="G37" i="19" s="1"/>
  <c r="G45" i="19" s="1"/>
  <c r="G139" i="19"/>
  <c r="G145" i="19" s="1"/>
  <c r="G206" i="26"/>
  <c r="G212" i="26" s="1"/>
  <c r="G137" i="19"/>
  <c r="G143" i="19" s="1"/>
  <c r="G108" i="26"/>
  <c r="G114" i="26" s="1"/>
  <c r="G120" i="26" s="1"/>
  <c r="G126" i="26" s="1"/>
  <c r="G10" i="26"/>
  <c r="G16" i="26" s="1"/>
  <c r="G22" i="26" s="1"/>
  <c r="G28" i="26" s="1"/>
  <c r="G107" i="26"/>
  <c r="G113" i="26" s="1"/>
  <c r="G119" i="26" s="1"/>
  <c r="G125" i="26" s="1"/>
  <c r="G135" i="19"/>
  <c r="G141" i="19" s="1"/>
  <c r="G147" i="19" s="1"/>
  <c r="G153" i="19" s="1"/>
  <c r="G8" i="26"/>
  <c r="G14" i="26" s="1"/>
  <c r="G20" i="26" s="1"/>
  <c r="G26" i="26" s="1"/>
  <c r="G66" i="19"/>
  <c r="G72" i="19" s="1"/>
  <c r="G31" i="19"/>
  <c r="G38" i="19" s="1"/>
  <c r="G109" i="26"/>
  <c r="G115" i="26" s="1"/>
  <c r="G121" i="26" s="1"/>
  <c r="G127" i="26" s="1"/>
  <c r="G5" i="26"/>
  <c r="G11" i="26" s="1"/>
  <c r="G102" i="19"/>
  <c r="G108" i="19" s="1"/>
  <c r="G114" i="19" s="1"/>
  <c r="G120" i="19" s="1"/>
  <c r="G141" i="26"/>
  <c r="G147" i="26" s="1"/>
  <c r="G153" i="26" s="1"/>
  <c r="G159" i="26" s="1"/>
  <c r="G106" i="26"/>
  <c r="G112" i="26" s="1"/>
  <c r="G118" i="26" s="1"/>
  <c r="G124" i="26" s="1"/>
  <c r="G75" i="26"/>
  <c r="G81" i="26" s="1"/>
  <c r="G173" i="26"/>
  <c r="G179" i="26" s="1"/>
  <c r="G185" i="26" s="1"/>
  <c r="G191" i="26" s="1"/>
  <c r="U127" i="19"/>
  <c r="AM52" i="26"/>
  <c r="AM58" i="26" s="1"/>
  <c r="AM115" i="19"/>
  <c r="AM121" i="19" s="1"/>
  <c r="S186" i="26"/>
  <c r="S192" i="26" s="1"/>
  <c r="W202" i="32"/>
  <c r="W146" i="32"/>
  <c r="W193" i="32"/>
  <c r="T50" i="20"/>
  <c r="W174" i="32"/>
  <c r="W183" i="32"/>
  <c r="T84" i="52"/>
  <c r="W164" i="32"/>
  <c r="W155" i="32"/>
  <c r="S66" i="19"/>
  <c r="S72" i="19" s="1"/>
  <c r="S78" i="19" s="1"/>
  <c r="S84" i="19" s="1"/>
  <c r="S138" i="19"/>
  <c r="S144" i="19" s="1"/>
  <c r="AD100" i="26"/>
  <c r="AD232" i="26"/>
  <c r="AD199" i="26"/>
  <c r="AD166" i="26"/>
  <c r="AD133" i="26"/>
  <c r="AD67" i="26"/>
  <c r="AD34" i="26"/>
  <c r="U27" i="20"/>
  <c r="U34" i="20" s="1"/>
  <c r="U42" i="20" s="1"/>
  <c r="U62" i="20"/>
  <c r="U68" i="20" s="1"/>
  <c r="U74" i="20" s="1"/>
  <c r="U80" i="20" s="1"/>
  <c r="U206" i="27"/>
  <c r="U212" i="27" s="1"/>
  <c r="U218" i="27" s="1"/>
  <c r="U224" i="27" s="1"/>
  <c r="O163" i="32"/>
  <c r="L83" i="52"/>
  <c r="O192" i="32"/>
  <c r="O201" i="32"/>
  <c r="O182" i="32"/>
  <c r="O173" i="32"/>
  <c r="O154" i="32"/>
  <c r="L49" i="20"/>
  <c r="O145" i="32"/>
  <c r="AH100" i="19"/>
  <c r="AH106" i="19" s="1"/>
  <c r="AH112" i="19" s="1"/>
  <c r="AH118" i="19" s="1"/>
  <c r="AH29" i="19"/>
  <c r="AH36" i="19" s="1"/>
  <c r="AH44" i="19" s="1"/>
  <c r="AH17" i="19"/>
  <c r="AH19" i="19" s="1"/>
  <c r="AD125" i="19"/>
  <c r="V230" i="25"/>
  <c r="V197" i="25"/>
  <c r="V164" i="25"/>
  <c r="V131" i="25"/>
  <c r="V32" i="25"/>
  <c r="V65" i="25"/>
  <c r="V98" i="25"/>
  <c r="V161" i="18"/>
  <c r="AD127" i="19"/>
  <c r="I170" i="26"/>
  <c r="I176" i="26" s="1"/>
  <c r="I182" i="26" s="1"/>
  <c r="I188" i="26" s="1"/>
  <c r="I141" i="26"/>
  <c r="I147" i="26" s="1"/>
  <c r="I153" i="26" s="1"/>
  <c r="I159" i="26" s="1"/>
  <c r="I72" i="26"/>
  <c r="I78" i="26" s="1"/>
  <c r="I84" i="26" s="1"/>
  <c r="I90" i="26" s="1"/>
  <c r="AD162" i="19"/>
  <c r="M5" i="20"/>
  <c r="M21" i="20"/>
  <c r="M22" i="20" s="1"/>
  <c r="O175" i="26"/>
  <c r="O181" i="26" s="1"/>
  <c r="O187" i="26" s="1"/>
  <c r="O193" i="26" s="1"/>
  <c r="O65" i="19"/>
  <c r="O71" i="19" s="1"/>
  <c r="O77" i="19" s="1"/>
  <c r="O83" i="19" s="1"/>
  <c r="L59" i="27"/>
  <c r="O156" i="32"/>
  <c r="J28" i="19"/>
  <c r="J35" i="19" s="1"/>
  <c r="J43" i="19" s="1"/>
  <c r="J208" i="26"/>
  <c r="J214" i="26" s="1"/>
  <c r="J220" i="26" s="1"/>
  <c r="J226" i="26" s="1"/>
  <c r="Z66" i="19"/>
  <c r="Z72" i="19" s="1"/>
  <c r="Z64" i="19"/>
  <c r="Z70" i="19" s="1"/>
  <c r="AD228" i="26"/>
  <c r="AD96" i="26"/>
  <c r="AD195" i="26"/>
  <c r="AD162" i="26"/>
  <c r="AD63" i="26"/>
  <c r="AD129" i="26"/>
  <c r="AD30" i="26"/>
  <c r="AD4" i="52"/>
  <c r="AD123" i="19"/>
  <c r="AM50" i="26"/>
  <c r="AM56" i="26" s="1"/>
  <c r="H125" i="18"/>
  <c r="G6" i="26"/>
  <c r="G12" i="26" s="1"/>
  <c r="G18" i="26" s="1"/>
  <c r="G24" i="26" s="1"/>
  <c r="AC117" i="26"/>
  <c r="AC123" i="26" s="1"/>
  <c r="AG41" i="19"/>
  <c r="AG19" i="26"/>
  <c r="AG25" i="26" s="1"/>
  <c r="AA103" i="19"/>
  <c r="AA109" i="19" s="1"/>
  <c r="AA115" i="19" s="1"/>
  <c r="AA121" i="19" s="1"/>
  <c r="S6" i="20"/>
  <c r="S18" i="20"/>
  <c r="S12" i="20"/>
  <c r="S15" i="20"/>
  <c r="S128" i="20" s="1"/>
  <c r="S130" i="20" s="1"/>
  <c r="U204" i="27"/>
  <c r="U210" i="27" s="1"/>
  <c r="U216" i="27" s="1"/>
  <c r="U222" i="27" s="1"/>
  <c r="V160" i="18"/>
  <c r="S217" i="26"/>
  <c r="S223" i="26" s="1"/>
  <c r="V102" i="32"/>
  <c r="V103" i="32" s="1"/>
  <c r="U27" i="34" s="1"/>
  <c r="U41" i="34" s="1"/>
  <c r="V112" i="32"/>
  <c r="U26" i="34" s="1"/>
  <c r="U40" i="34" s="1"/>
  <c r="U171" i="27"/>
  <c r="U177" i="27" s="1"/>
  <c r="U183" i="27" s="1"/>
  <c r="U189" i="27" s="1"/>
  <c r="U105" i="27"/>
  <c r="U111" i="27" s="1"/>
  <c r="U117" i="27" s="1"/>
  <c r="U123" i="27" s="1"/>
  <c r="U136" i="20"/>
  <c r="U142" i="20" s="1"/>
  <c r="U148" i="20" s="1"/>
  <c r="U154" i="20" s="1"/>
  <c r="H228" i="25"/>
  <c r="H195" i="25"/>
  <c r="H129" i="25"/>
  <c r="H63" i="25"/>
  <c r="H30" i="25"/>
  <c r="H162" i="25"/>
  <c r="H96" i="25"/>
  <c r="H4" i="52"/>
  <c r="H50" i="52"/>
  <c r="H123" i="18"/>
  <c r="AH63" i="19"/>
  <c r="AH69" i="19" s="1"/>
  <c r="AH75" i="19" s="1"/>
  <c r="AH81" i="19" s="1"/>
  <c r="AH27" i="19"/>
  <c r="AH34" i="19" s="1"/>
  <c r="AH42" i="19" s="1"/>
  <c r="AH141" i="26"/>
  <c r="AH147" i="26" s="1"/>
  <c r="AH153" i="26" s="1"/>
  <c r="AH159" i="26" s="1"/>
  <c r="M29" i="25"/>
  <c r="M95" i="25"/>
  <c r="M227" i="25"/>
  <c r="M161" i="25"/>
  <c r="M194" i="25"/>
  <c r="M128" i="25"/>
  <c r="M62" i="25"/>
  <c r="M122" i="18"/>
  <c r="M86" i="18"/>
  <c r="AL142" i="11"/>
  <c r="Y41" i="32"/>
  <c r="Y31" i="32"/>
  <c r="Y50" i="32"/>
  <c r="V52" i="18"/>
  <c r="Y13" i="32"/>
  <c r="Y60" i="32"/>
  <c r="V75" i="52"/>
  <c r="Y22" i="32"/>
  <c r="Y69" i="32"/>
  <c r="I116" i="26"/>
  <c r="I122" i="26" s="1"/>
  <c r="I218" i="26"/>
  <c r="I224" i="26" s="1"/>
  <c r="I19" i="26"/>
  <c r="I25" i="26" s="1"/>
  <c r="K117" i="32"/>
  <c r="H80" i="52"/>
  <c r="K80" i="32"/>
  <c r="K127" i="32"/>
  <c r="H52" i="19"/>
  <c r="H126" i="19" s="1"/>
  <c r="K136" i="32"/>
  <c r="K98" i="32"/>
  <c r="K89" i="32"/>
  <c r="K108" i="32"/>
  <c r="AG104" i="32"/>
  <c r="AG85" i="32"/>
  <c r="AG94" i="32"/>
  <c r="AG113" i="32"/>
  <c r="AD76" i="52"/>
  <c r="AG132" i="32"/>
  <c r="AG76" i="32"/>
  <c r="AG123" i="32"/>
  <c r="AD48" i="19"/>
  <c r="AD47" i="19"/>
  <c r="AD93" i="19"/>
  <c r="AD129" i="19"/>
  <c r="AD165" i="19"/>
  <c r="R102" i="32"/>
  <c r="R103" i="32" s="1"/>
  <c r="R27" i="34" s="1"/>
  <c r="R41" i="34" s="1"/>
  <c r="R112" i="32"/>
  <c r="R26" i="34" s="1"/>
  <c r="R40" i="34" s="1"/>
  <c r="O182" i="26"/>
  <c r="O188" i="26" s="1"/>
  <c r="AF124" i="19"/>
  <c r="J105" i="26"/>
  <c r="J111" i="26" s="1"/>
  <c r="J117" i="26" s="1"/>
  <c r="J123" i="26" s="1"/>
  <c r="Z9" i="26"/>
  <c r="Z15" i="26" s="1"/>
  <c r="V71" i="52"/>
  <c r="Y46" i="32"/>
  <c r="Y18" i="32"/>
  <c r="V48" i="18"/>
  <c r="Y37" i="32"/>
  <c r="Y56" i="32"/>
  <c r="Y9" i="32"/>
  <c r="Y27" i="32"/>
  <c r="Y65" i="32"/>
  <c r="Y49" i="32"/>
  <c r="AE86" i="20"/>
  <c r="G62" i="19"/>
  <c r="G68" i="19" s="1"/>
  <c r="G74" i="19" s="1"/>
  <c r="G80" i="19" s="1"/>
  <c r="AC220" i="26"/>
  <c r="AC226" i="26" s="1"/>
  <c r="AA26" i="19"/>
  <c r="AA33" i="19" s="1"/>
  <c r="AA41" i="19" s="1"/>
  <c r="L104" i="26"/>
  <c r="L110" i="26" s="1"/>
  <c r="L116" i="26" s="1"/>
  <c r="L122" i="26" s="1"/>
  <c r="S149" i="26"/>
  <c r="S155" i="26" s="1"/>
  <c r="X231" i="25"/>
  <c r="X99" i="25"/>
  <c r="X33" i="25"/>
  <c r="X198" i="25"/>
  <c r="X132" i="25"/>
  <c r="X165" i="25"/>
  <c r="X66" i="25"/>
  <c r="X126" i="18"/>
  <c r="AL7" i="19"/>
  <c r="AL8" i="19"/>
  <c r="AL5" i="19"/>
  <c r="S86" i="26"/>
  <c r="S92" i="26" s="1"/>
  <c r="U76" i="27"/>
  <c r="U82" i="27" s="1"/>
  <c r="U88" i="27" s="1"/>
  <c r="U94" i="27" s="1"/>
  <c r="U67" i="20"/>
  <c r="U73" i="20" s="1"/>
  <c r="U79" i="20" s="1"/>
  <c r="U85" i="20" s="1"/>
  <c r="U101" i="20"/>
  <c r="U107" i="20" s="1"/>
  <c r="U113" i="20" s="1"/>
  <c r="U119" i="20" s="1"/>
  <c r="AH66" i="19"/>
  <c r="AH72" i="19" s="1"/>
  <c r="AH78" i="19" s="1"/>
  <c r="AH84" i="19" s="1"/>
  <c r="AH206" i="26"/>
  <c r="AH212" i="26" s="1"/>
  <c r="AH218" i="26" s="1"/>
  <c r="AH224" i="26" s="1"/>
  <c r="AH105" i="26"/>
  <c r="AH111" i="26" s="1"/>
  <c r="AH117" i="26" s="1"/>
  <c r="AH123" i="26" s="1"/>
  <c r="V158" i="18"/>
  <c r="V123" i="18"/>
  <c r="I18" i="26"/>
  <c r="I24" i="26" s="1"/>
  <c r="I46" i="19"/>
  <c r="I54" i="26"/>
  <c r="I60" i="26" s="1"/>
  <c r="AC130" i="32"/>
  <c r="Z164" i="19"/>
  <c r="Z166" i="19" s="1"/>
  <c r="O19" i="26"/>
  <c r="O25" i="26" s="1"/>
  <c r="AI87" i="32"/>
  <c r="AF50" i="19"/>
  <c r="AI115" i="32"/>
  <c r="AI78" i="32"/>
  <c r="AI96" i="32"/>
  <c r="AI106" i="32"/>
  <c r="AI125" i="32"/>
  <c r="AF78" i="52"/>
  <c r="J152" i="26"/>
  <c r="J158" i="26" s="1"/>
  <c r="J137" i="26"/>
  <c r="J143" i="26" s="1"/>
  <c r="J149" i="26" s="1"/>
  <c r="J155" i="26" s="1"/>
  <c r="J170" i="26"/>
  <c r="J176" i="26" s="1"/>
  <c r="J182" i="26" s="1"/>
  <c r="J188" i="26" s="1"/>
  <c r="J27" i="19"/>
  <c r="J34" i="19" s="1"/>
  <c r="J42" i="19" s="1"/>
  <c r="J106" i="26"/>
  <c r="J112" i="26" s="1"/>
  <c r="J118" i="26" s="1"/>
  <c r="J124" i="26" s="1"/>
  <c r="J98" i="19"/>
  <c r="J104" i="19" s="1"/>
  <c r="J110" i="19" s="1"/>
  <c r="J116" i="19" s="1"/>
  <c r="J108" i="26"/>
  <c r="J114" i="26" s="1"/>
  <c r="J120" i="26" s="1"/>
  <c r="J126" i="26" s="1"/>
  <c r="J30" i="19"/>
  <c r="J37" i="19" s="1"/>
  <c r="J45" i="19" s="1"/>
  <c r="J66" i="19"/>
  <c r="J72" i="19" s="1"/>
  <c r="J78" i="19" s="1"/>
  <c r="J84" i="19" s="1"/>
  <c r="J103" i="19"/>
  <c r="J109" i="19" s="1"/>
  <c r="J115" i="19" s="1"/>
  <c r="J121" i="19" s="1"/>
  <c r="J29" i="19"/>
  <c r="J36" i="19" s="1"/>
  <c r="J44" i="19" s="1"/>
  <c r="J10" i="26"/>
  <c r="J16" i="26" s="1"/>
  <c r="J22" i="26" s="1"/>
  <c r="J28" i="26" s="1"/>
  <c r="J205" i="26"/>
  <c r="J211" i="26" s="1"/>
  <c r="J217" i="26" s="1"/>
  <c r="J223" i="26" s="1"/>
  <c r="J64" i="19"/>
  <c r="J70" i="19" s="1"/>
  <c r="J76" i="19" s="1"/>
  <c r="J82" i="19" s="1"/>
  <c r="J41" i="26"/>
  <c r="J47" i="26" s="1"/>
  <c r="J53" i="26" s="1"/>
  <c r="J59" i="26" s="1"/>
  <c r="J207" i="26"/>
  <c r="J213" i="26" s="1"/>
  <c r="J219" i="26" s="1"/>
  <c r="J225" i="26" s="1"/>
  <c r="J141" i="26"/>
  <c r="J147" i="26" s="1"/>
  <c r="J153" i="26" s="1"/>
  <c r="J159" i="26" s="1"/>
  <c r="J71" i="26"/>
  <c r="J77" i="26" s="1"/>
  <c r="J83" i="26" s="1"/>
  <c r="J89" i="26" s="1"/>
  <c r="J62" i="19"/>
  <c r="J68" i="19" s="1"/>
  <c r="J74" i="19" s="1"/>
  <c r="J80" i="19" s="1"/>
  <c r="J32" i="19"/>
  <c r="J39" i="19" s="1"/>
  <c r="J40" i="19" s="1"/>
  <c r="J138" i="26"/>
  <c r="J144" i="26" s="1"/>
  <c r="J150" i="26" s="1"/>
  <c r="J156" i="26" s="1"/>
  <c r="Z67" i="19"/>
  <c r="Z73" i="19" s="1"/>
  <c r="Z79" i="19" s="1"/>
  <c r="Z85" i="19" s="1"/>
  <c r="Z139" i="26"/>
  <c r="Z145" i="26" s="1"/>
  <c r="Z151" i="26" s="1"/>
  <c r="Z157" i="26" s="1"/>
  <c r="E23" i="53"/>
  <c r="E66" i="53"/>
  <c r="E110" i="53" s="1"/>
  <c r="E154" i="53" s="1"/>
  <c r="E199" i="53" s="1"/>
  <c r="G63" i="19"/>
  <c r="G69" i="19" s="1"/>
  <c r="G75" i="19" s="1"/>
  <c r="G81" i="19" s="1"/>
  <c r="D7" i="20"/>
  <c r="D8" i="20"/>
  <c r="AM198" i="27"/>
  <c r="AM231" i="27"/>
  <c r="AM165" i="27"/>
  <c r="AM132" i="27"/>
  <c r="AM66" i="27"/>
  <c r="AM99" i="27"/>
  <c r="AM33" i="27"/>
  <c r="AM126" i="20"/>
  <c r="AM90" i="20"/>
  <c r="F58" i="52"/>
  <c r="AM184" i="26"/>
  <c r="AM190" i="26" s="1"/>
  <c r="AI127" i="32"/>
  <c r="AI108" i="32"/>
  <c r="AI117" i="32"/>
  <c r="AI136" i="32"/>
  <c r="AI98" i="32"/>
  <c r="AI89" i="32"/>
  <c r="AF80" i="52"/>
  <c r="AF52" i="19"/>
  <c r="AF162" i="19" s="1"/>
  <c r="AG78" i="19"/>
  <c r="AG84" i="19" s="1"/>
  <c r="W77" i="52"/>
  <c r="Z114" i="32"/>
  <c r="Z105" i="32"/>
  <c r="Z77" i="32"/>
  <c r="Z124" i="32"/>
  <c r="Z86" i="32"/>
  <c r="Z133" i="32"/>
  <c r="W49" i="19"/>
  <c r="Z95" i="32"/>
  <c r="AA104" i="26"/>
  <c r="AA110" i="26" s="1"/>
  <c r="AA116" i="26" s="1"/>
  <c r="AA122" i="26" s="1"/>
  <c r="L105" i="26"/>
  <c r="L111" i="26" s="1"/>
  <c r="L117" i="26" s="1"/>
  <c r="L123" i="26" s="1"/>
  <c r="AD48" i="20"/>
  <c r="AG144" i="32"/>
  <c r="AG200" i="32"/>
  <c r="AG181" i="32"/>
  <c r="AG162" i="32"/>
  <c r="AD82" i="52"/>
  <c r="AD93" i="20"/>
  <c r="AD165" i="20"/>
  <c r="AD129" i="20"/>
  <c r="S148" i="19"/>
  <c r="S154" i="19" s="1"/>
  <c r="U41" i="27"/>
  <c r="U47" i="27" s="1"/>
  <c r="U53" i="27" s="1"/>
  <c r="U59" i="27" s="1"/>
  <c r="U208" i="27"/>
  <c r="U214" i="27" s="1"/>
  <c r="U220" i="27" s="1"/>
  <c r="U226" i="27" s="1"/>
  <c r="U142" i="27"/>
  <c r="U148" i="27" s="1"/>
  <c r="U154" i="27" s="1"/>
  <c r="U160" i="27" s="1"/>
  <c r="AH103" i="19"/>
  <c r="AH109" i="19" s="1"/>
  <c r="AH115" i="19" s="1"/>
  <c r="AH121" i="19" s="1"/>
  <c r="AH164" i="19"/>
  <c r="AH166" i="19" s="1"/>
  <c r="AH165" i="19" s="1"/>
  <c r="AH137" i="19"/>
  <c r="AH143" i="19" s="1"/>
  <c r="AH149" i="19" s="1"/>
  <c r="AH155" i="19" s="1"/>
  <c r="R67" i="27"/>
  <c r="R232" i="27"/>
  <c r="R199" i="27"/>
  <c r="R166" i="27"/>
  <c r="R133" i="27"/>
  <c r="R100" i="27"/>
  <c r="R34" i="27"/>
  <c r="R163" i="20"/>
  <c r="I20" i="26"/>
  <c r="I26" i="26" s="1"/>
  <c r="L102" i="32"/>
  <c r="L103" i="32" s="1"/>
  <c r="K27" i="34" s="1"/>
  <c r="K41" i="34" s="1"/>
  <c r="L112" i="32"/>
  <c r="K26" i="34" s="1"/>
  <c r="K40" i="34" s="1"/>
  <c r="I148" i="19"/>
  <c r="I154" i="19" s="1"/>
  <c r="AM80" i="52"/>
  <c r="AP108" i="32"/>
  <c r="AM52" i="19"/>
  <c r="AP80" i="32"/>
  <c r="AP117" i="32"/>
  <c r="AP127" i="32"/>
  <c r="AP136" i="32"/>
  <c r="AP89" i="32"/>
  <c r="W143" i="11"/>
  <c r="O186" i="26"/>
  <c r="O192" i="26" s="1"/>
  <c r="O79" i="19"/>
  <c r="O85" i="19" s="1"/>
  <c r="O215" i="26"/>
  <c r="O221" i="26" s="1"/>
  <c r="J100" i="19"/>
  <c r="J106" i="19" s="1"/>
  <c r="J112" i="19" s="1"/>
  <c r="J118" i="19" s="1"/>
  <c r="J72" i="26"/>
  <c r="J78" i="26" s="1"/>
  <c r="J84" i="26" s="1"/>
  <c r="J90" i="26" s="1"/>
  <c r="Z29" i="19"/>
  <c r="Z36" i="19" s="1"/>
  <c r="Z44" i="19" s="1"/>
  <c r="Z139" i="19"/>
  <c r="Z145" i="19" s="1"/>
  <c r="Z151" i="19" s="1"/>
  <c r="Z157" i="19" s="1"/>
  <c r="AL77" i="33"/>
  <c r="AL15" i="33" s="1"/>
  <c r="AL33" i="33" s="1"/>
  <c r="AL51" i="33" s="1"/>
  <c r="AN132" i="11"/>
  <c r="E242" i="53"/>
  <c r="E341" i="53"/>
  <c r="E376" i="53" s="1"/>
  <c r="AK227" i="25"/>
  <c r="AK194" i="25"/>
  <c r="AK161" i="25"/>
  <c r="AK62" i="25"/>
  <c r="AK128" i="25"/>
  <c r="AK95" i="25"/>
  <c r="AK29" i="25"/>
  <c r="AK158" i="18"/>
  <c r="G64" i="19"/>
  <c r="G70" i="19" s="1"/>
  <c r="G76" i="19" s="1"/>
  <c r="G82" i="19" s="1"/>
  <c r="AC146" i="19"/>
  <c r="AC152" i="19" s="1"/>
  <c r="AM85" i="52"/>
  <c r="AM51" i="20"/>
  <c r="AP165" i="32"/>
  <c r="AP156" i="32"/>
  <c r="AP175" i="32"/>
  <c r="AP147" i="32"/>
  <c r="AP184" i="32"/>
  <c r="AP194" i="32"/>
  <c r="AP203" i="32"/>
  <c r="G112" i="32"/>
  <c r="E26" i="34" s="1"/>
  <c r="E40" i="34" s="1"/>
  <c r="G102" i="32"/>
  <c r="G103" i="32" s="1"/>
  <c r="E27" i="34" s="1"/>
  <c r="E41" i="34" s="1"/>
  <c r="AA64" i="19"/>
  <c r="AA70" i="19" s="1"/>
  <c r="AA76" i="19" s="1"/>
  <c r="AA82" i="19" s="1"/>
  <c r="L216" i="26"/>
  <c r="L222" i="26" s="1"/>
  <c r="I117" i="26"/>
  <c r="I123" i="26" s="1"/>
  <c r="I86" i="26"/>
  <c r="I92" i="26" s="1"/>
  <c r="J149" i="19"/>
  <c r="J155" i="19" s="1"/>
  <c r="J119" i="26"/>
  <c r="J125" i="26" s="1"/>
  <c r="J150" i="19"/>
  <c r="J156" i="19" s="1"/>
  <c r="Z170" i="26"/>
  <c r="Z176" i="26" s="1"/>
  <c r="Z41" i="26"/>
  <c r="Z47" i="26" s="1"/>
  <c r="Z53" i="26" s="1"/>
  <c r="Z59" i="26" s="1"/>
  <c r="AN138" i="11"/>
  <c r="AL83" i="33"/>
  <c r="AL21" i="33" s="1"/>
  <c r="AL39" i="33" s="1"/>
  <c r="AL57" i="33" s="1"/>
  <c r="V99" i="25"/>
  <c r="V198" i="25"/>
  <c r="V33" i="25"/>
  <c r="V231" i="25"/>
  <c r="V165" i="25"/>
  <c r="V132" i="25"/>
  <c r="V66" i="25"/>
  <c r="V126" i="18"/>
  <c r="AD91" i="19"/>
  <c r="G65" i="19"/>
  <c r="G71" i="19" s="1"/>
  <c r="G77" i="19" s="1"/>
  <c r="G83" i="19" s="1"/>
  <c r="X124" i="18"/>
  <c r="P75" i="33"/>
  <c r="P13" i="33" s="1"/>
  <c r="P31" i="33" s="1"/>
  <c r="P49" i="33" s="1"/>
  <c r="AM130" i="11"/>
  <c r="AE31" i="27"/>
  <c r="AE229" i="27"/>
  <c r="AE196" i="27"/>
  <c r="AE163" i="27"/>
  <c r="AE130" i="27"/>
  <c r="AE97" i="27"/>
  <c r="AE64" i="27"/>
  <c r="AA174" i="26"/>
  <c r="AA180" i="26" s="1"/>
  <c r="AA186" i="26" s="1"/>
  <c r="AA192" i="26" s="1"/>
  <c r="L76" i="26"/>
  <c r="L82" i="26" s="1"/>
  <c r="L88" i="26" s="1"/>
  <c r="L94" i="26" s="1"/>
  <c r="O204" i="32"/>
  <c r="O185" i="32"/>
  <c r="O195" i="32"/>
  <c r="O176" i="32"/>
  <c r="L52" i="20"/>
  <c r="L162" i="20" s="1"/>
  <c r="O166" i="32"/>
  <c r="L86" i="52"/>
  <c r="O148" i="32"/>
  <c r="O157" i="32"/>
  <c r="H229" i="25"/>
  <c r="H163" i="25"/>
  <c r="H97" i="25"/>
  <c r="H196" i="25"/>
  <c r="H64" i="25"/>
  <c r="H31" i="25"/>
  <c r="H130" i="25"/>
  <c r="H51" i="52"/>
  <c r="H5" i="52"/>
  <c r="AG97" i="27"/>
  <c r="AG64" i="27"/>
  <c r="AG31" i="27"/>
  <c r="AG196" i="27"/>
  <c r="AG163" i="27"/>
  <c r="AG229" i="27"/>
  <c r="AG130" i="27"/>
  <c r="AF77" i="52"/>
  <c r="AI114" i="32"/>
  <c r="AI95" i="32"/>
  <c r="AI86" i="32"/>
  <c r="AI105" i="32"/>
  <c r="AI124" i="32"/>
  <c r="AI133" i="32"/>
  <c r="AF49" i="19"/>
  <c r="M160" i="32"/>
  <c r="J92" i="20"/>
  <c r="J94" i="20" s="1"/>
  <c r="AL231" i="25"/>
  <c r="AL165" i="25"/>
  <c r="AL99" i="25"/>
  <c r="AL198" i="25"/>
  <c r="AL132" i="25"/>
  <c r="AL66" i="25"/>
  <c r="AL33" i="25"/>
  <c r="V89" i="18"/>
  <c r="AM84" i="26"/>
  <c r="AM90" i="26" s="1"/>
  <c r="Q227" i="27"/>
  <c r="Q62" i="27"/>
  <c r="Q29" i="27"/>
  <c r="Q194" i="27"/>
  <c r="Q161" i="27"/>
  <c r="Q95" i="27"/>
  <c r="Q128" i="27"/>
  <c r="Q158" i="20"/>
  <c r="L82" i="52"/>
  <c r="O144" i="32"/>
  <c r="O162" i="32"/>
  <c r="L48" i="20"/>
  <c r="O153" i="32"/>
  <c r="O191" i="32"/>
  <c r="O172" i="32"/>
  <c r="O200" i="32"/>
  <c r="L47" i="20"/>
  <c r="L54" i="20" s="1"/>
  <c r="O181" i="32"/>
  <c r="L93" i="20"/>
  <c r="L129" i="20"/>
  <c r="W125" i="19"/>
  <c r="E9" i="36"/>
  <c r="E36" i="36"/>
  <c r="E64" i="36" s="1"/>
  <c r="E92" i="36" s="1"/>
  <c r="E120" i="36" s="1"/>
  <c r="S126" i="18"/>
  <c r="U75" i="19"/>
  <c r="U81" i="19" s="1"/>
  <c r="AC31" i="19"/>
  <c r="AC38" i="19" s="1"/>
  <c r="AC140" i="26"/>
  <c r="AC146" i="26" s="1"/>
  <c r="AC152" i="26" s="1"/>
  <c r="AC158" i="26" s="1"/>
  <c r="AC8" i="26"/>
  <c r="AC14" i="26" s="1"/>
  <c r="AM141" i="11"/>
  <c r="AG5" i="26"/>
  <c r="AG11" i="26" s="1"/>
  <c r="AG17" i="26" s="1"/>
  <c r="AG23" i="26" s="1"/>
  <c r="AG75" i="26"/>
  <c r="AG81" i="26" s="1"/>
  <c r="AG87" i="26" s="1"/>
  <c r="AG93" i="26" s="1"/>
  <c r="AG175" i="26"/>
  <c r="AG181" i="26" s="1"/>
  <c r="AG187" i="26" s="1"/>
  <c r="AG193" i="26" s="1"/>
  <c r="E88" i="27"/>
  <c r="E94" i="27" s="1"/>
  <c r="E26" i="20"/>
  <c r="E33" i="20" s="1"/>
  <c r="E41" i="20" s="1"/>
  <c r="E64" i="20"/>
  <c r="E70" i="20" s="1"/>
  <c r="E76" i="20" s="1"/>
  <c r="E82" i="20" s="1"/>
  <c r="AE83" i="52"/>
  <c r="AE49" i="20"/>
  <c r="AH201" i="32"/>
  <c r="AH192" i="32"/>
  <c r="AH173" i="32"/>
  <c r="AH154" i="32"/>
  <c r="AH182" i="32"/>
  <c r="AH145" i="32"/>
  <c r="AH163" i="32"/>
  <c r="AD113" i="20"/>
  <c r="AD119" i="20" s="1"/>
  <c r="AG160" i="20"/>
  <c r="D161" i="25"/>
  <c r="D194" i="25"/>
  <c r="D95" i="25"/>
  <c r="D227" i="25"/>
  <c r="D62" i="25"/>
  <c r="D29" i="25"/>
  <c r="D128" i="25"/>
  <c r="D6" i="26"/>
  <c r="D12" i="26" s="1"/>
  <c r="D101" i="19"/>
  <c r="D107" i="19" s="1"/>
  <c r="D9" i="26"/>
  <c r="D15" i="26" s="1"/>
  <c r="D21" i="26" s="1"/>
  <c r="D27" i="26" s="1"/>
  <c r="T127" i="20"/>
  <c r="AE160" i="32"/>
  <c r="AB92" i="20"/>
  <c r="AB94" i="20" s="1"/>
  <c r="U20" i="26"/>
  <c r="U26" i="26" s="1"/>
  <c r="K81" i="32"/>
  <c r="O175" i="32"/>
  <c r="AF55" i="26"/>
  <c r="AF61" i="26" s="1"/>
  <c r="AD52" i="27"/>
  <c r="AD58" i="27" s="1"/>
  <c r="AP131" i="32"/>
  <c r="AJ28" i="34" s="1"/>
  <c r="AJ42" i="34" s="1"/>
  <c r="AP121" i="32"/>
  <c r="AP122" i="32" s="1"/>
  <c r="AJ29" i="34" s="1"/>
  <c r="AJ43" i="34" s="1"/>
  <c r="AA170" i="26"/>
  <c r="AA176" i="26" s="1"/>
  <c r="AA182" i="26" s="1"/>
  <c r="AA188" i="26" s="1"/>
  <c r="AA38" i="26"/>
  <c r="AA44" i="26" s="1"/>
  <c r="AA50" i="26" s="1"/>
  <c r="AA56" i="26" s="1"/>
  <c r="AA41" i="26"/>
  <c r="AA47" i="26" s="1"/>
  <c r="AA53" i="26" s="1"/>
  <c r="AA59" i="26" s="1"/>
  <c r="G194" i="27"/>
  <c r="G161" i="27"/>
  <c r="G128" i="27"/>
  <c r="G62" i="27"/>
  <c r="G227" i="27"/>
  <c r="G95" i="27"/>
  <c r="G29" i="27"/>
  <c r="G122" i="20"/>
  <c r="G158" i="20"/>
  <c r="U54" i="26"/>
  <c r="U60" i="26" s="1"/>
  <c r="AC5" i="26"/>
  <c r="AC11" i="26" s="1"/>
  <c r="AC17" i="26" s="1"/>
  <c r="AC23" i="26" s="1"/>
  <c r="AC135" i="19"/>
  <c r="AC141" i="19" s="1"/>
  <c r="AC106" i="26"/>
  <c r="AC112" i="26" s="1"/>
  <c r="AC118" i="26" s="1"/>
  <c r="AC124" i="26" s="1"/>
  <c r="U55" i="26"/>
  <c r="U61" i="26" s="1"/>
  <c r="AJ131" i="32"/>
  <c r="AM28" i="34" s="1"/>
  <c r="AM42" i="34" s="1"/>
  <c r="AJ121" i="32"/>
  <c r="AJ122" i="32" s="1"/>
  <c r="AM29" i="34" s="1"/>
  <c r="AM43" i="34" s="1"/>
  <c r="AI165" i="25"/>
  <c r="AI132" i="25"/>
  <c r="AI99" i="25"/>
  <c r="AI33" i="25"/>
  <c r="AI66" i="25"/>
  <c r="AI231" i="25"/>
  <c r="AI198" i="25"/>
  <c r="AI162" i="18"/>
  <c r="AI90" i="18"/>
  <c r="AI126" i="18"/>
  <c r="AG64" i="19"/>
  <c r="AG70" i="19" s="1"/>
  <c r="AG76" i="19" s="1"/>
  <c r="AG82" i="19" s="1"/>
  <c r="AG107" i="26"/>
  <c r="AG113" i="26" s="1"/>
  <c r="AG119" i="26" s="1"/>
  <c r="AG125" i="26" s="1"/>
  <c r="AG99" i="19"/>
  <c r="AG105" i="19" s="1"/>
  <c r="AG111" i="19" s="1"/>
  <c r="AG117" i="19" s="1"/>
  <c r="E100" i="20"/>
  <c r="E106" i="20" s="1"/>
  <c r="E112" i="20" s="1"/>
  <c r="E118" i="20" s="1"/>
  <c r="E138" i="27"/>
  <c r="E144" i="27" s="1"/>
  <c r="E150" i="27" s="1"/>
  <c r="E156" i="27" s="1"/>
  <c r="E66" i="20"/>
  <c r="E72" i="20" s="1"/>
  <c r="E78" i="20" s="1"/>
  <c r="E84" i="20" s="1"/>
  <c r="AD121" i="27"/>
  <c r="AD127" i="27" s="1"/>
  <c r="AD46" i="20"/>
  <c r="E264" i="53"/>
  <c r="E359" i="53"/>
  <c r="E394" i="53" s="1"/>
  <c r="D140" i="26"/>
  <c r="D146" i="26" s="1"/>
  <c r="D208" i="26"/>
  <c r="D214" i="26" s="1"/>
  <c r="D164" i="19"/>
  <c r="D166" i="19" s="1"/>
  <c r="AB12" i="20"/>
  <c r="AB13" i="20" s="1"/>
  <c r="AE198" i="32" s="1"/>
  <c r="AB6" i="20"/>
  <c r="AB15" i="20"/>
  <c r="AB128" i="20" s="1"/>
  <c r="AB130" i="20" s="1"/>
  <c r="AB18" i="20"/>
  <c r="O147" i="32"/>
  <c r="AF152" i="26"/>
  <c r="AF158" i="26" s="1"/>
  <c r="V92" i="19"/>
  <c r="V94" i="19" s="1"/>
  <c r="Y92" i="32"/>
  <c r="AA71" i="26"/>
  <c r="AA77" i="26" s="1"/>
  <c r="AA83" i="26" s="1"/>
  <c r="AA89" i="26" s="1"/>
  <c r="AA172" i="26"/>
  <c r="AA178" i="26" s="1"/>
  <c r="AA184" i="26" s="1"/>
  <c r="AA190" i="26" s="1"/>
  <c r="AA107" i="26"/>
  <c r="AA113" i="26" s="1"/>
  <c r="AA119" i="26" s="1"/>
  <c r="AA125" i="26" s="1"/>
  <c r="AC151" i="20"/>
  <c r="AC157" i="20" s="1"/>
  <c r="AC86" i="27"/>
  <c r="AC92" i="27" s="1"/>
  <c r="AC113" i="20"/>
  <c r="AC119" i="20" s="1"/>
  <c r="AC125" i="20" s="1"/>
  <c r="L98" i="19"/>
  <c r="L104" i="19" s="1"/>
  <c r="L110" i="19" s="1"/>
  <c r="L116" i="19" s="1"/>
  <c r="L175" i="26"/>
  <c r="L181" i="26" s="1"/>
  <c r="L187" i="26" s="1"/>
  <c r="L193" i="26" s="1"/>
  <c r="L10" i="26"/>
  <c r="L16" i="26" s="1"/>
  <c r="L22" i="26" s="1"/>
  <c r="L28" i="26" s="1"/>
  <c r="AE164" i="19"/>
  <c r="AE166" i="19" s="1"/>
  <c r="AJ7" i="19"/>
  <c r="AJ8" i="19"/>
  <c r="AJ5" i="19"/>
  <c r="AD45" i="20"/>
  <c r="AG51" i="26"/>
  <c r="AG57" i="26" s="1"/>
  <c r="AG44" i="19"/>
  <c r="AG186" i="26"/>
  <c r="AG192" i="26" s="1"/>
  <c r="AD116" i="27"/>
  <c r="AD85" i="27"/>
  <c r="AD91" i="27" s="1"/>
  <c r="E265" i="53"/>
  <c r="E360" i="53"/>
  <c r="E395" i="53" s="1"/>
  <c r="D42" i="26"/>
  <c r="D48" i="26" s="1"/>
  <c r="D28" i="19"/>
  <c r="D35" i="19" s="1"/>
  <c r="D43" i="19" s="1"/>
  <c r="D99" i="19"/>
  <c r="D105" i="19" s="1"/>
  <c r="U117" i="26"/>
  <c r="U123" i="26" s="1"/>
  <c r="AD50" i="27"/>
  <c r="V6" i="19"/>
  <c r="V18" i="19"/>
  <c r="V15" i="19"/>
  <c r="V12" i="19"/>
  <c r="U149" i="19"/>
  <c r="U155" i="19" s="1"/>
  <c r="AC90" i="20"/>
  <c r="U218" i="26"/>
  <c r="U224" i="26" s="1"/>
  <c r="D99" i="25"/>
  <c r="D231" i="25"/>
  <c r="D132" i="25"/>
  <c r="D33" i="25"/>
  <c r="D198" i="25"/>
  <c r="D66" i="25"/>
  <c r="D165" i="25"/>
  <c r="U77" i="52"/>
  <c r="X133" i="32"/>
  <c r="U49" i="19"/>
  <c r="X77" i="32"/>
  <c r="X95" i="32"/>
  <c r="AG129" i="27"/>
  <c r="AG228" i="27"/>
  <c r="AG162" i="27"/>
  <c r="AG195" i="27"/>
  <c r="AG96" i="27"/>
  <c r="AG63" i="27"/>
  <c r="AG30" i="27"/>
  <c r="W13" i="20"/>
  <c r="Z198" i="32" s="1"/>
  <c r="W23" i="20"/>
  <c r="AE125" i="20"/>
  <c r="W204" i="32"/>
  <c r="T86" i="52"/>
  <c r="W166" i="32"/>
  <c r="W148" i="32"/>
  <c r="W185" i="32"/>
  <c r="W157" i="32"/>
  <c r="W195" i="32"/>
  <c r="W176" i="32"/>
  <c r="T52" i="20"/>
  <c r="V90" i="18"/>
  <c r="N230" i="25"/>
  <c r="N164" i="25"/>
  <c r="N197" i="25"/>
  <c r="N32" i="25"/>
  <c r="N65" i="25"/>
  <c r="N131" i="25"/>
  <c r="N98" i="25"/>
  <c r="N6" i="52"/>
  <c r="N125" i="18"/>
  <c r="N89" i="18"/>
  <c r="N161" i="18"/>
  <c r="AC203" i="26"/>
  <c r="AC209" i="26" s="1"/>
  <c r="AC175" i="26"/>
  <c r="AC181" i="26" s="1"/>
  <c r="AC187" i="26" s="1"/>
  <c r="AC193" i="26" s="1"/>
  <c r="AC173" i="26"/>
  <c r="AC179" i="26" s="1"/>
  <c r="W163" i="19"/>
  <c r="AF90" i="19"/>
  <c r="D162" i="25"/>
  <c r="D63" i="25"/>
  <c r="D129" i="25"/>
  <c r="D228" i="25"/>
  <c r="D195" i="25"/>
  <c r="D30" i="25"/>
  <c r="D96" i="25"/>
  <c r="AD147" i="20"/>
  <c r="AD153" i="20" s="1"/>
  <c r="AD159" i="20" s="1"/>
  <c r="L165" i="20"/>
  <c r="G131" i="32"/>
  <c r="E28" i="34" s="1"/>
  <c r="E42" i="34" s="1"/>
  <c r="G121" i="32"/>
  <c r="G122" i="32" s="1"/>
  <c r="E29" i="34" s="1"/>
  <c r="E43" i="34" s="1"/>
  <c r="AG100" i="19"/>
  <c r="AG106" i="19" s="1"/>
  <c r="AG112" i="19" s="1"/>
  <c r="AG118" i="19" s="1"/>
  <c r="AG135" i="19"/>
  <c r="AG141" i="19" s="1"/>
  <c r="AG147" i="19" s="1"/>
  <c r="AG153" i="19" s="1"/>
  <c r="AG31" i="19"/>
  <c r="AG38" i="19" s="1"/>
  <c r="AG46" i="19" s="1"/>
  <c r="E171" i="27"/>
  <c r="E177" i="27" s="1"/>
  <c r="E183" i="27" s="1"/>
  <c r="E189" i="27" s="1"/>
  <c r="E28" i="20"/>
  <c r="E35" i="20" s="1"/>
  <c r="E43" i="20" s="1"/>
  <c r="E139" i="20"/>
  <c r="E145" i="20" s="1"/>
  <c r="E151" i="20" s="1"/>
  <c r="E157" i="20" s="1"/>
  <c r="N159" i="19"/>
  <c r="AD220" i="27"/>
  <c r="AD226" i="27" s="1"/>
  <c r="D41" i="26"/>
  <c r="D47" i="26" s="1"/>
  <c r="D38" i="26"/>
  <c r="D44" i="26" s="1"/>
  <c r="D50" i="26" s="1"/>
  <c r="D56" i="26" s="1"/>
  <c r="D203" i="26"/>
  <c r="D209" i="26" s="1"/>
  <c r="D215" i="26" s="1"/>
  <c r="D221" i="26" s="1"/>
  <c r="AK126" i="20"/>
  <c r="AD119" i="27"/>
  <c r="AD125" i="27" s="1"/>
  <c r="T74" i="32"/>
  <c r="T75" i="32" s="1"/>
  <c r="S23" i="34" s="1"/>
  <c r="S37" i="34" s="1"/>
  <c r="T93" i="32"/>
  <c r="S25" i="34" s="1"/>
  <c r="S39" i="34" s="1"/>
  <c r="T83" i="32"/>
  <c r="T84" i="32" s="1"/>
  <c r="S24" i="34" s="1"/>
  <c r="S38" i="34" s="1"/>
  <c r="AM185" i="26"/>
  <c r="AM191" i="26" s="1"/>
  <c r="AA67" i="19"/>
  <c r="AA73" i="19" s="1"/>
  <c r="AA79" i="19" s="1"/>
  <c r="AA85" i="19" s="1"/>
  <c r="AA30" i="19"/>
  <c r="AA37" i="19" s="1"/>
  <c r="AA45" i="19" s="1"/>
  <c r="AA205" i="26"/>
  <c r="AA211" i="26" s="1"/>
  <c r="AA217" i="26" s="1"/>
  <c r="AA223" i="26" s="1"/>
  <c r="AC85" i="52"/>
  <c r="AC51" i="20"/>
  <c r="AF194" i="32"/>
  <c r="AF156" i="32"/>
  <c r="AF165" i="32"/>
  <c r="AC53" i="27"/>
  <c r="AC59" i="27" s="1"/>
  <c r="AC215" i="27"/>
  <c r="AC221" i="27" s="1"/>
  <c r="AD44" i="20"/>
  <c r="AD86" i="27"/>
  <c r="AD92" i="27" s="1"/>
  <c r="L9" i="26"/>
  <c r="L15" i="26" s="1"/>
  <c r="L21" i="26" s="1"/>
  <c r="L27" i="26" s="1"/>
  <c r="L139" i="19"/>
  <c r="L145" i="19" s="1"/>
  <c r="L151" i="19" s="1"/>
  <c r="L157" i="19" s="1"/>
  <c r="L100" i="19"/>
  <c r="L106" i="19" s="1"/>
  <c r="L112" i="19" s="1"/>
  <c r="L118" i="19" s="1"/>
  <c r="AC230" i="25"/>
  <c r="AC197" i="25"/>
  <c r="AC131" i="25"/>
  <c r="AC98" i="25"/>
  <c r="AC32" i="25"/>
  <c r="AC65" i="25"/>
  <c r="AC164" i="25"/>
  <c r="P77" i="33"/>
  <c r="P15" i="33" s="1"/>
  <c r="P33" i="33" s="1"/>
  <c r="P51" i="33" s="1"/>
  <c r="AM132" i="11"/>
  <c r="AD160" i="20"/>
  <c r="L172" i="26"/>
  <c r="L178" i="26" s="1"/>
  <c r="L184" i="26" s="1"/>
  <c r="L190" i="26" s="1"/>
  <c r="L142" i="26"/>
  <c r="L148" i="26" s="1"/>
  <c r="L154" i="26" s="1"/>
  <c r="L160" i="26" s="1"/>
  <c r="O102" i="32"/>
  <c r="O103" i="32" s="1"/>
  <c r="N27" i="34" s="1"/>
  <c r="N41" i="34" s="1"/>
  <c r="O112" i="32"/>
  <c r="N26" i="34" s="1"/>
  <c r="N40" i="34" s="1"/>
  <c r="W66" i="26"/>
  <c r="W132" i="26"/>
  <c r="W165" i="26"/>
  <c r="W231" i="26"/>
  <c r="W33" i="26"/>
  <c r="W99" i="26"/>
  <c r="W198" i="26"/>
  <c r="AH112" i="32"/>
  <c r="AK26" i="34" s="1"/>
  <c r="AK40" i="34" s="1"/>
  <c r="AH102" i="32"/>
  <c r="AH103" i="32" s="1"/>
  <c r="AK27" i="34" s="1"/>
  <c r="AK41" i="34" s="1"/>
  <c r="AM129" i="11"/>
  <c r="P74" i="33"/>
  <c r="P12" i="33" s="1"/>
  <c r="P30" i="33" s="1"/>
  <c r="P48" i="33" s="1"/>
  <c r="X195" i="25"/>
  <c r="X129" i="25"/>
  <c r="X63" i="25"/>
  <c r="X96" i="25"/>
  <c r="X162" i="25"/>
  <c r="X228" i="25"/>
  <c r="X30" i="25"/>
  <c r="AM112" i="19"/>
  <c r="AM118" i="19" s="1"/>
  <c r="AG85" i="26"/>
  <c r="AG91" i="26" s="1"/>
  <c r="AG54" i="26"/>
  <c r="AG60" i="26" s="1"/>
  <c r="AG117" i="26"/>
  <c r="AG123" i="26" s="1"/>
  <c r="H167" i="32"/>
  <c r="E87" i="52"/>
  <c r="H158" i="32"/>
  <c r="H177" i="32"/>
  <c r="H149" i="32"/>
  <c r="H196" i="32"/>
  <c r="E53" i="20"/>
  <c r="E91" i="20" s="1"/>
  <c r="AM46" i="19"/>
  <c r="H90" i="19"/>
  <c r="D75" i="26"/>
  <c r="D81" i="26" s="1"/>
  <c r="D30" i="19"/>
  <c r="D37" i="19" s="1"/>
  <c r="D63" i="19"/>
  <c r="D69" i="19" s="1"/>
  <c r="AD154" i="27"/>
  <c r="AD160" i="27" s="1"/>
  <c r="U150" i="26"/>
  <c r="U156" i="26" s="1"/>
  <c r="AF50" i="26"/>
  <c r="AF56" i="26" s="1"/>
  <c r="AC118" i="27"/>
  <c r="AC124" i="27" s="1"/>
  <c r="AF86" i="26"/>
  <c r="AF92" i="26" s="1"/>
  <c r="L170" i="26"/>
  <c r="L176" i="26" s="1"/>
  <c r="L182" i="26" s="1"/>
  <c r="L188" i="26" s="1"/>
  <c r="L139" i="26"/>
  <c r="L145" i="26" s="1"/>
  <c r="L151" i="26" s="1"/>
  <c r="L157" i="26" s="1"/>
  <c r="L135" i="19"/>
  <c r="L141" i="19" s="1"/>
  <c r="L147" i="19" s="1"/>
  <c r="L153" i="19" s="1"/>
  <c r="P68" i="33"/>
  <c r="P6" i="33" s="1"/>
  <c r="P24" i="33" s="1"/>
  <c r="P42" i="33" s="1"/>
  <c r="AM123" i="11"/>
  <c r="AJ6" i="11"/>
  <c r="AM6" i="11" s="1"/>
  <c r="D104" i="26"/>
  <c r="D110" i="26" s="1"/>
  <c r="D71" i="26"/>
  <c r="D77" i="26" s="1"/>
  <c r="D105" i="26"/>
  <c r="D111" i="26" s="1"/>
  <c r="O165" i="32"/>
  <c r="Q199" i="27"/>
  <c r="Q100" i="27"/>
  <c r="Q67" i="27"/>
  <c r="Q34" i="27"/>
  <c r="Q232" i="27"/>
  <c r="Q166" i="27"/>
  <c r="Q133" i="27"/>
  <c r="Q163" i="20"/>
  <c r="AC54" i="27"/>
  <c r="AC60" i="27" s="1"/>
  <c r="AA134" i="19"/>
  <c r="AA140" i="19" s="1"/>
  <c r="AA146" i="19" s="1"/>
  <c r="AA152" i="19" s="1"/>
  <c r="AA141" i="26"/>
  <c r="AA147" i="26" s="1"/>
  <c r="AA153" i="26" s="1"/>
  <c r="AA159" i="26" s="1"/>
  <c r="AA32" i="19"/>
  <c r="AA39" i="19" s="1"/>
  <c r="AA40" i="19" s="1"/>
  <c r="AC87" i="27"/>
  <c r="AC93" i="27" s="1"/>
  <c r="AC114" i="20"/>
  <c r="AC120" i="20" s="1"/>
  <c r="AC220" i="27"/>
  <c r="AC226" i="27" s="1"/>
  <c r="AH92" i="20"/>
  <c r="AH94" i="20" s="1"/>
  <c r="AK160" i="32"/>
  <c r="L137" i="26"/>
  <c r="L143" i="26" s="1"/>
  <c r="L149" i="26" s="1"/>
  <c r="L155" i="26" s="1"/>
  <c r="L29" i="19"/>
  <c r="L36" i="19" s="1"/>
  <c r="L44" i="19" s="1"/>
  <c r="L71" i="26"/>
  <c r="L77" i="26" s="1"/>
  <c r="L83" i="26" s="1"/>
  <c r="L89" i="26" s="1"/>
  <c r="P83" i="33"/>
  <c r="P21" i="33" s="1"/>
  <c r="P39" i="33" s="1"/>
  <c r="P57" i="33" s="1"/>
  <c r="AM138" i="11"/>
  <c r="AD185" i="27"/>
  <c r="AD191" i="27" s="1"/>
  <c r="AM86" i="26"/>
  <c r="AM92" i="26" s="1"/>
  <c r="AF131" i="32"/>
  <c r="AH28" i="34" s="1"/>
  <c r="AH42" i="34" s="1"/>
  <c r="AF121" i="32"/>
  <c r="AF122" i="32" s="1"/>
  <c r="AH29" i="34" s="1"/>
  <c r="AH43" i="34" s="1"/>
  <c r="L163" i="25"/>
  <c r="L130" i="25"/>
  <c r="L64" i="25"/>
  <c r="L196" i="25"/>
  <c r="L229" i="25"/>
  <c r="L97" i="25"/>
  <c r="L31" i="25"/>
  <c r="L124" i="18"/>
  <c r="AG146" i="19"/>
  <c r="AG152" i="19" s="1"/>
  <c r="AG219" i="26"/>
  <c r="AG225" i="26" s="1"/>
  <c r="AG55" i="26"/>
  <c r="AG61" i="26" s="1"/>
  <c r="AM42" i="19"/>
  <c r="AM149" i="19"/>
  <c r="AM155" i="19" s="1"/>
  <c r="AM161" i="19" s="1"/>
  <c r="Q86" i="20"/>
  <c r="T122" i="20"/>
  <c r="L129" i="25"/>
  <c r="L63" i="25"/>
  <c r="L228" i="25"/>
  <c r="L30" i="25"/>
  <c r="L195" i="25"/>
  <c r="L162" i="25"/>
  <c r="L96" i="25"/>
  <c r="D207" i="26"/>
  <c r="D213" i="26" s="1"/>
  <c r="D26" i="19"/>
  <c r="D33" i="19" s="1"/>
  <c r="D175" i="26"/>
  <c r="D181" i="26" s="1"/>
  <c r="AD52" i="19"/>
  <c r="AG98" i="32"/>
  <c r="AG108" i="32"/>
  <c r="AG127" i="32"/>
  <c r="AD80" i="52"/>
  <c r="AG136" i="32"/>
  <c r="AG80" i="32"/>
  <c r="AG89" i="32"/>
  <c r="AG117" i="32"/>
  <c r="U151" i="19"/>
  <c r="U157" i="19" s="1"/>
  <c r="U163" i="19" s="1"/>
  <c r="AA137" i="26"/>
  <c r="AA143" i="26" s="1"/>
  <c r="AA149" i="26" s="1"/>
  <c r="AA155" i="26" s="1"/>
  <c r="AA73" i="26"/>
  <c r="AA79" i="26" s="1"/>
  <c r="AA85" i="26" s="1"/>
  <c r="AA91" i="26" s="1"/>
  <c r="AA139" i="19"/>
  <c r="AA145" i="19" s="1"/>
  <c r="AA151" i="19" s="1"/>
  <c r="AA157" i="19" s="1"/>
  <c r="AC151" i="27"/>
  <c r="AC152" i="27"/>
  <c r="AC20" i="27"/>
  <c r="AC26" i="27" s="1"/>
  <c r="AF199" i="32"/>
  <c r="AH21" i="34" s="1"/>
  <c r="AH35" i="34" s="1"/>
  <c r="AF189" i="32"/>
  <c r="AF190" i="32" s="1"/>
  <c r="AH22" i="34" s="1"/>
  <c r="AH36" i="34" s="1"/>
  <c r="AH8" i="20"/>
  <c r="AH7" i="20"/>
  <c r="L5" i="26"/>
  <c r="L11" i="26" s="1"/>
  <c r="L17" i="26" s="1"/>
  <c r="L23" i="26" s="1"/>
  <c r="L64" i="19"/>
  <c r="L70" i="19" s="1"/>
  <c r="L76" i="19" s="1"/>
  <c r="L82" i="19" s="1"/>
  <c r="L203" i="26"/>
  <c r="L209" i="26" s="1"/>
  <c r="L215" i="26" s="1"/>
  <c r="L221" i="26" s="1"/>
  <c r="P71" i="33"/>
  <c r="P9" i="33" s="1"/>
  <c r="P27" i="33" s="1"/>
  <c r="P45" i="33" s="1"/>
  <c r="AM126" i="11"/>
  <c r="AL68" i="33"/>
  <c r="AL6" i="33" s="1"/>
  <c r="AL24" i="33" s="1"/>
  <c r="AL42" i="33" s="1"/>
  <c r="AJ28" i="11"/>
  <c r="AM28" i="11" s="1"/>
  <c r="AN123" i="11"/>
  <c r="AK92" i="19"/>
  <c r="AK94" i="19" s="1"/>
  <c r="AN92" i="32"/>
  <c r="AM107" i="11"/>
  <c r="AJ45" i="28"/>
  <c r="AJ20" i="52"/>
  <c r="AJ179" i="28"/>
  <c r="AJ178" i="28"/>
  <c r="AJ180" i="28"/>
  <c r="AJ175" i="28"/>
  <c r="AJ176" i="28"/>
  <c r="AJ181" i="28"/>
  <c r="AJ177" i="28"/>
  <c r="AJ174" i="28"/>
  <c r="AC42" i="26"/>
  <c r="AC48" i="26" s="1"/>
  <c r="AC75" i="26"/>
  <c r="AC81" i="26" s="1"/>
  <c r="AC87" i="26" s="1"/>
  <c r="AC93" i="26" s="1"/>
  <c r="AC137" i="19"/>
  <c r="AC143" i="19" s="1"/>
  <c r="AC149" i="19" s="1"/>
  <c r="AC155" i="19" s="1"/>
  <c r="T88" i="20"/>
  <c r="AK159" i="18"/>
  <c r="U41" i="19"/>
  <c r="H198" i="25"/>
  <c r="H165" i="25"/>
  <c r="H33" i="25"/>
  <c r="H231" i="25"/>
  <c r="H132" i="25"/>
  <c r="H99" i="25"/>
  <c r="H66" i="25"/>
  <c r="H7" i="52"/>
  <c r="H53" i="52"/>
  <c r="H162" i="18"/>
  <c r="AM151" i="19"/>
  <c r="AM157" i="19" s="1"/>
  <c r="AD153" i="27"/>
  <c r="AD159" i="27" s="1"/>
  <c r="AG50" i="26"/>
  <c r="AG56" i="26" s="1"/>
  <c r="AG76" i="26"/>
  <c r="AG82" i="26" s="1"/>
  <c r="AG88" i="26" s="1"/>
  <c r="AG94" i="26" s="1"/>
  <c r="E53" i="27"/>
  <c r="H180" i="32"/>
  <c r="G19" i="34" s="1"/>
  <c r="G33" i="34" s="1"/>
  <c r="H170" i="32"/>
  <c r="H171" i="32" s="1"/>
  <c r="G20" i="34" s="1"/>
  <c r="G34" i="34" s="1"/>
  <c r="E86" i="27"/>
  <c r="AM147" i="19"/>
  <c r="AM153" i="19" s="1"/>
  <c r="H77" i="52"/>
  <c r="K124" i="32"/>
  <c r="K95" i="32"/>
  <c r="K114" i="32"/>
  <c r="K86" i="32"/>
  <c r="K133" i="32"/>
  <c r="K77" i="32"/>
  <c r="H49" i="19"/>
  <c r="K105" i="32"/>
  <c r="L126" i="20"/>
  <c r="AM63" i="27"/>
  <c r="AM30" i="27"/>
  <c r="AM129" i="27"/>
  <c r="AM96" i="27"/>
  <c r="AM228" i="27"/>
  <c r="AM195" i="27"/>
  <c r="AM162" i="27"/>
  <c r="K35" i="33"/>
  <c r="E38" i="33"/>
  <c r="D138" i="19"/>
  <c r="D144" i="19" s="1"/>
  <c r="D205" i="26"/>
  <c r="D211" i="26" s="1"/>
  <c r="D17" i="19"/>
  <c r="AG230" i="27"/>
  <c r="AG197" i="27"/>
  <c r="AG164" i="27"/>
  <c r="AG98" i="27"/>
  <c r="AG131" i="27"/>
  <c r="AG65" i="27"/>
  <c r="AG32" i="27"/>
  <c r="M144" i="11"/>
  <c r="AA173" i="26"/>
  <c r="AA179" i="26" s="1"/>
  <c r="AA185" i="26" s="1"/>
  <c r="AA191" i="26" s="1"/>
  <c r="AA109" i="26"/>
  <c r="AA115" i="26" s="1"/>
  <c r="AA121" i="26" s="1"/>
  <c r="AA127" i="26" s="1"/>
  <c r="AG93" i="20"/>
  <c r="AC84" i="52"/>
  <c r="AF174" i="32"/>
  <c r="AF193" i="32"/>
  <c r="AF202" i="32"/>
  <c r="AF146" i="32"/>
  <c r="AF155" i="32"/>
  <c r="AF164" i="32"/>
  <c r="AC50" i="20"/>
  <c r="AF76" i="19"/>
  <c r="AF82" i="19" s="1"/>
  <c r="AF88" i="19" s="1"/>
  <c r="AM135" i="11"/>
  <c r="P80" i="33"/>
  <c r="P18" i="33" s="1"/>
  <c r="P36" i="33" s="1"/>
  <c r="P54" i="33" s="1"/>
  <c r="AE82" i="52"/>
  <c r="AH191" i="32"/>
  <c r="AH200" i="32"/>
  <c r="AH144" i="32"/>
  <c r="AH153" i="32"/>
  <c r="AH162" i="32"/>
  <c r="AH181" i="32"/>
  <c r="AH172" i="32"/>
  <c r="AE48" i="20"/>
  <c r="AE47" i="20"/>
  <c r="AE54" i="20" s="1"/>
  <c r="AE93" i="20"/>
  <c r="AE129" i="20"/>
  <c r="AE165" i="20"/>
  <c r="AL74" i="33"/>
  <c r="AL12" i="33" s="1"/>
  <c r="AL30" i="33" s="1"/>
  <c r="AL48" i="33" s="1"/>
  <c r="AN129" i="11"/>
  <c r="R13" i="19"/>
  <c r="U130" i="32" s="1"/>
  <c r="R23" i="19"/>
  <c r="Q197" i="27"/>
  <c r="Q230" i="27"/>
  <c r="Q164" i="27"/>
  <c r="Q131" i="27"/>
  <c r="Q98" i="27"/>
  <c r="Q65" i="27"/>
  <c r="Q32" i="27"/>
  <c r="AM163" i="20"/>
  <c r="U186" i="26"/>
  <c r="U192" i="26" s="1"/>
  <c r="AJ95" i="25"/>
  <c r="AJ227" i="25"/>
  <c r="AJ194" i="25"/>
  <c r="AJ128" i="25"/>
  <c r="AJ161" i="25"/>
  <c r="AJ29" i="25"/>
  <c r="AJ62" i="25"/>
  <c r="P7" i="20"/>
  <c r="P8" i="20"/>
  <c r="AI23" i="19"/>
  <c r="AI13" i="19"/>
  <c r="AL130" i="32" s="1"/>
  <c r="AD216" i="27"/>
  <c r="AJ232" i="25"/>
  <c r="AJ166" i="25"/>
  <c r="AJ199" i="25"/>
  <c r="AJ133" i="25"/>
  <c r="AJ34" i="25"/>
  <c r="AJ100" i="25"/>
  <c r="AJ67" i="25"/>
  <c r="AC138" i="19"/>
  <c r="AC144" i="19" s="1"/>
  <c r="AC40" i="26"/>
  <c r="AC46" i="26" s="1"/>
  <c r="U119" i="26"/>
  <c r="U125" i="26" s="1"/>
  <c r="AG136" i="19"/>
  <c r="AG142" i="19" s="1"/>
  <c r="AG148" i="19" s="1"/>
  <c r="AG154" i="19" s="1"/>
  <c r="AG103" i="19"/>
  <c r="AG109" i="19" s="1"/>
  <c r="AG115" i="19" s="1"/>
  <c r="AG121" i="19" s="1"/>
  <c r="AG98" i="19"/>
  <c r="AG104" i="19" s="1"/>
  <c r="AG110" i="19" s="1"/>
  <c r="AG116" i="19" s="1"/>
  <c r="AM18" i="26"/>
  <c r="AM24" i="26" s="1"/>
  <c r="E206" i="27"/>
  <c r="E212" i="27" s="1"/>
  <c r="E218" i="27" s="1"/>
  <c r="E98" i="20"/>
  <c r="E104" i="20" s="1"/>
  <c r="E110" i="20" s="1"/>
  <c r="E116" i="20" s="1"/>
  <c r="E140" i="27"/>
  <c r="E146" i="27" s="1"/>
  <c r="E152" i="27" s="1"/>
  <c r="E158" i="27" s="1"/>
  <c r="AM154" i="26"/>
  <c r="AM160" i="26" s="1"/>
  <c r="AH204" i="32"/>
  <c r="AE52" i="20"/>
  <c r="AE86" i="52"/>
  <c r="AH195" i="32"/>
  <c r="AH185" i="32"/>
  <c r="AH176" i="32"/>
  <c r="AH157" i="32"/>
  <c r="AH166" i="32"/>
  <c r="AH148" i="32"/>
  <c r="Q63" i="27"/>
  <c r="Q228" i="27"/>
  <c r="Q195" i="27"/>
  <c r="Q162" i="27"/>
  <c r="Q129" i="27"/>
  <c r="Q96" i="27"/>
  <c r="Q30" i="27"/>
  <c r="Q123" i="20"/>
  <c r="N88" i="19"/>
  <c r="D8" i="26"/>
  <c r="D14" i="26" s="1"/>
  <c r="D43" i="26"/>
  <c r="D49" i="26" s="1"/>
  <c r="D107" i="26"/>
  <c r="D113" i="26" s="1"/>
  <c r="M64" i="25"/>
  <c r="M229" i="25"/>
  <c r="M130" i="25"/>
  <c r="M163" i="25"/>
  <c r="M97" i="25"/>
  <c r="M31" i="25"/>
  <c r="M196" i="25"/>
  <c r="M160" i="18"/>
  <c r="M124" i="18"/>
  <c r="U143" i="11"/>
  <c r="U144" i="11" s="1"/>
  <c r="AA99" i="19"/>
  <c r="AA105" i="19" s="1"/>
  <c r="AA111" i="19" s="1"/>
  <c r="AA117" i="19" s="1"/>
  <c r="AA62" i="19"/>
  <c r="AA68" i="19" s="1"/>
  <c r="AA74" i="19" s="1"/>
  <c r="AA80" i="19" s="1"/>
  <c r="AA6" i="26"/>
  <c r="AA12" i="26" s="1"/>
  <c r="AA18" i="26" s="1"/>
  <c r="AA24" i="26" s="1"/>
  <c r="AJ191" i="32"/>
  <c r="AC51" i="27"/>
  <c r="AC57" i="27" s="1"/>
  <c r="AC218" i="27"/>
  <c r="AC224" i="27" s="1"/>
  <c r="AC116" i="27"/>
  <c r="AC122" i="27" s="1"/>
  <c r="L174" i="26"/>
  <c r="L180" i="26" s="1"/>
  <c r="L186" i="26" s="1"/>
  <c r="L192" i="26" s="1"/>
  <c r="L140" i="26"/>
  <c r="L146" i="26" s="1"/>
  <c r="L152" i="26" s="1"/>
  <c r="L158" i="26" s="1"/>
  <c r="L73" i="26"/>
  <c r="L79" i="26" s="1"/>
  <c r="L85" i="26" s="1"/>
  <c r="L91" i="26" s="1"/>
  <c r="V131" i="32"/>
  <c r="U28" i="34" s="1"/>
  <c r="U42" i="34" s="1"/>
  <c r="V121" i="32"/>
  <c r="V122" i="32" s="1"/>
  <c r="U29" i="34" s="1"/>
  <c r="U43" i="34" s="1"/>
  <c r="N229" i="26"/>
  <c r="N130" i="26"/>
  <c r="N31" i="26"/>
  <c r="N97" i="26"/>
  <c r="N196" i="26"/>
  <c r="N163" i="26"/>
  <c r="N64" i="26"/>
  <c r="L198" i="25"/>
  <c r="L99" i="25"/>
  <c r="L66" i="25"/>
  <c r="L33" i="25"/>
  <c r="L132" i="25"/>
  <c r="L231" i="25"/>
  <c r="L165" i="25"/>
  <c r="U91" i="19"/>
  <c r="AN135" i="11"/>
  <c r="AL80" i="33"/>
  <c r="AL18" i="33" s="1"/>
  <c r="AL36" i="33" s="1"/>
  <c r="AL54" i="33" s="1"/>
  <c r="N5" i="52"/>
  <c r="R128" i="19"/>
  <c r="R130" i="19" s="1"/>
  <c r="R62" i="19"/>
  <c r="R68" i="19" s="1"/>
  <c r="U111" i="32"/>
  <c r="R206" i="26"/>
  <c r="R212" i="26" s="1"/>
  <c r="R107" i="26"/>
  <c r="R113" i="26" s="1"/>
  <c r="R136" i="19"/>
  <c r="R142" i="19" s="1"/>
  <c r="R74" i="26"/>
  <c r="R80" i="26" s="1"/>
  <c r="R72" i="26"/>
  <c r="R78" i="26" s="1"/>
  <c r="R138" i="19"/>
  <c r="R144" i="19" s="1"/>
  <c r="R139" i="19"/>
  <c r="R145" i="19" s="1"/>
  <c r="R32" i="19"/>
  <c r="R39" i="19" s="1"/>
  <c r="R40" i="19" s="1"/>
  <c r="R98" i="19"/>
  <c r="R104" i="19" s="1"/>
  <c r="R173" i="26"/>
  <c r="R179" i="26" s="1"/>
  <c r="R164" i="19"/>
  <c r="R166" i="19" s="1"/>
  <c r="R16" i="19"/>
  <c r="R65" i="19" s="1"/>
  <c r="R71" i="19" s="1"/>
  <c r="R8" i="26"/>
  <c r="R14" i="26" s="1"/>
  <c r="R71" i="26"/>
  <c r="R77" i="26" s="1"/>
  <c r="U187" i="26"/>
  <c r="AJ173" i="28"/>
  <c r="M131" i="32"/>
  <c r="L28" i="34" s="1"/>
  <c r="L42" i="34" s="1"/>
  <c r="M121" i="32"/>
  <c r="M122" i="32" s="1"/>
  <c r="L29" i="34" s="1"/>
  <c r="L43" i="34" s="1"/>
  <c r="P92" i="20"/>
  <c r="P94" i="20" s="1"/>
  <c r="S160" i="32"/>
  <c r="AI206" i="26"/>
  <c r="AI212" i="26" s="1"/>
  <c r="AI73" i="26"/>
  <c r="AI79" i="26" s="1"/>
  <c r="AI107" i="26"/>
  <c r="AI113" i="26" s="1"/>
  <c r="AI71" i="26"/>
  <c r="AI77" i="26" s="1"/>
  <c r="AI173" i="26"/>
  <c r="AI179" i="26" s="1"/>
  <c r="AI164" i="19"/>
  <c r="AI166" i="19" s="1"/>
  <c r="AI31" i="19"/>
  <c r="AI38" i="19" s="1"/>
  <c r="AI128" i="19"/>
  <c r="AI130" i="19" s="1"/>
  <c r="AI16" i="19"/>
  <c r="AI27" i="19" s="1"/>
  <c r="AI34" i="19" s="1"/>
  <c r="AL111" i="32"/>
  <c r="AI43" i="26"/>
  <c r="AI49" i="26" s="1"/>
  <c r="AI134" i="19"/>
  <c r="AI140" i="19" s="1"/>
  <c r="AI65" i="19"/>
  <c r="AI71" i="19" s="1"/>
  <c r="AI208" i="26"/>
  <c r="AI214" i="26" s="1"/>
  <c r="AI9" i="26"/>
  <c r="AI15" i="26" s="1"/>
  <c r="AI30" i="19"/>
  <c r="AI37" i="19" s="1"/>
  <c r="AI32" i="19"/>
  <c r="AI39" i="19" s="1"/>
  <c r="AI40" i="19" s="1"/>
  <c r="AI204" i="26"/>
  <c r="AI210" i="26" s="1"/>
  <c r="AN143" i="11"/>
  <c r="AC29" i="19"/>
  <c r="AC36" i="19" s="1"/>
  <c r="AC44" i="19" s="1"/>
  <c r="AC63" i="19"/>
  <c r="AC69" i="19" s="1"/>
  <c r="V127" i="18"/>
  <c r="U215" i="26"/>
  <c r="U221" i="26" s="1"/>
  <c r="U53" i="26"/>
  <c r="U59" i="26" s="1"/>
  <c r="H199" i="32"/>
  <c r="G21" i="34" s="1"/>
  <c r="G35" i="34" s="1"/>
  <c r="H189" i="32"/>
  <c r="H190" i="32" s="1"/>
  <c r="G22" i="34" s="1"/>
  <c r="G36" i="34" s="1"/>
  <c r="AG142" i="26"/>
  <c r="AG148" i="26" s="1"/>
  <c r="AG154" i="26" s="1"/>
  <c r="AG160" i="26" s="1"/>
  <c r="AG28" i="19"/>
  <c r="AG35" i="19" s="1"/>
  <c r="AG43" i="19" s="1"/>
  <c r="AG129" i="19"/>
  <c r="AM148" i="19"/>
  <c r="AM154" i="19" s="1"/>
  <c r="E208" i="27"/>
  <c r="E214" i="27" s="1"/>
  <c r="E220" i="27" s="1"/>
  <c r="E99" i="20"/>
  <c r="E105" i="20" s="1"/>
  <c r="E111" i="20" s="1"/>
  <c r="E117" i="20" s="1"/>
  <c r="E27" i="20"/>
  <c r="E34" i="20" s="1"/>
  <c r="E42" i="20" s="1"/>
  <c r="AK158" i="20"/>
  <c r="E27" i="36"/>
  <c r="E55" i="36" s="1"/>
  <c r="E83" i="36" s="1"/>
  <c r="E111" i="36" s="1"/>
  <c r="E139" i="36" s="1"/>
  <c r="E54" i="36"/>
  <c r="E82" i="36" s="1"/>
  <c r="E110" i="36" s="1"/>
  <c r="E138" i="36" s="1"/>
  <c r="AF46" i="19"/>
  <c r="AH131" i="32"/>
  <c r="AK28" i="34" s="1"/>
  <c r="AK42" i="34" s="1"/>
  <c r="AH121" i="32"/>
  <c r="AH122" i="32" s="1"/>
  <c r="AK29" i="34" s="1"/>
  <c r="AK43" i="34" s="1"/>
  <c r="D31" i="19"/>
  <c r="D38" i="19" s="1"/>
  <c r="D64" i="19"/>
  <c r="D70" i="19" s="1"/>
  <c r="D65" i="19"/>
  <c r="D71" i="19" s="1"/>
  <c r="X227" i="25"/>
  <c r="X128" i="25"/>
  <c r="X95" i="25"/>
  <c r="X194" i="25"/>
  <c r="X161" i="25"/>
  <c r="X29" i="25"/>
  <c r="X62" i="25"/>
  <c r="R129" i="27"/>
  <c r="R63" i="27"/>
  <c r="R30" i="27"/>
  <c r="R228" i="27"/>
  <c r="R195" i="27"/>
  <c r="R162" i="27"/>
  <c r="R96" i="27"/>
  <c r="R87" i="20"/>
  <c r="AA65" i="19"/>
  <c r="AA71" i="19" s="1"/>
  <c r="AA77" i="19" s="1"/>
  <c r="AA83" i="19" s="1"/>
  <c r="AA43" i="26"/>
  <c r="AA49" i="26" s="1"/>
  <c r="AA55" i="26" s="1"/>
  <c r="AA61" i="26" s="1"/>
  <c r="AA171" i="26"/>
  <c r="AA177" i="26" s="1"/>
  <c r="AA183" i="26" s="1"/>
  <c r="AA189" i="26" s="1"/>
  <c r="AC41" i="20"/>
  <c r="AC165" i="20" s="1"/>
  <c r="AC182" i="27"/>
  <c r="AC188" i="27" s="1"/>
  <c r="AC148" i="20"/>
  <c r="AC154" i="20" s="1"/>
  <c r="L42" i="26"/>
  <c r="L48" i="26" s="1"/>
  <c r="L54" i="26" s="1"/>
  <c r="L60" i="26" s="1"/>
  <c r="L74" i="26"/>
  <c r="L80" i="26" s="1"/>
  <c r="L86" i="26" s="1"/>
  <c r="L92" i="26" s="1"/>
  <c r="L7" i="26"/>
  <c r="L13" i="26" s="1"/>
  <c r="L19" i="26" s="1"/>
  <c r="L25" i="26" s="1"/>
  <c r="G86" i="20"/>
  <c r="I8" i="20"/>
  <c r="I7" i="20"/>
  <c r="I92" i="20"/>
  <c r="I94" i="20" s="1"/>
  <c r="L160" i="32"/>
  <c r="AJ228" i="25"/>
  <c r="AJ63" i="25"/>
  <c r="AJ30" i="25"/>
  <c r="AJ195" i="25"/>
  <c r="AJ162" i="25"/>
  <c r="AJ129" i="25"/>
  <c r="AJ96" i="25"/>
  <c r="AJ123" i="18"/>
  <c r="L100" i="25"/>
  <c r="L199" i="25"/>
  <c r="L34" i="25"/>
  <c r="L133" i="25"/>
  <c r="L232" i="25"/>
  <c r="L166" i="25"/>
  <c r="L67" i="25"/>
  <c r="I129" i="19"/>
  <c r="Q229" i="27"/>
  <c r="Q196" i="27"/>
  <c r="Q163" i="27"/>
  <c r="Q130" i="27"/>
  <c r="Q97" i="27"/>
  <c r="Q64" i="27"/>
  <c r="Q31" i="27"/>
  <c r="Q124" i="20"/>
  <c r="AN126" i="11"/>
  <c r="AL71" i="33"/>
  <c r="AL9" i="33" s="1"/>
  <c r="AL27" i="33" s="1"/>
  <c r="AL45" i="33" s="1"/>
  <c r="V163" i="18"/>
  <c r="AM51" i="26"/>
  <c r="AM57" i="26" s="1"/>
  <c r="W130" i="26"/>
  <c r="W31" i="26"/>
  <c r="W163" i="26"/>
  <c r="W196" i="26"/>
  <c r="W97" i="26"/>
  <c r="W64" i="26"/>
  <c r="W229" i="26"/>
  <c r="K8" i="20"/>
  <c r="K7" i="20"/>
  <c r="AC17" i="19"/>
  <c r="AC19" i="19" s="1"/>
  <c r="AC66" i="19"/>
  <c r="AC72" i="19" s="1"/>
  <c r="AC78" i="19" s="1"/>
  <c r="AC84" i="19" s="1"/>
  <c r="AC98" i="19"/>
  <c r="AC104" i="19" s="1"/>
  <c r="AC110" i="19" s="1"/>
  <c r="AC116" i="19" s="1"/>
  <c r="H89" i="19"/>
  <c r="K229" i="25"/>
  <c r="K196" i="25"/>
  <c r="K163" i="25"/>
  <c r="K130" i="25"/>
  <c r="K31" i="25"/>
  <c r="K64" i="25"/>
  <c r="K97" i="25"/>
  <c r="K88" i="18"/>
  <c r="AD163" i="19"/>
  <c r="O186" i="32"/>
  <c r="L53" i="20"/>
  <c r="O158" i="32"/>
  <c r="O177" i="32"/>
  <c r="O167" i="32"/>
  <c r="L87" i="52"/>
  <c r="O149" i="32"/>
  <c r="O205" i="32"/>
  <c r="O196" i="32"/>
  <c r="AF85" i="26"/>
  <c r="AF91" i="26" s="1"/>
  <c r="AE160" i="20"/>
  <c r="AG116" i="26"/>
  <c r="AG122" i="26" s="1"/>
  <c r="AG165" i="19"/>
  <c r="AG114" i="19"/>
  <c r="AG120" i="19" s="1"/>
  <c r="L88" i="18"/>
  <c r="L86" i="20"/>
  <c r="E185" i="27"/>
  <c r="E191" i="27" s="1"/>
  <c r="E75" i="20"/>
  <c r="E81" i="20" s="1"/>
  <c r="AF17" i="26"/>
  <c r="AF23" i="26" s="1"/>
  <c r="K232" i="25"/>
  <c r="K199" i="25"/>
  <c r="K166" i="25"/>
  <c r="K133" i="25"/>
  <c r="K100" i="25"/>
  <c r="K67" i="25"/>
  <c r="K34" i="25"/>
  <c r="K163" i="18"/>
  <c r="K91" i="18"/>
  <c r="D103" i="19"/>
  <c r="D109" i="19" s="1"/>
  <c r="D141" i="26"/>
  <c r="D147" i="26" s="1"/>
  <c r="AM17" i="26"/>
  <c r="AM23" i="26" s="1"/>
  <c r="U182" i="26"/>
  <c r="U188" i="26" s="1"/>
  <c r="U111" i="19"/>
  <c r="U117" i="19" s="1"/>
  <c r="AA42" i="26"/>
  <c r="AA48" i="26" s="1"/>
  <c r="AA54" i="26" s="1"/>
  <c r="AA60" i="26" s="1"/>
  <c r="AA5" i="26"/>
  <c r="AA11" i="26" s="1"/>
  <c r="AA17" i="26" s="1"/>
  <c r="AA23" i="26" s="1"/>
  <c r="AC21" i="27"/>
  <c r="AC42" i="20"/>
  <c r="AM19" i="26"/>
  <c r="AM25" i="26" s="1"/>
  <c r="D196" i="25"/>
  <c r="D31" i="25"/>
  <c r="D64" i="25"/>
  <c r="D163" i="25"/>
  <c r="D130" i="25"/>
  <c r="D229" i="25"/>
  <c r="D97" i="25"/>
  <c r="D124" i="18"/>
  <c r="N160" i="32"/>
  <c r="K92" i="20"/>
  <c r="K94" i="20" s="1"/>
  <c r="R144" i="11"/>
  <c r="M230" i="25"/>
  <c r="M197" i="25"/>
  <c r="M131" i="25"/>
  <c r="M98" i="25"/>
  <c r="M164" i="25"/>
  <c r="M32" i="25"/>
  <c r="M65" i="25"/>
  <c r="W142" i="11"/>
  <c r="E37" i="33"/>
  <c r="K34" i="33"/>
  <c r="AL74" i="32"/>
  <c r="AL75" i="32" s="1"/>
  <c r="D23" i="34" s="1"/>
  <c r="D37" i="34" s="1"/>
  <c r="AL83" i="32"/>
  <c r="AL84" i="32" s="1"/>
  <c r="D24" i="34" s="1"/>
  <c r="D38" i="34" s="1"/>
  <c r="AL93" i="32"/>
  <c r="D25" i="34" s="1"/>
  <c r="D39" i="34" s="1"/>
  <c r="AC39" i="26"/>
  <c r="AC45" i="26" s="1"/>
  <c r="AC51" i="26" s="1"/>
  <c r="AC57" i="26" s="1"/>
  <c r="AC6" i="26"/>
  <c r="AC12" i="26" s="1"/>
  <c r="AC138" i="26"/>
  <c r="AC144" i="26" s="1"/>
  <c r="AC150" i="26" s="1"/>
  <c r="AC156" i="26" s="1"/>
  <c r="H123" i="19"/>
  <c r="AF77" i="19"/>
  <c r="AF83" i="19" s="1"/>
  <c r="X123" i="18"/>
  <c r="AF187" i="26"/>
  <c r="AF193" i="26" s="1"/>
  <c r="AG8" i="26"/>
  <c r="AG14" i="26" s="1"/>
  <c r="AG20" i="26" s="1"/>
  <c r="AG26" i="26" s="1"/>
  <c r="AG172" i="26"/>
  <c r="AG178" i="26" s="1"/>
  <c r="AG184" i="26" s="1"/>
  <c r="AG190" i="26" s="1"/>
  <c r="AG10" i="26"/>
  <c r="AG16" i="26" s="1"/>
  <c r="AG22" i="26" s="1"/>
  <c r="AG28" i="26" s="1"/>
  <c r="AD18" i="27"/>
  <c r="E6" i="27"/>
  <c r="E12" i="27" s="1"/>
  <c r="E18" i="27" s="1"/>
  <c r="E24" i="27" s="1"/>
  <c r="E42" i="27"/>
  <c r="E48" i="27" s="1"/>
  <c r="E54" i="27" s="1"/>
  <c r="E60" i="27" s="1"/>
  <c r="E142" i="27"/>
  <c r="E148" i="27" s="1"/>
  <c r="E154" i="27" s="1"/>
  <c r="R64" i="27"/>
  <c r="R130" i="27"/>
  <c r="R97" i="27"/>
  <c r="R229" i="27"/>
  <c r="R196" i="27"/>
  <c r="R163" i="27"/>
  <c r="R31" i="27"/>
  <c r="R160" i="20"/>
  <c r="AF18" i="26"/>
  <c r="AM136" i="11"/>
  <c r="P81" i="33"/>
  <c r="P19" i="33" s="1"/>
  <c r="P37" i="33" s="1"/>
  <c r="P55" i="33" s="1"/>
  <c r="D74" i="26"/>
  <c r="D80" i="26" s="1"/>
  <c r="D172" i="26"/>
  <c r="D178" i="26" s="1"/>
  <c r="D184" i="26" s="1"/>
  <c r="D190" i="26" s="1"/>
  <c r="D102" i="19"/>
  <c r="D108" i="19" s="1"/>
  <c r="AM187" i="26"/>
  <c r="AM193" i="26" s="1"/>
  <c r="U51" i="26"/>
  <c r="U57" i="26" s="1"/>
  <c r="AA105" i="26"/>
  <c r="AA111" i="26" s="1"/>
  <c r="AA117" i="26" s="1"/>
  <c r="AA123" i="26" s="1"/>
  <c r="AA9" i="26"/>
  <c r="AA15" i="26" s="1"/>
  <c r="AA21" i="26" s="1"/>
  <c r="AA27" i="26" s="1"/>
  <c r="AA66" i="19"/>
  <c r="AA72" i="19" s="1"/>
  <c r="AA78" i="19" s="1"/>
  <c r="AA84" i="19" s="1"/>
  <c r="AG227" i="27"/>
  <c r="AG194" i="27"/>
  <c r="AG161" i="27"/>
  <c r="AG128" i="27"/>
  <c r="AG95" i="27"/>
  <c r="AG62" i="27"/>
  <c r="AG29" i="27"/>
  <c r="AC119" i="27"/>
  <c r="AC120" i="27"/>
  <c r="L62" i="19"/>
  <c r="L68" i="19" s="1"/>
  <c r="L74" i="19" s="1"/>
  <c r="L80" i="19" s="1"/>
  <c r="L27" i="19"/>
  <c r="L34" i="19" s="1"/>
  <c r="L42" i="19" s="1"/>
  <c r="L137" i="19"/>
  <c r="L143" i="19" s="1"/>
  <c r="L149" i="19" s="1"/>
  <c r="L155" i="19" s="1"/>
  <c r="S74" i="32"/>
  <c r="S75" i="32" s="1"/>
  <c r="O23" i="34" s="1"/>
  <c r="O37" i="34" s="1"/>
  <c r="S93" i="32"/>
  <c r="O25" i="34" s="1"/>
  <c r="O39" i="34" s="1"/>
  <c r="S83" i="32"/>
  <c r="S84" i="32" s="1"/>
  <c r="O24" i="34" s="1"/>
  <c r="O38" i="34" s="1"/>
  <c r="U183" i="26"/>
  <c r="K227" i="25"/>
  <c r="K194" i="25"/>
  <c r="K95" i="25"/>
  <c r="K128" i="25"/>
  <c r="K29" i="25"/>
  <c r="K161" i="25"/>
  <c r="K62" i="25"/>
  <c r="K122" i="18"/>
  <c r="L91" i="18"/>
  <c r="AM118" i="26"/>
  <c r="AM124" i="26" s="1"/>
  <c r="AG18" i="26"/>
  <c r="AG24" i="26" s="1"/>
  <c r="AG151" i="19"/>
  <c r="AG157" i="19" s="1"/>
  <c r="AG215" i="26"/>
  <c r="AG221" i="26" s="1"/>
  <c r="AD54" i="27"/>
  <c r="AD60" i="27" s="1"/>
  <c r="E85" i="52"/>
  <c r="H194" i="32"/>
  <c r="H147" i="32"/>
  <c r="H184" i="32"/>
  <c r="H175" i="32"/>
  <c r="E51" i="20"/>
  <c r="E89" i="20" s="1"/>
  <c r="AF217" i="26"/>
  <c r="AF223" i="26" s="1"/>
  <c r="AF44" i="19"/>
  <c r="M23" i="19"/>
  <c r="M13" i="19"/>
  <c r="AI100" i="25"/>
  <c r="AI67" i="25"/>
  <c r="AI232" i="25"/>
  <c r="AI133" i="25"/>
  <c r="AI34" i="25"/>
  <c r="AI199" i="25"/>
  <c r="AI166" i="25"/>
  <c r="AI163" i="18"/>
  <c r="AI127" i="18"/>
  <c r="P78" i="33"/>
  <c r="P16" i="33" s="1"/>
  <c r="P34" i="33" s="1"/>
  <c r="P52" i="33" s="1"/>
  <c r="AM133" i="11"/>
  <c r="AF114" i="19"/>
  <c r="AF120" i="19" s="1"/>
  <c r="U148" i="19"/>
  <c r="U154" i="19" s="1"/>
  <c r="U160" i="19" s="1"/>
  <c r="D98" i="19"/>
  <c r="D104" i="19" s="1"/>
  <c r="D39" i="26"/>
  <c r="D45" i="26" s="1"/>
  <c r="D51" i="26" s="1"/>
  <c r="D57" i="26" s="1"/>
  <c r="D7" i="26"/>
  <c r="D13" i="26" s="1"/>
  <c r="AL228" i="25"/>
  <c r="AL129" i="25"/>
  <c r="AL63" i="25"/>
  <c r="AL195" i="25"/>
  <c r="AL162" i="25"/>
  <c r="AL96" i="25"/>
  <c r="AL30" i="25"/>
  <c r="AL123" i="18"/>
  <c r="AL159" i="18"/>
  <c r="L138" i="19"/>
  <c r="L144" i="19" s="1"/>
  <c r="L150" i="19" s="1"/>
  <c r="L156" i="19" s="1"/>
  <c r="L41" i="26"/>
  <c r="L47" i="26" s="1"/>
  <c r="L53" i="26" s="1"/>
  <c r="L59" i="26" s="1"/>
  <c r="L106" i="26"/>
  <c r="L112" i="26" s="1"/>
  <c r="L118" i="26" s="1"/>
  <c r="L124" i="26" s="1"/>
  <c r="AB170" i="26"/>
  <c r="AB176" i="26" s="1"/>
  <c r="AB38" i="26"/>
  <c r="AB44" i="26" s="1"/>
  <c r="AE111" i="32"/>
  <c r="AB75" i="26"/>
  <c r="AB81" i="26" s="1"/>
  <c r="AB203" i="26"/>
  <c r="AB209" i="26" s="1"/>
  <c r="AB74" i="26"/>
  <c r="AB80" i="26" s="1"/>
  <c r="AB67" i="19"/>
  <c r="AB73" i="19" s="1"/>
  <c r="AB98" i="19"/>
  <c r="AB104" i="19" s="1"/>
  <c r="AB128" i="19"/>
  <c r="AB130" i="19" s="1"/>
  <c r="AB41" i="26"/>
  <c r="AB47" i="26" s="1"/>
  <c r="AB6" i="26"/>
  <c r="AB12" i="26" s="1"/>
  <c r="AB42" i="26"/>
  <c r="AB48" i="26" s="1"/>
  <c r="AB16" i="19"/>
  <c r="AB139" i="26"/>
  <c r="AB145" i="26" s="1"/>
  <c r="AB5" i="26"/>
  <c r="AB11" i="26" s="1"/>
  <c r="AB76" i="26"/>
  <c r="AB82" i="26" s="1"/>
  <c r="AB30" i="19"/>
  <c r="AB37" i="19" s="1"/>
  <c r="AB141" i="26"/>
  <c r="AB147" i="26" s="1"/>
  <c r="AB64" i="19"/>
  <c r="AB70" i="19" s="1"/>
  <c r="AB105" i="26"/>
  <c r="AB111" i="26" s="1"/>
  <c r="AB66" i="19"/>
  <c r="AB72" i="19" s="1"/>
  <c r="AB100" i="19"/>
  <c r="AB106" i="19" s="1"/>
  <c r="AB102" i="19"/>
  <c r="AB108" i="19" s="1"/>
  <c r="AB135" i="19"/>
  <c r="AB141" i="19" s="1"/>
  <c r="AB27" i="19"/>
  <c r="AB34" i="19" s="1"/>
  <c r="AB72" i="26"/>
  <c r="AB78" i="26" s="1"/>
  <c r="AB164" i="19"/>
  <c r="AB166" i="19" s="1"/>
  <c r="AB101" i="19"/>
  <c r="AB107" i="19" s="1"/>
  <c r="AB175" i="26"/>
  <c r="AB181" i="26" s="1"/>
  <c r="AB206" i="26"/>
  <c r="AB212" i="26" s="1"/>
  <c r="AB208" i="26"/>
  <c r="AB214" i="26" s="1"/>
  <c r="AB8" i="26"/>
  <c r="AB14" i="26" s="1"/>
  <c r="AB139" i="19"/>
  <c r="AB145" i="19" s="1"/>
  <c r="AB29" i="19"/>
  <c r="AB36" i="19" s="1"/>
  <c r="AB63" i="19"/>
  <c r="AB69" i="19" s="1"/>
  <c r="AB134" i="19"/>
  <c r="AB140" i="19" s="1"/>
  <c r="AB138" i="19"/>
  <c r="AB144" i="19" s="1"/>
  <c r="AB140" i="26"/>
  <c r="AB146" i="26" s="1"/>
  <c r="AM74" i="33"/>
  <c r="AM12" i="33" s="1"/>
  <c r="AM30" i="33" s="1"/>
  <c r="AM48" i="33" s="1"/>
  <c r="AO129" i="11"/>
  <c r="K231" i="25"/>
  <c r="K198" i="25"/>
  <c r="K165" i="25"/>
  <c r="K132" i="25"/>
  <c r="K99" i="25"/>
  <c r="K66" i="25"/>
  <c r="K33" i="25"/>
  <c r="K162" i="18"/>
  <c r="J102" i="32"/>
  <c r="J103" i="32" s="1"/>
  <c r="I27" i="34" s="1"/>
  <c r="I41" i="34" s="1"/>
  <c r="J112" i="32"/>
  <c r="I26" i="34" s="1"/>
  <c r="I40" i="34" s="1"/>
  <c r="AM150" i="19"/>
  <c r="AM156" i="19" s="1"/>
  <c r="AM162" i="19" s="1"/>
  <c r="AC73" i="26"/>
  <c r="AC79" i="26" s="1"/>
  <c r="AC85" i="26" s="1"/>
  <c r="AC91" i="26" s="1"/>
  <c r="AC206" i="26"/>
  <c r="AC212" i="26" s="1"/>
  <c r="AC218" i="26" s="1"/>
  <c r="AC224" i="26" s="1"/>
  <c r="AC104" i="26"/>
  <c r="AC110" i="26" s="1"/>
  <c r="N158" i="19"/>
  <c r="AM215" i="26"/>
  <c r="AM221" i="26" s="1"/>
  <c r="S231" i="25"/>
  <c r="S198" i="25"/>
  <c r="S165" i="25"/>
  <c r="S99" i="25"/>
  <c r="S132" i="25"/>
  <c r="S33" i="25"/>
  <c r="S66" i="25"/>
  <c r="S162" i="18"/>
  <c r="AK88" i="20"/>
  <c r="AD182" i="27"/>
  <c r="AD188" i="27" s="1"/>
  <c r="AG86" i="26"/>
  <c r="AG92" i="26" s="1"/>
  <c r="AG77" i="19"/>
  <c r="AG83" i="19" s="1"/>
  <c r="AG149" i="26"/>
  <c r="AG155" i="26" s="1"/>
  <c r="AK124" i="18"/>
  <c r="AK91" i="20"/>
  <c r="AJ229" i="25"/>
  <c r="AJ196" i="25"/>
  <c r="AJ130" i="25"/>
  <c r="AJ64" i="25"/>
  <c r="AJ97" i="25"/>
  <c r="AJ163" i="25"/>
  <c r="AJ31" i="25"/>
  <c r="M102" i="19"/>
  <c r="M108" i="19" s="1"/>
  <c r="P111" i="32"/>
  <c r="M16" i="19"/>
  <c r="M173" i="26" s="1"/>
  <c r="M179" i="26" s="1"/>
  <c r="M128" i="19"/>
  <c r="M130" i="19" s="1"/>
  <c r="M7" i="26"/>
  <c r="M13" i="26" s="1"/>
  <c r="M108" i="26"/>
  <c r="M114" i="26" s="1"/>
  <c r="AM124" i="11"/>
  <c r="P69" i="33"/>
  <c r="P7" i="33" s="1"/>
  <c r="P25" i="33" s="1"/>
  <c r="P43" i="33" s="1"/>
  <c r="AK6" i="11"/>
  <c r="AN6" i="11" s="1"/>
  <c r="AF20" i="26"/>
  <c r="AF26" i="26" s="1"/>
  <c r="U216" i="26"/>
  <c r="U222" i="26" s="1"/>
  <c r="D139" i="19"/>
  <c r="D145" i="19" s="1"/>
  <c r="D151" i="19" s="1"/>
  <c r="D157" i="19" s="1"/>
  <c r="D27" i="19"/>
  <c r="D34" i="19" s="1"/>
  <c r="D42" i="19" s="1"/>
  <c r="D66" i="19"/>
  <c r="D72" i="19" s="1"/>
  <c r="D78" i="19" s="1"/>
  <c r="D84" i="19" s="1"/>
  <c r="AA204" i="26"/>
  <c r="AA210" i="26" s="1"/>
  <c r="AA216" i="26" s="1"/>
  <c r="AA222" i="26" s="1"/>
  <c r="AA74" i="26"/>
  <c r="AA80" i="26" s="1"/>
  <c r="AA86" i="26" s="1"/>
  <c r="AA92" i="26" s="1"/>
  <c r="AA31" i="19"/>
  <c r="AA38" i="19" s="1"/>
  <c r="AA46" i="19" s="1"/>
  <c r="AC76" i="20"/>
  <c r="AC82" i="20" s="1"/>
  <c r="AC17" i="27"/>
  <c r="AC23" i="27" s="1"/>
  <c r="L31" i="19"/>
  <c r="L38" i="19" s="1"/>
  <c r="L46" i="19" s="1"/>
  <c r="L109" i="26"/>
  <c r="L115" i="26" s="1"/>
  <c r="L121" i="26" s="1"/>
  <c r="L127" i="26" s="1"/>
  <c r="L8" i="26"/>
  <c r="L14" i="26" s="1"/>
  <c r="L20" i="26" s="1"/>
  <c r="L26" i="26" s="1"/>
  <c r="AO132" i="11"/>
  <c r="AM77" i="33"/>
  <c r="AM15" i="33" s="1"/>
  <c r="AM33" i="33" s="1"/>
  <c r="AM51" i="33" s="1"/>
  <c r="Z92" i="20"/>
  <c r="Z94" i="20" s="1"/>
  <c r="AC160" i="32"/>
  <c r="H122" i="19"/>
  <c r="N228" i="26"/>
  <c r="N195" i="26"/>
  <c r="N162" i="26"/>
  <c r="N63" i="26"/>
  <c r="N129" i="26"/>
  <c r="N30" i="26"/>
  <c r="N96" i="26"/>
  <c r="L84" i="52"/>
  <c r="O174" i="32"/>
  <c r="O155" i="32"/>
  <c r="O164" i="32"/>
  <c r="O183" i="32"/>
  <c r="O193" i="32"/>
  <c r="O146" i="32"/>
  <c r="L50" i="20"/>
  <c r="O202" i="32"/>
  <c r="H124" i="18"/>
  <c r="AM216" i="26"/>
  <c r="AM222" i="26" s="1"/>
  <c r="AK160" i="18"/>
  <c r="H87" i="19"/>
  <c r="AC141" i="26"/>
  <c r="AC147" i="26" s="1"/>
  <c r="AC153" i="26" s="1"/>
  <c r="AC159" i="26" s="1"/>
  <c r="AC136" i="19"/>
  <c r="AC142" i="19" s="1"/>
  <c r="AC148" i="19" s="1"/>
  <c r="AC154" i="19" s="1"/>
  <c r="AC64" i="19"/>
  <c r="AC70" i="19" s="1"/>
  <c r="AC76" i="19" s="1"/>
  <c r="AC82" i="19" s="1"/>
  <c r="Y13" i="19"/>
  <c r="Y23" i="19"/>
  <c r="D166" i="25"/>
  <c r="D133" i="25"/>
  <c r="D34" i="25"/>
  <c r="D67" i="25"/>
  <c r="D100" i="25"/>
  <c r="D232" i="25"/>
  <c r="D199" i="25"/>
  <c r="AD218" i="27"/>
  <c r="AD224" i="27" s="1"/>
  <c r="H161" i="19"/>
  <c r="L163" i="20"/>
  <c r="AG173" i="26"/>
  <c r="AG179" i="26" s="1"/>
  <c r="AG185" i="26" s="1"/>
  <c r="AG191" i="26" s="1"/>
  <c r="AG170" i="26"/>
  <c r="AG176" i="26" s="1"/>
  <c r="AG182" i="26" s="1"/>
  <c r="AG188" i="26" s="1"/>
  <c r="AG137" i="19"/>
  <c r="AG143" i="19" s="1"/>
  <c r="AG149" i="19" s="1"/>
  <c r="AG155" i="19" s="1"/>
  <c r="E9" i="27"/>
  <c r="E15" i="27" s="1"/>
  <c r="E21" i="27" s="1"/>
  <c r="E27" i="27" s="1"/>
  <c r="E170" i="27"/>
  <c r="E176" i="27" s="1"/>
  <c r="E182" i="27" s="1"/>
  <c r="E188" i="27" s="1"/>
  <c r="E71" i="27"/>
  <c r="E77" i="27" s="1"/>
  <c r="E83" i="27" s="1"/>
  <c r="E89" i="27" s="1"/>
  <c r="AF41" i="19"/>
  <c r="AN20" i="32"/>
  <c r="AK50" i="18"/>
  <c r="AK73" i="52"/>
  <c r="AN48" i="32"/>
  <c r="AN29" i="32"/>
  <c r="AN67" i="32"/>
  <c r="AN11" i="32"/>
  <c r="AN58" i="32"/>
  <c r="AN39" i="32"/>
  <c r="U86" i="26"/>
  <c r="U92" i="26" s="1"/>
  <c r="L123" i="20"/>
  <c r="AK162" i="20"/>
  <c r="AK90" i="18"/>
  <c r="AK124" i="20"/>
  <c r="P84" i="33"/>
  <c r="P22" i="33" s="1"/>
  <c r="P40" i="33" s="1"/>
  <c r="P58" i="33" s="1"/>
  <c r="AM139" i="11"/>
  <c r="AF21" i="26"/>
  <c r="AF27" i="26" s="1"/>
  <c r="D62" i="19"/>
  <c r="D68" i="19" s="1"/>
  <c r="D74" i="19" s="1"/>
  <c r="D80" i="19" s="1"/>
  <c r="D109" i="26"/>
  <c r="D115" i="26" s="1"/>
  <c r="D121" i="26" s="1"/>
  <c r="D127" i="26" s="1"/>
  <c r="D204" i="26"/>
  <c r="D210" i="26" s="1"/>
  <c r="AN53" i="32"/>
  <c r="AN54" i="32" s="1"/>
  <c r="AB15" i="34" s="1"/>
  <c r="AN63" i="32"/>
  <c r="AB14" i="34" s="1"/>
  <c r="H232" i="26"/>
  <c r="H100" i="26"/>
  <c r="H60" i="52"/>
  <c r="H199" i="26"/>
  <c r="H133" i="26"/>
  <c r="H166" i="26"/>
  <c r="H34" i="26"/>
  <c r="H67" i="26"/>
  <c r="AA98" i="19"/>
  <c r="AA104" i="19" s="1"/>
  <c r="AA110" i="19" s="1"/>
  <c r="AA116" i="19" s="1"/>
  <c r="AA39" i="26"/>
  <c r="AA45" i="26" s="1"/>
  <c r="AA51" i="26" s="1"/>
  <c r="AA57" i="26" s="1"/>
  <c r="AA7" i="26"/>
  <c r="AA13" i="26" s="1"/>
  <c r="AA19" i="26" s="1"/>
  <c r="AA25" i="26" s="1"/>
  <c r="AC150" i="20"/>
  <c r="AC156" i="20" s="1"/>
  <c r="AC162" i="20" s="1"/>
  <c r="AC186" i="27"/>
  <c r="AC192" i="27" s="1"/>
  <c r="AI228" i="25"/>
  <c r="AI195" i="25"/>
  <c r="AI162" i="25"/>
  <c r="AI129" i="25"/>
  <c r="AI96" i="25"/>
  <c r="AI30" i="25"/>
  <c r="AI63" i="25"/>
  <c r="AI123" i="18"/>
  <c r="AI87" i="18"/>
  <c r="L6" i="26"/>
  <c r="L12" i="26" s="1"/>
  <c r="L18" i="26" s="1"/>
  <c r="L24" i="26" s="1"/>
  <c r="L207" i="26"/>
  <c r="L213" i="26" s="1"/>
  <c r="L219" i="26" s="1"/>
  <c r="L225" i="26" s="1"/>
  <c r="AO123" i="11"/>
  <c r="AJ29" i="11"/>
  <c r="AM29" i="11" s="1"/>
  <c r="AM68" i="33"/>
  <c r="AM6" i="33" s="1"/>
  <c r="AM24" i="33" s="1"/>
  <c r="AM42" i="33" s="1"/>
  <c r="R33" i="27"/>
  <c r="R132" i="27"/>
  <c r="R99" i="27"/>
  <c r="R66" i="27"/>
  <c r="R231" i="27"/>
  <c r="R198" i="27"/>
  <c r="R165" i="27"/>
  <c r="R126" i="20"/>
  <c r="D98" i="25"/>
  <c r="D65" i="25"/>
  <c r="D32" i="25"/>
  <c r="D131" i="25"/>
  <c r="D164" i="25"/>
  <c r="D197" i="25"/>
  <c r="D230" i="25"/>
  <c r="AM232" i="27"/>
  <c r="AM199" i="27"/>
  <c r="AM166" i="27"/>
  <c r="AM133" i="27"/>
  <c r="AM100" i="27"/>
  <c r="AM67" i="27"/>
  <c r="AM34" i="27"/>
  <c r="AM87" i="26"/>
  <c r="AM119" i="26"/>
  <c r="AC172" i="26"/>
  <c r="AC178" i="26" s="1"/>
  <c r="AC184" i="26" s="1"/>
  <c r="AC190" i="26" s="1"/>
  <c r="AC72" i="26"/>
  <c r="AC78" i="26" s="1"/>
  <c r="AC84" i="26" s="1"/>
  <c r="AC90" i="26" s="1"/>
  <c r="T125" i="20"/>
  <c r="Y6" i="26"/>
  <c r="Y12" i="26" s="1"/>
  <c r="Y10" i="26"/>
  <c r="Y16" i="26" s="1"/>
  <c r="Y22" i="26" s="1"/>
  <c r="Y28" i="26" s="1"/>
  <c r="Y29" i="19"/>
  <c r="Y36" i="19" s="1"/>
  <c r="Y137" i="19"/>
  <c r="Y143" i="19" s="1"/>
  <c r="Y149" i="19" s="1"/>
  <c r="Y155" i="19" s="1"/>
  <c r="Y138" i="19"/>
  <c r="Y144" i="19" s="1"/>
  <c r="Y150" i="19" s="1"/>
  <c r="Y156" i="19" s="1"/>
  <c r="AB111" i="32"/>
  <c r="Y28" i="19"/>
  <c r="Y35" i="19" s="1"/>
  <c r="Y101" i="19"/>
  <c r="Y107" i="19" s="1"/>
  <c r="Y65" i="19"/>
  <c r="Y71" i="19" s="1"/>
  <c r="Y77" i="19" s="1"/>
  <c r="Y83" i="19" s="1"/>
  <c r="Y207" i="26"/>
  <c r="Y213" i="26" s="1"/>
  <c r="Y174" i="26"/>
  <c r="Y180" i="26" s="1"/>
  <c r="Y186" i="26" s="1"/>
  <c r="Y192" i="26" s="1"/>
  <c r="Y100" i="19"/>
  <c r="Y106" i="19" s="1"/>
  <c r="Y112" i="19" s="1"/>
  <c r="Y118" i="19" s="1"/>
  <c r="Y39" i="26"/>
  <c r="Y45" i="26" s="1"/>
  <c r="Y71" i="26"/>
  <c r="Y77" i="26" s="1"/>
  <c r="Y83" i="26" s="1"/>
  <c r="Y89" i="26" s="1"/>
  <c r="Y137" i="26"/>
  <c r="Y143" i="26" s="1"/>
  <c r="Y75" i="26"/>
  <c r="Y81" i="26" s="1"/>
  <c r="Y87" i="26" s="1"/>
  <c r="Y93" i="26" s="1"/>
  <c r="Y140" i="26"/>
  <c r="Y146" i="26" s="1"/>
  <c r="Y152" i="26" s="1"/>
  <c r="Y158" i="26" s="1"/>
  <c r="Y175" i="26"/>
  <c r="Y181" i="26" s="1"/>
  <c r="Y187" i="26" s="1"/>
  <c r="Y193" i="26" s="1"/>
  <c r="Y205" i="26"/>
  <c r="Y211" i="26" s="1"/>
  <c r="Y208" i="26"/>
  <c r="Y214" i="26" s="1"/>
  <c r="Y67" i="19"/>
  <c r="Y73" i="19" s="1"/>
  <c r="Y79" i="19" s="1"/>
  <c r="Y85" i="19" s="1"/>
  <c r="Y17" i="19"/>
  <c r="Y19" i="19" s="1"/>
  <c r="Y128" i="19"/>
  <c r="Y130" i="19" s="1"/>
  <c r="Y16" i="19"/>
  <c r="Y64" i="19" s="1"/>
  <c r="Y70" i="19" s="1"/>
  <c r="Y76" i="19" s="1"/>
  <c r="Y82" i="19" s="1"/>
  <c r="Y63" i="19"/>
  <c r="Y69" i="19" s="1"/>
  <c r="Y75" i="19" s="1"/>
  <c r="Y81" i="19" s="1"/>
  <c r="E27" i="33"/>
  <c r="K24" i="33"/>
  <c r="AD151" i="20"/>
  <c r="AD157" i="20" s="1"/>
  <c r="AG72" i="26"/>
  <c r="AG78" i="26" s="1"/>
  <c r="AG84" i="26" s="1"/>
  <c r="AG90" i="26" s="1"/>
  <c r="AJ112" i="32"/>
  <c r="AM26" i="34" s="1"/>
  <c r="AM40" i="34" s="1"/>
  <c r="AJ102" i="32"/>
  <c r="AJ103" i="32" s="1"/>
  <c r="AM27" i="34" s="1"/>
  <c r="AM41" i="34" s="1"/>
  <c r="R88" i="20"/>
  <c r="E139" i="27"/>
  <c r="E145" i="27" s="1"/>
  <c r="E151" i="27" s="1"/>
  <c r="E157" i="27" s="1"/>
  <c r="E38" i="27"/>
  <c r="E44" i="27" s="1"/>
  <c r="E50" i="27" s="1"/>
  <c r="E56" i="27" s="1"/>
  <c r="H158" i="19"/>
  <c r="U118" i="26"/>
  <c r="U219" i="26"/>
  <c r="AN201" i="32"/>
  <c r="AN182" i="32"/>
  <c r="AN154" i="32"/>
  <c r="AK83" i="52"/>
  <c r="AN192" i="32"/>
  <c r="AN145" i="32"/>
  <c r="AN163" i="32"/>
  <c r="AN173" i="32"/>
  <c r="AK49" i="20"/>
  <c r="AK87" i="20" s="1"/>
  <c r="AM127" i="11"/>
  <c r="P72" i="33"/>
  <c r="P10" i="33" s="1"/>
  <c r="P28" i="33" s="1"/>
  <c r="P46" i="33" s="1"/>
  <c r="AM43" i="19"/>
  <c r="Q23" i="19"/>
  <c r="Q13" i="19"/>
  <c r="D135" i="19"/>
  <c r="D141" i="19" s="1"/>
  <c r="D147" i="19" s="1"/>
  <c r="D153" i="19" s="1"/>
  <c r="D137" i="19"/>
  <c r="D143" i="19" s="1"/>
  <c r="D149" i="19" s="1"/>
  <c r="D155" i="19" s="1"/>
  <c r="D206" i="26"/>
  <c r="D212" i="26" s="1"/>
  <c r="D218" i="26" s="1"/>
  <c r="D224" i="26" s="1"/>
  <c r="W124" i="19"/>
  <c r="K99" i="32"/>
  <c r="AA136" i="19"/>
  <c r="AA142" i="19" s="1"/>
  <c r="AA148" i="19" s="1"/>
  <c r="AA154" i="19" s="1"/>
  <c r="AA28" i="19"/>
  <c r="AA35" i="19" s="1"/>
  <c r="AA43" i="19" s="1"/>
  <c r="AA10" i="26"/>
  <c r="AA16" i="26" s="1"/>
  <c r="AA22" i="26" s="1"/>
  <c r="AA28" i="26" s="1"/>
  <c r="AC46" i="20"/>
  <c r="AC147" i="20"/>
  <c r="AC153" i="20" s="1"/>
  <c r="L65" i="19"/>
  <c r="L71" i="19" s="1"/>
  <c r="L77" i="19" s="1"/>
  <c r="L83" i="19" s="1"/>
  <c r="L39" i="26"/>
  <c r="L45" i="26" s="1"/>
  <c r="L51" i="26" s="1"/>
  <c r="L57" i="26" s="1"/>
  <c r="L26" i="19"/>
  <c r="L33" i="19" s="1"/>
  <c r="L41" i="19" s="1"/>
  <c r="L129" i="19" s="1"/>
  <c r="AM80" i="33"/>
  <c r="AM18" i="33" s="1"/>
  <c r="AM36" i="33" s="1"/>
  <c r="AM54" i="33" s="1"/>
  <c r="AO135" i="11"/>
  <c r="AD122" i="20"/>
  <c r="AM78" i="19"/>
  <c r="AM84" i="19" s="1"/>
  <c r="AM90" i="19" s="1"/>
  <c r="AK162" i="18"/>
  <c r="L87" i="20"/>
  <c r="C57" i="33"/>
  <c r="D57" i="33" s="1"/>
  <c r="D39" i="33"/>
  <c r="AC217" i="26"/>
  <c r="AC223" i="26" s="1"/>
  <c r="AC182" i="26"/>
  <c r="AC188" i="26" s="1"/>
  <c r="AC55" i="26"/>
  <c r="AC61" i="26" s="1"/>
  <c r="T162" i="20"/>
  <c r="V86" i="18"/>
  <c r="AD126" i="19"/>
  <c r="T83" i="52"/>
  <c r="W182" i="32"/>
  <c r="W173" i="32"/>
  <c r="W163" i="32"/>
  <c r="W154" i="32"/>
  <c r="W201" i="32"/>
  <c r="W145" i="32"/>
  <c r="W192" i="32"/>
  <c r="T49" i="20"/>
  <c r="AG153" i="26"/>
  <c r="AG159" i="26" s="1"/>
  <c r="AG150" i="19"/>
  <c r="AG156" i="19" s="1"/>
  <c r="AG45" i="19"/>
  <c r="E52" i="27"/>
  <c r="E58" i="27" s="1"/>
  <c r="E219" i="27"/>
  <c r="E225" i="27" s="1"/>
  <c r="U121" i="26"/>
  <c r="U127" i="26" s="1"/>
  <c r="R194" i="27"/>
  <c r="R227" i="27"/>
  <c r="R161" i="27"/>
  <c r="R128" i="27"/>
  <c r="R95" i="27"/>
  <c r="R62" i="27"/>
  <c r="R29" i="27"/>
  <c r="U112" i="19"/>
  <c r="U118" i="19" s="1"/>
  <c r="U124" i="19" s="1"/>
  <c r="AM113" i="19"/>
  <c r="AM119" i="19" s="1"/>
  <c r="AM125" i="19" s="1"/>
  <c r="D72" i="26"/>
  <c r="D78" i="26" s="1"/>
  <c r="D84" i="26" s="1"/>
  <c r="D90" i="26" s="1"/>
  <c r="D171" i="26"/>
  <c r="D177" i="26" s="1"/>
  <c r="D183" i="26" s="1"/>
  <c r="D189" i="26" s="1"/>
  <c r="D134" i="19"/>
  <c r="D140" i="19" s="1"/>
  <c r="D146" i="19" s="1"/>
  <c r="D152" i="19" s="1"/>
  <c r="AF148" i="19"/>
  <c r="AF154" i="19" s="1"/>
  <c r="AF160" i="19" s="1"/>
  <c r="K137" i="32"/>
  <c r="U19" i="26"/>
  <c r="AB144" i="11"/>
  <c r="U147" i="19"/>
  <c r="U153" i="19" s="1"/>
  <c r="AA138" i="19"/>
  <c r="AA144" i="19" s="1"/>
  <c r="AA150" i="19" s="1"/>
  <c r="AA156" i="19" s="1"/>
  <c r="AA40" i="26"/>
  <c r="AA46" i="26" s="1"/>
  <c r="AA52" i="26" s="1"/>
  <c r="AA58" i="26" s="1"/>
  <c r="AA76" i="26"/>
  <c r="AA82" i="26" s="1"/>
  <c r="AA88" i="26" s="1"/>
  <c r="AA94" i="26" s="1"/>
  <c r="AC79" i="20"/>
  <c r="AC85" i="20" s="1"/>
  <c r="AC19" i="27"/>
  <c r="AC25" i="27" s="1"/>
  <c r="L67" i="19"/>
  <c r="L73" i="19" s="1"/>
  <c r="L79" i="19" s="1"/>
  <c r="L85" i="19" s="1"/>
  <c r="L141" i="26"/>
  <c r="L147" i="26" s="1"/>
  <c r="L153" i="26" s="1"/>
  <c r="L159" i="26" s="1"/>
  <c r="L28" i="19"/>
  <c r="L35" i="19" s="1"/>
  <c r="L43" i="19" s="1"/>
  <c r="U151" i="26"/>
  <c r="AM71" i="33"/>
  <c r="AM9" i="33" s="1"/>
  <c r="AM27" i="33" s="1"/>
  <c r="AM45" i="33" s="1"/>
  <c r="AO126" i="11"/>
  <c r="V87" i="18"/>
  <c r="AD86" i="19"/>
  <c r="AE127" i="20"/>
  <c r="AG83" i="26"/>
  <c r="AG89" i="26" s="1"/>
  <c r="AG113" i="19"/>
  <c r="AG119" i="19" s="1"/>
  <c r="AG75" i="19"/>
  <c r="AG81" i="19" s="1"/>
  <c r="H176" i="32"/>
  <c r="E86" i="52"/>
  <c r="H148" i="32"/>
  <c r="H166" i="32"/>
  <c r="H185" i="32"/>
  <c r="H204" i="32"/>
  <c r="E52" i="20"/>
  <c r="H157" i="32"/>
  <c r="U185" i="26"/>
  <c r="U191" i="26" s="1"/>
  <c r="L127" i="20"/>
  <c r="P23" i="19"/>
  <c r="P13" i="19"/>
  <c r="Q204" i="26"/>
  <c r="Q210" i="26" s="1"/>
  <c r="Q172" i="26"/>
  <c r="Q178" i="26" s="1"/>
  <c r="Q140" i="26"/>
  <c r="Q146" i="26" s="1"/>
  <c r="Q205" i="26"/>
  <c r="Q211" i="26" s="1"/>
  <c r="Q164" i="19"/>
  <c r="Q166" i="19" s="1"/>
  <c r="Q66" i="19"/>
  <c r="Q72" i="19" s="1"/>
  <c r="Q128" i="19"/>
  <c r="Q130" i="19" s="1"/>
  <c r="Q203" i="26"/>
  <c r="Q209" i="26" s="1"/>
  <c r="Q208" i="26"/>
  <c r="Q214" i="26" s="1"/>
  <c r="Q27" i="19"/>
  <c r="Q34" i="19" s="1"/>
  <c r="Q102" i="19"/>
  <c r="Q108" i="19" s="1"/>
  <c r="Q137" i="19"/>
  <c r="Q143" i="19" s="1"/>
  <c r="Q67" i="19"/>
  <c r="Q73" i="19" s="1"/>
  <c r="Q73" i="26"/>
  <c r="Q79" i="26" s="1"/>
  <c r="Q62" i="19"/>
  <c r="Q68" i="19" s="1"/>
  <c r="Q135" i="19"/>
  <c r="Q141" i="19" s="1"/>
  <c r="Q101" i="19"/>
  <c r="Q107" i="19" s="1"/>
  <c r="Q38" i="26"/>
  <c r="Q44" i="26" s="1"/>
  <c r="Q142" i="26"/>
  <c r="Q148" i="26" s="1"/>
  <c r="Q9" i="26"/>
  <c r="Q15" i="26" s="1"/>
  <c r="Q6" i="26"/>
  <c r="Q12" i="26" s="1"/>
  <c r="Q108" i="26"/>
  <c r="Q114" i="26" s="1"/>
  <c r="Q138" i="26"/>
  <c r="Q144" i="26" s="1"/>
  <c r="Q75" i="26"/>
  <c r="Q81" i="26" s="1"/>
  <c r="Q5" i="26"/>
  <c r="Q11" i="26" s="1"/>
  <c r="Q64" i="19"/>
  <c r="Q70" i="19" s="1"/>
  <c r="Q170" i="26"/>
  <c r="Q176" i="26" s="1"/>
  <c r="Q104" i="26"/>
  <c r="Q110" i="26" s="1"/>
  <c r="Q43" i="26"/>
  <c r="Q49" i="26" s="1"/>
  <c r="Q98" i="19"/>
  <c r="Q104" i="19" s="1"/>
  <c r="Q171" i="26"/>
  <c r="Q177" i="26" s="1"/>
  <c r="Q39" i="26"/>
  <c r="Q45" i="26" s="1"/>
  <c r="Q206" i="26"/>
  <c r="Q212" i="26" s="1"/>
  <c r="Q71" i="26"/>
  <c r="Q77" i="26" s="1"/>
  <c r="Q76" i="26"/>
  <c r="Q82" i="26" s="1"/>
  <c r="Q103" i="19"/>
  <c r="Q109" i="19" s="1"/>
  <c r="Q139" i="19"/>
  <c r="Q145" i="19" s="1"/>
  <c r="Q106" i="26"/>
  <c r="Q112" i="26" s="1"/>
  <c r="Q137" i="26"/>
  <c r="Q143" i="26" s="1"/>
  <c r="Q26" i="19"/>
  <c r="Q33" i="19" s="1"/>
  <c r="Q32" i="19"/>
  <c r="Q39" i="19" s="1"/>
  <c r="Q40" i="19" s="1"/>
  <c r="Q40" i="26"/>
  <c r="Q46" i="26" s="1"/>
  <c r="Q63" i="19"/>
  <c r="Q69" i="19" s="1"/>
  <c r="Q174" i="26"/>
  <c r="Q180" i="26" s="1"/>
  <c r="Q107" i="26"/>
  <c r="Q113" i="26" s="1"/>
  <c r="Q105" i="26"/>
  <c r="Q111" i="26" s="1"/>
  <c r="Q207" i="26"/>
  <c r="Q213" i="26" s="1"/>
  <c r="Q139" i="26"/>
  <c r="Q145" i="26" s="1"/>
  <c r="T111" i="32"/>
  <c r="Q134" i="19"/>
  <c r="Q140" i="19" s="1"/>
  <c r="Q74" i="26"/>
  <c r="Q80" i="26" s="1"/>
  <c r="Q7" i="26"/>
  <c r="Q13" i="26" s="1"/>
  <c r="Q10" i="26"/>
  <c r="Q16" i="26" s="1"/>
  <c r="Q41" i="26"/>
  <c r="Q47" i="26" s="1"/>
  <c r="Q136" i="19"/>
  <c r="Q142" i="19" s="1"/>
  <c r="Q16" i="19"/>
  <c r="Q99" i="19" s="1"/>
  <c r="Q105" i="19" s="1"/>
  <c r="Q72" i="26"/>
  <c r="Q78" i="26" s="1"/>
  <c r="D185" i="26"/>
  <c r="D191" i="26" s="1"/>
  <c r="D186" i="26"/>
  <c r="D192" i="26" s="1"/>
  <c r="AF111" i="19"/>
  <c r="AF117" i="19" s="1"/>
  <c r="AF123" i="19" s="1"/>
  <c r="AG87" i="20"/>
  <c r="K118" i="32"/>
  <c r="U114" i="19"/>
  <c r="U120" i="19" s="1"/>
  <c r="U126" i="19" s="1"/>
  <c r="D161" i="18"/>
  <c r="U44" i="19"/>
  <c r="AO138" i="11"/>
  <c r="AM83" i="33"/>
  <c r="AM21" i="33" s="1"/>
  <c r="AM39" i="33" s="1"/>
  <c r="AM57" i="33" s="1"/>
  <c r="AK163" i="18"/>
  <c r="N163" i="19"/>
  <c r="D92" i="20"/>
  <c r="D94" i="20" s="1"/>
  <c r="G160" i="32"/>
  <c r="AC28" i="19"/>
  <c r="AC35" i="19" s="1"/>
  <c r="AC43" i="19" s="1"/>
  <c r="AC41" i="26"/>
  <c r="AC47" i="26" s="1"/>
  <c r="AC53" i="26" s="1"/>
  <c r="AC59" i="26" s="1"/>
  <c r="AC9" i="26"/>
  <c r="AC15" i="26" s="1"/>
  <c r="AC21" i="26" s="1"/>
  <c r="AC27" i="26" s="1"/>
  <c r="AN203" i="32"/>
  <c r="AN194" i="32"/>
  <c r="AN165" i="32"/>
  <c r="AN175" i="32"/>
  <c r="AK85" i="52"/>
  <c r="AK51" i="20"/>
  <c r="AK125" i="20" s="1"/>
  <c r="AN156" i="32"/>
  <c r="AN147" i="32"/>
  <c r="AN184" i="32"/>
  <c r="AM146" i="19"/>
  <c r="AM152" i="19" s="1"/>
  <c r="AL126" i="18"/>
  <c r="X230" i="25"/>
  <c r="X197" i="25"/>
  <c r="X164" i="25"/>
  <c r="X131" i="25"/>
  <c r="X98" i="25"/>
  <c r="X65" i="25"/>
  <c r="X32" i="25"/>
  <c r="AK179" i="28"/>
  <c r="AK178" i="28"/>
  <c r="AK45" i="28"/>
  <c r="AN107" i="11"/>
  <c r="AK20" i="52"/>
  <c r="AK175" i="28"/>
  <c r="AK174" i="28"/>
  <c r="AK181" i="28"/>
  <c r="AK180" i="28"/>
  <c r="AK176" i="28"/>
  <c r="AK177" i="28"/>
  <c r="U88" i="26"/>
  <c r="AK90" i="20"/>
  <c r="AG121" i="26"/>
  <c r="AG127" i="26" s="1"/>
  <c r="AG150" i="26"/>
  <c r="AG156" i="26" s="1"/>
  <c r="AG120" i="26"/>
  <c r="AG126" i="26" s="1"/>
  <c r="E186" i="27"/>
  <c r="E192" i="27" s="1"/>
  <c r="E216" i="27"/>
  <c r="E222" i="27" s="1"/>
  <c r="E120" i="27"/>
  <c r="E126" i="27" s="1"/>
  <c r="H88" i="18"/>
  <c r="X199" i="25"/>
  <c r="X232" i="25"/>
  <c r="X166" i="25"/>
  <c r="X133" i="25"/>
  <c r="X67" i="25"/>
  <c r="X34" i="25"/>
  <c r="X100" i="25"/>
  <c r="V165" i="18"/>
  <c r="P16" i="19"/>
  <c r="P6" i="26" s="1"/>
  <c r="P12" i="26" s="1"/>
  <c r="P18" i="26" s="1"/>
  <c r="P24" i="26" s="1"/>
  <c r="P98" i="19"/>
  <c r="P104" i="19" s="1"/>
  <c r="P110" i="19" s="1"/>
  <c r="P116" i="19" s="1"/>
  <c r="P142" i="26"/>
  <c r="P148" i="26" s="1"/>
  <c r="P154" i="26" s="1"/>
  <c r="P160" i="26" s="1"/>
  <c r="P17" i="19"/>
  <c r="P19" i="19" s="1"/>
  <c r="P7" i="26"/>
  <c r="P13" i="26" s="1"/>
  <c r="P19" i="26" s="1"/>
  <c r="P25" i="26" s="1"/>
  <c r="P75" i="26"/>
  <c r="P81" i="26" s="1"/>
  <c r="P87" i="26" s="1"/>
  <c r="P93" i="26" s="1"/>
  <c r="P205" i="26"/>
  <c r="P211" i="26" s="1"/>
  <c r="P217" i="26" s="1"/>
  <c r="P223" i="26" s="1"/>
  <c r="P29" i="19"/>
  <c r="P36" i="19" s="1"/>
  <c r="P44" i="19" s="1"/>
  <c r="P136" i="19"/>
  <c r="P142" i="19" s="1"/>
  <c r="P148" i="19" s="1"/>
  <c r="P154" i="19" s="1"/>
  <c r="P137" i="26"/>
  <c r="P143" i="26" s="1"/>
  <c r="P149" i="26" s="1"/>
  <c r="P155" i="26" s="1"/>
  <c r="P66" i="19"/>
  <c r="P72" i="19" s="1"/>
  <c r="P78" i="19" s="1"/>
  <c r="P84" i="19" s="1"/>
  <c r="P103" i="19"/>
  <c r="P109" i="19" s="1"/>
  <c r="P115" i="19" s="1"/>
  <c r="P121" i="19" s="1"/>
  <c r="P105" i="26"/>
  <c r="P111" i="26" s="1"/>
  <c r="P117" i="26" s="1"/>
  <c r="P123" i="26" s="1"/>
  <c r="P171" i="26"/>
  <c r="P177" i="26" s="1"/>
  <c r="P183" i="26" s="1"/>
  <c r="P189" i="26" s="1"/>
  <c r="P40" i="26"/>
  <c r="P46" i="26" s="1"/>
  <c r="P52" i="26" s="1"/>
  <c r="P58" i="26" s="1"/>
  <c r="P100" i="19"/>
  <c r="P106" i="19" s="1"/>
  <c r="P112" i="19" s="1"/>
  <c r="P118" i="19" s="1"/>
  <c r="P173" i="26"/>
  <c r="P179" i="26" s="1"/>
  <c r="P185" i="26" s="1"/>
  <c r="P191" i="26" s="1"/>
  <c r="P74" i="26"/>
  <c r="P80" i="26" s="1"/>
  <c r="P86" i="26" s="1"/>
  <c r="P92" i="26" s="1"/>
  <c r="S111" i="32"/>
  <c r="P141" i="26"/>
  <c r="P147" i="26" s="1"/>
  <c r="P153" i="26" s="1"/>
  <c r="P159" i="26" s="1"/>
  <c r="P140" i="26"/>
  <c r="P146" i="26" s="1"/>
  <c r="P152" i="26" s="1"/>
  <c r="P158" i="26" s="1"/>
  <c r="P206" i="26"/>
  <c r="P212" i="26" s="1"/>
  <c r="P218" i="26" s="1"/>
  <c r="P224" i="26" s="1"/>
  <c r="P128" i="19"/>
  <c r="P130" i="19" s="1"/>
  <c r="D106" i="26"/>
  <c r="D112" i="26" s="1"/>
  <c r="D5" i="26"/>
  <c r="D11" i="26" s="1"/>
  <c r="D17" i="26" s="1"/>
  <c r="D23" i="26" s="1"/>
  <c r="D40" i="26"/>
  <c r="D46" i="26" s="1"/>
  <c r="D52" i="26" s="1"/>
  <c r="D58" i="26" s="1"/>
  <c r="N161" i="19"/>
  <c r="K109" i="32"/>
  <c r="AQ111" i="32"/>
  <c r="AN9" i="26"/>
  <c r="AN15" i="26" s="1"/>
  <c r="AN102" i="19"/>
  <c r="AN108" i="19" s="1"/>
  <c r="AN32" i="19"/>
  <c r="AN39" i="19" s="1"/>
  <c r="AN40" i="19" s="1"/>
  <c r="AN98" i="19"/>
  <c r="AN104" i="19" s="1"/>
  <c r="AN170" i="26"/>
  <c r="AN176" i="26" s="1"/>
  <c r="AN205" i="26"/>
  <c r="AN211" i="26" s="1"/>
  <c r="AN103" i="19"/>
  <c r="AN109" i="19" s="1"/>
  <c r="AN67" i="19"/>
  <c r="AN73" i="19" s="1"/>
  <c r="AN128" i="19"/>
  <c r="AN130" i="19" s="1"/>
  <c r="AN62" i="19"/>
  <c r="AN68" i="19" s="1"/>
  <c r="AN105" i="26"/>
  <c r="AN111" i="26" s="1"/>
  <c r="AN16" i="19"/>
  <c r="AN17" i="19" s="1"/>
  <c r="AN19" i="19" s="1"/>
  <c r="AN208" i="26"/>
  <c r="AN214" i="26" s="1"/>
  <c r="AA108" i="26"/>
  <c r="AA114" i="26" s="1"/>
  <c r="AA120" i="26" s="1"/>
  <c r="AA126" i="26" s="1"/>
  <c r="AA101" i="19"/>
  <c r="AA107" i="19" s="1"/>
  <c r="AA113" i="19" s="1"/>
  <c r="AA119" i="19" s="1"/>
  <c r="AA63" i="19"/>
  <c r="AA69" i="19" s="1"/>
  <c r="AA75" i="19" s="1"/>
  <c r="AA81" i="19" s="1"/>
  <c r="AC77" i="20"/>
  <c r="AC83" i="20" s="1"/>
  <c r="AC89" i="20" s="1"/>
  <c r="AM75" i="19"/>
  <c r="AM81" i="19" s="1"/>
  <c r="U21" i="26"/>
  <c r="AK127" i="20"/>
  <c r="AG21" i="26"/>
  <c r="AG27" i="26" s="1"/>
  <c r="AG151" i="26"/>
  <c r="AG157" i="26" s="1"/>
  <c r="AG118" i="26"/>
  <c r="AG124" i="26" s="1"/>
  <c r="E125" i="20"/>
  <c r="E127" i="20"/>
  <c r="AN141" i="11"/>
  <c r="T160" i="20"/>
  <c r="R124" i="20"/>
  <c r="D73" i="26"/>
  <c r="D79" i="26" s="1"/>
  <c r="D32" i="19"/>
  <c r="D39" i="19" s="1"/>
  <c r="D40" i="19" s="1"/>
  <c r="AM217" i="26"/>
  <c r="AM223" i="26" s="1"/>
  <c r="K128" i="32"/>
  <c r="AN23" i="19"/>
  <c r="AN13" i="19"/>
  <c r="AA139" i="26"/>
  <c r="AA145" i="26" s="1"/>
  <c r="AA151" i="26" s="1"/>
  <c r="AA157" i="26" s="1"/>
  <c r="AD102" i="32"/>
  <c r="AD103" i="32" s="1"/>
  <c r="AF27" i="34" s="1"/>
  <c r="AF41" i="34" s="1"/>
  <c r="AD112" i="32"/>
  <c r="AF26" i="34" s="1"/>
  <c r="AF40" i="34" s="1"/>
  <c r="AC83" i="27"/>
  <c r="AC89" i="27" s="1"/>
  <c r="AC153" i="27"/>
  <c r="AC159" i="27" s="1"/>
  <c r="AC149" i="20"/>
  <c r="AC155" i="20" s="1"/>
  <c r="AC161" i="20" s="1"/>
  <c r="L66" i="19"/>
  <c r="L72" i="19" s="1"/>
  <c r="L78" i="19" s="1"/>
  <c r="L84" i="19" s="1"/>
  <c r="L171" i="26"/>
  <c r="L177" i="26" s="1"/>
  <c r="L183" i="26" s="1"/>
  <c r="L189" i="26" s="1"/>
  <c r="F119" i="52"/>
  <c r="I86" i="11" l="1"/>
  <c r="F120" i="52"/>
  <c r="F12" i="52"/>
  <c r="H13" i="48" s="1"/>
  <c r="F16" i="52"/>
  <c r="H5" i="55" s="1"/>
  <c r="AL144" i="11"/>
  <c r="W144" i="11"/>
  <c r="T26" i="52" s="1"/>
  <c r="T29" i="52" s="1"/>
  <c r="F108" i="52"/>
  <c r="I96" i="11" s="1"/>
  <c r="F111" i="52"/>
  <c r="I99" i="11" s="1"/>
  <c r="F100" i="52"/>
  <c r="I80" i="11" s="1"/>
  <c r="F113" i="52"/>
  <c r="I71" i="11" s="1"/>
  <c r="F115" i="52"/>
  <c r="I73" i="11" s="1"/>
  <c r="F114" i="52"/>
  <c r="I72" i="11" s="1"/>
  <c r="F109" i="52"/>
  <c r="I97" i="11" s="1"/>
  <c r="F116" i="52"/>
  <c r="I74" i="11" s="1"/>
  <c r="F122" i="52"/>
  <c r="F101" i="52"/>
  <c r="I81" i="11" s="1"/>
  <c r="F112" i="52"/>
  <c r="I70" i="11" s="1"/>
  <c r="F14" i="52"/>
  <c r="F105" i="52"/>
  <c r="I89" i="11" s="1"/>
  <c r="F104" i="52"/>
  <c r="I88" i="11" s="1"/>
  <c r="F106" i="52"/>
  <c r="I94" i="11" s="1"/>
  <c r="F107" i="52"/>
  <c r="I95" i="11" s="1"/>
  <c r="F103" i="52"/>
  <c r="I87" i="11" s="1"/>
  <c r="F110" i="52"/>
  <c r="I98" i="11" s="1"/>
  <c r="F15" i="52"/>
  <c r="H16" i="48" s="1"/>
  <c r="F117" i="52"/>
  <c r="I75" i="11" s="1"/>
  <c r="I65" i="11"/>
  <c r="E18" i="58" s="1"/>
  <c r="E19" i="58" s="1"/>
  <c r="F125" i="52"/>
  <c r="AN142" i="11"/>
  <c r="AN144" i="11" s="1"/>
  <c r="AO142" i="11"/>
  <c r="AO144" i="11" s="1"/>
  <c r="AM143" i="11"/>
  <c r="AN220" i="26"/>
  <c r="AN226" i="26" s="1"/>
  <c r="AF134" i="32"/>
  <c r="AF106" i="32"/>
  <c r="AC50" i="19"/>
  <c r="AC160" i="19" s="1"/>
  <c r="AF125" i="32"/>
  <c r="AF96" i="32"/>
  <c r="AC78" i="52"/>
  <c r="AG80" i="52"/>
  <c r="AJ136" i="32"/>
  <c r="AJ89" i="32"/>
  <c r="AJ108" i="32"/>
  <c r="AJ127" i="32"/>
  <c r="AJ98" i="32"/>
  <c r="AJ80" i="32"/>
  <c r="AJ117" i="32"/>
  <c r="AG52" i="19"/>
  <c r="AQ130" i="32"/>
  <c r="AN164" i="19"/>
  <c r="AN166" i="19" s="1"/>
  <c r="AN10" i="26"/>
  <c r="AN16" i="26" s="1"/>
  <c r="AN22" i="26" s="1"/>
  <c r="AN28" i="26" s="1"/>
  <c r="AN141" i="26"/>
  <c r="AN147" i="26" s="1"/>
  <c r="AN153" i="26" s="1"/>
  <c r="AN159" i="26" s="1"/>
  <c r="AN63" i="19"/>
  <c r="AN69" i="19" s="1"/>
  <c r="AN75" i="19" s="1"/>
  <c r="AN81" i="19" s="1"/>
  <c r="AN104" i="26"/>
  <c r="AN110" i="26" s="1"/>
  <c r="AN116" i="26" s="1"/>
  <c r="AN122" i="26" s="1"/>
  <c r="AN38" i="26"/>
  <c r="AN44" i="26" s="1"/>
  <c r="AN50" i="26" s="1"/>
  <c r="AN56" i="26" s="1"/>
  <c r="AN138" i="19"/>
  <c r="AN144" i="19" s="1"/>
  <c r="AN150" i="19" s="1"/>
  <c r="AN156" i="19" s="1"/>
  <c r="AN71" i="26"/>
  <c r="AN77" i="26" s="1"/>
  <c r="AN83" i="26" s="1"/>
  <c r="AN89" i="26" s="1"/>
  <c r="AN135" i="19"/>
  <c r="AN141" i="19" s="1"/>
  <c r="AN147" i="19" s="1"/>
  <c r="AN153" i="19" s="1"/>
  <c r="AN66" i="19"/>
  <c r="AN72" i="19" s="1"/>
  <c r="AN78" i="19" s="1"/>
  <c r="AN84" i="19" s="1"/>
  <c r="AN175" i="26"/>
  <c r="AN181" i="26" s="1"/>
  <c r="AN187" i="26" s="1"/>
  <c r="AN193" i="26" s="1"/>
  <c r="AN174" i="26"/>
  <c r="AN180" i="26" s="1"/>
  <c r="AN186" i="26" s="1"/>
  <c r="AN192" i="26" s="1"/>
  <c r="AN172" i="26"/>
  <c r="AN178" i="26" s="1"/>
  <c r="AN184" i="26" s="1"/>
  <c r="AN190" i="26" s="1"/>
  <c r="AN65" i="19"/>
  <c r="AN71" i="19" s="1"/>
  <c r="AN77" i="19" s="1"/>
  <c r="AN83" i="19" s="1"/>
  <c r="AN31" i="19"/>
  <c r="AN38" i="19" s="1"/>
  <c r="AN46" i="19" s="1"/>
  <c r="AN139" i="26"/>
  <c r="AN145" i="26" s="1"/>
  <c r="AN151" i="26" s="1"/>
  <c r="AN157" i="26" s="1"/>
  <c r="AN30" i="19"/>
  <c r="AN37" i="19" s="1"/>
  <c r="AN45" i="19" s="1"/>
  <c r="AN142" i="26"/>
  <c r="AN148" i="26" s="1"/>
  <c r="AN154" i="26" s="1"/>
  <c r="AN160" i="26" s="1"/>
  <c r="AN107" i="26"/>
  <c r="AN113" i="26" s="1"/>
  <c r="AN119" i="26" s="1"/>
  <c r="AN125" i="26" s="1"/>
  <c r="AN109" i="26"/>
  <c r="AN115" i="26" s="1"/>
  <c r="AN121" i="26" s="1"/>
  <c r="AN127" i="26" s="1"/>
  <c r="AN136" i="19"/>
  <c r="AN142" i="19" s="1"/>
  <c r="AN148" i="19" s="1"/>
  <c r="AN154" i="19" s="1"/>
  <c r="AN137" i="26"/>
  <c r="AN143" i="26" s="1"/>
  <c r="AN149" i="26" s="1"/>
  <c r="AN155" i="26" s="1"/>
  <c r="AN140" i="26"/>
  <c r="AN146" i="26" s="1"/>
  <c r="AN152" i="26" s="1"/>
  <c r="AN158" i="26" s="1"/>
  <c r="AN43" i="26"/>
  <c r="AN49" i="26" s="1"/>
  <c r="AN55" i="26" s="1"/>
  <c r="AN61" i="26" s="1"/>
  <c r="AN29" i="19"/>
  <c r="AN36" i="19" s="1"/>
  <c r="AN44" i="19" s="1"/>
  <c r="AN203" i="26"/>
  <c r="AN209" i="26" s="1"/>
  <c r="AN215" i="26" s="1"/>
  <c r="AN221" i="26" s="1"/>
  <c r="AN28" i="19"/>
  <c r="AN35" i="19" s="1"/>
  <c r="AN43" i="19" s="1"/>
  <c r="AN76" i="26"/>
  <c r="AN82" i="26" s="1"/>
  <c r="AN88" i="26" s="1"/>
  <c r="AN94" i="26" s="1"/>
  <c r="AN134" i="19"/>
  <c r="AN140" i="19" s="1"/>
  <c r="AN146" i="19" s="1"/>
  <c r="AN152" i="19" s="1"/>
  <c r="AN42" i="26"/>
  <c r="AN48" i="26" s="1"/>
  <c r="AN54" i="26" s="1"/>
  <c r="AN60" i="26" s="1"/>
  <c r="AN207" i="26"/>
  <c r="AN213" i="26" s="1"/>
  <c r="AN219" i="26" s="1"/>
  <c r="AN225" i="26" s="1"/>
  <c r="AN99" i="19"/>
  <c r="AN105" i="19" s="1"/>
  <c r="AN111" i="19" s="1"/>
  <c r="AN117" i="19" s="1"/>
  <c r="AN171" i="26"/>
  <c r="AN177" i="26" s="1"/>
  <c r="AN183" i="26" s="1"/>
  <c r="AN189" i="26" s="1"/>
  <c r="AN39" i="26"/>
  <c r="AN45" i="26" s="1"/>
  <c r="AN51" i="26" s="1"/>
  <c r="AN57" i="26" s="1"/>
  <c r="AN5" i="26"/>
  <c r="AN11" i="26" s="1"/>
  <c r="AN17" i="26" s="1"/>
  <c r="AN23" i="26" s="1"/>
  <c r="AN41" i="26"/>
  <c r="AN47" i="26" s="1"/>
  <c r="AN53" i="26" s="1"/>
  <c r="AN59" i="26" s="1"/>
  <c r="AN101" i="19"/>
  <c r="AN107" i="19" s="1"/>
  <c r="AN113" i="19" s="1"/>
  <c r="AN119" i="19" s="1"/>
  <c r="AN108" i="26"/>
  <c r="AN114" i="26" s="1"/>
  <c r="AN120" i="26" s="1"/>
  <c r="AN126" i="26" s="1"/>
  <c r="AN75" i="26"/>
  <c r="AN81" i="26" s="1"/>
  <c r="AN87" i="26" s="1"/>
  <c r="AN93" i="26" s="1"/>
  <c r="AN64" i="19"/>
  <c r="AN70" i="19" s="1"/>
  <c r="AN76" i="19" s="1"/>
  <c r="AN82" i="19" s="1"/>
  <c r="AN138" i="26"/>
  <c r="AN144" i="26" s="1"/>
  <c r="AN150" i="26" s="1"/>
  <c r="AN156" i="26" s="1"/>
  <c r="AN173" i="26"/>
  <c r="AN179" i="26" s="1"/>
  <c r="AN185" i="26" s="1"/>
  <c r="AN191" i="26" s="1"/>
  <c r="AN106" i="26"/>
  <c r="AN112" i="26" s="1"/>
  <c r="AN118" i="26" s="1"/>
  <c r="AN124" i="26" s="1"/>
  <c r="AN8" i="26"/>
  <c r="AN14" i="26" s="1"/>
  <c r="AN20" i="26" s="1"/>
  <c r="AN26" i="26" s="1"/>
  <c r="AN100" i="19"/>
  <c r="AN106" i="19" s="1"/>
  <c r="AN112" i="19" s="1"/>
  <c r="AN118" i="19" s="1"/>
  <c r="AN73" i="26"/>
  <c r="AN79" i="26" s="1"/>
  <c r="AN85" i="26" s="1"/>
  <c r="AN91" i="26" s="1"/>
  <c r="AN6" i="26"/>
  <c r="AN12" i="26" s="1"/>
  <c r="AN18" i="26" s="1"/>
  <c r="AN24" i="26" s="1"/>
  <c r="AN27" i="19"/>
  <c r="AN34" i="19" s="1"/>
  <c r="AN42" i="19" s="1"/>
  <c r="AN26" i="19"/>
  <c r="AN33" i="19" s="1"/>
  <c r="AN41" i="19" s="1"/>
  <c r="AN137" i="19"/>
  <c r="AN143" i="19" s="1"/>
  <c r="AN149" i="19" s="1"/>
  <c r="AN155" i="19" s="1"/>
  <c r="AN204" i="26"/>
  <c r="AN210" i="26" s="1"/>
  <c r="AN216" i="26" s="1"/>
  <c r="AN222" i="26" s="1"/>
  <c r="AN206" i="26"/>
  <c r="AN212" i="26" s="1"/>
  <c r="AN218" i="26" s="1"/>
  <c r="AN224" i="26" s="1"/>
  <c r="L196" i="27"/>
  <c r="L163" i="27"/>
  <c r="L130" i="27"/>
  <c r="L229" i="27"/>
  <c r="L97" i="27"/>
  <c r="L64" i="27"/>
  <c r="L31" i="27"/>
  <c r="L160" i="20"/>
  <c r="L124" i="20"/>
  <c r="L88" i="20"/>
  <c r="AN117" i="26"/>
  <c r="AN123" i="26" s="1"/>
  <c r="AN74" i="19"/>
  <c r="AN80" i="19" s="1"/>
  <c r="AN7" i="26"/>
  <c r="AN13" i="26" s="1"/>
  <c r="AN19" i="26" s="1"/>
  <c r="AN25" i="26" s="1"/>
  <c r="U79" i="52"/>
  <c r="U51" i="19"/>
  <c r="X79" i="32"/>
  <c r="X97" i="32"/>
  <c r="X107" i="32"/>
  <c r="X126" i="32"/>
  <c r="X116" i="32"/>
  <c r="X135" i="32"/>
  <c r="X88" i="32"/>
  <c r="P130" i="32"/>
  <c r="M164" i="19"/>
  <c r="M166" i="19" s="1"/>
  <c r="M165" i="19" s="1"/>
  <c r="M205" i="26"/>
  <c r="M211" i="26" s="1"/>
  <c r="M217" i="26" s="1"/>
  <c r="M223" i="26" s="1"/>
  <c r="M142" i="26"/>
  <c r="M148" i="26" s="1"/>
  <c r="M154" i="26" s="1"/>
  <c r="M160" i="26" s="1"/>
  <c r="M29" i="19"/>
  <c r="M36" i="19" s="1"/>
  <c r="M44" i="19" s="1"/>
  <c r="AN74" i="26"/>
  <c r="AN80" i="26" s="1"/>
  <c r="AN86" i="26" s="1"/>
  <c r="AN92" i="26" s="1"/>
  <c r="AN72" i="26"/>
  <c r="AN78" i="26" s="1"/>
  <c r="AN84" i="26" s="1"/>
  <c r="AN90" i="26" s="1"/>
  <c r="AB153" i="26"/>
  <c r="AB159" i="26" s="1"/>
  <c r="AN79" i="19"/>
  <c r="AN85" i="19" s="1"/>
  <c r="AN115" i="19"/>
  <c r="AN121" i="19" s="1"/>
  <c r="AN217" i="26"/>
  <c r="AN223" i="26" s="1"/>
  <c r="AN182" i="26"/>
  <c r="AN188" i="26" s="1"/>
  <c r="AG125" i="19"/>
  <c r="AN110" i="19"/>
  <c r="AN116" i="19" s="1"/>
  <c r="M120" i="26"/>
  <c r="M126" i="26" s="1"/>
  <c r="AN114" i="19"/>
  <c r="AN120" i="19" s="1"/>
  <c r="P51" i="19"/>
  <c r="S116" i="32"/>
  <c r="S126" i="32"/>
  <c r="S97" i="32"/>
  <c r="S107" i="32"/>
  <c r="S135" i="32"/>
  <c r="P79" i="52"/>
  <c r="M19" i="26"/>
  <c r="M25" i="26" s="1"/>
  <c r="AN21" i="26"/>
  <c r="AN27" i="26" s="1"/>
  <c r="R148" i="19"/>
  <c r="R154" i="19" s="1"/>
  <c r="AN139" i="19"/>
  <c r="AN145" i="19" s="1"/>
  <c r="AN151" i="19" s="1"/>
  <c r="AN157" i="19" s="1"/>
  <c r="M185" i="26"/>
  <c r="M191" i="26" s="1"/>
  <c r="AQ112" i="32"/>
  <c r="X26" i="34" s="1"/>
  <c r="X40" i="34" s="1"/>
  <c r="AQ102" i="32"/>
  <c r="AQ103" i="32" s="1"/>
  <c r="X27" i="34" s="1"/>
  <c r="X41" i="34" s="1"/>
  <c r="AC161" i="32"/>
  <c r="AE18" i="34" s="1"/>
  <c r="AE32" i="34" s="1"/>
  <c r="AC142" i="32"/>
  <c r="AC143" i="32" s="1"/>
  <c r="AE16" i="34" s="1"/>
  <c r="AE30" i="34" s="1"/>
  <c r="AC151" i="32"/>
  <c r="AC152" i="32" s="1"/>
  <c r="AE17" i="34" s="1"/>
  <c r="AE31" i="34" s="1"/>
  <c r="M114" i="19"/>
  <c r="M120" i="19" s="1"/>
  <c r="AN40" i="26"/>
  <c r="AN46" i="26" s="1"/>
  <c r="AN52" i="26" s="1"/>
  <c r="AN58" i="26" s="1"/>
  <c r="P10" i="26"/>
  <c r="P16" i="26" s="1"/>
  <c r="P22" i="26" s="1"/>
  <c r="P28" i="26" s="1"/>
  <c r="P139" i="19"/>
  <c r="P145" i="19" s="1"/>
  <c r="P151" i="19" s="1"/>
  <c r="P157" i="19" s="1"/>
  <c r="AC53" i="20"/>
  <c r="AF196" i="32"/>
  <c r="AF205" i="32"/>
  <c r="AF167" i="32"/>
  <c r="AF149" i="32"/>
  <c r="AC87" i="52"/>
  <c r="AF177" i="32"/>
  <c r="AF186" i="32"/>
  <c r="AF158" i="32"/>
  <c r="Y173" i="26"/>
  <c r="Y179" i="26" s="1"/>
  <c r="Y185" i="26" s="1"/>
  <c r="Y191" i="26" s="1"/>
  <c r="Y106" i="26"/>
  <c r="Y112" i="26" s="1"/>
  <c r="Y118" i="26" s="1"/>
  <c r="Y124" i="26" s="1"/>
  <c r="M134" i="19"/>
  <c r="M140" i="19" s="1"/>
  <c r="M146" i="19" s="1"/>
  <c r="M152" i="19" s="1"/>
  <c r="M136" i="19"/>
  <c r="M142" i="19" s="1"/>
  <c r="M148" i="19" s="1"/>
  <c r="M154" i="19" s="1"/>
  <c r="AB112" i="19"/>
  <c r="AB118" i="19" s="1"/>
  <c r="H163" i="32"/>
  <c r="H201" i="32"/>
  <c r="H192" i="32"/>
  <c r="H173" i="32"/>
  <c r="H154" i="32"/>
  <c r="E83" i="52"/>
  <c r="E49" i="20"/>
  <c r="H182" i="32"/>
  <c r="H145" i="32"/>
  <c r="AI108" i="26"/>
  <c r="AI114" i="26" s="1"/>
  <c r="AI67" i="19"/>
  <c r="AI73" i="19" s="1"/>
  <c r="R140" i="26"/>
  <c r="R146" i="26" s="1"/>
  <c r="AD194" i="27"/>
  <c r="AD161" i="27"/>
  <c r="AD95" i="27"/>
  <c r="AD29" i="27"/>
  <c r="AD227" i="27"/>
  <c r="AD86" i="20"/>
  <c r="O48" i="19"/>
  <c r="O76" i="52"/>
  <c r="R76" i="32"/>
  <c r="R113" i="32"/>
  <c r="R123" i="32"/>
  <c r="R104" i="32"/>
  <c r="O47" i="19"/>
  <c r="R94" i="32"/>
  <c r="R85" i="32"/>
  <c r="R132" i="32"/>
  <c r="O93" i="19"/>
  <c r="O129" i="19"/>
  <c r="D118" i="26"/>
  <c r="D124" i="26" s="1"/>
  <c r="P71" i="26"/>
  <c r="P77" i="26" s="1"/>
  <c r="P83" i="26" s="1"/>
  <c r="P89" i="26" s="1"/>
  <c r="Y103" i="19"/>
  <c r="Y109" i="19" s="1"/>
  <c r="Y115" i="19" s="1"/>
  <c r="Y121" i="19" s="1"/>
  <c r="Y170" i="26"/>
  <c r="Y176" i="26" s="1"/>
  <c r="Y182" i="26" s="1"/>
  <c r="Y188" i="26" s="1"/>
  <c r="M65" i="19"/>
  <c r="M71" i="19" s="1"/>
  <c r="M77" i="19" s="1"/>
  <c r="M83" i="19" s="1"/>
  <c r="M31" i="19"/>
  <c r="M38" i="19" s="1"/>
  <c r="M46" i="19" s="1"/>
  <c r="AB78" i="19"/>
  <c r="AB84" i="19" s="1"/>
  <c r="E123" i="20"/>
  <c r="AI170" i="26"/>
  <c r="AI176" i="26" s="1"/>
  <c r="AI106" i="26"/>
  <c r="AI112" i="26" s="1"/>
  <c r="R39" i="26"/>
  <c r="R45" i="26" s="1"/>
  <c r="E41" i="33"/>
  <c r="K38" i="33"/>
  <c r="E59" i="27"/>
  <c r="H156" i="32"/>
  <c r="AC158" i="27"/>
  <c r="AF184" i="32"/>
  <c r="D116" i="26"/>
  <c r="D122" i="26" s="1"/>
  <c r="U94" i="26"/>
  <c r="X99" i="32"/>
  <c r="AD125" i="32"/>
  <c r="AA78" i="52"/>
  <c r="AA50" i="19"/>
  <c r="AA160" i="19" s="1"/>
  <c r="AD115" i="32"/>
  <c r="AD134" i="32"/>
  <c r="AD78" i="32"/>
  <c r="AD87" i="32"/>
  <c r="AD96" i="32"/>
  <c r="U124" i="26"/>
  <c r="X106" i="32"/>
  <c r="Y217" i="26"/>
  <c r="Y223" i="26" s="1"/>
  <c r="Y43" i="19"/>
  <c r="M38" i="26"/>
  <c r="M44" i="26" s="1"/>
  <c r="M104" i="26"/>
  <c r="M110" i="26" s="1"/>
  <c r="AB117" i="26"/>
  <c r="AB123" i="26" s="1"/>
  <c r="E226" i="27"/>
  <c r="H205" i="32"/>
  <c r="R84" i="26"/>
  <c r="R90" i="26" s="1"/>
  <c r="AC157" i="27"/>
  <c r="AF183" i="32"/>
  <c r="X114" i="32"/>
  <c r="AD122" i="27"/>
  <c r="AD128" i="27" s="1"/>
  <c r="AG172" i="32"/>
  <c r="AK65" i="27"/>
  <c r="AK230" i="27"/>
  <c r="AK197" i="27"/>
  <c r="AK164" i="27"/>
  <c r="AK131" i="27"/>
  <c r="AK98" i="27"/>
  <c r="AK32" i="27"/>
  <c r="AK161" i="20"/>
  <c r="AK89" i="20"/>
  <c r="AB112" i="32"/>
  <c r="AD26" i="34" s="1"/>
  <c r="AD40" i="34" s="1"/>
  <c r="AB102" i="32"/>
  <c r="AB103" i="32" s="1"/>
  <c r="AD27" i="34" s="1"/>
  <c r="AD41" i="34" s="1"/>
  <c r="M206" i="26"/>
  <c r="M212" i="26" s="1"/>
  <c r="M218" i="26" s="1"/>
  <c r="M224" i="26" s="1"/>
  <c r="M17" i="19"/>
  <c r="M19" i="19" s="1"/>
  <c r="R86" i="26"/>
  <c r="R92" i="26" s="1"/>
  <c r="AC229" i="27"/>
  <c r="AC196" i="27"/>
  <c r="AC163" i="27"/>
  <c r="AC97" i="27"/>
  <c r="AC31" i="27"/>
  <c r="AC64" i="27"/>
  <c r="AC130" i="27"/>
  <c r="AC124" i="20"/>
  <c r="AK142" i="32"/>
  <c r="AK143" i="32" s="1"/>
  <c r="AN16" i="34" s="1"/>
  <c r="AN30" i="34" s="1"/>
  <c r="AK151" i="32"/>
  <c r="AK152" i="32" s="1"/>
  <c r="AN17" i="34" s="1"/>
  <c r="AN31" i="34" s="1"/>
  <c r="AK161" i="32"/>
  <c r="AN18" i="34" s="1"/>
  <c r="AN32" i="34" s="1"/>
  <c r="AE189" i="32"/>
  <c r="AE190" i="32" s="1"/>
  <c r="AG22" i="34" s="1"/>
  <c r="AG36" i="34" s="1"/>
  <c r="AE199" i="32"/>
  <c r="AG21" i="34" s="1"/>
  <c r="AG35" i="34" s="1"/>
  <c r="AG79" i="52"/>
  <c r="AJ88" i="32"/>
  <c r="AJ135" i="32"/>
  <c r="AJ116" i="32"/>
  <c r="AJ79" i="32"/>
  <c r="AJ126" i="32"/>
  <c r="AJ97" i="32"/>
  <c r="AJ107" i="32"/>
  <c r="AG51" i="19"/>
  <c r="P26" i="19"/>
  <c r="P33" i="19" s="1"/>
  <c r="P41" i="19" s="1"/>
  <c r="P102" i="19"/>
  <c r="P108" i="19" s="1"/>
  <c r="P114" i="19" s="1"/>
  <c r="P120" i="19" s="1"/>
  <c r="P99" i="19"/>
  <c r="P105" i="19" s="1"/>
  <c r="P111" i="19" s="1"/>
  <c r="P117" i="19" s="1"/>
  <c r="P109" i="26"/>
  <c r="P115" i="26" s="1"/>
  <c r="P121" i="26" s="1"/>
  <c r="P127" i="26" s="1"/>
  <c r="P28" i="19"/>
  <c r="P35" i="19" s="1"/>
  <c r="P43" i="19" s="1"/>
  <c r="P104" i="26"/>
  <c r="P110" i="26" s="1"/>
  <c r="P116" i="26" s="1"/>
  <c r="P122" i="26" s="1"/>
  <c r="P73" i="26"/>
  <c r="P79" i="26" s="1"/>
  <c r="P85" i="26" s="1"/>
  <c r="P91" i="26" s="1"/>
  <c r="P107" i="26"/>
  <c r="P113" i="26" s="1"/>
  <c r="P119" i="26" s="1"/>
  <c r="P125" i="26" s="1"/>
  <c r="P135" i="19"/>
  <c r="P141" i="19" s="1"/>
  <c r="P147" i="19" s="1"/>
  <c r="P153" i="19" s="1"/>
  <c r="P174" i="26"/>
  <c r="P180" i="26" s="1"/>
  <c r="P186" i="26" s="1"/>
  <c r="P192" i="26" s="1"/>
  <c r="P32" i="19"/>
  <c r="P39" i="19" s="1"/>
  <c r="P40" i="19" s="1"/>
  <c r="P31" i="19"/>
  <c r="P38" i="19" s="1"/>
  <c r="P46" i="19" s="1"/>
  <c r="P39" i="26"/>
  <c r="P45" i="26" s="1"/>
  <c r="P51" i="26" s="1"/>
  <c r="P57" i="26" s="1"/>
  <c r="P65" i="19"/>
  <c r="P71" i="19" s="1"/>
  <c r="P77" i="19" s="1"/>
  <c r="P83" i="19" s="1"/>
  <c r="P89" i="19" s="1"/>
  <c r="P41" i="26"/>
  <c r="P47" i="26" s="1"/>
  <c r="P53" i="26" s="1"/>
  <c r="P59" i="26" s="1"/>
  <c r="P207" i="26"/>
  <c r="P213" i="26" s="1"/>
  <c r="P219" i="26" s="1"/>
  <c r="P225" i="26" s="1"/>
  <c r="L81" i="52"/>
  <c r="L53" i="19"/>
  <c r="O81" i="32"/>
  <c r="O128" i="32"/>
  <c r="O109" i="32"/>
  <c r="O118" i="32"/>
  <c r="O90" i="32"/>
  <c r="O99" i="32"/>
  <c r="M109" i="26"/>
  <c r="M115" i="26" s="1"/>
  <c r="M121" i="26" s="1"/>
  <c r="M127" i="26" s="1"/>
  <c r="M30" i="19"/>
  <c r="M37" i="19" s="1"/>
  <c r="M45" i="19" s="1"/>
  <c r="AB45" i="19"/>
  <c r="AI137" i="26"/>
  <c r="AI143" i="26" s="1"/>
  <c r="R28" i="19"/>
  <c r="R35" i="19" s="1"/>
  <c r="AN129" i="19"/>
  <c r="P139" i="26"/>
  <c r="P145" i="26" s="1"/>
  <c r="P151" i="26" s="1"/>
  <c r="P157" i="26" s="1"/>
  <c r="P101" i="19"/>
  <c r="P107" i="19" s="1"/>
  <c r="P113" i="19" s="1"/>
  <c r="P119" i="19" s="1"/>
  <c r="P125" i="19" s="1"/>
  <c r="P62" i="19"/>
  <c r="P68" i="19" s="1"/>
  <c r="P74" i="19" s="1"/>
  <c r="P80" i="19" s="1"/>
  <c r="Y149" i="26"/>
  <c r="Y155" i="26" s="1"/>
  <c r="Y44" i="19"/>
  <c r="M171" i="26"/>
  <c r="M177" i="26" s="1"/>
  <c r="M183" i="26" s="1"/>
  <c r="M189" i="26" s="1"/>
  <c r="M99" i="19"/>
  <c r="M105" i="19" s="1"/>
  <c r="M111" i="19" s="1"/>
  <c r="M117" i="19" s="1"/>
  <c r="AB88" i="26"/>
  <c r="AB94" i="26" s="1"/>
  <c r="U189" i="26"/>
  <c r="X124" i="32"/>
  <c r="AI203" i="26"/>
  <c r="AI209" i="26" s="1"/>
  <c r="R7" i="26"/>
  <c r="R13" i="26" s="1"/>
  <c r="AP77" i="32"/>
  <c r="AP95" i="32"/>
  <c r="AP105" i="32"/>
  <c r="AM77" i="52"/>
  <c r="AM49" i="19"/>
  <c r="AM87" i="19" s="1"/>
  <c r="AP114" i="32"/>
  <c r="AP133" i="32"/>
  <c r="AP124" i="32"/>
  <c r="AP86" i="32"/>
  <c r="AB164" i="20"/>
  <c r="AB166" i="20" s="1"/>
  <c r="AE162" i="27"/>
  <c r="AE129" i="27"/>
  <c r="AE96" i="27"/>
  <c r="AE63" i="27"/>
  <c r="AE228" i="27"/>
  <c r="AE195" i="27"/>
  <c r="AE30" i="27"/>
  <c r="AE123" i="20"/>
  <c r="AE87" i="20"/>
  <c r="AE159" i="20"/>
  <c r="P208" i="26"/>
  <c r="P214" i="26" s="1"/>
  <c r="P220" i="26" s="1"/>
  <c r="P226" i="26" s="1"/>
  <c r="P204" i="26"/>
  <c r="P210" i="26" s="1"/>
  <c r="P216" i="26" s="1"/>
  <c r="P222" i="26" s="1"/>
  <c r="P108" i="26"/>
  <c r="P114" i="26" s="1"/>
  <c r="P120" i="26" s="1"/>
  <c r="P126" i="26" s="1"/>
  <c r="Y204" i="26"/>
  <c r="Y210" i="26" s="1"/>
  <c r="Y216" i="26" s="1"/>
  <c r="Y222" i="26" s="1"/>
  <c r="Y40" i="26"/>
  <c r="Y46" i="26" s="1"/>
  <c r="Y52" i="26" s="1"/>
  <c r="Y58" i="26" s="1"/>
  <c r="M170" i="26"/>
  <c r="M176" i="26" s="1"/>
  <c r="M182" i="26" s="1"/>
  <c r="M188" i="26" s="1"/>
  <c r="M175" i="26"/>
  <c r="M181" i="26" s="1"/>
  <c r="M187" i="26" s="1"/>
  <c r="M193" i="26" s="1"/>
  <c r="AB17" i="26"/>
  <c r="AB23" i="26" s="1"/>
  <c r="AL102" i="32"/>
  <c r="AL103" i="32" s="1"/>
  <c r="D27" i="34" s="1"/>
  <c r="D41" i="34" s="1"/>
  <c r="AL112" i="32"/>
  <c r="D26" i="34" s="1"/>
  <c r="D40" i="34" s="1"/>
  <c r="R29" i="19"/>
  <c r="R36" i="19" s="1"/>
  <c r="R44" i="19" s="1"/>
  <c r="AD222" i="27"/>
  <c r="AG201" i="32"/>
  <c r="U131" i="32"/>
  <c r="T28" i="34" s="1"/>
  <c r="T42" i="34" s="1"/>
  <c r="U121" i="32"/>
  <c r="U122" i="32" s="1"/>
  <c r="T29" i="34" s="1"/>
  <c r="T43" i="34" s="1"/>
  <c r="L161" i="27"/>
  <c r="L128" i="27"/>
  <c r="L95" i="27"/>
  <c r="L62" i="27"/>
  <c r="L227" i="27"/>
  <c r="L194" i="27"/>
  <c r="L29" i="27"/>
  <c r="L158" i="20"/>
  <c r="L122" i="20"/>
  <c r="M161" i="32"/>
  <c r="L18" i="34" s="1"/>
  <c r="L32" i="34" s="1"/>
  <c r="M151" i="32"/>
  <c r="M152" i="32" s="1"/>
  <c r="L17" i="34" s="1"/>
  <c r="L31" i="34" s="1"/>
  <c r="M142" i="32"/>
  <c r="M143" i="32" s="1"/>
  <c r="L16" i="34" s="1"/>
  <c r="L30" i="34" s="1"/>
  <c r="P76" i="26"/>
  <c r="P82" i="26" s="1"/>
  <c r="P88" i="26" s="1"/>
  <c r="P94" i="26" s="1"/>
  <c r="P175" i="26"/>
  <c r="P181" i="26" s="1"/>
  <c r="P187" i="26" s="1"/>
  <c r="P193" i="26" s="1"/>
  <c r="P138" i="19"/>
  <c r="P144" i="19" s="1"/>
  <c r="P150" i="19" s="1"/>
  <c r="P156" i="19" s="1"/>
  <c r="Y142" i="26"/>
  <c r="Y148" i="26" s="1"/>
  <c r="Y154" i="26" s="1"/>
  <c r="Y160" i="26" s="1"/>
  <c r="Y66" i="19"/>
  <c r="Y72" i="19" s="1"/>
  <c r="Y78" i="19" s="1"/>
  <c r="Y84" i="19" s="1"/>
  <c r="M103" i="19"/>
  <c r="M109" i="19" s="1"/>
  <c r="M115" i="19" s="1"/>
  <c r="M121" i="19" s="1"/>
  <c r="AB152" i="26"/>
  <c r="AB158" i="26" s="1"/>
  <c r="AB151" i="26"/>
  <c r="AB157" i="26" s="1"/>
  <c r="AI172" i="26"/>
  <c r="AI178" i="26" s="1"/>
  <c r="R75" i="26"/>
  <c r="R81" i="26" s="1"/>
  <c r="R87" i="26" s="1"/>
  <c r="R93" i="26" s="1"/>
  <c r="AL131" i="32"/>
  <c r="D28" i="34" s="1"/>
  <c r="D42" i="34" s="1"/>
  <c r="AL121" i="32"/>
  <c r="AL122" i="32" s="1"/>
  <c r="D29" i="34" s="1"/>
  <c r="D43" i="34" s="1"/>
  <c r="AD158" i="20"/>
  <c r="U27" i="26"/>
  <c r="X80" i="32"/>
  <c r="P172" i="26"/>
  <c r="P178" i="26" s="1"/>
  <c r="P184" i="26" s="1"/>
  <c r="P190" i="26" s="1"/>
  <c r="P134" i="19"/>
  <c r="P140" i="19" s="1"/>
  <c r="P146" i="19" s="1"/>
  <c r="P152" i="19" s="1"/>
  <c r="T130" i="32"/>
  <c r="Q42" i="26"/>
  <c r="Q48" i="26" s="1"/>
  <c r="Q28" i="19"/>
  <c r="Q35" i="19" s="1"/>
  <c r="Y105" i="26"/>
  <c r="Y111" i="26" s="1"/>
  <c r="Y117" i="26" s="1"/>
  <c r="Y123" i="26" s="1"/>
  <c r="Y62" i="19"/>
  <c r="Y68" i="19" s="1"/>
  <c r="Y74" i="19" s="1"/>
  <c r="Y80" i="19" s="1"/>
  <c r="M137" i="19"/>
  <c r="M143" i="19" s="1"/>
  <c r="M149" i="19" s="1"/>
  <c r="M155" i="19" s="1"/>
  <c r="M41" i="26"/>
  <c r="M47" i="26" s="1"/>
  <c r="M53" i="26" s="1"/>
  <c r="M59" i="26" s="1"/>
  <c r="AB26" i="19"/>
  <c r="AB33" i="19" s="1"/>
  <c r="AB103" i="19"/>
  <c r="AB109" i="19" s="1"/>
  <c r="AB115" i="19" s="1"/>
  <c r="AB121" i="19" s="1"/>
  <c r="AB39" i="26"/>
  <c r="AB45" i="26" s="1"/>
  <c r="AB51" i="26" s="1"/>
  <c r="AB57" i="26" s="1"/>
  <c r="AB107" i="26"/>
  <c r="AB113" i="26" s="1"/>
  <c r="AB119" i="26" s="1"/>
  <c r="AB125" i="26" s="1"/>
  <c r="AB138" i="26"/>
  <c r="AB144" i="26" s="1"/>
  <c r="AB150" i="26" s="1"/>
  <c r="AB156" i="26" s="1"/>
  <c r="AB43" i="26"/>
  <c r="AB49" i="26" s="1"/>
  <c r="AB55" i="26" s="1"/>
  <c r="AB61" i="26" s="1"/>
  <c r="AB207" i="26"/>
  <c r="AB213" i="26" s="1"/>
  <c r="AB219" i="26" s="1"/>
  <c r="AB225" i="26" s="1"/>
  <c r="AB31" i="19"/>
  <c r="AB38" i="19" s="1"/>
  <c r="AB46" i="19" s="1"/>
  <c r="AB204" i="26"/>
  <c r="AB210" i="26" s="1"/>
  <c r="AB216" i="26" s="1"/>
  <c r="AB222" i="26" s="1"/>
  <c r="AB9" i="26"/>
  <c r="AB15" i="26" s="1"/>
  <c r="AB21" i="26" s="1"/>
  <c r="AB27" i="26" s="1"/>
  <c r="AB136" i="19"/>
  <c r="AB142" i="19" s="1"/>
  <c r="AB148" i="19" s="1"/>
  <c r="AB154" i="19" s="1"/>
  <c r="AB73" i="26"/>
  <c r="AB79" i="26" s="1"/>
  <c r="AB85" i="26" s="1"/>
  <c r="AB91" i="26" s="1"/>
  <c r="AB65" i="19"/>
  <c r="AB71" i="19" s="1"/>
  <c r="AB77" i="19" s="1"/>
  <c r="AB83" i="19" s="1"/>
  <c r="AB171" i="26"/>
  <c r="AB177" i="26" s="1"/>
  <c r="AB183" i="26" s="1"/>
  <c r="AB189" i="26" s="1"/>
  <c r="AB28" i="19"/>
  <c r="AB35" i="19" s="1"/>
  <c r="AB43" i="19" s="1"/>
  <c r="AB142" i="26"/>
  <c r="AB148" i="26" s="1"/>
  <c r="AB154" i="26" s="1"/>
  <c r="AB160" i="26" s="1"/>
  <c r="AB17" i="19"/>
  <c r="AB19" i="19" s="1"/>
  <c r="AB32" i="19"/>
  <c r="AB39" i="19" s="1"/>
  <c r="AB40" i="19" s="1"/>
  <c r="AB174" i="26"/>
  <c r="AB180" i="26" s="1"/>
  <c r="AB186" i="26" s="1"/>
  <c r="AB192" i="26" s="1"/>
  <c r="AB172" i="26"/>
  <c r="AB178" i="26" s="1"/>
  <c r="AB184" i="26" s="1"/>
  <c r="AB190" i="26" s="1"/>
  <c r="AB10" i="26"/>
  <c r="AB16" i="26" s="1"/>
  <c r="AB22" i="26" s="1"/>
  <c r="AB28" i="26" s="1"/>
  <c r="AB71" i="26"/>
  <c r="AB77" i="26" s="1"/>
  <c r="AB83" i="26" s="1"/>
  <c r="AB89" i="26" s="1"/>
  <c r="AB62" i="19"/>
  <c r="AB68" i="19" s="1"/>
  <c r="AB74" i="19" s="1"/>
  <c r="AB80" i="19" s="1"/>
  <c r="AB137" i="19"/>
  <c r="AB143" i="19" s="1"/>
  <c r="AB137" i="26"/>
  <c r="AB143" i="26" s="1"/>
  <c r="AB99" i="19"/>
  <c r="AB105" i="19" s="1"/>
  <c r="AB111" i="19" s="1"/>
  <c r="AB117" i="19" s="1"/>
  <c r="AB108" i="26"/>
  <c r="AB114" i="26" s="1"/>
  <c r="AB120" i="26" s="1"/>
  <c r="AB126" i="26" s="1"/>
  <c r="AB173" i="26"/>
  <c r="AB179" i="26" s="1"/>
  <c r="AB185" i="26" s="1"/>
  <c r="AB191" i="26" s="1"/>
  <c r="AB109" i="26"/>
  <c r="AB115" i="26" s="1"/>
  <c r="AB121" i="26" s="1"/>
  <c r="AB127" i="26" s="1"/>
  <c r="AB40" i="26"/>
  <c r="AB46" i="26" s="1"/>
  <c r="AB52" i="26" s="1"/>
  <c r="AB58" i="26" s="1"/>
  <c r="AB104" i="26"/>
  <c r="AB110" i="26" s="1"/>
  <c r="AB116" i="26" s="1"/>
  <c r="AB122" i="26" s="1"/>
  <c r="AB205" i="26"/>
  <c r="AB211" i="26" s="1"/>
  <c r="AB217" i="26" s="1"/>
  <c r="AB223" i="26" s="1"/>
  <c r="AB7" i="26"/>
  <c r="AB13" i="26" s="1"/>
  <c r="AB19" i="26" s="1"/>
  <c r="AB25" i="26" s="1"/>
  <c r="AB106" i="26"/>
  <c r="AB112" i="26" s="1"/>
  <c r="AB118" i="26" s="1"/>
  <c r="AB124" i="26" s="1"/>
  <c r="AF24" i="26"/>
  <c r="AI77" i="32"/>
  <c r="R137" i="19"/>
  <c r="R143" i="19" s="1"/>
  <c r="R149" i="19" s="1"/>
  <c r="R155" i="19" s="1"/>
  <c r="AE231" i="27"/>
  <c r="AE33" i="27"/>
  <c r="AE198" i="27"/>
  <c r="AE165" i="27"/>
  <c r="AE132" i="27"/>
  <c r="AE99" i="27"/>
  <c r="AE66" i="27"/>
  <c r="AE126" i="20"/>
  <c r="AE162" i="20"/>
  <c r="AE90" i="20"/>
  <c r="AJ18" i="19"/>
  <c r="AJ12" i="19"/>
  <c r="AJ6" i="19"/>
  <c r="AJ15" i="19"/>
  <c r="AB23" i="20"/>
  <c r="H153" i="32"/>
  <c r="H181" i="32"/>
  <c r="H144" i="32"/>
  <c r="E47" i="20"/>
  <c r="E82" i="52"/>
  <c r="E48" i="20"/>
  <c r="H172" i="32"/>
  <c r="H162" i="32"/>
  <c r="H191" i="32"/>
  <c r="H200" i="32"/>
  <c r="E93" i="20"/>
  <c r="E129" i="20"/>
  <c r="E165" i="20"/>
  <c r="S112" i="32"/>
  <c r="O26" i="34" s="1"/>
  <c r="O40" i="34" s="1"/>
  <c r="S102" i="32"/>
  <c r="S103" i="32" s="1"/>
  <c r="O27" i="34" s="1"/>
  <c r="O41" i="34" s="1"/>
  <c r="P5" i="26"/>
  <c r="P11" i="26" s="1"/>
  <c r="P17" i="26" s="1"/>
  <c r="P23" i="26" s="1"/>
  <c r="Y5" i="26"/>
  <c r="Y11" i="26" s="1"/>
  <c r="Y17" i="26" s="1"/>
  <c r="Y23" i="26" s="1"/>
  <c r="Y138" i="26"/>
  <c r="Y144" i="26" s="1"/>
  <c r="Y150" i="26" s="1"/>
  <c r="Y156" i="26" s="1"/>
  <c r="M28" i="19"/>
  <c r="M35" i="19" s="1"/>
  <c r="M43" i="19" s="1"/>
  <c r="AB146" i="19"/>
  <c r="AB152" i="19" s="1"/>
  <c r="AB54" i="26"/>
  <c r="AB60" i="26" s="1"/>
  <c r="AI63" i="19"/>
  <c r="AI69" i="19" s="1"/>
  <c r="AI104" i="26"/>
  <c r="AI110" i="26" s="1"/>
  <c r="AI116" i="26" s="1"/>
  <c r="AI122" i="26" s="1"/>
  <c r="AI135" i="19"/>
  <c r="AI141" i="19" s="1"/>
  <c r="AI101" i="19"/>
  <c r="AI107" i="19" s="1"/>
  <c r="AI109" i="26"/>
  <c r="AI115" i="26" s="1"/>
  <c r="AI171" i="26"/>
  <c r="AI177" i="26" s="1"/>
  <c r="AI74" i="26"/>
  <c r="AI80" i="26" s="1"/>
  <c r="AI103" i="19"/>
  <c r="AI109" i="19" s="1"/>
  <c r="AI139" i="26"/>
  <c r="AI145" i="26" s="1"/>
  <c r="AI10" i="26"/>
  <c r="AI16" i="26" s="1"/>
  <c r="AI64" i="19"/>
  <c r="AI70" i="19" s="1"/>
  <c r="AI39" i="26"/>
  <c r="AI45" i="26" s="1"/>
  <c r="AI51" i="26" s="1"/>
  <c r="AI57" i="26" s="1"/>
  <c r="AI139" i="19"/>
  <c r="AI145" i="19" s="1"/>
  <c r="AI98" i="19"/>
  <c r="AI104" i="19" s="1"/>
  <c r="AI137" i="19"/>
  <c r="AI143" i="19" s="1"/>
  <c r="AI142" i="26"/>
  <c r="AI148" i="26" s="1"/>
  <c r="AI42" i="26"/>
  <c r="AI48" i="26" s="1"/>
  <c r="AI102" i="19"/>
  <c r="AI108" i="19" s="1"/>
  <c r="AI114" i="19" s="1"/>
  <c r="AI120" i="19" s="1"/>
  <c r="AI205" i="26"/>
  <c r="AI211" i="26" s="1"/>
  <c r="AI141" i="26"/>
  <c r="AI147" i="26" s="1"/>
  <c r="AI153" i="26" s="1"/>
  <c r="AI159" i="26" s="1"/>
  <c r="AI62" i="19"/>
  <c r="AI68" i="19" s="1"/>
  <c r="AI6" i="26"/>
  <c r="AI12" i="26" s="1"/>
  <c r="AI175" i="26"/>
  <c r="AI181" i="26" s="1"/>
  <c r="AI26" i="19"/>
  <c r="AI33" i="19" s="1"/>
  <c r="AI75" i="26"/>
  <c r="AI81" i="26" s="1"/>
  <c r="AI40" i="26"/>
  <c r="AI46" i="26" s="1"/>
  <c r="AI52" i="26" s="1"/>
  <c r="AI58" i="26" s="1"/>
  <c r="AI29" i="19"/>
  <c r="AI36" i="19" s="1"/>
  <c r="AI8" i="26"/>
  <c r="AI14" i="26" s="1"/>
  <c r="AI138" i="26"/>
  <c r="AI144" i="26" s="1"/>
  <c r="AI66" i="19"/>
  <c r="AI72" i="19" s="1"/>
  <c r="AI78" i="19" s="1"/>
  <c r="AI84" i="19" s="1"/>
  <c r="AI7" i="26"/>
  <c r="AI13" i="26" s="1"/>
  <c r="AI28" i="19"/>
  <c r="AI35" i="19" s="1"/>
  <c r="AI41" i="26"/>
  <c r="AI47" i="26" s="1"/>
  <c r="AI136" i="19"/>
  <c r="AI142" i="19" s="1"/>
  <c r="AI100" i="19"/>
  <c r="AI106" i="19" s="1"/>
  <c r="AI99" i="19"/>
  <c r="AI105" i="19" s="1"/>
  <c r="AI111" i="19" s="1"/>
  <c r="AI117" i="19" s="1"/>
  <c r="AI207" i="26"/>
  <c r="AI213" i="26" s="1"/>
  <c r="AI219" i="26" s="1"/>
  <c r="AI225" i="26" s="1"/>
  <c r="AI5" i="26"/>
  <c r="AI11" i="26" s="1"/>
  <c r="U193" i="26"/>
  <c r="X128" i="32"/>
  <c r="AN74" i="32"/>
  <c r="AN75" i="32" s="1"/>
  <c r="AB23" i="34" s="1"/>
  <c r="AB37" i="34" s="1"/>
  <c r="AN93" i="32"/>
  <c r="AB25" i="34" s="1"/>
  <c r="AB39" i="34" s="1"/>
  <c r="AN83" i="32"/>
  <c r="AN84" i="32" s="1"/>
  <c r="AB24" i="34" s="1"/>
  <c r="AB38" i="34" s="1"/>
  <c r="AP134" i="32"/>
  <c r="AP115" i="32"/>
  <c r="AP78" i="32"/>
  <c r="AM78" i="52"/>
  <c r="AP96" i="32"/>
  <c r="AM50" i="19"/>
  <c r="AP87" i="32"/>
  <c r="AP125" i="32"/>
  <c r="AP106" i="32"/>
  <c r="M140" i="26"/>
  <c r="M146" i="26" s="1"/>
  <c r="M152" i="26" s="1"/>
  <c r="M158" i="26" s="1"/>
  <c r="M26" i="19"/>
  <c r="M33" i="19" s="1"/>
  <c r="M41" i="19" s="1"/>
  <c r="M129" i="19" s="1"/>
  <c r="M172" i="26"/>
  <c r="M178" i="26" s="1"/>
  <c r="M184" i="26" s="1"/>
  <c r="M190" i="26" s="1"/>
  <c r="M203" i="26"/>
  <c r="M209" i="26" s="1"/>
  <c r="M215" i="26" s="1"/>
  <c r="M221" i="26" s="1"/>
  <c r="M63" i="19"/>
  <c r="M69" i="19" s="1"/>
  <c r="M75" i="19" s="1"/>
  <c r="M81" i="19" s="1"/>
  <c r="M9" i="26"/>
  <c r="M15" i="26" s="1"/>
  <c r="M21" i="26" s="1"/>
  <c r="M27" i="26" s="1"/>
  <c r="M40" i="26"/>
  <c r="M46" i="26" s="1"/>
  <c r="M52" i="26" s="1"/>
  <c r="M58" i="26" s="1"/>
  <c r="M105" i="26"/>
  <c r="M111" i="26" s="1"/>
  <c r="M117" i="26" s="1"/>
  <c r="M123" i="26" s="1"/>
  <c r="M100" i="19"/>
  <c r="M106" i="19" s="1"/>
  <c r="M112" i="19" s="1"/>
  <c r="M118" i="19" s="1"/>
  <c r="M135" i="19"/>
  <c r="M141" i="19" s="1"/>
  <c r="M147" i="19" s="1"/>
  <c r="M153" i="19" s="1"/>
  <c r="M107" i="26"/>
  <c r="M113" i="26" s="1"/>
  <c r="M119" i="26" s="1"/>
  <c r="M125" i="26" s="1"/>
  <c r="M75" i="26"/>
  <c r="M81" i="26" s="1"/>
  <c r="M87" i="26" s="1"/>
  <c r="M93" i="26" s="1"/>
  <c r="M207" i="26"/>
  <c r="M213" i="26" s="1"/>
  <c r="M219" i="26" s="1"/>
  <c r="M225" i="26" s="1"/>
  <c r="M10" i="26"/>
  <c r="M16" i="26" s="1"/>
  <c r="M22" i="26" s="1"/>
  <c r="M28" i="26" s="1"/>
  <c r="M106" i="26"/>
  <c r="M112" i="26" s="1"/>
  <c r="M118" i="26" s="1"/>
  <c r="M124" i="26" s="1"/>
  <c r="M67" i="19"/>
  <c r="M73" i="19" s="1"/>
  <c r="M79" i="19" s="1"/>
  <c r="M85" i="19" s="1"/>
  <c r="M5" i="26"/>
  <c r="M11" i="26" s="1"/>
  <c r="M17" i="26" s="1"/>
  <c r="M23" i="26" s="1"/>
  <c r="M64" i="19"/>
  <c r="M70" i="19" s="1"/>
  <c r="M76" i="19" s="1"/>
  <c r="M82" i="19" s="1"/>
  <c r="M98" i="19"/>
  <c r="M104" i="19" s="1"/>
  <c r="M110" i="19" s="1"/>
  <c r="M116" i="19" s="1"/>
  <c r="M27" i="19"/>
  <c r="M34" i="19" s="1"/>
  <c r="M42" i="19" s="1"/>
  <c r="M66" i="19"/>
  <c r="M72" i="19" s="1"/>
  <c r="M78" i="19" s="1"/>
  <c r="M84" i="19" s="1"/>
  <c r="M43" i="26"/>
  <c r="M49" i="26" s="1"/>
  <c r="M55" i="26" s="1"/>
  <c r="M61" i="26" s="1"/>
  <c r="M138" i="19"/>
  <c r="M144" i="19" s="1"/>
  <c r="M150" i="19" s="1"/>
  <c r="M156" i="19" s="1"/>
  <c r="M72" i="26"/>
  <c r="M78" i="26" s="1"/>
  <c r="M84" i="26" s="1"/>
  <c r="M90" i="26" s="1"/>
  <c r="M62" i="19"/>
  <c r="M68" i="19" s="1"/>
  <c r="M74" i="19" s="1"/>
  <c r="M80" i="19" s="1"/>
  <c r="M73" i="26"/>
  <c r="M79" i="26" s="1"/>
  <c r="M85" i="26" s="1"/>
  <c r="M91" i="26" s="1"/>
  <c r="M141" i="26"/>
  <c r="M147" i="26" s="1"/>
  <c r="M153" i="26" s="1"/>
  <c r="M159" i="26" s="1"/>
  <c r="M6" i="26"/>
  <c r="M12" i="26" s="1"/>
  <c r="M18" i="26" s="1"/>
  <c r="M24" i="26" s="1"/>
  <c r="M74" i="26"/>
  <c r="M80" i="26" s="1"/>
  <c r="M86" i="26" s="1"/>
  <c r="M92" i="26" s="1"/>
  <c r="M204" i="26"/>
  <c r="M210" i="26" s="1"/>
  <c r="M216" i="26" s="1"/>
  <c r="M222" i="26" s="1"/>
  <c r="M174" i="26"/>
  <c r="M180" i="26" s="1"/>
  <c r="M186" i="26" s="1"/>
  <c r="M192" i="26" s="1"/>
  <c r="AB75" i="19"/>
  <c r="AB81" i="19" s="1"/>
  <c r="AB18" i="26"/>
  <c r="AB24" i="26" s="1"/>
  <c r="AF182" i="32"/>
  <c r="AF201" i="32"/>
  <c r="AF192" i="32"/>
  <c r="AF163" i="32"/>
  <c r="AF154" i="32"/>
  <c r="AC49" i="20"/>
  <c r="AF173" i="32"/>
  <c r="AF145" i="32"/>
  <c r="AC83" i="52"/>
  <c r="R83" i="26"/>
  <c r="R89" i="26" s="1"/>
  <c r="R119" i="26"/>
  <c r="R125" i="26" s="1"/>
  <c r="U157" i="26"/>
  <c r="X115" i="32"/>
  <c r="Y51" i="26"/>
  <c r="Y57" i="26" s="1"/>
  <c r="Y18" i="26"/>
  <c r="Y24" i="26" s="1"/>
  <c r="D77" i="52"/>
  <c r="G86" i="32"/>
  <c r="D49" i="19"/>
  <c r="D159" i="19" s="1"/>
  <c r="G95" i="32"/>
  <c r="G124" i="32"/>
  <c r="M8" i="26"/>
  <c r="M14" i="26" s="1"/>
  <c r="M20" i="26" s="1"/>
  <c r="M26" i="26" s="1"/>
  <c r="AB44" i="19"/>
  <c r="AB53" i="26"/>
  <c r="AB59" i="26" s="1"/>
  <c r="K37" i="33"/>
  <c r="E40" i="33"/>
  <c r="AC27" i="27"/>
  <c r="AF148" i="32"/>
  <c r="AG126" i="19"/>
  <c r="R20" i="26"/>
  <c r="R26" i="26" s="1"/>
  <c r="R218" i="26"/>
  <c r="R224" i="26" s="1"/>
  <c r="P43" i="26"/>
  <c r="P49" i="26" s="1"/>
  <c r="P55" i="26" s="1"/>
  <c r="P61" i="26" s="1"/>
  <c r="P203" i="26"/>
  <c r="P209" i="26" s="1"/>
  <c r="P215" i="26" s="1"/>
  <c r="P221" i="26" s="1"/>
  <c r="O115" i="32"/>
  <c r="L50" i="19"/>
  <c r="L78" i="52"/>
  <c r="O96" i="32"/>
  <c r="O134" i="32"/>
  <c r="O106" i="32"/>
  <c r="O78" i="32"/>
  <c r="O125" i="32"/>
  <c r="Y206" i="26"/>
  <c r="Y212" i="26" s="1"/>
  <c r="Y218" i="26" s="1"/>
  <c r="Y224" i="26" s="1"/>
  <c r="Y72" i="26"/>
  <c r="Y78" i="26" s="1"/>
  <c r="Y84" i="26" s="1"/>
  <c r="Y90" i="26" s="1"/>
  <c r="M137" i="26"/>
  <c r="M143" i="26" s="1"/>
  <c r="M149" i="26" s="1"/>
  <c r="M155" i="26" s="1"/>
  <c r="AB151" i="19"/>
  <c r="AB157" i="19" s="1"/>
  <c r="R174" i="26"/>
  <c r="R180" i="26" s="1"/>
  <c r="R186" i="26" s="1"/>
  <c r="R192" i="26" s="1"/>
  <c r="R102" i="19"/>
  <c r="R108" i="19" s="1"/>
  <c r="R204" i="26"/>
  <c r="R210" i="26" s="1"/>
  <c r="R76" i="26"/>
  <c r="R82" i="26" s="1"/>
  <c r="R88" i="26" s="1"/>
  <c r="R94" i="26" s="1"/>
  <c r="R207" i="26"/>
  <c r="R213" i="26" s="1"/>
  <c r="R219" i="26" s="1"/>
  <c r="R225" i="26" s="1"/>
  <c r="R137" i="26"/>
  <c r="R143" i="26" s="1"/>
  <c r="R149" i="26" s="1"/>
  <c r="R155" i="26" s="1"/>
  <c r="R170" i="26"/>
  <c r="R176" i="26" s="1"/>
  <c r="R182" i="26" s="1"/>
  <c r="R188" i="26" s="1"/>
  <c r="R99" i="19"/>
  <c r="R105" i="19" s="1"/>
  <c r="R111" i="19" s="1"/>
  <c r="R117" i="19" s="1"/>
  <c r="R27" i="19"/>
  <c r="R34" i="19" s="1"/>
  <c r="R42" i="19" s="1"/>
  <c r="R67" i="19"/>
  <c r="R73" i="19" s="1"/>
  <c r="R175" i="26"/>
  <c r="R181" i="26" s="1"/>
  <c r="R73" i="26"/>
  <c r="R79" i="26" s="1"/>
  <c r="R85" i="26" s="1"/>
  <c r="R91" i="26" s="1"/>
  <c r="R64" i="19"/>
  <c r="R70" i="19" s="1"/>
  <c r="R76" i="19" s="1"/>
  <c r="R82" i="19" s="1"/>
  <c r="R134" i="19"/>
  <c r="R140" i="19" s="1"/>
  <c r="R146" i="19" s="1"/>
  <c r="R152" i="19" s="1"/>
  <c r="R101" i="19"/>
  <c r="R107" i="19" s="1"/>
  <c r="R113" i="19" s="1"/>
  <c r="R119" i="19" s="1"/>
  <c r="R100" i="19"/>
  <c r="R106" i="19" s="1"/>
  <c r="R112" i="19" s="1"/>
  <c r="R118" i="19" s="1"/>
  <c r="R41" i="26"/>
  <c r="R47" i="26" s="1"/>
  <c r="R53" i="26" s="1"/>
  <c r="R59" i="26" s="1"/>
  <c r="R26" i="19"/>
  <c r="R33" i="19" s="1"/>
  <c r="R41" i="19" s="1"/>
  <c r="R43" i="26"/>
  <c r="R49" i="26" s="1"/>
  <c r="R55" i="26" s="1"/>
  <c r="R61" i="26" s="1"/>
  <c r="R103" i="19"/>
  <c r="R109" i="19" s="1"/>
  <c r="R115" i="19" s="1"/>
  <c r="R121" i="19" s="1"/>
  <c r="R63" i="19"/>
  <c r="R69" i="19" s="1"/>
  <c r="R75" i="19" s="1"/>
  <c r="R81" i="19" s="1"/>
  <c r="R104" i="26"/>
  <c r="R110" i="26" s="1"/>
  <c r="R116" i="26" s="1"/>
  <c r="R122" i="26" s="1"/>
  <c r="R9" i="26"/>
  <c r="R15" i="26" s="1"/>
  <c r="R21" i="26" s="1"/>
  <c r="R27" i="26" s="1"/>
  <c r="R171" i="26"/>
  <c r="R177" i="26" s="1"/>
  <c r="R183" i="26" s="1"/>
  <c r="R189" i="26" s="1"/>
  <c r="R66" i="19"/>
  <c r="R72" i="19" s="1"/>
  <c r="R78" i="19" s="1"/>
  <c r="R84" i="19" s="1"/>
  <c r="R31" i="19"/>
  <c r="R38" i="19" s="1"/>
  <c r="R106" i="26"/>
  <c r="R112" i="26" s="1"/>
  <c r="R205" i="26"/>
  <c r="R211" i="26" s="1"/>
  <c r="R217" i="26" s="1"/>
  <c r="R223" i="26" s="1"/>
  <c r="R208" i="26"/>
  <c r="R214" i="26" s="1"/>
  <c r="R220" i="26" s="1"/>
  <c r="R226" i="26" s="1"/>
  <c r="R6" i="26"/>
  <c r="R12" i="26" s="1"/>
  <c r="R18" i="26" s="1"/>
  <c r="R24" i="26" s="1"/>
  <c r="R108" i="26"/>
  <c r="R114" i="26" s="1"/>
  <c r="R120" i="26" s="1"/>
  <c r="R126" i="26" s="1"/>
  <c r="R138" i="26"/>
  <c r="R144" i="26" s="1"/>
  <c r="R150" i="26" s="1"/>
  <c r="R156" i="26" s="1"/>
  <c r="R141" i="26"/>
  <c r="R147" i="26" s="1"/>
  <c r="R153" i="26" s="1"/>
  <c r="R159" i="26" s="1"/>
  <c r="R5" i="26"/>
  <c r="R11" i="26" s="1"/>
  <c r="R109" i="26"/>
  <c r="R115" i="26" s="1"/>
  <c r="R142" i="26"/>
  <c r="R148" i="26" s="1"/>
  <c r="R154" i="26" s="1"/>
  <c r="R160" i="26" s="1"/>
  <c r="R135" i="19"/>
  <c r="R141" i="19" s="1"/>
  <c r="R147" i="19" s="1"/>
  <c r="R153" i="19" s="1"/>
  <c r="R10" i="26"/>
  <c r="R16" i="26" s="1"/>
  <c r="R22" i="26" s="1"/>
  <c r="R28" i="26" s="1"/>
  <c r="R172" i="26"/>
  <c r="R178" i="26" s="1"/>
  <c r="R184" i="26" s="1"/>
  <c r="R190" i="26" s="1"/>
  <c r="R105" i="26"/>
  <c r="R111" i="26" s="1"/>
  <c r="R117" i="26" s="1"/>
  <c r="R123" i="26" s="1"/>
  <c r="D75" i="19"/>
  <c r="D81" i="19" s="1"/>
  <c r="P67" i="19"/>
  <c r="P73" i="19" s="1"/>
  <c r="P79" i="19" s="1"/>
  <c r="P85" i="19" s="1"/>
  <c r="P27" i="19"/>
  <c r="P34" i="19" s="1"/>
  <c r="P42" i="19" s="1"/>
  <c r="G142" i="32"/>
  <c r="G143" i="32" s="1"/>
  <c r="E16" i="34" s="1"/>
  <c r="E30" i="34" s="1"/>
  <c r="G161" i="32"/>
  <c r="E18" i="34" s="1"/>
  <c r="E32" i="34" s="1"/>
  <c r="G151" i="32"/>
  <c r="G152" i="32" s="1"/>
  <c r="E17" i="34" s="1"/>
  <c r="E31" i="34" s="1"/>
  <c r="S130" i="32"/>
  <c r="P164" i="19"/>
  <c r="P166" i="19" s="1"/>
  <c r="P165" i="19" s="1"/>
  <c r="Y41" i="26"/>
  <c r="Y47" i="26" s="1"/>
  <c r="Y53" i="26" s="1"/>
  <c r="Y59" i="26" s="1"/>
  <c r="Y73" i="26"/>
  <c r="Y79" i="26" s="1"/>
  <c r="Y85" i="26" s="1"/>
  <c r="Y91" i="26" s="1"/>
  <c r="M208" i="26"/>
  <c r="M214" i="26" s="1"/>
  <c r="M220" i="26" s="1"/>
  <c r="M226" i="26" s="1"/>
  <c r="AB20" i="26"/>
  <c r="AB26" i="26" s="1"/>
  <c r="AB110" i="19"/>
  <c r="AB116" i="19" s="1"/>
  <c r="AC126" i="27"/>
  <c r="AF176" i="32"/>
  <c r="AC51" i="19"/>
  <c r="AC161" i="19" s="1"/>
  <c r="AF88" i="32"/>
  <c r="AC79" i="52"/>
  <c r="AF116" i="32"/>
  <c r="AF135" i="32"/>
  <c r="AI138" i="19"/>
  <c r="AI144" i="19" s="1"/>
  <c r="R38" i="26"/>
  <c r="R44" i="26" s="1"/>
  <c r="R50" i="26" s="1"/>
  <c r="R56" i="26" s="1"/>
  <c r="R30" i="19"/>
  <c r="R37" i="19" s="1"/>
  <c r="R45" i="19" s="1"/>
  <c r="D119" i="26"/>
  <c r="D125" i="26" s="1"/>
  <c r="E224" i="27"/>
  <c r="H203" i="32"/>
  <c r="AH79" i="52"/>
  <c r="AK135" i="32"/>
  <c r="AK88" i="32"/>
  <c r="AK107" i="32"/>
  <c r="AH51" i="19"/>
  <c r="P106" i="26"/>
  <c r="P112" i="26" s="1"/>
  <c r="P118" i="26" s="1"/>
  <c r="P124" i="26" s="1"/>
  <c r="P64" i="19"/>
  <c r="P70" i="19" s="1"/>
  <c r="P76" i="19" s="1"/>
  <c r="P82" i="19" s="1"/>
  <c r="Y8" i="26"/>
  <c r="Y14" i="26" s="1"/>
  <c r="Y20" i="26" s="1"/>
  <c r="Y26" i="26" s="1"/>
  <c r="Y9" i="26"/>
  <c r="Y15" i="26" s="1"/>
  <c r="Y21" i="26" s="1"/>
  <c r="Y27" i="26" s="1"/>
  <c r="M76" i="26"/>
  <c r="M82" i="26" s="1"/>
  <c r="M88" i="26" s="1"/>
  <c r="M94" i="26" s="1"/>
  <c r="AB220" i="26"/>
  <c r="AB226" i="26" s="1"/>
  <c r="AB79" i="19"/>
  <c r="AB85" i="19" s="1"/>
  <c r="AC125" i="27"/>
  <c r="AF175" i="32"/>
  <c r="AA129" i="19"/>
  <c r="AI76" i="26"/>
  <c r="AI82" i="26" s="1"/>
  <c r="R42" i="26"/>
  <c r="R48" i="26" s="1"/>
  <c r="R40" i="26"/>
  <c r="R46" i="26" s="1"/>
  <c r="R52" i="26" s="1"/>
  <c r="R58" i="26" s="1"/>
  <c r="D55" i="26"/>
  <c r="D61" i="26" s="1"/>
  <c r="D87" i="26"/>
  <c r="D93" i="26" s="1"/>
  <c r="L163" i="19"/>
  <c r="V16" i="19"/>
  <c r="V38" i="26" s="1"/>
  <c r="V44" i="26" s="1"/>
  <c r="Y111" i="32"/>
  <c r="V128" i="19"/>
  <c r="V130" i="19" s="1"/>
  <c r="AI80" i="32"/>
  <c r="P42" i="26"/>
  <c r="P48" i="26" s="1"/>
  <c r="P54" i="26" s="1"/>
  <c r="P60" i="26" s="1"/>
  <c r="P170" i="26"/>
  <c r="P176" i="26" s="1"/>
  <c r="P182" i="26" s="1"/>
  <c r="P188" i="26" s="1"/>
  <c r="Y32" i="19"/>
  <c r="Y39" i="19" s="1"/>
  <c r="Y40" i="19" s="1"/>
  <c r="Y74" i="26"/>
  <c r="Y80" i="26" s="1"/>
  <c r="Y86" i="26" s="1"/>
  <c r="Y92" i="26" s="1"/>
  <c r="AM125" i="26"/>
  <c r="AP107" i="32"/>
  <c r="M139" i="26"/>
  <c r="M145" i="26" s="1"/>
  <c r="M151" i="26" s="1"/>
  <c r="M157" i="26" s="1"/>
  <c r="AB218" i="26"/>
  <c r="AB224" i="26" s="1"/>
  <c r="AB86" i="26"/>
  <c r="AB92" i="26" s="1"/>
  <c r="AI174" i="26"/>
  <c r="AI180" i="26" s="1"/>
  <c r="AI140" i="26"/>
  <c r="AI146" i="26" s="1"/>
  <c r="R165" i="19"/>
  <c r="U102" i="32"/>
  <c r="U103" i="32" s="1"/>
  <c r="T27" i="34" s="1"/>
  <c r="T41" i="34" s="1"/>
  <c r="U112" i="32"/>
  <c r="T26" i="34" s="1"/>
  <c r="T40" i="34" s="1"/>
  <c r="D20" i="26"/>
  <c r="D26" i="26" s="1"/>
  <c r="AC163" i="20"/>
  <c r="P137" i="19"/>
  <c r="P143" i="19" s="1"/>
  <c r="P149" i="19" s="1"/>
  <c r="P155" i="19" s="1"/>
  <c r="P161" i="19" s="1"/>
  <c r="P30" i="19"/>
  <c r="P37" i="19" s="1"/>
  <c r="P45" i="19" s="1"/>
  <c r="AC91" i="20"/>
  <c r="Y139" i="19"/>
  <c r="Y145" i="19" s="1"/>
  <c r="Y151" i="19" s="1"/>
  <c r="Y157" i="19" s="1"/>
  <c r="AM93" i="26"/>
  <c r="AP98" i="32"/>
  <c r="M138" i="26"/>
  <c r="M144" i="26" s="1"/>
  <c r="M150" i="26" s="1"/>
  <c r="M156" i="26" s="1"/>
  <c r="AB187" i="26"/>
  <c r="AB193" i="26" s="1"/>
  <c r="AB215" i="26"/>
  <c r="AB221" i="26" s="1"/>
  <c r="D46" i="19"/>
  <c r="AI17" i="19"/>
  <c r="AI19" i="19" s="1"/>
  <c r="AI72" i="26"/>
  <c r="AI78" i="26" s="1"/>
  <c r="R203" i="26"/>
  <c r="R209" i="26" s="1"/>
  <c r="R215" i="26" s="1"/>
  <c r="R221" i="26" s="1"/>
  <c r="R139" i="26"/>
  <c r="R145" i="26" s="1"/>
  <c r="R151" i="26" s="1"/>
  <c r="R157" i="26" s="1"/>
  <c r="D41" i="19"/>
  <c r="AP118" i="32"/>
  <c r="AP109" i="32"/>
  <c r="AM81" i="52"/>
  <c r="AP137" i="32"/>
  <c r="AP99" i="32"/>
  <c r="AP90" i="32"/>
  <c r="AP128" i="32"/>
  <c r="AP81" i="32"/>
  <c r="AM53" i="19"/>
  <c r="M71" i="26"/>
  <c r="M77" i="26" s="1"/>
  <c r="M83" i="26" s="1"/>
  <c r="M89" i="26" s="1"/>
  <c r="AB113" i="19"/>
  <c r="AB119" i="19" s="1"/>
  <c r="AB87" i="26"/>
  <c r="AB93" i="26" s="1"/>
  <c r="E160" i="27"/>
  <c r="H186" i="32"/>
  <c r="AI216" i="26"/>
  <c r="AI222" i="26" s="1"/>
  <c r="AI185" i="26"/>
  <c r="AI191" i="26" s="1"/>
  <c r="R185" i="26"/>
  <c r="R191" i="26" s="1"/>
  <c r="R74" i="19"/>
  <c r="R80" i="19" s="1"/>
  <c r="L88" i="19"/>
  <c r="AD56" i="27"/>
  <c r="AD62" i="27" s="1"/>
  <c r="AG153" i="32"/>
  <c r="S13" i="20"/>
  <c r="V198" i="32" s="1"/>
  <c r="S23" i="20"/>
  <c r="T196" i="27"/>
  <c r="T163" i="27"/>
  <c r="T130" i="27"/>
  <c r="T64" i="27"/>
  <c r="T31" i="27"/>
  <c r="T229" i="27"/>
  <c r="T97" i="27"/>
  <c r="T63" i="52"/>
  <c r="T124" i="20"/>
  <c r="T5" i="52"/>
  <c r="P72" i="26"/>
  <c r="P78" i="26" s="1"/>
  <c r="P84" i="26" s="1"/>
  <c r="P90" i="26" s="1"/>
  <c r="P63" i="19"/>
  <c r="P69" i="19" s="1"/>
  <c r="P75" i="19" s="1"/>
  <c r="P81" i="19" s="1"/>
  <c r="Q75" i="19"/>
  <c r="Q81" i="19" s="1"/>
  <c r="E231" i="27"/>
  <c r="E198" i="27"/>
  <c r="E66" i="27"/>
  <c r="E165" i="27"/>
  <c r="E132" i="27"/>
  <c r="E99" i="27"/>
  <c r="E33" i="27"/>
  <c r="E7" i="52"/>
  <c r="E126" i="20"/>
  <c r="E162" i="20"/>
  <c r="AG162" i="19"/>
  <c r="Y107" i="26"/>
  <c r="Y113" i="26" s="1"/>
  <c r="Y119" i="26" s="1"/>
  <c r="Y125" i="26" s="1"/>
  <c r="Y31" i="19"/>
  <c r="Y38" i="19" s="1"/>
  <c r="Y46" i="19" s="1"/>
  <c r="Y43" i="26"/>
  <c r="Y49" i="26" s="1"/>
  <c r="Y55" i="26" s="1"/>
  <c r="Y61" i="26" s="1"/>
  <c r="Y172" i="26"/>
  <c r="Y178" i="26" s="1"/>
  <c r="Y184" i="26" s="1"/>
  <c r="Y190" i="26" s="1"/>
  <c r="Y30" i="19"/>
  <c r="Y37" i="19" s="1"/>
  <c r="Y45" i="19" s="1"/>
  <c r="Y26" i="19"/>
  <c r="Y33" i="19" s="1"/>
  <c r="Y41" i="19" s="1"/>
  <c r="Y203" i="26"/>
  <c r="Y209" i="26" s="1"/>
  <c r="Y215" i="26" s="1"/>
  <c r="Y221" i="26" s="1"/>
  <c r="Y102" i="19"/>
  <c r="Y108" i="19" s="1"/>
  <c r="Y114" i="19" s="1"/>
  <c r="Y120" i="19" s="1"/>
  <c r="Y104" i="26"/>
  <c r="Y110" i="26" s="1"/>
  <c r="Y116" i="26" s="1"/>
  <c r="Y122" i="26" s="1"/>
  <c r="Y141" i="26"/>
  <c r="Y147" i="26" s="1"/>
  <c r="Y153" i="26" s="1"/>
  <c r="Y159" i="26" s="1"/>
  <c r="Y98" i="19"/>
  <c r="Y104" i="19" s="1"/>
  <c r="Y110" i="19" s="1"/>
  <c r="Y116" i="19" s="1"/>
  <c r="Y42" i="26"/>
  <c r="Y48" i="26" s="1"/>
  <c r="Y54" i="26" s="1"/>
  <c r="Y60" i="26" s="1"/>
  <c r="Y139" i="26"/>
  <c r="Y145" i="26" s="1"/>
  <c r="Y151" i="26" s="1"/>
  <c r="Y157" i="26" s="1"/>
  <c r="Y136" i="19"/>
  <c r="Y142" i="19" s="1"/>
  <c r="Y148" i="19" s="1"/>
  <c r="Y154" i="19" s="1"/>
  <c r="Y108" i="26"/>
  <c r="Y114" i="26" s="1"/>
  <c r="Y120" i="26" s="1"/>
  <c r="Y126" i="26" s="1"/>
  <c r="Y27" i="19"/>
  <c r="Y34" i="19" s="1"/>
  <c r="Y42" i="19" s="1"/>
  <c r="Y99" i="19"/>
  <c r="Y105" i="19" s="1"/>
  <c r="Y111" i="19" s="1"/>
  <c r="Y117" i="19" s="1"/>
  <c r="Y171" i="26"/>
  <c r="Y177" i="26" s="1"/>
  <c r="Y183" i="26" s="1"/>
  <c r="Y189" i="26" s="1"/>
  <c r="Y38" i="26"/>
  <c r="Y44" i="26" s="1"/>
  <c r="Y50" i="26" s="1"/>
  <c r="Y56" i="26" s="1"/>
  <c r="Y134" i="19"/>
  <c r="Y140" i="19" s="1"/>
  <c r="Y146" i="19" s="1"/>
  <c r="Y152" i="19" s="1"/>
  <c r="Y109" i="26"/>
  <c r="Y115" i="26" s="1"/>
  <c r="Y121" i="26" s="1"/>
  <c r="Y127" i="26" s="1"/>
  <c r="Y76" i="26"/>
  <c r="Y82" i="26" s="1"/>
  <c r="Y88" i="26" s="1"/>
  <c r="Y94" i="26" s="1"/>
  <c r="Y135" i="19"/>
  <c r="Y141" i="19" s="1"/>
  <c r="Y147" i="19" s="1"/>
  <c r="Y153" i="19" s="1"/>
  <c r="Y7" i="26"/>
  <c r="Y13" i="26" s="1"/>
  <c r="Y19" i="26" s="1"/>
  <c r="Y25" i="26" s="1"/>
  <c r="AB130" i="32"/>
  <c r="Y164" i="19"/>
  <c r="Y166" i="19" s="1"/>
  <c r="M139" i="19"/>
  <c r="M145" i="19" s="1"/>
  <c r="M151" i="19" s="1"/>
  <c r="M157" i="19" s="1"/>
  <c r="M101" i="19"/>
  <c r="M107" i="19" s="1"/>
  <c r="M113" i="19" s="1"/>
  <c r="M119" i="19" s="1"/>
  <c r="AI83" i="26"/>
  <c r="AI89" i="26" s="1"/>
  <c r="R110" i="19"/>
  <c r="R116" i="19" s="1"/>
  <c r="L76" i="52"/>
  <c r="O113" i="32"/>
  <c r="O123" i="32"/>
  <c r="O94" i="32"/>
  <c r="L48" i="19"/>
  <c r="L122" i="19" s="1"/>
  <c r="O76" i="32"/>
  <c r="O132" i="32"/>
  <c r="O104" i="32"/>
  <c r="L93" i="19"/>
  <c r="AC88" i="19"/>
  <c r="AB84" i="26"/>
  <c r="AB90" i="26" s="1"/>
  <c r="AB50" i="26"/>
  <c r="AB56" i="26" s="1"/>
  <c r="AF181" i="32"/>
  <c r="AF172" i="32"/>
  <c r="AC48" i="20"/>
  <c r="AC47" i="20"/>
  <c r="AC54" i="20" s="1"/>
  <c r="AC82" i="52"/>
  <c r="AF144" i="32"/>
  <c r="AF200" i="32"/>
  <c r="AF162" i="32"/>
  <c r="AF191" i="32"/>
  <c r="AF153" i="32"/>
  <c r="AC93" i="20"/>
  <c r="AC129" i="20"/>
  <c r="AI118" i="32"/>
  <c r="AF81" i="52"/>
  <c r="AI99" i="32"/>
  <c r="AI90" i="32"/>
  <c r="AI109" i="32"/>
  <c r="AI128" i="32"/>
  <c r="AI137" i="32"/>
  <c r="AI81" i="32"/>
  <c r="AF53" i="19"/>
  <c r="AH15" i="20"/>
  <c r="AH6" i="20"/>
  <c r="AH12" i="20"/>
  <c r="AH18" i="20"/>
  <c r="P38" i="26"/>
  <c r="P44" i="26" s="1"/>
  <c r="P50" i="26" s="1"/>
  <c r="P56" i="26" s="1"/>
  <c r="P9" i="26"/>
  <c r="P15" i="26" s="1"/>
  <c r="P21" i="26" s="1"/>
  <c r="P27" i="26" s="1"/>
  <c r="Q113" i="19"/>
  <c r="Q119" i="19" s="1"/>
  <c r="T195" i="27"/>
  <c r="T162" i="27"/>
  <c r="T63" i="27"/>
  <c r="T228" i="27"/>
  <c r="T129" i="27"/>
  <c r="T96" i="27"/>
  <c r="T30" i="27"/>
  <c r="T62" i="52"/>
  <c r="T4" i="52"/>
  <c r="T159" i="20"/>
  <c r="T87" i="20"/>
  <c r="T123" i="20"/>
  <c r="Y219" i="26"/>
  <c r="Y225" i="26" s="1"/>
  <c r="AK131" i="25"/>
  <c r="AK65" i="25"/>
  <c r="AK32" i="25"/>
  <c r="AK230" i="25"/>
  <c r="AK197" i="25"/>
  <c r="AK164" i="25"/>
  <c r="AK98" i="25"/>
  <c r="AK161" i="18"/>
  <c r="AK89" i="18"/>
  <c r="AK125" i="18"/>
  <c r="M42" i="26"/>
  <c r="M48" i="26" s="1"/>
  <c r="M54" i="26" s="1"/>
  <c r="M60" i="26" s="1"/>
  <c r="M39" i="26"/>
  <c r="M45" i="26" s="1"/>
  <c r="M51" i="26" s="1"/>
  <c r="M57" i="26" s="1"/>
  <c r="AB42" i="19"/>
  <c r="AB182" i="26"/>
  <c r="AB188" i="26" s="1"/>
  <c r="AD24" i="27"/>
  <c r="AD30" i="27" s="1"/>
  <c r="AG145" i="32"/>
  <c r="AI21" i="26"/>
  <c r="AI27" i="26" s="1"/>
  <c r="R151" i="19"/>
  <c r="R157" i="19" s="1"/>
  <c r="G125" i="32"/>
  <c r="G106" i="32"/>
  <c r="G87" i="32"/>
  <c r="D50" i="19"/>
  <c r="D78" i="52"/>
  <c r="AB147" i="19"/>
  <c r="AB153" i="19" s="1"/>
  <c r="AI218" i="26"/>
  <c r="AI224" i="26" s="1"/>
  <c r="R150" i="19"/>
  <c r="R156" i="19" s="1"/>
  <c r="D19" i="19"/>
  <c r="D112" i="19"/>
  <c r="D118" i="19" s="1"/>
  <c r="D154" i="26"/>
  <c r="D160" i="26" s="1"/>
  <c r="D44" i="19"/>
  <c r="D149" i="26"/>
  <c r="D155" i="26" s="1"/>
  <c r="D151" i="26"/>
  <c r="D157" i="26" s="1"/>
  <c r="D88" i="26"/>
  <c r="D94" i="26" s="1"/>
  <c r="D148" i="19"/>
  <c r="D154" i="19" s="1"/>
  <c r="D182" i="26"/>
  <c r="D188" i="26" s="1"/>
  <c r="D79" i="19"/>
  <c r="D85" i="19" s="1"/>
  <c r="D150" i="26"/>
  <c r="D156" i="26" s="1"/>
  <c r="D120" i="26"/>
  <c r="D126" i="26" s="1"/>
  <c r="D22" i="26"/>
  <c r="D28" i="26" s="1"/>
  <c r="E92" i="27"/>
  <c r="H165" i="32"/>
  <c r="P8" i="26"/>
  <c r="P14" i="26" s="1"/>
  <c r="P20" i="26" s="1"/>
  <c r="P26" i="26" s="1"/>
  <c r="P138" i="26"/>
  <c r="P144" i="26" s="1"/>
  <c r="P150" i="26" s="1"/>
  <c r="P156" i="26" s="1"/>
  <c r="H195" i="32"/>
  <c r="U25" i="26"/>
  <c r="X78" i="32"/>
  <c r="AC159" i="20"/>
  <c r="U225" i="26"/>
  <c r="X136" i="32"/>
  <c r="Y220" i="26"/>
  <c r="Y226" i="26" s="1"/>
  <c r="Y113" i="19"/>
  <c r="Y119" i="19" s="1"/>
  <c r="AI85" i="32"/>
  <c r="AI113" i="32"/>
  <c r="AF76" i="52"/>
  <c r="AI76" i="32"/>
  <c r="AF48" i="19"/>
  <c r="AI132" i="32"/>
  <c r="AF47" i="19"/>
  <c r="AI104" i="32"/>
  <c r="AI94" i="32"/>
  <c r="AI123" i="32"/>
  <c r="AF93" i="19"/>
  <c r="AF129" i="19"/>
  <c r="AF165" i="19"/>
  <c r="M32" i="19"/>
  <c r="M39" i="19" s="1"/>
  <c r="M40" i="19" s="1"/>
  <c r="P112" i="32"/>
  <c r="P26" i="34" s="1"/>
  <c r="P40" i="34" s="1"/>
  <c r="P102" i="32"/>
  <c r="P103" i="32" s="1"/>
  <c r="P27" i="34" s="1"/>
  <c r="P41" i="34" s="1"/>
  <c r="AB114" i="19"/>
  <c r="AB120" i="19" s="1"/>
  <c r="AA89" i="19"/>
  <c r="AI105" i="26"/>
  <c r="AI111" i="26" s="1"/>
  <c r="AI117" i="26" s="1"/>
  <c r="AI123" i="26" s="1"/>
  <c r="AI38" i="26"/>
  <c r="AI44" i="26" s="1"/>
  <c r="R17" i="19"/>
  <c r="R19" i="19" s="1"/>
  <c r="G43" i="19"/>
  <c r="Z150" i="26"/>
  <c r="Z156" i="26" s="1"/>
  <c r="S219" i="26"/>
  <c r="S225" i="26" s="1"/>
  <c r="AM122" i="19"/>
  <c r="N227" i="26"/>
  <c r="N95" i="26"/>
  <c r="N194" i="26"/>
  <c r="N161" i="26"/>
  <c r="N128" i="26"/>
  <c r="N29" i="26"/>
  <c r="N62" i="26"/>
  <c r="N3" i="52"/>
  <c r="N122" i="19"/>
  <c r="N86" i="19"/>
  <c r="O165" i="19"/>
  <c r="X104" i="26"/>
  <c r="X110" i="26" s="1"/>
  <c r="X136" i="19"/>
  <c r="X142" i="19" s="1"/>
  <c r="X42" i="26"/>
  <c r="X48" i="26" s="1"/>
  <c r="AF157" i="32"/>
  <c r="AC120" i="26"/>
  <c r="AC126" i="26" s="1"/>
  <c r="S182" i="26"/>
  <c r="S188" i="26" s="1"/>
  <c r="AE18" i="26"/>
  <c r="AE24" i="26" s="1"/>
  <c r="AE110" i="19"/>
  <c r="AE116" i="19" s="1"/>
  <c r="AE150" i="26"/>
  <c r="AE156" i="26" s="1"/>
  <c r="AC219" i="26"/>
  <c r="AC225" i="26" s="1"/>
  <c r="Z45" i="19"/>
  <c r="L75" i="19"/>
  <c r="L81" i="19" s="1"/>
  <c r="L87" i="19" s="1"/>
  <c r="U116" i="27"/>
  <c r="U122" i="27" s="1"/>
  <c r="W207" i="27"/>
  <c r="W213" i="27" s="1"/>
  <c r="W65" i="20"/>
  <c r="W71" i="20" s="1"/>
  <c r="W7" i="27"/>
  <c r="W13" i="27" s="1"/>
  <c r="W19" i="27" s="1"/>
  <c r="W25" i="27" s="1"/>
  <c r="AA79" i="52"/>
  <c r="AD97" i="32"/>
  <c r="AD126" i="32"/>
  <c r="AD79" i="32"/>
  <c r="AD107" i="32"/>
  <c r="AD88" i="32"/>
  <c r="AA51" i="19"/>
  <c r="AD116" i="32"/>
  <c r="O105" i="32"/>
  <c r="L49" i="19"/>
  <c r="O86" i="32"/>
  <c r="O77" i="32"/>
  <c r="L77" i="52"/>
  <c r="O124" i="32"/>
  <c r="O133" i="32"/>
  <c r="L166" i="27"/>
  <c r="L100" i="27"/>
  <c r="L67" i="27"/>
  <c r="L34" i="27"/>
  <c r="L232" i="27"/>
  <c r="L199" i="27"/>
  <c r="L133" i="27"/>
  <c r="AC160" i="20"/>
  <c r="D77" i="19"/>
  <c r="D83" i="19" s="1"/>
  <c r="D217" i="26"/>
  <c r="D223" i="26" s="1"/>
  <c r="X86" i="32"/>
  <c r="E124" i="20"/>
  <c r="E243" i="53"/>
  <c r="E342" i="53"/>
  <c r="E377" i="53" s="1"/>
  <c r="G46" i="19"/>
  <c r="G116" i="26"/>
  <c r="G122" i="26" s="1"/>
  <c r="Z42" i="19"/>
  <c r="Z17" i="26"/>
  <c r="Z23" i="26" s="1"/>
  <c r="Z20" i="26"/>
  <c r="Z26" i="26" s="1"/>
  <c r="AD230" i="26"/>
  <c r="AD164" i="26"/>
  <c r="AD98" i="26"/>
  <c r="AD131" i="26"/>
  <c r="AD32" i="26"/>
  <c r="AD65" i="26"/>
  <c r="AD197" i="26"/>
  <c r="S45" i="19"/>
  <c r="V194" i="25"/>
  <c r="V62" i="25"/>
  <c r="V95" i="25"/>
  <c r="V227" i="25"/>
  <c r="V161" i="25"/>
  <c r="V128" i="25"/>
  <c r="V29" i="25"/>
  <c r="V122" i="18"/>
  <c r="R131" i="32"/>
  <c r="R28" i="34" s="1"/>
  <c r="R42" i="34" s="1"/>
  <c r="R121" i="32"/>
  <c r="R122" i="32" s="1"/>
  <c r="R29" i="34" s="1"/>
  <c r="R43" i="34" s="1"/>
  <c r="X39" i="26"/>
  <c r="X45" i="26" s="1"/>
  <c r="X101" i="19"/>
  <c r="X107" i="19" s="1"/>
  <c r="X65" i="19"/>
  <c r="X71" i="19" s="1"/>
  <c r="AF166" i="32"/>
  <c r="G154" i="26"/>
  <c r="G160" i="26" s="1"/>
  <c r="G219" i="26"/>
  <c r="G225" i="26" s="1"/>
  <c r="AE87" i="26"/>
  <c r="AE93" i="26" s="1"/>
  <c r="AE220" i="26"/>
  <c r="AE226" i="26" s="1"/>
  <c r="AE43" i="19"/>
  <c r="S41" i="19"/>
  <c r="AE121" i="26"/>
  <c r="AE127" i="26" s="1"/>
  <c r="T227" i="27"/>
  <c r="T128" i="27"/>
  <c r="T95" i="27"/>
  <c r="T29" i="27"/>
  <c r="T194" i="27"/>
  <c r="T161" i="27"/>
  <c r="T62" i="27"/>
  <c r="T61" i="52"/>
  <c r="T158" i="20"/>
  <c r="AC121" i="26"/>
  <c r="AC127" i="26" s="1"/>
  <c r="Z120" i="26"/>
  <c r="Z126" i="26" s="1"/>
  <c r="O121" i="32"/>
  <c r="O122" i="32" s="1"/>
  <c r="N29" i="34" s="1"/>
  <c r="N43" i="34" s="1"/>
  <c r="O131" i="32"/>
  <c r="N28" i="34" s="1"/>
  <c r="N42" i="34" s="1"/>
  <c r="U115" i="20"/>
  <c r="U121" i="20" s="1"/>
  <c r="W170" i="27"/>
  <c r="W176" i="27" s="1"/>
  <c r="W9" i="27"/>
  <c r="W15" i="27" s="1"/>
  <c r="W21" i="27" s="1"/>
  <c r="W27" i="27" s="1"/>
  <c r="W39" i="27"/>
  <c r="W45" i="27" s="1"/>
  <c r="T102" i="32"/>
  <c r="T103" i="32" s="1"/>
  <c r="S27" i="34" s="1"/>
  <c r="S41" i="34" s="1"/>
  <c r="T112" i="32"/>
  <c r="S26" i="34" s="1"/>
  <c r="S40" i="34" s="1"/>
  <c r="Q100" i="19"/>
  <c r="Q106" i="19" s="1"/>
  <c r="Q30" i="19"/>
  <c r="Q37" i="19" s="1"/>
  <c r="L86" i="19"/>
  <c r="D76" i="19"/>
  <c r="D82" i="19" s="1"/>
  <c r="S161" i="32"/>
  <c r="O18" i="34" s="1"/>
  <c r="O32" i="34" s="1"/>
  <c r="S151" i="32"/>
  <c r="S152" i="32" s="1"/>
  <c r="O17" i="34" s="1"/>
  <c r="O31" i="34" s="1"/>
  <c r="S142" i="32"/>
  <c r="S143" i="32" s="1"/>
  <c r="O16" i="34" s="1"/>
  <c r="O30" i="34" s="1"/>
  <c r="D150" i="19"/>
  <c r="D156" i="19" s="1"/>
  <c r="AD80" i="32"/>
  <c r="AA80" i="52"/>
  <c r="AD136" i="32"/>
  <c r="AD127" i="32"/>
  <c r="AD108" i="32"/>
  <c r="AD89" i="32"/>
  <c r="AD98" i="32"/>
  <c r="AA52" i="19"/>
  <c r="AA90" i="19" s="1"/>
  <c r="AD117" i="32"/>
  <c r="AE151" i="32"/>
  <c r="AE152" i="32" s="1"/>
  <c r="AG17" i="34" s="1"/>
  <c r="AG31" i="34" s="1"/>
  <c r="AE142" i="32"/>
  <c r="AE143" i="32" s="1"/>
  <c r="AG16" i="34" s="1"/>
  <c r="AG30" i="34" s="1"/>
  <c r="AE161" i="32"/>
  <c r="AG18" i="34" s="1"/>
  <c r="AG32" i="34" s="1"/>
  <c r="E24" i="53"/>
  <c r="E68" i="53" s="1"/>
  <c r="E112" i="53" s="1"/>
  <c r="E156" i="53" s="1"/>
  <c r="E201" i="53" s="1"/>
  <c r="E67" i="53"/>
  <c r="E111" i="53" s="1"/>
  <c r="E155" i="53" s="1"/>
  <c r="E200" i="53" s="1"/>
  <c r="AD54" i="19"/>
  <c r="G78" i="19"/>
  <c r="G84" i="19" s="1"/>
  <c r="G182" i="26"/>
  <c r="G188" i="26" s="1"/>
  <c r="Z51" i="26"/>
  <c r="Z57" i="26" s="1"/>
  <c r="S19" i="26"/>
  <c r="S25" i="26" s="1"/>
  <c r="Z19" i="26"/>
  <c r="Z25" i="26" s="1"/>
  <c r="E161" i="20"/>
  <c r="Z149" i="19"/>
  <c r="Z155" i="19" s="1"/>
  <c r="Z161" i="19" s="1"/>
  <c r="S153" i="26"/>
  <c r="S159" i="26" s="1"/>
  <c r="X66" i="19"/>
  <c r="X72" i="19" s="1"/>
  <c r="X205" i="26"/>
  <c r="X211" i="26" s="1"/>
  <c r="AF195" i="32"/>
  <c r="I123" i="19"/>
  <c r="G86" i="26"/>
  <c r="G92" i="26" s="1"/>
  <c r="AE148" i="19"/>
  <c r="AE154" i="19" s="1"/>
  <c r="AE153" i="26"/>
  <c r="AE159" i="26" s="1"/>
  <c r="AE184" i="26"/>
  <c r="AE190" i="26" s="1"/>
  <c r="AK227" i="27"/>
  <c r="AK194" i="27"/>
  <c r="AK161" i="27"/>
  <c r="AK128" i="27"/>
  <c r="AK95" i="27"/>
  <c r="AK62" i="27"/>
  <c r="AK29" i="27"/>
  <c r="S117" i="26"/>
  <c r="S123" i="26" s="1"/>
  <c r="L185" i="26"/>
  <c r="L191" i="26" s="1"/>
  <c r="I90" i="19"/>
  <c r="G187" i="26"/>
  <c r="G193" i="26" s="1"/>
  <c r="U149" i="27"/>
  <c r="U155" i="27" s="1"/>
  <c r="W175" i="27"/>
  <c r="W181" i="27" s="1"/>
  <c r="W187" i="27" s="1"/>
  <c r="W193" i="27" s="1"/>
  <c r="W42" i="27"/>
  <c r="W48" i="27" s="1"/>
  <c r="W54" i="27" s="1"/>
  <c r="W60" i="27" s="1"/>
  <c r="W108" i="27"/>
  <c r="W114" i="27" s="1"/>
  <c r="AA215" i="26"/>
  <c r="AA221" i="26" s="1"/>
  <c r="AK165" i="27"/>
  <c r="AK66" i="27"/>
  <c r="AK33" i="27"/>
  <c r="AK231" i="27"/>
  <c r="AK198" i="27"/>
  <c r="AK132" i="27"/>
  <c r="AK99" i="27"/>
  <c r="AD128" i="26"/>
  <c r="AD194" i="26"/>
  <c r="AD161" i="26"/>
  <c r="AD29" i="26"/>
  <c r="AD95" i="26"/>
  <c r="AD227" i="26"/>
  <c r="AD62" i="26"/>
  <c r="AD3" i="52"/>
  <c r="AD158" i="19"/>
  <c r="AA127" i="19"/>
  <c r="L63" i="27"/>
  <c r="L30" i="27"/>
  <c r="L96" i="27"/>
  <c r="L228" i="27"/>
  <c r="L195" i="27"/>
  <c r="L162" i="27"/>
  <c r="L129" i="27"/>
  <c r="L159" i="20"/>
  <c r="Z112" i="19"/>
  <c r="Z118" i="19" s="1"/>
  <c r="Z184" i="26"/>
  <c r="Z190" i="26" s="1"/>
  <c r="S147" i="19"/>
  <c r="S153" i="19" s="1"/>
  <c r="AE114" i="19"/>
  <c r="AE120" i="19" s="1"/>
  <c r="AE126" i="19" s="1"/>
  <c r="AE183" i="26"/>
  <c r="AE189" i="26" s="1"/>
  <c r="AE119" i="26"/>
  <c r="AE125" i="26" s="1"/>
  <c r="S55" i="26"/>
  <c r="S61" i="26" s="1"/>
  <c r="H160" i="19"/>
  <c r="Z54" i="26"/>
  <c r="Z60" i="26" s="1"/>
  <c r="R128" i="32"/>
  <c r="O81" i="52"/>
  <c r="R109" i="32"/>
  <c r="O53" i="19"/>
  <c r="O91" i="19" s="1"/>
  <c r="R81" i="32"/>
  <c r="R137" i="32"/>
  <c r="R118" i="32"/>
  <c r="R90" i="32"/>
  <c r="R99" i="32"/>
  <c r="U114" i="20"/>
  <c r="U120" i="20" s="1"/>
  <c r="W138" i="20"/>
  <c r="W144" i="20" s="1"/>
  <c r="W150" i="20" s="1"/>
  <c r="W156" i="20" s="1"/>
  <c r="W30" i="20"/>
  <c r="W37" i="20" s="1"/>
  <c r="W103" i="20"/>
  <c r="W109" i="20" s="1"/>
  <c r="AA124" i="19"/>
  <c r="E232" i="27"/>
  <c r="E199" i="27"/>
  <c r="E166" i="27"/>
  <c r="E133" i="27"/>
  <c r="E100" i="27"/>
  <c r="E34" i="27"/>
  <c r="E67" i="27"/>
  <c r="E8" i="52"/>
  <c r="U228" i="26"/>
  <c r="U195" i="26"/>
  <c r="U162" i="26"/>
  <c r="U129" i="26"/>
  <c r="U96" i="26"/>
  <c r="U63" i="26"/>
  <c r="U30" i="26"/>
  <c r="M92" i="20"/>
  <c r="M94" i="20" s="1"/>
  <c r="P160" i="32"/>
  <c r="Z55" i="26"/>
  <c r="Z61" i="26" s="1"/>
  <c r="AJ114" i="32"/>
  <c r="AJ77" i="32"/>
  <c r="AG77" i="52"/>
  <c r="AJ133" i="32"/>
  <c r="AJ86" i="32"/>
  <c r="AJ95" i="32"/>
  <c r="AG49" i="19"/>
  <c r="AG123" i="19" s="1"/>
  <c r="AJ105" i="32"/>
  <c r="AJ124" i="32"/>
  <c r="AC77" i="19"/>
  <c r="AC83" i="19" s="1"/>
  <c r="M128" i="32"/>
  <c r="M109" i="32"/>
  <c r="M137" i="32"/>
  <c r="M118" i="32"/>
  <c r="M90" i="32"/>
  <c r="M81" i="32"/>
  <c r="J81" i="52"/>
  <c r="M99" i="32"/>
  <c r="J53" i="19"/>
  <c r="AC79" i="19"/>
  <c r="AC85" i="19" s="1"/>
  <c r="O160" i="19"/>
  <c r="Z152" i="26"/>
  <c r="Z158" i="26" s="1"/>
  <c r="Z146" i="19"/>
  <c r="Z152" i="19" s="1"/>
  <c r="X72" i="26"/>
  <c r="X78" i="26" s="1"/>
  <c r="X84" i="26" s="1"/>
  <c r="X90" i="26" s="1"/>
  <c r="X41" i="26"/>
  <c r="X47" i="26" s="1"/>
  <c r="X138" i="26"/>
  <c r="X144" i="26" s="1"/>
  <c r="U232" i="26"/>
  <c r="U199" i="26"/>
  <c r="U166" i="26"/>
  <c r="U133" i="26"/>
  <c r="U34" i="26"/>
  <c r="U100" i="26"/>
  <c r="U67" i="26"/>
  <c r="S85" i="26"/>
  <c r="S91" i="26" s="1"/>
  <c r="L126" i="32"/>
  <c r="L79" i="32"/>
  <c r="L116" i="32"/>
  <c r="L88" i="32"/>
  <c r="L107" i="32"/>
  <c r="L97" i="32"/>
  <c r="I79" i="52"/>
  <c r="I51" i="19"/>
  <c r="L135" i="32"/>
  <c r="AE88" i="26"/>
  <c r="AE94" i="26" s="1"/>
  <c r="AE79" i="19"/>
  <c r="AE85" i="19" s="1"/>
  <c r="AE51" i="26"/>
  <c r="AE57" i="26" s="1"/>
  <c r="Z18" i="26"/>
  <c r="Z24" i="26" s="1"/>
  <c r="U120" i="27"/>
  <c r="U126" i="27" s="1"/>
  <c r="Z170" i="32"/>
  <c r="Z171" i="32" s="1"/>
  <c r="Z20" i="34" s="1"/>
  <c r="Z34" i="34" s="1"/>
  <c r="Z180" i="32"/>
  <c r="Z19" i="34" s="1"/>
  <c r="Z33" i="34" s="1"/>
  <c r="W204" i="27"/>
  <c r="W210" i="27" s="1"/>
  <c r="W67" i="20"/>
  <c r="W73" i="20" s="1"/>
  <c r="W79" i="20" s="1"/>
  <c r="W85" i="20" s="1"/>
  <c r="AA150" i="26"/>
  <c r="AA156" i="26" s="1"/>
  <c r="Z121" i="26"/>
  <c r="Z127" i="26" s="1"/>
  <c r="T33" i="27"/>
  <c r="T231" i="27"/>
  <c r="T132" i="27"/>
  <c r="T198" i="27"/>
  <c r="T165" i="27"/>
  <c r="T99" i="27"/>
  <c r="T66" i="27"/>
  <c r="T65" i="52"/>
  <c r="D111" i="19"/>
  <c r="D117" i="19" s="1"/>
  <c r="AC107" i="32"/>
  <c r="Z79" i="52"/>
  <c r="Z51" i="19"/>
  <c r="AC135" i="32"/>
  <c r="AC126" i="32"/>
  <c r="AC88" i="32"/>
  <c r="AC97" i="32"/>
  <c r="AC116" i="32"/>
  <c r="V133" i="25"/>
  <c r="V100" i="25"/>
  <c r="V67" i="25"/>
  <c r="V34" i="25"/>
  <c r="V232" i="25"/>
  <c r="V199" i="25"/>
  <c r="V166" i="25"/>
  <c r="AG76" i="52"/>
  <c r="AJ104" i="32"/>
  <c r="AJ123" i="32"/>
  <c r="AJ94" i="32"/>
  <c r="AJ113" i="32"/>
  <c r="AG47" i="19"/>
  <c r="AJ76" i="32"/>
  <c r="AJ132" i="32"/>
  <c r="AJ85" i="32"/>
  <c r="AG48" i="19"/>
  <c r="AG93" i="19"/>
  <c r="M8" i="20"/>
  <c r="M7" i="20"/>
  <c r="G79" i="52"/>
  <c r="J79" i="32"/>
  <c r="J97" i="32"/>
  <c r="G51" i="19"/>
  <c r="J88" i="32"/>
  <c r="J107" i="32"/>
  <c r="J126" i="32"/>
  <c r="O78" i="52"/>
  <c r="R106" i="32"/>
  <c r="R96" i="32"/>
  <c r="O50" i="19"/>
  <c r="R125" i="32"/>
  <c r="R87" i="32"/>
  <c r="R134" i="32"/>
  <c r="R115" i="32"/>
  <c r="R78" i="32"/>
  <c r="Z87" i="26"/>
  <c r="Z93" i="26" s="1"/>
  <c r="J125" i="19"/>
  <c r="S154" i="26"/>
  <c r="S160" i="26" s="1"/>
  <c r="I87" i="19"/>
  <c r="AE147" i="19"/>
  <c r="AE153" i="19" s="1"/>
  <c r="AE217" i="26"/>
  <c r="AE223" i="26" s="1"/>
  <c r="AE152" i="26"/>
  <c r="AE158" i="26" s="1"/>
  <c r="AC151" i="19"/>
  <c r="AC157" i="19" s="1"/>
  <c r="O86" i="19"/>
  <c r="S115" i="19"/>
  <c r="S121" i="19" s="1"/>
  <c r="W140" i="27"/>
  <c r="W146" i="27" s="1"/>
  <c r="W152" i="27" s="1"/>
  <c r="W158" i="27" s="1"/>
  <c r="W135" i="20"/>
  <c r="W141" i="20" s="1"/>
  <c r="W71" i="27"/>
  <c r="W77" i="27" s="1"/>
  <c r="Z117" i="26"/>
  <c r="Z123" i="26" s="1"/>
  <c r="AC231" i="27"/>
  <c r="AC198" i="27"/>
  <c r="AC132" i="27"/>
  <c r="AC33" i="27"/>
  <c r="AC165" i="27"/>
  <c r="AC66" i="27"/>
  <c r="AC99" i="27"/>
  <c r="AH162" i="19"/>
  <c r="AC216" i="26"/>
  <c r="AC222" i="26" s="1"/>
  <c r="L117" i="32"/>
  <c r="L98" i="32"/>
  <c r="L108" i="32"/>
  <c r="L127" i="32"/>
  <c r="L89" i="32"/>
  <c r="L136" i="32"/>
  <c r="L80" i="32"/>
  <c r="I80" i="52"/>
  <c r="I52" i="19"/>
  <c r="AH117" i="32"/>
  <c r="AE52" i="19"/>
  <c r="AE80" i="52"/>
  <c r="AH98" i="32"/>
  <c r="AC22" i="26"/>
  <c r="AC28" i="26" s="1"/>
  <c r="T90" i="20"/>
  <c r="AC183" i="26"/>
  <c r="AC189" i="26" s="1"/>
  <c r="S151" i="19"/>
  <c r="S157" i="19" s="1"/>
  <c r="W172" i="27"/>
  <c r="W178" i="27" s="1"/>
  <c r="W184" i="27" s="1"/>
  <c r="W190" i="27" s="1"/>
  <c r="W62" i="20"/>
  <c r="W68" i="20" s="1"/>
  <c r="W74" i="20" s="1"/>
  <c r="W80" i="20" s="1"/>
  <c r="W171" i="27"/>
  <c r="W177" i="27" s="1"/>
  <c r="AM163" i="19"/>
  <c r="L79" i="52"/>
  <c r="O116" i="32"/>
  <c r="O97" i="32"/>
  <c r="L51" i="19"/>
  <c r="L89" i="19" s="1"/>
  <c r="O79" i="32"/>
  <c r="O88" i="32"/>
  <c r="X105" i="32"/>
  <c r="D54" i="26"/>
  <c r="D60" i="26" s="1"/>
  <c r="Y83" i="32"/>
  <c r="Y84" i="32" s="1"/>
  <c r="Y24" i="34" s="1"/>
  <c r="Y38" i="34" s="1"/>
  <c r="Y93" i="32"/>
  <c r="Y25" i="34" s="1"/>
  <c r="Y39" i="34" s="1"/>
  <c r="Y74" i="32"/>
  <c r="Y75" i="32" s="1"/>
  <c r="Y23" i="34" s="1"/>
  <c r="Y37" i="34" s="1"/>
  <c r="D113" i="19"/>
  <c r="D119" i="19" s="1"/>
  <c r="Z182" i="26"/>
  <c r="Z188" i="26" s="1"/>
  <c r="AO92" i="32"/>
  <c r="AL92" i="19"/>
  <c r="AL94" i="19" s="1"/>
  <c r="H124" i="19"/>
  <c r="Z111" i="19"/>
  <c r="Z117" i="19" s="1"/>
  <c r="AC83" i="26"/>
  <c r="AC89" i="26" s="1"/>
  <c r="S53" i="26"/>
  <c r="S59" i="26" s="1"/>
  <c r="L124" i="32"/>
  <c r="L114" i="32"/>
  <c r="L86" i="32"/>
  <c r="I77" i="52"/>
  <c r="L105" i="32"/>
  <c r="L95" i="32"/>
  <c r="L133" i="32"/>
  <c r="L77" i="32"/>
  <c r="I49" i="19"/>
  <c r="R151" i="32"/>
  <c r="R152" i="32" s="1"/>
  <c r="R17" i="34" s="1"/>
  <c r="R31" i="34" s="1"/>
  <c r="R161" i="32"/>
  <c r="R18" i="34" s="1"/>
  <c r="R32" i="34" s="1"/>
  <c r="R142" i="32"/>
  <c r="R143" i="32" s="1"/>
  <c r="R16" i="34" s="1"/>
  <c r="R30" i="34" s="1"/>
  <c r="X74" i="19"/>
  <c r="X80" i="19" s="1"/>
  <c r="X75" i="19"/>
  <c r="X81" i="19" s="1"/>
  <c r="AF185" i="32"/>
  <c r="AC45" i="19"/>
  <c r="AE50" i="26"/>
  <c r="AE56" i="26" s="1"/>
  <c r="AE146" i="19"/>
  <c r="AE152" i="19" s="1"/>
  <c r="AE20" i="26"/>
  <c r="AE26" i="26" s="1"/>
  <c r="G19" i="26"/>
  <c r="G25" i="26" s="1"/>
  <c r="Z22" i="26"/>
  <c r="Z28" i="26" s="1"/>
  <c r="AC115" i="19"/>
  <c r="AC121" i="19" s="1"/>
  <c r="AC42" i="19"/>
  <c r="L115" i="19"/>
  <c r="L121" i="19" s="1"/>
  <c r="L127" i="19" s="1"/>
  <c r="AD123" i="20"/>
  <c r="S220" i="26"/>
  <c r="S226" i="26" s="1"/>
  <c r="W109" i="27"/>
  <c r="W115" i="27" s="1"/>
  <c r="W40" i="27"/>
  <c r="W46" i="27" s="1"/>
  <c r="W41" i="27"/>
  <c r="W47" i="27" s="1"/>
  <c r="AH152" i="26"/>
  <c r="AH158" i="26" s="1"/>
  <c r="Q175" i="26"/>
  <c r="Q181" i="26" s="1"/>
  <c r="Q31" i="19"/>
  <c r="Q38" i="19" s="1"/>
  <c r="Q17" i="19"/>
  <c r="Q19" i="19" s="1"/>
  <c r="L91" i="20"/>
  <c r="D117" i="26"/>
  <c r="D123" i="26" s="1"/>
  <c r="D18" i="26"/>
  <c r="D24" i="26" s="1"/>
  <c r="AM131" i="27"/>
  <c r="AM98" i="27"/>
  <c r="AM65" i="27"/>
  <c r="AM32" i="27"/>
  <c r="AM230" i="27"/>
  <c r="AM197" i="27"/>
  <c r="AM164" i="27"/>
  <c r="AM161" i="20"/>
  <c r="AM125" i="20"/>
  <c r="AM89" i="20"/>
  <c r="AG191" i="32"/>
  <c r="AC112" i="19"/>
  <c r="AC118" i="19" s="1"/>
  <c r="AC124" i="19" s="1"/>
  <c r="G149" i="19"/>
  <c r="G155" i="19" s="1"/>
  <c r="AK123" i="20"/>
  <c r="G51" i="26"/>
  <c r="G57" i="26" s="1"/>
  <c r="S119" i="26"/>
  <c r="S125" i="26" s="1"/>
  <c r="H6" i="52"/>
  <c r="S146" i="19"/>
  <c r="S152" i="19" s="1"/>
  <c r="X203" i="26"/>
  <c r="X209" i="26" s="1"/>
  <c r="X27" i="19"/>
  <c r="X34" i="19" s="1"/>
  <c r="X42" i="19" s="1"/>
  <c r="X206" i="26"/>
  <c r="X212" i="26" s="1"/>
  <c r="X218" i="26" s="1"/>
  <c r="X224" i="26" s="1"/>
  <c r="S43" i="19"/>
  <c r="AE78" i="19"/>
  <c r="AE84" i="19" s="1"/>
  <c r="AE149" i="26"/>
  <c r="AE155" i="26" s="1"/>
  <c r="V8" i="20"/>
  <c r="V7" i="20"/>
  <c r="L84" i="26"/>
  <c r="L90" i="26" s="1"/>
  <c r="AC88" i="26"/>
  <c r="AC94" i="26" s="1"/>
  <c r="G183" i="26"/>
  <c r="G189" i="26" s="1"/>
  <c r="AH51" i="26"/>
  <c r="AH57" i="26" s="1"/>
  <c r="L50" i="26"/>
  <c r="L56" i="26" s="1"/>
  <c r="W27" i="20"/>
  <c r="W34" i="20" s="1"/>
  <c r="W42" i="20" s="1"/>
  <c r="W136" i="20"/>
  <c r="W142" i="20" s="1"/>
  <c r="W105" i="27"/>
  <c r="W111" i="27" s="1"/>
  <c r="W117" i="27" s="1"/>
  <c r="W123" i="27" s="1"/>
  <c r="AA149" i="19"/>
  <c r="AA155" i="19" s="1"/>
  <c r="G113" i="19"/>
  <c r="G119" i="19" s="1"/>
  <c r="G125" i="19" s="1"/>
  <c r="D216" i="26"/>
  <c r="D222" i="26" s="1"/>
  <c r="AG161" i="19"/>
  <c r="AC116" i="26"/>
  <c r="AC122" i="26" s="1"/>
  <c r="AC186" i="26"/>
  <c r="AC192" i="26" s="1"/>
  <c r="E87" i="20"/>
  <c r="P18" i="20"/>
  <c r="P15" i="20"/>
  <c r="P12" i="20"/>
  <c r="P6" i="20"/>
  <c r="AK159" i="20"/>
  <c r="D83" i="26"/>
  <c r="D89" i="26" s="1"/>
  <c r="L124" i="19"/>
  <c r="AI134" i="32"/>
  <c r="AL12" i="19"/>
  <c r="AL18" i="19"/>
  <c r="AL15" i="19"/>
  <c r="AL6" i="19"/>
  <c r="G218" i="26"/>
  <c r="G224" i="26" s="1"/>
  <c r="AH110" i="19"/>
  <c r="AH116" i="19" s="1"/>
  <c r="AH43" i="19"/>
  <c r="I159" i="19"/>
  <c r="S149" i="19"/>
  <c r="S155" i="19" s="1"/>
  <c r="Z218" i="26"/>
  <c r="Z224" i="26" s="1"/>
  <c r="S77" i="19"/>
  <c r="S83" i="19" s="1"/>
  <c r="T6" i="52"/>
  <c r="AH22" i="26"/>
  <c r="AH28" i="26" s="1"/>
  <c r="X137" i="26"/>
  <c r="X143" i="26" s="1"/>
  <c r="X149" i="26" s="1"/>
  <c r="X155" i="26" s="1"/>
  <c r="X174" i="26"/>
  <c r="X180" i="26" s="1"/>
  <c r="X40" i="26"/>
  <c r="X46" i="26" s="1"/>
  <c r="X52" i="26" s="1"/>
  <c r="X58" i="26" s="1"/>
  <c r="AH55" i="26"/>
  <c r="AH61" i="26" s="1"/>
  <c r="G84" i="26"/>
  <c r="G90" i="26" s="1"/>
  <c r="AD5" i="52"/>
  <c r="AE77" i="19"/>
  <c r="AE83" i="19" s="1"/>
  <c r="AE117" i="26"/>
  <c r="AE123" i="26" s="1"/>
  <c r="V92" i="20"/>
  <c r="V94" i="20" s="1"/>
  <c r="Y160" i="32"/>
  <c r="X127" i="32"/>
  <c r="AH119" i="26"/>
  <c r="AH125" i="26" s="1"/>
  <c r="AA42" i="19"/>
  <c r="L150" i="26"/>
  <c r="L156" i="26" s="1"/>
  <c r="W38" i="27"/>
  <c r="W44" i="27" s="1"/>
  <c r="W50" i="27" s="1"/>
  <c r="W56" i="27" s="1"/>
  <c r="W98" i="20"/>
  <c r="W104" i="20" s="1"/>
  <c r="W110" i="20" s="1"/>
  <c r="W116" i="20" s="1"/>
  <c r="W29" i="20"/>
  <c r="W36" i="20" s="1"/>
  <c r="W44" i="20" s="1"/>
  <c r="AA218" i="26"/>
  <c r="AA224" i="26" s="1"/>
  <c r="AH46" i="19"/>
  <c r="J161" i="19"/>
  <c r="AH161" i="19"/>
  <c r="AF64" i="26"/>
  <c r="AF130" i="26"/>
  <c r="AF163" i="26"/>
  <c r="AF196" i="26"/>
  <c r="AF229" i="26"/>
  <c r="AF97" i="26"/>
  <c r="AF31" i="26"/>
  <c r="AF5" i="52"/>
  <c r="G151" i="19"/>
  <c r="G157" i="19" s="1"/>
  <c r="Z83" i="26"/>
  <c r="Z89" i="26" s="1"/>
  <c r="R97" i="32"/>
  <c r="R107" i="32"/>
  <c r="R135" i="32"/>
  <c r="O79" i="52"/>
  <c r="R116" i="32"/>
  <c r="R88" i="32"/>
  <c r="R126" i="32"/>
  <c r="O51" i="19"/>
  <c r="R79" i="32"/>
  <c r="AH182" i="26"/>
  <c r="AH188" i="26" s="1"/>
  <c r="Z216" i="26"/>
  <c r="Z222" i="26" s="1"/>
  <c r="S88" i="26"/>
  <c r="S94" i="26" s="1"/>
  <c r="AH54" i="26"/>
  <c r="AH60" i="26" s="1"/>
  <c r="X107" i="26"/>
  <c r="X113" i="26" s="1"/>
  <c r="X119" i="26" s="1"/>
  <c r="X125" i="26" s="1"/>
  <c r="X135" i="19"/>
  <c r="X141" i="19" s="1"/>
  <c r="X134" i="19"/>
  <c r="X140" i="19" s="1"/>
  <c r="X109" i="32"/>
  <c r="AH85" i="26"/>
  <c r="AH91" i="26" s="1"/>
  <c r="AE76" i="19"/>
  <c r="AE82" i="19" s="1"/>
  <c r="AE150" i="19"/>
  <c r="AE156" i="19" s="1"/>
  <c r="AE162" i="19" s="1"/>
  <c r="AH74" i="19"/>
  <c r="AH80" i="19" s="1"/>
  <c r="AH149" i="26"/>
  <c r="AH155" i="26" s="1"/>
  <c r="AH79" i="19"/>
  <c r="AH85" i="19" s="1"/>
  <c r="H227" i="26"/>
  <c r="H194" i="26"/>
  <c r="H161" i="26"/>
  <c r="H128" i="26"/>
  <c r="H29" i="26"/>
  <c r="H55" i="52"/>
  <c r="H62" i="26"/>
  <c r="H95" i="26"/>
  <c r="L52" i="26"/>
  <c r="L58" i="26" s="1"/>
  <c r="AH215" i="26"/>
  <c r="AH221" i="26" s="1"/>
  <c r="W17" i="20"/>
  <c r="W19" i="20" s="1"/>
  <c r="W203" i="27"/>
  <c r="W209" i="27" s="1"/>
  <c r="W215" i="27" s="1"/>
  <c r="W221" i="27" s="1"/>
  <c r="W205" i="27"/>
  <c r="W211" i="27" s="1"/>
  <c r="W217" i="27" s="1"/>
  <c r="W223" i="27" s="1"/>
  <c r="AA118" i="26"/>
  <c r="AA124" i="26" s="1"/>
  <c r="L106" i="32"/>
  <c r="I50" i="19"/>
  <c r="I88" i="19" s="1"/>
  <c r="I78" i="52"/>
  <c r="L125" i="32"/>
  <c r="L134" i="32"/>
  <c r="L78" i="32"/>
  <c r="L87" i="32"/>
  <c r="L115" i="32"/>
  <c r="L96" i="32"/>
  <c r="U86" i="27"/>
  <c r="U92" i="27" s="1"/>
  <c r="G80" i="52"/>
  <c r="J108" i="32"/>
  <c r="G52" i="19"/>
  <c r="J117" i="32"/>
  <c r="J136" i="32"/>
  <c r="J80" i="32"/>
  <c r="J89" i="32"/>
  <c r="O88" i="19"/>
  <c r="AC111" i="19"/>
  <c r="AC117" i="19" s="1"/>
  <c r="T7" i="52"/>
  <c r="U84" i="52"/>
  <c r="X174" i="32"/>
  <c r="X183" i="32"/>
  <c r="X164" i="32"/>
  <c r="U50" i="20"/>
  <c r="U88" i="20" s="1"/>
  <c r="X193" i="32"/>
  <c r="X155" i="32"/>
  <c r="X146" i="32"/>
  <c r="AE113" i="19"/>
  <c r="AE119" i="19" s="1"/>
  <c r="AE116" i="26"/>
  <c r="AE122" i="26" s="1"/>
  <c r="AC41" i="19"/>
  <c r="AC114" i="19"/>
  <c r="AC120" i="19" s="1"/>
  <c r="AD161" i="19"/>
  <c r="AE164" i="27"/>
  <c r="AE131" i="27"/>
  <c r="AE197" i="27"/>
  <c r="AE98" i="27"/>
  <c r="AE65" i="27"/>
  <c r="AE32" i="27"/>
  <c r="AE230" i="27"/>
  <c r="AE89" i="20"/>
  <c r="AH121" i="26"/>
  <c r="AH127" i="26" s="1"/>
  <c r="U119" i="27"/>
  <c r="U125" i="27" s="1"/>
  <c r="X89" i="32"/>
  <c r="U51" i="27"/>
  <c r="U57" i="27" s="1"/>
  <c r="S164" i="20"/>
  <c r="S166" i="20" s="1"/>
  <c r="L217" i="26"/>
  <c r="L223" i="26" s="1"/>
  <c r="AH187" i="26"/>
  <c r="AH193" i="26" s="1"/>
  <c r="AH53" i="26"/>
  <c r="AH59" i="26" s="1"/>
  <c r="W141" i="27"/>
  <c r="W147" i="27" s="1"/>
  <c r="W153" i="27" s="1"/>
  <c r="W159" i="27" s="1"/>
  <c r="W208" i="27"/>
  <c r="W214" i="27" s="1"/>
  <c r="W220" i="27" s="1"/>
  <c r="W226" i="27" s="1"/>
  <c r="W75" i="27"/>
  <c r="W81" i="27" s="1"/>
  <c r="W87" i="27" s="1"/>
  <c r="W93" i="27" s="1"/>
  <c r="Z50" i="26"/>
  <c r="Z56" i="26" s="1"/>
  <c r="AM142" i="11"/>
  <c r="D53" i="26"/>
  <c r="D59" i="26" s="1"/>
  <c r="AB5" i="27"/>
  <c r="AB11" i="27" s="1"/>
  <c r="AE179" i="32"/>
  <c r="AB40" i="27"/>
  <c r="AB46" i="27" s="1"/>
  <c r="AB139" i="27"/>
  <c r="AB145" i="27" s="1"/>
  <c r="AB136" i="20"/>
  <c r="AB142" i="20" s="1"/>
  <c r="AB206" i="27"/>
  <c r="AB212" i="27" s="1"/>
  <c r="AB67" i="20"/>
  <c r="AB73" i="20" s="1"/>
  <c r="AB101" i="20"/>
  <c r="AB107" i="20" s="1"/>
  <c r="AB134" i="20"/>
  <c r="AB140" i="20" s="1"/>
  <c r="AB66" i="20"/>
  <c r="AB72" i="20" s="1"/>
  <c r="AB7" i="27"/>
  <c r="AB13" i="27" s="1"/>
  <c r="AB16" i="20"/>
  <c r="AB104" i="27" s="1"/>
  <c r="AB110" i="27" s="1"/>
  <c r="AB76" i="27"/>
  <c r="AB82" i="27" s="1"/>
  <c r="AB137" i="20"/>
  <c r="AB143" i="20" s="1"/>
  <c r="AF63" i="26"/>
  <c r="AF195" i="26"/>
  <c r="AF228" i="26"/>
  <c r="AF129" i="26"/>
  <c r="AF96" i="26"/>
  <c r="AF30" i="26"/>
  <c r="AF162" i="26"/>
  <c r="AF4" i="52"/>
  <c r="W63" i="26"/>
  <c r="W228" i="26"/>
  <c r="W162" i="26"/>
  <c r="W96" i="26"/>
  <c r="W30" i="26"/>
  <c r="W195" i="26"/>
  <c r="W129" i="26"/>
  <c r="W159" i="19"/>
  <c r="W123" i="19"/>
  <c r="W87" i="19"/>
  <c r="AM127" i="19"/>
  <c r="Z74" i="19"/>
  <c r="Z80" i="19" s="1"/>
  <c r="Z114" i="19"/>
  <c r="Z120" i="19" s="1"/>
  <c r="U90" i="20"/>
  <c r="G149" i="26"/>
  <c r="G155" i="26" s="1"/>
  <c r="X152" i="26"/>
  <c r="X158" i="26" s="1"/>
  <c r="Z215" i="26"/>
  <c r="Z221" i="26" s="1"/>
  <c r="AE149" i="19"/>
  <c r="AE155" i="19" s="1"/>
  <c r="AE19" i="26"/>
  <c r="AE25" i="26" s="1"/>
  <c r="AC119" i="26"/>
  <c r="AC125" i="26" s="1"/>
  <c r="Z119" i="26"/>
  <c r="Z125" i="26" s="1"/>
  <c r="AC74" i="19"/>
  <c r="AC80" i="19" s="1"/>
  <c r="AH186" i="26"/>
  <c r="AH192" i="26" s="1"/>
  <c r="G85" i="26"/>
  <c r="G91" i="26" s="1"/>
  <c r="AH20" i="26"/>
  <c r="AH26" i="26" s="1"/>
  <c r="G110" i="19"/>
  <c r="G116" i="19" s="1"/>
  <c r="U87" i="27"/>
  <c r="U93" i="27" s="1"/>
  <c r="V151" i="32"/>
  <c r="V152" i="32" s="1"/>
  <c r="U17" i="34" s="1"/>
  <c r="U31" i="34" s="1"/>
  <c r="V161" i="32"/>
  <c r="U18" i="34" s="1"/>
  <c r="U32" i="34" s="1"/>
  <c r="V142" i="32"/>
  <c r="V143" i="32" s="1"/>
  <c r="U16" i="34" s="1"/>
  <c r="U30" i="34" s="1"/>
  <c r="AH216" i="26"/>
  <c r="AH222" i="26" s="1"/>
  <c r="L45" i="19"/>
  <c r="L47" i="19" s="1"/>
  <c r="AH18" i="26"/>
  <c r="AH24" i="26" s="1"/>
  <c r="W73" i="27"/>
  <c r="W79" i="27" s="1"/>
  <c r="W85" i="27" s="1"/>
  <c r="W91" i="27" s="1"/>
  <c r="W206" i="27"/>
  <c r="W212" i="27" s="1"/>
  <c r="W102" i="20"/>
  <c r="W108" i="20" s="1"/>
  <c r="W114" i="20" s="1"/>
  <c r="W120" i="20" s="1"/>
  <c r="AD131" i="32"/>
  <c r="AF28" i="34" s="1"/>
  <c r="AF42" i="34" s="1"/>
  <c r="AD121" i="32"/>
  <c r="AD122" i="32" s="1"/>
  <c r="AF29" i="34" s="1"/>
  <c r="AF43" i="34" s="1"/>
  <c r="U217" i="27"/>
  <c r="U223" i="27" s="1"/>
  <c r="AM160" i="19"/>
  <c r="AG156" i="32"/>
  <c r="AG147" i="32"/>
  <c r="AG184" i="32"/>
  <c r="AD51" i="20"/>
  <c r="AG203" i="32"/>
  <c r="AG194" i="32"/>
  <c r="AG165" i="32"/>
  <c r="AG175" i="32"/>
  <c r="AD85" i="52"/>
  <c r="AC185" i="26"/>
  <c r="AC191" i="26" s="1"/>
  <c r="AC20" i="26"/>
  <c r="AC26" i="26" s="1"/>
  <c r="AC19" i="26"/>
  <c r="AC25" i="26" s="1"/>
  <c r="V91" i="18"/>
  <c r="J88" i="19"/>
  <c r="V162" i="25"/>
  <c r="V30" i="25"/>
  <c r="V228" i="25"/>
  <c r="V195" i="25"/>
  <c r="V96" i="25"/>
  <c r="V129" i="25"/>
  <c r="V63" i="25"/>
  <c r="V159" i="18"/>
  <c r="X182" i="32"/>
  <c r="X173" i="32"/>
  <c r="U83" i="52"/>
  <c r="U49" i="20"/>
  <c r="X192" i="32"/>
  <c r="X154" i="32"/>
  <c r="X163" i="32"/>
  <c r="X201" i="32"/>
  <c r="X145" i="32"/>
  <c r="G111" i="19"/>
  <c r="G117" i="19" s="1"/>
  <c r="Z43" i="19"/>
  <c r="AH148" i="19"/>
  <c r="AH154" i="19" s="1"/>
  <c r="AH118" i="26"/>
  <c r="AH124" i="26" s="1"/>
  <c r="J15" i="20"/>
  <c r="J6" i="20"/>
  <c r="J12" i="20"/>
  <c r="J18" i="20"/>
  <c r="S51" i="26"/>
  <c r="S57" i="26" s="1"/>
  <c r="G42" i="19"/>
  <c r="AP85" i="32"/>
  <c r="AP132" i="32"/>
  <c r="AP104" i="32"/>
  <c r="AP76" i="32"/>
  <c r="AP113" i="32"/>
  <c r="AP123" i="32"/>
  <c r="AM48" i="19"/>
  <c r="AM158" i="19" s="1"/>
  <c r="AM76" i="52"/>
  <c r="AP94" i="32"/>
  <c r="AM47" i="19"/>
  <c r="AM93" i="19"/>
  <c r="AM129" i="19"/>
  <c r="X109" i="26"/>
  <c r="X115" i="26" s="1"/>
  <c r="X137" i="19"/>
  <c r="X143" i="19" s="1"/>
  <c r="V196" i="25"/>
  <c r="V163" i="25"/>
  <c r="V130" i="25"/>
  <c r="V31" i="25"/>
  <c r="V229" i="25"/>
  <c r="V97" i="25"/>
  <c r="V64" i="25"/>
  <c r="V124" i="18"/>
  <c r="Z46" i="19"/>
  <c r="Z116" i="26"/>
  <c r="Z122" i="26" s="1"/>
  <c r="T27" i="52"/>
  <c r="T52" i="52"/>
  <c r="T53" i="52"/>
  <c r="T51" i="52"/>
  <c r="T49" i="52"/>
  <c r="T50" i="52"/>
  <c r="T60" i="52"/>
  <c r="T54" i="52"/>
  <c r="AE41" i="19"/>
  <c r="AE83" i="26"/>
  <c r="AE89" i="26" s="1"/>
  <c r="Z217" i="26"/>
  <c r="Z223" i="26" s="1"/>
  <c r="Z86" i="26"/>
  <c r="Z92" i="26" s="1"/>
  <c r="G217" i="26"/>
  <c r="G223" i="26" s="1"/>
  <c r="AH86" i="26"/>
  <c r="AH92" i="26" s="1"/>
  <c r="G83" i="26"/>
  <c r="G89" i="26" s="1"/>
  <c r="S52" i="26"/>
  <c r="S58" i="26" s="1"/>
  <c r="U231" i="26"/>
  <c r="U198" i="26"/>
  <c r="U165" i="26"/>
  <c r="U132" i="26"/>
  <c r="U99" i="26"/>
  <c r="U33" i="26"/>
  <c r="U66" i="26"/>
  <c r="U50" i="27"/>
  <c r="U56" i="27" s="1"/>
  <c r="AH219" i="26"/>
  <c r="AH225" i="26" s="1"/>
  <c r="L87" i="26"/>
  <c r="L93" i="26" s="1"/>
  <c r="AH151" i="26"/>
  <c r="AH157" i="26" s="1"/>
  <c r="W138" i="27"/>
  <c r="W144" i="27" s="1"/>
  <c r="W150" i="27" s="1"/>
  <c r="W156" i="27" s="1"/>
  <c r="W26" i="20"/>
  <c r="W33" i="20" s="1"/>
  <c r="W41" i="20" s="1"/>
  <c r="W129" i="20" s="1"/>
  <c r="W99" i="20"/>
  <c r="W105" i="20" s="1"/>
  <c r="W111" i="20" s="1"/>
  <c r="W117" i="20" s="1"/>
  <c r="AA154" i="26"/>
  <c r="AA160" i="26" s="1"/>
  <c r="S84" i="26"/>
  <c r="S90" i="26" s="1"/>
  <c r="O124" i="19"/>
  <c r="X167" i="32"/>
  <c r="X205" i="32"/>
  <c r="X186" i="32"/>
  <c r="X177" i="32"/>
  <c r="X196" i="32"/>
  <c r="U53" i="20"/>
  <c r="U8" i="52" s="1"/>
  <c r="U87" i="52"/>
  <c r="U86" i="52"/>
  <c r="X195" i="32"/>
  <c r="X204" i="32"/>
  <c r="U52" i="20"/>
  <c r="X176" i="32"/>
  <c r="X148" i="32"/>
  <c r="X166" i="32"/>
  <c r="AG86" i="19"/>
  <c r="T98" i="27"/>
  <c r="T65" i="27"/>
  <c r="T32" i="27"/>
  <c r="T230" i="27"/>
  <c r="T197" i="27"/>
  <c r="T164" i="27"/>
  <c r="T64" i="52"/>
  <c r="T131" i="27"/>
  <c r="S114" i="19"/>
  <c r="S120" i="19" s="1"/>
  <c r="X83" i="26"/>
  <c r="X89" i="26" s="1"/>
  <c r="Z110" i="19"/>
  <c r="Z116" i="19" s="1"/>
  <c r="AE215" i="26"/>
  <c r="AE221" i="26" s="1"/>
  <c r="AE186" i="26"/>
  <c r="AE192" i="26" s="1"/>
  <c r="S216" i="26"/>
  <c r="S222" i="26" s="1"/>
  <c r="Z52" i="26"/>
  <c r="Z58" i="26" s="1"/>
  <c r="G50" i="26"/>
  <c r="G56" i="26" s="1"/>
  <c r="AH77" i="19"/>
  <c r="AH83" i="19" s="1"/>
  <c r="AE42" i="19"/>
  <c r="AM65" i="26"/>
  <c r="AM230" i="26"/>
  <c r="AM197" i="26"/>
  <c r="AM131" i="26"/>
  <c r="AM164" i="26"/>
  <c r="AM98" i="26"/>
  <c r="AM32" i="26"/>
  <c r="AM6" i="52"/>
  <c r="AH120" i="26"/>
  <c r="AH126" i="26" s="1"/>
  <c r="U111" i="20"/>
  <c r="U117" i="20" s="1"/>
  <c r="U123" i="20" s="1"/>
  <c r="W134" i="20"/>
  <c r="W140" i="20" s="1"/>
  <c r="W146" i="20" s="1"/>
  <c r="W152" i="20" s="1"/>
  <c r="W137" i="20"/>
  <c r="W143" i="20" s="1"/>
  <c r="W149" i="20" s="1"/>
  <c r="W155" i="20" s="1"/>
  <c r="W72" i="27"/>
  <c r="W78" i="27" s="1"/>
  <c r="W84" i="27" s="1"/>
  <c r="W90" i="27" s="1"/>
  <c r="U75" i="20"/>
  <c r="U81" i="20" s="1"/>
  <c r="U87" i="20" s="1"/>
  <c r="AF79" i="52"/>
  <c r="AI88" i="32"/>
  <c r="AI116" i="32"/>
  <c r="AI126" i="32"/>
  <c r="AI135" i="32"/>
  <c r="AI79" i="32"/>
  <c r="AI107" i="32"/>
  <c r="AF51" i="19"/>
  <c r="AI97" i="32"/>
  <c r="U123" i="19"/>
  <c r="AG78" i="52"/>
  <c r="AJ125" i="32"/>
  <c r="AJ115" i="32"/>
  <c r="AJ134" i="32"/>
  <c r="AJ87" i="32"/>
  <c r="AJ96" i="32"/>
  <c r="AJ106" i="32"/>
  <c r="AJ78" i="32"/>
  <c r="AG50" i="19"/>
  <c r="AG160" i="19" s="1"/>
  <c r="AE62" i="27"/>
  <c r="AE227" i="27"/>
  <c r="AE194" i="27"/>
  <c r="AE161" i="27"/>
  <c r="AE128" i="27"/>
  <c r="AE95" i="27"/>
  <c r="AE29" i="27"/>
  <c r="AE122" i="20"/>
  <c r="AE158" i="20"/>
  <c r="H162" i="26"/>
  <c r="H228" i="26"/>
  <c r="H195" i="26"/>
  <c r="H129" i="26"/>
  <c r="H96" i="26"/>
  <c r="H30" i="26"/>
  <c r="H63" i="26"/>
  <c r="H56" i="52"/>
  <c r="E163" i="20"/>
  <c r="AC215" i="26"/>
  <c r="AC221" i="26" s="1"/>
  <c r="AC46" i="19"/>
  <c r="G89" i="19"/>
  <c r="AC121" i="32"/>
  <c r="AC122" i="32" s="1"/>
  <c r="AE29" i="34" s="1"/>
  <c r="AE43" i="34" s="1"/>
  <c r="AC131" i="32"/>
  <c r="AE28" i="34" s="1"/>
  <c r="AE42" i="34" s="1"/>
  <c r="Z84" i="26"/>
  <c r="Z90" i="26" s="1"/>
  <c r="O80" i="52"/>
  <c r="R98" i="32"/>
  <c r="R136" i="32"/>
  <c r="O52" i="19"/>
  <c r="R108" i="32"/>
  <c r="R117" i="32"/>
  <c r="R127" i="32"/>
  <c r="R89" i="32"/>
  <c r="R80" i="32"/>
  <c r="N99" i="26"/>
  <c r="N165" i="26"/>
  <c r="N132" i="26"/>
  <c r="N198" i="26"/>
  <c r="N66" i="26"/>
  <c r="N33" i="26"/>
  <c r="N59" i="52"/>
  <c r="N231" i="26"/>
  <c r="N162" i="19"/>
  <c r="N7" i="52"/>
  <c r="N90" i="19"/>
  <c r="S184" i="26"/>
  <c r="S190" i="26" s="1"/>
  <c r="X86" i="26"/>
  <c r="X92" i="26" s="1"/>
  <c r="AA102" i="32"/>
  <c r="AA103" i="32" s="1"/>
  <c r="AA27" i="34" s="1"/>
  <c r="AA41" i="34" s="1"/>
  <c r="AA112" i="32"/>
  <c r="AA26" i="34" s="1"/>
  <c r="AA40" i="34" s="1"/>
  <c r="J89" i="19"/>
  <c r="AE75" i="19"/>
  <c r="AE81" i="19" s="1"/>
  <c r="AE44" i="19"/>
  <c r="AE118" i="26"/>
  <c r="AE124" i="26" s="1"/>
  <c r="AE182" i="26"/>
  <c r="AE188" i="26" s="1"/>
  <c r="Z88" i="26"/>
  <c r="Z94" i="26" s="1"/>
  <c r="U121" i="27"/>
  <c r="U127" i="27" s="1"/>
  <c r="AP88" i="32"/>
  <c r="U130" i="26"/>
  <c r="U31" i="26"/>
  <c r="U229" i="26"/>
  <c r="U97" i="26"/>
  <c r="U196" i="26"/>
  <c r="U163" i="26"/>
  <c r="U64" i="26"/>
  <c r="L119" i="26"/>
  <c r="L125" i="26" s="1"/>
  <c r="U185" i="27"/>
  <c r="U191" i="27" s="1"/>
  <c r="W173" i="27"/>
  <c r="W179" i="27" s="1"/>
  <c r="W185" i="27" s="1"/>
  <c r="W191" i="27" s="1"/>
  <c r="W142" i="27"/>
  <c r="W148" i="27" s="1"/>
  <c r="W154" i="27" s="1"/>
  <c r="W160" i="27" s="1"/>
  <c r="W32" i="20"/>
  <c r="W39" i="20" s="1"/>
  <c r="W40" i="20" s="1"/>
  <c r="U20" i="27"/>
  <c r="U26" i="27" s="1"/>
  <c r="K27" i="33"/>
  <c r="E30" i="33"/>
  <c r="AC88" i="20"/>
  <c r="L151" i="32"/>
  <c r="L152" i="32" s="1"/>
  <c r="K17" i="34" s="1"/>
  <c r="K31" i="34" s="1"/>
  <c r="L161" i="32"/>
  <c r="K18" i="34" s="1"/>
  <c r="K32" i="34" s="1"/>
  <c r="L142" i="32"/>
  <c r="L143" i="32" s="1"/>
  <c r="K16" i="34" s="1"/>
  <c r="K30" i="34" s="1"/>
  <c r="AC126" i="20"/>
  <c r="AM124" i="19"/>
  <c r="AF203" i="32"/>
  <c r="H202" i="32"/>
  <c r="H174" i="32"/>
  <c r="H183" i="32"/>
  <c r="H155" i="32"/>
  <c r="H164" i="32"/>
  <c r="E50" i="20"/>
  <c r="E88" i="20" s="1"/>
  <c r="E84" i="52"/>
  <c r="H193" i="32"/>
  <c r="H146" i="32"/>
  <c r="Z189" i="32"/>
  <c r="Z190" i="32" s="1"/>
  <c r="Z22" i="34" s="1"/>
  <c r="Z36" i="34" s="1"/>
  <c r="Z199" i="32"/>
  <c r="Z21" i="34" s="1"/>
  <c r="Z35" i="34" s="1"/>
  <c r="AD122" i="19"/>
  <c r="D165" i="19"/>
  <c r="U87" i="19"/>
  <c r="S111" i="19"/>
  <c r="S117" i="19" s="1"/>
  <c r="J79" i="52"/>
  <c r="M135" i="32"/>
  <c r="M79" i="32"/>
  <c r="M97" i="32"/>
  <c r="M107" i="32"/>
  <c r="J51" i="19"/>
  <c r="M88" i="32"/>
  <c r="M116" i="32"/>
  <c r="M126" i="32"/>
  <c r="H165" i="26"/>
  <c r="H231" i="26"/>
  <c r="H198" i="26"/>
  <c r="H132" i="26"/>
  <c r="H99" i="26"/>
  <c r="H66" i="26"/>
  <c r="H33" i="26"/>
  <c r="H59" i="52"/>
  <c r="H162" i="19"/>
  <c r="S20" i="26"/>
  <c r="S26" i="26" s="1"/>
  <c r="AC154" i="26"/>
  <c r="AC160" i="26" s="1"/>
  <c r="Z187" i="26"/>
  <c r="Z193" i="26" s="1"/>
  <c r="E234" i="53"/>
  <c r="E335" i="53"/>
  <c r="E370" i="53" s="1"/>
  <c r="AH76" i="19"/>
  <c r="AH82" i="19" s="1"/>
  <c r="G52" i="26"/>
  <c r="G58" i="26" s="1"/>
  <c r="X173" i="26"/>
  <c r="X179" i="26" s="1"/>
  <c r="X207" i="26"/>
  <c r="X213" i="26" s="1"/>
  <c r="X17" i="19"/>
  <c r="X19" i="19" s="1"/>
  <c r="AC151" i="26"/>
  <c r="AC157" i="26" s="1"/>
  <c r="AH111" i="19"/>
  <c r="AH117" i="19" s="1"/>
  <c r="AE86" i="26"/>
  <c r="AE92" i="26" s="1"/>
  <c r="AE53" i="26"/>
  <c r="AE59" i="26" s="1"/>
  <c r="U151" i="20"/>
  <c r="U157" i="20" s="1"/>
  <c r="U163" i="20" s="1"/>
  <c r="U153" i="27"/>
  <c r="U159" i="27" s="1"/>
  <c r="S44" i="19"/>
  <c r="L218" i="26"/>
  <c r="L224" i="26" s="1"/>
  <c r="S113" i="19"/>
  <c r="S119" i="19" s="1"/>
  <c r="W63" i="20"/>
  <c r="W69" i="20" s="1"/>
  <c r="W75" i="20" s="1"/>
  <c r="W81" i="20" s="1"/>
  <c r="W107" i="27"/>
  <c r="W113" i="27" s="1"/>
  <c r="W119" i="27" s="1"/>
  <c r="W125" i="27" s="1"/>
  <c r="W101" i="20"/>
  <c r="W107" i="20" s="1"/>
  <c r="W113" i="20" s="1"/>
  <c r="W119" i="20" s="1"/>
  <c r="AC50" i="26"/>
  <c r="AC56" i="26" s="1"/>
  <c r="U22" i="27"/>
  <c r="U28" i="27" s="1"/>
  <c r="Q109" i="26"/>
  <c r="Q115" i="26" s="1"/>
  <c r="Q121" i="26" s="1"/>
  <c r="Q127" i="26" s="1"/>
  <c r="Q8" i="26"/>
  <c r="Q14" i="26" s="1"/>
  <c r="Q20" i="26" s="1"/>
  <c r="Q26" i="26" s="1"/>
  <c r="Q65" i="19"/>
  <c r="Q71" i="19" s="1"/>
  <c r="Q77" i="19" s="1"/>
  <c r="Q83" i="19" s="1"/>
  <c r="L91" i="19"/>
  <c r="AA53" i="19"/>
  <c r="AA163" i="19" s="1"/>
  <c r="AD90" i="32"/>
  <c r="AD109" i="32"/>
  <c r="AD81" i="32"/>
  <c r="AD99" i="32"/>
  <c r="AA81" i="52"/>
  <c r="AD137" i="32"/>
  <c r="AG89" i="19"/>
  <c r="E197" i="27"/>
  <c r="E164" i="27"/>
  <c r="E131" i="27"/>
  <c r="E98" i="27"/>
  <c r="E65" i="27"/>
  <c r="E32" i="27"/>
  <c r="E230" i="27"/>
  <c r="E6" i="52"/>
  <c r="AG204" i="32"/>
  <c r="AD52" i="20"/>
  <c r="AD7" i="52" s="1"/>
  <c r="AG195" i="32"/>
  <c r="AG185" i="32"/>
  <c r="AG148" i="32"/>
  <c r="AD86" i="52"/>
  <c r="AG176" i="32"/>
  <c r="AG166" i="32"/>
  <c r="AG157" i="32"/>
  <c r="D220" i="26"/>
  <c r="D226" i="26" s="1"/>
  <c r="J127" i="19"/>
  <c r="Z21" i="26"/>
  <c r="Z27" i="26" s="1"/>
  <c r="Z147" i="19"/>
  <c r="Z153" i="19" s="1"/>
  <c r="E336" i="53"/>
  <c r="E371" i="53" s="1"/>
  <c r="E235" i="53"/>
  <c r="H197" i="26"/>
  <c r="H98" i="26"/>
  <c r="H32" i="26"/>
  <c r="H65" i="26"/>
  <c r="H58" i="52"/>
  <c r="H230" i="26"/>
  <c r="H131" i="26"/>
  <c r="H164" i="26"/>
  <c r="AH80" i="52"/>
  <c r="AK98" i="32"/>
  <c r="AK117" i="32"/>
  <c r="AK89" i="32"/>
  <c r="AK127" i="32"/>
  <c r="AH52" i="19"/>
  <c r="AH90" i="19" s="1"/>
  <c r="G112" i="19"/>
  <c r="G118" i="19" s="1"/>
  <c r="X184" i="26"/>
  <c r="X190" i="26" s="1"/>
  <c r="R95" i="32"/>
  <c r="O77" i="52"/>
  <c r="O49" i="19"/>
  <c r="O87" i="19" s="1"/>
  <c r="R86" i="32"/>
  <c r="R124" i="32"/>
  <c r="R105" i="32"/>
  <c r="R133" i="32"/>
  <c r="R77" i="32"/>
  <c r="R114" i="32"/>
  <c r="AC86" i="26"/>
  <c r="AC92" i="26" s="1"/>
  <c r="AH113" i="19"/>
  <c r="AH119" i="19" s="1"/>
  <c r="AH125" i="19" s="1"/>
  <c r="AE21" i="26"/>
  <c r="AE27" i="26" s="1"/>
  <c r="AE85" i="26"/>
  <c r="AE91" i="26" s="1"/>
  <c r="Z85" i="26"/>
  <c r="Z91" i="26" s="1"/>
  <c r="AD228" i="27"/>
  <c r="AD162" i="27"/>
  <c r="AD63" i="27"/>
  <c r="AD195" i="27"/>
  <c r="AD129" i="27"/>
  <c r="AD96" i="27"/>
  <c r="AP126" i="32"/>
  <c r="AE46" i="19"/>
  <c r="AD163" i="27"/>
  <c r="AD229" i="27"/>
  <c r="AD196" i="27"/>
  <c r="AD130" i="27"/>
  <c r="AD97" i="27"/>
  <c r="AD64" i="27"/>
  <c r="AD31" i="27"/>
  <c r="S215" i="26"/>
  <c r="S221" i="26" s="1"/>
  <c r="L123" i="19"/>
  <c r="AH21" i="26"/>
  <c r="AH27" i="26" s="1"/>
  <c r="W76" i="27"/>
  <c r="W82" i="27" s="1"/>
  <c r="W88" i="27" s="1"/>
  <c r="W94" i="27" s="1"/>
  <c r="W137" i="27"/>
  <c r="W143" i="27" s="1"/>
  <c r="W149" i="27" s="1"/>
  <c r="W155" i="27" s="1"/>
  <c r="W106" i="27"/>
  <c r="W112" i="27" s="1"/>
  <c r="W118" i="27" s="1"/>
  <c r="W124" i="27" s="1"/>
  <c r="U54" i="27"/>
  <c r="U60" i="27" s="1"/>
  <c r="Z149" i="26"/>
  <c r="Z155" i="26" s="1"/>
  <c r="D85" i="26"/>
  <c r="D91" i="26" s="1"/>
  <c r="P129" i="19"/>
  <c r="Q138" i="19"/>
  <c r="Q144" i="19" s="1"/>
  <c r="Q150" i="19" s="1"/>
  <c r="Q156" i="19" s="1"/>
  <c r="Q141" i="26"/>
  <c r="Q147" i="26" s="1"/>
  <c r="Q153" i="26" s="1"/>
  <c r="Q159" i="26" s="1"/>
  <c r="AK228" i="27"/>
  <c r="AK195" i="27"/>
  <c r="AK96" i="27"/>
  <c r="AK129" i="27"/>
  <c r="AK162" i="27"/>
  <c r="AK30" i="27"/>
  <c r="AK63" i="27"/>
  <c r="D153" i="26"/>
  <c r="D159" i="26" s="1"/>
  <c r="AC52" i="26"/>
  <c r="AC58" i="26" s="1"/>
  <c r="X132" i="32"/>
  <c r="X76" i="32"/>
  <c r="U76" i="52"/>
  <c r="U48" i="19"/>
  <c r="U47" i="19"/>
  <c r="X104" i="32"/>
  <c r="X123" i="32"/>
  <c r="X94" i="32"/>
  <c r="X113" i="32"/>
  <c r="X85" i="32"/>
  <c r="U93" i="19"/>
  <c r="U129" i="19"/>
  <c r="U165" i="19"/>
  <c r="AD231" i="26"/>
  <c r="AD165" i="26"/>
  <c r="AD33" i="26"/>
  <c r="AD132" i="26"/>
  <c r="AD99" i="26"/>
  <c r="AD198" i="26"/>
  <c r="AD66" i="26"/>
  <c r="AD90" i="19"/>
  <c r="AJ92" i="19"/>
  <c r="AJ94" i="19" s="1"/>
  <c r="AM92" i="32"/>
  <c r="D152" i="26"/>
  <c r="D158" i="26" s="1"/>
  <c r="L231" i="27"/>
  <c r="L198" i="27"/>
  <c r="L165" i="27"/>
  <c r="L33" i="27"/>
  <c r="L66" i="27"/>
  <c r="L132" i="27"/>
  <c r="L99" i="27"/>
  <c r="AM99" i="26"/>
  <c r="AM198" i="26"/>
  <c r="AM231" i="26"/>
  <c r="AM165" i="26"/>
  <c r="AM33" i="26"/>
  <c r="AM7" i="52"/>
  <c r="AM132" i="26"/>
  <c r="AM66" i="26"/>
  <c r="S151" i="26"/>
  <c r="S157" i="26" s="1"/>
  <c r="Z41" i="19"/>
  <c r="AK229" i="25"/>
  <c r="AK31" i="25"/>
  <c r="AK196" i="25"/>
  <c r="AK163" i="25"/>
  <c r="AK130" i="25"/>
  <c r="AK97" i="25"/>
  <c r="AK64" i="25"/>
  <c r="S116" i="26"/>
  <c r="S122" i="26" s="1"/>
  <c r="O18" i="20"/>
  <c r="O6" i="20"/>
  <c r="O15" i="20"/>
  <c r="O12" i="20"/>
  <c r="S75" i="19"/>
  <c r="S81" i="19" s="1"/>
  <c r="AF87" i="19"/>
  <c r="K23" i="19"/>
  <c r="K13" i="19"/>
  <c r="N130" i="32" s="1"/>
  <c r="X43" i="26"/>
  <c r="X49" i="26" s="1"/>
  <c r="X55" i="26" s="1"/>
  <c r="X61" i="26" s="1"/>
  <c r="X10" i="26"/>
  <c r="X16" i="26" s="1"/>
  <c r="X22" i="26" s="1"/>
  <c r="X28" i="26" s="1"/>
  <c r="X108" i="26"/>
  <c r="X114" i="26" s="1"/>
  <c r="X120" i="26" s="1"/>
  <c r="X126" i="26" s="1"/>
  <c r="AH52" i="26"/>
  <c r="AH58" i="26" s="1"/>
  <c r="G41" i="19"/>
  <c r="N93" i="32"/>
  <c r="M25" i="34" s="1"/>
  <c r="M39" i="34" s="1"/>
  <c r="N74" i="32"/>
  <c r="N75" i="32" s="1"/>
  <c r="M23" i="34" s="1"/>
  <c r="M37" i="34" s="1"/>
  <c r="N83" i="32"/>
  <c r="N84" i="32" s="1"/>
  <c r="M24" i="34" s="1"/>
  <c r="M38" i="34" s="1"/>
  <c r="AE74" i="19"/>
  <c r="AE80" i="19" s="1"/>
  <c r="AE115" i="19"/>
  <c r="AE121" i="19" s="1"/>
  <c r="AH83" i="26"/>
  <c r="AH89" i="26" s="1"/>
  <c r="J91" i="19"/>
  <c r="S54" i="26"/>
  <c r="S60" i="26" s="1"/>
  <c r="S42" i="19"/>
  <c r="S76" i="19"/>
  <c r="S82" i="19" s="1"/>
  <c r="L158" i="19"/>
  <c r="J163" i="19"/>
  <c r="AG164" i="32"/>
  <c r="S18" i="26"/>
  <c r="S24" i="26" s="1"/>
  <c r="U17" i="27"/>
  <c r="U23" i="27" s="1"/>
  <c r="W64" i="20"/>
  <c r="W70" i="20" s="1"/>
  <c r="W76" i="20" s="1"/>
  <c r="W82" i="20" s="1"/>
  <c r="W174" i="27"/>
  <c r="W180" i="27" s="1"/>
  <c r="W186" i="27" s="1"/>
  <c r="W192" i="27" s="1"/>
  <c r="W10" i="27"/>
  <c r="W16" i="27" s="1"/>
  <c r="W22" i="27" s="1"/>
  <c r="W28" i="27" s="1"/>
  <c r="H159" i="19"/>
  <c r="U152" i="27"/>
  <c r="U158" i="27" s="1"/>
  <c r="D19" i="26"/>
  <c r="D25" i="26" s="1"/>
  <c r="D114" i="19"/>
  <c r="D120" i="19" s="1"/>
  <c r="AF89" i="19"/>
  <c r="D115" i="19"/>
  <c r="D121" i="19" s="1"/>
  <c r="K12" i="20"/>
  <c r="K6" i="20"/>
  <c r="K18" i="20"/>
  <c r="K15" i="20"/>
  <c r="I6" i="20"/>
  <c r="I15" i="20"/>
  <c r="I12" i="20"/>
  <c r="I18" i="20"/>
  <c r="AC150" i="19"/>
  <c r="AC156" i="19" s="1"/>
  <c r="D187" i="26"/>
  <c r="D193" i="26" s="1"/>
  <c r="AJ128" i="32"/>
  <c r="AG81" i="52"/>
  <c r="AJ99" i="32"/>
  <c r="AG53" i="19"/>
  <c r="AG91" i="19" s="1"/>
  <c r="AJ109" i="32"/>
  <c r="AJ137" i="32"/>
  <c r="AJ90" i="32"/>
  <c r="AJ81" i="32"/>
  <c r="AJ118" i="32"/>
  <c r="AD125" i="20"/>
  <c r="J129" i="19"/>
  <c r="S46" i="19"/>
  <c r="M98" i="32"/>
  <c r="J52" i="19"/>
  <c r="M89" i="32"/>
  <c r="M117" i="32"/>
  <c r="J80" i="52"/>
  <c r="M127" i="32"/>
  <c r="M108" i="32"/>
  <c r="M80" i="32"/>
  <c r="M136" i="32"/>
  <c r="L90" i="32"/>
  <c r="I81" i="52"/>
  <c r="L118" i="32"/>
  <c r="L109" i="32"/>
  <c r="L128" i="32"/>
  <c r="L99" i="32"/>
  <c r="L81" i="32"/>
  <c r="L137" i="32"/>
  <c r="I53" i="19"/>
  <c r="I91" i="19" s="1"/>
  <c r="G87" i="26"/>
  <c r="G93" i="26" s="1"/>
  <c r="G150" i="26"/>
  <c r="G156" i="26" s="1"/>
  <c r="Z148" i="19"/>
  <c r="Z154" i="19" s="1"/>
  <c r="AK133" i="27"/>
  <c r="AK34" i="27"/>
  <c r="AK166" i="27"/>
  <c r="AK100" i="27"/>
  <c r="AK232" i="27"/>
  <c r="AK199" i="27"/>
  <c r="AK67" i="27"/>
  <c r="T126" i="20"/>
  <c r="X7" i="26"/>
  <c r="X13" i="26" s="1"/>
  <c r="X103" i="19"/>
  <c r="X109" i="19" s="1"/>
  <c r="X115" i="19" s="1"/>
  <c r="X121" i="19" s="1"/>
  <c r="X208" i="26"/>
  <c r="X214" i="26" s="1"/>
  <c r="AH184" i="26"/>
  <c r="AH190" i="26" s="1"/>
  <c r="G186" i="26"/>
  <c r="G192" i="26" s="1"/>
  <c r="Z185" i="26"/>
  <c r="Z191" i="26" s="1"/>
  <c r="AE52" i="26"/>
  <c r="AE58" i="26" s="1"/>
  <c r="AE185" i="26"/>
  <c r="AE191" i="26" s="1"/>
  <c r="L132" i="32"/>
  <c r="I76" i="52"/>
  <c r="L94" i="32"/>
  <c r="L113" i="32"/>
  <c r="L76" i="32"/>
  <c r="L104" i="32"/>
  <c r="L123" i="32"/>
  <c r="I48" i="19"/>
  <c r="I86" i="19" s="1"/>
  <c r="L85" i="32"/>
  <c r="I47" i="19"/>
  <c r="I93" i="19"/>
  <c r="AH185" i="26"/>
  <c r="AH191" i="26" s="1"/>
  <c r="S118" i="26"/>
  <c r="S124" i="26" s="1"/>
  <c r="S150" i="26"/>
  <c r="S156" i="26" s="1"/>
  <c r="AP97" i="32"/>
  <c r="S87" i="26"/>
  <c r="S93" i="26" s="1"/>
  <c r="M132" i="32"/>
  <c r="M104" i="32"/>
  <c r="M113" i="32"/>
  <c r="M123" i="32"/>
  <c r="M94" i="32"/>
  <c r="M76" i="32"/>
  <c r="M85" i="32"/>
  <c r="J76" i="52"/>
  <c r="J48" i="19"/>
  <c r="J47" i="19"/>
  <c r="J54" i="19" s="1"/>
  <c r="J93" i="19"/>
  <c r="Z18" i="20"/>
  <c r="Z15" i="20"/>
  <c r="Z6" i="20"/>
  <c r="Z12" i="20"/>
  <c r="AK229" i="27"/>
  <c r="AK196" i="27"/>
  <c r="AK163" i="27"/>
  <c r="AK130" i="27"/>
  <c r="AK97" i="27"/>
  <c r="AK31" i="27"/>
  <c r="AK64" i="27"/>
  <c r="AK160" i="20"/>
  <c r="L113" i="19"/>
  <c r="L119" i="19" s="1"/>
  <c r="L125" i="19" s="1"/>
  <c r="AD88" i="20"/>
  <c r="W74" i="27"/>
  <c r="W80" i="27" s="1"/>
  <c r="W86" i="27" s="1"/>
  <c r="W92" i="27" s="1"/>
  <c r="W66" i="20"/>
  <c r="W72" i="20" s="1"/>
  <c r="W78" i="20" s="1"/>
  <c r="W84" i="20" s="1"/>
  <c r="AF159" i="19"/>
  <c r="E37" i="36"/>
  <c r="E65" i="36" s="1"/>
  <c r="E93" i="36" s="1"/>
  <c r="E121" i="36" s="1"/>
  <c r="E10" i="36"/>
  <c r="Z76" i="19"/>
  <c r="Z82" i="19" s="1"/>
  <c r="Z118" i="26"/>
  <c r="Z124" i="26" s="1"/>
  <c r="AA126" i="19"/>
  <c r="K139" i="19"/>
  <c r="K145" i="19" s="1"/>
  <c r="K73" i="26"/>
  <c r="K79" i="26" s="1"/>
  <c r="K85" i="26" s="1"/>
  <c r="K91" i="26" s="1"/>
  <c r="K63" i="19"/>
  <c r="K69" i="19" s="1"/>
  <c r="K10" i="26"/>
  <c r="K16" i="26" s="1"/>
  <c r="K22" i="26" s="1"/>
  <c r="K28" i="26" s="1"/>
  <c r="K138" i="19"/>
  <c r="K144" i="19" s="1"/>
  <c r="K28" i="19"/>
  <c r="K35" i="19" s="1"/>
  <c r="K27" i="19"/>
  <c r="K34" i="19" s="1"/>
  <c r="K8" i="26"/>
  <c r="K14" i="26" s="1"/>
  <c r="K128" i="19"/>
  <c r="K130" i="19" s="1"/>
  <c r="K206" i="26"/>
  <c r="K212" i="26" s="1"/>
  <c r="K75" i="26"/>
  <c r="K81" i="26" s="1"/>
  <c r="K175" i="26"/>
  <c r="K181" i="26" s="1"/>
  <c r="K138" i="26"/>
  <c r="K144" i="26" s="1"/>
  <c r="K208" i="26"/>
  <c r="K214" i="26" s="1"/>
  <c r="K172" i="26"/>
  <c r="K178" i="26" s="1"/>
  <c r="K184" i="26" s="1"/>
  <c r="K190" i="26" s="1"/>
  <c r="K71" i="26"/>
  <c r="K77" i="26" s="1"/>
  <c r="N111" i="32"/>
  <c r="K16" i="19"/>
  <c r="K204" i="26" s="1"/>
  <c r="K210" i="26" s="1"/>
  <c r="K216" i="26" s="1"/>
  <c r="K222" i="26" s="1"/>
  <c r="K39" i="26"/>
  <c r="K45" i="26" s="1"/>
  <c r="K104" i="26"/>
  <c r="K110" i="26" s="1"/>
  <c r="K116" i="26" s="1"/>
  <c r="K122" i="26" s="1"/>
  <c r="K137" i="19"/>
  <c r="K143" i="19" s="1"/>
  <c r="K64" i="19"/>
  <c r="K70" i="19" s="1"/>
  <c r="K76" i="19" s="1"/>
  <c r="K82" i="19" s="1"/>
  <c r="K170" i="26"/>
  <c r="K176" i="26" s="1"/>
  <c r="K107" i="26"/>
  <c r="K113" i="26" s="1"/>
  <c r="K207" i="26"/>
  <c r="K213" i="26" s="1"/>
  <c r="K38" i="26"/>
  <c r="K44" i="26" s="1"/>
  <c r="K31" i="19"/>
  <c r="K38" i="19" s="1"/>
  <c r="K67" i="19"/>
  <c r="K73" i="19" s="1"/>
  <c r="K173" i="26"/>
  <c r="K179" i="26" s="1"/>
  <c r="K105" i="26"/>
  <c r="K111" i="26" s="1"/>
  <c r="K109" i="26"/>
  <c r="K115" i="26" s="1"/>
  <c r="K171" i="26"/>
  <c r="K177" i="26" s="1"/>
  <c r="K142" i="26"/>
  <c r="K148" i="26" s="1"/>
  <c r="K154" i="26" s="1"/>
  <c r="K160" i="26" s="1"/>
  <c r="K134" i="19"/>
  <c r="K140" i="19" s="1"/>
  <c r="K135" i="19"/>
  <c r="K141" i="19" s="1"/>
  <c r="K137" i="26"/>
  <c r="K143" i="26" s="1"/>
  <c r="K103" i="19"/>
  <c r="K109" i="19" s="1"/>
  <c r="K115" i="19" s="1"/>
  <c r="K121" i="19" s="1"/>
  <c r="K41" i="26"/>
  <c r="K47" i="26" s="1"/>
  <c r="K32" i="19"/>
  <c r="K39" i="19" s="1"/>
  <c r="K40" i="19" s="1"/>
  <c r="K98" i="19"/>
  <c r="K104" i="19" s="1"/>
  <c r="K65" i="19"/>
  <c r="K71" i="19" s="1"/>
  <c r="K108" i="26"/>
  <c r="K114" i="26" s="1"/>
  <c r="K6" i="26"/>
  <c r="K12" i="26" s="1"/>
  <c r="K30" i="19"/>
  <c r="K37" i="19" s="1"/>
  <c r="K72" i="26"/>
  <c r="K78" i="26" s="1"/>
  <c r="K43" i="26"/>
  <c r="K49" i="26" s="1"/>
  <c r="K62" i="19"/>
  <c r="K68" i="19" s="1"/>
  <c r="K99" i="19"/>
  <c r="K105" i="19" s="1"/>
  <c r="K102" i="19"/>
  <c r="K108" i="19" s="1"/>
  <c r="K26" i="19"/>
  <c r="K33" i="19" s="1"/>
  <c r="K139" i="26"/>
  <c r="K145" i="26" s="1"/>
  <c r="K151" i="26" s="1"/>
  <c r="K157" i="26" s="1"/>
  <c r="K17" i="19"/>
  <c r="K19" i="19" s="1"/>
  <c r="K76" i="26"/>
  <c r="K82" i="26" s="1"/>
  <c r="H196" i="26"/>
  <c r="H163" i="26"/>
  <c r="H130" i="26"/>
  <c r="H97" i="26"/>
  <c r="H64" i="26"/>
  <c r="H31" i="26"/>
  <c r="H229" i="26"/>
  <c r="H57" i="52"/>
  <c r="X20" i="26"/>
  <c r="X26" i="26" s="1"/>
  <c r="S22" i="26"/>
  <c r="S28" i="26" s="1"/>
  <c r="AK100" i="19"/>
  <c r="AK106" i="19" s="1"/>
  <c r="AK203" i="26"/>
  <c r="AK209" i="26" s="1"/>
  <c r="AK107" i="26"/>
  <c r="AK113" i="26" s="1"/>
  <c r="AK29" i="19"/>
  <c r="AK36" i="19" s="1"/>
  <c r="AK138" i="26"/>
  <c r="AK144" i="26" s="1"/>
  <c r="AK102" i="19"/>
  <c r="AK108" i="19" s="1"/>
  <c r="AK64" i="19"/>
  <c r="AK70" i="19" s="1"/>
  <c r="AK30" i="19"/>
  <c r="AK37" i="19" s="1"/>
  <c r="AK128" i="19"/>
  <c r="AK130" i="19" s="1"/>
  <c r="AK26" i="19"/>
  <c r="AK33" i="19" s="1"/>
  <c r="AK16" i="19"/>
  <c r="AK27" i="19" s="1"/>
  <c r="AK34" i="19" s="1"/>
  <c r="AK175" i="26"/>
  <c r="AK181" i="26" s="1"/>
  <c r="AK206" i="26"/>
  <c r="AK212" i="26" s="1"/>
  <c r="AK72" i="26"/>
  <c r="AK78" i="26" s="1"/>
  <c r="AK66" i="19"/>
  <c r="AK72" i="19" s="1"/>
  <c r="AK174" i="26"/>
  <c r="AK180" i="26" s="1"/>
  <c r="AK42" i="26"/>
  <c r="AK48" i="26" s="1"/>
  <c r="AK6" i="26"/>
  <c r="AK12" i="26" s="1"/>
  <c r="AK71" i="26"/>
  <c r="AK77" i="26" s="1"/>
  <c r="AK137" i="26"/>
  <c r="AK143" i="26" s="1"/>
  <c r="AK108" i="26"/>
  <c r="AK114" i="26" s="1"/>
  <c r="AK75" i="26"/>
  <c r="AK81" i="26" s="1"/>
  <c r="AK67" i="19"/>
  <c r="AK73" i="19" s="1"/>
  <c r="AK104" i="26"/>
  <c r="AK110" i="26" s="1"/>
  <c r="AN111" i="32"/>
  <c r="AK109" i="26"/>
  <c r="AK115" i="26" s="1"/>
  <c r="AK8" i="26"/>
  <c r="AK14" i="26" s="1"/>
  <c r="AK142" i="26"/>
  <c r="AK148" i="26" s="1"/>
  <c r="AK10" i="26"/>
  <c r="AK16" i="26" s="1"/>
  <c r="Z219" i="26"/>
  <c r="Z225" i="26" s="1"/>
  <c r="AM126" i="19"/>
  <c r="S121" i="26"/>
  <c r="S127" i="26" s="1"/>
  <c r="S152" i="26"/>
  <c r="S158" i="26" s="1"/>
  <c r="AM89" i="19"/>
  <c r="AG155" i="32"/>
  <c r="L220" i="26"/>
  <c r="L226" i="26" s="1"/>
  <c r="W5" i="27"/>
  <c r="W11" i="27" s="1"/>
  <c r="W17" i="27" s="1"/>
  <c r="W23" i="27" s="1"/>
  <c r="W139" i="27"/>
  <c r="W145" i="27" s="1"/>
  <c r="W151" i="27" s="1"/>
  <c r="W157" i="27" s="1"/>
  <c r="S187" i="26"/>
  <c r="S193" i="26" s="1"/>
  <c r="S218" i="26"/>
  <c r="S224" i="26" s="1"/>
  <c r="D110" i="19"/>
  <c r="D116" i="19" s="1"/>
  <c r="D86" i="26"/>
  <c r="D92" i="26" s="1"/>
  <c r="N142" i="32"/>
  <c r="N143" i="32" s="1"/>
  <c r="M16" i="34" s="1"/>
  <c r="M30" i="34" s="1"/>
  <c r="N161" i="32"/>
  <c r="M18" i="34" s="1"/>
  <c r="M32" i="34" s="1"/>
  <c r="N151" i="32"/>
  <c r="N152" i="32" s="1"/>
  <c r="M17" i="34" s="1"/>
  <c r="M31" i="34" s="1"/>
  <c r="D219" i="26"/>
  <c r="D225" i="26" s="1"/>
  <c r="AF147" i="32"/>
  <c r="U161" i="19"/>
  <c r="AG177" i="32"/>
  <c r="AG186" i="32"/>
  <c r="AG205" i="32"/>
  <c r="AG167" i="32"/>
  <c r="AG158" i="32"/>
  <c r="AD53" i="20"/>
  <c r="AD87" i="52"/>
  <c r="AG196" i="32"/>
  <c r="AG149" i="32"/>
  <c r="AC147" i="19"/>
  <c r="AC153" i="19" s="1"/>
  <c r="I160" i="19"/>
  <c r="AG90" i="19"/>
  <c r="D12" i="20"/>
  <c r="D6" i="20"/>
  <c r="D18" i="20"/>
  <c r="D15" i="20"/>
  <c r="J122" i="19"/>
  <c r="Z78" i="19"/>
  <c r="Z84" i="19" s="1"/>
  <c r="Z115" i="19"/>
  <c r="Z121" i="19" s="1"/>
  <c r="AH76" i="52"/>
  <c r="AK123" i="32"/>
  <c r="AK94" i="32"/>
  <c r="AK113" i="32"/>
  <c r="AK132" i="32"/>
  <c r="AK76" i="32"/>
  <c r="AH48" i="19"/>
  <c r="AH158" i="19" s="1"/>
  <c r="AK104" i="32"/>
  <c r="AK85" i="32"/>
  <c r="AH47" i="19"/>
  <c r="AH93" i="19"/>
  <c r="S83" i="26"/>
  <c r="S89" i="26" s="1"/>
  <c r="X156" i="32"/>
  <c r="U85" i="52"/>
  <c r="X194" i="32"/>
  <c r="U51" i="20"/>
  <c r="X175" i="32"/>
  <c r="X184" i="32"/>
  <c r="X165" i="32"/>
  <c r="X203" i="32"/>
  <c r="X147" i="32"/>
  <c r="S17" i="26"/>
  <c r="S23" i="26" s="1"/>
  <c r="O90" i="19"/>
  <c r="X76" i="19"/>
  <c r="X82" i="19" s="1"/>
  <c r="X46" i="19"/>
  <c r="S21" i="26"/>
  <c r="S27" i="26" s="1"/>
  <c r="AA131" i="32"/>
  <c r="AA28" i="34" s="1"/>
  <c r="AA42" i="34" s="1"/>
  <c r="AA121" i="32"/>
  <c r="AA122" i="32" s="1"/>
  <c r="AA29" i="34" s="1"/>
  <c r="AA43" i="34" s="1"/>
  <c r="AK13" i="19"/>
  <c r="AN130" i="32" s="1"/>
  <c r="AK23" i="19"/>
  <c r="AE54" i="26"/>
  <c r="AE60" i="26" s="1"/>
  <c r="AE111" i="19"/>
  <c r="AE117" i="19" s="1"/>
  <c r="AE112" i="19"/>
  <c r="AE118" i="19" s="1"/>
  <c r="AK88" i="18"/>
  <c r="U41" i="20"/>
  <c r="W164" i="20"/>
  <c r="W166" i="20" s="1"/>
  <c r="W104" i="27"/>
  <c r="W110" i="27" s="1"/>
  <c r="W116" i="27" s="1"/>
  <c r="W122" i="27" s="1"/>
  <c r="W8" i="27"/>
  <c r="W14" i="27" s="1"/>
  <c r="W20" i="27" s="1"/>
  <c r="W26" i="27" s="1"/>
  <c r="S120" i="26"/>
  <c r="S126" i="26" s="1"/>
  <c r="AA88" i="19"/>
  <c r="AF198" i="26"/>
  <c r="AF66" i="26"/>
  <c r="AF132" i="26"/>
  <c r="AF33" i="26"/>
  <c r="AF165" i="26"/>
  <c r="AF231" i="26"/>
  <c r="AF99" i="26"/>
  <c r="AF7" i="52"/>
  <c r="G126" i="19"/>
  <c r="G79" i="19"/>
  <c r="G85" i="19" s="1"/>
  <c r="Z113" i="19"/>
  <c r="Z119" i="19" s="1"/>
  <c r="Z125" i="19" s="1"/>
  <c r="H22" i="52"/>
  <c r="H29" i="52"/>
  <c r="G152" i="26"/>
  <c r="G158" i="26" s="1"/>
  <c r="AE218" i="26"/>
  <c r="AE224" i="26" s="1"/>
  <c r="N54" i="19"/>
  <c r="N9" i="52" s="1"/>
  <c r="N26" i="52"/>
  <c r="X76" i="26"/>
  <c r="X82" i="26" s="1"/>
  <c r="X88" i="26" s="1"/>
  <c r="X94" i="26" s="1"/>
  <c r="X170" i="26"/>
  <c r="X176" i="26" s="1"/>
  <c r="X182" i="26" s="1"/>
  <c r="X188" i="26" s="1"/>
  <c r="X171" i="26"/>
  <c r="X177" i="26" s="1"/>
  <c r="X183" i="26" s="1"/>
  <c r="X189" i="26" s="1"/>
  <c r="S112" i="19"/>
  <c r="S118" i="19" s="1"/>
  <c r="S185" i="26"/>
  <c r="S191" i="26" s="1"/>
  <c r="AE219" i="26"/>
  <c r="AE225" i="26" s="1"/>
  <c r="AE22" i="26"/>
  <c r="AE28" i="26" s="1"/>
  <c r="AE216" i="26"/>
  <c r="AE222" i="26" s="1"/>
  <c r="AH220" i="26"/>
  <c r="AH226" i="26" s="1"/>
  <c r="I162" i="19"/>
  <c r="Z77" i="19"/>
  <c r="Z83" i="19" s="1"/>
  <c r="Z89" i="19" s="1"/>
  <c r="T232" i="27"/>
  <c r="T133" i="27"/>
  <c r="T100" i="27"/>
  <c r="T67" i="27"/>
  <c r="T199" i="27"/>
  <c r="T166" i="27"/>
  <c r="T34" i="27"/>
  <c r="T66" i="52"/>
  <c r="T91" i="20"/>
  <c r="T8" i="52"/>
  <c r="G148" i="19"/>
  <c r="G154" i="19" s="1"/>
  <c r="L148" i="19"/>
  <c r="L154" i="19" s="1"/>
  <c r="L160" i="19" s="1"/>
  <c r="W6" i="27"/>
  <c r="W12" i="27" s="1"/>
  <c r="W18" i="27" s="1"/>
  <c r="W24" i="27" s="1"/>
  <c r="W100" i="20"/>
  <c r="W106" i="20" s="1"/>
  <c r="W112" i="20" s="1"/>
  <c r="W118" i="20" s="1"/>
  <c r="W31" i="20"/>
  <c r="W38" i="20" s="1"/>
  <c r="W46" i="20" s="1"/>
  <c r="Q173" i="26"/>
  <c r="Q179" i="26" s="1"/>
  <c r="Q185" i="26" s="1"/>
  <c r="Q191" i="26" s="1"/>
  <c r="Q29" i="19"/>
  <c r="Q36" i="19" s="1"/>
  <c r="Q44" i="19" s="1"/>
  <c r="U159" i="19"/>
  <c r="AE102" i="32"/>
  <c r="AE103" i="32" s="1"/>
  <c r="AG27" i="34" s="1"/>
  <c r="AG41" i="34" s="1"/>
  <c r="AE112" i="32"/>
  <c r="AG26" i="34" s="1"/>
  <c r="AG40" i="34" s="1"/>
  <c r="AF126" i="19"/>
  <c r="AC18" i="26"/>
  <c r="AC24" i="26" s="1"/>
  <c r="AC75" i="19"/>
  <c r="AC81" i="19" s="1"/>
  <c r="AM159" i="19"/>
  <c r="AC54" i="26"/>
  <c r="AC60" i="26" s="1"/>
  <c r="D45" i="19"/>
  <c r="AC164" i="27"/>
  <c r="AC230" i="27"/>
  <c r="AC197" i="27"/>
  <c r="AC131" i="27"/>
  <c r="AC98" i="27"/>
  <c r="AC65" i="27"/>
  <c r="AC32" i="27"/>
  <c r="V23" i="19"/>
  <c r="V13" i="19"/>
  <c r="Y130" i="32" s="1"/>
  <c r="E90" i="20"/>
  <c r="AD47" i="20"/>
  <c r="J49" i="19"/>
  <c r="J123" i="19" s="1"/>
  <c r="M133" i="32"/>
  <c r="M86" i="32"/>
  <c r="M95" i="32"/>
  <c r="M114" i="32"/>
  <c r="J77" i="52"/>
  <c r="M77" i="32"/>
  <c r="M124" i="32"/>
  <c r="M105" i="32"/>
  <c r="AA76" i="52"/>
  <c r="AD104" i="32"/>
  <c r="AA47" i="19"/>
  <c r="AD76" i="32"/>
  <c r="AD85" i="32"/>
  <c r="AD94" i="32"/>
  <c r="AD123" i="32"/>
  <c r="AA48" i="19"/>
  <c r="AA86" i="19" s="1"/>
  <c r="AD132" i="32"/>
  <c r="AD113" i="32"/>
  <c r="AA93" i="19"/>
  <c r="AK133" i="32"/>
  <c r="AK95" i="32"/>
  <c r="AK114" i="32"/>
  <c r="AH49" i="19"/>
  <c r="AH77" i="52"/>
  <c r="AK105" i="32"/>
  <c r="AK77" i="32"/>
  <c r="AK86" i="32"/>
  <c r="AK124" i="32"/>
  <c r="V179" i="32"/>
  <c r="S174" i="27"/>
  <c r="S180" i="27" s="1"/>
  <c r="S186" i="27" s="1"/>
  <c r="S192" i="27" s="1"/>
  <c r="S104" i="27"/>
  <c r="S110" i="27" s="1"/>
  <c r="S116" i="27" s="1"/>
  <c r="S122" i="27" s="1"/>
  <c r="S16" i="20"/>
  <c r="S140" i="27" s="1"/>
  <c r="S146" i="27" s="1"/>
  <c r="S152" i="27" s="1"/>
  <c r="S158" i="27" s="1"/>
  <c r="S108" i="27"/>
  <c r="S114" i="27" s="1"/>
  <c r="S120" i="27" s="1"/>
  <c r="S126" i="27" s="1"/>
  <c r="S75" i="27"/>
  <c r="S81" i="27" s="1"/>
  <c r="S87" i="27" s="1"/>
  <c r="S93" i="27" s="1"/>
  <c r="S205" i="27"/>
  <c r="S211" i="27" s="1"/>
  <c r="S217" i="27" s="1"/>
  <c r="S223" i="27" s="1"/>
  <c r="S42" i="27"/>
  <c r="S48" i="27" s="1"/>
  <c r="S54" i="27" s="1"/>
  <c r="S60" i="27" s="1"/>
  <c r="S137" i="27"/>
  <c r="S143" i="27" s="1"/>
  <c r="S149" i="27" s="1"/>
  <c r="S155" i="27" s="1"/>
  <c r="S9" i="27"/>
  <c r="S15" i="27" s="1"/>
  <c r="S21" i="27" s="1"/>
  <c r="S27" i="27" s="1"/>
  <c r="S66" i="20"/>
  <c r="S72" i="20" s="1"/>
  <c r="S78" i="20" s="1"/>
  <c r="S84" i="20" s="1"/>
  <c r="S172" i="27"/>
  <c r="S178" i="27" s="1"/>
  <c r="S184" i="27" s="1"/>
  <c r="S190" i="27" s="1"/>
  <c r="S105" i="27"/>
  <c r="S111" i="27" s="1"/>
  <c r="S117" i="27" s="1"/>
  <c r="S123" i="27" s="1"/>
  <c r="S7" i="27"/>
  <c r="S13" i="27" s="1"/>
  <c r="S19" i="27" s="1"/>
  <c r="S25" i="27" s="1"/>
  <c r="S136" i="20"/>
  <c r="S142" i="20" s="1"/>
  <c r="S148" i="20" s="1"/>
  <c r="S154" i="20" s="1"/>
  <c r="S138" i="27"/>
  <c r="S144" i="27" s="1"/>
  <c r="S150" i="27" s="1"/>
  <c r="S156" i="27" s="1"/>
  <c r="S101" i="20"/>
  <c r="S107" i="20" s="1"/>
  <c r="S113" i="20" s="1"/>
  <c r="S119" i="20" s="1"/>
  <c r="S17" i="20"/>
  <c r="S19" i="20" s="1"/>
  <c r="S30" i="20"/>
  <c r="S37" i="20" s="1"/>
  <c r="S45" i="20" s="1"/>
  <c r="S103" i="20"/>
  <c r="S109" i="20" s="1"/>
  <c r="S115" i="20" s="1"/>
  <c r="S121" i="20" s="1"/>
  <c r="S173" i="27"/>
  <c r="S179" i="27" s="1"/>
  <c r="S185" i="27" s="1"/>
  <c r="S191" i="27" s="1"/>
  <c r="S63" i="20"/>
  <c r="S69" i="20" s="1"/>
  <c r="S75" i="20" s="1"/>
  <c r="S81" i="20" s="1"/>
  <c r="S99" i="20"/>
  <c r="S105" i="20" s="1"/>
  <c r="S111" i="20" s="1"/>
  <c r="S117" i="20" s="1"/>
  <c r="S141" i="27"/>
  <c r="S147" i="27" s="1"/>
  <c r="S153" i="27" s="1"/>
  <c r="S159" i="27" s="1"/>
  <c r="S5" i="27"/>
  <c r="S11" i="27" s="1"/>
  <c r="S17" i="27" s="1"/>
  <c r="S23" i="27" s="1"/>
  <c r="S40" i="27"/>
  <c r="S46" i="27" s="1"/>
  <c r="S52" i="27" s="1"/>
  <c r="S58" i="27" s="1"/>
  <c r="S26" i="20"/>
  <c r="S33" i="20" s="1"/>
  <c r="S41" i="20" s="1"/>
  <c r="S67" i="20"/>
  <c r="S73" i="20" s="1"/>
  <c r="S79" i="20" s="1"/>
  <c r="S85" i="20" s="1"/>
  <c r="S62" i="20"/>
  <c r="S68" i="20" s="1"/>
  <c r="S74" i="20" s="1"/>
  <c r="S80" i="20" s="1"/>
  <c r="S138" i="20"/>
  <c r="S144" i="20" s="1"/>
  <c r="S150" i="20" s="1"/>
  <c r="S156" i="20" s="1"/>
  <c r="S27" i="20"/>
  <c r="S34" i="20" s="1"/>
  <c r="S42" i="20" s="1"/>
  <c r="S107" i="27"/>
  <c r="S113" i="27" s="1"/>
  <c r="S119" i="27" s="1"/>
  <c r="S125" i="27" s="1"/>
  <c r="S64" i="20"/>
  <c r="S70" i="20" s="1"/>
  <c r="S76" i="20" s="1"/>
  <c r="S82" i="20" s="1"/>
  <c r="S134" i="20"/>
  <c r="S140" i="20" s="1"/>
  <c r="S146" i="20" s="1"/>
  <c r="S152" i="20" s="1"/>
  <c r="S170" i="27"/>
  <c r="S176" i="27" s="1"/>
  <c r="S182" i="27" s="1"/>
  <c r="S188" i="27" s="1"/>
  <c r="S100" i="20"/>
  <c r="S106" i="20" s="1"/>
  <c r="S112" i="20" s="1"/>
  <c r="S118" i="20" s="1"/>
  <c r="S28" i="20"/>
  <c r="S35" i="20" s="1"/>
  <c r="S43" i="20" s="1"/>
  <c r="S207" i="27"/>
  <c r="S213" i="27" s="1"/>
  <c r="S219" i="27" s="1"/>
  <c r="S225" i="27" s="1"/>
  <c r="S41" i="27"/>
  <c r="S47" i="27" s="1"/>
  <c r="S53" i="27" s="1"/>
  <c r="S59" i="27" s="1"/>
  <c r="S208" i="27"/>
  <c r="S214" i="27" s="1"/>
  <c r="S220" i="27" s="1"/>
  <c r="S226" i="27" s="1"/>
  <c r="S175" i="27"/>
  <c r="S181" i="27" s="1"/>
  <c r="S187" i="27" s="1"/>
  <c r="S193" i="27" s="1"/>
  <c r="M78" i="32"/>
  <c r="M125" i="32"/>
  <c r="J78" i="52"/>
  <c r="M134" i="32"/>
  <c r="M106" i="32"/>
  <c r="M115" i="32"/>
  <c r="J50" i="19"/>
  <c r="J124" i="19" s="1"/>
  <c r="M87" i="32"/>
  <c r="M96" i="32"/>
  <c r="S150" i="19"/>
  <c r="S156" i="19" s="1"/>
  <c r="G17" i="26"/>
  <c r="G23" i="26" s="1"/>
  <c r="G220" i="26"/>
  <c r="G226" i="26" s="1"/>
  <c r="Z220" i="26"/>
  <c r="Z226" i="26" s="1"/>
  <c r="AA165" i="19"/>
  <c r="AC149" i="26"/>
  <c r="AC155" i="26" s="1"/>
  <c r="AE121" i="32"/>
  <c r="AE122" i="32" s="1"/>
  <c r="AG29" i="34" s="1"/>
  <c r="AG43" i="34" s="1"/>
  <c r="AE131" i="32"/>
  <c r="AG28" i="34" s="1"/>
  <c r="AG42" i="34" s="1"/>
  <c r="G184" i="26"/>
  <c r="G190" i="26" s="1"/>
  <c r="O158" i="19"/>
  <c r="T89" i="20"/>
  <c r="X30" i="19"/>
  <c r="X37" i="19" s="1"/>
  <c r="X45" i="19" s="1"/>
  <c r="X175" i="26"/>
  <c r="X181" i="26" s="1"/>
  <c r="X187" i="26" s="1"/>
  <c r="X193" i="26" s="1"/>
  <c r="AE120" i="26"/>
  <c r="AC113" i="19"/>
  <c r="AC119" i="19" s="1"/>
  <c r="AC125" i="19" s="1"/>
  <c r="H27" i="52"/>
  <c r="H65" i="52"/>
  <c r="H64" i="52"/>
  <c r="H62" i="52"/>
  <c r="H66" i="52"/>
  <c r="H61" i="52"/>
  <c r="H63" i="52"/>
  <c r="S110" i="19"/>
  <c r="S116" i="19" s="1"/>
  <c r="AE84" i="26"/>
  <c r="AE90" i="26" s="1"/>
  <c r="AE151" i="26"/>
  <c r="AE157" i="26" s="1"/>
  <c r="AE151" i="19"/>
  <c r="AE157" i="19" s="1"/>
  <c r="U55" i="27"/>
  <c r="U61" i="27" s="1"/>
  <c r="Z153" i="26"/>
  <c r="Z159" i="26" s="1"/>
  <c r="U90" i="19"/>
  <c r="L165" i="19"/>
  <c r="U146" i="20"/>
  <c r="U152" i="20" s="1"/>
  <c r="W28" i="20"/>
  <c r="W35" i="20" s="1"/>
  <c r="W43" i="20" s="1"/>
  <c r="W43" i="27"/>
  <c r="W49" i="27" s="1"/>
  <c r="W55" i="27" s="1"/>
  <c r="W61" i="27" s="1"/>
  <c r="AA187" i="26"/>
  <c r="H7" i="48" l="1"/>
  <c r="H9" i="55"/>
  <c r="H6" i="36"/>
  <c r="H7" i="55"/>
  <c r="H4" i="47"/>
  <c r="H5" i="36"/>
  <c r="H5" i="48"/>
  <c r="H7" i="36"/>
  <c r="H8" i="55"/>
  <c r="H19" i="55"/>
  <c r="H48" i="55"/>
  <c r="H12" i="36"/>
  <c r="H13" i="36"/>
  <c r="H10" i="48"/>
  <c r="H12" i="55"/>
  <c r="H14" i="36"/>
  <c r="H14" i="55"/>
  <c r="H17" i="55"/>
  <c r="H16" i="36"/>
  <c r="H15" i="36"/>
  <c r="H5" i="47"/>
  <c r="H18" i="55"/>
  <c r="H16" i="55"/>
  <c r="H9" i="48"/>
  <c r="H10" i="55"/>
  <c r="H12" i="48"/>
  <c r="H4" i="48"/>
  <c r="H17" i="36"/>
  <c r="H10" i="36"/>
  <c r="H13" i="55"/>
  <c r="H8" i="48"/>
  <c r="H18" i="36"/>
  <c r="H11" i="36"/>
  <c r="H6" i="48"/>
  <c r="H19" i="36"/>
  <c r="H9" i="36"/>
  <c r="H11" i="48"/>
  <c r="H11" i="56"/>
  <c r="H15" i="55"/>
  <c r="H4" i="36"/>
  <c r="H11" i="55"/>
  <c r="H4" i="55"/>
  <c r="H8" i="36"/>
  <c r="H6" i="55"/>
  <c r="T22" i="52"/>
  <c r="T23" i="52" s="1"/>
  <c r="W67" i="11" s="1"/>
  <c r="F137" i="52"/>
  <c r="F138" i="52" s="1"/>
  <c r="F139" i="52" s="1"/>
  <c r="I83" i="11"/>
  <c r="H271" i="53" s="1"/>
  <c r="I77" i="11"/>
  <c r="H268" i="53" s="1"/>
  <c r="U17" i="57"/>
  <c r="H26" i="53" s="1"/>
  <c r="H23" i="36"/>
  <c r="H22" i="36"/>
  <c r="H22" i="55"/>
  <c r="H24" i="36"/>
  <c r="H20" i="36"/>
  <c r="H21" i="55"/>
  <c r="H18" i="48"/>
  <c r="H21" i="36"/>
  <c r="U16" i="57"/>
  <c r="H17" i="53" s="1"/>
  <c r="I91" i="11"/>
  <c r="H274" i="53" s="1"/>
  <c r="H17" i="48"/>
  <c r="H3" i="56"/>
  <c r="U18" i="57"/>
  <c r="H27" i="53" s="1"/>
  <c r="H14" i="48"/>
  <c r="U20" i="57"/>
  <c r="H37" i="53" s="1"/>
  <c r="H24" i="55"/>
  <c r="U21" i="57"/>
  <c r="H6" i="53" s="1"/>
  <c r="U15" i="57"/>
  <c r="H16" i="53" s="1"/>
  <c r="H6" i="47"/>
  <c r="H20" i="55"/>
  <c r="H27" i="55"/>
  <c r="H30" i="55"/>
  <c r="H27" i="36"/>
  <c r="H26" i="36"/>
  <c r="H26" i="55"/>
  <c r="H15" i="48"/>
  <c r="U22" i="57"/>
  <c r="H7" i="53" s="1"/>
  <c r="H47" i="55"/>
  <c r="I101" i="11"/>
  <c r="H277" i="53" s="1"/>
  <c r="H25" i="36"/>
  <c r="H10" i="56"/>
  <c r="H25" i="55"/>
  <c r="U19" i="57"/>
  <c r="H36" i="53" s="1"/>
  <c r="H23" i="55"/>
  <c r="AM144" i="11"/>
  <c r="U32" i="27"/>
  <c r="U197" i="27"/>
  <c r="U65" i="27"/>
  <c r="U131" i="27"/>
  <c r="U98" i="27"/>
  <c r="U164" i="27"/>
  <c r="U230" i="27"/>
  <c r="U161" i="20"/>
  <c r="U89" i="20"/>
  <c r="U125" i="20"/>
  <c r="W87" i="52"/>
  <c r="Z167" i="32"/>
  <c r="Z196" i="32"/>
  <c r="Z186" i="32"/>
  <c r="Z205" i="32"/>
  <c r="Z158" i="32"/>
  <c r="Z149" i="32"/>
  <c r="W53" i="20"/>
  <c r="Z177" i="32"/>
  <c r="L54" i="19"/>
  <c r="L9" i="52" s="1"/>
  <c r="L56" i="52" s="1"/>
  <c r="L26" i="52"/>
  <c r="AH96" i="26"/>
  <c r="AH228" i="26"/>
  <c r="AH195" i="26"/>
  <c r="AH162" i="26"/>
  <c r="AH129" i="26"/>
  <c r="AH63" i="26"/>
  <c r="AH30" i="26"/>
  <c r="AH87" i="19"/>
  <c r="AH159" i="19"/>
  <c r="AD54" i="20"/>
  <c r="AD26" i="52"/>
  <c r="AM93" i="32"/>
  <c r="F25" i="34" s="1"/>
  <c r="F39" i="34" s="1"/>
  <c r="AM83" i="32"/>
  <c r="AM84" i="32" s="1"/>
  <c r="F24" i="34" s="1"/>
  <c r="F38" i="34" s="1"/>
  <c r="AM74" i="32"/>
  <c r="AM75" i="32" s="1"/>
  <c r="F23" i="34" s="1"/>
  <c r="F37" i="34" s="1"/>
  <c r="AE126" i="26"/>
  <c r="AE132" i="26" s="1"/>
  <c r="AH108" i="32"/>
  <c r="AN102" i="32"/>
  <c r="AN103" i="32" s="1"/>
  <c r="AB27" i="34" s="1"/>
  <c r="AB41" i="34" s="1"/>
  <c r="AN112" i="32"/>
  <c r="AB26" i="34" s="1"/>
  <c r="AB40" i="34" s="1"/>
  <c r="AA89" i="32"/>
  <c r="AA108" i="32"/>
  <c r="AA136" i="32"/>
  <c r="X80" i="52"/>
  <c r="X52" i="19"/>
  <c r="AA193" i="26"/>
  <c r="AD128" i="32"/>
  <c r="J165" i="26"/>
  <c r="J66" i="26"/>
  <c r="J231" i="26"/>
  <c r="J198" i="26"/>
  <c r="J132" i="26"/>
  <c r="J99" i="26"/>
  <c r="J33" i="26"/>
  <c r="J126" i="19"/>
  <c r="J162" i="19"/>
  <c r="J90" i="19"/>
  <c r="S90" i="20"/>
  <c r="V193" i="32"/>
  <c r="V202" i="32"/>
  <c r="V155" i="32"/>
  <c r="V146" i="32"/>
  <c r="S84" i="52"/>
  <c r="S50" i="20"/>
  <c r="N22" i="52"/>
  <c r="N29" i="52"/>
  <c r="U82" i="52"/>
  <c r="X162" i="32"/>
  <c r="X144" i="32"/>
  <c r="X172" i="32"/>
  <c r="X153" i="32"/>
  <c r="X200" i="32"/>
  <c r="X191" i="32"/>
  <c r="U47" i="20"/>
  <c r="U54" i="20" s="1"/>
  <c r="X181" i="32"/>
  <c r="U48" i="20"/>
  <c r="U158" i="20" s="1"/>
  <c r="U93" i="20"/>
  <c r="U129" i="20"/>
  <c r="AK171" i="26"/>
  <c r="AK177" i="26" s="1"/>
  <c r="AK139" i="19"/>
  <c r="AK145" i="19" s="1"/>
  <c r="AK62" i="19"/>
  <c r="AK68" i="19" s="1"/>
  <c r="K101" i="19"/>
  <c r="K107" i="19" s="1"/>
  <c r="K113" i="19" s="1"/>
  <c r="K119" i="19" s="1"/>
  <c r="K141" i="26"/>
  <c r="K147" i="26" s="1"/>
  <c r="K153" i="26" s="1"/>
  <c r="K159" i="26" s="1"/>
  <c r="N102" i="32"/>
  <c r="N103" i="32" s="1"/>
  <c r="M27" i="34" s="1"/>
  <c r="M41" i="34" s="1"/>
  <c r="N112" i="32"/>
  <c r="M26" i="34" s="1"/>
  <c r="M40" i="34" s="1"/>
  <c r="AC179" i="32"/>
  <c r="Z16" i="20"/>
  <c r="Z8" i="27" s="1"/>
  <c r="Z14" i="27" s="1"/>
  <c r="Z128" i="20"/>
  <c r="Z130" i="20" s="1"/>
  <c r="Z160" i="19"/>
  <c r="Z47" i="19"/>
  <c r="Z76" i="52"/>
  <c r="AC113" i="32"/>
  <c r="AC76" i="32"/>
  <c r="AC132" i="32"/>
  <c r="AC104" i="32"/>
  <c r="AC123" i="32"/>
  <c r="AC85" i="32"/>
  <c r="AC94" i="32"/>
  <c r="Z48" i="19"/>
  <c r="Z93" i="19"/>
  <c r="Z129" i="19"/>
  <c r="X158" i="32"/>
  <c r="X149" i="19"/>
  <c r="X155" i="19" s="1"/>
  <c r="Z86" i="19"/>
  <c r="AB204" i="27"/>
  <c r="AB210" i="27" s="1"/>
  <c r="AB142" i="27"/>
  <c r="AB148" i="27" s="1"/>
  <c r="AH81" i="52"/>
  <c r="AK128" i="32"/>
  <c r="AK109" i="32"/>
  <c r="AK99" i="32"/>
  <c r="AK81" i="32"/>
  <c r="AK118" i="32"/>
  <c r="AK137" i="32"/>
  <c r="AK90" i="32"/>
  <c r="AH53" i="19"/>
  <c r="AE90" i="19"/>
  <c r="I122" i="19"/>
  <c r="AO83" i="32"/>
  <c r="AO84" i="32" s="1"/>
  <c r="AC24" i="34" s="1"/>
  <c r="AC38" i="34" s="1"/>
  <c r="AO93" i="32"/>
  <c r="AC25" i="34" s="1"/>
  <c r="AC39" i="34" s="1"/>
  <c r="AO74" i="32"/>
  <c r="AO75" i="32" s="1"/>
  <c r="AC23" i="34" s="1"/>
  <c r="AC37" i="34" s="1"/>
  <c r="X151" i="26"/>
  <c r="X157" i="26" s="1"/>
  <c r="AC79" i="32"/>
  <c r="X150" i="26"/>
  <c r="X156" i="26" s="1"/>
  <c r="D124" i="19"/>
  <c r="AA162" i="19"/>
  <c r="V74" i="26"/>
  <c r="V80" i="26" s="1"/>
  <c r="V86" i="26" s="1"/>
  <c r="V92" i="26" s="1"/>
  <c r="V175" i="26"/>
  <c r="V181" i="26" s="1"/>
  <c r="V187" i="26" s="1"/>
  <c r="V193" i="26" s="1"/>
  <c r="V109" i="26"/>
  <c r="V115" i="26" s="1"/>
  <c r="V121" i="26" s="1"/>
  <c r="V127" i="26" s="1"/>
  <c r="AK126" i="32"/>
  <c r="R17" i="26"/>
  <c r="R23" i="26" s="1"/>
  <c r="R79" i="19"/>
  <c r="R85" i="19" s="1"/>
  <c r="L196" i="26"/>
  <c r="L31" i="26"/>
  <c r="L64" i="26"/>
  <c r="L57" i="52"/>
  <c r="L130" i="26"/>
  <c r="L97" i="26"/>
  <c r="L163" i="26"/>
  <c r="L229" i="26"/>
  <c r="L5" i="52"/>
  <c r="G105" i="32"/>
  <c r="AI149" i="19"/>
  <c r="AI155" i="19" s="1"/>
  <c r="Q19" i="26"/>
  <c r="Q25" i="26" s="1"/>
  <c r="AB149" i="19"/>
  <c r="AB155" i="19" s="1"/>
  <c r="AB150" i="19"/>
  <c r="AB156" i="19" s="1"/>
  <c r="Q51" i="26"/>
  <c r="Q57" i="26" s="1"/>
  <c r="Q220" i="26"/>
  <c r="Q226" i="26" s="1"/>
  <c r="Q115" i="19"/>
  <c r="Q121" i="19" s="1"/>
  <c r="AI79" i="19"/>
  <c r="AI85" i="19" s="1"/>
  <c r="S32" i="20"/>
  <c r="S39" i="20" s="1"/>
  <c r="S40" i="20" s="1"/>
  <c r="S137" i="20"/>
  <c r="S143" i="20" s="1"/>
  <c r="S149" i="20" s="1"/>
  <c r="S155" i="20" s="1"/>
  <c r="S31" i="20"/>
  <c r="S38" i="20" s="1"/>
  <c r="S46" i="20" s="1"/>
  <c r="N27" i="52"/>
  <c r="N66" i="52"/>
  <c r="N63" i="52"/>
  <c r="N61" i="52"/>
  <c r="N62" i="52"/>
  <c r="N65" i="52"/>
  <c r="N51" i="52"/>
  <c r="N53" i="52"/>
  <c r="N49" i="52"/>
  <c r="N54" i="52"/>
  <c r="N64" i="52"/>
  <c r="N60" i="52"/>
  <c r="N50" i="52"/>
  <c r="N58" i="52"/>
  <c r="N52" i="52"/>
  <c r="N56" i="52"/>
  <c r="N57" i="52"/>
  <c r="AH129" i="19"/>
  <c r="AK99" i="19"/>
  <c r="AK105" i="19" s="1"/>
  <c r="AK28" i="19"/>
  <c r="AK35" i="19" s="1"/>
  <c r="AK170" i="26"/>
  <c r="AK176" i="26" s="1"/>
  <c r="K164" i="19"/>
  <c r="K166" i="19" s="1"/>
  <c r="K136" i="19"/>
  <c r="K142" i="19" s="1"/>
  <c r="K148" i="19" s="1"/>
  <c r="K154" i="19" s="1"/>
  <c r="K205" i="26"/>
  <c r="K211" i="26" s="1"/>
  <c r="K217" i="26" s="1"/>
  <c r="K223" i="26" s="1"/>
  <c r="G76" i="52"/>
  <c r="G47" i="19"/>
  <c r="J104" i="32"/>
  <c r="J123" i="32"/>
  <c r="J76" i="32"/>
  <c r="J132" i="32"/>
  <c r="G48" i="19"/>
  <c r="J113" i="32"/>
  <c r="J85" i="32"/>
  <c r="J94" i="32"/>
  <c r="G93" i="19"/>
  <c r="G129" i="19"/>
  <c r="X121" i="26"/>
  <c r="X127" i="26" s="1"/>
  <c r="AC96" i="32"/>
  <c r="Z78" i="52"/>
  <c r="AC134" i="32"/>
  <c r="AC78" i="32"/>
  <c r="AC125" i="32"/>
  <c r="AC87" i="32"/>
  <c r="AC115" i="32"/>
  <c r="AC106" i="32"/>
  <c r="Z50" i="19"/>
  <c r="AB102" i="20"/>
  <c r="AB108" i="20" s="1"/>
  <c r="AB74" i="27"/>
  <c r="AB80" i="27" s="1"/>
  <c r="V106" i="32"/>
  <c r="V96" i="32"/>
  <c r="V87" i="32"/>
  <c r="S50" i="19"/>
  <c r="V125" i="32"/>
  <c r="V134" i="32"/>
  <c r="V115" i="32"/>
  <c r="V78" i="32"/>
  <c r="S78" i="52"/>
  <c r="AF89" i="32"/>
  <c r="AC80" i="52"/>
  <c r="AC52" i="19"/>
  <c r="AF117" i="32"/>
  <c r="AF108" i="32"/>
  <c r="AF98" i="32"/>
  <c r="AF80" i="32"/>
  <c r="AF127" i="32"/>
  <c r="AF136" i="32"/>
  <c r="X111" i="19"/>
  <c r="X117" i="19" s="1"/>
  <c r="X123" i="19" s="1"/>
  <c r="X53" i="26"/>
  <c r="X59" i="26" s="1"/>
  <c r="L129" i="26"/>
  <c r="L96" i="26"/>
  <c r="L30" i="26"/>
  <c r="L63" i="26"/>
  <c r="L228" i="26"/>
  <c r="L162" i="26"/>
  <c r="L195" i="26"/>
  <c r="L4" i="52"/>
  <c r="AI50" i="26"/>
  <c r="AI56" i="26" s="1"/>
  <c r="R129" i="19"/>
  <c r="V75" i="26"/>
  <c r="V81" i="26" s="1"/>
  <c r="V87" i="26" s="1"/>
  <c r="V93" i="26" s="1"/>
  <c r="V43" i="26"/>
  <c r="V49" i="26" s="1"/>
  <c r="V55" i="26" s="1"/>
  <c r="V61" i="26" s="1"/>
  <c r="V73" i="26"/>
  <c r="V79" i="26" s="1"/>
  <c r="V85" i="26" s="1"/>
  <c r="V91" i="26" s="1"/>
  <c r="U105" i="32"/>
  <c r="R49" i="19"/>
  <c r="U95" i="32"/>
  <c r="U77" i="32"/>
  <c r="U124" i="32"/>
  <c r="R77" i="52"/>
  <c r="U114" i="32"/>
  <c r="AI17" i="26"/>
  <c r="AI23" i="26" s="1"/>
  <c r="AI110" i="19"/>
  <c r="AI116" i="19" s="1"/>
  <c r="Q111" i="19"/>
  <c r="Q117" i="19" s="1"/>
  <c r="Q218" i="26"/>
  <c r="Q224" i="26" s="1"/>
  <c r="AI120" i="26"/>
  <c r="AI126" i="26" s="1"/>
  <c r="AC199" i="27"/>
  <c r="AC166" i="27"/>
  <c r="AC133" i="27"/>
  <c r="AC100" i="27"/>
  <c r="AC67" i="27"/>
  <c r="AC232" i="27"/>
  <c r="AC34" i="27"/>
  <c r="AC127" i="20"/>
  <c r="AN48" i="19"/>
  <c r="AQ104" i="32"/>
  <c r="AQ123" i="32"/>
  <c r="AQ85" i="32"/>
  <c r="AQ94" i="32"/>
  <c r="AQ132" i="32"/>
  <c r="AQ76" i="32"/>
  <c r="AQ113" i="32"/>
  <c r="AN47" i="19"/>
  <c r="AN76" i="52"/>
  <c r="AN93" i="19"/>
  <c r="AN79" i="52"/>
  <c r="AQ116" i="32"/>
  <c r="AN51" i="19"/>
  <c r="AQ126" i="32"/>
  <c r="AQ107" i="32"/>
  <c r="AQ97" i="32"/>
  <c r="AQ88" i="32"/>
  <c r="AQ79" i="32"/>
  <c r="AQ135" i="32"/>
  <c r="AN165" i="19"/>
  <c r="S124" i="20"/>
  <c r="K146" i="19"/>
  <c r="K152" i="19" s="1"/>
  <c r="K83" i="26"/>
  <c r="K89" i="26" s="1"/>
  <c r="S79" i="52"/>
  <c r="V107" i="32"/>
  <c r="V126" i="32"/>
  <c r="S51" i="19"/>
  <c r="S89" i="19" s="1"/>
  <c r="V97" i="32"/>
  <c r="V135" i="32"/>
  <c r="V79" i="32"/>
  <c r="V116" i="32"/>
  <c r="V88" i="32"/>
  <c r="O230" i="26"/>
  <c r="O98" i="26"/>
  <c r="O32" i="26"/>
  <c r="O65" i="26"/>
  <c r="O197" i="26"/>
  <c r="O164" i="26"/>
  <c r="O131" i="26"/>
  <c r="O161" i="19"/>
  <c r="W51" i="20"/>
  <c r="W85" i="52"/>
  <c r="Z194" i="32"/>
  <c r="Z184" i="32"/>
  <c r="Z165" i="32"/>
  <c r="Z147" i="32"/>
  <c r="Z175" i="32"/>
  <c r="AG128" i="26"/>
  <c r="AG95" i="26"/>
  <c r="AG227" i="26"/>
  <c r="AG194" i="26"/>
  <c r="AG161" i="26"/>
  <c r="AG29" i="26"/>
  <c r="AG62" i="26"/>
  <c r="AG3" i="52"/>
  <c r="I158" i="19"/>
  <c r="Y76" i="52"/>
  <c r="AB76" i="32"/>
  <c r="AB132" i="32"/>
  <c r="AB85" i="32"/>
  <c r="AB113" i="32"/>
  <c r="Y48" i="19"/>
  <c r="AB104" i="32"/>
  <c r="AB123" i="32"/>
  <c r="AB94" i="32"/>
  <c r="Y47" i="19"/>
  <c r="Y93" i="19"/>
  <c r="Q18" i="26"/>
  <c r="Q24" i="26" s="1"/>
  <c r="V140" i="26"/>
  <c r="V146" i="26" s="1"/>
  <c r="V152" i="26" s="1"/>
  <c r="V158" i="26" s="1"/>
  <c r="V135" i="19"/>
  <c r="V141" i="19" s="1"/>
  <c r="V147" i="19" s="1"/>
  <c r="V153" i="19" s="1"/>
  <c r="V138" i="19"/>
  <c r="V144" i="19" s="1"/>
  <c r="V150" i="19" s="1"/>
  <c r="V156" i="19" s="1"/>
  <c r="Q216" i="26"/>
  <c r="Q222" i="26" s="1"/>
  <c r="G77" i="32"/>
  <c r="AI151" i="19"/>
  <c r="AI157" i="19" s="1"/>
  <c r="Q84" i="26"/>
  <c r="Q90" i="26" s="1"/>
  <c r="Q85" i="26"/>
  <c r="Q91" i="26" s="1"/>
  <c r="AN127" i="19"/>
  <c r="AN49" i="19"/>
  <c r="AQ95" i="32"/>
  <c r="AQ124" i="32"/>
  <c r="AQ105" i="32"/>
  <c r="AQ114" i="32"/>
  <c r="AQ133" i="32"/>
  <c r="AN77" i="52"/>
  <c r="AQ86" i="32"/>
  <c r="AQ77" i="32"/>
  <c r="AQ131" i="32"/>
  <c r="X28" i="34" s="1"/>
  <c r="X42" i="34" s="1"/>
  <c r="AQ121" i="32"/>
  <c r="AQ122" i="32" s="1"/>
  <c r="X29" i="34" s="1"/>
  <c r="X43" i="34" s="1"/>
  <c r="AD232" i="27"/>
  <c r="AD199" i="27"/>
  <c r="AD166" i="27"/>
  <c r="AD133" i="27"/>
  <c r="AD100" i="27"/>
  <c r="AD67" i="27"/>
  <c r="AD34" i="27"/>
  <c r="AD127" i="20"/>
  <c r="AD8" i="52"/>
  <c r="AD91" i="20"/>
  <c r="AK87" i="26"/>
  <c r="AK93" i="26" s="1"/>
  <c r="Z88" i="19"/>
  <c r="I232" i="26"/>
  <c r="I199" i="26"/>
  <c r="I133" i="26"/>
  <c r="I166" i="26"/>
  <c r="I34" i="26"/>
  <c r="I100" i="26"/>
  <c r="I67" i="26"/>
  <c r="O228" i="26"/>
  <c r="O162" i="26"/>
  <c r="O195" i="26"/>
  <c r="O129" i="26"/>
  <c r="O63" i="26"/>
  <c r="O96" i="26"/>
  <c r="O30" i="26"/>
  <c r="AH113" i="32"/>
  <c r="AH104" i="32"/>
  <c r="AH123" i="32"/>
  <c r="AH94" i="32"/>
  <c r="AH76" i="32"/>
  <c r="AH132" i="32"/>
  <c r="AH85" i="32"/>
  <c r="AE47" i="19"/>
  <c r="AE76" i="52"/>
  <c r="AE48" i="19"/>
  <c r="AE93" i="19"/>
  <c r="AE129" i="19"/>
  <c r="AC47" i="19"/>
  <c r="AF104" i="32"/>
  <c r="AC48" i="19"/>
  <c r="AC76" i="52"/>
  <c r="AF123" i="32"/>
  <c r="AF113" i="32"/>
  <c r="AF132" i="32"/>
  <c r="AF94" i="32"/>
  <c r="AF85" i="32"/>
  <c r="AF76" i="32"/>
  <c r="AC93" i="19"/>
  <c r="AC165" i="19"/>
  <c r="AC129" i="19"/>
  <c r="AA95" i="32"/>
  <c r="AA124" i="32"/>
  <c r="X77" i="52"/>
  <c r="AA86" i="32"/>
  <c r="AA114" i="32"/>
  <c r="X49" i="19"/>
  <c r="X87" i="19"/>
  <c r="Z158" i="19"/>
  <c r="X54" i="26"/>
  <c r="X60" i="26" s="1"/>
  <c r="AB117" i="32"/>
  <c r="AB136" i="32"/>
  <c r="AB98" i="32"/>
  <c r="Y52" i="19"/>
  <c r="Y90" i="19" s="1"/>
  <c r="AB89" i="32"/>
  <c r="AB108" i="32"/>
  <c r="AB127" i="32"/>
  <c r="AB80" i="32"/>
  <c r="Y80" i="52"/>
  <c r="AM232" i="26"/>
  <c r="AM199" i="26"/>
  <c r="AM166" i="26"/>
  <c r="AM100" i="26"/>
  <c r="AM133" i="26"/>
  <c r="AM67" i="26"/>
  <c r="AM34" i="26"/>
  <c r="AM8" i="52"/>
  <c r="AM91" i="19"/>
  <c r="Q119" i="26"/>
  <c r="Q125" i="26" s="1"/>
  <c r="V31" i="19"/>
  <c r="V38" i="19" s="1"/>
  <c r="V46" i="19" s="1"/>
  <c r="V203" i="26"/>
  <c r="V209" i="26" s="1"/>
  <c r="V215" i="26" s="1"/>
  <c r="V221" i="26" s="1"/>
  <c r="V101" i="19"/>
  <c r="V107" i="19" s="1"/>
  <c r="V113" i="19" s="1"/>
  <c r="V119" i="19" s="1"/>
  <c r="Q17" i="26"/>
  <c r="Q23" i="26" s="1"/>
  <c r="G133" i="32"/>
  <c r="R51" i="19"/>
  <c r="U88" i="32"/>
  <c r="U79" i="32"/>
  <c r="R79" i="52"/>
  <c r="U116" i="32"/>
  <c r="U126" i="32"/>
  <c r="U107" i="32"/>
  <c r="U97" i="32"/>
  <c r="U135" i="32"/>
  <c r="AI77" i="19"/>
  <c r="AI83" i="19" s="1"/>
  <c r="Q118" i="26"/>
  <c r="Q124" i="26" s="1"/>
  <c r="U230" i="26"/>
  <c r="U164" i="26"/>
  <c r="U197" i="26"/>
  <c r="U131" i="26"/>
  <c r="U65" i="26"/>
  <c r="U98" i="26"/>
  <c r="U32" i="26"/>
  <c r="U6" i="52"/>
  <c r="U125" i="19"/>
  <c r="U89" i="19"/>
  <c r="AA194" i="26"/>
  <c r="AA161" i="26"/>
  <c r="AA128" i="26"/>
  <c r="AA95" i="26"/>
  <c r="AA62" i="26"/>
  <c r="AA29" i="26"/>
  <c r="AA55" i="52"/>
  <c r="AA227" i="26"/>
  <c r="AA3" i="52"/>
  <c r="AH54" i="19"/>
  <c r="AK9" i="26"/>
  <c r="AK15" i="26" s="1"/>
  <c r="AK21" i="26" s="1"/>
  <c r="AK27" i="26" s="1"/>
  <c r="AK208" i="26"/>
  <c r="AK214" i="26" s="1"/>
  <c r="AK220" i="26" s="1"/>
  <c r="AK226" i="26" s="1"/>
  <c r="AK106" i="26"/>
  <c r="AK112" i="26" s="1"/>
  <c r="AK118" i="26" s="1"/>
  <c r="AK124" i="26" s="1"/>
  <c r="K41" i="19"/>
  <c r="K183" i="26"/>
  <c r="K189" i="26" s="1"/>
  <c r="K220" i="26"/>
  <c r="K226" i="26" s="1"/>
  <c r="J194" i="26"/>
  <c r="J227" i="26"/>
  <c r="J161" i="26"/>
  <c r="J62" i="26"/>
  <c r="J29" i="26"/>
  <c r="J128" i="26"/>
  <c r="J95" i="26"/>
  <c r="AB73" i="27"/>
  <c r="AB79" i="27" s="1"/>
  <c r="AB171" i="27"/>
  <c r="AB177" i="27" s="1"/>
  <c r="AB63" i="20"/>
  <c r="AB69" i="20" s="1"/>
  <c r="G198" i="26"/>
  <c r="G132" i="26"/>
  <c r="G231" i="26"/>
  <c r="G165" i="26"/>
  <c r="G99" i="26"/>
  <c r="G66" i="26"/>
  <c r="G33" i="26"/>
  <c r="G7" i="52"/>
  <c r="AH78" i="52"/>
  <c r="AK87" i="32"/>
  <c r="AK96" i="32"/>
  <c r="AK115" i="32"/>
  <c r="AK134" i="32"/>
  <c r="AK106" i="32"/>
  <c r="AK125" i="32"/>
  <c r="AK78" i="32"/>
  <c r="AH50" i="19"/>
  <c r="X215" i="26"/>
  <c r="X221" i="26" s="1"/>
  <c r="X114" i="19"/>
  <c r="X120" i="19" s="1"/>
  <c r="X126" i="19" s="1"/>
  <c r="AH80" i="32"/>
  <c r="Z230" i="26"/>
  <c r="Z197" i="26"/>
  <c r="Z164" i="26"/>
  <c r="Z131" i="26"/>
  <c r="Z98" i="26"/>
  <c r="Z32" i="26"/>
  <c r="Z65" i="26"/>
  <c r="P161" i="32"/>
  <c r="P18" i="34" s="1"/>
  <c r="P32" i="34" s="1"/>
  <c r="P142" i="32"/>
  <c r="P143" i="32" s="1"/>
  <c r="P16" i="34" s="1"/>
  <c r="P30" i="34" s="1"/>
  <c r="P151" i="32"/>
  <c r="P152" i="32" s="1"/>
  <c r="P17" i="34" s="1"/>
  <c r="P31" i="34" s="1"/>
  <c r="G90" i="19"/>
  <c r="D88" i="19"/>
  <c r="X148" i="19"/>
  <c r="X154" i="19" s="1"/>
  <c r="AI220" i="26"/>
  <c r="AI226" i="26" s="1"/>
  <c r="P80" i="52"/>
  <c r="S117" i="32"/>
  <c r="S127" i="32"/>
  <c r="S108" i="32"/>
  <c r="S80" i="32"/>
  <c r="S89" i="32"/>
  <c r="P52" i="19"/>
  <c r="S98" i="32"/>
  <c r="S136" i="32"/>
  <c r="V7" i="26"/>
  <c r="V13" i="26" s="1"/>
  <c r="V19" i="26" s="1"/>
  <c r="V25" i="26" s="1"/>
  <c r="V139" i="19"/>
  <c r="V145" i="19" s="1"/>
  <c r="V151" i="19" s="1"/>
  <c r="V157" i="19" s="1"/>
  <c r="V27" i="19"/>
  <c r="V34" i="19" s="1"/>
  <c r="V42" i="19" s="1"/>
  <c r="AK116" i="32"/>
  <c r="G114" i="32"/>
  <c r="M87" i="19"/>
  <c r="AI112" i="19"/>
  <c r="AI118" i="19" s="1"/>
  <c r="AI76" i="19"/>
  <c r="AI82" i="19" s="1"/>
  <c r="Q78" i="19"/>
  <c r="Q84" i="19" s="1"/>
  <c r="AA91" i="19"/>
  <c r="E63" i="27"/>
  <c r="E96" i="27"/>
  <c r="E30" i="27"/>
  <c r="E129" i="27"/>
  <c r="E195" i="27"/>
  <c r="E228" i="27"/>
  <c r="E162" i="27"/>
  <c r="E159" i="20"/>
  <c r="E4" i="52"/>
  <c r="S88" i="32"/>
  <c r="AN91" i="19"/>
  <c r="AG33" i="26"/>
  <c r="AG231" i="26"/>
  <c r="AG165" i="26"/>
  <c r="AG198" i="26"/>
  <c r="AG132" i="26"/>
  <c r="AG99" i="26"/>
  <c r="AG66" i="26"/>
  <c r="AG59" i="52"/>
  <c r="AG7" i="52"/>
  <c r="S88" i="20"/>
  <c r="S86" i="52"/>
  <c r="S52" i="20"/>
  <c r="V204" i="32"/>
  <c r="V157" i="32"/>
  <c r="V185" i="32"/>
  <c r="V166" i="32"/>
  <c r="V195" i="32"/>
  <c r="V148" i="32"/>
  <c r="V176" i="32"/>
  <c r="H23" i="52"/>
  <c r="K67" i="11" s="1"/>
  <c r="AK120" i="26"/>
  <c r="AK126" i="26" s="1"/>
  <c r="AK187" i="26"/>
  <c r="AK193" i="26" s="1"/>
  <c r="AK112" i="19"/>
  <c r="AK118" i="19" s="1"/>
  <c r="K114" i="19"/>
  <c r="K120" i="19" s="1"/>
  <c r="K121" i="26"/>
  <c r="K127" i="26" s="1"/>
  <c r="K150" i="26"/>
  <c r="K156" i="26" s="1"/>
  <c r="W82" i="52"/>
  <c r="Z181" i="32"/>
  <c r="Z200" i="32"/>
  <c r="Z172" i="32"/>
  <c r="Z162" i="32"/>
  <c r="W47" i="20"/>
  <c r="Z144" i="32"/>
  <c r="Z153" i="32"/>
  <c r="W48" i="20"/>
  <c r="W93" i="20"/>
  <c r="AM54" i="19"/>
  <c r="AM9" i="52" s="1"/>
  <c r="AM26" i="52"/>
  <c r="AB174" i="27"/>
  <c r="AB180" i="27" s="1"/>
  <c r="AB105" i="27"/>
  <c r="AB111" i="27" s="1"/>
  <c r="AH122" i="19"/>
  <c r="X79" i="19"/>
  <c r="X85" i="19" s="1"/>
  <c r="X91" i="19" s="1"/>
  <c r="O89" i="19"/>
  <c r="AA32" i="26"/>
  <c r="AA131" i="26"/>
  <c r="AA58" i="52"/>
  <c r="AA65" i="26"/>
  <c r="AA98" i="26"/>
  <c r="AA230" i="26"/>
  <c r="AA197" i="26"/>
  <c r="AA164" i="26"/>
  <c r="AA6" i="52"/>
  <c r="X116" i="26"/>
  <c r="X122" i="26" s="1"/>
  <c r="AB126" i="19"/>
  <c r="AG159" i="19"/>
  <c r="V174" i="26"/>
  <c r="V180" i="26" s="1"/>
  <c r="V186" i="26" s="1"/>
  <c r="V192" i="26" s="1"/>
  <c r="V64" i="19"/>
  <c r="V70" i="19" s="1"/>
  <c r="V76" i="19" s="1"/>
  <c r="V82" i="19" s="1"/>
  <c r="Y112" i="32"/>
  <c r="Y26" i="34" s="1"/>
  <c r="Y40" i="34" s="1"/>
  <c r="Y102" i="32"/>
  <c r="Y103" i="32" s="1"/>
  <c r="Y27" i="34" s="1"/>
  <c r="Y41" i="34" s="1"/>
  <c r="AI148" i="19"/>
  <c r="AI154" i="19" s="1"/>
  <c r="AI22" i="26"/>
  <c r="AI28" i="26" s="1"/>
  <c r="Q43" i="19"/>
  <c r="Q110" i="19"/>
  <c r="Q116" i="19" s="1"/>
  <c r="AG87" i="19"/>
  <c r="S79" i="32"/>
  <c r="AK139" i="26"/>
  <c r="AK145" i="26" s="1"/>
  <c r="AK151" i="26" s="1"/>
  <c r="AK157" i="26" s="1"/>
  <c r="AK40" i="26"/>
  <c r="AK46" i="26" s="1"/>
  <c r="AK52" i="26" s="1"/>
  <c r="AK58" i="26" s="1"/>
  <c r="AK141" i="26"/>
  <c r="AK147" i="26" s="1"/>
  <c r="AK153" i="26" s="1"/>
  <c r="AK159" i="26" s="1"/>
  <c r="K111" i="19"/>
  <c r="K117" i="19" s="1"/>
  <c r="K117" i="26"/>
  <c r="K123" i="26" s="1"/>
  <c r="K187" i="26"/>
  <c r="K193" i="26" s="1"/>
  <c r="E38" i="36"/>
  <c r="E66" i="36" s="1"/>
  <c r="E94" i="36" s="1"/>
  <c r="E122" i="36" s="1"/>
  <c r="E11" i="36"/>
  <c r="E39" i="36" s="1"/>
  <c r="E67" i="36" s="1"/>
  <c r="E95" i="36" s="1"/>
  <c r="E123" i="36" s="1"/>
  <c r="N131" i="32"/>
  <c r="M28" i="34" s="1"/>
  <c r="M42" i="34" s="1"/>
  <c r="N121" i="32"/>
  <c r="N122" i="32" s="1"/>
  <c r="M29" i="34" s="1"/>
  <c r="M43" i="34" s="1"/>
  <c r="AH137" i="32"/>
  <c r="AE81" i="52"/>
  <c r="AH81" i="32"/>
  <c r="AE53" i="19"/>
  <c r="AE163" i="19" s="1"/>
  <c r="AH128" i="32"/>
  <c r="AH109" i="32"/>
  <c r="AH118" i="32"/>
  <c r="AH90" i="32"/>
  <c r="AH99" i="32"/>
  <c r="X118" i="26"/>
  <c r="X124" i="26" s="1"/>
  <c r="AB139" i="20"/>
  <c r="AB145" i="20" s="1"/>
  <c r="AB106" i="27"/>
  <c r="AB112" i="27" s="1"/>
  <c r="AB39" i="27"/>
  <c r="AB45" i="27" s="1"/>
  <c r="J98" i="32"/>
  <c r="AA77" i="52"/>
  <c r="AA49" i="19"/>
  <c r="AD95" i="32"/>
  <c r="AD124" i="32"/>
  <c r="AD133" i="32"/>
  <c r="AD86" i="32"/>
  <c r="AD114" i="32"/>
  <c r="AD77" i="32"/>
  <c r="AD105" i="32"/>
  <c r="AH89" i="32"/>
  <c r="AG54" i="19"/>
  <c r="AG9" i="52" s="1"/>
  <c r="AG55" i="52" s="1"/>
  <c r="AG26" i="52"/>
  <c r="I230" i="26"/>
  <c r="I197" i="26"/>
  <c r="I164" i="26"/>
  <c r="I65" i="26"/>
  <c r="I98" i="26"/>
  <c r="I32" i="26"/>
  <c r="I131" i="26"/>
  <c r="I89" i="19"/>
  <c r="X18" i="26"/>
  <c r="X24" i="26" s="1"/>
  <c r="I125" i="19"/>
  <c r="O125" i="19"/>
  <c r="Q74" i="19"/>
  <c r="Q80" i="19" s="1"/>
  <c r="G78" i="32"/>
  <c r="AC227" i="27"/>
  <c r="AC161" i="27"/>
  <c r="AC194" i="27"/>
  <c r="AC128" i="27"/>
  <c r="AC95" i="27"/>
  <c r="AC62" i="27"/>
  <c r="AC29" i="27"/>
  <c r="AC86" i="20"/>
  <c r="AC158" i="20"/>
  <c r="AC122" i="20"/>
  <c r="Y165" i="19"/>
  <c r="Y81" i="52"/>
  <c r="AB99" i="32"/>
  <c r="AB109" i="32"/>
  <c r="Y53" i="19"/>
  <c r="AB128" i="32"/>
  <c r="AB137" i="32"/>
  <c r="AB90" i="32"/>
  <c r="AB81" i="32"/>
  <c r="AB118" i="32"/>
  <c r="V39" i="26"/>
  <c r="V45" i="26" s="1"/>
  <c r="V51" i="26" s="1"/>
  <c r="V57" i="26" s="1"/>
  <c r="V63" i="19"/>
  <c r="V69" i="19" s="1"/>
  <c r="V75" i="19" s="1"/>
  <c r="V81" i="19" s="1"/>
  <c r="V204" i="26"/>
  <c r="V210" i="26" s="1"/>
  <c r="V216" i="26" s="1"/>
  <c r="V222" i="26" s="1"/>
  <c r="S121" i="32"/>
  <c r="S122" i="32" s="1"/>
  <c r="O29" i="34" s="1"/>
  <c r="O43" i="34" s="1"/>
  <c r="S131" i="32"/>
  <c r="O28" i="34" s="1"/>
  <c r="O42" i="34" s="1"/>
  <c r="AA125" i="19"/>
  <c r="AI53" i="26"/>
  <c r="AI59" i="26" s="1"/>
  <c r="AI151" i="26"/>
  <c r="AI157" i="26" s="1"/>
  <c r="Q54" i="26"/>
  <c r="Q60" i="26" s="1"/>
  <c r="Q53" i="26"/>
  <c r="Q59" i="26" s="1"/>
  <c r="Q114" i="19"/>
  <c r="Q120" i="19" s="1"/>
  <c r="O54" i="19"/>
  <c r="O57" i="19"/>
  <c r="Q52" i="26"/>
  <c r="Q58" i="26" s="1"/>
  <c r="S83" i="52"/>
  <c r="S49" i="20"/>
  <c r="S123" i="20" s="1"/>
  <c r="V173" i="32"/>
  <c r="V182" i="32"/>
  <c r="AN121" i="32"/>
  <c r="AN122" i="32" s="1"/>
  <c r="AB29" i="34" s="1"/>
  <c r="AB43" i="34" s="1"/>
  <c r="AN131" i="32"/>
  <c r="AB28" i="34" s="1"/>
  <c r="AB42" i="34" s="1"/>
  <c r="AH128" i="26"/>
  <c r="AH161" i="26"/>
  <c r="AH95" i="26"/>
  <c r="AH62" i="26"/>
  <c r="AH227" i="26"/>
  <c r="AH194" i="26"/>
  <c r="AH29" i="26"/>
  <c r="AK103" i="19"/>
  <c r="AK109" i="19" s="1"/>
  <c r="AK115" i="19" s="1"/>
  <c r="AK121" i="19" s="1"/>
  <c r="AK39" i="26"/>
  <c r="AK45" i="26" s="1"/>
  <c r="AK51" i="26" s="1"/>
  <c r="AK57" i="26" s="1"/>
  <c r="AK7" i="26"/>
  <c r="AK13" i="26" s="1"/>
  <c r="AK19" i="26" s="1"/>
  <c r="AK25" i="26" s="1"/>
  <c r="K74" i="19"/>
  <c r="K80" i="19" s="1"/>
  <c r="K9" i="26"/>
  <c r="K15" i="26" s="1"/>
  <c r="K21" i="26" s="1"/>
  <c r="K27" i="26" s="1"/>
  <c r="K5" i="26"/>
  <c r="K11" i="26" s="1"/>
  <c r="K17" i="26" s="1"/>
  <c r="K23" i="26" s="1"/>
  <c r="AG232" i="26"/>
  <c r="AG199" i="26"/>
  <c r="AG166" i="26"/>
  <c r="AG133" i="26"/>
  <c r="AG100" i="26"/>
  <c r="AG67" i="26"/>
  <c r="AG34" i="26"/>
  <c r="AG8" i="52"/>
  <c r="AH123" i="19"/>
  <c r="G122" i="19"/>
  <c r="AB64" i="20"/>
  <c r="AB70" i="20" s="1"/>
  <c r="AB103" i="20"/>
  <c r="AB109" i="20" s="1"/>
  <c r="AB26" i="20"/>
  <c r="AB33" i="20" s="1"/>
  <c r="Q46" i="19"/>
  <c r="AH127" i="32"/>
  <c r="X151" i="19"/>
  <c r="X157" i="19" s="1"/>
  <c r="X163" i="19" s="1"/>
  <c r="J232" i="26"/>
  <c r="J100" i="26"/>
  <c r="J34" i="26"/>
  <c r="J67" i="26"/>
  <c r="J133" i="26"/>
  <c r="J199" i="26"/>
  <c r="J166" i="26"/>
  <c r="W115" i="20"/>
  <c r="W121" i="20" s="1"/>
  <c r="W127" i="20" s="1"/>
  <c r="AD9" i="52"/>
  <c r="AD66" i="52" s="1"/>
  <c r="Q45" i="19"/>
  <c r="V113" i="32"/>
  <c r="V76" i="32"/>
  <c r="V132" i="32"/>
  <c r="V123" i="32"/>
  <c r="V104" i="32"/>
  <c r="S47" i="19"/>
  <c r="V85" i="32"/>
  <c r="S48" i="19"/>
  <c r="V94" i="32"/>
  <c r="S76" i="52"/>
  <c r="S93" i="19"/>
  <c r="S129" i="19"/>
  <c r="S165" i="19"/>
  <c r="V108" i="32"/>
  <c r="V89" i="32"/>
  <c r="S80" i="52"/>
  <c r="S52" i="19"/>
  <c r="V127" i="32"/>
  <c r="V80" i="32"/>
  <c r="V98" i="32"/>
  <c r="V117" i="32"/>
  <c r="V136" i="32"/>
  <c r="Q149" i="26"/>
  <c r="Q155" i="26" s="1"/>
  <c r="G134" i="32"/>
  <c r="AH13" i="20"/>
  <c r="AK198" i="32" s="1"/>
  <c r="AH23" i="20"/>
  <c r="AB131" i="32"/>
  <c r="AD28" i="34" s="1"/>
  <c r="AD42" i="34" s="1"/>
  <c r="AB121" i="32"/>
  <c r="AB122" i="32" s="1"/>
  <c r="AD29" i="34" s="1"/>
  <c r="AD43" i="34" s="1"/>
  <c r="V102" i="19"/>
  <c r="V108" i="19" s="1"/>
  <c r="V114" i="19" s="1"/>
  <c r="V120" i="19" s="1"/>
  <c r="V8" i="26"/>
  <c r="V14" i="26" s="1"/>
  <c r="V20" i="26" s="1"/>
  <c r="V26" i="26" s="1"/>
  <c r="V141" i="26"/>
  <c r="V147" i="26" s="1"/>
  <c r="V153" i="26" s="1"/>
  <c r="V159" i="26" s="1"/>
  <c r="R54" i="26"/>
  <c r="R60" i="26" s="1"/>
  <c r="Q87" i="26"/>
  <c r="Q93" i="26" s="1"/>
  <c r="R118" i="26"/>
  <c r="R124" i="26" s="1"/>
  <c r="R216" i="26"/>
  <c r="R222" i="26" s="1"/>
  <c r="P132" i="32"/>
  <c r="M48" i="19"/>
  <c r="M76" i="52"/>
  <c r="P113" i="32"/>
  <c r="P123" i="32"/>
  <c r="P76" i="32"/>
  <c r="M47" i="19"/>
  <c r="P94" i="32"/>
  <c r="M93" i="19"/>
  <c r="AI43" i="19"/>
  <c r="AI115" i="19"/>
  <c r="AI121" i="19" s="1"/>
  <c r="T131" i="32"/>
  <c r="S28" i="34" s="1"/>
  <c r="S42" i="34" s="1"/>
  <c r="T121" i="32"/>
  <c r="T122" i="32" s="1"/>
  <c r="S29" i="34" s="1"/>
  <c r="S43" i="34" s="1"/>
  <c r="P162" i="19"/>
  <c r="L159" i="19"/>
  <c r="P81" i="52"/>
  <c r="S128" i="32"/>
  <c r="S81" i="32"/>
  <c r="S99" i="32"/>
  <c r="P53" i="19"/>
  <c r="P163" i="19" s="1"/>
  <c r="S109" i="32"/>
  <c r="S137" i="32"/>
  <c r="S90" i="32"/>
  <c r="S118" i="32"/>
  <c r="Q88" i="26"/>
  <c r="Q94" i="26" s="1"/>
  <c r="M116" i="26"/>
  <c r="M122" i="26" s="1"/>
  <c r="AN86" i="19"/>
  <c r="S162" i="19"/>
  <c r="S10" i="27"/>
  <c r="S16" i="27" s="1"/>
  <c r="S22" i="27" s="1"/>
  <c r="S28" i="27" s="1"/>
  <c r="S171" i="27"/>
  <c r="S177" i="27" s="1"/>
  <c r="S183" i="27" s="1"/>
  <c r="S189" i="27" s="1"/>
  <c r="S206" i="27"/>
  <c r="S212" i="27" s="1"/>
  <c r="S218" i="27" s="1"/>
  <c r="S224" i="27" s="1"/>
  <c r="AK173" i="26"/>
  <c r="AK179" i="26" s="1"/>
  <c r="AK5" i="26"/>
  <c r="AK11" i="26" s="1"/>
  <c r="AK17" i="26" s="1"/>
  <c r="AK23" i="26" s="1"/>
  <c r="AK31" i="19"/>
  <c r="AK38" i="19" s="1"/>
  <c r="AK46" i="19" s="1"/>
  <c r="K55" i="26"/>
  <c r="K61" i="26" s="1"/>
  <c r="K185" i="26"/>
  <c r="K191" i="26" s="1"/>
  <c r="K87" i="26"/>
  <c r="K93" i="26" s="1"/>
  <c r="X117" i="26"/>
  <c r="X123" i="26" s="1"/>
  <c r="J164" i="26"/>
  <c r="J65" i="26"/>
  <c r="J230" i="26"/>
  <c r="J197" i="26"/>
  <c r="J131" i="26"/>
  <c r="J98" i="26"/>
  <c r="J32" i="26"/>
  <c r="X157" i="32"/>
  <c r="AM62" i="26"/>
  <c r="AM227" i="26"/>
  <c r="AM194" i="26"/>
  <c r="AM161" i="26"/>
  <c r="AM128" i="26"/>
  <c r="AM95" i="26"/>
  <c r="AM29" i="26"/>
  <c r="AM55" i="52"/>
  <c r="AM3" i="52"/>
  <c r="AM86" i="19"/>
  <c r="U228" i="27"/>
  <c r="U30" i="27"/>
  <c r="U63" i="27"/>
  <c r="U195" i="27"/>
  <c r="U129" i="27"/>
  <c r="U162" i="27"/>
  <c r="U96" i="27"/>
  <c r="AD64" i="52"/>
  <c r="AD230" i="27"/>
  <c r="AD164" i="27"/>
  <c r="AD197" i="27"/>
  <c r="AD131" i="27"/>
  <c r="AD98" i="27"/>
  <c r="AD65" i="27"/>
  <c r="AD32" i="27"/>
  <c r="AD161" i="20"/>
  <c r="AD89" i="20"/>
  <c r="AB62" i="20"/>
  <c r="AB68" i="20" s="1"/>
  <c r="AB100" i="20"/>
  <c r="AB106" i="20" s="1"/>
  <c r="AB138" i="27"/>
  <c r="AB144" i="27" s="1"/>
  <c r="X17" i="26"/>
  <c r="X23" i="26" s="1"/>
  <c r="U160" i="20"/>
  <c r="AL140" i="26"/>
  <c r="AL146" i="26" s="1"/>
  <c r="AO111" i="32"/>
  <c r="AL128" i="19"/>
  <c r="AL130" i="19" s="1"/>
  <c r="AL16" i="19"/>
  <c r="AL138" i="19" s="1"/>
  <c r="AL144" i="19" s="1"/>
  <c r="AL206" i="26"/>
  <c r="AL212" i="26" s="1"/>
  <c r="AL137" i="19"/>
  <c r="AL143" i="19" s="1"/>
  <c r="Q187" i="26"/>
  <c r="Q193" i="26" s="1"/>
  <c r="AH136" i="32"/>
  <c r="X41" i="19"/>
  <c r="D123" i="19"/>
  <c r="W45" i="20"/>
  <c r="J158" i="19"/>
  <c r="Q112" i="19"/>
  <c r="Q118" i="19" s="1"/>
  <c r="AE78" i="52"/>
  <c r="AH125" i="32"/>
  <c r="AE50" i="19"/>
  <c r="AH106" i="32"/>
  <c r="AH134" i="32"/>
  <c r="AH78" i="32"/>
  <c r="AH87" i="32"/>
  <c r="AH96" i="32"/>
  <c r="AH115" i="32"/>
  <c r="AD6" i="52"/>
  <c r="V205" i="26"/>
  <c r="V211" i="26" s="1"/>
  <c r="V217" i="26" s="1"/>
  <c r="V223" i="26" s="1"/>
  <c r="V17" i="19"/>
  <c r="V19" i="19" s="1"/>
  <c r="V72" i="26"/>
  <c r="V78" i="26" s="1"/>
  <c r="V84" i="26" s="1"/>
  <c r="V90" i="26" s="1"/>
  <c r="AI88" i="26"/>
  <c r="AI94" i="26" s="1"/>
  <c r="Q151" i="26"/>
  <c r="Q157" i="26" s="1"/>
  <c r="R46" i="19"/>
  <c r="R114" i="19"/>
  <c r="R120" i="19" s="1"/>
  <c r="AA158" i="19"/>
  <c r="M86" i="19"/>
  <c r="AI19" i="26"/>
  <c r="AI25" i="26" s="1"/>
  <c r="AI86" i="26"/>
  <c r="AI92" i="26" s="1"/>
  <c r="R43" i="19"/>
  <c r="M50" i="26"/>
  <c r="M56" i="26" s="1"/>
  <c r="Q21" i="26"/>
  <c r="Q27" i="26" s="1"/>
  <c r="S109" i="27"/>
  <c r="S115" i="27" s="1"/>
  <c r="S121" i="27" s="1"/>
  <c r="S127" i="27" s="1"/>
  <c r="S8" i="27"/>
  <c r="S14" i="27" s="1"/>
  <c r="S20" i="27" s="1"/>
  <c r="S26" i="27" s="1"/>
  <c r="S74" i="27"/>
  <c r="S80" i="27" s="1"/>
  <c r="S86" i="27" s="1"/>
  <c r="S92" i="27" s="1"/>
  <c r="AA54" i="19"/>
  <c r="AA9" i="52" s="1"/>
  <c r="AA26" i="52"/>
  <c r="G136" i="32"/>
  <c r="G127" i="32"/>
  <c r="G108" i="32"/>
  <c r="D80" i="52"/>
  <c r="G117" i="32"/>
  <c r="G98" i="32"/>
  <c r="G80" i="32"/>
  <c r="G89" i="32"/>
  <c r="D52" i="19"/>
  <c r="D162" i="19" s="1"/>
  <c r="AE165" i="19"/>
  <c r="AK63" i="19"/>
  <c r="AK69" i="19" s="1"/>
  <c r="AK75" i="19" s="1"/>
  <c r="AK81" i="19" s="1"/>
  <c r="AK74" i="26"/>
  <c r="AK80" i="26" s="1"/>
  <c r="AK86" i="26" s="1"/>
  <c r="AK92" i="26" s="1"/>
  <c r="AK172" i="26"/>
  <c r="AK178" i="26" s="1"/>
  <c r="AK184" i="26" s="1"/>
  <c r="AK190" i="26" s="1"/>
  <c r="K84" i="26"/>
  <c r="K90" i="26" s="1"/>
  <c r="K79" i="19"/>
  <c r="K85" i="19" s="1"/>
  <c r="K218" i="26"/>
  <c r="K224" i="26" s="1"/>
  <c r="AF32" i="26"/>
  <c r="AF131" i="26"/>
  <c r="AF164" i="26"/>
  <c r="AF65" i="26"/>
  <c r="AF197" i="26"/>
  <c r="AF98" i="26"/>
  <c r="AF230" i="26"/>
  <c r="AF6" i="52"/>
  <c r="AF161" i="19"/>
  <c r="AF125" i="19"/>
  <c r="AH86" i="32"/>
  <c r="AE77" i="52"/>
  <c r="AE49" i="19"/>
  <c r="AH95" i="32"/>
  <c r="AH124" i="32"/>
  <c r="AH105" i="32"/>
  <c r="AH114" i="32"/>
  <c r="AH133" i="32"/>
  <c r="AH77" i="32"/>
  <c r="AB205" i="27"/>
  <c r="AB211" i="27" s="1"/>
  <c r="AB208" i="27"/>
  <c r="AB214" i="27" s="1"/>
  <c r="AB107" i="27"/>
  <c r="AB113" i="27" s="1"/>
  <c r="X50" i="26"/>
  <c r="X56" i="26" s="1"/>
  <c r="I129" i="26"/>
  <c r="I30" i="26"/>
  <c r="I228" i="26"/>
  <c r="I195" i="26"/>
  <c r="I162" i="26"/>
  <c r="I63" i="26"/>
  <c r="I96" i="26"/>
  <c r="X21" i="26"/>
  <c r="X27" i="26" s="1"/>
  <c r="J159" i="19"/>
  <c r="E343" i="53"/>
  <c r="E378" i="53" s="1"/>
  <c r="E244" i="53"/>
  <c r="D229" i="26"/>
  <c r="D130" i="26"/>
  <c r="D31" i="26"/>
  <c r="D163" i="26"/>
  <c r="D97" i="26"/>
  <c r="D64" i="26"/>
  <c r="D196" i="26"/>
  <c r="AH65" i="20"/>
  <c r="AH71" i="20" s="1"/>
  <c r="AK179" i="32"/>
  <c r="AH16" i="20"/>
  <c r="AH104" i="27" s="1"/>
  <c r="AH110" i="27" s="1"/>
  <c r="AH108" i="27"/>
  <c r="AH114" i="27" s="1"/>
  <c r="AH135" i="20"/>
  <c r="AH141" i="20" s="1"/>
  <c r="AH140" i="27"/>
  <c r="AH146" i="27" s="1"/>
  <c r="AH98" i="20"/>
  <c r="AH104" i="20" s="1"/>
  <c r="AH41" i="27"/>
  <c r="AH47" i="27" s="1"/>
  <c r="AH30" i="20"/>
  <c r="AH37" i="20" s="1"/>
  <c r="AH206" i="27"/>
  <c r="AH212" i="27" s="1"/>
  <c r="AH76" i="27"/>
  <c r="AH82" i="27" s="1"/>
  <c r="AH7" i="27"/>
  <c r="AH13" i="27" s="1"/>
  <c r="AH137" i="27"/>
  <c r="AH143" i="27" s="1"/>
  <c r="AH71" i="27"/>
  <c r="AH77" i="27" s="1"/>
  <c r="AH102" i="20"/>
  <c r="AH108" i="20" s="1"/>
  <c r="AH26" i="20"/>
  <c r="AH33" i="20" s="1"/>
  <c r="AH164" i="20"/>
  <c r="AH166" i="20" s="1"/>
  <c r="AH128" i="20"/>
  <c r="AH130" i="20" s="1"/>
  <c r="V137" i="26"/>
  <c r="V143" i="26" s="1"/>
  <c r="V149" i="26" s="1"/>
  <c r="V155" i="26" s="1"/>
  <c r="V32" i="19"/>
  <c r="V39" i="19" s="1"/>
  <c r="V40" i="19" s="1"/>
  <c r="V62" i="19"/>
  <c r="V68" i="19" s="1"/>
  <c r="V74" i="19" s="1"/>
  <c r="V80" i="19" s="1"/>
  <c r="Q184" i="26"/>
  <c r="Q190" i="26" s="1"/>
  <c r="AI183" i="26"/>
  <c r="AI189" i="26" s="1"/>
  <c r="AB78" i="52"/>
  <c r="AE115" i="32"/>
  <c r="AE134" i="32"/>
  <c r="AB50" i="19"/>
  <c r="AE78" i="32"/>
  <c r="AE106" i="32"/>
  <c r="AE125" i="32"/>
  <c r="AE96" i="32"/>
  <c r="AE87" i="32"/>
  <c r="Q55" i="26"/>
  <c r="Q61" i="26" s="1"/>
  <c r="AM228" i="26"/>
  <c r="AM162" i="26"/>
  <c r="AM129" i="26"/>
  <c r="AM195" i="26"/>
  <c r="AM96" i="26"/>
  <c r="AM63" i="26"/>
  <c r="AM56" i="52"/>
  <c r="AM30" i="26"/>
  <c r="AM4" i="52"/>
  <c r="AM123" i="19"/>
  <c r="AI149" i="26"/>
  <c r="AI155" i="26" s="1"/>
  <c r="AB125" i="32"/>
  <c r="AB96" i="32"/>
  <c r="Y78" i="52"/>
  <c r="AB115" i="32"/>
  <c r="AB134" i="32"/>
  <c r="AB87" i="32"/>
  <c r="AB106" i="32"/>
  <c r="AB78" i="32"/>
  <c r="Y50" i="19"/>
  <c r="Q182" i="26"/>
  <c r="Q188" i="26" s="1"/>
  <c r="R77" i="19"/>
  <c r="R83" i="19" s="1"/>
  <c r="R89" i="19" s="1"/>
  <c r="Q186" i="26"/>
  <c r="Q192" i="26" s="1"/>
  <c r="AQ98" i="32"/>
  <c r="AQ127" i="32"/>
  <c r="AN80" i="52"/>
  <c r="AN52" i="19"/>
  <c r="AQ117" i="32"/>
  <c r="AQ89" i="32"/>
  <c r="AQ108" i="32"/>
  <c r="AQ80" i="32"/>
  <c r="AQ136" i="32"/>
  <c r="S122" i="19"/>
  <c r="S38" i="27"/>
  <c r="S44" i="27" s="1"/>
  <c r="S50" i="27" s="1"/>
  <c r="S56" i="27" s="1"/>
  <c r="S139" i="20"/>
  <c r="S145" i="20" s="1"/>
  <c r="S151" i="20" s="1"/>
  <c r="S157" i="20" s="1"/>
  <c r="S106" i="27"/>
  <c r="S112" i="27" s="1"/>
  <c r="S118" i="27" s="1"/>
  <c r="S124" i="27" s="1"/>
  <c r="AK205" i="26"/>
  <c r="AK211" i="26" s="1"/>
  <c r="AK217" i="26" s="1"/>
  <c r="AK223" i="26" s="1"/>
  <c r="AK207" i="26"/>
  <c r="AK213" i="26" s="1"/>
  <c r="AK219" i="26" s="1"/>
  <c r="AK225" i="26" s="1"/>
  <c r="K174" i="26"/>
  <c r="K180" i="26" s="1"/>
  <c r="K186" i="26" s="1"/>
  <c r="K192" i="26" s="1"/>
  <c r="K106" i="26"/>
  <c r="K112" i="26" s="1"/>
  <c r="K118" i="26" s="1"/>
  <c r="K124" i="26" s="1"/>
  <c r="K40" i="26"/>
  <c r="K46" i="26" s="1"/>
  <c r="K52" i="26" s="1"/>
  <c r="K58" i="26" s="1"/>
  <c r="O13" i="20"/>
  <c r="R198" i="32" s="1"/>
  <c r="O23" i="20"/>
  <c r="AH132" i="26"/>
  <c r="AH66" i="26"/>
  <c r="AH198" i="26"/>
  <c r="AH165" i="26"/>
  <c r="AH99" i="26"/>
  <c r="AH33" i="26"/>
  <c r="AH231" i="26"/>
  <c r="X219" i="26"/>
  <c r="X225" i="26" s="1"/>
  <c r="AH89" i="19"/>
  <c r="AB29" i="20"/>
  <c r="AB36" i="20" s="1"/>
  <c r="AB17" i="20"/>
  <c r="AB19" i="20" s="1"/>
  <c r="AB43" i="27"/>
  <c r="AB49" i="27" s="1"/>
  <c r="AH91" i="19"/>
  <c r="AL13" i="19"/>
  <c r="AO130" i="32" s="1"/>
  <c r="AL23" i="19"/>
  <c r="AA161" i="19"/>
  <c r="G161" i="19"/>
  <c r="W53" i="27"/>
  <c r="W59" i="27" s="1"/>
  <c r="AE231" i="26"/>
  <c r="AE198" i="26"/>
  <c r="AE165" i="26"/>
  <c r="AE99" i="26"/>
  <c r="AE33" i="26"/>
  <c r="AE66" i="26"/>
  <c r="AE7" i="52"/>
  <c r="O163" i="26"/>
  <c r="O130" i="26"/>
  <c r="O97" i="26"/>
  <c r="O31" i="26"/>
  <c r="O64" i="26"/>
  <c r="O229" i="26"/>
  <c r="O196" i="26"/>
  <c r="U126" i="20"/>
  <c r="Z124" i="19"/>
  <c r="E245" i="53"/>
  <c r="E344" i="53"/>
  <c r="E379" i="53" s="1"/>
  <c r="N55" i="52"/>
  <c r="G96" i="32"/>
  <c r="AI119" i="26"/>
  <c r="AI125" i="26" s="1"/>
  <c r="V41" i="26"/>
  <c r="V47" i="26" s="1"/>
  <c r="V53" i="26" s="1"/>
  <c r="V59" i="26" s="1"/>
  <c r="V103" i="19"/>
  <c r="V109" i="19" s="1"/>
  <c r="V115" i="19" s="1"/>
  <c r="V121" i="19" s="1"/>
  <c r="V107" i="26"/>
  <c r="V113" i="26" s="1"/>
  <c r="V119" i="26" s="1"/>
  <c r="V125" i="26" s="1"/>
  <c r="R80" i="52"/>
  <c r="U80" i="32"/>
  <c r="R52" i="19"/>
  <c r="U108" i="32"/>
  <c r="U98" i="32"/>
  <c r="U136" i="32"/>
  <c r="U117" i="32"/>
  <c r="U127" i="32"/>
  <c r="Q76" i="19"/>
  <c r="Q82" i="19" s="1"/>
  <c r="AI150" i="26"/>
  <c r="AI156" i="26" s="1"/>
  <c r="AI121" i="26"/>
  <c r="AI127" i="26" s="1"/>
  <c r="Q22" i="26"/>
  <c r="Q28" i="26" s="1"/>
  <c r="AE136" i="32"/>
  <c r="AB80" i="52"/>
  <c r="AE80" i="32"/>
  <c r="AE108" i="32"/>
  <c r="AE127" i="32"/>
  <c r="AE98" i="32"/>
  <c r="AB52" i="19"/>
  <c r="AE89" i="32"/>
  <c r="AE117" i="32"/>
  <c r="K41" i="33"/>
  <c r="E44" i="33"/>
  <c r="Q86" i="26"/>
  <c r="Q92" i="26" s="1"/>
  <c r="P230" i="26"/>
  <c r="P197" i="26"/>
  <c r="P164" i="26"/>
  <c r="P131" i="26"/>
  <c r="P65" i="26"/>
  <c r="P32" i="26"/>
  <c r="P98" i="26"/>
  <c r="Q147" i="19"/>
  <c r="Q153" i="19" s="1"/>
  <c r="J229" i="26"/>
  <c r="J163" i="26"/>
  <c r="J196" i="26"/>
  <c r="J130" i="26"/>
  <c r="J64" i="26"/>
  <c r="J97" i="26"/>
  <c r="J31" i="26"/>
  <c r="J160" i="19"/>
  <c r="S102" i="20"/>
  <c r="S108" i="20" s="1"/>
  <c r="S114" i="20" s="1"/>
  <c r="S120" i="20" s="1"/>
  <c r="S126" i="20" s="1"/>
  <c r="S142" i="27"/>
  <c r="S148" i="27" s="1"/>
  <c r="S154" i="27" s="1"/>
  <c r="S160" i="27" s="1"/>
  <c r="S203" i="27"/>
  <c r="S209" i="27" s="1"/>
  <c r="S215" i="27" s="1"/>
  <c r="S221" i="27" s="1"/>
  <c r="X81" i="52"/>
  <c r="X53" i="19"/>
  <c r="AA90" i="32"/>
  <c r="AA128" i="32"/>
  <c r="AA81" i="32"/>
  <c r="AA99" i="32"/>
  <c r="AA109" i="32"/>
  <c r="AA137" i="32"/>
  <c r="AG124" i="19"/>
  <c r="AK101" i="19"/>
  <c r="AK107" i="19" s="1"/>
  <c r="AK113" i="19" s="1"/>
  <c r="AK119" i="19" s="1"/>
  <c r="AK105" i="26"/>
  <c r="AK111" i="26" s="1"/>
  <c r="AK117" i="26" s="1"/>
  <c r="AK123" i="26" s="1"/>
  <c r="AK135" i="19"/>
  <c r="AK141" i="19" s="1"/>
  <c r="AK147" i="19" s="1"/>
  <c r="AK153" i="19" s="1"/>
  <c r="K45" i="19"/>
  <c r="K46" i="19"/>
  <c r="K129" i="19"/>
  <c r="R179" i="32"/>
  <c r="O104" i="27"/>
  <c r="O110" i="27" s="1"/>
  <c r="O76" i="27"/>
  <c r="O82" i="27" s="1"/>
  <c r="O208" i="27"/>
  <c r="O214" i="27" s="1"/>
  <c r="O31" i="20"/>
  <c r="O38" i="20" s="1"/>
  <c r="O16" i="20"/>
  <c r="O203" i="27" s="1"/>
  <c r="O209" i="27" s="1"/>
  <c r="O10" i="27"/>
  <c r="O16" i="27" s="1"/>
  <c r="O6" i="27"/>
  <c r="O12" i="27" s="1"/>
  <c r="O101" i="20"/>
  <c r="O107" i="20" s="1"/>
  <c r="O164" i="20"/>
  <c r="O166" i="20" s="1"/>
  <c r="O128" i="20"/>
  <c r="O130" i="20" s="1"/>
  <c r="X185" i="26"/>
  <c r="X191" i="26" s="1"/>
  <c r="U198" i="27"/>
  <c r="U132" i="27"/>
  <c r="U231" i="27"/>
  <c r="U66" i="27"/>
  <c r="U33" i="27"/>
  <c r="U165" i="27"/>
  <c r="U99" i="27"/>
  <c r="U7" i="52"/>
  <c r="AB138" i="20"/>
  <c r="AB144" i="20" s="1"/>
  <c r="AB150" i="20" s="1"/>
  <c r="AB156" i="20" s="1"/>
  <c r="AB30" i="20"/>
  <c r="AB37" i="20" s="1"/>
  <c r="AB8" i="27"/>
  <c r="AB14" i="27" s="1"/>
  <c r="AB20" i="27" s="1"/>
  <c r="AB26" i="27" s="1"/>
  <c r="S165" i="20"/>
  <c r="Y161" i="32"/>
  <c r="Y18" i="34" s="1"/>
  <c r="Y32" i="34" s="1"/>
  <c r="Y142" i="32"/>
  <c r="Y143" i="32" s="1"/>
  <c r="Y16" i="34" s="1"/>
  <c r="Y30" i="34" s="1"/>
  <c r="Y151" i="32"/>
  <c r="Y152" i="32" s="1"/>
  <c r="Y17" i="34" s="1"/>
  <c r="Y31" i="34" s="1"/>
  <c r="J86" i="19"/>
  <c r="W52" i="27"/>
  <c r="W58" i="27" s="1"/>
  <c r="L197" i="26"/>
  <c r="L230" i="26"/>
  <c r="L58" i="52"/>
  <c r="L164" i="26"/>
  <c r="L131" i="26"/>
  <c r="L98" i="26"/>
  <c r="L65" i="26"/>
  <c r="L32" i="26"/>
  <c r="L6" i="52"/>
  <c r="W83" i="27"/>
  <c r="W89" i="27" s="1"/>
  <c r="AG88" i="19"/>
  <c r="G162" i="19"/>
  <c r="AE160" i="19"/>
  <c r="AD135" i="32"/>
  <c r="AI45" i="19"/>
  <c r="V199" i="32"/>
  <c r="U21" i="34" s="1"/>
  <c r="U35" i="34" s="1"/>
  <c r="V189" i="32"/>
  <c r="V190" i="32" s="1"/>
  <c r="U22" i="34" s="1"/>
  <c r="U36" i="34" s="1"/>
  <c r="AI152" i="26"/>
  <c r="AI158" i="26" s="1"/>
  <c r="V65" i="19"/>
  <c r="V71" i="19" s="1"/>
  <c r="V77" i="19" s="1"/>
  <c r="V83" i="19" s="1"/>
  <c r="V98" i="19"/>
  <c r="V104" i="19" s="1"/>
  <c r="V110" i="19" s="1"/>
  <c r="V116" i="19" s="1"/>
  <c r="AI46" i="19"/>
  <c r="Q146" i="19"/>
  <c r="Q152" i="19" s="1"/>
  <c r="AI20" i="26"/>
  <c r="AI26" i="26" s="1"/>
  <c r="AI113" i="19"/>
  <c r="AI119" i="19" s="1"/>
  <c r="R161" i="19"/>
  <c r="M80" i="52"/>
  <c r="M52" i="19"/>
  <c r="P80" i="32"/>
  <c r="P117" i="32"/>
  <c r="P127" i="32"/>
  <c r="P136" i="32"/>
  <c r="P89" i="32"/>
  <c r="P108" i="32"/>
  <c r="P98" i="32"/>
  <c r="R51" i="26"/>
  <c r="R57" i="26" s="1"/>
  <c r="AN126" i="19"/>
  <c r="Q41" i="19"/>
  <c r="AQ109" i="32"/>
  <c r="AQ137" i="32"/>
  <c r="AQ128" i="32"/>
  <c r="AQ90" i="32"/>
  <c r="AQ81" i="32"/>
  <c r="AQ118" i="32"/>
  <c r="AQ99" i="32"/>
  <c r="AN81" i="52"/>
  <c r="AN53" i="19"/>
  <c r="S71" i="27"/>
  <c r="S77" i="27" s="1"/>
  <c r="S83" i="27" s="1"/>
  <c r="S89" i="27" s="1"/>
  <c r="S135" i="20"/>
  <c r="S141" i="20" s="1"/>
  <c r="S147" i="20" s="1"/>
  <c r="S153" i="20" s="1"/>
  <c r="S159" i="20" s="1"/>
  <c r="S39" i="27"/>
  <c r="S45" i="27" s="1"/>
  <c r="S51" i="27" s="1"/>
  <c r="S57" i="27" s="1"/>
  <c r="X112" i="19"/>
  <c r="X118" i="19" s="1"/>
  <c r="AK41" i="26"/>
  <c r="AK47" i="26" s="1"/>
  <c r="AK53" i="26" s="1"/>
  <c r="AK59" i="26" s="1"/>
  <c r="AK38" i="26"/>
  <c r="AK44" i="26" s="1"/>
  <c r="AK50" i="26" s="1"/>
  <c r="AK56" i="26" s="1"/>
  <c r="AK76" i="26"/>
  <c r="AK82" i="26" s="1"/>
  <c r="AK88" i="26" s="1"/>
  <c r="AK94" i="26" s="1"/>
  <c r="X44" i="19"/>
  <c r="K66" i="19"/>
  <c r="K72" i="19" s="1"/>
  <c r="K78" i="19" s="1"/>
  <c r="K84" i="19" s="1"/>
  <c r="K203" i="26"/>
  <c r="K209" i="26" s="1"/>
  <c r="K215" i="26" s="1"/>
  <c r="K221" i="26" s="1"/>
  <c r="K42" i="26"/>
  <c r="K48" i="26" s="1"/>
  <c r="K54" i="26" s="1"/>
  <c r="K60" i="26" s="1"/>
  <c r="X220" i="26"/>
  <c r="X226" i="26" s="1"/>
  <c r="AC162" i="19"/>
  <c r="S88" i="19"/>
  <c r="AD118" i="32"/>
  <c r="X185" i="32"/>
  <c r="AG158" i="19"/>
  <c r="AB65" i="20"/>
  <c r="AB71" i="20" s="1"/>
  <c r="AB109" i="27"/>
  <c r="AB115" i="27" s="1"/>
  <c r="AB121" i="27" s="1"/>
  <c r="AB127" i="27" s="1"/>
  <c r="AB42" i="27"/>
  <c r="AB48" i="27" s="1"/>
  <c r="AH86" i="19"/>
  <c r="W148" i="20"/>
  <c r="W154" i="20" s="1"/>
  <c r="W121" i="27"/>
  <c r="W127" i="27" s="1"/>
  <c r="O126" i="32"/>
  <c r="I198" i="26"/>
  <c r="I165" i="26"/>
  <c r="I132" i="26"/>
  <c r="I99" i="26"/>
  <c r="I33" i="26"/>
  <c r="I66" i="26"/>
  <c r="I231" i="26"/>
  <c r="I126" i="19"/>
  <c r="W147" i="20"/>
  <c r="W153" i="20" s="1"/>
  <c r="W159" i="20" s="1"/>
  <c r="U4" i="52"/>
  <c r="W51" i="27"/>
  <c r="W57" i="27" s="1"/>
  <c r="U159" i="20"/>
  <c r="AF133" i="26"/>
  <c r="AF100" i="26"/>
  <c r="AF166" i="26"/>
  <c r="AF232" i="26"/>
  <c r="AF67" i="26"/>
  <c r="AF199" i="26"/>
  <c r="AF34" i="26"/>
  <c r="AF8" i="52"/>
  <c r="AF163" i="19"/>
  <c r="AF91" i="19"/>
  <c r="AF127" i="19"/>
  <c r="Y129" i="19"/>
  <c r="Y158" i="19"/>
  <c r="G132" i="32"/>
  <c r="D76" i="52"/>
  <c r="G94" i="32"/>
  <c r="G76" i="32"/>
  <c r="G104" i="32"/>
  <c r="G123" i="32"/>
  <c r="D47" i="19"/>
  <c r="D48" i="19"/>
  <c r="D122" i="19" s="1"/>
  <c r="G85" i="32"/>
  <c r="G113" i="32"/>
  <c r="D93" i="19"/>
  <c r="D129" i="19"/>
  <c r="AI186" i="26"/>
  <c r="AI192" i="26" s="1"/>
  <c r="V28" i="19"/>
  <c r="V35" i="19" s="1"/>
  <c r="V43" i="19" s="1"/>
  <c r="V5" i="26"/>
  <c r="V11" i="26" s="1"/>
  <c r="V17" i="26" s="1"/>
  <c r="V23" i="26" s="1"/>
  <c r="V9" i="26"/>
  <c r="V15" i="26" s="1"/>
  <c r="V21" i="26" s="1"/>
  <c r="V27" i="26" s="1"/>
  <c r="AI150" i="19"/>
  <c r="AI156" i="19" s="1"/>
  <c r="S86" i="32"/>
  <c r="P49" i="19"/>
  <c r="P77" i="52"/>
  <c r="S105" i="32"/>
  <c r="S124" i="32"/>
  <c r="S133" i="32"/>
  <c r="S77" i="32"/>
  <c r="S95" i="32"/>
  <c r="S114" i="32"/>
  <c r="U91" i="20"/>
  <c r="AI44" i="19"/>
  <c r="AI147" i="19"/>
  <c r="AI153" i="19" s="1"/>
  <c r="Q183" i="26"/>
  <c r="Q189" i="26" s="1"/>
  <c r="AI118" i="26"/>
  <c r="AI124" i="26" s="1"/>
  <c r="O194" i="26"/>
  <c r="O161" i="26"/>
  <c r="O62" i="26"/>
  <c r="O128" i="26"/>
  <c r="O95" i="26"/>
  <c r="O29" i="26"/>
  <c r="O227" i="26"/>
  <c r="O122" i="19"/>
  <c r="AB124" i="19"/>
  <c r="AN89" i="19"/>
  <c r="AK22" i="26"/>
  <c r="AK28" i="26" s="1"/>
  <c r="AK149" i="26"/>
  <c r="AK155" i="26" s="1"/>
  <c r="K18" i="26"/>
  <c r="K24" i="26" s="1"/>
  <c r="K50" i="26"/>
  <c r="K56" i="26" s="1"/>
  <c r="K20" i="26"/>
  <c r="K26" i="26" s="1"/>
  <c r="X127" i="19"/>
  <c r="AK80" i="32"/>
  <c r="AH88" i="19"/>
  <c r="AC81" i="32"/>
  <c r="Z81" i="52"/>
  <c r="Z53" i="19"/>
  <c r="AC128" i="32"/>
  <c r="AC109" i="32"/>
  <c r="AC118" i="32"/>
  <c r="AC137" i="32"/>
  <c r="AC99" i="32"/>
  <c r="AC90" i="32"/>
  <c r="AB28" i="20"/>
  <c r="AB35" i="20" s="1"/>
  <c r="AB170" i="27"/>
  <c r="AB176" i="27" s="1"/>
  <c r="AB41" i="27"/>
  <c r="AB47" i="27" s="1"/>
  <c r="AB53" i="27" s="1"/>
  <c r="AB59" i="27" s="1"/>
  <c r="U163" i="27"/>
  <c r="U229" i="27"/>
  <c r="U31" i="27"/>
  <c r="U130" i="27"/>
  <c r="U64" i="27"/>
  <c r="U97" i="27"/>
  <c r="U196" i="27"/>
  <c r="Z163" i="32"/>
  <c r="W83" i="52"/>
  <c r="W49" i="20"/>
  <c r="W87" i="20" s="1"/>
  <c r="Z182" i="32"/>
  <c r="Z192" i="32"/>
  <c r="Z173" i="32"/>
  <c r="Z145" i="32"/>
  <c r="AG127" i="19"/>
  <c r="AG163" i="19"/>
  <c r="V10" i="26"/>
  <c r="V16" i="26" s="1"/>
  <c r="V22" i="26" s="1"/>
  <c r="V28" i="26" s="1"/>
  <c r="V142" i="26"/>
  <c r="V148" i="26" s="1"/>
  <c r="V154" i="26" s="1"/>
  <c r="V160" i="26" s="1"/>
  <c r="V29" i="19"/>
  <c r="V36" i="19" s="1"/>
  <c r="V44" i="19" s="1"/>
  <c r="AF97" i="32"/>
  <c r="P91" i="19"/>
  <c r="R87" i="19"/>
  <c r="P77" i="32"/>
  <c r="P133" i="32"/>
  <c r="M77" i="52"/>
  <c r="P124" i="32"/>
  <c r="P105" i="32"/>
  <c r="P95" i="32"/>
  <c r="P114" i="32"/>
  <c r="P86" i="32"/>
  <c r="M49" i="19"/>
  <c r="AM229" i="26"/>
  <c r="AM130" i="26"/>
  <c r="AM97" i="26"/>
  <c r="AM31" i="26"/>
  <c r="AM64" i="26"/>
  <c r="AM57" i="52"/>
  <c r="AM5" i="52"/>
  <c r="AM196" i="26"/>
  <c r="AM163" i="26"/>
  <c r="AM88" i="19"/>
  <c r="E95" i="27"/>
  <c r="E62" i="27"/>
  <c r="E29" i="27"/>
  <c r="E161" i="27"/>
  <c r="E128" i="27"/>
  <c r="E227" i="27"/>
  <c r="E194" i="27"/>
  <c r="E3" i="52"/>
  <c r="E86" i="20"/>
  <c r="E158" i="20"/>
  <c r="AB160" i="19"/>
  <c r="Q148" i="19"/>
  <c r="Q154" i="19" s="1"/>
  <c r="AI182" i="26"/>
  <c r="AI188" i="26" s="1"/>
  <c r="Z165" i="19"/>
  <c r="AI42" i="19"/>
  <c r="AN125" i="19"/>
  <c r="S162" i="20"/>
  <c r="AK41" i="19"/>
  <c r="S139" i="27"/>
  <c r="S145" i="27" s="1"/>
  <c r="S151" i="27" s="1"/>
  <c r="S157" i="27" s="1"/>
  <c r="S98" i="20"/>
  <c r="S104" i="20" s="1"/>
  <c r="S110" i="20" s="1"/>
  <c r="S116" i="20" s="1"/>
  <c r="S73" i="27"/>
  <c r="S79" i="27" s="1"/>
  <c r="S85" i="27" s="1"/>
  <c r="S91" i="27" s="1"/>
  <c r="Z127" i="19"/>
  <c r="AK136" i="19"/>
  <c r="AK142" i="19" s="1"/>
  <c r="AK148" i="19" s="1"/>
  <c r="AK154" i="19" s="1"/>
  <c r="AK98" i="19"/>
  <c r="AK104" i="19" s="1"/>
  <c r="AK110" i="19" s="1"/>
  <c r="AK116" i="19" s="1"/>
  <c r="AK65" i="19"/>
  <c r="AK71" i="19" s="1"/>
  <c r="AK77" i="19" s="1"/>
  <c r="AK83" i="19" s="1"/>
  <c r="X150" i="19"/>
  <c r="X156" i="19" s="1"/>
  <c r="X162" i="19" s="1"/>
  <c r="K140" i="26"/>
  <c r="K146" i="26" s="1"/>
  <c r="K152" i="26" s="1"/>
  <c r="K158" i="26" s="1"/>
  <c r="K29" i="19"/>
  <c r="K36" i="19" s="1"/>
  <c r="K44" i="19" s="1"/>
  <c r="K100" i="19"/>
  <c r="K106" i="19" s="1"/>
  <c r="K112" i="19" s="1"/>
  <c r="K118" i="19" s="1"/>
  <c r="X19" i="26"/>
  <c r="X25" i="26" s="1"/>
  <c r="I13" i="20"/>
  <c r="L198" i="32" s="1"/>
  <c r="I23" i="20"/>
  <c r="AK136" i="32"/>
  <c r="AA100" i="26"/>
  <c r="AA60" i="52"/>
  <c r="AA67" i="26"/>
  <c r="AA166" i="26"/>
  <c r="AA232" i="26"/>
  <c r="AA34" i="26"/>
  <c r="AA199" i="26"/>
  <c r="AA133" i="26"/>
  <c r="AA8" i="52"/>
  <c r="U165" i="20"/>
  <c r="K30" i="33"/>
  <c r="E33" i="33"/>
  <c r="AH97" i="32"/>
  <c r="AE79" i="52"/>
  <c r="AH135" i="32"/>
  <c r="AH116" i="32"/>
  <c r="AH79" i="32"/>
  <c r="AH126" i="32"/>
  <c r="AE51" i="19"/>
  <c r="AH107" i="32"/>
  <c r="AH88" i="32"/>
  <c r="O231" i="26"/>
  <c r="O198" i="26"/>
  <c r="O165" i="26"/>
  <c r="O66" i="26"/>
  <c r="O132" i="26"/>
  <c r="O99" i="26"/>
  <c r="O33" i="26"/>
  <c r="O162" i="19"/>
  <c r="O126" i="19"/>
  <c r="AG122" i="19"/>
  <c r="AB207" i="27"/>
  <c r="AB213" i="27" s="1"/>
  <c r="AB98" i="20"/>
  <c r="AB104" i="20" s="1"/>
  <c r="AB72" i="27"/>
  <c r="AB78" i="27" s="1"/>
  <c r="AB84" i="27" s="1"/>
  <c r="AB90" i="27" s="1"/>
  <c r="AE88" i="19"/>
  <c r="O107" i="32"/>
  <c r="S127" i="19"/>
  <c r="G165" i="19"/>
  <c r="W182" i="27"/>
  <c r="W188" i="27" s="1"/>
  <c r="W77" i="20"/>
  <c r="W83" i="20" s="1"/>
  <c r="W89" i="20" s="1"/>
  <c r="G115" i="32"/>
  <c r="V137" i="19"/>
  <c r="V143" i="19" s="1"/>
  <c r="V149" i="19" s="1"/>
  <c r="V155" i="19" s="1"/>
  <c r="V139" i="26"/>
  <c r="V145" i="26" s="1"/>
  <c r="V151" i="26" s="1"/>
  <c r="V157" i="26" s="1"/>
  <c r="V108" i="26"/>
  <c r="V114" i="26" s="1"/>
  <c r="V120" i="26" s="1"/>
  <c r="V126" i="26" s="1"/>
  <c r="AF126" i="32"/>
  <c r="M122" i="19"/>
  <c r="AI87" i="26"/>
  <c r="AI93" i="26" s="1"/>
  <c r="AI75" i="19"/>
  <c r="AI81" i="19" s="1"/>
  <c r="R19" i="26"/>
  <c r="R25" i="26" s="1"/>
  <c r="O137" i="32"/>
  <c r="P78" i="52"/>
  <c r="S87" i="32"/>
  <c r="S115" i="32"/>
  <c r="P50" i="19"/>
  <c r="S96" i="32"/>
  <c r="S134" i="32"/>
  <c r="S106" i="32"/>
  <c r="S78" i="32"/>
  <c r="S125" i="32"/>
  <c r="M158" i="19"/>
  <c r="Q50" i="26"/>
  <c r="Q56" i="26" s="1"/>
  <c r="S76" i="27"/>
  <c r="S82" i="27" s="1"/>
  <c r="S88" i="27" s="1"/>
  <c r="S94" i="27" s="1"/>
  <c r="S29" i="20"/>
  <c r="S36" i="20" s="1"/>
  <c r="S44" i="20" s="1"/>
  <c r="V170" i="32"/>
  <c r="V171" i="32" s="1"/>
  <c r="U20" i="34" s="1"/>
  <c r="U34" i="34" s="1"/>
  <c r="V180" i="32"/>
  <c r="U19" i="34" s="1"/>
  <c r="U33" i="34" s="1"/>
  <c r="Z90" i="19"/>
  <c r="AK204" i="26"/>
  <c r="AK210" i="26" s="1"/>
  <c r="AK216" i="26" s="1"/>
  <c r="AK222" i="26" s="1"/>
  <c r="K7" i="26"/>
  <c r="K13" i="26" s="1"/>
  <c r="K19" i="26" s="1"/>
  <c r="K25" i="26" s="1"/>
  <c r="K74" i="26"/>
  <c r="K80" i="26" s="1"/>
  <c r="K86" i="26" s="1"/>
  <c r="K92" i="26" s="1"/>
  <c r="I139" i="20"/>
  <c r="I145" i="20" s="1"/>
  <c r="I205" i="27"/>
  <c r="I211" i="27" s="1"/>
  <c r="L179" i="32"/>
  <c r="I16" i="20"/>
  <c r="I138" i="27" s="1"/>
  <c r="I144" i="27" s="1"/>
  <c r="I64" i="20"/>
  <c r="I70" i="20" s="1"/>
  <c r="I5" i="27"/>
  <c r="I11" i="27" s="1"/>
  <c r="I101" i="20"/>
  <c r="I107" i="20" s="1"/>
  <c r="I128" i="20"/>
  <c r="I130" i="20" s="1"/>
  <c r="S77" i="52"/>
  <c r="V86" i="32"/>
  <c r="V133" i="32"/>
  <c r="V114" i="32"/>
  <c r="V124" i="32"/>
  <c r="V77" i="32"/>
  <c r="V105" i="32"/>
  <c r="S49" i="19"/>
  <c r="S159" i="19" s="1"/>
  <c r="V95" i="32"/>
  <c r="AE87" i="19"/>
  <c r="G77" i="52"/>
  <c r="J95" i="32"/>
  <c r="J133" i="32"/>
  <c r="J114" i="32"/>
  <c r="G49" i="19"/>
  <c r="G123" i="19" s="1"/>
  <c r="J124" i="32"/>
  <c r="J86" i="32"/>
  <c r="J77" i="32"/>
  <c r="J105" i="32"/>
  <c r="AE161" i="19"/>
  <c r="AB6" i="27"/>
  <c r="AB12" i="27" s="1"/>
  <c r="AB18" i="27" s="1"/>
  <c r="AB24" i="27" s="1"/>
  <c r="AB99" i="20"/>
  <c r="AB105" i="20" s="1"/>
  <c r="AB10" i="27"/>
  <c r="AB16" i="27" s="1"/>
  <c r="X202" i="32"/>
  <c r="AE89" i="19"/>
  <c r="O135" i="32"/>
  <c r="I161" i="19"/>
  <c r="U127" i="20"/>
  <c r="X77" i="19"/>
  <c r="X83" i="19" s="1"/>
  <c r="W219" i="27"/>
  <c r="W225" i="27" s="1"/>
  <c r="AF54" i="19"/>
  <c r="AF9" i="52" s="1"/>
  <c r="AF60" i="52" s="1"/>
  <c r="AF26" i="52"/>
  <c r="Y123" i="19"/>
  <c r="V40" i="26"/>
  <c r="V46" i="26" s="1"/>
  <c r="V52" i="26" s="1"/>
  <c r="V58" i="26" s="1"/>
  <c r="V6" i="26"/>
  <c r="V12" i="26" s="1"/>
  <c r="V18" i="26" s="1"/>
  <c r="V24" i="26" s="1"/>
  <c r="V170" i="26"/>
  <c r="V176" i="26" s="1"/>
  <c r="V182" i="26" s="1"/>
  <c r="V188" i="26" s="1"/>
  <c r="AF107" i="32"/>
  <c r="E43" i="33"/>
  <c r="K40" i="33"/>
  <c r="AI41" i="19"/>
  <c r="L161" i="19"/>
  <c r="E54" i="20"/>
  <c r="E9" i="52" s="1"/>
  <c r="E62" i="52" s="1"/>
  <c r="E26" i="52"/>
  <c r="O159" i="19"/>
  <c r="AI215" i="26"/>
  <c r="AI221" i="26" s="1"/>
  <c r="AB90" i="19"/>
  <c r="P135" i="32"/>
  <c r="P116" i="32"/>
  <c r="P88" i="32"/>
  <c r="P126" i="32"/>
  <c r="P107" i="32"/>
  <c r="P97" i="32"/>
  <c r="M79" i="52"/>
  <c r="P79" i="32"/>
  <c r="M51" i="19"/>
  <c r="M125" i="19" s="1"/>
  <c r="S160" i="20"/>
  <c r="AK154" i="26"/>
  <c r="AK160" i="26" s="1"/>
  <c r="AK83" i="26"/>
  <c r="AK89" i="26" s="1"/>
  <c r="AK45" i="19"/>
  <c r="K120" i="26"/>
  <c r="K126" i="26" s="1"/>
  <c r="K219" i="26"/>
  <c r="K225" i="26" s="1"/>
  <c r="K42" i="19"/>
  <c r="Q89" i="19"/>
  <c r="Z122" i="19"/>
  <c r="AB175" i="27"/>
  <c r="AB181" i="27" s="1"/>
  <c r="AB187" i="27" s="1"/>
  <c r="AB193" i="27" s="1"/>
  <c r="AB203" i="27"/>
  <c r="AB209" i="27" s="1"/>
  <c r="AB38" i="27"/>
  <c r="AB44" i="27" s="1"/>
  <c r="AB50" i="27" s="1"/>
  <c r="AB56" i="27" s="1"/>
  <c r="AF124" i="32"/>
  <c r="AF105" i="32"/>
  <c r="AF86" i="32"/>
  <c r="AF114" i="32"/>
  <c r="AC49" i="19"/>
  <c r="AC87" i="19" s="1"/>
  <c r="AC77" i="52"/>
  <c r="AF77" i="32"/>
  <c r="AF133" i="32"/>
  <c r="AF95" i="32"/>
  <c r="J135" i="32"/>
  <c r="AC89" i="19"/>
  <c r="O166" i="26"/>
  <c r="O67" i="26"/>
  <c r="O133" i="26"/>
  <c r="O100" i="26"/>
  <c r="O34" i="26"/>
  <c r="O232" i="26"/>
  <c r="O199" i="26"/>
  <c r="O163" i="19"/>
  <c r="O127" i="19"/>
  <c r="X217" i="26"/>
  <c r="X223" i="26" s="1"/>
  <c r="AA132" i="26"/>
  <c r="AA59" i="52"/>
  <c r="AA198" i="26"/>
  <c r="AA33" i="26"/>
  <c r="AA165" i="26"/>
  <c r="AA66" i="26"/>
  <c r="AA99" i="26"/>
  <c r="AA231" i="26"/>
  <c r="AA7" i="52"/>
  <c r="X113" i="19"/>
  <c r="X119" i="19" s="1"/>
  <c r="AI85" i="26"/>
  <c r="AI91" i="26" s="1"/>
  <c r="Y77" i="52"/>
  <c r="Y49" i="19"/>
  <c r="AB77" i="32"/>
  <c r="AB105" i="32"/>
  <c r="AB124" i="32"/>
  <c r="AB114" i="32"/>
  <c r="AB133" i="32"/>
  <c r="AB86" i="32"/>
  <c r="AB95" i="32"/>
  <c r="AI84" i="26"/>
  <c r="AI90" i="26" s="1"/>
  <c r="V207" i="26"/>
  <c r="V213" i="26" s="1"/>
  <c r="V219" i="26" s="1"/>
  <c r="V225" i="26" s="1"/>
  <c r="V42" i="26"/>
  <c r="V48" i="26" s="1"/>
  <c r="V54" i="26" s="1"/>
  <c r="V60" i="26" s="1"/>
  <c r="V26" i="19"/>
  <c r="V33" i="19" s="1"/>
  <c r="V41" i="19" s="1"/>
  <c r="AF79" i="32"/>
  <c r="D87" i="19"/>
  <c r="R47" i="19"/>
  <c r="R48" i="19"/>
  <c r="U132" i="32"/>
  <c r="U94" i="32"/>
  <c r="U76" i="32"/>
  <c r="U85" i="32"/>
  <c r="R76" i="52"/>
  <c r="U104" i="32"/>
  <c r="U113" i="32"/>
  <c r="U123" i="32"/>
  <c r="R93" i="19"/>
  <c r="AI187" i="26"/>
  <c r="AI193" i="26" s="1"/>
  <c r="AB81" i="52"/>
  <c r="AE90" i="32"/>
  <c r="AE81" i="32"/>
  <c r="AB53" i="19"/>
  <c r="AB91" i="19" s="1"/>
  <c r="AE109" i="32"/>
  <c r="AE128" i="32"/>
  <c r="AE99" i="32"/>
  <c r="AE118" i="32"/>
  <c r="AE137" i="32"/>
  <c r="P81" i="32"/>
  <c r="P137" i="32"/>
  <c r="M81" i="52"/>
  <c r="P90" i="32"/>
  <c r="P118" i="32"/>
  <c r="P109" i="32"/>
  <c r="P128" i="32"/>
  <c r="M53" i="19"/>
  <c r="P99" i="32"/>
  <c r="AN90" i="19"/>
  <c r="G179" i="32"/>
  <c r="D40" i="27"/>
  <c r="D46" i="27" s="1"/>
  <c r="D206" i="27"/>
  <c r="D212" i="27" s="1"/>
  <c r="D105" i="27"/>
  <c r="D111" i="27" s="1"/>
  <c r="D208" i="27"/>
  <c r="D214" i="27" s="1"/>
  <c r="D74" i="27"/>
  <c r="D80" i="27" s="1"/>
  <c r="D29" i="20"/>
  <c r="D36" i="20" s="1"/>
  <c r="D75" i="27"/>
  <c r="D81" i="27" s="1"/>
  <c r="D170" i="27"/>
  <c r="D176" i="27" s="1"/>
  <c r="D63" i="20"/>
  <c r="D69" i="20" s="1"/>
  <c r="D8" i="27"/>
  <c r="D14" i="27" s="1"/>
  <c r="D16" i="20"/>
  <c r="D28" i="20" s="1"/>
  <c r="D35" i="20" s="1"/>
  <c r="D10" i="27"/>
  <c r="D16" i="27" s="1"/>
  <c r="D5" i="27"/>
  <c r="D11" i="27" s="1"/>
  <c r="D108" i="27"/>
  <c r="D114" i="27" s="1"/>
  <c r="D31" i="20"/>
  <c r="D38" i="20" s="1"/>
  <c r="D140" i="27"/>
  <c r="D146" i="27" s="1"/>
  <c r="D172" i="27"/>
  <c r="D178" i="27" s="1"/>
  <c r="D136" i="20"/>
  <c r="D142" i="20" s="1"/>
  <c r="D64" i="20"/>
  <c r="D70" i="20" s="1"/>
  <c r="D101" i="20"/>
  <c r="D107" i="20" s="1"/>
  <c r="D65" i="20"/>
  <c r="D71" i="20" s="1"/>
  <c r="D7" i="27"/>
  <c r="D13" i="27" s="1"/>
  <c r="D38" i="27"/>
  <c r="D44" i="27" s="1"/>
  <c r="D99" i="20"/>
  <c r="D105" i="20" s="1"/>
  <c r="D134" i="20"/>
  <c r="D140" i="20" s="1"/>
  <c r="D128" i="20"/>
  <c r="D130" i="20" s="1"/>
  <c r="AK20" i="26"/>
  <c r="AK26" i="26" s="1"/>
  <c r="AK18" i="26"/>
  <c r="AK24" i="26" s="1"/>
  <c r="AK76" i="19"/>
  <c r="AK82" i="19" s="1"/>
  <c r="K77" i="19"/>
  <c r="K83" i="19" s="1"/>
  <c r="K119" i="26"/>
  <c r="K125" i="26" s="1"/>
  <c r="K43" i="19"/>
  <c r="K16" i="20"/>
  <c r="K40" i="27" s="1"/>
  <c r="K46" i="27" s="1"/>
  <c r="K107" i="27"/>
  <c r="K113" i="27" s="1"/>
  <c r="K138" i="27"/>
  <c r="K144" i="27" s="1"/>
  <c r="K141" i="27"/>
  <c r="K147" i="27" s="1"/>
  <c r="K41" i="27"/>
  <c r="K47" i="27" s="1"/>
  <c r="K204" i="27"/>
  <c r="K210" i="27" s="1"/>
  <c r="K6" i="27"/>
  <c r="K12" i="27" s="1"/>
  <c r="K10" i="27"/>
  <c r="K16" i="27" s="1"/>
  <c r="K104" i="27"/>
  <c r="K110" i="27" s="1"/>
  <c r="K103" i="20"/>
  <c r="K109" i="20" s="1"/>
  <c r="K137" i="27"/>
  <c r="K143" i="27" s="1"/>
  <c r="K7" i="27"/>
  <c r="K13" i="27" s="1"/>
  <c r="K139" i="20"/>
  <c r="K145" i="20" s="1"/>
  <c r="K109" i="27"/>
  <c r="K115" i="27" s="1"/>
  <c r="K72" i="27"/>
  <c r="K78" i="27" s="1"/>
  <c r="N179" i="32"/>
  <c r="K63" i="20"/>
  <c r="K69" i="20" s="1"/>
  <c r="K208" i="27"/>
  <c r="K214" i="27" s="1"/>
  <c r="K128" i="20"/>
  <c r="K130" i="20" s="1"/>
  <c r="U54" i="19"/>
  <c r="U9" i="52" s="1"/>
  <c r="U64" i="52" s="1"/>
  <c r="U26" i="52"/>
  <c r="AK108" i="32"/>
  <c r="AD99" i="27"/>
  <c r="AD231" i="27"/>
  <c r="AD198" i="27"/>
  <c r="AD165" i="27"/>
  <c r="AD132" i="27"/>
  <c r="AD66" i="27"/>
  <c r="AD33" i="27"/>
  <c r="AD65" i="52"/>
  <c r="AD126" i="20"/>
  <c r="AD162" i="20"/>
  <c r="AD90" i="20"/>
  <c r="X216" i="26"/>
  <c r="X222" i="26" s="1"/>
  <c r="U199" i="27"/>
  <c r="U34" i="27"/>
  <c r="U100" i="27"/>
  <c r="U232" i="27"/>
  <c r="U133" i="27"/>
  <c r="U166" i="27"/>
  <c r="U67" i="27"/>
  <c r="X43" i="19"/>
  <c r="AB141" i="27"/>
  <c r="AB147" i="27" s="1"/>
  <c r="AB153" i="27" s="1"/>
  <c r="AB159" i="27" s="1"/>
  <c r="AB108" i="27"/>
  <c r="AB114" i="27" s="1"/>
  <c r="AB75" i="27"/>
  <c r="AB81" i="27" s="1"/>
  <c r="AB87" i="27" s="1"/>
  <c r="AB93" i="27" s="1"/>
  <c r="X146" i="19"/>
  <c r="X152" i="19" s="1"/>
  <c r="W120" i="27"/>
  <c r="W126" i="27" s="1"/>
  <c r="X78" i="19"/>
  <c r="X84" i="19" s="1"/>
  <c r="X90" i="19" s="1"/>
  <c r="X51" i="26"/>
  <c r="X57" i="26" s="1"/>
  <c r="AF128" i="26"/>
  <c r="AF227" i="26"/>
  <c r="AF194" i="26"/>
  <c r="AF161" i="26"/>
  <c r="AF29" i="26"/>
  <c r="AF62" i="26"/>
  <c r="AF55" i="52"/>
  <c r="AF95" i="26"/>
  <c r="AF3" i="52"/>
  <c r="AF86" i="19"/>
  <c r="AF122" i="19"/>
  <c r="AF158" i="19"/>
  <c r="AA122" i="19"/>
  <c r="V134" i="19"/>
  <c r="V140" i="19" s="1"/>
  <c r="V146" i="19" s="1"/>
  <c r="V152" i="19" s="1"/>
  <c r="V172" i="26"/>
  <c r="V178" i="26" s="1"/>
  <c r="V184" i="26" s="1"/>
  <c r="V190" i="26" s="1"/>
  <c r="V30" i="19"/>
  <c r="V37" i="19" s="1"/>
  <c r="V45" i="19" s="1"/>
  <c r="Q150" i="26"/>
  <c r="Q156" i="26" s="1"/>
  <c r="E122" i="20"/>
  <c r="AI18" i="26"/>
  <c r="AI24" i="26" s="1"/>
  <c r="P126" i="19"/>
  <c r="M89" i="19"/>
  <c r="Q42" i="19"/>
  <c r="AN159" i="19"/>
  <c r="AF115" i="32"/>
  <c r="V181" i="32"/>
  <c r="S82" i="52"/>
  <c r="S47" i="20"/>
  <c r="S54" i="20" s="1"/>
  <c r="V153" i="32"/>
  <c r="V200" i="32"/>
  <c r="V191" i="32"/>
  <c r="V144" i="32"/>
  <c r="V172" i="32"/>
  <c r="V162" i="32"/>
  <c r="S48" i="20"/>
  <c r="S158" i="20" s="1"/>
  <c r="T79" i="32"/>
  <c r="T135" i="32"/>
  <c r="T126" i="32"/>
  <c r="T88" i="32"/>
  <c r="Q79" i="52"/>
  <c r="T97" i="32"/>
  <c r="T107" i="32"/>
  <c r="Q51" i="19"/>
  <c r="AK138" i="19"/>
  <c r="AK144" i="19" s="1"/>
  <c r="AK150" i="19" s="1"/>
  <c r="AK156" i="19" s="1"/>
  <c r="AK43" i="26"/>
  <c r="AK49" i="26" s="1"/>
  <c r="AK55" i="26" s="1"/>
  <c r="AK61" i="26" s="1"/>
  <c r="AK17" i="19"/>
  <c r="AK19" i="19" s="1"/>
  <c r="K110" i="19"/>
  <c r="K116" i="19" s="1"/>
  <c r="K182" i="26"/>
  <c r="K188" i="26" s="1"/>
  <c r="K150" i="19"/>
  <c r="K156" i="19" s="1"/>
  <c r="U95" i="26"/>
  <c r="U227" i="26"/>
  <c r="U161" i="26"/>
  <c r="U194" i="26"/>
  <c r="U128" i="26"/>
  <c r="U29" i="26"/>
  <c r="U62" i="26"/>
  <c r="U3" i="52"/>
  <c r="U86" i="19"/>
  <c r="U122" i="19"/>
  <c r="U158" i="19"/>
  <c r="X110" i="19"/>
  <c r="X116" i="19" s="1"/>
  <c r="J13" i="20"/>
  <c r="M198" i="32" s="1"/>
  <c r="J23" i="20"/>
  <c r="X85" i="26"/>
  <c r="X91" i="26" s="1"/>
  <c r="AB172" i="27"/>
  <c r="AB178" i="27" s="1"/>
  <c r="AB184" i="27" s="1"/>
  <c r="AB190" i="27" s="1"/>
  <c r="AB135" i="20"/>
  <c r="AB141" i="20" s="1"/>
  <c r="AB140" i="27"/>
  <c r="AB146" i="27" s="1"/>
  <c r="I97" i="26"/>
  <c r="I229" i="26"/>
  <c r="I196" i="26"/>
  <c r="I163" i="26"/>
  <c r="I64" i="26"/>
  <c r="I130" i="26"/>
  <c r="I31" i="26"/>
  <c r="I124" i="19"/>
  <c r="X147" i="19"/>
  <c r="X153" i="19" s="1"/>
  <c r="X159" i="19" s="1"/>
  <c r="O123" i="19"/>
  <c r="G65" i="26"/>
  <c r="G230" i="26"/>
  <c r="G164" i="26"/>
  <c r="G131" i="26"/>
  <c r="G98" i="26"/>
  <c r="G197" i="26"/>
  <c r="G32" i="26"/>
  <c r="G6" i="52"/>
  <c r="AC98" i="32"/>
  <c r="Z80" i="52"/>
  <c r="AC108" i="32"/>
  <c r="AC127" i="32"/>
  <c r="AC80" i="32"/>
  <c r="AC117" i="32"/>
  <c r="AC136" i="32"/>
  <c r="Z52" i="19"/>
  <c r="AC89" i="32"/>
  <c r="D160" i="19"/>
  <c r="L95" i="26"/>
  <c r="L227" i="26"/>
  <c r="L161" i="26"/>
  <c r="L128" i="26"/>
  <c r="L62" i="26"/>
  <c r="L194" i="26"/>
  <c r="L29" i="26"/>
  <c r="L55" i="52"/>
  <c r="L3" i="52"/>
  <c r="Y160" i="19"/>
  <c r="G128" i="32"/>
  <c r="G109" i="32"/>
  <c r="G118" i="32"/>
  <c r="G137" i="32"/>
  <c r="G99" i="32"/>
  <c r="D53" i="19"/>
  <c r="D91" i="19" s="1"/>
  <c r="G90" i="32"/>
  <c r="D81" i="52"/>
  <c r="G81" i="32"/>
  <c r="V66" i="19"/>
  <c r="V72" i="19" s="1"/>
  <c r="V78" i="19" s="1"/>
  <c r="V84" i="19" s="1"/>
  <c r="V67" i="19"/>
  <c r="V73" i="19" s="1"/>
  <c r="V79" i="19" s="1"/>
  <c r="V85" i="19" s="1"/>
  <c r="V208" i="26"/>
  <c r="V214" i="26" s="1"/>
  <c r="V220" i="26" s="1"/>
  <c r="V226" i="26" s="1"/>
  <c r="Q219" i="26"/>
  <c r="Q225" i="26" s="1"/>
  <c r="AE79" i="32"/>
  <c r="AB79" i="52"/>
  <c r="AE135" i="32"/>
  <c r="AE116" i="32"/>
  <c r="AE88" i="32"/>
  <c r="AE107" i="32"/>
  <c r="AE126" i="32"/>
  <c r="AB51" i="19"/>
  <c r="AB89" i="19" s="1"/>
  <c r="AE97" i="32"/>
  <c r="AC228" i="27"/>
  <c r="AC195" i="27"/>
  <c r="AC162" i="27"/>
  <c r="AC129" i="27"/>
  <c r="AC96" i="27"/>
  <c r="AC63" i="27"/>
  <c r="AC30" i="27"/>
  <c r="AC87" i="20"/>
  <c r="AC123" i="20"/>
  <c r="AI74" i="19"/>
  <c r="AI80" i="19" s="1"/>
  <c r="M78" i="52"/>
  <c r="P134" i="32"/>
  <c r="P106" i="32"/>
  <c r="P87" i="32"/>
  <c r="P96" i="32"/>
  <c r="P115" i="32"/>
  <c r="P78" i="32"/>
  <c r="P125" i="32"/>
  <c r="M50" i="19"/>
  <c r="M160" i="19" s="1"/>
  <c r="P76" i="52"/>
  <c r="S113" i="32"/>
  <c r="S123" i="32"/>
  <c r="S132" i="32"/>
  <c r="S104" i="32"/>
  <c r="S94" i="32"/>
  <c r="S85" i="32"/>
  <c r="P47" i="19"/>
  <c r="S76" i="32"/>
  <c r="P48" i="19"/>
  <c r="P158" i="19" s="1"/>
  <c r="P93" i="19"/>
  <c r="W151" i="20"/>
  <c r="W157" i="20" s="1"/>
  <c r="W163" i="20" s="1"/>
  <c r="AD106" i="32"/>
  <c r="Q83" i="26"/>
  <c r="Q89" i="26" s="1"/>
  <c r="AN123" i="19"/>
  <c r="AF87" i="32"/>
  <c r="W161" i="20"/>
  <c r="AB19" i="27"/>
  <c r="AB25" i="27" s="1"/>
  <c r="AB79" i="20"/>
  <c r="AB85" i="20" s="1"/>
  <c r="AB52" i="27"/>
  <c r="AB58" i="27" s="1"/>
  <c r="W91" i="20"/>
  <c r="AG63" i="26"/>
  <c r="AG228" i="26"/>
  <c r="AG195" i="26"/>
  <c r="AG162" i="26"/>
  <c r="AG96" i="26"/>
  <c r="AG129" i="26"/>
  <c r="AG30" i="26"/>
  <c r="AG4" i="52"/>
  <c r="I163" i="19"/>
  <c r="V105" i="26"/>
  <c r="V111" i="26" s="1"/>
  <c r="V117" i="26" s="1"/>
  <c r="V123" i="26" s="1"/>
  <c r="V104" i="26"/>
  <c r="V110" i="26" s="1"/>
  <c r="V116" i="26" s="1"/>
  <c r="V122" i="26" s="1"/>
  <c r="V164" i="19"/>
  <c r="V166" i="19" s="1"/>
  <c r="P88" i="19"/>
  <c r="R125" i="19"/>
  <c r="O87" i="32"/>
  <c r="Q152" i="26"/>
  <c r="Q158" i="26" s="1"/>
  <c r="M123" i="19"/>
  <c r="AG164" i="26"/>
  <c r="AG197" i="26"/>
  <c r="AG230" i="26"/>
  <c r="AG98" i="26"/>
  <c r="AG131" i="26"/>
  <c r="AG65" i="26"/>
  <c r="AG32" i="26"/>
  <c r="AG6" i="52"/>
  <c r="X87" i="26"/>
  <c r="X93" i="26" s="1"/>
  <c r="AA196" i="26"/>
  <c r="AA130" i="26"/>
  <c r="AA163" i="26"/>
  <c r="AA31" i="26"/>
  <c r="AA229" i="26"/>
  <c r="AA97" i="26"/>
  <c r="AA57" i="52"/>
  <c r="AA64" i="26"/>
  <c r="AA5" i="52"/>
  <c r="Y127" i="19"/>
  <c r="AN122" i="19"/>
  <c r="P131" i="32"/>
  <c r="P28" i="34" s="1"/>
  <c r="P42" i="34" s="1"/>
  <c r="P121" i="32"/>
  <c r="P122" i="32" s="1"/>
  <c r="P29" i="34" s="1"/>
  <c r="P43" i="34" s="1"/>
  <c r="AN162" i="19"/>
  <c r="AC130" i="26"/>
  <c r="AC64" i="26"/>
  <c r="AC97" i="26"/>
  <c r="AC196" i="26"/>
  <c r="AC163" i="26"/>
  <c r="AC31" i="26"/>
  <c r="AC229" i="26"/>
  <c r="AC5" i="52"/>
  <c r="S43" i="27"/>
  <c r="S49" i="27" s="1"/>
  <c r="S55" i="27" s="1"/>
  <c r="S61" i="27" s="1"/>
  <c r="S6" i="27"/>
  <c r="S12" i="27" s="1"/>
  <c r="S18" i="27" s="1"/>
  <c r="S24" i="27" s="1"/>
  <c r="S72" i="27"/>
  <c r="S78" i="27" s="1"/>
  <c r="S84" i="27" s="1"/>
  <c r="S90" i="27" s="1"/>
  <c r="J195" i="26"/>
  <c r="J162" i="26"/>
  <c r="J129" i="26"/>
  <c r="J63" i="26"/>
  <c r="J96" i="26"/>
  <c r="J30" i="26"/>
  <c r="J228" i="26"/>
  <c r="S124" i="19"/>
  <c r="D13" i="20"/>
  <c r="G198" i="32" s="1"/>
  <c r="D23" i="20"/>
  <c r="AK134" i="19"/>
  <c r="AK140" i="19" s="1"/>
  <c r="AK146" i="19" s="1"/>
  <c r="AK152" i="19" s="1"/>
  <c r="AK140" i="26"/>
  <c r="AK146" i="26" s="1"/>
  <c r="AK152" i="26" s="1"/>
  <c r="AK158" i="26" s="1"/>
  <c r="AK32" i="19"/>
  <c r="AK39" i="19" s="1"/>
  <c r="AK40" i="19" s="1"/>
  <c r="K53" i="26"/>
  <c r="K59" i="26" s="1"/>
  <c r="K149" i="19"/>
  <c r="K155" i="19" s="1"/>
  <c r="K75" i="19"/>
  <c r="K81" i="19" s="1"/>
  <c r="I54" i="19"/>
  <c r="K13" i="20"/>
  <c r="N198" i="32" s="1"/>
  <c r="K23" i="20"/>
  <c r="AE86" i="19"/>
  <c r="X154" i="26"/>
  <c r="X160" i="26" s="1"/>
  <c r="W158" i="20"/>
  <c r="S126" i="19"/>
  <c r="J7" i="27"/>
  <c r="J13" i="27" s="1"/>
  <c r="J136" i="20"/>
  <c r="J142" i="20" s="1"/>
  <c r="J108" i="27"/>
  <c r="J114" i="27" s="1"/>
  <c r="J138" i="27"/>
  <c r="J144" i="27" s="1"/>
  <c r="M179" i="32"/>
  <c r="J204" i="27"/>
  <c r="J210" i="27" s="1"/>
  <c r="J74" i="27"/>
  <c r="J80" i="27" s="1"/>
  <c r="J67" i="20"/>
  <c r="J73" i="20" s="1"/>
  <c r="J103" i="20"/>
  <c r="J109" i="20" s="1"/>
  <c r="J139" i="20"/>
  <c r="J145" i="20" s="1"/>
  <c r="J75" i="27"/>
  <c r="J81" i="27" s="1"/>
  <c r="J174" i="27"/>
  <c r="J180" i="27" s="1"/>
  <c r="J8" i="27"/>
  <c r="J14" i="27" s="1"/>
  <c r="J203" i="27"/>
  <c r="J209" i="27" s="1"/>
  <c r="J137" i="20"/>
  <c r="J143" i="20" s="1"/>
  <c r="J16" i="20"/>
  <c r="J41" i="27" s="1"/>
  <c r="J47" i="27" s="1"/>
  <c r="J39" i="27"/>
  <c r="J45" i="27" s="1"/>
  <c r="J128" i="20"/>
  <c r="J130" i="20" s="1"/>
  <c r="W218" i="27"/>
  <c r="W224" i="27" s="1"/>
  <c r="AB137" i="27"/>
  <c r="AB143" i="27" s="1"/>
  <c r="AB149" i="27" s="1"/>
  <c r="AB155" i="27" s="1"/>
  <c r="AB71" i="27"/>
  <c r="AB77" i="27" s="1"/>
  <c r="AB83" i="27" s="1"/>
  <c r="AB89" i="27" s="1"/>
  <c r="AE170" i="32"/>
  <c r="AE171" i="32" s="1"/>
  <c r="AG20" i="34" s="1"/>
  <c r="AG34" i="34" s="1"/>
  <c r="AE180" i="32"/>
  <c r="AG19" i="34" s="1"/>
  <c r="AG33" i="34" s="1"/>
  <c r="AH126" i="19"/>
  <c r="X186" i="26"/>
  <c r="X192" i="26" s="1"/>
  <c r="W183" i="27"/>
  <c r="W189" i="27" s="1"/>
  <c r="AE159" i="19"/>
  <c r="J116" i="32"/>
  <c r="W216" i="27"/>
  <c r="W222" i="27" s="1"/>
  <c r="U162" i="20"/>
  <c r="O95" i="32"/>
  <c r="Q154" i="26"/>
  <c r="Q160" i="26" s="1"/>
  <c r="V76" i="26"/>
  <c r="V82" i="26" s="1"/>
  <c r="V88" i="26" s="1"/>
  <c r="V94" i="26" s="1"/>
  <c r="V71" i="26"/>
  <c r="V77" i="26" s="1"/>
  <c r="V83" i="26" s="1"/>
  <c r="V89" i="26" s="1"/>
  <c r="R158" i="19"/>
  <c r="AI217" i="26"/>
  <c r="AI223" i="26" s="1"/>
  <c r="AJ142" i="26"/>
  <c r="AJ148" i="26" s="1"/>
  <c r="AJ128" i="19"/>
  <c r="AJ130" i="19" s="1"/>
  <c r="AJ100" i="19"/>
  <c r="AJ106" i="19" s="1"/>
  <c r="AJ16" i="19"/>
  <c r="AJ17" i="19" s="1"/>
  <c r="AJ19" i="19" s="1"/>
  <c r="AM111" i="32"/>
  <c r="AJ27" i="19"/>
  <c r="AJ34" i="19" s="1"/>
  <c r="AJ62" i="19"/>
  <c r="AJ68" i="19" s="1"/>
  <c r="AJ140" i="26"/>
  <c r="AJ146" i="26" s="1"/>
  <c r="AJ5" i="26"/>
  <c r="AJ11" i="26" s="1"/>
  <c r="AJ101" i="19"/>
  <c r="AJ107" i="19" s="1"/>
  <c r="AJ26" i="19"/>
  <c r="AJ33" i="19" s="1"/>
  <c r="AJ173" i="26"/>
  <c r="AJ179" i="26" s="1"/>
  <c r="AI184" i="26"/>
  <c r="AI190" i="26" s="1"/>
  <c r="L133" i="26"/>
  <c r="L67" i="26"/>
  <c r="L199" i="26"/>
  <c r="L60" i="52"/>
  <c r="L232" i="26"/>
  <c r="L166" i="26"/>
  <c r="L100" i="26"/>
  <c r="L34" i="26"/>
  <c r="L8" i="52"/>
  <c r="AN163" i="19"/>
  <c r="AI55" i="26"/>
  <c r="AI61" i="26" s="1"/>
  <c r="W125" i="20"/>
  <c r="AG163" i="26"/>
  <c r="AG130" i="26"/>
  <c r="AG97" i="26"/>
  <c r="AG64" i="26"/>
  <c r="AG31" i="26"/>
  <c r="AG229" i="26"/>
  <c r="AG196" i="26"/>
  <c r="AG57" i="52"/>
  <c r="AG5" i="52"/>
  <c r="AB17" i="27"/>
  <c r="AB23" i="27" s="1"/>
  <c r="AC123" i="19"/>
  <c r="V6" i="20"/>
  <c r="V12" i="20"/>
  <c r="V15" i="20"/>
  <c r="V18" i="20"/>
  <c r="W86" i="20"/>
  <c r="Z49" i="19"/>
  <c r="Z159" i="19" s="1"/>
  <c r="Z77" i="52"/>
  <c r="AC77" i="32"/>
  <c r="AC114" i="32"/>
  <c r="AC95" i="32"/>
  <c r="AC133" i="32"/>
  <c r="AC86" i="32"/>
  <c r="AC105" i="32"/>
  <c r="AC124" i="32"/>
  <c r="O114" i="32"/>
  <c r="AE122" i="19"/>
  <c r="AE86" i="32"/>
  <c r="AE77" i="32"/>
  <c r="AB77" i="52"/>
  <c r="AE105" i="32"/>
  <c r="AB49" i="19"/>
  <c r="AE95" i="32"/>
  <c r="AE133" i="32"/>
  <c r="AE124" i="32"/>
  <c r="AE114" i="32"/>
  <c r="Y122" i="19"/>
  <c r="V99" i="19"/>
  <c r="V105" i="19" s="1"/>
  <c r="V111" i="19" s="1"/>
  <c r="V117" i="19" s="1"/>
  <c r="V173" i="26"/>
  <c r="V179" i="26" s="1"/>
  <c r="V185" i="26" s="1"/>
  <c r="V191" i="26" s="1"/>
  <c r="V138" i="26"/>
  <c r="V144" i="26" s="1"/>
  <c r="V150" i="26" s="1"/>
  <c r="V156" i="26" s="1"/>
  <c r="AH230" i="26"/>
  <c r="AH98" i="26"/>
  <c r="AH32" i="26"/>
  <c r="AH65" i="26"/>
  <c r="AH197" i="26"/>
  <c r="AH164" i="26"/>
  <c r="AH131" i="26"/>
  <c r="AC197" i="26"/>
  <c r="AC98" i="26"/>
  <c r="AC230" i="26"/>
  <c r="AC65" i="26"/>
  <c r="AC164" i="26"/>
  <c r="AC131" i="26"/>
  <c r="AC32" i="26"/>
  <c r="AC6" i="52"/>
  <c r="R159" i="19"/>
  <c r="AD163" i="20"/>
  <c r="Y79" i="52"/>
  <c r="AB88" i="32"/>
  <c r="AB135" i="32"/>
  <c r="AB116" i="32"/>
  <c r="AB126" i="32"/>
  <c r="AB97" i="32"/>
  <c r="Y51" i="19"/>
  <c r="AB79" i="32"/>
  <c r="AB107" i="32"/>
  <c r="Q79" i="19"/>
  <c r="Q85" i="19" s="1"/>
  <c r="AN158" i="19"/>
  <c r="W124" i="20"/>
  <c r="AK116" i="26"/>
  <c r="AK122" i="26" s="1"/>
  <c r="AK78" i="19"/>
  <c r="AK84" i="19" s="1"/>
  <c r="AK44" i="19"/>
  <c r="K149" i="26"/>
  <c r="K155" i="26" s="1"/>
  <c r="K51" i="26"/>
  <c r="K57" i="26" s="1"/>
  <c r="K151" i="19"/>
  <c r="K157" i="19" s="1"/>
  <c r="Z13" i="20"/>
  <c r="AC198" i="32" s="1"/>
  <c r="Z23" i="20"/>
  <c r="I227" i="26"/>
  <c r="I194" i="26"/>
  <c r="I62" i="26"/>
  <c r="I161" i="26"/>
  <c r="I128" i="26"/>
  <c r="I95" i="26"/>
  <c r="I29" i="26"/>
  <c r="U5" i="52"/>
  <c r="AF128" i="32"/>
  <c r="AF90" i="32"/>
  <c r="AF99" i="32"/>
  <c r="AF109" i="32"/>
  <c r="AF137" i="32"/>
  <c r="AF81" i="32"/>
  <c r="AF118" i="32"/>
  <c r="AC81" i="52"/>
  <c r="AC53" i="19"/>
  <c r="AC91" i="19" s="1"/>
  <c r="X149" i="32"/>
  <c r="AH160" i="19"/>
  <c r="AB31" i="20"/>
  <c r="AB38" i="20" s="1"/>
  <c r="AB46" i="20" s="1"/>
  <c r="AB32" i="20"/>
  <c r="AB39" i="20" s="1"/>
  <c r="AB40" i="20" s="1"/>
  <c r="AB173" i="27"/>
  <c r="AB179" i="27" s="1"/>
  <c r="AB185" i="27" s="1"/>
  <c r="AB191" i="27" s="1"/>
  <c r="P13" i="20"/>
  <c r="S198" i="32" s="1"/>
  <c r="P23" i="20"/>
  <c r="AE158" i="19"/>
  <c r="U124" i="20"/>
  <c r="Y125" i="19"/>
  <c r="G97" i="32"/>
  <c r="D79" i="52"/>
  <c r="D51" i="19"/>
  <c r="G116" i="32"/>
  <c r="G135" i="32"/>
  <c r="G107" i="32"/>
  <c r="G126" i="32"/>
  <c r="G79" i="32"/>
  <c r="G88" i="32"/>
  <c r="P87" i="19"/>
  <c r="AB125" i="19"/>
  <c r="Q120" i="26"/>
  <c r="Q126" i="26" s="1"/>
  <c r="V106" i="26"/>
  <c r="V112" i="26" s="1"/>
  <c r="V118" i="26" s="1"/>
  <c r="V124" i="26" s="1"/>
  <c r="V100" i="19"/>
  <c r="V106" i="19" s="1"/>
  <c r="V112" i="19" s="1"/>
  <c r="V118" i="19" s="1"/>
  <c r="V206" i="26"/>
  <c r="V212" i="26" s="1"/>
  <c r="V218" i="26" s="1"/>
  <c r="V224" i="26" s="1"/>
  <c r="AK97" i="32"/>
  <c r="D63" i="26"/>
  <c r="D228" i="26"/>
  <c r="D162" i="26"/>
  <c r="D96" i="26"/>
  <c r="D195" i="26"/>
  <c r="D129" i="26"/>
  <c r="D30" i="26"/>
  <c r="AI54" i="26"/>
  <c r="AI60" i="26" s="1"/>
  <c r="Q217" i="26"/>
  <c r="Q223" i="26" s="1"/>
  <c r="AJ13" i="19"/>
  <c r="AM130" i="32" s="1"/>
  <c r="AJ23" i="19"/>
  <c r="AB123" i="19"/>
  <c r="AB127" i="19"/>
  <c r="AI146" i="19"/>
  <c r="AI152" i="19" s="1"/>
  <c r="Q151" i="19"/>
  <c r="Q157" i="19" s="1"/>
  <c r="AN87" i="19"/>
  <c r="AF78" i="32"/>
  <c r="Z174" i="32"/>
  <c r="W50" i="20"/>
  <c r="Z146" i="32"/>
  <c r="Z164" i="32"/>
  <c r="Z202" i="32"/>
  <c r="Z183" i="32"/>
  <c r="Z193" i="32"/>
  <c r="Z155" i="32"/>
  <c r="W84" i="52"/>
  <c r="S65" i="20"/>
  <c r="S71" i="20" s="1"/>
  <c r="S77" i="20" s="1"/>
  <c r="S83" i="20" s="1"/>
  <c r="S204" i="27"/>
  <c r="S210" i="27" s="1"/>
  <c r="S216" i="27" s="1"/>
  <c r="S222" i="27" s="1"/>
  <c r="Y131" i="32"/>
  <c r="Y28" i="34" s="1"/>
  <c r="Y42" i="34" s="1"/>
  <c r="Y121" i="32"/>
  <c r="Y122" i="32" s="1"/>
  <c r="Y29" i="34" s="1"/>
  <c r="Y43" i="34" s="1"/>
  <c r="W165" i="20"/>
  <c r="AC159" i="19"/>
  <c r="AK137" i="19"/>
  <c r="AK143" i="19" s="1"/>
  <c r="AK149" i="19" s="1"/>
  <c r="AK155" i="19" s="1"/>
  <c r="AK164" i="19"/>
  <c r="AK166" i="19" s="1"/>
  <c r="AK165" i="19" s="1"/>
  <c r="AK73" i="26"/>
  <c r="AK79" i="26" s="1"/>
  <c r="AK85" i="26" s="1"/>
  <c r="AK91" i="26" s="1"/>
  <c r="K88" i="26"/>
  <c r="K94" i="26" s="1"/>
  <c r="K147" i="19"/>
  <c r="K153" i="19" s="1"/>
  <c r="V137" i="32"/>
  <c r="V128" i="32"/>
  <c r="V81" i="32"/>
  <c r="V118" i="32"/>
  <c r="V90" i="32"/>
  <c r="S81" i="52"/>
  <c r="V99" i="32"/>
  <c r="S53" i="19"/>
  <c r="V109" i="32"/>
  <c r="E63" i="52"/>
  <c r="E229" i="27"/>
  <c r="E196" i="27"/>
  <c r="E163" i="27"/>
  <c r="E130" i="27"/>
  <c r="E97" i="27"/>
  <c r="E64" i="27"/>
  <c r="E31" i="27"/>
  <c r="E5" i="52"/>
  <c r="E160" i="20"/>
  <c r="S93" i="20"/>
  <c r="L80" i="52"/>
  <c r="L52" i="19"/>
  <c r="O117" i="32"/>
  <c r="O127" i="32"/>
  <c r="O80" i="32"/>
  <c r="O89" i="32"/>
  <c r="O136" i="32"/>
  <c r="O108" i="32"/>
  <c r="O98" i="32"/>
  <c r="Z126" i="19"/>
  <c r="AB9" i="27"/>
  <c r="AB15" i="27" s="1"/>
  <c r="AB21" i="27" s="1"/>
  <c r="AB27" i="27" s="1"/>
  <c r="AB27" i="20"/>
  <c r="AB34" i="20" s="1"/>
  <c r="AB42" i="20" s="1"/>
  <c r="J127" i="32"/>
  <c r="I127" i="19"/>
  <c r="P16" i="20"/>
  <c r="P64" i="20" s="1"/>
  <c r="P70" i="20" s="1"/>
  <c r="P10" i="27"/>
  <c r="P16" i="27" s="1"/>
  <c r="P104" i="27"/>
  <c r="P110" i="27" s="1"/>
  <c r="P63" i="20"/>
  <c r="P69" i="20" s="1"/>
  <c r="S179" i="32"/>
  <c r="P203" i="27"/>
  <c r="P209" i="27" s="1"/>
  <c r="P138" i="27"/>
  <c r="P144" i="27" s="1"/>
  <c r="P128" i="20"/>
  <c r="P130" i="20" s="1"/>
  <c r="S163" i="19"/>
  <c r="X153" i="26"/>
  <c r="X159" i="26" s="1"/>
  <c r="M6" i="20"/>
  <c r="M12" i="20"/>
  <c r="M15" i="20"/>
  <c r="M18" i="20"/>
  <c r="J87" i="19"/>
  <c r="J137" i="32"/>
  <c r="G81" i="52"/>
  <c r="G53" i="19"/>
  <c r="G91" i="19" s="1"/>
  <c r="J109" i="32"/>
  <c r="J128" i="32"/>
  <c r="J99" i="32"/>
  <c r="J81" i="32"/>
  <c r="J90" i="32"/>
  <c r="J118" i="32"/>
  <c r="G78" i="52"/>
  <c r="J125" i="32"/>
  <c r="J106" i="32"/>
  <c r="J78" i="32"/>
  <c r="J115" i="32"/>
  <c r="J134" i="32"/>
  <c r="G50" i="19"/>
  <c r="J96" i="32"/>
  <c r="J87" i="32"/>
  <c r="O85" i="32"/>
  <c r="Q117" i="26"/>
  <c r="Q123" i="26" s="1"/>
  <c r="V171" i="26"/>
  <c r="V177" i="26" s="1"/>
  <c r="V183" i="26" s="1"/>
  <c r="V189" i="26" s="1"/>
  <c r="V136" i="19"/>
  <c r="V142" i="19" s="1"/>
  <c r="V148" i="19" s="1"/>
  <c r="V154" i="19" s="1"/>
  <c r="AK79" i="32"/>
  <c r="R121" i="26"/>
  <c r="R127" i="26" s="1"/>
  <c r="R187" i="26"/>
  <c r="R193" i="26" s="1"/>
  <c r="M159" i="19"/>
  <c r="AI154" i="26"/>
  <c r="AI160" i="26" s="1"/>
  <c r="Q116" i="26"/>
  <c r="Q122" i="26" s="1"/>
  <c r="AB149" i="26"/>
  <c r="AB155" i="26" s="1"/>
  <c r="AB41" i="19"/>
  <c r="Q215" i="26"/>
  <c r="Q221" i="26" s="1"/>
  <c r="AB76" i="19"/>
  <c r="AB82" i="19" s="1"/>
  <c r="AB88" i="19" s="1"/>
  <c r="Q149" i="19"/>
  <c r="Q155" i="19" s="1"/>
  <c r="Q161" i="19" s="1"/>
  <c r="R152" i="26"/>
  <c r="R158" i="26" s="1"/>
  <c r="AN78" i="52"/>
  <c r="AN50" i="19"/>
  <c r="AN124" i="19" s="1"/>
  <c r="AQ78" i="32"/>
  <c r="AQ115" i="32"/>
  <c r="AQ125" i="32"/>
  <c r="AQ134" i="32"/>
  <c r="AQ96" i="32"/>
  <c r="AQ87" i="32"/>
  <c r="AQ106" i="32"/>
  <c r="E27" i="58"/>
  <c r="E26" i="58"/>
  <c r="E24" i="58"/>
  <c r="E28" i="58"/>
  <c r="E32" i="58"/>
  <c r="E25" i="58"/>
  <c r="E29" i="58"/>
  <c r="E30" i="58"/>
  <c r="H51" i="55" l="1"/>
  <c r="H131" i="36" s="1"/>
  <c r="H39" i="55"/>
  <c r="H62" i="48"/>
  <c r="H67" i="48" s="1"/>
  <c r="H72" i="48" s="1"/>
  <c r="H64" i="48"/>
  <c r="H69" i="48" s="1"/>
  <c r="H74" i="48" s="1"/>
  <c r="H38" i="55"/>
  <c r="H61" i="48"/>
  <c r="H66" i="48" s="1"/>
  <c r="H71" i="48" s="1"/>
  <c r="H63" i="48"/>
  <c r="H68" i="48" s="1"/>
  <c r="H73" i="48" s="1"/>
  <c r="H32" i="47"/>
  <c r="H33" i="47" s="1"/>
  <c r="H34" i="47" s="1"/>
  <c r="H40" i="55"/>
  <c r="H14" i="56"/>
  <c r="H15" i="56" s="1"/>
  <c r="F95" i="52" s="1"/>
  <c r="H35" i="55"/>
  <c r="H36" i="55"/>
  <c r="H37" i="55"/>
  <c r="H65" i="48"/>
  <c r="H70" i="48" s="1"/>
  <c r="H75" i="48" s="1"/>
  <c r="H41" i="55"/>
  <c r="H34" i="55"/>
  <c r="I105" i="11"/>
  <c r="I109" i="11" s="1"/>
  <c r="H24" i="52"/>
  <c r="H100" i="52" s="1"/>
  <c r="T24" i="52"/>
  <c r="T115" i="52" s="1"/>
  <c r="O215" i="27"/>
  <c r="O221" i="27" s="1"/>
  <c r="Z20" i="27"/>
  <c r="Z26" i="27" s="1"/>
  <c r="I141" i="27"/>
  <c r="I147" i="27" s="1"/>
  <c r="I175" i="27"/>
  <c r="I181" i="27" s="1"/>
  <c r="E36" i="33"/>
  <c r="K33" i="33"/>
  <c r="P179" i="32"/>
  <c r="M62" i="20"/>
  <c r="M68" i="20" s="1"/>
  <c r="M137" i="27"/>
  <c r="M143" i="27" s="1"/>
  <c r="M63" i="20"/>
  <c r="M69" i="20" s="1"/>
  <c r="M16" i="20"/>
  <c r="M206" i="27" s="1"/>
  <c r="M212" i="27" s="1"/>
  <c r="M128" i="20"/>
  <c r="M130" i="20" s="1"/>
  <c r="P62" i="20"/>
  <c r="P68" i="20" s="1"/>
  <c r="P135" i="20"/>
  <c r="P141" i="20" s="1"/>
  <c r="P139" i="27"/>
  <c r="P145" i="27" s="1"/>
  <c r="AB228" i="26"/>
  <c r="AB195" i="26"/>
  <c r="AB129" i="26"/>
  <c r="AB96" i="26"/>
  <c r="AB162" i="26"/>
  <c r="AB30" i="26"/>
  <c r="AB63" i="26"/>
  <c r="AB78" i="20"/>
  <c r="AB84" i="20" s="1"/>
  <c r="AJ138" i="19"/>
  <c r="AJ144" i="19" s="1"/>
  <c r="AJ150" i="19" s="1"/>
  <c r="AJ156" i="19" s="1"/>
  <c r="AJ205" i="26"/>
  <c r="AJ211" i="26" s="1"/>
  <c r="AJ217" i="26" s="1"/>
  <c r="AJ223" i="26" s="1"/>
  <c r="AJ73" i="26"/>
  <c r="AJ79" i="26" s="1"/>
  <c r="AJ85" i="26" s="1"/>
  <c r="AJ91" i="26" s="1"/>
  <c r="J164" i="20"/>
  <c r="J166" i="20" s="1"/>
  <c r="J139" i="27"/>
  <c r="J145" i="27" s="1"/>
  <c r="J137" i="27"/>
  <c r="J143" i="27" s="1"/>
  <c r="U66" i="52"/>
  <c r="K71" i="27"/>
  <c r="K77" i="27" s="1"/>
  <c r="K65" i="20"/>
  <c r="K71" i="20" s="1"/>
  <c r="K108" i="27"/>
  <c r="K114" i="27" s="1"/>
  <c r="D107" i="27"/>
  <c r="D113" i="27" s="1"/>
  <c r="D204" i="27"/>
  <c r="D210" i="27" s="1"/>
  <c r="D216" i="27" s="1"/>
  <c r="D222" i="27" s="1"/>
  <c r="D17" i="20"/>
  <c r="D19" i="20" s="1"/>
  <c r="N86" i="32"/>
  <c r="K49" i="19"/>
  <c r="N95" i="32"/>
  <c r="N105" i="32"/>
  <c r="N77" i="32"/>
  <c r="N114" i="32"/>
  <c r="K77" i="52"/>
  <c r="N124" i="32"/>
  <c r="N133" i="32"/>
  <c r="AB111" i="20"/>
  <c r="AB117" i="20" s="1"/>
  <c r="I164" i="20"/>
  <c r="I166" i="20" s="1"/>
  <c r="I137" i="20"/>
  <c r="I143" i="20" s="1"/>
  <c r="I207" i="27"/>
  <c r="I213" i="27" s="1"/>
  <c r="AB219" i="27"/>
  <c r="AB225" i="27" s="1"/>
  <c r="S123" i="19"/>
  <c r="S122" i="20"/>
  <c r="AB43" i="20"/>
  <c r="O137" i="20"/>
  <c r="O143" i="20" s="1"/>
  <c r="O63" i="20"/>
  <c r="O69" i="20" s="1"/>
  <c r="O75" i="20" s="1"/>
  <c r="O81" i="20" s="1"/>
  <c r="O108" i="27"/>
  <c r="O114" i="27" s="1"/>
  <c r="O120" i="27" s="1"/>
  <c r="O126" i="27" s="1"/>
  <c r="X199" i="26"/>
  <c r="X166" i="26"/>
  <c r="X232" i="26"/>
  <c r="X34" i="26"/>
  <c r="X100" i="26"/>
  <c r="X133" i="26"/>
  <c r="X67" i="26"/>
  <c r="X8" i="52"/>
  <c r="AH32" i="20"/>
  <c r="AH39" i="20" s="1"/>
  <c r="AH40" i="20" s="1"/>
  <c r="AH17" i="20"/>
  <c r="AH19" i="20" s="1"/>
  <c r="AH139" i="27"/>
  <c r="AH145" i="27" s="1"/>
  <c r="AH151" i="27" s="1"/>
  <c r="AH157" i="27" s="1"/>
  <c r="AF58" i="52"/>
  <c r="AL139" i="26"/>
  <c r="AL145" i="26" s="1"/>
  <c r="AL64" i="19"/>
  <c r="AL70" i="19" s="1"/>
  <c r="AL76" i="19" s="1"/>
  <c r="AL82" i="19" s="1"/>
  <c r="AL101" i="19"/>
  <c r="AL107" i="19" s="1"/>
  <c r="AB150" i="27"/>
  <c r="AB156" i="27" s="1"/>
  <c r="M54" i="19"/>
  <c r="AM27" i="52"/>
  <c r="AM51" i="52"/>
  <c r="AM53" i="52"/>
  <c r="AM54" i="52"/>
  <c r="AM49" i="52"/>
  <c r="AM50" i="52"/>
  <c r="AM52" i="52"/>
  <c r="AM65" i="52"/>
  <c r="AM63" i="52"/>
  <c r="AM61" i="52"/>
  <c r="AM66" i="52"/>
  <c r="AM62" i="52"/>
  <c r="AM64" i="52"/>
  <c r="AM58" i="52"/>
  <c r="AM59" i="52"/>
  <c r="K46" i="11"/>
  <c r="K48" i="11"/>
  <c r="K58" i="11"/>
  <c r="H135" i="52" s="1"/>
  <c r="K50" i="11"/>
  <c r="H120" i="52" s="1"/>
  <c r="K54" i="11"/>
  <c r="H127" i="52" s="1"/>
  <c r="K63" i="11"/>
  <c r="H130" i="52" s="1"/>
  <c r="K53" i="11"/>
  <c r="K60" i="11"/>
  <c r="H129" i="52" s="1"/>
  <c r="K59" i="11"/>
  <c r="H123" i="52" s="1"/>
  <c r="K52" i="11"/>
  <c r="H133" i="52" s="1"/>
  <c r="K49" i="11"/>
  <c r="K51" i="11"/>
  <c r="H126" i="52" s="1"/>
  <c r="K57" i="11"/>
  <c r="H128" i="52" s="1"/>
  <c r="K47" i="11"/>
  <c r="K62" i="11"/>
  <c r="H124" i="52" s="1"/>
  <c r="K56" i="11"/>
  <c r="H122" i="52" s="1"/>
  <c r="K55" i="11"/>
  <c r="H134" i="52" s="1"/>
  <c r="K61" i="11"/>
  <c r="P165" i="26"/>
  <c r="P99" i="26"/>
  <c r="P33" i="26"/>
  <c r="P231" i="26"/>
  <c r="P198" i="26"/>
  <c r="P132" i="26"/>
  <c r="P66" i="26"/>
  <c r="P90" i="19"/>
  <c r="AB85" i="27"/>
  <c r="AB91" i="27" s="1"/>
  <c r="AA77" i="32"/>
  <c r="S161" i="19"/>
  <c r="Z140" i="27"/>
  <c r="Z146" i="27" s="1"/>
  <c r="Z152" i="27" s="1"/>
  <c r="Z158" i="27" s="1"/>
  <c r="Z139" i="20"/>
  <c r="Z145" i="20" s="1"/>
  <c r="Z76" i="27"/>
  <c r="Z82" i="27" s="1"/>
  <c r="AK121" i="26"/>
  <c r="AK127" i="26" s="1"/>
  <c r="P38" i="27"/>
  <c r="P44" i="27" s="1"/>
  <c r="P43" i="27"/>
  <c r="P49" i="27" s="1"/>
  <c r="P31" i="20"/>
  <c r="P38" i="20" s="1"/>
  <c r="P139" i="20"/>
  <c r="P145" i="20" s="1"/>
  <c r="P174" i="27"/>
  <c r="P180" i="27" s="1"/>
  <c r="AM131" i="32"/>
  <c r="F28" i="34" s="1"/>
  <c r="F42" i="34" s="1"/>
  <c r="AM121" i="32"/>
  <c r="AM122" i="32" s="1"/>
  <c r="F29" i="34" s="1"/>
  <c r="F43" i="34" s="1"/>
  <c r="AJ9" i="26"/>
  <c r="AJ15" i="26" s="1"/>
  <c r="AJ21" i="26" s="1"/>
  <c r="AJ27" i="26" s="1"/>
  <c r="M13" i="20"/>
  <c r="P198" i="32" s="1"/>
  <c r="M23" i="20"/>
  <c r="P9" i="27"/>
  <c r="P15" i="27" s="1"/>
  <c r="P28" i="20"/>
  <c r="P35" i="20" s="1"/>
  <c r="P137" i="20"/>
  <c r="P143" i="20" s="1"/>
  <c r="D32" i="26"/>
  <c r="D197" i="26"/>
  <c r="D98" i="26"/>
  <c r="D131" i="26"/>
  <c r="D164" i="26"/>
  <c r="D65" i="26"/>
  <c r="D230" i="26"/>
  <c r="D161" i="19"/>
  <c r="AJ170" i="26"/>
  <c r="AJ176" i="26" s="1"/>
  <c r="AJ182" i="26" s="1"/>
  <c r="AJ188" i="26" s="1"/>
  <c r="AJ42" i="26"/>
  <c r="AJ48" i="26" s="1"/>
  <c r="AJ54" i="26" s="1"/>
  <c r="AJ60" i="26" s="1"/>
  <c r="AJ139" i="26"/>
  <c r="AJ145" i="26" s="1"/>
  <c r="AJ151" i="26" s="1"/>
  <c r="AJ157" i="26" s="1"/>
  <c r="J142" i="27"/>
  <c r="J148" i="27" s="1"/>
  <c r="J207" i="27"/>
  <c r="J213" i="27" s="1"/>
  <c r="J171" i="27"/>
  <c r="J177" i="27" s="1"/>
  <c r="K39" i="27"/>
  <c r="K45" i="27" s="1"/>
  <c r="K205" i="27"/>
  <c r="K211" i="27" s="1"/>
  <c r="K171" i="27"/>
  <c r="K177" i="27" s="1"/>
  <c r="D71" i="27"/>
  <c r="D77" i="27" s="1"/>
  <c r="D83" i="27" s="1"/>
  <c r="D89" i="27" s="1"/>
  <c r="D66" i="20"/>
  <c r="D72" i="20" s="1"/>
  <c r="D78" i="20" s="1"/>
  <c r="D84" i="20" s="1"/>
  <c r="D137" i="20"/>
  <c r="D143" i="20" s="1"/>
  <c r="D149" i="20" s="1"/>
  <c r="D155" i="20" s="1"/>
  <c r="Y228" i="26"/>
  <c r="Y195" i="26"/>
  <c r="Y96" i="26"/>
  <c r="Y162" i="26"/>
  <c r="Y129" i="26"/>
  <c r="Y30" i="26"/>
  <c r="Y63" i="26"/>
  <c r="Y4" i="52"/>
  <c r="Y87" i="19"/>
  <c r="I102" i="20"/>
  <c r="I108" i="20" s="1"/>
  <c r="I107" i="27"/>
  <c r="I113" i="27" s="1"/>
  <c r="O64" i="20"/>
  <c r="O70" i="20" s="1"/>
  <c r="O5" i="27"/>
  <c r="O11" i="27" s="1"/>
  <c r="O17" i="27" s="1"/>
  <c r="O23" i="27" s="1"/>
  <c r="O137" i="27"/>
  <c r="O143" i="27" s="1"/>
  <c r="O149" i="27" s="1"/>
  <c r="O155" i="27" s="1"/>
  <c r="AH10" i="27"/>
  <c r="AH16" i="27" s="1"/>
  <c r="AH22" i="27" s="1"/>
  <c r="AH28" i="27" s="1"/>
  <c r="AH172" i="27"/>
  <c r="AH178" i="27" s="1"/>
  <c r="AH184" i="27" s="1"/>
  <c r="AH190" i="27" s="1"/>
  <c r="AH139" i="20"/>
  <c r="AH145" i="20" s="1"/>
  <c r="AH151" i="20" s="1"/>
  <c r="AH157" i="20" s="1"/>
  <c r="AL38" i="26"/>
  <c r="AL44" i="26" s="1"/>
  <c r="AL67" i="19"/>
  <c r="AL73" i="19" s="1"/>
  <c r="AL79" i="19" s="1"/>
  <c r="AL85" i="19" s="1"/>
  <c r="AL104" i="26"/>
  <c r="AL110" i="26" s="1"/>
  <c r="AB112" i="20"/>
  <c r="AB118" i="20" s="1"/>
  <c r="P85" i="32"/>
  <c r="AB159" i="19"/>
  <c r="W123" i="20"/>
  <c r="AE128" i="26"/>
  <c r="AE62" i="26"/>
  <c r="AE95" i="26"/>
  <c r="AE29" i="26"/>
  <c r="AE227" i="26"/>
  <c r="AE194" i="26"/>
  <c r="AE161" i="26"/>
  <c r="AE3" i="52"/>
  <c r="Y54" i="19"/>
  <c r="Y9" i="52" s="1"/>
  <c r="Y60" i="52" s="1"/>
  <c r="Y26" i="52"/>
  <c r="AN65" i="26"/>
  <c r="AN197" i="26"/>
  <c r="AN131" i="26"/>
  <c r="AN98" i="26"/>
  <c r="AN32" i="26"/>
  <c r="AN230" i="26"/>
  <c r="AN164" i="26"/>
  <c r="AN6" i="52"/>
  <c r="S31" i="26"/>
  <c r="S64" i="26"/>
  <c r="S97" i="26"/>
  <c r="S130" i="26"/>
  <c r="S196" i="26"/>
  <c r="S229" i="26"/>
  <c r="S163" i="26"/>
  <c r="S5" i="52"/>
  <c r="S160" i="19"/>
  <c r="Z73" i="27"/>
  <c r="Z79" i="27" s="1"/>
  <c r="Z85" i="27" s="1"/>
  <c r="Z91" i="27" s="1"/>
  <c r="Z135" i="20"/>
  <c r="Z141" i="20" s="1"/>
  <c r="AC180" i="32"/>
  <c r="AE19" i="34" s="1"/>
  <c r="AE33" i="34" s="1"/>
  <c r="AC170" i="32"/>
  <c r="AC171" i="32" s="1"/>
  <c r="AE20" i="34" s="1"/>
  <c r="AE34" i="34" s="1"/>
  <c r="P138" i="20"/>
  <c r="P144" i="20" s="1"/>
  <c r="P106" i="27"/>
  <c r="P112" i="27" s="1"/>
  <c r="P40" i="27"/>
  <c r="P46" i="27" s="1"/>
  <c r="AJ66" i="19"/>
  <c r="AJ72" i="19" s="1"/>
  <c r="AJ78" i="19" s="1"/>
  <c r="AJ84" i="19" s="1"/>
  <c r="AJ136" i="19"/>
  <c r="AJ142" i="19" s="1"/>
  <c r="AJ148" i="19" s="1"/>
  <c r="AJ154" i="19" s="1"/>
  <c r="AJ103" i="19"/>
  <c r="AJ109" i="19" s="1"/>
  <c r="AJ115" i="19" s="1"/>
  <c r="AJ121" i="19" s="1"/>
  <c r="J101" i="20"/>
  <c r="J107" i="20" s="1"/>
  <c r="J9" i="27"/>
  <c r="J15" i="27" s="1"/>
  <c r="J66" i="20"/>
  <c r="J72" i="20" s="1"/>
  <c r="K75" i="27"/>
  <c r="K81" i="27" s="1"/>
  <c r="K29" i="20"/>
  <c r="K36" i="20" s="1"/>
  <c r="K174" i="27"/>
  <c r="K180" i="27" s="1"/>
  <c r="D73" i="27"/>
  <c r="D79" i="27" s="1"/>
  <c r="D203" i="27"/>
  <c r="D209" i="27" s="1"/>
  <c r="D215" i="27" s="1"/>
  <c r="D221" i="27" s="1"/>
  <c r="D104" i="27"/>
  <c r="D110" i="27" s="1"/>
  <c r="M88" i="19"/>
  <c r="I203" i="27"/>
  <c r="I209" i="27" s="1"/>
  <c r="I171" i="27"/>
  <c r="I177" i="27" s="1"/>
  <c r="I43" i="27"/>
  <c r="I49" i="27" s="1"/>
  <c r="AK129" i="19"/>
  <c r="AK76" i="52"/>
  <c r="AN76" i="32"/>
  <c r="AN104" i="32"/>
  <c r="AN85" i="32"/>
  <c r="AN94" i="32"/>
  <c r="AK48" i="19"/>
  <c r="AN113" i="32"/>
  <c r="O28" i="20"/>
  <c r="O35" i="20" s="1"/>
  <c r="O43" i="20" s="1"/>
  <c r="O103" i="20"/>
  <c r="O109" i="20" s="1"/>
  <c r="O115" i="20" s="1"/>
  <c r="O121" i="20" s="1"/>
  <c r="O17" i="20"/>
  <c r="O19" i="20" s="1"/>
  <c r="Y159" i="19"/>
  <c r="AH105" i="27"/>
  <c r="AH111" i="27" s="1"/>
  <c r="AH117" i="27" s="1"/>
  <c r="AH123" i="27" s="1"/>
  <c r="AH204" i="27"/>
  <c r="AH210" i="27" s="1"/>
  <c r="AH73" i="27"/>
  <c r="AH79" i="27" s="1"/>
  <c r="AH85" i="27" s="1"/>
  <c r="AH91" i="27" s="1"/>
  <c r="AL108" i="26"/>
  <c r="AL114" i="26" s="1"/>
  <c r="AL120" i="26" s="1"/>
  <c r="AL126" i="26" s="1"/>
  <c r="AL74" i="26"/>
  <c r="AL80" i="26" s="1"/>
  <c r="AL76" i="26"/>
  <c r="AL82" i="26" s="1"/>
  <c r="AB74" i="20"/>
  <c r="AB80" i="20" s="1"/>
  <c r="P104" i="32"/>
  <c r="W227" i="27"/>
  <c r="W194" i="27"/>
  <c r="W161" i="27"/>
  <c r="W128" i="27"/>
  <c r="W95" i="27"/>
  <c r="W62" i="27"/>
  <c r="W29" i="27"/>
  <c r="W3" i="52"/>
  <c r="AH232" i="26"/>
  <c r="AH199" i="26"/>
  <c r="AH166" i="26"/>
  <c r="AH133" i="26"/>
  <c r="AH100" i="26"/>
  <c r="AH67" i="26"/>
  <c r="AH34" i="26"/>
  <c r="AH163" i="19"/>
  <c r="AH127" i="19"/>
  <c r="Z109" i="27"/>
  <c r="Z115" i="27" s="1"/>
  <c r="Z121" i="27" s="1"/>
  <c r="Z127" i="27" s="1"/>
  <c r="Z31" i="20"/>
  <c r="Z38" i="20" s="1"/>
  <c r="Z103" i="20"/>
  <c r="Z109" i="20" s="1"/>
  <c r="P73" i="27"/>
  <c r="P79" i="27" s="1"/>
  <c r="P27" i="20"/>
  <c r="P34" i="20" s="1"/>
  <c r="P140" i="27"/>
  <c r="P146" i="27" s="1"/>
  <c r="AJ175" i="26"/>
  <c r="AJ181" i="26" s="1"/>
  <c r="AJ187" i="26" s="1"/>
  <c r="AJ193" i="26" s="1"/>
  <c r="AJ107" i="26"/>
  <c r="AJ113" i="26" s="1"/>
  <c r="AJ119" i="26" s="1"/>
  <c r="AJ125" i="26" s="1"/>
  <c r="AJ7" i="26"/>
  <c r="AJ13" i="26" s="1"/>
  <c r="AJ19" i="26" s="1"/>
  <c r="AJ25" i="26" s="1"/>
  <c r="J10" i="27"/>
  <c r="J16" i="27" s="1"/>
  <c r="J107" i="27"/>
  <c r="J113" i="27" s="1"/>
  <c r="J31" i="20"/>
  <c r="J38" i="20" s="1"/>
  <c r="K67" i="20"/>
  <c r="K73" i="20" s="1"/>
  <c r="K5" i="27"/>
  <c r="K11" i="27" s="1"/>
  <c r="K138" i="20"/>
  <c r="K144" i="20" s="1"/>
  <c r="D76" i="27"/>
  <c r="D82" i="27" s="1"/>
  <c r="D88" i="27" s="1"/>
  <c r="D94" i="27" s="1"/>
  <c r="D175" i="27"/>
  <c r="D181" i="27" s="1"/>
  <c r="D187" i="27" s="1"/>
  <c r="D193" i="27" s="1"/>
  <c r="AK52" i="19"/>
  <c r="AK90" i="19" s="1"/>
  <c r="AN98" i="32"/>
  <c r="AN136" i="32"/>
  <c r="AK80" i="52"/>
  <c r="AN80" i="32"/>
  <c r="AN108" i="32"/>
  <c r="AN117" i="32"/>
  <c r="I105" i="27"/>
  <c r="I111" i="27" s="1"/>
  <c r="I103" i="20"/>
  <c r="I109" i="20" s="1"/>
  <c r="I98" i="20"/>
  <c r="I104" i="20" s="1"/>
  <c r="U65" i="52"/>
  <c r="O38" i="27"/>
  <c r="O44" i="27" s="1"/>
  <c r="O50" i="27" s="1"/>
  <c r="O56" i="27" s="1"/>
  <c r="O29" i="20"/>
  <c r="O36" i="20" s="1"/>
  <c r="O44" i="20" s="1"/>
  <c r="O9" i="27"/>
  <c r="O15" i="27" s="1"/>
  <c r="O21" i="27" s="1"/>
  <c r="O27" i="27" s="1"/>
  <c r="U89" i="32"/>
  <c r="AH137" i="20"/>
  <c r="AH143" i="20" s="1"/>
  <c r="AH149" i="20" s="1"/>
  <c r="AH155" i="20" s="1"/>
  <c r="AH138" i="27"/>
  <c r="AH144" i="27" s="1"/>
  <c r="AH150" i="27" s="1"/>
  <c r="AH156" i="27" s="1"/>
  <c r="D89" i="19"/>
  <c r="AL109" i="26"/>
  <c r="AL115" i="26" s="1"/>
  <c r="AL121" i="26" s="1"/>
  <c r="AL127" i="26" s="1"/>
  <c r="AL171" i="26"/>
  <c r="AL177" i="26" s="1"/>
  <c r="AL170" i="26"/>
  <c r="AL176" i="26" s="1"/>
  <c r="S132" i="26"/>
  <c r="S231" i="26"/>
  <c r="S99" i="26"/>
  <c r="S33" i="26"/>
  <c r="S66" i="26"/>
  <c r="S198" i="26"/>
  <c r="S165" i="26"/>
  <c r="S7" i="52"/>
  <c r="S90" i="19"/>
  <c r="AA30" i="26"/>
  <c r="AA96" i="26"/>
  <c r="AA4" i="52"/>
  <c r="AA129" i="26"/>
  <c r="AA162" i="26"/>
  <c r="AA195" i="26"/>
  <c r="AA228" i="26"/>
  <c r="AA63" i="26"/>
  <c r="AA56" i="52"/>
  <c r="AA159" i="19"/>
  <c r="AA123" i="19"/>
  <c r="AA87" i="19"/>
  <c r="K123" i="19"/>
  <c r="AE54" i="19"/>
  <c r="AE9" i="52" s="1"/>
  <c r="AE55" i="52" s="1"/>
  <c r="AE26" i="52"/>
  <c r="G54" i="19"/>
  <c r="G9" i="52" s="1"/>
  <c r="G26" i="52"/>
  <c r="Z17" i="20"/>
  <c r="Z19" i="20" s="1"/>
  <c r="Z7" i="27"/>
  <c r="Z13" i="27" s="1"/>
  <c r="Z19" i="27" s="1"/>
  <c r="Z25" i="27" s="1"/>
  <c r="Z66" i="20"/>
  <c r="Z72" i="20" s="1"/>
  <c r="Z78" i="20" s="1"/>
  <c r="Z84" i="20" s="1"/>
  <c r="N23" i="52"/>
  <c r="Q67" i="11" s="1"/>
  <c r="AJ113" i="19"/>
  <c r="AJ119" i="19" s="1"/>
  <c r="G163" i="26"/>
  <c r="G97" i="26"/>
  <c r="G229" i="26"/>
  <c r="G64" i="26"/>
  <c r="G130" i="26"/>
  <c r="G31" i="26"/>
  <c r="G196" i="26"/>
  <c r="G5" i="52"/>
  <c r="G88" i="19"/>
  <c r="P65" i="20"/>
  <c r="P71" i="20" s="1"/>
  <c r="P103" i="20"/>
  <c r="P109" i="20" s="1"/>
  <c r="P170" i="27"/>
  <c r="P176" i="27" s="1"/>
  <c r="AJ207" i="26"/>
  <c r="AJ213" i="26" s="1"/>
  <c r="AJ219" i="26" s="1"/>
  <c r="AJ225" i="26" s="1"/>
  <c r="AJ63" i="19"/>
  <c r="AJ69" i="19" s="1"/>
  <c r="AJ75" i="19" s="1"/>
  <c r="AJ81" i="19" s="1"/>
  <c r="AJ172" i="26"/>
  <c r="AJ178" i="26" s="1"/>
  <c r="AJ184" i="26" s="1"/>
  <c r="AJ190" i="26" s="1"/>
  <c r="J173" i="27"/>
  <c r="J179" i="27" s="1"/>
  <c r="J29" i="20"/>
  <c r="J36" i="20" s="1"/>
  <c r="J100" i="20"/>
  <c r="J106" i="20" s="1"/>
  <c r="N199" i="32"/>
  <c r="M21" i="34" s="1"/>
  <c r="M35" i="34" s="1"/>
  <c r="N189" i="32"/>
  <c r="N190" i="32" s="1"/>
  <c r="M22" i="34" s="1"/>
  <c r="M36" i="34" s="1"/>
  <c r="K42" i="27"/>
  <c r="K48" i="27" s="1"/>
  <c r="K136" i="20"/>
  <c r="K142" i="20" s="1"/>
  <c r="K100" i="20"/>
  <c r="K106" i="20" s="1"/>
  <c r="K112" i="20" s="1"/>
  <c r="K118" i="20" s="1"/>
  <c r="D164" i="20"/>
  <c r="D166" i="20" s="1"/>
  <c r="D6" i="27"/>
  <c r="D12" i="27" s="1"/>
  <c r="D18" i="27" s="1"/>
  <c r="D24" i="27" s="1"/>
  <c r="D98" i="20"/>
  <c r="D104" i="20" s="1"/>
  <c r="D110" i="20" s="1"/>
  <c r="D116" i="20" s="1"/>
  <c r="I100" i="20"/>
  <c r="I106" i="20" s="1"/>
  <c r="I41" i="27"/>
  <c r="I47" i="27" s="1"/>
  <c r="I62" i="20"/>
  <c r="I68" i="20" s="1"/>
  <c r="O7" i="27"/>
  <c r="O13" i="27" s="1"/>
  <c r="O19" i="27" s="1"/>
  <c r="O25" i="27" s="1"/>
  <c r="O73" i="27"/>
  <c r="O79" i="27" s="1"/>
  <c r="O85" i="27" s="1"/>
  <c r="O91" i="27" s="1"/>
  <c r="O106" i="27"/>
  <c r="O112" i="27" s="1"/>
  <c r="O118" i="27" s="1"/>
  <c r="O124" i="27" s="1"/>
  <c r="AN132" i="26"/>
  <c r="AN231" i="26"/>
  <c r="AN33" i="26"/>
  <c r="AN66" i="26"/>
  <c r="AN165" i="26"/>
  <c r="AN198" i="26"/>
  <c r="AN99" i="26"/>
  <c r="AN7" i="52"/>
  <c r="AH74" i="27"/>
  <c r="AH80" i="27" s="1"/>
  <c r="AH106" i="27"/>
  <c r="AH112" i="27" s="1"/>
  <c r="AL73" i="26"/>
  <c r="AL79" i="26" s="1"/>
  <c r="AL85" i="26" s="1"/>
  <c r="AL91" i="26" s="1"/>
  <c r="AL30" i="19"/>
  <c r="AL37" i="19" s="1"/>
  <c r="AL17" i="19"/>
  <c r="AL19" i="19" s="1"/>
  <c r="AG60" i="52"/>
  <c r="V163" i="32"/>
  <c r="AH229" i="26"/>
  <c r="AH163" i="26"/>
  <c r="AH31" i="26"/>
  <c r="AH196" i="26"/>
  <c r="AH130" i="26"/>
  <c r="AH97" i="26"/>
  <c r="AH64" i="26"/>
  <c r="AH124" i="19"/>
  <c r="W122" i="20"/>
  <c r="Z156" i="32"/>
  <c r="Z54" i="19"/>
  <c r="Z205" i="27"/>
  <c r="Z211" i="27" s="1"/>
  <c r="Z217" i="27" s="1"/>
  <c r="Z223" i="27" s="1"/>
  <c r="Z208" i="27"/>
  <c r="Z214" i="27" s="1"/>
  <c r="Z220" i="27" s="1"/>
  <c r="Z226" i="27" s="1"/>
  <c r="Z98" i="20"/>
  <c r="Z104" i="20" s="1"/>
  <c r="Z110" i="20" s="1"/>
  <c r="Z116" i="20" s="1"/>
  <c r="AD22" i="52"/>
  <c r="AD29" i="52"/>
  <c r="M231" i="26"/>
  <c r="M198" i="26"/>
  <c r="M132" i="26"/>
  <c r="M99" i="26"/>
  <c r="M165" i="26"/>
  <c r="M33" i="26"/>
  <c r="M66" i="26"/>
  <c r="O18" i="27"/>
  <c r="O24" i="27" s="1"/>
  <c r="AH41" i="20"/>
  <c r="AH165" i="20" s="1"/>
  <c r="AH88" i="27"/>
  <c r="AH94" i="27" s="1"/>
  <c r="AL218" i="26"/>
  <c r="AL224" i="26" s="1"/>
  <c r="V145" i="32"/>
  <c r="W54" i="20"/>
  <c r="W9" i="52" s="1"/>
  <c r="W61" i="52" s="1"/>
  <c r="W26" i="52"/>
  <c r="Y161" i="26"/>
  <c r="Y62" i="26"/>
  <c r="Y194" i="26"/>
  <c r="Y128" i="26"/>
  <c r="Y95" i="26"/>
  <c r="Y55" i="52"/>
  <c r="Y227" i="26"/>
  <c r="Y29" i="26"/>
  <c r="Y3" i="52"/>
  <c r="AB86" i="27"/>
  <c r="AB92" i="27" s="1"/>
  <c r="G160" i="19"/>
  <c r="D126" i="19"/>
  <c r="Z99" i="20"/>
  <c r="Z105" i="20" s="1"/>
  <c r="Z111" i="20" s="1"/>
  <c r="Z117" i="20" s="1"/>
  <c r="Z203" i="27"/>
  <c r="Z209" i="27" s="1"/>
  <c r="Z215" i="27" s="1"/>
  <c r="Z221" i="27" s="1"/>
  <c r="Z100" i="20"/>
  <c r="Z106" i="20" s="1"/>
  <c r="Z112" i="20" s="1"/>
  <c r="Z118" i="20" s="1"/>
  <c r="S229" i="27"/>
  <c r="S163" i="27"/>
  <c r="S130" i="27"/>
  <c r="S97" i="27"/>
  <c r="S64" i="27"/>
  <c r="S31" i="27"/>
  <c r="S196" i="27"/>
  <c r="D184" i="27"/>
  <c r="D190" i="27" s="1"/>
  <c r="D87" i="27"/>
  <c r="D93" i="27" s="1"/>
  <c r="I7" i="27"/>
  <c r="I13" i="27" s="1"/>
  <c r="I72" i="27"/>
  <c r="I78" i="27" s="1"/>
  <c r="O116" i="27"/>
  <c r="O122" i="27" s="1"/>
  <c r="R132" i="26"/>
  <c r="R198" i="26"/>
  <c r="R231" i="26"/>
  <c r="R66" i="26"/>
  <c r="R33" i="26"/>
  <c r="R165" i="26"/>
  <c r="R99" i="26"/>
  <c r="R7" i="52"/>
  <c r="AH218" i="27"/>
  <c r="AH224" i="27" s="1"/>
  <c r="AH147" i="20"/>
  <c r="AH153" i="20" s="1"/>
  <c r="AA29" i="52"/>
  <c r="AA22" i="52"/>
  <c r="AL103" i="19"/>
  <c r="AL109" i="19" s="1"/>
  <c r="AL115" i="19" s="1"/>
  <c r="AL121" i="19" s="1"/>
  <c r="AL28" i="19"/>
  <c r="AL35" i="19" s="1"/>
  <c r="AL43" i="19" s="1"/>
  <c r="AL164" i="19"/>
  <c r="AL166" i="19" s="1"/>
  <c r="S197" i="26"/>
  <c r="S98" i="26"/>
  <c r="S164" i="26"/>
  <c r="S230" i="26"/>
  <c r="S131" i="26"/>
  <c r="S65" i="26"/>
  <c r="S32" i="26"/>
  <c r="AN54" i="19"/>
  <c r="AN9" i="52" s="1"/>
  <c r="AN58" i="52" s="1"/>
  <c r="AN26" i="52"/>
  <c r="AB114" i="20"/>
  <c r="AB120" i="20" s="1"/>
  <c r="S87" i="52"/>
  <c r="S53" i="20"/>
  <c r="S8" i="52" s="1"/>
  <c r="V149" i="32"/>
  <c r="V177" i="32"/>
  <c r="V196" i="32"/>
  <c r="V186" i="32"/>
  <c r="V205" i="32"/>
  <c r="V167" i="32"/>
  <c r="V158" i="32"/>
  <c r="Z206" i="27"/>
  <c r="Z212" i="27" s="1"/>
  <c r="Z218" i="27" s="1"/>
  <c r="Z224" i="27" s="1"/>
  <c r="Z42" i="27"/>
  <c r="Z48" i="27" s="1"/>
  <c r="Z207" i="27"/>
  <c r="Z213" i="27" s="1"/>
  <c r="Z219" i="27" s="1"/>
  <c r="Z225" i="27" s="1"/>
  <c r="AJ185" i="26"/>
  <c r="AJ191" i="26" s="1"/>
  <c r="J216" i="27"/>
  <c r="J222" i="27" s="1"/>
  <c r="D182" i="27"/>
  <c r="D188" i="27" s="1"/>
  <c r="P228" i="26"/>
  <c r="P162" i="26"/>
  <c r="P195" i="26"/>
  <c r="P129" i="26"/>
  <c r="P96" i="26"/>
  <c r="P30" i="26"/>
  <c r="P63" i="26"/>
  <c r="P164" i="20"/>
  <c r="P166" i="20" s="1"/>
  <c r="P108" i="27"/>
  <c r="P114" i="27" s="1"/>
  <c r="P134" i="20"/>
  <c r="P140" i="20" s="1"/>
  <c r="AJ32" i="19"/>
  <c r="AJ39" i="19" s="1"/>
  <c r="AJ40" i="19" s="1"/>
  <c r="AJ104" i="26"/>
  <c r="AJ110" i="26" s="1"/>
  <c r="AJ116" i="26" s="1"/>
  <c r="AJ122" i="26" s="1"/>
  <c r="AM102" i="32"/>
  <c r="AM103" i="32" s="1"/>
  <c r="F27" i="34" s="1"/>
  <c r="F41" i="34" s="1"/>
  <c r="AM112" i="32"/>
  <c r="F26" i="34" s="1"/>
  <c r="F40" i="34" s="1"/>
  <c r="J104" i="27"/>
  <c r="J110" i="27" s="1"/>
  <c r="J175" i="27"/>
  <c r="J181" i="27" s="1"/>
  <c r="J65" i="20"/>
  <c r="J71" i="20" s="1"/>
  <c r="K87" i="19"/>
  <c r="K27" i="20"/>
  <c r="K34" i="20" s="1"/>
  <c r="K42" i="20" s="1"/>
  <c r="K66" i="20"/>
  <c r="K72" i="20" s="1"/>
  <c r="K134" i="20"/>
  <c r="K140" i="20" s="1"/>
  <c r="D30" i="20"/>
  <c r="D37" i="20" s="1"/>
  <c r="D39" i="27"/>
  <c r="D45" i="27" s="1"/>
  <c r="D171" i="27"/>
  <c r="D177" i="27" s="1"/>
  <c r="D183" i="27" s="1"/>
  <c r="D189" i="27" s="1"/>
  <c r="S86" i="20"/>
  <c r="G63" i="26"/>
  <c r="G56" i="52"/>
  <c r="G96" i="26"/>
  <c r="G129" i="26"/>
  <c r="G228" i="26"/>
  <c r="G195" i="26"/>
  <c r="G162" i="26"/>
  <c r="G30" i="26"/>
  <c r="G4" i="52"/>
  <c r="G87" i="19"/>
  <c r="G159" i="19"/>
  <c r="I134" i="20"/>
  <c r="I140" i="20" s="1"/>
  <c r="I136" i="20"/>
  <c r="I142" i="20" s="1"/>
  <c r="I8" i="27"/>
  <c r="I14" i="27" s="1"/>
  <c r="Z201" i="32"/>
  <c r="Z199" i="26"/>
  <c r="Z166" i="26"/>
  <c r="Z67" i="26"/>
  <c r="Z133" i="26"/>
  <c r="Z100" i="26"/>
  <c r="Z34" i="26"/>
  <c r="Z232" i="26"/>
  <c r="Z91" i="19"/>
  <c r="Z163" i="19"/>
  <c r="O26" i="20"/>
  <c r="O33" i="20" s="1"/>
  <c r="O41" i="20" s="1"/>
  <c r="O165" i="20" s="1"/>
  <c r="O99" i="20"/>
  <c r="O105" i="20" s="1"/>
  <c r="O111" i="20" s="1"/>
  <c r="O117" i="20" s="1"/>
  <c r="O172" i="27"/>
  <c r="O178" i="27" s="1"/>
  <c r="O184" i="27" s="1"/>
  <c r="O190" i="27" s="1"/>
  <c r="P159" i="19"/>
  <c r="AH75" i="27"/>
  <c r="AH81" i="27" s="1"/>
  <c r="AH87" i="27" s="1"/>
  <c r="AH93" i="27" s="1"/>
  <c r="AH99" i="20"/>
  <c r="AH105" i="20" s="1"/>
  <c r="AH111" i="20" s="1"/>
  <c r="AH117" i="20" s="1"/>
  <c r="AH67" i="20"/>
  <c r="AH73" i="20" s="1"/>
  <c r="AH79" i="20" s="1"/>
  <c r="AH85" i="20" s="1"/>
  <c r="AB119" i="27"/>
  <c r="AB125" i="27" s="1"/>
  <c r="AA50" i="52"/>
  <c r="AA51" i="52"/>
  <c r="AA54" i="52"/>
  <c r="AA27" i="52"/>
  <c r="AA49" i="52"/>
  <c r="AA53" i="52"/>
  <c r="AA52" i="52"/>
  <c r="AA64" i="52"/>
  <c r="AA66" i="52"/>
  <c r="AA65" i="52"/>
  <c r="AA62" i="52"/>
  <c r="AA63" i="52"/>
  <c r="AA61" i="52"/>
  <c r="AL142" i="26"/>
  <c r="AL148" i="26" s="1"/>
  <c r="AL154" i="26" s="1"/>
  <c r="AL160" i="26" s="1"/>
  <c r="AL136" i="19"/>
  <c r="AL142" i="19" s="1"/>
  <c r="AL148" i="19" s="1"/>
  <c r="AL154" i="19" s="1"/>
  <c r="AL98" i="19"/>
  <c r="AL104" i="19" s="1"/>
  <c r="M128" i="26"/>
  <c r="M95" i="26"/>
  <c r="M161" i="26"/>
  <c r="M29" i="26"/>
  <c r="M227" i="26"/>
  <c r="M194" i="26"/>
  <c r="M62" i="26"/>
  <c r="AB51" i="27"/>
  <c r="AB57" i="27" s="1"/>
  <c r="AN160" i="19"/>
  <c r="AK215" i="26"/>
  <c r="AK221" i="26" s="1"/>
  <c r="Z203" i="32"/>
  <c r="AB87" i="19"/>
  <c r="Z229" i="26"/>
  <c r="Z163" i="26"/>
  <c r="Z196" i="26"/>
  <c r="Z130" i="26"/>
  <c r="Z64" i="26"/>
  <c r="Z97" i="26"/>
  <c r="Z31" i="26"/>
  <c r="K165" i="19"/>
  <c r="S161" i="20"/>
  <c r="Z164" i="20"/>
  <c r="Z166" i="20" s="1"/>
  <c r="Z26" i="20"/>
  <c r="Z33" i="20" s="1"/>
  <c r="Z41" i="20" s="1"/>
  <c r="Z106" i="27"/>
  <c r="Z112" i="27" s="1"/>
  <c r="Z118" i="27" s="1"/>
  <c r="Z124" i="27" s="1"/>
  <c r="AI77" i="52"/>
  <c r="AL133" i="32"/>
  <c r="AL114" i="32"/>
  <c r="AL77" i="32"/>
  <c r="AL105" i="32"/>
  <c r="AL124" i="32"/>
  <c r="AI49" i="19"/>
  <c r="AL95" i="32"/>
  <c r="AL86" i="32"/>
  <c r="J141" i="27"/>
  <c r="J147" i="27" s="1"/>
  <c r="P194" i="26"/>
  <c r="P161" i="26"/>
  <c r="P128" i="26"/>
  <c r="P62" i="26"/>
  <c r="P29" i="26"/>
  <c r="P227" i="26"/>
  <c r="P95" i="26"/>
  <c r="P122" i="19"/>
  <c r="D111" i="20"/>
  <c r="D117" i="20" s="1"/>
  <c r="O22" i="27"/>
  <c r="O28" i="27" s="1"/>
  <c r="P42" i="27"/>
  <c r="P48" i="27" s="1"/>
  <c r="P6" i="27"/>
  <c r="P12" i="27" s="1"/>
  <c r="P32" i="20"/>
  <c r="P39" i="20" s="1"/>
  <c r="P40" i="20" s="1"/>
  <c r="AE182" i="32"/>
  <c r="AB49" i="20"/>
  <c r="AB83" i="52"/>
  <c r="AE145" i="32"/>
  <c r="AE154" i="32"/>
  <c r="AE163" i="32"/>
  <c r="AJ6" i="26"/>
  <c r="AJ12" i="26" s="1"/>
  <c r="AJ18" i="26" s="1"/>
  <c r="AJ24" i="26" s="1"/>
  <c r="AJ137" i="19"/>
  <c r="AJ143" i="19" s="1"/>
  <c r="AJ149" i="19" s="1"/>
  <c r="AJ155" i="19" s="1"/>
  <c r="AJ109" i="26"/>
  <c r="AJ115" i="26" s="1"/>
  <c r="AJ121" i="26" s="1"/>
  <c r="AJ127" i="26" s="1"/>
  <c r="J26" i="20"/>
  <c r="J33" i="20" s="1"/>
  <c r="J41" i="20" s="1"/>
  <c r="J102" i="20"/>
  <c r="J108" i="20" s="1"/>
  <c r="J28" i="20"/>
  <c r="J35" i="20" s="1"/>
  <c r="AG58" i="52"/>
  <c r="AG56" i="52"/>
  <c r="P54" i="19"/>
  <c r="AB152" i="27"/>
  <c r="AB158" i="27" s="1"/>
  <c r="Q77" i="52"/>
  <c r="T133" i="32"/>
  <c r="T124" i="32"/>
  <c r="T105" i="32"/>
  <c r="T77" i="32"/>
  <c r="T114" i="32"/>
  <c r="T95" i="32"/>
  <c r="T86" i="32"/>
  <c r="Q49" i="19"/>
  <c r="K30" i="20"/>
  <c r="K37" i="20" s="1"/>
  <c r="K175" i="27"/>
  <c r="K181" i="27" s="1"/>
  <c r="K187" i="27" s="1"/>
  <c r="K193" i="27" s="1"/>
  <c r="K102" i="20"/>
  <c r="K108" i="20" s="1"/>
  <c r="D102" i="20"/>
  <c r="D108" i="20" s="1"/>
  <c r="D114" i="20" s="1"/>
  <c r="D120" i="20" s="1"/>
  <c r="D106" i="27"/>
  <c r="D112" i="27" s="1"/>
  <c r="D118" i="27" s="1"/>
  <c r="D124" i="27" s="1"/>
  <c r="D9" i="27"/>
  <c r="D15" i="27" s="1"/>
  <c r="D21" i="27" s="1"/>
  <c r="D27" i="27" s="1"/>
  <c r="M230" i="26"/>
  <c r="M164" i="26"/>
  <c r="M197" i="26"/>
  <c r="M65" i="26"/>
  <c r="M32" i="26"/>
  <c r="M131" i="26"/>
  <c r="M98" i="26"/>
  <c r="I108" i="27"/>
  <c r="I114" i="27" s="1"/>
  <c r="L170" i="32"/>
  <c r="L171" i="32" s="1"/>
  <c r="K20" i="34" s="1"/>
  <c r="K34" i="34" s="1"/>
  <c r="L180" i="32"/>
  <c r="K19" i="34" s="1"/>
  <c r="K33" i="34" s="1"/>
  <c r="I38" i="27"/>
  <c r="I44" i="27" s="1"/>
  <c r="M228" i="26"/>
  <c r="M129" i="26"/>
  <c r="M96" i="26"/>
  <c r="M63" i="26"/>
  <c r="M30" i="26"/>
  <c r="M195" i="26"/>
  <c r="M162" i="26"/>
  <c r="AN199" i="26"/>
  <c r="AN67" i="26"/>
  <c r="AN34" i="26"/>
  <c r="AN133" i="26"/>
  <c r="AN100" i="26"/>
  <c r="AN166" i="26"/>
  <c r="AN232" i="26"/>
  <c r="AN8" i="52"/>
  <c r="O171" i="27"/>
  <c r="O177" i="27" s="1"/>
  <c r="O183" i="27" s="1"/>
  <c r="O189" i="27" s="1"/>
  <c r="O206" i="27"/>
  <c r="O212" i="27" s="1"/>
  <c r="O218" i="27" s="1"/>
  <c r="O224" i="27" s="1"/>
  <c r="O72" i="27"/>
  <c r="O78" i="27" s="1"/>
  <c r="O84" i="27" s="1"/>
  <c r="O90" i="27" s="1"/>
  <c r="AH42" i="27"/>
  <c r="AH48" i="27" s="1"/>
  <c r="AH54" i="27" s="1"/>
  <c r="AH60" i="27" s="1"/>
  <c r="AH29" i="20"/>
  <c r="AH36" i="20" s="1"/>
  <c r="AH44" i="20" s="1"/>
  <c r="AH173" i="27"/>
  <c r="AH179" i="27" s="1"/>
  <c r="AH185" i="27" s="1"/>
  <c r="AH191" i="27" s="1"/>
  <c r="AB220" i="27"/>
  <c r="AB226" i="27" s="1"/>
  <c r="AL27" i="19"/>
  <c r="AL34" i="19" s="1"/>
  <c r="V154" i="32"/>
  <c r="AB118" i="27"/>
  <c r="AB124" i="27" s="1"/>
  <c r="S231" i="27"/>
  <c r="S99" i="27"/>
  <c r="S198" i="27"/>
  <c r="S165" i="27"/>
  <c r="S66" i="27"/>
  <c r="S132" i="27"/>
  <c r="S33" i="27"/>
  <c r="AK218" i="26"/>
  <c r="AK224" i="26" s="1"/>
  <c r="AN96" i="26"/>
  <c r="AN228" i="26"/>
  <c r="AN162" i="26"/>
  <c r="AN129" i="26"/>
  <c r="AN195" i="26"/>
  <c r="AN30" i="26"/>
  <c r="AN63" i="26"/>
  <c r="AN4" i="52"/>
  <c r="AK182" i="26"/>
  <c r="AK188" i="26" s="1"/>
  <c r="Z138" i="20"/>
  <c r="Z144" i="20" s="1"/>
  <c r="Z150" i="20" s="1"/>
  <c r="Z156" i="20" s="1"/>
  <c r="Z171" i="27"/>
  <c r="Z177" i="27" s="1"/>
  <c r="Z183" i="27" s="1"/>
  <c r="Z189" i="27" s="1"/>
  <c r="V164" i="32"/>
  <c r="AB116" i="27"/>
  <c r="AB122" i="27" s="1"/>
  <c r="AC100" i="26"/>
  <c r="AC166" i="26"/>
  <c r="AC34" i="26"/>
  <c r="AC133" i="26"/>
  <c r="AC67" i="26"/>
  <c r="AC199" i="26"/>
  <c r="AC232" i="26"/>
  <c r="AC8" i="52"/>
  <c r="AN163" i="26"/>
  <c r="AN64" i="26"/>
  <c r="AN97" i="26"/>
  <c r="AN31" i="26"/>
  <c r="AN130" i="26"/>
  <c r="AN229" i="26"/>
  <c r="AN196" i="26"/>
  <c r="AN5" i="52"/>
  <c r="S89" i="20"/>
  <c r="D133" i="26"/>
  <c r="D232" i="26"/>
  <c r="D166" i="26"/>
  <c r="D199" i="26"/>
  <c r="D67" i="26"/>
  <c r="D34" i="26"/>
  <c r="D100" i="26"/>
  <c r="D163" i="19"/>
  <c r="O46" i="20"/>
  <c r="AJ141" i="26"/>
  <c r="AJ147" i="26" s="1"/>
  <c r="AJ153" i="26" s="1"/>
  <c r="AJ159" i="26" s="1"/>
  <c r="AJ134" i="19"/>
  <c r="AJ140" i="19" s="1"/>
  <c r="AJ146" i="19" s="1"/>
  <c r="AJ152" i="19" s="1"/>
  <c r="K153" i="27"/>
  <c r="K159" i="27" s="1"/>
  <c r="E46" i="33"/>
  <c r="K43" i="33"/>
  <c r="P5" i="27"/>
  <c r="P11" i="27" s="1"/>
  <c r="P17" i="27" s="1"/>
  <c r="P23" i="27" s="1"/>
  <c r="P30" i="20"/>
  <c r="P37" i="20" s="1"/>
  <c r="P175" i="27"/>
  <c r="P181" i="27" s="1"/>
  <c r="S100" i="26"/>
  <c r="S232" i="26"/>
  <c r="S34" i="26"/>
  <c r="S166" i="26"/>
  <c r="S199" i="26"/>
  <c r="S133" i="26"/>
  <c r="S67" i="26"/>
  <c r="S91" i="19"/>
  <c r="AJ41" i="26"/>
  <c r="AJ47" i="26" s="1"/>
  <c r="AJ53" i="26" s="1"/>
  <c r="AJ59" i="26" s="1"/>
  <c r="AJ174" i="26"/>
  <c r="AJ180" i="26" s="1"/>
  <c r="AJ186" i="26" s="1"/>
  <c r="AJ192" i="26" s="1"/>
  <c r="AJ208" i="26"/>
  <c r="AJ214" i="26" s="1"/>
  <c r="AJ220" i="26" s="1"/>
  <c r="AJ226" i="26" s="1"/>
  <c r="J72" i="27"/>
  <c r="J78" i="27" s="1"/>
  <c r="J32" i="20"/>
  <c r="J39" i="20" s="1"/>
  <c r="J40" i="20" s="1"/>
  <c r="J42" i="27"/>
  <c r="J48" i="27" s="1"/>
  <c r="AB147" i="20"/>
  <c r="AB153" i="20" s="1"/>
  <c r="AB159" i="20" s="1"/>
  <c r="K38" i="27"/>
  <c r="K44" i="27" s="1"/>
  <c r="K99" i="20"/>
  <c r="K105" i="20" s="1"/>
  <c r="K172" i="27"/>
  <c r="K178" i="27" s="1"/>
  <c r="D27" i="20"/>
  <c r="D34" i="20" s="1"/>
  <c r="D42" i="20" s="1"/>
  <c r="D138" i="27"/>
  <c r="D144" i="27" s="1"/>
  <c r="D150" i="27" s="1"/>
  <c r="D156" i="27" s="1"/>
  <c r="D139" i="20"/>
  <c r="D145" i="20" s="1"/>
  <c r="D151" i="20" s="1"/>
  <c r="D157" i="20" s="1"/>
  <c r="AC129" i="26"/>
  <c r="AC96" i="26"/>
  <c r="AC63" i="26"/>
  <c r="AC30" i="26"/>
  <c r="AC195" i="26"/>
  <c r="AC162" i="26"/>
  <c r="AC228" i="26"/>
  <c r="AC4" i="52"/>
  <c r="I75" i="27"/>
  <c r="I81" i="27" s="1"/>
  <c r="I173" i="27"/>
  <c r="I179" i="27" s="1"/>
  <c r="I138" i="20"/>
  <c r="I144" i="20" s="1"/>
  <c r="V184" i="32"/>
  <c r="V156" i="32"/>
  <c r="V165" i="32"/>
  <c r="S51" i="20"/>
  <c r="S85" i="52"/>
  <c r="V203" i="32"/>
  <c r="V194" i="32"/>
  <c r="V147" i="32"/>
  <c r="V175" i="32"/>
  <c r="W228" i="27"/>
  <c r="W30" i="27"/>
  <c r="W96" i="27"/>
  <c r="W162" i="27"/>
  <c r="W129" i="27"/>
  <c r="W63" i="27"/>
  <c r="W195" i="27"/>
  <c r="W62" i="52"/>
  <c r="W4" i="52"/>
  <c r="W160" i="20"/>
  <c r="O109" i="27"/>
  <c r="O115" i="27" s="1"/>
  <c r="O121" i="27" s="1"/>
  <c r="O127" i="27" s="1"/>
  <c r="O139" i="27"/>
  <c r="O145" i="27" s="1"/>
  <c r="O151" i="27" s="1"/>
  <c r="O157" i="27" s="1"/>
  <c r="R180" i="32"/>
  <c r="R19" i="34" s="1"/>
  <c r="R33" i="34" s="1"/>
  <c r="R170" i="32"/>
  <c r="R171" i="32" s="1"/>
  <c r="R20" i="34" s="1"/>
  <c r="R34" i="34" s="1"/>
  <c r="AH175" i="27"/>
  <c r="AH181" i="27" s="1"/>
  <c r="AH187" i="27" s="1"/>
  <c r="AH193" i="27" s="1"/>
  <c r="AH207" i="27"/>
  <c r="AH213" i="27" s="1"/>
  <c r="AH174" i="27"/>
  <c r="AH180" i="27" s="1"/>
  <c r="AH186" i="27" s="1"/>
  <c r="AH192" i="27" s="1"/>
  <c r="AB217" i="27"/>
  <c r="AB223" i="27" s="1"/>
  <c r="G124" i="19"/>
  <c r="AL31" i="19"/>
  <c r="AL38" i="19" s="1"/>
  <c r="AL46" i="19" s="1"/>
  <c r="AL71" i="26"/>
  <c r="AL77" i="26" s="1"/>
  <c r="AL139" i="19"/>
  <c r="AL145" i="19" s="1"/>
  <c r="S30" i="27"/>
  <c r="S228" i="27"/>
  <c r="S195" i="27"/>
  <c r="S162" i="27"/>
  <c r="S129" i="27"/>
  <c r="S96" i="27"/>
  <c r="S63" i="27"/>
  <c r="Y166" i="26"/>
  <c r="Y133" i="26"/>
  <c r="Y100" i="26"/>
  <c r="Y67" i="26"/>
  <c r="Y34" i="26"/>
  <c r="Y232" i="26"/>
  <c r="Y199" i="26"/>
  <c r="Y8" i="52"/>
  <c r="Y91" i="19"/>
  <c r="AB151" i="20"/>
  <c r="AB157" i="20" s="1"/>
  <c r="R230" i="26"/>
  <c r="R197" i="26"/>
  <c r="R131" i="26"/>
  <c r="R98" i="26"/>
  <c r="R65" i="26"/>
  <c r="R32" i="26"/>
  <c r="R164" i="26"/>
  <c r="R6" i="52"/>
  <c r="Y231" i="26"/>
  <c r="Y198" i="26"/>
  <c r="Y59" i="52"/>
  <c r="Y132" i="26"/>
  <c r="Y165" i="26"/>
  <c r="Y99" i="26"/>
  <c r="Y33" i="26"/>
  <c r="Y66" i="26"/>
  <c r="Y7" i="52"/>
  <c r="Y162" i="19"/>
  <c r="W65" i="27"/>
  <c r="W230" i="27"/>
  <c r="W98" i="27"/>
  <c r="W197" i="27"/>
  <c r="W131" i="27"/>
  <c r="W32" i="27"/>
  <c r="W164" i="27"/>
  <c r="W6" i="52"/>
  <c r="AK43" i="19"/>
  <c r="AK47" i="19" s="1"/>
  <c r="AN161" i="19"/>
  <c r="Z204" i="27"/>
  <c r="Z210" i="27" s="1"/>
  <c r="Z216" i="27" s="1"/>
  <c r="Z222" i="27" s="1"/>
  <c r="Z142" i="27"/>
  <c r="Z148" i="27" s="1"/>
  <c r="Z154" i="27" s="1"/>
  <c r="Z160" i="27" s="1"/>
  <c r="Z141" i="27"/>
  <c r="Z147" i="27" s="1"/>
  <c r="Z153" i="27" s="1"/>
  <c r="Z159" i="27" s="1"/>
  <c r="X99" i="26"/>
  <c r="X33" i="26"/>
  <c r="X66" i="26"/>
  <c r="X165" i="26"/>
  <c r="X132" i="26"/>
  <c r="X198" i="26"/>
  <c r="X231" i="26"/>
  <c r="X7" i="52"/>
  <c r="AK42" i="19"/>
  <c r="AJ42" i="19"/>
  <c r="P75" i="27"/>
  <c r="P81" i="27" s="1"/>
  <c r="AJ28" i="19"/>
  <c r="AJ35" i="19" s="1"/>
  <c r="AJ43" i="19" s="1"/>
  <c r="K115" i="20"/>
  <c r="K121" i="20" s="1"/>
  <c r="O220" i="27"/>
  <c r="O226" i="27" s="1"/>
  <c r="P109" i="27"/>
  <c r="P115" i="27" s="1"/>
  <c r="Y65" i="26"/>
  <c r="Y131" i="26"/>
  <c r="Y98" i="26"/>
  <c r="Y32" i="26"/>
  <c r="Y197" i="26"/>
  <c r="Y58" i="52"/>
  <c r="Y230" i="26"/>
  <c r="Y164" i="26"/>
  <c r="Y6" i="52"/>
  <c r="Y161" i="19"/>
  <c r="Y89" i="19"/>
  <c r="AJ137" i="26"/>
  <c r="AJ143" i="26" s="1"/>
  <c r="AJ149" i="26" s="1"/>
  <c r="AJ155" i="26" s="1"/>
  <c r="AJ43" i="26"/>
  <c r="AJ49" i="26" s="1"/>
  <c r="AJ55" i="26" s="1"/>
  <c r="AJ61" i="26" s="1"/>
  <c r="J43" i="27"/>
  <c r="J49" i="27" s="1"/>
  <c r="J55" i="27" s="1"/>
  <c r="J61" i="27" s="1"/>
  <c r="J30" i="20"/>
  <c r="J37" i="20" s="1"/>
  <c r="J45" i="20" s="1"/>
  <c r="J206" i="27"/>
  <c r="J212" i="27" s="1"/>
  <c r="AK162" i="19"/>
  <c r="K140" i="27"/>
  <c r="K146" i="27" s="1"/>
  <c r="K62" i="20"/>
  <c r="K68" i="20" s="1"/>
  <c r="K64" i="20"/>
  <c r="K70" i="20" s="1"/>
  <c r="K76" i="20" s="1"/>
  <c r="K82" i="20" s="1"/>
  <c r="D135" i="20"/>
  <c r="D141" i="20" s="1"/>
  <c r="D147" i="20" s="1"/>
  <c r="D153" i="20" s="1"/>
  <c r="D72" i="27"/>
  <c r="D78" i="27" s="1"/>
  <c r="D84" i="27" s="1"/>
  <c r="D90" i="27" s="1"/>
  <c r="D109" i="27"/>
  <c r="D115" i="27" s="1"/>
  <c r="D121" i="27" s="1"/>
  <c r="D127" i="27" s="1"/>
  <c r="R194" i="26"/>
  <c r="R62" i="26"/>
  <c r="R29" i="26"/>
  <c r="R128" i="26"/>
  <c r="R227" i="26"/>
  <c r="R161" i="26"/>
  <c r="R95" i="26"/>
  <c r="R3" i="52"/>
  <c r="I10" i="27"/>
  <c r="I16" i="27" s="1"/>
  <c r="I99" i="20"/>
  <c r="I105" i="20" s="1"/>
  <c r="I27" i="20"/>
  <c r="I34" i="20" s="1"/>
  <c r="Z154" i="32"/>
  <c r="AI125" i="19"/>
  <c r="O98" i="20"/>
  <c r="O104" i="20" s="1"/>
  <c r="O110" i="20" s="1"/>
  <c r="O116" i="20" s="1"/>
  <c r="O100" i="20"/>
  <c r="O106" i="20" s="1"/>
  <c r="O112" i="20" s="1"/>
  <c r="O118" i="20" s="1"/>
  <c r="AB231" i="26"/>
  <c r="AB198" i="26"/>
  <c r="AB165" i="26"/>
  <c r="AB99" i="26"/>
  <c r="AB132" i="26"/>
  <c r="AB66" i="26"/>
  <c r="AB33" i="26"/>
  <c r="AH31" i="20"/>
  <c r="AH38" i="20" s="1"/>
  <c r="AH46" i="20" s="1"/>
  <c r="AH43" i="27"/>
  <c r="AH49" i="27" s="1"/>
  <c r="AH55" i="27" s="1"/>
  <c r="AH61" i="27" s="1"/>
  <c r="AH8" i="27"/>
  <c r="AH14" i="27" s="1"/>
  <c r="AH20" i="27" s="1"/>
  <c r="AH26" i="27" s="1"/>
  <c r="S87" i="19"/>
  <c r="AL105" i="26"/>
  <c r="AL111" i="26" s="1"/>
  <c r="AL117" i="26" s="1"/>
  <c r="AL123" i="26" s="1"/>
  <c r="AL204" i="26"/>
  <c r="AL210" i="26" s="1"/>
  <c r="V192" i="32"/>
  <c r="Y86" i="19"/>
  <c r="AK111" i="19"/>
  <c r="AK117" i="19" s="1"/>
  <c r="Z175" i="27"/>
  <c r="Z181" i="27" s="1"/>
  <c r="Z187" i="27" s="1"/>
  <c r="Z193" i="27" s="1"/>
  <c r="Z39" i="27"/>
  <c r="Z45" i="27" s="1"/>
  <c r="Z51" i="27" s="1"/>
  <c r="Z57" i="27" s="1"/>
  <c r="Z62" i="20"/>
  <c r="Z68" i="20" s="1"/>
  <c r="Z74" i="20" s="1"/>
  <c r="Z80" i="20" s="1"/>
  <c r="V174" i="32"/>
  <c r="AA98" i="32"/>
  <c r="AJ17" i="26"/>
  <c r="AJ23" i="26" s="1"/>
  <c r="O88" i="27"/>
  <c r="O94" i="27" s="1"/>
  <c r="P98" i="20"/>
  <c r="P104" i="20" s="1"/>
  <c r="P110" i="20" s="1"/>
  <c r="P116" i="20" s="1"/>
  <c r="M180" i="32"/>
  <c r="L19" i="34" s="1"/>
  <c r="L33" i="34" s="1"/>
  <c r="M170" i="32"/>
  <c r="M171" i="32" s="1"/>
  <c r="L20" i="34" s="1"/>
  <c r="L34" i="34" s="1"/>
  <c r="D152" i="27"/>
  <c r="D158" i="27" s="1"/>
  <c r="M34" i="26"/>
  <c r="M166" i="26"/>
  <c r="M100" i="26"/>
  <c r="M67" i="26"/>
  <c r="M232" i="26"/>
  <c r="M199" i="26"/>
  <c r="M133" i="26"/>
  <c r="P76" i="27"/>
  <c r="P82" i="27" s="1"/>
  <c r="P100" i="20"/>
  <c r="P106" i="20" s="1"/>
  <c r="M127" i="19"/>
  <c r="P107" i="27"/>
  <c r="P113" i="27" s="1"/>
  <c r="P137" i="27"/>
  <c r="P143" i="27" s="1"/>
  <c r="P105" i="27"/>
  <c r="P111" i="27" s="1"/>
  <c r="AJ8" i="26"/>
  <c r="AJ14" i="26" s="1"/>
  <c r="AJ20" i="26" s="1"/>
  <c r="AJ26" i="26" s="1"/>
  <c r="AJ31" i="19"/>
  <c r="AJ38" i="19" s="1"/>
  <c r="AJ46" i="19" s="1"/>
  <c r="AJ204" i="26"/>
  <c r="AJ210" i="26" s="1"/>
  <c r="AJ216" i="26" s="1"/>
  <c r="AJ222" i="26" s="1"/>
  <c r="J99" i="20"/>
  <c r="J105" i="20" s="1"/>
  <c r="J111" i="20" s="1"/>
  <c r="J117" i="20" s="1"/>
  <c r="J76" i="27"/>
  <c r="J82" i="27" s="1"/>
  <c r="J27" i="20"/>
  <c r="J34" i="20" s="1"/>
  <c r="Q98" i="26"/>
  <c r="Q230" i="26"/>
  <c r="Q65" i="26"/>
  <c r="Q32" i="26"/>
  <c r="Q164" i="26"/>
  <c r="Q131" i="26"/>
  <c r="Q197" i="26"/>
  <c r="Q6" i="52"/>
  <c r="AC163" i="19"/>
  <c r="K28" i="20"/>
  <c r="K35" i="20" s="1"/>
  <c r="K43" i="20" s="1"/>
  <c r="K139" i="27"/>
  <c r="K145" i="27" s="1"/>
  <c r="K98" i="20"/>
  <c r="K104" i="20" s="1"/>
  <c r="D205" i="27"/>
  <c r="D211" i="27" s="1"/>
  <c r="D217" i="27" s="1"/>
  <c r="D223" i="27" s="1"/>
  <c r="D207" i="27"/>
  <c r="D213" i="27" s="1"/>
  <c r="D219" i="27" s="1"/>
  <c r="D225" i="27" s="1"/>
  <c r="D174" i="27"/>
  <c r="D180" i="27" s="1"/>
  <c r="D186" i="27" s="1"/>
  <c r="D192" i="27" s="1"/>
  <c r="R54" i="19"/>
  <c r="R9" i="52" s="1"/>
  <c r="R26" i="52"/>
  <c r="R86" i="19"/>
  <c r="I40" i="27"/>
  <c r="I46" i="27" s="1"/>
  <c r="I6" i="27"/>
  <c r="I12" i="27" s="1"/>
  <c r="I31" i="20"/>
  <c r="I38" i="20" s="1"/>
  <c r="Y125" i="32"/>
  <c r="Y134" i="32"/>
  <c r="V50" i="19"/>
  <c r="V160" i="19" s="1"/>
  <c r="V78" i="52"/>
  <c r="Y87" i="32"/>
  <c r="Y106" i="32"/>
  <c r="Y78" i="32"/>
  <c r="Y115" i="32"/>
  <c r="Y96" i="32"/>
  <c r="AB54" i="27"/>
  <c r="AB60" i="27" s="1"/>
  <c r="O66" i="20"/>
  <c r="O72" i="20" s="1"/>
  <c r="O78" i="20" s="1"/>
  <c r="O84" i="20" s="1"/>
  <c r="O105" i="27"/>
  <c r="O111" i="27" s="1"/>
  <c r="O117" i="27" s="1"/>
  <c r="O123" i="27" s="1"/>
  <c r="K81" i="52"/>
  <c r="N109" i="32"/>
  <c r="N137" i="32"/>
  <c r="N90" i="32"/>
  <c r="N99" i="32"/>
  <c r="N81" i="32"/>
  <c r="N128" i="32"/>
  <c r="K53" i="19"/>
  <c r="K163" i="19" s="1"/>
  <c r="N118" i="32"/>
  <c r="R189" i="32"/>
  <c r="R190" i="32" s="1"/>
  <c r="R22" i="34" s="1"/>
  <c r="R36" i="34" s="1"/>
  <c r="R199" i="32"/>
  <c r="R21" i="34" s="1"/>
  <c r="R35" i="34" s="1"/>
  <c r="Y64" i="26"/>
  <c r="Y97" i="26"/>
  <c r="Y229" i="26"/>
  <c r="Y57" i="52"/>
  <c r="Y196" i="26"/>
  <c r="Y163" i="26"/>
  <c r="Y130" i="26"/>
  <c r="Y31" i="26"/>
  <c r="Y5" i="52"/>
  <c r="Y88" i="19"/>
  <c r="Y124" i="19"/>
  <c r="AH141" i="27"/>
  <c r="AH147" i="27" s="1"/>
  <c r="AH153" i="27" s="1"/>
  <c r="AH159" i="27" s="1"/>
  <c r="AH38" i="27"/>
  <c r="AH44" i="27" s="1"/>
  <c r="AH50" i="27" s="1"/>
  <c r="AH56" i="27" s="1"/>
  <c r="AH64" i="20"/>
  <c r="AH70" i="20" s="1"/>
  <c r="AH76" i="20" s="1"/>
  <c r="AH82" i="20" s="1"/>
  <c r="AE130" i="26"/>
  <c r="AE97" i="26"/>
  <c r="AE31" i="26"/>
  <c r="AE64" i="26"/>
  <c r="AE229" i="26"/>
  <c r="AE196" i="26"/>
  <c r="AE163" i="26"/>
  <c r="AE57" i="52"/>
  <c r="AE5" i="52"/>
  <c r="AL72" i="26"/>
  <c r="AL78" i="26" s="1"/>
  <c r="AL84" i="26" s="1"/>
  <c r="AL90" i="26" s="1"/>
  <c r="AL99" i="19"/>
  <c r="AL105" i="19" s="1"/>
  <c r="AL111" i="19" s="1"/>
  <c r="AL117" i="19" s="1"/>
  <c r="AL134" i="19"/>
  <c r="AL140" i="19" s="1"/>
  <c r="AL146" i="19" s="1"/>
  <c r="AL152" i="19" s="1"/>
  <c r="P166" i="26"/>
  <c r="P67" i="26"/>
  <c r="P232" i="26"/>
  <c r="P199" i="26"/>
  <c r="P133" i="26"/>
  <c r="P100" i="26"/>
  <c r="P34" i="26"/>
  <c r="P127" i="19"/>
  <c r="V201" i="32"/>
  <c r="Z191" i="32"/>
  <c r="R122" i="19"/>
  <c r="U133" i="32"/>
  <c r="AB154" i="27"/>
  <c r="AB160" i="27" s="1"/>
  <c r="Z137" i="27"/>
  <c r="Z143" i="27" s="1"/>
  <c r="Z149" i="27" s="1"/>
  <c r="Z155" i="27" s="1"/>
  <c r="Z32" i="20"/>
  <c r="Z39" i="20" s="1"/>
  <c r="Z40" i="20" s="1"/>
  <c r="AK74" i="19"/>
  <c r="AK80" i="19" s="1"/>
  <c r="AK86" i="19" s="1"/>
  <c r="V183" i="32"/>
  <c r="D50" i="27"/>
  <c r="D56" i="27" s="1"/>
  <c r="D46" i="20"/>
  <c r="D44" i="20"/>
  <c r="I42" i="27"/>
  <c r="I48" i="27" s="1"/>
  <c r="I137" i="27"/>
  <c r="I143" i="27" s="1"/>
  <c r="I66" i="20"/>
  <c r="I72" i="20" s="1"/>
  <c r="O140" i="27"/>
  <c r="O146" i="27" s="1"/>
  <c r="O152" i="27" s="1"/>
  <c r="O158" i="27" s="1"/>
  <c r="O107" i="27"/>
  <c r="O113" i="27" s="1"/>
  <c r="O119" i="27" s="1"/>
  <c r="O125" i="27" s="1"/>
  <c r="O39" i="27"/>
  <c r="O45" i="27" s="1"/>
  <c r="O51" i="27" s="1"/>
  <c r="O57" i="27" s="1"/>
  <c r="K80" i="52"/>
  <c r="N117" i="32"/>
  <c r="N108" i="32"/>
  <c r="N80" i="32"/>
  <c r="N89" i="32"/>
  <c r="N98" i="32"/>
  <c r="N136" i="32"/>
  <c r="K52" i="19"/>
  <c r="K162" i="19" s="1"/>
  <c r="N127" i="32"/>
  <c r="AH83" i="27"/>
  <c r="AH89" i="27" s="1"/>
  <c r="AH45" i="20"/>
  <c r="AH120" i="27"/>
  <c r="AH126" i="27" s="1"/>
  <c r="AL203" i="26"/>
  <c r="AL209" i="26" s="1"/>
  <c r="AL215" i="26" s="1"/>
  <c r="AL221" i="26" s="1"/>
  <c r="AL205" i="26"/>
  <c r="AL211" i="26" s="1"/>
  <c r="AL217" i="26" s="1"/>
  <c r="AL223" i="26" s="1"/>
  <c r="AL138" i="26"/>
  <c r="AL144" i="26" s="1"/>
  <c r="AL150" i="26" s="1"/>
  <c r="AL156" i="26" s="1"/>
  <c r="S62" i="26"/>
  <c r="S95" i="26"/>
  <c r="S227" i="26"/>
  <c r="S29" i="26"/>
  <c r="S194" i="26"/>
  <c r="S128" i="26"/>
  <c r="S161" i="26"/>
  <c r="S3" i="52"/>
  <c r="S86" i="19"/>
  <c r="Q81" i="52"/>
  <c r="Q53" i="19"/>
  <c r="T90" i="32"/>
  <c r="T128" i="32"/>
  <c r="T109" i="32"/>
  <c r="T81" i="32"/>
  <c r="T99" i="32"/>
  <c r="T137" i="32"/>
  <c r="T118" i="32"/>
  <c r="Q125" i="19"/>
  <c r="AK119" i="26"/>
  <c r="AK125" i="26" s="1"/>
  <c r="U86" i="32"/>
  <c r="Y163" i="19"/>
  <c r="AB216" i="27"/>
  <c r="AB222" i="27" s="1"/>
  <c r="Z107" i="27"/>
  <c r="Z113" i="27" s="1"/>
  <c r="Z119" i="27" s="1"/>
  <c r="Z125" i="27" s="1"/>
  <c r="Z101" i="20"/>
  <c r="Z107" i="20" s="1"/>
  <c r="Z113" i="20" s="1"/>
  <c r="Z119" i="20" s="1"/>
  <c r="Z170" i="27"/>
  <c r="Z176" i="27" s="1"/>
  <c r="Z182" i="27" s="1"/>
  <c r="Z188" i="27" s="1"/>
  <c r="AK151" i="19"/>
  <c r="AK157" i="19" s="1"/>
  <c r="AA80" i="32"/>
  <c r="AJ74" i="19"/>
  <c r="AJ80" i="19" s="1"/>
  <c r="E47" i="33"/>
  <c r="K44" i="33"/>
  <c r="AE123" i="32"/>
  <c r="AE104" i="32"/>
  <c r="AE76" i="32"/>
  <c r="AE132" i="32"/>
  <c r="AE94" i="32"/>
  <c r="AE113" i="32"/>
  <c r="AB48" i="19"/>
  <c r="AB76" i="52"/>
  <c r="AB47" i="19"/>
  <c r="AE85" i="32"/>
  <c r="AB93" i="19"/>
  <c r="AB129" i="19"/>
  <c r="AB165" i="19"/>
  <c r="P7" i="27"/>
  <c r="P13" i="27" s="1"/>
  <c r="P29" i="20"/>
  <c r="P36" i="20" s="1"/>
  <c r="P101" i="20"/>
  <c r="P107" i="20" s="1"/>
  <c r="V124" i="19"/>
  <c r="AJ30" i="19"/>
  <c r="AJ37" i="19" s="1"/>
  <c r="AJ45" i="19" s="1"/>
  <c r="AJ75" i="26"/>
  <c r="AJ81" i="26" s="1"/>
  <c r="AJ87" i="26" s="1"/>
  <c r="AJ93" i="26" s="1"/>
  <c r="AJ29" i="19"/>
  <c r="AJ36" i="19" s="1"/>
  <c r="AJ44" i="19" s="1"/>
  <c r="J38" i="27"/>
  <c r="J44" i="27" s="1"/>
  <c r="J50" i="27" s="1"/>
  <c r="J56" i="27" s="1"/>
  <c r="J40" i="27"/>
  <c r="J46" i="27" s="1"/>
  <c r="J172" i="27"/>
  <c r="J178" i="27" s="1"/>
  <c r="J184" i="27" s="1"/>
  <c r="J190" i="27" s="1"/>
  <c r="AK158" i="19"/>
  <c r="K32" i="20"/>
  <c r="K39" i="20" s="1"/>
  <c r="K40" i="20" s="1"/>
  <c r="K31" i="20"/>
  <c r="K38" i="20" s="1"/>
  <c r="K46" i="20" s="1"/>
  <c r="K207" i="27"/>
  <c r="K213" i="27" s="1"/>
  <c r="P39" i="27"/>
  <c r="P45" i="27" s="1"/>
  <c r="P204" i="27"/>
  <c r="P210" i="27" s="1"/>
  <c r="P205" i="27"/>
  <c r="P211" i="27" s="1"/>
  <c r="W31" i="27"/>
  <c r="W229" i="27"/>
  <c r="W97" i="27"/>
  <c r="W130" i="27"/>
  <c r="W163" i="27"/>
  <c r="W64" i="27"/>
  <c r="W196" i="27"/>
  <c r="W63" i="52"/>
  <c r="W5" i="52"/>
  <c r="AJ102" i="19"/>
  <c r="AJ108" i="19" s="1"/>
  <c r="AJ114" i="19" s="1"/>
  <c r="AJ120" i="19" s="1"/>
  <c r="AJ206" i="26"/>
  <c r="AJ212" i="26" s="1"/>
  <c r="AJ218" i="26" s="1"/>
  <c r="AJ224" i="26" s="1"/>
  <c r="AJ98" i="19"/>
  <c r="AJ104" i="19" s="1"/>
  <c r="AJ110" i="19" s="1"/>
  <c r="AJ116" i="19" s="1"/>
  <c r="J98" i="20"/>
  <c r="J104" i="20" s="1"/>
  <c r="J106" i="27"/>
  <c r="J112" i="27" s="1"/>
  <c r="J118" i="27" s="1"/>
  <c r="J124" i="27" s="1"/>
  <c r="J63" i="20"/>
  <c r="J69" i="20" s="1"/>
  <c r="J75" i="20" s="1"/>
  <c r="J81" i="20" s="1"/>
  <c r="AB197" i="26"/>
  <c r="AB230" i="26"/>
  <c r="AB164" i="26"/>
  <c r="AB131" i="26"/>
  <c r="AB65" i="26"/>
  <c r="AB32" i="26"/>
  <c r="AB98" i="26"/>
  <c r="M199" i="32"/>
  <c r="L21" i="34" s="1"/>
  <c r="L35" i="34" s="1"/>
  <c r="M189" i="32"/>
  <c r="M190" i="32" s="1"/>
  <c r="L22" i="34" s="1"/>
  <c r="L36" i="34" s="1"/>
  <c r="M91" i="19"/>
  <c r="K106" i="27"/>
  <c r="K112" i="27" s="1"/>
  <c r="K9" i="27"/>
  <c r="K15" i="27" s="1"/>
  <c r="K173" i="27"/>
  <c r="K179" i="27" s="1"/>
  <c r="K185" i="27" s="1"/>
  <c r="K191" i="27" s="1"/>
  <c r="D43" i="27"/>
  <c r="D49" i="27" s="1"/>
  <c r="D55" i="27" s="1"/>
  <c r="D61" i="27" s="1"/>
  <c r="D42" i="27"/>
  <c r="D48" i="27" s="1"/>
  <c r="D54" i="27" s="1"/>
  <c r="D60" i="27" s="1"/>
  <c r="D141" i="27"/>
  <c r="D147" i="27" s="1"/>
  <c r="D153" i="27" s="1"/>
  <c r="D159" i="27" s="1"/>
  <c r="I142" i="27"/>
  <c r="I148" i="27" s="1"/>
  <c r="I63" i="20"/>
  <c r="I69" i="20" s="1"/>
  <c r="I73" i="27"/>
  <c r="I79" i="27" s="1"/>
  <c r="L199" i="32"/>
  <c r="K21" i="34" s="1"/>
  <c r="K35" i="34" s="1"/>
  <c r="L189" i="32"/>
  <c r="L190" i="32" s="1"/>
  <c r="K22" i="34" s="1"/>
  <c r="K36" i="34" s="1"/>
  <c r="AB77" i="20"/>
  <c r="AB83" i="20" s="1"/>
  <c r="AL81" i="32"/>
  <c r="AL109" i="32"/>
  <c r="AL128" i="32"/>
  <c r="AL90" i="32"/>
  <c r="AL137" i="32"/>
  <c r="AL99" i="32"/>
  <c r="AL118" i="32"/>
  <c r="AI81" i="52"/>
  <c r="AI53" i="19"/>
  <c r="O207" i="27"/>
  <c r="O213" i="27" s="1"/>
  <c r="O219" i="27" s="1"/>
  <c r="O225" i="27" s="1"/>
  <c r="O136" i="20"/>
  <c r="O142" i="20" s="1"/>
  <c r="O148" i="20" s="1"/>
  <c r="O154" i="20" s="1"/>
  <c r="O174" i="27"/>
  <c r="O180" i="27" s="1"/>
  <c r="O186" i="27" s="1"/>
  <c r="O192" i="27" s="1"/>
  <c r="AB229" i="26"/>
  <c r="AB163" i="26"/>
  <c r="AB97" i="26"/>
  <c r="AB31" i="26"/>
  <c r="AB64" i="26"/>
  <c r="AB196" i="26"/>
  <c r="AB130" i="26"/>
  <c r="AH27" i="20"/>
  <c r="AH34" i="20" s="1"/>
  <c r="AH42" i="20" s="1"/>
  <c r="AH40" i="27"/>
  <c r="AH46" i="27" s="1"/>
  <c r="AH52" i="27" s="1"/>
  <c r="AH58" i="27" s="1"/>
  <c r="AH100" i="20"/>
  <c r="AH106" i="20" s="1"/>
  <c r="AH112" i="20" s="1"/>
  <c r="AH118" i="20" s="1"/>
  <c r="U78" i="32"/>
  <c r="U106" i="32"/>
  <c r="U115" i="32"/>
  <c r="U125" i="32"/>
  <c r="U87" i="32"/>
  <c r="R50" i="19"/>
  <c r="R78" i="52"/>
  <c r="U134" i="32"/>
  <c r="U96" i="32"/>
  <c r="AL66" i="19"/>
  <c r="AL72" i="19" s="1"/>
  <c r="AL78" i="19" s="1"/>
  <c r="AL84" i="19" s="1"/>
  <c r="AO112" i="32"/>
  <c r="AC26" i="34" s="1"/>
  <c r="AC40" i="34" s="1"/>
  <c r="AO102" i="32"/>
  <c r="AO103" i="32" s="1"/>
  <c r="AC27" i="34" s="1"/>
  <c r="AC41" i="34" s="1"/>
  <c r="AL8" i="26"/>
  <c r="AL14" i="26" s="1"/>
  <c r="AL20" i="26" s="1"/>
  <c r="AL26" i="26" s="1"/>
  <c r="U58" i="52"/>
  <c r="R162" i="19"/>
  <c r="AK84" i="26"/>
  <c r="AK90" i="26" s="1"/>
  <c r="Y126" i="19"/>
  <c r="Z102" i="20"/>
  <c r="Z108" i="20" s="1"/>
  <c r="Z114" i="20" s="1"/>
  <c r="Z120" i="20" s="1"/>
  <c r="Z174" i="27"/>
  <c r="Z180" i="27" s="1"/>
  <c r="Z186" i="27" s="1"/>
  <c r="Z192" i="27" s="1"/>
  <c r="Z105" i="27"/>
  <c r="Z111" i="27" s="1"/>
  <c r="Z117" i="27" s="1"/>
  <c r="Z123" i="27" s="1"/>
  <c r="AK183" i="26"/>
  <c r="AK189" i="26" s="1"/>
  <c r="AA127" i="32"/>
  <c r="P208" i="27"/>
  <c r="P214" i="27" s="1"/>
  <c r="P220" i="27" s="1"/>
  <c r="P226" i="27" s="1"/>
  <c r="P207" i="27"/>
  <c r="P213" i="27" s="1"/>
  <c r="P74" i="27"/>
  <c r="P80" i="27" s="1"/>
  <c r="P86" i="27" s="1"/>
  <c r="P92" i="27" s="1"/>
  <c r="S189" i="32"/>
  <c r="S190" i="32" s="1"/>
  <c r="O22" i="34" s="1"/>
  <c r="O36" i="34" s="1"/>
  <c r="S199" i="32"/>
  <c r="O21" i="34" s="1"/>
  <c r="O35" i="34" s="1"/>
  <c r="AJ105" i="26"/>
  <c r="AJ111" i="26" s="1"/>
  <c r="AJ117" i="26" s="1"/>
  <c r="AJ123" i="26" s="1"/>
  <c r="AJ99" i="19"/>
  <c r="AJ105" i="19" s="1"/>
  <c r="AJ111" i="19" s="1"/>
  <c r="AJ117" i="19" s="1"/>
  <c r="AJ106" i="26"/>
  <c r="AJ112" i="26" s="1"/>
  <c r="AJ118" i="26" s="1"/>
  <c r="AJ124" i="26" s="1"/>
  <c r="J135" i="20"/>
  <c r="J141" i="20" s="1"/>
  <c r="J147" i="20" s="1"/>
  <c r="J153" i="20" s="1"/>
  <c r="J71" i="27"/>
  <c r="J77" i="27" s="1"/>
  <c r="J5" i="27"/>
  <c r="J11" i="27" s="1"/>
  <c r="X122" i="19"/>
  <c r="N180" i="32"/>
  <c r="M19" i="34" s="1"/>
  <c r="M33" i="34" s="1"/>
  <c r="N170" i="32"/>
  <c r="N171" i="32" s="1"/>
  <c r="M20" i="34" s="1"/>
  <c r="M34" i="34" s="1"/>
  <c r="K170" i="27"/>
  <c r="K176" i="27" s="1"/>
  <c r="K182" i="27" s="1"/>
  <c r="K188" i="27" s="1"/>
  <c r="K8" i="27"/>
  <c r="K14" i="27" s="1"/>
  <c r="D19" i="27"/>
  <c r="D25" i="27" s="1"/>
  <c r="D120" i="27"/>
  <c r="D126" i="27" s="1"/>
  <c r="D86" i="27"/>
  <c r="D92" i="27" s="1"/>
  <c r="P123" i="19"/>
  <c r="Y76" i="32"/>
  <c r="Y123" i="32"/>
  <c r="Y113" i="32"/>
  <c r="V47" i="19"/>
  <c r="Y94" i="32"/>
  <c r="Y104" i="32"/>
  <c r="Y132" i="32"/>
  <c r="V76" i="52"/>
  <c r="V48" i="19"/>
  <c r="V158" i="19" s="1"/>
  <c r="V93" i="19"/>
  <c r="AF29" i="52"/>
  <c r="AF22" i="52"/>
  <c r="I208" i="27"/>
  <c r="I214" i="27" s="1"/>
  <c r="I172" i="27"/>
  <c r="I178" i="27" s="1"/>
  <c r="I9" i="27"/>
  <c r="I15" i="27" s="1"/>
  <c r="V122" i="19"/>
  <c r="O141" i="27"/>
  <c r="O147" i="27" s="1"/>
  <c r="O153" i="27" s="1"/>
  <c r="O159" i="27" s="1"/>
  <c r="O62" i="20"/>
  <c r="O68" i="20" s="1"/>
  <c r="O74" i="20" s="1"/>
  <c r="O80" i="20" s="1"/>
  <c r="O30" i="20"/>
  <c r="O37" i="20" s="1"/>
  <c r="O45" i="20" s="1"/>
  <c r="AH6" i="27"/>
  <c r="AH12" i="27" s="1"/>
  <c r="AH18" i="27" s="1"/>
  <c r="AH24" i="27" s="1"/>
  <c r="AH136" i="20"/>
  <c r="AH142" i="20" s="1"/>
  <c r="AH148" i="20" s="1"/>
  <c r="AH154" i="20" s="1"/>
  <c r="AH28" i="20"/>
  <c r="AH35" i="20" s="1"/>
  <c r="AH43" i="20" s="1"/>
  <c r="AL100" i="19"/>
  <c r="AL106" i="19" s="1"/>
  <c r="AL112" i="19" s="1"/>
  <c r="AL118" i="19" s="1"/>
  <c r="AL63" i="19"/>
  <c r="AL69" i="19" s="1"/>
  <c r="AL75" i="19" s="1"/>
  <c r="AL81" i="19" s="1"/>
  <c r="AL175" i="26"/>
  <c r="AL181" i="26" s="1"/>
  <c r="AL187" i="26" s="1"/>
  <c r="AL193" i="26" s="1"/>
  <c r="S54" i="19"/>
  <c r="S9" i="52" s="1"/>
  <c r="S26" i="52"/>
  <c r="T125" i="32"/>
  <c r="T106" i="32"/>
  <c r="T134" i="32"/>
  <c r="T96" i="32"/>
  <c r="T78" i="32"/>
  <c r="T115" i="32"/>
  <c r="Q78" i="52"/>
  <c r="T87" i="32"/>
  <c r="Q50" i="19"/>
  <c r="AI88" i="19"/>
  <c r="V125" i="19"/>
  <c r="P86" i="19"/>
  <c r="AK79" i="19"/>
  <c r="AK85" i="19" s="1"/>
  <c r="AN62" i="26"/>
  <c r="AN161" i="26"/>
  <c r="AN95" i="26"/>
  <c r="AN194" i="26"/>
  <c r="AN29" i="26"/>
  <c r="AN128" i="26"/>
  <c r="AN227" i="26"/>
  <c r="AN3" i="52"/>
  <c r="AB162" i="19"/>
  <c r="Z29" i="20"/>
  <c r="Z36" i="20" s="1"/>
  <c r="Z44" i="20" s="1"/>
  <c r="Z74" i="27"/>
  <c r="Z80" i="27" s="1"/>
  <c r="Z86" i="27" s="1"/>
  <c r="Z92" i="27" s="1"/>
  <c r="Z10" i="27"/>
  <c r="Z16" i="27" s="1"/>
  <c r="Z22" i="27" s="1"/>
  <c r="Z28" i="27" s="1"/>
  <c r="AA117" i="32"/>
  <c r="P75" i="20"/>
  <c r="P81" i="20" s="1"/>
  <c r="J79" i="20"/>
  <c r="J85" i="20" s="1"/>
  <c r="P171" i="27"/>
  <c r="P177" i="27" s="1"/>
  <c r="P183" i="27" s="1"/>
  <c r="P189" i="27" s="1"/>
  <c r="S180" i="32"/>
  <c r="O19" i="34" s="1"/>
  <c r="O33" i="34" s="1"/>
  <c r="S170" i="32"/>
  <c r="S171" i="32" s="1"/>
  <c r="O20" i="34" s="1"/>
  <c r="O34" i="34" s="1"/>
  <c r="P66" i="20"/>
  <c r="P72" i="20" s="1"/>
  <c r="P78" i="20" s="1"/>
  <c r="P84" i="20" s="1"/>
  <c r="Z96" i="26"/>
  <c r="Z228" i="26"/>
  <c r="Z129" i="26"/>
  <c r="Z195" i="26"/>
  <c r="Z162" i="26"/>
  <c r="Z63" i="26"/>
  <c r="Z30" i="26"/>
  <c r="Z87" i="19"/>
  <c r="W60" i="11"/>
  <c r="T129" i="52" s="1"/>
  <c r="W58" i="11"/>
  <c r="T135" i="52" s="1"/>
  <c r="W51" i="11"/>
  <c r="T126" i="52" s="1"/>
  <c r="W62" i="11"/>
  <c r="T124" i="52" s="1"/>
  <c r="W61" i="11"/>
  <c r="W56" i="11"/>
  <c r="T122" i="52" s="1"/>
  <c r="W54" i="11"/>
  <c r="T127" i="52" s="1"/>
  <c r="W50" i="11"/>
  <c r="T120" i="52" s="1"/>
  <c r="W63" i="11"/>
  <c r="W55" i="11"/>
  <c r="T134" i="52" s="1"/>
  <c r="W59" i="11"/>
  <c r="T123" i="52" s="1"/>
  <c r="W57" i="11"/>
  <c r="T128" i="52" s="1"/>
  <c r="W52" i="11"/>
  <c r="T133" i="52" s="1"/>
  <c r="W47" i="11"/>
  <c r="W48" i="11"/>
  <c r="W53" i="11"/>
  <c r="W49" i="11"/>
  <c r="T132" i="52" s="1"/>
  <c r="W46" i="11"/>
  <c r="AJ39" i="26"/>
  <c r="AJ45" i="26" s="1"/>
  <c r="AJ51" i="26" s="1"/>
  <c r="AJ57" i="26" s="1"/>
  <c r="AJ135" i="19"/>
  <c r="AJ141" i="19" s="1"/>
  <c r="AJ147" i="19" s="1"/>
  <c r="AJ153" i="19" s="1"/>
  <c r="AJ40" i="26"/>
  <c r="AJ46" i="26" s="1"/>
  <c r="AJ52" i="26" s="1"/>
  <c r="AJ58" i="26" s="1"/>
  <c r="Z123" i="19"/>
  <c r="J134" i="20"/>
  <c r="J140" i="20" s="1"/>
  <c r="J64" i="20"/>
  <c r="J70" i="20" s="1"/>
  <c r="J76" i="20" s="1"/>
  <c r="J82" i="20" s="1"/>
  <c r="J73" i="27"/>
  <c r="J79" i="27" s="1"/>
  <c r="G199" i="32"/>
  <c r="E21" i="34" s="1"/>
  <c r="E35" i="34" s="1"/>
  <c r="G189" i="32"/>
  <c r="G190" i="32" s="1"/>
  <c r="E22" i="34" s="1"/>
  <c r="E36" i="34" s="1"/>
  <c r="K137" i="20"/>
  <c r="K143" i="20" s="1"/>
  <c r="K149" i="20" s="1"/>
  <c r="K155" i="20" s="1"/>
  <c r="K43" i="27"/>
  <c r="K49" i="27" s="1"/>
  <c r="K76" i="27"/>
  <c r="K82" i="27" s="1"/>
  <c r="K88" i="27" s="1"/>
  <c r="K94" i="27" s="1"/>
  <c r="D138" i="20"/>
  <c r="D144" i="20" s="1"/>
  <c r="D150" i="20" s="1"/>
  <c r="D156" i="20" s="1"/>
  <c r="D67" i="20"/>
  <c r="D73" i="20" s="1"/>
  <c r="D79" i="20" s="1"/>
  <c r="D85" i="20" s="1"/>
  <c r="D103" i="20"/>
  <c r="D109" i="20" s="1"/>
  <c r="D115" i="20" s="1"/>
  <c r="D121" i="20" s="1"/>
  <c r="AB215" i="27"/>
  <c r="AB221" i="27" s="1"/>
  <c r="AF27" i="52"/>
  <c r="AF49" i="52"/>
  <c r="AF53" i="52"/>
  <c r="AF51" i="52"/>
  <c r="AF54" i="52"/>
  <c r="AF65" i="52"/>
  <c r="AF50" i="52"/>
  <c r="AF52" i="52"/>
  <c r="AF64" i="52"/>
  <c r="AF62" i="52"/>
  <c r="AF66" i="52"/>
  <c r="AF61" i="52"/>
  <c r="AF63" i="52"/>
  <c r="AF56" i="52"/>
  <c r="AF57" i="52"/>
  <c r="AF59" i="52"/>
  <c r="I109" i="27"/>
  <c r="I115" i="27" s="1"/>
  <c r="I121" i="27" s="1"/>
  <c r="I127" i="27" s="1"/>
  <c r="I39" i="27"/>
  <c r="I45" i="27" s="1"/>
  <c r="I71" i="27"/>
  <c r="I77" i="27" s="1"/>
  <c r="AE230" i="26"/>
  <c r="AE197" i="26"/>
  <c r="AE164" i="26"/>
  <c r="AE131" i="26"/>
  <c r="AE32" i="26"/>
  <c r="AE58" i="52"/>
  <c r="AE98" i="26"/>
  <c r="AE65" i="26"/>
  <c r="AE6" i="52"/>
  <c r="V129" i="19"/>
  <c r="O42" i="27"/>
  <c r="O48" i="27" s="1"/>
  <c r="O54" i="27" s="1"/>
  <c r="O60" i="27" s="1"/>
  <c r="O32" i="20"/>
  <c r="O39" i="20" s="1"/>
  <c r="O40" i="20" s="1"/>
  <c r="O170" i="27"/>
  <c r="O176" i="27" s="1"/>
  <c r="O182" i="27" s="1"/>
  <c r="O188" i="27" s="1"/>
  <c r="AK125" i="19"/>
  <c r="AH205" i="27"/>
  <c r="AH211" i="27" s="1"/>
  <c r="AH217" i="27" s="1"/>
  <c r="AH223" i="27" s="1"/>
  <c r="AH72" i="27"/>
  <c r="AH78" i="27" s="1"/>
  <c r="AH84" i="27" s="1"/>
  <c r="AH90" i="27" s="1"/>
  <c r="AH170" i="27"/>
  <c r="AH176" i="27" s="1"/>
  <c r="AH182" i="27" s="1"/>
  <c r="AH188" i="27" s="1"/>
  <c r="AL9" i="26"/>
  <c r="AL15" i="26" s="1"/>
  <c r="AL21" i="26" s="1"/>
  <c r="AL27" i="26" s="1"/>
  <c r="AL107" i="26"/>
  <c r="AL113" i="26" s="1"/>
  <c r="AL119" i="26" s="1"/>
  <c r="AL125" i="26" s="1"/>
  <c r="AL43" i="26"/>
  <c r="AL49" i="26" s="1"/>
  <c r="AL55" i="26" s="1"/>
  <c r="AL61" i="26" s="1"/>
  <c r="U62" i="52"/>
  <c r="V126" i="19"/>
  <c r="AB41" i="20"/>
  <c r="AC194" i="26"/>
  <c r="AC227" i="26"/>
  <c r="AC29" i="26"/>
  <c r="AC161" i="26"/>
  <c r="AC62" i="26"/>
  <c r="AC95" i="26"/>
  <c r="AC128" i="26"/>
  <c r="AC3" i="52"/>
  <c r="AC158" i="19"/>
  <c r="AC122" i="19"/>
  <c r="M161" i="19"/>
  <c r="AB161" i="19"/>
  <c r="Z63" i="20"/>
  <c r="Z69" i="20" s="1"/>
  <c r="Z75" i="20" s="1"/>
  <c r="Z81" i="20" s="1"/>
  <c r="Z41" i="27"/>
  <c r="Z47" i="27" s="1"/>
  <c r="Z53" i="27" s="1"/>
  <c r="Z59" i="27" s="1"/>
  <c r="Z136" i="20"/>
  <c r="Z142" i="20" s="1"/>
  <c r="Z148" i="20" s="1"/>
  <c r="Z154" i="20" s="1"/>
  <c r="D127" i="19"/>
  <c r="P17" i="20"/>
  <c r="P19" i="20" s="1"/>
  <c r="P99" i="20"/>
  <c r="P105" i="20" s="1"/>
  <c r="P172" i="27"/>
  <c r="P178" i="27" s="1"/>
  <c r="P184" i="27" s="1"/>
  <c r="P190" i="27" s="1"/>
  <c r="AJ41" i="19"/>
  <c r="AJ152" i="26"/>
  <c r="AJ158" i="26" s="1"/>
  <c r="AJ112" i="19"/>
  <c r="AJ118" i="19" s="1"/>
  <c r="J149" i="20"/>
  <c r="J155" i="20" s="1"/>
  <c r="J151" i="20"/>
  <c r="J157" i="20" s="1"/>
  <c r="J150" i="27"/>
  <c r="J156" i="27" s="1"/>
  <c r="M229" i="26"/>
  <c r="M196" i="26"/>
  <c r="M163" i="26"/>
  <c r="M130" i="26"/>
  <c r="M64" i="26"/>
  <c r="M97" i="26"/>
  <c r="M31" i="26"/>
  <c r="Y108" i="32"/>
  <c r="Y136" i="32"/>
  <c r="V80" i="52"/>
  <c r="Y80" i="32"/>
  <c r="Y98" i="32"/>
  <c r="V52" i="19"/>
  <c r="Y89" i="32"/>
  <c r="Y127" i="32"/>
  <c r="Y117" i="32"/>
  <c r="K84" i="27"/>
  <c r="K90" i="27" s="1"/>
  <c r="K150" i="27"/>
  <c r="K156" i="27" s="1"/>
  <c r="D77" i="20"/>
  <c r="D83" i="20" s="1"/>
  <c r="D17" i="27"/>
  <c r="D23" i="27" s="1"/>
  <c r="D220" i="27"/>
  <c r="D226" i="27" s="1"/>
  <c r="S162" i="26"/>
  <c r="S63" i="26"/>
  <c r="S30" i="26"/>
  <c r="S195" i="26"/>
  <c r="S96" i="26"/>
  <c r="S228" i="26"/>
  <c r="S129" i="26"/>
  <c r="S4" i="52"/>
  <c r="I106" i="27"/>
  <c r="I112" i="27" s="1"/>
  <c r="I174" i="27"/>
  <c r="I180" i="27" s="1"/>
  <c r="I17" i="20"/>
  <c r="I19" i="20" s="1"/>
  <c r="N79" i="32"/>
  <c r="N88" i="32"/>
  <c r="N116" i="32"/>
  <c r="K79" i="52"/>
  <c r="N107" i="32"/>
  <c r="N126" i="32"/>
  <c r="K51" i="19"/>
  <c r="N135" i="32"/>
  <c r="N97" i="32"/>
  <c r="U63" i="52"/>
  <c r="V89" i="19"/>
  <c r="O40" i="27"/>
  <c r="O46" i="27" s="1"/>
  <c r="O52" i="27" s="1"/>
  <c r="O58" i="27" s="1"/>
  <c r="O71" i="27"/>
  <c r="O77" i="27" s="1"/>
  <c r="O83" i="27" s="1"/>
  <c r="O89" i="27" s="1"/>
  <c r="O135" i="20"/>
  <c r="O141" i="20" s="1"/>
  <c r="O147" i="20" s="1"/>
  <c r="O153" i="20" s="1"/>
  <c r="AH142" i="27"/>
  <c r="AH148" i="27" s="1"/>
  <c r="AH154" i="27" s="1"/>
  <c r="AH160" i="27" s="1"/>
  <c r="AH9" i="27"/>
  <c r="AH15" i="27" s="1"/>
  <c r="AH21" i="27" s="1"/>
  <c r="AH27" i="27" s="1"/>
  <c r="AH171" i="27"/>
  <c r="AH177" i="27" s="1"/>
  <c r="AH183" i="27" s="1"/>
  <c r="AH189" i="27" s="1"/>
  <c r="Z185" i="32"/>
  <c r="Z204" i="32"/>
  <c r="W86" i="52"/>
  <c r="Z176" i="32"/>
  <c r="Z148" i="32"/>
  <c r="Z195" i="32"/>
  <c r="Z166" i="32"/>
  <c r="Z157" i="32"/>
  <c r="W52" i="20"/>
  <c r="AL135" i="19"/>
  <c r="AL141" i="19" s="1"/>
  <c r="AL147" i="19" s="1"/>
  <c r="AL153" i="19" s="1"/>
  <c r="AL6" i="26"/>
  <c r="AL12" i="26" s="1"/>
  <c r="AL18" i="26" s="1"/>
  <c r="AL24" i="26" s="1"/>
  <c r="AL32" i="19"/>
  <c r="AL39" i="19" s="1"/>
  <c r="AL40" i="19" s="1"/>
  <c r="AB115" i="20"/>
  <c r="AB121" i="20" s="1"/>
  <c r="AE232" i="26"/>
  <c r="AE133" i="26"/>
  <c r="AE34" i="26"/>
  <c r="AE100" i="26"/>
  <c r="AE60" i="52"/>
  <c r="AE199" i="26"/>
  <c r="AE166" i="26"/>
  <c r="AE67" i="26"/>
  <c r="AE8" i="52"/>
  <c r="AI160" i="19"/>
  <c r="K48" i="19"/>
  <c r="K86" i="19" s="1"/>
  <c r="K76" i="52"/>
  <c r="N94" i="32"/>
  <c r="N76" i="32"/>
  <c r="N113" i="32"/>
  <c r="N85" i="32"/>
  <c r="N123" i="32"/>
  <c r="N132" i="32"/>
  <c r="K47" i="19"/>
  <c r="N104" i="32"/>
  <c r="K93" i="19"/>
  <c r="V81" i="52"/>
  <c r="Y137" i="32"/>
  <c r="Y81" i="32"/>
  <c r="Y118" i="32"/>
  <c r="Y109" i="32"/>
  <c r="Y90" i="32"/>
  <c r="Y99" i="32"/>
  <c r="Y128" i="32"/>
  <c r="V53" i="19"/>
  <c r="V127" i="19" s="1"/>
  <c r="AE91" i="19"/>
  <c r="AI163" i="19"/>
  <c r="S87" i="20"/>
  <c r="S125" i="19"/>
  <c r="Z67" i="20"/>
  <c r="Z73" i="20" s="1"/>
  <c r="Z79" i="20" s="1"/>
  <c r="Z85" i="20" s="1"/>
  <c r="Z38" i="27"/>
  <c r="Z44" i="27" s="1"/>
  <c r="Z50" i="27" s="1"/>
  <c r="Z56" i="27" s="1"/>
  <c r="Z71" i="27"/>
  <c r="Z77" i="27" s="1"/>
  <c r="Z83" i="27" s="1"/>
  <c r="Z89" i="27" s="1"/>
  <c r="U227" i="27"/>
  <c r="U161" i="27"/>
  <c r="U61" i="52"/>
  <c r="U194" i="27"/>
  <c r="U128" i="27"/>
  <c r="U62" i="27"/>
  <c r="U95" i="27"/>
  <c r="U29" i="27"/>
  <c r="U122" i="20"/>
  <c r="U86" i="20"/>
  <c r="G34" i="26"/>
  <c r="G199" i="26"/>
  <c r="G133" i="26"/>
  <c r="G67" i="26"/>
  <c r="G60" i="52"/>
  <c r="G166" i="26"/>
  <c r="G232" i="26"/>
  <c r="G100" i="26"/>
  <c r="G8" i="52"/>
  <c r="G127" i="19"/>
  <c r="P72" i="27"/>
  <c r="P78" i="27" s="1"/>
  <c r="P41" i="27"/>
  <c r="P47" i="27" s="1"/>
  <c r="P53" i="27" s="1"/>
  <c r="P59" i="27" s="1"/>
  <c r="AB87" i="52"/>
  <c r="AE177" i="32"/>
  <c r="AE196" i="32"/>
  <c r="AB53" i="20"/>
  <c r="AE158" i="32"/>
  <c r="AE186" i="32"/>
  <c r="J115" i="20"/>
  <c r="J121" i="20" s="1"/>
  <c r="I17" i="27"/>
  <c r="I23" i="27" s="1"/>
  <c r="D62" i="26"/>
  <c r="D161" i="26"/>
  <c r="D128" i="26"/>
  <c r="D29" i="26"/>
  <c r="D194" i="26"/>
  <c r="D95" i="26"/>
  <c r="D227" i="26"/>
  <c r="D158" i="19"/>
  <c r="D86" i="19"/>
  <c r="T113" i="32"/>
  <c r="T123" i="32"/>
  <c r="T85" i="32"/>
  <c r="Q48" i="19"/>
  <c r="T132" i="32"/>
  <c r="T104" i="32"/>
  <c r="Q47" i="19"/>
  <c r="T94" i="32"/>
  <c r="T76" i="32"/>
  <c r="Q76" i="52"/>
  <c r="Q93" i="19"/>
  <c r="Q165" i="19"/>
  <c r="Q129" i="19"/>
  <c r="O113" i="20"/>
  <c r="O119" i="20" s="1"/>
  <c r="O134" i="20"/>
  <c r="O140" i="20" s="1"/>
  <c r="O146" i="20" s="1"/>
  <c r="O152" i="20" s="1"/>
  <c r="AN88" i="19"/>
  <c r="AO121" i="32"/>
  <c r="AO122" i="32" s="1"/>
  <c r="AC29" i="34" s="1"/>
  <c r="AC43" i="34" s="1"/>
  <c r="AO131" i="32"/>
  <c r="AC28" i="34" s="1"/>
  <c r="AC42" i="34" s="1"/>
  <c r="AH101" i="20"/>
  <c r="AH107" i="20" s="1"/>
  <c r="AH113" i="20" s="1"/>
  <c r="AH119" i="20" s="1"/>
  <c r="AH39" i="27"/>
  <c r="AH45" i="27" s="1"/>
  <c r="AH51" i="27" s="1"/>
  <c r="AH57" i="27" s="1"/>
  <c r="AH109" i="27"/>
  <c r="AH115" i="27" s="1"/>
  <c r="AH121" i="27" s="1"/>
  <c r="AH127" i="27" s="1"/>
  <c r="AL173" i="26"/>
  <c r="AL179" i="26" s="1"/>
  <c r="AL185" i="26" s="1"/>
  <c r="AL191" i="26" s="1"/>
  <c r="AL41" i="26"/>
  <c r="AL47" i="26" s="1"/>
  <c r="AL53" i="26" s="1"/>
  <c r="AL59" i="26" s="1"/>
  <c r="AL7" i="26"/>
  <c r="AL13" i="26" s="1"/>
  <c r="AL19" i="26" s="1"/>
  <c r="AL25" i="26" s="1"/>
  <c r="AB76" i="20"/>
  <c r="AB82" i="20" s="1"/>
  <c r="AG22" i="52"/>
  <c r="AG29" i="52"/>
  <c r="D125" i="19"/>
  <c r="AC54" i="19"/>
  <c r="AC9" i="52" s="1"/>
  <c r="AC55" i="52" s="1"/>
  <c r="AC26" i="52"/>
  <c r="R30" i="26"/>
  <c r="R195" i="26"/>
  <c r="R96" i="26"/>
  <c r="R162" i="26"/>
  <c r="R129" i="26"/>
  <c r="R63" i="26"/>
  <c r="R56" i="52"/>
  <c r="R228" i="26"/>
  <c r="R4" i="52"/>
  <c r="AC231" i="26"/>
  <c r="AC198" i="26"/>
  <c r="AC165" i="26"/>
  <c r="AC132" i="26"/>
  <c r="AC99" i="26"/>
  <c r="AC33" i="26"/>
  <c r="AC66" i="26"/>
  <c r="AC7" i="52"/>
  <c r="AC90" i="19"/>
  <c r="AI161" i="19"/>
  <c r="Z28" i="20"/>
  <c r="Z35" i="20" s="1"/>
  <c r="Z43" i="20" s="1"/>
  <c r="Z172" i="27"/>
  <c r="Z178" i="27" s="1"/>
  <c r="Z184" i="27" s="1"/>
  <c r="Z190" i="27" s="1"/>
  <c r="Z43" i="27"/>
  <c r="Z49" i="27" s="1"/>
  <c r="Z55" i="27" s="1"/>
  <c r="Z61" i="27" s="1"/>
  <c r="L22" i="52"/>
  <c r="L29" i="52"/>
  <c r="P8" i="27"/>
  <c r="P14" i="27" s="1"/>
  <c r="K159" i="19"/>
  <c r="AJ67" i="19"/>
  <c r="AJ73" i="19" s="1"/>
  <c r="AJ79" i="19" s="1"/>
  <c r="AJ85" i="19" s="1"/>
  <c r="AJ64" i="19"/>
  <c r="AJ70" i="19" s="1"/>
  <c r="AJ76" i="19" s="1"/>
  <c r="AJ82" i="19" s="1"/>
  <c r="AJ203" i="26"/>
  <c r="AJ209" i="26" s="1"/>
  <c r="AJ215" i="26" s="1"/>
  <c r="AJ221" i="26" s="1"/>
  <c r="J120" i="27"/>
  <c r="J126" i="27" s="1"/>
  <c r="AC127" i="19"/>
  <c r="T116" i="32"/>
  <c r="K121" i="27"/>
  <c r="K127" i="27" s="1"/>
  <c r="K22" i="27"/>
  <c r="K28" i="27" s="1"/>
  <c r="K119" i="27"/>
  <c r="K125" i="27" s="1"/>
  <c r="D113" i="20"/>
  <c r="D119" i="20" s="1"/>
  <c r="D22" i="27"/>
  <c r="D28" i="27" s="1"/>
  <c r="D117" i="27"/>
  <c r="D123" i="27" s="1"/>
  <c r="I65" i="20"/>
  <c r="I71" i="20" s="1"/>
  <c r="I76" i="27"/>
  <c r="I82" i="27" s="1"/>
  <c r="I88" i="27" s="1"/>
  <c r="I94" i="27" s="1"/>
  <c r="AI159" i="19"/>
  <c r="P141" i="27"/>
  <c r="P147" i="27" s="1"/>
  <c r="P153" i="27" s="1"/>
  <c r="P159" i="27" s="1"/>
  <c r="P206" i="27"/>
  <c r="P212" i="27" s="1"/>
  <c r="P218" i="27" s="1"/>
  <c r="P224" i="27" s="1"/>
  <c r="P26" i="20"/>
  <c r="P33" i="20" s="1"/>
  <c r="P41" i="20" s="1"/>
  <c r="L33" i="26"/>
  <c r="L59" i="52"/>
  <c r="L231" i="26"/>
  <c r="L198" i="26"/>
  <c r="L165" i="26"/>
  <c r="L99" i="26"/>
  <c r="L132" i="26"/>
  <c r="L66" i="26"/>
  <c r="L7" i="52"/>
  <c r="L90" i="19"/>
  <c r="L162" i="19"/>
  <c r="L126" i="19"/>
  <c r="Y179" i="32"/>
  <c r="V107" i="27"/>
  <c r="V113" i="27" s="1"/>
  <c r="V16" i="20"/>
  <c r="V203" i="27"/>
  <c r="V209" i="27" s="1"/>
  <c r="V105" i="27"/>
  <c r="V111" i="27" s="1"/>
  <c r="V64" i="20"/>
  <c r="V70" i="20" s="1"/>
  <c r="V109" i="27"/>
  <c r="V115" i="27" s="1"/>
  <c r="V128" i="20"/>
  <c r="V130" i="20" s="1"/>
  <c r="AJ76" i="26"/>
  <c r="AJ82" i="26" s="1"/>
  <c r="AJ88" i="26" s="1"/>
  <c r="AJ94" i="26" s="1"/>
  <c r="AJ74" i="26"/>
  <c r="AJ80" i="26" s="1"/>
  <c r="AJ86" i="26" s="1"/>
  <c r="AJ92" i="26" s="1"/>
  <c r="J17" i="20"/>
  <c r="J19" i="20" s="1"/>
  <c r="J205" i="27"/>
  <c r="J211" i="27" s="1"/>
  <c r="J217" i="27" s="1"/>
  <c r="J223" i="27" s="1"/>
  <c r="J140" i="27"/>
  <c r="J146" i="27" s="1"/>
  <c r="J152" i="27" s="1"/>
  <c r="J158" i="27" s="1"/>
  <c r="AB120" i="27"/>
  <c r="AB126" i="27" s="1"/>
  <c r="K101" i="20"/>
  <c r="K107" i="20" s="1"/>
  <c r="K113" i="20" s="1"/>
  <c r="K119" i="20" s="1"/>
  <c r="K203" i="27"/>
  <c r="K209" i="27" s="1"/>
  <c r="K215" i="27" s="1"/>
  <c r="K221" i="27" s="1"/>
  <c r="K105" i="27"/>
  <c r="K111" i="27" s="1"/>
  <c r="K117" i="27" s="1"/>
  <c r="K123" i="27" s="1"/>
  <c r="D26" i="20"/>
  <c r="D33" i="20" s="1"/>
  <c r="D41" i="20" s="1"/>
  <c r="D139" i="27"/>
  <c r="D145" i="27" s="1"/>
  <c r="D151" i="27" s="1"/>
  <c r="D157" i="27" s="1"/>
  <c r="I104" i="27"/>
  <c r="I110" i="27" s="1"/>
  <c r="I116" i="27" s="1"/>
  <c r="I122" i="27" s="1"/>
  <c r="I170" i="27"/>
  <c r="I176" i="27" s="1"/>
  <c r="I206" i="27"/>
  <c r="I212" i="27" s="1"/>
  <c r="AI79" i="52"/>
  <c r="AI51" i="19"/>
  <c r="AL116" i="32"/>
  <c r="AL135" i="32"/>
  <c r="AL88" i="32"/>
  <c r="AL79" i="32"/>
  <c r="AL126" i="32"/>
  <c r="AL107" i="32"/>
  <c r="AL97" i="32"/>
  <c r="D54" i="19"/>
  <c r="G163" i="19"/>
  <c r="O138" i="27"/>
  <c r="O144" i="27" s="1"/>
  <c r="O150" i="27" s="1"/>
  <c r="O156" i="27" s="1"/>
  <c r="O27" i="20"/>
  <c r="O34" i="20" s="1"/>
  <c r="O42" i="20" s="1"/>
  <c r="O74" i="27"/>
  <c r="O80" i="27" s="1"/>
  <c r="O86" i="27" s="1"/>
  <c r="O92" i="27" s="1"/>
  <c r="Q159" i="19"/>
  <c r="AH62" i="20"/>
  <c r="AH68" i="20" s="1"/>
  <c r="AH74" i="20" s="1"/>
  <c r="AH80" i="20" s="1"/>
  <c r="AH103" i="20"/>
  <c r="AH109" i="20" s="1"/>
  <c r="AH115" i="20" s="1"/>
  <c r="AH121" i="20" s="1"/>
  <c r="AH63" i="20"/>
  <c r="AH69" i="20" s="1"/>
  <c r="AH75" i="20" s="1"/>
  <c r="AH81" i="20" s="1"/>
  <c r="AE96" i="26"/>
  <c r="AE228" i="26"/>
  <c r="AE162" i="26"/>
  <c r="AE63" i="26"/>
  <c r="AE56" i="52"/>
  <c r="AE195" i="26"/>
  <c r="AE129" i="26"/>
  <c r="AE30" i="26"/>
  <c r="AE4" i="52"/>
  <c r="R126" i="19"/>
  <c r="AL62" i="19"/>
  <c r="AL68" i="19" s="1"/>
  <c r="AL74" i="19" s="1"/>
  <c r="AL80" i="19" s="1"/>
  <c r="AL29" i="19"/>
  <c r="AL36" i="19" s="1"/>
  <c r="AL44" i="19" s="1"/>
  <c r="AL75" i="26"/>
  <c r="AL81" i="26" s="1"/>
  <c r="AL87" i="26" s="1"/>
  <c r="AL93" i="26" s="1"/>
  <c r="AG27" i="52"/>
  <c r="AG54" i="52"/>
  <c r="AG50" i="52"/>
  <c r="AG52" i="52"/>
  <c r="AG53" i="52"/>
  <c r="AG51" i="52"/>
  <c r="AG49" i="52"/>
  <c r="AG62" i="52"/>
  <c r="AG65" i="52"/>
  <c r="AG64" i="52"/>
  <c r="AG66" i="52"/>
  <c r="AG61" i="52"/>
  <c r="AG63" i="52"/>
  <c r="S158" i="19"/>
  <c r="AB151" i="27"/>
  <c r="AB157" i="27" s="1"/>
  <c r="M124" i="19"/>
  <c r="Z64" i="20"/>
  <c r="Z70" i="20" s="1"/>
  <c r="Z76" i="20" s="1"/>
  <c r="Z82" i="20" s="1"/>
  <c r="Z5" i="27"/>
  <c r="Z11" i="27" s="1"/>
  <c r="Z17" i="27" s="1"/>
  <c r="Z23" i="27" s="1"/>
  <c r="Z139" i="27"/>
  <c r="Z145" i="27" s="1"/>
  <c r="Z151" i="27" s="1"/>
  <c r="Z157" i="27" s="1"/>
  <c r="AE127" i="19"/>
  <c r="L27" i="52"/>
  <c r="L52" i="52"/>
  <c r="L49" i="52"/>
  <c r="L50" i="52"/>
  <c r="L64" i="52"/>
  <c r="L51" i="52"/>
  <c r="L53" i="52"/>
  <c r="L54" i="52"/>
  <c r="L61" i="52"/>
  <c r="L63" i="52"/>
  <c r="L62" i="52"/>
  <c r="L65" i="52"/>
  <c r="L66" i="52"/>
  <c r="P67" i="20"/>
  <c r="P73" i="20" s="1"/>
  <c r="P79" i="20" s="1"/>
  <c r="P85" i="20" s="1"/>
  <c r="P136" i="20"/>
  <c r="P142" i="20" s="1"/>
  <c r="P148" i="20" s="1"/>
  <c r="P154" i="20" s="1"/>
  <c r="P173" i="27"/>
  <c r="P179" i="27" s="1"/>
  <c r="P185" i="27" s="1"/>
  <c r="P191" i="27" s="1"/>
  <c r="AC189" i="32"/>
  <c r="AC190" i="32" s="1"/>
  <c r="AE22" i="34" s="1"/>
  <c r="AE36" i="34" s="1"/>
  <c r="AC199" i="32"/>
  <c r="AE21" i="34" s="1"/>
  <c r="AE35" i="34" s="1"/>
  <c r="V13" i="20"/>
  <c r="V104" i="27" s="1"/>
  <c r="V110" i="27" s="1"/>
  <c r="V23" i="20"/>
  <c r="AJ38" i="26"/>
  <c r="AJ44" i="26" s="1"/>
  <c r="AJ50" i="26" s="1"/>
  <c r="AJ56" i="26" s="1"/>
  <c r="AJ164" i="19"/>
  <c r="AJ166" i="19" s="1"/>
  <c r="AJ165" i="19" s="1"/>
  <c r="AJ171" i="26"/>
  <c r="AJ177" i="26" s="1"/>
  <c r="AJ183" i="26" s="1"/>
  <c r="AJ189" i="26" s="1"/>
  <c r="J109" i="27"/>
  <c r="J115" i="27" s="1"/>
  <c r="J121" i="27" s="1"/>
  <c r="J127" i="27" s="1"/>
  <c r="J208" i="27"/>
  <c r="J214" i="27" s="1"/>
  <c r="J220" i="27" s="1"/>
  <c r="J226" i="27" s="1"/>
  <c r="J170" i="27"/>
  <c r="J176" i="27" s="1"/>
  <c r="J182" i="27" s="1"/>
  <c r="J188" i="27" s="1"/>
  <c r="U22" i="52"/>
  <c r="U29" i="52"/>
  <c r="K73" i="27"/>
  <c r="K79" i="27" s="1"/>
  <c r="K85" i="27" s="1"/>
  <c r="K91" i="27" s="1"/>
  <c r="K142" i="27"/>
  <c r="K148" i="27" s="1"/>
  <c r="K154" i="27" s="1"/>
  <c r="K160" i="27" s="1"/>
  <c r="K74" i="27"/>
  <c r="K80" i="27" s="1"/>
  <c r="K86" i="27" s="1"/>
  <c r="K92" i="27" s="1"/>
  <c r="D173" i="27"/>
  <c r="D179" i="27" s="1"/>
  <c r="D185" i="27" s="1"/>
  <c r="D191" i="27" s="1"/>
  <c r="D62" i="20"/>
  <c r="D68" i="20" s="1"/>
  <c r="D74" i="20" s="1"/>
  <c r="D80" i="20" s="1"/>
  <c r="D32" i="20"/>
  <c r="D39" i="20" s="1"/>
  <c r="D40" i="20" s="1"/>
  <c r="I140" i="27"/>
  <c r="I146" i="27" s="1"/>
  <c r="I74" i="27"/>
  <c r="I80" i="27" s="1"/>
  <c r="I204" i="27"/>
  <c r="I210" i="27" s="1"/>
  <c r="I216" i="27" s="1"/>
  <c r="I222" i="27" s="1"/>
  <c r="M90" i="19"/>
  <c r="M126" i="19"/>
  <c r="O75" i="27"/>
  <c r="O81" i="27" s="1"/>
  <c r="O87" i="27" s="1"/>
  <c r="O93" i="27" s="1"/>
  <c r="O205" i="27"/>
  <c r="O211" i="27" s="1"/>
  <c r="O217" i="27" s="1"/>
  <c r="O223" i="27" s="1"/>
  <c r="O138" i="20"/>
  <c r="O144" i="20" s="1"/>
  <c r="O150" i="20" s="1"/>
  <c r="O156" i="20" s="1"/>
  <c r="AA118" i="32"/>
  <c r="AB55" i="27"/>
  <c r="AB61" i="27" s="1"/>
  <c r="AH203" i="27"/>
  <c r="AH209" i="27" s="1"/>
  <c r="AH215" i="27" s="1"/>
  <c r="AH221" i="27" s="1"/>
  <c r="AH5" i="27"/>
  <c r="AH11" i="27" s="1"/>
  <c r="AH17" i="27" s="1"/>
  <c r="AH23" i="27" s="1"/>
  <c r="AH107" i="27"/>
  <c r="AH113" i="27" s="1"/>
  <c r="AH119" i="27" s="1"/>
  <c r="AH125" i="27" s="1"/>
  <c r="R53" i="19"/>
  <c r="R91" i="19" s="1"/>
  <c r="R81" i="52"/>
  <c r="U118" i="32"/>
  <c r="U90" i="32"/>
  <c r="U109" i="32"/>
  <c r="U81" i="32"/>
  <c r="U137" i="32"/>
  <c r="U128" i="32"/>
  <c r="U99" i="32"/>
  <c r="X47" i="19"/>
  <c r="X76" i="52"/>
  <c r="AA76" i="32"/>
  <c r="AA113" i="32"/>
  <c r="AA94" i="32"/>
  <c r="AA132" i="32"/>
  <c r="AA123" i="32"/>
  <c r="AA85" i="32"/>
  <c r="AA104" i="32"/>
  <c r="X48" i="19"/>
  <c r="X158" i="19" s="1"/>
  <c r="X93" i="19"/>
  <c r="X165" i="19"/>
  <c r="X129" i="19"/>
  <c r="AL208" i="26"/>
  <c r="AL214" i="26" s="1"/>
  <c r="AL220" i="26" s="1"/>
  <c r="AL226" i="26" s="1"/>
  <c r="AL39" i="26"/>
  <c r="AL45" i="26" s="1"/>
  <c r="AL51" i="26" s="1"/>
  <c r="AL57" i="26" s="1"/>
  <c r="AL106" i="26"/>
  <c r="AL112" i="26" s="1"/>
  <c r="AL118" i="26" s="1"/>
  <c r="AL124" i="26" s="1"/>
  <c r="AK189" i="32"/>
  <c r="AK190" i="32" s="1"/>
  <c r="AN22" i="34" s="1"/>
  <c r="AN36" i="34" s="1"/>
  <c r="AK199" i="32"/>
  <c r="AN21" i="34" s="1"/>
  <c r="AN35" i="34" s="1"/>
  <c r="K126" i="19"/>
  <c r="Y124" i="32"/>
  <c r="Y133" i="32"/>
  <c r="Y105" i="32"/>
  <c r="Y114" i="32"/>
  <c r="Y77" i="32"/>
  <c r="V49" i="19"/>
  <c r="Y95" i="32"/>
  <c r="V77" i="52"/>
  <c r="Y86" i="32"/>
  <c r="X162" i="26"/>
  <c r="X129" i="26"/>
  <c r="X96" i="26"/>
  <c r="X30" i="26"/>
  <c r="X228" i="26"/>
  <c r="X195" i="26"/>
  <c r="X63" i="26"/>
  <c r="X4" i="52"/>
  <c r="AB113" i="20"/>
  <c r="AB119" i="20" s="1"/>
  <c r="R123" i="19"/>
  <c r="Z62" i="26"/>
  <c r="Z128" i="26"/>
  <c r="Z227" i="26"/>
  <c r="Z194" i="26"/>
  <c r="Z161" i="26"/>
  <c r="Z95" i="26"/>
  <c r="Z29" i="26"/>
  <c r="Z30" i="20"/>
  <c r="Z37" i="20" s="1"/>
  <c r="Z45" i="20" s="1"/>
  <c r="Z138" i="27"/>
  <c r="Z144" i="27" s="1"/>
  <c r="Z150" i="27" s="1"/>
  <c r="Z156" i="27" s="1"/>
  <c r="Z75" i="27"/>
  <c r="Z81" i="27" s="1"/>
  <c r="Z87" i="27" s="1"/>
  <c r="Z93" i="27" s="1"/>
  <c r="AK150" i="26"/>
  <c r="AK156" i="26" s="1"/>
  <c r="S62" i="27"/>
  <c r="S227" i="27"/>
  <c r="S161" i="27"/>
  <c r="S128" i="27"/>
  <c r="S95" i="27"/>
  <c r="S29" i="27"/>
  <c r="S194" i="27"/>
  <c r="X78" i="52"/>
  <c r="AA106" i="32"/>
  <c r="AA134" i="32"/>
  <c r="AA115" i="32"/>
  <c r="AA125" i="32"/>
  <c r="AA78" i="32"/>
  <c r="AA96" i="32"/>
  <c r="AA87" i="32"/>
  <c r="X50" i="19"/>
  <c r="X124" i="19" s="1"/>
  <c r="U27" i="52"/>
  <c r="U51" i="52"/>
  <c r="U53" i="52"/>
  <c r="U49" i="52"/>
  <c r="U52" i="52"/>
  <c r="U50" i="52"/>
  <c r="U54" i="52"/>
  <c r="U60" i="52"/>
  <c r="U56" i="52"/>
  <c r="U59" i="52"/>
  <c r="U57" i="52"/>
  <c r="K151" i="20"/>
  <c r="K157" i="20" s="1"/>
  <c r="K18" i="27"/>
  <c r="K24" i="27" s="1"/>
  <c r="D76" i="20"/>
  <c r="D82" i="20" s="1"/>
  <c r="D20" i="27"/>
  <c r="D26" i="27" s="1"/>
  <c r="D218" i="27"/>
  <c r="D224" i="27" s="1"/>
  <c r="AB232" i="26"/>
  <c r="AB166" i="26"/>
  <c r="AB199" i="26"/>
  <c r="AB133" i="26"/>
  <c r="AB100" i="26"/>
  <c r="AB34" i="26"/>
  <c r="AB67" i="26"/>
  <c r="AB8" i="52"/>
  <c r="E29" i="52"/>
  <c r="E22" i="52"/>
  <c r="I67" i="20"/>
  <c r="I73" i="20" s="1"/>
  <c r="I79" i="20" s="1"/>
  <c r="I85" i="20" s="1"/>
  <c r="I26" i="20"/>
  <c r="I33" i="20" s="1"/>
  <c r="I32" i="20"/>
  <c r="I39" i="20" s="1"/>
  <c r="I40" i="20" s="1"/>
  <c r="AK122" i="19"/>
  <c r="Y126" i="32"/>
  <c r="V79" i="52"/>
  <c r="Y79" i="32"/>
  <c r="Y135" i="32"/>
  <c r="Y116" i="32"/>
  <c r="Y88" i="32"/>
  <c r="Y97" i="32"/>
  <c r="Y107" i="32"/>
  <c r="V51" i="19"/>
  <c r="AI80" i="52"/>
  <c r="AI52" i="19"/>
  <c r="AL80" i="32"/>
  <c r="AL136" i="32"/>
  <c r="AL108" i="32"/>
  <c r="AL89" i="32"/>
  <c r="AL98" i="32"/>
  <c r="AL127" i="32"/>
  <c r="AL117" i="32"/>
  <c r="O8" i="27"/>
  <c r="O14" i="27" s="1"/>
  <c r="O20" i="27" s="1"/>
  <c r="O26" i="27" s="1"/>
  <c r="O102" i="20"/>
  <c r="O108" i="20" s="1"/>
  <c r="O114" i="20" s="1"/>
  <c r="O120" i="20" s="1"/>
  <c r="O142" i="27"/>
  <c r="O148" i="27" s="1"/>
  <c r="O154" i="27" s="1"/>
  <c r="O160" i="27" s="1"/>
  <c r="S163" i="20"/>
  <c r="R90" i="19"/>
  <c r="AH149" i="27"/>
  <c r="AH155" i="27" s="1"/>
  <c r="AH53" i="27"/>
  <c r="AH59" i="27" s="1"/>
  <c r="AL26" i="19"/>
  <c r="AL33" i="19" s="1"/>
  <c r="AL41" i="19" s="1"/>
  <c r="AL174" i="26"/>
  <c r="AL180" i="26" s="1"/>
  <c r="AL186" i="26" s="1"/>
  <c r="AL192" i="26" s="1"/>
  <c r="AL5" i="26"/>
  <c r="AL11" i="26" s="1"/>
  <c r="AL17" i="26" s="1"/>
  <c r="AL23" i="26" s="1"/>
  <c r="AI127" i="19"/>
  <c r="T108" i="32"/>
  <c r="Q52" i="19"/>
  <c r="T117" i="32"/>
  <c r="T127" i="32"/>
  <c r="T136" i="32"/>
  <c r="T89" i="32"/>
  <c r="T98" i="32"/>
  <c r="T80" i="32"/>
  <c r="Q80" i="52"/>
  <c r="AE125" i="19"/>
  <c r="AB88" i="27"/>
  <c r="AB94" i="27" s="1"/>
  <c r="V162" i="19"/>
  <c r="AC126" i="19"/>
  <c r="Z137" i="20"/>
  <c r="Z143" i="20" s="1"/>
  <c r="Z149" i="20" s="1"/>
  <c r="Z155" i="20" s="1"/>
  <c r="Z6" i="27"/>
  <c r="Z12" i="27" s="1"/>
  <c r="Z18" i="27" s="1"/>
  <c r="Z24" i="27" s="1"/>
  <c r="Z104" i="27"/>
  <c r="Z110" i="27" s="1"/>
  <c r="Z116" i="27" s="1"/>
  <c r="Z122" i="27" s="1"/>
  <c r="AK114" i="19"/>
  <c r="AK120" i="19" s="1"/>
  <c r="AK126" i="19" s="1"/>
  <c r="P150" i="27"/>
  <c r="P156" i="27" s="1"/>
  <c r="AJ154" i="26"/>
  <c r="AJ160" i="26" s="1"/>
  <c r="AJ65" i="19"/>
  <c r="AJ71" i="19" s="1"/>
  <c r="AJ77" i="19" s="1"/>
  <c r="AJ83" i="19" s="1"/>
  <c r="AJ10" i="26"/>
  <c r="AJ16" i="26" s="1"/>
  <c r="AJ22" i="26" s="1"/>
  <c r="AJ28" i="26" s="1"/>
  <c r="AJ72" i="26"/>
  <c r="AJ78" i="26" s="1"/>
  <c r="AJ84" i="26" s="1"/>
  <c r="AJ90" i="26" s="1"/>
  <c r="J105" i="27"/>
  <c r="J111" i="27" s="1"/>
  <c r="J117" i="27" s="1"/>
  <c r="J123" i="27" s="1"/>
  <c r="J138" i="20"/>
  <c r="J144" i="20" s="1"/>
  <c r="J150" i="20" s="1"/>
  <c r="J156" i="20" s="1"/>
  <c r="J6" i="27"/>
  <c r="J12" i="27" s="1"/>
  <c r="J18" i="27" s="1"/>
  <c r="J24" i="27" s="1"/>
  <c r="U55" i="52"/>
  <c r="K164" i="20"/>
  <c r="K166" i="20" s="1"/>
  <c r="K135" i="20"/>
  <c r="K141" i="20" s="1"/>
  <c r="K147" i="20" s="1"/>
  <c r="K153" i="20" s="1"/>
  <c r="K206" i="27"/>
  <c r="K212" i="27" s="1"/>
  <c r="N115" i="32"/>
  <c r="N96" i="32"/>
  <c r="K50" i="19"/>
  <c r="K124" i="19" s="1"/>
  <c r="N106" i="32"/>
  <c r="N134" i="32"/>
  <c r="N78" i="32"/>
  <c r="K78" i="52"/>
  <c r="N125" i="32"/>
  <c r="N87" i="32"/>
  <c r="D142" i="27"/>
  <c r="D148" i="27" s="1"/>
  <c r="D154" i="27" s="1"/>
  <c r="D160" i="27" s="1"/>
  <c r="D100" i="20"/>
  <c r="D106" i="20" s="1"/>
  <c r="D112" i="20" s="1"/>
  <c r="D118" i="20" s="1"/>
  <c r="D41" i="27"/>
  <c r="D47" i="27" s="1"/>
  <c r="D53" i="27" s="1"/>
  <c r="D59" i="27" s="1"/>
  <c r="E54" i="52"/>
  <c r="E52" i="52"/>
  <c r="E27" i="52"/>
  <c r="E49" i="52"/>
  <c r="E50" i="52"/>
  <c r="E53" i="52"/>
  <c r="E51" i="52"/>
  <c r="E59" i="52"/>
  <c r="E60" i="52"/>
  <c r="E58" i="52"/>
  <c r="E55" i="52"/>
  <c r="E56" i="52"/>
  <c r="E57" i="52"/>
  <c r="E64" i="52"/>
  <c r="E65" i="52"/>
  <c r="E66" i="52"/>
  <c r="I30" i="20"/>
  <c r="I37" i="20" s="1"/>
  <c r="I45" i="20" s="1"/>
  <c r="I139" i="27"/>
  <c r="I145" i="27" s="1"/>
  <c r="I28" i="20"/>
  <c r="I35" i="20" s="1"/>
  <c r="I43" i="20" s="1"/>
  <c r="P229" i="26"/>
  <c r="P196" i="26"/>
  <c r="P163" i="26"/>
  <c r="P130" i="26"/>
  <c r="P97" i="26"/>
  <c r="P64" i="26"/>
  <c r="P31" i="26"/>
  <c r="P160" i="19"/>
  <c r="P124" i="19"/>
  <c r="E61" i="52"/>
  <c r="AB163" i="19"/>
  <c r="AB45" i="20"/>
  <c r="O204" i="27"/>
  <c r="O210" i="27" s="1"/>
  <c r="O216" i="27" s="1"/>
  <c r="O222" i="27" s="1"/>
  <c r="O139" i="20"/>
  <c r="O145" i="20" s="1"/>
  <c r="O151" i="20" s="1"/>
  <c r="O157" i="20" s="1"/>
  <c r="O41" i="27"/>
  <c r="O47" i="27" s="1"/>
  <c r="O53" i="27" s="1"/>
  <c r="O59" i="27" s="1"/>
  <c r="AB44" i="20"/>
  <c r="V86" i="19"/>
  <c r="AH134" i="20"/>
  <c r="AH140" i="20" s="1"/>
  <c r="AH146" i="20" s="1"/>
  <c r="AH152" i="20" s="1"/>
  <c r="AH138" i="20"/>
  <c r="AH144" i="20" s="1"/>
  <c r="AH150" i="20" s="1"/>
  <c r="AH156" i="20" s="1"/>
  <c r="AK170" i="32"/>
  <c r="AK171" i="32" s="1"/>
  <c r="AN20" i="34" s="1"/>
  <c r="AN34" i="34" s="1"/>
  <c r="AK180" i="32"/>
  <c r="AN19" i="34" s="1"/>
  <c r="AN33" i="34" s="1"/>
  <c r="D198" i="26"/>
  <c r="D33" i="26"/>
  <c r="D99" i="26"/>
  <c r="D132" i="26"/>
  <c r="D165" i="26"/>
  <c r="D66" i="26"/>
  <c r="D231" i="26"/>
  <c r="D90" i="19"/>
  <c r="AL207" i="26"/>
  <c r="AL213" i="26" s="1"/>
  <c r="AL219" i="26" s="1"/>
  <c r="AL225" i="26" s="1"/>
  <c r="AL40" i="26"/>
  <c r="AL46" i="26" s="1"/>
  <c r="AL52" i="26" s="1"/>
  <c r="AL58" i="26" s="1"/>
  <c r="AL137" i="26"/>
  <c r="AL143" i="26" s="1"/>
  <c r="AL149" i="26" s="1"/>
  <c r="AL155" i="26" s="1"/>
  <c r="AN90" i="32"/>
  <c r="AN99" i="32"/>
  <c r="AN81" i="32"/>
  <c r="AN118" i="32"/>
  <c r="AN109" i="32"/>
  <c r="AK53" i="19"/>
  <c r="AN137" i="32"/>
  <c r="AN128" i="32"/>
  <c r="AK81" i="52"/>
  <c r="AI50" i="19"/>
  <c r="AI124" i="19" s="1"/>
  <c r="AL106" i="32"/>
  <c r="AL115" i="32"/>
  <c r="AL134" i="32"/>
  <c r="AL125" i="32"/>
  <c r="AL96" i="32"/>
  <c r="AL78" i="32"/>
  <c r="AI78" i="52"/>
  <c r="AL87" i="32"/>
  <c r="AD27" i="52"/>
  <c r="AD51" i="52"/>
  <c r="AD50" i="52"/>
  <c r="AD53" i="52"/>
  <c r="AD54" i="52"/>
  <c r="AD49" i="52"/>
  <c r="AD52" i="52"/>
  <c r="AD60" i="52"/>
  <c r="AD56" i="52"/>
  <c r="AD57" i="52"/>
  <c r="AD63" i="52"/>
  <c r="AD61" i="52"/>
  <c r="AD58" i="52"/>
  <c r="AD62" i="52"/>
  <c r="AD55" i="52"/>
  <c r="AD59" i="52"/>
  <c r="V88" i="19"/>
  <c r="AB117" i="27"/>
  <c r="AB123" i="27" s="1"/>
  <c r="AE124" i="19"/>
  <c r="AB148" i="20"/>
  <c r="AB154" i="20" s="1"/>
  <c r="Z27" i="20"/>
  <c r="Z34" i="20" s="1"/>
  <c r="Z42" i="20" s="1"/>
  <c r="Z134" i="20"/>
  <c r="Z140" i="20" s="1"/>
  <c r="Z146" i="20" s="1"/>
  <c r="Z152" i="20" s="1"/>
  <c r="Z9" i="27"/>
  <c r="Z15" i="27" s="1"/>
  <c r="Z21" i="27" s="1"/>
  <c r="Z27" i="27" s="1"/>
  <c r="S129" i="20"/>
  <c r="P142" i="27"/>
  <c r="P148" i="27" s="1"/>
  <c r="P154" i="27" s="1"/>
  <c r="P160" i="27" s="1"/>
  <c r="AJ139" i="19"/>
  <c r="AJ145" i="19" s="1"/>
  <c r="AJ151" i="19" s="1"/>
  <c r="AJ157" i="19" s="1"/>
  <c r="AJ71" i="26"/>
  <c r="AJ77" i="26" s="1"/>
  <c r="AJ83" i="26" s="1"/>
  <c r="AJ89" i="26" s="1"/>
  <c r="J86" i="27"/>
  <c r="J92" i="27" s="1"/>
  <c r="K19" i="27"/>
  <c r="K25" i="27" s="1"/>
  <c r="K216" i="27"/>
  <c r="K222" i="27" s="1"/>
  <c r="D148" i="20"/>
  <c r="D154" i="20" s="1"/>
  <c r="D75" i="20"/>
  <c r="D81" i="20" s="1"/>
  <c r="D52" i="27"/>
  <c r="D58" i="27" s="1"/>
  <c r="AH19" i="27"/>
  <c r="AH25" i="27" s="1"/>
  <c r="W88" i="20"/>
  <c r="AB186" i="27"/>
  <c r="AB192" i="27" s="1"/>
  <c r="AB75" i="20"/>
  <c r="AB81" i="20" s="1"/>
  <c r="AB87" i="20" s="1"/>
  <c r="AE123" i="19"/>
  <c r="AI89" i="19"/>
  <c r="AA133" i="32"/>
  <c r="AB146" i="20"/>
  <c r="AB152" i="20" s="1"/>
  <c r="G128" i="26"/>
  <c r="G161" i="26"/>
  <c r="G227" i="26"/>
  <c r="G194" i="26"/>
  <c r="G62" i="26"/>
  <c r="G55" i="52"/>
  <c r="G95" i="26"/>
  <c r="G29" i="26"/>
  <c r="G3" i="52"/>
  <c r="G158" i="19"/>
  <c r="G86" i="19"/>
  <c r="Z173" i="27"/>
  <c r="Z179" i="27" s="1"/>
  <c r="Z185" i="27" s="1"/>
  <c r="Z191" i="27" s="1"/>
  <c r="Z108" i="27"/>
  <c r="Z114" i="27" s="1"/>
  <c r="Z120" i="27" s="1"/>
  <c r="Z126" i="27" s="1"/>
  <c r="Z40" i="27"/>
  <c r="Z46" i="27" s="1"/>
  <c r="Z52" i="27" s="1"/>
  <c r="Z58" i="27" s="1"/>
  <c r="W67" i="27"/>
  <c r="W199" i="27"/>
  <c r="W232" i="27"/>
  <c r="W34" i="27"/>
  <c r="W133" i="27"/>
  <c r="W166" i="27"/>
  <c r="W100" i="27"/>
  <c r="W66" i="52"/>
  <c r="W8" i="52"/>
  <c r="AK186" i="26"/>
  <c r="I151" i="20"/>
  <c r="I157" i="20" s="1"/>
  <c r="K90" i="19"/>
  <c r="O175" i="27"/>
  <c r="O181" i="27" s="1"/>
  <c r="O187" i="27" s="1"/>
  <c r="O193" i="27" s="1"/>
  <c r="O43" i="27"/>
  <c r="O49" i="27" s="1"/>
  <c r="O55" i="27" s="1"/>
  <c r="O61" i="27" s="1"/>
  <c r="O173" i="27"/>
  <c r="O179" i="27" s="1"/>
  <c r="O185" i="27" s="1"/>
  <c r="O191" i="27" s="1"/>
  <c r="M162" i="19"/>
  <c r="AL65" i="19"/>
  <c r="AL71" i="19" s="1"/>
  <c r="AL77" i="19" s="1"/>
  <c r="AL83" i="19" s="1"/>
  <c r="AL172" i="26"/>
  <c r="AL178" i="26" s="1"/>
  <c r="AL184" i="26" s="1"/>
  <c r="AL190" i="26" s="1"/>
  <c r="AL42" i="26"/>
  <c r="AL48" i="26" s="1"/>
  <c r="AL54" i="26" s="1"/>
  <c r="AL60" i="26" s="1"/>
  <c r="P71" i="27"/>
  <c r="P77" i="27" s="1"/>
  <c r="P83" i="27" s="1"/>
  <c r="P89" i="27" s="1"/>
  <c r="P102" i="20"/>
  <c r="P108" i="20" s="1"/>
  <c r="P114" i="20" s="1"/>
  <c r="P120" i="20" s="1"/>
  <c r="AK79" i="52"/>
  <c r="AN107" i="32"/>
  <c r="AK51" i="19"/>
  <c r="AN135" i="32"/>
  <c r="AN116" i="32"/>
  <c r="AN88" i="32"/>
  <c r="AN79" i="32"/>
  <c r="AN97" i="32"/>
  <c r="AB218" i="27"/>
  <c r="AB224" i="27" s="1"/>
  <c r="AJ108" i="26"/>
  <c r="AJ114" i="26" s="1"/>
  <c r="AJ120" i="26" s="1"/>
  <c r="AJ126" i="26" s="1"/>
  <c r="AJ138" i="26"/>
  <c r="AJ144" i="26" s="1"/>
  <c r="AJ150" i="26" s="1"/>
  <c r="AJ156" i="26" s="1"/>
  <c r="J62" i="20"/>
  <c r="J68" i="20" s="1"/>
  <c r="J74" i="20" s="1"/>
  <c r="J80" i="20" s="1"/>
  <c r="V165" i="19"/>
  <c r="Z231" i="26"/>
  <c r="Z198" i="26"/>
  <c r="Z165" i="26"/>
  <c r="Z132" i="26"/>
  <c r="Z33" i="26"/>
  <c r="Z66" i="26"/>
  <c r="Z99" i="26"/>
  <c r="Z162" i="19"/>
  <c r="K26" i="20"/>
  <c r="K33" i="20" s="1"/>
  <c r="K41" i="20" s="1"/>
  <c r="K17" i="20"/>
  <c r="K19" i="20" s="1"/>
  <c r="K89" i="19"/>
  <c r="D137" i="27"/>
  <c r="D143" i="27" s="1"/>
  <c r="D149" i="27" s="1"/>
  <c r="D155" i="27" s="1"/>
  <c r="G170" i="32"/>
  <c r="G171" i="32" s="1"/>
  <c r="E20" i="34" s="1"/>
  <c r="E34" i="34" s="1"/>
  <c r="G180" i="32"/>
  <c r="E19" i="34" s="1"/>
  <c r="E33" i="34" s="1"/>
  <c r="AL85" i="32"/>
  <c r="AL132" i="32"/>
  <c r="AI47" i="19"/>
  <c r="AL104" i="32"/>
  <c r="AL94" i="32"/>
  <c r="AL123" i="32"/>
  <c r="AI48" i="19"/>
  <c r="AI122" i="19" s="1"/>
  <c r="AL76" i="32"/>
  <c r="AL113" i="32"/>
  <c r="AI76" i="52"/>
  <c r="AI93" i="19"/>
  <c r="AI129" i="19"/>
  <c r="AI165" i="19"/>
  <c r="AB22" i="27"/>
  <c r="AB28" i="27" s="1"/>
  <c r="I29" i="20"/>
  <c r="I36" i="20" s="1"/>
  <c r="I44" i="20" s="1"/>
  <c r="I135" i="20"/>
  <c r="I141" i="20" s="1"/>
  <c r="AB110" i="20"/>
  <c r="AB116" i="20" s="1"/>
  <c r="AB182" i="27"/>
  <c r="AB188" i="27" s="1"/>
  <c r="AA116" i="32"/>
  <c r="AA135" i="32"/>
  <c r="X79" i="52"/>
  <c r="AA88" i="32"/>
  <c r="AA107" i="32"/>
  <c r="AA126" i="32"/>
  <c r="X51" i="19"/>
  <c r="X89" i="19" s="1"/>
  <c r="AA97" i="32"/>
  <c r="AA79" i="32"/>
  <c r="AC86" i="19"/>
  <c r="O67" i="20"/>
  <c r="O73" i="20" s="1"/>
  <c r="O79" i="20" s="1"/>
  <c r="O85" i="20" s="1"/>
  <c r="O65" i="20"/>
  <c r="O71" i="20" s="1"/>
  <c r="O77" i="20" s="1"/>
  <c r="O83" i="20" s="1"/>
  <c r="Q88" i="19"/>
  <c r="AH66" i="20"/>
  <c r="AH72" i="20" s="1"/>
  <c r="AH78" i="20" s="1"/>
  <c r="AH84" i="20" s="1"/>
  <c r="AH208" i="27"/>
  <c r="AH214" i="27" s="1"/>
  <c r="AH220" i="27" s="1"/>
  <c r="AH226" i="27" s="1"/>
  <c r="AL141" i="26"/>
  <c r="AL147" i="26" s="1"/>
  <c r="AL153" i="26" s="1"/>
  <c r="AL159" i="26" s="1"/>
  <c r="AL102" i="19"/>
  <c r="AL108" i="19" s="1"/>
  <c r="AL114" i="19" s="1"/>
  <c r="AL120" i="19" s="1"/>
  <c r="AL10" i="26"/>
  <c r="AL16" i="26" s="1"/>
  <c r="AL22" i="26" s="1"/>
  <c r="AL28" i="26" s="1"/>
  <c r="AK185" i="26"/>
  <c r="M163" i="19"/>
  <c r="AM22" i="52"/>
  <c r="AM29" i="52"/>
  <c r="AB183" i="27"/>
  <c r="AM60" i="52"/>
  <c r="AA105" i="32"/>
  <c r="AB149" i="20"/>
  <c r="AB155" i="20" s="1"/>
  <c r="Z65" i="20"/>
  <c r="Z71" i="20" s="1"/>
  <c r="Z77" i="20" s="1"/>
  <c r="Z83" i="20" s="1"/>
  <c r="Z72" i="27"/>
  <c r="Z78" i="27" s="1"/>
  <c r="Z84" i="27" s="1"/>
  <c r="Z90" i="27" s="1"/>
  <c r="V50" i="26"/>
  <c r="V56" i="26" s="1"/>
  <c r="AK54" i="26"/>
  <c r="AK60" i="26" s="1"/>
  <c r="H133" i="36"/>
  <c r="H137" i="36"/>
  <c r="H124" i="36"/>
  <c r="H135" i="36"/>
  <c r="H138" i="36"/>
  <c r="H126" i="36"/>
  <c r="H127" i="36"/>
  <c r="H132" i="36"/>
  <c r="H130" i="36"/>
  <c r="H134" i="36"/>
  <c r="F88" i="52"/>
  <c r="F89" i="52" s="1"/>
  <c r="H129" i="36"/>
  <c r="H128" i="36"/>
  <c r="H139" i="36"/>
  <c r="H136" i="36"/>
  <c r="E23" i="58"/>
  <c r="F175" i="28" s="1"/>
  <c r="F92" i="52" l="1"/>
  <c r="H52" i="55"/>
  <c r="H118" i="36" s="1"/>
  <c r="H125" i="36"/>
  <c r="F98" i="52"/>
  <c r="H110" i="52"/>
  <c r="K98" i="11" s="1"/>
  <c r="H113" i="52"/>
  <c r="K71" i="11" s="1"/>
  <c r="F96" i="52"/>
  <c r="F97" i="52" s="1"/>
  <c r="H117" i="52"/>
  <c r="K75" i="11" s="1"/>
  <c r="H111" i="52"/>
  <c r="K99" i="11" s="1"/>
  <c r="F99" i="52"/>
  <c r="H105" i="52"/>
  <c r="K89" i="11" s="1"/>
  <c r="H101" i="52"/>
  <c r="K81" i="11" s="1"/>
  <c r="H107" i="52"/>
  <c r="K95" i="11" s="1"/>
  <c r="H106" i="52"/>
  <c r="K94" i="11" s="1"/>
  <c r="H103" i="52"/>
  <c r="K87" i="11" s="1"/>
  <c r="H108" i="52"/>
  <c r="K96" i="11" s="1"/>
  <c r="H115" i="52"/>
  <c r="K73" i="11" s="1"/>
  <c r="H116" i="52"/>
  <c r="K74" i="11" s="1"/>
  <c r="H114" i="52"/>
  <c r="K72" i="11" s="1"/>
  <c r="H102" i="52"/>
  <c r="K86" i="11" s="1"/>
  <c r="H112" i="52"/>
  <c r="K70" i="11" s="1"/>
  <c r="H104" i="52"/>
  <c r="K88" i="11" s="1"/>
  <c r="H109" i="52"/>
  <c r="K97" i="11" s="1"/>
  <c r="T112" i="52"/>
  <c r="W70" i="11" s="1"/>
  <c r="T102" i="52"/>
  <c r="W86" i="11" s="1"/>
  <c r="T113" i="52"/>
  <c r="W71" i="11" s="1"/>
  <c r="T108" i="52"/>
  <c r="W96" i="11" s="1"/>
  <c r="T107" i="52"/>
  <c r="W95" i="11" s="1"/>
  <c r="T114" i="52"/>
  <c r="W72" i="11" s="1"/>
  <c r="T103" i="52"/>
  <c r="W87" i="11" s="1"/>
  <c r="T105" i="52"/>
  <c r="W89" i="11" s="1"/>
  <c r="T101" i="52"/>
  <c r="W81" i="11" s="1"/>
  <c r="T117" i="52"/>
  <c r="W75" i="11" s="1"/>
  <c r="T100" i="52"/>
  <c r="W80" i="11" s="1"/>
  <c r="N24" i="52"/>
  <c r="N109" i="52" s="1"/>
  <c r="K80" i="11"/>
  <c r="T104" i="52"/>
  <c r="W88" i="11" s="1"/>
  <c r="T116" i="52"/>
  <c r="W74" i="11" s="1"/>
  <c r="T109" i="52"/>
  <c r="W97" i="11" s="1"/>
  <c r="T106" i="52"/>
  <c r="W94" i="11" s="1"/>
  <c r="T110" i="52"/>
  <c r="W98" i="11" s="1"/>
  <c r="T111" i="52"/>
  <c r="W99" i="11" s="1"/>
  <c r="V142" i="27"/>
  <c r="V148" i="27" s="1"/>
  <c r="V154" i="27" s="1"/>
  <c r="V160" i="27" s="1"/>
  <c r="V215" i="27"/>
  <c r="V221" i="27" s="1"/>
  <c r="I85" i="52"/>
  <c r="I51" i="20"/>
  <c r="L203" i="32"/>
  <c r="L147" i="32"/>
  <c r="AL76" i="52"/>
  <c r="AO113" i="32"/>
  <c r="AO132" i="32"/>
  <c r="AO76" i="32"/>
  <c r="AL48" i="19"/>
  <c r="AL93" i="19"/>
  <c r="V41" i="27"/>
  <c r="V47" i="27" s="1"/>
  <c r="V53" i="27" s="1"/>
  <c r="V59" i="27" s="1"/>
  <c r="Q232" i="26"/>
  <c r="Q199" i="26"/>
  <c r="Q166" i="26"/>
  <c r="Q133" i="26"/>
  <c r="Q100" i="26"/>
  <c r="Q67" i="26"/>
  <c r="Q34" i="26"/>
  <c r="Q8" i="52"/>
  <c r="Q91" i="19"/>
  <c r="Q163" i="19"/>
  <c r="Q127" i="19"/>
  <c r="J86" i="52"/>
  <c r="M157" i="32"/>
  <c r="J52" i="20"/>
  <c r="M176" i="32"/>
  <c r="V228" i="26"/>
  <c r="V195" i="26"/>
  <c r="V162" i="26"/>
  <c r="V96" i="26"/>
  <c r="V63" i="26"/>
  <c r="V129" i="26"/>
  <c r="V30" i="26"/>
  <c r="V159" i="19"/>
  <c r="V87" i="19"/>
  <c r="V123" i="19"/>
  <c r="X54" i="19"/>
  <c r="X9" i="52" s="1"/>
  <c r="X26" i="52"/>
  <c r="AK191" i="26"/>
  <c r="AN126" i="32"/>
  <c r="V173" i="27"/>
  <c r="V179" i="27" s="1"/>
  <c r="V185" i="27" s="1"/>
  <c r="V191" i="27" s="1"/>
  <c r="V170" i="27"/>
  <c r="V176" i="27" s="1"/>
  <c r="V182" i="27" s="1"/>
  <c r="V188" i="27" s="1"/>
  <c r="O86" i="52"/>
  <c r="R157" i="32"/>
  <c r="R166" i="32"/>
  <c r="R185" i="32"/>
  <c r="R204" i="32"/>
  <c r="O52" i="20"/>
  <c r="R195" i="32"/>
  <c r="R176" i="32"/>
  <c r="R148" i="32"/>
  <c r="AC195" i="32"/>
  <c r="Z52" i="20"/>
  <c r="AC176" i="32"/>
  <c r="AC148" i="32"/>
  <c r="AC157" i="32"/>
  <c r="AC166" i="32"/>
  <c r="AC185" i="32"/>
  <c r="Z86" i="52"/>
  <c r="AC204" i="32"/>
  <c r="Z161" i="20"/>
  <c r="V10" i="27"/>
  <c r="V16" i="27" s="1"/>
  <c r="V22" i="27" s="1"/>
  <c r="V28" i="27" s="1"/>
  <c r="AB189" i="27"/>
  <c r="AE192" i="32"/>
  <c r="V172" i="27"/>
  <c r="V178" i="27" s="1"/>
  <c r="V184" i="27" s="1"/>
  <c r="V190" i="27" s="1"/>
  <c r="AJ53" i="19"/>
  <c r="AM99" i="32"/>
  <c r="AM118" i="32"/>
  <c r="AM128" i="32"/>
  <c r="AM109" i="32"/>
  <c r="AM90" i="32"/>
  <c r="AM137" i="32"/>
  <c r="AM81" i="32"/>
  <c r="AJ81" i="52"/>
  <c r="I86" i="52"/>
  <c r="L204" i="32"/>
  <c r="I52" i="20"/>
  <c r="V164" i="20"/>
  <c r="V166" i="20" s="1"/>
  <c r="AB89" i="20"/>
  <c r="R29" i="52"/>
  <c r="R22" i="52"/>
  <c r="N191" i="32"/>
  <c r="K82" i="52"/>
  <c r="N172" i="32"/>
  <c r="K48" i="20"/>
  <c r="N200" i="32"/>
  <c r="K129" i="20"/>
  <c r="V140" i="27"/>
  <c r="V146" i="27" s="1"/>
  <c r="V152" i="27" s="1"/>
  <c r="V158" i="27" s="1"/>
  <c r="AK54" i="19"/>
  <c r="AK9" i="52" s="1"/>
  <c r="AK60" i="52" s="1"/>
  <c r="AK26" i="52"/>
  <c r="L164" i="32"/>
  <c r="L146" i="32"/>
  <c r="L202" i="32"/>
  <c r="I50" i="20"/>
  <c r="I84" i="52"/>
  <c r="AK192" i="26"/>
  <c r="AN127" i="32"/>
  <c r="V65" i="20"/>
  <c r="V71" i="20" s="1"/>
  <c r="V77" i="20" s="1"/>
  <c r="V83" i="20" s="1"/>
  <c r="AF23" i="52"/>
  <c r="AI67" i="11" s="1"/>
  <c r="V121" i="27"/>
  <c r="V127" i="27" s="1"/>
  <c r="T12" i="52"/>
  <c r="T13" i="52"/>
  <c r="T119" i="52"/>
  <c r="AL86" i="19"/>
  <c r="V76" i="20"/>
  <c r="V82" i="20" s="1"/>
  <c r="AJ91" i="19"/>
  <c r="AI54" i="19"/>
  <c r="AI9" i="52" s="1"/>
  <c r="AI26" i="52"/>
  <c r="V117" i="27"/>
  <c r="V123" i="27" s="1"/>
  <c r="AE203" i="32"/>
  <c r="AE165" i="32"/>
  <c r="AB51" i="20"/>
  <c r="AE156" i="32"/>
  <c r="AE175" i="32"/>
  <c r="AE147" i="32"/>
  <c r="AE194" i="32"/>
  <c r="AE184" i="32"/>
  <c r="AB85" i="52"/>
  <c r="AI231" i="26"/>
  <c r="AI198" i="26"/>
  <c r="AI66" i="26"/>
  <c r="AI165" i="26"/>
  <c r="AI33" i="26"/>
  <c r="AI132" i="26"/>
  <c r="AI99" i="26"/>
  <c r="AI59" i="52"/>
  <c r="AI7" i="52"/>
  <c r="AI90" i="19"/>
  <c r="AI126" i="19"/>
  <c r="AI162" i="19"/>
  <c r="V26" i="20"/>
  <c r="V33" i="20" s="1"/>
  <c r="V41" i="20" s="1"/>
  <c r="K165" i="20"/>
  <c r="AC29" i="52"/>
  <c r="AC22" i="52"/>
  <c r="AK67" i="26"/>
  <c r="AK100" i="26"/>
  <c r="AK166" i="26"/>
  <c r="AK34" i="26"/>
  <c r="AK199" i="26"/>
  <c r="AK232" i="26"/>
  <c r="AK133" i="26"/>
  <c r="AK8" i="52"/>
  <c r="AK127" i="19"/>
  <c r="Y198" i="32"/>
  <c r="V138" i="27"/>
  <c r="V144" i="27" s="1"/>
  <c r="V150" i="27" s="1"/>
  <c r="V156" i="27" s="1"/>
  <c r="V134" i="20"/>
  <c r="V140" i="20" s="1"/>
  <c r="V146" i="20" s="1"/>
  <c r="V152" i="20" s="1"/>
  <c r="V75" i="27"/>
  <c r="V81" i="27" s="1"/>
  <c r="V87" i="27" s="1"/>
  <c r="V93" i="27" s="1"/>
  <c r="V28" i="20"/>
  <c r="V35" i="20" s="1"/>
  <c r="V43" i="20" s="1"/>
  <c r="V101" i="20"/>
  <c r="V107" i="20" s="1"/>
  <c r="V113" i="20" s="1"/>
  <c r="V119" i="20" s="1"/>
  <c r="V137" i="27"/>
  <c r="V143" i="27" s="1"/>
  <c r="V149" i="27" s="1"/>
  <c r="V155" i="27" s="1"/>
  <c r="V138" i="20"/>
  <c r="V144" i="20" s="1"/>
  <c r="V150" i="20" s="1"/>
  <c r="V156" i="20" s="1"/>
  <c r="V135" i="20"/>
  <c r="V141" i="20" s="1"/>
  <c r="V147" i="20" s="1"/>
  <c r="V153" i="20" s="1"/>
  <c r="V7" i="27"/>
  <c r="V13" i="27" s="1"/>
  <c r="V19" i="27" s="1"/>
  <c r="V25" i="27" s="1"/>
  <c r="V17" i="20"/>
  <c r="V19" i="20" s="1"/>
  <c r="V103" i="20"/>
  <c r="V109" i="20" s="1"/>
  <c r="V115" i="20" s="1"/>
  <c r="V121" i="20" s="1"/>
  <c r="V108" i="27"/>
  <c r="V114" i="27" s="1"/>
  <c r="V120" i="27" s="1"/>
  <c r="V126" i="27" s="1"/>
  <c r="V141" i="27"/>
  <c r="V147" i="27" s="1"/>
  <c r="V153" i="27" s="1"/>
  <c r="V159" i="27" s="1"/>
  <c r="V38" i="27"/>
  <c r="V44" i="27" s="1"/>
  <c r="V50" i="27" s="1"/>
  <c r="V56" i="27" s="1"/>
  <c r="V8" i="27"/>
  <c r="V14" i="27" s="1"/>
  <c r="V20" i="27" s="1"/>
  <c r="V26" i="27" s="1"/>
  <c r="V137" i="20"/>
  <c r="V143" i="20" s="1"/>
  <c r="V149" i="20" s="1"/>
  <c r="V155" i="20" s="1"/>
  <c r="V29" i="20"/>
  <c r="V36" i="20" s="1"/>
  <c r="V44" i="20" s="1"/>
  <c r="V42" i="27"/>
  <c r="V48" i="27" s="1"/>
  <c r="V54" i="27" s="1"/>
  <c r="V60" i="27" s="1"/>
  <c r="V205" i="27"/>
  <c r="V211" i="27" s="1"/>
  <c r="V217" i="27" s="1"/>
  <c r="V223" i="27" s="1"/>
  <c r="V30" i="20"/>
  <c r="V37" i="20" s="1"/>
  <c r="V45" i="20" s="1"/>
  <c r="V6" i="27"/>
  <c r="V12" i="27" s="1"/>
  <c r="V18" i="27" s="1"/>
  <c r="V24" i="27" s="1"/>
  <c r="V174" i="27"/>
  <c r="V180" i="27" s="1"/>
  <c r="V186" i="27" s="1"/>
  <c r="V192" i="27" s="1"/>
  <c r="V39" i="27"/>
  <c r="V45" i="27" s="1"/>
  <c r="V51" i="27" s="1"/>
  <c r="V57" i="27" s="1"/>
  <c r="V31" i="20"/>
  <c r="V38" i="20" s="1"/>
  <c r="V46" i="20" s="1"/>
  <c r="V66" i="20"/>
  <c r="V72" i="20" s="1"/>
  <c r="V78" i="20" s="1"/>
  <c r="V84" i="20" s="1"/>
  <c r="V67" i="20"/>
  <c r="V73" i="20" s="1"/>
  <c r="V79" i="20" s="1"/>
  <c r="V85" i="20" s="1"/>
  <c r="V100" i="20"/>
  <c r="V106" i="20" s="1"/>
  <c r="V112" i="20" s="1"/>
  <c r="V118" i="20" s="1"/>
  <c r="V27" i="20"/>
  <c r="V34" i="20" s="1"/>
  <c r="V42" i="20" s="1"/>
  <c r="V72" i="27"/>
  <c r="V78" i="27" s="1"/>
  <c r="V84" i="27" s="1"/>
  <c r="V90" i="27" s="1"/>
  <c r="V139" i="27"/>
  <c r="V145" i="27" s="1"/>
  <c r="V151" i="27" s="1"/>
  <c r="V157" i="27" s="1"/>
  <c r="V175" i="27"/>
  <c r="V181" i="27" s="1"/>
  <c r="V187" i="27" s="1"/>
  <c r="V193" i="27" s="1"/>
  <c r="V106" i="27"/>
  <c r="V112" i="27" s="1"/>
  <c r="V118" i="27" s="1"/>
  <c r="V124" i="27" s="1"/>
  <c r="V208" i="27"/>
  <c r="V214" i="27" s="1"/>
  <c r="V220" i="27" s="1"/>
  <c r="V226" i="27" s="1"/>
  <c r="V40" i="27"/>
  <c r="V46" i="27" s="1"/>
  <c r="V52" i="27" s="1"/>
  <c r="V58" i="27" s="1"/>
  <c r="V76" i="27"/>
  <c r="V82" i="27" s="1"/>
  <c r="V88" i="27" s="1"/>
  <c r="V94" i="27" s="1"/>
  <c r="V98" i="20"/>
  <c r="V104" i="20" s="1"/>
  <c r="V110" i="20" s="1"/>
  <c r="V116" i="20" s="1"/>
  <c r="V136" i="20"/>
  <c r="V142" i="20" s="1"/>
  <c r="V148" i="20" s="1"/>
  <c r="V154" i="20" s="1"/>
  <c r="V32" i="20"/>
  <c r="V39" i="20" s="1"/>
  <c r="V40" i="20" s="1"/>
  <c r="V139" i="20"/>
  <c r="V145" i="20" s="1"/>
  <c r="V151" i="20" s="1"/>
  <c r="V157" i="20" s="1"/>
  <c r="V102" i="20"/>
  <c r="V108" i="20" s="1"/>
  <c r="V114" i="20" s="1"/>
  <c r="V120" i="20" s="1"/>
  <c r="V71" i="27"/>
  <c r="V77" i="27" s="1"/>
  <c r="V83" i="27" s="1"/>
  <c r="V89" i="27" s="1"/>
  <c r="V74" i="27"/>
  <c r="V80" i="27" s="1"/>
  <c r="V86" i="27" s="1"/>
  <c r="V92" i="27" s="1"/>
  <c r="V206" i="27"/>
  <c r="V212" i="27" s="1"/>
  <c r="V218" i="27" s="1"/>
  <c r="V224" i="27" s="1"/>
  <c r="V207" i="27"/>
  <c r="V213" i="27" s="1"/>
  <c r="V219" i="27" s="1"/>
  <c r="V225" i="27" s="1"/>
  <c r="V171" i="27"/>
  <c r="V177" i="27" s="1"/>
  <c r="V183" i="27" s="1"/>
  <c r="V189" i="27" s="1"/>
  <c r="V43" i="27"/>
  <c r="V49" i="27" s="1"/>
  <c r="V55" i="27" s="1"/>
  <c r="V61" i="27" s="1"/>
  <c r="V204" i="27"/>
  <c r="V210" i="27" s="1"/>
  <c r="V216" i="27" s="1"/>
  <c r="V222" i="27" s="1"/>
  <c r="V5" i="27"/>
  <c r="V11" i="27" s="1"/>
  <c r="V17" i="27" s="1"/>
  <c r="V23" i="27" s="1"/>
  <c r="V99" i="20"/>
  <c r="V105" i="20" s="1"/>
  <c r="V111" i="20" s="1"/>
  <c r="V117" i="20" s="1"/>
  <c r="L23" i="52"/>
  <c r="O67" i="11" s="1"/>
  <c r="V62" i="20"/>
  <c r="V68" i="20" s="1"/>
  <c r="V74" i="20" s="1"/>
  <c r="V80" i="20" s="1"/>
  <c r="AE148" i="32"/>
  <c r="AE195" i="32"/>
  <c r="AE176" i="32"/>
  <c r="AE166" i="32"/>
  <c r="AB52" i="20"/>
  <c r="AB86" i="52"/>
  <c r="AE157" i="32"/>
  <c r="AE204" i="32"/>
  <c r="AE185" i="32"/>
  <c r="Q66" i="26"/>
  <c r="Q165" i="26"/>
  <c r="Q231" i="26"/>
  <c r="Q132" i="26"/>
  <c r="Q99" i="26"/>
  <c r="Q198" i="26"/>
  <c r="Q33" i="26"/>
  <c r="Q7" i="52"/>
  <c r="Q162" i="19"/>
  <c r="Q90" i="19"/>
  <c r="V63" i="20"/>
  <c r="V69" i="20" s="1"/>
  <c r="V75" i="20" s="1"/>
  <c r="V81" i="20" s="1"/>
  <c r="P82" i="52"/>
  <c r="S200" i="32"/>
  <c r="S181" i="32"/>
  <c r="P48" i="20"/>
  <c r="P122" i="20" s="1"/>
  <c r="S162" i="32"/>
  <c r="S144" i="32"/>
  <c r="P129" i="20"/>
  <c r="Q227" i="26"/>
  <c r="Q194" i="26"/>
  <c r="Q161" i="26"/>
  <c r="Q128" i="26"/>
  <c r="Q95" i="26"/>
  <c r="Q29" i="26"/>
  <c r="Q62" i="26"/>
  <c r="Q3" i="52"/>
  <c r="Q86" i="19"/>
  <c r="Q122" i="19"/>
  <c r="Q158" i="19"/>
  <c r="AC156" i="32"/>
  <c r="AC147" i="32"/>
  <c r="AC184" i="32"/>
  <c r="Z51" i="20"/>
  <c r="Z85" i="52"/>
  <c r="AC194" i="32"/>
  <c r="AC203" i="32"/>
  <c r="AC165" i="32"/>
  <c r="AC175" i="32"/>
  <c r="S27" i="52"/>
  <c r="S49" i="52"/>
  <c r="S53" i="52"/>
  <c r="S50" i="52"/>
  <c r="S52" i="52"/>
  <c r="S54" i="52"/>
  <c r="S51" i="52"/>
  <c r="S56" i="52"/>
  <c r="S63" i="52"/>
  <c r="S62" i="52"/>
  <c r="S65" i="52"/>
  <c r="S61" i="52"/>
  <c r="S60" i="52"/>
  <c r="S55" i="52"/>
  <c r="S59" i="52"/>
  <c r="S57" i="52"/>
  <c r="S58" i="52"/>
  <c r="V9" i="27"/>
  <c r="V15" i="27" s="1"/>
  <c r="V21" i="27" s="1"/>
  <c r="V27" i="27" s="1"/>
  <c r="V73" i="27"/>
  <c r="V79" i="27" s="1"/>
  <c r="V85" i="27" s="1"/>
  <c r="V91" i="27" s="1"/>
  <c r="Q126" i="19"/>
  <c r="AN55" i="52"/>
  <c r="AK193" i="32"/>
  <c r="AH50" i="20"/>
  <c r="AK146" i="32"/>
  <c r="AK164" i="32"/>
  <c r="AH84" i="52"/>
  <c r="AK183" i="32"/>
  <c r="AK155" i="32"/>
  <c r="AK202" i="32"/>
  <c r="J88" i="27"/>
  <c r="J94" i="27" s="1"/>
  <c r="K152" i="27"/>
  <c r="K158" i="27" s="1"/>
  <c r="P87" i="27"/>
  <c r="P93" i="27" s="1"/>
  <c r="AL83" i="26"/>
  <c r="AL89" i="26" s="1"/>
  <c r="K184" i="27"/>
  <c r="K190" i="27" s="1"/>
  <c r="AK156" i="32"/>
  <c r="AH51" i="20"/>
  <c r="AK175" i="32"/>
  <c r="AK203" i="32"/>
  <c r="AK194" i="32"/>
  <c r="AK147" i="32"/>
  <c r="AH85" i="52"/>
  <c r="Q63" i="26"/>
  <c r="Q195" i="26"/>
  <c r="Q228" i="26"/>
  <c r="Q56" i="52"/>
  <c r="Q129" i="26"/>
  <c r="Q162" i="26"/>
  <c r="Q96" i="26"/>
  <c r="Q30" i="26"/>
  <c r="Q4" i="52"/>
  <c r="Q87" i="19"/>
  <c r="AE201" i="32"/>
  <c r="D45" i="20"/>
  <c r="AH152" i="27"/>
  <c r="AH158" i="27" s="1"/>
  <c r="AH86" i="27"/>
  <c r="AH92" i="27" s="1"/>
  <c r="K54" i="27"/>
  <c r="K60" i="27" s="1"/>
  <c r="J22" i="27"/>
  <c r="J28" i="27" s="1"/>
  <c r="K186" i="27"/>
  <c r="K192" i="27" s="1"/>
  <c r="M42" i="27"/>
  <c r="M48" i="27" s="1"/>
  <c r="M204" i="27"/>
  <c r="M210" i="27" s="1"/>
  <c r="M136" i="20"/>
  <c r="M142" i="20" s="1"/>
  <c r="M148" i="20" s="1"/>
  <c r="M154" i="20" s="1"/>
  <c r="E23" i="52"/>
  <c r="H67" i="11" s="1"/>
  <c r="I86" i="27"/>
  <c r="I92" i="27" s="1"/>
  <c r="I218" i="27"/>
  <c r="I224" i="27" s="1"/>
  <c r="T14" i="52"/>
  <c r="T121" i="52"/>
  <c r="W73" i="11"/>
  <c r="E50" i="33"/>
  <c r="K47" i="33"/>
  <c r="X160" i="19"/>
  <c r="AO81" i="32"/>
  <c r="AO137" i="32"/>
  <c r="AO109" i="32"/>
  <c r="AO90" i="32"/>
  <c r="AO99" i="32"/>
  <c r="AL53" i="19"/>
  <c r="AO118" i="32"/>
  <c r="AO128" i="32"/>
  <c r="AL81" i="52"/>
  <c r="K111" i="20"/>
  <c r="K117" i="20" s="1"/>
  <c r="K146" i="20"/>
  <c r="K152" i="20" s="1"/>
  <c r="K158" i="20" s="1"/>
  <c r="K44" i="20"/>
  <c r="K47" i="20" s="1"/>
  <c r="M100" i="20"/>
  <c r="M106" i="20" s="1"/>
  <c r="M112" i="20" s="1"/>
  <c r="M118" i="20" s="1"/>
  <c r="M99" i="20"/>
  <c r="M105" i="20" s="1"/>
  <c r="M135" i="20"/>
  <c r="M141" i="20" s="1"/>
  <c r="K229" i="26"/>
  <c r="K163" i="26"/>
  <c r="K196" i="26"/>
  <c r="K64" i="26"/>
  <c r="K130" i="26"/>
  <c r="K97" i="26"/>
  <c r="K31" i="26"/>
  <c r="K88" i="19"/>
  <c r="V163" i="19"/>
  <c r="I152" i="27"/>
  <c r="I158" i="27" s="1"/>
  <c r="I182" i="27"/>
  <c r="I188" i="27" s="1"/>
  <c r="T15" i="52"/>
  <c r="T125" i="52"/>
  <c r="AK91" i="19"/>
  <c r="Z126" i="20"/>
  <c r="J52" i="27"/>
  <c r="J58" i="27" s="1"/>
  <c r="I217" i="27"/>
  <c r="I223" i="27" s="1"/>
  <c r="K158" i="19"/>
  <c r="O129" i="20"/>
  <c r="J218" i="27"/>
  <c r="J224" i="27" s="1"/>
  <c r="I76" i="20"/>
  <c r="I82" i="20" s="1"/>
  <c r="I88" i="20" s="1"/>
  <c r="K50" i="27"/>
  <c r="K56" i="27" s="1"/>
  <c r="E49" i="33"/>
  <c r="K46" i="33"/>
  <c r="K78" i="20"/>
  <c r="K84" i="20" s="1"/>
  <c r="AH48" i="20"/>
  <c r="AH158" i="20" s="1"/>
  <c r="AK191" i="32"/>
  <c r="AK144" i="32"/>
  <c r="AK162" i="32"/>
  <c r="AK153" i="32"/>
  <c r="AH82" i="52"/>
  <c r="AH47" i="20"/>
  <c r="AK181" i="32"/>
  <c r="AK200" i="32"/>
  <c r="AH93" i="20"/>
  <c r="Q60" i="11"/>
  <c r="N129" i="52" s="1"/>
  <c r="Q59" i="11"/>
  <c r="N123" i="52" s="1"/>
  <c r="Q55" i="11"/>
  <c r="N134" i="52" s="1"/>
  <c r="Q51" i="11"/>
  <c r="N126" i="52" s="1"/>
  <c r="Q63" i="11"/>
  <c r="N130" i="52" s="1"/>
  <c r="Q56" i="11"/>
  <c r="N122" i="52" s="1"/>
  <c r="Q57" i="11"/>
  <c r="N128" i="52" s="1"/>
  <c r="Q52" i="11"/>
  <c r="N133" i="52" s="1"/>
  <c r="Q58" i="11"/>
  <c r="N135" i="52" s="1"/>
  <c r="Q46" i="11"/>
  <c r="Q48" i="11"/>
  <c r="Q62" i="11"/>
  <c r="Q47" i="11"/>
  <c r="Q50" i="11"/>
  <c r="N120" i="52" s="1"/>
  <c r="Q54" i="11"/>
  <c r="N127" i="52" s="1"/>
  <c r="Q61" i="11"/>
  <c r="Q49" i="11"/>
  <c r="N132" i="52" s="1"/>
  <c r="Q53" i="11"/>
  <c r="I110" i="20"/>
  <c r="I116" i="20" s="1"/>
  <c r="R155" i="32"/>
  <c r="R193" i="32"/>
  <c r="O84" i="52"/>
  <c r="R183" i="32"/>
  <c r="R202" i="32"/>
  <c r="R174" i="32"/>
  <c r="R146" i="32"/>
  <c r="R164" i="32"/>
  <c r="O50" i="20"/>
  <c r="K87" i="27"/>
  <c r="K93" i="27" s="1"/>
  <c r="M75" i="27"/>
  <c r="M81" i="27" s="1"/>
  <c r="M30" i="20"/>
  <c r="M37" i="20" s="1"/>
  <c r="M45" i="20" s="1"/>
  <c r="M138" i="20"/>
  <c r="M144" i="20" s="1"/>
  <c r="AM95" i="32"/>
  <c r="AJ77" i="52"/>
  <c r="AJ49" i="19"/>
  <c r="AM105" i="32"/>
  <c r="AM133" i="32"/>
  <c r="AM77" i="32"/>
  <c r="AM114" i="32"/>
  <c r="AM124" i="32"/>
  <c r="AM86" i="32"/>
  <c r="I50" i="27"/>
  <c r="I56" i="27" s="1"/>
  <c r="AB228" i="27"/>
  <c r="AB195" i="27"/>
  <c r="AB162" i="27"/>
  <c r="AB129" i="27"/>
  <c r="AB96" i="27"/>
  <c r="AB63" i="27"/>
  <c r="AB30" i="27"/>
  <c r="N201" i="32"/>
  <c r="N145" i="32"/>
  <c r="N163" i="32"/>
  <c r="K83" i="52"/>
  <c r="K49" i="20"/>
  <c r="K159" i="20" s="1"/>
  <c r="N192" i="32"/>
  <c r="N182" i="32"/>
  <c r="N173" i="32"/>
  <c r="Z90" i="20"/>
  <c r="I115" i="20"/>
  <c r="I121" i="20" s="1"/>
  <c r="AK93" i="19"/>
  <c r="J78" i="20"/>
  <c r="J84" i="20" s="1"/>
  <c r="J90" i="20" s="1"/>
  <c r="Y56" i="52"/>
  <c r="P46" i="20"/>
  <c r="H13" i="52"/>
  <c r="H12" i="52"/>
  <c r="H119" i="52"/>
  <c r="D119" i="27"/>
  <c r="D125" i="27" s="1"/>
  <c r="M173" i="27"/>
  <c r="M179" i="27" s="1"/>
  <c r="M43" i="27"/>
  <c r="M49" i="27" s="1"/>
  <c r="M76" i="27"/>
  <c r="M82" i="27" s="1"/>
  <c r="M88" i="27" s="1"/>
  <c r="M94" i="27" s="1"/>
  <c r="X64" i="26"/>
  <c r="X196" i="26"/>
  <c r="X163" i="26"/>
  <c r="X31" i="26"/>
  <c r="X229" i="26"/>
  <c r="X130" i="26"/>
  <c r="X97" i="26"/>
  <c r="X5" i="52"/>
  <c r="X88" i="19"/>
  <c r="O86" i="20"/>
  <c r="AK154" i="32"/>
  <c r="AH49" i="20"/>
  <c r="AK192" i="32"/>
  <c r="AK182" i="32"/>
  <c r="AK163" i="32"/>
  <c r="AK173" i="32"/>
  <c r="AK145" i="32"/>
  <c r="AH83" i="52"/>
  <c r="AM126" i="32"/>
  <c r="AM79" i="32"/>
  <c r="AJ51" i="19"/>
  <c r="AM88" i="32"/>
  <c r="AM107" i="32"/>
  <c r="AJ79" i="52"/>
  <c r="AM135" i="32"/>
  <c r="AM97" i="32"/>
  <c r="AM116" i="32"/>
  <c r="R50" i="52"/>
  <c r="R27" i="52"/>
  <c r="R51" i="52"/>
  <c r="R53" i="52"/>
  <c r="R52" i="52"/>
  <c r="R54" i="52"/>
  <c r="R49" i="52"/>
  <c r="R65" i="52"/>
  <c r="R62" i="52"/>
  <c r="R64" i="52"/>
  <c r="R66" i="52"/>
  <c r="R63" i="52"/>
  <c r="R61" i="52"/>
  <c r="P116" i="27"/>
  <c r="P122" i="27" s="1"/>
  <c r="AB163" i="20"/>
  <c r="J54" i="27"/>
  <c r="J60" i="27" s="1"/>
  <c r="AJ158" i="19"/>
  <c r="AI195" i="26"/>
  <c r="AI63" i="26"/>
  <c r="AI129" i="26"/>
  <c r="AI162" i="26"/>
  <c r="AI96" i="26"/>
  <c r="AI30" i="26"/>
  <c r="AI228" i="26"/>
  <c r="AI56" i="52"/>
  <c r="AI4" i="52"/>
  <c r="AI123" i="19"/>
  <c r="K122" i="19"/>
  <c r="I117" i="27"/>
  <c r="I123" i="27" s="1"/>
  <c r="P152" i="27"/>
  <c r="P158" i="27" s="1"/>
  <c r="AN123" i="32"/>
  <c r="J21" i="27"/>
  <c r="J27" i="27" s="1"/>
  <c r="P55" i="27"/>
  <c r="P61" i="27" s="1"/>
  <c r="M65" i="20"/>
  <c r="M71" i="20" s="1"/>
  <c r="M137" i="20"/>
  <c r="M143" i="20" s="1"/>
  <c r="M7" i="27"/>
  <c r="M13" i="27" s="1"/>
  <c r="M19" i="27" s="1"/>
  <c r="M25" i="27" s="1"/>
  <c r="Z89" i="20"/>
  <c r="AM23" i="52"/>
  <c r="AP67" i="11" s="1"/>
  <c r="AB122" i="20"/>
  <c r="AB161" i="20"/>
  <c r="I147" i="20"/>
  <c r="I153" i="20" s="1"/>
  <c r="AK230" i="26"/>
  <c r="AK131" i="26"/>
  <c r="AK98" i="26"/>
  <c r="AK164" i="26"/>
  <c r="AK32" i="26"/>
  <c r="AK197" i="26"/>
  <c r="AK58" i="52"/>
  <c r="AK65" i="26"/>
  <c r="AK6" i="52"/>
  <c r="K218" i="27"/>
  <c r="K224" i="27" s="1"/>
  <c r="D82" i="52"/>
  <c r="G162" i="32"/>
  <c r="G191" i="32"/>
  <c r="G144" i="32"/>
  <c r="G153" i="32"/>
  <c r="D48" i="20"/>
  <c r="G200" i="32"/>
  <c r="G181" i="32"/>
  <c r="D93" i="20"/>
  <c r="P20" i="27"/>
  <c r="P26" i="27" s="1"/>
  <c r="J215" i="27"/>
  <c r="J221" i="27" s="1"/>
  <c r="AB127" i="20"/>
  <c r="K116" i="27"/>
  <c r="K122" i="27" s="1"/>
  <c r="K20" i="27"/>
  <c r="K26" i="27" s="1"/>
  <c r="J110" i="20"/>
  <c r="AK163" i="19"/>
  <c r="AI87" i="19"/>
  <c r="I42" i="20"/>
  <c r="AK49" i="19"/>
  <c r="AK123" i="19" s="1"/>
  <c r="AK77" i="52"/>
  <c r="AN86" i="32"/>
  <c r="AN124" i="32"/>
  <c r="AN133" i="32"/>
  <c r="AN95" i="32"/>
  <c r="AN77" i="32"/>
  <c r="AN114" i="32"/>
  <c r="AN105" i="32"/>
  <c r="AH219" i="27"/>
  <c r="AH225" i="27" s="1"/>
  <c r="S230" i="27"/>
  <c r="S197" i="27"/>
  <c r="S164" i="27"/>
  <c r="S131" i="27"/>
  <c r="S32" i="27"/>
  <c r="S98" i="27"/>
  <c r="S65" i="27"/>
  <c r="S64" i="52"/>
  <c r="S125" i="20"/>
  <c r="AE173" i="32"/>
  <c r="J112" i="20"/>
  <c r="J118" i="20" s="1"/>
  <c r="P42" i="20"/>
  <c r="P47" i="20" s="1"/>
  <c r="AN132" i="32"/>
  <c r="J113" i="20"/>
  <c r="J119" i="20" s="1"/>
  <c r="P50" i="27"/>
  <c r="P56" i="27" s="1"/>
  <c r="O149" i="20"/>
  <c r="O155" i="20" s="1"/>
  <c r="K120" i="27"/>
  <c r="K126" i="27" s="1"/>
  <c r="P151" i="27"/>
  <c r="P157" i="27" s="1"/>
  <c r="M98" i="20"/>
  <c r="M104" i="20" s="1"/>
  <c r="M170" i="27"/>
  <c r="M176" i="27" s="1"/>
  <c r="M107" i="27"/>
  <c r="M113" i="27" s="1"/>
  <c r="AH87" i="20"/>
  <c r="K98" i="26"/>
  <c r="K131" i="26"/>
  <c r="K164" i="26"/>
  <c r="K197" i="26"/>
  <c r="K230" i="26"/>
  <c r="K32" i="26"/>
  <c r="K65" i="26"/>
  <c r="AM113" i="32"/>
  <c r="AM76" i="32"/>
  <c r="AJ76" i="52"/>
  <c r="AM132" i="32"/>
  <c r="AJ48" i="19"/>
  <c r="AM94" i="32"/>
  <c r="AM85" i="32"/>
  <c r="AM123" i="32"/>
  <c r="AJ47" i="19"/>
  <c r="AM104" i="32"/>
  <c r="AJ93" i="19"/>
  <c r="AB47" i="20"/>
  <c r="AB54" i="20" s="1"/>
  <c r="AE200" i="32"/>
  <c r="AE191" i="32"/>
  <c r="AE181" i="32"/>
  <c r="AE172" i="32"/>
  <c r="AE153" i="32"/>
  <c r="AE144" i="32"/>
  <c r="AE162" i="32"/>
  <c r="AB82" i="52"/>
  <c r="AB48" i="20"/>
  <c r="AB158" i="20" s="1"/>
  <c r="AB93" i="20"/>
  <c r="AB129" i="20"/>
  <c r="AB165" i="20"/>
  <c r="I85" i="27"/>
  <c r="I91" i="27" s="1"/>
  <c r="AJ122" i="19"/>
  <c r="AM127" i="32"/>
  <c r="AM136" i="32"/>
  <c r="AJ80" i="52"/>
  <c r="AM89" i="32"/>
  <c r="AM108" i="32"/>
  <c r="AM80" i="32"/>
  <c r="AM117" i="32"/>
  <c r="AM98" i="32"/>
  <c r="AJ52" i="19"/>
  <c r="AJ126" i="19" s="1"/>
  <c r="I111" i="20"/>
  <c r="I117" i="20" s="1"/>
  <c r="J84" i="27"/>
  <c r="J90" i="27" s="1"/>
  <c r="R149" i="32"/>
  <c r="O87" i="52"/>
  <c r="R196" i="32"/>
  <c r="R205" i="32"/>
  <c r="R158" i="32"/>
  <c r="R177" i="32"/>
  <c r="R167" i="32"/>
  <c r="R186" i="32"/>
  <c r="O53" i="20"/>
  <c r="O127" i="20" s="1"/>
  <c r="I120" i="27"/>
  <c r="I126" i="27" s="1"/>
  <c r="J77" i="20"/>
  <c r="J83" i="20" s="1"/>
  <c r="J44" i="20"/>
  <c r="P85" i="27"/>
  <c r="P91" i="27" s="1"/>
  <c r="AJ127" i="19"/>
  <c r="H132" i="52"/>
  <c r="AE202" i="32"/>
  <c r="AE193" i="32"/>
  <c r="AE174" i="32"/>
  <c r="AE155" i="32"/>
  <c r="AE164" i="32"/>
  <c r="AE146" i="32"/>
  <c r="AB50" i="20"/>
  <c r="AB160" i="20" s="1"/>
  <c r="AB84" i="52"/>
  <c r="AE183" i="32"/>
  <c r="K77" i="20"/>
  <c r="K83" i="20" s="1"/>
  <c r="P147" i="20"/>
  <c r="P153" i="20" s="1"/>
  <c r="M139" i="27"/>
  <c r="M145" i="27" s="1"/>
  <c r="M142" i="27"/>
  <c r="M148" i="27" s="1"/>
  <c r="M154" i="27" s="1"/>
  <c r="M160" i="27" s="1"/>
  <c r="M9" i="27"/>
  <c r="M15" i="27" s="1"/>
  <c r="M21" i="27" s="1"/>
  <c r="M27" i="27" s="1"/>
  <c r="I75" i="20"/>
  <c r="I81" i="20" s="1"/>
  <c r="Z125" i="20"/>
  <c r="O90" i="20"/>
  <c r="P117" i="27"/>
  <c r="P123" i="27" s="1"/>
  <c r="AL216" i="26"/>
  <c r="AL222" i="26" s="1"/>
  <c r="I22" i="27"/>
  <c r="I28" i="27" s="1"/>
  <c r="X125" i="19"/>
  <c r="AN57" i="52"/>
  <c r="P18" i="27"/>
  <c r="P24" i="27" s="1"/>
  <c r="I20" i="27"/>
  <c r="I26" i="27" s="1"/>
  <c r="J187" i="27"/>
  <c r="J193" i="27" s="1"/>
  <c r="AN59" i="52"/>
  <c r="J185" i="27"/>
  <c r="J191" i="27" s="1"/>
  <c r="AN89" i="32"/>
  <c r="Z115" i="20"/>
  <c r="Z121" i="20" s="1"/>
  <c r="AK55" i="52"/>
  <c r="AK194" i="26"/>
  <c r="AK62" i="26"/>
  <c r="AK29" i="26"/>
  <c r="AK227" i="26"/>
  <c r="AK128" i="26"/>
  <c r="AK161" i="26"/>
  <c r="AK95" i="26"/>
  <c r="AK3" i="52"/>
  <c r="Z88" i="27"/>
  <c r="Z94" i="27" s="1"/>
  <c r="K83" i="27"/>
  <c r="K89" i="27" s="1"/>
  <c r="P74" i="20"/>
  <c r="P80" i="20" s="1"/>
  <c r="M171" i="27"/>
  <c r="M177" i="27" s="1"/>
  <c r="M106" i="27"/>
  <c r="M112" i="27" s="1"/>
  <c r="P180" i="32"/>
  <c r="P19" i="34" s="1"/>
  <c r="P33" i="34" s="1"/>
  <c r="P170" i="32"/>
  <c r="P171" i="32" s="1"/>
  <c r="P20" i="34" s="1"/>
  <c r="P34" i="34" s="1"/>
  <c r="AC27" i="52"/>
  <c r="AC51" i="52"/>
  <c r="AC50" i="52"/>
  <c r="AC53" i="52"/>
  <c r="AC54" i="52"/>
  <c r="AC49" i="52"/>
  <c r="AC52" i="52"/>
  <c r="AC65" i="52"/>
  <c r="AC63" i="52"/>
  <c r="AC64" i="52"/>
  <c r="AC58" i="52"/>
  <c r="AC61" i="52"/>
  <c r="AC66" i="52"/>
  <c r="AC57" i="52"/>
  <c r="AC62" i="52"/>
  <c r="T130" i="52"/>
  <c r="Q229" i="26"/>
  <c r="Q196" i="26"/>
  <c r="Q163" i="26"/>
  <c r="Q130" i="26"/>
  <c r="Q97" i="26"/>
  <c r="Q64" i="26"/>
  <c r="Q31" i="26"/>
  <c r="Q5" i="52"/>
  <c r="I154" i="27"/>
  <c r="I160" i="27" s="1"/>
  <c r="P113" i="20"/>
  <c r="P119" i="20" s="1"/>
  <c r="P149" i="27"/>
  <c r="P155" i="27" s="1"/>
  <c r="K53" i="27"/>
  <c r="K59" i="27" s="1"/>
  <c r="D146" i="20"/>
  <c r="D152" i="20" s="1"/>
  <c r="D158" i="20" s="1"/>
  <c r="AN56" i="52"/>
  <c r="P54" i="27"/>
  <c r="P60" i="27" s="1"/>
  <c r="I148" i="20"/>
  <c r="I154" i="20" s="1"/>
  <c r="I160" i="20" s="1"/>
  <c r="J116" i="27"/>
  <c r="J122" i="27" s="1"/>
  <c r="Z54" i="27"/>
  <c r="Z60" i="27" s="1"/>
  <c r="I84" i="27"/>
  <c r="I90" i="27" s="1"/>
  <c r="G29" i="52"/>
  <c r="G22" i="52"/>
  <c r="Z46" i="20"/>
  <c r="Z47" i="20" s="1"/>
  <c r="Z151" i="20"/>
  <c r="Z157" i="20" s="1"/>
  <c r="M164" i="20"/>
  <c r="M166" i="20" s="1"/>
  <c r="M109" i="27"/>
  <c r="M115" i="27" s="1"/>
  <c r="M72" i="27"/>
  <c r="M78" i="27" s="1"/>
  <c r="AH77" i="20"/>
  <c r="AH83" i="20" s="1"/>
  <c r="R199" i="26"/>
  <c r="R67" i="26"/>
  <c r="R34" i="26"/>
  <c r="R232" i="26"/>
  <c r="R166" i="26"/>
  <c r="R133" i="26"/>
  <c r="R100" i="26"/>
  <c r="R60" i="52"/>
  <c r="R8" i="52"/>
  <c r="R163" i="19"/>
  <c r="R127" i="19"/>
  <c r="Q54" i="19"/>
  <c r="Q9" i="52" s="1"/>
  <c r="Q60" i="52" s="1"/>
  <c r="Q26" i="52"/>
  <c r="AB166" i="27"/>
  <c r="AB133" i="27"/>
  <c r="AB100" i="27"/>
  <c r="AB67" i="27"/>
  <c r="AB34" i="27"/>
  <c r="AB232" i="27"/>
  <c r="AB199" i="27"/>
  <c r="K54" i="19"/>
  <c r="W165" i="27"/>
  <c r="W198" i="27"/>
  <c r="W132" i="27"/>
  <c r="W66" i="27"/>
  <c r="W99" i="27"/>
  <c r="W33" i="27"/>
  <c r="W231" i="27"/>
  <c r="W65" i="52"/>
  <c r="W7" i="52"/>
  <c r="W162" i="20"/>
  <c r="W90" i="20"/>
  <c r="W126" i="20"/>
  <c r="I21" i="27"/>
  <c r="I27" i="27" s="1"/>
  <c r="P44" i="20"/>
  <c r="P119" i="27"/>
  <c r="P125" i="27" s="1"/>
  <c r="I150" i="20"/>
  <c r="I156" i="20" s="1"/>
  <c r="I162" i="20" s="1"/>
  <c r="K220" i="27"/>
  <c r="K226" i="27" s="1"/>
  <c r="I146" i="20"/>
  <c r="I152" i="20" s="1"/>
  <c r="I19" i="27"/>
  <c r="I25" i="27" s="1"/>
  <c r="AJ87" i="19"/>
  <c r="G27" i="52"/>
  <c r="G64" i="52"/>
  <c r="G53" i="52"/>
  <c r="G63" i="52"/>
  <c r="G65" i="52"/>
  <c r="G54" i="52"/>
  <c r="G52" i="52"/>
  <c r="G49" i="52"/>
  <c r="G50" i="52"/>
  <c r="G66" i="52"/>
  <c r="G62" i="52"/>
  <c r="G51" i="52"/>
  <c r="G61" i="52"/>
  <c r="G59" i="52"/>
  <c r="G58" i="52"/>
  <c r="V91" i="19"/>
  <c r="M27" i="20"/>
  <c r="M34" i="20" s="1"/>
  <c r="M208" i="27"/>
  <c r="M214" i="27" s="1"/>
  <c r="M220" i="27" s="1"/>
  <c r="M226" i="27" s="1"/>
  <c r="AH110" i="20"/>
  <c r="AH116" i="20" s="1"/>
  <c r="V230" i="26"/>
  <c r="V164" i="26"/>
  <c r="V197" i="26"/>
  <c r="V65" i="26"/>
  <c r="V98" i="26"/>
  <c r="V131" i="26"/>
  <c r="V32" i="26"/>
  <c r="U23" i="52"/>
  <c r="X67" i="11" s="1"/>
  <c r="AC164" i="32"/>
  <c r="AC183" i="32"/>
  <c r="Z84" i="52"/>
  <c r="Z50" i="20"/>
  <c r="AC174" i="32"/>
  <c r="AC155" i="32"/>
  <c r="AC202" i="32"/>
  <c r="AC193" i="32"/>
  <c r="AC146" i="32"/>
  <c r="AE149" i="32"/>
  <c r="V231" i="26"/>
  <c r="V132" i="26"/>
  <c r="V99" i="26"/>
  <c r="V198" i="26"/>
  <c r="V165" i="26"/>
  <c r="V33" i="26"/>
  <c r="V66" i="26"/>
  <c r="P111" i="20"/>
  <c r="P117" i="20" s="1"/>
  <c r="I83" i="27"/>
  <c r="I89" i="27" s="1"/>
  <c r="K55" i="27"/>
  <c r="K61" i="27" s="1"/>
  <c r="I184" i="27"/>
  <c r="I190" i="27" s="1"/>
  <c r="P19" i="27"/>
  <c r="P25" i="27" s="1"/>
  <c r="V161" i="19"/>
  <c r="K110" i="20"/>
  <c r="K116" i="20" s="1"/>
  <c r="P215" i="27"/>
  <c r="P221" i="27" s="1"/>
  <c r="I185" i="27"/>
  <c r="I191" i="27" s="1"/>
  <c r="AB124" i="20"/>
  <c r="H121" i="52"/>
  <c r="H14" i="52"/>
  <c r="M29" i="20"/>
  <c r="M36" i="20" s="1"/>
  <c r="M44" i="20" s="1"/>
  <c r="M102" i="20"/>
  <c r="M108" i="20" s="1"/>
  <c r="M114" i="20" s="1"/>
  <c r="M120" i="20" s="1"/>
  <c r="M6" i="27"/>
  <c r="M12" i="27" s="1"/>
  <c r="AH90" i="20"/>
  <c r="AB125" i="20"/>
  <c r="R182" i="32"/>
  <c r="R173" i="32"/>
  <c r="R145" i="32"/>
  <c r="R163" i="32"/>
  <c r="R154" i="32"/>
  <c r="O83" i="52"/>
  <c r="O49" i="20"/>
  <c r="O87" i="20" s="1"/>
  <c r="R192" i="32"/>
  <c r="R201" i="32"/>
  <c r="AB91" i="20"/>
  <c r="AG23" i="52"/>
  <c r="AJ67" i="11" s="1"/>
  <c r="AE167" i="32"/>
  <c r="I51" i="27"/>
  <c r="I57" i="27" s="1"/>
  <c r="I220" i="27"/>
  <c r="I226" i="27" s="1"/>
  <c r="I78" i="20"/>
  <c r="I84" i="20" s="1"/>
  <c r="K151" i="27"/>
  <c r="K157" i="27" s="1"/>
  <c r="P112" i="20"/>
  <c r="P118" i="20" s="1"/>
  <c r="P22" i="27"/>
  <c r="P28" i="27" s="1"/>
  <c r="R55" i="52"/>
  <c r="I87" i="27"/>
  <c r="I93" i="27" s="1"/>
  <c r="AC60" i="52"/>
  <c r="K75" i="20"/>
  <c r="K81" i="20" s="1"/>
  <c r="I113" i="20"/>
  <c r="I119" i="20" s="1"/>
  <c r="I125" i="20" s="1"/>
  <c r="P182" i="27"/>
  <c r="P188" i="27" s="1"/>
  <c r="AL116" i="26"/>
  <c r="AL122" i="26" s="1"/>
  <c r="P149" i="20"/>
  <c r="P155" i="20" s="1"/>
  <c r="AL113" i="19"/>
  <c r="AL119" i="19" s="1"/>
  <c r="M141" i="27"/>
  <c r="M147" i="27" s="1"/>
  <c r="M104" i="27"/>
  <c r="M110" i="27" s="1"/>
  <c r="E39" i="33"/>
  <c r="K36" i="33"/>
  <c r="I149" i="27"/>
  <c r="I155" i="27" s="1"/>
  <c r="K84" i="52"/>
  <c r="N202" i="32"/>
  <c r="N193" i="32"/>
  <c r="N146" i="32"/>
  <c r="K50" i="20"/>
  <c r="K5" i="52" s="1"/>
  <c r="N164" i="32"/>
  <c r="N174" i="32"/>
  <c r="P88" i="27"/>
  <c r="P94" i="27" s="1"/>
  <c r="AH123" i="20"/>
  <c r="K149" i="27"/>
  <c r="K155" i="27" s="1"/>
  <c r="P115" i="20"/>
  <c r="P121" i="20" s="1"/>
  <c r="AE29" i="52"/>
  <c r="AE22" i="52"/>
  <c r="AL91" i="19"/>
  <c r="P43" i="20"/>
  <c r="I219" i="27"/>
  <c r="I225" i="27" s="1"/>
  <c r="J149" i="27"/>
  <c r="J155" i="27" s="1"/>
  <c r="M75" i="20"/>
  <c r="M81" i="20" s="1"/>
  <c r="M74" i="20"/>
  <c r="M80" i="20" s="1"/>
  <c r="I187" i="27"/>
  <c r="I193" i="27" s="1"/>
  <c r="X161" i="19"/>
  <c r="J17" i="27"/>
  <c r="J23" i="27" s="1"/>
  <c r="K21" i="27"/>
  <c r="K27" i="27" s="1"/>
  <c r="I54" i="27"/>
  <c r="I60" i="27" s="1"/>
  <c r="AK205" i="32"/>
  <c r="AK196" i="32"/>
  <c r="AK149" i="32"/>
  <c r="AH87" i="52"/>
  <c r="AK177" i="32"/>
  <c r="AK186" i="32"/>
  <c r="AK158" i="32"/>
  <c r="AK167" i="32"/>
  <c r="AH53" i="20"/>
  <c r="AH163" i="20" s="1"/>
  <c r="P146" i="20"/>
  <c r="P152" i="20" s="1"/>
  <c r="J51" i="27"/>
  <c r="J57" i="27" s="1"/>
  <c r="P77" i="20"/>
  <c r="P83" i="20" s="1"/>
  <c r="AE27" i="52"/>
  <c r="AE51" i="52"/>
  <c r="AE50" i="52"/>
  <c r="AE54" i="52"/>
  <c r="AE49" i="52"/>
  <c r="AE53" i="52"/>
  <c r="AE52" i="52"/>
  <c r="AE66" i="52"/>
  <c r="AE63" i="52"/>
  <c r="AE62" i="52"/>
  <c r="AE64" i="52"/>
  <c r="AE61" i="52"/>
  <c r="AE65" i="52"/>
  <c r="AE59" i="52"/>
  <c r="AL182" i="26"/>
  <c r="AL188" i="26" s="1"/>
  <c r="AK198" i="26"/>
  <c r="AK66" i="26"/>
  <c r="AK231" i="26"/>
  <c r="AK99" i="26"/>
  <c r="AK165" i="26"/>
  <c r="AK132" i="26"/>
  <c r="AK33" i="26"/>
  <c r="AK59" i="52"/>
  <c r="AK7" i="52"/>
  <c r="P52" i="27"/>
  <c r="P58" i="27" s="1"/>
  <c r="AL50" i="26"/>
  <c r="AL56" i="26" s="1"/>
  <c r="P21" i="27"/>
  <c r="P27" i="27" s="1"/>
  <c r="AL151" i="26"/>
  <c r="AL157" i="26" s="1"/>
  <c r="I149" i="20"/>
  <c r="I155" i="20" s="1"/>
  <c r="I161" i="20" s="1"/>
  <c r="J151" i="27"/>
  <c r="J157" i="27" s="1"/>
  <c r="M64" i="20"/>
  <c r="M70" i="20" s="1"/>
  <c r="M76" i="20" s="1"/>
  <c r="M82" i="20" s="1"/>
  <c r="M108" i="27"/>
  <c r="M114" i="27" s="1"/>
  <c r="M40" i="27"/>
  <c r="M46" i="27" s="1"/>
  <c r="I153" i="27"/>
  <c r="I159" i="27" s="1"/>
  <c r="AB88" i="20"/>
  <c r="Z160" i="20"/>
  <c r="O91" i="20"/>
  <c r="AJ89" i="19"/>
  <c r="Y170" i="32"/>
  <c r="Y171" i="32" s="1"/>
  <c r="Y20" i="34" s="1"/>
  <c r="Y34" i="34" s="1"/>
  <c r="Y180" i="32"/>
  <c r="Y19" i="34" s="1"/>
  <c r="Y33" i="34" s="1"/>
  <c r="I77" i="20"/>
  <c r="I83" i="20" s="1"/>
  <c r="I89" i="20" s="1"/>
  <c r="AE205" i="32"/>
  <c r="I186" i="27"/>
  <c r="I192" i="27" s="1"/>
  <c r="K91" i="19"/>
  <c r="J83" i="27"/>
  <c r="J89" i="27" s="1"/>
  <c r="K118" i="27"/>
  <c r="K124" i="27" s="1"/>
  <c r="G194" i="32"/>
  <c r="G203" i="32"/>
  <c r="G175" i="32"/>
  <c r="D85" i="52"/>
  <c r="D51" i="20"/>
  <c r="G147" i="32"/>
  <c r="G184" i="32"/>
  <c r="G156" i="32"/>
  <c r="G165" i="32"/>
  <c r="K125" i="19"/>
  <c r="AC56" i="52"/>
  <c r="K161" i="19"/>
  <c r="P120" i="27"/>
  <c r="P126" i="27" s="1"/>
  <c r="AL165" i="19"/>
  <c r="AL183" i="26"/>
  <c r="AL189" i="26" s="1"/>
  <c r="AB86" i="20"/>
  <c r="P118" i="27"/>
  <c r="P124" i="27" s="1"/>
  <c r="K183" i="27"/>
  <c r="K189" i="27" s="1"/>
  <c r="J165" i="20"/>
  <c r="M203" i="27"/>
  <c r="M209" i="27" s="1"/>
  <c r="M73" i="27"/>
  <c r="M79" i="27" s="1"/>
  <c r="M66" i="20"/>
  <c r="M72" i="20" s="1"/>
  <c r="M78" i="20" s="1"/>
  <c r="M84" i="20" s="1"/>
  <c r="J20" i="27"/>
  <c r="J26" i="27" s="1"/>
  <c r="Z158" i="20"/>
  <c r="X194" i="26"/>
  <c r="X161" i="26"/>
  <c r="X55" i="52"/>
  <c r="X128" i="26"/>
  <c r="X95" i="26"/>
  <c r="X29" i="26"/>
  <c r="X227" i="26"/>
  <c r="X62" i="26"/>
  <c r="X3" i="52"/>
  <c r="X86" i="19"/>
  <c r="AJ129" i="19"/>
  <c r="I118" i="27"/>
  <c r="I124" i="27" s="1"/>
  <c r="V161" i="26"/>
  <c r="V95" i="26"/>
  <c r="V128" i="26"/>
  <c r="V29" i="26"/>
  <c r="V227" i="26"/>
  <c r="V194" i="26"/>
  <c r="V62" i="26"/>
  <c r="AB54" i="19"/>
  <c r="AB9" i="52" s="1"/>
  <c r="D53" i="20"/>
  <c r="D91" i="20" s="1"/>
  <c r="G205" i="32"/>
  <c r="D87" i="52"/>
  <c r="G167" i="32"/>
  <c r="G186" i="32"/>
  <c r="G177" i="32"/>
  <c r="G196" i="32"/>
  <c r="G158" i="32"/>
  <c r="G149" i="32"/>
  <c r="Z86" i="20"/>
  <c r="AN60" i="52"/>
  <c r="J43" i="20"/>
  <c r="Z48" i="20"/>
  <c r="Z82" i="52"/>
  <c r="AC200" i="32"/>
  <c r="AC181" i="32"/>
  <c r="AC144" i="32"/>
  <c r="AC191" i="32"/>
  <c r="AC172" i="32"/>
  <c r="AC162" i="32"/>
  <c r="AC153" i="32"/>
  <c r="Z93" i="20"/>
  <c r="P165" i="20"/>
  <c r="AL78" i="52"/>
  <c r="AO96" i="32"/>
  <c r="AO125" i="32"/>
  <c r="AO78" i="32"/>
  <c r="AO87" i="32"/>
  <c r="AO106" i="32"/>
  <c r="AO134" i="32"/>
  <c r="AL50" i="19"/>
  <c r="AL88" i="19" s="1"/>
  <c r="AL88" i="26"/>
  <c r="AL94" i="26" s="1"/>
  <c r="I55" i="27"/>
  <c r="I61" i="27" s="1"/>
  <c r="P150" i="20"/>
  <c r="P156" i="20" s="1"/>
  <c r="K217" i="27"/>
  <c r="K223" i="27" s="1"/>
  <c r="P189" i="32"/>
  <c r="P190" i="32" s="1"/>
  <c r="P22" i="34" s="1"/>
  <c r="P36" i="34" s="1"/>
  <c r="P199" i="32"/>
  <c r="P21" i="34" s="1"/>
  <c r="P35" i="34" s="1"/>
  <c r="H125" i="52"/>
  <c r="H15" i="52"/>
  <c r="AB123" i="20"/>
  <c r="M140" i="27"/>
  <c r="M146" i="27" s="1"/>
  <c r="M67" i="20"/>
  <c r="M73" i="20" s="1"/>
  <c r="M79" i="20" s="1"/>
  <c r="M85" i="20" s="1"/>
  <c r="M103" i="20"/>
  <c r="M109" i="20" s="1"/>
  <c r="M115" i="20" s="1"/>
  <c r="M121" i="20" s="1"/>
  <c r="K52" i="27"/>
  <c r="K58" i="27" s="1"/>
  <c r="AI29" i="26"/>
  <c r="AI95" i="26"/>
  <c r="AI227" i="26"/>
  <c r="AI55" i="52"/>
  <c r="AI62" i="26"/>
  <c r="AI161" i="26"/>
  <c r="AI194" i="26"/>
  <c r="AI128" i="26"/>
  <c r="AI3" i="52"/>
  <c r="Z49" i="20"/>
  <c r="Z123" i="20" s="1"/>
  <c r="AC192" i="32"/>
  <c r="AC201" i="32"/>
  <c r="AC145" i="32"/>
  <c r="AC173" i="32"/>
  <c r="AC182" i="32"/>
  <c r="AC163" i="32"/>
  <c r="AC154" i="32"/>
  <c r="Z83" i="52"/>
  <c r="J85" i="27"/>
  <c r="J91" i="27" s="1"/>
  <c r="Y85" i="32"/>
  <c r="O160" i="20"/>
  <c r="V31" i="26"/>
  <c r="V163" i="26"/>
  <c r="V196" i="26"/>
  <c r="V64" i="26"/>
  <c r="V130" i="26"/>
  <c r="V229" i="26"/>
  <c r="V97" i="26"/>
  <c r="J114" i="20"/>
  <c r="J120" i="20" s="1"/>
  <c r="Z165" i="20"/>
  <c r="O123" i="20"/>
  <c r="AL127" i="19"/>
  <c r="AD23" i="52"/>
  <c r="AG67" i="11" s="1"/>
  <c r="I74" i="20"/>
  <c r="I80" i="20" s="1"/>
  <c r="D129" i="20"/>
  <c r="AL86" i="26"/>
  <c r="AL92" i="26" s="1"/>
  <c r="I183" i="27"/>
  <c r="I189" i="27" s="1"/>
  <c r="AK161" i="19"/>
  <c r="K51" i="27"/>
  <c r="K57" i="27" s="1"/>
  <c r="K65" i="11"/>
  <c r="G18" i="58" s="1"/>
  <c r="G19" i="58" s="1"/>
  <c r="H131" i="52"/>
  <c r="H16" i="52"/>
  <c r="M74" i="27"/>
  <c r="M80" i="27" s="1"/>
  <c r="M86" i="27" s="1"/>
  <c r="M92" i="27" s="1"/>
  <c r="M32" i="20"/>
  <c r="M39" i="20" s="1"/>
  <c r="M40" i="20" s="1"/>
  <c r="M26" i="20"/>
  <c r="M33" i="20" s="1"/>
  <c r="M41" i="20" s="1"/>
  <c r="D43" i="20"/>
  <c r="D47" i="20" s="1"/>
  <c r="K227" i="26"/>
  <c r="K194" i="26"/>
  <c r="K161" i="26"/>
  <c r="K95" i="26"/>
  <c r="K62" i="26"/>
  <c r="K128" i="26"/>
  <c r="K29" i="26"/>
  <c r="K3" i="52"/>
  <c r="AJ123" i="19"/>
  <c r="AB227" i="26"/>
  <c r="AB161" i="26"/>
  <c r="AB194" i="26"/>
  <c r="AB128" i="26"/>
  <c r="AB95" i="26"/>
  <c r="AB62" i="26"/>
  <c r="AB29" i="26"/>
  <c r="AB55" i="52"/>
  <c r="AB3" i="52"/>
  <c r="AB158" i="19"/>
  <c r="AB122" i="19"/>
  <c r="AB86" i="19"/>
  <c r="AL158" i="19"/>
  <c r="J48" i="20"/>
  <c r="J82" i="52"/>
  <c r="M153" i="32"/>
  <c r="M144" i="32"/>
  <c r="M162" i="32"/>
  <c r="M181" i="32"/>
  <c r="J47" i="20"/>
  <c r="M191" i="32"/>
  <c r="J93" i="20"/>
  <c r="R144" i="32"/>
  <c r="O82" i="52"/>
  <c r="R191" i="32"/>
  <c r="R181" i="32"/>
  <c r="R172" i="32"/>
  <c r="R153" i="32"/>
  <c r="O48" i="20"/>
  <c r="O122" i="20" s="1"/>
  <c r="O47" i="20"/>
  <c r="R162" i="32"/>
  <c r="R200" i="32"/>
  <c r="O93" i="20"/>
  <c r="S232" i="27"/>
  <c r="S199" i="27"/>
  <c r="S166" i="27"/>
  <c r="S133" i="27"/>
  <c r="S100" i="27"/>
  <c r="S67" i="27"/>
  <c r="S34" i="27"/>
  <c r="S66" i="52"/>
  <c r="S127" i="20"/>
  <c r="S91" i="20"/>
  <c r="AA23" i="52"/>
  <c r="AD67" i="11" s="1"/>
  <c r="Z122" i="20"/>
  <c r="I53" i="27"/>
  <c r="I59" i="27" s="1"/>
  <c r="K150" i="20"/>
  <c r="K156" i="20" s="1"/>
  <c r="I215" i="27"/>
  <c r="I221" i="27" s="1"/>
  <c r="V90" i="19"/>
  <c r="J19" i="27"/>
  <c r="J25" i="27" s="1"/>
  <c r="M134" i="20"/>
  <c r="M140" i="20" s="1"/>
  <c r="M105" i="27"/>
  <c r="M111" i="27" s="1"/>
  <c r="M117" i="27" s="1"/>
  <c r="M123" i="27" s="1"/>
  <c r="M175" i="27"/>
  <c r="M181" i="27" s="1"/>
  <c r="AL150" i="19"/>
  <c r="AL156" i="19" s="1"/>
  <c r="X65" i="26"/>
  <c r="X131" i="26"/>
  <c r="X58" i="52"/>
  <c r="X32" i="26"/>
  <c r="X164" i="26"/>
  <c r="X197" i="26"/>
  <c r="X230" i="26"/>
  <c r="X98" i="26"/>
  <c r="X6" i="52"/>
  <c r="J86" i="20"/>
  <c r="O162" i="20"/>
  <c r="AL51" i="19"/>
  <c r="AO126" i="32"/>
  <c r="AL79" i="52"/>
  <c r="AO135" i="32"/>
  <c r="AO107" i="32"/>
  <c r="AO79" i="32"/>
  <c r="AO88" i="32"/>
  <c r="AO97" i="32"/>
  <c r="AI158" i="19"/>
  <c r="D125" i="20"/>
  <c r="P84" i="27"/>
  <c r="P90" i="27" s="1"/>
  <c r="J146" i="20"/>
  <c r="J152" i="20" s="1"/>
  <c r="S29" i="52"/>
  <c r="S22" i="52"/>
  <c r="P219" i="27"/>
  <c r="P225" i="27" s="1"/>
  <c r="AI67" i="26"/>
  <c r="AI166" i="26"/>
  <c r="AI199" i="26"/>
  <c r="AI100" i="26"/>
  <c r="AI232" i="26"/>
  <c r="AI34" i="26"/>
  <c r="AI133" i="26"/>
  <c r="AI60" i="52"/>
  <c r="AI8" i="52"/>
  <c r="P217" i="27"/>
  <c r="P223" i="27" s="1"/>
  <c r="P121" i="27"/>
  <c r="P127" i="27" s="1"/>
  <c r="AL110" i="19"/>
  <c r="AL116" i="19" s="1"/>
  <c r="AL122" i="19" s="1"/>
  <c r="W22" i="52"/>
  <c r="W29" i="52"/>
  <c r="I112" i="20"/>
  <c r="I118" i="20" s="1"/>
  <c r="I124" i="20" s="1"/>
  <c r="G57" i="52"/>
  <c r="AH161" i="20"/>
  <c r="K17" i="27"/>
  <c r="K23" i="27" s="1"/>
  <c r="Y29" i="52"/>
  <c r="Y22" i="52"/>
  <c r="AI86" i="19"/>
  <c r="J186" i="27"/>
  <c r="J192" i="27" s="1"/>
  <c r="AB90" i="20"/>
  <c r="M41" i="27"/>
  <c r="M47" i="27" s="1"/>
  <c r="M53" i="27" s="1"/>
  <c r="M59" i="27" s="1"/>
  <c r="M10" i="27"/>
  <c r="M16" i="27" s="1"/>
  <c r="M22" i="27" s="1"/>
  <c r="M28" i="27" s="1"/>
  <c r="M38" i="27"/>
  <c r="M44" i="27" s="1"/>
  <c r="AH116" i="27"/>
  <c r="AH122" i="27" s="1"/>
  <c r="P216" i="27"/>
  <c r="P222" i="27" s="1"/>
  <c r="AK166" i="32"/>
  <c r="AH86" i="52"/>
  <c r="AK157" i="32"/>
  <c r="AK176" i="32"/>
  <c r="AK148" i="32"/>
  <c r="AK195" i="32"/>
  <c r="AK204" i="32"/>
  <c r="AK185" i="32"/>
  <c r="AH52" i="20"/>
  <c r="AK50" i="19"/>
  <c r="AN125" i="32"/>
  <c r="AN115" i="32"/>
  <c r="AN134" i="32"/>
  <c r="AN78" i="32"/>
  <c r="AN106" i="32"/>
  <c r="AN96" i="32"/>
  <c r="AN87" i="32"/>
  <c r="AK78" i="52"/>
  <c r="AJ161" i="19"/>
  <c r="K160" i="19"/>
  <c r="AH159" i="20"/>
  <c r="W27" i="52"/>
  <c r="W50" i="52"/>
  <c r="W53" i="52"/>
  <c r="W52" i="52"/>
  <c r="W51" i="52"/>
  <c r="W54" i="52"/>
  <c r="W49" i="52"/>
  <c r="W57" i="52"/>
  <c r="W60" i="52"/>
  <c r="W59" i="52"/>
  <c r="W58" i="52"/>
  <c r="W55" i="52"/>
  <c r="W56" i="52"/>
  <c r="D122" i="20"/>
  <c r="AH129" i="20"/>
  <c r="K79" i="20"/>
  <c r="K85" i="20" s="1"/>
  <c r="K91" i="20" s="1"/>
  <c r="Y65" i="52"/>
  <c r="Y66" i="52"/>
  <c r="Y64" i="52"/>
  <c r="Y62" i="52"/>
  <c r="Y27" i="52"/>
  <c r="Y52" i="52"/>
  <c r="Y53" i="52"/>
  <c r="Y63" i="52"/>
  <c r="Y50" i="52"/>
  <c r="Y54" i="52"/>
  <c r="Y51" i="52"/>
  <c r="Y49" i="52"/>
  <c r="Y61" i="52"/>
  <c r="J183" i="27"/>
  <c r="J189" i="27" s="1"/>
  <c r="AB4" i="52"/>
  <c r="M31" i="20"/>
  <c r="M38" i="20" s="1"/>
  <c r="M46" i="20" s="1"/>
  <c r="M207" i="27"/>
  <c r="M213" i="27" s="1"/>
  <c r="M219" i="27" s="1"/>
  <c r="M225" i="27" s="1"/>
  <c r="M5" i="27"/>
  <c r="M11" i="27" s="1"/>
  <c r="J148" i="20"/>
  <c r="J154" i="20" s="1"/>
  <c r="R229" i="26"/>
  <c r="R163" i="26"/>
  <c r="R196" i="26"/>
  <c r="R130" i="26"/>
  <c r="R97" i="26"/>
  <c r="R64" i="26"/>
  <c r="R57" i="52"/>
  <c r="R31" i="26"/>
  <c r="R5" i="52"/>
  <c r="R124" i="19"/>
  <c r="R88" i="19"/>
  <c r="R160" i="19"/>
  <c r="P51" i="27"/>
  <c r="P57" i="27" s="1"/>
  <c r="AI91" i="19"/>
  <c r="R58" i="52"/>
  <c r="P187" i="27"/>
  <c r="P193" i="27" s="1"/>
  <c r="J87" i="27"/>
  <c r="J93" i="27" s="1"/>
  <c r="Z162" i="20"/>
  <c r="AB126" i="20"/>
  <c r="J219" i="27"/>
  <c r="J225" i="27" s="1"/>
  <c r="M8" i="27"/>
  <c r="M14" i="27" s="1"/>
  <c r="M172" i="27"/>
  <c r="M178" i="27" s="1"/>
  <c r="M71" i="27"/>
  <c r="M77" i="27" s="1"/>
  <c r="P76" i="20"/>
  <c r="P82" i="20" s="1"/>
  <c r="AC59" i="52"/>
  <c r="AJ159" i="19"/>
  <c r="V54" i="19"/>
  <c r="K219" i="27"/>
  <c r="K225" i="27" s="1"/>
  <c r="I46" i="20"/>
  <c r="D163" i="20"/>
  <c r="P45" i="20"/>
  <c r="Z129" i="20"/>
  <c r="AL42" i="19"/>
  <c r="AL47" i="19" s="1"/>
  <c r="K114" i="20"/>
  <c r="K120" i="20" s="1"/>
  <c r="AN29" i="52"/>
  <c r="AN22" i="52"/>
  <c r="AH114" i="20"/>
  <c r="AH120" i="20" s="1"/>
  <c r="AH126" i="20" s="1"/>
  <c r="AL152" i="26"/>
  <c r="AL158" i="26" s="1"/>
  <c r="AL45" i="19"/>
  <c r="Q123" i="19"/>
  <c r="AH216" i="27"/>
  <c r="AH222" i="27" s="1"/>
  <c r="D116" i="27"/>
  <c r="D122" i="27" s="1"/>
  <c r="Z147" i="20"/>
  <c r="Z153" i="20" s="1"/>
  <c r="Z159" i="20" s="1"/>
  <c r="O76" i="20"/>
  <c r="O82" i="20" s="1"/>
  <c r="O88" i="20" s="1"/>
  <c r="J154" i="27"/>
  <c r="J160" i="27" s="1"/>
  <c r="M28" i="20"/>
  <c r="M35" i="20" s="1"/>
  <c r="M43" i="20" s="1"/>
  <c r="M39" i="27"/>
  <c r="M45" i="27" s="1"/>
  <c r="M51" i="27" s="1"/>
  <c r="M57" i="27" s="1"/>
  <c r="M17" i="20"/>
  <c r="M19" i="20" s="1"/>
  <c r="J53" i="27"/>
  <c r="J59" i="27" s="1"/>
  <c r="V232" i="26"/>
  <c r="V133" i="26"/>
  <c r="V166" i="26"/>
  <c r="V199" i="26"/>
  <c r="V100" i="26"/>
  <c r="V34" i="26"/>
  <c r="V67" i="26"/>
  <c r="K231" i="26"/>
  <c r="K66" i="26"/>
  <c r="K99" i="26"/>
  <c r="K33" i="26"/>
  <c r="K165" i="26"/>
  <c r="K198" i="26"/>
  <c r="K132" i="26"/>
  <c r="K100" i="26"/>
  <c r="K133" i="26"/>
  <c r="K67" i="26"/>
  <c r="K34" i="26"/>
  <c r="K232" i="26"/>
  <c r="K166" i="26"/>
  <c r="K199" i="26"/>
  <c r="K8" i="52"/>
  <c r="K127" i="19"/>
  <c r="AN62" i="52"/>
  <c r="AN63" i="52"/>
  <c r="AN49" i="52"/>
  <c r="AN51" i="52"/>
  <c r="AN53" i="52"/>
  <c r="AN64" i="52"/>
  <c r="AN27" i="52"/>
  <c r="AN54" i="52"/>
  <c r="AN61" i="52"/>
  <c r="AN65" i="52"/>
  <c r="AN52" i="52"/>
  <c r="AN66" i="52"/>
  <c r="AN50" i="52"/>
  <c r="K124" i="20"/>
  <c r="R156" i="32"/>
  <c r="O51" i="20"/>
  <c r="O125" i="20" s="1"/>
  <c r="O85" i="52"/>
  <c r="R203" i="32"/>
  <c r="R184" i="32"/>
  <c r="R147" i="32"/>
  <c r="R194" i="32"/>
  <c r="R165" i="32"/>
  <c r="R175" i="32"/>
  <c r="J46" i="20"/>
  <c r="I119" i="27"/>
  <c r="I125" i="27" s="1"/>
  <c r="P186" i="27"/>
  <c r="P192" i="27" s="1"/>
  <c r="M139" i="20"/>
  <c r="M145" i="20" s="1"/>
  <c r="M174" i="27"/>
  <c r="M180" i="27" s="1"/>
  <c r="M186" i="27" s="1"/>
  <c r="M192" i="27" s="1"/>
  <c r="M138" i="27"/>
  <c r="M144" i="27" s="1"/>
  <c r="M150" i="27" s="1"/>
  <c r="M156" i="27" s="1"/>
  <c r="K53" i="20"/>
  <c r="K163" i="20" s="1"/>
  <c r="N177" i="32"/>
  <c r="N205" i="32"/>
  <c r="N196" i="32"/>
  <c r="N186" i="32"/>
  <c r="N149" i="32"/>
  <c r="N167" i="32"/>
  <c r="N158" i="32"/>
  <c r="K87" i="52"/>
  <c r="I18" i="27"/>
  <c r="I24" i="27" s="1"/>
  <c r="K88" i="20"/>
  <c r="K127" i="20"/>
  <c r="AI229" i="26"/>
  <c r="AI163" i="26"/>
  <c r="AI196" i="26"/>
  <c r="AI64" i="26"/>
  <c r="AI130" i="26"/>
  <c r="AI97" i="26"/>
  <c r="AI57" i="52"/>
  <c r="AI31" i="26"/>
  <c r="AI5" i="52"/>
  <c r="I151" i="27"/>
  <c r="I157" i="27" s="1"/>
  <c r="O126" i="20"/>
  <c r="I41" i="20"/>
  <c r="I165" i="20" s="1"/>
  <c r="AK89" i="19"/>
  <c r="AI197" i="26"/>
  <c r="AI32" i="26"/>
  <c r="AI98" i="26"/>
  <c r="AI230" i="26"/>
  <c r="AI58" i="52"/>
  <c r="AI65" i="26"/>
  <c r="AI131" i="26"/>
  <c r="AI164" i="26"/>
  <c r="AI6" i="52"/>
  <c r="O159" i="20"/>
  <c r="W65" i="11"/>
  <c r="T131" i="52"/>
  <c r="T16" i="52"/>
  <c r="Q124" i="19"/>
  <c r="I52" i="27"/>
  <c r="I58" i="27" s="1"/>
  <c r="J42" i="20"/>
  <c r="K74" i="20"/>
  <c r="K80" i="20" s="1"/>
  <c r="K86" i="20" s="1"/>
  <c r="AJ50" i="19"/>
  <c r="AJ88" i="19" s="1"/>
  <c r="AM134" i="32"/>
  <c r="AM115" i="32"/>
  <c r="AM125" i="32"/>
  <c r="AJ78" i="52"/>
  <c r="AM87" i="32"/>
  <c r="AM96" i="32"/>
  <c r="AM106" i="32"/>
  <c r="AM78" i="32"/>
  <c r="W64" i="52"/>
  <c r="AL151" i="19"/>
  <c r="AL157" i="19" s="1"/>
  <c r="AL163" i="19" s="1"/>
  <c r="Q160" i="19"/>
  <c r="G201" i="32"/>
  <c r="G182" i="32"/>
  <c r="G163" i="32"/>
  <c r="D49" i="20"/>
  <c r="G192" i="32"/>
  <c r="G173" i="32"/>
  <c r="D83" i="52"/>
  <c r="G154" i="32"/>
  <c r="G145" i="32"/>
  <c r="K45" i="20"/>
  <c r="J153" i="27"/>
  <c r="J159" i="27" s="1"/>
  <c r="D51" i="27"/>
  <c r="D57" i="27" s="1"/>
  <c r="S6" i="52"/>
  <c r="R59" i="52"/>
  <c r="Z124" i="20"/>
  <c r="AL149" i="19"/>
  <c r="AL155" i="19" s="1"/>
  <c r="AL161" i="19" s="1"/>
  <c r="AH118" i="27"/>
  <c r="AH124" i="27" s="1"/>
  <c r="K148" i="20"/>
  <c r="K154" i="20" s="1"/>
  <c r="J119" i="27"/>
  <c r="J125" i="27" s="1"/>
  <c r="D85" i="27"/>
  <c r="D91" i="27" s="1"/>
  <c r="I114" i="20"/>
  <c r="I120" i="20" s="1"/>
  <c r="I126" i="20" s="1"/>
  <c r="P151" i="20"/>
  <c r="P157" i="20" s="1"/>
  <c r="K30" i="26"/>
  <c r="K162" i="26"/>
  <c r="K195" i="26"/>
  <c r="K228" i="26"/>
  <c r="K63" i="26"/>
  <c r="K129" i="26"/>
  <c r="K96" i="26"/>
  <c r="M101" i="20"/>
  <c r="M107" i="20" s="1"/>
  <c r="M113" i="20" s="1"/>
  <c r="M119" i="20" s="1"/>
  <c r="M205" i="27"/>
  <c r="M211" i="27" s="1"/>
  <c r="M217" i="27" s="1"/>
  <c r="M223" i="27" s="1"/>
  <c r="I150" i="27"/>
  <c r="I156" i="27" s="1"/>
  <c r="H122" i="36"/>
  <c r="H119" i="36"/>
  <c r="H117" i="36"/>
  <c r="H57" i="55"/>
  <c r="F90" i="52"/>
  <c r="F174" i="28"/>
  <c r="H9" i="53" s="1"/>
  <c r="H121" i="36"/>
  <c r="H17" i="56"/>
  <c r="H116" i="36"/>
  <c r="F91" i="52"/>
  <c r="F173" i="28"/>
  <c r="H31" i="53" s="1"/>
  <c r="F181" i="28"/>
  <c r="F93" i="52"/>
  <c r="F94" i="52"/>
  <c r="F179" i="28"/>
  <c r="F177" i="28"/>
  <c r="F180" i="28"/>
  <c r="F178" i="28"/>
  <c r="F176" i="28"/>
  <c r="H120" i="36" l="1"/>
  <c r="H123" i="36"/>
  <c r="N116" i="52"/>
  <c r="N114" i="52"/>
  <c r="N104" i="52"/>
  <c r="Q88" i="11" s="1"/>
  <c r="N115" i="52"/>
  <c r="Q73" i="11" s="1"/>
  <c r="N101" i="52"/>
  <c r="Q81" i="11" s="1"/>
  <c r="N110" i="52"/>
  <c r="Q98" i="11" s="1"/>
  <c r="N111" i="52"/>
  <c r="Q99" i="11" s="1"/>
  <c r="K83" i="11"/>
  <c r="J271" i="53" s="1"/>
  <c r="N108" i="52"/>
  <c r="Q96" i="11" s="1"/>
  <c r="N105" i="52"/>
  <c r="Q89" i="11" s="1"/>
  <c r="N117" i="52"/>
  <c r="Q75" i="11" s="1"/>
  <c r="N100" i="52"/>
  <c r="Q80" i="11" s="1"/>
  <c r="N112" i="52"/>
  <c r="Q70" i="11" s="1"/>
  <c r="N106" i="52"/>
  <c r="Q94" i="11" s="1"/>
  <c r="N107" i="52"/>
  <c r="Q95" i="11" s="1"/>
  <c r="N113" i="52"/>
  <c r="Q71" i="11" s="1"/>
  <c r="N103" i="52"/>
  <c r="Q87" i="11" s="1"/>
  <c r="AA24" i="52"/>
  <c r="AA115" i="52" s="1"/>
  <c r="N102" i="52"/>
  <c r="Q86" i="11" s="1"/>
  <c r="W83" i="11"/>
  <c r="V271" i="53" s="1"/>
  <c r="K101" i="11"/>
  <c r="J277" i="53" s="1"/>
  <c r="W91" i="11"/>
  <c r="V274" i="53" s="1"/>
  <c r="K91" i="11"/>
  <c r="J274" i="53" s="1"/>
  <c r="AG24" i="52"/>
  <c r="AG113" i="52" s="1"/>
  <c r="W77" i="11"/>
  <c r="V268" i="53" s="1"/>
  <c r="K77" i="11"/>
  <c r="J268" i="53" s="1"/>
  <c r="Z54" i="20"/>
  <c r="Z9" i="52" s="1"/>
  <c r="Z26" i="52"/>
  <c r="P54" i="20"/>
  <c r="P9" i="52" s="1"/>
  <c r="P26" i="52"/>
  <c r="K54" i="20"/>
  <c r="K9" i="52" s="1"/>
  <c r="K26" i="52"/>
  <c r="D54" i="20"/>
  <c r="D9" i="52" s="1"/>
  <c r="D61" i="52" s="1"/>
  <c r="D26" i="52"/>
  <c r="AL54" i="19"/>
  <c r="AL9" i="52" s="1"/>
  <c r="AL58" i="52" s="1"/>
  <c r="AL26" i="52"/>
  <c r="AL160" i="19"/>
  <c r="AL230" i="26"/>
  <c r="AL164" i="26"/>
  <c r="AL131" i="26"/>
  <c r="AL65" i="26"/>
  <c r="AL98" i="26"/>
  <c r="AL197" i="26"/>
  <c r="AL32" i="26"/>
  <c r="AL6" i="52"/>
  <c r="AB52" i="52"/>
  <c r="AB54" i="52"/>
  <c r="AB27" i="52"/>
  <c r="AB53" i="52"/>
  <c r="AB49" i="52"/>
  <c r="AB50" i="52"/>
  <c r="AB51" i="52"/>
  <c r="AB56" i="52"/>
  <c r="AB58" i="52"/>
  <c r="AB59" i="52"/>
  <c r="AB57" i="52"/>
  <c r="AB60" i="52"/>
  <c r="M120" i="27"/>
  <c r="M126" i="27" s="1"/>
  <c r="W101" i="11"/>
  <c r="V277" i="53" s="1"/>
  <c r="M84" i="27"/>
  <c r="M90" i="27" s="1"/>
  <c r="Q57" i="52"/>
  <c r="AJ54" i="19"/>
  <c r="AJ9" i="52" s="1"/>
  <c r="AJ26" i="52"/>
  <c r="M182" i="27"/>
  <c r="M188" i="27" s="1"/>
  <c r="D29" i="27"/>
  <c r="D227" i="27"/>
  <c r="D95" i="27"/>
  <c r="D128" i="27"/>
  <c r="D194" i="27"/>
  <c r="D62" i="27"/>
  <c r="D161" i="27"/>
  <c r="D3" i="52"/>
  <c r="D86" i="20"/>
  <c r="P93" i="20"/>
  <c r="V85" i="52"/>
  <c r="Y184" i="32"/>
  <c r="Y156" i="32"/>
  <c r="Y194" i="32"/>
  <c r="V51" i="20"/>
  <c r="V161" i="20" s="1"/>
  <c r="Y203" i="32"/>
  <c r="Y165" i="32"/>
  <c r="Y147" i="32"/>
  <c r="AF24" i="52"/>
  <c r="O89" i="20"/>
  <c r="V119" i="27"/>
  <c r="V125" i="27" s="1"/>
  <c r="M195" i="32"/>
  <c r="K39" i="33"/>
  <c r="E42" i="33"/>
  <c r="S18" i="58"/>
  <c r="S19" i="58" s="1"/>
  <c r="L158" i="32"/>
  <c r="L177" i="32"/>
  <c r="L196" i="32"/>
  <c r="L167" i="32"/>
  <c r="I87" i="52"/>
  <c r="I53" i="20"/>
  <c r="L186" i="32"/>
  <c r="L205" i="32"/>
  <c r="L149" i="32"/>
  <c r="D164" i="27"/>
  <c r="D98" i="27"/>
  <c r="D64" i="52"/>
  <c r="D32" i="27"/>
  <c r="D65" i="27"/>
  <c r="D197" i="27"/>
  <c r="D131" i="27"/>
  <c r="D230" i="27"/>
  <c r="D6" i="52"/>
  <c r="M121" i="27"/>
  <c r="M127" i="27" s="1"/>
  <c r="M110" i="20"/>
  <c r="O130" i="27"/>
  <c r="O31" i="27"/>
  <c r="O196" i="27"/>
  <c r="O163" i="27"/>
  <c r="O229" i="27"/>
  <c r="O64" i="27"/>
  <c r="O97" i="27"/>
  <c r="O5" i="52"/>
  <c r="AH196" i="27"/>
  <c r="AH163" i="27"/>
  <c r="AH64" i="27"/>
  <c r="AH229" i="27"/>
  <c r="AH130" i="27"/>
  <c r="AH31" i="27"/>
  <c r="AH97" i="27"/>
  <c r="AH5" i="52"/>
  <c r="AI56" i="11"/>
  <c r="AF122" i="52" s="1"/>
  <c r="AI52" i="11"/>
  <c r="AF133" i="52" s="1"/>
  <c r="AI61" i="11"/>
  <c r="AI53" i="11"/>
  <c r="AI62" i="11"/>
  <c r="AF124" i="52" s="1"/>
  <c r="AI46" i="11"/>
  <c r="AI57" i="11"/>
  <c r="AF128" i="52" s="1"/>
  <c r="AI59" i="11"/>
  <c r="AF123" i="52" s="1"/>
  <c r="AI49" i="11"/>
  <c r="AF132" i="52" s="1"/>
  <c r="AI55" i="11"/>
  <c r="AF134" i="52" s="1"/>
  <c r="AI58" i="11"/>
  <c r="AF135" i="52" s="1"/>
  <c r="AI51" i="11"/>
  <c r="AF126" i="52" s="1"/>
  <c r="AI54" i="11"/>
  <c r="AF127" i="52" s="1"/>
  <c r="AI60" i="11"/>
  <c r="AF129" i="52" s="1"/>
  <c r="AI50" i="11"/>
  <c r="AF120" i="52" s="1"/>
  <c r="AI47" i="11"/>
  <c r="AI48" i="11"/>
  <c r="AI63" i="11"/>
  <c r="AF130" i="52" s="1"/>
  <c r="K29" i="27"/>
  <c r="K128" i="27"/>
  <c r="K227" i="27"/>
  <c r="K194" i="27"/>
  <c r="K161" i="27"/>
  <c r="K95" i="27"/>
  <c r="K62" i="27"/>
  <c r="AH127" i="20"/>
  <c r="D228" i="27"/>
  <c r="D30" i="27"/>
  <c r="D96" i="27"/>
  <c r="D62" i="52"/>
  <c r="D162" i="27"/>
  <c r="D63" i="27"/>
  <c r="D129" i="27"/>
  <c r="D195" i="27"/>
  <c r="D4" i="52"/>
  <c r="M50" i="27"/>
  <c r="M56" i="27" s="1"/>
  <c r="AD55" i="11"/>
  <c r="AA134" i="52" s="1"/>
  <c r="AD57" i="11"/>
  <c r="AA128" i="52" s="1"/>
  <c r="AD60" i="11"/>
  <c r="AA129" i="52" s="1"/>
  <c r="AD54" i="11"/>
  <c r="AA127" i="52" s="1"/>
  <c r="AD51" i="11"/>
  <c r="AA126" i="52" s="1"/>
  <c r="AD62" i="11"/>
  <c r="AA124" i="52" s="1"/>
  <c r="AD61" i="11"/>
  <c r="AD49" i="11"/>
  <c r="AA132" i="52" s="1"/>
  <c r="AD47" i="11"/>
  <c r="AD56" i="11"/>
  <c r="AA122" i="52" s="1"/>
  <c r="AD53" i="11"/>
  <c r="AD52" i="11"/>
  <c r="AD46" i="11"/>
  <c r="AD48" i="11"/>
  <c r="AD50" i="11"/>
  <c r="AA120" i="52" s="1"/>
  <c r="AD59" i="11"/>
  <c r="AA123" i="52" s="1"/>
  <c r="AD58" i="11"/>
  <c r="AA135" i="52" s="1"/>
  <c r="AD63" i="11"/>
  <c r="AA130" i="52" s="1"/>
  <c r="M200" i="32"/>
  <c r="AD24" i="52"/>
  <c r="M152" i="27"/>
  <c r="M158" i="27" s="1"/>
  <c r="AH122" i="20"/>
  <c r="G172" i="32"/>
  <c r="AM24" i="52"/>
  <c r="E24" i="52"/>
  <c r="AK184" i="32"/>
  <c r="X29" i="52"/>
  <c r="X22" i="52"/>
  <c r="J54" i="20"/>
  <c r="J9" i="52" s="1"/>
  <c r="J61" i="52" s="1"/>
  <c r="J26" i="52"/>
  <c r="AG46" i="11"/>
  <c r="AG62" i="11"/>
  <c r="AD124" i="52" s="1"/>
  <c r="AG53" i="11"/>
  <c r="AG48" i="11"/>
  <c r="AG56" i="11"/>
  <c r="AD122" i="52" s="1"/>
  <c r="AG47" i="11"/>
  <c r="AG63" i="11"/>
  <c r="AD130" i="52" s="1"/>
  <c r="AG61" i="11"/>
  <c r="AG54" i="11"/>
  <c r="AD127" i="52" s="1"/>
  <c r="AG49" i="11"/>
  <c r="AD132" i="52" s="1"/>
  <c r="AG59" i="11"/>
  <c r="AD123" i="52" s="1"/>
  <c r="AG52" i="11"/>
  <c r="AD133" i="52" s="1"/>
  <c r="AG58" i="11"/>
  <c r="AD135" i="52" s="1"/>
  <c r="AG55" i="11"/>
  <c r="AD134" i="52" s="1"/>
  <c r="AG50" i="11"/>
  <c r="AD120" i="52" s="1"/>
  <c r="AG51" i="11"/>
  <c r="AD126" i="52" s="1"/>
  <c r="AG57" i="11"/>
  <c r="AG60" i="11"/>
  <c r="AD129" i="52" s="1"/>
  <c r="AP56" i="11"/>
  <c r="AM122" i="52" s="1"/>
  <c r="AP49" i="11"/>
  <c r="AM132" i="52" s="1"/>
  <c r="AP60" i="11"/>
  <c r="AM129" i="52" s="1"/>
  <c r="AP51" i="11"/>
  <c r="AM126" i="52" s="1"/>
  <c r="AP52" i="11"/>
  <c r="AM133" i="52" s="1"/>
  <c r="AP57" i="11"/>
  <c r="AM128" i="52" s="1"/>
  <c r="AP50" i="11"/>
  <c r="AM120" i="52" s="1"/>
  <c r="AP62" i="11"/>
  <c r="AM124" i="52" s="1"/>
  <c r="AP61" i="11"/>
  <c r="AP48" i="11"/>
  <c r="AP47" i="11"/>
  <c r="AP54" i="11"/>
  <c r="AM127" i="52" s="1"/>
  <c r="AP63" i="11"/>
  <c r="AM130" i="52" s="1"/>
  <c r="AP53" i="11"/>
  <c r="AP58" i="11"/>
  <c r="AM135" i="52" s="1"/>
  <c r="AP55" i="11"/>
  <c r="AM134" i="52" s="1"/>
  <c r="AP59" i="11"/>
  <c r="AM123" i="52" s="1"/>
  <c r="AP46" i="11"/>
  <c r="AB62" i="52"/>
  <c r="M147" i="20"/>
  <c r="M153" i="20" s="1"/>
  <c r="H55" i="11"/>
  <c r="E134" i="52" s="1"/>
  <c r="H57" i="11"/>
  <c r="E128" i="52" s="1"/>
  <c r="H46" i="11"/>
  <c r="H53" i="11"/>
  <c r="H50" i="11"/>
  <c r="E120" i="52" s="1"/>
  <c r="H48" i="11"/>
  <c r="H52" i="11"/>
  <c r="E133" i="52" s="1"/>
  <c r="H62" i="11"/>
  <c r="E124" i="52" s="1"/>
  <c r="H60" i="11"/>
  <c r="E129" i="52" s="1"/>
  <c r="H54" i="11"/>
  <c r="E127" i="52" s="1"/>
  <c r="H51" i="11"/>
  <c r="H49" i="11"/>
  <c r="E132" i="52" s="1"/>
  <c r="H58" i="11"/>
  <c r="E135" i="52" s="1"/>
  <c r="H61" i="11"/>
  <c r="H47" i="11"/>
  <c r="H56" i="11"/>
  <c r="E122" i="52" s="1"/>
  <c r="H59" i="11"/>
  <c r="E123" i="52" s="1"/>
  <c r="H63" i="11"/>
  <c r="E130" i="52" s="1"/>
  <c r="AB198" i="27"/>
  <c r="AB99" i="27"/>
  <c r="AB66" i="27"/>
  <c r="AB33" i="27"/>
  <c r="AB231" i="27"/>
  <c r="AB165" i="27"/>
  <c r="AB132" i="27"/>
  <c r="AB65" i="52"/>
  <c r="AB7" i="52"/>
  <c r="AB162" i="20"/>
  <c r="V89" i="20"/>
  <c r="N181" i="32"/>
  <c r="X27" i="52"/>
  <c r="X62" i="52"/>
  <c r="X64" i="52"/>
  <c r="X65" i="52"/>
  <c r="X63" i="52"/>
  <c r="X66" i="52"/>
  <c r="X61" i="52"/>
  <c r="X54" i="52"/>
  <c r="X50" i="52"/>
  <c r="X49" i="52"/>
  <c r="X53" i="52"/>
  <c r="X51" i="52"/>
  <c r="X52" i="52"/>
  <c r="X60" i="52"/>
  <c r="X56" i="52"/>
  <c r="X59" i="52"/>
  <c r="AO104" i="32"/>
  <c r="J24" i="55"/>
  <c r="W19" i="57"/>
  <c r="J36" i="53" s="1"/>
  <c r="J23" i="36"/>
  <c r="J20" i="36"/>
  <c r="J25" i="55"/>
  <c r="J25" i="36"/>
  <c r="J22" i="55"/>
  <c r="J17" i="48"/>
  <c r="J27" i="55"/>
  <c r="J22" i="36"/>
  <c r="J21" i="36"/>
  <c r="J21" i="55"/>
  <c r="J27" i="36"/>
  <c r="J15" i="48"/>
  <c r="J18" i="48"/>
  <c r="J16" i="48"/>
  <c r="J26" i="36"/>
  <c r="J26" i="55"/>
  <c r="J6" i="47"/>
  <c r="J14" i="48"/>
  <c r="W20" i="57"/>
  <c r="J37" i="53" s="1"/>
  <c r="J24" i="36"/>
  <c r="J23" i="55"/>
  <c r="J20" i="55"/>
  <c r="M149" i="27"/>
  <c r="M155" i="27" s="1"/>
  <c r="D123" i="20"/>
  <c r="M42" i="20"/>
  <c r="AB66" i="52"/>
  <c r="AJ90" i="19"/>
  <c r="AJ55" i="52"/>
  <c r="AJ194" i="26"/>
  <c r="AJ128" i="26"/>
  <c r="AJ161" i="26"/>
  <c r="AJ62" i="26"/>
  <c r="AJ29" i="26"/>
  <c r="AJ95" i="26"/>
  <c r="AJ227" i="26"/>
  <c r="AJ3" i="52"/>
  <c r="O161" i="20"/>
  <c r="AJ164" i="26"/>
  <c r="AJ131" i="26"/>
  <c r="AJ32" i="26"/>
  <c r="AJ65" i="26"/>
  <c r="AJ197" i="26"/>
  <c r="AJ98" i="26"/>
  <c r="AJ58" i="52"/>
  <c r="AJ230" i="26"/>
  <c r="AJ6" i="52"/>
  <c r="AH124" i="20"/>
  <c r="M111" i="20"/>
  <c r="M117" i="20" s="1"/>
  <c r="K123" i="20"/>
  <c r="AK165" i="32"/>
  <c r="S153" i="32"/>
  <c r="N144" i="32"/>
  <c r="AO123" i="32"/>
  <c r="P227" i="27"/>
  <c r="P194" i="27"/>
  <c r="P161" i="27"/>
  <c r="P128" i="27"/>
  <c r="P95" i="27"/>
  <c r="P29" i="27"/>
  <c r="P62" i="27"/>
  <c r="P61" i="52"/>
  <c r="P3" i="52"/>
  <c r="M116" i="27"/>
  <c r="M122" i="27" s="1"/>
  <c r="AJ57" i="11"/>
  <c r="AG128" i="52" s="1"/>
  <c r="AJ46" i="11"/>
  <c r="AJ55" i="11"/>
  <c r="AG134" i="52" s="1"/>
  <c r="AJ50" i="11"/>
  <c r="AG120" i="52" s="1"/>
  <c r="AJ49" i="11"/>
  <c r="AG132" i="52" s="1"/>
  <c r="AJ63" i="11"/>
  <c r="AG130" i="52" s="1"/>
  <c r="AJ58" i="11"/>
  <c r="AG135" i="52" s="1"/>
  <c r="AJ52" i="11"/>
  <c r="AG133" i="52" s="1"/>
  <c r="AJ59" i="11"/>
  <c r="AG123" i="52" s="1"/>
  <c r="AJ61" i="11"/>
  <c r="AJ60" i="11"/>
  <c r="AG129" i="52" s="1"/>
  <c r="AJ51" i="11"/>
  <c r="AG126" i="52" s="1"/>
  <c r="AJ62" i="11"/>
  <c r="AG124" i="52" s="1"/>
  <c r="AJ53" i="11"/>
  <c r="AJ54" i="11"/>
  <c r="AG127" i="52" s="1"/>
  <c r="AJ56" i="11"/>
  <c r="AG122" i="52" s="1"/>
  <c r="AJ48" i="11"/>
  <c r="AJ47" i="11"/>
  <c r="G23" i="52"/>
  <c r="J67" i="11" s="1"/>
  <c r="M118" i="27"/>
  <c r="M124" i="27" s="1"/>
  <c r="I49" i="20"/>
  <c r="I159" i="20" s="1"/>
  <c r="I83" i="52"/>
  <c r="L201" i="32"/>
  <c r="L173" i="32"/>
  <c r="L182" i="32"/>
  <c r="L163" i="32"/>
  <c r="L192" i="32"/>
  <c r="L154" i="32"/>
  <c r="L145" i="32"/>
  <c r="M149" i="20"/>
  <c r="M155" i="20" s="1"/>
  <c r="M55" i="27"/>
  <c r="M61" i="27" s="1"/>
  <c r="N165" i="32"/>
  <c r="N147" i="32"/>
  <c r="K85" i="52"/>
  <c r="N194" i="32"/>
  <c r="N203" i="32"/>
  <c r="N175" i="32"/>
  <c r="N184" i="32"/>
  <c r="N156" i="32"/>
  <c r="K51" i="20"/>
  <c r="K89" i="20" s="1"/>
  <c r="M216" i="27"/>
  <c r="M222" i="27" s="1"/>
  <c r="AC23" i="52"/>
  <c r="AF67" i="11" s="1"/>
  <c r="J126" i="20"/>
  <c r="M85" i="27"/>
  <c r="M91" i="27" s="1"/>
  <c r="M153" i="27"/>
  <c r="M159" i="27" s="1"/>
  <c r="K122" i="20"/>
  <c r="P85" i="52"/>
  <c r="S175" i="32"/>
  <c r="S156" i="32"/>
  <c r="P51" i="20"/>
  <c r="S147" i="32"/>
  <c r="S184" i="32"/>
  <c r="S203" i="32"/>
  <c r="S194" i="32"/>
  <c r="S165" i="32"/>
  <c r="M183" i="27"/>
  <c r="M189" i="27" s="1"/>
  <c r="M194" i="32"/>
  <c r="M175" i="32"/>
  <c r="M165" i="32"/>
  <c r="M156" i="32"/>
  <c r="J51" i="20"/>
  <c r="J89" i="20" s="1"/>
  <c r="J85" i="52"/>
  <c r="M147" i="32"/>
  <c r="M203" i="32"/>
  <c r="M184" i="32"/>
  <c r="M77" i="20"/>
  <c r="M83" i="20" s="1"/>
  <c r="M185" i="27"/>
  <c r="M191" i="27" s="1"/>
  <c r="M54" i="27"/>
  <c r="M60" i="27" s="1"/>
  <c r="Z32" i="27"/>
  <c r="Z230" i="27"/>
  <c r="Z65" i="27"/>
  <c r="Z98" i="27"/>
  <c r="Z131" i="27"/>
  <c r="Z164" i="27"/>
  <c r="Z197" i="27"/>
  <c r="Z64" i="52"/>
  <c r="Z6" i="52"/>
  <c r="S172" i="32"/>
  <c r="AB98" i="27"/>
  <c r="AB65" i="27"/>
  <c r="AB32" i="27"/>
  <c r="AB64" i="52"/>
  <c r="AB230" i="27"/>
  <c r="AB197" i="27"/>
  <c r="AB164" i="27"/>
  <c r="AB131" i="27"/>
  <c r="AB6" i="52"/>
  <c r="L194" i="32"/>
  <c r="M172" i="32"/>
  <c r="Z227" i="27"/>
  <c r="Z161" i="27"/>
  <c r="Z29" i="27"/>
  <c r="Z194" i="27"/>
  <c r="Z128" i="27"/>
  <c r="Z95" i="27"/>
  <c r="Z62" i="27"/>
  <c r="Z61" i="52"/>
  <c r="Z3" i="52"/>
  <c r="M215" i="27"/>
  <c r="M221" i="27" s="1"/>
  <c r="AL125" i="19"/>
  <c r="Z97" i="27"/>
  <c r="Z31" i="27"/>
  <c r="Z196" i="27"/>
  <c r="Z64" i="27"/>
  <c r="Z163" i="27"/>
  <c r="Z229" i="27"/>
  <c r="Z63" i="52"/>
  <c r="Z130" i="27"/>
  <c r="Z5" i="52"/>
  <c r="P86" i="20"/>
  <c r="D127" i="20"/>
  <c r="S173" i="32"/>
  <c r="S145" i="32"/>
  <c r="S201" i="32"/>
  <c r="S163" i="32"/>
  <c r="P49" i="20"/>
  <c r="P83" i="52"/>
  <c r="S192" i="32"/>
  <c r="S154" i="32"/>
  <c r="S182" i="32"/>
  <c r="AH54" i="20"/>
  <c r="AH9" i="52" s="1"/>
  <c r="AH62" i="52" s="1"/>
  <c r="AH26" i="52"/>
  <c r="AL34" i="26"/>
  <c r="AL232" i="26"/>
  <c r="AL67" i="26"/>
  <c r="AL100" i="26"/>
  <c r="AL133" i="26"/>
  <c r="AL199" i="26"/>
  <c r="AL166" i="26"/>
  <c r="AL60" i="52"/>
  <c r="AL8" i="52"/>
  <c r="S191" i="32"/>
  <c r="Z88" i="20"/>
  <c r="I130" i="27"/>
  <c r="I229" i="27"/>
  <c r="I196" i="27"/>
  <c r="I97" i="27"/>
  <c r="I31" i="27"/>
  <c r="I163" i="27"/>
  <c r="I64" i="27"/>
  <c r="I5" i="52"/>
  <c r="N162" i="32"/>
  <c r="Z66" i="27"/>
  <c r="Z231" i="27"/>
  <c r="Z132" i="27"/>
  <c r="Z65" i="52"/>
  <c r="Z165" i="27"/>
  <c r="Z198" i="27"/>
  <c r="Z99" i="27"/>
  <c r="Z33" i="27"/>
  <c r="Z7" i="52"/>
  <c r="L175" i="32"/>
  <c r="P193" i="32"/>
  <c r="P202" i="32"/>
  <c r="P183" i="32"/>
  <c r="M84" i="52"/>
  <c r="P146" i="32"/>
  <c r="M50" i="20"/>
  <c r="H137" i="52"/>
  <c r="H138" i="52" s="1"/>
  <c r="H139" i="52" s="1"/>
  <c r="V22" i="55"/>
  <c r="V42" i="53"/>
  <c r="V35" i="53"/>
  <c r="V20" i="36"/>
  <c r="V22" i="36"/>
  <c r="V23" i="36"/>
  <c r="V14" i="48"/>
  <c r="AI20" i="57"/>
  <c r="V37" i="53" s="1"/>
  <c r="V44" i="53"/>
  <c r="V6" i="47"/>
  <c r="V40" i="53"/>
  <c r="V26" i="36"/>
  <c r="AI19" i="57"/>
  <c r="V36" i="53" s="1"/>
  <c r="V23" i="55"/>
  <c r="V38" i="53"/>
  <c r="V25" i="55"/>
  <c r="V27" i="55"/>
  <c r="V24" i="55"/>
  <c r="V24" i="36"/>
  <c r="V20" i="55"/>
  <c r="V39" i="53"/>
  <c r="V21" i="36"/>
  <c r="V43" i="53"/>
  <c r="V21" i="55"/>
  <c r="V17" i="48"/>
  <c r="V15" i="48"/>
  <c r="V25" i="36"/>
  <c r="V41" i="53"/>
  <c r="V27" i="36"/>
  <c r="V18" i="48"/>
  <c r="V26" i="55"/>
  <c r="V16" i="48"/>
  <c r="AH98" i="27"/>
  <c r="AH197" i="27"/>
  <c r="AH230" i="27"/>
  <c r="AH32" i="27"/>
  <c r="AH164" i="27"/>
  <c r="AH64" i="52"/>
  <c r="AH131" i="27"/>
  <c r="AH65" i="27"/>
  <c r="AH6" i="52"/>
  <c r="R23" i="52"/>
  <c r="U67" i="11" s="1"/>
  <c r="S23" i="52"/>
  <c r="V67" i="11" s="1"/>
  <c r="P84" i="52"/>
  <c r="P50" i="20"/>
  <c r="S202" i="32"/>
  <c r="S193" i="32"/>
  <c r="S155" i="32"/>
  <c r="S164" i="32"/>
  <c r="S174" i="32"/>
  <c r="S146" i="32"/>
  <c r="S183" i="32"/>
  <c r="P161" i="20"/>
  <c r="M83" i="27"/>
  <c r="M89" i="27" s="1"/>
  <c r="AK64" i="26"/>
  <c r="AK196" i="26"/>
  <c r="AK130" i="26"/>
  <c r="AK31" i="26"/>
  <c r="AK57" i="52"/>
  <c r="AK163" i="26"/>
  <c r="AK97" i="26"/>
  <c r="AK229" i="26"/>
  <c r="AK5" i="52"/>
  <c r="AK160" i="19"/>
  <c r="AK88" i="19"/>
  <c r="AK124" i="19"/>
  <c r="Y23" i="52"/>
  <c r="AB67" i="11" s="1"/>
  <c r="J227" i="27"/>
  <c r="J194" i="27"/>
  <c r="J161" i="27"/>
  <c r="J128" i="27"/>
  <c r="J62" i="27"/>
  <c r="J95" i="27"/>
  <c r="J29" i="27"/>
  <c r="J3" i="52"/>
  <c r="P89" i="20"/>
  <c r="D161" i="20"/>
  <c r="O162" i="27"/>
  <c r="O96" i="27"/>
  <c r="O63" i="27"/>
  <c r="O195" i="27"/>
  <c r="O30" i="27"/>
  <c r="O62" i="52"/>
  <c r="O228" i="27"/>
  <c r="O129" i="27"/>
  <c r="O4" i="52"/>
  <c r="Q22" i="52"/>
  <c r="Q29" i="52"/>
  <c r="O34" i="27"/>
  <c r="O166" i="27"/>
  <c r="O100" i="27"/>
  <c r="O232" i="27"/>
  <c r="O67" i="27"/>
  <c r="O199" i="27"/>
  <c r="O133" i="27"/>
  <c r="O8" i="52"/>
  <c r="AH88" i="20"/>
  <c r="J12" i="36"/>
  <c r="J18" i="36"/>
  <c r="J16" i="36"/>
  <c r="J16" i="55"/>
  <c r="J5" i="47"/>
  <c r="J15" i="55"/>
  <c r="J18" i="55"/>
  <c r="J12" i="48"/>
  <c r="J13" i="48"/>
  <c r="J13" i="55"/>
  <c r="J12" i="55"/>
  <c r="J14" i="55"/>
  <c r="J15" i="36"/>
  <c r="J9" i="48"/>
  <c r="J17" i="36"/>
  <c r="J14" i="36"/>
  <c r="J19" i="55"/>
  <c r="J10" i="48"/>
  <c r="J11" i="48"/>
  <c r="J19" i="36"/>
  <c r="J17" i="55"/>
  <c r="J13" i="36"/>
  <c r="AJ125" i="19"/>
  <c r="L183" i="32"/>
  <c r="L184" i="32"/>
  <c r="M202" i="32"/>
  <c r="M174" i="32"/>
  <c r="M155" i="32"/>
  <c r="J50" i="20"/>
  <c r="J160" i="20" s="1"/>
  <c r="M183" i="32"/>
  <c r="M193" i="32"/>
  <c r="M146" i="32"/>
  <c r="J84" i="52"/>
  <c r="M164" i="32"/>
  <c r="D165" i="20"/>
  <c r="M184" i="27"/>
  <c r="M190" i="27" s="1"/>
  <c r="AH165" i="27"/>
  <c r="AH231" i="27"/>
  <c r="AH198" i="27"/>
  <c r="AH99" i="27"/>
  <c r="AH66" i="27"/>
  <c r="AH33" i="27"/>
  <c r="AH132" i="27"/>
  <c r="AH7" i="52"/>
  <c r="J158" i="20"/>
  <c r="Z129" i="27"/>
  <c r="Z228" i="27"/>
  <c r="Z195" i="27"/>
  <c r="Z30" i="27"/>
  <c r="Z62" i="52"/>
  <c r="Z63" i="27"/>
  <c r="Z96" i="27"/>
  <c r="Z162" i="27"/>
  <c r="Z4" i="52"/>
  <c r="Z87" i="20"/>
  <c r="Q54" i="52"/>
  <c r="Q52" i="52"/>
  <c r="Q27" i="52"/>
  <c r="Q50" i="52"/>
  <c r="Q49" i="52"/>
  <c r="Q51" i="52"/>
  <c r="Q53" i="52"/>
  <c r="Q65" i="52"/>
  <c r="Q66" i="52"/>
  <c r="Q64" i="52"/>
  <c r="Q62" i="52"/>
  <c r="Q61" i="52"/>
  <c r="Q63" i="52"/>
  <c r="Q58" i="52"/>
  <c r="AJ160" i="19"/>
  <c r="I87" i="20"/>
  <c r="O163" i="20"/>
  <c r="W15" i="57"/>
  <c r="J16" i="53" s="1"/>
  <c r="J30" i="55"/>
  <c r="W16" i="57"/>
  <c r="J17" i="53" s="1"/>
  <c r="J3" i="56"/>
  <c r="J47" i="55"/>
  <c r="J10" i="56"/>
  <c r="N14" i="52"/>
  <c r="N121" i="52"/>
  <c r="V82" i="52"/>
  <c r="Y144" i="32"/>
  <c r="V47" i="20"/>
  <c r="Y200" i="32"/>
  <c r="Y191" i="32"/>
  <c r="Y181" i="32"/>
  <c r="Y153" i="32"/>
  <c r="V48" i="20"/>
  <c r="V122" i="20" s="1"/>
  <c r="Y162" i="32"/>
  <c r="V93" i="20"/>
  <c r="L193" i="32"/>
  <c r="M160" i="20"/>
  <c r="K160" i="20"/>
  <c r="AO127" i="32"/>
  <c r="AL80" i="52"/>
  <c r="AO108" i="32"/>
  <c r="AL52" i="19"/>
  <c r="AO117" i="32"/>
  <c r="AO80" i="32"/>
  <c r="AO89" i="32"/>
  <c r="AO98" i="32"/>
  <c r="AO136" i="32"/>
  <c r="M20" i="27"/>
  <c r="M26" i="27" s="1"/>
  <c r="M17" i="27"/>
  <c r="M23" i="27" s="1"/>
  <c r="AO115" i="32"/>
  <c r="P158" i="20"/>
  <c r="AE23" i="52"/>
  <c r="AH67" i="11" s="1"/>
  <c r="U24" i="52"/>
  <c r="AB161" i="27"/>
  <c r="AB128" i="27"/>
  <c r="AB95" i="27"/>
  <c r="AB62" i="27"/>
  <c r="AB29" i="27"/>
  <c r="AB61" i="52"/>
  <c r="AB227" i="27"/>
  <c r="AB194" i="27"/>
  <c r="D87" i="20"/>
  <c r="AK201" i="32"/>
  <c r="S205" i="32"/>
  <c r="S196" i="32"/>
  <c r="S158" i="32"/>
  <c r="S186" i="32"/>
  <c r="S167" i="32"/>
  <c r="P87" i="52"/>
  <c r="S149" i="32"/>
  <c r="S177" i="32"/>
  <c r="P53" i="20"/>
  <c r="P163" i="20" s="1"/>
  <c r="AK172" i="32"/>
  <c r="L24" i="52"/>
  <c r="V125" i="20"/>
  <c r="V165" i="20"/>
  <c r="L165" i="32"/>
  <c r="D84" i="52"/>
  <c r="G193" i="32"/>
  <c r="G183" i="32"/>
  <c r="G174" i="32"/>
  <c r="G155" i="32"/>
  <c r="G146" i="32"/>
  <c r="D50" i="20"/>
  <c r="G202" i="32"/>
  <c r="G164" i="32"/>
  <c r="AL64" i="26"/>
  <c r="AL57" i="52"/>
  <c r="AL97" i="26"/>
  <c r="AL229" i="26"/>
  <c r="AL196" i="26"/>
  <c r="AL163" i="26"/>
  <c r="AL31" i="26"/>
  <c r="AL130" i="26"/>
  <c r="AL5" i="52"/>
  <c r="AH166" i="27"/>
  <c r="AH133" i="27"/>
  <c r="AH67" i="27"/>
  <c r="AH232" i="27"/>
  <c r="AH100" i="27"/>
  <c r="AH34" i="27"/>
  <c r="AH199" i="27"/>
  <c r="AH8" i="52"/>
  <c r="AH91" i="20"/>
  <c r="X52" i="11"/>
  <c r="U133" i="52" s="1"/>
  <c r="X51" i="11"/>
  <c r="U126" i="52" s="1"/>
  <c r="X60" i="11"/>
  <c r="U129" i="52" s="1"/>
  <c r="X61" i="11"/>
  <c r="X58" i="11"/>
  <c r="U135" i="52" s="1"/>
  <c r="X48" i="11"/>
  <c r="X49" i="11"/>
  <c r="U132" i="52" s="1"/>
  <c r="X62" i="11"/>
  <c r="U124" i="52" s="1"/>
  <c r="X54" i="11"/>
  <c r="U127" i="52" s="1"/>
  <c r="X59" i="11"/>
  <c r="U123" i="52" s="1"/>
  <c r="X55" i="11"/>
  <c r="U134" i="52" s="1"/>
  <c r="X47" i="11"/>
  <c r="X50" i="11"/>
  <c r="U120" i="52" s="1"/>
  <c r="X57" i="11"/>
  <c r="U128" i="52" s="1"/>
  <c r="X63" i="11"/>
  <c r="U130" i="52" s="1"/>
  <c r="X56" i="11"/>
  <c r="U122" i="52" s="1"/>
  <c r="X46" i="11"/>
  <c r="X53" i="11"/>
  <c r="O48" i="11"/>
  <c r="O53" i="11"/>
  <c r="O55" i="11"/>
  <c r="L134" i="52" s="1"/>
  <c r="O57" i="11"/>
  <c r="L128" i="52" s="1"/>
  <c r="O46" i="11"/>
  <c r="O59" i="11"/>
  <c r="L123" i="52" s="1"/>
  <c r="O54" i="11"/>
  <c r="L127" i="52" s="1"/>
  <c r="O63" i="11"/>
  <c r="L130" i="52" s="1"/>
  <c r="O61" i="11"/>
  <c r="O58" i="11"/>
  <c r="L135" i="52" s="1"/>
  <c r="O47" i="11"/>
  <c r="O51" i="11"/>
  <c r="L126" i="52" s="1"/>
  <c r="O60" i="11"/>
  <c r="L129" i="52" s="1"/>
  <c r="O56" i="11"/>
  <c r="L122" i="52" s="1"/>
  <c r="O49" i="11"/>
  <c r="L132" i="52" s="1"/>
  <c r="O50" i="11"/>
  <c r="L120" i="52" s="1"/>
  <c r="O52" i="11"/>
  <c r="L133" i="52" s="1"/>
  <c r="O62" i="11"/>
  <c r="L124" i="52" s="1"/>
  <c r="Y182" i="32"/>
  <c r="Y154" i="32"/>
  <c r="Y201" i="32"/>
  <c r="V49" i="20"/>
  <c r="V159" i="20" s="1"/>
  <c r="Y192" i="32"/>
  <c r="Y173" i="32"/>
  <c r="V83" i="52"/>
  <c r="Y163" i="32"/>
  <c r="Y145" i="32"/>
  <c r="Y174" i="32"/>
  <c r="Y164" i="32"/>
  <c r="V50" i="20"/>
  <c r="V160" i="20" s="1"/>
  <c r="Y193" i="32"/>
  <c r="Y183" i="32"/>
  <c r="Y155" i="32"/>
  <c r="Y202" i="32"/>
  <c r="Y146" i="32"/>
  <c r="V84" i="52"/>
  <c r="AI29" i="52"/>
  <c r="AI22" i="52"/>
  <c r="O165" i="27"/>
  <c r="O65" i="52"/>
  <c r="O99" i="27"/>
  <c r="O198" i="27"/>
  <c r="O33" i="27"/>
  <c r="O66" i="27"/>
  <c r="O231" i="27"/>
  <c r="O132" i="27"/>
  <c r="O7" i="52"/>
  <c r="L156" i="32"/>
  <c r="J116" i="20"/>
  <c r="J122" i="20" s="1"/>
  <c r="J129" i="20"/>
  <c r="AH162" i="27"/>
  <c r="AH129" i="27"/>
  <c r="AH30" i="27"/>
  <c r="AH195" i="27"/>
  <c r="AH228" i="27"/>
  <c r="AH96" i="27"/>
  <c r="AH63" i="27"/>
  <c r="AH4" i="52"/>
  <c r="G176" i="32"/>
  <c r="D86" i="52"/>
  <c r="D52" i="20"/>
  <c r="G148" i="32"/>
  <c r="G195" i="32"/>
  <c r="G185" i="32"/>
  <c r="G157" i="32"/>
  <c r="G204" i="32"/>
  <c r="G166" i="32"/>
  <c r="AI66" i="52"/>
  <c r="AI65" i="52"/>
  <c r="AI61" i="52"/>
  <c r="AI63" i="52"/>
  <c r="AI62" i="52"/>
  <c r="AI64" i="52"/>
  <c r="AI51" i="52"/>
  <c r="AI27" i="52"/>
  <c r="AI52" i="52"/>
  <c r="AI53" i="52"/>
  <c r="AI49" i="52"/>
  <c r="AI54" i="52"/>
  <c r="AI50" i="52"/>
  <c r="L155" i="32"/>
  <c r="AJ60" i="52"/>
  <c r="AJ133" i="26"/>
  <c r="AJ34" i="26"/>
  <c r="AJ232" i="26"/>
  <c r="AJ100" i="26"/>
  <c r="AJ199" i="26"/>
  <c r="AJ67" i="26"/>
  <c r="AJ166" i="26"/>
  <c r="AJ8" i="52"/>
  <c r="I230" i="27"/>
  <c r="I164" i="27"/>
  <c r="I32" i="27"/>
  <c r="I131" i="27"/>
  <c r="I197" i="27"/>
  <c r="I98" i="27"/>
  <c r="I65" i="27"/>
  <c r="I6" i="52"/>
  <c r="K232" i="27"/>
  <c r="K133" i="27"/>
  <c r="K100" i="27"/>
  <c r="K67" i="27"/>
  <c r="K34" i="27"/>
  <c r="K199" i="27"/>
  <c r="K166" i="27"/>
  <c r="M87" i="52"/>
  <c r="P205" i="32"/>
  <c r="M53" i="20"/>
  <c r="P149" i="32"/>
  <c r="P177" i="32"/>
  <c r="P186" i="32"/>
  <c r="P167" i="32"/>
  <c r="AL162" i="19"/>
  <c r="P181" i="32"/>
  <c r="P162" i="32"/>
  <c r="P172" i="32"/>
  <c r="P153" i="32"/>
  <c r="M48" i="20"/>
  <c r="P191" i="32"/>
  <c r="M82" i="52"/>
  <c r="M47" i="20"/>
  <c r="P144" i="32"/>
  <c r="M93" i="20"/>
  <c r="I48" i="20"/>
  <c r="I122" i="20" s="1"/>
  <c r="L200" i="32"/>
  <c r="I82" i="52"/>
  <c r="I47" i="20"/>
  <c r="L162" i="32"/>
  <c r="L153" i="32"/>
  <c r="L144" i="32"/>
  <c r="L181" i="32"/>
  <c r="L172" i="32"/>
  <c r="L191" i="32"/>
  <c r="I93" i="20"/>
  <c r="I129" i="20"/>
  <c r="AL124" i="19"/>
  <c r="V129" i="20"/>
  <c r="M187" i="27"/>
  <c r="M193" i="27" s="1"/>
  <c r="K87" i="20"/>
  <c r="M151" i="27"/>
  <c r="M157" i="27" s="1"/>
  <c r="AH29" i="27"/>
  <c r="AH194" i="27"/>
  <c r="AH227" i="27"/>
  <c r="AH161" i="27"/>
  <c r="AH62" i="27"/>
  <c r="AH95" i="27"/>
  <c r="AH128" i="27"/>
  <c r="AH3" i="52"/>
  <c r="O124" i="20"/>
  <c r="Q55" i="52"/>
  <c r="L174" i="32"/>
  <c r="L185" i="32"/>
  <c r="AJ86" i="19"/>
  <c r="D89" i="20"/>
  <c r="AN23" i="52"/>
  <c r="AQ67" i="11" s="1"/>
  <c r="AO116" i="32"/>
  <c r="O54" i="20"/>
  <c r="O9" i="52" s="1"/>
  <c r="O66" i="52" s="1"/>
  <c r="O57" i="20"/>
  <c r="O26" i="52"/>
  <c r="P123" i="20"/>
  <c r="P159" i="20"/>
  <c r="I127" i="20"/>
  <c r="N13" i="52"/>
  <c r="N119" i="52"/>
  <c r="N12" i="52"/>
  <c r="AL89" i="19"/>
  <c r="I231" i="27"/>
  <c r="I66" i="27"/>
  <c r="I33" i="27"/>
  <c r="I198" i="27"/>
  <c r="I165" i="27"/>
  <c r="I99" i="27"/>
  <c r="I132" i="27"/>
  <c r="I7" i="52"/>
  <c r="AJ229" i="26"/>
  <c r="AJ57" i="52"/>
  <c r="AJ97" i="26"/>
  <c r="AJ130" i="26"/>
  <c r="AJ163" i="26"/>
  <c r="AJ64" i="26"/>
  <c r="AJ196" i="26"/>
  <c r="AJ31" i="26"/>
  <c r="AJ5" i="52"/>
  <c r="W23" i="52"/>
  <c r="Z67" i="11" s="1"/>
  <c r="M146" i="20"/>
  <c r="M152" i="20" s="1"/>
  <c r="M158" i="20" s="1"/>
  <c r="O227" i="27"/>
  <c r="O194" i="27"/>
  <c r="O128" i="27"/>
  <c r="O62" i="27"/>
  <c r="O95" i="27"/>
  <c r="O161" i="27"/>
  <c r="O29" i="27"/>
  <c r="O3" i="52"/>
  <c r="J5" i="36"/>
  <c r="W21" i="57"/>
  <c r="J6" i="53" s="1"/>
  <c r="J8" i="36"/>
  <c r="J8" i="55"/>
  <c r="J5" i="55"/>
  <c r="J48" i="55"/>
  <c r="J7" i="36"/>
  <c r="J7" i="55"/>
  <c r="J8" i="48"/>
  <c r="J6" i="36"/>
  <c r="J9" i="55"/>
  <c r="J11" i="36"/>
  <c r="J6" i="55"/>
  <c r="J5" i="48"/>
  <c r="J10" i="55"/>
  <c r="J4" i="47"/>
  <c r="J4" i="48"/>
  <c r="J6" i="48"/>
  <c r="W22" i="57"/>
  <c r="J7" i="53" s="1"/>
  <c r="J4" i="36"/>
  <c r="J9" i="36"/>
  <c r="J10" i="36"/>
  <c r="J11" i="55"/>
  <c r="J7" i="48"/>
  <c r="J11" i="56"/>
  <c r="J4" i="55"/>
  <c r="AJ124" i="19"/>
  <c r="N124" i="52"/>
  <c r="V87" i="52"/>
  <c r="Y196" i="32"/>
  <c r="Y158" i="32"/>
  <c r="Y186" i="32"/>
  <c r="Y149" i="32"/>
  <c r="Y205" i="32"/>
  <c r="V53" i="20"/>
  <c r="V91" i="20" s="1"/>
  <c r="Y167" i="32"/>
  <c r="Y177" i="32"/>
  <c r="Y199" i="32"/>
  <c r="Y21" i="34" s="1"/>
  <c r="Y35" i="34" s="1"/>
  <c r="Y189" i="32"/>
  <c r="Y190" i="32" s="1"/>
  <c r="Y22" i="34" s="1"/>
  <c r="Y36" i="34" s="1"/>
  <c r="AK29" i="52"/>
  <c r="AK22" i="52"/>
  <c r="L148" i="32"/>
  <c r="M148" i="32"/>
  <c r="M151" i="20"/>
  <c r="M157" i="20" s="1"/>
  <c r="M163" i="20" s="1"/>
  <c r="K126" i="20"/>
  <c r="AJ162" i="19"/>
  <c r="N155" i="32"/>
  <c r="AJ163" i="19"/>
  <c r="AJ162" i="26"/>
  <c r="AJ228" i="26"/>
  <c r="AJ96" i="26"/>
  <c r="AJ129" i="26"/>
  <c r="AJ56" i="52"/>
  <c r="AJ63" i="26"/>
  <c r="AJ195" i="26"/>
  <c r="AJ30" i="26"/>
  <c r="AJ4" i="52"/>
  <c r="N15" i="52"/>
  <c r="N125" i="52"/>
  <c r="Q97" i="11"/>
  <c r="K50" i="33"/>
  <c r="E53" i="33"/>
  <c r="T137" i="52"/>
  <c r="T138" i="52" s="1"/>
  <c r="T139" i="52" s="1"/>
  <c r="AK27" i="52"/>
  <c r="AK49" i="52"/>
  <c r="AK50" i="52"/>
  <c r="AK53" i="52"/>
  <c r="AK54" i="52"/>
  <c r="AK51" i="52"/>
  <c r="AK66" i="52"/>
  <c r="AK63" i="52"/>
  <c r="AK64" i="52"/>
  <c r="AK65" i="52"/>
  <c r="AK61" i="52"/>
  <c r="AK52" i="52"/>
  <c r="AK62" i="52"/>
  <c r="L157" i="32"/>
  <c r="G27" i="58"/>
  <c r="G26" i="58"/>
  <c r="G29" i="58"/>
  <c r="G25" i="58"/>
  <c r="G32" i="58"/>
  <c r="G24" i="58"/>
  <c r="G28" i="58"/>
  <c r="G30" i="58"/>
  <c r="P125" i="20"/>
  <c r="N16" i="52"/>
  <c r="N131" i="52"/>
  <c r="Q65" i="11"/>
  <c r="M18" i="58" s="1"/>
  <c r="M19" i="58" s="1"/>
  <c r="Q74" i="11"/>
  <c r="V15" i="53"/>
  <c r="V30" i="55"/>
  <c r="AI15" i="57"/>
  <c r="V16" i="53" s="1"/>
  <c r="V23" i="53"/>
  <c r="V22" i="53"/>
  <c r="V20" i="53"/>
  <c r="V19" i="53"/>
  <c r="V10" i="56"/>
  <c r="V24" i="53"/>
  <c r="V18" i="53"/>
  <c r="V21" i="53"/>
  <c r="AI16" i="57"/>
  <c r="V17" i="53" s="1"/>
  <c r="V47" i="55"/>
  <c r="V3" i="56"/>
  <c r="L195" i="32"/>
  <c r="M185" i="32"/>
  <c r="AL129" i="19"/>
  <c r="M182" i="32"/>
  <c r="M192" i="32"/>
  <c r="M201" i="32"/>
  <c r="M154" i="32"/>
  <c r="J83" i="52"/>
  <c r="M145" i="32"/>
  <c r="M173" i="32"/>
  <c r="J49" i="20"/>
  <c r="M163" i="32"/>
  <c r="AO77" i="32"/>
  <c r="AL77" i="52"/>
  <c r="AO86" i="32"/>
  <c r="AO105" i="32"/>
  <c r="AL49" i="19"/>
  <c r="AO133" i="32"/>
  <c r="AO124" i="32"/>
  <c r="AO95" i="32"/>
  <c r="AO114" i="32"/>
  <c r="K52" i="20"/>
  <c r="N204" i="32"/>
  <c r="N195" i="32"/>
  <c r="N166" i="32"/>
  <c r="N157" i="32"/>
  <c r="N176" i="32"/>
  <c r="N185" i="32"/>
  <c r="N148" i="32"/>
  <c r="K86" i="52"/>
  <c r="M18" i="27"/>
  <c r="M24" i="27" s="1"/>
  <c r="AB229" i="27"/>
  <c r="AB196" i="27"/>
  <c r="AB163" i="27"/>
  <c r="AB130" i="27"/>
  <c r="AB97" i="27"/>
  <c r="AB64" i="27"/>
  <c r="AB63" i="52"/>
  <c r="AB31" i="27"/>
  <c r="AB5" i="52"/>
  <c r="I123" i="20"/>
  <c r="E52" i="33"/>
  <c r="K49" i="33"/>
  <c r="Q72" i="11"/>
  <c r="AH160" i="20"/>
  <c r="V17" i="36"/>
  <c r="V15" i="55"/>
  <c r="V5" i="47"/>
  <c r="V18" i="55"/>
  <c r="V16" i="36"/>
  <c r="V12" i="48"/>
  <c r="V17" i="55"/>
  <c r="V11" i="48"/>
  <c r="V12" i="55"/>
  <c r="V13" i="48"/>
  <c r="V15" i="36"/>
  <c r="V13" i="55"/>
  <c r="V18" i="36"/>
  <c r="V10" i="48"/>
  <c r="V16" i="55"/>
  <c r="V14" i="55"/>
  <c r="V13" i="36"/>
  <c r="V9" i="48"/>
  <c r="V19" i="55"/>
  <c r="V19" i="36"/>
  <c r="V12" i="36"/>
  <c r="V14" i="36"/>
  <c r="L176" i="32"/>
  <c r="J231" i="27"/>
  <c r="J198" i="27"/>
  <c r="J165" i="27"/>
  <c r="J132" i="27"/>
  <c r="J99" i="27"/>
  <c r="J66" i="27"/>
  <c r="J33" i="27"/>
  <c r="J7" i="52"/>
  <c r="O131" i="27"/>
  <c r="O98" i="27"/>
  <c r="O65" i="27"/>
  <c r="O64" i="52"/>
  <c r="O32" i="27"/>
  <c r="O164" i="27"/>
  <c r="O230" i="27"/>
  <c r="O197" i="27"/>
  <c r="O6" i="52"/>
  <c r="AK96" i="26"/>
  <c r="AK30" i="26"/>
  <c r="AK129" i="26"/>
  <c r="AK195" i="26"/>
  <c r="AK162" i="26"/>
  <c r="AK63" i="26"/>
  <c r="AK56" i="52"/>
  <c r="AK228" i="26"/>
  <c r="AK4" i="52"/>
  <c r="AK159" i="19"/>
  <c r="AK87" i="19"/>
  <c r="J87" i="52"/>
  <c r="M205" i="32"/>
  <c r="M177" i="32"/>
  <c r="M158" i="32"/>
  <c r="M149" i="32"/>
  <c r="M196" i="32"/>
  <c r="M167" i="32"/>
  <c r="M186" i="32"/>
  <c r="J53" i="20"/>
  <c r="P52" i="20"/>
  <c r="P162" i="20" s="1"/>
  <c r="S148" i="32"/>
  <c r="S204" i="32"/>
  <c r="S166" i="32"/>
  <c r="S185" i="32"/>
  <c r="S195" i="32"/>
  <c r="S157" i="32"/>
  <c r="P86" i="52"/>
  <c r="S176" i="32"/>
  <c r="K229" i="27"/>
  <c r="K196" i="27"/>
  <c r="K163" i="27"/>
  <c r="K130" i="27"/>
  <c r="K97" i="27"/>
  <c r="K64" i="27"/>
  <c r="K31" i="27"/>
  <c r="Z127" i="20"/>
  <c r="AJ198" i="26"/>
  <c r="AJ165" i="26"/>
  <c r="AJ132" i="26"/>
  <c r="AJ33" i="26"/>
  <c r="AJ59" i="52"/>
  <c r="AJ99" i="26"/>
  <c r="AJ66" i="26"/>
  <c r="AJ231" i="26"/>
  <c r="AJ7" i="52"/>
  <c r="K129" i="27"/>
  <c r="K195" i="27"/>
  <c r="K162" i="27"/>
  <c r="K96" i="27"/>
  <c r="K63" i="27"/>
  <c r="K30" i="27"/>
  <c r="K228" i="27"/>
  <c r="M150" i="20"/>
  <c r="M156" i="20" s="1"/>
  <c r="M162" i="20" s="1"/>
  <c r="Q59" i="52"/>
  <c r="Y157" i="32"/>
  <c r="V86" i="52"/>
  <c r="V52" i="20"/>
  <c r="Y166" i="32"/>
  <c r="Y195" i="32"/>
  <c r="Y185" i="32"/>
  <c r="Y148" i="32"/>
  <c r="Y204" i="32"/>
  <c r="Y176" i="32"/>
  <c r="AH86" i="20"/>
  <c r="M166" i="32"/>
  <c r="AO94" i="32"/>
  <c r="Z53" i="20"/>
  <c r="AC149" i="32"/>
  <c r="AC205" i="32"/>
  <c r="AC158" i="32"/>
  <c r="Z87" i="52"/>
  <c r="AC186" i="32"/>
  <c r="AC177" i="32"/>
  <c r="AC167" i="32"/>
  <c r="AC196" i="32"/>
  <c r="D67" i="27"/>
  <c r="D100" i="27"/>
  <c r="D166" i="27"/>
  <c r="D133" i="27"/>
  <c r="D66" i="52"/>
  <c r="D34" i="27"/>
  <c r="D199" i="27"/>
  <c r="D232" i="27"/>
  <c r="D8" i="52"/>
  <c r="V31" i="53"/>
  <c r="V33" i="53"/>
  <c r="V30" i="53"/>
  <c r="V34" i="53"/>
  <c r="AI18" i="57"/>
  <c r="V27" i="53" s="1"/>
  <c r="V29" i="53"/>
  <c r="V25" i="53"/>
  <c r="V28" i="53"/>
  <c r="V32" i="53"/>
  <c r="AI17" i="57"/>
  <c r="V26" i="53" s="1"/>
  <c r="AK174" i="32"/>
  <c r="AH162" i="20"/>
  <c r="K93" i="20"/>
  <c r="AO85" i="32"/>
  <c r="K162" i="20"/>
  <c r="P203" i="32"/>
  <c r="P194" i="32"/>
  <c r="P156" i="32"/>
  <c r="M51" i="20"/>
  <c r="M125" i="20" s="1"/>
  <c r="P184" i="32"/>
  <c r="P165" i="32"/>
  <c r="P147" i="32"/>
  <c r="M85" i="52"/>
  <c r="P185" i="32"/>
  <c r="P176" i="32"/>
  <c r="P204" i="32"/>
  <c r="P157" i="32"/>
  <c r="P195" i="32"/>
  <c r="M52" i="20"/>
  <c r="P148" i="32"/>
  <c r="M86" i="52"/>
  <c r="K4" i="52"/>
  <c r="V12" i="53"/>
  <c r="V8" i="48"/>
  <c r="V11" i="36"/>
  <c r="V7" i="55"/>
  <c r="V8" i="36"/>
  <c r="V8" i="55"/>
  <c r="V9" i="36"/>
  <c r="V6" i="36"/>
  <c r="V9" i="53"/>
  <c r="V5" i="55"/>
  <c r="V4" i="47"/>
  <c r="V4" i="48"/>
  <c r="V11" i="53"/>
  <c r="V10" i="53"/>
  <c r="V7" i="36"/>
  <c r="V5" i="53"/>
  <c r="AI22" i="57"/>
  <c r="V7" i="53" s="1"/>
  <c r="V7" i="48"/>
  <c r="V5" i="48"/>
  <c r="V13" i="53"/>
  <c r="V10" i="36"/>
  <c r="V11" i="55"/>
  <c r="V4" i="55"/>
  <c r="V48" i="55"/>
  <c r="V9" i="55"/>
  <c r="V6" i="48"/>
  <c r="V10" i="55"/>
  <c r="V11" i="56"/>
  <c r="AI21" i="57"/>
  <c r="V6" i="53" s="1"/>
  <c r="V4" i="36"/>
  <c r="V8" i="53"/>
  <c r="V14" i="53"/>
  <c r="V6" i="55"/>
  <c r="V5" i="36"/>
  <c r="D159" i="20"/>
  <c r="AB26" i="52"/>
  <c r="M52" i="27"/>
  <c r="M58" i="27" s="1"/>
  <c r="N183" i="32"/>
  <c r="I90" i="20"/>
  <c r="W17" i="57"/>
  <c r="J26" i="53" s="1"/>
  <c r="W18" i="57"/>
  <c r="J27" i="53" s="1"/>
  <c r="J162" i="20"/>
  <c r="AH89" i="20"/>
  <c r="M119" i="27"/>
  <c r="M125" i="27" s="1"/>
  <c r="X57" i="52"/>
  <c r="N154" i="32"/>
  <c r="M87" i="27"/>
  <c r="M93" i="27" s="1"/>
  <c r="O158" i="20"/>
  <c r="M218" i="27"/>
  <c r="M224" i="27" s="1"/>
  <c r="N153" i="32"/>
  <c r="L166" i="32"/>
  <c r="AH125" i="20"/>
  <c r="M204" i="32"/>
  <c r="AL194" i="26"/>
  <c r="AL55" i="52"/>
  <c r="AL128" i="26"/>
  <c r="AL95" i="26"/>
  <c r="AL227" i="26"/>
  <c r="AL161" i="26"/>
  <c r="AL29" i="26"/>
  <c r="AL62" i="26"/>
  <c r="AL3" i="52"/>
  <c r="V116" i="27"/>
  <c r="V122" i="27" s="1"/>
  <c r="H41" i="53"/>
  <c r="H21" i="53"/>
  <c r="H11" i="53"/>
  <c r="H39" i="53"/>
  <c r="H19" i="53"/>
  <c r="H29" i="53"/>
  <c r="H28" i="53"/>
  <c r="H8" i="53"/>
  <c r="H38" i="53"/>
  <c r="H18" i="53"/>
  <c r="H22" i="53"/>
  <c r="H32" i="53"/>
  <c r="H12" i="53"/>
  <c r="H42" i="53"/>
  <c r="H43" i="53"/>
  <c r="H23" i="53"/>
  <c r="H13" i="53"/>
  <c r="H33" i="53"/>
  <c r="H20" i="53"/>
  <c r="H40" i="53"/>
  <c r="H10" i="53"/>
  <c r="H30" i="53"/>
  <c r="H25" i="53"/>
  <c r="H5" i="53"/>
  <c r="H35" i="53"/>
  <c r="H15" i="53"/>
  <c r="H34" i="53"/>
  <c r="H44" i="53"/>
  <c r="H24" i="53"/>
  <c r="H14" i="53"/>
  <c r="AA109" i="52" l="1"/>
  <c r="AD97" i="11" s="1"/>
  <c r="AA112" i="52"/>
  <c r="AD70" i="11" s="1"/>
  <c r="AA107" i="52"/>
  <c r="AD95" i="11" s="1"/>
  <c r="AA106" i="52"/>
  <c r="AD94" i="11" s="1"/>
  <c r="AA116" i="52"/>
  <c r="AD74" i="11" s="1"/>
  <c r="AA100" i="52"/>
  <c r="AD80" i="11" s="1"/>
  <c r="AG117" i="52"/>
  <c r="AJ75" i="11" s="1"/>
  <c r="AG103" i="52"/>
  <c r="AJ87" i="11" s="1"/>
  <c r="AG109" i="52"/>
  <c r="AJ97" i="11" s="1"/>
  <c r="AA117" i="52"/>
  <c r="AD75" i="11" s="1"/>
  <c r="AA103" i="52"/>
  <c r="AD87" i="11" s="1"/>
  <c r="AA102" i="52"/>
  <c r="AD86" i="11" s="1"/>
  <c r="AG102" i="52"/>
  <c r="AJ86" i="11" s="1"/>
  <c r="AA105" i="52"/>
  <c r="AD89" i="11" s="1"/>
  <c r="Q91" i="11"/>
  <c r="P274" i="53" s="1"/>
  <c r="AG105" i="52"/>
  <c r="AJ89" i="11" s="1"/>
  <c r="AG104" i="52"/>
  <c r="AJ88" i="11" s="1"/>
  <c r="J34" i="55"/>
  <c r="V298" i="53"/>
  <c r="Y24" i="52"/>
  <c r="Y104" i="52" s="1"/>
  <c r="AG106" i="52"/>
  <c r="AJ94" i="11" s="1"/>
  <c r="AG101" i="52"/>
  <c r="AJ81" i="11" s="1"/>
  <c r="AG110" i="52"/>
  <c r="AG112" i="52"/>
  <c r="AJ70" i="11" s="1"/>
  <c r="AA110" i="52"/>
  <c r="AD98" i="11" s="1"/>
  <c r="AA104" i="52"/>
  <c r="AD88" i="11" s="1"/>
  <c r="AG111" i="52"/>
  <c r="AJ99" i="11" s="1"/>
  <c r="AG116" i="52"/>
  <c r="AJ74" i="11" s="1"/>
  <c r="AG108" i="52"/>
  <c r="AJ96" i="11" s="1"/>
  <c r="AG100" i="52"/>
  <c r="AJ80" i="11" s="1"/>
  <c r="AA108" i="52"/>
  <c r="AD96" i="11" s="1"/>
  <c r="AA101" i="52"/>
  <c r="AD81" i="11" s="1"/>
  <c r="AG107" i="52"/>
  <c r="AJ95" i="11" s="1"/>
  <c r="AG115" i="52"/>
  <c r="AJ73" i="11" s="1"/>
  <c r="AA111" i="52"/>
  <c r="AD99" i="11" s="1"/>
  <c r="AA114" i="52"/>
  <c r="AD72" i="11" s="1"/>
  <c r="AG114" i="52"/>
  <c r="AJ72" i="11" s="1"/>
  <c r="AA113" i="52"/>
  <c r="AD71" i="11" s="1"/>
  <c r="AJ71" i="11"/>
  <c r="V39" i="55"/>
  <c r="K105" i="11"/>
  <c r="K109" i="11" s="1"/>
  <c r="J37" i="55"/>
  <c r="Q101" i="11"/>
  <c r="P277" i="53" s="1"/>
  <c r="V34" i="55"/>
  <c r="W105" i="11"/>
  <c r="W109" i="11" s="1"/>
  <c r="J63" i="48"/>
  <c r="J68" i="48" s="1"/>
  <c r="J73" i="48" s="1"/>
  <c r="J32" i="47"/>
  <c r="J33" i="47" s="1"/>
  <c r="J34" i="47" s="1"/>
  <c r="AJ98" i="11"/>
  <c r="V301" i="53"/>
  <c r="V64" i="48"/>
  <c r="V69" i="48" s="1"/>
  <c r="V74" i="48" s="1"/>
  <c r="V38" i="55"/>
  <c r="J62" i="48"/>
  <c r="J67" i="48" s="1"/>
  <c r="J72" i="48" s="1"/>
  <c r="J36" i="55"/>
  <c r="V41" i="55"/>
  <c r="V295" i="53"/>
  <c r="J40" i="55"/>
  <c r="W24" i="52"/>
  <c r="W109" i="52" s="1"/>
  <c r="AN24" i="52"/>
  <c r="AN103" i="52" s="1"/>
  <c r="AE24" i="52"/>
  <c r="AE101" i="52" s="1"/>
  <c r="J41" i="55"/>
  <c r="J39" i="55"/>
  <c r="AC24" i="52"/>
  <c r="AC112" i="52" s="1"/>
  <c r="V37" i="55"/>
  <c r="V63" i="48"/>
  <c r="V68" i="48" s="1"/>
  <c r="V73" i="48" s="1"/>
  <c r="V299" i="53"/>
  <c r="K27" i="52"/>
  <c r="K52" i="52"/>
  <c r="K50" i="52"/>
  <c r="K53" i="52"/>
  <c r="K54" i="52"/>
  <c r="K49" i="52"/>
  <c r="K51" i="52"/>
  <c r="K57" i="52"/>
  <c r="K58" i="52"/>
  <c r="K59" i="52"/>
  <c r="K55" i="52"/>
  <c r="K60" i="52"/>
  <c r="K56" i="52"/>
  <c r="K66" i="52"/>
  <c r="K61" i="52"/>
  <c r="K62" i="52"/>
  <c r="K63" i="52"/>
  <c r="M66" i="27"/>
  <c r="M99" i="27"/>
  <c r="M33" i="27"/>
  <c r="M198" i="27"/>
  <c r="M231" i="27"/>
  <c r="M165" i="27"/>
  <c r="M132" i="27"/>
  <c r="M7" i="52"/>
  <c r="V124" i="20"/>
  <c r="L15" i="52"/>
  <c r="L125" i="52"/>
  <c r="U63" i="11"/>
  <c r="R130" i="52" s="1"/>
  <c r="U52" i="11"/>
  <c r="R133" i="52" s="1"/>
  <c r="U54" i="11"/>
  <c r="R127" i="52" s="1"/>
  <c r="U50" i="11"/>
  <c r="R120" i="52" s="1"/>
  <c r="U46" i="11"/>
  <c r="U62" i="11"/>
  <c r="U51" i="11"/>
  <c r="R126" i="52" s="1"/>
  <c r="U60" i="11"/>
  <c r="R129" i="52" s="1"/>
  <c r="U59" i="11"/>
  <c r="R123" i="52" s="1"/>
  <c r="U49" i="11"/>
  <c r="R132" i="52" s="1"/>
  <c r="U58" i="11"/>
  <c r="R135" i="52" s="1"/>
  <c r="U53" i="11"/>
  <c r="U47" i="11"/>
  <c r="U61" i="11"/>
  <c r="U55" i="11"/>
  <c r="R134" i="52" s="1"/>
  <c r="U48" i="11"/>
  <c r="U56" i="11"/>
  <c r="R122" i="52" s="1"/>
  <c r="U57" i="11"/>
  <c r="R128" i="52" s="1"/>
  <c r="M90" i="20"/>
  <c r="AA133" i="52"/>
  <c r="S29" i="58"/>
  <c r="S25" i="58"/>
  <c r="S28" i="58"/>
  <c r="S24" i="58"/>
  <c r="S23" i="58" s="1"/>
  <c r="S27" i="58"/>
  <c r="S30" i="58"/>
  <c r="S26" i="58"/>
  <c r="S32" i="58"/>
  <c r="V198" i="27"/>
  <c r="V132" i="27"/>
  <c r="V33" i="27"/>
  <c r="V165" i="27"/>
  <c r="V99" i="27"/>
  <c r="V66" i="27"/>
  <c r="V231" i="27"/>
  <c r="V7" i="52"/>
  <c r="M25" i="58"/>
  <c r="M30" i="58"/>
  <c r="M24" i="58"/>
  <c r="M29" i="58"/>
  <c r="M28" i="58"/>
  <c r="M32" i="58"/>
  <c r="M26" i="58"/>
  <c r="M27" i="58"/>
  <c r="V123" i="20"/>
  <c r="V162" i="20"/>
  <c r="M130" i="27"/>
  <c r="M31" i="27"/>
  <c r="M64" i="27"/>
  <c r="M163" i="27"/>
  <c r="M97" i="27"/>
  <c r="M229" i="27"/>
  <c r="M196" i="27"/>
  <c r="M5" i="52"/>
  <c r="P162" i="27"/>
  <c r="P129" i="27"/>
  <c r="P96" i="27"/>
  <c r="P63" i="27"/>
  <c r="P30" i="27"/>
  <c r="P228" i="27"/>
  <c r="P195" i="27"/>
  <c r="P62" i="52"/>
  <c r="P4" i="52"/>
  <c r="P87" i="20"/>
  <c r="K64" i="52"/>
  <c r="K230" i="27"/>
  <c r="K197" i="27"/>
  <c r="K164" i="27"/>
  <c r="K131" i="27"/>
  <c r="K98" i="27"/>
  <c r="K32" i="27"/>
  <c r="K65" i="27"/>
  <c r="K6" i="52"/>
  <c r="K161" i="20"/>
  <c r="K125" i="20"/>
  <c r="AM131" i="52"/>
  <c r="AP65" i="11"/>
  <c r="AM16" i="52"/>
  <c r="AA14" i="52"/>
  <c r="AA121" i="52"/>
  <c r="AF121" i="52"/>
  <c r="AF14" i="52"/>
  <c r="K42" i="33"/>
  <c r="E45" i="33"/>
  <c r="V227" i="27"/>
  <c r="V194" i="27"/>
  <c r="V128" i="27"/>
  <c r="V29" i="27"/>
  <c r="V161" i="27"/>
  <c r="V95" i="27"/>
  <c r="V62" i="27"/>
  <c r="V3" i="52"/>
  <c r="V163" i="20"/>
  <c r="T34" i="52"/>
  <c r="V292" i="53"/>
  <c r="J64" i="48"/>
  <c r="J69" i="48" s="1"/>
  <c r="J74" i="48" s="1"/>
  <c r="V158" i="20"/>
  <c r="V62" i="52"/>
  <c r="V63" i="27"/>
  <c r="V30" i="27"/>
  <c r="V228" i="27"/>
  <c r="V195" i="27"/>
  <c r="V162" i="27"/>
  <c r="V129" i="27"/>
  <c r="V96" i="27"/>
  <c r="V4" i="52"/>
  <c r="P197" i="27"/>
  <c r="P32" i="27"/>
  <c r="P65" i="27"/>
  <c r="P230" i="27"/>
  <c r="P164" i="27"/>
  <c r="P98" i="27"/>
  <c r="P131" i="27"/>
  <c r="P64" i="52"/>
  <c r="P6" i="52"/>
  <c r="G24" i="52"/>
  <c r="AD128" i="52"/>
  <c r="AA13" i="52"/>
  <c r="AA12" i="52"/>
  <c r="AA119" i="52"/>
  <c r="P196" i="32"/>
  <c r="U121" i="52"/>
  <c r="U14" i="52"/>
  <c r="U102" i="52"/>
  <c r="X86" i="11" s="1"/>
  <c r="U104" i="52"/>
  <c r="X88" i="11" s="1"/>
  <c r="U100" i="52"/>
  <c r="X80" i="11" s="1"/>
  <c r="U101" i="52"/>
  <c r="X81" i="11" s="1"/>
  <c r="U105" i="52"/>
  <c r="X89" i="11" s="1"/>
  <c r="U103" i="52"/>
  <c r="X87" i="11" s="1"/>
  <c r="U107" i="52"/>
  <c r="X95" i="11" s="1"/>
  <c r="U111" i="52"/>
  <c r="X99" i="11" s="1"/>
  <c r="U110" i="52"/>
  <c r="X98" i="11" s="1"/>
  <c r="U108" i="52"/>
  <c r="X96" i="11" s="1"/>
  <c r="U106" i="52"/>
  <c r="X94" i="11" s="1"/>
  <c r="U109" i="52"/>
  <c r="X97" i="11" s="1"/>
  <c r="U117" i="52"/>
  <c r="X75" i="11" s="1"/>
  <c r="U116" i="52"/>
  <c r="X74" i="11" s="1"/>
  <c r="U113" i="52"/>
  <c r="X71" i="11" s="1"/>
  <c r="U114" i="52"/>
  <c r="X72" i="11" s="1"/>
  <c r="U115" i="52"/>
  <c r="X73" i="11" s="1"/>
  <c r="U112" i="52"/>
  <c r="X70" i="11" s="1"/>
  <c r="P164" i="32"/>
  <c r="J55" i="11"/>
  <c r="G134" i="52" s="1"/>
  <c r="J46" i="11"/>
  <c r="J47" i="11"/>
  <c r="J63" i="11"/>
  <c r="G130" i="52" s="1"/>
  <c r="J62" i="11"/>
  <c r="G124" i="52" s="1"/>
  <c r="J56" i="11"/>
  <c r="G122" i="52" s="1"/>
  <c r="J58" i="11"/>
  <c r="G135" i="52" s="1"/>
  <c r="J48" i="11"/>
  <c r="J53" i="11"/>
  <c r="J52" i="11"/>
  <c r="G133" i="52" s="1"/>
  <c r="J51" i="11"/>
  <c r="G126" i="52" s="1"/>
  <c r="J61" i="11"/>
  <c r="J59" i="11"/>
  <c r="G123" i="52" s="1"/>
  <c r="J49" i="11"/>
  <c r="G132" i="52" s="1"/>
  <c r="J57" i="11"/>
  <c r="G128" i="52" s="1"/>
  <c r="J50" i="11"/>
  <c r="G120" i="52" s="1"/>
  <c r="J60" i="11"/>
  <c r="G129" i="52" s="1"/>
  <c r="J54" i="11"/>
  <c r="G127" i="52" s="1"/>
  <c r="AD73" i="11"/>
  <c r="V297" i="53"/>
  <c r="M67" i="27"/>
  <c r="M199" i="27"/>
  <c r="M133" i="27"/>
  <c r="M34" i="27"/>
  <c r="M100" i="27"/>
  <c r="M232" i="27"/>
  <c r="M166" i="27"/>
  <c r="M8" i="52"/>
  <c r="AG119" i="52"/>
  <c r="AG13" i="52"/>
  <c r="AG12" i="52"/>
  <c r="AM14" i="52"/>
  <c r="AM121" i="52"/>
  <c r="M116" i="20"/>
  <c r="M122" i="20" s="1"/>
  <c r="M129" i="20"/>
  <c r="AJ29" i="52"/>
  <c r="AJ22" i="52"/>
  <c r="U16" i="52"/>
  <c r="X65" i="11"/>
  <c r="U131" i="52"/>
  <c r="E56" i="33"/>
  <c r="K56" i="33" s="1"/>
  <c r="K53" i="33"/>
  <c r="AH58" i="11"/>
  <c r="AE135" i="52" s="1"/>
  <c r="AH60" i="11"/>
  <c r="AE129" i="52" s="1"/>
  <c r="AH49" i="11"/>
  <c r="AE132" i="52" s="1"/>
  <c r="AH63" i="11"/>
  <c r="AE130" i="52" s="1"/>
  <c r="AH48" i="11"/>
  <c r="AH55" i="11"/>
  <c r="AE134" i="52" s="1"/>
  <c r="AH51" i="11"/>
  <c r="AE126" i="52" s="1"/>
  <c r="AH62" i="11"/>
  <c r="AE124" i="52" s="1"/>
  <c r="AH47" i="11"/>
  <c r="AH56" i="11"/>
  <c r="AE122" i="52" s="1"/>
  <c r="AH52" i="11"/>
  <c r="AE133" i="52" s="1"/>
  <c r="AH46" i="11"/>
  <c r="AH50" i="11"/>
  <c r="AE120" i="52" s="1"/>
  <c r="AH54" i="11"/>
  <c r="AE127" i="52" s="1"/>
  <c r="AH59" i="11"/>
  <c r="AE123" i="52" s="1"/>
  <c r="AH57" i="11"/>
  <c r="AE128" i="52" s="1"/>
  <c r="AH53" i="11"/>
  <c r="AH61" i="11"/>
  <c r="E107" i="52"/>
  <c r="H95" i="11" s="1"/>
  <c r="E110" i="52"/>
  <c r="H98" i="11" s="1"/>
  <c r="E104" i="52"/>
  <c r="H88" i="11" s="1"/>
  <c r="E102" i="52"/>
  <c r="H86" i="11" s="1"/>
  <c r="E103" i="52"/>
  <c r="H87" i="11" s="1"/>
  <c r="E115" i="52"/>
  <c r="H73" i="11" s="1"/>
  <c r="E105" i="52"/>
  <c r="H89" i="11" s="1"/>
  <c r="E108" i="52"/>
  <c r="H96" i="11" s="1"/>
  <c r="E116" i="52"/>
  <c r="H74" i="11" s="1"/>
  <c r="E109" i="52"/>
  <c r="H97" i="11" s="1"/>
  <c r="E111" i="52"/>
  <c r="H99" i="11" s="1"/>
  <c r="E101" i="52"/>
  <c r="H81" i="11" s="1"/>
  <c r="E100" i="52"/>
  <c r="H80" i="11" s="1"/>
  <c r="E106" i="52"/>
  <c r="H94" i="11" s="1"/>
  <c r="E117" i="52"/>
  <c r="H75" i="11" s="1"/>
  <c r="E113" i="52"/>
  <c r="H71" i="11" s="1"/>
  <c r="E114" i="52"/>
  <c r="H72" i="11" s="1"/>
  <c r="E112" i="52"/>
  <c r="H70" i="11" s="1"/>
  <c r="AF108" i="52"/>
  <c r="AI96" i="11" s="1"/>
  <c r="AF102" i="52"/>
  <c r="AI86" i="11" s="1"/>
  <c r="AF101" i="52"/>
  <c r="AI81" i="11" s="1"/>
  <c r="AF117" i="52"/>
  <c r="AI75" i="11" s="1"/>
  <c r="AF115" i="52"/>
  <c r="AI73" i="11" s="1"/>
  <c r="AF100" i="52"/>
  <c r="AI80" i="11" s="1"/>
  <c r="AF107" i="52"/>
  <c r="AI95" i="11" s="1"/>
  <c r="AF116" i="52"/>
  <c r="AI74" i="11" s="1"/>
  <c r="AF105" i="52"/>
  <c r="AI89" i="11" s="1"/>
  <c r="AF110" i="52"/>
  <c r="AI98" i="11" s="1"/>
  <c r="AF104" i="52"/>
  <c r="AI88" i="11" s="1"/>
  <c r="AF103" i="52"/>
  <c r="AI87" i="11" s="1"/>
  <c r="AF112" i="52"/>
  <c r="AI70" i="11" s="1"/>
  <c r="AF113" i="52"/>
  <c r="AI71" i="11" s="1"/>
  <c r="AF114" i="52"/>
  <c r="AI72" i="11" s="1"/>
  <c r="AF109" i="52"/>
  <c r="AI97" i="11" s="1"/>
  <c r="AF106" i="52"/>
  <c r="AI94" i="11" s="1"/>
  <c r="AF111" i="52"/>
  <c r="AI99" i="11" s="1"/>
  <c r="AJ65" i="52"/>
  <c r="AJ64" i="52"/>
  <c r="AJ62" i="52"/>
  <c r="AJ63" i="52"/>
  <c r="AJ66" i="52"/>
  <c r="AJ61" i="52"/>
  <c r="AJ52" i="52"/>
  <c r="AJ53" i="52"/>
  <c r="AJ27" i="52"/>
  <c r="AJ54" i="52"/>
  <c r="AJ49" i="52"/>
  <c r="AJ51" i="52"/>
  <c r="AJ50" i="52"/>
  <c r="V32" i="47"/>
  <c r="V33" i="47" s="1"/>
  <c r="V34" i="47" s="1"/>
  <c r="V51" i="55"/>
  <c r="G23" i="58"/>
  <c r="H175" i="28" s="1"/>
  <c r="V90" i="20"/>
  <c r="AH66" i="52"/>
  <c r="Q77" i="11"/>
  <c r="V54" i="20"/>
  <c r="V9" i="52" s="1"/>
  <c r="V61" i="52" s="1"/>
  <c r="V26" i="52"/>
  <c r="V86" i="20"/>
  <c r="AM114" i="52"/>
  <c r="AP72" i="11" s="1"/>
  <c r="AM113" i="52"/>
  <c r="AP71" i="11" s="1"/>
  <c r="AM102" i="52"/>
  <c r="AP86" i="11" s="1"/>
  <c r="AM104" i="52"/>
  <c r="AP88" i="11" s="1"/>
  <c r="AM103" i="52"/>
  <c r="AP87" i="11" s="1"/>
  <c r="AM105" i="52"/>
  <c r="AP89" i="11" s="1"/>
  <c r="AM116" i="52"/>
  <c r="AP74" i="11" s="1"/>
  <c r="AM100" i="52"/>
  <c r="AP80" i="11" s="1"/>
  <c r="AM117" i="52"/>
  <c r="AP75" i="11" s="1"/>
  <c r="AM112" i="52"/>
  <c r="AP70" i="11" s="1"/>
  <c r="AM101" i="52"/>
  <c r="AP81" i="11" s="1"/>
  <c r="AM115" i="52"/>
  <c r="AP73" i="11" s="1"/>
  <c r="AM109" i="52"/>
  <c r="AP97" i="11" s="1"/>
  <c r="AM110" i="52"/>
  <c r="AP98" i="11" s="1"/>
  <c r="AM106" i="52"/>
  <c r="AP94" i="11" s="1"/>
  <c r="AM107" i="52"/>
  <c r="AP95" i="11" s="1"/>
  <c r="AM111" i="52"/>
  <c r="AP99" i="11" s="1"/>
  <c r="AM108" i="52"/>
  <c r="AP96" i="11" s="1"/>
  <c r="AB22" i="52"/>
  <c r="AB29" i="52"/>
  <c r="V61" i="48"/>
  <c r="V66" i="48" s="1"/>
  <c r="V71" i="48" s="1"/>
  <c r="AK23" i="52"/>
  <c r="AN67" i="11" s="1"/>
  <c r="V88" i="20"/>
  <c r="I54" i="20"/>
  <c r="I9" i="52" s="1"/>
  <c r="I26" i="52"/>
  <c r="L114" i="52"/>
  <c r="O72" i="11" s="1"/>
  <c r="L104" i="52"/>
  <c r="O88" i="11" s="1"/>
  <c r="L112" i="52"/>
  <c r="O70" i="11" s="1"/>
  <c r="L115" i="52"/>
  <c r="O73" i="11" s="1"/>
  <c r="L117" i="52"/>
  <c r="O75" i="11" s="1"/>
  <c r="L102" i="52"/>
  <c r="O86" i="11" s="1"/>
  <c r="L103" i="52"/>
  <c r="O87" i="11" s="1"/>
  <c r="L100" i="52"/>
  <c r="O80" i="11" s="1"/>
  <c r="L116" i="52"/>
  <c r="O74" i="11" s="1"/>
  <c r="L105" i="52"/>
  <c r="O89" i="11" s="1"/>
  <c r="L113" i="52"/>
  <c r="O71" i="11" s="1"/>
  <c r="L101" i="52"/>
  <c r="O81" i="11" s="1"/>
  <c r="L106" i="52"/>
  <c r="O94" i="11" s="1"/>
  <c r="L108" i="52"/>
  <c r="O96" i="11" s="1"/>
  <c r="L109" i="52"/>
  <c r="O97" i="11" s="1"/>
  <c r="L107" i="52"/>
  <c r="O95" i="11" s="1"/>
  <c r="L111" i="52"/>
  <c r="O99" i="11" s="1"/>
  <c r="L110" i="52"/>
  <c r="O98" i="11" s="1"/>
  <c r="P155" i="32"/>
  <c r="AG15" i="52"/>
  <c r="AG125" i="52"/>
  <c r="V35" i="55"/>
  <c r="K231" i="27"/>
  <c r="K198" i="27"/>
  <c r="K165" i="27"/>
  <c r="K132" i="27"/>
  <c r="K33" i="27"/>
  <c r="K99" i="27"/>
  <c r="K66" i="27"/>
  <c r="K65" i="52"/>
  <c r="K7" i="52"/>
  <c r="K90" i="20"/>
  <c r="D165" i="27"/>
  <c r="D132" i="27"/>
  <c r="D33" i="27"/>
  <c r="D99" i="27"/>
  <c r="D65" i="52"/>
  <c r="D198" i="27"/>
  <c r="D231" i="27"/>
  <c r="D66" i="27"/>
  <c r="D7" i="52"/>
  <c r="D126" i="20"/>
  <c r="D162" i="20"/>
  <c r="D90" i="20"/>
  <c r="AH65" i="52"/>
  <c r="P174" i="32"/>
  <c r="E13" i="52"/>
  <c r="E12" i="52"/>
  <c r="E119" i="52"/>
  <c r="AM119" i="52"/>
  <c r="AM12" i="52"/>
  <c r="AM13" i="52"/>
  <c r="V126" i="20"/>
  <c r="M88" i="20"/>
  <c r="Y175" i="32"/>
  <c r="I194" i="27"/>
  <c r="I128" i="27"/>
  <c r="I161" i="27"/>
  <c r="I227" i="27"/>
  <c r="I95" i="27"/>
  <c r="I61" i="52"/>
  <c r="I62" i="27"/>
  <c r="I29" i="27"/>
  <c r="I3" i="52"/>
  <c r="P34" i="27"/>
  <c r="P232" i="27"/>
  <c r="P199" i="27"/>
  <c r="P166" i="27"/>
  <c r="P133" i="27"/>
  <c r="P100" i="27"/>
  <c r="P67" i="27"/>
  <c r="P66" i="52"/>
  <c r="P8" i="52"/>
  <c r="P91" i="20"/>
  <c r="AG14" i="52"/>
  <c r="AG121" i="52"/>
  <c r="AM15" i="52"/>
  <c r="AM125" i="52"/>
  <c r="M165" i="20"/>
  <c r="V296" i="53"/>
  <c r="K52" i="33"/>
  <c r="E55" i="33"/>
  <c r="P19" i="55"/>
  <c r="P12" i="48"/>
  <c r="P13" i="55"/>
  <c r="P5" i="47"/>
  <c r="P16" i="55"/>
  <c r="P9" i="48"/>
  <c r="P15" i="55"/>
  <c r="P10" i="48"/>
  <c r="P14" i="36"/>
  <c r="P17" i="36"/>
  <c r="P18" i="36"/>
  <c r="P11" i="48"/>
  <c r="P13" i="36"/>
  <c r="P12" i="55"/>
  <c r="P12" i="36"/>
  <c r="P18" i="55"/>
  <c r="P17" i="55"/>
  <c r="P14" i="55"/>
  <c r="P13" i="48"/>
  <c r="P19" i="36"/>
  <c r="P16" i="36"/>
  <c r="P15" i="36"/>
  <c r="P23" i="55"/>
  <c r="P21" i="36"/>
  <c r="AC19" i="57"/>
  <c r="P36" i="53" s="1"/>
  <c r="P21" i="55"/>
  <c r="P25" i="55"/>
  <c r="P26" i="55"/>
  <c r="AC20" i="57"/>
  <c r="P37" i="53" s="1"/>
  <c r="P20" i="55"/>
  <c r="P27" i="55"/>
  <c r="P6" i="47"/>
  <c r="P22" i="55"/>
  <c r="P16" i="48"/>
  <c r="P26" i="36"/>
  <c r="P23" i="36"/>
  <c r="P20" i="36"/>
  <c r="P24" i="55"/>
  <c r="P25" i="36"/>
  <c r="P27" i="36"/>
  <c r="P17" i="48"/>
  <c r="P14" i="48"/>
  <c r="P15" i="48"/>
  <c r="P18" i="48"/>
  <c r="P24" i="36"/>
  <c r="P22" i="36"/>
  <c r="J61" i="48"/>
  <c r="J66" i="48" s="1"/>
  <c r="J71" i="48" s="1"/>
  <c r="N137" i="52"/>
  <c r="N138" i="52" s="1"/>
  <c r="N139" i="52" s="1"/>
  <c r="P127" i="20"/>
  <c r="U12" i="52"/>
  <c r="U13" i="52"/>
  <c r="U119" i="52"/>
  <c r="Y172" i="32"/>
  <c r="AL29" i="52"/>
  <c r="AL22" i="52"/>
  <c r="V36" i="55"/>
  <c r="Z66" i="52"/>
  <c r="Z232" i="27"/>
  <c r="Z166" i="27"/>
  <c r="Z67" i="27"/>
  <c r="Z100" i="27"/>
  <c r="Z199" i="27"/>
  <c r="Z34" i="27"/>
  <c r="Z133" i="27"/>
  <c r="Z8" i="52"/>
  <c r="Z91" i="20"/>
  <c r="P175" i="32"/>
  <c r="O61" i="52"/>
  <c r="AC16" i="57"/>
  <c r="P17" i="53" s="1"/>
  <c r="P47" i="55"/>
  <c r="P10" i="56"/>
  <c r="AC15" i="57"/>
  <c r="P16" i="53" s="1"/>
  <c r="P3" i="56"/>
  <c r="P30" i="55"/>
  <c r="AI23" i="52"/>
  <c r="AL67" i="11" s="1"/>
  <c r="V87" i="20"/>
  <c r="M89" i="20"/>
  <c r="M161" i="20"/>
  <c r="M124" i="20"/>
  <c r="AH63" i="52"/>
  <c r="V230" i="27"/>
  <c r="V197" i="27"/>
  <c r="V131" i="27"/>
  <c r="V98" i="27"/>
  <c r="V65" i="27"/>
  <c r="V32" i="27"/>
  <c r="V64" i="52"/>
  <c r="V164" i="27"/>
  <c r="V6" i="52"/>
  <c r="AL61" i="52"/>
  <c r="AL49" i="52"/>
  <c r="AL51" i="52"/>
  <c r="AL53" i="52"/>
  <c r="AL54" i="52"/>
  <c r="AL27" i="52"/>
  <c r="AL66" i="52"/>
  <c r="AL52" i="52"/>
  <c r="AL62" i="52"/>
  <c r="AL64" i="52"/>
  <c r="AL65" i="52"/>
  <c r="AL63" i="52"/>
  <c r="AL50" i="52"/>
  <c r="V14" i="56"/>
  <c r="V67" i="27"/>
  <c r="V232" i="27"/>
  <c r="V66" i="52"/>
  <c r="V166" i="27"/>
  <c r="V199" i="27"/>
  <c r="V133" i="27"/>
  <c r="V100" i="27"/>
  <c r="V34" i="27"/>
  <c r="V8" i="52"/>
  <c r="Q83" i="11"/>
  <c r="P271" i="53" s="1"/>
  <c r="E126" i="52"/>
  <c r="AF15" i="52"/>
  <c r="AF125" i="52"/>
  <c r="AL96" i="26"/>
  <c r="AL30" i="26"/>
  <c r="AL129" i="26"/>
  <c r="AL195" i="26"/>
  <c r="AL228" i="26"/>
  <c r="AL162" i="26"/>
  <c r="AL56" i="52"/>
  <c r="AL63" i="26"/>
  <c r="AL4" i="52"/>
  <c r="AL123" i="19"/>
  <c r="AL159" i="19"/>
  <c r="AL87" i="19"/>
  <c r="M54" i="20"/>
  <c r="M9" i="52" s="1"/>
  <c r="M63" i="52" s="1"/>
  <c r="M26" i="52"/>
  <c r="P63" i="52"/>
  <c r="P229" i="27"/>
  <c r="P196" i="27"/>
  <c r="P163" i="27"/>
  <c r="P97" i="27"/>
  <c r="P64" i="27"/>
  <c r="P31" i="27"/>
  <c r="P130" i="27"/>
  <c r="P5" i="52"/>
  <c r="P160" i="20"/>
  <c r="AF119" i="52"/>
  <c r="AF13" i="52"/>
  <c r="AF12" i="52"/>
  <c r="AB53" i="11"/>
  <c r="AB63" i="11"/>
  <c r="Y130" i="52" s="1"/>
  <c r="AB62" i="11"/>
  <c r="Y124" i="52" s="1"/>
  <c r="AB59" i="11"/>
  <c r="Y123" i="52" s="1"/>
  <c r="AB52" i="11"/>
  <c r="Y133" i="52" s="1"/>
  <c r="AB57" i="11"/>
  <c r="Y128" i="52" s="1"/>
  <c r="AB51" i="11"/>
  <c r="Y126" i="52" s="1"/>
  <c r="AB60" i="11"/>
  <c r="Y129" i="52" s="1"/>
  <c r="AB47" i="11"/>
  <c r="AB54" i="11"/>
  <c r="Y127" i="52" s="1"/>
  <c r="AB46" i="11"/>
  <c r="AB49" i="11"/>
  <c r="Y132" i="52" s="1"/>
  <c r="AB55" i="11"/>
  <c r="Y134" i="52" s="1"/>
  <c r="AB58" i="11"/>
  <c r="Y135" i="52" s="1"/>
  <c r="AB61" i="11"/>
  <c r="AB48" i="11"/>
  <c r="AB56" i="11"/>
  <c r="Y122" i="52" s="1"/>
  <c r="AB50" i="11"/>
  <c r="Y120" i="52" s="1"/>
  <c r="AD13" i="52"/>
  <c r="AD12" i="52"/>
  <c r="AD119" i="52"/>
  <c r="D22" i="52"/>
  <c r="D29" i="52"/>
  <c r="M32" i="27"/>
  <c r="M164" i="27"/>
  <c r="M197" i="27"/>
  <c r="M230" i="27"/>
  <c r="M65" i="27"/>
  <c r="M98" i="27"/>
  <c r="M131" i="27"/>
  <c r="M6" i="52"/>
  <c r="L119" i="52"/>
  <c r="L13" i="52"/>
  <c r="L12" i="52"/>
  <c r="AC17" i="57"/>
  <c r="P26" i="53" s="1"/>
  <c r="AC18" i="57"/>
  <c r="P27" i="53" s="1"/>
  <c r="V40" i="55"/>
  <c r="O29" i="52"/>
  <c r="O22" i="52"/>
  <c r="O23" i="52" s="1"/>
  <c r="O143" i="52" s="1"/>
  <c r="AH61" i="52"/>
  <c r="J14" i="56"/>
  <c r="D27" i="52"/>
  <c r="D49" i="52"/>
  <c r="D53" i="52"/>
  <c r="D50" i="52"/>
  <c r="D54" i="52"/>
  <c r="D51" i="52"/>
  <c r="D52" i="52"/>
  <c r="D57" i="52"/>
  <c r="D56" i="52"/>
  <c r="D60" i="52"/>
  <c r="D59" i="52"/>
  <c r="D58" i="52"/>
  <c r="D55" i="52"/>
  <c r="Z62" i="11"/>
  <c r="W124" i="52" s="1"/>
  <c r="Z47" i="11"/>
  <c r="Z59" i="11"/>
  <c r="W123" i="52" s="1"/>
  <c r="Z56" i="11"/>
  <c r="W122" i="52" s="1"/>
  <c r="Z54" i="11"/>
  <c r="W127" i="52" s="1"/>
  <c r="Z52" i="11"/>
  <c r="W133" i="52" s="1"/>
  <c r="Z58" i="11"/>
  <c r="W135" i="52" s="1"/>
  <c r="Z48" i="11"/>
  <c r="Z63" i="11"/>
  <c r="W130" i="52" s="1"/>
  <c r="Z61" i="11"/>
  <c r="Z57" i="11"/>
  <c r="W128" i="52" s="1"/>
  <c r="Z60" i="11"/>
  <c r="W129" i="52" s="1"/>
  <c r="Z55" i="11"/>
  <c r="W134" i="52" s="1"/>
  <c r="Z53" i="11"/>
  <c r="Z49" i="11"/>
  <c r="W132" i="52" s="1"/>
  <c r="Z51" i="11"/>
  <c r="W126" i="52" s="1"/>
  <c r="Z46" i="11"/>
  <c r="Z50" i="11"/>
  <c r="W120" i="52" s="1"/>
  <c r="V65" i="48"/>
  <c r="V70" i="48" s="1"/>
  <c r="V75" i="48" s="1"/>
  <c r="P231" i="27"/>
  <c r="P198" i="27"/>
  <c r="P165" i="27"/>
  <c r="P132" i="27"/>
  <c r="P99" i="27"/>
  <c r="P66" i="27"/>
  <c r="P33" i="27"/>
  <c r="P65" i="52"/>
  <c r="P7" i="52"/>
  <c r="P126" i="20"/>
  <c r="P90" i="20"/>
  <c r="M227" i="27"/>
  <c r="M161" i="27"/>
  <c r="M194" i="27"/>
  <c r="M128" i="27"/>
  <c r="M95" i="27"/>
  <c r="M62" i="27"/>
  <c r="M61" i="52"/>
  <c r="M29" i="27"/>
  <c r="M3" i="52"/>
  <c r="U15" i="52"/>
  <c r="U125" i="52"/>
  <c r="AL33" i="26"/>
  <c r="AL231" i="26"/>
  <c r="AL59" i="52"/>
  <c r="AL99" i="26"/>
  <c r="AL198" i="26"/>
  <c r="AL132" i="26"/>
  <c r="AL66" i="26"/>
  <c r="AL165" i="26"/>
  <c r="AL7" i="52"/>
  <c r="AL126" i="19"/>
  <c r="AL90" i="19"/>
  <c r="J51" i="55"/>
  <c r="Q23" i="52"/>
  <c r="T67" i="11" s="1"/>
  <c r="J32" i="27"/>
  <c r="J230" i="27"/>
  <c r="J197" i="27"/>
  <c r="J164" i="27"/>
  <c r="J131" i="27"/>
  <c r="J98" i="27"/>
  <c r="J65" i="27"/>
  <c r="J64" i="52"/>
  <c r="J6" i="52"/>
  <c r="J161" i="20"/>
  <c r="AD125" i="52"/>
  <c r="AD15" i="52"/>
  <c r="AD109" i="52"/>
  <c r="AG97" i="11" s="1"/>
  <c r="AD103" i="52"/>
  <c r="AG87" i="11" s="1"/>
  <c r="AD108" i="52"/>
  <c r="AG96" i="11" s="1"/>
  <c r="AD111" i="52"/>
  <c r="AG99" i="11" s="1"/>
  <c r="AD110" i="52"/>
  <c r="AG98" i="11" s="1"/>
  <c r="AD112" i="52"/>
  <c r="AG70" i="11" s="1"/>
  <c r="AD104" i="52"/>
  <c r="AG88" i="11" s="1"/>
  <c r="AD107" i="52"/>
  <c r="AG95" i="11" s="1"/>
  <c r="AD114" i="52"/>
  <c r="AG72" i="11" s="1"/>
  <c r="AD105" i="52"/>
  <c r="AG89" i="11" s="1"/>
  <c r="AD102" i="52"/>
  <c r="AG86" i="11" s="1"/>
  <c r="AD101" i="52"/>
  <c r="AG81" i="11" s="1"/>
  <c r="AD113" i="52"/>
  <c r="AG71" i="11" s="1"/>
  <c r="AD100" i="52"/>
  <c r="AG80" i="11" s="1"/>
  <c r="AD106" i="52"/>
  <c r="AG94" i="11" s="1"/>
  <c r="AD115" i="52"/>
  <c r="AG73" i="11" s="1"/>
  <c r="AD117" i="52"/>
  <c r="AG75" i="11" s="1"/>
  <c r="AD116" i="52"/>
  <c r="AG74" i="11" s="1"/>
  <c r="K22" i="52"/>
  <c r="K29" i="52"/>
  <c r="J166" i="27"/>
  <c r="J232" i="27"/>
  <c r="J199" i="27"/>
  <c r="J133" i="27"/>
  <c r="J100" i="27"/>
  <c r="J67" i="27"/>
  <c r="J34" i="27"/>
  <c r="J66" i="52"/>
  <c r="J8" i="52"/>
  <c r="J127" i="20"/>
  <c r="J91" i="20"/>
  <c r="J163" i="20"/>
  <c r="O49" i="52"/>
  <c r="O53" i="52"/>
  <c r="O52" i="52"/>
  <c r="O50" i="52"/>
  <c r="O54" i="52"/>
  <c r="O51" i="52"/>
  <c r="O27" i="52"/>
  <c r="Q57" i="18" s="1"/>
  <c r="O60" i="52"/>
  <c r="O57" i="52"/>
  <c r="O58" i="52"/>
  <c r="O56" i="52"/>
  <c r="O55" i="52"/>
  <c r="O59" i="52"/>
  <c r="E125" i="52"/>
  <c r="E15" i="52"/>
  <c r="AD121" i="52"/>
  <c r="AD14" i="52"/>
  <c r="I199" i="27"/>
  <c r="I100" i="27"/>
  <c r="I166" i="27"/>
  <c r="I67" i="27"/>
  <c r="I232" i="27"/>
  <c r="I34" i="27"/>
  <c r="I66" i="52"/>
  <c r="I133" i="27"/>
  <c r="I8" i="52"/>
  <c r="I163" i="20"/>
  <c r="I91" i="20"/>
  <c r="J65" i="48"/>
  <c r="J70" i="48" s="1"/>
  <c r="J75" i="48" s="1"/>
  <c r="P200" i="32"/>
  <c r="S24" i="52"/>
  <c r="M123" i="20"/>
  <c r="M91" i="20"/>
  <c r="J162" i="27"/>
  <c r="J63" i="27"/>
  <c r="J228" i="27"/>
  <c r="J195" i="27"/>
  <c r="J129" i="27"/>
  <c r="J96" i="27"/>
  <c r="J30" i="27"/>
  <c r="J62" i="52"/>
  <c r="J4" i="52"/>
  <c r="J123" i="20"/>
  <c r="J87" i="20"/>
  <c r="J159" i="20"/>
  <c r="V163" i="27"/>
  <c r="V130" i="27"/>
  <c r="V97" i="27"/>
  <c r="V64" i="27"/>
  <c r="V31" i="27"/>
  <c r="V196" i="27"/>
  <c r="V229" i="27"/>
  <c r="V5" i="52"/>
  <c r="D229" i="27"/>
  <c r="D97" i="27"/>
  <c r="D31" i="27"/>
  <c r="D63" i="52"/>
  <c r="D163" i="27"/>
  <c r="D130" i="27"/>
  <c r="D64" i="27"/>
  <c r="D196" i="27"/>
  <c r="D5" i="52"/>
  <c r="D88" i="20"/>
  <c r="D160" i="20"/>
  <c r="D124" i="20"/>
  <c r="J229" i="27"/>
  <c r="J196" i="27"/>
  <c r="J64" i="27"/>
  <c r="J163" i="27"/>
  <c r="J130" i="27"/>
  <c r="J97" i="27"/>
  <c r="J31" i="27"/>
  <c r="J63" i="52"/>
  <c r="J5" i="52"/>
  <c r="J88" i="20"/>
  <c r="V55" i="11"/>
  <c r="S134" i="52" s="1"/>
  <c r="V57" i="11"/>
  <c r="S128" i="52" s="1"/>
  <c r="V46" i="11"/>
  <c r="V48" i="11"/>
  <c r="V56" i="11"/>
  <c r="V61" i="11"/>
  <c r="V59" i="11"/>
  <c r="S123" i="52" s="1"/>
  <c r="V47" i="11"/>
  <c r="V58" i="11"/>
  <c r="S135" i="52" s="1"/>
  <c r="V50" i="11"/>
  <c r="S120" i="52" s="1"/>
  <c r="V52" i="11"/>
  <c r="S133" i="52" s="1"/>
  <c r="V49" i="11"/>
  <c r="S132" i="52" s="1"/>
  <c r="V53" i="11"/>
  <c r="V60" i="11"/>
  <c r="S129" i="52" s="1"/>
  <c r="V62" i="11"/>
  <c r="S124" i="52" s="1"/>
  <c r="V51" i="11"/>
  <c r="S126" i="52" s="1"/>
  <c r="V63" i="11"/>
  <c r="S130" i="52" s="1"/>
  <c r="V54" i="11"/>
  <c r="S127" i="52" s="1"/>
  <c r="AH29" i="52"/>
  <c r="AH22" i="52"/>
  <c r="M83" i="52"/>
  <c r="P201" i="32"/>
  <c r="M49" i="20"/>
  <c r="P192" i="32"/>
  <c r="P163" i="32"/>
  <c r="P145" i="32"/>
  <c r="P173" i="32"/>
  <c r="P182" i="32"/>
  <c r="P154" i="32"/>
  <c r="E14" i="52"/>
  <c r="E121" i="52"/>
  <c r="AG65" i="11"/>
  <c r="AC18" i="58" s="1"/>
  <c r="AC19" i="58" s="1"/>
  <c r="AD131" i="52"/>
  <c r="AD16" i="52"/>
  <c r="O63" i="52"/>
  <c r="I86" i="20"/>
  <c r="AQ55" i="11"/>
  <c r="AN134" i="52" s="1"/>
  <c r="AQ63" i="11"/>
  <c r="AN130" i="52" s="1"/>
  <c r="AQ61" i="11"/>
  <c r="AQ49" i="11"/>
  <c r="AN132" i="52" s="1"/>
  <c r="AQ57" i="11"/>
  <c r="AN128" i="52" s="1"/>
  <c r="AQ62" i="11"/>
  <c r="AN124" i="52" s="1"/>
  <c r="AQ51" i="11"/>
  <c r="AN126" i="52" s="1"/>
  <c r="AQ54" i="11"/>
  <c r="AN127" i="52" s="1"/>
  <c r="AQ50" i="11"/>
  <c r="AN120" i="52" s="1"/>
  <c r="AQ52" i="11"/>
  <c r="AN133" i="52" s="1"/>
  <c r="AQ59" i="11"/>
  <c r="AN123" i="52" s="1"/>
  <c r="AQ53" i="11"/>
  <c r="AQ48" i="11"/>
  <c r="AQ46" i="11"/>
  <c r="AQ60" i="11"/>
  <c r="AN129" i="52" s="1"/>
  <c r="AQ56" i="11"/>
  <c r="AN122" i="52" s="1"/>
  <c r="AQ58" i="11"/>
  <c r="AQ47" i="11"/>
  <c r="L16" i="52"/>
  <c r="O65" i="11"/>
  <c r="K18" i="58" s="1"/>
  <c r="K19" i="58" s="1"/>
  <c r="L131" i="52"/>
  <c r="P88" i="20"/>
  <c r="AH49" i="52"/>
  <c r="AH51" i="52"/>
  <c r="AH53" i="52"/>
  <c r="AH52" i="52"/>
  <c r="AH50" i="52"/>
  <c r="AH54" i="52"/>
  <c r="AH27" i="52"/>
  <c r="AH55" i="52"/>
  <c r="AH56" i="52"/>
  <c r="AH58" i="52"/>
  <c r="AH59" i="52"/>
  <c r="AH60" i="52"/>
  <c r="AH57" i="52"/>
  <c r="AF58" i="11"/>
  <c r="AC135" i="52" s="1"/>
  <c r="AF50" i="11"/>
  <c r="AC120" i="52" s="1"/>
  <c r="AF59" i="11"/>
  <c r="AC123" i="52" s="1"/>
  <c r="AF51" i="11"/>
  <c r="AC126" i="52" s="1"/>
  <c r="AF47" i="11"/>
  <c r="AF48" i="11"/>
  <c r="AF57" i="11"/>
  <c r="AC128" i="52" s="1"/>
  <c r="AF56" i="11"/>
  <c r="AC122" i="52" s="1"/>
  <c r="AF53" i="11"/>
  <c r="AF60" i="11"/>
  <c r="AC129" i="52" s="1"/>
  <c r="AF46" i="11"/>
  <c r="AF63" i="11"/>
  <c r="AC130" i="52" s="1"/>
  <c r="AF52" i="11"/>
  <c r="AC133" i="52" s="1"/>
  <c r="AF61" i="11"/>
  <c r="AF49" i="11"/>
  <c r="AC132" i="52" s="1"/>
  <c r="AF54" i="11"/>
  <c r="AC127" i="52" s="1"/>
  <c r="AF55" i="11"/>
  <c r="AC134" i="52" s="1"/>
  <c r="AF62" i="11"/>
  <c r="AC124" i="52" s="1"/>
  <c r="H65" i="11"/>
  <c r="D18" i="58" s="1"/>
  <c r="D19" i="58" s="1"/>
  <c r="E16" i="52"/>
  <c r="E131" i="52"/>
  <c r="J29" i="52"/>
  <c r="J22" i="52"/>
  <c r="P29" i="52"/>
  <c r="P22" i="52"/>
  <c r="P27" i="52"/>
  <c r="P50" i="52"/>
  <c r="P51" i="52"/>
  <c r="P52" i="52"/>
  <c r="P49" i="52"/>
  <c r="P54" i="52"/>
  <c r="P53" i="52"/>
  <c r="P58" i="52"/>
  <c r="P56" i="52"/>
  <c r="P59" i="52"/>
  <c r="P55" i="52"/>
  <c r="P57" i="52"/>
  <c r="P60" i="52"/>
  <c r="I30" i="27"/>
  <c r="I162" i="27"/>
  <c r="I63" i="27"/>
  <c r="I195" i="27"/>
  <c r="I96" i="27"/>
  <c r="I62" i="52"/>
  <c r="I129" i="27"/>
  <c r="I228" i="27"/>
  <c r="I4" i="52"/>
  <c r="I158" i="20"/>
  <c r="X23" i="52"/>
  <c r="AA67" i="11" s="1"/>
  <c r="AA15" i="52"/>
  <c r="AA125" i="52"/>
  <c r="Z22" i="52"/>
  <c r="Z29" i="52"/>
  <c r="V127" i="20"/>
  <c r="AJ65" i="11"/>
  <c r="AF18" i="58" s="1"/>
  <c r="AF19" i="58" s="1"/>
  <c r="AG131" i="52"/>
  <c r="AG16" i="52"/>
  <c r="Z163" i="20"/>
  <c r="J53" i="52"/>
  <c r="J50" i="52"/>
  <c r="J27" i="52"/>
  <c r="J54" i="52"/>
  <c r="J51" i="52"/>
  <c r="J49" i="52"/>
  <c r="J52" i="52"/>
  <c r="J59" i="52"/>
  <c r="J56" i="52"/>
  <c r="J58" i="52"/>
  <c r="J57" i="52"/>
  <c r="J55" i="52"/>
  <c r="J60" i="52"/>
  <c r="V300" i="53"/>
  <c r="M126" i="20"/>
  <c r="J35" i="55"/>
  <c r="J124" i="20"/>
  <c r="V62" i="48"/>
  <c r="V67" i="48" s="1"/>
  <c r="V72" i="48" s="1"/>
  <c r="P166" i="32"/>
  <c r="P124" i="20"/>
  <c r="J65" i="52"/>
  <c r="P4" i="47"/>
  <c r="P5" i="36"/>
  <c r="P4" i="36"/>
  <c r="P11" i="56"/>
  <c r="P10" i="36"/>
  <c r="P48" i="55"/>
  <c r="P11" i="36"/>
  <c r="P7" i="36"/>
  <c r="P6" i="55"/>
  <c r="AC22" i="57"/>
  <c r="P7" i="53" s="1"/>
  <c r="AC21" i="57"/>
  <c r="P6" i="53" s="1"/>
  <c r="P6" i="36"/>
  <c r="P8" i="36"/>
  <c r="P5" i="48"/>
  <c r="P10" i="55"/>
  <c r="P5" i="55"/>
  <c r="P4" i="55"/>
  <c r="P8" i="55"/>
  <c r="P7" i="55"/>
  <c r="P6" i="48"/>
  <c r="P8" i="48"/>
  <c r="P7" i="48"/>
  <c r="P11" i="55"/>
  <c r="P9" i="36"/>
  <c r="P9" i="55"/>
  <c r="P4" i="48"/>
  <c r="J38" i="55"/>
  <c r="P158" i="32"/>
  <c r="L121" i="52"/>
  <c r="L14" i="52"/>
  <c r="R24" i="52"/>
  <c r="J125" i="20"/>
  <c r="M159" i="20"/>
  <c r="M86" i="20"/>
  <c r="AA131" i="52"/>
  <c r="AA16" i="52"/>
  <c r="AD65" i="11"/>
  <c r="AF131" i="52"/>
  <c r="AF16" i="52"/>
  <c r="AI65" i="11"/>
  <c r="AE18" i="58" s="1"/>
  <c r="AE19" i="58" s="1"/>
  <c r="W66" i="11"/>
  <c r="M127" i="20"/>
  <c r="Z27" i="52"/>
  <c r="Z51" i="52"/>
  <c r="Z54" i="52"/>
  <c r="Z53" i="52"/>
  <c r="Z52" i="52"/>
  <c r="Z50" i="52"/>
  <c r="Z49" i="52"/>
  <c r="Z58" i="52"/>
  <c r="Z60" i="52"/>
  <c r="Z57" i="52"/>
  <c r="Z59" i="52"/>
  <c r="Z55" i="52"/>
  <c r="Z56" i="52"/>
  <c r="H298" i="53"/>
  <c r="H296" i="53"/>
  <c r="H299" i="53"/>
  <c r="H295" i="53"/>
  <c r="H301" i="53"/>
  <c r="H292" i="53"/>
  <c r="F34" i="52"/>
  <c r="I66" i="11"/>
  <c r="H300" i="53"/>
  <c r="H297" i="53"/>
  <c r="AN105" i="52" l="1"/>
  <c r="Y115" i="52"/>
  <c r="Y113" i="52"/>
  <c r="AB71" i="11" s="1"/>
  <c r="Y110" i="52"/>
  <c r="AB98" i="11" s="1"/>
  <c r="Y103" i="52"/>
  <c r="AB87" i="11" s="1"/>
  <c r="Y112" i="52"/>
  <c r="AB70" i="11" s="1"/>
  <c r="Y109" i="52"/>
  <c r="AB97" i="11" s="1"/>
  <c r="Y116" i="52"/>
  <c r="AB74" i="11" s="1"/>
  <c r="Y117" i="52"/>
  <c r="AB75" i="11" s="1"/>
  <c r="Y108" i="52"/>
  <c r="AB96" i="11" s="1"/>
  <c r="Y114" i="52"/>
  <c r="AB72" i="11" s="1"/>
  <c r="Y107" i="52"/>
  <c r="AB95" i="11" s="1"/>
  <c r="Y101" i="52"/>
  <c r="AB81" i="11" s="1"/>
  <c r="AE108" i="52"/>
  <c r="AH96" i="11" s="1"/>
  <c r="Y106" i="52"/>
  <c r="AB94" i="11" s="1"/>
  <c r="Y102" i="52"/>
  <c r="AB86" i="11" s="1"/>
  <c r="Y111" i="52"/>
  <c r="AB99" i="11" s="1"/>
  <c r="AE106" i="52"/>
  <c r="AH94" i="11" s="1"/>
  <c r="Y100" i="52"/>
  <c r="AB80" i="11" s="1"/>
  <c r="Y105" i="52"/>
  <c r="AB89" i="11" s="1"/>
  <c r="W116" i="52"/>
  <c r="Z74" i="11" s="1"/>
  <c r="W100" i="52"/>
  <c r="Z80" i="11" s="1"/>
  <c r="W110" i="52"/>
  <c r="Z98" i="11" s="1"/>
  <c r="AJ91" i="11"/>
  <c r="AI274" i="53" s="1"/>
  <c r="W115" i="52"/>
  <c r="Z73" i="11" s="1"/>
  <c r="Q24" i="52"/>
  <c r="Q104" i="52" s="1"/>
  <c r="P37" i="55"/>
  <c r="AC111" i="52"/>
  <c r="AF99" i="11" s="1"/>
  <c r="AC114" i="52"/>
  <c r="AF72" i="11" s="1"/>
  <c r="AC100" i="52"/>
  <c r="AF80" i="11" s="1"/>
  <c r="AE117" i="52"/>
  <c r="AH75" i="11" s="1"/>
  <c r="X24" i="52"/>
  <c r="X115" i="52" s="1"/>
  <c r="AE105" i="52"/>
  <c r="AH89" i="11" s="1"/>
  <c r="AC108" i="52"/>
  <c r="AF96" i="11" s="1"/>
  <c r="AC104" i="52"/>
  <c r="AF88" i="11" s="1"/>
  <c r="P34" i="55"/>
  <c r="AJ77" i="11"/>
  <c r="AI268" i="53" s="1"/>
  <c r="AC102" i="52"/>
  <c r="AF86" i="11" s="1"/>
  <c r="P35" i="55"/>
  <c r="AQ89" i="11"/>
  <c r="Z97" i="11"/>
  <c r="AC109" i="52"/>
  <c r="AF97" i="11" s="1"/>
  <c r="P40" i="55"/>
  <c r="T98" i="52"/>
  <c r="W105" i="52"/>
  <c r="Z89" i="11" s="1"/>
  <c r="AN106" i="52"/>
  <c r="AQ94" i="11" s="1"/>
  <c r="W103" i="52"/>
  <c r="Z87" i="11" s="1"/>
  <c r="AC115" i="52"/>
  <c r="AF73" i="11" s="1"/>
  <c r="AN109" i="52"/>
  <c r="AQ97" i="11" s="1"/>
  <c r="AN114" i="52"/>
  <c r="AQ72" i="11" s="1"/>
  <c r="W113" i="52"/>
  <c r="Z71" i="11" s="1"/>
  <c r="W104" i="52"/>
  <c r="Z88" i="11" s="1"/>
  <c r="AN113" i="52"/>
  <c r="AQ71" i="11" s="1"/>
  <c r="AN108" i="52"/>
  <c r="AQ96" i="11" s="1"/>
  <c r="AN101" i="52"/>
  <c r="AQ81" i="11" s="1"/>
  <c r="W114" i="52"/>
  <c r="Z72" i="11" s="1"/>
  <c r="W101" i="52"/>
  <c r="Z81" i="11" s="1"/>
  <c r="AN110" i="52"/>
  <c r="AQ98" i="11" s="1"/>
  <c r="AN115" i="52"/>
  <c r="AQ73" i="11" s="1"/>
  <c r="AN112" i="52"/>
  <c r="AQ70" i="11" s="1"/>
  <c r="P39" i="55"/>
  <c r="AN111" i="52"/>
  <c r="AQ99" i="11" s="1"/>
  <c r="W107" i="52"/>
  <c r="Z95" i="11" s="1"/>
  <c r="AN116" i="52"/>
  <c r="AQ74" i="11" s="1"/>
  <c r="W111" i="52"/>
  <c r="Z99" i="11" s="1"/>
  <c r="AC107" i="52"/>
  <c r="AF95" i="11" s="1"/>
  <c r="AC105" i="52"/>
  <c r="AF89" i="11" s="1"/>
  <c r="AN102" i="52"/>
  <c r="AQ86" i="11" s="1"/>
  <c r="W106" i="52"/>
  <c r="Z94" i="11" s="1"/>
  <c r="X83" i="11"/>
  <c r="W271" i="53" s="1"/>
  <c r="AD101" i="11"/>
  <c r="AC277" i="53" s="1"/>
  <c r="W112" i="52"/>
  <c r="Z70" i="11" s="1"/>
  <c r="AC106" i="52"/>
  <c r="AF94" i="11" s="1"/>
  <c r="AN107" i="52"/>
  <c r="AQ95" i="11" s="1"/>
  <c r="P64" i="48"/>
  <c r="P69" i="48" s="1"/>
  <c r="P74" i="48" s="1"/>
  <c r="AC110" i="52"/>
  <c r="AF98" i="11" s="1"/>
  <c r="AC103" i="52"/>
  <c r="AF87" i="11" s="1"/>
  <c r="AN104" i="52"/>
  <c r="AQ88" i="11" s="1"/>
  <c r="W108" i="52"/>
  <c r="Z96" i="11" s="1"/>
  <c r="H177" i="28"/>
  <c r="J38" i="53" s="1"/>
  <c r="W117" i="52"/>
  <c r="Z75" i="11" s="1"/>
  <c r="AC116" i="52"/>
  <c r="AF74" i="11" s="1"/>
  <c r="AC113" i="52"/>
  <c r="AF71" i="11" s="1"/>
  <c r="AC101" i="52"/>
  <c r="AF81" i="11" s="1"/>
  <c r="AN100" i="52"/>
  <c r="AQ80" i="11" s="1"/>
  <c r="W102" i="52"/>
  <c r="Z86" i="11" s="1"/>
  <c r="H179" i="28"/>
  <c r="J24" i="53" s="1"/>
  <c r="AJ83" i="11"/>
  <c r="AI271" i="53" s="1"/>
  <c r="AN117" i="52"/>
  <c r="AQ75" i="11" s="1"/>
  <c r="AC117" i="52"/>
  <c r="AF75" i="11" s="1"/>
  <c r="AI83" i="11"/>
  <c r="AH271" i="53" s="1"/>
  <c r="H83" i="11"/>
  <c r="G271" i="53" s="1"/>
  <c r="AE110" i="52"/>
  <c r="AH98" i="11" s="1"/>
  <c r="AE112" i="52"/>
  <c r="AH70" i="11" s="1"/>
  <c r="P62" i="48"/>
  <c r="P67" i="48" s="1"/>
  <c r="P72" i="48" s="1"/>
  <c r="O83" i="11"/>
  <c r="N271" i="53" s="1"/>
  <c r="AE116" i="52"/>
  <c r="AH74" i="11" s="1"/>
  <c r="X101" i="11"/>
  <c r="W277" i="53" s="1"/>
  <c r="AE109" i="52"/>
  <c r="AH97" i="11" s="1"/>
  <c r="P32" i="47"/>
  <c r="P33" i="47" s="1"/>
  <c r="P34" i="47" s="1"/>
  <c r="AE104" i="52"/>
  <c r="AH88" i="11" s="1"/>
  <c r="O91" i="11"/>
  <c r="N274" i="53" s="1"/>
  <c r="AE100" i="52"/>
  <c r="AH80" i="11" s="1"/>
  <c r="P41" i="55"/>
  <c r="AD77" i="11"/>
  <c r="AC268" i="53" s="1"/>
  <c r="AE102" i="52"/>
  <c r="AH86" i="11" s="1"/>
  <c r="L137" i="52"/>
  <c r="L138" i="52" s="1"/>
  <c r="L139" i="52" s="1"/>
  <c r="AJ101" i="11"/>
  <c r="AI277" i="53" s="1"/>
  <c r="AE115" i="52"/>
  <c r="AH73" i="11" s="1"/>
  <c r="P65" i="48"/>
  <c r="P70" i="48" s="1"/>
  <c r="P75" i="48" s="1"/>
  <c r="P14" i="56"/>
  <c r="N92" i="52" s="1"/>
  <c r="AE113" i="52"/>
  <c r="AH71" i="11" s="1"/>
  <c r="P63" i="48"/>
  <c r="P68" i="48" s="1"/>
  <c r="P73" i="48" s="1"/>
  <c r="AE107" i="52"/>
  <c r="AH95" i="11" s="1"/>
  <c r="AE114" i="52"/>
  <c r="AH72" i="11" s="1"/>
  <c r="AE103" i="52"/>
  <c r="AH87" i="11" s="1"/>
  <c r="H98" i="52"/>
  <c r="AE111" i="52"/>
  <c r="AH99" i="11" s="1"/>
  <c r="AF70" i="11"/>
  <c r="AF65" i="11"/>
  <c r="AC16" i="52"/>
  <c r="AC131" i="52"/>
  <c r="AF7" i="55"/>
  <c r="AF6" i="48"/>
  <c r="AF11" i="36"/>
  <c r="AF11" i="56"/>
  <c r="AF5" i="55"/>
  <c r="AF4" i="36"/>
  <c r="AF48" i="55"/>
  <c r="AF7" i="36"/>
  <c r="AF4" i="55"/>
  <c r="AF5" i="36"/>
  <c r="AF8" i="48"/>
  <c r="AF9" i="55"/>
  <c r="AF5" i="48"/>
  <c r="AS21" i="57"/>
  <c r="AF6" i="53" s="1"/>
  <c r="AF6" i="55"/>
  <c r="AF10" i="36"/>
  <c r="AF4" i="48"/>
  <c r="AF7" i="48"/>
  <c r="AF10" i="55"/>
  <c r="AF6" i="36"/>
  <c r="AF8" i="55"/>
  <c r="AF8" i="36"/>
  <c r="AS22" i="57"/>
  <c r="AF7" i="53" s="1"/>
  <c r="AF4" i="47"/>
  <c r="AF11" i="55"/>
  <c r="AF9" i="36"/>
  <c r="S15" i="52"/>
  <c r="S125" i="52"/>
  <c r="V65" i="11"/>
  <c r="S16" i="52"/>
  <c r="S131" i="52"/>
  <c r="AG101" i="11"/>
  <c r="AF277" i="53" s="1"/>
  <c r="X77" i="11"/>
  <c r="AC18" i="53"/>
  <c r="AC24" i="53"/>
  <c r="AC10" i="56"/>
  <c r="AC20" i="53"/>
  <c r="AC23" i="53"/>
  <c r="AC19" i="53"/>
  <c r="AC3" i="56"/>
  <c r="AC22" i="53"/>
  <c r="AC21" i="53"/>
  <c r="AC47" i="55"/>
  <c r="AP16" i="57"/>
  <c r="AC17" i="53" s="1"/>
  <c r="AP15" i="57"/>
  <c r="AC16" i="53" s="1"/>
  <c r="AC30" i="55"/>
  <c r="AC25" i="36"/>
  <c r="AC40" i="53"/>
  <c r="AC38" i="53"/>
  <c r="AC25" i="55"/>
  <c r="AP20" i="57"/>
  <c r="AC37" i="53" s="1"/>
  <c r="AC23" i="36"/>
  <c r="AC27" i="36"/>
  <c r="AC16" i="48"/>
  <c r="AC20" i="36"/>
  <c r="AP19" i="57"/>
  <c r="AC36" i="53" s="1"/>
  <c r="AC42" i="53"/>
  <c r="AC14" i="48"/>
  <c r="AC39" i="53"/>
  <c r="AC43" i="53"/>
  <c r="AC44" i="53"/>
  <c r="AC21" i="55"/>
  <c r="AC24" i="55"/>
  <c r="AC22" i="36"/>
  <c r="AC21" i="36"/>
  <c r="AC23" i="55"/>
  <c r="AC24" i="36"/>
  <c r="AC15" i="48"/>
  <c r="AC41" i="53"/>
  <c r="AC17" i="48"/>
  <c r="AC18" i="48"/>
  <c r="AC27" i="55"/>
  <c r="AC6" i="47"/>
  <c r="AC26" i="36"/>
  <c r="AC26" i="55"/>
  <c r="AC22" i="55"/>
  <c r="AC20" i="55"/>
  <c r="N9" i="55"/>
  <c r="N9" i="36"/>
  <c r="N8" i="55"/>
  <c r="N7" i="36"/>
  <c r="N6" i="36"/>
  <c r="N4" i="47"/>
  <c r="N11" i="36"/>
  <c r="N8" i="48"/>
  <c r="N4" i="36"/>
  <c r="N7" i="48"/>
  <c r="N8" i="36"/>
  <c r="N6" i="48"/>
  <c r="N10" i="36"/>
  <c r="AA22" i="57"/>
  <c r="N7" i="53" s="1"/>
  <c r="N7" i="55"/>
  <c r="N11" i="56"/>
  <c r="N5" i="48"/>
  <c r="N4" i="48"/>
  <c r="N6" i="55"/>
  <c r="N5" i="55"/>
  <c r="N10" i="55"/>
  <c r="N11" i="55"/>
  <c r="AA21" i="57"/>
  <c r="N6" i="53" s="1"/>
  <c r="N48" i="55"/>
  <c r="N5" i="36"/>
  <c r="N4" i="55"/>
  <c r="AE15" i="52"/>
  <c r="AE125" i="52"/>
  <c r="H174" i="28"/>
  <c r="V293" i="53"/>
  <c r="R13" i="52"/>
  <c r="R119" i="52"/>
  <c r="R12" i="52"/>
  <c r="M65" i="52"/>
  <c r="AE24" i="58"/>
  <c r="AE26" i="58"/>
  <c r="AE27" i="58"/>
  <c r="AE30" i="58"/>
  <c r="AE29" i="58"/>
  <c r="AE28" i="58"/>
  <c r="AE32" i="58"/>
  <c r="AE25" i="58"/>
  <c r="AN13" i="52"/>
  <c r="AN12" i="52"/>
  <c r="AN119" i="52"/>
  <c r="T17" i="57"/>
  <c r="G26" i="53" s="1"/>
  <c r="T18" i="57"/>
  <c r="G27" i="53" s="1"/>
  <c r="AI24" i="52"/>
  <c r="AV17" i="57"/>
  <c r="AI26" i="53" s="1"/>
  <c r="AV18" i="57"/>
  <c r="AI27" i="53" s="1"/>
  <c r="H176" i="28"/>
  <c r="AP101" i="11"/>
  <c r="AO277" i="53" s="1"/>
  <c r="G116" i="52"/>
  <c r="J74" i="11" s="1"/>
  <c r="G115" i="52"/>
  <c r="J73" i="11" s="1"/>
  <c r="G103" i="52"/>
  <c r="J87" i="11" s="1"/>
  <c r="G105" i="52"/>
  <c r="J89" i="11" s="1"/>
  <c r="G112" i="52"/>
  <c r="J70" i="11" s="1"/>
  <c r="G117" i="52"/>
  <c r="J75" i="11" s="1"/>
  <c r="G102" i="52"/>
  <c r="J86" i="11" s="1"/>
  <c r="G104" i="52"/>
  <c r="J88" i="11" s="1"/>
  <c r="G113" i="52"/>
  <c r="J71" i="11" s="1"/>
  <c r="G114" i="52"/>
  <c r="J72" i="11" s="1"/>
  <c r="G100" i="52"/>
  <c r="J80" i="11" s="1"/>
  <c r="G101" i="52"/>
  <c r="J81" i="11" s="1"/>
  <c r="G110" i="52"/>
  <c r="J98" i="11" s="1"/>
  <c r="G109" i="52"/>
  <c r="J97" i="11" s="1"/>
  <c r="G106" i="52"/>
  <c r="J94" i="11" s="1"/>
  <c r="G108" i="52"/>
  <c r="J96" i="11" s="1"/>
  <c r="G111" i="52"/>
  <c r="J99" i="11" s="1"/>
  <c r="G107" i="52"/>
  <c r="J95" i="11" s="1"/>
  <c r="R14" i="52"/>
  <c r="R121" i="52"/>
  <c r="AH9" i="55"/>
  <c r="AH6" i="36"/>
  <c r="AH5" i="36"/>
  <c r="AH10" i="55"/>
  <c r="AH4" i="47"/>
  <c r="AH8" i="36"/>
  <c r="AH8" i="55"/>
  <c r="AH6" i="48"/>
  <c r="AU21" i="57"/>
  <c r="AH6" i="53" s="1"/>
  <c r="AH7" i="36"/>
  <c r="AH10" i="36"/>
  <c r="AH4" i="55"/>
  <c r="AH9" i="36"/>
  <c r="AH4" i="48"/>
  <c r="AH11" i="55"/>
  <c r="AH8" i="48"/>
  <c r="AH6" i="55"/>
  <c r="AH5" i="48"/>
  <c r="AU22" i="57"/>
  <c r="AH7" i="53" s="1"/>
  <c r="AH11" i="56"/>
  <c r="AH7" i="55"/>
  <c r="AH48" i="55"/>
  <c r="AH5" i="55"/>
  <c r="AH7" i="48"/>
  <c r="AH11" i="36"/>
  <c r="AH4" i="36"/>
  <c r="AA58" i="11"/>
  <c r="X135" i="52" s="1"/>
  <c r="AA56" i="11"/>
  <c r="AA53" i="11"/>
  <c r="AA60" i="11"/>
  <c r="X129" i="52" s="1"/>
  <c r="AA57" i="11"/>
  <c r="X128" i="52" s="1"/>
  <c r="AA59" i="11"/>
  <c r="X123" i="52" s="1"/>
  <c r="AA61" i="11"/>
  <c r="AA55" i="11"/>
  <c r="X134" i="52" s="1"/>
  <c r="AA46" i="11"/>
  <c r="AA62" i="11"/>
  <c r="X124" i="52" s="1"/>
  <c r="AA48" i="11"/>
  <c r="AA47" i="11"/>
  <c r="AA52" i="11"/>
  <c r="X133" i="52" s="1"/>
  <c r="AA54" i="11"/>
  <c r="X127" i="52" s="1"/>
  <c r="AA51" i="11"/>
  <c r="X126" i="52" s="1"/>
  <c r="AA63" i="11"/>
  <c r="X130" i="52" s="1"/>
  <c r="AA50" i="11"/>
  <c r="X120" i="52" s="1"/>
  <c r="AA49" i="11"/>
  <c r="X132" i="52" s="1"/>
  <c r="AC15" i="52"/>
  <c r="AC125" i="52"/>
  <c r="AN135" i="52"/>
  <c r="AG91" i="11"/>
  <c r="AF274" i="53" s="1"/>
  <c r="T52" i="11"/>
  <c r="Q133" i="52" s="1"/>
  <c r="T46" i="11"/>
  <c r="T59" i="11"/>
  <c r="Q123" i="52" s="1"/>
  <c r="T60" i="11"/>
  <c r="Q129" i="52" s="1"/>
  <c r="T48" i="11"/>
  <c r="T50" i="11"/>
  <c r="T56" i="11"/>
  <c r="Q122" i="52" s="1"/>
  <c r="T49" i="11"/>
  <c r="Q132" i="52" s="1"/>
  <c r="T51" i="11"/>
  <c r="Q126" i="52" s="1"/>
  <c r="T62" i="11"/>
  <c r="Q124" i="52" s="1"/>
  <c r="T58" i="11"/>
  <c r="Q135" i="52" s="1"/>
  <c r="T47" i="11"/>
  <c r="T63" i="11"/>
  <c r="Q130" i="52" s="1"/>
  <c r="T61" i="11"/>
  <c r="T54" i="11"/>
  <c r="Q127" i="52" s="1"/>
  <c r="T53" i="11"/>
  <c r="T55" i="11"/>
  <c r="Q134" i="52" s="1"/>
  <c r="T57" i="11"/>
  <c r="Q128" i="52" s="1"/>
  <c r="AL48" i="11"/>
  <c r="AL63" i="11"/>
  <c r="AI130" i="52" s="1"/>
  <c r="AL54" i="11"/>
  <c r="AI127" i="52" s="1"/>
  <c r="AL47" i="11"/>
  <c r="AL50" i="11"/>
  <c r="AI120" i="52" s="1"/>
  <c r="AL61" i="11"/>
  <c r="AL62" i="11"/>
  <c r="AI124" i="52" s="1"/>
  <c r="AL58" i="11"/>
  <c r="AI135" i="52" s="1"/>
  <c r="AL53" i="11"/>
  <c r="AL55" i="11"/>
  <c r="AI134" i="52" s="1"/>
  <c r="AL56" i="11"/>
  <c r="AI122" i="52" s="1"/>
  <c r="AL51" i="11"/>
  <c r="AI126" i="52" s="1"/>
  <c r="AL60" i="11"/>
  <c r="AI129" i="52" s="1"/>
  <c r="AL59" i="11"/>
  <c r="AI123" i="52" s="1"/>
  <c r="AL46" i="11"/>
  <c r="AL52" i="11"/>
  <c r="AI133" i="52" s="1"/>
  <c r="AL49" i="11"/>
  <c r="AI132" i="52" s="1"/>
  <c r="AL57" i="11"/>
  <c r="AI128" i="52" s="1"/>
  <c r="AD91" i="11"/>
  <c r="AC274" i="53" s="1"/>
  <c r="AC12" i="52"/>
  <c r="AC119" i="52"/>
  <c r="AC13" i="52"/>
  <c r="J126" i="36"/>
  <c r="J135" i="36"/>
  <c r="J52" i="55"/>
  <c r="J137" i="36"/>
  <c r="J127" i="36"/>
  <c r="J138" i="36"/>
  <c r="J125" i="36"/>
  <c r="J124" i="36"/>
  <c r="J129" i="36"/>
  <c r="H88" i="52"/>
  <c r="J128" i="36"/>
  <c r="J139" i="36"/>
  <c r="J133" i="36"/>
  <c r="J134" i="36"/>
  <c r="J131" i="36"/>
  <c r="J132" i="36"/>
  <c r="J136" i="36"/>
  <c r="J130" i="36"/>
  <c r="W125" i="52"/>
  <c r="W15" i="52"/>
  <c r="AH25" i="55"/>
  <c r="AH26" i="55"/>
  <c r="AH17" i="48"/>
  <c r="AH20" i="36"/>
  <c r="AH27" i="36"/>
  <c r="AH14" i="48"/>
  <c r="AU20" i="57"/>
  <c r="AH37" i="53" s="1"/>
  <c r="AH24" i="36"/>
  <c r="AH22" i="55"/>
  <c r="AH15" i="48"/>
  <c r="AH20" i="55"/>
  <c r="AH23" i="55"/>
  <c r="AH25" i="36"/>
  <c r="AH6" i="47"/>
  <c r="AH26" i="36"/>
  <c r="AH27" i="55"/>
  <c r="AH22" i="36"/>
  <c r="AH21" i="55"/>
  <c r="AH16" i="48"/>
  <c r="AH24" i="55"/>
  <c r="AH21" i="36"/>
  <c r="AH23" i="36"/>
  <c r="AH18" i="48"/>
  <c r="AU19" i="57"/>
  <c r="AH36" i="53" s="1"/>
  <c r="AL23" i="52"/>
  <c r="AO67" i="11" s="1"/>
  <c r="AO18" i="53"/>
  <c r="AO10" i="56"/>
  <c r="AO22" i="53"/>
  <c r="AO21" i="53"/>
  <c r="AO23" i="53"/>
  <c r="AO47" i="55"/>
  <c r="AO20" i="53"/>
  <c r="AO24" i="53"/>
  <c r="BB16" i="57"/>
  <c r="AO17" i="53" s="1"/>
  <c r="AO15" i="53"/>
  <c r="BB15" i="57"/>
  <c r="AO16" i="53" s="1"/>
  <c r="AO30" i="55"/>
  <c r="AO3" i="56"/>
  <c r="AO19" i="53"/>
  <c r="AI77" i="11"/>
  <c r="Z18" i="58"/>
  <c r="Z19" i="58" s="1"/>
  <c r="H96" i="52"/>
  <c r="H97" i="52" s="1"/>
  <c r="M64" i="52"/>
  <c r="AB88" i="11"/>
  <c r="AO5" i="47"/>
  <c r="AO15" i="36"/>
  <c r="AO19" i="55"/>
  <c r="AO14" i="55"/>
  <c r="AO16" i="55"/>
  <c r="AO14" i="36"/>
  <c r="AO16" i="36"/>
  <c r="AO9" i="48"/>
  <c r="AO13" i="48"/>
  <c r="AO13" i="55"/>
  <c r="AO12" i="48"/>
  <c r="AO12" i="55"/>
  <c r="AO15" i="55"/>
  <c r="AO11" i="48"/>
  <c r="AO12" i="36"/>
  <c r="AO13" i="36"/>
  <c r="AO17" i="36"/>
  <c r="AO18" i="55"/>
  <c r="AO10" i="48"/>
  <c r="AO18" i="36"/>
  <c r="AO17" i="55"/>
  <c r="AO19" i="36"/>
  <c r="H181" i="28"/>
  <c r="V65" i="52"/>
  <c r="AM137" i="52"/>
  <c r="AM138" i="52" s="1"/>
  <c r="AM139" i="52" s="1"/>
  <c r="E137" i="52"/>
  <c r="E138" i="52" s="1"/>
  <c r="E139" i="52" s="1"/>
  <c r="AP77" i="11"/>
  <c r="V138" i="36"/>
  <c r="V52" i="55"/>
  <c r="V125" i="36"/>
  <c r="V127" i="36"/>
  <c r="V128" i="36"/>
  <c r="V136" i="36"/>
  <c r="V129" i="36"/>
  <c r="V137" i="36"/>
  <c r="V133" i="36"/>
  <c r="T88" i="52"/>
  <c r="V130" i="36"/>
  <c r="V135" i="36"/>
  <c r="V134" i="36"/>
  <c r="V131" i="36"/>
  <c r="V139" i="36"/>
  <c r="V124" i="36"/>
  <c r="V132" i="36"/>
  <c r="V126" i="36"/>
  <c r="AN14" i="52"/>
  <c r="AN121" i="52"/>
  <c r="V63" i="52"/>
  <c r="AG77" i="11"/>
  <c r="H92" i="52"/>
  <c r="J15" i="56"/>
  <c r="H95" i="52" s="1"/>
  <c r="Y121" i="52"/>
  <c r="Y14" i="52"/>
  <c r="AB73" i="11"/>
  <c r="P51" i="55"/>
  <c r="U137" i="52"/>
  <c r="U138" i="52" s="1"/>
  <c r="U139" i="52" s="1"/>
  <c r="G10" i="48"/>
  <c r="G18" i="36"/>
  <c r="G18" i="55"/>
  <c r="G13" i="36"/>
  <c r="G15" i="36"/>
  <c r="G19" i="55"/>
  <c r="G12" i="55"/>
  <c r="G13" i="55"/>
  <c r="G12" i="36"/>
  <c r="G19" i="36"/>
  <c r="G5" i="47"/>
  <c r="G12" i="48"/>
  <c r="G17" i="55"/>
  <c r="G11" i="48"/>
  <c r="G17" i="36"/>
  <c r="G9" i="48"/>
  <c r="G14" i="55"/>
  <c r="G16" i="55"/>
  <c r="G15" i="55"/>
  <c r="G16" i="36"/>
  <c r="G13" i="48"/>
  <c r="G14" i="36"/>
  <c r="H91" i="11"/>
  <c r="G274" i="53" s="1"/>
  <c r="H173" i="28"/>
  <c r="R124" i="52"/>
  <c r="P36" i="55"/>
  <c r="M96" i="27"/>
  <c r="M228" i="27"/>
  <c r="M195" i="27"/>
  <c r="M62" i="52"/>
  <c r="M162" i="27"/>
  <c r="M129" i="27"/>
  <c r="M30" i="27"/>
  <c r="M63" i="27"/>
  <c r="M4" i="52"/>
  <c r="M87" i="20"/>
  <c r="D23" i="52"/>
  <c r="G67" i="11" s="1"/>
  <c r="AH5" i="47"/>
  <c r="AH10" i="48"/>
  <c r="AH17" i="55"/>
  <c r="AH13" i="48"/>
  <c r="AH15" i="55"/>
  <c r="AH18" i="36"/>
  <c r="AH19" i="55"/>
  <c r="AH13" i="55"/>
  <c r="AH12" i="55"/>
  <c r="AH18" i="55"/>
  <c r="AH9" i="48"/>
  <c r="AH14" i="36"/>
  <c r="AH15" i="36"/>
  <c r="AH11" i="48"/>
  <c r="AH12" i="48"/>
  <c r="AH16" i="36"/>
  <c r="AH19" i="36"/>
  <c r="AH16" i="55"/>
  <c r="AH14" i="55"/>
  <c r="AH12" i="36"/>
  <c r="AH17" i="36"/>
  <c r="AH13" i="36"/>
  <c r="AJ15" i="57"/>
  <c r="W16" i="53" s="1"/>
  <c r="W47" i="55"/>
  <c r="AJ16" i="57"/>
  <c r="W17" i="53" s="1"/>
  <c r="W30" i="55"/>
  <c r="W3" i="56"/>
  <c r="W10" i="56"/>
  <c r="G30" i="55"/>
  <c r="G10" i="56"/>
  <c r="T15" i="57"/>
  <c r="G16" i="53" s="1"/>
  <c r="T16" i="57"/>
  <c r="G17" i="53" s="1"/>
  <c r="G3" i="56"/>
  <c r="G47" i="55"/>
  <c r="O77" i="11"/>
  <c r="AP83" i="11"/>
  <c r="AO271" i="53" s="1"/>
  <c r="U65" i="11"/>
  <c r="R131" i="52"/>
  <c r="R16" i="52"/>
  <c r="J23" i="52"/>
  <c r="M67" i="11" s="1"/>
  <c r="W13" i="52"/>
  <c r="W119" i="52"/>
  <c r="W12" i="52"/>
  <c r="AD137" i="52"/>
  <c r="AD138" i="52" s="1"/>
  <c r="AD139" i="52" s="1"/>
  <c r="AH10" i="56"/>
  <c r="AH3" i="56"/>
  <c r="AU16" i="57"/>
  <c r="AH17" i="53" s="1"/>
  <c r="AH47" i="55"/>
  <c r="AH30" i="55"/>
  <c r="AU15" i="57"/>
  <c r="AH16" i="53" s="1"/>
  <c r="W11" i="48"/>
  <c r="W17" i="36"/>
  <c r="W18" i="36"/>
  <c r="W10" i="48"/>
  <c r="W13" i="48"/>
  <c r="W19" i="55"/>
  <c r="W18" i="55"/>
  <c r="W15" i="55"/>
  <c r="W14" i="36"/>
  <c r="W13" i="55"/>
  <c r="W16" i="55"/>
  <c r="W16" i="36"/>
  <c r="W14" i="55"/>
  <c r="W13" i="36"/>
  <c r="W19" i="36"/>
  <c r="W17" i="55"/>
  <c r="W12" i="36"/>
  <c r="W5" i="47"/>
  <c r="W9" i="48"/>
  <c r="W12" i="55"/>
  <c r="W15" i="36"/>
  <c r="W12" i="48"/>
  <c r="T18" i="58"/>
  <c r="T19" i="58" s="1"/>
  <c r="AC7" i="48"/>
  <c r="AC4" i="48"/>
  <c r="AC11" i="56"/>
  <c r="AC4" i="36"/>
  <c r="AC9" i="36"/>
  <c r="AC10" i="55"/>
  <c r="AC6" i="55"/>
  <c r="AC14" i="53"/>
  <c r="AC4" i="47"/>
  <c r="AC5" i="36"/>
  <c r="AC11" i="53"/>
  <c r="AC48" i="55"/>
  <c r="AC9" i="53"/>
  <c r="AC11" i="36"/>
  <c r="AC4" i="55"/>
  <c r="AP22" i="57"/>
  <c r="AC7" i="53" s="1"/>
  <c r="AC5" i="55"/>
  <c r="AC8" i="36"/>
  <c r="AC13" i="53"/>
  <c r="AC8" i="55"/>
  <c r="AP21" i="57"/>
  <c r="AC6" i="53" s="1"/>
  <c r="AC6" i="36"/>
  <c r="AC11" i="55"/>
  <c r="AC8" i="48"/>
  <c r="AC7" i="55"/>
  <c r="AC5" i="48"/>
  <c r="AC12" i="53"/>
  <c r="AC7" i="36"/>
  <c r="AC10" i="53"/>
  <c r="AC8" i="53"/>
  <c r="AC10" i="36"/>
  <c r="AC9" i="55"/>
  <c r="AC6" i="48"/>
  <c r="AH23" i="52"/>
  <c r="AK67" i="11" s="1"/>
  <c r="P23" i="52"/>
  <c r="S67" i="11" s="1"/>
  <c r="R105" i="52"/>
  <c r="U89" i="11" s="1"/>
  <c r="R103" i="52"/>
  <c r="U87" i="11" s="1"/>
  <c r="R104" i="52"/>
  <c r="U88" i="11" s="1"/>
  <c r="R115" i="52"/>
  <c r="U73" i="11" s="1"/>
  <c r="R101" i="52"/>
  <c r="U81" i="11" s="1"/>
  <c r="R114" i="52"/>
  <c r="U72" i="11" s="1"/>
  <c r="R113" i="52"/>
  <c r="U71" i="11" s="1"/>
  <c r="R102" i="52"/>
  <c r="U86" i="11" s="1"/>
  <c r="R100" i="52"/>
  <c r="U80" i="11" s="1"/>
  <c r="R112" i="52"/>
  <c r="U70" i="11" s="1"/>
  <c r="R117" i="52"/>
  <c r="U75" i="11" s="1"/>
  <c r="R116" i="52"/>
  <c r="U74" i="11" s="1"/>
  <c r="R109" i="52"/>
  <c r="U97" i="11" s="1"/>
  <c r="R106" i="52"/>
  <c r="U94" i="11" s="1"/>
  <c r="R107" i="52"/>
  <c r="U95" i="11" s="1"/>
  <c r="R110" i="52"/>
  <c r="U98" i="11" s="1"/>
  <c r="R111" i="52"/>
  <c r="U99" i="11" s="1"/>
  <c r="R108" i="52"/>
  <c r="U96" i="11" s="1"/>
  <c r="O24" i="52"/>
  <c r="R67" i="11"/>
  <c r="AF14" i="36"/>
  <c r="AF18" i="36"/>
  <c r="AF16" i="36"/>
  <c r="AF12" i="48"/>
  <c r="AF14" i="55"/>
  <c r="AF13" i="55"/>
  <c r="AF12" i="55"/>
  <c r="AF5" i="47"/>
  <c r="AF18" i="55"/>
  <c r="AF15" i="55"/>
  <c r="AF16" i="55"/>
  <c r="AF10" i="48"/>
  <c r="AF9" i="48"/>
  <c r="AF15" i="36"/>
  <c r="AF17" i="55"/>
  <c r="AF17" i="36"/>
  <c r="AF13" i="36"/>
  <c r="AF13" i="48"/>
  <c r="AF19" i="36"/>
  <c r="AF12" i="36"/>
  <c r="AF11" i="48"/>
  <c r="AF19" i="55"/>
  <c r="AF137" i="52"/>
  <c r="AF138" i="52" s="1"/>
  <c r="AF139" i="52" s="1"/>
  <c r="H178" i="28"/>
  <c r="W8" i="48"/>
  <c r="W4" i="48"/>
  <c r="W5" i="36"/>
  <c r="W4" i="36"/>
  <c r="W6" i="36"/>
  <c r="AJ21" i="57"/>
  <c r="W6" i="53" s="1"/>
  <c r="W4" i="55"/>
  <c r="W11" i="36"/>
  <c r="W7" i="48"/>
  <c r="W6" i="48"/>
  <c r="W6" i="55"/>
  <c r="W11" i="55"/>
  <c r="W48" i="55"/>
  <c r="W8" i="36"/>
  <c r="W7" i="55"/>
  <c r="W10" i="55"/>
  <c r="W9" i="55"/>
  <c r="W8" i="55"/>
  <c r="W5" i="55"/>
  <c r="W9" i="36"/>
  <c r="W4" i="47"/>
  <c r="AJ22" i="57"/>
  <c r="W7" i="53" s="1"/>
  <c r="W10" i="36"/>
  <c r="W11" i="56"/>
  <c r="W5" i="48"/>
  <c r="W7" i="36"/>
  <c r="AH81" i="11"/>
  <c r="AS16" i="57"/>
  <c r="AF17" i="53" s="1"/>
  <c r="AF47" i="55"/>
  <c r="AF30" i="55"/>
  <c r="AF10" i="56"/>
  <c r="AF3" i="56"/>
  <c r="AS15" i="57"/>
  <c r="AF16" i="53" s="1"/>
  <c r="I22" i="52"/>
  <c r="I29" i="52"/>
  <c r="AJ23" i="52"/>
  <c r="AM67" i="11" s="1"/>
  <c r="AS18" i="57"/>
  <c r="AF27" i="53" s="1"/>
  <c r="AS17" i="57"/>
  <c r="AF26" i="53" s="1"/>
  <c r="G4" i="48"/>
  <c r="G6" i="48"/>
  <c r="G8" i="55"/>
  <c r="G5" i="55"/>
  <c r="G4" i="47"/>
  <c r="G4" i="36"/>
  <c r="G4" i="55"/>
  <c r="G11" i="36"/>
  <c r="G5" i="36"/>
  <c r="G6" i="36"/>
  <c r="G9" i="36"/>
  <c r="G11" i="55"/>
  <c r="G7" i="55"/>
  <c r="G10" i="36"/>
  <c r="G7" i="36"/>
  <c r="G9" i="55"/>
  <c r="T21" i="57"/>
  <c r="G6" i="53" s="1"/>
  <c r="G7" i="48"/>
  <c r="T22" i="57"/>
  <c r="G7" i="53" s="1"/>
  <c r="G8" i="48"/>
  <c r="G8" i="36"/>
  <c r="G10" i="55"/>
  <c r="G5" i="48"/>
  <c r="G11" i="56"/>
  <c r="G48" i="55"/>
  <c r="G6" i="55"/>
  <c r="S14" i="52"/>
  <c r="S121" i="52"/>
  <c r="I27" i="52"/>
  <c r="I49" i="52"/>
  <c r="I50" i="52"/>
  <c r="I54" i="52"/>
  <c r="I51" i="52"/>
  <c r="I53" i="52"/>
  <c r="I52" i="52"/>
  <c r="I59" i="52"/>
  <c r="I56" i="52"/>
  <c r="I60" i="52"/>
  <c r="I55" i="52"/>
  <c r="I58" i="52"/>
  <c r="I57" i="52"/>
  <c r="I65" i="52"/>
  <c r="I64" i="52"/>
  <c r="I63" i="52"/>
  <c r="AE14" i="52"/>
  <c r="AE121" i="52"/>
  <c r="G14" i="52"/>
  <c r="G121" i="52"/>
  <c r="AA17" i="57"/>
  <c r="N26" i="53" s="1"/>
  <c r="AA18" i="57"/>
  <c r="N27" i="53" s="1"/>
  <c r="D26" i="58"/>
  <c r="D25" i="58"/>
  <c r="D29" i="58"/>
  <c r="D27" i="58"/>
  <c r="D30" i="58"/>
  <c r="D28" i="58"/>
  <c r="D32" i="58"/>
  <c r="D24" i="58"/>
  <c r="G25" i="36"/>
  <c r="G20" i="36"/>
  <c r="G22" i="36"/>
  <c r="G23" i="55"/>
  <c r="G26" i="55"/>
  <c r="G24" i="55"/>
  <c r="G14" i="48"/>
  <c r="G21" i="36"/>
  <c r="G25" i="55"/>
  <c r="G26" i="36"/>
  <c r="G20" i="55"/>
  <c r="T19" i="57"/>
  <c r="G36" i="53" s="1"/>
  <c r="G16" i="48"/>
  <c r="G17" i="48"/>
  <c r="G15" i="48"/>
  <c r="G18" i="48"/>
  <c r="G23" i="36"/>
  <c r="G22" i="55"/>
  <c r="G27" i="55"/>
  <c r="G24" i="36"/>
  <c r="T20" i="57"/>
  <c r="G37" i="53" s="1"/>
  <c r="G6" i="47"/>
  <c r="G27" i="36"/>
  <c r="G21" i="55"/>
  <c r="AF23" i="55"/>
  <c r="AF27" i="55"/>
  <c r="AF22" i="36"/>
  <c r="AF21" i="55"/>
  <c r="AF20" i="55"/>
  <c r="AF22" i="55"/>
  <c r="AF17" i="48"/>
  <c r="AF15" i="48"/>
  <c r="AF20" i="36"/>
  <c r="AF24" i="36"/>
  <c r="AS19" i="57"/>
  <c r="AF36" i="53" s="1"/>
  <c r="AF24" i="55"/>
  <c r="AF21" i="36"/>
  <c r="AF26" i="36"/>
  <c r="AS20" i="57"/>
  <c r="AF37" i="53" s="1"/>
  <c r="AF16" i="48"/>
  <c r="AF23" i="36"/>
  <c r="AF6" i="47"/>
  <c r="AF18" i="48"/>
  <c r="AF27" i="36"/>
  <c r="AF25" i="36"/>
  <c r="AF26" i="55"/>
  <c r="AF25" i="55"/>
  <c r="AF14" i="48"/>
  <c r="H99" i="52"/>
  <c r="AI27" i="36"/>
  <c r="AI24" i="55"/>
  <c r="AI22" i="36"/>
  <c r="AI23" i="55"/>
  <c r="AI15" i="48"/>
  <c r="AI18" i="48"/>
  <c r="AI25" i="55"/>
  <c r="AI20" i="55"/>
  <c r="AI26" i="55"/>
  <c r="AI20" i="36"/>
  <c r="AI14" i="48"/>
  <c r="AI27" i="55"/>
  <c r="AI6" i="47"/>
  <c r="AI24" i="36"/>
  <c r="AI21" i="36"/>
  <c r="AI25" i="36"/>
  <c r="AI17" i="48"/>
  <c r="AV20" i="57"/>
  <c r="AI37" i="53" s="1"/>
  <c r="AI21" i="55"/>
  <c r="AI16" i="48"/>
  <c r="AV19" i="57"/>
  <c r="AI36" i="53" s="1"/>
  <c r="AI23" i="36"/>
  <c r="AI22" i="55"/>
  <c r="AI26" i="36"/>
  <c r="AP91" i="11"/>
  <c r="AO274" i="53" s="1"/>
  <c r="G15" i="52"/>
  <c r="G125" i="52"/>
  <c r="AN131" i="52"/>
  <c r="AN16" i="52"/>
  <c r="AQ65" i="11"/>
  <c r="AN15" i="52"/>
  <c r="AN125" i="52"/>
  <c r="H180" i="28"/>
  <c r="AK24" i="52"/>
  <c r="AI91" i="11"/>
  <c r="AH274" i="53" s="1"/>
  <c r="N26" i="36"/>
  <c r="N26" i="55"/>
  <c r="N24" i="36"/>
  <c r="N25" i="55"/>
  <c r="N24" i="55"/>
  <c r="N20" i="55"/>
  <c r="N27" i="55"/>
  <c r="N23" i="55"/>
  <c r="N21" i="55"/>
  <c r="N22" i="55"/>
  <c r="N6" i="47"/>
  <c r="N25" i="36"/>
  <c r="N15" i="48"/>
  <c r="AA20" i="57"/>
  <c r="N37" i="53" s="1"/>
  <c r="N23" i="36"/>
  <c r="N27" i="36"/>
  <c r="N18" i="48"/>
  <c r="N21" i="36"/>
  <c r="AA19" i="57"/>
  <c r="N36" i="53" s="1"/>
  <c r="N20" i="36"/>
  <c r="N14" i="48"/>
  <c r="N16" i="48"/>
  <c r="N17" i="48"/>
  <c r="N22" i="36"/>
  <c r="P61" i="48"/>
  <c r="P66" i="48" s="1"/>
  <c r="P71" i="48" s="1"/>
  <c r="K55" i="33"/>
  <c r="E58" i="33"/>
  <c r="K58" i="33" s="1"/>
  <c r="AN60" i="11"/>
  <c r="AK129" i="52" s="1"/>
  <c r="AN62" i="11"/>
  <c r="AK124" i="52" s="1"/>
  <c r="AN50" i="11"/>
  <c r="AK120" i="52" s="1"/>
  <c r="AN48" i="11"/>
  <c r="AN56" i="11"/>
  <c r="AK122" i="52" s="1"/>
  <c r="AN61" i="11"/>
  <c r="AN57" i="11"/>
  <c r="AK128" i="52" s="1"/>
  <c r="AN58" i="11"/>
  <c r="AK135" i="52" s="1"/>
  <c r="AN47" i="11"/>
  <c r="AN49" i="11"/>
  <c r="AK132" i="52" s="1"/>
  <c r="AN55" i="11"/>
  <c r="AK134" i="52" s="1"/>
  <c r="AN46" i="11"/>
  <c r="AN54" i="11"/>
  <c r="AK127" i="52" s="1"/>
  <c r="AN59" i="11"/>
  <c r="AK123" i="52" s="1"/>
  <c r="AN63" i="11"/>
  <c r="AK130" i="52" s="1"/>
  <c r="AN51" i="11"/>
  <c r="AK126" i="52" s="1"/>
  <c r="AN53" i="11"/>
  <c r="AN52" i="11"/>
  <c r="AK133" i="52" s="1"/>
  <c r="X91" i="11"/>
  <c r="W274" i="53" s="1"/>
  <c r="E48" i="33"/>
  <c r="K45" i="33"/>
  <c r="W14" i="48"/>
  <c r="W22" i="55"/>
  <c r="W17" i="48"/>
  <c r="W20" i="55"/>
  <c r="W27" i="55"/>
  <c r="W25" i="55"/>
  <c r="W26" i="55"/>
  <c r="W26" i="36"/>
  <c r="W16" i="48"/>
  <c r="W22" i="36"/>
  <c r="W24" i="36"/>
  <c r="W24" i="55"/>
  <c r="W21" i="55"/>
  <c r="W20" i="36"/>
  <c r="W25" i="36"/>
  <c r="AJ19" i="57"/>
  <c r="W36" i="53" s="1"/>
  <c r="W6" i="47"/>
  <c r="W15" i="48"/>
  <c r="AJ20" i="57"/>
  <c r="W37" i="53" s="1"/>
  <c r="W23" i="55"/>
  <c r="W27" i="36"/>
  <c r="W21" i="36"/>
  <c r="W23" i="36"/>
  <c r="W18" i="48"/>
  <c r="Y15" i="52"/>
  <c r="Y125" i="52"/>
  <c r="T99" i="52"/>
  <c r="AJ17" i="57"/>
  <c r="W26" i="53" s="1"/>
  <c r="AJ18" i="57"/>
  <c r="W27" i="53" s="1"/>
  <c r="M23" i="58"/>
  <c r="N175" i="28" s="1"/>
  <c r="AI7" i="48"/>
  <c r="AI9" i="36"/>
  <c r="AI4" i="36"/>
  <c r="AI9" i="55"/>
  <c r="AI5" i="55"/>
  <c r="AI6" i="36"/>
  <c r="AV21" i="57"/>
  <c r="AI6" i="53" s="1"/>
  <c r="AI4" i="47"/>
  <c r="AI7" i="55"/>
  <c r="AI11" i="55"/>
  <c r="AI8" i="48"/>
  <c r="AI10" i="55"/>
  <c r="AI10" i="36"/>
  <c r="AI8" i="55"/>
  <c r="AI6" i="55"/>
  <c r="AI11" i="56"/>
  <c r="AI5" i="48"/>
  <c r="AI11" i="36"/>
  <c r="AI8" i="36"/>
  <c r="AI4" i="48"/>
  <c r="AI5" i="36"/>
  <c r="AI4" i="55"/>
  <c r="AI6" i="48"/>
  <c r="AV22" i="57"/>
  <c r="AI7" i="53" s="1"/>
  <c r="AI48" i="55"/>
  <c r="AI7" i="36"/>
  <c r="S12" i="52"/>
  <c r="S13" i="52"/>
  <c r="S119" i="52"/>
  <c r="AQ87" i="11"/>
  <c r="S103" i="52"/>
  <c r="V87" i="11" s="1"/>
  <c r="S100" i="52"/>
  <c r="V80" i="11" s="1"/>
  <c r="S101" i="52"/>
  <c r="V81" i="11" s="1"/>
  <c r="S105" i="52"/>
  <c r="V89" i="11" s="1"/>
  <c r="S104" i="52"/>
  <c r="V88" i="11" s="1"/>
  <c r="S102" i="52"/>
  <c r="V86" i="11" s="1"/>
  <c r="S109" i="52"/>
  <c r="V97" i="11" s="1"/>
  <c r="S110" i="52"/>
  <c r="V98" i="11" s="1"/>
  <c r="S113" i="52"/>
  <c r="V71" i="11" s="1"/>
  <c r="S114" i="52"/>
  <c r="V72" i="11" s="1"/>
  <c r="S106" i="52"/>
  <c r="V94" i="11" s="1"/>
  <c r="S111" i="52"/>
  <c r="V99" i="11" s="1"/>
  <c r="S112" i="52"/>
  <c r="V70" i="11" s="1"/>
  <c r="S116" i="52"/>
  <c r="V74" i="11" s="1"/>
  <c r="S108" i="52"/>
  <c r="V96" i="11" s="1"/>
  <c r="S107" i="52"/>
  <c r="V95" i="11" s="1"/>
  <c r="S117" i="52"/>
  <c r="V75" i="11" s="1"/>
  <c r="S115" i="52"/>
  <c r="V73" i="11" s="1"/>
  <c r="N12" i="36"/>
  <c r="N12" i="48"/>
  <c r="N19" i="55"/>
  <c r="N13" i="48"/>
  <c r="N10" i="48"/>
  <c r="N15" i="36"/>
  <c r="N13" i="36"/>
  <c r="N19" i="36"/>
  <c r="N16" i="36"/>
  <c r="N18" i="55"/>
  <c r="N15" i="55"/>
  <c r="N16" i="55"/>
  <c r="N13" i="55"/>
  <c r="N18" i="36"/>
  <c r="N12" i="55"/>
  <c r="N11" i="48"/>
  <c r="N17" i="36"/>
  <c r="N14" i="36"/>
  <c r="N5" i="47"/>
  <c r="N9" i="48"/>
  <c r="N17" i="55"/>
  <c r="N14" i="55"/>
  <c r="M29" i="52"/>
  <c r="M22" i="52"/>
  <c r="H77" i="11"/>
  <c r="AH65" i="11"/>
  <c r="AE16" i="52"/>
  <c r="AE131" i="52"/>
  <c r="BB18" i="57"/>
  <c r="AO27" i="53" s="1"/>
  <c r="AO28" i="53"/>
  <c r="AO31" i="53"/>
  <c r="AO30" i="53"/>
  <c r="AO34" i="53"/>
  <c r="AO32" i="53"/>
  <c r="BB17" i="57"/>
  <c r="AO26" i="53" s="1"/>
  <c r="AO29" i="53"/>
  <c r="AO25" i="53"/>
  <c r="AO33" i="53"/>
  <c r="M27" i="52"/>
  <c r="M54" i="52"/>
  <c r="M50" i="52"/>
  <c r="M53" i="52"/>
  <c r="M49" i="52"/>
  <c r="M52" i="52"/>
  <c r="M51" i="52"/>
  <c r="M57" i="52"/>
  <c r="M56" i="52"/>
  <c r="M60" i="52"/>
  <c r="M55" i="52"/>
  <c r="M58" i="52"/>
  <c r="M59" i="52"/>
  <c r="AI19" i="36"/>
  <c r="AI5" i="47"/>
  <c r="AI11" i="48"/>
  <c r="AI10" i="48"/>
  <c r="AI13" i="48"/>
  <c r="AI12" i="48"/>
  <c r="AI16" i="36"/>
  <c r="AI18" i="36"/>
  <c r="AI12" i="36"/>
  <c r="AI14" i="55"/>
  <c r="AI12" i="55"/>
  <c r="AI18" i="55"/>
  <c r="AI15" i="55"/>
  <c r="AI13" i="36"/>
  <c r="AI16" i="55"/>
  <c r="AI14" i="36"/>
  <c r="AI17" i="55"/>
  <c r="AI9" i="48"/>
  <c r="AI19" i="55"/>
  <c r="AI17" i="36"/>
  <c r="AI13" i="55"/>
  <c r="AI15" i="36"/>
  <c r="G13" i="52"/>
  <c r="G119" i="52"/>
  <c r="G12" i="52"/>
  <c r="AU18" i="57"/>
  <c r="AH27" i="53" s="1"/>
  <c r="AU17" i="57"/>
  <c r="AH26" i="53" s="1"/>
  <c r="K23" i="52"/>
  <c r="N67" i="11" s="1"/>
  <c r="AF24" i="58"/>
  <c r="AF25" i="58"/>
  <c r="AF32" i="58"/>
  <c r="AF30" i="58"/>
  <c r="AF29" i="58"/>
  <c r="AF26" i="58"/>
  <c r="AF27" i="58"/>
  <c r="AF28" i="58"/>
  <c r="V15" i="56"/>
  <c r="T95" i="52" s="1"/>
  <c r="T92" i="52"/>
  <c r="AB23" i="52"/>
  <c r="AE67" i="11" s="1"/>
  <c r="V29" i="52"/>
  <c r="V22" i="52"/>
  <c r="AI3" i="56"/>
  <c r="AI10" i="56"/>
  <c r="AI47" i="55"/>
  <c r="AV16" i="57"/>
  <c r="AI17" i="53" s="1"/>
  <c r="AV15" i="57"/>
  <c r="AI16" i="53" s="1"/>
  <c r="AI30" i="55"/>
  <c r="G16" i="52"/>
  <c r="G131" i="52"/>
  <c r="J65" i="11"/>
  <c r="W16" i="52"/>
  <c r="Z65" i="11"/>
  <c r="W131" i="52"/>
  <c r="S122" i="52"/>
  <c r="T96" i="52"/>
  <c r="T97" i="52" s="1"/>
  <c r="AD83" i="11"/>
  <c r="AC271" i="53" s="1"/>
  <c r="V27" i="52"/>
  <c r="V53" i="52"/>
  <c r="V52" i="52"/>
  <c r="V49" i="52"/>
  <c r="V51" i="52"/>
  <c r="V54" i="52"/>
  <c r="V50" i="52"/>
  <c r="V59" i="52"/>
  <c r="V60" i="52"/>
  <c r="V58" i="52"/>
  <c r="V56" i="52"/>
  <c r="V57" i="52"/>
  <c r="V55" i="52"/>
  <c r="AE119" i="52"/>
  <c r="AE12" i="52"/>
  <c r="AE13" i="52"/>
  <c r="AG137" i="52"/>
  <c r="AG138" i="52" s="1"/>
  <c r="AG139" i="52" s="1"/>
  <c r="M66" i="52"/>
  <c r="AA137" i="52"/>
  <c r="AA138" i="52" s="1"/>
  <c r="AA139" i="52" s="1"/>
  <c r="AB65" i="11"/>
  <c r="Y16" i="52"/>
  <c r="Y131" i="52"/>
  <c r="Q105" i="11"/>
  <c r="Q109" i="11" s="1"/>
  <c r="P268" i="53"/>
  <c r="H101" i="11"/>
  <c r="G277" i="53" s="1"/>
  <c r="AC17" i="55"/>
  <c r="AC11" i="48"/>
  <c r="AC14" i="55"/>
  <c r="AC18" i="55"/>
  <c r="AC19" i="55"/>
  <c r="AC13" i="48"/>
  <c r="AC10" i="48"/>
  <c r="AC15" i="55"/>
  <c r="AC13" i="36"/>
  <c r="AC15" i="36"/>
  <c r="AC5" i="47"/>
  <c r="AC9" i="48"/>
  <c r="AC13" i="55"/>
  <c r="AC12" i="48"/>
  <c r="AC19" i="36"/>
  <c r="AC16" i="36"/>
  <c r="AC12" i="36"/>
  <c r="AC14" i="36"/>
  <c r="AC17" i="36"/>
  <c r="AC12" i="55"/>
  <c r="AC16" i="55"/>
  <c r="AC18" i="36"/>
  <c r="AC34" i="53"/>
  <c r="AP17" i="57"/>
  <c r="AC26" i="53" s="1"/>
  <c r="AC32" i="53"/>
  <c r="AP18" i="57"/>
  <c r="AC27" i="53" s="1"/>
  <c r="AC31" i="53"/>
  <c r="AC28" i="53"/>
  <c r="AC29" i="53"/>
  <c r="AC30" i="53"/>
  <c r="AC33" i="53"/>
  <c r="R15" i="52"/>
  <c r="R125" i="52"/>
  <c r="AA16" i="57"/>
  <c r="N17" i="53" s="1"/>
  <c r="N3" i="56"/>
  <c r="AA15" i="57"/>
  <c r="N16" i="53" s="1"/>
  <c r="N30" i="55"/>
  <c r="N47" i="55"/>
  <c r="N10" i="56"/>
  <c r="W121" i="52"/>
  <c r="W14" i="52"/>
  <c r="Z23" i="52"/>
  <c r="AC67" i="11" s="1"/>
  <c r="O101" i="11"/>
  <c r="N277" i="53" s="1"/>
  <c r="AO12" i="53"/>
  <c r="AO48" i="55"/>
  <c r="AO9" i="55"/>
  <c r="AO8" i="48"/>
  <c r="AO8" i="55"/>
  <c r="AO8" i="36"/>
  <c r="AO10" i="36"/>
  <c r="BB22" i="57"/>
  <c r="AO7" i="53" s="1"/>
  <c r="AO10" i="55"/>
  <c r="AO6" i="48"/>
  <c r="AO11" i="53"/>
  <c r="AO9" i="36"/>
  <c r="AO7" i="48"/>
  <c r="AO4" i="48"/>
  <c r="AO5" i="53"/>
  <c r="BB21" i="57"/>
  <c r="AO6" i="53" s="1"/>
  <c r="AO5" i="36"/>
  <c r="AO8" i="53"/>
  <c r="AO6" i="36"/>
  <c r="AO5" i="55"/>
  <c r="AO4" i="47"/>
  <c r="AO7" i="55"/>
  <c r="AO7" i="36"/>
  <c r="AO11" i="56"/>
  <c r="AO13" i="53"/>
  <c r="AO9" i="53"/>
  <c r="AO4" i="36"/>
  <c r="AO10" i="53"/>
  <c r="AO4" i="55"/>
  <c r="AO11" i="36"/>
  <c r="AO6" i="55"/>
  <c r="AO11" i="55"/>
  <c r="AO5" i="48"/>
  <c r="AO14" i="53"/>
  <c r="P38" i="55"/>
  <c r="AC14" i="52"/>
  <c r="AC121" i="52"/>
  <c r="K30" i="58"/>
  <c r="K24" i="58"/>
  <c r="K32" i="58"/>
  <c r="K29" i="58"/>
  <c r="K27" i="58"/>
  <c r="K26" i="58"/>
  <c r="K25" i="58"/>
  <c r="K28" i="58"/>
  <c r="AC32" i="58"/>
  <c r="AC29" i="58"/>
  <c r="AC26" i="58"/>
  <c r="AC30" i="58"/>
  <c r="AC24" i="58"/>
  <c r="AC25" i="58"/>
  <c r="AC27" i="58"/>
  <c r="AC28" i="58"/>
  <c r="AG83" i="11"/>
  <c r="AF271" i="53" s="1"/>
  <c r="Y119" i="52"/>
  <c r="Y13" i="52"/>
  <c r="Y12" i="52"/>
  <c r="AO15" i="48"/>
  <c r="AO20" i="36"/>
  <c r="AO16" i="48"/>
  <c r="AO26" i="36"/>
  <c r="AO25" i="36"/>
  <c r="AO14" i="48"/>
  <c r="AO26" i="55"/>
  <c r="AO20" i="55"/>
  <c r="AO41" i="53"/>
  <c r="AO35" i="53"/>
  <c r="AO38" i="53"/>
  <c r="AO23" i="55"/>
  <c r="AO24" i="36"/>
  <c r="AO44" i="53"/>
  <c r="AO40" i="53"/>
  <c r="AO39" i="53"/>
  <c r="AO21" i="36"/>
  <c r="AO18" i="48"/>
  <c r="AO17" i="48"/>
  <c r="AO6" i="47"/>
  <c r="AO43" i="53"/>
  <c r="AO42" i="53"/>
  <c r="AO25" i="55"/>
  <c r="AO23" i="36"/>
  <c r="AO27" i="36"/>
  <c r="AO22" i="55"/>
  <c r="AO22" i="36"/>
  <c r="BB20" i="57"/>
  <c r="AO37" i="53" s="1"/>
  <c r="BB19" i="57"/>
  <c r="AO36" i="53" s="1"/>
  <c r="AO21" i="55"/>
  <c r="AO24" i="55"/>
  <c r="AO27" i="55"/>
  <c r="AI101" i="11"/>
  <c r="AH277" i="53" s="1"/>
  <c r="H293" i="53"/>
  <c r="N51" i="55" l="1"/>
  <c r="N125" i="36" s="1"/>
  <c r="Q117" i="52"/>
  <c r="T75" i="11" s="1"/>
  <c r="Q101" i="52"/>
  <c r="T81" i="11" s="1"/>
  <c r="Q106" i="52"/>
  <c r="T94" i="11" s="1"/>
  <c r="Q111" i="52"/>
  <c r="T99" i="11" s="1"/>
  <c r="Q109" i="52"/>
  <c r="T97" i="11" s="1"/>
  <c r="Q105" i="52"/>
  <c r="T89" i="11" s="1"/>
  <c r="Q102" i="52"/>
  <c r="T86" i="11" s="1"/>
  <c r="Q100" i="52"/>
  <c r="T80" i="11" s="1"/>
  <c r="Q103" i="52"/>
  <c r="T87" i="11" s="1"/>
  <c r="Q115" i="52"/>
  <c r="T73" i="11" s="1"/>
  <c r="Q116" i="52"/>
  <c r="T74" i="11" s="1"/>
  <c r="Q112" i="52"/>
  <c r="T70" i="11" s="1"/>
  <c r="Q110" i="52"/>
  <c r="T98" i="11" s="1"/>
  <c r="Q113" i="52"/>
  <c r="T71" i="11" s="1"/>
  <c r="Q108" i="52"/>
  <c r="T96" i="11" s="1"/>
  <c r="Q114" i="52"/>
  <c r="T72" i="11" s="1"/>
  <c r="Q107" i="52"/>
  <c r="T95" i="11" s="1"/>
  <c r="X112" i="52"/>
  <c r="AA70" i="11" s="1"/>
  <c r="AI14" i="56"/>
  <c r="AI15" i="56" s="1"/>
  <c r="AG95" i="52" s="1"/>
  <c r="AC35" i="53"/>
  <c r="X111" i="52"/>
  <c r="AA99" i="11" s="1"/>
  <c r="X113" i="52"/>
  <c r="AA71" i="11" s="1"/>
  <c r="X103" i="52"/>
  <c r="AA87" i="11" s="1"/>
  <c r="X117" i="52"/>
  <c r="AA75" i="11" s="1"/>
  <c r="AF51" i="55"/>
  <c r="AF137" i="36" s="1"/>
  <c r="X116" i="52"/>
  <c r="AA74" i="11" s="1"/>
  <c r="V83" i="11"/>
  <c r="U271" i="53" s="1"/>
  <c r="X101" i="52"/>
  <c r="AA81" i="11" s="1"/>
  <c r="X114" i="52"/>
  <c r="AA72" i="11" s="1"/>
  <c r="X109" i="52"/>
  <c r="AA97" i="11" s="1"/>
  <c r="X100" i="52"/>
  <c r="AA80" i="11" s="1"/>
  <c r="J18" i="53"/>
  <c r="X106" i="52"/>
  <c r="AA94" i="11" s="1"/>
  <c r="X102" i="52"/>
  <c r="AA86" i="11" s="1"/>
  <c r="X108" i="52"/>
  <c r="AA96" i="11" s="1"/>
  <c r="X105" i="52"/>
  <c r="AA89" i="11" s="1"/>
  <c r="P15" i="56"/>
  <c r="N95" i="52" s="1"/>
  <c r="X107" i="52"/>
  <c r="AA95" i="11" s="1"/>
  <c r="X104" i="52"/>
  <c r="AA88" i="11" s="1"/>
  <c r="X110" i="52"/>
  <c r="AA98" i="11" s="1"/>
  <c r="AJ105" i="11"/>
  <c r="AJ109" i="11" s="1"/>
  <c r="AB83" i="11"/>
  <c r="AA271" i="53" s="1"/>
  <c r="AO64" i="48"/>
  <c r="AO69" i="48" s="1"/>
  <c r="AO74" i="48" s="1"/>
  <c r="N14" i="56"/>
  <c r="N15" i="56" s="1"/>
  <c r="L95" i="52" s="1"/>
  <c r="AF83" i="11"/>
  <c r="AE271" i="53" s="1"/>
  <c r="Z24" i="52"/>
  <c r="Z105" i="52" s="1"/>
  <c r="N180" i="28"/>
  <c r="P13" i="53" s="1"/>
  <c r="AH83" i="11"/>
  <c r="AG271" i="53" s="1"/>
  <c r="J8" i="53"/>
  <c r="AC5" i="53"/>
  <c r="AC299" i="53"/>
  <c r="J44" i="53"/>
  <c r="N176" i="28"/>
  <c r="P35" i="53" s="1"/>
  <c r="G37" i="55"/>
  <c r="AB91" i="11"/>
  <c r="AA274" i="53" s="1"/>
  <c r="J34" i="53"/>
  <c r="AC37" i="55"/>
  <c r="AO40" i="55"/>
  <c r="J14" i="53"/>
  <c r="AO295" i="53"/>
  <c r="AE137" i="52"/>
  <c r="AE138" i="52" s="1"/>
  <c r="AE139" i="52" s="1"/>
  <c r="N181" i="28"/>
  <c r="P22" i="53" s="1"/>
  <c r="N99" i="52"/>
  <c r="J28" i="53"/>
  <c r="AH14" i="56"/>
  <c r="AH15" i="56" s="1"/>
  <c r="AF95" i="52" s="1"/>
  <c r="AO62" i="48"/>
  <c r="AO67" i="48" s="1"/>
  <c r="AO72" i="48" s="1"/>
  <c r="AO34" i="55"/>
  <c r="N98" i="52"/>
  <c r="AF91" i="11"/>
  <c r="AE274" i="53" s="1"/>
  <c r="J17" i="56"/>
  <c r="AO38" i="55"/>
  <c r="AH91" i="11"/>
  <c r="AG274" i="53" s="1"/>
  <c r="G40" i="55"/>
  <c r="AC25" i="53"/>
  <c r="AI51" i="55"/>
  <c r="AI126" i="36" s="1"/>
  <c r="AI34" i="55"/>
  <c r="AJ24" i="52"/>
  <c r="AJ101" i="52" s="1"/>
  <c r="W65" i="48"/>
  <c r="W70" i="48" s="1"/>
  <c r="W75" i="48" s="1"/>
  <c r="P24" i="52"/>
  <c r="P104" i="52" s="1"/>
  <c r="G65" i="48"/>
  <c r="G70" i="48" s="1"/>
  <c r="G75" i="48" s="1"/>
  <c r="AC298" i="53"/>
  <c r="J24" i="52"/>
  <c r="J101" i="52" s="1"/>
  <c r="AC15" i="53"/>
  <c r="G41" i="55"/>
  <c r="U77" i="11"/>
  <c r="T268" i="53" s="1"/>
  <c r="AH101" i="11"/>
  <c r="AG277" i="53" s="1"/>
  <c r="AO298" i="53"/>
  <c r="AQ91" i="11"/>
  <c r="AP274" i="53" s="1"/>
  <c r="G64" i="48"/>
  <c r="G69" i="48" s="1"/>
  <c r="G74" i="48" s="1"/>
  <c r="AB77" i="11"/>
  <c r="U83" i="11"/>
  <c r="T271" i="53" s="1"/>
  <c r="AC51" i="55"/>
  <c r="AC138" i="36" s="1"/>
  <c r="Z91" i="11"/>
  <c r="Y274" i="53" s="1"/>
  <c r="AO63" i="48"/>
  <c r="AO68" i="48" s="1"/>
  <c r="AO73" i="48" s="1"/>
  <c r="W64" i="48"/>
  <c r="W69" i="48" s="1"/>
  <c r="W74" i="48" s="1"/>
  <c r="AC39" i="55"/>
  <c r="AC301" i="53"/>
  <c r="J91" i="11"/>
  <c r="I274" i="53" s="1"/>
  <c r="AC300" i="53"/>
  <c r="AB101" i="11"/>
  <c r="AA277" i="53" s="1"/>
  <c r="AP66" i="11"/>
  <c r="AF14" i="56"/>
  <c r="W35" i="55"/>
  <c r="AH37" i="55"/>
  <c r="AO41" i="55"/>
  <c r="AI39" i="55"/>
  <c r="AO36" i="55"/>
  <c r="AI36" i="55"/>
  <c r="W51" i="55"/>
  <c r="W134" i="36" s="1"/>
  <c r="N178" i="28"/>
  <c r="N177" i="28"/>
  <c r="AC38" i="55"/>
  <c r="O105" i="11"/>
  <c r="O109" i="11" s="1"/>
  <c r="N268" i="53"/>
  <c r="AN18" i="57"/>
  <c r="AA27" i="53" s="1"/>
  <c r="AN17" i="57"/>
  <c r="AA26" i="53" s="1"/>
  <c r="AH35" i="55"/>
  <c r="AG17" i="57"/>
  <c r="T26" i="53" s="1"/>
  <c r="AG18" i="57"/>
  <c r="T27" i="53" s="1"/>
  <c r="T88" i="11"/>
  <c r="AE23" i="58"/>
  <c r="AF175" i="28" s="1"/>
  <c r="N34" i="55"/>
  <c r="W268" i="53"/>
  <c r="X105" i="11"/>
  <c r="X109" i="11" s="1"/>
  <c r="AF61" i="48"/>
  <c r="AF66" i="48" s="1"/>
  <c r="AF71" i="48" s="1"/>
  <c r="AI63" i="48"/>
  <c r="AI68" i="48" s="1"/>
  <c r="AI73" i="48" s="1"/>
  <c r="N179" i="28"/>
  <c r="AP11" i="36"/>
  <c r="AP8" i="36"/>
  <c r="AP11" i="53"/>
  <c r="AP9" i="53"/>
  <c r="AP8" i="55"/>
  <c r="AP11" i="55"/>
  <c r="AP5" i="55"/>
  <c r="AP5" i="36"/>
  <c r="AP11" i="56"/>
  <c r="AP13" i="53"/>
  <c r="AP5" i="53"/>
  <c r="AP14" i="53"/>
  <c r="AP9" i="36"/>
  <c r="AP6" i="36"/>
  <c r="AP4" i="36"/>
  <c r="AP48" i="55"/>
  <c r="AP8" i="48"/>
  <c r="AP10" i="55"/>
  <c r="AP4" i="55"/>
  <c r="BC21" i="57"/>
  <c r="AP6" i="53" s="1"/>
  <c r="AP6" i="48"/>
  <c r="AP4" i="47"/>
  <c r="AP7" i="55"/>
  <c r="AP5" i="48"/>
  <c r="AP6" i="55"/>
  <c r="AP10" i="53"/>
  <c r="AP10" i="36"/>
  <c r="AP4" i="48"/>
  <c r="BC22" i="57"/>
  <c r="AP7" i="53" s="1"/>
  <c r="AP8" i="53"/>
  <c r="AP12" i="53"/>
  <c r="AP7" i="36"/>
  <c r="AP7" i="48"/>
  <c r="AP9" i="55"/>
  <c r="X13" i="52"/>
  <c r="X12" i="52"/>
  <c r="X119" i="52"/>
  <c r="N39" i="55"/>
  <c r="Z77" i="11"/>
  <c r="I34" i="53"/>
  <c r="I31" i="53"/>
  <c r="I30" i="53"/>
  <c r="I33" i="53"/>
  <c r="I32" i="53"/>
  <c r="I28" i="53"/>
  <c r="I29" i="53"/>
  <c r="V18" i="57"/>
  <c r="I27" i="53" s="1"/>
  <c r="V17" i="57"/>
  <c r="I26" i="53" s="1"/>
  <c r="W61" i="48"/>
  <c r="W66" i="48" s="1"/>
  <c r="W71" i="48" s="1"/>
  <c r="V119" i="36"/>
  <c r="V116" i="36"/>
  <c r="V120" i="36"/>
  <c r="V123" i="36"/>
  <c r="T91" i="52"/>
  <c r="V117" i="36"/>
  <c r="V118" i="36"/>
  <c r="V122" i="36"/>
  <c r="V121" i="36"/>
  <c r="V57" i="55"/>
  <c r="Q12" i="52"/>
  <c r="Q13" i="52"/>
  <c r="Q119" i="52"/>
  <c r="X15" i="52"/>
  <c r="X125" i="52"/>
  <c r="T16" i="55"/>
  <c r="T12" i="55"/>
  <c r="T13" i="55"/>
  <c r="T9" i="48"/>
  <c r="T19" i="55"/>
  <c r="T12" i="48"/>
  <c r="T18" i="55"/>
  <c r="T17" i="55"/>
  <c r="T18" i="36"/>
  <c r="T19" i="36"/>
  <c r="T17" i="36"/>
  <c r="T15" i="55"/>
  <c r="T12" i="36"/>
  <c r="T13" i="48"/>
  <c r="T5" i="47"/>
  <c r="T11" i="48"/>
  <c r="T13" i="36"/>
  <c r="T10" i="48"/>
  <c r="T15" i="36"/>
  <c r="T14" i="36"/>
  <c r="T16" i="36"/>
  <c r="T14" i="55"/>
  <c r="AF36" i="55"/>
  <c r="AA16" i="36"/>
  <c r="AA12" i="48"/>
  <c r="AA13" i="36"/>
  <c r="AA19" i="55"/>
  <c r="AA10" i="48"/>
  <c r="AA13" i="48"/>
  <c r="AA16" i="55"/>
  <c r="AA19" i="36"/>
  <c r="AA17" i="36"/>
  <c r="AA11" i="48"/>
  <c r="AA18" i="36"/>
  <c r="AA9" i="48"/>
  <c r="AA5" i="47"/>
  <c r="AA12" i="55"/>
  <c r="AA15" i="55"/>
  <c r="AA17" i="55"/>
  <c r="AA14" i="55"/>
  <c r="AA18" i="55"/>
  <c r="AA12" i="36"/>
  <c r="AA15" i="36"/>
  <c r="AA14" i="36"/>
  <c r="AA13" i="55"/>
  <c r="V18" i="58"/>
  <c r="V19" i="58" s="1"/>
  <c r="V17" i="56"/>
  <c r="K48" i="33"/>
  <c r="E51" i="33"/>
  <c r="AH18" i="57"/>
  <c r="U27" i="53" s="1"/>
  <c r="AH17" i="57"/>
  <c r="U26" i="53" s="1"/>
  <c r="AM62" i="11"/>
  <c r="AJ124" i="52" s="1"/>
  <c r="AM51" i="11"/>
  <c r="AJ126" i="52" s="1"/>
  <c r="AM50" i="11"/>
  <c r="AJ120" i="52" s="1"/>
  <c r="AM49" i="11"/>
  <c r="AJ132" i="52" s="1"/>
  <c r="AM61" i="11"/>
  <c r="AM55" i="11"/>
  <c r="AJ134" i="52" s="1"/>
  <c r="AM56" i="11"/>
  <c r="AJ122" i="52" s="1"/>
  <c r="AM52" i="11"/>
  <c r="AJ133" i="52" s="1"/>
  <c r="AM57" i="11"/>
  <c r="AJ128" i="52" s="1"/>
  <c r="AM53" i="11"/>
  <c r="AM59" i="11"/>
  <c r="AJ123" i="52" s="1"/>
  <c r="AM63" i="11"/>
  <c r="AJ130" i="52" s="1"/>
  <c r="AM48" i="11"/>
  <c r="AM58" i="11"/>
  <c r="AJ135" i="52" s="1"/>
  <c r="AM47" i="11"/>
  <c r="AM60" i="11"/>
  <c r="AJ129" i="52" s="1"/>
  <c r="AM54" i="11"/>
  <c r="AJ127" i="52" s="1"/>
  <c r="AM46" i="11"/>
  <c r="W62" i="48"/>
  <c r="W67" i="48" s="1"/>
  <c r="W72" i="48" s="1"/>
  <c r="AC35" i="55"/>
  <c r="AI131" i="52"/>
  <c r="AL65" i="11"/>
  <c r="AI16" i="52"/>
  <c r="R137" i="52"/>
  <c r="R138" i="52" s="1"/>
  <c r="R139" i="52" s="1"/>
  <c r="AR17" i="57"/>
  <c r="AE26" i="53" s="1"/>
  <c r="AR18" i="57"/>
  <c r="AE27" i="53" s="1"/>
  <c r="V91" i="11"/>
  <c r="U274" i="53" s="1"/>
  <c r="Y137" i="52"/>
  <c r="Y138" i="52" s="1"/>
  <c r="Y139" i="52" s="1"/>
  <c r="AO301" i="53"/>
  <c r="X18" i="58"/>
  <c r="X19" i="58" s="1"/>
  <c r="AG10" i="56"/>
  <c r="AT16" i="57"/>
  <c r="AG17" i="53" s="1"/>
  <c r="AG30" i="55"/>
  <c r="AG47" i="55"/>
  <c r="AT15" i="57"/>
  <c r="AG16" i="53" s="1"/>
  <c r="AG3" i="56"/>
  <c r="Y8" i="55"/>
  <c r="Y7" i="48"/>
  <c r="AL22" i="57"/>
  <c r="Y7" i="53" s="1"/>
  <c r="Y9" i="55"/>
  <c r="Y8" i="36"/>
  <c r="Y7" i="36"/>
  <c r="Y6" i="36"/>
  <c r="Y7" i="55"/>
  <c r="Y10" i="55"/>
  <c r="Y8" i="48"/>
  <c r="Y5" i="36"/>
  <c r="Y4" i="55"/>
  <c r="Y5" i="55"/>
  <c r="Y11" i="36"/>
  <c r="Y4" i="47"/>
  <c r="AL21" i="57"/>
  <c r="Y6" i="53" s="1"/>
  <c r="Y11" i="56"/>
  <c r="Y6" i="55"/>
  <c r="Y4" i="36"/>
  <c r="Y5" i="48"/>
  <c r="Y48" i="55"/>
  <c r="Y10" i="36"/>
  <c r="Y11" i="55"/>
  <c r="Y9" i="36"/>
  <c r="Y6" i="48"/>
  <c r="Y4" i="48"/>
  <c r="T94" i="52"/>
  <c r="T93" i="52"/>
  <c r="AI61" i="48"/>
  <c r="AI66" i="48" s="1"/>
  <c r="AI71" i="48" s="1"/>
  <c r="AF101" i="11"/>
  <c r="AE277" i="53" s="1"/>
  <c r="J30" i="53"/>
  <c r="J20" i="53"/>
  <c r="J10" i="53"/>
  <c r="J40" i="53"/>
  <c r="D24" i="52"/>
  <c r="H93" i="52"/>
  <c r="H94" i="52"/>
  <c r="AO268" i="53"/>
  <c r="AP105" i="11"/>
  <c r="AP109" i="11" s="1"/>
  <c r="AA65" i="11"/>
  <c r="X16" i="52"/>
  <c r="X131" i="52"/>
  <c r="J101" i="11"/>
  <c r="I277" i="53" s="1"/>
  <c r="T3" i="56"/>
  <c r="T10" i="56"/>
  <c r="AG16" i="57"/>
  <c r="T17" i="53" s="1"/>
  <c r="T30" i="55"/>
  <c r="T47" i="55"/>
  <c r="AG15" i="57"/>
  <c r="T16" i="53" s="1"/>
  <c r="N41" i="55"/>
  <c r="U48" i="55"/>
  <c r="U5" i="36"/>
  <c r="U11" i="36"/>
  <c r="U4" i="55"/>
  <c r="U10" i="36"/>
  <c r="U4" i="48"/>
  <c r="U4" i="36"/>
  <c r="U8" i="55"/>
  <c r="U6" i="36"/>
  <c r="U8" i="36"/>
  <c r="U9" i="36"/>
  <c r="U11" i="55"/>
  <c r="U4" i="47"/>
  <c r="AH22" i="57"/>
  <c r="U7" i="53" s="1"/>
  <c r="U10" i="55"/>
  <c r="U8" i="48"/>
  <c r="U11" i="56"/>
  <c r="U7" i="55"/>
  <c r="U6" i="48"/>
  <c r="AH21" i="57"/>
  <c r="U6" i="53" s="1"/>
  <c r="U7" i="48"/>
  <c r="U9" i="55"/>
  <c r="U5" i="48"/>
  <c r="U5" i="55"/>
  <c r="U7" i="36"/>
  <c r="U6" i="55"/>
  <c r="AF62" i="48"/>
  <c r="AF67" i="48" s="1"/>
  <c r="AF72" i="48" s="1"/>
  <c r="AE63" i="11"/>
  <c r="AB130" i="52" s="1"/>
  <c r="AE50" i="11"/>
  <c r="AB120" i="52" s="1"/>
  <c r="AE61" i="11"/>
  <c r="AE48" i="11"/>
  <c r="AE55" i="11"/>
  <c r="AB134" i="52" s="1"/>
  <c r="AE54" i="11"/>
  <c r="AB127" i="52" s="1"/>
  <c r="AE51" i="11"/>
  <c r="AB126" i="52" s="1"/>
  <c r="AE58" i="11"/>
  <c r="AB135" i="52" s="1"/>
  <c r="AE49" i="11"/>
  <c r="AB132" i="52" s="1"/>
  <c r="AE56" i="11"/>
  <c r="AB122" i="52" s="1"/>
  <c r="AE57" i="11"/>
  <c r="AB128" i="52" s="1"/>
  <c r="AE59" i="11"/>
  <c r="AB123" i="52" s="1"/>
  <c r="AE53" i="11"/>
  <c r="AE62" i="11"/>
  <c r="AB124" i="52" s="1"/>
  <c r="AE52" i="11"/>
  <c r="AB133" i="52" s="1"/>
  <c r="AE46" i="11"/>
  <c r="AE60" i="11"/>
  <c r="AE47" i="11"/>
  <c r="AG15" i="55"/>
  <c r="AW15" i="55" s="1"/>
  <c r="AG11" i="48"/>
  <c r="AG17" i="55"/>
  <c r="AW17" i="55" s="1"/>
  <c r="AG18" i="55"/>
  <c r="AW18" i="55" s="1"/>
  <c r="AG16" i="36"/>
  <c r="AG16" i="55"/>
  <c r="AW16" i="55" s="1"/>
  <c r="AG5" i="47"/>
  <c r="AG12" i="36"/>
  <c r="AG13" i="48"/>
  <c r="AG9" i="48"/>
  <c r="AG14" i="55"/>
  <c r="AW14" i="55" s="1"/>
  <c r="AG13" i="36"/>
  <c r="AG13" i="55"/>
  <c r="AW13" i="55" s="1"/>
  <c r="AG10" i="48"/>
  <c r="AG17" i="36"/>
  <c r="AG15" i="36"/>
  <c r="AG19" i="36"/>
  <c r="AG12" i="55"/>
  <c r="AW12" i="55" s="1"/>
  <c r="AG19" i="55"/>
  <c r="AW19" i="55" s="1"/>
  <c r="AG12" i="48"/>
  <c r="AG18" i="36"/>
  <c r="AG14" i="36"/>
  <c r="I21" i="36"/>
  <c r="I23" i="36"/>
  <c r="I6" i="47"/>
  <c r="I22" i="55"/>
  <c r="I20" i="55"/>
  <c r="I23" i="55"/>
  <c r="I17" i="48"/>
  <c r="I24" i="36"/>
  <c r="I22" i="36"/>
  <c r="I20" i="36"/>
  <c r="I14" i="48"/>
  <c r="I44" i="53"/>
  <c r="V19" i="57"/>
  <c r="I36" i="53" s="1"/>
  <c r="I38" i="53"/>
  <c r="I27" i="55"/>
  <c r="I24" i="55"/>
  <c r="I39" i="53"/>
  <c r="I41" i="53"/>
  <c r="I40" i="53"/>
  <c r="I25" i="36"/>
  <c r="V20" i="57"/>
  <c r="I37" i="53" s="1"/>
  <c r="I15" i="48"/>
  <c r="I25" i="55"/>
  <c r="I26" i="36"/>
  <c r="I43" i="53"/>
  <c r="I18" i="48"/>
  <c r="I27" i="36"/>
  <c r="I21" i="55"/>
  <c r="I42" i="53"/>
  <c r="I16" i="48"/>
  <c r="I26" i="55"/>
  <c r="AT18" i="57"/>
  <c r="AG27" i="53" s="1"/>
  <c r="AT17" i="57"/>
  <c r="AG26" i="53" s="1"/>
  <c r="I23" i="52"/>
  <c r="L67" i="11" s="1"/>
  <c r="AC34" i="55"/>
  <c r="G61" i="11"/>
  <c r="G46" i="11"/>
  <c r="G58" i="11"/>
  <c r="D135" i="52" s="1"/>
  <c r="G59" i="11"/>
  <c r="D123" i="52" s="1"/>
  <c r="G56" i="11"/>
  <c r="D122" i="52" s="1"/>
  <c r="G49" i="11"/>
  <c r="D132" i="52" s="1"/>
  <c r="G51" i="11"/>
  <c r="D126" i="52" s="1"/>
  <c r="G57" i="11"/>
  <c r="D128" i="52" s="1"/>
  <c r="G47" i="11"/>
  <c r="G62" i="11"/>
  <c r="D124" i="52" s="1"/>
  <c r="G50" i="11"/>
  <c r="D120" i="52" s="1"/>
  <c r="G55" i="11"/>
  <c r="D134" i="52" s="1"/>
  <c r="G63" i="11"/>
  <c r="D130" i="52" s="1"/>
  <c r="G52" i="11"/>
  <c r="G54" i="11"/>
  <c r="D127" i="52" s="1"/>
  <c r="G48" i="11"/>
  <c r="G53" i="11"/>
  <c r="G60" i="11"/>
  <c r="D129" i="52" s="1"/>
  <c r="AG105" i="11"/>
  <c r="AG109" i="11" s="1"/>
  <c r="AF268" i="53"/>
  <c r="AO51" i="55"/>
  <c r="AH62" i="48"/>
  <c r="AH67" i="48" s="1"/>
  <c r="AH72" i="48" s="1"/>
  <c r="N40" i="55"/>
  <c r="R18" i="58"/>
  <c r="R19" i="58" s="1"/>
  <c r="AF39" i="55"/>
  <c r="G137" i="52"/>
  <c r="G138" i="52" s="1"/>
  <c r="G139" i="52" s="1"/>
  <c r="AK121" i="52"/>
  <c r="AK14" i="52"/>
  <c r="R46" i="11"/>
  <c r="R52" i="11"/>
  <c r="R61" i="11"/>
  <c r="R51" i="11"/>
  <c r="R48" i="11"/>
  <c r="R58" i="11"/>
  <c r="R60" i="11"/>
  <c r="R57" i="11"/>
  <c r="R50" i="11"/>
  <c r="R54" i="11"/>
  <c r="R63" i="11"/>
  <c r="R55" i="11"/>
  <c r="R53" i="11"/>
  <c r="R59" i="11"/>
  <c r="R56" i="11"/>
  <c r="R47" i="11"/>
  <c r="R49" i="11"/>
  <c r="R62" i="11"/>
  <c r="AH36" i="55"/>
  <c r="N35" i="55"/>
  <c r="AF65" i="48"/>
  <c r="AF70" i="48" s="1"/>
  <c r="AF75" i="48" s="1"/>
  <c r="AI62" i="48"/>
  <c r="AI67" i="48" s="1"/>
  <c r="AI72" i="48" s="1"/>
  <c r="D23" i="58"/>
  <c r="E175" i="28" s="1"/>
  <c r="W32" i="47"/>
  <c r="W33" i="47" s="1"/>
  <c r="W34" i="47" s="1"/>
  <c r="P58" i="18"/>
  <c r="O102" i="52"/>
  <c r="O104" i="52"/>
  <c r="O103" i="52"/>
  <c r="O101" i="52"/>
  <c r="O100" i="52"/>
  <c r="O105" i="52"/>
  <c r="O106" i="52"/>
  <c r="O111" i="52"/>
  <c r="O110" i="52"/>
  <c r="O109" i="52"/>
  <c r="O107" i="52"/>
  <c r="O108" i="52"/>
  <c r="O117" i="52"/>
  <c r="O115" i="52"/>
  <c r="O113" i="52"/>
  <c r="O116" i="52"/>
  <c r="O114" i="52"/>
  <c r="O112" i="52"/>
  <c r="P58" i="20"/>
  <c r="S59" i="11"/>
  <c r="P123" i="52" s="1"/>
  <c r="S56" i="11"/>
  <c r="P122" i="52" s="1"/>
  <c r="S51" i="11"/>
  <c r="P126" i="52" s="1"/>
  <c r="S58" i="11"/>
  <c r="P135" i="52" s="1"/>
  <c r="S61" i="11"/>
  <c r="S47" i="11"/>
  <c r="S46" i="11"/>
  <c r="S62" i="11"/>
  <c r="P124" i="52" s="1"/>
  <c r="S54" i="11"/>
  <c r="P127" i="52" s="1"/>
  <c r="S49" i="11"/>
  <c r="P132" i="52" s="1"/>
  <c r="S55" i="11"/>
  <c r="P134" i="52" s="1"/>
  <c r="S57" i="11"/>
  <c r="P128" i="52" s="1"/>
  <c r="S53" i="11"/>
  <c r="S52" i="11"/>
  <c r="P133" i="52" s="1"/>
  <c r="S60" i="11"/>
  <c r="P129" i="52" s="1"/>
  <c r="S48" i="11"/>
  <c r="S50" i="11"/>
  <c r="P120" i="52" s="1"/>
  <c r="S63" i="11"/>
  <c r="P130" i="52" s="1"/>
  <c r="AC296" i="53"/>
  <c r="G51" i="55"/>
  <c r="AH65" i="48"/>
  <c r="AH70" i="48" s="1"/>
  <c r="AH75" i="48" s="1"/>
  <c r="N36" i="55"/>
  <c r="I7" i="48"/>
  <c r="I10" i="55"/>
  <c r="I5" i="48"/>
  <c r="I6" i="48"/>
  <c r="I4" i="55"/>
  <c r="I8" i="53"/>
  <c r="I10" i="36"/>
  <c r="I14" i="53"/>
  <c r="I5" i="55"/>
  <c r="I4" i="36"/>
  <c r="I7" i="55"/>
  <c r="I9" i="55"/>
  <c r="I4" i="47"/>
  <c r="I4" i="48"/>
  <c r="I10" i="53"/>
  <c r="I12" i="53"/>
  <c r="I11" i="36"/>
  <c r="V22" i="57"/>
  <c r="I7" i="53" s="1"/>
  <c r="I8" i="55"/>
  <c r="I11" i="55"/>
  <c r="I13" i="53"/>
  <c r="I6" i="55"/>
  <c r="I11" i="56"/>
  <c r="I8" i="36"/>
  <c r="I6" i="36"/>
  <c r="I48" i="55"/>
  <c r="I11" i="53"/>
  <c r="I9" i="53"/>
  <c r="I8" i="48"/>
  <c r="I7" i="36"/>
  <c r="I9" i="36"/>
  <c r="I5" i="36"/>
  <c r="V21" i="57"/>
  <c r="I6" i="53" s="1"/>
  <c r="I21" i="53"/>
  <c r="I23" i="53"/>
  <c r="I47" i="55"/>
  <c r="I19" i="53"/>
  <c r="I18" i="53"/>
  <c r="I10" i="56"/>
  <c r="I20" i="53"/>
  <c r="V15" i="57"/>
  <c r="I16" i="53" s="1"/>
  <c r="I30" i="55"/>
  <c r="I24" i="53"/>
  <c r="I3" i="56"/>
  <c r="V16" i="57"/>
  <c r="I17" i="53" s="1"/>
  <c r="I22" i="53"/>
  <c r="N126" i="36"/>
  <c r="N136" i="36"/>
  <c r="N131" i="36"/>
  <c r="N129" i="36"/>
  <c r="N52" i="55"/>
  <c r="N127" i="36"/>
  <c r="N134" i="36"/>
  <c r="N135" i="36"/>
  <c r="N137" i="36"/>
  <c r="G34" i="55"/>
  <c r="AQ101" i="11"/>
  <c r="AP277" i="53" s="1"/>
  <c r="AH24" i="52"/>
  <c r="AH51" i="55"/>
  <c r="AP32" i="53"/>
  <c r="AP34" i="53"/>
  <c r="BC18" i="57"/>
  <c r="AP27" i="53" s="1"/>
  <c r="AP28" i="53"/>
  <c r="AP25" i="53"/>
  <c r="BC17" i="57"/>
  <c r="AP26" i="53" s="1"/>
  <c r="AP29" i="53"/>
  <c r="AP33" i="53"/>
  <c r="AP31" i="53"/>
  <c r="AP30" i="53"/>
  <c r="N93" i="52"/>
  <c r="N94" i="52"/>
  <c r="Q120" i="52"/>
  <c r="AH41" i="55"/>
  <c r="J83" i="11"/>
  <c r="I271" i="53" s="1"/>
  <c r="AI100" i="52"/>
  <c r="AL80" i="11" s="1"/>
  <c r="AI113" i="52"/>
  <c r="AL71" i="11" s="1"/>
  <c r="AI105" i="52"/>
  <c r="AL89" i="11" s="1"/>
  <c r="AI101" i="52"/>
  <c r="AL81" i="11" s="1"/>
  <c r="AI116" i="52"/>
  <c r="AL74" i="11" s="1"/>
  <c r="AI112" i="52"/>
  <c r="AL70" i="11" s="1"/>
  <c r="AI103" i="52"/>
  <c r="AL87" i="11" s="1"/>
  <c r="AI104" i="52"/>
  <c r="AL88" i="11" s="1"/>
  <c r="AI114" i="52"/>
  <c r="AL72" i="11" s="1"/>
  <c r="AI115" i="52"/>
  <c r="AL73" i="11" s="1"/>
  <c r="AI117" i="52"/>
  <c r="AL75" i="11" s="1"/>
  <c r="AI102" i="52"/>
  <c r="AL86" i="11" s="1"/>
  <c r="AI111" i="52"/>
  <c r="AL99" i="11" s="1"/>
  <c r="AI106" i="52"/>
  <c r="AL94" i="11" s="1"/>
  <c r="AI109" i="52"/>
  <c r="AL97" i="11" s="1"/>
  <c r="AI107" i="52"/>
  <c r="AL95" i="11" s="1"/>
  <c r="AI108" i="52"/>
  <c r="AL96" i="11" s="1"/>
  <c r="AI110" i="52"/>
  <c r="AL98" i="11" s="1"/>
  <c r="N61" i="48"/>
  <c r="N66" i="48" s="1"/>
  <c r="N71" i="48" s="1"/>
  <c r="U20" i="55"/>
  <c r="U21" i="55"/>
  <c r="U22" i="36"/>
  <c r="AH20" i="57"/>
  <c r="U37" i="53" s="1"/>
  <c r="U26" i="55"/>
  <c r="AH19" i="57"/>
  <c r="U36" i="53" s="1"/>
  <c r="U22" i="55"/>
  <c r="U24" i="36"/>
  <c r="U23" i="36"/>
  <c r="U20" i="36"/>
  <c r="U21" i="36"/>
  <c r="U25" i="55"/>
  <c r="U26" i="36"/>
  <c r="U25" i="36"/>
  <c r="U24" i="55"/>
  <c r="U15" i="48"/>
  <c r="U6" i="47"/>
  <c r="U17" i="48"/>
  <c r="U18" i="48"/>
  <c r="U16" i="48"/>
  <c r="U23" i="55"/>
  <c r="U14" i="48"/>
  <c r="U27" i="55"/>
  <c r="U27" i="36"/>
  <c r="AF34" i="55"/>
  <c r="AK47" i="11"/>
  <c r="AK46" i="11"/>
  <c r="AK56" i="11"/>
  <c r="AH122" i="52" s="1"/>
  <c r="AK52" i="11"/>
  <c r="AH133" i="52" s="1"/>
  <c r="AK61" i="11"/>
  <c r="AK49" i="11"/>
  <c r="AH132" i="52" s="1"/>
  <c r="AK59" i="11"/>
  <c r="AH123" i="52" s="1"/>
  <c r="AK48" i="11"/>
  <c r="AK54" i="11"/>
  <c r="AH127" i="52" s="1"/>
  <c r="AK51" i="11"/>
  <c r="AH126" i="52" s="1"/>
  <c r="AK62" i="11"/>
  <c r="AH124" i="52" s="1"/>
  <c r="AK50" i="11"/>
  <c r="AH120" i="52" s="1"/>
  <c r="AK63" i="11"/>
  <c r="AH130" i="52" s="1"/>
  <c r="AK60" i="11"/>
  <c r="AH129" i="52" s="1"/>
  <c r="AK57" i="11"/>
  <c r="AH128" i="52" s="1"/>
  <c r="AK55" i="11"/>
  <c r="AH134" i="52" s="1"/>
  <c r="AK58" i="11"/>
  <c r="AH135" i="52" s="1"/>
  <c r="AK53" i="11"/>
  <c r="AO14" i="56"/>
  <c r="H89" i="52"/>
  <c r="H90" i="52"/>
  <c r="AI121" i="52"/>
  <c r="AI14" i="52"/>
  <c r="Q15" i="52"/>
  <c r="Q125" i="52"/>
  <c r="AH61" i="48"/>
  <c r="AH66" i="48" s="1"/>
  <c r="AH71" i="48" s="1"/>
  <c r="V294" i="53"/>
  <c r="V284" i="53" s="1"/>
  <c r="V289" i="53" s="1"/>
  <c r="N62" i="48"/>
  <c r="N67" i="48" s="1"/>
  <c r="N72" i="48" s="1"/>
  <c r="AA6" i="48"/>
  <c r="AA9" i="55"/>
  <c r="AA9" i="36"/>
  <c r="AA8" i="48"/>
  <c r="AA7" i="48"/>
  <c r="AA8" i="36"/>
  <c r="AA5" i="36"/>
  <c r="AA4" i="47"/>
  <c r="AA5" i="48"/>
  <c r="AA10" i="36"/>
  <c r="AA11" i="55"/>
  <c r="AN21" i="57"/>
  <c r="AA6" i="53" s="1"/>
  <c r="AA6" i="36"/>
  <c r="AA6" i="55"/>
  <c r="AA11" i="56"/>
  <c r="AA4" i="36"/>
  <c r="AN22" i="57"/>
  <c r="AA7" i="53" s="1"/>
  <c r="AA11" i="36"/>
  <c r="AA10" i="55"/>
  <c r="AA4" i="55"/>
  <c r="AA7" i="36"/>
  <c r="AA4" i="48"/>
  <c r="AA7" i="55"/>
  <c r="AA48" i="55"/>
  <c r="AA8" i="55"/>
  <c r="AA5" i="55"/>
  <c r="F18" i="58"/>
  <c r="F19" i="58" s="1"/>
  <c r="AO297" i="53"/>
  <c r="AO65" i="48"/>
  <c r="AO70" i="48" s="1"/>
  <c r="AO75" i="48" s="1"/>
  <c r="S137" i="52"/>
  <c r="S138" i="52" s="1"/>
  <c r="S139" i="52" s="1"/>
  <c r="AI38" i="55"/>
  <c r="G32" i="47"/>
  <c r="G33" i="47" s="1"/>
  <c r="G34" i="47" s="1"/>
  <c r="W38" i="55"/>
  <c r="X14" i="52"/>
  <c r="X121" i="52"/>
  <c r="J29" i="53"/>
  <c r="J39" i="53"/>
  <c r="J19" i="53"/>
  <c r="J9" i="53"/>
  <c r="AC23" i="58"/>
  <c r="AD175" i="28" s="1"/>
  <c r="AO39" i="55"/>
  <c r="AH77" i="11"/>
  <c r="U3" i="56"/>
  <c r="U30" i="55"/>
  <c r="U47" i="55"/>
  <c r="AH15" i="57"/>
  <c r="U16" i="53" s="1"/>
  <c r="U10" i="56"/>
  <c r="AH16" i="57"/>
  <c r="U17" i="53" s="1"/>
  <c r="AK131" i="52"/>
  <c r="AN65" i="11"/>
  <c r="AK16" i="52"/>
  <c r="G35" i="55"/>
  <c r="W39" i="55"/>
  <c r="AC63" i="48"/>
  <c r="AC68" i="48" s="1"/>
  <c r="AC73" i="48" s="1"/>
  <c r="AC32" i="47"/>
  <c r="AC33" i="47" s="1"/>
  <c r="AC34" i="47" s="1"/>
  <c r="G14" i="56"/>
  <c r="AL24" i="52"/>
  <c r="X122" i="52"/>
  <c r="AH34" i="55"/>
  <c r="N37" i="55"/>
  <c r="AN15" i="57"/>
  <c r="AA16" i="53" s="1"/>
  <c r="AA47" i="55"/>
  <c r="AA3" i="56"/>
  <c r="AN16" i="57"/>
  <c r="AA17" i="53" s="1"/>
  <c r="AA30" i="55"/>
  <c r="AA10" i="56"/>
  <c r="U11" i="48"/>
  <c r="U10" i="48"/>
  <c r="U16" i="55"/>
  <c r="U15" i="55"/>
  <c r="U19" i="36"/>
  <c r="U17" i="55"/>
  <c r="U14" i="55"/>
  <c r="U19" i="55"/>
  <c r="U18" i="55"/>
  <c r="U12" i="55"/>
  <c r="U13" i="36"/>
  <c r="U5" i="47"/>
  <c r="U13" i="55"/>
  <c r="U18" i="36"/>
  <c r="U14" i="36"/>
  <c r="U15" i="36"/>
  <c r="U17" i="36"/>
  <c r="U13" i="48"/>
  <c r="U9" i="48"/>
  <c r="U12" i="48"/>
  <c r="U12" i="36"/>
  <c r="U16" i="36"/>
  <c r="G38" i="55"/>
  <c r="W40" i="55"/>
  <c r="AO60" i="11"/>
  <c r="AL129" i="52" s="1"/>
  <c r="AO61" i="11"/>
  <c r="AO49" i="11"/>
  <c r="AL132" i="52" s="1"/>
  <c r="AO62" i="11"/>
  <c r="AL124" i="52" s="1"/>
  <c r="AO63" i="11"/>
  <c r="AL130" i="52" s="1"/>
  <c r="AO56" i="11"/>
  <c r="AL122" i="52" s="1"/>
  <c r="AO47" i="11"/>
  <c r="AO58" i="11"/>
  <c r="AL135" i="52" s="1"/>
  <c r="AO52" i="11"/>
  <c r="AL133" i="52" s="1"/>
  <c r="AO50" i="11"/>
  <c r="AL120" i="52" s="1"/>
  <c r="AO48" i="11"/>
  <c r="AO54" i="11"/>
  <c r="AL127" i="52" s="1"/>
  <c r="AO59" i="11"/>
  <c r="AL123" i="52" s="1"/>
  <c r="AO57" i="11"/>
  <c r="AL128" i="52" s="1"/>
  <c r="AO51" i="11"/>
  <c r="AL126" i="52" s="1"/>
  <c r="AO55" i="11"/>
  <c r="AL134" i="52" s="1"/>
  <c r="AO46" i="11"/>
  <c r="AO53" i="11"/>
  <c r="T65" i="11"/>
  <c r="Q131" i="52"/>
  <c r="Q16" i="52"/>
  <c r="AF35" i="55"/>
  <c r="AG9" i="36"/>
  <c r="AG10" i="55"/>
  <c r="AG4" i="47"/>
  <c r="AG11" i="56"/>
  <c r="AG10" i="36"/>
  <c r="AG8" i="55"/>
  <c r="AG48" i="55"/>
  <c r="AG4" i="55"/>
  <c r="AG9" i="55"/>
  <c r="AG11" i="36"/>
  <c r="AG5" i="36"/>
  <c r="AG8" i="48"/>
  <c r="AG7" i="36"/>
  <c r="AT21" i="57"/>
  <c r="AG6" i="53" s="1"/>
  <c r="AG5" i="48"/>
  <c r="AG7" i="55"/>
  <c r="AG6" i="48"/>
  <c r="AG4" i="48"/>
  <c r="AG6" i="36"/>
  <c r="AG4" i="36"/>
  <c r="AG6" i="55"/>
  <c r="AG7" i="48"/>
  <c r="AG8" i="36"/>
  <c r="AG5" i="55"/>
  <c r="AT22" i="57"/>
  <c r="AG7" i="53" s="1"/>
  <c r="AG11" i="55"/>
  <c r="AI40" i="55"/>
  <c r="AO300" i="53"/>
  <c r="AO299" i="53"/>
  <c r="AD18" i="58"/>
  <c r="AD19" i="58" s="1"/>
  <c r="AI65" i="48"/>
  <c r="AI70" i="48" s="1"/>
  <c r="AI75" i="48" s="1"/>
  <c r="G36" i="55"/>
  <c r="G63" i="48"/>
  <c r="G68" i="48" s="1"/>
  <c r="G73" i="48" s="1"/>
  <c r="W37" i="55"/>
  <c r="AC36" i="55"/>
  <c r="Y14" i="55"/>
  <c r="Y10" i="48"/>
  <c r="Y12" i="48"/>
  <c r="Y16" i="36"/>
  <c r="Y17" i="36"/>
  <c r="Y16" i="55"/>
  <c r="Y18" i="36"/>
  <c r="Y19" i="55"/>
  <c r="Y5" i="47"/>
  <c r="Y13" i="48"/>
  <c r="Y13" i="36"/>
  <c r="Y18" i="55"/>
  <c r="Y12" i="55"/>
  <c r="Y19" i="36"/>
  <c r="Y11" i="48"/>
  <c r="Y13" i="55"/>
  <c r="Y12" i="36"/>
  <c r="Y9" i="48"/>
  <c r="Y14" i="36"/>
  <c r="Y17" i="55"/>
  <c r="Y15" i="55"/>
  <c r="Y15" i="36"/>
  <c r="N96" i="52"/>
  <c r="N97" i="52" s="1"/>
  <c r="AT20" i="57"/>
  <c r="AG37" i="53" s="1"/>
  <c r="AG22" i="55"/>
  <c r="AG20" i="36"/>
  <c r="AT19" i="57"/>
  <c r="AG36" i="53" s="1"/>
  <c r="AG26" i="55"/>
  <c r="AG24" i="36"/>
  <c r="AG23" i="55"/>
  <c r="AG27" i="36"/>
  <c r="AG14" i="48"/>
  <c r="AG20" i="55"/>
  <c r="AG27" i="55"/>
  <c r="AG21" i="36"/>
  <c r="AG25" i="36"/>
  <c r="AG16" i="48"/>
  <c r="AG6" i="47"/>
  <c r="AG25" i="55"/>
  <c r="AG24" i="55"/>
  <c r="AG22" i="36"/>
  <c r="AG23" i="36"/>
  <c r="AG15" i="48"/>
  <c r="AG26" i="36"/>
  <c r="AG17" i="48"/>
  <c r="AG18" i="48"/>
  <c r="AG21" i="55"/>
  <c r="H105" i="11"/>
  <c r="H109" i="11" s="1"/>
  <c r="G268" i="53"/>
  <c r="AA27" i="36"/>
  <c r="AA24" i="36"/>
  <c r="AA22" i="36"/>
  <c r="AA23" i="36"/>
  <c r="AA23" i="55"/>
  <c r="AA20" i="36"/>
  <c r="AA16" i="48"/>
  <c r="AA21" i="36"/>
  <c r="AA21" i="55"/>
  <c r="AA22" i="55"/>
  <c r="AA25" i="55"/>
  <c r="AA17" i="48"/>
  <c r="AA27" i="55"/>
  <c r="AN20" i="57"/>
  <c r="AA37" i="53" s="1"/>
  <c r="AA26" i="36"/>
  <c r="AA26" i="55"/>
  <c r="AA15" i="48"/>
  <c r="AA14" i="48"/>
  <c r="AA18" i="48"/>
  <c r="AA20" i="55"/>
  <c r="AA6" i="47"/>
  <c r="AA25" i="36"/>
  <c r="AA24" i="55"/>
  <c r="AN19" i="57"/>
  <c r="AA36" i="53" s="1"/>
  <c r="AC295" i="53"/>
  <c r="W137" i="52"/>
  <c r="W138" i="52" s="1"/>
  <c r="W139" i="52" s="1"/>
  <c r="J42" i="53"/>
  <c r="J22" i="53"/>
  <c r="J12" i="53"/>
  <c r="J32" i="53"/>
  <c r="AI119" i="52"/>
  <c r="AI12" i="52"/>
  <c r="AI13" i="52"/>
  <c r="J77" i="11"/>
  <c r="AN137" i="52"/>
  <c r="AN138" i="52" s="1"/>
  <c r="AN139" i="52" s="1"/>
  <c r="N63" i="48"/>
  <c r="N68" i="48" s="1"/>
  <c r="N73" i="48" s="1"/>
  <c r="AO61" i="48"/>
  <c r="AO66" i="48" s="1"/>
  <c r="AO71" i="48" s="1"/>
  <c r="AO296" i="53"/>
  <c r="T27" i="55"/>
  <c r="T22" i="36"/>
  <c r="T21" i="36"/>
  <c r="T14" i="48"/>
  <c r="T23" i="36"/>
  <c r="T27" i="36"/>
  <c r="T25" i="36"/>
  <c r="T16" i="48"/>
  <c r="T6" i="47"/>
  <c r="T24" i="55"/>
  <c r="T23" i="55"/>
  <c r="AG19" i="57"/>
  <c r="T36" i="53" s="1"/>
  <c r="T15" i="48"/>
  <c r="T17" i="48"/>
  <c r="AG20" i="57"/>
  <c r="T37" i="53" s="1"/>
  <c r="T22" i="55"/>
  <c r="T26" i="55"/>
  <c r="T20" i="55"/>
  <c r="T21" i="55"/>
  <c r="T20" i="36"/>
  <c r="T24" i="36"/>
  <c r="T25" i="55"/>
  <c r="T26" i="36"/>
  <c r="T18" i="48"/>
  <c r="AI41" i="55"/>
  <c r="AK12" i="52"/>
  <c r="AK119" i="52"/>
  <c r="AK13" i="52"/>
  <c r="G61" i="48"/>
  <c r="G66" i="48" s="1"/>
  <c r="G71" i="48" s="1"/>
  <c r="AC40" i="55"/>
  <c r="AF23" i="58"/>
  <c r="AG175" i="28" s="1"/>
  <c r="M23" i="52"/>
  <c r="P67" i="11" s="1"/>
  <c r="AI37" i="55"/>
  <c r="U101" i="11"/>
  <c r="T277" i="53" s="1"/>
  <c r="AC297" i="53"/>
  <c r="Y10" i="56"/>
  <c r="Y3" i="56"/>
  <c r="AL16" i="57"/>
  <c r="Y17" i="53" s="1"/>
  <c r="AL15" i="57"/>
  <c r="Y16" i="53" s="1"/>
  <c r="Y47" i="55"/>
  <c r="Y30" i="55"/>
  <c r="AH63" i="48"/>
  <c r="AH68" i="48" s="1"/>
  <c r="AH73" i="48" s="1"/>
  <c r="AP12" i="48"/>
  <c r="AP16" i="36"/>
  <c r="AP12" i="36"/>
  <c r="AP13" i="48"/>
  <c r="AP10" i="48"/>
  <c r="AP11" i="48"/>
  <c r="AP19" i="55"/>
  <c r="AP18" i="55"/>
  <c r="AP15" i="36"/>
  <c r="AP16" i="55"/>
  <c r="AP17" i="36"/>
  <c r="AP17" i="55"/>
  <c r="AP9" i="48"/>
  <c r="AP19" i="36"/>
  <c r="AP13" i="36"/>
  <c r="AP15" i="55"/>
  <c r="AP5" i="47"/>
  <c r="AP12" i="55"/>
  <c r="AP18" i="36"/>
  <c r="AP14" i="55"/>
  <c r="AP14" i="36"/>
  <c r="AP13" i="55"/>
  <c r="AF63" i="48"/>
  <c r="AF68" i="48" s="1"/>
  <c r="AF73" i="48" s="1"/>
  <c r="AO37" i="55"/>
  <c r="AQ77" i="11"/>
  <c r="K24" i="52"/>
  <c r="AI32" i="47"/>
  <c r="AI33" i="47" s="1"/>
  <c r="AI34" i="47" s="1"/>
  <c r="N173" i="28"/>
  <c r="G62" i="48"/>
  <c r="G67" i="48" s="1"/>
  <c r="G72" i="48" s="1"/>
  <c r="AF128" i="36"/>
  <c r="AF131" i="36"/>
  <c r="AF133" i="36"/>
  <c r="AF129" i="36"/>
  <c r="W41" i="55"/>
  <c r="J57" i="55"/>
  <c r="J120" i="36"/>
  <c r="J122" i="36"/>
  <c r="J116" i="36"/>
  <c r="J123" i="36"/>
  <c r="J121" i="36"/>
  <c r="J119" i="36"/>
  <c r="J117" i="36"/>
  <c r="H91" i="52"/>
  <c r="J118" i="36"/>
  <c r="AH38" i="55"/>
  <c r="AP3" i="56"/>
  <c r="AP21" i="53"/>
  <c r="AP19" i="53"/>
  <c r="AP22" i="53"/>
  <c r="AP23" i="53"/>
  <c r="AP20" i="53"/>
  <c r="AP24" i="53"/>
  <c r="AP30" i="55"/>
  <c r="BC15" i="57"/>
  <c r="AP16" i="53" s="1"/>
  <c r="BC16" i="57"/>
  <c r="AP17" i="53" s="1"/>
  <c r="AP47" i="55"/>
  <c r="AP10" i="56"/>
  <c r="AP15" i="53"/>
  <c r="AP18" i="53"/>
  <c r="N64" i="48"/>
  <c r="N69" i="48" s="1"/>
  <c r="N74" i="48" s="1"/>
  <c r="AF41" i="55"/>
  <c r="AF37" i="55"/>
  <c r="N56" i="11"/>
  <c r="K122" i="52" s="1"/>
  <c r="N51" i="11"/>
  <c r="K126" i="52" s="1"/>
  <c r="N62" i="11"/>
  <c r="K124" i="52" s="1"/>
  <c r="N63" i="11"/>
  <c r="K130" i="52" s="1"/>
  <c r="N50" i="11"/>
  <c r="K120" i="52" s="1"/>
  <c r="N59" i="11"/>
  <c r="K123" i="52" s="1"/>
  <c r="N57" i="11"/>
  <c r="K128" i="52" s="1"/>
  <c r="N46" i="11"/>
  <c r="N48" i="11"/>
  <c r="N49" i="11"/>
  <c r="K132" i="52" s="1"/>
  <c r="N53" i="11"/>
  <c r="N47" i="11"/>
  <c r="N52" i="11"/>
  <c r="K133" i="52" s="1"/>
  <c r="N55" i="11"/>
  <c r="K134" i="52" s="1"/>
  <c r="N58" i="11"/>
  <c r="K135" i="52" s="1"/>
  <c r="N60" i="11"/>
  <c r="K129" i="52" s="1"/>
  <c r="N54" i="11"/>
  <c r="K127" i="52" s="1"/>
  <c r="N61" i="11"/>
  <c r="W36" i="55"/>
  <c r="AI15" i="52"/>
  <c r="AI125" i="52"/>
  <c r="AF32" i="47"/>
  <c r="AF33" i="47" s="1"/>
  <c r="AF34" i="47" s="1"/>
  <c r="AO32" i="47"/>
  <c r="AO33" i="47" s="1"/>
  <c r="AO34" i="47" s="1"/>
  <c r="AO35" i="55"/>
  <c r="AC48" i="11"/>
  <c r="AC56" i="11"/>
  <c r="Z122" i="52" s="1"/>
  <c r="AC59" i="11"/>
  <c r="Z123" i="52" s="1"/>
  <c r="AC55" i="11"/>
  <c r="Z134" i="52" s="1"/>
  <c r="AC58" i="11"/>
  <c r="Z135" i="52" s="1"/>
  <c r="AC52" i="11"/>
  <c r="Z133" i="52" s="1"/>
  <c r="AC62" i="11"/>
  <c r="Z124" i="52" s="1"/>
  <c r="AC54" i="11"/>
  <c r="Z127" i="52" s="1"/>
  <c r="AC46" i="11"/>
  <c r="AC53" i="11"/>
  <c r="AC63" i="11"/>
  <c r="Z130" i="52" s="1"/>
  <c r="AC47" i="11"/>
  <c r="AC57" i="11"/>
  <c r="Z128" i="52" s="1"/>
  <c r="AC49" i="11"/>
  <c r="Z132" i="52" s="1"/>
  <c r="AC51" i="11"/>
  <c r="Z126" i="52" s="1"/>
  <c r="AC60" i="11"/>
  <c r="Z129" i="52" s="1"/>
  <c r="AC50" i="11"/>
  <c r="Z120" i="52" s="1"/>
  <c r="AC61" i="11"/>
  <c r="AK112" i="52"/>
  <c r="AN70" i="11" s="1"/>
  <c r="AK100" i="52"/>
  <c r="AN80" i="11" s="1"/>
  <c r="AK114" i="52"/>
  <c r="AN72" i="11" s="1"/>
  <c r="AK102" i="52"/>
  <c r="AN86" i="11" s="1"/>
  <c r="AK105" i="52"/>
  <c r="AN89" i="11" s="1"/>
  <c r="AK113" i="52"/>
  <c r="AN71" i="11" s="1"/>
  <c r="AK104" i="52"/>
  <c r="AN88" i="11" s="1"/>
  <c r="AK101" i="52"/>
  <c r="AN81" i="11" s="1"/>
  <c r="AK103" i="52"/>
  <c r="AN87" i="11" s="1"/>
  <c r="AK117" i="52"/>
  <c r="AN75" i="11" s="1"/>
  <c r="AK116" i="52"/>
  <c r="AN74" i="11" s="1"/>
  <c r="AK115" i="52"/>
  <c r="AN73" i="11" s="1"/>
  <c r="AK109" i="52"/>
  <c r="AN97" i="11" s="1"/>
  <c r="AK111" i="52"/>
  <c r="AN99" i="11" s="1"/>
  <c r="AK110" i="52"/>
  <c r="AN98" i="11" s="1"/>
  <c r="AK106" i="52"/>
  <c r="AN94" i="11" s="1"/>
  <c r="AK108" i="52"/>
  <c r="AN96" i="11" s="1"/>
  <c r="AK107" i="52"/>
  <c r="AN95" i="11" s="1"/>
  <c r="W63" i="48"/>
  <c r="W68" i="48" s="1"/>
  <c r="W73" i="48" s="1"/>
  <c r="AC62" i="48"/>
  <c r="AC67" i="48" s="1"/>
  <c r="AC72" i="48" s="1"/>
  <c r="AC61" i="48"/>
  <c r="AC66" i="48" s="1"/>
  <c r="AC71" i="48" s="1"/>
  <c r="M60" i="11"/>
  <c r="J129" i="52" s="1"/>
  <c r="M63" i="11"/>
  <c r="J130" i="52" s="1"/>
  <c r="M49" i="11"/>
  <c r="J132" i="52" s="1"/>
  <c r="M59" i="11"/>
  <c r="J123" i="52" s="1"/>
  <c r="M50" i="11"/>
  <c r="J120" i="52" s="1"/>
  <c r="M46" i="11"/>
  <c r="M48" i="11"/>
  <c r="M62" i="11"/>
  <c r="J124" i="52" s="1"/>
  <c r="M58" i="11"/>
  <c r="J135" i="52" s="1"/>
  <c r="M51" i="11"/>
  <c r="J126" i="52" s="1"/>
  <c r="M55" i="11"/>
  <c r="J134" i="52" s="1"/>
  <c r="M61" i="11"/>
  <c r="M52" i="11"/>
  <c r="J133" i="52" s="1"/>
  <c r="M53" i="11"/>
  <c r="M54" i="11"/>
  <c r="M56" i="11"/>
  <c r="J122" i="52" s="1"/>
  <c r="M47" i="11"/>
  <c r="M57" i="11"/>
  <c r="J128" i="52" s="1"/>
  <c r="T90" i="52"/>
  <c r="T89" i="52"/>
  <c r="Z25" i="58"/>
  <c r="Z24" i="58"/>
  <c r="Z23" i="58" s="1"/>
  <c r="Z30" i="58"/>
  <c r="Z26" i="58"/>
  <c r="Z27" i="58"/>
  <c r="Z29" i="58"/>
  <c r="Z28" i="58"/>
  <c r="Z32" i="58"/>
  <c r="AE23" i="36"/>
  <c r="AE25" i="36"/>
  <c r="AR20" i="57"/>
  <c r="AE37" i="53" s="1"/>
  <c r="AE24" i="36"/>
  <c r="AE15" i="48"/>
  <c r="AE17" i="48"/>
  <c r="AE18" i="48"/>
  <c r="AE16" i="48"/>
  <c r="AE23" i="55"/>
  <c r="AE6" i="47"/>
  <c r="AE26" i="55"/>
  <c r="AE20" i="36"/>
  <c r="AE21" i="36"/>
  <c r="AE21" i="55"/>
  <c r="AE20" i="55"/>
  <c r="AE27" i="55"/>
  <c r="AE22" i="55"/>
  <c r="AE27" i="36"/>
  <c r="AE24" i="55"/>
  <c r="AE14" i="48"/>
  <c r="AE26" i="36"/>
  <c r="AE22" i="36"/>
  <c r="AE25" i="55"/>
  <c r="AR19" i="57"/>
  <c r="AE36" i="53" s="1"/>
  <c r="AH32" i="47"/>
  <c r="AH33" i="47" s="1"/>
  <c r="AH34" i="47" s="1"/>
  <c r="N65" i="48"/>
  <c r="N70" i="48" s="1"/>
  <c r="N75" i="48" s="1"/>
  <c r="AE8" i="48"/>
  <c r="AR21" i="57"/>
  <c r="AE6" i="53" s="1"/>
  <c r="AE7" i="55"/>
  <c r="AE7" i="36"/>
  <c r="AR22" i="57"/>
  <c r="AE7" i="53" s="1"/>
  <c r="AE11" i="55"/>
  <c r="AE4" i="55"/>
  <c r="AE8" i="55"/>
  <c r="AE6" i="48"/>
  <c r="AE10" i="36"/>
  <c r="AE10" i="55"/>
  <c r="AE8" i="36"/>
  <c r="AE5" i="55"/>
  <c r="AE48" i="55"/>
  <c r="AE4" i="48"/>
  <c r="AE9" i="36"/>
  <c r="AE11" i="36"/>
  <c r="AE6" i="55"/>
  <c r="AE5" i="48"/>
  <c r="AE9" i="55"/>
  <c r="AE11" i="56"/>
  <c r="AE4" i="36"/>
  <c r="AE7" i="48"/>
  <c r="AE5" i="36"/>
  <c r="AE6" i="36"/>
  <c r="AE4" i="47"/>
  <c r="AR15" i="57"/>
  <c r="AE16" i="53" s="1"/>
  <c r="AE30" i="55"/>
  <c r="AE47" i="55"/>
  <c r="AR16" i="57"/>
  <c r="AE17" i="53" s="1"/>
  <c r="AE10" i="56"/>
  <c r="AE3" i="56"/>
  <c r="AH40" i="55"/>
  <c r="AB18" i="58"/>
  <c r="AB19" i="58" s="1"/>
  <c r="AL17" i="57"/>
  <c r="Y26" i="53" s="1"/>
  <c r="AL18" i="57"/>
  <c r="Y27" i="53" s="1"/>
  <c r="V77" i="11"/>
  <c r="AC65" i="48"/>
  <c r="AC70" i="48" s="1"/>
  <c r="AC75" i="48" s="1"/>
  <c r="J41" i="53"/>
  <c r="J21" i="53"/>
  <c r="J11" i="53"/>
  <c r="J31" i="53"/>
  <c r="AI105" i="11"/>
  <c r="AI109" i="11" s="1"/>
  <c r="AH268" i="53"/>
  <c r="AC137" i="52"/>
  <c r="AC138" i="52" s="1"/>
  <c r="AC139" i="52" s="1"/>
  <c r="N32" i="47"/>
  <c r="N33" i="47" s="1"/>
  <c r="N34" i="47" s="1"/>
  <c r="AF38" i="55"/>
  <c r="AF77" i="11"/>
  <c r="AK15" i="52"/>
  <c r="AK125" i="52"/>
  <c r="J13" i="53"/>
  <c r="J23" i="53"/>
  <c r="J33" i="53"/>
  <c r="J43" i="53"/>
  <c r="P138" i="36"/>
  <c r="P130" i="36"/>
  <c r="N88" i="52"/>
  <c r="P136" i="36"/>
  <c r="P127" i="36"/>
  <c r="P133" i="36"/>
  <c r="P139" i="36"/>
  <c r="P124" i="36"/>
  <c r="P129" i="36"/>
  <c r="P126" i="36"/>
  <c r="P135" i="36"/>
  <c r="P52" i="55"/>
  <c r="P134" i="36"/>
  <c r="P131" i="36"/>
  <c r="P125" i="36"/>
  <c r="P137" i="36"/>
  <c r="P132" i="36"/>
  <c r="P128" i="36"/>
  <c r="Z101" i="11"/>
  <c r="Y277" i="53" s="1"/>
  <c r="AE16" i="55"/>
  <c r="AE18" i="55"/>
  <c r="AE13" i="36"/>
  <c r="AE15" i="55"/>
  <c r="AE19" i="55"/>
  <c r="AE9" i="48"/>
  <c r="AE12" i="48"/>
  <c r="AE17" i="36"/>
  <c r="AE14" i="55"/>
  <c r="AE14" i="36"/>
  <c r="AE16" i="36"/>
  <c r="AE10" i="48"/>
  <c r="AE12" i="36"/>
  <c r="AE13" i="55"/>
  <c r="AE18" i="36"/>
  <c r="AE13" i="48"/>
  <c r="AE12" i="55"/>
  <c r="AE11" i="48"/>
  <c r="AE19" i="36"/>
  <c r="AE15" i="36"/>
  <c r="AE5" i="47"/>
  <c r="AE17" i="55"/>
  <c r="AC14" i="56"/>
  <c r="T11" i="55"/>
  <c r="T8" i="55"/>
  <c r="T48" i="55"/>
  <c r="T10" i="36"/>
  <c r="T9" i="36"/>
  <c r="T7" i="36"/>
  <c r="T5" i="36"/>
  <c r="T11" i="36"/>
  <c r="T8" i="48"/>
  <c r="T4" i="48"/>
  <c r="T5" i="48"/>
  <c r="T9" i="55"/>
  <c r="T7" i="48"/>
  <c r="AG22" i="57"/>
  <c r="T7" i="53" s="1"/>
  <c r="T7" i="55"/>
  <c r="T10" i="55"/>
  <c r="T6" i="48"/>
  <c r="AG21" i="57"/>
  <c r="T6" i="53" s="1"/>
  <c r="T4" i="47"/>
  <c r="T11" i="56"/>
  <c r="T8" i="36"/>
  <c r="T4" i="36"/>
  <c r="T4" i="55"/>
  <c r="T5" i="55"/>
  <c r="T6" i="36"/>
  <c r="T6" i="55"/>
  <c r="V23" i="52"/>
  <c r="Y67" i="11" s="1"/>
  <c r="U91" i="11"/>
  <c r="T274" i="53" s="1"/>
  <c r="AC41" i="55"/>
  <c r="Q18" i="58"/>
  <c r="Q19" i="58" s="1"/>
  <c r="K23" i="58"/>
  <c r="L175" i="28" s="1"/>
  <c r="Q14" i="52"/>
  <c r="Q121" i="52"/>
  <c r="AF40" i="55"/>
  <c r="AD105" i="11"/>
  <c r="AD109" i="11" s="1"/>
  <c r="I13" i="36"/>
  <c r="I18" i="55"/>
  <c r="I17" i="55"/>
  <c r="I13" i="55"/>
  <c r="I13" i="48"/>
  <c r="I11" i="48"/>
  <c r="I9" i="48"/>
  <c r="I17" i="36"/>
  <c r="I19" i="36"/>
  <c r="I15" i="36"/>
  <c r="I16" i="36"/>
  <c r="I16" i="55"/>
  <c r="I10" i="48"/>
  <c r="I12" i="55"/>
  <c r="I12" i="48"/>
  <c r="I5" i="47"/>
  <c r="I18" i="36"/>
  <c r="I19" i="55"/>
  <c r="I15" i="55"/>
  <c r="I14" i="36"/>
  <c r="I12" i="36"/>
  <c r="I14" i="55"/>
  <c r="AI35" i="55"/>
  <c r="AC64" i="48"/>
  <c r="AC69" i="48" s="1"/>
  <c r="AC74" i="48" s="1"/>
  <c r="W34" i="55"/>
  <c r="V101" i="11"/>
  <c r="U277" i="53" s="1"/>
  <c r="T30" i="58"/>
  <c r="T24" i="58"/>
  <c r="T26" i="58"/>
  <c r="T25" i="58"/>
  <c r="T32" i="58"/>
  <c r="T27" i="58"/>
  <c r="T28" i="58"/>
  <c r="T29" i="58"/>
  <c r="W14" i="56"/>
  <c r="Z83" i="11"/>
  <c r="Y271" i="53" s="1"/>
  <c r="AH39" i="55"/>
  <c r="J25" i="53"/>
  <c r="J35" i="53"/>
  <c r="J15" i="53"/>
  <c r="J5" i="53"/>
  <c r="AM34" i="52"/>
  <c r="AO292" i="53"/>
  <c r="AA73" i="11"/>
  <c r="AB24" i="52"/>
  <c r="N174" i="28"/>
  <c r="AI64" i="48"/>
  <c r="AI69" i="48" s="1"/>
  <c r="AI74" i="48" s="1"/>
  <c r="AQ83" i="11"/>
  <c r="AP271" i="53" s="1"/>
  <c r="AP43" i="53"/>
  <c r="AP24" i="55"/>
  <c r="AP21" i="36"/>
  <c r="BC20" i="57"/>
  <c r="AP37" i="53" s="1"/>
  <c r="AP40" i="53"/>
  <c r="AP44" i="53"/>
  <c r="AP42" i="53"/>
  <c r="AP17" i="48"/>
  <c r="AP22" i="55"/>
  <c r="AP41" i="53"/>
  <c r="AP25" i="55"/>
  <c r="AP16" i="48"/>
  <c r="AP27" i="55"/>
  <c r="AP27" i="36"/>
  <c r="AP14" i="48"/>
  <c r="AP26" i="36"/>
  <c r="AP22" i="36"/>
  <c r="AP21" i="55"/>
  <c r="AP24" i="36"/>
  <c r="AP23" i="36"/>
  <c r="AP18" i="48"/>
  <c r="AP38" i="53"/>
  <c r="AP35" i="53"/>
  <c r="AP26" i="55"/>
  <c r="AP39" i="53"/>
  <c r="AP20" i="36"/>
  <c r="AP6" i="47"/>
  <c r="AP25" i="36"/>
  <c r="AP23" i="55"/>
  <c r="AP20" i="55"/>
  <c r="BC19" i="57"/>
  <c r="AP36" i="53" s="1"/>
  <c r="AP15" i="48"/>
  <c r="G39" i="55"/>
  <c r="Y21" i="55"/>
  <c r="Y22" i="55"/>
  <c r="Y26" i="55"/>
  <c r="Y20" i="55"/>
  <c r="Y23" i="55"/>
  <c r="Y24" i="55"/>
  <c r="Y22" i="36"/>
  <c r="Y17" i="48"/>
  <c r="Y27" i="55"/>
  <c r="Y21" i="36"/>
  <c r="Y25" i="36"/>
  <c r="Y25" i="55"/>
  <c r="Y16" i="48"/>
  <c r="Y27" i="36"/>
  <c r="Y24" i="36"/>
  <c r="Y6" i="47"/>
  <c r="Y23" i="36"/>
  <c r="AL20" i="57"/>
  <c r="Y37" i="53" s="1"/>
  <c r="AL19" i="57"/>
  <c r="Y36" i="53" s="1"/>
  <c r="Y15" i="48"/>
  <c r="Y18" i="48"/>
  <c r="Y26" i="36"/>
  <c r="Y14" i="48"/>
  <c r="Y20" i="36"/>
  <c r="AH64" i="48"/>
  <c r="AH69" i="48" s="1"/>
  <c r="AH74" i="48" s="1"/>
  <c r="N38" i="55"/>
  <c r="AF64" i="48"/>
  <c r="AF69" i="48" s="1"/>
  <c r="AF74" i="48" s="1"/>
  <c r="H294" i="53"/>
  <c r="H283" i="53" s="1"/>
  <c r="H288" i="53" s="1"/>
  <c r="N138" i="36" l="1"/>
  <c r="N128" i="36"/>
  <c r="N139" i="36"/>
  <c r="N130" i="36"/>
  <c r="L88" i="52"/>
  <c r="N124" i="36"/>
  <c r="N133" i="36"/>
  <c r="N132" i="36"/>
  <c r="E176" i="28"/>
  <c r="G25" i="53" s="1"/>
  <c r="I25" i="53"/>
  <c r="E181" i="28"/>
  <c r="G42" i="53" s="1"/>
  <c r="AC139" i="36"/>
  <c r="AA88" i="52"/>
  <c r="AA90" i="52" s="1"/>
  <c r="J100" i="52"/>
  <c r="M80" i="11" s="1"/>
  <c r="P15" i="53"/>
  <c r="P25" i="53"/>
  <c r="AG92" i="52"/>
  <c r="AG93" i="52" s="1"/>
  <c r="P42" i="53"/>
  <c r="P12" i="53"/>
  <c r="Y14" i="56"/>
  <c r="W92" i="52" s="1"/>
  <c r="P5" i="53"/>
  <c r="AF135" i="36"/>
  <c r="AF124" i="36"/>
  <c r="AC136" i="36"/>
  <c r="I24" i="52"/>
  <c r="I102" i="52" s="1"/>
  <c r="AC135" i="36"/>
  <c r="AC125" i="36"/>
  <c r="AC124" i="36"/>
  <c r="AF132" i="36"/>
  <c r="AF134" i="36"/>
  <c r="AF136" i="36"/>
  <c r="AC126" i="36"/>
  <c r="AF52" i="55"/>
  <c r="AF57" i="55" s="1"/>
  <c r="AC129" i="36"/>
  <c r="AJ107" i="52"/>
  <c r="AM95" i="11" s="1"/>
  <c r="AJ108" i="52"/>
  <c r="AM96" i="11" s="1"/>
  <c r="P17" i="56"/>
  <c r="P32" i="53"/>
  <c r="AD88" i="52"/>
  <c r="AD90" i="52" s="1"/>
  <c r="AF126" i="36"/>
  <c r="AJ106" i="52"/>
  <c r="AM94" i="11" s="1"/>
  <c r="AF138" i="36"/>
  <c r="AF130" i="36"/>
  <c r="AJ102" i="52"/>
  <c r="AM86" i="11" s="1"/>
  <c r="AJ115" i="52"/>
  <c r="AM73" i="11" s="1"/>
  <c r="P115" i="52"/>
  <c r="S73" i="11" s="1"/>
  <c r="AF127" i="36"/>
  <c r="P100" i="52"/>
  <c r="S80" i="11" s="1"/>
  <c r="AJ116" i="52"/>
  <c r="AM74" i="11" s="1"/>
  <c r="AF125" i="36"/>
  <c r="AD176" i="28"/>
  <c r="AF15" i="53" s="1"/>
  <c r="AA83" i="11"/>
  <c r="Z271" i="53" s="1"/>
  <c r="AF15" i="56"/>
  <c r="AD95" i="52" s="1"/>
  <c r="T40" i="55"/>
  <c r="AD92" i="52"/>
  <c r="AD93" i="52" s="1"/>
  <c r="AF139" i="36"/>
  <c r="P33" i="53"/>
  <c r="Z110" i="52"/>
  <c r="AC98" i="11" s="1"/>
  <c r="J114" i="52"/>
  <c r="M72" i="11" s="1"/>
  <c r="I15" i="53"/>
  <c r="Z106" i="52"/>
  <c r="AC94" i="11" s="1"/>
  <c r="J115" i="52"/>
  <c r="M73" i="11" s="1"/>
  <c r="Z107" i="52"/>
  <c r="AC95" i="11" s="1"/>
  <c r="J117" i="52"/>
  <c r="M75" i="11" s="1"/>
  <c r="Z115" i="52"/>
  <c r="AC73" i="11" s="1"/>
  <c r="Z111" i="52"/>
  <c r="AC99" i="11" s="1"/>
  <c r="Z102" i="52"/>
  <c r="AC86" i="11" s="1"/>
  <c r="J105" i="52"/>
  <c r="M89" i="11" s="1"/>
  <c r="J116" i="52"/>
  <c r="M74" i="11" s="1"/>
  <c r="J102" i="52"/>
  <c r="M86" i="11" s="1"/>
  <c r="AD179" i="28"/>
  <c r="AF24" i="53" s="1"/>
  <c r="U51" i="55"/>
  <c r="U133" i="36" s="1"/>
  <c r="L92" i="52"/>
  <c r="L93" i="52" s="1"/>
  <c r="J295" i="53"/>
  <c r="Z108" i="52"/>
  <c r="AC96" i="11" s="1"/>
  <c r="J113" i="52"/>
  <c r="M71" i="11" s="1"/>
  <c r="U14" i="56"/>
  <c r="S92" i="52" s="1"/>
  <c r="L180" i="28"/>
  <c r="N13" i="53" s="1"/>
  <c r="J104" i="52"/>
  <c r="M88" i="11" s="1"/>
  <c r="AG41" i="55"/>
  <c r="AE51" i="55"/>
  <c r="AE134" i="36" s="1"/>
  <c r="J103" i="52"/>
  <c r="M87" i="11" s="1"/>
  <c r="P116" i="52"/>
  <c r="S74" i="11" s="1"/>
  <c r="AA91" i="11"/>
  <c r="Z274" i="53" s="1"/>
  <c r="P113" i="52"/>
  <c r="S71" i="11" s="1"/>
  <c r="AJ109" i="52"/>
  <c r="AM97" i="11" s="1"/>
  <c r="AJ113" i="52"/>
  <c r="AM71" i="11" s="1"/>
  <c r="AJ111" i="52"/>
  <c r="AM99" i="11" s="1"/>
  <c r="P43" i="53"/>
  <c r="P23" i="53"/>
  <c r="P110" i="52"/>
  <c r="S98" i="11" s="1"/>
  <c r="AJ105" i="52"/>
  <c r="AM89" i="11" s="1"/>
  <c r="AC292" i="53"/>
  <c r="AC293" i="53" s="1"/>
  <c r="AF173" i="28"/>
  <c r="AH21" i="53" s="1"/>
  <c r="AF176" i="28"/>
  <c r="AH35" i="53" s="1"/>
  <c r="Z117" i="52"/>
  <c r="AC75" i="11" s="1"/>
  <c r="Z100" i="52"/>
  <c r="AC80" i="11" s="1"/>
  <c r="E179" i="28"/>
  <c r="G14" i="53" s="1"/>
  <c r="P106" i="52"/>
  <c r="S94" i="11" s="1"/>
  <c r="AJ117" i="52"/>
  <c r="AM75" i="11" s="1"/>
  <c r="P105" i="52"/>
  <c r="S89" i="11" s="1"/>
  <c r="AJ114" i="52"/>
  <c r="AM72" i="11" s="1"/>
  <c r="Z109" i="52"/>
  <c r="AC97" i="11" s="1"/>
  <c r="Z114" i="52"/>
  <c r="AC72" i="11" s="1"/>
  <c r="Z101" i="52"/>
  <c r="AC81" i="11" s="1"/>
  <c r="E174" i="28"/>
  <c r="G29" i="53" s="1"/>
  <c r="E173" i="28"/>
  <c r="G21" i="53" s="1"/>
  <c r="P107" i="52"/>
  <c r="S95" i="11" s="1"/>
  <c r="W133" i="36"/>
  <c r="AJ103" i="52"/>
  <c r="AM87" i="11" s="1"/>
  <c r="P103" i="52"/>
  <c r="S87" i="11" s="1"/>
  <c r="P112" i="52"/>
  <c r="S70" i="11" s="1"/>
  <c r="AJ110" i="52"/>
  <c r="AM98" i="11" s="1"/>
  <c r="L174" i="28"/>
  <c r="N29" i="53" s="1"/>
  <c r="Z116" i="52"/>
  <c r="AC74" i="11" s="1"/>
  <c r="Z104" i="52"/>
  <c r="AC88" i="11" s="1"/>
  <c r="E178" i="28"/>
  <c r="G30" i="53" s="1"/>
  <c r="P109" i="52"/>
  <c r="S97" i="11" s="1"/>
  <c r="W136" i="36"/>
  <c r="AJ100" i="52"/>
  <c r="AM80" i="11" s="1"/>
  <c r="P102" i="52"/>
  <c r="S86" i="11" s="1"/>
  <c r="P111" i="52"/>
  <c r="S99" i="11" s="1"/>
  <c r="AJ112" i="52"/>
  <c r="AM70" i="11" s="1"/>
  <c r="AF177" i="28"/>
  <c r="AH38" i="53" s="1"/>
  <c r="T63" i="48"/>
  <c r="T68" i="48" s="1"/>
  <c r="T73" i="48" s="1"/>
  <c r="AI136" i="36"/>
  <c r="Z113" i="52"/>
  <c r="AC71" i="11" s="1"/>
  <c r="Z103" i="52"/>
  <c r="AC87" i="11" s="1"/>
  <c r="E180" i="28"/>
  <c r="G23" i="53" s="1"/>
  <c r="E177" i="28"/>
  <c r="G28" i="53" s="1"/>
  <c r="P117" i="52"/>
  <c r="S75" i="11" s="1"/>
  <c r="P101" i="52"/>
  <c r="S81" i="11" s="1"/>
  <c r="W128" i="36"/>
  <c r="AJ104" i="52"/>
  <c r="AM88" i="11" s="1"/>
  <c r="J301" i="53"/>
  <c r="AA36" i="55"/>
  <c r="P108" i="52"/>
  <c r="S96" i="11" s="1"/>
  <c r="AI129" i="36"/>
  <c r="Z112" i="52"/>
  <c r="AC70" i="11" s="1"/>
  <c r="P114" i="52"/>
  <c r="S72" i="11" s="1"/>
  <c r="AG88" i="52"/>
  <c r="AG90" i="52" s="1"/>
  <c r="AD98" i="52"/>
  <c r="AM81" i="11"/>
  <c r="AD66" i="11"/>
  <c r="AE39" i="55"/>
  <c r="J112" i="52"/>
  <c r="M70" i="11" s="1"/>
  <c r="AA34" i="52"/>
  <c r="AP14" i="56"/>
  <c r="AP15" i="56" s="1"/>
  <c r="AN95" i="52" s="1"/>
  <c r="V282" i="53"/>
  <c r="V287" i="53" s="1"/>
  <c r="V193" i="53" s="1"/>
  <c r="V237" i="53" s="1"/>
  <c r="AF98" i="52"/>
  <c r="AF174" i="28"/>
  <c r="AH9" i="53" s="1"/>
  <c r="AI124" i="36"/>
  <c r="J109" i="52"/>
  <c r="M97" i="11" s="1"/>
  <c r="AP51" i="55"/>
  <c r="AP137" i="36" s="1"/>
  <c r="AC134" i="36"/>
  <c r="AC127" i="36"/>
  <c r="AI132" i="36"/>
  <c r="AA101" i="11"/>
  <c r="Z277" i="53" s="1"/>
  <c r="AF178" i="28"/>
  <c r="AH40" i="53" s="1"/>
  <c r="T41" i="55"/>
  <c r="AI125" i="36"/>
  <c r="AI139" i="36"/>
  <c r="AF180" i="28"/>
  <c r="AH13" i="53" s="1"/>
  <c r="J106" i="52"/>
  <c r="M94" i="11" s="1"/>
  <c r="AC52" i="55"/>
  <c r="AC57" i="55" s="1"/>
  <c r="AC137" i="36"/>
  <c r="AG36" i="55"/>
  <c r="AG39" i="55"/>
  <c r="AB105" i="11"/>
  <c r="AB109" i="11" s="1"/>
  <c r="AI138" i="36"/>
  <c r="AF92" i="52"/>
  <c r="AF93" i="52" s="1"/>
  <c r="J107" i="52"/>
  <c r="M95" i="11" s="1"/>
  <c r="T91" i="11"/>
  <c r="S274" i="53" s="1"/>
  <c r="AA77" i="11"/>
  <c r="AF179" i="28"/>
  <c r="AH24" i="53" s="1"/>
  <c r="AI52" i="55"/>
  <c r="AI57" i="55" s="1"/>
  <c r="J111" i="52"/>
  <c r="M99" i="11" s="1"/>
  <c r="Y51" i="55"/>
  <c r="Y52" i="55" s="1"/>
  <c r="E98" i="52"/>
  <c r="AC132" i="36"/>
  <c r="AC131" i="36"/>
  <c r="R75" i="11"/>
  <c r="T64" i="48"/>
  <c r="T69" i="48" s="1"/>
  <c r="T74" i="48" s="1"/>
  <c r="AM98" i="52"/>
  <c r="AI130" i="36"/>
  <c r="J110" i="52"/>
  <c r="M98" i="11" s="1"/>
  <c r="AC128" i="36"/>
  <c r="AC130" i="36"/>
  <c r="J108" i="52"/>
  <c r="M96" i="11" s="1"/>
  <c r="L179" i="28"/>
  <c r="N14" i="53" s="1"/>
  <c r="AE32" i="47"/>
  <c r="AE33" i="47" s="1"/>
  <c r="AE34" i="47" s="1"/>
  <c r="AI134" i="36"/>
  <c r="AC133" i="36"/>
  <c r="I301" i="53"/>
  <c r="W137" i="36"/>
  <c r="W127" i="36"/>
  <c r="T101" i="11"/>
  <c r="S277" i="53" s="1"/>
  <c r="W139" i="36"/>
  <c r="W130" i="36"/>
  <c r="AQ66" i="11"/>
  <c r="V24" i="52"/>
  <c r="V101" i="52" s="1"/>
  <c r="AG65" i="48"/>
  <c r="AG70" i="48" s="1"/>
  <c r="AG75" i="48" s="1"/>
  <c r="AL83" i="11"/>
  <c r="AK271" i="53" s="1"/>
  <c r="W125" i="36"/>
  <c r="W132" i="36"/>
  <c r="AA41" i="55"/>
  <c r="U38" i="55"/>
  <c r="AG51" i="55"/>
  <c r="AG137" i="36" s="1"/>
  <c r="W126" i="36"/>
  <c r="W124" i="36"/>
  <c r="T37" i="55"/>
  <c r="J299" i="53"/>
  <c r="AE63" i="48"/>
  <c r="AE68" i="48" s="1"/>
  <c r="AE73" i="48" s="1"/>
  <c r="AI135" i="36"/>
  <c r="T83" i="11"/>
  <c r="S271" i="53" s="1"/>
  <c r="I298" i="53"/>
  <c r="I297" i="53"/>
  <c r="W135" i="36"/>
  <c r="W131" i="36"/>
  <c r="T39" i="55"/>
  <c r="AA98" i="52"/>
  <c r="AI137" i="36"/>
  <c r="AI133" i="36"/>
  <c r="M81" i="11"/>
  <c r="AA51" i="55"/>
  <c r="AA52" i="55" s="1"/>
  <c r="AA57" i="55" s="1"/>
  <c r="AA32" i="47"/>
  <c r="AA33" i="47" s="1"/>
  <c r="AA34" i="47" s="1"/>
  <c r="W129" i="36"/>
  <c r="AA268" i="53"/>
  <c r="T34" i="55"/>
  <c r="AE36" i="55"/>
  <c r="AI127" i="36"/>
  <c r="AI131" i="36"/>
  <c r="AA40" i="55"/>
  <c r="AD173" i="28"/>
  <c r="AF41" i="53" s="1"/>
  <c r="I39" i="55"/>
  <c r="N17" i="56"/>
  <c r="I35" i="53"/>
  <c r="W138" i="36"/>
  <c r="AG38" i="55"/>
  <c r="AG98" i="52"/>
  <c r="U88" i="52"/>
  <c r="U90" i="52" s="1"/>
  <c r="AA64" i="48"/>
  <c r="AA69" i="48" s="1"/>
  <c r="AA74" i="48" s="1"/>
  <c r="AL77" i="11"/>
  <c r="AK268" i="53" s="1"/>
  <c r="W52" i="55"/>
  <c r="W57" i="55" s="1"/>
  <c r="AE37" i="55"/>
  <c r="AI128" i="36"/>
  <c r="AC89" i="11"/>
  <c r="L98" i="52"/>
  <c r="AD178" i="28"/>
  <c r="AF10" i="53" s="1"/>
  <c r="AA65" i="48"/>
  <c r="AA70" i="48" s="1"/>
  <c r="AA75" i="48" s="1"/>
  <c r="I5" i="53"/>
  <c r="V214" i="53"/>
  <c r="V258" i="53" s="1"/>
  <c r="V217" i="53"/>
  <c r="V219" i="53"/>
  <c r="V212" i="53"/>
  <c r="V218" i="53"/>
  <c r="V221" i="53"/>
  <c r="V265" i="53" s="1"/>
  <c r="V215" i="53"/>
  <c r="V216" i="53"/>
  <c r="V220" i="53"/>
  <c r="V213" i="53"/>
  <c r="V257" i="53" s="1"/>
  <c r="I268" i="53"/>
  <c r="J105" i="11"/>
  <c r="J109" i="11" s="1"/>
  <c r="P16" i="52"/>
  <c r="S65" i="11"/>
  <c r="P131" i="52"/>
  <c r="S88" i="11"/>
  <c r="AE64" i="48"/>
  <c r="AE69" i="48" s="1"/>
  <c r="AE74" i="48" s="1"/>
  <c r="AO293" i="53"/>
  <c r="U105" i="11"/>
  <c r="U109" i="11" s="1"/>
  <c r="T36" i="55"/>
  <c r="T38" i="55"/>
  <c r="M24" i="52"/>
  <c r="AM99" i="52"/>
  <c r="AK24" i="53"/>
  <c r="AK18" i="53"/>
  <c r="AX15" i="57"/>
  <c r="AK16" i="53" s="1"/>
  <c r="AK20" i="53"/>
  <c r="AK23" i="53"/>
  <c r="AX16" i="57"/>
  <c r="AK17" i="53" s="1"/>
  <c r="AK22" i="53"/>
  <c r="AK30" i="55"/>
  <c r="AK19" i="53"/>
  <c r="AK21" i="53"/>
  <c r="AK47" i="55"/>
  <c r="AK10" i="56"/>
  <c r="AK3" i="56"/>
  <c r="AK15" i="53"/>
  <c r="I296" i="53"/>
  <c r="I63" i="48"/>
  <c r="I68" i="48" s="1"/>
  <c r="I73" i="48" s="1"/>
  <c r="E96" i="52"/>
  <c r="E97" i="52" s="1"/>
  <c r="Y62" i="48"/>
  <c r="Y67" i="48" s="1"/>
  <c r="Y72" i="48" s="1"/>
  <c r="AP298" i="53"/>
  <c r="P50" i="11"/>
  <c r="M120" i="52" s="1"/>
  <c r="P58" i="11"/>
  <c r="M135" i="52" s="1"/>
  <c r="P53" i="11"/>
  <c r="P60" i="11"/>
  <c r="M129" i="52" s="1"/>
  <c r="P51" i="11"/>
  <c r="M126" i="52" s="1"/>
  <c r="P57" i="11"/>
  <c r="M128" i="52" s="1"/>
  <c r="P48" i="11"/>
  <c r="P63" i="11"/>
  <c r="M130" i="52" s="1"/>
  <c r="P61" i="11"/>
  <c r="P47" i="11"/>
  <c r="P49" i="11"/>
  <c r="M132" i="52" s="1"/>
  <c r="P56" i="11"/>
  <c r="M122" i="52" s="1"/>
  <c r="P59" i="11"/>
  <c r="M123" i="52" s="1"/>
  <c r="P54" i="11"/>
  <c r="M127" i="52" s="1"/>
  <c r="P52" i="11"/>
  <c r="M133" i="52" s="1"/>
  <c r="P55" i="11"/>
  <c r="M134" i="52" s="1"/>
  <c r="P62" i="11"/>
  <c r="M124" i="52" s="1"/>
  <c r="P46" i="11"/>
  <c r="AK17" i="36"/>
  <c r="AK12" i="36"/>
  <c r="AK16" i="36"/>
  <c r="AK16" i="55"/>
  <c r="AK14" i="55"/>
  <c r="AK12" i="55"/>
  <c r="AK19" i="55"/>
  <c r="AK12" i="48"/>
  <c r="AK14" i="36"/>
  <c r="AK13" i="55"/>
  <c r="AK11" i="48"/>
  <c r="AK18" i="36"/>
  <c r="AK15" i="36"/>
  <c r="AK19" i="36"/>
  <c r="AK17" i="55"/>
  <c r="AK10" i="48"/>
  <c r="AK5" i="47"/>
  <c r="AK13" i="36"/>
  <c r="AK18" i="55"/>
  <c r="AK9" i="48"/>
  <c r="AK15" i="55"/>
  <c r="AK13" i="48"/>
  <c r="S22" i="36"/>
  <c r="S22" i="55"/>
  <c r="S16" i="48"/>
  <c r="S23" i="36"/>
  <c r="S24" i="55"/>
  <c r="S20" i="55"/>
  <c r="S17" i="48"/>
  <c r="S27" i="36"/>
  <c r="S21" i="55"/>
  <c r="S14" i="48"/>
  <c r="S25" i="55"/>
  <c r="S23" i="55"/>
  <c r="S25" i="36"/>
  <c r="S26" i="36"/>
  <c r="S18" i="48"/>
  <c r="S24" i="36"/>
  <c r="S15" i="48"/>
  <c r="S6" i="47"/>
  <c r="AF20" i="57"/>
  <c r="S37" i="53" s="1"/>
  <c r="S20" i="36"/>
  <c r="AF19" i="57"/>
  <c r="S36" i="53" s="1"/>
  <c r="S27" i="55"/>
  <c r="S26" i="55"/>
  <c r="S21" i="36"/>
  <c r="I62" i="48"/>
  <c r="I67" i="48" s="1"/>
  <c r="I72" i="48" s="1"/>
  <c r="U35" i="55"/>
  <c r="D114" i="52"/>
  <c r="G72" i="11" s="1"/>
  <c r="D100" i="52"/>
  <c r="G80" i="11" s="1"/>
  <c r="D103" i="52"/>
  <c r="G87" i="11" s="1"/>
  <c r="D104" i="52"/>
  <c r="G88" i="11" s="1"/>
  <c r="D101" i="52"/>
  <c r="G81" i="11" s="1"/>
  <c r="D105" i="52"/>
  <c r="G89" i="11" s="1"/>
  <c r="D102" i="52"/>
  <c r="G86" i="11" s="1"/>
  <c r="D107" i="52"/>
  <c r="G95" i="11" s="1"/>
  <c r="D108" i="52"/>
  <c r="G96" i="11" s="1"/>
  <c r="D111" i="52"/>
  <c r="G99" i="11" s="1"/>
  <c r="D110" i="52"/>
  <c r="G98" i="11" s="1"/>
  <c r="D109" i="52"/>
  <c r="G97" i="11" s="1"/>
  <c r="D106" i="52"/>
  <c r="G94" i="11" s="1"/>
  <c r="D117" i="52"/>
  <c r="G75" i="11" s="1"/>
  <c r="D113" i="52"/>
  <c r="G71" i="11" s="1"/>
  <c r="D115" i="52"/>
  <c r="G73" i="11" s="1"/>
  <c r="D112" i="52"/>
  <c r="G70" i="11" s="1"/>
  <c r="D116" i="52"/>
  <c r="G74" i="11" s="1"/>
  <c r="AP297" i="53"/>
  <c r="AA61" i="48"/>
  <c r="AA66" i="48" s="1"/>
  <c r="AA71" i="48" s="1"/>
  <c r="J300" i="53"/>
  <c r="J298" i="53"/>
  <c r="T77" i="11"/>
  <c r="T35" i="55"/>
  <c r="AA92" i="52"/>
  <c r="AC15" i="56"/>
  <c r="AA95" i="52" s="1"/>
  <c r="P31" i="53"/>
  <c r="P21" i="53"/>
  <c r="P11" i="53"/>
  <c r="P41" i="53"/>
  <c r="AG181" i="28"/>
  <c r="AI137" i="52"/>
  <c r="AI138" i="52" s="1"/>
  <c r="AI139" i="52" s="1"/>
  <c r="AL12" i="52"/>
  <c r="AL119" i="52"/>
  <c r="AL13" i="52"/>
  <c r="AK31" i="53"/>
  <c r="AK30" i="53"/>
  <c r="AX18" i="57"/>
  <c r="AK27" i="53" s="1"/>
  <c r="AK34" i="53"/>
  <c r="AK29" i="53"/>
  <c r="AX17" i="57"/>
  <c r="AK26" i="53" s="1"/>
  <c r="AK32" i="53"/>
  <c r="AK25" i="53"/>
  <c r="AK33" i="53"/>
  <c r="AK28" i="53"/>
  <c r="AH127" i="36"/>
  <c r="AH126" i="36"/>
  <c r="AH133" i="36"/>
  <c r="AH128" i="36"/>
  <c r="AH124" i="36"/>
  <c r="AH136" i="36"/>
  <c r="AH129" i="36"/>
  <c r="AH52" i="55"/>
  <c r="AH134" i="36"/>
  <c r="AH137" i="36"/>
  <c r="AH131" i="36"/>
  <c r="AH132" i="36"/>
  <c r="AH130" i="36"/>
  <c r="AH139" i="36"/>
  <c r="AH135" i="36"/>
  <c r="AF88" i="52"/>
  <c r="AH125" i="36"/>
  <c r="AH138" i="36"/>
  <c r="I40" i="55"/>
  <c r="R28" i="58"/>
  <c r="R30" i="58"/>
  <c r="R25" i="58"/>
  <c r="R32" i="58"/>
  <c r="R26" i="58"/>
  <c r="R29" i="58"/>
  <c r="R24" i="58"/>
  <c r="R27" i="58"/>
  <c r="G65" i="11"/>
  <c r="D16" i="52"/>
  <c r="D131" i="52"/>
  <c r="AB121" i="52"/>
  <c r="AB14" i="52"/>
  <c r="U62" i="48"/>
  <c r="U67" i="48" s="1"/>
  <c r="U72" i="48" s="1"/>
  <c r="Y36" i="55"/>
  <c r="AP36" i="55"/>
  <c r="AH103" i="52"/>
  <c r="AK87" i="11" s="1"/>
  <c r="AH104" i="52"/>
  <c r="AK88" i="11" s="1"/>
  <c r="AH102" i="52"/>
  <c r="AK86" i="11" s="1"/>
  <c r="AH105" i="52"/>
  <c r="AK89" i="11" s="1"/>
  <c r="AH100" i="52"/>
  <c r="AK80" i="11" s="1"/>
  <c r="AH101" i="52"/>
  <c r="AK81" i="11" s="1"/>
  <c r="AH106" i="52"/>
  <c r="AK94" i="11" s="1"/>
  <c r="AH109" i="52"/>
  <c r="AK97" i="11" s="1"/>
  <c r="AH110" i="52"/>
  <c r="AK98" i="11" s="1"/>
  <c r="AH107" i="52"/>
  <c r="AK95" i="11" s="1"/>
  <c r="AH111" i="52"/>
  <c r="AK99" i="11" s="1"/>
  <c r="AH108" i="52"/>
  <c r="AK96" i="11" s="1"/>
  <c r="AH117" i="52"/>
  <c r="AK75" i="11" s="1"/>
  <c r="AH112" i="52"/>
  <c r="AK70" i="11" s="1"/>
  <c r="AH113" i="52"/>
  <c r="AK71" i="11" s="1"/>
  <c r="AH115" i="52"/>
  <c r="AK73" i="11" s="1"/>
  <c r="AH116" i="52"/>
  <c r="AK74" i="11" s="1"/>
  <c r="AH114" i="52"/>
  <c r="AK72" i="11" s="1"/>
  <c r="I64" i="48"/>
  <c r="I69" i="48" s="1"/>
  <c r="I74" i="48" s="1"/>
  <c r="O124" i="52"/>
  <c r="R89" i="11"/>
  <c r="U39" i="55"/>
  <c r="J297" i="53"/>
  <c r="AK10" i="55"/>
  <c r="AK11" i="53"/>
  <c r="AX22" i="57"/>
  <c r="AK7" i="53" s="1"/>
  <c r="AK13" i="53"/>
  <c r="AK48" i="55"/>
  <c r="AK5" i="48"/>
  <c r="AK11" i="55"/>
  <c r="AK6" i="48"/>
  <c r="AK7" i="55"/>
  <c r="AK9" i="36"/>
  <c r="AK5" i="53"/>
  <c r="AK5" i="36"/>
  <c r="AK8" i="53"/>
  <c r="AK5" i="55"/>
  <c r="AK7" i="48"/>
  <c r="AK11" i="36"/>
  <c r="AX21" i="57"/>
  <c r="AK6" i="53" s="1"/>
  <c r="AK7" i="36"/>
  <c r="AK11" i="56"/>
  <c r="AK8" i="36"/>
  <c r="AK4" i="55"/>
  <c r="AK10" i="36"/>
  <c r="AK14" i="53"/>
  <c r="AK4" i="47"/>
  <c r="AK4" i="36"/>
  <c r="AK9" i="53"/>
  <c r="AK6" i="36"/>
  <c r="AK9" i="55"/>
  <c r="AK12" i="53"/>
  <c r="AK8" i="55"/>
  <c r="AK6" i="55"/>
  <c r="AK10" i="53"/>
  <c r="AK4" i="48"/>
  <c r="AK8" i="48"/>
  <c r="AP62" i="48"/>
  <c r="AP67" i="48" s="1"/>
  <c r="AP72" i="48" s="1"/>
  <c r="P34" i="53"/>
  <c r="P24" i="53"/>
  <c r="P44" i="53"/>
  <c r="P14" i="53"/>
  <c r="L96" i="52"/>
  <c r="L97" i="52" s="1"/>
  <c r="R71" i="11"/>
  <c r="O132" i="52"/>
  <c r="U64" i="48"/>
  <c r="U69" i="48" s="1"/>
  <c r="U74" i="48" s="1"/>
  <c r="Y268" i="53"/>
  <c r="Z105" i="11"/>
  <c r="Z109" i="11" s="1"/>
  <c r="AP37" i="55"/>
  <c r="J292" i="53"/>
  <c r="J293" i="53" s="1"/>
  <c r="J294" i="53" s="1"/>
  <c r="H34" i="52"/>
  <c r="K66" i="11"/>
  <c r="U268" i="53"/>
  <c r="V105" i="11"/>
  <c r="V109" i="11" s="1"/>
  <c r="J15" i="52"/>
  <c r="J125" i="52"/>
  <c r="AK20" i="55"/>
  <c r="AK22" i="36"/>
  <c r="AK23" i="55"/>
  <c r="AK20" i="36"/>
  <c r="AK21" i="55"/>
  <c r="AK38" i="53"/>
  <c r="AK24" i="36"/>
  <c r="AK25" i="55"/>
  <c r="AK24" i="55"/>
  <c r="AK27" i="55"/>
  <c r="AK21" i="36"/>
  <c r="AX19" i="57"/>
  <c r="AK36" i="53" s="1"/>
  <c r="AK42" i="53"/>
  <c r="AK40" i="53"/>
  <c r="AK35" i="53"/>
  <c r="AK18" i="48"/>
  <c r="AK27" i="36"/>
  <c r="AK23" i="36"/>
  <c r="AX20" i="57"/>
  <c r="AK37" i="53" s="1"/>
  <c r="AK26" i="55"/>
  <c r="AK6" i="47"/>
  <c r="AK44" i="53"/>
  <c r="AK16" i="48"/>
  <c r="AK39" i="53"/>
  <c r="AK41" i="53"/>
  <c r="AK43" i="53"/>
  <c r="AK22" i="55"/>
  <c r="AK25" i="36"/>
  <c r="AK26" i="36"/>
  <c r="AK15" i="48"/>
  <c r="AK17" i="48"/>
  <c r="AK14" i="48"/>
  <c r="AD96" i="52"/>
  <c r="AD97" i="52" s="1"/>
  <c r="AQ105" i="11"/>
  <c r="AQ109" i="11" s="1"/>
  <c r="AP268" i="53"/>
  <c r="AF25" i="53"/>
  <c r="AF5" i="53"/>
  <c r="AG40" i="55"/>
  <c r="AG178" i="28"/>
  <c r="O13" i="52"/>
  <c r="O119" i="52"/>
  <c r="O12" i="52"/>
  <c r="R80" i="11"/>
  <c r="Y32" i="47"/>
  <c r="Y33" i="47" s="1"/>
  <c r="Y34" i="47" s="1"/>
  <c r="AP32" i="47"/>
  <c r="AP33" i="47" s="1"/>
  <c r="AP34" i="47" s="1"/>
  <c r="P9" i="53"/>
  <c r="P29" i="53"/>
  <c r="P19" i="53"/>
  <c r="P39" i="53"/>
  <c r="AM21" i="36"/>
  <c r="AM24" i="55"/>
  <c r="AM22" i="36"/>
  <c r="AM22" i="55"/>
  <c r="AM6" i="47"/>
  <c r="AM27" i="55"/>
  <c r="AM25" i="55"/>
  <c r="AM26" i="55"/>
  <c r="AM44" i="53"/>
  <c r="AM26" i="36"/>
  <c r="AM25" i="36"/>
  <c r="AM23" i="36"/>
  <c r="AM24" i="36"/>
  <c r="AM27" i="36"/>
  <c r="AM39" i="53"/>
  <c r="AM20" i="55"/>
  <c r="AM35" i="53"/>
  <c r="AM42" i="53"/>
  <c r="AM15" i="48"/>
  <c r="AZ19" i="57"/>
  <c r="AM36" i="53" s="1"/>
  <c r="AM18" i="48"/>
  <c r="AM23" i="55"/>
  <c r="AM14" i="48"/>
  <c r="AM20" i="36"/>
  <c r="AM16" i="48"/>
  <c r="AM21" i="55"/>
  <c r="AM43" i="53"/>
  <c r="AM41" i="53"/>
  <c r="AM17" i="48"/>
  <c r="AZ20" i="57"/>
  <c r="AM37" i="53" s="1"/>
  <c r="AM38" i="53"/>
  <c r="AM40" i="53"/>
  <c r="K103" i="52"/>
  <c r="N87" i="11" s="1"/>
  <c r="K102" i="52"/>
  <c r="N86" i="11" s="1"/>
  <c r="K104" i="52"/>
  <c r="N88" i="11" s="1"/>
  <c r="K105" i="52"/>
  <c r="N89" i="11" s="1"/>
  <c r="K101" i="52"/>
  <c r="N81" i="11" s="1"/>
  <c r="K100" i="52"/>
  <c r="N80" i="11" s="1"/>
  <c r="K106" i="52"/>
  <c r="N94" i="11" s="1"/>
  <c r="K110" i="52"/>
  <c r="N98" i="11" s="1"/>
  <c r="K109" i="52"/>
  <c r="N97" i="11" s="1"/>
  <c r="K111" i="52"/>
  <c r="N99" i="11" s="1"/>
  <c r="K107" i="52"/>
  <c r="N95" i="11" s="1"/>
  <c r="K108" i="52"/>
  <c r="N96" i="11" s="1"/>
  <c r="K117" i="52"/>
  <c r="N75" i="11" s="1"/>
  <c r="K112" i="52"/>
  <c r="N70" i="11" s="1"/>
  <c r="K114" i="52"/>
  <c r="N72" i="11" s="1"/>
  <c r="K113" i="52"/>
  <c r="N71" i="11" s="1"/>
  <c r="K116" i="52"/>
  <c r="N74" i="11" s="1"/>
  <c r="K115" i="52"/>
  <c r="N73" i="11" s="1"/>
  <c r="AN91" i="11"/>
  <c r="AM274" i="53" s="1"/>
  <c r="AM92" i="52"/>
  <c r="AO15" i="56"/>
  <c r="AM95" i="52" s="1"/>
  <c r="G5" i="53"/>
  <c r="G15" i="53"/>
  <c r="I36" i="55"/>
  <c r="R87" i="11"/>
  <c r="O122" i="52"/>
  <c r="AM88" i="52"/>
  <c r="AO124" i="36"/>
  <c r="AO127" i="36"/>
  <c r="AO52" i="55"/>
  <c r="AO135" i="36"/>
  <c r="AO125" i="36"/>
  <c r="AO136" i="36"/>
  <c r="AO138" i="36"/>
  <c r="AO129" i="36"/>
  <c r="AO137" i="36"/>
  <c r="AO128" i="36"/>
  <c r="AO126" i="36"/>
  <c r="AO134" i="36"/>
  <c r="AO130" i="36"/>
  <c r="AO133" i="36"/>
  <c r="AO131" i="36"/>
  <c r="AO132" i="36"/>
  <c r="AO139" i="36"/>
  <c r="L46" i="11"/>
  <c r="L55" i="11"/>
  <c r="I134" i="52" s="1"/>
  <c r="L50" i="11"/>
  <c r="I120" i="52" s="1"/>
  <c r="L57" i="11"/>
  <c r="I128" i="52" s="1"/>
  <c r="L56" i="11"/>
  <c r="I122" i="52" s="1"/>
  <c r="L62" i="11"/>
  <c r="I124" i="52" s="1"/>
  <c r="L63" i="11"/>
  <c r="I130" i="52" s="1"/>
  <c r="L48" i="11"/>
  <c r="L61" i="11"/>
  <c r="L53" i="11"/>
  <c r="L59" i="11"/>
  <c r="I123" i="52" s="1"/>
  <c r="L49" i="11"/>
  <c r="I132" i="52" s="1"/>
  <c r="L58" i="11"/>
  <c r="I135" i="52" s="1"/>
  <c r="L52" i="11"/>
  <c r="I133" i="52" s="1"/>
  <c r="L60" i="11"/>
  <c r="I129" i="52" s="1"/>
  <c r="L51" i="11"/>
  <c r="I126" i="52" s="1"/>
  <c r="L47" i="11"/>
  <c r="L54" i="11"/>
  <c r="I127" i="52" s="1"/>
  <c r="U63" i="48"/>
  <c r="U68" i="48" s="1"/>
  <c r="U73" i="48" s="1"/>
  <c r="AP63" i="48"/>
  <c r="AP68" i="48" s="1"/>
  <c r="AP73" i="48" s="1"/>
  <c r="T32" i="47"/>
  <c r="T33" i="47" s="1"/>
  <c r="T34" i="47" s="1"/>
  <c r="AE61" i="48"/>
  <c r="AE66" i="48" s="1"/>
  <c r="AE71" i="48" s="1"/>
  <c r="L173" i="28"/>
  <c r="E99" i="52"/>
  <c r="AG35" i="55"/>
  <c r="AD174" i="28"/>
  <c r="AG173" i="28"/>
  <c r="I300" i="53"/>
  <c r="R88" i="11"/>
  <c r="O123" i="52"/>
  <c r="AM96" i="52"/>
  <c r="AM97" i="52" s="1"/>
  <c r="U37" i="55"/>
  <c r="Y35" i="55"/>
  <c r="X137" i="52"/>
  <c r="X138" i="52" s="1"/>
  <c r="X139" i="52" s="1"/>
  <c r="AD99" i="52"/>
  <c r="M65" i="11"/>
  <c r="J16" i="52"/>
  <c r="J131" i="52"/>
  <c r="AF96" i="52"/>
  <c r="AF97" i="52" s="1"/>
  <c r="L181" i="28"/>
  <c r="AI17" i="56"/>
  <c r="AN83" i="11"/>
  <c r="AM271" i="53" s="1"/>
  <c r="AG177" i="28"/>
  <c r="AD180" i="28"/>
  <c r="AA62" i="48"/>
  <c r="AA67" i="48" s="1"/>
  <c r="AA72" i="48" s="1"/>
  <c r="I41" i="55"/>
  <c r="O121" i="52"/>
  <c r="O14" i="52"/>
  <c r="R86" i="11"/>
  <c r="AG99" i="52"/>
  <c r="Y34" i="55"/>
  <c r="AG14" i="56"/>
  <c r="AJ16" i="52"/>
  <c r="AM65" i="11"/>
  <c r="AJ131" i="52"/>
  <c r="Z17" i="55"/>
  <c r="Z14" i="36"/>
  <c r="Z18" i="55"/>
  <c r="Z12" i="48"/>
  <c r="Z10" i="48"/>
  <c r="Z9" i="48"/>
  <c r="Z15" i="36"/>
  <c r="Z13" i="55"/>
  <c r="Z11" i="48"/>
  <c r="Z13" i="36"/>
  <c r="Z18" i="36"/>
  <c r="Z14" i="55"/>
  <c r="Z16" i="55"/>
  <c r="Z19" i="55"/>
  <c r="Z12" i="36"/>
  <c r="Z13" i="48"/>
  <c r="Z19" i="36"/>
  <c r="Z12" i="55"/>
  <c r="Z17" i="36"/>
  <c r="Z5" i="47"/>
  <c r="Z15" i="55"/>
  <c r="Z16" i="36"/>
  <c r="AP34" i="55"/>
  <c r="AF17" i="57"/>
  <c r="S26" i="53" s="1"/>
  <c r="AF18" i="57"/>
  <c r="S27" i="53" s="1"/>
  <c r="AG64" i="48"/>
  <c r="AG69" i="48" s="1"/>
  <c r="AG74" i="48" s="1"/>
  <c r="AD177" i="28"/>
  <c r="AL117" i="52"/>
  <c r="AO75" i="11" s="1"/>
  <c r="AL115" i="52"/>
  <c r="AO73" i="11" s="1"/>
  <c r="AL102" i="52"/>
  <c r="AO86" i="11" s="1"/>
  <c r="AL101" i="52"/>
  <c r="AO81" i="11" s="1"/>
  <c r="AL105" i="52"/>
  <c r="AO89" i="11" s="1"/>
  <c r="AL113" i="52"/>
  <c r="AO71" i="11" s="1"/>
  <c r="AL103" i="52"/>
  <c r="AO87" i="11" s="1"/>
  <c r="AL100" i="52"/>
  <c r="AO80" i="11" s="1"/>
  <c r="AL114" i="52"/>
  <c r="AO72" i="11" s="1"/>
  <c r="AL112" i="52"/>
  <c r="AO70" i="11" s="1"/>
  <c r="AL104" i="52"/>
  <c r="AO88" i="11" s="1"/>
  <c r="AL116" i="52"/>
  <c r="AO74" i="11" s="1"/>
  <c r="AL108" i="52"/>
  <c r="AO96" i="11" s="1"/>
  <c r="AL109" i="52"/>
  <c r="AO97" i="11" s="1"/>
  <c r="AL106" i="52"/>
  <c r="AO94" i="11" s="1"/>
  <c r="AL111" i="52"/>
  <c r="AO99" i="11" s="1"/>
  <c r="AL110" i="52"/>
  <c r="AO98" i="11" s="1"/>
  <c r="AL107" i="52"/>
  <c r="AO95" i="11" s="1"/>
  <c r="L89" i="52"/>
  <c r="L90" i="52"/>
  <c r="I38" i="55"/>
  <c r="G128" i="36"/>
  <c r="G133" i="36"/>
  <c r="G125" i="36"/>
  <c r="G134" i="36"/>
  <c r="G139" i="36"/>
  <c r="G129" i="36"/>
  <c r="G138" i="36"/>
  <c r="G132" i="36"/>
  <c r="G136" i="36"/>
  <c r="G137" i="36"/>
  <c r="G130" i="36"/>
  <c r="G131" i="36"/>
  <c r="G52" i="55"/>
  <c r="G124" i="36"/>
  <c r="G127" i="36"/>
  <c r="G135" i="36"/>
  <c r="E88" i="52"/>
  <c r="G126" i="36"/>
  <c r="R73" i="11"/>
  <c r="O134" i="52"/>
  <c r="U65" i="48"/>
  <c r="U70" i="48" s="1"/>
  <c r="U75" i="48" s="1"/>
  <c r="E54" i="33"/>
  <c r="K51" i="33"/>
  <c r="Z47" i="55"/>
  <c r="AM16" i="57"/>
  <c r="Z17" i="53" s="1"/>
  <c r="AM15" i="57"/>
  <c r="Z16" i="53" s="1"/>
  <c r="Z10" i="56"/>
  <c r="Z3" i="56"/>
  <c r="Z30" i="55"/>
  <c r="AP40" i="55"/>
  <c r="AM9" i="55"/>
  <c r="AM11" i="36"/>
  <c r="AM11" i="55"/>
  <c r="AM7" i="55"/>
  <c r="AM8" i="48"/>
  <c r="AM48" i="55"/>
  <c r="AM4" i="47"/>
  <c r="AM7" i="48"/>
  <c r="AM4" i="48"/>
  <c r="AM10" i="55"/>
  <c r="AM5" i="55"/>
  <c r="AZ22" i="57"/>
  <c r="AM7" i="53" s="1"/>
  <c r="AZ21" i="57"/>
  <c r="AM6" i="53" s="1"/>
  <c r="AM13" i="53"/>
  <c r="AM6" i="36"/>
  <c r="AM5" i="53"/>
  <c r="AM9" i="36"/>
  <c r="AM9" i="53"/>
  <c r="AM14" i="53"/>
  <c r="AM8" i="53"/>
  <c r="AM5" i="48"/>
  <c r="AM11" i="53"/>
  <c r="AM4" i="36"/>
  <c r="AM11" i="56"/>
  <c r="AM6" i="48"/>
  <c r="AM8" i="36"/>
  <c r="AM10" i="53"/>
  <c r="AM7" i="36"/>
  <c r="AM10" i="36"/>
  <c r="AM5" i="36"/>
  <c r="AM12" i="53"/>
  <c r="AM4" i="55"/>
  <c r="AM8" i="55"/>
  <c r="AM6" i="55"/>
  <c r="AG32" i="47"/>
  <c r="AG33" i="47" s="1"/>
  <c r="AG34" i="47" s="1"/>
  <c r="AG94" i="52"/>
  <c r="AN77" i="11"/>
  <c r="AE14" i="56"/>
  <c r="Z13" i="52"/>
  <c r="Z12" i="52"/>
  <c r="Z119" i="52"/>
  <c r="AM30" i="55"/>
  <c r="AM18" i="53"/>
  <c r="AM22" i="53"/>
  <c r="AM47" i="55"/>
  <c r="AM19" i="53"/>
  <c r="AM20" i="53"/>
  <c r="AZ15" i="57"/>
  <c r="AM16" i="53" s="1"/>
  <c r="AM23" i="53"/>
  <c r="AM15" i="53"/>
  <c r="AM10" i="56"/>
  <c r="AM21" i="53"/>
  <c r="AM3" i="56"/>
  <c r="AM24" i="53"/>
  <c r="AZ16" i="57"/>
  <c r="AM17" i="53" s="1"/>
  <c r="E92" i="52"/>
  <c r="G15" i="56"/>
  <c r="E95" i="52" s="1"/>
  <c r="AG268" i="53"/>
  <c r="AH105" i="11"/>
  <c r="AH109" i="11" s="1"/>
  <c r="F25" i="58"/>
  <c r="F27" i="58"/>
  <c r="F29" i="58"/>
  <c r="F28" i="58"/>
  <c r="F26" i="58"/>
  <c r="F30" i="58"/>
  <c r="F24" i="58"/>
  <c r="F23" i="58" s="1"/>
  <c r="F32" i="58"/>
  <c r="O130" i="52"/>
  <c r="R99" i="11"/>
  <c r="U40" i="55"/>
  <c r="T51" i="55"/>
  <c r="Y65" i="48"/>
  <c r="Y70" i="48" s="1"/>
  <c r="Y75" i="48" s="1"/>
  <c r="X29" i="58"/>
  <c r="X25" i="58"/>
  <c r="X24" i="58"/>
  <c r="X30" i="58"/>
  <c r="X27" i="58"/>
  <c r="X28" i="58"/>
  <c r="X32" i="58"/>
  <c r="X26" i="58"/>
  <c r="AP65" i="48"/>
  <c r="AP70" i="48" s="1"/>
  <c r="AP75" i="48" s="1"/>
  <c r="AH12" i="52"/>
  <c r="AH119" i="52"/>
  <c r="AH13" i="52"/>
  <c r="AE35" i="55"/>
  <c r="P57" i="55"/>
  <c r="N91" i="52"/>
  <c r="P118" i="36"/>
  <c r="P122" i="36"/>
  <c r="P121" i="36"/>
  <c r="P116" i="36"/>
  <c r="P117" i="36"/>
  <c r="P120" i="36"/>
  <c r="P123" i="36"/>
  <c r="P119" i="36"/>
  <c r="W15" i="56"/>
  <c r="U95" i="52" s="1"/>
  <c r="U92" i="52"/>
  <c r="Q27" i="58"/>
  <c r="Q24" i="58"/>
  <c r="Q30" i="58"/>
  <c r="Q32" i="58"/>
  <c r="Q29" i="58"/>
  <c r="Q26" i="58"/>
  <c r="Q28" i="58"/>
  <c r="Q25" i="58"/>
  <c r="L177" i="28"/>
  <c r="AE40" i="55"/>
  <c r="AK137" i="52"/>
  <c r="AK138" i="52" s="1"/>
  <c r="AK139" i="52" s="1"/>
  <c r="AH17" i="56"/>
  <c r="AG179" i="28"/>
  <c r="AH14" i="52"/>
  <c r="AH121" i="52"/>
  <c r="O127" i="52"/>
  <c r="R96" i="11"/>
  <c r="D121" i="52"/>
  <c r="D14" i="52"/>
  <c r="AB15" i="52"/>
  <c r="AB125" i="52"/>
  <c r="Y40" i="55"/>
  <c r="AJ12" i="52"/>
  <c r="AJ119" i="52"/>
  <c r="AJ13" i="52"/>
  <c r="AA99" i="52"/>
  <c r="Z121" i="52"/>
  <c r="Z14" i="52"/>
  <c r="AM13" i="48"/>
  <c r="AM17" i="55"/>
  <c r="AM16" i="55"/>
  <c r="AM18" i="55"/>
  <c r="AM15" i="36"/>
  <c r="AM11" i="48"/>
  <c r="AM12" i="55"/>
  <c r="AM13" i="36"/>
  <c r="AM17" i="36"/>
  <c r="AM14" i="36"/>
  <c r="AM10" i="48"/>
  <c r="AM16" i="36"/>
  <c r="AM18" i="36"/>
  <c r="AM14" i="55"/>
  <c r="AM9" i="48"/>
  <c r="AM19" i="55"/>
  <c r="AM15" i="55"/>
  <c r="AM5" i="47"/>
  <c r="AM19" i="36"/>
  <c r="AM12" i="48"/>
  <c r="AM13" i="55"/>
  <c r="AM12" i="36"/>
  <c r="S7" i="55"/>
  <c r="S5" i="36"/>
  <c r="S7" i="48"/>
  <c r="S48" i="55"/>
  <c r="S11" i="36"/>
  <c r="S4" i="47"/>
  <c r="S6" i="48"/>
  <c r="AF22" i="57"/>
  <c r="S7" i="53" s="1"/>
  <c r="S6" i="36"/>
  <c r="S4" i="48"/>
  <c r="S7" i="36"/>
  <c r="S11" i="55"/>
  <c r="S10" i="55"/>
  <c r="S9" i="55"/>
  <c r="S6" i="55"/>
  <c r="S8" i="48"/>
  <c r="S5" i="48"/>
  <c r="S4" i="55"/>
  <c r="S5" i="55"/>
  <c r="S8" i="55"/>
  <c r="S4" i="36"/>
  <c r="S8" i="36"/>
  <c r="S10" i="36"/>
  <c r="S11" i="56"/>
  <c r="S9" i="36"/>
  <c r="AF21" i="57"/>
  <c r="S6" i="53" s="1"/>
  <c r="AA96" i="52"/>
  <c r="AA97" i="52" s="1"/>
  <c r="I14" i="56"/>
  <c r="I299" i="53"/>
  <c r="O120" i="52"/>
  <c r="R81" i="11"/>
  <c r="D15" i="52"/>
  <c r="D125" i="52"/>
  <c r="U32" i="47"/>
  <c r="U33" i="47" s="1"/>
  <c r="U34" i="47" s="1"/>
  <c r="Y37" i="55"/>
  <c r="AF181" i="28"/>
  <c r="P28" i="53"/>
  <c r="P38" i="53"/>
  <c r="P8" i="53"/>
  <c r="P18" i="53"/>
  <c r="N89" i="52"/>
  <c r="N90" i="52"/>
  <c r="AE62" i="48"/>
  <c r="AE67" i="48" s="1"/>
  <c r="AE72" i="48" s="1"/>
  <c r="AH16" i="52"/>
  <c r="AK65" i="11"/>
  <c r="AH131" i="52"/>
  <c r="AC65" i="11"/>
  <c r="Z16" i="52"/>
  <c r="Z131" i="52"/>
  <c r="K12" i="52"/>
  <c r="K119" i="52"/>
  <c r="K13" i="52"/>
  <c r="AG61" i="48"/>
  <c r="AG66" i="48" s="1"/>
  <c r="AG71" i="48" s="1"/>
  <c r="P15" i="52"/>
  <c r="P125" i="52"/>
  <c r="O128" i="52"/>
  <c r="R97" i="11"/>
  <c r="U41" i="55"/>
  <c r="T14" i="56"/>
  <c r="AJ15" i="52"/>
  <c r="AJ125" i="52"/>
  <c r="V24" i="58"/>
  <c r="V25" i="58"/>
  <c r="V28" i="58"/>
  <c r="V30" i="58"/>
  <c r="V27" i="58"/>
  <c r="V26" i="58"/>
  <c r="V29" i="58"/>
  <c r="V32" i="58"/>
  <c r="Z17" i="48"/>
  <c r="Z25" i="55"/>
  <c r="Z27" i="36"/>
  <c r="AM19" i="57"/>
  <c r="Z36" i="53" s="1"/>
  <c r="Z20" i="55"/>
  <c r="Z26" i="36"/>
  <c r="Z16" i="48"/>
  <c r="Z15" i="48"/>
  <c r="AM20" i="57"/>
  <c r="Z37" i="53" s="1"/>
  <c r="Z27" i="55"/>
  <c r="Z6" i="47"/>
  <c r="Z18" i="48"/>
  <c r="Z23" i="36"/>
  <c r="Z24" i="36"/>
  <c r="Z22" i="36"/>
  <c r="Z26" i="55"/>
  <c r="Z25" i="36"/>
  <c r="Z21" i="55"/>
  <c r="Z14" i="48"/>
  <c r="Z22" i="55"/>
  <c r="Z24" i="55"/>
  <c r="Z23" i="55"/>
  <c r="Z20" i="36"/>
  <c r="Z21" i="36"/>
  <c r="P10" i="53"/>
  <c r="P30" i="53"/>
  <c r="P20" i="53"/>
  <c r="P40" i="53"/>
  <c r="J13" i="52"/>
  <c r="J12" i="52"/>
  <c r="J119" i="52"/>
  <c r="AE38" i="55"/>
  <c r="K14" i="52"/>
  <c r="K121" i="52"/>
  <c r="AG180" i="28"/>
  <c r="AG63" i="48"/>
  <c r="AG68" i="48" s="1"/>
  <c r="AG73" i="48" s="1"/>
  <c r="P18" i="58"/>
  <c r="P19" i="58" s="1"/>
  <c r="AG96" i="52"/>
  <c r="AG97" i="52" s="1"/>
  <c r="AD181" i="28"/>
  <c r="L99" i="52"/>
  <c r="I61" i="48"/>
  <c r="I66" i="48" s="1"/>
  <c r="I71" i="48" s="1"/>
  <c r="R98" i="11"/>
  <c r="O129" i="52"/>
  <c r="D133" i="52"/>
  <c r="Q137" i="52"/>
  <c r="Q138" i="52" s="1"/>
  <c r="Q139" i="52" s="1"/>
  <c r="AG37" i="55"/>
  <c r="AL14" i="52"/>
  <c r="AL121" i="52"/>
  <c r="AG174" i="28"/>
  <c r="AA35" i="55"/>
  <c r="AA39" i="55"/>
  <c r="I51" i="55"/>
  <c r="I32" i="47"/>
  <c r="I33" i="47" s="1"/>
  <c r="I34" i="47" s="1"/>
  <c r="R74" i="11"/>
  <c r="O135" i="52"/>
  <c r="AF15" i="57"/>
  <c r="S16" i="53" s="1"/>
  <c r="S30" i="55"/>
  <c r="S47" i="55"/>
  <c r="S3" i="56"/>
  <c r="AF16" i="57"/>
  <c r="S17" i="53" s="1"/>
  <c r="S10" i="56"/>
  <c r="AP301" i="53"/>
  <c r="Y57" i="11"/>
  <c r="V128" i="52" s="1"/>
  <c r="Y61" i="11"/>
  <c r="Y60" i="11"/>
  <c r="V129" i="52" s="1"/>
  <c r="Y56" i="11"/>
  <c r="V122" i="52" s="1"/>
  <c r="Y55" i="11"/>
  <c r="V134" i="52" s="1"/>
  <c r="Y52" i="11"/>
  <c r="V133" i="52" s="1"/>
  <c r="Y58" i="11"/>
  <c r="Y62" i="11"/>
  <c r="V124" i="52" s="1"/>
  <c r="Y63" i="11"/>
  <c r="V130" i="52" s="1"/>
  <c r="Y54" i="11"/>
  <c r="V127" i="52" s="1"/>
  <c r="Y53" i="11"/>
  <c r="Y48" i="11"/>
  <c r="Y59" i="11"/>
  <c r="V123" i="52" s="1"/>
  <c r="Y49" i="11"/>
  <c r="V132" i="52" s="1"/>
  <c r="Y50" i="11"/>
  <c r="V120" i="52" s="1"/>
  <c r="Y47" i="11"/>
  <c r="Y46" i="11"/>
  <c r="Y51" i="11"/>
  <c r="V126" i="52" s="1"/>
  <c r="T62" i="48"/>
  <c r="T67" i="48" s="1"/>
  <c r="T72" i="48" s="1"/>
  <c r="AE34" i="55"/>
  <c r="L176" i="28"/>
  <c r="T61" i="48"/>
  <c r="T66" i="48" s="1"/>
  <c r="T71" i="48" s="1"/>
  <c r="AE268" i="53"/>
  <c r="AF105" i="11"/>
  <c r="AF109" i="11" s="1"/>
  <c r="AE41" i="55"/>
  <c r="K15" i="52"/>
  <c r="K125" i="52"/>
  <c r="AG62" i="48"/>
  <c r="AG67" i="48" s="1"/>
  <c r="AG72" i="48" s="1"/>
  <c r="AO65" i="11"/>
  <c r="AL16" i="52"/>
  <c r="AL131" i="52"/>
  <c r="AA38" i="55"/>
  <c r="AA63" i="48"/>
  <c r="AA68" i="48" s="1"/>
  <c r="AA73" i="48" s="1"/>
  <c r="P14" i="52"/>
  <c r="P121" i="52"/>
  <c r="O15" i="52"/>
  <c r="R94" i="11"/>
  <c r="O125" i="52"/>
  <c r="Y39" i="55"/>
  <c r="AJ14" i="52"/>
  <c r="AJ121" i="52"/>
  <c r="S19" i="55"/>
  <c r="S13" i="48"/>
  <c r="S10" i="48"/>
  <c r="S14" i="36"/>
  <c r="S12" i="48"/>
  <c r="S14" i="55"/>
  <c r="S13" i="36"/>
  <c r="S18" i="36"/>
  <c r="S15" i="36"/>
  <c r="S13" i="55"/>
  <c r="S11" i="48"/>
  <c r="S18" i="55"/>
  <c r="S19" i="36"/>
  <c r="S17" i="36"/>
  <c r="S16" i="55"/>
  <c r="S5" i="47"/>
  <c r="S16" i="36"/>
  <c r="S12" i="36"/>
  <c r="S9" i="48"/>
  <c r="S17" i="55"/>
  <c r="S12" i="55"/>
  <c r="S15" i="55"/>
  <c r="AP292" i="53"/>
  <c r="AN34" i="52"/>
  <c r="K16" i="52"/>
  <c r="N65" i="11"/>
  <c r="K131" i="52"/>
  <c r="AD30" i="58"/>
  <c r="AD27" i="58"/>
  <c r="AD26" i="58"/>
  <c r="AD28" i="58"/>
  <c r="AD32" i="58"/>
  <c r="AD25" i="58"/>
  <c r="AD24" i="58"/>
  <c r="AD29" i="58"/>
  <c r="J296" i="53"/>
  <c r="I37" i="55"/>
  <c r="O126" i="52"/>
  <c r="R95" i="11"/>
  <c r="Z7" i="55"/>
  <c r="Z10" i="55"/>
  <c r="Z8" i="48"/>
  <c r="Z4" i="48"/>
  <c r="AM21" i="57"/>
  <c r="Z6" i="53" s="1"/>
  <c r="Z4" i="36"/>
  <c r="Z11" i="55"/>
  <c r="Z5" i="36"/>
  <c r="Z7" i="48"/>
  <c r="Z4" i="55"/>
  <c r="Z5" i="55"/>
  <c r="Z11" i="56"/>
  <c r="Z6" i="48"/>
  <c r="Z8" i="36"/>
  <c r="Z10" i="36"/>
  <c r="AM22" i="57"/>
  <c r="Z7" i="53" s="1"/>
  <c r="Z11" i="36"/>
  <c r="Z9" i="36"/>
  <c r="Z5" i="48"/>
  <c r="Z6" i="36"/>
  <c r="Z9" i="55"/>
  <c r="Z7" i="36"/>
  <c r="Z6" i="55"/>
  <c r="Z4" i="47"/>
  <c r="Z48" i="55"/>
  <c r="Z8" i="55"/>
  <c r="AP39" i="55"/>
  <c r="AP300" i="53"/>
  <c r="T65" i="48"/>
  <c r="T70" i="48" s="1"/>
  <c r="T75" i="48" s="1"/>
  <c r="T23" i="58"/>
  <c r="U175" i="28" s="1"/>
  <c r="AN101" i="11"/>
  <c r="AM277" i="53" s="1"/>
  <c r="AG176" i="28"/>
  <c r="AA37" i="55"/>
  <c r="W18" i="58"/>
  <c r="W19" i="58" s="1"/>
  <c r="Y61" i="48"/>
  <c r="Y66" i="48" s="1"/>
  <c r="Y71" i="48" s="1"/>
  <c r="Y64" i="48"/>
  <c r="Y69" i="48" s="1"/>
  <c r="Y74" i="48" s="1"/>
  <c r="AP64" i="48"/>
  <c r="AP69" i="48" s="1"/>
  <c r="AP74" i="48" s="1"/>
  <c r="I35" i="55"/>
  <c r="R72" i="11"/>
  <c r="O133" i="52"/>
  <c r="D119" i="52"/>
  <c r="D13" i="52"/>
  <c r="D12" i="52"/>
  <c r="U61" i="48"/>
  <c r="U66" i="48" s="1"/>
  <c r="U71" i="48" s="1"/>
  <c r="Y63" i="48"/>
  <c r="Y68" i="48" s="1"/>
  <c r="Y73" i="48" s="1"/>
  <c r="Y38" i="55"/>
  <c r="AL101" i="11"/>
  <c r="AK277" i="53" s="1"/>
  <c r="R65" i="11"/>
  <c r="R70" i="11"/>
  <c r="O16" i="52"/>
  <c r="O131" i="52"/>
  <c r="AP299" i="53"/>
  <c r="AP35" i="55"/>
  <c r="AB110" i="52"/>
  <c r="AE98" i="11" s="1"/>
  <c r="AB100" i="52"/>
  <c r="AE80" i="11" s="1"/>
  <c r="AB103" i="52"/>
  <c r="AE87" i="11" s="1"/>
  <c r="AB102" i="52"/>
  <c r="AE86" i="11" s="1"/>
  <c r="AB105" i="52"/>
  <c r="AE89" i="11" s="1"/>
  <c r="AB101" i="52"/>
  <c r="AE81" i="11" s="1"/>
  <c r="AB104" i="52"/>
  <c r="AE88" i="11" s="1"/>
  <c r="AB108" i="52"/>
  <c r="AE96" i="11" s="1"/>
  <c r="AB109" i="52"/>
  <c r="AE97" i="11" s="1"/>
  <c r="AB107" i="52"/>
  <c r="AE95" i="11" s="1"/>
  <c r="AB111" i="52"/>
  <c r="AE99" i="11" s="1"/>
  <c r="AB113" i="52"/>
  <c r="AE71" i="11" s="1"/>
  <c r="AB106" i="52"/>
  <c r="AE94" i="11" s="1"/>
  <c r="AB117" i="52"/>
  <c r="AE75" i="11" s="1"/>
  <c r="AB115" i="52"/>
  <c r="AE73" i="11" s="1"/>
  <c r="AB116" i="52"/>
  <c r="AE74" i="11" s="1"/>
  <c r="AB112" i="52"/>
  <c r="AE70" i="11" s="1"/>
  <c r="AB114" i="52"/>
  <c r="AE72" i="11" s="1"/>
  <c r="AE65" i="48"/>
  <c r="AE70" i="48" s="1"/>
  <c r="AE75" i="48" s="1"/>
  <c r="J127" i="52"/>
  <c r="Z15" i="52"/>
  <c r="Z125" i="52"/>
  <c r="AA34" i="55"/>
  <c r="V283" i="53"/>
  <c r="V288" i="53" s="1"/>
  <c r="V204" i="53" s="1"/>
  <c r="V248" i="53" s="1"/>
  <c r="AH15" i="52"/>
  <c r="AH125" i="52"/>
  <c r="AM33" i="53"/>
  <c r="AM25" i="53"/>
  <c r="AM32" i="53"/>
  <c r="AM31" i="53"/>
  <c r="AM29" i="53"/>
  <c r="AZ18" i="57"/>
  <c r="AM27" i="53" s="1"/>
  <c r="AM34" i="53"/>
  <c r="AZ17" i="57"/>
  <c r="AM26" i="53" s="1"/>
  <c r="AM28" i="53"/>
  <c r="AM30" i="53"/>
  <c r="AB13" i="52"/>
  <c r="AB12" i="52"/>
  <c r="AB119" i="52"/>
  <c r="U34" i="55"/>
  <c r="Y41" i="55"/>
  <c r="U96" i="52"/>
  <c r="U97" i="52" s="1"/>
  <c r="AP295" i="53"/>
  <c r="AP41" i="55"/>
  <c r="J121" i="52"/>
  <c r="J14" i="52"/>
  <c r="AL91" i="11"/>
  <c r="AK274" i="53" s="1"/>
  <c r="AB129" i="52"/>
  <c r="U99" i="52"/>
  <c r="AP38" i="55"/>
  <c r="V281" i="53"/>
  <c r="V286" i="53" s="1"/>
  <c r="AL15" i="52"/>
  <c r="AL125" i="52"/>
  <c r="AF99" i="52"/>
  <c r="N57" i="55"/>
  <c r="N119" i="36"/>
  <c r="N121" i="36"/>
  <c r="L91" i="52"/>
  <c r="N117" i="36"/>
  <c r="N120" i="36"/>
  <c r="N122" i="36"/>
  <c r="N116" i="36"/>
  <c r="N123" i="36"/>
  <c r="N118" i="36"/>
  <c r="I295" i="53"/>
  <c r="AB26" i="58"/>
  <c r="AB27" i="58"/>
  <c r="AB29" i="58"/>
  <c r="AB32" i="58"/>
  <c r="AB25" i="58"/>
  <c r="AB24" i="58"/>
  <c r="AB30" i="58"/>
  <c r="AB28" i="58"/>
  <c r="L178" i="28"/>
  <c r="AG34" i="55"/>
  <c r="AA14" i="56"/>
  <c r="AM18" i="57"/>
  <c r="Z27" i="53" s="1"/>
  <c r="AM17" i="57"/>
  <c r="Z26" i="53" s="1"/>
  <c r="I65" i="48"/>
  <c r="I70" i="48" s="1"/>
  <c r="I75" i="48" s="1"/>
  <c r="I34" i="55"/>
  <c r="P119" i="52"/>
  <c r="P13" i="52"/>
  <c r="P12" i="52"/>
  <c r="AE65" i="11"/>
  <c r="AB16" i="52"/>
  <c r="AB131" i="52"/>
  <c r="U36" i="55"/>
  <c r="U98" i="52"/>
  <c r="AP61" i="48"/>
  <c r="AP66" i="48" s="1"/>
  <c r="AP71" i="48" s="1"/>
  <c r="AP296" i="53"/>
  <c r="H282" i="53"/>
  <c r="H287" i="53" s="1"/>
  <c r="H196" i="53" s="1"/>
  <c r="H206" i="53"/>
  <c r="H208" i="53"/>
  <c r="H209" i="53"/>
  <c r="H207" i="53"/>
  <c r="H205" i="53"/>
  <c r="H210" i="53"/>
  <c r="H211" i="53"/>
  <c r="H255" i="53" s="1"/>
  <c r="H202" i="53"/>
  <c r="H203" i="53"/>
  <c r="H247" i="53" s="1"/>
  <c r="H204" i="53"/>
  <c r="H248" i="53" s="1"/>
  <c r="H284" i="53"/>
  <c r="H289" i="53" s="1"/>
  <c r="H281" i="53"/>
  <c r="H286" i="53" s="1"/>
  <c r="H184" i="53" s="1"/>
  <c r="H228" i="53" s="1"/>
  <c r="G35" i="53" l="1"/>
  <c r="G12" i="53"/>
  <c r="G22" i="53"/>
  <c r="AA89" i="52"/>
  <c r="G32" i="53"/>
  <c r="AD89" i="52"/>
  <c r="U137" i="36"/>
  <c r="S88" i="52"/>
  <c r="S83" i="11"/>
  <c r="R271" i="53" s="1"/>
  <c r="N34" i="52"/>
  <c r="G44" i="53"/>
  <c r="AG134" i="36"/>
  <c r="I109" i="52"/>
  <c r="L97" i="11" s="1"/>
  <c r="AF35" i="53"/>
  <c r="AF292" i="53" s="1"/>
  <c r="G34" i="53"/>
  <c r="V117" i="52"/>
  <c r="Y75" i="11" s="1"/>
  <c r="AP130" i="36"/>
  <c r="AP128" i="36"/>
  <c r="AF119" i="36"/>
  <c r="G8" i="53"/>
  <c r="AH25" i="53"/>
  <c r="AD91" i="52"/>
  <c r="Y131" i="36"/>
  <c r="AP138" i="36"/>
  <c r="P300" i="53"/>
  <c r="G38" i="53"/>
  <c r="Y128" i="36"/>
  <c r="N34" i="53"/>
  <c r="AF123" i="36"/>
  <c r="W88" i="52"/>
  <c r="W89" i="52" s="1"/>
  <c r="AE136" i="36"/>
  <c r="AD94" i="52"/>
  <c r="AF121" i="36"/>
  <c r="AP129" i="36"/>
  <c r="AF120" i="36"/>
  <c r="AF122" i="36"/>
  <c r="Y138" i="36"/>
  <c r="AP124" i="36"/>
  <c r="AP134" i="36"/>
  <c r="Y15" i="56"/>
  <c r="W95" i="52" s="1"/>
  <c r="AF117" i="36"/>
  <c r="AP127" i="36"/>
  <c r="AP133" i="36"/>
  <c r="AF116" i="36"/>
  <c r="P292" i="53"/>
  <c r="P293" i="53" s="1"/>
  <c r="AP131" i="36"/>
  <c r="AF118" i="36"/>
  <c r="AP125" i="36"/>
  <c r="AM83" i="11"/>
  <c r="AL271" i="53" s="1"/>
  <c r="U52" i="55"/>
  <c r="U122" i="36" s="1"/>
  <c r="N24" i="53"/>
  <c r="G18" i="53"/>
  <c r="Y126" i="36"/>
  <c r="V104" i="52"/>
  <c r="Y88" i="11" s="1"/>
  <c r="U129" i="36"/>
  <c r="AP52" i="55"/>
  <c r="AP57" i="55" s="1"/>
  <c r="AP139" i="36"/>
  <c r="I101" i="52"/>
  <c r="L81" i="11" s="1"/>
  <c r="I111" i="52"/>
  <c r="L99" i="11" s="1"/>
  <c r="Y127" i="36"/>
  <c r="V109" i="52"/>
  <c r="Y97" i="11" s="1"/>
  <c r="I104" i="52"/>
  <c r="L88" i="11" s="1"/>
  <c r="N44" i="53"/>
  <c r="Y125" i="36"/>
  <c r="U132" i="36"/>
  <c r="AN88" i="52"/>
  <c r="AN89" i="52" s="1"/>
  <c r="AP126" i="36"/>
  <c r="AG133" i="36"/>
  <c r="U131" i="36"/>
  <c r="U136" i="36"/>
  <c r="L94" i="52"/>
  <c r="G9" i="53"/>
  <c r="AH15" i="53"/>
  <c r="AF44" i="53"/>
  <c r="U126" i="36"/>
  <c r="Y129" i="36"/>
  <c r="AF34" i="53"/>
  <c r="U134" i="36"/>
  <c r="AH5" i="53"/>
  <c r="AF14" i="53"/>
  <c r="I107" i="52"/>
  <c r="L95" i="11" s="1"/>
  <c r="Y124" i="36"/>
  <c r="AP136" i="36"/>
  <c r="I112" i="52"/>
  <c r="L70" i="11" s="1"/>
  <c r="Y139" i="36"/>
  <c r="U139" i="36"/>
  <c r="AP135" i="36"/>
  <c r="I113" i="52"/>
  <c r="L71" i="11" s="1"/>
  <c r="Y136" i="36"/>
  <c r="AP132" i="36"/>
  <c r="I110" i="52"/>
  <c r="L98" i="11" s="1"/>
  <c r="G41" i="53"/>
  <c r="G39" i="53"/>
  <c r="Y130" i="36"/>
  <c r="AE130" i="36"/>
  <c r="U127" i="36"/>
  <c r="I106" i="52"/>
  <c r="L94" i="11" s="1"/>
  <c r="G31" i="53"/>
  <c r="G19" i="53"/>
  <c r="P299" i="53"/>
  <c r="V116" i="52"/>
  <c r="Y74" i="11" s="1"/>
  <c r="U135" i="36"/>
  <c r="U138" i="36"/>
  <c r="I115" i="52"/>
  <c r="L73" i="11" s="1"/>
  <c r="I105" i="52"/>
  <c r="L89" i="11" s="1"/>
  <c r="U15" i="56"/>
  <c r="S95" i="52" s="1"/>
  <c r="AA105" i="11"/>
  <c r="AA109" i="11" s="1"/>
  <c r="G24" i="53"/>
  <c r="Y133" i="36"/>
  <c r="U124" i="36"/>
  <c r="I108" i="52"/>
  <c r="L96" i="11" s="1"/>
  <c r="Y132" i="36"/>
  <c r="V112" i="52"/>
  <c r="Y70" i="11" s="1"/>
  <c r="AN92" i="52"/>
  <c r="AN93" i="52" s="1"/>
  <c r="U125" i="36"/>
  <c r="I117" i="52"/>
  <c r="L75" i="11" s="1"/>
  <c r="I103" i="52"/>
  <c r="L87" i="11" s="1"/>
  <c r="G11" i="53"/>
  <c r="AF17" i="56"/>
  <c r="AH18" i="53"/>
  <c r="V194" i="53"/>
  <c r="V238" i="53" s="1"/>
  <c r="N33" i="53"/>
  <c r="Y135" i="36"/>
  <c r="Y137" i="36"/>
  <c r="V114" i="52"/>
  <c r="Y72" i="11" s="1"/>
  <c r="U128" i="36"/>
  <c r="I116" i="52"/>
  <c r="L74" i="11" s="1"/>
  <c r="I100" i="52"/>
  <c r="L80" i="11" s="1"/>
  <c r="AH28" i="53"/>
  <c r="Y134" i="36"/>
  <c r="V113" i="52"/>
  <c r="Y71" i="11" s="1"/>
  <c r="W120" i="36"/>
  <c r="U130" i="36"/>
  <c r="I114" i="52"/>
  <c r="L72" i="11" s="1"/>
  <c r="AG125" i="36"/>
  <c r="AW13" i="36" s="1"/>
  <c r="AG128" i="36"/>
  <c r="AW16" i="36" s="1"/>
  <c r="AE88" i="52"/>
  <c r="AE89" i="52" s="1"/>
  <c r="AG129" i="36"/>
  <c r="AW17" i="36" s="1"/>
  <c r="AG136" i="36"/>
  <c r="AG127" i="36"/>
  <c r="AW15" i="36" s="1"/>
  <c r="AG135" i="36"/>
  <c r="AG52" i="55"/>
  <c r="AG57" i="55" s="1"/>
  <c r="AI122" i="36"/>
  <c r="AG130" i="36"/>
  <c r="AW18" i="36" s="1"/>
  <c r="Z40" i="55"/>
  <c r="AG139" i="36"/>
  <c r="AM35" i="55"/>
  <c r="AG124" i="36"/>
  <c r="AW12" i="36" s="1"/>
  <c r="AG131" i="36"/>
  <c r="AW19" i="36" s="1"/>
  <c r="AG138" i="36"/>
  <c r="I292" i="53"/>
  <c r="I293" i="53" s="1"/>
  <c r="AG126" i="36"/>
  <c r="AW14" i="36" s="1"/>
  <c r="AG132" i="36"/>
  <c r="N23" i="53"/>
  <c r="AE133" i="36"/>
  <c r="AE127" i="36"/>
  <c r="AF20" i="53"/>
  <c r="AF40" i="53"/>
  <c r="N43" i="53"/>
  <c r="V108" i="52"/>
  <c r="Y96" i="11" s="1"/>
  <c r="AE125" i="36"/>
  <c r="AE138" i="36"/>
  <c r="AE139" i="36"/>
  <c r="AH39" i="53"/>
  <c r="V105" i="52"/>
  <c r="Y89" i="11" s="1"/>
  <c r="AC88" i="52"/>
  <c r="AC89" i="52" s="1"/>
  <c r="AE52" i="55"/>
  <c r="AE121" i="36" s="1"/>
  <c r="AE128" i="36"/>
  <c r="AE137" i="36"/>
  <c r="AH29" i="53"/>
  <c r="V100" i="52"/>
  <c r="Y80" i="11" s="1"/>
  <c r="AE124" i="36"/>
  <c r="AE135" i="36"/>
  <c r="AF30" i="53"/>
  <c r="V102" i="52"/>
  <c r="Y86" i="11" s="1"/>
  <c r="AE131" i="36"/>
  <c r="AE129" i="36"/>
  <c r="G34" i="52"/>
  <c r="J281" i="53"/>
  <c r="J286" i="53" s="1"/>
  <c r="J184" i="53" s="1"/>
  <c r="J228" i="53" s="1"/>
  <c r="AE132" i="36"/>
  <c r="V106" i="52"/>
  <c r="Y94" i="11" s="1"/>
  <c r="AE126" i="36"/>
  <c r="AC77" i="11"/>
  <c r="AB268" i="53" s="1"/>
  <c r="G43" i="53"/>
  <c r="AI117" i="36"/>
  <c r="G33" i="53"/>
  <c r="AG89" i="52"/>
  <c r="AC83" i="11"/>
  <c r="AB271" i="53" s="1"/>
  <c r="W118" i="36"/>
  <c r="AC123" i="36"/>
  <c r="AA134" i="36"/>
  <c r="N39" i="53"/>
  <c r="AH41" i="53"/>
  <c r="W121" i="36"/>
  <c r="G20" i="53"/>
  <c r="AC117" i="36"/>
  <c r="AH8" i="53"/>
  <c r="AA130" i="36"/>
  <c r="N19" i="53"/>
  <c r="AH11" i="53"/>
  <c r="AC120" i="36"/>
  <c r="AI119" i="36"/>
  <c r="Z65" i="48"/>
  <c r="Z70" i="48" s="1"/>
  <c r="Z75" i="48" s="1"/>
  <c r="AC118" i="36"/>
  <c r="AC121" i="36"/>
  <c r="G40" i="53"/>
  <c r="W117" i="36"/>
  <c r="G10" i="53"/>
  <c r="AA91" i="52"/>
  <c r="AH30" i="53"/>
  <c r="AA133" i="36"/>
  <c r="N9" i="53"/>
  <c r="AH31" i="53"/>
  <c r="AK83" i="11"/>
  <c r="AJ271" i="53" s="1"/>
  <c r="S101" i="11"/>
  <c r="R277" i="53" s="1"/>
  <c r="AC116" i="36"/>
  <c r="AI120" i="36"/>
  <c r="G13" i="53"/>
  <c r="AI121" i="36"/>
  <c r="W116" i="36"/>
  <c r="AC122" i="36"/>
  <c r="AA127" i="36"/>
  <c r="S98" i="52"/>
  <c r="AI118" i="36"/>
  <c r="AI123" i="36"/>
  <c r="W122" i="36"/>
  <c r="AC119" i="36"/>
  <c r="AI116" i="36"/>
  <c r="W119" i="36"/>
  <c r="U91" i="52"/>
  <c r="AG91" i="52"/>
  <c r="W123" i="36"/>
  <c r="V200" i="53"/>
  <c r="V343" i="53" s="1"/>
  <c r="Z268" i="53"/>
  <c r="AH19" i="53"/>
  <c r="AF21" i="53"/>
  <c r="D137" i="52"/>
  <c r="D138" i="52" s="1"/>
  <c r="D139" i="52" s="1"/>
  <c r="AH14" i="53"/>
  <c r="AF11" i="53"/>
  <c r="N91" i="11"/>
  <c r="M274" i="53" s="1"/>
  <c r="V195" i="53"/>
  <c r="V239" i="53" s="1"/>
  <c r="AK299" i="53"/>
  <c r="AF31" i="53"/>
  <c r="AA131" i="36"/>
  <c r="M91" i="11"/>
  <c r="L274" i="53" s="1"/>
  <c r="R98" i="52"/>
  <c r="V107" i="52"/>
  <c r="Y95" i="11" s="1"/>
  <c r="V197" i="53"/>
  <c r="V340" i="53" s="1"/>
  <c r="V375" i="53" s="1"/>
  <c r="AK300" i="53"/>
  <c r="AA132" i="36"/>
  <c r="S91" i="11"/>
  <c r="R274" i="53" s="1"/>
  <c r="V192" i="53"/>
  <c r="V236" i="53" s="1"/>
  <c r="AA129" i="36"/>
  <c r="AH44" i="53"/>
  <c r="M83" i="11"/>
  <c r="L271" i="53" s="1"/>
  <c r="V110" i="52"/>
  <c r="Y98" i="11" s="1"/>
  <c r="V201" i="53"/>
  <c r="V245" i="53" s="1"/>
  <c r="AA139" i="36"/>
  <c r="AH23" i="53"/>
  <c r="P137" i="52"/>
  <c r="P138" i="52" s="1"/>
  <c r="P139" i="52" s="1"/>
  <c r="AH34" i="53"/>
  <c r="V196" i="53"/>
  <c r="V339" i="53" s="1"/>
  <c r="V374" i="53" s="1"/>
  <c r="AA138" i="36"/>
  <c r="M77" i="11"/>
  <c r="L268" i="53" s="1"/>
  <c r="V111" i="52"/>
  <c r="Y99" i="11" s="1"/>
  <c r="U89" i="52"/>
  <c r="AF94" i="52"/>
  <c r="AH20" i="53"/>
  <c r="V198" i="53"/>
  <c r="V341" i="53" s="1"/>
  <c r="V376" i="53" s="1"/>
  <c r="AA128" i="36"/>
  <c r="AH33" i="53"/>
  <c r="Z41" i="55"/>
  <c r="AM38" i="55"/>
  <c r="AA124" i="36"/>
  <c r="AN98" i="52"/>
  <c r="AK62" i="48"/>
  <c r="AK67" i="48" s="1"/>
  <c r="AK72" i="48" s="1"/>
  <c r="Z34" i="55"/>
  <c r="V103" i="52"/>
  <c r="Y87" i="11" s="1"/>
  <c r="S64" i="48"/>
  <c r="S69" i="48" s="1"/>
  <c r="S74" i="48" s="1"/>
  <c r="AH10" i="53"/>
  <c r="V199" i="53"/>
  <c r="V342" i="53" s="1"/>
  <c r="V377" i="53" s="1"/>
  <c r="Y88" i="52"/>
  <c r="Y90" i="52" s="1"/>
  <c r="AH43" i="53"/>
  <c r="AM77" i="11"/>
  <c r="AL268" i="53" s="1"/>
  <c r="Z64" i="48"/>
  <c r="Z69" i="48" s="1"/>
  <c r="Z74" i="48" s="1"/>
  <c r="J283" i="53"/>
  <c r="J288" i="53" s="1"/>
  <c r="J204" i="53" s="1"/>
  <c r="J248" i="53" s="1"/>
  <c r="V115" i="52"/>
  <c r="Y73" i="11" s="1"/>
  <c r="AM63" i="48"/>
  <c r="AM68" i="48" s="1"/>
  <c r="AM73" i="48" s="1"/>
  <c r="AM39" i="55"/>
  <c r="AA137" i="36"/>
  <c r="AL66" i="11"/>
  <c r="AC98" i="52"/>
  <c r="AE99" i="52"/>
  <c r="N101" i="11"/>
  <c r="M277" i="53" s="1"/>
  <c r="AK65" i="48"/>
  <c r="AK70" i="48" s="1"/>
  <c r="AK75" i="48" s="1"/>
  <c r="AA125" i="36"/>
  <c r="AE98" i="52"/>
  <c r="AM51" i="55"/>
  <c r="AM127" i="36" s="1"/>
  <c r="N83" i="11"/>
  <c r="M271" i="53" s="1"/>
  <c r="AK37" i="55"/>
  <c r="AA136" i="36"/>
  <c r="AA126" i="36"/>
  <c r="Z14" i="56"/>
  <c r="Z15" i="56" s="1"/>
  <c r="X95" i="52" s="1"/>
  <c r="Z38" i="55"/>
  <c r="K137" i="52"/>
  <c r="K138" i="52" s="1"/>
  <c r="K139" i="52" s="1"/>
  <c r="AM64" i="48"/>
  <c r="AM69" i="48" s="1"/>
  <c r="AM74" i="48" s="1"/>
  <c r="Z63" i="48"/>
  <c r="Z68" i="48" s="1"/>
  <c r="Z73" i="48" s="1"/>
  <c r="Z37" i="55"/>
  <c r="AC17" i="56"/>
  <c r="Q66" i="11"/>
  <c r="AN66" i="11"/>
  <c r="J284" i="53"/>
  <c r="J289" i="53" s="1"/>
  <c r="J214" i="53" s="1"/>
  <c r="J258" i="53" s="1"/>
  <c r="AM91" i="11"/>
  <c r="AL274" i="53" s="1"/>
  <c r="Y98" i="52"/>
  <c r="L86" i="11"/>
  <c r="AK64" i="48"/>
  <c r="AK69" i="48" s="1"/>
  <c r="AK74" i="48" s="1"/>
  <c r="AA135" i="36"/>
  <c r="J66" i="11"/>
  <c r="J282" i="53"/>
  <c r="J287" i="53" s="1"/>
  <c r="J194" i="53" s="1"/>
  <c r="J238" i="53" s="1"/>
  <c r="W98" i="52"/>
  <c r="S65" i="48"/>
  <c r="S70" i="48" s="1"/>
  <c r="S75" i="48" s="1"/>
  <c r="AM41" i="55"/>
  <c r="AK296" i="53"/>
  <c r="AK35" i="55"/>
  <c r="W96" i="52"/>
  <c r="W97" i="52" s="1"/>
  <c r="S51" i="55"/>
  <c r="P295" i="53"/>
  <c r="AI24" i="53"/>
  <c r="AI14" i="53"/>
  <c r="AI44" i="53"/>
  <c r="AI34" i="53"/>
  <c r="AM295" i="53"/>
  <c r="Q30" i="55"/>
  <c r="Q10" i="56"/>
  <c r="Q3" i="56"/>
  <c r="Q47" i="55"/>
  <c r="AD15" i="57"/>
  <c r="Q16" i="53" s="1"/>
  <c r="AD16" i="57"/>
  <c r="Q17" i="53" s="1"/>
  <c r="AK36" i="55"/>
  <c r="AK41" i="55"/>
  <c r="Y96" i="52"/>
  <c r="Y97" i="52" s="1"/>
  <c r="S61" i="48"/>
  <c r="S66" i="48" s="1"/>
  <c r="S71" i="48" s="1"/>
  <c r="M11" i="55"/>
  <c r="Z22" i="57"/>
  <c r="M7" i="53" s="1"/>
  <c r="Z21" i="57"/>
  <c r="M6" i="53" s="1"/>
  <c r="M10" i="55"/>
  <c r="M5" i="36"/>
  <c r="M4" i="55"/>
  <c r="M6" i="55"/>
  <c r="M4" i="47"/>
  <c r="M11" i="36"/>
  <c r="M8" i="55"/>
  <c r="M11" i="56"/>
  <c r="M9" i="36"/>
  <c r="M8" i="48"/>
  <c r="M5" i="55"/>
  <c r="M5" i="48"/>
  <c r="M4" i="48"/>
  <c r="M6" i="36"/>
  <c r="M8" i="36"/>
  <c r="M48" i="55"/>
  <c r="M10" i="36"/>
  <c r="M6" i="48"/>
  <c r="M7" i="48"/>
  <c r="M4" i="36"/>
  <c r="M7" i="55"/>
  <c r="M9" i="55"/>
  <c r="M7" i="36"/>
  <c r="V15" i="52"/>
  <c r="V125" i="52"/>
  <c r="V23" i="58"/>
  <c r="W175" i="28" s="1"/>
  <c r="AB137" i="52"/>
  <c r="AB138" i="52" s="1"/>
  <c r="AB139" i="52" s="1"/>
  <c r="AE83" i="11"/>
  <c r="AD271" i="53" s="1"/>
  <c r="S99" i="52"/>
  <c r="Z61" i="48"/>
  <c r="Z66" i="48" s="1"/>
  <c r="Z71" i="48" s="1"/>
  <c r="V135" i="52"/>
  <c r="Z137" i="52"/>
  <c r="Z138" i="52" s="1"/>
  <c r="Z139" i="52" s="1"/>
  <c r="AM301" i="53"/>
  <c r="R91" i="11"/>
  <c r="Q274" i="53" s="1"/>
  <c r="AK38" i="55"/>
  <c r="AB11" i="48"/>
  <c r="AB16" i="55"/>
  <c r="AB13" i="55"/>
  <c r="AB18" i="55"/>
  <c r="AB17" i="55"/>
  <c r="AB13" i="48"/>
  <c r="AB19" i="55"/>
  <c r="AB19" i="36"/>
  <c r="AB5" i="47"/>
  <c r="AB9" i="48"/>
  <c r="AB12" i="48"/>
  <c r="AB17" i="36"/>
  <c r="AB18" i="36"/>
  <c r="AB13" i="36"/>
  <c r="AB15" i="36"/>
  <c r="AB15" i="55"/>
  <c r="AB14" i="36"/>
  <c r="AB10" i="48"/>
  <c r="AB14" i="55"/>
  <c r="AB12" i="36"/>
  <c r="AB12" i="55"/>
  <c r="AB16" i="36"/>
  <c r="AM296" i="53"/>
  <c r="AD18" i="57"/>
  <c r="Q27" i="53" s="1"/>
  <c r="AD17" i="57"/>
  <c r="Q26" i="53" s="1"/>
  <c r="P65" i="11"/>
  <c r="M16" i="52"/>
  <c r="M131" i="52"/>
  <c r="Y92" i="52"/>
  <c r="AA15" i="56"/>
  <c r="Y95" i="52" s="1"/>
  <c r="AI35" i="53"/>
  <c r="AI5" i="53"/>
  <c r="AI15" i="53"/>
  <c r="AI25" i="53"/>
  <c r="AD47" i="55"/>
  <c r="AD30" i="55"/>
  <c r="AQ16" i="57"/>
  <c r="AD17" i="53" s="1"/>
  <c r="AD3" i="56"/>
  <c r="AD10" i="56"/>
  <c r="AQ15" i="57"/>
  <c r="AD16" i="53" s="1"/>
  <c r="F14" i="36"/>
  <c r="F17" i="55"/>
  <c r="F18" i="55"/>
  <c r="F15" i="55"/>
  <c r="F14" i="55"/>
  <c r="F17" i="36"/>
  <c r="F19" i="36"/>
  <c r="F16" i="36"/>
  <c r="F16" i="55"/>
  <c r="F19" i="55"/>
  <c r="F10" i="48"/>
  <c r="F13" i="36"/>
  <c r="F12" i="55"/>
  <c r="F13" i="48"/>
  <c r="F12" i="48"/>
  <c r="F12" i="36"/>
  <c r="F11" i="48"/>
  <c r="F13" i="55"/>
  <c r="F9" i="48"/>
  <c r="F5" i="47"/>
  <c r="F15" i="36"/>
  <c r="F18" i="36"/>
  <c r="Y81" i="11"/>
  <c r="AH22" i="53"/>
  <c r="AH32" i="53"/>
  <c r="AH42" i="53"/>
  <c r="AH12" i="53"/>
  <c r="AB30" i="55"/>
  <c r="AO16" i="57"/>
  <c r="AB17" i="53" s="1"/>
  <c r="AO15" i="57"/>
  <c r="AB16" i="53" s="1"/>
  <c r="AB10" i="56"/>
  <c r="AB3" i="56"/>
  <c r="AB47" i="55"/>
  <c r="AO91" i="11"/>
  <c r="AN274" i="53" s="1"/>
  <c r="I119" i="52"/>
  <c r="I12" i="52"/>
  <c r="I13" i="52"/>
  <c r="AK39" i="55"/>
  <c r="AK101" i="11"/>
  <c r="AJ277" i="53" s="1"/>
  <c r="AB18" i="48"/>
  <c r="AB26" i="55"/>
  <c r="AB20" i="55"/>
  <c r="AB20" i="36"/>
  <c r="AB27" i="55"/>
  <c r="AB14" i="48"/>
  <c r="AO20" i="57"/>
  <c r="AB37" i="53" s="1"/>
  <c r="AO19" i="57"/>
  <c r="AB36" i="53" s="1"/>
  <c r="AB21" i="36"/>
  <c r="AB25" i="36"/>
  <c r="AB6" i="47"/>
  <c r="AB15" i="48"/>
  <c r="AB26" i="36"/>
  <c r="AB24" i="36"/>
  <c r="AB22" i="36"/>
  <c r="AB17" i="48"/>
  <c r="AB22" i="55"/>
  <c r="AB24" i="55"/>
  <c r="AB27" i="36"/>
  <c r="AB25" i="55"/>
  <c r="AB16" i="48"/>
  <c r="AB21" i="55"/>
  <c r="AB23" i="36"/>
  <c r="AB23" i="55"/>
  <c r="S15" i="57"/>
  <c r="F16" i="53" s="1"/>
  <c r="F3" i="56"/>
  <c r="S16" i="57"/>
  <c r="F17" i="53" s="1"/>
  <c r="F30" i="55"/>
  <c r="F10" i="56"/>
  <c r="F47" i="55"/>
  <c r="AN96" i="52"/>
  <c r="AN97" i="52" s="1"/>
  <c r="R23" i="36"/>
  <c r="R21" i="55"/>
  <c r="R27" i="55"/>
  <c r="R24" i="36"/>
  <c r="R20" i="36"/>
  <c r="R21" i="36"/>
  <c r="R6" i="47"/>
  <c r="R25" i="36"/>
  <c r="R27" i="36"/>
  <c r="R23" i="55"/>
  <c r="R26" i="55"/>
  <c r="AE20" i="57"/>
  <c r="R37" i="53" s="1"/>
  <c r="R22" i="55"/>
  <c r="R18" i="48"/>
  <c r="R20" i="55"/>
  <c r="R17" i="48"/>
  <c r="R26" i="36"/>
  <c r="R14" i="48"/>
  <c r="AE19" i="57"/>
  <c r="R36" i="53" s="1"/>
  <c r="R16" i="48"/>
  <c r="R24" i="55"/>
  <c r="R15" i="48"/>
  <c r="R22" i="36"/>
  <c r="R25" i="55"/>
  <c r="S37" i="55"/>
  <c r="AC92" i="52"/>
  <c r="AE15" i="56"/>
  <c r="AC95" i="52" s="1"/>
  <c r="AK34" i="52"/>
  <c r="AM292" i="53"/>
  <c r="G98" i="52"/>
  <c r="AF42" i="53"/>
  <c r="AF32" i="53"/>
  <c r="AF12" i="53"/>
  <c r="AF22" i="53"/>
  <c r="AO17" i="57"/>
  <c r="AB26" i="53" s="1"/>
  <c r="AO18" i="57"/>
  <c r="AB27" i="53" s="1"/>
  <c r="AL10" i="56"/>
  <c r="AL15" i="53"/>
  <c r="AL20" i="53"/>
  <c r="AL22" i="53"/>
  <c r="AL19" i="53"/>
  <c r="AL47" i="55"/>
  <c r="AL18" i="53"/>
  <c r="AL3" i="56"/>
  <c r="AY16" i="57"/>
  <c r="AL17" i="53" s="1"/>
  <c r="AL23" i="53"/>
  <c r="AY15" i="57"/>
  <c r="AL16" i="53" s="1"/>
  <c r="AL24" i="53"/>
  <c r="AL30" i="55"/>
  <c r="AL21" i="53"/>
  <c r="AN105" i="11"/>
  <c r="AN109" i="11" s="1"/>
  <c r="AM268" i="53"/>
  <c r="N77" i="11"/>
  <c r="AK298" i="53"/>
  <c r="AM101" i="11"/>
  <c r="AL277" i="53" s="1"/>
  <c r="AA94" i="52"/>
  <c r="AA93" i="52"/>
  <c r="G91" i="11"/>
  <c r="F274" i="53" s="1"/>
  <c r="AN99" i="52"/>
  <c r="Z32" i="47"/>
  <c r="Z33" i="47" s="1"/>
  <c r="Z34" i="47" s="1"/>
  <c r="P30" i="58"/>
  <c r="P26" i="58"/>
  <c r="P25" i="58"/>
  <c r="P28" i="58"/>
  <c r="P29" i="58"/>
  <c r="P32" i="58"/>
  <c r="P27" i="58"/>
  <c r="P24" i="58"/>
  <c r="U181" i="28"/>
  <c r="Z36" i="55"/>
  <c r="I131" i="36"/>
  <c r="I127" i="36"/>
  <c r="I124" i="36"/>
  <c r="I139" i="36"/>
  <c r="I125" i="36"/>
  <c r="I133" i="36"/>
  <c r="I137" i="36"/>
  <c r="I126" i="36"/>
  <c r="I136" i="36"/>
  <c r="I132" i="36"/>
  <c r="I128" i="36"/>
  <c r="I130" i="36"/>
  <c r="G88" i="52"/>
  <c r="I52" i="55"/>
  <c r="I134" i="36"/>
  <c r="I129" i="36"/>
  <c r="I135" i="36"/>
  <c r="I138" i="36"/>
  <c r="Y57" i="55"/>
  <c r="Y122" i="36"/>
  <c r="Y119" i="36"/>
  <c r="Y118" i="36"/>
  <c r="Y120" i="36"/>
  <c r="W91" i="52"/>
  <c r="Y123" i="36"/>
  <c r="Y117" i="36"/>
  <c r="Y121" i="36"/>
  <c r="Y116" i="36"/>
  <c r="AC91" i="11"/>
  <c r="AB274" i="53" s="1"/>
  <c r="AJ137" i="52"/>
  <c r="AJ138" i="52" s="1"/>
  <c r="AJ139" i="52" s="1"/>
  <c r="N8" i="53"/>
  <c r="N28" i="53"/>
  <c r="N38" i="53"/>
  <c r="N18" i="53"/>
  <c r="AM300" i="53"/>
  <c r="AF18" i="53"/>
  <c r="AF38" i="53"/>
  <c r="AF28" i="53"/>
  <c r="AF8" i="53"/>
  <c r="AF13" i="53"/>
  <c r="AF43" i="53"/>
  <c r="AF33" i="53"/>
  <c r="AF23" i="53"/>
  <c r="AC101" i="11"/>
  <c r="AB277" i="53" s="1"/>
  <c r="P296" i="53"/>
  <c r="AK40" i="55"/>
  <c r="AF89" i="52"/>
  <c r="AF90" i="52"/>
  <c r="AI10" i="53"/>
  <c r="AI20" i="53"/>
  <c r="AI40" i="53"/>
  <c r="AI30" i="53"/>
  <c r="AK32" i="47"/>
  <c r="AK33" i="47" s="1"/>
  <c r="AK34" i="47" s="1"/>
  <c r="AK91" i="11"/>
  <c r="AJ274" i="53" s="1"/>
  <c r="AL17" i="36"/>
  <c r="AL17" i="55"/>
  <c r="AL14" i="55"/>
  <c r="AL18" i="55"/>
  <c r="AL12" i="48"/>
  <c r="AL5" i="47"/>
  <c r="AL15" i="55"/>
  <c r="AL15" i="36"/>
  <c r="AL19" i="55"/>
  <c r="AL12" i="36"/>
  <c r="AL13" i="36"/>
  <c r="AL13" i="48"/>
  <c r="AL12" i="55"/>
  <c r="AL9" i="48"/>
  <c r="AL19" i="36"/>
  <c r="AL16" i="36"/>
  <c r="AL14" i="36"/>
  <c r="AL13" i="55"/>
  <c r="AL18" i="36"/>
  <c r="AL16" i="55"/>
  <c r="AL11" i="48"/>
  <c r="AL10" i="48"/>
  <c r="AI28" i="53"/>
  <c r="AI8" i="53"/>
  <c r="AI38" i="53"/>
  <c r="AI18" i="53"/>
  <c r="AF39" i="53"/>
  <c r="AF29" i="53"/>
  <c r="AF9" i="53"/>
  <c r="AF19" i="53"/>
  <c r="AC99" i="52"/>
  <c r="AN40" i="53"/>
  <c r="AN17" i="48"/>
  <c r="AN24" i="55"/>
  <c r="AN26" i="55"/>
  <c r="AN20" i="55"/>
  <c r="AN38" i="53"/>
  <c r="AN26" i="36"/>
  <c r="AN6" i="47"/>
  <c r="AN27" i="36"/>
  <c r="AN18" i="48"/>
  <c r="AN25" i="36"/>
  <c r="AN24" i="36"/>
  <c r="AN39" i="53"/>
  <c r="AN22" i="36"/>
  <c r="AN20" i="36"/>
  <c r="AN41" i="53"/>
  <c r="AN42" i="53"/>
  <c r="AN35" i="53"/>
  <c r="AN21" i="36"/>
  <c r="AN27" i="55"/>
  <c r="AN43" i="53"/>
  <c r="AN23" i="36"/>
  <c r="BA20" i="57"/>
  <c r="AN37" i="53" s="1"/>
  <c r="AN14" i="48"/>
  <c r="AN16" i="48"/>
  <c r="BA19" i="57"/>
  <c r="AN36" i="53" s="1"/>
  <c r="AN21" i="55"/>
  <c r="AN25" i="55"/>
  <c r="AN44" i="53"/>
  <c r="AN23" i="55"/>
  <c r="AN15" i="48"/>
  <c r="AN22" i="55"/>
  <c r="AC96" i="52"/>
  <c r="AC97" i="52" s="1"/>
  <c r="Z39" i="55"/>
  <c r="AP293" i="53"/>
  <c r="R99" i="52"/>
  <c r="U176" i="28"/>
  <c r="G17" i="56"/>
  <c r="Z51" i="55"/>
  <c r="AI11" i="53"/>
  <c r="AI41" i="53"/>
  <c r="AI21" i="53"/>
  <c r="AI31" i="53"/>
  <c r="L26" i="55"/>
  <c r="L27" i="36"/>
  <c r="L21" i="55"/>
  <c r="Y19" i="57"/>
  <c r="L36" i="53" s="1"/>
  <c r="L20" i="55"/>
  <c r="L15" i="48"/>
  <c r="L25" i="55"/>
  <c r="L22" i="55"/>
  <c r="L27" i="55"/>
  <c r="L26" i="36"/>
  <c r="L24" i="36"/>
  <c r="L25" i="36"/>
  <c r="L21" i="36"/>
  <c r="L6" i="47"/>
  <c r="L17" i="48"/>
  <c r="L18" i="48"/>
  <c r="L24" i="55"/>
  <c r="L23" i="55"/>
  <c r="L23" i="36"/>
  <c r="Y20" i="57"/>
  <c r="L37" i="53" s="1"/>
  <c r="L22" i="36"/>
  <c r="L14" i="48"/>
  <c r="L20" i="36"/>
  <c r="L16" i="48"/>
  <c r="AK301" i="53"/>
  <c r="AQ18" i="57"/>
  <c r="AD27" i="53" s="1"/>
  <c r="AQ17" i="57"/>
  <c r="AD26" i="53" s="1"/>
  <c r="U177" i="28"/>
  <c r="S38" i="55"/>
  <c r="X23" i="58"/>
  <c r="Y175" i="28" s="1"/>
  <c r="AK14" i="56"/>
  <c r="V264" i="53"/>
  <c r="V359" i="53"/>
  <c r="AD12" i="55"/>
  <c r="AD19" i="55"/>
  <c r="AD15" i="55"/>
  <c r="AD14" i="36"/>
  <c r="AD11" i="48"/>
  <c r="AD9" i="48"/>
  <c r="AD13" i="55"/>
  <c r="AD17" i="36"/>
  <c r="AD12" i="48"/>
  <c r="AD19" i="36"/>
  <c r="AD16" i="55"/>
  <c r="AD13" i="48"/>
  <c r="AD18" i="36"/>
  <c r="AD13" i="36"/>
  <c r="AD16" i="36"/>
  <c r="AD14" i="55"/>
  <c r="AD17" i="55"/>
  <c r="AD15" i="36"/>
  <c r="AD5" i="47"/>
  <c r="AD12" i="36"/>
  <c r="AD10" i="48"/>
  <c r="AD18" i="55"/>
  <c r="AD11" i="36"/>
  <c r="AQ22" i="57"/>
  <c r="AD7" i="53" s="1"/>
  <c r="AD8" i="55"/>
  <c r="AD4" i="55"/>
  <c r="AD6" i="55"/>
  <c r="AD5" i="36"/>
  <c r="AD5" i="55"/>
  <c r="AD7" i="36"/>
  <c r="AD10" i="55"/>
  <c r="AD8" i="48"/>
  <c r="AD9" i="55"/>
  <c r="AD6" i="48"/>
  <c r="AD5" i="48"/>
  <c r="AD9" i="36"/>
  <c r="AD8" i="36"/>
  <c r="AD7" i="55"/>
  <c r="AD11" i="55"/>
  <c r="AD11" i="56"/>
  <c r="AD7" i="48"/>
  <c r="AD10" i="36"/>
  <c r="AQ21" i="57"/>
  <c r="AD6" i="53" s="1"/>
  <c r="AD4" i="36"/>
  <c r="AD4" i="47"/>
  <c r="AD48" i="55"/>
  <c r="AD4" i="48"/>
  <c r="AD6" i="36"/>
  <c r="N20" i="53"/>
  <c r="N30" i="53"/>
  <c r="N10" i="53"/>
  <c r="N40" i="53"/>
  <c r="V186" i="53"/>
  <c r="V191" i="53"/>
  <c r="V235" i="53" s="1"/>
  <c r="V185" i="53"/>
  <c r="V182" i="53"/>
  <c r="V187" i="53"/>
  <c r="V188" i="53"/>
  <c r="V189" i="53"/>
  <c r="V190" i="53"/>
  <c r="V183" i="53"/>
  <c r="V227" i="53" s="1"/>
  <c r="AL33" i="53"/>
  <c r="AL28" i="53"/>
  <c r="AY17" i="57"/>
  <c r="AL26" i="53" s="1"/>
  <c r="AL25" i="53"/>
  <c r="AL32" i="53"/>
  <c r="AY18" i="57"/>
  <c r="AL27" i="53" s="1"/>
  <c r="AL34" i="53"/>
  <c r="AL31" i="53"/>
  <c r="AL29" i="53"/>
  <c r="AL30" i="53"/>
  <c r="AI39" i="53"/>
  <c r="AI9" i="53"/>
  <c r="AI19" i="53"/>
  <c r="AI29" i="53"/>
  <c r="AA18" i="58"/>
  <c r="AA19" i="58" s="1"/>
  <c r="S35" i="55"/>
  <c r="E94" i="52"/>
  <c r="E93" i="52"/>
  <c r="AM36" i="55"/>
  <c r="AM40" i="55"/>
  <c r="N31" i="53"/>
  <c r="N11" i="53"/>
  <c r="N41" i="53"/>
  <c r="N21" i="53"/>
  <c r="I14" i="52"/>
  <c r="I121" i="52"/>
  <c r="AO117" i="36"/>
  <c r="AO116" i="36"/>
  <c r="AO121" i="36"/>
  <c r="AO123" i="36"/>
  <c r="AO118" i="36"/>
  <c r="AM91" i="52"/>
  <c r="AO120" i="36"/>
  <c r="AO122" i="36"/>
  <c r="AO119" i="36"/>
  <c r="AO57" i="55"/>
  <c r="S93" i="52"/>
  <c r="S94" i="52"/>
  <c r="AK34" i="55"/>
  <c r="G83" i="11"/>
  <c r="F271" i="53" s="1"/>
  <c r="M13" i="52"/>
  <c r="M119" i="52"/>
  <c r="M12" i="52"/>
  <c r="AK51" i="55"/>
  <c r="V260" i="53"/>
  <c r="V355" i="53"/>
  <c r="V390" i="53" s="1"/>
  <c r="AE77" i="11"/>
  <c r="Z62" i="48"/>
  <c r="Z67" i="48" s="1"/>
  <c r="Z72" i="48" s="1"/>
  <c r="N5" i="53"/>
  <c r="N25" i="53"/>
  <c r="N15" i="53"/>
  <c r="N35" i="53"/>
  <c r="S96" i="52"/>
  <c r="S97" i="52" s="1"/>
  <c r="U173" i="28"/>
  <c r="AC294" i="53"/>
  <c r="AC284" i="53" s="1"/>
  <c r="AC289" i="53" s="1"/>
  <c r="AD23" i="58"/>
  <c r="AE175" i="28" s="1"/>
  <c r="U180" i="28"/>
  <c r="M101" i="11"/>
  <c r="L277" i="53" s="1"/>
  <c r="AI13" i="53"/>
  <c r="AI43" i="53"/>
  <c r="AI23" i="53"/>
  <c r="AI33" i="53"/>
  <c r="U179" i="28"/>
  <c r="M10" i="56"/>
  <c r="M3" i="56"/>
  <c r="M30" i="55"/>
  <c r="Z15" i="57"/>
  <c r="M16" i="53" s="1"/>
  <c r="M47" i="55"/>
  <c r="Z16" i="57"/>
  <c r="M17" i="53" s="1"/>
  <c r="F20" i="36"/>
  <c r="F27" i="36"/>
  <c r="F17" i="48"/>
  <c r="F23" i="36"/>
  <c r="F26" i="55"/>
  <c r="F22" i="55"/>
  <c r="F25" i="36"/>
  <c r="F23" i="55"/>
  <c r="F15" i="48"/>
  <c r="F25" i="55"/>
  <c r="F27" i="55"/>
  <c r="F26" i="36"/>
  <c r="F22" i="36"/>
  <c r="F24" i="55"/>
  <c r="F16" i="48"/>
  <c r="F21" i="55"/>
  <c r="F20" i="55"/>
  <c r="S19" i="57"/>
  <c r="F36" i="53" s="1"/>
  <c r="F24" i="36"/>
  <c r="F21" i="36"/>
  <c r="F6" i="47"/>
  <c r="F18" i="48"/>
  <c r="F14" i="48"/>
  <c r="S20" i="57"/>
  <c r="F37" i="53" s="1"/>
  <c r="S34" i="55"/>
  <c r="AM61" i="48"/>
  <c r="AM66" i="48" s="1"/>
  <c r="AM71" i="48" s="1"/>
  <c r="E57" i="33"/>
  <c r="K57" i="33" s="1"/>
  <c r="K54" i="33"/>
  <c r="AL105" i="11"/>
  <c r="AL109" i="11" s="1"/>
  <c r="F6" i="36"/>
  <c r="F8" i="55"/>
  <c r="F9" i="36"/>
  <c r="F5" i="36"/>
  <c r="F4" i="47"/>
  <c r="F4" i="48"/>
  <c r="F6" i="48"/>
  <c r="F10" i="55"/>
  <c r="F7" i="36"/>
  <c r="F5" i="55"/>
  <c r="F8" i="48"/>
  <c r="S22" i="57"/>
  <c r="F7" i="53" s="1"/>
  <c r="F7" i="48"/>
  <c r="F7" i="55"/>
  <c r="F11" i="55"/>
  <c r="F11" i="36"/>
  <c r="F5" i="48"/>
  <c r="F8" i="36"/>
  <c r="F4" i="55"/>
  <c r="F9" i="55"/>
  <c r="F11" i="56"/>
  <c r="S21" i="57"/>
  <c r="F6" i="53" s="1"/>
  <c r="F4" i="36"/>
  <c r="F48" i="55"/>
  <c r="F6" i="55"/>
  <c r="F10" i="36"/>
  <c r="AO294" i="53"/>
  <c r="V354" i="53"/>
  <c r="V389" i="53" s="1"/>
  <c r="V259" i="53"/>
  <c r="J18" i="58"/>
  <c r="J19" i="58" s="1"/>
  <c r="U178" i="28"/>
  <c r="R101" i="11"/>
  <c r="Q277" i="53" s="1"/>
  <c r="S62" i="48"/>
  <c r="S67" i="48" s="1"/>
  <c r="S72" i="48" s="1"/>
  <c r="AM34" i="55"/>
  <c r="I15" i="52"/>
  <c r="I125" i="52"/>
  <c r="C18" i="58"/>
  <c r="C19" i="58" s="1"/>
  <c r="AN21" i="53"/>
  <c r="AN30" i="55"/>
  <c r="AN24" i="53"/>
  <c r="BA16" i="57"/>
  <c r="AN17" i="53" s="1"/>
  <c r="AN47" i="55"/>
  <c r="AN10" i="56"/>
  <c r="AN22" i="53"/>
  <c r="AN15" i="53"/>
  <c r="AN18" i="53"/>
  <c r="AN23" i="53"/>
  <c r="BA15" i="57"/>
  <c r="AN16" i="53" s="1"/>
  <c r="AN3" i="56"/>
  <c r="AN20" i="53"/>
  <c r="AN19" i="53"/>
  <c r="S268" i="53"/>
  <c r="T105" i="11"/>
  <c r="T109" i="11" s="1"/>
  <c r="AE16" i="57"/>
  <c r="R17" i="53" s="1"/>
  <c r="R3" i="56"/>
  <c r="R47" i="55"/>
  <c r="R30" i="55"/>
  <c r="R10" i="56"/>
  <c r="AE15" i="57"/>
  <c r="R16" i="53" s="1"/>
  <c r="Q18" i="48"/>
  <c r="Q21" i="55"/>
  <c r="Q16" i="48"/>
  <c r="Q22" i="36"/>
  <c r="Q24" i="55"/>
  <c r="Q17" i="48"/>
  <c r="Q25" i="36"/>
  <c r="Q22" i="55"/>
  <c r="Q27" i="36"/>
  <c r="Q20" i="36"/>
  <c r="Q26" i="55"/>
  <c r="Q25" i="55"/>
  <c r="AD19" i="57"/>
  <c r="Q36" i="53" s="1"/>
  <c r="Q23" i="55"/>
  <c r="Q15" i="48"/>
  <c r="Q20" i="55"/>
  <c r="Q6" i="47"/>
  <c r="AD20" i="57"/>
  <c r="Q37" i="53" s="1"/>
  <c r="Q26" i="36"/>
  <c r="Q27" i="55"/>
  <c r="Q21" i="36"/>
  <c r="Q14" i="48"/>
  <c r="Q24" i="36"/>
  <c r="Q23" i="36"/>
  <c r="Z18" i="57"/>
  <c r="M27" i="53" s="1"/>
  <c r="Z17" i="57"/>
  <c r="M26" i="53" s="1"/>
  <c r="L13" i="55"/>
  <c r="L15" i="55"/>
  <c r="L19" i="36"/>
  <c r="L13" i="48"/>
  <c r="L18" i="36"/>
  <c r="L16" i="55"/>
  <c r="L17" i="55"/>
  <c r="L11" i="48"/>
  <c r="L12" i="48"/>
  <c r="L14" i="36"/>
  <c r="L9" i="48"/>
  <c r="L10" i="48"/>
  <c r="L19" i="55"/>
  <c r="L13" i="36"/>
  <c r="L16" i="36"/>
  <c r="L15" i="36"/>
  <c r="L17" i="36"/>
  <c r="L14" i="55"/>
  <c r="L12" i="55"/>
  <c r="L18" i="55"/>
  <c r="L5" i="47"/>
  <c r="L12" i="36"/>
  <c r="M13" i="55"/>
  <c r="M10" i="48"/>
  <c r="M18" i="36"/>
  <c r="M9" i="48"/>
  <c r="M12" i="36"/>
  <c r="M14" i="55"/>
  <c r="M19" i="55"/>
  <c r="M15" i="55"/>
  <c r="M14" i="36"/>
  <c r="M16" i="55"/>
  <c r="M13" i="36"/>
  <c r="M12" i="55"/>
  <c r="M18" i="55"/>
  <c r="M15" i="36"/>
  <c r="M19" i="36"/>
  <c r="M13" i="48"/>
  <c r="M5" i="47"/>
  <c r="M12" i="48"/>
  <c r="M11" i="48"/>
  <c r="M17" i="55"/>
  <c r="M16" i="36"/>
  <c r="M17" i="36"/>
  <c r="Q23" i="58"/>
  <c r="R175" i="28" s="1"/>
  <c r="AJ47" i="55"/>
  <c r="AJ3" i="56"/>
  <c r="AJ30" i="55"/>
  <c r="AJ10" i="56"/>
  <c r="AW15" i="57"/>
  <c r="AJ16" i="53" s="1"/>
  <c r="AW16" i="57"/>
  <c r="AJ17" i="53" s="1"/>
  <c r="T133" i="36"/>
  <c r="T127" i="36"/>
  <c r="T126" i="36"/>
  <c r="T134" i="36"/>
  <c r="T124" i="36"/>
  <c r="T136" i="36"/>
  <c r="T130" i="36"/>
  <c r="T128" i="36"/>
  <c r="T139" i="36"/>
  <c r="T129" i="36"/>
  <c r="T132" i="36"/>
  <c r="T125" i="36"/>
  <c r="T138" i="36"/>
  <c r="R88" i="52"/>
  <c r="T131" i="36"/>
  <c r="T52" i="55"/>
  <c r="T135" i="36"/>
  <c r="T137" i="36"/>
  <c r="AM299" i="53"/>
  <c r="AM32" i="47"/>
  <c r="AM33" i="47" s="1"/>
  <c r="AM34" i="47" s="1"/>
  <c r="AM90" i="52"/>
  <c r="AM89" i="52"/>
  <c r="AL137" i="52"/>
  <c r="AL138" i="52" s="1"/>
  <c r="AL139" i="52" s="1"/>
  <c r="M15" i="52"/>
  <c r="M125" i="52"/>
  <c r="V357" i="53"/>
  <c r="V392" i="53" s="1"/>
  <c r="V262" i="53"/>
  <c r="L30" i="55"/>
  <c r="L47" i="55"/>
  <c r="L10" i="56"/>
  <c r="Y16" i="57"/>
  <c r="L17" i="53" s="1"/>
  <c r="L3" i="56"/>
  <c r="Y15" i="57"/>
  <c r="L16" i="53" s="1"/>
  <c r="S36" i="55"/>
  <c r="AD6" i="47"/>
  <c r="AD15" i="48"/>
  <c r="AD26" i="36"/>
  <c r="AD27" i="55"/>
  <c r="AD23" i="55"/>
  <c r="AD23" i="36"/>
  <c r="AD24" i="55"/>
  <c r="AD17" i="48"/>
  <c r="AD24" i="36"/>
  <c r="AD25" i="55"/>
  <c r="AD21" i="55"/>
  <c r="AD16" i="48"/>
  <c r="AD20" i="55"/>
  <c r="AD22" i="55"/>
  <c r="AQ20" i="57"/>
  <c r="AD37" i="53" s="1"/>
  <c r="AD18" i="48"/>
  <c r="AQ19" i="57"/>
  <c r="AD36" i="53" s="1"/>
  <c r="AD27" i="36"/>
  <c r="AD14" i="48"/>
  <c r="AD20" i="36"/>
  <c r="AD26" i="55"/>
  <c r="AD21" i="36"/>
  <c r="AD25" i="36"/>
  <c r="AD22" i="36"/>
  <c r="AH137" i="52"/>
  <c r="AH138" i="52" s="1"/>
  <c r="AH139" i="52" s="1"/>
  <c r="G96" i="52"/>
  <c r="G97" i="52" s="1"/>
  <c r="R23" i="58"/>
  <c r="S175" i="28" s="1"/>
  <c r="AH117" i="36"/>
  <c r="AF91" i="52"/>
  <c r="AH119" i="36"/>
  <c r="AH120" i="36"/>
  <c r="AH118" i="36"/>
  <c r="AH121" i="36"/>
  <c r="AH122" i="36"/>
  <c r="AH123" i="36"/>
  <c r="AH116" i="36"/>
  <c r="AH57" i="55"/>
  <c r="AN16" i="36"/>
  <c r="AN10" i="48"/>
  <c r="AN17" i="55"/>
  <c r="AN19" i="55"/>
  <c r="AN16" i="55"/>
  <c r="AN12" i="48"/>
  <c r="AN14" i="55"/>
  <c r="AN11" i="48"/>
  <c r="AN19" i="36"/>
  <c r="AN13" i="36"/>
  <c r="AN15" i="55"/>
  <c r="AN12" i="55"/>
  <c r="AN17" i="36"/>
  <c r="AN15" i="36"/>
  <c r="AN13" i="55"/>
  <c r="AN13" i="48"/>
  <c r="AN14" i="36"/>
  <c r="AN9" i="48"/>
  <c r="AN5" i="47"/>
  <c r="AN18" i="36"/>
  <c r="AN12" i="36"/>
  <c r="AN18" i="55"/>
  <c r="V256" i="53"/>
  <c r="W102" i="11"/>
  <c r="V353" i="53"/>
  <c r="V388" i="53" s="1"/>
  <c r="V278" i="53"/>
  <c r="R13" i="36"/>
  <c r="R11" i="48"/>
  <c r="R18" i="36"/>
  <c r="R12" i="55"/>
  <c r="R12" i="36"/>
  <c r="R13" i="55"/>
  <c r="R13" i="48"/>
  <c r="R9" i="48"/>
  <c r="R14" i="55"/>
  <c r="R5" i="47"/>
  <c r="R18" i="55"/>
  <c r="R19" i="55"/>
  <c r="R17" i="36"/>
  <c r="R15" i="36"/>
  <c r="R12" i="48"/>
  <c r="R14" i="36"/>
  <c r="R16" i="36"/>
  <c r="R15" i="55"/>
  <c r="R17" i="55"/>
  <c r="R10" i="48"/>
  <c r="R19" i="36"/>
  <c r="R16" i="55"/>
  <c r="AE101" i="11"/>
  <c r="AD277" i="53" s="1"/>
  <c r="Y18" i="57"/>
  <c r="L27" i="53" s="1"/>
  <c r="Y17" i="57"/>
  <c r="L26" i="53" s="1"/>
  <c r="Q9" i="55"/>
  <c r="Q8" i="48"/>
  <c r="Q10" i="55"/>
  <c r="Q6" i="55"/>
  <c r="Q5" i="48"/>
  <c r="Q6" i="48"/>
  <c r="Q8" i="36"/>
  <c r="Q9" i="36"/>
  <c r="Q48" i="55"/>
  <c r="Q8" i="55"/>
  <c r="Q11" i="56"/>
  <c r="Q4" i="36"/>
  <c r="Q11" i="36"/>
  <c r="Q4" i="47"/>
  <c r="AD21" i="57"/>
  <c r="Q6" i="53" s="1"/>
  <c r="AD22" i="57"/>
  <c r="Q7" i="53" s="1"/>
  <c r="Q5" i="36"/>
  <c r="Q11" i="55"/>
  <c r="Q10" i="36"/>
  <c r="Q5" i="55"/>
  <c r="Q7" i="36"/>
  <c r="Q4" i="55"/>
  <c r="Q7" i="48"/>
  <c r="Q7" i="55"/>
  <c r="Q4" i="48"/>
  <c r="Q6" i="36"/>
  <c r="V16" i="52"/>
  <c r="Y65" i="11"/>
  <c r="V131" i="52"/>
  <c r="BA18" i="57"/>
  <c r="AN27" i="53" s="1"/>
  <c r="AN29" i="53"/>
  <c r="AN34" i="53"/>
  <c r="BA17" i="57"/>
  <c r="AN26" i="53" s="1"/>
  <c r="AN25" i="53"/>
  <c r="AN30" i="53"/>
  <c r="AN33" i="53"/>
  <c r="AN31" i="53"/>
  <c r="AN32" i="53"/>
  <c r="AN28" i="53"/>
  <c r="AB5" i="36"/>
  <c r="AB6" i="55"/>
  <c r="AB4" i="48"/>
  <c r="AB4" i="47"/>
  <c r="AB10" i="55"/>
  <c r="AB4" i="55"/>
  <c r="AB11" i="36"/>
  <c r="AB4" i="36"/>
  <c r="AB7" i="55"/>
  <c r="AB9" i="36"/>
  <c r="AB11" i="55"/>
  <c r="AB6" i="48"/>
  <c r="AB5" i="48"/>
  <c r="AB8" i="36"/>
  <c r="AB9" i="55"/>
  <c r="AB10" i="36"/>
  <c r="AB7" i="36"/>
  <c r="AO21" i="57"/>
  <c r="AB6" i="53" s="1"/>
  <c r="AB11" i="56"/>
  <c r="AB8" i="55"/>
  <c r="AB5" i="55"/>
  <c r="AB6" i="36"/>
  <c r="AB8" i="48"/>
  <c r="AB48" i="55"/>
  <c r="AO22" i="57"/>
  <c r="AB7" i="53" s="1"/>
  <c r="AB7" i="48"/>
  <c r="S39" i="55"/>
  <c r="AE96" i="52"/>
  <c r="AE97" i="52" s="1"/>
  <c r="W17" i="56"/>
  <c r="AJ9" i="48"/>
  <c r="AJ17" i="36"/>
  <c r="AJ15" i="36"/>
  <c r="AJ19" i="36"/>
  <c r="AJ16" i="36"/>
  <c r="AJ18" i="55"/>
  <c r="AJ11" i="48"/>
  <c r="AJ16" i="55"/>
  <c r="AJ13" i="55"/>
  <c r="AJ12" i="36"/>
  <c r="AJ10" i="48"/>
  <c r="AJ15" i="55"/>
  <c r="AJ14" i="36"/>
  <c r="AJ14" i="55"/>
  <c r="AJ5" i="47"/>
  <c r="AJ18" i="36"/>
  <c r="AJ12" i="48"/>
  <c r="AJ13" i="48"/>
  <c r="AJ17" i="55"/>
  <c r="AJ12" i="55"/>
  <c r="AJ13" i="36"/>
  <c r="AJ19" i="55"/>
  <c r="AM14" i="56"/>
  <c r="AM65" i="48"/>
  <c r="AM70" i="48" s="1"/>
  <c r="AM75" i="48" s="1"/>
  <c r="AO101" i="11"/>
  <c r="AN277" i="53" s="1"/>
  <c r="N12" i="53"/>
  <c r="N32" i="53"/>
  <c r="N22" i="53"/>
  <c r="N42" i="53"/>
  <c r="P301" i="53"/>
  <c r="Y99" i="52"/>
  <c r="V358" i="53"/>
  <c r="V393" i="53" s="1"/>
  <c r="V263" i="53"/>
  <c r="AB23" i="58"/>
  <c r="AC175" i="28" s="1"/>
  <c r="J137" i="52"/>
  <c r="J138" i="52" s="1"/>
  <c r="J139" i="52" s="1"/>
  <c r="R77" i="11"/>
  <c r="W99" i="52"/>
  <c r="AE17" i="57"/>
  <c r="R26" i="53" s="1"/>
  <c r="AE18" i="57"/>
  <c r="R27" i="53" s="1"/>
  <c r="V13" i="52"/>
  <c r="V119" i="52"/>
  <c r="V12" i="52"/>
  <c r="Y18" i="58"/>
  <c r="Y19" i="58" s="1"/>
  <c r="I15" i="56"/>
  <c r="G95" i="52" s="1"/>
  <c r="G92" i="52"/>
  <c r="S40" i="55"/>
  <c r="S17" i="57"/>
  <c r="F26" i="53" s="1"/>
  <c r="S18" i="57"/>
  <c r="F27" i="53" s="1"/>
  <c r="U93" i="52"/>
  <c r="U94" i="52"/>
  <c r="AM37" i="55"/>
  <c r="E89" i="52"/>
  <c r="E90" i="52"/>
  <c r="AP17" i="56"/>
  <c r="V261" i="53"/>
  <c r="V356" i="53"/>
  <c r="V391" i="53" s="1"/>
  <c r="AA119" i="36"/>
  <c r="AA118" i="36"/>
  <c r="AA117" i="36"/>
  <c r="AA121" i="36"/>
  <c r="AA123" i="36"/>
  <c r="AA122" i="36"/>
  <c r="AA116" i="36"/>
  <c r="Y91" i="52"/>
  <c r="AA120" i="36"/>
  <c r="M14" i="52"/>
  <c r="M121" i="52"/>
  <c r="M18" i="48"/>
  <c r="M27" i="36"/>
  <c r="M15" i="48"/>
  <c r="M23" i="36"/>
  <c r="Z19" i="57"/>
  <c r="M36" i="53" s="1"/>
  <c r="M24" i="36"/>
  <c r="M6" i="47"/>
  <c r="M21" i="55"/>
  <c r="M20" i="55"/>
  <c r="M22" i="36"/>
  <c r="M26" i="55"/>
  <c r="M27" i="55"/>
  <c r="M23" i="55"/>
  <c r="M25" i="55"/>
  <c r="Z20" i="57"/>
  <c r="M37" i="53" s="1"/>
  <c r="M14" i="48"/>
  <c r="M21" i="36"/>
  <c r="M22" i="55"/>
  <c r="M20" i="36"/>
  <c r="M16" i="48"/>
  <c r="M17" i="48"/>
  <c r="M24" i="55"/>
  <c r="M25" i="36"/>
  <c r="M26" i="36"/>
  <c r="AJ23" i="36"/>
  <c r="AJ24" i="36"/>
  <c r="AJ16" i="48"/>
  <c r="AJ20" i="36"/>
  <c r="AJ23" i="55"/>
  <c r="AJ22" i="55"/>
  <c r="AJ22" i="36"/>
  <c r="AJ27" i="36"/>
  <c r="AJ26" i="55"/>
  <c r="AW19" i="57"/>
  <c r="AJ36" i="53" s="1"/>
  <c r="AJ15" i="48"/>
  <c r="AJ26" i="36"/>
  <c r="AJ18" i="48"/>
  <c r="AJ6" i="47"/>
  <c r="AJ21" i="36"/>
  <c r="AJ24" i="55"/>
  <c r="AJ25" i="55"/>
  <c r="AW20" i="57"/>
  <c r="AJ37" i="53" s="1"/>
  <c r="AJ20" i="55"/>
  <c r="AJ21" i="55"/>
  <c r="AJ27" i="55"/>
  <c r="AJ17" i="48"/>
  <c r="AJ14" i="48"/>
  <c r="AJ25" i="36"/>
  <c r="N18" i="58"/>
  <c r="N19" i="58" s="1"/>
  <c r="Q56" i="18"/>
  <c r="S41" i="55"/>
  <c r="AM297" i="53"/>
  <c r="V184" i="53"/>
  <c r="V228" i="53" s="1"/>
  <c r="Z35" i="55"/>
  <c r="P297" i="53"/>
  <c r="AG18" i="58"/>
  <c r="AG19" i="58" s="1"/>
  <c r="R96" i="52"/>
  <c r="R97" i="52" s="1"/>
  <c r="AK295" i="53"/>
  <c r="AI32" i="53"/>
  <c r="AI12" i="53"/>
  <c r="AI42" i="53"/>
  <c r="AI22" i="53"/>
  <c r="L65" i="11"/>
  <c r="I16" i="52"/>
  <c r="I131" i="52"/>
  <c r="G292" i="53"/>
  <c r="E34" i="52"/>
  <c r="G77" i="11"/>
  <c r="O18" i="58"/>
  <c r="O19" i="58" s="1"/>
  <c r="E91" i="52"/>
  <c r="G120" i="36"/>
  <c r="G118" i="36"/>
  <c r="G119" i="36"/>
  <c r="G121" i="36"/>
  <c r="G116" i="36"/>
  <c r="G122" i="36"/>
  <c r="G123" i="36"/>
  <c r="G117" i="36"/>
  <c r="G57" i="55"/>
  <c r="AO77" i="11"/>
  <c r="S90" i="52"/>
  <c r="S89" i="52"/>
  <c r="AI34" i="52"/>
  <c r="AK292" i="53"/>
  <c r="AK77" i="11"/>
  <c r="P298" i="53"/>
  <c r="R11" i="56"/>
  <c r="R4" i="48"/>
  <c r="R4" i="47"/>
  <c r="R8" i="36"/>
  <c r="R5" i="48"/>
  <c r="R6" i="36"/>
  <c r="R5" i="55"/>
  <c r="R9" i="55"/>
  <c r="R7" i="48"/>
  <c r="R11" i="36"/>
  <c r="R10" i="55"/>
  <c r="R6" i="55"/>
  <c r="R48" i="55"/>
  <c r="R8" i="55"/>
  <c r="R4" i="36"/>
  <c r="R10" i="36"/>
  <c r="R11" i="55"/>
  <c r="R4" i="55"/>
  <c r="R7" i="36"/>
  <c r="AE22" i="57"/>
  <c r="R7" i="53" s="1"/>
  <c r="R5" i="36"/>
  <c r="R8" i="48"/>
  <c r="R9" i="36"/>
  <c r="R6" i="48"/>
  <c r="R7" i="55"/>
  <c r="AE21" i="57"/>
  <c r="R6" i="53" s="1"/>
  <c r="W27" i="58"/>
  <c r="W28" i="58"/>
  <c r="W32" i="58"/>
  <c r="W30" i="58"/>
  <c r="W25" i="58"/>
  <c r="W29" i="58"/>
  <c r="W26" i="58"/>
  <c r="W24" i="58"/>
  <c r="AN5" i="53"/>
  <c r="AN4" i="36"/>
  <c r="AN9" i="53"/>
  <c r="AN11" i="55"/>
  <c r="AN8" i="48"/>
  <c r="AN4" i="47"/>
  <c r="AN9" i="36"/>
  <c r="AN12" i="53"/>
  <c r="AN11" i="56"/>
  <c r="AN11" i="53"/>
  <c r="AN8" i="55"/>
  <c r="AN4" i="48"/>
  <c r="BA22" i="57"/>
  <c r="AN7" i="53" s="1"/>
  <c r="AN6" i="55"/>
  <c r="AN11" i="36"/>
  <c r="AN7" i="36"/>
  <c r="AN48" i="55"/>
  <c r="AN13" i="53"/>
  <c r="AN6" i="36"/>
  <c r="AN7" i="55"/>
  <c r="AN6" i="48"/>
  <c r="AN10" i="55"/>
  <c r="AN9" i="55"/>
  <c r="AN5" i="48"/>
  <c r="AN7" i="48"/>
  <c r="AN8" i="53"/>
  <c r="AN8" i="36"/>
  <c r="AN14" i="53"/>
  <c r="AN10" i="53"/>
  <c r="AN5" i="55"/>
  <c r="AN4" i="55"/>
  <c r="AN10" i="36"/>
  <c r="AN5" i="36"/>
  <c r="BA21" i="57"/>
  <c r="AN6" i="53" s="1"/>
  <c r="V14" i="52"/>
  <c r="V121" i="52"/>
  <c r="S14" i="56"/>
  <c r="AL7" i="55"/>
  <c r="AL8" i="36"/>
  <c r="AL5" i="55"/>
  <c r="AL4" i="47"/>
  <c r="AL10" i="53"/>
  <c r="AL11" i="53"/>
  <c r="AL9" i="53"/>
  <c r="AL6" i="36"/>
  <c r="AL8" i="55"/>
  <c r="AL10" i="36"/>
  <c r="AL12" i="53"/>
  <c r="AL14" i="53"/>
  <c r="AL48" i="55"/>
  <c r="AL4" i="55"/>
  <c r="AL11" i="36"/>
  <c r="AL7" i="36"/>
  <c r="AL5" i="48"/>
  <c r="AL11" i="55"/>
  <c r="AL11" i="56"/>
  <c r="AL6" i="55"/>
  <c r="AL7" i="48"/>
  <c r="AY21" i="57"/>
  <c r="AL6" i="53" s="1"/>
  <c r="AL10" i="55"/>
  <c r="AL8" i="53"/>
  <c r="AY22" i="57"/>
  <c r="AL7" i="53" s="1"/>
  <c r="AL9" i="36"/>
  <c r="AL5" i="36"/>
  <c r="AL4" i="48"/>
  <c r="AL13" i="53"/>
  <c r="AL8" i="48"/>
  <c r="AL9" i="55"/>
  <c r="AL6" i="48"/>
  <c r="AL5" i="53"/>
  <c r="AL4" i="36"/>
  <c r="L11" i="55"/>
  <c r="L7" i="48"/>
  <c r="L8" i="55"/>
  <c r="L7" i="55"/>
  <c r="L11" i="36"/>
  <c r="L4" i="36"/>
  <c r="L8" i="36"/>
  <c r="L7" i="36"/>
  <c r="L10" i="55"/>
  <c r="Y22" i="57"/>
  <c r="L7" i="53" s="1"/>
  <c r="L5" i="55"/>
  <c r="L4" i="48"/>
  <c r="L5" i="36"/>
  <c r="L10" i="36"/>
  <c r="L9" i="55"/>
  <c r="Y21" i="57"/>
  <c r="L6" i="53" s="1"/>
  <c r="L5" i="48"/>
  <c r="L9" i="36"/>
  <c r="L6" i="36"/>
  <c r="L11" i="56"/>
  <c r="L4" i="55"/>
  <c r="L4" i="47"/>
  <c r="L6" i="55"/>
  <c r="L8" i="48"/>
  <c r="L6" i="48"/>
  <c r="L48" i="55"/>
  <c r="U174" i="28"/>
  <c r="AO17" i="56"/>
  <c r="R83" i="11"/>
  <c r="Q271" i="53" s="1"/>
  <c r="AJ7" i="55"/>
  <c r="AJ4" i="55"/>
  <c r="AJ8" i="48"/>
  <c r="AJ7" i="36"/>
  <c r="AJ6" i="36"/>
  <c r="AJ5" i="55"/>
  <c r="AJ4" i="48"/>
  <c r="AW21" i="57"/>
  <c r="AJ6" i="53" s="1"/>
  <c r="AW22" i="57"/>
  <c r="AJ7" i="53" s="1"/>
  <c r="AJ48" i="55"/>
  <c r="AJ9" i="55"/>
  <c r="AJ6" i="55"/>
  <c r="AJ11" i="55"/>
  <c r="AJ8" i="55"/>
  <c r="AJ5" i="36"/>
  <c r="AJ7" i="48"/>
  <c r="AJ5" i="48"/>
  <c r="AJ8" i="36"/>
  <c r="AJ9" i="36"/>
  <c r="AJ11" i="56"/>
  <c r="AJ11" i="36"/>
  <c r="AJ4" i="47"/>
  <c r="AJ6" i="48"/>
  <c r="AJ4" i="36"/>
  <c r="AJ10" i="36"/>
  <c r="AJ10" i="55"/>
  <c r="V205" i="53"/>
  <c r="V211" i="53"/>
  <c r="V255" i="53" s="1"/>
  <c r="V208" i="53"/>
  <c r="V209" i="53"/>
  <c r="V207" i="53"/>
  <c r="V210" i="53"/>
  <c r="V202" i="53"/>
  <c r="V206" i="53"/>
  <c r="V203" i="53"/>
  <c r="V247" i="53" s="1"/>
  <c r="S77" i="11"/>
  <c r="AL23" i="55"/>
  <c r="AL24" i="36"/>
  <c r="AL27" i="55"/>
  <c r="AL14" i="48"/>
  <c r="AY19" i="57"/>
  <c r="AL36" i="53" s="1"/>
  <c r="AL20" i="55"/>
  <c r="AL22" i="55"/>
  <c r="AL39" i="53"/>
  <c r="AL24" i="55"/>
  <c r="AL44" i="53"/>
  <c r="AL43" i="53"/>
  <c r="AL18" i="48"/>
  <c r="AL25" i="55"/>
  <c r="AL38" i="53"/>
  <c r="AL21" i="55"/>
  <c r="AL20" i="36"/>
  <c r="AL42" i="53"/>
  <c r="AL26" i="55"/>
  <c r="AY20" i="57"/>
  <c r="AL37" i="53" s="1"/>
  <c r="AL26" i="36"/>
  <c r="AL16" i="48"/>
  <c r="AL21" i="36"/>
  <c r="AL25" i="36"/>
  <c r="AL22" i="36"/>
  <c r="AL6" i="47"/>
  <c r="AL27" i="36"/>
  <c r="AL15" i="48"/>
  <c r="AL17" i="48"/>
  <c r="AL40" i="53"/>
  <c r="AL35" i="53"/>
  <c r="AL23" i="36"/>
  <c r="AL41" i="53"/>
  <c r="AM298" i="53"/>
  <c r="AO83" i="11"/>
  <c r="AN271" i="53" s="1"/>
  <c r="AG15" i="56"/>
  <c r="AE95" i="52" s="1"/>
  <c r="AE92" i="52"/>
  <c r="I18" i="58"/>
  <c r="I19" i="58" s="1"/>
  <c r="Q9" i="48"/>
  <c r="Q13" i="48"/>
  <c r="Q17" i="55"/>
  <c r="Q11" i="48"/>
  <c r="Q5" i="47"/>
  <c r="Q13" i="55"/>
  <c r="Q12" i="55"/>
  <c r="Q19" i="55"/>
  <c r="Q15" i="55"/>
  <c r="Q17" i="36"/>
  <c r="Q12" i="48"/>
  <c r="Q12" i="36"/>
  <c r="Q18" i="55"/>
  <c r="Q14" i="36"/>
  <c r="Q16" i="55"/>
  <c r="Q14" i="55"/>
  <c r="Q18" i="36"/>
  <c r="Q15" i="36"/>
  <c r="Q19" i="36"/>
  <c r="Q10" i="48"/>
  <c r="Q16" i="36"/>
  <c r="Q13" i="36"/>
  <c r="AK61" i="48"/>
  <c r="AK66" i="48" s="1"/>
  <c r="AK71" i="48" s="1"/>
  <c r="M103" i="52"/>
  <c r="P87" i="11" s="1"/>
  <c r="M102" i="52"/>
  <c r="P86" i="11" s="1"/>
  <c r="M105" i="52"/>
  <c r="P89" i="11" s="1"/>
  <c r="M101" i="52"/>
  <c r="P81" i="11" s="1"/>
  <c r="M104" i="52"/>
  <c r="P88" i="11" s="1"/>
  <c r="M100" i="52"/>
  <c r="P80" i="11" s="1"/>
  <c r="M106" i="52"/>
  <c r="P94" i="11" s="1"/>
  <c r="M108" i="52"/>
  <c r="P96" i="11" s="1"/>
  <c r="M109" i="52"/>
  <c r="P97" i="11" s="1"/>
  <c r="M111" i="52"/>
  <c r="P99" i="11" s="1"/>
  <c r="M110" i="52"/>
  <c r="P98" i="11" s="1"/>
  <c r="M107" i="52"/>
  <c r="P95" i="11" s="1"/>
  <c r="M117" i="52"/>
  <c r="P75" i="11" s="1"/>
  <c r="M112" i="52"/>
  <c r="P70" i="11" s="1"/>
  <c r="M114" i="52"/>
  <c r="P72" i="11" s="1"/>
  <c r="M116" i="52"/>
  <c r="P74" i="11" s="1"/>
  <c r="M115" i="52"/>
  <c r="P73" i="11" s="1"/>
  <c r="M113" i="52"/>
  <c r="P71" i="11" s="1"/>
  <c r="W94" i="52"/>
  <c r="W93" i="52"/>
  <c r="S63" i="48"/>
  <c r="S68" i="48" s="1"/>
  <c r="S73" i="48" s="1"/>
  <c r="AE91" i="11"/>
  <c r="AD274" i="53" s="1"/>
  <c r="G99" i="52"/>
  <c r="R92" i="52"/>
  <c r="T15" i="56"/>
  <c r="R95" i="52" s="1"/>
  <c r="S32" i="47"/>
  <c r="S33" i="47" s="1"/>
  <c r="S34" i="47" s="1"/>
  <c r="AW18" i="57"/>
  <c r="AJ27" i="53" s="1"/>
  <c r="AW17" i="57"/>
  <c r="AJ26" i="53" s="1"/>
  <c r="AM62" i="48"/>
  <c r="AM67" i="48" s="1"/>
  <c r="AM72" i="48" s="1"/>
  <c r="AM94" i="52"/>
  <c r="AM93" i="52"/>
  <c r="O137" i="52"/>
  <c r="AK297" i="53"/>
  <c r="AK63" i="48"/>
  <c r="AK68" i="48" s="1"/>
  <c r="AK73" i="48" s="1"/>
  <c r="G299" i="53"/>
  <c r="G101" i="11"/>
  <c r="F277" i="53" s="1"/>
  <c r="H200" i="53"/>
  <c r="H343" i="53" s="1"/>
  <c r="H194" i="53"/>
  <c r="H238" i="53" s="1"/>
  <c r="H199" i="53"/>
  <c r="H243" i="53" s="1"/>
  <c r="H197" i="53"/>
  <c r="H340" i="53" s="1"/>
  <c r="H375" i="53" s="1"/>
  <c r="H201" i="53"/>
  <c r="H245" i="53" s="1"/>
  <c r="H193" i="53"/>
  <c r="H237" i="53" s="1"/>
  <c r="H192" i="53"/>
  <c r="H337" i="53" s="1"/>
  <c r="H372" i="53" s="1"/>
  <c r="H195" i="53"/>
  <c r="H239" i="53" s="1"/>
  <c r="H198" i="53"/>
  <c r="H345" i="53"/>
  <c r="H380" i="53" s="1"/>
  <c r="H246" i="53"/>
  <c r="I92" i="11"/>
  <c r="H351" i="53"/>
  <c r="H254" i="53"/>
  <c r="H346" i="53"/>
  <c r="H381" i="53" s="1"/>
  <c r="H249" i="53"/>
  <c r="H251" i="53"/>
  <c r="H348" i="53"/>
  <c r="H383" i="53" s="1"/>
  <c r="H350" i="53"/>
  <c r="H385" i="53" s="1"/>
  <c r="H253" i="53"/>
  <c r="H188" i="53"/>
  <c r="H186" i="53"/>
  <c r="H189" i="53"/>
  <c r="H187" i="53"/>
  <c r="H185" i="53"/>
  <c r="H191" i="53"/>
  <c r="H235" i="53" s="1"/>
  <c r="H182" i="53"/>
  <c r="H190" i="53"/>
  <c r="H183" i="53"/>
  <c r="H227" i="53" s="1"/>
  <c r="H349" i="53"/>
  <c r="H384" i="53" s="1"/>
  <c r="H252" i="53"/>
  <c r="H250" i="53"/>
  <c r="H347" i="53"/>
  <c r="H382" i="53" s="1"/>
  <c r="H339" i="53"/>
  <c r="H374" i="53" s="1"/>
  <c r="H240" i="53"/>
  <c r="H216" i="53"/>
  <c r="H218" i="53"/>
  <c r="H217" i="53"/>
  <c r="H219" i="53"/>
  <c r="H220" i="53"/>
  <c r="H221" i="53"/>
  <c r="H265" i="53" s="1"/>
  <c r="H212" i="53"/>
  <c r="H215" i="53"/>
  <c r="H213" i="53"/>
  <c r="H257" i="53" s="1"/>
  <c r="H214" i="53"/>
  <c r="H258" i="53" s="1"/>
  <c r="AD34" i="52" l="1"/>
  <c r="G301" i="53"/>
  <c r="AP117" i="36"/>
  <c r="AN91" i="52"/>
  <c r="AP120" i="36"/>
  <c r="AP123" i="36"/>
  <c r="AP122" i="36"/>
  <c r="J197" i="53"/>
  <c r="J340" i="53" s="1"/>
  <c r="J375" i="53" s="1"/>
  <c r="AP119" i="36"/>
  <c r="AP121" i="36"/>
  <c r="AP116" i="36"/>
  <c r="AH297" i="53"/>
  <c r="AP118" i="36"/>
  <c r="J198" i="53"/>
  <c r="J341" i="53" s="1"/>
  <c r="J376" i="53" s="1"/>
  <c r="J200" i="53"/>
  <c r="J343" i="53" s="1"/>
  <c r="U121" i="36"/>
  <c r="W174" i="28"/>
  <c r="Y29" i="53" s="1"/>
  <c r="J196" i="53"/>
  <c r="J339" i="53" s="1"/>
  <c r="J374" i="53" s="1"/>
  <c r="J189" i="53"/>
  <c r="J334" i="53" s="1"/>
  <c r="J369" i="53" s="1"/>
  <c r="U117" i="36"/>
  <c r="S91" i="52"/>
  <c r="N301" i="53"/>
  <c r="G295" i="53"/>
  <c r="G296" i="53"/>
  <c r="U57" i="55"/>
  <c r="G298" i="53"/>
  <c r="U116" i="36"/>
  <c r="U120" i="36"/>
  <c r="U123" i="36"/>
  <c r="U119" i="36"/>
  <c r="AM138" i="36"/>
  <c r="U118" i="36"/>
  <c r="AM129" i="36"/>
  <c r="AF301" i="53"/>
  <c r="AN94" i="52"/>
  <c r="W90" i="52"/>
  <c r="AH292" i="53"/>
  <c r="AH293" i="53" s="1"/>
  <c r="AN90" i="52"/>
  <c r="G293" i="53"/>
  <c r="G294" i="53" s="1"/>
  <c r="Y17" i="56"/>
  <c r="AE90" i="52"/>
  <c r="AF34" i="52"/>
  <c r="W173" i="28"/>
  <c r="Y11" i="53" s="1"/>
  <c r="AG123" i="36"/>
  <c r="W180" i="28"/>
  <c r="Y23" i="53" s="1"/>
  <c r="W177" i="28"/>
  <c r="Y8" i="53" s="1"/>
  <c r="U17" i="56"/>
  <c r="AG117" i="36"/>
  <c r="AG116" i="36"/>
  <c r="W179" i="28"/>
  <c r="Y34" i="53" s="1"/>
  <c r="AE91" i="52"/>
  <c r="J188" i="53"/>
  <c r="J333" i="53" s="1"/>
  <c r="J368" i="53" s="1"/>
  <c r="AE123" i="36"/>
  <c r="AE57" i="55"/>
  <c r="W178" i="28"/>
  <c r="Y20" i="53" s="1"/>
  <c r="J183" i="53"/>
  <c r="J227" i="53" s="1"/>
  <c r="J182" i="53"/>
  <c r="J226" i="53" s="1"/>
  <c r="W176" i="28"/>
  <c r="Y5" i="53" s="1"/>
  <c r="AF297" i="53"/>
  <c r="AH295" i="53"/>
  <c r="R36" i="55"/>
  <c r="H66" i="11"/>
  <c r="AE119" i="36"/>
  <c r="J187" i="53"/>
  <c r="J231" i="53" s="1"/>
  <c r="AB32" i="47"/>
  <c r="AB33" i="47" s="1"/>
  <c r="AB34" i="47" s="1"/>
  <c r="AE120" i="36"/>
  <c r="AH296" i="53"/>
  <c r="N296" i="53"/>
  <c r="L41" i="55"/>
  <c r="AG122" i="36"/>
  <c r="J191" i="53"/>
  <c r="J235" i="53" s="1"/>
  <c r="AG119" i="36"/>
  <c r="AE116" i="36"/>
  <c r="J190" i="53"/>
  <c r="J234" i="53" s="1"/>
  <c r="J185" i="53"/>
  <c r="J330" i="53" s="1"/>
  <c r="J365" i="53" s="1"/>
  <c r="J219" i="53"/>
  <c r="J263" i="53" s="1"/>
  <c r="AG118" i="36"/>
  <c r="V242" i="53"/>
  <c r="AE118" i="36"/>
  <c r="AE122" i="36"/>
  <c r="J212" i="53"/>
  <c r="J256" i="53" s="1"/>
  <c r="AL36" i="55"/>
  <c r="AG120" i="36"/>
  <c r="AC91" i="52"/>
  <c r="J186" i="53"/>
  <c r="J331" i="53" s="1"/>
  <c r="J366" i="53" s="1"/>
  <c r="AE117" i="36"/>
  <c r="J220" i="53"/>
  <c r="J264" i="53" s="1"/>
  <c r="AC90" i="52"/>
  <c r="S179" i="28"/>
  <c r="U14" i="53" s="1"/>
  <c r="AG121" i="36"/>
  <c r="G300" i="53"/>
  <c r="G297" i="53"/>
  <c r="N300" i="53"/>
  <c r="AE178" i="28"/>
  <c r="AG40" i="53" s="1"/>
  <c r="J195" i="53"/>
  <c r="AE177" i="28"/>
  <c r="AG28" i="53" s="1"/>
  <c r="AE174" i="28"/>
  <c r="AG9" i="53" s="1"/>
  <c r="J201" i="53"/>
  <c r="J245" i="53" s="1"/>
  <c r="V244" i="53"/>
  <c r="M14" i="56"/>
  <c r="K92" i="52" s="1"/>
  <c r="AH298" i="53"/>
  <c r="R41" i="55"/>
  <c r="AH301" i="53"/>
  <c r="AN299" i="53"/>
  <c r="S180" i="28"/>
  <c r="U23" i="53" s="1"/>
  <c r="J193" i="53"/>
  <c r="J237" i="53" s="1"/>
  <c r="R177" i="28"/>
  <c r="T28" i="53" s="1"/>
  <c r="AF298" i="53"/>
  <c r="J199" i="53"/>
  <c r="J342" i="53" s="1"/>
  <c r="J377" i="53" s="1"/>
  <c r="S174" i="28"/>
  <c r="U39" i="53" s="1"/>
  <c r="J192" i="53"/>
  <c r="J236" i="53" s="1"/>
  <c r="AN301" i="53"/>
  <c r="AB65" i="48"/>
  <c r="AB70" i="48" s="1"/>
  <c r="AB75" i="48" s="1"/>
  <c r="X98" i="52"/>
  <c r="AH300" i="53"/>
  <c r="AN38" i="55"/>
  <c r="V241" i="53"/>
  <c r="X92" i="52"/>
  <c r="X94" i="52" s="1"/>
  <c r="AN37" i="55"/>
  <c r="S176" i="28"/>
  <c r="U25" i="53" s="1"/>
  <c r="S177" i="28"/>
  <c r="U28" i="53" s="1"/>
  <c r="L35" i="55"/>
  <c r="AB41" i="55"/>
  <c r="F38" i="55"/>
  <c r="AB37" i="55"/>
  <c r="AI98" i="52"/>
  <c r="AN34" i="55"/>
  <c r="S178" i="28"/>
  <c r="U20" i="53" s="1"/>
  <c r="Y89" i="52"/>
  <c r="AJ63" i="48"/>
  <c r="AJ68" i="48" s="1"/>
  <c r="AJ73" i="48" s="1"/>
  <c r="AJ39" i="55"/>
  <c r="L37" i="55"/>
  <c r="M51" i="55"/>
  <c r="M124" i="36" s="1"/>
  <c r="AN39" i="55"/>
  <c r="AB35" i="55"/>
  <c r="J213" i="53"/>
  <c r="J257" i="53" s="1"/>
  <c r="L38" i="55"/>
  <c r="AL37" i="55"/>
  <c r="AN65" i="48"/>
  <c r="AN70" i="48" s="1"/>
  <c r="AN75" i="48" s="1"/>
  <c r="R32" i="47"/>
  <c r="R33" i="47" s="1"/>
  <c r="R34" i="47" s="1"/>
  <c r="S181" i="28"/>
  <c r="U42" i="53" s="1"/>
  <c r="AC283" i="53"/>
  <c r="AC288" i="53" s="1"/>
  <c r="AC208" i="53" s="1"/>
  <c r="J218" i="53"/>
  <c r="J357" i="53" s="1"/>
  <c r="J392" i="53" s="1"/>
  <c r="AN40" i="55"/>
  <c r="V338" i="53"/>
  <c r="V373" i="53" s="1"/>
  <c r="J202" i="53"/>
  <c r="J246" i="53" s="1"/>
  <c r="AJ65" i="48"/>
  <c r="AJ70" i="48" s="1"/>
  <c r="AJ75" i="48" s="1"/>
  <c r="L65" i="48"/>
  <c r="L70" i="48" s="1"/>
  <c r="L75" i="48" s="1"/>
  <c r="AM126" i="36"/>
  <c r="AM52" i="55"/>
  <c r="AM123" i="36" s="1"/>
  <c r="AN300" i="53"/>
  <c r="Y77" i="11"/>
  <c r="X268" i="53" s="1"/>
  <c r="AB34" i="55"/>
  <c r="F35" i="55"/>
  <c r="Y179" i="28"/>
  <c r="AA24" i="53" s="1"/>
  <c r="AM139" i="36"/>
  <c r="J203" i="53"/>
  <c r="J247" i="53" s="1"/>
  <c r="AK88" i="52"/>
  <c r="AK90" i="52" s="1"/>
  <c r="R62" i="48"/>
  <c r="R67" i="48" s="1"/>
  <c r="R72" i="48" s="1"/>
  <c r="AJ40" i="55"/>
  <c r="AM128" i="36"/>
  <c r="J207" i="53"/>
  <c r="V272" i="53"/>
  <c r="AM136" i="36"/>
  <c r="AM132" i="36"/>
  <c r="R37" i="55"/>
  <c r="L83" i="11"/>
  <c r="K271" i="53" s="1"/>
  <c r="F34" i="55"/>
  <c r="J208" i="53"/>
  <c r="J349" i="53" s="1"/>
  <c r="J384" i="53" s="1"/>
  <c r="V240" i="53"/>
  <c r="AL64" i="48"/>
  <c r="AL69" i="48" s="1"/>
  <c r="AL74" i="48" s="1"/>
  <c r="AM133" i="36"/>
  <c r="AJ37" i="55"/>
  <c r="L40" i="55"/>
  <c r="J216" i="53"/>
  <c r="J355" i="53" s="1"/>
  <c r="J390" i="53" s="1"/>
  <c r="AL41" i="55"/>
  <c r="AN295" i="53"/>
  <c r="R63" i="48"/>
  <c r="R68" i="48" s="1"/>
  <c r="R73" i="48" s="1"/>
  <c r="V243" i="53"/>
  <c r="AN298" i="53"/>
  <c r="L64" i="48"/>
  <c r="L69" i="48" s="1"/>
  <c r="L74" i="48" s="1"/>
  <c r="AM134" i="36"/>
  <c r="L91" i="11"/>
  <c r="K274" i="53" s="1"/>
  <c r="AJ64" i="48"/>
  <c r="AJ69" i="48" s="1"/>
  <c r="AJ74" i="48" s="1"/>
  <c r="L63" i="48"/>
  <c r="L68" i="48" s="1"/>
  <c r="L73" i="48" s="1"/>
  <c r="AL299" i="53"/>
  <c r="AM137" i="36"/>
  <c r="J209" i="53"/>
  <c r="J350" i="53" s="1"/>
  <c r="J385" i="53" s="1"/>
  <c r="AN297" i="53"/>
  <c r="AB40" i="55"/>
  <c r="L32" i="47"/>
  <c r="L33" i="47" s="1"/>
  <c r="L34" i="47" s="1"/>
  <c r="AM130" i="36"/>
  <c r="AM135" i="36"/>
  <c r="J217" i="53"/>
  <c r="J356" i="53" s="1"/>
  <c r="J391" i="53" s="1"/>
  <c r="J206" i="53"/>
  <c r="J250" i="53" s="1"/>
  <c r="V275" i="53"/>
  <c r="V337" i="53"/>
  <c r="V372" i="53" s="1"/>
  <c r="AL298" i="53"/>
  <c r="AM125" i="36"/>
  <c r="AN36" i="55"/>
  <c r="AB64" i="48"/>
  <c r="AB69" i="48" s="1"/>
  <c r="AB74" i="48" s="1"/>
  <c r="AB36" i="55"/>
  <c r="H244" i="53"/>
  <c r="J215" i="53"/>
  <c r="J354" i="53" s="1"/>
  <c r="J389" i="53" s="1"/>
  <c r="J205" i="53"/>
  <c r="J249" i="53" s="1"/>
  <c r="W84" i="11"/>
  <c r="AM124" i="36"/>
  <c r="AN64" i="48"/>
  <c r="AN69" i="48" s="1"/>
  <c r="AN74" i="48" s="1"/>
  <c r="R40" i="55"/>
  <c r="S173" i="28"/>
  <c r="U31" i="53" s="1"/>
  <c r="AB62" i="48"/>
  <c r="AB67" i="48" s="1"/>
  <c r="AB72" i="48" s="1"/>
  <c r="AM131" i="36"/>
  <c r="AB38" i="55"/>
  <c r="L36" i="55"/>
  <c r="J210" i="53"/>
  <c r="R38" i="55"/>
  <c r="J221" i="53"/>
  <c r="J265" i="53" s="1"/>
  <c r="J211" i="53"/>
  <c r="J255" i="53" s="1"/>
  <c r="P83" i="11"/>
  <c r="O271" i="53" s="1"/>
  <c r="AB63" i="48"/>
  <c r="AB68" i="48" s="1"/>
  <c r="AB73" i="48" s="1"/>
  <c r="AI66" i="11"/>
  <c r="AN41" i="55"/>
  <c r="AJ36" i="55"/>
  <c r="L34" i="55"/>
  <c r="AN296" i="53"/>
  <c r="AM105" i="11"/>
  <c r="AM109" i="11" s="1"/>
  <c r="AE179" i="28"/>
  <c r="AG34" i="53" s="1"/>
  <c r="AD35" i="55"/>
  <c r="R173" i="28"/>
  <c r="T41" i="53" s="1"/>
  <c r="AK96" i="52"/>
  <c r="AK97" i="52" s="1"/>
  <c r="AJ32" i="47"/>
  <c r="AJ33" i="47" s="1"/>
  <c r="AJ34" i="47" s="1"/>
  <c r="T17" i="56"/>
  <c r="R65" i="48"/>
  <c r="R70" i="48" s="1"/>
  <c r="R75" i="48" s="1"/>
  <c r="AB39" i="55"/>
  <c r="Q38" i="55"/>
  <c r="N298" i="53"/>
  <c r="AD34" i="55"/>
  <c r="L62" i="48"/>
  <c r="L67" i="48" s="1"/>
  <c r="L72" i="48" s="1"/>
  <c r="AL35" i="55"/>
  <c r="AE176" i="28"/>
  <c r="AG35" i="53" s="1"/>
  <c r="AF296" i="53"/>
  <c r="AI297" i="53"/>
  <c r="F14" i="56"/>
  <c r="F15" i="56" s="1"/>
  <c r="D95" i="52" s="1"/>
  <c r="AD14" i="56"/>
  <c r="AB92" i="52" s="1"/>
  <c r="P91" i="11"/>
  <c r="O274" i="53" s="1"/>
  <c r="AL34" i="55"/>
  <c r="R39" i="55"/>
  <c r="F65" i="48"/>
  <c r="F70" i="48" s="1"/>
  <c r="F75" i="48" s="1"/>
  <c r="AK98" i="52"/>
  <c r="Z17" i="56"/>
  <c r="L39" i="55"/>
  <c r="R174" i="28"/>
  <c r="T29" i="53" s="1"/>
  <c r="M137" i="52"/>
  <c r="M138" i="52" s="1"/>
  <c r="M139" i="52" s="1"/>
  <c r="AI99" i="52"/>
  <c r="AJ62" i="48"/>
  <c r="AJ67" i="48" s="1"/>
  <c r="AJ72" i="48" s="1"/>
  <c r="AL295" i="53"/>
  <c r="AE180" i="28"/>
  <c r="AG23" i="53" s="1"/>
  <c r="Q98" i="52"/>
  <c r="R176" i="28"/>
  <c r="T25" i="53" s="1"/>
  <c r="AI300" i="53"/>
  <c r="F39" i="55"/>
  <c r="AD39" i="55"/>
  <c r="AG17" i="56"/>
  <c r="AN32" i="47"/>
  <c r="AN33" i="47" s="1"/>
  <c r="AN34" i="47" s="1"/>
  <c r="AI299" i="53"/>
  <c r="Q36" i="55"/>
  <c r="R181" i="28"/>
  <c r="T22" i="53" s="1"/>
  <c r="F63" i="48"/>
  <c r="F68" i="48" s="1"/>
  <c r="F73" i="48" s="1"/>
  <c r="R178" i="28"/>
  <c r="T10" i="53" s="1"/>
  <c r="Y173" i="28"/>
  <c r="AA41" i="53" s="1"/>
  <c r="Y176" i="28"/>
  <c r="AA15" i="53" s="1"/>
  <c r="AE181" i="28"/>
  <c r="AG12" i="53" s="1"/>
  <c r="R179" i="28"/>
  <c r="T34" i="53" s="1"/>
  <c r="AL63" i="48"/>
  <c r="AL68" i="48" s="1"/>
  <c r="AL73" i="48" s="1"/>
  <c r="Q65" i="48"/>
  <c r="Q70" i="48" s="1"/>
  <c r="Q75" i="48" s="1"/>
  <c r="Q96" i="52"/>
  <c r="Q97" i="52" s="1"/>
  <c r="Y174" i="28"/>
  <c r="AA29" i="53" s="1"/>
  <c r="Y178" i="28"/>
  <c r="AA40" i="53" s="1"/>
  <c r="AM66" i="11"/>
  <c r="S105" i="11"/>
  <c r="S109" i="11" s="1"/>
  <c r="R268" i="53"/>
  <c r="V254" i="53"/>
  <c r="V351" i="53"/>
  <c r="W39" i="53"/>
  <c r="W19" i="53"/>
  <c r="W29" i="53"/>
  <c r="W9" i="53"/>
  <c r="Q62" i="48"/>
  <c r="Q67" i="48" s="1"/>
  <c r="Q72" i="48" s="1"/>
  <c r="W13" i="53"/>
  <c r="W43" i="53"/>
  <c r="W23" i="53"/>
  <c r="W33" i="53"/>
  <c r="O16" i="55"/>
  <c r="O12" i="48"/>
  <c r="O9" i="48"/>
  <c r="O11" i="48"/>
  <c r="O16" i="36"/>
  <c r="O19" i="55"/>
  <c r="O15" i="55"/>
  <c r="O13" i="36"/>
  <c r="O18" i="36"/>
  <c r="O15" i="36"/>
  <c r="O19" i="36"/>
  <c r="O17" i="36"/>
  <c r="O10" i="48"/>
  <c r="O13" i="48"/>
  <c r="O18" i="55"/>
  <c r="O12" i="55"/>
  <c r="O14" i="36"/>
  <c r="O14" i="55"/>
  <c r="O5" i="47"/>
  <c r="O12" i="36"/>
  <c r="O13" i="55"/>
  <c r="O17" i="55"/>
  <c r="AD61" i="48"/>
  <c r="AD66" i="48" s="1"/>
  <c r="AD71" i="48" s="1"/>
  <c r="R180" i="28"/>
  <c r="AK15" i="56"/>
  <c r="AI95" i="52" s="1"/>
  <c r="AI92" i="52"/>
  <c r="AC94" i="52"/>
  <c r="AC93" i="52"/>
  <c r="AD51" i="55"/>
  <c r="M32" i="47"/>
  <c r="M33" i="47" s="1"/>
  <c r="M34" i="47" s="1"/>
  <c r="AC177" i="28"/>
  <c r="Q40" i="55"/>
  <c r="AB15" i="57"/>
  <c r="O16" i="53" s="1"/>
  <c r="AB16" i="57"/>
  <c r="O17" i="53" s="1"/>
  <c r="O3" i="56"/>
  <c r="O47" i="55"/>
  <c r="O10" i="56"/>
  <c r="O30" i="55"/>
  <c r="AD32" i="47"/>
  <c r="AD33" i="47" s="1"/>
  <c r="AD34" i="47" s="1"/>
  <c r="W22" i="53"/>
  <c r="W42" i="53"/>
  <c r="W32" i="53"/>
  <c r="W12" i="53"/>
  <c r="M36" i="55"/>
  <c r="Q268" i="53"/>
  <c r="R105" i="11"/>
  <c r="R109" i="11" s="1"/>
  <c r="AJ14" i="56"/>
  <c r="W40" i="53"/>
  <c r="W10" i="53"/>
  <c r="W30" i="53"/>
  <c r="W20" i="53"/>
  <c r="AC213" i="53"/>
  <c r="AC257" i="53" s="1"/>
  <c r="AC220" i="53"/>
  <c r="AC221" i="53"/>
  <c r="AC265" i="53" s="1"/>
  <c r="AC218" i="53"/>
  <c r="AC219" i="53"/>
  <c r="AC216" i="53"/>
  <c r="AC212" i="53"/>
  <c r="AC215" i="53"/>
  <c r="AC217" i="53"/>
  <c r="AL14" i="56"/>
  <c r="AB51" i="55"/>
  <c r="M34" i="55"/>
  <c r="AJ38" i="55"/>
  <c r="AL62" i="48"/>
  <c r="AL67" i="48" s="1"/>
  <c r="AL72" i="48" s="1"/>
  <c r="AN292" i="53"/>
  <c r="AL34" i="52"/>
  <c r="I17" i="56"/>
  <c r="N299" i="53"/>
  <c r="P294" i="53"/>
  <c r="Q61" i="48"/>
  <c r="Q66" i="48" s="1"/>
  <c r="Q71" i="48" s="1"/>
  <c r="Q39" i="55"/>
  <c r="T118" i="36"/>
  <c r="T120" i="36"/>
  <c r="T123" i="36"/>
  <c r="T122" i="36"/>
  <c r="T116" i="36"/>
  <c r="T117" i="36"/>
  <c r="R91" i="52"/>
  <c r="T119" i="36"/>
  <c r="T121" i="36"/>
  <c r="T57" i="55"/>
  <c r="F62" i="48"/>
  <c r="F67" i="48" s="1"/>
  <c r="F72" i="48" s="1"/>
  <c r="P23" i="58"/>
  <c r="Q175" i="28" s="1"/>
  <c r="Q51" i="55"/>
  <c r="V253" i="53"/>
  <c r="V350" i="53"/>
  <c r="V385" i="53" s="1"/>
  <c r="V252" i="53"/>
  <c r="V349" i="53"/>
  <c r="V384" i="53" s="1"/>
  <c r="AK293" i="53"/>
  <c r="P101" i="11"/>
  <c r="O277" i="53" s="1"/>
  <c r="V249" i="53"/>
  <c r="V346" i="53"/>
  <c r="V381" i="53" s="1"/>
  <c r="AJ41" i="55"/>
  <c r="AN62" i="48"/>
  <c r="AN67" i="48" s="1"/>
  <c r="AN72" i="48" s="1"/>
  <c r="W23" i="58"/>
  <c r="X175" i="28" s="1"/>
  <c r="R34" i="55"/>
  <c r="G94" i="52"/>
  <c r="G93" i="52"/>
  <c r="AC181" i="28"/>
  <c r="Q37" i="55"/>
  <c r="L14" i="56"/>
  <c r="J28" i="58"/>
  <c r="J29" i="58"/>
  <c r="J25" i="58"/>
  <c r="J30" i="58"/>
  <c r="J32" i="58"/>
  <c r="J27" i="58"/>
  <c r="J26" i="58"/>
  <c r="J24" i="58"/>
  <c r="V234" i="53"/>
  <c r="V335" i="53"/>
  <c r="AB14" i="56"/>
  <c r="M40" i="55"/>
  <c r="I24" i="58"/>
  <c r="I27" i="58"/>
  <c r="I25" i="58"/>
  <c r="I32" i="58"/>
  <c r="I30" i="58"/>
  <c r="I26" i="58"/>
  <c r="I28" i="58"/>
  <c r="I29" i="58"/>
  <c r="V378" i="53"/>
  <c r="V344" i="53"/>
  <c r="V379" i="53" s="1"/>
  <c r="K8" i="55"/>
  <c r="K9" i="36"/>
  <c r="K7" i="36"/>
  <c r="K8" i="48"/>
  <c r="K6" i="48"/>
  <c r="K7" i="55"/>
  <c r="K11" i="55"/>
  <c r="K4" i="48"/>
  <c r="X22" i="57"/>
  <c r="K7" i="53" s="1"/>
  <c r="K11" i="36"/>
  <c r="X21" i="57"/>
  <c r="K6" i="53" s="1"/>
  <c r="K5" i="36"/>
  <c r="K4" i="47"/>
  <c r="K5" i="48"/>
  <c r="K6" i="55"/>
  <c r="K5" i="55"/>
  <c r="K48" i="55"/>
  <c r="K6" i="36"/>
  <c r="K8" i="36"/>
  <c r="K10" i="55"/>
  <c r="K11" i="56"/>
  <c r="K4" i="55"/>
  <c r="K10" i="36"/>
  <c r="K7" i="48"/>
  <c r="K4" i="36"/>
  <c r="K9" i="55"/>
  <c r="Q64" i="48"/>
  <c r="Q69" i="48" s="1"/>
  <c r="Q74" i="48" s="1"/>
  <c r="L51" i="55"/>
  <c r="R90" i="52"/>
  <c r="R89" i="52"/>
  <c r="AJ51" i="55"/>
  <c r="F41" i="55"/>
  <c r="AC281" i="53"/>
  <c r="AC286" i="53" s="1"/>
  <c r="AC184" i="53" s="1"/>
  <c r="AC228" i="53" s="1"/>
  <c r="AC214" i="53"/>
  <c r="AC258" i="53" s="1"/>
  <c r="AC282" i="53"/>
  <c r="AC287" i="53" s="1"/>
  <c r="V334" i="53"/>
  <c r="V369" i="53" s="1"/>
  <c r="V233" i="53"/>
  <c r="AD64" i="48"/>
  <c r="AD69" i="48" s="1"/>
  <c r="AD74" i="48" s="1"/>
  <c r="Q14" i="56"/>
  <c r="AK105" i="11"/>
  <c r="AK109" i="11" s="1"/>
  <c r="AJ268" i="53"/>
  <c r="H18" i="58"/>
  <c r="H19" i="58" s="1"/>
  <c r="AK92" i="52"/>
  <c r="AM15" i="56"/>
  <c r="AK95" i="52" s="1"/>
  <c r="Q34" i="55"/>
  <c r="F37" i="55"/>
  <c r="AC174" i="28"/>
  <c r="L101" i="11"/>
  <c r="K277" i="53" s="1"/>
  <c r="Y180" i="28"/>
  <c r="V333" i="53"/>
  <c r="V368" i="53" s="1"/>
  <c r="V232" i="53"/>
  <c r="Y181" i="28"/>
  <c r="AF300" i="53"/>
  <c r="N105" i="11"/>
  <c r="N109" i="11" s="1"/>
  <c r="M268" i="53"/>
  <c r="X99" i="52"/>
  <c r="AE93" i="52"/>
  <c r="AE94" i="52"/>
  <c r="AN63" i="48"/>
  <c r="AN68" i="48" s="1"/>
  <c r="AN73" i="48" s="1"/>
  <c r="Y28" i="58"/>
  <c r="Y26" i="58"/>
  <c r="Y24" i="58"/>
  <c r="Y32" i="58"/>
  <c r="Y27" i="58"/>
  <c r="Y29" i="58"/>
  <c r="Y25" i="58"/>
  <c r="Y30" i="58"/>
  <c r="AE173" i="28"/>
  <c r="F64" i="48"/>
  <c r="F69" i="48" s="1"/>
  <c r="F74" i="48" s="1"/>
  <c r="X96" i="52"/>
  <c r="X97" i="52" s="1"/>
  <c r="W11" i="53"/>
  <c r="W41" i="53"/>
  <c r="W21" i="53"/>
  <c r="W31" i="53"/>
  <c r="V231" i="53"/>
  <c r="V332" i="53"/>
  <c r="V367" i="53" s="1"/>
  <c r="AD41" i="55"/>
  <c r="AF295" i="53"/>
  <c r="AG34" i="52"/>
  <c r="AI292" i="53"/>
  <c r="AJ66" i="11"/>
  <c r="M39" i="55"/>
  <c r="M41" i="55"/>
  <c r="AL301" i="53"/>
  <c r="AB18" i="57"/>
  <c r="O27" i="53" s="1"/>
  <c r="AB17" i="57"/>
  <c r="O26" i="53" s="1"/>
  <c r="Q35" i="55"/>
  <c r="AC176" i="28"/>
  <c r="V315" i="53"/>
  <c r="V313" i="53"/>
  <c r="V269" i="53"/>
  <c r="V316" i="53"/>
  <c r="V329" i="53"/>
  <c r="V364" i="53" s="1"/>
  <c r="V314" i="53"/>
  <c r="V317" i="53"/>
  <c r="V320" i="53"/>
  <c r="W78" i="11"/>
  <c r="V319" i="53"/>
  <c r="V318" i="53"/>
  <c r="V226" i="53"/>
  <c r="AD37" i="55"/>
  <c r="I294" i="53"/>
  <c r="I284" i="53" s="1"/>
  <c r="I289" i="53" s="1"/>
  <c r="AH299" i="53"/>
  <c r="M37" i="55"/>
  <c r="AN268" i="53"/>
  <c r="AO105" i="11"/>
  <c r="AO109" i="11" s="1"/>
  <c r="AN14" i="56"/>
  <c r="AO284" i="53"/>
  <c r="AO289" i="53" s="1"/>
  <c r="AO214" i="53" s="1"/>
  <c r="AO258" i="53" s="1"/>
  <c r="AO283" i="53"/>
  <c r="AO288" i="53" s="1"/>
  <c r="AO281" i="53"/>
  <c r="AO286" i="53" s="1"/>
  <c r="AO184" i="53" s="1"/>
  <c r="AO228" i="53" s="1"/>
  <c r="AO282" i="53"/>
  <c r="AO287" i="53" s="1"/>
  <c r="AO194" i="53" s="1"/>
  <c r="AO238" i="53" s="1"/>
  <c r="V330" i="53"/>
  <c r="V365" i="53" s="1"/>
  <c r="V229" i="53"/>
  <c r="AA17" i="56"/>
  <c r="Q99" i="52"/>
  <c r="X13" i="48"/>
  <c r="X10" i="48"/>
  <c r="X13" i="55"/>
  <c r="X11" i="48"/>
  <c r="X13" i="36"/>
  <c r="X19" i="55"/>
  <c r="X16" i="55"/>
  <c r="X12" i="48"/>
  <c r="X15" i="55"/>
  <c r="X17" i="55"/>
  <c r="X14" i="36"/>
  <c r="X5" i="47"/>
  <c r="X9" i="48"/>
  <c r="X12" i="55"/>
  <c r="X14" i="55"/>
  <c r="X18" i="36"/>
  <c r="X16" i="36"/>
  <c r="X12" i="36"/>
  <c r="X15" i="36"/>
  <c r="X18" i="55"/>
  <c r="X19" i="36"/>
  <c r="X17" i="36"/>
  <c r="Q41" i="55"/>
  <c r="AN51" i="55"/>
  <c r="AK99" i="52"/>
  <c r="W8" i="53"/>
  <c r="W18" i="53"/>
  <c r="W38" i="53"/>
  <c r="W28" i="53"/>
  <c r="I120" i="36"/>
  <c r="I118" i="36"/>
  <c r="I122" i="36"/>
  <c r="G91" i="52"/>
  <c r="I119" i="36"/>
  <c r="I121" i="36"/>
  <c r="I117" i="36"/>
  <c r="I116" i="36"/>
  <c r="I123" i="36"/>
  <c r="I57" i="55"/>
  <c r="M64" i="48"/>
  <c r="M69" i="48" s="1"/>
  <c r="M74" i="48" s="1"/>
  <c r="AI301" i="53"/>
  <c r="AJ61" i="48"/>
  <c r="AJ66" i="48" s="1"/>
  <c r="AJ71" i="48" s="1"/>
  <c r="AJ35" i="55"/>
  <c r="AJ34" i="52"/>
  <c r="AL292" i="53"/>
  <c r="AL38" i="55"/>
  <c r="R58" i="18"/>
  <c r="Q58" i="18"/>
  <c r="V137" i="52"/>
  <c r="V138" i="52" s="1"/>
  <c r="V139" i="52" s="1"/>
  <c r="V230" i="53"/>
  <c r="V331" i="53"/>
  <c r="V366" i="53" s="1"/>
  <c r="AD62" i="48"/>
  <c r="AD67" i="48" s="1"/>
  <c r="AD72" i="48" s="1"/>
  <c r="AI298" i="53"/>
  <c r="G90" i="52"/>
  <c r="G89" i="52"/>
  <c r="Y93" i="52"/>
  <c r="Y94" i="52"/>
  <c r="M63" i="48"/>
  <c r="M68" i="48" s="1"/>
  <c r="M73" i="48" s="1"/>
  <c r="V251" i="53"/>
  <c r="V348" i="53"/>
  <c r="V383" i="53" s="1"/>
  <c r="R94" i="52"/>
  <c r="R93" i="52"/>
  <c r="N26" i="58"/>
  <c r="N29" i="58"/>
  <c r="N24" i="58"/>
  <c r="N25" i="58"/>
  <c r="N27" i="58"/>
  <c r="N30" i="58"/>
  <c r="N28" i="58"/>
  <c r="N32" i="58"/>
  <c r="AK16" i="57"/>
  <c r="X17" i="53" s="1"/>
  <c r="X3" i="56"/>
  <c r="X47" i="55"/>
  <c r="AK15" i="57"/>
  <c r="X16" i="53" s="1"/>
  <c r="X30" i="55"/>
  <c r="X10" i="56"/>
  <c r="F40" i="55"/>
  <c r="AA30" i="58"/>
  <c r="AA25" i="58"/>
  <c r="AA28" i="58"/>
  <c r="AA24" i="58"/>
  <c r="AA29" i="58"/>
  <c r="AA26" i="58"/>
  <c r="AA32" i="58"/>
  <c r="AA27" i="58"/>
  <c r="AD63" i="48"/>
  <c r="AD68" i="48" s="1"/>
  <c r="AD73" i="48" s="1"/>
  <c r="Z137" i="36"/>
  <c r="Z125" i="36"/>
  <c r="Z135" i="36"/>
  <c r="Z126" i="36"/>
  <c r="Z131" i="36"/>
  <c r="Z128" i="36"/>
  <c r="Z129" i="36"/>
  <c r="Z134" i="36"/>
  <c r="Z127" i="36"/>
  <c r="Z52" i="55"/>
  <c r="Z133" i="36"/>
  <c r="Z124" i="36"/>
  <c r="Z132" i="36"/>
  <c r="Z136" i="36"/>
  <c r="Z130" i="36"/>
  <c r="Z139" i="36"/>
  <c r="X88" i="52"/>
  <c r="Z138" i="36"/>
  <c r="AL39" i="55"/>
  <c r="AL296" i="53"/>
  <c r="R64" i="48"/>
  <c r="R69" i="48" s="1"/>
  <c r="R74" i="48" s="1"/>
  <c r="AC179" i="28"/>
  <c r="W14" i="53"/>
  <c r="W24" i="53"/>
  <c r="W44" i="53"/>
  <c r="W34" i="53"/>
  <c r="N292" i="53"/>
  <c r="L34" i="52"/>
  <c r="O66" i="11"/>
  <c r="N297" i="53"/>
  <c r="L77" i="11"/>
  <c r="AL65" i="48"/>
  <c r="AL70" i="48" s="1"/>
  <c r="AL75" i="48" s="1"/>
  <c r="Q32" i="47"/>
  <c r="Q33" i="47" s="1"/>
  <c r="Q34" i="47" s="1"/>
  <c r="R14" i="56"/>
  <c r="F61" i="48"/>
  <c r="F66" i="48" s="1"/>
  <c r="F71" i="48" s="1"/>
  <c r="AD65" i="48"/>
  <c r="AD70" i="48" s="1"/>
  <c r="AD75" i="48" s="1"/>
  <c r="AF299" i="53"/>
  <c r="X16" i="57"/>
  <c r="K17" i="53" s="1"/>
  <c r="K10" i="56"/>
  <c r="K3" i="56"/>
  <c r="K30" i="55"/>
  <c r="K47" i="55"/>
  <c r="X15" i="57"/>
  <c r="K16" i="53" s="1"/>
  <c r="O11" i="56"/>
  <c r="O5" i="55"/>
  <c r="O5" i="36"/>
  <c r="O11" i="55"/>
  <c r="AB22" i="57"/>
  <c r="O7" i="53" s="1"/>
  <c r="O7" i="55"/>
  <c r="O8" i="55"/>
  <c r="O4" i="36"/>
  <c r="O4" i="48"/>
  <c r="AB21" i="57"/>
  <c r="O6" i="53" s="1"/>
  <c r="O4" i="55"/>
  <c r="O9" i="55"/>
  <c r="O10" i="55"/>
  <c r="O5" i="48"/>
  <c r="O4" i="47"/>
  <c r="O7" i="36"/>
  <c r="O10" i="36"/>
  <c r="O6" i="48"/>
  <c r="O7" i="48"/>
  <c r="O8" i="36"/>
  <c r="O6" i="55"/>
  <c r="O9" i="36"/>
  <c r="O11" i="36"/>
  <c r="O6" i="36"/>
  <c r="O8" i="48"/>
  <c r="O48" i="55"/>
  <c r="S138" i="36"/>
  <c r="S136" i="36"/>
  <c r="S124" i="36"/>
  <c r="S127" i="36"/>
  <c r="S137" i="36"/>
  <c r="S133" i="36"/>
  <c r="S125" i="36"/>
  <c r="S128" i="36"/>
  <c r="S129" i="36"/>
  <c r="S126" i="36"/>
  <c r="S132" i="36"/>
  <c r="S130" i="36"/>
  <c r="S52" i="55"/>
  <c r="S131" i="36"/>
  <c r="S135" i="36"/>
  <c r="Q88" i="52"/>
  <c r="S134" i="36"/>
  <c r="S139" i="36"/>
  <c r="AJ34" i="55"/>
  <c r="AL300" i="53"/>
  <c r="AL297" i="53"/>
  <c r="Q92" i="52"/>
  <c r="S15" i="56"/>
  <c r="Q95" i="52" s="1"/>
  <c r="R35" i="55"/>
  <c r="U18" i="58"/>
  <c r="U19" i="58" s="1"/>
  <c r="O23" i="36"/>
  <c r="O16" i="48"/>
  <c r="O17" i="48"/>
  <c r="O24" i="36"/>
  <c r="O18" i="48"/>
  <c r="O24" i="55"/>
  <c r="O22" i="55"/>
  <c r="O25" i="55"/>
  <c r="O15" i="48"/>
  <c r="O26" i="55"/>
  <c r="O6" i="47"/>
  <c r="O26" i="36"/>
  <c r="O27" i="55"/>
  <c r="O25" i="36"/>
  <c r="O20" i="55"/>
  <c r="O23" i="55"/>
  <c r="O14" i="48"/>
  <c r="O22" i="36"/>
  <c r="O21" i="55"/>
  <c r="AB19" i="57"/>
  <c r="O36" i="53" s="1"/>
  <c r="O21" i="36"/>
  <c r="O20" i="36"/>
  <c r="AB20" i="57"/>
  <c r="O37" i="53" s="1"/>
  <c r="O27" i="36"/>
  <c r="F32" i="47"/>
  <c r="F33" i="47" s="1"/>
  <c r="F34" i="47" s="1"/>
  <c r="AE105" i="11"/>
  <c r="AE109" i="11" s="1"/>
  <c r="AD268" i="53"/>
  <c r="AI296" i="53"/>
  <c r="AD40" i="55"/>
  <c r="K16" i="55"/>
  <c r="K9" i="48"/>
  <c r="K5" i="47"/>
  <c r="K15" i="55"/>
  <c r="K12" i="55"/>
  <c r="K13" i="55"/>
  <c r="K12" i="36"/>
  <c r="K19" i="55"/>
  <c r="K12" i="48"/>
  <c r="K18" i="36"/>
  <c r="K17" i="55"/>
  <c r="K11" i="48"/>
  <c r="K14" i="36"/>
  <c r="K13" i="48"/>
  <c r="K10" i="48"/>
  <c r="K15" i="36"/>
  <c r="K19" i="36"/>
  <c r="K18" i="55"/>
  <c r="K13" i="36"/>
  <c r="K17" i="36"/>
  <c r="K14" i="55"/>
  <c r="K16" i="36"/>
  <c r="L18" i="58"/>
  <c r="L19" i="58" s="1"/>
  <c r="AL61" i="48"/>
  <c r="AL66" i="48" s="1"/>
  <c r="AL71" i="48" s="1"/>
  <c r="AL32" i="47"/>
  <c r="AL33" i="47" s="1"/>
  <c r="AL34" i="47" s="1"/>
  <c r="AN61" i="48"/>
  <c r="AN66" i="48" s="1"/>
  <c r="AN71" i="48" s="1"/>
  <c r="X8" i="55"/>
  <c r="X6" i="48"/>
  <c r="X10" i="36"/>
  <c r="X7" i="55"/>
  <c r="X7" i="48"/>
  <c r="X9" i="55"/>
  <c r="X8" i="36"/>
  <c r="X6" i="55"/>
  <c r="AK22" i="57"/>
  <c r="X7" i="53" s="1"/>
  <c r="X7" i="36"/>
  <c r="X5" i="48"/>
  <c r="X5" i="36"/>
  <c r="X11" i="55"/>
  <c r="X4" i="55"/>
  <c r="X6" i="36"/>
  <c r="X5" i="55"/>
  <c r="X11" i="36"/>
  <c r="X4" i="36"/>
  <c r="X9" i="36"/>
  <c r="X10" i="55"/>
  <c r="AK21" i="57"/>
  <c r="X6" i="53" s="1"/>
  <c r="X8" i="48"/>
  <c r="X48" i="55"/>
  <c r="X4" i="48"/>
  <c r="X11" i="56"/>
  <c r="X4" i="47"/>
  <c r="AC180" i="28"/>
  <c r="R51" i="55"/>
  <c r="C28" i="58"/>
  <c r="C30" i="58"/>
  <c r="C27" i="58"/>
  <c r="C32" i="58"/>
  <c r="C29" i="58"/>
  <c r="C26" i="58"/>
  <c r="C24" i="58"/>
  <c r="C25" i="58"/>
  <c r="AC173" i="28"/>
  <c r="W5" i="53"/>
  <c r="W15" i="53"/>
  <c r="W35" i="53"/>
  <c r="W25" i="53"/>
  <c r="N295" i="53"/>
  <c r="F51" i="55"/>
  <c r="I137" i="52"/>
  <c r="I138" i="52" s="1"/>
  <c r="I139" i="52" s="1"/>
  <c r="M61" i="48"/>
  <c r="M66" i="48" s="1"/>
  <c r="M71" i="48" s="1"/>
  <c r="O141" i="52"/>
  <c r="O138" i="52"/>
  <c r="O139" i="52" s="1"/>
  <c r="AK18" i="57"/>
  <c r="X27" i="53" s="1"/>
  <c r="AK17" i="57"/>
  <c r="X26" i="53" s="1"/>
  <c r="AF293" i="53"/>
  <c r="W181" i="28"/>
  <c r="M62" i="48"/>
  <c r="M67" i="48" s="1"/>
  <c r="M72" i="48" s="1"/>
  <c r="AB61" i="48"/>
  <c r="AB66" i="48" s="1"/>
  <c r="AB71" i="48" s="1"/>
  <c r="AI96" i="52"/>
  <c r="AI97" i="52" s="1"/>
  <c r="M35" i="55"/>
  <c r="AO66" i="11"/>
  <c r="AG32" i="58"/>
  <c r="AG29" i="58"/>
  <c r="AG24" i="58"/>
  <c r="AG27" i="58"/>
  <c r="AG25" i="58"/>
  <c r="AG30" i="58"/>
  <c r="AG28" i="58"/>
  <c r="AG26" i="58"/>
  <c r="AG66" i="11"/>
  <c r="F36" i="55"/>
  <c r="AD36" i="55"/>
  <c r="Y83" i="11"/>
  <c r="X271" i="53" s="1"/>
  <c r="M65" i="48"/>
  <c r="M70" i="48" s="1"/>
  <c r="M75" i="48" s="1"/>
  <c r="M105" i="11"/>
  <c r="M109" i="11" s="1"/>
  <c r="R61" i="48"/>
  <c r="R66" i="48" s="1"/>
  <c r="R71" i="48" s="1"/>
  <c r="AI295" i="53"/>
  <c r="AM293" i="53"/>
  <c r="Y101" i="11"/>
  <c r="X277" i="53" s="1"/>
  <c r="P77" i="11"/>
  <c r="V250" i="53"/>
  <c r="V347" i="53"/>
  <c r="V382" i="53" s="1"/>
  <c r="AL40" i="55"/>
  <c r="O26" i="58"/>
  <c r="O32" i="58"/>
  <c r="O24" i="58"/>
  <c r="O28" i="58"/>
  <c r="O29" i="58"/>
  <c r="O25" i="58"/>
  <c r="O27" i="58"/>
  <c r="O30" i="58"/>
  <c r="AC178" i="28"/>
  <c r="X20" i="57"/>
  <c r="K37" i="53" s="1"/>
  <c r="K6" i="47"/>
  <c r="K22" i="55"/>
  <c r="K25" i="55"/>
  <c r="K16" i="48"/>
  <c r="K25" i="36"/>
  <c r="X19" i="57"/>
  <c r="K36" i="53" s="1"/>
  <c r="K24" i="36"/>
  <c r="K20" i="36"/>
  <c r="K26" i="55"/>
  <c r="K18" i="48"/>
  <c r="K23" i="36"/>
  <c r="K22" i="36"/>
  <c r="K21" i="55"/>
  <c r="K27" i="36"/>
  <c r="K14" i="48"/>
  <c r="K26" i="36"/>
  <c r="K15" i="48"/>
  <c r="K20" i="55"/>
  <c r="K21" i="36"/>
  <c r="K23" i="55"/>
  <c r="K24" i="55"/>
  <c r="K17" i="48"/>
  <c r="K27" i="55"/>
  <c r="X18" i="57"/>
  <c r="K27" i="53" s="1"/>
  <c r="X17" i="57"/>
  <c r="K26" i="53" s="1"/>
  <c r="AD38" i="55"/>
  <c r="AL51" i="55"/>
  <c r="X6" i="47"/>
  <c r="X25" i="36"/>
  <c r="X16" i="48"/>
  <c r="X18" i="48"/>
  <c r="X15" i="48"/>
  <c r="X17" i="48"/>
  <c r="X22" i="36"/>
  <c r="X21" i="36"/>
  <c r="X24" i="36"/>
  <c r="AK20" i="57"/>
  <c r="X37" i="53" s="1"/>
  <c r="X26" i="36"/>
  <c r="X22" i="55"/>
  <c r="X26" i="55"/>
  <c r="X27" i="36"/>
  <c r="X20" i="36"/>
  <c r="X23" i="55"/>
  <c r="X14" i="48"/>
  <c r="X20" i="55"/>
  <c r="X24" i="55"/>
  <c r="X25" i="55"/>
  <c r="X27" i="55"/>
  <c r="X23" i="36"/>
  <c r="X21" i="55"/>
  <c r="AK19" i="57"/>
  <c r="X36" i="53" s="1"/>
  <c r="V345" i="53"/>
  <c r="V380" i="53" s="1"/>
  <c r="W92" i="11"/>
  <c r="V246" i="53"/>
  <c r="L61" i="48"/>
  <c r="L66" i="48" s="1"/>
  <c r="L71" i="48" s="1"/>
  <c r="AN35" i="55"/>
  <c r="G105" i="11"/>
  <c r="G109" i="11" s="1"/>
  <c r="F268" i="53"/>
  <c r="Q63" i="48"/>
  <c r="Q68" i="48" s="1"/>
  <c r="Q73" i="48" s="1"/>
  <c r="AK134" i="36"/>
  <c r="AK129" i="36"/>
  <c r="AK127" i="36"/>
  <c r="AK126" i="36"/>
  <c r="AI88" i="52"/>
  <c r="AK130" i="36"/>
  <c r="AK124" i="36"/>
  <c r="AK137" i="36"/>
  <c r="AK125" i="36"/>
  <c r="AK139" i="36"/>
  <c r="AK138" i="36"/>
  <c r="AK52" i="55"/>
  <c r="AK135" i="36"/>
  <c r="AK136" i="36"/>
  <c r="AK132" i="36"/>
  <c r="AK128" i="36"/>
  <c r="AK131" i="36"/>
  <c r="AK133" i="36"/>
  <c r="V360" i="53"/>
  <c r="V395" i="53" s="1"/>
  <c r="V394" i="53"/>
  <c r="AP294" i="53"/>
  <c r="AP284" i="53" s="1"/>
  <c r="AP289" i="53" s="1"/>
  <c r="Y177" i="28"/>
  <c r="Y91" i="11"/>
  <c r="X274" i="53" s="1"/>
  <c r="AC105" i="11"/>
  <c r="AC109" i="11" s="1"/>
  <c r="AE17" i="56"/>
  <c r="M38" i="55"/>
  <c r="H241" i="53"/>
  <c r="H342" i="53"/>
  <c r="H377" i="53" s="1"/>
  <c r="H236" i="53"/>
  <c r="H338" i="53"/>
  <c r="H373" i="53" s="1"/>
  <c r="H275" i="53"/>
  <c r="H341" i="53"/>
  <c r="H376" i="53" s="1"/>
  <c r="H242" i="53"/>
  <c r="H272" i="53"/>
  <c r="I84" i="11"/>
  <c r="H359" i="53"/>
  <c r="H264" i="53"/>
  <c r="H260" i="53"/>
  <c r="H355" i="53"/>
  <c r="H390" i="53" s="1"/>
  <c r="H356" i="53"/>
  <c r="H391" i="53" s="1"/>
  <c r="H261" i="53"/>
  <c r="H352" i="53"/>
  <c r="H387" i="53" s="1"/>
  <c r="H386" i="53"/>
  <c r="H358" i="53"/>
  <c r="H393" i="53" s="1"/>
  <c r="H263" i="53"/>
  <c r="H234" i="53"/>
  <c r="H335" i="53"/>
  <c r="H357" i="53"/>
  <c r="H392" i="53" s="1"/>
  <c r="H262" i="53"/>
  <c r="H319" i="53"/>
  <c r="H329" i="53"/>
  <c r="H364" i="53" s="1"/>
  <c r="H316" i="53"/>
  <c r="H313" i="53"/>
  <c r="H226" i="53"/>
  <c r="H318" i="53"/>
  <c r="H320" i="53"/>
  <c r="H315" i="53"/>
  <c r="H317" i="53"/>
  <c r="H314" i="53"/>
  <c r="H269" i="53"/>
  <c r="I78" i="11"/>
  <c r="H229" i="53"/>
  <c r="H330" i="53"/>
  <c r="H365" i="53" s="1"/>
  <c r="H332" i="53"/>
  <c r="H367" i="53" s="1"/>
  <c r="H231" i="53"/>
  <c r="H334" i="53"/>
  <c r="H369" i="53" s="1"/>
  <c r="H233" i="53"/>
  <c r="H354" i="53"/>
  <c r="H389" i="53" s="1"/>
  <c r="H259" i="53"/>
  <c r="H353" i="53"/>
  <c r="H388" i="53" s="1"/>
  <c r="H256" i="53"/>
  <c r="H278" i="53"/>
  <c r="I102" i="11"/>
  <c r="H331" i="53"/>
  <c r="H366" i="53" s="1"/>
  <c r="H230" i="53"/>
  <c r="H344" i="53"/>
  <c r="H379" i="53" s="1"/>
  <c r="H378" i="53"/>
  <c r="H232" i="53"/>
  <c r="H333" i="53"/>
  <c r="H368" i="53" s="1"/>
  <c r="J244" i="53" l="1"/>
  <c r="J241" i="53"/>
  <c r="Y30" i="53"/>
  <c r="J233" i="53"/>
  <c r="J240" i="53"/>
  <c r="Y31" i="53"/>
  <c r="J242" i="53"/>
  <c r="Y9" i="53"/>
  <c r="Y41" i="53"/>
  <c r="Y35" i="53"/>
  <c r="Y39" i="53"/>
  <c r="Y19" i="53"/>
  <c r="Y21" i="53"/>
  <c r="U38" i="53"/>
  <c r="J230" i="53"/>
  <c r="J229" i="53"/>
  <c r="U8" i="53"/>
  <c r="AG15" i="53"/>
  <c r="Y24" i="53"/>
  <c r="Y14" i="53"/>
  <c r="AG8" i="53"/>
  <c r="AG38" i="53"/>
  <c r="AG18" i="53"/>
  <c r="M139" i="36"/>
  <c r="Y43" i="53"/>
  <c r="Y33" i="53"/>
  <c r="Y40" i="53"/>
  <c r="Y10" i="53"/>
  <c r="Y38" i="53"/>
  <c r="Y28" i="53"/>
  <c r="T35" i="53"/>
  <c r="J329" i="53"/>
  <c r="J364" i="53" s="1"/>
  <c r="J353" i="53"/>
  <c r="J388" i="53" s="1"/>
  <c r="U43" i="53"/>
  <c r="Y25" i="53"/>
  <c r="J359" i="53"/>
  <c r="J394" i="53" s="1"/>
  <c r="T18" i="53"/>
  <c r="AL98" i="52"/>
  <c r="U34" i="53"/>
  <c r="T38" i="53"/>
  <c r="Y15" i="53"/>
  <c r="U44" i="53"/>
  <c r="T42" i="53"/>
  <c r="Y18" i="53"/>
  <c r="J232" i="53"/>
  <c r="J358" i="53"/>
  <c r="J393" i="53" s="1"/>
  <c r="AP282" i="53"/>
  <c r="AP287" i="53" s="1"/>
  <c r="AP196" i="53" s="1"/>
  <c r="Y13" i="53"/>
  <c r="Y44" i="53"/>
  <c r="U24" i="53"/>
  <c r="J337" i="53"/>
  <c r="J372" i="53" s="1"/>
  <c r="J347" i="53"/>
  <c r="J382" i="53" s="1"/>
  <c r="AC210" i="53"/>
  <c r="AC254" i="53" s="1"/>
  <c r="AC202" i="53"/>
  <c r="AC246" i="53" s="1"/>
  <c r="AK89" i="52"/>
  <c r="AC203" i="53"/>
  <c r="AC247" i="53" s="1"/>
  <c r="U32" i="53"/>
  <c r="AC211" i="53"/>
  <c r="AC255" i="53" s="1"/>
  <c r="X173" i="28"/>
  <c r="Z31" i="53" s="1"/>
  <c r="J332" i="53"/>
  <c r="J367" i="53" s="1"/>
  <c r="AG10" i="53"/>
  <c r="J269" i="53"/>
  <c r="M15" i="56"/>
  <c r="K95" i="52" s="1"/>
  <c r="AG20" i="53"/>
  <c r="U9" i="53"/>
  <c r="J272" i="53"/>
  <c r="U29" i="53"/>
  <c r="M128" i="36"/>
  <c r="T8" i="53"/>
  <c r="K78" i="11"/>
  <c r="J252" i="53"/>
  <c r="AG39" i="53"/>
  <c r="AG25" i="53"/>
  <c r="AG24" i="53"/>
  <c r="M131" i="36"/>
  <c r="J335" i="53"/>
  <c r="J336" i="53" s="1"/>
  <c r="J371" i="53" s="1"/>
  <c r="J243" i="53"/>
  <c r="AG29" i="53"/>
  <c r="AG5" i="53"/>
  <c r="M132" i="36"/>
  <c r="J275" i="53"/>
  <c r="J346" i="53"/>
  <c r="J381" i="53" s="1"/>
  <c r="AG30" i="53"/>
  <c r="T31" i="53"/>
  <c r="M52" i="55"/>
  <c r="M116" i="36" s="1"/>
  <c r="X93" i="52"/>
  <c r="AC205" i="53"/>
  <c r="J261" i="53"/>
  <c r="AP283" i="53"/>
  <c r="AP288" i="53" s="1"/>
  <c r="AP208" i="53" s="1"/>
  <c r="T21" i="53"/>
  <c r="AA39" i="53"/>
  <c r="M127" i="36"/>
  <c r="AC207" i="53"/>
  <c r="AC251" i="53" s="1"/>
  <c r="AA10" i="53"/>
  <c r="T19" i="53"/>
  <c r="AG19" i="53"/>
  <c r="J259" i="53"/>
  <c r="AA19" i="53"/>
  <c r="M136" i="36"/>
  <c r="AC206" i="53"/>
  <c r="AC250" i="53" s="1"/>
  <c r="T39" i="53"/>
  <c r="T11" i="53"/>
  <c r="J262" i="53"/>
  <c r="J239" i="53"/>
  <c r="K84" i="11"/>
  <c r="AA9" i="53"/>
  <c r="M135" i="36"/>
  <c r="AC209" i="53"/>
  <c r="AC253" i="53" s="1"/>
  <c r="U19" i="53"/>
  <c r="M138" i="36"/>
  <c r="W106" i="11"/>
  <c r="J338" i="53"/>
  <c r="J373" i="53" s="1"/>
  <c r="J345" i="53"/>
  <c r="J380" i="53" s="1"/>
  <c r="U18" i="53"/>
  <c r="M133" i="36"/>
  <c r="AC204" i="53"/>
  <c r="AC248" i="53" s="1"/>
  <c r="J315" i="53"/>
  <c r="X176" i="28"/>
  <c r="Z25" i="53" s="1"/>
  <c r="AG22" i="53"/>
  <c r="Q178" i="28"/>
  <c r="S20" i="53" s="1"/>
  <c r="AG43" i="53"/>
  <c r="AG32" i="53"/>
  <c r="AG13" i="53"/>
  <c r="AA11" i="53"/>
  <c r="T32" i="53"/>
  <c r="J253" i="53"/>
  <c r="Q174" i="28"/>
  <c r="S29" i="53" s="1"/>
  <c r="X174" i="28"/>
  <c r="Z39" i="53" s="1"/>
  <c r="T12" i="53"/>
  <c r="U22" i="53"/>
  <c r="AG42" i="53"/>
  <c r="U33" i="53"/>
  <c r="U30" i="53"/>
  <c r="U12" i="53"/>
  <c r="J348" i="53"/>
  <c r="J383" i="53" s="1"/>
  <c r="U13" i="53"/>
  <c r="U40" i="53"/>
  <c r="O39" i="55"/>
  <c r="K51" i="55"/>
  <c r="K133" i="36" s="1"/>
  <c r="J251" i="53"/>
  <c r="O96" i="52"/>
  <c r="O97" i="52" s="1"/>
  <c r="X41" i="55"/>
  <c r="U10" i="53"/>
  <c r="AG33" i="53"/>
  <c r="U15" i="53"/>
  <c r="D92" i="52"/>
  <c r="D94" i="52" s="1"/>
  <c r="F17" i="56"/>
  <c r="U35" i="53"/>
  <c r="T30" i="53"/>
  <c r="U5" i="53"/>
  <c r="AM120" i="36"/>
  <c r="T40" i="53"/>
  <c r="M134" i="36"/>
  <c r="J317" i="53"/>
  <c r="AM118" i="36"/>
  <c r="K88" i="52"/>
  <c r="K89" i="52" s="1"/>
  <c r="J278" i="53"/>
  <c r="J320" i="53"/>
  <c r="K102" i="11"/>
  <c r="AD15" i="56"/>
  <c r="AB95" i="52" s="1"/>
  <c r="AM116" i="36"/>
  <c r="M137" i="36"/>
  <c r="M126" i="36"/>
  <c r="AH98" i="52"/>
  <c r="AM57" i="55"/>
  <c r="M125" i="36"/>
  <c r="M130" i="36"/>
  <c r="K92" i="11"/>
  <c r="M129" i="36"/>
  <c r="AA20" i="53"/>
  <c r="AA25" i="53"/>
  <c r="AA34" i="53"/>
  <c r="T14" i="53"/>
  <c r="J254" i="53"/>
  <c r="AA44" i="53"/>
  <c r="AM117" i="36"/>
  <c r="U21" i="53"/>
  <c r="J314" i="53"/>
  <c r="T44" i="53"/>
  <c r="J318" i="53"/>
  <c r="AA14" i="53"/>
  <c r="AA5" i="53"/>
  <c r="AG44" i="53"/>
  <c r="AM121" i="36"/>
  <c r="U41" i="53"/>
  <c r="J96" i="52"/>
  <c r="J97" i="52" s="1"/>
  <c r="T24" i="53"/>
  <c r="AA35" i="53"/>
  <c r="J313" i="53"/>
  <c r="P99" i="52"/>
  <c r="AM122" i="36"/>
  <c r="J316" i="53"/>
  <c r="P98" i="52"/>
  <c r="J319" i="53"/>
  <c r="J351" i="53"/>
  <c r="J386" i="53" s="1"/>
  <c r="J260" i="53"/>
  <c r="T15" i="53"/>
  <c r="AA31" i="53"/>
  <c r="O37" i="55"/>
  <c r="T5" i="53"/>
  <c r="AA21" i="53"/>
  <c r="X177" i="28"/>
  <c r="Z28" i="53" s="1"/>
  <c r="AG14" i="53"/>
  <c r="AM119" i="36"/>
  <c r="U11" i="53"/>
  <c r="Z98" i="52"/>
  <c r="D98" i="52"/>
  <c r="AK91" i="52"/>
  <c r="J98" i="52"/>
  <c r="AA30" i="53"/>
  <c r="O36" i="55"/>
  <c r="AB98" i="52"/>
  <c r="K38" i="55"/>
  <c r="O98" i="52"/>
  <c r="K14" i="56"/>
  <c r="I92" i="52" s="1"/>
  <c r="X180" i="28"/>
  <c r="Z23" i="53" s="1"/>
  <c r="AM17" i="56"/>
  <c r="J99" i="52"/>
  <c r="O64" i="48"/>
  <c r="O69" i="48" s="1"/>
  <c r="O74" i="48" s="1"/>
  <c r="X178" i="28"/>
  <c r="Z30" i="53" s="1"/>
  <c r="X14" i="56"/>
  <c r="V92" i="52" s="1"/>
  <c r="T20" i="53"/>
  <c r="Q173" i="28"/>
  <c r="S21" i="53" s="1"/>
  <c r="X179" i="28"/>
  <c r="Z14" i="53" s="1"/>
  <c r="T9" i="53"/>
  <c r="W296" i="53"/>
  <c r="AJ99" i="52"/>
  <c r="O35" i="55"/>
  <c r="K98" i="52"/>
  <c r="AJ98" i="52"/>
  <c r="O40" i="55"/>
  <c r="AK17" i="56"/>
  <c r="I213" i="53"/>
  <c r="I257" i="53" s="1"/>
  <c r="I221" i="53"/>
  <c r="I265" i="53" s="1"/>
  <c r="I218" i="53"/>
  <c r="I217" i="53"/>
  <c r="I220" i="53"/>
  <c r="I216" i="53"/>
  <c r="I219" i="53"/>
  <c r="I212" i="53"/>
  <c r="I215" i="53"/>
  <c r="AP281" i="53"/>
  <c r="AP286" i="53" s="1"/>
  <c r="AP184" i="53" s="1"/>
  <c r="AP228" i="53" s="1"/>
  <c r="AP214" i="53"/>
  <c r="AP258" i="53" s="1"/>
  <c r="O32" i="47"/>
  <c r="O33" i="47" s="1"/>
  <c r="O34" i="47" s="1"/>
  <c r="AK93" i="52"/>
  <c r="AK94" i="52"/>
  <c r="Z92" i="52"/>
  <c r="AB15" i="56"/>
  <c r="Z95" i="52" s="1"/>
  <c r="Y22" i="53"/>
  <c r="Y12" i="53"/>
  <c r="Y32" i="53"/>
  <c r="Y42" i="53"/>
  <c r="X65" i="48"/>
  <c r="X70" i="48" s="1"/>
  <c r="X75" i="48" s="1"/>
  <c r="Q94" i="52"/>
  <c r="Q93" i="52"/>
  <c r="O62" i="48"/>
  <c r="O67" i="48" s="1"/>
  <c r="O72" i="48" s="1"/>
  <c r="AH99" i="52"/>
  <c r="Q177" i="28"/>
  <c r="W297" i="53"/>
  <c r="K61" i="48"/>
  <c r="K66" i="48" s="1"/>
  <c r="K71" i="48" s="1"/>
  <c r="V370" i="53"/>
  <c r="V336" i="53"/>
  <c r="V371" i="53" s="1"/>
  <c r="AE24" i="53"/>
  <c r="AE34" i="53"/>
  <c r="AE14" i="53"/>
  <c r="AE44" i="53"/>
  <c r="H26" i="58"/>
  <c r="H24" i="58"/>
  <c r="H29" i="58"/>
  <c r="H25" i="58"/>
  <c r="H30" i="58"/>
  <c r="H28" i="58"/>
  <c r="H27" i="58"/>
  <c r="H32" i="58"/>
  <c r="AB96" i="52"/>
  <c r="AB97" i="52" s="1"/>
  <c r="AH294" i="53"/>
  <c r="AH281" i="53" s="1"/>
  <c r="AH286" i="53" s="1"/>
  <c r="W298" i="53"/>
  <c r="K41" i="55"/>
  <c r="AN293" i="53"/>
  <c r="AE41" i="53"/>
  <c r="AE31" i="53"/>
  <c r="AE11" i="53"/>
  <c r="AE21" i="53"/>
  <c r="O34" i="55"/>
  <c r="Q179" i="28"/>
  <c r="K37" i="55"/>
  <c r="J23" i="58"/>
  <c r="K175" i="28" s="1"/>
  <c r="AI93" i="52"/>
  <c r="AI94" i="52"/>
  <c r="X40" i="55"/>
  <c r="AG23" i="58"/>
  <c r="AH175" i="28" s="1"/>
  <c r="AL136" i="36"/>
  <c r="AL52" i="55"/>
  <c r="AL130" i="36"/>
  <c r="AL134" i="36"/>
  <c r="AL125" i="36"/>
  <c r="AL135" i="36"/>
  <c r="AL132" i="36"/>
  <c r="AL124" i="36"/>
  <c r="AL127" i="36"/>
  <c r="AL126" i="36"/>
  <c r="AL133" i="36"/>
  <c r="AL129" i="36"/>
  <c r="AJ88" i="52"/>
  <c r="AL128" i="36"/>
  <c r="AL131" i="36"/>
  <c r="AL137" i="36"/>
  <c r="AL138" i="36"/>
  <c r="AL139" i="36"/>
  <c r="P105" i="11"/>
  <c r="P109" i="11" s="1"/>
  <c r="O268" i="53"/>
  <c r="V321" i="53"/>
  <c r="K63" i="48"/>
  <c r="K68" i="48" s="1"/>
  <c r="K73" i="48" s="1"/>
  <c r="K96" i="52"/>
  <c r="K97" i="52" s="1"/>
  <c r="O61" i="48"/>
  <c r="O66" i="48" s="1"/>
  <c r="O71" i="48" s="1"/>
  <c r="Q180" i="28"/>
  <c r="AA22" i="53"/>
  <c r="AA42" i="53"/>
  <c r="AA12" i="53"/>
  <c r="AA32" i="53"/>
  <c r="Q15" i="56"/>
  <c r="O95" i="52" s="1"/>
  <c r="O92" i="52"/>
  <c r="K65" i="48"/>
  <c r="K70" i="48" s="1"/>
  <c r="K75" i="48" s="1"/>
  <c r="AJ15" i="56"/>
  <c r="AH95" i="52" s="1"/>
  <c r="AH92" i="52"/>
  <c r="AN139" i="36"/>
  <c r="AN134" i="36"/>
  <c r="AN130" i="36"/>
  <c r="AN126" i="36"/>
  <c r="AN124" i="36"/>
  <c r="AN133" i="36"/>
  <c r="AN132" i="36"/>
  <c r="AN137" i="36"/>
  <c r="AL88" i="52"/>
  <c r="AN127" i="36"/>
  <c r="AN135" i="36"/>
  <c r="AN125" i="36"/>
  <c r="AN128" i="36"/>
  <c r="AN52" i="55"/>
  <c r="AN136" i="36"/>
  <c r="AN131" i="36"/>
  <c r="AN129" i="36"/>
  <c r="AN138" i="36"/>
  <c r="X35" i="55"/>
  <c r="AA23" i="58"/>
  <c r="AB175" i="28" s="1"/>
  <c r="AO193" i="53"/>
  <c r="AO237" i="53" s="1"/>
  <c r="AO198" i="53"/>
  <c r="AO195" i="53"/>
  <c r="AO199" i="53"/>
  <c r="AO197" i="53"/>
  <c r="AO201" i="53"/>
  <c r="AO245" i="53" s="1"/>
  <c r="AO192" i="53"/>
  <c r="AO196" i="53"/>
  <c r="AO200" i="53"/>
  <c r="I282" i="53"/>
  <c r="I287" i="53" s="1"/>
  <c r="I194" i="53" s="1"/>
  <c r="I238" i="53" s="1"/>
  <c r="Q176" i="28"/>
  <c r="C23" i="58"/>
  <c r="D175" i="28" s="1"/>
  <c r="O38" i="55"/>
  <c r="AO185" i="53"/>
  <c r="AO188" i="53"/>
  <c r="AO189" i="53"/>
  <c r="AO187" i="53"/>
  <c r="AO191" i="53"/>
  <c r="AO235" i="53" s="1"/>
  <c r="AO182" i="53"/>
  <c r="AO186" i="53"/>
  <c r="AO190" i="53"/>
  <c r="AO183" i="53"/>
  <c r="AO227" i="53" s="1"/>
  <c r="AE5" i="53"/>
  <c r="AE25" i="53"/>
  <c r="AE15" i="53"/>
  <c r="AE35" i="53"/>
  <c r="K39" i="55"/>
  <c r="Q135" i="36"/>
  <c r="Q127" i="36"/>
  <c r="Q131" i="36"/>
  <c r="O88" i="52"/>
  <c r="Q132" i="36"/>
  <c r="Q130" i="36"/>
  <c r="Q137" i="36"/>
  <c r="Q124" i="36"/>
  <c r="Q138" i="36"/>
  <c r="Q139" i="36"/>
  <c r="Q128" i="36"/>
  <c r="Q133" i="36"/>
  <c r="Q134" i="36"/>
  <c r="Q136" i="36"/>
  <c r="Q125" i="36"/>
  <c r="Q129" i="36"/>
  <c r="Q52" i="55"/>
  <c r="Q126" i="36"/>
  <c r="AK117" i="36"/>
  <c r="AK121" i="36"/>
  <c r="AI91" i="52"/>
  <c r="AK116" i="36"/>
  <c r="AK123" i="36"/>
  <c r="AK118" i="36"/>
  <c r="AK120" i="36"/>
  <c r="AK122" i="36"/>
  <c r="AK119" i="36"/>
  <c r="AK57" i="55"/>
  <c r="AB93" i="52"/>
  <c r="AB94" i="52"/>
  <c r="X34" i="55"/>
  <c r="X90" i="52"/>
  <c r="X89" i="52"/>
  <c r="AO203" i="53"/>
  <c r="AO247" i="53" s="1"/>
  <c r="AO208" i="53"/>
  <c r="AO205" i="53"/>
  <c r="AO209" i="53"/>
  <c r="AO207" i="53"/>
  <c r="AO211" i="53"/>
  <c r="AO255" i="53" s="1"/>
  <c r="AO202" i="53"/>
  <c r="AO206" i="53"/>
  <c r="AO210" i="53"/>
  <c r="AG21" i="53"/>
  <c r="AG31" i="53"/>
  <c r="AG41" i="53"/>
  <c r="AG11" i="53"/>
  <c r="AA33" i="53"/>
  <c r="AA43" i="53"/>
  <c r="AA23" i="53"/>
  <c r="AA13" i="53"/>
  <c r="Q181" i="28"/>
  <c r="AO204" i="53"/>
  <c r="AO248" i="53" s="1"/>
  <c r="P96" i="52"/>
  <c r="P97" i="52" s="1"/>
  <c r="K64" i="48"/>
  <c r="K69" i="48" s="1"/>
  <c r="K74" i="48" s="1"/>
  <c r="O41" i="55"/>
  <c r="D99" i="52"/>
  <c r="I283" i="53"/>
  <c r="I288" i="53" s="1"/>
  <c r="I204" i="53" s="1"/>
  <c r="I248" i="53" s="1"/>
  <c r="I214" i="53"/>
  <c r="I258" i="53" s="1"/>
  <c r="AE29" i="53"/>
  <c r="AE9" i="53"/>
  <c r="AE19" i="53"/>
  <c r="AE39" i="53"/>
  <c r="AC194" i="53"/>
  <c r="AC238" i="53" s="1"/>
  <c r="AC199" i="53"/>
  <c r="AC200" i="53"/>
  <c r="AC201" i="53"/>
  <c r="AC245" i="53" s="1"/>
  <c r="AC198" i="53"/>
  <c r="AC196" i="53"/>
  <c r="AC195" i="53"/>
  <c r="AC192" i="53"/>
  <c r="AC197" i="53"/>
  <c r="AC193" i="53"/>
  <c r="AC237" i="53" s="1"/>
  <c r="AB135" i="36"/>
  <c r="AB52" i="55"/>
  <c r="AB132" i="36"/>
  <c r="AB128" i="36"/>
  <c r="Z88" i="52"/>
  <c r="AB124" i="36"/>
  <c r="AB129" i="36"/>
  <c r="AB131" i="36"/>
  <c r="AB139" i="36"/>
  <c r="AB126" i="36"/>
  <c r="AB127" i="36"/>
  <c r="AB125" i="36"/>
  <c r="AB138" i="36"/>
  <c r="AB136" i="36"/>
  <c r="AB137" i="36"/>
  <c r="AB133" i="36"/>
  <c r="AB134" i="36"/>
  <c r="AB130" i="36"/>
  <c r="O14" i="56"/>
  <c r="Z96" i="52"/>
  <c r="Z97" i="52" s="1"/>
  <c r="AF294" i="53"/>
  <c r="AF282" i="53" s="1"/>
  <c r="AF287" i="53" s="1"/>
  <c r="X62" i="48"/>
  <c r="X67" i="48" s="1"/>
  <c r="X72" i="48" s="1"/>
  <c r="AJ96" i="52"/>
  <c r="AJ97" i="52" s="1"/>
  <c r="AI293" i="53"/>
  <c r="K34" i="55"/>
  <c r="J92" i="52"/>
  <c r="L15" i="56"/>
  <c r="J95" i="52" s="1"/>
  <c r="O99" i="52"/>
  <c r="AJ92" i="52"/>
  <c r="AL15" i="56"/>
  <c r="AJ95" i="52" s="1"/>
  <c r="O51" i="55"/>
  <c r="U34" i="52"/>
  <c r="W292" i="53"/>
  <c r="X66" i="11"/>
  <c r="P92" i="52"/>
  <c r="R15" i="56"/>
  <c r="P95" i="52" s="1"/>
  <c r="K268" i="53"/>
  <c r="L105" i="11"/>
  <c r="L109" i="11" s="1"/>
  <c r="T13" i="53"/>
  <c r="T33" i="53"/>
  <c r="T43" i="53"/>
  <c r="T23" i="53"/>
  <c r="O65" i="48"/>
  <c r="O70" i="48" s="1"/>
  <c r="O75" i="48" s="1"/>
  <c r="K94" i="52"/>
  <c r="K93" i="52"/>
  <c r="AO215" i="53"/>
  <c r="AO218" i="53"/>
  <c r="AO219" i="53"/>
  <c r="AO217" i="53"/>
  <c r="AO221" i="53"/>
  <c r="AO265" i="53" s="1"/>
  <c r="AO216" i="53"/>
  <c r="AO212" i="53"/>
  <c r="AO220" i="53"/>
  <c r="AO213" i="53"/>
  <c r="AO257" i="53" s="1"/>
  <c r="K40" i="55"/>
  <c r="AH96" i="52"/>
  <c r="AH97" i="52" s="1"/>
  <c r="G284" i="53"/>
  <c r="G289" i="53" s="1"/>
  <c r="G214" i="53" s="1"/>
  <c r="G258" i="53" s="1"/>
  <c r="AC356" i="53"/>
  <c r="AC391" i="53" s="1"/>
  <c r="AC261" i="53"/>
  <c r="AB99" i="52"/>
  <c r="AI89" i="52"/>
  <c r="AI90" i="52"/>
  <c r="R127" i="36"/>
  <c r="R135" i="36"/>
  <c r="R126" i="36"/>
  <c r="R132" i="36"/>
  <c r="R139" i="36"/>
  <c r="R138" i="36"/>
  <c r="R134" i="36"/>
  <c r="R52" i="55"/>
  <c r="R130" i="36"/>
  <c r="R129" i="36"/>
  <c r="R124" i="36"/>
  <c r="R128" i="36"/>
  <c r="R136" i="36"/>
  <c r="R131" i="36"/>
  <c r="P88" i="52"/>
  <c r="R125" i="36"/>
  <c r="R133" i="36"/>
  <c r="R137" i="36"/>
  <c r="Q90" i="52"/>
  <c r="Q89" i="52"/>
  <c r="AE33" i="53"/>
  <c r="AE13" i="53"/>
  <c r="AE43" i="53"/>
  <c r="AE23" i="53"/>
  <c r="AE10" i="53"/>
  <c r="AE30" i="53"/>
  <c r="AE20" i="53"/>
  <c r="AE40" i="53"/>
  <c r="AM294" i="53"/>
  <c r="AM282" i="53" s="1"/>
  <c r="AM287" i="53" s="1"/>
  <c r="Z99" i="52"/>
  <c r="X36" i="55"/>
  <c r="X51" i="55"/>
  <c r="AN15" i="56"/>
  <c r="AL95" i="52" s="1"/>
  <c r="AL92" i="52"/>
  <c r="AC183" i="53"/>
  <c r="AC227" i="53" s="1"/>
  <c r="AC190" i="53"/>
  <c r="AC191" i="53"/>
  <c r="AC235" i="53" s="1"/>
  <c r="AC188" i="53"/>
  <c r="AC189" i="53"/>
  <c r="AC186" i="53"/>
  <c r="AC185" i="53"/>
  <c r="AC182" i="53"/>
  <c r="AC187" i="53"/>
  <c r="AE12" i="53"/>
  <c r="AE32" i="53"/>
  <c r="AE22" i="53"/>
  <c r="AE42" i="53"/>
  <c r="G282" i="53"/>
  <c r="G287" i="53" s="1"/>
  <c r="G194" i="53" s="1"/>
  <c r="G238" i="53" s="1"/>
  <c r="AC354" i="53"/>
  <c r="AC389" i="53" s="1"/>
  <c r="AC259" i="53"/>
  <c r="S117" i="36"/>
  <c r="Q91" i="52"/>
  <c r="S116" i="36"/>
  <c r="S123" i="36"/>
  <c r="S120" i="36"/>
  <c r="S119" i="36"/>
  <c r="S118" i="36"/>
  <c r="S121" i="36"/>
  <c r="S122" i="36"/>
  <c r="S57" i="55"/>
  <c r="Z122" i="36"/>
  <c r="Z116" i="36"/>
  <c r="Z121" i="36"/>
  <c r="Z120" i="36"/>
  <c r="Z123" i="36"/>
  <c r="Z118" i="36"/>
  <c r="Z119" i="36"/>
  <c r="Z117" i="36"/>
  <c r="X91" i="52"/>
  <c r="Z57" i="55"/>
  <c r="Y23" i="58"/>
  <c r="Z175" i="28" s="1"/>
  <c r="G281" i="53"/>
  <c r="G286" i="53" s="1"/>
  <c r="AC349" i="53"/>
  <c r="AC384" i="53" s="1"/>
  <c r="AC252" i="53"/>
  <c r="AC256" i="53"/>
  <c r="AC353" i="53"/>
  <c r="AC388" i="53" s="1"/>
  <c r="AC278" i="53"/>
  <c r="AD102" i="11"/>
  <c r="AA18" i="53"/>
  <c r="AA38" i="53"/>
  <c r="AA8" i="53"/>
  <c r="AA28" i="53"/>
  <c r="K99" i="52"/>
  <c r="X39" i="55"/>
  <c r="L25" i="58"/>
  <c r="L26" i="58"/>
  <c r="L28" i="58"/>
  <c r="L32" i="58"/>
  <c r="L29" i="58"/>
  <c r="L30" i="58"/>
  <c r="L24" i="58"/>
  <c r="L27" i="58"/>
  <c r="N293" i="53"/>
  <c r="AJ136" i="36"/>
  <c r="AJ132" i="36"/>
  <c r="AJ125" i="36"/>
  <c r="AJ133" i="36"/>
  <c r="AJ137" i="36"/>
  <c r="AJ126" i="36"/>
  <c r="AJ130" i="36"/>
  <c r="AJ139" i="36"/>
  <c r="AJ129" i="36"/>
  <c r="AJ138" i="36"/>
  <c r="AJ131" i="36"/>
  <c r="AJ124" i="36"/>
  <c r="AJ135" i="36"/>
  <c r="AJ127" i="36"/>
  <c r="AH88" i="52"/>
  <c r="AJ134" i="36"/>
  <c r="AJ52" i="55"/>
  <c r="AJ128" i="36"/>
  <c r="G283" i="53"/>
  <c r="G288" i="53" s="1"/>
  <c r="G204" i="53" s="1"/>
  <c r="G248" i="53" s="1"/>
  <c r="AC260" i="53"/>
  <c r="AC355" i="53"/>
  <c r="AC390" i="53" s="1"/>
  <c r="W299" i="53"/>
  <c r="AE18" i="53"/>
  <c r="AE28" i="53"/>
  <c r="AE8" i="53"/>
  <c r="AE38" i="53"/>
  <c r="V386" i="53"/>
  <c r="V352" i="53"/>
  <c r="V387" i="53" s="1"/>
  <c r="AP221" i="53"/>
  <c r="AP265" i="53" s="1"/>
  <c r="AP212" i="53"/>
  <c r="AP215" i="53"/>
  <c r="AP218" i="53"/>
  <c r="AP217" i="53"/>
  <c r="AP220" i="53"/>
  <c r="AP216" i="53"/>
  <c r="AP219" i="53"/>
  <c r="X64" i="48"/>
  <c r="X69" i="48" s="1"/>
  <c r="X74" i="48" s="1"/>
  <c r="AL293" i="53"/>
  <c r="K35" i="55"/>
  <c r="P284" i="53"/>
  <c r="P289" i="53" s="1"/>
  <c r="P214" i="53" s="1"/>
  <c r="P258" i="53" s="1"/>
  <c r="P281" i="53"/>
  <c r="P286" i="53" s="1"/>
  <c r="P282" i="53"/>
  <c r="P287" i="53" s="1"/>
  <c r="P283" i="53"/>
  <c r="P288" i="53" s="1"/>
  <c r="AC358" i="53"/>
  <c r="AC393" i="53" s="1"/>
  <c r="AC263" i="53"/>
  <c r="W300" i="53"/>
  <c r="D96" i="52"/>
  <c r="D97" i="52" s="1"/>
  <c r="X37" i="55"/>
  <c r="K36" i="55"/>
  <c r="AC262" i="53"/>
  <c r="AC357" i="53"/>
  <c r="AC392" i="53" s="1"/>
  <c r="L133" i="36"/>
  <c r="L125" i="36"/>
  <c r="L136" i="36"/>
  <c r="L126" i="36"/>
  <c r="L52" i="55"/>
  <c r="L127" i="36"/>
  <c r="L129" i="36"/>
  <c r="L128" i="36"/>
  <c r="L130" i="36"/>
  <c r="L139" i="36"/>
  <c r="L138" i="36"/>
  <c r="L134" i="36"/>
  <c r="L131" i="36"/>
  <c r="L137" i="36"/>
  <c r="J88" i="52"/>
  <c r="L124" i="36"/>
  <c r="L135" i="36"/>
  <c r="L132" i="36"/>
  <c r="AP213" i="53"/>
  <c r="AP257" i="53" s="1"/>
  <c r="O23" i="58"/>
  <c r="P175" i="28" s="1"/>
  <c r="F56" i="55"/>
  <c r="F133" i="36"/>
  <c r="F127" i="36"/>
  <c r="F131" i="36"/>
  <c r="F139" i="36"/>
  <c r="F138" i="36"/>
  <c r="F135" i="36"/>
  <c r="F132" i="36"/>
  <c r="F124" i="36"/>
  <c r="F52" i="55"/>
  <c r="F129" i="36"/>
  <c r="F128" i="36"/>
  <c r="F137" i="36"/>
  <c r="F126" i="36"/>
  <c r="F130" i="36"/>
  <c r="F134" i="36"/>
  <c r="D88" i="52"/>
  <c r="F136" i="36"/>
  <c r="F125" i="36"/>
  <c r="X32" i="47"/>
  <c r="X33" i="47" s="1"/>
  <c r="X34" i="47" s="1"/>
  <c r="X63" i="48"/>
  <c r="X68" i="48" s="1"/>
  <c r="X73" i="48" s="1"/>
  <c r="U28" i="58"/>
  <c r="U24" i="58"/>
  <c r="U29" i="58"/>
  <c r="U30" i="58"/>
  <c r="U27" i="58"/>
  <c r="U32" i="58"/>
  <c r="U25" i="58"/>
  <c r="U26" i="58"/>
  <c r="O63" i="48"/>
  <c r="O68" i="48" s="1"/>
  <c r="O73" i="48" s="1"/>
  <c r="W301" i="53"/>
  <c r="K32" i="47"/>
  <c r="K33" i="47" s="1"/>
  <c r="K34" i="47" s="1"/>
  <c r="AC359" i="53"/>
  <c r="AC264" i="53"/>
  <c r="K62" i="48"/>
  <c r="K67" i="48" s="1"/>
  <c r="K72" i="48" s="1"/>
  <c r="I23" i="58"/>
  <c r="J175" i="28" s="1"/>
  <c r="X38" i="55"/>
  <c r="Y105" i="11"/>
  <c r="Y109" i="11" s="1"/>
  <c r="I281" i="53"/>
  <c r="I286" i="53" s="1"/>
  <c r="X61" i="48"/>
  <c r="X66" i="48" s="1"/>
  <c r="X71" i="48" s="1"/>
  <c r="AL99" i="52"/>
  <c r="S17" i="56"/>
  <c r="N23" i="58"/>
  <c r="O175" i="28" s="1"/>
  <c r="W295" i="53"/>
  <c r="X181" i="28"/>
  <c r="AK294" i="53"/>
  <c r="AD129" i="36"/>
  <c r="AD130" i="36"/>
  <c r="AD134" i="36"/>
  <c r="AD135" i="36"/>
  <c r="AD52" i="55"/>
  <c r="AD137" i="36"/>
  <c r="AD139" i="36"/>
  <c r="AD133" i="36"/>
  <c r="AD128" i="36"/>
  <c r="AD131" i="36"/>
  <c r="AD132" i="36"/>
  <c r="AD138" i="36"/>
  <c r="AB88" i="52"/>
  <c r="AD127" i="36"/>
  <c r="AD126" i="36"/>
  <c r="AD136" i="36"/>
  <c r="AD125" i="36"/>
  <c r="AD124" i="36"/>
  <c r="AL96" i="52"/>
  <c r="AL97" i="52" s="1"/>
  <c r="H321" i="53"/>
  <c r="J344" i="53"/>
  <c r="J379" i="53" s="1"/>
  <c r="J378" i="53"/>
  <c r="I106" i="11"/>
  <c r="H370" i="53"/>
  <c r="H336" i="53"/>
  <c r="H371" i="53" s="1"/>
  <c r="H394" i="53"/>
  <c r="H360" i="53"/>
  <c r="H395" i="53" s="1"/>
  <c r="Y296" i="53" l="1"/>
  <c r="AC345" i="53"/>
  <c r="AC380" i="53" s="1"/>
  <c r="Y297" i="53"/>
  <c r="Y298" i="53"/>
  <c r="K131" i="36"/>
  <c r="AH176" i="28"/>
  <c r="AJ35" i="53" s="1"/>
  <c r="AG295" i="53"/>
  <c r="Y300" i="53"/>
  <c r="Y301" i="53"/>
  <c r="S10" i="53"/>
  <c r="U295" i="53"/>
  <c r="K90" i="52"/>
  <c r="AG300" i="53"/>
  <c r="J360" i="53"/>
  <c r="J395" i="53" s="1"/>
  <c r="S30" i="53"/>
  <c r="AH178" i="28"/>
  <c r="AJ40" i="53" s="1"/>
  <c r="Y295" i="53"/>
  <c r="Y34" i="52"/>
  <c r="K106" i="11"/>
  <c r="AA297" i="53"/>
  <c r="U301" i="53"/>
  <c r="Z15" i="53"/>
  <c r="AG292" i="53"/>
  <c r="AG293" i="53" s="1"/>
  <c r="P173" i="28"/>
  <c r="R11" i="53" s="1"/>
  <c r="AP194" i="53"/>
  <c r="AP238" i="53" s="1"/>
  <c r="K127" i="36"/>
  <c r="AA296" i="53"/>
  <c r="K134" i="36"/>
  <c r="M122" i="36"/>
  <c r="K139" i="36"/>
  <c r="S40" i="53"/>
  <c r="M121" i="36"/>
  <c r="M123" i="36"/>
  <c r="Y292" i="53"/>
  <c r="Y293" i="53" s="1"/>
  <c r="M57" i="55"/>
  <c r="AP200" i="53"/>
  <c r="AP244" i="53" s="1"/>
  <c r="Z11" i="53"/>
  <c r="T295" i="53"/>
  <c r="AC351" i="53"/>
  <c r="AC386" i="53" s="1"/>
  <c r="Z41" i="53"/>
  <c r="AP195" i="53"/>
  <c r="AP239" i="53" s="1"/>
  <c r="AP197" i="53"/>
  <c r="AP241" i="53" s="1"/>
  <c r="Z35" i="53"/>
  <c r="Z21" i="53"/>
  <c r="AD17" i="56"/>
  <c r="AP192" i="53"/>
  <c r="AP236" i="53" s="1"/>
  <c r="AE34" i="52"/>
  <c r="AP198" i="53"/>
  <c r="Z5" i="53"/>
  <c r="AP201" i="53"/>
  <c r="AP245" i="53" s="1"/>
  <c r="W34" i="52"/>
  <c r="AD92" i="11"/>
  <c r="U299" i="53"/>
  <c r="AP193" i="53"/>
  <c r="AP237" i="53" s="1"/>
  <c r="AP199" i="53"/>
  <c r="AP342" i="53" s="1"/>
  <c r="AP377" i="53" s="1"/>
  <c r="U296" i="53"/>
  <c r="AG297" i="53"/>
  <c r="AC348" i="53"/>
  <c r="AC383" i="53" s="1"/>
  <c r="L17" i="56"/>
  <c r="M17" i="56"/>
  <c r="K91" i="52"/>
  <c r="Z43" i="53"/>
  <c r="J352" i="53"/>
  <c r="J387" i="53" s="1"/>
  <c r="M118" i="36"/>
  <c r="Z13" i="53"/>
  <c r="O181" i="28"/>
  <c r="Q22" i="53" s="1"/>
  <c r="M119" i="36"/>
  <c r="Z33" i="53"/>
  <c r="K15" i="56"/>
  <c r="I95" i="52" s="1"/>
  <c r="AC249" i="53"/>
  <c r="M120" i="36"/>
  <c r="AC350" i="53"/>
  <c r="AC385" i="53" s="1"/>
  <c r="K179" i="28"/>
  <c r="M24" i="53" s="1"/>
  <c r="S34" i="52"/>
  <c r="T298" i="53"/>
  <c r="AG296" i="53"/>
  <c r="AC346" i="53"/>
  <c r="AC381" i="53" s="1"/>
  <c r="U297" i="53"/>
  <c r="M117" i="36"/>
  <c r="R34" i="52"/>
  <c r="Z9" i="53"/>
  <c r="U300" i="53"/>
  <c r="AP209" i="53"/>
  <c r="AP350" i="53" s="1"/>
  <c r="AP385" i="53" s="1"/>
  <c r="AP207" i="53"/>
  <c r="AP251" i="53" s="1"/>
  <c r="AH180" i="28"/>
  <c r="AJ43" i="53" s="1"/>
  <c r="T296" i="53"/>
  <c r="AP203" i="53"/>
  <c r="AP247" i="53" s="1"/>
  <c r="AG299" i="53"/>
  <c r="J370" i="53"/>
  <c r="AP202" i="53"/>
  <c r="AP246" i="53" s="1"/>
  <c r="AP210" i="53"/>
  <c r="AP351" i="53" s="1"/>
  <c r="AP211" i="53"/>
  <c r="AP255" i="53" s="1"/>
  <c r="Z44" i="53"/>
  <c r="T299" i="53"/>
  <c r="AP205" i="53"/>
  <c r="AP249" i="53" s="1"/>
  <c r="AP204" i="53"/>
  <c r="AP248" i="53" s="1"/>
  <c r="AC347" i="53"/>
  <c r="AC382" i="53" s="1"/>
  <c r="AA292" i="53"/>
  <c r="AA293" i="53" s="1"/>
  <c r="AP206" i="53"/>
  <c r="AP347" i="53" s="1"/>
  <c r="AP382" i="53" s="1"/>
  <c r="T301" i="53"/>
  <c r="K124" i="36"/>
  <c r="K128" i="36"/>
  <c r="Z34" i="53"/>
  <c r="I88" i="52"/>
  <c r="I90" i="52" s="1"/>
  <c r="K138" i="36"/>
  <c r="Z29" i="53"/>
  <c r="AM284" i="53"/>
  <c r="AM289" i="53" s="1"/>
  <c r="AM218" i="53" s="1"/>
  <c r="Z24" i="53"/>
  <c r="D93" i="52"/>
  <c r="K137" i="36"/>
  <c r="K126" i="36"/>
  <c r="S9" i="53"/>
  <c r="K132" i="36"/>
  <c r="S39" i="53"/>
  <c r="K135" i="36"/>
  <c r="U292" i="53"/>
  <c r="U293" i="53" s="1"/>
  <c r="S19" i="53"/>
  <c r="K130" i="36"/>
  <c r="AJ17" i="56"/>
  <c r="K129" i="36"/>
  <c r="AG301" i="53"/>
  <c r="K136" i="36"/>
  <c r="Z19" i="53"/>
  <c r="K52" i="55"/>
  <c r="K57" i="55" s="1"/>
  <c r="AA298" i="53"/>
  <c r="P181" i="28"/>
  <c r="R42" i="53" s="1"/>
  <c r="K125" i="36"/>
  <c r="T292" i="53"/>
  <c r="T293" i="53" s="1"/>
  <c r="AB177" i="28"/>
  <c r="AD38" i="53" s="1"/>
  <c r="O174" i="28"/>
  <c r="Q39" i="53" s="1"/>
  <c r="O177" i="28"/>
  <c r="Q18" i="53" s="1"/>
  <c r="Z8" i="53"/>
  <c r="K174" i="28"/>
  <c r="M9" i="53" s="1"/>
  <c r="Z18" i="53"/>
  <c r="J321" i="53"/>
  <c r="Z20" i="53"/>
  <c r="U298" i="53"/>
  <c r="AA301" i="53"/>
  <c r="K180" i="28"/>
  <c r="M33" i="53" s="1"/>
  <c r="Z38" i="53"/>
  <c r="AB180" i="28"/>
  <c r="AD43" i="53" s="1"/>
  <c r="T297" i="53"/>
  <c r="V66" i="11"/>
  <c r="X15" i="56"/>
  <c r="S41" i="53"/>
  <c r="S11" i="53"/>
  <c r="S31" i="53"/>
  <c r="Z40" i="53"/>
  <c r="AE301" i="53"/>
  <c r="P180" i="28"/>
  <c r="R33" i="53" s="1"/>
  <c r="Z10" i="53"/>
  <c r="P178" i="28"/>
  <c r="R30" i="53" s="1"/>
  <c r="U66" i="11"/>
  <c r="K173" i="28"/>
  <c r="M21" i="53" s="1"/>
  <c r="AH177" i="28"/>
  <c r="AJ38" i="53" s="1"/>
  <c r="D177" i="28"/>
  <c r="D195" i="28" s="1"/>
  <c r="D173" i="28"/>
  <c r="F11" i="53" s="1"/>
  <c r="K176" i="28"/>
  <c r="M25" i="53" s="1"/>
  <c r="Z178" i="28"/>
  <c r="AB20" i="53" s="1"/>
  <c r="D178" i="28"/>
  <c r="F30" i="53" s="1"/>
  <c r="AH179" i="28"/>
  <c r="AJ24" i="53" s="1"/>
  <c r="AB17" i="56"/>
  <c r="V96" i="52"/>
  <c r="V97" i="52" s="1"/>
  <c r="V98" i="52"/>
  <c r="AA299" i="53"/>
  <c r="Z66" i="11"/>
  <c r="J180" i="28"/>
  <c r="L43" i="53" s="1"/>
  <c r="J178" i="28"/>
  <c r="L20" i="53" s="1"/>
  <c r="O173" i="28"/>
  <c r="Q11" i="53" s="1"/>
  <c r="AL17" i="56"/>
  <c r="AH173" i="28"/>
  <c r="AJ31" i="53" s="1"/>
  <c r="O180" i="28"/>
  <c r="Q23" i="53" s="1"/>
  <c r="J176" i="28"/>
  <c r="L15" i="53" s="1"/>
  <c r="P177" i="28"/>
  <c r="R28" i="53" s="1"/>
  <c r="O176" i="28"/>
  <c r="Q5" i="53" s="1"/>
  <c r="J179" i="28"/>
  <c r="L44" i="53" s="1"/>
  <c r="Z180" i="28"/>
  <c r="AB13" i="53" s="1"/>
  <c r="M98" i="52"/>
  <c r="J181" i="28"/>
  <c r="L32" i="53" s="1"/>
  <c r="AA295" i="53"/>
  <c r="AG298" i="53"/>
  <c r="AB181" i="28"/>
  <c r="AD22" i="53" s="1"/>
  <c r="O179" i="28"/>
  <c r="Q44" i="53" s="1"/>
  <c r="R17" i="56"/>
  <c r="AB176" i="28"/>
  <c r="AD5" i="53" s="1"/>
  <c r="O178" i="28"/>
  <c r="Q30" i="53" s="1"/>
  <c r="AB174" i="28"/>
  <c r="AD29" i="53" s="1"/>
  <c r="AB178" i="28"/>
  <c r="AD10" i="53" s="1"/>
  <c r="AB173" i="28"/>
  <c r="AD21" i="53" s="1"/>
  <c r="AH190" i="53"/>
  <c r="AH185" i="53"/>
  <c r="AH188" i="53"/>
  <c r="AH182" i="53"/>
  <c r="AH187" i="53"/>
  <c r="AH191" i="53"/>
  <c r="AH235" i="53" s="1"/>
  <c r="AH186" i="53"/>
  <c r="AH189" i="53"/>
  <c r="AH183" i="53"/>
  <c r="AH227" i="53" s="1"/>
  <c r="AF194" i="53"/>
  <c r="AF238" i="53" s="1"/>
  <c r="AF201" i="53"/>
  <c r="AF245" i="53" s="1"/>
  <c r="AF198" i="53"/>
  <c r="AF197" i="53"/>
  <c r="AF192" i="53"/>
  <c r="AF196" i="53"/>
  <c r="AF193" i="53"/>
  <c r="AF237" i="53" s="1"/>
  <c r="AF200" i="53"/>
  <c r="AF195" i="53"/>
  <c r="AF199" i="53"/>
  <c r="Z22" i="53"/>
  <c r="Z12" i="53"/>
  <c r="Z32" i="53"/>
  <c r="Z42" i="53"/>
  <c r="D174" i="28"/>
  <c r="AC339" i="53"/>
  <c r="AC374" i="53" s="1"/>
  <c r="AC240" i="53"/>
  <c r="AH66" i="11"/>
  <c r="G217" i="53"/>
  <c r="G218" i="53"/>
  <c r="G216" i="53"/>
  <c r="G215" i="53"/>
  <c r="G220" i="53"/>
  <c r="G219" i="53"/>
  <c r="G213" i="53"/>
  <c r="G257" i="53" s="1"/>
  <c r="G212" i="53"/>
  <c r="G221" i="53"/>
  <c r="G265" i="53" s="1"/>
  <c r="P94" i="52"/>
  <c r="P93" i="52"/>
  <c r="AO349" i="53"/>
  <c r="AO384" i="53" s="1"/>
  <c r="AO252" i="53"/>
  <c r="AL90" i="52"/>
  <c r="AL89" i="52"/>
  <c r="AL123" i="36"/>
  <c r="AL118" i="36"/>
  <c r="AL119" i="36"/>
  <c r="AL116" i="36"/>
  <c r="AL122" i="36"/>
  <c r="AJ91" i="52"/>
  <c r="AL117" i="36"/>
  <c r="AL120" i="36"/>
  <c r="AL121" i="36"/>
  <c r="AL57" i="55"/>
  <c r="J177" i="28"/>
  <c r="AE299" i="53"/>
  <c r="AC342" i="53"/>
  <c r="AC377" i="53" s="1"/>
  <c r="AC243" i="53"/>
  <c r="AE292" i="53"/>
  <c r="AC34" i="52"/>
  <c r="AF66" i="11"/>
  <c r="M99" i="52"/>
  <c r="AE298" i="53"/>
  <c r="H23" i="58"/>
  <c r="I175" i="28" s="1"/>
  <c r="I96" i="52"/>
  <c r="I97" i="52" s="1"/>
  <c r="AH89" i="52"/>
  <c r="AH90" i="52"/>
  <c r="Z177" i="28"/>
  <c r="M96" i="52"/>
  <c r="M97" i="52" s="1"/>
  <c r="Q117" i="36"/>
  <c r="Q119" i="36"/>
  <c r="Q118" i="36"/>
  <c r="Q123" i="36"/>
  <c r="Q116" i="36"/>
  <c r="Q120" i="36"/>
  <c r="O91" i="52"/>
  <c r="Q122" i="36"/>
  <c r="Q121" i="36"/>
  <c r="Q57" i="55"/>
  <c r="AO340" i="53"/>
  <c r="AO375" i="53" s="1"/>
  <c r="AO241" i="53"/>
  <c r="AO275" i="53"/>
  <c r="R32" i="53"/>
  <c r="O137" i="36"/>
  <c r="O129" i="36"/>
  <c r="O128" i="36"/>
  <c r="O52" i="55"/>
  <c r="O125" i="36"/>
  <c r="O138" i="36"/>
  <c r="O127" i="36"/>
  <c r="O134" i="36"/>
  <c r="O135" i="36"/>
  <c r="O132" i="36"/>
  <c r="O130" i="36"/>
  <c r="O133" i="36"/>
  <c r="O124" i="36"/>
  <c r="O126" i="36"/>
  <c r="O131" i="36"/>
  <c r="M88" i="52"/>
  <c r="O139" i="36"/>
  <c r="O136" i="36"/>
  <c r="AI294" i="53"/>
  <c r="AI283" i="53" s="1"/>
  <c r="AI288" i="53" s="1"/>
  <c r="AI203" i="53" s="1"/>
  <c r="AI247" i="53" s="1"/>
  <c r="AO234" i="53"/>
  <c r="AO335" i="53"/>
  <c r="AO342" i="53"/>
  <c r="AO377" i="53" s="1"/>
  <c r="AO243" i="53"/>
  <c r="AJ5" i="53"/>
  <c r="U23" i="58"/>
  <c r="V175" i="28" s="1"/>
  <c r="AC226" i="53"/>
  <c r="AC329" i="53"/>
  <c r="AC364" i="53" s="1"/>
  <c r="AC269" i="53"/>
  <c r="AC314" i="53"/>
  <c r="AC319" i="53"/>
  <c r="AC313" i="53"/>
  <c r="AC318" i="53"/>
  <c r="AC316" i="53"/>
  <c r="AC320" i="53"/>
  <c r="AC317" i="53"/>
  <c r="AC315" i="53"/>
  <c r="AD78" i="11"/>
  <c r="AO353" i="53"/>
  <c r="AO388" i="53" s="1"/>
  <c r="AO256" i="53"/>
  <c r="AP102" i="11"/>
  <c r="AO278" i="53"/>
  <c r="AC275" i="53"/>
  <c r="AC340" i="53"/>
  <c r="AC375" i="53" s="1"/>
  <c r="AC241" i="53"/>
  <c r="AC394" i="53"/>
  <c r="AC360" i="53"/>
  <c r="AC395" i="53" s="1"/>
  <c r="P204" i="53"/>
  <c r="P248" i="53" s="1"/>
  <c r="P202" i="53"/>
  <c r="P209" i="53"/>
  <c r="P210" i="53"/>
  <c r="P206" i="53"/>
  <c r="P203" i="53"/>
  <c r="P247" i="53" s="1"/>
  <c r="P205" i="53"/>
  <c r="P208" i="53"/>
  <c r="P211" i="53"/>
  <c r="P255" i="53" s="1"/>
  <c r="P207" i="53"/>
  <c r="AP359" i="53"/>
  <c r="AP264" i="53"/>
  <c r="AB90" i="52"/>
  <c r="AB89" i="52"/>
  <c r="AP263" i="53"/>
  <c r="AP358" i="53"/>
  <c r="AP393" i="53" s="1"/>
  <c r="AM194" i="53"/>
  <c r="AM238" i="53" s="1"/>
  <c r="AM200" i="53"/>
  <c r="AM201" i="53"/>
  <c r="AM245" i="53" s="1"/>
  <c r="AM192" i="53"/>
  <c r="AM197" i="53"/>
  <c r="AM199" i="53"/>
  <c r="AM196" i="53"/>
  <c r="AM198" i="53"/>
  <c r="AM195" i="53"/>
  <c r="AP355" i="53"/>
  <c r="AP390" i="53" s="1"/>
  <c r="AP260" i="53"/>
  <c r="AO359" i="53"/>
  <c r="AO264" i="53"/>
  <c r="AO230" i="53"/>
  <c r="AO331" i="53"/>
  <c r="AO366" i="53" s="1"/>
  <c r="AC332" i="53"/>
  <c r="AC367" i="53" s="1"/>
  <c r="AC231" i="53"/>
  <c r="AO239" i="53"/>
  <c r="AO338" i="53"/>
  <c r="AO373" i="53" s="1"/>
  <c r="D180" i="28"/>
  <c r="AE296" i="53"/>
  <c r="AP356" i="53"/>
  <c r="AP391" i="53" s="1"/>
  <c r="AP261" i="53"/>
  <c r="Y299" i="53"/>
  <c r="AP357" i="53"/>
  <c r="AP392" i="53" s="1"/>
  <c r="AP262" i="53"/>
  <c r="AC233" i="53"/>
  <c r="AC334" i="53"/>
  <c r="AC369" i="53" s="1"/>
  <c r="AA300" i="53"/>
  <c r="AO332" i="53"/>
  <c r="AO367" i="53" s="1"/>
  <c r="AO231" i="53"/>
  <c r="K178" i="28"/>
  <c r="AP183" i="53"/>
  <c r="AP227" i="53" s="1"/>
  <c r="AP191" i="53"/>
  <c r="AP235" i="53" s="1"/>
  <c r="AP182" i="53"/>
  <c r="AP185" i="53"/>
  <c r="AP188" i="53"/>
  <c r="AP187" i="53"/>
  <c r="AP190" i="53"/>
  <c r="AP186" i="53"/>
  <c r="AP189" i="53"/>
  <c r="V99" i="52"/>
  <c r="AP354" i="53"/>
  <c r="AP389" i="53" s="1"/>
  <c r="AP259" i="53"/>
  <c r="AC232" i="53"/>
  <c r="AC333" i="53"/>
  <c r="AC368" i="53" s="1"/>
  <c r="AM283" i="53"/>
  <c r="AM288" i="53" s="1"/>
  <c r="AM281" i="53"/>
  <c r="AM286" i="53" s="1"/>
  <c r="AO261" i="53"/>
  <c r="AO356" i="53"/>
  <c r="AO391" i="53" s="1"/>
  <c r="V94" i="52"/>
  <c r="V93" i="52"/>
  <c r="Z90" i="52"/>
  <c r="Z89" i="52"/>
  <c r="AO334" i="53"/>
  <c r="AO369" i="53" s="1"/>
  <c r="AO233" i="53"/>
  <c r="AH94" i="52"/>
  <c r="AH93" i="52"/>
  <c r="AN294" i="53"/>
  <c r="AN284" i="53" s="1"/>
  <c r="AN289" i="53" s="1"/>
  <c r="AB66" i="11"/>
  <c r="AH174" i="28"/>
  <c r="M92" i="52"/>
  <c r="O15" i="56"/>
  <c r="M95" i="52" s="1"/>
  <c r="N294" i="53"/>
  <c r="N283" i="53" s="1"/>
  <c r="N288" i="53" s="1"/>
  <c r="AC229" i="53"/>
  <c r="AC330" i="53"/>
  <c r="AC365" i="53" s="1"/>
  <c r="S42" i="53"/>
  <c r="S12" i="53"/>
  <c r="S22" i="53"/>
  <c r="S32" i="53"/>
  <c r="AO319" i="53"/>
  <c r="AO316" i="53"/>
  <c r="AO269" i="53"/>
  <c r="AO318" i="53"/>
  <c r="AO313" i="53"/>
  <c r="AO329" i="53"/>
  <c r="AO364" i="53" s="1"/>
  <c r="AO314" i="53"/>
  <c r="AO320" i="53"/>
  <c r="AO315" i="53"/>
  <c r="AO226" i="53"/>
  <c r="AO317" i="53"/>
  <c r="AP78" i="11"/>
  <c r="AO242" i="53"/>
  <c r="AO341" i="53"/>
  <c r="AO376" i="53" s="1"/>
  <c r="P194" i="53"/>
  <c r="P238" i="53" s="1"/>
  <c r="P200" i="53"/>
  <c r="P192" i="53"/>
  <c r="P199" i="53"/>
  <c r="P196" i="53"/>
  <c r="P195" i="53"/>
  <c r="P193" i="53"/>
  <c r="P237" i="53" s="1"/>
  <c r="P198" i="53"/>
  <c r="P201" i="53"/>
  <c r="P197" i="53"/>
  <c r="G184" i="53"/>
  <c r="G228" i="53" s="1"/>
  <c r="G188" i="53"/>
  <c r="G186" i="53"/>
  <c r="G187" i="53"/>
  <c r="G185" i="53"/>
  <c r="G183" i="53"/>
  <c r="G227" i="53" s="1"/>
  <c r="G190" i="53"/>
  <c r="G189" i="53"/>
  <c r="G182" i="53"/>
  <c r="G191" i="53"/>
  <c r="G235" i="53" s="1"/>
  <c r="AC230" i="53"/>
  <c r="AC331" i="53"/>
  <c r="AC366" i="53" s="1"/>
  <c r="AM193" i="53"/>
  <c r="AM237" i="53" s="1"/>
  <c r="R121" i="36"/>
  <c r="R120" i="36"/>
  <c r="P91" i="52"/>
  <c r="R119" i="36"/>
  <c r="R117" i="36"/>
  <c r="R123" i="36"/>
  <c r="R122" i="36"/>
  <c r="R116" i="36"/>
  <c r="R118" i="36"/>
  <c r="R57" i="55"/>
  <c r="AO260" i="53"/>
  <c r="AO355" i="53"/>
  <c r="AO390" i="53" s="1"/>
  <c r="AJ94" i="52"/>
  <c r="AJ93" i="52"/>
  <c r="AH283" i="53"/>
  <c r="AH288" i="53" s="1"/>
  <c r="AH204" i="53" s="1"/>
  <c r="AH248" i="53" s="1"/>
  <c r="AH184" i="53"/>
  <c r="AH228" i="53" s="1"/>
  <c r="AH282" i="53"/>
  <c r="AH287" i="53" s="1"/>
  <c r="AH194" i="53" s="1"/>
  <c r="AH238" i="53" s="1"/>
  <c r="P184" i="53"/>
  <c r="P228" i="53" s="1"/>
  <c r="P189" i="53"/>
  <c r="P190" i="53"/>
  <c r="P182" i="53"/>
  <c r="P186" i="53"/>
  <c r="P185" i="53"/>
  <c r="P183" i="53"/>
  <c r="P227" i="53" s="1"/>
  <c r="P188" i="53"/>
  <c r="P191" i="53"/>
  <c r="P187" i="53"/>
  <c r="J174" i="28"/>
  <c r="Z174" i="28"/>
  <c r="D89" i="52"/>
  <c r="D90" i="52"/>
  <c r="P219" i="53"/>
  <c r="P220" i="53"/>
  <c r="P212" i="53"/>
  <c r="P215" i="53"/>
  <c r="P213" i="53"/>
  <c r="P257" i="53" s="1"/>
  <c r="P218" i="53"/>
  <c r="P221" i="53"/>
  <c r="P217" i="53"/>
  <c r="P216" i="53"/>
  <c r="AP353" i="53"/>
  <c r="AP388" i="53" s="1"/>
  <c r="AP256" i="53"/>
  <c r="AQ102" i="11"/>
  <c r="AP278" i="53"/>
  <c r="Z181" i="28"/>
  <c r="AO263" i="53"/>
  <c r="AO358" i="53"/>
  <c r="AO393" i="53" s="1"/>
  <c r="T300" i="53"/>
  <c r="AO232" i="53"/>
  <c r="AO333" i="53"/>
  <c r="AO368" i="53" s="1"/>
  <c r="AO330" i="53"/>
  <c r="AO365" i="53" s="1"/>
  <c r="AO229" i="53"/>
  <c r="AD122" i="36"/>
  <c r="AD116" i="36"/>
  <c r="AD117" i="36"/>
  <c r="AD121" i="36"/>
  <c r="AD118" i="36"/>
  <c r="AD119" i="36"/>
  <c r="AB91" i="52"/>
  <c r="AD120" i="36"/>
  <c r="AD123" i="36"/>
  <c r="AD57" i="55"/>
  <c r="AJ90" i="52"/>
  <c r="AJ89" i="52"/>
  <c r="P174" i="28"/>
  <c r="AC335" i="53"/>
  <c r="AC234" i="53"/>
  <c r="AO262" i="53"/>
  <c r="AO357" i="53"/>
  <c r="AO392" i="53" s="1"/>
  <c r="AO354" i="53"/>
  <c r="AO389" i="53" s="1"/>
  <c r="AO259" i="53"/>
  <c r="AB117" i="36"/>
  <c r="AB120" i="36"/>
  <c r="AB122" i="36"/>
  <c r="AB123" i="36"/>
  <c r="AB119" i="36"/>
  <c r="Z91" i="52"/>
  <c r="AB116" i="36"/>
  <c r="AB118" i="36"/>
  <c r="AB121" i="36"/>
  <c r="AB57" i="55"/>
  <c r="P179" i="28"/>
  <c r="AE297" i="53"/>
  <c r="J94" i="52"/>
  <c r="J93" i="52"/>
  <c r="D176" i="28"/>
  <c r="I94" i="52"/>
  <c r="I93" i="52"/>
  <c r="L23" i="58"/>
  <c r="M175" i="28" s="1"/>
  <c r="I184" i="53"/>
  <c r="I228" i="53" s="1"/>
  <c r="I191" i="53"/>
  <c r="I235" i="53" s="1"/>
  <c r="I188" i="53"/>
  <c r="I187" i="53"/>
  <c r="I190" i="53"/>
  <c r="I186" i="53"/>
  <c r="I189" i="53"/>
  <c r="I182" i="53"/>
  <c r="I185" i="53"/>
  <c r="I183" i="53"/>
  <c r="I227" i="53" s="1"/>
  <c r="J89" i="52"/>
  <c r="J90" i="52"/>
  <c r="Z173" i="28"/>
  <c r="AE295" i="53"/>
  <c r="I211" i="53"/>
  <c r="I255" i="53" s="1"/>
  <c r="I208" i="53"/>
  <c r="I207" i="53"/>
  <c r="I210" i="53"/>
  <c r="I206" i="53"/>
  <c r="I209" i="53"/>
  <c r="I202" i="53"/>
  <c r="I205" i="53"/>
  <c r="I203" i="53"/>
  <c r="I247" i="53" s="1"/>
  <c r="D179" i="28"/>
  <c r="K177" i="28"/>
  <c r="K181" i="28"/>
  <c r="AP240" i="53"/>
  <c r="AP339" i="53"/>
  <c r="AP374" i="53" s="1"/>
  <c r="I259" i="53"/>
  <c r="I354" i="53"/>
  <c r="I389" i="53" s="1"/>
  <c r="Z176" i="28"/>
  <c r="AE300" i="53"/>
  <c r="AO254" i="53"/>
  <c r="AO351" i="53"/>
  <c r="O89" i="52"/>
  <c r="O90" i="52"/>
  <c r="I99" i="52"/>
  <c r="I353" i="53"/>
  <c r="I388" i="53" s="1"/>
  <c r="I256" i="53"/>
  <c r="J102" i="11"/>
  <c r="I278" i="53"/>
  <c r="F54" i="55"/>
  <c r="F120" i="36"/>
  <c r="F121" i="36"/>
  <c r="F118" i="36"/>
  <c r="F116" i="36"/>
  <c r="F122" i="36"/>
  <c r="F123" i="36"/>
  <c r="F117" i="36"/>
  <c r="D91" i="52"/>
  <c r="F119" i="36"/>
  <c r="F60" i="55"/>
  <c r="F57" i="55"/>
  <c r="AL93" i="52"/>
  <c r="AL94" i="52"/>
  <c r="AF284" i="53"/>
  <c r="AF289" i="53" s="1"/>
  <c r="AF214" i="53" s="1"/>
  <c r="AF258" i="53" s="1"/>
  <c r="AF283" i="53"/>
  <c r="AF288" i="53" s="1"/>
  <c r="AF281" i="53"/>
  <c r="AF286" i="53" s="1"/>
  <c r="AO250" i="53"/>
  <c r="AO347" i="53"/>
  <c r="AO382" i="53" s="1"/>
  <c r="D181" i="28"/>
  <c r="Q17" i="56"/>
  <c r="I263" i="53"/>
  <c r="I358" i="53"/>
  <c r="I393" i="53" s="1"/>
  <c r="AP349" i="53"/>
  <c r="AP384" i="53" s="1"/>
  <c r="AP252" i="53"/>
  <c r="AN17" i="56"/>
  <c r="Z179" i="28"/>
  <c r="AO345" i="53"/>
  <c r="AO380" i="53" s="1"/>
  <c r="AO246" i="53"/>
  <c r="AP92" i="11"/>
  <c r="AN57" i="55"/>
  <c r="AN117" i="36"/>
  <c r="AN118" i="36"/>
  <c r="AN122" i="36"/>
  <c r="AN116" i="36"/>
  <c r="AN121" i="36"/>
  <c r="AL91" i="52"/>
  <c r="AN119" i="36"/>
  <c r="AN120" i="36"/>
  <c r="AN123" i="36"/>
  <c r="O93" i="52"/>
  <c r="O94" i="52"/>
  <c r="S14" i="53"/>
  <c r="S44" i="53"/>
  <c r="S24" i="53"/>
  <c r="S34" i="53"/>
  <c r="I355" i="53"/>
  <c r="I390" i="53" s="1"/>
  <c r="I260" i="53"/>
  <c r="S8" i="53"/>
  <c r="S18" i="53"/>
  <c r="S38" i="53"/>
  <c r="S28" i="53"/>
  <c r="I264" i="53"/>
  <c r="I359" i="53"/>
  <c r="I356" i="53"/>
  <c r="I391" i="53" s="1"/>
  <c r="I261" i="53"/>
  <c r="AC338" i="53"/>
  <c r="AC373" i="53" s="1"/>
  <c r="AC239" i="53"/>
  <c r="S15" i="53"/>
  <c r="S25" i="53"/>
  <c r="S35" i="53"/>
  <c r="S5" i="53"/>
  <c r="I357" i="53"/>
  <c r="I392" i="53" s="1"/>
  <c r="I262" i="53"/>
  <c r="AO348" i="53"/>
  <c r="AO383" i="53" s="1"/>
  <c r="AO251" i="53"/>
  <c r="AO253" i="53"/>
  <c r="AO350" i="53"/>
  <c r="AO385" i="53" s="1"/>
  <c r="G195" i="53"/>
  <c r="G198" i="53"/>
  <c r="G196" i="53"/>
  <c r="G197" i="53"/>
  <c r="G193" i="53"/>
  <c r="G237" i="53" s="1"/>
  <c r="G199" i="53"/>
  <c r="G192" i="53"/>
  <c r="G200" i="53"/>
  <c r="G201" i="53"/>
  <c r="G245" i="53" s="1"/>
  <c r="AD84" i="11"/>
  <c r="AC236" i="53"/>
  <c r="AC337" i="53"/>
  <c r="AC372" i="53" s="1"/>
  <c r="AC272" i="53"/>
  <c r="P176" i="28"/>
  <c r="AK283" i="53"/>
  <c r="AK288" i="53" s="1"/>
  <c r="AK204" i="53" s="1"/>
  <c r="AK248" i="53" s="1"/>
  <c r="AK282" i="53"/>
  <c r="AK287" i="53" s="1"/>
  <c r="AK281" i="53"/>
  <c r="AK286" i="53" s="1"/>
  <c r="AK184" i="53" s="1"/>
  <c r="AK228" i="53" s="1"/>
  <c r="AK284" i="53"/>
  <c r="AK289" i="53" s="1"/>
  <c r="AK214" i="53" s="1"/>
  <c r="AK258" i="53" s="1"/>
  <c r="AL294" i="53"/>
  <c r="AL284" i="53" s="1"/>
  <c r="AL289" i="53" s="1"/>
  <c r="G210" i="53"/>
  <c r="G208" i="53"/>
  <c r="G206" i="53"/>
  <c r="G207" i="53"/>
  <c r="G205" i="53"/>
  <c r="G203" i="53"/>
  <c r="G247" i="53" s="1"/>
  <c r="G209" i="53"/>
  <c r="G202" i="53"/>
  <c r="G211" i="53"/>
  <c r="G255" i="53" s="1"/>
  <c r="AO346" i="53"/>
  <c r="AO381" i="53" s="1"/>
  <c r="AO249" i="53"/>
  <c r="I193" i="53"/>
  <c r="I237" i="53" s="1"/>
  <c r="I201" i="53"/>
  <c r="I245" i="53" s="1"/>
  <c r="I198" i="53"/>
  <c r="I197" i="53"/>
  <c r="I200" i="53"/>
  <c r="I196" i="53"/>
  <c r="I199" i="53"/>
  <c r="I192" i="53"/>
  <c r="I195" i="53"/>
  <c r="AC341" i="53"/>
  <c r="AC376" i="53" s="1"/>
  <c r="AC242" i="53"/>
  <c r="AO343" i="53"/>
  <c r="AO244" i="53"/>
  <c r="J91" i="52"/>
  <c r="L120" i="36"/>
  <c r="L117" i="36"/>
  <c r="L118" i="36"/>
  <c r="L119" i="36"/>
  <c r="L116" i="36"/>
  <c r="L123" i="36"/>
  <c r="L122" i="36"/>
  <c r="L121" i="36"/>
  <c r="L57" i="55"/>
  <c r="X134" i="36"/>
  <c r="X133" i="36"/>
  <c r="X132" i="36"/>
  <c r="X131" i="36"/>
  <c r="X126" i="36"/>
  <c r="X127" i="36"/>
  <c r="V88" i="52"/>
  <c r="X129" i="36"/>
  <c r="X139" i="36"/>
  <c r="X130" i="36"/>
  <c r="X128" i="36"/>
  <c r="X137" i="36"/>
  <c r="X124" i="36"/>
  <c r="X135" i="36"/>
  <c r="X125" i="36"/>
  <c r="X136" i="36"/>
  <c r="X52" i="55"/>
  <c r="X138" i="36"/>
  <c r="P89" i="52"/>
  <c r="P90" i="52"/>
  <c r="AO339" i="53"/>
  <c r="AO374" i="53" s="1"/>
  <c r="AO240" i="53"/>
  <c r="S33" i="53"/>
  <c r="S23" i="53"/>
  <c r="S43" i="53"/>
  <c r="S13" i="53"/>
  <c r="I98" i="52"/>
  <c r="AJ57" i="55"/>
  <c r="AJ116" i="36"/>
  <c r="AH91" i="52"/>
  <c r="AJ117" i="36"/>
  <c r="AJ121" i="36"/>
  <c r="AJ118" i="36"/>
  <c r="AJ123" i="36"/>
  <c r="AJ120" i="36"/>
  <c r="AJ122" i="36"/>
  <c r="AJ119" i="36"/>
  <c r="J173" i="28"/>
  <c r="W293" i="53"/>
  <c r="AC343" i="53"/>
  <c r="AC244" i="53"/>
  <c r="AO337" i="53"/>
  <c r="AO372" i="53" s="1"/>
  <c r="AO236" i="53"/>
  <c r="AO272" i="53"/>
  <c r="AP84" i="11"/>
  <c r="AB179" i="28"/>
  <c r="AH181" i="28"/>
  <c r="Z94" i="52"/>
  <c r="Z93" i="52"/>
  <c r="AH284" i="53"/>
  <c r="AH289" i="53" s="1"/>
  <c r="AJ15" i="53" l="1"/>
  <c r="AJ30" i="53"/>
  <c r="AJ20" i="53"/>
  <c r="AJ25" i="53"/>
  <c r="AP343" i="53"/>
  <c r="AP344" i="53" s="1"/>
  <c r="AP379" i="53" s="1"/>
  <c r="AJ10" i="53"/>
  <c r="R12" i="53"/>
  <c r="S297" i="53"/>
  <c r="F10" i="53"/>
  <c r="I89" i="52"/>
  <c r="M29" i="53"/>
  <c r="Z300" i="53"/>
  <c r="Z292" i="53"/>
  <c r="Z293" i="53" s="1"/>
  <c r="Z298" i="53"/>
  <c r="AP338" i="53"/>
  <c r="AP373" i="53" s="1"/>
  <c r="Z296" i="53"/>
  <c r="AJ13" i="53"/>
  <c r="F21" i="53"/>
  <c r="R41" i="53"/>
  <c r="AP250" i="53"/>
  <c r="R21" i="53"/>
  <c r="AC352" i="53"/>
  <c r="AC387" i="53" s="1"/>
  <c r="R31" i="53"/>
  <c r="M34" i="53"/>
  <c r="AP272" i="53"/>
  <c r="M14" i="53"/>
  <c r="M44" i="53"/>
  <c r="L40" i="53"/>
  <c r="Q28" i="53"/>
  <c r="AP243" i="53"/>
  <c r="M19" i="53"/>
  <c r="AJ23" i="53"/>
  <c r="AJ33" i="53"/>
  <c r="Q42" i="53"/>
  <c r="X34" i="52"/>
  <c r="F18" i="53"/>
  <c r="F38" i="53"/>
  <c r="AP341" i="53"/>
  <c r="AP376" i="53" s="1"/>
  <c r="Z301" i="53"/>
  <c r="L12" i="53"/>
  <c r="AP242" i="53"/>
  <c r="F8" i="53"/>
  <c r="Q32" i="53"/>
  <c r="Q38" i="53"/>
  <c r="L42" i="53"/>
  <c r="Q12" i="53"/>
  <c r="F20" i="53"/>
  <c r="AM216" i="53"/>
  <c r="AM260" i="53" s="1"/>
  <c r="L23" i="53"/>
  <c r="AQ84" i="11"/>
  <c r="AP337" i="53"/>
  <c r="AP372" i="53" s="1"/>
  <c r="AP340" i="53"/>
  <c r="AP375" i="53" s="1"/>
  <c r="R22" i="53"/>
  <c r="AM219" i="53"/>
  <c r="AM263" i="53" s="1"/>
  <c r="AP253" i="53"/>
  <c r="AD31" i="53"/>
  <c r="AD42" i="53"/>
  <c r="AM212" i="53"/>
  <c r="AM256" i="53" s="1"/>
  <c r="Z297" i="53"/>
  <c r="AM215" i="53"/>
  <c r="AM354" i="53" s="1"/>
  <c r="AM389" i="53" s="1"/>
  <c r="AD41" i="53"/>
  <c r="AD11" i="53"/>
  <c r="AD32" i="53"/>
  <c r="Q21" i="53"/>
  <c r="AM221" i="53"/>
  <c r="AM265" i="53" s="1"/>
  <c r="M41" i="53"/>
  <c r="AD12" i="53"/>
  <c r="AM220" i="53"/>
  <c r="AM359" i="53" s="1"/>
  <c r="AI284" i="53"/>
  <c r="AI289" i="53" s="1"/>
  <c r="AI217" i="53" s="1"/>
  <c r="AP346" i="53"/>
  <c r="AP381" i="53" s="1"/>
  <c r="AM214" i="53"/>
  <c r="AM258" i="53" s="1"/>
  <c r="AM213" i="53"/>
  <c r="AM257" i="53" s="1"/>
  <c r="AM217" i="53"/>
  <c r="AM261" i="53" s="1"/>
  <c r="K17" i="56"/>
  <c r="AJ8" i="53"/>
  <c r="AD33" i="53"/>
  <c r="L13" i="53"/>
  <c r="AP275" i="53"/>
  <c r="L33" i="53"/>
  <c r="AJ18" i="53"/>
  <c r="Q8" i="53"/>
  <c r="AD40" i="53"/>
  <c r="AD30" i="53"/>
  <c r="AJ28" i="53"/>
  <c r="S296" i="53"/>
  <c r="F40" i="53"/>
  <c r="AP345" i="53"/>
  <c r="AP380" i="53" s="1"/>
  <c r="AJ14" i="53"/>
  <c r="S298" i="53"/>
  <c r="V177" i="28"/>
  <c r="X18" i="53" s="1"/>
  <c r="AP348" i="53"/>
  <c r="AP383" i="53" s="1"/>
  <c r="V178" i="28"/>
  <c r="X10" i="53" s="1"/>
  <c r="AP254" i="53"/>
  <c r="R40" i="53"/>
  <c r="D196" i="28"/>
  <c r="AJ44" i="53"/>
  <c r="AD23" i="53"/>
  <c r="AQ92" i="11"/>
  <c r="I179" i="28"/>
  <c r="K44" i="53" s="1"/>
  <c r="R20" i="53"/>
  <c r="Z295" i="53"/>
  <c r="V176" i="28"/>
  <c r="X25" i="53" s="1"/>
  <c r="N284" i="53"/>
  <c r="N289" i="53" s="1"/>
  <c r="N221" i="53" s="1"/>
  <c r="N265" i="53" s="1"/>
  <c r="AD8" i="53"/>
  <c r="AB33" i="53"/>
  <c r="AD13" i="53"/>
  <c r="K121" i="36"/>
  <c r="K123" i="36"/>
  <c r="AD28" i="53"/>
  <c r="Q41" i="53"/>
  <c r="F28" i="53"/>
  <c r="Q19" i="53"/>
  <c r="Q29" i="53"/>
  <c r="Q31" i="53"/>
  <c r="Q9" i="53"/>
  <c r="L22" i="53"/>
  <c r="K118" i="36"/>
  <c r="AD18" i="53"/>
  <c r="AJ11" i="53"/>
  <c r="AJ41" i="53"/>
  <c r="L10" i="53"/>
  <c r="L30" i="53"/>
  <c r="K119" i="36"/>
  <c r="AL282" i="53"/>
  <c r="AL287" i="53" s="1"/>
  <c r="AL193" i="53" s="1"/>
  <c r="AL237" i="53" s="1"/>
  <c r="K117" i="36"/>
  <c r="I91" i="52"/>
  <c r="Q15" i="53"/>
  <c r="K116" i="36"/>
  <c r="F41" i="53"/>
  <c r="F31" i="53"/>
  <c r="K120" i="36"/>
  <c r="D192" i="28"/>
  <c r="M35" i="53"/>
  <c r="M39" i="53"/>
  <c r="K122" i="36"/>
  <c r="AD35" i="53"/>
  <c r="AD25" i="53"/>
  <c r="Q33" i="53"/>
  <c r="Q43" i="53"/>
  <c r="Q13" i="53"/>
  <c r="AB30" i="53"/>
  <c r="M13" i="53"/>
  <c r="AB40" i="53"/>
  <c r="M23" i="53"/>
  <c r="AJ21" i="53"/>
  <c r="AB10" i="53"/>
  <c r="M43" i="53"/>
  <c r="M15" i="53"/>
  <c r="M5" i="53"/>
  <c r="AJ34" i="53"/>
  <c r="AA66" i="11"/>
  <c r="M11" i="53"/>
  <c r="R10" i="53"/>
  <c r="AD15" i="53"/>
  <c r="AD19" i="53"/>
  <c r="R23" i="53"/>
  <c r="I180" i="28"/>
  <c r="K13" i="53" s="1"/>
  <c r="R38" i="53"/>
  <c r="L14" i="53"/>
  <c r="R13" i="53"/>
  <c r="R43" i="53"/>
  <c r="L34" i="53"/>
  <c r="AD39" i="53"/>
  <c r="I173" i="28"/>
  <c r="K11" i="53" s="1"/>
  <c r="Q35" i="53"/>
  <c r="R8" i="53"/>
  <c r="L24" i="53"/>
  <c r="I176" i="28"/>
  <c r="K25" i="53" s="1"/>
  <c r="Q10" i="53"/>
  <c r="Q40" i="53"/>
  <c r="AD9" i="53"/>
  <c r="Q20" i="53"/>
  <c r="R18" i="53"/>
  <c r="Q25" i="53"/>
  <c r="Q24" i="53"/>
  <c r="V95" i="52"/>
  <c r="X17" i="56"/>
  <c r="M31" i="53"/>
  <c r="M177" i="28"/>
  <c r="O28" i="53" s="1"/>
  <c r="AD20" i="53"/>
  <c r="M173" i="28"/>
  <c r="O11" i="53" s="1"/>
  <c r="AB23" i="53"/>
  <c r="L35" i="53"/>
  <c r="M181" i="28"/>
  <c r="O32" i="53" s="1"/>
  <c r="M179" i="28"/>
  <c r="O34" i="53" s="1"/>
  <c r="AB43" i="53"/>
  <c r="L5" i="53"/>
  <c r="L25" i="53"/>
  <c r="M180" i="28"/>
  <c r="O33" i="53" s="1"/>
  <c r="M178" i="28"/>
  <c r="O30" i="53" s="1"/>
  <c r="Q14" i="53"/>
  <c r="S295" i="53"/>
  <c r="S301" i="53"/>
  <c r="Q34" i="53"/>
  <c r="M176" i="28"/>
  <c r="O5" i="53" s="1"/>
  <c r="M174" i="28"/>
  <c r="O39" i="53" s="1"/>
  <c r="O17" i="56"/>
  <c r="AN214" i="53"/>
  <c r="AN258" i="53" s="1"/>
  <c r="AN220" i="53"/>
  <c r="AN216" i="53"/>
  <c r="AN218" i="53"/>
  <c r="AN221" i="53"/>
  <c r="AN265" i="53" s="1"/>
  <c r="AN217" i="53"/>
  <c r="AN219" i="53"/>
  <c r="AN215" i="53"/>
  <c r="AN212" i="53"/>
  <c r="AN213" i="53"/>
  <c r="AN257" i="53" s="1"/>
  <c r="AC344" i="53"/>
  <c r="AC379" i="53" s="1"/>
  <c r="AC378" i="53"/>
  <c r="M28" i="53"/>
  <c r="M18" i="53"/>
  <c r="M8" i="53"/>
  <c r="M38" i="53"/>
  <c r="I332" i="53"/>
  <c r="I367" i="53" s="1"/>
  <c r="I231" i="53"/>
  <c r="AC370" i="53"/>
  <c r="AC336" i="53"/>
  <c r="AC371" i="53" s="1"/>
  <c r="G231" i="53"/>
  <c r="G332" i="53"/>
  <c r="G367" i="53" s="1"/>
  <c r="M93" i="52"/>
  <c r="M94" i="52"/>
  <c r="F23" i="53"/>
  <c r="D198" i="28"/>
  <c r="F33" i="53"/>
  <c r="F43" i="53"/>
  <c r="F13" i="53"/>
  <c r="AM341" i="53"/>
  <c r="AM376" i="53" s="1"/>
  <c r="AM242" i="53"/>
  <c r="Z299" i="53"/>
  <c r="G230" i="53"/>
  <c r="G331" i="53"/>
  <c r="G366" i="53" s="1"/>
  <c r="AM240" i="53"/>
  <c r="AM339" i="53"/>
  <c r="AM374" i="53" s="1"/>
  <c r="P347" i="53"/>
  <c r="P382" i="53" s="1"/>
  <c r="P250" i="53"/>
  <c r="AB21" i="53"/>
  <c r="AB11" i="53"/>
  <c r="AB31" i="53"/>
  <c r="AB41" i="53"/>
  <c r="AP386" i="53"/>
  <c r="AP352" i="53"/>
  <c r="AP387" i="53" s="1"/>
  <c r="AB42" i="53"/>
  <c r="AB12" i="53"/>
  <c r="AB32" i="53"/>
  <c r="AB22" i="53"/>
  <c r="G232" i="53"/>
  <c r="G333" i="53"/>
  <c r="G368" i="53" s="1"/>
  <c r="AM342" i="53"/>
  <c r="AM377" i="53" s="1"/>
  <c r="AM243" i="53"/>
  <c r="P254" i="53"/>
  <c r="P351" i="53"/>
  <c r="M89" i="52"/>
  <c r="M90" i="52"/>
  <c r="V179" i="28"/>
  <c r="G256" i="53"/>
  <c r="H102" i="11"/>
  <c r="G353" i="53"/>
  <c r="G388" i="53" s="1"/>
  <c r="G278" i="53"/>
  <c r="I177" i="28"/>
  <c r="R5" i="53"/>
  <c r="R25" i="53"/>
  <c r="R15" i="53"/>
  <c r="R35" i="53"/>
  <c r="F24" i="53"/>
  <c r="D197" i="28"/>
  <c r="F44" i="53"/>
  <c r="F14" i="53"/>
  <c r="F34" i="53"/>
  <c r="R29" i="53"/>
  <c r="R9" i="53"/>
  <c r="R19" i="53"/>
  <c r="R39" i="53"/>
  <c r="I239" i="53"/>
  <c r="I338" i="53"/>
  <c r="I373" i="53" s="1"/>
  <c r="G246" i="53"/>
  <c r="H92" i="11"/>
  <c r="G345" i="53"/>
  <c r="G380" i="53" s="1"/>
  <c r="I249" i="53"/>
  <c r="I346" i="53"/>
  <c r="I381" i="53" s="1"/>
  <c r="AB9" i="53"/>
  <c r="AB29" i="53"/>
  <c r="AB39" i="53"/>
  <c r="AB19" i="53"/>
  <c r="AJ19" i="53"/>
  <c r="AJ39" i="53"/>
  <c r="AJ9" i="53"/>
  <c r="AJ29" i="53"/>
  <c r="AM241" i="53"/>
  <c r="AM340" i="53"/>
  <c r="AM375" i="53" s="1"/>
  <c r="P253" i="53"/>
  <c r="P350" i="53"/>
  <c r="P385" i="53" s="1"/>
  <c r="V173" i="28"/>
  <c r="AB38" i="53"/>
  <c r="AB18" i="53"/>
  <c r="AB8" i="53"/>
  <c r="AB28" i="53"/>
  <c r="L19" i="53"/>
  <c r="L29" i="53"/>
  <c r="L9" i="53"/>
  <c r="L39" i="53"/>
  <c r="P275" i="53"/>
  <c r="P241" i="53"/>
  <c r="P340" i="53"/>
  <c r="P375" i="53" s="1"/>
  <c r="AW20" i="53"/>
  <c r="AX20" i="53" s="1"/>
  <c r="AY20" i="53" s="1"/>
  <c r="AM236" i="53"/>
  <c r="AM337" i="53"/>
  <c r="AM372" i="53" s="1"/>
  <c r="AN84" i="11"/>
  <c r="AM272" i="53"/>
  <c r="P246" i="53"/>
  <c r="P345" i="53"/>
  <c r="P380" i="53" s="1"/>
  <c r="Q92" i="11"/>
  <c r="I181" i="28"/>
  <c r="I174" i="28"/>
  <c r="G263" i="53"/>
  <c r="G358" i="53"/>
  <c r="G393" i="53" s="1"/>
  <c r="AF342" i="53"/>
  <c r="AF377" i="53" s="1"/>
  <c r="AF243" i="53"/>
  <c r="I232" i="53"/>
  <c r="I333" i="53"/>
  <c r="I368" i="53" s="1"/>
  <c r="V89" i="52"/>
  <c r="V90" i="52"/>
  <c r="I337" i="53"/>
  <c r="I372" i="53" s="1"/>
  <c r="I236" i="53"/>
  <c r="I272" i="53"/>
  <c r="J84" i="11"/>
  <c r="I345" i="53"/>
  <c r="I380" i="53" s="1"/>
  <c r="I246" i="53"/>
  <c r="J92" i="11"/>
  <c r="P332" i="53"/>
  <c r="P367" i="53" s="1"/>
  <c r="P231" i="53"/>
  <c r="AW10" i="53"/>
  <c r="AX10" i="53" s="1"/>
  <c r="AY10" i="53" s="1"/>
  <c r="P245" i="53"/>
  <c r="AW24" i="53"/>
  <c r="AX24" i="53" s="1"/>
  <c r="AY24" i="53" s="1"/>
  <c r="G359" i="53"/>
  <c r="G264" i="53"/>
  <c r="AF239" i="53"/>
  <c r="AF338" i="53"/>
  <c r="AF373" i="53" s="1"/>
  <c r="AF244" i="53"/>
  <c r="AF343" i="53"/>
  <c r="G350" i="53"/>
  <c r="G385" i="53" s="1"/>
  <c r="G253" i="53"/>
  <c r="I243" i="53"/>
  <c r="I342" i="53"/>
  <c r="I377" i="53" s="1"/>
  <c r="I253" i="53"/>
  <c r="I350" i="53"/>
  <c r="I385" i="53" s="1"/>
  <c r="S300" i="53"/>
  <c r="I339" i="53"/>
  <c r="I374" i="53" s="1"/>
  <c r="I240" i="53"/>
  <c r="G249" i="53"/>
  <c r="G346" i="53"/>
  <c r="G381" i="53" s="1"/>
  <c r="AW14" i="53"/>
  <c r="AX14" i="53" s="1"/>
  <c r="AY14" i="53" s="1"/>
  <c r="P235" i="53"/>
  <c r="I244" i="53"/>
  <c r="I343" i="53"/>
  <c r="I351" i="53"/>
  <c r="I254" i="53"/>
  <c r="P333" i="53"/>
  <c r="P368" i="53" s="1"/>
  <c r="P232" i="53"/>
  <c r="AW11" i="53"/>
  <c r="AX11" i="53" s="1"/>
  <c r="AY11" i="53" s="1"/>
  <c r="I178" i="28"/>
  <c r="G260" i="53"/>
  <c r="G355" i="53"/>
  <c r="G390" i="53" s="1"/>
  <c r="F22" i="53"/>
  <c r="D199" i="28"/>
  <c r="F42" i="53"/>
  <c r="F12" i="53"/>
  <c r="F32" i="53"/>
  <c r="I250" i="53"/>
  <c r="I347" i="53"/>
  <c r="I382" i="53" s="1"/>
  <c r="P242" i="53"/>
  <c r="P341" i="53"/>
  <c r="P376" i="53" s="1"/>
  <c r="AW21" i="53"/>
  <c r="AX21" i="53" s="1"/>
  <c r="AY21" i="53" s="1"/>
  <c r="S299" i="53"/>
  <c r="AM343" i="53"/>
  <c r="AM244" i="53"/>
  <c r="G259" i="53"/>
  <c r="G354" i="53"/>
  <c r="G389" i="53" s="1"/>
  <c r="AO344" i="53"/>
  <c r="AO379" i="53" s="1"/>
  <c r="AO378" i="53"/>
  <c r="G348" i="53"/>
  <c r="G383" i="53" s="1"/>
  <c r="G251" i="53"/>
  <c r="I241" i="53"/>
  <c r="I340" i="53"/>
  <c r="I375" i="53" s="1"/>
  <c r="I275" i="53"/>
  <c r="G250" i="53"/>
  <c r="G347" i="53"/>
  <c r="G382" i="53" s="1"/>
  <c r="I348" i="53"/>
  <c r="I383" i="53" s="1"/>
  <c r="I251" i="53"/>
  <c r="AW29" i="53"/>
  <c r="AX29" i="53" s="1"/>
  <c r="AY29" i="53" s="1"/>
  <c r="AW39" i="53"/>
  <c r="AX39" i="53" s="1"/>
  <c r="AY39" i="53" s="1"/>
  <c r="P355" i="53"/>
  <c r="P390" i="53" s="1"/>
  <c r="P260" i="53"/>
  <c r="P239" i="53"/>
  <c r="P338" i="53"/>
  <c r="P373" i="53" s="1"/>
  <c r="AW18" i="53"/>
  <c r="AX18" i="53" s="1"/>
  <c r="AY18" i="53" s="1"/>
  <c r="V181" i="28"/>
  <c r="AM357" i="53"/>
  <c r="AM392" i="53" s="1"/>
  <c r="AM262" i="53"/>
  <c r="G357" i="53"/>
  <c r="G392" i="53" s="1"/>
  <c r="G262" i="53"/>
  <c r="AF339" i="53"/>
  <c r="AF374" i="53" s="1"/>
  <c r="AF240" i="53"/>
  <c r="G349" i="53"/>
  <c r="G384" i="53" s="1"/>
  <c r="G252" i="53"/>
  <c r="I349" i="53"/>
  <c r="I384" i="53" s="1"/>
  <c r="I252" i="53"/>
  <c r="AW40" i="53"/>
  <c r="AX40" i="53" s="1"/>
  <c r="AY40" i="53" s="1"/>
  <c r="P356" i="53"/>
  <c r="P391" i="53" s="1"/>
  <c r="P261" i="53"/>
  <c r="AW30" i="53"/>
  <c r="AX30" i="53" s="1"/>
  <c r="AY30" i="53" s="1"/>
  <c r="P330" i="53"/>
  <c r="P365" i="53" s="1"/>
  <c r="AW8" i="53"/>
  <c r="AX8" i="53" s="1"/>
  <c r="AY8" i="53" s="1"/>
  <c r="P229" i="53"/>
  <c r="P339" i="53"/>
  <c r="P374" i="53" s="1"/>
  <c r="P240" i="53"/>
  <c r="AW19" i="53"/>
  <c r="AX19" i="53" s="1"/>
  <c r="AY19" i="53" s="1"/>
  <c r="AN281" i="53"/>
  <c r="AN286" i="53" s="1"/>
  <c r="AN184" i="53" s="1"/>
  <c r="AN228" i="53" s="1"/>
  <c r="AN283" i="53"/>
  <c r="AN288" i="53" s="1"/>
  <c r="AN282" i="53"/>
  <c r="AN287" i="53" s="1"/>
  <c r="U294" i="53"/>
  <c r="U281" i="53" s="1"/>
  <c r="U286" i="53" s="1"/>
  <c r="G356" i="53"/>
  <c r="G391" i="53" s="1"/>
  <c r="G261" i="53"/>
  <c r="AG84" i="11"/>
  <c r="AF272" i="53"/>
  <c r="AF236" i="53"/>
  <c r="AF337" i="53"/>
  <c r="AF372" i="53" s="1"/>
  <c r="P265" i="53"/>
  <c r="AW44" i="53"/>
  <c r="AX44" i="53" s="1"/>
  <c r="AY44" i="53" s="1"/>
  <c r="AW34" i="53"/>
  <c r="AX34" i="53" s="1"/>
  <c r="AY34" i="53" s="1"/>
  <c r="P230" i="53"/>
  <c r="AW9" i="53"/>
  <c r="AX9" i="53" s="1"/>
  <c r="AY9" i="53" s="1"/>
  <c r="P331" i="53"/>
  <c r="P366" i="53" s="1"/>
  <c r="P342" i="53"/>
  <c r="P377" i="53" s="1"/>
  <c r="P243" i="53"/>
  <c r="AW22" i="53"/>
  <c r="AX22" i="53" s="1"/>
  <c r="AY22" i="53" s="1"/>
  <c r="N205" i="53"/>
  <c r="N210" i="53"/>
  <c r="N211" i="53"/>
  <c r="N255" i="53" s="1"/>
  <c r="N208" i="53"/>
  <c r="N206" i="53"/>
  <c r="N209" i="53"/>
  <c r="N207" i="53"/>
  <c r="N202" i="53"/>
  <c r="AP233" i="53"/>
  <c r="AP334" i="53"/>
  <c r="AP369" i="53" s="1"/>
  <c r="AE293" i="53"/>
  <c r="AF241" i="53"/>
  <c r="AF340" i="53"/>
  <c r="AF375" i="53" s="1"/>
  <c r="AL214" i="53"/>
  <c r="AL258" i="53" s="1"/>
  <c r="AL215" i="53"/>
  <c r="AL219" i="53"/>
  <c r="AL218" i="53"/>
  <c r="AL216" i="53"/>
  <c r="AL221" i="53"/>
  <c r="AL265" i="53" s="1"/>
  <c r="AL212" i="53"/>
  <c r="AL220" i="53"/>
  <c r="AL217" i="53"/>
  <c r="AW31" i="53"/>
  <c r="AX31" i="53" s="1"/>
  <c r="AY31" i="53" s="1"/>
  <c r="P262" i="53"/>
  <c r="P357" i="53"/>
  <c r="P392" i="53" s="1"/>
  <c r="AW41" i="53"/>
  <c r="AX41" i="53" s="1"/>
  <c r="AY41" i="53" s="1"/>
  <c r="P329" i="53"/>
  <c r="P364" i="53" s="1"/>
  <c r="P269" i="53"/>
  <c r="P320" i="53"/>
  <c r="P317" i="53"/>
  <c r="P319" i="53"/>
  <c r="P316" i="53"/>
  <c r="P313" i="53"/>
  <c r="P315" i="53"/>
  <c r="Q78" i="11"/>
  <c r="AW5" i="53"/>
  <c r="AX5" i="53" s="1"/>
  <c r="AY5" i="53" s="1"/>
  <c r="P318" i="53"/>
  <c r="P226" i="53"/>
  <c r="P314" i="53"/>
  <c r="P272" i="53"/>
  <c r="Q84" i="11"/>
  <c r="AW15" i="53"/>
  <c r="AX15" i="53" s="1"/>
  <c r="AY15" i="53" s="1"/>
  <c r="P337" i="53"/>
  <c r="P372" i="53" s="1"/>
  <c r="P236" i="53"/>
  <c r="AP331" i="53"/>
  <c r="AP366" i="53" s="1"/>
  <c r="AP230" i="53"/>
  <c r="V180" i="28"/>
  <c r="AF242" i="53"/>
  <c r="AF341" i="53"/>
  <c r="AF376" i="53" s="1"/>
  <c r="I242" i="53"/>
  <c r="I341" i="53"/>
  <c r="I376" i="53" s="1"/>
  <c r="P335" i="53"/>
  <c r="P234" i="53"/>
  <c r="AW13" i="53"/>
  <c r="AX13" i="53" s="1"/>
  <c r="AY13" i="53" s="1"/>
  <c r="P244" i="53"/>
  <c r="AW23" i="53"/>
  <c r="AX23" i="53" s="1"/>
  <c r="AY23" i="53" s="1"/>
  <c r="P343" i="53"/>
  <c r="N203" i="53"/>
  <c r="N247" i="53" s="1"/>
  <c r="AP335" i="53"/>
  <c r="AP234" i="53"/>
  <c r="P259" i="53"/>
  <c r="P354" i="53"/>
  <c r="P389" i="53" s="1"/>
  <c r="AW38" i="53"/>
  <c r="AX38" i="53" s="1"/>
  <c r="AY38" i="53" s="1"/>
  <c r="AW28" i="53"/>
  <c r="AX28" i="53" s="1"/>
  <c r="AY28" i="53" s="1"/>
  <c r="P334" i="53"/>
  <c r="P369" i="53" s="1"/>
  <c r="P233" i="53"/>
  <c r="AW12" i="53"/>
  <c r="AX12" i="53" s="1"/>
  <c r="AY12" i="53" s="1"/>
  <c r="AP231" i="53"/>
  <c r="AP332" i="53"/>
  <c r="AP367" i="53" s="1"/>
  <c r="AO336" i="53"/>
  <c r="AO371" i="53" s="1"/>
  <c r="AO370" i="53"/>
  <c r="AI207" i="53"/>
  <c r="AI209" i="53"/>
  <c r="AI210" i="53"/>
  <c r="AI206" i="53"/>
  <c r="AI211" i="53"/>
  <c r="AI255" i="53" s="1"/>
  <c r="AI202" i="53"/>
  <c r="AI208" i="53"/>
  <c r="AI205" i="53"/>
  <c r="G244" i="53"/>
  <c r="G343" i="53"/>
  <c r="AF184" i="53"/>
  <c r="AF228" i="53" s="1"/>
  <c r="AF191" i="53"/>
  <c r="AF235" i="53" s="1"/>
  <c r="AF188" i="53"/>
  <c r="AF187" i="53"/>
  <c r="AF182" i="53"/>
  <c r="AF186" i="53"/>
  <c r="AF189" i="53"/>
  <c r="AF183" i="53"/>
  <c r="AF227" i="53" s="1"/>
  <c r="AF190" i="53"/>
  <c r="AF185" i="53"/>
  <c r="AF204" i="53"/>
  <c r="AF248" i="53" s="1"/>
  <c r="AF211" i="53"/>
  <c r="AF255" i="53" s="1"/>
  <c r="AF208" i="53"/>
  <c r="AF207" i="53"/>
  <c r="AF202" i="53"/>
  <c r="AF206" i="53"/>
  <c r="AF205" i="53"/>
  <c r="AF203" i="53"/>
  <c r="AF247" i="53" s="1"/>
  <c r="AF210" i="53"/>
  <c r="AF209" i="53"/>
  <c r="F15" i="53"/>
  <c r="D194" i="28"/>
  <c r="F25" i="53"/>
  <c r="F5" i="53"/>
  <c r="F35" i="53"/>
  <c r="AA294" i="53"/>
  <c r="AA282" i="53" s="1"/>
  <c r="AA287" i="53" s="1"/>
  <c r="P353" i="53"/>
  <c r="P388" i="53" s="1"/>
  <c r="P256" i="53"/>
  <c r="AW25" i="53"/>
  <c r="AX25" i="53" s="1"/>
  <c r="AY25" i="53" s="1"/>
  <c r="AW35" i="53"/>
  <c r="AX35" i="53" s="1"/>
  <c r="AY35" i="53" s="1"/>
  <c r="Q102" i="11"/>
  <c r="P278" i="53"/>
  <c r="N281" i="53"/>
  <c r="N286" i="53" s="1"/>
  <c r="N184" i="53" s="1"/>
  <c r="N228" i="53" s="1"/>
  <c r="N204" i="53"/>
  <c r="N248" i="53" s="1"/>
  <c r="N282" i="53"/>
  <c r="N287" i="53" s="1"/>
  <c r="N194" i="53" s="1"/>
  <c r="N238" i="53" s="1"/>
  <c r="AP232" i="53"/>
  <c r="AP333" i="53"/>
  <c r="AP368" i="53" s="1"/>
  <c r="O57" i="55"/>
  <c r="O119" i="36"/>
  <c r="O116" i="36"/>
  <c r="O120" i="36"/>
  <c r="O117" i="36"/>
  <c r="O118" i="36"/>
  <c r="O123" i="36"/>
  <c r="M91" i="52"/>
  <c r="O122" i="36"/>
  <c r="O121" i="36"/>
  <c r="AH214" i="53"/>
  <c r="AH258" i="53" s="1"/>
  <c r="AH220" i="53"/>
  <c r="AH215" i="53"/>
  <c r="AH218" i="53"/>
  <c r="AH217" i="53"/>
  <c r="AH212" i="53"/>
  <c r="AH221" i="53"/>
  <c r="AH265" i="53" s="1"/>
  <c r="AH216" i="53"/>
  <c r="AH219" i="53"/>
  <c r="AH213" i="53"/>
  <c r="AH257" i="53" s="1"/>
  <c r="G241" i="53"/>
  <c r="G340" i="53"/>
  <c r="G375" i="53" s="1"/>
  <c r="G275" i="53"/>
  <c r="P359" i="53"/>
  <c r="AW43" i="53"/>
  <c r="AX43" i="53" s="1"/>
  <c r="AY43" i="53" s="1"/>
  <c r="AW33" i="53"/>
  <c r="AX33" i="53" s="1"/>
  <c r="AY33" i="53" s="1"/>
  <c r="P264" i="53"/>
  <c r="AH193" i="53"/>
  <c r="AH237" i="53" s="1"/>
  <c r="AH200" i="53"/>
  <c r="AH196" i="53"/>
  <c r="AH201" i="53"/>
  <c r="AH245" i="53" s="1"/>
  <c r="AH197" i="53"/>
  <c r="AH195" i="53"/>
  <c r="AH198" i="53"/>
  <c r="AH192" i="53"/>
  <c r="AH199" i="53"/>
  <c r="AP330" i="53"/>
  <c r="AP365" i="53" s="1"/>
  <c r="AP229" i="53"/>
  <c r="AD106" i="11"/>
  <c r="F19" i="53"/>
  <c r="D193" i="28"/>
  <c r="F39" i="53"/>
  <c r="F29" i="53"/>
  <c r="F9" i="53"/>
  <c r="AH233" i="53"/>
  <c r="AH334" i="53"/>
  <c r="AH369" i="53" s="1"/>
  <c r="AL283" i="53"/>
  <c r="AL288" i="53" s="1"/>
  <c r="AL204" i="53" s="1"/>
  <c r="AL248" i="53" s="1"/>
  <c r="AL281" i="53"/>
  <c r="AL286" i="53" s="1"/>
  <c r="G339" i="53"/>
  <c r="G374" i="53" s="1"/>
  <c r="G240" i="53"/>
  <c r="AB24" i="53"/>
  <c r="AB14" i="53"/>
  <c r="AB34" i="53"/>
  <c r="AB44" i="53"/>
  <c r="AF221" i="53"/>
  <c r="AF265" i="53" s="1"/>
  <c r="AF217" i="53"/>
  <c r="AF218" i="53"/>
  <c r="AF212" i="53"/>
  <c r="AF216" i="53"/>
  <c r="AF213" i="53"/>
  <c r="AF257" i="53" s="1"/>
  <c r="AF220" i="53"/>
  <c r="AF219" i="53"/>
  <c r="AF215" i="53"/>
  <c r="P358" i="53"/>
  <c r="P393" i="53" s="1"/>
  <c r="AW32" i="53"/>
  <c r="AX32" i="53" s="1"/>
  <c r="AY32" i="53" s="1"/>
  <c r="P263" i="53"/>
  <c r="AW42" i="53"/>
  <c r="AX42" i="53" s="1"/>
  <c r="AY42" i="53" s="1"/>
  <c r="AP106" i="11"/>
  <c r="AP269" i="53"/>
  <c r="AP226" i="53"/>
  <c r="AP329" i="53"/>
  <c r="AP364" i="53" s="1"/>
  <c r="AP315" i="53"/>
  <c r="AP316" i="53"/>
  <c r="AP314" i="53"/>
  <c r="AP318" i="53"/>
  <c r="AP317" i="53"/>
  <c r="AP320" i="53"/>
  <c r="AP319" i="53"/>
  <c r="AP313" i="53"/>
  <c r="AQ78" i="11"/>
  <c r="L18" i="53"/>
  <c r="L28" i="53"/>
  <c r="L8" i="53"/>
  <c r="L38" i="53"/>
  <c r="AH230" i="53"/>
  <c r="AH331" i="53"/>
  <c r="AH366" i="53" s="1"/>
  <c r="G351" i="53"/>
  <c r="G254" i="53"/>
  <c r="L21" i="53"/>
  <c r="L31" i="53"/>
  <c r="L11" i="53"/>
  <c r="L41" i="53"/>
  <c r="G342" i="53"/>
  <c r="G377" i="53" s="1"/>
  <c r="G243" i="53"/>
  <c r="AJ22" i="53"/>
  <c r="AJ42" i="53"/>
  <c r="AJ12" i="53"/>
  <c r="AJ32" i="53"/>
  <c r="G341" i="53"/>
  <c r="G376" i="53" s="1"/>
  <c r="G242" i="53"/>
  <c r="V174" i="28"/>
  <c r="X117" i="36"/>
  <c r="V91" i="52"/>
  <c r="X119" i="36"/>
  <c r="X123" i="36"/>
  <c r="X116" i="36"/>
  <c r="X120" i="36"/>
  <c r="X118" i="36"/>
  <c r="X121" i="36"/>
  <c r="X122" i="36"/>
  <c r="X57" i="55"/>
  <c r="AG294" i="53"/>
  <c r="AK189" i="53"/>
  <c r="AK190" i="53"/>
  <c r="AK186" i="53"/>
  <c r="AK182" i="53"/>
  <c r="AK191" i="53"/>
  <c r="AK235" i="53" s="1"/>
  <c r="AK188" i="53"/>
  <c r="AK187" i="53"/>
  <c r="AK185" i="53"/>
  <c r="AK183" i="53"/>
  <c r="AK227" i="53" s="1"/>
  <c r="G239" i="53"/>
  <c r="G338" i="53"/>
  <c r="G373" i="53" s="1"/>
  <c r="AH332" i="53"/>
  <c r="AH367" i="53" s="1"/>
  <c r="AH231" i="53"/>
  <c r="AK194" i="53"/>
  <c r="AK238" i="53" s="1"/>
  <c r="AK196" i="53"/>
  <c r="AK199" i="53"/>
  <c r="AK200" i="53"/>
  <c r="AK192" i="53"/>
  <c r="AK201" i="53"/>
  <c r="AK245" i="53" s="1"/>
  <c r="AK198" i="53"/>
  <c r="AK197" i="53"/>
  <c r="AK195" i="53"/>
  <c r="AK193" i="53"/>
  <c r="AK237" i="53" s="1"/>
  <c r="I330" i="53"/>
  <c r="I365" i="53" s="1"/>
  <c r="I229" i="53"/>
  <c r="AH210" i="53"/>
  <c r="AH207" i="53"/>
  <c r="AH211" i="53"/>
  <c r="AH255" i="53" s="1"/>
  <c r="AH206" i="53"/>
  <c r="AH205" i="53"/>
  <c r="AH208" i="53"/>
  <c r="AH202" i="53"/>
  <c r="AH209" i="53"/>
  <c r="AH203" i="53"/>
  <c r="AH247" i="53" s="1"/>
  <c r="G269" i="53"/>
  <c r="G318" i="53"/>
  <c r="G314" i="53"/>
  <c r="G313" i="53"/>
  <c r="H78" i="11"/>
  <c r="G320" i="53"/>
  <c r="G317" i="53"/>
  <c r="G315" i="53"/>
  <c r="G329" i="53"/>
  <c r="G364" i="53" s="1"/>
  <c r="G226" i="53"/>
  <c r="G319" i="53"/>
  <c r="G316" i="53"/>
  <c r="M10" i="53"/>
  <c r="M30" i="53"/>
  <c r="M20" i="53"/>
  <c r="M40" i="53"/>
  <c r="AP394" i="53"/>
  <c r="AP360" i="53"/>
  <c r="AP395" i="53" s="1"/>
  <c r="AI78" i="11"/>
  <c r="AH226" i="53"/>
  <c r="AH269" i="53"/>
  <c r="AH329" i="53"/>
  <c r="AH364" i="53" s="1"/>
  <c r="AL213" i="53"/>
  <c r="AL257" i="53" s="1"/>
  <c r="I394" i="53"/>
  <c r="I360" i="53"/>
  <c r="I395" i="53" s="1"/>
  <c r="AO352" i="53"/>
  <c r="AO387" i="53" s="1"/>
  <c r="AO386" i="53"/>
  <c r="I314" i="53"/>
  <c r="I313" i="53"/>
  <c r="I316" i="53"/>
  <c r="I318" i="53"/>
  <c r="I329" i="53"/>
  <c r="I364" i="53" s="1"/>
  <c r="I317" i="53"/>
  <c r="I315" i="53"/>
  <c r="I319" i="53"/>
  <c r="I269" i="53"/>
  <c r="I320" i="53"/>
  <c r="I226" i="53"/>
  <c r="J78" i="11"/>
  <c r="G334" i="53"/>
  <c r="G369" i="53" s="1"/>
  <c r="G233" i="53"/>
  <c r="AM191" i="53"/>
  <c r="AM235" i="53" s="1"/>
  <c r="AM182" i="53"/>
  <c r="AM189" i="53"/>
  <c r="AM187" i="53"/>
  <c r="AM188" i="53"/>
  <c r="AM185" i="53"/>
  <c r="AM186" i="53"/>
  <c r="AM190" i="53"/>
  <c r="AM183" i="53"/>
  <c r="AM227" i="53" s="1"/>
  <c r="AO394" i="53"/>
  <c r="AO360" i="53"/>
  <c r="AO395" i="53" s="1"/>
  <c r="P348" i="53"/>
  <c r="P383" i="53" s="1"/>
  <c r="P251" i="53"/>
  <c r="AH232" i="53"/>
  <c r="AH333" i="53"/>
  <c r="AH368" i="53" s="1"/>
  <c r="I233" i="53"/>
  <c r="I334" i="53"/>
  <c r="I369" i="53" s="1"/>
  <c r="G335" i="53"/>
  <c r="G234" i="53"/>
  <c r="AM211" i="53"/>
  <c r="AM255" i="53" s="1"/>
  <c r="AM210" i="53"/>
  <c r="AM202" i="53"/>
  <c r="AM209" i="53"/>
  <c r="AM205" i="53"/>
  <c r="AM207" i="53"/>
  <c r="AM206" i="53"/>
  <c r="AM208" i="53"/>
  <c r="AM203" i="53"/>
  <c r="AM247" i="53" s="1"/>
  <c r="AC321" i="53"/>
  <c r="AH330" i="53"/>
  <c r="AH365" i="53" s="1"/>
  <c r="AH229" i="53"/>
  <c r="G236" i="53"/>
  <c r="G272" i="53"/>
  <c r="G337" i="53"/>
  <c r="G372" i="53" s="1"/>
  <c r="H84" i="11"/>
  <c r="AD14" i="53"/>
  <c r="AD34" i="53"/>
  <c r="AD24" i="53"/>
  <c r="AD44" i="53"/>
  <c r="AK219" i="53"/>
  <c r="AK220" i="53"/>
  <c r="AK216" i="53"/>
  <c r="AK212" i="53"/>
  <c r="AK221" i="53"/>
  <c r="AK265" i="53" s="1"/>
  <c r="AK217" i="53"/>
  <c r="AK218" i="53"/>
  <c r="AK215" i="53"/>
  <c r="AK213" i="53"/>
  <c r="AK257" i="53" s="1"/>
  <c r="AM184" i="53"/>
  <c r="AM228" i="53" s="1"/>
  <c r="P349" i="53"/>
  <c r="P384" i="53" s="1"/>
  <c r="P252" i="53"/>
  <c r="AH234" i="53"/>
  <c r="AH335" i="53"/>
  <c r="W294" i="53"/>
  <c r="W281" i="53" s="1"/>
  <c r="W286" i="53" s="1"/>
  <c r="S292" i="53"/>
  <c r="Q34" i="52"/>
  <c r="T66" i="11"/>
  <c r="Y294" i="53"/>
  <c r="Y284" i="53" s="1"/>
  <c r="Y289" i="53" s="1"/>
  <c r="I331" i="53"/>
  <c r="I366" i="53" s="1"/>
  <c r="I230" i="53"/>
  <c r="AK209" i="53"/>
  <c r="AK210" i="53"/>
  <c r="AK206" i="53"/>
  <c r="AK202" i="53"/>
  <c r="AK211" i="53"/>
  <c r="AK255" i="53" s="1"/>
  <c r="AK208" i="53"/>
  <c r="AK207" i="53"/>
  <c r="AK205" i="53"/>
  <c r="AK203" i="53"/>
  <c r="AK247" i="53" s="1"/>
  <c r="AB5" i="53"/>
  <c r="AB15" i="53"/>
  <c r="AB25" i="53"/>
  <c r="AB35" i="53"/>
  <c r="M32" i="53"/>
  <c r="M12" i="53"/>
  <c r="M22" i="53"/>
  <c r="M42" i="53"/>
  <c r="I335" i="53"/>
  <c r="I234" i="53"/>
  <c r="R44" i="53"/>
  <c r="R34" i="53"/>
  <c r="R14" i="53"/>
  <c r="R24" i="53"/>
  <c r="G229" i="53"/>
  <c r="G330" i="53"/>
  <c r="G365" i="53" s="1"/>
  <c r="AO321" i="53"/>
  <c r="AM204" i="53"/>
  <c r="AM248" i="53" s="1"/>
  <c r="AM239" i="53"/>
  <c r="AM338" i="53"/>
  <c r="AM373" i="53" s="1"/>
  <c r="P346" i="53"/>
  <c r="P381" i="53" s="1"/>
  <c r="P249" i="53"/>
  <c r="T294" i="53"/>
  <c r="AI204" i="53"/>
  <c r="AI248" i="53" s="1"/>
  <c r="AI281" i="53"/>
  <c r="AI286" i="53" s="1"/>
  <c r="AI282" i="53"/>
  <c r="AI287" i="53" s="1"/>
  <c r="AP378" i="53" l="1"/>
  <c r="AJ292" i="53"/>
  <c r="AJ297" i="53"/>
  <c r="AH34" i="52"/>
  <c r="AQ106" i="11"/>
  <c r="M301" i="53"/>
  <c r="R299" i="53"/>
  <c r="N219" i="53"/>
  <c r="N263" i="53" s="1"/>
  <c r="X40" i="53"/>
  <c r="X30" i="53"/>
  <c r="N220" i="53"/>
  <c r="N264" i="53" s="1"/>
  <c r="Q295" i="53"/>
  <c r="R298" i="53"/>
  <c r="X20" i="53"/>
  <c r="AM358" i="53"/>
  <c r="AM393" i="53" s="1"/>
  <c r="AI215" i="53"/>
  <c r="AI259" i="53" s="1"/>
  <c r="AD298" i="53"/>
  <c r="AM264" i="53"/>
  <c r="AI216" i="53"/>
  <c r="AI355" i="53" s="1"/>
  <c r="AI390" i="53" s="1"/>
  <c r="X8" i="53"/>
  <c r="AI212" i="53"/>
  <c r="AI256" i="53" s="1"/>
  <c r="F295" i="53"/>
  <c r="N214" i="53"/>
  <c r="N258" i="53" s="1"/>
  <c r="N213" i="53"/>
  <c r="N257" i="53" s="1"/>
  <c r="R297" i="53"/>
  <c r="Q299" i="53"/>
  <c r="X38" i="53"/>
  <c r="N216" i="53"/>
  <c r="N355" i="53" s="1"/>
  <c r="N390" i="53" s="1"/>
  <c r="AJ300" i="53"/>
  <c r="AI214" i="53"/>
  <c r="AI258" i="53" s="1"/>
  <c r="AI213" i="53"/>
  <c r="AI257" i="53" s="1"/>
  <c r="AM353" i="53"/>
  <c r="AM388" i="53" s="1"/>
  <c r="AI219" i="53"/>
  <c r="AI358" i="53" s="1"/>
  <c r="AI393" i="53" s="1"/>
  <c r="AI218" i="53"/>
  <c r="AI262" i="53" s="1"/>
  <c r="X5" i="53"/>
  <c r="M296" i="53"/>
  <c r="AI220" i="53"/>
  <c r="AI359" i="53" s="1"/>
  <c r="X35" i="53"/>
  <c r="AI221" i="53"/>
  <c r="AI265" i="53" s="1"/>
  <c r="AL198" i="53"/>
  <c r="AL341" i="53" s="1"/>
  <c r="AL376" i="53" s="1"/>
  <c r="AD300" i="53"/>
  <c r="K43" i="53"/>
  <c r="L299" i="53"/>
  <c r="N217" i="53"/>
  <c r="N261" i="53" s="1"/>
  <c r="AM356" i="53"/>
  <c r="AM391" i="53" s="1"/>
  <c r="L300" i="53"/>
  <c r="AN102" i="11"/>
  <c r="N215" i="53"/>
  <c r="N259" i="53" s="1"/>
  <c r="N212" i="53"/>
  <c r="N256" i="53" s="1"/>
  <c r="AJ301" i="53"/>
  <c r="AM259" i="53"/>
  <c r="AM355" i="53"/>
  <c r="AM390" i="53" s="1"/>
  <c r="N218" i="53"/>
  <c r="N357" i="53" s="1"/>
  <c r="N392" i="53" s="1"/>
  <c r="Q301" i="53"/>
  <c r="AJ295" i="53"/>
  <c r="AD299" i="53"/>
  <c r="AB297" i="53"/>
  <c r="F297" i="53"/>
  <c r="AJ298" i="53"/>
  <c r="L297" i="53"/>
  <c r="AD295" i="53"/>
  <c r="K14" i="53"/>
  <c r="AD297" i="53"/>
  <c r="AM278" i="53"/>
  <c r="K24" i="53"/>
  <c r="K34" i="53"/>
  <c r="AL200" i="53"/>
  <c r="AL343" i="53" s="1"/>
  <c r="AL192" i="53"/>
  <c r="AL337" i="53" s="1"/>
  <c r="AL372" i="53" s="1"/>
  <c r="AL201" i="53"/>
  <c r="AL245" i="53" s="1"/>
  <c r="AL196" i="53"/>
  <c r="AL240" i="53" s="1"/>
  <c r="O31" i="53"/>
  <c r="X28" i="53"/>
  <c r="X15" i="53"/>
  <c r="Q300" i="53"/>
  <c r="O41" i="53"/>
  <c r="F298" i="53"/>
  <c r="AL197" i="53"/>
  <c r="AL340" i="53" s="1"/>
  <c r="AL375" i="53" s="1"/>
  <c r="Q296" i="53"/>
  <c r="Q298" i="53"/>
  <c r="M292" i="53"/>
  <c r="M293" i="53" s="1"/>
  <c r="AD296" i="53"/>
  <c r="L301" i="53"/>
  <c r="M300" i="53"/>
  <c r="K34" i="52"/>
  <c r="AL194" i="53"/>
  <c r="AL238" i="53" s="1"/>
  <c r="AL195" i="53"/>
  <c r="AL239" i="53" s="1"/>
  <c r="K41" i="53"/>
  <c r="AL199" i="53"/>
  <c r="AL342" i="53" s="1"/>
  <c r="AL377" i="53" s="1"/>
  <c r="J106" i="11"/>
  <c r="O22" i="53"/>
  <c r="K31" i="53"/>
  <c r="O42" i="53"/>
  <c r="K21" i="53"/>
  <c r="AD292" i="53"/>
  <c r="AD293" i="53" s="1"/>
  <c r="J34" i="52"/>
  <c r="O18" i="53"/>
  <c r="K35" i="53"/>
  <c r="O8" i="53"/>
  <c r="O14" i="53"/>
  <c r="K5" i="53"/>
  <c r="O12" i="53"/>
  <c r="O38" i="53"/>
  <c r="M298" i="53"/>
  <c r="O24" i="53"/>
  <c r="K15" i="53"/>
  <c r="O29" i="53"/>
  <c r="O44" i="53"/>
  <c r="AB34" i="52"/>
  <c r="O34" i="52"/>
  <c r="O21" i="53"/>
  <c r="O25" i="53"/>
  <c r="AB300" i="53"/>
  <c r="R295" i="53"/>
  <c r="R66" i="11"/>
  <c r="R300" i="53"/>
  <c r="O20" i="53"/>
  <c r="O13" i="53"/>
  <c r="K23" i="53"/>
  <c r="O23" i="53"/>
  <c r="Q292" i="53"/>
  <c r="Q293" i="53" s="1"/>
  <c r="L292" i="53"/>
  <c r="L293" i="53" s="1"/>
  <c r="K33" i="53"/>
  <c r="O43" i="53"/>
  <c r="F301" i="53"/>
  <c r="Q297" i="53"/>
  <c r="O19" i="53"/>
  <c r="O15" i="53"/>
  <c r="O9" i="53"/>
  <c r="O35" i="53"/>
  <c r="O10" i="53"/>
  <c r="O40" i="53"/>
  <c r="L298" i="53"/>
  <c r="Q106" i="11"/>
  <c r="AH318" i="53"/>
  <c r="G321" i="53"/>
  <c r="AP321" i="53"/>
  <c r="AH313" i="53"/>
  <c r="N66" i="11"/>
  <c r="F296" i="53"/>
  <c r="F299" i="53"/>
  <c r="AK66" i="11"/>
  <c r="M66" i="11"/>
  <c r="AH320" i="53"/>
  <c r="AA284" i="53"/>
  <c r="AA289" i="53" s="1"/>
  <c r="AA218" i="53" s="1"/>
  <c r="AF275" i="53"/>
  <c r="AB295" i="53"/>
  <c r="F300" i="53"/>
  <c r="U186" i="53"/>
  <c r="U185" i="53"/>
  <c r="U190" i="53"/>
  <c r="U191" i="53"/>
  <c r="U235" i="53" s="1"/>
  <c r="U189" i="53"/>
  <c r="U187" i="53"/>
  <c r="U188" i="53"/>
  <c r="U182" i="53"/>
  <c r="U183" i="53"/>
  <c r="U227" i="53" s="1"/>
  <c r="AA195" i="53"/>
  <c r="AA201" i="53"/>
  <c r="AA245" i="53" s="1"/>
  <c r="AA197" i="53"/>
  <c r="AA196" i="53"/>
  <c r="AA199" i="53"/>
  <c r="AA198" i="53"/>
  <c r="AA192" i="53"/>
  <c r="AA200" i="53"/>
  <c r="AA193" i="53"/>
  <c r="AA237" i="53" s="1"/>
  <c r="Y214" i="53"/>
  <c r="Y258" i="53" s="1"/>
  <c r="Y218" i="53"/>
  <c r="Y216" i="53"/>
  <c r="Y215" i="53"/>
  <c r="Y221" i="53"/>
  <c r="Y265" i="53" s="1"/>
  <c r="Y212" i="53"/>
  <c r="Y217" i="53"/>
  <c r="Y220" i="53"/>
  <c r="Y213" i="53"/>
  <c r="Y257" i="53" s="1"/>
  <c r="Y219" i="53"/>
  <c r="W184" i="53"/>
  <c r="W228" i="53" s="1"/>
  <c r="W186" i="53"/>
  <c r="W188" i="53"/>
  <c r="W185" i="53"/>
  <c r="W189" i="53"/>
  <c r="W187" i="53"/>
  <c r="W190" i="53"/>
  <c r="W191" i="53"/>
  <c r="W235" i="53" s="1"/>
  <c r="W182" i="53"/>
  <c r="W183" i="53"/>
  <c r="W227" i="53" s="1"/>
  <c r="AI200" i="53"/>
  <c r="AI197" i="53"/>
  <c r="AI199" i="53"/>
  <c r="AI198" i="53"/>
  <c r="AI201" i="53"/>
  <c r="AI245" i="53" s="1"/>
  <c r="AI195" i="53"/>
  <c r="AI196" i="53"/>
  <c r="AI192" i="53"/>
  <c r="AI193" i="53"/>
  <c r="AI237" i="53" s="1"/>
  <c r="AH319" i="53"/>
  <c r="G352" i="53"/>
  <c r="G387" i="53" s="1"/>
  <c r="G386" i="53"/>
  <c r="AH240" i="53"/>
  <c r="AH339" i="53"/>
  <c r="AH374" i="53" s="1"/>
  <c r="AI253" i="53"/>
  <c r="AI350" i="53"/>
  <c r="AI385" i="53" s="1"/>
  <c r="P378" i="53"/>
  <c r="P344" i="53"/>
  <c r="P379" i="53" s="1"/>
  <c r="AM360" i="53"/>
  <c r="AM395" i="53" s="1"/>
  <c r="AM394" i="53"/>
  <c r="M299" i="53"/>
  <c r="AK355" i="53"/>
  <c r="AK390" i="53" s="1"/>
  <c r="AK260" i="53"/>
  <c r="AM350" i="53"/>
  <c r="AM385" i="53" s="1"/>
  <c r="AM253" i="53"/>
  <c r="M297" i="53"/>
  <c r="AL205" i="53"/>
  <c r="AL209" i="53"/>
  <c r="AL208" i="53"/>
  <c r="AL211" i="53"/>
  <c r="AL255" i="53" s="1"/>
  <c r="AL210" i="53"/>
  <c r="AL207" i="53"/>
  <c r="AL202" i="53"/>
  <c r="AL206" i="53"/>
  <c r="AL203" i="53"/>
  <c r="AL247" i="53" s="1"/>
  <c r="AH244" i="53"/>
  <c r="AH343" i="53"/>
  <c r="AF330" i="53"/>
  <c r="AF365" i="53" s="1"/>
  <c r="AF229" i="53"/>
  <c r="AI251" i="53"/>
  <c r="AI348" i="53"/>
  <c r="AI383" i="53" s="1"/>
  <c r="BD8" i="53"/>
  <c r="G394" i="53"/>
  <c r="G360" i="53"/>
  <c r="G395" i="53" s="1"/>
  <c r="AH350" i="53"/>
  <c r="AH385" i="53" s="1"/>
  <c r="AH253" i="53"/>
  <c r="AG283" i="53"/>
  <c r="AG288" i="53" s="1"/>
  <c r="AG204" i="53" s="1"/>
  <c r="AG248" i="53" s="1"/>
  <c r="AG282" i="53"/>
  <c r="AG287" i="53" s="1"/>
  <c r="AG284" i="53"/>
  <c r="AG289" i="53" s="1"/>
  <c r="AG214" i="53" s="1"/>
  <c r="AG258" i="53" s="1"/>
  <c r="AG281" i="53"/>
  <c r="AG286" i="53" s="1"/>
  <c r="AG184" i="53" s="1"/>
  <c r="AG228" i="53" s="1"/>
  <c r="AF335" i="53"/>
  <c r="AF234" i="53"/>
  <c r="AJ293" i="53"/>
  <c r="AB299" i="53"/>
  <c r="AK338" i="53"/>
  <c r="AK373" i="53" s="1"/>
  <c r="AK239" i="53"/>
  <c r="I321" i="53"/>
  <c r="AF233" i="53"/>
  <c r="AF334" i="53"/>
  <c r="AF369" i="53" s="1"/>
  <c r="AL261" i="53"/>
  <c r="AL356" i="53"/>
  <c r="AL391" i="53" s="1"/>
  <c r="P34" i="52"/>
  <c r="R292" i="53"/>
  <c r="S66" i="11"/>
  <c r="AK250" i="53"/>
  <c r="AK347" i="53"/>
  <c r="AK382" i="53" s="1"/>
  <c r="AK253" i="53"/>
  <c r="AK350" i="53"/>
  <c r="AK385" i="53" s="1"/>
  <c r="AK256" i="53"/>
  <c r="AK353" i="53"/>
  <c r="AK388" i="53" s="1"/>
  <c r="AL102" i="11"/>
  <c r="AK278" i="53"/>
  <c r="AK359" i="53"/>
  <c r="AK264" i="53"/>
  <c r="AM246" i="53"/>
  <c r="AM345" i="53"/>
  <c r="AM380" i="53" s="1"/>
  <c r="AN92" i="11"/>
  <c r="AM234" i="53"/>
  <c r="AM335" i="53"/>
  <c r="AK263" i="53"/>
  <c r="AK358" i="53"/>
  <c r="AK393" i="53" s="1"/>
  <c r="AM230" i="53"/>
  <c r="AM331" i="53"/>
  <c r="AM366" i="53" s="1"/>
  <c r="AM229" i="53"/>
  <c r="AM330" i="53"/>
  <c r="AM365" i="53" s="1"/>
  <c r="AM333" i="53"/>
  <c r="AM368" i="53" s="1"/>
  <c r="AM232" i="53"/>
  <c r="X12" i="53"/>
  <c r="X22" i="53"/>
  <c r="X32" i="53"/>
  <c r="X42" i="53"/>
  <c r="K28" i="53"/>
  <c r="K18" i="53"/>
  <c r="K8" i="53"/>
  <c r="K38" i="53"/>
  <c r="AF359" i="53"/>
  <c r="AF264" i="53"/>
  <c r="AK357" i="53"/>
  <c r="AK392" i="53" s="1"/>
  <c r="AK262" i="53"/>
  <c r="AH336" i="53"/>
  <c r="AH371" i="53" s="1"/>
  <c r="AH370" i="53"/>
  <c r="T281" i="53"/>
  <c r="T286" i="53" s="1"/>
  <c r="T184" i="53" s="1"/>
  <c r="T228" i="53" s="1"/>
  <c r="T284" i="53"/>
  <c r="T289" i="53" s="1"/>
  <c r="T282" i="53"/>
  <c r="T287" i="53" s="1"/>
  <c r="T194" i="53" s="1"/>
  <c r="T238" i="53" s="1"/>
  <c r="T283" i="53"/>
  <c r="T288" i="53" s="1"/>
  <c r="T204" i="53" s="1"/>
  <c r="T248" i="53" s="1"/>
  <c r="AM346" i="53"/>
  <c r="AM381" i="53" s="1"/>
  <c r="AM249" i="53"/>
  <c r="AB292" i="53"/>
  <c r="Z34" i="52"/>
  <c r="AC66" i="11"/>
  <c r="P360" i="53"/>
  <c r="P395" i="53" s="1"/>
  <c r="P394" i="53"/>
  <c r="AF356" i="53"/>
  <c r="AF391" i="53" s="1"/>
  <c r="AF261" i="53"/>
  <c r="AH314" i="53"/>
  <c r="AM254" i="53"/>
  <c r="AM351" i="53"/>
  <c r="AF230" i="53"/>
  <c r="AF331" i="53"/>
  <c r="AF366" i="53" s="1"/>
  <c r="P336" i="53"/>
  <c r="P371" i="53" s="1"/>
  <c r="P370" i="53"/>
  <c r="AL359" i="53"/>
  <c r="AL264" i="53"/>
  <c r="AM332" i="53"/>
  <c r="AM367" i="53" s="1"/>
  <c r="AM231" i="53"/>
  <c r="N251" i="53"/>
  <c r="N348" i="53"/>
  <c r="N383" i="53" s="1"/>
  <c r="S293" i="53"/>
  <c r="AD301" i="53"/>
  <c r="AM334" i="53"/>
  <c r="AM369" i="53" s="1"/>
  <c r="AM233" i="53"/>
  <c r="AK231" i="53"/>
  <c r="AK332" i="53"/>
  <c r="AK367" i="53" s="1"/>
  <c r="AF231" i="53"/>
  <c r="AF332" i="53"/>
  <c r="AF367" i="53" s="1"/>
  <c r="X11" i="53"/>
  <c r="X21" i="53"/>
  <c r="X41" i="53"/>
  <c r="X31" i="53"/>
  <c r="AK354" i="53"/>
  <c r="AK389" i="53" s="1"/>
  <c r="AK259" i="53"/>
  <c r="AM252" i="53"/>
  <c r="AM349" i="53"/>
  <c r="AM384" i="53" s="1"/>
  <c r="AH317" i="53"/>
  <c r="AK341" i="53"/>
  <c r="AK376" i="53" s="1"/>
  <c r="AK242" i="53"/>
  <c r="N246" i="53"/>
  <c r="O92" i="11"/>
  <c r="N345" i="53"/>
  <c r="N380" i="53" s="1"/>
  <c r="G370" i="53"/>
  <c r="G336" i="53"/>
  <c r="G371" i="53" s="1"/>
  <c r="AK330" i="53"/>
  <c r="AK365" i="53" s="1"/>
  <c r="AK229" i="53"/>
  <c r="K30" i="53"/>
  <c r="K20" i="53"/>
  <c r="K10" i="53"/>
  <c r="K40" i="53"/>
  <c r="U283" i="53"/>
  <c r="U288" i="53" s="1"/>
  <c r="U204" i="53" s="1"/>
  <c r="U248" i="53" s="1"/>
  <c r="N350" i="53"/>
  <c r="N385" i="53" s="1"/>
  <c r="N253" i="53"/>
  <c r="AK343" i="53"/>
  <c r="AK244" i="53"/>
  <c r="AK333" i="53"/>
  <c r="AK368" i="53" s="1"/>
  <c r="AK232" i="53"/>
  <c r="L295" i="53"/>
  <c r="AF259" i="53"/>
  <c r="AF354" i="53"/>
  <c r="AF389" i="53" s="1"/>
  <c r="AF232" i="53"/>
  <c r="AF333" i="53"/>
  <c r="AF368" i="53" s="1"/>
  <c r="AL355" i="53"/>
  <c r="AL390" i="53" s="1"/>
  <c r="AL260" i="53"/>
  <c r="N250" i="53"/>
  <c r="N347" i="53"/>
  <c r="N382" i="53" s="1"/>
  <c r="U284" i="53"/>
  <c r="U289" i="53" s="1"/>
  <c r="AH358" i="53"/>
  <c r="AH393" i="53" s="1"/>
  <c r="AH263" i="53"/>
  <c r="AI194" i="53"/>
  <c r="AI238" i="53" s="1"/>
  <c r="AH252" i="53"/>
  <c r="AH349" i="53"/>
  <c r="AH384" i="53" s="1"/>
  <c r="AK340" i="53"/>
  <c r="AK375" i="53" s="1"/>
  <c r="AK241" i="53"/>
  <c r="AK275" i="53"/>
  <c r="AF320" i="53"/>
  <c r="AF319" i="53"/>
  <c r="AF316" i="53"/>
  <c r="AF313" i="53"/>
  <c r="AF329" i="53"/>
  <c r="AF364" i="53" s="1"/>
  <c r="AF226" i="53"/>
  <c r="AF269" i="53"/>
  <c r="AF318" i="53"/>
  <c r="AF314" i="53"/>
  <c r="AG78" i="11"/>
  <c r="AF315" i="53"/>
  <c r="AF317" i="53"/>
  <c r="AL353" i="53"/>
  <c r="AL388" i="53" s="1"/>
  <c r="AL256" i="53"/>
  <c r="AL278" i="53"/>
  <c r="AM102" i="11"/>
  <c r="AK236" i="53"/>
  <c r="AK337" i="53"/>
  <c r="AK372" i="53" s="1"/>
  <c r="AK272" i="53"/>
  <c r="AL84" i="11"/>
  <c r="AK346" i="53"/>
  <c r="AK381" i="53" s="1"/>
  <c r="AK249" i="53"/>
  <c r="AM269" i="53"/>
  <c r="AM319" i="53"/>
  <c r="AM314" i="53"/>
  <c r="AM226" i="53"/>
  <c r="AM320" i="53"/>
  <c r="AM329" i="53"/>
  <c r="AM364" i="53" s="1"/>
  <c r="AM315" i="53"/>
  <c r="AM316" i="53"/>
  <c r="AM318" i="53"/>
  <c r="AM313" i="53"/>
  <c r="AM317" i="53"/>
  <c r="AN78" i="11"/>
  <c r="AK251" i="53"/>
  <c r="AK348" i="53"/>
  <c r="AK383" i="53" s="1"/>
  <c r="H106" i="11"/>
  <c r="AK243" i="53"/>
  <c r="AK342" i="53"/>
  <c r="AK377" i="53" s="1"/>
  <c r="Z294" i="53"/>
  <c r="AF358" i="53"/>
  <c r="AF393" i="53" s="1"/>
  <c r="AF263" i="53"/>
  <c r="AA281" i="53"/>
  <c r="AA286" i="53" s="1"/>
  <c r="AA184" i="53" s="1"/>
  <c r="AA228" i="53" s="1"/>
  <c r="AA194" i="53"/>
  <c r="AA238" i="53" s="1"/>
  <c r="AA283" i="53"/>
  <c r="AA288" i="53" s="1"/>
  <c r="AL262" i="53"/>
  <c r="AL357" i="53"/>
  <c r="AL392" i="53" s="1"/>
  <c r="N349" i="53"/>
  <c r="N384" i="53" s="1"/>
  <c r="N252" i="53"/>
  <c r="AL263" i="53"/>
  <c r="AL358" i="53"/>
  <c r="AL393" i="53" s="1"/>
  <c r="AM275" i="53"/>
  <c r="AK230" i="53"/>
  <c r="AK331" i="53"/>
  <c r="AK366" i="53" s="1"/>
  <c r="F292" i="53"/>
  <c r="D34" i="52"/>
  <c r="G66" i="11"/>
  <c r="G344" i="53"/>
  <c r="G379" i="53" s="1"/>
  <c r="G378" i="53"/>
  <c r="AL354" i="53"/>
  <c r="AL389" i="53" s="1"/>
  <c r="AL259" i="53"/>
  <c r="N351" i="53"/>
  <c r="N254" i="53"/>
  <c r="Y281" i="53"/>
  <c r="Y286" i="53" s="1"/>
  <c r="AK234" i="53"/>
  <c r="AK335" i="53"/>
  <c r="AF355" i="53"/>
  <c r="AF390" i="53" s="1"/>
  <c r="AF260" i="53"/>
  <c r="N249" i="53"/>
  <c r="N346" i="53"/>
  <c r="N381" i="53" s="1"/>
  <c r="AM344" i="53"/>
  <c r="AM379" i="53" s="1"/>
  <c r="AM378" i="53"/>
  <c r="AB298" i="53"/>
  <c r="AK233" i="53"/>
  <c r="AK334" i="53"/>
  <c r="AK369" i="53" s="1"/>
  <c r="AF256" i="53"/>
  <c r="AF353" i="53"/>
  <c r="AF388" i="53" s="1"/>
  <c r="AG102" i="11"/>
  <c r="AF278" i="53"/>
  <c r="AI187" i="53"/>
  <c r="AI190" i="53"/>
  <c r="AI189" i="53"/>
  <c r="AI185" i="53"/>
  <c r="AI182" i="53"/>
  <c r="AI188" i="53"/>
  <c r="AI186" i="53"/>
  <c r="AI191" i="53"/>
  <c r="AI235" i="53" s="1"/>
  <c r="AI183" i="53"/>
  <c r="AI227" i="53" s="1"/>
  <c r="R301" i="53"/>
  <c r="AK254" i="53"/>
  <c r="AK351" i="53"/>
  <c r="AJ299" i="53"/>
  <c r="AF262" i="53"/>
  <c r="AF357" i="53"/>
  <c r="AF392" i="53" s="1"/>
  <c r="AJ296" i="53"/>
  <c r="X34" i="53"/>
  <c r="X14" i="53"/>
  <c r="X24" i="53"/>
  <c r="X44" i="53"/>
  <c r="AN353" i="53"/>
  <c r="AN388" i="53" s="1"/>
  <c r="AN256" i="53"/>
  <c r="AN278" i="53"/>
  <c r="AO102" i="11"/>
  <c r="AF253" i="53"/>
  <c r="AF350" i="53"/>
  <c r="AF385" i="53" s="1"/>
  <c r="AN259" i="53"/>
  <c r="AN354" i="53"/>
  <c r="AN389" i="53" s="1"/>
  <c r="AH355" i="53"/>
  <c r="AH390" i="53" s="1"/>
  <c r="AH260" i="53"/>
  <c r="AF351" i="53"/>
  <c r="AF254" i="53"/>
  <c r="P321" i="53"/>
  <c r="U282" i="53"/>
  <c r="U287" i="53" s="1"/>
  <c r="U194" i="53" s="1"/>
  <c r="U238" i="53" s="1"/>
  <c r="U184" i="53"/>
  <c r="U228" i="53" s="1"/>
  <c r="K39" i="53"/>
  <c r="K19" i="53"/>
  <c r="K29" i="53"/>
  <c r="K9" i="53"/>
  <c r="AN263" i="53"/>
  <c r="AN358" i="53"/>
  <c r="AN393" i="53" s="1"/>
  <c r="BD9" i="53"/>
  <c r="AN194" i="53"/>
  <c r="AN238" i="53" s="1"/>
  <c r="AN200" i="53"/>
  <c r="AN196" i="53"/>
  <c r="AN198" i="53"/>
  <c r="AN201" i="53"/>
  <c r="AN245" i="53" s="1"/>
  <c r="AN197" i="53"/>
  <c r="AN199" i="53"/>
  <c r="AN195" i="53"/>
  <c r="AN192" i="53"/>
  <c r="AN193" i="53"/>
  <c r="AN237" i="53" s="1"/>
  <c r="AI356" i="53"/>
  <c r="AI391" i="53" s="1"/>
  <c r="AI261" i="53"/>
  <c r="I386" i="53"/>
  <c r="I352" i="53"/>
  <c r="I387" i="53" s="1"/>
  <c r="K42" i="53"/>
  <c r="K32" i="53"/>
  <c r="K22" i="53"/>
  <c r="K12" i="53"/>
  <c r="P352" i="53"/>
  <c r="P387" i="53" s="1"/>
  <c r="P386" i="53"/>
  <c r="AN261" i="53"/>
  <c r="AN356" i="53"/>
  <c r="AN391" i="53" s="1"/>
  <c r="AK269" i="53"/>
  <c r="AK329" i="53"/>
  <c r="AK364" i="53" s="1"/>
  <c r="AK318" i="53"/>
  <c r="AK314" i="53"/>
  <c r="AK313" i="53"/>
  <c r="AK319" i="53"/>
  <c r="AK316" i="53"/>
  <c r="AK315" i="53"/>
  <c r="AK226" i="53"/>
  <c r="AK317" i="53"/>
  <c r="AK320" i="53"/>
  <c r="AL78" i="11"/>
  <c r="I370" i="53"/>
  <c r="I336" i="53"/>
  <c r="I371" i="53" s="1"/>
  <c r="AH346" i="53"/>
  <c r="AH381" i="53" s="1"/>
  <c r="AH249" i="53"/>
  <c r="AH342" i="53"/>
  <c r="AH377" i="53" s="1"/>
  <c r="AH243" i="53"/>
  <c r="AH353" i="53"/>
  <c r="AH388" i="53" s="1"/>
  <c r="AH256" i="53"/>
  <c r="AH278" i="53"/>
  <c r="AI102" i="11"/>
  <c r="N193" i="53"/>
  <c r="N237" i="53" s="1"/>
  <c r="N196" i="53"/>
  <c r="N201" i="53"/>
  <c r="N245" i="53" s="1"/>
  <c r="N200" i="53"/>
  <c r="N198" i="53"/>
  <c r="N199" i="53"/>
  <c r="N197" i="53"/>
  <c r="N195" i="53"/>
  <c r="N192" i="53"/>
  <c r="AF346" i="53"/>
  <c r="AF381" i="53" s="1"/>
  <c r="AF249" i="53"/>
  <c r="AI346" i="53"/>
  <c r="AI381" i="53" s="1"/>
  <c r="AI249" i="53"/>
  <c r="AN204" i="53"/>
  <c r="AN248" i="53" s="1"/>
  <c r="AN210" i="53"/>
  <c r="AN206" i="53"/>
  <c r="AN208" i="53"/>
  <c r="AN211" i="53"/>
  <c r="AN255" i="53" s="1"/>
  <c r="AN207" i="53"/>
  <c r="AN209" i="53"/>
  <c r="AN205" i="53"/>
  <c r="AN202" i="53"/>
  <c r="AN203" i="53"/>
  <c r="AN247" i="53" s="1"/>
  <c r="I378" i="53"/>
  <c r="I344" i="53"/>
  <c r="I379" i="53" s="1"/>
  <c r="L296" i="53"/>
  <c r="R296" i="53"/>
  <c r="AK240" i="53"/>
  <c r="AK339" i="53"/>
  <c r="AK374" i="53" s="1"/>
  <c r="AH250" i="53"/>
  <c r="AH347" i="53"/>
  <c r="AH382" i="53" s="1"/>
  <c r="AB301" i="53"/>
  <c r="AH337" i="53"/>
  <c r="AH372" i="53" s="1"/>
  <c r="AH272" i="53"/>
  <c r="AH236" i="53"/>
  <c r="AI84" i="11"/>
  <c r="AH261" i="53"/>
  <c r="AH356" i="53"/>
  <c r="AH391" i="53" s="1"/>
  <c r="AF347" i="53"/>
  <c r="AF382" i="53" s="1"/>
  <c r="AF250" i="53"/>
  <c r="AI349" i="53"/>
  <c r="AI384" i="53" s="1"/>
  <c r="AI252" i="53"/>
  <c r="AF378" i="53"/>
  <c r="AF344" i="53"/>
  <c r="AF379" i="53" s="1"/>
  <c r="AN262" i="53"/>
  <c r="AN357" i="53"/>
  <c r="AN392" i="53" s="1"/>
  <c r="AK252" i="53"/>
  <c r="AK349" i="53"/>
  <c r="AK384" i="53" s="1"/>
  <c r="AH341" i="53"/>
  <c r="AH376" i="53" s="1"/>
  <c r="AH242" i="53"/>
  <c r="AH357" i="53"/>
  <c r="AH392" i="53" s="1"/>
  <c r="AH262" i="53"/>
  <c r="AG92" i="11"/>
  <c r="AF345" i="53"/>
  <c r="AF380" i="53" s="1"/>
  <c r="AF246" i="53"/>
  <c r="AI345" i="53"/>
  <c r="AI380" i="53" s="1"/>
  <c r="AJ92" i="11"/>
  <c r="AI246" i="53"/>
  <c r="AN183" i="53"/>
  <c r="AN227" i="53" s="1"/>
  <c r="AN186" i="53"/>
  <c r="AN191" i="53"/>
  <c r="AN235" i="53" s="1"/>
  <c r="AN187" i="53"/>
  <c r="AN189" i="53"/>
  <c r="AN185" i="53"/>
  <c r="AN188" i="53"/>
  <c r="AN190" i="53"/>
  <c r="AN182" i="53"/>
  <c r="AB296" i="53"/>
  <c r="M295" i="53"/>
  <c r="AN260" i="53"/>
  <c r="AN355" i="53"/>
  <c r="AN390" i="53" s="1"/>
  <c r="X9" i="53"/>
  <c r="X19" i="53"/>
  <c r="X29" i="53"/>
  <c r="X39" i="53"/>
  <c r="AK246" i="53"/>
  <c r="AK345" i="53"/>
  <c r="AK380" i="53" s="1"/>
  <c r="AL92" i="11"/>
  <c r="AH315" i="53"/>
  <c r="AH239" i="53"/>
  <c r="AH338" i="53"/>
  <c r="AH373" i="53" s="1"/>
  <c r="AH354" i="53"/>
  <c r="AH389" i="53" s="1"/>
  <c r="AH259" i="53"/>
  <c r="AF348" i="53"/>
  <c r="AF383" i="53" s="1"/>
  <c r="AF251" i="53"/>
  <c r="AN359" i="53"/>
  <c r="AN264" i="53"/>
  <c r="AH345" i="53"/>
  <c r="AH380" i="53" s="1"/>
  <c r="AI92" i="11"/>
  <c r="AH246" i="53"/>
  <c r="AI184" i="53"/>
  <c r="AI228" i="53" s="1"/>
  <c r="AH241" i="53"/>
  <c r="AH275" i="53"/>
  <c r="AH340" i="53"/>
  <c r="AH375" i="53" s="1"/>
  <c r="AH359" i="53"/>
  <c r="AH264" i="53"/>
  <c r="N186" i="53"/>
  <c r="N188" i="53"/>
  <c r="N190" i="53"/>
  <c r="N191" i="53"/>
  <c r="N235" i="53" s="1"/>
  <c r="N189" i="53"/>
  <c r="N187" i="53"/>
  <c r="N182" i="53"/>
  <c r="N185" i="53"/>
  <c r="N183" i="53"/>
  <c r="N227" i="53" s="1"/>
  <c r="AF252" i="53"/>
  <c r="AF349" i="53"/>
  <c r="AF384" i="53" s="1"/>
  <c r="AI250" i="53"/>
  <c r="AI347" i="53"/>
  <c r="AI382" i="53" s="1"/>
  <c r="AP336" i="53"/>
  <c r="AP371" i="53" s="1"/>
  <c r="AP370" i="53"/>
  <c r="W284" i="53"/>
  <c r="W289" i="53" s="1"/>
  <c r="W214" i="53" s="1"/>
  <c r="W258" i="53" s="1"/>
  <c r="W282" i="53"/>
  <c r="W287" i="53" s="1"/>
  <c r="AH348" i="53"/>
  <c r="AH383" i="53" s="1"/>
  <c r="AH251" i="53"/>
  <c r="AK261" i="53"/>
  <c r="AK356" i="53"/>
  <c r="AK391" i="53" s="1"/>
  <c r="AM250" i="53"/>
  <c r="AM347" i="53"/>
  <c r="AM382" i="53" s="1"/>
  <c r="AH316" i="53"/>
  <c r="AH351" i="53"/>
  <c r="AH254" i="53"/>
  <c r="Y282" i="53"/>
  <c r="Y287" i="53" s="1"/>
  <c r="Y283" i="53"/>
  <c r="Y288" i="53" s="1"/>
  <c r="AM348" i="53"/>
  <c r="AM383" i="53" s="1"/>
  <c r="AM251" i="53"/>
  <c r="AL184" i="53"/>
  <c r="AL228" i="53" s="1"/>
  <c r="AL189" i="53"/>
  <c r="AL185" i="53"/>
  <c r="AL188" i="53"/>
  <c r="AL182" i="53"/>
  <c r="AL186" i="53"/>
  <c r="AL191" i="53"/>
  <c r="AL235" i="53" s="1"/>
  <c r="AL190" i="53"/>
  <c r="AL187" i="53"/>
  <c r="AL183" i="53"/>
  <c r="AL227" i="53" s="1"/>
  <c r="AI254" i="53"/>
  <c r="AI351" i="53"/>
  <c r="X33" i="53"/>
  <c r="X43" i="53"/>
  <c r="X13" i="53"/>
  <c r="X23" i="53"/>
  <c r="AE294" i="53"/>
  <c r="AE66" i="11"/>
  <c r="W283" i="53"/>
  <c r="W288" i="53" s="1"/>
  <c r="W204" i="53" s="1"/>
  <c r="W248" i="53" s="1"/>
  <c r="N358" i="53" l="1"/>
  <c r="N393" i="53" s="1"/>
  <c r="AI263" i="53"/>
  <c r="AI353" i="53"/>
  <c r="AI388" i="53" s="1"/>
  <c r="N356" i="53"/>
  <c r="N391" i="53" s="1"/>
  <c r="X297" i="53"/>
  <c r="AL241" i="53"/>
  <c r="AI354" i="53"/>
  <c r="AI389" i="53" s="1"/>
  <c r="X295" i="53"/>
  <c r="N260" i="53"/>
  <c r="AL244" i="53"/>
  <c r="AI260" i="53"/>
  <c r="K300" i="53"/>
  <c r="N359" i="53"/>
  <c r="N394" i="53" s="1"/>
  <c r="AL236" i="53"/>
  <c r="V34" i="52"/>
  <c r="AI357" i="53"/>
  <c r="AI392" i="53" s="1"/>
  <c r="N354" i="53"/>
  <c r="N389" i="53" s="1"/>
  <c r="AI278" i="53"/>
  <c r="X292" i="53"/>
  <c r="X293" i="53" s="1"/>
  <c r="O298" i="53"/>
  <c r="AJ102" i="11"/>
  <c r="AN106" i="11"/>
  <c r="AL242" i="53"/>
  <c r="K301" i="53"/>
  <c r="N262" i="53"/>
  <c r="N353" i="53"/>
  <c r="N388" i="53" s="1"/>
  <c r="O102" i="11"/>
  <c r="N278" i="53"/>
  <c r="AI264" i="53"/>
  <c r="AL338" i="53"/>
  <c r="AL373" i="53" s="1"/>
  <c r="AL339" i="53"/>
  <c r="AL374" i="53" s="1"/>
  <c r="AL272" i="53"/>
  <c r="O301" i="53"/>
  <c r="O295" i="53"/>
  <c r="AM84" i="11"/>
  <c r="I34" i="52"/>
  <c r="K298" i="53"/>
  <c r="AL243" i="53"/>
  <c r="O299" i="53"/>
  <c r="P66" i="11"/>
  <c r="K292" i="53"/>
  <c r="K293" i="53" s="1"/>
  <c r="O297" i="53"/>
  <c r="O296" i="53"/>
  <c r="O292" i="53"/>
  <c r="O293" i="53" s="1"/>
  <c r="M34" i="52"/>
  <c r="AA212" i="53"/>
  <c r="AA256" i="53" s="1"/>
  <c r="AA219" i="53"/>
  <c r="AA263" i="53" s="1"/>
  <c r="AA216" i="53"/>
  <c r="AA355" i="53" s="1"/>
  <c r="AA390" i="53" s="1"/>
  <c r="O300" i="53"/>
  <c r="K299" i="53"/>
  <c r="AM321" i="53"/>
  <c r="AL106" i="11"/>
  <c r="X296" i="53"/>
  <c r="AA215" i="53"/>
  <c r="AA259" i="53" s="1"/>
  <c r="AA213" i="53"/>
  <c r="AA257" i="53" s="1"/>
  <c r="AA220" i="53"/>
  <c r="AA221" i="53"/>
  <c r="AA265" i="53" s="1"/>
  <c r="AA214" i="53"/>
  <c r="AA258" i="53" s="1"/>
  <c r="AA217" i="53"/>
  <c r="AA356" i="53" s="1"/>
  <c r="AA391" i="53" s="1"/>
  <c r="AI106" i="11"/>
  <c r="AH321" i="53"/>
  <c r="AN347" i="53"/>
  <c r="AN382" i="53" s="1"/>
  <c r="AN250" i="53"/>
  <c r="N236" i="53"/>
  <c r="N337" i="53"/>
  <c r="N372" i="53" s="1"/>
  <c r="N272" i="53"/>
  <c r="O84" i="11"/>
  <c r="AN330" i="53"/>
  <c r="AN365" i="53" s="1"/>
  <c r="AN229" i="53"/>
  <c r="AN231" i="53"/>
  <c r="AN332" i="53"/>
  <c r="AN367" i="53" s="1"/>
  <c r="N339" i="53"/>
  <c r="N374" i="53" s="1"/>
  <c r="N240" i="53"/>
  <c r="AL246" i="53"/>
  <c r="AL345" i="53"/>
  <c r="AL380" i="53" s="1"/>
  <c r="AM92" i="11"/>
  <c r="AI343" i="53"/>
  <c r="AI244" i="53"/>
  <c r="Y354" i="53"/>
  <c r="Y389" i="53" s="1"/>
  <c r="Y259" i="53"/>
  <c r="AK321" i="53"/>
  <c r="U196" i="53"/>
  <c r="U195" i="53"/>
  <c r="U200" i="53"/>
  <c r="U197" i="53"/>
  <c r="U201" i="53"/>
  <c r="U245" i="53" s="1"/>
  <c r="U199" i="53"/>
  <c r="U192" i="53"/>
  <c r="U198" i="53"/>
  <c r="U193" i="53"/>
  <c r="U237" i="53" s="1"/>
  <c r="AA191" i="53"/>
  <c r="AA235" i="53" s="1"/>
  <c r="AA187" i="53"/>
  <c r="AA186" i="53"/>
  <c r="AA188" i="53"/>
  <c r="AA185" i="53"/>
  <c r="AA182" i="53"/>
  <c r="AA189" i="53"/>
  <c r="AA190" i="53"/>
  <c r="AA183" i="53"/>
  <c r="AA227" i="53" s="1"/>
  <c r="AL251" i="53"/>
  <c r="AL348" i="53"/>
  <c r="AL383" i="53" s="1"/>
  <c r="Y260" i="53"/>
  <c r="Y355" i="53"/>
  <c r="Y390" i="53" s="1"/>
  <c r="AH352" i="53"/>
  <c r="AH387" i="53" s="1"/>
  <c r="AH386" i="53"/>
  <c r="AL351" i="53"/>
  <c r="AL254" i="53"/>
  <c r="Y357" i="53"/>
  <c r="Y392" i="53" s="1"/>
  <c r="Y262" i="53"/>
  <c r="T187" i="53"/>
  <c r="T186" i="53"/>
  <c r="T185" i="53"/>
  <c r="T189" i="53"/>
  <c r="T182" i="53"/>
  <c r="T191" i="53"/>
  <c r="T235" i="53" s="1"/>
  <c r="T188" i="53"/>
  <c r="T183" i="53"/>
  <c r="T227" i="53" s="1"/>
  <c r="T190" i="53"/>
  <c r="AG210" i="53"/>
  <c r="AG209" i="53"/>
  <c r="AG205" i="53"/>
  <c r="AG208" i="53"/>
  <c r="AG202" i="53"/>
  <c r="AG206" i="53"/>
  <c r="AG211" i="53"/>
  <c r="AG255" i="53" s="1"/>
  <c r="AG207" i="53"/>
  <c r="AG203" i="53"/>
  <c r="AG247" i="53" s="1"/>
  <c r="N234" i="53"/>
  <c r="N335" i="53"/>
  <c r="AN338" i="53"/>
  <c r="AN373" i="53" s="1"/>
  <c r="AN239" i="53"/>
  <c r="AN241" i="53"/>
  <c r="AN340" i="53"/>
  <c r="AN375" i="53" s="1"/>
  <c r="AN275" i="53"/>
  <c r="AL349" i="53"/>
  <c r="AL384" i="53" s="1"/>
  <c r="AL252" i="53"/>
  <c r="M294" i="53"/>
  <c r="M282" i="53" s="1"/>
  <c r="M287" i="53" s="1"/>
  <c r="AI394" i="53"/>
  <c r="AI360" i="53"/>
  <c r="AI395" i="53" s="1"/>
  <c r="S294" i="53"/>
  <c r="S284" i="53" s="1"/>
  <c r="S289" i="53" s="1"/>
  <c r="S213" i="53" s="1"/>
  <c r="S257" i="53" s="1"/>
  <c r="AN246" i="53"/>
  <c r="AN345" i="53"/>
  <c r="AN380" i="53" s="1"/>
  <c r="AO92" i="11"/>
  <c r="AK386" i="53"/>
  <c r="AK352" i="53"/>
  <c r="AK387" i="53" s="1"/>
  <c r="AL253" i="53"/>
  <c r="AL350" i="53"/>
  <c r="AL385" i="53" s="1"/>
  <c r="AI352" i="53"/>
  <c r="AI387" i="53" s="1"/>
  <c r="AI386" i="53"/>
  <c r="AN230" i="53"/>
  <c r="AN331" i="53"/>
  <c r="AN366" i="53" s="1"/>
  <c r="AM352" i="53"/>
  <c r="AM387" i="53" s="1"/>
  <c r="AM386" i="53"/>
  <c r="AN343" i="53"/>
  <c r="AN244" i="53"/>
  <c r="AL231" i="53"/>
  <c r="AL332" i="53"/>
  <c r="AL367" i="53" s="1"/>
  <c r="N229" i="53"/>
  <c r="N330" i="53"/>
  <c r="N365" i="53" s="1"/>
  <c r="AN394" i="53"/>
  <c r="AN360" i="53"/>
  <c r="AN395" i="53" s="1"/>
  <c r="AN249" i="53"/>
  <c r="AN346" i="53"/>
  <c r="AN381" i="53" s="1"/>
  <c r="AL335" i="53"/>
  <c r="AL234" i="53"/>
  <c r="N329" i="53"/>
  <c r="N364" i="53" s="1"/>
  <c r="N226" i="53"/>
  <c r="N269" i="53"/>
  <c r="O78" i="11"/>
  <c r="N314" i="53"/>
  <c r="N316" i="53"/>
  <c r="N319" i="53"/>
  <c r="N318" i="53"/>
  <c r="N317" i="53"/>
  <c r="N320" i="53"/>
  <c r="N313" i="53"/>
  <c r="N315" i="53"/>
  <c r="AN253" i="53"/>
  <c r="AN350" i="53"/>
  <c r="AN385" i="53" s="1"/>
  <c r="AF386" i="53"/>
  <c r="AF352" i="53"/>
  <c r="AF387" i="53" s="1"/>
  <c r="AK370" i="53"/>
  <c r="AK336" i="53"/>
  <c r="AK371" i="53" s="1"/>
  <c r="U205" i="53"/>
  <c r="U206" i="53"/>
  <c r="U210" i="53"/>
  <c r="U211" i="53"/>
  <c r="U255" i="53" s="1"/>
  <c r="U209" i="53"/>
  <c r="U207" i="53"/>
  <c r="U208" i="53"/>
  <c r="U202" i="53"/>
  <c r="U203" i="53"/>
  <c r="U247" i="53" s="1"/>
  <c r="R293" i="53"/>
  <c r="AL249" i="53"/>
  <c r="AL346" i="53"/>
  <c r="AL381" i="53" s="1"/>
  <c r="AA244" i="53"/>
  <c r="AA343" i="53"/>
  <c r="AN242" i="53"/>
  <c r="AN341" i="53"/>
  <c r="AN376" i="53" s="1"/>
  <c r="N332" i="53"/>
  <c r="N367" i="53" s="1"/>
  <c r="N231" i="53"/>
  <c r="N331" i="53"/>
  <c r="N366" i="53" s="1"/>
  <c r="N230" i="53"/>
  <c r="Y204" i="53"/>
  <c r="Y248" i="53" s="1"/>
  <c r="Y208" i="53"/>
  <c r="Y206" i="53"/>
  <c r="Y210" i="53"/>
  <c r="Y205" i="53"/>
  <c r="Y211" i="53"/>
  <c r="Y255" i="53" s="1"/>
  <c r="Y207" i="53"/>
  <c r="Y202" i="53"/>
  <c r="Y209" i="53"/>
  <c r="Y203" i="53"/>
  <c r="Y247" i="53" s="1"/>
  <c r="AN329" i="53"/>
  <c r="AN364" i="53" s="1"/>
  <c r="AN226" i="53"/>
  <c r="AN269" i="53"/>
  <c r="AN317" i="53"/>
  <c r="AN315" i="53"/>
  <c r="AN319" i="53"/>
  <c r="AN320" i="53"/>
  <c r="AN314" i="53"/>
  <c r="AN316" i="53"/>
  <c r="AN313" i="53"/>
  <c r="AN318" i="53"/>
  <c r="AO78" i="11"/>
  <c r="N343" i="53"/>
  <c r="N244" i="53"/>
  <c r="AN240" i="53"/>
  <c r="AN339" i="53"/>
  <c r="AN374" i="53" s="1"/>
  <c r="AL378" i="53"/>
  <c r="AL344" i="53"/>
  <c r="AL379" i="53" s="1"/>
  <c r="AK344" i="53"/>
  <c r="AK379" i="53" s="1"/>
  <c r="AK378" i="53"/>
  <c r="AN251" i="53"/>
  <c r="AN348" i="53"/>
  <c r="AN383" i="53" s="1"/>
  <c r="Q294" i="53"/>
  <c r="Q283" i="53" s="1"/>
  <c r="Q288" i="53" s="1"/>
  <c r="Q203" i="53" s="1"/>
  <c r="Q247" i="53" s="1"/>
  <c r="L294" i="53"/>
  <c r="L282" i="53" s="1"/>
  <c r="L287" i="53" s="1"/>
  <c r="L196" i="53" s="1"/>
  <c r="Z284" i="53"/>
  <c r="Z289" i="53" s="1"/>
  <c r="Z214" i="53" s="1"/>
  <c r="Z258" i="53" s="1"/>
  <c r="Z283" i="53"/>
  <c r="Z288" i="53" s="1"/>
  <c r="Z281" i="53"/>
  <c r="Z286" i="53" s="1"/>
  <c r="Z282" i="53"/>
  <c r="Z287" i="53" s="1"/>
  <c r="Z194" i="53" s="1"/>
  <c r="Z238" i="53" s="1"/>
  <c r="AA337" i="53"/>
  <c r="AA372" i="53" s="1"/>
  <c r="AA236" i="53"/>
  <c r="AA272" i="53"/>
  <c r="AB84" i="11"/>
  <c r="AL331" i="53"/>
  <c r="AL366" i="53" s="1"/>
  <c r="AL230" i="53"/>
  <c r="N233" i="53"/>
  <c r="N334" i="53"/>
  <c r="N369" i="53" s="1"/>
  <c r="Y184" i="53"/>
  <c r="Y228" i="53" s="1"/>
  <c r="Y188" i="53"/>
  <c r="Y186" i="53"/>
  <c r="Y191" i="53"/>
  <c r="Y235" i="53" s="1"/>
  <c r="Y187" i="53"/>
  <c r="Y182" i="53"/>
  <c r="Y185" i="53"/>
  <c r="Y190" i="53"/>
  <c r="Y189" i="53"/>
  <c r="Y183" i="53"/>
  <c r="Y227" i="53" s="1"/>
  <c r="K297" i="53"/>
  <c r="AA242" i="53"/>
  <c r="AA341" i="53"/>
  <c r="AA376" i="53" s="1"/>
  <c r="AL275" i="53"/>
  <c r="W206" i="53"/>
  <c r="W208" i="53"/>
  <c r="W209" i="53"/>
  <c r="W205" i="53"/>
  <c r="W207" i="53"/>
  <c r="W210" i="53"/>
  <c r="W202" i="53"/>
  <c r="W211" i="53"/>
  <c r="W255" i="53" s="1"/>
  <c r="W203" i="53"/>
  <c r="W247" i="53" s="1"/>
  <c r="AL319" i="53"/>
  <c r="AL329" i="53"/>
  <c r="AL364" i="53" s="1"/>
  <c r="AL269" i="53"/>
  <c r="AL313" i="53"/>
  <c r="AL316" i="53"/>
  <c r="AL314" i="53"/>
  <c r="AL315" i="53"/>
  <c r="AL226" i="53"/>
  <c r="AL317" i="53"/>
  <c r="AL318" i="53"/>
  <c r="AL320" i="53"/>
  <c r="AM78" i="11"/>
  <c r="AN252" i="53"/>
  <c r="AN349" i="53"/>
  <c r="AN384" i="53" s="1"/>
  <c r="K296" i="53"/>
  <c r="X301" i="53"/>
  <c r="L66" i="11"/>
  <c r="AM336" i="53"/>
  <c r="AM371" i="53" s="1"/>
  <c r="AM370" i="53"/>
  <c r="W226" i="53"/>
  <c r="W269" i="53"/>
  <c r="X78" i="11"/>
  <c r="W329" i="53"/>
  <c r="W364" i="53" s="1"/>
  <c r="AA243" i="53"/>
  <c r="AA342" i="53"/>
  <c r="AA377" i="53" s="1"/>
  <c r="AA240" i="53"/>
  <c r="AA339" i="53"/>
  <c r="AA374" i="53" s="1"/>
  <c r="W194" i="53"/>
  <c r="W238" i="53" s="1"/>
  <c r="W196" i="53"/>
  <c r="W198" i="53"/>
  <c r="W195" i="53"/>
  <c r="W197" i="53"/>
  <c r="W199" i="53"/>
  <c r="W200" i="53"/>
  <c r="W201" i="53"/>
  <c r="W245" i="53" s="1"/>
  <c r="W192" i="53"/>
  <c r="W193" i="53"/>
  <c r="W237" i="53" s="1"/>
  <c r="N333" i="53"/>
  <c r="N368" i="53" s="1"/>
  <c r="N232" i="53"/>
  <c r="AN254" i="53"/>
  <c r="AN351" i="53"/>
  <c r="AI232" i="53"/>
  <c r="AI333" i="53"/>
  <c r="AI368" i="53" s="1"/>
  <c r="AA262" i="53"/>
  <c r="AA357" i="53"/>
  <c r="AA392" i="53" s="1"/>
  <c r="AJ294" i="53"/>
  <c r="AJ284" i="53" s="1"/>
  <c r="AJ289" i="53" s="1"/>
  <c r="AJ216" i="53" s="1"/>
  <c r="W335" i="53"/>
  <c r="W234" i="53"/>
  <c r="AA241" i="53"/>
  <c r="AA340" i="53"/>
  <c r="AA375" i="53" s="1"/>
  <c r="Y66" i="11"/>
  <c r="AI320" i="53"/>
  <c r="AI329" i="53"/>
  <c r="AI364" i="53" s="1"/>
  <c r="AI226" i="53"/>
  <c r="AI269" i="53"/>
  <c r="AI319" i="53"/>
  <c r="AI313" i="53"/>
  <c r="AI317" i="53"/>
  <c r="AI318" i="53"/>
  <c r="AI314" i="53"/>
  <c r="AI315" i="53"/>
  <c r="AJ78" i="11"/>
  <c r="AI316" i="53"/>
  <c r="AB293" i="53"/>
  <c r="W332" i="53"/>
  <c r="W367" i="53" s="1"/>
  <c r="W231" i="53"/>
  <c r="X298" i="53"/>
  <c r="AF394" i="53"/>
  <c r="AF360" i="53"/>
  <c r="AF395" i="53" s="1"/>
  <c r="AF336" i="53"/>
  <c r="AF371" i="53" s="1"/>
  <c r="AF370" i="53"/>
  <c r="W233" i="53"/>
  <c r="W334" i="53"/>
  <c r="W369" i="53" s="1"/>
  <c r="AA239" i="53"/>
  <c r="AA338" i="53"/>
  <c r="AA373" i="53" s="1"/>
  <c r="N386" i="53"/>
  <c r="N352" i="53"/>
  <c r="N387" i="53" s="1"/>
  <c r="AI330" i="53"/>
  <c r="AI365" i="53" s="1"/>
  <c r="AI229" i="53"/>
  <c r="AI233" i="53"/>
  <c r="AI334" i="53"/>
  <c r="AI369" i="53" s="1"/>
  <c r="AD294" i="53"/>
  <c r="AD283" i="53" s="1"/>
  <c r="AD288" i="53" s="1"/>
  <c r="W229" i="53"/>
  <c r="W330" i="53"/>
  <c r="W365" i="53" s="1"/>
  <c r="W216" i="53"/>
  <c r="W218" i="53"/>
  <c r="W215" i="53"/>
  <c r="W219" i="53"/>
  <c r="W217" i="53"/>
  <c r="W220" i="53"/>
  <c r="W212" i="53"/>
  <c r="W221" i="53"/>
  <c r="W265" i="53" s="1"/>
  <c r="W213" i="53"/>
  <c r="W257" i="53" s="1"/>
  <c r="AH394" i="53"/>
  <c r="AH360" i="53"/>
  <c r="AH395" i="53" s="1"/>
  <c r="AG106" i="11"/>
  <c r="U213" i="53"/>
  <c r="U257" i="53" s="1"/>
  <c r="U216" i="53"/>
  <c r="U215" i="53"/>
  <c r="U220" i="53"/>
  <c r="U221" i="53"/>
  <c r="U265" i="53" s="1"/>
  <c r="U219" i="53"/>
  <c r="U217" i="53"/>
  <c r="U218" i="53"/>
  <c r="U212" i="53"/>
  <c r="AI234" i="53"/>
  <c r="AI335" i="53"/>
  <c r="K295" i="53"/>
  <c r="AK394" i="53"/>
  <c r="AK360" i="53"/>
  <c r="AK395" i="53" s="1"/>
  <c r="W232" i="53"/>
  <c r="W333" i="53"/>
  <c r="W368" i="53" s="1"/>
  <c r="U329" i="53"/>
  <c r="U364" i="53" s="1"/>
  <c r="U226" i="53"/>
  <c r="U269" i="53"/>
  <c r="V78" i="11"/>
  <c r="W331" i="53"/>
  <c r="W366" i="53" s="1"/>
  <c r="W230" i="53"/>
  <c r="U232" i="53"/>
  <c r="U333" i="53"/>
  <c r="U368" i="53" s="1"/>
  <c r="AL333" i="53"/>
  <c r="AL368" i="53" s="1"/>
  <c r="AL232" i="53"/>
  <c r="AI236" i="53"/>
  <c r="AI337" i="53"/>
  <c r="AI372" i="53" s="1"/>
  <c r="AI272" i="53"/>
  <c r="AJ84" i="11"/>
  <c r="U231" i="53"/>
  <c r="U332" i="53"/>
  <c r="U367" i="53" s="1"/>
  <c r="AL229" i="53"/>
  <c r="AL330" i="53"/>
  <c r="AL365" i="53" s="1"/>
  <c r="AI332" i="53"/>
  <c r="AI367" i="53" s="1"/>
  <c r="AI231" i="53"/>
  <c r="AL394" i="53"/>
  <c r="AL360" i="53"/>
  <c r="AL395" i="53" s="1"/>
  <c r="AI339" i="53"/>
  <c r="AI374" i="53" s="1"/>
  <c r="AI240" i="53"/>
  <c r="Y358" i="53"/>
  <c r="Y393" i="53" s="1"/>
  <c r="Y263" i="53"/>
  <c r="U334" i="53"/>
  <c r="U369" i="53" s="1"/>
  <c r="U233" i="53"/>
  <c r="AI331" i="53"/>
  <c r="AI366" i="53" s="1"/>
  <c r="AI230" i="53"/>
  <c r="AI239" i="53"/>
  <c r="AI338" i="53"/>
  <c r="AI373" i="53" s="1"/>
  <c r="AL334" i="53"/>
  <c r="AL369" i="53" s="1"/>
  <c r="AL233" i="53"/>
  <c r="N239" i="53"/>
  <c r="N338" i="53"/>
  <c r="N373" i="53" s="1"/>
  <c r="AA205" i="53"/>
  <c r="AA207" i="53"/>
  <c r="AA211" i="53"/>
  <c r="AA255" i="53" s="1"/>
  <c r="AA206" i="53"/>
  <c r="AA208" i="53"/>
  <c r="AA209" i="53"/>
  <c r="AA202" i="53"/>
  <c r="AA210" i="53"/>
  <c r="AA203" i="53"/>
  <c r="AA247" i="53" s="1"/>
  <c r="T207" i="53"/>
  <c r="T206" i="53"/>
  <c r="T205" i="53"/>
  <c r="T209" i="53"/>
  <c r="T202" i="53"/>
  <c r="T211" i="53"/>
  <c r="T255" i="53" s="1"/>
  <c r="T208" i="53"/>
  <c r="T203" i="53"/>
  <c r="T247" i="53" s="1"/>
  <c r="T210" i="53"/>
  <c r="AH378" i="53"/>
  <c r="AH344" i="53"/>
  <c r="AH379" i="53" s="1"/>
  <c r="Y359" i="53"/>
  <c r="Y264" i="53"/>
  <c r="U335" i="53"/>
  <c r="U234" i="53"/>
  <c r="N340" i="53"/>
  <c r="N375" i="53" s="1"/>
  <c r="N275" i="53"/>
  <c r="N241" i="53"/>
  <c r="Y194" i="53"/>
  <c r="Y238" i="53" s="1"/>
  <c r="Y198" i="53"/>
  <c r="Y196" i="53"/>
  <c r="Y195" i="53"/>
  <c r="Y192" i="53"/>
  <c r="Y201" i="53"/>
  <c r="Y245" i="53" s="1"/>
  <c r="Y197" i="53"/>
  <c r="Y200" i="53"/>
  <c r="Y199" i="53"/>
  <c r="Y193" i="53"/>
  <c r="Y237" i="53" s="1"/>
  <c r="AN335" i="53"/>
  <c r="AN234" i="53"/>
  <c r="N342" i="53"/>
  <c r="N377" i="53" s="1"/>
  <c r="N243" i="53"/>
  <c r="AF321" i="53"/>
  <c r="AE282" i="53"/>
  <c r="AE287" i="53" s="1"/>
  <c r="AE194" i="53" s="1"/>
  <c r="AE238" i="53" s="1"/>
  <c r="AE284" i="53"/>
  <c r="AE289" i="53" s="1"/>
  <c r="AE283" i="53"/>
  <c r="AE288" i="53" s="1"/>
  <c r="AE204" i="53" s="1"/>
  <c r="AE248" i="53" s="1"/>
  <c r="AE281" i="53"/>
  <c r="AE286" i="53" s="1"/>
  <c r="AE184" i="53" s="1"/>
  <c r="AE228" i="53" s="1"/>
  <c r="AN232" i="53"/>
  <c r="AN333" i="53"/>
  <c r="AN368" i="53" s="1"/>
  <c r="N341" i="53"/>
  <c r="N376" i="53" s="1"/>
  <c r="N242" i="53"/>
  <c r="AN337" i="53"/>
  <c r="AN372" i="53" s="1"/>
  <c r="AN236" i="53"/>
  <c r="AO84" i="11"/>
  <c r="AN272" i="53"/>
  <c r="AA204" i="53"/>
  <c r="AA248" i="53" s="1"/>
  <c r="T197" i="53"/>
  <c r="T196" i="53"/>
  <c r="T195" i="53"/>
  <c r="T199" i="53"/>
  <c r="T192" i="53"/>
  <c r="T201" i="53"/>
  <c r="T245" i="53" s="1"/>
  <c r="T198" i="53"/>
  <c r="T193" i="53"/>
  <c r="T237" i="53" s="1"/>
  <c r="T200" i="53"/>
  <c r="X299" i="53"/>
  <c r="AG183" i="53"/>
  <c r="AG227" i="53" s="1"/>
  <c r="AG190" i="53"/>
  <c r="AG189" i="53"/>
  <c r="AG182" i="53"/>
  <c r="AG185" i="53"/>
  <c r="AG188" i="53"/>
  <c r="AG186" i="53"/>
  <c r="AG187" i="53"/>
  <c r="AG191" i="53"/>
  <c r="AG235" i="53" s="1"/>
  <c r="AI341" i="53"/>
  <c r="AI376" i="53" s="1"/>
  <c r="AI242" i="53"/>
  <c r="Y261" i="53"/>
  <c r="Y356" i="53"/>
  <c r="Y391" i="53" s="1"/>
  <c r="U229" i="53"/>
  <c r="U330" i="53"/>
  <c r="U365" i="53" s="1"/>
  <c r="T215" i="53"/>
  <c r="T217" i="53"/>
  <c r="T216" i="53"/>
  <c r="T219" i="53"/>
  <c r="T212" i="53"/>
  <c r="T221" i="53"/>
  <c r="T265" i="53" s="1"/>
  <c r="T218" i="53"/>
  <c r="T220" i="53"/>
  <c r="T213" i="53"/>
  <c r="T257" i="53" s="1"/>
  <c r="AG219" i="53"/>
  <c r="AG220" i="53"/>
  <c r="AG221" i="53"/>
  <c r="AG265" i="53" s="1"/>
  <c r="AG215" i="53"/>
  <c r="AG218" i="53"/>
  <c r="AG212" i="53"/>
  <c r="AG216" i="53"/>
  <c r="AG217" i="53"/>
  <c r="AG213" i="53"/>
  <c r="AG257" i="53" s="1"/>
  <c r="AI243" i="53"/>
  <c r="AI342" i="53"/>
  <c r="AI377" i="53" s="1"/>
  <c r="Y353" i="53"/>
  <c r="Y388" i="53" s="1"/>
  <c r="Y256" i="53"/>
  <c r="Y278" i="53"/>
  <c r="Z102" i="11"/>
  <c r="U230" i="53"/>
  <c r="U331" i="53"/>
  <c r="U366" i="53" s="1"/>
  <c r="X300" i="53"/>
  <c r="AN334" i="53"/>
  <c r="AN369" i="53" s="1"/>
  <c r="AN233" i="53"/>
  <c r="AN243" i="53"/>
  <c r="AN342" i="53"/>
  <c r="AN377" i="53" s="1"/>
  <c r="U214" i="53"/>
  <c r="U258" i="53" s="1"/>
  <c r="F293" i="53"/>
  <c r="T214" i="53"/>
  <c r="T258" i="53" s="1"/>
  <c r="AG194" i="53"/>
  <c r="AG238" i="53" s="1"/>
  <c r="AG200" i="53"/>
  <c r="AG199" i="53"/>
  <c r="AG192" i="53"/>
  <c r="AG201" i="53"/>
  <c r="AG245" i="53" s="1"/>
  <c r="AG196" i="53"/>
  <c r="AG195" i="53"/>
  <c r="AG198" i="53"/>
  <c r="AG197" i="53"/>
  <c r="AG193" i="53"/>
  <c r="AG237" i="53" s="1"/>
  <c r="AL250" i="53"/>
  <c r="AL347" i="53"/>
  <c r="AL382" i="53" s="1"/>
  <c r="AI241" i="53"/>
  <c r="AI275" i="53"/>
  <c r="AI340" i="53"/>
  <c r="AI375" i="53" s="1"/>
  <c r="N360" i="53" l="1"/>
  <c r="N395" i="53" s="1"/>
  <c r="AM106" i="11"/>
  <c r="S282" i="53"/>
  <c r="S287" i="53" s="1"/>
  <c r="S193" i="53" s="1"/>
  <c r="S237" i="53" s="1"/>
  <c r="AA353" i="53"/>
  <c r="AA388" i="53" s="1"/>
  <c r="AA358" i="53"/>
  <c r="AA393" i="53" s="1"/>
  <c r="AA261" i="53"/>
  <c r="AA260" i="53"/>
  <c r="AA354" i="53"/>
  <c r="AA389" i="53" s="1"/>
  <c r="U316" i="53"/>
  <c r="W320" i="53"/>
  <c r="AD282" i="53"/>
  <c r="AD287" i="53" s="1"/>
  <c r="AD198" i="53" s="1"/>
  <c r="AJ282" i="53"/>
  <c r="AJ287" i="53" s="1"/>
  <c r="AJ193" i="53" s="1"/>
  <c r="AJ237" i="53" s="1"/>
  <c r="O106" i="11"/>
  <c r="AA359" i="53"/>
  <c r="AA264" i="53"/>
  <c r="M283" i="53"/>
  <c r="M288" i="53" s="1"/>
  <c r="M206" i="53" s="1"/>
  <c r="AA278" i="53"/>
  <c r="AA275" i="53"/>
  <c r="AB102" i="11"/>
  <c r="M200" i="53"/>
  <c r="M201" i="53"/>
  <c r="M245" i="53" s="1"/>
  <c r="M198" i="53"/>
  <c r="M196" i="53"/>
  <c r="M192" i="53"/>
  <c r="M197" i="53"/>
  <c r="M193" i="53"/>
  <c r="M237" i="53" s="1"/>
  <c r="M199" i="53"/>
  <c r="M195" i="53"/>
  <c r="AD204" i="53"/>
  <c r="AD248" i="53" s="1"/>
  <c r="AD209" i="53"/>
  <c r="AD205" i="53"/>
  <c r="AD207" i="53"/>
  <c r="AD208" i="53"/>
  <c r="AD210" i="53"/>
  <c r="AD202" i="53"/>
  <c r="AD206" i="53"/>
  <c r="AD203" i="53"/>
  <c r="AD247" i="53" s="1"/>
  <c r="AD211" i="53"/>
  <c r="AD255" i="53" s="1"/>
  <c r="AJ355" i="53"/>
  <c r="AJ390" i="53" s="1"/>
  <c r="AJ260" i="53"/>
  <c r="X294" i="53"/>
  <c r="X284" i="53" s="1"/>
  <c r="X289" i="53" s="1"/>
  <c r="Y249" i="53"/>
  <c r="Y346" i="53"/>
  <c r="Y381" i="53" s="1"/>
  <c r="AG244" i="53"/>
  <c r="AG343" i="53"/>
  <c r="U336" i="53"/>
  <c r="U371" i="53" s="1"/>
  <c r="U370" i="53"/>
  <c r="AG353" i="53"/>
  <c r="AG388" i="53" s="1"/>
  <c r="AG256" i="53"/>
  <c r="AH102" i="11"/>
  <c r="AG278" i="53"/>
  <c r="AG333" i="53"/>
  <c r="AG368" i="53" s="1"/>
  <c r="AG232" i="53"/>
  <c r="Y340" i="53"/>
  <c r="Y375" i="53" s="1"/>
  <c r="Y241" i="53"/>
  <c r="Y275" i="53"/>
  <c r="T351" i="53"/>
  <c r="T254" i="53"/>
  <c r="U315" i="53"/>
  <c r="W356" i="53"/>
  <c r="W391" i="53" s="1"/>
  <c r="W261" i="53"/>
  <c r="W317" i="53"/>
  <c r="Y335" i="53"/>
  <c r="Y234" i="53"/>
  <c r="AO106" i="11"/>
  <c r="U250" i="53"/>
  <c r="U347" i="53"/>
  <c r="U382" i="53" s="1"/>
  <c r="N336" i="53"/>
  <c r="N371" i="53" s="1"/>
  <c r="N370" i="53"/>
  <c r="T332" i="53"/>
  <c r="T367" i="53" s="1"/>
  <c r="T231" i="53"/>
  <c r="AA330" i="53"/>
  <c r="AA365" i="53" s="1"/>
  <c r="AA229" i="53"/>
  <c r="T337" i="53"/>
  <c r="T372" i="53" s="1"/>
  <c r="U84" i="11"/>
  <c r="T272" i="53"/>
  <c r="T236" i="53"/>
  <c r="L240" i="53"/>
  <c r="L339" i="53"/>
  <c r="L374" i="53" s="1"/>
  <c r="Y229" i="53"/>
  <c r="Y330" i="53"/>
  <c r="Y365" i="53" s="1"/>
  <c r="AG342" i="53"/>
  <c r="AG377" i="53" s="1"/>
  <c r="AG243" i="53"/>
  <c r="W249" i="53"/>
  <c r="W346" i="53"/>
  <c r="W381" i="53" s="1"/>
  <c r="R294" i="53"/>
  <c r="R284" i="53" s="1"/>
  <c r="R289" i="53" s="1"/>
  <c r="AA349" i="53"/>
  <c r="AA384" i="53" s="1"/>
  <c r="AA252" i="53"/>
  <c r="AB294" i="53"/>
  <c r="AB282" i="53" s="1"/>
  <c r="AB287" i="53" s="1"/>
  <c r="AN321" i="53"/>
  <c r="AA230" i="53"/>
  <c r="AA331" i="53"/>
  <c r="AA366" i="53" s="1"/>
  <c r="AE213" i="53"/>
  <c r="AE257" i="53" s="1"/>
  <c r="AE221" i="53"/>
  <c r="AE265" i="53" s="1"/>
  <c r="AE217" i="53"/>
  <c r="AE212" i="53"/>
  <c r="AE216" i="53"/>
  <c r="AE215" i="53"/>
  <c r="AE219" i="53"/>
  <c r="AE218" i="53"/>
  <c r="AE220" i="53"/>
  <c r="U249" i="53"/>
  <c r="U346" i="53"/>
  <c r="U381" i="53" s="1"/>
  <c r="AL370" i="53"/>
  <c r="AL336" i="53"/>
  <c r="AL371" i="53" s="1"/>
  <c r="AG329" i="53"/>
  <c r="AG364" i="53" s="1"/>
  <c r="AH78" i="11"/>
  <c r="AG313" i="53"/>
  <c r="AG319" i="53"/>
  <c r="AG269" i="53"/>
  <c r="AG317" i="53"/>
  <c r="AG314" i="53"/>
  <c r="AG318" i="53"/>
  <c r="AG315" i="53"/>
  <c r="AG226" i="53"/>
  <c r="AG320" i="53"/>
  <c r="AG316" i="53"/>
  <c r="Y337" i="53"/>
  <c r="Y372" i="53" s="1"/>
  <c r="Z84" i="11"/>
  <c r="Y272" i="53"/>
  <c r="Y236" i="53"/>
  <c r="U357" i="53"/>
  <c r="U392" i="53" s="1"/>
  <c r="U262" i="53"/>
  <c r="AL321" i="53"/>
  <c r="AG264" i="53"/>
  <c r="AG359" i="53"/>
  <c r="AG234" i="53"/>
  <c r="AG335" i="53"/>
  <c r="Y339" i="53"/>
  <c r="Y374" i="53" s="1"/>
  <c r="Y240" i="53"/>
  <c r="U319" i="53"/>
  <c r="W342" i="53"/>
  <c r="W377" i="53" s="1"/>
  <c r="W243" i="53"/>
  <c r="Y230" i="53"/>
  <c r="Y331" i="53"/>
  <c r="Y366" i="53" s="1"/>
  <c r="L281" i="53"/>
  <c r="L286" i="53" s="1"/>
  <c r="L184" i="53" s="1"/>
  <c r="L228" i="53" s="1"/>
  <c r="L194" i="53"/>
  <c r="L238" i="53" s="1"/>
  <c r="L284" i="53"/>
  <c r="L289" i="53" s="1"/>
  <c r="AG250" i="53"/>
  <c r="AG347" i="53"/>
  <c r="AG382" i="53" s="1"/>
  <c r="AG357" i="53"/>
  <c r="AG392" i="53" s="1"/>
  <c r="AG262" i="53"/>
  <c r="U256" i="53"/>
  <c r="U353" i="53"/>
  <c r="U388" i="53" s="1"/>
  <c r="V102" i="11"/>
  <c r="U278" i="53"/>
  <c r="W263" i="53"/>
  <c r="W358" i="53"/>
  <c r="W393" i="53" s="1"/>
  <c r="W316" i="53"/>
  <c r="Z217" i="53"/>
  <c r="Z220" i="53"/>
  <c r="Z215" i="53"/>
  <c r="Z221" i="53"/>
  <c r="Z265" i="53" s="1"/>
  <c r="Z212" i="53"/>
  <c r="Z218" i="53"/>
  <c r="Z216" i="53"/>
  <c r="Z219" i="53"/>
  <c r="Z213" i="53"/>
  <c r="Z257" i="53" s="1"/>
  <c r="AG233" i="53"/>
  <c r="AG334" i="53"/>
  <c r="AG369" i="53" s="1"/>
  <c r="U314" i="53"/>
  <c r="F294" i="53"/>
  <c r="F283" i="53" s="1"/>
  <c r="F288" i="53" s="1"/>
  <c r="T346" i="53"/>
  <c r="T381" i="53" s="1"/>
  <c r="T249" i="53"/>
  <c r="U264" i="53"/>
  <c r="U359" i="53"/>
  <c r="W241" i="53"/>
  <c r="W340" i="53"/>
  <c r="W375" i="53" s="1"/>
  <c r="W275" i="53"/>
  <c r="Y333" i="53"/>
  <c r="Y368" i="53" s="1"/>
  <c r="Y232" i="53"/>
  <c r="AA378" i="53"/>
  <c r="AA344" i="53"/>
  <c r="AA379" i="53" s="1"/>
  <c r="AG345" i="53"/>
  <c r="AG380" i="53" s="1"/>
  <c r="AG246" i="53"/>
  <c r="AH92" i="11"/>
  <c r="U242" i="53"/>
  <c r="U341" i="53"/>
  <c r="U376" i="53" s="1"/>
  <c r="T243" i="53"/>
  <c r="T342" i="53"/>
  <c r="T377" i="53" s="1"/>
  <c r="AI321" i="53"/>
  <c r="W337" i="53"/>
  <c r="W372" i="53" s="1"/>
  <c r="W236" i="53"/>
  <c r="X84" i="11"/>
  <c r="W272" i="53"/>
  <c r="AG358" i="53"/>
  <c r="AG393" i="53" s="1"/>
  <c r="AG263" i="53"/>
  <c r="Y242" i="53"/>
  <c r="Y341" i="53"/>
  <c r="Y376" i="53" s="1"/>
  <c r="T350" i="53"/>
  <c r="T385" i="53" s="1"/>
  <c r="T253" i="53"/>
  <c r="T264" i="53"/>
  <c r="T359" i="53"/>
  <c r="AE214" i="53"/>
  <c r="AE258" i="53" s="1"/>
  <c r="T250" i="53"/>
  <c r="T347" i="53"/>
  <c r="T382" i="53" s="1"/>
  <c r="U259" i="53"/>
  <c r="U354" i="53"/>
  <c r="U389" i="53" s="1"/>
  <c r="W338" i="53"/>
  <c r="W373" i="53" s="1"/>
  <c r="W239" i="53"/>
  <c r="S283" i="53"/>
  <c r="S288" i="53" s="1"/>
  <c r="S204" i="53" s="1"/>
  <c r="S248" i="53" s="1"/>
  <c r="S214" i="53"/>
  <c r="S258" i="53" s="1"/>
  <c r="S281" i="53"/>
  <c r="S286" i="53" s="1"/>
  <c r="AG349" i="53"/>
  <c r="AG384" i="53" s="1"/>
  <c r="AG252" i="53"/>
  <c r="U337" i="53"/>
  <c r="U372" i="53" s="1"/>
  <c r="U272" i="53"/>
  <c r="V84" i="11"/>
  <c r="U236" i="53"/>
  <c r="AG229" i="53"/>
  <c r="AG330" i="53"/>
  <c r="AG365" i="53" s="1"/>
  <c r="Y329" i="53"/>
  <c r="Y364" i="53" s="1"/>
  <c r="Y320" i="53"/>
  <c r="Y315" i="53"/>
  <c r="Y313" i="53"/>
  <c r="Z78" i="11"/>
  <c r="Y269" i="53"/>
  <c r="Y226" i="53"/>
  <c r="Y316" i="53"/>
  <c r="Y318" i="53"/>
  <c r="Y317" i="53"/>
  <c r="Y314" i="53"/>
  <c r="Y319" i="53"/>
  <c r="AE211" i="53"/>
  <c r="AE255" i="53" s="1"/>
  <c r="AE207" i="53"/>
  <c r="AE202" i="53"/>
  <c r="AE205" i="53"/>
  <c r="AE209" i="53"/>
  <c r="AE208" i="53"/>
  <c r="AE206" i="53"/>
  <c r="AE210" i="53"/>
  <c r="AE203" i="53"/>
  <c r="AE247" i="53" s="1"/>
  <c r="Y338" i="53"/>
  <c r="Y373" i="53" s="1"/>
  <c r="Y239" i="53"/>
  <c r="U356" i="53"/>
  <c r="U391" i="53" s="1"/>
  <c r="U261" i="53"/>
  <c r="W262" i="53"/>
  <c r="W357" i="53"/>
  <c r="W392" i="53" s="1"/>
  <c r="W315" i="53"/>
  <c r="AL386" i="53"/>
  <c r="AL352" i="53"/>
  <c r="AL387" i="53" s="1"/>
  <c r="T357" i="53"/>
  <c r="T392" i="53" s="1"/>
  <c r="T262" i="53"/>
  <c r="T343" i="53"/>
  <c r="T244" i="53"/>
  <c r="T251" i="53"/>
  <c r="T348" i="53"/>
  <c r="T383" i="53" s="1"/>
  <c r="U355" i="53"/>
  <c r="U390" i="53" s="1"/>
  <c r="U260" i="53"/>
  <c r="W242" i="53"/>
  <c r="W341" i="53"/>
  <c r="W376" i="53" s="1"/>
  <c r="AG346" i="53"/>
  <c r="AG381" i="53" s="1"/>
  <c r="AG249" i="53"/>
  <c r="U243" i="53"/>
  <c r="U342" i="53"/>
  <c r="U377" i="53" s="1"/>
  <c r="AA232" i="53"/>
  <c r="AA333" i="53"/>
  <c r="AA368" i="53" s="1"/>
  <c r="W314" i="53"/>
  <c r="AG348" i="53"/>
  <c r="AG383" i="53" s="1"/>
  <c r="AG251" i="53"/>
  <c r="W260" i="53"/>
  <c r="W355" i="53"/>
  <c r="W390" i="53" s="1"/>
  <c r="W343" i="53"/>
  <c r="W244" i="53"/>
  <c r="AE201" i="53"/>
  <c r="AE245" i="53" s="1"/>
  <c r="AE192" i="53"/>
  <c r="AE195" i="53"/>
  <c r="AE199" i="53"/>
  <c r="AE198" i="53"/>
  <c r="AE197" i="53"/>
  <c r="AE200" i="53"/>
  <c r="AE196" i="53"/>
  <c r="AE193" i="53"/>
  <c r="AE237" i="53" s="1"/>
  <c r="W339" i="53"/>
  <c r="W374" i="53" s="1"/>
  <c r="W240" i="53"/>
  <c r="W345" i="53"/>
  <c r="W380" i="53" s="1"/>
  <c r="X92" i="11"/>
  <c r="W246" i="53"/>
  <c r="Q282" i="53"/>
  <c r="Q287" i="53" s="1"/>
  <c r="Q194" i="53" s="1"/>
  <c r="Q238" i="53" s="1"/>
  <c r="Q204" i="53"/>
  <c r="Q248" i="53" s="1"/>
  <c r="Q284" i="53"/>
  <c r="Q289" i="53" s="1"/>
  <c r="Q214" i="53" s="1"/>
  <c r="Q258" i="53" s="1"/>
  <c r="Q281" i="53"/>
  <c r="Q286" i="53" s="1"/>
  <c r="N321" i="53"/>
  <c r="AG350" i="53"/>
  <c r="AG385" i="53" s="1"/>
  <c r="AG253" i="53"/>
  <c r="AG259" i="53"/>
  <c r="AG354" i="53"/>
  <c r="AG389" i="53" s="1"/>
  <c r="T349" i="53"/>
  <c r="T384" i="53" s="1"/>
  <c r="T252" i="53"/>
  <c r="W354" i="53"/>
  <c r="W389" i="53" s="1"/>
  <c r="W259" i="53"/>
  <c r="AA231" i="53"/>
  <c r="AA332" i="53"/>
  <c r="AA367" i="53" s="1"/>
  <c r="T246" i="53"/>
  <c r="U92" i="11"/>
  <c r="T345" i="53"/>
  <c r="T380" i="53" s="1"/>
  <c r="U263" i="53"/>
  <c r="U358" i="53"/>
  <c r="U393" i="53" s="1"/>
  <c r="T256" i="53"/>
  <c r="T353" i="53"/>
  <c r="T388" i="53" s="1"/>
  <c r="T278" i="53"/>
  <c r="U102" i="11"/>
  <c r="T341" i="53"/>
  <c r="T376" i="53" s="1"/>
  <c r="T242" i="53"/>
  <c r="K294" i="53"/>
  <c r="K281" i="53" s="1"/>
  <c r="K286" i="53" s="1"/>
  <c r="W254" i="53"/>
  <c r="W351" i="53"/>
  <c r="M284" i="53"/>
  <c r="M289" i="53" s="1"/>
  <c r="M214" i="53" s="1"/>
  <c r="M258" i="53" s="1"/>
  <c r="AG254" i="53"/>
  <c r="AG351" i="53"/>
  <c r="U241" i="53"/>
  <c r="U340" i="53"/>
  <c r="U375" i="53" s="1"/>
  <c r="U275" i="53"/>
  <c r="AE191" i="53"/>
  <c r="AE235" i="53" s="1"/>
  <c r="AE186" i="53"/>
  <c r="AE187" i="53"/>
  <c r="AE185" i="53"/>
  <c r="AE182" i="53"/>
  <c r="AE189" i="53"/>
  <c r="AE190" i="53"/>
  <c r="AE188" i="53"/>
  <c r="AE183" i="53"/>
  <c r="AE227" i="53" s="1"/>
  <c r="Y231" i="53"/>
  <c r="Y332" i="53"/>
  <c r="Y367" i="53" s="1"/>
  <c r="AG241" i="53"/>
  <c r="AG340" i="53"/>
  <c r="AG375" i="53" s="1"/>
  <c r="AG275" i="53"/>
  <c r="T358" i="53"/>
  <c r="T393" i="53" s="1"/>
  <c r="T263" i="53"/>
  <c r="AI370" i="53"/>
  <c r="AI336" i="53"/>
  <c r="AI371" i="53" s="1"/>
  <c r="W251" i="53"/>
  <c r="W348" i="53"/>
  <c r="W383" i="53" s="1"/>
  <c r="U244" i="53"/>
  <c r="U343" i="53"/>
  <c r="U239" i="53"/>
  <c r="U338" i="53"/>
  <c r="U373" i="53" s="1"/>
  <c r="W350" i="53"/>
  <c r="W385" i="53" s="1"/>
  <c r="W253" i="53"/>
  <c r="Y253" i="53"/>
  <c r="Y350" i="53"/>
  <c r="Y385" i="53" s="1"/>
  <c r="AG239" i="53"/>
  <c r="AG338" i="53"/>
  <c r="AG373" i="53" s="1"/>
  <c r="AN344" i="53"/>
  <c r="AN379" i="53" s="1"/>
  <c r="AN378" i="53"/>
  <c r="U339" i="53"/>
  <c r="U374" i="53" s="1"/>
  <c r="U240" i="53"/>
  <c r="AG240" i="53"/>
  <c r="AG339" i="53"/>
  <c r="AG374" i="53" s="1"/>
  <c r="T259" i="53"/>
  <c r="T354" i="53"/>
  <c r="T389" i="53" s="1"/>
  <c r="T338" i="53"/>
  <c r="T373" i="53" s="1"/>
  <c r="T239" i="53"/>
  <c r="AA351" i="53"/>
  <c r="AA254" i="53"/>
  <c r="AD281" i="53"/>
  <c r="AD286" i="53" s="1"/>
  <c r="W349" i="53"/>
  <c r="W384" i="53" s="1"/>
  <c r="W252" i="53"/>
  <c r="Y246" i="53"/>
  <c r="Y345" i="53"/>
  <c r="Y380" i="53" s="1"/>
  <c r="Z92" i="11"/>
  <c r="T339" i="53"/>
  <c r="T374" i="53" s="1"/>
  <c r="T240" i="53"/>
  <c r="AA246" i="53"/>
  <c r="AB92" i="11"/>
  <c r="AA345" i="53"/>
  <c r="AA380" i="53" s="1"/>
  <c r="W347" i="53"/>
  <c r="W382" i="53" s="1"/>
  <c r="W250" i="53"/>
  <c r="Y251" i="53"/>
  <c r="Y348" i="53"/>
  <c r="Y383" i="53" s="1"/>
  <c r="M194" i="53"/>
  <c r="M238" i="53" s="1"/>
  <c r="M281" i="53"/>
  <c r="M286" i="53" s="1"/>
  <c r="L283" i="53"/>
  <c r="L288" i="53" s="1"/>
  <c r="L204" i="53" s="1"/>
  <c r="L248" i="53" s="1"/>
  <c r="T234" i="53"/>
  <c r="T335" i="53"/>
  <c r="Q211" i="53"/>
  <c r="Q255" i="53" s="1"/>
  <c r="Q205" i="53"/>
  <c r="Q207" i="53"/>
  <c r="Q209" i="53"/>
  <c r="Q208" i="53"/>
  <c r="Q210" i="53"/>
  <c r="Q206" i="53"/>
  <c r="Q202" i="53"/>
  <c r="AA350" i="53"/>
  <c r="AA385" i="53" s="1"/>
  <c r="AA253" i="53"/>
  <c r="AJ219" i="53"/>
  <c r="AJ220" i="53"/>
  <c r="AJ218" i="53"/>
  <c r="AJ221" i="53"/>
  <c r="AJ265" i="53" s="1"/>
  <c r="AJ215" i="53"/>
  <c r="AJ212" i="53"/>
  <c r="AJ217" i="53"/>
  <c r="T333" i="53"/>
  <c r="T368" i="53" s="1"/>
  <c r="T232" i="53"/>
  <c r="AG341" i="53"/>
  <c r="AG376" i="53" s="1"/>
  <c r="AG242" i="53"/>
  <c r="U320" i="53"/>
  <c r="U349" i="53"/>
  <c r="U384" i="53" s="1"/>
  <c r="U252" i="53"/>
  <c r="AN370" i="53"/>
  <c r="AN336" i="53"/>
  <c r="AN371" i="53" s="1"/>
  <c r="T355" i="53"/>
  <c r="T390" i="53" s="1"/>
  <c r="T260" i="53"/>
  <c r="W336" i="53"/>
  <c r="W371" i="53" s="1"/>
  <c r="W370" i="53"/>
  <c r="AG337" i="53"/>
  <c r="AG372" i="53" s="1"/>
  <c r="AG236" i="53"/>
  <c r="AH84" i="11"/>
  <c r="AG272" i="53"/>
  <c r="O294" i="53"/>
  <c r="O283" i="53" s="1"/>
  <c r="O288" i="53" s="1"/>
  <c r="O203" i="53" s="1"/>
  <c r="O247" i="53" s="1"/>
  <c r="U317" i="53"/>
  <c r="U313" i="53"/>
  <c r="AJ106" i="11"/>
  <c r="AN386" i="53"/>
  <c r="AN352" i="53"/>
  <c r="AN387" i="53" s="1"/>
  <c r="W318" i="53"/>
  <c r="Z193" i="53"/>
  <c r="Z237" i="53" s="1"/>
  <c r="Z197" i="53"/>
  <c r="Z200" i="53"/>
  <c r="Z195" i="53"/>
  <c r="Z201" i="53"/>
  <c r="Z245" i="53" s="1"/>
  <c r="Z192" i="53"/>
  <c r="Z196" i="53"/>
  <c r="Z198" i="53"/>
  <c r="Z199" i="53"/>
  <c r="U350" i="53"/>
  <c r="U385" i="53" s="1"/>
  <c r="U253" i="53"/>
  <c r="T334" i="53"/>
  <c r="T369" i="53" s="1"/>
  <c r="T233" i="53"/>
  <c r="AA335" i="53"/>
  <c r="AA234" i="53"/>
  <c r="AD284" i="53"/>
  <c r="AD289" i="53" s="1"/>
  <c r="T241" i="53"/>
  <c r="T340" i="53"/>
  <c r="T375" i="53" s="1"/>
  <c r="T275" i="53"/>
  <c r="AA347" i="53"/>
  <c r="AA382" i="53" s="1"/>
  <c r="AA250" i="53"/>
  <c r="Y351" i="53"/>
  <c r="Y254" i="53"/>
  <c r="U246" i="53"/>
  <c r="U345" i="53"/>
  <c r="U380" i="53" s="1"/>
  <c r="V92" i="11"/>
  <c r="AI344" i="53"/>
  <c r="AI379" i="53" s="1"/>
  <c r="AI378" i="53"/>
  <c r="AA348" i="53"/>
  <c r="AA383" i="53" s="1"/>
  <c r="AA251" i="53"/>
  <c r="U251" i="53"/>
  <c r="U348" i="53"/>
  <c r="U383" i="53" s="1"/>
  <c r="S216" i="53"/>
  <c r="S217" i="53"/>
  <c r="S218" i="53"/>
  <c r="S221" i="53"/>
  <c r="S265" i="53" s="1"/>
  <c r="S215" i="53"/>
  <c r="S212" i="53"/>
  <c r="S219" i="53"/>
  <c r="S220" i="53"/>
  <c r="U318" i="53"/>
  <c r="W353" i="53"/>
  <c r="W388" i="53" s="1"/>
  <c r="X102" i="11"/>
  <c r="W256" i="53"/>
  <c r="W278" i="53"/>
  <c r="W313" i="53"/>
  <c r="Z184" i="53"/>
  <c r="Z228" i="53" s="1"/>
  <c r="Z187" i="53"/>
  <c r="Z190" i="53"/>
  <c r="Z185" i="53"/>
  <c r="Z191" i="53"/>
  <c r="Z235" i="53" s="1"/>
  <c r="Z186" i="53"/>
  <c r="Z182" i="53"/>
  <c r="Z188" i="53"/>
  <c r="Z183" i="53"/>
  <c r="Z227" i="53" s="1"/>
  <c r="Z189" i="53"/>
  <c r="T330" i="53"/>
  <c r="T365" i="53" s="1"/>
  <c r="T229" i="53"/>
  <c r="AA334" i="53"/>
  <c r="AA369" i="53" s="1"/>
  <c r="AA233" i="53"/>
  <c r="T356" i="53"/>
  <c r="T391" i="53" s="1"/>
  <c r="T261" i="53"/>
  <c r="W319" i="53"/>
  <c r="Y347" i="53"/>
  <c r="Y382" i="53" s="1"/>
  <c r="Y250" i="53"/>
  <c r="AJ213" i="53"/>
  <c r="AJ257" i="53" s="1"/>
  <c r="L193" i="53"/>
  <c r="L237" i="53" s="1"/>
  <c r="L201" i="53"/>
  <c r="L245" i="53" s="1"/>
  <c r="L199" i="53"/>
  <c r="L198" i="53"/>
  <c r="L200" i="53"/>
  <c r="L192" i="53"/>
  <c r="L197" i="53"/>
  <c r="Y349" i="53"/>
  <c r="Y384" i="53" s="1"/>
  <c r="Y252" i="53"/>
  <c r="T226" i="53"/>
  <c r="T269" i="53"/>
  <c r="U78" i="11"/>
  <c r="T329" i="53"/>
  <c r="T364" i="53" s="1"/>
  <c r="T319" i="53"/>
  <c r="T316" i="53"/>
  <c r="T320" i="53"/>
  <c r="T315" i="53"/>
  <c r="T314" i="53"/>
  <c r="T317" i="53"/>
  <c r="T313" i="53"/>
  <c r="T318" i="53"/>
  <c r="L195" i="53"/>
  <c r="Y360" i="53"/>
  <c r="Y395" i="53" s="1"/>
  <c r="Y394" i="53"/>
  <c r="AA249" i="53"/>
  <c r="AA346" i="53"/>
  <c r="AA381" i="53" s="1"/>
  <c r="AG356" i="53"/>
  <c r="AG391" i="53" s="1"/>
  <c r="AG261" i="53"/>
  <c r="AG332" i="53"/>
  <c r="AG367" i="53" s="1"/>
  <c r="AG231" i="53"/>
  <c r="Y243" i="53"/>
  <c r="Y342" i="53"/>
  <c r="Y377" i="53" s="1"/>
  <c r="AJ283" i="53"/>
  <c r="AJ288" i="53" s="1"/>
  <c r="AJ204" i="53" s="1"/>
  <c r="AJ248" i="53" s="1"/>
  <c r="AJ214" i="53"/>
  <c r="AJ258" i="53" s="1"/>
  <c r="AJ281" i="53"/>
  <c r="AJ286" i="53" s="1"/>
  <c r="AG260" i="53"/>
  <c r="AG355" i="53"/>
  <c r="AG390" i="53" s="1"/>
  <c r="AG331" i="53"/>
  <c r="AG366" i="53" s="1"/>
  <c r="AG230" i="53"/>
  <c r="Y244" i="53"/>
  <c r="Y343" i="53"/>
  <c r="W264" i="53"/>
  <c r="W359" i="53"/>
  <c r="Y233" i="53"/>
  <c r="Y334" i="53"/>
  <c r="Y369" i="53" s="1"/>
  <c r="Z204" i="53"/>
  <c r="Z248" i="53" s="1"/>
  <c r="Z207" i="53"/>
  <c r="Z210" i="53"/>
  <c r="Z205" i="53"/>
  <c r="Z206" i="53"/>
  <c r="Z211" i="53"/>
  <c r="Z255" i="53" s="1"/>
  <c r="Z202" i="53"/>
  <c r="Z208" i="53"/>
  <c r="Z209" i="53"/>
  <c r="Z203" i="53"/>
  <c r="Z247" i="53" s="1"/>
  <c r="N378" i="53"/>
  <c r="N344" i="53"/>
  <c r="N379" i="53" s="1"/>
  <c r="U254" i="53"/>
  <c r="U351" i="53"/>
  <c r="T331" i="53"/>
  <c r="T366" i="53" s="1"/>
  <c r="T230" i="53"/>
  <c r="AA269" i="53"/>
  <c r="AA226" i="53"/>
  <c r="AA329" i="53"/>
  <c r="AA364" i="53" s="1"/>
  <c r="AB78" i="11"/>
  <c r="AA313" i="53"/>
  <c r="AA317" i="53"/>
  <c r="AA319" i="53"/>
  <c r="AA315" i="53"/>
  <c r="AA318" i="53"/>
  <c r="AA316" i="53"/>
  <c r="AA314" i="53"/>
  <c r="AA320" i="53"/>
  <c r="S192" i="53" l="1"/>
  <c r="S236" i="53" s="1"/>
  <c r="S195" i="53"/>
  <c r="S338" i="53" s="1"/>
  <c r="S373" i="53" s="1"/>
  <c r="S200" i="53"/>
  <c r="S244" i="53" s="1"/>
  <c r="S199" i="53"/>
  <c r="S342" i="53" s="1"/>
  <c r="S377" i="53" s="1"/>
  <c r="S196" i="53"/>
  <c r="S240" i="53" s="1"/>
  <c r="S198" i="53"/>
  <c r="S341" i="53" s="1"/>
  <c r="S376" i="53" s="1"/>
  <c r="S194" i="53"/>
  <c r="S238" i="53" s="1"/>
  <c r="S201" i="53"/>
  <c r="S245" i="53" s="1"/>
  <c r="AD199" i="53"/>
  <c r="AD342" i="53" s="1"/>
  <c r="AD377" i="53" s="1"/>
  <c r="AD194" i="53"/>
  <c r="AD238" i="53" s="1"/>
  <c r="S197" i="53"/>
  <c r="S241" i="53" s="1"/>
  <c r="AD195" i="53"/>
  <c r="AD239" i="53" s="1"/>
  <c r="V106" i="11"/>
  <c r="F282" i="53"/>
  <c r="F287" i="53" s="1"/>
  <c r="F201" i="53" s="1"/>
  <c r="F245" i="53" s="1"/>
  <c r="AD196" i="53"/>
  <c r="AD240" i="53" s="1"/>
  <c r="AD197" i="53"/>
  <c r="AD340" i="53" s="1"/>
  <c r="AD375" i="53" s="1"/>
  <c r="M203" i="53"/>
  <c r="M247" i="53" s="1"/>
  <c r="AJ197" i="53"/>
  <c r="AJ340" i="53" s="1"/>
  <c r="AJ375" i="53" s="1"/>
  <c r="AJ194" i="53"/>
  <c r="AJ238" i="53" s="1"/>
  <c r="R283" i="53"/>
  <c r="R288" i="53" s="1"/>
  <c r="R206" i="53" s="1"/>
  <c r="M202" i="53"/>
  <c r="M246" i="53" s="1"/>
  <c r="M204" i="53"/>
  <c r="M248" i="53" s="1"/>
  <c r="M211" i="53"/>
  <c r="M255" i="53" s="1"/>
  <c r="X106" i="11"/>
  <c r="X283" i="53"/>
  <c r="X288" i="53" s="1"/>
  <c r="X209" i="53" s="1"/>
  <c r="M210" i="53"/>
  <c r="M254" i="53" s="1"/>
  <c r="AD200" i="53"/>
  <c r="AD343" i="53" s="1"/>
  <c r="R281" i="53"/>
  <c r="R286" i="53" s="1"/>
  <c r="R187" i="53" s="1"/>
  <c r="K284" i="53"/>
  <c r="K289" i="53" s="1"/>
  <c r="K213" i="53" s="1"/>
  <c r="K257" i="53" s="1"/>
  <c r="AB283" i="53"/>
  <c r="AB288" i="53" s="1"/>
  <c r="AB203" i="53" s="1"/>
  <c r="AB247" i="53" s="1"/>
  <c r="M208" i="53"/>
  <c r="M252" i="53" s="1"/>
  <c r="AA321" i="53"/>
  <c r="AB106" i="11"/>
  <c r="X282" i="53"/>
  <c r="X287" i="53" s="1"/>
  <c r="X198" i="53" s="1"/>
  <c r="X242" i="53" s="1"/>
  <c r="AD192" i="53"/>
  <c r="AB284" i="53"/>
  <c r="AB289" i="53" s="1"/>
  <c r="AB216" i="53" s="1"/>
  <c r="X220" i="53"/>
  <c r="X359" i="53" s="1"/>
  <c r="X221" i="53"/>
  <c r="X265" i="53" s="1"/>
  <c r="X219" i="53"/>
  <c r="X263" i="53" s="1"/>
  <c r="AJ192" i="53"/>
  <c r="U106" i="11"/>
  <c r="AJ195" i="53"/>
  <c r="AJ239" i="53" s="1"/>
  <c r="AJ201" i="53"/>
  <c r="AJ245" i="53" s="1"/>
  <c r="M205" i="53"/>
  <c r="M209" i="53"/>
  <c r="M207" i="53"/>
  <c r="AJ200" i="53"/>
  <c r="AJ343" i="53" s="1"/>
  <c r="AJ198" i="53"/>
  <c r="AJ242" i="53" s="1"/>
  <c r="AA394" i="53"/>
  <c r="AA360" i="53"/>
  <c r="AA395" i="53" s="1"/>
  <c r="AD201" i="53"/>
  <c r="AD245" i="53" s="1"/>
  <c r="AD193" i="53"/>
  <c r="AD237" i="53" s="1"/>
  <c r="O282" i="53"/>
  <c r="O287" i="53" s="1"/>
  <c r="O194" i="53" s="1"/>
  <c r="O238" i="53" s="1"/>
  <c r="AJ196" i="53"/>
  <c r="AJ199" i="53"/>
  <c r="K191" i="53"/>
  <c r="K235" i="53" s="1"/>
  <c r="K190" i="53"/>
  <c r="K189" i="53"/>
  <c r="K182" i="53"/>
  <c r="K188" i="53"/>
  <c r="K185" i="53"/>
  <c r="K183" i="53"/>
  <c r="K227" i="53" s="1"/>
  <c r="K186" i="53"/>
  <c r="K187" i="53"/>
  <c r="Z348" i="53"/>
  <c r="Z383" i="53" s="1"/>
  <c r="Z251" i="53"/>
  <c r="L342" i="53"/>
  <c r="L377" i="53" s="1"/>
  <c r="L243" i="53"/>
  <c r="M184" i="53"/>
  <c r="M228" i="53" s="1"/>
  <c r="M190" i="53"/>
  <c r="M191" i="53"/>
  <c r="M235" i="53" s="1"/>
  <c r="M182" i="53"/>
  <c r="M188" i="53"/>
  <c r="M186" i="53"/>
  <c r="M185" i="53"/>
  <c r="M189" i="53"/>
  <c r="M187" i="53"/>
  <c r="M183" i="53"/>
  <c r="M227" i="53" s="1"/>
  <c r="Z256" i="53"/>
  <c r="Z278" i="53"/>
  <c r="Z353" i="53"/>
  <c r="Z388" i="53" s="1"/>
  <c r="AA102" i="11"/>
  <c r="AE259" i="53"/>
  <c r="AE354" i="53"/>
  <c r="AE389" i="53" s="1"/>
  <c r="AE355" i="53"/>
  <c r="AE390" i="53" s="1"/>
  <c r="AE260" i="53"/>
  <c r="Z354" i="53"/>
  <c r="Z389" i="53" s="1"/>
  <c r="Z259" i="53"/>
  <c r="AE353" i="53"/>
  <c r="AE388" i="53" s="1"/>
  <c r="AE256" i="53"/>
  <c r="AF102" i="11"/>
  <c r="AE278" i="53"/>
  <c r="Z264" i="53"/>
  <c r="Z359" i="53"/>
  <c r="AE261" i="53"/>
  <c r="AE356" i="53"/>
  <c r="AE391" i="53" s="1"/>
  <c r="R92" i="11"/>
  <c r="Q246" i="53"/>
  <c r="Q345" i="53"/>
  <c r="Q380" i="53" s="1"/>
  <c r="AD189" i="53"/>
  <c r="AD185" i="53"/>
  <c r="AD188" i="53"/>
  <c r="AD182" i="53"/>
  <c r="AD190" i="53"/>
  <c r="AD186" i="53"/>
  <c r="AD187" i="53"/>
  <c r="AD183" i="53"/>
  <c r="AD227" i="53" s="1"/>
  <c r="AD191" i="53"/>
  <c r="AD235" i="53" s="1"/>
  <c r="AG352" i="53"/>
  <c r="AG387" i="53" s="1"/>
  <c r="AG386" i="53"/>
  <c r="Z356" i="53"/>
  <c r="Z391" i="53" s="1"/>
  <c r="Z261" i="53"/>
  <c r="T352" i="53"/>
  <c r="T387" i="53" s="1"/>
  <c r="T386" i="53"/>
  <c r="AD250" i="53"/>
  <c r="AD347" i="53"/>
  <c r="AD382" i="53" s="1"/>
  <c r="S264" i="53"/>
  <c r="S359" i="53"/>
  <c r="Q250" i="53"/>
  <c r="Q347" i="53"/>
  <c r="Q382" i="53" s="1"/>
  <c r="AD184" i="53"/>
  <c r="AD228" i="53" s="1"/>
  <c r="AE254" i="53"/>
  <c r="AE351" i="53"/>
  <c r="U360" i="53"/>
  <c r="U395" i="53" s="1"/>
  <c r="U394" i="53"/>
  <c r="AG336" i="53"/>
  <c r="AG371" i="53" s="1"/>
  <c r="AG370" i="53"/>
  <c r="AD246" i="53"/>
  <c r="AD345" i="53"/>
  <c r="AD380" i="53" s="1"/>
  <c r="AE92" i="11"/>
  <c r="Y378" i="53"/>
  <c r="Y344" i="53"/>
  <c r="Y379" i="53" s="1"/>
  <c r="T321" i="53"/>
  <c r="S263" i="53"/>
  <c r="S358" i="53"/>
  <c r="S393" i="53" s="1"/>
  <c r="Q254" i="53"/>
  <c r="Q351" i="53"/>
  <c r="M220" i="53"/>
  <c r="M221" i="53"/>
  <c r="M265" i="53" s="1"/>
  <c r="M212" i="53"/>
  <c r="M218" i="53"/>
  <c r="M216" i="53"/>
  <c r="M215" i="53"/>
  <c r="M213" i="53"/>
  <c r="M257" i="53" s="1"/>
  <c r="M219" i="53"/>
  <c r="M217" i="53"/>
  <c r="AE250" i="53"/>
  <c r="AE347" i="53"/>
  <c r="AE382" i="53" s="1"/>
  <c r="AD351" i="53"/>
  <c r="AD254" i="53"/>
  <c r="S353" i="53"/>
  <c r="S388" i="53" s="1"/>
  <c r="S278" i="53"/>
  <c r="T102" i="11"/>
  <c r="S256" i="53"/>
  <c r="AD214" i="53"/>
  <c r="AD258" i="53" s="1"/>
  <c r="AD219" i="53"/>
  <c r="AD215" i="53"/>
  <c r="AD217" i="53"/>
  <c r="AD212" i="53"/>
  <c r="AD218" i="53"/>
  <c r="AD220" i="53"/>
  <c r="AD216" i="53"/>
  <c r="AD213" i="53"/>
  <c r="AD257" i="53" s="1"/>
  <c r="AD221" i="53"/>
  <c r="AD265" i="53" s="1"/>
  <c r="Q252" i="53"/>
  <c r="Q349" i="53"/>
  <c r="Q384" i="53" s="1"/>
  <c r="AA352" i="53"/>
  <c r="AA387" i="53" s="1"/>
  <c r="AA386" i="53"/>
  <c r="M250" i="53"/>
  <c r="M347" i="53"/>
  <c r="M382" i="53" s="1"/>
  <c r="AE252" i="53"/>
  <c r="AE349" i="53"/>
  <c r="AE384" i="53" s="1"/>
  <c r="AG360" i="53"/>
  <c r="AG395" i="53" s="1"/>
  <c r="AG394" i="53"/>
  <c r="AD349" i="53"/>
  <c r="AD384" i="53" s="1"/>
  <c r="AD252" i="53"/>
  <c r="U344" i="53"/>
  <c r="U379" i="53" s="1"/>
  <c r="U378" i="53"/>
  <c r="S354" i="53"/>
  <c r="S389" i="53" s="1"/>
  <c r="S259" i="53"/>
  <c r="Q350" i="53"/>
  <c r="Q385" i="53" s="1"/>
  <c r="Q253" i="53"/>
  <c r="AE253" i="53"/>
  <c r="AE350" i="53"/>
  <c r="AE385" i="53" s="1"/>
  <c r="AD348" i="53"/>
  <c r="AD383" i="53" s="1"/>
  <c r="AD251" i="53"/>
  <c r="U321" i="53"/>
  <c r="AE249" i="53"/>
  <c r="AE346" i="53"/>
  <c r="AE381" i="53" s="1"/>
  <c r="S187" i="53"/>
  <c r="S188" i="53"/>
  <c r="S191" i="53"/>
  <c r="S235" i="53" s="1"/>
  <c r="S185" i="53"/>
  <c r="S186" i="53"/>
  <c r="S189" i="53"/>
  <c r="S190" i="53"/>
  <c r="S182" i="53"/>
  <c r="S183" i="53"/>
  <c r="S227" i="53" s="1"/>
  <c r="AB200" i="53"/>
  <c r="AB195" i="53"/>
  <c r="AB197" i="53"/>
  <c r="AB199" i="53"/>
  <c r="AB192" i="53"/>
  <c r="AB196" i="53"/>
  <c r="AB198" i="53"/>
  <c r="AB201" i="53"/>
  <c r="AB245" i="53" s="1"/>
  <c r="AD249" i="53"/>
  <c r="AD346" i="53"/>
  <c r="AD381" i="53" s="1"/>
  <c r="AE246" i="53"/>
  <c r="AE345" i="53"/>
  <c r="AE380" i="53" s="1"/>
  <c r="AF92" i="11"/>
  <c r="F211" i="53"/>
  <c r="F255" i="53" s="1"/>
  <c r="F208" i="53"/>
  <c r="F207" i="53"/>
  <c r="F209" i="53"/>
  <c r="F205" i="53"/>
  <c r="F206" i="53"/>
  <c r="F210" i="53"/>
  <c r="F202" i="53"/>
  <c r="S243" i="53"/>
  <c r="AG321" i="53"/>
  <c r="AD350" i="53"/>
  <c r="AD385" i="53" s="1"/>
  <c r="AD253" i="53"/>
  <c r="S261" i="53"/>
  <c r="S356" i="53"/>
  <c r="S391" i="53" s="1"/>
  <c r="AE251" i="53"/>
  <c r="AE348" i="53"/>
  <c r="AE383" i="53" s="1"/>
  <c r="S184" i="53"/>
  <c r="S228" i="53" s="1"/>
  <c r="AH106" i="11"/>
  <c r="S355" i="53"/>
  <c r="S390" i="53" s="1"/>
  <c r="S260" i="53"/>
  <c r="T370" i="53"/>
  <c r="T336" i="53"/>
  <c r="T371" i="53" s="1"/>
  <c r="R213" i="53"/>
  <c r="R257" i="53" s="1"/>
  <c r="R219" i="53"/>
  <c r="R220" i="53"/>
  <c r="R217" i="53"/>
  <c r="R218" i="53"/>
  <c r="R215" i="53"/>
  <c r="R221" i="53"/>
  <c r="R265" i="53" s="1"/>
  <c r="R216" i="53"/>
  <c r="R212" i="53"/>
  <c r="AE240" i="53"/>
  <c r="AE339" i="53"/>
  <c r="AE374" i="53" s="1"/>
  <c r="AB193" i="53"/>
  <c r="AB237" i="53" s="1"/>
  <c r="AJ356" i="53"/>
  <c r="AJ391" i="53" s="1"/>
  <c r="AJ261" i="53"/>
  <c r="W352" i="53"/>
  <c r="W387" i="53" s="1"/>
  <c r="W386" i="53"/>
  <c r="AE343" i="53"/>
  <c r="AE244" i="53"/>
  <c r="M239" i="53"/>
  <c r="M338" i="53"/>
  <c r="M373" i="53" s="1"/>
  <c r="L239" i="53"/>
  <c r="L338" i="53"/>
  <c r="L373" i="53" s="1"/>
  <c r="S208" i="53"/>
  <c r="S207" i="53"/>
  <c r="S206" i="53"/>
  <c r="S211" i="53"/>
  <c r="S255" i="53" s="1"/>
  <c r="S205" i="53"/>
  <c r="S209" i="53"/>
  <c r="S210" i="53"/>
  <c r="S202" i="53"/>
  <c r="S203" i="53"/>
  <c r="S247" i="53" s="1"/>
  <c r="F203" i="53"/>
  <c r="F247" i="53" s="1"/>
  <c r="AB194" i="53"/>
  <c r="AB238" i="53" s="1"/>
  <c r="AB281" i="53"/>
  <c r="AB286" i="53" s="1"/>
  <c r="M342" i="53"/>
  <c r="M377" i="53" s="1"/>
  <c r="M243" i="53"/>
  <c r="Z233" i="53"/>
  <c r="Z334" i="53"/>
  <c r="Z369" i="53" s="1"/>
  <c r="AE242" i="53"/>
  <c r="AE341" i="53"/>
  <c r="AE376" i="53" s="1"/>
  <c r="AJ256" i="53"/>
  <c r="AJ353" i="53"/>
  <c r="AJ388" i="53" s="1"/>
  <c r="AJ278" i="53"/>
  <c r="AK102" i="11"/>
  <c r="F284" i="53"/>
  <c r="F289" i="53" s="1"/>
  <c r="F214" i="53" s="1"/>
  <c r="F258" i="53" s="1"/>
  <c r="F204" i="53"/>
  <c r="F248" i="53" s="1"/>
  <c r="F281" i="53"/>
  <c r="F286" i="53" s="1"/>
  <c r="F183" i="53" s="1"/>
  <c r="L219" i="53"/>
  <c r="L218" i="53"/>
  <c r="L220" i="53"/>
  <c r="L212" i="53"/>
  <c r="L217" i="53"/>
  <c r="L221" i="53"/>
  <c r="L265" i="53" s="1"/>
  <c r="L215" i="53"/>
  <c r="L216" i="53"/>
  <c r="L213" i="53"/>
  <c r="L257" i="53" s="1"/>
  <c r="AG344" i="53"/>
  <c r="AG379" i="53" s="1"/>
  <c r="AG378" i="53"/>
  <c r="M340" i="53"/>
  <c r="M375" i="53" s="1"/>
  <c r="M241" i="53"/>
  <c r="T394" i="53"/>
  <c r="T360" i="53"/>
  <c r="T395" i="53" s="1"/>
  <c r="AJ189" i="53"/>
  <c r="AJ191" i="53"/>
  <c r="AJ235" i="53" s="1"/>
  <c r="AJ190" i="53"/>
  <c r="AJ188" i="53"/>
  <c r="AJ182" i="53"/>
  <c r="AJ185" i="53"/>
  <c r="AJ187" i="53"/>
  <c r="AJ186" i="53"/>
  <c r="AJ183" i="53"/>
  <c r="AJ227" i="53" s="1"/>
  <c r="Z243" i="53"/>
  <c r="Z342" i="53"/>
  <c r="Z377" i="53" s="1"/>
  <c r="AJ184" i="53"/>
  <c r="AJ228" i="53" s="1"/>
  <c r="Z341" i="53"/>
  <c r="Z376" i="53" s="1"/>
  <c r="Z242" i="53"/>
  <c r="L214" i="53"/>
  <c r="L258" i="53" s="1"/>
  <c r="M236" i="53"/>
  <c r="M337" i="53"/>
  <c r="M372" i="53" s="1"/>
  <c r="N84" i="11"/>
  <c r="M272" i="53"/>
  <c r="AE243" i="53"/>
  <c r="AE342" i="53"/>
  <c r="AE377" i="53" s="1"/>
  <c r="AJ210" i="53"/>
  <c r="AJ208" i="53"/>
  <c r="AJ211" i="53"/>
  <c r="AJ255" i="53" s="1"/>
  <c r="AJ207" i="53"/>
  <c r="AJ205" i="53"/>
  <c r="AJ202" i="53"/>
  <c r="AJ206" i="53"/>
  <c r="AJ203" i="53"/>
  <c r="AJ247" i="53" s="1"/>
  <c r="AJ209" i="53"/>
  <c r="Z331" i="53"/>
  <c r="Z366" i="53" s="1"/>
  <c r="Z230" i="53"/>
  <c r="Z337" i="53"/>
  <c r="Z372" i="53" s="1"/>
  <c r="Z236" i="53"/>
  <c r="Z272" i="53"/>
  <c r="AA84" i="11"/>
  <c r="AJ357" i="53"/>
  <c r="AJ392" i="53" s="1"/>
  <c r="AJ262" i="53"/>
  <c r="AD341" i="53"/>
  <c r="AD376" i="53" s="1"/>
  <c r="AD242" i="53"/>
  <c r="AE333" i="53"/>
  <c r="AE368" i="53" s="1"/>
  <c r="AE232" i="53"/>
  <c r="AE239" i="53"/>
  <c r="AE338" i="53"/>
  <c r="AE373" i="53" s="1"/>
  <c r="Z246" i="53"/>
  <c r="Z345" i="53"/>
  <c r="Z380" i="53" s="1"/>
  <c r="AA92" i="11"/>
  <c r="O284" i="53"/>
  <c r="O289" i="53" s="1"/>
  <c r="O214" i="53" s="1"/>
  <c r="O258" i="53" s="1"/>
  <c r="O204" i="53"/>
  <c r="O248" i="53" s="1"/>
  <c r="O281" i="53"/>
  <c r="O286" i="53" s="1"/>
  <c r="AJ359" i="53"/>
  <c r="AJ264" i="53"/>
  <c r="AE335" i="53"/>
  <c r="AE234" i="53"/>
  <c r="K283" i="53"/>
  <c r="K288" i="53" s="1"/>
  <c r="K204" i="53" s="1"/>
  <c r="K248" i="53" s="1"/>
  <c r="K184" i="53"/>
  <c r="K228" i="53" s="1"/>
  <c r="K282" i="53"/>
  <c r="K287" i="53" s="1"/>
  <c r="AE236" i="53"/>
  <c r="AE337" i="53"/>
  <c r="AE372" i="53" s="1"/>
  <c r="AF84" i="11"/>
  <c r="AE272" i="53"/>
  <c r="M339" i="53"/>
  <c r="M374" i="53" s="1"/>
  <c r="M240" i="53"/>
  <c r="Q197" i="53"/>
  <c r="Q195" i="53"/>
  <c r="Q199" i="53"/>
  <c r="Q196" i="53"/>
  <c r="Q198" i="53"/>
  <c r="Q201" i="53"/>
  <c r="Q245" i="53" s="1"/>
  <c r="Q192" i="53"/>
  <c r="Q200" i="53"/>
  <c r="Q193" i="53"/>
  <c r="Q237" i="53" s="1"/>
  <c r="AA336" i="53"/>
  <c r="AA371" i="53" s="1"/>
  <c r="AA370" i="53"/>
  <c r="S357" i="53"/>
  <c r="S392" i="53" s="1"/>
  <c r="S262" i="53"/>
  <c r="U352" i="53"/>
  <c r="U387" i="53" s="1"/>
  <c r="U386" i="53"/>
  <c r="AJ259" i="53"/>
  <c r="AJ354" i="53"/>
  <c r="AJ389" i="53" s="1"/>
  <c r="Z253" i="53"/>
  <c r="Z350" i="53"/>
  <c r="Z385" i="53" s="1"/>
  <c r="Z338" i="53"/>
  <c r="Z373" i="53" s="1"/>
  <c r="Z239" i="53"/>
  <c r="AJ263" i="53"/>
  <c r="AJ358" i="53"/>
  <c r="AJ393" i="53" s="1"/>
  <c r="AE334" i="53"/>
  <c r="AE369" i="53" s="1"/>
  <c r="AE233" i="53"/>
  <c r="R282" i="53"/>
  <c r="R287" i="53" s="1"/>
  <c r="R194" i="53" s="1"/>
  <c r="R238" i="53" s="1"/>
  <c r="R214" i="53"/>
  <c r="R258" i="53" s="1"/>
  <c r="M242" i="53"/>
  <c r="M341" i="53"/>
  <c r="M376" i="53" s="1"/>
  <c r="O210" i="53"/>
  <c r="O209" i="53"/>
  <c r="O207" i="53"/>
  <c r="O206" i="53"/>
  <c r="O208" i="53"/>
  <c r="O211" i="53"/>
  <c r="O255" i="53" s="1"/>
  <c r="O205" i="53"/>
  <c r="O202" i="53"/>
  <c r="AE241" i="53"/>
  <c r="AE340" i="53"/>
  <c r="AE375" i="53" s="1"/>
  <c r="AE275" i="53"/>
  <c r="Z333" i="53"/>
  <c r="Z368" i="53" s="1"/>
  <c r="Z232" i="53"/>
  <c r="Z319" i="53"/>
  <c r="Z314" i="53"/>
  <c r="Z316" i="53"/>
  <c r="Z320" i="53"/>
  <c r="Z226" i="53"/>
  <c r="Z269" i="53"/>
  <c r="Z313" i="53"/>
  <c r="Z315" i="53"/>
  <c r="Z317" i="53"/>
  <c r="AA78" i="11"/>
  <c r="Z329" i="53"/>
  <c r="Z364" i="53" s="1"/>
  <c r="Z318" i="53"/>
  <c r="Z240" i="53"/>
  <c r="Z339" i="53"/>
  <c r="Z374" i="53" s="1"/>
  <c r="T344" i="53"/>
  <c r="T379" i="53" s="1"/>
  <c r="T378" i="53"/>
  <c r="Z349" i="53"/>
  <c r="Z384" i="53" s="1"/>
  <c r="Z252" i="53"/>
  <c r="L241" i="53"/>
  <c r="L340" i="53"/>
  <c r="L375" i="53" s="1"/>
  <c r="Z229" i="53"/>
  <c r="Z330" i="53"/>
  <c r="Z365" i="53" s="1"/>
  <c r="Z347" i="53"/>
  <c r="Z382" i="53" s="1"/>
  <c r="Z250" i="53"/>
  <c r="L337" i="53"/>
  <c r="L372" i="53" s="1"/>
  <c r="L272" i="53"/>
  <c r="L236" i="53"/>
  <c r="M84" i="11"/>
  <c r="Z335" i="53"/>
  <c r="Z234" i="53"/>
  <c r="Z343" i="53"/>
  <c r="Z244" i="53"/>
  <c r="AE226" i="53"/>
  <c r="AE313" i="53"/>
  <c r="AE317" i="53"/>
  <c r="AE269" i="53"/>
  <c r="AE318" i="53"/>
  <c r="AE329" i="53"/>
  <c r="AE364" i="53" s="1"/>
  <c r="AE320" i="53"/>
  <c r="AE315" i="53"/>
  <c r="AE314" i="53"/>
  <c r="AF78" i="11"/>
  <c r="AE319" i="53"/>
  <c r="AE316" i="53"/>
  <c r="Z106" i="11"/>
  <c r="X218" i="53"/>
  <c r="X217" i="53"/>
  <c r="X212" i="53"/>
  <c r="X216" i="53"/>
  <c r="X215" i="53"/>
  <c r="Q348" i="53"/>
  <c r="Q383" i="53" s="1"/>
  <c r="Q251" i="53"/>
  <c r="Q249" i="53"/>
  <c r="Q346" i="53"/>
  <c r="Q381" i="53" s="1"/>
  <c r="Z231" i="53"/>
  <c r="Z332" i="53"/>
  <c r="Z367" i="53" s="1"/>
  <c r="AE229" i="53"/>
  <c r="AE330" i="53"/>
  <c r="AE365" i="53" s="1"/>
  <c r="Q184" i="53"/>
  <c r="Q228" i="53" s="1"/>
  <c r="Q185" i="53"/>
  <c r="Q189" i="53"/>
  <c r="Q187" i="53"/>
  <c r="Q186" i="53"/>
  <c r="Q188" i="53"/>
  <c r="Q191" i="53"/>
  <c r="Q235" i="53" s="1"/>
  <c r="Q182" i="53"/>
  <c r="Q190" i="53"/>
  <c r="Q183" i="53"/>
  <c r="Q227" i="53" s="1"/>
  <c r="W344" i="53"/>
  <c r="W379" i="53" s="1"/>
  <c r="W378" i="53"/>
  <c r="Y321" i="53"/>
  <c r="Z358" i="53"/>
  <c r="Z393" i="53" s="1"/>
  <c r="Z263" i="53"/>
  <c r="L189" i="53"/>
  <c r="L188" i="53"/>
  <c r="L190" i="53"/>
  <c r="L182" i="53"/>
  <c r="L187" i="53"/>
  <c r="L191" i="53"/>
  <c r="L235" i="53" s="1"/>
  <c r="L186" i="53"/>
  <c r="L183" i="53"/>
  <c r="L227" i="53" s="1"/>
  <c r="L185" i="53"/>
  <c r="AE359" i="53"/>
  <c r="AE264" i="53"/>
  <c r="M343" i="53"/>
  <c r="M244" i="53"/>
  <c r="L244" i="53"/>
  <c r="L343" i="53"/>
  <c r="Z340" i="53"/>
  <c r="Z375" i="53" s="1"/>
  <c r="Z241" i="53"/>
  <c r="Z275" i="53"/>
  <c r="Z254" i="53"/>
  <c r="Z351" i="53"/>
  <c r="L242" i="53"/>
  <c r="L341" i="53"/>
  <c r="L376" i="53" s="1"/>
  <c r="L203" i="53"/>
  <c r="L247" i="53" s="1"/>
  <c r="L209" i="53"/>
  <c r="L208" i="53"/>
  <c r="L210" i="53"/>
  <c r="L207" i="53"/>
  <c r="L202" i="53"/>
  <c r="L211" i="53"/>
  <c r="L255" i="53" s="1"/>
  <c r="L205" i="53"/>
  <c r="L206" i="53"/>
  <c r="AE231" i="53"/>
  <c r="AE332" i="53"/>
  <c r="AE367" i="53" s="1"/>
  <c r="Q213" i="53"/>
  <c r="Q257" i="53" s="1"/>
  <c r="Q215" i="53"/>
  <c r="Q217" i="53"/>
  <c r="Q219" i="53"/>
  <c r="Q216" i="53"/>
  <c r="Q218" i="53"/>
  <c r="Q221" i="53"/>
  <c r="Q265" i="53" s="1"/>
  <c r="Q212" i="53"/>
  <c r="Q220" i="53"/>
  <c r="Z260" i="53"/>
  <c r="Z355" i="53"/>
  <c r="Z390" i="53" s="1"/>
  <c r="AE357" i="53"/>
  <c r="AE392" i="53" s="1"/>
  <c r="AE262" i="53"/>
  <c r="Y370" i="53"/>
  <c r="Y336" i="53"/>
  <c r="Y371" i="53" s="1"/>
  <c r="X213" i="53"/>
  <c r="X257" i="53" s="1"/>
  <c r="W394" i="53"/>
  <c r="W360" i="53"/>
  <c r="W395" i="53" s="1"/>
  <c r="Z249" i="53"/>
  <c r="Z346" i="53"/>
  <c r="Z381" i="53" s="1"/>
  <c r="W321" i="53"/>
  <c r="Y352" i="53"/>
  <c r="Y387" i="53" s="1"/>
  <c r="Y386" i="53"/>
  <c r="AE230" i="53"/>
  <c r="AE331" i="53"/>
  <c r="AE366" i="53" s="1"/>
  <c r="Z357" i="53"/>
  <c r="Z392" i="53" s="1"/>
  <c r="Z262" i="53"/>
  <c r="AE358" i="53"/>
  <c r="AE393" i="53" s="1"/>
  <c r="AE263" i="53"/>
  <c r="X281" i="53"/>
  <c r="X286" i="53" s="1"/>
  <c r="X184" i="53" s="1"/>
  <c r="X228" i="53" s="1"/>
  <c r="X214" i="53"/>
  <c r="X258" i="53" s="1"/>
  <c r="S242" i="53" l="1"/>
  <c r="S337" i="53"/>
  <c r="S372" i="53" s="1"/>
  <c r="S239" i="53"/>
  <c r="AD243" i="53"/>
  <c r="S343" i="53"/>
  <c r="S344" i="53" s="1"/>
  <c r="S379" i="53" s="1"/>
  <c r="S339" i="53"/>
  <c r="S374" i="53" s="1"/>
  <c r="AJ341" i="53"/>
  <c r="AJ376" i="53" s="1"/>
  <c r="AD241" i="53"/>
  <c r="F198" i="53"/>
  <c r="F242" i="53" s="1"/>
  <c r="F199" i="53"/>
  <c r="F342" i="53" s="1"/>
  <c r="F377" i="53" s="1"/>
  <c r="AD338" i="53"/>
  <c r="AD373" i="53" s="1"/>
  <c r="F197" i="53"/>
  <c r="F340" i="53" s="1"/>
  <c r="F375" i="53" s="1"/>
  <c r="AJ241" i="53"/>
  <c r="S272" i="53"/>
  <c r="S340" i="53"/>
  <c r="S375" i="53" s="1"/>
  <c r="F196" i="53"/>
  <c r="F240" i="53" s="1"/>
  <c r="R207" i="53"/>
  <c r="R348" i="53" s="1"/>
  <c r="R383" i="53" s="1"/>
  <c r="R209" i="53"/>
  <c r="R350" i="53" s="1"/>
  <c r="R385" i="53" s="1"/>
  <c r="T84" i="11"/>
  <c r="F200" i="53"/>
  <c r="F343" i="53" s="1"/>
  <c r="F195" i="53"/>
  <c r="F338" i="53" s="1"/>
  <c r="F373" i="53" s="1"/>
  <c r="R208" i="53"/>
  <c r="R252" i="53" s="1"/>
  <c r="R205" i="53"/>
  <c r="R346" i="53" s="1"/>
  <c r="R381" i="53" s="1"/>
  <c r="AE84" i="11"/>
  <c r="F193" i="53"/>
  <c r="F237" i="53" s="1"/>
  <c r="AD339" i="53"/>
  <c r="AD374" i="53" s="1"/>
  <c r="X193" i="53"/>
  <c r="X237" i="53" s="1"/>
  <c r="F194" i="53"/>
  <c r="F238" i="53" s="1"/>
  <c r="X199" i="53"/>
  <c r="X243" i="53" s="1"/>
  <c r="AB204" i="53"/>
  <c r="AB248" i="53" s="1"/>
  <c r="X194" i="53"/>
  <c r="X238" i="53" s="1"/>
  <c r="AB215" i="53"/>
  <c r="AB354" i="53" s="1"/>
  <c r="AB389" i="53" s="1"/>
  <c r="O200" i="53"/>
  <c r="O343" i="53" s="1"/>
  <c r="F192" i="53"/>
  <c r="F236" i="53" s="1"/>
  <c r="AB217" i="53"/>
  <c r="AB261" i="53" s="1"/>
  <c r="X204" i="53"/>
  <c r="X248" i="53" s="1"/>
  <c r="M275" i="53"/>
  <c r="R203" i="53"/>
  <c r="R247" i="53" s="1"/>
  <c r="R204" i="53"/>
  <c r="R248" i="53" s="1"/>
  <c r="AD236" i="53"/>
  <c r="AB214" i="53"/>
  <c r="AB258" i="53" s="1"/>
  <c r="R202" i="53"/>
  <c r="R246" i="53" s="1"/>
  <c r="X208" i="53"/>
  <c r="X349" i="53" s="1"/>
  <c r="X384" i="53" s="1"/>
  <c r="AD337" i="53"/>
  <c r="AD372" i="53" s="1"/>
  <c r="AB220" i="53"/>
  <c r="AB359" i="53" s="1"/>
  <c r="AB219" i="53"/>
  <c r="AB358" i="53" s="1"/>
  <c r="AB393" i="53" s="1"/>
  <c r="R211" i="53"/>
  <c r="R255" i="53" s="1"/>
  <c r="AJ272" i="53"/>
  <c r="AB221" i="53"/>
  <c r="AB265" i="53" s="1"/>
  <c r="R210" i="53"/>
  <c r="R351" i="53" s="1"/>
  <c r="X206" i="53"/>
  <c r="X347" i="53" s="1"/>
  <c r="X382" i="53" s="1"/>
  <c r="X341" i="53"/>
  <c r="X376" i="53" s="1"/>
  <c r="R191" i="53"/>
  <c r="R235" i="53" s="1"/>
  <c r="X203" i="53"/>
  <c r="X247" i="53" s="1"/>
  <c r="M351" i="53"/>
  <c r="M352" i="53" s="1"/>
  <c r="M387" i="53" s="1"/>
  <c r="M345" i="53"/>
  <c r="M380" i="53" s="1"/>
  <c r="X195" i="53"/>
  <c r="X338" i="53" s="1"/>
  <c r="X373" i="53" s="1"/>
  <c r="R186" i="53"/>
  <c r="R230" i="53" s="1"/>
  <c r="X202" i="53"/>
  <c r="X246" i="53" s="1"/>
  <c r="AB212" i="53"/>
  <c r="AB256" i="53" s="1"/>
  <c r="X196" i="53"/>
  <c r="R182" i="53"/>
  <c r="R226" i="53" s="1"/>
  <c r="AD272" i="53"/>
  <c r="AD275" i="53"/>
  <c r="AB218" i="53"/>
  <c r="AB357" i="53" s="1"/>
  <c r="AB392" i="53" s="1"/>
  <c r="X192" i="53"/>
  <c r="X236" i="53" s="1"/>
  <c r="R184" i="53"/>
  <c r="R228" i="53" s="1"/>
  <c r="X200" i="53"/>
  <c r="X244" i="53" s="1"/>
  <c r="AB213" i="53"/>
  <c r="AB257" i="53" s="1"/>
  <c r="X197" i="53"/>
  <c r="X340" i="53" s="1"/>
  <c r="X375" i="53" s="1"/>
  <c r="X201" i="53"/>
  <c r="X245" i="53" s="1"/>
  <c r="AB206" i="53"/>
  <c r="AB347" i="53" s="1"/>
  <c r="AB382" i="53" s="1"/>
  <c r="AK84" i="11"/>
  <c r="R188" i="53"/>
  <c r="R333" i="53" s="1"/>
  <c r="R368" i="53" s="1"/>
  <c r="O201" i="53"/>
  <c r="O245" i="53" s="1"/>
  <c r="AJ236" i="53"/>
  <c r="AB208" i="53"/>
  <c r="AB349" i="53" s="1"/>
  <c r="AB384" i="53" s="1"/>
  <c r="AJ337" i="53"/>
  <c r="AJ372" i="53" s="1"/>
  <c r="AJ338" i="53"/>
  <c r="AJ373" i="53" s="1"/>
  <c r="K212" i="53"/>
  <c r="R190" i="53"/>
  <c r="R234" i="53" s="1"/>
  <c r="X210" i="53"/>
  <c r="X211" i="53"/>
  <c r="X255" i="53" s="1"/>
  <c r="AB205" i="53"/>
  <c r="K215" i="53"/>
  <c r="K354" i="53" s="1"/>
  <c r="K389" i="53" s="1"/>
  <c r="K220" i="53"/>
  <c r="K264" i="53" s="1"/>
  <c r="O198" i="53"/>
  <c r="O242" i="53" s="1"/>
  <c r="M349" i="53"/>
  <c r="M384" i="53" s="1"/>
  <c r="R189" i="53"/>
  <c r="R233" i="53" s="1"/>
  <c r="AB209" i="53"/>
  <c r="AB253" i="53" s="1"/>
  <c r="AB202" i="53"/>
  <c r="AB345" i="53" s="1"/>
  <c r="AB380" i="53" s="1"/>
  <c r="K218" i="53"/>
  <c r="K357" i="53" s="1"/>
  <c r="K392" i="53" s="1"/>
  <c r="R185" i="53"/>
  <c r="R330" i="53" s="1"/>
  <c r="R365" i="53" s="1"/>
  <c r="O192" i="53"/>
  <c r="X207" i="53"/>
  <c r="X348" i="53" s="1"/>
  <c r="X383" i="53" s="1"/>
  <c r="K219" i="53"/>
  <c r="K358" i="53" s="1"/>
  <c r="K393" i="53" s="1"/>
  <c r="AD244" i="53"/>
  <c r="O193" i="53"/>
  <c r="O237" i="53" s="1"/>
  <c r="O197" i="53"/>
  <c r="O241" i="53" s="1"/>
  <c r="R183" i="53"/>
  <c r="R227" i="53" s="1"/>
  <c r="O195" i="53"/>
  <c r="O338" i="53" s="1"/>
  <c r="O373" i="53" s="1"/>
  <c r="AB207" i="53"/>
  <c r="AB348" i="53" s="1"/>
  <c r="AB383" i="53" s="1"/>
  <c r="AB210" i="53"/>
  <c r="AB254" i="53" s="1"/>
  <c r="X205" i="53"/>
  <c r="K221" i="53"/>
  <c r="K265" i="53" s="1"/>
  <c r="K214" i="53"/>
  <c r="K258" i="53" s="1"/>
  <c r="X264" i="53"/>
  <c r="O196" i="53"/>
  <c r="O240" i="53" s="1"/>
  <c r="L275" i="53"/>
  <c r="AB211" i="53"/>
  <c r="AB255" i="53" s="1"/>
  <c r="AF106" i="11"/>
  <c r="AA106" i="11"/>
  <c r="O199" i="53"/>
  <c r="O342" i="53" s="1"/>
  <c r="O377" i="53" s="1"/>
  <c r="K216" i="53"/>
  <c r="K260" i="53" s="1"/>
  <c r="K217" i="53"/>
  <c r="Z321" i="53"/>
  <c r="M251" i="53"/>
  <c r="M348" i="53"/>
  <c r="M383" i="53" s="1"/>
  <c r="M253" i="53"/>
  <c r="M350" i="53"/>
  <c r="M385" i="53" s="1"/>
  <c r="M346" i="53"/>
  <c r="M381" i="53" s="1"/>
  <c r="M249" i="53"/>
  <c r="AJ243" i="53"/>
  <c r="AJ342" i="53"/>
  <c r="AJ377" i="53" s="1"/>
  <c r="AJ339" i="53"/>
  <c r="AJ374" i="53" s="1"/>
  <c r="AJ240" i="53"/>
  <c r="X358" i="53"/>
  <c r="X393" i="53" s="1"/>
  <c r="AJ244" i="53"/>
  <c r="N92" i="11"/>
  <c r="Q231" i="53"/>
  <c r="Q332" i="53"/>
  <c r="Q367" i="53" s="1"/>
  <c r="Q334" i="53"/>
  <c r="Q369" i="53" s="1"/>
  <c r="Q233" i="53"/>
  <c r="L347" i="53"/>
  <c r="L382" i="53" s="1"/>
  <c r="L250" i="53"/>
  <c r="X354" i="53"/>
  <c r="X389" i="53" s="1"/>
  <c r="X259" i="53"/>
  <c r="Q340" i="53"/>
  <c r="Q375" i="53" s="1"/>
  <c r="Q241" i="53"/>
  <c r="Q275" i="53"/>
  <c r="AJ346" i="53"/>
  <c r="AJ381" i="53" s="1"/>
  <c r="AJ249" i="53"/>
  <c r="AJ231" i="53"/>
  <c r="AJ332" i="53"/>
  <c r="AJ367" i="53" s="1"/>
  <c r="L357" i="53"/>
  <c r="L392" i="53" s="1"/>
  <c r="L262" i="53"/>
  <c r="S330" i="53"/>
  <c r="S365" i="53" s="1"/>
  <c r="S229" i="53"/>
  <c r="AD259" i="53"/>
  <c r="AD354" i="53"/>
  <c r="AD389" i="53" s="1"/>
  <c r="Z360" i="53"/>
  <c r="Z395" i="53" s="1"/>
  <c r="Z394" i="53"/>
  <c r="M330" i="53"/>
  <c r="M365" i="53" s="1"/>
  <c r="M229" i="53"/>
  <c r="Q359" i="53"/>
  <c r="Q264" i="53"/>
  <c r="X355" i="53"/>
  <c r="X390" i="53" s="1"/>
  <c r="X260" i="53"/>
  <c r="O213" i="53"/>
  <c r="O257" i="53" s="1"/>
  <c r="O216" i="53"/>
  <c r="O217" i="53"/>
  <c r="O220" i="53"/>
  <c r="O219" i="53"/>
  <c r="O218" i="53"/>
  <c r="O212" i="53"/>
  <c r="O221" i="53"/>
  <c r="O265" i="53" s="1"/>
  <c r="O215" i="53"/>
  <c r="AJ348" i="53"/>
  <c r="AJ383" i="53" s="1"/>
  <c r="AJ251" i="53"/>
  <c r="AJ229" i="53"/>
  <c r="AJ330" i="53"/>
  <c r="AJ365" i="53" s="1"/>
  <c r="L358" i="53"/>
  <c r="L393" i="53" s="1"/>
  <c r="L263" i="53"/>
  <c r="AD263" i="53"/>
  <c r="AD358" i="53"/>
  <c r="AD393" i="53" s="1"/>
  <c r="M331" i="53"/>
  <c r="M366" i="53" s="1"/>
  <c r="M230" i="53"/>
  <c r="AJ226" i="53"/>
  <c r="AJ269" i="53"/>
  <c r="AJ317" i="53"/>
  <c r="AJ318" i="53"/>
  <c r="AJ319" i="53"/>
  <c r="AJ316" i="53"/>
  <c r="AJ313" i="53"/>
  <c r="AK78" i="11"/>
  <c r="AJ315" i="53"/>
  <c r="AJ320" i="53"/>
  <c r="AJ314" i="53"/>
  <c r="AJ329" i="53"/>
  <c r="AJ364" i="53" s="1"/>
  <c r="F184" i="53"/>
  <c r="F228" i="53" s="1"/>
  <c r="F188" i="53"/>
  <c r="F187" i="53"/>
  <c r="F190" i="53"/>
  <c r="F189" i="53"/>
  <c r="F185" i="53"/>
  <c r="F186" i="53"/>
  <c r="F191" i="53"/>
  <c r="F235" i="53" s="1"/>
  <c r="F182" i="53"/>
  <c r="F227" i="53"/>
  <c r="S246" i="53"/>
  <c r="T92" i="11"/>
  <c r="S345" i="53"/>
  <c r="S380" i="53" s="1"/>
  <c r="AB341" i="53"/>
  <c r="AB376" i="53" s="1"/>
  <c r="AB242" i="53"/>
  <c r="S333" i="53"/>
  <c r="S368" i="53" s="1"/>
  <c r="S232" i="53"/>
  <c r="M333" i="53"/>
  <c r="M368" i="53" s="1"/>
  <c r="M232" i="53"/>
  <c r="AJ252" i="53"/>
  <c r="AJ349" i="53"/>
  <c r="AJ384" i="53" s="1"/>
  <c r="AJ232" i="53"/>
  <c r="AJ333" i="53"/>
  <c r="AJ368" i="53" s="1"/>
  <c r="S254" i="53"/>
  <c r="S351" i="53"/>
  <c r="AB240" i="53"/>
  <c r="AB339" i="53"/>
  <c r="AB374" i="53" s="1"/>
  <c r="S231" i="53"/>
  <c r="S332" i="53"/>
  <c r="S367" i="53" s="1"/>
  <c r="AD231" i="53"/>
  <c r="AD332" i="53"/>
  <c r="AD367" i="53" s="1"/>
  <c r="M317" i="53"/>
  <c r="M226" i="53"/>
  <c r="M319" i="53"/>
  <c r="M313" i="53"/>
  <c r="M314" i="53"/>
  <c r="M329" i="53"/>
  <c r="M364" i="53" s="1"/>
  <c r="M318" i="53"/>
  <c r="M315" i="53"/>
  <c r="M320" i="53"/>
  <c r="M316" i="53"/>
  <c r="M269" i="53"/>
  <c r="N78" i="11"/>
  <c r="Q262" i="53"/>
  <c r="Q357" i="53"/>
  <c r="Q392" i="53" s="1"/>
  <c r="O346" i="53"/>
  <c r="O381" i="53" s="1"/>
  <c r="O249" i="53"/>
  <c r="AJ254" i="53"/>
  <c r="AJ351" i="53"/>
  <c r="AJ335" i="53"/>
  <c r="AJ234" i="53"/>
  <c r="S350" i="53"/>
  <c r="S385" i="53" s="1"/>
  <c r="S253" i="53"/>
  <c r="AB337" i="53"/>
  <c r="AB372" i="53" s="1"/>
  <c r="AB236" i="53"/>
  <c r="AB272" i="53"/>
  <c r="AC84" i="11"/>
  <c r="AD331" i="53"/>
  <c r="AD366" i="53" s="1"/>
  <c r="AD230" i="53"/>
  <c r="Q353" i="53"/>
  <c r="Q388" i="53" s="1"/>
  <c r="Q256" i="53"/>
  <c r="R102" i="11"/>
  <c r="Q278" i="53"/>
  <c r="X256" i="53"/>
  <c r="X353" i="53"/>
  <c r="X388" i="53" s="1"/>
  <c r="Y102" i="11"/>
  <c r="X278" i="53"/>
  <c r="O345" i="53"/>
  <c r="O380" i="53" s="1"/>
  <c r="O246" i="53"/>
  <c r="P92" i="11"/>
  <c r="S249" i="53"/>
  <c r="S346" i="53"/>
  <c r="S381" i="53" s="1"/>
  <c r="AB243" i="53"/>
  <c r="AB342" i="53"/>
  <c r="AB377" i="53" s="1"/>
  <c r="AD234" i="53"/>
  <c r="AD335" i="53"/>
  <c r="M234" i="53"/>
  <c r="M335" i="53"/>
  <c r="Z352" i="53"/>
  <c r="Z387" i="53" s="1"/>
  <c r="Z386" i="53"/>
  <c r="X261" i="53"/>
  <c r="X356" i="53"/>
  <c r="X391" i="53" s="1"/>
  <c r="X357" i="53"/>
  <c r="X392" i="53" s="1"/>
  <c r="X262" i="53"/>
  <c r="Q355" i="53"/>
  <c r="Q390" i="53" s="1"/>
  <c r="Q260" i="53"/>
  <c r="Q335" i="53"/>
  <c r="Q234" i="53"/>
  <c r="Q263" i="53"/>
  <c r="Q358" i="53"/>
  <c r="Q393" i="53" s="1"/>
  <c r="Q313" i="53"/>
  <c r="Q226" i="53"/>
  <c r="Q269" i="53"/>
  <c r="Q314" i="53"/>
  <c r="Q320" i="53"/>
  <c r="Q315" i="53"/>
  <c r="Q317" i="53"/>
  <c r="Q319" i="53"/>
  <c r="Q318" i="53"/>
  <c r="Q316" i="53"/>
  <c r="Q329" i="53"/>
  <c r="Q364" i="53" s="1"/>
  <c r="R78" i="11"/>
  <c r="O349" i="53"/>
  <c r="O384" i="53" s="1"/>
  <c r="O252" i="53"/>
  <c r="AJ233" i="53"/>
  <c r="AJ334" i="53"/>
  <c r="AJ369" i="53" s="1"/>
  <c r="F218" i="53"/>
  <c r="F217" i="53"/>
  <c r="F215" i="53"/>
  <c r="F216" i="53"/>
  <c r="F219" i="53"/>
  <c r="F221" i="53"/>
  <c r="F265" i="53" s="1"/>
  <c r="F220" i="53"/>
  <c r="F212" i="53"/>
  <c r="F213" i="53"/>
  <c r="F257" i="53" s="1"/>
  <c r="AB340" i="53"/>
  <c r="AB375" i="53" s="1"/>
  <c r="AB241" i="53"/>
  <c r="AD319" i="53"/>
  <c r="AD314" i="53"/>
  <c r="AD329" i="53"/>
  <c r="AD364" i="53" s="1"/>
  <c r="AD313" i="53"/>
  <c r="AD226" i="53"/>
  <c r="AD320" i="53"/>
  <c r="AD317" i="53"/>
  <c r="AE78" i="11"/>
  <c r="AD316" i="53"/>
  <c r="AD318" i="53"/>
  <c r="AD315" i="53"/>
  <c r="AD269" i="53"/>
  <c r="Z344" i="53"/>
  <c r="Z379" i="53" s="1"/>
  <c r="Z378" i="53"/>
  <c r="O347" i="53"/>
  <c r="O382" i="53" s="1"/>
  <c r="O250" i="53"/>
  <c r="S250" i="53"/>
  <c r="S347" i="53"/>
  <c r="S382" i="53" s="1"/>
  <c r="AB338" i="53"/>
  <c r="AB373" i="53" s="1"/>
  <c r="AB239" i="53"/>
  <c r="AD333" i="53"/>
  <c r="AD368" i="53" s="1"/>
  <c r="AD232" i="53"/>
  <c r="O251" i="53"/>
  <c r="O348" i="53"/>
  <c r="O383" i="53" s="1"/>
  <c r="K201" i="53"/>
  <c r="K245" i="53" s="1"/>
  <c r="K198" i="53"/>
  <c r="K200" i="53"/>
  <c r="K199" i="53"/>
  <c r="K192" i="53"/>
  <c r="K193" i="53"/>
  <c r="K237" i="53" s="1"/>
  <c r="K195" i="53"/>
  <c r="K196" i="53"/>
  <c r="K197" i="53"/>
  <c r="S348" i="53"/>
  <c r="S383" i="53" s="1"/>
  <c r="S251" i="53"/>
  <c r="AB343" i="53"/>
  <c r="AB244" i="53"/>
  <c r="AD386" i="53"/>
  <c r="AD352" i="53"/>
  <c r="AD387" i="53" s="1"/>
  <c r="AD229" i="53"/>
  <c r="AD330" i="53"/>
  <c r="AD365" i="53" s="1"/>
  <c r="AJ344" i="53"/>
  <c r="AJ379" i="53" s="1"/>
  <c r="AJ378" i="53"/>
  <c r="L378" i="53"/>
  <c r="L344" i="53"/>
  <c r="L379" i="53" s="1"/>
  <c r="Q331" i="53"/>
  <c r="Q366" i="53" s="1"/>
  <c r="Q230" i="53"/>
  <c r="Z336" i="53"/>
  <c r="Z371" i="53" s="1"/>
  <c r="Z370" i="53"/>
  <c r="O350" i="53"/>
  <c r="O385" i="53" s="1"/>
  <c r="O253" i="53"/>
  <c r="S349" i="53"/>
  <c r="S384" i="53" s="1"/>
  <c r="S252" i="53"/>
  <c r="S378" i="53"/>
  <c r="AD334" i="53"/>
  <c r="AD369" i="53" s="1"/>
  <c r="AD233" i="53"/>
  <c r="O351" i="53"/>
  <c r="O254" i="53"/>
  <c r="AE352" i="53"/>
  <c r="AE387" i="53" s="1"/>
  <c r="AE386" i="53"/>
  <c r="K194" i="53"/>
  <c r="K238" i="53" s="1"/>
  <c r="R250" i="53"/>
  <c r="R347" i="53"/>
  <c r="R382" i="53" s="1"/>
  <c r="M356" i="53"/>
  <c r="M391" i="53" s="1"/>
  <c r="M261" i="53"/>
  <c r="F246" i="53"/>
  <c r="G92" i="11"/>
  <c r="F345" i="53"/>
  <c r="F380" i="53" s="1"/>
  <c r="F275" i="53"/>
  <c r="M263" i="53"/>
  <c r="M358" i="53"/>
  <c r="M393" i="53" s="1"/>
  <c r="K203" i="53"/>
  <c r="K247" i="53" s="1"/>
  <c r="K211" i="53"/>
  <c r="K255" i="53" s="1"/>
  <c r="K210" i="53"/>
  <c r="K202" i="53"/>
  <c r="K208" i="53"/>
  <c r="K209" i="53"/>
  <c r="K205" i="53"/>
  <c r="K207" i="53"/>
  <c r="K206" i="53"/>
  <c r="F254" i="53"/>
  <c r="F351" i="53"/>
  <c r="S275" i="53"/>
  <c r="R256" i="53"/>
  <c r="S102" i="11"/>
  <c r="R353" i="53"/>
  <c r="R388" i="53" s="1"/>
  <c r="R278" i="53"/>
  <c r="F250" i="53"/>
  <c r="F347" i="53"/>
  <c r="F382" i="53" s="1"/>
  <c r="M259" i="53"/>
  <c r="M354" i="53"/>
  <c r="M389" i="53" s="1"/>
  <c r="R332" i="53"/>
  <c r="R367" i="53" s="1"/>
  <c r="R231" i="53"/>
  <c r="AE370" i="53"/>
  <c r="AE336" i="53"/>
  <c r="AE371" i="53" s="1"/>
  <c r="X360" i="53"/>
  <c r="X395" i="53" s="1"/>
  <c r="X394" i="53"/>
  <c r="R355" i="53"/>
  <c r="R390" i="53" s="1"/>
  <c r="R260" i="53"/>
  <c r="F346" i="53"/>
  <c r="F381" i="53" s="1"/>
  <c r="F249" i="53"/>
  <c r="M260" i="53"/>
  <c r="M355" i="53"/>
  <c r="M390" i="53" s="1"/>
  <c r="S360" i="53"/>
  <c r="S395" i="53" s="1"/>
  <c r="S394" i="53"/>
  <c r="K231" i="53"/>
  <c r="K332" i="53"/>
  <c r="K367" i="53" s="1"/>
  <c r="F253" i="53"/>
  <c r="F350" i="53"/>
  <c r="F385" i="53" s="1"/>
  <c r="M262" i="53"/>
  <c r="M357" i="53"/>
  <c r="M392" i="53" s="1"/>
  <c r="K230" i="53"/>
  <c r="K331" i="53"/>
  <c r="K366" i="53" s="1"/>
  <c r="L249" i="53"/>
  <c r="L346" i="53"/>
  <c r="L381" i="53" s="1"/>
  <c r="AE360" i="53"/>
  <c r="AE395" i="53" s="1"/>
  <c r="AE394" i="53"/>
  <c r="R199" i="53"/>
  <c r="R195" i="53"/>
  <c r="R198" i="53"/>
  <c r="R200" i="53"/>
  <c r="R197" i="53"/>
  <c r="R196" i="53"/>
  <c r="R192" i="53"/>
  <c r="R201" i="53"/>
  <c r="R245" i="53" s="1"/>
  <c r="R193" i="53"/>
  <c r="R237" i="53" s="1"/>
  <c r="Q343" i="53"/>
  <c r="Q244" i="53"/>
  <c r="AB187" i="53"/>
  <c r="AB190" i="53"/>
  <c r="AB185" i="53"/>
  <c r="AB182" i="53"/>
  <c r="AB188" i="53"/>
  <c r="AB189" i="53"/>
  <c r="AB191" i="53"/>
  <c r="AB235" i="53" s="1"/>
  <c r="AB186" i="53"/>
  <c r="AB183" i="53"/>
  <c r="AB227" i="53" s="1"/>
  <c r="R259" i="53"/>
  <c r="R354" i="53"/>
  <c r="R389" i="53" s="1"/>
  <c r="F348" i="53"/>
  <c r="F383" i="53" s="1"/>
  <c r="F251" i="53"/>
  <c r="N102" i="11"/>
  <c r="M256" i="53"/>
  <c r="M353" i="53"/>
  <c r="M388" i="53" s="1"/>
  <c r="M278" i="53"/>
  <c r="R84" i="11"/>
  <c r="Q236" i="53"/>
  <c r="Q272" i="53"/>
  <c r="Q337" i="53"/>
  <c r="Q372" i="53" s="1"/>
  <c r="L355" i="53"/>
  <c r="L390" i="53" s="1"/>
  <c r="L260" i="53"/>
  <c r="R262" i="53"/>
  <c r="R357" i="53"/>
  <c r="R392" i="53" s="1"/>
  <c r="F349" i="53"/>
  <c r="F384" i="53" s="1"/>
  <c r="F252" i="53"/>
  <c r="K229" i="53"/>
  <c r="K330" i="53"/>
  <c r="K365" i="53" s="1"/>
  <c r="Q333" i="53"/>
  <c r="Q368" i="53" s="1"/>
  <c r="Q232" i="53"/>
  <c r="M344" i="53"/>
  <c r="M379" i="53" s="1"/>
  <c r="M378" i="53"/>
  <c r="Q229" i="53"/>
  <c r="Q330" i="53"/>
  <c r="Q365" i="53" s="1"/>
  <c r="L229" i="53"/>
  <c r="L330" i="53"/>
  <c r="L365" i="53" s="1"/>
  <c r="L345" i="53"/>
  <c r="L380" i="53" s="1"/>
  <c r="L246" i="53"/>
  <c r="M92" i="11"/>
  <c r="L354" i="53"/>
  <c r="L389" i="53" s="1"/>
  <c r="L259" i="53"/>
  <c r="AB184" i="53"/>
  <c r="AB228" i="53" s="1"/>
  <c r="AE378" i="53"/>
  <c r="AE344" i="53"/>
  <c r="AE379" i="53" s="1"/>
  <c r="R356" i="53"/>
  <c r="R391" i="53" s="1"/>
  <c r="R261" i="53"/>
  <c r="AD260" i="53"/>
  <c r="AD355" i="53"/>
  <c r="AD390" i="53" s="1"/>
  <c r="M359" i="53"/>
  <c r="M264" i="53"/>
  <c r="K333" i="53"/>
  <c r="K368" i="53" s="1"/>
  <c r="K232" i="53"/>
  <c r="L349" i="53"/>
  <c r="L384" i="53" s="1"/>
  <c r="L252" i="53"/>
  <c r="L253" i="53"/>
  <c r="L350" i="53"/>
  <c r="L385" i="53" s="1"/>
  <c r="L335" i="53"/>
  <c r="L234" i="53"/>
  <c r="Q242" i="53"/>
  <c r="Q341" i="53"/>
  <c r="Q376" i="53" s="1"/>
  <c r="AJ360" i="53"/>
  <c r="AJ395" i="53" s="1"/>
  <c r="AJ394" i="53"/>
  <c r="AJ253" i="53"/>
  <c r="AJ350" i="53"/>
  <c r="AJ385" i="53" s="1"/>
  <c r="R359" i="53"/>
  <c r="R264" i="53"/>
  <c r="S226" i="53"/>
  <c r="S317" i="53"/>
  <c r="S269" i="53"/>
  <c r="S319" i="53"/>
  <c r="S313" i="53"/>
  <c r="S318" i="53"/>
  <c r="S314" i="53"/>
  <c r="S315" i="53"/>
  <c r="S316" i="53"/>
  <c r="S329" i="53"/>
  <c r="S364" i="53" s="1"/>
  <c r="S320" i="53"/>
  <c r="T78" i="11"/>
  <c r="AD359" i="53"/>
  <c r="AD264" i="53"/>
  <c r="Q352" i="53"/>
  <c r="Q387" i="53" s="1"/>
  <c r="Q386" i="53"/>
  <c r="K329" i="53"/>
  <c r="K364" i="53" s="1"/>
  <c r="K269" i="53"/>
  <c r="K226" i="53"/>
  <c r="L78" i="11"/>
  <c r="Q354" i="53"/>
  <c r="Q389" i="53" s="1"/>
  <c r="Q259" i="53"/>
  <c r="AE321" i="53"/>
  <c r="L226" i="53"/>
  <c r="L269" i="53"/>
  <c r="L329" i="53"/>
  <c r="L364" i="53" s="1"/>
  <c r="L317" i="53"/>
  <c r="L315" i="53"/>
  <c r="L314" i="53"/>
  <c r="L313" i="53"/>
  <c r="L318" i="53"/>
  <c r="L320" i="53"/>
  <c r="L319" i="53"/>
  <c r="L316" i="53"/>
  <c r="M78" i="11"/>
  <c r="AD378" i="53"/>
  <c r="AD344" i="53"/>
  <c r="AD379" i="53" s="1"/>
  <c r="Q240" i="53"/>
  <c r="Q339" i="53"/>
  <c r="Q374" i="53" s="1"/>
  <c r="O189" i="53"/>
  <c r="O187" i="53"/>
  <c r="O186" i="53"/>
  <c r="O190" i="53"/>
  <c r="O188" i="53"/>
  <c r="O182" i="53"/>
  <c r="O191" i="53"/>
  <c r="O235" i="53" s="1"/>
  <c r="O185" i="53"/>
  <c r="O183" i="53"/>
  <c r="O227" i="53" s="1"/>
  <c r="L356" i="53"/>
  <c r="L391" i="53" s="1"/>
  <c r="L261" i="53"/>
  <c r="R263" i="53"/>
  <c r="R358" i="53"/>
  <c r="R393" i="53" s="1"/>
  <c r="S335" i="53"/>
  <c r="S234" i="53"/>
  <c r="AD262" i="53"/>
  <c r="AD357" i="53"/>
  <c r="AD392" i="53" s="1"/>
  <c r="K334" i="53"/>
  <c r="K369" i="53" s="1"/>
  <c r="K233" i="53"/>
  <c r="Q356" i="53"/>
  <c r="Q391" i="53" s="1"/>
  <c r="Q261" i="53"/>
  <c r="AJ275" i="53"/>
  <c r="L334" i="53"/>
  <c r="L369" i="53" s="1"/>
  <c r="L233" i="53"/>
  <c r="Q243" i="53"/>
  <c r="Q342" i="53"/>
  <c r="Q377" i="53" s="1"/>
  <c r="O184" i="53"/>
  <c r="O228" i="53" s="1"/>
  <c r="AJ347" i="53"/>
  <c r="AJ382" i="53" s="1"/>
  <c r="AJ250" i="53"/>
  <c r="L353" i="53"/>
  <c r="L388" i="53" s="1"/>
  <c r="M102" i="11"/>
  <c r="L256" i="53"/>
  <c r="L278" i="53"/>
  <c r="S233" i="53"/>
  <c r="S334" i="53"/>
  <c r="S369" i="53" s="1"/>
  <c r="AD353" i="53"/>
  <c r="AD388" i="53" s="1"/>
  <c r="AD256" i="53"/>
  <c r="AD278" i="53"/>
  <c r="AE102" i="11"/>
  <c r="M332" i="53"/>
  <c r="M367" i="53" s="1"/>
  <c r="M231" i="53"/>
  <c r="K234" i="53"/>
  <c r="K335" i="53"/>
  <c r="X183" i="53"/>
  <c r="X227" i="53" s="1"/>
  <c r="X186" i="53"/>
  <c r="X185" i="53"/>
  <c r="X182" i="53"/>
  <c r="X187" i="53"/>
  <c r="X190" i="53"/>
  <c r="X188" i="53"/>
  <c r="X191" i="53"/>
  <c r="X235" i="53" s="1"/>
  <c r="X189" i="53"/>
  <c r="L348" i="53"/>
  <c r="L383" i="53" s="1"/>
  <c r="L251" i="53"/>
  <c r="L230" i="53"/>
  <c r="L331" i="53"/>
  <c r="L366" i="53" s="1"/>
  <c r="L351" i="53"/>
  <c r="L254" i="53"/>
  <c r="L231" i="53"/>
  <c r="L332" i="53"/>
  <c r="L367" i="53" s="1"/>
  <c r="X350" i="53"/>
  <c r="X385" i="53" s="1"/>
  <c r="X253" i="53"/>
  <c r="L333" i="53"/>
  <c r="L368" i="53" s="1"/>
  <c r="L232" i="53"/>
  <c r="Q338" i="53"/>
  <c r="Q373" i="53" s="1"/>
  <c r="Q239" i="53"/>
  <c r="AJ246" i="53"/>
  <c r="AJ345" i="53"/>
  <c r="AJ380" i="53" s="1"/>
  <c r="AK92" i="11"/>
  <c r="AJ230" i="53"/>
  <c r="AJ331" i="53"/>
  <c r="AJ366" i="53" s="1"/>
  <c r="L359" i="53"/>
  <c r="L264" i="53"/>
  <c r="AB260" i="53"/>
  <c r="AB355" i="53"/>
  <c r="AB390" i="53" s="1"/>
  <c r="S230" i="53"/>
  <c r="S331" i="53"/>
  <c r="S366" i="53" s="1"/>
  <c r="AD356" i="53"/>
  <c r="AD391" i="53" s="1"/>
  <c r="AD261" i="53"/>
  <c r="M334" i="53"/>
  <c r="M369" i="53" s="1"/>
  <c r="M233" i="53"/>
  <c r="F341" i="53" l="1"/>
  <c r="F376" i="53" s="1"/>
  <c r="F241" i="53"/>
  <c r="R251" i="53"/>
  <c r="F339" i="53"/>
  <c r="F374" i="53" s="1"/>
  <c r="F243" i="53"/>
  <c r="R253" i="53"/>
  <c r="F244" i="53"/>
  <c r="K262" i="53"/>
  <c r="T106" i="11"/>
  <c r="F239" i="53"/>
  <c r="AB259" i="53"/>
  <c r="R335" i="53"/>
  <c r="R336" i="53" s="1"/>
  <c r="R371" i="53" s="1"/>
  <c r="R349" i="53"/>
  <c r="R384" i="53" s="1"/>
  <c r="R249" i="53"/>
  <c r="O341" i="53"/>
  <c r="O376" i="53" s="1"/>
  <c r="AB262" i="53"/>
  <c r="X250" i="53"/>
  <c r="AB353" i="53"/>
  <c r="AB388" i="53" s="1"/>
  <c r="AB356" i="53"/>
  <c r="AB391" i="53" s="1"/>
  <c r="R229" i="53"/>
  <c r="O244" i="53"/>
  <c r="AB264" i="53"/>
  <c r="X342" i="53"/>
  <c r="X377" i="53" s="1"/>
  <c r="G84" i="11"/>
  <c r="F272" i="53"/>
  <c r="F337" i="53"/>
  <c r="F372" i="53" s="1"/>
  <c r="AB251" i="53"/>
  <c r="AB350" i="53"/>
  <c r="AB385" i="53" s="1"/>
  <c r="R254" i="53"/>
  <c r="R345" i="53"/>
  <c r="R380" i="53" s="1"/>
  <c r="AB351" i="53"/>
  <c r="AB386" i="53" s="1"/>
  <c r="K355" i="53"/>
  <c r="K390" i="53" s="1"/>
  <c r="X337" i="53"/>
  <c r="X372" i="53" s="1"/>
  <c r="AB275" i="53"/>
  <c r="AB278" i="53"/>
  <c r="S92" i="11"/>
  <c r="X252" i="53"/>
  <c r="X343" i="53"/>
  <c r="X378" i="53" s="1"/>
  <c r="AB263" i="53"/>
  <c r="M386" i="53"/>
  <c r="O243" i="53"/>
  <c r="O239" i="53"/>
  <c r="AB246" i="53"/>
  <c r="X241" i="53"/>
  <c r="Y84" i="11"/>
  <c r="AC102" i="11"/>
  <c r="AC92" i="11"/>
  <c r="X339" i="53"/>
  <c r="X374" i="53" s="1"/>
  <c r="X240" i="53"/>
  <c r="S78" i="11"/>
  <c r="R329" i="53"/>
  <c r="R364" i="53" s="1"/>
  <c r="R331" i="53"/>
  <c r="R366" i="53" s="1"/>
  <c r="X272" i="53"/>
  <c r="X275" i="53"/>
  <c r="K320" i="53"/>
  <c r="K263" i="53"/>
  <c r="AB346" i="53"/>
  <c r="AB381" i="53" s="1"/>
  <c r="AK106" i="11"/>
  <c r="R269" i="53"/>
  <c r="AB249" i="53"/>
  <c r="L102" i="11"/>
  <c r="X239" i="53"/>
  <c r="K259" i="53"/>
  <c r="O340" i="53"/>
  <c r="O375" i="53" s="1"/>
  <c r="R232" i="53"/>
  <c r="P84" i="11"/>
  <c r="O339" i="53"/>
  <c r="O374" i="53" s="1"/>
  <c r="AB250" i="53"/>
  <c r="O275" i="53"/>
  <c r="X345" i="53"/>
  <c r="X380" i="53" s="1"/>
  <c r="K359" i="53"/>
  <c r="K394" i="53" s="1"/>
  <c r="Y92" i="11"/>
  <c r="X254" i="53"/>
  <c r="X351" i="53"/>
  <c r="K278" i="53"/>
  <c r="X346" i="53"/>
  <c r="X381" i="53" s="1"/>
  <c r="K353" i="53"/>
  <c r="K388" i="53" s="1"/>
  <c r="O272" i="53"/>
  <c r="X251" i="53"/>
  <c r="K316" i="53"/>
  <c r="X249" i="53"/>
  <c r="K256" i="53"/>
  <c r="O337" i="53"/>
  <c r="O372" i="53" s="1"/>
  <c r="K315" i="53"/>
  <c r="O236" i="53"/>
  <c r="K313" i="53"/>
  <c r="K314" i="53"/>
  <c r="K319" i="53"/>
  <c r="R334" i="53"/>
  <c r="R369" i="53" s="1"/>
  <c r="AB252" i="53"/>
  <c r="K356" i="53"/>
  <c r="K391" i="53" s="1"/>
  <c r="K261" i="53"/>
  <c r="K317" i="53"/>
  <c r="R319" i="53"/>
  <c r="M106" i="11"/>
  <c r="R314" i="53"/>
  <c r="R315" i="53"/>
  <c r="R320" i="53"/>
  <c r="AJ321" i="53"/>
  <c r="AB233" i="53"/>
  <c r="AB334" i="53"/>
  <c r="AB369" i="53" s="1"/>
  <c r="X229" i="53"/>
  <c r="X330" i="53"/>
  <c r="X365" i="53" s="1"/>
  <c r="K246" i="53"/>
  <c r="K345" i="53"/>
  <c r="K380" i="53" s="1"/>
  <c r="L92" i="11"/>
  <c r="K340" i="53"/>
  <c r="K375" i="53" s="1"/>
  <c r="K241" i="53"/>
  <c r="K275" i="53"/>
  <c r="F357" i="53"/>
  <c r="F392" i="53" s="1"/>
  <c r="F262" i="53"/>
  <c r="Q336" i="53"/>
  <c r="Q371" i="53" s="1"/>
  <c r="Q370" i="53"/>
  <c r="O353" i="53"/>
  <c r="O388" i="53" s="1"/>
  <c r="O256" i="53"/>
  <c r="P102" i="11"/>
  <c r="O278" i="53"/>
  <c r="X230" i="53"/>
  <c r="X331" i="53"/>
  <c r="X366" i="53" s="1"/>
  <c r="O330" i="53"/>
  <c r="O365" i="53" s="1"/>
  <c r="O229" i="53"/>
  <c r="R236" i="53"/>
  <c r="R337" i="53"/>
  <c r="R372" i="53" s="1"/>
  <c r="R272" i="53"/>
  <c r="S84" i="11"/>
  <c r="K351" i="53"/>
  <c r="K254" i="53"/>
  <c r="K339" i="53"/>
  <c r="K374" i="53" s="1"/>
  <c r="K240" i="53"/>
  <c r="AJ370" i="53"/>
  <c r="AJ336" i="53"/>
  <c r="AJ371" i="53" s="1"/>
  <c r="O262" i="53"/>
  <c r="O357" i="53"/>
  <c r="O392" i="53" s="1"/>
  <c r="R339" i="53"/>
  <c r="R374" i="53" s="1"/>
  <c r="R240" i="53"/>
  <c r="K239" i="53"/>
  <c r="K338" i="53"/>
  <c r="K373" i="53" s="1"/>
  <c r="AJ352" i="53"/>
  <c r="AJ387" i="53" s="1"/>
  <c r="AJ386" i="53"/>
  <c r="O358" i="53"/>
  <c r="O393" i="53" s="1"/>
  <c r="O263" i="53"/>
  <c r="K370" i="53"/>
  <c r="K336" i="53"/>
  <c r="K371" i="53" s="1"/>
  <c r="O329" i="53"/>
  <c r="O364" i="53" s="1"/>
  <c r="O317" i="53"/>
  <c r="O313" i="53"/>
  <c r="O316" i="53"/>
  <c r="O269" i="53"/>
  <c r="O320" i="53"/>
  <c r="O226" i="53"/>
  <c r="O314" i="53"/>
  <c r="O319" i="53"/>
  <c r="O315" i="53"/>
  <c r="O318" i="53"/>
  <c r="P78" i="11"/>
  <c r="R340" i="53"/>
  <c r="R375" i="53" s="1"/>
  <c r="R241" i="53"/>
  <c r="R275" i="53"/>
  <c r="R352" i="53"/>
  <c r="R387" i="53" s="1"/>
  <c r="R386" i="53"/>
  <c r="AE106" i="11"/>
  <c r="O264" i="53"/>
  <c r="O359" i="53"/>
  <c r="R343" i="53"/>
  <c r="R244" i="53"/>
  <c r="K236" i="53"/>
  <c r="K337" i="53"/>
  <c r="K372" i="53" s="1"/>
  <c r="L84" i="11"/>
  <c r="K272" i="53"/>
  <c r="O261" i="53"/>
  <c r="O356" i="53"/>
  <c r="O391" i="53" s="1"/>
  <c r="S321" i="53"/>
  <c r="K243" i="53"/>
  <c r="K342" i="53"/>
  <c r="K377" i="53" s="1"/>
  <c r="O355" i="53"/>
  <c r="O390" i="53" s="1"/>
  <c r="O260" i="53"/>
  <c r="O333" i="53"/>
  <c r="O368" i="53" s="1"/>
  <c r="O232" i="53"/>
  <c r="O335" i="53"/>
  <c r="O234" i="53"/>
  <c r="R341" i="53"/>
  <c r="R376" i="53" s="1"/>
  <c r="R242" i="53"/>
  <c r="O230" i="53"/>
  <c r="O331" i="53"/>
  <c r="O366" i="53" s="1"/>
  <c r="R239" i="53"/>
  <c r="R338" i="53"/>
  <c r="R373" i="53" s="1"/>
  <c r="R316" i="53"/>
  <c r="K244" i="53"/>
  <c r="K343" i="53"/>
  <c r="R243" i="53"/>
  <c r="R342" i="53"/>
  <c r="R377" i="53" s="1"/>
  <c r="R317" i="53"/>
  <c r="K242" i="53"/>
  <c r="K341" i="53"/>
  <c r="K376" i="53" s="1"/>
  <c r="AD321" i="53"/>
  <c r="R106" i="11"/>
  <c r="R313" i="53"/>
  <c r="S386" i="53"/>
  <c r="S352" i="53"/>
  <c r="S387" i="53" s="1"/>
  <c r="N106" i="11"/>
  <c r="Q394" i="53"/>
  <c r="Q360" i="53"/>
  <c r="Q395" i="53" s="1"/>
  <c r="R318" i="53"/>
  <c r="F315" i="53"/>
  <c r="F316" i="53"/>
  <c r="F269" i="53"/>
  <c r="F317" i="53"/>
  <c r="F313" i="53"/>
  <c r="G78" i="11"/>
  <c r="F318" i="53"/>
  <c r="F226" i="53"/>
  <c r="F319" i="53"/>
  <c r="F329" i="53"/>
  <c r="F364" i="53" s="1"/>
  <c r="F314" i="53"/>
  <c r="F320" i="53"/>
  <c r="M360" i="53"/>
  <c r="M395" i="53" s="1"/>
  <c r="M394" i="53"/>
  <c r="F230" i="53"/>
  <c r="F331" i="53"/>
  <c r="F366" i="53" s="1"/>
  <c r="O332" i="53"/>
  <c r="O367" i="53" s="1"/>
  <c r="O231" i="53"/>
  <c r="M336" i="53"/>
  <c r="M371" i="53" s="1"/>
  <c r="M370" i="53"/>
  <c r="F330" i="53"/>
  <c r="F365" i="53" s="1"/>
  <c r="F229" i="53"/>
  <c r="S336" i="53"/>
  <c r="S371" i="53" s="1"/>
  <c r="S370" i="53"/>
  <c r="F352" i="53"/>
  <c r="F387" i="53" s="1"/>
  <c r="F386" i="53"/>
  <c r="F233" i="53"/>
  <c r="F334" i="53"/>
  <c r="F369" i="53" s="1"/>
  <c r="L394" i="53"/>
  <c r="L360" i="53"/>
  <c r="L395" i="53" s="1"/>
  <c r="AB232" i="53"/>
  <c r="AB333" i="53"/>
  <c r="AB368" i="53" s="1"/>
  <c r="O344" i="53"/>
  <c r="O379" i="53" s="1"/>
  <c r="O378" i="53"/>
  <c r="AD336" i="53"/>
  <c r="AD371" i="53" s="1"/>
  <c r="AD370" i="53"/>
  <c r="F335" i="53"/>
  <c r="F234" i="53"/>
  <c r="K318" i="53"/>
  <c r="AB314" i="53"/>
  <c r="AB320" i="53"/>
  <c r="AB226" i="53"/>
  <c r="AB329" i="53"/>
  <c r="AB364" i="53" s="1"/>
  <c r="AB315" i="53"/>
  <c r="AC78" i="11"/>
  <c r="AB269" i="53"/>
  <c r="AB318" i="53"/>
  <c r="AB317" i="53"/>
  <c r="AB316" i="53"/>
  <c r="AB313" i="53"/>
  <c r="AB319" i="53"/>
  <c r="O386" i="53"/>
  <c r="O352" i="53"/>
  <c r="O387" i="53" s="1"/>
  <c r="AB344" i="53"/>
  <c r="AB379" i="53" s="1"/>
  <c r="AB378" i="53"/>
  <c r="F353" i="53"/>
  <c r="F388" i="53" s="1"/>
  <c r="F256" i="53"/>
  <c r="G102" i="11"/>
  <c r="F278" i="53"/>
  <c r="F231" i="53"/>
  <c r="F332" i="53"/>
  <c r="F367" i="53" s="1"/>
  <c r="O233" i="53"/>
  <c r="O334" i="53"/>
  <c r="O369" i="53" s="1"/>
  <c r="R360" i="53"/>
  <c r="R395" i="53" s="1"/>
  <c r="R394" i="53"/>
  <c r="Q321" i="53"/>
  <c r="AB394" i="53"/>
  <c r="AB360" i="53"/>
  <c r="AB395" i="53" s="1"/>
  <c r="M321" i="53"/>
  <c r="F333" i="53"/>
  <c r="F368" i="53" s="1"/>
  <c r="F232" i="53"/>
  <c r="X233" i="53"/>
  <c r="X334" i="53"/>
  <c r="X369" i="53" s="1"/>
  <c r="AB234" i="53"/>
  <c r="AB335" i="53"/>
  <c r="K250" i="53"/>
  <c r="K347" i="53"/>
  <c r="K382" i="53" s="1"/>
  <c r="L352" i="53"/>
  <c r="L387" i="53" s="1"/>
  <c r="L386" i="53"/>
  <c r="L321" i="53"/>
  <c r="F264" i="53"/>
  <c r="F359" i="53"/>
  <c r="X232" i="53"/>
  <c r="X333" i="53"/>
  <c r="X368" i="53" s="1"/>
  <c r="AB332" i="53"/>
  <c r="AB367" i="53" s="1"/>
  <c r="AB231" i="53"/>
  <c r="K251" i="53"/>
  <c r="K348" i="53"/>
  <c r="K383" i="53" s="1"/>
  <c r="F358" i="53"/>
  <c r="F393" i="53" s="1"/>
  <c r="F263" i="53"/>
  <c r="AB330" i="53"/>
  <c r="AB365" i="53" s="1"/>
  <c r="AB229" i="53"/>
  <c r="X335" i="53"/>
  <c r="X234" i="53"/>
  <c r="F260" i="53"/>
  <c r="F355" i="53"/>
  <c r="F390" i="53" s="1"/>
  <c r="AD394" i="53"/>
  <c r="AD360" i="53"/>
  <c r="AD395" i="53" s="1"/>
  <c r="K346" i="53"/>
  <c r="K381" i="53" s="1"/>
  <c r="K249" i="53"/>
  <c r="X332" i="53"/>
  <c r="X367" i="53" s="1"/>
  <c r="X231" i="53"/>
  <c r="Q378" i="53"/>
  <c r="Q344" i="53"/>
  <c r="Q379" i="53" s="1"/>
  <c r="K253" i="53"/>
  <c r="K350" i="53"/>
  <c r="K385" i="53" s="1"/>
  <c r="F259" i="53"/>
  <c r="F354" i="53"/>
  <c r="F389" i="53" s="1"/>
  <c r="O354" i="53"/>
  <c r="O389" i="53" s="1"/>
  <c r="O259" i="53"/>
  <c r="AB331" i="53"/>
  <c r="AB366" i="53" s="1"/>
  <c r="AB230" i="53"/>
  <c r="F344" i="53"/>
  <c r="F379" i="53" s="1"/>
  <c r="F378" i="53"/>
  <c r="X269" i="53"/>
  <c r="X329" i="53"/>
  <c r="X364" i="53" s="1"/>
  <c r="X226" i="53"/>
  <c r="X316" i="53"/>
  <c r="X320" i="53"/>
  <c r="X319" i="53"/>
  <c r="X315" i="53"/>
  <c r="X317" i="53"/>
  <c r="X313" i="53"/>
  <c r="X314" i="53"/>
  <c r="X318" i="53"/>
  <c r="Y78" i="11"/>
  <c r="L336" i="53"/>
  <c r="L371" i="53" s="1"/>
  <c r="L370" i="53"/>
  <c r="K252" i="53"/>
  <c r="K349" i="53"/>
  <c r="K384" i="53" s="1"/>
  <c r="F261" i="53"/>
  <c r="F356" i="53"/>
  <c r="F391" i="53" s="1"/>
  <c r="R370" i="53" l="1"/>
  <c r="Y106" i="11"/>
  <c r="AB352" i="53"/>
  <c r="AB387" i="53" s="1"/>
  <c r="L106" i="11"/>
  <c r="X344" i="53"/>
  <c r="X379" i="53" s="1"/>
  <c r="AC106" i="11"/>
  <c r="S106" i="11"/>
  <c r="K360" i="53"/>
  <c r="K395" i="53" s="1"/>
  <c r="K321" i="53"/>
  <c r="AB321" i="53"/>
  <c r="X386" i="53"/>
  <c r="X352" i="53"/>
  <c r="X387" i="53" s="1"/>
  <c r="P106" i="11"/>
  <c r="X321" i="53"/>
  <c r="K344" i="53"/>
  <c r="K379" i="53" s="1"/>
  <c r="K378" i="53"/>
  <c r="G106" i="11"/>
  <c r="F321" i="53"/>
  <c r="R378" i="53"/>
  <c r="R344" i="53"/>
  <c r="R379" i="53" s="1"/>
  <c r="O360" i="53"/>
  <c r="O395" i="53" s="1"/>
  <c r="O394" i="53"/>
  <c r="AB336" i="53"/>
  <c r="AB371" i="53" s="1"/>
  <c r="AB370" i="53"/>
  <c r="O336" i="53"/>
  <c r="O371" i="53" s="1"/>
  <c r="O370" i="53"/>
  <c r="X336" i="53"/>
  <c r="X371" i="53" s="1"/>
  <c r="X370" i="53"/>
  <c r="R321" i="53"/>
  <c r="F370" i="53"/>
  <c r="F336" i="53"/>
  <c r="F371" i="53" s="1"/>
  <c r="K386" i="53"/>
  <c r="K352" i="53"/>
  <c r="K387" i="53" s="1"/>
  <c r="F360" i="53"/>
  <c r="F395" i="53" s="1"/>
  <c r="F394" i="53"/>
  <c r="O321" i="5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E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F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G4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H4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I4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J4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K4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Alessandro Chiodi:
</t>
        </r>
        <r>
          <rPr>
            <sz val="9"/>
            <color indexed="81"/>
            <rFont val="Tahoma"/>
            <family val="2"/>
          </rPr>
          <t>Assumed based on 2008 population and Serbia household occupancy</t>
        </r>
      </text>
    </comment>
    <comment ref="E6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F6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G6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H6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I6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J6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K6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 xml:space="preserve">Alessandro Chiodi:
</t>
        </r>
        <r>
          <rPr>
            <sz val="9"/>
            <color indexed="81"/>
            <rFont val="Tahoma"/>
            <family val="2"/>
          </rPr>
          <t>Assumed based on 2008 population and Serbia household occupancy</t>
        </r>
      </text>
    </comment>
    <comment ref="E9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F9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G9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H9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I9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J9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K9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2008 value from ODYSSEE
</t>
        </r>
      </text>
    </comment>
    <comment ref="E22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F22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G22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H22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I22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J22" authorId="0" shapeId="0" xr:uid="{00000000-0006-0000-0200-00001B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K22" authorId="0" shapeId="0" xr:uid="{00000000-0006-0000-0200-00001C000000}">
      <text>
        <r>
          <rPr>
            <b/>
            <sz val="9"/>
            <color indexed="81"/>
            <rFont val="Tahoma"/>
            <family val="2"/>
          </rPr>
          <t xml:space="preserve">Alessandro Chiodi:
</t>
        </r>
        <r>
          <rPr>
            <sz val="9"/>
            <color indexed="81"/>
            <rFont val="Tahoma"/>
            <family val="2"/>
          </rPr>
          <t>Assumed based on 2008 population and Norway household occupancy</t>
        </r>
      </text>
    </comment>
    <comment ref="E24" authorId="0" shapeId="0" xr:uid="{00000000-0006-0000-0200-00001D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F24" authorId="0" shapeId="0" xr:uid="{00000000-0006-0000-0200-00001E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G24" authorId="0" shapeId="0" xr:uid="{00000000-0006-0000-0200-00001F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H24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I24" authorId="0" shapeId="0" xr:uid="{00000000-0006-0000-0200-00002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J24" authorId="0" shapeId="0" xr:uid="{00000000-0006-0000-0200-00002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K24" authorId="0" shapeId="0" xr:uid="{00000000-0006-0000-0200-000023000000}">
      <text>
        <r>
          <rPr>
            <b/>
            <sz val="9"/>
            <color indexed="81"/>
            <rFont val="Tahoma"/>
            <family val="2"/>
          </rPr>
          <t xml:space="preserve">Alessandro Chiodi:
</t>
        </r>
        <r>
          <rPr>
            <sz val="9"/>
            <color indexed="81"/>
            <rFont val="Tahoma"/>
            <family val="2"/>
          </rPr>
          <t>Assumed based on 2008 population and Serbia household occupancy</t>
        </r>
      </text>
    </comment>
    <comment ref="E28" authorId="0" shapeId="0" xr:uid="{00000000-0006-0000-0200-00002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F28" authorId="0" shapeId="0" xr:uid="{00000000-0006-0000-0200-00002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G28" authorId="0" shapeId="0" xr:uid="{00000000-0006-0000-0200-00002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H28" authorId="0" shapeId="0" xr:uid="{00000000-0006-0000-0200-00002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I28" authorId="0" shapeId="0" xr:uid="{00000000-0006-0000-0200-00002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J28" authorId="0" shapeId="0" xr:uid="{00000000-0006-0000-0200-000029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K28" authorId="0" shapeId="0" xr:uid="{00000000-0006-0000-0200-00002A000000}">
      <text>
        <r>
          <rPr>
            <b/>
            <sz val="9"/>
            <color indexed="81"/>
            <rFont val="Tahoma"/>
            <family val="2"/>
          </rPr>
          <t xml:space="preserve">Alessandro Chiodi:
</t>
        </r>
        <r>
          <rPr>
            <sz val="9"/>
            <color indexed="81"/>
            <rFont val="Tahoma"/>
            <family val="2"/>
          </rPr>
          <t>Assumed based on 2008 population and Serbia household occupancy</t>
        </r>
      </text>
    </comment>
    <comment ref="E29" authorId="0" shapeId="0" xr:uid="{00000000-0006-0000-0200-00002B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F29" authorId="0" shapeId="0" xr:uid="{00000000-0006-0000-0200-00002C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G29" authorId="0" shapeId="0" xr:uid="{00000000-0006-0000-0200-00002D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H29" authorId="0" shapeId="0" xr:uid="{00000000-0006-0000-0200-00002E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I29" authorId="0" shapeId="0" xr:uid="{00000000-0006-0000-0200-00002F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J29" authorId="0" shapeId="0" xr:uid="{00000000-0006-0000-0200-000030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K29" authorId="0" shapeId="0" xr:uid="{00000000-0006-0000-0200-000031000000}">
      <text>
        <r>
          <rPr>
            <b/>
            <sz val="9"/>
            <color indexed="81"/>
            <rFont val="Tahoma"/>
            <family val="2"/>
          </rPr>
          <t xml:space="preserve">Alessandro Chiodi:
</t>
        </r>
        <r>
          <rPr>
            <sz val="9"/>
            <color indexed="81"/>
            <rFont val="Tahoma"/>
            <family val="2"/>
          </rPr>
          <t>Assumed based on 2008 population and Serbia household occupancy</t>
        </r>
      </text>
    </comment>
    <comment ref="E32" authorId="0" shapeId="0" xr:uid="{00000000-0006-0000-0200-00003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F32" authorId="0" shapeId="0" xr:uid="{00000000-0006-0000-0200-00003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G32" authorId="0" shapeId="0" xr:uid="{00000000-0006-0000-0200-00003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H32" authorId="0" shapeId="0" xr:uid="{00000000-0006-0000-0200-00003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I32" authorId="0" shapeId="0" xr:uid="{00000000-0006-0000-0200-00003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J32" authorId="0" shapeId="0" xr:uid="{00000000-0006-0000-0200-00003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K32" authorId="0" shapeId="0" xr:uid="{00000000-0006-0000-0200-00003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2008 value from ODYSSEE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RDM</author>
    <author>Amit Kanudia</author>
  </authors>
  <commentList>
    <comment ref="C2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IDEES 2010
with HDD Adjustments to the mean HDD</t>
        </r>
      </text>
    </comment>
    <comment ref="J2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IDEES 2010
with HDD Adjustments to the mean HDD</t>
        </r>
      </text>
    </comment>
    <comment ref="A23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5/24/2015
Part of the difference explained by stock that is not heated. For example, when families have multiple houses. This applies only when ATT &lt; 1.</t>
        </r>
      </text>
    </comment>
    <comment ref="A24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5/24/2015
Part of the difference that is explained by difference in actual heating intensity. For example, due to a different temperature preference, or due to insufficient resources to heat to a standard comfort level.</t>
        </r>
      </text>
    </comment>
    <comment ref="C26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geometrical analysis
(Mean HDD)</t>
        </r>
      </text>
    </comment>
    <comment ref="J26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geometrical analysis
(Mean HDD)</t>
        </r>
      </text>
    </comment>
    <comment ref="A29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dummy prc aiming at controlling the theoretical extra needs (other factors like F.P., behaviour,..)</t>
        </r>
      </text>
    </comment>
    <comment ref="D92" authorId="1" shapeId="0" xr:uid="{00000000-0006-0000-0300-000008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18-12-2020
applied threshold (scaling issues)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  <author>Amit Kanudia</author>
  </authors>
  <commentList>
    <comment ref="E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Assumption</t>
        </r>
      </text>
    </comment>
    <comment ref="AR5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5/7/2015
lower capacity (per dwelling) as actually these are higher capacity boilers that are shared between several dwellings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U14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  <comment ref="H148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  <comment ref="M148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  <comment ref="P148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  <comment ref="AF148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  <comment ref="U153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U139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  <comment ref="H143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  <comment ref="M143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  <comment ref="P143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  <comment ref="AF143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  <comment ref="U148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  <author>RDM</author>
  </authors>
  <commentList>
    <comment ref="C4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C6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C22" authorId="1" shapeId="0" xr:uid="{00000000-0006-0000-0900-000003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changed
see note, quality check</t>
        </r>
      </text>
    </comment>
    <comment ref="C24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C28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C29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C36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R4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5/7/2015
lower capacity (per dwelling) as actually these are higher capacity boilers that are shared between several dwellings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RDM</author>
  </authors>
  <commentList>
    <comment ref="AR4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5/7/2015
lower capacity (per dwelling) as actually these are higher capacity boilers that are shared between several dwellings
</t>
        </r>
      </text>
    </comment>
    <comment ref="A11" authorId="1" shapeId="0" xr:uid="{00000000-0006-0000-0B00-000002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no stock</t>
        </r>
      </text>
    </comment>
    <comment ref="A19" authorId="1" shapeId="0" xr:uid="{00000000-0006-0000-0B00-000003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no stock</t>
        </r>
      </text>
    </comment>
    <comment ref="A27" authorId="1" shapeId="0" xr:uid="{00000000-0006-0000-0B00-000004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no stock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R4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5/7/2015
lower capacity (per dwelling) as actually these are higher capacity boilers that are shared between several dwellings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R4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5/7/2015
lower capacity (per dwelling) as actually these are higher capacity boilers that are shared between several dwellings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D303" authorId="0" shapeId="0" xr:uid="{00000000-0006-0000-1000-000001000000}">
      <text>
        <r>
          <rPr>
            <b/>
            <sz val="8"/>
            <color indexed="81"/>
            <rFont val="Tahoma"/>
            <family val="2"/>
          </rPr>
          <t>KanORS</t>
        </r>
        <r>
          <rPr>
            <sz val="8"/>
            <color indexed="81"/>
            <rFont val="Tahoma"/>
            <family val="2"/>
          </rPr>
          <t>:
distribution efficiency</t>
        </r>
      </text>
    </comment>
    <comment ref="D366" authorId="0" shapeId="0" xr:uid="{00000000-0006-0000-1000-000002000000}">
      <text>
        <r>
          <rPr>
            <b/>
            <sz val="8"/>
            <color indexed="81"/>
            <rFont val="Tahoma"/>
            <family val="2"/>
          </rPr>
          <t>KanORS</t>
        </r>
        <r>
          <rPr>
            <sz val="8"/>
            <color indexed="81"/>
            <rFont val="Tahoma"/>
            <family val="2"/>
          </rPr>
          <t>:
distribution efficiency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R4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4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6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8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8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9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9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10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10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14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14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15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 xml:space="preserve">Alessandro Chiodi:
</t>
        </r>
        <r>
          <rPr>
            <sz val="9"/>
            <color indexed="81"/>
            <rFont val="Tahoma"/>
            <family val="2"/>
          </rPr>
          <t xml:space="preserve">N/A: assumed
</t>
        </r>
      </text>
    </comment>
    <comment ref="S15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 xml:space="preserve">Alessandro Chiodi:
</t>
        </r>
        <r>
          <rPr>
            <sz val="9"/>
            <color indexed="81"/>
            <rFont val="Tahoma"/>
            <family val="2"/>
          </rPr>
          <t xml:space="preserve">N/A: assumed
</t>
        </r>
      </text>
    </comment>
    <comment ref="R17" authorId="0" shapeId="0" xr:uid="{00000000-0006-0000-1600-00000F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17" authorId="0" shapeId="0" xr:uid="{00000000-0006-0000-1600-000010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19" authorId="0" shapeId="0" xr:uid="{00000000-0006-0000-1600-00001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19" authorId="0" shapeId="0" xr:uid="{00000000-0006-0000-1600-00001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20" authorId="0" shapeId="0" xr:uid="{00000000-0006-0000-1600-00001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20" authorId="0" shapeId="0" xr:uid="{00000000-0006-0000-1600-00001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22" authorId="0" shapeId="0" xr:uid="{00000000-0006-0000-1600-00001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S22" authorId="0" shapeId="0" xr:uid="{00000000-0006-0000-1600-00001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R24" authorId="0" shapeId="0" xr:uid="{00000000-0006-0000-1600-00001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24" authorId="0" shapeId="0" xr:uid="{00000000-0006-0000-1600-00001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25" authorId="0" shapeId="0" xr:uid="{00000000-0006-0000-1600-000019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25" authorId="0" shapeId="0" xr:uid="{00000000-0006-0000-1600-00001A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26" authorId="0" shapeId="0" xr:uid="{00000000-0006-0000-1600-00001B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26" authorId="0" shapeId="0" xr:uid="{00000000-0006-0000-1600-00001C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27" authorId="0" shapeId="0" xr:uid="{00000000-0006-0000-1600-00001D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27" authorId="0" shapeId="0" xr:uid="{00000000-0006-0000-1600-00001E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28" authorId="0" shapeId="0" xr:uid="{00000000-0006-0000-1600-00001F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28" authorId="0" shapeId="0" xr:uid="{00000000-0006-0000-1600-000020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29" authorId="0" shapeId="0" xr:uid="{00000000-0006-0000-1600-00002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29" authorId="0" shapeId="0" xr:uid="{00000000-0006-0000-1600-00002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30" authorId="0" shapeId="0" xr:uid="{00000000-0006-0000-1600-00002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30" authorId="0" shapeId="0" xr:uid="{00000000-0006-0000-1600-00002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31" authorId="0" shapeId="0" xr:uid="{00000000-0006-0000-1600-00002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31" authorId="0" shapeId="0" xr:uid="{00000000-0006-0000-1600-00002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34" authorId="0" shapeId="0" xr:uid="{00000000-0006-0000-1600-00002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34" authorId="0" shapeId="0" xr:uid="{00000000-0006-0000-1600-00002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35" authorId="0" shapeId="0" xr:uid="{00000000-0006-0000-1600-000029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35" authorId="0" shapeId="0" xr:uid="{00000000-0006-0000-1600-00002A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36" authorId="0" shapeId="0" xr:uid="{00000000-0006-0000-1600-00002B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36" authorId="0" shapeId="0" xr:uid="{00000000-0006-0000-1600-00002C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39" authorId="0" shapeId="0" xr:uid="{00000000-0006-0000-1600-00002D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39" authorId="0" shapeId="0" xr:uid="{00000000-0006-0000-1600-00002E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40" authorId="0" shapeId="0" xr:uid="{00000000-0006-0000-1600-00002F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n.a. from TABULA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Rocco2</author>
    <author>Alessandro Chiodi</author>
    <author>RDM</author>
  </authors>
  <commentList>
    <comment ref="AK2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Rocco2:</t>
        </r>
        <r>
          <rPr>
            <sz val="9"/>
            <color indexed="81"/>
            <rFont val="Tahoma"/>
            <family val="2"/>
          </rPr>
          <t xml:space="preserve">
(m2 det) / (m2 semidet)  
</t>
        </r>
      </text>
    </comment>
    <comment ref="Y3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Rocco2:</t>
        </r>
        <r>
          <rPr>
            <sz val="9"/>
            <color indexed="81"/>
            <rFont val="Tahoma"/>
            <family val="2"/>
          </rPr>
          <t xml:space="preserve">
Assumption 
1 dwelling</t>
        </r>
      </text>
    </comment>
    <comment ref="D4" authorId="1" shapeId="0" xr:uid="{00000000-0006-0000-1800-00000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E4" authorId="1" shapeId="0" xr:uid="{00000000-0006-0000-1800-00000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F4" authorId="1" shapeId="0" xr:uid="{00000000-0006-0000-1800-00000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G4" authorId="1" shapeId="0" xr:uid="{00000000-0006-0000-1800-00000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W4" authorId="1" shapeId="0" xr:uid="{00000000-0006-0000-1800-00000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X4" authorId="1" shapeId="0" xr:uid="{00000000-0006-0000-1800-00000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H4" authorId="1" shapeId="0" xr:uid="{00000000-0006-0000-1800-000009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I4" authorId="1" shapeId="0" xr:uid="{00000000-0006-0000-1800-00000A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4" authorId="1" shapeId="0" xr:uid="{00000000-0006-0000-1800-00000B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D6" authorId="1" shapeId="0" xr:uid="{00000000-0006-0000-1800-00000C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E6" authorId="1" shapeId="0" xr:uid="{00000000-0006-0000-1800-00000D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F6" authorId="1" shapeId="0" xr:uid="{00000000-0006-0000-1800-00000E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G6" authorId="1" shapeId="0" xr:uid="{00000000-0006-0000-1800-00000F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W6" authorId="1" shapeId="0" xr:uid="{00000000-0006-0000-1800-000010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X6" authorId="1" shapeId="0" xr:uid="{00000000-0006-0000-1800-00001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H6" authorId="1" shapeId="0" xr:uid="{00000000-0006-0000-1800-00001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I6" authorId="1" shapeId="0" xr:uid="{00000000-0006-0000-1800-00001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6" authorId="1" shapeId="0" xr:uid="{00000000-0006-0000-1800-00001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H7" authorId="2" shapeId="0" xr:uid="{00000000-0006-0000-1800-000015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changed
see note, quality check</t>
        </r>
      </text>
    </comment>
    <comment ref="AI7" authorId="2" shapeId="0" xr:uid="{00000000-0006-0000-1800-000016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changed
see note, quality check</t>
        </r>
      </text>
    </comment>
    <comment ref="AH9" authorId="1" shapeId="0" xr:uid="{00000000-0006-0000-1800-00001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I9" authorId="1" shapeId="0" xr:uid="{00000000-0006-0000-1800-00001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9" authorId="1" shapeId="0" xr:uid="{00000000-0006-0000-1800-000019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H10" authorId="1" shapeId="0" xr:uid="{00000000-0006-0000-1800-00001A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I10" authorId="1" shapeId="0" xr:uid="{00000000-0006-0000-1800-00001B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10" authorId="1" shapeId="0" xr:uid="{00000000-0006-0000-1800-00001C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14" authorId="1" shapeId="0" xr:uid="{00000000-0006-0000-1800-00001D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H15" authorId="2" shapeId="0" xr:uid="{00000000-0006-0000-1800-00001E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changed
see note, quality check</t>
        </r>
      </text>
    </comment>
    <comment ref="AI15" authorId="2" shapeId="0" xr:uid="{00000000-0006-0000-1800-00001F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changed
see note, quality check</t>
        </r>
      </text>
    </comment>
    <comment ref="AH19" authorId="1" shapeId="0" xr:uid="{00000000-0006-0000-1800-000020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I19" authorId="1" shapeId="0" xr:uid="{00000000-0006-0000-1800-00002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19" authorId="1" shapeId="0" xr:uid="{00000000-0006-0000-1800-00002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20" authorId="1" shapeId="0" xr:uid="{00000000-0006-0000-1800-00002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D21" authorId="1" shapeId="0" xr:uid="{00000000-0006-0000-1800-00002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Based on CSO 2011 values. Was n.a.</t>
        </r>
      </text>
    </comment>
    <comment ref="E21" authorId="1" shapeId="0" xr:uid="{00000000-0006-0000-1800-00002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Based on CSO 2011 values. Was n.a.</t>
        </r>
      </text>
    </comment>
    <comment ref="F21" authorId="1" shapeId="0" xr:uid="{00000000-0006-0000-1800-00002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Based on CSO 2011 values. Was n.a.</t>
        </r>
      </text>
    </comment>
    <comment ref="G21" authorId="1" shapeId="0" xr:uid="{00000000-0006-0000-1800-00002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Based on CSO 2011 values. Was n.a.</t>
        </r>
      </text>
    </comment>
    <comment ref="W22" authorId="1" shapeId="0" xr:uid="{00000000-0006-0000-1800-00002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X22" authorId="1" shapeId="0" xr:uid="{00000000-0006-0000-1800-000029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H22" authorId="1" shapeId="0" xr:uid="{00000000-0006-0000-1800-00002A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I22" authorId="1" shapeId="0" xr:uid="{00000000-0006-0000-1800-00002B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22" authorId="1" shapeId="0" xr:uid="{00000000-0006-0000-1800-00002C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D24" authorId="1" shapeId="0" xr:uid="{00000000-0006-0000-1800-00002D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E24" authorId="1" shapeId="0" xr:uid="{00000000-0006-0000-1800-00002E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F24" authorId="1" shapeId="0" xr:uid="{00000000-0006-0000-1800-00002F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G24" authorId="1" shapeId="0" xr:uid="{00000000-0006-0000-1800-000030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W24" authorId="1" shapeId="0" xr:uid="{00000000-0006-0000-1800-00003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X24" authorId="1" shapeId="0" xr:uid="{00000000-0006-0000-1800-00003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H24" authorId="1" shapeId="0" xr:uid="{00000000-0006-0000-1800-00003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I24" authorId="1" shapeId="0" xr:uid="{00000000-0006-0000-1800-00003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24" authorId="1" shapeId="0" xr:uid="{00000000-0006-0000-1800-00003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27" authorId="1" shapeId="0" xr:uid="{00000000-0006-0000-1800-00003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D28" authorId="1" shapeId="0" xr:uid="{00000000-0006-0000-1800-00003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E28" authorId="1" shapeId="0" xr:uid="{00000000-0006-0000-1800-00003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F28" authorId="1" shapeId="0" xr:uid="{00000000-0006-0000-1800-000039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G28" authorId="1" shapeId="0" xr:uid="{00000000-0006-0000-1800-00003A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W28" authorId="1" shapeId="0" xr:uid="{00000000-0006-0000-1800-00003B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X28" authorId="1" shapeId="0" xr:uid="{00000000-0006-0000-1800-00003C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H28" authorId="1" shapeId="0" xr:uid="{00000000-0006-0000-1800-00003D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I28" authorId="1" shapeId="0" xr:uid="{00000000-0006-0000-1800-00003E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28" authorId="1" shapeId="0" xr:uid="{00000000-0006-0000-1800-00003F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D29" authorId="1" shapeId="0" xr:uid="{00000000-0006-0000-1800-000040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E29" authorId="1" shapeId="0" xr:uid="{00000000-0006-0000-1800-00004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F29" authorId="1" shapeId="0" xr:uid="{00000000-0006-0000-1800-00004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G29" authorId="1" shapeId="0" xr:uid="{00000000-0006-0000-1800-00004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W29" authorId="1" shapeId="0" xr:uid="{00000000-0006-0000-1800-00004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X29" authorId="1" shapeId="0" xr:uid="{00000000-0006-0000-1800-00004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H29" authorId="1" shapeId="0" xr:uid="{00000000-0006-0000-1800-00004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I29" authorId="1" shapeId="0" xr:uid="{00000000-0006-0000-1800-00004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29" authorId="1" shapeId="0" xr:uid="{00000000-0006-0000-1800-00004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30" authorId="1" shapeId="0" xr:uid="{00000000-0006-0000-1800-000049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H31" authorId="2" shapeId="0" xr:uid="{00000000-0006-0000-1800-00004A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changed
see note, quality check</t>
        </r>
      </text>
    </comment>
    <comment ref="W32" authorId="1" shapeId="0" xr:uid="{00000000-0006-0000-1800-00004B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X32" authorId="1" shapeId="0" xr:uid="{00000000-0006-0000-1800-00004C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H32" authorId="1" shapeId="0" xr:uid="{00000000-0006-0000-1800-00004D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I32" authorId="1" shapeId="0" xr:uid="{00000000-0006-0000-1800-00004E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34" authorId="1" shapeId="0" xr:uid="{00000000-0006-0000-1800-00004F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D36" authorId="1" shapeId="0" xr:uid="{00000000-0006-0000-1800-000050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E36" authorId="1" shapeId="0" xr:uid="{00000000-0006-0000-1800-00005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F36" authorId="1" shapeId="0" xr:uid="{00000000-0006-0000-1800-00005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G36" authorId="1" shapeId="0" xr:uid="{00000000-0006-0000-1800-00005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36" authorId="1" shapeId="0" xr:uid="{00000000-0006-0000-1800-00005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37" authorId="1" shapeId="0" xr:uid="{00000000-0006-0000-1800-00005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RDM</author>
  </authors>
  <commentList>
    <comment ref="U16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Chaged after quality check
Before 35, 55.
Now 55, 35 (to be consistent with the corresponding U-values)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RDM</author>
    <author>Rocco2</author>
  </authors>
  <commentList>
    <comment ref="A40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55" authorId="1" shapeId="0" xr:uid="{00000000-0006-0000-1A00-000002000000}">
      <text>
        <r>
          <rPr>
            <b/>
            <sz val="9"/>
            <color indexed="81"/>
            <rFont val="Tahoma"/>
            <family val="2"/>
          </rPr>
          <t>Rocco2:</t>
        </r>
        <r>
          <rPr>
            <sz val="9"/>
            <color indexed="81"/>
            <rFont val="Tahoma"/>
            <family val="2"/>
          </rPr>
          <t xml:space="preserve">
TABULA WebTool</t>
        </r>
      </text>
    </comment>
    <comment ref="A74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10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46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RDM</author>
    <author>Rocco2</author>
  </authors>
  <commentList>
    <comment ref="A4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56" authorId="1" shapeId="0" xr:uid="{00000000-0006-0000-1B00-000002000000}">
      <text>
        <r>
          <rPr>
            <b/>
            <sz val="9"/>
            <color indexed="81"/>
            <rFont val="Tahoma"/>
            <family val="2"/>
          </rPr>
          <t>Rocco2:</t>
        </r>
        <r>
          <rPr>
            <sz val="9"/>
            <color indexed="81"/>
            <rFont val="Tahoma"/>
            <family val="2"/>
          </rPr>
          <t xml:space="preserve">
TABULA WebTool</t>
        </r>
      </text>
    </comment>
    <comment ref="A74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10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46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RDM</author>
    <author>Rocco2</author>
  </authors>
  <commentList>
    <comment ref="A4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56" authorId="1" shapeId="0" xr:uid="{00000000-0006-0000-1C00-000002000000}">
      <text>
        <r>
          <rPr>
            <b/>
            <sz val="9"/>
            <color indexed="81"/>
            <rFont val="Tahoma"/>
            <family val="2"/>
          </rPr>
          <t>Rocco2:</t>
        </r>
        <r>
          <rPr>
            <sz val="9"/>
            <color indexed="81"/>
            <rFont val="Tahoma"/>
            <family val="2"/>
          </rPr>
          <t xml:space="preserve">
TABULA WebTool</t>
        </r>
      </text>
    </comment>
    <comment ref="A74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10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46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RDM</author>
  </authors>
  <commentList>
    <comment ref="A17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50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83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16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49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82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215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RDM</author>
  </authors>
  <commentList>
    <comment ref="A17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50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83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16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49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82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215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RDM</author>
  </authors>
  <commentList>
    <comment ref="A17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50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83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16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49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82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215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</commentList>
</comments>
</file>

<file path=xl/sharedStrings.xml><?xml version="1.0" encoding="utf-8"?>
<sst xmlns="http://schemas.openxmlformats.org/spreadsheetml/2006/main" count="12839" uniqueCount="978">
  <si>
    <t>Source</t>
  </si>
  <si>
    <t>Unit</t>
  </si>
  <si>
    <t>&lt; 1945</t>
  </si>
  <si>
    <t>1945-1969</t>
  </si>
  <si>
    <t>1970-1979</t>
  </si>
  <si>
    <t>1980-1989</t>
  </si>
  <si>
    <t>1990-1999</t>
  </si>
  <si>
    <t>2000-2008</t>
  </si>
  <si>
    <t>Austria</t>
  </si>
  <si>
    <t>MonMech2013</t>
  </si>
  <si>
    <t>W/m²K</t>
  </si>
  <si>
    <t>Belgium</t>
  </si>
  <si>
    <t>TABULA</t>
  </si>
  <si>
    <t>Bulgaria</t>
  </si>
  <si>
    <t>BPIE</t>
  </si>
  <si>
    <t>Cyprus</t>
  </si>
  <si>
    <t>CY-STAT</t>
  </si>
  <si>
    <t>n.a.</t>
  </si>
  <si>
    <t>Czech Rep.</t>
  </si>
  <si>
    <t>BPIE, TABULA, panel SCAN 2009</t>
  </si>
  <si>
    <t>Denmark</t>
  </si>
  <si>
    <t>BPIE, TABULA</t>
  </si>
  <si>
    <t>Estonia</t>
  </si>
  <si>
    <t>TABULA, BPIE</t>
  </si>
  <si>
    <t>Finland</t>
  </si>
  <si>
    <t>France</t>
  </si>
  <si>
    <t>Germany</t>
  </si>
  <si>
    <t>IWU</t>
  </si>
  <si>
    <t>Greece</t>
  </si>
  <si>
    <t>RES-H</t>
  </si>
  <si>
    <t>Hungary</t>
  </si>
  <si>
    <t>Ireland</t>
  </si>
  <si>
    <t>CSO 2011</t>
  </si>
  <si>
    <t>Italy</t>
  </si>
  <si>
    <t>BPIE,TABULA</t>
  </si>
  <si>
    <t>Latvia</t>
  </si>
  <si>
    <t>Lithuania</t>
  </si>
  <si>
    <t>RES-H,State Enterprise Centre of Registers</t>
  </si>
  <si>
    <t>Luxembourg</t>
  </si>
  <si>
    <t>Malta</t>
  </si>
  <si>
    <t>ODYSSEE,BPIE, NSO, TABULA</t>
  </si>
  <si>
    <t>Netherlands</t>
  </si>
  <si>
    <t>Poland</t>
  </si>
  <si>
    <t>Portugal</t>
  </si>
  <si>
    <t>Romania</t>
  </si>
  <si>
    <t>Slovakia</t>
  </si>
  <si>
    <t>BPIE,Slovak building standards</t>
  </si>
  <si>
    <t>Slovenia</t>
  </si>
  <si>
    <t>TABULA,BPIE</t>
  </si>
  <si>
    <t>Spain</t>
  </si>
  <si>
    <t>TABULA, ODYSSEE</t>
  </si>
  <si>
    <t>Sweden</t>
  </si>
  <si>
    <t>UK</t>
  </si>
  <si>
    <t>Serbia</t>
  </si>
  <si>
    <t>RS-STAT</t>
  </si>
  <si>
    <t>Croatia</t>
  </si>
  <si>
    <t>HR stat</t>
  </si>
  <si>
    <t>ENTRANZE</t>
  </si>
  <si>
    <t>Flat</t>
  </si>
  <si>
    <t>Detached house</t>
  </si>
  <si>
    <t>Semi-detached house</t>
  </si>
  <si>
    <t>Other</t>
  </si>
  <si>
    <t>Switzerland</t>
  </si>
  <si>
    <t>Iceland</t>
  </si>
  <si>
    <t>Norway</t>
  </si>
  <si>
    <t>Detached</t>
  </si>
  <si>
    <t>m2</t>
  </si>
  <si>
    <t>check</t>
  </si>
  <si>
    <t>m</t>
  </si>
  <si>
    <t>m3</t>
  </si>
  <si>
    <t>S/V</t>
  </si>
  <si>
    <t>Floor</t>
  </si>
  <si>
    <t>n° of  floors</t>
  </si>
  <si>
    <t>Lateral surface</t>
  </si>
  <si>
    <t>Ceiling</t>
  </si>
  <si>
    <t>Volume</t>
  </si>
  <si>
    <t>index</t>
  </si>
  <si>
    <t>Net lateral surface</t>
  </si>
  <si>
    <t>Windows</t>
  </si>
  <si>
    <t>n° of windows</t>
  </si>
  <si>
    <t>Czech Republic</t>
  </si>
  <si>
    <t>Germany (until 1990 former territory of the FRG)</t>
  </si>
  <si>
    <t>United Kingdom</t>
  </si>
  <si>
    <t>Geometry</t>
  </si>
  <si>
    <t>H (floor)</t>
  </si>
  <si>
    <t>Semidetached</t>
  </si>
  <si>
    <t>n° of  dwellings</t>
  </si>
  <si>
    <t>Surface per dwelling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</si>
  <si>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</si>
  <si>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</si>
  <si>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</si>
  <si>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</si>
  <si>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</si>
  <si>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</si>
  <si>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</si>
  <si>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</si>
  <si>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</si>
  <si>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</si>
  <si>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</si>
  <si>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</si>
  <si>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</si>
  <si>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</si>
  <si>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</si>
  <si>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</si>
  <si>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</si>
  <si>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</si>
  <si>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</si>
  <si>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</si>
  <si>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</si>
  <si>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</si>
  <si>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</si>
  <si>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</si>
  <si>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</si>
  <si>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</si>
  <si>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</si>
  <si>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</si>
  <si>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AL</t>
  </si>
  <si>
    <t>BA</t>
  </si>
  <si>
    <t>HR</t>
  </si>
  <si>
    <t>ME</t>
  </si>
  <si>
    <t>MK</t>
  </si>
  <si>
    <t>RS</t>
  </si>
  <si>
    <t>KS</t>
  </si>
  <si>
    <t>Correction factor (including ventilation losses and gains from sun)</t>
  </si>
  <si>
    <t xml:space="preserve">Building type: </t>
  </si>
  <si>
    <t>n.</t>
  </si>
  <si>
    <t>Average size of dwelling by type</t>
  </si>
  <si>
    <t>Multi-family</t>
  </si>
  <si>
    <t>Single-family</t>
  </si>
  <si>
    <t>ODYSSEE,BPIE</t>
  </si>
  <si>
    <t>ODYSSEE, TABULA</t>
  </si>
  <si>
    <t>ODYSSEE</t>
  </si>
  <si>
    <t>RES-H, Odyssee</t>
  </si>
  <si>
    <t>TABULA, ISTAT</t>
  </si>
  <si>
    <t>Odyssee</t>
  </si>
  <si>
    <t>RES-H, ODYSSEE</t>
  </si>
  <si>
    <t>TABULA,ISTAT</t>
  </si>
  <si>
    <t>Coeff. for extra space</t>
  </si>
  <si>
    <t>Loss Surfaces (TOT)</t>
  </si>
  <si>
    <t>Side A (lenght)</t>
  </si>
  <si>
    <t>Side B (lenght)</t>
  </si>
  <si>
    <t>Weighted average</t>
  </si>
  <si>
    <t>Thermal requirements (kWh/m2-a)</t>
  </si>
  <si>
    <t>Average number of dwellings per building</t>
  </si>
  <si>
    <t>Dwellings per building</t>
  </si>
  <si>
    <t>SF Detached</t>
  </si>
  <si>
    <t>SF Semi-detached</t>
  </si>
  <si>
    <t>Dwellings per b. multi-family</t>
  </si>
  <si>
    <t>%</t>
  </si>
  <si>
    <t>Windows (fraction)</t>
  </si>
  <si>
    <t>207-70</t>
  </si>
  <si>
    <t>300-90</t>
  </si>
  <si>
    <t>&gt;200-54</t>
  </si>
  <si>
    <t>265-70</t>
  </si>
  <si>
    <t>182-70</t>
  </si>
  <si>
    <t>210-70</t>
  </si>
  <si>
    <t>240-50</t>
  </si>
  <si>
    <t>&gt;160-54</t>
  </si>
  <si>
    <t>&gt;180-40</t>
  </si>
  <si>
    <t>Existing state (range)</t>
  </si>
  <si>
    <t>Heated (useful) surface</t>
  </si>
  <si>
    <t>H (tot)</t>
  </si>
  <si>
    <t>Dwellings per b. Semidetached</t>
  </si>
  <si>
    <t>Total dwelling</t>
  </si>
  <si>
    <t>thousands</t>
  </si>
  <si>
    <t>Country</t>
  </si>
  <si>
    <t>Dwellings stock according to construction date</t>
  </si>
  <si>
    <t>Source: ENTRANZE</t>
  </si>
  <si>
    <t>ENTRANZE average</t>
  </si>
  <si>
    <t>Source: Eurostat</t>
  </si>
  <si>
    <t>Mm2</t>
  </si>
  <si>
    <t>Single family</t>
  </si>
  <si>
    <t>Total</t>
  </si>
  <si>
    <t>Stock of dwelling per type</t>
  </si>
  <si>
    <t>Assumption</t>
  </si>
  <si>
    <t>Source: Eurostat (online data code: ilc_lvho01)</t>
  </si>
  <si>
    <t>Distribution of population by dwelling type, 2012 (% of population)</t>
  </si>
  <si>
    <t>Ground Floor</t>
  </si>
  <si>
    <t>Note: Other assumed all Semi-Detached</t>
  </si>
  <si>
    <t>To establish a common and comparable basis, Eurostat defined the following method for the calculation of heating degree days</t>
  </si>
  <si>
    <t>(18 °C - Tm) x d if Tm is lower than or equal to 15 °C (heating  threshold)</t>
  </si>
  <si>
    <t>and are nil if Tm is greater than 15 °C</t>
  </si>
  <si>
    <t>where Tm is the mean (Tmin  + Tmax / 2) outdoor temperature over a period of d days. Calculations are to be executed on a daily basis (d=1), added up to a calendar month -and subsequently to a year- and published for each Member State separately.</t>
  </si>
  <si>
    <t>ADD: Actual heating degree-days express the severity of the cold in a specific time period taking into consideration outdoor temperature and room temperature.</t>
  </si>
  <si>
    <t>MDD25: Mean heating degree-days over period 1980 - 2004. MDD25 is the average of corresponding months or years of the reference period.</t>
  </si>
  <si>
    <t>Note (from EUROSTAT):</t>
  </si>
  <si>
    <t>Wall</t>
  </si>
  <si>
    <t>Whole Building</t>
  </si>
  <si>
    <t>Whole stock</t>
  </si>
  <si>
    <t>S/V &lt; 0.5</t>
  </si>
  <si>
    <t>kWh/m2-a</t>
  </si>
  <si>
    <t>U-values for retrofitted buildings</t>
  </si>
  <si>
    <t>Code</t>
  </si>
  <si>
    <t>Building constant</t>
  </si>
  <si>
    <t>Thermal requirement (kWh/m2-a)</t>
  </si>
  <si>
    <t>W/K</t>
  </si>
  <si>
    <t>aaa</t>
  </si>
  <si>
    <t>Results</t>
  </si>
  <si>
    <t>S/V &gt;= 0.8</t>
  </si>
  <si>
    <t>0.5 &lt; S/V &lt; 0.8</t>
  </si>
  <si>
    <t>Albania</t>
  </si>
  <si>
    <t>Kosovo</t>
  </si>
  <si>
    <t>Bosnia</t>
  </si>
  <si>
    <t>Macedonia</t>
  </si>
  <si>
    <t>Montenegro</t>
  </si>
  <si>
    <t>EL</t>
  </si>
  <si>
    <t>Source:</t>
  </si>
  <si>
    <t>The total cost is the sum of four components, as follows: MC+LC+BP&amp;GE + PF, with:</t>
  </si>
  <si>
    <t>• MC for the material cost.</t>
  </si>
  <si>
    <t>• LC for the labour cost.</t>
  </si>
  <si>
    <t>• BP&amp;GE for the business profit and general expenditure (BP&amp;GE cost is calculated from a percentage applied to the sum of MC and LC)</t>
  </si>
  <si>
    <t>• PF for the Professional fees (PF cost is calculated from a percentage applied to the sum of MC and LC)</t>
  </si>
  <si>
    <t>Euro/m2 of roof</t>
  </si>
  <si>
    <t>Remove roof and refit adding a layer of insulation (15cm)</t>
  </si>
  <si>
    <t>MR1</t>
  </si>
  <si>
    <t>MR2</t>
  </si>
  <si>
    <t>MR3</t>
  </si>
  <si>
    <t>Euro/m2 of wall</t>
  </si>
  <si>
    <t>MW1</t>
  </si>
  <si>
    <t>Ventilated facade (10cm insulation)</t>
  </si>
  <si>
    <t>MW2</t>
  </si>
  <si>
    <t>MW3</t>
  </si>
  <si>
    <t>Euro/m2 of window</t>
  </si>
  <si>
    <t>MG1</t>
  </si>
  <si>
    <t>MG2</t>
  </si>
  <si>
    <t>MG3</t>
  </si>
  <si>
    <t>Window replacement: Double glass with air cavity (16mm), Ug= 2.7 W/m²K; g= 0.78, Tvis= 0.82, Uf=2.2 W/m2K</t>
  </si>
  <si>
    <t>MS1</t>
  </si>
  <si>
    <t>MS2</t>
  </si>
  <si>
    <t>Euro/kW</t>
  </si>
  <si>
    <t>Euro/room</t>
  </si>
  <si>
    <t>Condensing Boiler</t>
  </si>
  <si>
    <t>Install an indoor thermostatic control system</t>
  </si>
  <si>
    <t>ENTRANZE - Summary report on cost data for target countries</t>
  </si>
  <si>
    <t>Black value: original data</t>
  </si>
  <si>
    <t>Red value: estimated data</t>
  </si>
  <si>
    <t>(weighted average)</t>
  </si>
  <si>
    <t>Multi family</t>
  </si>
  <si>
    <t>New</t>
  </si>
  <si>
    <t>Ren</t>
  </si>
  <si>
    <t>Dwelling stock surface (Mm2)</t>
  </si>
  <si>
    <t>As assumed in TABULA</t>
  </si>
  <si>
    <t>no</t>
  </si>
  <si>
    <t>ODYSSEE/BPIE</t>
  </si>
  <si>
    <t>Energy efficiency measures</t>
  </si>
  <si>
    <t>lambda</t>
  </si>
  <si>
    <t>W/mK</t>
  </si>
  <si>
    <t>R</t>
  </si>
  <si>
    <t>U</t>
  </si>
  <si>
    <t>Measure</t>
  </si>
  <si>
    <t>Cost</t>
  </si>
  <si>
    <t>m2K/W</t>
  </si>
  <si>
    <t>W/m2K</t>
  </si>
  <si>
    <t>Description</t>
  </si>
  <si>
    <t>Attribute</t>
  </si>
  <si>
    <t>-</t>
  </si>
  <si>
    <t>Heating system</t>
  </si>
  <si>
    <t>No floor refurbishment</t>
  </si>
  <si>
    <t>Grey value: original data (excluded measures)</t>
  </si>
  <si>
    <t>Whole Stock</t>
  </si>
  <si>
    <t>Thermal requirement (corrected)</t>
  </si>
  <si>
    <t>kWh-a dwelling</t>
  </si>
  <si>
    <t>Specific requirement (corrected)</t>
  </si>
  <si>
    <t>Specific requirement</t>
  </si>
  <si>
    <t>Refurbisment measures</t>
  </si>
  <si>
    <t>Note: these values are not used</t>
  </si>
  <si>
    <t>Average</t>
  </si>
  <si>
    <t>NB</t>
  </si>
  <si>
    <t>U-value shallow retrofit (MR3)</t>
  </si>
  <si>
    <t>U-value deep retrofit (MR2)</t>
  </si>
  <si>
    <t>U-value shallow retrofit</t>
  </si>
  <si>
    <t>U-value deep retrofit</t>
  </si>
  <si>
    <t>U-value deep retrofit (MG3)</t>
  </si>
  <si>
    <t>Add on a thermal insulation layer (15 cm) over the last slab in contact with unconditioned space (attic)</t>
  </si>
  <si>
    <t>Isolate below the last concrete slab (10cm)</t>
  </si>
  <si>
    <t xml:space="preserve">External insulation (10 cm - EIFS System) </t>
  </si>
  <si>
    <t>Internal insulation (5cm)</t>
  </si>
  <si>
    <t xml:space="preserve">Window replacement: Triple glass with argon cavity (18mm), Ug= 0.65 W/m²K; g= 0.61, Tvis= 0.74, Uf=0.95 W/m2K </t>
  </si>
  <si>
    <t xml:space="preserve">Window replacement: Triple glass with argon cavity (16mm), Ug= 1.7 W/m²K; g= 0.72, Tvis= 0.82, Uf=1.4 W/m2K </t>
  </si>
  <si>
    <t>U-value deep retrofit (MW2)</t>
  </si>
  <si>
    <t>Thermal requirement (design)</t>
  </si>
  <si>
    <t>Capital cost</t>
  </si>
  <si>
    <t>Maximum permitted U-values</t>
  </si>
  <si>
    <t>ENTRANZE*</t>
  </si>
  <si>
    <t>* WP5 ENTRANZE - Overview of the EU-27 building policies and programs. Factsheets on the nine ENTRANZE target countries</t>
  </si>
  <si>
    <t>% savings relative to the nominal values</t>
  </si>
  <si>
    <t>€/m2</t>
  </si>
  <si>
    <t>All periods</t>
  </si>
  <si>
    <t>€/dwelling</t>
  </si>
  <si>
    <t>Source: ENTRANZE (adjusted after quality check)</t>
  </si>
  <si>
    <t>Costs in Euro10 (not explicit in the report, but most of the sources refer to 2010-2011 values)</t>
  </si>
  <si>
    <t>Example &lt; 1945 (20 year, 12% discount rate)</t>
  </si>
  <si>
    <t>€/GJ-a</t>
  </si>
  <si>
    <r>
      <t xml:space="preserve">Example: </t>
    </r>
    <r>
      <rPr>
        <b/>
        <sz val="11"/>
        <color theme="1"/>
        <rFont val="Calibri"/>
        <family val="2"/>
        <scheme val="minor"/>
      </rPr>
      <t>Retrofit 1</t>
    </r>
    <r>
      <rPr>
        <sz val="11"/>
        <color theme="1"/>
        <rFont val="Calibri"/>
        <family val="2"/>
        <scheme val="minor"/>
      </rPr>
      <t xml:space="preserve"> (MG3)</t>
    </r>
  </si>
  <si>
    <r>
      <rPr>
        <sz val="11"/>
        <color theme="1"/>
        <rFont val="Calibri"/>
        <family val="2"/>
        <scheme val="minor"/>
      </rPr>
      <t xml:space="preserve">Example: </t>
    </r>
    <r>
      <rPr>
        <b/>
        <sz val="11"/>
        <color theme="1"/>
        <rFont val="Calibri"/>
        <family val="2"/>
        <scheme val="minor"/>
      </rPr>
      <t xml:space="preserve">Retrofit 2 </t>
    </r>
    <r>
      <rPr>
        <sz val="11"/>
        <color theme="1"/>
        <rFont val="Calibri"/>
        <family val="2"/>
        <scheme val="minor"/>
      </rPr>
      <t>(MG3+MR2)</t>
    </r>
  </si>
  <si>
    <r>
      <t xml:space="preserve">Example: </t>
    </r>
    <r>
      <rPr>
        <b/>
        <sz val="11"/>
        <color theme="1"/>
        <rFont val="Calibri"/>
        <family val="2"/>
        <scheme val="minor"/>
      </rPr>
      <t>Retrofit 3</t>
    </r>
    <r>
      <rPr>
        <sz val="11"/>
        <color theme="1"/>
        <rFont val="Calibri"/>
        <family val="2"/>
        <scheme val="minor"/>
      </rPr>
      <t xml:space="preserve"> (MG3+MR2+MW2)</t>
    </r>
  </si>
  <si>
    <t>Red value: estimated/assumptions data</t>
  </si>
  <si>
    <t>As concerns costs, assumptions are based on economic-related "similarities" of Countries</t>
  </si>
  <si>
    <t>U-value shallow retrofit (MW3)</t>
  </si>
  <si>
    <t>Savings</t>
  </si>
  <si>
    <t>RDM: looks like their standard are better then the savings we can get from the current set of measures</t>
  </si>
  <si>
    <t>Ceilings</t>
  </si>
  <si>
    <t>Walls</t>
  </si>
  <si>
    <t>DETPre45-MG1</t>
  </si>
  <si>
    <t>DETPre69-MG1</t>
  </si>
  <si>
    <t>DETPre79-MG1</t>
  </si>
  <si>
    <t>DETPre89-MG1</t>
  </si>
  <si>
    <t>DETPre99-MG1</t>
  </si>
  <si>
    <t>DETPre09-MG1</t>
  </si>
  <si>
    <t>DETPre45-MG2</t>
  </si>
  <si>
    <t>DETPre69-MG2</t>
  </si>
  <si>
    <t>DETPre79-MG2</t>
  </si>
  <si>
    <t>DETPre89-MG2</t>
  </si>
  <si>
    <t>DETPre99-MG2</t>
  </si>
  <si>
    <t>DETPre09-MG2</t>
  </si>
  <si>
    <t>DETPre45-MG3</t>
  </si>
  <si>
    <t>DETPre69-MG3</t>
  </si>
  <si>
    <t>DETPre79-MG3</t>
  </si>
  <si>
    <t>DETPre89-MG3</t>
  </si>
  <si>
    <t>DETPre99-MG3</t>
  </si>
  <si>
    <t>DETPre09-MG3</t>
  </si>
  <si>
    <t>DETPre45-MR2</t>
  </si>
  <si>
    <t>DETPre69-MR2</t>
  </si>
  <si>
    <t>DETPre79-MR2</t>
  </si>
  <si>
    <t>DETPre89-MR2</t>
  </si>
  <si>
    <t>DETPre99-MR2</t>
  </si>
  <si>
    <t>DETPre09-MR2</t>
  </si>
  <si>
    <t>DETPre45-MW2</t>
  </si>
  <si>
    <t>DETPre69-MW2</t>
  </si>
  <si>
    <t>DETPre79-MW2</t>
  </si>
  <si>
    <t>DETPre89-MW2</t>
  </si>
  <si>
    <t>DETPre99-MW2</t>
  </si>
  <si>
    <t>DETPre09-MW2</t>
  </si>
  <si>
    <t>SDEPre45-MG1</t>
  </si>
  <si>
    <t>SDEPre69-MG1</t>
  </si>
  <si>
    <t>SDEPre79-MG1</t>
  </si>
  <si>
    <t>SDEPre89-MG1</t>
  </si>
  <si>
    <t>SDEPre99-MG1</t>
  </si>
  <si>
    <t>SDEPre09-MG1</t>
  </si>
  <si>
    <t>SDEPre45-MG2</t>
  </si>
  <si>
    <t>SDEPre69-MG2</t>
  </si>
  <si>
    <t>SDEPre79-MG2</t>
  </si>
  <si>
    <t>SDEPre89-MG2</t>
  </si>
  <si>
    <t>SDEPre99-MG2</t>
  </si>
  <si>
    <t>SDEPre09-MG2</t>
  </si>
  <si>
    <t>SDEPre45-MG3</t>
  </si>
  <si>
    <t>SDEPre69-MG3</t>
  </si>
  <si>
    <t>SDEPre79-MG3</t>
  </si>
  <si>
    <t>SDEPre89-MG3</t>
  </si>
  <si>
    <t>SDEPre99-MG3</t>
  </si>
  <si>
    <t>SDEPre09-MG3</t>
  </si>
  <si>
    <t>SDEPre45-MR2</t>
  </si>
  <si>
    <t>SDEPre69-MR2</t>
  </si>
  <si>
    <t>SDEPre79-MR2</t>
  </si>
  <si>
    <t>SDEPre89-MR2</t>
  </si>
  <si>
    <t>SDEPre99-MR2</t>
  </si>
  <si>
    <t>SDEPre09-MR2</t>
  </si>
  <si>
    <t>SDEPre45-MW2</t>
  </si>
  <si>
    <t>SDEPre69-MW2</t>
  </si>
  <si>
    <t>SDEPre79-MW2</t>
  </si>
  <si>
    <t>SDEPre89-MW2</t>
  </si>
  <si>
    <t>SDEPre99-MW2</t>
  </si>
  <si>
    <t>SDEPre09-MW2</t>
  </si>
  <si>
    <t>FLTPre45-MG1</t>
  </si>
  <si>
    <t>FLTPre69-MG1</t>
  </si>
  <si>
    <t>FLTPre79-MG1</t>
  </si>
  <si>
    <t>FLTPre89-MG1</t>
  </si>
  <si>
    <t>FLTPre99-MG1</t>
  </si>
  <si>
    <t>FLTPre09-MG1</t>
  </si>
  <si>
    <t>FLTPre45-MG2</t>
  </si>
  <si>
    <t>FLTPre69-MG2</t>
  </si>
  <si>
    <t>FLTPre79-MG2</t>
  </si>
  <si>
    <t>FLTPre89-MG2</t>
  </si>
  <si>
    <t>FLTPre99-MG2</t>
  </si>
  <si>
    <t>FLTPre09-MG2</t>
  </si>
  <si>
    <t>FLTPre45-MG3</t>
  </si>
  <si>
    <t>FLTPre69-MG3</t>
  </si>
  <si>
    <t>FLTPre79-MG3</t>
  </si>
  <si>
    <t>FLTPre89-MG3</t>
  </si>
  <si>
    <t>FLTPre99-MG3</t>
  </si>
  <si>
    <t>FLTPre09-MG3</t>
  </si>
  <si>
    <t>FLTPre45-MR2</t>
  </si>
  <si>
    <t>FLTPre69-MR2</t>
  </si>
  <si>
    <t>FLTPre79-MR2</t>
  </si>
  <si>
    <t>FLTPre89-MR2</t>
  </si>
  <si>
    <t>FLTPre99-MR2</t>
  </si>
  <si>
    <t>FLTPre09-MR2</t>
  </si>
  <si>
    <t>FLTPre45-MW2</t>
  </si>
  <si>
    <t>FLTPre69-MW2</t>
  </si>
  <si>
    <t>FLTPre79-MW2</t>
  </si>
  <si>
    <t>FLTPre89-MW2</t>
  </si>
  <si>
    <t>FLTPre99-MW2</t>
  </si>
  <si>
    <t>FLTPre09-MW2</t>
  </si>
  <si>
    <t>Euro/m2</t>
  </si>
  <si>
    <t>DETPre45-MR3</t>
  </si>
  <si>
    <t>DETPre69-MR3</t>
  </si>
  <si>
    <t>DETPre79-MR3</t>
  </si>
  <si>
    <t>DETPre89-MR3</t>
  </si>
  <si>
    <t>DETPre99-MR3</t>
  </si>
  <si>
    <t>DETPre09-MR3</t>
  </si>
  <si>
    <t>SDEPre45-MR3</t>
  </si>
  <si>
    <t>SDEPre69-MR3</t>
  </si>
  <si>
    <t>SDEPre79-MR3</t>
  </si>
  <si>
    <t>SDEPre89-MR3</t>
  </si>
  <si>
    <t>SDEPre99-MR3</t>
  </si>
  <si>
    <t>SDEPre09-MR3</t>
  </si>
  <si>
    <t>FLTPre45-MR3</t>
  </si>
  <si>
    <t>FLTPre69-MR3</t>
  </si>
  <si>
    <t>FLTPre79-MR3</t>
  </si>
  <si>
    <t>FLTPre89-MR3</t>
  </si>
  <si>
    <t>FLTPre99-MR3</t>
  </si>
  <si>
    <t>FLTPre09-MR3</t>
  </si>
  <si>
    <t>DETPre45-MW3</t>
  </si>
  <si>
    <t>DETPre69-MW3</t>
  </si>
  <si>
    <t>DETPre79-MW3</t>
  </si>
  <si>
    <t>DETPre89-MW3</t>
  </si>
  <si>
    <t>DETPre99-MW3</t>
  </si>
  <si>
    <t>DETPre09-MW3</t>
  </si>
  <si>
    <t>SDEPre45-MW3</t>
  </si>
  <si>
    <t>SDEPre69-MW3</t>
  </si>
  <si>
    <t>SDEPre79-MW3</t>
  </si>
  <si>
    <t>SDEPre89-MW3</t>
  </si>
  <si>
    <t>SDEPre99-MW3</t>
  </si>
  <si>
    <t>SDEPre09-MW3</t>
  </si>
  <si>
    <t>FLTPre45-MW3</t>
  </si>
  <si>
    <t>FLTPre69-MW3</t>
  </si>
  <si>
    <t>FLTPre79-MW3</t>
  </si>
  <si>
    <t>FLTPre89-MW3</t>
  </si>
  <si>
    <t>FLTPre99-MW3</t>
  </si>
  <si>
    <t>FLTPre09-MW3</t>
  </si>
  <si>
    <t>Dwellings stock according to construction date and dwelling type</t>
  </si>
  <si>
    <t>Available refurbishment options in JET</t>
  </si>
  <si>
    <t>2010</t>
  </si>
  <si>
    <t>2011</t>
  </si>
  <si>
    <t>:</t>
  </si>
  <si>
    <t>2005</t>
  </si>
  <si>
    <t>2006</t>
  </si>
  <si>
    <t>2007</t>
  </si>
  <si>
    <t>2008</t>
  </si>
  <si>
    <t>2009</t>
  </si>
  <si>
    <t>2012</t>
  </si>
  <si>
    <t>2013</t>
  </si>
  <si>
    <t>2014</t>
  </si>
  <si>
    <t>EU28 - European Union (28 countries)</t>
  </si>
  <si>
    <t>EU27 - European Union (27 countries)</t>
  </si>
  <si>
    <t>EA18 - Euro area (18 countries)</t>
  </si>
  <si>
    <t>EA17 - Euro area (17 countries)</t>
  </si>
  <si>
    <t>EA16 - Euro area (16 countries)</t>
  </si>
  <si>
    <t>BE - Belgium</t>
  </si>
  <si>
    <t>BG - Bulgaria</t>
  </si>
  <si>
    <t>CZ - Czech Republic</t>
  </si>
  <si>
    <t>DK - Denmark</t>
  </si>
  <si>
    <t>DE - Germany (until 1990 former territory of the FRG)</t>
  </si>
  <si>
    <t>DE_TOT - Germany (including former GDR)</t>
  </si>
  <si>
    <t>EE - Estonia</t>
  </si>
  <si>
    <t>IE - Ireland</t>
  </si>
  <si>
    <t>EL - Greece</t>
  </si>
  <si>
    <t>ES - Spain</t>
  </si>
  <si>
    <t>FR - France</t>
  </si>
  <si>
    <t>FX - France (metropolitan)</t>
  </si>
  <si>
    <t>HR - Croatia</t>
  </si>
  <si>
    <t>IT - Italy</t>
  </si>
  <si>
    <t>CY - Cyprus</t>
  </si>
  <si>
    <t>LV - Latvia</t>
  </si>
  <si>
    <t>LT - Lithuania</t>
  </si>
  <si>
    <t>LU - Luxembourg</t>
  </si>
  <si>
    <t>HU - Hungary</t>
  </si>
  <si>
    <t>MT - Malta</t>
  </si>
  <si>
    <t>NL - Netherlands</t>
  </si>
  <si>
    <t>AT - Austria</t>
  </si>
  <si>
    <t>PL - Poland</t>
  </si>
  <si>
    <t>PT - Portugal</t>
  </si>
  <si>
    <t>RO - Romania</t>
  </si>
  <si>
    <t>SI - Slovenia</t>
  </si>
  <si>
    <t>SK - Slovakia</t>
  </si>
  <si>
    <t>FI - Finland</t>
  </si>
  <si>
    <t>SE - Sweden</t>
  </si>
  <si>
    <t>UK - United Kingdom</t>
  </si>
  <si>
    <t>EEA31 - European Economic Area (EU-28 plus IS, LI, NO)</t>
  </si>
  <si>
    <t>EEA30 - European Economic Area (EU-27 plus IS, LI, NO)</t>
  </si>
  <si>
    <t>EFTA - European Free Trade Association</t>
  </si>
  <si>
    <t>IS - Iceland</t>
  </si>
  <si>
    <t>LI - Liechtenstein</t>
  </si>
  <si>
    <t>NO - Norway</t>
  </si>
  <si>
    <t>CH - Switzerland</t>
  </si>
  <si>
    <t>ME - Montenegro</t>
  </si>
  <si>
    <t>MK - Former Yugoslav Republic of Macedonia, the</t>
  </si>
  <si>
    <t>AL - Albania</t>
  </si>
  <si>
    <t>RS - Serbia</t>
  </si>
  <si>
    <t>TR - Turkey</t>
  </si>
  <si>
    <t>AD - Andorra</t>
  </si>
  <si>
    <t>BY - Belarus</t>
  </si>
  <si>
    <t>BA - Bosnia and Herzegovina</t>
  </si>
  <si>
    <t>XK - Kosovo (under United Nations Security Council Resolution 1244/99)</t>
  </si>
  <si>
    <t>MD - Moldova</t>
  </si>
  <si>
    <t>MC - Monaco</t>
  </si>
  <si>
    <t>RU - Russia</t>
  </si>
  <si>
    <t>SM - San Marino</t>
  </si>
  <si>
    <t>UA - Ukraine</t>
  </si>
  <si>
    <t>AM - Armenia</t>
  </si>
  <si>
    <t>AZ - Azerbaijan</t>
  </si>
  <si>
    <t>GE - Georgia</t>
  </si>
  <si>
    <t>Extracted on</t>
  </si>
  <si>
    <t>Population by country</t>
  </si>
  <si>
    <t>own estimates</t>
  </si>
  <si>
    <t>own assumptions</t>
  </si>
  <si>
    <t>U-value shallow retrofit (MG1)</t>
  </si>
  <si>
    <t>U-value medium retrofit (MG2)</t>
  </si>
  <si>
    <t>TJ/000dwellings</t>
  </si>
  <si>
    <t>Average m2</t>
  </si>
  <si>
    <t>Electricity</t>
  </si>
  <si>
    <t>PJ</t>
  </si>
  <si>
    <t>000dwellings</t>
  </si>
  <si>
    <t>TOT 000 dwellings</t>
  </si>
  <si>
    <t>Det</t>
  </si>
  <si>
    <t>Semidet</t>
  </si>
  <si>
    <t>Flats</t>
  </si>
  <si>
    <t>TOT Building stock</t>
  </si>
  <si>
    <t>Adjusted</t>
  </si>
  <si>
    <t>From calibration of end-use eff. (useful energy)</t>
  </si>
  <si>
    <r>
      <t>From geometrical analysis (</t>
    </r>
    <r>
      <rPr>
        <b/>
        <sz val="11"/>
        <color rgb="FFFF0000"/>
        <rFont val="Calibri"/>
        <family val="2"/>
        <scheme val="minor"/>
      </rPr>
      <t>useful energy</t>
    </r>
    <r>
      <rPr>
        <b/>
        <sz val="11"/>
        <color theme="1"/>
        <rFont val="Calibri"/>
        <family val="2"/>
        <scheme val="minor"/>
      </rPr>
      <t>)</t>
    </r>
  </si>
  <si>
    <r>
      <t>Theoretical thermal requirements (</t>
    </r>
    <r>
      <rPr>
        <b/>
        <sz val="11"/>
        <color rgb="FFFF0000"/>
        <rFont val="Calibri"/>
        <family val="2"/>
        <scheme val="minor"/>
      </rPr>
      <t>useful energy</t>
    </r>
    <r>
      <rPr>
        <b/>
        <sz val="11"/>
        <color theme="1"/>
        <rFont val="Calibri"/>
        <family val="2"/>
        <scheme val="minor"/>
      </rPr>
      <t>)</t>
    </r>
  </si>
  <si>
    <t>Theoretical extra needs</t>
  </si>
  <si>
    <t>EFF</t>
  </si>
  <si>
    <t>Cooking</t>
  </si>
  <si>
    <t>TOTAL</t>
  </si>
  <si>
    <t>Biomass and wastes</t>
  </si>
  <si>
    <t>Gases</t>
  </si>
  <si>
    <t>LPG</t>
  </si>
  <si>
    <t>Solids</t>
  </si>
  <si>
    <t>Cooling</t>
  </si>
  <si>
    <t>Space heating</t>
  </si>
  <si>
    <t>Derived heat</t>
  </si>
  <si>
    <t>GDO and other liquids (incl. liq. bio.)</t>
  </si>
  <si>
    <t>Geothermal Energy</t>
  </si>
  <si>
    <t>Water heating</t>
  </si>
  <si>
    <t>Solar</t>
  </si>
  <si>
    <t>Lighting and appliances</t>
  </si>
  <si>
    <t>System Efficiency</t>
  </si>
  <si>
    <t>ACT_FLO</t>
  </si>
  <si>
    <t>TJ/dwelling factors</t>
  </si>
  <si>
    <t>flat</t>
  </si>
  <si>
    <t>detached</t>
  </si>
  <si>
    <t>semidetached</t>
  </si>
  <si>
    <t>~FI_T: PASTI</t>
  </si>
  <si>
    <t>TechName</t>
  </si>
  <si>
    <t>Year</t>
  </si>
  <si>
    <t>Rdw_DetH</t>
  </si>
  <si>
    <t>Rdw_SDetH</t>
  </si>
  <si>
    <t>Rdw_Flat</t>
  </si>
  <si>
    <t>Vintages</t>
  </si>
  <si>
    <t>Csets</t>
  </si>
  <si>
    <t>CommName</t>
  </si>
  <si>
    <t>CommDesc</t>
  </si>
  <si>
    <t>LimType</t>
  </si>
  <si>
    <t>CTSLvl</t>
  </si>
  <si>
    <t>PeakTS</t>
  </si>
  <si>
    <t>Ctype</t>
  </si>
  <si>
    <t>~FI_Process</t>
  </si>
  <si>
    <t>Sets</t>
  </si>
  <si>
    <t>TechDesc</t>
  </si>
  <si>
    <t>Tact</t>
  </si>
  <si>
    <t>Tcap</t>
  </si>
  <si>
    <t>Tslvl</t>
  </si>
  <si>
    <t>PrimaryCG</t>
  </si>
  <si>
    <t>DetH</t>
  </si>
  <si>
    <t>SDetH</t>
  </si>
  <si>
    <t>FL</t>
  </si>
  <si>
    <t>DH</t>
  </si>
  <si>
    <t>SD</t>
  </si>
  <si>
    <t>DMD</t>
  </si>
  <si>
    <t>000units</t>
  </si>
  <si>
    <t>Vintage</t>
  </si>
  <si>
    <t>Yes</t>
  </si>
  <si>
    <t>DEM</t>
  </si>
  <si>
    <t>Cook</t>
  </si>
  <si>
    <t>SpCool</t>
  </si>
  <si>
    <t>SpHeat</t>
  </si>
  <si>
    <t>WatHeat</t>
  </si>
  <si>
    <t>CK</t>
  </si>
  <si>
    <t>SC</t>
  </si>
  <si>
    <t>SH</t>
  </si>
  <si>
    <t>WH</t>
  </si>
  <si>
    <t>NRG</t>
  </si>
  <si>
    <t>~FI_T: INPUT</t>
  </si>
  <si>
    <t>Comm-IN</t>
  </si>
  <si>
    <t>RSDELC</t>
  </si>
  <si>
    <t>RSDGAS</t>
  </si>
  <si>
    <t>RSDHET</t>
  </si>
  <si>
    <t>RSDOIL</t>
  </si>
  <si>
    <t>RSDBIO</t>
  </si>
  <si>
    <t>RSDCOA</t>
  </si>
  <si>
    <t>Comm-OUT</t>
  </si>
  <si>
    <t>kw equipment</t>
  </si>
  <si>
    <t>utilization</t>
  </si>
  <si>
    <t>GJ</t>
  </si>
  <si>
    <t>Shares of dwellings with equipment type</t>
  </si>
  <si>
    <t>PRE</t>
  </si>
  <si>
    <t>~FI_T: Stock</t>
  </si>
  <si>
    <t>RSDGEO</t>
  </si>
  <si>
    <t>RSDLPG</t>
  </si>
  <si>
    <t>~FI_T: EFF</t>
  </si>
  <si>
    <t>Actual to Theoretical Demand Factor</t>
  </si>
  <si>
    <t>ATT Factor</t>
  </si>
  <si>
    <t>Percentage</t>
  </si>
  <si>
    <t>~FI_T: PRC_ACTFLO</t>
  </si>
  <si>
    <t>PJ/000dwellings</t>
  </si>
  <si>
    <t>~FI_T: PRC_CAPACT</t>
  </si>
  <si>
    <t>~FI_T: NCAP_AFA</t>
  </si>
  <si>
    <t xml:space="preserve">  Stock Component</t>
  </si>
  <si>
    <t xml:space="preserve">  Heating intensity component</t>
  </si>
  <si>
    <t>Stock Component of ATT</t>
  </si>
  <si>
    <t>Commodity</t>
  </si>
  <si>
    <t>Saving Residential buildings</t>
  </si>
  <si>
    <t>kwh/dwellings to PJ/000 dwellings</t>
  </si>
  <si>
    <t>R_ES-FL-SpHeat</t>
  </si>
  <si>
    <t>R_ES-DH-SpHeat</t>
  </si>
  <si>
    <t>R_ES-SD-SpHeat</t>
  </si>
  <si>
    <t>CSET_CN</t>
  </si>
  <si>
    <t>*</t>
  </si>
  <si>
    <t>*Retfit Component</t>
  </si>
  <si>
    <t>PSET_PN</t>
  </si>
  <si>
    <t>*units</t>
  </si>
  <si>
    <t/>
  </si>
  <si>
    <t>Euro/dwellings</t>
  </si>
  <si>
    <t>Euro/buildings</t>
  </si>
  <si>
    <t>Maximum Retrofit Residential buildings</t>
  </si>
  <si>
    <t>AllRegions</t>
  </si>
  <si>
    <t>FLT</t>
  </si>
  <si>
    <t>FLO_BND</t>
  </si>
  <si>
    <t>UP</t>
  </si>
  <si>
    <t>Dum_Rtfit-Stock-Ctrl</t>
  </si>
  <si>
    <t>DET</t>
  </si>
  <si>
    <t>SDE</t>
  </si>
  <si>
    <t>Bldg_*</t>
  </si>
  <si>
    <t>Win</t>
  </si>
  <si>
    <t>DeACT-FI_T: PASTI</t>
  </si>
  <si>
    <t>Cei</t>
  </si>
  <si>
    <t>Wal</t>
  </si>
  <si>
    <t>RSD_Exist_Flat</t>
  </si>
  <si>
    <t>RSD_Exist_Det</t>
  </si>
  <si>
    <t>RSD_Exist_SemiDet</t>
  </si>
  <si>
    <t>Pre09</t>
  </si>
  <si>
    <t>Dwellings/Building</t>
  </si>
  <si>
    <t>Semi-detached</t>
  </si>
  <si>
    <t>INVCOST</t>
  </si>
  <si>
    <t>MEuro/000dwellings</t>
  </si>
  <si>
    <t>DET*-MG1</t>
  </si>
  <si>
    <t>DET*-MG2</t>
  </si>
  <si>
    <t>DET*-MG3</t>
  </si>
  <si>
    <t>DET*-MR2</t>
  </si>
  <si>
    <t>DET*-MR3</t>
  </si>
  <si>
    <t>DET*-MW2</t>
  </si>
  <si>
    <t>DET*-MW3</t>
  </si>
  <si>
    <t>FLT*-MG1</t>
  </si>
  <si>
    <t>FLT*-MG2</t>
  </si>
  <si>
    <t>FLT*-MG3</t>
  </si>
  <si>
    <t>FLT*-MR2</t>
  </si>
  <si>
    <t>FLT*-MR3</t>
  </si>
  <si>
    <t>FLT*-MW2</t>
  </si>
  <si>
    <t>FLT*-MW3</t>
  </si>
  <si>
    <t>SDE*-MG1</t>
  </si>
  <si>
    <t>SDE*-MG2</t>
  </si>
  <si>
    <t>SDE*-MG3</t>
  </si>
  <si>
    <t>SDE*-MR2</t>
  </si>
  <si>
    <t>SDE*-MR3</t>
  </si>
  <si>
    <t>SDE*-MW2</t>
  </si>
  <si>
    <t>SDE*-MW3</t>
  </si>
  <si>
    <t>LIFE</t>
  </si>
  <si>
    <t>DET*-*,SDE*-*,FLT*-*</t>
  </si>
  <si>
    <t>NCAP_DRATE</t>
  </si>
  <si>
    <t>XX~TFM_INS</t>
  </si>
  <si>
    <r>
      <rPr>
        <b/>
        <sz val="11"/>
        <color rgb="FFFF0000"/>
        <rFont val="Calibri"/>
        <family val="2"/>
        <scheme val="minor"/>
      </rPr>
      <t xml:space="preserve">Note: </t>
    </r>
    <r>
      <rPr>
        <sz val="11"/>
        <color rgb="FFFF0000"/>
        <rFont val="Calibri"/>
        <family val="2"/>
        <scheme val="minor"/>
      </rPr>
      <t xml:space="preserve">To update changes on retrofit measures copy and paste values from this table to </t>
    </r>
    <r>
      <rPr>
        <i/>
        <sz val="11"/>
        <color rgb="FFFF0000"/>
        <rFont val="Calibri"/>
        <family val="2"/>
        <scheme val="minor"/>
      </rPr>
      <t>SubRES_RsdRetrofits_Trans.xlsx</t>
    </r>
  </si>
  <si>
    <t>Retrofit investment costs</t>
  </si>
  <si>
    <t>Colour code</t>
  </si>
  <si>
    <t>Referenced data (columns and rows headers)</t>
  </si>
  <si>
    <t>Own calculations (columns and rows headers)</t>
  </si>
  <si>
    <t>Own assumptions (columns and rows headers)</t>
  </si>
  <si>
    <t>Ceiling U-values by construction period</t>
  </si>
  <si>
    <t>Wall U-values by construction period</t>
  </si>
  <si>
    <t>Floor U-values by construction period</t>
  </si>
  <si>
    <t>Windows U-values by construction period</t>
  </si>
  <si>
    <t>Sheets which contains input tables for the RES BY-Template</t>
  </si>
  <si>
    <r>
      <t>Sheets which contains input tables (not activated) for the building retrofit SubRes (</t>
    </r>
    <r>
      <rPr>
        <i/>
        <sz val="9"/>
        <color theme="1"/>
        <rFont val="Calibri"/>
        <family val="2"/>
        <scheme val="minor"/>
      </rPr>
      <t>SubRES_RsdRetrofits_Trans.xlsx</t>
    </r>
    <r>
      <rPr>
        <sz val="9"/>
        <color theme="1"/>
        <rFont val="Calibri"/>
        <family val="2"/>
        <scheme val="minor"/>
      </rPr>
      <t>)</t>
    </r>
  </si>
  <si>
    <t>Eurostat</t>
  </si>
  <si>
    <t>IEA</t>
  </si>
  <si>
    <t>Total energy consumption</t>
  </si>
  <si>
    <t>Unit: ktoe; Year: 2010</t>
  </si>
  <si>
    <t>Unit: PJ; Year: 2010</t>
  </si>
  <si>
    <r>
      <t>Detailed split of thermal energy service (</t>
    </r>
    <r>
      <rPr>
        <b/>
        <sz val="16"/>
        <color rgb="FFFF0000"/>
        <rFont val="Calibri"/>
        <family val="2"/>
        <scheme val="minor"/>
      </rPr>
      <t>PJ</t>
    </r>
    <r>
      <rPr>
        <b/>
        <sz val="16"/>
        <rFont val="Calibri"/>
        <family val="2"/>
        <scheme val="minor"/>
      </rPr>
      <t xml:space="preserve"> useful - calibration output)</t>
    </r>
  </si>
  <si>
    <r>
      <t>Detailed split of energy consumption (</t>
    </r>
    <r>
      <rPr>
        <b/>
        <sz val="16"/>
        <color rgb="FFFF0000"/>
        <rFont val="Calibri"/>
        <family val="2"/>
        <scheme val="minor"/>
      </rPr>
      <t>PJ</t>
    </r>
    <r>
      <rPr>
        <b/>
        <sz val="16"/>
        <rFont val="Calibri"/>
        <family val="2"/>
        <scheme val="minor"/>
      </rPr>
      <t xml:space="preserve"> - calibration output)</t>
    </r>
  </si>
  <si>
    <r>
      <t>Detailed split of thermal energy service (</t>
    </r>
    <r>
      <rPr>
        <b/>
        <sz val="16"/>
        <color rgb="FFFF0000"/>
        <rFont val="Calibri"/>
        <family val="2"/>
        <scheme val="minor"/>
      </rPr>
      <t>ktoe</t>
    </r>
    <r>
      <rPr>
        <b/>
        <sz val="16"/>
        <rFont val="Calibri"/>
        <family val="2"/>
        <scheme val="minor"/>
      </rPr>
      <t xml:space="preserve"> useful - calibration output)</t>
    </r>
  </si>
  <si>
    <r>
      <t>Detailed split of energy consumption (</t>
    </r>
    <r>
      <rPr>
        <b/>
        <sz val="16"/>
        <color rgb="FFFF0000"/>
        <rFont val="Calibri"/>
        <family val="2"/>
        <scheme val="minor"/>
      </rPr>
      <t>ktoe</t>
    </r>
    <r>
      <rPr>
        <b/>
        <sz val="16"/>
        <rFont val="Calibri"/>
        <family val="2"/>
        <scheme val="minor"/>
      </rPr>
      <t xml:space="preserve"> - calibration output)</t>
    </r>
  </si>
  <si>
    <t>Source: JRC-IDEES</t>
  </si>
  <si>
    <t>GW</t>
  </si>
  <si>
    <t>RLIG</t>
  </si>
  <si>
    <t>M appliances</t>
  </si>
  <si>
    <t>RREF</t>
  </si>
  <si>
    <t>RCWA</t>
  </si>
  <si>
    <t>RCDR</t>
  </si>
  <si>
    <t>RDWA</t>
  </si>
  <si>
    <t>ROEL</t>
  </si>
  <si>
    <t>Lighting</t>
  </si>
  <si>
    <t>Refrigerators and freezers</t>
  </si>
  <si>
    <t>Washing machine</t>
  </si>
  <si>
    <t>Clothes dryer</t>
  </si>
  <si>
    <t>Dishwasher</t>
  </si>
  <si>
    <t>Other ELC</t>
  </si>
  <si>
    <t>~FI_T: Share~UP</t>
  </si>
  <si>
    <t>COAHAR</t>
  </si>
  <si>
    <t>COACOK</t>
  </si>
  <si>
    <t>COALIG</t>
  </si>
  <si>
    <t>COABRO</t>
  </si>
  <si>
    <t>OILLPG</t>
  </si>
  <si>
    <t>OILGSL</t>
  </si>
  <si>
    <t>OILKER</t>
  </si>
  <si>
    <t>OILDST</t>
  </si>
  <si>
    <t>OILHFO</t>
  </si>
  <si>
    <t>OILOTH</t>
  </si>
  <si>
    <t>GASNAT</t>
  </si>
  <si>
    <t>GASGWG</t>
  </si>
  <si>
    <t>BIOWOO</t>
  </si>
  <si>
    <t>BIOGAS</t>
  </si>
  <si>
    <t>BIOMUN</t>
  </si>
  <si>
    <t>BIOSLU</t>
  </si>
  <si>
    <t>RENSOL</t>
  </si>
  <si>
    <t>RENGEO</t>
  </si>
  <si>
    <t>~FI_T: INVCOST</t>
  </si>
  <si>
    <t>~FI_T: START</t>
  </si>
  <si>
    <t>~FI_T: Life</t>
  </si>
  <si>
    <t>~FI_T: CAP2ACT</t>
  </si>
  <si>
    <t>ELCMED</t>
  </si>
  <si>
    <t>ELCLOW</t>
  </si>
  <si>
    <t>~FI_T: Peak</t>
  </si>
  <si>
    <t>~FI_T: AFA</t>
  </si>
  <si>
    <t>HETHTH</t>
  </si>
  <si>
    <t>~FI_T: Invcost</t>
  </si>
  <si>
    <t>Base-year technologies for district cooling production</t>
  </si>
  <si>
    <t>~FI_T: FIXOM</t>
  </si>
  <si>
    <t>~FI_T: Cap2Act</t>
  </si>
  <si>
    <t>Act2Flo</t>
  </si>
  <si>
    <t>~FI_T: Act2Flo</t>
  </si>
  <si>
    <t>~FI_T: AF</t>
  </si>
  <si>
    <t>~FI_T: CEFF</t>
  </si>
  <si>
    <t>COOFRE</t>
  </si>
  <si>
    <t>~FI_T: Share~UP~W</t>
  </si>
  <si>
    <t>~FI_T: Share~UP~R</t>
  </si>
  <si>
    <t>~FI_T: Share~UP~S</t>
  </si>
  <si>
    <t>~FI_T: Share~UP~F</t>
  </si>
  <si>
    <t>Unit Capacity (kW)</t>
  </si>
  <si>
    <t>Unit Capacity (000units)</t>
  </si>
  <si>
    <t>~FI_T: LIFE</t>
  </si>
  <si>
    <t>Brown appliances</t>
  </si>
  <si>
    <t>ICT equipment</t>
  </si>
  <si>
    <t>TV and multimedia</t>
  </si>
  <si>
    <t>Lighting and other electricity uses</t>
  </si>
  <si>
    <t>Other appliances (vacuum cleaners, irons etc.)</t>
  </si>
  <si>
    <t>White appliances</t>
  </si>
  <si>
    <t>M households</t>
  </si>
  <si>
    <t>W per appliance (in average operating mode)</t>
  </si>
  <si>
    <r>
      <t xml:space="preserve">Total consumption by specific electric appliances (in </t>
    </r>
    <r>
      <rPr>
        <b/>
        <sz val="16"/>
        <color rgb="FFFF0000"/>
        <rFont val="Calibri"/>
        <family val="2"/>
        <scheme val="minor"/>
      </rPr>
      <t>ktoe</t>
    </r>
    <r>
      <rPr>
        <b/>
        <sz val="16"/>
        <rFont val="Calibri"/>
        <family val="2"/>
        <scheme val="minor"/>
      </rPr>
      <t>)</t>
    </r>
  </si>
  <si>
    <r>
      <t xml:space="preserve">Total consumption by specific electric appliances (in </t>
    </r>
    <r>
      <rPr>
        <b/>
        <sz val="16"/>
        <color rgb="FFFF0000"/>
        <rFont val="Calibri"/>
        <family val="2"/>
        <scheme val="minor"/>
      </rPr>
      <t>PJ</t>
    </r>
    <r>
      <rPr>
        <b/>
        <sz val="16"/>
        <rFont val="Calibri"/>
        <family val="2"/>
        <scheme val="minor"/>
      </rPr>
      <t>)</t>
    </r>
  </si>
  <si>
    <t>Penetration factor (appliances per household)</t>
  </si>
  <si>
    <r>
      <t>Specific electric appliances consumption per household (</t>
    </r>
    <r>
      <rPr>
        <b/>
        <sz val="16"/>
        <color rgb="FFFF0000"/>
        <rFont val="Calibri"/>
        <family val="2"/>
        <scheme val="minor"/>
      </rPr>
      <t>in kWh</t>
    </r>
    <r>
      <rPr>
        <b/>
        <sz val="16"/>
        <rFont val="Calibri"/>
        <family val="2"/>
        <scheme val="minor"/>
      </rPr>
      <t>)</t>
    </r>
  </si>
  <si>
    <t>Fuel Tech Base-year - Coal (RSD)</t>
  </si>
  <si>
    <t>RSDCOA00</t>
  </si>
  <si>
    <t>Fuel Tech Base-year - Liquified Petroleum Gas (RSD)</t>
  </si>
  <si>
    <t>RSDLPG00</t>
  </si>
  <si>
    <t>Fuel Tech Base-year - Oil (RSD)</t>
  </si>
  <si>
    <t>RSDOIL00</t>
  </si>
  <si>
    <t>Fuel Tech Base-year - Natural Gas (RSD)</t>
  </si>
  <si>
    <t>RSDGAS00</t>
  </si>
  <si>
    <t>Fuel Tech Base-year - Biomass (RSD)</t>
  </si>
  <si>
    <t>RSDBIO00</t>
  </si>
  <si>
    <t>Fuel Tech Base-year - Solar (RSD)</t>
  </si>
  <si>
    <t>RSDSOL00</t>
  </si>
  <si>
    <t>Fuel Tech Base-year - Geothermal (RSD)</t>
  </si>
  <si>
    <t>RSDGEO00</t>
  </si>
  <si>
    <t>RSDSOL</t>
  </si>
  <si>
    <t>Fuel Tech New - Coal (RSD)</t>
  </si>
  <si>
    <t>Fuel Tech New - Liquified Petroleum Gas (RSD)</t>
  </si>
  <si>
    <t>RSDCOA01</t>
  </si>
  <si>
    <t>Fuel Tech New - Oil (RSD)</t>
  </si>
  <si>
    <t>RSDLPG01</t>
  </si>
  <si>
    <t>Fuel Tech New - Natural Gas (RSD)</t>
  </si>
  <si>
    <t>RSDOIL01</t>
  </si>
  <si>
    <t>Fuel Tech New - Biomass (RSD)</t>
  </si>
  <si>
    <t>RSDGAS01</t>
  </si>
  <si>
    <t>Fuel Tech New - Solar (RSD)</t>
  </si>
  <si>
    <t>RSDBIO01</t>
  </si>
  <si>
    <t>Fuel Tech New - Geothermal (RSD)</t>
  </si>
  <si>
    <t>RSDSOL01</t>
  </si>
  <si>
    <t>RSDGEO01</t>
  </si>
  <si>
    <t>RSDELC00</t>
  </si>
  <si>
    <t>RSDLTH</t>
  </si>
  <si>
    <t>RSDHTH00</t>
  </si>
  <si>
    <t>RSDHTH</t>
  </si>
  <si>
    <t>RSDHTH01</t>
  </si>
  <si>
    <t>RSDCOO100</t>
  </si>
  <si>
    <t>RSDCOO</t>
  </si>
  <si>
    <t>RSDCOO200</t>
  </si>
  <si>
    <t>DeACTPRCCOMEMI</t>
  </si>
  <si>
    <t>Static coefficients for combustion emissions in RSDidential</t>
  </si>
  <si>
    <t>RSD*</t>
  </si>
  <si>
    <t>SE_RSDCO2N</t>
  </si>
  <si>
    <t>SE_RSDCOXN</t>
  </si>
  <si>
    <t>SE_RSDCH4N</t>
  </si>
  <si>
    <t>SE_RSDSO2N</t>
  </si>
  <si>
    <t>SE_RSDNOXN</t>
  </si>
  <si>
    <t>SE_RSDN2ON</t>
  </si>
  <si>
    <t>SE_RSDPMAN</t>
  </si>
  <si>
    <t>SE_RSDPMBN</t>
  </si>
  <si>
    <t>SE_RSDVOCN</t>
  </si>
  <si>
    <t>SE_RSDSF6N</t>
  </si>
  <si>
    <t>SE_RSDCXFN</t>
  </si>
  <si>
    <t>Dynamic coefficients for combustion emissions in RSDidential</t>
  </si>
  <si>
    <t>RSDCO2N</t>
  </si>
  <si>
    <t>RSDCOXN</t>
  </si>
  <si>
    <t>RSDCH4N</t>
  </si>
  <si>
    <t>RSDSO2N</t>
  </si>
  <si>
    <t>RSDNOXN</t>
  </si>
  <si>
    <t>RSDN2ON</t>
  </si>
  <si>
    <t>RSDPMAN</t>
  </si>
  <si>
    <t>RSDPMBN</t>
  </si>
  <si>
    <t>RSDVOCN</t>
  </si>
  <si>
    <t>RSDSF6N</t>
  </si>
  <si>
    <t>RSDCXFN</t>
  </si>
  <si>
    <t>RSDidential energy balances</t>
  </si>
  <si>
    <t>ENV</t>
  </si>
  <si>
    <t>kt</t>
  </si>
  <si>
    <t>kg</t>
  </si>
  <si>
    <t>Carbon Dioxide - RSDbustion (RSD)</t>
  </si>
  <si>
    <t>Carbon Monoxide - RSDbustion (RSD)</t>
  </si>
  <si>
    <t>Methane - RSDbustion (RSD)</t>
  </si>
  <si>
    <t>Sulphur Dioxide - RSDbustion (RSD)</t>
  </si>
  <si>
    <t>Nitrogen Oxides - RSDbustion (RSD)</t>
  </si>
  <si>
    <t>Nitrous Oxide - RSDbustion (RSD)</t>
  </si>
  <si>
    <t>Particulate 2.5 - RSDbustion (RSD)</t>
  </si>
  <si>
    <t>Particulate 10 - RSDbustion (RSD)</t>
  </si>
  <si>
    <t>Volatile Organic RSDpounds - RSDbustion (RSD)</t>
  </si>
  <si>
    <t>Sulphur Hexafluoride - RSDbustion (RSD)</t>
  </si>
  <si>
    <t>Fluoro Carbons - RSDbustion (RSD)</t>
  </si>
  <si>
    <t>Free cooling source (RSD)</t>
  </si>
  <si>
    <t>Cooling agent (RSD)</t>
  </si>
  <si>
    <t>AF~FX</t>
  </si>
  <si>
    <t>AF~FX~0</t>
  </si>
  <si>
    <t>PJa</t>
  </si>
  <si>
    <t>SEASON</t>
  </si>
  <si>
    <t>DAYNITE</t>
  </si>
  <si>
    <t>~FI_T: Share~LO</t>
  </si>
  <si>
    <t>RSDHET00</t>
  </si>
  <si>
    <t>Fuel Tech - Electricity (RSD)</t>
  </si>
  <si>
    <t>Fuel Tech - Heat (RSD)</t>
  </si>
  <si>
    <t>~FI_T: DEMAND</t>
  </si>
  <si>
    <t>\I:</t>
  </si>
  <si>
    <t>DeACTFI_T: Stock</t>
  </si>
  <si>
    <t>MovedToSysSettings</t>
  </si>
  <si>
    <t>From STOCK</t>
  </si>
  <si>
    <t>Calibration Value</t>
  </si>
  <si>
    <t>HDD 2010</t>
  </si>
  <si>
    <t>EU-27/28</t>
  </si>
  <si>
    <t>Mean heating degree-days over period 1980 - 2004</t>
  </si>
  <si>
    <t>Adjusted with HDD2010</t>
  </si>
  <si>
    <t>FactorTo2010</t>
  </si>
  <si>
    <t>RDM: Stock&amp;AF of heating techs are based on the historical data of HDD! Ratio "HDD2010/HDDaverage" adjusts the AFA for meeting the demand in the BY. An intermediate process keeps track of the changes in HDD in future periods</t>
  </si>
  <si>
    <t>Fuel Tech New - Heat (RSD)</t>
  </si>
  <si>
    <t>Rsd.District Cooling.Absorption heat pump and free source.</t>
  </si>
  <si>
    <t>Rsd.District Cooling.Compressor heat pump and free source.</t>
  </si>
  <si>
    <t>RDM: to be checked</t>
  </si>
  <si>
    <t>FLO</t>
  </si>
  <si>
    <t>ACT</t>
  </si>
  <si>
    <t>CONS</t>
  </si>
  <si>
    <t>Check</t>
  </si>
  <si>
    <t>IDEES average HDD</t>
  </si>
  <si>
    <t>CORRECTIONS per type of dwelling</t>
  </si>
  <si>
    <t>Alternative based on surface</t>
  </si>
  <si>
    <t>CHECK</t>
  </si>
  <si>
    <t>THE AFA is for an average year and is corrected in the scenario file HDD, even for the base year- we take 1% margin to be sure it can cover demand</t>
  </si>
  <si>
    <t>TOTAL - corrected for 1%</t>
  </si>
  <si>
    <t>NO CORRECTION for type of dwelling</t>
  </si>
  <si>
    <t>Average HDD and heated buildings</t>
  </si>
  <si>
    <t>GASP2G</t>
  </si>
  <si>
    <t>M_appliances</t>
  </si>
  <si>
    <t>Table Name: T_230417_163909</t>
  </si>
  <si>
    <t xml:space="preserve">Active Unit:  </t>
  </si>
  <si>
    <t>VAR_FIn</t>
  </si>
  <si>
    <t>Mt</t>
  </si>
  <si>
    <t>Table Name: T_230417_181144</t>
  </si>
  <si>
    <t>Scenario</t>
  </si>
  <si>
    <t>Region\Period</t>
  </si>
  <si>
    <t>Baseline_HRE12</t>
  </si>
  <si>
    <t>DH-70</t>
  </si>
  <si>
    <t>Detached house 1945 to 1969</t>
  </si>
  <si>
    <t>Detached house 1970 to 2010</t>
  </si>
  <si>
    <t>DetH-70</t>
  </si>
  <si>
    <t>Adj_DH-70-SpHeat</t>
  </si>
  <si>
    <t>Adjustment of HDD_DH-SpHeat 1970 to 2010</t>
  </si>
  <si>
    <t>Rdw_DetH-70</t>
  </si>
  <si>
    <t>R_ES-DH-70-SpHeat-I</t>
  </si>
  <si>
    <t>R_ES-DH-70-SpHeat</t>
  </si>
  <si>
    <t>detached 1945-1969</t>
  </si>
  <si>
    <t>detached 1970-2010</t>
  </si>
  <si>
    <t>Detached 1970 to 2010</t>
  </si>
  <si>
    <t>Det 1970-2010</t>
  </si>
  <si>
    <t>Det 1945-1969</t>
  </si>
  <si>
    <t>The DIFFERENCE below is because of the factor 1.01 used within the NCAPAF</t>
  </si>
  <si>
    <t>LO</t>
  </si>
  <si>
    <t>Average consumption</t>
  </si>
  <si>
    <t>Average consumption is fuel independent</t>
  </si>
  <si>
    <t>Now we make it dwelling type dependent</t>
  </si>
  <si>
    <t>non flat</t>
  </si>
  <si>
    <t>Nr of dwellings</t>
  </si>
  <si>
    <t>Consumption per dwelling</t>
  </si>
  <si>
    <t>Non flat</t>
  </si>
  <si>
    <t>NCAP_AFC for new boilers</t>
  </si>
  <si>
    <t xml:space="preserve">Flats </t>
  </si>
  <si>
    <t>AFA calculation</t>
  </si>
  <si>
    <t>~FI_T: Share~FX</t>
  </si>
  <si>
    <t>~FI_T: Share~FX~2015</t>
  </si>
  <si>
    <t xml:space="preserve">Source: http://stats.ehpa.org/hp_sales/cockpit/  </t>
  </si>
  <si>
    <t>Simplification</t>
  </si>
  <si>
    <t>Exhaust air</t>
  </si>
  <si>
    <t>H-air/water</t>
  </si>
  <si>
    <t>H-ground/water</t>
  </si>
  <si>
    <t>Reversible air-air w/heating</t>
  </si>
  <si>
    <t>Reversible other</t>
  </si>
  <si>
    <t>Sanitary hot water</t>
  </si>
  <si>
    <t>AIR</t>
  </si>
  <si>
    <t xml:space="preserve">AIR REVERSIBLE </t>
  </si>
  <si>
    <t>AIR Sanitary Hot Water</t>
  </si>
  <si>
    <t>GROUND</t>
  </si>
  <si>
    <t>Stock 2010</t>
  </si>
  <si>
    <t>Air</t>
  </si>
  <si>
    <t>Ground</t>
  </si>
  <si>
    <t>All buildings</t>
  </si>
  <si>
    <t>[000units]</t>
  </si>
  <si>
    <t>HP/dwelling</t>
  </si>
  <si>
    <t>HP Air</t>
  </si>
  <si>
    <t>HP Ground</t>
  </si>
  <si>
    <t>Average AF</t>
  </si>
  <si>
    <t>Number of households</t>
  </si>
  <si>
    <t>RES_hh_num</t>
  </si>
  <si>
    <t>Liquified petroleum gas (LPG)</t>
  </si>
  <si>
    <t>Gas/Diesel oil incl. biofuels (GDO)</t>
  </si>
  <si>
    <t>Gases incl. biogas</t>
  </si>
  <si>
    <t>Geothermal energy</t>
  </si>
  <si>
    <t>Advanced electric heating</t>
  </si>
  <si>
    <t>Conventional electric heating</t>
  </si>
  <si>
    <t>RES_hh_fec</t>
  </si>
  <si>
    <t>Final energy consumption (ktoe)</t>
  </si>
  <si>
    <t>Electricity in circulation</t>
  </si>
  <si>
    <t>RES_hh_tes</t>
  </si>
  <si>
    <t>Thermal energy service (ktoe useful)</t>
  </si>
  <si>
    <t>RES_hh_eff</t>
  </si>
  <si>
    <t>Ratio of energy service to energy consumption</t>
  </si>
  <si>
    <t>RATIO</t>
  </si>
  <si>
    <t>RES_hh_fec COMPARISON WITH PREVIOUS DATA</t>
  </si>
  <si>
    <t>This is only the thermal part</t>
  </si>
  <si>
    <t>TOTAL excl circulation</t>
  </si>
  <si>
    <t>Advanced El Heating</t>
  </si>
  <si>
    <t>Heat pumps alternative number</t>
  </si>
  <si>
    <t>TOTAL Excluding AEH</t>
  </si>
  <si>
    <t>HEATED ONLY</t>
  </si>
  <si>
    <t>TOTAL HEATED buildings minus real heat umps</t>
  </si>
  <si>
    <t>TOTAL HEATED buildings</t>
  </si>
  <si>
    <t>RES_hh_num corrected for heat buildings and real heat pumps</t>
  </si>
  <si>
    <t>Adv electric heating (not used in JRC-EU-TIMES)</t>
  </si>
  <si>
    <t>ELC</t>
  </si>
  <si>
    <t>threshold</t>
  </si>
  <si>
    <t>Fi prev:</t>
  </si>
  <si>
    <t>P2LDST</t>
  </si>
  <si>
    <t>SYNDST</t>
  </si>
  <si>
    <t>BIOHVO</t>
  </si>
  <si>
    <t>BIOEMHV</t>
  </si>
  <si>
    <t>DeActCOMEMI</t>
  </si>
  <si>
    <t>Moved to Scen_EmisCO2.xlsx</t>
  </si>
  <si>
    <t>RSDELC-heating</t>
  </si>
  <si>
    <t>RSDELC-other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</si>
</sst>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&quot;$&quot;#,##0_);\(&quot;$&quot;#,##0\)"/>
    <numFmt numFmtId="167" formatCode="_(&quot;$&quot;* #,##0.00_);_(&quot;$&quot;* \(#,##0.00\);_(&quot;$&quot;* &quot;-&quot;??_);_(@_)"/>
    <numFmt numFmtId="168" formatCode="0.0"/>
    <numFmt numFmtId="169" formatCode="#,##0.0_i"/>
    <numFmt numFmtId="170" formatCode="_-&quot;€&quot;\ * #,##0.00_-;\-&quot;€&quot;\ * #,##0.00_-;_-&quot;€&quot;\ * &quot;-&quot;??_-;_-@_-"/>
    <numFmt numFmtId="171" formatCode="0.0%"/>
    <numFmt numFmtId="172" formatCode="#,##0.0"/>
    <numFmt numFmtId="173" formatCode="#,##0\ [$€-1]"/>
    <numFmt numFmtId="174" formatCode="dd\.mm\.yy"/>
    <numFmt numFmtId="175" formatCode="\Te\x\t"/>
    <numFmt numFmtId="176" formatCode="0.000"/>
    <numFmt numFmtId="177" formatCode="0.0000"/>
    <numFmt numFmtId="178" formatCode="_([$€]* #,##0.00_);_([$€]* \(#,##0.00\);_([$€]* &quot;-&quot;??_);_(@_)"/>
    <numFmt numFmtId="179" formatCode="_([$€-2]* #,##0.00_);_([$€-2]* \(#,##0.00\);_([$€-2]* &quot;-&quot;??_)"/>
    <numFmt numFmtId="180" formatCode="_-[$€]* #,##0.00_-;\-[$€]* #,##0.00_-;_-[$€]* &quot;-&quot;??_-;_-@_-"/>
    <numFmt numFmtId="181" formatCode="_-[$€-2]\ * #,##0.00_-;\-[$€-2]\ * #,##0.00_-;_-[$€-2]\ * &quot;-&quot;??_-"/>
    <numFmt numFmtId="182" formatCode="#,##0;\-\ #,##0;_-\ &quot;- &quot;"/>
    <numFmt numFmtId="183" formatCode="_ &quot;kr&quot;\ * #,##0_ ;_ &quot;kr&quot;\ * \-#,##0_ ;_ &quot;kr&quot;\ * &quot;-&quot;_ ;_ @_ "/>
    <numFmt numFmtId="184" formatCode="_ &quot;kr&quot;\ * #,##0.00_ ;_ &quot;kr&quot;\ * \-#,##0.00_ ;_ &quot;kr&quot;\ * &quot;-&quot;??_ ;_ @_ "/>
    <numFmt numFmtId="185" formatCode="\(##\);\(##\)"/>
    <numFmt numFmtId="186" formatCode="_-* #,##0.00\ _€_-;\-* #,##0.00\ _€_-;_-* &quot;-&quot;??\ _€_-;_-@_-"/>
    <numFmt numFmtId="187" formatCode="_-[$€-2]* #,##0.00_-;\-[$€-2]* #,##0.00_-;_-[$€-2]* &quot;-&quot;??_-"/>
    <numFmt numFmtId="188" formatCode="#,##0.0000"/>
    <numFmt numFmtId="189" formatCode="_-&quot;$&quot;* #,##0.00_-;\-&quot;$&quot;* #,##0.00_-;_-&quot;$&quot;* &quot;-&quot;??_-;_-@_-"/>
    <numFmt numFmtId="190" formatCode="General_)"/>
    <numFmt numFmtId="191" formatCode="0.00000"/>
    <numFmt numFmtId="192" formatCode="#,##0.000"/>
    <numFmt numFmtId="193" formatCode="0.000000"/>
    <numFmt numFmtId="194" formatCode="#,##0;\-#,##0;&quot;-&quot;"/>
    <numFmt numFmtId="195" formatCode="#,##0.00;\-#,##0.00;&quot;-&quot;"/>
  </numFmts>
  <fonts count="1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9"/>
      <color indexed="12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i/>
      <sz val="11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61"/>
    </font>
    <font>
      <b/>
      <sz val="11"/>
      <color indexed="63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8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0"/>
      <color rgb="FFFF0000"/>
      <name val="Arial"/>
      <family val="2"/>
    </font>
    <font>
      <sz val="11"/>
      <color theme="4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249977111117893"/>
      <name val="Arial"/>
      <family val="2"/>
    </font>
    <font>
      <sz val="10"/>
      <color rgb="FFFF0000"/>
      <name val="Arial"/>
      <family val="2"/>
    </font>
    <font>
      <sz val="8"/>
      <color theme="3" tint="-0.499984740745262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9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8"/>
      </patternFill>
    </fill>
    <fill>
      <patternFill patternType="solid">
        <fgColor theme="6" tint="0.59999389629810485"/>
        <bgColor indexed="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499984740745262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249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Fill="0" applyProtection="0"/>
    <xf numFmtId="0" fontId="22" fillId="0" borderId="0"/>
    <xf numFmtId="0" fontId="23" fillId="0" borderId="0" applyNumberFormat="0" applyFill="0" applyBorder="0" applyAlignment="0" applyProtection="0"/>
    <xf numFmtId="169" fontId="23" fillId="0" borderId="0" applyFill="0" applyBorder="0" applyProtection="0">
      <alignment horizontal="right"/>
    </xf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51" fillId="0" borderId="0"/>
    <xf numFmtId="0" fontId="21" fillId="0" borderId="0"/>
    <xf numFmtId="0" fontId="52" fillId="0" borderId="0"/>
    <xf numFmtId="9" fontId="21" fillId="0" borderId="0" applyFont="0" applyFill="0" applyBorder="0" applyAlignment="0" applyProtection="0"/>
    <xf numFmtId="0" fontId="1" fillId="0" borderId="0"/>
    <xf numFmtId="9" fontId="21" fillId="0" borderId="0" applyFont="0" applyFill="0" applyBorder="0" applyAlignment="0" applyProtection="0"/>
    <xf numFmtId="0" fontId="1" fillId="0" borderId="0"/>
    <xf numFmtId="0" fontId="21" fillId="0" borderId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1" fontId="21" fillId="0" borderId="0" applyFont="0" applyFill="0" applyBorder="0" applyAlignment="0" applyProtection="0"/>
    <xf numFmtId="11" fontId="21" fillId="0" borderId="0" applyFont="0" applyFill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5" fillId="68" borderId="0" applyNumberFormat="0" applyBorder="0" applyAlignment="0" applyProtection="0"/>
    <xf numFmtId="0" fontId="66" fillId="68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8" fillId="0" borderId="0"/>
    <xf numFmtId="0" fontId="18" fillId="0" borderId="0"/>
    <xf numFmtId="0" fontId="21" fillId="0" borderId="0"/>
    <xf numFmtId="0" fontId="18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18" fillId="0" borderId="0"/>
    <xf numFmtId="0" fontId="18" fillId="0" borderId="0"/>
    <xf numFmtId="0" fontId="2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8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65" fontId="68" fillId="0" borderId="0" applyFont="0" applyFill="0" applyBorder="0" applyAlignment="0" applyProtection="0"/>
    <xf numFmtId="164" fontId="68" fillId="0" borderId="0" applyFont="0" applyFill="0" applyBorder="0" applyAlignment="0" applyProtection="0"/>
    <xf numFmtId="183" fontId="68" fillId="0" borderId="0" applyFont="0" applyFill="0" applyBorder="0" applyAlignment="0" applyProtection="0"/>
    <xf numFmtId="0" fontId="21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45" fillId="70" borderId="10" applyNumberFormat="0" applyProtection="0">
      <alignment horizontal="right"/>
    </xf>
    <xf numFmtId="0" fontId="69" fillId="70" borderId="0" applyNumberFormat="0" applyBorder="0" applyProtection="0">
      <alignment horizontal="left"/>
    </xf>
    <xf numFmtId="0" fontId="45" fillId="70" borderId="10" applyNumberFormat="0" applyProtection="0">
      <alignment horizontal="left"/>
    </xf>
    <xf numFmtId="0" fontId="21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70" fillId="71" borderId="0" applyNumberFormat="0" applyBorder="0" applyProtection="0">
      <alignment horizontal="left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184" fontId="68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" fillId="0" borderId="0"/>
    <xf numFmtId="0" fontId="21" fillId="0" borderId="0"/>
    <xf numFmtId="0" fontId="1" fillId="0" borderId="0"/>
    <xf numFmtId="49" fontId="21" fillId="72" borderId="40">
      <alignment vertical="top" wrapText="1"/>
    </xf>
    <xf numFmtId="3" fontId="74" fillId="0" borderId="40">
      <alignment horizontal="right" vertical="top"/>
    </xf>
    <xf numFmtId="0" fontId="45" fillId="73" borderId="10">
      <alignment horizontal="centerContinuous" vertical="top" wrapText="1"/>
    </xf>
    <xf numFmtId="0" fontId="75" fillId="0" borderId="0">
      <alignment vertical="top" wrapText="1"/>
    </xf>
    <xf numFmtId="0" fontId="76" fillId="0" borderId="0"/>
    <xf numFmtId="0" fontId="21" fillId="69" borderId="37" applyNumberFormat="0" applyFont="0" applyAlignment="0" applyProtection="0"/>
    <xf numFmtId="185" fontId="77" fillId="0" borderId="0">
      <alignment horizontal="right"/>
    </xf>
    <xf numFmtId="0" fontId="75" fillId="0" borderId="0">
      <alignment vertical="top" wrapText="1"/>
    </xf>
    <xf numFmtId="172" fontId="78" fillId="74" borderId="41">
      <alignment vertical="center"/>
    </xf>
    <xf numFmtId="171" fontId="79" fillId="74" borderId="41">
      <alignment vertical="center"/>
    </xf>
    <xf numFmtId="172" fontId="80" fillId="75" borderId="41">
      <alignment vertical="center"/>
    </xf>
    <xf numFmtId="0" fontId="21" fillId="76" borderId="22" applyBorder="0">
      <alignment horizontal="left" vertical="center"/>
    </xf>
    <xf numFmtId="49" fontId="21" fillId="77" borderId="10">
      <alignment vertical="center" wrapText="1"/>
    </xf>
    <xf numFmtId="0" fontId="21" fillId="78" borderId="20">
      <alignment horizontal="left" vertical="center" wrapText="1"/>
    </xf>
    <xf numFmtId="0" fontId="81" fillId="79" borderId="10">
      <alignment horizontal="left" vertical="center" wrapText="1"/>
    </xf>
    <xf numFmtId="0" fontId="21" fillId="80" borderId="10">
      <alignment horizontal="left" vertical="center" wrapText="1"/>
    </xf>
    <xf numFmtId="0" fontId="21" fillId="81" borderId="10">
      <alignment horizontal="left" vertical="center" wrapText="1"/>
    </xf>
    <xf numFmtId="0" fontId="73" fillId="0" borderId="0" applyNumberForma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69" borderId="37" applyNumberFormat="0" applyFont="0" applyAlignment="0" applyProtection="0"/>
    <xf numFmtId="182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00" fillId="0" borderId="0" applyNumberFormat="0" applyFill="0" applyBorder="0" applyAlignment="0" applyProtection="0">
      <alignment vertical="center"/>
    </xf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" fillId="30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48" borderId="0" applyNumberFormat="0" applyBorder="0" applyAlignment="0" applyProtection="0"/>
    <xf numFmtId="0" fontId="18" fillId="49" borderId="0" applyNumberFormat="0" applyBorder="0" applyAlignment="0" applyProtection="0"/>
    <xf numFmtId="0" fontId="18" fillId="50" borderId="0" applyNumberFormat="0" applyBorder="0" applyAlignment="0" applyProtection="0"/>
    <xf numFmtId="0" fontId="18" fillId="51" borderId="0" applyNumberFormat="0" applyBorder="0" applyAlignment="0" applyProtection="0"/>
    <xf numFmtId="0" fontId="18" fillId="52" borderId="0" applyNumberFormat="0" applyBorder="0" applyAlignment="0" applyProtection="0"/>
    <xf numFmtId="0" fontId="18" fillId="53" borderId="0" applyNumberFormat="0" applyBorder="0" applyAlignment="0" applyProtection="0"/>
    <xf numFmtId="49" fontId="91" fillId="0" borderId="10" applyNumberFormat="0" applyFont="0" applyFill="0" applyBorder="0" applyProtection="0">
      <alignment horizontal="left" vertical="center" indent="2"/>
    </xf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4" borderId="0" applyNumberFormat="0" applyBorder="0" applyAlignment="0" applyProtection="0"/>
    <xf numFmtId="0" fontId="18" fillId="55" borderId="0" applyNumberFormat="0" applyBorder="0" applyAlignment="0" applyProtection="0"/>
    <xf numFmtId="0" fontId="18" fillId="56" borderId="0" applyNumberFormat="0" applyBorder="0" applyAlignment="0" applyProtection="0"/>
    <xf numFmtId="0" fontId="18" fillId="51" borderId="0" applyNumberFormat="0" applyBorder="0" applyAlignment="0" applyProtection="0"/>
    <xf numFmtId="0" fontId="18" fillId="54" borderId="0" applyNumberFormat="0" applyBorder="0" applyAlignment="0" applyProtection="0"/>
    <xf numFmtId="0" fontId="18" fillId="57" borderId="0" applyNumberFormat="0" applyBorder="0" applyAlignment="0" applyProtection="0"/>
    <xf numFmtId="0" fontId="21" fillId="0" borderId="0" applyNumberFormat="0" applyFont="0" applyFill="0" applyBorder="0" applyProtection="0">
      <alignment horizontal="left" vertical="center" indent="5"/>
    </xf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58" borderId="0" applyNumberFormat="0" applyBorder="0" applyAlignment="0" applyProtection="0"/>
    <xf numFmtId="0" fontId="54" fillId="55" borderId="0" applyNumberFormat="0" applyBorder="0" applyAlignment="0" applyProtection="0"/>
    <xf numFmtId="0" fontId="54" fillId="56" borderId="0" applyNumberFormat="0" applyBorder="0" applyAlignment="0" applyProtection="0"/>
    <xf numFmtId="0" fontId="54" fillId="59" borderId="0" applyNumberFormat="0" applyBorder="0" applyAlignment="0" applyProtection="0"/>
    <xf numFmtId="0" fontId="54" fillId="60" borderId="0" applyNumberFormat="0" applyBorder="0" applyAlignment="0" applyProtection="0"/>
    <xf numFmtId="0" fontId="54" fillId="61" borderId="0" applyNumberFormat="0" applyBorder="0" applyAlignment="0" applyProtection="0"/>
    <xf numFmtId="0" fontId="54" fillId="59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92" fillId="72" borderId="0" applyBorder="0" applyAlignment="0"/>
    <xf numFmtId="0" fontId="91" fillId="72" borderId="0" applyBorder="0">
      <alignment horizontal="right" vertical="center"/>
    </xf>
    <xf numFmtId="0" fontId="91" fillId="47" borderId="0" applyBorder="0">
      <alignment horizontal="right" vertical="center"/>
    </xf>
    <xf numFmtId="0" fontId="91" fillId="47" borderId="0" applyBorder="0">
      <alignment horizontal="right" vertical="center"/>
    </xf>
    <xf numFmtId="0" fontId="90" fillId="47" borderId="10">
      <alignment horizontal="right" vertical="center"/>
    </xf>
    <xf numFmtId="0" fontId="93" fillId="47" borderId="10">
      <alignment horizontal="right" vertical="center"/>
    </xf>
    <xf numFmtId="0" fontId="90" fillId="82" borderId="10">
      <alignment horizontal="right" vertical="center"/>
    </xf>
    <xf numFmtId="0" fontId="90" fillId="82" borderId="10">
      <alignment horizontal="right" vertical="center"/>
    </xf>
    <xf numFmtId="0" fontId="90" fillId="82" borderId="42">
      <alignment horizontal="right" vertical="center"/>
    </xf>
    <xf numFmtId="0" fontId="90" fillId="82" borderId="43">
      <alignment horizontal="right" vertical="center"/>
    </xf>
    <xf numFmtId="0" fontId="90" fillId="82" borderId="44">
      <alignment horizontal="right" vertical="center"/>
    </xf>
    <xf numFmtId="0" fontId="54" fillId="62" borderId="0" applyNumberFormat="0" applyBorder="0" applyAlignment="0" applyProtection="0"/>
    <xf numFmtId="0" fontId="54" fillId="63" borderId="0" applyNumberFormat="0" applyBorder="0" applyAlignment="0" applyProtection="0"/>
    <xf numFmtId="0" fontId="54" fillId="64" borderId="0" applyNumberFormat="0" applyBorder="0" applyAlignment="0" applyProtection="0"/>
    <xf numFmtId="0" fontId="54" fillId="59" borderId="0" applyNumberFormat="0" applyBorder="0" applyAlignment="0" applyProtection="0"/>
    <xf numFmtId="0" fontId="54" fillId="60" borderId="0" applyNumberFormat="0" applyBorder="0" applyAlignment="0" applyProtection="0"/>
    <xf numFmtId="0" fontId="54" fillId="65" borderId="0" applyNumberFormat="0" applyBorder="0" applyAlignment="0" applyProtection="0"/>
    <xf numFmtId="0" fontId="67" fillId="66" borderId="38" applyNumberFormat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7" fillId="3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6" fillId="66" borderId="31" applyNumberFormat="0" applyAlignment="0" applyProtection="0"/>
    <xf numFmtId="4" fontId="92" fillId="0" borderId="24" applyFill="0" applyBorder="0" applyProtection="0">
      <alignment horizontal="right" vertical="center"/>
    </xf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186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90" fillId="0" borderId="0" applyNumberFormat="0">
      <alignment horizontal="right"/>
    </xf>
    <xf numFmtId="167" fontId="21" fillId="0" borderId="0" applyFont="0" applyFill="0" applyBorder="0" applyAlignment="0" applyProtection="0"/>
    <xf numFmtId="0" fontId="91" fillId="82" borderId="45">
      <alignment horizontal="left" vertical="center" wrapText="1" indent="2"/>
    </xf>
    <xf numFmtId="0" fontId="91" fillId="0" borderId="45">
      <alignment horizontal="left" vertical="center" wrapText="1" indent="2"/>
    </xf>
    <xf numFmtId="0" fontId="91" fillId="47" borderId="43">
      <alignment horizontal="left" vertical="center"/>
    </xf>
    <xf numFmtId="0" fontId="90" fillId="0" borderId="46">
      <alignment horizontal="left" vertical="top" wrapText="1"/>
    </xf>
    <xf numFmtId="0" fontId="63" fillId="53" borderId="31" applyNumberFormat="0" applyAlignment="0" applyProtection="0"/>
    <xf numFmtId="0" fontId="95" fillId="0" borderId="28"/>
    <xf numFmtId="0" fontId="53" fillId="0" borderId="39" applyNumberFormat="0" applyFill="0" applyAlignment="0" applyProtection="0"/>
    <xf numFmtId="0" fontId="58" fillId="0" borderId="0" applyNumberFormat="0" applyFill="0" applyBorder="0" applyAlignment="0" applyProtection="0"/>
    <xf numFmtId="0" fontId="88" fillId="0" borderId="0">
      <alignment vertical="top"/>
    </xf>
    <xf numFmtId="187" fontId="8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7" fontId="8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7" fontId="8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1" fontId="82" fillId="0" borderId="0" applyFont="0" applyFill="0" applyBorder="0" applyAlignment="0" applyProtection="0"/>
    <xf numFmtId="11" fontId="82" fillId="0" borderId="0" applyFont="0" applyFill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103" fillId="2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6" fillId="2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104" fillId="5" borderId="4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4" fontId="91" fillId="0" borderId="0" applyBorder="0">
      <alignment horizontal="right" vertical="center"/>
    </xf>
    <xf numFmtId="0" fontId="91" fillId="0" borderId="10">
      <alignment horizontal="right" vertical="center"/>
    </xf>
    <xf numFmtId="1" fontId="96" fillId="47" borderId="0" applyBorder="0">
      <alignment horizontal="right" vertical="center"/>
    </xf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6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8" fillId="4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1" fillId="0" borderId="0"/>
    <xf numFmtId="0" fontId="18" fillId="0" borderId="0"/>
    <xf numFmtId="0" fontId="18" fillId="0" borderId="0"/>
    <xf numFmtId="0" fontId="21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18" fillId="0" borderId="0"/>
    <xf numFmtId="0" fontId="21" fillId="0" borderId="0"/>
    <xf numFmtId="0" fontId="18" fillId="0" borderId="0"/>
    <xf numFmtId="0" fontId="21" fillId="0" borderId="0"/>
    <xf numFmtId="0" fontId="18" fillId="0" borderId="0"/>
    <xf numFmtId="0" fontId="21" fillId="0" borderId="0"/>
    <xf numFmtId="0" fontId="18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2" fillId="0" borderId="0"/>
    <xf numFmtId="0" fontId="21" fillId="0" borderId="0"/>
    <xf numFmtId="0" fontId="21" fillId="0" borderId="0">
      <alignment vertical="top"/>
    </xf>
    <xf numFmtId="0" fontId="1" fillId="0" borderId="0"/>
    <xf numFmtId="0" fontId="21" fillId="0" borderId="0"/>
    <xf numFmtId="0" fontId="1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top"/>
    </xf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7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7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98" fillId="0" borderId="0"/>
    <xf numFmtId="0" fontId="18" fillId="0" borderId="0"/>
    <xf numFmtId="0" fontId="98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8" fillId="0" borderId="0"/>
    <xf numFmtId="0" fontId="21" fillId="0" borderId="0"/>
    <xf numFmtId="0" fontId="1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94" fillId="0" borderId="0"/>
    <xf numFmtId="0" fontId="94" fillId="0" borderId="0"/>
    <xf numFmtId="0" fontId="21" fillId="0" borderId="0"/>
    <xf numFmtId="0" fontId="18" fillId="0" borderId="0"/>
    <xf numFmtId="0" fontId="1" fillId="0" borderId="0"/>
    <xf numFmtId="0" fontId="21" fillId="0" borderId="0"/>
    <xf numFmtId="0" fontId="18" fillId="0" borderId="0"/>
    <xf numFmtId="0" fontId="105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1" fillId="0" borderId="0"/>
    <xf numFmtId="0" fontId="21" fillId="0" borderId="0"/>
    <xf numFmtId="0" fontId="18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1" fillId="0" borderId="0"/>
    <xf numFmtId="0" fontId="102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8" fillId="0" borderId="0"/>
    <xf numFmtId="0" fontId="22" fillId="0" borderId="0"/>
    <xf numFmtId="0" fontId="2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8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1" fillId="0" borderId="0"/>
    <xf numFmtId="0" fontId="21" fillId="0" borderId="0"/>
    <xf numFmtId="0" fontId="18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4" fontId="91" fillId="0" borderId="10" applyFill="0" applyBorder="0" applyProtection="0">
      <alignment horizontal="right" vertical="center"/>
    </xf>
    <xf numFmtId="0" fontId="92" fillId="0" borderId="0" applyNumberFormat="0" applyFill="0" applyBorder="0" applyProtection="0">
      <alignment horizontal="left" vertical="center"/>
    </xf>
    <xf numFmtId="0" fontId="91" fillId="0" borderId="10" applyNumberFormat="0" applyFill="0" applyAlignment="0" applyProtection="0"/>
    <xf numFmtId="0" fontId="21" fillId="83" borderId="0" applyNumberFormat="0" applyFont="0" applyBorder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18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18" fillId="69" borderId="37" applyNumberFormat="0" applyFont="0" applyAlignment="0" applyProtection="0"/>
    <xf numFmtId="0" fontId="18" fillId="69" borderId="37" applyNumberFormat="0" applyFont="0" applyAlignment="0" applyProtection="0"/>
    <xf numFmtId="0" fontId="18" fillId="69" borderId="37" applyNumberFormat="0" applyFont="0" applyAlignment="0" applyProtection="0"/>
    <xf numFmtId="0" fontId="21" fillId="69" borderId="37" applyNumberFormat="0" applyFont="0" applyAlignment="0" applyProtection="0"/>
    <xf numFmtId="0" fontId="18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18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18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18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18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18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18" fillId="69" borderId="37" applyNumberFormat="0" applyFont="0" applyAlignment="0" applyProtection="0"/>
    <xf numFmtId="0" fontId="21" fillId="69" borderId="37" applyNumberFormat="0" applyFont="0" applyAlignment="0" applyProtection="0"/>
    <xf numFmtId="0" fontId="82" fillId="69" borderId="37" applyNumberFormat="0" applyFont="0" applyAlignment="0" applyProtection="0"/>
    <xf numFmtId="0" fontId="21" fillId="69" borderId="37" applyNumberFormat="0" applyFont="0" applyAlignment="0" applyProtection="0"/>
    <xf numFmtId="0" fontId="82" fillId="69" borderId="37" applyNumberFormat="0" applyFont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188" fontId="91" fillId="84" borderId="10" applyNumberFormat="0" applyFont="0" applyBorder="0" applyAlignment="0" applyProtection="0">
      <alignment horizontal="right" vertical="center"/>
    </xf>
    <xf numFmtId="9" fontId="8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0" fontId="55" fillId="49" borderId="0" applyNumberFormat="0" applyBorder="0" applyAlignment="0" applyProtection="0"/>
    <xf numFmtId="0" fontId="91" fillId="83" borderId="10"/>
    <xf numFmtId="0" fontId="75" fillId="0" borderId="0">
      <alignment vertical="top" wrapText="1"/>
    </xf>
    <xf numFmtId="0" fontId="101" fillId="0" borderId="0"/>
    <xf numFmtId="0" fontId="21" fillId="0" borderId="0"/>
    <xf numFmtId="0" fontId="21" fillId="0" borderId="0"/>
    <xf numFmtId="0" fontId="21" fillId="0" borderId="0"/>
    <xf numFmtId="0" fontId="88" fillId="0" borderId="0">
      <alignment vertical="top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0" fontId="21" fillId="0" borderId="10" applyNumberFormat="0" applyFill="0" applyProtection="0">
      <alignment horizontal="right"/>
    </xf>
    <xf numFmtId="49" fontId="82" fillId="0" borderId="10" applyFill="0" applyProtection="0">
      <alignment horizontal="right"/>
    </xf>
    <xf numFmtId="0" fontId="21" fillId="0" borderId="10" applyNumberFormat="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71" fillId="0" borderId="0" applyNumberFormat="0" applyFill="0" applyBorder="0" applyAlignment="0" applyProtection="0"/>
    <xf numFmtId="0" fontId="60" fillId="0" borderId="33" applyNumberFormat="0" applyFill="0" applyAlignment="0" applyProtection="0"/>
    <xf numFmtId="0" fontId="61" fillId="0" borderId="34" applyNumberFormat="0" applyFill="0" applyAlignment="0" applyProtection="0"/>
    <xf numFmtId="0" fontId="62" fillId="0" borderId="35" applyNumberFormat="0" applyFill="0" applyAlignment="0" applyProtection="0"/>
    <xf numFmtId="0" fontId="62" fillId="0" borderId="0" applyNumberFormat="0" applyFill="0" applyBorder="0" applyAlignment="0" applyProtection="0"/>
    <xf numFmtId="0" fontId="64" fillId="0" borderId="36" applyNumberFormat="0" applyFill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57" fillId="67" borderId="32" applyNumberFormat="0" applyAlignment="0" applyProtection="0"/>
    <xf numFmtId="0" fontId="99" fillId="0" borderId="0" applyNumberFormat="0" applyFill="0" applyBorder="0" applyAlignment="0" applyProtection="0"/>
    <xf numFmtId="0" fontId="91" fillId="0" borderId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5" fillId="51" borderId="0" applyNumberFormat="0" applyBorder="0" applyAlignment="0" applyProtection="0"/>
    <xf numFmtId="0" fontId="55" fillId="51" borderId="0" applyNumberFormat="0" applyBorder="0" applyAlignment="0" applyProtection="0"/>
    <xf numFmtId="0" fontId="55" fillId="51" borderId="0" applyNumberFormat="0" applyBorder="0" applyAlignment="0" applyProtection="0"/>
    <xf numFmtId="0" fontId="55" fillId="51" borderId="0" applyNumberFormat="0" applyBorder="0" applyAlignment="0" applyProtection="0"/>
    <xf numFmtId="0" fontId="55" fillId="51" borderId="0" applyNumberFormat="0" applyBorder="0" applyAlignment="0" applyProtection="0"/>
    <xf numFmtId="0" fontId="55" fillId="51" borderId="0" applyNumberFormat="0" applyBorder="0" applyAlignment="0" applyProtection="0"/>
    <xf numFmtId="0" fontId="55" fillId="51" borderId="0" applyNumberFormat="0" applyBorder="0" applyAlignment="0" applyProtection="0"/>
    <xf numFmtId="0" fontId="55" fillId="51" borderId="0" applyNumberFormat="0" applyBorder="0" applyAlignment="0" applyProtection="0"/>
    <xf numFmtId="0" fontId="55" fillId="51" borderId="0" applyNumberFormat="0" applyBorder="0" applyAlignment="0" applyProtection="0"/>
    <xf numFmtId="0" fontId="55" fillId="51" borderId="0" applyNumberFormat="0" applyBorder="0" applyAlignment="0" applyProtection="0"/>
    <xf numFmtId="0" fontId="106" fillId="88" borderId="31" applyNumberFormat="0" applyAlignment="0" applyProtection="0"/>
    <xf numFmtId="0" fontId="106" fillId="88" borderId="31" applyNumberFormat="0" applyAlignment="0" applyProtection="0"/>
    <xf numFmtId="0" fontId="106" fillId="88" borderId="31" applyNumberFormat="0" applyAlignment="0" applyProtection="0"/>
    <xf numFmtId="0" fontId="106" fillId="88" borderId="31" applyNumberFormat="0" applyAlignment="0" applyProtection="0"/>
    <xf numFmtId="0" fontId="106" fillId="88" borderId="31" applyNumberFormat="0" applyAlignment="0" applyProtection="0"/>
    <xf numFmtId="0" fontId="106" fillId="88" borderId="31" applyNumberFormat="0" applyAlignment="0" applyProtection="0"/>
    <xf numFmtId="0" fontId="106" fillId="88" borderId="31" applyNumberFormat="0" applyAlignment="0" applyProtection="0"/>
    <xf numFmtId="0" fontId="106" fillId="88" borderId="31" applyNumberFormat="0" applyAlignment="0" applyProtection="0"/>
    <xf numFmtId="0" fontId="106" fillId="88" borderId="31" applyNumberFormat="0" applyAlignment="0" applyProtection="0"/>
    <xf numFmtId="0" fontId="106" fillId="88" borderId="31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0" fontId="9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0" fontId="9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89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1" fontId="21" fillId="0" borderId="0" applyFont="0" applyFill="0" applyBorder="0" applyAlignment="0" applyProtection="0"/>
    <xf numFmtId="11" fontId="21" fillId="0" borderId="0" applyFont="0" applyFill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107" fillId="0" borderId="47" applyNumberFormat="0" applyFill="0" applyAlignment="0" applyProtection="0"/>
    <xf numFmtId="0" fontId="107" fillId="0" borderId="47" applyNumberFormat="0" applyFill="0" applyAlignment="0" applyProtection="0"/>
    <xf numFmtId="0" fontId="107" fillId="0" borderId="47" applyNumberFormat="0" applyFill="0" applyAlignment="0" applyProtection="0"/>
    <xf numFmtId="0" fontId="107" fillId="0" borderId="47" applyNumberFormat="0" applyFill="0" applyAlignment="0" applyProtection="0"/>
    <xf numFmtId="0" fontId="107" fillId="0" borderId="47" applyNumberFormat="0" applyFill="0" applyAlignment="0" applyProtection="0"/>
    <xf numFmtId="0" fontId="107" fillId="0" borderId="47" applyNumberFormat="0" applyFill="0" applyAlignment="0" applyProtection="0"/>
    <xf numFmtId="0" fontId="107" fillId="0" borderId="47" applyNumberFormat="0" applyFill="0" applyAlignment="0" applyProtection="0"/>
    <xf numFmtId="0" fontId="107" fillId="0" borderId="47" applyNumberFormat="0" applyFill="0" applyAlignment="0" applyProtection="0"/>
    <xf numFmtId="0" fontId="107" fillId="0" borderId="47" applyNumberFormat="0" applyFill="0" applyAlignment="0" applyProtection="0"/>
    <xf numFmtId="0" fontId="107" fillId="0" borderId="47" applyNumberFormat="0" applyFill="0" applyAlignment="0" applyProtection="0"/>
    <xf numFmtId="0" fontId="108" fillId="0" borderId="48" applyNumberFormat="0" applyFill="0" applyAlignment="0" applyProtection="0"/>
    <xf numFmtId="0" fontId="108" fillId="0" borderId="48" applyNumberFormat="0" applyFill="0" applyAlignment="0" applyProtection="0"/>
    <xf numFmtId="0" fontId="108" fillId="0" borderId="48" applyNumberFormat="0" applyFill="0" applyAlignment="0" applyProtection="0"/>
    <xf numFmtId="0" fontId="108" fillId="0" borderId="48" applyNumberFormat="0" applyFill="0" applyAlignment="0" applyProtection="0"/>
    <xf numFmtId="0" fontId="108" fillId="0" borderId="48" applyNumberFormat="0" applyFill="0" applyAlignment="0" applyProtection="0"/>
    <xf numFmtId="0" fontId="108" fillId="0" borderId="48" applyNumberFormat="0" applyFill="0" applyAlignment="0" applyProtection="0"/>
    <xf numFmtId="0" fontId="108" fillId="0" borderId="48" applyNumberFormat="0" applyFill="0" applyAlignment="0" applyProtection="0"/>
    <xf numFmtId="0" fontId="108" fillId="0" borderId="48" applyNumberFormat="0" applyFill="0" applyAlignment="0" applyProtection="0"/>
    <xf numFmtId="0" fontId="108" fillId="0" borderId="48" applyNumberFormat="0" applyFill="0" applyAlignment="0" applyProtection="0"/>
    <xf numFmtId="0" fontId="108" fillId="0" borderId="48" applyNumberFormat="0" applyFill="0" applyAlignment="0" applyProtection="0"/>
    <xf numFmtId="0" fontId="109" fillId="0" borderId="49" applyNumberFormat="0" applyFill="0" applyAlignment="0" applyProtection="0"/>
    <xf numFmtId="0" fontId="109" fillId="0" borderId="49" applyNumberFormat="0" applyFill="0" applyAlignment="0" applyProtection="0"/>
    <xf numFmtId="0" fontId="109" fillId="0" borderId="49" applyNumberFormat="0" applyFill="0" applyAlignment="0" applyProtection="0"/>
    <xf numFmtId="0" fontId="109" fillId="0" borderId="49" applyNumberFormat="0" applyFill="0" applyAlignment="0" applyProtection="0"/>
    <xf numFmtId="0" fontId="109" fillId="0" borderId="49" applyNumberFormat="0" applyFill="0" applyAlignment="0" applyProtection="0"/>
    <xf numFmtId="0" fontId="109" fillId="0" borderId="49" applyNumberFormat="0" applyFill="0" applyAlignment="0" applyProtection="0"/>
    <xf numFmtId="0" fontId="109" fillId="0" borderId="49" applyNumberFormat="0" applyFill="0" applyAlignment="0" applyProtection="0"/>
    <xf numFmtId="0" fontId="109" fillId="0" borderId="49" applyNumberFormat="0" applyFill="0" applyAlignment="0" applyProtection="0"/>
    <xf numFmtId="0" fontId="109" fillId="0" borderId="49" applyNumberFormat="0" applyFill="0" applyAlignment="0" applyProtection="0"/>
    <xf numFmtId="0" fontId="109" fillId="0" borderId="49" applyNumberFormat="0" applyFill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63" fillId="68" borderId="31" applyNumberFormat="0" applyAlignment="0" applyProtection="0"/>
    <xf numFmtId="0" fontId="63" fillId="68" borderId="31" applyNumberFormat="0" applyAlignment="0" applyProtection="0"/>
    <xf numFmtId="0" fontId="63" fillId="68" borderId="31" applyNumberFormat="0" applyAlignment="0" applyProtection="0"/>
    <xf numFmtId="0" fontId="63" fillId="68" borderId="31" applyNumberFormat="0" applyAlignment="0" applyProtection="0"/>
    <xf numFmtId="0" fontId="63" fillId="68" borderId="31" applyNumberFormat="0" applyAlignment="0" applyProtection="0"/>
    <xf numFmtId="0" fontId="63" fillId="68" borderId="31" applyNumberFormat="0" applyAlignment="0" applyProtection="0"/>
    <xf numFmtId="0" fontId="63" fillId="68" borderId="31" applyNumberFormat="0" applyAlignment="0" applyProtection="0"/>
    <xf numFmtId="0" fontId="63" fillId="68" borderId="31" applyNumberFormat="0" applyAlignment="0" applyProtection="0"/>
    <xf numFmtId="0" fontId="63" fillId="68" borderId="31" applyNumberFormat="0" applyAlignment="0" applyProtection="0"/>
    <xf numFmtId="0" fontId="63" fillId="68" borderId="31" applyNumberFormat="0" applyAlignment="0" applyProtection="0"/>
    <xf numFmtId="0" fontId="72" fillId="0" borderId="50" applyNumberFormat="0" applyFill="0" applyAlignment="0" applyProtection="0"/>
    <xf numFmtId="0" fontId="72" fillId="0" borderId="50" applyNumberFormat="0" applyFill="0" applyAlignment="0" applyProtection="0"/>
    <xf numFmtId="0" fontId="72" fillId="0" borderId="50" applyNumberFormat="0" applyFill="0" applyAlignment="0" applyProtection="0"/>
    <xf numFmtId="0" fontId="72" fillId="0" borderId="50" applyNumberFormat="0" applyFill="0" applyAlignment="0" applyProtection="0"/>
    <xf numFmtId="0" fontId="72" fillId="0" borderId="50" applyNumberFormat="0" applyFill="0" applyAlignment="0" applyProtection="0"/>
    <xf numFmtId="0" fontId="72" fillId="0" borderId="50" applyNumberFormat="0" applyFill="0" applyAlignment="0" applyProtection="0"/>
    <xf numFmtId="0" fontId="72" fillId="0" borderId="50" applyNumberFormat="0" applyFill="0" applyAlignment="0" applyProtection="0"/>
    <xf numFmtId="0" fontId="72" fillId="0" borderId="50" applyNumberFormat="0" applyFill="0" applyAlignment="0" applyProtection="0"/>
    <xf numFmtId="0" fontId="72" fillId="0" borderId="50" applyNumberFormat="0" applyFill="0" applyAlignment="0" applyProtection="0"/>
    <xf numFmtId="0" fontId="72" fillId="0" borderId="50" applyNumberFormat="0" applyFill="0" applyAlignment="0" applyProtection="0"/>
    <xf numFmtId="186" fontId="21" fillId="0" borderId="0" applyFont="0" applyFill="0" applyBorder="0" applyAlignment="0" applyProtection="0"/>
    <xf numFmtId="0" fontId="110" fillId="68" borderId="0" applyNumberFormat="0" applyBorder="0" applyAlignment="0" applyProtection="0"/>
    <xf numFmtId="0" fontId="110" fillId="68" borderId="0" applyNumberFormat="0" applyBorder="0" applyAlignment="0" applyProtection="0"/>
    <xf numFmtId="0" fontId="110" fillId="68" borderId="0" applyNumberFormat="0" applyBorder="0" applyAlignment="0" applyProtection="0"/>
    <xf numFmtId="0" fontId="110" fillId="68" borderId="0" applyNumberFormat="0" applyBorder="0" applyAlignment="0" applyProtection="0"/>
    <xf numFmtId="0" fontId="110" fillId="68" borderId="0" applyNumberFormat="0" applyBorder="0" applyAlignment="0" applyProtection="0"/>
    <xf numFmtId="0" fontId="110" fillId="68" borderId="0" applyNumberFormat="0" applyBorder="0" applyAlignment="0" applyProtection="0"/>
    <xf numFmtId="0" fontId="110" fillId="68" borderId="0" applyNumberFormat="0" applyBorder="0" applyAlignment="0" applyProtection="0"/>
    <xf numFmtId="0" fontId="110" fillId="68" borderId="0" applyNumberFormat="0" applyBorder="0" applyAlignment="0" applyProtection="0"/>
    <xf numFmtId="0" fontId="110" fillId="68" borderId="0" applyNumberFormat="0" applyBorder="0" applyAlignment="0" applyProtection="0"/>
    <xf numFmtId="0" fontId="110" fillId="68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166" fontId="11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6" fontId="111" fillId="0" borderId="0">
      <alignment vertical="center"/>
    </xf>
    <xf numFmtId="166" fontId="111" fillId="0" borderId="0">
      <alignment vertical="center"/>
    </xf>
    <xf numFmtId="166" fontId="111" fillId="0" borderId="0">
      <alignment vertical="center"/>
    </xf>
    <xf numFmtId="166" fontId="11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11" fillId="0" borderId="0">
      <alignment vertical="center"/>
    </xf>
    <xf numFmtId="166" fontId="111" fillId="0" borderId="0">
      <alignment vertical="center"/>
    </xf>
    <xf numFmtId="166" fontId="11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166" fontId="111" fillId="0" borderId="0">
      <alignment vertical="center"/>
    </xf>
    <xf numFmtId="166" fontId="111" fillId="0" borderId="0">
      <alignment vertical="center"/>
    </xf>
    <xf numFmtId="166" fontId="111" fillId="0" borderId="0">
      <alignment vertical="center"/>
    </xf>
    <xf numFmtId="166" fontId="111" fillId="0" borderId="0">
      <alignment vertical="center"/>
    </xf>
    <xf numFmtId="0" fontId="1" fillId="0" borderId="0"/>
    <xf numFmtId="171" fontId="11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11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190" fontId="111" fillId="0" borderId="0">
      <alignment vertical="center"/>
    </xf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67" fillId="88" borderId="38" applyNumberFormat="0" applyAlignment="0" applyProtection="0"/>
    <xf numFmtId="0" fontId="67" fillId="88" borderId="38" applyNumberFormat="0" applyAlignment="0" applyProtection="0"/>
    <xf numFmtId="0" fontId="67" fillId="88" borderId="38" applyNumberFormat="0" applyAlignment="0" applyProtection="0"/>
    <xf numFmtId="0" fontId="67" fillId="88" borderId="38" applyNumberFormat="0" applyAlignment="0" applyProtection="0"/>
    <xf numFmtId="0" fontId="67" fillId="88" borderId="38" applyNumberFormat="0" applyAlignment="0" applyProtection="0"/>
    <xf numFmtId="0" fontId="67" fillId="88" borderId="38" applyNumberFormat="0" applyAlignment="0" applyProtection="0"/>
    <xf numFmtId="0" fontId="67" fillId="88" borderId="38" applyNumberFormat="0" applyAlignment="0" applyProtection="0"/>
    <xf numFmtId="0" fontId="67" fillId="88" borderId="38" applyNumberFormat="0" applyAlignment="0" applyProtection="0"/>
    <xf numFmtId="0" fontId="67" fillId="88" borderId="38" applyNumberFormat="0" applyAlignment="0" applyProtection="0"/>
    <xf numFmtId="0" fontId="67" fillId="88" borderId="3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53" fillId="0" borderId="51" applyNumberFormat="0" applyFill="0" applyAlignment="0" applyProtection="0"/>
    <xf numFmtId="0" fontId="53" fillId="0" borderId="51" applyNumberFormat="0" applyFill="0" applyAlignment="0" applyProtection="0"/>
    <xf numFmtId="0" fontId="53" fillId="0" borderId="51" applyNumberFormat="0" applyFill="0" applyAlignment="0" applyProtection="0"/>
    <xf numFmtId="0" fontId="53" fillId="0" borderId="51" applyNumberFormat="0" applyFill="0" applyAlignment="0" applyProtection="0"/>
    <xf numFmtId="0" fontId="53" fillId="0" borderId="51" applyNumberFormat="0" applyFill="0" applyAlignment="0" applyProtection="0"/>
    <xf numFmtId="0" fontId="53" fillId="0" borderId="51" applyNumberFormat="0" applyFill="0" applyAlignment="0" applyProtection="0"/>
    <xf numFmtId="0" fontId="53" fillId="0" borderId="51" applyNumberFormat="0" applyFill="0" applyAlignment="0" applyProtection="0"/>
    <xf numFmtId="0" fontId="53" fillId="0" borderId="51" applyNumberFormat="0" applyFill="0" applyAlignment="0" applyProtection="0"/>
    <xf numFmtId="0" fontId="53" fillId="0" borderId="51" applyNumberFormat="0" applyFill="0" applyAlignment="0" applyProtection="0"/>
    <xf numFmtId="0" fontId="53" fillId="0" borderId="51" applyNumberFormat="0" applyFill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" fillId="0" borderId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54" borderId="0" applyNumberFormat="0" applyBorder="0" applyAlignment="0" applyProtection="0"/>
    <xf numFmtId="0" fontId="18" fillId="48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55" borderId="0" applyNumberFormat="0" applyBorder="0" applyAlignment="0" applyProtection="0"/>
    <xf numFmtId="0" fontId="18" fillId="49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69" borderId="0" applyNumberFormat="0" applyBorder="0" applyAlignment="0" applyProtection="0"/>
    <xf numFmtId="0" fontId="18" fillId="50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3" borderId="0" applyNumberFormat="0" applyBorder="0" applyAlignment="0" applyProtection="0"/>
    <xf numFmtId="0" fontId="18" fillId="51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69" borderId="0" applyNumberFormat="0" applyBorder="0" applyAlignment="0" applyProtection="0"/>
    <xf numFmtId="0" fontId="1" fillId="30" borderId="0" applyNumberFormat="0" applyBorder="0" applyAlignment="0" applyProtection="0"/>
    <xf numFmtId="0" fontId="18" fillId="53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2" borderId="0" applyNumberFormat="0" applyBorder="0" applyAlignment="0" applyProtection="0"/>
    <xf numFmtId="0" fontId="18" fillId="54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68" borderId="0" applyNumberFormat="0" applyBorder="0" applyAlignment="0" applyProtection="0"/>
    <xf numFmtId="0" fontId="18" fillId="56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49" borderId="0" applyNumberFormat="0" applyBorder="0" applyAlignment="0" applyProtection="0"/>
    <xf numFmtId="0" fontId="18" fillId="51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2" borderId="0" applyNumberFormat="0" applyBorder="0" applyAlignment="0" applyProtection="0"/>
    <xf numFmtId="0" fontId="18" fillId="54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69" borderId="0" applyNumberFormat="0" applyBorder="0" applyAlignment="0" applyProtection="0"/>
    <xf numFmtId="0" fontId="18" fillId="57" borderId="0" applyNumberFormat="0" applyBorder="0" applyAlignment="0" applyProtection="0"/>
    <xf numFmtId="0" fontId="54" fillId="58" borderId="0" applyNumberFormat="0" applyBorder="0" applyAlignment="0" applyProtection="0"/>
    <xf numFmtId="0" fontId="54" fillId="52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5" borderId="0" applyNumberFormat="0" applyBorder="0" applyAlignment="0" applyProtection="0"/>
    <xf numFmtId="0" fontId="54" fillId="6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6" borderId="0" applyNumberFormat="0" applyBorder="0" applyAlignment="0" applyProtection="0"/>
    <xf numFmtId="0" fontId="54" fillId="57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9" borderId="0" applyNumberFormat="0" applyBorder="0" applyAlignment="0" applyProtection="0"/>
    <xf numFmtId="0" fontId="54" fillId="4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60" borderId="0" applyNumberFormat="0" applyBorder="0" applyAlignment="0" applyProtection="0"/>
    <xf numFmtId="0" fontId="54" fillId="52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1" borderId="0" applyNumberFormat="0" applyBorder="0" applyAlignment="0" applyProtection="0"/>
    <xf numFmtId="0" fontId="54" fillId="55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2" borderId="0" applyNumberFormat="0" applyBorder="0" applyAlignment="0" applyProtection="0"/>
    <xf numFmtId="0" fontId="54" fillId="86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3" borderId="0" applyNumberFormat="0" applyBorder="0" applyAlignment="0" applyProtection="0"/>
    <xf numFmtId="0" fontId="54" fillId="65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4" borderId="0" applyNumberFormat="0" applyBorder="0" applyAlignment="0" applyProtection="0"/>
    <xf numFmtId="0" fontId="54" fillId="57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59" borderId="0" applyNumberFormat="0" applyBorder="0" applyAlignment="0" applyProtection="0"/>
    <xf numFmtId="0" fontId="54" fillId="87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5" borderId="0" applyNumberFormat="0" applyBorder="0" applyAlignment="0" applyProtection="0"/>
    <xf numFmtId="0" fontId="54" fillId="63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5" fillId="49" borderId="0" applyNumberFormat="0" applyBorder="0" applyAlignment="0" applyProtection="0"/>
    <xf numFmtId="0" fontId="55" fillId="51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6" fillId="66" borderId="31" applyNumberFormat="0" applyAlignment="0" applyProtection="0"/>
    <xf numFmtId="0" fontId="106" fillId="88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50" borderId="0" applyNumberFormat="0" applyBorder="0" applyAlignment="0" applyProtection="0"/>
    <xf numFmtId="0" fontId="103" fillId="2" borderId="0" applyNumberFormat="0" applyBorder="0" applyAlignment="0" applyProtection="0"/>
    <xf numFmtId="0" fontId="59" fillId="50" borderId="0" applyNumberFormat="0" applyBorder="0" applyAlignment="0" applyProtection="0"/>
    <xf numFmtId="0" fontId="59" fillId="52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60" fillId="0" borderId="33" applyNumberFormat="0" applyFill="0" applyAlignment="0" applyProtection="0"/>
    <xf numFmtId="0" fontId="107" fillId="0" borderId="47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1" fillId="0" borderId="34" applyNumberFormat="0" applyFill="0" applyAlignment="0" applyProtection="0"/>
    <xf numFmtId="0" fontId="108" fillId="0" borderId="48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2" fillId="0" borderId="35" applyNumberFormat="0" applyFill="0" applyAlignment="0" applyProtection="0"/>
    <xf numFmtId="0" fontId="109" fillId="0" borderId="49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63" fillId="53" borderId="31" applyNumberFormat="0" applyAlignment="0" applyProtection="0"/>
    <xf numFmtId="0" fontId="104" fillId="5" borderId="4" applyNumberFormat="0" applyAlignment="0" applyProtection="0"/>
    <xf numFmtId="0" fontId="63" fillId="53" borderId="31" applyNumberFormat="0" applyAlignment="0" applyProtection="0"/>
    <xf numFmtId="0" fontId="63" fillId="68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4" fillId="0" borderId="36" applyNumberFormat="0" applyFill="0" applyAlignment="0" applyProtection="0"/>
    <xf numFmtId="0" fontId="72" fillId="0" borderId="50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5" fillId="68" borderId="0" applyNumberFormat="0" applyBorder="0" applyAlignment="0" applyProtection="0"/>
    <xf numFmtId="0" fontId="110" fillId="68" borderId="0" applyNumberFormat="0" applyBorder="0" applyAlignment="0" applyProtection="0"/>
    <xf numFmtId="0" fontId="114" fillId="4" borderId="0" applyNumberFormat="0" applyBorder="0" applyAlignment="0" applyProtection="0"/>
    <xf numFmtId="0" fontId="8" fillId="4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94" fillId="0" borderId="0"/>
    <xf numFmtId="0" fontId="94" fillId="0" borderId="0"/>
    <xf numFmtId="0" fontId="105" fillId="0" borderId="0"/>
    <xf numFmtId="0" fontId="94" fillId="0" borderId="0"/>
    <xf numFmtId="0" fontId="105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21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8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18" fillId="69" borderId="37" applyNumberFormat="0" applyFont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67" fillId="66" borderId="38" applyNumberFormat="0" applyAlignment="0" applyProtection="0"/>
    <xf numFmtId="0" fontId="67" fillId="88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1" fillId="0" borderId="0" applyFont="0" applyFill="0" applyBorder="0" applyAlignment="0" applyProtection="0"/>
    <xf numFmtId="0" fontId="21" fillId="0" borderId="0"/>
  </cellStyleXfs>
  <cellXfs count="943">
    <xf numFmtId="0" fontId="0" fillId="0" borderId="0" xfId="0"/>
    <xf numFmtId="0" fontId="29" fillId="0" borderId="0" xfId="0" applyFont="1"/>
    <xf numFmtId="0" fontId="30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18" fillId="0" borderId="0" xfId="42" applyFill="1" applyAlignment="1" applyProtection="1">
      <alignment vertical="center"/>
    </xf>
    <xf numFmtId="0" fontId="0" fillId="0" borderId="0" xfId="0" applyAlignment="1">
      <alignment vertical="center"/>
    </xf>
    <xf numFmtId="0" fontId="22" fillId="0" borderId="0" xfId="43" applyAlignment="1">
      <alignment vertical="center"/>
    </xf>
    <xf numFmtId="0" fontId="0" fillId="0" borderId="0" xfId="44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31" fillId="0" borderId="0" xfId="44" applyNumberFormat="1" applyFont="1" applyFill="1" applyBorder="1" applyAlignment="1">
      <alignment horizontal="left" vertical="center"/>
    </xf>
    <xf numFmtId="168" fontId="1" fillId="0" borderId="0" xfId="0" applyNumberFormat="1" applyFont="1" applyAlignment="1">
      <alignment vertical="center"/>
    </xf>
    <xf numFmtId="0" fontId="30" fillId="0" borderId="0" xfId="44" applyNumberFormat="1" applyFont="1" applyFill="1" applyBorder="1" applyAlignment="1">
      <alignment horizontal="left" vertical="center"/>
    </xf>
    <xf numFmtId="14" fontId="30" fillId="0" borderId="0" xfId="44" applyNumberFormat="1" applyFont="1" applyFill="1" applyBorder="1" applyAlignment="1">
      <alignment horizontal="left" vertical="center"/>
    </xf>
    <xf numFmtId="2" fontId="30" fillId="0" borderId="0" xfId="44" applyNumberFormat="1" applyFont="1" applyFill="1" applyBorder="1" applyAlignment="1">
      <alignment vertical="center"/>
    </xf>
    <xf numFmtId="0" fontId="30" fillId="0" borderId="0" xfId="44" applyNumberFormat="1" applyFont="1" applyFill="1" applyBorder="1" applyAlignment="1">
      <alignment vertical="center"/>
    </xf>
    <xf numFmtId="1" fontId="30" fillId="0" borderId="0" xfId="44" applyNumberFormat="1" applyFont="1" applyFill="1" applyBorder="1" applyAlignment="1">
      <alignment horizontal="right" vertical="center"/>
    </xf>
    <xf numFmtId="168" fontId="30" fillId="0" borderId="0" xfId="44" applyNumberFormat="1" applyFont="1" applyFill="1" applyBorder="1" applyAlignment="1">
      <alignment horizontal="right" vertical="center"/>
    </xf>
    <xf numFmtId="9" fontId="30" fillId="0" borderId="0" xfId="47" applyFont="1" applyFill="1" applyBorder="1" applyAlignment="1">
      <alignment vertical="center"/>
    </xf>
    <xf numFmtId="0" fontId="30" fillId="0" borderId="15" xfId="44" applyNumberFormat="1" applyFont="1" applyFill="1" applyBorder="1" applyAlignment="1">
      <alignment vertical="center"/>
    </xf>
    <xf numFmtId="9" fontId="30" fillId="0" borderId="16" xfId="47" applyFont="1" applyFill="1" applyBorder="1" applyAlignment="1">
      <alignment vertical="center"/>
    </xf>
    <xf numFmtId="9" fontId="30" fillId="0" borderId="18" xfId="47" applyFont="1" applyFill="1" applyBorder="1" applyAlignment="1">
      <alignment vertical="center"/>
    </xf>
    <xf numFmtId="9" fontId="30" fillId="0" borderId="19" xfId="47" applyFont="1" applyFill="1" applyBorder="1" applyAlignment="1">
      <alignment vertical="center"/>
    </xf>
    <xf numFmtId="9" fontId="30" fillId="0" borderId="15" xfId="47" applyFont="1" applyFill="1" applyBorder="1" applyAlignment="1">
      <alignment vertical="center"/>
    </xf>
    <xf numFmtId="9" fontId="30" fillId="0" borderId="17" xfId="47" applyFont="1" applyFill="1" applyBorder="1" applyAlignment="1">
      <alignment vertical="center"/>
    </xf>
    <xf numFmtId="0" fontId="30" fillId="0" borderId="16" xfId="44" applyNumberFormat="1" applyFont="1" applyFill="1" applyBorder="1" applyAlignment="1">
      <alignment vertical="center"/>
    </xf>
    <xf numFmtId="0" fontId="31" fillId="34" borderId="20" xfId="0" applyFont="1" applyFill="1" applyBorder="1" applyAlignment="1">
      <alignment horizontal="center" vertical="center" wrapText="1"/>
    </xf>
    <xf numFmtId="0" fontId="31" fillId="34" borderId="11" xfId="0" applyFont="1" applyFill="1" applyBorder="1" applyAlignment="1">
      <alignment horizontal="center" vertical="center" wrapText="1"/>
    </xf>
    <xf numFmtId="0" fontId="31" fillId="34" borderId="21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168" fontId="0" fillId="0" borderId="15" xfId="0" applyNumberFormat="1" applyBorder="1" applyAlignment="1">
      <alignment vertical="center"/>
    </xf>
    <xf numFmtId="168" fontId="0" fillId="0" borderId="16" xfId="0" applyNumberFormat="1" applyBorder="1" applyAlignment="1">
      <alignment vertical="center"/>
    </xf>
    <xf numFmtId="168" fontId="0" fillId="0" borderId="17" xfId="0" applyNumberFormat="1" applyBorder="1" applyAlignment="1">
      <alignment vertical="center"/>
    </xf>
    <xf numFmtId="168" fontId="0" fillId="0" borderId="19" xfId="0" applyNumberFormat="1" applyBorder="1" applyAlignment="1">
      <alignment vertical="center"/>
    </xf>
    <xf numFmtId="168" fontId="16" fillId="0" borderId="23" xfId="0" applyNumberFormat="1" applyFont="1" applyBorder="1" applyAlignment="1">
      <alignment vertical="center"/>
    </xf>
    <xf numFmtId="168" fontId="16" fillId="0" borderId="24" xfId="0" applyNumberFormat="1" applyFont="1" applyBorder="1" applyAlignment="1">
      <alignment vertical="center"/>
    </xf>
    <xf numFmtId="0" fontId="31" fillId="35" borderId="10" xfId="0" applyFont="1" applyFill="1" applyBorder="1" applyAlignment="1">
      <alignment horizontal="center" vertical="center" wrapText="1"/>
    </xf>
    <xf numFmtId="0" fontId="31" fillId="36" borderId="10" xfId="0" applyFont="1" applyFill="1" applyBorder="1" applyAlignment="1">
      <alignment horizontal="center" vertical="center" wrapText="1"/>
    </xf>
    <xf numFmtId="0" fontId="0" fillId="34" borderId="20" xfId="0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34" borderId="21" xfId="0" applyFill="1" applyBorder="1" applyAlignment="1">
      <alignment horizontal="center" vertical="center"/>
    </xf>
    <xf numFmtId="0" fontId="31" fillId="36" borderId="21" xfId="0" applyFont="1" applyFill="1" applyBorder="1" applyAlignment="1">
      <alignment horizontal="center" vertical="center" wrapText="1"/>
    </xf>
    <xf numFmtId="0" fontId="31" fillId="37" borderId="10" xfId="0" applyFont="1" applyFill="1" applyBorder="1" applyAlignment="1">
      <alignment horizontal="center" vertical="center" wrapText="1"/>
    </xf>
    <xf numFmtId="4" fontId="30" fillId="0" borderId="0" xfId="0" applyNumberFormat="1" applyFont="1" applyAlignment="1">
      <alignment vertical="center"/>
    </xf>
    <xf numFmtId="0" fontId="30" fillId="0" borderId="15" xfId="0" applyFont="1" applyBorder="1" applyAlignment="1">
      <alignment vertical="center"/>
    </xf>
    <xf numFmtId="4" fontId="30" fillId="0" borderId="16" xfId="0" applyNumberFormat="1" applyFont="1" applyBorder="1" applyAlignment="1">
      <alignment vertical="center"/>
    </xf>
    <xf numFmtId="4" fontId="30" fillId="0" borderId="19" xfId="0" applyNumberFormat="1" applyFont="1" applyBorder="1" applyAlignment="1">
      <alignment vertical="center"/>
    </xf>
    <xf numFmtId="0" fontId="30" fillId="0" borderId="16" xfId="0" applyFont="1" applyBorder="1" applyAlignment="1">
      <alignment vertical="center"/>
    </xf>
    <xf numFmtId="0" fontId="30" fillId="0" borderId="23" xfId="0" applyFont="1" applyBorder="1" applyAlignment="1">
      <alignment vertical="center"/>
    </xf>
    <xf numFmtId="0" fontId="30" fillId="0" borderId="24" xfId="0" applyFont="1" applyBorder="1" applyAlignment="1">
      <alignment vertical="center"/>
    </xf>
    <xf numFmtId="0" fontId="31" fillId="34" borderId="10" xfId="0" applyFont="1" applyFill="1" applyBorder="1" applyAlignment="1">
      <alignment vertical="center"/>
    </xf>
    <xf numFmtId="0" fontId="31" fillId="34" borderId="21" xfId="0" applyFont="1" applyFill="1" applyBorder="1" applyAlignment="1">
      <alignment vertical="center"/>
    </xf>
    <xf numFmtId="0" fontId="31" fillId="37" borderId="11" xfId="0" applyFont="1" applyFill="1" applyBorder="1" applyAlignment="1">
      <alignment horizontal="center" vertical="center" wrapText="1"/>
    </xf>
    <xf numFmtId="0" fontId="31" fillId="37" borderId="21" xfId="0" applyFont="1" applyFill="1" applyBorder="1" applyAlignment="1">
      <alignment horizontal="center" vertical="center" wrapText="1"/>
    </xf>
    <xf numFmtId="2" fontId="0" fillId="0" borderId="23" xfId="0" applyNumberFormat="1" applyBorder="1" applyAlignment="1">
      <alignment vertical="center"/>
    </xf>
    <xf numFmtId="0" fontId="31" fillId="34" borderId="10" xfId="0" applyFont="1" applyFill="1" applyBorder="1" applyAlignment="1">
      <alignment horizontal="center" vertical="center"/>
    </xf>
    <xf numFmtId="168" fontId="30" fillId="0" borderId="15" xfId="44" applyNumberFormat="1" applyFont="1" applyFill="1" applyBorder="1" applyAlignment="1">
      <alignment vertical="center"/>
    </xf>
    <xf numFmtId="168" fontId="30" fillId="0" borderId="16" xfId="44" applyNumberFormat="1" applyFont="1" applyFill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30" fillId="0" borderId="23" xfId="44" applyNumberFormat="1" applyFont="1" applyFill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30" fillId="0" borderId="24" xfId="44" applyNumberFormat="1" applyFont="1" applyFill="1" applyBorder="1" applyAlignment="1">
      <alignment vertical="center"/>
    </xf>
    <xf numFmtId="0" fontId="30" fillId="0" borderId="17" xfId="44" applyNumberFormat="1" applyFont="1" applyFill="1" applyBorder="1" applyAlignment="1">
      <alignment vertical="center"/>
    </xf>
    <xf numFmtId="0" fontId="31" fillId="34" borderId="10" xfId="44" applyNumberFormat="1" applyFont="1" applyFill="1" applyBorder="1" applyAlignment="1">
      <alignment vertical="center"/>
    </xf>
    <xf numFmtId="1" fontId="1" fillId="0" borderId="15" xfId="0" applyNumberFormat="1" applyFont="1" applyBorder="1" applyAlignment="1">
      <alignment vertical="center"/>
    </xf>
    <xf numFmtId="1" fontId="1" fillId="0" borderId="16" xfId="0" applyNumberFormat="1" applyFont="1" applyBorder="1" applyAlignment="1">
      <alignment vertical="center"/>
    </xf>
    <xf numFmtId="1" fontId="1" fillId="0" borderId="17" xfId="0" applyNumberFormat="1" applyFont="1" applyBorder="1" applyAlignment="1">
      <alignment vertical="center"/>
    </xf>
    <xf numFmtId="1" fontId="1" fillId="0" borderId="19" xfId="0" applyNumberFormat="1" applyFont="1" applyBorder="1" applyAlignment="1">
      <alignment vertical="center"/>
    </xf>
    <xf numFmtId="2" fontId="20" fillId="0" borderId="0" xfId="0" applyNumberFormat="1" applyFont="1" applyAlignment="1">
      <alignment horizontal="right"/>
    </xf>
    <xf numFmtId="0" fontId="19" fillId="0" borderId="0" xfId="0" applyFont="1"/>
    <xf numFmtId="3" fontId="1" fillId="0" borderId="16" xfId="0" applyNumberFormat="1" applyFont="1" applyBorder="1" applyAlignment="1">
      <alignment vertical="center"/>
    </xf>
    <xf numFmtId="3" fontId="1" fillId="0" borderId="15" xfId="0" applyNumberFormat="1" applyFont="1" applyBorder="1" applyAlignment="1">
      <alignment vertical="center"/>
    </xf>
    <xf numFmtId="3" fontId="1" fillId="0" borderId="17" xfId="0" applyNumberFormat="1" applyFont="1" applyBorder="1" applyAlignment="1">
      <alignment vertical="center"/>
    </xf>
    <xf numFmtId="3" fontId="1" fillId="0" borderId="19" xfId="0" applyNumberFormat="1" applyFont="1" applyBorder="1" applyAlignment="1">
      <alignment vertical="center"/>
    </xf>
    <xf numFmtId="3" fontId="30" fillId="0" borderId="15" xfId="44" applyNumberFormat="1" applyFont="1" applyFill="1" applyBorder="1" applyAlignment="1">
      <alignment vertical="center"/>
    </xf>
    <xf numFmtId="3" fontId="30" fillId="0" borderId="16" xfId="44" applyNumberFormat="1" applyFont="1" applyFill="1" applyBorder="1" applyAlignment="1">
      <alignment vertical="center"/>
    </xf>
    <xf numFmtId="0" fontId="31" fillId="34" borderId="10" xfId="0" applyFont="1" applyFill="1" applyBorder="1" applyAlignment="1">
      <alignment horizontal="center" vertical="center" wrapText="1"/>
    </xf>
    <xf numFmtId="168" fontId="30" fillId="0" borderId="23" xfId="44" applyNumberFormat="1" applyFont="1" applyFill="1" applyBorder="1" applyAlignment="1">
      <alignment vertical="center"/>
    </xf>
    <xf numFmtId="0" fontId="30" fillId="0" borderId="18" xfId="44" applyNumberFormat="1" applyFont="1" applyFill="1" applyBorder="1" applyAlignment="1">
      <alignment vertical="center"/>
    </xf>
    <xf numFmtId="0" fontId="31" fillId="34" borderId="21" xfId="44" applyNumberFormat="1" applyFont="1" applyFill="1" applyBorder="1" applyAlignment="1">
      <alignment vertical="center"/>
    </xf>
    <xf numFmtId="168" fontId="30" fillId="0" borderId="15" xfId="44" applyNumberFormat="1" applyFont="1" applyFill="1" applyBorder="1" applyAlignment="1">
      <alignment horizontal="right" vertical="center"/>
    </xf>
    <xf numFmtId="1" fontId="30" fillId="0" borderId="16" xfId="44" applyNumberFormat="1" applyFont="1" applyFill="1" applyBorder="1" applyAlignment="1">
      <alignment horizontal="right" vertical="center"/>
    </xf>
    <xf numFmtId="1" fontId="30" fillId="0" borderId="19" xfId="44" applyNumberFormat="1" applyFont="1" applyFill="1" applyBorder="1" applyAlignment="1">
      <alignment horizontal="right" vertical="center"/>
    </xf>
    <xf numFmtId="0" fontId="31" fillId="35" borderId="10" xfId="0" applyFont="1" applyFill="1" applyBorder="1" applyAlignment="1">
      <alignment vertical="center"/>
    </xf>
    <xf numFmtId="0" fontId="31" fillId="37" borderId="20" xfId="0" applyFont="1" applyFill="1" applyBorder="1" applyAlignment="1">
      <alignment horizontal="left" vertical="center" wrapText="1"/>
    </xf>
    <xf numFmtId="4" fontId="30" fillId="0" borderId="23" xfId="0" applyNumberFormat="1" applyFont="1" applyBorder="1" applyAlignment="1">
      <alignment vertical="center"/>
    </xf>
    <xf numFmtId="2" fontId="0" fillId="0" borderId="24" xfId="0" applyNumberFormat="1" applyBorder="1" applyAlignment="1">
      <alignment vertical="center"/>
    </xf>
    <xf numFmtId="0" fontId="31" fillId="35" borderId="20" xfId="0" applyFont="1" applyFill="1" applyBorder="1" applyAlignment="1">
      <alignment horizontal="center" vertical="center" wrapText="1"/>
    </xf>
    <xf numFmtId="0" fontId="31" fillId="35" borderId="11" xfId="0" applyFont="1" applyFill="1" applyBorder="1" applyAlignment="1">
      <alignment horizontal="center" vertical="center" wrapText="1"/>
    </xf>
    <xf numFmtId="0" fontId="31" fillId="35" borderId="21" xfId="0" applyFont="1" applyFill="1" applyBorder="1" applyAlignment="1">
      <alignment horizontal="center" vertical="center" wrapText="1"/>
    </xf>
    <xf numFmtId="0" fontId="30" fillId="0" borderId="0" xfId="0" applyFont="1"/>
    <xf numFmtId="2" fontId="0" fillId="0" borderId="0" xfId="0" applyNumberFormat="1" applyAlignment="1">
      <alignment vertical="center"/>
    </xf>
    <xf numFmtId="0" fontId="0" fillId="0" borderId="23" xfId="0" applyBorder="1"/>
    <xf numFmtId="0" fontId="30" fillId="0" borderId="22" xfId="0" applyFont="1" applyBorder="1" applyAlignment="1">
      <alignment vertical="center"/>
    </xf>
    <xf numFmtId="0" fontId="30" fillId="0" borderId="14" xfId="0" applyFont="1" applyBorder="1" applyAlignment="1">
      <alignment vertical="center"/>
    </xf>
    <xf numFmtId="4" fontId="30" fillId="0" borderId="14" xfId="0" applyNumberFormat="1" applyFont="1" applyBorder="1" applyAlignment="1">
      <alignment vertical="center"/>
    </xf>
    <xf numFmtId="0" fontId="0" fillId="0" borderId="22" xfId="0" applyBorder="1" applyAlignment="1">
      <alignment vertical="center"/>
    </xf>
    <xf numFmtId="0" fontId="30" fillId="0" borderId="19" xfId="44" applyNumberFormat="1" applyFont="1" applyFill="1" applyBorder="1" applyAlignment="1">
      <alignment vertical="center"/>
    </xf>
    <xf numFmtId="168" fontId="16" fillId="33" borderId="10" xfId="0" applyNumberFormat="1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vertical="center"/>
    </xf>
    <xf numFmtId="3" fontId="30" fillId="0" borderId="16" xfId="0" applyNumberFormat="1" applyFont="1" applyBorder="1" applyAlignment="1">
      <alignment vertical="center"/>
    </xf>
    <xf numFmtId="3" fontId="30" fillId="0" borderId="19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168" fontId="1" fillId="0" borderId="15" xfId="0" applyNumberFormat="1" applyFont="1" applyBorder="1" applyAlignment="1">
      <alignment vertical="center"/>
    </xf>
    <xf numFmtId="168" fontId="1" fillId="0" borderId="16" xfId="0" applyNumberFormat="1" applyFont="1" applyBorder="1" applyAlignment="1">
      <alignment vertical="center"/>
    </xf>
    <xf numFmtId="1" fontId="30" fillId="0" borderId="15" xfId="0" applyNumberFormat="1" applyFont="1" applyBorder="1" applyAlignment="1">
      <alignment vertical="center"/>
    </xf>
    <xf numFmtId="1" fontId="30" fillId="0" borderId="16" xfId="0" applyNumberFormat="1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30" fillId="0" borderId="22" xfId="44" applyNumberFormat="1" applyFont="1" applyFill="1" applyBorder="1" applyAlignment="1">
      <alignment vertical="center"/>
    </xf>
    <xf numFmtId="168" fontId="0" fillId="33" borderId="11" xfId="0" applyNumberFormat="1" applyFill="1" applyBorder="1" applyAlignment="1">
      <alignment vertical="center"/>
    </xf>
    <xf numFmtId="168" fontId="0" fillId="33" borderId="10" xfId="0" applyNumberFormat="1" applyFill="1" applyBorder="1" applyAlignment="1">
      <alignment vertical="center"/>
    </xf>
    <xf numFmtId="0" fontId="0" fillId="34" borderId="12" xfId="0" applyFill="1" applyBorder="1" applyAlignment="1">
      <alignment vertical="center"/>
    </xf>
    <xf numFmtId="0" fontId="0" fillId="34" borderId="13" xfId="0" applyFill="1" applyBorder="1" applyAlignment="1">
      <alignment vertical="center"/>
    </xf>
    <xf numFmtId="0" fontId="0" fillId="34" borderId="22" xfId="0" applyFill="1" applyBorder="1" applyAlignment="1">
      <alignment vertical="center"/>
    </xf>
    <xf numFmtId="0" fontId="0" fillId="35" borderId="17" xfId="0" applyFill="1" applyBorder="1" applyAlignment="1">
      <alignment vertical="center"/>
    </xf>
    <xf numFmtId="0" fontId="0" fillId="35" borderId="24" xfId="0" applyFill="1" applyBorder="1" applyAlignment="1">
      <alignment vertical="center"/>
    </xf>
    <xf numFmtId="0" fontId="0" fillId="33" borderId="12" xfId="0" applyFill="1" applyBorder="1" applyAlignment="1">
      <alignment vertical="center"/>
    </xf>
    <xf numFmtId="0" fontId="0" fillId="33" borderId="13" xfId="0" applyFill="1" applyBorder="1" applyAlignment="1">
      <alignment vertical="center"/>
    </xf>
    <xf numFmtId="0" fontId="0" fillId="33" borderId="22" xfId="0" applyFill="1" applyBorder="1" applyAlignment="1">
      <alignment vertical="center"/>
    </xf>
    <xf numFmtId="0" fontId="0" fillId="33" borderId="15" xfId="0" applyFill="1" applyBorder="1" applyAlignment="1">
      <alignment vertical="center"/>
    </xf>
    <xf numFmtId="0" fontId="0" fillId="33" borderId="0" xfId="0" applyFill="1" applyAlignment="1">
      <alignment vertical="center"/>
    </xf>
    <xf numFmtId="0" fontId="0" fillId="33" borderId="23" xfId="0" applyFill="1" applyBorder="1" applyAlignment="1">
      <alignment vertical="center"/>
    </xf>
    <xf numFmtId="0" fontId="0" fillId="35" borderId="15" xfId="0" applyFill="1" applyBorder="1" applyAlignment="1">
      <alignment vertical="center"/>
    </xf>
    <xf numFmtId="0" fontId="0" fillId="35" borderId="0" xfId="0" applyFill="1" applyAlignment="1">
      <alignment vertical="center"/>
    </xf>
    <xf numFmtId="0" fontId="0" fillId="35" borderId="23" xfId="0" applyFill="1" applyBorder="1" applyAlignment="1">
      <alignment vertical="center"/>
    </xf>
    <xf numFmtId="0" fontId="0" fillId="35" borderId="18" xfId="0" applyFill="1" applyBorder="1" applyAlignment="1">
      <alignment vertical="center"/>
    </xf>
    <xf numFmtId="0" fontId="0" fillId="35" borderId="11" xfId="0" applyFill="1" applyBorder="1" applyAlignment="1">
      <alignment vertical="center"/>
    </xf>
    <xf numFmtId="0" fontId="0" fillId="35" borderId="10" xfId="0" applyFill="1" applyBorder="1" applyAlignment="1">
      <alignment vertical="center"/>
    </xf>
    <xf numFmtId="0" fontId="14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0" fillId="33" borderId="10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6" fillId="35" borderId="18" xfId="0" applyFont="1" applyFill="1" applyBorder="1" applyAlignment="1">
      <alignment vertical="center"/>
    </xf>
    <xf numFmtId="0" fontId="0" fillId="35" borderId="14" xfId="0" applyFill="1" applyBorder="1" applyAlignment="1">
      <alignment vertical="center"/>
    </xf>
    <xf numFmtId="0" fontId="0" fillId="35" borderId="16" xfId="0" applyFill="1" applyBorder="1" applyAlignment="1">
      <alignment vertical="center"/>
    </xf>
    <xf numFmtId="0" fontId="16" fillId="35" borderId="19" xfId="0" applyFont="1" applyFill="1" applyBorder="1" applyAlignment="1">
      <alignment vertical="center"/>
    </xf>
    <xf numFmtId="0" fontId="0" fillId="35" borderId="22" xfId="0" applyFill="1" applyBorder="1" applyAlignment="1">
      <alignment vertical="center"/>
    </xf>
    <xf numFmtId="2" fontId="0" fillId="0" borderId="13" xfId="0" applyNumberFormat="1" applyBorder="1" applyAlignment="1">
      <alignment vertical="center"/>
    </xf>
    <xf numFmtId="0" fontId="16" fillId="33" borderId="12" xfId="0" applyFont="1" applyFill="1" applyBorder="1" applyAlignment="1">
      <alignment vertical="center"/>
    </xf>
    <xf numFmtId="168" fontId="16" fillId="33" borderId="11" xfId="0" applyNumberFormat="1" applyFont="1" applyFill="1" applyBorder="1" applyAlignment="1">
      <alignment vertical="center"/>
    </xf>
    <xf numFmtId="0" fontId="16" fillId="34" borderId="12" xfId="0" applyFont="1" applyFill="1" applyBorder="1" applyAlignment="1">
      <alignment vertical="center"/>
    </xf>
    <xf numFmtId="0" fontId="16" fillId="35" borderId="17" xfId="0" applyFont="1" applyFill="1" applyBorder="1" applyAlignment="1">
      <alignment vertical="center"/>
    </xf>
    <xf numFmtId="0" fontId="16" fillId="35" borderId="20" xfId="0" applyFont="1" applyFill="1" applyBorder="1" applyAlignment="1">
      <alignment vertical="center"/>
    </xf>
    <xf numFmtId="0" fontId="16" fillId="35" borderId="12" xfId="0" applyFont="1" applyFill="1" applyBorder="1" applyAlignment="1">
      <alignment vertical="center"/>
    </xf>
    <xf numFmtId="0" fontId="16" fillId="35" borderId="0" xfId="0" applyFont="1" applyFill="1" applyAlignment="1">
      <alignment vertical="center"/>
    </xf>
    <xf numFmtId="0" fontId="16" fillId="35" borderId="16" xfId="0" applyFont="1" applyFill="1" applyBorder="1" applyAlignment="1">
      <alignment vertical="center"/>
    </xf>
    <xf numFmtId="0" fontId="0" fillId="38" borderId="15" xfId="0" applyFill="1" applyBorder="1" applyAlignment="1">
      <alignment vertical="center"/>
    </xf>
    <xf numFmtId="0" fontId="0" fillId="38" borderId="17" xfId="0" applyFill="1" applyBorder="1" applyAlignment="1">
      <alignment vertical="center"/>
    </xf>
    <xf numFmtId="0" fontId="26" fillId="38" borderId="19" xfId="0" applyFont="1" applyFill="1" applyBorder="1" applyAlignment="1">
      <alignment vertical="center"/>
    </xf>
    <xf numFmtId="0" fontId="26" fillId="38" borderId="24" xfId="0" applyFont="1" applyFill="1" applyBorder="1" applyAlignment="1">
      <alignment vertical="center"/>
    </xf>
    <xf numFmtId="0" fontId="13" fillId="39" borderId="21" xfId="0" applyFont="1" applyFill="1" applyBorder="1" applyAlignment="1">
      <alignment vertical="center"/>
    </xf>
    <xf numFmtId="0" fontId="13" fillId="39" borderId="10" xfId="0" applyFont="1" applyFill="1" applyBorder="1" applyAlignment="1">
      <alignment vertical="center"/>
    </xf>
    <xf numFmtId="0" fontId="0" fillId="35" borderId="18" xfId="0" applyFill="1" applyBorder="1" applyAlignment="1">
      <alignment horizontal="left" vertical="center"/>
    </xf>
    <xf numFmtId="0" fontId="16" fillId="34" borderId="13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39" borderId="13" xfId="0" applyFont="1" applyFill="1" applyBorder="1" applyAlignment="1">
      <alignment horizontal="center" vertical="center"/>
    </xf>
    <xf numFmtId="0" fontId="13" fillId="39" borderId="14" xfId="0" applyFont="1" applyFill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68" fontId="0" fillId="0" borderId="12" xfId="0" applyNumberFormat="1" applyBorder="1" applyAlignment="1">
      <alignment horizontal="center" vertical="center"/>
    </xf>
    <xf numFmtId="168" fontId="0" fillId="0" borderId="13" xfId="0" applyNumberFormat="1" applyBorder="1" applyAlignment="1">
      <alignment horizontal="center" vertical="center"/>
    </xf>
    <xf numFmtId="168" fontId="0" fillId="0" borderId="14" xfId="0" applyNumberFormat="1" applyBorder="1" applyAlignment="1">
      <alignment horizontal="center" vertical="center"/>
    </xf>
    <xf numFmtId="168" fontId="0" fillId="0" borderId="17" xfId="0" applyNumberFormat="1" applyBorder="1" applyAlignment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0" borderId="19" xfId="0" applyNumberFormat="1" applyBorder="1" applyAlignment="1">
      <alignment horizontal="center" vertical="center"/>
    </xf>
    <xf numFmtId="168" fontId="0" fillId="0" borderId="15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16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16" fillId="0" borderId="20" xfId="0" applyNumberFormat="1" applyFont="1" applyBorder="1" applyAlignment="1">
      <alignment horizontal="center" vertical="center"/>
    </xf>
    <xf numFmtId="2" fontId="16" fillId="0" borderId="11" xfId="0" applyNumberFormat="1" applyFont="1" applyBorder="1" applyAlignment="1">
      <alignment horizontal="center" vertical="center"/>
    </xf>
    <xf numFmtId="2" fontId="16" fillId="0" borderId="21" xfId="0" applyNumberFormat="1" applyFon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1" fontId="0" fillId="0" borderId="17" xfId="47" applyNumberFormat="1" applyFont="1" applyFill="1" applyBorder="1" applyAlignment="1">
      <alignment horizontal="center" vertical="center"/>
    </xf>
    <xf numFmtId="171" fontId="1" fillId="0" borderId="18" xfId="47" applyNumberFormat="1" applyFont="1" applyFill="1" applyBorder="1" applyAlignment="1">
      <alignment horizontal="center" vertical="center"/>
    </xf>
    <xf numFmtId="171" fontId="1" fillId="0" borderId="19" xfId="47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8" fontId="16" fillId="0" borderId="17" xfId="0" applyNumberFormat="1" applyFont="1" applyBorder="1" applyAlignment="1">
      <alignment horizontal="center" vertical="center"/>
    </xf>
    <xf numFmtId="168" fontId="16" fillId="0" borderId="18" xfId="0" applyNumberFormat="1" applyFont="1" applyBorder="1" applyAlignment="1">
      <alignment horizontal="center" vertical="center"/>
    </xf>
    <xf numFmtId="168" fontId="16" fillId="0" borderId="19" xfId="0" applyNumberFormat="1" applyFon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16" fillId="35" borderId="11" xfId="0" applyFont="1" applyFill="1" applyBorder="1" applyAlignment="1">
      <alignment vertical="center"/>
    </xf>
    <xf numFmtId="0" fontId="31" fillId="35" borderId="15" xfId="0" applyFont="1" applyFill="1" applyBorder="1" applyAlignment="1">
      <alignment vertical="center"/>
    </xf>
    <xf numFmtId="0" fontId="30" fillId="35" borderId="15" xfId="0" applyFont="1" applyFill="1" applyBorder="1" applyAlignment="1">
      <alignment vertical="center"/>
    </xf>
    <xf numFmtId="0" fontId="30" fillId="35" borderId="17" xfId="0" applyFont="1" applyFill="1" applyBorder="1" applyAlignment="1">
      <alignment vertical="center"/>
    </xf>
    <xf numFmtId="0" fontId="14" fillId="0" borderId="0" xfId="0" applyFont="1"/>
    <xf numFmtId="3" fontId="14" fillId="0" borderId="15" xfId="0" applyNumberFormat="1" applyFont="1" applyBorder="1"/>
    <xf numFmtId="3" fontId="14" fillId="0" borderId="0" xfId="0" applyNumberFormat="1" applyFont="1"/>
    <xf numFmtId="3" fontId="14" fillId="0" borderId="16" xfId="0" applyNumberFormat="1" applyFont="1" applyBorder="1"/>
    <xf numFmtId="3" fontId="30" fillId="0" borderId="15" xfId="0" applyNumberFormat="1" applyFont="1" applyBorder="1" applyAlignment="1">
      <alignment vertical="center"/>
    </xf>
    <xf numFmtId="3" fontId="30" fillId="0" borderId="0" xfId="0" applyNumberFormat="1" applyFont="1" applyAlignment="1">
      <alignment vertical="center"/>
    </xf>
    <xf numFmtId="3" fontId="14" fillId="0" borderId="16" xfId="0" applyNumberFormat="1" applyFont="1" applyBorder="1" applyAlignment="1">
      <alignment vertical="center"/>
    </xf>
    <xf numFmtId="3" fontId="14" fillId="0" borderId="0" xfId="0" applyNumberFormat="1" applyFont="1" applyAlignment="1">
      <alignment vertical="center"/>
    </xf>
    <xf numFmtId="3" fontId="30" fillId="0" borderId="17" xfId="0" applyNumberFormat="1" applyFont="1" applyBorder="1" applyAlignment="1">
      <alignment vertical="center"/>
    </xf>
    <xf numFmtId="3" fontId="30" fillId="0" borderId="18" xfId="0" applyNumberFormat="1" applyFont="1" applyBorder="1" applyAlignment="1">
      <alignment vertical="center"/>
    </xf>
    <xf numFmtId="2" fontId="14" fillId="0" borderId="22" xfId="0" applyNumberFormat="1" applyFont="1" applyBorder="1" applyAlignment="1">
      <alignment vertical="center"/>
    </xf>
    <xf numFmtId="2" fontId="14" fillId="0" borderId="14" xfId="0" applyNumberFormat="1" applyFont="1" applyBorder="1" applyAlignment="1">
      <alignment vertical="center"/>
    </xf>
    <xf numFmtId="2" fontId="30" fillId="0" borderId="23" xfId="0" applyNumberFormat="1" applyFont="1" applyBorder="1" applyAlignment="1">
      <alignment vertical="center"/>
    </xf>
    <xf numFmtId="2" fontId="14" fillId="0" borderId="23" xfId="0" applyNumberFormat="1" applyFont="1" applyBorder="1" applyAlignment="1">
      <alignment vertical="center"/>
    </xf>
    <xf numFmtId="2" fontId="14" fillId="0" borderId="16" xfId="0" applyNumberFormat="1" applyFont="1" applyBorder="1" applyAlignment="1">
      <alignment vertical="center"/>
    </xf>
    <xf numFmtId="2" fontId="30" fillId="0" borderId="24" xfId="0" applyNumberFormat="1" applyFont="1" applyBorder="1" applyAlignment="1">
      <alignment vertical="center"/>
    </xf>
    <xf numFmtId="4" fontId="0" fillId="0" borderId="23" xfId="0" applyNumberFormat="1" applyBorder="1" applyAlignment="1">
      <alignment vertical="center"/>
    </xf>
    <xf numFmtId="0" fontId="14" fillId="0" borderId="15" xfId="44" applyNumberFormat="1" applyFont="1" applyFill="1" applyBorder="1" applyAlignment="1">
      <alignment vertical="center"/>
    </xf>
    <xf numFmtId="0" fontId="14" fillId="0" borderId="0" xfId="44" applyNumberFormat="1" applyFont="1" applyFill="1" applyBorder="1" applyAlignment="1">
      <alignment vertical="center"/>
    </xf>
    <xf numFmtId="0" fontId="14" fillId="0" borderId="16" xfId="44" applyNumberFormat="1" applyFont="1" applyFill="1" applyBorder="1" applyAlignment="1">
      <alignment vertical="center"/>
    </xf>
    <xf numFmtId="9" fontId="30" fillId="0" borderId="12" xfId="47" applyFont="1" applyFill="1" applyBorder="1" applyAlignment="1">
      <alignment vertical="center"/>
    </xf>
    <xf numFmtId="9" fontId="30" fillId="0" borderId="13" xfId="47" applyFont="1" applyFill="1" applyBorder="1" applyAlignment="1">
      <alignment vertical="center"/>
    </xf>
    <xf numFmtId="9" fontId="30" fillId="0" borderId="14" xfId="47" applyFont="1" applyFill="1" applyBorder="1" applyAlignment="1">
      <alignment vertical="center"/>
    </xf>
    <xf numFmtId="1" fontId="14" fillId="0" borderId="12" xfId="0" applyNumberFormat="1" applyFont="1" applyBorder="1" applyAlignment="1">
      <alignment vertical="center"/>
    </xf>
    <xf numFmtId="1" fontId="14" fillId="0" borderId="14" xfId="0" applyNumberFormat="1" applyFont="1" applyBorder="1" applyAlignment="1">
      <alignment vertical="center"/>
    </xf>
    <xf numFmtId="3" fontId="14" fillId="0" borderId="15" xfId="44" applyNumberFormat="1" applyFont="1" applyFill="1" applyBorder="1" applyAlignment="1">
      <alignment vertical="center"/>
    </xf>
    <xf numFmtId="3" fontId="14" fillId="0" borderId="16" xfId="44" applyNumberFormat="1" applyFont="1" applyFill="1" applyBorder="1" applyAlignment="1">
      <alignment vertical="center"/>
    </xf>
    <xf numFmtId="3" fontId="14" fillId="0" borderId="15" xfId="0" applyNumberFormat="1" applyFont="1" applyBorder="1" applyAlignment="1">
      <alignment vertical="center"/>
    </xf>
    <xf numFmtId="168" fontId="14" fillId="0" borderId="15" xfId="0" applyNumberFormat="1" applyFont="1" applyBorder="1" applyAlignment="1">
      <alignment vertical="center"/>
    </xf>
    <xf numFmtId="168" fontId="14" fillId="0" borderId="16" xfId="0" applyNumberFormat="1" applyFont="1" applyBorder="1" applyAlignment="1">
      <alignment vertical="center"/>
    </xf>
    <xf numFmtId="168" fontId="14" fillId="0" borderId="0" xfId="44" applyNumberFormat="1" applyFont="1" applyFill="1" applyBorder="1" applyAlignment="1">
      <alignment vertical="center"/>
    </xf>
    <xf numFmtId="168" fontId="1" fillId="0" borderId="17" xfId="0" applyNumberFormat="1" applyFont="1" applyBorder="1" applyAlignment="1">
      <alignment vertical="center"/>
    </xf>
    <xf numFmtId="168" fontId="1" fillId="0" borderId="19" xfId="0" applyNumberFormat="1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1" fontId="14" fillId="0" borderId="16" xfId="44" applyNumberFormat="1" applyFont="1" applyFill="1" applyBorder="1" applyAlignment="1">
      <alignment horizontal="right" vertical="center"/>
    </xf>
    <xf numFmtId="0" fontId="14" fillId="0" borderId="16" xfId="0" applyFont="1" applyBorder="1" applyAlignment="1">
      <alignment vertical="center"/>
    </xf>
    <xf numFmtId="1" fontId="1" fillId="0" borderId="12" xfId="0" applyNumberFormat="1" applyFont="1" applyBorder="1" applyAlignment="1">
      <alignment vertical="center"/>
    </xf>
    <xf numFmtId="1" fontId="1" fillId="0" borderId="14" xfId="0" applyNumberFormat="1" applyFont="1" applyBorder="1" applyAlignment="1">
      <alignment vertical="center"/>
    </xf>
    <xf numFmtId="3" fontId="1" fillId="0" borderId="12" xfId="0" applyNumberFormat="1" applyFont="1" applyBorder="1" applyAlignment="1">
      <alignment vertical="center"/>
    </xf>
    <xf numFmtId="3" fontId="30" fillId="0" borderId="14" xfId="0" applyNumberFormat="1" applyFont="1" applyBorder="1" applyAlignment="1">
      <alignment vertical="center"/>
    </xf>
    <xf numFmtId="0" fontId="13" fillId="39" borderId="20" xfId="0" applyFont="1" applyFill="1" applyBorder="1" applyAlignment="1">
      <alignment horizontal="center" vertical="center"/>
    </xf>
    <xf numFmtId="0" fontId="13" fillId="39" borderId="11" xfId="0" applyFont="1" applyFill="1" applyBorder="1" applyAlignment="1">
      <alignment horizontal="center" vertical="center"/>
    </xf>
    <xf numFmtId="0" fontId="13" fillId="39" borderId="21" xfId="0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3" fillId="34" borderId="16" xfId="0" applyFont="1" applyFill="1" applyBorder="1" applyAlignment="1">
      <alignment vertical="center"/>
    </xf>
    <xf numFmtId="0" fontId="33" fillId="0" borderId="0" xfId="0" applyFont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1" fillId="34" borderId="15" xfId="0" applyFont="1" applyFill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16" fillId="34" borderId="17" xfId="0" applyFont="1" applyFill="1" applyBorder="1" applyAlignment="1">
      <alignment vertical="center"/>
    </xf>
    <xf numFmtId="0" fontId="16" fillId="34" borderId="19" xfId="0" applyFont="1" applyFill="1" applyBorder="1" applyAlignment="1">
      <alignment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16" fillId="34" borderId="15" xfId="0" applyFont="1" applyFill="1" applyBorder="1" applyAlignment="1">
      <alignment vertical="center"/>
    </xf>
    <xf numFmtId="0" fontId="16" fillId="34" borderId="16" xfId="0" applyFont="1" applyFill="1" applyBorder="1" applyAlignment="1">
      <alignment vertical="center"/>
    </xf>
    <xf numFmtId="0" fontId="16" fillId="0" borderId="1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0" fillId="34" borderId="14" xfId="0" applyFill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34" borderId="17" xfId="0" applyFill="1" applyBorder="1" applyAlignment="1">
      <alignment vertical="center"/>
    </xf>
    <xf numFmtId="0" fontId="0" fillId="34" borderId="19" xfId="0" applyFill="1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33" fillId="0" borderId="0" xfId="0" applyNumberFormat="1" applyFont="1" applyAlignment="1">
      <alignment horizontal="center" vertical="center"/>
    </xf>
    <xf numFmtId="0" fontId="31" fillId="34" borderId="23" xfId="0" applyFont="1" applyFill="1" applyBorder="1" applyAlignment="1">
      <alignment vertical="center"/>
    </xf>
    <xf numFmtId="0" fontId="33" fillId="33" borderId="23" xfId="0" applyFont="1" applyFill="1" applyBorder="1" applyAlignment="1">
      <alignment vertical="center"/>
    </xf>
    <xf numFmtId="0" fontId="31" fillId="33" borderId="23" xfId="0" applyFont="1" applyFill="1" applyBorder="1" applyAlignment="1">
      <alignment vertical="center"/>
    </xf>
    <xf numFmtId="0" fontId="31" fillId="35" borderId="23" xfId="0" applyFont="1" applyFill="1" applyBorder="1" applyAlignment="1">
      <alignment vertical="center"/>
    </xf>
    <xf numFmtId="0" fontId="31" fillId="35" borderId="24" xfId="0" applyFont="1" applyFill="1" applyBorder="1" applyAlignment="1">
      <alignment vertical="center"/>
    </xf>
    <xf numFmtId="0" fontId="13" fillId="39" borderId="22" xfId="0" applyFont="1" applyFill="1" applyBorder="1" applyAlignment="1">
      <alignment vertical="center"/>
    </xf>
    <xf numFmtId="0" fontId="31" fillId="34" borderId="12" xfId="0" applyFont="1" applyFill="1" applyBorder="1" applyAlignment="1">
      <alignment vertical="center"/>
    </xf>
    <xf numFmtId="0" fontId="33" fillId="34" borderId="22" xfId="0" applyFont="1" applyFill="1" applyBorder="1" applyAlignment="1">
      <alignment vertical="center"/>
    </xf>
    <xf numFmtId="0" fontId="33" fillId="0" borderId="13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1" fillId="34" borderId="17" xfId="0" applyFont="1" applyFill="1" applyBorder="1" applyAlignment="1">
      <alignment vertical="center"/>
    </xf>
    <xf numFmtId="0" fontId="31" fillId="34" borderId="24" xfId="0" applyFont="1" applyFill="1" applyBorder="1" applyAlignment="1">
      <alignment vertical="center"/>
    </xf>
    <xf numFmtId="0" fontId="31" fillId="0" borderId="18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31" fillId="33" borderId="15" xfId="0" applyFont="1" applyFill="1" applyBorder="1" applyAlignment="1">
      <alignment vertical="center"/>
    </xf>
    <xf numFmtId="0" fontId="33" fillId="33" borderId="15" xfId="0" applyFont="1" applyFill="1" applyBorder="1" applyAlignment="1">
      <alignment vertical="center"/>
    </xf>
    <xf numFmtId="0" fontId="33" fillId="33" borderId="17" xfId="0" applyFont="1" applyFill="1" applyBorder="1" applyAlignment="1">
      <alignment vertical="center"/>
    </xf>
    <xf numFmtId="0" fontId="31" fillId="33" borderId="24" xfId="0" applyFont="1" applyFill="1" applyBorder="1" applyAlignment="1">
      <alignment vertical="center"/>
    </xf>
    <xf numFmtId="2" fontId="33" fillId="0" borderId="16" xfId="0" applyNumberFormat="1" applyFont="1" applyBorder="1" applyAlignment="1">
      <alignment horizontal="center" vertical="center"/>
    </xf>
    <xf numFmtId="0" fontId="33" fillId="35" borderId="23" xfId="0" applyFont="1" applyFill="1" applyBorder="1" applyAlignment="1">
      <alignment vertical="center"/>
    </xf>
    <xf numFmtId="2" fontId="31" fillId="0" borderId="0" xfId="0" applyNumberFormat="1" applyFont="1" applyAlignment="1">
      <alignment horizontal="center" vertical="center"/>
    </xf>
    <xf numFmtId="2" fontId="31" fillId="0" borderId="16" xfId="0" applyNumberFormat="1" applyFont="1" applyBorder="1" applyAlignment="1">
      <alignment horizontal="center" vertical="center"/>
    </xf>
    <xf numFmtId="2" fontId="31" fillId="0" borderId="18" xfId="0" applyNumberFormat="1" applyFont="1" applyBorder="1" applyAlignment="1">
      <alignment horizontal="center" vertical="center"/>
    </xf>
    <xf numFmtId="2" fontId="31" fillId="0" borderId="19" xfId="0" applyNumberFormat="1" applyFont="1" applyBorder="1" applyAlignment="1">
      <alignment horizontal="center" vertical="center"/>
    </xf>
    <xf numFmtId="0" fontId="13" fillId="39" borderId="13" xfId="0" quotePrefix="1" applyFont="1" applyFill="1" applyBorder="1" applyAlignment="1">
      <alignment horizontal="center" vertical="center"/>
    </xf>
    <xf numFmtId="2" fontId="30" fillId="0" borderId="22" xfId="0" applyNumberFormat="1" applyFont="1" applyBorder="1" applyAlignment="1">
      <alignment vertical="center"/>
    </xf>
    <xf numFmtId="2" fontId="30" fillId="0" borderId="16" xfId="0" applyNumberFormat="1" applyFont="1" applyBorder="1" applyAlignment="1">
      <alignment vertical="center"/>
    </xf>
    <xf numFmtId="2" fontId="30" fillId="0" borderId="19" xfId="0" applyNumberFormat="1" applyFont="1" applyBorder="1" applyAlignment="1">
      <alignment vertical="center"/>
    </xf>
    <xf numFmtId="2" fontId="30" fillId="0" borderId="14" xfId="0" applyNumberFormat="1" applyFont="1" applyBorder="1" applyAlignment="1">
      <alignment vertical="center"/>
    </xf>
    <xf numFmtId="0" fontId="16" fillId="34" borderId="0" xfId="0" applyFont="1" applyFill="1" applyAlignment="1">
      <alignment vertical="center"/>
    </xf>
    <xf numFmtId="0" fontId="0" fillId="34" borderId="0" xfId="0" applyFill="1" applyAlignment="1">
      <alignment vertical="center"/>
    </xf>
    <xf numFmtId="0" fontId="0" fillId="34" borderId="23" xfId="0" applyFill="1" applyBorder="1" applyAlignment="1">
      <alignment vertical="center"/>
    </xf>
    <xf numFmtId="0" fontId="0" fillId="34" borderId="24" xfId="0" applyFill="1" applyBorder="1" applyAlignment="1">
      <alignment vertical="center"/>
    </xf>
    <xf numFmtId="0" fontId="33" fillId="0" borderId="12" xfId="0" applyFont="1" applyBorder="1" applyAlignment="1">
      <alignment horizontal="center" vertical="center"/>
    </xf>
    <xf numFmtId="0" fontId="33" fillId="33" borderId="22" xfId="0" applyFont="1" applyFill="1" applyBorder="1" applyAlignment="1">
      <alignment vertical="center"/>
    </xf>
    <xf numFmtId="0" fontId="16" fillId="34" borderId="23" xfId="0" applyFont="1" applyFill="1" applyBorder="1" applyAlignment="1">
      <alignment vertical="center"/>
    </xf>
    <xf numFmtId="0" fontId="16" fillId="34" borderId="24" xfId="0" applyFont="1" applyFill="1" applyBorder="1" applyAlignment="1">
      <alignment vertical="center"/>
    </xf>
    <xf numFmtId="0" fontId="16" fillId="35" borderId="23" xfId="0" applyFont="1" applyFill="1" applyBorder="1" applyAlignment="1">
      <alignment vertical="center"/>
    </xf>
    <xf numFmtId="0" fontId="16" fillId="35" borderId="24" xfId="0" applyFont="1" applyFill="1" applyBorder="1" applyAlignment="1">
      <alignment vertical="center"/>
    </xf>
    <xf numFmtId="0" fontId="31" fillId="35" borderId="17" xfId="0" applyFont="1" applyFill="1" applyBorder="1" applyAlignment="1">
      <alignment vertical="center"/>
    </xf>
    <xf numFmtId="0" fontId="31" fillId="34" borderId="22" xfId="0" applyFont="1" applyFill="1" applyBorder="1" applyAlignment="1">
      <alignment vertical="center"/>
    </xf>
    <xf numFmtId="0" fontId="16" fillId="34" borderId="22" xfId="0" applyFont="1" applyFill="1" applyBorder="1" applyAlignment="1">
      <alignment vertical="center"/>
    </xf>
    <xf numFmtId="2" fontId="16" fillId="0" borderId="0" xfId="0" applyNumberFormat="1" applyFont="1" applyAlignment="1">
      <alignment horizontal="center" vertical="center"/>
    </xf>
    <xf numFmtId="2" fontId="16" fillId="0" borderId="15" xfId="0" applyNumberFormat="1" applyFont="1" applyBorder="1" applyAlignment="1">
      <alignment horizontal="center" vertical="center"/>
    </xf>
    <xf numFmtId="2" fontId="16" fillId="0" borderId="16" xfId="0" applyNumberFormat="1" applyFont="1" applyBorder="1" applyAlignment="1">
      <alignment horizontal="center" vertical="center"/>
    </xf>
    <xf numFmtId="2" fontId="16" fillId="0" borderId="17" xfId="0" applyNumberFormat="1" applyFont="1" applyBorder="1" applyAlignment="1">
      <alignment horizontal="center" vertical="center"/>
    </xf>
    <xf numFmtId="2" fontId="16" fillId="0" borderId="18" xfId="0" applyNumberFormat="1" applyFont="1" applyBorder="1" applyAlignment="1">
      <alignment horizontal="center" vertical="center"/>
    </xf>
    <xf numFmtId="2" fontId="16" fillId="0" borderId="19" xfId="0" applyNumberFormat="1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1" fillId="36" borderId="20" xfId="0" applyFont="1" applyFill="1" applyBorder="1" applyAlignment="1">
      <alignment horizontal="left" vertical="center" wrapText="1"/>
    </xf>
    <xf numFmtId="2" fontId="0" fillId="0" borderId="22" xfId="0" applyNumberFormat="1" applyBorder="1" applyAlignment="1">
      <alignment vertical="center"/>
    </xf>
    <xf numFmtId="0" fontId="16" fillId="35" borderId="15" xfId="0" applyFont="1" applyFill="1" applyBorder="1" applyAlignment="1">
      <alignment vertical="center"/>
    </xf>
    <xf numFmtId="0" fontId="31" fillId="35" borderId="12" xfId="0" applyFont="1" applyFill="1" applyBorder="1" applyAlignment="1">
      <alignment vertical="center"/>
    </xf>
    <xf numFmtId="0" fontId="26" fillId="38" borderId="12" xfId="0" applyFont="1" applyFill="1" applyBorder="1" applyAlignment="1">
      <alignment vertical="center"/>
    </xf>
    <xf numFmtId="3" fontId="0" fillId="0" borderId="15" xfId="0" applyNumberFormat="1" applyBorder="1" applyAlignment="1">
      <alignment vertical="center"/>
    </xf>
    <xf numFmtId="3" fontId="0" fillId="0" borderId="0" xfId="0" applyNumberFormat="1" applyAlignment="1">
      <alignment vertical="center"/>
    </xf>
    <xf numFmtId="168" fontId="30" fillId="0" borderId="0" xfId="44" applyNumberFormat="1" applyFont="1" applyFill="1" applyBorder="1" applyAlignment="1">
      <alignment vertical="center"/>
    </xf>
    <xf numFmtId="0" fontId="14" fillId="38" borderId="19" xfId="0" applyFont="1" applyFill="1" applyBorder="1" applyAlignment="1">
      <alignment vertical="center"/>
    </xf>
    <xf numFmtId="168" fontId="26" fillId="38" borderId="17" xfId="0" applyNumberFormat="1" applyFont="1" applyFill="1" applyBorder="1" applyAlignment="1">
      <alignment horizontal="center" vertical="center"/>
    </xf>
    <xf numFmtId="168" fontId="26" fillId="38" borderId="18" xfId="0" applyNumberFormat="1" applyFont="1" applyFill="1" applyBorder="1" applyAlignment="1">
      <alignment horizontal="center" vertical="center"/>
    </xf>
    <xf numFmtId="168" fontId="26" fillId="38" borderId="19" xfId="0" applyNumberFormat="1" applyFont="1" applyFill="1" applyBorder="1" applyAlignment="1">
      <alignment horizontal="center" vertical="center"/>
    </xf>
    <xf numFmtId="168" fontId="16" fillId="33" borderId="18" xfId="0" applyNumberFormat="1" applyFont="1" applyFill="1" applyBorder="1" applyAlignment="1">
      <alignment vertical="center"/>
    </xf>
    <xf numFmtId="168" fontId="0" fillId="33" borderId="18" xfId="0" applyNumberFormat="1" applyFill="1" applyBorder="1" applyAlignment="1">
      <alignment vertical="center"/>
    </xf>
    <xf numFmtId="0" fontId="13" fillId="39" borderId="20" xfId="0" applyFont="1" applyFill="1" applyBorder="1" applyAlignment="1">
      <alignment vertical="center"/>
    </xf>
    <xf numFmtId="3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14" fillId="38" borderId="16" xfId="0" applyFont="1" applyFill="1" applyBorder="1" applyAlignment="1">
      <alignment vertical="center"/>
    </xf>
    <xf numFmtId="3" fontId="16" fillId="0" borderId="15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3" fontId="16" fillId="0" borderId="16" xfId="0" applyNumberFormat="1" applyFont="1" applyBorder="1" applyAlignment="1">
      <alignment horizontal="center" vertical="center"/>
    </xf>
    <xf numFmtId="3" fontId="16" fillId="0" borderId="17" xfId="0" applyNumberFormat="1" applyFont="1" applyBorder="1" applyAlignment="1">
      <alignment horizontal="center" vertical="center"/>
    </xf>
    <xf numFmtId="3" fontId="16" fillId="0" borderId="18" xfId="0" applyNumberFormat="1" applyFont="1" applyBorder="1" applyAlignment="1">
      <alignment horizontal="center" vertical="center"/>
    </xf>
    <xf numFmtId="3" fontId="16" fillId="0" borderId="19" xfId="0" applyNumberFormat="1" applyFont="1" applyBorder="1" applyAlignment="1">
      <alignment horizontal="center" vertical="center"/>
    </xf>
    <xf numFmtId="0" fontId="14" fillId="38" borderId="14" xfId="0" applyFont="1" applyFill="1" applyBorder="1" applyAlignment="1">
      <alignment vertical="center"/>
    </xf>
    <xf numFmtId="0" fontId="0" fillId="35" borderId="12" xfId="0" applyFill="1" applyBorder="1" applyAlignment="1">
      <alignment vertical="center"/>
    </xf>
    <xf numFmtId="0" fontId="16" fillId="35" borderId="21" xfId="0" applyFont="1" applyFill="1" applyBorder="1" applyAlignment="1">
      <alignment vertical="center"/>
    </xf>
    <xf numFmtId="0" fontId="0" fillId="35" borderId="20" xfId="0" applyFill="1" applyBorder="1" applyAlignment="1">
      <alignment vertical="center"/>
    </xf>
    <xf numFmtId="172" fontId="16" fillId="0" borderId="20" xfId="0" applyNumberFormat="1" applyFont="1" applyBorder="1" applyAlignment="1">
      <alignment horizontal="center" vertical="center"/>
    </xf>
    <xf numFmtId="172" fontId="16" fillId="0" borderId="11" xfId="0" applyNumberFormat="1" applyFont="1" applyBorder="1" applyAlignment="1">
      <alignment horizontal="center" vertical="center"/>
    </xf>
    <xf numFmtId="172" fontId="16" fillId="0" borderId="21" xfId="0" applyNumberFormat="1" applyFont="1" applyBorder="1" applyAlignment="1">
      <alignment horizontal="center" vertical="center"/>
    </xf>
    <xf numFmtId="0" fontId="14" fillId="38" borderId="22" xfId="0" applyFont="1" applyFill="1" applyBorder="1" applyAlignment="1">
      <alignment vertical="center"/>
    </xf>
    <xf numFmtId="0" fontId="14" fillId="38" borderId="23" xfId="0" applyFont="1" applyFill="1" applyBorder="1" applyAlignment="1">
      <alignment vertical="center"/>
    </xf>
    <xf numFmtId="0" fontId="14" fillId="38" borderId="24" xfId="0" applyFont="1" applyFill="1" applyBorder="1" applyAlignment="1">
      <alignment vertical="center"/>
    </xf>
    <xf numFmtId="168" fontId="14" fillId="38" borderId="15" xfId="0" applyNumberFormat="1" applyFont="1" applyFill="1" applyBorder="1" applyAlignment="1">
      <alignment horizontal="center" vertical="center"/>
    </xf>
    <xf numFmtId="168" fontId="14" fillId="38" borderId="0" xfId="0" applyNumberFormat="1" applyFont="1" applyFill="1" applyAlignment="1">
      <alignment horizontal="center" vertical="center"/>
    </xf>
    <xf numFmtId="168" fontId="14" fillId="38" borderId="16" xfId="0" applyNumberFormat="1" applyFont="1" applyFill="1" applyBorder="1" applyAlignment="1">
      <alignment horizontal="center" vertical="center"/>
    </xf>
    <xf numFmtId="0" fontId="28" fillId="35" borderId="15" xfId="0" applyFont="1" applyFill="1" applyBorder="1" applyAlignment="1">
      <alignment vertical="center"/>
    </xf>
    <xf numFmtId="0" fontId="28" fillId="35" borderId="17" xfId="0" applyFont="1" applyFill="1" applyBorder="1" applyAlignment="1">
      <alignment vertical="center"/>
    </xf>
    <xf numFmtId="0" fontId="0" fillId="35" borderId="19" xfId="0" applyFill="1" applyBorder="1" applyAlignment="1">
      <alignment vertical="center"/>
    </xf>
    <xf numFmtId="168" fontId="14" fillId="38" borderId="12" xfId="0" applyNumberFormat="1" applyFont="1" applyFill="1" applyBorder="1" applyAlignment="1">
      <alignment horizontal="center" vertical="center"/>
    </xf>
    <xf numFmtId="168" fontId="14" fillId="38" borderId="13" xfId="0" applyNumberFormat="1" applyFont="1" applyFill="1" applyBorder="1" applyAlignment="1">
      <alignment horizontal="center" vertical="center"/>
    </xf>
    <xf numFmtId="168" fontId="14" fillId="38" borderId="14" xfId="0" applyNumberFormat="1" applyFont="1" applyFill="1" applyBorder="1" applyAlignment="1">
      <alignment horizontal="center" vertical="center"/>
    </xf>
    <xf numFmtId="168" fontId="14" fillId="38" borderId="17" xfId="0" applyNumberFormat="1" applyFont="1" applyFill="1" applyBorder="1" applyAlignment="1">
      <alignment horizontal="center" vertical="center"/>
    </xf>
    <xf numFmtId="168" fontId="14" fillId="38" borderId="18" xfId="0" applyNumberFormat="1" applyFont="1" applyFill="1" applyBorder="1" applyAlignment="1">
      <alignment horizontal="center" vertical="center"/>
    </xf>
    <xf numFmtId="168" fontId="14" fillId="38" borderId="19" xfId="0" applyNumberFormat="1" applyFont="1" applyFill="1" applyBorder="1" applyAlignment="1">
      <alignment horizontal="center" vertical="center"/>
    </xf>
    <xf numFmtId="171" fontId="0" fillId="0" borderId="12" xfId="47" applyNumberFormat="1" applyFont="1" applyFill="1" applyBorder="1" applyAlignment="1">
      <alignment horizontal="center" vertical="center"/>
    </xf>
    <xf numFmtId="171" fontId="0" fillId="0" borderId="13" xfId="47" applyNumberFormat="1" applyFont="1" applyFill="1" applyBorder="1" applyAlignment="1">
      <alignment horizontal="center" vertical="center"/>
    </xf>
    <xf numFmtId="171" fontId="0" fillId="0" borderId="14" xfId="47" applyNumberFormat="1" applyFont="1" applyFill="1" applyBorder="1" applyAlignment="1">
      <alignment horizontal="center" vertical="center"/>
    </xf>
    <xf numFmtId="171" fontId="0" fillId="0" borderId="15" xfId="47" applyNumberFormat="1" applyFont="1" applyFill="1" applyBorder="1" applyAlignment="1">
      <alignment horizontal="center" vertical="center"/>
    </xf>
    <xf numFmtId="171" fontId="0" fillId="0" borderId="0" xfId="47" applyNumberFormat="1" applyFont="1" applyFill="1" applyBorder="1" applyAlignment="1">
      <alignment horizontal="center" vertical="center"/>
    </xf>
    <xf numFmtId="171" fontId="0" fillId="0" borderId="16" xfId="47" applyNumberFormat="1" applyFont="1" applyFill="1" applyBorder="1" applyAlignment="1">
      <alignment horizontal="center" vertical="center"/>
    </xf>
    <xf numFmtId="171" fontId="0" fillId="0" borderId="18" xfId="47" applyNumberFormat="1" applyFont="1" applyFill="1" applyBorder="1" applyAlignment="1">
      <alignment horizontal="center" vertical="center"/>
    </xf>
    <xf numFmtId="171" fontId="0" fillId="0" borderId="19" xfId="47" applyNumberFormat="1" applyFont="1" applyFill="1" applyBorder="1" applyAlignment="1">
      <alignment horizontal="center" vertical="center"/>
    </xf>
    <xf numFmtId="0" fontId="31" fillId="36" borderId="11" xfId="0" applyFont="1" applyFill="1" applyBorder="1" applyAlignment="1">
      <alignment horizontal="center" vertical="center" wrapText="1"/>
    </xf>
    <xf numFmtId="0" fontId="30" fillId="0" borderId="17" xfId="0" applyFont="1" applyBorder="1" applyAlignment="1">
      <alignment vertical="center"/>
    </xf>
    <xf numFmtId="0" fontId="31" fillId="36" borderId="20" xfId="0" applyFont="1" applyFill="1" applyBorder="1" applyAlignment="1">
      <alignment horizontal="center" vertical="center" wrapText="1"/>
    </xf>
    <xf numFmtId="2" fontId="30" fillId="0" borderId="15" xfId="0" applyNumberFormat="1" applyFont="1" applyBorder="1" applyAlignment="1">
      <alignment vertical="center"/>
    </xf>
    <xf numFmtId="2" fontId="30" fillId="0" borderId="0" xfId="0" applyNumberFormat="1" applyFont="1" applyAlignment="1">
      <alignment vertical="center"/>
    </xf>
    <xf numFmtId="2" fontId="30" fillId="0" borderId="12" xfId="0" applyNumberFormat="1" applyFont="1" applyBorder="1" applyAlignment="1">
      <alignment vertical="center"/>
    </xf>
    <xf numFmtId="2" fontId="30" fillId="0" borderId="13" xfId="0" applyNumberFormat="1" applyFont="1" applyBorder="1" applyAlignment="1">
      <alignment vertical="center"/>
    </xf>
    <xf numFmtId="2" fontId="30" fillId="0" borderId="17" xfId="0" applyNumberFormat="1" applyFont="1" applyBorder="1" applyAlignment="1">
      <alignment vertical="center"/>
    </xf>
    <xf numFmtId="2" fontId="30" fillId="0" borderId="18" xfId="0" applyNumberFormat="1" applyFont="1" applyBorder="1" applyAlignment="1">
      <alignment vertical="center"/>
    </xf>
    <xf numFmtId="2" fontId="0" fillId="0" borderId="15" xfId="0" applyNumberFormat="1" applyBorder="1" applyAlignment="1">
      <alignment vertical="center"/>
    </xf>
    <xf numFmtId="2" fontId="0" fillId="0" borderId="16" xfId="0" applyNumberFormat="1" applyBorder="1" applyAlignment="1">
      <alignment vertical="center"/>
    </xf>
    <xf numFmtId="4" fontId="30" fillId="0" borderId="22" xfId="0" applyNumberFormat="1" applyFont="1" applyBorder="1" applyAlignment="1">
      <alignment vertical="center"/>
    </xf>
    <xf numFmtId="4" fontId="0" fillId="0" borderId="22" xfId="0" applyNumberFormat="1" applyBorder="1" applyAlignment="1">
      <alignment vertical="center"/>
    </xf>
    <xf numFmtId="4" fontId="30" fillId="0" borderId="24" xfId="0" applyNumberFormat="1" applyFont="1" applyBorder="1" applyAlignment="1">
      <alignment vertical="center"/>
    </xf>
    <xf numFmtId="4" fontId="0" fillId="0" borderId="24" xfId="0" applyNumberFormat="1" applyBorder="1" applyAlignment="1">
      <alignment vertical="center"/>
    </xf>
    <xf numFmtId="0" fontId="26" fillId="38" borderId="17" xfId="0" applyFont="1" applyFill="1" applyBorder="1" applyAlignment="1">
      <alignment vertical="center"/>
    </xf>
    <xf numFmtId="0" fontId="13" fillId="39" borderId="12" xfId="0" applyFont="1" applyFill="1" applyBorder="1" applyAlignment="1">
      <alignment vertical="center"/>
    </xf>
    <xf numFmtId="0" fontId="13" fillId="39" borderId="14" xfId="0" applyFont="1" applyFill="1" applyBorder="1" applyAlignment="1">
      <alignment vertical="center"/>
    </xf>
    <xf numFmtId="0" fontId="26" fillId="38" borderId="15" xfId="0" applyFont="1" applyFill="1" applyBorder="1" applyAlignment="1">
      <alignment vertical="center"/>
    </xf>
    <xf numFmtId="0" fontId="0" fillId="35" borderId="15" xfId="0" applyFill="1" applyBorder="1"/>
    <xf numFmtId="1" fontId="0" fillId="0" borderId="15" xfId="0" applyNumberForma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26" fillId="0" borderId="0" xfId="0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1" fontId="26" fillId="0" borderId="18" xfId="0" applyNumberFormat="1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1" fontId="26" fillId="0" borderId="19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73" fontId="14" fillId="38" borderId="12" xfId="0" applyNumberFormat="1" applyFont="1" applyFill="1" applyBorder="1" applyAlignment="1">
      <alignment horizontal="center" vertical="center"/>
    </xf>
    <xf numFmtId="173" fontId="14" fillId="38" borderId="13" xfId="0" applyNumberFormat="1" applyFont="1" applyFill="1" applyBorder="1" applyAlignment="1">
      <alignment horizontal="center" vertical="center"/>
    </xf>
    <xf numFmtId="173" fontId="14" fillId="38" borderId="14" xfId="0" applyNumberFormat="1" applyFont="1" applyFill="1" applyBorder="1" applyAlignment="1">
      <alignment horizontal="center" vertical="center"/>
    </xf>
    <xf numFmtId="173" fontId="14" fillId="38" borderId="17" xfId="0" applyNumberFormat="1" applyFont="1" applyFill="1" applyBorder="1" applyAlignment="1">
      <alignment horizontal="center" vertical="center"/>
    </xf>
    <xf numFmtId="173" fontId="14" fillId="38" borderId="18" xfId="0" applyNumberFormat="1" applyFont="1" applyFill="1" applyBorder="1" applyAlignment="1">
      <alignment horizontal="center" vertical="center"/>
    </xf>
    <xf numFmtId="173" fontId="14" fillId="38" borderId="19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16" fillId="34" borderId="0" xfId="0" applyFont="1" applyFill="1" applyAlignment="1">
      <alignment horizontal="center" vertical="center"/>
    </xf>
    <xf numFmtId="4" fontId="0" fillId="0" borderId="15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16" xfId="0" applyNumberFormat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0" fontId="16" fillId="34" borderId="14" xfId="0" applyFont="1" applyFill="1" applyBorder="1" applyAlignment="1">
      <alignment horizontal="center" vertical="center"/>
    </xf>
    <xf numFmtId="0" fontId="31" fillId="36" borderId="10" xfId="0" applyFont="1" applyFill="1" applyBorder="1" applyAlignment="1">
      <alignment horizontal="left" vertical="center" wrapText="1"/>
    </xf>
    <xf numFmtId="0" fontId="30" fillId="0" borderId="12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4" fontId="30" fillId="0" borderId="15" xfId="0" applyNumberFormat="1" applyFont="1" applyBorder="1" applyAlignment="1">
      <alignment horizontal="center" vertical="center"/>
    </xf>
    <xf numFmtId="4" fontId="30" fillId="0" borderId="16" xfId="0" applyNumberFormat="1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0" fontId="14" fillId="38" borderId="13" xfId="0" applyFont="1" applyFill="1" applyBorder="1" applyAlignment="1">
      <alignment vertical="center"/>
    </xf>
    <xf numFmtId="0" fontId="14" fillId="38" borderId="18" xfId="0" applyFont="1" applyFill="1" applyBorder="1" applyAlignment="1">
      <alignment vertical="center"/>
    </xf>
    <xf numFmtId="0" fontId="16" fillId="34" borderId="20" xfId="0" applyFont="1" applyFill="1" applyBorder="1" applyAlignment="1">
      <alignment horizontal="center" vertical="center"/>
    </xf>
    <xf numFmtId="0" fontId="16" fillId="34" borderId="21" xfId="0" applyFont="1" applyFill="1" applyBorder="1" applyAlignment="1">
      <alignment horizontal="center" vertical="center"/>
    </xf>
    <xf numFmtId="0" fontId="16" fillId="34" borderId="11" xfId="0" applyFont="1" applyFill="1" applyBorder="1" applyAlignment="1">
      <alignment horizontal="center" vertical="center"/>
    </xf>
    <xf numFmtId="168" fontId="30" fillId="40" borderId="15" xfId="44" applyNumberFormat="1" applyFont="1" applyFill="1" applyBorder="1" applyAlignment="1">
      <alignment vertical="center"/>
    </xf>
    <xf numFmtId="168" fontId="30" fillId="40" borderId="16" xfId="44" applyNumberFormat="1" applyFont="1" applyFill="1" applyBorder="1" applyAlignment="1">
      <alignment vertical="center"/>
    </xf>
    <xf numFmtId="0" fontId="14" fillId="38" borderId="0" xfId="0" applyFont="1" applyFill="1" applyAlignment="1">
      <alignment vertical="center"/>
    </xf>
    <xf numFmtId="173" fontId="14" fillId="38" borderId="15" xfId="0" applyNumberFormat="1" applyFont="1" applyFill="1" applyBorder="1" applyAlignment="1">
      <alignment horizontal="center" vertical="center"/>
    </xf>
    <xf numFmtId="173" fontId="14" fillId="38" borderId="0" xfId="0" applyNumberFormat="1" applyFont="1" applyFill="1" applyAlignment="1">
      <alignment horizontal="center" vertical="center"/>
    </xf>
    <xf numFmtId="173" fontId="14" fillId="38" borderId="16" xfId="0" applyNumberFormat="1" applyFont="1" applyFill="1" applyBorder="1" applyAlignment="1">
      <alignment horizontal="center" vertical="center"/>
    </xf>
    <xf numFmtId="0" fontId="0" fillId="34" borderId="15" xfId="0" applyFill="1" applyBorder="1" applyAlignment="1">
      <alignment vertical="center"/>
    </xf>
    <xf numFmtId="0" fontId="37" fillId="0" borderId="15" xfId="0" applyFont="1" applyBorder="1" applyAlignment="1">
      <alignment horizontal="center" vertical="center"/>
    </xf>
    <xf numFmtId="0" fontId="37" fillId="0" borderId="16" xfId="0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34" fillId="0" borderId="12" xfId="0" applyFont="1" applyBorder="1" applyAlignment="1">
      <alignment vertical="center"/>
    </xf>
    <xf numFmtId="0" fontId="34" fillId="0" borderId="13" xfId="0" applyFont="1" applyBorder="1" applyAlignment="1">
      <alignment vertical="center"/>
    </xf>
    <xf numFmtId="0" fontId="34" fillId="0" borderId="14" xfId="0" applyFont="1" applyBorder="1" applyAlignment="1">
      <alignment vertical="center"/>
    </xf>
    <xf numFmtId="0" fontId="34" fillId="0" borderId="18" xfId="0" applyFont="1" applyBorder="1" applyAlignment="1">
      <alignment horizontal="center" vertical="center"/>
    </xf>
    <xf numFmtId="168" fontId="0" fillId="0" borderId="0" xfId="0" applyNumberFormat="1"/>
    <xf numFmtId="0" fontId="31" fillId="40" borderId="0" xfId="0" applyFont="1" applyFill="1" applyAlignment="1">
      <alignment horizontal="center" vertical="center"/>
    </xf>
    <xf numFmtId="0" fontId="31" fillId="40" borderId="18" xfId="0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68" fontId="30" fillId="0" borderId="0" xfId="0" applyNumberFormat="1" applyFont="1" applyAlignment="1">
      <alignment vertical="center"/>
    </xf>
    <xf numFmtId="0" fontId="31" fillId="35" borderId="20" xfId="44" applyNumberFormat="1" applyFont="1" applyFill="1" applyBorder="1" applyAlignment="1">
      <alignment vertical="center"/>
    </xf>
    <xf numFmtId="0" fontId="16" fillId="0" borderId="18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1" fontId="30" fillId="0" borderId="0" xfId="0" applyNumberFormat="1" applyFont="1" applyAlignment="1">
      <alignment vertical="center"/>
    </xf>
    <xf numFmtId="0" fontId="21" fillId="34" borderId="29" xfId="0" applyFont="1" applyFill="1" applyBorder="1" applyAlignment="1">
      <alignment horizontal="center" vertical="center"/>
    </xf>
    <xf numFmtId="3" fontId="21" fillId="0" borderId="29" xfId="0" applyNumberFormat="1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174" fontId="21" fillId="0" borderId="0" xfId="0" applyNumberFormat="1" applyFont="1" applyAlignment="1">
      <alignment horizontal="center" vertical="center"/>
    </xf>
    <xf numFmtId="0" fontId="21" fillId="34" borderId="29" xfId="0" applyFont="1" applyFill="1" applyBorder="1" applyAlignment="1">
      <alignment vertical="center"/>
    </xf>
    <xf numFmtId="0" fontId="21" fillId="0" borderId="29" xfId="0" applyFont="1" applyBorder="1" applyAlignment="1">
      <alignment vertical="center"/>
    </xf>
    <xf numFmtId="0" fontId="21" fillId="0" borderId="0" xfId="0" applyFont="1" applyAlignment="1">
      <alignment vertical="center"/>
    </xf>
    <xf numFmtId="3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6" fillId="40" borderId="0" xfId="0" applyFont="1" applyFill="1" applyAlignment="1">
      <alignment vertical="center"/>
    </xf>
    <xf numFmtId="168" fontId="14" fillId="0" borderId="0" xfId="0" applyNumberFormat="1" applyFont="1" applyAlignment="1">
      <alignment vertical="center"/>
    </xf>
    <xf numFmtId="168" fontId="0" fillId="0" borderId="0" xfId="0" applyNumberFormat="1" applyAlignment="1">
      <alignment vertical="center"/>
    </xf>
    <xf numFmtId="0" fontId="0" fillId="0" borderId="28" xfId="0" applyBorder="1" applyAlignment="1">
      <alignment vertical="center"/>
    </xf>
    <xf numFmtId="2" fontId="14" fillId="0" borderId="0" xfId="0" applyNumberFormat="1" applyFont="1" applyAlignment="1">
      <alignment vertical="center"/>
    </xf>
    <xf numFmtId="2" fontId="0" fillId="0" borderId="0" xfId="0" applyNumberFormat="1"/>
    <xf numFmtId="4" fontId="0" fillId="0" borderId="15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4" fontId="0" fillId="0" borderId="16" xfId="0" applyNumberFormat="1" applyBorder="1" applyAlignment="1">
      <alignment vertical="center"/>
    </xf>
    <xf numFmtId="4" fontId="0" fillId="0" borderId="17" xfId="0" applyNumberFormat="1" applyBorder="1" applyAlignment="1">
      <alignment vertical="center"/>
    </xf>
    <xf numFmtId="4" fontId="0" fillId="0" borderId="18" xfId="0" applyNumberFormat="1" applyBorder="1" applyAlignment="1">
      <alignment vertical="center"/>
    </xf>
    <xf numFmtId="4" fontId="0" fillId="0" borderId="19" xfId="0" applyNumberFormat="1" applyBorder="1" applyAlignment="1">
      <alignment vertical="center"/>
    </xf>
    <xf numFmtId="4" fontId="0" fillId="0" borderId="13" xfId="0" applyNumberFormat="1" applyBorder="1" applyAlignment="1">
      <alignment vertical="center"/>
    </xf>
    <xf numFmtId="4" fontId="0" fillId="0" borderId="14" xfId="0" applyNumberFormat="1" applyBorder="1" applyAlignment="1">
      <alignment vertical="center"/>
    </xf>
    <xf numFmtId="172" fontId="30" fillId="0" borderId="14" xfId="0" applyNumberFormat="1" applyFont="1" applyBorder="1" applyAlignment="1">
      <alignment vertical="center"/>
    </xf>
    <xf numFmtId="172" fontId="30" fillId="0" borderId="16" xfId="0" applyNumberFormat="1" applyFont="1" applyBorder="1" applyAlignment="1">
      <alignment vertical="center"/>
    </xf>
    <xf numFmtId="172" fontId="0" fillId="0" borderId="16" xfId="0" applyNumberFormat="1" applyBorder="1" applyAlignment="1">
      <alignment vertical="center"/>
    </xf>
    <xf numFmtId="172" fontId="30" fillId="0" borderId="19" xfId="0" applyNumberFormat="1" applyFont="1" applyBorder="1" applyAlignment="1">
      <alignment vertical="center"/>
    </xf>
    <xf numFmtId="1" fontId="0" fillId="0" borderId="0" xfId="0" applyNumberFormat="1"/>
    <xf numFmtId="0" fontId="0" fillId="0" borderId="0" xfId="0" applyAlignment="1">
      <alignment horizontal="left" indent="1"/>
    </xf>
    <xf numFmtId="3" fontId="14" fillId="0" borderId="23" xfId="0" applyNumberFormat="1" applyFont="1" applyBorder="1" applyAlignment="1">
      <alignment vertical="center"/>
    </xf>
    <xf numFmtId="3" fontId="30" fillId="0" borderId="23" xfId="0" applyNumberFormat="1" applyFont="1" applyBorder="1" applyAlignment="1">
      <alignment vertical="center"/>
    </xf>
    <xf numFmtId="3" fontId="14" fillId="0" borderId="22" xfId="0" applyNumberFormat="1" applyFont="1" applyBorder="1" applyAlignment="1">
      <alignment vertical="center"/>
    </xf>
    <xf numFmtId="0" fontId="40" fillId="0" borderId="0" xfId="0" applyFont="1"/>
    <xf numFmtId="2" fontId="40" fillId="0" borderId="0" xfId="0" applyNumberFormat="1" applyFont="1"/>
    <xf numFmtId="0" fontId="16" fillId="41" borderId="0" xfId="0" applyFont="1" applyFill="1"/>
    <xf numFmtId="0" fontId="0" fillId="0" borderId="15" xfId="0" applyBorder="1"/>
    <xf numFmtId="2" fontId="16" fillId="41" borderId="0" xfId="0" applyNumberFormat="1" applyFont="1" applyFill="1"/>
    <xf numFmtId="0" fontId="16" fillId="42" borderId="0" xfId="0" applyFont="1" applyFill="1" applyAlignment="1">
      <alignment horizontal="left"/>
    </xf>
    <xf numFmtId="0" fontId="16" fillId="42" borderId="0" xfId="0" applyFont="1" applyFill="1" applyAlignment="1">
      <alignment horizontal="center"/>
    </xf>
    <xf numFmtId="0" fontId="41" fillId="2" borderId="0" xfId="6" applyFont="1"/>
    <xf numFmtId="0" fontId="42" fillId="4" borderId="0" xfId="8" applyFont="1"/>
    <xf numFmtId="0" fontId="8" fillId="4" borderId="0" xfId="8"/>
    <xf numFmtId="0" fontId="43" fillId="29" borderId="0" xfId="38" applyFont="1"/>
    <xf numFmtId="2" fontId="6" fillId="2" borderId="0" xfId="6" applyNumberFormat="1" applyBorder="1" applyAlignment="1">
      <alignment vertical="center"/>
    </xf>
    <xf numFmtId="0" fontId="8" fillId="4" borderId="0" xfId="8" applyAlignment="1">
      <alignment vertical="center"/>
    </xf>
    <xf numFmtId="175" fontId="17" fillId="9" borderId="0" xfId="18" applyNumberFormat="1"/>
    <xf numFmtId="175" fontId="0" fillId="0" borderId="0" xfId="0" applyNumberFormat="1"/>
    <xf numFmtId="0" fontId="8" fillId="4" borderId="0" xfId="8" applyBorder="1" applyAlignment="1">
      <alignment horizontal="center"/>
    </xf>
    <xf numFmtId="2" fontId="0" fillId="40" borderId="0" xfId="0" applyNumberFormat="1" applyFill="1"/>
    <xf numFmtId="9" fontId="41" fillId="2" borderId="0" xfId="47" applyFont="1" applyFill="1"/>
    <xf numFmtId="0" fontId="13" fillId="9" borderId="0" xfId="18" applyFont="1" applyBorder="1" applyAlignment="1">
      <alignment vertical="center"/>
    </xf>
    <xf numFmtId="0" fontId="17" fillId="9" borderId="0" xfId="18"/>
    <xf numFmtId="0" fontId="17" fillId="9" borderId="0" xfId="18" applyAlignment="1">
      <alignment vertical="center"/>
    </xf>
    <xf numFmtId="9" fontId="9" fillId="5" borderId="4" xfId="9" applyNumberFormat="1"/>
    <xf numFmtId="3" fontId="42" fillId="4" borderId="0" xfId="8" applyNumberFormat="1" applyFont="1"/>
    <xf numFmtId="0" fontId="42" fillId="4" borderId="0" xfId="8" applyFont="1" applyAlignment="1">
      <alignment vertical="center"/>
    </xf>
    <xf numFmtId="9" fontId="42" fillId="4" borderId="0" xfId="8" applyNumberFormat="1" applyFont="1" applyAlignment="1">
      <alignment vertical="center"/>
    </xf>
    <xf numFmtId="0" fontId="31" fillId="33" borderId="30" xfId="0" applyFont="1" applyFill="1" applyBorder="1" applyAlignment="1">
      <alignment vertical="center"/>
    </xf>
    <xf numFmtId="1" fontId="31" fillId="43" borderId="30" xfId="0" applyNumberFormat="1" applyFont="1" applyFill="1" applyBorder="1" applyAlignment="1">
      <alignment vertical="center"/>
    </xf>
    <xf numFmtId="0" fontId="16" fillId="41" borderId="15" xfId="0" applyFont="1" applyFill="1" applyBorder="1"/>
    <xf numFmtId="0" fontId="16" fillId="0" borderId="0" xfId="0" applyFont="1"/>
    <xf numFmtId="2" fontId="42" fillId="4" borderId="0" xfId="8" applyNumberFormat="1" applyFont="1" applyBorder="1"/>
    <xf numFmtId="2" fontId="42" fillId="4" borderId="20" xfId="8" applyNumberFormat="1" applyFont="1" applyBorder="1"/>
    <xf numFmtId="2" fontId="42" fillId="4" borderId="11" xfId="8" applyNumberFormat="1" applyFont="1" applyBorder="1"/>
    <xf numFmtId="2" fontId="42" fillId="4" borderId="21" xfId="8" applyNumberFormat="1" applyFont="1" applyBorder="1"/>
    <xf numFmtId="0" fontId="0" fillId="35" borderId="17" xfId="0" applyFill="1" applyBorder="1"/>
    <xf numFmtId="2" fontId="6" fillId="2" borderId="18" xfId="6" applyNumberFormat="1" applyBorder="1" applyAlignment="1">
      <alignment vertical="center"/>
    </xf>
    <xf numFmtId="2" fontId="6" fillId="2" borderId="13" xfId="6" applyNumberFormat="1" applyBorder="1" applyAlignment="1">
      <alignment vertical="center"/>
    </xf>
    <xf numFmtId="2" fontId="6" fillId="2" borderId="14" xfId="6" applyNumberFormat="1" applyBorder="1" applyAlignment="1">
      <alignment vertical="center"/>
    </xf>
    <xf numFmtId="2" fontId="6" fillId="2" borderId="16" xfId="6" applyNumberFormat="1" applyBorder="1" applyAlignment="1">
      <alignment vertical="center"/>
    </xf>
    <xf numFmtId="2" fontId="6" fillId="2" borderId="19" xfId="6" applyNumberFormat="1" applyBorder="1" applyAlignment="1">
      <alignment vertical="center"/>
    </xf>
    <xf numFmtId="3" fontId="6" fillId="2" borderId="0" xfId="6" applyNumberFormat="1" applyAlignment="1">
      <alignment vertical="center" wrapText="1"/>
    </xf>
    <xf numFmtId="0" fontId="41" fillId="2" borderId="0" xfId="6" applyFont="1" applyAlignment="1">
      <alignment vertical="center" wrapText="1"/>
    </xf>
    <xf numFmtId="175" fontId="44" fillId="0" borderId="0" xfId="0" applyNumberFormat="1" applyFont="1"/>
    <xf numFmtId="176" fontId="0" fillId="0" borderId="0" xfId="0" applyNumberFormat="1" applyAlignment="1">
      <alignment vertical="center"/>
    </xf>
    <xf numFmtId="0" fontId="31" fillId="43" borderId="30" xfId="0" applyFont="1" applyFill="1" applyBorder="1" applyAlignment="1">
      <alignment vertical="center"/>
    </xf>
    <xf numFmtId="0" fontId="8" fillId="0" borderId="0" xfId="8" applyFill="1" applyAlignment="1">
      <alignment vertical="center"/>
    </xf>
    <xf numFmtId="0" fontId="45" fillId="40" borderId="0" xfId="49" applyFont="1" applyFill="1"/>
    <xf numFmtId="0" fontId="21" fillId="40" borderId="0" xfId="49" applyFill="1"/>
    <xf numFmtId="0" fontId="21" fillId="0" borderId="0" xfId="49"/>
    <xf numFmtId="168" fontId="21" fillId="0" borderId="0" xfId="49" applyNumberFormat="1"/>
    <xf numFmtId="2" fontId="21" fillId="0" borderId="0" xfId="49" applyNumberFormat="1"/>
    <xf numFmtId="175" fontId="44" fillId="40" borderId="0" xfId="0" applyNumberFormat="1" applyFont="1" applyFill="1"/>
    <xf numFmtId="0" fontId="0" fillId="40" borderId="0" xfId="0" applyFill="1" applyAlignment="1">
      <alignment vertical="center"/>
    </xf>
    <xf numFmtId="0" fontId="30" fillId="40" borderId="0" xfId="0" applyFont="1" applyFill="1" applyAlignment="1">
      <alignment vertical="center"/>
    </xf>
    <xf numFmtId="0" fontId="29" fillId="0" borderId="0" xfId="0" applyFont="1" applyAlignment="1">
      <alignment vertical="center"/>
    </xf>
    <xf numFmtId="0" fontId="29" fillId="34" borderId="12" xfId="0" applyFont="1" applyFill="1" applyBorder="1" applyAlignment="1">
      <alignment vertical="center"/>
    </xf>
    <xf numFmtId="0" fontId="29" fillId="0" borderId="13" xfId="0" applyFont="1" applyBorder="1" applyAlignment="1">
      <alignment vertical="center"/>
    </xf>
    <xf numFmtId="0" fontId="29" fillId="35" borderId="15" xfId="0" applyFont="1" applyFill="1" applyBorder="1" applyAlignment="1">
      <alignment vertical="center"/>
    </xf>
    <xf numFmtId="168" fontId="0" fillId="33" borderId="15" xfId="0" applyNumberFormat="1" applyFill="1" applyBorder="1" applyAlignment="1">
      <alignment vertical="center"/>
    </xf>
    <xf numFmtId="0" fontId="14" fillId="38" borderId="15" xfId="0" applyFont="1" applyFill="1" applyBorder="1" applyAlignment="1">
      <alignment vertical="center"/>
    </xf>
    <xf numFmtId="0" fontId="0" fillId="44" borderId="17" xfId="0" applyFill="1" applyBorder="1"/>
    <xf numFmtId="0" fontId="29" fillId="0" borderId="18" xfId="0" applyFont="1" applyBorder="1" applyAlignment="1">
      <alignment vertical="center"/>
    </xf>
    <xf numFmtId="0" fontId="0" fillId="0" borderId="18" xfId="0" applyBorder="1"/>
    <xf numFmtId="0" fontId="0" fillId="0" borderId="19" xfId="0" applyBorder="1"/>
    <xf numFmtId="0" fontId="6" fillId="2" borderId="0" xfId="6" applyAlignment="1">
      <alignment horizontal="center"/>
    </xf>
    <xf numFmtId="168" fontId="1" fillId="0" borderId="22" xfId="0" applyNumberFormat="1" applyFont="1" applyBorder="1" applyAlignment="1">
      <alignment vertical="center"/>
    </xf>
    <xf numFmtId="168" fontId="1" fillId="0" borderId="23" xfId="0" applyNumberFormat="1" applyFont="1" applyBorder="1" applyAlignment="1">
      <alignment vertical="center"/>
    </xf>
    <xf numFmtId="168" fontId="1" fillId="0" borderId="24" xfId="0" applyNumberFormat="1" applyFont="1" applyBorder="1" applyAlignment="1">
      <alignment vertical="center"/>
    </xf>
    <xf numFmtId="1" fontId="1" fillId="0" borderId="22" xfId="0" applyNumberFormat="1" applyFont="1" applyBorder="1" applyAlignment="1">
      <alignment vertical="center"/>
    </xf>
    <xf numFmtId="1" fontId="1" fillId="0" borderId="23" xfId="0" applyNumberFormat="1" applyFont="1" applyBorder="1" applyAlignment="1">
      <alignment vertical="center"/>
    </xf>
    <xf numFmtId="1" fontId="1" fillId="0" borderId="24" xfId="0" applyNumberFormat="1" applyFont="1" applyBorder="1" applyAlignment="1">
      <alignment vertical="center"/>
    </xf>
    <xf numFmtId="0" fontId="14" fillId="45" borderId="15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6" fillId="0" borderId="30" xfId="0" applyFont="1" applyBorder="1"/>
    <xf numFmtId="0" fontId="0" fillId="0" borderId="30" xfId="0" applyBorder="1"/>
    <xf numFmtId="0" fontId="0" fillId="0" borderId="30" xfId="0" applyBorder="1" applyAlignment="1">
      <alignment horizontal="center"/>
    </xf>
    <xf numFmtId="168" fontId="16" fillId="34" borderId="11" xfId="0" applyNumberFormat="1" applyFont="1" applyFill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16" fillId="34" borderId="21" xfId="0" applyFont="1" applyFill="1" applyBorder="1" applyAlignment="1">
      <alignment horizontal="center"/>
    </xf>
    <xf numFmtId="168" fontId="16" fillId="34" borderId="20" xfId="0" applyNumberFormat="1" applyFont="1" applyFill="1" applyBorder="1" applyAlignment="1">
      <alignment horizontal="center"/>
    </xf>
    <xf numFmtId="176" fontId="0" fillId="0" borderId="15" xfId="0" applyNumberFormat="1" applyBorder="1" applyAlignment="1">
      <alignment horizontal="center"/>
    </xf>
    <xf numFmtId="176" fontId="0" fillId="0" borderId="0" xfId="0" applyNumberFormat="1" applyAlignment="1">
      <alignment horizontal="center"/>
    </xf>
    <xf numFmtId="176" fontId="0" fillId="0" borderId="16" xfId="0" applyNumberFormat="1" applyBorder="1" applyAlignment="1">
      <alignment horizontal="center"/>
    </xf>
    <xf numFmtId="176" fontId="0" fillId="0" borderId="17" xfId="0" applyNumberFormat="1" applyBorder="1" applyAlignment="1">
      <alignment horizontal="center"/>
    </xf>
    <xf numFmtId="176" fontId="0" fillId="0" borderId="18" xfId="0" applyNumberFormat="1" applyBorder="1" applyAlignment="1">
      <alignment horizontal="center"/>
    </xf>
    <xf numFmtId="176" fontId="0" fillId="0" borderId="19" xfId="0" applyNumberFormat="1" applyBorder="1" applyAlignment="1">
      <alignment horizontal="center"/>
    </xf>
    <xf numFmtId="0" fontId="16" fillId="0" borderId="23" xfId="0" applyFont="1" applyBorder="1"/>
    <xf numFmtId="0" fontId="16" fillId="0" borderId="24" xfId="0" applyFont="1" applyBorder="1"/>
    <xf numFmtId="0" fontId="0" fillId="0" borderId="24" xfId="0" applyBorder="1"/>
    <xf numFmtId="0" fontId="0" fillId="0" borderId="10" xfId="0" applyBorder="1"/>
    <xf numFmtId="0" fontId="16" fillId="0" borderId="10" xfId="0" applyFont="1" applyBorder="1"/>
    <xf numFmtId="2" fontId="0" fillId="0" borderId="11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7" fillId="0" borderId="0" xfId="7" applyFill="1"/>
    <xf numFmtId="0" fontId="0" fillId="0" borderId="16" xfId="0" applyBorder="1"/>
    <xf numFmtId="0" fontId="16" fillId="34" borderId="12" xfId="20" applyFont="1" applyFill="1" applyBorder="1"/>
    <xf numFmtId="0" fontId="16" fillId="34" borderId="14" xfId="20" applyFont="1" applyFill="1" applyBorder="1"/>
    <xf numFmtId="0" fontId="0" fillId="34" borderId="15" xfId="0" applyFill="1" applyBorder="1"/>
    <xf numFmtId="0" fontId="0" fillId="34" borderId="16" xfId="0" applyFill="1" applyBorder="1"/>
    <xf numFmtId="0" fontId="0" fillId="34" borderId="17" xfId="0" applyFill="1" applyBorder="1"/>
    <xf numFmtId="0" fontId="0" fillId="34" borderId="19" xfId="0" applyFill="1" applyBorder="1"/>
    <xf numFmtId="0" fontId="16" fillId="34" borderId="15" xfId="20" applyFont="1" applyFill="1" applyBorder="1"/>
    <xf numFmtId="0" fontId="16" fillId="34" borderId="16" xfId="20" applyFont="1" applyFill="1" applyBorder="1"/>
    <xf numFmtId="0" fontId="16" fillId="34" borderId="17" xfId="20" applyFont="1" applyFill="1" applyBorder="1"/>
    <xf numFmtId="0" fontId="1" fillId="34" borderId="19" xfId="20" applyFill="1" applyBorder="1"/>
    <xf numFmtId="0" fontId="16" fillId="35" borderId="17" xfId="0" applyFont="1" applyFill="1" applyBorder="1"/>
    <xf numFmtId="0" fontId="0" fillId="35" borderId="19" xfId="0" applyFill="1" applyBorder="1"/>
    <xf numFmtId="3" fontId="16" fillId="0" borderId="12" xfId="20" applyNumberFormat="1" applyFont="1" applyFill="1" applyBorder="1"/>
    <xf numFmtId="3" fontId="16" fillId="0" borderId="13" xfId="20" applyNumberFormat="1" applyFont="1" applyFill="1" applyBorder="1"/>
    <xf numFmtId="3" fontId="26" fillId="0" borderId="13" xfId="20" applyNumberFormat="1" applyFont="1" applyFill="1" applyBorder="1"/>
    <xf numFmtId="3" fontId="26" fillId="0" borderId="14" xfId="20" applyNumberFormat="1" applyFont="1" applyFill="1" applyBorder="1"/>
    <xf numFmtId="3" fontId="0" fillId="0" borderId="15" xfId="0" applyNumberFormat="1" applyBorder="1"/>
    <xf numFmtId="3" fontId="0" fillId="0" borderId="17" xfId="0" applyNumberFormat="1" applyBorder="1"/>
    <xf numFmtId="3" fontId="0" fillId="0" borderId="18" xfId="0" applyNumberFormat="1" applyBorder="1"/>
    <xf numFmtId="3" fontId="14" fillId="0" borderId="18" xfId="0" applyNumberFormat="1" applyFont="1" applyBorder="1"/>
    <xf numFmtId="3" fontId="14" fillId="0" borderId="19" xfId="0" applyNumberFormat="1" applyFont="1" applyBorder="1"/>
    <xf numFmtId="0" fontId="35" fillId="0" borderId="0" xfId="7" applyFont="1" applyFill="1"/>
    <xf numFmtId="168" fontId="7" fillId="0" borderId="0" xfId="7" applyNumberFormat="1" applyFill="1"/>
    <xf numFmtId="0" fontId="16" fillId="35" borderId="12" xfId="20" applyFont="1" applyFill="1" applyBorder="1"/>
    <xf numFmtId="0" fontId="16" fillId="35" borderId="14" xfId="20" applyFont="1" applyFill="1" applyBorder="1"/>
    <xf numFmtId="0" fontId="0" fillId="35" borderId="16" xfId="0" applyFill="1" applyBorder="1"/>
    <xf numFmtId="0" fontId="16" fillId="35" borderId="15" xfId="20" applyFont="1" applyFill="1" applyBorder="1"/>
    <xf numFmtId="0" fontId="16" fillId="35" borderId="16" xfId="20" applyFont="1" applyFill="1" applyBorder="1"/>
    <xf numFmtId="0" fontId="16" fillId="35" borderId="17" xfId="20" applyFont="1" applyFill="1" applyBorder="1"/>
    <xf numFmtId="0" fontId="1" fillId="35" borderId="19" xfId="20" applyFill="1" applyBorder="1"/>
    <xf numFmtId="3" fontId="16" fillId="0" borderId="18" xfId="0" applyNumberFormat="1" applyFont="1" applyBorder="1"/>
    <xf numFmtId="3" fontId="16" fillId="0" borderId="19" xfId="0" applyNumberFormat="1" applyFont="1" applyBorder="1"/>
    <xf numFmtId="3" fontId="16" fillId="0" borderId="20" xfId="20" applyNumberFormat="1" applyFont="1" applyFill="1" applyBorder="1"/>
    <xf numFmtId="3" fontId="16" fillId="0" borderId="11" xfId="20" applyNumberFormat="1" applyFont="1" applyFill="1" applyBorder="1"/>
    <xf numFmtId="3" fontId="26" fillId="0" borderId="11" xfId="20" applyNumberFormat="1" applyFont="1" applyFill="1" applyBorder="1"/>
    <xf numFmtId="3" fontId="26" fillId="0" borderId="21" xfId="20" applyNumberFormat="1" applyFont="1" applyFill="1" applyBorder="1"/>
    <xf numFmtId="3" fontId="16" fillId="0" borderId="0" xfId="0" applyNumberFormat="1" applyFont="1"/>
    <xf numFmtId="172" fontId="16" fillId="0" borderId="12" xfId="20" applyNumberFormat="1" applyFont="1" applyFill="1" applyBorder="1"/>
    <xf numFmtId="172" fontId="16" fillId="0" borderId="13" xfId="20" applyNumberFormat="1" applyFont="1" applyFill="1" applyBorder="1"/>
    <xf numFmtId="172" fontId="26" fillId="0" borderId="13" xfId="20" applyNumberFormat="1" applyFont="1" applyFill="1" applyBorder="1"/>
    <xf numFmtId="172" fontId="26" fillId="0" borderId="14" xfId="20" applyNumberFormat="1" applyFont="1" applyFill="1" applyBorder="1"/>
    <xf numFmtId="172" fontId="0" fillId="0" borderId="15" xfId="0" applyNumberFormat="1" applyBorder="1"/>
    <xf numFmtId="172" fontId="0" fillId="0" borderId="0" xfId="0" applyNumberFormat="1"/>
    <xf numFmtId="172" fontId="14" fillId="0" borderId="0" xfId="0" applyNumberFormat="1" applyFont="1"/>
    <xf numFmtId="172" fontId="14" fillId="0" borderId="16" xfId="0" applyNumberFormat="1" applyFont="1" applyBorder="1"/>
    <xf numFmtId="172" fontId="0" fillId="0" borderId="17" xfId="0" applyNumberFormat="1" applyBorder="1"/>
    <xf numFmtId="172" fontId="0" fillId="0" borderId="18" xfId="0" applyNumberFormat="1" applyBorder="1"/>
    <xf numFmtId="172" fontId="14" fillId="0" borderId="18" xfId="0" applyNumberFormat="1" applyFont="1" applyBorder="1"/>
    <xf numFmtId="172" fontId="14" fillId="0" borderId="19" xfId="0" applyNumberFormat="1" applyFont="1" applyBorder="1"/>
    <xf numFmtId="172" fontId="16" fillId="0" borderId="20" xfId="20" applyNumberFormat="1" applyFont="1" applyFill="1" applyBorder="1"/>
    <xf numFmtId="172" fontId="16" fillId="0" borderId="11" xfId="20" applyNumberFormat="1" applyFont="1" applyFill="1" applyBorder="1"/>
    <xf numFmtId="172" fontId="26" fillId="0" borderId="11" xfId="20" applyNumberFormat="1" applyFont="1" applyFill="1" applyBorder="1"/>
    <xf numFmtId="172" fontId="26" fillId="0" borderId="21" xfId="20" applyNumberFormat="1" applyFont="1" applyFill="1" applyBorder="1"/>
    <xf numFmtId="172" fontId="16" fillId="0" borderId="18" xfId="0" applyNumberFormat="1" applyFont="1" applyBorder="1"/>
    <xf numFmtId="172" fontId="16" fillId="0" borderId="19" xfId="0" applyNumberFormat="1" applyFont="1" applyBorder="1"/>
    <xf numFmtId="0" fontId="13" fillId="39" borderId="12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14" fillId="0" borderId="16" xfId="0" applyFont="1" applyBorder="1"/>
    <xf numFmtId="2" fontId="14" fillId="0" borderId="0" xfId="0" applyNumberFormat="1" applyFont="1"/>
    <xf numFmtId="168" fontId="14" fillId="0" borderId="16" xfId="0" applyNumberFormat="1" applyFont="1" applyBorder="1"/>
    <xf numFmtId="0" fontId="14" fillId="0" borderId="18" xfId="0" applyFont="1" applyBorder="1"/>
    <xf numFmtId="0" fontId="14" fillId="0" borderId="19" xfId="0" applyFont="1" applyBorder="1"/>
    <xf numFmtId="2" fontId="14" fillId="0" borderId="18" xfId="0" applyNumberFormat="1" applyFont="1" applyBorder="1"/>
    <xf numFmtId="0" fontId="0" fillId="0" borderId="11" xfId="0" applyBorder="1"/>
    <xf numFmtId="0" fontId="14" fillId="0" borderId="11" xfId="0" applyFont="1" applyBorder="1"/>
    <xf numFmtId="0" fontId="14" fillId="0" borderId="21" xfId="0" applyFont="1" applyBorder="1"/>
    <xf numFmtId="0" fontId="0" fillId="34" borderId="20" xfId="0" applyFill="1" applyBorder="1"/>
    <xf numFmtId="0" fontId="0" fillId="34" borderId="21" xfId="0" applyFill="1" applyBorder="1"/>
    <xf numFmtId="0" fontId="16" fillId="34" borderId="15" xfId="0" applyFont="1" applyFill="1" applyBorder="1"/>
    <xf numFmtId="0" fontId="16" fillId="34" borderId="17" xfId="0" applyFont="1" applyFill="1" applyBorder="1"/>
    <xf numFmtId="0" fontId="0" fillId="0" borderId="14" xfId="0" applyBorder="1"/>
    <xf numFmtId="9" fontId="0" fillId="0" borderId="15" xfId="47" applyFont="1" applyBorder="1"/>
    <xf numFmtId="9" fontId="0" fillId="0" borderId="0" xfId="47" applyFont="1" applyBorder="1"/>
    <xf numFmtId="9" fontId="0" fillId="0" borderId="16" xfId="47" applyFont="1" applyBorder="1"/>
    <xf numFmtId="9" fontId="0" fillId="0" borderId="17" xfId="47" applyFont="1" applyBorder="1"/>
    <xf numFmtId="9" fontId="0" fillId="0" borderId="18" xfId="47" applyFont="1" applyBorder="1"/>
    <xf numFmtId="9" fontId="0" fillId="0" borderId="19" xfId="47" applyFont="1" applyBorder="1"/>
    <xf numFmtId="0" fontId="16" fillId="35" borderId="12" xfId="0" applyFont="1" applyFill="1" applyBorder="1"/>
    <xf numFmtId="0" fontId="16" fillId="35" borderId="14" xfId="0" applyFont="1" applyFill="1" applyBorder="1"/>
    <xf numFmtId="0" fontId="16" fillId="35" borderId="15" xfId="0" applyFont="1" applyFill="1" applyBorder="1"/>
    <xf numFmtId="0" fontId="16" fillId="35" borderId="16" xfId="0" applyFont="1" applyFill="1" applyBorder="1"/>
    <xf numFmtId="0" fontId="48" fillId="0" borderId="0" xfId="50" applyFont="1"/>
    <xf numFmtId="177" fontId="0" fillId="0" borderId="0" xfId="0" applyNumberFormat="1"/>
    <xf numFmtId="0" fontId="0" fillId="46" borderId="0" xfId="0" applyFill="1"/>
    <xf numFmtId="176" fontId="0" fillId="0" borderId="0" xfId="0" applyNumberFormat="1"/>
    <xf numFmtId="2" fontId="30" fillId="0" borderId="0" xfId="0" applyNumberFormat="1" applyFont="1"/>
    <xf numFmtId="2" fontId="30" fillId="40" borderId="0" xfId="0" applyNumberFormat="1" applyFont="1" applyFill="1"/>
    <xf numFmtId="0" fontId="16" fillId="0" borderId="0" xfId="0" applyFont="1" applyAlignment="1">
      <alignment horizontal="center" vertical="center" wrapText="1"/>
    </xf>
    <xf numFmtId="168" fontId="0" fillId="0" borderId="0" xfId="0" applyNumberFormat="1" applyAlignment="1">
      <alignment wrapText="1"/>
    </xf>
    <xf numFmtId="168" fontId="14" fillId="0" borderId="0" xfId="0" applyNumberFormat="1" applyFont="1" applyAlignment="1">
      <alignment wrapText="1"/>
    </xf>
    <xf numFmtId="168" fontId="16" fillId="0" borderId="0" xfId="0" applyNumberFormat="1" applyFont="1" applyAlignment="1">
      <alignment wrapText="1"/>
    </xf>
    <xf numFmtId="168" fontId="26" fillId="0" borderId="0" xfId="0" applyNumberFormat="1" applyFont="1" applyAlignment="1">
      <alignment wrapText="1"/>
    </xf>
    <xf numFmtId="168" fontId="16" fillId="0" borderId="15" xfId="0" applyNumberFormat="1" applyFont="1" applyBorder="1" applyAlignment="1">
      <alignment wrapText="1"/>
    </xf>
    <xf numFmtId="168" fontId="26" fillId="0" borderId="16" xfId="0" applyNumberFormat="1" applyFont="1" applyBorder="1" applyAlignment="1">
      <alignment wrapText="1"/>
    </xf>
    <xf numFmtId="168" fontId="0" fillId="0" borderId="15" xfId="0" applyNumberFormat="1" applyBorder="1" applyAlignment="1">
      <alignment wrapText="1"/>
    </xf>
    <xf numFmtId="168" fontId="14" fillId="0" borderId="16" xfId="0" applyNumberFormat="1" applyFont="1" applyBorder="1" applyAlignment="1">
      <alignment wrapText="1"/>
    </xf>
    <xf numFmtId="168" fontId="0" fillId="0" borderId="17" xfId="0" applyNumberFormat="1" applyBorder="1" applyAlignment="1">
      <alignment wrapText="1"/>
    </xf>
    <xf numFmtId="168" fontId="0" fillId="0" borderId="18" xfId="0" applyNumberFormat="1" applyBorder="1" applyAlignment="1">
      <alignment wrapText="1"/>
    </xf>
    <xf numFmtId="168" fontId="14" fillId="0" borderId="18" xfId="0" applyNumberFormat="1" applyFont="1" applyBorder="1" applyAlignment="1">
      <alignment wrapText="1"/>
    </xf>
    <xf numFmtId="168" fontId="14" fillId="0" borderId="19" xfId="0" applyNumberFormat="1" applyFont="1" applyBorder="1" applyAlignment="1">
      <alignment wrapText="1"/>
    </xf>
    <xf numFmtId="168" fontId="16" fillId="0" borderId="17" xfId="0" applyNumberFormat="1" applyFont="1" applyBorder="1" applyAlignment="1">
      <alignment wrapText="1"/>
    </xf>
    <xf numFmtId="168" fontId="16" fillId="0" borderId="18" xfId="0" applyNumberFormat="1" applyFont="1" applyBorder="1" applyAlignment="1">
      <alignment wrapText="1"/>
    </xf>
    <xf numFmtId="168" fontId="26" fillId="0" borderId="18" xfId="0" applyNumberFormat="1" applyFont="1" applyBorder="1" applyAlignment="1">
      <alignment wrapText="1"/>
    </xf>
    <xf numFmtId="168" fontId="16" fillId="0" borderId="18" xfId="0" applyNumberFormat="1" applyFont="1" applyBorder="1"/>
    <xf numFmtId="168" fontId="16" fillId="0" borderId="19" xfId="0" applyNumberFormat="1" applyFont="1" applyBorder="1"/>
    <xf numFmtId="0" fontId="16" fillId="0" borderId="0" xfId="0" applyFont="1" applyAlignment="1">
      <alignment horizontal="left" vertical="center" wrapText="1"/>
    </xf>
    <xf numFmtId="0" fontId="16" fillId="34" borderId="20" xfId="0" applyFont="1" applyFill="1" applyBorder="1" applyAlignment="1">
      <alignment horizontal="left" vertical="center" wrapText="1"/>
    </xf>
    <xf numFmtId="0" fontId="16" fillId="35" borderId="20" xfId="0" applyFont="1" applyFill="1" applyBorder="1" applyAlignment="1">
      <alignment horizontal="left" vertical="center" wrapText="1"/>
    </xf>
    <xf numFmtId="0" fontId="13" fillId="39" borderId="18" xfId="0" applyFont="1" applyFill="1" applyBorder="1" applyAlignment="1">
      <alignment horizontal="center" vertical="center"/>
    </xf>
    <xf numFmtId="0" fontId="16" fillId="35" borderId="20" xfId="0" applyFont="1" applyFill="1" applyBorder="1"/>
    <xf numFmtId="0" fontId="16" fillId="35" borderId="11" xfId="0" applyFont="1" applyFill="1" applyBorder="1"/>
    <xf numFmtId="0" fontId="16" fillId="35" borderId="21" xfId="0" applyFont="1" applyFill="1" applyBorder="1"/>
    <xf numFmtId="168" fontId="16" fillId="0" borderId="20" xfId="0" applyNumberFormat="1" applyFont="1" applyBorder="1"/>
    <xf numFmtId="168" fontId="16" fillId="0" borderId="11" xfId="0" applyNumberFormat="1" applyFont="1" applyBorder="1"/>
    <xf numFmtId="168" fontId="16" fillId="0" borderId="21" xfId="0" applyNumberFormat="1" applyFont="1" applyBorder="1"/>
    <xf numFmtId="168" fontId="0" fillId="0" borderId="13" xfId="0" applyNumberFormat="1" applyBorder="1"/>
    <xf numFmtId="168" fontId="0" fillId="0" borderId="14" xfId="0" applyNumberFormat="1" applyBorder="1"/>
    <xf numFmtId="168" fontId="0" fillId="0" borderId="16" xfId="0" applyNumberFormat="1" applyBorder="1"/>
    <xf numFmtId="168" fontId="16" fillId="0" borderId="0" xfId="0" applyNumberFormat="1" applyFont="1"/>
    <xf numFmtId="168" fontId="16" fillId="0" borderId="16" xfId="0" applyNumberFormat="1" applyFont="1" applyBorder="1"/>
    <xf numFmtId="0" fontId="0" fillId="35" borderId="13" xfId="0" applyFill="1" applyBorder="1"/>
    <xf numFmtId="0" fontId="0" fillId="35" borderId="14" xfId="0" applyFill="1" applyBorder="1"/>
    <xf numFmtId="168" fontId="0" fillId="35" borderId="0" xfId="0" applyNumberFormat="1" applyFill="1"/>
    <xf numFmtId="168" fontId="0" fillId="35" borderId="16" xfId="0" applyNumberFormat="1" applyFill="1" applyBorder="1"/>
    <xf numFmtId="168" fontId="16" fillId="35" borderId="16" xfId="0" applyNumberFormat="1" applyFont="1" applyFill="1" applyBorder="1"/>
    <xf numFmtId="168" fontId="16" fillId="35" borderId="19" xfId="0" applyNumberFormat="1" applyFont="1" applyFill="1" applyBorder="1"/>
    <xf numFmtId="2" fontId="0" fillId="0" borderId="0" xfId="0" applyNumberFormat="1" applyAlignment="1">
      <alignment wrapText="1"/>
    </xf>
    <xf numFmtId="0" fontId="16" fillId="0" borderId="0" xfId="0" applyFont="1" applyAlignment="1">
      <alignment vertical="center" wrapText="1"/>
    </xf>
    <xf numFmtId="168" fontId="14" fillId="0" borderId="0" xfId="0" applyNumberFormat="1" applyFont="1"/>
    <xf numFmtId="2" fontId="0" fillId="0" borderId="13" xfId="0" applyNumberFormat="1" applyBorder="1" applyAlignment="1">
      <alignment wrapText="1"/>
    </xf>
    <xf numFmtId="2" fontId="14" fillId="0" borderId="13" xfId="0" applyNumberFormat="1" applyFont="1" applyBorder="1"/>
    <xf numFmtId="2" fontId="14" fillId="0" borderId="14" xfId="0" applyNumberFormat="1" applyFont="1" applyBorder="1"/>
    <xf numFmtId="2" fontId="14" fillId="0" borderId="16" xfId="0" applyNumberFormat="1" applyFont="1" applyBorder="1"/>
    <xf numFmtId="2" fontId="0" fillId="0" borderId="18" xfId="0" applyNumberFormat="1" applyBorder="1" applyAlignment="1">
      <alignment wrapText="1"/>
    </xf>
    <xf numFmtId="2" fontId="14" fillId="0" borderId="19" xfId="0" applyNumberFormat="1" applyFont="1" applyBorder="1"/>
    <xf numFmtId="168" fontId="0" fillId="0" borderId="13" xfId="0" applyNumberFormat="1" applyBorder="1" applyAlignment="1">
      <alignment wrapText="1"/>
    </xf>
    <xf numFmtId="168" fontId="14" fillId="0" borderId="13" xfId="0" applyNumberFormat="1" applyFont="1" applyBorder="1"/>
    <xf numFmtId="168" fontId="14" fillId="0" borderId="14" xfId="0" applyNumberFormat="1" applyFont="1" applyBorder="1"/>
    <xf numFmtId="168" fontId="14" fillId="0" borderId="18" xfId="0" applyNumberFormat="1" applyFont="1" applyBorder="1"/>
    <xf numFmtId="168" fontId="14" fillId="0" borderId="19" xfId="0" applyNumberFormat="1" applyFont="1" applyBorder="1"/>
    <xf numFmtId="168" fontId="0" fillId="0" borderId="16" xfId="0" applyNumberFormat="1" applyBorder="1" applyAlignment="1">
      <alignment wrapText="1"/>
    </xf>
    <xf numFmtId="168" fontId="0" fillId="0" borderId="19" xfId="0" applyNumberFormat="1" applyBorder="1" applyAlignment="1">
      <alignment wrapText="1"/>
    </xf>
    <xf numFmtId="168" fontId="0" fillId="35" borderId="18" xfId="0" applyNumberFormat="1" applyFill="1" applyBorder="1"/>
    <xf numFmtId="168" fontId="16" fillId="0" borderId="11" xfId="0" applyNumberFormat="1" applyFont="1" applyBorder="1" applyAlignment="1">
      <alignment wrapText="1"/>
    </xf>
    <xf numFmtId="168" fontId="26" fillId="0" borderId="11" xfId="0" applyNumberFormat="1" applyFont="1" applyBorder="1" applyAlignment="1">
      <alignment wrapText="1"/>
    </xf>
    <xf numFmtId="168" fontId="16" fillId="0" borderId="21" xfId="0" applyNumberFormat="1" applyFont="1" applyBorder="1" applyAlignment="1">
      <alignment wrapText="1"/>
    </xf>
    <xf numFmtId="168" fontId="16" fillId="0" borderId="13" xfId="0" applyNumberFormat="1" applyFont="1" applyBorder="1" applyAlignment="1">
      <alignment wrapText="1"/>
    </xf>
    <xf numFmtId="168" fontId="26" fillId="0" borderId="13" xfId="0" applyNumberFormat="1" applyFont="1" applyBorder="1" applyAlignment="1">
      <alignment wrapText="1"/>
    </xf>
    <xf numFmtId="168" fontId="16" fillId="0" borderId="14" xfId="0" applyNumberFormat="1" applyFont="1" applyBorder="1" applyAlignment="1">
      <alignment wrapText="1"/>
    </xf>
    <xf numFmtId="168" fontId="16" fillId="0" borderId="16" xfId="0" applyNumberFormat="1" applyFont="1" applyBorder="1" applyAlignment="1">
      <alignment wrapText="1"/>
    </xf>
    <xf numFmtId="0" fontId="16" fillId="34" borderId="12" xfId="0" applyFont="1" applyFill="1" applyBorder="1" applyAlignment="1">
      <alignment vertical="center" wrapText="1"/>
    </xf>
    <xf numFmtId="0" fontId="16" fillId="34" borderId="17" xfId="0" applyFont="1" applyFill="1" applyBorder="1" applyAlignment="1">
      <alignment vertical="center" wrapText="1"/>
    </xf>
    <xf numFmtId="0" fontId="16" fillId="34" borderId="15" xfId="0" applyFont="1" applyFill="1" applyBorder="1" applyAlignment="1">
      <alignment vertical="center" wrapText="1"/>
    </xf>
    <xf numFmtId="0" fontId="16" fillId="34" borderId="11" xfId="0" applyFont="1" applyFill="1" applyBorder="1" applyAlignment="1">
      <alignment vertical="center" wrapText="1"/>
    </xf>
    <xf numFmtId="0" fontId="16" fillId="34" borderId="21" xfId="0" applyFont="1" applyFill="1" applyBorder="1" applyAlignment="1">
      <alignment vertical="center" wrapText="1"/>
    </xf>
    <xf numFmtId="0" fontId="0" fillId="40" borderId="0" xfId="0" applyFill="1"/>
    <xf numFmtId="2" fontId="26" fillId="42" borderId="0" xfId="0" applyNumberFormat="1" applyFont="1" applyFill="1" applyAlignment="1">
      <alignment horizontal="center"/>
    </xf>
    <xf numFmtId="168" fontId="31" fillId="0" borderId="18" xfId="0" applyNumberFormat="1" applyFont="1" applyBorder="1" applyAlignment="1">
      <alignment wrapText="1"/>
    </xf>
    <xf numFmtId="2" fontId="31" fillId="0" borderId="0" xfId="0" applyNumberFormat="1" applyFont="1" applyAlignment="1">
      <alignment vertical="center"/>
    </xf>
    <xf numFmtId="0" fontId="16" fillId="18" borderId="0" xfId="27" applyFont="1"/>
    <xf numFmtId="0" fontId="30" fillId="89" borderId="30" xfId="0" applyFont="1" applyFill="1" applyBorder="1" applyAlignment="1">
      <alignment vertical="center"/>
    </xf>
    <xf numFmtId="0" fontId="115" fillId="0" borderId="0" xfId="50" applyFont="1"/>
    <xf numFmtId="3" fontId="116" fillId="0" borderId="23" xfId="0" applyNumberFormat="1" applyFont="1" applyBorder="1" applyAlignment="1">
      <alignment vertical="center"/>
    </xf>
    <xf numFmtId="3" fontId="116" fillId="0" borderId="24" xfId="0" applyNumberFormat="1" applyFont="1" applyBorder="1" applyAlignment="1">
      <alignment vertical="center"/>
    </xf>
    <xf numFmtId="2" fontId="1" fillId="18" borderId="18" xfId="27" applyNumberFormat="1" applyBorder="1"/>
    <xf numFmtId="2" fontId="40" fillId="40" borderId="0" xfId="0" applyNumberFormat="1" applyFont="1" applyFill="1"/>
    <xf numFmtId="176" fontId="31" fillId="0" borderId="0" xfId="0" applyNumberFormat="1" applyFont="1" applyAlignment="1">
      <alignment vertical="center"/>
    </xf>
    <xf numFmtId="10" fontId="42" fillId="4" borderId="0" xfId="8" applyNumberFormat="1" applyFont="1" applyAlignment="1">
      <alignment vertical="center"/>
    </xf>
    <xf numFmtId="177" fontId="30" fillId="0" borderId="0" xfId="0" applyNumberFormat="1" applyFont="1" applyAlignment="1">
      <alignment vertical="center"/>
    </xf>
    <xf numFmtId="192" fontId="0" fillId="0" borderId="0" xfId="0" applyNumberFormat="1" applyAlignment="1">
      <alignment horizontal="center" vertical="center"/>
    </xf>
    <xf numFmtId="193" fontId="30" fillId="0" borderId="0" xfId="0" applyNumberFormat="1" applyFont="1" applyAlignment="1">
      <alignment vertical="center"/>
    </xf>
    <xf numFmtId="191" fontId="16" fillId="41" borderId="0" xfId="0" applyNumberFormat="1" applyFont="1" applyFill="1"/>
    <xf numFmtId="1" fontId="30" fillId="0" borderId="12" xfId="0" applyNumberFormat="1" applyFont="1" applyBorder="1" applyAlignment="1">
      <alignment vertical="center"/>
    </xf>
    <xf numFmtId="1" fontId="30" fillId="0" borderId="13" xfId="0" applyNumberFormat="1" applyFont="1" applyBorder="1" applyAlignment="1">
      <alignment vertical="center"/>
    </xf>
    <xf numFmtId="1" fontId="30" fillId="0" borderId="14" xfId="0" applyNumberFormat="1" applyFont="1" applyBorder="1" applyAlignment="1">
      <alignment vertical="center"/>
    </xf>
    <xf numFmtId="1" fontId="30" fillId="0" borderId="17" xfId="0" applyNumberFormat="1" applyFont="1" applyBorder="1" applyAlignment="1">
      <alignment vertical="center"/>
    </xf>
    <xf numFmtId="1" fontId="30" fillId="0" borderId="18" xfId="0" applyNumberFormat="1" applyFont="1" applyBorder="1" applyAlignment="1">
      <alignment vertical="center"/>
    </xf>
    <xf numFmtId="1" fontId="30" fillId="0" borderId="19" xfId="0" applyNumberFormat="1" applyFont="1" applyBorder="1" applyAlignment="1">
      <alignment vertical="center"/>
    </xf>
    <xf numFmtId="2" fontId="0" fillId="0" borderId="0" xfId="0" applyNumberFormat="1" applyAlignment="1">
      <alignment horizontal="right"/>
    </xf>
    <xf numFmtId="2" fontId="0" fillId="40" borderId="0" xfId="0" applyNumberFormat="1" applyFill="1" applyAlignment="1">
      <alignment horizontal="right"/>
    </xf>
    <xf numFmtId="191" fontId="30" fillId="0" borderId="0" xfId="0" applyNumberFormat="1" applyFont="1" applyAlignment="1">
      <alignment vertical="center"/>
    </xf>
    <xf numFmtId="176" fontId="40" fillId="40" borderId="0" xfId="0" applyNumberFormat="1" applyFont="1" applyFill="1"/>
    <xf numFmtId="9" fontId="0" fillId="0" borderId="0" xfId="47" applyFont="1"/>
    <xf numFmtId="3" fontId="0" fillId="40" borderId="0" xfId="0" applyNumberFormat="1" applyFill="1"/>
    <xf numFmtId="3" fontId="16" fillId="40" borderId="13" xfId="20" applyNumberFormat="1" applyFont="1" applyFill="1" applyBorder="1"/>
    <xf numFmtId="191" fontId="0" fillId="0" borderId="0" xfId="0" applyNumberFormat="1"/>
    <xf numFmtId="1" fontId="30" fillId="0" borderId="0" xfId="0" applyNumberFormat="1" applyFont="1"/>
    <xf numFmtId="193" fontId="0" fillId="0" borderId="0" xfId="0" applyNumberFormat="1"/>
    <xf numFmtId="9" fontId="0" fillId="0" borderId="0" xfId="47" applyFont="1" applyFill="1" applyBorder="1"/>
    <xf numFmtId="0" fontId="117" fillId="0" borderId="0" xfId="50" applyFont="1"/>
    <xf numFmtId="0" fontId="118" fillId="9" borderId="0" xfId="18" applyFont="1"/>
    <xf numFmtId="0" fontId="119" fillId="33" borderId="30" xfId="0" applyFont="1" applyFill="1" applyBorder="1" applyAlignment="1">
      <alignment vertical="center"/>
    </xf>
    <xf numFmtId="1" fontId="119" fillId="43" borderId="30" xfId="0" applyNumberFormat="1" applyFont="1" applyFill="1" applyBorder="1" applyAlignment="1">
      <alignment vertical="center"/>
    </xf>
    <xf numFmtId="168" fontId="117" fillId="0" borderId="0" xfId="50" applyNumberFormat="1" applyFont="1"/>
    <xf numFmtId="9" fontId="117" fillId="0" borderId="0" xfId="47" applyFont="1"/>
    <xf numFmtId="0" fontId="117" fillId="0" borderId="0" xfId="50" quotePrefix="1" applyFont="1" applyAlignment="1">
      <alignment horizontal="center" vertical="center" wrapText="1"/>
    </xf>
    <xf numFmtId="0" fontId="117" fillId="0" borderId="0" xfId="50" applyFont="1" applyAlignment="1">
      <alignment horizontal="center" vertical="center" wrapText="1"/>
    </xf>
    <xf numFmtId="0" fontId="120" fillId="0" borderId="0" xfId="0" applyFont="1"/>
    <xf numFmtId="2" fontId="117" fillId="0" borderId="0" xfId="50" applyNumberFormat="1" applyFont="1"/>
    <xf numFmtId="0" fontId="118" fillId="0" borderId="0" xfId="18" applyFont="1" applyFill="1"/>
    <xf numFmtId="0" fontId="121" fillId="0" borderId="0" xfId="50" applyFont="1"/>
    <xf numFmtId="0" fontId="121" fillId="0" borderId="0" xfId="50" applyFont="1" applyAlignment="1">
      <alignment vertical="center"/>
    </xf>
    <xf numFmtId="0" fontId="122" fillId="0" borderId="0" xfId="50" applyFont="1"/>
    <xf numFmtId="0" fontId="117" fillId="0" borderId="11" xfId="50" applyFont="1" applyBorder="1" applyAlignment="1">
      <alignment horizontal="center" vertical="center" wrapText="1"/>
    </xf>
    <xf numFmtId="0" fontId="31" fillId="90" borderId="30" xfId="0" applyFont="1" applyFill="1" applyBorder="1"/>
    <xf numFmtId="1" fontId="0" fillId="91" borderId="0" xfId="0" applyNumberFormat="1" applyFill="1"/>
    <xf numFmtId="1" fontId="0" fillId="0" borderId="18" xfId="0" applyNumberFormat="1" applyBorder="1"/>
    <xf numFmtId="168" fontId="0" fillId="0" borderId="18" xfId="0" applyNumberFormat="1" applyBorder="1"/>
    <xf numFmtId="0" fontId="18" fillId="50" borderId="0" xfId="469"/>
    <xf numFmtId="0" fontId="53" fillId="50" borderId="0" xfId="469" applyFont="1"/>
    <xf numFmtId="0" fontId="27" fillId="0" borderId="0" xfId="0" applyFont="1" applyAlignment="1">
      <alignment horizontal="right"/>
    </xf>
    <xf numFmtId="0" fontId="27" fillId="42" borderId="0" xfId="0" applyFont="1" applyFill="1" applyAlignment="1">
      <alignment horizontal="right"/>
    </xf>
    <xf numFmtId="2" fontId="16" fillId="42" borderId="0" xfId="0" applyNumberFormat="1" applyFont="1" applyFill="1" applyAlignment="1">
      <alignment horizontal="center"/>
    </xf>
    <xf numFmtId="168" fontId="16" fillId="42" borderId="0" xfId="0" applyNumberFormat="1" applyFont="1" applyFill="1" applyAlignment="1">
      <alignment horizontal="center"/>
    </xf>
    <xf numFmtId="9" fontId="0" fillId="92" borderId="0" xfId="47" applyFont="1" applyFill="1" applyBorder="1"/>
    <xf numFmtId="0" fontId="123" fillId="93" borderId="0" xfId="42" applyFont="1" applyFill="1" applyAlignment="1">
      <alignment vertical="center"/>
    </xf>
    <xf numFmtId="0" fontId="124" fillId="94" borderId="11" xfId="42" applyFont="1" applyFill="1" applyBorder="1" applyAlignment="1">
      <alignment horizontal="left" vertical="center"/>
    </xf>
    <xf numFmtId="194" fontId="123" fillId="93" borderId="0" xfId="42" applyNumberFormat="1" applyFont="1" applyFill="1" applyAlignment="1">
      <alignment vertical="center"/>
    </xf>
    <xf numFmtId="194" fontId="123" fillId="0" borderId="0" xfId="42" applyNumberFormat="1" applyFont="1" applyFill="1" applyAlignment="1">
      <alignment vertical="center"/>
    </xf>
    <xf numFmtId="0" fontId="125" fillId="95" borderId="11" xfId="42" applyFont="1" applyFill="1" applyBorder="1" applyAlignment="1">
      <alignment horizontal="left" vertical="center" indent="1"/>
    </xf>
    <xf numFmtId="0" fontId="123" fillId="93" borderId="0" xfId="42" applyFont="1" applyFill="1" applyAlignment="1">
      <alignment horizontal="left" vertical="center" indent="2"/>
    </xf>
    <xf numFmtId="194" fontId="123" fillId="92" borderId="0" xfId="42" applyNumberFormat="1" applyFont="1" applyFill="1" applyAlignment="1">
      <alignment vertical="center"/>
    </xf>
    <xf numFmtId="0" fontId="123" fillId="0" borderId="0" xfId="42" applyFont="1" applyAlignment="1">
      <alignment vertical="center"/>
    </xf>
    <xf numFmtId="0" fontId="126" fillId="38" borderId="11" xfId="42" applyFont="1" applyFill="1" applyBorder="1" applyAlignment="1">
      <alignment horizontal="left" vertical="center"/>
    </xf>
    <xf numFmtId="0" fontId="123" fillId="93" borderId="52" xfId="42" applyFont="1" applyFill="1" applyBorder="1" applyAlignment="1">
      <alignment horizontal="left" vertical="center" indent="2"/>
    </xf>
    <xf numFmtId="195" fontId="123" fillId="0" borderId="0" xfId="42" applyNumberFormat="1" applyFont="1" applyFill="1" applyAlignment="1">
      <alignment vertical="center"/>
    </xf>
    <xf numFmtId="2" fontId="123" fillId="0" borderId="0" xfId="42" applyNumberFormat="1" applyFont="1" applyAlignment="1">
      <alignment vertical="center"/>
    </xf>
    <xf numFmtId="0" fontId="123" fillId="40" borderId="0" xfId="42" applyFont="1" applyFill="1" applyAlignment="1">
      <alignment horizontal="left" vertical="center" indent="2"/>
    </xf>
    <xf numFmtId="0" fontId="123" fillId="40" borderId="0" xfId="42" applyFont="1" applyFill="1" applyAlignment="1">
      <alignment vertical="center"/>
    </xf>
    <xf numFmtId="171" fontId="123" fillId="93" borderId="0" xfId="47" applyNumberFormat="1" applyFont="1" applyFill="1" applyAlignment="1">
      <alignment vertical="center"/>
    </xf>
    <xf numFmtId="0" fontId="0" fillId="0" borderId="13" xfId="0" applyBorder="1" applyAlignment="1">
      <alignment horizontal="left" indent="1"/>
    </xf>
    <xf numFmtId="1" fontId="0" fillId="0" borderId="13" xfId="0" applyNumberFormat="1" applyBorder="1"/>
    <xf numFmtId="0" fontId="0" fillId="0" borderId="18" xfId="0" applyBorder="1" applyAlignment="1">
      <alignment horizontal="left" indent="1"/>
    </xf>
    <xf numFmtId="2" fontId="0" fillId="0" borderId="18" xfId="0" applyNumberFormat="1" applyBorder="1"/>
    <xf numFmtId="0" fontId="123" fillId="93" borderId="12" xfId="42" applyFont="1" applyFill="1" applyBorder="1" applyAlignment="1">
      <alignment horizontal="left" vertical="center" indent="2"/>
    </xf>
    <xf numFmtId="194" fontId="123" fillId="0" borderId="13" xfId="42" applyNumberFormat="1" applyFont="1" applyFill="1" applyBorder="1" applyAlignment="1">
      <alignment vertical="center"/>
    </xf>
    <xf numFmtId="194" fontId="123" fillId="0" borderId="14" xfId="42" applyNumberFormat="1" applyFont="1" applyFill="1" applyBorder="1" applyAlignment="1">
      <alignment vertical="center"/>
    </xf>
    <xf numFmtId="0" fontId="123" fillId="93" borderId="17" xfId="42" applyFont="1" applyFill="1" applyBorder="1" applyAlignment="1">
      <alignment horizontal="left" vertical="center" indent="2"/>
    </xf>
    <xf numFmtId="194" fontId="123" fillId="0" borderId="18" xfId="42" applyNumberFormat="1" applyFont="1" applyFill="1" applyBorder="1" applyAlignment="1">
      <alignment vertical="center"/>
    </xf>
    <xf numFmtId="0" fontId="123" fillId="93" borderId="15" xfId="42" applyFont="1" applyFill="1" applyBorder="1" applyAlignment="1">
      <alignment horizontal="left" vertical="center" indent="2"/>
    </xf>
    <xf numFmtId="9" fontId="0" fillId="96" borderId="0" xfId="47" applyFont="1" applyFill="1" applyBorder="1"/>
    <xf numFmtId="9" fontId="0" fillId="96" borderId="18" xfId="47" applyFont="1" applyFill="1" applyBorder="1"/>
    <xf numFmtId="9" fontId="0" fillId="96" borderId="16" xfId="47" applyFont="1" applyFill="1" applyBorder="1"/>
    <xf numFmtId="9" fontId="0" fillId="96" borderId="19" xfId="47" applyFont="1" applyFill="1" applyBorder="1"/>
    <xf numFmtId="177" fontId="40" fillId="40" borderId="0" xfId="0" applyNumberFormat="1" applyFont="1" applyFill="1"/>
    <xf numFmtId="1" fontId="0" fillId="40" borderId="0" xfId="0" applyNumberFormat="1" applyFill="1"/>
    <xf numFmtId="0" fontId="127" fillId="0" borderId="0" xfId="0" applyFont="1"/>
    <xf numFmtId="0" fontId="128" fillId="0" borderId="0" xfId="0" applyFont="1" applyAlignment="1">
      <alignment vertical="center"/>
    </xf>
    <xf numFmtId="191" fontId="0" fillId="40" borderId="0" xfId="0" applyNumberFormat="1" applyFill="1"/>
    <xf numFmtId="0" fontId="16" fillId="0" borderId="53" xfId="0" applyFont="1" applyBorder="1" applyAlignment="1">
      <alignment horizontal="left" vertical="center" wrapText="1"/>
    </xf>
    <xf numFmtId="0" fontId="16" fillId="0" borderId="54" xfId="0" applyFont="1" applyBorder="1" applyAlignment="1">
      <alignment horizontal="left" vertical="center" wrapText="1"/>
    </xf>
    <xf numFmtId="0" fontId="13" fillId="39" borderId="55" xfId="0" applyFont="1" applyFill="1" applyBorder="1" applyAlignment="1">
      <alignment horizontal="center" vertical="center"/>
    </xf>
    <xf numFmtId="168" fontId="16" fillId="0" borderId="56" xfId="0" applyNumberFormat="1" applyFont="1" applyBorder="1" applyAlignment="1">
      <alignment wrapText="1"/>
    </xf>
    <xf numFmtId="168" fontId="16" fillId="0" borderId="54" xfId="0" applyNumberFormat="1" applyFont="1" applyBorder="1" applyAlignment="1">
      <alignment wrapText="1"/>
    </xf>
    <xf numFmtId="168" fontId="0" fillId="0" borderId="54" xfId="0" applyNumberFormat="1" applyBorder="1" applyAlignment="1">
      <alignment wrapText="1"/>
    </xf>
    <xf numFmtId="168" fontId="0" fillId="0" borderId="56" xfId="0" applyNumberFormat="1" applyBorder="1" applyAlignment="1">
      <alignment wrapText="1"/>
    </xf>
    <xf numFmtId="0" fontId="0" fillId="0" borderId="54" xfId="0" applyBorder="1"/>
    <xf numFmtId="168" fontId="0" fillId="0" borderId="54" xfId="0" applyNumberFormat="1" applyBorder="1"/>
    <xf numFmtId="168" fontId="16" fillId="0" borderId="55" xfId="0" applyNumberFormat="1" applyFont="1" applyBorder="1"/>
    <xf numFmtId="168" fontId="0" fillId="0" borderId="57" xfId="0" applyNumberFormat="1" applyBorder="1"/>
    <xf numFmtId="168" fontId="16" fillId="0" borderId="54" xfId="0" applyNumberFormat="1" applyFont="1" applyBorder="1"/>
    <xf numFmtId="168" fontId="16" fillId="0" borderId="56" xfId="0" applyNumberFormat="1" applyFont="1" applyBorder="1"/>
    <xf numFmtId="0" fontId="16" fillId="0" borderId="54" xfId="0" applyFont="1" applyBorder="1" applyAlignment="1">
      <alignment vertical="center" wrapText="1"/>
    </xf>
    <xf numFmtId="0" fontId="16" fillId="0" borderId="54" xfId="0" applyFont="1" applyBorder="1" applyAlignment="1">
      <alignment horizontal="center" vertical="center" wrapText="1"/>
    </xf>
    <xf numFmtId="2" fontId="0" fillId="0" borderId="57" xfId="0" applyNumberFormat="1" applyBorder="1" applyAlignment="1">
      <alignment wrapText="1"/>
    </xf>
    <xf numFmtId="2" fontId="0" fillId="0" borderId="56" xfId="0" applyNumberFormat="1" applyBorder="1" applyAlignment="1">
      <alignment wrapText="1"/>
    </xf>
    <xf numFmtId="2" fontId="0" fillId="0" borderId="54" xfId="0" applyNumberFormat="1" applyBorder="1" applyAlignment="1">
      <alignment wrapText="1"/>
    </xf>
    <xf numFmtId="168" fontId="0" fillId="0" borderId="57" xfId="0" applyNumberFormat="1" applyBorder="1" applyAlignment="1">
      <alignment wrapText="1"/>
    </xf>
    <xf numFmtId="168" fontId="16" fillId="0" borderId="55" xfId="0" applyNumberFormat="1" applyFont="1" applyBorder="1" applyAlignment="1">
      <alignment wrapText="1"/>
    </xf>
    <xf numFmtId="168" fontId="16" fillId="0" borderId="57" xfId="0" applyNumberFormat="1" applyFont="1" applyBorder="1" applyAlignment="1">
      <alignment wrapText="1"/>
    </xf>
    <xf numFmtId="0" fontId="48" fillId="97" borderId="0" xfId="50" applyFont="1" applyFill="1"/>
    <xf numFmtId="0" fontId="117" fillId="97" borderId="0" xfId="50" applyFont="1" applyFill="1"/>
    <xf numFmtId="9" fontId="117" fillId="0" borderId="0" xfId="47" applyFont="1" applyBorder="1"/>
    <xf numFmtId="0" fontId="31" fillId="38" borderId="30" xfId="0" applyFont="1" applyFill="1" applyBorder="1" applyAlignment="1">
      <alignment vertical="center"/>
    </xf>
    <xf numFmtId="0" fontId="0" fillId="38" borderId="0" xfId="0" applyFill="1"/>
    <xf numFmtId="175" fontId="51" fillId="38" borderId="0" xfId="51" applyNumberFormat="1" applyFill="1" applyAlignment="1">
      <alignment vertical="center"/>
    </xf>
    <xf numFmtId="0" fontId="14" fillId="38" borderId="0" xfId="0" applyFont="1" applyFill="1"/>
    <xf numFmtId="175" fontId="17" fillId="98" borderId="0" xfId="18" applyNumberFormat="1" applyFill="1"/>
    <xf numFmtId="175" fontId="36" fillId="9" borderId="0" xfId="18" applyNumberFormat="1" applyFont="1"/>
    <xf numFmtId="0" fontId="31" fillId="40" borderId="30" xfId="0" applyFont="1" applyFill="1" applyBorder="1" applyAlignment="1">
      <alignment vertical="center"/>
    </xf>
    <xf numFmtId="0" fontId="31" fillId="35" borderId="10" xfId="0" applyFont="1" applyFill="1" applyBorder="1" applyAlignment="1">
      <alignment horizontal="center" vertical="center"/>
    </xf>
    <xf numFmtId="0" fontId="0" fillId="34" borderId="18" xfId="0" applyFill="1" applyBorder="1" applyAlignment="1">
      <alignment horizontal="left" vertical="center" wrapText="1"/>
    </xf>
    <xf numFmtId="0" fontId="16" fillId="34" borderId="11" xfId="0" applyFont="1" applyFill="1" applyBorder="1" applyAlignment="1">
      <alignment horizontal="center" vertical="center" wrapText="1"/>
    </xf>
    <xf numFmtId="0" fontId="16" fillId="34" borderId="13" xfId="0" applyFont="1" applyFill="1" applyBorder="1" applyAlignment="1">
      <alignment horizontal="left" vertical="center" wrapText="1"/>
    </xf>
    <xf numFmtId="0" fontId="0" fillId="34" borderId="0" xfId="0" applyFill="1" applyAlignment="1">
      <alignment horizontal="left" vertical="center" wrapText="1"/>
    </xf>
    <xf numFmtId="0" fontId="0" fillId="35" borderId="0" xfId="0" applyFill="1" applyAlignment="1">
      <alignment horizontal="left" vertical="center" wrapText="1"/>
    </xf>
    <xf numFmtId="0" fontId="0" fillId="35" borderId="18" xfId="0" applyFill="1" applyBorder="1" applyAlignment="1">
      <alignment horizontal="left" vertical="center" wrapText="1"/>
    </xf>
    <xf numFmtId="0" fontId="0" fillId="34" borderId="19" xfId="0" applyFill="1" applyBorder="1" applyAlignment="1">
      <alignment horizontal="left" vertical="center" wrapText="1"/>
    </xf>
    <xf numFmtId="0" fontId="0" fillId="34" borderId="13" xfId="0" applyFill="1" applyBorder="1" applyAlignment="1">
      <alignment horizontal="left" vertical="center" wrapText="1"/>
    </xf>
    <xf numFmtId="0" fontId="0" fillId="34" borderId="14" xfId="0" applyFill="1" applyBorder="1" applyAlignment="1">
      <alignment horizontal="left" vertical="center" wrapText="1"/>
    </xf>
    <xf numFmtId="0" fontId="0" fillId="34" borderId="16" xfId="0" applyFill="1" applyBorder="1" applyAlignment="1">
      <alignment horizontal="left" vertical="center" wrapText="1"/>
    </xf>
    <xf numFmtId="0" fontId="16" fillId="34" borderId="14" xfId="0" applyFont="1" applyFill="1" applyBorder="1" applyAlignment="1">
      <alignment horizontal="left" vertical="center" wrapText="1"/>
    </xf>
    <xf numFmtId="0" fontId="16" fillId="35" borderId="11" xfId="0" applyFont="1" applyFill="1" applyBorder="1" applyAlignment="1">
      <alignment horizontal="center" vertical="center" wrapText="1"/>
    </xf>
    <xf numFmtId="0" fontId="16" fillId="35" borderId="13" xfId="0" applyFont="1" applyFill="1" applyBorder="1" applyAlignment="1">
      <alignment horizontal="left" vertical="center" wrapText="1"/>
    </xf>
    <xf numFmtId="0" fontId="16" fillId="34" borderId="0" xfId="0" applyFont="1" applyFill="1" applyAlignment="1">
      <alignment horizontal="left" vertical="center" wrapText="1"/>
    </xf>
    <xf numFmtId="0" fontId="16" fillId="34" borderId="16" xfId="0" applyFont="1" applyFill="1" applyBorder="1" applyAlignment="1">
      <alignment horizontal="left" vertical="center" wrapText="1"/>
    </xf>
    <xf numFmtId="0" fontId="16" fillId="35" borderId="20" xfId="0" applyFont="1" applyFill="1" applyBorder="1" applyAlignment="1">
      <alignment horizontal="center" vertical="center"/>
    </xf>
    <xf numFmtId="0" fontId="16" fillId="35" borderId="11" xfId="0" applyFont="1" applyFill="1" applyBorder="1" applyAlignment="1">
      <alignment horizontal="center" vertical="center"/>
    </xf>
    <xf numFmtId="0" fontId="16" fillId="35" borderId="21" xfId="0" applyFont="1" applyFill="1" applyBorder="1" applyAlignment="1">
      <alignment horizontal="center" vertical="center"/>
    </xf>
    <xf numFmtId="0" fontId="16" fillId="34" borderId="20" xfId="0" applyFont="1" applyFill="1" applyBorder="1" applyAlignment="1">
      <alignment horizontal="center" vertical="center"/>
    </xf>
    <xf numFmtId="0" fontId="16" fillId="34" borderId="21" xfId="0" applyFont="1" applyFill="1" applyBorder="1" applyAlignment="1">
      <alignment horizontal="center" vertical="center"/>
    </xf>
    <xf numFmtId="0" fontId="16" fillId="34" borderId="11" xfId="0" applyFont="1" applyFill="1" applyBorder="1" applyAlignment="1">
      <alignment horizontal="center" vertical="center"/>
    </xf>
    <xf numFmtId="168" fontId="30" fillId="0" borderId="0" xfId="44" applyNumberFormat="1" applyFont="1" applyFill="1" applyBorder="1" applyAlignment="1">
      <alignment horizontal="center" vertical="center"/>
    </xf>
    <xf numFmtId="0" fontId="31" fillId="35" borderId="20" xfId="0" applyFont="1" applyFill="1" applyBorder="1" applyAlignment="1">
      <alignment horizontal="center" vertical="center" wrapText="1"/>
    </xf>
    <xf numFmtId="0" fontId="31" fillId="35" borderId="11" xfId="0" applyFont="1" applyFill="1" applyBorder="1" applyAlignment="1">
      <alignment horizontal="center" vertical="center" wrapText="1"/>
    </xf>
    <xf numFmtId="0" fontId="31" fillId="35" borderId="21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3" fillId="0" borderId="12" xfId="0" applyFont="1" applyBorder="1" applyAlignment="1">
      <alignment horizontal="left" vertical="center"/>
    </xf>
    <xf numFmtId="0" fontId="33" fillId="0" borderId="13" xfId="0" applyFont="1" applyBorder="1" applyAlignment="1">
      <alignment horizontal="left" vertical="center"/>
    </xf>
    <xf numFmtId="0" fontId="33" fillId="0" borderId="14" xfId="0" applyFont="1" applyBorder="1" applyAlignment="1">
      <alignment horizontal="left" vertical="center"/>
    </xf>
    <xf numFmtId="0" fontId="31" fillId="0" borderId="17" xfId="0" applyFont="1" applyBorder="1" applyAlignment="1">
      <alignment horizontal="left" vertical="center"/>
    </xf>
    <xf numFmtId="0" fontId="31" fillId="0" borderId="18" xfId="0" applyFont="1" applyBorder="1" applyAlignment="1">
      <alignment horizontal="left" vertical="center"/>
    </xf>
    <xf numFmtId="0" fontId="31" fillId="0" borderId="19" xfId="0" applyFont="1" applyBorder="1" applyAlignment="1">
      <alignment horizontal="left" vertical="center"/>
    </xf>
    <xf numFmtId="0" fontId="30" fillId="0" borderId="12" xfId="0" applyFont="1" applyBorder="1" applyAlignment="1">
      <alignment horizontal="left" vertical="center"/>
    </xf>
    <xf numFmtId="0" fontId="30" fillId="0" borderId="13" xfId="0" applyFont="1" applyBorder="1" applyAlignment="1">
      <alignment horizontal="left" vertical="center"/>
    </xf>
    <xf numFmtId="0" fontId="30" fillId="0" borderId="14" xfId="0" applyFont="1" applyBorder="1" applyAlignment="1">
      <alignment horizontal="left" vertical="center"/>
    </xf>
    <xf numFmtId="0" fontId="30" fillId="0" borderId="17" xfId="0" applyFont="1" applyBorder="1" applyAlignment="1">
      <alignment horizontal="left" vertical="center"/>
    </xf>
    <xf numFmtId="0" fontId="30" fillId="0" borderId="18" xfId="0" applyFont="1" applyBorder="1" applyAlignment="1">
      <alignment horizontal="left" vertical="center"/>
    </xf>
    <xf numFmtId="0" fontId="30" fillId="0" borderId="19" xfId="0" applyFont="1" applyBorder="1" applyAlignment="1">
      <alignment horizontal="left" vertical="center"/>
    </xf>
    <xf numFmtId="0" fontId="31" fillId="0" borderId="15" xfId="0" applyFont="1" applyBorder="1" applyAlignment="1">
      <alignment horizontal="left" vertical="center"/>
    </xf>
    <xf numFmtId="0" fontId="31" fillId="0" borderId="16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6" fillId="33" borderId="20" xfId="0" applyFont="1" applyFill="1" applyBorder="1" applyAlignment="1">
      <alignment horizontal="left" vertical="center" wrapText="1"/>
    </xf>
    <xf numFmtId="0" fontId="16" fillId="33" borderId="21" xfId="0" applyFont="1" applyFill="1" applyBorder="1" applyAlignment="1">
      <alignment horizontal="left" vertical="center" wrapText="1"/>
    </xf>
    <xf numFmtId="0" fontId="36" fillId="39" borderId="25" xfId="0" applyFont="1" applyFill="1" applyBorder="1" applyAlignment="1">
      <alignment horizontal="left" vertical="center"/>
    </xf>
    <xf numFmtId="0" fontId="36" fillId="39" borderId="26" xfId="0" applyFont="1" applyFill="1" applyBorder="1" applyAlignment="1">
      <alignment horizontal="left" vertical="center"/>
    </xf>
    <xf numFmtId="0" fontId="36" fillId="39" borderId="27" xfId="0" applyFont="1" applyFill="1" applyBorder="1" applyAlignment="1">
      <alignment horizontal="left" vertical="center"/>
    </xf>
  </cellXfs>
  <cellStyles count="22491">
    <cellStyle name="???????" xfId="386" xr:uid="{00000000-0005-0000-0000-000000000000}"/>
    <cellStyle name="20% - Accent1" xfId="19" builtinId="30" customBuiltin="1"/>
    <cellStyle name="20% - Accent1 10" xfId="387" xr:uid="{00000000-0005-0000-0000-000002000000}"/>
    <cellStyle name="20% - Accent1 10 2" xfId="4829" xr:uid="{00000000-0005-0000-0000-000003000000}"/>
    <cellStyle name="20% - Accent1 11" xfId="388" xr:uid="{00000000-0005-0000-0000-000004000000}"/>
    <cellStyle name="20% - Accent1 11 2" xfId="4830" xr:uid="{00000000-0005-0000-0000-000005000000}"/>
    <cellStyle name="20% - Accent1 12" xfId="389" xr:uid="{00000000-0005-0000-0000-000006000000}"/>
    <cellStyle name="20% - Accent1 13" xfId="390" xr:uid="{00000000-0005-0000-0000-000007000000}"/>
    <cellStyle name="20% - Accent1 14" xfId="391" xr:uid="{00000000-0005-0000-0000-000008000000}"/>
    <cellStyle name="20% - Accent1 15" xfId="392" xr:uid="{00000000-0005-0000-0000-000009000000}"/>
    <cellStyle name="20% - Accent1 16" xfId="393" xr:uid="{00000000-0005-0000-0000-00000A000000}"/>
    <cellStyle name="20% - Accent1 17" xfId="394" xr:uid="{00000000-0005-0000-0000-00000B000000}"/>
    <cellStyle name="20% - Accent1 18" xfId="395" xr:uid="{00000000-0005-0000-0000-00000C000000}"/>
    <cellStyle name="20% - Accent1 19" xfId="396" xr:uid="{00000000-0005-0000-0000-00000D000000}"/>
    <cellStyle name="20% - Accent1 2" xfId="59" xr:uid="{00000000-0005-0000-0000-00000E000000}"/>
    <cellStyle name="20% - Accent1 2 10" xfId="3387" xr:uid="{00000000-0005-0000-0000-00000F000000}"/>
    <cellStyle name="20% - Accent1 2 11" xfId="3388" xr:uid="{00000000-0005-0000-0000-000010000000}"/>
    <cellStyle name="20% - Accent1 2 12" xfId="3389" xr:uid="{00000000-0005-0000-0000-000011000000}"/>
    <cellStyle name="20% - Accent1 2 13" xfId="3390" xr:uid="{00000000-0005-0000-0000-000012000000}"/>
    <cellStyle name="20% - Accent1 2 14" xfId="3391" xr:uid="{00000000-0005-0000-0000-000013000000}"/>
    <cellStyle name="20% - Accent1 2 15" xfId="3392" xr:uid="{00000000-0005-0000-0000-000014000000}"/>
    <cellStyle name="20% - Accent1 2 16" xfId="4831" xr:uid="{00000000-0005-0000-0000-000015000000}"/>
    <cellStyle name="20% - Accent1 2 2" xfId="3393" xr:uid="{00000000-0005-0000-0000-000016000000}"/>
    <cellStyle name="20% - Accent1 2 3" xfId="3394" xr:uid="{00000000-0005-0000-0000-000017000000}"/>
    <cellStyle name="20% - Accent1 2 4" xfId="3395" xr:uid="{00000000-0005-0000-0000-000018000000}"/>
    <cellStyle name="20% - Accent1 2 5" xfId="3396" xr:uid="{00000000-0005-0000-0000-000019000000}"/>
    <cellStyle name="20% - Accent1 2 6" xfId="3397" xr:uid="{00000000-0005-0000-0000-00001A000000}"/>
    <cellStyle name="20% - Accent1 2 7" xfId="3398" xr:uid="{00000000-0005-0000-0000-00001B000000}"/>
    <cellStyle name="20% - Accent1 2 8" xfId="3399" xr:uid="{00000000-0005-0000-0000-00001C000000}"/>
    <cellStyle name="20% - Accent1 2 9" xfId="3400" xr:uid="{00000000-0005-0000-0000-00001D000000}"/>
    <cellStyle name="20% - Accent1 20" xfId="397" xr:uid="{00000000-0005-0000-0000-00001E000000}"/>
    <cellStyle name="20% - Accent1 21" xfId="398" xr:uid="{00000000-0005-0000-0000-00001F000000}"/>
    <cellStyle name="20% - Accent1 22" xfId="399" xr:uid="{00000000-0005-0000-0000-000020000000}"/>
    <cellStyle name="20% - Accent1 23" xfId="400" xr:uid="{00000000-0005-0000-0000-000021000000}"/>
    <cellStyle name="20% - Accent1 24" xfId="401" xr:uid="{00000000-0005-0000-0000-000022000000}"/>
    <cellStyle name="20% - Accent1 25" xfId="402" xr:uid="{00000000-0005-0000-0000-000023000000}"/>
    <cellStyle name="20% - Accent1 26" xfId="403" xr:uid="{00000000-0005-0000-0000-000024000000}"/>
    <cellStyle name="20% - Accent1 27" xfId="404" xr:uid="{00000000-0005-0000-0000-000025000000}"/>
    <cellStyle name="20% - Accent1 28" xfId="405" xr:uid="{00000000-0005-0000-0000-000026000000}"/>
    <cellStyle name="20% - Accent1 29" xfId="406" xr:uid="{00000000-0005-0000-0000-000027000000}"/>
    <cellStyle name="20% - Accent1 3" xfId="60" xr:uid="{00000000-0005-0000-0000-000028000000}"/>
    <cellStyle name="20% - Accent1 3 2" xfId="407" xr:uid="{00000000-0005-0000-0000-000029000000}"/>
    <cellStyle name="20% - Accent1 3 2 2" xfId="4832" xr:uid="{00000000-0005-0000-0000-00002A000000}"/>
    <cellStyle name="20% - Accent1 3 3" xfId="3401" xr:uid="{00000000-0005-0000-0000-00002B000000}"/>
    <cellStyle name="20% - Accent1 30" xfId="408" xr:uid="{00000000-0005-0000-0000-00002C000000}"/>
    <cellStyle name="20% - Accent1 31" xfId="409" xr:uid="{00000000-0005-0000-0000-00002D000000}"/>
    <cellStyle name="20% - Accent1 32" xfId="410" xr:uid="{00000000-0005-0000-0000-00002E000000}"/>
    <cellStyle name="20% - Accent1 33" xfId="411" xr:uid="{00000000-0005-0000-0000-00002F000000}"/>
    <cellStyle name="20% - Accent1 34" xfId="412" xr:uid="{00000000-0005-0000-0000-000030000000}"/>
    <cellStyle name="20% - Accent1 35" xfId="413" xr:uid="{00000000-0005-0000-0000-000031000000}"/>
    <cellStyle name="20% - Accent1 36" xfId="414" xr:uid="{00000000-0005-0000-0000-000032000000}"/>
    <cellStyle name="20% - Accent1 37" xfId="415" xr:uid="{00000000-0005-0000-0000-000033000000}"/>
    <cellStyle name="20% - Accent1 38" xfId="416" xr:uid="{00000000-0005-0000-0000-000034000000}"/>
    <cellStyle name="20% - Accent1 39" xfId="417" xr:uid="{00000000-0005-0000-0000-000035000000}"/>
    <cellStyle name="20% - Accent1 4" xfId="418" xr:uid="{00000000-0005-0000-0000-000036000000}"/>
    <cellStyle name="20% - Accent1 4 2" xfId="3402" xr:uid="{00000000-0005-0000-0000-000037000000}"/>
    <cellStyle name="20% - Accent1 40" xfId="419" xr:uid="{00000000-0005-0000-0000-000038000000}"/>
    <cellStyle name="20% - Accent1 41" xfId="420" xr:uid="{00000000-0005-0000-0000-000039000000}"/>
    <cellStyle name="20% - Accent1 42" xfId="421" xr:uid="{00000000-0005-0000-0000-00003A000000}"/>
    <cellStyle name="20% - Accent1 43" xfId="422" xr:uid="{00000000-0005-0000-0000-00003B000000}"/>
    <cellStyle name="20% - Accent1 5" xfId="423" xr:uid="{00000000-0005-0000-0000-00003C000000}"/>
    <cellStyle name="20% - Accent1 5 2" xfId="3403" xr:uid="{00000000-0005-0000-0000-00003D000000}"/>
    <cellStyle name="20% - Accent1 6" xfId="424" xr:uid="{00000000-0005-0000-0000-00003E000000}"/>
    <cellStyle name="20% - Accent1 6 2" xfId="3404" xr:uid="{00000000-0005-0000-0000-00003F000000}"/>
    <cellStyle name="20% - Accent1 7" xfId="425" xr:uid="{00000000-0005-0000-0000-000040000000}"/>
    <cellStyle name="20% - Accent1 7 2" xfId="3405" xr:uid="{00000000-0005-0000-0000-000041000000}"/>
    <cellStyle name="20% - Accent1 8" xfId="426" xr:uid="{00000000-0005-0000-0000-000042000000}"/>
    <cellStyle name="20% - Accent1 8 2" xfId="3406" xr:uid="{00000000-0005-0000-0000-000043000000}"/>
    <cellStyle name="20% - Accent1 9" xfId="427" xr:uid="{00000000-0005-0000-0000-000044000000}"/>
    <cellStyle name="20% - Accent1 9 2" xfId="4833" xr:uid="{00000000-0005-0000-0000-000045000000}"/>
    <cellStyle name="20% - Accent2" xfId="23" builtinId="34" customBuiltin="1"/>
    <cellStyle name="20% - Accent2 10" xfId="428" xr:uid="{00000000-0005-0000-0000-000047000000}"/>
    <cellStyle name="20% - Accent2 10 2" xfId="4834" xr:uid="{00000000-0005-0000-0000-000048000000}"/>
    <cellStyle name="20% - Accent2 11" xfId="429" xr:uid="{00000000-0005-0000-0000-000049000000}"/>
    <cellStyle name="20% - Accent2 11 2" xfId="4835" xr:uid="{00000000-0005-0000-0000-00004A000000}"/>
    <cellStyle name="20% - Accent2 12" xfId="430" xr:uid="{00000000-0005-0000-0000-00004B000000}"/>
    <cellStyle name="20% - Accent2 13" xfId="431" xr:uid="{00000000-0005-0000-0000-00004C000000}"/>
    <cellStyle name="20% - Accent2 14" xfId="432" xr:uid="{00000000-0005-0000-0000-00004D000000}"/>
    <cellStyle name="20% - Accent2 15" xfId="433" xr:uid="{00000000-0005-0000-0000-00004E000000}"/>
    <cellStyle name="20% - Accent2 16" xfId="434" xr:uid="{00000000-0005-0000-0000-00004F000000}"/>
    <cellStyle name="20% - Accent2 17" xfId="435" xr:uid="{00000000-0005-0000-0000-000050000000}"/>
    <cellStyle name="20% - Accent2 18" xfId="436" xr:uid="{00000000-0005-0000-0000-000051000000}"/>
    <cellStyle name="20% - Accent2 19" xfId="437" xr:uid="{00000000-0005-0000-0000-000052000000}"/>
    <cellStyle name="20% - Accent2 2" xfId="61" xr:uid="{00000000-0005-0000-0000-000053000000}"/>
    <cellStyle name="20% - Accent2 2 10" xfId="3407" xr:uid="{00000000-0005-0000-0000-000054000000}"/>
    <cellStyle name="20% - Accent2 2 11" xfId="3408" xr:uid="{00000000-0005-0000-0000-000055000000}"/>
    <cellStyle name="20% - Accent2 2 12" xfId="3409" xr:uid="{00000000-0005-0000-0000-000056000000}"/>
    <cellStyle name="20% - Accent2 2 13" xfId="3410" xr:uid="{00000000-0005-0000-0000-000057000000}"/>
    <cellStyle name="20% - Accent2 2 14" xfId="3411" xr:uid="{00000000-0005-0000-0000-000058000000}"/>
    <cellStyle name="20% - Accent2 2 15" xfId="3412" xr:uid="{00000000-0005-0000-0000-000059000000}"/>
    <cellStyle name="20% - Accent2 2 16" xfId="4836" xr:uid="{00000000-0005-0000-0000-00005A000000}"/>
    <cellStyle name="20% - Accent2 2 2" xfId="3413" xr:uid="{00000000-0005-0000-0000-00005B000000}"/>
    <cellStyle name="20% - Accent2 2 3" xfId="3414" xr:uid="{00000000-0005-0000-0000-00005C000000}"/>
    <cellStyle name="20% - Accent2 2 4" xfId="3415" xr:uid="{00000000-0005-0000-0000-00005D000000}"/>
    <cellStyle name="20% - Accent2 2 5" xfId="3416" xr:uid="{00000000-0005-0000-0000-00005E000000}"/>
    <cellStyle name="20% - Accent2 2 6" xfId="3417" xr:uid="{00000000-0005-0000-0000-00005F000000}"/>
    <cellStyle name="20% - Accent2 2 7" xfId="3418" xr:uid="{00000000-0005-0000-0000-000060000000}"/>
    <cellStyle name="20% - Accent2 2 8" xfId="3419" xr:uid="{00000000-0005-0000-0000-000061000000}"/>
    <cellStyle name="20% - Accent2 2 9" xfId="3420" xr:uid="{00000000-0005-0000-0000-000062000000}"/>
    <cellStyle name="20% - Accent2 20" xfId="438" xr:uid="{00000000-0005-0000-0000-000063000000}"/>
    <cellStyle name="20% - Accent2 21" xfId="439" xr:uid="{00000000-0005-0000-0000-000064000000}"/>
    <cellStyle name="20% - Accent2 22" xfId="440" xr:uid="{00000000-0005-0000-0000-000065000000}"/>
    <cellStyle name="20% - Accent2 23" xfId="441" xr:uid="{00000000-0005-0000-0000-000066000000}"/>
    <cellStyle name="20% - Accent2 24" xfId="442" xr:uid="{00000000-0005-0000-0000-000067000000}"/>
    <cellStyle name="20% - Accent2 25" xfId="443" xr:uid="{00000000-0005-0000-0000-000068000000}"/>
    <cellStyle name="20% - Accent2 26" xfId="444" xr:uid="{00000000-0005-0000-0000-000069000000}"/>
    <cellStyle name="20% - Accent2 27" xfId="445" xr:uid="{00000000-0005-0000-0000-00006A000000}"/>
    <cellStyle name="20% - Accent2 28" xfId="446" xr:uid="{00000000-0005-0000-0000-00006B000000}"/>
    <cellStyle name="20% - Accent2 29" xfId="447" xr:uid="{00000000-0005-0000-0000-00006C000000}"/>
    <cellStyle name="20% - Accent2 3" xfId="62" xr:uid="{00000000-0005-0000-0000-00006D000000}"/>
    <cellStyle name="20% - Accent2 3 2" xfId="448" xr:uid="{00000000-0005-0000-0000-00006E000000}"/>
    <cellStyle name="20% - Accent2 3 2 2" xfId="4837" xr:uid="{00000000-0005-0000-0000-00006F000000}"/>
    <cellStyle name="20% - Accent2 3 3" xfId="3421" xr:uid="{00000000-0005-0000-0000-000070000000}"/>
    <cellStyle name="20% - Accent2 30" xfId="449" xr:uid="{00000000-0005-0000-0000-000071000000}"/>
    <cellStyle name="20% - Accent2 31" xfId="450" xr:uid="{00000000-0005-0000-0000-000072000000}"/>
    <cellStyle name="20% - Accent2 32" xfId="451" xr:uid="{00000000-0005-0000-0000-000073000000}"/>
    <cellStyle name="20% - Accent2 33" xfId="452" xr:uid="{00000000-0005-0000-0000-000074000000}"/>
    <cellStyle name="20% - Accent2 34" xfId="453" xr:uid="{00000000-0005-0000-0000-000075000000}"/>
    <cellStyle name="20% - Accent2 35" xfId="454" xr:uid="{00000000-0005-0000-0000-000076000000}"/>
    <cellStyle name="20% - Accent2 36" xfId="455" xr:uid="{00000000-0005-0000-0000-000077000000}"/>
    <cellStyle name="20% - Accent2 37" xfId="456" xr:uid="{00000000-0005-0000-0000-000078000000}"/>
    <cellStyle name="20% - Accent2 38" xfId="457" xr:uid="{00000000-0005-0000-0000-000079000000}"/>
    <cellStyle name="20% - Accent2 39" xfId="458" xr:uid="{00000000-0005-0000-0000-00007A000000}"/>
    <cellStyle name="20% - Accent2 4" xfId="459" xr:uid="{00000000-0005-0000-0000-00007B000000}"/>
    <cellStyle name="20% - Accent2 4 2" xfId="3422" xr:uid="{00000000-0005-0000-0000-00007C000000}"/>
    <cellStyle name="20% - Accent2 40" xfId="460" xr:uid="{00000000-0005-0000-0000-00007D000000}"/>
    <cellStyle name="20% - Accent2 41" xfId="461" xr:uid="{00000000-0005-0000-0000-00007E000000}"/>
    <cellStyle name="20% - Accent2 42" xfId="462" xr:uid="{00000000-0005-0000-0000-00007F000000}"/>
    <cellStyle name="20% - Accent2 43" xfId="463" xr:uid="{00000000-0005-0000-0000-000080000000}"/>
    <cellStyle name="20% - Accent2 5" xfId="464" xr:uid="{00000000-0005-0000-0000-000081000000}"/>
    <cellStyle name="20% - Accent2 5 2" xfId="3423" xr:uid="{00000000-0005-0000-0000-000082000000}"/>
    <cellStyle name="20% - Accent2 6" xfId="465" xr:uid="{00000000-0005-0000-0000-000083000000}"/>
    <cellStyle name="20% - Accent2 6 2" xfId="3424" xr:uid="{00000000-0005-0000-0000-000084000000}"/>
    <cellStyle name="20% - Accent2 7" xfId="466" xr:uid="{00000000-0005-0000-0000-000085000000}"/>
    <cellStyle name="20% - Accent2 7 2" xfId="3425" xr:uid="{00000000-0005-0000-0000-000086000000}"/>
    <cellStyle name="20% - Accent2 8" xfId="467" xr:uid="{00000000-0005-0000-0000-000087000000}"/>
    <cellStyle name="20% - Accent2 8 2" xfId="3426" xr:uid="{00000000-0005-0000-0000-000088000000}"/>
    <cellStyle name="20% - Accent2 9" xfId="468" xr:uid="{00000000-0005-0000-0000-000089000000}"/>
    <cellStyle name="20% - Accent2 9 2" xfId="4838" xr:uid="{00000000-0005-0000-0000-00008A000000}"/>
    <cellStyle name="20% - Accent3" xfId="27" builtinId="38" customBuiltin="1"/>
    <cellStyle name="20% - Accent3 10" xfId="469" xr:uid="{00000000-0005-0000-0000-00008C000000}"/>
    <cellStyle name="20% - Accent3 10 2" xfId="4839" xr:uid="{00000000-0005-0000-0000-00008D000000}"/>
    <cellStyle name="20% - Accent3 11" xfId="470" xr:uid="{00000000-0005-0000-0000-00008E000000}"/>
    <cellStyle name="20% - Accent3 11 2" xfId="4840" xr:uid="{00000000-0005-0000-0000-00008F000000}"/>
    <cellStyle name="20% - Accent3 12" xfId="471" xr:uid="{00000000-0005-0000-0000-000090000000}"/>
    <cellStyle name="20% - Accent3 13" xfId="472" xr:uid="{00000000-0005-0000-0000-000091000000}"/>
    <cellStyle name="20% - Accent3 14" xfId="473" xr:uid="{00000000-0005-0000-0000-000092000000}"/>
    <cellStyle name="20% - Accent3 15" xfId="474" xr:uid="{00000000-0005-0000-0000-000093000000}"/>
    <cellStyle name="20% - Accent3 16" xfId="475" xr:uid="{00000000-0005-0000-0000-000094000000}"/>
    <cellStyle name="20% - Accent3 17" xfId="476" xr:uid="{00000000-0005-0000-0000-000095000000}"/>
    <cellStyle name="20% - Accent3 18" xfId="477" xr:uid="{00000000-0005-0000-0000-000096000000}"/>
    <cellStyle name="20% - Accent3 19" xfId="478" xr:uid="{00000000-0005-0000-0000-000097000000}"/>
    <cellStyle name="20% - Accent3 2" xfId="63" xr:uid="{00000000-0005-0000-0000-000098000000}"/>
    <cellStyle name="20% - Accent3 2 10" xfId="3427" xr:uid="{00000000-0005-0000-0000-000099000000}"/>
    <cellStyle name="20% - Accent3 2 11" xfId="3428" xr:uid="{00000000-0005-0000-0000-00009A000000}"/>
    <cellStyle name="20% - Accent3 2 12" xfId="3429" xr:uid="{00000000-0005-0000-0000-00009B000000}"/>
    <cellStyle name="20% - Accent3 2 13" xfId="3430" xr:uid="{00000000-0005-0000-0000-00009C000000}"/>
    <cellStyle name="20% - Accent3 2 14" xfId="3431" xr:uid="{00000000-0005-0000-0000-00009D000000}"/>
    <cellStyle name="20% - Accent3 2 15" xfId="3432" xr:uid="{00000000-0005-0000-0000-00009E000000}"/>
    <cellStyle name="20% - Accent3 2 16" xfId="4841" xr:uid="{00000000-0005-0000-0000-00009F000000}"/>
    <cellStyle name="20% - Accent3 2 2" xfId="3433" xr:uid="{00000000-0005-0000-0000-0000A0000000}"/>
    <cellStyle name="20% - Accent3 2 3" xfId="3434" xr:uid="{00000000-0005-0000-0000-0000A1000000}"/>
    <cellStyle name="20% - Accent3 2 4" xfId="3435" xr:uid="{00000000-0005-0000-0000-0000A2000000}"/>
    <cellStyle name="20% - Accent3 2 5" xfId="3436" xr:uid="{00000000-0005-0000-0000-0000A3000000}"/>
    <cellStyle name="20% - Accent3 2 6" xfId="3437" xr:uid="{00000000-0005-0000-0000-0000A4000000}"/>
    <cellStyle name="20% - Accent3 2 7" xfId="3438" xr:uid="{00000000-0005-0000-0000-0000A5000000}"/>
    <cellStyle name="20% - Accent3 2 8" xfId="3439" xr:uid="{00000000-0005-0000-0000-0000A6000000}"/>
    <cellStyle name="20% - Accent3 2 9" xfId="3440" xr:uid="{00000000-0005-0000-0000-0000A7000000}"/>
    <cellStyle name="20% - Accent3 20" xfId="479" xr:uid="{00000000-0005-0000-0000-0000A8000000}"/>
    <cellStyle name="20% - Accent3 21" xfId="480" xr:uid="{00000000-0005-0000-0000-0000A9000000}"/>
    <cellStyle name="20% - Accent3 22" xfId="481" xr:uid="{00000000-0005-0000-0000-0000AA000000}"/>
    <cellStyle name="20% - Accent3 23" xfId="482" xr:uid="{00000000-0005-0000-0000-0000AB000000}"/>
    <cellStyle name="20% - Accent3 24" xfId="483" xr:uid="{00000000-0005-0000-0000-0000AC000000}"/>
    <cellStyle name="20% - Accent3 25" xfId="484" xr:uid="{00000000-0005-0000-0000-0000AD000000}"/>
    <cellStyle name="20% - Accent3 26" xfId="485" xr:uid="{00000000-0005-0000-0000-0000AE000000}"/>
    <cellStyle name="20% - Accent3 27" xfId="486" xr:uid="{00000000-0005-0000-0000-0000AF000000}"/>
    <cellStyle name="20% - Accent3 28" xfId="487" xr:uid="{00000000-0005-0000-0000-0000B0000000}"/>
    <cellStyle name="20% - Accent3 29" xfId="488" xr:uid="{00000000-0005-0000-0000-0000B1000000}"/>
    <cellStyle name="20% - Accent3 3" xfId="64" xr:uid="{00000000-0005-0000-0000-0000B2000000}"/>
    <cellStyle name="20% - Accent3 3 2" xfId="489" xr:uid="{00000000-0005-0000-0000-0000B3000000}"/>
    <cellStyle name="20% - Accent3 3 2 2" xfId="4842" xr:uid="{00000000-0005-0000-0000-0000B4000000}"/>
    <cellStyle name="20% - Accent3 3 3" xfId="3441" xr:uid="{00000000-0005-0000-0000-0000B5000000}"/>
    <cellStyle name="20% - Accent3 30" xfId="490" xr:uid="{00000000-0005-0000-0000-0000B6000000}"/>
    <cellStyle name="20% - Accent3 31" xfId="491" xr:uid="{00000000-0005-0000-0000-0000B7000000}"/>
    <cellStyle name="20% - Accent3 32" xfId="492" xr:uid="{00000000-0005-0000-0000-0000B8000000}"/>
    <cellStyle name="20% - Accent3 33" xfId="493" xr:uid="{00000000-0005-0000-0000-0000B9000000}"/>
    <cellStyle name="20% - Accent3 34" xfId="494" xr:uid="{00000000-0005-0000-0000-0000BA000000}"/>
    <cellStyle name="20% - Accent3 35" xfId="495" xr:uid="{00000000-0005-0000-0000-0000BB000000}"/>
    <cellStyle name="20% - Accent3 36" xfId="496" xr:uid="{00000000-0005-0000-0000-0000BC000000}"/>
    <cellStyle name="20% - Accent3 37" xfId="497" xr:uid="{00000000-0005-0000-0000-0000BD000000}"/>
    <cellStyle name="20% - Accent3 38" xfId="498" xr:uid="{00000000-0005-0000-0000-0000BE000000}"/>
    <cellStyle name="20% - Accent3 39" xfId="499" xr:uid="{00000000-0005-0000-0000-0000BF000000}"/>
    <cellStyle name="20% - Accent3 4" xfId="500" xr:uid="{00000000-0005-0000-0000-0000C0000000}"/>
    <cellStyle name="20% - Accent3 4 2" xfId="3442" xr:uid="{00000000-0005-0000-0000-0000C1000000}"/>
    <cellStyle name="20% - Accent3 40" xfId="501" xr:uid="{00000000-0005-0000-0000-0000C2000000}"/>
    <cellStyle name="20% - Accent3 41" xfId="502" xr:uid="{00000000-0005-0000-0000-0000C3000000}"/>
    <cellStyle name="20% - Accent3 42" xfId="503" xr:uid="{00000000-0005-0000-0000-0000C4000000}"/>
    <cellStyle name="20% - Accent3 43" xfId="504" xr:uid="{00000000-0005-0000-0000-0000C5000000}"/>
    <cellStyle name="20% - Accent3 5" xfId="505" xr:uid="{00000000-0005-0000-0000-0000C6000000}"/>
    <cellStyle name="20% - Accent3 5 2" xfId="3443" xr:uid="{00000000-0005-0000-0000-0000C7000000}"/>
    <cellStyle name="20% - Accent3 6" xfId="506" xr:uid="{00000000-0005-0000-0000-0000C8000000}"/>
    <cellStyle name="20% - Accent3 6 2" xfId="3444" xr:uid="{00000000-0005-0000-0000-0000C9000000}"/>
    <cellStyle name="20% - Accent3 7" xfId="507" xr:uid="{00000000-0005-0000-0000-0000CA000000}"/>
    <cellStyle name="20% - Accent3 7 2" xfId="3445" xr:uid="{00000000-0005-0000-0000-0000CB000000}"/>
    <cellStyle name="20% - Accent3 8" xfId="508" xr:uid="{00000000-0005-0000-0000-0000CC000000}"/>
    <cellStyle name="20% - Accent3 8 2" xfId="3446" xr:uid="{00000000-0005-0000-0000-0000CD000000}"/>
    <cellStyle name="20% - Accent3 9" xfId="509" xr:uid="{00000000-0005-0000-0000-0000CE000000}"/>
    <cellStyle name="20% - Accent3 9 2" xfId="4843" xr:uid="{00000000-0005-0000-0000-0000CF000000}"/>
    <cellStyle name="20% - Accent4" xfId="31" builtinId="42" customBuiltin="1"/>
    <cellStyle name="20% - Accent4 10" xfId="510" xr:uid="{00000000-0005-0000-0000-0000D1000000}"/>
    <cellStyle name="20% - Accent4 10 2" xfId="4844" xr:uid="{00000000-0005-0000-0000-0000D2000000}"/>
    <cellStyle name="20% - Accent4 11" xfId="511" xr:uid="{00000000-0005-0000-0000-0000D3000000}"/>
    <cellStyle name="20% - Accent4 11 2" xfId="4845" xr:uid="{00000000-0005-0000-0000-0000D4000000}"/>
    <cellStyle name="20% - Accent4 12" xfId="512" xr:uid="{00000000-0005-0000-0000-0000D5000000}"/>
    <cellStyle name="20% - Accent4 13" xfId="513" xr:uid="{00000000-0005-0000-0000-0000D6000000}"/>
    <cellStyle name="20% - Accent4 14" xfId="514" xr:uid="{00000000-0005-0000-0000-0000D7000000}"/>
    <cellStyle name="20% - Accent4 15" xfId="515" xr:uid="{00000000-0005-0000-0000-0000D8000000}"/>
    <cellStyle name="20% - Accent4 16" xfId="516" xr:uid="{00000000-0005-0000-0000-0000D9000000}"/>
    <cellStyle name="20% - Accent4 17" xfId="517" xr:uid="{00000000-0005-0000-0000-0000DA000000}"/>
    <cellStyle name="20% - Accent4 18" xfId="518" xr:uid="{00000000-0005-0000-0000-0000DB000000}"/>
    <cellStyle name="20% - Accent4 19" xfId="519" xr:uid="{00000000-0005-0000-0000-0000DC000000}"/>
    <cellStyle name="20% - Accent4 2" xfId="65" xr:uid="{00000000-0005-0000-0000-0000DD000000}"/>
    <cellStyle name="20% - Accent4 2 10" xfId="3447" xr:uid="{00000000-0005-0000-0000-0000DE000000}"/>
    <cellStyle name="20% - Accent4 2 11" xfId="3448" xr:uid="{00000000-0005-0000-0000-0000DF000000}"/>
    <cellStyle name="20% - Accent4 2 12" xfId="3449" xr:uid="{00000000-0005-0000-0000-0000E0000000}"/>
    <cellStyle name="20% - Accent4 2 13" xfId="3450" xr:uid="{00000000-0005-0000-0000-0000E1000000}"/>
    <cellStyle name="20% - Accent4 2 14" xfId="3451" xr:uid="{00000000-0005-0000-0000-0000E2000000}"/>
    <cellStyle name="20% - Accent4 2 15" xfId="3452" xr:uid="{00000000-0005-0000-0000-0000E3000000}"/>
    <cellStyle name="20% - Accent4 2 16" xfId="4846" xr:uid="{00000000-0005-0000-0000-0000E4000000}"/>
    <cellStyle name="20% - Accent4 2 2" xfId="3453" xr:uid="{00000000-0005-0000-0000-0000E5000000}"/>
    <cellStyle name="20% - Accent4 2 3" xfId="3454" xr:uid="{00000000-0005-0000-0000-0000E6000000}"/>
    <cellStyle name="20% - Accent4 2 4" xfId="3455" xr:uid="{00000000-0005-0000-0000-0000E7000000}"/>
    <cellStyle name="20% - Accent4 2 5" xfId="3456" xr:uid="{00000000-0005-0000-0000-0000E8000000}"/>
    <cellStyle name="20% - Accent4 2 6" xfId="3457" xr:uid="{00000000-0005-0000-0000-0000E9000000}"/>
    <cellStyle name="20% - Accent4 2 7" xfId="3458" xr:uid="{00000000-0005-0000-0000-0000EA000000}"/>
    <cellStyle name="20% - Accent4 2 8" xfId="3459" xr:uid="{00000000-0005-0000-0000-0000EB000000}"/>
    <cellStyle name="20% - Accent4 2 9" xfId="3460" xr:uid="{00000000-0005-0000-0000-0000EC000000}"/>
    <cellStyle name="20% - Accent4 20" xfId="520" xr:uid="{00000000-0005-0000-0000-0000ED000000}"/>
    <cellStyle name="20% - Accent4 21" xfId="521" xr:uid="{00000000-0005-0000-0000-0000EE000000}"/>
    <cellStyle name="20% - Accent4 22" xfId="522" xr:uid="{00000000-0005-0000-0000-0000EF000000}"/>
    <cellStyle name="20% - Accent4 23" xfId="523" xr:uid="{00000000-0005-0000-0000-0000F0000000}"/>
    <cellStyle name="20% - Accent4 24" xfId="524" xr:uid="{00000000-0005-0000-0000-0000F1000000}"/>
    <cellStyle name="20% - Accent4 25" xfId="525" xr:uid="{00000000-0005-0000-0000-0000F2000000}"/>
    <cellStyle name="20% - Accent4 26" xfId="526" xr:uid="{00000000-0005-0000-0000-0000F3000000}"/>
    <cellStyle name="20% - Accent4 27" xfId="527" xr:uid="{00000000-0005-0000-0000-0000F4000000}"/>
    <cellStyle name="20% - Accent4 28" xfId="528" xr:uid="{00000000-0005-0000-0000-0000F5000000}"/>
    <cellStyle name="20% - Accent4 29" xfId="529" xr:uid="{00000000-0005-0000-0000-0000F6000000}"/>
    <cellStyle name="20% - Accent4 3" xfId="66" xr:uid="{00000000-0005-0000-0000-0000F7000000}"/>
    <cellStyle name="20% - Accent4 3 2" xfId="530" xr:uid="{00000000-0005-0000-0000-0000F8000000}"/>
    <cellStyle name="20% - Accent4 3 2 2" xfId="4847" xr:uid="{00000000-0005-0000-0000-0000F9000000}"/>
    <cellStyle name="20% - Accent4 3 3" xfId="3461" xr:uid="{00000000-0005-0000-0000-0000FA000000}"/>
    <cellStyle name="20% - Accent4 30" xfId="531" xr:uid="{00000000-0005-0000-0000-0000FB000000}"/>
    <cellStyle name="20% - Accent4 31" xfId="532" xr:uid="{00000000-0005-0000-0000-0000FC000000}"/>
    <cellStyle name="20% - Accent4 32" xfId="533" xr:uid="{00000000-0005-0000-0000-0000FD000000}"/>
    <cellStyle name="20% - Accent4 33" xfId="534" xr:uid="{00000000-0005-0000-0000-0000FE000000}"/>
    <cellStyle name="20% - Accent4 34" xfId="535" xr:uid="{00000000-0005-0000-0000-0000FF000000}"/>
    <cellStyle name="20% - Accent4 35" xfId="536" xr:uid="{00000000-0005-0000-0000-000000010000}"/>
    <cellStyle name="20% - Accent4 36" xfId="537" xr:uid="{00000000-0005-0000-0000-000001010000}"/>
    <cellStyle name="20% - Accent4 37" xfId="538" xr:uid="{00000000-0005-0000-0000-000002010000}"/>
    <cellStyle name="20% - Accent4 38" xfId="539" xr:uid="{00000000-0005-0000-0000-000003010000}"/>
    <cellStyle name="20% - Accent4 39" xfId="540" xr:uid="{00000000-0005-0000-0000-000004010000}"/>
    <cellStyle name="20% - Accent4 4" xfId="541" xr:uid="{00000000-0005-0000-0000-000005010000}"/>
    <cellStyle name="20% - Accent4 4 2" xfId="3462" xr:uid="{00000000-0005-0000-0000-000006010000}"/>
    <cellStyle name="20% - Accent4 40" xfId="542" xr:uid="{00000000-0005-0000-0000-000007010000}"/>
    <cellStyle name="20% - Accent4 41" xfId="543" xr:uid="{00000000-0005-0000-0000-000008010000}"/>
    <cellStyle name="20% - Accent4 42" xfId="544" xr:uid="{00000000-0005-0000-0000-000009010000}"/>
    <cellStyle name="20% - Accent4 43" xfId="545" xr:uid="{00000000-0005-0000-0000-00000A010000}"/>
    <cellStyle name="20% - Accent4 5" xfId="546" xr:uid="{00000000-0005-0000-0000-00000B010000}"/>
    <cellStyle name="20% - Accent4 5 2" xfId="3463" xr:uid="{00000000-0005-0000-0000-00000C010000}"/>
    <cellStyle name="20% - Accent4 6" xfId="547" xr:uid="{00000000-0005-0000-0000-00000D010000}"/>
    <cellStyle name="20% - Accent4 6 2" xfId="3464" xr:uid="{00000000-0005-0000-0000-00000E010000}"/>
    <cellStyle name="20% - Accent4 7" xfId="548" xr:uid="{00000000-0005-0000-0000-00000F010000}"/>
    <cellStyle name="20% - Accent4 7 2" xfId="3465" xr:uid="{00000000-0005-0000-0000-000010010000}"/>
    <cellStyle name="20% - Accent4 8" xfId="549" xr:uid="{00000000-0005-0000-0000-000011010000}"/>
    <cellStyle name="20% - Accent4 8 2" xfId="3466" xr:uid="{00000000-0005-0000-0000-000012010000}"/>
    <cellStyle name="20% - Accent4 9" xfId="550" xr:uid="{00000000-0005-0000-0000-000013010000}"/>
    <cellStyle name="20% - Accent4 9 2" xfId="4848" xr:uid="{00000000-0005-0000-0000-000014010000}"/>
    <cellStyle name="20% - Accent5" xfId="35" builtinId="46" customBuiltin="1"/>
    <cellStyle name="20% - Accent5 10" xfId="551" xr:uid="{00000000-0005-0000-0000-000016010000}"/>
    <cellStyle name="20% - Accent5 10 2" xfId="4849" xr:uid="{00000000-0005-0000-0000-000017010000}"/>
    <cellStyle name="20% - Accent5 11" xfId="552" xr:uid="{00000000-0005-0000-0000-000018010000}"/>
    <cellStyle name="20% - Accent5 11 2" xfId="4850" xr:uid="{00000000-0005-0000-0000-000019010000}"/>
    <cellStyle name="20% - Accent5 12" xfId="553" xr:uid="{00000000-0005-0000-0000-00001A010000}"/>
    <cellStyle name="20% - Accent5 13" xfId="554" xr:uid="{00000000-0005-0000-0000-00001B010000}"/>
    <cellStyle name="20% - Accent5 14" xfId="555" xr:uid="{00000000-0005-0000-0000-00001C010000}"/>
    <cellStyle name="20% - Accent5 15" xfId="556" xr:uid="{00000000-0005-0000-0000-00001D010000}"/>
    <cellStyle name="20% - Accent5 16" xfId="557" xr:uid="{00000000-0005-0000-0000-00001E010000}"/>
    <cellStyle name="20% - Accent5 17" xfId="558" xr:uid="{00000000-0005-0000-0000-00001F010000}"/>
    <cellStyle name="20% - Accent5 18" xfId="559" xr:uid="{00000000-0005-0000-0000-000020010000}"/>
    <cellStyle name="20% - Accent5 19" xfId="560" xr:uid="{00000000-0005-0000-0000-000021010000}"/>
    <cellStyle name="20% - Accent5 2" xfId="67" xr:uid="{00000000-0005-0000-0000-000022010000}"/>
    <cellStyle name="20% - Accent5 2 10" xfId="3467" xr:uid="{00000000-0005-0000-0000-000023010000}"/>
    <cellStyle name="20% - Accent5 2 11" xfId="3468" xr:uid="{00000000-0005-0000-0000-000024010000}"/>
    <cellStyle name="20% - Accent5 2 12" xfId="3469" xr:uid="{00000000-0005-0000-0000-000025010000}"/>
    <cellStyle name="20% - Accent5 2 13" xfId="3470" xr:uid="{00000000-0005-0000-0000-000026010000}"/>
    <cellStyle name="20% - Accent5 2 14" xfId="3471" xr:uid="{00000000-0005-0000-0000-000027010000}"/>
    <cellStyle name="20% - Accent5 2 15" xfId="3472" xr:uid="{00000000-0005-0000-0000-000028010000}"/>
    <cellStyle name="20% - Accent5 2 2" xfId="3473" xr:uid="{00000000-0005-0000-0000-000029010000}"/>
    <cellStyle name="20% - Accent5 2 3" xfId="3474" xr:uid="{00000000-0005-0000-0000-00002A010000}"/>
    <cellStyle name="20% - Accent5 2 4" xfId="3475" xr:uid="{00000000-0005-0000-0000-00002B010000}"/>
    <cellStyle name="20% - Accent5 2 5" xfId="3476" xr:uid="{00000000-0005-0000-0000-00002C010000}"/>
    <cellStyle name="20% - Accent5 2 6" xfId="3477" xr:uid="{00000000-0005-0000-0000-00002D010000}"/>
    <cellStyle name="20% - Accent5 2 7" xfId="3478" xr:uid="{00000000-0005-0000-0000-00002E010000}"/>
    <cellStyle name="20% - Accent5 2 8" xfId="3479" xr:uid="{00000000-0005-0000-0000-00002F010000}"/>
    <cellStyle name="20% - Accent5 2 9" xfId="3480" xr:uid="{00000000-0005-0000-0000-000030010000}"/>
    <cellStyle name="20% - Accent5 20" xfId="561" xr:uid="{00000000-0005-0000-0000-000031010000}"/>
    <cellStyle name="20% - Accent5 21" xfId="562" xr:uid="{00000000-0005-0000-0000-000032010000}"/>
    <cellStyle name="20% - Accent5 22" xfId="563" xr:uid="{00000000-0005-0000-0000-000033010000}"/>
    <cellStyle name="20% - Accent5 23" xfId="564" xr:uid="{00000000-0005-0000-0000-000034010000}"/>
    <cellStyle name="20% - Accent5 24" xfId="565" xr:uid="{00000000-0005-0000-0000-000035010000}"/>
    <cellStyle name="20% - Accent5 25" xfId="566" xr:uid="{00000000-0005-0000-0000-000036010000}"/>
    <cellStyle name="20% - Accent5 26" xfId="567" xr:uid="{00000000-0005-0000-0000-000037010000}"/>
    <cellStyle name="20% - Accent5 27" xfId="568" xr:uid="{00000000-0005-0000-0000-000038010000}"/>
    <cellStyle name="20% - Accent5 28" xfId="569" xr:uid="{00000000-0005-0000-0000-000039010000}"/>
    <cellStyle name="20% - Accent5 29" xfId="570" xr:uid="{00000000-0005-0000-0000-00003A010000}"/>
    <cellStyle name="20% - Accent5 3" xfId="68" xr:uid="{00000000-0005-0000-0000-00003B010000}"/>
    <cellStyle name="20% - Accent5 3 2" xfId="571" xr:uid="{00000000-0005-0000-0000-00003C010000}"/>
    <cellStyle name="20% - Accent5 30" xfId="572" xr:uid="{00000000-0005-0000-0000-00003D010000}"/>
    <cellStyle name="20% - Accent5 31" xfId="573" xr:uid="{00000000-0005-0000-0000-00003E010000}"/>
    <cellStyle name="20% - Accent5 32" xfId="574" xr:uid="{00000000-0005-0000-0000-00003F010000}"/>
    <cellStyle name="20% - Accent5 33" xfId="575" xr:uid="{00000000-0005-0000-0000-000040010000}"/>
    <cellStyle name="20% - Accent5 34" xfId="576" xr:uid="{00000000-0005-0000-0000-000041010000}"/>
    <cellStyle name="20% - Accent5 35" xfId="577" xr:uid="{00000000-0005-0000-0000-000042010000}"/>
    <cellStyle name="20% - Accent5 36" xfId="578" xr:uid="{00000000-0005-0000-0000-000043010000}"/>
    <cellStyle name="20% - Accent5 37" xfId="579" xr:uid="{00000000-0005-0000-0000-000044010000}"/>
    <cellStyle name="20% - Accent5 38" xfId="580" xr:uid="{00000000-0005-0000-0000-000045010000}"/>
    <cellStyle name="20% - Accent5 39" xfId="581" xr:uid="{00000000-0005-0000-0000-000046010000}"/>
    <cellStyle name="20% - Accent5 4" xfId="582" xr:uid="{00000000-0005-0000-0000-000047010000}"/>
    <cellStyle name="20% - Accent5 40" xfId="583" xr:uid="{00000000-0005-0000-0000-000048010000}"/>
    <cellStyle name="20% - Accent5 41" xfId="584" xr:uid="{00000000-0005-0000-0000-000049010000}"/>
    <cellStyle name="20% - Accent5 42" xfId="585" xr:uid="{00000000-0005-0000-0000-00004A010000}"/>
    <cellStyle name="20% - Accent5 43" xfId="586" xr:uid="{00000000-0005-0000-0000-00004B010000}"/>
    <cellStyle name="20% - Accent5 5" xfId="587" xr:uid="{00000000-0005-0000-0000-00004C010000}"/>
    <cellStyle name="20% - Accent5 6" xfId="588" xr:uid="{00000000-0005-0000-0000-00004D010000}"/>
    <cellStyle name="20% - Accent5 7" xfId="589" xr:uid="{00000000-0005-0000-0000-00004E010000}"/>
    <cellStyle name="20% - Accent5 8" xfId="590" xr:uid="{00000000-0005-0000-0000-00004F010000}"/>
    <cellStyle name="20% - Accent5 9" xfId="591" xr:uid="{00000000-0005-0000-0000-000050010000}"/>
    <cellStyle name="20% - Accent5 9 2" xfId="4851" xr:uid="{00000000-0005-0000-0000-000051010000}"/>
    <cellStyle name="20% - Accent6" xfId="39" builtinId="50" customBuiltin="1"/>
    <cellStyle name="20% - Accent6 10" xfId="592" xr:uid="{00000000-0005-0000-0000-000053010000}"/>
    <cellStyle name="20% - Accent6 10 2" xfId="4852" xr:uid="{00000000-0005-0000-0000-000054010000}"/>
    <cellStyle name="20% - Accent6 11" xfId="593" xr:uid="{00000000-0005-0000-0000-000055010000}"/>
    <cellStyle name="20% - Accent6 11 2" xfId="4853" xr:uid="{00000000-0005-0000-0000-000056010000}"/>
    <cellStyle name="20% - Accent6 12" xfId="594" xr:uid="{00000000-0005-0000-0000-000057010000}"/>
    <cellStyle name="20% - Accent6 13" xfId="595" xr:uid="{00000000-0005-0000-0000-000058010000}"/>
    <cellStyle name="20% - Accent6 14" xfId="596" xr:uid="{00000000-0005-0000-0000-000059010000}"/>
    <cellStyle name="20% - Accent6 15" xfId="597" xr:uid="{00000000-0005-0000-0000-00005A010000}"/>
    <cellStyle name="20% - Accent6 16" xfId="598" xr:uid="{00000000-0005-0000-0000-00005B010000}"/>
    <cellStyle name="20% - Accent6 17" xfId="599" xr:uid="{00000000-0005-0000-0000-00005C010000}"/>
    <cellStyle name="20% - Accent6 18" xfId="600" xr:uid="{00000000-0005-0000-0000-00005D010000}"/>
    <cellStyle name="20% - Accent6 19" xfId="601" xr:uid="{00000000-0005-0000-0000-00005E010000}"/>
    <cellStyle name="20% - Accent6 2" xfId="69" xr:uid="{00000000-0005-0000-0000-00005F010000}"/>
    <cellStyle name="20% - Accent6 2 10" xfId="3481" xr:uid="{00000000-0005-0000-0000-000060010000}"/>
    <cellStyle name="20% - Accent6 2 11" xfId="3482" xr:uid="{00000000-0005-0000-0000-000061010000}"/>
    <cellStyle name="20% - Accent6 2 12" xfId="3483" xr:uid="{00000000-0005-0000-0000-000062010000}"/>
    <cellStyle name="20% - Accent6 2 13" xfId="3484" xr:uid="{00000000-0005-0000-0000-000063010000}"/>
    <cellStyle name="20% - Accent6 2 14" xfId="3485" xr:uid="{00000000-0005-0000-0000-000064010000}"/>
    <cellStyle name="20% - Accent6 2 15" xfId="3486" xr:uid="{00000000-0005-0000-0000-000065010000}"/>
    <cellStyle name="20% - Accent6 2 16" xfId="4854" xr:uid="{00000000-0005-0000-0000-000066010000}"/>
    <cellStyle name="20% - Accent6 2 2" xfId="3487" xr:uid="{00000000-0005-0000-0000-000067010000}"/>
    <cellStyle name="20% - Accent6 2 3" xfId="3488" xr:uid="{00000000-0005-0000-0000-000068010000}"/>
    <cellStyle name="20% - Accent6 2 4" xfId="3489" xr:uid="{00000000-0005-0000-0000-000069010000}"/>
    <cellStyle name="20% - Accent6 2 5" xfId="3490" xr:uid="{00000000-0005-0000-0000-00006A010000}"/>
    <cellStyle name="20% - Accent6 2 6" xfId="3491" xr:uid="{00000000-0005-0000-0000-00006B010000}"/>
    <cellStyle name="20% - Accent6 2 7" xfId="3492" xr:uid="{00000000-0005-0000-0000-00006C010000}"/>
    <cellStyle name="20% - Accent6 2 8" xfId="3493" xr:uid="{00000000-0005-0000-0000-00006D010000}"/>
    <cellStyle name="20% - Accent6 2 9" xfId="3494" xr:uid="{00000000-0005-0000-0000-00006E010000}"/>
    <cellStyle name="20% - Accent6 20" xfId="602" xr:uid="{00000000-0005-0000-0000-00006F010000}"/>
    <cellStyle name="20% - Accent6 21" xfId="603" xr:uid="{00000000-0005-0000-0000-000070010000}"/>
    <cellStyle name="20% - Accent6 22" xfId="604" xr:uid="{00000000-0005-0000-0000-000071010000}"/>
    <cellStyle name="20% - Accent6 23" xfId="605" xr:uid="{00000000-0005-0000-0000-000072010000}"/>
    <cellStyle name="20% - Accent6 24" xfId="606" xr:uid="{00000000-0005-0000-0000-000073010000}"/>
    <cellStyle name="20% - Accent6 25" xfId="607" xr:uid="{00000000-0005-0000-0000-000074010000}"/>
    <cellStyle name="20% - Accent6 26" xfId="608" xr:uid="{00000000-0005-0000-0000-000075010000}"/>
    <cellStyle name="20% - Accent6 27" xfId="609" xr:uid="{00000000-0005-0000-0000-000076010000}"/>
    <cellStyle name="20% - Accent6 28" xfId="610" xr:uid="{00000000-0005-0000-0000-000077010000}"/>
    <cellStyle name="20% - Accent6 29" xfId="611" xr:uid="{00000000-0005-0000-0000-000078010000}"/>
    <cellStyle name="20% - Accent6 3" xfId="70" xr:uid="{00000000-0005-0000-0000-000079010000}"/>
    <cellStyle name="20% - Accent6 3 2" xfId="612" xr:uid="{00000000-0005-0000-0000-00007A010000}"/>
    <cellStyle name="20% - Accent6 3 2 2" xfId="4855" xr:uid="{00000000-0005-0000-0000-00007B010000}"/>
    <cellStyle name="20% - Accent6 3 3" xfId="3495" xr:uid="{00000000-0005-0000-0000-00007C010000}"/>
    <cellStyle name="20% - Accent6 30" xfId="613" xr:uid="{00000000-0005-0000-0000-00007D010000}"/>
    <cellStyle name="20% - Accent6 31" xfId="614" xr:uid="{00000000-0005-0000-0000-00007E010000}"/>
    <cellStyle name="20% - Accent6 32" xfId="615" xr:uid="{00000000-0005-0000-0000-00007F010000}"/>
    <cellStyle name="20% - Accent6 33" xfId="616" xr:uid="{00000000-0005-0000-0000-000080010000}"/>
    <cellStyle name="20% - Accent6 34" xfId="617" xr:uid="{00000000-0005-0000-0000-000081010000}"/>
    <cellStyle name="20% - Accent6 35" xfId="618" xr:uid="{00000000-0005-0000-0000-000082010000}"/>
    <cellStyle name="20% - Accent6 36" xfId="619" xr:uid="{00000000-0005-0000-0000-000083010000}"/>
    <cellStyle name="20% - Accent6 37" xfId="620" xr:uid="{00000000-0005-0000-0000-000084010000}"/>
    <cellStyle name="20% - Accent6 38" xfId="621" xr:uid="{00000000-0005-0000-0000-000085010000}"/>
    <cellStyle name="20% - Accent6 39" xfId="622" xr:uid="{00000000-0005-0000-0000-000086010000}"/>
    <cellStyle name="20% - Accent6 4" xfId="623" xr:uid="{00000000-0005-0000-0000-000087010000}"/>
    <cellStyle name="20% - Accent6 4 2" xfId="3496" xr:uid="{00000000-0005-0000-0000-000088010000}"/>
    <cellStyle name="20% - Accent6 40" xfId="624" xr:uid="{00000000-0005-0000-0000-000089010000}"/>
    <cellStyle name="20% - Accent6 41" xfId="625" xr:uid="{00000000-0005-0000-0000-00008A010000}"/>
    <cellStyle name="20% - Accent6 42" xfId="626" xr:uid="{00000000-0005-0000-0000-00008B010000}"/>
    <cellStyle name="20% - Accent6 43" xfId="627" xr:uid="{00000000-0005-0000-0000-00008C010000}"/>
    <cellStyle name="20% - Accent6 44" xfId="628" xr:uid="{00000000-0005-0000-0000-00008D010000}"/>
    <cellStyle name="20% - Accent6 44 2" xfId="4856" xr:uid="{00000000-0005-0000-0000-00008E010000}"/>
    <cellStyle name="20% - Accent6 5" xfId="629" xr:uid="{00000000-0005-0000-0000-00008F010000}"/>
    <cellStyle name="20% - Accent6 5 2" xfId="3497" xr:uid="{00000000-0005-0000-0000-000090010000}"/>
    <cellStyle name="20% - Accent6 6" xfId="630" xr:uid="{00000000-0005-0000-0000-000091010000}"/>
    <cellStyle name="20% - Accent6 6 2" xfId="3498" xr:uid="{00000000-0005-0000-0000-000092010000}"/>
    <cellStyle name="20% - Accent6 7" xfId="631" xr:uid="{00000000-0005-0000-0000-000093010000}"/>
    <cellStyle name="20% - Accent6 7 2" xfId="3499" xr:uid="{00000000-0005-0000-0000-000094010000}"/>
    <cellStyle name="20% - Accent6 8" xfId="632" xr:uid="{00000000-0005-0000-0000-000095010000}"/>
    <cellStyle name="20% - Accent6 8 2" xfId="3500" xr:uid="{00000000-0005-0000-0000-000096010000}"/>
    <cellStyle name="20% - Accent6 9" xfId="633" xr:uid="{00000000-0005-0000-0000-000097010000}"/>
    <cellStyle name="20% - Accent6 9 2" xfId="4857" xr:uid="{00000000-0005-0000-0000-000098010000}"/>
    <cellStyle name="20% - Akzent1" xfId="634" xr:uid="{00000000-0005-0000-0000-000099010000}"/>
    <cellStyle name="20% - Akzent2" xfId="635" xr:uid="{00000000-0005-0000-0000-00009A010000}"/>
    <cellStyle name="20% - Akzent3" xfId="636" xr:uid="{00000000-0005-0000-0000-00009B010000}"/>
    <cellStyle name="20% - Akzent4" xfId="637" xr:uid="{00000000-0005-0000-0000-00009C010000}"/>
    <cellStyle name="20% - Akzent5" xfId="638" xr:uid="{00000000-0005-0000-0000-00009D010000}"/>
    <cellStyle name="20% - Akzent6" xfId="639" xr:uid="{00000000-0005-0000-0000-00009E010000}"/>
    <cellStyle name="2x indented GHG Textfiels" xfId="640" xr:uid="{00000000-0005-0000-0000-00009F010000}"/>
    <cellStyle name="40% - Accent1" xfId="20" builtinId="31" customBuiltin="1"/>
    <cellStyle name="40% - Accent1 10" xfId="641" xr:uid="{00000000-0005-0000-0000-0000A1010000}"/>
    <cellStyle name="40% - Accent1 10 2" xfId="4858" xr:uid="{00000000-0005-0000-0000-0000A2010000}"/>
    <cellStyle name="40% - Accent1 11" xfId="642" xr:uid="{00000000-0005-0000-0000-0000A3010000}"/>
    <cellStyle name="40% - Accent1 11 2" xfId="4859" xr:uid="{00000000-0005-0000-0000-0000A4010000}"/>
    <cellStyle name="40% - Accent1 12" xfId="643" xr:uid="{00000000-0005-0000-0000-0000A5010000}"/>
    <cellStyle name="40% - Accent1 13" xfId="644" xr:uid="{00000000-0005-0000-0000-0000A6010000}"/>
    <cellStyle name="40% - Accent1 14" xfId="645" xr:uid="{00000000-0005-0000-0000-0000A7010000}"/>
    <cellStyle name="40% - Accent1 15" xfId="646" xr:uid="{00000000-0005-0000-0000-0000A8010000}"/>
    <cellStyle name="40% - Accent1 16" xfId="647" xr:uid="{00000000-0005-0000-0000-0000A9010000}"/>
    <cellStyle name="40% - Accent1 17" xfId="648" xr:uid="{00000000-0005-0000-0000-0000AA010000}"/>
    <cellStyle name="40% - Accent1 18" xfId="649" xr:uid="{00000000-0005-0000-0000-0000AB010000}"/>
    <cellStyle name="40% - Accent1 19" xfId="650" xr:uid="{00000000-0005-0000-0000-0000AC010000}"/>
    <cellStyle name="40% - Accent1 2" xfId="71" xr:uid="{00000000-0005-0000-0000-0000AD010000}"/>
    <cellStyle name="40% - Accent1 2 10" xfId="3501" xr:uid="{00000000-0005-0000-0000-0000AE010000}"/>
    <cellStyle name="40% - Accent1 2 11" xfId="3502" xr:uid="{00000000-0005-0000-0000-0000AF010000}"/>
    <cellStyle name="40% - Accent1 2 12" xfId="3503" xr:uid="{00000000-0005-0000-0000-0000B0010000}"/>
    <cellStyle name="40% - Accent1 2 13" xfId="3504" xr:uid="{00000000-0005-0000-0000-0000B1010000}"/>
    <cellStyle name="40% - Accent1 2 14" xfId="3505" xr:uid="{00000000-0005-0000-0000-0000B2010000}"/>
    <cellStyle name="40% - Accent1 2 15" xfId="3506" xr:uid="{00000000-0005-0000-0000-0000B3010000}"/>
    <cellStyle name="40% - Accent1 2 16" xfId="4860" xr:uid="{00000000-0005-0000-0000-0000B4010000}"/>
    <cellStyle name="40% - Accent1 2 2" xfId="3507" xr:uid="{00000000-0005-0000-0000-0000B5010000}"/>
    <cellStyle name="40% - Accent1 2 3" xfId="3508" xr:uid="{00000000-0005-0000-0000-0000B6010000}"/>
    <cellStyle name="40% - Accent1 2 4" xfId="3509" xr:uid="{00000000-0005-0000-0000-0000B7010000}"/>
    <cellStyle name="40% - Accent1 2 5" xfId="3510" xr:uid="{00000000-0005-0000-0000-0000B8010000}"/>
    <cellStyle name="40% - Accent1 2 6" xfId="3511" xr:uid="{00000000-0005-0000-0000-0000B9010000}"/>
    <cellStyle name="40% - Accent1 2 7" xfId="3512" xr:uid="{00000000-0005-0000-0000-0000BA010000}"/>
    <cellStyle name="40% - Accent1 2 8" xfId="3513" xr:uid="{00000000-0005-0000-0000-0000BB010000}"/>
    <cellStyle name="40% - Accent1 2 9" xfId="3514" xr:uid="{00000000-0005-0000-0000-0000BC010000}"/>
    <cellStyle name="40% - Accent1 20" xfId="651" xr:uid="{00000000-0005-0000-0000-0000BD010000}"/>
    <cellStyle name="40% - Accent1 21" xfId="652" xr:uid="{00000000-0005-0000-0000-0000BE010000}"/>
    <cellStyle name="40% - Accent1 22" xfId="653" xr:uid="{00000000-0005-0000-0000-0000BF010000}"/>
    <cellStyle name="40% - Accent1 23" xfId="654" xr:uid="{00000000-0005-0000-0000-0000C0010000}"/>
    <cellStyle name="40% - Accent1 24" xfId="655" xr:uid="{00000000-0005-0000-0000-0000C1010000}"/>
    <cellStyle name="40% - Accent1 25" xfId="656" xr:uid="{00000000-0005-0000-0000-0000C2010000}"/>
    <cellStyle name="40% - Accent1 26" xfId="657" xr:uid="{00000000-0005-0000-0000-0000C3010000}"/>
    <cellStyle name="40% - Accent1 27" xfId="658" xr:uid="{00000000-0005-0000-0000-0000C4010000}"/>
    <cellStyle name="40% - Accent1 28" xfId="659" xr:uid="{00000000-0005-0000-0000-0000C5010000}"/>
    <cellStyle name="40% - Accent1 29" xfId="660" xr:uid="{00000000-0005-0000-0000-0000C6010000}"/>
    <cellStyle name="40% - Accent1 3" xfId="72" xr:uid="{00000000-0005-0000-0000-0000C7010000}"/>
    <cellStyle name="40% - Accent1 3 2" xfId="661" xr:uid="{00000000-0005-0000-0000-0000C8010000}"/>
    <cellStyle name="40% - Accent1 3 2 2" xfId="4861" xr:uid="{00000000-0005-0000-0000-0000C9010000}"/>
    <cellStyle name="40% - Accent1 3 3" xfId="3515" xr:uid="{00000000-0005-0000-0000-0000CA010000}"/>
    <cellStyle name="40% - Accent1 30" xfId="662" xr:uid="{00000000-0005-0000-0000-0000CB010000}"/>
    <cellStyle name="40% - Accent1 31" xfId="663" xr:uid="{00000000-0005-0000-0000-0000CC010000}"/>
    <cellStyle name="40% - Accent1 32" xfId="664" xr:uid="{00000000-0005-0000-0000-0000CD010000}"/>
    <cellStyle name="40% - Accent1 33" xfId="665" xr:uid="{00000000-0005-0000-0000-0000CE010000}"/>
    <cellStyle name="40% - Accent1 34" xfId="666" xr:uid="{00000000-0005-0000-0000-0000CF010000}"/>
    <cellStyle name="40% - Accent1 35" xfId="667" xr:uid="{00000000-0005-0000-0000-0000D0010000}"/>
    <cellStyle name="40% - Accent1 36" xfId="668" xr:uid="{00000000-0005-0000-0000-0000D1010000}"/>
    <cellStyle name="40% - Accent1 37" xfId="669" xr:uid="{00000000-0005-0000-0000-0000D2010000}"/>
    <cellStyle name="40% - Accent1 38" xfId="670" xr:uid="{00000000-0005-0000-0000-0000D3010000}"/>
    <cellStyle name="40% - Accent1 39" xfId="671" xr:uid="{00000000-0005-0000-0000-0000D4010000}"/>
    <cellStyle name="40% - Accent1 4" xfId="672" xr:uid="{00000000-0005-0000-0000-0000D5010000}"/>
    <cellStyle name="40% - Accent1 4 2" xfId="3516" xr:uid="{00000000-0005-0000-0000-0000D6010000}"/>
    <cellStyle name="40% - Accent1 40" xfId="673" xr:uid="{00000000-0005-0000-0000-0000D7010000}"/>
    <cellStyle name="40% - Accent1 41" xfId="674" xr:uid="{00000000-0005-0000-0000-0000D8010000}"/>
    <cellStyle name="40% - Accent1 42" xfId="675" xr:uid="{00000000-0005-0000-0000-0000D9010000}"/>
    <cellStyle name="40% - Accent1 43" xfId="676" xr:uid="{00000000-0005-0000-0000-0000DA010000}"/>
    <cellStyle name="40% - Accent1 5" xfId="677" xr:uid="{00000000-0005-0000-0000-0000DB010000}"/>
    <cellStyle name="40% - Accent1 5 2" xfId="3517" xr:uid="{00000000-0005-0000-0000-0000DC010000}"/>
    <cellStyle name="40% - Accent1 6" xfId="678" xr:uid="{00000000-0005-0000-0000-0000DD010000}"/>
    <cellStyle name="40% - Accent1 6 2" xfId="3518" xr:uid="{00000000-0005-0000-0000-0000DE010000}"/>
    <cellStyle name="40% - Accent1 7" xfId="679" xr:uid="{00000000-0005-0000-0000-0000DF010000}"/>
    <cellStyle name="40% - Accent1 7 2" xfId="3519" xr:uid="{00000000-0005-0000-0000-0000E0010000}"/>
    <cellStyle name="40% - Accent1 8" xfId="680" xr:uid="{00000000-0005-0000-0000-0000E1010000}"/>
    <cellStyle name="40% - Accent1 8 2" xfId="3520" xr:uid="{00000000-0005-0000-0000-0000E2010000}"/>
    <cellStyle name="40% - Accent1 9" xfId="681" xr:uid="{00000000-0005-0000-0000-0000E3010000}"/>
    <cellStyle name="40% - Accent1 9 2" xfId="4862" xr:uid="{00000000-0005-0000-0000-0000E4010000}"/>
    <cellStyle name="40% - Accent2" xfId="24" builtinId="35" customBuiltin="1"/>
    <cellStyle name="40% - Accent2 10" xfId="682" xr:uid="{00000000-0005-0000-0000-0000E6010000}"/>
    <cellStyle name="40% - Accent2 10 2" xfId="4863" xr:uid="{00000000-0005-0000-0000-0000E7010000}"/>
    <cellStyle name="40% - Accent2 11" xfId="683" xr:uid="{00000000-0005-0000-0000-0000E8010000}"/>
    <cellStyle name="40% - Accent2 11 2" xfId="4864" xr:uid="{00000000-0005-0000-0000-0000E9010000}"/>
    <cellStyle name="40% - Accent2 12" xfId="684" xr:uid="{00000000-0005-0000-0000-0000EA010000}"/>
    <cellStyle name="40% - Accent2 13" xfId="685" xr:uid="{00000000-0005-0000-0000-0000EB010000}"/>
    <cellStyle name="40% - Accent2 14" xfId="686" xr:uid="{00000000-0005-0000-0000-0000EC010000}"/>
    <cellStyle name="40% - Accent2 15" xfId="687" xr:uid="{00000000-0005-0000-0000-0000ED010000}"/>
    <cellStyle name="40% - Accent2 16" xfId="688" xr:uid="{00000000-0005-0000-0000-0000EE010000}"/>
    <cellStyle name="40% - Accent2 17" xfId="689" xr:uid="{00000000-0005-0000-0000-0000EF010000}"/>
    <cellStyle name="40% - Accent2 18" xfId="690" xr:uid="{00000000-0005-0000-0000-0000F0010000}"/>
    <cellStyle name="40% - Accent2 19" xfId="691" xr:uid="{00000000-0005-0000-0000-0000F1010000}"/>
    <cellStyle name="40% - Accent2 2" xfId="73" xr:uid="{00000000-0005-0000-0000-0000F2010000}"/>
    <cellStyle name="40% - Accent2 2 10" xfId="3521" xr:uid="{00000000-0005-0000-0000-0000F3010000}"/>
    <cellStyle name="40% - Accent2 2 11" xfId="3522" xr:uid="{00000000-0005-0000-0000-0000F4010000}"/>
    <cellStyle name="40% - Accent2 2 12" xfId="3523" xr:uid="{00000000-0005-0000-0000-0000F5010000}"/>
    <cellStyle name="40% - Accent2 2 13" xfId="3524" xr:uid="{00000000-0005-0000-0000-0000F6010000}"/>
    <cellStyle name="40% - Accent2 2 14" xfId="3525" xr:uid="{00000000-0005-0000-0000-0000F7010000}"/>
    <cellStyle name="40% - Accent2 2 15" xfId="3526" xr:uid="{00000000-0005-0000-0000-0000F8010000}"/>
    <cellStyle name="40% - Accent2 2 2" xfId="3527" xr:uid="{00000000-0005-0000-0000-0000F9010000}"/>
    <cellStyle name="40% - Accent2 2 3" xfId="3528" xr:uid="{00000000-0005-0000-0000-0000FA010000}"/>
    <cellStyle name="40% - Accent2 2 4" xfId="3529" xr:uid="{00000000-0005-0000-0000-0000FB010000}"/>
    <cellStyle name="40% - Accent2 2 5" xfId="3530" xr:uid="{00000000-0005-0000-0000-0000FC010000}"/>
    <cellStyle name="40% - Accent2 2 6" xfId="3531" xr:uid="{00000000-0005-0000-0000-0000FD010000}"/>
    <cellStyle name="40% - Accent2 2 7" xfId="3532" xr:uid="{00000000-0005-0000-0000-0000FE010000}"/>
    <cellStyle name="40% - Accent2 2 8" xfId="3533" xr:uid="{00000000-0005-0000-0000-0000FF010000}"/>
    <cellStyle name="40% - Accent2 2 9" xfId="3534" xr:uid="{00000000-0005-0000-0000-000000020000}"/>
    <cellStyle name="40% - Accent2 20" xfId="692" xr:uid="{00000000-0005-0000-0000-000001020000}"/>
    <cellStyle name="40% - Accent2 21" xfId="693" xr:uid="{00000000-0005-0000-0000-000002020000}"/>
    <cellStyle name="40% - Accent2 22" xfId="694" xr:uid="{00000000-0005-0000-0000-000003020000}"/>
    <cellStyle name="40% - Accent2 23" xfId="695" xr:uid="{00000000-0005-0000-0000-000004020000}"/>
    <cellStyle name="40% - Accent2 24" xfId="696" xr:uid="{00000000-0005-0000-0000-000005020000}"/>
    <cellStyle name="40% - Accent2 25" xfId="697" xr:uid="{00000000-0005-0000-0000-000006020000}"/>
    <cellStyle name="40% - Accent2 26" xfId="698" xr:uid="{00000000-0005-0000-0000-000007020000}"/>
    <cellStyle name="40% - Accent2 27" xfId="699" xr:uid="{00000000-0005-0000-0000-000008020000}"/>
    <cellStyle name="40% - Accent2 28" xfId="700" xr:uid="{00000000-0005-0000-0000-000009020000}"/>
    <cellStyle name="40% - Accent2 29" xfId="701" xr:uid="{00000000-0005-0000-0000-00000A020000}"/>
    <cellStyle name="40% - Accent2 3" xfId="74" xr:uid="{00000000-0005-0000-0000-00000B020000}"/>
    <cellStyle name="40% - Accent2 3 2" xfId="702" xr:uid="{00000000-0005-0000-0000-00000C020000}"/>
    <cellStyle name="40% - Accent2 30" xfId="703" xr:uid="{00000000-0005-0000-0000-00000D020000}"/>
    <cellStyle name="40% - Accent2 31" xfId="704" xr:uid="{00000000-0005-0000-0000-00000E020000}"/>
    <cellStyle name="40% - Accent2 32" xfId="705" xr:uid="{00000000-0005-0000-0000-00000F020000}"/>
    <cellStyle name="40% - Accent2 33" xfId="706" xr:uid="{00000000-0005-0000-0000-000010020000}"/>
    <cellStyle name="40% - Accent2 34" xfId="707" xr:uid="{00000000-0005-0000-0000-000011020000}"/>
    <cellStyle name="40% - Accent2 35" xfId="708" xr:uid="{00000000-0005-0000-0000-000012020000}"/>
    <cellStyle name="40% - Accent2 36" xfId="709" xr:uid="{00000000-0005-0000-0000-000013020000}"/>
    <cellStyle name="40% - Accent2 37" xfId="710" xr:uid="{00000000-0005-0000-0000-000014020000}"/>
    <cellStyle name="40% - Accent2 38" xfId="711" xr:uid="{00000000-0005-0000-0000-000015020000}"/>
    <cellStyle name="40% - Accent2 39" xfId="712" xr:uid="{00000000-0005-0000-0000-000016020000}"/>
    <cellStyle name="40% - Accent2 4" xfId="713" xr:uid="{00000000-0005-0000-0000-000017020000}"/>
    <cellStyle name="40% - Accent2 40" xfId="714" xr:uid="{00000000-0005-0000-0000-000018020000}"/>
    <cellStyle name="40% - Accent2 41" xfId="715" xr:uid="{00000000-0005-0000-0000-000019020000}"/>
    <cellStyle name="40% - Accent2 42" xfId="716" xr:uid="{00000000-0005-0000-0000-00001A020000}"/>
    <cellStyle name="40% - Accent2 43" xfId="717" xr:uid="{00000000-0005-0000-0000-00001B020000}"/>
    <cellStyle name="40% - Accent2 5" xfId="718" xr:uid="{00000000-0005-0000-0000-00001C020000}"/>
    <cellStyle name="40% - Accent2 6" xfId="719" xr:uid="{00000000-0005-0000-0000-00001D020000}"/>
    <cellStyle name="40% - Accent2 7" xfId="720" xr:uid="{00000000-0005-0000-0000-00001E020000}"/>
    <cellStyle name="40% - Accent2 8" xfId="721" xr:uid="{00000000-0005-0000-0000-00001F020000}"/>
    <cellStyle name="40% - Accent2 9" xfId="722" xr:uid="{00000000-0005-0000-0000-000020020000}"/>
    <cellStyle name="40% - Accent2 9 2" xfId="4865" xr:uid="{00000000-0005-0000-0000-000021020000}"/>
    <cellStyle name="40% - Accent3" xfId="28" builtinId="39" customBuiltin="1"/>
    <cellStyle name="40% - Accent3 10" xfId="723" xr:uid="{00000000-0005-0000-0000-000023020000}"/>
    <cellStyle name="40% - Accent3 10 2" xfId="4866" xr:uid="{00000000-0005-0000-0000-000024020000}"/>
    <cellStyle name="40% - Accent3 11" xfId="724" xr:uid="{00000000-0005-0000-0000-000025020000}"/>
    <cellStyle name="40% - Accent3 11 2" xfId="4867" xr:uid="{00000000-0005-0000-0000-000026020000}"/>
    <cellStyle name="40% - Accent3 12" xfId="725" xr:uid="{00000000-0005-0000-0000-000027020000}"/>
    <cellStyle name="40% - Accent3 13" xfId="726" xr:uid="{00000000-0005-0000-0000-000028020000}"/>
    <cellStyle name="40% - Accent3 14" xfId="727" xr:uid="{00000000-0005-0000-0000-000029020000}"/>
    <cellStyle name="40% - Accent3 15" xfId="728" xr:uid="{00000000-0005-0000-0000-00002A020000}"/>
    <cellStyle name="40% - Accent3 16" xfId="729" xr:uid="{00000000-0005-0000-0000-00002B020000}"/>
    <cellStyle name="40% - Accent3 17" xfId="730" xr:uid="{00000000-0005-0000-0000-00002C020000}"/>
    <cellStyle name="40% - Accent3 18" xfId="731" xr:uid="{00000000-0005-0000-0000-00002D020000}"/>
    <cellStyle name="40% - Accent3 19" xfId="732" xr:uid="{00000000-0005-0000-0000-00002E020000}"/>
    <cellStyle name="40% - Accent3 2" xfId="75" xr:uid="{00000000-0005-0000-0000-00002F020000}"/>
    <cellStyle name="40% - Accent3 2 10" xfId="3535" xr:uid="{00000000-0005-0000-0000-000030020000}"/>
    <cellStyle name="40% - Accent3 2 11" xfId="3536" xr:uid="{00000000-0005-0000-0000-000031020000}"/>
    <cellStyle name="40% - Accent3 2 12" xfId="3537" xr:uid="{00000000-0005-0000-0000-000032020000}"/>
    <cellStyle name="40% - Accent3 2 13" xfId="3538" xr:uid="{00000000-0005-0000-0000-000033020000}"/>
    <cellStyle name="40% - Accent3 2 14" xfId="3539" xr:uid="{00000000-0005-0000-0000-000034020000}"/>
    <cellStyle name="40% - Accent3 2 15" xfId="3540" xr:uid="{00000000-0005-0000-0000-000035020000}"/>
    <cellStyle name="40% - Accent3 2 16" xfId="4868" xr:uid="{00000000-0005-0000-0000-000036020000}"/>
    <cellStyle name="40% - Accent3 2 2" xfId="3541" xr:uid="{00000000-0005-0000-0000-000037020000}"/>
    <cellStyle name="40% - Accent3 2 3" xfId="3542" xr:uid="{00000000-0005-0000-0000-000038020000}"/>
    <cellStyle name="40% - Accent3 2 4" xfId="3543" xr:uid="{00000000-0005-0000-0000-000039020000}"/>
    <cellStyle name="40% - Accent3 2 5" xfId="3544" xr:uid="{00000000-0005-0000-0000-00003A020000}"/>
    <cellStyle name="40% - Accent3 2 6" xfId="3545" xr:uid="{00000000-0005-0000-0000-00003B020000}"/>
    <cellStyle name="40% - Accent3 2 7" xfId="3546" xr:uid="{00000000-0005-0000-0000-00003C020000}"/>
    <cellStyle name="40% - Accent3 2 8" xfId="3547" xr:uid="{00000000-0005-0000-0000-00003D020000}"/>
    <cellStyle name="40% - Accent3 2 9" xfId="3548" xr:uid="{00000000-0005-0000-0000-00003E020000}"/>
    <cellStyle name="40% - Accent3 20" xfId="733" xr:uid="{00000000-0005-0000-0000-00003F020000}"/>
    <cellStyle name="40% - Accent3 21" xfId="734" xr:uid="{00000000-0005-0000-0000-000040020000}"/>
    <cellStyle name="40% - Accent3 22" xfId="735" xr:uid="{00000000-0005-0000-0000-000041020000}"/>
    <cellStyle name="40% - Accent3 23" xfId="736" xr:uid="{00000000-0005-0000-0000-000042020000}"/>
    <cellStyle name="40% - Accent3 24" xfId="737" xr:uid="{00000000-0005-0000-0000-000043020000}"/>
    <cellStyle name="40% - Accent3 25" xfId="738" xr:uid="{00000000-0005-0000-0000-000044020000}"/>
    <cellStyle name="40% - Accent3 26" xfId="739" xr:uid="{00000000-0005-0000-0000-000045020000}"/>
    <cellStyle name="40% - Accent3 27" xfId="740" xr:uid="{00000000-0005-0000-0000-000046020000}"/>
    <cellStyle name="40% - Accent3 28" xfId="741" xr:uid="{00000000-0005-0000-0000-000047020000}"/>
    <cellStyle name="40% - Accent3 29" xfId="742" xr:uid="{00000000-0005-0000-0000-000048020000}"/>
    <cellStyle name="40% - Accent3 3" xfId="76" xr:uid="{00000000-0005-0000-0000-000049020000}"/>
    <cellStyle name="40% - Accent3 3 2" xfId="743" xr:uid="{00000000-0005-0000-0000-00004A020000}"/>
    <cellStyle name="40% - Accent3 3 2 2" xfId="4869" xr:uid="{00000000-0005-0000-0000-00004B020000}"/>
    <cellStyle name="40% - Accent3 3 3" xfId="3549" xr:uid="{00000000-0005-0000-0000-00004C020000}"/>
    <cellStyle name="40% - Accent3 30" xfId="744" xr:uid="{00000000-0005-0000-0000-00004D020000}"/>
    <cellStyle name="40% - Accent3 31" xfId="745" xr:uid="{00000000-0005-0000-0000-00004E020000}"/>
    <cellStyle name="40% - Accent3 32" xfId="746" xr:uid="{00000000-0005-0000-0000-00004F020000}"/>
    <cellStyle name="40% - Accent3 33" xfId="747" xr:uid="{00000000-0005-0000-0000-000050020000}"/>
    <cellStyle name="40% - Accent3 34" xfId="748" xr:uid="{00000000-0005-0000-0000-000051020000}"/>
    <cellStyle name="40% - Accent3 35" xfId="749" xr:uid="{00000000-0005-0000-0000-000052020000}"/>
    <cellStyle name="40% - Accent3 36" xfId="750" xr:uid="{00000000-0005-0000-0000-000053020000}"/>
    <cellStyle name="40% - Accent3 37" xfId="751" xr:uid="{00000000-0005-0000-0000-000054020000}"/>
    <cellStyle name="40% - Accent3 38" xfId="752" xr:uid="{00000000-0005-0000-0000-000055020000}"/>
    <cellStyle name="40% - Accent3 39" xfId="753" xr:uid="{00000000-0005-0000-0000-000056020000}"/>
    <cellStyle name="40% - Accent3 4" xfId="754" xr:uid="{00000000-0005-0000-0000-000057020000}"/>
    <cellStyle name="40% - Accent3 4 2" xfId="3550" xr:uid="{00000000-0005-0000-0000-000058020000}"/>
    <cellStyle name="40% - Accent3 40" xfId="755" xr:uid="{00000000-0005-0000-0000-000059020000}"/>
    <cellStyle name="40% - Accent3 41" xfId="756" xr:uid="{00000000-0005-0000-0000-00005A020000}"/>
    <cellStyle name="40% - Accent3 42" xfId="757" xr:uid="{00000000-0005-0000-0000-00005B020000}"/>
    <cellStyle name="40% - Accent3 43" xfId="758" xr:uid="{00000000-0005-0000-0000-00005C020000}"/>
    <cellStyle name="40% - Accent3 5" xfId="759" xr:uid="{00000000-0005-0000-0000-00005D020000}"/>
    <cellStyle name="40% - Accent3 5 2" xfId="3551" xr:uid="{00000000-0005-0000-0000-00005E020000}"/>
    <cellStyle name="40% - Accent3 6" xfId="760" xr:uid="{00000000-0005-0000-0000-00005F020000}"/>
    <cellStyle name="40% - Accent3 6 2" xfId="3552" xr:uid="{00000000-0005-0000-0000-000060020000}"/>
    <cellStyle name="40% - Accent3 7" xfId="761" xr:uid="{00000000-0005-0000-0000-000061020000}"/>
    <cellStyle name="40% - Accent3 7 2" xfId="3553" xr:uid="{00000000-0005-0000-0000-000062020000}"/>
    <cellStyle name="40% - Accent3 8" xfId="762" xr:uid="{00000000-0005-0000-0000-000063020000}"/>
    <cellStyle name="40% - Accent3 8 2" xfId="3554" xr:uid="{00000000-0005-0000-0000-000064020000}"/>
    <cellStyle name="40% - Accent3 9" xfId="763" xr:uid="{00000000-0005-0000-0000-000065020000}"/>
    <cellStyle name="40% - Accent3 9 2" xfId="4870" xr:uid="{00000000-0005-0000-0000-000066020000}"/>
    <cellStyle name="40% - Accent4" xfId="32" builtinId="43" customBuiltin="1"/>
    <cellStyle name="40% - Accent4 10" xfId="764" xr:uid="{00000000-0005-0000-0000-000068020000}"/>
    <cellStyle name="40% - Accent4 10 2" xfId="4871" xr:uid="{00000000-0005-0000-0000-000069020000}"/>
    <cellStyle name="40% - Accent4 11" xfId="765" xr:uid="{00000000-0005-0000-0000-00006A020000}"/>
    <cellStyle name="40% - Accent4 11 2" xfId="4872" xr:uid="{00000000-0005-0000-0000-00006B020000}"/>
    <cellStyle name="40% - Accent4 12" xfId="766" xr:uid="{00000000-0005-0000-0000-00006C020000}"/>
    <cellStyle name="40% - Accent4 13" xfId="767" xr:uid="{00000000-0005-0000-0000-00006D020000}"/>
    <cellStyle name="40% - Accent4 14" xfId="768" xr:uid="{00000000-0005-0000-0000-00006E020000}"/>
    <cellStyle name="40% - Accent4 15" xfId="769" xr:uid="{00000000-0005-0000-0000-00006F020000}"/>
    <cellStyle name="40% - Accent4 16" xfId="770" xr:uid="{00000000-0005-0000-0000-000070020000}"/>
    <cellStyle name="40% - Accent4 17" xfId="771" xr:uid="{00000000-0005-0000-0000-000071020000}"/>
    <cellStyle name="40% - Accent4 18" xfId="772" xr:uid="{00000000-0005-0000-0000-000072020000}"/>
    <cellStyle name="40% - Accent4 19" xfId="773" xr:uid="{00000000-0005-0000-0000-000073020000}"/>
    <cellStyle name="40% - Accent4 2" xfId="77" xr:uid="{00000000-0005-0000-0000-000074020000}"/>
    <cellStyle name="40% - Accent4 2 10" xfId="3555" xr:uid="{00000000-0005-0000-0000-000075020000}"/>
    <cellStyle name="40% - Accent4 2 11" xfId="3556" xr:uid="{00000000-0005-0000-0000-000076020000}"/>
    <cellStyle name="40% - Accent4 2 12" xfId="3557" xr:uid="{00000000-0005-0000-0000-000077020000}"/>
    <cellStyle name="40% - Accent4 2 13" xfId="3558" xr:uid="{00000000-0005-0000-0000-000078020000}"/>
    <cellStyle name="40% - Accent4 2 14" xfId="3559" xr:uid="{00000000-0005-0000-0000-000079020000}"/>
    <cellStyle name="40% - Accent4 2 15" xfId="3560" xr:uid="{00000000-0005-0000-0000-00007A020000}"/>
    <cellStyle name="40% - Accent4 2 16" xfId="4873" xr:uid="{00000000-0005-0000-0000-00007B020000}"/>
    <cellStyle name="40% - Accent4 2 2" xfId="3561" xr:uid="{00000000-0005-0000-0000-00007C020000}"/>
    <cellStyle name="40% - Accent4 2 3" xfId="3562" xr:uid="{00000000-0005-0000-0000-00007D020000}"/>
    <cellStyle name="40% - Accent4 2 4" xfId="3563" xr:uid="{00000000-0005-0000-0000-00007E020000}"/>
    <cellStyle name="40% - Accent4 2 5" xfId="3564" xr:uid="{00000000-0005-0000-0000-00007F020000}"/>
    <cellStyle name="40% - Accent4 2 6" xfId="3565" xr:uid="{00000000-0005-0000-0000-000080020000}"/>
    <cellStyle name="40% - Accent4 2 7" xfId="3566" xr:uid="{00000000-0005-0000-0000-000081020000}"/>
    <cellStyle name="40% - Accent4 2 8" xfId="3567" xr:uid="{00000000-0005-0000-0000-000082020000}"/>
    <cellStyle name="40% - Accent4 2 9" xfId="3568" xr:uid="{00000000-0005-0000-0000-000083020000}"/>
    <cellStyle name="40% - Accent4 20" xfId="774" xr:uid="{00000000-0005-0000-0000-000084020000}"/>
    <cellStyle name="40% - Accent4 21" xfId="775" xr:uid="{00000000-0005-0000-0000-000085020000}"/>
    <cellStyle name="40% - Accent4 22" xfId="776" xr:uid="{00000000-0005-0000-0000-000086020000}"/>
    <cellStyle name="40% - Accent4 23" xfId="777" xr:uid="{00000000-0005-0000-0000-000087020000}"/>
    <cellStyle name="40% - Accent4 24" xfId="778" xr:uid="{00000000-0005-0000-0000-000088020000}"/>
    <cellStyle name="40% - Accent4 25" xfId="779" xr:uid="{00000000-0005-0000-0000-000089020000}"/>
    <cellStyle name="40% - Accent4 26" xfId="780" xr:uid="{00000000-0005-0000-0000-00008A020000}"/>
    <cellStyle name="40% - Accent4 27" xfId="781" xr:uid="{00000000-0005-0000-0000-00008B020000}"/>
    <cellStyle name="40% - Accent4 28" xfId="782" xr:uid="{00000000-0005-0000-0000-00008C020000}"/>
    <cellStyle name="40% - Accent4 29" xfId="783" xr:uid="{00000000-0005-0000-0000-00008D020000}"/>
    <cellStyle name="40% - Accent4 3" xfId="78" xr:uid="{00000000-0005-0000-0000-00008E020000}"/>
    <cellStyle name="40% - Accent4 3 2" xfId="784" xr:uid="{00000000-0005-0000-0000-00008F020000}"/>
    <cellStyle name="40% - Accent4 3 2 2" xfId="4874" xr:uid="{00000000-0005-0000-0000-000090020000}"/>
    <cellStyle name="40% - Accent4 3 3" xfId="3569" xr:uid="{00000000-0005-0000-0000-000091020000}"/>
    <cellStyle name="40% - Accent4 30" xfId="785" xr:uid="{00000000-0005-0000-0000-000092020000}"/>
    <cellStyle name="40% - Accent4 31" xfId="786" xr:uid="{00000000-0005-0000-0000-000093020000}"/>
    <cellStyle name="40% - Accent4 32" xfId="787" xr:uid="{00000000-0005-0000-0000-000094020000}"/>
    <cellStyle name="40% - Accent4 33" xfId="788" xr:uid="{00000000-0005-0000-0000-000095020000}"/>
    <cellStyle name="40% - Accent4 34" xfId="789" xr:uid="{00000000-0005-0000-0000-000096020000}"/>
    <cellStyle name="40% - Accent4 35" xfId="790" xr:uid="{00000000-0005-0000-0000-000097020000}"/>
    <cellStyle name="40% - Accent4 36" xfId="791" xr:uid="{00000000-0005-0000-0000-000098020000}"/>
    <cellStyle name="40% - Accent4 37" xfId="792" xr:uid="{00000000-0005-0000-0000-000099020000}"/>
    <cellStyle name="40% - Accent4 38" xfId="793" xr:uid="{00000000-0005-0000-0000-00009A020000}"/>
    <cellStyle name="40% - Accent4 39" xfId="794" xr:uid="{00000000-0005-0000-0000-00009B020000}"/>
    <cellStyle name="40% - Accent4 4" xfId="795" xr:uid="{00000000-0005-0000-0000-00009C020000}"/>
    <cellStyle name="40% - Accent4 4 2" xfId="3570" xr:uid="{00000000-0005-0000-0000-00009D020000}"/>
    <cellStyle name="40% - Accent4 40" xfId="796" xr:uid="{00000000-0005-0000-0000-00009E020000}"/>
    <cellStyle name="40% - Accent4 41" xfId="797" xr:uid="{00000000-0005-0000-0000-00009F020000}"/>
    <cellStyle name="40% - Accent4 42" xfId="798" xr:uid="{00000000-0005-0000-0000-0000A0020000}"/>
    <cellStyle name="40% - Accent4 43" xfId="799" xr:uid="{00000000-0005-0000-0000-0000A1020000}"/>
    <cellStyle name="40% - Accent4 5" xfId="800" xr:uid="{00000000-0005-0000-0000-0000A2020000}"/>
    <cellStyle name="40% - Accent4 5 2" xfId="3571" xr:uid="{00000000-0005-0000-0000-0000A3020000}"/>
    <cellStyle name="40% - Accent4 6" xfId="801" xr:uid="{00000000-0005-0000-0000-0000A4020000}"/>
    <cellStyle name="40% - Accent4 6 2" xfId="3572" xr:uid="{00000000-0005-0000-0000-0000A5020000}"/>
    <cellStyle name="40% - Accent4 7" xfId="802" xr:uid="{00000000-0005-0000-0000-0000A6020000}"/>
    <cellStyle name="40% - Accent4 7 2" xfId="3573" xr:uid="{00000000-0005-0000-0000-0000A7020000}"/>
    <cellStyle name="40% - Accent4 8" xfId="803" xr:uid="{00000000-0005-0000-0000-0000A8020000}"/>
    <cellStyle name="40% - Accent4 8 2" xfId="3574" xr:uid="{00000000-0005-0000-0000-0000A9020000}"/>
    <cellStyle name="40% - Accent4 9" xfId="804" xr:uid="{00000000-0005-0000-0000-0000AA020000}"/>
    <cellStyle name="40% - Accent4 9 2" xfId="4875" xr:uid="{00000000-0005-0000-0000-0000AB020000}"/>
    <cellStyle name="40% - Accent5" xfId="36" builtinId="47" customBuiltin="1"/>
    <cellStyle name="40% - Accent5 10" xfId="805" xr:uid="{00000000-0005-0000-0000-0000AD020000}"/>
    <cellStyle name="40% - Accent5 10 2" xfId="4876" xr:uid="{00000000-0005-0000-0000-0000AE020000}"/>
    <cellStyle name="40% - Accent5 11" xfId="806" xr:uid="{00000000-0005-0000-0000-0000AF020000}"/>
    <cellStyle name="40% - Accent5 11 2" xfId="4877" xr:uid="{00000000-0005-0000-0000-0000B0020000}"/>
    <cellStyle name="40% - Accent5 12" xfId="807" xr:uid="{00000000-0005-0000-0000-0000B1020000}"/>
    <cellStyle name="40% - Accent5 13" xfId="808" xr:uid="{00000000-0005-0000-0000-0000B2020000}"/>
    <cellStyle name="40% - Accent5 14" xfId="809" xr:uid="{00000000-0005-0000-0000-0000B3020000}"/>
    <cellStyle name="40% - Accent5 15" xfId="810" xr:uid="{00000000-0005-0000-0000-0000B4020000}"/>
    <cellStyle name="40% - Accent5 16" xfId="811" xr:uid="{00000000-0005-0000-0000-0000B5020000}"/>
    <cellStyle name="40% - Accent5 17" xfId="812" xr:uid="{00000000-0005-0000-0000-0000B6020000}"/>
    <cellStyle name="40% - Accent5 18" xfId="813" xr:uid="{00000000-0005-0000-0000-0000B7020000}"/>
    <cellStyle name="40% - Accent5 19" xfId="814" xr:uid="{00000000-0005-0000-0000-0000B8020000}"/>
    <cellStyle name="40% - Accent5 2" xfId="79" xr:uid="{00000000-0005-0000-0000-0000B9020000}"/>
    <cellStyle name="40% - Accent5 2 10" xfId="3575" xr:uid="{00000000-0005-0000-0000-0000BA020000}"/>
    <cellStyle name="40% - Accent5 2 11" xfId="3576" xr:uid="{00000000-0005-0000-0000-0000BB020000}"/>
    <cellStyle name="40% - Accent5 2 12" xfId="3577" xr:uid="{00000000-0005-0000-0000-0000BC020000}"/>
    <cellStyle name="40% - Accent5 2 13" xfId="3578" xr:uid="{00000000-0005-0000-0000-0000BD020000}"/>
    <cellStyle name="40% - Accent5 2 14" xfId="3579" xr:uid="{00000000-0005-0000-0000-0000BE020000}"/>
    <cellStyle name="40% - Accent5 2 15" xfId="3580" xr:uid="{00000000-0005-0000-0000-0000BF020000}"/>
    <cellStyle name="40% - Accent5 2 16" xfId="4878" xr:uid="{00000000-0005-0000-0000-0000C0020000}"/>
    <cellStyle name="40% - Accent5 2 2" xfId="3581" xr:uid="{00000000-0005-0000-0000-0000C1020000}"/>
    <cellStyle name="40% - Accent5 2 3" xfId="3582" xr:uid="{00000000-0005-0000-0000-0000C2020000}"/>
    <cellStyle name="40% - Accent5 2 4" xfId="3583" xr:uid="{00000000-0005-0000-0000-0000C3020000}"/>
    <cellStyle name="40% - Accent5 2 5" xfId="3584" xr:uid="{00000000-0005-0000-0000-0000C4020000}"/>
    <cellStyle name="40% - Accent5 2 6" xfId="3585" xr:uid="{00000000-0005-0000-0000-0000C5020000}"/>
    <cellStyle name="40% - Accent5 2 7" xfId="3586" xr:uid="{00000000-0005-0000-0000-0000C6020000}"/>
    <cellStyle name="40% - Accent5 2 8" xfId="3587" xr:uid="{00000000-0005-0000-0000-0000C7020000}"/>
    <cellStyle name="40% - Accent5 2 9" xfId="3588" xr:uid="{00000000-0005-0000-0000-0000C8020000}"/>
    <cellStyle name="40% - Accent5 20" xfId="815" xr:uid="{00000000-0005-0000-0000-0000C9020000}"/>
    <cellStyle name="40% - Accent5 21" xfId="816" xr:uid="{00000000-0005-0000-0000-0000CA020000}"/>
    <cellStyle name="40% - Accent5 22" xfId="817" xr:uid="{00000000-0005-0000-0000-0000CB020000}"/>
    <cellStyle name="40% - Accent5 23" xfId="818" xr:uid="{00000000-0005-0000-0000-0000CC020000}"/>
    <cellStyle name="40% - Accent5 24" xfId="819" xr:uid="{00000000-0005-0000-0000-0000CD020000}"/>
    <cellStyle name="40% - Accent5 25" xfId="820" xr:uid="{00000000-0005-0000-0000-0000CE020000}"/>
    <cellStyle name="40% - Accent5 26" xfId="821" xr:uid="{00000000-0005-0000-0000-0000CF020000}"/>
    <cellStyle name="40% - Accent5 27" xfId="822" xr:uid="{00000000-0005-0000-0000-0000D0020000}"/>
    <cellStyle name="40% - Accent5 28" xfId="823" xr:uid="{00000000-0005-0000-0000-0000D1020000}"/>
    <cellStyle name="40% - Accent5 29" xfId="824" xr:uid="{00000000-0005-0000-0000-0000D2020000}"/>
    <cellStyle name="40% - Accent5 3" xfId="80" xr:uid="{00000000-0005-0000-0000-0000D3020000}"/>
    <cellStyle name="40% - Accent5 3 2" xfId="825" xr:uid="{00000000-0005-0000-0000-0000D4020000}"/>
    <cellStyle name="40% - Accent5 3 2 2" xfId="4879" xr:uid="{00000000-0005-0000-0000-0000D5020000}"/>
    <cellStyle name="40% - Accent5 3 3" xfId="3589" xr:uid="{00000000-0005-0000-0000-0000D6020000}"/>
    <cellStyle name="40% - Accent5 30" xfId="826" xr:uid="{00000000-0005-0000-0000-0000D7020000}"/>
    <cellStyle name="40% - Accent5 31" xfId="827" xr:uid="{00000000-0005-0000-0000-0000D8020000}"/>
    <cellStyle name="40% - Accent5 32" xfId="828" xr:uid="{00000000-0005-0000-0000-0000D9020000}"/>
    <cellStyle name="40% - Accent5 33" xfId="829" xr:uid="{00000000-0005-0000-0000-0000DA020000}"/>
    <cellStyle name="40% - Accent5 34" xfId="830" xr:uid="{00000000-0005-0000-0000-0000DB020000}"/>
    <cellStyle name="40% - Accent5 35" xfId="831" xr:uid="{00000000-0005-0000-0000-0000DC020000}"/>
    <cellStyle name="40% - Accent5 36" xfId="832" xr:uid="{00000000-0005-0000-0000-0000DD020000}"/>
    <cellStyle name="40% - Accent5 37" xfId="833" xr:uid="{00000000-0005-0000-0000-0000DE020000}"/>
    <cellStyle name="40% - Accent5 38" xfId="834" xr:uid="{00000000-0005-0000-0000-0000DF020000}"/>
    <cellStyle name="40% - Accent5 39" xfId="835" xr:uid="{00000000-0005-0000-0000-0000E0020000}"/>
    <cellStyle name="40% - Accent5 4" xfId="836" xr:uid="{00000000-0005-0000-0000-0000E1020000}"/>
    <cellStyle name="40% - Accent5 4 2" xfId="3590" xr:uid="{00000000-0005-0000-0000-0000E2020000}"/>
    <cellStyle name="40% - Accent5 40" xfId="837" xr:uid="{00000000-0005-0000-0000-0000E3020000}"/>
    <cellStyle name="40% - Accent5 41" xfId="838" xr:uid="{00000000-0005-0000-0000-0000E4020000}"/>
    <cellStyle name="40% - Accent5 42" xfId="839" xr:uid="{00000000-0005-0000-0000-0000E5020000}"/>
    <cellStyle name="40% - Accent5 43" xfId="840" xr:uid="{00000000-0005-0000-0000-0000E6020000}"/>
    <cellStyle name="40% - Accent5 5" xfId="841" xr:uid="{00000000-0005-0000-0000-0000E7020000}"/>
    <cellStyle name="40% - Accent5 5 2" xfId="3591" xr:uid="{00000000-0005-0000-0000-0000E8020000}"/>
    <cellStyle name="40% - Accent5 6" xfId="842" xr:uid="{00000000-0005-0000-0000-0000E9020000}"/>
    <cellStyle name="40% - Accent5 6 2" xfId="3592" xr:uid="{00000000-0005-0000-0000-0000EA020000}"/>
    <cellStyle name="40% - Accent5 7" xfId="843" xr:uid="{00000000-0005-0000-0000-0000EB020000}"/>
    <cellStyle name="40% - Accent5 7 2" xfId="3593" xr:uid="{00000000-0005-0000-0000-0000EC020000}"/>
    <cellStyle name="40% - Accent5 8" xfId="844" xr:uid="{00000000-0005-0000-0000-0000ED020000}"/>
    <cellStyle name="40% - Accent5 8 2" xfId="3594" xr:uid="{00000000-0005-0000-0000-0000EE020000}"/>
    <cellStyle name="40% - Accent5 9" xfId="845" xr:uid="{00000000-0005-0000-0000-0000EF020000}"/>
    <cellStyle name="40% - Accent5 9 2" xfId="4880" xr:uid="{00000000-0005-0000-0000-0000F0020000}"/>
    <cellStyle name="40% - Accent6" xfId="40" builtinId="51" customBuiltin="1"/>
    <cellStyle name="40% - Accent6 10" xfId="846" xr:uid="{00000000-0005-0000-0000-0000F2020000}"/>
    <cellStyle name="40% - Accent6 10 2" xfId="4881" xr:uid="{00000000-0005-0000-0000-0000F3020000}"/>
    <cellStyle name="40% - Accent6 11" xfId="847" xr:uid="{00000000-0005-0000-0000-0000F4020000}"/>
    <cellStyle name="40% - Accent6 11 2" xfId="4882" xr:uid="{00000000-0005-0000-0000-0000F5020000}"/>
    <cellStyle name="40% - Accent6 12" xfId="848" xr:uid="{00000000-0005-0000-0000-0000F6020000}"/>
    <cellStyle name="40% - Accent6 13" xfId="849" xr:uid="{00000000-0005-0000-0000-0000F7020000}"/>
    <cellStyle name="40% - Accent6 14" xfId="850" xr:uid="{00000000-0005-0000-0000-0000F8020000}"/>
    <cellStyle name="40% - Accent6 15" xfId="851" xr:uid="{00000000-0005-0000-0000-0000F9020000}"/>
    <cellStyle name="40% - Accent6 16" xfId="852" xr:uid="{00000000-0005-0000-0000-0000FA020000}"/>
    <cellStyle name="40% - Accent6 17" xfId="853" xr:uid="{00000000-0005-0000-0000-0000FB020000}"/>
    <cellStyle name="40% - Accent6 18" xfId="854" xr:uid="{00000000-0005-0000-0000-0000FC020000}"/>
    <cellStyle name="40% - Accent6 19" xfId="855" xr:uid="{00000000-0005-0000-0000-0000FD020000}"/>
    <cellStyle name="40% - Accent6 2" xfId="81" xr:uid="{00000000-0005-0000-0000-0000FE020000}"/>
    <cellStyle name="40% - Accent6 2 10" xfId="3595" xr:uid="{00000000-0005-0000-0000-0000FF020000}"/>
    <cellStyle name="40% - Accent6 2 11" xfId="3596" xr:uid="{00000000-0005-0000-0000-000000030000}"/>
    <cellStyle name="40% - Accent6 2 12" xfId="3597" xr:uid="{00000000-0005-0000-0000-000001030000}"/>
    <cellStyle name="40% - Accent6 2 13" xfId="3598" xr:uid="{00000000-0005-0000-0000-000002030000}"/>
    <cellStyle name="40% - Accent6 2 14" xfId="3599" xr:uid="{00000000-0005-0000-0000-000003030000}"/>
    <cellStyle name="40% - Accent6 2 15" xfId="3600" xr:uid="{00000000-0005-0000-0000-000004030000}"/>
    <cellStyle name="40% - Accent6 2 16" xfId="4883" xr:uid="{00000000-0005-0000-0000-000005030000}"/>
    <cellStyle name="40% - Accent6 2 2" xfId="3601" xr:uid="{00000000-0005-0000-0000-000006030000}"/>
    <cellStyle name="40% - Accent6 2 3" xfId="3602" xr:uid="{00000000-0005-0000-0000-000007030000}"/>
    <cellStyle name="40% - Accent6 2 4" xfId="3603" xr:uid="{00000000-0005-0000-0000-000008030000}"/>
    <cellStyle name="40% - Accent6 2 5" xfId="3604" xr:uid="{00000000-0005-0000-0000-000009030000}"/>
    <cellStyle name="40% - Accent6 2 6" xfId="3605" xr:uid="{00000000-0005-0000-0000-00000A030000}"/>
    <cellStyle name="40% - Accent6 2 7" xfId="3606" xr:uid="{00000000-0005-0000-0000-00000B030000}"/>
    <cellStyle name="40% - Accent6 2 8" xfId="3607" xr:uid="{00000000-0005-0000-0000-00000C030000}"/>
    <cellStyle name="40% - Accent6 2 9" xfId="3608" xr:uid="{00000000-0005-0000-0000-00000D030000}"/>
    <cellStyle name="40% - Accent6 20" xfId="856" xr:uid="{00000000-0005-0000-0000-00000E030000}"/>
    <cellStyle name="40% - Accent6 21" xfId="857" xr:uid="{00000000-0005-0000-0000-00000F030000}"/>
    <cellStyle name="40% - Accent6 22" xfId="858" xr:uid="{00000000-0005-0000-0000-000010030000}"/>
    <cellStyle name="40% - Accent6 23" xfId="859" xr:uid="{00000000-0005-0000-0000-000011030000}"/>
    <cellStyle name="40% - Accent6 24" xfId="860" xr:uid="{00000000-0005-0000-0000-000012030000}"/>
    <cellStyle name="40% - Accent6 25" xfId="861" xr:uid="{00000000-0005-0000-0000-000013030000}"/>
    <cellStyle name="40% - Accent6 26" xfId="862" xr:uid="{00000000-0005-0000-0000-000014030000}"/>
    <cellStyle name="40% - Accent6 27" xfId="863" xr:uid="{00000000-0005-0000-0000-000015030000}"/>
    <cellStyle name="40% - Accent6 28" xfId="864" xr:uid="{00000000-0005-0000-0000-000016030000}"/>
    <cellStyle name="40% - Accent6 29" xfId="865" xr:uid="{00000000-0005-0000-0000-000017030000}"/>
    <cellStyle name="40% - Accent6 3" xfId="82" xr:uid="{00000000-0005-0000-0000-000018030000}"/>
    <cellStyle name="40% - Accent6 3 2" xfId="866" xr:uid="{00000000-0005-0000-0000-000019030000}"/>
    <cellStyle name="40% - Accent6 3 2 2" xfId="4884" xr:uid="{00000000-0005-0000-0000-00001A030000}"/>
    <cellStyle name="40% - Accent6 3 3" xfId="3609" xr:uid="{00000000-0005-0000-0000-00001B030000}"/>
    <cellStyle name="40% - Accent6 30" xfId="867" xr:uid="{00000000-0005-0000-0000-00001C030000}"/>
    <cellStyle name="40% - Accent6 31" xfId="868" xr:uid="{00000000-0005-0000-0000-00001D030000}"/>
    <cellStyle name="40% - Accent6 32" xfId="869" xr:uid="{00000000-0005-0000-0000-00001E030000}"/>
    <cellStyle name="40% - Accent6 33" xfId="870" xr:uid="{00000000-0005-0000-0000-00001F030000}"/>
    <cellStyle name="40% - Accent6 34" xfId="871" xr:uid="{00000000-0005-0000-0000-000020030000}"/>
    <cellStyle name="40% - Accent6 35" xfId="872" xr:uid="{00000000-0005-0000-0000-000021030000}"/>
    <cellStyle name="40% - Accent6 36" xfId="873" xr:uid="{00000000-0005-0000-0000-000022030000}"/>
    <cellStyle name="40% - Accent6 37" xfId="874" xr:uid="{00000000-0005-0000-0000-000023030000}"/>
    <cellStyle name="40% - Accent6 38" xfId="875" xr:uid="{00000000-0005-0000-0000-000024030000}"/>
    <cellStyle name="40% - Accent6 39" xfId="876" xr:uid="{00000000-0005-0000-0000-000025030000}"/>
    <cellStyle name="40% - Accent6 4" xfId="877" xr:uid="{00000000-0005-0000-0000-000026030000}"/>
    <cellStyle name="40% - Accent6 4 2" xfId="3610" xr:uid="{00000000-0005-0000-0000-000027030000}"/>
    <cellStyle name="40% - Accent6 40" xfId="878" xr:uid="{00000000-0005-0000-0000-000028030000}"/>
    <cellStyle name="40% - Accent6 41" xfId="879" xr:uid="{00000000-0005-0000-0000-000029030000}"/>
    <cellStyle name="40% - Accent6 42" xfId="880" xr:uid="{00000000-0005-0000-0000-00002A030000}"/>
    <cellStyle name="40% - Accent6 43" xfId="881" xr:uid="{00000000-0005-0000-0000-00002B030000}"/>
    <cellStyle name="40% - Accent6 5" xfId="882" xr:uid="{00000000-0005-0000-0000-00002C030000}"/>
    <cellStyle name="40% - Accent6 5 2" xfId="3611" xr:uid="{00000000-0005-0000-0000-00002D030000}"/>
    <cellStyle name="40% - Accent6 6" xfId="883" xr:uid="{00000000-0005-0000-0000-00002E030000}"/>
    <cellStyle name="40% - Accent6 6 2" xfId="3612" xr:uid="{00000000-0005-0000-0000-00002F030000}"/>
    <cellStyle name="40% - Accent6 7" xfId="884" xr:uid="{00000000-0005-0000-0000-000030030000}"/>
    <cellStyle name="40% - Accent6 7 2" xfId="3613" xr:uid="{00000000-0005-0000-0000-000031030000}"/>
    <cellStyle name="40% - Accent6 8" xfId="885" xr:uid="{00000000-0005-0000-0000-000032030000}"/>
    <cellStyle name="40% - Accent6 8 2" xfId="3614" xr:uid="{00000000-0005-0000-0000-000033030000}"/>
    <cellStyle name="40% - Accent6 9" xfId="886" xr:uid="{00000000-0005-0000-0000-000034030000}"/>
    <cellStyle name="40% - Accent6 9 2" xfId="4885" xr:uid="{00000000-0005-0000-0000-000035030000}"/>
    <cellStyle name="40% - Akzent1" xfId="887" xr:uid="{00000000-0005-0000-0000-000036030000}"/>
    <cellStyle name="40% - Akzent2" xfId="888" xr:uid="{00000000-0005-0000-0000-000037030000}"/>
    <cellStyle name="40% - Akzent3" xfId="889" xr:uid="{00000000-0005-0000-0000-000038030000}"/>
    <cellStyle name="40% - Akzent4" xfId="890" xr:uid="{00000000-0005-0000-0000-000039030000}"/>
    <cellStyle name="40% - Akzent5" xfId="891" xr:uid="{00000000-0005-0000-0000-00003A030000}"/>
    <cellStyle name="40% - Akzent6" xfId="892" xr:uid="{00000000-0005-0000-0000-00003B030000}"/>
    <cellStyle name="5x indented GHG Textfiels" xfId="893" xr:uid="{00000000-0005-0000-0000-00003C030000}"/>
    <cellStyle name="60% - Accent1" xfId="21" builtinId="32" customBuiltin="1"/>
    <cellStyle name="60% - Accent1 10" xfId="894" xr:uid="{00000000-0005-0000-0000-00003E030000}"/>
    <cellStyle name="60% - Accent1 11" xfId="895" xr:uid="{00000000-0005-0000-0000-00003F030000}"/>
    <cellStyle name="60% - Accent1 12" xfId="896" xr:uid="{00000000-0005-0000-0000-000040030000}"/>
    <cellStyle name="60% - Accent1 13" xfId="897" xr:uid="{00000000-0005-0000-0000-000041030000}"/>
    <cellStyle name="60% - Accent1 14" xfId="898" xr:uid="{00000000-0005-0000-0000-000042030000}"/>
    <cellStyle name="60% - Accent1 15" xfId="899" xr:uid="{00000000-0005-0000-0000-000043030000}"/>
    <cellStyle name="60% - Accent1 16" xfId="900" xr:uid="{00000000-0005-0000-0000-000044030000}"/>
    <cellStyle name="60% - Accent1 17" xfId="901" xr:uid="{00000000-0005-0000-0000-000045030000}"/>
    <cellStyle name="60% - Accent1 18" xfId="902" xr:uid="{00000000-0005-0000-0000-000046030000}"/>
    <cellStyle name="60% - Accent1 19" xfId="903" xr:uid="{00000000-0005-0000-0000-000047030000}"/>
    <cellStyle name="60% - Accent1 2" xfId="83" xr:uid="{00000000-0005-0000-0000-000048030000}"/>
    <cellStyle name="60% - Accent1 2 10" xfId="3615" xr:uid="{00000000-0005-0000-0000-000049030000}"/>
    <cellStyle name="60% - Accent1 2 11" xfId="4886" xr:uid="{00000000-0005-0000-0000-00004A030000}"/>
    <cellStyle name="60% - Accent1 2 2" xfId="3616" xr:uid="{00000000-0005-0000-0000-00004B030000}"/>
    <cellStyle name="60% - Accent1 2 3" xfId="3617" xr:uid="{00000000-0005-0000-0000-00004C030000}"/>
    <cellStyle name="60% - Accent1 2 4" xfId="3618" xr:uid="{00000000-0005-0000-0000-00004D030000}"/>
    <cellStyle name="60% - Accent1 2 5" xfId="3619" xr:uid="{00000000-0005-0000-0000-00004E030000}"/>
    <cellStyle name="60% - Accent1 2 6" xfId="3620" xr:uid="{00000000-0005-0000-0000-00004F030000}"/>
    <cellStyle name="60% - Accent1 2 7" xfId="3621" xr:uid="{00000000-0005-0000-0000-000050030000}"/>
    <cellStyle name="60% - Accent1 2 8" xfId="3622" xr:uid="{00000000-0005-0000-0000-000051030000}"/>
    <cellStyle name="60% - Accent1 2 9" xfId="3623" xr:uid="{00000000-0005-0000-0000-000052030000}"/>
    <cellStyle name="60% - Accent1 20" xfId="904" xr:uid="{00000000-0005-0000-0000-000053030000}"/>
    <cellStyle name="60% - Accent1 21" xfId="905" xr:uid="{00000000-0005-0000-0000-000054030000}"/>
    <cellStyle name="60% - Accent1 22" xfId="906" xr:uid="{00000000-0005-0000-0000-000055030000}"/>
    <cellStyle name="60% - Accent1 23" xfId="907" xr:uid="{00000000-0005-0000-0000-000056030000}"/>
    <cellStyle name="60% - Accent1 24" xfId="908" xr:uid="{00000000-0005-0000-0000-000057030000}"/>
    <cellStyle name="60% - Accent1 25" xfId="909" xr:uid="{00000000-0005-0000-0000-000058030000}"/>
    <cellStyle name="60% - Accent1 26" xfId="910" xr:uid="{00000000-0005-0000-0000-000059030000}"/>
    <cellStyle name="60% - Accent1 27" xfId="911" xr:uid="{00000000-0005-0000-0000-00005A030000}"/>
    <cellStyle name="60% - Accent1 28" xfId="912" xr:uid="{00000000-0005-0000-0000-00005B030000}"/>
    <cellStyle name="60% - Accent1 29" xfId="913" xr:uid="{00000000-0005-0000-0000-00005C030000}"/>
    <cellStyle name="60% - Accent1 3" xfId="84" xr:uid="{00000000-0005-0000-0000-00005D030000}"/>
    <cellStyle name="60% - Accent1 3 2" xfId="914" xr:uid="{00000000-0005-0000-0000-00005E030000}"/>
    <cellStyle name="60% - Accent1 3 2 2" xfId="4887" xr:uid="{00000000-0005-0000-0000-00005F030000}"/>
    <cellStyle name="60% - Accent1 3 3" xfId="3624" xr:uid="{00000000-0005-0000-0000-000060030000}"/>
    <cellStyle name="60% - Accent1 30" xfId="915" xr:uid="{00000000-0005-0000-0000-000061030000}"/>
    <cellStyle name="60% - Accent1 31" xfId="916" xr:uid="{00000000-0005-0000-0000-000062030000}"/>
    <cellStyle name="60% - Accent1 32" xfId="917" xr:uid="{00000000-0005-0000-0000-000063030000}"/>
    <cellStyle name="60% - Accent1 33" xfId="918" xr:uid="{00000000-0005-0000-0000-000064030000}"/>
    <cellStyle name="60% - Accent1 34" xfId="919" xr:uid="{00000000-0005-0000-0000-000065030000}"/>
    <cellStyle name="60% - Accent1 35" xfId="920" xr:uid="{00000000-0005-0000-0000-000066030000}"/>
    <cellStyle name="60% - Accent1 36" xfId="921" xr:uid="{00000000-0005-0000-0000-000067030000}"/>
    <cellStyle name="60% - Accent1 37" xfId="922" xr:uid="{00000000-0005-0000-0000-000068030000}"/>
    <cellStyle name="60% - Accent1 38" xfId="923" xr:uid="{00000000-0005-0000-0000-000069030000}"/>
    <cellStyle name="60% - Accent1 39" xfId="924" xr:uid="{00000000-0005-0000-0000-00006A030000}"/>
    <cellStyle name="60% - Accent1 4" xfId="925" xr:uid="{00000000-0005-0000-0000-00006B030000}"/>
    <cellStyle name="60% - Accent1 4 2" xfId="4888" xr:uid="{00000000-0005-0000-0000-00006C030000}"/>
    <cellStyle name="60% - Accent1 40" xfId="926" xr:uid="{00000000-0005-0000-0000-00006D030000}"/>
    <cellStyle name="60% - Accent1 41" xfId="927" xr:uid="{00000000-0005-0000-0000-00006E030000}"/>
    <cellStyle name="60% - Accent1 42" xfId="928" xr:uid="{00000000-0005-0000-0000-00006F030000}"/>
    <cellStyle name="60% - Accent1 43" xfId="929" xr:uid="{00000000-0005-0000-0000-000070030000}"/>
    <cellStyle name="60% - Accent1 5" xfId="930" xr:uid="{00000000-0005-0000-0000-000071030000}"/>
    <cellStyle name="60% - Accent1 5 2" xfId="4889" xr:uid="{00000000-0005-0000-0000-000072030000}"/>
    <cellStyle name="60% - Accent1 6" xfId="931" xr:uid="{00000000-0005-0000-0000-000073030000}"/>
    <cellStyle name="60% - Accent1 6 2" xfId="4890" xr:uid="{00000000-0005-0000-0000-000074030000}"/>
    <cellStyle name="60% - Accent1 7" xfId="932" xr:uid="{00000000-0005-0000-0000-000075030000}"/>
    <cellStyle name="60% - Accent1 8" xfId="933" xr:uid="{00000000-0005-0000-0000-000076030000}"/>
    <cellStyle name="60% - Accent1 9" xfId="934" xr:uid="{00000000-0005-0000-0000-000077030000}"/>
    <cellStyle name="60% - Accent2" xfId="25" builtinId="36" customBuiltin="1"/>
    <cellStyle name="60% - Accent2 10" xfId="935" xr:uid="{00000000-0005-0000-0000-000079030000}"/>
    <cellStyle name="60% - Accent2 11" xfId="936" xr:uid="{00000000-0005-0000-0000-00007A030000}"/>
    <cellStyle name="60% - Accent2 12" xfId="937" xr:uid="{00000000-0005-0000-0000-00007B030000}"/>
    <cellStyle name="60% - Accent2 13" xfId="938" xr:uid="{00000000-0005-0000-0000-00007C030000}"/>
    <cellStyle name="60% - Accent2 14" xfId="939" xr:uid="{00000000-0005-0000-0000-00007D030000}"/>
    <cellStyle name="60% - Accent2 15" xfId="940" xr:uid="{00000000-0005-0000-0000-00007E030000}"/>
    <cellStyle name="60% - Accent2 16" xfId="941" xr:uid="{00000000-0005-0000-0000-00007F030000}"/>
    <cellStyle name="60% - Accent2 17" xfId="942" xr:uid="{00000000-0005-0000-0000-000080030000}"/>
    <cellStyle name="60% - Accent2 18" xfId="943" xr:uid="{00000000-0005-0000-0000-000081030000}"/>
    <cellStyle name="60% - Accent2 19" xfId="944" xr:uid="{00000000-0005-0000-0000-000082030000}"/>
    <cellStyle name="60% - Accent2 2" xfId="85" xr:uid="{00000000-0005-0000-0000-000083030000}"/>
    <cellStyle name="60% - Accent2 2 10" xfId="3625" xr:uid="{00000000-0005-0000-0000-000084030000}"/>
    <cellStyle name="60% - Accent2 2 11" xfId="4891" xr:uid="{00000000-0005-0000-0000-000085030000}"/>
    <cellStyle name="60% - Accent2 2 2" xfId="3626" xr:uid="{00000000-0005-0000-0000-000086030000}"/>
    <cellStyle name="60% - Accent2 2 3" xfId="3627" xr:uid="{00000000-0005-0000-0000-000087030000}"/>
    <cellStyle name="60% - Accent2 2 4" xfId="3628" xr:uid="{00000000-0005-0000-0000-000088030000}"/>
    <cellStyle name="60% - Accent2 2 5" xfId="3629" xr:uid="{00000000-0005-0000-0000-000089030000}"/>
    <cellStyle name="60% - Accent2 2 6" xfId="3630" xr:uid="{00000000-0005-0000-0000-00008A030000}"/>
    <cellStyle name="60% - Accent2 2 7" xfId="3631" xr:uid="{00000000-0005-0000-0000-00008B030000}"/>
    <cellStyle name="60% - Accent2 2 8" xfId="3632" xr:uid="{00000000-0005-0000-0000-00008C030000}"/>
    <cellStyle name="60% - Accent2 2 9" xfId="3633" xr:uid="{00000000-0005-0000-0000-00008D030000}"/>
    <cellStyle name="60% - Accent2 20" xfId="945" xr:uid="{00000000-0005-0000-0000-00008E030000}"/>
    <cellStyle name="60% - Accent2 21" xfId="946" xr:uid="{00000000-0005-0000-0000-00008F030000}"/>
    <cellStyle name="60% - Accent2 22" xfId="947" xr:uid="{00000000-0005-0000-0000-000090030000}"/>
    <cellStyle name="60% - Accent2 23" xfId="948" xr:uid="{00000000-0005-0000-0000-000091030000}"/>
    <cellStyle name="60% - Accent2 24" xfId="949" xr:uid="{00000000-0005-0000-0000-000092030000}"/>
    <cellStyle name="60% - Accent2 25" xfId="950" xr:uid="{00000000-0005-0000-0000-000093030000}"/>
    <cellStyle name="60% - Accent2 26" xfId="951" xr:uid="{00000000-0005-0000-0000-000094030000}"/>
    <cellStyle name="60% - Accent2 27" xfId="952" xr:uid="{00000000-0005-0000-0000-000095030000}"/>
    <cellStyle name="60% - Accent2 28" xfId="953" xr:uid="{00000000-0005-0000-0000-000096030000}"/>
    <cellStyle name="60% - Accent2 29" xfId="954" xr:uid="{00000000-0005-0000-0000-000097030000}"/>
    <cellStyle name="60% - Accent2 3" xfId="86" xr:uid="{00000000-0005-0000-0000-000098030000}"/>
    <cellStyle name="60% - Accent2 3 2" xfId="955" xr:uid="{00000000-0005-0000-0000-000099030000}"/>
    <cellStyle name="60% - Accent2 3 2 2" xfId="4892" xr:uid="{00000000-0005-0000-0000-00009A030000}"/>
    <cellStyle name="60% - Accent2 3 3" xfId="3634" xr:uid="{00000000-0005-0000-0000-00009B030000}"/>
    <cellStyle name="60% - Accent2 30" xfId="956" xr:uid="{00000000-0005-0000-0000-00009C030000}"/>
    <cellStyle name="60% - Accent2 31" xfId="957" xr:uid="{00000000-0005-0000-0000-00009D030000}"/>
    <cellStyle name="60% - Accent2 32" xfId="958" xr:uid="{00000000-0005-0000-0000-00009E030000}"/>
    <cellStyle name="60% - Accent2 33" xfId="959" xr:uid="{00000000-0005-0000-0000-00009F030000}"/>
    <cellStyle name="60% - Accent2 34" xfId="960" xr:uid="{00000000-0005-0000-0000-0000A0030000}"/>
    <cellStyle name="60% - Accent2 35" xfId="961" xr:uid="{00000000-0005-0000-0000-0000A1030000}"/>
    <cellStyle name="60% - Accent2 36" xfId="962" xr:uid="{00000000-0005-0000-0000-0000A2030000}"/>
    <cellStyle name="60% - Accent2 37" xfId="963" xr:uid="{00000000-0005-0000-0000-0000A3030000}"/>
    <cellStyle name="60% - Accent2 38" xfId="964" xr:uid="{00000000-0005-0000-0000-0000A4030000}"/>
    <cellStyle name="60% - Accent2 39" xfId="965" xr:uid="{00000000-0005-0000-0000-0000A5030000}"/>
    <cellStyle name="60% - Accent2 4" xfId="966" xr:uid="{00000000-0005-0000-0000-0000A6030000}"/>
    <cellStyle name="60% - Accent2 4 2" xfId="4893" xr:uid="{00000000-0005-0000-0000-0000A7030000}"/>
    <cellStyle name="60% - Accent2 40" xfId="967" xr:uid="{00000000-0005-0000-0000-0000A8030000}"/>
    <cellStyle name="60% - Accent2 41" xfId="968" xr:uid="{00000000-0005-0000-0000-0000A9030000}"/>
    <cellStyle name="60% - Accent2 42" xfId="969" xr:uid="{00000000-0005-0000-0000-0000AA030000}"/>
    <cellStyle name="60% - Accent2 43" xfId="970" xr:uid="{00000000-0005-0000-0000-0000AB030000}"/>
    <cellStyle name="60% - Accent2 5" xfId="971" xr:uid="{00000000-0005-0000-0000-0000AC030000}"/>
    <cellStyle name="60% - Accent2 5 2" xfId="4894" xr:uid="{00000000-0005-0000-0000-0000AD030000}"/>
    <cellStyle name="60% - Accent2 6" xfId="972" xr:uid="{00000000-0005-0000-0000-0000AE030000}"/>
    <cellStyle name="60% - Accent2 6 2" xfId="4895" xr:uid="{00000000-0005-0000-0000-0000AF030000}"/>
    <cellStyle name="60% - Accent2 7" xfId="973" xr:uid="{00000000-0005-0000-0000-0000B0030000}"/>
    <cellStyle name="60% - Accent2 8" xfId="974" xr:uid="{00000000-0005-0000-0000-0000B1030000}"/>
    <cellStyle name="60% - Accent2 9" xfId="975" xr:uid="{00000000-0005-0000-0000-0000B2030000}"/>
    <cellStyle name="60% - Accent3" xfId="29" builtinId="40" customBuiltin="1"/>
    <cellStyle name="60% - Accent3 10" xfId="976" xr:uid="{00000000-0005-0000-0000-0000B4030000}"/>
    <cellStyle name="60% - Accent3 11" xfId="977" xr:uid="{00000000-0005-0000-0000-0000B5030000}"/>
    <cellStyle name="60% - Accent3 12" xfId="978" xr:uid="{00000000-0005-0000-0000-0000B6030000}"/>
    <cellStyle name="60% - Accent3 13" xfId="979" xr:uid="{00000000-0005-0000-0000-0000B7030000}"/>
    <cellStyle name="60% - Accent3 14" xfId="980" xr:uid="{00000000-0005-0000-0000-0000B8030000}"/>
    <cellStyle name="60% - Accent3 15" xfId="981" xr:uid="{00000000-0005-0000-0000-0000B9030000}"/>
    <cellStyle name="60% - Accent3 16" xfId="982" xr:uid="{00000000-0005-0000-0000-0000BA030000}"/>
    <cellStyle name="60% - Accent3 17" xfId="983" xr:uid="{00000000-0005-0000-0000-0000BB030000}"/>
    <cellStyle name="60% - Accent3 18" xfId="984" xr:uid="{00000000-0005-0000-0000-0000BC030000}"/>
    <cellStyle name="60% - Accent3 19" xfId="985" xr:uid="{00000000-0005-0000-0000-0000BD030000}"/>
    <cellStyle name="60% - Accent3 2" xfId="87" xr:uid="{00000000-0005-0000-0000-0000BE030000}"/>
    <cellStyle name="60% - Accent3 2 10" xfId="3635" xr:uid="{00000000-0005-0000-0000-0000BF030000}"/>
    <cellStyle name="60% - Accent3 2 11" xfId="4896" xr:uid="{00000000-0005-0000-0000-0000C0030000}"/>
    <cellStyle name="60% - Accent3 2 2" xfId="3636" xr:uid="{00000000-0005-0000-0000-0000C1030000}"/>
    <cellStyle name="60% - Accent3 2 3" xfId="3637" xr:uid="{00000000-0005-0000-0000-0000C2030000}"/>
    <cellStyle name="60% - Accent3 2 4" xfId="3638" xr:uid="{00000000-0005-0000-0000-0000C3030000}"/>
    <cellStyle name="60% - Accent3 2 5" xfId="3639" xr:uid="{00000000-0005-0000-0000-0000C4030000}"/>
    <cellStyle name="60% - Accent3 2 6" xfId="3640" xr:uid="{00000000-0005-0000-0000-0000C5030000}"/>
    <cellStyle name="60% - Accent3 2 7" xfId="3641" xr:uid="{00000000-0005-0000-0000-0000C6030000}"/>
    <cellStyle name="60% - Accent3 2 8" xfId="3642" xr:uid="{00000000-0005-0000-0000-0000C7030000}"/>
    <cellStyle name="60% - Accent3 2 9" xfId="3643" xr:uid="{00000000-0005-0000-0000-0000C8030000}"/>
    <cellStyle name="60% - Accent3 20" xfId="986" xr:uid="{00000000-0005-0000-0000-0000C9030000}"/>
    <cellStyle name="60% - Accent3 21" xfId="987" xr:uid="{00000000-0005-0000-0000-0000CA030000}"/>
    <cellStyle name="60% - Accent3 22" xfId="988" xr:uid="{00000000-0005-0000-0000-0000CB030000}"/>
    <cellStyle name="60% - Accent3 23" xfId="989" xr:uid="{00000000-0005-0000-0000-0000CC030000}"/>
    <cellStyle name="60% - Accent3 24" xfId="990" xr:uid="{00000000-0005-0000-0000-0000CD030000}"/>
    <cellStyle name="60% - Accent3 25" xfId="991" xr:uid="{00000000-0005-0000-0000-0000CE030000}"/>
    <cellStyle name="60% - Accent3 26" xfId="992" xr:uid="{00000000-0005-0000-0000-0000CF030000}"/>
    <cellStyle name="60% - Accent3 27" xfId="993" xr:uid="{00000000-0005-0000-0000-0000D0030000}"/>
    <cellStyle name="60% - Accent3 28" xfId="994" xr:uid="{00000000-0005-0000-0000-0000D1030000}"/>
    <cellStyle name="60% - Accent3 29" xfId="995" xr:uid="{00000000-0005-0000-0000-0000D2030000}"/>
    <cellStyle name="60% - Accent3 3" xfId="88" xr:uid="{00000000-0005-0000-0000-0000D3030000}"/>
    <cellStyle name="60% - Accent3 3 2" xfId="996" xr:uid="{00000000-0005-0000-0000-0000D4030000}"/>
    <cellStyle name="60% - Accent3 3 2 2" xfId="4897" xr:uid="{00000000-0005-0000-0000-0000D5030000}"/>
    <cellStyle name="60% - Accent3 3 3" xfId="3644" xr:uid="{00000000-0005-0000-0000-0000D6030000}"/>
    <cellStyle name="60% - Accent3 30" xfId="997" xr:uid="{00000000-0005-0000-0000-0000D7030000}"/>
    <cellStyle name="60% - Accent3 31" xfId="998" xr:uid="{00000000-0005-0000-0000-0000D8030000}"/>
    <cellStyle name="60% - Accent3 32" xfId="999" xr:uid="{00000000-0005-0000-0000-0000D9030000}"/>
    <cellStyle name="60% - Accent3 33" xfId="1000" xr:uid="{00000000-0005-0000-0000-0000DA030000}"/>
    <cellStyle name="60% - Accent3 34" xfId="1001" xr:uid="{00000000-0005-0000-0000-0000DB030000}"/>
    <cellStyle name="60% - Accent3 35" xfId="1002" xr:uid="{00000000-0005-0000-0000-0000DC030000}"/>
    <cellStyle name="60% - Accent3 36" xfId="1003" xr:uid="{00000000-0005-0000-0000-0000DD030000}"/>
    <cellStyle name="60% - Accent3 37" xfId="1004" xr:uid="{00000000-0005-0000-0000-0000DE030000}"/>
    <cellStyle name="60% - Accent3 38" xfId="1005" xr:uid="{00000000-0005-0000-0000-0000DF030000}"/>
    <cellStyle name="60% - Accent3 39" xfId="1006" xr:uid="{00000000-0005-0000-0000-0000E0030000}"/>
    <cellStyle name="60% - Accent3 4" xfId="1007" xr:uid="{00000000-0005-0000-0000-0000E1030000}"/>
    <cellStyle name="60% - Accent3 4 2" xfId="4898" xr:uid="{00000000-0005-0000-0000-0000E2030000}"/>
    <cellStyle name="60% - Accent3 40" xfId="1008" xr:uid="{00000000-0005-0000-0000-0000E3030000}"/>
    <cellStyle name="60% - Accent3 41" xfId="1009" xr:uid="{00000000-0005-0000-0000-0000E4030000}"/>
    <cellStyle name="60% - Accent3 42" xfId="1010" xr:uid="{00000000-0005-0000-0000-0000E5030000}"/>
    <cellStyle name="60% - Accent3 43" xfId="1011" xr:uid="{00000000-0005-0000-0000-0000E6030000}"/>
    <cellStyle name="60% - Accent3 5" xfId="1012" xr:uid="{00000000-0005-0000-0000-0000E7030000}"/>
    <cellStyle name="60% - Accent3 5 2" xfId="4899" xr:uid="{00000000-0005-0000-0000-0000E8030000}"/>
    <cellStyle name="60% - Accent3 6" xfId="1013" xr:uid="{00000000-0005-0000-0000-0000E9030000}"/>
    <cellStyle name="60% - Accent3 6 2" xfId="4900" xr:uid="{00000000-0005-0000-0000-0000EA030000}"/>
    <cellStyle name="60% - Accent3 7" xfId="1014" xr:uid="{00000000-0005-0000-0000-0000EB030000}"/>
    <cellStyle name="60% - Accent3 8" xfId="1015" xr:uid="{00000000-0005-0000-0000-0000EC030000}"/>
    <cellStyle name="60% - Accent3 9" xfId="1016" xr:uid="{00000000-0005-0000-0000-0000ED030000}"/>
    <cellStyle name="60% - Accent4" xfId="33" builtinId="44" customBuiltin="1"/>
    <cellStyle name="60% - Accent4 10" xfId="1017" xr:uid="{00000000-0005-0000-0000-0000EF030000}"/>
    <cellStyle name="60% - Accent4 11" xfId="1018" xr:uid="{00000000-0005-0000-0000-0000F0030000}"/>
    <cellStyle name="60% - Accent4 12" xfId="1019" xr:uid="{00000000-0005-0000-0000-0000F1030000}"/>
    <cellStyle name="60% - Accent4 13" xfId="1020" xr:uid="{00000000-0005-0000-0000-0000F2030000}"/>
    <cellStyle name="60% - Accent4 14" xfId="1021" xr:uid="{00000000-0005-0000-0000-0000F3030000}"/>
    <cellStyle name="60% - Accent4 15" xfId="1022" xr:uid="{00000000-0005-0000-0000-0000F4030000}"/>
    <cellStyle name="60% - Accent4 16" xfId="1023" xr:uid="{00000000-0005-0000-0000-0000F5030000}"/>
    <cellStyle name="60% - Accent4 17" xfId="1024" xr:uid="{00000000-0005-0000-0000-0000F6030000}"/>
    <cellStyle name="60% - Accent4 18" xfId="1025" xr:uid="{00000000-0005-0000-0000-0000F7030000}"/>
    <cellStyle name="60% - Accent4 19" xfId="1026" xr:uid="{00000000-0005-0000-0000-0000F8030000}"/>
    <cellStyle name="60% - Accent4 2" xfId="89" xr:uid="{00000000-0005-0000-0000-0000F9030000}"/>
    <cellStyle name="60% - Accent4 2 10" xfId="3645" xr:uid="{00000000-0005-0000-0000-0000FA030000}"/>
    <cellStyle name="60% - Accent4 2 11" xfId="4901" xr:uid="{00000000-0005-0000-0000-0000FB030000}"/>
    <cellStyle name="60% - Accent4 2 2" xfId="3646" xr:uid="{00000000-0005-0000-0000-0000FC030000}"/>
    <cellStyle name="60% - Accent4 2 3" xfId="3647" xr:uid="{00000000-0005-0000-0000-0000FD030000}"/>
    <cellStyle name="60% - Accent4 2 4" xfId="3648" xr:uid="{00000000-0005-0000-0000-0000FE030000}"/>
    <cellStyle name="60% - Accent4 2 5" xfId="3649" xr:uid="{00000000-0005-0000-0000-0000FF030000}"/>
    <cellStyle name="60% - Accent4 2 6" xfId="3650" xr:uid="{00000000-0005-0000-0000-000000040000}"/>
    <cellStyle name="60% - Accent4 2 7" xfId="3651" xr:uid="{00000000-0005-0000-0000-000001040000}"/>
    <cellStyle name="60% - Accent4 2 8" xfId="3652" xr:uid="{00000000-0005-0000-0000-000002040000}"/>
    <cellStyle name="60% - Accent4 2 9" xfId="3653" xr:uid="{00000000-0005-0000-0000-000003040000}"/>
    <cellStyle name="60% - Accent4 20" xfId="1027" xr:uid="{00000000-0005-0000-0000-000004040000}"/>
    <cellStyle name="60% - Accent4 21" xfId="1028" xr:uid="{00000000-0005-0000-0000-000005040000}"/>
    <cellStyle name="60% - Accent4 22" xfId="1029" xr:uid="{00000000-0005-0000-0000-000006040000}"/>
    <cellStyle name="60% - Accent4 23" xfId="1030" xr:uid="{00000000-0005-0000-0000-000007040000}"/>
    <cellStyle name="60% - Accent4 24" xfId="1031" xr:uid="{00000000-0005-0000-0000-000008040000}"/>
    <cellStyle name="60% - Accent4 25" xfId="1032" xr:uid="{00000000-0005-0000-0000-000009040000}"/>
    <cellStyle name="60% - Accent4 26" xfId="1033" xr:uid="{00000000-0005-0000-0000-00000A040000}"/>
    <cellStyle name="60% - Accent4 27" xfId="1034" xr:uid="{00000000-0005-0000-0000-00000B040000}"/>
    <cellStyle name="60% - Accent4 28" xfId="1035" xr:uid="{00000000-0005-0000-0000-00000C040000}"/>
    <cellStyle name="60% - Accent4 29" xfId="1036" xr:uid="{00000000-0005-0000-0000-00000D040000}"/>
    <cellStyle name="60% - Accent4 3" xfId="90" xr:uid="{00000000-0005-0000-0000-00000E040000}"/>
    <cellStyle name="60% - Accent4 3 2" xfId="1037" xr:uid="{00000000-0005-0000-0000-00000F040000}"/>
    <cellStyle name="60% - Accent4 3 2 2" xfId="4902" xr:uid="{00000000-0005-0000-0000-000010040000}"/>
    <cellStyle name="60% - Accent4 3 3" xfId="3654" xr:uid="{00000000-0005-0000-0000-000011040000}"/>
    <cellStyle name="60% - Accent4 30" xfId="1038" xr:uid="{00000000-0005-0000-0000-000012040000}"/>
    <cellStyle name="60% - Accent4 31" xfId="1039" xr:uid="{00000000-0005-0000-0000-000013040000}"/>
    <cellStyle name="60% - Accent4 32" xfId="1040" xr:uid="{00000000-0005-0000-0000-000014040000}"/>
    <cellStyle name="60% - Accent4 33" xfId="1041" xr:uid="{00000000-0005-0000-0000-000015040000}"/>
    <cellStyle name="60% - Accent4 34" xfId="1042" xr:uid="{00000000-0005-0000-0000-000016040000}"/>
    <cellStyle name="60% - Accent4 35" xfId="1043" xr:uid="{00000000-0005-0000-0000-000017040000}"/>
    <cellStyle name="60% - Accent4 36" xfId="1044" xr:uid="{00000000-0005-0000-0000-000018040000}"/>
    <cellStyle name="60% - Accent4 37" xfId="1045" xr:uid="{00000000-0005-0000-0000-000019040000}"/>
    <cellStyle name="60% - Accent4 38" xfId="1046" xr:uid="{00000000-0005-0000-0000-00001A040000}"/>
    <cellStyle name="60% - Accent4 39" xfId="1047" xr:uid="{00000000-0005-0000-0000-00001B040000}"/>
    <cellStyle name="60% - Accent4 4" xfId="1048" xr:uid="{00000000-0005-0000-0000-00001C040000}"/>
    <cellStyle name="60% - Accent4 4 2" xfId="4903" xr:uid="{00000000-0005-0000-0000-00001D040000}"/>
    <cellStyle name="60% - Accent4 40" xfId="1049" xr:uid="{00000000-0005-0000-0000-00001E040000}"/>
    <cellStyle name="60% - Accent4 41" xfId="1050" xr:uid="{00000000-0005-0000-0000-00001F040000}"/>
    <cellStyle name="60% - Accent4 42" xfId="1051" xr:uid="{00000000-0005-0000-0000-000020040000}"/>
    <cellStyle name="60% - Accent4 43" xfId="1052" xr:uid="{00000000-0005-0000-0000-000021040000}"/>
    <cellStyle name="60% - Accent4 5" xfId="1053" xr:uid="{00000000-0005-0000-0000-000022040000}"/>
    <cellStyle name="60% - Accent4 5 2" xfId="4904" xr:uid="{00000000-0005-0000-0000-000023040000}"/>
    <cellStyle name="60% - Accent4 6" xfId="1054" xr:uid="{00000000-0005-0000-0000-000024040000}"/>
    <cellStyle name="60% - Accent4 6 2" xfId="4905" xr:uid="{00000000-0005-0000-0000-000025040000}"/>
    <cellStyle name="60% - Accent4 7" xfId="1055" xr:uid="{00000000-0005-0000-0000-000026040000}"/>
    <cellStyle name="60% - Accent4 8" xfId="1056" xr:uid="{00000000-0005-0000-0000-000027040000}"/>
    <cellStyle name="60% - Accent4 9" xfId="1057" xr:uid="{00000000-0005-0000-0000-000028040000}"/>
    <cellStyle name="60% - Accent5" xfId="37" builtinId="48" customBuiltin="1"/>
    <cellStyle name="60% - Accent5 10" xfId="1058" xr:uid="{00000000-0005-0000-0000-00002A040000}"/>
    <cellStyle name="60% - Accent5 11" xfId="1059" xr:uid="{00000000-0005-0000-0000-00002B040000}"/>
    <cellStyle name="60% - Accent5 12" xfId="1060" xr:uid="{00000000-0005-0000-0000-00002C040000}"/>
    <cellStyle name="60% - Accent5 13" xfId="1061" xr:uid="{00000000-0005-0000-0000-00002D040000}"/>
    <cellStyle name="60% - Accent5 14" xfId="1062" xr:uid="{00000000-0005-0000-0000-00002E040000}"/>
    <cellStyle name="60% - Accent5 15" xfId="1063" xr:uid="{00000000-0005-0000-0000-00002F040000}"/>
    <cellStyle name="60% - Accent5 16" xfId="1064" xr:uid="{00000000-0005-0000-0000-000030040000}"/>
    <cellStyle name="60% - Accent5 17" xfId="1065" xr:uid="{00000000-0005-0000-0000-000031040000}"/>
    <cellStyle name="60% - Accent5 18" xfId="1066" xr:uid="{00000000-0005-0000-0000-000032040000}"/>
    <cellStyle name="60% - Accent5 19" xfId="1067" xr:uid="{00000000-0005-0000-0000-000033040000}"/>
    <cellStyle name="60% - Accent5 2" xfId="91" xr:uid="{00000000-0005-0000-0000-000034040000}"/>
    <cellStyle name="60% - Accent5 2 10" xfId="3655" xr:uid="{00000000-0005-0000-0000-000035040000}"/>
    <cellStyle name="60% - Accent5 2 11" xfId="4906" xr:uid="{00000000-0005-0000-0000-000036040000}"/>
    <cellStyle name="60% - Accent5 2 2" xfId="3656" xr:uid="{00000000-0005-0000-0000-000037040000}"/>
    <cellStyle name="60% - Accent5 2 3" xfId="3657" xr:uid="{00000000-0005-0000-0000-000038040000}"/>
    <cellStyle name="60% - Accent5 2 4" xfId="3658" xr:uid="{00000000-0005-0000-0000-000039040000}"/>
    <cellStyle name="60% - Accent5 2 5" xfId="3659" xr:uid="{00000000-0005-0000-0000-00003A040000}"/>
    <cellStyle name="60% - Accent5 2 6" xfId="3660" xr:uid="{00000000-0005-0000-0000-00003B040000}"/>
    <cellStyle name="60% - Accent5 2 7" xfId="3661" xr:uid="{00000000-0005-0000-0000-00003C040000}"/>
    <cellStyle name="60% - Accent5 2 8" xfId="3662" xr:uid="{00000000-0005-0000-0000-00003D040000}"/>
    <cellStyle name="60% - Accent5 2 9" xfId="3663" xr:uid="{00000000-0005-0000-0000-00003E040000}"/>
    <cellStyle name="60% - Accent5 20" xfId="1068" xr:uid="{00000000-0005-0000-0000-00003F040000}"/>
    <cellStyle name="60% - Accent5 21" xfId="1069" xr:uid="{00000000-0005-0000-0000-000040040000}"/>
    <cellStyle name="60% - Accent5 22" xfId="1070" xr:uid="{00000000-0005-0000-0000-000041040000}"/>
    <cellStyle name="60% - Accent5 23" xfId="1071" xr:uid="{00000000-0005-0000-0000-000042040000}"/>
    <cellStyle name="60% - Accent5 24" xfId="1072" xr:uid="{00000000-0005-0000-0000-000043040000}"/>
    <cellStyle name="60% - Accent5 25" xfId="1073" xr:uid="{00000000-0005-0000-0000-000044040000}"/>
    <cellStyle name="60% - Accent5 26" xfId="1074" xr:uid="{00000000-0005-0000-0000-000045040000}"/>
    <cellStyle name="60% - Accent5 27" xfId="1075" xr:uid="{00000000-0005-0000-0000-000046040000}"/>
    <cellStyle name="60% - Accent5 28" xfId="1076" xr:uid="{00000000-0005-0000-0000-000047040000}"/>
    <cellStyle name="60% - Accent5 29" xfId="1077" xr:uid="{00000000-0005-0000-0000-000048040000}"/>
    <cellStyle name="60% - Accent5 3" xfId="92" xr:uid="{00000000-0005-0000-0000-000049040000}"/>
    <cellStyle name="60% - Accent5 3 2" xfId="1078" xr:uid="{00000000-0005-0000-0000-00004A040000}"/>
    <cellStyle name="60% - Accent5 3 2 2" xfId="4907" xr:uid="{00000000-0005-0000-0000-00004B040000}"/>
    <cellStyle name="60% - Accent5 3 3" xfId="3664" xr:uid="{00000000-0005-0000-0000-00004C040000}"/>
    <cellStyle name="60% - Accent5 30" xfId="1079" xr:uid="{00000000-0005-0000-0000-00004D040000}"/>
    <cellStyle name="60% - Accent5 31" xfId="1080" xr:uid="{00000000-0005-0000-0000-00004E040000}"/>
    <cellStyle name="60% - Accent5 32" xfId="1081" xr:uid="{00000000-0005-0000-0000-00004F040000}"/>
    <cellStyle name="60% - Accent5 33" xfId="1082" xr:uid="{00000000-0005-0000-0000-000050040000}"/>
    <cellStyle name="60% - Accent5 34" xfId="1083" xr:uid="{00000000-0005-0000-0000-000051040000}"/>
    <cellStyle name="60% - Accent5 35" xfId="1084" xr:uid="{00000000-0005-0000-0000-000052040000}"/>
    <cellStyle name="60% - Accent5 36" xfId="1085" xr:uid="{00000000-0005-0000-0000-000053040000}"/>
    <cellStyle name="60% - Accent5 37" xfId="1086" xr:uid="{00000000-0005-0000-0000-000054040000}"/>
    <cellStyle name="60% - Accent5 38" xfId="1087" xr:uid="{00000000-0005-0000-0000-000055040000}"/>
    <cellStyle name="60% - Accent5 39" xfId="1088" xr:uid="{00000000-0005-0000-0000-000056040000}"/>
    <cellStyle name="60% - Accent5 4" xfId="1089" xr:uid="{00000000-0005-0000-0000-000057040000}"/>
    <cellStyle name="60% - Accent5 4 2" xfId="4908" xr:uid="{00000000-0005-0000-0000-000058040000}"/>
    <cellStyle name="60% - Accent5 40" xfId="1090" xr:uid="{00000000-0005-0000-0000-000059040000}"/>
    <cellStyle name="60% - Accent5 41" xfId="1091" xr:uid="{00000000-0005-0000-0000-00005A040000}"/>
    <cellStyle name="60% - Accent5 42" xfId="1092" xr:uid="{00000000-0005-0000-0000-00005B040000}"/>
    <cellStyle name="60% - Accent5 43" xfId="1093" xr:uid="{00000000-0005-0000-0000-00005C040000}"/>
    <cellStyle name="60% - Accent5 5" xfId="1094" xr:uid="{00000000-0005-0000-0000-00005D040000}"/>
    <cellStyle name="60% - Accent5 5 2" xfId="4909" xr:uid="{00000000-0005-0000-0000-00005E040000}"/>
    <cellStyle name="60% - Accent5 6" xfId="1095" xr:uid="{00000000-0005-0000-0000-00005F040000}"/>
    <cellStyle name="60% - Accent5 6 2" xfId="4910" xr:uid="{00000000-0005-0000-0000-000060040000}"/>
    <cellStyle name="60% - Accent5 7" xfId="1096" xr:uid="{00000000-0005-0000-0000-000061040000}"/>
    <cellStyle name="60% - Accent5 8" xfId="1097" xr:uid="{00000000-0005-0000-0000-000062040000}"/>
    <cellStyle name="60% - Accent5 9" xfId="1098" xr:uid="{00000000-0005-0000-0000-000063040000}"/>
    <cellStyle name="60% - Accent6" xfId="41" builtinId="52" customBuiltin="1"/>
    <cellStyle name="60% - Accent6 10" xfId="1099" xr:uid="{00000000-0005-0000-0000-000065040000}"/>
    <cellStyle name="60% - Accent6 11" xfId="1100" xr:uid="{00000000-0005-0000-0000-000066040000}"/>
    <cellStyle name="60% - Accent6 12" xfId="1101" xr:uid="{00000000-0005-0000-0000-000067040000}"/>
    <cellStyle name="60% - Accent6 13" xfId="1102" xr:uid="{00000000-0005-0000-0000-000068040000}"/>
    <cellStyle name="60% - Accent6 14" xfId="1103" xr:uid="{00000000-0005-0000-0000-000069040000}"/>
    <cellStyle name="60% - Accent6 15" xfId="1104" xr:uid="{00000000-0005-0000-0000-00006A040000}"/>
    <cellStyle name="60% - Accent6 16" xfId="1105" xr:uid="{00000000-0005-0000-0000-00006B040000}"/>
    <cellStyle name="60% - Accent6 17" xfId="1106" xr:uid="{00000000-0005-0000-0000-00006C040000}"/>
    <cellStyle name="60% - Accent6 18" xfId="1107" xr:uid="{00000000-0005-0000-0000-00006D040000}"/>
    <cellStyle name="60% - Accent6 19" xfId="1108" xr:uid="{00000000-0005-0000-0000-00006E040000}"/>
    <cellStyle name="60% - Accent6 2" xfId="93" xr:uid="{00000000-0005-0000-0000-00006F040000}"/>
    <cellStyle name="60% - Accent6 2 10" xfId="3665" xr:uid="{00000000-0005-0000-0000-000070040000}"/>
    <cellStyle name="60% - Accent6 2 11" xfId="4911" xr:uid="{00000000-0005-0000-0000-000071040000}"/>
    <cellStyle name="60% - Accent6 2 2" xfId="3666" xr:uid="{00000000-0005-0000-0000-000072040000}"/>
    <cellStyle name="60% - Accent6 2 3" xfId="3667" xr:uid="{00000000-0005-0000-0000-000073040000}"/>
    <cellStyle name="60% - Accent6 2 4" xfId="3668" xr:uid="{00000000-0005-0000-0000-000074040000}"/>
    <cellStyle name="60% - Accent6 2 5" xfId="3669" xr:uid="{00000000-0005-0000-0000-000075040000}"/>
    <cellStyle name="60% - Accent6 2 6" xfId="3670" xr:uid="{00000000-0005-0000-0000-000076040000}"/>
    <cellStyle name="60% - Accent6 2 7" xfId="3671" xr:uid="{00000000-0005-0000-0000-000077040000}"/>
    <cellStyle name="60% - Accent6 2 8" xfId="3672" xr:uid="{00000000-0005-0000-0000-000078040000}"/>
    <cellStyle name="60% - Accent6 2 9" xfId="3673" xr:uid="{00000000-0005-0000-0000-000079040000}"/>
    <cellStyle name="60% - Accent6 20" xfId="1109" xr:uid="{00000000-0005-0000-0000-00007A040000}"/>
    <cellStyle name="60% - Accent6 21" xfId="1110" xr:uid="{00000000-0005-0000-0000-00007B040000}"/>
    <cellStyle name="60% - Accent6 22" xfId="1111" xr:uid="{00000000-0005-0000-0000-00007C040000}"/>
    <cellStyle name="60% - Accent6 23" xfId="1112" xr:uid="{00000000-0005-0000-0000-00007D040000}"/>
    <cellStyle name="60% - Accent6 24" xfId="1113" xr:uid="{00000000-0005-0000-0000-00007E040000}"/>
    <cellStyle name="60% - Accent6 25" xfId="1114" xr:uid="{00000000-0005-0000-0000-00007F040000}"/>
    <cellStyle name="60% - Accent6 26" xfId="1115" xr:uid="{00000000-0005-0000-0000-000080040000}"/>
    <cellStyle name="60% - Accent6 27" xfId="1116" xr:uid="{00000000-0005-0000-0000-000081040000}"/>
    <cellStyle name="60% - Accent6 28" xfId="1117" xr:uid="{00000000-0005-0000-0000-000082040000}"/>
    <cellStyle name="60% - Accent6 29" xfId="1118" xr:uid="{00000000-0005-0000-0000-000083040000}"/>
    <cellStyle name="60% - Accent6 3" xfId="94" xr:uid="{00000000-0005-0000-0000-000084040000}"/>
    <cellStyle name="60% - Accent6 3 2" xfId="1119" xr:uid="{00000000-0005-0000-0000-000085040000}"/>
    <cellStyle name="60% - Accent6 3 2 2" xfId="4912" xr:uid="{00000000-0005-0000-0000-000086040000}"/>
    <cellStyle name="60% - Accent6 3 3" xfId="3674" xr:uid="{00000000-0005-0000-0000-000087040000}"/>
    <cellStyle name="60% - Accent6 30" xfId="1120" xr:uid="{00000000-0005-0000-0000-000088040000}"/>
    <cellStyle name="60% - Accent6 31" xfId="1121" xr:uid="{00000000-0005-0000-0000-000089040000}"/>
    <cellStyle name="60% - Accent6 32" xfId="1122" xr:uid="{00000000-0005-0000-0000-00008A040000}"/>
    <cellStyle name="60% - Accent6 33" xfId="1123" xr:uid="{00000000-0005-0000-0000-00008B040000}"/>
    <cellStyle name="60% - Accent6 34" xfId="1124" xr:uid="{00000000-0005-0000-0000-00008C040000}"/>
    <cellStyle name="60% - Accent6 35" xfId="1125" xr:uid="{00000000-0005-0000-0000-00008D040000}"/>
    <cellStyle name="60% - Accent6 36" xfId="1126" xr:uid="{00000000-0005-0000-0000-00008E040000}"/>
    <cellStyle name="60% - Accent6 37" xfId="1127" xr:uid="{00000000-0005-0000-0000-00008F040000}"/>
    <cellStyle name="60% - Accent6 38" xfId="1128" xr:uid="{00000000-0005-0000-0000-000090040000}"/>
    <cellStyle name="60% - Accent6 39" xfId="1129" xr:uid="{00000000-0005-0000-0000-000091040000}"/>
    <cellStyle name="60% - Accent6 4" xfId="1130" xr:uid="{00000000-0005-0000-0000-000092040000}"/>
    <cellStyle name="60% - Accent6 4 2" xfId="4913" xr:uid="{00000000-0005-0000-0000-000093040000}"/>
    <cellStyle name="60% - Accent6 40" xfId="1131" xr:uid="{00000000-0005-0000-0000-000094040000}"/>
    <cellStyle name="60% - Accent6 41" xfId="1132" xr:uid="{00000000-0005-0000-0000-000095040000}"/>
    <cellStyle name="60% - Accent6 42" xfId="1133" xr:uid="{00000000-0005-0000-0000-000096040000}"/>
    <cellStyle name="60% - Accent6 43" xfId="1134" xr:uid="{00000000-0005-0000-0000-000097040000}"/>
    <cellStyle name="60% - Accent6 5" xfId="1135" xr:uid="{00000000-0005-0000-0000-000098040000}"/>
    <cellStyle name="60% - Accent6 5 2" xfId="4914" xr:uid="{00000000-0005-0000-0000-000099040000}"/>
    <cellStyle name="60% - Accent6 6" xfId="1136" xr:uid="{00000000-0005-0000-0000-00009A040000}"/>
    <cellStyle name="60% - Accent6 6 2" xfId="4915" xr:uid="{00000000-0005-0000-0000-00009B040000}"/>
    <cellStyle name="60% - Accent6 7" xfId="1137" xr:uid="{00000000-0005-0000-0000-00009C040000}"/>
    <cellStyle name="60% - Accent6 8" xfId="1138" xr:uid="{00000000-0005-0000-0000-00009D040000}"/>
    <cellStyle name="60% - Accent6 9" xfId="1139" xr:uid="{00000000-0005-0000-0000-00009E040000}"/>
    <cellStyle name="60% - Akzent1" xfId="1140" xr:uid="{00000000-0005-0000-0000-00009F040000}"/>
    <cellStyle name="60% - Akzent2" xfId="1141" xr:uid="{00000000-0005-0000-0000-0000A0040000}"/>
    <cellStyle name="60% - Akzent3" xfId="1142" xr:uid="{00000000-0005-0000-0000-0000A1040000}"/>
    <cellStyle name="60% - Akzent4" xfId="1143" xr:uid="{00000000-0005-0000-0000-0000A2040000}"/>
    <cellStyle name="60% - Akzent5" xfId="1144" xr:uid="{00000000-0005-0000-0000-0000A3040000}"/>
    <cellStyle name="60% - Akzent6" xfId="1145" xr:uid="{00000000-0005-0000-0000-0000A4040000}"/>
    <cellStyle name="60% - Cor4 2" xfId="1146" xr:uid="{00000000-0005-0000-0000-0000A5040000}"/>
    <cellStyle name="Accent1" xfId="18" builtinId="29" customBuiltin="1"/>
    <cellStyle name="Accent1 10" xfId="1147" xr:uid="{00000000-0005-0000-0000-0000A7040000}"/>
    <cellStyle name="Accent1 11" xfId="1148" xr:uid="{00000000-0005-0000-0000-0000A8040000}"/>
    <cellStyle name="Accent1 12" xfId="1149" xr:uid="{00000000-0005-0000-0000-0000A9040000}"/>
    <cellStyle name="Accent1 13" xfId="1150" xr:uid="{00000000-0005-0000-0000-0000AA040000}"/>
    <cellStyle name="Accent1 14" xfId="1151" xr:uid="{00000000-0005-0000-0000-0000AB040000}"/>
    <cellStyle name="Accent1 15" xfId="1152" xr:uid="{00000000-0005-0000-0000-0000AC040000}"/>
    <cellStyle name="Accent1 16" xfId="1153" xr:uid="{00000000-0005-0000-0000-0000AD040000}"/>
    <cellStyle name="Accent1 17" xfId="1154" xr:uid="{00000000-0005-0000-0000-0000AE040000}"/>
    <cellStyle name="Accent1 18" xfId="1155" xr:uid="{00000000-0005-0000-0000-0000AF040000}"/>
    <cellStyle name="Accent1 19" xfId="1156" xr:uid="{00000000-0005-0000-0000-0000B0040000}"/>
    <cellStyle name="Accent1 2" xfId="95" xr:uid="{00000000-0005-0000-0000-0000B1040000}"/>
    <cellStyle name="Accent1 2 10" xfId="3675" xr:uid="{00000000-0005-0000-0000-0000B2040000}"/>
    <cellStyle name="Accent1 2 11" xfId="4916" xr:uid="{00000000-0005-0000-0000-0000B3040000}"/>
    <cellStyle name="Accent1 2 2" xfId="3676" xr:uid="{00000000-0005-0000-0000-0000B4040000}"/>
    <cellStyle name="Accent1 2 3" xfId="3677" xr:uid="{00000000-0005-0000-0000-0000B5040000}"/>
    <cellStyle name="Accent1 2 4" xfId="3678" xr:uid="{00000000-0005-0000-0000-0000B6040000}"/>
    <cellStyle name="Accent1 2 5" xfId="3679" xr:uid="{00000000-0005-0000-0000-0000B7040000}"/>
    <cellStyle name="Accent1 2 6" xfId="3680" xr:uid="{00000000-0005-0000-0000-0000B8040000}"/>
    <cellStyle name="Accent1 2 7" xfId="3681" xr:uid="{00000000-0005-0000-0000-0000B9040000}"/>
    <cellStyle name="Accent1 2 8" xfId="3682" xr:uid="{00000000-0005-0000-0000-0000BA040000}"/>
    <cellStyle name="Accent1 2 9" xfId="3683" xr:uid="{00000000-0005-0000-0000-0000BB040000}"/>
    <cellStyle name="Accent1 20" xfId="1157" xr:uid="{00000000-0005-0000-0000-0000BC040000}"/>
    <cellStyle name="Accent1 21" xfId="1158" xr:uid="{00000000-0005-0000-0000-0000BD040000}"/>
    <cellStyle name="Accent1 22" xfId="1159" xr:uid="{00000000-0005-0000-0000-0000BE040000}"/>
    <cellStyle name="Accent1 23" xfId="1160" xr:uid="{00000000-0005-0000-0000-0000BF040000}"/>
    <cellStyle name="Accent1 24" xfId="1161" xr:uid="{00000000-0005-0000-0000-0000C0040000}"/>
    <cellStyle name="Accent1 25" xfId="1162" xr:uid="{00000000-0005-0000-0000-0000C1040000}"/>
    <cellStyle name="Accent1 26" xfId="1163" xr:uid="{00000000-0005-0000-0000-0000C2040000}"/>
    <cellStyle name="Accent1 27" xfId="1164" xr:uid="{00000000-0005-0000-0000-0000C3040000}"/>
    <cellStyle name="Accent1 28" xfId="1165" xr:uid="{00000000-0005-0000-0000-0000C4040000}"/>
    <cellStyle name="Accent1 29" xfId="1166" xr:uid="{00000000-0005-0000-0000-0000C5040000}"/>
    <cellStyle name="Accent1 3" xfId="96" xr:uid="{00000000-0005-0000-0000-0000C6040000}"/>
    <cellStyle name="Accent1 3 2" xfId="1167" xr:uid="{00000000-0005-0000-0000-0000C7040000}"/>
    <cellStyle name="Accent1 3 2 2" xfId="4917" xr:uid="{00000000-0005-0000-0000-0000C8040000}"/>
    <cellStyle name="Accent1 3 3" xfId="3684" xr:uid="{00000000-0005-0000-0000-0000C9040000}"/>
    <cellStyle name="Accent1 30" xfId="1168" xr:uid="{00000000-0005-0000-0000-0000CA040000}"/>
    <cellStyle name="Accent1 31" xfId="1169" xr:uid="{00000000-0005-0000-0000-0000CB040000}"/>
    <cellStyle name="Accent1 32" xfId="1170" xr:uid="{00000000-0005-0000-0000-0000CC040000}"/>
    <cellStyle name="Accent1 33" xfId="1171" xr:uid="{00000000-0005-0000-0000-0000CD040000}"/>
    <cellStyle name="Accent1 34" xfId="1172" xr:uid="{00000000-0005-0000-0000-0000CE040000}"/>
    <cellStyle name="Accent1 35" xfId="1173" xr:uid="{00000000-0005-0000-0000-0000CF040000}"/>
    <cellStyle name="Accent1 36" xfId="1174" xr:uid="{00000000-0005-0000-0000-0000D0040000}"/>
    <cellStyle name="Accent1 37" xfId="1175" xr:uid="{00000000-0005-0000-0000-0000D1040000}"/>
    <cellStyle name="Accent1 38" xfId="1176" xr:uid="{00000000-0005-0000-0000-0000D2040000}"/>
    <cellStyle name="Accent1 39" xfId="1177" xr:uid="{00000000-0005-0000-0000-0000D3040000}"/>
    <cellStyle name="Accent1 4" xfId="1178" xr:uid="{00000000-0005-0000-0000-0000D4040000}"/>
    <cellStyle name="Accent1 4 2" xfId="4918" xr:uid="{00000000-0005-0000-0000-0000D5040000}"/>
    <cellStyle name="Accent1 40" xfId="1179" xr:uid="{00000000-0005-0000-0000-0000D6040000}"/>
    <cellStyle name="Accent1 41" xfId="1180" xr:uid="{00000000-0005-0000-0000-0000D7040000}"/>
    <cellStyle name="Accent1 42" xfId="1181" xr:uid="{00000000-0005-0000-0000-0000D8040000}"/>
    <cellStyle name="Accent1 43" xfId="1182" xr:uid="{00000000-0005-0000-0000-0000D9040000}"/>
    <cellStyle name="Accent1 5" xfId="1183" xr:uid="{00000000-0005-0000-0000-0000DA040000}"/>
    <cellStyle name="Accent1 5 2" xfId="4919" xr:uid="{00000000-0005-0000-0000-0000DB040000}"/>
    <cellStyle name="Accent1 6" xfId="1184" xr:uid="{00000000-0005-0000-0000-0000DC040000}"/>
    <cellStyle name="Accent1 6 2" xfId="4920" xr:uid="{00000000-0005-0000-0000-0000DD040000}"/>
    <cellStyle name="Accent1 7" xfId="1185" xr:uid="{00000000-0005-0000-0000-0000DE040000}"/>
    <cellStyle name="Accent1 8" xfId="1186" xr:uid="{00000000-0005-0000-0000-0000DF040000}"/>
    <cellStyle name="Accent1 9" xfId="1187" xr:uid="{00000000-0005-0000-0000-0000E0040000}"/>
    <cellStyle name="Accent2" xfId="22" builtinId="33" customBuiltin="1"/>
    <cellStyle name="Accent2 10" xfId="1188" xr:uid="{00000000-0005-0000-0000-0000E2040000}"/>
    <cellStyle name="Accent2 11" xfId="1189" xr:uid="{00000000-0005-0000-0000-0000E3040000}"/>
    <cellStyle name="Accent2 12" xfId="1190" xr:uid="{00000000-0005-0000-0000-0000E4040000}"/>
    <cellStyle name="Accent2 13" xfId="1191" xr:uid="{00000000-0005-0000-0000-0000E5040000}"/>
    <cellStyle name="Accent2 14" xfId="1192" xr:uid="{00000000-0005-0000-0000-0000E6040000}"/>
    <cellStyle name="Accent2 15" xfId="1193" xr:uid="{00000000-0005-0000-0000-0000E7040000}"/>
    <cellStyle name="Accent2 16" xfId="1194" xr:uid="{00000000-0005-0000-0000-0000E8040000}"/>
    <cellStyle name="Accent2 17" xfId="1195" xr:uid="{00000000-0005-0000-0000-0000E9040000}"/>
    <cellStyle name="Accent2 18" xfId="1196" xr:uid="{00000000-0005-0000-0000-0000EA040000}"/>
    <cellStyle name="Accent2 19" xfId="1197" xr:uid="{00000000-0005-0000-0000-0000EB040000}"/>
    <cellStyle name="Accent2 2" xfId="97" xr:uid="{00000000-0005-0000-0000-0000EC040000}"/>
    <cellStyle name="Accent2 2 10" xfId="3685" xr:uid="{00000000-0005-0000-0000-0000ED040000}"/>
    <cellStyle name="Accent2 2 11" xfId="4921" xr:uid="{00000000-0005-0000-0000-0000EE040000}"/>
    <cellStyle name="Accent2 2 2" xfId="3686" xr:uid="{00000000-0005-0000-0000-0000EF040000}"/>
    <cellStyle name="Accent2 2 3" xfId="3687" xr:uid="{00000000-0005-0000-0000-0000F0040000}"/>
    <cellStyle name="Accent2 2 4" xfId="3688" xr:uid="{00000000-0005-0000-0000-0000F1040000}"/>
    <cellStyle name="Accent2 2 5" xfId="3689" xr:uid="{00000000-0005-0000-0000-0000F2040000}"/>
    <cellStyle name="Accent2 2 6" xfId="3690" xr:uid="{00000000-0005-0000-0000-0000F3040000}"/>
    <cellStyle name="Accent2 2 7" xfId="3691" xr:uid="{00000000-0005-0000-0000-0000F4040000}"/>
    <cellStyle name="Accent2 2 8" xfId="3692" xr:uid="{00000000-0005-0000-0000-0000F5040000}"/>
    <cellStyle name="Accent2 2 9" xfId="3693" xr:uid="{00000000-0005-0000-0000-0000F6040000}"/>
    <cellStyle name="Accent2 20" xfId="1198" xr:uid="{00000000-0005-0000-0000-0000F7040000}"/>
    <cellStyle name="Accent2 21" xfId="1199" xr:uid="{00000000-0005-0000-0000-0000F8040000}"/>
    <cellStyle name="Accent2 22" xfId="1200" xr:uid="{00000000-0005-0000-0000-0000F9040000}"/>
    <cellStyle name="Accent2 23" xfId="1201" xr:uid="{00000000-0005-0000-0000-0000FA040000}"/>
    <cellStyle name="Accent2 24" xfId="1202" xr:uid="{00000000-0005-0000-0000-0000FB040000}"/>
    <cellStyle name="Accent2 25" xfId="1203" xr:uid="{00000000-0005-0000-0000-0000FC040000}"/>
    <cellStyle name="Accent2 26" xfId="1204" xr:uid="{00000000-0005-0000-0000-0000FD040000}"/>
    <cellStyle name="Accent2 27" xfId="1205" xr:uid="{00000000-0005-0000-0000-0000FE040000}"/>
    <cellStyle name="Accent2 28" xfId="1206" xr:uid="{00000000-0005-0000-0000-0000FF040000}"/>
    <cellStyle name="Accent2 29" xfId="1207" xr:uid="{00000000-0005-0000-0000-000000050000}"/>
    <cellStyle name="Accent2 3" xfId="98" xr:uid="{00000000-0005-0000-0000-000001050000}"/>
    <cellStyle name="Accent2 3 2" xfId="1208" xr:uid="{00000000-0005-0000-0000-000002050000}"/>
    <cellStyle name="Accent2 3 2 2" xfId="4922" xr:uid="{00000000-0005-0000-0000-000003050000}"/>
    <cellStyle name="Accent2 3 3" xfId="3694" xr:uid="{00000000-0005-0000-0000-000004050000}"/>
    <cellStyle name="Accent2 30" xfId="1209" xr:uid="{00000000-0005-0000-0000-000005050000}"/>
    <cellStyle name="Accent2 31" xfId="1210" xr:uid="{00000000-0005-0000-0000-000006050000}"/>
    <cellStyle name="Accent2 32" xfId="1211" xr:uid="{00000000-0005-0000-0000-000007050000}"/>
    <cellStyle name="Accent2 33" xfId="1212" xr:uid="{00000000-0005-0000-0000-000008050000}"/>
    <cellStyle name="Accent2 34" xfId="1213" xr:uid="{00000000-0005-0000-0000-000009050000}"/>
    <cellStyle name="Accent2 35" xfId="1214" xr:uid="{00000000-0005-0000-0000-00000A050000}"/>
    <cellStyle name="Accent2 36" xfId="1215" xr:uid="{00000000-0005-0000-0000-00000B050000}"/>
    <cellStyle name="Accent2 37" xfId="1216" xr:uid="{00000000-0005-0000-0000-00000C050000}"/>
    <cellStyle name="Accent2 38" xfId="1217" xr:uid="{00000000-0005-0000-0000-00000D050000}"/>
    <cellStyle name="Accent2 39" xfId="1218" xr:uid="{00000000-0005-0000-0000-00000E050000}"/>
    <cellStyle name="Accent2 4" xfId="1219" xr:uid="{00000000-0005-0000-0000-00000F050000}"/>
    <cellStyle name="Accent2 4 2" xfId="4923" xr:uid="{00000000-0005-0000-0000-000010050000}"/>
    <cellStyle name="Accent2 40" xfId="1220" xr:uid="{00000000-0005-0000-0000-000011050000}"/>
    <cellStyle name="Accent2 41" xfId="1221" xr:uid="{00000000-0005-0000-0000-000012050000}"/>
    <cellStyle name="Accent2 42" xfId="1222" xr:uid="{00000000-0005-0000-0000-000013050000}"/>
    <cellStyle name="Accent2 43" xfId="1223" xr:uid="{00000000-0005-0000-0000-000014050000}"/>
    <cellStyle name="Accent2 5" xfId="1224" xr:uid="{00000000-0005-0000-0000-000015050000}"/>
    <cellStyle name="Accent2 5 2" xfId="4924" xr:uid="{00000000-0005-0000-0000-000016050000}"/>
    <cellStyle name="Accent2 6" xfId="1225" xr:uid="{00000000-0005-0000-0000-000017050000}"/>
    <cellStyle name="Accent2 6 2" xfId="4925" xr:uid="{00000000-0005-0000-0000-000018050000}"/>
    <cellStyle name="Accent2 7" xfId="1226" xr:uid="{00000000-0005-0000-0000-000019050000}"/>
    <cellStyle name="Accent2 8" xfId="1227" xr:uid="{00000000-0005-0000-0000-00001A050000}"/>
    <cellStyle name="Accent2 9" xfId="1228" xr:uid="{00000000-0005-0000-0000-00001B050000}"/>
    <cellStyle name="Accent3" xfId="26" builtinId="37" customBuiltin="1"/>
    <cellStyle name="Accent3 10" xfId="1229" xr:uid="{00000000-0005-0000-0000-00001D050000}"/>
    <cellStyle name="Accent3 11" xfId="1230" xr:uid="{00000000-0005-0000-0000-00001E050000}"/>
    <cellStyle name="Accent3 12" xfId="1231" xr:uid="{00000000-0005-0000-0000-00001F050000}"/>
    <cellStyle name="Accent3 13" xfId="1232" xr:uid="{00000000-0005-0000-0000-000020050000}"/>
    <cellStyle name="Accent3 14" xfId="1233" xr:uid="{00000000-0005-0000-0000-000021050000}"/>
    <cellStyle name="Accent3 15" xfId="1234" xr:uid="{00000000-0005-0000-0000-000022050000}"/>
    <cellStyle name="Accent3 16" xfId="1235" xr:uid="{00000000-0005-0000-0000-000023050000}"/>
    <cellStyle name="Accent3 17" xfId="1236" xr:uid="{00000000-0005-0000-0000-000024050000}"/>
    <cellStyle name="Accent3 18" xfId="1237" xr:uid="{00000000-0005-0000-0000-000025050000}"/>
    <cellStyle name="Accent3 19" xfId="1238" xr:uid="{00000000-0005-0000-0000-000026050000}"/>
    <cellStyle name="Accent3 2" xfId="99" xr:uid="{00000000-0005-0000-0000-000027050000}"/>
    <cellStyle name="Accent3 2 10" xfId="3695" xr:uid="{00000000-0005-0000-0000-000028050000}"/>
    <cellStyle name="Accent3 2 11" xfId="4926" xr:uid="{00000000-0005-0000-0000-000029050000}"/>
    <cellStyle name="Accent3 2 2" xfId="3696" xr:uid="{00000000-0005-0000-0000-00002A050000}"/>
    <cellStyle name="Accent3 2 3" xfId="3697" xr:uid="{00000000-0005-0000-0000-00002B050000}"/>
    <cellStyle name="Accent3 2 4" xfId="3698" xr:uid="{00000000-0005-0000-0000-00002C050000}"/>
    <cellStyle name="Accent3 2 5" xfId="3699" xr:uid="{00000000-0005-0000-0000-00002D050000}"/>
    <cellStyle name="Accent3 2 6" xfId="3700" xr:uid="{00000000-0005-0000-0000-00002E050000}"/>
    <cellStyle name="Accent3 2 7" xfId="3701" xr:uid="{00000000-0005-0000-0000-00002F050000}"/>
    <cellStyle name="Accent3 2 8" xfId="3702" xr:uid="{00000000-0005-0000-0000-000030050000}"/>
    <cellStyle name="Accent3 2 9" xfId="3703" xr:uid="{00000000-0005-0000-0000-000031050000}"/>
    <cellStyle name="Accent3 20" xfId="1239" xr:uid="{00000000-0005-0000-0000-000032050000}"/>
    <cellStyle name="Accent3 21" xfId="1240" xr:uid="{00000000-0005-0000-0000-000033050000}"/>
    <cellStyle name="Accent3 22" xfId="1241" xr:uid="{00000000-0005-0000-0000-000034050000}"/>
    <cellStyle name="Accent3 23" xfId="1242" xr:uid="{00000000-0005-0000-0000-000035050000}"/>
    <cellStyle name="Accent3 24" xfId="1243" xr:uid="{00000000-0005-0000-0000-000036050000}"/>
    <cellStyle name="Accent3 25" xfId="1244" xr:uid="{00000000-0005-0000-0000-000037050000}"/>
    <cellStyle name="Accent3 26" xfId="1245" xr:uid="{00000000-0005-0000-0000-000038050000}"/>
    <cellStyle name="Accent3 27" xfId="1246" xr:uid="{00000000-0005-0000-0000-000039050000}"/>
    <cellStyle name="Accent3 28" xfId="1247" xr:uid="{00000000-0005-0000-0000-00003A050000}"/>
    <cellStyle name="Accent3 29" xfId="1248" xr:uid="{00000000-0005-0000-0000-00003B050000}"/>
    <cellStyle name="Accent3 3" xfId="100" xr:uid="{00000000-0005-0000-0000-00003C050000}"/>
    <cellStyle name="Accent3 3 2" xfId="1249" xr:uid="{00000000-0005-0000-0000-00003D050000}"/>
    <cellStyle name="Accent3 3 2 2" xfId="4927" xr:uid="{00000000-0005-0000-0000-00003E050000}"/>
    <cellStyle name="Accent3 3 3" xfId="3704" xr:uid="{00000000-0005-0000-0000-00003F050000}"/>
    <cellStyle name="Accent3 30" xfId="1250" xr:uid="{00000000-0005-0000-0000-000040050000}"/>
    <cellStyle name="Accent3 31" xfId="1251" xr:uid="{00000000-0005-0000-0000-000041050000}"/>
    <cellStyle name="Accent3 32" xfId="1252" xr:uid="{00000000-0005-0000-0000-000042050000}"/>
    <cellStyle name="Accent3 33" xfId="1253" xr:uid="{00000000-0005-0000-0000-000043050000}"/>
    <cellStyle name="Accent3 34" xfId="1254" xr:uid="{00000000-0005-0000-0000-000044050000}"/>
    <cellStyle name="Accent3 35" xfId="1255" xr:uid="{00000000-0005-0000-0000-000045050000}"/>
    <cellStyle name="Accent3 36" xfId="1256" xr:uid="{00000000-0005-0000-0000-000046050000}"/>
    <cellStyle name="Accent3 37" xfId="1257" xr:uid="{00000000-0005-0000-0000-000047050000}"/>
    <cellStyle name="Accent3 38" xfId="1258" xr:uid="{00000000-0005-0000-0000-000048050000}"/>
    <cellStyle name="Accent3 39" xfId="1259" xr:uid="{00000000-0005-0000-0000-000049050000}"/>
    <cellStyle name="Accent3 4" xfId="1260" xr:uid="{00000000-0005-0000-0000-00004A050000}"/>
    <cellStyle name="Accent3 4 2" xfId="4928" xr:uid="{00000000-0005-0000-0000-00004B050000}"/>
    <cellStyle name="Accent3 40" xfId="1261" xr:uid="{00000000-0005-0000-0000-00004C050000}"/>
    <cellStyle name="Accent3 41" xfId="1262" xr:uid="{00000000-0005-0000-0000-00004D050000}"/>
    <cellStyle name="Accent3 42" xfId="1263" xr:uid="{00000000-0005-0000-0000-00004E050000}"/>
    <cellStyle name="Accent3 43" xfId="1264" xr:uid="{00000000-0005-0000-0000-00004F050000}"/>
    <cellStyle name="Accent3 5" xfId="1265" xr:uid="{00000000-0005-0000-0000-000050050000}"/>
    <cellStyle name="Accent3 5 2" xfId="4929" xr:uid="{00000000-0005-0000-0000-000051050000}"/>
    <cellStyle name="Accent3 6" xfId="1266" xr:uid="{00000000-0005-0000-0000-000052050000}"/>
    <cellStyle name="Accent3 6 2" xfId="4930" xr:uid="{00000000-0005-0000-0000-000053050000}"/>
    <cellStyle name="Accent3 7" xfId="1267" xr:uid="{00000000-0005-0000-0000-000054050000}"/>
    <cellStyle name="Accent3 8" xfId="1268" xr:uid="{00000000-0005-0000-0000-000055050000}"/>
    <cellStyle name="Accent3 9" xfId="1269" xr:uid="{00000000-0005-0000-0000-000056050000}"/>
    <cellStyle name="Accent4" xfId="30" builtinId="41" customBuiltin="1"/>
    <cellStyle name="Accent4 10" xfId="1270" xr:uid="{00000000-0005-0000-0000-000058050000}"/>
    <cellStyle name="Accent4 11" xfId="1271" xr:uid="{00000000-0005-0000-0000-000059050000}"/>
    <cellStyle name="Accent4 12" xfId="1272" xr:uid="{00000000-0005-0000-0000-00005A050000}"/>
    <cellStyle name="Accent4 13" xfId="1273" xr:uid="{00000000-0005-0000-0000-00005B050000}"/>
    <cellStyle name="Accent4 14" xfId="1274" xr:uid="{00000000-0005-0000-0000-00005C050000}"/>
    <cellStyle name="Accent4 15" xfId="1275" xr:uid="{00000000-0005-0000-0000-00005D050000}"/>
    <cellStyle name="Accent4 16" xfId="1276" xr:uid="{00000000-0005-0000-0000-00005E050000}"/>
    <cellStyle name="Accent4 17" xfId="1277" xr:uid="{00000000-0005-0000-0000-00005F050000}"/>
    <cellStyle name="Accent4 18" xfId="1278" xr:uid="{00000000-0005-0000-0000-000060050000}"/>
    <cellStyle name="Accent4 19" xfId="1279" xr:uid="{00000000-0005-0000-0000-000061050000}"/>
    <cellStyle name="Accent4 2" xfId="101" xr:uid="{00000000-0005-0000-0000-000062050000}"/>
    <cellStyle name="Accent4 2 10" xfId="3705" xr:uid="{00000000-0005-0000-0000-000063050000}"/>
    <cellStyle name="Accent4 2 11" xfId="4931" xr:uid="{00000000-0005-0000-0000-000064050000}"/>
    <cellStyle name="Accent4 2 2" xfId="3706" xr:uid="{00000000-0005-0000-0000-000065050000}"/>
    <cellStyle name="Accent4 2 3" xfId="3707" xr:uid="{00000000-0005-0000-0000-000066050000}"/>
    <cellStyle name="Accent4 2 4" xfId="3708" xr:uid="{00000000-0005-0000-0000-000067050000}"/>
    <cellStyle name="Accent4 2 5" xfId="3709" xr:uid="{00000000-0005-0000-0000-000068050000}"/>
    <cellStyle name="Accent4 2 6" xfId="3710" xr:uid="{00000000-0005-0000-0000-000069050000}"/>
    <cellStyle name="Accent4 2 7" xfId="3711" xr:uid="{00000000-0005-0000-0000-00006A050000}"/>
    <cellStyle name="Accent4 2 8" xfId="3712" xr:uid="{00000000-0005-0000-0000-00006B050000}"/>
    <cellStyle name="Accent4 2 9" xfId="3713" xr:uid="{00000000-0005-0000-0000-00006C050000}"/>
    <cellStyle name="Accent4 20" xfId="1280" xr:uid="{00000000-0005-0000-0000-00006D050000}"/>
    <cellStyle name="Accent4 21" xfId="1281" xr:uid="{00000000-0005-0000-0000-00006E050000}"/>
    <cellStyle name="Accent4 22" xfId="1282" xr:uid="{00000000-0005-0000-0000-00006F050000}"/>
    <cellStyle name="Accent4 23" xfId="1283" xr:uid="{00000000-0005-0000-0000-000070050000}"/>
    <cellStyle name="Accent4 24" xfId="1284" xr:uid="{00000000-0005-0000-0000-000071050000}"/>
    <cellStyle name="Accent4 25" xfId="1285" xr:uid="{00000000-0005-0000-0000-000072050000}"/>
    <cellStyle name="Accent4 26" xfId="1286" xr:uid="{00000000-0005-0000-0000-000073050000}"/>
    <cellStyle name="Accent4 27" xfId="1287" xr:uid="{00000000-0005-0000-0000-000074050000}"/>
    <cellStyle name="Accent4 28" xfId="1288" xr:uid="{00000000-0005-0000-0000-000075050000}"/>
    <cellStyle name="Accent4 29" xfId="1289" xr:uid="{00000000-0005-0000-0000-000076050000}"/>
    <cellStyle name="Accent4 3" xfId="102" xr:uid="{00000000-0005-0000-0000-000077050000}"/>
    <cellStyle name="Accent4 3 2" xfId="1290" xr:uid="{00000000-0005-0000-0000-000078050000}"/>
    <cellStyle name="Accent4 3 2 2" xfId="4932" xr:uid="{00000000-0005-0000-0000-000079050000}"/>
    <cellStyle name="Accent4 3 3" xfId="3714" xr:uid="{00000000-0005-0000-0000-00007A050000}"/>
    <cellStyle name="Accent4 30" xfId="1291" xr:uid="{00000000-0005-0000-0000-00007B050000}"/>
    <cellStyle name="Accent4 31" xfId="1292" xr:uid="{00000000-0005-0000-0000-00007C050000}"/>
    <cellStyle name="Accent4 32" xfId="1293" xr:uid="{00000000-0005-0000-0000-00007D050000}"/>
    <cellStyle name="Accent4 33" xfId="1294" xr:uid="{00000000-0005-0000-0000-00007E050000}"/>
    <cellStyle name="Accent4 34" xfId="1295" xr:uid="{00000000-0005-0000-0000-00007F050000}"/>
    <cellStyle name="Accent4 35" xfId="1296" xr:uid="{00000000-0005-0000-0000-000080050000}"/>
    <cellStyle name="Accent4 36" xfId="1297" xr:uid="{00000000-0005-0000-0000-000081050000}"/>
    <cellStyle name="Accent4 37" xfId="1298" xr:uid="{00000000-0005-0000-0000-000082050000}"/>
    <cellStyle name="Accent4 38" xfId="1299" xr:uid="{00000000-0005-0000-0000-000083050000}"/>
    <cellStyle name="Accent4 39" xfId="1300" xr:uid="{00000000-0005-0000-0000-000084050000}"/>
    <cellStyle name="Accent4 4" xfId="1301" xr:uid="{00000000-0005-0000-0000-000085050000}"/>
    <cellStyle name="Accent4 4 2" xfId="4933" xr:uid="{00000000-0005-0000-0000-000086050000}"/>
    <cellStyle name="Accent4 40" xfId="1302" xr:uid="{00000000-0005-0000-0000-000087050000}"/>
    <cellStyle name="Accent4 41" xfId="1303" xr:uid="{00000000-0005-0000-0000-000088050000}"/>
    <cellStyle name="Accent4 42" xfId="1304" xr:uid="{00000000-0005-0000-0000-000089050000}"/>
    <cellStyle name="Accent4 43" xfId="1305" xr:uid="{00000000-0005-0000-0000-00008A050000}"/>
    <cellStyle name="Accent4 5" xfId="1306" xr:uid="{00000000-0005-0000-0000-00008B050000}"/>
    <cellStyle name="Accent4 5 2" xfId="4934" xr:uid="{00000000-0005-0000-0000-00008C050000}"/>
    <cellStyle name="Accent4 6" xfId="1307" xr:uid="{00000000-0005-0000-0000-00008D050000}"/>
    <cellStyle name="Accent4 6 2" xfId="4935" xr:uid="{00000000-0005-0000-0000-00008E050000}"/>
    <cellStyle name="Accent4 7" xfId="1308" xr:uid="{00000000-0005-0000-0000-00008F050000}"/>
    <cellStyle name="Accent4 8" xfId="1309" xr:uid="{00000000-0005-0000-0000-000090050000}"/>
    <cellStyle name="Accent4 9" xfId="1310" xr:uid="{00000000-0005-0000-0000-000091050000}"/>
    <cellStyle name="Accent5" xfId="34" builtinId="45" customBuiltin="1"/>
    <cellStyle name="Accent5 10" xfId="1311" xr:uid="{00000000-0005-0000-0000-000093050000}"/>
    <cellStyle name="Accent5 11" xfId="1312" xr:uid="{00000000-0005-0000-0000-000094050000}"/>
    <cellStyle name="Accent5 12" xfId="1313" xr:uid="{00000000-0005-0000-0000-000095050000}"/>
    <cellStyle name="Accent5 13" xfId="1314" xr:uid="{00000000-0005-0000-0000-000096050000}"/>
    <cellStyle name="Accent5 14" xfId="1315" xr:uid="{00000000-0005-0000-0000-000097050000}"/>
    <cellStyle name="Accent5 15" xfId="1316" xr:uid="{00000000-0005-0000-0000-000098050000}"/>
    <cellStyle name="Accent5 16" xfId="1317" xr:uid="{00000000-0005-0000-0000-000099050000}"/>
    <cellStyle name="Accent5 17" xfId="1318" xr:uid="{00000000-0005-0000-0000-00009A050000}"/>
    <cellStyle name="Accent5 18" xfId="1319" xr:uid="{00000000-0005-0000-0000-00009B050000}"/>
    <cellStyle name="Accent5 19" xfId="1320" xr:uid="{00000000-0005-0000-0000-00009C050000}"/>
    <cellStyle name="Accent5 2" xfId="103" xr:uid="{00000000-0005-0000-0000-00009D050000}"/>
    <cellStyle name="Accent5 2 10" xfId="3715" xr:uid="{00000000-0005-0000-0000-00009E050000}"/>
    <cellStyle name="Accent5 2 2" xfId="3716" xr:uid="{00000000-0005-0000-0000-00009F050000}"/>
    <cellStyle name="Accent5 2 3" xfId="3717" xr:uid="{00000000-0005-0000-0000-0000A0050000}"/>
    <cellStyle name="Accent5 2 4" xfId="3718" xr:uid="{00000000-0005-0000-0000-0000A1050000}"/>
    <cellStyle name="Accent5 2 5" xfId="3719" xr:uid="{00000000-0005-0000-0000-0000A2050000}"/>
    <cellStyle name="Accent5 2 6" xfId="3720" xr:uid="{00000000-0005-0000-0000-0000A3050000}"/>
    <cellStyle name="Accent5 2 7" xfId="3721" xr:uid="{00000000-0005-0000-0000-0000A4050000}"/>
    <cellStyle name="Accent5 2 8" xfId="3722" xr:uid="{00000000-0005-0000-0000-0000A5050000}"/>
    <cellStyle name="Accent5 2 9" xfId="3723" xr:uid="{00000000-0005-0000-0000-0000A6050000}"/>
    <cellStyle name="Accent5 20" xfId="1321" xr:uid="{00000000-0005-0000-0000-0000A7050000}"/>
    <cellStyle name="Accent5 21" xfId="1322" xr:uid="{00000000-0005-0000-0000-0000A8050000}"/>
    <cellStyle name="Accent5 22" xfId="1323" xr:uid="{00000000-0005-0000-0000-0000A9050000}"/>
    <cellStyle name="Accent5 23" xfId="1324" xr:uid="{00000000-0005-0000-0000-0000AA050000}"/>
    <cellStyle name="Accent5 24" xfId="1325" xr:uid="{00000000-0005-0000-0000-0000AB050000}"/>
    <cellStyle name="Accent5 25" xfId="1326" xr:uid="{00000000-0005-0000-0000-0000AC050000}"/>
    <cellStyle name="Accent5 26" xfId="1327" xr:uid="{00000000-0005-0000-0000-0000AD050000}"/>
    <cellStyle name="Accent5 27" xfId="1328" xr:uid="{00000000-0005-0000-0000-0000AE050000}"/>
    <cellStyle name="Accent5 28" xfId="1329" xr:uid="{00000000-0005-0000-0000-0000AF050000}"/>
    <cellStyle name="Accent5 29" xfId="1330" xr:uid="{00000000-0005-0000-0000-0000B0050000}"/>
    <cellStyle name="Accent5 3" xfId="104" xr:uid="{00000000-0005-0000-0000-0000B1050000}"/>
    <cellStyle name="Accent5 3 2" xfId="1331" xr:uid="{00000000-0005-0000-0000-0000B2050000}"/>
    <cellStyle name="Accent5 30" xfId="1332" xr:uid="{00000000-0005-0000-0000-0000B3050000}"/>
    <cellStyle name="Accent5 31" xfId="1333" xr:uid="{00000000-0005-0000-0000-0000B4050000}"/>
    <cellStyle name="Accent5 32" xfId="1334" xr:uid="{00000000-0005-0000-0000-0000B5050000}"/>
    <cellStyle name="Accent5 33" xfId="1335" xr:uid="{00000000-0005-0000-0000-0000B6050000}"/>
    <cellStyle name="Accent5 34" xfId="1336" xr:uid="{00000000-0005-0000-0000-0000B7050000}"/>
    <cellStyle name="Accent5 35" xfId="1337" xr:uid="{00000000-0005-0000-0000-0000B8050000}"/>
    <cellStyle name="Accent5 36" xfId="1338" xr:uid="{00000000-0005-0000-0000-0000B9050000}"/>
    <cellStyle name="Accent5 37" xfId="1339" xr:uid="{00000000-0005-0000-0000-0000BA050000}"/>
    <cellStyle name="Accent5 38" xfId="1340" xr:uid="{00000000-0005-0000-0000-0000BB050000}"/>
    <cellStyle name="Accent5 39" xfId="1341" xr:uid="{00000000-0005-0000-0000-0000BC050000}"/>
    <cellStyle name="Accent5 4" xfId="1342" xr:uid="{00000000-0005-0000-0000-0000BD050000}"/>
    <cellStyle name="Accent5 4 2" xfId="4936" xr:uid="{00000000-0005-0000-0000-0000BE050000}"/>
    <cellStyle name="Accent5 40" xfId="1343" xr:uid="{00000000-0005-0000-0000-0000BF050000}"/>
    <cellStyle name="Accent5 41" xfId="1344" xr:uid="{00000000-0005-0000-0000-0000C0050000}"/>
    <cellStyle name="Accent5 42" xfId="1345" xr:uid="{00000000-0005-0000-0000-0000C1050000}"/>
    <cellStyle name="Accent5 43" xfId="1346" xr:uid="{00000000-0005-0000-0000-0000C2050000}"/>
    <cellStyle name="Accent5 5" xfId="1347" xr:uid="{00000000-0005-0000-0000-0000C3050000}"/>
    <cellStyle name="Accent5 5 2" xfId="4937" xr:uid="{00000000-0005-0000-0000-0000C4050000}"/>
    <cellStyle name="Accent5 6" xfId="1348" xr:uid="{00000000-0005-0000-0000-0000C5050000}"/>
    <cellStyle name="Accent5 6 2" xfId="4938" xr:uid="{00000000-0005-0000-0000-0000C6050000}"/>
    <cellStyle name="Accent5 7" xfId="1349" xr:uid="{00000000-0005-0000-0000-0000C7050000}"/>
    <cellStyle name="Accent5 8" xfId="1350" xr:uid="{00000000-0005-0000-0000-0000C8050000}"/>
    <cellStyle name="Accent5 9" xfId="1351" xr:uid="{00000000-0005-0000-0000-0000C9050000}"/>
    <cellStyle name="Accent6" xfId="38" builtinId="49" customBuiltin="1"/>
    <cellStyle name="Accent6 10" xfId="1352" xr:uid="{00000000-0005-0000-0000-0000CB050000}"/>
    <cellStyle name="Accent6 11" xfId="1353" xr:uid="{00000000-0005-0000-0000-0000CC050000}"/>
    <cellStyle name="Accent6 12" xfId="1354" xr:uid="{00000000-0005-0000-0000-0000CD050000}"/>
    <cellStyle name="Accent6 13" xfId="1355" xr:uid="{00000000-0005-0000-0000-0000CE050000}"/>
    <cellStyle name="Accent6 14" xfId="1356" xr:uid="{00000000-0005-0000-0000-0000CF050000}"/>
    <cellStyle name="Accent6 15" xfId="1357" xr:uid="{00000000-0005-0000-0000-0000D0050000}"/>
    <cellStyle name="Accent6 16" xfId="1358" xr:uid="{00000000-0005-0000-0000-0000D1050000}"/>
    <cellStyle name="Accent6 17" xfId="1359" xr:uid="{00000000-0005-0000-0000-0000D2050000}"/>
    <cellStyle name="Accent6 18" xfId="1360" xr:uid="{00000000-0005-0000-0000-0000D3050000}"/>
    <cellStyle name="Accent6 19" xfId="1361" xr:uid="{00000000-0005-0000-0000-0000D4050000}"/>
    <cellStyle name="Accent6 2" xfId="105" xr:uid="{00000000-0005-0000-0000-0000D5050000}"/>
    <cellStyle name="Accent6 2 10" xfId="3724" xr:uid="{00000000-0005-0000-0000-0000D6050000}"/>
    <cellStyle name="Accent6 2 11" xfId="4939" xr:uid="{00000000-0005-0000-0000-0000D7050000}"/>
    <cellStyle name="Accent6 2 2" xfId="3725" xr:uid="{00000000-0005-0000-0000-0000D8050000}"/>
    <cellStyle name="Accent6 2 3" xfId="3726" xr:uid="{00000000-0005-0000-0000-0000D9050000}"/>
    <cellStyle name="Accent6 2 4" xfId="3727" xr:uid="{00000000-0005-0000-0000-0000DA050000}"/>
    <cellStyle name="Accent6 2 5" xfId="3728" xr:uid="{00000000-0005-0000-0000-0000DB050000}"/>
    <cellStyle name="Accent6 2 6" xfId="3729" xr:uid="{00000000-0005-0000-0000-0000DC050000}"/>
    <cellStyle name="Accent6 2 7" xfId="3730" xr:uid="{00000000-0005-0000-0000-0000DD050000}"/>
    <cellStyle name="Accent6 2 8" xfId="3731" xr:uid="{00000000-0005-0000-0000-0000DE050000}"/>
    <cellStyle name="Accent6 2 9" xfId="3732" xr:uid="{00000000-0005-0000-0000-0000DF050000}"/>
    <cellStyle name="Accent6 20" xfId="1362" xr:uid="{00000000-0005-0000-0000-0000E0050000}"/>
    <cellStyle name="Accent6 21" xfId="1363" xr:uid="{00000000-0005-0000-0000-0000E1050000}"/>
    <cellStyle name="Accent6 22" xfId="1364" xr:uid="{00000000-0005-0000-0000-0000E2050000}"/>
    <cellStyle name="Accent6 23" xfId="1365" xr:uid="{00000000-0005-0000-0000-0000E3050000}"/>
    <cellStyle name="Accent6 24" xfId="1366" xr:uid="{00000000-0005-0000-0000-0000E4050000}"/>
    <cellStyle name="Accent6 25" xfId="1367" xr:uid="{00000000-0005-0000-0000-0000E5050000}"/>
    <cellStyle name="Accent6 26" xfId="1368" xr:uid="{00000000-0005-0000-0000-0000E6050000}"/>
    <cellStyle name="Accent6 27" xfId="1369" xr:uid="{00000000-0005-0000-0000-0000E7050000}"/>
    <cellStyle name="Accent6 28" xfId="1370" xr:uid="{00000000-0005-0000-0000-0000E8050000}"/>
    <cellStyle name="Accent6 29" xfId="1371" xr:uid="{00000000-0005-0000-0000-0000E9050000}"/>
    <cellStyle name="Accent6 3" xfId="106" xr:uid="{00000000-0005-0000-0000-0000EA050000}"/>
    <cellStyle name="Accent6 3 2" xfId="1372" xr:uid="{00000000-0005-0000-0000-0000EB050000}"/>
    <cellStyle name="Accent6 3 2 2" xfId="4940" xr:uid="{00000000-0005-0000-0000-0000EC050000}"/>
    <cellStyle name="Accent6 3 3" xfId="3733" xr:uid="{00000000-0005-0000-0000-0000ED050000}"/>
    <cellStyle name="Accent6 30" xfId="1373" xr:uid="{00000000-0005-0000-0000-0000EE050000}"/>
    <cellStyle name="Accent6 31" xfId="1374" xr:uid="{00000000-0005-0000-0000-0000EF050000}"/>
    <cellStyle name="Accent6 32" xfId="1375" xr:uid="{00000000-0005-0000-0000-0000F0050000}"/>
    <cellStyle name="Accent6 33" xfId="1376" xr:uid="{00000000-0005-0000-0000-0000F1050000}"/>
    <cellStyle name="Accent6 34" xfId="1377" xr:uid="{00000000-0005-0000-0000-0000F2050000}"/>
    <cellStyle name="Accent6 35" xfId="1378" xr:uid="{00000000-0005-0000-0000-0000F3050000}"/>
    <cellStyle name="Accent6 36" xfId="1379" xr:uid="{00000000-0005-0000-0000-0000F4050000}"/>
    <cellStyle name="Accent6 37" xfId="1380" xr:uid="{00000000-0005-0000-0000-0000F5050000}"/>
    <cellStyle name="Accent6 38" xfId="1381" xr:uid="{00000000-0005-0000-0000-0000F6050000}"/>
    <cellStyle name="Accent6 39" xfId="1382" xr:uid="{00000000-0005-0000-0000-0000F7050000}"/>
    <cellStyle name="Accent6 4" xfId="1383" xr:uid="{00000000-0005-0000-0000-0000F8050000}"/>
    <cellStyle name="Accent6 4 2" xfId="4941" xr:uid="{00000000-0005-0000-0000-0000F9050000}"/>
    <cellStyle name="Accent6 40" xfId="1384" xr:uid="{00000000-0005-0000-0000-0000FA050000}"/>
    <cellStyle name="Accent6 41" xfId="1385" xr:uid="{00000000-0005-0000-0000-0000FB050000}"/>
    <cellStyle name="Accent6 42" xfId="1386" xr:uid="{00000000-0005-0000-0000-0000FC050000}"/>
    <cellStyle name="Accent6 43" xfId="1387" xr:uid="{00000000-0005-0000-0000-0000FD050000}"/>
    <cellStyle name="Accent6 5" xfId="1388" xr:uid="{00000000-0005-0000-0000-0000FE050000}"/>
    <cellStyle name="Accent6 5 2" xfId="4942" xr:uid="{00000000-0005-0000-0000-0000FF050000}"/>
    <cellStyle name="Accent6 6" xfId="1389" xr:uid="{00000000-0005-0000-0000-000000060000}"/>
    <cellStyle name="Accent6 6 2" xfId="4943" xr:uid="{00000000-0005-0000-0000-000001060000}"/>
    <cellStyle name="Accent6 7" xfId="1390" xr:uid="{00000000-0005-0000-0000-000002060000}"/>
    <cellStyle name="Accent6 8" xfId="1391" xr:uid="{00000000-0005-0000-0000-000003060000}"/>
    <cellStyle name="Accent6 9" xfId="1392" xr:uid="{00000000-0005-0000-0000-000004060000}"/>
    <cellStyle name="AggblueBoldCels" xfId="1393" xr:uid="{00000000-0005-0000-0000-000005060000}"/>
    <cellStyle name="AggblueCels" xfId="1394" xr:uid="{00000000-0005-0000-0000-000006060000}"/>
    <cellStyle name="AggBoldCells" xfId="1395" xr:uid="{00000000-0005-0000-0000-000007060000}"/>
    <cellStyle name="AggCels" xfId="1396" xr:uid="{00000000-0005-0000-0000-000008060000}"/>
    <cellStyle name="AggGreen" xfId="1397" xr:uid="{00000000-0005-0000-0000-000009060000}"/>
    <cellStyle name="AggGreen12" xfId="1398" xr:uid="{00000000-0005-0000-0000-00000A060000}"/>
    <cellStyle name="AggOrange" xfId="1399" xr:uid="{00000000-0005-0000-0000-00000B060000}"/>
    <cellStyle name="AggOrange9" xfId="1400" xr:uid="{00000000-0005-0000-0000-00000C060000}"/>
    <cellStyle name="AggOrangeLB_2x" xfId="1401" xr:uid="{00000000-0005-0000-0000-00000D060000}"/>
    <cellStyle name="AggOrangeLBorder" xfId="1402" xr:uid="{00000000-0005-0000-0000-00000E060000}"/>
    <cellStyle name="AggOrangeRBorder" xfId="1403" xr:uid="{00000000-0005-0000-0000-00000F060000}"/>
    <cellStyle name="Akzent1" xfId="1404" xr:uid="{00000000-0005-0000-0000-000010060000}"/>
    <cellStyle name="Akzent2" xfId="1405" xr:uid="{00000000-0005-0000-0000-000011060000}"/>
    <cellStyle name="Akzent3" xfId="1406" xr:uid="{00000000-0005-0000-0000-000012060000}"/>
    <cellStyle name="Akzent4" xfId="1407" xr:uid="{00000000-0005-0000-0000-000013060000}"/>
    <cellStyle name="Akzent5" xfId="1408" xr:uid="{00000000-0005-0000-0000-000014060000}"/>
    <cellStyle name="Akzent6" xfId="1409" xr:uid="{00000000-0005-0000-0000-000015060000}"/>
    <cellStyle name="Ausgabe" xfId="1410" xr:uid="{00000000-0005-0000-0000-000016060000}"/>
    <cellStyle name="Bad" xfId="7" builtinId="27" customBuiltin="1"/>
    <cellStyle name="Bad 10" xfId="1411" xr:uid="{00000000-0005-0000-0000-000018060000}"/>
    <cellStyle name="Bad 11" xfId="1412" xr:uid="{00000000-0005-0000-0000-000019060000}"/>
    <cellStyle name="Bad 12" xfId="1413" xr:uid="{00000000-0005-0000-0000-00001A060000}"/>
    <cellStyle name="Bad 13" xfId="1414" xr:uid="{00000000-0005-0000-0000-00001B060000}"/>
    <cellStyle name="Bad 14" xfId="1415" xr:uid="{00000000-0005-0000-0000-00001C060000}"/>
    <cellStyle name="Bad 15" xfId="1416" xr:uid="{00000000-0005-0000-0000-00001D060000}"/>
    <cellStyle name="Bad 16" xfId="1417" xr:uid="{00000000-0005-0000-0000-00001E060000}"/>
    <cellStyle name="Bad 17" xfId="1418" xr:uid="{00000000-0005-0000-0000-00001F060000}"/>
    <cellStyle name="Bad 18" xfId="1419" xr:uid="{00000000-0005-0000-0000-000020060000}"/>
    <cellStyle name="Bad 19" xfId="1420" xr:uid="{00000000-0005-0000-0000-000021060000}"/>
    <cellStyle name="Bad 2" xfId="107" xr:uid="{00000000-0005-0000-0000-000022060000}"/>
    <cellStyle name="Bad 2 10" xfId="3734" xr:uid="{00000000-0005-0000-0000-000023060000}"/>
    <cellStyle name="Bad 2 11" xfId="4944" xr:uid="{00000000-0005-0000-0000-000024060000}"/>
    <cellStyle name="Bad 2 2" xfId="3735" xr:uid="{00000000-0005-0000-0000-000025060000}"/>
    <cellStyle name="Bad 2 3" xfId="3736" xr:uid="{00000000-0005-0000-0000-000026060000}"/>
    <cellStyle name="Bad 2 4" xfId="3737" xr:uid="{00000000-0005-0000-0000-000027060000}"/>
    <cellStyle name="Bad 2 5" xfId="3738" xr:uid="{00000000-0005-0000-0000-000028060000}"/>
    <cellStyle name="Bad 2 6" xfId="3739" xr:uid="{00000000-0005-0000-0000-000029060000}"/>
    <cellStyle name="Bad 2 7" xfId="3740" xr:uid="{00000000-0005-0000-0000-00002A060000}"/>
    <cellStyle name="Bad 2 8" xfId="3741" xr:uid="{00000000-0005-0000-0000-00002B060000}"/>
    <cellStyle name="Bad 2 9" xfId="3742" xr:uid="{00000000-0005-0000-0000-00002C060000}"/>
    <cellStyle name="Bad 20" xfId="1421" xr:uid="{00000000-0005-0000-0000-00002D060000}"/>
    <cellStyle name="Bad 21" xfId="1422" xr:uid="{00000000-0005-0000-0000-00002E060000}"/>
    <cellStyle name="Bad 22" xfId="1423" xr:uid="{00000000-0005-0000-0000-00002F060000}"/>
    <cellStyle name="Bad 23" xfId="1424" xr:uid="{00000000-0005-0000-0000-000030060000}"/>
    <cellStyle name="Bad 24" xfId="1425" xr:uid="{00000000-0005-0000-0000-000031060000}"/>
    <cellStyle name="Bad 25" xfId="1426" xr:uid="{00000000-0005-0000-0000-000032060000}"/>
    <cellStyle name="Bad 26" xfId="1427" xr:uid="{00000000-0005-0000-0000-000033060000}"/>
    <cellStyle name="Bad 27" xfId="1428" xr:uid="{00000000-0005-0000-0000-000034060000}"/>
    <cellStyle name="Bad 28" xfId="1429" xr:uid="{00000000-0005-0000-0000-000035060000}"/>
    <cellStyle name="Bad 29" xfId="1430" xr:uid="{00000000-0005-0000-0000-000036060000}"/>
    <cellStyle name="Bad 3" xfId="108" xr:uid="{00000000-0005-0000-0000-000037060000}"/>
    <cellStyle name="Bad 3 2" xfId="1431" xr:uid="{00000000-0005-0000-0000-000038060000}"/>
    <cellStyle name="Bad 3 2 2" xfId="4945" xr:uid="{00000000-0005-0000-0000-000039060000}"/>
    <cellStyle name="Bad 3 3" xfId="3743" xr:uid="{00000000-0005-0000-0000-00003A060000}"/>
    <cellStyle name="Bad 30" xfId="1432" xr:uid="{00000000-0005-0000-0000-00003B060000}"/>
    <cellStyle name="Bad 31" xfId="1433" xr:uid="{00000000-0005-0000-0000-00003C060000}"/>
    <cellStyle name="Bad 32" xfId="1434" xr:uid="{00000000-0005-0000-0000-00003D060000}"/>
    <cellStyle name="Bad 33" xfId="1435" xr:uid="{00000000-0005-0000-0000-00003E060000}"/>
    <cellStyle name="Bad 34" xfId="1436" xr:uid="{00000000-0005-0000-0000-00003F060000}"/>
    <cellStyle name="Bad 35" xfId="1437" xr:uid="{00000000-0005-0000-0000-000040060000}"/>
    <cellStyle name="Bad 36" xfId="1438" xr:uid="{00000000-0005-0000-0000-000041060000}"/>
    <cellStyle name="Bad 37" xfId="1439" xr:uid="{00000000-0005-0000-0000-000042060000}"/>
    <cellStyle name="Bad 38" xfId="1440" xr:uid="{00000000-0005-0000-0000-000043060000}"/>
    <cellStyle name="Bad 39" xfId="1441" xr:uid="{00000000-0005-0000-0000-000044060000}"/>
    <cellStyle name="Bad 4" xfId="1442" xr:uid="{00000000-0005-0000-0000-000045060000}"/>
    <cellStyle name="Bad 4 2" xfId="4946" xr:uid="{00000000-0005-0000-0000-000046060000}"/>
    <cellStyle name="Bad 40" xfId="1443" xr:uid="{00000000-0005-0000-0000-000047060000}"/>
    <cellStyle name="Bad 41" xfId="1444" xr:uid="{00000000-0005-0000-0000-000048060000}"/>
    <cellStyle name="Bad 42" xfId="1445" xr:uid="{00000000-0005-0000-0000-000049060000}"/>
    <cellStyle name="Bad 43" xfId="1446" xr:uid="{00000000-0005-0000-0000-00004A060000}"/>
    <cellStyle name="Bad 44" xfId="1447" xr:uid="{00000000-0005-0000-0000-00004B060000}"/>
    <cellStyle name="Bad 5" xfId="1448" xr:uid="{00000000-0005-0000-0000-00004C060000}"/>
    <cellStyle name="Bad 5 2" xfId="4947" xr:uid="{00000000-0005-0000-0000-00004D060000}"/>
    <cellStyle name="Bad 6" xfId="1449" xr:uid="{00000000-0005-0000-0000-00004E060000}"/>
    <cellStyle name="Bad 6 2" xfId="4948" xr:uid="{00000000-0005-0000-0000-00004F060000}"/>
    <cellStyle name="Bad 7" xfId="1450" xr:uid="{00000000-0005-0000-0000-000050060000}"/>
    <cellStyle name="Bad 8" xfId="1451" xr:uid="{00000000-0005-0000-0000-000051060000}"/>
    <cellStyle name="Bad 9" xfId="1452" xr:uid="{00000000-0005-0000-0000-000052060000}"/>
    <cellStyle name="Berechnung" xfId="1453" xr:uid="{00000000-0005-0000-0000-000053060000}"/>
    <cellStyle name="Bold GHG Numbers (0.00)" xfId="1454" xr:uid="{00000000-0005-0000-0000-000054060000}"/>
    <cellStyle name="Calculation" xfId="11" builtinId="22" customBuiltin="1"/>
    <cellStyle name="Calculation 10" xfId="1455" xr:uid="{00000000-0005-0000-0000-000056060000}"/>
    <cellStyle name="Calculation 11" xfId="1456" xr:uid="{00000000-0005-0000-0000-000057060000}"/>
    <cellStyle name="Calculation 12" xfId="1457" xr:uid="{00000000-0005-0000-0000-000058060000}"/>
    <cellStyle name="Calculation 13" xfId="1458" xr:uid="{00000000-0005-0000-0000-000059060000}"/>
    <cellStyle name="Calculation 14" xfId="1459" xr:uid="{00000000-0005-0000-0000-00005A060000}"/>
    <cellStyle name="Calculation 15" xfId="1460" xr:uid="{00000000-0005-0000-0000-00005B060000}"/>
    <cellStyle name="Calculation 16" xfId="1461" xr:uid="{00000000-0005-0000-0000-00005C060000}"/>
    <cellStyle name="Calculation 17" xfId="1462" xr:uid="{00000000-0005-0000-0000-00005D060000}"/>
    <cellStyle name="Calculation 18" xfId="1463" xr:uid="{00000000-0005-0000-0000-00005E060000}"/>
    <cellStyle name="Calculation 19" xfId="1464" xr:uid="{00000000-0005-0000-0000-00005F060000}"/>
    <cellStyle name="Calculation 2" xfId="109" xr:uid="{00000000-0005-0000-0000-000060060000}"/>
    <cellStyle name="Calculation 2 10" xfId="3744" xr:uid="{00000000-0005-0000-0000-000061060000}"/>
    <cellStyle name="Calculation 2 11" xfId="4949" xr:uid="{00000000-0005-0000-0000-000062060000}"/>
    <cellStyle name="Calculation 2 2" xfId="3745" xr:uid="{00000000-0005-0000-0000-000063060000}"/>
    <cellStyle name="Calculation 2 3" xfId="3746" xr:uid="{00000000-0005-0000-0000-000064060000}"/>
    <cellStyle name="Calculation 2 4" xfId="3747" xr:uid="{00000000-0005-0000-0000-000065060000}"/>
    <cellStyle name="Calculation 2 5" xfId="3748" xr:uid="{00000000-0005-0000-0000-000066060000}"/>
    <cellStyle name="Calculation 2 6" xfId="3749" xr:uid="{00000000-0005-0000-0000-000067060000}"/>
    <cellStyle name="Calculation 2 7" xfId="3750" xr:uid="{00000000-0005-0000-0000-000068060000}"/>
    <cellStyle name="Calculation 2 8" xfId="3751" xr:uid="{00000000-0005-0000-0000-000069060000}"/>
    <cellStyle name="Calculation 2 9" xfId="3752" xr:uid="{00000000-0005-0000-0000-00006A060000}"/>
    <cellStyle name="Calculation 20" xfId="1465" xr:uid="{00000000-0005-0000-0000-00006B060000}"/>
    <cellStyle name="Calculation 21" xfId="1466" xr:uid="{00000000-0005-0000-0000-00006C060000}"/>
    <cellStyle name="Calculation 22" xfId="1467" xr:uid="{00000000-0005-0000-0000-00006D060000}"/>
    <cellStyle name="Calculation 23" xfId="1468" xr:uid="{00000000-0005-0000-0000-00006E060000}"/>
    <cellStyle name="Calculation 24" xfId="1469" xr:uid="{00000000-0005-0000-0000-00006F060000}"/>
    <cellStyle name="Calculation 25" xfId="1470" xr:uid="{00000000-0005-0000-0000-000070060000}"/>
    <cellStyle name="Calculation 26" xfId="1471" xr:uid="{00000000-0005-0000-0000-000071060000}"/>
    <cellStyle name="Calculation 27" xfId="1472" xr:uid="{00000000-0005-0000-0000-000072060000}"/>
    <cellStyle name="Calculation 28" xfId="1473" xr:uid="{00000000-0005-0000-0000-000073060000}"/>
    <cellStyle name="Calculation 29" xfId="1474" xr:uid="{00000000-0005-0000-0000-000074060000}"/>
    <cellStyle name="Calculation 3" xfId="110" xr:uid="{00000000-0005-0000-0000-000075060000}"/>
    <cellStyle name="Calculation 3 2" xfId="1475" xr:uid="{00000000-0005-0000-0000-000076060000}"/>
    <cellStyle name="Calculation 3 2 2" xfId="4950" xr:uid="{00000000-0005-0000-0000-000077060000}"/>
    <cellStyle name="Calculation 3 3" xfId="3753" xr:uid="{00000000-0005-0000-0000-000078060000}"/>
    <cellStyle name="Calculation 30" xfId="1476" xr:uid="{00000000-0005-0000-0000-000079060000}"/>
    <cellStyle name="Calculation 31" xfId="1477" xr:uid="{00000000-0005-0000-0000-00007A060000}"/>
    <cellStyle name="Calculation 32" xfId="1478" xr:uid="{00000000-0005-0000-0000-00007B060000}"/>
    <cellStyle name="Calculation 33" xfId="1479" xr:uid="{00000000-0005-0000-0000-00007C060000}"/>
    <cellStyle name="Calculation 34" xfId="1480" xr:uid="{00000000-0005-0000-0000-00007D060000}"/>
    <cellStyle name="Calculation 35" xfId="1481" xr:uid="{00000000-0005-0000-0000-00007E060000}"/>
    <cellStyle name="Calculation 36" xfId="1482" xr:uid="{00000000-0005-0000-0000-00007F060000}"/>
    <cellStyle name="Calculation 37" xfId="1483" xr:uid="{00000000-0005-0000-0000-000080060000}"/>
    <cellStyle name="Calculation 38" xfId="1484" xr:uid="{00000000-0005-0000-0000-000081060000}"/>
    <cellStyle name="Calculation 39" xfId="1485" xr:uid="{00000000-0005-0000-0000-000082060000}"/>
    <cellStyle name="Calculation 4" xfId="1486" xr:uid="{00000000-0005-0000-0000-000083060000}"/>
    <cellStyle name="Calculation 4 2" xfId="4951" xr:uid="{00000000-0005-0000-0000-000084060000}"/>
    <cellStyle name="Calculation 40" xfId="1487" xr:uid="{00000000-0005-0000-0000-000085060000}"/>
    <cellStyle name="Calculation 41" xfId="1488" xr:uid="{00000000-0005-0000-0000-000086060000}"/>
    <cellStyle name="Calculation 42" xfId="1489" xr:uid="{00000000-0005-0000-0000-000087060000}"/>
    <cellStyle name="Calculation 43" xfId="1490" xr:uid="{00000000-0005-0000-0000-000088060000}"/>
    <cellStyle name="Calculation 5" xfId="1491" xr:uid="{00000000-0005-0000-0000-000089060000}"/>
    <cellStyle name="Calculation 5 2" xfId="4952" xr:uid="{00000000-0005-0000-0000-00008A060000}"/>
    <cellStyle name="Calculation 6" xfId="1492" xr:uid="{00000000-0005-0000-0000-00008B060000}"/>
    <cellStyle name="Calculation 6 2" xfId="4953" xr:uid="{00000000-0005-0000-0000-00008C060000}"/>
    <cellStyle name="Calculation 7" xfId="1493" xr:uid="{00000000-0005-0000-0000-00008D060000}"/>
    <cellStyle name="Calculation 8" xfId="1494" xr:uid="{00000000-0005-0000-0000-00008E060000}"/>
    <cellStyle name="Calculation 9" xfId="1495" xr:uid="{00000000-0005-0000-0000-00008F060000}"/>
    <cellStyle name="Check Cell" xfId="13" builtinId="23" customBuiltin="1"/>
    <cellStyle name="Check Cell 10" xfId="1496" xr:uid="{00000000-0005-0000-0000-000091060000}"/>
    <cellStyle name="Check Cell 11" xfId="1497" xr:uid="{00000000-0005-0000-0000-000092060000}"/>
    <cellStyle name="Check Cell 12" xfId="1498" xr:uid="{00000000-0005-0000-0000-000093060000}"/>
    <cellStyle name="Check Cell 13" xfId="1499" xr:uid="{00000000-0005-0000-0000-000094060000}"/>
    <cellStyle name="Check Cell 14" xfId="1500" xr:uid="{00000000-0005-0000-0000-000095060000}"/>
    <cellStyle name="Check Cell 15" xfId="1501" xr:uid="{00000000-0005-0000-0000-000096060000}"/>
    <cellStyle name="Check Cell 16" xfId="1502" xr:uid="{00000000-0005-0000-0000-000097060000}"/>
    <cellStyle name="Check Cell 17" xfId="1503" xr:uid="{00000000-0005-0000-0000-000098060000}"/>
    <cellStyle name="Check Cell 18" xfId="1504" xr:uid="{00000000-0005-0000-0000-000099060000}"/>
    <cellStyle name="Check Cell 19" xfId="1505" xr:uid="{00000000-0005-0000-0000-00009A060000}"/>
    <cellStyle name="Check Cell 2" xfId="111" xr:uid="{00000000-0005-0000-0000-00009B060000}"/>
    <cellStyle name="Check Cell 2 10" xfId="3754" xr:uid="{00000000-0005-0000-0000-00009C060000}"/>
    <cellStyle name="Check Cell 2 2" xfId="3755" xr:uid="{00000000-0005-0000-0000-00009D060000}"/>
    <cellStyle name="Check Cell 2 3" xfId="3756" xr:uid="{00000000-0005-0000-0000-00009E060000}"/>
    <cellStyle name="Check Cell 2 4" xfId="3757" xr:uid="{00000000-0005-0000-0000-00009F060000}"/>
    <cellStyle name="Check Cell 2 5" xfId="3758" xr:uid="{00000000-0005-0000-0000-0000A0060000}"/>
    <cellStyle name="Check Cell 2 6" xfId="3759" xr:uid="{00000000-0005-0000-0000-0000A1060000}"/>
    <cellStyle name="Check Cell 2 7" xfId="3760" xr:uid="{00000000-0005-0000-0000-0000A2060000}"/>
    <cellStyle name="Check Cell 2 8" xfId="3761" xr:uid="{00000000-0005-0000-0000-0000A3060000}"/>
    <cellStyle name="Check Cell 2 9" xfId="3762" xr:uid="{00000000-0005-0000-0000-0000A4060000}"/>
    <cellStyle name="Check Cell 20" xfId="1506" xr:uid="{00000000-0005-0000-0000-0000A5060000}"/>
    <cellStyle name="Check Cell 21" xfId="1507" xr:uid="{00000000-0005-0000-0000-0000A6060000}"/>
    <cellStyle name="Check Cell 22" xfId="1508" xr:uid="{00000000-0005-0000-0000-0000A7060000}"/>
    <cellStyle name="Check Cell 23" xfId="1509" xr:uid="{00000000-0005-0000-0000-0000A8060000}"/>
    <cellStyle name="Check Cell 24" xfId="1510" xr:uid="{00000000-0005-0000-0000-0000A9060000}"/>
    <cellStyle name="Check Cell 25" xfId="1511" xr:uid="{00000000-0005-0000-0000-0000AA060000}"/>
    <cellStyle name="Check Cell 26" xfId="1512" xr:uid="{00000000-0005-0000-0000-0000AB060000}"/>
    <cellStyle name="Check Cell 27" xfId="1513" xr:uid="{00000000-0005-0000-0000-0000AC060000}"/>
    <cellStyle name="Check Cell 28" xfId="1514" xr:uid="{00000000-0005-0000-0000-0000AD060000}"/>
    <cellStyle name="Check Cell 29" xfId="1515" xr:uid="{00000000-0005-0000-0000-0000AE060000}"/>
    <cellStyle name="Check Cell 3" xfId="112" xr:uid="{00000000-0005-0000-0000-0000AF060000}"/>
    <cellStyle name="Check Cell 3 2" xfId="1516" xr:uid="{00000000-0005-0000-0000-0000B0060000}"/>
    <cellStyle name="Check Cell 30" xfId="1517" xr:uid="{00000000-0005-0000-0000-0000B1060000}"/>
    <cellStyle name="Check Cell 31" xfId="1518" xr:uid="{00000000-0005-0000-0000-0000B2060000}"/>
    <cellStyle name="Check Cell 32" xfId="1519" xr:uid="{00000000-0005-0000-0000-0000B3060000}"/>
    <cellStyle name="Check Cell 33" xfId="1520" xr:uid="{00000000-0005-0000-0000-0000B4060000}"/>
    <cellStyle name="Check Cell 34" xfId="1521" xr:uid="{00000000-0005-0000-0000-0000B5060000}"/>
    <cellStyle name="Check Cell 35" xfId="1522" xr:uid="{00000000-0005-0000-0000-0000B6060000}"/>
    <cellStyle name="Check Cell 36" xfId="1523" xr:uid="{00000000-0005-0000-0000-0000B7060000}"/>
    <cellStyle name="Check Cell 37" xfId="1524" xr:uid="{00000000-0005-0000-0000-0000B8060000}"/>
    <cellStyle name="Check Cell 38" xfId="1525" xr:uid="{00000000-0005-0000-0000-0000B9060000}"/>
    <cellStyle name="Check Cell 39" xfId="1526" xr:uid="{00000000-0005-0000-0000-0000BA060000}"/>
    <cellStyle name="Check Cell 4" xfId="1527" xr:uid="{00000000-0005-0000-0000-0000BB060000}"/>
    <cellStyle name="Check Cell 4 2" xfId="4954" xr:uid="{00000000-0005-0000-0000-0000BC060000}"/>
    <cellStyle name="Check Cell 40" xfId="1528" xr:uid="{00000000-0005-0000-0000-0000BD060000}"/>
    <cellStyle name="Check Cell 41" xfId="1529" xr:uid="{00000000-0005-0000-0000-0000BE060000}"/>
    <cellStyle name="Check Cell 42" xfId="1530" xr:uid="{00000000-0005-0000-0000-0000BF060000}"/>
    <cellStyle name="Check Cell 43" xfId="1531" xr:uid="{00000000-0005-0000-0000-0000C0060000}"/>
    <cellStyle name="Check Cell 5" xfId="1532" xr:uid="{00000000-0005-0000-0000-0000C1060000}"/>
    <cellStyle name="Check Cell 5 2" xfId="4955" xr:uid="{00000000-0005-0000-0000-0000C2060000}"/>
    <cellStyle name="Check Cell 6" xfId="1533" xr:uid="{00000000-0005-0000-0000-0000C3060000}"/>
    <cellStyle name="Check Cell 6 2" xfId="4956" xr:uid="{00000000-0005-0000-0000-0000C4060000}"/>
    <cellStyle name="Check Cell 7" xfId="1534" xr:uid="{00000000-0005-0000-0000-0000C5060000}"/>
    <cellStyle name="Check Cell 8" xfId="1535" xr:uid="{00000000-0005-0000-0000-0000C6060000}"/>
    <cellStyle name="Check Cell 9" xfId="1536" xr:uid="{00000000-0005-0000-0000-0000C7060000}"/>
    <cellStyle name="coin" xfId="316" xr:uid="{00000000-0005-0000-0000-0000C8060000}"/>
    <cellStyle name="Comma [0] 2 10" xfId="3763" xr:uid="{00000000-0005-0000-0000-0000C9060000}"/>
    <cellStyle name="Comma [0] 2 2" xfId="3764" xr:uid="{00000000-0005-0000-0000-0000CA060000}"/>
    <cellStyle name="Comma [0] 2 3" xfId="3765" xr:uid="{00000000-0005-0000-0000-0000CB060000}"/>
    <cellStyle name="Comma [0] 2 4" xfId="3766" xr:uid="{00000000-0005-0000-0000-0000CC060000}"/>
    <cellStyle name="Comma [0] 2 5" xfId="3767" xr:uid="{00000000-0005-0000-0000-0000CD060000}"/>
    <cellStyle name="Comma [0] 2 6" xfId="3768" xr:uid="{00000000-0005-0000-0000-0000CE060000}"/>
    <cellStyle name="Comma [0] 2 7" xfId="3769" xr:uid="{00000000-0005-0000-0000-0000CF060000}"/>
    <cellStyle name="Comma [0] 2 8" xfId="3770" xr:uid="{00000000-0005-0000-0000-0000D0060000}"/>
    <cellStyle name="Comma [0] 2 9" xfId="3771" xr:uid="{00000000-0005-0000-0000-0000D1060000}"/>
    <cellStyle name="Comma 10" xfId="3772" xr:uid="{00000000-0005-0000-0000-0000D2060000}"/>
    <cellStyle name="Comma 10 10" xfId="4957" xr:uid="{00000000-0005-0000-0000-0000D3060000}"/>
    <cellStyle name="Comma 10 10 2" xfId="4958" xr:uid="{00000000-0005-0000-0000-0000D4060000}"/>
    <cellStyle name="Comma 10 10 3" xfId="4959" xr:uid="{00000000-0005-0000-0000-0000D5060000}"/>
    <cellStyle name="Comma 10 11" xfId="4960" xr:uid="{00000000-0005-0000-0000-0000D6060000}"/>
    <cellStyle name="Comma 10 12" xfId="4961" xr:uid="{00000000-0005-0000-0000-0000D7060000}"/>
    <cellStyle name="Comma 10 2" xfId="3773" xr:uid="{00000000-0005-0000-0000-0000D8060000}"/>
    <cellStyle name="Comma 10 2 10" xfId="3774" xr:uid="{00000000-0005-0000-0000-0000D9060000}"/>
    <cellStyle name="Comma 10 2 11" xfId="3775" xr:uid="{00000000-0005-0000-0000-0000DA060000}"/>
    <cellStyle name="Comma 10 2 12" xfId="3776" xr:uid="{00000000-0005-0000-0000-0000DB060000}"/>
    <cellStyle name="Comma 10 2 13" xfId="3777" xr:uid="{00000000-0005-0000-0000-0000DC060000}"/>
    <cellStyle name="Comma 10 2 14" xfId="3778" xr:uid="{00000000-0005-0000-0000-0000DD060000}"/>
    <cellStyle name="Comma 10 2 15" xfId="3779" xr:uid="{00000000-0005-0000-0000-0000DE060000}"/>
    <cellStyle name="Comma 10 2 16" xfId="3780" xr:uid="{00000000-0005-0000-0000-0000DF060000}"/>
    <cellStyle name="Comma 10 2 17" xfId="3781" xr:uid="{00000000-0005-0000-0000-0000E0060000}"/>
    <cellStyle name="Comma 10 2 2" xfId="3782" xr:uid="{00000000-0005-0000-0000-0000E1060000}"/>
    <cellStyle name="Comma 10 2 3" xfId="3783" xr:uid="{00000000-0005-0000-0000-0000E2060000}"/>
    <cellStyle name="Comma 10 2 4" xfId="3784" xr:uid="{00000000-0005-0000-0000-0000E3060000}"/>
    <cellStyle name="Comma 10 2 5" xfId="3785" xr:uid="{00000000-0005-0000-0000-0000E4060000}"/>
    <cellStyle name="Comma 10 2 6" xfId="3786" xr:uid="{00000000-0005-0000-0000-0000E5060000}"/>
    <cellStyle name="Comma 10 2 7" xfId="3787" xr:uid="{00000000-0005-0000-0000-0000E6060000}"/>
    <cellStyle name="Comma 10 2 8" xfId="3788" xr:uid="{00000000-0005-0000-0000-0000E7060000}"/>
    <cellStyle name="Comma 10 2 9" xfId="3789" xr:uid="{00000000-0005-0000-0000-0000E8060000}"/>
    <cellStyle name="Comma 10 3" xfId="3790" xr:uid="{00000000-0005-0000-0000-0000E9060000}"/>
    <cellStyle name="Comma 10 3 10" xfId="3791" xr:uid="{00000000-0005-0000-0000-0000EA060000}"/>
    <cellStyle name="Comma 10 3 11" xfId="3792" xr:uid="{00000000-0005-0000-0000-0000EB060000}"/>
    <cellStyle name="Comma 10 3 12" xfId="3793" xr:uid="{00000000-0005-0000-0000-0000EC060000}"/>
    <cellStyle name="Comma 10 3 13" xfId="3794" xr:uid="{00000000-0005-0000-0000-0000ED060000}"/>
    <cellStyle name="Comma 10 3 14" xfId="3795" xr:uid="{00000000-0005-0000-0000-0000EE060000}"/>
    <cellStyle name="Comma 10 3 15" xfId="3796" xr:uid="{00000000-0005-0000-0000-0000EF060000}"/>
    <cellStyle name="Comma 10 3 16" xfId="3797" xr:uid="{00000000-0005-0000-0000-0000F0060000}"/>
    <cellStyle name="Comma 10 3 17" xfId="3798" xr:uid="{00000000-0005-0000-0000-0000F1060000}"/>
    <cellStyle name="Comma 10 3 2" xfId="3799" xr:uid="{00000000-0005-0000-0000-0000F2060000}"/>
    <cellStyle name="Comma 10 3 3" xfId="3800" xr:uid="{00000000-0005-0000-0000-0000F3060000}"/>
    <cellStyle name="Comma 10 3 4" xfId="3801" xr:uid="{00000000-0005-0000-0000-0000F4060000}"/>
    <cellStyle name="Comma 10 3 5" xfId="3802" xr:uid="{00000000-0005-0000-0000-0000F5060000}"/>
    <cellStyle name="Comma 10 3 6" xfId="3803" xr:uid="{00000000-0005-0000-0000-0000F6060000}"/>
    <cellStyle name="Comma 10 3 7" xfId="3804" xr:uid="{00000000-0005-0000-0000-0000F7060000}"/>
    <cellStyle name="Comma 10 3 8" xfId="3805" xr:uid="{00000000-0005-0000-0000-0000F8060000}"/>
    <cellStyle name="Comma 10 3 9" xfId="3806" xr:uid="{00000000-0005-0000-0000-0000F9060000}"/>
    <cellStyle name="Comma 10 4" xfId="3807" xr:uid="{00000000-0005-0000-0000-0000FA060000}"/>
    <cellStyle name="Comma 10 4 10" xfId="3808" xr:uid="{00000000-0005-0000-0000-0000FB060000}"/>
    <cellStyle name="Comma 10 4 11" xfId="3809" xr:uid="{00000000-0005-0000-0000-0000FC060000}"/>
    <cellStyle name="Comma 10 4 12" xfId="3810" xr:uid="{00000000-0005-0000-0000-0000FD060000}"/>
    <cellStyle name="Comma 10 4 13" xfId="3811" xr:uid="{00000000-0005-0000-0000-0000FE060000}"/>
    <cellStyle name="Comma 10 4 14" xfId="3812" xr:uid="{00000000-0005-0000-0000-0000FF060000}"/>
    <cellStyle name="Comma 10 4 15" xfId="3813" xr:uid="{00000000-0005-0000-0000-000000070000}"/>
    <cellStyle name="Comma 10 4 16" xfId="3814" xr:uid="{00000000-0005-0000-0000-000001070000}"/>
    <cellStyle name="Comma 10 4 17" xfId="3815" xr:uid="{00000000-0005-0000-0000-000002070000}"/>
    <cellStyle name="Comma 10 4 2" xfId="3816" xr:uid="{00000000-0005-0000-0000-000003070000}"/>
    <cellStyle name="Comma 10 4 3" xfId="3817" xr:uid="{00000000-0005-0000-0000-000004070000}"/>
    <cellStyle name="Comma 10 4 4" xfId="3818" xr:uid="{00000000-0005-0000-0000-000005070000}"/>
    <cellStyle name="Comma 10 4 5" xfId="3819" xr:uid="{00000000-0005-0000-0000-000006070000}"/>
    <cellStyle name="Comma 10 4 6" xfId="3820" xr:uid="{00000000-0005-0000-0000-000007070000}"/>
    <cellStyle name="Comma 10 4 7" xfId="3821" xr:uid="{00000000-0005-0000-0000-000008070000}"/>
    <cellStyle name="Comma 10 4 8" xfId="3822" xr:uid="{00000000-0005-0000-0000-000009070000}"/>
    <cellStyle name="Comma 10 4 9" xfId="3823" xr:uid="{00000000-0005-0000-0000-00000A070000}"/>
    <cellStyle name="Comma 10 5" xfId="3824" xr:uid="{00000000-0005-0000-0000-00000B070000}"/>
    <cellStyle name="Comma 10 5 10" xfId="3825" xr:uid="{00000000-0005-0000-0000-00000C070000}"/>
    <cellStyle name="Comma 10 5 11" xfId="3826" xr:uid="{00000000-0005-0000-0000-00000D070000}"/>
    <cellStyle name="Comma 10 5 12" xfId="3827" xr:uid="{00000000-0005-0000-0000-00000E070000}"/>
    <cellStyle name="Comma 10 5 13" xfId="3828" xr:uid="{00000000-0005-0000-0000-00000F070000}"/>
    <cellStyle name="Comma 10 5 14" xfId="3829" xr:uid="{00000000-0005-0000-0000-000010070000}"/>
    <cellStyle name="Comma 10 5 15" xfId="3830" xr:uid="{00000000-0005-0000-0000-000011070000}"/>
    <cellStyle name="Comma 10 5 16" xfId="3831" xr:uid="{00000000-0005-0000-0000-000012070000}"/>
    <cellStyle name="Comma 10 5 17" xfId="3832" xr:uid="{00000000-0005-0000-0000-000013070000}"/>
    <cellStyle name="Comma 10 5 2" xfId="3833" xr:uid="{00000000-0005-0000-0000-000014070000}"/>
    <cellStyle name="Comma 10 5 3" xfId="3834" xr:uid="{00000000-0005-0000-0000-000015070000}"/>
    <cellStyle name="Comma 10 5 4" xfId="3835" xr:uid="{00000000-0005-0000-0000-000016070000}"/>
    <cellStyle name="Comma 10 5 5" xfId="3836" xr:uid="{00000000-0005-0000-0000-000017070000}"/>
    <cellStyle name="Comma 10 5 6" xfId="3837" xr:uid="{00000000-0005-0000-0000-000018070000}"/>
    <cellStyle name="Comma 10 5 7" xfId="3838" xr:uid="{00000000-0005-0000-0000-000019070000}"/>
    <cellStyle name="Comma 10 5 8" xfId="3839" xr:uid="{00000000-0005-0000-0000-00001A070000}"/>
    <cellStyle name="Comma 10 5 9" xfId="3840" xr:uid="{00000000-0005-0000-0000-00001B070000}"/>
    <cellStyle name="Comma 10 6" xfId="3841" xr:uid="{00000000-0005-0000-0000-00001C070000}"/>
    <cellStyle name="Comma 10 6 10" xfId="3842" xr:uid="{00000000-0005-0000-0000-00001D070000}"/>
    <cellStyle name="Comma 10 6 11" xfId="3843" xr:uid="{00000000-0005-0000-0000-00001E070000}"/>
    <cellStyle name="Comma 10 6 12" xfId="3844" xr:uid="{00000000-0005-0000-0000-00001F070000}"/>
    <cellStyle name="Comma 10 6 13" xfId="3845" xr:uid="{00000000-0005-0000-0000-000020070000}"/>
    <cellStyle name="Comma 10 6 14" xfId="3846" xr:uid="{00000000-0005-0000-0000-000021070000}"/>
    <cellStyle name="Comma 10 6 15" xfId="3847" xr:uid="{00000000-0005-0000-0000-000022070000}"/>
    <cellStyle name="Comma 10 6 16" xfId="3848" xr:uid="{00000000-0005-0000-0000-000023070000}"/>
    <cellStyle name="Comma 10 6 17" xfId="3849" xr:uid="{00000000-0005-0000-0000-000024070000}"/>
    <cellStyle name="Comma 10 6 2" xfId="3850" xr:uid="{00000000-0005-0000-0000-000025070000}"/>
    <cellStyle name="Comma 10 6 3" xfId="3851" xr:uid="{00000000-0005-0000-0000-000026070000}"/>
    <cellStyle name="Comma 10 6 4" xfId="3852" xr:uid="{00000000-0005-0000-0000-000027070000}"/>
    <cellStyle name="Comma 10 6 5" xfId="3853" xr:uid="{00000000-0005-0000-0000-000028070000}"/>
    <cellStyle name="Comma 10 6 6" xfId="3854" xr:uid="{00000000-0005-0000-0000-000029070000}"/>
    <cellStyle name="Comma 10 6 7" xfId="3855" xr:uid="{00000000-0005-0000-0000-00002A070000}"/>
    <cellStyle name="Comma 10 6 8" xfId="3856" xr:uid="{00000000-0005-0000-0000-00002B070000}"/>
    <cellStyle name="Comma 10 6 9" xfId="3857" xr:uid="{00000000-0005-0000-0000-00002C070000}"/>
    <cellStyle name="Comma 10 7" xfId="3858" xr:uid="{00000000-0005-0000-0000-00002D070000}"/>
    <cellStyle name="Comma 10 7 10" xfId="3859" xr:uid="{00000000-0005-0000-0000-00002E070000}"/>
    <cellStyle name="Comma 10 7 11" xfId="3860" xr:uid="{00000000-0005-0000-0000-00002F070000}"/>
    <cellStyle name="Comma 10 7 12" xfId="3861" xr:uid="{00000000-0005-0000-0000-000030070000}"/>
    <cellStyle name="Comma 10 7 13" xfId="3862" xr:uid="{00000000-0005-0000-0000-000031070000}"/>
    <cellStyle name="Comma 10 7 14" xfId="3863" xr:uid="{00000000-0005-0000-0000-000032070000}"/>
    <cellStyle name="Comma 10 7 15" xfId="3864" xr:uid="{00000000-0005-0000-0000-000033070000}"/>
    <cellStyle name="Comma 10 7 16" xfId="3865" xr:uid="{00000000-0005-0000-0000-000034070000}"/>
    <cellStyle name="Comma 10 7 17" xfId="3866" xr:uid="{00000000-0005-0000-0000-000035070000}"/>
    <cellStyle name="Comma 10 7 2" xfId="3867" xr:uid="{00000000-0005-0000-0000-000036070000}"/>
    <cellStyle name="Comma 10 7 3" xfId="3868" xr:uid="{00000000-0005-0000-0000-000037070000}"/>
    <cellStyle name="Comma 10 7 4" xfId="3869" xr:uid="{00000000-0005-0000-0000-000038070000}"/>
    <cellStyle name="Comma 10 7 5" xfId="3870" xr:uid="{00000000-0005-0000-0000-000039070000}"/>
    <cellStyle name="Comma 10 7 6" xfId="3871" xr:uid="{00000000-0005-0000-0000-00003A070000}"/>
    <cellStyle name="Comma 10 7 7" xfId="3872" xr:uid="{00000000-0005-0000-0000-00003B070000}"/>
    <cellStyle name="Comma 10 7 8" xfId="3873" xr:uid="{00000000-0005-0000-0000-00003C070000}"/>
    <cellStyle name="Comma 10 7 9" xfId="3874" xr:uid="{00000000-0005-0000-0000-00003D070000}"/>
    <cellStyle name="Comma 10 8" xfId="3875" xr:uid="{00000000-0005-0000-0000-00003E070000}"/>
    <cellStyle name="Comma 10 8 10" xfId="3876" xr:uid="{00000000-0005-0000-0000-00003F070000}"/>
    <cellStyle name="Comma 10 8 11" xfId="3877" xr:uid="{00000000-0005-0000-0000-000040070000}"/>
    <cellStyle name="Comma 10 8 12" xfId="3878" xr:uid="{00000000-0005-0000-0000-000041070000}"/>
    <cellStyle name="Comma 10 8 13" xfId="3879" xr:uid="{00000000-0005-0000-0000-000042070000}"/>
    <cellStyle name="Comma 10 8 14" xfId="3880" xr:uid="{00000000-0005-0000-0000-000043070000}"/>
    <cellStyle name="Comma 10 8 15" xfId="3881" xr:uid="{00000000-0005-0000-0000-000044070000}"/>
    <cellStyle name="Comma 10 8 16" xfId="3882" xr:uid="{00000000-0005-0000-0000-000045070000}"/>
    <cellStyle name="Comma 10 8 17" xfId="3883" xr:uid="{00000000-0005-0000-0000-000046070000}"/>
    <cellStyle name="Comma 10 8 2" xfId="3884" xr:uid="{00000000-0005-0000-0000-000047070000}"/>
    <cellStyle name="Comma 10 8 3" xfId="3885" xr:uid="{00000000-0005-0000-0000-000048070000}"/>
    <cellStyle name="Comma 10 8 4" xfId="3886" xr:uid="{00000000-0005-0000-0000-000049070000}"/>
    <cellStyle name="Comma 10 8 5" xfId="3887" xr:uid="{00000000-0005-0000-0000-00004A070000}"/>
    <cellStyle name="Comma 10 8 6" xfId="3888" xr:uid="{00000000-0005-0000-0000-00004B070000}"/>
    <cellStyle name="Comma 10 8 7" xfId="3889" xr:uid="{00000000-0005-0000-0000-00004C070000}"/>
    <cellStyle name="Comma 10 8 8" xfId="3890" xr:uid="{00000000-0005-0000-0000-00004D070000}"/>
    <cellStyle name="Comma 10 8 9" xfId="3891" xr:uid="{00000000-0005-0000-0000-00004E070000}"/>
    <cellStyle name="Comma 10 9" xfId="4962" xr:uid="{00000000-0005-0000-0000-00004F070000}"/>
    <cellStyle name="Comma 11" xfId="3892" xr:uid="{00000000-0005-0000-0000-000050070000}"/>
    <cellStyle name="Comma 12" xfId="3893" xr:uid="{00000000-0005-0000-0000-000051070000}"/>
    <cellStyle name="Comma 13" xfId="3894" xr:uid="{00000000-0005-0000-0000-000052070000}"/>
    <cellStyle name="Comma 14" xfId="1537" xr:uid="{00000000-0005-0000-0000-000053070000}"/>
    <cellStyle name="Comma 14 2" xfId="3895" xr:uid="{00000000-0005-0000-0000-000054070000}"/>
    <cellStyle name="Comma 15" xfId="3896" xr:uid="{00000000-0005-0000-0000-000055070000}"/>
    <cellStyle name="Comma 16" xfId="3897" xr:uid="{00000000-0005-0000-0000-000056070000}"/>
    <cellStyle name="Comma 17" xfId="3898" xr:uid="{00000000-0005-0000-0000-000057070000}"/>
    <cellStyle name="Comma 18" xfId="3899" xr:uid="{00000000-0005-0000-0000-000058070000}"/>
    <cellStyle name="Comma 19" xfId="3900" xr:uid="{00000000-0005-0000-0000-000059070000}"/>
    <cellStyle name="Comma 2" xfId="113" xr:uid="{00000000-0005-0000-0000-00005A070000}"/>
    <cellStyle name="Comma 2 10" xfId="1538" xr:uid="{00000000-0005-0000-0000-00005B070000}"/>
    <cellStyle name="Comma 2 10 2" xfId="3901" xr:uid="{00000000-0005-0000-0000-00005C070000}"/>
    <cellStyle name="Comma 2 11" xfId="1539" xr:uid="{00000000-0005-0000-0000-00005D070000}"/>
    <cellStyle name="Comma 2 11 2" xfId="3902" xr:uid="{00000000-0005-0000-0000-00005E070000}"/>
    <cellStyle name="Comma 2 12" xfId="1540" xr:uid="{00000000-0005-0000-0000-00005F070000}"/>
    <cellStyle name="Comma 2 12 2" xfId="3903" xr:uid="{00000000-0005-0000-0000-000060070000}"/>
    <cellStyle name="Comma 2 13" xfId="1541" xr:uid="{00000000-0005-0000-0000-000061070000}"/>
    <cellStyle name="Comma 2 13 2" xfId="3904" xr:uid="{00000000-0005-0000-0000-000062070000}"/>
    <cellStyle name="Comma 2 14" xfId="3905" xr:uid="{00000000-0005-0000-0000-000063070000}"/>
    <cellStyle name="Comma 2 15" xfId="3906" xr:uid="{00000000-0005-0000-0000-000064070000}"/>
    <cellStyle name="Comma 2 16" xfId="3907" xr:uid="{00000000-0005-0000-0000-000065070000}"/>
    <cellStyle name="Comma 2 17" xfId="3908" xr:uid="{00000000-0005-0000-0000-000066070000}"/>
    <cellStyle name="Comma 2 18" xfId="3909" xr:uid="{00000000-0005-0000-0000-000067070000}"/>
    <cellStyle name="Comma 2 19" xfId="3910" xr:uid="{00000000-0005-0000-0000-000068070000}"/>
    <cellStyle name="Comma 2 19 2" xfId="3911" xr:uid="{00000000-0005-0000-0000-000069070000}"/>
    <cellStyle name="Comma 2 19 3" xfId="4963" xr:uid="{00000000-0005-0000-0000-00006A070000}"/>
    <cellStyle name="Comma 2 19 3 2" xfId="4964" xr:uid="{00000000-0005-0000-0000-00006B070000}"/>
    <cellStyle name="Comma 2 19 3 3" xfId="4965" xr:uid="{00000000-0005-0000-0000-00006C070000}"/>
    <cellStyle name="Comma 2 19 4" xfId="4966" xr:uid="{00000000-0005-0000-0000-00006D070000}"/>
    <cellStyle name="Comma 2 19 5" xfId="4967" xr:uid="{00000000-0005-0000-0000-00006E070000}"/>
    <cellStyle name="Comma 2 2" xfId="114" xr:uid="{00000000-0005-0000-0000-00006F070000}"/>
    <cellStyle name="Comma 2 2 2" xfId="115" xr:uid="{00000000-0005-0000-0000-000070070000}"/>
    <cellStyle name="Comma 2 2 2 2" xfId="116" xr:uid="{00000000-0005-0000-0000-000071070000}"/>
    <cellStyle name="Comma 2 2 2 3" xfId="117" xr:uid="{00000000-0005-0000-0000-000072070000}"/>
    <cellStyle name="Comma 2 2 2 4" xfId="1542" xr:uid="{00000000-0005-0000-0000-000073070000}"/>
    <cellStyle name="Comma 2 2 2 4 2" xfId="1543" xr:uid="{00000000-0005-0000-0000-000074070000}"/>
    <cellStyle name="Comma 2 2 2 4 3" xfId="1544" xr:uid="{00000000-0005-0000-0000-000075070000}"/>
    <cellStyle name="Comma 2 2 2 5" xfId="1545" xr:uid="{00000000-0005-0000-0000-000076070000}"/>
    <cellStyle name="Comma 2 2 2 6" xfId="3913" xr:uid="{00000000-0005-0000-0000-000077070000}"/>
    <cellStyle name="Comma 2 2 3" xfId="118" xr:uid="{00000000-0005-0000-0000-000078070000}"/>
    <cellStyle name="Comma 2 2 3 2" xfId="119" xr:uid="{00000000-0005-0000-0000-000079070000}"/>
    <cellStyle name="Comma 2 2 3 3" xfId="120" xr:uid="{00000000-0005-0000-0000-00007A070000}"/>
    <cellStyle name="Comma 2 2 3 4" xfId="340" xr:uid="{00000000-0005-0000-0000-00007B070000}"/>
    <cellStyle name="Comma 2 2 3 4 2" xfId="1546" xr:uid="{00000000-0005-0000-0000-00007C070000}"/>
    <cellStyle name="Comma 2 2 3 5" xfId="3914" xr:uid="{00000000-0005-0000-0000-00007D070000}"/>
    <cellStyle name="Comma 2 2 4" xfId="121" xr:uid="{00000000-0005-0000-0000-00007E070000}"/>
    <cellStyle name="Comma 2 2 4 2" xfId="1547" xr:uid="{00000000-0005-0000-0000-00007F070000}"/>
    <cellStyle name="Comma 2 2 5" xfId="122" xr:uid="{00000000-0005-0000-0000-000080070000}"/>
    <cellStyle name="Comma 2 2 6" xfId="339" xr:uid="{00000000-0005-0000-0000-000081070000}"/>
    <cellStyle name="Comma 2 2 6 2" xfId="1548" xr:uid="{00000000-0005-0000-0000-000082070000}"/>
    <cellStyle name="Comma 2 2 6 3" xfId="1549" xr:uid="{00000000-0005-0000-0000-000083070000}"/>
    <cellStyle name="Comma 2 2 7" xfId="1550" xr:uid="{00000000-0005-0000-0000-000084070000}"/>
    <cellStyle name="Comma 2 2 8" xfId="3912" xr:uid="{00000000-0005-0000-0000-000085070000}"/>
    <cellStyle name="Comma 2 20" xfId="3915" xr:uid="{00000000-0005-0000-0000-000086070000}"/>
    <cellStyle name="Comma 2 21" xfId="3916" xr:uid="{00000000-0005-0000-0000-000087070000}"/>
    <cellStyle name="Comma 2 3" xfId="123" xr:uid="{00000000-0005-0000-0000-000088070000}"/>
    <cellStyle name="Comma 2 3 2" xfId="124" xr:uid="{00000000-0005-0000-0000-000089070000}"/>
    <cellStyle name="Comma 2 3 2 2" xfId="125" xr:uid="{00000000-0005-0000-0000-00008A070000}"/>
    <cellStyle name="Comma 2 3 2 3" xfId="126" xr:uid="{00000000-0005-0000-0000-00008B070000}"/>
    <cellStyle name="Comma 2 3 2 4" xfId="342" xr:uid="{00000000-0005-0000-0000-00008C070000}"/>
    <cellStyle name="Comma 2 3 2 4 2" xfId="1552" xr:uid="{00000000-0005-0000-0000-00008D070000}"/>
    <cellStyle name="Comma 2 3 2 4 3" xfId="1553" xr:uid="{00000000-0005-0000-0000-00008E070000}"/>
    <cellStyle name="Comma 2 3 2 4 4" xfId="1551" xr:uid="{00000000-0005-0000-0000-00008F070000}"/>
    <cellStyle name="Comma 2 3 2 5" xfId="1554" xr:uid="{00000000-0005-0000-0000-000090070000}"/>
    <cellStyle name="Comma 2 3 2 6" xfId="4968" xr:uid="{00000000-0005-0000-0000-000091070000}"/>
    <cellStyle name="Comma 2 3 3" xfId="127" xr:uid="{00000000-0005-0000-0000-000092070000}"/>
    <cellStyle name="Comma 2 3 3 2" xfId="128" xr:uid="{00000000-0005-0000-0000-000093070000}"/>
    <cellStyle name="Comma 2 3 3 3" xfId="129" xr:uid="{00000000-0005-0000-0000-000094070000}"/>
    <cellStyle name="Comma 2 3 3 4" xfId="343" xr:uid="{00000000-0005-0000-0000-000095070000}"/>
    <cellStyle name="Comma 2 3 3 4 2" xfId="1555" xr:uid="{00000000-0005-0000-0000-000096070000}"/>
    <cellStyle name="Comma 2 3 4" xfId="130" xr:uid="{00000000-0005-0000-0000-000097070000}"/>
    <cellStyle name="Comma 2 3 4 2" xfId="1556" xr:uid="{00000000-0005-0000-0000-000098070000}"/>
    <cellStyle name="Comma 2 3 5" xfId="131" xr:uid="{00000000-0005-0000-0000-000099070000}"/>
    <cellStyle name="Comma 2 3 6" xfId="341" xr:uid="{00000000-0005-0000-0000-00009A070000}"/>
    <cellStyle name="Comma 2 3 6 2" xfId="1557" xr:uid="{00000000-0005-0000-0000-00009B070000}"/>
    <cellStyle name="Comma 2 3 7" xfId="3917" xr:uid="{00000000-0005-0000-0000-00009C070000}"/>
    <cellStyle name="Comma 2 4" xfId="132" xr:uid="{00000000-0005-0000-0000-00009D070000}"/>
    <cellStyle name="Comma 2 4 2" xfId="133" xr:uid="{00000000-0005-0000-0000-00009E070000}"/>
    <cellStyle name="Comma 2 4 2 2" xfId="4969" xr:uid="{00000000-0005-0000-0000-00009F070000}"/>
    <cellStyle name="Comma 2 4 3" xfId="134" xr:uid="{00000000-0005-0000-0000-0000A0070000}"/>
    <cellStyle name="Comma 2 4 3 2" xfId="4970" xr:uid="{00000000-0005-0000-0000-0000A1070000}"/>
    <cellStyle name="Comma 2 4 4" xfId="344" xr:uid="{00000000-0005-0000-0000-0000A2070000}"/>
    <cellStyle name="Comma 2 4 4 2" xfId="1559" xr:uid="{00000000-0005-0000-0000-0000A3070000}"/>
    <cellStyle name="Comma 2 4 4 3" xfId="1560" xr:uid="{00000000-0005-0000-0000-0000A4070000}"/>
    <cellStyle name="Comma 2 4 4 4" xfId="1558" xr:uid="{00000000-0005-0000-0000-0000A5070000}"/>
    <cellStyle name="Comma 2 4 5" xfId="1561" xr:uid="{00000000-0005-0000-0000-0000A6070000}"/>
    <cellStyle name="Comma 2 4 6" xfId="3918" xr:uid="{00000000-0005-0000-0000-0000A7070000}"/>
    <cellStyle name="Comma 2 4 6 2" xfId="4971" xr:uid="{00000000-0005-0000-0000-0000A8070000}"/>
    <cellStyle name="Comma 2 5" xfId="135" xr:uid="{00000000-0005-0000-0000-0000A9070000}"/>
    <cellStyle name="Comma 2 5 2" xfId="136" xr:uid="{00000000-0005-0000-0000-0000AA070000}"/>
    <cellStyle name="Comma 2 5 3" xfId="137" xr:uid="{00000000-0005-0000-0000-0000AB070000}"/>
    <cellStyle name="Comma 2 5 4" xfId="345" xr:uid="{00000000-0005-0000-0000-0000AC070000}"/>
    <cellStyle name="Comma 2 5 4 2" xfId="1562" xr:uid="{00000000-0005-0000-0000-0000AD070000}"/>
    <cellStyle name="Comma 2 5 5" xfId="3919" xr:uid="{00000000-0005-0000-0000-0000AE070000}"/>
    <cellStyle name="Comma 2 6" xfId="138" xr:uid="{00000000-0005-0000-0000-0000AF070000}"/>
    <cellStyle name="Comma 2 6 2" xfId="346" xr:uid="{00000000-0005-0000-0000-0000B0070000}"/>
    <cellStyle name="Comma 2 6 2 2" xfId="1563" xr:uid="{00000000-0005-0000-0000-0000B1070000}"/>
    <cellStyle name="Comma 2 6 3" xfId="3920" xr:uid="{00000000-0005-0000-0000-0000B2070000}"/>
    <cellStyle name="Comma 2 7" xfId="139" xr:uid="{00000000-0005-0000-0000-0000B3070000}"/>
    <cellStyle name="Comma 2 7 2" xfId="347" xr:uid="{00000000-0005-0000-0000-0000B4070000}"/>
    <cellStyle name="Comma 2 7 2 2" xfId="1564" xr:uid="{00000000-0005-0000-0000-0000B5070000}"/>
    <cellStyle name="Comma 2 7 3" xfId="3921" xr:uid="{00000000-0005-0000-0000-0000B6070000}"/>
    <cellStyle name="Comma 2 8" xfId="338" xr:uid="{00000000-0005-0000-0000-0000B7070000}"/>
    <cellStyle name="Comma 2 8 2" xfId="1566" xr:uid="{00000000-0005-0000-0000-0000B8070000}"/>
    <cellStyle name="Comma 2 8 3" xfId="1567" xr:uid="{00000000-0005-0000-0000-0000B9070000}"/>
    <cellStyle name="Comma 2 8 4" xfId="1565" xr:uid="{00000000-0005-0000-0000-0000BA070000}"/>
    <cellStyle name="Comma 2 8 4 2" xfId="4972" xr:uid="{00000000-0005-0000-0000-0000BB070000}"/>
    <cellStyle name="Comma 2 8 5" xfId="3922" xr:uid="{00000000-0005-0000-0000-0000BC070000}"/>
    <cellStyle name="Comma 2 9" xfId="1568" xr:uid="{00000000-0005-0000-0000-0000BD070000}"/>
    <cellStyle name="Comma 2 9 2" xfId="3923" xr:uid="{00000000-0005-0000-0000-0000BE070000}"/>
    <cellStyle name="Comma 2 9 2 2" xfId="4974" xr:uid="{00000000-0005-0000-0000-0000BF070000}"/>
    <cellStyle name="Comma 2 9 3" xfId="4975" xr:uid="{00000000-0005-0000-0000-0000C0070000}"/>
    <cellStyle name="Comma 2 9 4" xfId="4973" xr:uid="{00000000-0005-0000-0000-0000C1070000}"/>
    <cellStyle name="Comma 2_PrimaryEnergyPrices_TIMES" xfId="4976" xr:uid="{00000000-0005-0000-0000-0000C2070000}"/>
    <cellStyle name="Comma 3" xfId="1569" xr:uid="{00000000-0005-0000-0000-0000C3070000}"/>
    <cellStyle name="Comma 3 10" xfId="3925" xr:uid="{00000000-0005-0000-0000-0000C4070000}"/>
    <cellStyle name="Comma 3 11" xfId="3924" xr:uid="{00000000-0005-0000-0000-0000C5070000}"/>
    <cellStyle name="Comma 3 2" xfId="1570" xr:uid="{00000000-0005-0000-0000-0000C6070000}"/>
    <cellStyle name="Comma 3 2 2" xfId="1571" xr:uid="{00000000-0005-0000-0000-0000C7070000}"/>
    <cellStyle name="Comma 3 2 2 2" xfId="4977" xr:uid="{00000000-0005-0000-0000-0000C8070000}"/>
    <cellStyle name="Comma 3 2 3" xfId="3926" xr:uid="{00000000-0005-0000-0000-0000C9070000}"/>
    <cellStyle name="Comma 3 3" xfId="1572" xr:uid="{00000000-0005-0000-0000-0000CA070000}"/>
    <cellStyle name="Comma 3 3 2" xfId="3927" xr:uid="{00000000-0005-0000-0000-0000CB070000}"/>
    <cellStyle name="Comma 3 3 2 2" xfId="4979" xr:uid="{00000000-0005-0000-0000-0000CC070000}"/>
    <cellStyle name="Comma 3 3 3" xfId="4980" xr:uid="{00000000-0005-0000-0000-0000CD070000}"/>
    <cellStyle name="Comma 3 3 4" xfId="4978" xr:uid="{00000000-0005-0000-0000-0000CE070000}"/>
    <cellStyle name="Comma 3 4" xfId="1573" xr:uid="{00000000-0005-0000-0000-0000CF070000}"/>
    <cellStyle name="Comma 3 4 2" xfId="3928" xr:uid="{00000000-0005-0000-0000-0000D0070000}"/>
    <cellStyle name="Comma 3 5" xfId="3929" xr:uid="{00000000-0005-0000-0000-0000D1070000}"/>
    <cellStyle name="Comma 3 6" xfId="3930" xr:uid="{00000000-0005-0000-0000-0000D2070000}"/>
    <cellStyle name="Comma 3 7" xfId="3931" xr:uid="{00000000-0005-0000-0000-0000D3070000}"/>
    <cellStyle name="Comma 3 8" xfId="3932" xr:uid="{00000000-0005-0000-0000-0000D4070000}"/>
    <cellStyle name="Comma 3 9" xfId="3933" xr:uid="{00000000-0005-0000-0000-0000D5070000}"/>
    <cellStyle name="Comma 4" xfId="1574" xr:uid="{00000000-0005-0000-0000-0000D6070000}"/>
    <cellStyle name="Comma 4 2" xfId="1575" xr:uid="{00000000-0005-0000-0000-0000D7070000}"/>
    <cellStyle name="Comma 4 2 2" xfId="3935" xr:uid="{00000000-0005-0000-0000-0000D8070000}"/>
    <cellStyle name="Comma 4 3" xfId="3936" xr:uid="{00000000-0005-0000-0000-0000D9070000}"/>
    <cellStyle name="Comma 4 4" xfId="3937" xr:uid="{00000000-0005-0000-0000-0000DA070000}"/>
    <cellStyle name="Comma 4 5" xfId="3938" xr:uid="{00000000-0005-0000-0000-0000DB070000}"/>
    <cellStyle name="Comma 4 6" xfId="3939" xr:uid="{00000000-0005-0000-0000-0000DC070000}"/>
    <cellStyle name="Comma 4 7" xfId="3940" xr:uid="{00000000-0005-0000-0000-0000DD070000}"/>
    <cellStyle name="Comma 4 8" xfId="3941" xr:uid="{00000000-0005-0000-0000-0000DE070000}"/>
    <cellStyle name="Comma 4 9" xfId="3934" xr:uid="{00000000-0005-0000-0000-0000DF070000}"/>
    <cellStyle name="Comma 5" xfId="3942" xr:uid="{00000000-0005-0000-0000-0000E0070000}"/>
    <cellStyle name="Comma 5 2" xfId="1576" xr:uid="{00000000-0005-0000-0000-0000E1070000}"/>
    <cellStyle name="Comma 5 3" xfId="1577" xr:uid="{00000000-0005-0000-0000-0000E2070000}"/>
    <cellStyle name="Comma 5 3 2" xfId="1578" xr:uid="{00000000-0005-0000-0000-0000E3070000}"/>
    <cellStyle name="Comma 5 4" xfId="3943" xr:uid="{00000000-0005-0000-0000-0000E4070000}"/>
    <cellStyle name="Comma 5 5" xfId="3944" xr:uid="{00000000-0005-0000-0000-0000E5070000}"/>
    <cellStyle name="Comma 5 6" xfId="3945" xr:uid="{00000000-0005-0000-0000-0000E6070000}"/>
    <cellStyle name="Comma 5 7" xfId="3946" xr:uid="{00000000-0005-0000-0000-0000E7070000}"/>
    <cellStyle name="Comma 5 8" xfId="3947" xr:uid="{00000000-0005-0000-0000-0000E8070000}"/>
    <cellStyle name="Comma 6" xfId="3948" xr:uid="{00000000-0005-0000-0000-0000E9070000}"/>
    <cellStyle name="Comma 6 2" xfId="3949" xr:uid="{00000000-0005-0000-0000-0000EA070000}"/>
    <cellStyle name="Comma 6 3" xfId="3950" xr:uid="{00000000-0005-0000-0000-0000EB070000}"/>
    <cellStyle name="Comma 6 4" xfId="3951" xr:uid="{00000000-0005-0000-0000-0000EC070000}"/>
    <cellStyle name="Comma 6 5" xfId="3952" xr:uid="{00000000-0005-0000-0000-0000ED070000}"/>
    <cellStyle name="Comma 6 6" xfId="3953" xr:uid="{00000000-0005-0000-0000-0000EE070000}"/>
    <cellStyle name="Comma 6 7" xfId="3954" xr:uid="{00000000-0005-0000-0000-0000EF070000}"/>
    <cellStyle name="Comma 6 8" xfId="3955" xr:uid="{00000000-0005-0000-0000-0000F0070000}"/>
    <cellStyle name="Comma 7" xfId="3956" xr:uid="{00000000-0005-0000-0000-0000F1070000}"/>
    <cellStyle name="Comma 7 10" xfId="3957" xr:uid="{00000000-0005-0000-0000-0000F2070000}"/>
    <cellStyle name="Comma 7 11" xfId="3958" xr:uid="{00000000-0005-0000-0000-0000F3070000}"/>
    <cellStyle name="Comma 7 12" xfId="3959" xr:uid="{00000000-0005-0000-0000-0000F4070000}"/>
    <cellStyle name="Comma 7 13" xfId="3960" xr:uid="{00000000-0005-0000-0000-0000F5070000}"/>
    <cellStyle name="Comma 7 14" xfId="3961" xr:uid="{00000000-0005-0000-0000-0000F6070000}"/>
    <cellStyle name="Comma 7 15" xfId="3962" xr:uid="{00000000-0005-0000-0000-0000F7070000}"/>
    <cellStyle name="Comma 7 16" xfId="3963" xr:uid="{00000000-0005-0000-0000-0000F8070000}"/>
    <cellStyle name="Comma 7 17" xfId="3964" xr:uid="{00000000-0005-0000-0000-0000F9070000}"/>
    <cellStyle name="Comma 7 18" xfId="3965" xr:uid="{00000000-0005-0000-0000-0000FA070000}"/>
    <cellStyle name="Comma 7 19" xfId="3966" xr:uid="{00000000-0005-0000-0000-0000FB070000}"/>
    <cellStyle name="Comma 7 2" xfId="3967" xr:uid="{00000000-0005-0000-0000-0000FC070000}"/>
    <cellStyle name="Comma 7 20" xfId="3968" xr:uid="{00000000-0005-0000-0000-0000FD070000}"/>
    <cellStyle name="Comma 7 21" xfId="3969" xr:uid="{00000000-0005-0000-0000-0000FE070000}"/>
    <cellStyle name="Comma 7 3" xfId="3970" xr:uid="{00000000-0005-0000-0000-0000FF070000}"/>
    <cellStyle name="Comma 7 3 10" xfId="3971" xr:uid="{00000000-0005-0000-0000-000000080000}"/>
    <cellStyle name="Comma 7 3 11" xfId="3972" xr:uid="{00000000-0005-0000-0000-000001080000}"/>
    <cellStyle name="Comma 7 3 12" xfId="3973" xr:uid="{00000000-0005-0000-0000-000002080000}"/>
    <cellStyle name="Comma 7 3 13" xfId="3974" xr:uid="{00000000-0005-0000-0000-000003080000}"/>
    <cellStyle name="Comma 7 3 14" xfId="3975" xr:uid="{00000000-0005-0000-0000-000004080000}"/>
    <cellStyle name="Comma 7 3 15" xfId="3976" xr:uid="{00000000-0005-0000-0000-000005080000}"/>
    <cellStyle name="Comma 7 3 2" xfId="3977" xr:uid="{00000000-0005-0000-0000-000006080000}"/>
    <cellStyle name="Comma 7 3 3" xfId="3978" xr:uid="{00000000-0005-0000-0000-000007080000}"/>
    <cellStyle name="Comma 7 3 4" xfId="3979" xr:uid="{00000000-0005-0000-0000-000008080000}"/>
    <cellStyle name="Comma 7 3 5" xfId="3980" xr:uid="{00000000-0005-0000-0000-000009080000}"/>
    <cellStyle name="Comma 7 3 6" xfId="3981" xr:uid="{00000000-0005-0000-0000-00000A080000}"/>
    <cellStyle name="Comma 7 3 7" xfId="3982" xr:uid="{00000000-0005-0000-0000-00000B080000}"/>
    <cellStyle name="Comma 7 3 8" xfId="3983" xr:uid="{00000000-0005-0000-0000-00000C080000}"/>
    <cellStyle name="Comma 7 3 9" xfId="3984" xr:uid="{00000000-0005-0000-0000-00000D080000}"/>
    <cellStyle name="Comma 7 4" xfId="3985" xr:uid="{00000000-0005-0000-0000-00000E080000}"/>
    <cellStyle name="Comma 7 5" xfId="3986" xr:uid="{00000000-0005-0000-0000-00000F080000}"/>
    <cellStyle name="Comma 7 6" xfId="3987" xr:uid="{00000000-0005-0000-0000-000010080000}"/>
    <cellStyle name="Comma 7 7" xfId="3988" xr:uid="{00000000-0005-0000-0000-000011080000}"/>
    <cellStyle name="Comma 7 8" xfId="3989" xr:uid="{00000000-0005-0000-0000-000012080000}"/>
    <cellStyle name="Comma 7 9" xfId="3990" xr:uid="{00000000-0005-0000-0000-000013080000}"/>
    <cellStyle name="Comma 8" xfId="3991" xr:uid="{00000000-0005-0000-0000-000014080000}"/>
    <cellStyle name="Comma 8 2" xfId="1579" xr:uid="{00000000-0005-0000-0000-000015080000}"/>
    <cellStyle name="Comma 8 2 2" xfId="1580" xr:uid="{00000000-0005-0000-0000-000016080000}"/>
    <cellStyle name="Comma 8 3" xfId="3992" xr:uid="{00000000-0005-0000-0000-000017080000}"/>
    <cellStyle name="Comma 8 4" xfId="3993" xr:uid="{00000000-0005-0000-0000-000018080000}"/>
    <cellStyle name="Comma 8 5" xfId="3994" xr:uid="{00000000-0005-0000-0000-000019080000}"/>
    <cellStyle name="Comma 8 6" xfId="3995" xr:uid="{00000000-0005-0000-0000-00001A080000}"/>
    <cellStyle name="Comma 8 7" xfId="3996" xr:uid="{00000000-0005-0000-0000-00001B080000}"/>
    <cellStyle name="Comma 8 8" xfId="3997" xr:uid="{00000000-0005-0000-0000-00001C080000}"/>
    <cellStyle name="Comma 9" xfId="3998" xr:uid="{00000000-0005-0000-0000-00001D080000}"/>
    <cellStyle name="Comma 9 10" xfId="4981" xr:uid="{00000000-0005-0000-0000-00001E080000}"/>
    <cellStyle name="Comma 9 2" xfId="3999" xr:uid="{00000000-0005-0000-0000-00001F080000}"/>
    <cellStyle name="Comma 9 3" xfId="4000" xr:uid="{00000000-0005-0000-0000-000020080000}"/>
    <cellStyle name="Comma 9 4" xfId="4001" xr:uid="{00000000-0005-0000-0000-000021080000}"/>
    <cellStyle name="Comma 9 5" xfId="4002" xr:uid="{00000000-0005-0000-0000-000022080000}"/>
    <cellStyle name="Comma 9 6" xfId="4003" xr:uid="{00000000-0005-0000-0000-000023080000}"/>
    <cellStyle name="Comma 9 7" xfId="4004" xr:uid="{00000000-0005-0000-0000-000024080000}"/>
    <cellStyle name="Comma 9 8" xfId="4005" xr:uid="{00000000-0005-0000-0000-000025080000}"/>
    <cellStyle name="Comma 9 9" xfId="4006" xr:uid="{00000000-0005-0000-0000-000026080000}"/>
    <cellStyle name="Constants" xfId="1581" xr:uid="{00000000-0005-0000-0000-000027080000}"/>
    <cellStyle name="Currency 2" xfId="46" xr:uid="{00000000-0005-0000-0000-000028080000}"/>
    <cellStyle name="Currency 2 2" xfId="4007" xr:uid="{00000000-0005-0000-0000-000029080000}"/>
    <cellStyle name="Currency 2 3" xfId="4982" xr:uid="{00000000-0005-0000-0000-00002A080000}"/>
    <cellStyle name="Currency 2 4" xfId="1582" xr:uid="{00000000-0005-0000-0000-00002B080000}"/>
    <cellStyle name="CustomCellsOrange" xfId="1583" xr:uid="{00000000-0005-0000-0000-00002C080000}"/>
    <cellStyle name="CustomizationCells" xfId="1584" xr:uid="{00000000-0005-0000-0000-00002D080000}"/>
    <cellStyle name="CustomizationGreenCells" xfId="1585" xr:uid="{00000000-0005-0000-0000-00002E080000}"/>
    <cellStyle name="DocBox_EmptyRow" xfId="1586" xr:uid="{00000000-0005-0000-0000-00002F080000}"/>
    <cellStyle name="donn_normal" xfId="317" xr:uid="{00000000-0005-0000-0000-000030080000}"/>
    <cellStyle name="Eingabe" xfId="1587" xr:uid="{00000000-0005-0000-0000-000031080000}"/>
    <cellStyle name="Empty_B_border" xfId="1588" xr:uid="{00000000-0005-0000-0000-000032080000}"/>
    <cellStyle name="ent_col_ser" xfId="318" xr:uid="{00000000-0005-0000-0000-000033080000}"/>
    <cellStyle name="entete_source" xfId="319" xr:uid="{00000000-0005-0000-0000-000034080000}"/>
    <cellStyle name="Ergebnis" xfId="1589" xr:uid="{00000000-0005-0000-0000-000035080000}"/>
    <cellStyle name="Erklärender Text" xfId="1590" xr:uid="{00000000-0005-0000-0000-000036080000}"/>
    <cellStyle name="Estilo 1" xfId="1591" xr:uid="{00000000-0005-0000-0000-000037080000}"/>
    <cellStyle name="Euro" xfId="140" xr:uid="{00000000-0005-0000-0000-000038080000}"/>
    <cellStyle name="Euro 10" xfId="1593" xr:uid="{00000000-0005-0000-0000-000039080000}"/>
    <cellStyle name="Euro 10 2" xfId="1594" xr:uid="{00000000-0005-0000-0000-00003A080000}"/>
    <cellStyle name="Euro 11" xfId="1595" xr:uid="{00000000-0005-0000-0000-00003B080000}"/>
    <cellStyle name="Euro 11 2" xfId="1596" xr:uid="{00000000-0005-0000-0000-00003C080000}"/>
    <cellStyle name="Euro 12" xfId="1597" xr:uid="{00000000-0005-0000-0000-00003D080000}"/>
    <cellStyle name="Euro 13" xfId="1598" xr:uid="{00000000-0005-0000-0000-00003E080000}"/>
    <cellStyle name="Euro 14" xfId="1599" xr:uid="{00000000-0005-0000-0000-00003F080000}"/>
    <cellStyle name="Euro 15" xfId="1600" xr:uid="{00000000-0005-0000-0000-000040080000}"/>
    <cellStyle name="Euro 16" xfId="1601" xr:uid="{00000000-0005-0000-0000-000041080000}"/>
    <cellStyle name="Euro 17" xfId="1602" xr:uid="{00000000-0005-0000-0000-000042080000}"/>
    <cellStyle name="Euro 18" xfId="1603" xr:uid="{00000000-0005-0000-0000-000043080000}"/>
    <cellStyle name="Euro 19" xfId="1604" xr:uid="{00000000-0005-0000-0000-000044080000}"/>
    <cellStyle name="Euro 2" xfId="141" xr:uid="{00000000-0005-0000-0000-000045080000}"/>
    <cellStyle name="Euro 2 2" xfId="142" xr:uid="{00000000-0005-0000-0000-000046080000}"/>
    <cellStyle name="Euro 2 2 2" xfId="143" xr:uid="{00000000-0005-0000-0000-000047080000}"/>
    <cellStyle name="Euro 2 2 2 2" xfId="4983" xr:uid="{00000000-0005-0000-0000-000048080000}"/>
    <cellStyle name="Euro 2 2 3" xfId="144" xr:uid="{00000000-0005-0000-0000-000049080000}"/>
    <cellStyle name="Euro 2 2 4" xfId="348" xr:uid="{00000000-0005-0000-0000-00004A080000}"/>
    <cellStyle name="Euro 2 2 4 2" xfId="1607" xr:uid="{00000000-0005-0000-0000-00004B080000}"/>
    <cellStyle name="Euro 2 2 5" xfId="1608" xr:uid="{00000000-0005-0000-0000-00004C080000}"/>
    <cellStyle name="Euro 2 2 6" xfId="1606" xr:uid="{00000000-0005-0000-0000-00004D080000}"/>
    <cellStyle name="Euro 2 3" xfId="1609" xr:uid="{00000000-0005-0000-0000-00004E080000}"/>
    <cellStyle name="Euro 2 3 2" xfId="4984" xr:uid="{00000000-0005-0000-0000-00004F080000}"/>
    <cellStyle name="Euro 2 4" xfId="1610" xr:uid="{00000000-0005-0000-0000-000050080000}"/>
    <cellStyle name="Euro 2 4 2" xfId="4985" xr:uid="{00000000-0005-0000-0000-000051080000}"/>
    <cellStyle name="Euro 2 4 2 2" xfId="4986" xr:uid="{00000000-0005-0000-0000-000052080000}"/>
    <cellStyle name="Euro 2 4 3" xfId="4987" xr:uid="{00000000-0005-0000-0000-000053080000}"/>
    <cellStyle name="Euro 2 4 3 2" xfId="4988" xr:uid="{00000000-0005-0000-0000-000054080000}"/>
    <cellStyle name="Euro 2 4 3 3" xfId="4989" xr:uid="{00000000-0005-0000-0000-000055080000}"/>
    <cellStyle name="Euro 2 4 4" xfId="4990" xr:uid="{00000000-0005-0000-0000-000056080000}"/>
    <cellStyle name="Euro 2 5" xfId="1611" xr:uid="{00000000-0005-0000-0000-000057080000}"/>
    <cellStyle name="Euro 2 6" xfId="1612" xr:uid="{00000000-0005-0000-0000-000058080000}"/>
    <cellStyle name="Euro 2 7" xfId="1605" xr:uid="{00000000-0005-0000-0000-000059080000}"/>
    <cellStyle name="Euro 20" xfId="1613" xr:uid="{00000000-0005-0000-0000-00005A080000}"/>
    <cellStyle name="Euro 21" xfId="1614" xr:uid="{00000000-0005-0000-0000-00005B080000}"/>
    <cellStyle name="Euro 22" xfId="1615" xr:uid="{00000000-0005-0000-0000-00005C080000}"/>
    <cellStyle name="Euro 23" xfId="1616" xr:uid="{00000000-0005-0000-0000-00005D080000}"/>
    <cellStyle name="Euro 24" xfId="1617" xr:uid="{00000000-0005-0000-0000-00005E080000}"/>
    <cellStyle name="Euro 25" xfId="1618" xr:uid="{00000000-0005-0000-0000-00005F080000}"/>
    <cellStyle name="Euro 26" xfId="1619" xr:uid="{00000000-0005-0000-0000-000060080000}"/>
    <cellStyle name="Euro 27" xfId="1620" xr:uid="{00000000-0005-0000-0000-000061080000}"/>
    <cellStyle name="Euro 28" xfId="1621" xr:uid="{00000000-0005-0000-0000-000062080000}"/>
    <cellStyle name="Euro 29" xfId="1622" xr:uid="{00000000-0005-0000-0000-000063080000}"/>
    <cellStyle name="Euro 3" xfId="145" xr:uid="{00000000-0005-0000-0000-000064080000}"/>
    <cellStyle name="Euro 3 2" xfId="146" xr:uid="{00000000-0005-0000-0000-000065080000}"/>
    <cellStyle name="Euro 3 2 2" xfId="1624" xr:uid="{00000000-0005-0000-0000-000066080000}"/>
    <cellStyle name="Euro 3 2 2 2" xfId="4991" xr:uid="{00000000-0005-0000-0000-000067080000}"/>
    <cellStyle name="Euro 3 3" xfId="147" xr:uid="{00000000-0005-0000-0000-000068080000}"/>
    <cellStyle name="Euro 3 3 2" xfId="148" xr:uid="{00000000-0005-0000-0000-000069080000}"/>
    <cellStyle name="Euro 3 3 3" xfId="149" xr:uid="{00000000-0005-0000-0000-00006A080000}"/>
    <cellStyle name="Euro 3 3 4" xfId="349" xr:uid="{00000000-0005-0000-0000-00006B080000}"/>
    <cellStyle name="Euro 3 3 4 2" xfId="1625" xr:uid="{00000000-0005-0000-0000-00006C080000}"/>
    <cellStyle name="Euro 3 3 5" xfId="4992" xr:uid="{00000000-0005-0000-0000-00006D080000}"/>
    <cellStyle name="Euro 3 4" xfId="150" xr:uid="{00000000-0005-0000-0000-00006E080000}"/>
    <cellStyle name="Euro 3 4 2" xfId="4993" xr:uid="{00000000-0005-0000-0000-00006F080000}"/>
    <cellStyle name="Euro 3 5" xfId="1626" xr:uid="{00000000-0005-0000-0000-000070080000}"/>
    <cellStyle name="Euro 3 5 2" xfId="4995" xr:uid="{00000000-0005-0000-0000-000071080000}"/>
    <cellStyle name="Euro 3 5 3" xfId="4994" xr:uid="{00000000-0005-0000-0000-000072080000}"/>
    <cellStyle name="Euro 3 6" xfId="1627" xr:uid="{00000000-0005-0000-0000-000073080000}"/>
    <cellStyle name="Euro 3 7" xfId="1628" xr:uid="{00000000-0005-0000-0000-000074080000}"/>
    <cellStyle name="Euro 3 8" xfId="1623" xr:uid="{00000000-0005-0000-0000-000075080000}"/>
    <cellStyle name="Euro 3 9" xfId="4008" xr:uid="{00000000-0005-0000-0000-000076080000}"/>
    <cellStyle name="Euro 3_PrimaryEnergyPrices_TIMES" xfId="1629" xr:uid="{00000000-0005-0000-0000-000077080000}"/>
    <cellStyle name="Euro 30" xfId="1630" xr:uid="{00000000-0005-0000-0000-000078080000}"/>
    <cellStyle name="Euro 31" xfId="1631" xr:uid="{00000000-0005-0000-0000-000079080000}"/>
    <cellStyle name="Euro 32" xfId="1632" xr:uid="{00000000-0005-0000-0000-00007A080000}"/>
    <cellStyle name="Euro 33" xfId="1633" xr:uid="{00000000-0005-0000-0000-00007B080000}"/>
    <cellStyle name="Euro 34" xfId="1634" xr:uid="{00000000-0005-0000-0000-00007C080000}"/>
    <cellStyle name="Euro 35" xfId="1635" xr:uid="{00000000-0005-0000-0000-00007D080000}"/>
    <cellStyle name="Euro 36" xfId="1636" xr:uid="{00000000-0005-0000-0000-00007E080000}"/>
    <cellStyle name="Euro 37" xfId="1637" xr:uid="{00000000-0005-0000-0000-00007F080000}"/>
    <cellStyle name="Euro 38" xfId="1638" xr:uid="{00000000-0005-0000-0000-000080080000}"/>
    <cellStyle name="Euro 39" xfId="1639" xr:uid="{00000000-0005-0000-0000-000081080000}"/>
    <cellStyle name="Euro 4" xfId="151" xr:uid="{00000000-0005-0000-0000-000082080000}"/>
    <cellStyle name="Euro 4 2" xfId="152" xr:uid="{00000000-0005-0000-0000-000083080000}"/>
    <cellStyle name="Euro 4 2 2" xfId="1640" xr:uid="{00000000-0005-0000-0000-000084080000}"/>
    <cellStyle name="Euro 4 2 2 2" xfId="4996" xr:uid="{00000000-0005-0000-0000-000085080000}"/>
    <cellStyle name="Euro 4 3" xfId="153" xr:uid="{00000000-0005-0000-0000-000086080000}"/>
    <cellStyle name="Euro 4 3 2" xfId="154" xr:uid="{00000000-0005-0000-0000-000087080000}"/>
    <cellStyle name="Euro 4 3 3" xfId="155" xr:uid="{00000000-0005-0000-0000-000088080000}"/>
    <cellStyle name="Euro 4 3 4" xfId="350" xr:uid="{00000000-0005-0000-0000-000089080000}"/>
    <cellStyle name="Euro 4 3 4 2" xfId="1641" xr:uid="{00000000-0005-0000-0000-00008A080000}"/>
    <cellStyle name="Euro 4 3 5" xfId="4997" xr:uid="{00000000-0005-0000-0000-00008B080000}"/>
    <cellStyle name="Euro 4 4" xfId="156" xr:uid="{00000000-0005-0000-0000-00008C080000}"/>
    <cellStyle name="Euro 4 4 2" xfId="4009" xr:uid="{00000000-0005-0000-0000-00008D080000}"/>
    <cellStyle name="Euro 4 4 2 2" xfId="4998" xr:uid="{00000000-0005-0000-0000-00008E080000}"/>
    <cellStyle name="Euro 4 5" xfId="1642" xr:uid="{00000000-0005-0000-0000-00008F080000}"/>
    <cellStyle name="Euro 40" xfId="1643" xr:uid="{00000000-0005-0000-0000-000090080000}"/>
    <cellStyle name="Euro 41" xfId="1644" xr:uid="{00000000-0005-0000-0000-000091080000}"/>
    <cellStyle name="Euro 42" xfId="1645" xr:uid="{00000000-0005-0000-0000-000092080000}"/>
    <cellStyle name="Euro 43" xfId="1646" xr:uid="{00000000-0005-0000-0000-000093080000}"/>
    <cellStyle name="Euro 44" xfId="1647" xr:uid="{00000000-0005-0000-0000-000094080000}"/>
    <cellStyle name="Euro 45" xfId="1648" xr:uid="{00000000-0005-0000-0000-000095080000}"/>
    <cellStyle name="Euro 46" xfId="1649" xr:uid="{00000000-0005-0000-0000-000096080000}"/>
    <cellStyle name="Euro 47" xfId="1650" xr:uid="{00000000-0005-0000-0000-000097080000}"/>
    <cellStyle name="Euro 48" xfId="1651" xr:uid="{00000000-0005-0000-0000-000098080000}"/>
    <cellStyle name="Euro 48 2" xfId="1652" xr:uid="{00000000-0005-0000-0000-000099080000}"/>
    <cellStyle name="Euro 49" xfId="1653" xr:uid="{00000000-0005-0000-0000-00009A080000}"/>
    <cellStyle name="Euro 49 2" xfId="1654" xr:uid="{00000000-0005-0000-0000-00009B080000}"/>
    <cellStyle name="Euro 5" xfId="157" xr:uid="{00000000-0005-0000-0000-00009C080000}"/>
    <cellStyle name="Euro 5 2" xfId="158" xr:uid="{00000000-0005-0000-0000-00009D080000}"/>
    <cellStyle name="Euro 5 2 2" xfId="4999" xr:uid="{00000000-0005-0000-0000-00009E080000}"/>
    <cellStyle name="Euro 5 3" xfId="159" xr:uid="{00000000-0005-0000-0000-00009F080000}"/>
    <cellStyle name="Euro 5 3 2" xfId="5000" xr:uid="{00000000-0005-0000-0000-0000A0080000}"/>
    <cellStyle name="Euro 5 4" xfId="351" xr:uid="{00000000-0005-0000-0000-0000A1080000}"/>
    <cellStyle name="Euro 5 4 2" xfId="1655" xr:uid="{00000000-0005-0000-0000-0000A2080000}"/>
    <cellStyle name="Euro 50" xfId="1656" xr:uid="{00000000-0005-0000-0000-0000A3080000}"/>
    <cellStyle name="Euro 50 2" xfId="1657" xr:uid="{00000000-0005-0000-0000-0000A4080000}"/>
    <cellStyle name="Euro 51" xfId="1658" xr:uid="{00000000-0005-0000-0000-0000A5080000}"/>
    <cellStyle name="Euro 51 2" xfId="1659" xr:uid="{00000000-0005-0000-0000-0000A6080000}"/>
    <cellStyle name="Euro 52" xfId="1660" xr:uid="{00000000-0005-0000-0000-0000A7080000}"/>
    <cellStyle name="Euro 52 2" xfId="1661" xr:uid="{00000000-0005-0000-0000-0000A8080000}"/>
    <cellStyle name="Euro 53" xfId="1662" xr:uid="{00000000-0005-0000-0000-0000A9080000}"/>
    <cellStyle name="Euro 53 2" xfId="1663" xr:uid="{00000000-0005-0000-0000-0000AA080000}"/>
    <cellStyle name="Euro 54" xfId="1664" xr:uid="{00000000-0005-0000-0000-0000AB080000}"/>
    <cellStyle name="Euro 54 2" xfId="1665" xr:uid="{00000000-0005-0000-0000-0000AC080000}"/>
    <cellStyle name="Euro 55" xfId="1666" xr:uid="{00000000-0005-0000-0000-0000AD080000}"/>
    <cellStyle name="Euro 55 2" xfId="1667" xr:uid="{00000000-0005-0000-0000-0000AE080000}"/>
    <cellStyle name="Euro 56" xfId="1668" xr:uid="{00000000-0005-0000-0000-0000AF080000}"/>
    <cellStyle name="Euro 56 2" xfId="1669" xr:uid="{00000000-0005-0000-0000-0000B0080000}"/>
    <cellStyle name="Euro 57" xfId="1670" xr:uid="{00000000-0005-0000-0000-0000B1080000}"/>
    <cellStyle name="Euro 58" xfId="1671" xr:uid="{00000000-0005-0000-0000-0000B2080000}"/>
    <cellStyle name="Euro 58 2" xfId="5001" xr:uid="{00000000-0005-0000-0000-0000B3080000}"/>
    <cellStyle name="Euro 58 2 2" xfId="5002" xr:uid="{00000000-0005-0000-0000-0000B4080000}"/>
    <cellStyle name="Euro 58 3" xfId="5003" xr:uid="{00000000-0005-0000-0000-0000B5080000}"/>
    <cellStyle name="Euro 58 3 2" xfId="5004" xr:uid="{00000000-0005-0000-0000-0000B6080000}"/>
    <cellStyle name="Euro 58 3 3" xfId="5005" xr:uid="{00000000-0005-0000-0000-0000B7080000}"/>
    <cellStyle name="Euro 58 4" xfId="5006" xr:uid="{00000000-0005-0000-0000-0000B8080000}"/>
    <cellStyle name="Euro 58 5" xfId="5007" xr:uid="{00000000-0005-0000-0000-0000B9080000}"/>
    <cellStyle name="Euro 59" xfId="1672" xr:uid="{00000000-0005-0000-0000-0000BA080000}"/>
    <cellStyle name="Euro 6" xfId="160" xr:uid="{00000000-0005-0000-0000-0000BB080000}"/>
    <cellStyle name="Euro 6 2" xfId="1673" xr:uid="{00000000-0005-0000-0000-0000BC080000}"/>
    <cellStyle name="Euro 6 2 2" xfId="5008" xr:uid="{00000000-0005-0000-0000-0000BD080000}"/>
    <cellStyle name="Euro 6 3" xfId="1674" xr:uid="{00000000-0005-0000-0000-0000BE080000}"/>
    <cellStyle name="Euro 6 3 2" xfId="5009" xr:uid="{00000000-0005-0000-0000-0000BF080000}"/>
    <cellStyle name="Euro 6 4" xfId="4010" xr:uid="{00000000-0005-0000-0000-0000C0080000}"/>
    <cellStyle name="Euro 60" xfId="1592" xr:uid="{00000000-0005-0000-0000-0000C1080000}"/>
    <cellStyle name="Euro 7" xfId="1675" xr:uid="{00000000-0005-0000-0000-0000C2080000}"/>
    <cellStyle name="Euro 7 2" xfId="1676" xr:uid="{00000000-0005-0000-0000-0000C3080000}"/>
    <cellStyle name="Euro 7 3" xfId="1677" xr:uid="{00000000-0005-0000-0000-0000C4080000}"/>
    <cellStyle name="Euro 7 3 2" xfId="5010" xr:uid="{00000000-0005-0000-0000-0000C5080000}"/>
    <cellStyle name="Euro 7 4" xfId="5011" xr:uid="{00000000-0005-0000-0000-0000C6080000}"/>
    <cellStyle name="Euro 8" xfId="1678" xr:uid="{00000000-0005-0000-0000-0000C7080000}"/>
    <cellStyle name="Euro 8 2" xfId="1679" xr:uid="{00000000-0005-0000-0000-0000C8080000}"/>
    <cellStyle name="Euro 9" xfId="1680" xr:uid="{00000000-0005-0000-0000-0000C9080000}"/>
    <cellStyle name="Euro 9 2" xfId="1681" xr:uid="{00000000-0005-0000-0000-0000CA080000}"/>
    <cellStyle name="Euro_Potentials in TIMES" xfId="1682" xr:uid="{00000000-0005-0000-0000-0000CB080000}"/>
    <cellStyle name="Explanatory Text" xfId="16" builtinId="53" customBuiltin="1"/>
    <cellStyle name="Explanatory Text 10" xfId="1683" xr:uid="{00000000-0005-0000-0000-0000CD080000}"/>
    <cellStyle name="Explanatory Text 11" xfId="1684" xr:uid="{00000000-0005-0000-0000-0000CE080000}"/>
    <cellStyle name="Explanatory Text 12" xfId="1685" xr:uid="{00000000-0005-0000-0000-0000CF080000}"/>
    <cellStyle name="Explanatory Text 13" xfId="1686" xr:uid="{00000000-0005-0000-0000-0000D0080000}"/>
    <cellStyle name="Explanatory Text 14" xfId="1687" xr:uid="{00000000-0005-0000-0000-0000D1080000}"/>
    <cellStyle name="Explanatory Text 15" xfId="1688" xr:uid="{00000000-0005-0000-0000-0000D2080000}"/>
    <cellStyle name="Explanatory Text 16" xfId="1689" xr:uid="{00000000-0005-0000-0000-0000D3080000}"/>
    <cellStyle name="Explanatory Text 17" xfId="1690" xr:uid="{00000000-0005-0000-0000-0000D4080000}"/>
    <cellStyle name="Explanatory Text 18" xfId="1691" xr:uid="{00000000-0005-0000-0000-0000D5080000}"/>
    <cellStyle name="Explanatory Text 19" xfId="1692" xr:uid="{00000000-0005-0000-0000-0000D6080000}"/>
    <cellStyle name="Explanatory Text 2" xfId="161" xr:uid="{00000000-0005-0000-0000-0000D7080000}"/>
    <cellStyle name="Explanatory Text 2 10" xfId="4011" xr:uid="{00000000-0005-0000-0000-0000D8080000}"/>
    <cellStyle name="Explanatory Text 2 2" xfId="4012" xr:uid="{00000000-0005-0000-0000-0000D9080000}"/>
    <cellStyle name="Explanatory Text 2 3" xfId="4013" xr:uid="{00000000-0005-0000-0000-0000DA080000}"/>
    <cellStyle name="Explanatory Text 2 4" xfId="4014" xr:uid="{00000000-0005-0000-0000-0000DB080000}"/>
    <cellStyle name="Explanatory Text 2 5" xfId="4015" xr:uid="{00000000-0005-0000-0000-0000DC080000}"/>
    <cellStyle name="Explanatory Text 2 6" xfId="4016" xr:uid="{00000000-0005-0000-0000-0000DD080000}"/>
    <cellStyle name="Explanatory Text 2 7" xfId="4017" xr:uid="{00000000-0005-0000-0000-0000DE080000}"/>
    <cellStyle name="Explanatory Text 2 8" xfId="4018" xr:uid="{00000000-0005-0000-0000-0000DF080000}"/>
    <cellStyle name="Explanatory Text 2 9" xfId="4019" xr:uid="{00000000-0005-0000-0000-0000E0080000}"/>
    <cellStyle name="Explanatory Text 20" xfId="1693" xr:uid="{00000000-0005-0000-0000-0000E1080000}"/>
    <cellStyle name="Explanatory Text 21" xfId="1694" xr:uid="{00000000-0005-0000-0000-0000E2080000}"/>
    <cellStyle name="Explanatory Text 22" xfId="1695" xr:uid="{00000000-0005-0000-0000-0000E3080000}"/>
    <cellStyle name="Explanatory Text 23" xfId="1696" xr:uid="{00000000-0005-0000-0000-0000E4080000}"/>
    <cellStyle name="Explanatory Text 24" xfId="1697" xr:uid="{00000000-0005-0000-0000-0000E5080000}"/>
    <cellStyle name="Explanatory Text 25" xfId="1698" xr:uid="{00000000-0005-0000-0000-0000E6080000}"/>
    <cellStyle name="Explanatory Text 26" xfId="1699" xr:uid="{00000000-0005-0000-0000-0000E7080000}"/>
    <cellStyle name="Explanatory Text 27" xfId="1700" xr:uid="{00000000-0005-0000-0000-0000E8080000}"/>
    <cellStyle name="Explanatory Text 28" xfId="1701" xr:uid="{00000000-0005-0000-0000-0000E9080000}"/>
    <cellStyle name="Explanatory Text 29" xfId="1702" xr:uid="{00000000-0005-0000-0000-0000EA080000}"/>
    <cellStyle name="Explanatory Text 3" xfId="162" xr:uid="{00000000-0005-0000-0000-0000EB080000}"/>
    <cellStyle name="Explanatory Text 3 2" xfId="1703" xr:uid="{00000000-0005-0000-0000-0000EC080000}"/>
    <cellStyle name="Explanatory Text 30" xfId="1704" xr:uid="{00000000-0005-0000-0000-0000ED080000}"/>
    <cellStyle name="Explanatory Text 31" xfId="1705" xr:uid="{00000000-0005-0000-0000-0000EE080000}"/>
    <cellStyle name="Explanatory Text 32" xfId="1706" xr:uid="{00000000-0005-0000-0000-0000EF080000}"/>
    <cellStyle name="Explanatory Text 33" xfId="1707" xr:uid="{00000000-0005-0000-0000-0000F0080000}"/>
    <cellStyle name="Explanatory Text 34" xfId="1708" xr:uid="{00000000-0005-0000-0000-0000F1080000}"/>
    <cellStyle name="Explanatory Text 35" xfId="1709" xr:uid="{00000000-0005-0000-0000-0000F2080000}"/>
    <cellStyle name="Explanatory Text 36" xfId="1710" xr:uid="{00000000-0005-0000-0000-0000F3080000}"/>
    <cellStyle name="Explanatory Text 37" xfId="1711" xr:uid="{00000000-0005-0000-0000-0000F4080000}"/>
    <cellStyle name="Explanatory Text 38" xfId="1712" xr:uid="{00000000-0005-0000-0000-0000F5080000}"/>
    <cellStyle name="Explanatory Text 39" xfId="1713" xr:uid="{00000000-0005-0000-0000-0000F6080000}"/>
    <cellStyle name="Explanatory Text 4" xfId="1714" xr:uid="{00000000-0005-0000-0000-0000F7080000}"/>
    <cellStyle name="Explanatory Text 4 2" xfId="5012" xr:uid="{00000000-0005-0000-0000-0000F8080000}"/>
    <cellStyle name="Explanatory Text 40" xfId="1715" xr:uid="{00000000-0005-0000-0000-0000F9080000}"/>
    <cellStyle name="Explanatory Text 41" xfId="1716" xr:uid="{00000000-0005-0000-0000-0000FA080000}"/>
    <cellStyle name="Explanatory Text 42" xfId="1717" xr:uid="{00000000-0005-0000-0000-0000FB080000}"/>
    <cellStyle name="Explanatory Text 43" xfId="1718" xr:uid="{00000000-0005-0000-0000-0000FC080000}"/>
    <cellStyle name="Explanatory Text 5" xfId="1719" xr:uid="{00000000-0005-0000-0000-0000FD080000}"/>
    <cellStyle name="Explanatory Text 5 2" xfId="5013" xr:uid="{00000000-0005-0000-0000-0000FE080000}"/>
    <cellStyle name="Explanatory Text 6" xfId="1720" xr:uid="{00000000-0005-0000-0000-0000FF080000}"/>
    <cellStyle name="Explanatory Text 6 2" xfId="5014" xr:uid="{00000000-0005-0000-0000-000000090000}"/>
    <cellStyle name="Explanatory Text 7" xfId="1721" xr:uid="{00000000-0005-0000-0000-000001090000}"/>
    <cellStyle name="Explanatory Text 8" xfId="1722" xr:uid="{00000000-0005-0000-0000-000002090000}"/>
    <cellStyle name="Explanatory Text 9" xfId="1723" xr:uid="{00000000-0005-0000-0000-000003090000}"/>
    <cellStyle name="Float" xfId="163" xr:uid="{00000000-0005-0000-0000-000004090000}"/>
    <cellStyle name="Float 2" xfId="164" xr:uid="{00000000-0005-0000-0000-000005090000}"/>
    <cellStyle name="Float 2 2" xfId="4020" xr:uid="{00000000-0005-0000-0000-000006090000}"/>
    <cellStyle name="Float 3" xfId="1725" xr:uid="{00000000-0005-0000-0000-000007090000}"/>
    <cellStyle name="Float 3 2" xfId="4021" xr:uid="{00000000-0005-0000-0000-000008090000}"/>
    <cellStyle name="Float 4" xfId="1724" xr:uid="{00000000-0005-0000-0000-000009090000}"/>
    <cellStyle name="Good" xfId="6" builtinId="26" customBuiltin="1"/>
    <cellStyle name="Good 10" xfId="1726" xr:uid="{00000000-0005-0000-0000-00000B090000}"/>
    <cellStyle name="Good 11" xfId="1727" xr:uid="{00000000-0005-0000-0000-00000C090000}"/>
    <cellStyle name="Good 12" xfId="1728" xr:uid="{00000000-0005-0000-0000-00000D090000}"/>
    <cellStyle name="Good 13" xfId="1729" xr:uid="{00000000-0005-0000-0000-00000E090000}"/>
    <cellStyle name="Good 14" xfId="1730" xr:uid="{00000000-0005-0000-0000-00000F090000}"/>
    <cellStyle name="Good 15" xfId="1731" xr:uid="{00000000-0005-0000-0000-000010090000}"/>
    <cellStyle name="Good 16" xfId="1732" xr:uid="{00000000-0005-0000-0000-000011090000}"/>
    <cellStyle name="Good 17" xfId="1733" xr:uid="{00000000-0005-0000-0000-000012090000}"/>
    <cellStyle name="Good 18" xfId="1734" xr:uid="{00000000-0005-0000-0000-000013090000}"/>
    <cellStyle name="Good 19" xfId="1735" xr:uid="{00000000-0005-0000-0000-000014090000}"/>
    <cellStyle name="Good 2" xfId="165" xr:uid="{00000000-0005-0000-0000-000015090000}"/>
    <cellStyle name="Good 2 10" xfId="4022" xr:uid="{00000000-0005-0000-0000-000016090000}"/>
    <cellStyle name="Good 2 11" xfId="5015" xr:uid="{00000000-0005-0000-0000-000017090000}"/>
    <cellStyle name="Good 2 12" xfId="5016" xr:uid="{00000000-0005-0000-0000-000018090000}"/>
    <cellStyle name="Good 2 2" xfId="1736" xr:uid="{00000000-0005-0000-0000-000019090000}"/>
    <cellStyle name="Good 2 2 2" xfId="4023" xr:uid="{00000000-0005-0000-0000-00001A090000}"/>
    <cellStyle name="Good 2 2 2 2" xfId="5017" xr:uid="{00000000-0005-0000-0000-00001B090000}"/>
    <cellStyle name="Good 2 3" xfId="1737" xr:uid="{00000000-0005-0000-0000-00001C090000}"/>
    <cellStyle name="Good 2 3 2" xfId="4024" xr:uid="{00000000-0005-0000-0000-00001D090000}"/>
    <cellStyle name="Good 2 4" xfId="4025" xr:uid="{00000000-0005-0000-0000-00001E090000}"/>
    <cellStyle name="Good 2 5" xfId="4026" xr:uid="{00000000-0005-0000-0000-00001F090000}"/>
    <cellStyle name="Good 2 6" xfId="4027" xr:uid="{00000000-0005-0000-0000-000020090000}"/>
    <cellStyle name="Good 2 7" xfId="4028" xr:uid="{00000000-0005-0000-0000-000021090000}"/>
    <cellStyle name="Good 2 8" xfId="4029" xr:uid="{00000000-0005-0000-0000-000022090000}"/>
    <cellStyle name="Good 2 9" xfId="4030" xr:uid="{00000000-0005-0000-0000-000023090000}"/>
    <cellStyle name="Good 20" xfId="1738" xr:uid="{00000000-0005-0000-0000-000024090000}"/>
    <cellStyle name="Good 21" xfId="1739" xr:uid="{00000000-0005-0000-0000-000025090000}"/>
    <cellStyle name="Good 22" xfId="1740" xr:uid="{00000000-0005-0000-0000-000026090000}"/>
    <cellStyle name="Good 23" xfId="1741" xr:uid="{00000000-0005-0000-0000-000027090000}"/>
    <cellStyle name="Good 24" xfId="1742" xr:uid="{00000000-0005-0000-0000-000028090000}"/>
    <cellStyle name="Good 25" xfId="1743" xr:uid="{00000000-0005-0000-0000-000029090000}"/>
    <cellStyle name="Good 26" xfId="1744" xr:uid="{00000000-0005-0000-0000-00002A090000}"/>
    <cellStyle name="Good 27" xfId="1745" xr:uid="{00000000-0005-0000-0000-00002B090000}"/>
    <cellStyle name="Good 28" xfId="1746" xr:uid="{00000000-0005-0000-0000-00002C090000}"/>
    <cellStyle name="Good 29" xfId="1747" xr:uid="{00000000-0005-0000-0000-00002D090000}"/>
    <cellStyle name="Good 3" xfId="166" xr:uid="{00000000-0005-0000-0000-00002E090000}"/>
    <cellStyle name="Good 3 2" xfId="1748" xr:uid="{00000000-0005-0000-0000-00002F090000}"/>
    <cellStyle name="Good 3 2 2" xfId="5018" xr:uid="{00000000-0005-0000-0000-000030090000}"/>
    <cellStyle name="Good 3 3" xfId="4031" xr:uid="{00000000-0005-0000-0000-000031090000}"/>
    <cellStyle name="Good 30" xfId="1749" xr:uid="{00000000-0005-0000-0000-000032090000}"/>
    <cellStyle name="Good 31" xfId="1750" xr:uid="{00000000-0005-0000-0000-000033090000}"/>
    <cellStyle name="Good 32" xfId="1751" xr:uid="{00000000-0005-0000-0000-000034090000}"/>
    <cellStyle name="Good 33" xfId="1752" xr:uid="{00000000-0005-0000-0000-000035090000}"/>
    <cellStyle name="Good 34" xfId="1753" xr:uid="{00000000-0005-0000-0000-000036090000}"/>
    <cellStyle name="Good 35" xfId="1754" xr:uid="{00000000-0005-0000-0000-000037090000}"/>
    <cellStyle name="Good 36" xfId="1755" xr:uid="{00000000-0005-0000-0000-000038090000}"/>
    <cellStyle name="Good 37" xfId="1756" xr:uid="{00000000-0005-0000-0000-000039090000}"/>
    <cellStyle name="Good 38" xfId="1757" xr:uid="{00000000-0005-0000-0000-00003A090000}"/>
    <cellStyle name="Good 39" xfId="1758" xr:uid="{00000000-0005-0000-0000-00003B090000}"/>
    <cellStyle name="Good 4" xfId="1759" xr:uid="{00000000-0005-0000-0000-00003C090000}"/>
    <cellStyle name="Good 4 2" xfId="5019" xr:uid="{00000000-0005-0000-0000-00003D090000}"/>
    <cellStyle name="Good 40" xfId="1760" xr:uid="{00000000-0005-0000-0000-00003E090000}"/>
    <cellStyle name="Good 41" xfId="1761" xr:uid="{00000000-0005-0000-0000-00003F090000}"/>
    <cellStyle name="Good 42" xfId="1762" xr:uid="{00000000-0005-0000-0000-000040090000}"/>
    <cellStyle name="Good 5" xfId="1763" xr:uid="{00000000-0005-0000-0000-000041090000}"/>
    <cellStyle name="Good 5 2" xfId="5020" xr:uid="{00000000-0005-0000-0000-000042090000}"/>
    <cellStyle name="Good 6" xfId="1764" xr:uid="{00000000-0005-0000-0000-000043090000}"/>
    <cellStyle name="Good 6 2" xfId="5021" xr:uid="{00000000-0005-0000-0000-000044090000}"/>
    <cellStyle name="Good 7" xfId="1765" xr:uid="{00000000-0005-0000-0000-000045090000}"/>
    <cellStyle name="Good 8" xfId="1766" xr:uid="{00000000-0005-0000-0000-000046090000}"/>
    <cellStyle name="Good 9" xfId="1767" xr:uid="{00000000-0005-0000-0000-000047090000}"/>
    <cellStyle name="Gut" xfId="1768" xr:uid="{00000000-0005-0000-0000-000048090000}"/>
    <cellStyle name="Heading 1" xfId="2" builtinId="16" customBuiltin="1"/>
    <cellStyle name="Heading 1 10" xfId="1769" xr:uid="{00000000-0005-0000-0000-00004A090000}"/>
    <cellStyle name="Heading 1 11" xfId="1770" xr:uid="{00000000-0005-0000-0000-00004B090000}"/>
    <cellStyle name="Heading 1 12" xfId="1771" xr:uid="{00000000-0005-0000-0000-00004C090000}"/>
    <cellStyle name="Heading 1 13" xfId="1772" xr:uid="{00000000-0005-0000-0000-00004D090000}"/>
    <cellStyle name="Heading 1 14" xfId="1773" xr:uid="{00000000-0005-0000-0000-00004E090000}"/>
    <cellStyle name="Heading 1 15" xfId="1774" xr:uid="{00000000-0005-0000-0000-00004F090000}"/>
    <cellStyle name="Heading 1 16" xfId="1775" xr:uid="{00000000-0005-0000-0000-000050090000}"/>
    <cellStyle name="Heading 1 17" xfId="1776" xr:uid="{00000000-0005-0000-0000-000051090000}"/>
    <cellStyle name="Heading 1 18" xfId="1777" xr:uid="{00000000-0005-0000-0000-000052090000}"/>
    <cellStyle name="Heading 1 19" xfId="1778" xr:uid="{00000000-0005-0000-0000-000053090000}"/>
    <cellStyle name="Heading 1 2" xfId="167" xr:uid="{00000000-0005-0000-0000-000054090000}"/>
    <cellStyle name="Heading 1 2 10" xfId="4032" xr:uid="{00000000-0005-0000-0000-000055090000}"/>
    <cellStyle name="Heading 1 2 11" xfId="5022" xr:uid="{00000000-0005-0000-0000-000056090000}"/>
    <cellStyle name="Heading 1 2 2" xfId="4033" xr:uid="{00000000-0005-0000-0000-000057090000}"/>
    <cellStyle name="Heading 1 2 3" xfId="4034" xr:uid="{00000000-0005-0000-0000-000058090000}"/>
    <cellStyle name="Heading 1 2 4" xfId="4035" xr:uid="{00000000-0005-0000-0000-000059090000}"/>
    <cellStyle name="Heading 1 2 5" xfId="4036" xr:uid="{00000000-0005-0000-0000-00005A090000}"/>
    <cellStyle name="Heading 1 2 6" xfId="4037" xr:uid="{00000000-0005-0000-0000-00005B090000}"/>
    <cellStyle name="Heading 1 2 7" xfId="4038" xr:uid="{00000000-0005-0000-0000-00005C090000}"/>
    <cellStyle name="Heading 1 2 8" xfId="4039" xr:uid="{00000000-0005-0000-0000-00005D090000}"/>
    <cellStyle name="Heading 1 2 9" xfId="4040" xr:uid="{00000000-0005-0000-0000-00005E090000}"/>
    <cellStyle name="Heading 1 20" xfId="1779" xr:uid="{00000000-0005-0000-0000-00005F090000}"/>
    <cellStyle name="Heading 1 21" xfId="1780" xr:uid="{00000000-0005-0000-0000-000060090000}"/>
    <cellStyle name="Heading 1 22" xfId="1781" xr:uid="{00000000-0005-0000-0000-000061090000}"/>
    <cellStyle name="Heading 1 23" xfId="1782" xr:uid="{00000000-0005-0000-0000-000062090000}"/>
    <cellStyle name="Heading 1 24" xfId="1783" xr:uid="{00000000-0005-0000-0000-000063090000}"/>
    <cellStyle name="Heading 1 25" xfId="1784" xr:uid="{00000000-0005-0000-0000-000064090000}"/>
    <cellStyle name="Heading 1 26" xfId="1785" xr:uid="{00000000-0005-0000-0000-000065090000}"/>
    <cellStyle name="Heading 1 27" xfId="1786" xr:uid="{00000000-0005-0000-0000-000066090000}"/>
    <cellStyle name="Heading 1 28" xfId="1787" xr:uid="{00000000-0005-0000-0000-000067090000}"/>
    <cellStyle name="Heading 1 29" xfId="1788" xr:uid="{00000000-0005-0000-0000-000068090000}"/>
    <cellStyle name="Heading 1 3" xfId="168" xr:uid="{00000000-0005-0000-0000-000069090000}"/>
    <cellStyle name="Heading 1 3 2" xfId="1789" xr:uid="{00000000-0005-0000-0000-00006A090000}"/>
    <cellStyle name="Heading 1 3 2 2" xfId="5023" xr:uid="{00000000-0005-0000-0000-00006B090000}"/>
    <cellStyle name="Heading 1 3 3" xfId="4041" xr:uid="{00000000-0005-0000-0000-00006C090000}"/>
    <cellStyle name="Heading 1 30" xfId="1790" xr:uid="{00000000-0005-0000-0000-00006D090000}"/>
    <cellStyle name="Heading 1 31" xfId="1791" xr:uid="{00000000-0005-0000-0000-00006E090000}"/>
    <cellStyle name="Heading 1 32" xfId="1792" xr:uid="{00000000-0005-0000-0000-00006F090000}"/>
    <cellStyle name="Heading 1 33" xfId="1793" xr:uid="{00000000-0005-0000-0000-000070090000}"/>
    <cellStyle name="Heading 1 34" xfId="1794" xr:uid="{00000000-0005-0000-0000-000071090000}"/>
    <cellStyle name="Heading 1 35" xfId="1795" xr:uid="{00000000-0005-0000-0000-000072090000}"/>
    <cellStyle name="Heading 1 36" xfId="1796" xr:uid="{00000000-0005-0000-0000-000073090000}"/>
    <cellStyle name="Heading 1 37" xfId="1797" xr:uid="{00000000-0005-0000-0000-000074090000}"/>
    <cellStyle name="Heading 1 38" xfId="1798" xr:uid="{00000000-0005-0000-0000-000075090000}"/>
    <cellStyle name="Heading 1 39" xfId="1799" xr:uid="{00000000-0005-0000-0000-000076090000}"/>
    <cellStyle name="Heading 1 4" xfId="1800" xr:uid="{00000000-0005-0000-0000-000077090000}"/>
    <cellStyle name="Heading 1 4 2" xfId="5024" xr:uid="{00000000-0005-0000-0000-000078090000}"/>
    <cellStyle name="Heading 1 40" xfId="1801" xr:uid="{00000000-0005-0000-0000-000079090000}"/>
    <cellStyle name="Heading 1 41" xfId="1802" xr:uid="{00000000-0005-0000-0000-00007A090000}"/>
    <cellStyle name="Heading 1 5" xfId="1803" xr:uid="{00000000-0005-0000-0000-00007B090000}"/>
    <cellStyle name="Heading 1 5 2" xfId="5025" xr:uid="{00000000-0005-0000-0000-00007C090000}"/>
    <cellStyle name="Heading 1 6" xfId="1804" xr:uid="{00000000-0005-0000-0000-00007D090000}"/>
    <cellStyle name="Heading 1 6 2" xfId="5026" xr:uid="{00000000-0005-0000-0000-00007E090000}"/>
    <cellStyle name="Heading 1 7" xfId="1805" xr:uid="{00000000-0005-0000-0000-00007F090000}"/>
    <cellStyle name="Heading 1 8" xfId="1806" xr:uid="{00000000-0005-0000-0000-000080090000}"/>
    <cellStyle name="Heading 1 9" xfId="1807" xr:uid="{00000000-0005-0000-0000-000081090000}"/>
    <cellStyle name="Heading 2" xfId="3" builtinId="17" customBuiltin="1"/>
    <cellStyle name="Heading 2 10" xfId="1808" xr:uid="{00000000-0005-0000-0000-000083090000}"/>
    <cellStyle name="Heading 2 11" xfId="1809" xr:uid="{00000000-0005-0000-0000-000084090000}"/>
    <cellStyle name="Heading 2 12" xfId="1810" xr:uid="{00000000-0005-0000-0000-000085090000}"/>
    <cellStyle name="Heading 2 13" xfId="1811" xr:uid="{00000000-0005-0000-0000-000086090000}"/>
    <cellStyle name="Heading 2 14" xfId="1812" xr:uid="{00000000-0005-0000-0000-000087090000}"/>
    <cellStyle name="Heading 2 15" xfId="1813" xr:uid="{00000000-0005-0000-0000-000088090000}"/>
    <cellStyle name="Heading 2 16" xfId="1814" xr:uid="{00000000-0005-0000-0000-000089090000}"/>
    <cellStyle name="Heading 2 17" xfId="1815" xr:uid="{00000000-0005-0000-0000-00008A090000}"/>
    <cellStyle name="Heading 2 18" xfId="1816" xr:uid="{00000000-0005-0000-0000-00008B090000}"/>
    <cellStyle name="Heading 2 19" xfId="1817" xr:uid="{00000000-0005-0000-0000-00008C090000}"/>
    <cellStyle name="Heading 2 2" xfId="169" xr:uid="{00000000-0005-0000-0000-00008D090000}"/>
    <cellStyle name="Heading 2 2 10" xfId="4042" xr:uid="{00000000-0005-0000-0000-00008E090000}"/>
    <cellStyle name="Heading 2 2 11" xfId="5027" xr:uid="{00000000-0005-0000-0000-00008F090000}"/>
    <cellStyle name="Heading 2 2 2" xfId="4043" xr:uid="{00000000-0005-0000-0000-000090090000}"/>
    <cellStyle name="Heading 2 2 3" xfId="4044" xr:uid="{00000000-0005-0000-0000-000091090000}"/>
    <cellStyle name="Heading 2 2 4" xfId="4045" xr:uid="{00000000-0005-0000-0000-000092090000}"/>
    <cellStyle name="Heading 2 2 5" xfId="4046" xr:uid="{00000000-0005-0000-0000-000093090000}"/>
    <cellStyle name="Heading 2 2 6" xfId="4047" xr:uid="{00000000-0005-0000-0000-000094090000}"/>
    <cellStyle name="Heading 2 2 7" xfId="4048" xr:uid="{00000000-0005-0000-0000-000095090000}"/>
    <cellStyle name="Heading 2 2 8" xfId="4049" xr:uid="{00000000-0005-0000-0000-000096090000}"/>
    <cellStyle name="Heading 2 2 9" xfId="4050" xr:uid="{00000000-0005-0000-0000-000097090000}"/>
    <cellStyle name="Heading 2 20" xfId="1818" xr:uid="{00000000-0005-0000-0000-000098090000}"/>
    <cellStyle name="Heading 2 21" xfId="1819" xr:uid="{00000000-0005-0000-0000-000099090000}"/>
    <cellStyle name="Heading 2 22" xfId="1820" xr:uid="{00000000-0005-0000-0000-00009A090000}"/>
    <cellStyle name="Heading 2 23" xfId="1821" xr:uid="{00000000-0005-0000-0000-00009B090000}"/>
    <cellStyle name="Heading 2 24" xfId="1822" xr:uid="{00000000-0005-0000-0000-00009C090000}"/>
    <cellStyle name="Heading 2 25" xfId="1823" xr:uid="{00000000-0005-0000-0000-00009D090000}"/>
    <cellStyle name="Heading 2 26" xfId="1824" xr:uid="{00000000-0005-0000-0000-00009E090000}"/>
    <cellStyle name="Heading 2 27" xfId="1825" xr:uid="{00000000-0005-0000-0000-00009F090000}"/>
    <cellStyle name="Heading 2 28" xfId="1826" xr:uid="{00000000-0005-0000-0000-0000A0090000}"/>
    <cellStyle name="Heading 2 29" xfId="1827" xr:uid="{00000000-0005-0000-0000-0000A1090000}"/>
    <cellStyle name="Heading 2 3" xfId="170" xr:uid="{00000000-0005-0000-0000-0000A2090000}"/>
    <cellStyle name="Heading 2 3 2" xfId="1828" xr:uid="{00000000-0005-0000-0000-0000A3090000}"/>
    <cellStyle name="Heading 2 3 2 2" xfId="5028" xr:uid="{00000000-0005-0000-0000-0000A4090000}"/>
    <cellStyle name="Heading 2 3 3" xfId="4051" xr:uid="{00000000-0005-0000-0000-0000A5090000}"/>
    <cellStyle name="Heading 2 30" xfId="1829" xr:uid="{00000000-0005-0000-0000-0000A6090000}"/>
    <cellStyle name="Heading 2 31" xfId="1830" xr:uid="{00000000-0005-0000-0000-0000A7090000}"/>
    <cellStyle name="Heading 2 32" xfId="1831" xr:uid="{00000000-0005-0000-0000-0000A8090000}"/>
    <cellStyle name="Heading 2 33" xfId="1832" xr:uid="{00000000-0005-0000-0000-0000A9090000}"/>
    <cellStyle name="Heading 2 34" xfId="1833" xr:uid="{00000000-0005-0000-0000-0000AA090000}"/>
    <cellStyle name="Heading 2 35" xfId="1834" xr:uid="{00000000-0005-0000-0000-0000AB090000}"/>
    <cellStyle name="Heading 2 36" xfId="1835" xr:uid="{00000000-0005-0000-0000-0000AC090000}"/>
    <cellStyle name="Heading 2 37" xfId="1836" xr:uid="{00000000-0005-0000-0000-0000AD090000}"/>
    <cellStyle name="Heading 2 38" xfId="1837" xr:uid="{00000000-0005-0000-0000-0000AE090000}"/>
    <cellStyle name="Heading 2 39" xfId="1838" xr:uid="{00000000-0005-0000-0000-0000AF090000}"/>
    <cellStyle name="Heading 2 4" xfId="1839" xr:uid="{00000000-0005-0000-0000-0000B0090000}"/>
    <cellStyle name="Heading 2 4 2" xfId="5029" xr:uid="{00000000-0005-0000-0000-0000B1090000}"/>
    <cellStyle name="Heading 2 40" xfId="1840" xr:uid="{00000000-0005-0000-0000-0000B2090000}"/>
    <cellStyle name="Heading 2 41" xfId="1841" xr:uid="{00000000-0005-0000-0000-0000B3090000}"/>
    <cellStyle name="Heading 2 5" xfId="1842" xr:uid="{00000000-0005-0000-0000-0000B4090000}"/>
    <cellStyle name="Heading 2 5 2" xfId="5030" xr:uid="{00000000-0005-0000-0000-0000B5090000}"/>
    <cellStyle name="Heading 2 6" xfId="1843" xr:uid="{00000000-0005-0000-0000-0000B6090000}"/>
    <cellStyle name="Heading 2 6 2" xfId="5031" xr:uid="{00000000-0005-0000-0000-0000B7090000}"/>
    <cellStyle name="Heading 2 7" xfId="1844" xr:uid="{00000000-0005-0000-0000-0000B8090000}"/>
    <cellStyle name="Heading 2 8" xfId="1845" xr:uid="{00000000-0005-0000-0000-0000B9090000}"/>
    <cellStyle name="Heading 2 9" xfId="1846" xr:uid="{00000000-0005-0000-0000-0000BA090000}"/>
    <cellStyle name="Heading 3" xfId="4" builtinId="18" customBuiltin="1"/>
    <cellStyle name="Heading 3 10" xfId="1847" xr:uid="{00000000-0005-0000-0000-0000BC090000}"/>
    <cellStyle name="Heading 3 11" xfId="1848" xr:uid="{00000000-0005-0000-0000-0000BD090000}"/>
    <cellStyle name="Heading 3 12" xfId="1849" xr:uid="{00000000-0005-0000-0000-0000BE090000}"/>
    <cellStyle name="Heading 3 13" xfId="1850" xr:uid="{00000000-0005-0000-0000-0000BF090000}"/>
    <cellStyle name="Heading 3 14" xfId="1851" xr:uid="{00000000-0005-0000-0000-0000C0090000}"/>
    <cellStyle name="Heading 3 15" xfId="1852" xr:uid="{00000000-0005-0000-0000-0000C1090000}"/>
    <cellStyle name="Heading 3 16" xfId="1853" xr:uid="{00000000-0005-0000-0000-0000C2090000}"/>
    <cellStyle name="Heading 3 17" xfId="1854" xr:uid="{00000000-0005-0000-0000-0000C3090000}"/>
    <cellStyle name="Heading 3 18" xfId="1855" xr:uid="{00000000-0005-0000-0000-0000C4090000}"/>
    <cellStyle name="Heading 3 19" xfId="1856" xr:uid="{00000000-0005-0000-0000-0000C5090000}"/>
    <cellStyle name="Heading 3 2" xfId="171" xr:uid="{00000000-0005-0000-0000-0000C6090000}"/>
    <cellStyle name="Heading 3 2 10" xfId="4052" xr:uid="{00000000-0005-0000-0000-0000C7090000}"/>
    <cellStyle name="Heading 3 2 11" xfId="5032" xr:uid="{00000000-0005-0000-0000-0000C8090000}"/>
    <cellStyle name="Heading 3 2 2" xfId="4053" xr:uid="{00000000-0005-0000-0000-0000C9090000}"/>
    <cellStyle name="Heading 3 2 3" xfId="4054" xr:uid="{00000000-0005-0000-0000-0000CA090000}"/>
    <cellStyle name="Heading 3 2 4" xfId="4055" xr:uid="{00000000-0005-0000-0000-0000CB090000}"/>
    <cellStyle name="Heading 3 2 5" xfId="4056" xr:uid="{00000000-0005-0000-0000-0000CC090000}"/>
    <cellStyle name="Heading 3 2 6" xfId="4057" xr:uid="{00000000-0005-0000-0000-0000CD090000}"/>
    <cellStyle name="Heading 3 2 7" xfId="4058" xr:uid="{00000000-0005-0000-0000-0000CE090000}"/>
    <cellStyle name="Heading 3 2 8" xfId="4059" xr:uid="{00000000-0005-0000-0000-0000CF090000}"/>
    <cellStyle name="Heading 3 2 9" xfId="4060" xr:uid="{00000000-0005-0000-0000-0000D0090000}"/>
    <cellStyle name="Heading 3 20" xfId="1857" xr:uid="{00000000-0005-0000-0000-0000D1090000}"/>
    <cellStyle name="Heading 3 21" xfId="1858" xr:uid="{00000000-0005-0000-0000-0000D2090000}"/>
    <cellStyle name="Heading 3 22" xfId="1859" xr:uid="{00000000-0005-0000-0000-0000D3090000}"/>
    <cellStyle name="Heading 3 23" xfId="1860" xr:uid="{00000000-0005-0000-0000-0000D4090000}"/>
    <cellStyle name="Heading 3 24" xfId="1861" xr:uid="{00000000-0005-0000-0000-0000D5090000}"/>
    <cellStyle name="Heading 3 25" xfId="1862" xr:uid="{00000000-0005-0000-0000-0000D6090000}"/>
    <cellStyle name="Heading 3 26" xfId="1863" xr:uid="{00000000-0005-0000-0000-0000D7090000}"/>
    <cellStyle name="Heading 3 27" xfId="1864" xr:uid="{00000000-0005-0000-0000-0000D8090000}"/>
    <cellStyle name="Heading 3 28" xfId="1865" xr:uid="{00000000-0005-0000-0000-0000D9090000}"/>
    <cellStyle name="Heading 3 29" xfId="1866" xr:uid="{00000000-0005-0000-0000-0000DA090000}"/>
    <cellStyle name="Heading 3 3" xfId="172" xr:uid="{00000000-0005-0000-0000-0000DB090000}"/>
    <cellStyle name="Heading 3 3 2" xfId="1867" xr:uid="{00000000-0005-0000-0000-0000DC090000}"/>
    <cellStyle name="Heading 3 3 2 2" xfId="5033" xr:uid="{00000000-0005-0000-0000-0000DD090000}"/>
    <cellStyle name="Heading 3 3 3" xfId="4061" xr:uid="{00000000-0005-0000-0000-0000DE090000}"/>
    <cellStyle name="Heading 3 30" xfId="1868" xr:uid="{00000000-0005-0000-0000-0000DF090000}"/>
    <cellStyle name="Heading 3 31" xfId="1869" xr:uid="{00000000-0005-0000-0000-0000E0090000}"/>
    <cellStyle name="Heading 3 32" xfId="1870" xr:uid="{00000000-0005-0000-0000-0000E1090000}"/>
    <cellStyle name="Heading 3 33" xfId="1871" xr:uid="{00000000-0005-0000-0000-0000E2090000}"/>
    <cellStyle name="Heading 3 34" xfId="1872" xr:uid="{00000000-0005-0000-0000-0000E3090000}"/>
    <cellStyle name="Heading 3 35" xfId="1873" xr:uid="{00000000-0005-0000-0000-0000E4090000}"/>
    <cellStyle name="Heading 3 36" xfId="1874" xr:uid="{00000000-0005-0000-0000-0000E5090000}"/>
    <cellStyle name="Heading 3 37" xfId="1875" xr:uid="{00000000-0005-0000-0000-0000E6090000}"/>
    <cellStyle name="Heading 3 38" xfId="1876" xr:uid="{00000000-0005-0000-0000-0000E7090000}"/>
    <cellStyle name="Heading 3 39" xfId="1877" xr:uid="{00000000-0005-0000-0000-0000E8090000}"/>
    <cellStyle name="Heading 3 4" xfId="1878" xr:uid="{00000000-0005-0000-0000-0000E9090000}"/>
    <cellStyle name="Heading 3 4 2" xfId="5034" xr:uid="{00000000-0005-0000-0000-0000EA090000}"/>
    <cellStyle name="Heading 3 40" xfId="1879" xr:uid="{00000000-0005-0000-0000-0000EB090000}"/>
    <cellStyle name="Heading 3 41" xfId="1880" xr:uid="{00000000-0005-0000-0000-0000EC090000}"/>
    <cellStyle name="Heading 3 5" xfId="1881" xr:uid="{00000000-0005-0000-0000-0000ED090000}"/>
    <cellStyle name="Heading 3 5 2" xfId="5035" xr:uid="{00000000-0005-0000-0000-0000EE090000}"/>
    <cellStyle name="Heading 3 6" xfId="1882" xr:uid="{00000000-0005-0000-0000-0000EF090000}"/>
    <cellStyle name="Heading 3 6 2" xfId="5036" xr:uid="{00000000-0005-0000-0000-0000F0090000}"/>
    <cellStyle name="Heading 3 7" xfId="1883" xr:uid="{00000000-0005-0000-0000-0000F1090000}"/>
    <cellStyle name="Heading 3 8" xfId="1884" xr:uid="{00000000-0005-0000-0000-0000F2090000}"/>
    <cellStyle name="Heading 3 9" xfId="1885" xr:uid="{00000000-0005-0000-0000-0000F3090000}"/>
    <cellStyle name="Heading 4" xfId="5" builtinId="19" customBuiltin="1"/>
    <cellStyle name="Heading 4 10" xfId="1886" xr:uid="{00000000-0005-0000-0000-0000F5090000}"/>
    <cellStyle name="Heading 4 11" xfId="1887" xr:uid="{00000000-0005-0000-0000-0000F6090000}"/>
    <cellStyle name="Heading 4 12" xfId="1888" xr:uid="{00000000-0005-0000-0000-0000F7090000}"/>
    <cellStyle name="Heading 4 13" xfId="1889" xr:uid="{00000000-0005-0000-0000-0000F8090000}"/>
    <cellStyle name="Heading 4 14" xfId="1890" xr:uid="{00000000-0005-0000-0000-0000F9090000}"/>
    <cellStyle name="Heading 4 15" xfId="1891" xr:uid="{00000000-0005-0000-0000-0000FA090000}"/>
    <cellStyle name="Heading 4 16" xfId="1892" xr:uid="{00000000-0005-0000-0000-0000FB090000}"/>
    <cellStyle name="Heading 4 17" xfId="1893" xr:uid="{00000000-0005-0000-0000-0000FC090000}"/>
    <cellStyle name="Heading 4 18" xfId="1894" xr:uid="{00000000-0005-0000-0000-0000FD090000}"/>
    <cellStyle name="Heading 4 19" xfId="1895" xr:uid="{00000000-0005-0000-0000-0000FE090000}"/>
    <cellStyle name="Heading 4 2" xfId="173" xr:uid="{00000000-0005-0000-0000-0000FF090000}"/>
    <cellStyle name="Heading 4 2 10" xfId="4062" xr:uid="{00000000-0005-0000-0000-0000000A0000}"/>
    <cellStyle name="Heading 4 2 11" xfId="5037" xr:uid="{00000000-0005-0000-0000-0000010A0000}"/>
    <cellStyle name="Heading 4 2 2" xfId="4063" xr:uid="{00000000-0005-0000-0000-0000020A0000}"/>
    <cellStyle name="Heading 4 2 3" xfId="4064" xr:uid="{00000000-0005-0000-0000-0000030A0000}"/>
    <cellStyle name="Heading 4 2 4" xfId="4065" xr:uid="{00000000-0005-0000-0000-0000040A0000}"/>
    <cellStyle name="Heading 4 2 5" xfId="4066" xr:uid="{00000000-0005-0000-0000-0000050A0000}"/>
    <cellStyle name="Heading 4 2 6" xfId="4067" xr:uid="{00000000-0005-0000-0000-0000060A0000}"/>
    <cellStyle name="Heading 4 2 7" xfId="4068" xr:uid="{00000000-0005-0000-0000-0000070A0000}"/>
    <cellStyle name="Heading 4 2 8" xfId="4069" xr:uid="{00000000-0005-0000-0000-0000080A0000}"/>
    <cellStyle name="Heading 4 2 9" xfId="4070" xr:uid="{00000000-0005-0000-0000-0000090A0000}"/>
    <cellStyle name="Heading 4 20" xfId="1896" xr:uid="{00000000-0005-0000-0000-00000A0A0000}"/>
    <cellStyle name="Heading 4 21" xfId="1897" xr:uid="{00000000-0005-0000-0000-00000B0A0000}"/>
    <cellStyle name="Heading 4 22" xfId="1898" xr:uid="{00000000-0005-0000-0000-00000C0A0000}"/>
    <cellStyle name="Heading 4 23" xfId="1899" xr:uid="{00000000-0005-0000-0000-00000D0A0000}"/>
    <cellStyle name="Heading 4 24" xfId="1900" xr:uid="{00000000-0005-0000-0000-00000E0A0000}"/>
    <cellStyle name="Heading 4 25" xfId="1901" xr:uid="{00000000-0005-0000-0000-00000F0A0000}"/>
    <cellStyle name="Heading 4 26" xfId="1902" xr:uid="{00000000-0005-0000-0000-0000100A0000}"/>
    <cellStyle name="Heading 4 27" xfId="1903" xr:uid="{00000000-0005-0000-0000-0000110A0000}"/>
    <cellStyle name="Heading 4 28" xfId="1904" xr:uid="{00000000-0005-0000-0000-0000120A0000}"/>
    <cellStyle name="Heading 4 29" xfId="1905" xr:uid="{00000000-0005-0000-0000-0000130A0000}"/>
    <cellStyle name="Heading 4 3" xfId="174" xr:uid="{00000000-0005-0000-0000-0000140A0000}"/>
    <cellStyle name="Heading 4 3 2" xfId="1906" xr:uid="{00000000-0005-0000-0000-0000150A0000}"/>
    <cellStyle name="Heading 4 3 2 2" xfId="5038" xr:uid="{00000000-0005-0000-0000-0000160A0000}"/>
    <cellStyle name="Heading 4 3 3" xfId="4071" xr:uid="{00000000-0005-0000-0000-0000170A0000}"/>
    <cellStyle name="Heading 4 30" xfId="1907" xr:uid="{00000000-0005-0000-0000-0000180A0000}"/>
    <cellStyle name="Heading 4 31" xfId="1908" xr:uid="{00000000-0005-0000-0000-0000190A0000}"/>
    <cellStyle name="Heading 4 32" xfId="1909" xr:uid="{00000000-0005-0000-0000-00001A0A0000}"/>
    <cellStyle name="Heading 4 33" xfId="1910" xr:uid="{00000000-0005-0000-0000-00001B0A0000}"/>
    <cellStyle name="Heading 4 34" xfId="1911" xr:uid="{00000000-0005-0000-0000-00001C0A0000}"/>
    <cellStyle name="Heading 4 35" xfId="1912" xr:uid="{00000000-0005-0000-0000-00001D0A0000}"/>
    <cellStyle name="Heading 4 36" xfId="1913" xr:uid="{00000000-0005-0000-0000-00001E0A0000}"/>
    <cellStyle name="Heading 4 37" xfId="1914" xr:uid="{00000000-0005-0000-0000-00001F0A0000}"/>
    <cellStyle name="Heading 4 38" xfId="1915" xr:uid="{00000000-0005-0000-0000-0000200A0000}"/>
    <cellStyle name="Heading 4 39" xfId="1916" xr:uid="{00000000-0005-0000-0000-0000210A0000}"/>
    <cellStyle name="Heading 4 4" xfId="1917" xr:uid="{00000000-0005-0000-0000-0000220A0000}"/>
    <cellStyle name="Heading 4 4 2" xfId="5039" xr:uid="{00000000-0005-0000-0000-0000230A0000}"/>
    <cellStyle name="Heading 4 40" xfId="1918" xr:uid="{00000000-0005-0000-0000-0000240A0000}"/>
    <cellStyle name="Heading 4 41" xfId="1919" xr:uid="{00000000-0005-0000-0000-0000250A0000}"/>
    <cellStyle name="Heading 4 5" xfId="1920" xr:uid="{00000000-0005-0000-0000-0000260A0000}"/>
    <cellStyle name="Heading 4 5 2" xfId="5040" xr:uid="{00000000-0005-0000-0000-0000270A0000}"/>
    <cellStyle name="Heading 4 6" xfId="1921" xr:uid="{00000000-0005-0000-0000-0000280A0000}"/>
    <cellStyle name="Heading 4 6 2" xfId="5041" xr:uid="{00000000-0005-0000-0000-0000290A0000}"/>
    <cellStyle name="Heading 4 7" xfId="1922" xr:uid="{00000000-0005-0000-0000-00002A0A0000}"/>
    <cellStyle name="Heading 4 8" xfId="1923" xr:uid="{00000000-0005-0000-0000-00002B0A0000}"/>
    <cellStyle name="Heading 4 9" xfId="1924" xr:uid="{00000000-0005-0000-0000-00002C0A0000}"/>
    <cellStyle name="Headline" xfId="1925" xr:uid="{00000000-0005-0000-0000-00002D0A0000}"/>
    <cellStyle name="Hyperlink 2" xfId="1926" xr:uid="{00000000-0005-0000-0000-00002E0A0000}"/>
    <cellStyle name="Hyperlink 3" xfId="5042" xr:uid="{00000000-0005-0000-0000-00002F0A0000}"/>
    <cellStyle name="Input" xfId="9" builtinId="20" customBuiltin="1"/>
    <cellStyle name="Input 10 2" xfId="1927" xr:uid="{00000000-0005-0000-0000-0000310A0000}"/>
    <cellStyle name="Input 11 2" xfId="1928" xr:uid="{00000000-0005-0000-0000-0000320A0000}"/>
    <cellStyle name="Input 12 2" xfId="1929" xr:uid="{00000000-0005-0000-0000-0000330A0000}"/>
    <cellStyle name="Input 13 2" xfId="1930" xr:uid="{00000000-0005-0000-0000-0000340A0000}"/>
    <cellStyle name="Input 14 2" xfId="1931" xr:uid="{00000000-0005-0000-0000-0000350A0000}"/>
    <cellStyle name="Input 15 2" xfId="1932" xr:uid="{00000000-0005-0000-0000-0000360A0000}"/>
    <cellStyle name="Input 16 2" xfId="1933" xr:uid="{00000000-0005-0000-0000-0000370A0000}"/>
    <cellStyle name="Input 17 2" xfId="1934" xr:uid="{00000000-0005-0000-0000-0000380A0000}"/>
    <cellStyle name="Input 18 2" xfId="1935" xr:uid="{00000000-0005-0000-0000-0000390A0000}"/>
    <cellStyle name="Input 19 2" xfId="1936" xr:uid="{00000000-0005-0000-0000-00003A0A0000}"/>
    <cellStyle name="Input 2" xfId="175" xr:uid="{00000000-0005-0000-0000-00003B0A0000}"/>
    <cellStyle name="Input 2 10" xfId="4072" xr:uid="{00000000-0005-0000-0000-00003C0A0000}"/>
    <cellStyle name="Input 2 11" xfId="5043" xr:uid="{00000000-0005-0000-0000-00003D0A0000}"/>
    <cellStyle name="Input 2 12" xfId="5044" xr:uid="{00000000-0005-0000-0000-00003E0A0000}"/>
    <cellStyle name="Input 2 2" xfId="1937" xr:uid="{00000000-0005-0000-0000-00003F0A0000}"/>
    <cellStyle name="Input 2 2 2" xfId="4073" xr:uid="{00000000-0005-0000-0000-0000400A0000}"/>
    <cellStyle name="Input 2 3" xfId="1938" xr:uid="{00000000-0005-0000-0000-0000410A0000}"/>
    <cellStyle name="Input 2 3 2" xfId="4074" xr:uid="{00000000-0005-0000-0000-0000420A0000}"/>
    <cellStyle name="Input 2 3 2 2" xfId="5045" xr:uid="{00000000-0005-0000-0000-0000430A0000}"/>
    <cellStyle name="Input 2 4" xfId="4075" xr:uid="{00000000-0005-0000-0000-0000440A0000}"/>
    <cellStyle name="Input 2 5" xfId="4076" xr:uid="{00000000-0005-0000-0000-0000450A0000}"/>
    <cellStyle name="Input 2 6" xfId="4077" xr:uid="{00000000-0005-0000-0000-0000460A0000}"/>
    <cellStyle name="Input 2 7" xfId="4078" xr:uid="{00000000-0005-0000-0000-0000470A0000}"/>
    <cellStyle name="Input 2 8" xfId="4079" xr:uid="{00000000-0005-0000-0000-0000480A0000}"/>
    <cellStyle name="Input 2 9" xfId="4080" xr:uid="{00000000-0005-0000-0000-0000490A0000}"/>
    <cellStyle name="Input 2_PrimaryEnergyPrices_TIMES" xfId="1939" xr:uid="{00000000-0005-0000-0000-00004A0A0000}"/>
    <cellStyle name="Input 20 2" xfId="1940" xr:uid="{00000000-0005-0000-0000-00004B0A0000}"/>
    <cellStyle name="Input 21 2" xfId="1941" xr:uid="{00000000-0005-0000-0000-00004C0A0000}"/>
    <cellStyle name="Input 22 2" xfId="1942" xr:uid="{00000000-0005-0000-0000-00004D0A0000}"/>
    <cellStyle name="Input 23 2" xfId="1943" xr:uid="{00000000-0005-0000-0000-00004E0A0000}"/>
    <cellStyle name="Input 24 2" xfId="1944" xr:uid="{00000000-0005-0000-0000-00004F0A0000}"/>
    <cellStyle name="Input 25 2" xfId="1945" xr:uid="{00000000-0005-0000-0000-0000500A0000}"/>
    <cellStyle name="Input 26 2" xfId="1946" xr:uid="{00000000-0005-0000-0000-0000510A0000}"/>
    <cellStyle name="Input 27 2" xfId="1947" xr:uid="{00000000-0005-0000-0000-0000520A0000}"/>
    <cellStyle name="Input 28 2" xfId="1948" xr:uid="{00000000-0005-0000-0000-0000530A0000}"/>
    <cellStyle name="Input 29 2" xfId="1949" xr:uid="{00000000-0005-0000-0000-0000540A0000}"/>
    <cellStyle name="Input 3" xfId="176" xr:uid="{00000000-0005-0000-0000-0000550A0000}"/>
    <cellStyle name="Input 3 2" xfId="1950" xr:uid="{00000000-0005-0000-0000-0000560A0000}"/>
    <cellStyle name="Input 3 3" xfId="1951" xr:uid="{00000000-0005-0000-0000-0000570A0000}"/>
    <cellStyle name="Input 3 3 2" xfId="5046" xr:uid="{00000000-0005-0000-0000-0000580A0000}"/>
    <cellStyle name="Input 3 4" xfId="4081" xr:uid="{00000000-0005-0000-0000-0000590A0000}"/>
    <cellStyle name="Input 30 2" xfId="1952" xr:uid="{00000000-0005-0000-0000-00005A0A0000}"/>
    <cellStyle name="Input 31 2" xfId="1953" xr:uid="{00000000-0005-0000-0000-00005B0A0000}"/>
    <cellStyle name="Input 32 2" xfId="1954" xr:uid="{00000000-0005-0000-0000-00005C0A0000}"/>
    <cellStyle name="Input 33 2" xfId="1955" xr:uid="{00000000-0005-0000-0000-00005D0A0000}"/>
    <cellStyle name="Input 34" xfId="1956" xr:uid="{00000000-0005-0000-0000-00005E0A0000}"/>
    <cellStyle name="Input 34 2" xfId="1957" xr:uid="{00000000-0005-0000-0000-00005F0A0000}"/>
    <cellStyle name="Input 34_ELC_final" xfId="1958" xr:uid="{00000000-0005-0000-0000-0000600A0000}"/>
    <cellStyle name="Input 35" xfId="1959" xr:uid="{00000000-0005-0000-0000-0000610A0000}"/>
    <cellStyle name="Input 36" xfId="1960" xr:uid="{00000000-0005-0000-0000-0000620A0000}"/>
    <cellStyle name="Input 37" xfId="1961" xr:uid="{00000000-0005-0000-0000-0000630A0000}"/>
    <cellStyle name="Input 38" xfId="1962" xr:uid="{00000000-0005-0000-0000-0000640A0000}"/>
    <cellStyle name="Input 39" xfId="1963" xr:uid="{00000000-0005-0000-0000-0000650A0000}"/>
    <cellStyle name="Input 4" xfId="5047" xr:uid="{00000000-0005-0000-0000-0000660A0000}"/>
    <cellStyle name="Input 4 2" xfId="1964" xr:uid="{00000000-0005-0000-0000-0000670A0000}"/>
    <cellStyle name="Input 40" xfId="1965" xr:uid="{00000000-0005-0000-0000-0000680A0000}"/>
    <cellStyle name="Input 5" xfId="5048" xr:uid="{00000000-0005-0000-0000-0000690A0000}"/>
    <cellStyle name="Input 5 2" xfId="1966" xr:uid="{00000000-0005-0000-0000-00006A0A0000}"/>
    <cellStyle name="Input 6" xfId="5049" xr:uid="{00000000-0005-0000-0000-00006B0A0000}"/>
    <cellStyle name="Input 6 2" xfId="1967" xr:uid="{00000000-0005-0000-0000-00006C0A0000}"/>
    <cellStyle name="Input 7 2" xfId="1968" xr:uid="{00000000-0005-0000-0000-00006D0A0000}"/>
    <cellStyle name="Input 8 2" xfId="1969" xr:uid="{00000000-0005-0000-0000-00006E0A0000}"/>
    <cellStyle name="Input 9 2" xfId="1970" xr:uid="{00000000-0005-0000-0000-00006F0A0000}"/>
    <cellStyle name="InputCells" xfId="1971" xr:uid="{00000000-0005-0000-0000-0000700A0000}"/>
    <cellStyle name="InputCells12" xfId="1972" xr:uid="{00000000-0005-0000-0000-0000710A0000}"/>
    <cellStyle name="IntCells" xfId="1973" xr:uid="{00000000-0005-0000-0000-0000720A0000}"/>
    <cellStyle name="ligne_titre_0" xfId="320" xr:uid="{00000000-0005-0000-0000-0000730A0000}"/>
    <cellStyle name="Linked Cell" xfId="12" builtinId="24" customBuiltin="1"/>
    <cellStyle name="Linked Cell 10" xfId="1974" xr:uid="{00000000-0005-0000-0000-0000750A0000}"/>
    <cellStyle name="Linked Cell 11" xfId="1975" xr:uid="{00000000-0005-0000-0000-0000760A0000}"/>
    <cellStyle name="Linked Cell 12" xfId="1976" xr:uid="{00000000-0005-0000-0000-0000770A0000}"/>
    <cellStyle name="Linked Cell 13" xfId="1977" xr:uid="{00000000-0005-0000-0000-0000780A0000}"/>
    <cellStyle name="Linked Cell 14" xfId="1978" xr:uid="{00000000-0005-0000-0000-0000790A0000}"/>
    <cellStyle name="Linked Cell 15" xfId="1979" xr:uid="{00000000-0005-0000-0000-00007A0A0000}"/>
    <cellStyle name="Linked Cell 16" xfId="1980" xr:uid="{00000000-0005-0000-0000-00007B0A0000}"/>
    <cellStyle name="Linked Cell 17" xfId="1981" xr:uid="{00000000-0005-0000-0000-00007C0A0000}"/>
    <cellStyle name="Linked Cell 18" xfId="1982" xr:uid="{00000000-0005-0000-0000-00007D0A0000}"/>
    <cellStyle name="Linked Cell 19" xfId="1983" xr:uid="{00000000-0005-0000-0000-00007E0A0000}"/>
    <cellStyle name="Linked Cell 2" xfId="177" xr:uid="{00000000-0005-0000-0000-00007F0A0000}"/>
    <cellStyle name="Linked Cell 2 10" xfId="4082" xr:uid="{00000000-0005-0000-0000-0000800A0000}"/>
    <cellStyle name="Linked Cell 2 11" xfId="5050" xr:uid="{00000000-0005-0000-0000-0000810A0000}"/>
    <cellStyle name="Linked Cell 2 2" xfId="4083" xr:uid="{00000000-0005-0000-0000-0000820A0000}"/>
    <cellStyle name="Linked Cell 2 3" xfId="4084" xr:uid="{00000000-0005-0000-0000-0000830A0000}"/>
    <cellStyle name="Linked Cell 2 4" xfId="4085" xr:uid="{00000000-0005-0000-0000-0000840A0000}"/>
    <cellStyle name="Linked Cell 2 5" xfId="4086" xr:uid="{00000000-0005-0000-0000-0000850A0000}"/>
    <cellStyle name="Linked Cell 2 6" xfId="4087" xr:uid="{00000000-0005-0000-0000-0000860A0000}"/>
    <cellStyle name="Linked Cell 2 7" xfId="4088" xr:uid="{00000000-0005-0000-0000-0000870A0000}"/>
    <cellStyle name="Linked Cell 2 8" xfId="4089" xr:uid="{00000000-0005-0000-0000-0000880A0000}"/>
    <cellStyle name="Linked Cell 2 9" xfId="4090" xr:uid="{00000000-0005-0000-0000-0000890A0000}"/>
    <cellStyle name="Linked Cell 20" xfId="1984" xr:uid="{00000000-0005-0000-0000-00008A0A0000}"/>
    <cellStyle name="Linked Cell 21" xfId="1985" xr:uid="{00000000-0005-0000-0000-00008B0A0000}"/>
    <cellStyle name="Linked Cell 22" xfId="1986" xr:uid="{00000000-0005-0000-0000-00008C0A0000}"/>
    <cellStyle name="Linked Cell 23" xfId="1987" xr:uid="{00000000-0005-0000-0000-00008D0A0000}"/>
    <cellStyle name="Linked Cell 24" xfId="1988" xr:uid="{00000000-0005-0000-0000-00008E0A0000}"/>
    <cellStyle name="Linked Cell 25" xfId="1989" xr:uid="{00000000-0005-0000-0000-00008F0A0000}"/>
    <cellStyle name="Linked Cell 26" xfId="1990" xr:uid="{00000000-0005-0000-0000-0000900A0000}"/>
    <cellStyle name="Linked Cell 27" xfId="1991" xr:uid="{00000000-0005-0000-0000-0000910A0000}"/>
    <cellStyle name="Linked Cell 28" xfId="1992" xr:uid="{00000000-0005-0000-0000-0000920A0000}"/>
    <cellStyle name="Linked Cell 29" xfId="1993" xr:uid="{00000000-0005-0000-0000-0000930A0000}"/>
    <cellStyle name="Linked Cell 3" xfId="178" xr:uid="{00000000-0005-0000-0000-0000940A0000}"/>
    <cellStyle name="Linked Cell 3 2" xfId="1994" xr:uid="{00000000-0005-0000-0000-0000950A0000}"/>
    <cellStyle name="Linked Cell 3 2 2" xfId="5051" xr:uid="{00000000-0005-0000-0000-0000960A0000}"/>
    <cellStyle name="Linked Cell 3 3" xfId="4091" xr:uid="{00000000-0005-0000-0000-0000970A0000}"/>
    <cellStyle name="Linked Cell 30" xfId="1995" xr:uid="{00000000-0005-0000-0000-0000980A0000}"/>
    <cellStyle name="Linked Cell 31" xfId="1996" xr:uid="{00000000-0005-0000-0000-0000990A0000}"/>
    <cellStyle name="Linked Cell 32" xfId="1997" xr:uid="{00000000-0005-0000-0000-00009A0A0000}"/>
    <cellStyle name="Linked Cell 33" xfId="1998" xr:uid="{00000000-0005-0000-0000-00009B0A0000}"/>
    <cellStyle name="Linked Cell 34" xfId="1999" xr:uid="{00000000-0005-0000-0000-00009C0A0000}"/>
    <cellStyle name="Linked Cell 35" xfId="2000" xr:uid="{00000000-0005-0000-0000-00009D0A0000}"/>
    <cellStyle name="Linked Cell 36" xfId="2001" xr:uid="{00000000-0005-0000-0000-00009E0A0000}"/>
    <cellStyle name="Linked Cell 37" xfId="2002" xr:uid="{00000000-0005-0000-0000-00009F0A0000}"/>
    <cellStyle name="Linked Cell 38" xfId="2003" xr:uid="{00000000-0005-0000-0000-0000A00A0000}"/>
    <cellStyle name="Linked Cell 39" xfId="2004" xr:uid="{00000000-0005-0000-0000-0000A10A0000}"/>
    <cellStyle name="Linked Cell 4" xfId="2005" xr:uid="{00000000-0005-0000-0000-0000A20A0000}"/>
    <cellStyle name="Linked Cell 4 2" xfId="5052" xr:uid="{00000000-0005-0000-0000-0000A30A0000}"/>
    <cellStyle name="Linked Cell 40" xfId="2006" xr:uid="{00000000-0005-0000-0000-0000A40A0000}"/>
    <cellStyle name="Linked Cell 41" xfId="2007" xr:uid="{00000000-0005-0000-0000-0000A50A0000}"/>
    <cellStyle name="Linked Cell 5" xfId="2008" xr:uid="{00000000-0005-0000-0000-0000A60A0000}"/>
    <cellStyle name="Linked Cell 5 2" xfId="5053" xr:uid="{00000000-0005-0000-0000-0000A70A0000}"/>
    <cellStyle name="Linked Cell 6" xfId="2009" xr:uid="{00000000-0005-0000-0000-0000A80A0000}"/>
    <cellStyle name="Linked Cell 6 2" xfId="5054" xr:uid="{00000000-0005-0000-0000-0000A90A0000}"/>
    <cellStyle name="Linked Cell 7" xfId="2010" xr:uid="{00000000-0005-0000-0000-0000AA0A0000}"/>
    <cellStyle name="Linked Cell 8" xfId="2011" xr:uid="{00000000-0005-0000-0000-0000AB0A0000}"/>
    <cellStyle name="Linked Cell 9" xfId="2012" xr:uid="{00000000-0005-0000-0000-0000AC0A0000}"/>
    <cellStyle name="Migliaia_Oil&amp;Gas IFE ARC POLITO" xfId="4092" xr:uid="{00000000-0005-0000-0000-0000AD0A0000}"/>
    <cellStyle name="Neutral" xfId="8" builtinId="28" customBuiltin="1"/>
    <cellStyle name="Neutral 10" xfId="2013" xr:uid="{00000000-0005-0000-0000-0000AF0A0000}"/>
    <cellStyle name="Neutral 11" xfId="2014" xr:uid="{00000000-0005-0000-0000-0000B00A0000}"/>
    <cellStyle name="Neutral 12" xfId="2015" xr:uid="{00000000-0005-0000-0000-0000B10A0000}"/>
    <cellStyle name="Neutral 13" xfId="2016" xr:uid="{00000000-0005-0000-0000-0000B20A0000}"/>
    <cellStyle name="Neutral 14" xfId="2017" xr:uid="{00000000-0005-0000-0000-0000B30A0000}"/>
    <cellStyle name="Neutral 15" xfId="2018" xr:uid="{00000000-0005-0000-0000-0000B40A0000}"/>
    <cellStyle name="Neutral 16" xfId="2019" xr:uid="{00000000-0005-0000-0000-0000B50A0000}"/>
    <cellStyle name="Neutral 17" xfId="2020" xr:uid="{00000000-0005-0000-0000-0000B60A0000}"/>
    <cellStyle name="Neutral 18" xfId="2021" xr:uid="{00000000-0005-0000-0000-0000B70A0000}"/>
    <cellStyle name="Neutral 19" xfId="2022" xr:uid="{00000000-0005-0000-0000-0000B80A0000}"/>
    <cellStyle name="Neutral 2" xfId="179" xr:uid="{00000000-0005-0000-0000-0000B90A0000}"/>
    <cellStyle name="Neutral 2 10" xfId="4093" xr:uid="{00000000-0005-0000-0000-0000BA0A0000}"/>
    <cellStyle name="Neutral 2 11" xfId="5055" xr:uid="{00000000-0005-0000-0000-0000BB0A0000}"/>
    <cellStyle name="Neutral 2 2" xfId="4094" xr:uid="{00000000-0005-0000-0000-0000BC0A0000}"/>
    <cellStyle name="Neutral 2 3" xfId="4095" xr:uid="{00000000-0005-0000-0000-0000BD0A0000}"/>
    <cellStyle name="Neutral 2 4" xfId="4096" xr:uid="{00000000-0005-0000-0000-0000BE0A0000}"/>
    <cellStyle name="Neutral 2 5" xfId="4097" xr:uid="{00000000-0005-0000-0000-0000BF0A0000}"/>
    <cellStyle name="Neutral 2 6" xfId="4098" xr:uid="{00000000-0005-0000-0000-0000C00A0000}"/>
    <cellStyle name="Neutral 2 7" xfId="4099" xr:uid="{00000000-0005-0000-0000-0000C10A0000}"/>
    <cellStyle name="Neutral 2 8" xfId="4100" xr:uid="{00000000-0005-0000-0000-0000C20A0000}"/>
    <cellStyle name="Neutral 2 9" xfId="4101" xr:uid="{00000000-0005-0000-0000-0000C30A0000}"/>
    <cellStyle name="Neutral 20" xfId="2023" xr:uid="{00000000-0005-0000-0000-0000C40A0000}"/>
    <cellStyle name="Neutral 21" xfId="2024" xr:uid="{00000000-0005-0000-0000-0000C50A0000}"/>
    <cellStyle name="Neutral 22" xfId="2025" xr:uid="{00000000-0005-0000-0000-0000C60A0000}"/>
    <cellStyle name="Neutral 23" xfId="2026" xr:uid="{00000000-0005-0000-0000-0000C70A0000}"/>
    <cellStyle name="Neutral 24" xfId="2027" xr:uid="{00000000-0005-0000-0000-0000C80A0000}"/>
    <cellStyle name="Neutral 25" xfId="2028" xr:uid="{00000000-0005-0000-0000-0000C90A0000}"/>
    <cellStyle name="Neutral 26" xfId="2029" xr:uid="{00000000-0005-0000-0000-0000CA0A0000}"/>
    <cellStyle name="Neutral 27" xfId="2030" xr:uid="{00000000-0005-0000-0000-0000CB0A0000}"/>
    <cellStyle name="Neutral 28" xfId="2031" xr:uid="{00000000-0005-0000-0000-0000CC0A0000}"/>
    <cellStyle name="Neutral 29" xfId="2032" xr:uid="{00000000-0005-0000-0000-0000CD0A0000}"/>
    <cellStyle name="Neutral 3" xfId="180" xr:uid="{00000000-0005-0000-0000-0000CE0A0000}"/>
    <cellStyle name="Neutral 3 2" xfId="2034" xr:uid="{00000000-0005-0000-0000-0000CF0A0000}"/>
    <cellStyle name="Neutral 3 2 2" xfId="5056" xr:uid="{00000000-0005-0000-0000-0000D00A0000}"/>
    <cellStyle name="Neutral 3 3" xfId="2035" xr:uid="{00000000-0005-0000-0000-0000D10A0000}"/>
    <cellStyle name="Neutral 3 3 2" xfId="5057" xr:uid="{00000000-0005-0000-0000-0000D20A0000}"/>
    <cellStyle name="Neutral 3 4" xfId="2036" xr:uid="{00000000-0005-0000-0000-0000D30A0000}"/>
    <cellStyle name="Neutral 3 5" xfId="2033" xr:uid="{00000000-0005-0000-0000-0000D40A0000}"/>
    <cellStyle name="Neutral 3 6" xfId="4102" xr:uid="{00000000-0005-0000-0000-0000D50A0000}"/>
    <cellStyle name="Neutral 30" xfId="2037" xr:uid="{00000000-0005-0000-0000-0000D60A0000}"/>
    <cellStyle name="Neutral 31" xfId="2038" xr:uid="{00000000-0005-0000-0000-0000D70A0000}"/>
    <cellStyle name="Neutral 32" xfId="2039" xr:uid="{00000000-0005-0000-0000-0000D80A0000}"/>
    <cellStyle name="Neutral 33" xfId="2040" xr:uid="{00000000-0005-0000-0000-0000D90A0000}"/>
    <cellStyle name="Neutral 34" xfId="2041" xr:uid="{00000000-0005-0000-0000-0000DA0A0000}"/>
    <cellStyle name="Neutral 35" xfId="2042" xr:uid="{00000000-0005-0000-0000-0000DB0A0000}"/>
    <cellStyle name="Neutral 36" xfId="2043" xr:uid="{00000000-0005-0000-0000-0000DC0A0000}"/>
    <cellStyle name="Neutral 37" xfId="2044" xr:uid="{00000000-0005-0000-0000-0000DD0A0000}"/>
    <cellStyle name="Neutral 38" xfId="2045" xr:uid="{00000000-0005-0000-0000-0000DE0A0000}"/>
    <cellStyle name="Neutral 39" xfId="2046" xr:uid="{00000000-0005-0000-0000-0000DF0A0000}"/>
    <cellStyle name="Neutral 4" xfId="2047" xr:uid="{00000000-0005-0000-0000-0000E00A0000}"/>
    <cellStyle name="Neutral 4 2" xfId="2048" xr:uid="{00000000-0005-0000-0000-0000E10A0000}"/>
    <cellStyle name="Neutral 4 3" xfId="5058" xr:uid="{00000000-0005-0000-0000-0000E20A0000}"/>
    <cellStyle name="Neutral 40" xfId="2049" xr:uid="{00000000-0005-0000-0000-0000E30A0000}"/>
    <cellStyle name="Neutral 41" xfId="2050" xr:uid="{00000000-0005-0000-0000-0000E40A0000}"/>
    <cellStyle name="Neutral 42" xfId="2051" xr:uid="{00000000-0005-0000-0000-0000E50A0000}"/>
    <cellStyle name="Neutral 43" xfId="2052" xr:uid="{00000000-0005-0000-0000-0000E60A0000}"/>
    <cellStyle name="Neutral 5" xfId="2053" xr:uid="{00000000-0005-0000-0000-0000E70A0000}"/>
    <cellStyle name="Neutral 5 2" xfId="5059" xr:uid="{00000000-0005-0000-0000-0000E80A0000}"/>
    <cellStyle name="Neutral 6" xfId="2054" xr:uid="{00000000-0005-0000-0000-0000E90A0000}"/>
    <cellStyle name="Neutral 6 2" xfId="5060" xr:uid="{00000000-0005-0000-0000-0000EA0A0000}"/>
    <cellStyle name="Neutral 7" xfId="2055" xr:uid="{00000000-0005-0000-0000-0000EB0A0000}"/>
    <cellStyle name="Neutral 8" xfId="2056" xr:uid="{00000000-0005-0000-0000-0000EC0A0000}"/>
    <cellStyle name="Neutral 9" xfId="2057" xr:uid="{00000000-0005-0000-0000-0000ED0A0000}"/>
    <cellStyle name="Normal" xfId="0" builtinId="0"/>
    <cellStyle name="Normal 10" xfId="52" xr:uid="{00000000-0005-0000-0000-0000EF0A0000}"/>
    <cellStyle name="Normal 10 2" xfId="181" xr:uid="{00000000-0005-0000-0000-0000F00A0000}"/>
    <cellStyle name="Normal 10 2 2" xfId="352" xr:uid="{00000000-0005-0000-0000-0000F10A0000}"/>
    <cellStyle name="Normal 10 2 2 2" xfId="2059" xr:uid="{00000000-0005-0000-0000-0000F20A0000}"/>
    <cellStyle name="Normal 10 2 2 2 2" xfId="5062" xr:uid="{00000000-0005-0000-0000-0000F30A0000}"/>
    <cellStyle name="Normal 10 2 3" xfId="2058" xr:uid="{00000000-0005-0000-0000-0000F40A0000}"/>
    <cellStyle name="Normal 10 2 4" xfId="4103" xr:uid="{00000000-0005-0000-0000-0000F50A0000}"/>
    <cellStyle name="Normal 10 2 5" xfId="5061" xr:uid="{00000000-0005-0000-0000-0000F60A0000}"/>
    <cellStyle name="Normal 10 3" xfId="314" xr:uid="{00000000-0005-0000-0000-0000F70A0000}"/>
    <cellStyle name="Normal 10 4" xfId="4104" xr:uid="{00000000-0005-0000-0000-0000F80A0000}"/>
    <cellStyle name="Normal 10 5" xfId="4105" xr:uid="{00000000-0005-0000-0000-0000F90A0000}"/>
    <cellStyle name="Normal 10 6" xfId="4106" xr:uid="{00000000-0005-0000-0000-0000FA0A0000}"/>
    <cellStyle name="Normal 10 7" xfId="4107" xr:uid="{00000000-0005-0000-0000-0000FB0A0000}"/>
    <cellStyle name="Normal 10 8" xfId="4108" xr:uid="{00000000-0005-0000-0000-0000FC0A0000}"/>
    <cellStyle name="Normal 10 9" xfId="4109" xr:uid="{00000000-0005-0000-0000-0000FD0A0000}"/>
    <cellStyle name="Normal 11" xfId="182" xr:uid="{00000000-0005-0000-0000-0000FE0A0000}"/>
    <cellStyle name="Normal 11 2" xfId="183" xr:uid="{00000000-0005-0000-0000-0000FF0A0000}"/>
    <cellStyle name="Normal 11 2 2" xfId="2060" xr:uid="{00000000-0005-0000-0000-0000000B0000}"/>
    <cellStyle name="Normal 11 2 2 2" xfId="5063" xr:uid="{00000000-0005-0000-0000-0000010B0000}"/>
    <cellStyle name="Normal 11 3" xfId="184" xr:uid="{00000000-0005-0000-0000-0000020B0000}"/>
    <cellStyle name="Normal 11 4" xfId="353" xr:uid="{00000000-0005-0000-0000-0000030B0000}"/>
    <cellStyle name="Normal 11 4 2" xfId="2061" xr:uid="{00000000-0005-0000-0000-0000040B0000}"/>
    <cellStyle name="Normal 11 5" xfId="2062" xr:uid="{00000000-0005-0000-0000-0000050B0000}"/>
    <cellStyle name="Normal 11 5 2" xfId="4110" xr:uid="{00000000-0005-0000-0000-0000060B0000}"/>
    <cellStyle name="Normal 11 5 3" xfId="5064" xr:uid="{00000000-0005-0000-0000-0000070B0000}"/>
    <cellStyle name="Normal 11 6" xfId="4111" xr:uid="{00000000-0005-0000-0000-0000080B0000}"/>
    <cellStyle name="Normal 11 7" xfId="4112" xr:uid="{00000000-0005-0000-0000-0000090B0000}"/>
    <cellStyle name="Normal 11 8" xfId="4113" xr:uid="{00000000-0005-0000-0000-00000A0B0000}"/>
    <cellStyle name="Normal 12" xfId="58" xr:uid="{00000000-0005-0000-0000-00000B0B0000}"/>
    <cellStyle name="Normal 12 2" xfId="4114" xr:uid="{00000000-0005-0000-0000-00000C0B0000}"/>
    <cellStyle name="Normal 12 3" xfId="4115" xr:uid="{00000000-0005-0000-0000-00000D0B0000}"/>
    <cellStyle name="Normal 12 4" xfId="4116" xr:uid="{00000000-0005-0000-0000-00000E0B0000}"/>
    <cellStyle name="Normal 12 5" xfId="4117" xr:uid="{00000000-0005-0000-0000-00000F0B0000}"/>
    <cellStyle name="Normal 12 6" xfId="4118" xr:uid="{00000000-0005-0000-0000-0000100B0000}"/>
    <cellStyle name="Normal 12 7" xfId="4119" xr:uid="{00000000-0005-0000-0000-0000110B0000}"/>
    <cellStyle name="Normal 12 8" xfId="4120" xr:uid="{00000000-0005-0000-0000-0000120B0000}"/>
    <cellStyle name="Normal 13" xfId="334" xr:uid="{00000000-0005-0000-0000-0000130B0000}"/>
    <cellStyle name="Normal 13 10" xfId="4121" xr:uid="{00000000-0005-0000-0000-0000140B0000}"/>
    <cellStyle name="Normal 13 10 2" xfId="5065" xr:uid="{00000000-0005-0000-0000-0000150B0000}"/>
    <cellStyle name="Normal 13 11" xfId="4122" xr:uid="{00000000-0005-0000-0000-0000160B0000}"/>
    <cellStyle name="Normal 13 11 2" xfId="5066" xr:uid="{00000000-0005-0000-0000-0000170B0000}"/>
    <cellStyle name="Normal 13 12" xfId="4123" xr:uid="{00000000-0005-0000-0000-0000180B0000}"/>
    <cellStyle name="Normal 13 13" xfId="4124" xr:uid="{00000000-0005-0000-0000-0000190B0000}"/>
    <cellStyle name="Normal 13 13 2" xfId="5067" xr:uid="{00000000-0005-0000-0000-00001A0B0000}"/>
    <cellStyle name="Normal 13 14" xfId="4125" xr:uid="{00000000-0005-0000-0000-00001B0B0000}"/>
    <cellStyle name="Normal 13 14 2" xfId="5068" xr:uid="{00000000-0005-0000-0000-00001C0B0000}"/>
    <cellStyle name="Normal 13 15" xfId="4126" xr:uid="{00000000-0005-0000-0000-00001D0B0000}"/>
    <cellStyle name="Normal 13 15 2" xfId="5069" xr:uid="{00000000-0005-0000-0000-00001E0B0000}"/>
    <cellStyle name="Normal 13 16" xfId="4127" xr:uid="{00000000-0005-0000-0000-00001F0B0000}"/>
    <cellStyle name="Normal 13 16 2" xfId="5070" xr:uid="{00000000-0005-0000-0000-0000200B0000}"/>
    <cellStyle name="Normal 13 17" xfId="4128" xr:uid="{00000000-0005-0000-0000-0000210B0000}"/>
    <cellStyle name="Normal 13 18" xfId="4129" xr:uid="{00000000-0005-0000-0000-0000220B0000}"/>
    <cellStyle name="Normal 13 19" xfId="4130" xr:uid="{00000000-0005-0000-0000-0000230B0000}"/>
    <cellStyle name="Normal 13 2" xfId="2064" xr:uid="{00000000-0005-0000-0000-0000240B0000}"/>
    <cellStyle name="Normal 13 2 2" xfId="4132" xr:uid="{00000000-0005-0000-0000-0000250B0000}"/>
    <cellStyle name="Normal 13 2 2 2" xfId="5071" xr:uid="{00000000-0005-0000-0000-0000260B0000}"/>
    <cellStyle name="Normal 13 2 3" xfId="4133" xr:uid="{00000000-0005-0000-0000-0000270B0000}"/>
    <cellStyle name="Normal 13 2 3 2" xfId="5072" xr:uid="{00000000-0005-0000-0000-0000280B0000}"/>
    <cellStyle name="Normal 13 2 4" xfId="4134" xr:uid="{00000000-0005-0000-0000-0000290B0000}"/>
    <cellStyle name="Normal 13 2 4 2" xfId="5073" xr:uid="{00000000-0005-0000-0000-00002A0B0000}"/>
    <cellStyle name="Normal 13 2 5" xfId="4135" xr:uid="{00000000-0005-0000-0000-00002B0B0000}"/>
    <cellStyle name="Normal 13 2 5 2" xfId="5074" xr:uid="{00000000-0005-0000-0000-00002C0B0000}"/>
    <cellStyle name="Normal 13 2 6" xfId="4136" xr:uid="{00000000-0005-0000-0000-00002D0B0000}"/>
    <cellStyle name="Normal 13 2 6 2" xfId="5075" xr:uid="{00000000-0005-0000-0000-00002E0B0000}"/>
    <cellStyle name="Normal 13 2 7" xfId="4137" xr:uid="{00000000-0005-0000-0000-00002F0B0000}"/>
    <cellStyle name="Normal 13 2 7 2" xfId="5076" xr:uid="{00000000-0005-0000-0000-0000300B0000}"/>
    <cellStyle name="Normal 13 2 8" xfId="4138" xr:uid="{00000000-0005-0000-0000-0000310B0000}"/>
    <cellStyle name="Normal 13 2 8 2" xfId="5077" xr:uid="{00000000-0005-0000-0000-0000320B0000}"/>
    <cellStyle name="Normal 13 2 9" xfId="4131" xr:uid="{00000000-0005-0000-0000-0000330B0000}"/>
    <cellStyle name="Normal 13 20" xfId="4139" xr:uid="{00000000-0005-0000-0000-0000340B0000}"/>
    <cellStyle name="Normal 13 21" xfId="4140" xr:uid="{00000000-0005-0000-0000-0000350B0000}"/>
    <cellStyle name="Normal 13 22" xfId="4141" xr:uid="{00000000-0005-0000-0000-0000360B0000}"/>
    <cellStyle name="Normal 13 23" xfId="4142" xr:uid="{00000000-0005-0000-0000-0000370B0000}"/>
    <cellStyle name="Normal 13 24" xfId="4143" xr:uid="{00000000-0005-0000-0000-0000380B0000}"/>
    <cellStyle name="Normal 13 25" xfId="4144" xr:uid="{00000000-0005-0000-0000-0000390B0000}"/>
    <cellStyle name="Normal 13 26" xfId="4145" xr:uid="{00000000-0005-0000-0000-00003A0B0000}"/>
    <cellStyle name="Normal 13 27" xfId="4146" xr:uid="{00000000-0005-0000-0000-00003B0B0000}"/>
    <cellStyle name="Normal 13 28" xfId="4147" xr:uid="{00000000-0005-0000-0000-00003C0B0000}"/>
    <cellStyle name="Normal 13 29" xfId="4148" xr:uid="{00000000-0005-0000-0000-00003D0B0000}"/>
    <cellStyle name="Normal 13 3" xfId="2065" xr:uid="{00000000-0005-0000-0000-00003E0B0000}"/>
    <cellStyle name="Normal 13 3 2" xfId="4149" xr:uid="{00000000-0005-0000-0000-00003F0B0000}"/>
    <cellStyle name="Normal 13 3 2 2" xfId="5078" xr:uid="{00000000-0005-0000-0000-0000400B0000}"/>
    <cellStyle name="Normal 13 30" xfId="4150" xr:uid="{00000000-0005-0000-0000-0000410B0000}"/>
    <cellStyle name="Normal 13 31" xfId="4151" xr:uid="{00000000-0005-0000-0000-0000420B0000}"/>
    <cellStyle name="Normal 13 32" xfId="4152" xr:uid="{00000000-0005-0000-0000-0000430B0000}"/>
    <cellStyle name="Normal 13 33" xfId="4153" xr:uid="{00000000-0005-0000-0000-0000440B0000}"/>
    <cellStyle name="Normal 13 34" xfId="4154" xr:uid="{00000000-0005-0000-0000-0000450B0000}"/>
    <cellStyle name="Normal 13 35" xfId="4155" xr:uid="{00000000-0005-0000-0000-0000460B0000}"/>
    <cellStyle name="Normal 13 36" xfId="4156" xr:uid="{00000000-0005-0000-0000-0000470B0000}"/>
    <cellStyle name="Normal 13 37" xfId="4157" xr:uid="{00000000-0005-0000-0000-0000480B0000}"/>
    <cellStyle name="Normal 13 38" xfId="4158" xr:uid="{00000000-0005-0000-0000-0000490B0000}"/>
    <cellStyle name="Normal 13 4" xfId="2063" xr:uid="{00000000-0005-0000-0000-00004A0B0000}"/>
    <cellStyle name="Normal 13 4 2" xfId="4159" xr:uid="{00000000-0005-0000-0000-00004B0B0000}"/>
    <cellStyle name="Normal 13 4 3" xfId="5079" xr:uid="{00000000-0005-0000-0000-00004C0B0000}"/>
    <cellStyle name="Normal 13 5" xfId="4160" xr:uid="{00000000-0005-0000-0000-00004D0B0000}"/>
    <cellStyle name="Normal 13 6" xfId="4161" xr:uid="{00000000-0005-0000-0000-00004E0B0000}"/>
    <cellStyle name="Normal 13 7" xfId="4162" xr:uid="{00000000-0005-0000-0000-00004F0B0000}"/>
    <cellStyle name="Normal 13 8" xfId="4163" xr:uid="{00000000-0005-0000-0000-0000500B0000}"/>
    <cellStyle name="Normal 13 9" xfId="4164" xr:uid="{00000000-0005-0000-0000-0000510B0000}"/>
    <cellStyle name="Normal 13 9 2" xfId="5080" xr:uid="{00000000-0005-0000-0000-0000520B0000}"/>
    <cellStyle name="Normal 14" xfId="336" xr:uid="{00000000-0005-0000-0000-0000530B0000}"/>
    <cellStyle name="Normal 14 10" xfId="4166" xr:uid="{00000000-0005-0000-0000-0000540B0000}"/>
    <cellStyle name="Normal 14 10 2" xfId="5081" xr:uid="{00000000-0005-0000-0000-0000550B0000}"/>
    <cellStyle name="Normal 14 11" xfId="4167" xr:uid="{00000000-0005-0000-0000-0000560B0000}"/>
    <cellStyle name="Normal 14 11 2" xfId="5082" xr:uid="{00000000-0005-0000-0000-0000570B0000}"/>
    <cellStyle name="Normal 14 12" xfId="4168" xr:uid="{00000000-0005-0000-0000-0000580B0000}"/>
    <cellStyle name="Normal 14 12 2" xfId="5083" xr:uid="{00000000-0005-0000-0000-0000590B0000}"/>
    <cellStyle name="Normal 14 13" xfId="4169" xr:uid="{00000000-0005-0000-0000-00005A0B0000}"/>
    <cellStyle name="Normal 14 13 2" xfId="5084" xr:uid="{00000000-0005-0000-0000-00005B0B0000}"/>
    <cellStyle name="Normal 14 14" xfId="4170" xr:uid="{00000000-0005-0000-0000-00005C0B0000}"/>
    <cellStyle name="Normal 14 14 2" xfId="5085" xr:uid="{00000000-0005-0000-0000-00005D0B0000}"/>
    <cellStyle name="Normal 14 15" xfId="4171" xr:uid="{00000000-0005-0000-0000-00005E0B0000}"/>
    <cellStyle name="Normal 14 15 2" xfId="5086" xr:uid="{00000000-0005-0000-0000-00005F0B0000}"/>
    <cellStyle name="Normal 14 16" xfId="4165" xr:uid="{00000000-0005-0000-0000-0000600B0000}"/>
    <cellStyle name="Normal 14 2" xfId="2067" xr:uid="{00000000-0005-0000-0000-0000610B0000}"/>
    <cellStyle name="Normal 14 2 2" xfId="4173" xr:uid="{00000000-0005-0000-0000-0000620B0000}"/>
    <cellStyle name="Normal 14 2 3" xfId="4174" xr:uid="{00000000-0005-0000-0000-0000630B0000}"/>
    <cellStyle name="Normal 14 2 4" xfId="4175" xr:uid="{00000000-0005-0000-0000-0000640B0000}"/>
    <cellStyle name="Normal 14 2 5" xfId="4176" xr:uid="{00000000-0005-0000-0000-0000650B0000}"/>
    <cellStyle name="Normal 14 2 6" xfId="4177" xr:uid="{00000000-0005-0000-0000-0000660B0000}"/>
    <cellStyle name="Normal 14 2 7" xfId="4178" xr:uid="{00000000-0005-0000-0000-0000670B0000}"/>
    <cellStyle name="Normal 14 2 8" xfId="4172" xr:uid="{00000000-0005-0000-0000-0000680B0000}"/>
    <cellStyle name="Normal 14 2 8 2" xfId="5087" xr:uid="{00000000-0005-0000-0000-0000690B0000}"/>
    <cellStyle name="Normal 14 3" xfId="2066" xr:uid="{00000000-0005-0000-0000-00006A0B0000}"/>
    <cellStyle name="Normal 14 4" xfId="4179" xr:uid="{00000000-0005-0000-0000-00006B0B0000}"/>
    <cellStyle name="Normal 14 4 2" xfId="5088" xr:uid="{00000000-0005-0000-0000-00006C0B0000}"/>
    <cellStyle name="Normal 14 5" xfId="4180" xr:uid="{00000000-0005-0000-0000-00006D0B0000}"/>
    <cellStyle name="Normal 14 5 2" xfId="5089" xr:uid="{00000000-0005-0000-0000-00006E0B0000}"/>
    <cellStyle name="Normal 14 6" xfId="4181" xr:uid="{00000000-0005-0000-0000-00006F0B0000}"/>
    <cellStyle name="Normal 14 7" xfId="4182" xr:uid="{00000000-0005-0000-0000-0000700B0000}"/>
    <cellStyle name="Normal 14 8" xfId="4183" xr:uid="{00000000-0005-0000-0000-0000710B0000}"/>
    <cellStyle name="Normal 14 9" xfId="4184" xr:uid="{00000000-0005-0000-0000-0000720B0000}"/>
    <cellStyle name="Normal 15" xfId="2068" xr:uid="{00000000-0005-0000-0000-0000730B0000}"/>
    <cellStyle name="Normal 15 2" xfId="2069" xr:uid="{00000000-0005-0000-0000-0000740B0000}"/>
    <cellStyle name="Normal 15 2 2" xfId="4186" xr:uid="{00000000-0005-0000-0000-0000750B0000}"/>
    <cellStyle name="Normal 15 3" xfId="4187" xr:uid="{00000000-0005-0000-0000-0000760B0000}"/>
    <cellStyle name="Normal 15 4" xfId="4188" xr:uid="{00000000-0005-0000-0000-0000770B0000}"/>
    <cellStyle name="Normal 15 5" xfId="4189" xr:uid="{00000000-0005-0000-0000-0000780B0000}"/>
    <cellStyle name="Normal 15 6" xfId="4190" xr:uid="{00000000-0005-0000-0000-0000790B0000}"/>
    <cellStyle name="Normal 15 7" xfId="4185" xr:uid="{00000000-0005-0000-0000-00007A0B0000}"/>
    <cellStyle name="Normal 16" xfId="2070" xr:uid="{00000000-0005-0000-0000-00007B0B0000}"/>
    <cellStyle name="Normal 16 2" xfId="2071" xr:uid="{00000000-0005-0000-0000-00007C0B0000}"/>
    <cellStyle name="Normal 16 2 2" xfId="4192" xr:uid="{00000000-0005-0000-0000-00007D0B0000}"/>
    <cellStyle name="Normal 16 3" xfId="4193" xr:uid="{00000000-0005-0000-0000-00007E0B0000}"/>
    <cellStyle name="Normal 16 4" xfId="4194" xr:uid="{00000000-0005-0000-0000-00007F0B0000}"/>
    <cellStyle name="Normal 16 5" xfId="4195" xr:uid="{00000000-0005-0000-0000-0000800B0000}"/>
    <cellStyle name="Normal 16 6" xfId="4196" xr:uid="{00000000-0005-0000-0000-0000810B0000}"/>
    <cellStyle name="Normal 16 7" xfId="4191" xr:uid="{00000000-0005-0000-0000-0000820B0000}"/>
    <cellStyle name="Normal 16 7 2" xfId="5090" xr:uid="{00000000-0005-0000-0000-0000830B0000}"/>
    <cellStyle name="Normal 17" xfId="2072" xr:uid="{00000000-0005-0000-0000-0000840B0000}"/>
    <cellStyle name="Normal 17 10" xfId="4198" xr:uid="{00000000-0005-0000-0000-0000850B0000}"/>
    <cellStyle name="Normal 17 11" xfId="4199" xr:uid="{00000000-0005-0000-0000-0000860B0000}"/>
    <cellStyle name="Normal 17 12" xfId="4200" xr:uid="{00000000-0005-0000-0000-0000870B0000}"/>
    <cellStyle name="Normal 17 13" xfId="4201" xr:uid="{00000000-0005-0000-0000-0000880B0000}"/>
    <cellStyle name="Normal 17 14" xfId="4197" xr:uid="{00000000-0005-0000-0000-0000890B0000}"/>
    <cellStyle name="Normal 17 14 2" xfId="5091" xr:uid="{00000000-0005-0000-0000-00008A0B0000}"/>
    <cellStyle name="Normal 17 2" xfId="2073" xr:uid="{00000000-0005-0000-0000-00008B0B0000}"/>
    <cellStyle name="Normal 17 2 2" xfId="4202" xr:uid="{00000000-0005-0000-0000-00008C0B0000}"/>
    <cellStyle name="Normal 17 3" xfId="4203" xr:uid="{00000000-0005-0000-0000-00008D0B0000}"/>
    <cellStyle name="Normal 17 4" xfId="4204" xr:uid="{00000000-0005-0000-0000-00008E0B0000}"/>
    <cellStyle name="Normal 17 5" xfId="4205" xr:uid="{00000000-0005-0000-0000-00008F0B0000}"/>
    <cellStyle name="Normal 17 6" xfId="4206" xr:uid="{00000000-0005-0000-0000-0000900B0000}"/>
    <cellStyle name="Normal 17 7" xfId="4207" xr:uid="{00000000-0005-0000-0000-0000910B0000}"/>
    <cellStyle name="Normal 17 8" xfId="4208" xr:uid="{00000000-0005-0000-0000-0000920B0000}"/>
    <cellStyle name="Normal 17 9" xfId="4209" xr:uid="{00000000-0005-0000-0000-0000930B0000}"/>
    <cellStyle name="Normal 18" xfId="2074" xr:uid="{00000000-0005-0000-0000-0000940B0000}"/>
    <cellStyle name="Normal 18 2" xfId="2075" xr:uid="{00000000-0005-0000-0000-0000950B0000}"/>
    <cellStyle name="Normal 18 3" xfId="4210" xr:uid="{00000000-0005-0000-0000-0000960B0000}"/>
    <cellStyle name="Normal 18 3 2" xfId="5092" xr:uid="{00000000-0005-0000-0000-0000970B0000}"/>
    <cellStyle name="Normal 19" xfId="2076" xr:uid="{00000000-0005-0000-0000-0000980B0000}"/>
    <cellStyle name="Normal 19 2" xfId="5093" xr:uid="{00000000-0005-0000-0000-0000990B0000}"/>
    <cellStyle name="Normal 2" xfId="42" xr:uid="{00000000-0005-0000-0000-00009A0B0000}"/>
    <cellStyle name="Normal 2 10" xfId="315" xr:uid="{00000000-0005-0000-0000-00009B0B0000}"/>
    <cellStyle name="Normal 2 10 2" xfId="2078" xr:uid="{00000000-0005-0000-0000-00009C0B0000}"/>
    <cellStyle name="Normal 2 11" xfId="2079" xr:uid="{00000000-0005-0000-0000-00009D0B0000}"/>
    <cellStyle name="Normal 2 12" xfId="2080" xr:uid="{00000000-0005-0000-0000-00009E0B0000}"/>
    <cellStyle name="Normal 2 13" xfId="2081" xr:uid="{00000000-0005-0000-0000-00009F0B0000}"/>
    <cellStyle name="Normal 2 14" xfId="2082" xr:uid="{00000000-0005-0000-0000-0000A00B0000}"/>
    <cellStyle name="Normal 2 15" xfId="2083" xr:uid="{00000000-0005-0000-0000-0000A10B0000}"/>
    <cellStyle name="Normal 2 16" xfId="2084" xr:uid="{00000000-0005-0000-0000-0000A20B0000}"/>
    <cellStyle name="Normal 2 17" xfId="2085" xr:uid="{00000000-0005-0000-0000-0000A30B0000}"/>
    <cellStyle name="Normal 2 18" xfId="2086" xr:uid="{00000000-0005-0000-0000-0000A40B0000}"/>
    <cellStyle name="Normal 2 18 2" xfId="4211" xr:uid="{00000000-0005-0000-0000-0000A50B0000}"/>
    <cellStyle name="Normal 2 18 2 2" xfId="5094" xr:uid="{00000000-0005-0000-0000-0000A60B0000}"/>
    <cellStyle name="Normal 2 18 3" xfId="5095" xr:uid="{00000000-0005-0000-0000-0000A70B0000}"/>
    <cellStyle name="Normal 2 19" xfId="2087" xr:uid="{00000000-0005-0000-0000-0000A80B0000}"/>
    <cellStyle name="Normal 2 19 2" xfId="5096" xr:uid="{00000000-0005-0000-0000-0000A90B0000}"/>
    <cellStyle name="Normal 2 2" xfId="43" xr:uid="{00000000-0005-0000-0000-0000AA0B0000}"/>
    <cellStyle name="Normal 2 2 10" xfId="4213" xr:uid="{00000000-0005-0000-0000-0000AB0B0000}"/>
    <cellStyle name="Normal 2 2 10 2" xfId="5097" xr:uid="{00000000-0005-0000-0000-0000AC0B0000}"/>
    <cellStyle name="Normal 2 2 11" xfId="4214" xr:uid="{00000000-0005-0000-0000-0000AD0B0000}"/>
    <cellStyle name="Normal 2 2 11 2" xfId="5098" xr:uid="{00000000-0005-0000-0000-0000AE0B0000}"/>
    <cellStyle name="Normal 2 2 12" xfId="4215" xr:uid="{00000000-0005-0000-0000-0000AF0B0000}"/>
    <cellStyle name="Normal 2 2 12 2" xfId="5099" xr:uid="{00000000-0005-0000-0000-0000B00B0000}"/>
    <cellStyle name="Normal 2 2 13" xfId="4216" xr:uid="{00000000-0005-0000-0000-0000B10B0000}"/>
    <cellStyle name="Normal 2 2 13 2" xfId="5100" xr:uid="{00000000-0005-0000-0000-0000B20B0000}"/>
    <cellStyle name="Normal 2 2 14" xfId="4217" xr:uid="{00000000-0005-0000-0000-0000B30B0000}"/>
    <cellStyle name="Normal 2 2 15" xfId="4212" xr:uid="{00000000-0005-0000-0000-0000B40B0000}"/>
    <cellStyle name="Normal 2 2 16" xfId="185" xr:uid="{00000000-0005-0000-0000-0000B50B0000}"/>
    <cellStyle name="Normal 2 2 2" xfId="186" xr:uid="{00000000-0005-0000-0000-0000B60B0000}"/>
    <cellStyle name="Normal 2 2 2 2" xfId="187" xr:uid="{00000000-0005-0000-0000-0000B70B0000}"/>
    <cellStyle name="Normal 2 2 2 2 2" xfId="2089" xr:uid="{00000000-0005-0000-0000-0000B80B0000}"/>
    <cellStyle name="Normal 2 2 2 3" xfId="2090" xr:uid="{00000000-0005-0000-0000-0000B90B0000}"/>
    <cellStyle name="Normal 2 2 2 3 2" xfId="5101" xr:uid="{00000000-0005-0000-0000-0000BA0B0000}"/>
    <cellStyle name="Normal 2 2 2 4" xfId="2091" xr:uid="{00000000-0005-0000-0000-0000BB0B0000}"/>
    <cellStyle name="Normal 2 2 2 5" xfId="2088" xr:uid="{00000000-0005-0000-0000-0000BC0B0000}"/>
    <cellStyle name="Normal 2 2 2 6" xfId="4218" xr:uid="{00000000-0005-0000-0000-0000BD0B0000}"/>
    <cellStyle name="Normal 2 2 3" xfId="188" xr:uid="{00000000-0005-0000-0000-0000BE0B0000}"/>
    <cellStyle name="Normal 2 2 3 2" xfId="4219" xr:uid="{00000000-0005-0000-0000-0000BF0B0000}"/>
    <cellStyle name="Normal 2 2 3 2 2" xfId="5102" xr:uid="{00000000-0005-0000-0000-0000C00B0000}"/>
    <cellStyle name="Normal 2 2 4" xfId="189" xr:uid="{00000000-0005-0000-0000-0000C10B0000}"/>
    <cellStyle name="Normal 2 2 4 2" xfId="2092" xr:uid="{00000000-0005-0000-0000-0000C20B0000}"/>
    <cellStyle name="Normal 2 2 4 2 2" xfId="5103" xr:uid="{00000000-0005-0000-0000-0000C30B0000}"/>
    <cellStyle name="Normal 2 2 4 3" xfId="4220" xr:uid="{00000000-0005-0000-0000-0000C40B0000}"/>
    <cellStyle name="Normal 2 2 5" xfId="190" xr:uid="{00000000-0005-0000-0000-0000C50B0000}"/>
    <cellStyle name="Normal 2 2 5 2" xfId="2093" xr:uid="{00000000-0005-0000-0000-0000C60B0000}"/>
    <cellStyle name="Normal 2 2 5 2 2" xfId="5104" xr:uid="{00000000-0005-0000-0000-0000C70B0000}"/>
    <cellStyle name="Normal 2 2 5 3" xfId="4221" xr:uid="{00000000-0005-0000-0000-0000C80B0000}"/>
    <cellStyle name="Normal 2 2 6" xfId="2094" xr:uid="{00000000-0005-0000-0000-0000C90B0000}"/>
    <cellStyle name="Normal 2 2 6 2" xfId="4222" xr:uid="{00000000-0005-0000-0000-0000CA0B0000}"/>
    <cellStyle name="Normal 2 2 6 2 2" xfId="5106" xr:uid="{00000000-0005-0000-0000-0000CB0B0000}"/>
    <cellStyle name="Normal 2 2 6 3" xfId="5105" xr:uid="{00000000-0005-0000-0000-0000CC0B0000}"/>
    <cellStyle name="Normal 2 2 7" xfId="2095" xr:uid="{00000000-0005-0000-0000-0000CD0B0000}"/>
    <cellStyle name="Normal 2 2 7 2" xfId="4223" xr:uid="{00000000-0005-0000-0000-0000CE0B0000}"/>
    <cellStyle name="Normal 2 2 7 3" xfId="5107" xr:uid="{00000000-0005-0000-0000-0000CF0B0000}"/>
    <cellStyle name="Normal 2 2 8" xfId="2096" xr:uid="{00000000-0005-0000-0000-0000D00B0000}"/>
    <cellStyle name="Normal 2 2 8 2" xfId="4224" xr:uid="{00000000-0005-0000-0000-0000D10B0000}"/>
    <cellStyle name="Normal 2 2 8 3" xfId="5108" xr:uid="{00000000-0005-0000-0000-0000D20B0000}"/>
    <cellStyle name="Normal 2 2 9" xfId="4225" xr:uid="{00000000-0005-0000-0000-0000D30B0000}"/>
    <cellStyle name="Normal 2 2 9 2" xfId="5109" xr:uid="{00000000-0005-0000-0000-0000D40B0000}"/>
    <cellStyle name="Normal 2 2_ELC" xfId="2097" xr:uid="{00000000-0005-0000-0000-0000D50B0000}"/>
    <cellStyle name="Normal 2 20" xfId="2098" xr:uid="{00000000-0005-0000-0000-0000D60B0000}"/>
    <cellStyle name="Normal 2 21" xfId="2099" xr:uid="{00000000-0005-0000-0000-0000D70B0000}"/>
    <cellStyle name="Normal 2 22" xfId="2100" xr:uid="{00000000-0005-0000-0000-0000D80B0000}"/>
    <cellStyle name="Normal 2 23" xfId="2101" xr:uid="{00000000-0005-0000-0000-0000D90B0000}"/>
    <cellStyle name="Normal 2 24" xfId="2102" xr:uid="{00000000-0005-0000-0000-0000DA0B0000}"/>
    <cellStyle name="Normal 2 25" xfId="2103" xr:uid="{00000000-0005-0000-0000-0000DB0B0000}"/>
    <cellStyle name="Normal 2 26" xfId="2104" xr:uid="{00000000-0005-0000-0000-0000DC0B0000}"/>
    <cellStyle name="Normal 2 27" xfId="2105" xr:uid="{00000000-0005-0000-0000-0000DD0B0000}"/>
    <cellStyle name="Normal 2 28" xfId="2106" xr:uid="{00000000-0005-0000-0000-0000DE0B0000}"/>
    <cellStyle name="Normal 2 29" xfId="2107" xr:uid="{00000000-0005-0000-0000-0000DF0B0000}"/>
    <cellStyle name="Normal 2 3" xfId="191" xr:uid="{00000000-0005-0000-0000-0000E00B0000}"/>
    <cellStyle name="Normal 2 3 10" xfId="4226" xr:uid="{00000000-0005-0000-0000-0000E10B0000}"/>
    <cellStyle name="Normal 2 3 10 2" xfId="5110" xr:uid="{00000000-0005-0000-0000-0000E20B0000}"/>
    <cellStyle name="Normal 2 3 11" xfId="4227" xr:uid="{00000000-0005-0000-0000-0000E30B0000}"/>
    <cellStyle name="Normal 2 3 11 2" xfId="5111" xr:uid="{00000000-0005-0000-0000-0000E40B0000}"/>
    <cellStyle name="Normal 2 3 12" xfId="4228" xr:uid="{00000000-0005-0000-0000-0000E50B0000}"/>
    <cellStyle name="Normal 2 3 12 2" xfId="5112" xr:uid="{00000000-0005-0000-0000-0000E60B0000}"/>
    <cellStyle name="Normal 2 3 13" xfId="4229" xr:uid="{00000000-0005-0000-0000-0000E70B0000}"/>
    <cellStyle name="Normal 2 3 13 2" xfId="5113" xr:uid="{00000000-0005-0000-0000-0000E80B0000}"/>
    <cellStyle name="Normal 2 3 14" xfId="4230" xr:uid="{00000000-0005-0000-0000-0000E90B0000}"/>
    <cellStyle name="Normal 2 3 2" xfId="192" xr:uid="{00000000-0005-0000-0000-0000EA0B0000}"/>
    <cellStyle name="Normal 2 3 2 2" xfId="356" xr:uid="{00000000-0005-0000-0000-0000EB0B0000}"/>
    <cellStyle name="Normal 2 3 2 2 2" xfId="2109" xr:uid="{00000000-0005-0000-0000-0000EC0B0000}"/>
    <cellStyle name="Normal 2 3 2 2 3" xfId="4232" xr:uid="{00000000-0005-0000-0000-0000ED0B0000}"/>
    <cellStyle name="Normal 2 3 2 2 4" xfId="5115" xr:uid="{00000000-0005-0000-0000-0000EE0B0000}"/>
    <cellStyle name="Normal 2 3 2 3" xfId="355" xr:uid="{00000000-0005-0000-0000-0000EF0B0000}"/>
    <cellStyle name="Normal 2 3 2 4" xfId="2108" xr:uid="{00000000-0005-0000-0000-0000F00B0000}"/>
    <cellStyle name="Normal 2 3 2 5" xfId="4231" xr:uid="{00000000-0005-0000-0000-0000F10B0000}"/>
    <cellStyle name="Normal 2 3 2 6" xfId="5114" xr:uid="{00000000-0005-0000-0000-0000F20B0000}"/>
    <cellStyle name="Normal 2 3 3" xfId="193" xr:uid="{00000000-0005-0000-0000-0000F30B0000}"/>
    <cellStyle name="Normal 2 3 3 2" xfId="4233" xr:uid="{00000000-0005-0000-0000-0000F40B0000}"/>
    <cellStyle name="Normal 2 3 3 2 2" xfId="5116" xr:uid="{00000000-0005-0000-0000-0000F50B0000}"/>
    <cellStyle name="Normal 2 3 4" xfId="194" xr:uid="{00000000-0005-0000-0000-0000F60B0000}"/>
    <cellStyle name="Normal 2 3 4 2" xfId="357" xr:uid="{00000000-0005-0000-0000-0000F70B0000}"/>
    <cellStyle name="Normal 2 3 4 2 2" xfId="4235" xr:uid="{00000000-0005-0000-0000-0000F80B0000}"/>
    <cellStyle name="Normal 2 3 4 3" xfId="2110" xr:uid="{00000000-0005-0000-0000-0000F90B0000}"/>
    <cellStyle name="Normal 2 3 4 4" xfId="4234" xr:uid="{00000000-0005-0000-0000-0000FA0B0000}"/>
    <cellStyle name="Normal 2 3 4 5" xfId="5117" xr:uid="{00000000-0005-0000-0000-0000FB0B0000}"/>
    <cellStyle name="Normal 2 3 5" xfId="358" xr:uid="{00000000-0005-0000-0000-0000FC0B0000}"/>
    <cellStyle name="Normal 2 3 5 2" xfId="2111" xr:uid="{00000000-0005-0000-0000-0000FD0B0000}"/>
    <cellStyle name="Normal 2 3 5 3" xfId="4236" xr:uid="{00000000-0005-0000-0000-0000FE0B0000}"/>
    <cellStyle name="Normal 2 3 5 4" xfId="5118" xr:uid="{00000000-0005-0000-0000-0000FF0B0000}"/>
    <cellStyle name="Normal 2 3 6" xfId="354" xr:uid="{00000000-0005-0000-0000-0000000C0000}"/>
    <cellStyle name="Normal 2 3 6 2" xfId="2112" xr:uid="{00000000-0005-0000-0000-0000010C0000}"/>
    <cellStyle name="Normal 2 3 6 2 2" xfId="5119" xr:uid="{00000000-0005-0000-0000-0000020C0000}"/>
    <cellStyle name="Normal 2 3 6 3" xfId="4237" xr:uid="{00000000-0005-0000-0000-0000030C0000}"/>
    <cellStyle name="Normal 2 3 7" xfId="4238" xr:uid="{00000000-0005-0000-0000-0000040C0000}"/>
    <cellStyle name="Normal 2 3 7 2" xfId="5120" xr:uid="{00000000-0005-0000-0000-0000050C0000}"/>
    <cellStyle name="Normal 2 3 8" xfId="4239" xr:uid="{00000000-0005-0000-0000-0000060C0000}"/>
    <cellStyle name="Normal 2 3 8 2" xfId="5121" xr:uid="{00000000-0005-0000-0000-0000070C0000}"/>
    <cellStyle name="Normal 2 3 9" xfId="4240" xr:uid="{00000000-0005-0000-0000-0000080C0000}"/>
    <cellStyle name="Normal 2 3 9 2" xfId="5122" xr:uid="{00000000-0005-0000-0000-0000090C0000}"/>
    <cellStyle name="Normal 2 30" xfId="2113" xr:uid="{00000000-0005-0000-0000-00000A0C0000}"/>
    <cellStyle name="Normal 2 31" xfId="2114" xr:uid="{00000000-0005-0000-0000-00000B0C0000}"/>
    <cellStyle name="Normal 2 32" xfId="2115" xr:uid="{00000000-0005-0000-0000-00000C0C0000}"/>
    <cellStyle name="Normal 2 33" xfId="2116" xr:uid="{00000000-0005-0000-0000-00000D0C0000}"/>
    <cellStyle name="Normal 2 34" xfId="2117" xr:uid="{00000000-0005-0000-0000-00000E0C0000}"/>
    <cellStyle name="Normal 2 35" xfId="2118" xr:uid="{00000000-0005-0000-0000-00000F0C0000}"/>
    <cellStyle name="Normal 2 36" xfId="2119" xr:uid="{00000000-0005-0000-0000-0000100C0000}"/>
    <cellStyle name="Normal 2 37" xfId="2120" xr:uid="{00000000-0005-0000-0000-0000110C0000}"/>
    <cellStyle name="Normal 2 38" xfId="2121" xr:uid="{00000000-0005-0000-0000-0000120C0000}"/>
    <cellStyle name="Normal 2 39" xfId="2122" xr:uid="{00000000-0005-0000-0000-0000130C0000}"/>
    <cellStyle name="Normal 2 4" xfId="195" xr:uid="{00000000-0005-0000-0000-0000140C0000}"/>
    <cellStyle name="Normal 2 4 10" xfId="4241" xr:uid="{00000000-0005-0000-0000-0000150C0000}"/>
    <cellStyle name="Normal 2 4 10 2" xfId="5123" xr:uid="{00000000-0005-0000-0000-0000160C0000}"/>
    <cellStyle name="Normal 2 4 11" xfId="4242" xr:uid="{00000000-0005-0000-0000-0000170C0000}"/>
    <cellStyle name="Normal 2 4 11 2" xfId="5124" xr:uid="{00000000-0005-0000-0000-0000180C0000}"/>
    <cellStyle name="Normal 2 4 12" xfId="4243" xr:uid="{00000000-0005-0000-0000-0000190C0000}"/>
    <cellStyle name="Normal 2 4 12 2" xfId="5125" xr:uid="{00000000-0005-0000-0000-00001A0C0000}"/>
    <cellStyle name="Normal 2 4 13" xfId="4244" xr:uid="{00000000-0005-0000-0000-00001B0C0000}"/>
    <cellStyle name="Normal 2 4 13 2" xfId="5126" xr:uid="{00000000-0005-0000-0000-00001C0C0000}"/>
    <cellStyle name="Normal 2 4 2" xfId="196" xr:uid="{00000000-0005-0000-0000-00001D0C0000}"/>
    <cellStyle name="Normal 2 4 2 2" xfId="4245" xr:uid="{00000000-0005-0000-0000-00001E0C0000}"/>
    <cellStyle name="Normal 2 4 2 2 2" xfId="5127" xr:uid="{00000000-0005-0000-0000-00001F0C0000}"/>
    <cellStyle name="Normal 2 4 3" xfId="197" xr:uid="{00000000-0005-0000-0000-0000200C0000}"/>
    <cellStyle name="Normal 2 4 3 2" xfId="4246" xr:uid="{00000000-0005-0000-0000-0000210C0000}"/>
    <cellStyle name="Normal 2 4 3 2 2" xfId="5128" xr:uid="{00000000-0005-0000-0000-0000220C0000}"/>
    <cellStyle name="Normal 2 4 4" xfId="2123" xr:uid="{00000000-0005-0000-0000-0000230C0000}"/>
    <cellStyle name="Normal 2 4 4 2" xfId="4247" xr:uid="{00000000-0005-0000-0000-0000240C0000}"/>
    <cellStyle name="Normal 2 4 4 2 2" xfId="5129" xr:uid="{00000000-0005-0000-0000-0000250C0000}"/>
    <cellStyle name="Normal 2 4 5" xfId="2124" xr:uid="{00000000-0005-0000-0000-0000260C0000}"/>
    <cellStyle name="Normal 2 4 5 2" xfId="4248" xr:uid="{00000000-0005-0000-0000-0000270C0000}"/>
    <cellStyle name="Normal 2 4 5 3" xfId="5130" xr:uid="{00000000-0005-0000-0000-0000280C0000}"/>
    <cellStyle name="Normal 2 4 6" xfId="4249" xr:uid="{00000000-0005-0000-0000-0000290C0000}"/>
    <cellStyle name="Normal 2 4 6 2" xfId="5131" xr:uid="{00000000-0005-0000-0000-00002A0C0000}"/>
    <cellStyle name="Normal 2 4 7" xfId="4250" xr:uid="{00000000-0005-0000-0000-00002B0C0000}"/>
    <cellStyle name="Normal 2 4 7 2" xfId="5132" xr:uid="{00000000-0005-0000-0000-00002C0C0000}"/>
    <cellStyle name="Normal 2 4 8" xfId="4251" xr:uid="{00000000-0005-0000-0000-00002D0C0000}"/>
    <cellStyle name="Normal 2 4 8 2" xfId="5133" xr:uid="{00000000-0005-0000-0000-00002E0C0000}"/>
    <cellStyle name="Normal 2 4 9" xfId="4252" xr:uid="{00000000-0005-0000-0000-00002F0C0000}"/>
    <cellStyle name="Normal 2 4 9 2" xfId="5134" xr:uid="{00000000-0005-0000-0000-0000300C0000}"/>
    <cellStyle name="Normal 2 40" xfId="2125" xr:uid="{00000000-0005-0000-0000-0000310C0000}"/>
    <cellStyle name="Normal 2 41" xfId="2126" xr:uid="{00000000-0005-0000-0000-0000320C0000}"/>
    <cellStyle name="Normal 2 42" xfId="2127" xr:uid="{00000000-0005-0000-0000-0000330C0000}"/>
    <cellStyle name="Normal 2 43" xfId="2128" xr:uid="{00000000-0005-0000-0000-0000340C0000}"/>
    <cellStyle name="Normal 2 44" xfId="2129" xr:uid="{00000000-0005-0000-0000-0000350C0000}"/>
    <cellStyle name="Normal 2 45" xfId="2130" xr:uid="{00000000-0005-0000-0000-0000360C0000}"/>
    <cellStyle name="Normal 2 45 2" xfId="5135" xr:uid="{00000000-0005-0000-0000-0000370C0000}"/>
    <cellStyle name="Normal 2 46" xfId="2077" xr:uid="{00000000-0005-0000-0000-0000380C0000}"/>
    <cellStyle name="Normal 2 47" xfId="55" xr:uid="{00000000-0005-0000-0000-0000390C0000}"/>
    <cellStyle name="Normal 2 5" xfId="198" xr:uid="{00000000-0005-0000-0000-00003A0C0000}"/>
    <cellStyle name="Normal 2 5 10" xfId="2131" xr:uid="{00000000-0005-0000-0000-00003B0C0000}"/>
    <cellStyle name="Normal 2 5 11" xfId="2132" xr:uid="{00000000-0005-0000-0000-00003C0C0000}"/>
    <cellStyle name="Normal 2 5 12" xfId="2133" xr:uid="{00000000-0005-0000-0000-00003D0C0000}"/>
    <cellStyle name="Normal 2 5 13" xfId="2134" xr:uid="{00000000-0005-0000-0000-00003E0C0000}"/>
    <cellStyle name="Normal 2 5 14" xfId="2135" xr:uid="{00000000-0005-0000-0000-00003F0C0000}"/>
    <cellStyle name="Normal 2 5 15" xfId="2136" xr:uid="{00000000-0005-0000-0000-0000400C0000}"/>
    <cellStyle name="Normal 2 5 16" xfId="2137" xr:uid="{00000000-0005-0000-0000-0000410C0000}"/>
    <cellStyle name="Normal 2 5 2" xfId="199" xr:uid="{00000000-0005-0000-0000-0000420C0000}"/>
    <cellStyle name="Normal 2 5 2 2" xfId="359" xr:uid="{00000000-0005-0000-0000-0000430C0000}"/>
    <cellStyle name="Normal 2 5 2 2 2" xfId="2139" xr:uid="{00000000-0005-0000-0000-0000440C0000}"/>
    <cellStyle name="Normal 2 5 2 3" xfId="2138" xr:uid="{00000000-0005-0000-0000-0000450C0000}"/>
    <cellStyle name="Normal 2 5 2 4" xfId="4253" xr:uid="{00000000-0005-0000-0000-0000460C0000}"/>
    <cellStyle name="Normal 2 5 2 5" xfId="5136" xr:uid="{00000000-0005-0000-0000-0000470C0000}"/>
    <cellStyle name="Normal 2 5 3" xfId="2140" xr:uid="{00000000-0005-0000-0000-0000480C0000}"/>
    <cellStyle name="Normal 2 5 4" xfId="2141" xr:uid="{00000000-0005-0000-0000-0000490C0000}"/>
    <cellStyle name="Normal 2 5 5" xfId="2142" xr:uid="{00000000-0005-0000-0000-00004A0C0000}"/>
    <cellStyle name="Normal 2 5 6" xfId="2143" xr:uid="{00000000-0005-0000-0000-00004B0C0000}"/>
    <cellStyle name="Normal 2 5 7" xfId="2144" xr:uid="{00000000-0005-0000-0000-00004C0C0000}"/>
    <cellStyle name="Normal 2 5 8" xfId="2145" xr:uid="{00000000-0005-0000-0000-00004D0C0000}"/>
    <cellStyle name="Normal 2 5 9" xfId="2146" xr:uid="{00000000-0005-0000-0000-00004E0C0000}"/>
    <cellStyle name="Normal 2 6" xfId="200" xr:uid="{00000000-0005-0000-0000-00004F0C0000}"/>
    <cellStyle name="Normal 2 6 10" xfId="2148" xr:uid="{00000000-0005-0000-0000-0000500C0000}"/>
    <cellStyle name="Normal 2 6 11" xfId="2149" xr:uid="{00000000-0005-0000-0000-0000510C0000}"/>
    <cellStyle name="Normal 2 6 12" xfId="2150" xr:uid="{00000000-0005-0000-0000-0000520C0000}"/>
    <cellStyle name="Normal 2 6 13" xfId="2151" xr:uid="{00000000-0005-0000-0000-0000530C0000}"/>
    <cellStyle name="Normal 2 6 14" xfId="2152" xr:uid="{00000000-0005-0000-0000-0000540C0000}"/>
    <cellStyle name="Normal 2 6 15" xfId="2153" xr:uid="{00000000-0005-0000-0000-0000550C0000}"/>
    <cellStyle name="Normal 2 6 16" xfId="2154" xr:uid="{00000000-0005-0000-0000-0000560C0000}"/>
    <cellStyle name="Normal 2 6 17" xfId="2147" xr:uid="{00000000-0005-0000-0000-0000570C0000}"/>
    <cellStyle name="Normal 2 6 18" xfId="5137" xr:uid="{00000000-0005-0000-0000-0000580C0000}"/>
    <cellStyle name="Normal 2 6 2" xfId="361" xr:uid="{00000000-0005-0000-0000-0000590C0000}"/>
    <cellStyle name="Normal 2 6 2 2" xfId="2156" xr:uid="{00000000-0005-0000-0000-00005A0C0000}"/>
    <cellStyle name="Normal 2 6 2 3" xfId="2155" xr:uid="{00000000-0005-0000-0000-00005B0C0000}"/>
    <cellStyle name="Normal 2 6 2 4" xfId="4254" xr:uid="{00000000-0005-0000-0000-00005C0C0000}"/>
    <cellStyle name="Normal 2 6 2 5" xfId="5138" xr:uid="{00000000-0005-0000-0000-00005D0C0000}"/>
    <cellStyle name="Normal 2 6 3" xfId="360" xr:uid="{00000000-0005-0000-0000-00005E0C0000}"/>
    <cellStyle name="Normal 2 6 3 2" xfId="2157" xr:uid="{00000000-0005-0000-0000-00005F0C0000}"/>
    <cellStyle name="Normal 2 6 4" xfId="2158" xr:uid="{00000000-0005-0000-0000-0000600C0000}"/>
    <cellStyle name="Normal 2 6 5" xfId="2159" xr:uid="{00000000-0005-0000-0000-0000610C0000}"/>
    <cellStyle name="Normal 2 6 6" xfId="2160" xr:uid="{00000000-0005-0000-0000-0000620C0000}"/>
    <cellStyle name="Normal 2 6 7" xfId="2161" xr:uid="{00000000-0005-0000-0000-0000630C0000}"/>
    <cellStyle name="Normal 2 6 8" xfId="2162" xr:uid="{00000000-0005-0000-0000-0000640C0000}"/>
    <cellStyle name="Normal 2 6 9" xfId="2163" xr:uid="{00000000-0005-0000-0000-0000650C0000}"/>
    <cellStyle name="Normal 2 7" xfId="201" xr:uid="{00000000-0005-0000-0000-0000660C0000}"/>
    <cellStyle name="Normal 2 7 2" xfId="4255" xr:uid="{00000000-0005-0000-0000-0000670C0000}"/>
    <cellStyle name="Normal 2 8" xfId="202" xr:uid="{00000000-0005-0000-0000-0000680C0000}"/>
    <cellStyle name="Normal 2 8 2" xfId="203" xr:uid="{00000000-0005-0000-0000-0000690C0000}"/>
    <cellStyle name="Normal 2 8 3" xfId="204" xr:uid="{00000000-0005-0000-0000-00006A0C0000}"/>
    <cellStyle name="Normal 2 8 4" xfId="362" xr:uid="{00000000-0005-0000-0000-00006B0C0000}"/>
    <cellStyle name="Normal 2 8 4 2" xfId="2164" xr:uid="{00000000-0005-0000-0000-00006C0C0000}"/>
    <cellStyle name="Normal 2 9" xfId="313" xr:uid="{00000000-0005-0000-0000-00006D0C0000}"/>
    <cellStyle name="Normal 2 9 2" xfId="363" xr:uid="{00000000-0005-0000-0000-00006E0C0000}"/>
    <cellStyle name="Normal 2 9 2 2" xfId="2166" xr:uid="{00000000-0005-0000-0000-00006F0C0000}"/>
    <cellStyle name="Normal 2 9 3" xfId="2165" xr:uid="{00000000-0005-0000-0000-0000700C0000}"/>
    <cellStyle name="Normal 2 9 4" xfId="5139" xr:uid="{00000000-0005-0000-0000-0000710C0000}"/>
    <cellStyle name="Normal 2_ELC" xfId="5140" xr:uid="{00000000-0005-0000-0000-0000720C0000}"/>
    <cellStyle name="Normal 20" xfId="2167" xr:uid="{00000000-0005-0000-0000-0000730C0000}"/>
    <cellStyle name="Normal 20 2" xfId="2168" xr:uid="{00000000-0005-0000-0000-0000740C0000}"/>
    <cellStyle name="Normal 20 3" xfId="4256" xr:uid="{00000000-0005-0000-0000-0000750C0000}"/>
    <cellStyle name="Normal 21" xfId="2169" xr:uid="{00000000-0005-0000-0000-0000760C0000}"/>
    <cellStyle name="Normal 21 2" xfId="2170" xr:uid="{00000000-0005-0000-0000-0000770C0000}"/>
    <cellStyle name="Normal 21 2 2" xfId="5141" xr:uid="{00000000-0005-0000-0000-0000780C0000}"/>
    <cellStyle name="Normal 21 3" xfId="4257" xr:uid="{00000000-0005-0000-0000-0000790C0000}"/>
    <cellStyle name="Normal 21_Scen_XBase" xfId="2171" xr:uid="{00000000-0005-0000-0000-00007A0C0000}"/>
    <cellStyle name="Normal 22" xfId="2172" xr:uid="{00000000-0005-0000-0000-00007B0C0000}"/>
    <cellStyle name="Normal 22 2" xfId="5142" xr:uid="{00000000-0005-0000-0000-00007C0C0000}"/>
    <cellStyle name="Normal 23" xfId="2173" xr:uid="{00000000-0005-0000-0000-00007D0C0000}"/>
    <cellStyle name="Normal 23 2" xfId="2174" xr:uid="{00000000-0005-0000-0000-00007E0C0000}"/>
    <cellStyle name="Normal 23 3" xfId="2175" xr:uid="{00000000-0005-0000-0000-00007F0C0000}"/>
    <cellStyle name="Normal 24" xfId="2176" xr:uid="{00000000-0005-0000-0000-0000800C0000}"/>
    <cellStyle name="Normal 24 10" xfId="2177" xr:uid="{00000000-0005-0000-0000-0000810C0000}"/>
    <cellStyle name="Normal 24 11" xfId="2178" xr:uid="{00000000-0005-0000-0000-0000820C0000}"/>
    <cellStyle name="Normal 24 12" xfId="2179" xr:uid="{00000000-0005-0000-0000-0000830C0000}"/>
    <cellStyle name="Normal 24 13" xfId="2180" xr:uid="{00000000-0005-0000-0000-0000840C0000}"/>
    <cellStyle name="Normal 24 14" xfId="2181" xr:uid="{00000000-0005-0000-0000-0000850C0000}"/>
    <cellStyle name="Normal 24 15" xfId="2182" xr:uid="{00000000-0005-0000-0000-0000860C0000}"/>
    <cellStyle name="Normal 24 16" xfId="2183" xr:uid="{00000000-0005-0000-0000-0000870C0000}"/>
    <cellStyle name="Normal 24 17" xfId="2184" xr:uid="{00000000-0005-0000-0000-0000880C0000}"/>
    <cellStyle name="Normal 24 18" xfId="2185" xr:uid="{00000000-0005-0000-0000-0000890C0000}"/>
    <cellStyle name="Normal 24 19" xfId="2186" xr:uid="{00000000-0005-0000-0000-00008A0C0000}"/>
    <cellStyle name="Normal 24 2" xfId="2187" xr:uid="{00000000-0005-0000-0000-00008B0C0000}"/>
    <cellStyle name="Normal 24 20" xfId="2188" xr:uid="{00000000-0005-0000-0000-00008C0C0000}"/>
    <cellStyle name="Normal 24 21" xfId="5143" xr:uid="{00000000-0005-0000-0000-00008D0C0000}"/>
    <cellStyle name="Normal 24 22" xfId="5144" xr:uid="{00000000-0005-0000-0000-00008E0C0000}"/>
    <cellStyle name="Normal 24 3" xfId="2189" xr:uid="{00000000-0005-0000-0000-00008F0C0000}"/>
    <cellStyle name="Normal 24 4" xfId="2190" xr:uid="{00000000-0005-0000-0000-0000900C0000}"/>
    <cellStyle name="Normal 24 5" xfId="2191" xr:uid="{00000000-0005-0000-0000-0000910C0000}"/>
    <cellStyle name="Normal 24 6" xfId="2192" xr:uid="{00000000-0005-0000-0000-0000920C0000}"/>
    <cellStyle name="Normal 24 7" xfId="2193" xr:uid="{00000000-0005-0000-0000-0000930C0000}"/>
    <cellStyle name="Normal 24 8" xfId="2194" xr:uid="{00000000-0005-0000-0000-0000940C0000}"/>
    <cellStyle name="Normal 24 9" xfId="2195" xr:uid="{00000000-0005-0000-0000-0000950C0000}"/>
    <cellStyle name="Normal 25" xfId="2196" xr:uid="{00000000-0005-0000-0000-0000960C0000}"/>
    <cellStyle name="Normal 25 2" xfId="5146" xr:uid="{00000000-0005-0000-0000-0000970C0000}"/>
    <cellStyle name="Normal 25 3" xfId="5147" xr:uid="{00000000-0005-0000-0000-0000980C0000}"/>
    <cellStyle name="Normal 25 4" xfId="5145" xr:uid="{00000000-0005-0000-0000-0000990C0000}"/>
    <cellStyle name="Normal 26" xfId="2197" xr:uid="{00000000-0005-0000-0000-00009A0C0000}"/>
    <cellStyle name="Normal 26 2" xfId="2198" xr:uid="{00000000-0005-0000-0000-00009B0C0000}"/>
    <cellStyle name="Normal 27" xfId="2199" xr:uid="{00000000-0005-0000-0000-00009C0C0000}"/>
    <cellStyle name="Normal 27 2" xfId="2200" xr:uid="{00000000-0005-0000-0000-00009D0C0000}"/>
    <cellStyle name="Normal 28" xfId="2201" xr:uid="{00000000-0005-0000-0000-00009E0C0000}"/>
    <cellStyle name="Normal 29" xfId="2202" xr:uid="{00000000-0005-0000-0000-00009F0C0000}"/>
    <cellStyle name="Normal 3" xfId="44" xr:uid="{00000000-0005-0000-0000-0000A00C0000}"/>
    <cellStyle name="Normal 3 10" xfId="2203" xr:uid="{00000000-0005-0000-0000-0000A10C0000}"/>
    <cellStyle name="Normal 3 11" xfId="2204" xr:uid="{00000000-0005-0000-0000-0000A20C0000}"/>
    <cellStyle name="Normal 3 12" xfId="2205" xr:uid="{00000000-0005-0000-0000-0000A30C0000}"/>
    <cellStyle name="Normal 3 13" xfId="2206" xr:uid="{00000000-0005-0000-0000-0000A40C0000}"/>
    <cellStyle name="Normal 3 14" xfId="2207" xr:uid="{00000000-0005-0000-0000-0000A50C0000}"/>
    <cellStyle name="Normal 3 15" xfId="2208" xr:uid="{00000000-0005-0000-0000-0000A60C0000}"/>
    <cellStyle name="Normal 3 16" xfId="2209" xr:uid="{00000000-0005-0000-0000-0000A70C0000}"/>
    <cellStyle name="Normal 3 17" xfId="2210" xr:uid="{00000000-0005-0000-0000-0000A80C0000}"/>
    <cellStyle name="Normal 3 18" xfId="2211" xr:uid="{00000000-0005-0000-0000-0000A90C0000}"/>
    <cellStyle name="Normal 3 19" xfId="2212" xr:uid="{00000000-0005-0000-0000-0000AA0C0000}"/>
    <cellStyle name="Normal 3 2" xfId="205" xr:uid="{00000000-0005-0000-0000-0000AB0C0000}"/>
    <cellStyle name="Normal 3 2 10" xfId="4259" xr:uid="{00000000-0005-0000-0000-0000AC0C0000}"/>
    <cellStyle name="Normal 3 2 11" xfId="4258" xr:uid="{00000000-0005-0000-0000-0000AD0C0000}"/>
    <cellStyle name="Normal 3 2 2" xfId="206" xr:uid="{00000000-0005-0000-0000-0000AE0C0000}"/>
    <cellStyle name="Normal 3 2 2 2" xfId="2214" xr:uid="{00000000-0005-0000-0000-0000AF0C0000}"/>
    <cellStyle name="Normal 3 2 2 2 2" xfId="5148" xr:uid="{00000000-0005-0000-0000-0000B00C0000}"/>
    <cellStyle name="Normal 3 2 2 3" xfId="2215" xr:uid="{00000000-0005-0000-0000-0000B10C0000}"/>
    <cellStyle name="Normal 3 2 2 4" xfId="2213" xr:uid="{00000000-0005-0000-0000-0000B20C0000}"/>
    <cellStyle name="Normal 3 2 3" xfId="2216" xr:uid="{00000000-0005-0000-0000-0000B30C0000}"/>
    <cellStyle name="Normal 3 2 3 2" xfId="4260" xr:uid="{00000000-0005-0000-0000-0000B40C0000}"/>
    <cellStyle name="Normal 3 2 3 3" xfId="5149" xr:uid="{00000000-0005-0000-0000-0000B50C0000}"/>
    <cellStyle name="Normal 3 2 4" xfId="2217" xr:uid="{00000000-0005-0000-0000-0000B60C0000}"/>
    <cellStyle name="Normal 3 2 4 2" xfId="4261" xr:uid="{00000000-0005-0000-0000-0000B70C0000}"/>
    <cellStyle name="Normal 3 2 5" xfId="4262" xr:uid="{00000000-0005-0000-0000-0000B80C0000}"/>
    <cellStyle name="Normal 3 2 6" xfId="4263" xr:uid="{00000000-0005-0000-0000-0000B90C0000}"/>
    <cellStyle name="Normal 3 2 7" xfId="4264" xr:uid="{00000000-0005-0000-0000-0000BA0C0000}"/>
    <cellStyle name="Normal 3 2 8" xfId="4265" xr:uid="{00000000-0005-0000-0000-0000BB0C0000}"/>
    <cellStyle name="Normal 3 2 9" xfId="4266" xr:uid="{00000000-0005-0000-0000-0000BC0C0000}"/>
    <cellStyle name="Normal 3 2 9 2" xfId="4267" xr:uid="{00000000-0005-0000-0000-0000BD0C0000}"/>
    <cellStyle name="Normal 3 2 9 2 2" xfId="5150" xr:uid="{00000000-0005-0000-0000-0000BE0C0000}"/>
    <cellStyle name="Normal 3 2_ELC" xfId="2218" xr:uid="{00000000-0005-0000-0000-0000BF0C0000}"/>
    <cellStyle name="Normal 3 20" xfId="2219" xr:uid="{00000000-0005-0000-0000-0000C00C0000}"/>
    <cellStyle name="Normal 3 21" xfId="2220" xr:uid="{00000000-0005-0000-0000-0000C10C0000}"/>
    <cellStyle name="Normal 3 22" xfId="2221" xr:uid="{00000000-0005-0000-0000-0000C20C0000}"/>
    <cellStyle name="Normal 3 23" xfId="2222" xr:uid="{00000000-0005-0000-0000-0000C30C0000}"/>
    <cellStyle name="Normal 3 24" xfId="2223" xr:uid="{00000000-0005-0000-0000-0000C40C0000}"/>
    <cellStyle name="Normal 3 25" xfId="2224" xr:uid="{00000000-0005-0000-0000-0000C50C0000}"/>
    <cellStyle name="Normal 3 26" xfId="2225" xr:uid="{00000000-0005-0000-0000-0000C60C0000}"/>
    <cellStyle name="Normal 3 27" xfId="2226" xr:uid="{00000000-0005-0000-0000-0000C70C0000}"/>
    <cellStyle name="Normal 3 28" xfId="2227" xr:uid="{00000000-0005-0000-0000-0000C80C0000}"/>
    <cellStyle name="Normal 3 29" xfId="2228" xr:uid="{00000000-0005-0000-0000-0000C90C0000}"/>
    <cellStyle name="Normal 3 29 2" xfId="5151" xr:uid="{00000000-0005-0000-0000-0000CA0C0000}"/>
    <cellStyle name="Normal 3 3" xfId="207" xr:uid="{00000000-0005-0000-0000-0000CB0C0000}"/>
    <cellStyle name="Normal 3 3 2" xfId="208" xr:uid="{00000000-0005-0000-0000-0000CC0C0000}"/>
    <cellStyle name="Normal 3 3 2 2" xfId="4268" xr:uid="{00000000-0005-0000-0000-0000CD0C0000}"/>
    <cellStyle name="Normal 3 3 3" xfId="4269" xr:uid="{00000000-0005-0000-0000-0000CE0C0000}"/>
    <cellStyle name="Normal 3 3 4" xfId="4270" xr:uid="{00000000-0005-0000-0000-0000CF0C0000}"/>
    <cellStyle name="Normal 3 3 5" xfId="4271" xr:uid="{00000000-0005-0000-0000-0000D00C0000}"/>
    <cellStyle name="Normal 3 3 6" xfId="4272" xr:uid="{00000000-0005-0000-0000-0000D10C0000}"/>
    <cellStyle name="Normal 3 3 7" xfId="4273" xr:uid="{00000000-0005-0000-0000-0000D20C0000}"/>
    <cellStyle name="Normal 3 3 8" xfId="4274" xr:uid="{00000000-0005-0000-0000-0000D30C0000}"/>
    <cellStyle name="Normal 3 3 9" xfId="4275" xr:uid="{00000000-0005-0000-0000-0000D40C0000}"/>
    <cellStyle name="Normal 3 30" xfId="5152" xr:uid="{00000000-0005-0000-0000-0000D50C0000}"/>
    <cellStyle name="Normal 3 30 2" xfId="5153" xr:uid="{00000000-0005-0000-0000-0000D60C0000}"/>
    <cellStyle name="Normal 3 31" xfId="5154" xr:uid="{00000000-0005-0000-0000-0000D70C0000}"/>
    <cellStyle name="Normal 3 31 2" xfId="5155" xr:uid="{00000000-0005-0000-0000-0000D80C0000}"/>
    <cellStyle name="Normal 3 32" xfId="5156" xr:uid="{00000000-0005-0000-0000-0000D90C0000}"/>
    <cellStyle name="Normal 3 33" xfId="5157" xr:uid="{00000000-0005-0000-0000-0000DA0C0000}"/>
    <cellStyle name="Normal 3 34" xfId="5158" xr:uid="{00000000-0005-0000-0000-0000DB0C0000}"/>
    <cellStyle name="Normal 3 35" xfId="5159" xr:uid="{00000000-0005-0000-0000-0000DC0C0000}"/>
    <cellStyle name="Normal 3 36" xfId="5160" xr:uid="{00000000-0005-0000-0000-0000DD0C0000}"/>
    <cellStyle name="Normal 3 37" xfId="57" xr:uid="{00000000-0005-0000-0000-0000DE0C0000}"/>
    <cellStyle name="Normal 3 4" xfId="209" xr:uid="{00000000-0005-0000-0000-0000DF0C0000}"/>
    <cellStyle name="Normal 3 4 2" xfId="210" xr:uid="{00000000-0005-0000-0000-0000E00C0000}"/>
    <cellStyle name="Normal 3 4 3" xfId="211" xr:uid="{00000000-0005-0000-0000-0000E10C0000}"/>
    <cellStyle name="Normal 3 4 4" xfId="364" xr:uid="{00000000-0005-0000-0000-0000E20C0000}"/>
    <cellStyle name="Normal 3 4 4 2" xfId="2229" xr:uid="{00000000-0005-0000-0000-0000E30C0000}"/>
    <cellStyle name="Normal 3 4 4 2 2" xfId="5161" xr:uid="{00000000-0005-0000-0000-0000E40C0000}"/>
    <cellStyle name="Normal 3 4 4 3" xfId="4276" xr:uid="{00000000-0005-0000-0000-0000E50C0000}"/>
    <cellStyle name="Normal 3 4 5" xfId="4277" xr:uid="{00000000-0005-0000-0000-0000E60C0000}"/>
    <cellStyle name="Normal 3 4 6" xfId="4278" xr:uid="{00000000-0005-0000-0000-0000E70C0000}"/>
    <cellStyle name="Normal 3 4 7" xfId="4279" xr:uid="{00000000-0005-0000-0000-0000E80C0000}"/>
    <cellStyle name="Normal 3 4 8" xfId="4280" xr:uid="{00000000-0005-0000-0000-0000E90C0000}"/>
    <cellStyle name="Normal 3 5" xfId="212" xr:uid="{00000000-0005-0000-0000-0000EA0C0000}"/>
    <cellStyle name="Normal 3 5 2" xfId="2231" xr:uid="{00000000-0005-0000-0000-0000EB0C0000}"/>
    <cellStyle name="Normal 3 5 3" xfId="2232" xr:uid="{00000000-0005-0000-0000-0000EC0C0000}"/>
    <cellStyle name="Normal 3 5 3 2" xfId="4281" xr:uid="{00000000-0005-0000-0000-0000ED0C0000}"/>
    <cellStyle name="Normal 3 5 4" xfId="2230" xr:uid="{00000000-0005-0000-0000-0000EE0C0000}"/>
    <cellStyle name="Normal 3 5 4 2" xfId="4282" xr:uid="{00000000-0005-0000-0000-0000EF0C0000}"/>
    <cellStyle name="Normal 3 5 5" xfId="4283" xr:uid="{00000000-0005-0000-0000-0000F00C0000}"/>
    <cellStyle name="Normal 3 5 6" xfId="4284" xr:uid="{00000000-0005-0000-0000-0000F10C0000}"/>
    <cellStyle name="Normal 3 5 7" xfId="4285" xr:uid="{00000000-0005-0000-0000-0000F20C0000}"/>
    <cellStyle name="Normal 3 5 8" xfId="4286" xr:uid="{00000000-0005-0000-0000-0000F30C0000}"/>
    <cellStyle name="Normal 3 6" xfId="213" xr:uid="{00000000-0005-0000-0000-0000F40C0000}"/>
    <cellStyle name="Normal 3 6 2" xfId="2234" xr:uid="{00000000-0005-0000-0000-0000F50C0000}"/>
    <cellStyle name="Normal 3 6 3" xfId="2233" xr:uid="{00000000-0005-0000-0000-0000F60C0000}"/>
    <cellStyle name="Normal 3 7" xfId="2235" xr:uid="{00000000-0005-0000-0000-0000F70C0000}"/>
    <cellStyle name="Normal 3 7 2" xfId="2236" xr:uid="{00000000-0005-0000-0000-0000F80C0000}"/>
    <cellStyle name="Normal 3 7 3" xfId="5163" xr:uid="{00000000-0005-0000-0000-0000F90C0000}"/>
    <cellStyle name="Normal 3 7 4" xfId="5162" xr:uid="{00000000-0005-0000-0000-0000FA0C0000}"/>
    <cellStyle name="Normal 3 8" xfId="2237" xr:uid="{00000000-0005-0000-0000-0000FB0C0000}"/>
    <cellStyle name="Normal 3 9" xfId="2238" xr:uid="{00000000-0005-0000-0000-0000FC0C0000}"/>
    <cellStyle name="Normal 3_PrimaryEnergyPrices_TIMES" xfId="5164" xr:uid="{00000000-0005-0000-0000-0000FD0C0000}"/>
    <cellStyle name="Normal 30" xfId="2239" xr:uid="{00000000-0005-0000-0000-0000FE0C0000}"/>
    <cellStyle name="Normal 31" xfId="2240" xr:uid="{00000000-0005-0000-0000-0000FF0C0000}"/>
    <cellStyle name="Normal 31 2" xfId="2241" xr:uid="{00000000-0005-0000-0000-0000000D0000}"/>
    <cellStyle name="Normal 31 3" xfId="5166" xr:uid="{00000000-0005-0000-0000-0000010D0000}"/>
    <cellStyle name="Normal 31 4" xfId="5167" xr:uid="{00000000-0005-0000-0000-0000020D0000}"/>
    <cellStyle name="Normal 31 5" xfId="5168" xr:uid="{00000000-0005-0000-0000-0000030D0000}"/>
    <cellStyle name="Normal 31 6" xfId="5165" xr:uid="{00000000-0005-0000-0000-0000040D0000}"/>
    <cellStyle name="Normal 32" xfId="2242" xr:uid="{00000000-0005-0000-0000-0000050D0000}"/>
    <cellStyle name="Normal 32 2" xfId="2243" xr:uid="{00000000-0005-0000-0000-0000060D0000}"/>
    <cellStyle name="Normal 33" xfId="2244" xr:uid="{00000000-0005-0000-0000-0000070D0000}"/>
    <cellStyle name="Normal 33 10" xfId="2245" xr:uid="{00000000-0005-0000-0000-0000080D0000}"/>
    <cellStyle name="Normal 33 11" xfId="2246" xr:uid="{00000000-0005-0000-0000-0000090D0000}"/>
    <cellStyle name="Normal 33 12" xfId="2247" xr:uid="{00000000-0005-0000-0000-00000A0D0000}"/>
    <cellStyle name="Normal 33 13" xfId="2248" xr:uid="{00000000-0005-0000-0000-00000B0D0000}"/>
    <cellStyle name="Normal 33 2" xfId="2249" xr:uid="{00000000-0005-0000-0000-00000C0D0000}"/>
    <cellStyle name="Normal 33 3" xfId="2250" xr:uid="{00000000-0005-0000-0000-00000D0D0000}"/>
    <cellStyle name="Normal 33 4" xfId="2251" xr:uid="{00000000-0005-0000-0000-00000E0D0000}"/>
    <cellStyle name="Normal 33 5" xfId="2252" xr:uid="{00000000-0005-0000-0000-00000F0D0000}"/>
    <cellStyle name="Normal 33 6" xfId="2253" xr:uid="{00000000-0005-0000-0000-0000100D0000}"/>
    <cellStyle name="Normal 33 7" xfId="2254" xr:uid="{00000000-0005-0000-0000-0000110D0000}"/>
    <cellStyle name="Normal 33 8" xfId="2255" xr:uid="{00000000-0005-0000-0000-0000120D0000}"/>
    <cellStyle name="Normal 33 9" xfId="2256" xr:uid="{00000000-0005-0000-0000-0000130D0000}"/>
    <cellStyle name="Normal 33_Scen_XBase" xfId="2257" xr:uid="{00000000-0005-0000-0000-0000140D0000}"/>
    <cellStyle name="Normal 34" xfId="2258" xr:uid="{00000000-0005-0000-0000-0000150D0000}"/>
    <cellStyle name="Normal 34 2" xfId="5169" xr:uid="{00000000-0005-0000-0000-0000160D0000}"/>
    <cellStyle name="Normal 35" xfId="5170" xr:uid="{00000000-0005-0000-0000-0000170D0000}"/>
    <cellStyle name="Normal 36" xfId="5171" xr:uid="{00000000-0005-0000-0000-0000180D0000}"/>
    <cellStyle name="Normal 37" xfId="5172" xr:uid="{00000000-0005-0000-0000-0000190D0000}"/>
    <cellStyle name="Normal 38" xfId="4828" xr:uid="{00000000-0005-0000-0000-00001A0D0000}"/>
    <cellStyle name="Normal 39" xfId="51" xr:uid="{00000000-0005-0000-0000-00001B0D0000}"/>
    <cellStyle name="Normal 39 2" xfId="22490" xr:uid="{00000000-0005-0000-0000-00001C0D0000}"/>
    <cellStyle name="Normal 4" xfId="49" xr:uid="{00000000-0005-0000-0000-00001D0D0000}"/>
    <cellStyle name="Normal 4 10" xfId="2260" xr:uid="{00000000-0005-0000-0000-00001E0D0000}"/>
    <cellStyle name="Normal 4 10 2" xfId="4287" xr:uid="{00000000-0005-0000-0000-00001F0D0000}"/>
    <cellStyle name="Normal 4 11" xfId="2259" xr:uid="{00000000-0005-0000-0000-0000200D0000}"/>
    <cellStyle name="Normal 4 11 2" xfId="4288" xr:uid="{00000000-0005-0000-0000-0000210D0000}"/>
    <cellStyle name="Normal 4 12" xfId="4289" xr:uid="{00000000-0005-0000-0000-0000220D0000}"/>
    <cellStyle name="Normal 4 13" xfId="5173" xr:uid="{00000000-0005-0000-0000-0000230D0000}"/>
    <cellStyle name="Normal 4 13 2" xfId="5174" xr:uid="{00000000-0005-0000-0000-0000240D0000}"/>
    <cellStyle name="Normal 4 13 2 2" xfId="5175" xr:uid="{00000000-0005-0000-0000-0000250D0000}"/>
    <cellStyle name="Normal 4 13 2 3" xfId="5176" xr:uid="{00000000-0005-0000-0000-0000260D0000}"/>
    <cellStyle name="Normal 4 13 2 3 2" xfId="5177" xr:uid="{00000000-0005-0000-0000-0000270D0000}"/>
    <cellStyle name="Normal 4 13 2 3 3" xfId="5178" xr:uid="{00000000-0005-0000-0000-0000280D0000}"/>
    <cellStyle name="Normal 4 13 2 4" xfId="5179" xr:uid="{00000000-0005-0000-0000-0000290D0000}"/>
    <cellStyle name="Normal 4 13 2 5" xfId="5180" xr:uid="{00000000-0005-0000-0000-00002A0D0000}"/>
    <cellStyle name="Normal 4 14" xfId="214" xr:uid="{00000000-0005-0000-0000-00002B0D0000}"/>
    <cellStyle name="Normal 4 2" xfId="215" xr:uid="{00000000-0005-0000-0000-00002C0D0000}"/>
    <cellStyle name="Normal 4 2 10" xfId="4290" xr:uid="{00000000-0005-0000-0000-00002D0D0000}"/>
    <cellStyle name="Normal 4 2 2" xfId="2262" xr:uid="{00000000-0005-0000-0000-00002E0D0000}"/>
    <cellStyle name="Normal 4 2 2 10" xfId="4291" xr:uid="{00000000-0005-0000-0000-00002F0D0000}"/>
    <cellStyle name="Normal 4 2 2 10 2" xfId="5181" xr:uid="{00000000-0005-0000-0000-0000300D0000}"/>
    <cellStyle name="Normal 4 2 2 11" xfId="4292" xr:uid="{00000000-0005-0000-0000-0000310D0000}"/>
    <cellStyle name="Normal 4 2 2 11 2" xfId="5182" xr:uid="{00000000-0005-0000-0000-0000320D0000}"/>
    <cellStyle name="Normal 4 2 2 12" xfId="4293" xr:uid="{00000000-0005-0000-0000-0000330D0000}"/>
    <cellStyle name="Normal 4 2 2 12 2" xfId="5183" xr:uid="{00000000-0005-0000-0000-0000340D0000}"/>
    <cellStyle name="Normal 4 2 2 13" xfId="4294" xr:uid="{00000000-0005-0000-0000-0000350D0000}"/>
    <cellStyle name="Normal 4 2 2 13 2" xfId="5184" xr:uid="{00000000-0005-0000-0000-0000360D0000}"/>
    <cellStyle name="Normal 4 2 2 2" xfId="2263" xr:uid="{00000000-0005-0000-0000-0000370D0000}"/>
    <cellStyle name="Normal 4 2 2 2 10" xfId="4296" xr:uid="{00000000-0005-0000-0000-0000380D0000}"/>
    <cellStyle name="Normal 4 2 2 2 11" xfId="4297" xr:uid="{00000000-0005-0000-0000-0000390D0000}"/>
    <cellStyle name="Normal 4 2 2 2 12" xfId="4298" xr:uid="{00000000-0005-0000-0000-00003A0D0000}"/>
    <cellStyle name="Normal 4 2 2 2 13" xfId="4299" xr:uid="{00000000-0005-0000-0000-00003B0D0000}"/>
    <cellStyle name="Normal 4 2 2 2 14" xfId="4295" xr:uid="{00000000-0005-0000-0000-00003C0D0000}"/>
    <cellStyle name="Normal 4 2 2 2 15" xfId="5185" xr:uid="{00000000-0005-0000-0000-00003D0D0000}"/>
    <cellStyle name="Normal 4 2 2 2 2" xfId="4300" xr:uid="{00000000-0005-0000-0000-00003E0D0000}"/>
    <cellStyle name="Normal 4 2 2 2 3" xfId="4301" xr:uid="{00000000-0005-0000-0000-00003F0D0000}"/>
    <cellStyle name="Normal 4 2 2 2 4" xfId="4302" xr:uid="{00000000-0005-0000-0000-0000400D0000}"/>
    <cellStyle name="Normal 4 2 2 2 5" xfId="4303" xr:uid="{00000000-0005-0000-0000-0000410D0000}"/>
    <cellStyle name="Normal 4 2 2 2 6" xfId="4304" xr:uid="{00000000-0005-0000-0000-0000420D0000}"/>
    <cellStyle name="Normal 4 2 2 2 7" xfId="4305" xr:uid="{00000000-0005-0000-0000-0000430D0000}"/>
    <cellStyle name="Normal 4 2 2 2 8" xfId="4306" xr:uid="{00000000-0005-0000-0000-0000440D0000}"/>
    <cellStyle name="Normal 4 2 2 2 9" xfId="4307" xr:uid="{00000000-0005-0000-0000-0000450D0000}"/>
    <cellStyle name="Normal 4 2 2 3" xfId="4308" xr:uid="{00000000-0005-0000-0000-0000460D0000}"/>
    <cellStyle name="Normal 4 2 2 3 2" xfId="5186" xr:uid="{00000000-0005-0000-0000-0000470D0000}"/>
    <cellStyle name="Normal 4 2 2 4" xfId="4309" xr:uid="{00000000-0005-0000-0000-0000480D0000}"/>
    <cellStyle name="Normal 4 2 2 4 2" xfId="5187" xr:uid="{00000000-0005-0000-0000-0000490D0000}"/>
    <cellStyle name="Normal 4 2 2 5" xfId="4310" xr:uid="{00000000-0005-0000-0000-00004A0D0000}"/>
    <cellStyle name="Normal 4 2 2 5 2" xfId="5188" xr:uid="{00000000-0005-0000-0000-00004B0D0000}"/>
    <cellStyle name="Normal 4 2 2 6" xfId="4311" xr:uid="{00000000-0005-0000-0000-00004C0D0000}"/>
    <cellStyle name="Normal 4 2 2 6 2" xfId="5189" xr:uid="{00000000-0005-0000-0000-00004D0D0000}"/>
    <cellStyle name="Normal 4 2 2 7" xfId="4312" xr:uid="{00000000-0005-0000-0000-00004E0D0000}"/>
    <cellStyle name="Normal 4 2 2 7 2" xfId="5190" xr:uid="{00000000-0005-0000-0000-00004F0D0000}"/>
    <cellStyle name="Normal 4 2 2 8" xfId="4313" xr:uid="{00000000-0005-0000-0000-0000500D0000}"/>
    <cellStyle name="Normal 4 2 2 8 2" xfId="5191" xr:uid="{00000000-0005-0000-0000-0000510D0000}"/>
    <cellStyle name="Normal 4 2 2 9" xfId="4314" xr:uid="{00000000-0005-0000-0000-0000520D0000}"/>
    <cellStyle name="Normal 4 2 2 9 2" xfId="5192" xr:uid="{00000000-0005-0000-0000-0000530D0000}"/>
    <cellStyle name="Normal 4 2 3" xfId="2264" xr:uid="{00000000-0005-0000-0000-0000540D0000}"/>
    <cellStyle name="Normal 4 2 3 2" xfId="2265" xr:uid="{00000000-0005-0000-0000-0000550D0000}"/>
    <cellStyle name="Normal 4 2 3 2 2" xfId="5194" xr:uid="{00000000-0005-0000-0000-0000560D0000}"/>
    <cellStyle name="Normal 4 2 3 3" xfId="4315" xr:uid="{00000000-0005-0000-0000-0000570D0000}"/>
    <cellStyle name="Normal 4 2 3 4" xfId="5193" xr:uid="{00000000-0005-0000-0000-0000580D0000}"/>
    <cellStyle name="Normal 4 2 4" xfId="2261" xr:uid="{00000000-0005-0000-0000-0000590D0000}"/>
    <cellStyle name="Normal 4 2 5" xfId="4316" xr:uid="{00000000-0005-0000-0000-00005A0D0000}"/>
    <cellStyle name="Normal 4 2 6" xfId="4317" xr:uid="{00000000-0005-0000-0000-00005B0D0000}"/>
    <cellStyle name="Normal 4 2 7" xfId="4318" xr:uid="{00000000-0005-0000-0000-00005C0D0000}"/>
    <cellStyle name="Normal 4 2 8" xfId="4319" xr:uid="{00000000-0005-0000-0000-00005D0D0000}"/>
    <cellStyle name="Normal 4 2 9" xfId="4320" xr:uid="{00000000-0005-0000-0000-00005E0D0000}"/>
    <cellStyle name="Normal 4 2_Scen_XBase" xfId="2266" xr:uid="{00000000-0005-0000-0000-00005F0D0000}"/>
    <cellStyle name="Normal 4 3" xfId="216" xr:uid="{00000000-0005-0000-0000-0000600D0000}"/>
    <cellStyle name="Normal 4 3 2" xfId="217" xr:uid="{00000000-0005-0000-0000-0000610D0000}"/>
    <cellStyle name="Normal 4 3 2 2" xfId="2268" xr:uid="{00000000-0005-0000-0000-0000620D0000}"/>
    <cellStyle name="Normal 4 3 3" xfId="367" xr:uid="{00000000-0005-0000-0000-0000630D0000}"/>
    <cellStyle name="Normal 4 3 3 2" xfId="2269" xr:uid="{00000000-0005-0000-0000-0000640D0000}"/>
    <cellStyle name="Normal 4 3 3 2 2" xfId="5197" xr:uid="{00000000-0005-0000-0000-0000650D0000}"/>
    <cellStyle name="Normal 4 3 3 3" xfId="4321" xr:uid="{00000000-0005-0000-0000-0000660D0000}"/>
    <cellStyle name="Normal 4 3 3 4" xfId="5196" xr:uid="{00000000-0005-0000-0000-0000670D0000}"/>
    <cellStyle name="Normal 4 3 4" xfId="366" xr:uid="{00000000-0005-0000-0000-0000680D0000}"/>
    <cellStyle name="Normal 4 3 4 2" xfId="2270" xr:uid="{00000000-0005-0000-0000-0000690D0000}"/>
    <cellStyle name="Normal 4 3 4 2 2" xfId="5198" xr:uid="{00000000-0005-0000-0000-00006A0D0000}"/>
    <cellStyle name="Normal 4 3 4 3" xfId="4322" xr:uid="{00000000-0005-0000-0000-00006B0D0000}"/>
    <cellStyle name="Normal 4 3 5" xfId="2271" xr:uid="{00000000-0005-0000-0000-00006C0D0000}"/>
    <cellStyle name="Normal 4 3 5 2" xfId="4323" xr:uid="{00000000-0005-0000-0000-00006D0D0000}"/>
    <cellStyle name="Normal 4 3 6" xfId="2267" xr:uid="{00000000-0005-0000-0000-00006E0D0000}"/>
    <cellStyle name="Normal 4 3 7" xfId="4324" xr:uid="{00000000-0005-0000-0000-00006F0D0000}"/>
    <cellStyle name="Normal 4 3 8" xfId="4325" xr:uid="{00000000-0005-0000-0000-0000700D0000}"/>
    <cellStyle name="Normal 4 3 9" xfId="5195" xr:uid="{00000000-0005-0000-0000-0000710D0000}"/>
    <cellStyle name="Normal 4 3_Scen_XBase" xfId="2272" xr:uid="{00000000-0005-0000-0000-0000720D0000}"/>
    <cellStyle name="Normal 4 4" xfId="218" xr:uid="{00000000-0005-0000-0000-0000730D0000}"/>
    <cellStyle name="Normal 4 4 2" xfId="2274" xr:uid="{00000000-0005-0000-0000-0000740D0000}"/>
    <cellStyle name="Normal 4 4 3" xfId="2275" xr:uid="{00000000-0005-0000-0000-0000750D0000}"/>
    <cellStyle name="Normal 4 4 3 2" xfId="4326" xr:uid="{00000000-0005-0000-0000-0000760D0000}"/>
    <cellStyle name="Normal 4 4 4" xfId="2273" xr:uid="{00000000-0005-0000-0000-0000770D0000}"/>
    <cellStyle name="Normal 4 4 5" xfId="4327" xr:uid="{00000000-0005-0000-0000-0000780D0000}"/>
    <cellStyle name="Normal 4 4 6" xfId="4328" xr:uid="{00000000-0005-0000-0000-0000790D0000}"/>
    <cellStyle name="Normal 4 4 7" xfId="4329" xr:uid="{00000000-0005-0000-0000-00007A0D0000}"/>
    <cellStyle name="Normal 4 4 8" xfId="4330" xr:uid="{00000000-0005-0000-0000-00007B0D0000}"/>
    <cellStyle name="Normal 4 5" xfId="219" xr:uid="{00000000-0005-0000-0000-00007C0D0000}"/>
    <cellStyle name="Normal 4 5 2" xfId="368" xr:uid="{00000000-0005-0000-0000-00007D0D0000}"/>
    <cellStyle name="Normal 4 5 2 2" xfId="2277" xr:uid="{00000000-0005-0000-0000-00007E0D0000}"/>
    <cellStyle name="Normal 4 5 3" xfId="2276" xr:uid="{00000000-0005-0000-0000-00007F0D0000}"/>
    <cellStyle name="Normal 4 5 3 2" xfId="4331" xr:uid="{00000000-0005-0000-0000-0000800D0000}"/>
    <cellStyle name="Normal 4 5 4" xfId="4332" xr:uid="{00000000-0005-0000-0000-0000810D0000}"/>
    <cellStyle name="Normal 4 5 5" xfId="4333" xr:uid="{00000000-0005-0000-0000-0000820D0000}"/>
    <cellStyle name="Normal 4 5 6" xfId="4334" xr:uid="{00000000-0005-0000-0000-0000830D0000}"/>
    <cellStyle name="Normal 4 5 7" xfId="4335" xr:uid="{00000000-0005-0000-0000-0000840D0000}"/>
    <cellStyle name="Normal 4 5 8" xfId="4336" xr:uid="{00000000-0005-0000-0000-0000850D0000}"/>
    <cellStyle name="Normal 4 5 9" xfId="5199" xr:uid="{00000000-0005-0000-0000-0000860D0000}"/>
    <cellStyle name="Normal 4 6" xfId="220" xr:uid="{00000000-0005-0000-0000-0000870D0000}"/>
    <cellStyle name="Normal 4 6 2" xfId="369" xr:uid="{00000000-0005-0000-0000-0000880D0000}"/>
    <cellStyle name="Normal 4 6 2 2" xfId="2279" xr:uid="{00000000-0005-0000-0000-0000890D0000}"/>
    <cellStyle name="Normal 4 6 3" xfId="2280" xr:uid="{00000000-0005-0000-0000-00008A0D0000}"/>
    <cellStyle name="Normal 4 6 4" xfId="2278" xr:uid="{00000000-0005-0000-0000-00008B0D0000}"/>
    <cellStyle name="Normal 4 6 5" xfId="5200" xr:uid="{00000000-0005-0000-0000-00008C0D0000}"/>
    <cellStyle name="Normal 4 7" xfId="370" xr:uid="{00000000-0005-0000-0000-00008D0D0000}"/>
    <cellStyle name="Normal 4 7 2" xfId="2281" xr:uid="{00000000-0005-0000-0000-00008E0D0000}"/>
    <cellStyle name="Normal 4 7 2 2" xfId="5202" xr:uid="{00000000-0005-0000-0000-00008F0D0000}"/>
    <cellStyle name="Normal 4 7 3" xfId="4337" xr:uid="{00000000-0005-0000-0000-0000900D0000}"/>
    <cellStyle name="Normal 4 7 4" xfId="5201" xr:uid="{00000000-0005-0000-0000-0000910D0000}"/>
    <cellStyle name="Normal 4 8" xfId="365" xr:uid="{00000000-0005-0000-0000-0000920D0000}"/>
    <cellStyle name="Normal 4 8 2" xfId="2282" xr:uid="{00000000-0005-0000-0000-0000930D0000}"/>
    <cellStyle name="Normal 4 8 2 2" xfId="5204" xr:uid="{00000000-0005-0000-0000-0000940D0000}"/>
    <cellStyle name="Normal 4 8 3" xfId="4338" xr:uid="{00000000-0005-0000-0000-0000950D0000}"/>
    <cellStyle name="Normal 4 8 4" xfId="5203" xr:uid="{00000000-0005-0000-0000-0000960D0000}"/>
    <cellStyle name="Normal 4 9" xfId="2283" xr:uid="{00000000-0005-0000-0000-0000970D0000}"/>
    <cellStyle name="Normal 4 9 2" xfId="4339" xr:uid="{00000000-0005-0000-0000-0000980D0000}"/>
    <cellStyle name="Normal 4 9 3" xfId="5205" xr:uid="{00000000-0005-0000-0000-0000990D0000}"/>
    <cellStyle name="Normal 4_ELC" xfId="5206" xr:uid="{00000000-0005-0000-0000-00009A0D0000}"/>
    <cellStyle name="Normal 40" xfId="2284" xr:uid="{00000000-0005-0000-0000-00009B0D0000}"/>
    <cellStyle name="Normal 5" xfId="221" xr:uid="{00000000-0005-0000-0000-00009C0D0000}"/>
    <cellStyle name="Normal 5 10" xfId="2286" xr:uid="{00000000-0005-0000-0000-00009D0D0000}"/>
    <cellStyle name="Normal 5 10 2" xfId="4340" xr:uid="{00000000-0005-0000-0000-00009E0D0000}"/>
    <cellStyle name="Normal 5 11" xfId="2287" xr:uid="{00000000-0005-0000-0000-00009F0D0000}"/>
    <cellStyle name="Normal 5 11 2" xfId="4341" xr:uid="{00000000-0005-0000-0000-0000A00D0000}"/>
    <cellStyle name="Normal 5 12" xfId="2288" xr:uid="{00000000-0005-0000-0000-0000A10D0000}"/>
    <cellStyle name="Normal 5 12 2" xfId="4342" xr:uid="{00000000-0005-0000-0000-0000A20D0000}"/>
    <cellStyle name="Normal 5 13" xfId="2285" xr:uid="{00000000-0005-0000-0000-0000A30D0000}"/>
    <cellStyle name="Normal 5 13 2" xfId="5207" xr:uid="{00000000-0005-0000-0000-0000A40D0000}"/>
    <cellStyle name="Normal 5 14" xfId="5208" xr:uid="{00000000-0005-0000-0000-0000A50D0000}"/>
    <cellStyle name="Normal 5 2" xfId="222" xr:uid="{00000000-0005-0000-0000-0000A60D0000}"/>
    <cellStyle name="Normal 5 2 10" xfId="5209" xr:uid="{00000000-0005-0000-0000-0000A70D0000}"/>
    <cellStyle name="Normal 5 2 2" xfId="223" xr:uid="{00000000-0005-0000-0000-0000A80D0000}"/>
    <cellStyle name="Normal 5 2 2 10" xfId="4344" xr:uid="{00000000-0005-0000-0000-0000A90D0000}"/>
    <cellStyle name="Normal 5 2 2 10 2" xfId="5210" xr:uid="{00000000-0005-0000-0000-0000AA0D0000}"/>
    <cellStyle name="Normal 5 2 2 11" xfId="4345" xr:uid="{00000000-0005-0000-0000-0000AB0D0000}"/>
    <cellStyle name="Normal 5 2 2 11 2" xfId="5211" xr:uid="{00000000-0005-0000-0000-0000AC0D0000}"/>
    <cellStyle name="Normal 5 2 2 12" xfId="4346" xr:uid="{00000000-0005-0000-0000-0000AD0D0000}"/>
    <cellStyle name="Normal 5 2 2 12 2" xfId="5212" xr:uid="{00000000-0005-0000-0000-0000AE0D0000}"/>
    <cellStyle name="Normal 5 2 2 13" xfId="4347" xr:uid="{00000000-0005-0000-0000-0000AF0D0000}"/>
    <cellStyle name="Normal 5 2 2 13 2" xfId="5213" xr:uid="{00000000-0005-0000-0000-0000B00D0000}"/>
    <cellStyle name="Normal 5 2 2 14" xfId="4343" xr:uid="{00000000-0005-0000-0000-0000B10D0000}"/>
    <cellStyle name="Normal 5 2 2 2" xfId="2290" xr:uid="{00000000-0005-0000-0000-0000B20D0000}"/>
    <cellStyle name="Normal 5 2 2 2 10" xfId="4349" xr:uid="{00000000-0005-0000-0000-0000B30D0000}"/>
    <cellStyle name="Normal 5 2 2 2 11" xfId="4350" xr:uid="{00000000-0005-0000-0000-0000B40D0000}"/>
    <cellStyle name="Normal 5 2 2 2 12" xfId="4351" xr:uid="{00000000-0005-0000-0000-0000B50D0000}"/>
    <cellStyle name="Normal 5 2 2 2 13" xfId="4352" xr:uid="{00000000-0005-0000-0000-0000B60D0000}"/>
    <cellStyle name="Normal 5 2 2 2 14" xfId="4348" xr:uid="{00000000-0005-0000-0000-0000B70D0000}"/>
    <cellStyle name="Normal 5 2 2 2 15" xfId="5214" xr:uid="{00000000-0005-0000-0000-0000B80D0000}"/>
    <cellStyle name="Normal 5 2 2 2 2" xfId="4353" xr:uid="{00000000-0005-0000-0000-0000B90D0000}"/>
    <cellStyle name="Normal 5 2 2 2 3" xfId="4354" xr:uid="{00000000-0005-0000-0000-0000BA0D0000}"/>
    <cellStyle name="Normal 5 2 2 2 4" xfId="4355" xr:uid="{00000000-0005-0000-0000-0000BB0D0000}"/>
    <cellStyle name="Normal 5 2 2 2 5" xfId="4356" xr:uid="{00000000-0005-0000-0000-0000BC0D0000}"/>
    <cellStyle name="Normal 5 2 2 2 6" xfId="4357" xr:uid="{00000000-0005-0000-0000-0000BD0D0000}"/>
    <cellStyle name="Normal 5 2 2 2 7" xfId="4358" xr:uid="{00000000-0005-0000-0000-0000BE0D0000}"/>
    <cellStyle name="Normal 5 2 2 2 8" xfId="4359" xr:uid="{00000000-0005-0000-0000-0000BF0D0000}"/>
    <cellStyle name="Normal 5 2 2 2 9" xfId="4360" xr:uid="{00000000-0005-0000-0000-0000C00D0000}"/>
    <cellStyle name="Normal 5 2 2 3" xfId="2289" xr:uid="{00000000-0005-0000-0000-0000C10D0000}"/>
    <cellStyle name="Normal 5 2 2 3 2" xfId="4361" xr:uid="{00000000-0005-0000-0000-0000C20D0000}"/>
    <cellStyle name="Normal 5 2 2 3 3" xfId="5215" xr:uid="{00000000-0005-0000-0000-0000C30D0000}"/>
    <cellStyle name="Normal 5 2 2 4" xfId="4362" xr:uid="{00000000-0005-0000-0000-0000C40D0000}"/>
    <cellStyle name="Normal 5 2 2 4 2" xfId="5216" xr:uid="{00000000-0005-0000-0000-0000C50D0000}"/>
    <cellStyle name="Normal 5 2 2 5" xfId="4363" xr:uid="{00000000-0005-0000-0000-0000C60D0000}"/>
    <cellStyle name="Normal 5 2 2 5 2" xfId="5217" xr:uid="{00000000-0005-0000-0000-0000C70D0000}"/>
    <cellStyle name="Normal 5 2 2 6" xfId="4364" xr:uid="{00000000-0005-0000-0000-0000C80D0000}"/>
    <cellStyle name="Normal 5 2 2 6 2" xfId="5218" xr:uid="{00000000-0005-0000-0000-0000C90D0000}"/>
    <cellStyle name="Normal 5 2 2 7" xfId="4365" xr:uid="{00000000-0005-0000-0000-0000CA0D0000}"/>
    <cellStyle name="Normal 5 2 2 7 2" xfId="5219" xr:uid="{00000000-0005-0000-0000-0000CB0D0000}"/>
    <cellStyle name="Normal 5 2 2 8" xfId="4366" xr:uid="{00000000-0005-0000-0000-0000CC0D0000}"/>
    <cellStyle name="Normal 5 2 2 8 2" xfId="5220" xr:uid="{00000000-0005-0000-0000-0000CD0D0000}"/>
    <cellStyle name="Normal 5 2 2 9" xfId="4367" xr:uid="{00000000-0005-0000-0000-0000CE0D0000}"/>
    <cellStyle name="Normal 5 2 2 9 2" xfId="5221" xr:uid="{00000000-0005-0000-0000-0000CF0D0000}"/>
    <cellStyle name="Normal 5 2 3" xfId="2291" xr:uid="{00000000-0005-0000-0000-0000D00D0000}"/>
    <cellStyle name="Normal 5 2 3 2" xfId="4368" xr:uid="{00000000-0005-0000-0000-0000D10D0000}"/>
    <cellStyle name="Normal 5 2 3 3" xfId="5222" xr:uid="{00000000-0005-0000-0000-0000D20D0000}"/>
    <cellStyle name="Normal 5 2 4" xfId="4369" xr:uid="{00000000-0005-0000-0000-0000D30D0000}"/>
    <cellStyle name="Normal 5 2 5" xfId="4370" xr:uid="{00000000-0005-0000-0000-0000D40D0000}"/>
    <cellStyle name="Normal 5 2 6" xfId="4371" xr:uid="{00000000-0005-0000-0000-0000D50D0000}"/>
    <cellStyle name="Normal 5 2 7" xfId="4372" xr:uid="{00000000-0005-0000-0000-0000D60D0000}"/>
    <cellStyle name="Normal 5 2 8" xfId="4373" xr:uid="{00000000-0005-0000-0000-0000D70D0000}"/>
    <cellStyle name="Normal 5 2 9" xfId="5223" xr:uid="{00000000-0005-0000-0000-0000D80D0000}"/>
    <cellStyle name="Normal 5 3" xfId="224" xr:uid="{00000000-0005-0000-0000-0000D90D0000}"/>
    <cellStyle name="Normal 5 3 10" xfId="5224" xr:uid="{00000000-0005-0000-0000-0000DA0D0000}"/>
    <cellStyle name="Normal 5 3 2" xfId="2292" xr:uid="{00000000-0005-0000-0000-0000DB0D0000}"/>
    <cellStyle name="Normal 5 3 2 2" xfId="4375" xr:uid="{00000000-0005-0000-0000-0000DC0D0000}"/>
    <cellStyle name="Normal 5 3 3" xfId="2293" xr:uid="{00000000-0005-0000-0000-0000DD0D0000}"/>
    <cellStyle name="Normal 5 3 3 2" xfId="4376" xr:uid="{00000000-0005-0000-0000-0000DE0D0000}"/>
    <cellStyle name="Normal 5 3 3 3" xfId="5225" xr:uid="{00000000-0005-0000-0000-0000DF0D0000}"/>
    <cellStyle name="Normal 5 3 4" xfId="4377" xr:uid="{00000000-0005-0000-0000-0000E00D0000}"/>
    <cellStyle name="Normal 5 3 5" xfId="4378" xr:uid="{00000000-0005-0000-0000-0000E10D0000}"/>
    <cellStyle name="Normal 5 3 6" xfId="4379" xr:uid="{00000000-0005-0000-0000-0000E20D0000}"/>
    <cellStyle name="Normal 5 3 7" xfId="4380" xr:uid="{00000000-0005-0000-0000-0000E30D0000}"/>
    <cellStyle name="Normal 5 3 8" xfId="4381" xr:uid="{00000000-0005-0000-0000-0000E40D0000}"/>
    <cellStyle name="Normal 5 3 9" xfId="4374" xr:uid="{00000000-0005-0000-0000-0000E50D0000}"/>
    <cellStyle name="Normal 5 4" xfId="225" xr:uid="{00000000-0005-0000-0000-0000E60D0000}"/>
    <cellStyle name="Normal 5 4 2" xfId="4382" xr:uid="{00000000-0005-0000-0000-0000E70D0000}"/>
    <cellStyle name="Normal 5 4 3" xfId="4383" xr:uid="{00000000-0005-0000-0000-0000E80D0000}"/>
    <cellStyle name="Normal 5 4 4" xfId="4384" xr:uid="{00000000-0005-0000-0000-0000E90D0000}"/>
    <cellStyle name="Normal 5 4 5" xfId="4385" xr:uid="{00000000-0005-0000-0000-0000EA0D0000}"/>
    <cellStyle name="Normal 5 4 6" xfId="4386" xr:uid="{00000000-0005-0000-0000-0000EB0D0000}"/>
    <cellStyle name="Normal 5 4 7" xfId="4387" xr:uid="{00000000-0005-0000-0000-0000EC0D0000}"/>
    <cellStyle name="Normal 5 4 8" xfId="4388" xr:uid="{00000000-0005-0000-0000-0000ED0D0000}"/>
    <cellStyle name="Normal 5 5" xfId="226" xr:uid="{00000000-0005-0000-0000-0000EE0D0000}"/>
    <cellStyle name="Normal 5 5 2" xfId="372" xr:uid="{00000000-0005-0000-0000-0000EF0D0000}"/>
    <cellStyle name="Normal 5 5 2 2" xfId="2295" xr:uid="{00000000-0005-0000-0000-0000F00D0000}"/>
    <cellStyle name="Normal 5 5 2 2 2" xfId="5228" xr:uid="{00000000-0005-0000-0000-0000F10D0000}"/>
    <cellStyle name="Normal 5 5 2 3" xfId="4389" xr:uid="{00000000-0005-0000-0000-0000F20D0000}"/>
    <cellStyle name="Normal 5 5 2 4" xfId="5227" xr:uid="{00000000-0005-0000-0000-0000F30D0000}"/>
    <cellStyle name="Normal 5 5 3" xfId="371" xr:uid="{00000000-0005-0000-0000-0000F40D0000}"/>
    <cellStyle name="Normal 5 5 3 2" xfId="2296" xr:uid="{00000000-0005-0000-0000-0000F50D0000}"/>
    <cellStyle name="Normal 5 5 4" xfId="2294" xr:uid="{00000000-0005-0000-0000-0000F60D0000}"/>
    <cellStyle name="Normal 5 5 4 2" xfId="4390" xr:uid="{00000000-0005-0000-0000-0000F70D0000}"/>
    <cellStyle name="Normal 5 5 5" xfId="4391" xr:uid="{00000000-0005-0000-0000-0000F80D0000}"/>
    <cellStyle name="Normal 5 5 6" xfId="4392" xr:uid="{00000000-0005-0000-0000-0000F90D0000}"/>
    <cellStyle name="Normal 5 5 7" xfId="4393" xr:uid="{00000000-0005-0000-0000-0000FA0D0000}"/>
    <cellStyle name="Normal 5 5 8" xfId="4394" xr:uid="{00000000-0005-0000-0000-0000FB0D0000}"/>
    <cellStyle name="Normal 5 5 9" xfId="5226" xr:uid="{00000000-0005-0000-0000-0000FC0D0000}"/>
    <cellStyle name="Normal 5 6" xfId="227" xr:uid="{00000000-0005-0000-0000-0000FD0D0000}"/>
    <cellStyle name="Normal 5 6 2" xfId="2297" xr:uid="{00000000-0005-0000-0000-0000FE0D0000}"/>
    <cellStyle name="Normal 5 7" xfId="228" xr:uid="{00000000-0005-0000-0000-0000FF0D0000}"/>
    <cellStyle name="Normal 5 8" xfId="2298" xr:uid="{00000000-0005-0000-0000-0000000E0000}"/>
    <cellStyle name="Normal 5 9" xfId="2299" xr:uid="{00000000-0005-0000-0000-0000010E0000}"/>
    <cellStyle name="Normal 5_ELC" xfId="5229" xr:uid="{00000000-0005-0000-0000-0000020E0000}"/>
    <cellStyle name="Normal 50" xfId="2300" xr:uid="{00000000-0005-0000-0000-0000030E0000}"/>
    <cellStyle name="Normal 51" xfId="2301" xr:uid="{00000000-0005-0000-0000-0000040E0000}"/>
    <cellStyle name="Normal 52" xfId="2302" xr:uid="{00000000-0005-0000-0000-0000050E0000}"/>
    <cellStyle name="Normal 53" xfId="2303" xr:uid="{00000000-0005-0000-0000-0000060E0000}"/>
    <cellStyle name="Normal 54" xfId="2304" xr:uid="{00000000-0005-0000-0000-0000070E0000}"/>
    <cellStyle name="Normal 55" xfId="2305" xr:uid="{00000000-0005-0000-0000-0000080E0000}"/>
    <cellStyle name="Normal 6" xfId="50" xr:uid="{00000000-0005-0000-0000-0000090E0000}"/>
    <cellStyle name="Normal 6 10" xfId="2306" xr:uid="{00000000-0005-0000-0000-00000A0E0000}"/>
    <cellStyle name="Normal 6 10 2" xfId="4395" xr:uid="{00000000-0005-0000-0000-00000B0E0000}"/>
    <cellStyle name="Normal 6 11" xfId="2307" xr:uid="{00000000-0005-0000-0000-00000C0E0000}"/>
    <cellStyle name="Normal 6 12" xfId="2308" xr:uid="{00000000-0005-0000-0000-00000D0E0000}"/>
    <cellStyle name="Normal 6 12 2" xfId="4396" xr:uid="{00000000-0005-0000-0000-00000E0E0000}"/>
    <cellStyle name="Normal 6 2" xfId="229" xr:uid="{00000000-0005-0000-0000-00000F0E0000}"/>
    <cellStyle name="Normal 6 2 10" xfId="2309" xr:uid="{00000000-0005-0000-0000-0000100E0000}"/>
    <cellStyle name="Normal 6 2 11" xfId="2310" xr:uid="{00000000-0005-0000-0000-0000110E0000}"/>
    <cellStyle name="Normal 6 2 12" xfId="2311" xr:uid="{00000000-0005-0000-0000-0000120E0000}"/>
    <cellStyle name="Normal 6 2 13" xfId="2312" xr:uid="{00000000-0005-0000-0000-0000130E0000}"/>
    <cellStyle name="Normal 6 2 14" xfId="2313" xr:uid="{00000000-0005-0000-0000-0000140E0000}"/>
    <cellStyle name="Normal 6 2 2" xfId="230" xr:uid="{00000000-0005-0000-0000-0000150E0000}"/>
    <cellStyle name="Normal 6 2 2 10" xfId="4397" xr:uid="{00000000-0005-0000-0000-0000160E0000}"/>
    <cellStyle name="Normal 6 2 2 10 2" xfId="5230" xr:uid="{00000000-0005-0000-0000-0000170E0000}"/>
    <cellStyle name="Normal 6 2 2 11" xfId="4398" xr:uid="{00000000-0005-0000-0000-0000180E0000}"/>
    <cellStyle name="Normal 6 2 2 11 2" xfId="5231" xr:uid="{00000000-0005-0000-0000-0000190E0000}"/>
    <cellStyle name="Normal 6 2 2 12" xfId="4399" xr:uid="{00000000-0005-0000-0000-00001A0E0000}"/>
    <cellStyle name="Normal 6 2 2 12 2" xfId="5232" xr:uid="{00000000-0005-0000-0000-00001B0E0000}"/>
    <cellStyle name="Normal 6 2 2 13" xfId="4400" xr:uid="{00000000-0005-0000-0000-00001C0E0000}"/>
    <cellStyle name="Normal 6 2 2 13 2" xfId="5233" xr:uid="{00000000-0005-0000-0000-00001D0E0000}"/>
    <cellStyle name="Normal 6 2 2 2" xfId="4401" xr:uid="{00000000-0005-0000-0000-00001E0E0000}"/>
    <cellStyle name="Normal 6 2 2 2 2" xfId="5234" xr:uid="{00000000-0005-0000-0000-00001F0E0000}"/>
    <cellStyle name="Normal 6 2 2 3" xfId="4402" xr:uid="{00000000-0005-0000-0000-0000200E0000}"/>
    <cellStyle name="Normal 6 2 2 3 2" xfId="5235" xr:uid="{00000000-0005-0000-0000-0000210E0000}"/>
    <cellStyle name="Normal 6 2 2 4" xfId="4403" xr:uid="{00000000-0005-0000-0000-0000220E0000}"/>
    <cellStyle name="Normal 6 2 2 4 2" xfId="5236" xr:uid="{00000000-0005-0000-0000-0000230E0000}"/>
    <cellStyle name="Normal 6 2 2 5" xfId="4404" xr:uid="{00000000-0005-0000-0000-0000240E0000}"/>
    <cellStyle name="Normal 6 2 2 5 2" xfId="5237" xr:uid="{00000000-0005-0000-0000-0000250E0000}"/>
    <cellStyle name="Normal 6 2 2 6" xfId="4405" xr:uid="{00000000-0005-0000-0000-0000260E0000}"/>
    <cellStyle name="Normal 6 2 2 6 2" xfId="5238" xr:uid="{00000000-0005-0000-0000-0000270E0000}"/>
    <cellStyle name="Normal 6 2 2 7" xfId="4406" xr:uid="{00000000-0005-0000-0000-0000280E0000}"/>
    <cellStyle name="Normal 6 2 2 7 2" xfId="5239" xr:uid="{00000000-0005-0000-0000-0000290E0000}"/>
    <cellStyle name="Normal 6 2 2 8" xfId="4407" xr:uid="{00000000-0005-0000-0000-00002A0E0000}"/>
    <cellStyle name="Normal 6 2 2 8 2" xfId="5240" xr:uid="{00000000-0005-0000-0000-00002B0E0000}"/>
    <cellStyle name="Normal 6 2 2 9" xfId="4408" xr:uid="{00000000-0005-0000-0000-00002C0E0000}"/>
    <cellStyle name="Normal 6 2 2 9 2" xfId="5241" xr:uid="{00000000-0005-0000-0000-00002D0E0000}"/>
    <cellStyle name="Normal 6 2 3" xfId="231" xr:uid="{00000000-0005-0000-0000-00002E0E0000}"/>
    <cellStyle name="Normal 6 2 4" xfId="373" xr:uid="{00000000-0005-0000-0000-00002F0E0000}"/>
    <cellStyle name="Normal 6 2 4 2" xfId="2314" xr:uid="{00000000-0005-0000-0000-0000300E0000}"/>
    <cellStyle name="Normal 6 2 5" xfId="2315" xr:uid="{00000000-0005-0000-0000-0000310E0000}"/>
    <cellStyle name="Normal 6 2 6" xfId="2316" xr:uid="{00000000-0005-0000-0000-0000320E0000}"/>
    <cellStyle name="Normal 6 2 7" xfId="2317" xr:uid="{00000000-0005-0000-0000-0000330E0000}"/>
    <cellStyle name="Normal 6 2 8" xfId="2318" xr:uid="{00000000-0005-0000-0000-0000340E0000}"/>
    <cellStyle name="Normal 6 2 9" xfId="2319" xr:uid="{00000000-0005-0000-0000-0000350E0000}"/>
    <cellStyle name="Normal 6 3" xfId="232" xr:uid="{00000000-0005-0000-0000-0000360E0000}"/>
    <cellStyle name="Normal 6 3 10" xfId="2321" xr:uid="{00000000-0005-0000-0000-0000370E0000}"/>
    <cellStyle name="Normal 6 3 11" xfId="2322" xr:uid="{00000000-0005-0000-0000-0000380E0000}"/>
    <cellStyle name="Normal 6 3 12" xfId="2323" xr:uid="{00000000-0005-0000-0000-0000390E0000}"/>
    <cellStyle name="Normal 6 3 13" xfId="2324" xr:uid="{00000000-0005-0000-0000-00003A0E0000}"/>
    <cellStyle name="Normal 6 3 14" xfId="2325" xr:uid="{00000000-0005-0000-0000-00003B0E0000}"/>
    <cellStyle name="Normal 6 3 15" xfId="2326" xr:uid="{00000000-0005-0000-0000-00003C0E0000}"/>
    <cellStyle name="Normal 6 3 16" xfId="2327" xr:uid="{00000000-0005-0000-0000-00003D0E0000}"/>
    <cellStyle name="Normal 6 3 17" xfId="2320" xr:uid="{00000000-0005-0000-0000-00003E0E0000}"/>
    <cellStyle name="Normal 6 3 2" xfId="2328" xr:uid="{00000000-0005-0000-0000-00003F0E0000}"/>
    <cellStyle name="Normal 6 3 3" xfId="2329" xr:uid="{00000000-0005-0000-0000-0000400E0000}"/>
    <cellStyle name="Normal 6 3 4" xfId="2330" xr:uid="{00000000-0005-0000-0000-0000410E0000}"/>
    <cellStyle name="Normal 6 3 5" xfId="2331" xr:uid="{00000000-0005-0000-0000-0000420E0000}"/>
    <cellStyle name="Normal 6 3 6" xfId="2332" xr:uid="{00000000-0005-0000-0000-0000430E0000}"/>
    <cellStyle name="Normal 6 3 7" xfId="2333" xr:uid="{00000000-0005-0000-0000-0000440E0000}"/>
    <cellStyle name="Normal 6 3 8" xfId="2334" xr:uid="{00000000-0005-0000-0000-0000450E0000}"/>
    <cellStyle name="Normal 6 3 9" xfId="2335" xr:uid="{00000000-0005-0000-0000-0000460E0000}"/>
    <cellStyle name="Normal 6 4" xfId="233" xr:uid="{00000000-0005-0000-0000-0000470E0000}"/>
    <cellStyle name="Normal 6 4 2" xfId="4409" xr:uid="{00000000-0005-0000-0000-0000480E0000}"/>
    <cellStyle name="Normal 6 4 3" xfId="4410" xr:uid="{00000000-0005-0000-0000-0000490E0000}"/>
    <cellStyle name="Normal 6 4 4" xfId="4411" xr:uid="{00000000-0005-0000-0000-00004A0E0000}"/>
    <cellStyle name="Normal 6 4 5" xfId="4412" xr:uid="{00000000-0005-0000-0000-00004B0E0000}"/>
    <cellStyle name="Normal 6 4 6" xfId="4413" xr:uid="{00000000-0005-0000-0000-00004C0E0000}"/>
    <cellStyle name="Normal 6 4 7" xfId="4414" xr:uid="{00000000-0005-0000-0000-00004D0E0000}"/>
    <cellStyle name="Normal 6 4 8" xfId="4415" xr:uid="{00000000-0005-0000-0000-00004E0E0000}"/>
    <cellStyle name="Normal 6 5" xfId="234" xr:uid="{00000000-0005-0000-0000-00004F0E0000}"/>
    <cellStyle name="Normal 6 5 2" xfId="4416" xr:uid="{00000000-0005-0000-0000-0000500E0000}"/>
    <cellStyle name="Normal 6 5 3" xfId="4417" xr:uid="{00000000-0005-0000-0000-0000510E0000}"/>
    <cellStyle name="Normal 6 5 4" xfId="4418" xr:uid="{00000000-0005-0000-0000-0000520E0000}"/>
    <cellStyle name="Normal 6 5 5" xfId="4419" xr:uid="{00000000-0005-0000-0000-0000530E0000}"/>
    <cellStyle name="Normal 6 5 6" xfId="4420" xr:uid="{00000000-0005-0000-0000-0000540E0000}"/>
    <cellStyle name="Normal 6 5 7" xfId="4421" xr:uid="{00000000-0005-0000-0000-0000550E0000}"/>
    <cellStyle name="Normal 6 5 8" xfId="4422" xr:uid="{00000000-0005-0000-0000-0000560E0000}"/>
    <cellStyle name="Normal 6 6" xfId="2336" xr:uid="{00000000-0005-0000-0000-0000570E0000}"/>
    <cellStyle name="Normal 6 7" xfId="2337" xr:uid="{00000000-0005-0000-0000-0000580E0000}"/>
    <cellStyle name="Normal 6 8" xfId="2338" xr:uid="{00000000-0005-0000-0000-0000590E0000}"/>
    <cellStyle name="Normal 6 9" xfId="2339" xr:uid="{00000000-0005-0000-0000-00005A0E0000}"/>
    <cellStyle name="Normal 6_ELC" xfId="2340" xr:uid="{00000000-0005-0000-0000-00005B0E0000}"/>
    <cellStyle name="Normal 7" xfId="235" xr:uid="{00000000-0005-0000-0000-00005C0E0000}"/>
    <cellStyle name="Normal 7 10" xfId="4423" xr:uid="{00000000-0005-0000-0000-00005D0E0000}"/>
    <cellStyle name="Normal 7 11" xfId="4424" xr:uid="{00000000-0005-0000-0000-00005E0E0000}"/>
    <cellStyle name="Normal 7 12" xfId="4425" xr:uid="{00000000-0005-0000-0000-00005F0E0000}"/>
    <cellStyle name="Normal 7 13" xfId="4426" xr:uid="{00000000-0005-0000-0000-0000600E0000}"/>
    <cellStyle name="Normal 7 2" xfId="236" xr:uid="{00000000-0005-0000-0000-0000610E0000}"/>
    <cellStyle name="Normal 7 2 2" xfId="2341" xr:uid="{00000000-0005-0000-0000-0000620E0000}"/>
    <cellStyle name="Normal 7 2 3" xfId="2342" xr:uid="{00000000-0005-0000-0000-0000630E0000}"/>
    <cellStyle name="Normal 7 2 3 2" xfId="4427" xr:uid="{00000000-0005-0000-0000-0000640E0000}"/>
    <cellStyle name="Normal 7 2 4" xfId="4428" xr:uid="{00000000-0005-0000-0000-0000650E0000}"/>
    <cellStyle name="Normal 7 2 5" xfId="4429" xr:uid="{00000000-0005-0000-0000-0000660E0000}"/>
    <cellStyle name="Normal 7 2 6" xfId="4430" xr:uid="{00000000-0005-0000-0000-0000670E0000}"/>
    <cellStyle name="Normal 7 2 7" xfId="4431" xr:uid="{00000000-0005-0000-0000-0000680E0000}"/>
    <cellStyle name="Normal 7 2 8" xfId="4432" xr:uid="{00000000-0005-0000-0000-0000690E0000}"/>
    <cellStyle name="Normal 7 2 9" xfId="4433" xr:uid="{00000000-0005-0000-0000-00006A0E0000}"/>
    <cellStyle name="Normal 7 2_Scen_XBase" xfId="2343" xr:uid="{00000000-0005-0000-0000-00006B0E0000}"/>
    <cellStyle name="Normal 7 3" xfId="2344" xr:uid="{00000000-0005-0000-0000-00006C0E0000}"/>
    <cellStyle name="Normal 7 3 10" xfId="5242" xr:uid="{00000000-0005-0000-0000-00006D0E0000}"/>
    <cellStyle name="Normal 7 3 2" xfId="4435" xr:uid="{00000000-0005-0000-0000-00006E0E0000}"/>
    <cellStyle name="Normal 7 3 3" xfId="4436" xr:uid="{00000000-0005-0000-0000-00006F0E0000}"/>
    <cellStyle name="Normal 7 3 4" xfId="4437" xr:uid="{00000000-0005-0000-0000-0000700E0000}"/>
    <cellStyle name="Normal 7 3 5" xfId="4438" xr:uid="{00000000-0005-0000-0000-0000710E0000}"/>
    <cellStyle name="Normal 7 3 6" xfId="4439" xr:uid="{00000000-0005-0000-0000-0000720E0000}"/>
    <cellStyle name="Normal 7 3 7" xfId="4440" xr:uid="{00000000-0005-0000-0000-0000730E0000}"/>
    <cellStyle name="Normal 7 3 8" xfId="4441" xr:uid="{00000000-0005-0000-0000-0000740E0000}"/>
    <cellStyle name="Normal 7 3 9" xfId="4434" xr:uid="{00000000-0005-0000-0000-0000750E0000}"/>
    <cellStyle name="Normal 7 4" xfId="2345" xr:uid="{00000000-0005-0000-0000-0000760E0000}"/>
    <cellStyle name="Normal 7 4 10" xfId="5243" xr:uid="{00000000-0005-0000-0000-0000770E0000}"/>
    <cellStyle name="Normal 7 4 2" xfId="4442" xr:uid="{00000000-0005-0000-0000-0000780E0000}"/>
    <cellStyle name="Normal 7 4 3" xfId="4443" xr:uid="{00000000-0005-0000-0000-0000790E0000}"/>
    <cellStyle name="Normal 7 4 4" xfId="4444" xr:uid="{00000000-0005-0000-0000-00007A0E0000}"/>
    <cellStyle name="Normal 7 4 5" xfId="4445" xr:uid="{00000000-0005-0000-0000-00007B0E0000}"/>
    <cellStyle name="Normal 7 4 6" xfId="4446" xr:uid="{00000000-0005-0000-0000-00007C0E0000}"/>
    <cellStyle name="Normal 7 4 7" xfId="4447" xr:uid="{00000000-0005-0000-0000-00007D0E0000}"/>
    <cellStyle name="Normal 7 4 8" xfId="4448" xr:uid="{00000000-0005-0000-0000-00007E0E0000}"/>
    <cellStyle name="Normal 7 4 9" xfId="5244" xr:uid="{00000000-0005-0000-0000-00007F0E0000}"/>
    <cellStyle name="Normal 7 5" xfId="4449" xr:uid="{00000000-0005-0000-0000-0000800E0000}"/>
    <cellStyle name="Normal 7 5 10" xfId="5245" xr:uid="{00000000-0005-0000-0000-0000810E0000}"/>
    <cellStyle name="Normal 7 5 2" xfId="4450" xr:uid="{00000000-0005-0000-0000-0000820E0000}"/>
    <cellStyle name="Normal 7 5 3" xfId="4451" xr:uid="{00000000-0005-0000-0000-0000830E0000}"/>
    <cellStyle name="Normal 7 5 4" xfId="4452" xr:uid="{00000000-0005-0000-0000-0000840E0000}"/>
    <cellStyle name="Normal 7 5 5" xfId="4453" xr:uid="{00000000-0005-0000-0000-0000850E0000}"/>
    <cellStyle name="Normal 7 5 6" xfId="4454" xr:uid="{00000000-0005-0000-0000-0000860E0000}"/>
    <cellStyle name="Normal 7 5 7" xfId="4455" xr:uid="{00000000-0005-0000-0000-0000870E0000}"/>
    <cellStyle name="Normal 7 5 8" xfId="4456" xr:uid="{00000000-0005-0000-0000-0000880E0000}"/>
    <cellStyle name="Normal 7 5 9" xfId="5246" xr:uid="{00000000-0005-0000-0000-0000890E0000}"/>
    <cellStyle name="Normal 7 6" xfId="4457" xr:uid="{00000000-0005-0000-0000-00008A0E0000}"/>
    <cellStyle name="Normal 7 7" xfId="4458" xr:uid="{00000000-0005-0000-0000-00008B0E0000}"/>
    <cellStyle name="Normal 7 8" xfId="4459" xr:uid="{00000000-0005-0000-0000-00008C0E0000}"/>
    <cellStyle name="Normal 7 9" xfId="4460" xr:uid="{00000000-0005-0000-0000-00008D0E0000}"/>
    <cellStyle name="Normal 8" xfId="237" xr:uid="{00000000-0005-0000-0000-00008E0E0000}"/>
    <cellStyle name="Normal 8 10" xfId="2346" xr:uid="{00000000-0005-0000-0000-00008F0E0000}"/>
    <cellStyle name="Normal 8 10 2" xfId="4461" xr:uid="{00000000-0005-0000-0000-0000900E0000}"/>
    <cellStyle name="Normal 8 11" xfId="2347" xr:uid="{00000000-0005-0000-0000-0000910E0000}"/>
    <cellStyle name="Normal 8 11 2" xfId="4462" xr:uid="{00000000-0005-0000-0000-0000920E0000}"/>
    <cellStyle name="Normal 8 11 3" xfId="5247" xr:uid="{00000000-0005-0000-0000-0000930E0000}"/>
    <cellStyle name="Normal 8 12" xfId="4463" xr:uid="{00000000-0005-0000-0000-0000940E0000}"/>
    <cellStyle name="Normal 8 13" xfId="4464" xr:uid="{00000000-0005-0000-0000-0000950E0000}"/>
    <cellStyle name="Normal 8 2" xfId="238" xr:uid="{00000000-0005-0000-0000-0000960E0000}"/>
    <cellStyle name="Normal 8 2 2" xfId="4465" xr:uid="{00000000-0005-0000-0000-0000970E0000}"/>
    <cellStyle name="Normal 8 2 3" xfId="4466" xr:uid="{00000000-0005-0000-0000-0000980E0000}"/>
    <cellStyle name="Normal 8 2 4" xfId="4467" xr:uid="{00000000-0005-0000-0000-0000990E0000}"/>
    <cellStyle name="Normal 8 2 5" xfId="4468" xr:uid="{00000000-0005-0000-0000-00009A0E0000}"/>
    <cellStyle name="Normal 8 2 6" xfId="4469" xr:uid="{00000000-0005-0000-0000-00009B0E0000}"/>
    <cellStyle name="Normal 8 2 7" xfId="4470" xr:uid="{00000000-0005-0000-0000-00009C0E0000}"/>
    <cellStyle name="Normal 8 2 8" xfId="4471" xr:uid="{00000000-0005-0000-0000-00009D0E0000}"/>
    <cellStyle name="Normal 8 2 9" xfId="4472" xr:uid="{00000000-0005-0000-0000-00009E0E0000}"/>
    <cellStyle name="Normal 8 3" xfId="2348" xr:uid="{00000000-0005-0000-0000-00009F0E0000}"/>
    <cellStyle name="Normal 8 3 2" xfId="4473" xr:uid="{00000000-0005-0000-0000-0000A00E0000}"/>
    <cellStyle name="Normal 8 3 3" xfId="4474" xr:uid="{00000000-0005-0000-0000-0000A10E0000}"/>
    <cellStyle name="Normal 8 3 4" xfId="4475" xr:uid="{00000000-0005-0000-0000-0000A20E0000}"/>
    <cellStyle name="Normal 8 3 5" xfId="4476" xr:uid="{00000000-0005-0000-0000-0000A30E0000}"/>
    <cellStyle name="Normal 8 3 6" xfId="4477" xr:uid="{00000000-0005-0000-0000-0000A40E0000}"/>
    <cellStyle name="Normal 8 3 7" xfId="4478" xr:uid="{00000000-0005-0000-0000-0000A50E0000}"/>
    <cellStyle name="Normal 8 3 8" xfId="4479" xr:uid="{00000000-0005-0000-0000-0000A60E0000}"/>
    <cellStyle name="Normal 8 4" xfId="2349" xr:uid="{00000000-0005-0000-0000-0000A70E0000}"/>
    <cellStyle name="Normal 8 4 2" xfId="4480" xr:uid="{00000000-0005-0000-0000-0000A80E0000}"/>
    <cellStyle name="Normal 8 4 3" xfId="4481" xr:uid="{00000000-0005-0000-0000-0000A90E0000}"/>
    <cellStyle name="Normal 8 4 4" xfId="4482" xr:uid="{00000000-0005-0000-0000-0000AA0E0000}"/>
    <cellStyle name="Normal 8 4 5" xfId="4483" xr:uid="{00000000-0005-0000-0000-0000AB0E0000}"/>
    <cellStyle name="Normal 8 4 6" xfId="4484" xr:uid="{00000000-0005-0000-0000-0000AC0E0000}"/>
    <cellStyle name="Normal 8 4 7" xfId="4485" xr:uid="{00000000-0005-0000-0000-0000AD0E0000}"/>
    <cellStyle name="Normal 8 4 8" xfId="4486" xr:uid="{00000000-0005-0000-0000-0000AE0E0000}"/>
    <cellStyle name="Normal 8 5" xfId="2350" xr:uid="{00000000-0005-0000-0000-0000AF0E0000}"/>
    <cellStyle name="Normal 8 5 2" xfId="4487" xr:uid="{00000000-0005-0000-0000-0000B00E0000}"/>
    <cellStyle name="Normal 8 5 3" xfId="4488" xr:uid="{00000000-0005-0000-0000-0000B10E0000}"/>
    <cellStyle name="Normal 8 5 4" xfId="4489" xr:uid="{00000000-0005-0000-0000-0000B20E0000}"/>
    <cellStyle name="Normal 8 5 5" xfId="4490" xr:uid="{00000000-0005-0000-0000-0000B30E0000}"/>
    <cellStyle name="Normal 8 5 6" xfId="4491" xr:uid="{00000000-0005-0000-0000-0000B40E0000}"/>
    <cellStyle name="Normal 8 5 7" xfId="4492" xr:uid="{00000000-0005-0000-0000-0000B50E0000}"/>
    <cellStyle name="Normal 8 5 8" xfId="4493" xr:uid="{00000000-0005-0000-0000-0000B60E0000}"/>
    <cellStyle name="Normal 8 6" xfId="2351" xr:uid="{00000000-0005-0000-0000-0000B70E0000}"/>
    <cellStyle name="Normal 8 7" xfId="2352" xr:uid="{00000000-0005-0000-0000-0000B80E0000}"/>
    <cellStyle name="Normal 8 8" xfId="2353" xr:uid="{00000000-0005-0000-0000-0000B90E0000}"/>
    <cellStyle name="Normal 8 9" xfId="2354" xr:uid="{00000000-0005-0000-0000-0000BA0E0000}"/>
    <cellStyle name="Normal 9" xfId="239" xr:uid="{00000000-0005-0000-0000-0000BB0E0000}"/>
    <cellStyle name="Normal 9 10" xfId="2355" xr:uid="{00000000-0005-0000-0000-0000BC0E0000}"/>
    <cellStyle name="Normal 9 10 2" xfId="5249" xr:uid="{00000000-0005-0000-0000-0000BD0E0000}"/>
    <cellStyle name="Normal 9 11" xfId="5248" xr:uid="{00000000-0005-0000-0000-0000BE0E0000}"/>
    <cellStyle name="Normal 9 2" xfId="240" xr:uid="{00000000-0005-0000-0000-0000BF0E0000}"/>
    <cellStyle name="Normal 9 2 2" xfId="375" xr:uid="{00000000-0005-0000-0000-0000C00E0000}"/>
    <cellStyle name="Normal 9 2 2 2" xfId="2357" xr:uid="{00000000-0005-0000-0000-0000C10E0000}"/>
    <cellStyle name="Normal 9 2 3" xfId="2356" xr:uid="{00000000-0005-0000-0000-0000C20E0000}"/>
    <cellStyle name="Normal 9 2 4" xfId="5250" xr:uid="{00000000-0005-0000-0000-0000C30E0000}"/>
    <cellStyle name="Normal 9 3" xfId="374" xr:uid="{00000000-0005-0000-0000-0000C40E0000}"/>
    <cellStyle name="Normal 9 3 2" xfId="2358" xr:uid="{00000000-0005-0000-0000-0000C50E0000}"/>
    <cellStyle name="Normal 9 4" xfId="2359" xr:uid="{00000000-0005-0000-0000-0000C60E0000}"/>
    <cellStyle name="Normal 9 5" xfId="2360" xr:uid="{00000000-0005-0000-0000-0000C70E0000}"/>
    <cellStyle name="Normal 9 6" xfId="2361" xr:uid="{00000000-0005-0000-0000-0000C80E0000}"/>
    <cellStyle name="Normal 9 7" xfId="2362" xr:uid="{00000000-0005-0000-0000-0000C90E0000}"/>
    <cellStyle name="Normal 9 8" xfId="2363" xr:uid="{00000000-0005-0000-0000-0000CA0E0000}"/>
    <cellStyle name="Normal 9 9" xfId="2364" xr:uid="{00000000-0005-0000-0000-0000CB0E0000}"/>
    <cellStyle name="Normal GHG Numbers (0.00)" xfId="2365" xr:uid="{00000000-0005-0000-0000-0000CC0E0000}"/>
    <cellStyle name="Normal GHG Textfiels Bold" xfId="2366" xr:uid="{00000000-0005-0000-0000-0000CD0E0000}"/>
    <cellStyle name="Normal GHG whole table" xfId="2367" xr:uid="{00000000-0005-0000-0000-0000CE0E0000}"/>
    <cellStyle name="Normal GHG-Shade" xfId="2368" xr:uid="{00000000-0005-0000-0000-0000CF0E0000}"/>
    <cellStyle name="Normale 2" xfId="48" xr:uid="{00000000-0005-0000-0000-0000D00E0000}"/>
    <cellStyle name="Normale_B2020" xfId="53" xr:uid="{00000000-0005-0000-0000-0000D10E0000}"/>
    <cellStyle name="Note" xfId="15" builtinId="10" customBuiltin="1"/>
    <cellStyle name="Note 10" xfId="2369" xr:uid="{00000000-0005-0000-0000-0000D30E0000}"/>
    <cellStyle name="Note 10 2" xfId="2370" xr:uid="{00000000-0005-0000-0000-0000D40E0000}"/>
    <cellStyle name="Note 10 3" xfId="2371" xr:uid="{00000000-0005-0000-0000-0000D50E0000}"/>
    <cellStyle name="Note 10 3 2" xfId="2372" xr:uid="{00000000-0005-0000-0000-0000D60E0000}"/>
    <cellStyle name="Note 10 3_ELC_final" xfId="2373" xr:uid="{00000000-0005-0000-0000-0000D70E0000}"/>
    <cellStyle name="Note 10_ELC_final" xfId="2374" xr:uid="{00000000-0005-0000-0000-0000D80E0000}"/>
    <cellStyle name="Note 11" xfId="2375" xr:uid="{00000000-0005-0000-0000-0000D90E0000}"/>
    <cellStyle name="Note 11 2" xfId="2376" xr:uid="{00000000-0005-0000-0000-0000DA0E0000}"/>
    <cellStyle name="Note 11_ELC_final" xfId="2377" xr:uid="{00000000-0005-0000-0000-0000DB0E0000}"/>
    <cellStyle name="Note 12" xfId="2378" xr:uid="{00000000-0005-0000-0000-0000DC0E0000}"/>
    <cellStyle name="Note 12 2" xfId="2379" xr:uid="{00000000-0005-0000-0000-0000DD0E0000}"/>
    <cellStyle name="Note 12_ELC_final" xfId="2380" xr:uid="{00000000-0005-0000-0000-0000DE0E0000}"/>
    <cellStyle name="Note 13" xfId="2381" xr:uid="{00000000-0005-0000-0000-0000DF0E0000}"/>
    <cellStyle name="Note 13 2" xfId="2382" xr:uid="{00000000-0005-0000-0000-0000E00E0000}"/>
    <cellStyle name="Note 13_ELC_final" xfId="2383" xr:uid="{00000000-0005-0000-0000-0000E10E0000}"/>
    <cellStyle name="Note 14" xfId="2384" xr:uid="{00000000-0005-0000-0000-0000E20E0000}"/>
    <cellStyle name="Note 14 2" xfId="2385" xr:uid="{00000000-0005-0000-0000-0000E30E0000}"/>
    <cellStyle name="Note 14_ELC_final" xfId="2386" xr:uid="{00000000-0005-0000-0000-0000E40E0000}"/>
    <cellStyle name="Note 15" xfId="2387" xr:uid="{00000000-0005-0000-0000-0000E50E0000}"/>
    <cellStyle name="Note 15 2" xfId="2388" xr:uid="{00000000-0005-0000-0000-0000E60E0000}"/>
    <cellStyle name="Note 15_ELC_final" xfId="2389" xr:uid="{00000000-0005-0000-0000-0000E70E0000}"/>
    <cellStyle name="Note 16" xfId="2390" xr:uid="{00000000-0005-0000-0000-0000E80E0000}"/>
    <cellStyle name="Note 16 2" xfId="2391" xr:uid="{00000000-0005-0000-0000-0000E90E0000}"/>
    <cellStyle name="Note 16_ELC_final" xfId="2392" xr:uid="{00000000-0005-0000-0000-0000EA0E0000}"/>
    <cellStyle name="Note 17" xfId="2393" xr:uid="{00000000-0005-0000-0000-0000EB0E0000}"/>
    <cellStyle name="Note 17 2" xfId="2394" xr:uid="{00000000-0005-0000-0000-0000EC0E0000}"/>
    <cellStyle name="Note 17_ELC_final" xfId="2395" xr:uid="{00000000-0005-0000-0000-0000ED0E0000}"/>
    <cellStyle name="Note 18" xfId="2396" xr:uid="{00000000-0005-0000-0000-0000EE0E0000}"/>
    <cellStyle name="Note 18 2" xfId="2397" xr:uid="{00000000-0005-0000-0000-0000EF0E0000}"/>
    <cellStyle name="Note 18_ELC_final" xfId="2398" xr:uid="{00000000-0005-0000-0000-0000F00E0000}"/>
    <cellStyle name="Note 19" xfId="2399" xr:uid="{00000000-0005-0000-0000-0000F10E0000}"/>
    <cellStyle name="Note 2" xfId="241" xr:uid="{00000000-0005-0000-0000-0000F20E0000}"/>
    <cellStyle name="Note 2 10" xfId="4494" xr:uid="{00000000-0005-0000-0000-0000F30E0000}"/>
    <cellStyle name="Note 2 11" xfId="4495" xr:uid="{00000000-0005-0000-0000-0000F40E0000}"/>
    <cellStyle name="Note 2 12" xfId="4496" xr:uid="{00000000-0005-0000-0000-0000F50E0000}"/>
    <cellStyle name="Note 2 13" xfId="4497" xr:uid="{00000000-0005-0000-0000-0000F60E0000}"/>
    <cellStyle name="Note 2 14" xfId="4498" xr:uid="{00000000-0005-0000-0000-0000F70E0000}"/>
    <cellStyle name="Note 2 15" xfId="4499" xr:uid="{00000000-0005-0000-0000-0000F80E0000}"/>
    <cellStyle name="Note 2 16" xfId="5251" xr:uid="{00000000-0005-0000-0000-0000F90E0000}"/>
    <cellStyle name="Note 2 2" xfId="321" xr:uid="{00000000-0005-0000-0000-0000FA0E0000}"/>
    <cellStyle name="Note 2 2 2" xfId="2400" xr:uid="{00000000-0005-0000-0000-0000FB0E0000}"/>
    <cellStyle name="Note 2 2 2 2" xfId="5252" xr:uid="{00000000-0005-0000-0000-0000FC0E0000}"/>
    <cellStyle name="Note 2 3" xfId="2401" xr:uid="{00000000-0005-0000-0000-0000FD0E0000}"/>
    <cellStyle name="Note 2 4" xfId="2402" xr:uid="{00000000-0005-0000-0000-0000FE0E0000}"/>
    <cellStyle name="Note 2 5" xfId="4500" xr:uid="{00000000-0005-0000-0000-0000FF0E0000}"/>
    <cellStyle name="Note 2 6" xfId="4501" xr:uid="{00000000-0005-0000-0000-0000000F0000}"/>
    <cellStyle name="Note 2 7" xfId="4502" xr:uid="{00000000-0005-0000-0000-0000010F0000}"/>
    <cellStyle name="Note 2 8" xfId="4503" xr:uid="{00000000-0005-0000-0000-0000020F0000}"/>
    <cellStyle name="Note 2 9" xfId="4504" xr:uid="{00000000-0005-0000-0000-0000030F0000}"/>
    <cellStyle name="Note 2_PrimaryEnergyPrices_TIMES" xfId="2403" xr:uid="{00000000-0005-0000-0000-0000040F0000}"/>
    <cellStyle name="Note 20" xfId="2404" xr:uid="{00000000-0005-0000-0000-0000050F0000}"/>
    <cellStyle name="Note 21" xfId="2405" xr:uid="{00000000-0005-0000-0000-0000060F0000}"/>
    <cellStyle name="Note 22" xfId="2406" xr:uid="{00000000-0005-0000-0000-0000070F0000}"/>
    <cellStyle name="Note 23" xfId="2407" xr:uid="{00000000-0005-0000-0000-0000080F0000}"/>
    <cellStyle name="Note 24" xfId="2408" xr:uid="{00000000-0005-0000-0000-0000090F0000}"/>
    <cellStyle name="Note 25" xfId="2409" xr:uid="{00000000-0005-0000-0000-00000A0F0000}"/>
    <cellStyle name="Note 26" xfId="2410" xr:uid="{00000000-0005-0000-0000-00000B0F0000}"/>
    <cellStyle name="Note 27" xfId="2411" xr:uid="{00000000-0005-0000-0000-00000C0F0000}"/>
    <cellStyle name="Note 28" xfId="2412" xr:uid="{00000000-0005-0000-0000-00000D0F0000}"/>
    <cellStyle name="Note 29" xfId="2413" xr:uid="{00000000-0005-0000-0000-00000E0F0000}"/>
    <cellStyle name="Note 3" xfId="242" xr:uid="{00000000-0005-0000-0000-00000F0F0000}"/>
    <cellStyle name="Note 3 2" xfId="243" xr:uid="{00000000-0005-0000-0000-0000100F0000}"/>
    <cellStyle name="Note 3 2 2" xfId="2415" xr:uid="{00000000-0005-0000-0000-0000110F0000}"/>
    <cellStyle name="Note 3 3" xfId="244" xr:uid="{00000000-0005-0000-0000-0000120F0000}"/>
    <cellStyle name="Note 3 4" xfId="376" xr:uid="{00000000-0005-0000-0000-0000130F0000}"/>
    <cellStyle name="Note 3 4 2" xfId="2416" xr:uid="{00000000-0005-0000-0000-0000140F0000}"/>
    <cellStyle name="Note 3 5" xfId="2417" xr:uid="{00000000-0005-0000-0000-0000150F0000}"/>
    <cellStyle name="Note 3 6" xfId="2418" xr:uid="{00000000-0005-0000-0000-0000160F0000}"/>
    <cellStyle name="Note 3 7" xfId="2414" xr:uid="{00000000-0005-0000-0000-0000170F0000}"/>
    <cellStyle name="Note 3_PrimaryEnergyPrices_TIMES" xfId="5253" xr:uid="{00000000-0005-0000-0000-0000180F0000}"/>
    <cellStyle name="Note 30" xfId="2419" xr:uid="{00000000-0005-0000-0000-0000190F0000}"/>
    <cellStyle name="Note 31" xfId="2420" xr:uid="{00000000-0005-0000-0000-00001A0F0000}"/>
    <cellStyle name="Note 32" xfId="2421" xr:uid="{00000000-0005-0000-0000-00001B0F0000}"/>
    <cellStyle name="Note 33" xfId="2422" xr:uid="{00000000-0005-0000-0000-00001C0F0000}"/>
    <cellStyle name="Note 34" xfId="2423" xr:uid="{00000000-0005-0000-0000-00001D0F0000}"/>
    <cellStyle name="Note 35" xfId="2424" xr:uid="{00000000-0005-0000-0000-00001E0F0000}"/>
    <cellStyle name="Note 36" xfId="2425" xr:uid="{00000000-0005-0000-0000-00001F0F0000}"/>
    <cellStyle name="Note 37" xfId="2426" xr:uid="{00000000-0005-0000-0000-0000200F0000}"/>
    <cellStyle name="Note 38" xfId="2427" xr:uid="{00000000-0005-0000-0000-0000210F0000}"/>
    <cellStyle name="Note 39" xfId="2428" xr:uid="{00000000-0005-0000-0000-0000220F0000}"/>
    <cellStyle name="Note 4" xfId="2429" xr:uid="{00000000-0005-0000-0000-0000230F0000}"/>
    <cellStyle name="Note 4 2" xfId="2430" xr:uid="{00000000-0005-0000-0000-0000240F0000}"/>
    <cellStyle name="Note 4 3" xfId="2431" xr:uid="{00000000-0005-0000-0000-0000250F0000}"/>
    <cellStyle name="Note 4 3 2" xfId="2432" xr:uid="{00000000-0005-0000-0000-0000260F0000}"/>
    <cellStyle name="Note 4 3_ELC_final" xfId="2433" xr:uid="{00000000-0005-0000-0000-0000270F0000}"/>
    <cellStyle name="Note 4 4" xfId="2434" xr:uid="{00000000-0005-0000-0000-0000280F0000}"/>
    <cellStyle name="Note 4_ELC_final" xfId="2435" xr:uid="{00000000-0005-0000-0000-0000290F0000}"/>
    <cellStyle name="Note 40" xfId="2436" xr:uid="{00000000-0005-0000-0000-00002A0F0000}"/>
    <cellStyle name="Note 41" xfId="2437" xr:uid="{00000000-0005-0000-0000-00002B0F0000}"/>
    <cellStyle name="Note 42" xfId="5254" xr:uid="{00000000-0005-0000-0000-00002C0F0000}"/>
    <cellStyle name="Note 5" xfId="2438" xr:uid="{00000000-0005-0000-0000-00002D0F0000}"/>
    <cellStyle name="Note 5 2" xfId="2439" xr:uid="{00000000-0005-0000-0000-00002E0F0000}"/>
    <cellStyle name="Note 5 3" xfId="2440" xr:uid="{00000000-0005-0000-0000-00002F0F0000}"/>
    <cellStyle name="Note 5 3 2" xfId="2441" xr:uid="{00000000-0005-0000-0000-0000300F0000}"/>
    <cellStyle name="Note 5 3_ELC_final" xfId="2442" xr:uid="{00000000-0005-0000-0000-0000310F0000}"/>
    <cellStyle name="Note 5 4" xfId="2443" xr:uid="{00000000-0005-0000-0000-0000320F0000}"/>
    <cellStyle name="Note 5_ELC_final" xfId="2444" xr:uid="{00000000-0005-0000-0000-0000330F0000}"/>
    <cellStyle name="Note 6" xfId="2445" xr:uid="{00000000-0005-0000-0000-0000340F0000}"/>
    <cellStyle name="Note 6 2" xfId="2446" xr:uid="{00000000-0005-0000-0000-0000350F0000}"/>
    <cellStyle name="Note 6 3" xfId="2447" xr:uid="{00000000-0005-0000-0000-0000360F0000}"/>
    <cellStyle name="Note 6 3 2" xfId="2448" xr:uid="{00000000-0005-0000-0000-0000370F0000}"/>
    <cellStyle name="Note 6 3_ELC_final" xfId="2449" xr:uid="{00000000-0005-0000-0000-0000380F0000}"/>
    <cellStyle name="Note 6 4" xfId="2450" xr:uid="{00000000-0005-0000-0000-0000390F0000}"/>
    <cellStyle name="Note 6_ELC_final" xfId="2451" xr:uid="{00000000-0005-0000-0000-00003A0F0000}"/>
    <cellStyle name="Note 7" xfId="2452" xr:uid="{00000000-0005-0000-0000-00003B0F0000}"/>
    <cellStyle name="Note 7 2" xfId="2453" xr:uid="{00000000-0005-0000-0000-00003C0F0000}"/>
    <cellStyle name="Note 7 3" xfId="2454" xr:uid="{00000000-0005-0000-0000-00003D0F0000}"/>
    <cellStyle name="Note 7 3 2" xfId="2455" xr:uid="{00000000-0005-0000-0000-00003E0F0000}"/>
    <cellStyle name="Note 7 3_ELC_final" xfId="2456" xr:uid="{00000000-0005-0000-0000-00003F0F0000}"/>
    <cellStyle name="Note 7 4" xfId="2457" xr:uid="{00000000-0005-0000-0000-0000400F0000}"/>
    <cellStyle name="Note 7_ELC_final" xfId="2458" xr:uid="{00000000-0005-0000-0000-0000410F0000}"/>
    <cellStyle name="Note 8" xfId="2459" xr:uid="{00000000-0005-0000-0000-0000420F0000}"/>
    <cellStyle name="Note 8 2" xfId="2460" xr:uid="{00000000-0005-0000-0000-0000430F0000}"/>
    <cellStyle name="Note 8 3" xfId="2461" xr:uid="{00000000-0005-0000-0000-0000440F0000}"/>
    <cellStyle name="Note 8 3 2" xfId="2462" xr:uid="{00000000-0005-0000-0000-0000450F0000}"/>
    <cellStyle name="Note 8 3_ELC_final" xfId="2463" xr:uid="{00000000-0005-0000-0000-0000460F0000}"/>
    <cellStyle name="Note 8 4" xfId="2464" xr:uid="{00000000-0005-0000-0000-0000470F0000}"/>
    <cellStyle name="Note 8_ELC_final" xfId="2465" xr:uid="{00000000-0005-0000-0000-0000480F0000}"/>
    <cellStyle name="Note 9" xfId="2466" xr:uid="{00000000-0005-0000-0000-0000490F0000}"/>
    <cellStyle name="Note 9 2" xfId="2467" xr:uid="{00000000-0005-0000-0000-00004A0F0000}"/>
    <cellStyle name="Note 9 3" xfId="2468" xr:uid="{00000000-0005-0000-0000-00004B0F0000}"/>
    <cellStyle name="Note 9 3 2" xfId="2469" xr:uid="{00000000-0005-0000-0000-00004C0F0000}"/>
    <cellStyle name="Note 9 3_ELC_final" xfId="2470" xr:uid="{00000000-0005-0000-0000-00004D0F0000}"/>
    <cellStyle name="Note 9 4" xfId="2471" xr:uid="{00000000-0005-0000-0000-00004E0F0000}"/>
    <cellStyle name="Note 9_ELC_final" xfId="2472" xr:uid="{00000000-0005-0000-0000-00004F0F0000}"/>
    <cellStyle name="Notiz" xfId="2473" xr:uid="{00000000-0005-0000-0000-0000500F0000}"/>
    <cellStyle name="Notiz 2" xfId="2474" xr:uid="{00000000-0005-0000-0000-0000510F0000}"/>
    <cellStyle name="Notiz 3" xfId="2475" xr:uid="{00000000-0005-0000-0000-0000520F0000}"/>
    <cellStyle name="num_note" xfId="322" xr:uid="{00000000-0005-0000-0000-0000530F0000}"/>
    <cellStyle name="NumberCellStyle" xfId="45" xr:uid="{00000000-0005-0000-0000-0000540F0000}"/>
    <cellStyle name="Nuovo" xfId="245" xr:uid="{00000000-0005-0000-0000-0000550F0000}"/>
    <cellStyle name="Nuovo 10" xfId="2476" xr:uid="{00000000-0005-0000-0000-0000560F0000}"/>
    <cellStyle name="Nuovo 11" xfId="2477" xr:uid="{00000000-0005-0000-0000-0000570F0000}"/>
    <cellStyle name="Nuovo 12" xfId="2478" xr:uid="{00000000-0005-0000-0000-0000580F0000}"/>
    <cellStyle name="Nuovo 13" xfId="2479" xr:uid="{00000000-0005-0000-0000-0000590F0000}"/>
    <cellStyle name="Nuovo 14" xfId="2480" xr:uid="{00000000-0005-0000-0000-00005A0F0000}"/>
    <cellStyle name="Nuovo 15" xfId="2481" xr:uid="{00000000-0005-0000-0000-00005B0F0000}"/>
    <cellStyle name="Nuovo 16" xfId="2482" xr:uid="{00000000-0005-0000-0000-00005C0F0000}"/>
    <cellStyle name="Nuovo 17" xfId="2483" xr:uid="{00000000-0005-0000-0000-00005D0F0000}"/>
    <cellStyle name="Nuovo 18" xfId="2484" xr:uid="{00000000-0005-0000-0000-00005E0F0000}"/>
    <cellStyle name="Nuovo 19" xfId="2485" xr:uid="{00000000-0005-0000-0000-00005F0F0000}"/>
    <cellStyle name="Nuovo 2" xfId="246" xr:uid="{00000000-0005-0000-0000-0000600F0000}"/>
    <cellStyle name="Nuovo 20" xfId="2486" xr:uid="{00000000-0005-0000-0000-0000610F0000}"/>
    <cellStyle name="Nuovo 21" xfId="2487" xr:uid="{00000000-0005-0000-0000-0000620F0000}"/>
    <cellStyle name="Nuovo 22" xfId="2488" xr:uid="{00000000-0005-0000-0000-0000630F0000}"/>
    <cellStyle name="Nuovo 23" xfId="2489" xr:uid="{00000000-0005-0000-0000-0000640F0000}"/>
    <cellStyle name="Nuovo 24" xfId="2490" xr:uid="{00000000-0005-0000-0000-0000650F0000}"/>
    <cellStyle name="Nuovo 25" xfId="2491" xr:uid="{00000000-0005-0000-0000-0000660F0000}"/>
    <cellStyle name="Nuovo 26" xfId="2492" xr:uid="{00000000-0005-0000-0000-0000670F0000}"/>
    <cellStyle name="Nuovo 27" xfId="2493" xr:uid="{00000000-0005-0000-0000-0000680F0000}"/>
    <cellStyle name="Nuovo 28" xfId="2494" xr:uid="{00000000-0005-0000-0000-0000690F0000}"/>
    <cellStyle name="Nuovo 29" xfId="2495" xr:uid="{00000000-0005-0000-0000-00006A0F0000}"/>
    <cellStyle name="Nuovo 3" xfId="247" xr:uid="{00000000-0005-0000-0000-00006B0F0000}"/>
    <cellStyle name="Nuovo 30" xfId="2496" xr:uid="{00000000-0005-0000-0000-00006C0F0000}"/>
    <cellStyle name="Nuovo 31" xfId="2497" xr:uid="{00000000-0005-0000-0000-00006D0F0000}"/>
    <cellStyle name="Nuovo 32" xfId="2498" xr:uid="{00000000-0005-0000-0000-00006E0F0000}"/>
    <cellStyle name="Nuovo 33" xfId="2499" xr:uid="{00000000-0005-0000-0000-00006F0F0000}"/>
    <cellStyle name="Nuovo 34" xfId="2500" xr:uid="{00000000-0005-0000-0000-0000700F0000}"/>
    <cellStyle name="Nuovo 35" xfId="2501" xr:uid="{00000000-0005-0000-0000-0000710F0000}"/>
    <cellStyle name="Nuovo 36" xfId="2502" xr:uid="{00000000-0005-0000-0000-0000720F0000}"/>
    <cellStyle name="Nuovo 37" xfId="2503" xr:uid="{00000000-0005-0000-0000-0000730F0000}"/>
    <cellStyle name="Nuovo 38" xfId="2504" xr:uid="{00000000-0005-0000-0000-0000740F0000}"/>
    <cellStyle name="Nuovo 38 2" xfId="5255" xr:uid="{00000000-0005-0000-0000-0000750F0000}"/>
    <cellStyle name="Nuovo 38 2 2" xfId="5256" xr:uid="{00000000-0005-0000-0000-0000760F0000}"/>
    <cellStyle name="Nuovo 38 3" xfId="5257" xr:uid="{00000000-0005-0000-0000-0000770F0000}"/>
    <cellStyle name="Nuovo 38 3 2" xfId="5258" xr:uid="{00000000-0005-0000-0000-0000780F0000}"/>
    <cellStyle name="Nuovo 38 3 3" xfId="5259" xr:uid="{00000000-0005-0000-0000-0000790F0000}"/>
    <cellStyle name="Nuovo 38 4" xfId="5260" xr:uid="{00000000-0005-0000-0000-00007A0F0000}"/>
    <cellStyle name="Nuovo 4" xfId="377" xr:uid="{00000000-0005-0000-0000-00007B0F0000}"/>
    <cellStyle name="Nuovo 4 2" xfId="2505" xr:uid="{00000000-0005-0000-0000-00007C0F0000}"/>
    <cellStyle name="Nuovo 5" xfId="2506" xr:uid="{00000000-0005-0000-0000-00007D0F0000}"/>
    <cellStyle name="Nuovo 6" xfId="2507" xr:uid="{00000000-0005-0000-0000-00007E0F0000}"/>
    <cellStyle name="Nuovo 7" xfId="2508" xr:uid="{00000000-0005-0000-0000-00007F0F0000}"/>
    <cellStyle name="Nuovo 8" xfId="2509" xr:uid="{00000000-0005-0000-0000-0000800F0000}"/>
    <cellStyle name="Nuovo 9" xfId="2510" xr:uid="{00000000-0005-0000-0000-0000810F0000}"/>
    <cellStyle name="Output" xfId="10" builtinId="21" customBuiltin="1"/>
    <cellStyle name="Output 10" xfId="2511" xr:uid="{00000000-0005-0000-0000-0000830F0000}"/>
    <cellStyle name="Output 11" xfId="2512" xr:uid="{00000000-0005-0000-0000-0000840F0000}"/>
    <cellStyle name="Output 12" xfId="2513" xr:uid="{00000000-0005-0000-0000-0000850F0000}"/>
    <cellStyle name="Output 13" xfId="2514" xr:uid="{00000000-0005-0000-0000-0000860F0000}"/>
    <cellStyle name="Output 14" xfId="2515" xr:uid="{00000000-0005-0000-0000-0000870F0000}"/>
    <cellStyle name="Output 15" xfId="2516" xr:uid="{00000000-0005-0000-0000-0000880F0000}"/>
    <cellStyle name="Output 16" xfId="2517" xr:uid="{00000000-0005-0000-0000-0000890F0000}"/>
    <cellStyle name="Output 17" xfId="2518" xr:uid="{00000000-0005-0000-0000-00008A0F0000}"/>
    <cellStyle name="Output 18" xfId="2519" xr:uid="{00000000-0005-0000-0000-00008B0F0000}"/>
    <cellStyle name="Output 19" xfId="2520" xr:uid="{00000000-0005-0000-0000-00008C0F0000}"/>
    <cellStyle name="Output 2" xfId="248" xr:uid="{00000000-0005-0000-0000-00008D0F0000}"/>
    <cellStyle name="Output 2 10" xfId="4505" xr:uid="{00000000-0005-0000-0000-00008E0F0000}"/>
    <cellStyle name="Output 2 11" xfId="5261" xr:uid="{00000000-0005-0000-0000-00008F0F0000}"/>
    <cellStyle name="Output 2 2" xfId="4506" xr:uid="{00000000-0005-0000-0000-0000900F0000}"/>
    <cellStyle name="Output 2 3" xfId="4507" xr:uid="{00000000-0005-0000-0000-0000910F0000}"/>
    <cellStyle name="Output 2 4" xfId="4508" xr:uid="{00000000-0005-0000-0000-0000920F0000}"/>
    <cellStyle name="Output 2 5" xfId="4509" xr:uid="{00000000-0005-0000-0000-0000930F0000}"/>
    <cellStyle name="Output 2 6" xfId="4510" xr:uid="{00000000-0005-0000-0000-0000940F0000}"/>
    <cellStyle name="Output 2 7" xfId="4511" xr:uid="{00000000-0005-0000-0000-0000950F0000}"/>
    <cellStyle name="Output 2 8" xfId="4512" xr:uid="{00000000-0005-0000-0000-0000960F0000}"/>
    <cellStyle name="Output 2 9" xfId="4513" xr:uid="{00000000-0005-0000-0000-0000970F0000}"/>
    <cellStyle name="Output 20" xfId="2521" xr:uid="{00000000-0005-0000-0000-0000980F0000}"/>
    <cellStyle name="Output 21" xfId="2522" xr:uid="{00000000-0005-0000-0000-0000990F0000}"/>
    <cellStyle name="Output 22" xfId="2523" xr:uid="{00000000-0005-0000-0000-00009A0F0000}"/>
    <cellStyle name="Output 23" xfId="2524" xr:uid="{00000000-0005-0000-0000-00009B0F0000}"/>
    <cellStyle name="Output 24" xfId="2525" xr:uid="{00000000-0005-0000-0000-00009C0F0000}"/>
    <cellStyle name="Output 25" xfId="2526" xr:uid="{00000000-0005-0000-0000-00009D0F0000}"/>
    <cellStyle name="Output 26" xfId="2527" xr:uid="{00000000-0005-0000-0000-00009E0F0000}"/>
    <cellStyle name="Output 27" xfId="2528" xr:uid="{00000000-0005-0000-0000-00009F0F0000}"/>
    <cellStyle name="Output 28" xfId="2529" xr:uid="{00000000-0005-0000-0000-0000A00F0000}"/>
    <cellStyle name="Output 29" xfId="2530" xr:uid="{00000000-0005-0000-0000-0000A10F0000}"/>
    <cellStyle name="Output 3" xfId="249" xr:uid="{00000000-0005-0000-0000-0000A20F0000}"/>
    <cellStyle name="Output 3 2" xfId="2531" xr:uid="{00000000-0005-0000-0000-0000A30F0000}"/>
    <cellStyle name="Output 3 2 2" xfId="5262" xr:uid="{00000000-0005-0000-0000-0000A40F0000}"/>
    <cellStyle name="Output 3 3" xfId="4514" xr:uid="{00000000-0005-0000-0000-0000A50F0000}"/>
    <cellStyle name="Output 30" xfId="2532" xr:uid="{00000000-0005-0000-0000-0000A60F0000}"/>
    <cellStyle name="Output 31" xfId="2533" xr:uid="{00000000-0005-0000-0000-0000A70F0000}"/>
    <cellStyle name="Output 32" xfId="2534" xr:uid="{00000000-0005-0000-0000-0000A80F0000}"/>
    <cellStyle name="Output 33" xfId="2535" xr:uid="{00000000-0005-0000-0000-0000A90F0000}"/>
    <cellStyle name="Output 34" xfId="2536" xr:uid="{00000000-0005-0000-0000-0000AA0F0000}"/>
    <cellStyle name="Output 35" xfId="2537" xr:uid="{00000000-0005-0000-0000-0000AB0F0000}"/>
    <cellStyle name="Output 36" xfId="2538" xr:uid="{00000000-0005-0000-0000-0000AC0F0000}"/>
    <cellStyle name="Output 37" xfId="2539" xr:uid="{00000000-0005-0000-0000-0000AD0F0000}"/>
    <cellStyle name="Output 38" xfId="2540" xr:uid="{00000000-0005-0000-0000-0000AE0F0000}"/>
    <cellStyle name="Output 39" xfId="2541" xr:uid="{00000000-0005-0000-0000-0000AF0F0000}"/>
    <cellStyle name="Output 4" xfId="2542" xr:uid="{00000000-0005-0000-0000-0000B00F0000}"/>
    <cellStyle name="Output 4 2" xfId="5263" xr:uid="{00000000-0005-0000-0000-0000B10F0000}"/>
    <cellStyle name="Output 40" xfId="2543" xr:uid="{00000000-0005-0000-0000-0000B20F0000}"/>
    <cellStyle name="Output 41" xfId="2544" xr:uid="{00000000-0005-0000-0000-0000B30F0000}"/>
    <cellStyle name="Output 42" xfId="2545" xr:uid="{00000000-0005-0000-0000-0000B40F0000}"/>
    <cellStyle name="Output 43" xfId="2546" xr:uid="{00000000-0005-0000-0000-0000B50F0000}"/>
    <cellStyle name="Output 5" xfId="2547" xr:uid="{00000000-0005-0000-0000-0000B60F0000}"/>
    <cellStyle name="Output 5 2" xfId="5264" xr:uid="{00000000-0005-0000-0000-0000B70F0000}"/>
    <cellStyle name="Output 6" xfId="2548" xr:uid="{00000000-0005-0000-0000-0000B80F0000}"/>
    <cellStyle name="Output 6 2" xfId="5265" xr:uid="{00000000-0005-0000-0000-0000B90F0000}"/>
    <cellStyle name="Output 7" xfId="2549" xr:uid="{00000000-0005-0000-0000-0000BA0F0000}"/>
    <cellStyle name="Output 8" xfId="2550" xr:uid="{00000000-0005-0000-0000-0000BB0F0000}"/>
    <cellStyle name="Output 9" xfId="2551" xr:uid="{00000000-0005-0000-0000-0000BC0F0000}"/>
    <cellStyle name="Pattern" xfId="2552" xr:uid="{00000000-0005-0000-0000-0000BD0F0000}"/>
    <cellStyle name="Percent" xfId="47" builtinId="5"/>
    <cellStyle name="Percent 10" xfId="4516" xr:uid="{00000000-0005-0000-0000-0000BF0F0000}"/>
    <cellStyle name="Percent 10 10" xfId="2554" xr:uid="{00000000-0005-0000-0000-0000C00F0000}"/>
    <cellStyle name="Percent 10 11" xfId="2555" xr:uid="{00000000-0005-0000-0000-0000C10F0000}"/>
    <cellStyle name="Percent 10 12" xfId="2556" xr:uid="{00000000-0005-0000-0000-0000C20F0000}"/>
    <cellStyle name="Percent 10 13" xfId="2557" xr:uid="{00000000-0005-0000-0000-0000C30F0000}"/>
    <cellStyle name="Percent 10 14" xfId="2558" xr:uid="{00000000-0005-0000-0000-0000C40F0000}"/>
    <cellStyle name="Percent 10 15" xfId="2559" xr:uid="{00000000-0005-0000-0000-0000C50F0000}"/>
    <cellStyle name="Percent 10 16" xfId="2560" xr:uid="{00000000-0005-0000-0000-0000C60F0000}"/>
    <cellStyle name="Percent 10 17" xfId="2561" xr:uid="{00000000-0005-0000-0000-0000C70F0000}"/>
    <cellStyle name="Percent 10 18" xfId="2562" xr:uid="{00000000-0005-0000-0000-0000C80F0000}"/>
    <cellStyle name="Percent 10 19" xfId="2563" xr:uid="{00000000-0005-0000-0000-0000C90F0000}"/>
    <cellStyle name="Percent 10 2" xfId="2564" xr:uid="{00000000-0005-0000-0000-0000CA0F0000}"/>
    <cellStyle name="Percent 10 2 2" xfId="4517" xr:uid="{00000000-0005-0000-0000-0000CB0F0000}"/>
    <cellStyle name="Percent 10 20" xfId="2565" xr:uid="{00000000-0005-0000-0000-0000CC0F0000}"/>
    <cellStyle name="Percent 10 3" xfId="2566" xr:uid="{00000000-0005-0000-0000-0000CD0F0000}"/>
    <cellStyle name="Percent 10 3 2" xfId="4518" xr:uid="{00000000-0005-0000-0000-0000CE0F0000}"/>
    <cellStyle name="Percent 10 4" xfId="2567" xr:uid="{00000000-0005-0000-0000-0000CF0F0000}"/>
    <cellStyle name="Percent 10 4 2" xfId="4519" xr:uid="{00000000-0005-0000-0000-0000D00F0000}"/>
    <cellStyle name="Percent 10 5" xfId="2568" xr:uid="{00000000-0005-0000-0000-0000D10F0000}"/>
    <cellStyle name="Percent 10 5 2" xfId="4520" xr:uid="{00000000-0005-0000-0000-0000D20F0000}"/>
    <cellStyle name="Percent 10 6" xfId="2569" xr:uid="{00000000-0005-0000-0000-0000D30F0000}"/>
    <cellStyle name="Percent 10 6 2" xfId="4521" xr:uid="{00000000-0005-0000-0000-0000D40F0000}"/>
    <cellStyle name="Percent 10 7" xfId="2570" xr:uid="{00000000-0005-0000-0000-0000D50F0000}"/>
    <cellStyle name="Percent 10 7 2" xfId="2571" xr:uid="{00000000-0005-0000-0000-0000D60F0000}"/>
    <cellStyle name="Percent 10 7 3" xfId="2572" xr:uid="{00000000-0005-0000-0000-0000D70F0000}"/>
    <cellStyle name="Percent 10 7 4" xfId="4522" xr:uid="{00000000-0005-0000-0000-0000D80F0000}"/>
    <cellStyle name="Percent 10 8" xfId="2573" xr:uid="{00000000-0005-0000-0000-0000D90F0000}"/>
    <cellStyle name="Percent 10 8 2" xfId="4523" xr:uid="{00000000-0005-0000-0000-0000DA0F0000}"/>
    <cellStyle name="Percent 10 9" xfId="2574" xr:uid="{00000000-0005-0000-0000-0000DB0F0000}"/>
    <cellStyle name="Percent 11" xfId="4524" xr:uid="{00000000-0005-0000-0000-0000DC0F0000}"/>
    <cellStyle name="Percent 11 10" xfId="2575" xr:uid="{00000000-0005-0000-0000-0000DD0F0000}"/>
    <cellStyle name="Percent 11 2" xfId="2576" xr:uid="{00000000-0005-0000-0000-0000DE0F0000}"/>
    <cellStyle name="Percent 11 2 2" xfId="4525" xr:uid="{00000000-0005-0000-0000-0000DF0F0000}"/>
    <cellStyle name="Percent 11 3" xfId="2577" xr:uid="{00000000-0005-0000-0000-0000E00F0000}"/>
    <cellStyle name="Percent 11 3 2" xfId="4526" xr:uid="{00000000-0005-0000-0000-0000E10F0000}"/>
    <cellStyle name="Percent 11 4" xfId="2578" xr:uid="{00000000-0005-0000-0000-0000E20F0000}"/>
    <cellStyle name="Percent 11 4 2" xfId="4527" xr:uid="{00000000-0005-0000-0000-0000E30F0000}"/>
    <cellStyle name="Percent 11 5" xfId="2579" xr:uid="{00000000-0005-0000-0000-0000E40F0000}"/>
    <cellStyle name="Percent 11 5 2" xfId="4528" xr:uid="{00000000-0005-0000-0000-0000E50F0000}"/>
    <cellStyle name="Percent 11 6" xfId="2580" xr:uid="{00000000-0005-0000-0000-0000E60F0000}"/>
    <cellStyle name="Percent 11 6 2" xfId="4529" xr:uid="{00000000-0005-0000-0000-0000E70F0000}"/>
    <cellStyle name="Percent 11 7" xfId="2581" xr:uid="{00000000-0005-0000-0000-0000E80F0000}"/>
    <cellStyle name="Percent 11 7 2" xfId="2582" xr:uid="{00000000-0005-0000-0000-0000E90F0000}"/>
    <cellStyle name="Percent 11 7 3" xfId="2583" xr:uid="{00000000-0005-0000-0000-0000EA0F0000}"/>
    <cellStyle name="Percent 11 7 4" xfId="4530" xr:uid="{00000000-0005-0000-0000-0000EB0F0000}"/>
    <cellStyle name="Percent 11 8" xfId="2584" xr:uid="{00000000-0005-0000-0000-0000EC0F0000}"/>
    <cellStyle name="Percent 11 8 2" xfId="4531" xr:uid="{00000000-0005-0000-0000-0000ED0F0000}"/>
    <cellStyle name="Percent 11 9" xfId="2585" xr:uid="{00000000-0005-0000-0000-0000EE0F0000}"/>
    <cellStyle name="Percent 12" xfId="4532" xr:uid="{00000000-0005-0000-0000-0000EF0F0000}"/>
    <cellStyle name="Percent 12 10" xfId="2586" xr:uid="{00000000-0005-0000-0000-0000F00F0000}"/>
    <cellStyle name="Percent 12 2" xfId="2587" xr:uid="{00000000-0005-0000-0000-0000F10F0000}"/>
    <cellStyle name="Percent 12 2 2" xfId="4533" xr:uid="{00000000-0005-0000-0000-0000F20F0000}"/>
    <cellStyle name="Percent 12 3" xfId="2588" xr:uid="{00000000-0005-0000-0000-0000F30F0000}"/>
    <cellStyle name="Percent 12 3 2" xfId="4534" xr:uid="{00000000-0005-0000-0000-0000F40F0000}"/>
    <cellStyle name="Percent 12 4" xfId="2589" xr:uid="{00000000-0005-0000-0000-0000F50F0000}"/>
    <cellStyle name="Percent 12 4 2" xfId="4535" xr:uid="{00000000-0005-0000-0000-0000F60F0000}"/>
    <cellStyle name="Percent 12 5" xfId="2590" xr:uid="{00000000-0005-0000-0000-0000F70F0000}"/>
    <cellStyle name="Percent 12 5 2" xfId="4536" xr:uid="{00000000-0005-0000-0000-0000F80F0000}"/>
    <cellStyle name="Percent 12 6" xfId="2591" xr:uid="{00000000-0005-0000-0000-0000F90F0000}"/>
    <cellStyle name="Percent 12 6 2" xfId="4537" xr:uid="{00000000-0005-0000-0000-0000FA0F0000}"/>
    <cellStyle name="Percent 12 7" xfId="2592" xr:uid="{00000000-0005-0000-0000-0000FB0F0000}"/>
    <cellStyle name="Percent 12 7 2" xfId="2593" xr:uid="{00000000-0005-0000-0000-0000FC0F0000}"/>
    <cellStyle name="Percent 12 7 3" xfId="2594" xr:uid="{00000000-0005-0000-0000-0000FD0F0000}"/>
    <cellStyle name="Percent 12 7 4" xfId="4538" xr:uid="{00000000-0005-0000-0000-0000FE0F0000}"/>
    <cellStyle name="Percent 12 8" xfId="2595" xr:uid="{00000000-0005-0000-0000-0000FF0F0000}"/>
    <cellStyle name="Percent 12 8 2" xfId="4539" xr:uid="{00000000-0005-0000-0000-000000100000}"/>
    <cellStyle name="Percent 12 9" xfId="2596" xr:uid="{00000000-0005-0000-0000-000001100000}"/>
    <cellStyle name="Percent 13" xfId="4540" xr:uid="{00000000-0005-0000-0000-000002100000}"/>
    <cellStyle name="Percent 13 10" xfId="2597" xr:uid="{00000000-0005-0000-0000-000003100000}"/>
    <cellStyle name="Percent 13 2" xfId="2598" xr:uid="{00000000-0005-0000-0000-000004100000}"/>
    <cellStyle name="Percent 13 2 2" xfId="4541" xr:uid="{00000000-0005-0000-0000-000005100000}"/>
    <cellStyle name="Percent 13 3" xfId="2599" xr:uid="{00000000-0005-0000-0000-000006100000}"/>
    <cellStyle name="Percent 13 3 2" xfId="4542" xr:uid="{00000000-0005-0000-0000-000007100000}"/>
    <cellStyle name="Percent 13 4" xfId="2600" xr:uid="{00000000-0005-0000-0000-000008100000}"/>
    <cellStyle name="Percent 13 4 2" xfId="4543" xr:uid="{00000000-0005-0000-0000-000009100000}"/>
    <cellStyle name="Percent 13 5" xfId="2601" xr:uid="{00000000-0005-0000-0000-00000A100000}"/>
    <cellStyle name="Percent 13 5 2" xfId="4544" xr:uid="{00000000-0005-0000-0000-00000B100000}"/>
    <cellStyle name="Percent 13 6" xfId="2602" xr:uid="{00000000-0005-0000-0000-00000C100000}"/>
    <cellStyle name="Percent 13 6 2" xfId="4545" xr:uid="{00000000-0005-0000-0000-00000D100000}"/>
    <cellStyle name="Percent 13 7" xfId="2603" xr:uid="{00000000-0005-0000-0000-00000E100000}"/>
    <cellStyle name="Percent 13 7 2" xfId="2604" xr:uid="{00000000-0005-0000-0000-00000F100000}"/>
    <cellStyle name="Percent 13 7 3" xfId="2605" xr:uid="{00000000-0005-0000-0000-000010100000}"/>
    <cellStyle name="Percent 13 7 4" xfId="4546" xr:uid="{00000000-0005-0000-0000-000011100000}"/>
    <cellStyle name="Percent 13 8" xfId="2606" xr:uid="{00000000-0005-0000-0000-000012100000}"/>
    <cellStyle name="Percent 13 8 2" xfId="4547" xr:uid="{00000000-0005-0000-0000-000013100000}"/>
    <cellStyle name="Percent 13 9" xfId="2607" xr:uid="{00000000-0005-0000-0000-000014100000}"/>
    <cellStyle name="Percent 14" xfId="4548" xr:uid="{00000000-0005-0000-0000-000015100000}"/>
    <cellStyle name="Percent 14 10" xfId="2608" xr:uid="{00000000-0005-0000-0000-000016100000}"/>
    <cellStyle name="Percent 14 2" xfId="2609" xr:uid="{00000000-0005-0000-0000-000017100000}"/>
    <cellStyle name="Percent 14 2 2" xfId="4549" xr:uid="{00000000-0005-0000-0000-000018100000}"/>
    <cellStyle name="Percent 14 3" xfId="2610" xr:uid="{00000000-0005-0000-0000-000019100000}"/>
    <cellStyle name="Percent 14 3 2" xfId="4550" xr:uid="{00000000-0005-0000-0000-00001A100000}"/>
    <cellStyle name="Percent 14 4" xfId="2611" xr:uid="{00000000-0005-0000-0000-00001B100000}"/>
    <cellStyle name="Percent 14 4 2" xfId="4551" xr:uid="{00000000-0005-0000-0000-00001C100000}"/>
    <cellStyle name="Percent 14 5" xfId="2612" xr:uid="{00000000-0005-0000-0000-00001D100000}"/>
    <cellStyle name="Percent 14 5 2" xfId="4552" xr:uid="{00000000-0005-0000-0000-00001E100000}"/>
    <cellStyle name="Percent 14 6" xfId="2613" xr:uid="{00000000-0005-0000-0000-00001F100000}"/>
    <cellStyle name="Percent 14 6 2" xfId="4553" xr:uid="{00000000-0005-0000-0000-000020100000}"/>
    <cellStyle name="Percent 14 7" xfId="2614" xr:uid="{00000000-0005-0000-0000-000021100000}"/>
    <cellStyle name="Percent 14 7 2" xfId="2615" xr:uid="{00000000-0005-0000-0000-000022100000}"/>
    <cellStyle name="Percent 14 7 3" xfId="2616" xr:uid="{00000000-0005-0000-0000-000023100000}"/>
    <cellStyle name="Percent 14 7 4" xfId="4554" xr:uid="{00000000-0005-0000-0000-000024100000}"/>
    <cellStyle name="Percent 14 8" xfId="2617" xr:uid="{00000000-0005-0000-0000-000025100000}"/>
    <cellStyle name="Percent 14 8 2" xfId="4555" xr:uid="{00000000-0005-0000-0000-000026100000}"/>
    <cellStyle name="Percent 14 9" xfId="2618" xr:uid="{00000000-0005-0000-0000-000027100000}"/>
    <cellStyle name="Percent 15" xfId="2619" xr:uid="{00000000-0005-0000-0000-000028100000}"/>
    <cellStyle name="Percent 15 10" xfId="4557" xr:uid="{00000000-0005-0000-0000-000029100000}"/>
    <cellStyle name="Percent 15 11" xfId="4558" xr:uid="{00000000-0005-0000-0000-00002A100000}"/>
    <cellStyle name="Percent 15 12" xfId="4559" xr:uid="{00000000-0005-0000-0000-00002B100000}"/>
    <cellStyle name="Percent 15 13" xfId="4560" xr:uid="{00000000-0005-0000-0000-00002C100000}"/>
    <cellStyle name="Percent 15 14" xfId="4561" xr:uid="{00000000-0005-0000-0000-00002D100000}"/>
    <cellStyle name="Percent 15 15" xfId="4556" xr:uid="{00000000-0005-0000-0000-00002E100000}"/>
    <cellStyle name="Percent 15 2" xfId="2620" xr:uid="{00000000-0005-0000-0000-00002F100000}"/>
    <cellStyle name="Percent 15 2 2" xfId="4563" xr:uid="{00000000-0005-0000-0000-000030100000}"/>
    <cellStyle name="Percent 15 2 2 2" xfId="5266" xr:uid="{00000000-0005-0000-0000-000031100000}"/>
    <cellStyle name="Percent 15 2 3" xfId="4564" xr:uid="{00000000-0005-0000-0000-000032100000}"/>
    <cellStyle name="Percent 15 2 3 2" xfId="5267" xr:uid="{00000000-0005-0000-0000-000033100000}"/>
    <cellStyle name="Percent 15 2 4" xfId="4565" xr:uid="{00000000-0005-0000-0000-000034100000}"/>
    <cellStyle name="Percent 15 2 4 2" xfId="5268" xr:uid="{00000000-0005-0000-0000-000035100000}"/>
    <cellStyle name="Percent 15 2 5" xfId="4566" xr:uid="{00000000-0005-0000-0000-000036100000}"/>
    <cellStyle name="Percent 15 2 5 2" xfId="5269" xr:uid="{00000000-0005-0000-0000-000037100000}"/>
    <cellStyle name="Percent 15 2 6" xfId="4567" xr:uid="{00000000-0005-0000-0000-000038100000}"/>
    <cellStyle name="Percent 15 2 6 2" xfId="5270" xr:uid="{00000000-0005-0000-0000-000039100000}"/>
    <cellStyle name="Percent 15 2 7" xfId="4568" xr:uid="{00000000-0005-0000-0000-00003A100000}"/>
    <cellStyle name="Percent 15 2 7 2" xfId="5271" xr:uid="{00000000-0005-0000-0000-00003B100000}"/>
    <cellStyle name="Percent 15 2 8" xfId="4562" xr:uid="{00000000-0005-0000-0000-00003C100000}"/>
    <cellStyle name="Percent 15 3" xfId="2621" xr:uid="{00000000-0005-0000-0000-00003D100000}"/>
    <cellStyle name="Percent 15 3 2" xfId="5272" xr:uid="{00000000-0005-0000-0000-00003E100000}"/>
    <cellStyle name="Percent 15 3 3" xfId="5273" xr:uid="{00000000-0005-0000-0000-00003F100000}"/>
    <cellStyle name="Percent 15 3 3 2" xfId="5274" xr:uid="{00000000-0005-0000-0000-000040100000}"/>
    <cellStyle name="Percent 15 4" xfId="2622" xr:uid="{00000000-0005-0000-0000-000041100000}"/>
    <cellStyle name="Percent 15 4 2" xfId="4569" xr:uid="{00000000-0005-0000-0000-000042100000}"/>
    <cellStyle name="Percent 15 5" xfId="2623" xr:uid="{00000000-0005-0000-0000-000043100000}"/>
    <cellStyle name="Percent 15 5 2" xfId="5275" xr:uid="{00000000-0005-0000-0000-000044100000}"/>
    <cellStyle name="Percent 15 5 3" xfId="5276" xr:uid="{00000000-0005-0000-0000-000045100000}"/>
    <cellStyle name="Percent 15 5 3 2" xfId="5277" xr:uid="{00000000-0005-0000-0000-000046100000}"/>
    <cellStyle name="Percent 15 6" xfId="2624" xr:uid="{00000000-0005-0000-0000-000047100000}"/>
    <cellStyle name="Percent 15 6 2" xfId="5278" xr:uid="{00000000-0005-0000-0000-000048100000}"/>
    <cellStyle name="Percent 15 6 3" xfId="5279" xr:uid="{00000000-0005-0000-0000-000049100000}"/>
    <cellStyle name="Percent 15 6 3 2" xfId="5280" xr:uid="{00000000-0005-0000-0000-00004A100000}"/>
    <cellStyle name="Percent 15 7" xfId="2625" xr:uid="{00000000-0005-0000-0000-00004B100000}"/>
    <cellStyle name="Percent 15 7 2" xfId="2626" xr:uid="{00000000-0005-0000-0000-00004C100000}"/>
    <cellStyle name="Percent 15 7 3" xfId="2627" xr:uid="{00000000-0005-0000-0000-00004D100000}"/>
    <cellStyle name="Percent 15 7 4" xfId="5281" xr:uid="{00000000-0005-0000-0000-00004E100000}"/>
    <cellStyle name="Percent 15 7 4 2" xfId="5282" xr:uid="{00000000-0005-0000-0000-00004F100000}"/>
    <cellStyle name="Percent 15 8" xfId="4570" xr:uid="{00000000-0005-0000-0000-000050100000}"/>
    <cellStyle name="Percent 15 8 2" xfId="5283" xr:uid="{00000000-0005-0000-0000-000051100000}"/>
    <cellStyle name="Percent 15 9" xfId="4571" xr:uid="{00000000-0005-0000-0000-000052100000}"/>
    <cellStyle name="Percent 16" xfId="4572" xr:uid="{00000000-0005-0000-0000-000053100000}"/>
    <cellStyle name="Percent 16 2" xfId="2628" xr:uid="{00000000-0005-0000-0000-000054100000}"/>
    <cellStyle name="Percent 16 2 2" xfId="4573" xr:uid="{00000000-0005-0000-0000-000055100000}"/>
    <cellStyle name="Percent 16 3" xfId="2629" xr:uid="{00000000-0005-0000-0000-000056100000}"/>
    <cellStyle name="Percent 16 3 10" xfId="4575" xr:uid="{00000000-0005-0000-0000-000057100000}"/>
    <cellStyle name="Percent 16 3 11" xfId="4576" xr:uid="{00000000-0005-0000-0000-000058100000}"/>
    <cellStyle name="Percent 16 3 12" xfId="4577" xr:uid="{00000000-0005-0000-0000-000059100000}"/>
    <cellStyle name="Percent 16 3 13" xfId="4578" xr:uid="{00000000-0005-0000-0000-00005A100000}"/>
    <cellStyle name="Percent 16 3 14" xfId="4579" xr:uid="{00000000-0005-0000-0000-00005B100000}"/>
    <cellStyle name="Percent 16 3 15" xfId="4580" xr:uid="{00000000-0005-0000-0000-00005C100000}"/>
    <cellStyle name="Percent 16 3 16" xfId="4581" xr:uid="{00000000-0005-0000-0000-00005D100000}"/>
    <cellStyle name="Percent 16 3 17" xfId="4582" xr:uid="{00000000-0005-0000-0000-00005E100000}"/>
    <cellStyle name="Percent 16 3 18" xfId="4574" xr:uid="{00000000-0005-0000-0000-00005F100000}"/>
    <cellStyle name="Percent 16 3 2" xfId="4583" xr:uid="{00000000-0005-0000-0000-000060100000}"/>
    <cellStyle name="Percent 16 3 3" xfId="4584" xr:uid="{00000000-0005-0000-0000-000061100000}"/>
    <cellStyle name="Percent 16 3 4" xfId="4585" xr:uid="{00000000-0005-0000-0000-000062100000}"/>
    <cellStyle name="Percent 16 3 5" xfId="4586" xr:uid="{00000000-0005-0000-0000-000063100000}"/>
    <cellStyle name="Percent 16 3 6" xfId="4587" xr:uid="{00000000-0005-0000-0000-000064100000}"/>
    <cellStyle name="Percent 16 3 7" xfId="4588" xr:uid="{00000000-0005-0000-0000-000065100000}"/>
    <cellStyle name="Percent 16 3 8" xfId="4589" xr:uid="{00000000-0005-0000-0000-000066100000}"/>
    <cellStyle name="Percent 16 3 9" xfId="4590" xr:uid="{00000000-0005-0000-0000-000067100000}"/>
    <cellStyle name="Percent 16 4" xfId="2630" xr:uid="{00000000-0005-0000-0000-000068100000}"/>
    <cellStyle name="Percent 16 4 10" xfId="4592" xr:uid="{00000000-0005-0000-0000-000069100000}"/>
    <cellStyle name="Percent 16 4 11" xfId="4593" xr:uid="{00000000-0005-0000-0000-00006A100000}"/>
    <cellStyle name="Percent 16 4 12" xfId="4594" xr:uid="{00000000-0005-0000-0000-00006B100000}"/>
    <cellStyle name="Percent 16 4 13" xfId="4595" xr:uid="{00000000-0005-0000-0000-00006C100000}"/>
    <cellStyle name="Percent 16 4 14" xfId="4596" xr:uid="{00000000-0005-0000-0000-00006D100000}"/>
    <cellStyle name="Percent 16 4 15" xfId="4597" xr:uid="{00000000-0005-0000-0000-00006E100000}"/>
    <cellStyle name="Percent 16 4 16" xfId="4598" xr:uid="{00000000-0005-0000-0000-00006F100000}"/>
    <cellStyle name="Percent 16 4 17" xfId="4599" xr:uid="{00000000-0005-0000-0000-000070100000}"/>
    <cellStyle name="Percent 16 4 18" xfId="4591" xr:uid="{00000000-0005-0000-0000-000071100000}"/>
    <cellStyle name="Percent 16 4 2" xfId="4600" xr:uid="{00000000-0005-0000-0000-000072100000}"/>
    <cellStyle name="Percent 16 4 3" xfId="4601" xr:uid="{00000000-0005-0000-0000-000073100000}"/>
    <cellStyle name="Percent 16 4 4" xfId="4602" xr:uid="{00000000-0005-0000-0000-000074100000}"/>
    <cellStyle name="Percent 16 4 5" xfId="4603" xr:uid="{00000000-0005-0000-0000-000075100000}"/>
    <cellStyle name="Percent 16 4 6" xfId="4604" xr:uid="{00000000-0005-0000-0000-000076100000}"/>
    <cellStyle name="Percent 16 4 7" xfId="4605" xr:uid="{00000000-0005-0000-0000-000077100000}"/>
    <cellStyle name="Percent 16 4 8" xfId="4606" xr:uid="{00000000-0005-0000-0000-000078100000}"/>
    <cellStyle name="Percent 16 4 9" xfId="4607" xr:uid="{00000000-0005-0000-0000-000079100000}"/>
    <cellStyle name="Percent 16 5" xfId="2631" xr:uid="{00000000-0005-0000-0000-00007A100000}"/>
    <cellStyle name="Percent 16 5 10" xfId="4609" xr:uid="{00000000-0005-0000-0000-00007B100000}"/>
    <cellStyle name="Percent 16 5 11" xfId="4610" xr:uid="{00000000-0005-0000-0000-00007C100000}"/>
    <cellStyle name="Percent 16 5 12" xfId="4611" xr:uid="{00000000-0005-0000-0000-00007D100000}"/>
    <cellStyle name="Percent 16 5 13" xfId="4612" xr:uid="{00000000-0005-0000-0000-00007E100000}"/>
    <cellStyle name="Percent 16 5 14" xfId="4613" xr:uid="{00000000-0005-0000-0000-00007F100000}"/>
    <cellStyle name="Percent 16 5 15" xfId="4614" xr:uid="{00000000-0005-0000-0000-000080100000}"/>
    <cellStyle name="Percent 16 5 16" xfId="4615" xr:uid="{00000000-0005-0000-0000-000081100000}"/>
    <cellStyle name="Percent 16 5 17" xfId="4616" xr:uid="{00000000-0005-0000-0000-000082100000}"/>
    <cellStyle name="Percent 16 5 18" xfId="4608" xr:uid="{00000000-0005-0000-0000-000083100000}"/>
    <cellStyle name="Percent 16 5 2" xfId="4617" xr:uid="{00000000-0005-0000-0000-000084100000}"/>
    <cellStyle name="Percent 16 5 3" xfId="4618" xr:uid="{00000000-0005-0000-0000-000085100000}"/>
    <cellStyle name="Percent 16 5 4" xfId="4619" xr:uid="{00000000-0005-0000-0000-000086100000}"/>
    <cellStyle name="Percent 16 5 5" xfId="4620" xr:uid="{00000000-0005-0000-0000-000087100000}"/>
    <cellStyle name="Percent 16 5 6" xfId="4621" xr:uid="{00000000-0005-0000-0000-000088100000}"/>
    <cellStyle name="Percent 16 5 7" xfId="4622" xr:uid="{00000000-0005-0000-0000-000089100000}"/>
    <cellStyle name="Percent 16 5 8" xfId="4623" xr:uid="{00000000-0005-0000-0000-00008A100000}"/>
    <cellStyle name="Percent 16 5 9" xfId="4624" xr:uid="{00000000-0005-0000-0000-00008B100000}"/>
    <cellStyle name="Percent 16 6" xfId="2632" xr:uid="{00000000-0005-0000-0000-00008C100000}"/>
    <cellStyle name="Percent 16 6 10" xfId="4626" xr:uid="{00000000-0005-0000-0000-00008D100000}"/>
    <cellStyle name="Percent 16 6 11" xfId="4627" xr:uid="{00000000-0005-0000-0000-00008E100000}"/>
    <cellStyle name="Percent 16 6 12" xfId="4628" xr:uid="{00000000-0005-0000-0000-00008F100000}"/>
    <cellStyle name="Percent 16 6 13" xfId="4629" xr:uid="{00000000-0005-0000-0000-000090100000}"/>
    <cellStyle name="Percent 16 6 14" xfId="4630" xr:uid="{00000000-0005-0000-0000-000091100000}"/>
    <cellStyle name="Percent 16 6 15" xfId="4631" xr:uid="{00000000-0005-0000-0000-000092100000}"/>
    <cellStyle name="Percent 16 6 16" xfId="4632" xr:uid="{00000000-0005-0000-0000-000093100000}"/>
    <cellStyle name="Percent 16 6 17" xfId="4633" xr:uid="{00000000-0005-0000-0000-000094100000}"/>
    <cellStyle name="Percent 16 6 18" xfId="4625" xr:uid="{00000000-0005-0000-0000-000095100000}"/>
    <cellStyle name="Percent 16 6 2" xfId="4634" xr:uid="{00000000-0005-0000-0000-000096100000}"/>
    <cellStyle name="Percent 16 6 3" xfId="4635" xr:uid="{00000000-0005-0000-0000-000097100000}"/>
    <cellStyle name="Percent 16 6 4" xfId="4636" xr:uid="{00000000-0005-0000-0000-000098100000}"/>
    <cellStyle name="Percent 16 6 5" xfId="4637" xr:uid="{00000000-0005-0000-0000-000099100000}"/>
    <cellStyle name="Percent 16 6 6" xfId="4638" xr:uid="{00000000-0005-0000-0000-00009A100000}"/>
    <cellStyle name="Percent 16 6 7" xfId="4639" xr:uid="{00000000-0005-0000-0000-00009B100000}"/>
    <cellStyle name="Percent 16 6 8" xfId="4640" xr:uid="{00000000-0005-0000-0000-00009C100000}"/>
    <cellStyle name="Percent 16 6 9" xfId="4641" xr:uid="{00000000-0005-0000-0000-00009D100000}"/>
    <cellStyle name="Percent 16 7" xfId="2633" xr:uid="{00000000-0005-0000-0000-00009E100000}"/>
    <cellStyle name="Percent 16 7 10" xfId="4643" xr:uid="{00000000-0005-0000-0000-00009F100000}"/>
    <cellStyle name="Percent 16 7 11" xfId="4644" xr:uid="{00000000-0005-0000-0000-0000A0100000}"/>
    <cellStyle name="Percent 16 7 12" xfId="4645" xr:uid="{00000000-0005-0000-0000-0000A1100000}"/>
    <cellStyle name="Percent 16 7 13" xfId="4646" xr:uid="{00000000-0005-0000-0000-0000A2100000}"/>
    <cellStyle name="Percent 16 7 14" xfId="4647" xr:uid="{00000000-0005-0000-0000-0000A3100000}"/>
    <cellStyle name="Percent 16 7 15" xfId="4648" xr:uid="{00000000-0005-0000-0000-0000A4100000}"/>
    <cellStyle name="Percent 16 7 16" xfId="4649" xr:uid="{00000000-0005-0000-0000-0000A5100000}"/>
    <cellStyle name="Percent 16 7 17" xfId="4650" xr:uid="{00000000-0005-0000-0000-0000A6100000}"/>
    <cellStyle name="Percent 16 7 18" xfId="4642" xr:uid="{00000000-0005-0000-0000-0000A7100000}"/>
    <cellStyle name="Percent 16 7 2" xfId="2634" xr:uid="{00000000-0005-0000-0000-0000A8100000}"/>
    <cellStyle name="Percent 16 7 2 2" xfId="4651" xr:uid="{00000000-0005-0000-0000-0000A9100000}"/>
    <cellStyle name="Percent 16 7 3" xfId="2635" xr:uid="{00000000-0005-0000-0000-0000AA100000}"/>
    <cellStyle name="Percent 16 7 3 2" xfId="4652" xr:uid="{00000000-0005-0000-0000-0000AB100000}"/>
    <cellStyle name="Percent 16 7 4" xfId="4653" xr:uid="{00000000-0005-0000-0000-0000AC100000}"/>
    <cellStyle name="Percent 16 7 5" xfId="4654" xr:uid="{00000000-0005-0000-0000-0000AD100000}"/>
    <cellStyle name="Percent 16 7 6" xfId="4655" xr:uid="{00000000-0005-0000-0000-0000AE100000}"/>
    <cellStyle name="Percent 16 7 7" xfId="4656" xr:uid="{00000000-0005-0000-0000-0000AF100000}"/>
    <cellStyle name="Percent 16 7 8" xfId="4657" xr:uid="{00000000-0005-0000-0000-0000B0100000}"/>
    <cellStyle name="Percent 16 7 9" xfId="4658" xr:uid="{00000000-0005-0000-0000-0000B1100000}"/>
    <cellStyle name="Percent 16 8" xfId="4659" xr:uid="{00000000-0005-0000-0000-0000B2100000}"/>
    <cellStyle name="Percent 16 8 10" xfId="4660" xr:uid="{00000000-0005-0000-0000-0000B3100000}"/>
    <cellStyle name="Percent 16 8 11" xfId="4661" xr:uid="{00000000-0005-0000-0000-0000B4100000}"/>
    <cellStyle name="Percent 16 8 12" xfId="4662" xr:uid="{00000000-0005-0000-0000-0000B5100000}"/>
    <cellStyle name="Percent 16 8 13" xfId="4663" xr:uid="{00000000-0005-0000-0000-0000B6100000}"/>
    <cellStyle name="Percent 16 8 14" xfId="4664" xr:uid="{00000000-0005-0000-0000-0000B7100000}"/>
    <cellStyle name="Percent 16 8 15" xfId="4665" xr:uid="{00000000-0005-0000-0000-0000B8100000}"/>
    <cellStyle name="Percent 16 8 16" xfId="4666" xr:uid="{00000000-0005-0000-0000-0000B9100000}"/>
    <cellStyle name="Percent 16 8 17" xfId="4667" xr:uid="{00000000-0005-0000-0000-0000BA100000}"/>
    <cellStyle name="Percent 16 8 2" xfId="4668" xr:uid="{00000000-0005-0000-0000-0000BB100000}"/>
    <cellStyle name="Percent 16 8 3" xfId="4669" xr:uid="{00000000-0005-0000-0000-0000BC100000}"/>
    <cellStyle name="Percent 16 8 4" xfId="4670" xr:uid="{00000000-0005-0000-0000-0000BD100000}"/>
    <cellStyle name="Percent 16 8 5" xfId="4671" xr:uid="{00000000-0005-0000-0000-0000BE100000}"/>
    <cellStyle name="Percent 16 8 6" xfId="4672" xr:uid="{00000000-0005-0000-0000-0000BF100000}"/>
    <cellStyle name="Percent 16 8 7" xfId="4673" xr:uid="{00000000-0005-0000-0000-0000C0100000}"/>
    <cellStyle name="Percent 16 8 8" xfId="4674" xr:uid="{00000000-0005-0000-0000-0000C1100000}"/>
    <cellStyle name="Percent 16 8 9" xfId="4675" xr:uid="{00000000-0005-0000-0000-0000C2100000}"/>
    <cellStyle name="Percent 16 9" xfId="4676" xr:uid="{00000000-0005-0000-0000-0000C3100000}"/>
    <cellStyle name="Percent 16 9 10" xfId="4677" xr:uid="{00000000-0005-0000-0000-0000C4100000}"/>
    <cellStyle name="Percent 16 9 11" xfId="4678" xr:uid="{00000000-0005-0000-0000-0000C5100000}"/>
    <cellStyle name="Percent 16 9 12" xfId="4679" xr:uid="{00000000-0005-0000-0000-0000C6100000}"/>
    <cellStyle name="Percent 16 9 13" xfId="4680" xr:uid="{00000000-0005-0000-0000-0000C7100000}"/>
    <cellStyle name="Percent 16 9 14" xfId="4681" xr:uid="{00000000-0005-0000-0000-0000C8100000}"/>
    <cellStyle name="Percent 16 9 15" xfId="4682" xr:uid="{00000000-0005-0000-0000-0000C9100000}"/>
    <cellStyle name="Percent 16 9 16" xfId="4683" xr:uid="{00000000-0005-0000-0000-0000CA100000}"/>
    <cellStyle name="Percent 16 9 17" xfId="4684" xr:uid="{00000000-0005-0000-0000-0000CB100000}"/>
    <cellStyle name="Percent 16 9 2" xfId="4685" xr:uid="{00000000-0005-0000-0000-0000CC100000}"/>
    <cellStyle name="Percent 16 9 3" xfId="4686" xr:uid="{00000000-0005-0000-0000-0000CD100000}"/>
    <cellStyle name="Percent 16 9 4" xfId="4687" xr:uid="{00000000-0005-0000-0000-0000CE100000}"/>
    <cellStyle name="Percent 16 9 5" xfId="4688" xr:uid="{00000000-0005-0000-0000-0000CF100000}"/>
    <cellStyle name="Percent 16 9 6" xfId="4689" xr:uid="{00000000-0005-0000-0000-0000D0100000}"/>
    <cellStyle name="Percent 16 9 7" xfId="4690" xr:uid="{00000000-0005-0000-0000-0000D1100000}"/>
    <cellStyle name="Percent 16 9 8" xfId="4691" xr:uid="{00000000-0005-0000-0000-0000D2100000}"/>
    <cellStyle name="Percent 16 9 9" xfId="4692" xr:uid="{00000000-0005-0000-0000-0000D3100000}"/>
    <cellStyle name="Percent 17" xfId="2636" xr:uid="{00000000-0005-0000-0000-0000D4100000}"/>
    <cellStyle name="Percent 17 2" xfId="2637" xr:uid="{00000000-0005-0000-0000-0000D5100000}"/>
    <cellStyle name="Percent 17 2 2" xfId="5284" xr:uid="{00000000-0005-0000-0000-0000D6100000}"/>
    <cellStyle name="Percent 17 3" xfId="2638" xr:uid="{00000000-0005-0000-0000-0000D7100000}"/>
    <cellStyle name="Percent 17 4" xfId="2639" xr:uid="{00000000-0005-0000-0000-0000D8100000}"/>
    <cellStyle name="Percent 17 5" xfId="2640" xr:uid="{00000000-0005-0000-0000-0000D9100000}"/>
    <cellStyle name="Percent 17 6" xfId="2641" xr:uid="{00000000-0005-0000-0000-0000DA100000}"/>
    <cellStyle name="Percent 17 7" xfId="2642" xr:uid="{00000000-0005-0000-0000-0000DB100000}"/>
    <cellStyle name="Percent 17 7 2" xfId="2643" xr:uid="{00000000-0005-0000-0000-0000DC100000}"/>
    <cellStyle name="Percent 17 7 3" xfId="2644" xr:uid="{00000000-0005-0000-0000-0000DD100000}"/>
    <cellStyle name="Percent 17 8" xfId="2645" xr:uid="{00000000-0005-0000-0000-0000DE100000}"/>
    <cellStyle name="Percent 17 8 2" xfId="2646" xr:uid="{00000000-0005-0000-0000-0000DF100000}"/>
    <cellStyle name="Percent 17 9" xfId="5285" xr:uid="{00000000-0005-0000-0000-0000E0100000}"/>
    <cellStyle name="Percent 17 9 2" xfId="5286" xr:uid="{00000000-0005-0000-0000-0000E1100000}"/>
    <cellStyle name="Percent 17 9 3" xfId="5287" xr:uid="{00000000-0005-0000-0000-0000E2100000}"/>
    <cellStyle name="Percent 17 9 3 2" xfId="5288" xr:uid="{00000000-0005-0000-0000-0000E3100000}"/>
    <cellStyle name="Percent 17 9 3 3" xfId="5289" xr:uid="{00000000-0005-0000-0000-0000E4100000}"/>
    <cellStyle name="Percent 17 9 4" xfId="5290" xr:uid="{00000000-0005-0000-0000-0000E5100000}"/>
    <cellStyle name="Percent 17 9 5" xfId="5291" xr:uid="{00000000-0005-0000-0000-0000E6100000}"/>
    <cellStyle name="Percent 18" xfId="4693" xr:uid="{00000000-0005-0000-0000-0000E7100000}"/>
    <cellStyle name="Percent 18 2" xfId="5293" xr:uid="{00000000-0005-0000-0000-0000E8100000}"/>
    <cellStyle name="Percent 18 3" xfId="5292" xr:uid="{00000000-0005-0000-0000-0000E9100000}"/>
    <cellStyle name="Percent 19" xfId="4515" xr:uid="{00000000-0005-0000-0000-0000EA100000}"/>
    <cellStyle name="Percent 2" xfId="56" xr:uid="{00000000-0005-0000-0000-0000EB100000}"/>
    <cellStyle name="Percent 2 10" xfId="2647" xr:uid="{00000000-0005-0000-0000-0000EC100000}"/>
    <cellStyle name="Percent 2 10 2" xfId="2648" xr:uid="{00000000-0005-0000-0000-0000ED100000}"/>
    <cellStyle name="Percent 2 10 3" xfId="4694" xr:uid="{00000000-0005-0000-0000-0000EE100000}"/>
    <cellStyle name="Percent 2 10 4" xfId="4695" xr:uid="{00000000-0005-0000-0000-0000EF100000}"/>
    <cellStyle name="Percent 2 10 5" xfId="4696" xr:uid="{00000000-0005-0000-0000-0000F0100000}"/>
    <cellStyle name="Percent 2 10 6" xfId="4697" xr:uid="{00000000-0005-0000-0000-0000F1100000}"/>
    <cellStyle name="Percent 2 10 7" xfId="4698" xr:uid="{00000000-0005-0000-0000-0000F2100000}"/>
    <cellStyle name="Percent 2 10 8" xfId="4699" xr:uid="{00000000-0005-0000-0000-0000F3100000}"/>
    <cellStyle name="Percent 2 11" xfId="2649" xr:uid="{00000000-0005-0000-0000-0000F4100000}"/>
    <cellStyle name="Percent 2 11 2" xfId="2650" xr:uid="{00000000-0005-0000-0000-0000F5100000}"/>
    <cellStyle name="Percent 2 11 3" xfId="4700" xr:uid="{00000000-0005-0000-0000-0000F6100000}"/>
    <cellStyle name="Percent 2 11 4" xfId="4701" xr:uid="{00000000-0005-0000-0000-0000F7100000}"/>
    <cellStyle name="Percent 2 11 5" xfId="4702" xr:uid="{00000000-0005-0000-0000-0000F8100000}"/>
    <cellStyle name="Percent 2 11 6" xfId="4703" xr:uid="{00000000-0005-0000-0000-0000F9100000}"/>
    <cellStyle name="Percent 2 11 7" xfId="4704" xr:uid="{00000000-0005-0000-0000-0000FA100000}"/>
    <cellStyle name="Percent 2 11 8" xfId="4705" xr:uid="{00000000-0005-0000-0000-0000FB100000}"/>
    <cellStyle name="Percent 2 12" xfId="2651" xr:uid="{00000000-0005-0000-0000-0000FC100000}"/>
    <cellStyle name="Percent 2 13" xfId="2652" xr:uid="{00000000-0005-0000-0000-0000FD100000}"/>
    <cellStyle name="Percent 2 14" xfId="2653" xr:uid="{00000000-0005-0000-0000-0000FE100000}"/>
    <cellStyle name="Percent 2 15" xfId="2654" xr:uid="{00000000-0005-0000-0000-0000FF100000}"/>
    <cellStyle name="Percent 2 16" xfId="2655" xr:uid="{00000000-0005-0000-0000-000000110000}"/>
    <cellStyle name="Percent 2 17" xfId="2656" xr:uid="{00000000-0005-0000-0000-000001110000}"/>
    <cellStyle name="Percent 2 18" xfId="2657" xr:uid="{00000000-0005-0000-0000-000002110000}"/>
    <cellStyle name="Percent 2 19" xfId="2658" xr:uid="{00000000-0005-0000-0000-000003110000}"/>
    <cellStyle name="Percent 2 2" xfId="250" xr:uid="{00000000-0005-0000-0000-000004110000}"/>
    <cellStyle name="Percent 2 2 2" xfId="251" xr:uid="{00000000-0005-0000-0000-000005110000}"/>
    <cellStyle name="Percent 2 2 3" xfId="252" xr:uid="{00000000-0005-0000-0000-000006110000}"/>
    <cellStyle name="Percent 2 2 3 2" xfId="253" xr:uid="{00000000-0005-0000-0000-000007110000}"/>
    <cellStyle name="Percent 2 2 3 3" xfId="254" xr:uid="{00000000-0005-0000-0000-000008110000}"/>
    <cellStyle name="Percent 2 2 3 4" xfId="378" xr:uid="{00000000-0005-0000-0000-000009110000}"/>
    <cellStyle name="Percent 2 2 4" xfId="255" xr:uid="{00000000-0005-0000-0000-00000A110000}"/>
    <cellStyle name="Percent 2 2 4 2" xfId="2660" xr:uid="{00000000-0005-0000-0000-00000B110000}"/>
    <cellStyle name="Percent 2 2 5" xfId="2661" xr:uid="{00000000-0005-0000-0000-00000C110000}"/>
    <cellStyle name="Percent 2 2 6" xfId="2662" xr:uid="{00000000-0005-0000-0000-00000D110000}"/>
    <cellStyle name="Percent 2 2 6 2" xfId="4706" xr:uid="{00000000-0005-0000-0000-00000E110000}"/>
    <cellStyle name="Percent 2 2 7" xfId="2659" xr:uid="{00000000-0005-0000-0000-00000F110000}"/>
    <cellStyle name="Percent 2 2 7 2" xfId="4707" xr:uid="{00000000-0005-0000-0000-000010110000}"/>
    <cellStyle name="Percent 2 2 8" xfId="4708" xr:uid="{00000000-0005-0000-0000-000011110000}"/>
    <cellStyle name="Percent 2 2 9" xfId="4709" xr:uid="{00000000-0005-0000-0000-000012110000}"/>
    <cellStyle name="Percent 2 20" xfId="2663" xr:uid="{00000000-0005-0000-0000-000013110000}"/>
    <cellStyle name="Percent 2 20 2" xfId="5294" xr:uid="{00000000-0005-0000-0000-000014110000}"/>
    <cellStyle name="Percent 2 20 2 2" xfId="5295" xr:uid="{00000000-0005-0000-0000-000015110000}"/>
    <cellStyle name="Percent 2 20 2 3" xfId="5296" xr:uid="{00000000-0005-0000-0000-000016110000}"/>
    <cellStyle name="Percent 2 20 2 3 2" xfId="5297" xr:uid="{00000000-0005-0000-0000-000017110000}"/>
    <cellStyle name="Percent 2 20 2 3 3" xfId="5298" xr:uid="{00000000-0005-0000-0000-000018110000}"/>
    <cellStyle name="Percent 2 20 2 4" xfId="5299" xr:uid="{00000000-0005-0000-0000-000019110000}"/>
    <cellStyle name="Percent 2 20 2 5" xfId="5300" xr:uid="{00000000-0005-0000-0000-00001A110000}"/>
    <cellStyle name="Percent 2 21" xfId="2664" xr:uid="{00000000-0005-0000-0000-00001B110000}"/>
    <cellStyle name="Percent 2 22" xfId="2665" xr:uid="{00000000-0005-0000-0000-00001C110000}"/>
    <cellStyle name="Percent 2 23" xfId="2666" xr:uid="{00000000-0005-0000-0000-00001D110000}"/>
    <cellStyle name="Percent 2 24" xfId="2667" xr:uid="{00000000-0005-0000-0000-00001E110000}"/>
    <cellStyle name="Percent 2 25" xfId="2668" xr:uid="{00000000-0005-0000-0000-00001F110000}"/>
    <cellStyle name="Percent 2 26" xfId="2669" xr:uid="{00000000-0005-0000-0000-000020110000}"/>
    <cellStyle name="Percent 2 27" xfId="2670" xr:uid="{00000000-0005-0000-0000-000021110000}"/>
    <cellStyle name="Percent 2 28" xfId="2671" xr:uid="{00000000-0005-0000-0000-000022110000}"/>
    <cellStyle name="Percent 2 29" xfId="2672" xr:uid="{00000000-0005-0000-0000-000023110000}"/>
    <cellStyle name="Percent 2 3" xfId="256" xr:uid="{00000000-0005-0000-0000-000024110000}"/>
    <cellStyle name="Percent 2 3 10" xfId="2673" xr:uid="{00000000-0005-0000-0000-000025110000}"/>
    <cellStyle name="Percent 2 3 11" xfId="2674" xr:uid="{00000000-0005-0000-0000-000026110000}"/>
    <cellStyle name="Percent 2 3 12" xfId="2675" xr:uid="{00000000-0005-0000-0000-000027110000}"/>
    <cellStyle name="Percent 2 3 13" xfId="2676" xr:uid="{00000000-0005-0000-0000-000028110000}"/>
    <cellStyle name="Percent 2 3 14" xfId="2677" xr:uid="{00000000-0005-0000-0000-000029110000}"/>
    <cellStyle name="Percent 2 3 15" xfId="2678" xr:uid="{00000000-0005-0000-0000-00002A110000}"/>
    <cellStyle name="Percent 2 3 16" xfId="2679" xr:uid="{00000000-0005-0000-0000-00002B110000}"/>
    <cellStyle name="Percent 2 3 2" xfId="257" xr:uid="{00000000-0005-0000-0000-00002C110000}"/>
    <cellStyle name="Percent 2 3 3" xfId="258" xr:uid="{00000000-0005-0000-0000-00002D110000}"/>
    <cellStyle name="Percent 2 3 3 2" xfId="259" xr:uid="{00000000-0005-0000-0000-00002E110000}"/>
    <cellStyle name="Percent 2 3 3 3" xfId="260" xr:uid="{00000000-0005-0000-0000-00002F110000}"/>
    <cellStyle name="Percent 2 3 3 3 2" xfId="261" xr:uid="{00000000-0005-0000-0000-000030110000}"/>
    <cellStyle name="Percent 2 3 3 3 3" xfId="262" xr:uid="{00000000-0005-0000-0000-000031110000}"/>
    <cellStyle name="Percent 2 3 3 3 4" xfId="380" xr:uid="{00000000-0005-0000-0000-000032110000}"/>
    <cellStyle name="Percent 2 3 3 3 4 2" xfId="2680" xr:uid="{00000000-0005-0000-0000-000033110000}"/>
    <cellStyle name="Percent 2 3 4" xfId="263" xr:uid="{00000000-0005-0000-0000-000034110000}"/>
    <cellStyle name="Percent 2 3 5" xfId="379" xr:uid="{00000000-0005-0000-0000-000035110000}"/>
    <cellStyle name="Percent 2 3 5 2" xfId="2681" xr:uid="{00000000-0005-0000-0000-000036110000}"/>
    <cellStyle name="Percent 2 3 6" xfId="2682" xr:uid="{00000000-0005-0000-0000-000037110000}"/>
    <cellStyle name="Percent 2 3 7" xfId="2683" xr:uid="{00000000-0005-0000-0000-000038110000}"/>
    <cellStyle name="Percent 2 3 8" xfId="2684" xr:uid="{00000000-0005-0000-0000-000039110000}"/>
    <cellStyle name="Percent 2 3 9" xfId="2685" xr:uid="{00000000-0005-0000-0000-00003A110000}"/>
    <cellStyle name="Percent 2 30" xfId="2686" xr:uid="{00000000-0005-0000-0000-00003B110000}"/>
    <cellStyle name="Percent 2 31" xfId="2687" xr:uid="{00000000-0005-0000-0000-00003C110000}"/>
    <cellStyle name="Percent 2 32" xfId="2688" xr:uid="{00000000-0005-0000-0000-00003D110000}"/>
    <cellStyle name="Percent 2 33" xfId="2689" xr:uid="{00000000-0005-0000-0000-00003E110000}"/>
    <cellStyle name="Percent 2 33 2" xfId="5301" xr:uid="{00000000-0005-0000-0000-00003F110000}"/>
    <cellStyle name="Percent 2 34" xfId="2690" xr:uid="{00000000-0005-0000-0000-000040110000}"/>
    <cellStyle name="Percent 2 34 2" xfId="5302" xr:uid="{00000000-0005-0000-0000-000041110000}"/>
    <cellStyle name="Percent 2 35" xfId="2691" xr:uid="{00000000-0005-0000-0000-000042110000}"/>
    <cellStyle name="Percent 2 35 2" xfId="5303" xr:uid="{00000000-0005-0000-0000-000043110000}"/>
    <cellStyle name="Percent 2 36" xfId="2692" xr:uid="{00000000-0005-0000-0000-000044110000}"/>
    <cellStyle name="Percent 2 36 2" xfId="5304" xr:uid="{00000000-0005-0000-0000-000045110000}"/>
    <cellStyle name="Percent 2 37" xfId="2693" xr:uid="{00000000-0005-0000-0000-000046110000}"/>
    <cellStyle name="Percent 2 37 2" xfId="5305" xr:uid="{00000000-0005-0000-0000-000047110000}"/>
    <cellStyle name="Percent 2 38" xfId="2694" xr:uid="{00000000-0005-0000-0000-000048110000}"/>
    <cellStyle name="Percent 2 38 2" xfId="5306" xr:uid="{00000000-0005-0000-0000-000049110000}"/>
    <cellStyle name="Percent 2 39" xfId="2695" xr:uid="{00000000-0005-0000-0000-00004A110000}"/>
    <cellStyle name="Percent 2 39 2" xfId="5307" xr:uid="{00000000-0005-0000-0000-00004B110000}"/>
    <cellStyle name="Percent 2 4" xfId="264" xr:uid="{00000000-0005-0000-0000-00004C110000}"/>
    <cellStyle name="Percent 2 4 10" xfId="2696" xr:uid="{00000000-0005-0000-0000-00004D110000}"/>
    <cellStyle name="Percent 2 4 10 2" xfId="5309" xr:uid="{00000000-0005-0000-0000-00004E110000}"/>
    <cellStyle name="Percent 2 4 11" xfId="2697" xr:uid="{00000000-0005-0000-0000-00004F110000}"/>
    <cellStyle name="Percent 2 4 11 2" xfId="5310" xr:uid="{00000000-0005-0000-0000-000050110000}"/>
    <cellStyle name="Percent 2 4 12" xfId="2698" xr:uid="{00000000-0005-0000-0000-000051110000}"/>
    <cellStyle name="Percent 2 4 12 2" xfId="5311" xr:uid="{00000000-0005-0000-0000-000052110000}"/>
    <cellStyle name="Percent 2 4 13" xfId="2699" xr:uid="{00000000-0005-0000-0000-000053110000}"/>
    <cellStyle name="Percent 2 4 13 2" xfId="5312" xr:uid="{00000000-0005-0000-0000-000054110000}"/>
    <cellStyle name="Percent 2 4 14" xfId="2700" xr:uid="{00000000-0005-0000-0000-000055110000}"/>
    <cellStyle name="Percent 2 4 14 2" xfId="5313" xr:uid="{00000000-0005-0000-0000-000056110000}"/>
    <cellStyle name="Percent 2 4 15" xfId="2701" xr:uid="{00000000-0005-0000-0000-000057110000}"/>
    <cellStyle name="Percent 2 4 15 2" xfId="5314" xr:uid="{00000000-0005-0000-0000-000058110000}"/>
    <cellStyle name="Percent 2 4 16" xfId="2702" xr:uid="{00000000-0005-0000-0000-000059110000}"/>
    <cellStyle name="Percent 2 4 16 2" xfId="5315" xr:uid="{00000000-0005-0000-0000-00005A110000}"/>
    <cellStyle name="Percent 2 4 17" xfId="5308" xr:uid="{00000000-0005-0000-0000-00005B110000}"/>
    <cellStyle name="Percent 2 4 2" xfId="2703" xr:uid="{00000000-0005-0000-0000-00005C110000}"/>
    <cellStyle name="Percent 2 4 2 2" xfId="5316" xr:uid="{00000000-0005-0000-0000-00005D110000}"/>
    <cellStyle name="Percent 2 4 3" xfId="2704" xr:uid="{00000000-0005-0000-0000-00005E110000}"/>
    <cellStyle name="Percent 2 4 3 2" xfId="5317" xr:uid="{00000000-0005-0000-0000-00005F110000}"/>
    <cellStyle name="Percent 2 4 4" xfId="2705" xr:uid="{00000000-0005-0000-0000-000060110000}"/>
    <cellStyle name="Percent 2 4 4 2" xfId="5318" xr:uid="{00000000-0005-0000-0000-000061110000}"/>
    <cellStyle name="Percent 2 4 5" xfId="2706" xr:uid="{00000000-0005-0000-0000-000062110000}"/>
    <cellStyle name="Percent 2 4 5 2" xfId="5319" xr:uid="{00000000-0005-0000-0000-000063110000}"/>
    <cellStyle name="Percent 2 4 6" xfId="2707" xr:uid="{00000000-0005-0000-0000-000064110000}"/>
    <cellStyle name="Percent 2 4 6 2" xfId="5320" xr:uid="{00000000-0005-0000-0000-000065110000}"/>
    <cellStyle name="Percent 2 4 7" xfId="2708" xr:uid="{00000000-0005-0000-0000-000066110000}"/>
    <cellStyle name="Percent 2 4 7 2" xfId="5321" xr:uid="{00000000-0005-0000-0000-000067110000}"/>
    <cellStyle name="Percent 2 4 8" xfId="2709" xr:uid="{00000000-0005-0000-0000-000068110000}"/>
    <cellStyle name="Percent 2 4 8 2" xfId="5322" xr:uid="{00000000-0005-0000-0000-000069110000}"/>
    <cellStyle name="Percent 2 4 9" xfId="2710" xr:uid="{00000000-0005-0000-0000-00006A110000}"/>
    <cellStyle name="Percent 2 4 9 2" xfId="5323" xr:uid="{00000000-0005-0000-0000-00006B110000}"/>
    <cellStyle name="Percent 2 40" xfId="2711" xr:uid="{00000000-0005-0000-0000-00006C110000}"/>
    <cellStyle name="Percent 2 40 2" xfId="5324" xr:uid="{00000000-0005-0000-0000-00006D110000}"/>
    <cellStyle name="Percent 2 41" xfId="2712" xr:uid="{00000000-0005-0000-0000-00006E110000}"/>
    <cellStyle name="Percent 2 41 2" xfId="5325" xr:uid="{00000000-0005-0000-0000-00006F110000}"/>
    <cellStyle name="Percent 2 42" xfId="2713" xr:uid="{00000000-0005-0000-0000-000070110000}"/>
    <cellStyle name="Percent 2 42 2" xfId="5326" xr:uid="{00000000-0005-0000-0000-000071110000}"/>
    <cellStyle name="Percent 2 43" xfId="2714" xr:uid="{00000000-0005-0000-0000-000072110000}"/>
    <cellStyle name="Percent 2 43 2" xfId="5327" xr:uid="{00000000-0005-0000-0000-000073110000}"/>
    <cellStyle name="Percent 2 44" xfId="2715" xr:uid="{00000000-0005-0000-0000-000074110000}"/>
    <cellStyle name="Percent 2 44 2" xfId="5328" xr:uid="{00000000-0005-0000-0000-000075110000}"/>
    <cellStyle name="Percent 2 45" xfId="2716" xr:uid="{00000000-0005-0000-0000-000076110000}"/>
    <cellStyle name="Percent 2 45 2" xfId="5329" xr:uid="{00000000-0005-0000-0000-000077110000}"/>
    <cellStyle name="Percent 2 46" xfId="2717" xr:uid="{00000000-0005-0000-0000-000078110000}"/>
    <cellStyle name="Percent 2 46 2" xfId="5330" xr:uid="{00000000-0005-0000-0000-000079110000}"/>
    <cellStyle name="Percent 2 47" xfId="2718" xr:uid="{00000000-0005-0000-0000-00007A110000}"/>
    <cellStyle name="Percent 2 47 2" xfId="5331" xr:uid="{00000000-0005-0000-0000-00007B110000}"/>
    <cellStyle name="Percent 2 48" xfId="2719" xr:uid="{00000000-0005-0000-0000-00007C110000}"/>
    <cellStyle name="Percent 2 48 2" xfId="2720" xr:uid="{00000000-0005-0000-0000-00007D110000}"/>
    <cellStyle name="Percent 2 48 2 2" xfId="5333" xr:uid="{00000000-0005-0000-0000-00007E110000}"/>
    <cellStyle name="Percent 2 48 3" xfId="5334" xr:uid="{00000000-0005-0000-0000-00007F110000}"/>
    <cellStyle name="Percent 2 48 4" xfId="5332" xr:uid="{00000000-0005-0000-0000-000080110000}"/>
    <cellStyle name="Percent 2 49" xfId="2721" xr:uid="{00000000-0005-0000-0000-000081110000}"/>
    <cellStyle name="Percent 2 49 2" xfId="5336" xr:uid="{00000000-0005-0000-0000-000082110000}"/>
    <cellStyle name="Percent 2 49 3" xfId="5335" xr:uid="{00000000-0005-0000-0000-000083110000}"/>
    <cellStyle name="Percent 2 5" xfId="265" xr:uid="{00000000-0005-0000-0000-000084110000}"/>
    <cellStyle name="Percent 2 5 10" xfId="2722" xr:uid="{00000000-0005-0000-0000-000085110000}"/>
    <cellStyle name="Percent 2 5 10 2" xfId="5338" xr:uid="{00000000-0005-0000-0000-000086110000}"/>
    <cellStyle name="Percent 2 5 11" xfId="2723" xr:uid="{00000000-0005-0000-0000-000087110000}"/>
    <cellStyle name="Percent 2 5 11 2" xfId="5339" xr:uid="{00000000-0005-0000-0000-000088110000}"/>
    <cellStyle name="Percent 2 5 12" xfId="2724" xr:uid="{00000000-0005-0000-0000-000089110000}"/>
    <cellStyle name="Percent 2 5 12 2" xfId="5340" xr:uid="{00000000-0005-0000-0000-00008A110000}"/>
    <cellStyle name="Percent 2 5 13" xfId="2725" xr:uid="{00000000-0005-0000-0000-00008B110000}"/>
    <cellStyle name="Percent 2 5 13 2" xfId="5341" xr:uid="{00000000-0005-0000-0000-00008C110000}"/>
    <cellStyle name="Percent 2 5 14" xfId="2726" xr:uid="{00000000-0005-0000-0000-00008D110000}"/>
    <cellStyle name="Percent 2 5 14 2" xfId="5342" xr:uid="{00000000-0005-0000-0000-00008E110000}"/>
    <cellStyle name="Percent 2 5 15" xfId="2727" xr:uid="{00000000-0005-0000-0000-00008F110000}"/>
    <cellStyle name="Percent 2 5 15 2" xfId="5343" xr:uid="{00000000-0005-0000-0000-000090110000}"/>
    <cellStyle name="Percent 2 5 16" xfId="5337" xr:uid="{00000000-0005-0000-0000-000091110000}"/>
    <cellStyle name="Percent 2 5 2" xfId="2728" xr:uid="{00000000-0005-0000-0000-000092110000}"/>
    <cellStyle name="Percent 2 5 2 2" xfId="5344" xr:uid="{00000000-0005-0000-0000-000093110000}"/>
    <cellStyle name="Percent 2 5 3" xfId="2729" xr:uid="{00000000-0005-0000-0000-000094110000}"/>
    <cellStyle name="Percent 2 5 3 2" xfId="5345" xr:uid="{00000000-0005-0000-0000-000095110000}"/>
    <cellStyle name="Percent 2 5 4" xfId="2730" xr:uid="{00000000-0005-0000-0000-000096110000}"/>
    <cellStyle name="Percent 2 5 4 2" xfId="5346" xr:uid="{00000000-0005-0000-0000-000097110000}"/>
    <cellStyle name="Percent 2 5 5" xfId="2731" xr:uid="{00000000-0005-0000-0000-000098110000}"/>
    <cellStyle name="Percent 2 5 5 2" xfId="5347" xr:uid="{00000000-0005-0000-0000-000099110000}"/>
    <cellStyle name="Percent 2 5 6" xfId="2732" xr:uid="{00000000-0005-0000-0000-00009A110000}"/>
    <cellStyle name="Percent 2 5 6 2" xfId="5348" xr:uid="{00000000-0005-0000-0000-00009B110000}"/>
    <cellStyle name="Percent 2 5 7" xfId="2733" xr:uid="{00000000-0005-0000-0000-00009C110000}"/>
    <cellStyle name="Percent 2 5 7 2" xfId="5349" xr:uid="{00000000-0005-0000-0000-00009D110000}"/>
    <cellStyle name="Percent 2 5 8" xfId="2734" xr:uid="{00000000-0005-0000-0000-00009E110000}"/>
    <cellStyle name="Percent 2 5 8 2" xfId="5350" xr:uid="{00000000-0005-0000-0000-00009F110000}"/>
    <cellStyle name="Percent 2 5 9" xfId="2735" xr:uid="{00000000-0005-0000-0000-0000A0110000}"/>
    <cellStyle name="Percent 2 5 9 2" xfId="5351" xr:uid="{00000000-0005-0000-0000-0000A1110000}"/>
    <cellStyle name="Percent 2 6" xfId="2736" xr:uid="{00000000-0005-0000-0000-0000A2110000}"/>
    <cellStyle name="Percent 2 6 10" xfId="2737" xr:uid="{00000000-0005-0000-0000-0000A3110000}"/>
    <cellStyle name="Percent 2 6 10 2" xfId="5353" xr:uid="{00000000-0005-0000-0000-0000A4110000}"/>
    <cellStyle name="Percent 2 6 11" xfId="2738" xr:uid="{00000000-0005-0000-0000-0000A5110000}"/>
    <cellStyle name="Percent 2 6 11 2" xfId="5354" xr:uid="{00000000-0005-0000-0000-0000A6110000}"/>
    <cellStyle name="Percent 2 6 12" xfId="2739" xr:uid="{00000000-0005-0000-0000-0000A7110000}"/>
    <cellStyle name="Percent 2 6 12 2" xfId="5355" xr:uid="{00000000-0005-0000-0000-0000A8110000}"/>
    <cellStyle name="Percent 2 6 13" xfId="2740" xr:uid="{00000000-0005-0000-0000-0000A9110000}"/>
    <cellStyle name="Percent 2 6 13 2" xfId="5356" xr:uid="{00000000-0005-0000-0000-0000AA110000}"/>
    <cellStyle name="Percent 2 6 14" xfId="2741" xr:uid="{00000000-0005-0000-0000-0000AB110000}"/>
    <cellStyle name="Percent 2 6 14 2" xfId="5357" xr:uid="{00000000-0005-0000-0000-0000AC110000}"/>
    <cellStyle name="Percent 2 6 15" xfId="2742" xr:uid="{00000000-0005-0000-0000-0000AD110000}"/>
    <cellStyle name="Percent 2 6 15 2" xfId="5358" xr:uid="{00000000-0005-0000-0000-0000AE110000}"/>
    <cellStyle name="Percent 2 6 16" xfId="5352" xr:uid="{00000000-0005-0000-0000-0000AF110000}"/>
    <cellStyle name="Percent 2 6 2" xfId="2743" xr:uid="{00000000-0005-0000-0000-0000B0110000}"/>
    <cellStyle name="Percent 2 6 2 2" xfId="5359" xr:uid="{00000000-0005-0000-0000-0000B1110000}"/>
    <cellStyle name="Percent 2 6 3" xfId="2744" xr:uid="{00000000-0005-0000-0000-0000B2110000}"/>
    <cellStyle name="Percent 2 6 3 2" xfId="5360" xr:uid="{00000000-0005-0000-0000-0000B3110000}"/>
    <cellStyle name="Percent 2 6 4" xfId="2745" xr:uid="{00000000-0005-0000-0000-0000B4110000}"/>
    <cellStyle name="Percent 2 6 4 2" xfId="5361" xr:uid="{00000000-0005-0000-0000-0000B5110000}"/>
    <cellStyle name="Percent 2 6 5" xfId="2746" xr:uid="{00000000-0005-0000-0000-0000B6110000}"/>
    <cellStyle name="Percent 2 6 5 2" xfId="5362" xr:uid="{00000000-0005-0000-0000-0000B7110000}"/>
    <cellStyle name="Percent 2 6 6" xfId="2747" xr:uid="{00000000-0005-0000-0000-0000B8110000}"/>
    <cellStyle name="Percent 2 6 6 2" xfId="5363" xr:uid="{00000000-0005-0000-0000-0000B9110000}"/>
    <cellStyle name="Percent 2 6 7" xfId="2748" xr:uid="{00000000-0005-0000-0000-0000BA110000}"/>
    <cellStyle name="Percent 2 6 7 2" xfId="5364" xr:uid="{00000000-0005-0000-0000-0000BB110000}"/>
    <cellStyle name="Percent 2 6 8" xfId="2749" xr:uid="{00000000-0005-0000-0000-0000BC110000}"/>
    <cellStyle name="Percent 2 6 8 2" xfId="5365" xr:uid="{00000000-0005-0000-0000-0000BD110000}"/>
    <cellStyle name="Percent 2 6 9" xfId="2750" xr:uid="{00000000-0005-0000-0000-0000BE110000}"/>
    <cellStyle name="Percent 2 6 9 2" xfId="5366" xr:uid="{00000000-0005-0000-0000-0000BF110000}"/>
    <cellStyle name="Percent 2 7" xfId="2751" xr:uid="{00000000-0005-0000-0000-0000C0110000}"/>
    <cellStyle name="Percent 2 7 2" xfId="2752" xr:uid="{00000000-0005-0000-0000-0000C1110000}"/>
    <cellStyle name="Percent 2 7 2 2" xfId="5368" xr:uid="{00000000-0005-0000-0000-0000C2110000}"/>
    <cellStyle name="Percent 2 7 3" xfId="4710" xr:uid="{00000000-0005-0000-0000-0000C3110000}"/>
    <cellStyle name="Percent 2 7 3 2" xfId="5369" xr:uid="{00000000-0005-0000-0000-0000C4110000}"/>
    <cellStyle name="Percent 2 7 4" xfId="4711" xr:uid="{00000000-0005-0000-0000-0000C5110000}"/>
    <cellStyle name="Percent 2 7 4 2" xfId="5370" xr:uid="{00000000-0005-0000-0000-0000C6110000}"/>
    <cellStyle name="Percent 2 7 5" xfId="4712" xr:uid="{00000000-0005-0000-0000-0000C7110000}"/>
    <cellStyle name="Percent 2 7 5 2" xfId="5371" xr:uid="{00000000-0005-0000-0000-0000C8110000}"/>
    <cellStyle name="Percent 2 7 6" xfId="4713" xr:uid="{00000000-0005-0000-0000-0000C9110000}"/>
    <cellStyle name="Percent 2 7 6 2" xfId="5372" xr:uid="{00000000-0005-0000-0000-0000CA110000}"/>
    <cellStyle name="Percent 2 7 7" xfId="4714" xr:uid="{00000000-0005-0000-0000-0000CB110000}"/>
    <cellStyle name="Percent 2 7 7 2" xfId="5373" xr:uid="{00000000-0005-0000-0000-0000CC110000}"/>
    <cellStyle name="Percent 2 7 8" xfId="4715" xr:uid="{00000000-0005-0000-0000-0000CD110000}"/>
    <cellStyle name="Percent 2 7 8 2" xfId="5374" xr:uid="{00000000-0005-0000-0000-0000CE110000}"/>
    <cellStyle name="Percent 2 7 9" xfId="5367" xr:uid="{00000000-0005-0000-0000-0000CF110000}"/>
    <cellStyle name="Percent 2 8" xfId="2753" xr:uid="{00000000-0005-0000-0000-0000D0110000}"/>
    <cellStyle name="Percent 2 8 10" xfId="5375" xr:uid="{00000000-0005-0000-0000-0000D1110000}"/>
    <cellStyle name="Percent 2 8 2" xfId="2754" xr:uid="{00000000-0005-0000-0000-0000D2110000}"/>
    <cellStyle name="Percent 2 8 2 2" xfId="5377" xr:uid="{00000000-0005-0000-0000-0000D3110000}"/>
    <cellStyle name="Percent 2 8 2 3" xfId="5376" xr:uid="{00000000-0005-0000-0000-0000D4110000}"/>
    <cellStyle name="Percent 2 8 3" xfId="4716" xr:uid="{00000000-0005-0000-0000-0000D5110000}"/>
    <cellStyle name="Percent 2 8 3 2" xfId="5379" xr:uid="{00000000-0005-0000-0000-0000D6110000}"/>
    <cellStyle name="Percent 2 8 3 3" xfId="5378" xr:uid="{00000000-0005-0000-0000-0000D7110000}"/>
    <cellStyle name="Percent 2 8 4" xfId="4717" xr:uid="{00000000-0005-0000-0000-0000D8110000}"/>
    <cellStyle name="Percent 2 8 4 2" xfId="5381" xr:uid="{00000000-0005-0000-0000-0000D9110000}"/>
    <cellStyle name="Percent 2 8 4 3" xfId="5380" xr:uid="{00000000-0005-0000-0000-0000DA110000}"/>
    <cellStyle name="Percent 2 8 5" xfId="4718" xr:uid="{00000000-0005-0000-0000-0000DB110000}"/>
    <cellStyle name="Percent 2 8 5 2" xfId="5383" xr:uid="{00000000-0005-0000-0000-0000DC110000}"/>
    <cellStyle name="Percent 2 8 5 3" xfId="5382" xr:uid="{00000000-0005-0000-0000-0000DD110000}"/>
    <cellStyle name="Percent 2 8 6" xfId="4719" xr:uid="{00000000-0005-0000-0000-0000DE110000}"/>
    <cellStyle name="Percent 2 8 6 2" xfId="5385" xr:uid="{00000000-0005-0000-0000-0000DF110000}"/>
    <cellStyle name="Percent 2 8 6 3" xfId="5384" xr:uid="{00000000-0005-0000-0000-0000E0110000}"/>
    <cellStyle name="Percent 2 8 7" xfId="4720" xr:uid="{00000000-0005-0000-0000-0000E1110000}"/>
    <cellStyle name="Percent 2 8 7 2" xfId="5387" xr:uid="{00000000-0005-0000-0000-0000E2110000}"/>
    <cellStyle name="Percent 2 8 7 3" xfId="5386" xr:uid="{00000000-0005-0000-0000-0000E3110000}"/>
    <cellStyle name="Percent 2 8 8" xfId="4721" xr:uid="{00000000-0005-0000-0000-0000E4110000}"/>
    <cellStyle name="Percent 2 8 8 2" xfId="5389" xr:uid="{00000000-0005-0000-0000-0000E5110000}"/>
    <cellStyle name="Percent 2 8 8 3" xfId="5388" xr:uid="{00000000-0005-0000-0000-0000E6110000}"/>
    <cellStyle name="Percent 2 8 9" xfId="5390" xr:uid="{00000000-0005-0000-0000-0000E7110000}"/>
    <cellStyle name="Percent 2 9" xfId="2755" xr:uid="{00000000-0005-0000-0000-0000E8110000}"/>
    <cellStyle name="Percent 2 9 10" xfId="5391" xr:uid="{00000000-0005-0000-0000-0000E9110000}"/>
    <cellStyle name="Percent 2 9 2" xfId="2756" xr:uid="{00000000-0005-0000-0000-0000EA110000}"/>
    <cellStyle name="Percent 2 9 2 2" xfId="5393" xr:uid="{00000000-0005-0000-0000-0000EB110000}"/>
    <cellStyle name="Percent 2 9 2 3" xfId="5392" xr:uid="{00000000-0005-0000-0000-0000EC110000}"/>
    <cellStyle name="Percent 2 9 3" xfId="4722" xr:uid="{00000000-0005-0000-0000-0000ED110000}"/>
    <cellStyle name="Percent 2 9 3 2" xfId="5395" xr:uid="{00000000-0005-0000-0000-0000EE110000}"/>
    <cellStyle name="Percent 2 9 3 3" xfId="5394" xr:uid="{00000000-0005-0000-0000-0000EF110000}"/>
    <cellStyle name="Percent 2 9 4" xfId="4723" xr:uid="{00000000-0005-0000-0000-0000F0110000}"/>
    <cellStyle name="Percent 2 9 4 2" xfId="5397" xr:uid="{00000000-0005-0000-0000-0000F1110000}"/>
    <cellStyle name="Percent 2 9 4 3" xfId="5396" xr:uid="{00000000-0005-0000-0000-0000F2110000}"/>
    <cellStyle name="Percent 2 9 5" xfId="4724" xr:uid="{00000000-0005-0000-0000-0000F3110000}"/>
    <cellStyle name="Percent 2 9 5 2" xfId="5399" xr:uid="{00000000-0005-0000-0000-0000F4110000}"/>
    <cellStyle name="Percent 2 9 5 3" xfId="5398" xr:uid="{00000000-0005-0000-0000-0000F5110000}"/>
    <cellStyle name="Percent 2 9 6" xfId="4725" xr:uid="{00000000-0005-0000-0000-0000F6110000}"/>
    <cellStyle name="Percent 2 9 6 2" xfId="5401" xr:uid="{00000000-0005-0000-0000-0000F7110000}"/>
    <cellStyle name="Percent 2 9 6 3" xfId="5400" xr:uid="{00000000-0005-0000-0000-0000F8110000}"/>
    <cellStyle name="Percent 2 9 7" xfId="4726" xr:uid="{00000000-0005-0000-0000-0000F9110000}"/>
    <cellStyle name="Percent 2 9 7 2" xfId="5403" xr:uid="{00000000-0005-0000-0000-0000FA110000}"/>
    <cellStyle name="Percent 2 9 7 3" xfId="5402" xr:uid="{00000000-0005-0000-0000-0000FB110000}"/>
    <cellStyle name="Percent 2 9 8" xfId="4727" xr:uid="{00000000-0005-0000-0000-0000FC110000}"/>
    <cellStyle name="Percent 2 9 8 2" xfId="5405" xr:uid="{00000000-0005-0000-0000-0000FD110000}"/>
    <cellStyle name="Percent 2 9 8 3" xfId="5404" xr:uid="{00000000-0005-0000-0000-0000FE110000}"/>
    <cellStyle name="Percent 2 9 9" xfId="5406" xr:uid="{00000000-0005-0000-0000-0000FF110000}"/>
    <cellStyle name="Percent 20" xfId="2757" xr:uid="{00000000-0005-0000-0000-000000120000}"/>
    <cellStyle name="Percent 20 10" xfId="5407" xr:uid="{00000000-0005-0000-0000-000001120000}"/>
    <cellStyle name="Percent 20 2" xfId="2758" xr:uid="{00000000-0005-0000-0000-000002120000}"/>
    <cellStyle name="Percent 20 2 2" xfId="5409" xr:uid="{00000000-0005-0000-0000-000003120000}"/>
    <cellStyle name="Percent 20 2 2 2" xfId="5410" xr:uid="{00000000-0005-0000-0000-000004120000}"/>
    <cellStyle name="Percent 20 2 3" xfId="5411" xr:uid="{00000000-0005-0000-0000-000005120000}"/>
    <cellStyle name="Percent 20 2 4" xfId="5408" xr:uid="{00000000-0005-0000-0000-000006120000}"/>
    <cellStyle name="Percent 20 3" xfId="2759" xr:uid="{00000000-0005-0000-0000-000007120000}"/>
    <cellStyle name="Percent 20 3 2" xfId="5413" xr:uid="{00000000-0005-0000-0000-000008120000}"/>
    <cellStyle name="Percent 20 3 3" xfId="5412" xr:uid="{00000000-0005-0000-0000-000009120000}"/>
    <cellStyle name="Percent 20 4" xfId="2760" xr:uid="{00000000-0005-0000-0000-00000A120000}"/>
    <cellStyle name="Percent 20 4 2" xfId="5415" xr:uid="{00000000-0005-0000-0000-00000B120000}"/>
    <cellStyle name="Percent 20 4 3" xfId="5414" xr:uid="{00000000-0005-0000-0000-00000C120000}"/>
    <cellStyle name="Percent 20 5" xfId="2761" xr:uid="{00000000-0005-0000-0000-00000D120000}"/>
    <cellStyle name="Percent 20 5 2" xfId="5417" xr:uid="{00000000-0005-0000-0000-00000E120000}"/>
    <cellStyle name="Percent 20 5 3" xfId="5416" xr:uid="{00000000-0005-0000-0000-00000F120000}"/>
    <cellStyle name="Percent 20 6" xfId="2762" xr:uid="{00000000-0005-0000-0000-000010120000}"/>
    <cellStyle name="Percent 20 6 2" xfId="5419" xr:uid="{00000000-0005-0000-0000-000011120000}"/>
    <cellStyle name="Percent 20 6 3" xfId="5418" xr:uid="{00000000-0005-0000-0000-000012120000}"/>
    <cellStyle name="Percent 20 7" xfId="2763" xr:uid="{00000000-0005-0000-0000-000013120000}"/>
    <cellStyle name="Percent 20 7 2" xfId="2764" xr:uid="{00000000-0005-0000-0000-000014120000}"/>
    <cellStyle name="Percent 20 7 2 2" xfId="5422" xr:uid="{00000000-0005-0000-0000-000015120000}"/>
    <cellStyle name="Percent 20 7 2 3" xfId="5421" xr:uid="{00000000-0005-0000-0000-000016120000}"/>
    <cellStyle name="Percent 20 7 3" xfId="2765" xr:uid="{00000000-0005-0000-0000-000017120000}"/>
    <cellStyle name="Percent 20 7 3 2" xfId="5424" xr:uid="{00000000-0005-0000-0000-000018120000}"/>
    <cellStyle name="Percent 20 7 3 3" xfId="5423" xr:uid="{00000000-0005-0000-0000-000019120000}"/>
    <cellStyle name="Percent 20 7 4" xfId="5425" xr:uid="{00000000-0005-0000-0000-00001A120000}"/>
    <cellStyle name="Percent 20 7 5" xfId="5420" xr:uid="{00000000-0005-0000-0000-00001B120000}"/>
    <cellStyle name="Percent 20 8" xfId="5426" xr:uid="{00000000-0005-0000-0000-00001C120000}"/>
    <cellStyle name="Percent 20 8 2" xfId="5427" xr:uid="{00000000-0005-0000-0000-00001D120000}"/>
    <cellStyle name="Percent 20 9" xfId="5428" xr:uid="{00000000-0005-0000-0000-00001E120000}"/>
    <cellStyle name="Percent 21" xfId="2766" xr:uid="{00000000-0005-0000-0000-00001F120000}"/>
    <cellStyle name="Percent 21 2" xfId="2767" xr:uid="{00000000-0005-0000-0000-000020120000}"/>
    <cellStyle name="Percent 21 2 2" xfId="5431" xr:uid="{00000000-0005-0000-0000-000021120000}"/>
    <cellStyle name="Percent 21 2 3" xfId="5430" xr:uid="{00000000-0005-0000-0000-000022120000}"/>
    <cellStyle name="Percent 21 3" xfId="2768" xr:uid="{00000000-0005-0000-0000-000023120000}"/>
    <cellStyle name="Percent 21 3 2" xfId="5433" xr:uid="{00000000-0005-0000-0000-000024120000}"/>
    <cellStyle name="Percent 21 3 3" xfId="5432" xr:uid="{00000000-0005-0000-0000-000025120000}"/>
    <cellStyle name="Percent 21 4" xfId="2769" xr:uid="{00000000-0005-0000-0000-000026120000}"/>
    <cellStyle name="Percent 21 4 2" xfId="5435" xr:uid="{00000000-0005-0000-0000-000027120000}"/>
    <cellStyle name="Percent 21 4 3" xfId="5434" xr:uid="{00000000-0005-0000-0000-000028120000}"/>
    <cellStyle name="Percent 21 5" xfId="2770" xr:uid="{00000000-0005-0000-0000-000029120000}"/>
    <cellStyle name="Percent 21 5 2" xfId="5437" xr:uid="{00000000-0005-0000-0000-00002A120000}"/>
    <cellStyle name="Percent 21 5 3" xfId="5436" xr:uid="{00000000-0005-0000-0000-00002B120000}"/>
    <cellStyle name="Percent 21 6" xfId="2771" xr:uid="{00000000-0005-0000-0000-00002C120000}"/>
    <cellStyle name="Percent 21 6 2" xfId="5439" xr:uid="{00000000-0005-0000-0000-00002D120000}"/>
    <cellStyle name="Percent 21 6 3" xfId="5438" xr:uid="{00000000-0005-0000-0000-00002E120000}"/>
    <cellStyle name="Percent 21 7" xfId="2772" xr:uid="{00000000-0005-0000-0000-00002F120000}"/>
    <cellStyle name="Percent 21 7 2" xfId="2773" xr:uid="{00000000-0005-0000-0000-000030120000}"/>
    <cellStyle name="Percent 21 7 2 2" xfId="5442" xr:uid="{00000000-0005-0000-0000-000031120000}"/>
    <cellStyle name="Percent 21 7 2 3" xfId="5441" xr:uid="{00000000-0005-0000-0000-000032120000}"/>
    <cellStyle name="Percent 21 7 3" xfId="2774" xr:uid="{00000000-0005-0000-0000-000033120000}"/>
    <cellStyle name="Percent 21 7 3 2" xfId="5444" xr:uid="{00000000-0005-0000-0000-000034120000}"/>
    <cellStyle name="Percent 21 7 3 3" xfId="5443" xr:uid="{00000000-0005-0000-0000-000035120000}"/>
    <cellStyle name="Percent 21 7 4" xfId="5445" xr:uid="{00000000-0005-0000-0000-000036120000}"/>
    <cellStyle name="Percent 21 7 5" xfId="5440" xr:uid="{00000000-0005-0000-0000-000037120000}"/>
    <cellStyle name="Percent 21 8" xfId="5446" xr:uid="{00000000-0005-0000-0000-000038120000}"/>
    <cellStyle name="Percent 21 9" xfId="5429" xr:uid="{00000000-0005-0000-0000-000039120000}"/>
    <cellStyle name="Percent 22" xfId="2775" xr:uid="{00000000-0005-0000-0000-00003A120000}"/>
    <cellStyle name="Percent 22 2" xfId="2776" xr:uid="{00000000-0005-0000-0000-00003B120000}"/>
    <cellStyle name="Percent 22 2 2" xfId="5449" xr:uid="{00000000-0005-0000-0000-00003C120000}"/>
    <cellStyle name="Percent 22 2 3" xfId="5448" xr:uid="{00000000-0005-0000-0000-00003D120000}"/>
    <cellStyle name="Percent 22 3" xfId="2777" xr:uid="{00000000-0005-0000-0000-00003E120000}"/>
    <cellStyle name="Percent 22 3 2" xfId="5451" xr:uid="{00000000-0005-0000-0000-00003F120000}"/>
    <cellStyle name="Percent 22 3 3" xfId="5450" xr:uid="{00000000-0005-0000-0000-000040120000}"/>
    <cellStyle name="Percent 22 4" xfId="2778" xr:uid="{00000000-0005-0000-0000-000041120000}"/>
    <cellStyle name="Percent 22 4 2" xfId="5453" xr:uid="{00000000-0005-0000-0000-000042120000}"/>
    <cellStyle name="Percent 22 4 3" xfId="5452" xr:uid="{00000000-0005-0000-0000-000043120000}"/>
    <cellStyle name="Percent 22 5" xfId="2779" xr:uid="{00000000-0005-0000-0000-000044120000}"/>
    <cellStyle name="Percent 22 5 2" xfId="5455" xr:uid="{00000000-0005-0000-0000-000045120000}"/>
    <cellStyle name="Percent 22 5 3" xfId="5454" xr:uid="{00000000-0005-0000-0000-000046120000}"/>
    <cellStyle name="Percent 22 6" xfId="2780" xr:uid="{00000000-0005-0000-0000-000047120000}"/>
    <cellStyle name="Percent 22 6 2" xfId="5457" xr:uid="{00000000-0005-0000-0000-000048120000}"/>
    <cellStyle name="Percent 22 6 3" xfId="5456" xr:uid="{00000000-0005-0000-0000-000049120000}"/>
    <cellStyle name="Percent 22 7" xfId="2781" xr:uid="{00000000-0005-0000-0000-00004A120000}"/>
    <cellStyle name="Percent 22 7 2" xfId="2782" xr:uid="{00000000-0005-0000-0000-00004B120000}"/>
    <cellStyle name="Percent 22 7 2 2" xfId="5460" xr:uid="{00000000-0005-0000-0000-00004C120000}"/>
    <cellStyle name="Percent 22 7 2 3" xfId="5459" xr:uid="{00000000-0005-0000-0000-00004D120000}"/>
    <cellStyle name="Percent 22 7 3" xfId="2783" xr:uid="{00000000-0005-0000-0000-00004E120000}"/>
    <cellStyle name="Percent 22 7 3 2" xfId="5462" xr:uid="{00000000-0005-0000-0000-00004F120000}"/>
    <cellStyle name="Percent 22 7 3 3" xfId="5461" xr:uid="{00000000-0005-0000-0000-000050120000}"/>
    <cellStyle name="Percent 22 7 4" xfId="5463" xr:uid="{00000000-0005-0000-0000-000051120000}"/>
    <cellStyle name="Percent 22 7 5" xfId="5458" xr:uid="{00000000-0005-0000-0000-000052120000}"/>
    <cellStyle name="Percent 22 8" xfId="5464" xr:uid="{00000000-0005-0000-0000-000053120000}"/>
    <cellStyle name="Percent 22 9" xfId="5447" xr:uid="{00000000-0005-0000-0000-000054120000}"/>
    <cellStyle name="Percent 23" xfId="2784" xr:uid="{00000000-0005-0000-0000-000055120000}"/>
    <cellStyle name="Percent 23 2" xfId="2785" xr:uid="{00000000-0005-0000-0000-000056120000}"/>
    <cellStyle name="Percent 23 2 2" xfId="5467" xr:uid="{00000000-0005-0000-0000-000057120000}"/>
    <cellStyle name="Percent 23 2 3" xfId="5466" xr:uid="{00000000-0005-0000-0000-000058120000}"/>
    <cellStyle name="Percent 23 3" xfId="2786" xr:uid="{00000000-0005-0000-0000-000059120000}"/>
    <cellStyle name="Percent 23 3 2" xfId="5469" xr:uid="{00000000-0005-0000-0000-00005A120000}"/>
    <cellStyle name="Percent 23 3 3" xfId="5468" xr:uid="{00000000-0005-0000-0000-00005B120000}"/>
    <cellStyle name="Percent 23 4" xfId="2787" xr:uid="{00000000-0005-0000-0000-00005C120000}"/>
    <cellStyle name="Percent 23 4 2" xfId="5471" xr:uid="{00000000-0005-0000-0000-00005D120000}"/>
    <cellStyle name="Percent 23 4 3" xfId="5470" xr:uid="{00000000-0005-0000-0000-00005E120000}"/>
    <cellStyle name="Percent 23 5" xfId="2788" xr:uid="{00000000-0005-0000-0000-00005F120000}"/>
    <cellStyle name="Percent 23 5 2" xfId="5473" xr:uid="{00000000-0005-0000-0000-000060120000}"/>
    <cellStyle name="Percent 23 5 3" xfId="5472" xr:uid="{00000000-0005-0000-0000-000061120000}"/>
    <cellStyle name="Percent 23 6" xfId="2789" xr:uid="{00000000-0005-0000-0000-000062120000}"/>
    <cellStyle name="Percent 23 6 2" xfId="5475" xr:uid="{00000000-0005-0000-0000-000063120000}"/>
    <cellStyle name="Percent 23 6 3" xfId="5474" xr:uid="{00000000-0005-0000-0000-000064120000}"/>
    <cellStyle name="Percent 23 7" xfId="2790" xr:uid="{00000000-0005-0000-0000-000065120000}"/>
    <cellStyle name="Percent 23 7 2" xfId="2791" xr:uid="{00000000-0005-0000-0000-000066120000}"/>
    <cellStyle name="Percent 23 7 2 2" xfId="5478" xr:uid="{00000000-0005-0000-0000-000067120000}"/>
    <cellStyle name="Percent 23 7 2 3" xfId="5477" xr:uid="{00000000-0005-0000-0000-000068120000}"/>
    <cellStyle name="Percent 23 7 3" xfId="2792" xr:uid="{00000000-0005-0000-0000-000069120000}"/>
    <cellStyle name="Percent 23 7 3 2" xfId="5480" xr:uid="{00000000-0005-0000-0000-00006A120000}"/>
    <cellStyle name="Percent 23 7 3 3" xfId="5479" xr:uid="{00000000-0005-0000-0000-00006B120000}"/>
    <cellStyle name="Percent 23 7 4" xfId="5481" xr:uid="{00000000-0005-0000-0000-00006C120000}"/>
    <cellStyle name="Percent 23 7 5" xfId="5476" xr:uid="{00000000-0005-0000-0000-00006D120000}"/>
    <cellStyle name="Percent 23 8" xfId="5482" xr:uid="{00000000-0005-0000-0000-00006E120000}"/>
    <cellStyle name="Percent 23 9" xfId="5465" xr:uid="{00000000-0005-0000-0000-00006F120000}"/>
    <cellStyle name="Percent 24" xfId="22489" xr:uid="{00000000-0005-0000-0000-000070120000}"/>
    <cellStyle name="Percent 24 2" xfId="2793" xr:uid="{00000000-0005-0000-0000-000071120000}"/>
    <cellStyle name="Percent 24 2 2" xfId="5484" xr:uid="{00000000-0005-0000-0000-000072120000}"/>
    <cellStyle name="Percent 24 2 3" xfId="5483" xr:uid="{00000000-0005-0000-0000-000073120000}"/>
    <cellStyle name="Percent 24 3" xfId="2794" xr:uid="{00000000-0005-0000-0000-000074120000}"/>
    <cellStyle name="Percent 24 3 2" xfId="5486" xr:uid="{00000000-0005-0000-0000-000075120000}"/>
    <cellStyle name="Percent 24 3 3" xfId="5485" xr:uid="{00000000-0005-0000-0000-000076120000}"/>
    <cellStyle name="Percent 24 4" xfId="2795" xr:uid="{00000000-0005-0000-0000-000077120000}"/>
    <cellStyle name="Percent 24 4 2" xfId="5488" xr:uid="{00000000-0005-0000-0000-000078120000}"/>
    <cellStyle name="Percent 24 4 3" xfId="5487" xr:uid="{00000000-0005-0000-0000-000079120000}"/>
    <cellStyle name="Percent 24 5" xfId="2796" xr:uid="{00000000-0005-0000-0000-00007A120000}"/>
    <cellStyle name="Percent 24 5 2" xfId="5490" xr:uid="{00000000-0005-0000-0000-00007B120000}"/>
    <cellStyle name="Percent 24 5 3" xfId="5489" xr:uid="{00000000-0005-0000-0000-00007C120000}"/>
    <cellStyle name="Percent 24 6" xfId="2797" xr:uid="{00000000-0005-0000-0000-00007D120000}"/>
    <cellStyle name="Percent 24 6 2" xfId="5492" xr:uid="{00000000-0005-0000-0000-00007E120000}"/>
    <cellStyle name="Percent 24 6 3" xfId="5491" xr:uid="{00000000-0005-0000-0000-00007F120000}"/>
    <cellStyle name="Percent 24 7" xfId="2798" xr:uid="{00000000-0005-0000-0000-000080120000}"/>
    <cellStyle name="Percent 24 7 2" xfId="2799" xr:uid="{00000000-0005-0000-0000-000081120000}"/>
    <cellStyle name="Percent 24 7 2 2" xfId="5495" xr:uid="{00000000-0005-0000-0000-000082120000}"/>
    <cellStyle name="Percent 24 7 2 3" xfId="5494" xr:uid="{00000000-0005-0000-0000-000083120000}"/>
    <cellStyle name="Percent 24 7 3" xfId="2800" xr:uid="{00000000-0005-0000-0000-000084120000}"/>
    <cellStyle name="Percent 24 7 3 2" xfId="5497" xr:uid="{00000000-0005-0000-0000-000085120000}"/>
    <cellStyle name="Percent 24 7 3 3" xfId="5496" xr:uid="{00000000-0005-0000-0000-000086120000}"/>
    <cellStyle name="Percent 24 7 4" xfId="5498" xr:uid="{00000000-0005-0000-0000-000087120000}"/>
    <cellStyle name="Percent 24 7 5" xfId="5493" xr:uid="{00000000-0005-0000-0000-000088120000}"/>
    <cellStyle name="Percent 25" xfId="2801" xr:uid="{00000000-0005-0000-0000-000089120000}"/>
    <cellStyle name="Percent 25 2" xfId="2802" xr:uid="{00000000-0005-0000-0000-00008A120000}"/>
    <cellStyle name="Percent 25 2 2" xfId="5501" xr:uid="{00000000-0005-0000-0000-00008B120000}"/>
    <cellStyle name="Percent 25 2 3" xfId="5500" xr:uid="{00000000-0005-0000-0000-00008C120000}"/>
    <cellStyle name="Percent 25 3" xfId="2803" xr:uid="{00000000-0005-0000-0000-00008D120000}"/>
    <cellStyle name="Percent 25 3 2" xfId="5503" xr:uid="{00000000-0005-0000-0000-00008E120000}"/>
    <cellStyle name="Percent 25 3 3" xfId="5502" xr:uid="{00000000-0005-0000-0000-00008F120000}"/>
    <cellStyle name="Percent 25 4" xfId="2804" xr:uid="{00000000-0005-0000-0000-000090120000}"/>
    <cellStyle name="Percent 25 4 2" xfId="5505" xr:uid="{00000000-0005-0000-0000-000091120000}"/>
    <cellStyle name="Percent 25 4 3" xfId="5504" xr:uid="{00000000-0005-0000-0000-000092120000}"/>
    <cellStyle name="Percent 25 5" xfId="2805" xr:uid="{00000000-0005-0000-0000-000093120000}"/>
    <cellStyle name="Percent 25 5 2" xfId="5507" xr:uid="{00000000-0005-0000-0000-000094120000}"/>
    <cellStyle name="Percent 25 5 3" xfId="5506" xr:uid="{00000000-0005-0000-0000-000095120000}"/>
    <cellStyle name="Percent 25 6" xfId="2806" xr:uid="{00000000-0005-0000-0000-000096120000}"/>
    <cellStyle name="Percent 25 6 2" xfId="5509" xr:uid="{00000000-0005-0000-0000-000097120000}"/>
    <cellStyle name="Percent 25 6 3" xfId="5508" xr:uid="{00000000-0005-0000-0000-000098120000}"/>
    <cellStyle name="Percent 25 7" xfId="2807" xr:uid="{00000000-0005-0000-0000-000099120000}"/>
    <cellStyle name="Percent 25 7 2" xfId="2808" xr:uid="{00000000-0005-0000-0000-00009A120000}"/>
    <cellStyle name="Percent 25 7 2 2" xfId="5512" xr:uid="{00000000-0005-0000-0000-00009B120000}"/>
    <cellStyle name="Percent 25 7 2 3" xfId="5511" xr:uid="{00000000-0005-0000-0000-00009C120000}"/>
    <cellStyle name="Percent 25 7 3" xfId="2809" xr:uid="{00000000-0005-0000-0000-00009D120000}"/>
    <cellStyle name="Percent 25 7 3 2" xfId="5514" xr:uid="{00000000-0005-0000-0000-00009E120000}"/>
    <cellStyle name="Percent 25 7 3 3" xfId="5513" xr:uid="{00000000-0005-0000-0000-00009F120000}"/>
    <cellStyle name="Percent 25 7 4" xfId="5515" xr:uid="{00000000-0005-0000-0000-0000A0120000}"/>
    <cellStyle name="Percent 25 7 5" xfId="5510" xr:uid="{00000000-0005-0000-0000-0000A1120000}"/>
    <cellStyle name="Percent 25 8" xfId="5516" xr:uid="{00000000-0005-0000-0000-0000A2120000}"/>
    <cellStyle name="Percent 25 9" xfId="5499" xr:uid="{00000000-0005-0000-0000-0000A3120000}"/>
    <cellStyle name="Percent 26" xfId="2810" xr:uid="{00000000-0005-0000-0000-0000A4120000}"/>
    <cellStyle name="Percent 26 2" xfId="2811" xr:uid="{00000000-0005-0000-0000-0000A5120000}"/>
    <cellStyle name="Percent 26 2 2" xfId="5519" xr:uid="{00000000-0005-0000-0000-0000A6120000}"/>
    <cellStyle name="Percent 26 2 3" xfId="5518" xr:uid="{00000000-0005-0000-0000-0000A7120000}"/>
    <cellStyle name="Percent 26 3" xfId="2812" xr:uid="{00000000-0005-0000-0000-0000A8120000}"/>
    <cellStyle name="Percent 26 3 2" xfId="5521" xr:uid="{00000000-0005-0000-0000-0000A9120000}"/>
    <cellStyle name="Percent 26 3 3" xfId="5520" xr:uid="{00000000-0005-0000-0000-0000AA120000}"/>
    <cellStyle name="Percent 26 4" xfId="2813" xr:uid="{00000000-0005-0000-0000-0000AB120000}"/>
    <cellStyle name="Percent 26 4 2" xfId="5523" xr:uid="{00000000-0005-0000-0000-0000AC120000}"/>
    <cellStyle name="Percent 26 4 3" xfId="5522" xr:uid="{00000000-0005-0000-0000-0000AD120000}"/>
    <cellStyle name="Percent 26 5" xfId="2814" xr:uid="{00000000-0005-0000-0000-0000AE120000}"/>
    <cellStyle name="Percent 26 5 2" xfId="5525" xr:uid="{00000000-0005-0000-0000-0000AF120000}"/>
    <cellStyle name="Percent 26 5 3" xfId="5524" xr:uid="{00000000-0005-0000-0000-0000B0120000}"/>
    <cellStyle name="Percent 26 6" xfId="2815" xr:uid="{00000000-0005-0000-0000-0000B1120000}"/>
    <cellStyle name="Percent 26 6 2" xfId="5527" xr:uid="{00000000-0005-0000-0000-0000B2120000}"/>
    <cellStyle name="Percent 26 6 3" xfId="5526" xr:uid="{00000000-0005-0000-0000-0000B3120000}"/>
    <cellStyle name="Percent 26 7" xfId="2816" xr:uid="{00000000-0005-0000-0000-0000B4120000}"/>
    <cellStyle name="Percent 26 7 2" xfId="2817" xr:uid="{00000000-0005-0000-0000-0000B5120000}"/>
    <cellStyle name="Percent 26 7 2 2" xfId="5530" xr:uid="{00000000-0005-0000-0000-0000B6120000}"/>
    <cellStyle name="Percent 26 7 2 3" xfId="5529" xr:uid="{00000000-0005-0000-0000-0000B7120000}"/>
    <cellStyle name="Percent 26 7 3" xfId="2818" xr:uid="{00000000-0005-0000-0000-0000B8120000}"/>
    <cellStyle name="Percent 26 7 3 2" xfId="5532" xr:uid="{00000000-0005-0000-0000-0000B9120000}"/>
    <cellStyle name="Percent 26 7 3 3" xfId="5531" xr:uid="{00000000-0005-0000-0000-0000BA120000}"/>
    <cellStyle name="Percent 26 7 4" xfId="5533" xr:uid="{00000000-0005-0000-0000-0000BB120000}"/>
    <cellStyle name="Percent 26 7 5" xfId="5528" xr:uid="{00000000-0005-0000-0000-0000BC120000}"/>
    <cellStyle name="Percent 26 8" xfId="5534" xr:uid="{00000000-0005-0000-0000-0000BD120000}"/>
    <cellStyle name="Percent 26 9" xfId="5517" xr:uid="{00000000-0005-0000-0000-0000BE120000}"/>
    <cellStyle name="Percent 27" xfId="2819" xr:uid="{00000000-0005-0000-0000-0000BF120000}"/>
    <cellStyle name="Percent 27 2" xfId="5536" xr:uid="{00000000-0005-0000-0000-0000C0120000}"/>
    <cellStyle name="Percent 27 3" xfId="5535" xr:uid="{00000000-0005-0000-0000-0000C1120000}"/>
    <cellStyle name="Percent 28" xfId="54" xr:uid="{00000000-0005-0000-0000-0000C2120000}"/>
    <cellStyle name="Percent 3" xfId="266" xr:uid="{00000000-0005-0000-0000-0000C3120000}"/>
    <cellStyle name="Percent 3 10" xfId="2821" xr:uid="{00000000-0005-0000-0000-0000C4120000}"/>
    <cellStyle name="Percent 3 10 10" xfId="2822" xr:uid="{00000000-0005-0000-0000-0000C5120000}"/>
    <cellStyle name="Percent 3 10 10 2" xfId="5540" xr:uid="{00000000-0005-0000-0000-0000C6120000}"/>
    <cellStyle name="Percent 3 10 10 3" xfId="5539" xr:uid="{00000000-0005-0000-0000-0000C7120000}"/>
    <cellStyle name="Percent 3 10 11" xfId="2823" xr:uid="{00000000-0005-0000-0000-0000C8120000}"/>
    <cellStyle name="Percent 3 10 11 2" xfId="5542" xr:uid="{00000000-0005-0000-0000-0000C9120000}"/>
    <cellStyle name="Percent 3 10 11 3" xfId="5541" xr:uid="{00000000-0005-0000-0000-0000CA120000}"/>
    <cellStyle name="Percent 3 10 12" xfId="2824" xr:uid="{00000000-0005-0000-0000-0000CB120000}"/>
    <cellStyle name="Percent 3 10 12 2" xfId="5544" xr:uid="{00000000-0005-0000-0000-0000CC120000}"/>
    <cellStyle name="Percent 3 10 12 3" xfId="5543" xr:uid="{00000000-0005-0000-0000-0000CD120000}"/>
    <cellStyle name="Percent 3 10 13" xfId="2825" xr:uid="{00000000-0005-0000-0000-0000CE120000}"/>
    <cellStyle name="Percent 3 10 13 2" xfId="5546" xr:uid="{00000000-0005-0000-0000-0000CF120000}"/>
    <cellStyle name="Percent 3 10 13 3" xfId="5545" xr:uid="{00000000-0005-0000-0000-0000D0120000}"/>
    <cellStyle name="Percent 3 10 14" xfId="2826" xr:uid="{00000000-0005-0000-0000-0000D1120000}"/>
    <cellStyle name="Percent 3 10 14 2" xfId="5548" xr:uid="{00000000-0005-0000-0000-0000D2120000}"/>
    <cellStyle name="Percent 3 10 14 3" xfId="5547" xr:uid="{00000000-0005-0000-0000-0000D3120000}"/>
    <cellStyle name="Percent 3 10 15" xfId="2827" xr:uid="{00000000-0005-0000-0000-0000D4120000}"/>
    <cellStyle name="Percent 3 10 15 2" xfId="5550" xr:uid="{00000000-0005-0000-0000-0000D5120000}"/>
    <cellStyle name="Percent 3 10 15 3" xfId="5549" xr:uid="{00000000-0005-0000-0000-0000D6120000}"/>
    <cellStyle name="Percent 3 10 16" xfId="5551" xr:uid="{00000000-0005-0000-0000-0000D7120000}"/>
    <cellStyle name="Percent 3 10 17" xfId="5538" xr:uid="{00000000-0005-0000-0000-0000D8120000}"/>
    <cellStyle name="Percent 3 10 2" xfId="2828" xr:uid="{00000000-0005-0000-0000-0000D9120000}"/>
    <cellStyle name="Percent 3 10 2 2" xfId="5553" xr:uid="{00000000-0005-0000-0000-0000DA120000}"/>
    <cellStyle name="Percent 3 10 2 3" xfId="5552" xr:uid="{00000000-0005-0000-0000-0000DB120000}"/>
    <cellStyle name="Percent 3 10 3" xfId="2829" xr:uid="{00000000-0005-0000-0000-0000DC120000}"/>
    <cellStyle name="Percent 3 10 3 2" xfId="5555" xr:uid="{00000000-0005-0000-0000-0000DD120000}"/>
    <cellStyle name="Percent 3 10 3 3" xfId="5556" xr:uid="{00000000-0005-0000-0000-0000DE120000}"/>
    <cellStyle name="Percent 3 10 3 4" xfId="5554" xr:uid="{00000000-0005-0000-0000-0000DF120000}"/>
    <cellStyle name="Percent 3 10 4" xfId="2830" xr:uid="{00000000-0005-0000-0000-0000E0120000}"/>
    <cellStyle name="Percent 3 10 4 2" xfId="5558" xr:uid="{00000000-0005-0000-0000-0000E1120000}"/>
    <cellStyle name="Percent 3 10 4 3" xfId="5559" xr:uid="{00000000-0005-0000-0000-0000E2120000}"/>
    <cellStyle name="Percent 3 10 4 4" xfId="5557" xr:uid="{00000000-0005-0000-0000-0000E3120000}"/>
    <cellStyle name="Percent 3 10 5" xfId="2831" xr:uid="{00000000-0005-0000-0000-0000E4120000}"/>
    <cellStyle name="Percent 3 10 5 2" xfId="5561" xr:uid="{00000000-0005-0000-0000-0000E5120000}"/>
    <cellStyle name="Percent 3 10 5 3" xfId="5562" xr:uid="{00000000-0005-0000-0000-0000E6120000}"/>
    <cellStyle name="Percent 3 10 5 4" xfId="5560" xr:uid="{00000000-0005-0000-0000-0000E7120000}"/>
    <cellStyle name="Percent 3 10 6" xfId="2832" xr:uid="{00000000-0005-0000-0000-0000E8120000}"/>
    <cellStyle name="Percent 3 10 6 2" xfId="5564" xr:uid="{00000000-0005-0000-0000-0000E9120000}"/>
    <cellStyle name="Percent 3 10 6 3" xfId="5565" xr:uid="{00000000-0005-0000-0000-0000EA120000}"/>
    <cellStyle name="Percent 3 10 6 4" xfId="5563" xr:uid="{00000000-0005-0000-0000-0000EB120000}"/>
    <cellStyle name="Percent 3 10 7" xfId="2833" xr:uid="{00000000-0005-0000-0000-0000EC120000}"/>
    <cellStyle name="Percent 3 10 7 2" xfId="5567" xr:uid="{00000000-0005-0000-0000-0000ED120000}"/>
    <cellStyle name="Percent 3 10 7 3" xfId="5568" xr:uid="{00000000-0005-0000-0000-0000EE120000}"/>
    <cellStyle name="Percent 3 10 7 4" xfId="5566" xr:uid="{00000000-0005-0000-0000-0000EF120000}"/>
    <cellStyle name="Percent 3 10 8" xfId="2834" xr:uid="{00000000-0005-0000-0000-0000F0120000}"/>
    <cellStyle name="Percent 3 10 8 2" xfId="5570" xr:uid="{00000000-0005-0000-0000-0000F1120000}"/>
    <cellStyle name="Percent 3 10 8 3" xfId="5571" xr:uid="{00000000-0005-0000-0000-0000F2120000}"/>
    <cellStyle name="Percent 3 10 8 4" xfId="5569" xr:uid="{00000000-0005-0000-0000-0000F3120000}"/>
    <cellStyle name="Percent 3 10 9" xfId="2835" xr:uid="{00000000-0005-0000-0000-0000F4120000}"/>
    <cellStyle name="Percent 3 10 9 2" xfId="5573" xr:uid="{00000000-0005-0000-0000-0000F5120000}"/>
    <cellStyle name="Percent 3 10 9 3" xfId="5574" xr:uid="{00000000-0005-0000-0000-0000F6120000}"/>
    <cellStyle name="Percent 3 10 9 4" xfId="5572" xr:uid="{00000000-0005-0000-0000-0000F7120000}"/>
    <cellStyle name="Percent 3 11" xfId="2836" xr:uid="{00000000-0005-0000-0000-0000F8120000}"/>
    <cellStyle name="Percent 3 11 2" xfId="5576" xr:uid="{00000000-0005-0000-0000-0000F9120000}"/>
    <cellStyle name="Percent 3 11 3" xfId="5577" xr:uid="{00000000-0005-0000-0000-0000FA120000}"/>
    <cellStyle name="Percent 3 11 4" xfId="5575" xr:uid="{00000000-0005-0000-0000-0000FB120000}"/>
    <cellStyle name="Percent 3 12" xfId="2837" xr:uid="{00000000-0005-0000-0000-0000FC120000}"/>
    <cellStyle name="Percent 3 12 2" xfId="5579" xr:uid="{00000000-0005-0000-0000-0000FD120000}"/>
    <cellStyle name="Percent 3 12 3" xfId="5580" xr:uid="{00000000-0005-0000-0000-0000FE120000}"/>
    <cellStyle name="Percent 3 12 4" xfId="5578" xr:uid="{00000000-0005-0000-0000-0000FF120000}"/>
    <cellStyle name="Percent 3 13" xfId="2838" xr:uid="{00000000-0005-0000-0000-000000130000}"/>
    <cellStyle name="Percent 3 13 2" xfId="5582" xr:uid="{00000000-0005-0000-0000-000001130000}"/>
    <cellStyle name="Percent 3 13 3" xfId="5583" xr:uid="{00000000-0005-0000-0000-000002130000}"/>
    <cellStyle name="Percent 3 13 4" xfId="5581" xr:uid="{00000000-0005-0000-0000-000003130000}"/>
    <cellStyle name="Percent 3 14" xfId="2839" xr:uid="{00000000-0005-0000-0000-000004130000}"/>
    <cellStyle name="Percent 3 14 2" xfId="5585" xr:uid="{00000000-0005-0000-0000-000005130000}"/>
    <cellStyle name="Percent 3 14 3" xfId="5586" xr:uid="{00000000-0005-0000-0000-000006130000}"/>
    <cellStyle name="Percent 3 14 4" xfId="5584" xr:uid="{00000000-0005-0000-0000-000007130000}"/>
    <cellStyle name="Percent 3 15" xfId="2840" xr:uid="{00000000-0005-0000-0000-000008130000}"/>
    <cellStyle name="Percent 3 15 2" xfId="5588" xr:uid="{00000000-0005-0000-0000-000009130000}"/>
    <cellStyle name="Percent 3 15 3" xfId="5589" xr:uid="{00000000-0005-0000-0000-00000A130000}"/>
    <cellStyle name="Percent 3 15 4" xfId="5587" xr:uid="{00000000-0005-0000-0000-00000B130000}"/>
    <cellStyle name="Percent 3 16" xfId="2841" xr:uid="{00000000-0005-0000-0000-00000C130000}"/>
    <cellStyle name="Percent 3 16 2" xfId="5591" xr:uid="{00000000-0005-0000-0000-00000D130000}"/>
    <cellStyle name="Percent 3 16 3" xfId="5592" xr:uid="{00000000-0005-0000-0000-00000E130000}"/>
    <cellStyle name="Percent 3 16 4" xfId="5590" xr:uid="{00000000-0005-0000-0000-00000F130000}"/>
    <cellStyle name="Percent 3 17" xfId="2842" xr:uid="{00000000-0005-0000-0000-000010130000}"/>
    <cellStyle name="Percent 3 17 2" xfId="5594" xr:uid="{00000000-0005-0000-0000-000011130000}"/>
    <cellStyle name="Percent 3 17 3" xfId="5595" xr:uid="{00000000-0005-0000-0000-000012130000}"/>
    <cellStyle name="Percent 3 17 4" xfId="5593" xr:uid="{00000000-0005-0000-0000-000013130000}"/>
    <cellStyle name="Percent 3 18" xfId="2843" xr:uid="{00000000-0005-0000-0000-000014130000}"/>
    <cellStyle name="Percent 3 18 2" xfId="5597" xr:uid="{00000000-0005-0000-0000-000015130000}"/>
    <cellStyle name="Percent 3 18 3" xfId="5598" xr:uid="{00000000-0005-0000-0000-000016130000}"/>
    <cellStyle name="Percent 3 18 4" xfId="5596" xr:uid="{00000000-0005-0000-0000-000017130000}"/>
    <cellStyle name="Percent 3 19" xfId="2844" xr:uid="{00000000-0005-0000-0000-000018130000}"/>
    <cellStyle name="Percent 3 19 2" xfId="5600" xr:uid="{00000000-0005-0000-0000-000019130000}"/>
    <cellStyle name="Percent 3 19 2 2" xfId="5601" xr:uid="{00000000-0005-0000-0000-00001A130000}"/>
    <cellStyle name="Percent 3 19 3" xfId="5602" xr:uid="{00000000-0005-0000-0000-00001B130000}"/>
    <cellStyle name="Percent 3 19 4" xfId="5603" xr:uid="{00000000-0005-0000-0000-00001C130000}"/>
    <cellStyle name="Percent 3 19 5" xfId="5599" xr:uid="{00000000-0005-0000-0000-00001D130000}"/>
    <cellStyle name="Percent 3 2" xfId="267" xr:uid="{00000000-0005-0000-0000-00001E130000}"/>
    <cellStyle name="Percent 3 2 10" xfId="2846" xr:uid="{00000000-0005-0000-0000-00001F130000}"/>
    <cellStyle name="Percent 3 2 10 2" xfId="5606" xr:uid="{00000000-0005-0000-0000-000020130000}"/>
    <cellStyle name="Percent 3 2 10 2 2" xfId="5607" xr:uid="{00000000-0005-0000-0000-000021130000}"/>
    <cellStyle name="Percent 3 2 10 3" xfId="5608" xr:uid="{00000000-0005-0000-0000-000022130000}"/>
    <cellStyle name="Percent 3 2 10 3 2" xfId="5609" xr:uid="{00000000-0005-0000-0000-000023130000}"/>
    <cellStyle name="Percent 3 2 10 4" xfId="5610" xr:uid="{00000000-0005-0000-0000-000024130000}"/>
    <cellStyle name="Percent 3 2 10 5" xfId="5611" xr:uid="{00000000-0005-0000-0000-000025130000}"/>
    <cellStyle name="Percent 3 2 10 6" xfId="5605" xr:uid="{00000000-0005-0000-0000-000026130000}"/>
    <cellStyle name="Percent 3 2 11" xfId="2847" xr:uid="{00000000-0005-0000-0000-000027130000}"/>
    <cellStyle name="Percent 3 2 11 2" xfId="5613" xr:uid="{00000000-0005-0000-0000-000028130000}"/>
    <cellStyle name="Percent 3 2 11 2 2" xfId="5614" xr:uid="{00000000-0005-0000-0000-000029130000}"/>
    <cellStyle name="Percent 3 2 11 3" xfId="5615" xr:uid="{00000000-0005-0000-0000-00002A130000}"/>
    <cellStyle name="Percent 3 2 11 3 2" xfId="5616" xr:uid="{00000000-0005-0000-0000-00002B130000}"/>
    <cellStyle name="Percent 3 2 11 4" xfId="5617" xr:uid="{00000000-0005-0000-0000-00002C130000}"/>
    <cellStyle name="Percent 3 2 11 5" xfId="5618" xr:uid="{00000000-0005-0000-0000-00002D130000}"/>
    <cellStyle name="Percent 3 2 11 6" xfId="5612" xr:uid="{00000000-0005-0000-0000-00002E130000}"/>
    <cellStyle name="Percent 3 2 12" xfId="2848" xr:uid="{00000000-0005-0000-0000-00002F130000}"/>
    <cellStyle name="Percent 3 2 12 2" xfId="5620" xr:uid="{00000000-0005-0000-0000-000030130000}"/>
    <cellStyle name="Percent 3 2 12 2 2" xfId="5621" xr:uid="{00000000-0005-0000-0000-000031130000}"/>
    <cellStyle name="Percent 3 2 12 3" xfId="5622" xr:uid="{00000000-0005-0000-0000-000032130000}"/>
    <cellStyle name="Percent 3 2 12 3 2" xfId="5623" xr:uid="{00000000-0005-0000-0000-000033130000}"/>
    <cellStyle name="Percent 3 2 12 4" xfId="5624" xr:uid="{00000000-0005-0000-0000-000034130000}"/>
    <cellStyle name="Percent 3 2 12 5" xfId="5625" xr:uid="{00000000-0005-0000-0000-000035130000}"/>
    <cellStyle name="Percent 3 2 12 6" xfId="5619" xr:uid="{00000000-0005-0000-0000-000036130000}"/>
    <cellStyle name="Percent 3 2 13" xfId="2849" xr:uid="{00000000-0005-0000-0000-000037130000}"/>
    <cellStyle name="Percent 3 2 13 2" xfId="5627" xr:uid="{00000000-0005-0000-0000-000038130000}"/>
    <cellStyle name="Percent 3 2 13 2 2" xfId="5628" xr:uid="{00000000-0005-0000-0000-000039130000}"/>
    <cellStyle name="Percent 3 2 13 3" xfId="5629" xr:uid="{00000000-0005-0000-0000-00003A130000}"/>
    <cellStyle name="Percent 3 2 13 3 2" xfId="5630" xr:uid="{00000000-0005-0000-0000-00003B130000}"/>
    <cellStyle name="Percent 3 2 13 4" xfId="5631" xr:uid="{00000000-0005-0000-0000-00003C130000}"/>
    <cellStyle name="Percent 3 2 13 5" xfId="5632" xr:uid="{00000000-0005-0000-0000-00003D130000}"/>
    <cellStyle name="Percent 3 2 13 6" xfId="5626" xr:uid="{00000000-0005-0000-0000-00003E130000}"/>
    <cellStyle name="Percent 3 2 14" xfId="2850" xr:uid="{00000000-0005-0000-0000-00003F130000}"/>
    <cellStyle name="Percent 3 2 14 2" xfId="5634" xr:uid="{00000000-0005-0000-0000-000040130000}"/>
    <cellStyle name="Percent 3 2 14 2 2" xfId="5635" xr:uid="{00000000-0005-0000-0000-000041130000}"/>
    <cellStyle name="Percent 3 2 14 3" xfId="5636" xr:uid="{00000000-0005-0000-0000-000042130000}"/>
    <cellStyle name="Percent 3 2 14 3 2" xfId="5637" xr:uid="{00000000-0005-0000-0000-000043130000}"/>
    <cellStyle name="Percent 3 2 14 4" xfId="5638" xr:uid="{00000000-0005-0000-0000-000044130000}"/>
    <cellStyle name="Percent 3 2 14 5" xfId="5639" xr:uid="{00000000-0005-0000-0000-000045130000}"/>
    <cellStyle name="Percent 3 2 14 6" xfId="5633" xr:uid="{00000000-0005-0000-0000-000046130000}"/>
    <cellStyle name="Percent 3 2 15" xfId="2851" xr:uid="{00000000-0005-0000-0000-000047130000}"/>
    <cellStyle name="Percent 3 2 15 2" xfId="5641" xr:uid="{00000000-0005-0000-0000-000048130000}"/>
    <cellStyle name="Percent 3 2 15 2 2" xfId="5642" xr:uid="{00000000-0005-0000-0000-000049130000}"/>
    <cellStyle name="Percent 3 2 15 3" xfId="5643" xr:uid="{00000000-0005-0000-0000-00004A130000}"/>
    <cellStyle name="Percent 3 2 15 3 2" xfId="5644" xr:uid="{00000000-0005-0000-0000-00004B130000}"/>
    <cellStyle name="Percent 3 2 15 4" xfId="5645" xr:uid="{00000000-0005-0000-0000-00004C130000}"/>
    <cellStyle name="Percent 3 2 15 5" xfId="5646" xr:uid="{00000000-0005-0000-0000-00004D130000}"/>
    <cellStyle name="Percent 3 2 15 6" xfId="5640" xr:uid="{00000000-0005-0000-0000-00004E130000}"/>
    <cellStyle name="Percent 3 2 16" xfId="2852" xr:uid="{00000000-0005-0000-0000-00004F130000}"/>
    <cellStyle name="Percent 3 2 16 2" xfId="5648" xr:uid="{00000000-0005-0000-0000-000050130000}"/>
    <cellStyle name="Percent 3 2 16 2 2" xfId="5649" xr:uid="{00000000-0005-0000-0000-000051130000}"/>
    <cellStyle name="Percent 3 2 16 3" xfId="5650" xr:uid="{00000000-0005-0000-0000-000052130000}"/>
    <cellStyle name="Percent 3 2 16 3 2" xfId="5651" xr:uid="{00000000-0005-0000-0000-000053130000}"/>
    <cellStyle name="Percent 3 2 16 4" xfId="5652" xr:uid="{00000000-0005-0000-0000-000054130000}"/>
    <cellStyle name="Percent 3 2 16 5" xfId="5653" xr:uid="{00000000-0005-0000-0000-000055130000}"/>
    <cellStyle name="Percent 3 2 16 6" xfId="5647" xr:uid="{00000000-0005-0000-0000-000056130000}"/>
    <cellStyle name="Percent 3 2 17" xfId="2845" xr:uid="{00000000-0005-0000-0000-000057130000}"/>
    <cellStyle name="Percent 3 2 17 2" xfId="5655" xr:uid="{00000000-0005-0000-0000-000058130000}"/>
    <cellStyle name="Percent 3 2 17 3" xfId="5654" xr:uid="{00000000-0005-0000-0000-000059130000}"/>
    <cellStyle name="Percent 3 2 18" xfId="5656" xr:uid="{00000000-0005-0000-0000-00005A130000}"/>
    <cellStyle name="Percent 3 2 19" xfId="5657" xr:uid="{00000000-0005-0000-0000-00005B130000}"/>
    <cellStyle name="Percent 3 2 2" xfId="268" xr:uid="{00000000-0005-0000-0000-00005C130000}"/>
    <cellStyle name="Percent 3 2 2 2" xfId="2854" xr:uid="{00000000-0005-0000-0000-00005D130000}"/>
    <cellStyle name="Percent 3 2 2 2 2" xfId="4728" xr:uid="{00000000-0005-0000-0000-00005E130000}"/>
    <cellStyle name="Percent 3 2 2 2 2 2" xfId="5661" xr:uid="{00000000-0005-0000-0000-00005F130000}"/>
    <cellStyle name="Percent 3 2 2 2 2 3" xfId="5660" xr:uid="{00000000-0005-0000-0000-000060130000}"/>
    <cellStyle name="Percent 3 2 2 2 3" xfId="5662" xr:uid="{00000000-0005-0000-0000-000061130000}"/>
    <cellStyle name="Percent 3 2 2 2 3 2" xfId="5663" xr:uid="{00000000-0005-0000-0000-000062130000}"/>
    <cellStyle name="Percent 3 2 2 2 4" xfId="5664" xr:uid="{00000000-0005-0000-0000-000063130000}"/>
    <cellStyle name="Percent 3 2 2 2 5" xfId="5665" xr:uid="{00000000-0005-0000-0000-000064130000}"/>
    <cellStyle name="Percent 3 2 2 2 6" xfId="5659" xr:uid="{00000000-0005-0000-0000-000065130000}"/>
    <cellStyle name="Percent 3 2 2 3" xfId="2853" xr:uid="{00000000-0005-0000-0000-000066130000}"/>
    <cellStyle name="Percent 3 2 2 3 2" xfId="5667" xr:uid="{00000000-0005-0000-0000-000067130000}"/>
    <cellStyle name="Percent 3 2 2 3 3" xfId="5666" xr:uid="{00000000-0005-0000-0000-000068130000}"/>
    <cellStyle name="Percent 3 2 2 4" xfId="5668" xr:uid="{00000000-0005-0000-0000-000069130000}"/>
    <cellStyle name="Percent 3 2 2 4 2" xfId="5669" xr:uid="{00000000-0005-0000-0000-00006A130000}"/>
    <cellStyle name="Percent 3 2 2 5" xfId="5670" xr:uid="{00000000-0005-0000-0000-00006B130000}"/>
    <cellStyle name="Percent 3 2 2 6" xfId="5671" xr:uid="{00000000-0005-0000-0000-00006C130000}"/>
    <cellStyle name="Percent 3 2 2 7" xfId="5658" xr:uid="{00000000-0005-0000-0000-00006D130000}"/>
    <cellStyle name="Percent 3 2 20" xfId="5604" xr:uid="{00000000-0005-0000-0000-00006E130000}"/>
    <cellStyle name="Percent 3 2 3" xfId="269" xr:uid="{00000000-0005-0000-0000-00006F130000}"/>
    <cellStyle name="Percent 3 2 3 2" xfId="2855" xr:uid="{00000000-0005-0000-0000-000070130000}"/>
    <cellStyle name="Percent 3 2 3 2 2" xfId="5674" xr:uid="{00000000-0005-0000-0000-000071130000}"/>
    <cellStyle name="Percent 3 2 3 2 3" xfId="5675" xr:uid="{00000000-0005-0000-0000-000072130000}"/>
    <cellStyle name="Percent 3 2 3 2 4" xfId="5673" xr:uid="{00000000-0005-0000-0000-000073130000}"/>
    <cellStyle name="Percent 3 2 3 3" xfId="5676" xr:uid="{00000000-0005-0000-0000-000074130000}"/>
    <cellStyle name="Percent 3 2 3 3 2" xfId="5677" xr:uid="{00000000-0005-0000-0000-000075130000}"/>
    <cellStyle name="Percent 3 2 3 4" xfId="5678" xr:uid="{00000000-0005-0000-0000-000076130000}"/>
    <cellStyle name="Percent 3 2 3 5" xfId="5679" xr:uid="{00000000-0005-0000-0000-000077130000}"/>
    <cellStyle name="Percent 3 2 3 6" xfId="5672" xr:uid="{00000000-0005-0000-0000-000078130000}"/>
    <cellStyle name="Percent 3 2 4" xfId="270" xr:uid="{00000000-0005-0000-0000-000079130000}"/>
    <cellStyle name="Percent 3 2 4 2" xfId="5681" xr:uid="{00000000-0005-0000-0000-00007A130000}"/>
    <cellStyle name="Percent 3 2 4 2 2" xfId="5682" xr:uid="{00000000-0005-0000-0000-00007B130000}"/>
    <cellStyle name="Percent 3 2 4 3" xfId="5683" xr:uid="{00000000-0005-0000-0000-00007C130000}"/>
    <cellStyle name="Percent 3 2 4 3 2" xfId="5684" xr:uid="{00000000-0005-0000-0000-00007D130000}"/>
    <cellStyle name="Percent 3 2 4 4" xfId="5685" xr:uid="{00000000-0005-0000-0000-00007E130000}"/>
    <cellStyle name="Percent 3 2 4 5" xfId="5686" xr:uid="{00000000-0005-0000-0000-00007F130000}"/>
    <cellStyle name="Percent 3 2 4 6" xfId="5680" xr:uid="{00000000-0005-0000-0000-000080130000}"/>
    <cellStyle name="Percent 3 2 5" xfId="2856" xr:uid="{00000000-0005-0000-0000-000081130000}"/>
    <cellStyle name="Percent 3 2 5 2" xfId="5688" xr:uid="{00000000-0005-0000-0000-000082130000}"/>
    <cellStyle name="Percent 3 2 5 2 2" xfId="5689" xr:uid="{00000000-0005-0000-0000-000083130000}"/>
    <cellStyle name="Percent 3 2 5 3" xfId="5690" xr:uid="{00000000-0005-0000-0000-000084130000}"/>
    <cellStyle name="Percent 3 2 5 3 2" xfId="5691" xr:uid="{00000000-0005-0000-0000-000085130000}"/>
    <cellStyle name="Percent 3 2 5 4" xfId="5692" xr:uid="{00000000-0005-0000-0000-000086130000}"/>
    <cellStyle name="Percent 3 2 5 5" xfId="5693" xr:uid="{00000000-0005-0000-0000-000087130000}"/>
    <cellStyle name="Percent 3 2 5 6" xfId="5687" xr:uid="{00000000-0005-0000-0000-000088130000}"/>
    <cellStyle name="Percent 3 2 6" xfId="2857" xr:uid="{00000000-0005-0000-0000-000089130000}"/>
    <cellStyle name="Percent 3 2 6 2" xfId="5695" xr:uid="{00000000-0005-0000-0000-00008A130000}"/>
    <cellStyle name="Percent 3 2 6 2 2" xfId="5696" xr:uid="{00000000-0005-0000-0000-00008B130000}"/>
    <cellStyle name="Percent 3 2 6 3" xfId="5697" xr:uid="{00000000-0005-0000-0000-00008C130000}"/>
    <cellStyle name="Percent 3 2 6 3 2" xfId="5698" xr:uid="{00000000-0005-0000-0000-00008D130000}"/>
    <cellStyle name="Percent 3 2 6 4" xfId="5699" xr:uid="{00000000-0005-0000-0000-00008E130000}"/>
    <cellStyle name="Percent 3 2 6 5" xfId="5700" xr:uid="{00000000-0005-0000-0000-00008F130000}"/>
    <cellStyle name="Percent 3 2 6 6" xfId="5694" xr:uid="{00000000-0005-0000-0000-000090130000}"/>
    <cellStyle name="Percent 3 2 7" xfId="2858" xr:uid="{00000000-0005-0000-0000-000091130000}"/>
    <cellStyle name="Percent 3 2 7 2" xfId="5702" xr:uid="{00000000-0005-0000-0000-000092130000}"/>
    <cellStyle name="Percent 3 2 7 2 2" xfId="5703" xr:uid="{00000000-0005-0000-0000-000093130000}"/>
    <cellStyle name="Percent 3 2 7 3" xfId="5704" xr:uid="{00000000-0005-0000-0000-000094130000}"/>
    <cellStyle name="Percent 3 2 7 3 2" xfId="5705" xr:uid="{00000000-0005-0000-0000-000095130000}"/>
    <cellStyle name="Percent 3 2 7 4" xfId="5706" xr:uid="{00000000-0005-0000-0000-000096130000}"/>
    <cellStyle name="Percent 3 2 7 5" xfId="5707" xr:uid="{00000000-0005-0000-0000-000097130000}"/>
    <cellStyle name="Percent 3 2 7 6" xfId="5701" xr:uid="{00000000-0005-0000-0000-000098130000}"/>
    <cellStyle name="Percent 3 2 8" xfId="2859" xr:uid="{00000000-0005-0000-0000-000099130000}"/>
    <cellStyle name="Percent 3 2 8 2" xfId="5709" xr:uid="{00000000-0005-0000-0000-00009A130000}"/>
    <cellStyle name="Percent 3 2 8 2 2" xfId="5710" xr:uid="{00000000-0005-0000-0000-00009B130000}"/>
    <cellStyle name="Percent 3 2 8 3" xfId="5711" xr:uid="{00000000-0005-0000-0000-00009C130000}"/>
    <cellStyle name="Percent 3 2 8 3 2" xfId="5712" xr:uid="{00000000-0005-0000-0000-00009D130000}"/>
    <cellStyle name="Percent 3 2 8 4" xfId="5713" xr:uid="{00000000-0005-0000-0000-00009E130000}"/>
    <cellStyle name="Percent 3 2 8 5" xfId="5714" xr:uid="{00000000-0005-0000-0000-00009F130000}"/>
    <cellStyle name="Percent 3 2 8 6" xfId="5708" xr:uid="{00000000-0005-0000-0000-0000A0130000}"/>
    <cellStyle name="Percent 3 2 9" xfId="2860" xr:uid="{00000000-0005-0000-0000-0000A1130000}"/>
    <cellStyle name="Percent 3 2 9 2" xfId="5716" xr:uid="{00000000-0005-0000-0000-0000A2130000}"/>
    <cellStyle name="Percent 3 2 9 2 2" xfId="5717" xr:uid="{00000000-0005-0000-0000-0000A3130000}"/>
    <cellStyle name="Percent 3 2 9 3" xfId="5718" xr:uid="{00000000-0005-0000-0000-0000A4130000}"/>
    <cellStyle name="Percent 3 2 9 3 2" xfId="5719" xr:uid="{00000000-0005-0000-0000-0000A5130000}"/>
    <cellStyle name="Percent 3 2 9 4" xfId="5720" xr:uid="{00000000-0005-0000-0000-0000A6130000}"/>
    <cellStyle name="Percent 3 2 9 5" xfId="5721" xr:uid="{00000000-0005-0000-0000-0000A7130000}"/>
    <cellStyle name="Percent 3 2 9 6" xfId="5715" xr:uid="{00000000-0005-0000-0000-0000A8130000}"/>
    <cellStyle name="Percent 3 20" xfId="2861" xr:uid="{00000000-0005-0000-0000-0000A9130000}"/>
    <cellStyle name="Percent 3 20 2" xfId="5723" xr:uid="{00000000-0005-0000-0000-0000AA130000}"/>
    <cellStyle name="Percent 3 20 2 2" xfId="5724" xr:uid="{00000000-0005-0000-0000-0000AB130000}"/>
    <cellStyle name="Percent 3 20 3" xfId="5725" xr:uid="{00000000-0005-0000-0000-0000AC130000}"/>
    <cellStyle name="Percent 3 20 3 2" xfId="5726" xr:uid="{00000000-0005-0000-0000-0000AD130000}"/>
    <cellStyle name="Percent 3 20 4" xfId="5727" xr:uid="{00000000-0005-0000-0000-0000AE130000}"/>
    <cellStyle name="Percent 3 20 5" xfId="5728" xr:uid="{00000000-0005-0000-0000-0000AF130000}"/>
    <cellStyle name="Percent 3 20 6" xfId="5722" xr:uid="{00000000-0005-0000-0000-0000B0130000}"/>
    <cellStyle name="Percent 3 21" xfId="2862" xr:uid="{00000000-0005-0000-0000-0000B1130000}"/>
    <cellStyle name="Percent 3 21 2" xfId="5730" xr:uid="{00000000-0005-0000-0000-0000B2130000}"/>
    <cellStyle name="Percent 3 21 2 2" xfId="5731" xr:uid="{00000000-0005-0000-0000-0000B3130000}"/>
    <cellStyle name="Percent 3 21 3" xfId="5732" xr:uid="{00000000-0005-0000-0000-0000B4130000}"/>
    <cellStyle name="Percent 3 21 3 2" xfId="5733" xr:uid="{00000000-0005-0000-0000-0000B5130000}"/>
    <cellStyle name="Percent 3 21 4" xfId="5734" xr:uid="{00000000-0005-0000-0000-0000B6130000}"/>
    <cellStyle name="Percent 3 21 5" xfId="5735" xr:uid="{00000000-0005-0000-0000-0000B7130000}"/>
    <cellStyle name="Percent 3 21 6" xfId="5729" xr:uid="{00000000-0005-0000-0000-0000B8130000}"/>
    <cellStyle name="Percent 3 22" xfId="2863" xr:uid="{00000000-0005-0000-0000-0000B9130000}"/>
    <cellStyle name="Percent 3 22 2" xfId="5737" xr:uid="{00000000-0005-0000-0000-0000BA130000}"/>
    <cellStyle name="Percent 3 22 2 2" xfId="5738" xr:uid="{00000000-0005-0000-0000-0000BB130000}"/>
    <cellStyle name="Percent 3 22 3" xfId="5739" xr:uid="{00000000-0005-0000-0000-0000BC130000}"/>
    <cellStyle name="Percent 3 22 3 2" xfId="5740" xr:uid="{00000000-0005-0000-0000-0000BD130000}"/>
    <cellStyle name="Percent 3 22 4" xfId="5741" xr:uid="{00000000-0005-0000-0000-0000BE130000}"/>
    <cellStyle name="Percent 3 22 5" xfId="5742" xr:uid="{00000000-0005-0000-0000-0000BF130000}"/>
    <cellStyle name="Percent 3 22 6" xfId="5736" xr:uid="{00000000-0005-0000-0000-0000C0130000}"/>
    <cellStyle name="Percent 3 23" xfId="2864" xr:uid="{00000000-0005-0000-0000-0000C1130000}"/>
    <cellStyle name="Percent 3 23 2" xfId="5744" xr:uid="{00000000-0005-0000-0000-0000C2130000}"/>
    <cellStyle name="Percent 3 23 2 2" xfId="5745" xr:uid="{00000000-0005-0000-0000-0000C3130000}"/>
    <cellStyle name="Percent 3 23 3" xfId="5746" xr:uid="{00000000-0005-0000-0000-0000C4130000}"/>
    <cellStyle name="Percent 3 23 3 2" xfId="5747" xr:uid="{00000000-0005-0000-0000-0000C5130000}"/>
    <cellStyle name="Percent 3 23 4" xfId="5748" xr:uid="{00000000-0005-0000-0000-0000C6130000}"/>
    <cellStyle name="Percent 3 23 5" xfId="5749" xr:uid="{00000000-0005-0000-0000-0000C7130000}"/>
    <cellStyle name="Percent 3 23 6" xfId="5743" xr:uid="{00000000-0005-0000-0000-0000C8130000}"/>
    <cellStyle name="Percent 3 24" xfId="2865" xr:uid="{00000000-0005-0000-0000-0000C9130000}"/>
    <cellStyle name="Percent 3 24 2" xfId="5751" xr:uid="{00000000-0005-0000-0000-0000CA130000}"/>
    <cellStyle name="Percent 3 24 2 2" xfId="5752" xr:uid="{00000000-0005-0000-0000-0000CB130000}"/>
    <cellStyle name="Percent 3 24 3" xfId="5753" xr:uid="{00000000-0005-0000-0000-0000CC130000}"/>
    <cellStyle name="Percent 3 24 3 2" xfId="5754" xr:uid="{00000000-0005-0000-0000-0000CD130000}"/>
    <cellStyle name="Percent 3 24 4" xfId="5755" xr:uid="{00000000-0005-0000-0000-0000CE130000}"/>
    <cellStyle name="Percent 3 24 5" xfId="5756" xr:uid="{00000000-0005-0000-0000-0000CF130000}"/>
    <cellStyle name="Percent 3 24 6" xfId="5750" xr:uid="{00000000-0005-0000-0000-0000D0130000}"/>
    <cellStyle name="Percent 3 25" xfId="2866" xr:uid="{00000000-0005-0000-0000-0000D1130000}"/>
    <cellStyle name="Percent 3 25 2" xfId="5758" xr:uid="{00000000-0005-0000-0000-0000D2130000}"/>
    <cellStyle name="Percent 3 25 2 2" xfId="5759" xr:uid="{00000000-0005-0000-0000-0000D3130000}"/>
    <cellStyle name="Percent 3 25 3" xfId="5760" xr:uid="{00000000-0005-0000-0000-0000D4130000}"/>
    <cellStyle name="Percent 3 25 3 2" xfId="5761" xr:uid="{00000000-0005-0000-0000-0000D5130000}"/>
    <cellStyle name="Percent 3 25 4" xfId="5762" xr:uid="{00000000-0005-0000-0000-0000D6130000}"/>
    <cellStyle name="Percent 3 25 5" xfId="5763" xr:uid="{00000000-0005-0000-0000-0000D7130000}"/>
    <cellStyle name="Percent 3 25 6" xfId="5757" xr:uid="{00000000-0005-0000-0000-0000D8130000}"/>
    <cellStyle name="Percent 3 26" xfId="2867" xr:uid="{00000000-0005-0000-0000-0000D9130000}"/>
    <cellStyle name="Percent 3 26 2" xfId="5765" xr:uid="{00000000-0005-0000-0000-0000DA130000}"/>
    <cellStyle name="Percent 3 26 2 2" xfId="5766" xr:uid="{00000000-0005-0000-0000-0000DB130000}"/>
    <cellStyle name="Percent 3 26 3" xfId="5767" xr:uid="{00000000-0005-0000-0000-0000DC130000}"/>
    <cellStyle name="Percent 3 26 3 2" xfId="5768" xr:uid="{00000000-0005-0000-0000-0000DD130000}"/>
    <cellStyle name="Percent 3 26 4" xfId="5769" xr:uid="{00000000-0005-0000-0000-0000DE130000}"/>
    <cellStyle name="Percent 3 26 5" xfId="5770" xr:uid="{00000000-0005-0000-0000-0000DF130000}"/>
    <cellStyle name="Percent 3 26 6" xfId="5764" xr:uid="{00000000-0005-0000-0000-0000E0130000}"/>
    <cellStyle name="Percent 3 27" xfId="2868" xr:uid="{00000000-0005-0000-0000-0000E1130000}"/>
    <cellStyle name="Percent 3 27 2" xfId="5772" xr:uid="{00000000-0005-0000-0000-0000E2130000}"/>
    <cellStyle name="Percent 3 27 2 2" xfId="5773" xr:uid="{00000000-0005-0000-0000-0000E3130000}"/>
    <cellStyle name="Percent 3 27 3" xfId="5774" xr:uid="{00000000-0005-0000-0000-0000E4130000}"/>
    <cellStyle name="Percent 3 27 3 2" xfId="5775" xr:uid="{00000000-0005-0000-0000-0000E5130000}"/>
    <cellStyle name="Percent 3 27 4" xfId="5776" xr:uid="{00000000-0005-0000-0000-0000E6130000}"/>
    <cellStyle name="Percent 3 27 5" xfId="5777" xr:uid="{00000000-0005-0000-0000-0000E7130000}"/>
    <cellStyle name="Percent 3 27 6" xfId="5771" xr:uid="{00000000-0005-0000-0000-0000E8130000}"/>
    <cellStyle name="Percent 3 28" xfId="2869" xr:uid="{00000000-0005-0000-0000-0000E9130000}"/>
    <cellStyle name="Percent 3 28 2" xfId="5779" xr:uid="{00000000-0005-0000-0000-0000EA130000}"/>
    <cellStyle name="Percent 3 28 2 2" xfId="5780" xr:uid="{00000000-0005-0000-0000-0000EB130000}"/>
    <cellStyle name="Percent 3 28 3" xfId="5781" xr:uid="{00000000-0005-0000-0000-0000EC130000}"/>
    <cellStyle name="Percent 3 28 3 2" xfId="5782" xr:uid="{00000000-0005-0000-0000-0000ED130000}"/>
    <cellStyle name="Percent 3 28 4" xfId="5783" xr:uid="{00000000-0005-0000-0000-0000EE130000}"/>
    <cellStyle name="Percent 3 28 5" xfId="5784" xr:uid="{00000000-0005-0000-0000-0000EF130000}"/>
    <cellStyle name="Percent 3 28 6" xfId="5778" xr:uid="{00000000-0005-0000-0000-0000F0130000}"/>
    <cellStyle name="Percent 3 29" xfId="2870" xr:uid="{00000000-0005-0000-0000-0000F1130000}"/>
    <cellStyle name="Percent 3 29 2" xfId="5785" xr:uid="{00000000-0005-0000-0000-0000F2130000}"/>
    <cellStyle name="Percent 3 3" xfId="271" xr:uid="{00000000-0005-0000-0000-0000F3130000}"/>
    <cellStyle name="Percent 3 3 10" xfId="2871" xr:uid="{00000000-0005-0000-0000-0000F4130000}"/>
    <cellStyle name="Percent 3 3 10 2" xfId="5788" xr:uid="{00000000-0005-0000-0000-0000F5130000}"/>
    <cellStyle name="Percent 3 3 10 2 2" xfId="5789" xr:uid="{00000000-0005-0000-0000-0000F6130000}"/>
    <cellStyle name="Percent 3 3 10 3" xfId="5790" xr:uid="{00000000-0005-0000-0000-0000F7130000}"/>
    <cellStyle name="Percent 3 3 10 3 2" xfId="5791" xr:uid="{00000000-0005-0000-0000-0000F8130000}"/>
    <cellStyle name="Percent 3 3 10 4" xfId="5792" xr:uid="{00000000-0005-0000-0000-0000F9130000}"/>
    <cellStyle name="Percent 3 3 10 5" xfId="5793" xr:uid="{00000000-0005-0000-0000-0000FA130000}"/>
    <cellStyle name="Percent 3 3 10 6" xfId="5787" xr:uid="{00000000-0005-0000-0000-0000FB130000}"/>
    <cellStyle name="Percent 3 3 11" xfId="2872" xr:uid="{00000000-0005-0000-0000-0000FC130000}"/>
    <cellStyle name="Percent 3 3 11 2" xfId="5795" xr:uid="{00000000-0005-0000-0000-0000FD130000}"/>
    <cellStyle name="Percent 3 3 11 2 2" xfId="5796" xr:uid="{00000000-0005-0000-0000-0000FE130000}"/>
    <cellStyle name="Percent 3 3 11 3" xfId="5797" xr:uid="{00000000-0005-0000-0000-0000FF130000}"/>
    <cellStyle name="Percent 3 3 11 3 2" xfId="5798" xr:uid="{00000000-0005-0000-0000-000000140000}"/>
    <cellStyle name="Percent 3 3 11 4" xfId="5799" xr:uid="{00000000-0005-0000-0000-000001140000}"/>
    <cellStyle name="Percent 3 3 11 5" xfId="5800" xr:uid="{00000000-0005-0000-0000-000002140000}"/>
    <cellStyle name="Percent 3 3 11 6" xfId="5794" xr:uid="{00000000-0005-0000-0000-000003140000}"/>
    <cellStyle name="Percent 3 3 12" xfId="2873" xr:uid="{00000000-0005-0000-0000-000004140000}"/>
    <cellStyle name="Percent 3 3 12 2" xfId="5802" xr:uid="{00000000-0005-0000-0000-000005140000}"/>
    <cellStyle name="Percent 3 3 12 2 2" xfId="5803" xr:uid="{00000000-0005-0000-0000-000006140000}"/>
    <cellStyle name="Percent 3 3 12 3" xfId="5804" xr:uid="{00000000-0005-0000-0000-000007140000}"/>
    <cellStyle name="Percent 3 3 12 3 2" xfId="5805" xr:uid="{00000000-0005-0000-0000-000008140000}"/>
    <cellStyle name="Percent 3 3 12 4" xfId="5806" xr:uid="{00000000-0005-0000-0000-000009140000}"/>
    <cellStyle name="Percent 3 3 12 5" xfId="5807" xr:uid="{00000000-0005-0000-0000-00000A140000}"/>
    <cellStyle name="Percent 3 3 12 6" xfId="5801" xr:uid="{00000000-0005-0000-0000-00000B140000}"/>
    <cellStyle name="Percent 3 3 13" xfId="2874" xr:uid="{00000000-0005-0000-0000-00000C140000}"/>
    <cellStyle name="Percent 3 3 13 2" xfId="5809" xr:uid="{00000000-0005-0000-0000-00000D140000}"/>
    <cellStyle name="Percent 3 3 13 2 2" xfId="5810" xr:uid="{00000000-0005-0000-0000-00000E140000}"/>
    <cellStyle name="Percent 3 3 13 3" xfId="5811" xr:uid="{00000000-0005-0000-0000-00000F140000}"/>
    <cellStyle name="Percent 3 3 13 3 2" xfId="5812" xr:uid="{00000000-0005-0000-0000-000010140000}"/>
    <cellStyle name="Percent 3 3 13 4" xfId="5813" xr:uid="{00000000-0005-0000-0000-000011140000}"/>
    <cellStyle name="Percent 3 3 13 5" xfId="5814" xr:uid="{00000000-0005-0000-0000-000012140000}"/>
    <cellStyle name="Percent 3 3 13 6" xfId="5808" xr:uid="{00000000-0005-0000-0000-000013140000}"/>
    <cellStyle name="Percent 3 3 14" xfId="2875" xr:uid="{00000000-0005-0000-0000-000014140000}"/>
    <cellStyle name="Percent 3 3 14 2" xfId="5816" xr:uid="{00000000-0005-0000-0000-000015140000}"/>
    <cellStyle name="Percent 3 3 14 2 2" xfId="5817" xr:uid="{00000000-0005-0000-0000-000016140000}"/>
    <cellStyle name="Percent 3 3 14 3" xfId="5818" xr:uid="{00000000-0005-0000-0000-000017140000}"/>
    <cellStyle name="Percent 3 3 14 3 2" xfId="5819" xr:uid="{00000000-0005-0000-0000-000018140000}"/>
    <cellStyle name="Percent 3 3 14 4" xfId="5820" xr:uid="{00000000-0005-0000-0000-000019140000}"/>
    <cellStyle name="Percent 3 3 14 5" xfId="5821" xr:uid="{00000000-0005-0000-0000-00001A140000}"/>
    <cellStyle name="Percent 3 3 14 6" xfId="5815" xr:uid="{00000000-0005-0000-0000-00001B140000}"/>
    <cellStyle name="Percent 3 3 15" xfId="2876" xr:uid="{00000000-0005-0000-0000-00001C140000}"/>
    <cellStyle name="Percent 3 3 15 2" xfId="5823" xr:uid="{00000000-0005-0000-0000-00001D140000}"/>
    <cellStyle name="Percent 3 3 15 2 2" xfId="5824" xr:uid="{00000000-0005-0000-0000-00001E140000}"/>
    <cellStyle name="Percent 3 3 15 3" xfId="5825" xr:uid="{00000000-0005-0000-0000-00001F140000}"/>
    <cellStyle name="Percent 3 3 15 3 2" xfId="5826" xr:uid="{00000000-0005-0000-0000-000020140000}"/>
    <cellStyle name="Percent 3 3 15 4" xfId="5827" xr:uid="{00000000-0005-0000-0000-000021140000}"/>
    <cellStyle name="Percent 3 3 15 5" xfId="5828" xr:uid="{00000000-0005-0000-0000-000022140000}"/>
    <cellStyle name="Percent 3 3 15 6" xfId="5822" xr:uid="{00000000-0005-0000-0000-000023140000}"/>
    <cellStyle name="Percent 3 3 16" xfId="5829" xr:uid="{00000000-0005-0000-0000-000024140000}"/>
    <cellStyle name="Percent 3 3 16 2" xfId="5830" xr:uid="{00000000-0005-0000-0000-000025140000}"/>
    <cellStyle name="Percent 3 3 17" xfId="5831" xr:uid="{00000000-0005-0000-0000-000026140000}"/>
    <cellStyle name="Percent 3 3 17 2" xfId="5832" xr:uid="{00000000-0005-0000-0000-000027140000}"/>
    <cellStyle name="Percent 3 3 18" xfId="5833" xr:uid="{00000000-0005-0000-0000-000028140000}"/>
    <cellStyle name="Percent 3 3 19" xfId="5834" xr:uid="{00000000-0005-0000-0000-000029140000}"/>
    <cellStyle name="Percent 3 3 2" xfId="272" xr:uid="{00000000-0005-0000-0000-00002A140000}"/>
    <cellStyle name="Percent 3 3 2 2" xfId="5836" xr:uid="{00000000-0005-0000-0000-00002B140000}"/>
    <cellStyle name="Percent 3 3 2 2 2" xfId="5837" xr:uid="{00000000-0005-0000-0000-00002C140000}"/>
    <cellStyle name="Percent 3 3 2 3" xfId="5838" xr:uid="{00000000-0005-0000-0000-00002D140000}"/>
    <cellStyle name="Percent 3 3 2 3 2" xfId="5839" xr:uid="{00000000-0005-0000-0000-00002E140000}"/>
    <cellStyle name="Percent 3 3 2 4" xfId="5840" xr:uid="{00000000-0005-0000-0000-00002F140000}"/>
    <cellStyle name="Percent 3 3 2 5" xfId="5841" xr:uid="{00000000-0005-0000-0000-000030140000}"/>
    <cellStyle name="Percent 3 3 2 6" xfId="5835" xr:uid="{00000000-0005-0000-0000-000031140000}"/>
    <cellStyle name="Percent 3 3 20" xfId="5786" xr:uid="{00000000-0005-0000-0000-000032140000}"/>
    <cellStyle name="Percent 3 3 3" xfId="273" xr:uid="{00000000-0005-0000-0000-000033140000}"/>
    <cellStyle name="Percent 3 3 3 2" xfId="274" xr:uid="{00000000-0005-0000-0000-000034140000}"/>
    <cellStyle name="Percent 3 3 3 2 2" xfId="5844" xr:uid="{00000000-0005-0000-0000-000035140000}"/>
    <cellStyle name="Percent 3 3 3 2 3" xfId="5845" xr:uid="{00000000-0005-0000-0000-000036140000}"/>
    <cellStyle name="Percent 3 3 3 2 4" xfId="5843" xr:uid="{00000000-0005-0000-0000-000037140000}"/>
    <cellStyle name="Percent 3 3 3 3" xfId="275" xr:uid="{00000000-0005-0000-0000-000038140000}"/>
    <cellStyle name="Percent 3 3 3 3 2" xfId="276" xr:uid="{00000000-0005-0000-0000-000039140000}"/>
    <cellStyle name="Percent 3 3 3 3 2 2" xfId="5847" xr:uid="{00000000-0005-0000-0000-00003A140000}"/>
    <cellStyle name="Percent 3 3 3 3 3" xfId="277" xr:uid="{00000000-0005-0000-0000-00003B140000}"/>
    <cellStyle name="Percent 3 3 3 3 3 2" xfId="5848" xr:uid="{00000000-0005-0000-0000-00003C140000}"/>
    <cellStyle name="Percent 3 3 3 3 4" xfId="382" xr:uid="{00000000-0005-0000-0000-00003D140000}"/>
    <cellStyle name="Percent 3 3 3 3 4 2" xfId="2877" xr:uid="{00000000-0005-0000-0000-00003E140000}"/>
    <cellStyle name="Percent 3 3 3 3 4 3" xfId="5849" xr:uid="{00000000-0005-0000-0000-00003F140000}"/>
    <cellStyle name="Percent 3 3 3 3 5" xfId="5850" xr:uid="{00000000-0005-0000-0000-000040140000}"/>
    <cellStyle name="Percent 3 3 3 3 6" xfId="5851" xr:uid="{00000000-0005-0000-0000-000041140000}"/>
    <cellStyle name="Percent 3 3 3 3 7" xfId="5846" xr:uid="{00000000-0005-0000-0000-000042140000}"/>
    <cellStyle name="Percent 3 3 3 4" xfId="5852" xr:uid="{00000000-0005-0000-0000-000043140000}"/>
    <cellStyle name="Percent 3 3 3 5" xfId="5853" xr:uid="{00000000-0005-0000-0000-000044140000}"/>
    <cellStyle name="Percent 3 3 3 6" xfId="5842" xr:uid="{00000000-0005-0000-0000-000045140000}"/>
    <cellStyle name="Percent 3 3 4" xfId="278" xr:uid="{00000000-0005-0000-0000-000046140000}"/>
    <cellStyle name="Percent 3 3 4 2" xfId="2878" xr:uid="{00000000-0005-0000-0000-000047140000}"/>
    <cellStyle name="Percent 3 3 4 2 2" xfId="5856" xr:uid="{00000000-0005-0000-0000-000048140000}"/>
    <cellStyle name="Percent 3 3 4 2 3" xfId="5857" xr:uid="{00000000-0005-0000-0000-000049140000}"/>
    <cellStyle name="Percent 3 3 4 2 4" xfId="5855" xr:uid="{00000000-0005-0000-0000-00004A140000}"/>
    <cellStyle name="Percent 3 3 4 3" xfId="5858" xr:uid="{00000000-0005-0000-0000-00004B140000}"/>
    <cellStyle name="Percent 3 3 4 3 2" xfId="5859" xr:uid="{00000000-0005-0000-0000-00004C140000}"/>
    <cellStyle name="Percent 3 3 4 4" xfId="5860" xr:uid="{00000000-0005-0000-0000-00004D140000}"/>
    <cellStyle name="Percent 3 3 4 5" xfId="5861" xr:uid="{00000000-0005-0000-0000-00004E140000}"/>
    <cellStyle name="Percent 3 3 4 6" xfId="5854" xr:uid="{00000000-0005-0000-0000-00004F140000}"/>
    <cellStyle name="Percent 3 3 5" xfId="279" xr:uid="{00000000-0005-0000-0000-000050140000}"/>
    <cellStyle name="Percent 3 3 5 2" xfId="5863" xr:uid="{00000000-0005-0000-0000-000051140000}"/>
    <cellStyle name="Percent 3 3 5 2 2" xfId="5864" xr:uid="{00000000-0005-0000-0000-000052140000}"/>
    <cellStyle name="Percent 3 3 5 2 2 2" xfId="5865" xr:uid="{00000000-0005-0000-0000-000053140000}"/>
    <cellStyle name="Percent 3 3 5 2 3" xfId="5866" xr:uid="{00000000-0005-0000-0000-000054140000}"/>
    <cellStyle name="Percent 3 3 5 2 3 2" xfId="5867" xr:uid="{00000000-0005-0000-0000-000055140000}"/>
    <cellStyle name="Percent 3 3 5 2 4" xfId="5868" xr:uid="{00000000-0005-0000-0000-000056140000}"/>
    <cellStyle name="Percent 3 3 5 3" xfId="5869" xr:uid="{00000000-0005-0000-0000-000057140000}"/>
    <cellStyle name="Percent 3 3 5 3 2" xfId="5870" xr:uid="{00000000-0005-0000-0000-000058140000}"/>
    <cellStyle name="Percent 3 3 5 3 2 2" xfId="5871" xr:uid="{00000000-0005-0000-0000-000059140000}"/>
    <cellStyle name="Percent 3 3 5 3 3" xfId="5872" xr:uid="{00000000-0005-0000-0000-00005A140000}"/>
    <cellStyle name="Percent 3 3 5 3 3 2" xfId="5873" xr:uid="{00000000-0005-0000-0000-00005B140000}"/>
    <cellStyle name="Percent 3 3 5 3 4" xfId="5874" xr:uid="{00000000-0005-0000-0000-00005C140000}"/>
    <cellStyle name="Percent 3 3 5 4" xfId="5875" xr:uid="{00000000-0005-0000-0000-00005D140000}"/>
    <cellStyle name="Percent 3 3 5 4 2" xfId="5876" xr:uid="{00000000-0005-0000-0000-00005E140000}"/>
    <cellStyle name="Percent 3 3 5 5" xfId="5877" xr:uid="{00000000-0005-0000-0000-00005F140000}"/>
    <cellStyle name="Percent 3 3 5 5 2" xfId="5878" xr:uid="{00000000-0005-0000-0000-000060140000}"/>
    <cellStyle name="Percent 3 3 5 6" xfId="5879" xr:uid="{00000000-0005-0000-0000-000061140000}"/>
    <cellStyle name="Percent 3 3 5 7" xfId="5880" xr:uid="{00000000-0005-0000-0000-000062140000}"/>
    <cellStyle name="Percent 3 3 5 8" xfId="5862" xr:uid="{00000000-0005-0000-0000-000063140000}"/>
    <cellStyle name="Percent 3 3 6" xfId="381" xr:uid="{00000000-0005-0000-0000-000064140000}"/>
    <cellStyle name="Percent 3 3 6 2" xfId="2879" xr:uid="{00000000-0005-0000-0000-000065140000}"/>
    <cellStyle name="Percent 3 3 6 2 2" xfId="5883" xr:uid="{00000000-0005-0000-0000-000066140000}"/>
    <cellStyle name="Percent 3 3 6 2 2 2" xfId="5884" xr:uid="{00000000-0005-0000-0000-000067140000}"/>
    <cellStyle name="Percent 3 3 6 2 3" xfId="5885" xr:uid="{00000000-0005-0000-0000-000068140000}"/>
    <cellStyle name="Percent 3 3 6 2 3 2" xfId="5886" xr:uid="{00000000-0005-0000-0000-000069140000}"/>
    <cellStyle name="Percent 3 3 6 2 4" xfId="5887" xr:uid="{00000000-0005-0000-0000-00006A140000}"/>
    <cellStyle name="Percent 3 3 6 2 5" xfId="5882" xr:uid="{00000000-0005-0000-0000-00006B140000}"/>
    <cellStyle name="Percent 3 3 6 3" xfId="5888" xr:uid="{00000000-0005-0000-0000-00006C140000}"/>
    <cellStyle name="Percent 3 3 6 3 2" xfId="5889" xr:uid="{00000000-0005-0000-0000-00006D140000}"/>
    <cellStyle name="Percent 3 3 6 3 2 2" xfId="5890" xr:uid="{00000000-0005-0000-0000-00006E140000}"/>
    <cellStyle name="Percent 3 3 6 3 3" xfId="5891" xr:uid="{00000000-0005-0000-0000-00006F140000}"/>
    <cellStyle name="Percent 3 3 6 3 3 2" xfId="5892" xr:uid="{00000000-0005-0000-0000-000070140000}"/>
    <cellStyle name="Percent 3 3 6 3 4" xfId="5893" xr:uid="{00000000-0005-0000-0000-000071140000}"/>
    <cellStyle name="Percent 3 3 6 4" xfId="5894" xr:uid="{00000000-0005-0000-0000-000072140000}"/>
    <cellStyle name="Percent 3 3 6 4 2" xfId="5895" xr:uid="{00000000-0005-0000-0000-000073140000}"/>
    <cellStyle name="Percent 3 3 6 5" xfId="5896" xr:uid="{00000000-0005-0000-0000-000074140000}"/>
    <cellStyle name="Percent 3 3 6 5 2" xfId="5897" xr:uid="{00000000-0005-0000-0000-000075140000}"/>
    <cellStyle name="Percent 3 3 6 6" xfId="5898" xr:uid="{00000000-0005-0000-0000-000076140000}"/>
    <cellStyle name="Percent 3 3 6 7" xfId="5899" xr:uid="{00000000-0005-0000-0000-000077140000}"/>
    <cellStyle name="Percent 3 3 6 8" xfId="5881" xr:uid="{00000000-0005-0000-0000-000078140000}"/>
    <cellStyle name="Percent 3 3 7" xfId="2880" xr:uid="{00000000-0005-0000-0000-000079140000}"/>
    <cellStyle name="Percent 3 3 7 2" xfId="5901" xr:uid="{00000000-0005-0000-0000-00007A140000}"/>
    <cellStyle name="Percent 3 3 7 2 2" xfId="5902" xr:uid="{00000000-0005-0000-0000-00007B140000}"/>
    <cellStyle name="Percent 3 3 7 2 2 2" xfId="5903" xr:uid="{00000000-0005-0000-0000-00007C140000}"/>
    <cellStyle name="Percent 3 3 7 2 3" xfId="5904" xr:uid="{00000000-0005-0000-0000-00007D140000}"/>
    <cellStyle name="Percent 3 3 7 2 3 2" xfId="5905" xr:uid="{00000000-0005-0000-0000-00007E140000}"/>
    <cellStyle name="Percent 3 3 7 2 4" xfId="5906" xr:uid="{00000000-0005-0000-0000-00007F140000}"/>
    <cellStyle name="Percent 3 3 7 3" xfId="5907" xr:uid="{00000000-0005-0000-0000-000080140000}"/>
    <cellStyle name="Percent 3 3 7 3 2" xfId="5908" xr:uid="{00000000-0005-0000-0000-000081140000}"/>
    <cellStyle name="Percent 3 3 7 3 2 2" xfId="5909" xr:uid="{00000000-0005-0000-0000-000082140000}"/>
    <cellStyle name="Percent 3 3 7 3 3" xfId="5910" xr:uid="{00000000-0005-0000-0000-000083140000}"/>
    <cellStyle name="Percent 3 3 7 3 3 2" xfId="5911" xr:uid="{00000000-0005-0000-0000-000084140000}"/>
    <cellStyle name="Percent 3 3 7 3 4" xfId="5912" xr:uid="{00000000-0005-0000-0000-000085140000}"/>
    <cellStyle name="Percent 3 3 7 4" xfId="5913" xr:uid="{00000000-0005-0000-0000-000086140000}"/>
    <cellStyle name="Percent 3 3 7 4 2" xfId="5914" xr:uid="{00000000-0005-0000-0000-000087140000}"/>
    <cellStyle name="Percent 3 3 7 5" xfId="5915" xr:uid="{00000000-0005-0000-0000-000088140000}"/>
    <cellStyle name="Percent 3 3 7 5 2" xfId="5916" xr:uid="{00000000-0005-0000-0000-000089140000}"/>
    <cellStyle name="Percent 3 3 7 6" xfId="5917" xr:uid="{00000000-0005-0000-0000-00008A140000}"/>
    <cellStyle name="Percent 3 3 7 7" xfId="5918" xr:uid="{00000000-0005-0000-0000-00008B140000}"/>
    <cellStyle name="Percent 3 3 7 8" xfId="5900" xr:uid="{00000000-0005-0000-0000-00008C140000}"/>
    <cellStyle name="Percent 3 3 8" xfId="2881" xr:uid="{00000000-0005-0000-0000-00008D140000}"/>
    <cellStyle name="Percent 3 3 8 2" xfId="5920" xr:uid="{00000000-0005-0000-0000-00008E140000}"/>
    <cellStyle name="Percent 3 3 8 2 2" xfId="5921" xr:uid="{00000000-0005-0000-0000-00008F140000}"/>
    <cellStyle name="Percent 3 3 8 2 2 2" xfId="5922" xr:uid="{00000000-0005-0000-0000-000090140000}"/>
    <cellStyle name="Percent 3 3 8 2 3" xfId="5923" xr:uid="{00000000-0005-0000-0000-000091140000}"/>
    <cellStyle name="Percent 3 3 8 2 3 2" xfId="5924" xr:uid="{00000000-0005-0000-0000-000092140000}"/>
    <cellStyle name="Percent 3 3 8 2 4" xfId="5925" xr:uid="{00000000-0005-0000-0000-000093140000}"/>
    <cellStyle name="Percent 3 3 8 3" xfId="5926" xr:uid="{00000000-0005-0000-0000-000094140000}"/>
    <cellStyle name="Percent 3 3 8 3 2" xfId="5927" xr:uid="{00000000-0005-0000-0000-000095140000}"/>
    <cellStyle name="Percent 3 3 8 3 2 2" xfId="5928" xr:uid="{00000000-0005-0000-0000-000096140000}"/>
    <cellStyle name="Percent 3 3 8 3 3" xfId="5929" xr:uid="{00000000-0005-0000-0000-000097140000}"/>
    <cellStyle name="Percent 3 3 8 3 3 2" xfId="5930" xr:uid="{00000000-0005-0000-0000-000098140000}"/>
    <cellStyle name="Percent 3 3 8 3 4" xfId="5931" xr:uid="{00000000-0005-0000-0000-000099140000}"/>
    <cellStyle name="Percent 3 3 8 4" xfId="5932" xr:uid="{00000000-0005-0000-0000-00009A140000}"/>
    <cellStyle name="Percent 3 3 8 4 2" xfId="5933" xr:uid="{00000000-0005-0000-0000-00009B140000}"/>
    <cellStyle name="Percent 3 3 8 5" xfId="5934" xr:uid="{00000000-0005-0000-0000-00009C140000}"/>
    <cellStyle name="Percent 3 3 8 5 2" xfId="5935" xr:uid="{00000000-0005-0000-0000-00009D140000}"/>
    <cellStyle name="Percent 3 3 8 6" xfId="5936" xr:uid="{00000000-0005-0000-0000-00009E140000}"/>
    <cellStyle name="Percent 3 3 8 7" xfId="5937" xr:uid="{00000000-0005-0000-0000-00009F140000}"/>
    <cellStyle name="Percent 3 3 8 8" xfId="5919" xr:uid="{00000000-0005-0000-0000-0000A0140000}"/>
    <cellStyle name="Percent 3 3 9" xfId="2882" xr:uid="{00000000-0005-0000-0000-0000A1140000}"/>
    <cellStyle name="Percent 3 3 9 2" xfId="5939" xr:uid="{00000000-0005-0000-0000-0000A2140000}"/>
    <cellStyle name="Percent 3 3 9 2 2" xfId="5940" xr:uid="{00000000-0005-0000-0000-0000A3140000}"/>
    <cellStyle name="Percent 3 3 9 2 2 2" xfId="5941" xr:uid="{00000000-0005-0000-0000-0000A4140000}"/>
    <cellStyle name="Percent 3 3 9 2 3" xfId="5942" xr:uid="{00000000-0005-0000-0000-0000A5140000}"/>
    <cellStyle name="Percent 3 3 9 2 3 2" xfId="5943" xr:uid="{00000000-0005-0000-0000-0000A6140000}"/>
    <cellStyle name="Percent 3 3 9 2 4" xfId="5944" xr:uid="{00000000-0005-0000-0000-0000A7140000}"/>
    <cellStyle name="Percent 3 3 9 3" xfId="5945" xr:uid="{00000000-0005-0000-0000-0000A8140000}"/>
    <cellStyle name="Percent 3 3 9 3 2" xfId="5946" xr:uid="{00000000-0005-0000-0000-0000A9140000}"/>
    <cellStyle name="Percent 3 3 9 3 2 2" xfId="5947" xr:uid="{00000000-0005-0000-0000-0000AA140000}"/>
    <cellStyle name="Percent 3 3 9 3 3" xfId="5948" xr:uid="{00000000-0005-0000-0000-0000AB140000}"/>
    <cellStyle name="Percent 3 3 9 3 3 2" xfId="5949" xr:uid="{00000000-0005-0000-0000-0000AC140000}"/>
    <cellStyle name="Percent 3 3 9 3 4" xfId="5950" xr:uid="{00000000-0005-0000-0000-0000AD140000}"/>
    <cellStyle name="Percent 3 3 9 4" xfId="5951" xr:uid="{00000000-0005-0000-0000-0000AE140000}"/>
    <cellStyle name="Percent 3 3 9 4 2" xfId="5952" xr:uid="{00000000-0005-0000-0000-0000AF140000}"/>
    <cellStyle name="Percent 3 3 9 5" xfId="5953" xr:uid="{00000000-0005-0000-0000-0000B0140000}"/>
    <cellStyle name="Percent 3 3 9 5 2" xfId="5954" xr:uid="{00000000-0005-0000-0000-0000B1140000}"/>
    <cellStyle name="Percent 3 3 9 6" xfId="5955" xr:uid="{00000000-0005-0000-0000-0000B2140000}"/>
    <cellStyle name="Percent 3 3 9 7" xfId="5956" xr:uid="{00000000-0005-0000-0000-0000B3140000}"/>
    <cellStyle name="Percent 3 3 9 8" xfId="5938" xr:uid="{00000000-0005-0000-0000-0000B4140000}"/>
    <cellStyle name="Percent 3 30" xfId="2820" xr:uid="{00000000-0005-0000-0000-0000B5140000}"/>
    <cellStyle name="Percent 3 31" xfId="5537" xr:uid="{00000000-0005-0000-0000-0000B6140000}"/>
    <cellStyle name="Percent 3 4" xfId="280" xr:uid="{00000000-0005-0000-0000-0000B7140000}"/>
    <cellStyle name="Percent 3 4 10" xfId="2883" xr:uid="{00000000-0005-0000-0000-0000B8140000}"/>
    <cellStyle name="Percent 3 4 10 2" xfId="5959" xr:uid="{00000000-0005-0000-0000-0000B9140000}"/>
    <cellStyle name="Percent 3 4 10 2 2" xfId="5960" xr:uid="{00000000-0005-0000-0000-0000BA140000}"/>
    <cellStyle name="Percent 3 4 10 2 2 2" xfId="5961" xr:uid="{00000000-0005-0000-0000-0000BB140000}"/>
    <cellStyle name="Percent 3 4 10 2 3" xfId="5962" xr:uid="{00000000-0005-0000-0000-0000BC140000}"/>
    <cellStyle name="Percent 3 4 10 2 3 2" xfId="5963" xr:uid="{00000000-0005-0000-0000-0000BD140000}"/>
    <cellStyle name="Percent 3 4 10 2 4" xfId="5964" xr:uid="{00000000-0005-0000-0000-0000BE140000}"/>
    <cellStyle name="Percent 3 4 10 2 5" xfId="5965" xr:uid="{00000000-0005-0000-0000-0000BF140000}"/>
    <cellStyle name="Percent 3 4 10 3" xfId="5966" xr:uid="{00000000-0005-0000-0000-0000C0140000}"/>
    <cellStyle name="Percent 3 4 10 3 2" xfId="5967" xr:uid="{00000000-0005-0000-0000-0000C1140000}"/>
    <cellStyle name="Percent 3 4 10 3 2 2" xfId="5968" xr:uid="{00000000-0005-0000-0000-0000C2140000}"/>
    <cellStyle name="Percent 3 4 10 3 3" xfId="5969" xr:uid="{00000000-0005-0000-0000-0000C3140000}"/>
    <cellStyle name="Percent 3 4 10 3 3 2" xfId="5970" xr:uid="{00000000-0005-0000-0000-0000C4140000}"/>
    <cellStyle name="Percent 3 4 10 3 4" xfId="5971" xr:uid="{00000000-0005-0000-0000-0000C5140000}"/>
    <cellStyle name="Percent 3 4 10 4" xfId="5972" xr:uid="{00000000-0005-0000-0000-0000C6140000}"/>
    <cellStyle name="Percent 3 4 10 4 2" xfId="5973" xr:uid="{00000000-0005-0000-0000-0000C7140000}"/>
    <cellStyle name="Percent 3 4 10 5" xfId="5974" xr:uid="{00000000-0005-0000-0000-0000C8140000}"/>
    <cellStyle name="Percent 3 4 10 5 2" xfId="5975" xr:uid="{00000000-0005-0000-0000-0000C9140000}"/>
    <cellStyle name="Percent 3 4 10 6" xfId="5976" xr:uid="{00000000-0005-0000-0000-0000CA140000}"/>
    <cellStyle name="Percent 3 4 10 7" xfId="5977" xr:uid="{00000000-0005-0000-0000-0000CB140000}"/>
    <cellStyle name="Percent 3 4 10 8" xfId="5958" xr:uid="{00000000-0005-0000-0000-0000CC140000}"/>
    <cellStyle name="Percent 3 4 11" xfId="2884" xr:uid="{00000000-0005-0000-0000-0000CD140000}"/>
    <cellStyle name="Percent 3 4 11 2" xfId="5979" xr:uid="{00000000-0005-0000-0000-0000CE140000}"/>
    <cellStyle name="Percent 3 4 11 2 2" xfId="5980" xr:uid="{00000000-0005-0000-0000-0000CF140000}"/>
    <cellStyle name="Percent 3 4 11 2 2 2" xfId="5981" xr:uid="{00000000-0005-0000-0000-0000D0140000}"/>
    <cellStyle name="Percent 3 4 11 2 3" xfId="5982" xr:uid="{00000000-0005-0000-0000-0000D1140000}"/>
    <cellStyle name="Percent 3 4 11 2 3 2" xfId="5983" xr:uid="{00000000-0005-0000-0000-0000D2140000}"/>
    <cellStyle name="Percent 3 4 11 2 4" xfId="5984" xr:uid="{00000000-0005-0000-0000-0000D3140000}"/>
    <cellStyle name="Percent 3 4 11 2 5" xfId="5985" xr:uid="{00000000-0005-0000-0000-0000D4140000}"/>
    <cellStyle name="Percent 3 4 11 3" xfId="5986" xr:uid="{00000000-0005-0000-0000-0000D5140000}"/>
    <cellStyle name="Percent 3 4 11 3 2" xfId="5987" xr:uid="{00000000-0005-0000-0000-0000D6140000}"/>
    <cellStyle name="Percent 3 4 11 3 2 2" xfId="5988" xr:uid="{00000000-0005-0000-0000-0000D7140000}"/>
    <cellStyle name="Percent 3 4 11 3 3" xfId="5989" xr:uid="{00000000-0005-0000-0000-0000D8140000}"/>
    <cellStyle name="Percent 3 4 11 3 3 2" xfId="5990" xr:uid="{00000000-0005-0000-0000-0000D9140000}"/>
    <cellStyle name="Percent 3 4 11 3 4" xfId="5991" xr:uid="{00000000-0005-0000-0000-0000DA140000}"/>
    <cellStyle name="Percent 3 4 11 4" xfId="5992" xr:uid="{00000000-0005-0000-0000-0000DB140000}"/>
    <cellStyle name="Percent 3 4 11 4 2" xfId="5993" xr:uid="{00000000-0005-0000-0000-0000DC140000}"/>
    <cellStyle name="Percent 3 4 11 5" xfId="5994" xr:uid="{00000000-0005-0000-0000-0000DD140000}"/>
    <cellStyle name="Percent 3 4 11 5 2" xfId="5995" xr:uid="{00000000-0005-0000-0000-0000DE140000}"/>
    <cellStyle name="Percent 3 4 11 6" xfId="5996" xr:uid="{00000000-0005-0000-0000-0000DF140000}"/>
    <cellStyle name="Percent 3 4 11 7" xfId="5997" xr:uid="{00000000-0005-0000-0000-0000E0140000}"/>
    <cellStyle name="Percent 3 4 11 8" xfId="5978" xr:uid="{00000000-0005-0000-0000-0000E1140000}"/>
    <cellStyle name="Percent 3 4 12" xfId="2885" xr:uid="{00000000-0005-0000-0000-0000E2140000}"/>
    <cellStyle name="Percent 3 4 12 2" xfId="5999" xr:uid="{00000000-0005-0000-0000-0000E3140000}"/>
    <cellStyle name="Percent 3 4 12 2 2" xfId="6000" xr:uid="{00000000-0005-0000-0000-0000E4140000}"/>
    <cellStyle name="Percent 3 4 12 2 2 2" xfId="6001" xr:uid="{00000000-0005-0000-0000-0000E5140000}"/>
    <cellStyle name="Percent 3 4 12 2 3" xfId="6002" xr:uid="{00000000-0005-0000-0000-0000E6140000}"/>
    <cellStyle name="Percent 3 4 12 2 3 2" xfId="6003" xr:uid="{00000000-0005-0000-0000-0000E7140000}"/>
    <cellStyle name="Percent 3 4 12 2 4" xfId="6004" xr:uid="{00000000-0005-0000-0000-0000E8140000}"/>
    <cellStyle name="Percent 3 4 12 2 5" xfId="6005" xr:uid="{00000000-0005-0000-0000-0000E9140000}"/>
    <cellStyle name="Percent 3 4 12 3" xfId="6006" xr:uid="{00000000-0005-0000-0000-0000EA140000}"/>
    <cellStyle name="Percent 3 4 12 3 2" xfId="6007" xr:uid="{00000000-0005-0000-0000-0000EB140000}"/>
    <cellStyle name="Percent 3 4 12 3 2 2" xfId="6008" xr:uid="{00000000-0005-0000-0000-0000EC140000}"/>
    <cellStyle name="Percent 3 4 12 3 3" xfId="6009" xr:uid="{00000000-0005-0000-0000-0000ED140000}"/>
    <cellStyle name="Percent 3 4 12 3 3 2" xfId="6010" xr:uid="{00000000-0005-0000-0000-0000EE140000}"/>
    <cellStyle name="Percent 3 4 12 3 4" xfId="6011" xr:uid="{00000000-0005-0000-0000-0000EF140000}"/>
    <cellStyle name="Percent 3 4 12 4" xfId="6012" xr:uid="{00000000-0005-0000-0000-0000F0140000}"/>
    <cellStyle name="Percent 3 4 12 4 2" xfId="6013" xr:uid="{00000000-0005-0000-0000-0000F1140000}"/>
    <cellStyle name="Percent 3 4 12 5" xfId="6014" xr:uid="{00000000-0005-0000-0000-0000F2140000}"/>
    <cellStyle name="Percent 3 4 12 5 2" xfId="6015" xr:uid="{00000000-0005-0000-0000-0000F3140000}"/>
    <cellStyle name="Percent 3 4 12 6" xfId="6016" xr:uid="{00000000-0005-0000-0000-0000F4140000}"/>
    <cellStyle name="Percent 3 4 12 7" xfId="6017" xr:uid="{00000000-0005-0000-0000-0000F5140000}"/>
    <cellStyle name="Percent 3 4 12 8" xfId="5998" xr:uid="{00000000-0005-0000-0000-0000F6140000}"/>
    <cellStyle name="Percent 3 4 13" xfId="2886" xr:uid="{00000000-0005-0000-0000-0000F7140000}"/>
    <cellStyle name="Percent 3 4 13 2" xfId="6019" xr:uid="{00000000-0005-0000-0000-0000F8140000}"/>
    <cellStyle name="Percent 3 4 13 2 2" xfId="6020" xr:uid="{00000000-0005-0000-0000-0000F9140000}"/>
    <cellStyle name="Percent 3 4 13 2 2 2" xfId="6021" xr:uid="{00000000-0005-0000-0000-0000FA140000}"/>
    <cellStyle name="Percent 3 4 13 2 3" xfId="6022" xr:uid="{00000000-0005-0000-0000-0000FB140000}"/>
    <cellStyle name="Percent 3 4 13 2 3 2" xfId="6023" xr:uid="{00000000-0005-0000-0000-0000FC140000}"/>
    <cellStyle name="Percent 3 4 13 2 4" xfId="6024" xr:uid="{00000000-0005-0000-0000-0000FD140000}"/>
    <cellStyle name="Percent 3 4 13 2 5" xfId="6025" xr:uid="{00000000-0005-0000-0000-0000FE140000}"/>
    <cellStyle name="Percent 3 4 13 3" xfId="6026" xr:uid="{00000000-0005-0000-0000-0000FF140000}"/>
    <cellStyle name="Percent 3 4 13 3 2" xfId="6027" xr:uid="{00000000-0005-0000-0000-000000150000}"/>
    <cellStyle name="Percent 3 4 13 3 2 2" xfId="6028" xr:uid="{00000000-0005-0000-0000-000001150000}"/>
    <cellStyle name="Percent 3 4 13 3 3" xfId="6029" xr:uid="{00000000-0005-0000-0000-000002150000}"/>
    <cellStyle name="Percent 3 4 13 3 3 2" xfId="6030" xr:uid="{00000000-0005-0000-0000-000003150000}"/>
    <cellStyle name="Percent 3 4 13 3 4" xfId="6031" xr:uid="{00000000-0005-0000-0000-000004150000}"/>
    <cellStyle name="Percent 3 4 13 4" xfId="6032" xr:uid="{00000000-0005-0000-0000-000005150000}"/>
    <cellStyle name="Percent 3 4 13 4 2" xfId="6033" xr:uid="{00000000-0005-0000-0000-000006150000}"/>
    <cellStyle name="Percent 3 4 13 5" xfId="6034" xr:uid="{00000000-0005-0000-0000-000007150000}"/>
    <cellStyle name="Percent 3 4 13 5 2" xfId="6035" xr:uid="{00000000-0005-0000-0000-000008150000}"/>
    <cellStyle name="Percent 3 4 13 6" xfId="6036" xr:uid="{00000000-0005-0000-0000-000009150000}"/>
    <cellStyle name="Percent 3 4 13 7" xfId="6037" xr:uid="{00000000-0005-0000-0000-00000A150000}"/>
    <cellStyle name="Percent 3 4 13 8" xfId="6018" xr:uid="{00000000-0005-0000-0000-00000B150000}"/>
    <cellStyle name="Percent 3 4 14" xfId="2887" xr:uid="{00000000-0005-0000-0000-00000C150000}"/>
    <cellStyle name="Percent 3 4 14 2" xfId="6039" xr:uid="{00000000-0005-0000-0000-00000D150000}"/>
    <cellStyle name="Percent 3 4 14 2 2" xfId="6040" xr:uid="{00000000-0005-0000-0000-00000E150000}"/>
    <cellStyle name="Percent 3 4 14 2 2 2" xfId="6041" xr:uid="{00000000-0005-0000-0000-00000F150000}"/>
    <cellStyle name="Percent 3 4 14 2 3" xfId="6042" xr:uid="{00000000-0005-0000-0000-000010150000}"/>
    <cellStyle name="Percent 3 4 14 2 3 2" xfId="6043" xr:uid="{00000000-0005-0000-0000-000011150000}"/>
    <cellStyle name="Percent 3 4 14 2 4" xfId="6044" xr:uid="{00000000-0005-0000-0000-000012150000}"/>
    <cellStyle name="Percent 3 4 14 2 5" xfId="6045" xr:uid="{00000000-0005-0000-0000-000013150000}"/>
    <cellStyle name="Percent 3 4 14 3" xfId="6046" xr:uid="{00000000-0005-0000-0000-000014150000}"/>
    <cellStyle name="Percent 3 4 14 3 2" xfId="6047" xr:uid="{00000000-0005-0000-0000-000015150000}"/>
    <cellStyle name="Percent 3 4 14 3 2 2" xfId="6048" xr:uid="{00000000-0005-0000-0000-000016150000}"/>
    <cellStyle name="Percent 3 4 14 3 3" xfId="6049" xr:uid="{00000000-0005-0000-0000-000017150000}"/>
    <cellStyle name="Percent 3 4 14 3 3 2" xfId="6050" xr:uid="{00000000-0005-0000-0000-000018150000}"/>
    <cellStyle name="Percent 3 4 14 3 4" xfId="6051" xr:uid="{00000000-0005-0000-0000-000019150000}"/>
    <cellStyle name="Percent 3 4 14 4" xfId="6052" xr:uid="{00000000-0005-0000-0000-00001A150000}"/>
    <cellStyle name="Percent 3 4 14 4 2" xfId="6053" xr:uid="{00000000-0005-0000-0000-00001B150000}"/>
    <cellStyle name="Percent 3 4 14 5" xfId="6054" xr:uid="{00000000-0005-0000-0000-00001C150000}"/>
    <cellStyle name="Percent 3 4 14 5 2" xfId="6055" xr:uid="{00000000-0005-0000-0000-00001D150000}"/>
    <cellStyle name="Percent 3 4 14 6" xfId="6056" xr:uid="{00000000-0005-0000-0000-00001E150000}"/>
    <cellStyle name="Percent 3 4 14 7" xfId="6057" xr:uid="{00000000-0005-0000-0000-00001F150000}"/>
    <cellStyle name="Percent 3 4 14 8" xfId="6038" xr:uid="{00000000-0005-0000-0000-000020150000}"/>
    <cellStyle name="Percent 3 4 15" xfId="2888" xr:uid="{00000000-0005-0000-0000-000021150000}"/>
    <cellStyle name="Percent 3 4 15 2" xfId="6059" xr:uid="{00000000-0005-0000-0000-000022150000}"/>
    <cellStyle name="Percent 3 4 15 2 2" xfId="6060" xr:uid="{00000000-0005-0000-0000-000023150000}"/>
    <cellStyle name="Percent 3 4 15 2 2 2" xfId="6061" xr:uid="{00000000-0005-0000-0000-000024150000}"/>
    <cellStyle name="Percent 3 4 15 2 3" xfId="6062" xr:uid="{00000000-0005-0000-0000-000025150000}"/>
    <cellStyle name="Percent 3 4 15 2 3 2" xfId="6063" xr:uid="{00000000-0005-0000-0000-000026150000}"/>
    <cellStyle name="Percent 3 4 15 2 4" xfId="6064" xr:uid="{00000000-0005-0000-0000-000027150000}"/>
    <cellStyle name="Percent 3 4 15 2 5" xfId="6065" xr:uid="{00000000-0005-0000-0000-000028150000}"/>
    <cellStyle name="Percent 3 4 15 3" xfId="6066" xr:uid="{00000000-0005-0000-0000-000029150000}"/>
    <cellStyle name="Percent 3 4 15 3 2" xfId="6067" xr:uid="{00000000-0005-0000-0000-00002A150000}"/>
    <cellStyle name="Percent 3 4 15 3 2 2" xfId="6068" xr:uid="{00000000-0005-0000-0000-00002B150000}"/>
    <cellStyle name="Percent 3 4 15 3 3" xfId="6069" xr:uid="{00000000-0005-0000-0000-00002C150000}"/>
    <cellStyle name="Percent 3 4 15 3 3 2" xfId="6070" xr:uid="{00000000-0005-0000-0000-00002D150000}"/>
    <cellStyle name="Percent 3 4 15 3 4" xfId="6071" xr:uid="{00000000-0005-0000-0000-00002E150000}"/>
    <cellStyle name="Percent 3 4 15 4" xfId="6072" xr:uid="{00000000-0005-0000-0000-00002F150000}"/>
    <cellStyle name="Percent 3 4 15 4 2" xfId="6073" xr:uid="{00000000-0005-0000-0000-000030150000}"/>
    <cellStyle name="Percent 3 4 15 5" xfId="6074" xr:uid="{00000000-0005-0000-0000-000031150000}"/>
    <cellStyle name="Percent 3 4 15 5 2" xfId="6075" xr:uid="{00000000-0005-0000-0000-000032150000}"/>
    <cellStyle name="Percent 3 4 15 6" xfId="6076" xr:uid="{00000000-0005-0000-0000-000033150000}"/>
    <cellStyle name="Percent 3 4 15 7" xfId="6077" xr:uid="{00000000-0005-0000-0000-000034150000}"/>
    <cellStyle name="Percent 3 4 15 8" xfId="6058" xr:uid="{00000000-0005-0000-0000-000035150000}"/>
    <cellStyle name="Percent 3 4 16" xfId="6078" xr:uid="{00000000-0005-0000-0000-000036150000}"/>
    <cellStyle name="Percent 3 4 16 2" xfId="6079" xr:uid="{00000000-0005-0000-0000-000037150000}"/>
    <cellStyle name="Percent 3 4 16 2 2" xfId="6080" xr:uid="{00000000-0005-0000-0000-000038150000}"/>
    <cellStyle name="Percent 3 4 16 3" xfId="6081" xr:uid="{00000000-0005-0000-0000-000039150000}"/>
    <cellStyle name="Percent 3 4 16 3 2" xfId="6082" xr:uid="{00000000-0005-0000-0000-00003A150000}"/>
    <cellStyle name="Percent 3 4 16 4" xfId="6083" xr:uid="{00000000-0005-0000-0000-00003B150000}"/>
    <cellStyle name="Percent 3 4 17" xfId="6084" xr:uid="{00000000-0005-0000-0000-00003C150000}"/>
    <cellStyle name="Percent 3 4 17 2" xfId="6085" xr:uid="{00000000-0005-0000-0000-00003D150000}"/>
    <cellStyle name="Percent 3 4 17 2 2" xfId="6086" xr:uid="{00000000-0005-0000-0000-00003E150000}"/>
    <cellStyle name="Percent 3 4 17 3" xfId="6087" xr:uid="{00000000-0005-0000-0000-00003F150000}"/>
    <cellStyle name="Percent 3 4 17 3 2" xfId="6088" xr:uid="{00000000-0005-0000-0000-000040150000}"/>
    <cellStyle name="Percent 3 4 17 4" xfId="6089" xr:uid="{00000000-0005-0000-0000-000041150000}"/>
    <cellStyle name="Percent 3 4 18" xfId="6090" xr:uid="{00000000-0005-0000-0000-000042150000}"/>
    <cellStyle name="Percent 3 4 18 2" xfId="6091" xr:uid="{00000000-0005-0000-0000-000043150000}"/>
    <cellStyle name="Percent 3 4 19" xfId="6092" xr:uid="{00000000-0005-0000-0000-000044150000}"/>
    <cellStyle name="Percent 3 4 19 2" xfId="6093" xr:uid="{00000000-0005-0000-0000-000045150000}"/>
    <cellStyle name="Percent 3 4 2" xfId="281" xr:uid="{00000000-0005-0000-0000-000046150000}"/>
    <cellStyle name="Percent 3 4 2 2" xfId="6095" xr:uid="{00000000-0005-0000-0000-000047150000}"/>
    <cellStyle name="Percent 3 4 2 2 2" xfId="6096" xr:uid="{00000000-0005-0000-0000-000048150000}"/>
    <cellStyle name="Percent 3 4 2 2 2 2" xfId="6097" xr:uid="{00000000-0005-0000-0000-000049150000}"/>
    <cellStyle name="Percent 3 4 2 2 3" xfId="6098" xr:uid="{00000000-0005-0000-0000-00004A150000}"/>
    <cellStyle name="Percent 3 4 2 2 3 2" xfId="6099" xr:uid="{00000000-0005-0000-0000-00004B150000}"/>
    <cellStyle name="Percent 3 4 2 2 4" xfId="6100" xr:uid="{00000000-0005-0000-0000-00004C150000}"/>
    <cellStyle name="Percent 3 4 2 2 5" xfId="6101" xr:uid="{00000000-0005-0000-0000-00004D150000}"/>
    <cellStyle name="Percent 3 4 2 3" xfId="6102" xr:uid="{00000000-0005-0000-0000-00004E150000}"/>
    <cellStyle name="Percent 3 4 2 3 2" xfId="6103" xr:uid="{00000000-0005-0000-0000-00004F150000}"/>
    <cellStyle name="Percent 3 4 2 3 2 2" xfId="6104" xr:uid="{00000000-0005-0000-0000-000050150000}"/>
    <cellStyle name="Percent 3 4 2 3 3" xfId="6105" xr:uid="{00000000-0005-0000-0000-000051150000}"/>
    <cellStyle name="Percent 3 4 2 3 3 2" xfId="6106" xr:uid="{00000000-0005-0000-0000-000052150000}"/>
    <cellStyle name="Percent 3 4 2 3 4" xfId="6107" xr:uid="{00000000-0005-0000-0000-000053150000}"/>
    <cellStyle name="Percent 3 4 2 4" xfId="6108" xr:uid="{00000000-0005-0000-0000-000054150000}"/>
    <cellStyle name="Percent 3 4 2 4 2" xfId="6109" xr:uid="{00000000-0005-0000-0000-000055150000}"/>
    <cellStyle name="Percent 3 4 2 4 2 2" xfId="6110" xr:uid="{00000000-0005-0000-0000-000056150000}"/>
    <cellStyle name="Percent 3 4 2 4 3" xfId="6111" xr:uid="{00000000-0005-0000-0000-000057150000}"/>
    <cellStyle name="Percent 3 4 2 4 3 2" xfId="6112" xr:uid="{00000000-0005-0000-0000-000058150000}"/>
    <cellStyle name="Percent 3 4 2 4 4" xfId="6113" xr:uid="{00000000-0005-0000-0000-000059150000}"/>
    <cellStyle name="Percent 3 4 2 5" xfId="6114" xr:uid="{00000000-0005-0000-0000-00005A150000}"/>
    <cellStyle name="Percent 3 4 2 5 2" xfId="6115" xr:uid="{00000000-0005-0000-0000-00005B150000}"/>
    <cellStyle name="Percent 3 4 2 6" xfId="6116" xr:uid="{00000000-0005-0000-0000-00005C150000}"/>
    <cellStyle name="Percent 3 4 2 6 2" xfId="6117" xr:uid="{00000000-0005-0000-0000-00005D150000}"/>
    <cellStyle name="Percent 3 4 2 7" xfId="6118" xr:uid="{00000000-0005-0000-0000-00005E150000}"/>
    <cellStyle name="Percent 3 4 2 8" xfId="6119" xr:uid="{00000000-0005-0000-0000-00005F150000}"/>
    <cellStyle name="Percent 3 4 2 9" xfId="6094" xr:uid="{00000000-0005-0000-0000-000060150000}"/>
    <cellStyle name="Percent 3 4 20" xfId="6120" xr:uid="{00000000-0005-0000-0000-000061150000}"/>
    <cellStyle name="Percent 3 4 21" xfId="6121" xr:uid="{00000000-0005-0000-0000-000062150000}"/>
    <cellStyle name="Percent 3 4 22" xfId="5957" xr:uid="{00000000-0005-0000-0000-000063150000}"/>
    <cellStyle name="Percent 3 4 3" xfId="282" xr:uid="{00000000-0005-0000-0000-000064150000}"/>
    <cellStyle name="Percent 3 4 3 2" xfId="6123" xr:uid="{00000000-0005-0000-0000-000065150000}"/>
    <cellStyle name="Percent 3 4 3 2 2" xfId="6124" xr:uid="{00000000-0005-0000-0000-000066150000}"/>
    <cellStyle name="Percent 3 4 3 2 2 2" xfId="6125" xr:uid="{00000000-0005-0000-0000-000067150000}"/>
    <cellStyle name="Percent 3 4 3 2 3" xfId="6126" xr:uid="{00000000-0005-0000-0000-000068150000}"/>
    <cellStyle name="Percent 3 4 3 2 3 2" xfId="6127" xr:uid="{00000000-0005-0000-0000-000069150000}"/>
    <cellStyle name="Percent 3 4 3 2 4" xfId="6128" xr:uid="{00000000-0005-0000-0000-00006A150000}"/>
    <cellStyle name="Percent 3 4 3 2 5" xfId="6129" xr:uid="{00000000-0005-0000-0000-00006B150000}"/>
    <cellStyle name="Percent 3 4 3 3" xfId="6130" xr:uid="{00000000-0005-0000-0000-00006C150000}"/>
    <cellStyle name="Percent 3 4 3 3 2" xfId="6131" xr:uid="{00000000-0005-0000-0000-00006D150000}"/>
    <cellStyle name="Percent 3 4 3 3 2 2" xfId="6132" xr:uid="{00000000-0005-0000-0000-00006E150000}"/>
    <cellStyle name="Percent 3 4 3 3 3" xfId="6133" xr:uid="{00000000-0005-0000-0000-00006F150000}"/>
    <cellStyle name="Percent 3 4 3 3 3 2" xfId="6134" xr:uid="{00000000-0005-0000-0000-000070150000}"/>
    <cellStyle name="Percent 3 4 3 3 4" xfId="6135" xr:uid="{00000000-0005-0000-0000-000071150000}"/>
    <cellStyle name="Percent 3 4 3 4" xfId="6136" xr:uid="{00000000-0005-0000-0000-000072150000}"/>
    <cellStyle name="Percent 3 4 3 4 2" xfId="6137" xr:uid="{00000000-0005-0000-0000-000073150000}"/>
    <cellStyle name="Percent 3 4 3 4 2 2" xfId="6138" xr:uid="{00000000-0005-0000-0000-000074150000}"/>
    <cellStyle name="Percent 3 4 3 4 3" xfId="6139" xr:uid="{00000000-0005-0000-0000-000075150000}"/>
    <cellStyle name="Percent 3 4 3 4 3 2" xfId="6140" xr:uid="{00000000-0005-0000-0000-000076150000}"/>
    <cellStyle name="Percent 3 4 3 4 4" xfId="6141" xr:uid="{00000000-0005-0000-0000-000077150000}"/>
    <cellStyle name="Percent 3 4 3 5" xfId="6142" xr:uid="{00000000-0005-0000-0000-000078150000}"/>
    <cellStyle name="Percent 3 4 3 5 2" xfId="6143" xr:uid="{00000000-0005-0000-0000-000079150000}"/>
    <cellStyle name="Percent 3 4 3 6" xfId="6144" xr:uid="{00000000-0005-0000-0000-00007A150000}"/>
    <cellStyle name="Percent 3 4 3 6 2" xfId="6145" xr:uid="{00000000-0005-0000-0000-00007B150000}"/>
    <cellStyle name="Percent 3 4 3 7" xfId="6146" xr:uid="{00000000-0005-0000-0000-00007C150000}"/>
    <cellStyle name="Percent 3 4 3 8" xfId="6147" xr:uid="{00000000-0005-0000-0000-00007D150000}"/>
    <cellStyle name="Percent 3 4 3 9" xfId="6122" xr:uid="{00000000-0005-0000-0000-00007E150000}"/>
    <cellStyle name="Percent 3 4 4" xfId="383" xr:uid="{00000000-0005-0000-0000-00007F150000}"/>
    <cellStyle name="Percent 3 4 4 2" xfId="2889" xr:uid="{00000000-0005-0000-0000-000080150000}"/>
    <cellStyle name="Percent 3 4 4 2 2" xfId="6150" xr:uid="{00000000-0005-0000-0000-000081150000}"/>
    <cellStyle name="Percent 3 4 4 2 2 2" xfId="6151" xr:uid="{00000000-0005-0000-0000-000082150000}"/>
    <cellStyle name="Percent 3 4 4 2 3" xfId="6152" xr:uid="{00000000-0005-0000-0000-000083150000}"/>
    <cellStyle name="Percent 3 4 4 2 3 2" xfId="6153" xr:uid="{00000000-0005-0000-0000-000084150000}"/>
    <cellStyle name="Percent 3 4 4 2 4" xfId="6154" xr:uid="{00000000-0005-0000-0000-000085150000}"/>
    <cellStyle name="Percent 3 4 4 2 5" xfId="6155" xr:uid="{00000000-0005-0000-0000-000086150000}"/>
    <cellStyle name="Percent 3 4 4 2 6" xfId="6149" xr:uid="{00000000-0005-0000-0000-000087150000}"/>
    <cellStyle name="Percent 3 4 4 3" xfId="6156" xr:uid="{00000000-0005-0000-0000-000088150000}"/>
    <cellStyle name="Percent 3 4 4 3 2" xfId="6157" xr:uid="{00000000-0005-0000-0000-000089150000}"/>
    <cellStyle name="Percent 3 4 4 3 2 2" xfId="6158" xr:uid="{00000000-0005-0000-0000-00008A150000}"/>
    <cellStyle name="Percent 3 4 4 3 3" xfId="6159" xr:uid="{00000000-0005-0000-0000-00008B150000}"/>
    <cellStyle name="Percent 3 4 4 3 3 2" xfId="6160" xr:uid="{00000000-0005-0000-0000-00008C150000}"/>
    <cellStyle name="Percent 3 4 4 3 4" xfId="6161" xr:uid="{00000000-0005-0000-0000-00008D150000}"/>
    <cellStyle name="Percent 3 4 4 4" xfId="6162" xr:uid="{00000000-0005-0000-0000-00008E150000}"/>
    <cellStyle name="Percent 3 4 4 4 2" xfId="6163" xr:uid="{00000000-0005-0000-0000-00008F150000}"/>
    <cellStyle name="Percent 3 4 4 4 2 2" xfId="6164" xr:uid="{00000000-0005-0000-0000-000090150000}"/>
    <cellStyle name="Percent 3 4 4 4 3" xfId="6165" xr:uid="{00000000-0005-0000-0000-000091150000}"/>
    <cellStyle name="Percent 3 4 4 4 3 2" xfId="6166" xr:uid="{00000000-0005-0000-0000-000092150000}"/>
    <cellStyle name="Percent 3 4 4 4 4" xfId="6167" xr:uid="{00000000-0005-0000-0000-000093150000}"/>
    <cellStyle name="Percent 3 4 4 5" xfId="6168" xr:uid="{00000000-0005-0000-0000-000094150000}"/>
    <cellStyle name="Percent 3 4 4 5 2" xfId="6169" xr:uid="{00000000-0005-0000-0000-000095150000}"/>
    <cellStyle name="Percent 3 4 4 6" xfId="6170" xr:uid="{00000000-0005-0000-0000-000096150000}"/>
    <cellStyle name="Percent 3 4 4 6 2" xfId="6171" xr:uid="{00000000-0005-0000-0000-000097150000}"/>
    <cellStyle name="Percent 3 4 4 7" xfId="6172" xr:uid="{00000000-0005-0000-0000-000098150000}"/>
    <cellStyle name="Percent 3 4 4 8" xfId="6173" xr:uid="{00000000-0005-0000-0000-000099150000}"/>
    <cellStyle name="Percent 3 4 4 9" xfId="6148" xr:uid="{00000000-0005-0000-0000-00009A150000}"/>
    <cellStyle name="Percent 3 4 5" xfId="2890" xr:uid="{00000000-0005-0000-0000-00009B150000}"/>
    <cellStyle name="Percent 3 4 5 2" xfId="6175" xr:uid="{00000000-0005-0000-0000-00009C150000}"/>
    <cellStyle name="Percent 3 4 5 2 2" xfId="6176" xr:uid="{00000000-0005-0000-0000-00009D150000}"/>
    <cellStyle name="Percent 3 4 5 2 2 2" xfId="6177" xr:uid="{00000000-0005-0000-0000-00009E150000}"/>
    <cellStyle name="Percent 3 4 5 2 3" xfId="6178" xr:uid="{00000000-0005-0000-0000-00009F150000}"/>
    <cellStyle name="Percent 3 4 5 2 3 2" xfId="6179" xr:uid="{00000000-0005-0000-0000-0000A0150000}"/>
    <cellStyle name="Percent 3 4 5 2 4" xfId="6180" xr:uid="{00000000-0005-0000-0000-0000A1150000}"/>
    <cellStyle name="Percent 3 4 5 2 5" xfId="6181" xr:uid="{00000000-0005-0000-0000-0000A2150000}"/>
    <cellStyle name="Percent 3 4 5 3" xfId="6182" xr:uid="{00000000-0005-0000-0000-0000A3150000}"/>
    <cellStyle name="Percent 3 4 5 3 2" xfId="6183" xr:uid="{00000000-0005-0000-0000-0000A4150000}"/>
    <cellStyle name="Percent 3 4 5 3 2 2" xfId="6184" xr:uid="{00000000-0005-0000-0000-0000A5150000}"/>
    <cellStyle name="Percent 3 4 5 3 3" xfId="6185" xr:uid="{00000000-0005-0000-0000-0000A6150000}"/>
    <cellStyle name="Percent 3 4 5 3 3 2" xfId="6186" xr:uid="{00000000-0005-0000-0000-0000A7150000}"/>
    <cellStyle name="Percent 3 4 5 3 4" xfId="6187" xr:uid="{00000000-0005-0000-0000-0000A8150000}"/>
    <cellStyle name="Percent 3 4 5 4" xfId="6188" xr:uid="{00000000-0005-0000-0000-0000A9150000}"/>
    <cellStyle name="Percent 3 4 5 4 2" xfId="6189" xr:uid="{00000000-0005-0000-0000-0000AA150000}"/>
    <cellStyle name="Percent 3 4 5 4 2 2" xfId="6190" xr:uid="{00000000-0005-0000-0000-0000AB150000}"/>
    <cellStyle name="Percent 3 4 5 4 3" xfId="6191" xr:uid="{00000000-0005-0000-0000-0000AC150000}"/>
    <cellStyle name="Percent 3 4 5 4 3 2" xfId="6192" xr:uid="{00000000-0005-0000-0000-0000AD150000}"/>
    <cellStyle name="Percent 3 4 5 4 4" xfId="6193" xr:uid="{00000000-0005-0000-0000-0000AE150000}"/>
    <cellStyle name="Percent 3 4 5 5" xfId="6194" xr:uid="{00000000-0005-0000-0000-0000AF150000}"/>
    <cellStyle name="Percent 3 4 5 5 2" xfId="6195" xr:uid="{00000000-0005-0000-0000-0000B0150000}"/>
    <cellStyle name="Percent 3 4 5 6" xfId="6196" xr:uid="{00000000-0005-0000-0000-0000B1150000}"/>
    <cellStyle name="Percent 3 4 5 6 2" xfId="6197" xr:uid="{00000000-0005-0000-0000-0000B2150000}"/>
    <cellStyle name="Percent 3 4 5 7" xfId="6198" xr:uid="{00000000-0005-0000-0000-0000B3150000}"/>
    <cellStyle name="Percent 3 4 5 8" xfId="6199" xr:uid="{00000000-0005-0000-0000-0000B4150000}"/>
    <cellStyle name="Percent 3 4 5 9" xfId="6174" xr:uid="{00000000-0005-0000-0000-0000B5150000}"/>
    <cellStyle name="Percent 3 4 6" xfId="2891" xr:uid="{00000000-0005-0000-0000-0000B6150000}"/>
    <cellStyle name="Percent 3 4 6 2" xfId="6201" xr:uid="{00000000-0005-0000-0000-0000B7150000}"/>
    <cellStyle name="Percent 3 4 6 2 2" xfId="6202" xr:uid="{00000000-0005-0000-0000-0000B8150000}"/>
    <cellStyle name="Percent 3 4 6 2 2 2" xfId="6203" xr:uid="{00000000-0005-0000-0000-0000B9150000}"/>
    <cellStyle name="Percent 3 4 6 2 3" xfId="6204" xr:uid="{00000000-0005-0000-0000-0000BA150000}"/>
    <cellStyle name="Percent 3 4 6 2 3 2" xfId="6205" xr:uid="{00000000-0005-0000-0000-0000BB150000}"/>
    <cellStyle name="Percent 3 4 6 2 4" xfId="6206" xr:uid="{00000000-0005-0000-0000-0000BC150000}"/>
    <cellStyle name="Percent 3 4 6 2 5" xfId="6207" xr:uid="{00000000-0005-0000-0000-0000BD150000}"/>
    <cellStyle name="Percent 3 4 6 3" xfId="6208" xr:uid="{00000000-0005-0000-0000-0000BE150000}"/>
    <cellStyle name="Percent 3 4 6 3 2" xfId="6209" xr:uid="{00000000-0005-0000-0000-0000BF150000}"/>
    <cellStyle name="Percent 3 4 6 3 2 2" xfId="6210" xr:uid="{00000000-0005-0000-0000-0000C0150000}"/>
    <cellStyle name="Percent 3 4 6 3 3" xfId="6211" xr:uid="{00000000-0005-0000-0000-0000C1150000}"/>
    <cellStyle name="Percent 3 4 6 3 3 2" xfId="6212" xr:uid="{00000000-0005-0000-0000-0000C2150000}"/>
    <cellStyle name="Percent 3 4 6 3 4" xfId="6213" xr:uid="{00000000-0005-0000-0000-0000C3150000}"/>
    <cellStyle name="Percent 3 4 6 4" xfId="6214" xr:uid="{00000000-0005-0000-0000-0000C4150000}"/>
    <cellStyle name="Percent 3 4 6 4 2" xfId="6215" xr:uid="{00000000-0005-0000-0000-0000C5150000}"/>
    <cellStyle name="Percent 3 4 6 4 2 2" xfId="6216" xr:uid="{00000000-0005-0000-0000-0000C6150000}"/>
    <cellStyle name="Percent 3 4 6 4 3" xfId="6217" xr:uid="{00000000-0005-0000-0000-0000C7150000}"/>
    <cellStyle name="Percent 3 4 6 4 3 2" xfId="6218" xr:uid="{00000000-0005-0000-0000-0000C8150000}"/>
    <cellStyle name="Percent 3 4 6 4 4" xfId="6219" xr:uid="{00000000-0005-0000-0000-0000C9150000}"/>
    <cellStyle name="Percent 3 4 6 5" xfId="6220" xr:uid="{00000000-0005-0000-0000-0000CA150000}"/>
    <cellStyle name="Percent 3 4 6 5 2" xfId="6221" xr:uid="{00000000-0005-0000-0000-0000CB150000}"/>
    <cellStyle name="Percent 3 4 6 6" xfId="6222" xr:uid="{00000000-0005-0000-0000-0000CC150000}"/>
    <cellStyle name="Percent 3 4 6 6 2" xfId="6223" xr:uid="{00000000-0005-0000-0000-0000CD150000}"/>
    <cellStyle name="Percent 3 4 6 7" xfId="6224" xr:uid="{00000000-0005-0000-0000-0000CE150000}"/>
    <cellStyle name="Percent 3 4 6 8" xfId="6225" xr:uid="{00000000-0005-0000-0000-0000CF150000}"/>
    <cellStyle name="Percent 3 4 6 9" xfId="6200" xr:uid="{00000000-0005-0000-0000-0000D0150000}"/>
    <cellStyle name="Percent 3 4 7" xfId="2892" xr:uid="{00000000-0005-0000-0000-0000D1150000}"/>
    <cellStyle name="Percent 3 4 7 2" xfId="6227" xr:uid="{00000000-0005-0000-0000-0000D2150000}"/>
    <cellStyle name="Percent 3 4 7 2 2" xfId="6228" xr:uid="{00000000-0005-0000-0000-0000D3150000}"/>
    <cellStyle name="Percent 3 4 7 2 2 2" xfId="6229" xr:uid="{00000000-0005-0000-0000-0000D4150000}"/>
    <cellStyle name="Percent 3 4 7 2 3" xfId="6230" xr:uid="{00000000-0005-0000-0000-0000D5150000}"/>
    <cellStyle name="Percent 3 4 7 2 3 2" xfId="6231" xr:uid="{00000000-0005-0000-0000-0000D6150000}"/>
    <cellStyle name="Percent 3 4 7 2 4" xfId="6232" xr:uid="{00000000-0005-0000-0000-0000D7150000}"/>
    <cellStyle name="Percent 3 4 7 2 5" xfId="6233" xr:uid="{00000000-0005-0000-0000-0000D8150000}"/>
    <cellStyle name="Percent 3 4 7 3" xfId="6234" xr:uid="{00000000-0005-0000-0000-0000D9150000}"/>
    <cellStyle name="Percent 3 4 7 3 2" xfId="6235" xr:uid="{00000000-0005-0000-0000-0000DA150000}"/>
    <cellStyle name="Percent 3 4 7 3 2 2" xfId="6236" xr:uid="{00000000-0005-0000-0000-0000DB150000}"/>
    <cellStyle name="Percent 3 4 7 3 3" xfId="6237" xr:uid="{00000000-0005-0000-0000-0000DC150000}"/>
    <cellStyle name="Percent 3 4 7 3 3 2" xfId="6238" xr:uid="{00000000-0005-0000-0000-0000DD150000}"/>
    <cellStyle name="Percent 3 4 7 3 4" xfId="6239" xr:uid="{00000000-0005-0000-0000-0000DE150000}"/>
    <cellStyle name="Percent 3 4 7 4" xfId="6240" xr:uid="{00000000-0005-0000-0000-0000DF150000}"/>
    <cellStyle name="Percent 3 4 7 4 2" xfId="6241" xr:uid="{00000000-0005-0000-0000-0000E0150000}"/>
    <cellStyle name="Percent 3 4 7 4 2 2" xfId="6242" xr:uid="{00000000-0005-0000-0000-0000E1150000}"/>
    <cellStyle name="Percent 3 4 7 4 3" xfId="6243" xr:uid="{00000000-0005-0000-0000-0000E2150000}"/>
    <cellStyle name="Percent 3 4 7 4 3 2" xfId="6244" xr:uid="{00000000-0005-0000-0000-0000E3150000}"/>
    <cellStyle name="Percent 3 4 7 4 4" xfId="6245" xr:uid="{00000000-0005-0000-0000-0000E4150000}"/>
    <cellStyle name="Percent 3 4 7 5" xfId="6246" xr:uid="{00000000-0005-0000-0000-0000E5150000}"/>
    <cellStyle name="Percent 3 4 7 5 2" xfId="6247" xr:uid="{00000000-0005-0000-0000-0000E6150000}"/>
    <cellStyle name="Percent 3 4 7 6" xfId="6248" xr:uid="{00000000-0005-0000-0000-0000E7150000}"/>
    <cellStyle name="Percent 3 4 7 6 2" xfId="6249" xr:uid="{00000000-0005-0000-0000-0000E8150000}"/>
    <cellStyle name="Percent 3 4 7 7" xfId="6250" xr:uid="{00000000-0005-0000-0000-0000E9150000}"/>
    <cellStyle name="Percent 3 4 7 8" xfId="6251" xr:uid="{00000000-0005-0000-0000-0000EA150000}"/>
    <cellStyle name="Percent 3 4 7 9" xfId="6226" xr:uid="{00000000-0005-0000-0000-0000EB150000}"/>
    <cellStyle name="Percent 3 4 8" xfId="2893" xr:uid="{00000000-0005-0000-0000-0000EC150000}"/>
    <cellStyle name="Percent 3 4 8 10" xfId="6253" xr:uid="{00000000-0005-0000-0000-0000ED150000}"/>
    <cellStyle name="Percent 3 4 8 11" xfId="6254" xr:uid="{00000000-0005-0000-0000-0000EE150000}"/>
    <cellStyle name="Percent 3 4 8 12" xfId="6252" xr:uid="{00000000-0005-0000-0000-0000EF150000}"/>
    <cellStyle name="Percent 3 4 8 2" xfId="6255" xr:uid="{00000000-0005-0000-0000-0000F0150000}"/>
    <cellStyle name="Percent 3 4 8 2 2" xfId="6256" xr:uid="{00000000-0005-0000-0000-0000F1150000}"/>
    <cellStyle name="Percent 3 4 8 2 2 2" xfId="6257" xr:uid="{00000000-0005-0000-0000-0000F2150000}"/>
    <cellStyle name="Percent 3 4 8 2 3" xfId="6258" xr:uid="{00000000-0005-0000-0000-0000F3150000}"/>
    <cellStyle name="Percent 3 4 8 2 3 2" xfId="6259" xr:uid="{00000000-0005-0000-0000-0000F4150000}"/>
    <cellStyle name="Percent 3 4 8 2 4" xfId="6260" xr:uid="{00000000-0005-0000-0000-0000F5150000}"/>
    <cellStyle name="Percent 3 4 8 2 5" xfId="6261" xr:uid="{00000000-0005-0000-0000-0000F6150000}"/>
    <cellStyle name="Percent 3 4 8 3" xfId="6262" xr:uid="{00000000-0005-0000-0000-0000F7150000}"/>
    <cellStyle name="Percent 3 4 8 3 2" xfId="6263" xr:uid="{00000000-0005-0000-0000-0000F8150000}"/>
    <cellStyle name="Percent 3 4 8 3 2 2" xfId="6264" xr:uid="{00000000-0005-0000-0000-0000F9150000}"/>
    <cellStyle name="Percent 3 4 8 3 3" xfId="6265" xr:uid="{00000000-0005-0000-0000-0000FA150000}"/>
    <cellStyle name="Percent 3 4 8 3 3 2" xfId="6266" xr:uid="{00000000-0005-0000-0000-0000FB150000}"/>
    <cellStyle name="Percent 3 4 8 3 4" xfId="6267" xr:uid="{00000000-0005-0000-0000-0000FC150000}"/>
    <cellStyle name="Percent 3 4 8 4" xfId="6268" xr:uid="{00000000-0005-0000-0000-0000FD150000}"/>
    <cellStyle name="Percent 3 4 8 4 2" xfId="6269" xr:uid="{00000000-0005-0000-0000-0000FE150000}"/>
    <cellStyle name="Percent 3 4 8 4 2 2" xfId="6270" xr:uid="{00000000-0005-0000-0000-0000FF150000}"/>
    <cellStyle name="Percent 3 4 8 4 3" xfId="6271" xr:uid="{00000000-0005-0000-0000-000000160000}"/>
    <cellStyle name="Percent 3 4 8 4 3 2" xfId="6272" xr:uid="{00000000-0005-0000-0000-000001160000}"/>
    <cellStyle name="Percent 3 4 8 4 4" xfId="6273" xr:uid="{00000000-0005-0000-0000-000002160000}"/>
    <cellStyle name="Percent 3 4 8 5" xfId="6274" xr:uid="{00000000-0005-0000-0000-000003160000}"/>
    <cellStyle name="Percent 3 4 8 5 2" xfId="6275" xr:uid="{00000000-0005-0000-0000-000004160000}"/>
    <cellStyle name="Percent 3 4 8 5 2 2" xfId="6276" xr:uid="{00000000-0005-0000-0000-000005160000}"/>
    <cellStyle name="Percent 3 4 8 5 3" xfId="6277" xr:uid="{00000000-0005-0000-0000-000006160000}"/>
    <cellStyle name="Percent 3 4 8 5 3 2" xfId="6278" xr:uid="{00000000-0005-0000-0000-000007160000}"/>
    <cellStyle name="Percent 3 4 8 5 4" xfId="6279" xr:uid="{00000000-0005-0000-0000-000008160000}"/>
    <cellStyle name="Percent 3 4 8 5 4 2" xfId="6280" xr:uid="{00000000-0005-0000-0000-000009160000}"/>
    <cellStyle name="Percent 3 4 8 5 5" xfId="6281" xr:uid="{00000000-0005-0000-0000-00000A160000}"/>
    <cellStyle name="Percent 3 4 8 6" xfId="6282" xr:uid="{00000000-0005-0000-0000-00000B160000}"/>
    <cellStyle name="Percent 3 4 8 6 2" xfId="6283" xr:uid="{00000000-0005-0000-0000-00000C160000}"/>
    <cellStyle name="Percent 3 4 8 6 2 2" xfId="6284" xr:uid="{00000000-0005-0000-0000-00000D160000}"/>
    <cellStyle name="Percent 3 4 8 6 3" xfId="6285" xr:uid="{00000000-0005-0000-0000-00000E160000}"/>
    <cellStyle name="Percent 3 4 8 6 3 2" xfId="6286" xr:uid="{00000000-0005-0000-0000-00000F160000}"/>
    <cellStyle name="Percent 3 4 8 6 4" xfId="6287" xr:uid="{00000000-0005-0000-0000-000010160000}"/>
    <cellStyle name="Percent 3 4 8 7" xfId="6288" xr:uid="{00000000-0005-0000-0000-000011160000}"/>
    <cellStyle name="Percent 3 4 8 7 2" xfId="6289" xr:uid="{00000000-0005-0000-0000-000012160000}"/>
    <cellStyle name="Percent 3 4 8 8" xfId="6290" xr:uid="{00000000-0005-0000-0000-000013160000}"/>
    <cellStyle name="Percent 3 4 8 8 2" xfId="6291" xr:uid="{00000000-0005-0000-0000-000014160000}"/>
    <cellStyle name="Percent 3 4 8 9" xfId="6292" xr:uid="{00000000-0005-0000-0000-000015160000}"/>
    <cellStyle name="Percent 3 4 8 9 2" xfId="6293" xr:uid="{00000000-0005-0000-0000-000016160000}"/>
    <cellStyle name="Percent 3 4 9" xfId="2894" xr:uid="{00000000-0005-0000-0000-000017160000}"/>
    <cellStyle name="Percent 3 4 9 10" xfId="6295" xr:uid="{00000000-0005-0000-0000-000018160000}"/>
    <cellStyle name="Percent 3 4 9 11" xfId="6296" xr:uid="{00000000-0005-0000-0000-000019160000}"/>
    <cellStyle name="Percent 3 4 9 12" xfId="6294" xr:uid="{00000000-0005-0000-0000-00001A160000}"/>
    <cellStyle name="Percent 3 4 9 2" xfId="6297" xr:uid="{00000000-0005-0000-0000-00001B160000}"/>
    <cellStyle name="Percent 3 4 9 2 2" xfId="6298" xr:uid="{00000000-0005-0000-0000-00001C160000}"/>
    <cellStyle name="Percent 3 4 9 2 2 2" xfId="6299" xr:uid="{00000000-0005-0000-0000-00001D160000}"/>
    <cellStyle name="Percent 3 4 9 2 3" xfId="6300" xr:uid="{00000000-0005-0000-0000-00001E160000}"/>
    <cellStyle name="Percent 3 4 9 2 3 2" xfId="6301" xr:uid="{00000000-0005-0000-0000-00001F160000}"/>
    <cellStyle name="Percent 3 4 9 2 4" xfId="6302" xr:uid="{00000000-0005-0000-0000-000020160000}"/>
    <cellStyle name="Percent 3 4 9 2 5" xfId="6303" xr:uid="{00000000-0005-0000-0000-000021160000}"/>
    <cellStyle name="Percent 3 4 9 3" xfId="6304" xr:uid="{00000000-0005-0000-0000-000022160000}"/>
    <cellStyle name="Percent 3 4 9 3 2" xfId="6305" xr:uid="{00000000-0005-0000-0000-000023160000}"/>
    <cellStyle name="Percent 3 4 9 3 2 2" xfId="6306" xr:uid="{00000000-0005-0000-0000-000024160000}"/>
    <cellStyle name="Percent 3 4 9 3 3" xfId="6307" xr:uid="{00000000-0005-0000-0000-000025160000}"/>
    <cellStyle name="Percent 3 4 9 3 3 2" xfId="6308" xr:uid="{00000000-0005-0000-0000-000026160000}"/>
    <cellStyle name="Percent 3 4 9 3 4" xfId="6309" xr:uid="{00000000-0005-0000-0000-000027160000}"/>
    <cellStyle name="Percent 3 4 9 4" xfId="6310" xr:uid="{00000000-0005-0000-0000-000028160000}"/>
    <cellStyle name="Percent 3 4 9 4 2" xfId="6311" xr:uid="{00000000-0005-0000-0000-000029160000}"/>
    <cellStyle name="Percent 3 4 9 4 2 2" xfId="6312" xr:uid="{00000000-0005-0000-0000-00002A160000}"/>
    <cellStyle name="Percent 3 4 9 4 3" xfId="6313" xr:uid="{00000000-0005-0000-0000-00002B160000}"/>
    <cellStyle name="Percent 3 4 9 4 3 2" xfId="6314" xr:uid="{00000000-0005-0000-0000-00002C160000}"/>
    <cellStyle name="Percent 3 4 9 4 4" xfId="6315" xr:uid="{00000000-0005-0000-0000-00002D160000}"/>
    <cellStyle name="Percent 3 4 9 5" xfId="6316" xr:uid="{00000000-0005-0000-0000-00002E160000}"/>
    <cellStyle name="Percent 3 4 9 5 2" xfId="6317" xr:uid="{00000000-0005-0000-0000-00002F160000}"/>
    <cellStyle name="Percent 3 4 9 5 2 2" xfId="6318" xr:uid="{00000000-0005-0000-0000-000030160000}"/>
    <cellStyle name="Percent 3 4 9 5 3" xfId="6319" xr:uid="{00000000-0005-0000-0000-000031160000}"/>
    <cellStyle name="Percent 3 4 9 5 3 2" xfId="6320" xr:uid="{00000000-0005-0000-0000-000032160000}"/>
    <cellStyle name="Percent 3 4 9 5 4" xfId="6321" xr:uid="{00000000-0005-0000-0000-000033160000}"/>
    <cellStyle name="Percent 3 4 9 5 4 2" xfId="6322" xr:uid="{00000000-0005-0000-0000-000034160000}"/>
    <cellStyle name="Percent 3 4 9 5 5" xfId="6323" xr:uid="{00000000-0005-0000-0000-000035160000}"/>
    <cellStyle name="Percent 3 4 9 6" xfId="6324" xr:uid="{00000000-0005-0000-0000-000036160000}"/>
    <cellStyle name="Percent 3 4 9 6 2" xfId="6325" xr:uid="{00000000-0005-0000-0000-000037160000}"/>
    <cellStyle name="Percent 3 4 9 6 2 2" xfId="6326" xr:uid="{00000000-0005-0000-0000-000038160000}"/>
    <cellStyle name="Percent 3 4 9 6 3" xfId="6327" xr:uid="{00000000-0005-0000-0000-000039160000}"/>
    <cellStyle name="Percent 3 4 9 6 3 2" xfId="6328" xr:uid="{00000000-0005-0000-0000-00003A160000}"/>
    <cellStyle name="Percent 3 4 9 6 4" xfId="6329" xr:uid="{00000000-0005-0000-0000-00003B160000}"/>
    <cellStyle name="Percent 3 4 9 7" xfId="6330" xr:uid="{00000000-0005-0000-0000-00003C160000}"/>
    <cellStyle name="Percent 3 4 9 7 2" xfId="6331" xr:uid="{00000000-0005-0000-0000-00003D160000}"/>
    <cellStyle name="Percent 3 4 9 8" xfId="6332" xr:uid="{00000000-0005-0000-0000-00003E160000}"/>
    <cellStyle name="Percent 3 4 9 8 2" xfId="6333" xr:uid="{00000000-0005-0000-0000-00003F160000}"/>
    <cellStyle name="Percent 3 4 9 9" xfId="6334" xr:uid="{00000000-0005-0000-0000-000040160000}"/>
    <cellStyle name="Percent 3 4 9 9 2" xfId="6335" xr:uid="{00000000-0005-0000-0000-000041160000}"/>
    <cellStyle name="Percent 3 5" xfId="283" xr:uid="{00000000-0005-0000-0000-000042160000}"/>
    <cellStyle name="Percent 3 5 10" xfId="2895" xr:uid="{00000000-0005-0000-0000-000043160000}"/>
    <cellStyle name="Percent 3 5 10 10" xfId="6338" xr:uid="{00000000-0005-0000-0000-000044160000}"/>
    <cellStyle name="Percent 3 5 10 11" xfId="6339" xr:uid="{00000000-0005-0000-0000-000045160000}"/>
    <cellStyle name="Percent 3 5 10 12" xfId="6337" xr:uid="{00000000-0005-0000-0000-000046160000}"/>
    <cellStyle name="Percent 3 5 10 2" xfId="6340" xr:uid="{00000000-0005-0000-0000-000047160000}"/>
    <cellStyle name="Percent 3 5 10 2 2" xfId="6341" xr:uid="{00000000-0005-0000-0000-000048160000}"/>
    <cellStyle name="Percent 3 5 10 2 2 2" xfId="6342" xr:uid="{00000000-0005-0000-0000-000049160000}"/>
    <cellStyle name="Percent 3 5 10 2 3" xfId="6343" xr:uid="{00000000-0005-0000-0000-00004A160000}"/>
    <cellStyle name="Percent 3 5 10 2 3 2" xfId="6344" xr:uid="{00000000-0005-0000-0000-00004B160000}"/>
    <cellStyle name="Percent 3 5 10 2 4" xfId="6345" xr:uid="{00000000-0005-0000-0000-00004C160000}"/>
    <cellStyle name="Percent 3 5 10 2 5" xfId="6346" xr:uid="{00000000-0005-0000-0000-00004D160000}"/>
    <cellStyle name="Percent 3 5 10 3" xfId="6347" xr:uid="{00000000-0005-0000-0000-00004E160000}"/>
    <cellStyle name="Percent 3 5 10 3 2" xfId="6348" xr:uid="{00000000-0005-0000-0000-00004F160000}"/>
    <cellStyle name="Percent 3 5 10 3 2 2" xfId="6349" xr:uid="{00000000-0005-0000-0000-000050160000}"/>
    <cellStyle name="Percent 3 5 10 3 3" xfId="6350" xr:uid="{00000000-0005-0000-0000-000051160000}"/>
    <cellStyle name="Percent 3 5 10 3 3 2" xfId="6351" xr:uid="{00000000-0005-0000-0000-000052160000}"/>
    <cellStyle name="Percent 3 5 10 3 4" xfId="6352" xr:uid="{00000000-0005-0000-0000-000053160000}"/>
    <cellStyle name="Percent 3 5 10 4" xfId="6353" xr:uid="{00000000-0005-0000-0000-000054160000}"/>
    <cellStyle name="Percent 3 5 10 4 2" xfId="6354" xr:uid="{00000000-0005-0000-0000-000055160000}"/>
    <cellStyle name="Percent 3 5 10 4 2 2" xfId="6355" xr:uid="{00000000-0005-0000-0000-000056160000}"/>
    <cellStyle name="Percent 3 5 10 4 3" xfId="6356" xr:uid="{00000000-0005-0000-0000-000057160000}"/>
    <cellStyle name="Percent 3 5 10 4 3 2" xfId="6357" xr:uid="{00000000-0005-0000-0000-000058160000}"/>
    <cellStyle name="Percent 3 5 10 4 4" xfId="6358" xr:uid="{00000000-0005-0000-0000-000059160000}"/>
    <cellStyle name="Percent 3 5 10 5" xfId="6359" xr:uid="{00000000-0005-0000-0000-00005A160000}"/>
    <cellStyle name="Percent 3 5 10 5 2" xfId="6360" xr:uid="{00000000-0005-0000-0000-00005B160000}"/>
    <cellStyle name="Percent 3 5 10 5 2 2" xfId="6361" xr:uid="{00000000-0005-0000-0000-00005C160000}"/>
    <cellStyle name="Percent 3 5 10 5 3" xfId="6362" xr:uid="{00000000-0005-0000-0000-00005D160000}"/>
    <cellStyle name="Percent 3 5 10 5 3 2" xfId="6363" xr:uid="{00000000-0005-0000-0000-00005E160000}"/>
    <cellStyle name="Percent 3 5 10 5 4" xfId="6364" xr:uid="{00000000-0005-0000-0000-00005F160000}"/>
    <cellStyle name="Percent 3 5 10 5 4 2" xfId="6365" xr:uid="{00000000-0005-0000-0000-000060160000}"/>
    <cellStyle name="Percent 3 5 10 5 5" xfId="6366" xr:uid="{00000000-0005-0000-0000-000061160000}"/>
    <cellStyle name="Percent 3 5 10 6" xfId="6367" xr:uid="{00000000-0005-0000-0000-000062160000}"/>
    <cellStyle name="Percent 3 5 10 6 2" xfId="6368" xr:uid="{00000000-0005-0000-0000-000063160000}"/>
    <cellStyle name="Percent 3 5 10 6 2 2" xfId="6369" xr:uid="{00000000-0005-0000-0000-000064160000}"/>
    <cellStyle name="Percent 3 5 10 6 3" xfId="6370" xr:uid="{00000000-0005-0000-0000-000065160000}"/>
    <cellStyle name="Percent 3 5 10 6 3 2" xfId="6371" xr:uid="{00000000-0005-0000-0000-000066160000}"/>
    <cellStyle name="Percent 3 5 10 6 4" xfId="6372" xr:uid="{00000000-0005-0000-0000-000067160000}"/>
    <cellStyle name="Percent 3 5 10 7" xfId="6373" xr:uid="{00000000-0005-0000-0000-000068160000}"/>
    <cellStyle name="Percent 3 5 10 7 2" xfId="6374" xr:uid="{00000000-0005-0000-0000-000069160000}"/>
    <cellStyle name="Percent 3 5 10 8" xfId="6375" xr:uid="{00000000-0005-0000-0000-00006A160000}"/>
    <cellStyle name="Percent 3 5 10 8 2" xfId="6376" xr:uid="{00000000-0005-0000-0000-00006B160000}"/>
    <cellStyle name="Percent 3 5 10 9" xfId="6377" xr:uid="{00000000-0005-0000-0000-00006C160000}"/>
    <cellStyle name="Percent 3 5 10 9 2" xfId="6378" xr:uid="{00000000-0005-0000-0000-00006D160000}"/>
    <cellStyle name="Percent 3 5 11" xfId="2896" xr:uid="{00000000-0005-0000-0000-00006E160000}"/>
    <cellStyle name="Percent 3 5 11 10" xfId="6380" xr:uid="{00000000-0005-0000-0000-00006F160000}"/>
    <cellStyle name="Percent 3 5 11 11" xfId="6381" xr:uid="{00000000-0005-0000-0000-000070160000}"/>
    <cellStyle name="Percent 3 5 11 12" xfId="6379" xr:uid="{00000000-0005-0000-0000-000071160000}"/>
    <cellStyle name="Percent 3 5 11 2" xfId="6382" xr:uid="{00000000-0005-0000-0000-000072160000}"/>
    <cellStyle name="Percent 3 5 11 2 2" xfId="6383" xr:uid="{00000000-0005-0000-0000-000073160000}"/>
    <cellStyle name="Percent 3 5 11 2 2 2" xfId="6384" xr:uid="{00000000-0005-0000-0000-000074160000}"/>
    <cellStyle name="Percent 3 5 11 2 3" xfId="6385" xr:uid="{00000000-0005-0000-0000-000075160000}"/>
    <cellStyle name="Percent 3 5 11 2 3 2" xfId="6386" xr:uid="{00000000-0005-0000-0000-000076160000}"/>
    <cellStyle name="Percent 3 5 11 2 4" xfId="6387" xr:uid="{00000000-0005-0000-0000-000077160000}"/>
    <cellStyle name="Percent 3 5 11 2 5" xfId="6388" xr:uid="{00000000-0005-0000-0000-000078160000}"/>
    <cellStyle name="Percent 3 5 11 3" xfId="6389" xr:uid="{00000000-0005-0000-0000-000079160000}"/>
    <cellStyle name="Percent 3 5 11 3 2" xfId="6390" xr:uid="{00000000-0005-0000-0000-00007A160000}"/>
    <cellStyle name="Percent 3 5 11 3 2 2" xfId="6391" xr:uid="{00000000-0005-0000-0000-00007B160000}"/>
    <cellStyle name="Percent 3 5 11 3 3" xfId="6392" xr:uid="{00000000-0005-0000-0000-00007C160000}"/>
    <cellStyle name="Percent 3 5 11 3 3 2" xfId="6393" xr:uid="{00000000-0005-0000-0000-00007D160000}"/>
    <cellStyle name="Percent 3 5 11 3 4" xfId="6394" xr:uid="{00000000-0005-0000-0000-00007E160000}"/>
    <cellStyle name="Percent 3 5 11 4" xfId="6395" xr:uid="{00000000-0005-0000-0000-00007F160000}"/>
    <cellStyle name="Percent 3 5 11 4 2" xfId="6396" xr:uid="{00000000-0005-0000-0000-000080160000}"/>
    <cellStyle name="Percent 3 5 11 4 2 2" xfId="6397" xr:uid="{00000000-0005-0000-0000-000081160000}"/>
    <cellStyle name="Percent 3 5 11 4 3" xfId="6398" xr:uid="{00000000-0005-0000-0000-000082160000}"/>
    <cellStyle name="Percent 3 5 11 4 3 2" xfId="6399" xr:uid="{00000000-0005-0000-0000-000083160000}"/>
    <cellStyle name="Percent 3 5 11 4 4" xfId="6400" xr:uid="{00000000-0005-0000-0000-000084160000}"/>
    <cellStyle name="Percent 3 5 11 5" xfId="6401" xr:uid="{00000000-0005-0000-0000-000085160000}"/>
    <cellStyle name="Percent 3 5 11 5 2" xfId="6402" xr:uid="{00000000-0005-0000-0000-000086160000}"/>
    <cellStyle name="Percent 3 5 11 5 2 2" xfId="6403" xr:uid="{00000000-0005-0000-0000-000087160000}"/>
    <cellStyle name="Percent 3 5 11 5 3" xfId="6404" xr:uid="{00000000-0005-0000-0000-000088160000}"/>
    <cellStyle name="Percent 3 5 11 5 3 2" xfId="6405" xr:uid="{00000000-0005-0000-0000-000089160000}"/>
    <cellStyle name="Percent 3 5 11 5 4" xfId="6406" xr:uid="{00000000-0005-0000-0000-00008A160000}"/>
    <cellStyle name="Percent 3 5 11 5 4 2" xfId="6407" xr:uid="{00000000-0005-0000-0000-00008B160000}"/>
    <cellStyle name="Percent 3 5 11 5 5" xfId="6408" xr:uid="{00000000-0005-0000-0000-00008C160000}"/>
    <cellStyle name="Percent 3 5 11 6" xfId="6409" xr:uid="{00000000-0005-0000-0000-00008D160000}"/>
    <cellStyle name="Percent 3 5 11 6 2" xfId="6410" xr:uid="{00000000-0005-0000-0000-00008E160000}"/>
    <cellStyle name="Percent 3 5 11 6 2 2" xfId="6411" xr:uid="{00000000-0005-0000-0000-00008F160000}"/>
    <cellStyle name="Percent 3 5 11 6 3" xfId="6412" xr:uid="{00000000-0005-0000-0000-000090160000}"/>
    <cellStyle name="Percent 3 5 11 6 3 2" xfId="6413" xr:uid="{00000000-0005-0000-0000-000091160000}"/>
    <cellStyle name="Percent 3 5 11 6 4" xfId="6414" xr:uid="{00000000-0005-0000-0000-000092160000}"/>
    <cellStyle name="Percent 3 5 11 7" xfId="6415" xr:uid="{00000000-0005-0000-0000-000093160000}"/>
    <cellStyle name="Percent 3 5 11 7 2" xfId="6416" xr:uid="{00000000-0005-0000-0000-000094160000}"/>
    <cellStyle name="Percent 3 5 11 8" xfId="6417" xr:uid="{00000000-0005-0000-0000-000095160000}"/>
    <cellStyle name="Percent 3 5 11 8 2" xfId="6418" xr:uid="{00000000-0005-0000-0000-000096160000}"/>
    <cellStyle name="Percent 3 5 11 9" xfId="6419" xr:uid="{00000000-0005-0000-0000-000097160000}"/>
    <cellStyle name="Percent 3 5 11 9 2" xfId="6420" xr:uid="{00000000-0005-0000-0000-000098160000}"/>
    <cellStyle name="Percent 3 5 12" xfId="2897" xr:uid="{00000000-0005-0000-0000-000099160000}"/>
    <cellStyle name="Percent 3 5 12 10" xfId="6422" xr:uid="{00000000-0005-0000-0000-00009A160000}"/>
    <cellStyle name="Percent 3 5 12 11" xfId="6423" xr:uid="{00000000-0005-0000-0000-00009B160000}"/>
    <cellStyle name="Percent 3 5 12 12" xfId="6421" xr:uid="{00000000-0005-0000-0000-00009C160000}"/>
    <cellStyle name="Percent 3 5 12 2" xfId="6424" xr:uid="{00000000-0005-0000-0000-00009D160000}"/>
    <cellStyle name="Percent 3 5 12 2 2" xfId="6425" xr:uid="{00000000-0005-0000-0000-00009E160000}"/>
    <cellStyle name="Percent 3 5 12 2 2 2" xfId="6426" xr:uid="{00000000-0005-0000-0000-00009F160000}"/>
    <cellStyle name="Percent 3 5 12 2 3" xfId="6427" xr:uid="{00000000-0005-0000-0000-0000A0160000}"/>
    <cellStyle name="Percent 3 5 12 2 3 2" xfId="6428" xr:uid="{00000000-0005-0000-0000-0000A1160000}"/>
    <cellStyle name="Percent 3 5 12 2 4" xfId="6429" xr:uid="{00000000-0005-0000-0000-0000A2160000}"/>
    <cellStyle name="Percent 3 5 12 2 5" xfId="6430" xr:uid="{00000000-0005-0000-0000-0000A3160000}"/>
    <cellStyle name="Percent 3 5 12 3" xfId="6431" xr:uid="{00000000-0005-0000-0000-0000A4160000}"/>
    <cellStyle name="Percent 3 5 12 3 2" xfId="6432" xr:uid="{00000000-0005-0000-0000-0000A5160000}"/>
    <cellStyle name="Percent 3 5 12 3 2 2" xfId="6433" xr:uid="{00000000-0005-0000-0000-0000A6160000}"/>
    <cellStyle name="Percent 3 5 12 3 3" xfId="6434" xr:uid="{00000000-0005-0000-0000-0000A7160000}"/>
    <cellStyle name="Percent 3 5 12 3 3 2" xfId="6435" xr:uid="{00000000-0005-0000-0000-0000A8160000}"/>
    <cellStyle name="Percent 3 5 12 3 4" xfId="6436" xr:uid="{00000000-0005-0000-0000-0000A9160000}"/>
    <cellStyle name="Percent 3 5 12 4" xfId="6437" xr:uid="{00000000-0005-0000-0000-0000AA160000}"/>
    <cellStyle name="Percent 3 5 12 4 2" xfId="6438" xr:uid="{00000000-0005-0000-0000-0000AB160000}"/>
    <cellStyle name="Percent 3 5 12 4 2 2" xfId="6439" xr:uid="{00000000-0005-0000-0000-0000AC160000}"/>
    <cellStyle name="Percent 3 5 12 4 3" xfId="6440" xr:uid="{00000000-0005-0000-0000-0000AD160000}"/>
    <cellStyle name="Percent 3 5 12 4 3 2" xfId="6441" xr:uid="{00000000-0005-0000-0000-0000AE160000}"/>
    <cellStyle name="Percent 3 5 12 4 4" xfId="6442" xr:uid="{00000000-0005-0000-0000-0000AF160000}"/>
    <cellStyle name="Percent 3 5 12 5" xfId="6443" xr:uid="{00000000-0005-0000-0000-0000B0160000}"/>
    <cellStyle name="Percent 3 5 12 5 2" xfId="6444" xr:uid="{00000000-0005-0000-0000-0000B1160000}"/>
    <cellStyle name="Percent 3 5 12 5 2 2" xfId="6445" xr:uid="{00000000-0005-0000-0000-0000B2160000}"/>
    <cellStyle name="Percent 3 5 12 5 3" xfId="6446" xr:uid="{00000000-0005-0000-0000-0000B3160000}"/>
    <cellStyle name="Percent 3 5 12 5 3 2" xfId="6447" xr:uid="{00000000-0005-0000-0000-0000B4160000}"/>
    <cellStyle name="Percent 3 5 12 5 4" xfId="6448" xr:uid="{00000000-0005-0000-0000-0000B5160000}"/>
    <cellStyle name="Percent 3 5 12 5 4 2" xfId="6449" xr:uid="{00000000-0005-0000-0000-0000B6160000}"/>
    <cellStyle name="Percent 3 5 12 5 5" xfId="6450" xr:uid="{00000000-0005-0000-0000-0000B7160000}"/>
    <cellStyle name="Percent 3 5 12 6" xfId="6451" xr:uid="{00000000-0005-0000-0000-0000B8160000}"/>
    <cellStyle name="Percent 3 5 12 6 2" xfId="6452" xr:uid="{00000000-0005-0000-0000-0000B9160000}"/>
    <cellStyle name="Percent 3 5 12 6 2 2" xfId="6453" xr:uid="{00000000-0005-0000-0000-0000BA160000}"/>
    <cellStyle name="Percent 3 5 12 6 3" xfId="6454" xr:uid="{00000000-0005-0000-0000-0000BB160000}"/>
    <cellStyle name="Percent 3 5 12 6 3 2" xfId="6455" xr:uid="{00000000-0005-0000-0000-0000BC160000}"/>
    <cellStyle name="Percent 3 5 12 6 4" xfId="6456" xr:uid="{00000000-0005-0000-0000-0000BD160000}"/>
    <cellStyle name="Percent 3 5 12 7" xfId="6457" xr:uid="{00000000-0005-0000-0000-0000BE160000}"/>
    <cellStyle name="Percent 3 5 12 7 2" xfId="6458" xr:uid="{00000000-0005-0000-0000-0000BF160000}"/>
    <cellStyle name="Percent 3 5 12 8" xfId="6459" xr:uid="{00000000-0005-0000-0000-0000C0160000}"/>
    <cellStyle name="Percent 3 5 12 8 2" xfId="6460" xr:uid="{00000000-0005-0000-0000-0000C1160000}"/>
    <cellStyle name="Percent 3 5 12 9" xfId="6461" xr:uid="{00000000-0005-0000-0000-0000C2160000}"/>
    <cellStyle name="Percent 3 5 12 9 2" xfId="6462" xr:uid="{00000000-0005-0000-0000-0000C3160000}"/>
    <cellStyle name="Percent 3 5 13" xfId="2898" xr:uid="{00000000-0005-0000-0000-0000C4160000}"/>
    <cellStyle name="Percent 3 5 13 10" xfId="6464" xr:uid="{00000000-0005-0000-0000-0000C5160000}"/>
    <cellStyle name="Percent 3 5 13 11" xfId="6465" xr:uid="{00000000-0005-0000-0000-0000C6160000}"/>
    <cellStyle name="Percent 3 5 13 12" xfId="6463" xr:uid="{00000000-0005-0000-0000-0000C7160000}"/>
    <cellStyle name="Percent 3 5 13 2" xfId="6466" xr:uid="{00000000-0005-0000-0000-0000C8160000}"/>
    <cellStyle name="Percent 3 5 13 2 2" xfId="6467" xr:uid="{00000000-0005-0000-0000-0000C9160000}"/>
    <cellStyle name="Percent 3 5 13 2 2 2" xfId="6468" xr:uid="{00000000-0005-0000-0000-0000CA160000}"/>
    <cellStyle name="Percent 3 5 13 2 3" xfId="6469" xr:uid="{00000000-0005-0000-0000-0000CB160000}"/>
    <cellStyle name="Percent 3 5 13 2 3 2" xfId="6470" xr:uid="{00000000-0005-0000-0000-0000CC160000}"/>
    <cellStyle name="Percent 3 5 13 2 4" xfId="6471" xr:uid="{00000000-0005-0000-0000-0000CD160000}"/>
    <cellStyle name="Percent 3 5 13 2 5" xfId="6472" xr:uid="{00000000-0005-0000-0000-0000CE160000}"/>
    <cellStyle name="Percent 3 5 13 3" xfId="6473" xr:uid="{00000000-0005-0000-0000-0000CF160000}"/>
    <cellStyle name="Percent 3 5 13 3 2" xfId="6474" xr:uid="{00000000-0005-0000-0000-0000D0160000}"/>
    <cellStyle name="Percent 3 5 13 3 2 2" xfId="6475" xr:uid="{00000000-0005-0000-0000-0000D1160000}"/>
    <cellStyle name="Percent 3 5 13 3 3" xfId="6476" xr:uid="{00000000-0005-0000-0000-0000D2160000}"/>
    <cellStyle name="Percent 3 5 13 3 3 2" xfId="6477" xr:uid="{00000000-0005-0000-0000-0000D3160000}"/>
    <cellStyle name="Percent 3 5 13 3 4" xfId="6478" xr:uid="{00000000-0005-0000-0000-0000D4160000}"/>
    <cellStyle name="Percent 3 5 13 4" xfId="6479" xr:uid="{00000000-0005-0000-0000-0000D5160000}"/>
    <cellStyle name="Percent 3 5 13 4 2" xfId="6480" xr:uid="{00000000-0005-0000-0000-0000D6160000}"/>
    <cellStyle name="Percent 3 5 13 4 2 2" xfId="6481" xr:uid="{00000000-0005-0000-0000-0000D7160000}"/>
    <cellStyle name="Percent 3 5 13 4 3" xfId="6482" xr:uid="{00000000-0005-0000-0000-0000D8160000}"/>
    <cellStyle name="Percent 3 5 13 4 3 2" xfId="6483" xr:uid="{00000000-0005-0000-0000-0000D9160000}"/>
    <cellStyle name="Percent 3 5 13 4 4" xfId="6484" xr:uid="{00000000-0005-0000-0000-0000DA160000}"/>
    <cellStyle name="Percent 3 5 13 5" xfId="6485" xr:uid="{00000000-0005-0000-0000-0000DB160000}"/>
    <cellStyle name="Percent 3 5 13 5 2" xfId="6486" xr:uid="{00000000-0005-0000-0000-0000DC160000}"/>
    <cellStyle name="Percent 3 5 13 5 2 2" xfId="6487" xr:uid="{00000000-0005-0000-0000-0000DD160000}"/>
    <cellStyle name="Percent 3 5 13 5 3" xfId="6488" xr:uid="{00000000-0005-0000-0000-0000DE160000}"/>
    <cellStyle name="Percent 3 5 13 5 3 2" xfId="6489" xr:uid="{00000000-0005-0000-0000-0000DF160000}"/>
    <cellStyle name="Percent 3 5 13 5 4" xfId="6490" xr:uid="{00000000-0005-0000-0000-0000E0160000}"/>
    <cellStyle name="Percent 3 5 13 5 4 2" xfId="6491" xr:uid="{00000000-0005-0000-0000-0000E1160000}"/>
    <cellStyle name="Percent 3 5 13 5 5" xfId="6492" xr:uid="{00000000-0005-0000-0000-0000E2160000}"/>
    <cellStyle name="Percent 3 5 13 6" xfId="6493" xr:uid="{00000000-0005-0000-0000-0000E3160000}"/>
    <cellStyle name="Percent 3 5 13 6 2" xfId="6494" xr:uid="{00000000-0005-0000-0000-0000E4160000}"/>
    <cellStyle name="Percent 3 5 13 6 2 2" xfId="6495" xr:uid="{00000000-0005-0000-0000-0000E5160000}"/>
    <cellStyle name="Percent 3 5 13 6 3" xfId="6496" xr:uid="{00000000-0005-0000-0000-0000E6160000}"/>
    <cellStyle name="Percent 3 5 13 6 3 2" xfId="6497" xr:uid="{00000000-0005-0000-0000-0000E7160000}"/>
    <cellStyle name="Percent 3 5 13 6 4" xfId="6498" xr:uid="{00000000-0005-0000-0000-0000E8160000}"/>
    <cellStyle name="Percent 3 5 13 7" xfId="6499" xr:uid="{00000000-0005-0000-0000-0000E9160000}"/>
    <cellStyle name="Percent 3 5 13 7 2" xfId="6500" xr:uid="{00000000-0005-0000-0000-0000EA160000}"/>
    <cellStyle name="Percent 3 5 13 8" xfId="6501" xr:uid="{00000000-0005-0000-0000-0000EB160000}"/>
    <cellStyle name="Percent 3 5 13 8 2" xfId="6502" xr:uid="{00000000-0005-0000-0000-0000EC160000}"/>
    <cellStyle name="Percent 3 5 13 9" xfId="6503" xr:uid="{00000000-0005-0000-0000-0000ED160000}"/>
    <cellStyle name="Percent 3 5 13 9 2" xfId="6504" xr:uid="{00000000-0005-0000-0000-0000EE160000}"/>
    <cellStyle name="Percent 3 5 14" xfId="2899" xr:uid="{00000000-0005-0000-0000-0000EF160000}"/>
    <cellStyle name="Percent 3 5 14 10" xfId="6506" xr:uid="{00000000-0005-0000-0000-0000F0160000}"/>
    <cellStyle name="Percent 3 5 14 11" xfId="6507" xr:uid="{00000000-0005-0000-0000-0000F1160000}"/>
    <cellStyle name="Percent 3 5 14 12" xfId="6505" xr:uid="{00000000-0005-0000-0000-0000F2160000}"/>
    <cellStyle name="Percent 3 5 14 2" xfId="6508" xr:uid="{00000000-0005-0000-0000-0000F3160000}"/>
    <cellStyle name="Percent 3 5 14 2 2" xfId="6509" xr:uid="{00000000-0005-0000-0000-0000F4160000}"/>
    <cellStyle name="Percent 3 5 14 2 2 2" xfId="6510" xr:uid="{00000000-0005-0000-0000-0000F5160000}"/>
    <cellStyle name="Percent 3 5 14 2 3" xfId="6511" xr:uid="{00000000-0005-0000-0000-0000F6160000}"/>
    <cellStyle name="Percent 3 5 14 2 3 2" xfId="6512" xr:uid="{00000000-0005-0000-0000-0000F7160000}"/>
    <cellStyle name="Percent 3 5 14 2 4" xfId="6513" xr:uid="{00000000-0005-0000-0000-0000F8160000}"/>
    <cellStyle name="Percent 3 5 14 2 5" xfId="6514" xr:uid="{00000000-0005-0000-0000-0000F9160000}"/>
    <cellStyle name="Percent 3 5 14 3" xfId="6515" xr:uid="{00000000-0005-0000-0000-0000FA160000}"/>
    <cellStyle name="Percent 3 5 14 3 2" xfId="6516" xr:uid="{00000000-0005-0000-0000-0000FB160000}"/>
    <cellStyle name="Percent 3 5 14 3 2 2" xfId="6517" xr:uid="{00000000-0005-0000-0000-0000FC160000}"/>
    <cellStyle name="Percent 3 5 14 3 3" xfId="6518" xr:uid="{00000000-0005-0000-0000-0000FD160000}"/>
    <cellStyle name="Percent 3 5 14 3 3 2" xfId="6519" xr:uid="{00000000-0005-0000-0000-0000FE160000}"/>
    <cellStyle name="Percent 3 5 14 3 4" xfId="6520" xr:uid="{00000000-0005-0000-0000-0000FF160000}"/>
    <cellStyle name="Percent 3 5 14 4" xfId="6521" xr:uid="{00000000-0005-0000-0000-000000170000}"/>
    <cellStyle name="Percent 3 5 14 4 2" xfId="6522" xr:uid="{00000000-0005-0000-0000-000001170000}"/>
    <cellStyle name="Percent 3 5 14 4 2 2" xfId="6523" xr:uid="{00000000-0005-0000-0000-000002170000}"/>
    <cellStyle name="Percent 3 5 14 4 3" xfId="6524" xr:uid="{00000000-0005-0000-0000-000003170000}"/>
    <cellStyle name="Percent 3 5 14 4 3 2" xfId="6525" xr:uid="{00000000-0005-0000-0000-000004170000}"/>
    <cellStyle name="Percent 3 5 14 4 4" xfId="6526" xr:uid="{00000000-0005-0000-0000-000005170000}"/>
    <cellStyle name="Percent 3 5 14 5" xfId="6527" xr:uid="{00000000-0005-0000-0000-000006170000}"/>
    <cellStyle name="Percent 3 5 14 5 2" xfId="6528" xr:uid="{00000000-0005-0000-0000-000007170000}"/>
    <cellStyle name="Percent 3 5 14 5 2 2" xfId="6529" xr:uid="{00000000-0005-0000-0000-000008170000}"/>
    <cellStyle name="Percent 3 5 14 5 3" xfId="6530" xr:uid="{00000000-0005-0000-0000-000009170000}"/>
    <cellStyle name="Percent 3 5 14 5 3 2" xfId="6531" xr:uid="{00000000-0005-0000-0000-00000A170000}"/>
    <cellStyle name="Percent 3 5 14 5 4" xfId="6532" xr:uid="{00000000-0005-0000-0000-00000B170000}"/>
    <cellStyle name="Percent 3 5 14 5 4 2" xfId="6533" xr:uid="{00000000-0005-0000-0000-00000C170000}"/>
    <cellStyle name="Percent 3 5 14 5 5" xfId="6534" xr:uid="{00000000-0005-0000-0000-00000D170000}"/>
    <cellStyle name="Percent 3 5 14 6" xfId="6535" xr:uid="{00000000-0005-0000-0000-00000E170000}"/>
    <cellStyle name="Percent 3 5 14 6 2" xfId="6536" xr:uid="{00000000-0005-0000-0000-00000F170000}"/>
    <cellStyle name="Percent 3 5 14 6 2 2" xfId="6537" xr:uid="{00000000-0005-0000-0000-000010170000}"/>
    <cellStyle name="Percent 3 5 14 6 3" xfId="6538" xr:uid="{00000000-0005-0000-0000-000011170000}"/>
    <cellStyle name="Percent 3 5 14 6 3 2" xfId="6539" xr:uid="{00000000-0005-0000-0000-000012170000}"/>
    <cellStyle name="Percent 3 5 14 6 4" xfId="6540" xr:uid="{00000000-0005-0000-0000-000013170000}"/>
    <cellStyle name="Percent 3 5 14 7" xfId="6541" xr:uid="{00000000-0005-0000-0000-000014170000}"/>
    <cellStyle name="Percent 3 5 14 7 2" xfId="6542" xr:uid="{00000000-0005-0000-0000-000015170000}"/>
    <cellStyle name="Percent 3 5 14 8" xfId="6543" xr:uid="{00000000-0005-0000-0000-000016170000}"/>
    <cellStyle name="Percent 3 5 14 8 2" xfId="6544" xr:uid="{00000000-0005-0000-0000-000017170000}"/>
    <cellStyle name="Percent 3 5 14 9" xfId="6545" xr:uid="{00000000-0005-0000-0000-000018170000}"/>
    <cellStyle name="Percent 3 5 14 9 2" xfId="6546" xr:uid="{00000000-0005-0000-0000-000019170000}"/>
    <cellStyle name="Percent 3 5 15" xfId="2900" xr:uid="{00000000-0005-0000-0000-00001A170000}"/>
    <cellStyle name="Percent 3 5 15 10" xfId="6548" xr:uid="{00000000-0005-0000-0000-00001B170000}"/>
    <cellStyle name="Percent 3 5 15 11" xfId="6549" xr:uid="{00000000-0005-0000-0000-00001C170000}"/>
    <cellStyle name="Percent 3 5 15 12" xfId="6547" xr:uid="{00000000-0005-0000-0000-00001D170000}"/>
    <cellStyle name="Percent 3 5 15 2" xfId="6550" xr:uid="{00000000-0005-0000-0000-00001E170000}"/>
    <cellStyle name="Percent 3 5 15 2 2" xfId="6551" xr:uid="{00000000-0005-0000-0000-00001F170000}"/>
    <cellStyle name="Percent 3 5 15 2 2 2" xfId="6552" xr:uid="{00000000-0005-0000-0000-000020170000}"/>
    <cellStyle name="Percent 3 5 15 2 3" xfId="6553" xr:uid="{00000000-0005-0000-0000-000021170000}"/>
    <cellStyle name="Percent 3 5 15 2 3 2" xfId="6554" xr:uid="{00000000-0005-0000-0000-000022170000}"/>
    <cellStyle name="Percent 3 5 15 2 4" xfId="6555" xr:uid="{00000000-0005-0000-0000-000023170000}"/>
    <cellStyle name="Percent 3 5 15 2 5" xfId="6556" xr:uid="{00000000-0005-0000-0000-000024170000}"/>
    <cellStyle name="Percent 3 5 15 3" xfId="6557" xr:uid="{00000000-0005-0000-0000-000025170000}"/>
    <cellStyle name="Percent 3 5 15 3 2" xfId="6558" xr:uid="{00000000-0005-0000-0000-000026170000}"/>
    <cellStyle name="Percent 3 5 15 3 2 2" xfId="6559" xr:uid="{00000000-0005-0000-0000-000027170000}"/>
    <cellStyle name="Percent 3 5 15 3 3" xfId="6560" xr:uid="{00000000-0005-0000-0000-000028170000}"/>
    <cellStyle name="Percent 3 5 15 3 3 2" xfId="6561" xr:uid="{00000000-0005-0000-0000-000029170000}"/>
    <cellStyle name="Percent 3 5 15 3 4" xfId="6562" xr:uid="{00000000-0005-0000-0000-00002A170000}"/>
    <cellStyle name="Percent 3 5 15 4" xfId="6563" xr:uid="{00000000-0005-0000-0000-00002B170000}"/>
    <cellStyle name="Percent 3 5 15 4 2" xfId="6564" xr:uid="{00000000-0005-0000-0000-00002C170000}"/>
    <cellStyle name="Percent 3 5 15 4 2 2" xfId="6565" xr:uid="{00000000-0005-0000-0000-00002D170000}"/>
    <cellStyle name="Percent 3 5 15 4 3" xfId="6566" xr:uid="{00000000-0005-0000-0000-00002E170000}"/>
    <cellStyle name="Percent 3 5 15 4 3 2" xfId="6567" xr:uid="{00000000-0005-0000-0000-00002F170000}"/>
    <cellStyle name="Percent 3 5 15 4 4" xfId="6568" xr:uid="{00000000-0005-0000-0000-000030170000}"/>
    <cellStyle name="Percent 3 5 15 5" xfId="6569" xr:uid="{00000000-0005-0000-0000-000031170000}"/>
    <cellStyle name="Percent 3 5 15 5 2" xfId="6570" xr:uid="{00000000-0005-0000-0000-000032170000}"/>
    <cellStyle name="Percent 3 5 15 5 2 2" xfId="6571" xr:uid="{00000000-0005-0000-0000-000033170000}"/>
    <cellStyle name="Percent 3 5 15 5 3" xfId="6572" xr:uid="{00000000-0005-0000-0000-000034170000}"/>
    <cellStyle name="Percent 3 5 15 5 3 2" xfId="6573" xr:uid="{00000000-0005-0000-0000-000035170000}"/>
    <cellStyle name="Percent 3 5 15 5 4" xfId="6574" xr:uid="{00000000-0005-0000-0000-000036170000}"/>
    <cellStyle name="Percent 3 5 15 5 4 2" xfId="6575" xr:uid="{00000000-0005-0000-0000-000037170000}"/>
    <cellStyle name="Percent 3 5 15 5 5" xfId="6576" xr:uid="{00000000-0005-0000-0000-000038170000}"/>
    <cellStyle name="Percent 3 5 15 6" xfId="6577" xr:uid="{00000000-0005-0000-0000-000039170000}"/>
    <cellStyle name="Percent 3 5 15 6 2" xfId="6578" xr:uid="{00000000-0005-0000-0000-00003A170000}"/>
    <cellStyle name="Percent 3 5 15 6 2 2" xfId="6579" xr:uid="{00000000-0005-0000-0000-00003B170000}"/>
    <cellStyle name="Percent 3 5 15 6 3" xfId="6580" xr:uid="{00000000-0005-0000-0000-00003C170000}"/>
    <cellStyle name="Percent 3 5 15 6 3 2" xfId="6581" xr:uid="{00000000-0005-0000-0000-00003D170000}"/>
    <cellStyle name="Percent 3 5 15 6 4" xfId="6582" xr:uid="{00000000-0005-0000-0000-00003E170000}"/>
    <cellStyle name="Percent 3 5 15 7" xfId="6583" xr:uid="{00000000-0005-0000-0000-00003F170000}"/>
    <cellStyle name="Percent 3 5 15 7 2" xfId="6584" xr:uid="{00000000-0005-0000-0000-000040170000}"/>
    <cellStyle name="Percent 3 5 15 8" xfId="6585" xr:uid="{00000000-0005-0000-0000-000041170000}"/>
    <cellStyle name="Percent 3 5 15 8 2" xfId="6586" xr:uid="{00000000-0005-0000-0000-000042170000}"/>
    <cellStyle name="Percent 3 5 15 9" xfId="6587" xr:uid="{00000000-0005-0000-0000-000043170000}"/>
    <cellStyle name="Percent 3 5 15 9 2" xfId="6588" xr:uid="{00000000-0005-0000-0000-000044170000}"/>
    <cellStyle name="Percent 3 5 16" xfId="2901" xr:uid="{00000000-0005-0000-0000-000045170000}"/>
    <cellStyle name="Percent 3 5 16 2" xfId="6590" xr:uid="{00000000-0005-0000-0000-000046170000}"/>
    <cellStyle name="Percent 3 5 16 2 2" xfId="6591" xr:uid="{00000000-0005-0000-0000-000047170000}"/>
    <cellStyle name="Percent 3 5 16 3" xfId="6592" xr:uid="{00000000-0005-0000-0000-000048170000}"/>
    <cellStyle name="Percent 3 5 16 3 2" xfId="6593" xr:uid="{00000000-0005-0000-0000-000049170000}"/>
    <cellStyle name="Percent 3 5 16 4" xfId="6594" xr:uid="{00000000-0005-0000-0000-00004A170000}"/>
    <cellStyle name="Percent 3 5 16 5" xfId="6595" xr:uid="{00000000-0005-0000-0000-00004B170000}"/>
    <cellStyle name="Percent 3 5 16 6" xfId="6589" xr:uid="{00000000-0005-0000-0000-00004C170000}"/>
    <cellStyle name="Percent 3 5 17" xfId="6596" xr:uid="{00000000-0005-0000-0000-00004D170000}"/>
    <cellStyle name="Percent 3 5 17 2" xfId="6597" xr:uid="{00000000-0005-0000-0000-00004E170000}"/>
    <cellStyle name="Percent 3 5 17 2 2" xfId="6598" xr:uid="{00000000-0005-0000-0000-00004F170000}"/>
    <cellStyle name="Percent 3 5 17 3" xfId="6599" xr:uid="{00000000-0005-0000-0000-000050170000}"/>
    <cellStyle name="Percent 3 5 17 3 2" xfId="6600" xr:uid="{00000000-0005-0000-0000-000051170000}"/>
    <cellStyle name="Percent 3 5 17 4" xfId="6601" xr:uid="{00000000-0005-0000-0000-000052170000}"/>
    <cellStyle name="Percent 3 5 17 5" xfId="6602" xr:uid="{00000000-0005-0000-0000-000053170000}"/>
    <cellStyle name="Percent 3 5 18" xfId="6603" xr:uid="{00000000-0005-0000-0000-000054170000}"/>
    <cellStyle name="Percent 3 5 18 2" xfId="6604" xr:uid="{00000000-0005-0000-0000-000055170000}"/>
    <cellStyle name="Percent 3 5 18 2 2" xfId="6605" xr:uid="{00000000-0005-0000-0000-000056170000}"/>
    <cellStyle name="Percent 3 5 18 3" xfId="6606" xr:uid="{00000000-0005-0000-0000-000057170000}"/>
    <cellStyle name="Percent 3 5 18 3 2" xfId="6607" xr:uid="{00000000-0005-0000-0000-000058170000}"/>
    <cellStyle name="Percent 3 5 18 4" xfId="6608" xr:uid="{00000000-0005-0000-0000-000059170000}"/>
    <cellStyle name="Percent 3 5 19" xfId="6609" xr:uid="{00000000-0005-0000-0000-00005A170000}"/>
    <cellStyle name="Percent 3 5 19 2" xfId="6610" xr:uid="{00000000-0005-0000-0000-00005B170000}"/>
    <cellStyle name="Percent 3 5 19 2 2" xfId="6611" xr:uid="{00000000-0005-0000-0000-00005C170000}"/>
    <cellStyle name="Percent 3 5 19 3" xfId="6612" xr:uid="{00000000-0005-0000-0000-00005D170000}"/>
    <cellStyle name="Percent 3 5 19 3 2" xfId="6613" xr:uid="{00000000-0005-0000-0000-00005E170000}"/>
    <cellStyle name="Percent 3 5 19 4" xfId="6614" xr:uid="{00000000-0005-0000-0000-00005F170000}"/>
    <cellStyle name="Percent 3 5 19 4 2" xfId="6615" xr:uid="{00000000-0005-0000-0000-000060170000}"/>
    <cellStyle name="Percent 3 5 19 5" xfId="6616" xr:uid="{00000000-0005-0000-0000-000061170000}"/>
    <cellStyle name="Percent 3 5 2" xfId="2902" xr:uid="{00000000-0005-0000-0000-000062170000}"/>
    <cellStyle name="Percent 3 5 2 10" xfId="6618" xr:uid="{00000000-0005-0000-0000-000063170000}"/>
    <cellStyle name="Percent 3 5 2 11" xfId="6619" xr:uid="{00000000-0005-0000-0000-000064170000}"/>
    <cellStyle name="Percent 3 5 2 12" xfId="6617" xr:uid="{00000000-0005-0000-0000-000065170000}"/>
    <cellStyle name="Percent 3 5 2 2" xfId="6620" xr:uid="{00000000-0005-0000-0000-000066170000}"/>
    <cellStyle name="Percent 3 5 2 2 2" xfId="6621" xr:uid="{00000000-0005-0000-0000-000067170000}"/>
    <cellStyle name="Percent 3 5 2 2 2 2" xfId="6622" xr:uid="{00000000-0005-0000-0000-000068170000}"/>
    <cellStyle name="Percent 3 5 2 2 3" xfId="6623" xr:uid="{00000000-0005-0000-0000-000069170000}"/>
    <cellStyle name="Percent 3 5 2 2 3 2" xfId="6624" xr:uid="{00000000-0005-0000-0000-00006A170000}"/>
    <cellStyle name="Percent 3 5 2 2 4" xfId="6625" xr:uid="{00000000-0005-0000-0000-00006B170000}"/>
    <cellStyle name="Percent 3 5 2 2 5" xfId="6626" xr:uid="{00000000-0005-0000-0000-00006C170000}"/>
    <cellStyle name="Percent 3 5 2 3" xfId="6627" xr:uid="{00000000-0005-0000-0000-00006D170000}"/>
    <cellStyle name="Percent 3 5 2 3 2" xfId="6628" xr:uid="{00000000-0005-0000-0000-00006E170000}"/>
    <cellStyle name="Percent 3 5 2 3 2 2" xfId="6629" xr:uid="{00000000-0005-0000-0000-00006F170000}"/>
    <cellStyle name="Percent 3 5 2 3 3" xfId="6630" xr:uid="{00000000-0005-0000-0000-000070170000}"/>
    <cellStyle name="Percent 3 5 2 3 3 2" xfId="6631" xr:uid="{00000000-0005-0000-0000-000071170000}"/>
    <cellStyle name="Percent 3 5 2 3 4" xfId="6632" xr:uid="{00000000-0005-0000-0000-000072170000}"/>
    <cellStyle name="Percent 3 5 2 4" xfId="6633" xr:uid="{00000000-0005-0000-0000-000073170000}"/>
    <cellStyle name="Percent 3 5 2 4 2" xfId="6634" xr:uid="{00000000-0005-0000-0000-000074170000}"/>
    <cellStyle name="Percent 3 5 2 4 2 2" xfId="6635" xr:uid="{00000000-0005-0000-0000-000075170000}"/>
    <cellStyle name="Percent 3 5 2 4 3" xfId="6636" xr:uid="{00000000-0005-0000-0000-000076170000}"/>
    <cellStyle name="Percent 3 5 2 4 3 2" xfId="6637" xr:uid="{00000000-0005-0000-0000-000077170000}"/>
    <cellStyle name="Percent 3 5 2 4 4" xfId="6638" xr:uid="{00000000-0005-0000-0000-000078170000}"/>
    <cellStyle name="Percent 3 5 2 5" xfId="6639" xr:uid="{00000000-0005-0000-0000-000079170000}"/>
    <cellStyle name="Percent 3 5 2 5 2" xfId="6640" xr:uid="{00000000-0005-0000-0000-00007A170000}"/>
    <cellStyle name="Percent 3 5 2 5 2 2" xfId="6641" xr:uid="{00000000-0005-0000-0000-00007B170000}"/>
    <cellStyle name="Percent 3 5 2 5 3" xfId="6642" xr:uid="{00000000-0005-0000-0000-00007C170000}"/>
    <cellStyle name="Percent 3 5 2 5 3 2" xfId="6643" xr:uid="{00000000-0005-0000-0000-00007D170000}"/>
    <cellStyle name="Percent 3 5 2 5 4" xfId="6644" xr:uid="{00000000-0005-0000-0000-00007E170000}"/>
    <cellStyle name="Percent 3 5 2 5 4 2" xfId="6645" xr:uid="{00000000-0005-0000-0000-00007F170000}"/>
    <cellStyle name="Percent 3 5 2 5 5" xfId="6646" xr:uid="{00000000-0005-0000-0000-000080170000}"/>
    <cellStyle name="Percent 3 5 2 6" xfId="6647" xr:uid="{00000000-0005-0000-0000-000081170000}"/>
    <cellStyle name="Percent 3 5 2 6 2" xfId="6648" xr:uid="{00000000-0005-0000-0000-000082170000}"/>
    <cellStyle name="Percent 3 5 2 6 2 2" xfId="6649" xr:uid="{00000000-0005-0000-0000-000083170000}"/>
    <cellStyle name="Percent 3 5 2 6 3" xfId="6650" xr:uid="{00000000-0005-0000-0000-000084170000}"/>
    <cellStyle name="Percent 3 5 2 6 3 2" xfId="6651" xr:uid="{00000000-0005-0000-0000-000085170000}"/>
    <cellStyle name="Percent 3 5 2 6 4" xfId="6652" xr:uid="{00000000-0005-0000-0000-000086170000}"/>
    <cellStyle name="Percent 3 5 2 7" xfId="6653" xr:uid="{00000000-0005-0000-0000-000087170000}"/>
    <cellStyle name="Percent 3 5 2 7 2" xfId="6654" xr:uid="{00000000-0005-0000-0000-000088170000}"/>
    <cellStyle name="Percent 3 5 2 8" xfId="6655" xr:uid="{00000000-0005-0000-0000-000089170000}"/>
    <cellStyle name="Percent 3 5 2 8 2" xfId="6656" xr:uid="{00000000-0005-0000-0000-00008A170000}"/>
    <cellStyle name="Percent 3 5 2 9" xfId="6657" xr:uid="{00000000-0005-0000-0000-00008B170000}"/>
    <cellStyle name="Percent 3 5 2 9 2" xfId="6658" xr:uid="{00000000-0005-0000-0000-00008C170000}"/>
    <cellStyle name="Percent 3 5 20" xfId="6659" xr:uid="{00000000-0005-0000-0000-00008D170000}"/>
    <cellStyle name="Percent 3 5 20 2" xfId="6660" xr:uid="{00000000-0005-0000-0000-00008E170000}"/>
    <cellStyle name="Percent 3 5 20 2 2" xfId="6661" xr:uid="{00000000-0005-0000-0000-00008F170000}"/>
    <cellStyle name="Percent 3 5 20 3" xfId="6662" xr:uid="{00000000-0005-0000-0000-000090170000}"/>
    <cellStyle name="Percent 3 5 20 3 2" xfId="6663" xr:uid="{00000000-0005-0000-0000-000091170000}"/>
    <cellStyle name="Percent 3 5 20 4" xfId="6664" xr:uid="{00000000-0005-0000-0000-000092170000}"/>
    <cellStyle name="Percent 3 5 21" xfId="6665" xr:uid="{00000000-0005-0000-0000-000093170000}"/>
    <cellStyle name="Percent 3 5 21 2" xfId="6666" xr:uid="{00000000-0005-0000-0000-000094170000}"/>
    <cellStyle name="Percent 3 5 22" xfId="6667" xr:uid="{00000000-0005-0000-0000-000095170000}"/>
    <cellStyle name="Percent 3 5 22 2" xfId="6668" xr:uid="{00000000-0005-0000-0000-000096170000}"/>
    <cellStyle name="Percent 3 5 23" xfId="6669" xr:uid="{00000000-0005-0000-0000-000097170000}"/>
    <cellStyle name="Percent 3 5 23 2" xfId="6670" xr:uid="{00000000-0005-0000-0000-000098170000}"/>
    <cellStyle name="Percent 3 5 24" xfId="6671" xr:uid="{00000000-0005-0000-0000-000099170000}"/>
    <cellStyle name="Percent 3 5 25" xfId="6672" xr:uid="{00000000-0005-0000-0000-00009A170000}"/>
    <cellStyle name="Percent 3 5 26" xfId="6336" xr:uid="{00000000-0005-0000-0000-00009B170000}"/>
    <cellStyle name="Percent 3 5 3" xfId="2903" xr:uid="{00000000-0005-0000-0000-00009C170000}"/>
    <cellStyle name="Percent 3 5 3 10" xfId="6674" xr:uid="{00000000-0005-0000-0000-00009D170000}"/>
    <cellStyle name="Percent 3 5 3 11" xfId="6675" xr:uid="{00000000-0005-0000-0000-00009E170000}"/>
    <cellStyle name="Percent 3 5 3 12" xfId="6673" xr:uid="{00000000-0005-0000-0000-00009F170000}"/>
    <cellStyle name="Percent 3 5 3 2" xfId="6676" xr:uid="{00000000-0005-0000-0000-0000A0170000}"/>
    <cellStyle name="Percent 3 5 3 2 2" xfId="6677" xr:uid="{00000000-0005-0000-0000-0000A1170000}"/>
    <cellStyle name="Percent 3 5 3 2 2 2" xfId="6678" xr:uid="{00000000-0005-0000-0000-0000A2170000}"/>
    <cellStyle name="Percent 3 5 3 2 3" xfId="6679" xr:uid="{00000000-0005-0000-0000-0000A3170000}"/>
    <cellStyle name="Percent 3 5 3 2 3 2" xfId="6680" xr:uid="{00000000-0005-0000-0000-0000A4170000}"/>
    <cellStyle name="Percent 3 5 3 2 4" xfId="6681" xr:uid="{00000000-0005-0000-0000-0000A5170000}"/>
    <cellStyle name="Percent 3 5 3 2 5" xfId="6682" xr:uid="{00000000-0005-0000-0000-0000A6170000}"/>
    <cellStyle name="Percent 3 5 3 3" xfId="6683" xr:uid="{00000000-0005-0000-0000-0000A7170000}"/>
    <cellStyle name="Percent 3 5 3 3 2" xfId="6684" xr:uid="{00000000-0005-0000-0000-0000A8170000}"/>
    <cellStyle name="Percent 3 5 3 3 2 2" xfId="6685" xr:uid="{00000000-0005-0000-0000-0000A9170000}"/>
    <cellStyle name="Percent 3 5 3 3 3" xfId="6686" xr:uid="{00000000-0005-0000-0000-0000AA170000}"/>
    <cellStyle name="Percent 3 5 3 3 3 2" xfId="6687" xr:uid="{00000000-0005-0000-0000-0000AB170000}"/>
    <cellStyle name="Percent 3 5 3 3 4" xfId="6688" xr:uid="{00000000-0005-0000-0000-0000AC170000}"/>
    <cellStyle name="Percent 3 5 3 4" xfId="6689" xr:uid="{00000000-0005-0000-0000-0000AD170000}"/>
    <cellStyle name="Percent 3 5 3 4 2" xfId="6690" xr:uid="{00000000-0005-0000-0000-0000AE170000}"/>
    <cellStyle name="Percent 3 5 3 4 2 2" xfId="6691" xr:uid="{00000000-0005-0000-0000-0000AF170000}"/>
    <cellStyle name="Percent 3 5 3 4 3" xfId="6692" xr:uid="{00000000-0005-0000-0000-0000B0170000}"/>
    <cellStyle name="Percent 3 5 3 4 3 2" xfId="6693" xr:uid="{00000000-0005-0000-0000-0000B1170000}"/>
    <cellStyle name="Percent 3 5 3 4 4" xfId="6694" xr:uid="{00000000-0005-0000-0000-0000B2170000}"/>
    <cellStyle name="Percent 3 5 3 5" xfId="6695" xr:uid="{00000000-0005-0000-0000-0000B3170000}"/>
    <cellStyle name="Percent 3 5 3 5 2" xfId="6696" xr:uid="{00000000-0005-0000-0000-0000B4170000}"/>
    <cellStyle name="Percent 3 5 3 5 2 2" xfId="6697" xr:uid="{00000000-0005-0000-0000-0000B5170000}"/>
    <cellStyle name="Percent 3 5 3 5 3" xfId="6698" xr:uid="{00000000-0005-0000-0000-0000B6170000}"/>
    <cellStyle name="Percent 3 5 3 5 3 2" xfId="6699" xr:uid="{00000000-0005-0000-0000-0000B7170000}"/>
    <cellStyle name="Percent 3 5 3 5 4" xfId="6700" xr:uid="{00000000-0005-0000-0000-0000B8170000}"/>
    <cellStyle name="Percent 3 5 3 5 4 2" xfId="6701" xr:uid="{00000000-0005-0000-0000-0000B9170000}"/>
    <cellStyle name="Percent 3 5 3 5 5" xfId="6702" xr:uid="{00000000-0005-0000-0000-0000BA170000}"/>
    <cellStyle name="Percent 3 5 3 6" xfId="6703" xr:uid="{00000000-0005-0000-0000-0000BB170000}"/>
    <cellStyle name="Percent 3 5 3 6 2" xfId="6704" xr:uid="{00000000-0005-0000-0000-0000BC170000}"/>
    <cellStyle name="Percent 3 5 3 6 2 2" xfId="6705" xr:uid="{00000000-0005-0000-0000-0000BD170000}"/>
    <cellStyle name="Percent 3 5 3 6 3" xfId="6706" xr:uid="{00000000-0005-0000-0000-0000BE170000}"/>
    <cellStyle name="Percent 3 5 3 6 3 2" xfId="6707" xr:uid="{00000000-0005-0000-0000-0000BF170000}"/>
    <cellStyle name="Percent 3 5 3 6 4" xfId="6708" xr:uid="{00000000-0005-0000-0000-0000C0170000}"/>
    <cellStyle name="Percent 3 5 3 7" xfId="6709" xr:uid="{00000000-0005-0000-0000-0000C1170000}"/>
    <cellStyle name="Percent 3 5 3 7 2" xfId="6710" xr:uid="{00000000-0005-0000-0000-0000C2170000}"/>
    <cellStyle name="Percent 3 5 3 8" xfId="6711" xr:uid="{00000000-0005-0000-0000-0000C3170000}"/>
    <cellStyle name="Percent 3 5 3 8 2" xfId="6712" xr:uid="{00000000-0005-0000-0000-0000C4170000}"/>
    <cellStyle name="Percent 3 5 3 9" xfId="6713" xr:uid="{00000000-0005-0000-0000-0000C5170000}"/>
    <cellStyle name="Percent 3 5 3 9 2" xfId="6714" xr:uid="{00000000-0005-0000-0000-0000C6170000}"/>
    <cellStyle name="Percent 3 5 4" xfId="2904" xr:uid="{00000000-0005-0000-0000-0000C7170000}"/>
    <cellStyle name="Percent 3 5 4 10" xfId="6716" xr:uid="{00000000-0005-0000-0000-0000C8170000}"/>
    <cellStyle name="Percent 3 5 4 11" xfId="6717" xr:uid="{00000000-0005-0000-0000-0000C9170000}"/>
    <cellStyle name="Percent 3 5 4 12" xfId="6715" xr:uid="{00000000-0005-0000-0000-0000CA170000}"/>
    <cellStyle name="Percent 3 5 4 2" xfId="6718" xr:uid="{00000000-0005-0000-0000-0000CB170000}"/>
    <cellStyle name="Percent 3 5 4 2 2" xfId="6719" xr:uid="{00000000-0005-0000-0000-0000CC170000}"/>
    <cellStyle name="Percent 3 5 4 2 2 2" xfId="6720" xr:uid="{00000000-0005-0000-0000-0000CD170000}"/>
    <cellStyle name="Percent 3 5 4 2 3" xfId="6721" xr:uid="{00000000-0005-0000-0000-0000CE170000}"/>
    <cellStyle name="Percent 3 5 4 2 3 2" xfId="6722" xr:uid="{00000000-0005-0000-0000-0000CF170000}"/>
    <cellStyle name="Percent 3 5 4 2 4" xfId="6723" xr:uid="{00000000-0005-0000-0000-0000D0170000}"/>
    <cellStyle name="Percent 3 5 4 2 5" xfId="6724" xr:uid="{00000000-0005-0000-0000-0000D1170000}"/>
    <cellStyle name="Percent 3 5 4 3" xfId="6725" xr:uid="{00000000-0005-0000-0000-0000D2170000}"/>
    <cellStyle name="Percent 3 5 4 3 2" xfId="6726" xr:uid="{00000000-0005-0000-0000-0000D3170000}"/>
    <cellStyle name="Percent 3 5 4 3 2 2" xfId="6727" xr:uid="{00000000-0005-0000-0000-0000D4170000}"/>
    <cellStyle name="Percent 3 5 4 3 3" xfId="6728" xr:uid="{00000000-0005-0000-0000-0000D5170000}"/>
    <cellStyle name="Percent 3 5 4 3 3 2" xfId="6729" xr:uid="{00000000-0005-0000-0000-0000D6170000}"/>
    <cellStyle name="Percent 3 5 4 3 4" xfId="6730" xr:uid="{00000000-0005-0000-0000-0000D7170000}"/>
    <cellStyle name="Percent 3 5 4 4" xfId="6731" xr:uid="{00000000-0005-0000-0000-0000D8170000}"/>
    <cellStyle name="Percent 3 5 4 4 2" xfId="6732" xr:uid="{00000000-0005-0000-0000-0000D9170000}"/>
    <cellStyle name="Percent 3 5 4 4 2 2" xfId="6733" xr:uid="{00000000-0005-0000-0000-0000DA170000}"/>
    <cellStyle name="Percent 3 5 4 4 3" xfId="6734" xr:uid="{00000000-0005-0000-0000-0000DB170000}"/>
    <cellStyle name="Percent 3 5 4 4 3 2" xfId="6735" xr:uid="{00000000-0005-0000-0000-0000DC170000}"/>
    <cellStyle name="Percent 3 5 4 4 4" xfId="6736" xr:uid="{00000000-0005-0000-0000-0000DD170000}"/>
    <cellStyle name="Percent 3 5 4 5" xfId="6737" xr:uid="{00000000-0005-0000-0000-0000DE170000}"/>
    <cellStyle name="Percent 3 5 4 5 2" xfId="6738" xr:uid="{00000000-0005-0000-0000-0000DF170000}"/>
    <cellStyle name="Percent 3 5 4 5 2 2" xfId="6739" xr:uid="{00000000-0005-0000-0000-0000E0170000}"/>
    <cellStyle name="Percent 3 5 4 5 3" xfId="6740" xr:uid="{00000000-0005-0000-0000-0000E1170000}"/>
    <cellStyle name="Percent 3 5 4 5 3 2" xfId="6741" xr:uid="{00000000-0005-0000-0000-0000E2170000}"/>
    <cellStyle name="Percent 3 5 4 5 4" xfId="6742" xr:uid="{00000000-0005-0000-0000-0000E3170000}"/>
    <cellStyle name="Percent 3 5 4 5 4 2" xfId="6743" xr:uid="{00000000-0005-0000-0000-0000E4170000}"/>
    <cellStyle name="Percent 3 5 4 5 5" xfId="6744" xr:uid="{00000000-0005-0000-0000-0000E5170000}"/>
    <cellStyle name="Percent 3 5 4 6" xfId="6745" xr:uid="{00000000-0005-0000-0000-0000E6170000}"/>
    <cellStyle name="Percent 3 5 4 6 2" xfId="6746" xr:uid="{00000000-0005-0000-0000-0000E7170000}"/>
    <cellStyle name="Percent 3 5 4 6 2 2" xfId="6747" xr:uid="{00000000-0005-0000-0000-0000E8170000}"/>
    <cellStyle name="Percent 3 5 4 6 3" xfId="6748" xr:uid="{00000000-0005-0000-0000-0000E9170000}"/>
    <cellStyle name="Percent 3 5 4 6 3 2" xfId="6749" xr:uid="{00000000-0005-0000-0000-0000EA170000}"/>
    <cellStyle name="Percent 3 5 4 6 4" xfId="6750" xr:uid="{00000000-0005-0000-0000-0000EB170000}"/>
    <cellStyle name="Percent 3 5 4 7" xfId="6751" xr:uid="{00000000-0005-0000-0000-0000EC170000}"/>
    <cellStyle name="Percent 3 5 4 7 2" xfId="6752" xr:uid="{00000000-0005-0000-0000-0000ED170000}"/>
    <cellStyle name="Percent 3 5 4 8" xfId="6753" xr:uid="{00000000-0005-0000-0000-0000EE170000}"/>
    <cellStyle name="Percent 3 5 4 8 2" xfId="6754" xr:uid="{00000000-0005-0000-0000-0000EF170000}"/>
    <cellStyle name="Percent 3 5 4 9" xfId="6755" xr:uid="{00000000-0005-0000-0000-0000F0170000}"/>
    <cellStyle name="Percent 3 5 4 9 2" xfId="6756" xr:uid="{00000000-0005-0000-0000-0000F1170000}"/>
    <cellStyle name="Percent 3 5 5" xfId="2905" xr:uid="{00000000-0005-0000-0000-0000F2170000}"/>
    <cellStyle name="Percent 3 5 5 10" xfId="6758" xr:uid="{00000000-0005-0000-0000-0000F3170000}"/>
    <cellStyle name="Percent 3 5 5 11" xfId="6759" xr:uid="{00000000-0005-0000-0000-0000F4170000}"/>
    <cellStyle name="Percent 3 5 5 12" xfId="6757" xr:uid="{00000000-0005-0000-0000-0000F5170000}"/>
    <cellStyle name="Percent 3 5 5 2" xfId="6760" xr:uid="{00000000-0005-0000-0000-0000F6170000}"/>
    <cellStyle name="Percent 3 5 5 2 2" xfId="6761" xr:uid="{00000000-0005-0000-0000-0000F7170000}"/>
    <cellStyle name="Percent 3 5 5 2 2 2" xfId="6762" xr:uid="{00000000-0005-0000-0000-0000F8170000}"/>
    <cellStyle name="Percent 3 5 5 2 3" xfId="6763" xr:uid="{00000000-0005-0000-0000-0000F9170000}"/>
    <cellStyle name="Percent 3 5 5 2 3 2" xfId="6764" xr:uid="{00000000-0005-0000-0000-0000FA170000}"/>
    <cellStyle name="Percent 3 5 5 2 4" xfId="6765" xr:uid="{00000000-0005-0000-0000-0000FB170000}"/>
    <cellStyle name="Percent 3 5 5 2 5" xfId="6766" xr:uid="{00000000-0005-0000-0000-0000FC170000}"/>
    <cellStyle name="Percent 3 5 5 3" xfId="6767" xr:uid="{00000000-0005-0000-0000-0000FD170000}"/>
    <cellStyle name="Percent 3 5 5 3 2" xfId="6768" xr:uid="{00000000-0005-0000-0000-0000FE170000}"/>
    <cellStyle name="Percent 3 5 5 3 2 2" xfId="6769" xr:uid="{00000000-0005-0000-0000-0000FF170000}"/>
    <cellStyle name="Percent 3 5 5 3 3" xfId="6770" xr:uid="{00000000-0005-0000-0000-000000180000}"/>
    <cellStyle name="Percent 3 5 5 3 3 2" xfId="6771" xr:uid="{00000000-0005-0000-0000-000001180000}"/>
    <cellStyle name="Percent 3 5 5 3 4" xfId="6772" xr:uid="{00000000-0005-0000-0000-000002180000}"/>
    <cellStyle name="Percent 3 5 5 4" xfId="6773" xr:uid="{00000000-0005-0000-0000-000003180000}"/>
    <cellStyle name="Percent 3 5 5 4 2" xfId="6774" xr:uid="{00000000-0005-0000-0000-000004180000}"/>
    <cellStyle name="Percent 3 5 5 4 2 2" xfId="6775" xr:uid="{00000000-0005-0000-0000-000005180000}"/>
    <cellStyle name="Percent 3 5 5 4 3" xfId="6776" xr:uid="{00000000-0005-0000-0000-000006180000}"/>
    <cellStyle name="Percent 3 5 5 4 3 2" xfId="6777" xr:uid="{00000000-0005-0000-0000-000007180000}"/>
    <cellStyle name="Percent 3 5 5 4 4" xfId="6778" xr:uid="{00000000-0005-0000-0000-000008180000}"/>
    <cellStyle name="Percent 3 5 5 5" xfId="6779" xr:uid="{00000000-0005-0000-0000-000009180000}"/>
    <cellStyle name="Percent 3 5 5 5 2" xfId="6780" xr:uid="{00000000-0005-0000-0000-00000A180000}"/>
    <cellStyle name="Percent 3 5 5 5 2 2" xfId="6781" xr:uid="{00000000-0005-0000-0000-00000B180000}"/>
    <cellStyle name="Percent 3 5 5 5 3" xfId="6782" xr:uid="{00000000-0005-0000-0000-00000C180000}"/>
    <cellStyle name="Percent 3 5 5 5 3 2" xfId="6783" xr:uid="{00000000-0005-0000-0000-00000D180000}"/>
    <cellStyle name="Percent 3 5 5 5 4" xfId="6784" xr:uid="{00000000-0005-0000-0000-00000E180000}"/>
    <cellStyle name="Percent 3 5 5 5 4 2" xfId="6785" xr:uid="{00000000-0005-0000-0000-00000F180000}"/>
    <cellStyle name="Percent 3 5 5 5 5" xfId="6786" xr:uid="{00000000-0005-0000-0000-000010180000}"/>
    <cellStyle name="Percent 3 5 5 6" xfId="6787" xr:uid="{00000000-0005-0000-0000-000011180000}"/>
    <cellStyle name="Percent 3 5 5 6 2" xfId="6788" xr:uid="{00000000-0005-0000-0000-000012180000}"/>
    <cellStyle name="Percent 3 5 5 6 2 2" xfId="6789" xr:uid="{00000000-0005-0000-0000-000013180000}"/>
    <cellStyle name="Percent 3 5 5 6 3" xfId="6790" xr:uid="{00000000-0005-0000-0000-000014180000}"/>
    <cellStyle name="Percent 3 5 5 6 3 2" xfId="6791" xr:uid="{00000000-0005-0000-0000-000015180000}"/>
    <cellStyle name="Percent 3 5 5 6 4" xfId="6792" xr:uid="{00000000-0005-0000-0000-000016180000}"/>
    <cellStyle name="Percent 3 5 5 7" xfId="6793" xr:uid="{00000000-0005-0000-0000-000017180000}"/>
    <cellStyle name="Percent 3 5 5 7 2" xfId="6794" xr:uid="{00000000-0005-0000-0000-000018180000}"/>
    <cellStyle name="Percent 3 5 5 8" xfId="6795" xr:uid="{00000000-0005-0000-0000-000019180000}"/>
    <cellStyle name="Percent 3 5 5 8 2" xfId="6796" xr:uid="{00000000-0005-0000-0000-00001A180000}"/>
    <cellStyle name="Percent 3 5 5 9" xfId="6797" xr:uid="{00000000-0005-0000-0000-00001B180000}"/>
    <cellStyle name="Percent 3 5 5 9 2" xfId="6798" xr:uid="{00000000-0005-0000-0000-00001C180000}"/>
    <cellStyle name="Percent 3 5 6" xfId="2906" xr:uid="{00000000-0005-0000-0000-00001D180000}"/>
    <cellStyle name="Percent 3 5 6 10" xfId="6800" xr:uid="{00000000-0005-0000-0000-00001E180000}"/>
    <cellStyle name="Percent 3 5 6 11" xfId="6801" xr:uid="{00000000-0005-0000-0000-00001F180000}"/>
    <cellStyle name="Percent 3 5 6 12" xfId="6799" xr:uid="{00000000-0005-0000-0000-000020180000}"/>
    <cellStyle name="Percent 3 5 6 2" xfId="6802" xr:uid="{00000000-0005-0000-0000-000021180000}"/>
    <cellStyle name="Percent 3 5 6 2 2" xfId="6803" xr:uid="{00000000-0005-0000-0000-000022180000}"/>
    <cellStyle name="Percent 3 5 6 2 2 2" xfId="6804" xr:uid="{00000000-0005-0000-0000-000023180000}"/>
    <cellStyle name="Percent 3 5 6 2 3" xfId="6805" xr:uid="{00000000-0005-0000-0000-000024180000}"/>
    <cellStyle name="Percent 3 5 6 2 3 2" xfId="6806" xr:uid="{00000000-0005-0000-0000-000025180000}"/>
    <cellStyle name="Percent 3 5 6 2 4" xfId="6807" xr:uid="{00000000-0005-0000-0000-000026180000}"/>
    <cellStyle name="Percent 3 5 6 2 5" xfId="6808" xr:uid="{00000000-0005-0000-0000-000027180000}"/>
    <cellStyle name="Percent 3 5 6 3" xfId="6809" xr:uid="{00000000-0005-0000-0000-000028180000}"/>
    <cellStyle name="Percent 3 5 6 3 2" xfId="6810" xr:uid="{00000000-0005-0000-0000-000029180000}"/>
    <cellStyle name="Percent 3 5 6 3 2 2" xfId="6811" xr:uid="{00000000-0005-0000-0000-00002A180000}"/>
    <cellStyle name="Percent 3 5 6 3 3" xfId="6812" xr:uid="{00000000-0005-0000-0000-00002B180000}"/>
    <cellStyle name="Percent 3 5 6 3 3 2" xfId="6813" xr:uid="{00000000-0005-0000-0000-00002C180000}"/>
    <cellStyle name="Percent 3 5 6 3 4" xfId="6814" xr:uid="{00000000-0005-0000-0000-00002D180000}"/>
    <cellStyle name="Percent 3 5 6 4" xfId="6815" xr:uid="{00000000-0005-0000-0000-00002E180000}"/>
    <cellStyle name="Percent 3 5 6 4 2" xfId="6816" xr:uid="{00000000-0005-0000-0000-00002F180000}"/>
    <cellStyle name="Percent 3 5 6 4 2 2" xfId="6817" xr:uid="{00000000-0005-0000-0000-000030180000}"/>
    <cellStyle name="Percent 3 5 6 4 3" xfId="6818" xr:uid="{00000000-0005-0000-0000-000031180000}"/>
    <cellStyle name="Percent 3 5 6 4 3 2" xfId="6819" xr:uid="{00000000-0005-0000-0000-000032180000}"/>
    <cellStyle name="Percent 3 5 6 4 4" xfId="6820" xr:uid="{00000000-0005-0000-0000-000033180000}"/>
    <cellStyle name="Percent 3 5 6 5" xfId="6821" xr:uid="{00000000-0005-0000-0000-000034180000}"/>
    <cellStyle name="Percent 3 5 6 5 2" xfId="6822" xr:uid="{00000000-0005-0000-0000-000035180000}"/>
    <cellStyle name="Percent 3 5 6 5 2 2" xfId="6823" xr:uid="{00000000-0005-0000-0000-000036180000}"/>
    <cellStyle name="Percent 3 5 6 5 3" xfId="6824" xr:uid="{00000000-0005-0000-0000-000037180000}"/>
    <cellStyle name="Percent 3 5 6 5 3 2" xfId="6825" xr:uid="{00000000-0005-0000-0000-000038180000}"/>
    <cellStyle name="Percent 3 5 6 5 4" xfId="6826" xr:uid="{00000000-0005-0000-0000-000039180000}"/>
    <cellStyle name="Percent 3 5 6 5 4 2" xfId="6827" xr:uid="{00000000-0005-0000-0000-00003A180000}"/>
    <cellStyle name="Percent 3 5 6 5 5" xfId="6828" xr:uid="{00000000-0005-0000-0000-00003B180000}"/>
    <cellStyle name="Percent 3 5 6 6" xfId="6829" xr:uid="{00000000-0005-0000-0000-00003C180000}"/>
    <cellStyle name="Percent 3 5 6 6 2" xfId="6830" xr:uid="{00000000-0005-0000-0000-00003D180000}"/>
    <cellStyle name="Percent 3 5 6 6 2 2" xfId="6831" xr:uid="{00000000-0005-0000-0000-00003E180000}"/>
    <cellStyle name="Percent 3 5 6 6 3" xfId="6832" xr:uid="{00000000-0005-0000-0000-00003F180000}"/>
    <cellStyle name="Percent 3 5 6 6 3 2" xfId="6833" xr:uid="{00000000-0005-0000-0000-000040180000}"/>
    <cellStyle name="Percent 3 5 6 6 4" xfId="6834" xr:uid="{00000000-0005-0000-0000-000041180000}"/>
    <cellStyle name="Percent 3 5 6 7" xfId="6835" xr:uid="{00000000-0005-0000-0000-000042180000}"/>
    <cellStyle name="Percent 3 5 6 7 2" xfId="6836" xr:uid="{00000000-0005-0000-0000-000043180000}"/>
    <cellStyle name="Percent 3 5 6 8" xfId="6837" xr:uid="{00000000-0005-0000-0000-000044180000}"/>
    <cellStyle name="Percent 3 5 6 8 2" xfId="6838" xr:uid="{00000000-0005-0000-0000-000045180000}"/>
    <cellStyle name="Percent 3 5 6 9" xfId="6839" xr:uid="{00000000-0005-0000-0000-000046180000}"/>
    <cellStyle name="Percent 3 5 6 9 2" xfId="6840" xr:uid="{00000000-0005-0000-0000-000047180000}"/>
    <cellStyle name="Percent 3 5 7" xfId="2907" xr:uid="{00000000-0005-0000-0000-000048180000}"/>
    <cellStyle name="Percent 3 5 7 10" xfId="6842" xr:uid="{00000000-0005-0000-0000-000049180000}"/>
    <cellStyle name="Percent 3 5 7 11" xfId="6843" xr:uid="{00000000-0005-0000-0000-00004A180000}"/>
    <cellStyle name="Percent 3 5 7 12" xfId="6841" xr:uid="{00000000-0005-0000-0000-00004B180000}"/>
    <cellStyle name="Percent 3 5 7 2" xfId="6844" xr:uid="{00000000-0005-0000-0000-00004C180000}"/>
    <cellStyle name="Percent 3 5 7 2 2" xfId="6845" xr:uid="{00000000-0005-0000-0000-00004D180000}"/>
    <cellStyle name="Percent 3 5 7 2 2 2" xfId="6846" xr:uid="{00000000-0005-0000-0000-00004E180000}"/>
    <cellStyle name="Percent 3 5 7 2 3" xfId="6847" xr:uid="{00000000-0005-0000-0000-00004F180000}"/>
    <cellStyle name="Percent 3 5 7 2 3 2" xfId="6848" xr:uid="{00000000-0005-0000-0000-000050180000}"/>
    <cellStyle name="Percent 3 5 7 2 4" xfId="6849" xr:uid="{00000000-0005-0000-0000-000051180000}"/>
    <cellStyle name="Percent 3 5 7 2 5" xfId="6850" xr:uid="{00000000-0005-0000-0000-000052180000}"/>
    <cellStyle name="Percent 3 5 7 3" xfId="6851" xr:uid="{00000000-0005-0000-0000-000053180000}"/>
    <cellStyle name="Percent 3 5 7 3 2" xfId="6852" xr:uid="{00000000-0005-0000-0000-000054180000}"/>
    <cellStyle name="Percent 3 5 7 3 2 2" xfId="6853" xr:uid="{00000000-0005-0000-0000-000055180000}"/>
    <cellStyle name="Percent 3 5 7 3 3" xfId="6854" xr:uid="{00000000-0005-0000-0000-000056180000}"/>
    <cellStyle name="Percent 3 5 7 3 3 2" xfId="6855" xr:uid="{00000000-0005-0000-0000-000057180000}"/>
    <cellStyle name="Percent 3 5 7 3 4" xfId="6856" xr:uid="{00000000-0005-0000-0000-000058180000}"/>
    <cellStyle name="Percent 3 5 7 4" xfId="6857" xr:uid="{00000000-0005-0000-0000-000059180000}"/>
    <cellStyle name="Percent 3 5 7 4 2" xfId="6858" xr:uid="{00000000-0005-0000-0000-00005A180000}"/>
    <cellStyle name="Percent 3 5 7 4 2 2" xfId="6859" xr:uid="{00000000-0005-0000-0000-00005B180000}"/>
    <cellStyle name="Percent 3 5 7 4 3" xfId="6860" xr:uid="{00000000-0005-0000-0000-00005C180000}"/>
    <cellStyle name="Percent 3 5 7 4 3 2" xfId="6861" xr:uid="{00000000-0005-0000-0000-00005D180000}"/>
    <cellStyle name="Percent 3 5 7 4 4" xfId="6862" xr:uid="{00000000-0005-0000-0000-00005E180000}"/>
    <cellStyle name="Percent 3 5 7 5" xfId="6863" xr:uid="{00000000-0005-0000-0000-00005F180000}"/>
    <cellStyle name="Percent 3 5 7 5 2" xfId="6864" xr:uid="{00000000-0005-0000-0000-000060180000}"/>
    <cellStyle name="Percent 3 5 7 5 2 2" xfId="6865" xr:uid="{00000000-0005-0000-0000-000061180000}"/>
    <cellStyle name="Percent 3 5 7 5 3" xfId="6866" xr:uid="{00000000-0005-0000-0000-000062180000}"/>
    <cellStyle name="Percent 3 5 7 5 3 2" xfId="6867" xr:uid="{00000000-0005-0000-0000-000063180000}"/>
    <cellStyle name="Percent 3 5 7 5 4" xfId="6868" xr:uid="{00000000-0005-0000-0000-000064180000}"/>
    <cellStyle name="Percent 3 5 7 5 4 2" xfId="6869" xr:uid="{00000000-0005-0000-0000-000065180000}"/>
    <cellStyle name="Percent 3 5 7 5 5" xfId="6870" xr:uid="{00000000-0005-0000-0000-000066180000}"/>
    <cellStyle name="Percent 3 5 7 6" xfId="6871" xr:uid="{00000000-0005-0000-0000-000067180000}"/>
    <cellStyle name="Percent 3 5 7 6 2" xfId="6872" xr:uid="{00000000-0005-0000-0000-000068180000}"/>
    <cellStyle name="Percent 3 5 7 6 2 2" xfId="6873" xr:uid="{00000000-0005-0000-0000-000069180000}"/>
    <cellStyle name="Percent 3 5 7 6 3" xfId="6874" xr:uid="{00000000-0005-0000-0000-00006A180000}"/>
    <cellStyle name="Percent 3 5 7 6 3 2" xfId="6875" xr:uid="{00000000-0005-0000-0000-00006B180000}"/>
    <cellStyle name="Percent 3 5 7 6 4" xfId="6876" xr:uid="{00000000-0005-0000-0000-00006C180000}"/>
    <cellStyle name="Percent 3 5 7 7" xfId="6877" xr:uid="{00000000-0005-0000-0000-00006D180000}"/>
    <cellStyle name="Percent 3 5 7 7 2" xfId="6878" xr:uid="{00000000-0005-0000-0000-00006E180000}"/>
    <cellStyle name="Percent 3 5 7 8" xfId="6879" xr:uid="{00000000-0005-0000-0000-00006F180000}"/>
    <cellStyle name="Percent 3 5 7 8 2" xfId="6880" xr:uid="{00000000-0005-0000-0000-000070180000}"/>
    <cellStyle name="Percent 3 5 7 9" xfId="6881" xr:uid="{00000000-0005-0000-0000-000071180000}"/>
    <cellStyle name="Percent 3 5 7 9 2" xfId="6882" xr:uid="{00000000-0005-0000-0000-000072180000}"/>
    <cellStyle name="Percent 3 5 8" xfId="2908" xr:uid="{00000000-0005-0000-0000-000073180000}"/>
    <cellStyle name="Percent 3 5 8 10" xfId="6884" xr:uid="{00000000-0005-0000-0000-000074180000}"/>
    <cellStyle name="Percent 3 5 8 11" xfId="6885" xr:uid="{00000000-0005-0000-0000-000075180000}"/>
    <cellStyle name="Percent 3 5 8 12" xfId="6883" xr:uid="{00000000-0005-0000-0000-000076180000}"/>
    <cellStyle name="Percent 3 5 8 2" xfId="6886" xr:uid="{00000000-0005-0000-0000-000077180000}"/>
    <cellStyle name="Percent 3 5 8 2 2" xfId="6887" xr:uid="{00000000-0005-0000-0000-000078180000}"/>
    <cellStyle name="Percent 3 5 8 2 2 2" xfId="6888" xr:uid="{00000000-0005-0000-0000-000079180000}"/>
    <cellStyle name="Percent 3 5 8 2 3" xfId="6889" xr:uid="{00000000-0005-0000-0000-00007A180000}"/>
    <cellStyle name="Percent 3 5 8 2 3 2" xfId="6890" xr:uid="{00000000-0005-0000-0000-00007B180000}"/>
    <cellStyle name="Percent 3 5 8 2 4" xfId="6891" xr:uid="{00000000-0005-0000-0000-00007C180000}"/>
    <cellStyle name="Percent 3 5 8 2 5" xfId="6892" xr:uid="{00000000-0005-0000-0000-00007D180000}"/>
    <cellStyle name="Percent 3 5 8 3" xfId="6893" xr:uid="{00000000-0005-0000-0000-00007E180000}"/>
    <cellStyle name="Percent 3 5 8 3 2" xfId="6894" xr:uid="{00000000-0005-0000-0000-00007F180000}"/>
    <cellStyle name="Percent 3 5 8 3 2 2" xfId="6895" xr:uid="{00000000-0005-0000-0000-000080180000}"/>
    <cellStyle name="Percent 3 5 8 3 3" xfId="6896" xr:uid="{00000000-0005-0000-0000-000081180000}"/>
    <cellStyle name="Percent 3 5 8 3 3 2" xfId="6897" xr:uid="{00000000-0005-0000-0000-000082180000}"/>
    <cellStyle name="Percent 3 5 8 3 4" xfId="6898" xr:uid="{00000000-0005-0000-0000-000083180000}"/>
    <cellStyle name="Percent 3 5 8 4" xfId="6899" xr:uid="{00000000-0005-0000-0000-000084180000}"/>
    <cellStyle name="Percent 3 5 8 4 2" xfId="6900" xr:uid="{00000000-0005-0000-0000-000085180000}"/>
    <cellStyle name="Percent 3 5 8 4 2 2" xfId="6901" xr:uid="{00000000-0005-0000-0000-000086180000}"/>
    <cellStyle name="Percent 3 5 8 4 3" xfId="6902" xr:uid="{00000000-0005-0000-0000-000087180000}"/>
    <cellStyle name="Percent 3 5 8 4 3 2" xfId="6903" xr:uid="{00000000-0005-0000-0000-000088180000}"/>
    <cellStyle name="Percent 3 5 8 4 4" xfId="6904" xr:uid="{00000000-0005-0000-0000-000089180000}"/>
    <cellStyle name="Percent 3 5 8 5" xfId="6905" xr:uid="{00000000-0005-0000-0000-00008A180000}"/>
    <cellStyle name="Percent 3 5 8 5 2" xfId="6906" xr:uid="{00000000-0005-0000-0000-00008B180000}"/>
    <cellStyle name="Percent 3 5 8 5 2 2" xfId="6907" xr:uid="{00000000-0005-0000-0000-00008C180000}"/>
    <cellStyle name="Percent 3 5 8 5 3" xfId="6908" xr:uid="{00000000-0005-0000-0000-00008D180000}"/>
    <cellStyle name="Percent 3 5 8 5 3 2" xfId="6909" xr:uid="{00000000-0005-0000-0000-00008E180000}"/>
    <cellStyle name="Percent 3 5 8 5 4" xfId="6910" xr:uid="{00000000-0005-0000-0000-00008F180000}"/>
    <cellStyle name="Percent 3 5 8 5 4 2" xfId="6911" xr:uid="{00000000-0005-0000-0000-000090180000}"/>
    <cellStyle name="Percent 3 5 8 5 5" xfId="6912" xr:uid="{00000000-0005-0000-0000-000091180000}"/>
    <cellStyle name="Percent 3 5 8 6" xfId="6913" xr:uid="{00000000-0005-0000-0000-000092180000}"/>
    <cellStyle name="Percent 3 5 8 6 2" xfId="6914" xr:uid="{00000000-0005-0000-0000-000093180000}"/>
    <cellStyle name="Percent 3 5 8 6 2 2" xfId="6915" xr:uid="{00000000-0005-0000-0000-000094180000}"/>
    <cellStyle name="Percent 3 5 8 6 3" xfId="6916" xr:uid="{00000000-0005-0000-0000-000095180000}"/>
    <cellStyle name="Percent 3 5 8 6 3 2" xfId="6917" xr:uid="{00000000-0005-0000-0000-000096180000}"/>
    <cellStyle name="Percent 3 5 8 6 4" xfId="6918" xr:uid="{00000000-0005-0000-0000-000097180000}"/>
    <cellStyle name="Percent 3 5 8 7" xfId="6919" xr:uid="{00000000-0005-0000-0000-000098180000}"/>
    <cellStyle name="Percent 3 5 8 7 2" xfId="6920" xr:uid="{00000000-0005-0000-0000-000099180000}"/>
    <cellStyle name="Percent 3 5 8 8" xfId="6921" xr:uid="{00000000-0005-0000-0000-00009A180000}"/>
    <cellStyle name="Percent 3 5 8 8 2" xfId="6922" xr:uid="{00000000-0005-0000-0000-00009B180000}"/>
    <cellStyle name="Percent 3 5 8 9" xfId="6923" xr:uid="{00000000-0005-0000-0000-00009C180000}"/>
    <cellStyle name="Percent 3 5 8 9 2" xfId="6924" xr:uid="{00000000-0005-0000-0000-00009D180000}"/>
    <cellStyle name="Percent 3 5 9" xfId="2909" xr:uid="{00000000-0005-0000-0000-00009E180000}"/>
    <cellStyle name="Percent 3 5 9 10" xfId="6926" xr:uid="{00000000-0005-0000-0000-00009F180000}"/>
    <cellStyle name="Percent 3 5 9 11" xfId="6927" xr:uid="{00000000-0005-0000-0000-0000A0180000}"/>
    <cellStyle name="Percent 3 5 9 12" xfId="6925" xr:uid="{00000000-0005-0000-0000-0000A1180000}"/>
    <cellStyle name="Percent 3 5 9 2" xfId="6928" xr:uid="{00000000-0005-0000-0000-0000A2180000}"/>
    <cellStyle name="Percent 3 5 9 2 2" xfId="6929" xr:uid="{00000000-0005-0000-0000-0000A3180000}"/>
    <cellStyle name="Percent 3 5 9 2 2 2" xfId="6930" xr:uid="{00000000-0005-0000-0000-0000A4180000}"/>
    <cellStyle name="Percent 3 5 9 2 3" xfId="6931" xr:uid="{00000000-0005-0000-0000-0000A5180000}"/>
    <cellStyle name="Percent 3 5 9 2 3 2" xfId="6932" xr:uid="{00000000-0005-0000-0000-0000A6180000}"/>
    <cellStyle name="Percent 3 5 9 2 4" xfId="6933" xr:uid="{00000000-0005-0000-0000-0000A7180000}"/>
    <cellStyle name="Percent 3 5 9 2 5" xfId="6934" xr:uid="{00000000-0005-0000-0000-0000A8180000}"/>
    <cellStyle name="Percent 3 5 9 3" xfId="6935" xr:uid="{00000000-0005-0000-0000-0000A9180000}"/>
    <cellStyle name="Percent 3 5 9 3 2" xfId="6936" xr:uid="{00000000-0005-0000-0000-0000AA180000}"/>
    <cellStyle name="Percent 3 5 9 3 2 2" xfId="6937" xr:uid="{00000000-0005-0000-0000-0000AB180000}"/>
    <cellStyle name="Percent 3 5 9 3 3" xfId="6938" xr:uid="{00000000-0005-0000-0000-0000AC180000}"/>
    <cellStyle name="Percent 3 5 9 3 3 2" xfId="6939" xr:uid="{00000000-0005-0000-0000-0000AD180000}"/>
    <cellStyle name="Percent 3 5 9 3 4" xfId="6940" xr:uid="{00000000-0005-0000-0000-0000AE180000}"/>
    <cellStyle name="Percent 3 5 9 4" xfId="6941" xr:uid="{00000000-0005-0000-0000-0000AF180000}"/>
    <cellStyle name="Percent 3 5 9 4 2" xfId="6942" xr:uid="{00000000-0005-0000-0000-0000B0180000}"/>
    <cellStyle name="Percent 3 5 9 4 2 2" xfId="6943" xr:uid="{00000000-0005-0000-0000-0000B1180000}"/>
    <cellStyle name="Percent 3 5 9 4 3" xfId="6944" xr:uid="{00000000-0005-0000-0000-0000B2180000}"/>
    <cellStyle name="Percent 3 5 9 4 3 2" xfId="6945" xr:uid="{00000000-0005-0000-0000-0000B3180000}"/>
    <cellStyle name="Percent 3 5 9 4 4" xfId="6946" xr:uid="{00000000-0005-0000-0000-0000B4180000}"/>
    <cellStyle name="Percent 3 5 9 5" xfId="6947" xr:uid="{00000000-0005-0000-0000-0000B5180000}"/>
    <cellStyle name="Percent 3 5 9 5 2" xfId="6948" xr:uid="{00000000-0005-0000-0000-0000B6180000}"/>
    <cellStyle name="Percent 3 5 9 5 2 2" xfId="6949" xr:uid="{00000000-0005-0000-0000-0000B7180000}"/>
    <cellStyle name="Percent 3 5 9 5 3" xfId="6950" xr:uid="{00000000-0005-0000-0000-0000B8180000}"/>
    <cellStyle name="Percent 3 5 9 5 3 2" xfId="6951" xr:uid="{00000000-0005-0000-0000-0000B9180000}"/>
    <cellStyle name="Percent 3 5 9 5 4" xfId="6952" xr:uid="{00000000-0005-0000-0000-0000BA180000}"/>
    <cellStyle name="Percent 3 5 9 5 4 2" xfId="6953" xr:uid="{00000000-0005-0000-0000-0000BB180000}"/>
    <cellStyle name="Percent 3 5 9 5 5" xfId="6954" xr:uid="{00000000-0005-0000-0000-0000BC180000}"/>
    <cellStyle name="Percent 3 5 9 6" xfId="6955" xr:uid="{00000000-0005-0000-0000-0000BD180000}"/>
    <cellStyle name="Percent 3 5 9 6 2" xfId="6956" xr:uid="{00000000-0005-0000-0000-0000BE180000}"/>
    <cellStyle name="Percent 3 5 9 6 2 2" xfId="6957" xr:uid="{00000000-0005-0000-0000-0000BF180000}"/>
    <cellStyle name="Percent 3 5 9 6 3" xfId="6958" xr:uid="{00000000-0005-0000-0000-0000C0180000}"/>
    <cellStyle name="Percent 3 5 9 6 3 2" xfId="6959" xr:uid="{00000000-0005-0000-0000-0000C1180000}"/>
    <cellStyle name="Percent 3 5 9 6 4" xfId="6960" xr:uid="{00000000-0005-0000-0000-0000C2180000}"/>
    <cellStyle name="Percent 3 5 9 7" xfId="6961" xr:uid="{00000000-0005-0000-0000-0000C3180000}"/>
    <cellStyle name="Percent 3 5 9 7 2" xfId="6962" xr:uid="{00000000-0005-0000-0000-0000C4180000}"/>
    <cellStyle name="Percent 3 5 9 8" xfId="6963" xr:uid="{00000000-0005-0000-0000-0000C5180000}"/>
    <cellStyle name="Percent 3 5 9 8 2" xfId="6964" xr:uid="{00000000-0005-0000-0000-0000C6180000}"/>
    <cellStyle name="Percent 3 5 9 9" xfId="6965" xr:uid="{00000000-0005-0000-0000-0000C7180000}"/>
    <cellStyle name="Percent 3 5 9 9 2" xfId="6966" xr:uid="{00000000-0005-0000-0000-0000C8180000}"/>
    <cellStyle name="Percent 3 6" xfId="284" xr:uid="{00000000-0005-0000-0000-0000C9180000}"/>
    <cellStyle name="Percent 3 6 10" xfId="2910" xr:uid="{00000000-0005-0000-0000-0000CA180000}"/>
    <cellStyle name="Percent 3 6 10 10" xfId="6969" xr:uid="{00000000-0005-0000-0000-0000CB180000}"/>
    <cellStyle name="Percent 3 6 10 11" xfId="6970" xr:uid="{00000000-0005-0000-0000-0000CC180000}"/>
    <cellStyle name="Percent 3 6 10 12" xfId="6968" xr:uid="{00000000-0005-0000-0000-0000CD180000}"/>
    <cellStyle name="Percent 3 6 10 2" xfId="6971" xr:uid="{00000000-0005-0000-0000-0000CE180000}"/>
    <cellStyle name="Percent 3 6 10 2 2" xfId="6972" xr:uid="{00000000-0005-0000-0000-0000CF180000}"/>
    <cellStyle name="Percent 3 6 10 2 2 2" xfId="6973" xr:uid="{00000000-0005-0000-0000-0000D0180000}"/>
    <cellStyle name="Percent 3 6 10 2 3" xfId="6974" xr:uid="{00000000-0005-0000-0000-0000D1180000}"/>
    <cellStyle name="Percent 3 6 10 2 3 2" xfId="6975" xr:uid="{00000000-0005-0000-0000-0000D2180000}"/>
    <cellStyle name="Percent 3 6 10 2 4" xfId="6976" xr:uid="{00000000-0005-0000-0000-0000D3180000}"/>
    <cellStyle name="Percent 3 6 10 2 5" xfId="6977" xr:uid="{00000000-0005-0000-0000-0000D4180000}"/>
    <cellStyle name="Percent 3 6 10 3" xfId="6978" xr:uid="{00000000-0005-0000-0000-0000D5180000}"/>
    <cellStyle name="Percent 3 6 10 3 2" xfId="6979" xr:uid="{00000000-0005-0000-0000-0000D6180000}"/>
    <cellStyle name="Percent 3 6 10 3 2 2" xfId="6980" xr:uid="{00000000-0005-0000-0000-0000D7180000}"/>
    <cellStyle name="Percent 3 6 10 3 3" xfId="6981" xr:uid="{00000000-0005-0000-0000-0000D8180000}"/>
    <cellStyle name="Percent 3 6 10 3 3 2" xfId="6982" xr:uid="{00000000-0005-0000-0000-0000D9180000}"/>
    <cellStyle name="Percent 3 6 10 3 4" xfId="6983" xr:uid="{00000000-0005-0000-0000-0000DA180000}"/>
    <cellStyle name="Percent 3 6 10 4" xfId="6984" xr:uid="{00000000-0005-0000-0000-0000DB180000}"/>
    <cellStyle name="Percent 3 6 10 4 2" xfId="6985" xr:uid="{00000000-0005-0000-0000-0000DC180000}"/>
    <cellStyle name="Percent 3 6 10 4 2 2" xfId="6986" xr:uid="{00000000-0005-0000-0000-0000DD180000}"/>
    <cellStyle name="Percent 3 6 10 4 3" xfId="6987" xr:uid="{00000000-0005-0000-0000-0000DE180000}"/>
    <cellStyle name="Percent 3 6 10 4 3 2" xfId="6988" xr:uid="{00000000-0005-0000-0000-0000DF180000}"/>
    <cellStyle name="Percent 3 6 10 4 4" xfId="6989" xr:uid="{00000000-0005-0000-0000-0000E0180000}"/>
    <cellStyle name="Percent 3 6 10 5" xfId="6990" xr:uid="{00000000-0005-0000-0000-0000E1180000}"/>
    <cellStyle name="Percent 3 6 10 5 2" xfId="6991" xr:uid="{00000000-0005-0000-0000-0000E2180000}"/>
    <cellStyle name="Percent 3 6 10 5 2 2" xfId="6992" xr:uid="{00000000-0005-0000-0000-0000E3180000}"/>
    <cellStyle name="Percent 3 6 10 5 3" xfId="6993" xr:uid="{00000000-0005-0000-0000-0000E4180000}"/>
    <cellStyle name="Percent 3 6 10 5 3 2" xfId="6994" xr:uid="{00000000-0005-0000-0000-0000E5180000}"/>
    <cellStyle name="Percent 3 6 10 5 4" xfId="6995" xr:uid="{00000000-0005-0000-0000-0000E6180000}"/>
    <cellStyle name="Percent 3 6 10 5 4 2" xfId="6996" xr:uid="{00000000-0005-0000-0000-0000E7180000}"/>
    <cellStyle name="Percent 3 6 10 5 5" xfId="6997" xr:uid="{00000000-0005-0000-0000-0000E8180000}"/>
    <cellStyle name="Percent 3 6 10 6" xfId="6998" xr:uid="{00000000-0005-0000-0000-0000E9180000}"/>
    <cellStyle name="Percent 3 6 10 6 2" xfId="6999" xr:uid="{00000000-0005-0000-0000-0000EA180000}"/>
    <cellStyle name="Percent 3 6 10 6 2 2" xfId="7000" xr:uid="{00000000-0005-0000-0000-0000EB180000}"/>
    <cellStyle name="Percent 3 6 10 6 3" xfId="7001" xr:uid="{00000000-0005-0000-0000-0000EC180000}"/>
    <cellStyle name="Percent 3 6 10 6 3 2" xfId="7002" xr:uid="{00000000-0005-0000-0000-0000ED180000}"/>
    <cellStyle name="Percent 3 6 10 6 4" xfId="7003" xr:uid="{00000000-0005-0000-0000-0000EE180000}"/>
    <cellStyle name="Percent 3 6 10 7" xfId="7004" xr:uid="{00000000-0005-0000-0000-0000EF180000}"/>
    <cellStyle name="Percent 3 6 10 7 2" xfId="7005" xr:uid="{00000000-0005-0000-0000-0000F0180000}"/>
    <cellStyle name="Percent 3 6 10 8" xfId="7006" xr:uid="{00000000-0005-0000-0000-0000F1180000}"/>
    <cellStyle name="Percent 3 6 10 8 2" xfId="7007" xr:uid="{00000000-0005-0000-0000-0000F2180000}"/>
    <cellStyle name="Percent 3 6 10 9" xfId="7008" xr:uid="{00000000-0005-0000-0000-0000F3180000}"/>
    <cellStyle name="Percent 3 6 10 9 2" xfId="7009" xr:uid="{00000000-0005-0000-0000-0000F4180000}"/>
    <cellStyle name="Percent 3 6 11" xfId="2911" xr:uid="{00000000-0005-0000-0000-0000F5180000}"/>
    <cellStyle name="Percent 3 6 11 10" xfId="7011" xr:uid="{00000000-0005-0000-0000-0000F6180000}"/>
    <cellStyle name="Percent 3 6 11 11" xfId="7012" xr:uid="{00000000-0005-0000-0000-0000F7180000}"/>
    <cellStyle name="Percent 3 6 11 12" xfId="7010" xr:uid="{00000000-0005-0000-0000-0000F8180000}"/>
    <cellStyle name="Percent 3 6 11 2" xfId="7013" xr:uid="{00000000-0005-0000-0000-0000F9180000}"/>
    <cellStyle name="Percent 3 6 11 2 2" xfId="7014" xr:uid="{00000000-0005-0000-0000-0000FA180000}"/>
    <cellStyle name="Percent 3 6 11 2 2 2" xfId="7015" xr:uid="{00000000-0005-0000-0000-0000FB180000}"/>
    <cellStyle name="Percent 3 6 11 2 3" xfId="7016" xr:uid="{00000000-0005-0000-0000-0000FC180000}"/>
    <cellStyle name="Percent 3 6 11 2 3 2" xfId="7017" xr:uid="{00000000-0005-0000-0000-0000FD180000}"/>
    <cellStyle name="Percent 3 6 11 2 4" xfId="7018" xr:uid="{00000000-0005-0000-0000-0000FE180000}"/>
    <cellStyle name="Percent 3 6 11 2 5" xfId="7019" xr:uid="{00000000-0005-0000-0000-0000FF180000}"/>
    <cellStyle name="Percent 3 6 11 3" xfId="7020" xr:uid="{00000000-0005-0000-0000-000000190000}"/>
    <cellStyle name="Percent 3 6 11 3 2" xfId="7021" xr:uid="{00000000-0005-0000-0000-000001190000}"/>
    <cellStyle name="Percent 3 6 11 3 2 2" xfId="7022" xr:uid="{00000000-0005-0000-0000-000002190000}"/>
    <cellStyle name="Percent 3 6 11 3 3" xfId="7023" xr:uid="{00000000-0005-0000-0000-000003190000}"/>
    <cellStyle name="Percent 3 6 11 3 3 2" xfId="7024" xr:uid="{00000000-0005-0000-0000-000004190000}"/>
    <cellStyle name="Percent 3 6 11 3 4" xfId="7025" xr:uid="{00000000-0005-0000-0000-000005190000}"/>
    <cellStyle name="Percent 3 6 11 4" xfId="7026" xr:uid="{00000000-0005-0000-0000-000006190000}"/>
    <cellStyle name="Percent 3 6 11 4 2" xfId="7027" xr:uid="{00000000-0005-0000-0000-000007190000}"/>
    <cellStyle name="Percent 3 6 11 4 2 2" xfId="7028" xr:uid="{00000000-0005-0000-0000-000008190000}"/>
    <cellStyle name="Percent 3 6 11 4 3" xfId="7029" xr:uid="{00000000-0005-0000-0000-000009190000}"/>
    <cellStyle name="Percent 3 6 11 4 3 2" xfId="7030" xr:uid="{00000000-0005-0000-0000-00000A190000}"/>
    <cellStyle name="Percent 3 6 11 4 4" xfId="7031" xr:uid="{00000000-0005-0000-0000-00000B190000}"/>
    <cellStyle name="Percent 3 6 11 5" xfId="7032" xr:uid="{00000000-0005-0000-0000-00000C190000}"/>
    <cellStyle name="Percent 3 6 11 5 2" xfId="7033" xr:uid="{00000000-0005-0000-0000-00000D190000}"/>
    <cellStyle name="Percent 3 6 11 5 2 2" xfId="7034" xr:uid="{00000000-0005-0000-0000-00000E190000}"/>
    <cellStyle name="Percent 3 6 11 5 3" xfId="7035" xr:uid="{00000000-0005-0000-0000-00000F190000}"/>
    <cellStyle name="Percent 3 6 11 5 3 2" xfId="7036" xr:uid="{00000000-0005-0000-0000-000010190000}"/>
    <cellStyle name="Percent 3 6 11 5 4" xfId="7037" xr:uid="{00000000-0005-0000-0000-000011190000}"/>
    <cellStyle name="Percent 3 6 11 5 4 2" xfId="7038" xr:uid="{00000000-0005-0000-0000-000012190000}"/>
    <cellStyle name="Percent 3 6 11 5 5" xfId="7039" xr:uid="{00000000-0005-0000-0000-000013190000}"/>
    <cellStyle name="Percent 3 6 11 6" xfId="7040" xr:uid="{00000000-0005-0000-0000-000014190000}"/>
    <cellStyle name="Percent 3 6 11 6 2" xfId="7041" xr:uid="{00000000-0005-0000-0000-000015190000}"/>
    <cellStyle name="Percent 3 6 11 6 2 2" xfId="7042" xr:uid="{00000000-0005-0000-0000-000016190000}"/>
    <cellStyle name="Percent 3 6 11 6 3" xfId="7043" xr:uid="{00000000-0005-0000-0000-000017190000}"/>
    <cellStyle name="Percent 3 6 11 6 3 2" xfId="7044" xr:uid="{00000000-0005-0000-0000-000018190000}"/>
    <cellStyle name="Percent 3 6 11 6 4" xfId="7045" xr:uid="{00000000-0005-0000-0000-000019190000}"/>
    <cellStyle name="Percent 3 6 11 7" xfId="7046" xr:uid="{00000000-0005-0000-0000-00001A190000}"/>
    <cellStyle name="Percent 3 6 11 7 2" xfId="7047" xr:uid="{00000000-0005-0000-0000-00001B190000}"/>
    <cellStyle name="Percent 3 6 11 8" xfId="7048" xr:uid="{00000000-0005-0000-0000-00001C190000}"/>
    <cellStyle name="Percent 3 6 11 8 2" xfId="7049" xr:uid="{00000000-0005-0000-0000-00001D190000}"/>
    <cellStyle name="Percent 3 6 11 9" xfId="7050" xr:uid="{00000000-0005-0000-0000-00001E190000}"/>
    <cellStyle name="Percent 3 6 11 9 2" xfId="7051" xr:uid="{00000000-0005-0000-0000-00001F190000}"/>
    <cellStyle name="Percent 3 6 12" xfId="2912" xr:uid="{00000000-0005-0000-0000-000020190000}"/>
    <cellStyle name="Percent 3 6 12 10" xfId="7053" xr:uid="{00000000-0005-0000-0000-000021190000}"/>
    <cellStyle name="Percent 3 6 12 11" xfId="7054" xr:uid="{00000000-0005-0000-0000-000022190000}"/>
    <cellStyle name="Percent 3 6 12 12" xfId="7052" xr:uid="{00000000-0005-0000-0000-000023190000}"/>
    <cellStyle name="Percent 3 6 12 2" xfId="7055" xr:uid="{00000000-0005-0000-0000-000024190000}"/>
    <cellStyle name="Percent 3 6 12 2 2" xfId="7056" xr:uid="{00000000-0005-0000-0000-000025190000}"/>
    <cellStyle name="Percent 3 6 12 2 2 2" xfId="7057" xr:uid="{00000000-0005-0000-0000-000026190000}"/>
    <cellStyle name="Percent 3 6 12 2 3" xfId="7058" xr:uid="{00000000-0005-0000-0000-000027190000}"/>
    <cellStyle name="Percent 3 6 12 2 3 2" xfId="7059" xr:uid="{00000000-0005-0000-0000-000028190000}"/>
    <cellStyle name="Percent 3 6 12 2 4" xfId="7060" xr:uid="{00000000-0005-0000-0000-000029190000}"/>
    <cellStyle name="Percent 3 6 12 2 5" xfId="7061" xr:uid="{00000000-0005-0000-0000-00002A190000}"/>
    <cellStyle name="Percent 3 6 12 3" xfId="7062" xr:uid="{00000000-0005-0000-0000-00002B190000}"/>
    <cellStyle name="Percent 3 6 12 3 2" xfId="7063" xr:uid="{00000000-0005-0000-0000-00002C190000}"/>
    <cellStyle name="Percent 3 6 12 3 2 2" xfId="7064" xr:uid="{00000000-0005-0000-0000-00002D190000}"/>
    <cellStyle name="Percent 3 6 12 3 3" xfId="7065" xr:uid="{00000000-0005-0000-0000-00002E190000}"/>
    <cellStyle name="Percent 3 6 12 3 3 2" xfId="7066" xr:uid="{00000000-0005-0000-0000-00002F190000}"/>
    <cellStyle name="Percent 3 6 12 3 4" xfId="7067" xr:uid="{00000000-0005-0000-0000-000030190000}"/>
    <cellStyle name="Percent 3 6 12 4" xfId="7068" xr:uid="{00000000-0005-0000-0000-000031190000}"/>
    <cellStyle name="Percent 3 6 12 4 2" xfId="7069" xr:uid="{00000000-0005-0000-0000-000032190000}"/>
    <cellStyle name="Percent 3 6 12 4 2 2" xfId="7070" xr:uid="{00000000-0005-0000-0000-000033190000}"/>
    <cellStyle name="Percent 3 6 12 4 3" xfId="7071" xr:uid="{00000000-0005-0000-0000-000034190000}"/>
    <cellStyle name="Percent 3 6 12 4 3 2" xfId="7072" xr:uid="{00000000-0005-0000-0000-000035190000}"/>
    <cellStyle name="Percent 3 6 12 4 4" xfId="7073" xr:uid="{00000000-0005-0000-0000-000036190000}"/>
    <cellStyle name="Percent 3 6 12 5" xfId="7074" xr:uid="{00000000-0005-0000-0000-000037190000}"/>
    <cellStyle name="Percent 3 6 12 5 2" xfId="7075" xr:uid="{00000000-0005-0000-0000-000038190000}"/>
    <cellStyle name="Percent 3 6 12 5 2 2" xfId="7076" xr:uid="{00000000-0005-0000-0000-000039190000}"/>
    <cellStyle name="Percent 3 6 12 5 3" xfId="7077" xr:uid="{00000000-0005-0000-0000-00003A190000}"/>
    <cellStyle name="Percent 3 6 12 5 3 2" xfId="7078" xr:uid="{00000000-0005-0000-0000-00003B190000}"/>
    <cellStyle name="Percent 3 6 12 5 4" xfId="7079" xr:uid="{00000000-0005-0000-0000-00003C190000}"/>
    <cellStyle name="Percent 3 6 12 5 4 2" xfId="7080" xr:uid="{00000000-0005-0000-0000-00003D190000}"/>
    <cellStyle name="Percent 3 6 12 5 5" xfId="7081" xr:uid="{00000000-0005-0000-0000-00003E190000}"/>
    <cellStyle name="Percent 3 6 12 6" xfId="7082" xr:uid="{00000000-0005-0000-0000-00003F190000}"/>
    <cellStyle name="Percent 3 6 12 6 2" xfId="7083" xr:uid="{00000000-0005-0000-0000-000040190000}"/>
    <cellStyle name="Percent 3 6 12 6 2 2" xfId="7084" xr:uid="{00000000-0005-0000-0000-000041190000}"/>
    <cellStyle name="Percent 3 6 12 6 3" xfId="7085" xr:uid="{00000000-0005-0000-0000-000042190000}"/>
    <cellStyle name="Percent 3 6 12 6 3 2" xfId="7086" xr:uid="{00000000-0005-0000-0000-000043190000}"/>
    <cellStyle name="Percent 3 6 12 6 4" xfId="7087" xr:uid="{00000000-0005-0000-0000-000044190000}"/>
    <cellStyle name="Percent 3 6 12 7" xfId="7088" xr:uid="{00000000-0005-0000-0000-000045190000}"/>
    <cellStyle name="Percent 3 6 12 7 2" xfId="7089" xr:uid="{00000000-0005-0000-0000-000046190000}"/>
    <cellStyle name="Percent 3 6 12 8" xfId="7090" xr:uid="{00000000-0005-0000-0000-000047190000}"/>
    <cellStyle name="Percent 3 6 12 8 2" xfId="7091" xr:uid="{00000000-0005-0000-0000-000048190000}"/>
    <cellStyle name="Percent 3 6 12 9" xfId="7092" xr:uid="{00000000-0005-0000-0000-000049190000}"/>
    <cellStyle name="Percent 3 6 12 9 2" xfId="7093" xr:uid="{00000000-0005-0000-0000-00004A190000}"/>
    <cellStyle name="Percent 3 6 13" xfId="2913" xr:uid="{00000000-0005-0000-0000-00004B190000}"/>
    <cellStyle name="Percent 3 6 13 10" xfId="7095" xr:uid="{00000000-0005-0000-0000-00004C190000}"/>
    <cellStyle name="Percent 3 6 13 11" xfId="7096" xr:uid="{00000000-0005-0000-0000-00004D190000}"/>
    <cellStyle name="Percent 3 6 13 12" xfId="7094" xr:uid="{00000000-0005-0000-0000-00004E190000}"/>
    <cellStyle name="Percent 3 6 13 2" xfId="7097" xr:uid="{00000000-0005-0000-0000-00004F190000}"/>
    <cellStyle name="Percent 3 6 13 2 2" xfId="7098" xr:uid="{00000000-0005-0000-0000-000050190000}"/>
    <cellStyle name="Percent 3 6 13 2 2 2" xfId="7099" xr:uid="{00000000-0005-0000-0000-000051190000}"/>
    <cellStyle name="Percent 3 6 13 2 3" xfId="7100" xr:uid="{00000000-0005-0000-0000-000052190000}"/>
    <cellStyle name="Percent 3 6 13 2 3 2" xfId="7101" xr:uid="{00000000-0005-0000-0000-000053190000}"/>
    <cellStyle name="Percent 3 6 13 2 4" xfId="7102" xr:uid="{00000000-0005-0000-0000-000054190000}"/>
    <cellStyle name="Percent 3 6 13 2 5" xfId="7103" xr:uid="{00000000-0005-0000-0000-000055190000}"/>
    <cellStyle name="Percent 3 6 13 3" xfId="7104" xr:uid="{00000000-0005-0000-0000-000056190000}"/>
    <cellStyle name="Percent 3 6 13 3 2" xfId="7105" xr:uid="{00000000-0005-0000-0000-000057190000}"/>
    <cellStyle name="Percent 3 6 13 3 2 2" xfId="7106" xr:uid="{00000000-0005-0000-0000-000058190000}"/>
    <cellStyle name="Percent 3 6 13 3 3" xfId="7107" xr:uid="{00000000-0005-0000-0000-000059190000}"/>
    <cellStyle name="Percent 3 6 13 3 3 2" xfId="7108" xr:uid="{00000000-0005-0000-0000-00005A190000}"/>
    <cellStyle name="Percent 3 6 13 3 4" xfId="7109" xr:uid="{00000000-0005-0000-0000-00005B190000}"/>
    <cellStyle name="Percent 3 6 13 4" xfId="7110" xr:uid="{00000000-0005-0000-0000-00005C190000}"/>
    <cellStyle name="Percent 3 6 13 4 2" xfId="7111" xr:uid="{00000000-0005-0000-0000-00005D190000}"/>
    <cellStyle name="Percent 3 6 13 4 2 2" xfId="7112" xr:uid="{00000000-0005-0000-0000-00005E190000}"/>
    <cellStyle name="Percent 3 6 13 4 3" xfId="7113" xr:uid="{00000000-0005-0000-0000-00005F190000}"/>
    <cellStyle name="Percent 3 6 13 4 3 2" xfId="7114" xr:uid="{00000000-0005-0000-0000-000060190000}"/>
    <cellStyle name="Percent 3 6 13 4 4" xfId="7115" xr:uid="{00000000-0005-0000-0000-000061190000}"/>
    <cellStyle name="Percent 3 6 13 5" xfId="7116" xr:uid="{00000000-0005-0000-0000-000062190000}"/>
    <cellStyle name="Percent 3 6 13 5 2" xfId="7117" xr:uid="{00000000-0005-0000-0000-000063190000}"/>
    <cellStyle name="Percent 3 6 13 5 2 2" xfId="7118" xr:uid="{00000000-0005-0000-0000-000064190000}"/>
    <cellStyle name="Percent 3 6 13 5 3" xfId="7119" xr:uid="{00000000-0005-0000-0000-000065190000}"/>
    <cellStyle name="Percent 3 6 13 5 3 2" xfId="7120" xr:uid="{00000000-0005-0000-0000-000066190000}"/>
    <cellStyle name="Percent 3 6 13 5 4" xfId="7121" xr:uid="{00000000-0005-0000-0000-000067190000}"/>
    <cellStyle name="Percent 3 6 13 5 4 2" xfId="7122" xr:uid="{00000000-0005-0000-0000-000068190000}"/>
    <cellStyle name="Percent 3 6 13 5 5" xfId="7123" xr:uid="{00000000-0005-0000-0000-000069190000}"/>
    <cellStyle name="Percent 3 6 13 6" xfId="7124" xr:uid="{00000000-0005-0000-0000-00006A190000}"/>
    <cellStyle name="Percent 3 6 13 6 2" xfId="7125" xr:uid="{00000000-0005-0000-0000-00006B190000}"/>
    <cellStyle name="Percent 3 6 13 6 2 2" xfId="7126" xr:uid="{00000000-0005-0000-0000-00006C190000}"/>
    <cellStyle name="Percent 3 6 13 6 3" xfId="7127" xr:uid="{00000000-0005-0000-0000-00006D190000}"/>
    <cellStyle name="Percent 3 6 13 6 3 2" xfId="7128" xr:uid="{00000000-0005-0000-0000-00006E190000}"/>
    <cellStyle name="Percent 3 6 13 6 4" xfId="7129" xr:uid="{00000000-0005-0000-0000-00006F190000}"/>
    <cellStyle name="Percent 3 6 13 7" xfId="7130" xr:uid="{00000000-0005-0000-0000-000070190000}"/>
    <cellStyle name="Percent 3 6 13 7 2" xfId="7131" xr:uid="{00000000-0005-0000-0000-000071190000}"/>
    <cellStyle name="Percent 3 6 13 8" xfId="7132" xr:uid="{00000000-0005-0000-0000-000072190000}"/>
    <cellStyle name="Percent 3 6 13 8 2" xfId="7133" xr:uid="{00000000-0005-0000-0000-000073190000}"/>
    <cellStyle name="Percent 3 6 13 9" xfId="7134" xr:uid="{00000000-0005-0000-0000-000074190000}"/>
    <cellStyle name="Percent 3 6 13 9 2" xfId="7135" xr:uid="{00000000-0005-0000-0000-000075190000}"/>
    <cellStyle name="Percent 3 6 14" xfId="2914" xr:uid="{00000000-0005-0000-0000-000076190000}"/>
    <cellStyle name="Percent 3 6 14 10" xfId="7137" xr:uid="{00000000-0005-0000-0000-000077190000}"/>
    <cellStyle name="Percent 3 6 14 11" xfId="7138" xr:uid="{00000000-0005-0000-0000-000078190000}"/>
    <cellStyle name="Percent 3 6 14 12" xfId="7136" xr:uid="{00000000-0005-0000-0000-000079190000}"/>
    <cellStyle name="Percent 3 6 14 2" xfId="7139" xr:uid="{00000000-0005-0000-0000-00007A190000}"/>
    <cellStyle name="Percent 3 6 14 2 2" xfId="7140" xr:uid="{00000000-0005-0000-0000-00007B190000}"/>
    <cellStyle name="Percent 3 6 14 2 2 2" xfId="7141" xr:uid="{00000000-0005-0000-0000-00007C190000}"/>
    <cellStyle name="Percent 3 6 14 2 3" xfId="7142" xr:uid="{00000000-0005-0000-0000-00007D190000}"/>
    <cellStyle name="Percent 3 6 14 2 3 2" xfId="7143" xr:uid="{00000000-0005-0000-0000-00007E190000}"/>
    <cellStyle name="Percent 3 6 14 2 4" xfId="7144" xr:uid="{00000000-0005-0000-0000-00007F190000}"/>
    <cellStyle name="Percent 3 6 14 2 5" xfId="7145" xr:uid="{00000000-0005-0000-0000-000080190000}"/>
    <cellStyle name="Percent 3 6 14 3" xfId="7146" xr:uid="{00000000-0005-0000-0000-000081190000}"/>
    <cellStyle name="Percent 3 6 14 3 2" xfId="7147" xr:uid="{00000000-0005-0000-0000-000082190000}"/>
    <cellStyle name="Percent 3 6 14 3 2 2" xfId="7148" xr:uid="{00000000-0005-0000-0000-000083190000}"/>
    <cellStyle name="Percent 3 6 14 3 3" xfId="7149" xr:uid="{00000000-0005-0000-0000-000084190000}"/>
    <cellStyle name="Percent 3 6 14 3 3 2" xfId="7150" xr:uid="{00000000-0005-0000-0000-000085190000}"/>
    <cellStyle name="Percent 3 6 14 3 4" xfId="7151" xr:uid="{00000000-0005-0000-0000-000086190000}"/>
    <cellStyle name="Percent 3 6 14 4" xfId="7152" xr:uid="{00000000-0005-0000-0000-000087190000}"/>
    <cellStyle name="Percent 3 6 14 4 2" xfId="7153" xr:uid="{00000000-0005-0000-0000-000088190000}"/>
    <cellStyle name="Percent 3 6 14 4 2 2" xfId="7154" xr:uid="{00000000-0005-0000-0000-000089190000}"/>
    <cellStyle name="Percent 3 6 14 4 3" xfId="7155" xr:uid="{00000000-0005-0000-0000-00008A190000}"/>
    <cellStyle name="Percent 3 6 14 4 3 2" xfId="7156" xr:uid="{00000000-0005-0000-0000-00008B190000}"/>
    <cellStyle name="Percent 3 6 14 4 4" xfId="7157" xr:uid="{00000000-0005-0000-0000-00008C190000}"/>
    <cellStyle name="Percent 3 6 14 5" xfId="7158" xr:uid="{00000000-0005-0000-0000-00008D190000}"/>
    <cellStyle name="Percent 3 6 14 5 2" xfId="7159" xr:uid="{00000000-0005-0000-0000-00008E190000}"/>
    <cellStyle name="Percent 3 6 14 5 2 2" xfId="7160" xr:uid="{00000000-0005-0000-0000-00008F190000}"/>
    <cellStyle name="Percent 3 6 14 5 3" xfId="7161" xr:uid="{00000000-0005-0000-0000-000090190000}"/>
    <cellStyle name="Percent 3 6 14 5 3 2" xfId="7162" xr:uid="{00000000-0005-0000-0000-000091190000}"/>
    <cellStyle name="Percent 3 6 14 5 4" xfId="7163" xr:uid="{00000000-0005-0000-0000-000092190000}"/>
    <cellStyle name="Percent 3 6 14 5 4 2" xfId="7164" xr:uid="{00000000-0005-0000-0000-000093190000}"/>
    <cellStyle name="Percent 3 6 14 5 5" xfId="7165" xr:uid="{00000000-0005-0000-0000-000094190000}"/>
    <cellStyle name="Percent 3 6 14 6" xfId="7166" xr:uid="{00000000-0005-0000-0000-000095190000}"/>
    <cellStyle name="Percent 3 6 14 6 2" xfId="7167" xr:uid="{00000000-0005-0000-0000-000096190000}"/>
    <cellStyle name="Percent 3 6 14 6 2 2" xfId="7168" xr:uid="{00000000-0005-0000-0000-000097190000}"/>
    <cellStyle name="Percent 3 6 14 6 3" xfId="7169" xr:uid="{00000000-0005-0000-0000-000098190000}"/>
    <cellStyle name="Percent 3 6 14 6 3 2" xfId="7170" xr:uid="{00000000-0005-0000-0000-000099190000}"/>
    <cellStyle name="Percent 3 6 14 6 4" xfId="7171" xr:uid="{00000000-0005-0000-0000-00009A190000}"/>
    <cellStyle name="Percent 3 6 14 7" xfId="7172" xr:uid="{00000000-0005-0000-0000-00009B190000}"/>
    <cellStyle name="Percent 3 6 14 7 2" xfId="7173" xr:uid="{00000000-0005-0000-0000-00009C190000}"/>
    <cellStyle name="Percent 3 6 14 8" xfId="7174" xr:uid="{00000000-0005-0000-0000-00009D190000}"/>
    <cellStyle name="Percent 3 6 14 8 2" xfId="7175" xr:uid="{00000000-0005-0000-0000-00009E190000}"/>
    <cellStyle name="Percent 3 6 14 9" xfId="7176" xr:uid="{00000000-0005-0000-0000-00009F190000}"/>
    <cellStyle name="Percent 3 6 14 9 2" xfId="7177" xr:uid="{00000000-0005-0000-0000-0000A0190000}"/>
    <cellStyle name="Percent 3 6 15" xfId="2915" xr:uid="{00000000-0005-0000-0000-0000A1190000}"/>
    <cellStyle name="Percent 3 6 15 10" xfId="7179" xr:uid="{00000000-0005-0000-0000-0000A2190000}"/>
    <cellStyle name="Percent 3 6 15 11" xfId="7180" xr:uid="{00000000-0005-0000-0000-0000A3190000}"/>
    <cellStyle name="Percent 3 6 15 12" xfId="7178" xr:uid="{00000000-0005-0000-0000-0000A4190000}"/>
    <cellStyle name="Percent 3 6 15 2" xfId="7181" xr:uid="{00000000-0005-0000-0000-0000A5190000}"/>
    <cellStyle name="Percent 3 6 15 2 2" xfId="7182" xr:uid="{00000000-0005-0000-0000-0000A6190000}"/>
    <cellStyle name="Percent 3 6 15 2 2 2" xfId="7183" xr:uid="{00000000-0005-0000-0000-0000A7190000}"/>
    <cellStyle name="Percent 3 6 15 2 3" xfId="7184" xr:uid="{00000000-0005-0000-0000-0000A8190000}"/>
    <cellStyle name="Percent 3 6 15 2 3 2" xfId="7185" xr:uid="{00000000-0005-0000-0000-0000A9190000}"/>
    <cellStyle name="Percent 3 6 15 2 4" xfId="7186" xr:uid="{00000000-0005-0000-0000-0000AA190000}"/>
    <cellStyle name="Percent 3 6 15 2 5" xfId="7187" xr:uid="{00000000-0005-0000-0000-0000AB190000}"/>
    <cellStyle name="Percent 3 6 15 3" xfId="7188" xr:uid="{00000000-0005-0000-0000-0000AC190000}"/>
    <cellStyle name="Percent 3 6 15 3 2" xfId="7189" xr:uid="{00000000-0005-0000-0000-0000AD190000}"/>
    <cellStyle name="Percent 3 6 15 3 2 2" xfId="7190" xr:uid="{00000000-0005-0000-0000-0000AE190000}"/>
    <cellStyle name="Percent 3 6 15 3 3" xfId="7191" xr:uid="{00000000-0005-0000-0000-0000AF190000}"/>
    <cellStyle name="Percent 3 6 15 3 3 2" xfId="7192" xr:uid="{00000000-0005-0000-0000-0000B0190000}"/>
    <cellStyle name="Percent 3 6 15 3 4" xfId="7193" xr:uid="{00000000-0005-0000-0000-0000B1190000}"/>
    <cellStyle name="Percent 3 6 15 4" xfId="7194" xr:uid="{00000000-0005-0000-0000-0000B2190000}"/>
    <cellStyle name="Percent 3 6 15 4 2" xfId="7195" xr:uid="{00000000-0005-0000-0000-0000B3190000}"/>
    <cellStyle name="Percent 3 6 15 4 2 2" xfId="7196" xr:uid="{00000000-0005-0000-0000-0000B4190000}"/>
    <cellStyle name="Percent 3 6 15 4 3" xfId="7197" xr:uid="{00000000-0005-0000-0000-0000B5190000}"/>
    <cellStyle name="Percent 3 6 15 4 3 2" xfId="7198" xr:uid="{00000000-0005-0000-0000-0000B6190000}"/>
    <cellStyle name="Percent 3 6 15 4 4" xfId="7199" xr:uid="{00000000-0005-0000-0000-0000B7190000}"/>
    <cellStyle name="Percent 3 6 15 5" xfId="7200" xr:uid="{00000000-0005-0000-0000-0000B8190000}"/>
    <cellStyle name="Percent 3 6 15 5 2" xfId="7201" xr:uid="{00000000-0005-0000-0000-0000B9190000}"/>
    <cellStyle name="Percent 3 6 15 5 2 2" xfId="7202" xr:uid="{00000000-0005-0000-0000-0000BA190000}"/>
    <cellStyle name="Percent 3 6 15 5 3" xfId="7203" xr:uid="{00000000-0005-0000-0000-0000BB190000}"/>
    <cellStyle name="Percent 3 6 15 5 3 2" xfId="7204" xr:uid="{00000000-0005-0000-0000-0000BC190000}"/>
    <cellStyle name="Percent 3 6 15 5 4" xfId="7205" xr:uid="{00000000-0005-0000-0000-0000BD190000}"/>
    <cellStyle name="Percent 3 6 15 5 4 2" xfId="7206" xr:uid="{00000000-0005-0000-0000-0000BE190000}"/>
    <cellStyle name="Percent 3 6 15 5 5" xfId="7207" xr:uid="{00000000-0005-0000-0000-0000BF190000}"/>
    <cellStyle name="Percent 3 6 15 6" xfId="7208" xr:uid="{00000000-0005-0000-0000-0000C0190000}"/>
    <cellStyle name="Percent 3 6 15 6 2" xfId="7209" xr:uid="{00000000-0005-0000-0000-0000C1190000}"/>
    <cellStyle name="Percent 3 6 15 6 2 2" xfId="7210" xr:uid="{00000000-0005-0000-0000-0000C2190000}"/>
    <cellStyle name="Percent 3 6 15 6 3" xfId="7211" xr:uid="{00000000-0005-0000-0000-0000C3190000}"/>
    <cellStyle name="Percent 3 6 15 6 3 2" xfId="7212" xr:uid="{00000000-0005-0000-0000-0000C4190000}"/>
    <cellStyle name="Percent 3 6 15 6 4" xfId="7213" xr:uid="{00000000-0005-0000-0000-0000C5190000}"/>
    <cellStyle name="Percent 3 6 15 7" xfId="7214" xr:uid="{00000000-0005-0000-0000-0000C6190000}"/>
    <cellStyle name="Percent 3 6 15 7 2" xfId="7215" xr:uid="{00000000-0005-0000-0000-0000C7190000}"/>
    <cellStyle name="Percent 3 6 15 8" xfId="7216" xr:uid="{00000000-0005-0000-0000-0000C8190000}"/>
    <cellStyle name="Percent 3 6 15 8 2" xfId="7217" xr:uid="{00000000-0005-0000-0000-0000C9190000}"/>
    <cellStyle name="Percent 3 6 15 9" xfId="7218" xr:uid="{00000000-0005-0000-0000-0000CA190000}"/>
    <cellStyle name="Percent 3 6 15 9 2" xfId="7219" xr:uid="{00000000-0005-0000-0000-0000CB190000}"/>
    <cellStyle name="Percent 3 6 16" xfId="7220" xr:uid="{00000000-0005-0000-0000-0000CC190000}"/>
    <cellStyle name="Percent 3 6 16 2" xfId="7221" xr:uid="{00000000-0005-0000-0000-0000CD190000}"/>
    <cellStyle name="Percent 3 6 16 2 2" xfId="7222" xr:uid="{00000000-0005-0000-0000-0000CE190000}"/>
    <cellStyle name="Percent 3 6 16 3" xfId="7223" xr:uid="{00000000-0005-0000-0000-0000CF190000}"/>
    <cellStyle name="Percent 3 6 16 3 2" xfId="7224" xr:uid="{00000000-0005-0000-0000-0000D0190000}"/>
    <cellStyle name="Percent 3 6 16 4" xfId="7225" xr:uid="{00000000-0005-0000-0000-0000D1190000}"/>
    <cellStyle name="Percent 3 6 16 5" xfId="7226" xr:uid="{00000000-0005-0000-0000-0000D2190000}"/>
    <cellStyle name="Percent 3 6 17" xfId="7227" xr:uid="{00000000-0005-0000-0000-0000D3190000}"/>
    <cellStyle name="Percent 3 6 17 2" xfId="7228" xr:uid="{00000000-0005-0000-0000-0000D4190000}"/>
    <cellStyle name="Percent 3 6 17 2 2" xfId="7229" xr:uid="{00000000-0005-0000-0000-0000D5190000}"/>
    <cellStyle name="Percent 3 6 17 3" xfId="7230" xr:uid="{00000000-0005-0000-0000-0000D6190000}"/>
    <cellStyle name="Percent 3 6 17 3 2" xfId="7231" xr:uid="{00000000-0005-0000-0000-0000D7190000}"/>
    <cellStyle name="Percent 3 6 17 4" xfId="7232" xr:uid="{00000000-0005-0000-0000-0000D8190000}"/>
    <cellStyle name="Percent 3 6 18" xfId="7233" xr:uid="{00000000-0005-0000-0000-0000D9190000}"/>
    <cellStyle name="Percent 3 6 18 2" xfId="7234" xr:uid="{00000000-0005-0000-0000-0000DA190000}"/>
    <cellStyle name="Percent 3 6 18 2 2" xfId="7235" xr:uid="{00000000-0005-0000-0000-0000DB190000}"/>
    <cellStyle name="Percent 3 6 18 3" xfId="7236" xr:uid="{00000000-0005-0000-0000-0000DC190000}"/>
    <cellStyle name="Percent 3 6 18 3 2" xfId="7237" xr:uid="{00000000-0005-0000-0000-0000DD190000}"/>
    <cellStyle name="Percent 3 6 18 4" xfId="7238" xr:uid="{00000000-0005-0000-0000-0000DE190000}"/>
    <cellStyle name="Percent 3 6 19" xfId="7239" xr:uid="{00000000-0005-0000-0000-0000DF190000}"/>
    <cellStyle name="Percent 3 6 19 2" xfId="7240" xr:uid="{00000000-0005-0000-0000-0000E0190000}"/>
    <cellStyle name="Percent 3 6 19 2 2" xfId="7241" xr:uid="{00000000-0005-0000-0000-0000E1190000}"/>
    <cellStyle name="Percent 3 6 19 3" xfId="7242" xr:uid="{00000000-0005-0000-0000-0000E2190000}"/>
    <cellStyle name="Percent 3 6 19 3 2" xfId="7243" xr:uid="{00000000-0005-0000-0000-0000E3190000}"/>
    <cellStyle name="Percent 3 6 19 4" xfId="7244" xr:uid="{00000000-0005-0000-0000-0000E4190000}"/>
    <cellStyle name="Percent 3 6 19 4 2" xfId="7245" xr:uid="{00000000-0005-0000-0000-0000E5190000}"/>
    <cellStyle name="Percent 3 6 19 5" xfId="7246" xr:uid="{00000000-0005-0000-0000-0000E6190000}"/>
    <cellStyle name="Percent 3 6 2" xfId="2916" xr:uid="{00000000-0005-0000-0000-0000E7190000}"/>
    <cellStyle name="Percent 3 6 2 10" xfId="7248" xr:uid="{00000000-0005-0000-0000-0000E8190000}"/>
    <cellStyle name="Percent 3 6 2 11" xfId="7249" xr:uid="{00000000-0005-0000-0000-0000E9190000}"/>
    <cellStyle name="Percent 3 6 2 12" xfId="7247" xr:uid="{00000000-0005-0000-0000-0000EA190000}"/>
    <cellStyle name="Percent 3 6 2 2" xfId="7250" xr:uid="{00000000-0005-0000-0000-0000EB190000}"/>
    <cellStyle name="Percent 3 6 2 2 2" xfId="7251" xr:uid="{00000000-0005-0000-0000-0000EC190000}"/>
    <cellStyle name="Percent 3 6 2 2 2 2" xfId="7252" xr:uid="{00000000-0005-0000-0000-0000ED190000}"/>
    <cellStyle name="Percent 3 6 2 2 3" xfId="7253" xr:uid="{00000000-0005-0000-0000-0000EE190000}"/>
    <cellStyle name="Percent 3 6 2 2 3 2" xfId="7254" xr:uid="{00000000-0005-0000-0000-0000EF190000}"/>
    <cellStyle name="Percent 3 6 2 2 4" xfId="7255" xr:uid="{00000000-0005-0000-0000-0000F0190000}"/>
    <cellStyle name="Percent 3 6 2 2 5" xfId="7256" xr:uid="{00000000-0005-0000-0000-0000F1190000}"/>
    <cellStyle name="Percent 3 6 2 3" xfId="7257" xr:uid="{00000000-0005-0000-0000-0000F2190000}"/>
    <cellStyle name="Percent 3 6 2 3 2" xfId="7258" xr:uid="{00000000-0005-0000-0000-0000F3190000}"/>
    <cellStyle name="Percent 3 6 2 3 2 2" xfId="7259" xr:uid="{00000000-0005-0000-0000-0000F4190000}"/>
    <cellStyle name="Percent 3 6 2 3 3" xfId="7260" xr:uid="{00000000-0005-0000-0000-0000F5190000}"/>
    <cellStyle name="Percent 3 6 2 3 3 2" xfId="7261" xr:uid="{00000000-0005-0000-0000-0000F6190000}"/>
    <cellStyle name="Percent 3 6 2 3 4" xfId="7262" xr:uid="{00000000-0005-0000-0000-0000F7190000}"/>
    <cellStyle name="Percent 3 6 2 4" xfId="7263" xr:uid="{00000000-0005-0000-0000-0000F8190000}"/>
    <cellStyle name="Percent 3 6 2 4 2" xfId="7264" xr:uid="{00000000-0005-0000-0000-0000F9190000}"/>
    <cellStyle name="Percent 3 6 2 4 2 2" xfId="7265" xr:uid="{00000000-0005-0000-0000-0000FA190000}"/>
    <cellStyle name="Percent 3 6 2 4 3" xfId="7266" xr:uid="{00000000-0005-0000-0000-0000FB190000}"/>
    <cellStyle name="Percent 3 6 2 4 3 2" xfId="7267" xr:uid="{00000000-0005-0000-0000-0000FC190000}"/>
    <cellStyle name="Percent 3 6 2 4 4" xfId="7268" xr:uid="{00000000-0005-0000-0000-0000FD190000}"/>
    <cellStyle name="Percent 3 6 2 5" xfId="7269" xr:uid="{00000000-0005-0000-0000-0000FE190000}"/>
    <cellStyle name="Percent 3 6 2 5 2" xfId="7270" xr:uid="{00000000-0005-0000-0000-0000FF190000}"/>
    <cellStyle name="Percent 3 6 2 5 2 2" xfId="7271" xr:uid="{00000000-0005-0000-0000-0000001A0000}"/>
    <cellStyle name="Percent 3 6 2 5 3" xfId="7272" xr:uid="{00000000-0005-0000-0000-0000011A0000}"/>
    <cellStyle name="Percent 3 6 2 5 3 2" xfId="7273" xr:uid="{00000000-0005-0000-0000-0000021A0000}"/>
    <cellStyle name="Percent 3 6 2 5 4" xfId="7274" xr:uid="{00000000-0005-0000-0000-0000031A0000}"/>
    <cellStyle name="Percent 3 6 2 5 4 2" xfId="7275" xr:uid="{00000000-0005-0000-0000-0000041A0000}"/>
    <cellStyle name="Percent 3 6 2 5 5" xfId="7276" xr:uid="{00000000-0005-0000-0000-0000051A0000}"/>
    <cellStyle name="Percent 3 6 2 6" xfId="7277" xr:uid="{00000000-0005-0000-0000-0000061A0000}"/>
    <cellStyle name="Percent 3 6 2 6 2" xfId="7278" xr:uid="{00000000-0005-0000-0000-0000071A0000}"/>
    <cellStyle name="Percent 3 6 2 6 2 2" xfId="7279" xr:uid="{00000000-0005-0000-0000-0000081A0000}"/>
    <cellStyle name="Percent 3 6 2 6 3" xfId="7280" xr:uid="{00000000-0005-0000-0000-0000091A0000}"/>
    <cellStyle name="Percent 3 6 2 6 3 2" xfId="7281" xr:uid="{00000000-0005-0000-0000-00000A1A0000}"/>
    <cellStyle name="Percent 3 6 2 6 4" xfId="7282" xr:uid="{00000000-0005-0000-0000-00000B1A0000}"/>
    <cellStyle name="Percent 3 6 2 7" xfId="7283" xr:uid="{00000000-0005-0000-0000-00000C1A0000}"/>
    <cellStyle name="Percent 3 6 2 7 2" xfId="7284" xr:uid="{00000000-0005-0000-0000-00000D1A0000}"/>
    <cellStyle name="Percent 3 6 2 8" xfId="7285" xr:uid="{00000000-0005-0000-0000-00000E1A0000}"/>
    <cellStyle name="Percent 3 6 2 8 2" xfId="7286" xr:uid="{00000000-0005-0000-0000-00000F1A0000}"/>
    <cellStyle name="Percent 3 6 2 9" xfId="7287" xr:uid="{00000000-0005-0000-0000-0000101A0000}"/>
    <cellStyle name="Percent 3 6 2 9 2" xfId="7288" xr:uid="{00000000-0005-0000-0000-0000111A0000}"/>
    <cellStyle name="Percent 3 6 20" xfId="7289" xr:uid="{00000000-0005-0000-0000-0000121A0000}"/>
    <cellStyle name="Percent 3 6 20 2" xfId="7290" xr:uid="{00000000-0005-0000-0000-0000131A0000}"/>
    <cellStyle name="Percent 3 6 20 2 2" xfId="7291" xr:uid="{00000000-0005-0000-0000-0000141A0000}"/>
    <cellStyle name="Percent 3 6 20 3" xfId="7292" xr:uid="{00000000-0005-0000-0000-0000151A0000}"/>
    <cellStyle name="Percent 3 6 20 3 2" xfId="7293" xr:uid="{00000000-0005-0000-0000-0000161A0000}"/>
    <cellStyle name="Percent 3 6 20 4" xfId="7294" xr:uid="{00000000-0005-0000-0000-0000171A0000}"/>
    <cellStyle name="Percent 3 6 21" xfId="7295" xr:uid="{00000000-0005-0000-0000-0000181A0000}"/>
    <cellStyle name="Percent 3 6 21 2" xfId="7296" xr:uid="{00000000-0005-0000-0000-0000191A0000}"/>
    <cellStyle name="Percent 3 6 22" xfId="7297" xr:uid="{00000000-0005-0000-0000-00001A1A0000}"/>
    <cellStyle name="Percent 3 6 22 2" xfId="7298" xr:uid="{00000000-0005-0000-0000-00001B1A0000}"/>
    <cellStyle name="Percent 3 6 23" xfId="7299" xr:uid="{00000000-0005-0000-0000-00001C1A0000}"/>
    <cellStyle name="Percent 3 6 23 2" xfId="7300" xr:uid="{00000000-0005-0000-0000-00001D1A0000}"/>
    <cellStyle name="Percent 3 6 24" xfId="7301" xr:uid="{00000000-0005-0000-0000-00001E1A0000}"/>
    <cellStyle name="Percent 3 6 25" xfId="7302" xr:uid="{00000000-0005-0000-0000-00001F1A0000}"/>
    <cellStyle name="Percent 3 6 26" xfId="6967" xr:uid="{00000000-0005-0000-0000-0000201A0000}"/>
    <cellStyle name="Percent 3 6 3" xfId="2917" xr:uid="{00000000-0005-0000-0000-0000211A0000}"/>
    <cellStyle name="Percent 3 6 3 10" xfId="7304" xr:uid="{00000000-0005-0000-0000-0000221A0000}"/>
    <cellStyle name="Percent 3 6 3 11" xfId="7305" xr:uid="{00000000-0005-0000-0000-0000231A0000}"/>
    <cellStyle name="Percent 3 6 3 12" xfId="7303" xr:uid="{00000000-0005-0000-0000-0000241A0000}"/>
    <cellStyle name="Percent 3 6 3 2" xfId="7306" xr:uid="{00000000-0005-0000-0000-0000251A0000}"/>
    <cellStyle name="Percent 3 6 3 2 2" xfId="7307" xr:uid="{00000000-0005-0000-0000-0000261A0000}"/>
    <cellStyle name="Percent 3 6 3 2 2 2" xfId="7308" xr:uid="{00000000-0005-0000-0000-0000271A0000}"/>
    <cellStyle name="Percent 3 6 3 2 3" xfId="7309" xr:uid="{00000000-0005-0000-0000-0000281A0000}"/>
    <cellStyle name="Percent 3 6 3 2 3 2" xfId="7310" xr:uid="{00000000-0005-0000-0000-0000291A0000}"/>
    <cellStyle name="Percent 3 6 3 2 4" xfId="7311" xr:uid="{00000000-0005-0000-0000-00002A1A0000}"/>
    <cellStyle name="Percent 3 6 3 2 5" xfId="7312" xr:uid="{00000000-0005-0000-0000-00002B1A0000}"/>
    <cellStyle name="Percent 3 6 3 3" xfId="7313" xr:uid="{00000000-0005-0000-0000-00002C1A0000}"/>
    <cellStyle name="Percent 3 6 3 3 2" xfId="7314" xr:uid="{00000000-0005-0000-0000-00002D1A0000}"/>
    <cellStyle name="Percent 3 6 3 3 2 2" xfId="7315" xr:uid="{00000000-0005-0000-0000-00002E1A0000}"/>
    <cellStyle name="Percent 3 6 3 3 3" xfId="7316" xr:uid="{00000000-0005-0000-0000-00002F1A0000}"/>
    <cellStyle name="Percent 3 6 3 3 3 2" xfId="7317" xr:uid="{00000000-0005-0000-0000-0000301A0000}"/>
    <cellStyle name="Percent 3 6 3 3 4" xfId="7318" xr:uid="{00000000-0005-0000-0000-0000311A0000}"/>
    <cellStyle name="Percent 3 6 3 4" xfId="7319" xr:uid="{00000000-0005-0000-0000-0000321A0000}"/>
    <cellStyle name="Percent 3 6 3 4 2" xfId="7320" xr:uid="{00000000-0005-0000-0000-0000331A0000}"/>
    <cellStyle name="Percent 3 6 3 4 2 2" xfId="7321" xr:uid="{00000000-0005-0000-0000-0000341A0000}"/>
    <cellStyle name="Percent 3 6 3 4 3" xfId="7322" xr:uid="{00000000-0005-0000-0000-0000351A0000}"/>
    <cellStyle name="Percent 3 6 3 4 3 2" xfId="7323" xr:uid="{00000000-0005-0000-0000-0000361A0000}"/>
    <cellStyle name="Percent 3 6 3 4 4" xfId="7324" xr:uid="{00000000-0005-0000-0000-0000371A0000}"/>
    <cellStyle name="Percent 3 6 3 5" xfId="7325" xr:uid="{00000000-0005-0000-0000-0000381A0000}"/>
    <cellStyle name="Percent 3 6 3 5 2" xfId="7326" xr:uid="{00000000-0005-0000-0000-0000391A0000}"/>
    <cellStyle name="Percent 3 6 3 5 2 2" xfId="7327" xr:uid="{00000000-0005-0000-0000-00003A1A0000}"/>
    <cellStyle name="Percent 3 6 3 5 3" xfId="7328" xr:uid="{00000000-0005-0000-0000-00003B1A0000}"/>
    <cellStyle name="Percent 3 6 3 5 3 2" xfId="7329" xr:uid="{00000000-0005-0000-0000-00003C1A0000}"/>
    <cellStyle name="Percent 3 6 3 5 4" xfId="7330" xr:uid="{00000000-0005-0000-0000-00003D1A0000}"/>
    <cellStyle name="Percent 3 6 3 5 4 2" xfId="7331" xr:uid="{00000000-0005-0000-0000-00003E1A0000}"/>
    <cellStyle name="Percent 3 6 3 5 5" xfId="7332" xr:uid="{00000000-0005-0000-0000-00003F1A0000}"/>
    <cellStyle name="Percent 3 6 3 6" xfId="7333" xr:uid="{00000000-0005-0000-0000-0000401A0000}"/>
    <cellStyle name="Percent 3 6 3 6 2" xfId="7334" xr:uid="{00000000-0005-0000-0000-0000411A0000}"/>
    <cellStyle name="Percent 3 6 3 6 2 2" xfId="7335" xr:uid="{00000000-0005-0000-0000-0000421A0000}"/>
    <cellStyle name="Percent 3 6 3 6 3" xfId="7336" xr:uid="{00000000-0005-0000-0000-0000431A0000}"/>
    <cellStyle name="Percent 3 6 3 6 3 2" xfId="7337" xr:uid="{00000000-0005-0000-0000-0000441A0000}"/>
    <cellStyle name="Percent 3 6 3 6 4" xfId="7338" xr:uid="{00000000-0005-0000-0000-0000451A0000}"/>
    <cellStyle name="Percent 3 6 3 7" xfId="7339" xr:uid="{00000000-0005-0000-0000-0000461A0000}"/>
    <cellStyle name="Percent 3 6 3 7 2" xfId="7340" xr:uid="{00000000-0005-0000-0000-0000471A0000}"/>
    <cellStyle name="Percent 3 6 3 8" xfId="7341" xr:uid="{00000000-0005-0000-0000-0000481A0000}"/>
    <cellStyle name="Percent 3 6 3 8 2" xfId="7342" xr:uid="{00000000-0005-0000-0000-0000491A0000}"/>
    <cellStyle name="Percent 3 6 3 9" xfId="7343" xr:uid="{00000000-0005-0000-0000-00004A1A0000}"/>
    <cellStyle name="Percent 3 6 3 9 2" xfId="7344" xr:uid="{00000000-0005-0000-0000-00004B1A0000}"/>
    <cellStyle name="Percent 3 6 4" xfId="2918" xr:uid="{00000000-0005-0000-0000-00004C1A0000}"/>
    <cellStyle name="Percent 3 6 4 10" xfId="7346" xr:uid="{00000000-0005-0000-0000-00004D1A0000}"/>
    <cellStyle name="Percent 3 6 4 11" xfId="7347" xr:uid="{00000000-0005-0000-0000-00004E1A0000}"/>
    <cellStyle name="Percent 3 6 4 12" xfId="7345" xr:uid="{00000000-0005-0000-0000-00004F1A0000}"/>
    <cellStyle name="Percent 3 6 4 2" xfId="7348" xr:uid="{00000000-0005-0000-0000-0000501A0000}"/>
    <cellStyle name="Percent 3 6 4 2 2" xfId="7349" xr:uid="{00000000-0005-0000-0000-0000511A0000}"/>
    <cellStyle name="Percent 3 6 4 2 2 2" xfId="7350" xr:uid="{00000000-0005-0000-0000-0000521A0000}"/>
    <cellStyle name="Percent 3 6 4 2 3" xfId="7351" xr:uid="{00000000-0005-0000-0000-0000531A0000}"/>
    <cellStyle name="Percent 3 6 4 2 3 2" xfId="7352" xr:uid="{00000000-0005-0000-0000-0000541A0000}"/>
    <cellStyle name="Percent 3 6 4 2 4" xfId="7353" xr:uid="{00000000-0005-0000-0000-0000551A0000}"/>
    <cellStyle name="Percent 3 6 4 2 5" xfId="7354" xr:uid="{00000000-0005-0000-0000-0000561A0000}"/>
    <cellStyle name="Percent 3 6 4 3" xfId="7355" xr:uid="{00000000-0005-0000-0000-0000571A0000}"/>
    <cellStyle name="Percent 3 6 4 3 2" xfId="7356" xr:uid="{00000000-0005-0000-0000-0000581A0000}"/>
    <cellStyle name="Percent 3 6 4 3 2 2" xfId="7357" xr:uid="{00000000-0005-0000-0000-0000591A0000}"/>
    <cellStyle name="Percent 3 6 4 3 3" xfId="7358" xr:uid="{00000000-0005-0000-0000-00005A1A0000}"/>
    <cellStyle name="Percent 3 6 4 3 3 2" xfId="7359" xr:uid="{00000000-0005-0000-0000-00005B1A0000}"/>
    <cellStyle name="Percent 3 6 4 3 4" xfId="7360" xr:uid="{00000000-0005-0000-0000-00005C1A0000}"/>
    <cellStyle name="Percent 3 6 4 4" xfId="7361" xr:uid="{00000000-0005-0000-0000-00005D1A0000}"/>
    <cellStyle name="Percent 3 6 4 4 2" xfId="7362" xr:uid="{00000000-0005-0000-0000-00005E1A0000}"/>
    <cellStyle name="Percent 3 6 4 4 2 2" xfId="7363" xr:uid="{00000000-0005-0000-0000-00005F1A0000}"/>
    <cellStyle name="Percent 3 6 4 4 3" xfId="7364" xr:uid="{00000000-0005-0000-0000-0000601A0000}"/>
    <cellStyle name="Percent 3 6 4 4 3 2" xfId="7365" xr:uid="{00000000-0005-0000-0000-0000611A0000}"/>
    <cellStyle name="Percent 3 6 4 4 4" xfId="7366" xr:uid="{00000000-0005-0000-0000-0000621A0000}"/>
    <cellStyle name="Percent 3 6 4 5" xfId="7367" xr:uid="{00000000-0005-0000-0000-0000631A0000}"/>
    <cellStyle name="Percent 3 6 4 5 2" xfId="7368" xr:uid="{00000000-0005-0000-0000-0000641A0000}"/>
    <cellStyle name="Percent 3 6 4 5 2 2" xfId="7369" xr:uid="{00000000-0005-0000-0000-0000651A0000}"/>
    <cellStyle name="Percent 3 6 4 5 3" xfId="7370" xr:uid="{00000000-0005-0000-0000-0000661A0000}"/>
    <cellStyle name="Percent 3 6 4 5 3 2" xfId="7371" xr:uid="{00000000-0005-0000-0000-0000671A0000}"/>
    <cellStyle name="Percent 3 6 4 5 4" xfId="7372" xr:uid="{00000000-0005-0000-0000-0000681A0000}"/>
    <cellStyle name="Percent 3 6 4 5 4 2" xfId="7373" xr:uid="{00000000-0005-0000-0000-0000691A0000}"/>
    <cellStyle name="Percent 3 6 4 5 5" xfId="7374" xr:uid="{00000000-0005-0000-0000-00006A1A0000}"/>
    <cellStyle name="Percent 3 6 4 6" xfId="7375" xr:uid="{00000000-0005-0000-0000-00006B1A0000}"/>
    <cellStyle name="Percent 3 6 4 6 2" xfId="7376" xr:uid="{00000000-0005-0000-0000-00006C1A0000}"/>
    <cellStyle name="Percent 3 6 4 6 2 2" xfId="7377" xr:uid="{00000000-0005-0000-0000-00006D1A0000}"/>
    <cellStyle name="Percent 3 6 4 6 3" xfId="7378" xr:uid="{00000000-0005-0000-0000-00006E1A0000}"/>
    <cellStyle name="Percent 3 6 4 6 3 2" xfId="7379" xr:uid="{00000000-0005-0000-0000-00006F1A0000}"/>
    <cellStyle name="Percent 3 6 4 6 4" xfId="7380" xr:uid="{00000000-0005-0000-0000-0000701A0000}"/>
    <cellStyle name="Percent 3 6 4 7" xfId="7381" xr:uid="{00000000-0005-0000-0000-0000711A0000}"/>
    <cellStyle name="Percent 3 6 4 7 2" xfId="7382" xr:uid="{00000000-0005-0000-0000-0000721A0000}"/>
    <cellStyle name="Percent 3 6 4 8" xfId="7383" xr:uid="{00000000-0005-0000-0000-0000731A0000}"/>
    <cellStyle name="Percent 3 6 4 8 2" xfId="7384" xr:uid="{00000000-0005-0000-0000-0000741A0000}"/>
    <cellStyle name="Percent 3 6 4 9" xfId="7385" xr:uid="{00000000-0005-0000-0000-0000751A0000}"/>
    <cellStyle name="Percent 3 6 4 9 2" xfId="7386" xr:uid="{00000000-0005-0000-0000-0000761A0000}"/>
    <cellStyle name="Percent 3 6 5" xfId="2919" xr:uid="{00000000-0005-0000-0000-0000771A0000}"/>
    <cellStyle name="Percent 3 6 5 10" xfId="7388" xr:uid="{00000000-0005-0000-0000-0000781A0000}"/>
    <cellStyle name="Percent 3 6 5 11" xfId="7389" xr:uid="{00000000-0005-0000-0000-0000791A0000}"/>
    <cellStyle name="Percent 3 6 5 12" xfId="7387" xr:uid="{00000000-0005-0000-0000-00007A1A0000}"/>
    <cellStyle name="Percent 3 6 5 2" xfId="7390" xr:uid="{00000000-0005-0000-0000-00007B1A0000}"/>
    <cellStyle name="Percent 3 6 5 2 2" xfId="7391" xr:uid="{00000000-0005-0000-0000-00007C1A0000}"/>
    <cellStyle name="Percent 3 6 5 2 2 2" xfId="7392" xr:uid="{00000000-0005-0000-0000-00007D1A0000}"/>
    <cellStyle name="Percent 3 6 5 2 3" xfId="7393" xr:uid="{00000000-0005-0000-0000-00007E1A0000}"/>
    <cellStyle name="Percent 3 6 5 2 3 2" xfId="7394" xr:uid="{00000000-0005-0000-0000-00007F1A0000}"/>
    <cellStyle name="Percent 3 6 5 2 4" xfId="7395" xr:uid="{00000000-0005-0000-0000-0000801A0000}"/>
    <cellStyle name="Percent 3 6 5 2 5" xfId="7396" xr:uid="{00000000-0005-0000-0000-0000811A0000}"/>
    <cellStyle name="Percent 3 6 5 3" xfId="7397" xr:uid="{00000000-0005-0000-0000-0000821A0000}"/>
    <cellStyle name="Percent 3 6 5 3 2" xfId="7398" xr:uid="{00000000-0005-0000-0000-0000831A0000}"/>
    <cellStyle name="Percent 3 6 5 3 2 2" xfId="7399" xr:uid="{00000000-0005-0000-0000-0000841A0000}"/>
    <cellStyle name="Percent 3 6 5 3 3" xfId="7400" xr:uid="{00000000-0005-0000-0000-0000851A0000}"/>
    <cellStyle name="Percent 3 6 5 3 3 2" xfId="7401" xr:uid="{00000000-0005-0000-0000-0000861A0000}"/>
    <cellStyle name="Percent 3 6 5 3 4" xfId="7402" xr:uid="{00000000-0005-0000-0000-0000871A0000}"/>
    <cellStyle name="Percent 3 6 5 4" xfId="7403" xr:uid="{00000000-0005-0000-0000-0000881A0000}"/>
    <cellStyle name="Percent 3 6 5 4 2" xfId="7404" xr:uid="{00000000-0005-0000-0000-0000891A0000}"/>
    <cellStyle name="Percent 3 6 5 4 2 2" xfId="7405" xr:uid="{00000000-0005-0000-0000-00008A1A0000}"/>
    <cellStyle name="Percent 3 6 5 4 3" xfId="7406" xr:uid="{00000000-0005-0000-0000-00008B1A0000}"/>
    <cellStyle name="Percent 3 6 5 4 3 2" xfId="7407" xr:uid="{00000000-0005-0000-0000-00008C1A0000}"/>
    <cellStyle name="Percent 3 6 5 4 4" xfId="7408" xr:uid="{00000000-0005-0000-0000-00008D1A0000}"/>
    <cellStyle name="Percent 3 6 5 5" xfId="7409" xr:uid="{00000000-0005-0000-0000-00008E1A0000}"/>
    <cellStyle name="Percent 3 6 5 5 2" xfId="7410" xr:uid="{00000000-0005-0000-0000-00008F1A0000}"/>
    <cellStyle name="Percent 3 6 5 5 2 2" xfId="7411" xr:uid="{00000000-0005-0000-0000-0000901A0000}"/>
    <cellStyle name="Percent 3 6 5 5 3" xfId="7412" xr:uid="{00000000-0005-0000-0000-0000911A0000}"/>
    <cellStyle name="Percent 3 6 5 5 3 2" xfId="7413" xr:uid="{00000000-0005-0000-0000-0000921A0000}"/>
    <cellStyle name="Percent 3 6 5 5 4" xfId="7414" xr:uid="{00000000-0005-0000-0000-0000931A0000}"/>
    <cellStyle name="Percent 3 6 5 5 4 2" xfId="7415" xr:uid="{00000000-0005-0000-0000-0000941A0000}"/>
    <cellStyle name="Percent 3 6 5 5 5" xfId="7416" xr:uid="{00000000-0005-0000-0000-0000951A0000}"/>
    <cellStyle name="Percent 3 6 5 6" xfId="7417" xr:uid="{00000000-0005-0000-0000-0000961A0000}"/>
    <cellStyle name="Percent 3 6 5 6 2" xfId="7418" xr:uid="{00000000-0005-0000-0000-0000971A0000}"/>
    <cellStyle name="Percent 3 6 5 6 2 2" xfId="7419" xr:uid="{00000000-0005-0000-0000-0000981A0000}"/>
    <cellStyle name="Percent 3 6 5 6 3" xfId="7420" xr:uid="{00000000-0005-0000-0000-0000991A0000}"/>
    <cellStyle name="Percent 3 6 5 6 3 2" xfId="7421" xr:uid="{00000000-0005-0000-0000-00009A1A0000}"/>
    <cellStyle name="Percent 3 6 5 6 4" xfId="7422" xr:uid="{00000000-0005-0000-0000-00009B1A0000}"/>
    <cellStyle name="Percent 3 6 5 7" xfId="7423" xr:uid="{00000000-0005-0000-0000-00009C1A0000}"/>
    <cellStyle name="Percent 3 6 5 7 2" xfId="7424" xr:uid="{00000000-0005-0000-0000-00009D1A0000}"/>
    <cellStyle name="Percent 3 6 5 8" xfId="7425" xr:uid="{00000000-0005-0000-0000-00009E1A0000}"/>
    <cellStyle name="Percent 3 6 5 8 2" xfId="7426" xr:uid="{00000000-0005-0000-0000-00009F1A0000}"/>
    <cellStyle name="Percent 3 6 5 9" xfId="7427" xr:uid="{00000000-0005-0000-0000-0000A01A0000}"/>
    <cellStyle name="Percent 3 6 5 9 2" xfId="7428" xr:uid="{00000000-0005-0000-0000-0000A11A0000}"/>
    <cellStyle name="Percent 3 6 6" xfId="2920" xr:uid="{00000000-0005-0000-0000-0000A21A0000}"/>
    <cellStyle name="Percent 3 6 6 10" xfId="7430" xr:uid="{00000000-0005-0000-0000-0000A31A0000}"/>
    <cellStyle name="Percent 3 6 6 11" xfId="7431" xr:uid="{00000000-0005-0000-0000-0000A41A0000}"/>
    <cellStyle name="Percent 3 6 6 12" xfId="7429" xr:uid="{00000000-0005-0000-0000-0000A51A0000}"/>
    <cellStyle name="Percent 3 6 6 2" xfId="7432" xr:uid="{00000000-0005-0000-0000-0000A61A0000}"/>
    <cellStyle name="Percent 3 6 6 2 2" xfId="7433" xr:uid="{00000000-0005-0000-0000-0000A71A0000}"/>
    <cellStyle name="Percent 3 6 6 2 2 2" xfId="7434" xr:uid="{00000000-0005-0000-0000-0000A81A0000}"/>
    <cellStyle name="Percent 3 6 6 2 3" xfId="7435" xr:uid="{00000000-0005-0000-0000-0000A91A0000}"/>
    <cellStyle name="Percent 3 6 6 2 3 2" xfId="7436" xr:uid="{00000000-0005-0000-0000-0000AA1A0000}"/>
    <cellStyle name="Percent 3 6 6 2 4" xfId="7437" xr:uid="{00000000-0005-0000-0000-0000AB1A0000}"/>
    <cellStyle name="Percent 3 6 6 2 5" xfId="7438" xr:uid="{00000000-0005-0000-0000-0000AC1A0000}"/>
    <cellStyle name="Percent 3 6 6 3" xfId="7439" xr:uid="{00000000-0005-0000-0000-0000AD1A0000}"/>
    <cellStyle name="Percent 3 6 6 3 2" xfId="7440" xr:uid="{00000000-0005-0000-0000-0000AE1A0000}"/>
    <cellStyle name="Percent 3 6 6 3 2 2" xfId="7441" xr:uid="{00000000-0005-0000-0000-0000AF1A0000}"/>
    <cellStyle name="Percent 3 6 6 3 3" xfId="7442" xr:uid="{00000000-0005-0000-0000-0000B01A0000}"/>
    <cellStyle name="Percent 3 6 6 3 3 2" xfId="7443" xr:uid="{00000000-0005-0000-0000-0000B11A0000}"/>
    <cellStyle name="Percent 3 6 6 3 4" xfId="7444" xr:uid="{00000000-0005-0000-0000-0000B21A0000}"/>
    <cellStyle name="Percent 3 6 6 4" xfId="7445" xr:uid="{00000000-0005-0000-0000-0000B31A0000}"/>
    <cellStyle name="Percent 3 6 6 4 2" xfId="7446" xr:uid="{00000000-0005-0000-0000-0000B41A0000}"/>
    <cellStyle name="Percent 3 6 6 4 2 2" xfId="7447" xr:uid="{00000000-0005-0000-0000-0000B51A0000}"/>
    <cellStyle name="Percent 3 6 6 4 3" xfId="7448" xr:uid="{00000000-0005-0000-0000-0000B61A0000}"/>
    <cellStyle name="Percent 3 6 6 4 3 2" xfId="7449" xr:uid="{00000000-0005-0000-0000-0000B71A0000}"/>
    <cellStyle name="Percent 3 6 6 4 4" xfId="7450" xr:uid="{00000000-0005-0000-0000-0000B81A0000}"/>
    <cellStyle name="Percent 3 6 6 5" xfId="7451" xr:uid="{00000000-0005-0000-0000-0000B91A0000}"/>
    <cellStyle name="Percent 3 6 6 5 2" xfId="7452" xr:uid="{00000000-0005-0000-0000-0000BA1A0000}"/>
    <cellStyle name="Percent 3 6 6 5 2 2" xfId="7453" xr:uid="{00000000-0005-0000-0000-0000BB1A0000}"/>
    <cellStyle name="Percent 3 6 6 5 3" xfId="7454" xr:uid="{00000000-0005-0000-0000-0000BC1A0000}"/>
    <cellStyle name="Percent 3 6 6 5 3 2" xfId="7455" xr:uid="{00000000-0005-0000-0000-0000BD1A0000}"/>
    <cellStyle name="Percent 3 6 6 5 4" xfId="7456" xr:uid="{00000000-0005-0000-0000-0000BE1A0000}"/>
    <cellStyle name="Percent 3 6 6 5 4 2" xfId="7457" xr:uid="{00000000-0005-0000-0000-0000BF1A0000}"/>
    <cellStyle name="Percent 3 6 6 5 5" xfId="7458" xr:uid="{00000000-0005-0000-0000-0000C01A0000}"/>
    <cellStyle name="Percent 3 6 6 6" xfId="7459" xr:uid="{00000000-0005-0000-0000-0000C11A0000}"/>
    <cellStyle name="Percent 3 6 6 6 2" xfId="7460" xr:uid="{00000000-0005-0000-0000-0000C21A0000}"/>
    <cellStyle name="Percent 3 6 6 6 2 2" xfId="7461" xr:uid="{00000000-0005-0000-0000-0000C31A0000}"/>
    <cellStyle name="Percent 3 6 6 6 3" xfId="7462" xr:uid="{00000000-0005-0000-0000-0000C41A0000}"/>
    <cellStyle name="Percent 3 6 6 6 3 2" xfId="7463" xr:uid="{00000000-0005-0000-0000-0000C51A0000}"/>
    <cellStyle name="Percent 3 6 6 6 4" xfId="7464" xr:uid="{00000000-0005-0000-0000-0000C61A0000}"/>
    <cellStyle name="Percent 3 6 6 7" xfId="7465" xr:uid="{00000000-0005-0000-0000-0000C71A0000}"/>
    <cellStyle name="Percent 3 6 6 7 2" xfId="7466" xr:uid="{00000000-0005-0000-0000-0000C81A0000}"/>
    <cellStyle name="Percent 3 6 6 8" xfId="7467" xr:uid="{00000000-0005-0000-0000-0000C91A0000}"/>
    <cellStyle name="Percent 3 6 6 8 2" xfId="7468" xr:uid="{00000000-0005-0000-0000-0000CA1A0000}"/>
    <cellStyle name="Percent 3 6 6 9" xfId="7469" xr:uid="{00000000-0005-0000-0000-0000CB1A0000}"/>
    <cellStyle name="Percent 3 6 6 9 2" xfId="7470" xr:uid="{00000000-0005-0000-0000-0000CC1A0000}"/>
    <cellStyle name="Percent 3 6 7" xfId="2921" xr:uid="{00000000-0005-0000-0000-0000CD1A0000}"/>
    <cellStyle name="Percent 3 6 7 10" xfId="7472" xr:uid="{00000000-0005-0000-0000-0000CE1A0000}"/>
    <cellStyle name="Percent 3 6 7 11" xfId="7473" xr:uid="{00000000-0005-0000-0000-0000CF1A0000}"/>
    <cellStyle name="Percent 3 6 7 12" xfId="7471" xr:uid="{00000000-0005-0000-0000-0000D01A0000}"/>
    <cellStyle name="Percent 3 6 7 2" xfId="7474" xr:uid="{00000000-0005-0000-0000-0000D11A0000}"/>
    <cellStyle name="Percent 3 6 7 2 2" xfId="7475" xr:uid="{00000000-0005-0000-0000-0000D21A0000}"/>
    <cellStyle name="Percent 3 6 7 2 2 2" xfId="7476" xr:uid="{00000000-0005-0000-0000-0000D31A0000}"/>
    <cellStyle name="Percent 3 6 7 2 3" xfId="7477" xr:uid="{00000000-0005-0000-0000-0000D41A0000}"/>
    <cellStyle name="Percent 3 6 7 2 3 2" xfId="7478" xr:uid="{00000000-0005-0000-0000-0000D51A0000}"/>
    <cellStyle name="Percent 3 6 7 2 4" xfId="7479" xr:uid="{00000000-0005-0000-0000-0000D61A0000}"/>
    <cellStyle name="Percent 3 6 7 2 5" xfId="7480" xr:uid="{00000000-0005-0000-0000-0000D71A0000}"/>
    <cellStyle name="Percent 3 6 7 3" xfId="7481" xr:uid="{00000000-0005-0000-0000-0000D81A0000}"/>
    <cellStyle name="Percent 3 6 7 3 2" xfId="7482" xr:uid="{00000000-0005-0000-0000-0000D91A0000}"/>
    <cellStyle name="Percent 3 6 7 3 2 2" xfId="7483" xr:uid="{00000000-0005-0000-0000-0000DA1A0000}"/>
    <cellStyle name="Percent 3 6 7 3 3" xfId="7484" xr:uid="{00000000-0005-0000-0000-0000DB1A0000}"/>
    <cellStyle name="Percent 3 6 7 3 3 2" xfId="7485" xr:uid="{00000000-0005-0000-0000-0000DC1A0000}"/>
    <cellStyle name="Percent 3 6 7 3 4" xfId="7486" xr:uid="{00000000-0005-0000-0000-0000DD1A0000}"/>
    <cellStyle name="Percent 3 6 7 4" xfId="7487" xr:uid="{00000000-0005-0000-0000-0000DE1A0000}"/>
    <cellStyle name="Percent 3 6 7 4 2" xfId="7488" xr:uid="{00000000-0005-0000-0000-0000DF1A0000}"/>
    <cellStyle name="Percent 3 6 7 4 2 2" xfId="7489" xr:uid="{00000000-0005-0000-0000-0000E01A0000}"/>
    <cellStyle name="Percent 3 6 7 4 3" xfId="7490" xr:uid="{00000000-0005-0000-0000-0000E11A0000}"/>
    <cellStyle name="Percent 3 6 7 4 3 2" xfId="7491" xr:uid="{00000000-0005-0000-0000-0000E21A0000}"/>
    <cellStyle name="Percent 3 6 7 4 4" xfId="7492" xr:uid="{00000000-0005-0000-0000-0000E31A0000}"/>
    <cellStyle name="Percent 3 6 7 5" xfId="7493" xr:uid="{00000000-0005-0000-0000-0000E41A0000}"/>
    <cellStyle name="Percent 3 6 7 5 2" xfId="7494" xr:uid="{00000000-0005-0000-0000-0000E51A0000}"/>
    <cellStyle name="Percent 3 6 7 5 2 2" xfId="7495" xr:uid="{00000000-0005-0000-0000-0000E61A0000}"/>
    <cellStyle name="Percent 3 6 7 5 3" xfId="7496" xr:uid="{00000000-0005-0000-0000-0000E71A0000}"/>
    <cellStyle name="Percent 3 6 7 5 3 2" xfId="7497" xr:uid="{00000000-0005-0000-0000-0000E81A0000}"/>
    <cellStyle name="Percent 3 6 7 5 4" xfId="7498" xr:uid="{00000000-0005-0000-0000-0000E91A0000}"/>
    <cellStyle name="Percent 3 6 7 5 4 2" xfId="7499" xr:uid="{00000000-0005-0000-0000-0000EA1A0000}"/>
    <cellStyle name="Percent 3 6 7 5 5" xfId="7500" xr:uid="{00000000-0005-0000-0000-0000EB1A0000}"/>
    <cellStyle name="Percent 3 6 7 6" xfId="7501" xr:uid="{00000000-0005-0000-0000-0000EC1A0000}"/>
    <cellStyle name="Percent 3 6 7 6 2" xfId="7502" xr:uid="{00000000-0005-0000-0000-0000ED1A0000}"/>
    <cellStyle name="Percent 3 6 7 6 2 2" xfId="7503" xr:uid="{00000000-0005-0000-0000-0000EE1A0000}"/>
    <cellStyle name="Percent 3 6 7 6 3" xfId="7504" xr:uid="{00000000-0005-0000-0000-0000EF1A0000}"/>
    <cellStyle name="Percent 3 6 7 6 3 2" xfId="7505" xr:uid="{00000000-0005-0000-0000-0000F01A0000}"/>
    <cellStyle name="Percent 3 6 7 6 4" xfId="7506" xr:uid="{00000000-0005-0000-0000-0000F11A0000}"/>
    <cellStyle name="Percent 3 6 7 7" xfId="7507" xr:uid="{00000000-0005-0000-0000-0000F21A0000}"/>
    <cellStyle name="Percent 3 6 7 7 2" xfId="7508" xr:uid="{00000000-0005-0000-0000-0000F31A0000}"/>
    <cellStyle name="Percent 3 6 7 8" xfId="7509" xr:uid="{00000000-0005-0000-0000-0000F41A0000}"/>
    <cellStyle name="Percent 3 6 7 8 2" xfId="7510" xr:uid="{00000000-0005-0000-0000-0000F51A0000}"/>
    <cellStyle name="Percent 3 6 7 9" xfId="7511" xr:uid="{00000000-0005-0000-0000-0000F61A0000}"/>
    <cellStyle name="Percent 3 6 7 9 2" xfId="7512" xr:uid="{00000000-0005-0000-0000-0000F71A0000}"/>
    <cellStyle name="Percent 3 6 8" xfId="2922" xr:uid="{00000000-0005-0000-0000-0000F81A0000}"/>
    <cellStyle name="Percent 3 6 8 10" xfId="7514" xr:uid="{00000000-0005-0000-0000-0000F91A0000}"/>
    <cellStyle name="Percent 3 6 8 11" xfId="7515" xr:uid="{00000000-0005-0000-0000-0000FA1A0000}"/>
    <cellStyle name="Percent 3 6 8 12" xfId="7513" xr:uid="{00000000-0005-0000-0000-0000FB1A0000}"/>
    <cellStyle name="Percent 3 6 8 2" xfId="7516" xr:uid="{00000000-0005-0000-0000-0000FC1A0000}"/>
    <cellStyle name="Percent 3 6 8 2 2" xfId="7517" xr:uid="{00000000-0005-0000-0000-0000FD1A0000}"/>
    <cellStyle name="Percent 3 6 8 2 2 2" xfId="7518" xr:uid="{00000000-0005-0000-0000-0000FE1A0000}"/>
    <cellStyle name="Percent 3 6 8 2 3" xfId="7519" xr:uid="{00000000-0005-0000-0000-0000FF1A0000}"/>
    <cellStyle name="Percent 3 6 8 2 3 2" xfId="7520" xr:uid="{00000000-0005-0000-0000-0000001B0000}"/>
    <cellStyle name="Percent 3 6 8 2 4" xfId="7521" xr:uid="{00000000-0005-0000-0000-0000011B0000}"/>
    <cellStyle name="Percent 3 6 8 2 5" xfId="7522" xr:uid="{00000000-0005-0000-0000-0000021B0000}"/>
    <cellStyle name="Percent 3 6 8 3" xfId="7523" xr:uid="{00000000-0005-0000-0000-0000031B0000}"/>
    <cellStyle name="Percent 3 6 8 3 2" xfId="7524" xr:uid="{00000000-0005-0000-0000-0000041B0000}"/>
    <cellStyle name="Percent 3 6 8 3 2 2" xfId="7525" xr:uid="{00000000-0005-0000-0000-0000051B0000}"/>
    <cellStyle name="Percent 3 6 8 3 3" xfId="7526" xr:uid="{00000000-0005-0000-0000-0000061B0000}"/>
    <cellStyle name="Percent 3 6 8 3 3 2" xfId="7527" xr:uid="{00000000-0005-0000-0000-0000071B0000}"/>
    <cellStyle name="Percent 3 6 8 3 4" xfId="7528" xr:uid="{00000000-0005-0000-0000-0000081B0000}"/>
    <cellStyle name="Percent 3 6 8 4" xfId="7529" xr:uid="{00000000-0005-0000-0000-0000091B0000}"/>
    <cellStyle name="Percent 3 6 8 4 2" xfId="7530" xr:uid="{00000000-0005-0000-0000-00000A1B0000}"/>
    <cellStyle name="Percent 3 6 8 4 2 2" xfId="7531" xr:uid="{00000000-0005-0000-0000-00000B1B0000}"/>
    <cellStyle name="Percent 3 6 8 4 3" xfId="7532" xr:uid="{00000000-0005-0000-0000-00000C1B0000}"/>
    <cellStyle name="Percent 3 6 8 4 3 2" xfId="7533" xr:uid="{00000000-0005-0000-0000-00000D1B0000}"/>
    <cellStyle name="Percent 3 6 8 4 4" xfId="7534" xr:uid="{00000000-0005-0000-0000-00000E1B0000}"/>
    <cellStyle name="Percent 3 6 8 5" xfId="7535" xr:uid="{00000000-0005-0000-0000-00000F1B0000}"/>
    <cellStyle name="Percent 3 6 8 5 2" xfId="7536" xr:uid="{00000000-0005-0000-0000-0000101B0000}"/>
    <cellStyle name="Percent 3 6 8 5 2 2" xfId="7537" xr:uid="{00000000-0005-0000-0000-0000111B0000}"/>
    <cellStyle name="Percent 3 6 8 5 3" xfId="7538" xr:uid="{00000000-0005-0000-0000-0000121B0000}"/>
    <cellStyle name="Percent 3 6 8 5 3 2" xfId="7539" xr:uid="{00000000-0005-0000-0000-0000131B0000}"/>
    <cellStyle name="Percent 3 6 8 5 4" xfId="7540" xr:uid="{00000000-0005-0000-0000-0000141B0000}"/>
    <cellStyle name="Percent 3 6 8 5 4 2" xfId="7541" xr:uid="{00000000-0005-0000-0000-0000151B0000}"/>
    <cellStyle name="Percent 3 6 8 5 5" xfId="7542" xr:uid="{00000000-0005-0000-0000-0000161B0000}"/>
    <cellStyle name="Percent 3 6 8 6" xfId="7543" xr:uid="{00000000-0005-0000-0000-0000171B0000}"/>
    <cellStyle name="Percent 3 6 8 6 2" xfId="7544" xr:uid="{00000000-0005-0000-0000-0000181B0000}"/>
    <cellStyle name="Percent 3 6 8 6 2 2" xfId="7545" xr:uid="{00000000-0005-0000-0000-0000191B0000}"/>
    <cellStyle name="Percent 3 6 8 6 3" xfId="7546" xr:uid="{00000000-0005-0000-0000-00001A1B0000}"/>
    <cellStyle name="Percent 3 6 8 6 3 2" xfId="7547" xr:uid="{00000000-0005-0000-0000-00001B1B0000}"/>
    <cellStyle name="Percent 3 6 8 6 4" xfId="7548" xr:uid="{00000000-0005-0000-0000-00001C1B0000}"/>
    <cellStyle name="Percent 3 6 8 7" xfId="7549" xr:uid="{00000000-0005-0000-0000-00001D1B0000}"/>
    <cellStyle name="Percent 3 6 8 7 2" xfId="7550" xr:uid="{00000000-0005-0000-0000-00001E1B0000}"/>
    <cellStyle name="Percent 3 6 8 8" xfId="7551" xr:uid="{00000000-0005-0000-0000-00001F1B0000}"/>
    <cellStyle name="Percent 3 6 8 8 2" xfId="7552" xr:uid="{00000000-0005-0000-0000-0000201B0000}"/>
    <cellStyle name="Percent 3 6 8 9" xfId="7553" xr:uid="{00000000-0005-0000-0000-0000211B0000}"/>
    <cellStyle name="Percent 3 6 8 9 2" xfId="7554" xr:uid="{00000000-0005-0000-0000-0000221B0000}"/>
    <cellStyle name="Percent 3 6 9" xfId="2923" xr:uid="{00000000-0005-0000-0000-0000231B0000}"/>
    <cellStyle name="Percent 3 6 9 10" xfId="7556" xr:uid="{00000000-0005-0000-0000-0000241B0000}"/>
    <cellStyle name="Percent 3 6 9 11" xfId="7557" xr:uid="{00000000-0005-0000-0000-0000251B0000}"/>
    <cellStyle name="Percent 3 6 9 12" xfId="7555" xr:uid="{00000000-0005-0000-0000-0000261B0000}"/>
    <cellStyle name="Percent 3 6 9 2" xfId="7558" xr:uid="{00000000-0005-0000-0000-0000271B0000}"/>
    <cellStyle name="Percent 3 6 9 2 2" xfId="7559" xr:uid="{00000000-0005-0000-0000-0000281B0000}"/>
    <cellStyle name="Percent 3 6 9 2 2 2" xfId="7560" xr:uid="{00000000-0005-0000-0000-0000291B0000}"/>
    <cellStyle name="Percent 3 6 9 2 3" xfId="7561" xr:uid="{00000000-0005-0000-0000-00002A1B0000}"/>
    <cellStyle name="Percent 3 6 9 2 3 2" xfId="7562" xr:uid="{00000000-0005-0000-0000-00002B1B0000}"/>
    <cellStyle name="Percent 3 6 9 2 4" xfId="7563" xr:uid="{00000000-0005-0000-0000-00002C1B0000}"/>
    <cellStyle name="Percent 3 6 9 2 5" xfId="7564" xr:uid="{00000000-0005-0000-0000-00002D1B0000}"/>
    <cellStyle name="Percent 3 6 9 3" xfId="7565" xr:uid="{00000000-0005-0000-0000-00002E1B0000}"/>
    <cellStyle name="Percent 3 6 9 3 2" xfId="7566" xr:uid="{00000000-0005-0000-0000-00002F1B0000}"/>
    <cellStyle name="Percent 3 6 9 3 2 2" xfId="7567" xr:uid="{00000000-0005-0000-0000-0000301B0000}"/>
    <cellStyle name="Percent 3 6 9 3 3" xfId="7568" xr:uid="{00000000-0005-0000-0000-0000311B0000}"/>
    <cellStyle name="Percent 3 6 9 3 3 2" xfId="7569" xr:uid="{00000000-0005-0000-0000-0000321B0000}"/>
    <cellStyle name="Percent 3 6 9 3 4" xfId="7570" xr:uid="{00000000-0005-0000-0000-0000331B0000}"/>
    <cellStyle name="Percent 3 6 9 4" xfId="7571" xr:uid="{00000000-0005-0000-0000-0000341B0000}"/>
    <cellStyle name="Percent 3 6 9 4 2" xfId="7572" xr:uid="{00000000-0005-0000-0000-0000351B0000}"/>
    <cellStyle name="Percent 3 6 9 4 2 2" xfId="7573" xr:uid="{00000000-0005-0000-0000-0000361B0000}"/>
    <cellStyle name="Percent 3 6 9 4 3" xfId="7574" xr:uid="{00000000-0005-0000-0000-0000371B0000}"/>
    <cellStyle name="Percent 3 6 9 4 3 2" xfId="7575" xr:uid="{00000000-0005-0000-0000-0000381B0000}"/>
    <cellStyle name="Percent 3 6 9 4 4" xfId="7576" xr:uid="{00000000-0005-0000-0000-0000391B0000}"/>
    <cellStyle name="Percent 3 6 9 5" xfId="7577" xr:uid="{00000000-0005-0000-0000-00003A1B0000}"/>
    <cellStyle name="Percent 3 6 9 5 2" xfId="7578" xr:uid="{00000000-0005-0000-0000-00003B1B0000}"/>
    <cellStyle name="Percent 3 6 9 5 2 2" xfId="7579" xr:uid="{00000000-0005-0000-0000-00003C1B0000}"/>
    <cellStyle name="Percent 3 6 9 5 3" xfId="7580" xr:uid="{00000000-0005-0000-0000-00003D1B0000}"/>
    <cellStyle name="Percent 3 6 9 5 3 2" xfId="7581" xr:uid="{00000000-0005-0000-0000-00003E1B0000}"/>
    <cellStyle name="Percent 3 6 9 5 4" xfId="7582" xr:uid="{00000000-0005-0000-0000-00003F1B0000}"/>
    <cellStyle name="Percent 3 6 9 5 4 2" xfId="7583" xr:uid="{00000000-0005-0000-0000-0000401B0000}"/>
    <cellStyle name="Percent 3 6 9 5 5" xfId="7584" xr:uid="{00000000-0005-0000-0000-0000411B0000}"/>
    <cellStyle name="Percent 3 6 9 6" xfId="7585" xr:uid="{00000000-0005-0000-0000-0000421B0000}"/>
    <cellStyle name="Percent 3 6 9 6 2" xfId="7586" xr:uid="{00000000-0005-0000-0000-0000431B0000}"/>
    <cellStyle name="Percent 3 6 9 6 2 2" xfId="7587" xr:uid="{00000000-0005-0000-0000-0000441B0000}"/>
    <cellStyle name="Percent 3 6 9 6 3" xfId="7588" xr:uid="{00000000-0005-0000-0000-0000451B0000}"/>
    <cellStyle name="Percent 3 6 9 6 3 2" xfId="7589" xr:uid="{00000000-0005-0000-0000-0000461B0000}"/>
    <cellStyle name="Percent 3 6 9 6 4" xfId="7590" xr:uid="{00000000-0005-0000-0000-0000471B0000}"/>
    <cellStyle name="Percent 3 6 9 7" xfId="7591" xr:uid="{00000000-0005-0000-0000-0000481B0000}"/>
    <cellStyle name="Percent 3 6 9 7 2" xfId="7592" xr:uid="{00000000-0005-0000-0000-0000491B0000}"/>
    <cellStyle name="Percent 3 6 9 8" xfId="7593" xr:uid="{00000000-0005-0000-0000-00004A1B0000}"/>
    <cellStyle name="Percent 3 6 9 8 2" xfId="7594" xr:uid="{00000000-0005-0000-0000-00004B1B0000}"/>
    <cellStyle name="Percent 3 6 9 9" xfId="7595" xr:uid="{00000000-0005-0000-0000-00004C1B0000}"/>
    <cellStyle name="Percent 3 6 9 9 2" xfId="7596" xr:uid="{00000000-0005-0000-0000-00004D1B0000}"/>
    <cellStyle name="Percent 3 7" xfId="285" xr:uid="{00000000-0005-0000-0000-00004E1B0000}"/>
    <cellStyle name="Percent 3 7 10" xfId="2924" xr:uid="{00000000-0005-0000-0000-00004F1B0000}"/>
    <cellStyle name="Percent 3 7 10 10" xfId="7599" xr:uid="{00000000-0005-0000-0000-0000501B0000}"/>
    <cellStyle name="Percent 3 7 10 11" xfId="7600" xr:uid="{00000000-0005-0000-0000-0000511B0000}"/>
    <cellStyle name="Percent 3 7 10 12" xfId="7598" xr:uid="{00000000-0005-0000-0000-0000521B0000}"/>
    <cellStyle name="Percent 3 7 10 2" xfId="7601" xr:uid="{00000000-0005-0000-0000-0000531B0000}"/>
    <cellStyle name="Percent 3 7 10 2 2" xfId="7602" xr:uid="{00000000-0005-0000-0000-0000541B0000}"/>
    <cellStyle name="Percent 3 7 10 2 2 2" xfId="7603" xr:uid="{00000000-0005-0000-0000-0000551B0000}"/>
    <cellStyle name="Percent 3 7 10 2 3" xfId="7604" xr:uid="{00000000-0005-0000-0000-0000561B0000}"/>
    <cellStyle name="Percent 3 7 10 2 3 2" xfId="7605" xr:uid="{00000000-0005-0000-0000-0000571B0000}"/>
    <cellStyle name="Percent 3 7 10 2 4" xfId="7606" xr:uid="{00000000-0005-0000-0000-0000581B0000}"/>
    <cellStyle name="Percent 3 7 10 2 5" xfId="7607" xr:uid="{00000000-0005-0000-0000-0000591B0000}"/>
    <cellStyle name="Percent 3 7 10 3" xfId="7608" xr:uid="{00000000-0005-0000-0000-00005A1B0000}"/>
    <cellStyle name="Percent 3 7 10 3 2" xfId="7609" xr:uid="{00000000-0005-0000-0000-00005B1B0000}"/>
    <cellStyle name="Percent 3 7 10 3 2 2" xfId="7610" xr:uid="{00000000-0005-0000-0000-00005C1B0000}"/>
    <cellStyle name="Percent 3 7 10 3 3" xfId="7611" xr:uid="{00000000-0005-0000-0000-00005D1B0000}"/>
    <cellStyle name="Percent 3 7 10 3 3 2" xfId="7612" xr:uid="{00000000-0005-0000-0000-00005E1B0000}"/>
    <cellStyle name="Percent 3 7 10 3 4" xfId="7613" xr:uid="{00000000-0005-0000-0000-00005F1B0000}"/>
    <cellStyle name="Percent 3 7 10 4" xfId="7614" xr:uid="{00000000-0005-0000-0000-0000601B0000}"/>
    <cellStyle name="Percent 3 7 10 4 2" xfId="7615" xr:uid="{00000000-0005-0000-0000-0000611B0000}"/>
    <cellStyle name="Percent 3 7 10 4 2 2" xfId="7616" xr:uid="{00000000-0005-0000-0000-0000621B0000}"/>
    <cellStyle name="Percent 3 7 10 4 3" xfId="7617" xr:uid="{00000000-0005-0000-0000-0000631B0000}"/>
    <cellStyle name="Percent 3 7 10 4 3 2" xfId="7618" xr:uid="{00000000-0005-0000-0000-0000641B0000}"/>
    <cellStyle name="Percent 3 7 10 4 4" xfId="7619" xr:uid="{00000000-0005-0000-0000-0000651B0000}"/>
    <cellStyle name="Percent 3 7 10 5" xfId="7620" xr:uid="{00000000-0005-0000-0000-0000661B0000}"/>
    <cellStyle name="Percent 3 7 10 5 2" xfId="7621" xr:uid="{00000000-0005-0000-0000-0000671B0000}"/>
    <cellStyle name="Percent 3 7 10 5 2 2" xfId="7622" xr:uid="{00000000-0005-0000-0000-0000681B0000}"/>
    <cellStyle name="Percent 3 7 10 5 3" xfId="7623" xr:uid="{00000000-0005-0000-0000-0000691B0000}"/>
    <cellStyle name="Percent 3 7 10 5 3 2" xfId="7624" xr:uid="{00000000-0005-0000-0000-00006A1B0000}"/>
    <cellStyle name="Percent 3 7 10 5 4" xfId="7625" xr:uid="{00000000-0005-0000-0000-00006B1B0000}"/>
    <cellStyle name="Percent 3 7 10 5 4 2" xfId="7626" xr:uid="{00000000-0005-0000-0000-00006C1B0000}"/>
    <cellStyle name="Percent 3 7 10 5 5" xfId="7627" xr:uid="{00000000-0005-0000-0000-00006D1B0000}"/>
    <cellStyle name="Percent 3 7 10 6" xfId="7628" xr:uid="{00000000-0005-0000-0000-00006E1B0000}"/>
    <cellStyle name="Percent 3 7 10 6 2" xfId="7629" xr:uid="{00000000-0005-0000-0000-00006F1B0000}"/>
    <cellStyle name="Percent 3 7 10 6 2 2" xfId="7630" xr:uid="{00000000-0005-0000-0000-0000701B0000}"/>
    <cellStyle name="Percent 3 7 10 6 3" xfId="7631" xr:uid="{00000000-0005-0000-0000-0000711B0000}"/>
    <cellStyle name="Percent 3 7 10 6 3 2" xfId="7632" xr:uid="{00000000-0005-0000-0000-0000721B0000}"/>
    <cellStyle name="Percent 3 7 10 6 4" xfId="7633" xr:uid="{00000000-0005-0000-0000-0000731B0000}"/>
    <cellStyle name="Percent 3 7 10 7" xfId="7634" xr:uid="{00000000-0005-0000-0000-0000741B0000}"/>
    <cellStyle name="Percent 3 7 10 7 2" xfId="7635" xr:uid="{00000000-0005-0000-0000-0000751B0000}"/>
    <cellStyle name="Percent 3 7 10 8" xfId="7636" xr:uid="{00000000-0005-0000-0000-0000761B0000}"/>
    <cellStyle name="Percent 3 7 10 8 2" xfId="7637" xr:uid="{00000000-0005-0000-0000-0000771B0000}"/>
    <cellStyle name="Percent 3 7 10 9" xfId="7638" xr:uid="{00000000-0005-0000-0000-0000781B0000}"/>
    <cellStyle name="Percent 3 7 10 9 2" xfId="7639" xr:uid="{00000000-0005-0000-0000-0000791B0000}"/>
    <cellStyle name="Percent 3 7 11" xfId="2925" xr:uid="{00000000-0005-0000-0000-00007A1B0000}"/>
    <cellStyle name="Percent 3 7 11 10" xfId="7641" xr:uid="{00000000-0005-0000-0000-00007B1B0000}"/>
    <cellStyle name="Percent 3 7 11 11" xfId="7642" xr:uid="{00000000-0005-0000-0000-00007C1B0000}"/>
    <cellStyle name="Percent 3 7 11 12" xfId="7640" xr:uid="{00000000-0005-0000-0000-00007D1B0000}"/>
    <cellStyle name="Percent 3 7 11 2" xfId="7643" xr:uid="{00000000-0005-0000-0000-00007E1B0000}"/>
    <cellStyle name="Percent 3 7 11 2 2" xfId="7644" xr:uid="{00000000-0005-0000-0000-00007F1B0000}"/>
    <cellStyle name="Percent 3 7 11 2 2 2" xfId="7645" xr:uid="{00000000-0005-0000-0000-0000801B0000}"/>
    <cellStyle name="Percent 3 7 11 2 3" xfId="7646" xr:uid="{00000000-0005-0000-0000-0000811B0000}"/>
    <cellStyle name="Percent 3 7 11 2 3 2" xfId="7647" xr:uid="{00000000-0005-0000-0000-0000821B0000}"/>
    <cellStyle name="Percent 3 7 11 2 4" xfId="7648" xr:uid="{00000000-0005-0000-0000-0000831B0000}"/>
    <cellStyle name="Percent 3 7 11 2 5" xfId="7649" xr:uid="{00000000-0005-0000-0000-0000841B0000}"/>
    <cellStyle name="Percent 3 7 11 3" xfId="7650" xr:uid="{00000000-0005-0000-0000-0000851B0000}"/>
    <cellStyle name="Percent 3 7 11 3 2" xfId="7651" xr:uid="{00000000-0005-0000-0000-0000861B0000}"/>
    <cellStyle name="Percent 3 7 11 3 2 2" xfId="7652" xr:uid="{00000000-0005-0000-0000-0000871B0000}"/>
    <cellStyle name="Percent 3 7 11 3 3" xfId="7653" xr:uid="{00000000-0005-0000-0000-0000881B0000}"/>
    <cellStyle name="Percent 3 7 11 3 3 2" xfId="7654" xr:uid="{00000000-0005-0000-0000-0000891B0000}"/>
    <cellStyle name="Percent 3 7 11 3 4" xfId="7655" xr:uid="{00000000-0005-0000-0000-00008A1B0000}"/>
    <cellStyle name="Percent 3 7 11 4" xfId="7656" xr:uid="{00000000-0005-0000-0000-00008B1B0000}"/>
    <cellStyle name="Percent 3 7 11 4 2" xfId="7657" xr:uid="{00000000-0005-0000-0000-00008C1B0000}"/>
    <cellStyle name="Percent 3 7 11 4 2 2" xfId="7658" xr:uid="{00000000-0005-0000-0000-00008D1B0000}"/>
    <cellStyle name="Percent 3 7 11 4 3" xfId="7659" xr:uid="{00000000-0005-0000-0000-00008E1B0000}"/>
    <cellStyle name="Percent 3 7 11 4 3 2" xfId="7660" xr:uid="{00000000-0005-0000-0000-00008F1B0000}"/>
    <cellStyle name="Percent 3 7 11 4 4" xfId="7661" xr:uid="{00000000-0005-0000-0000-0000901B0000}"/>
    <cellStyle name="Percent 3 7 11 5" xfId="7662" xr:uid="{00000000-0005-0000-0000-0000911B0000}"/>
    <cellStyle name="Percent 3 7 11 5 2" xfId="7663" xr:uid="{00000000-0005-0000-0000-0000921B0000}"/>
    <cellStyle name="Percent 3 7 11 5 2 2" xfId="7664" xr:uid="{00000000-0005-0000-0000-0000931B0000}"/>
    <cellStyle name="Percent 3 7 11 5 3" xfId="7665" xr:uid="{00000000-0005-0000-0000-0000941B0000}"/>
    <cellStyle name="Percent 3 7 11 5 3 2" xfId="7666" xr:uid="{00000000-0005-0000-0000-0000951B0000}"/>
    <cellStyle name="Percent 3 7 11 5 4" xfId="7667" xr:uid="{00000000-0005-0000-0000-0000961B0000}"/>
    <cellStyle name="Percent 3 7 11 5 4 2" xfId="7668" xr:uid="{00000000-0005-0000-0000-0000971B0000}"/>
    <cellStyle name="Percent 3 7 11 5 5" xfId="7669" xr:uid="{00000000-0005-0000-0000-0000981B0000}"/>
    <cellStyle name="Percent 3 7 11 6" xfId="7670" xr:uid="{00000000-0005-0000-0000-0000991B0000}"/>
    <cellStyle name="Percent 3 7 11 6 2" xfId="7671" xr:uid="{00000000-0005-0000-0000-00009A1B0000}"/>
    <cellStyle name="Percent 3 7 11 6 2 2" xfId="7672" xr:uid="{00000000-0005-0000-0000-00009B1B0000}"/>
    <cellStyle name="Percent 3 7 11 6 3" xfId="7673" xr:uid="{00000000-0005-0000-0000-00009C1B0000}"/>
    <cellStyle name="Percent 3 7 11 6 3 2" xfId="7674" xr:uid="{00000000-0005-0000-0000-00009D1B0000}"/>
    <cellStyle name="Percent 3 7 11 6 4" xfId="7675" xr:uid="{00000000-0005-0000-0000-00009E1B0000}"/>
    <cellStyle name="Percent 3 7 11 7" xfId="7676" xr:uid="{00000000-0005-0000-0000-00009F1B0000}"/>
    <cellStyle name="Percent 3 7 11 7 2" xfId="7677" xr:uid="{00000000-0005-0000-0000-0000A01B0000}"/>
    <cellStyle name="Percent 3 7 11 8" xfId="7678" xr:uid="{00000000-0005-0000-0000-0000A11B0000}"/>
    <cellStyle name="Percent 3 7 11 8 2" xfId="7679" xr:uid="{00000000-0005-0000-0000-0000A21B0000}"/>
    <cellStyle name="Percent 3 7 11 9" xfId="7680" xr:uid="{00000000-0005-0000-0000-0000A31B0000}"/>
    <cellStyle name="Percent 3 7 11 9 2" xfId="7681" xr:uid="{00000000-0005-0000-0000-0000A41B0000}"/>
    <cellStyle name="Percent 3 7 12" xfId="2926" xr:uid="{00000000-0005-0000-0000-0000A51B0000}"/>
    <cellStyle name="Percent 3 7 12 10" xfId="7683" xr:uid="{00000000-0005-0000-0000-0000A61B0000}"/>
    <cellStyle name="Percent 3 7 12 11" xfId="7684" xr:uid="{00000000-0005-0000-0000-0000A71B0000}"/>
    <cellStyle name="Percent 3 7 12 12" xfId="7682" xr:uid="{00000000-0005-0000-0000-0000A81B0000}"/>
    <cellStyle name="Percent 3 7 12 2" xfId="7685" xr:uid="{00000000-0005-0000-0000-0000A91B0000}"/>
    <cellStyle name="Percent 3 7 12 2 2" xfId="7686" xr:uid="{00000000-0005-0000-0000-0000AA1B0000}"/>
    <cellStyle name="Percent 3 7 12 2 2 2" xfId="7687" xr:uid="{00000000-0005-0000-0000-0000AB1B0000}"/>
    <cellStyle name="Percent 3 7 12 2 3" xfId="7688" xr:uid="{00000000-0005-0000-0000-0000AC1B0000}"/>
    <cellStyle name="Percent 3 7 12 2 3 2" xfId="7689" xr:uid="{00000000-0005-0000-0000-0000AD1B0000}"/>
    <cellStyle name="Percent 3 7 12 2 4" xfId="7690" xr:uid="{00000000-0005-0000-0000-0000AE1B0000}"/>
    <cellStyle name="Percent 3 7 12 2 5" xfId="7691" xr:uid="{00000000-0005-0000-0000-0000AF1B0000}"/>
    <cellStyle name="Percent 3 7 12 3" xfId="7692" xr:uid="{00000000-0005-0000-0000-0000B01B0000}"/>
    <cellStyle name="Percent 3 7 12 3 2" xfId="7693" xr:uid="{00000000-0005-0000-0000-0000B11B0000}"/>
    <cellStyle name="Percent 3 7 12 3 2 2" xfId="7694" xr:uid="{00000000-0005-0000-0000-0000B21B0000}"/>
    <cellStyle name="Percent 3 7 12 3 3" xfId="7695" xr:uid="{00000000-0005-0000-0000-0000B31B0000}"/>
    <cellStyle name="Percent 3 7 12 3 3 2" xfId="7696" xr:uid="{00000000-0005-0000-0000-0000B41B0000}"/>
    <cellStyle name="Percent 3 7 12 3 4" xfId="7697" xr:uid="{00000000-0005-0000-0000-0000B51B0000}"/>
    <cellStyle name="Percent 3 7 12 4" xfId="7698" xr:uid="{00000000-0005-0000-0000-0000B61B0000}"/>
    <cellStyle name="Percent 3 7 12 4 2" xfId="7699" xr:uid="{00000000-0005-0000-0000-0000B71B0000}"/>
    <cellStyle name="Percent 3 7 12 4 2 2" xfId="7700" xr:uid="{00000000-0005-0000-0000-0000B81B0000}"/>
    <cellStyle name="Percent 3 7 12 4 3" xfId="7701" xr:uid="{00000000-0005-0000-0000-0000B91B0000}"/>
    <cellStyle name="Percent 3 7 12 4 3 2" xfId="7702" xr:uid="{00000000-0005-0000-0000-0000BA1B0000}"/>
    <cellStyle name="Percent 3 7 12 4 4" xfId="7703" xr:uid="{00000000-0005-0000-0000-0000BB1B0000}"/>
    <cellStyle name="Percent 3 7 12 5" xfId="7704" xr:uid="{00000000-0005-0000-0000-0000BC1B0000}"/>
    <cellStyle name="Percent 3 7 12 5 2" xfId="7705" xr:uid="{00000000-0005-0000-0000-0000BD1B0000}"/>
    <cellStyle name="Percent 3 7 12 5 2 2" xfId="7706" xr:uid="{00000000-0005-0000-0000-0000BE1B0000}"/>
    <cellStyle name="Percent 3 7 12 5 3" xfId="7707" xr:uid="{00000000-0005-0000-0000-0000BF1B0000}"/>
    <cellStyle name="Percent 3 7 12 5 3 2" xfId="7708" xr:uid="{00000000-0005-0000-0000-0000C01B0000}"/>
    <cellStyle name="Percent 3 7 12 5 4" xfId="7709" xr:uid="{00000000-0005-0000-0000-0000C11B0000}"/>
    <cellStyle name="Percent 3 7 12 5 4 2" xfId="7710" xr:uid="{00000000-0005-0000-0000-0000C21B0000}"/>
    <cellStyle name="Percent 3 7 12 5 5" xfId="7711" xr:uid="{00000000-0005-0000-0000-0000C31B0000}"/>
    <cellStyle name="Percent 3 7 12 6" xfId="7712" xr:uid="{00000000-0005-0000-0000-0000C41B0000}"/>
    <cellStyle name="Percent 3 7 12 6 2" xfId="7713" xr:uid="{00000000-0005-0000-0000-0000C51B0000}"/>
    <cellStyle name="Percent 3 7 12 6 2 2" xfId="7714" xr:uid="{00000000-0005-0000-0000-0000C61B0000}"/>
    <cellStyle name="Percent 3 7 12 6 3" xfId="7715" xr:uid="{00000000-0005-0000-0000-0000C71B0000}"/>
    <cellStyle name="Percent 3 7 12 6 3 2" xfId="7716" xr:uid="{00000000-0005-0000-0000-0000C81B0000}"/>
    <cellStyle name="Percent 3 7 12 6 4" xfId="7717" xr:uid="{00000000-0005-0000-0000-0000C91B0000}"/>
    <cellStyle name="Percent 3 7 12 7" xfId="7718" xr:uid="{00000000-0005-0000-0000-0000CA1B0000}"/>
    <cellStyle name="Percent 3 7 12 7 2" xfId="7719" xr:uid="{00000000-0005-0000-0000-0000CB1B0000}"/>
    <cellStyle name="Percent 3 7 12 8" xfId="7720" xr:uid="{00000000-0005-0000-0000-0000CC1B0000}"/>
    <cellStyle name="Percent 3 7 12 8 2" xfId="7721" xr:uid="{00000000-0005-0000-0000-0000CD1B0000}"/>
    <cellStyle name="Percent 3 7 12 9" xfId="7722" xr:uid="{00000000-0005-0000-0000-0000CE1B0000}"/>
    <cellStyle name="Percent 3 7 12 9 2" xfId="7723" xr:uid="{00000000-0005-0000-0000-0000CF1B0000}"/>
    <cellStyle name="Percent 3 7 13" xfId="2927" xr:uid="{00000000-0005-0000-0000-0000D01B0000}"/>
    <cellStyle name="Percent 3 7 13 10" xfId="7725" xr:uid="{00000000-0005-0000-0000-0000D11B0000}"/>
    <cellStyle name="Percent 3 7 13 11" xfId="7726" xr:uid="{00000000-0005-0000-0000-0000D21B0000}"/>
    <cellStyle name="Percent 3 7 13 12" xfId="7724" xr:uid="{00000000-0005-0000-0000-0000D31B0000}"/>
    <cellStyle name="Percent 3 7 13 2" xfId="7727" xr:uid="{00000000-0005-0000-0000-0000D41B0000}"/>
    <cellStyle name="Percent 3 7 13 2 2" xfId="7728" xr:uid="{00000000-0005-0000-0000-0000D51B0000}"/>
    <cellStyle name="Percent 3 7 13 2 2 2" xfId="7729" xr:uid="{00000000-0005-0000-0000-0000D61B0000}"/>
    <cellStyle name="Percent 3 7 13 2 3" xfId="7730" xr:uid="{00000000-0005-0000-0000-0000D71B0000}"/>
    <cellStyle name="Percent 3 7 13 2 3 2" xfId="7731" xr:uid="{00000000-0005-0000-0000-0000D81B0000}"/>
    <cellStyle name="Percent 3 7 13 2 4" xfId="7732" xr:uid="{00000000-0005-0000-0000-0000D91B0000}"/>
    <cellStyle name="Percent 3 7 13 2 5" xfId="7733" xr:uid="{00000000-0005-0000-0000-0000DA1B0000}"/>
    <cellStyle name="Percent 3 7 13 3" xfId="7734" xr:uid="{00000000-0005-0000-0000-0000DB1B0000}"/>
    <cellStyle name="Percent 3 7 13 3 2" xfId="7735" xr:uid="{00000000-0005-0000-0000-0000DC1B0000}"/>
    <cellStyle name="Percent 3 7 13 3 2 2" xfId="7736" xr:uid="{00000000-0005-0000-0000-0000DD1B0000}"/>
    <cellStyle name="Percent 3 7 13 3 3" xfId="7737" xr:uid="{00000000-0005-0000-0000-0000DE1B0000}"/>
    <cellStyle name="Percent 3 7 13 3 3 2" xfId="7738" xr:uid="{00000000-0005-0000-0000-0000DF1B0000}"/>
    <cellStyle name="Percent 3 7 13 3 4" xfId="7739" xr:uid="{00000000-0005-0000-0000-0000E01B0000}"/>
    <cellStyle name="Percent 3 7 13 4" xfId="7740" xr:uid="{00000000-0005-0000-0000-0000E11B0000}"/>
    <cellStyle name="Percent 3 7 13 4 2" xfId="7741" xr:uid="{00000000-0005-0000-0000-0000E21B0000}"/>
    <cellStyle name="Percent 3 7 13 4 2 2" xfId="7742" xr:uid="{00000000-0005-0000-0000-0000E31B0000}"/>
    <cellStyle name="Percent 3 7 13 4 3" xfId="7743" xr:uid="{00000000-0005-0000-0000-0000E41B0000}"/>
    <cellStyle name="Percent 3 7 13 4 3 2" xfId="7744" xr:uid="{00000000-0005-0000-0000-0000E51B0000}"/>
    <cellStyle name="Percent 3 7 13 4 4" xfId="7745" xr:uid="{00000000-0005-0000-0000-0000E61B0000}"/>
    <cellStyle name="Percent 3 7 13 5" xfId="7746" xr:uid="{00000000-0005-0000-0000-0000E71B0000}"/>
    <cellStyle name="Percent 3 7 13 5 2" xfId="7747" xr:uid="{00000000-0005-0000-0000-0000E81B0000}"/>
    <cellStyle name="Percent 3 7 13 5 2 2" xfId="7748" xr:uid="{00000000-0005-0000-0000-0000E91B0000}"/>
    <cellStyle name="Percent 3 7 13 5 3" xfId="7749" xr:uid="{00000000-0005-0000-0000-0000EA1B0000}"/>
    <cellStyle name="Percent 3 7 13 5 3 2" xfId="7750" xr:uid="{00000000-0005-0000-0000-0000EB1B0000}"/>
    <cellStyle name="Percent 3 7 13 5 4" xfId="7751" xr:uid="{00000000-0005-0000-0000-0000EC1B0000}"/>
    <cellStyle name="Percent 3 7 13 5 4 2" xfId="7752" xr:uid="{00000000-0005-0000-0000-0000ED1B0000}"/>
    <cellStyle name="Percent 3 7 13 5 5" xfId="7753" xr:uid="{00000000-0005-0000-0000-0000EE1B0000}"/>
    <cellStyle name="Percent 3 7 13 6" xfId="7754" xr:uid="{00000000-0005-0000-0000-0000EF1B0000}"/>
    <cellStyle name="Percent 3 7 13 6 2" xfId="7755" xr:uid="{00000000-0005-0000-0000-0000F01B0000}"/>
    <cellStyle name="Percent 3 7 13 6 2 2" xfId="7756" xr:uid="{00000000-0005-0000-0000-0000F11B0000}"/>
    <cellStyle name="Percent 3 7 13 6 3" xfId="7757" xr:uid="{00000000-0005-0000-0000-0000F21B0000}"/>
    <cellStyle name="Percent 3 7 13 6 3 2" xfId="7758" xr:uid="{00000000-0005-0000-0000-0000F31B0000}"/>
    <cellStyle name="Percent 3 7 13 6 4" xfId="7759" xr:uid="{00000000-0005-0000-0000-0000F41B0000}"/>
    <cellStyle name="Percent 3 7 13 7" xfId="7760" xr:uid="{00000000-0005-0000-0000-0000F51B0000}"/>
    <cellStyle name="Percent 3 7 13 7 2" xfId="7761" xr:uid="{00000000-0005-0000-0000-0000F61B0000}"/>
    <cellStyle name="Percent 3 7 13 8" xfId="7762" xr:uid="{00000000-0005-0000-0000-0000F71B0000}"/>
    <cellStyle name="Percent 3 7 13 8 2" xfId="7763" xr:uid="{00000000-0005-0000-0000-0000F81B0000}"/>
    <cellStyle name="Percent 3 7 13 9" xfId="7764" xr:uid="{00000000-0005-0000-0000-0000F91B0000}"/>
    <cellStyle name="Percent 3 7 13 9 2" xfId="7765" xr:uid="{00000000-0005-0000-0000-0000FA1B0000}"/>
    <cellStyle name="Percent 3 7 14" xfId="2928" xr:uid="{00000000-0005-0000-0000-0000FB1B0000}"/>
    <cellStyle name="Percent 3 7 14 10" xfId="7767" xr:uid="{00000000-0005-0000-0000-0000FC1B0000}"/>
    <cellStyle name="Percent 3 7 14 11" xfId="7768" xr:uid="{00000000-0005-0000-0000-0000FD1B0000}"/>
    <cellStyle name="Percent 3 7 14 12" xfId="7766" xr:uid="{00000000-0005-0000-0000-0000FE1B0000}"/>
    <cellStyle name="Percent 3 7 14 2" xfId="7769" xr:uid="{00000000-0005-0000-0000-0000FF1B0000}"/>
    <cellStyle name="Percent 3 7 14 2 2" xfId="7770" xr:uid="{00000000-0005-0000-0000-0000001C0000}"/>
    <cellStyle name="Percent 3 7 14 2 2 2" xfId="7771" xr:uid="{00000000-0005-0000-0000-0000011C0000}"/>
    <cellStyle name="Percent 3 7 14 2 3" xfId="7772" xr:uid="{00000000-0005-0000-0000-0000021C0000}"/>
    <cellStyle name="Percent 3 7 14 2 3 2" xfId="7773" xr:uid="{00000000-0005-0000-0000-0000031C0000}"/>
    <cellStyle name="Percent 3 7 14 2 4" xfId="7774" xr:uid="{00000000-0005-0000-0000-0000041C0000}"/>
    <cellStyle name="Percent 3 7 14 2 5" xfId="7775" xr:uid="{00000000-0005-0000-0000-0000051C0000}"/>
    <cellStyle name="Percent 3 7 14 3" xfId="7776" xr:uid="{00000000-0005-0000-0000-0000061C0000}"/>
    <cellStyle name="Percent 3 7 14 3 2" xfId="7777" xr:uid="{00000000-0005-0000-0000-0000071C0000}"/>
    <cellStyle name="Percent 3 7 14 3 2 2" xfId="7778" xr:uid="{00000000-0005-0000-0000-0000081C0000}"/>
    <cellStyle name="Percent 3 7 14 3 3" xfId="7779" xr:uid="{00000000-0005-0000-0000-0000091C0000}"/>
    <cellStyle name="Percent 3 7 14 3 3 2" xfId="7780" xr:uid="{00000000-0005-0000-0000-00000A1C0000}"/>
    <cellStyle name="Percent 3 7 14 3 4" xfId="7781" xr:uid="{00000000-0005-0000-0000-00000B1C0000}"/>
    <cellStyle name="Percent 3 7 14 4" xfId="7782" xr:uid="{00000000-0005-0000-0000-00000C1C0000}"/>
    <cellStyle name="Percent 3 7 14 4 2" xfId="7783" xr:uid="{00000000-0005-0000-0000-00000D1C0000}"/>
    <cellStyle name="Percent 3 7 14 4 2 2" xfId="7784" xr:uid="{00000000-0005-0000-0000-00000E1C0000}"/>
    <cellStyle name="Percent 3 7 14 4 3" xfId="7785" xr:uid="{00000000-0005-0000-0000-00000F1C0000}"/>
    <cellStyle name="Percent 3 7 14 4 3 2" xfId="7786" xr:uid="{00000000-0005-0000-0000-0000101C0000}"/>
    <cellStyle name="Percent 3 7 14 4 4" xfId="7787" xr:uid="{00000000-0005-0000-0000-0000111C0000}"/>
    <cellStyle name="Percent 3 7 14 5" xfId="7788" xr:uid="{00000000-0005-0000-0000-0000121C0000}"/>
    <cellStyle name="Percent 3 7 14 5 2" xfId="7789" xr:uid="{00000000-0005-0000-0000-0000131C0000}"/>
    <cellStyle name="Percent 3 7 14 5 2 2" xfId="7790" xr:uid="{00000000-0005-0000-0000-0000141C0000}"/>
    <cellStyle name="Percent 3 7 14 5 3" xfId="7791" xr:uid="{00000000-0005-0000-0000-0000151C0000}"/>
    <cellStyle name="Percent 3 7 14 5 3 2" xfId="7792" xr:uid="{00000000-0005-0000-0000-0000161C0000}"/>
    <cellStyle name="Percent 3 7 14 5 4" xfId="7793" xr:uid="{00000000-0005-0000-0000-0000171C0000}"/>
    <cellStyle name="Percent 3 7 14 5 4 2" xfId="7794" xr:uid="{00000000-0005-0000-0000-0000181C0000}"/>
    <cellStyle name="Percent 3 7 14 5 5" xfId="7795" xr:uid="{00000000-0005-0000-0000-0000191C0000}"/>
    <cellStyle name="Percent 3 7 14 6" xfId="7796" xr:uid="{00000000-0005-0000-0000-00001A1C0000}"/>
    <cellStyle name="Percent 3 7 14 6 2" xfId="7797" xr:uid="{00000000-0005-0000-0000-00001B1C0000}"/>
    <cellStyle name="Percent 3 7 14 6 2 2" xfId="7798" xr:uid="{00000000-0005-0000-0000-00001C1C0000}"/>
    <cellStyle name="Percent 3 7 14 6 3" xfId="7799" xr:uid="{00000000-0005-0000-0000-00001D1C0000}"/>
    <cellStyle name="Percent 3 7 14 6 3 2" xfId="7800" xr:uid="{00000000-0005-0000-0000-00001E1C0000}"/>
    <cellStyle name="Percent 3 7 14 6 4" xfId="7801" xr:uid="{00000000-0005-0000-0000-00001F1C0000}"/>
    <cellStyle name="Percent 3 7 14 7" xfId="7802" xr:uid="{00000000-0005-0000-0000-0000201C0000}"/>
    <cellStyle name="Percent 3 7 14 7 2" xfId="7803" xr:uid="{00000000-0005-0000-0000-0000211C0000}"/>
    <cellStyle name="Percent 3 7 14 8" xfId="7804" xr:uid="{00000000-0005-0000-0000-0000221C0000}"/>
    <cellStyle name="Percent 3 7 14 8 2" xfId="7805" xr:uid="{00000000-0005-0000-0000-0000231C0000}"/>
    <cellStyle name="Percent 3 7 14 9" xfId="7806" xr:uid="{00000000-0005-0000-0000-0000241C0000}"/>
    <cellStyle name="Percent 3 7 14 9 2" xfId="7807" xr:uid="{00000000-0005-0000-0000-0000251C0000}"/>
    <cellStyle name="Percent 3 7 15" xfId="2929" xr:uid="{00000000-0005-0000-0000-0000261C0000}"/>
    <cellStyle name="Percent 3 7 15 10" xfId="7809" xr:uid="{00000000-0005-0000-0000-0000271C0000}"/>
    <cellStyle name="Percent 3 7 15 11" xfId="7810" xr:uid="{00000000-0005-0000-0000-0000281C0000}"/>
    <cellStyle name="Percent 3 7 15 12" xfId="7808" xr:uid="{00000000-0005-0000-0000-0000291C0000}"/>
    <cellStyle name="Percent 3 7 15 2" xfId="7811" xr:uid="{00000000-0005-0000-0000-00002A1C0000}"/>
    <cellStyle name="Percent 3 7 15 2 2" xfId="7812" xr:uid="{00000000-0005-0000-0000-00002B1C0000}"/>
    <cellStyle name="Percent 3 7 15 2 2 2" xfId="7813" xr:uid="{00000000-0005-0000-0000-00002C1C0000}"/>
    <cellStyle name="Percent 3 7 15 2 3" xfId="7814" xr:uid="{00000000-0005-0000-0000-00002D1C0000}"/>
    <cellStyle name="Percent 3 7 15 2 3 2" xfId="7815" xr:uid="{00000000-0005-0000-0000-00002E1C0000}"/>
    <cellStyle name="Percent 3 7 15 2 4" xfId="7816" xr:uid="{00000000-0005-0000-0000-00002F1C0000}"/>
    <cellStyle name="Percent 3 7 15 2 5" xfId="7817" xr:uid="{00000000-0005-0000-0000-0000301C0000}"/>
    <cellStyle name="Percent 3 7 15 3" xfId="7818" xr:uid="{00000000-0005-0000-0000-0000311C0000}"/>
    <cellStyle name="Percent 3 7 15 3 2" xfId="7819" xr:uid="{00000000-0005-0000-0000-0000321C0000}"/>
    <cellStyle name="Percent 3 7 15 3 2 2" xfId="7820" xr:uid="{00000000-0005-0000-0000-0000331C0000}"/>
    <cellStyle name="Percent 3 7 15 3 3" xfId="7821" xr:uid="{00000000-0005-0000-0000-0000341C0000}"/>
    <cellStyle name="Percent 3 7 15 3 3 2" xfId="7822" xr:uid="{00000000-0005-0000-0000-0000351C0000}"/>
    <cellStyle name="Percent 3 7 15 3 4" xfId="7823" xr:uid="{00000000-0005-0000-0000-0000361C0000}"/>
    <cellStyle name="Percent 3 7 15 4" xfId="7824" xr:uid="{00000000-0005-0000-0000-0000371C0000}"/>
    <cellStyle name="Percent 3 7 15 4 2" xfId="7825" xr:uid="{00000000-0005-0000-0000-0000381C0000}"/>
    <cellStyle name="Percent 3 7 15 4 2 2" xfId="7826" xr:uid="{00000000-0005-0000-0000-0000391C0000}"/>
    <cellStyle name="Percent 3 7 15 4 3" xfId="7827" xr:uid="{00000000-0005-0000-0000-00003A1C0000}"/>
    <cellStyle name="Percent 3 7 15 4 3 2" xfId="7828" xr:uid="{00000000-0005-0000-0000-00003B1C0000}"/>
    <cellStyle name="Percent 3 7 15 4 4" xfId="7829" xr:uid="{00000000-0005-0000-0000-00003C1C0000}"/>
    <cellStyle name="Percent 3 7 15 5" xfId="7830" xr:uid="{00000000-0005-0000-0000-00003D1C0000}"/>
    <cellStyle name="Percent 3 7 15 5 2" xfId="7831" xr:uid="{00000000-0005-0000-0000-00003E1C0000}"/>
    <cellStyle name="Percent 3 7 15 5 2 2" xfId="7832" xr:uid="{00000000-0005-0000-0000-00003F1C0000}"/>
    <cellStyle name="Percent 3 7 15 5 3" xfId="7833" xr:uid="{00000000-0005-0000-0000-0000401C0000}"/>
    <cellStyle name="Percent 3 7 15 5 3 2" xfId="7834" xr:uid="{00000000-0005-0000-0000-0000411C0000}"/>
    <cellStyle name="Percent 3 7 15 5 4" xfId="7835" xr:uid="{00000000-0005-0000-0000-0000421C0000}"/>
    <cellStyle name="Percent 3 7 15 5 4 2" xfId="7836" xr:uid="{00000000-0005-0000-0000-0000431C0000}"/>
    <cellStyle name="Percent 3 7 15 5 5" xfId="7837" xr:uid="{00000000-0005-0000-0000-0000441C0000}"/>
    <cellStyle name="Percent 3 7 15 6" xfId="7838" xr:uid="{00000000-0005-0000-0000-0000451C0000}"/>
    <cellStyle name="Percent 3 7 15 6 2" xfId="7839" xr:uid="{00000000-0005-0000-0000-0000461C0000}"/>
    <cellStyle name="Percent 3 7 15 6 2 2" xfId="7840" xr:uid="{00000000-0005-0000-0000-0000471C0000}"/>
    <cellStyle name="Percent 3 7 15 6 3" xfId="7841" xr:uid="{00000000-0005-0000-0000-0000481C0000}"/>
    <cellStyle name="Percent 3 7 15 6 3 2" xfId="7842" xr:uid="{00000000-0005-0000-0000-0000491C0000}"/>
    <cellStyle name="Percent 3 7 15 6 4" xfId="7843" xr:uid="{00000000-0005-0000-0000-00004A1C0000}"/>
    <cellStyle name="Percent 3 7 15 7" xfId="7844" xr:uid="{00000000-0005-0000-0000-00004B1C0000}"/>
    <cellStyle name="Percent 3 7 15 7 2" xfId="7845" xr:uid="{00000000-0005-0000-0000-00004C1C0000}"/>
    <cellStyle name="Percent 3 7 15 8" xfId="7846" xr:uid="{00000000-0005-0000-0000-00004D1C0000}"/>
    <cellStyle name="Percent 3 7 15 8 2" xfId="7847" xr:uid="{00000000-0005-0000-0000-00004E1C0000}"/>
    <cellStyle name="Percent 3 7 15 9" xfId="7848" xr:uid="{00000000-0005-0000-0000-00004F1C0000}"/>
    <cellStyle name="Percent 3 7 15 9 2" xfId="7849" xr:uid="{00000000-0005-0000-0000-0000501C0000}"/>
    <cellStyle name="Percent 3 7 16" xfId="7850" xr:uid="{00000000-0005-0000-0000-0000511C0000}"/>
    <cellStyle name="Percent 3 7 16 2" xfId="7851" xr:uid="{00000000-0005-0000-0000-0000521C0000}"/>
    <cellStyle name="Percent 3 7 16 2 2" xfId="7852" xr:uid="{00000000-0005-0000-0000-0000531C0000}"/>
    <cellStyle name="Percent 3 7 16 3" xfId="7853" xr:uid="{00000000-0005-0000-0000-0000541C0000}"/>
    <cellStyle name="Percent 3 7 16 3 2" xfId="7854" xr:uid="{00000000-0005-0000-0000-0000551C0000}"/>
    <cellStyle name="Percent 3 7 16 4" xfId="7855" xr:uid="{00000000-0005-0000-0000-0000561C0000}"/>
    <cellStyle name="Percent 3 7 16 5" xfId="7856" xr:uid="{00000000-0005-0000-0000-0000571C0000}"/>
    <cellStyle name="Percent 3 7 17" xfId="7857" xr:uid="{00000000-0005-0000-0000-0000581C0000}"/>
    <cellStyle name="Percent 3 7 17 2" xfId="7858" xr:uid="{00000000-0005-0000-0000-0000591C0000}"/>
    <cellStyle name="Percent 3 7 17 2 2" xfId="7859" xr:uid="{00000000-0005-0000-0000-00005A1C0000}"/>
    <cellStyle name="Percent 3 7 17 3" xfId="7860" xr:uid="{00000000-0005-0000-0000-00005B1C0000}"/>
    <cellStyle name="Percent 3 7 17 3 2" xfId="7861" xr:uid="{00000000-0005-0000-0000-00005C1C0000}"/>
    <cellStyle name="Percent 3 7 17 4" xfId="7862" xr:uid="{00000000-0005-0000-0000-00005D1C0000}"/>
    <cellStyle name="Percent 3 7 18" xfId="7863" xr:uid="{00000000-0005-0000-0000-00005E1C0000}"/>
    <cellStyle name="Percent 3 7 18 2" xfId="7864" xr:uid="{00000000-0005-0000-0000-00005F1C0000}"/>
    <cellStyle name="Percent 3 7 18 2 2" xfId="7865" xr:uid="{00000000-0005-0000-0000-0000601C0000}"/>
    <cellStyle name="Percent 3 7 18 3" xfId="7866" xr:uid="{00000000-0005-0000-0000-0000611C0000}"/>
    <cellStyle name="Percent 3 7 18 3 2" xfId="7867" xr:uid="{00000000-0005-0000-0000-0000621C0000}"/>
    <cellStyle name="Percent 3 7 18 4" xfId="7868" xr:uid="{00000000-0005-0000-0000-0000631C0000}"/>
    <cellStyle name="Percent 3 7 19" xfId="7869" xr:uid="{00000000-0005-0000-0000-0000641C0000}"/>
    <cellStyle name="Percent 3 7 19 2" xfId="7870" xr:uid="{00000000-0005-0000-0000-0000651C0000}"/>
    <cellStyle name="Percent 3 7 19 2 2" xfId="7871" xr:uid="{00000000-0005-0000-0000-0000661C0000}"/>
    <cellStyle name="Percent 3 7 19 3" xfId="7872" xr:uid="{00000000-0005-0000-0000-0000671C0000}"/>
    <cellStyle name="Percent 3 7 19 3 2" xfId="7873" xr:uid="{00000000-0005-0000-0000-0000681C0000}"/>
    <cellStyle name="Percent 3 7 19 4" xfId="7874" xr:uid="{00000000-0005-0000-0000-0000691C0000}"/>
    <cellStyle name="Percent 3 7 19 4 2" xfId="7875" xr:uid="{00000000-0005-0000-0000-00006A1C0000}"/>
    <cellStyle name="Percent 3 7 19 5" xfId="7876" xr:uid="{00000000-0005-0000-0000-00006B1C0000}"/>
    <cellStyle name="Percent 3 7 2" xfId="2930" xr:uid="{00000000-0005-0000-0000-00006C1C0000}"/>
    <cellStyle name="Percent 3 7 2 10" xfId="7878" xr:uid="{00000000-0005-0000-0000-00006D1C0000}"/>
    <cellStyle name="Percent 3 7 2 11" xfId="7879" xr:uid="{00000000-0005-0000-0000-00006E1C0000}"/>
    <cellStyle name="Percent 3 7 2 12" xfId="7877" xr:uid="{00000000-0005-0000-0000-00006F1C0000}"/>
    <cellStyle name="Percent 3 7 2 2" xfId="7880" xr:uid="{00000000-0005-0000-0000-0000701C0000}"/>
    <cellStyle name="Percent 3 7 2 2 2" xfId="7881" xr:uid="{00000000-0005-0000-0000-0000711C0000}"/>
    <cellStyle name="Percent 3 7 2 2 2 2" xfId="7882" xr:uid="{00000000-0005-0000-0000-0000721C0000}"/>
    <cellStyle name="Percent 3 7 2 2 3" xfId="7883" xr:uid="{00000000-0005-0000-0000-0000731C0000}"/>
    <cellStyle name="Percent 3 7 2 2 3 2" xfId="7884" xr:uid="{00000000-0005-0000-0000-0000741C0000}"/>
    <cellStyle name="Percent 3 7 2 2 4" xfId="7885" xr:uid="{00000000-0005-0000-0000-0000751C0000}"/>
    <cellStyle name="Percent 3 7 2 2 5" xfId="7886" xr:uid="{00000000-0005-0000-0000-0000761C0000}"/>
    <cellStyle name="Percent 3 7 2 3" xfId="7887" xr:uid="{00000000-0005-0000-0000-0000771C0000}"/>
    <cellStyle name="Percent 3 7 2 3 2" xfId="7888" xr:uid="{00000000-0005-0000-0000-0000781C0000}"/>
    <cellStyle name="Percent 3 7 2 3 2 2" xfId="7889" xr:uid="{00000000-0005-0000-0000-0000791C0000}"/>
    <cellStyle name="Percent 3 7 2 3 3" xfId="7890" xr:uid="{00000000-0005-0000-0000-00007A1C0000}"/>
    <cellStyle name="Percent 3 7 2 3 3 2" xfId="7891" xr:uid="{00000000-0005-0000-0000-00007B1C0000}"/>
    <cellStyle name="Percent 3 7 2 3 4" xfId="7892" xr:uid="{00000000-0005-0000-0000-00007C1C0000}"/>
    <cellStyle name="Percent 3 7 2 4" xfId="7893" xr:uid="{00000000-0005-0000-0000-00007D1C0000}"/>
    <cellStyle name="Percent 3 7 2 4 2" xfId="7894" xr:uid="{00000000-0005-0000-0000-00007E1C0000}"/>
    <cellStyle name="Percent 3 7 2 4 2 2" xfId="7895" xr:uid="{00000000-0005-0000-0000-00007F1C0000}"/>
    <cellStyle name="Percent 3 7 2 4 3" xfId="7896" xr:uid="{00000000-0005-0000-0000-0000801C0000}"/>
    <cellStyle name="Percent 3 7 2 4 3 2" xfId="7897" xr:uid="{00000000-0005-0000-0000-0000811C0000}"/>
    <cellStyle name="Percent 3 7 2 4 4" xfId="7898" xr:uid="{00000000-0005-0000-0000-0000821C0000}"/>
    <cellStyle name="Percent 3 7 2 5" xfId="7899" xr:uid="{00000000-0005-0000-0000-0000831C0000}"/>
    <cellStyle name="Percent 3 7 2 5 2" xfId="7900" xr:uid="{00000000-0005-0000-0000-0000841C0000}"/>
    <cellStyle name="Percent 3 7 2 5 2 2" xfId="7901" xr:uid="{00000000-0005-0000-0000-0000851C0000}"/>
    <cellStyle name="Percent 3 7 2 5 3" xfId="7902" xr:uid="{00000000-0005-0000-0000-0000861C0000}"/>
    <cellStyle name="Percent 3 7 2 5 3 2" xfId="7903" xr:uid="{00000000-0005-0000-0000-0000871C0000}"/>
    <cellStyle name="Percent 3 7 2 5 4" xfId="7904" xr:uid="{00000000-0005-0000-0000-0000881C0000}"/>
    <cellStyle name="Percent 3 7 2 5 4 2" xfId="7905" xr:uid="{00000000-0005-0000-0000-0000891C0000}"/>
    <cellStyle name="Percent 3 7 2 5 5" xfId="7906" xr:uid="{00000000-0005-0000-0000-00008A1C0000}"/>
    <cellStyle name="Percent 3 7 2 6" xfId="7907" xr:uid="{00000000-0005-0000-0000-00008B1C0000}"/>
    <cellStyle name="Percent 3 7 2 6 2" xfId="7908" xr:uid="{00000000-0005-0000-0000-00008C1C0000}"/>
    <cellStyle name="Percent 3 7 2 6 2 2" xfId="7909" xr:uid="{00000000-0005-0000-0000-00008D1C0000}"/>
    <cellStyle name="Percent 3 7 2 6 3" xfId="7910" xr:uid="{00000000-0005-0000-0000-00008E1C0000}"/>
    <cellStyle name="Percent 3 7 2 6 3 2" xfId="7911" xr:uid="{00000000-0005-0000-0000-00008F1C0000}"/>
    <cellStyle name="Percent 3 7 2 6 4" xfId="7912" xr:uid="{00000000-0005-0000-0000-0000901C0000}"/>
    <cellStyle name="Percent 3 7 2 7" xfId="7913" xr:uid="{00000000-0005-0000-0000-0000911C0000}"/>
    <cellStyle name="Percent 3 7 2 7 2" xfId="7914" xr:uid="{00000000-0005-0000-0000-0000921C0000}"/>
    <cellStyle name="Percent 3 7 2 8" xfId="7915" xr:uid="{00000000-0005-0000-0000-0000931C0000}"/>
    <cellStyle name="Percent 3 7 2 8 2" xfId="7916" xr:uid="{00000000-0005-0000-0000-0000941C0000}"/>
    <cellStyle name="Percent 3 7 2 9" xfId="7917" xr:uid="{00000000-0005-0000-0000-0000951C0000}"/>
    <cellStyle name="Percent 3 7 2 9 2" xfId="7918" xr:uid="{00000000-0005-0000-0000-0000961C0000}"/>
    <cellStyle name="Percent 3 7 20" xfId="7919" xr:uid="{00000000-0005-0000-0000-0000971C0000}"/>
    <cellStyle name="Percent 3 7 20 2" xfId="7920" xr:uid="{00000000-0005-0000-0000-0000981C0000}"/>
    <cellStyle name="Percent 3 7 20 2 2" xfId="7921" xr:uid="{00000000-0005-0000-0000-0000991C0000}"/>
    <cellStyle name="Percent 3 7 20 3" xfId="7922" xr:uid="{00000000-0005-0000-0000-00009A1C0000}"/>
    <cellStyle name="Percent 3 7 20 3 2" xfId="7923" xr:uid="{00000000-0005-0000-0000-00009B1C0000}"/>
    <cellStyle name="Percent 3 7 20 4" xfId="7924" xr:uid="{00000000-0005-0000-0000-00009C1C0000}"/>
    <cellStyle name="Percent 3 7 21" xfId="7925" xr:uid="{00000000-0005-0000-0000-00009D1C0000}"/>
    <cellStyle name="Percent 3 7 21 2" xfId="7926" xr:uid="{00000000-0005-0000-0000-00009E1C0000}"/>
    <cellStyle name="Percent 3 7 22" xfId="7927" xr:uid="{00000000-0005-0000-0000-00009F1C0000}"/>
    <cellStyle name="Percent 3 7 22 2" xfId="7928" xr:uid="{00000000-0005-0000-0000-0000A01C0000}"/>
    <cellStyle name="Percent 3 7 23" xfId="7929" xr:uid="{00000000-0005-0000-0000-0000A11C0000}"/>
    <cellStyle name="Percent 3 7 23 2" xfId="7930" xr:uid="{00000000-0005-0000-0000-0000A21C0000}"/>
    <cellStyle name="Percent 3 7 24" xfId="7931" xr:uid="{00000000-0005-0000-0000-0000A31C0000}"/>
    <cellStyle name="Percent 3 7 25" xfId="7932" xr:uid="{00000000-0005-0000-0000-0000A41C0000}"/>
    <cellStyle name="Percent 3 7 26" xfId="7597" xr:uid="{00000000-0005-0000-0000-0000A51C0000}"/>
    <cellStyle name="Percent 3 7 3" xfId="2931" xr:uid="{00000000-0005-0000-0000-0000A61C0000}"/>
    <cellStyle name="Percent 3 7 3 10" xfId="7934" xr:uid="{00000000-0005-0000-0000-0000A71C0000}"/>
    <cellStyle name="Percent 3 7 3 11" xfId="7935" xr:uid="{00000000-0005-0000-0000-0000A81C0000}"/>
    <cellStyle name="Percent 3 7 3 12" xfId="7933" xr:uid="{00000000-0005-0000-0000-0000A91C0000}"/>
    <cellStyle name="Percent 3 7 3 2" xfId="7936" xr:uid="{00000000-0005-0000-0000-0000AA1C0000}"/>
    <cellStyle name="Percent 3 7 3 2 2" xfId="7937" xr:uid="{00000000-0005-0000-0000-0000AB1C0000}"/>
    <cellStyle name="Percent 3 7 3 2 2 2" xfId="7938" xr:uid="{00000000-0005-0000-0000-0000AC1C0000}"/>
    <cellStyle name="Percent 3 7 3 2 3" xfId="7939" xr:uid="{00000000-0005-0000-0000-0000AD1C0000}"/>
    <cellStyle name="Percent 3 7 3 2 3 2" xfId="7940" xr:uid="{00000000-0005-0000-0000-0000AE1C0000}"/>
    <cellStyle name="Percent 3 7 3 2 4" xfId="7941" xr:uid="{00000000-0005-0000-0000-0000AF1C0000}"/>
    <cellStyle name="Percent 3 7 3 2 5" xfId="7942" xr:uid="{00000000-0005-0000-0000-0000B01C0000}"/>
    <cellStyle name="Percent 3 7 3 3" xfId="7943" xr:uid="{00000000-0005-0000-0000-0000B11C0000}"/>
    <cellStyle name="Percent 3 7 3 3 2" xfId="7944" xr:uid="{00000000-0005-0000-0000-0000B21C0000}"/>
    <cellStyle name="Percent 3 7 3 3 2 2" xfId="7945" xr:uid="{00000000-0005-0000-0000-0000B31C0000}"/>
    <cellStyle name="Percent 3 7 3 3 3" xfId="7946" xr:uid="{00000000-0005-0000-0000-0000B41C0000}"/>
    <cellStyle name="Percent 3 7 3 3 3 2" xfId="7947" xr:uid="{00000000-0005-0000-0000-0000B51C0000}"/>
    <cellStyle name="Percent 3 7 3 3 4" xfId="7948" xr:uid="{00000000-0005-0000-0000-0000B61C0000}"/>
    <cellStyle name="Percent 3 7 3 4" xfId="7949" xr:uid="{00000000-0005-0000-0000-0000B71C0000}"/>
    <cellStyle name="Percent 3 7 3 4 2" xfId="7950" xr:uid="{00000000-0005-0000-0000-0000B81C0000}"/>
    <cellStyle name="Percent 3 7 3 4 2 2" xfId="7951" xr:uid="{00000000-0005-0000-0000-0000B91C0000}"/>
    <cellStyle name="Percent 3 7 3 4 3" xfId="7952" xr:uid="{00000000-0005-0000-0000-0000BA1C0000}"/>
    <cellStyle name="Percent 3 7 3 4 3 2" xfId="7953" xr:uid="{00000000-0005-0000-0000-0000BB1C0000}"/>
    <cellStyle name="Percent 3 7 3 4 4" xfId="7954" xr:uid="{00000000-0005-0000-0000-0000BC1C0000}"/>
    <cellStyle name="Percent 3 7 3 5" xfId="7955" xr:uid="{00000000-0005-0000-0000-0000BD1C0000}"/>
    <cellStyle name="Percent 3 7 3 5 2" xfId="7956" xr:uid="{00000000-0005-0000-0000-0000BE1C0000}"/>
    <cellStyle name="Percent 3 7 3 5 2 2" xfId="7957" xr:uid="{00000000-0005-0000-0000-0000BF1C0000}"/>
    <cellStyle name="Percent 3 7 3 5 3" xfId="7958" xr:uid="{00000000-0005-0000-0000-0000C01C0000}"/>
    <cellStyle name="Percent 3 7 3 5 3 2" xfId="7959" xr:uid="{00000000-0005-0000-0000-0000C11C0000}"/>
    <cellStyle name="Percent 3 7 3 5 4" xfId="7960" xr:uid="{00000000-0005-0000-0000-0000C21C0000}"/>
    <cellStyle name="Percent 3 7 3 5 4 2" xfId="7961" xr:uid="{00000000-0005-0000-0000-0000C31C0000}"/>
    <cellStyle name="Percent 3 7 3 5 5" xfId="7962" xr:uid="{00000000-0005-0000-0000-0000C41C0000}"/>
    <cellStyle name="Percent 3 7 3 6" xfId="7963" xr:uid="{00000000-0005-0000-0000-0000C51C0000}"/>
    <cellStyle name="Percent 3 7 3 6 2" xfId="7964" xr:uid="{00000000-0005-0000-0000-0000C61C0000}"/>
    <cellStyle name="Percent 3 7 3 6 2 2" xfId="7965" xr:uid="{00000000-0005-0000-0000-0000C71C0000}"/>
    <cellStyle name="Percent 3 7 3 6 3" xfId="7966" xr:uid="{00000000-0005-0000-0000-0000C81C0000}"/>
    <cellStyle name="Percent 3 7 3 6 3 2" xfId="7967" xr:uid="{00000000-0005-0000-0000-0000C91C0000}"/>
    <cellStyle name="Percent 3 7 3 6 4" xfId="7968" xr:uid="{00000000-0005-0000-0000-0000CA1C0000}"/>
    <cellStyle name="Percent 3 7 3 7" xfId="7969" xr:uid="{00000000-0005-0000-0000-0000CB1C0000}"/>
    <cellStyle name="Percent 3 7 3 7 2" xfId="7970" xr:uid="{00000000-0005-0000-0000-0000CC1C0000}"/>
    <cellStyle name="Percent 3 7 3 8" xfId="7971" xr:uid="{00000000-0005-0000-0000-0000CD1C0000}"/>
    <cellStyle name="Percent 3 7 3 8 2" xfId="7972" xr:uid="{00000000-0005-0000-0000-0000CE1C0000}"/>
    <cellStyle name="Percent 3 7 3 9" xfId="7973" xr:uid="{00000000-0005-0000-0000-0000CF1C0000}"/>
    <cellStyle name="Percent 3 7 3 9 2" xfId="7974" xr:uid="{00000000-0005-0000-0000-0000D01C0000}"/>
    <cellStyle name="Percent 3 7 4" xfId="2932" xr:uid="{00000000-0005-0000-0000-0000D11C0000}"/>
    <cellStyle name="Percent 3 7 4 10" xfId="7976" xr:uid="{00000000-0005-0000-0000-0000D21C0000}"/>
    <cellStyle name="Percent 3 7 4 11" xfId="7977" xr:uid="{00000000-0005-0000-0000-0000D31C0000}"/>
    <cellStyle name="Percent 3 7 4 12" xfId="7975" xr:uid="{00000000-0005-0000-0000-0000D41C0000}"/>
    <cellStyle name="Percent 3 7 4 2" xfId="7978" xr:uid="{00000000-0005-0000-0000-0000D51C0000}"/>
    <cellStyle name="Percent 3 7 4 2 2" xfId="7979" xr:uid="{00000000-0005-0000-0000-0000D61C0000}"/>
    <cellStyle name="Percent 3 7 4 2 2 2" xfId="7980" xr:uid="{00000000-0005-0000-0000-0000D71C0000}"/>
    <cellStyle name="Percent 3 7 4 2 3" xfId="7981" xr:uid="{00000000-0005-0000-0000-0000D81C0000}"/>
    <cellStyle name="Percent 3 7 4 2 3 2" xfId="7982" xr:uid="{00000000-0005-0000-0000-0000D91C0000}"/>
    <cellStyle name="Percent 3 7 4 2 4" xfId="7983" xr:uid="{00000000-0005-0000-0000-0000DA1C0000}"/>
    <cellStyle name="Percent 3 7 4 2 5" xfId="7984" xr:uid="{00000000-0005-0000-0000-0000DB1C0000}"/>
    <cellStyle name="Percent 3 7 4 3" xfId="7985" xr:uid="{00000000-0005-0000-0000-0000DC1C0000}"/>
    <cellStyle name="Percent 3 7 4 3 2" xfId="7986" xr:uid="{00000000-0005-0000-0000-0000DD1C0000}"/>
    <cellStyle name="Percent 3 7 4 3 2 2" xfId="7987" xr:uid="{00000000-0005-0000-0000-0000DE1C0000}"/>
    <cellStyle name="Percent 3 7 4 3 3" xfId="7988" xr:uid="{00000000-0005-0000-0000-0000DF1C0000}"/>
    <cellStyle name="Percent 3 7 4 3 3 2" xfId="7989" xr:uid="{00000000-0005-0000-0000-0000E01C0000}"/>
    <cellStyle name="Percent 3 7 4 3 4" xfId="7990" xr:uid="{00000000-0005-0000-0000-0000E11C0000}"/>
    <cellStyle name="Percent 3 7 4 4" xfId="7991" xr:uid="{00000000-0005-0000-0000-0000E21C0000}"/>
    <cellStyle name="Percent 3 7 4 4 2" xfId="7992" xr:uid="{00000000-0005-0000-0000-0000E31C0000}"/>
    <cellStyle name="Percent 3 7 4 4 2 2" xfId="7993" xr:uid="{00000000-0005-0000-0000-0000E41C0000}"/>
    <cellStyle name="Percent 3 7 4 4 3" xfId="7994" xr:uid="{00000000-0005-0000-0000-0000E51C0000}"/>
    <cellStyle name="Percent 3 7 4 4 3 2" xfId="7995" xr:uid="{00000000-0005-0000-0000-0000E61C0000}"/>
    <cellStyle name="Percent 3 7 4 4 4" xfId="7996" xr:uid="{00000000-0005-0000-0000-0000E71C0000}"/>
    <cellStyle name="Percent 3 7 4 5" xfId="7997" xr:uid="{00000000-0005-0000-0000-0000E81C0000}"/>
    <cellStyle name="Percent 3 7 4 5 2" xfId="7998" xr:uid="{00000000-0005-0000-0000-0000E91C0000}"/>
    <cellStyle name="Percent 3 7 4 5 2 2" xfId="7999" xr:uid="{00000000-0005-0000-0000-0000EA1C0000}"/>
    <cellStyle name="Percent 3 7 4 5 3" xfId="8000" xr:uid="{00000000-0005-0000-0000-0000EB1C0000}"/>
    <cellStyle name="Percent 3 7 4 5 3 2" xfId="8001" xr:uid="{00000000-0005-0000-0000-0000EC1C0000}"/>
    <cellStyle name="Percent 3 7 4 5 4" xfId="8002" xr:uid="{00000000-0005-0000-0000-0000ED1C0000}"/>
    <cellStyle name="Percent 3 7 4 5 4 2" xfId="8003" xr:uid="{00000000-0005-0000-0000-0000EE1C0000}"/>
    <cellStyle name="Percent 3 7 4 5 5" xfId="8004" xr:uid="{00000000-0005-0000-0000-0000EF1C0000}"/>
    <cellStyle name="Percent 3 7 4 6" xfId="8005" xr:uid="{00000000-0005-0000-0000-0000F01C0000}"/>
    <cellStyle name="Percent 3 7 4 6 2" xfId="8006" xr:uid="{00000000-0005-0000-0000-0000F11C0000}"/>
    <cellStyle name="Percent 3 7 4 6 2 2" xfId="8007" xr:uid="{00000000-0005-0000-0000-0000F21C0000}"/>
    <cellStyle name="Percent 3 7 4 6 3" xfId="8008" xr:uid="{00000000-0005-0000-0000-0000F31C0000}"/>
    <cellStyle name="Percent 3 7 4 6 3 2" xfId="8009" xr:uid="{00000000-0005-0000-0000-0000F41C0000}"/>
    <cellStyle name="Percent 3 7 4 6 4" xfId="8010" xr:uid="{00000000-0005-0000-0000-0000F51C0000}"/>
    <cellStyle name="Percent 3 7 4 7" xfId="8011" xr:uid="{00000000-0005-0000-0000-0000F61C0000}"/>
    <cellStyle name="Percent 3 7 4 7 2" xfId="8012" xr:uid="{00000000-0005-0000-0000-0000F71C0000}"/>
    <cellStyle name="Percent 3 7 4 8" xfId="8013" xr:uid="{00000000-0005-0000-0000-0000F81C0000}"/>
    <cellStyle name="Percent 3 7 4 8 2" xfId="8014" xr:uid="{00000000-0005-0000-0000-0000F91C0000}"/>
    <cellStyle name="Percent 3 7 4 9" xfId="8015" xr:uid="{00000000-0005-0000-0000-0000FA1C0000}"/>
    <cellStyle name="Percent 3 7 4 9 2" xfId="8016" xr:uid="{00000000-0005-0000-0000-0000FB1C0000}"/>
    <cellStyle name="Percent 3 7 5" xfId="2933" xr:uid="{00000000-0005-0000-0000-0000FC1C0000}"/>
    <cellStyle name="Percent 3 7 5 10" xfId="8018" xr:uid="{00000000-0005-0000-0000-0000FD1C0000}"/>
    <cellStyle name="Percent 3 7 5 11" xfId="8019" xr:uid="{00000000-0005-0000-0000-0000FE1C0000}"/>
    <cellStyle name="Percent 3 7 5 12" xfId="8017" xr:uid="{00000000-0005-0000-0000-0000FF1C0000}"/>
    <cellStyle name="Percent 3 7 5 2" xfId="8020" xr:uid="{00000000-0005-0000-0000-0000001D0000}"/>
    <cellStyle name="Percent 3 7 5 2 2" xfId="8021" xr:uid="{00000000-0005-0000-0000-0000011D0000}"/>
    <cellStyle name="Percent 3 7 5 2 2 2" xfId="8022" xr:uid="{00000000-0005-0000-0000-0000021D0000}"/>
    <cellStyle name="Percent 3 7 5 2 3" xfId="8023" xr:uid="{00000000-0005-0000-0000-0000031D0000}"/>
    <cellStyle name="Percent 3 7 5 2 3 2" xfId="8024" xr:uid="{00000000-0005-0000-0000-0000041D0000}"/>
    <cellStyle name="Percent 3 7 5 2 4" xfId="8025" xr:uid="{00000000-0005-0000-0000-0000051D0000}"/>
    <cellStyle name="Percent 3 7 5 2 5" xfId="8026" xr:uid="{00000000-0005-0000-0000-0000061D0000}"/>
    <cellStyle name="Percent 3 7 5 3" xfId="8027" xr:uid="{00000000-0005-0000-0000-0000071D0000}"/>
    <cellStyle name="Percent 3 7 5 3 2" xfId="8028" xr:uid="{00000000-0005-0000-0000-0000081D0000}"/>
    <cellStyle name="Percent 3 7 5 3 2 2" xfId="8029" xr:uid="{00000000-0005-0000-0000-0000091D0000}"/>
    <cellStyle name="Percent 3 7 5 3 3" xfId="8030" xr:uid="{00000000-0005-0000-0000-00000A1D0000}"/>
    <cellStyle name="Percent 3 7 5 3 3 2" xfId="8031" xr:uid="{00000000-0005-0000-0000-00000B1D0000}"/>
    <cellStyle name="Percent 3 7 5 3 4" xfId="8032" xr:uid="{00000000-0005-0000-0000-00000C1D0000}"/>
    <cellStyle name="Percent 3 7 5 4" xfId="8033" xr:uid="{00000000-0005-0000-0000-00000D1D0000}"/>
    <cellStyle name="Percent 3 7 5 4 2" xfId="8034" xr:uid="{00000000-0005-0000-0000-00000E1D0000}"/>
    <cellStyle name="Percent 3 7 5 4 2 2" xfId="8035" xr:uid="{00000000-0005-0000-0000-00000F1D0000}"/>
    <cellStyle name="Percent 3 7 5 4 3" xfId="8036" xr:uid="{00000000-0005-0000-0000-0000101D0000}"/>
    <cellStyle name="Percent 3 7 5 4 3 2" xfId="8037" xr:uid="{00000000-0005-0000-0000-0000111D0000}"/>
    <cellStyle name="Percent 3 7 5 4 4" xfId="8038" xr:uid="{00000000-0005-0000-0000-0000121D0000}"/>
    <cellStyle name="Percent 3 7 5 5" xfId="8039" xr:uid="{00000000-0005-0000-0000-0000131D0000}"/>
    <cellStyle name="Percent 3 7 5 5 2" xfId="8040" xr:uid="{00000000-0005-0000-0000-0000141D0000}"/>
    <cellStyle name="Percent 3 7 5 5 2 2" xfId="8041" xr:uid="{00000000-0005-0000-0000-0000151D0000}"/>
    <cellStyle name="Percent 3 7 5 5 3" xfId="8042" xr:uid="{00000000-0005-0000-0000-0000161D0000}"/>
    <cellStyle name="Percent 3 7 5 5 3 2" xfId="8043" xr:uid="{00000000-0005-0000-0000-0000171D0000}"/>
    <cellStyle name="Percent 3 7 5 5 4" xfId="8044" xr:uid="{00000000-0005-0000-0000-0000181D0000}"/>
    <cellStyle name="Percent 3 7 5 5 4 2" xfId="8045" xr:uid="{00000000-0005-0000-0000-0000191D0000}"/>
    <cellStyle name="Percent 3 7 5 5 5" xfId="8046" xr:uid="{00000000-0005-0000-0000-00001A1D0000}"/>
    <cellStyle name="Percent 3 7 5 6" xfId="8047" xr:uid="{00000000-0005-0000-0000-00001B1D0000}"/>
    <cellStyle name="Percent 3 7 5 6 2" xfId="8048" xr:uid="{00000000-0005-0000-0000-00001C1D0000}"/>
    <cellStyle name="Percent 3 7 5 6 2 2" xfId="8049" xr:uid="{00000000-0005-0000-0000-00001D1D0000}"/>
    <cellStyle name="Percent 3 7 5 6 3" xfId="8050" xr:uid="{00000000-0005-0000-0000-00001E1D0000}"/>
    <cellStyle name="Percent 3 7 5 6 3 2" xfId="8051" xr:uid="{00000000-0005-0000-0000-00001F1D0000}"/>
    <cellStyle name="Percent 3 7 5 6 4" xfId="8052" xr:uid="{00000000-0005-0000-0000-0000201D0000}"/>
    <cellStyle name="Percent 3 7 5 7" xfId="8053" xr:uid="{00000000-0005-0000-0000-0000211D0000}"/>
    <cellStyle name="Percent 3 7 5 7 2" xfId="8054" xr:uid="{00000000-0005-0000-0000-0000221D0000}"/>
    <cellStyle name="Percent 3 7 5 8" xfId="8055" xr:uid="{00000000-0005-0000-0000-0000231D0000}"/>
    <cellStyle name="Percent 3 7 5 8 2" xfId="8056" xr:uid="{00000000-0005-0000-0000-0000241D0000}"/>
    <cellStyle name="Percent 3 7 5 9" xfId="8057" xr:uid="{00000000-0005-0000-0000-0000251D0000}"/>
    <cellStyle name="Percent 3 7 5 9 2" xfId="8058" xr:uid="{00000000-0005-0000-0000-0000261D0000}"/>
    <cellStyle name="Percent 3 7 6" xfId="2934" xr:uid="{00000000-0005-0000-0000-0000271D0000}"/>
    <cellStyle name="Percent 3 7 6 10" xfId="8060" xr:uid="{00000000-0005-0000-0000-0000281D0000}"/>
    <cellStyle name="Percent 3 7 6 11" xfId="8061" xr:uid="{00000000-0005-0000-0000-0000291D0000}"/>
    <cellStyle name="Percent 3 7 6 12" xfId="8059" xr:uid="{00000000-0005-0000-0000-00002A1D0000}"/>
    <cellStyle name="Percent 3 7 6 2" xfId="8062" xr:uid="{00000000-0005-0000-0000-00002B1D0000}"/>
    <cellStyle name="Percent 3 7 6 2 2" xfId="8063" xr:uid="{00000000-0005-0000-0000-00002C1D0000}"/>
    <cellStyle name="Percent 3 7 6 2 2 2" xfId="8064" xr:uid="{00000000-0005-0000-0000-00002D1D0000}"/>
    <cellStyle name="Percent 3 7 6 2 3" xfId="8065" xr:uid="{00000000-0005-0000-0000-00002E1D0000}"/>
    <cellStyle name="Percent 3 7 6 2 3 2" xfId="8066" xr:uid="{00000000-0005-0000-0000-00002F1D0000}"/>
    <cellStyle name="Percent 3 7 6 2 4" xfId="8067" xr:uid="{00000000-0005-0000-0000-0000301D0000}"/>
    <cellStyle name="Percent 3 7 6 2 5" xfId="8068" xr:uid="{00000000-0005-0000-0000-0000311D0000}"/>
    <cellStyle name="Percent 3 7 6 3" xfId="8069" xr:uid="{00000000-0005-0000-0000-0000321D0000}"/>
    <cellStyle name="Percent 3 7 6 3 2" xfId="8070" xr:uid="{00000000-0005-0000-0000-0000331D0000}"/>
    <cellStyle name="Percent 3 7 6 3 2 2" xfId="8071" xr:uid="{00000000-0005-0000-0000-0000341D0000}"/>
    <cellStyle name="Percent 3 7 6 3 3" xfId="8072" xr:uid="{00000000-0005-0000-0000-0000351D0000}"/>
    <cellStyle name="Percent 3 7 6 3 3 2" xfId="8073" xr:uid="{00000000-0005-0000-0000-0000361D0000}"/>
    <cellStyle name="Percent 3 7 6 3 4" xfId="8074" xr:uid="{00000000-0005-0000-0000-0000371D0000}"/>
    <cellStyle name="Percent 3 7 6 4" xfId="8075" xr:uid="{00000000-0005-0000-0000-0000381D0000}"/>
    <cellStyle name="Percent 3 7 6 4 2" xfId="8076" xr:uid="{00000000-0005-0000-0000-0000391D0000}"/>
    <cellStyle name="Percent 3 7 6 4 2 2" xfId="8077" xr:uid="{00000000-0005-0000-0000-00003A1D0000}"/>
    <cellStyle name="Percent 3 7 6 4 3" xfId="8078" xr:uid="{00000000-0005-0000-0000-00003B1D0000}"/>
    <cellStyle name="Percent 3 7 6 4 3 2" xfId="8079" xr:uid="{00000000-0005-0000-0000-00003C1D0000}"/>
    <cellStyle name="Percent 3 7 6 4 4" xfId="8080" xr:uid="{00000000-0005-0000-0000-00003D1D0000}"/>
    <cellStyle name="Percent 3 7 6 5" xfId="8081" xr:uid="{00000000-0005-0000-0000-00003E1D0000}"/>
    <cellStyle name="Percent 3 7 6 5 2" xfId="8082" xr:uid="{00000000-0005-0000-0000-00003F1D0000}"/>
    <cellStyle name="Percent 3 7 6 5 2 2" xfId="8083" xr:uid="{00000000-0005-0000-0000-0000401D0000}"/>
    <cellStyle name="Percent 3 7 6 5 3" xfId="8084" xr:uid="{00000000-0005-0000-0000-0000411D0000}"/>
    <cellStyle name="Percent 3 7 6 5 3 2" xfId="8085" xr:uid="{00000000-0005-0000-0000-0000421D0000}"/>
    <cellStyle name="Percent 3 7 6 5 4" xfId="8086" xr:uid="{00000000-0005-0000-0000-0000431D0000}"/>
    <cellStyle name="Percent 3 7 6 5 4 2" xfId="8087" xr:uid="{00000000-0005-0000-0000-0000441D0000}"/>
    <cellStyle name="Percent 3 7 6 5 5" xfId="8088" xr:uid="{00000000-0005-0000-0000-0000451D0000}"/>
    <cellStyle name="Percent 3 7 6 6" xfId="8089" xr:uid="{00000000-0005-0000-0000-0000461D0000}"/>
    <cellStyle name="Percent 3 7 6 6 2" xfId="8090" xr:uid="{00000000-0005-0000-0000-0000471D0000}"/>
    <cellStyle name="Percent 3 7 6 6 2 2" xfId="8091" xr:uid="{00000000-0005-0000-0000-0000481D0000}"/>
    <cellStyle name="Percent 3 7 6 6 3" xfId="8092" xr:uid="{00000000-0005-0000-0000-0000491D0000}"/>
    <cellStyle name="Percent 3 7 6 6 3 2" xfId="8093" xr:uid="{00000000-0005-0000-0000-00004A1D0000}"/>
    <cellStyle name="Percent 3 7 6 6 4" xfId="8094" xr:uid="{00000000-0005-0000-0000-00004B1D0000}"/>
    <cellStyle name="Percent 3 7 6 7" xfId="8095" xr:uid="{00000000-0005-0000-0000-00004C1D0000}"/>
    <cellStyle name="Percent 3 7 6 7 2" xfId="8096" xr:uid="{00000000-0005-0000-0000-00004D1D0000}"/>
    <cellStyle name="Percent 3 7 6 8" xfId="8097" xr:uid="{00000000-0005-0000-0000-00004E1D0000}"/>
    <cellStyle name="Percent 3 7 6 8 2" xfId="8098" xr:uid="{00000000-0005-0000-0000-00004F1D0000}"/>
    <cellStyle name="Percent 3 7 6 9" xfId="8099" xr:uid="{00000000-0005-0000-0000-0000501D0000}"/>
    <cellStyle name="Percent 3 7 6 9 2" xfId="8100" xr:uid="{00000000-0005-0000-0000-0000511D0000}"/>
    <cellStyle name="Percent 3 7 7" xfId="2935" xr:uid="{00000000-0005-0000-0000-0000521D0000}"/>
    <cellStyle name="Percent 3 7 7 10" xfId="8102" xr:uid="{00000000-0005-0000-0000-0000531D0000}"/>
    <cellStyle name="Percent 3 7 7 11" xfId="8103" xr:uid="{00000000-0005-0000-0000-0000541D0000}"/>
    <cellStyle name="Percent 3 7 7 12" xfId="8101" xr:uid="{00000000-0005-0000-0000-0000551D0000}"/>
    <cellStyle name="Percent 3 7 7 2" xfId="8104" xr:uid="{00000000-0005-0000-0000-0000561D0000}"/>
    <cellStyle name="Percent 3 7 7 2 2" xfId="8105" xr:uid="{00000000-0005-0000-0000-0000571D0000}"/>
    <cellStyle name="Percent 3 7 7 2 2 2" xfId="8106" xr:uid="{00000000-0005-0000-0000-0000581D0000}"/>
    <cellStyle name="Percent 3 7 7 2 3" xfId="8107" xr:uid="{00000000-0005-0000-0000-0000591D0000}"/>
    <cellStyle name="Percent 3 7 7 2 3 2" xfId="8108" xr:uid="{00000000-0005-0000-0000-00005A1D0000}"/>
    <cellStyle name="Percent 3 7 7 2 4" xfId="8109" xr:uid="{00000000-0005-0000-0000-00005B1D0000}"/>
    <cellStyle name="Percent 3 7 7 2 5" xfId="8110" xr:uid="{00000000-0005-0000-0000-00005C1D0000}"/>
    <cellStyle name="Percent 3 7 7 3" xfId="8111" xr:uid="{00000000-0005-0000-0000-00005D1D0000}"/>
    <cellStyle name="Percent 3 7 7 3 2" xfId="8112" xr:uid="{00000000-0005-0000-0000-00005E1D0000}"/>
    <cellStyle name="Percent 3 7 7 3 2 2" xfId="8113" xr:uid="{00000000-0005-0000-0000-00005F1D0000}"/>
    <cellStyle name="Percent 3 7 7 3 3" xfId="8114" xr:uid="{00000000-0005-0000-0000-0000601D0000}"/>
    <cellStyle name="Percent 3 7 7 3 3 2" xfId="8115" xr:uid="{00000000-0005-0000-0000-0000611D0000}"/>
    <cellStyle name="Percent 3 7 7 3 4" xfId="8116" xr:uid="{00000000-0005-0000-0000-0000621D0000}"/>
    <cellStyle name="Percent 3 7 7 4" xfId="8117" xr:uid="{00000000-0005-0000-0000-0000631D0000}"/>
    <cellStyle name="Percent 3 7 7 4 2" xfId="8118" xr:uid="{00000000-0005-0000-0000-0000641D0000}"/>
    <cellStyle name="Percent 3 7 7 4 2 2" xfId="8119" xr:uid="{00000000-0005-0000-0000-0000651D0000}"/>
    <cellStyle name="Percent 3 7 7 4 3" xfId="8120" xr:uid="{00000000-0005-0000-0000-0000661D0000}"/>
    <cellStyle name="Percent 3 7 7 4 3 2" xfId="8121" xr:uid="{00000000-0005-0000-0000-0000671D0000}"/>
    <cellStyle name="Percent 3 7 7 4 4" xfId="8122" xr:uid="{00000000-0005-0000-0000-0000681D0000}"/>
    <cellStyle name="Percent 3 7 7 5" xfId="8123" xr:uid="{00000000-0005-0000-0000-0000691D0000}"/>
    <cellStyle name="Percent 3 7 7 5 2" xfId="8124" xr:uid="{00000000-0005-0000-0000-00006A1D0000}"/>
    <cellStyle name="Percent 3 7 7 5 2 2" xfId="8125" xr:uid="{00000000-0005-0000-0000-00006B1D0000}"/>
    <cellStyle name="Percent 3 7 7 5 3" xfId="8126" xr:uid="{00000000-0005-0000-0000-00006C1D0000}"/>
    <cellStyle name="Percent 3 7 7 5 3 2" xfId="8127" xr:uid="{00000000-0005-0000-0000-00006D1D0000}"/>
    <cellStyle name="Percent 3 7 7 5 4" xfId="8128" xr:uid="{00000000-0005-0000-0000-00006E1D0000}"/>
    <cellStyle name="Percent 3 7 7 5 4 2" xfId="8129" xr:uid="{00000000-0005-0000-0000-00006F1D0000}"/>
    <cellStyle name="Percent 3 7 7 5 5" xfId="8130" xr:uid="{00000000-0005-0000-0000-0000701D0000}"/>
    <cellStyle name="Percent 3 7 7 6" xfId="8131" xr:uid="{00000000-0005-0000-0000-0000711D0000}"/>
    <cellStyle name="Percent 3 7 7 6 2" xfId="8132" xr:uid="{00000000-0005-0000-0000-0000721D0000}"/>
    <cellStyle name="Percent 3 7 7 6 2 2" xfId="8133" xr:uid="{00000000-0005-0000-0000-0000731D0000}"/>
    <cellStyle name="Percent 3 7 7 6 3" xfId="8134" xr:uid="{00000000-0005-0000-0000-0000741D0000}"/>
    <cellStyle name="Percent 3 7 7 6 3 2" xfId="8135" xr:uid="{00000000-0005-0000-0000-0000751D0000}"/>
    <cellStyle name="Percent 3 7 7 6 4" xfId="8136" xr:uid="{00000000-0005-0000-0000-0000761D0000}"/>
    <cellStyle name="Percent 3 7 7 7" xfId="8137" xr:uid="{00000000-0005-0000-0000-0000771D0000}"/>
    <cellStyle name="Percent 3 7 7 7 2" xfId="8138" xr:uid="{00000000-0005-0000-0000-0000781D0000}"/>
    <cellStyle name="Percent 3 7 7 8" xfId="8139" xr:uid="{00000000-0005-0000-0000-0000791D0000}"/>
    <cellStyle name="Percent 3 7 7 8 2" xfId="8140" xr:uid="{00000000-0005-0000-0000-00007A1D0000}"/>
    <cellStyle name="Percent 3 7 7 9" xfId="8141" xr:uid="{00000000-0005-0000-0000-00007B1D0000}"/>
    <cellStyle name="Percent 3 7 7 9 2" xfId="8142" xr:uid="{00000000-0005-0000-0000-00007C1D0000}"/>
    <cellStyle name="Percent 3 7 8" xfId="2936" xr:uid="{00000000-0005-0000-0000-00007D1D0000}"/>
    <cellStyle name="Percent 3 7 8 10" xfId="8144" xr:uid="{00000000-0005-0000-0000-00007E1D0000}"/>
    <cellStyle name="Percent 3 7 8 11" xfId="8145" xr:uid="{00000000-0005-0000-0000-00007F1D0000}"/>
    <cellStyle name="Percent 3 7 8 12" xfId="8143" xr:uid="{00000000-0005-0000-0000-0000801D0000}"/>
    <cellStyle name="Percent 3 7 8 2" xfId="8146" xr:uid="{00000000-0005-0000-0000-0000811D0000}"/>
    <cellStyle name="Percent 3 7 8 2 2" xfId="8147" xr:uid="{00000000-0005-0000-0000-0000821D0000}"/>
    <cellStyle name="Percent 3 7 8 2 2 2" xfId="8148" xr:uid="{00000000-0005-0000-0000-0000831D0000}"/>
    <cellStyle name="Percent 3 7 8 2 3" xfId="8149" xr:uid="{00000000-0005-0000-0000-0000841D0000}"/>
    <cellStyle name="Percent 3 7 8 2 3 2" xfId="8150" xr:uid="{00000000-0005-0000-0000-0000851D0000}"/>
    <cellStyle name="Percent 3 7 8 2 4" xfId="8151" xr:uid="{00000000-0005-0000-0000-0000861D0000}"/>
    <cellStyle name="Percent 3 7 8 2 5" xfId="8152" xr:uid="{00000000-0005-0000-0000-0000871D0000}"/>
    <cellStyle name="Percent 3 7 8 3" xfId="8153" xr:uid="{00000000-0005-0000-0000-0000881D0000}"/>
    <cellStyle name="Percent 3 7 8 3 2" xfId="8154" xr:uid="{00000000-0005-0000-0000-0000891D0000}"/>
    <cellStyle name="Percent 3 7 8 3 2 2" xfId="8155" xr:uid="{00000000-0005-0000-0000-00008A1D0000}"/>
    <cellStyle name="Percent 3 7 8 3 3" xfId="8156" xr:uid="{00000000-0005-0000-0000-00008B1D0000}"/>
    <cellStyle name="Percent 3 7 8 3 3 2" xfId="8157" xr:uid="{00000000-0005-0000-0000-00008C1D0000}"/>
    <cellStyle name="Percent 3 7 8 3 4" xfId="8158" xr:uid="{00000000-0005-0000-0000-00008D1D0000}"/>
    <cellStyle name="Percent 3 7 8 4" xfId="8159" xr:uid="{00000000-0005-0000-0000-00008E1D0000}"/>
    <cellStyle name="Percent 3 7 8 4 2" xfId="8160" xr:uid="{00000000-0005-0000-0000-00008F1D0000}"/>
    <cellStyle name="Percent 3 7 8 4 2 2" xfId="8161" xr:uid="{00000000-0005-0000-0000-0000901D0000}"/>
    <cellStyle name="Percent 3 7 8 4 3" xfId="8162" xr:uid="{00000000-0005-0000-0000-0000911D0000}"/>
    <cellStyle name="Percent 3 7 8 4 3 2" xfId="8163" xr:uid="{00000000-0005-0000-0000-0000921D0000}"/>
    <cellStyle name="Percent 3 7 8 4 4" xfId="8164" xr:uid="{00000000-0005-0000-0000-0000931D0000}"/>
    <cellStyle name="Percent 3 7 8 5" xfId="8165" xr:uid="{00000000-0005-0000-0000-0000941D0000}"/>
    <cellStyle name="Percent 3 7 8 5 2" xfId="8166" xr:uid="{00000000-0005-0000-0000-0000951D0000}"/>
    <cellStyle name="Percent 3 7 8 5 2 2" xfId="8167" xr:uid="{00000000-0005-0000-0000-0000961D0000}"/>
    <cellStyle name="Percent 3 7 8 5 3" xfId="8168" xr:uid="{00000000-0005-0000-0000-0000971D0000}"/>
    <cellStyle name="Percent 3 7 8 5 3 2" xfId="8169" xr:uid="{00000000-0005-0000-0000-0000981D0000}"/>
    <cellStyle name="Percent 3 7 8 5 4" xfId="8170" xr:uid="{00000000-0005-0000-0000-0000991D0000}"/>
    <cellStyle name="Percent 3 7 8 5 4 2" xfId="8171" xr:uid="{00000000-0005-0000-0000-00009A1D0000}"/>
    <cellStyle name="Percent 3 7 8 5 5" xfId="8172" xr:uid="{00000000-0005-0000-0000-00009B1D0000}"/>
    <cellStyle name="Percent 3 7 8 6" xfId="8173" xr:uid="{00000000-0005-0000-0000-00009C1D0000}"/>
    <cellStyle name="Percent 3 7 8 6 2" xfId="8174" xr:uid="{00000000-0005-0000-0000-00009D1D0000}"/>
    <cellStyle name="Percent 3 7 8 6 2 2" xfId="8175" xr:uid="{00000000-0005-0000-0000-00009E1D0000}"/>
    <cellStyle name="Percent 3 7 8 6 3" xfId="8176" xr:uid="{00000000-0005-0000-0000-00009F1D0000}"/>
    <cellStyle name="Percent 3 7 8 6 3 2" xfId="8177" xr:uid="{00000000-0005-0000-0000-0000A01D0000}"/>
    <cellStyle name="Percent 3 7 8 6 4" xfId="8178" xr:uid="{00000000-0005-0000-0000-0000A11D0000}"/>
    <cellStyle name="Percent 3 7 8 7" xfId="8179" xr:uid="{00000000-0005-0000-0000-0000A21D0000}"/>
    <cellStyle name="Percent 3 7 8 7 2" xfId="8180" xr:uid="{00000000-0005-0000-0000-0000A31D0000}"/>
    <cellStyle name="Percent 3 7 8 8" xfId="8181" xr:uid="{00000000-0005-0000-0000-0000A41D0000}"/>
    <cellStyle name="Percent 3 7 8 8 2" xfId="8182" xr:uid="{00000000-0005-0000-0000-0000A51D0000}"/>
    <cellStyle name="Percent 3 7 8 9" xfId="8183" xr:uid="{00000000-0005-0000-0000-0000A61D0000}"/>
    <cellStyle name="Percent 3 7 8 9 2" xfId="8184" xr:uid="{00000000-0005-0000-0000-0000A71D0000}"/>
    <cellStyle name="Percent 3 7 9" xfId="2937" xr:uid="{00000000-0005-0000-0000-0000A81D0000}"/>
    <cellStyle name="Percent 3 7 9 10" xfId="8186" xr:uid="{00000000-0005-0000-0000-0000A91D0000}"/>
    <cellStyle name="Percent 3 7 9 11" xfId="8187" xr:uid="{00000000-0005-0000-0000-0000AA1D0000}"/>
    <cellStyle name="Percent 3 7 9 12" xfId="8185" xr:uid="{00000000-0005-0000-0000-0000AB1D0000}"/>
    <cellStyle name="Percent 3 7 9 2" xfId="8188" xr:uid="{00000000-0005-0000-0000-0000AC1D0000}"/>
    <cellStyle name="Percent 3 7 9 2 2" xfId="8189" xr:uid="{00000000-0005-0000-0000-0000AD1D0000}"/>
    <cellStyle name="Percent 3 7 9 2 2 2" xfId="8190" xr:uid="{00000000-0005-0000-0000-0000AE1D0000}"/>
    <cellStyle name="Percent 3 7 9 2 3" xfId="8191" xr:uid="{00000000-0005-0000-0000-0000AF1D0000}"/>
    <cellStyle name="Percent 3 7 9 2 3 2" xfId="8192" xr:uid="{00000000-0005-0000-0000-0000B01D0000}"/>
    <cellStyle name="Percent 3 7 9 2 4" xfId="8193" xr:uid="{00000000-0005-0000-0000-0000B11D0000}"/>
    <cellStyle name="Percent 3 7 9 2 5" xfId="8194" xr:uid="{00000000-0005-0000-0000-0000B21D0000}"/>
    <cellStyle name="Percent 3 7 9 3" xfId="8195" xr:uid="{00000000-0005-0000-0000-0000B31D0000}"/>
    <cellStyle name="Percent 3 7 9 3 2" xfId="8196" xr:uid="{00000000-0005-0000-0000-0000B41D0000}"/>
    <cellStyle name="Percent 3 7 9 3 2 2" xfId="8197" xr:uid="{00000000-0005-0000-0000-0000B51D0000}"/>
    <cellStyle name="Percent 3 7 9 3 3" xfId="8198" xr:uid="{00000000-0005-0000-0000-0000B61D0000}"/>
    <cellStyle name="Percent 3 7 9 3 3 2" xfId="8199" xr:uid="{00000000-0005-0000-0000-0000B71D0000}"/>
    <cellStyle name="Percent 3 7 9 3 4" xfId="8200" xr:uid="{00000000-0005-0000-0000-0000B81D0000}"/>
    <cellStyle name="Percent 3 7 9 4" xfId="8201" xr:uid="{00000000-0005-0000-0000-0000B91D0000}"/>
    <cellStyle name="Percent 3 7 9 4 2" xfId="8202" xr:uid="{00000000-0005-0000-0000-0000BA1D0000}"/>
    <cellStyle name="Percent 3 7 9 4 2 2" xfId="8203" xr:uid="{00000000-0005-0000-0000-0000BB1D0000}"/>
    <cellStyle name="Percent 3 7 9 4 3" xfId="8204" xr:uid="{00000000-0005-0000-0000-0000BC1D0000}"/>
    <cellStyle name="Percent 3 7 9 4 3 2" xfId="8205" xr:uid="{00000000-0005-0000-0000-0000BD1D0000}"/>
    <cellStyle name="Percent 3 7 9 4 4" xfId="8206" xr:uid="{00000000-0005-0000-0000-0000BE1D0000}"/>
    <cellStyle name="Percent 3 7 9 5" xfId="8207" xr:uid="{00000000-0005-0000-0000-0000BF1D0000}"/>
    <cellStyle name="Percent 3 7 9 5 2" xfId="8208" xr:uid="{00000000-0005-0000-0000-0000C01D0000}"/>
    <cellStyle name="Percent 3 7 9 5 2 2" xfId="8209" xr:uid="{00000000-0005-0000-0000-0000C11D0000}"/>
    <cellStyle name="Percent 3 7 9 5 3" xfId="8210" xr:uid="{00000000-0005-0000-0000-0000C21D0000}"/>
    <cellStyle name="Percent 3 7 9 5 3 2" xfId="8211" xr:uid="{00000000-0005-0000-0000-0000C31D0000}"/>
    <cellStyle name="Percent 3 7 9 5 4" xfId="8212" xr:uid="{00000000-0005-0000-0000-0000C41D0000}"/>
    <cellStyle name="Percent 3 7 9 5 4 2" xfId="8213" xr:uid="{00000000-0005-0000-0000-0000C51D0000}"/>
    <cellStyle name="Percent 3 7 9 5 5" xfId="8214" xr:uid="{00000000-0005-0000-0000-0000C61D0000}"/>
    <cellStyle name="Percent 3 7 9 6" xfId="8215" xr:uid="{00000000-0005-0000-0000-0000C71D0000}"/>
    <cellStyle name="Percent 3 7 9 6 2" xfId="8216" xr:uid="{00000000-0005-0000-0000-0000C81D0000}"/>
    <cellStyle name="Percent 3 7 9 6 2 2" xfId="8217" xr:uid="{00000000-0005-0000-0000-0000C91D0000}"/>
    <cellStyle name="Percent 3 7 9 6 3" xfId="8218" xr:uid="{00000000-0005-0000-0000-0000CA1D0000}"/>
    <cellStyle name="Percent 3 7 9 6 3 2" xfId="8219" xr:uid="{00000000-0005-0000-0000-0000CB1D0000}"/>
    <cellStyle name="Percent 3 7 9 6 4" xfId="8220" xr:uid="{00000000-0005-0000-0000-0000CC1D0000}"/>
    <cellStyle name="Percent 3 7 9 7" xfId="8221" xr:uid="{00000000-0005-0000-0000-0000CD1D0000}"/>
    <cellStyle name="Percent 3 7 9 7 2" xfId="8222" xr:uid="{00000000-0005-0000-0000-0000CE1D0000}"/>
    <cellStyle name="Percent 3 7 9 8" xfId="8223" xr:uid="{00000000-0005-0000-0000-0000CF1D0000}"/>
    <cellStyle name="Percent 3 7 9 8 2" xfId="8224" xr:uid="{00000000-0005-0000-0000-0000D01D0000}"/>
    <cellStyle name="Percent 3 7 9 9" xfId="8225" xr:uid="{00000000-0005-0000-0000-0000D11D0000}"/>
    <cellStyle name="Percent 3 7 9 9 2" xfId="8226" xr:uid="{00000000-0005-0000-0000-0000D21D0000}"/>
    <cellStyle name="Percent 3 8" xfId="2938" xr:uid="{00000000-0005-0000-0000-0000D31D0000}"/>
    <cellStyle name="Percent 3 8 10" xfId="2939" xr:uid="{00000000-0005-0000-0000-0000D41D0000}"/>
    <cellStyle name="Percent 3 8 10 10" xfId="8229" xr:uid="{00000000-0005-0000-0000-0000D51D0000}"/>
    <cellStyle name="Percent 3 8 10 11" xfId="8230" xr:uid="{00000000-0005-0000-0000-0000D61D0000}"/>
    <cellStyle name="Percent 3 8 10 12" xfId="8228" xr:uid="{00000000-0005-0000-0000-0000D71D0000}"/>
    <cellStyle name="Percent 3 8 10 2" xfId="8231" xr:uid="{00000000-0005-0000-0000-0000D81D0000}"/>
    <cellStyle name="Percent 3 8 10 2 2" xfId="8232" xr:uid="{00000000-0005-0000-0000-0000D91D0000}"/>
    <cellStyle name="Percent 3 8 10 2 2 2" xfId="8233" xr:uid="{00000000-0005-0000-0000-0000DA1D0000}"/>
    <cellStyle name="Percent 3 8 10 2 3" xfId="8234" xr:uid="{00000000-0005-0000-0000-0000DB1D0000}"/>
    <cellStyle name="Percent 3 8 10 2 3 2" xfId="8235" xr:uid="{00000000-0005-0000-0000-0000DC1D0000}"/>
    <cellStyle name="Percent 3 8 10 2 4" xfId="8236" xr:uid="{00000000-0005-0000-0000-0000DD1D0000}"/>
    <cellStyle name="Percent 3 8 10 2 5" xfId="8237" xr:uid="{00000000-0005-0000-0000-0000DE1D0000}"/>
    <cellStyle name="Percent 3 8 10 3" xfId="8238" xr:uid="{00000000-0005-0000-0000-0000DF1D0000}"/>
    <cellStyle name="Percent 3 8 10 3 2" xfId="8239" xr:uid="{00000000-0005-0000-0000-0000E01D0000}"/>
    <cellStyle name="Percent 3 8 10 3 2 2" xfId="8240" xr:uid="{00000000-0005-0000-0000-0000E11D0000}"/>
    <cellStyle name="Percent 3 8 10 3 3" xfId="8241" xr:uid="{00000000-0005-0000-0000-0000E21D0000}"/>
    <cellStyle name="Percent 3 8 10 3 3 2" xfId="8242" xr:uid="{00000000-0005-0000-0000-0000E31D0000}"/>
    <cellStyle name="Percent 3 8 10 3 4" xfId="8243" xr:uid="{00000000-0005-0000-0000-0000E41D0000}"/>
    <cellStyle name="Percent 3 8 10 4" xfId="8244" xr:uid="{00000000-0005-0000-0000-0000E51D0000}"/>
    <cellStyle name="Percent 3 8 10 4 2" xfId="8245" xr:uid="{00000000-0005-0000-0000-0000E61D0000}"/>
    <cellStyle name="Percent 3 8 10 4 2 2" xfId="8246" xr:uid="{00000000-0005-0000-0000-0000E71D0000}"/>
    <cellStyle name="Percent 3 8 10 4 3" xfId="8247" xr:uid="{00000000-0005-0000-0000-0000E81D0000}"/>
    <cellStyle name="Percent 3 8 10 4 3 2" xfId="8248" xr:uid="{00000000-0005-0000-0000-0000E91D0000}"/>
    <cellStyle name="Percent 3 8 10 4 4" xfId="8249" xr:uid="{00000000-0005-0000-0000-0000EA1D0000}"/>
    <cellStyle name="Percent 3 8 10 5" xfId="8250" xr:uid="{00000000-0005-0000-0000-0000EB1D0000}"/>
    <cellStyle name="Percent 3 8 10 5 2" xfId="8251" xr:uid="{00000000-0005-0000-0000-0000EC1D0000}"/>
    <cellStyle name="Percent 3 8 10 5 2 2" xfId="8252" xr:uid="{00000000-0005-0000-0000-0000ED1D0000}"/>
    <cellStyle name="Percent 3 8 10 5 3" xfId="8253" xr:uid="{00000000-0005-0000-0000-0000EE1D0000}"/>
    <cellStyle name="Percent 3 8 10 5 3 2" xfId="8254" xr:uid="{00000000-0005-0000-0000-0000EF1D0000}"/>
    <cellStyle name="Percent 3 8 10 5 4" xfId="8255" xr:uid="{00000000-0005-0000-0000-0000F01D0000}"/>
    <cellStyle name="Percent 3 8 10 5 4 2" xfId="8256" xr:uid="{00000000-0005-0000-0000-0000F11D0000}"/>
    <cellStyle name="Percent 3 8 10 5 5" xfId="8257" xr:uid="{00000000-0005-0000-0000-0000F21D0000}"/>
    <cellStyle name="Percent 3 8 10 6" xfId="8258" xr:uid="{00000000-0005-0000-0000-0000F31D0000}"/>
    <cellStyle name="Percent 3 8 10 6 2" xfId="8259" xr:uid="{00000000-0005-0000-0000-0000F41D0000}"/>
    <cellStyle name="Percent 3 8 10 6 2 2" xfId="8260" xr:uid="{00000000-0005-0000-0000-0000F51D0000}"/>
    <cellStyle name="Percent 3 8 10 6 3" xfId="8261" xr:uid="{00000000-0005-0000-0000-0000F61D0000}"/>
    <cellStyle name="Percent 3 8 10 6 3 2" xfId="8262" xr:uid="{00000000-0005-0000-0000-0000F71D0000}"/>
    <cellStyle name="Percent 3 8 10 6 4" xfId="8263" xr:uid="{00000000-0005-0000-0000-0000F81D0000}"/>
    <cellStyle name="Percent 3 8 10 7" xfId="8264" xr:uid="{00000000-0005-0000-0000-0000F91D0000}"/>
    <cellStyle name="Percent 3 8 10 7 2" xfId="8265" xr:uid="{00000000-0005-0000-0000-0000FA1D0000}"/>
    <cellStyle name="Percent 3 8 10 8" xfId="8266" xr:uid="{00000000-0005-0000-0000-0000FB1D0000}"/>
    <cellStyle name="Percent 3 8 10 8 2" xfId="8267" xr:uid="{00000000-0005-0000-0000-0000FC1D0000}"/>
    <cellStyle name="Percent 3 8 10 9" xfId="8268" xr:uid="{00000000-0005-0000-0000-0000FD1D0000}"/>
    <cellStyle name="Percent 3 8 10 9 2" xfId="8269" xr:uid="{00000000-0005-0000-0000-0000FE1D0000}"/>
    <cellStyle name="Percent 3 8 11" xfId="2940" xr:uid="{00000000-0005-0000-0000-0000FF1D0000}"/>
    <cellStyle name="Percent 3 8 11 10" xfId="8271" xr:uid="{00000000-0005-0000-0000-0000001E0000}"/>
    <cellStyle name="Percent 3 8 11 11" xfId="8272" xr:uid="{00000000-0005-0000-0000-0000011E0000}"/>
    <cellStyle name="Percent 3 8 11 12" xfId="8270" xr:uid="{00000000-0005-0000-0000-0000021E0000}"/>
    <cellStyle name="Percent 3 8 11 2" xfId="8273" xr:uid="{00000000-0005-0000-0000-0000031E0000}"/>
    <cellStyle name="Percent 3 8 11 2 2" xfId="8274" xr:uid="{00000000-0005-0000-0000-0000041E0000}"/>
    <cellStyle name="Percent 3 8 11 2 2 2" xfId="8275" xr:uid="{00000000-0005-0000-0000-0000051E0000}"/>
    <cellStyle name="Percent 3 8 11 2 3" xfId="8276" xr:uid="{00000000-0005-0000-0000-0000061E0000}"/>
    <cellStyle name="Percent 3 8 11 2 3 2" xfId="8277" xr:uid="{00000000-0005-0000-0000-0000071E0000}"/>
    <cellStyle name="Percent 3 8 11 2 4" xfId="8278" xr:uid="{00000000-0005-0000-0000-0000081E0000}"/>
    <cellStyle name="Percent 3 8 11 2 5" xfId="8279" xr:uid="{00000000-0005-0000-0000-0000091E0000}"/>
    <cellStyle name="Percent 3 8 11 3" xfId="8280" xr:uid="{00000000-0005-0000-0000-00000A1E0000}"/>
    <cellStyle name="Percent 3 8 11 3 2" xfId="8281" xr:uid="{00000000-0005-0000-0000-00000B1E0000}"/>
    <cellStyle name="Percent 3 8 11 3 2 2" xfId="8282" xr:uid="{00000000-0005-0000-0000-00000C1E0000}"/>
    <cellStyle name="Percent 3 8 11 3 3" xfId="8283" xr:uid="{00000000-0005-0000-0000-00000D1E0000}"/>
    <cellStyle name="Percent 3 8 11 3 3 2" xfId="8284" xr:uid="{00000000-0005-0000-0000-00000E1E0000}"/>
    <cellStyle name="Percent 3 8 11 3 4" xfId="8285" xr:uid="{00000000-0005-0000-0000-00000F1E0000}"/>
    <cellStyle name="Percent 3 8 11 4" xfId="8286" xr:uid="{00000000-0005-0000-0000-0000101E0000}"/>
    <cellStyle name="Percent 3 8 11 4 2" xfId="8287" xr:uid="{00000000-0005-0000-0000-0000111E0000}"/>
    <cellStyle name="Percent 3 8 11 4 2 2" xfId="8288" xr:uid="{00000000-0005-0000-0000-0000121E0000}"/>
    <cellStyle name="Percent 3 8 11 4 3" xfId="8289" xr:uid="{00000000-0005-0000-0000-0000131E0000}"/>
    <cellStyle name="Percent 3 8 11 4 3 2" xfId="8290" xr:uid="{00000000-0005-0000-0000-0000141E0000}"/>
    <cellStyle name="Percent 3 8 11 4 4" xfId="8291" xr:uid="{00000000-0005-0000-0000-0000151E0000}"/>
    <cellStyle name="Percent 3 8 11 5" xfId="8292" xr:uid="{00000000-0005-0000-0000-0000161E0000}"/>
    <cellStyle name="Percent 3 8 11 5 2" xfId="8293" xr:uid="{00000000-0005-0000-0000-0000171E0000}"/>
    <cellStyle name="Percent 3 8 11 5 2 2" xfId="8294" xr:uid="{00000000-0005-0000-0000-0000181E0000}"/>
    <cellStyle name="Percent 3 8 11 5 3" xfId="8295" xr:uid="{00000000-0005-0000-0000-0000191E0000}"/>
    <cellStyle name="Percent 3 8 11 5 3 2" xfId="8296" xr:uid="{00000000-0005-0000-0000-00001A1E0000}"/>
    <cellStyle name="Percent 3 8 11 5 4" xfId="8297" xr:uid="{00000000-0005-0000-0000-00001B1E0000}"/>
    <cellStyle name="Percent 3 8 11 5 4 2" xfId="8298" xr:uid="{00000000-0005-0000-0000-00001C1E0000}"/>
    <cellStyle name="Percent 3 8 11 5 5" xfId="8299" xr:uid="{00000000-0005-0000-0000-00001D1E0000}"/>
    <cellStyle name="Percent 3 8 11 6" xfId="8300" xr:uid="{00000000-0005-0000-0000-00001E1E0000}"/>
    <cellStyle name="Percent 3 8 11 6 2" xfId="8301" xr:uid="{00000000-0005-0000-0000-00001F1E0000}"/>
    <cellStyle name="Percent 3 8 11 6 2 2" xfId="8302" xr:uid="{00000000-0005-0000-0000-0000201E0000}"/>
    <cellStyle name="Percent 3 8 11 6 3" xfId="8303" xr:uid="{00000000-0005-0000-0000-0000211E0000}"/>
    <cellStyle name="Percent 3 8 11 6 3 2" xfId="8304" xr:uid="{00000000-0005-0000-0000-0000221E0000}"/>
    <cellStyle name="Percent 3 8 11 6 4" xfId="8305" xr:uid="{00000000-0005-0000-0000-0000231E0000}"/>
    <cellStyle name="Percent 3 8 11 7" xfId="8306" xr:uid="{00000000-0005-0000-0000-0000241E0000}"/>
    <cellStyle name="Percent 3 8 11 7 2" xfId="8307" xr:uid="{00000000-0005-0000-0000-0000251E0000}"/>
    <cellStyle name="Percent 3 8 11 8" xfId="8308" xr:uid="{00000000-0005-0000-0000-0000261E0000}"/>
    <cellStyle name="Percent 3 8 11 8 2" xfId="8309" xr:uid="{00000000-0005-0000-0000-0000271E0000}"/>
    <cellStyle name="Percent 3 8 11 9" xfId="8310" xr:uid="{00000000-0005-0000-0000-0000281E0000}"/>
    <cellStyle name="Percent 3 8 11 9 2" xfId="8311" xr:uid="{00000000-0005-0000-0000-0000291E0000}"/>
    <cellStyle name="Percent 3 8 12" xfId="2941" xr:uid="{00000000-0005-0000-0000-00002A1E0000}"/>
    <cellStyle name="Percent 3 8 12 10" xfId="8313" xr:uid="{00000000-0005-0000-0000-00002B1E0000}"/>
    <cellStyle name="Percent 3 8 12 11" xfId="8314" xr:uid="{00000000-0005-0000-0000-00002C1E0000}"/>
    <cellStyle name="Percent 3 8 12 12" xfId="8312" xr:uid="{00000000-0005-0000-0000-00002D1E0000}"/>
    <cellStyle name="Percent 3 8 12 2" xfId="8315" xr:uid="{00000000-0005-0000-0000-00002E1E0000}"/>
    <cellStyle name="Percent 3 8 12 2 2" xfId="8316" xr:uid="{00000000-0005-0000-0000-00002F1E0000}"/>
    <cellStyle name="Percent 3 8 12 2 2 2" xfId="8317" xr:uid="{00000000-0005-0000-0000-0000301E0000}"/>
    <cellStyle name="Percent 3 8 12 2 3" xfId="8318" xr:uid="{00000000-0005-0000-0000-0000311E0000}"/>
    <cellStyle name="Percent 3 8 12 2 3 2" xfId="8319" xr:uid="{00000000-0005-0000-0000-0000321E0000}"/>
    <cellStyle name="Percent 3 8 12 2 4" xfId="8320" xr:uid="{00000000-0005-0000-0000-0000331E0000}"/>
    <cellStyle name="Percent 3 8 12 2 5" xfId="8321" xr:uid="{00000000-0005-0000-0000-0000341E0000}"/>
    <cellStyle name="Percent 3 8 12 3" xfId="8322" xr:uid="{00000000-0005-0000-0000-0000351E0000}"/>
    <cellStyle name="Percent 3 8 12 3 2" xfId="8323" xr:uid="{00000000-0005-0000-0000-0000361E0000}"/>
    <cellStyle name="Percent 3 8 12 3 2 2" xfId="8324" xr:uid="{00000000-0005-0000-0000-0000371E0000}"/>
    <cellStyle name="Percent 3 8 12 3 3" xfId="8325" xr:uid="{00000000-0005-0000-0000-0000381E0000}"/>
    <cellStyle name="Percent 3 8 12 3 3 2" xfId="8326" xr:uid="{00000000-0005-0000-0000-0000391E0000}"/>
    <cellStyle name="Percent 3 8 12 3 4" xfId="8327" xr:uid="{00000000-0005-0000-0000-00003A1E0000}"/>
    <cellStyle name="Percent 3 8 12 4" xfId="8328" xr:uid="{00000000-0005-0000-0000-00003B1E0000}"/>
    <cellStyle name="Percent 3 8 12 4 2" xfId="8329" xr:uid="{00000000-0005-0000-0000-00003C1E0000}"/>
    <cellStyle name="Percent 3 8 12 4 2 2" xfId="8330" xr:uid="{00000000-0005-0000-0000-00003D1E0000}"/>
    <cellStyle name="Percent 3 8 12 4 3" xfId="8331" xr:uid="{00000000-0005-0000-0000-00003E1E0000}"/>
    <cellStyle name="Percent 3 8 12 4 3 2" xfId="8332" xr:uid="{00000000-0005-0000-0000-00003F1E0000}"/>
    <cellStyle name="Percent 3 8 12 4 4" xfId="8333" xr:uid="{00000000-0005-0000-0000-0000401E0000}"/>
    <cellStyle name="Percent 3 8 12 5" xfId="8334" xr:uid="{00000000-0005-0000-0000-0000411E0000}"/>
    <cellStyle name="Percent 3 8 12 5 2" xfId="8335" xr:uid="{00000000-0005-0000-0000-0000421E0000}"/>
    <cellStyle name="Percent 3 8 12 5 2 2" xfId="8336" xr:uid="{00000000-0005-0000-0000-0000431E0000}"/>
    <cellStyle name="Percent 3 8 12 5 3" xfId="8337" xr:uid="{00000000-0005-0000-0000-0000441E0000}"/>
    <cellStyle name="Percent 3 8 12 5 3 2" xfId="8338" xr:uid="{00000000-0005-0000-0000-0000451E0000}"/>
    <cellStyle name="Percent 3 8 12 5 4" xfId="8339" xr:uid="{00000000-0005-0000-0000-0000461E0000}"/>
    <cellStyle name="Percent 3 8 12 5 4 2" xfId="8340" xr:uid="{00000000-0005-0000-0000-0000471E0000}"/>
    <cellStyle name="Percent 3 8 12 5 5" xfId="8341" xr:uid="{00000000-0005-0000-0000-0000481E0000}"/>
    <cellStyle name="Percent 3 8 12 6" xfId="8342" xr:uid="{00000000-0005-0000-0000-0000491E0000}"/>
    <cellStyle name="Percent 3 8 12 6 2" xfId="8343" xr:uid="{00000000-0005-0000-0000-00004A1E0000}"/>
    <cellStyle name="Percent 3 8 12 6 2 2" xfId="8344" xr:uid="{00000000-0005-0000-0000-00004B1E0000}"/>
    <cellStyle name="Percent 3 8 12 6 3" xfId="8345" xr:uid="{00000000-0005-0000-0000-00004C1E0000}"/>
    <cellStyle name="Percent 3 8 12 6 3 2" xfId="8346" xr:uid="{00000000-0005-0000-0000-00004D1E0000}"/>
    <cellStyle name="Percent 3 8 12 6 4" xfId="8347" xr:uid="{00000000-0005-0000-0000-00004E1E0000}"/>
    <cellStyle name="Percent 3 8 12 7" xfId="8348" xr:uid="{00000000-0005-0000-0000-00004F1E0000}"/>
    <cellStyle name="Percent 3 8 12 7 2" xfId="8349" xr:uid="{00000000-0005-0000-0000-0000501E0000}"/>
    <cellStyle name="Percent 3 8 12 8" xfId="8350" xr:uid="{00000000-0005-0000-0000-0000511E0000}"/>
    <cellStyle name="Percent 3 8 12 8 2" xfId="8351" xr:uid="{00000000-0005-0000-0000-0000521E0000}"/>
    <cellStyle name="Percent 3 8 12 9" xfId="8352" xr:uid="{00000000-0005-0000-0000-0000531E0000}"/>
    <cellStyle name="Percent 3 8 12 9 2" xfId="8353" xr:uid="{00000000-0005-0000-0000-0000541E0000}"/>
    <cellStyle name="Percent 3 8 13" xfId="2942" xr:uid="{00000000-0005-0000-0000-0000551E0000}"/>
    <cellStyle name="Percent 3 8 13 10" xfId="8355" xr:uid="{00000000-0005-0000-0000-0000561E0000}"/>
    <cellStyle name="Percent 3 8 13 11" xfId="8356" xr:uid="{00000000-0005-0000-0000-0000571E0000}"/>
    <cellStyle name="Percent 3 8 13 12" xfId="8354" xr:uid="{00000000-0005-0000-0000-0000581E0000}"/>
    <cellStyle name="Percent 3 8 13 2" xfId="8357" xr:uid="{00000000-0005-0000-0000-0000591E0000}"/>
    <cellStyle name="Percent 3 8 13 2 2" xfId="8358" xr:uid="{00000000-0005-0000-0000-00005A1E0000}"/>
    <cellStyle name="Percent 3 8 13 2 2 2" xfId="8359" xr:uid="{00000000-0005-0000-0000-00005B1E0000}"/>
    <cellStyle name="Percent 3 8 13 2 3" xfId="8360" xr:uid="{00000000-0005-0000-0000-00005C1E0000}"/>
    <cellStyle name="Percent 3 8 13 2 3 2" xfId="8361" xr:uid="{00000000-0005-0000-0000-00005D1E0000}"/>
    <cellStyle name="Percent 3 8 13 2 4" xfId="8362" xr:uid="{00000000-0005-0000-0000-00005E1E0000}"/>
    <cellStyle name="Percent 3 8 13 2 5" xfId="8363" xr:uid="{00000000-0005-0000-0000-00005F1E0000}"/>
    <cellStyle name="Percent 3 8 13 3" xfId="8364" xr:uid="{00000000-0005-0000-0000-0000601E0000}"/>
    <cellStyle name="Percent 3 8 13 3 2" xfId="8365" xr:uid="{00000000-0005-0000-0000-0000611E0000}"/>
    <cellStyle name="Percent 3 8 13 3 2 2" xfId="8366" xr:uid="{00000000-0005-0000-0000-0000621E0000}"/>
    <cellStyle name="Percent 3 8 13 3 3" xfId="8367" xr:uid="{00000000-0005-0000-0000-0000631E0000}"/>
    <cellStyle name="Percent 3 8 13 3 3 2" xfId="8368" xr:uid="{00000000-0005-0000-0000-0000641E0000}"/>
    <cellStyle name="Percent 3 8 13 3 4" xfId="8369" xr:uid="{00000000-0005-0000-0000-0000651E0000}"/>
    <cellStyle name="Percent 3 8 13 4" xfId="8370" xr:uid="{00000000-0005-0000-0000-0000661E0000}"/>
    <cellStyle name="Percent 3 8 13 4 2" xfId="8371" xr:uid="{00000000-0005-0000-0000-0000671E0000}"/>
    <cellStyle name="Percent 3 8 13 4 2 2" xfId="8372" xr:uid="{00000000-0005-0000-0000-0000681E0000}"/>
    <cellStyle name="Percent 3 8 13 4 3" xfId="8373" xr:uid="{00000000-0005-0000-0000-0000691E0000}"/>
    <cellStyle name="Percent 3 8 13 4 3 2" xfId="8374" xr:uid="{00000000-0005-0000-0000-00006A1E0000}"/>
    <cellStyle name="Percent 3 8 13 4 4" xfId="8375" xr:uid="{00000000-0005-0000-0000-00006B1E0000}"/>
    <cellStyle name="Percent 3 8 13 5" xfId="8376" xr:uid="{00000000-0005-0000-0000-00006C1E0000}"/>
    <cellStyle name="Percent 3 8 13 5 2" xfId="8377" xr:uid="{00000000-0005-0000-0000-00006D1E0000}"/>
    <cellStyle name="Percent 3 8 13 5 2 2" xfId="8378" xr:uid="{00000000-0005-0000-0000-00006E1E0000}"/>
    <cellStyle name="Percent 3 8 13 5 3" xfId="8379" xr:uid="{00000000-0005-0000-0000-00006F1E0000}"/>
    <cellStyle name="Percent 3 8 13 5 3 2" xfId="8380" xr:uid="{00000000-0005-0000-0000-0000701E0000}"/>
    <cellStyle name="Percent 3 8 13 5 4" xfId="8381" xr:uid="{00000000-0005-0000-0000-0000711E0000}"/>
    <cellStyle name="Percent 3 8 13 5 4 2" xfId="8382" xr:uid="{00000000-0005-0000-0000-0000721E0000}"/>
    <cellStyle name="Percent 3 8 13 5 5" xfId="8383" xr:uid="{00000000-0005-0000-0000-0000731E0000}"/>
    <cellStyle name="Percent 3 8 13 6" xfId="8384" xr:uid="{00000000-0005-0000-0000-0000741E0000}"/>
    <cellStyle name="Percent 3 8 13 6 2" xfId="8385" xr:uid="{00000000-0005-0000-0000-0000751E0000}"/>
    <cellStyle name="Percent 3 8 13 6 2 2" xfId="8386" xr:uid="{00000000-0005-0000-0000-0000761E0000}"/>
    <cellStyle name="Percent 3 8 13 6 3" xfId="8387" xr:uid="{00000000-0005-0000-0000-0000771E0000}"/>
    <cellStyle name="Percent 3 8 13 6 3 2" xfId="8388" xr:uid="{00000000-0005-0000-0000-0000781E0000}"/>
    <cellStyle name="Percent 3 8 13 6 4" xfId="8389" xr:uid="{00000000-0005-0000-0000-0000791E0000}"/>
    <cellStyle name="Percent 3 8 13 7" xfId="8390" xr:uid="{00000000-0005-0000-0000-00007A1E0000}"/>
    <cellStyle name="Percent 3 8 13 7 2" xfId="8391" xr:uid="{00000000-0005-0000-0000-00007B1E0000}"/>
    <cellStyle name="Percent 3 8 13 8" xfId="8392" xr:uid="{00000000-0005-0000-0000-00007C1E0000}"/>
    <cellStyle name="Percent 3 8 13 8 2" xfId="8393" xr:uid="{00000000-0005-0000-0000-00007D1E0000}"/>
    <cellStyle name="Percent 3 8 13 9" xfId="8394" xr:uid="{00000000-0005-0000-0000-00007E1E0000}"/>
    <cellStyle name="Percent 3 8 13 9 2" xfId="8395" xr:uid="{00000000-0005-0000-0000-00007F1E0000}"/>
    <cellStyle name="Percent 3 8 14" xfId="2943" xr:uid="{00000000-0005-0000-0000-0000801E0000}"/>
    <cellStyle name="Percent 3 8 14 10" xfId="8397" xr:uid="{00000000-0005-0000-0000-0000811E0000}"/>
    <cellStyle name="Percent 3 8 14 11" xfId="8398" xr:uid="{00000000-0005-0000-0000-0000821E0000}"/>
    <cellStyle name="Percent 3 8 14 12" xfId="8396" xr:uid="{00000000-0005-0000-0000-0000831E0000}"/>
    <cellStyle name="Percent 3 8 14 2" xfId="8399" xr:uid="{00000000-0005-0000-0000-0000841E0000}"/>
    <cellStyle name="Percent 3 8 14 2 2" xfId="8400" xr:uid="{00000000-0005-0000-0000-0000851E0000}"/>
    <cellStyle name="Percent 3 8 14 2 2 2" xfId="8401" xr:uid="{00000000-0005-0000-0000-0000861E0000}"/>
    <cellStyle name="Percent 3 8 14 2 3" xfId="8402" xr:uid="{00000000-0005-0000-0000-0000871E0000}"/>
    <cellStyle name="Percent 3 8 14 2 3 2" xfId="8403" xr:uid="{00000000-0005-0000-0000-0000881E0000}"/>
    <cellStyle name="Percent 3 8 14 2 4" xfId="8404" xr:uid="{00000000-0005-0000-0000-0000891E0000}"/>
    <cellStyle name="Percent 3 8 14 2 5" xfId="8405" xr:uid="{00000000-0005-0000-0000-00008A1E0000}"/>
    <cellStyle name="Percent 3 8 14 3" xfId="8406" xr:uid="{00000000-0005-0000-0000-00008B1E0000}"/>
    <cellStyle name="Percent 3 8 14 3 2" xfId="8407" xr:uid="{00000000-0005-0000-0000-00008C1E0000}"/>
    <cellStyle name="Percent 3 8 14 3 2 2" xfId="8408" xr:uid="{00000000-0005-0000-0000-00008D1E0000}"/>
    <cellStyle name="Percent 3 8 14 3 3" xfId="8409" xr:uid="{00000000-0005-0000-0000-00008E1E0000}"/>
    <cellStyle name="Percent 3 8 14 3 3 2" xfId="8410" xr:uid="{00000000-0005-0000-0000-00008F1E0000}"/>
    <cellStyle name="Percent 3 8 14 3 4" xfId="8411" xr:uid="{00000000-0005-0000-0000-0000901E0000}"/>
    <cellStyle name="Percent 3 8 14 4" xfId="8412" xr:uid="{00000000-0005-0000-0000-0000911E0000}"/>
    <cellStyle name="Percent 3 8 14 4 2" xfId="8413" xr:uid="{00000000-0005-0000-0000-0000921E0000}"/>
    <cellStyle name="Percent 3 8 14 4 2 2" xfId="8414" xr:uid="{00000000-0005-0000-0000-0000931E0000}"/>
    <cellStyle name="Percent 3 8 14 4 3" xfId="8415" xr:uid="{00000000-0005-0000-0000-0000941E0000}"/>
    <cellStyle name="Percent 3 8 14 4 3 2" xfId="8416" xr:uid="{00000000-0005-0000-0000-0000951E0000}"/>
    <cellStyle name="Percent 3 8 14 4 4" xfId="8417" xr:uid="{00000000-0005-0000-0000-0000961E0000}"/>
    <cellStyle name="Percent 3 8 14 5" xfId="8418" xr:uid="{00000000-0005-0000-0000-0000971E0000}"/>
    <cellStyle name="Percent 3 8 14 5 2" xfId="8419" xr:uid="{00000000-0005-0000-0000-0000981E0000}"/>
    <cellStyle name="Percent 3 8 14 5 2 2" xfId="8420" xr:uid="{00000000-0005-0000-0000-0000991E0000}"/>
    <cellStyle name="Percent 3 8 14 5 3" xfId="8421" xr:uid="{00000000-0005-0000-0000-00009A1E0000}"/>
    <cellStyle name="Percent 3 8 14 5 3 2" xfId="8422" xr:uid="{00000000-0005-0000-0000-00009B1E0000}"/>
    <cellStyle name="Percent 3 8 14 5 4" xfId="8423" xr:uid="{00000000-0005-0000-0000-00009C1E0000}"/>
    <cellStyle name="Percent 3 8 14 5 4 2" xfId="8424" xr:uid="{00000000-0005-0000-0000-00009D1E0000}"/>
    <cellStyle name="Percent 3 8 14 5 5" xfId="8425" xr:uid="{00000000-0005-0000-0000-00009E1E0000}"/>
    <cellStyle name="Percent 3 8 14 6" xfId="8426" xr:uid="{00000000-0005-0000-0000-00009F1E0000}"/>
    <cellStyle name="Percent 3 8 14 6 2" xfId="8427" xr:uid="{00000000-0005-0000-0000-0000A01E0000}"/>
    <cellStyle name="Percent 3 8 14 6 2 2" xfId="8428" xr:uid="{00000000-0005-0000-0000-0000A11E0000}"/>
    <cellStyle name="Percent 3 8 14 6 3" xfId="8429" xr:uid="{00000000-0005-0000-0000-0000A21E0000}"/>
    <cellStyle name="Percent 3 8 14 6 3 2" xfId="8430" xr:uid="{00000000-0005-0000-0000-0000A31E0000}"/>
    <cellStyle name="Percent 3 8 14 6 4" xfId="8431" xr:uid="{00000000-0005-0000-0000-0000A41E0000}"/>
    <cellStyle name="Percent 3 8 14 7" xfId="8432" xr:uid="{00000000-0005-0000-0000-0000A51E0000}"/>
    <cellStyle name="Percent 3 8 14 7 2" xfId="8433" xr:uid="{00000000-0005-0000-0000-0000A61E0000}"/>
    <cellStyle name="Percent 3 8 14 8" xfId="8434" xr:uid="{00000000-0005-0000-0000-0000A71E0000}"/>
    <cellStyle name="Percent 3 8 14 8 2" xfId="8435" xr:uid="{00000000-0005-0000-0000-0000A81E0000}"/>
    <cellStyle name="Percent 3 8 14 9" xfId="8436" xr:uid="{00000000-0005-0000-0000-0000A91E0000}"/>
    <cellStyle name="Percent 3 8 14 9 2" xfId="8437" xr:uid="{00000000-0005-0000-0000-0000AA1E0000}"/>
    <cellStyle name="Percent 3 8 15" xfId="2944" xr:uid="{00000000-0005-0000-0000-0000AB1E0000}"/>
    <cellStyle name="Percent 3 8 15 10" xfId="8439" xr:uid="{00000000-0005-0000-0000-0000AC1E0000}"/>
    <cellStyle name="Percent 3 8 15 11" xfId="8440" xr:uid="{00000000-0005-0000-0000-0000AD1E0000}"/>
    <cellStyle name="Percent 3 8 15 12" xfId="8438" xr:uid="{00000000-0005-0000-0000-0000AE1E0000}"/>
    <cellStyle name="Percent 3 8 15 2" xfId="8441" xr:uid="{00000000-0005-0000-0000-0000AF1E0000}"/>
    <cellStyle name="Percent 3 8 15 2 2" xfId="8442" xr:uid="{00000000-0005-0000-0000-0000B01E0000}"/>
    <cellStyle name="Percent 3 8 15 2 2 2" xfId="8443" xr:uid="{00000000-0005-0000-0000-0000B11E0000}"/>
    <cellStyle name="Percent 3 8 15 2 3" xfId="8444" xr:uid="{00000000-0005-0000-0000-0000B21E0000}"/>
    <cellStyle name="Percent 3 8 15 2 3 2" xfId="8445" xr:uid="{00000000-0005-0000-0000-0000B31E0000}"/>
    <cellStyle name="Percent 3 8 15 2 4" xfId="8446" xr:uid="{00000000-0005-0000-0000-0000B41E0000}"/>
    <cellStyle name="Percent 3 8 15 2 5" xfId="8447" xr:uid="{00000000-0005-0000-0000-0000B51E0000}"/>
    <cellStyle name="Percent 3 8 15 3" xfId="8448" xr:uid="{00000000-0005-0000-0000-0000B61E0000}"/>
    <cellStyle name="Percent 3 8 15 3 2" xfId="8449" xr:uid="{00000000-0005-0000-0000-0000B71E0000}"/>
    <cellStyle name="Percent 3 8 15 3 2 2" xfId="8450" xr:uid="{00000000-0005-0000-0000-0000B81E0000}"/>
    <cellStyle name="Percent 3 8 15 3 3" xfId="8451" xr:uid="{00000000-0005-0000-0000-0000B91E0000}"/>
    <cellStyle name="Percent 3 8 15 3 3 2" xfId="8452" xr:uid="{00000000-0005-0000-0000-0000BA1E0000}"/>
    <cellStyle name="Percent 3 8 15 3 4" xfId="8453" xr:uid="{00000000-0005-0000-0000-0000BB1E0000}"/>
    <cellStyle name="Percent 3 8 15 4" xfId="8454" xr:uid="{00000000-0005-0000-0000-0000BC1E0000}"/>
    <cellStyle name="Percent 3 8 15 4 2" xfId="8455" xr:uid="{00000000-0005-0000-0000-0000BD1E0000}"/>
    <cellStyle name="Percent 3 8 15 4 2 2" xfId="8456" xr:uid="{00000000-0005-0000-0000-0000BE1E0000}"/>
    <cellStyle name="Percent 3 8 15 4 3" xfId="8457" xr:uid="{00000000-0005-0000-0000-0000BF1E0000}"/>
    <cellStyle name="Percent 3 8 15 4 3 2" xfId="8458" xr:uid="{00000000-0005-0000-0000-0000C01E0000}"/>
    <cellStyle name="Percent 3 8 15 4 4" xfId="8459" xr:uid="{00000000-0005-0000-0000-0000C11E0000}"/>
    <cellStyle name="Percent 3 8 15 5" xfId="8460" xr:uid="{00000000-0005-0000-0000-0000C21E0000}"/>
    <cellStyle name="Percent 3 8 15 5 2" xfId="8461" xr:uid="{00000000-0005-0000-0000-0000C31E0000}"/>
    <cellStyle name="Percent 3 8 15 5 2 2" xfId="8462" xr:uid="{00000000-0005-0000-0000-0000C41E0000}"/>
    <cellStyle name="Percent 3 8 15 5 3" xfId="8463" xr:uid="{00000000-0005-0000-0000-0000C51E0000}"/>
    <cellStyle name="Percent 3 8 15 5 3 2" xfId="8464" xr:uid="{00000000-0005-0000-0000-0000C61E0000}"/>
    <cellStyle name="Percent 3 8 15 5 4" xfId="8465" xr:uid="{00000000-0005-0000-0000-0000C71E0000}"/>
    <cellStyle name="Percent 3 8 15 5 4 2" xfId="8466" xr:uid="{00000000-0005-0000-0000-0000C81E0000}"/>
    <cellStyle name="Percent 3 8 15 5 5" xfId="8467" xr:uid="{00000000-0005-0000-0000-0000C91E0000}"/>
    <cellStyle name="Percent 3 8 15 6" xfId="8468" xr:uid="{00000000-0005-0000-0000-0000CA1E0000}"/>
    <cellStyle name="Percent 3 8 15 6 2" xfId="8469" xr:uid="{00000000-0005-0000-0000-0000CB1E0000}"/>
    <cellStyle name="Percent 3 8 15 6 2 2" xfId="8470" xr:uid="{00000000-0005-0000-0000-0000CC1E0000}"/>
    <cellStyle name="Percent 3 8 15 6 3" xfId="8471" xr:uid="{00000000-0005-0000-0000-0000CD1E0000}"/>
    <cellStyle name="Percent 3 8 15 6 3 2" xfId="8472" xr:uid="{00000000-0005-0000-0000-0000CE1E0000}"/>
    <cellStyle name="Percent 3 8 15 6 4" xfId="8473" xr:uid="{00000000-0005-0000-0000-0000CF1E0000}"/>
    <cellStyle name="Percent 3 8 15 7" xfId="8474" xr:uid="{00000000-0005-0000-0000-0000D01E0000}"/>
    <cellStyle name="Percent 3 8 15 7 2" xfId="8475" xr:uid="{00000000-0005-0000-0000-0000D11E0000}"/>
    <cellStyle name="Percent 3 8 15 8" xfId="8476" xr:uid="{00000000-0005-0000-0000-0000D21E0000}"/>
    <cellStyle name="Percent 3 8 15 8 2" xfId="8477" xr:uid="{00000000-0005-0000-0000-0000D31E0000}"/>
    <cellStyle name="Percent 3 8 15 9" xfId="8478" xr:uid="{00000000-0005-0000-0000-0000D41E0000}"/>
    <cellStyle name="Percent 3 8 15 9 2" xfId="8479" xr:uid="{00000000-0005-0000-0000-0000D51E0000}"/>
    <cellStyle name="Percent 3 8 16" xfId="8480" xr:uid="{00000000-0005-0000-0000-0000D61E0000}"/>
    <cellStyle name="Percent 3 8 16 2" xfId="8481" xr:uid="{00000000-0005-0000-0000-0000D71E0000}"/>
    <cellStyle name="Percent 3 8 16 2 2" xfId="8482" xr:uid="{00000000-0005-0000-0000-0000D81E0000}"/>
    <cellStyle name="Percent 3 8 16 3" xfId="8483" xr:uid="{00000000-0005-0000-0000-0000D91E0000}"/>
    <cellStyle name="Percent 3 8 16 3 2" xfId="8484" xr:uid="{00000000-0005-0000-0000-0000DA1E0000}"/>
    <cellStyle name="Percent 3 8 16 4" xfId="8485" xr:uid="{00000000-0005-0000-0000-0000DB1E0000}"/>
    <cellStyle name="Percent 3 8 16 5" xfId="8486" xr:uid="{00000000-0005-0000-0000-0000DC1E0000}"/>
    <cellStyle name="Percent 3 8 17" xfId="8487" xr:uid="{00000000-0005-0000-0000-0000DD1E0000}"/>
    <cellStyle name="Percent 3 8 17 2" xfId="8488" xr:uid="{00000000-0005-0000-0000-0000DE1E0000}"/>
    <cellStyle name="Percent 3 8 17 2 2" xfId="8489" xr:uid="{00000000-0005-0000-0000-0000DF1E0000}"/>
    <cellStyle name="Percent 3 8 17 3" xfId="8490" xr:uid="{00000000-0005-0000-0000-0000E01E0000}"/>
    <cellStyle name="Percent 3 8 17 3 2" xfId="8491" xr:uid="{00000000-0005-0000-0000-0000E11E0000}"/>
    <cellStyle name="Percent 3 8 17 4" xfId="8492" xr:uid="{00000000-0005-0000-0000-0000E21E0000}"/>
    <cellStyle name="Percent 3 8 18" xfId="8493" xr:uid="{00000000-0005-0000-0000-0000E31E0000}"/>
    <cellStyle name="Percent 3 8 18 2" xfId="8494" xr:uid="{00000000-0005-0000-0000-0000E41E0000}"/>
    <cellStyle name="Percent 3 8 18 2 2" xfId="8495" xr:uid="{00000000-0005-0000-0000-0000E51E0000}"/>
    <cellStyle name="Percent 3 8 18 3" xfId="8496" xr:uid="{00000000-0005-0000-0000-0000E61E0000}"/>
    <cellStyle name="Percent 3 8 18 3 2" xfId="8497" xr:uid="{00000000-0005-0000-0000-0000E71E0000}"/>
    <cellStyle name="Percent 3 8 18 4" xfId="8498" xr:uid="{00000000-0005-0000-0000-0000E81E0000}"/>
    <cellStyle name="Percent 3 8 19" xfId="8499" xr:uid="{00000000-0005-0000-0000-0000E91E0000}"/>
    <cellStyle name="Percent 3 8 19 2" xfId="8500" xr:uid="{00000000-0005-0000-0000-0000EA1E0000}"/>
    <cellStyle name="Percent 3 8 19 2 2" xfId="8501" xr:uid="{00000000-0005-0000-0000-0000EB1E0000}"/>
    <cellStyle name="Percent 3 8 19 3" xfId="8502" xr:uid="{00000000-0005-0000-0000-0000EC1E0000}"/>
    <cellStyle name="Percent 3 8 19 3 2" xfId="8503" xr:uid="{00000000-0005-0000-0000-0000ED1E0000}"/>
    <cellStyle name="Percent 3 8 19 4" xfId="8504" xr:uid="{00000000-0005-0000-0000-0000EE1E0000}"/>
    <cellStyle name="Percent 3 8 19 4 2" xfId="8505" xr:uid="{00000000-0005-0000-0000-0000EF1E0000}"/>
    <cellStyle name="Percent 3 8 19 5" xfId="8506" xr:uid="{00000000-0005-0000-0000-0000F01E0000}"/>
    <cellStyle name="Percent 3 8 2" xfId="2945" xr:uid="{00000000-0005-0000-0000-0000F11E0000}"/>
    <cellStyle name="Percent 3 8 2 10" xfId="8508" xr:uid="{00000000-0005-0000-0000-0000F21E0000}"/>
    <cellStyle name="Percent 3 8 2 11" xfId="8509" xr:uid="{00000000-0005-0000-0000-0000F31E0000}"/>
    <cellStyle name="Percent 3 8 2 12" xfId="8507" xr:uid="{00000000-0005-0000-0000-0000F41E0000}"/>
    <cellStyle name="Percent 3 8 2 2" xfId="8510" xr:uid="{00000000-0005-0000-0000-0000F51E0000}"/>
    <cellStyle name="Percent 3 8 2 2 2" xfId="8511" xr:uid="{00000000-0005-0000-0000-0000F61E0000}"/>
    <cellStyle name="Percent 3 8 2 2 2 2" xfId="8512" xr:uid="{00000000-0005-0000-0000-0000F71E0000}"/>
    <cellStyle name="Percent 3 8 2 2 3" xfId="8513" xr:uid="{00000000-0005-0000-0000-0000F81E0000}"/>
    <cellStyle name="Percent 3 8 2 2 3 2" xfId="8514" xr:uid="{00000000-0005-0000-0000-0000F91E0000}"/>
    <cellStyle name="Percent 3 8 2 2 4" xfId="8515" xr:uid="{00000000-0005-0000-0000-0000FA1E0000}"/>
    <cellStyle name="Percent 3 8 2 2 5" xfId="8516" xr:uid="{00000000-0005-0000-0000-0000FB1E0000}"/>
    <cellStyle name="Percent 3 8 2 3" xfId="8517" xr:uid="{00000000-0005-0000-0000-0000FC1E0000}"/>
    <cellStyle name="Percent 3 8 2 3 2" xfId="8518" xr:uid="{00000000-0005-0000-0000-0000FD1E0000}"/>
    <cellStyle name="Percent 3 8 2 3 2 2" xfId="8519" xr:uid="{00000000-0005-0000-0000-0000FE1E0000}"/>
    <cellStyle name="Percent 3 8 2 3 3" xfId="8520" xr:uid="{00000000-0005-0000-0000-0000FF1E0000}"/>
    <cellStyle name="Percent 3 8 2 3 3 2" xfId="8521" xr:uid="{00000000-0005-0000-0000-0000001F0000}"/>
    <cellStyle name="Percent 3 8 2 3 4" xfId="8522" xr:uid="{00000000-0005-0000-0000-0000011F0000}"/>
    <cellStyle name="Percent 3 8 2 4" xfId="8523" xr:uid="{00000000-0005-0000-0000-0000021F0000}"/>
    <cellStyle name="Percent 3 8 2 4 2" xfId="8524" xr:uid="{00000000-0005-0000-0000-0000031F0000}"/>
    <cellStyle name="Percent 3 8 2 4 2 2" xfId="8525" xr:uid="{00000000-0005-0000-0000-0000041F0000}"/>
    <cellStyle name="Percent 3 8 2 4 3" xfId="8526" xr:uid="{00000000-0005-0000-0000-0000051F0000}"/>
    <cellStyle name="Percent 3 8 2 4 3 2" xfId="8527" xr:uid="{00000000-0005-0000-0000-0000061F0000}"/>
    <cellStyle name="Percent 3 8 2 4 4" xfId="8528" xr:uid="{00000000-0005-0000-0000-0000071F0000}"/>
    <cellStyle name="Percent 3 8 2 5" xfId="8529" xr:uid="{00000000-0005-0000-0000-0000081F0000}"/>
    <cellStyle name="Percent 3 8 2 5 2" xfId="8530" xr:uid="{00000000-0005-0000-0000-0000091F0000}"/>
    <cellStyle name="Percent 3 8 2 5 2 2" xfId="8531" xr:uid="{00000000-0005-0000-0000-00000A1F0000}"/>
    <cellStyle name="Percent 3 8 2 5 3" xfId="8532" xr:uid="{00000000-0005-0000-0000-00000B1F0000}"/>
    <cellStyle name="Percent 3 8 2 5 3 2" xfId="8533" xr:uid="{00000000-0005-0000-0000-00000C1F0000}"/>
    <cellStyle name="Percent 3 8 2 5 4" xfId="8534" xr:uid="{00000000-0005-0000-0000-00000D1F0000}"/>
    <cellStyle name="Percent 3 8 2 5 4 2" xfId="8535" xr:uid="{00000000-0005-0000-0000-00000E1F0000}"/>
    <cellStyle name="Percent 3 8 2 5 5" xfId="8536" xr:uid="{00000000-0005-0000-0000-00000F1F0000}"/>
    <cellStyle name="Percent 3 8 2 6" xfId="8537" xr:uid="{00000000-0005-0000-0000-0000101F0000}"/>
    <cellStyle name="Percent 3 8 2 6 2" xfId="8538" xr:uid="{00000000-0005-0000-0000-0000111F0000}"/>
    <cellStyle name="Percent 3 8 2 6 2 2" xfId="8539" xr:uid="{00000000-0005-0000-0000-0000121F0000}"/>
    <cellStyle name="Percent 3 8 2 6 3" xfId="8540" xr:uid="{00000000-0005-0000-0000-0000131F0000}"/>
    <cellStyle name="Percent 3 8 2 6 3 2" xfId="8541" xr:uid="{00000000-0005-0000-0000-0000141F0000}"/>
    <cellStyle name="Percent 3 8 2 6 4" xfId="8542" xr:uid="{00000000-0005-0000-0000-0000151F0000}"/>
    <cellStyle name="Percent 3 8 2 7" xfId="8543" xr:uid="{00000000-0005-0000-0000-0000161F0000}"/>
    <cellStyle name="Percent 3 8 2 7 2" xfId="8544" xr:uid="{00000000-0005-0000-0000-0000171F0000}"/>
    <cellStyle name="Percent 3 8 2 8" xfId="8545" xr:uid="{00000000-0005-0000-0000-0000181F0000}"/>
    <cellStyle name="Percent 3 8 2 8 2" xfId="8546" xr:uid="{00000000-0005-0000-0000-0000191F0000}"/>
    <cellStyle name="Percent 3 8 2 9" xfId="8547" xr:uid="{00000000-0005-0000-0000-00001A1F0000}"/>
    <cellStyle name="Percent 3 8 2 9 2" xfId="8548" xr:uid="{00000000-0005-0000-0000-00001B1F0000}"/>
    <cellStyle name="Percent 3 8 20" xfId="8549" xr:uid="{00000000-0005-0000-0000-00001C1F0000}"/>
    <cellStyle name="Percent 3 8 20 2" xfId="8550" xr:uid="{00000000-0005-0000-0000-00001D1F0000}"/>
    <cellStyle name="Percent 3 8 20 2 2" xfId="8551" xr:uid="{00000000-0005-0000-0000-00001E1F0000}"/>
    <cellStyle name="Percent 3 8 20 3" xfId="8552" xr:uid="{00000000-0005-0000-0000-00001F1F0000}"/>
    <cellStyle name="Percent 3 8 20 3 2" xfId="8553" xr:uid="{00000000-0005-0000-0000-0000201F0000}"/>
    <cellStyle name="Percent 3 8 20 4" xfId="8554" xr:uid="{00000000-0005-0000-0000-0000211F0000}"/>
    <cellStyle name="Percent 3 8 21" xfId="8555" xr:uid="{00000000-0005-0000-0000-0000221F0000}"/>
    <cellStyle name="Percent 3 8 21 2" xfId="8556" xr:uid="{00000000-0005-0000-0000-0000231F0000}"/>
    <cellStyle name="Percent 3 8 22" xfId="8557" xr:uid="{00000000-0005-0000-0000-0000241F0000}"/>
    <cellStyle name="Percent 3 8 22 2" xfId="8558" xr:uid="{00000000-0005-0000-0000-0000251F0000}"/>
    <cellStyle name="Percent 3 8 23" xfId="8559" xr:uid="{00000000-0005-0000-0000-0000261F0000}"/>
    <cellStyle name="Percent 3 8 23 2" xfId="8560" xr:uid="{00000000-0005-0000-0000-0000271F0000}"/>
    <cellStyle name="Percent 3 8 24" xfId="8561" xr:uid="{00000000-0005-0000-0000-0000281F0000}"/>
    <cellStyle name="Percent 3 8 25" xfId="8562" xr:uid="{00000000-0005-0000-0000-0000291F0000}"/>
    <cellStyle name="Percent 3 8 26" xfId="8227" xr:uid="{00000000-0005-0000-0000-00002A1F0000}"/>
    <cellStyle name="Percent 3 8 3" xfId="2946" xr:uid="{00000000-0005-0000-0000-00002B1F0000}"/>
    <cellStyle name="Percent 3 8 3 10" xfId="8564" xr:uid="{00000000-0005-0000-0000-00002C1F0000}"/>
    <cellStyle name="Percent 3 8 3 11" xfId="8565" xr:uid="{00000000-0005-0000-0000-00002D1F0000}"/>
    <cellStyle name="Percent 3 8 3 12" xfId="8563" xr:uid="{00000000-0005-0000-0000-00002E1F0000}"/>
    <cellStyle name="Percent 3 8 3 2" xfId="8566" xr:uid="{00000000-0005-0000-0000-00002F1F0000}"/>
    <cellStyle name="Percent 3 8 3 2 2" xfId="8567" xr:uid="{00000000-0005-0000-0000-0000301F0000}"/>
    <cellStyle name="Percent 3 8 3 2 2 2" xfId="8568" xr:uid="{00000000-0005-0000-0000-0000311F0000}"/>
    <cellStyle name="Percent 3 8 3 2 3" xfId="8569" xr:uid="{00000000-0005-0000-0000-0000321F0000}"/>
    <cellStyle name="Percent 3 8 3 2 3 2" xfId="8570" xr:uid="{00000000-0005-0000-0000-0000331F0000}"/>
    <cellStyle name="Percent 3 8 3 2 4" xfId="8571" xr:uid="{00000000-0005-0000-0000-0000341F0000}"/>
    <cellStyle name="Percent 3 8 3 2 5" xfId="8572" xr:uid="{00000000-0005-0000-0000-0000351F0000}"/>
    <cellStyle name="Percent 3 8 3 3" xfId="8573" xr:uid="{00000000-0005-0000-0000-0000361F0000}"/>
    <cellStyle name="Percent 3 8 3 3 2" xfId="8574" xr:uid="{00000000-0005-0000-0000-0000371F0000}"/>
    <cellStyle name="Percent 3 8 3 3 2 2" xfId="8575" xr:uid="{00000000-0005-0000-0000-0000381F0000}"/>
    <cellStyle name="Percent 3 8 3 3 3" xfId="8576" xr:uid="{00000000-0005-0000-0000-0000391F0000}"/>
    <cellStyle name="Percent 3 8 3 3 3 2" xfId="8577" xr:uid="{00000000-0005-0000-0000-00003A1F0000}"/>
    <cellStyle name="Percent 3 8 3 3 4" xfId="8578" xr:uid="{00000000-0005-0000-0000-00003B1F0000}"/>
    <cellStyle name="Percent 3 8 3 4" xfId="8579" xr:uid="{00000000-0005-0000-0000-00003C1F0000}"/>
    <cellStyle name="Percent 3 8 3 4 2" xfId="8580" xr:uid="{00000000-0005-0000-0000-00003D1F0000}"/>
    <cellStyle name="Percent 3 8 3 4 2 2" xfId="8581" xr:uid="{00000000-0005-0000-0000-00003E1F0000}"/>
    <cellStyle name="Percent 3 8 3 4 3" xfId="8582" xr:uid="{00000000-0005-0000-0000-00003F1F0000}"/>
    <cellStyle name="Percent 3 8 3 4 3 2" xfId="8583" xr:uid="{00000000-0005-0000-0000-0000401F0000}"/>
    <cellStyle name="Percent 3 8 3 4 4" xfId="8584" xr:uid="{00000000-0005-0000-0000-0000411F0000}"/>
    <cellStyle name="Percent 3 8 3 5" xfId="8585" xr:uid="{00000000-0005-0000-0000-0000421F0000}"/>
    <cellStyle name="Percent 3 8 3 5 2" xfId="8586" xr:uid="{00000000-0005-0000-0000-0000431F0000}"/>
    <cellStyle name="Percent 3 8 3 5 2 2" xfId="8587" xr:uid="{00000000-0005-0000-0000-0000441F0000}"/>
    <cellStyle name="Percent 3 8 3 5 3" xfId="8588" xr:uid="{00000000-0005-0000-0000-0000451F0000}"/>
    <cellStyle name="Percent 3 8 3 5 3 2" xfId="8589" xr:uid="{00000000-0005-0000-0000-0000461F0000}"/>
    <cellStyle name="Percent 3 8 3 5 4" xfId="8590" xr:uid="{00000000-0005-0000-0000-0000471F0000}"/>
    <cellStyle name="Percent 3 8 3 5 4 2" xfId="8591" xr:uid="{00000000-0005-0000-0000-0000481F0000}"/>
    <cellStyle name="Percent 3 8 3 5 5" xfId="8592" xr:uid="{00000000-0005-0000-0000-0000491F0000}"/>
    <cellStyle name="Percent 3 8 3 6" xfId="8593" xr:uid="{00000000-0005-0000-0000-00004A1F0000}"/>
    <cellStyle name="Percent 3 8 3 6 2" xfId="8594" xr:uid="{00000000-0005-0000-0000-00004B1F0000}"/>
    <cellStyle name="Percent 3 8 3 6 2 2" xfId="8595" xr:uid="{00000000-0005-0000-0000-00004C1F0000}"/>
    <cellStyle name="Percent 3 8 3 6 3" xfId="8596" xr:uid="{00000000-0005-0000-0000-00004D1F0000}"/>
    <cellStyle name="Percent 3 8 3 6 3 2" xfId="8597" xr:uid="{00000000-0005-0000-0000-00004E1F0000}"/>
    <cellStyle name="Percent 3 8 3 6 4" xfId="8598" xr:uid="{00000000-0005-0000-0000-00004F1F0000}"/>
    <cellStyle name="Percent 3 8 3 7" xfId="8599" xr:uid="{00000000-0005-0000-0000-0000501F0000}"/>
    <cellStyle name="Percent 3 8 3 7 2" xfId="8600" xr:uid="{00000000-0005-0000-0000-0000511F0000}"/>
    <cellStyle name="Percent 3 8 3 8" xfId="8601" xr:uid="{00000000-0005-0000-0000-0000521F0000}"/>
    <cellStyle name="Percent 3 8 3 8 2" xfId="8602" xr:uid="{00000000-0005-0000-0000-0000531F0000}"/>
    <cellStyle name="Percent 3 8 3 9" xfId="8603" xr:uid="{00000000-0005-0000-0000-0000541F0000}"/>
    <cellStyle name="Percent 3 8 3 9 2" xfId="8604" xr:uid="{00000000-0005-0000-0000-0000551F0000}"/>
    <cellStyle name="Percent 3 8 4" xfId="2947" xr:uid="{00000000-0005-0000-0000-0000561F0000}"/>
    <cellStyle name="Percent 3 8 4 10" xfId="8606" xr:uid="{00000000-0005-0000-0000-0000571F0000}"/>
    <cellStyle name="Percent 3 8 4 11" xfId="8607" xr:uid="{00000000-0005-0000-0000-0000581F0000}"/>
    <cellStyle name="Percent 3 8 4 12" xfId="8605" xr:uid="{00000000-0005-0000-0000-0000591F0000}"/>
    <cellStyle name="Percent 3 8 4 2" xfId="8608" xr:uid="{00000000-0005-0000-0000-00005A1F0000}"/>
    <cellStyle name="Percent 3 8 4 2 2" xfId="8609" xr:uid="{00000000-0005-0000-0000-00005B1F0000}"/>
    <cellStyle name="Percent 3 8 4 2 2 2" xfId="8610" xr:uid="{00000000-0005-0000-0000-00005C1F0000}"/>
    <cellStyle name="Percent 3 8 4 2 3" xfId="8611" xr:uid="{00000000-0005-0000-0000-00005D1F0000}"/>
    <cellStyle name="Percent 3 8 4 2 3 2" xfId="8612" xr:uid="{00000000-0005-0000-0000-00005E1F0000}"/>
    <cellStyle name="Percent 3 8 4 2 4" xfId="8613" xr:uid="{00000000-0005-0000-0000-00005F1F0000}"/>
    <cellStyle name="Percent 3 8 4 2 5" xfId="8614" xr:uid="{00000000-0005-0000-0000-0000601F0000}"/>
    <cellStyle name="Percent 3 8 4 3" xfId="8615" xr:uid="{00000000-0005-0000-0000-0000611F0000}"/>
    <cellStyle name="Percent 3 8 4 3 2" xfId="8616" xr:uid="{00000000-0005-0000-0000-0000621F0000}"/>
    <cellStyle name="Percent 3 8 4 3 2 2" xfId="8617" xr:uid="{00000000-0005-0000-0000-0000631F0000}"/>
    <cellStyle name="Percent 3 8 4 3 3" xfId="8618" xr:uid="{00000000-0005-0000-0000-0000641F0000}"/>
    <cellStyle name="Percent 3 8 4 3 3 2" xfId="8619" xr:uid="{00000000-0005-0000-0000-0000651F0000}"/>
    <cellStyle name="Percent 3 8 4 3 4" xfId="8620" xr:uid="{00000000-0005-0000-0000-0000661F0000}"/>
    <cellStyle name="Percent 3 8 4 4" xfId="8621" xr:uid="{00000000-0005-0000-0000-0000671F0000}"/>
    <cellStyle name="Percent 3 8 4 4 2" xfId="8622" xr:uid="{00000000-0005-0000-0000-0000681F0000}"/>
    <cellStyle name="Percent 3 8 4 4 2 2" xfId="8623" xr:uid="{00000000-0005-0000-0000-0000691F0000}"/>
    <cellStyle name="Percent 3 8 4 4 3" xfId="8624" xr:uid="{00000000-0005-0000-0000-00006A1F0000}"/>
    <cellStyle name="Percent 3 8 4 4 3 2" xfId="8625" xr:uid="{00000000-0005-0000-0000-00006B1F0000}"/>
    <cellStyle name="Percent 3 8 4 4 4" xfId="8626" xr:uid="{00000000-0005-0000-0000-00006C1F0000}"/>
    <cellStyle name="Percent 3 8 4 5" xfId="8627" xr:uid="{00000000-0005-0000-0000-00006D1F0000}"/>
    <cellStyle name="Percent 3 8 4 5 2" xfId="8628" xr:uid="{00000000-0005-0000-0000-00006E1F0000}"/>
    <cellStyle name="Percent 3 8 4 5 2 2" xfId="8629" xr:uid="{00000000-0005-0000-0000-00006F1F0000}"/>
    <cellStyle name="Percent 3 8 4 5 3" xfId="8630" xr:uid="{00000000-0005-0000-0000-0000701F0000}"/>
    <cellStyle name="Percent 3 8 4 5 3 2" xfId="8631" xr:uid="{00000000-0005-0000-0000-0000711F0000}"/>
    <cellStyle name="Percent 3 8 4 5 4" xfId="8632" xr:uid="{00000000-0005-0000-0000-0000721F0000}"/>
    <cellStyle name="Percent 3 8 4 5 4 2" xfId="8633" xr:uid="{00000000-0005-0000-0000-0000731F0000}"/>
    <cellStyle name="Percent 3 8 4 5 5" xfId="8634" xr:uid="{00000000-0005-0000-0000-0000741F0000}"/>
    <cellStyle name="Percent 3 8 4 6" xfId="8635" xr:uid="{00000000-0005-0000-0000-0000751F0000}"/>
    <cellStyle name="Percent 3 8 4 6 2" xfId="8636" xr:uid="{00000000-0005-0000-0000-0000761F0000}"/>
    <cellStyle name="Percent 3 8 4 6 2 2" xfId="8637" xr:uid="{00000000-0005-0000-0000-0000771F0000}"/>
    <cellStyle name="Percent 3 8 4 6 3" xfId="8638" xr:uid="{00000000-0005-0000-0000-0000781F0000}"/>
    <cellStyle name="Percent 3 8 4 6 3 2" xfId="8639" xr:uid="{00000000-0005-0000-0000-0000791F0000}"/>
    <cellStyle name="Percent 3 8 4 6 4" xfId="8640" xr:uid="{00000000-0005-0000-0000-00007A1F0000}"/>
    <cellStyle name="Percent 3 8 4 7" xfId="8641" xr:uid="{00000000-0005-0000-0000-00007B1F0000}"/>
    <cellStyle name="Percent 3 8 4 7 2" xfId="8642" xr:uid="{00000000-0005-0000-0000-00007C1F0000}"/>
    <cellStyle name="Percent 3 8 4 8" xfId="8643" xr:uid="{00000000-0005-0000-0000-00007D1F0000}"/>
    <cellStyle name="Percent 3 8 4 8 2" xfId="8644" xr:uid="{00000000-0005-0000-0000-00007E1F0000}"/>
    <cellStyle name="Percent 3 8 4 9" xfId="8645" xr:uid="{00000000-0005-0000-0000-00007F1F0000}"/>
    <cellStyle name="Percent 3 8 4 9 2" xfId="8646" xr:uid="{00000000-0005-0000-0000-0000801F0000}"/>
    <cellStyle name="Percent 3 8 5" xfId="2948" xr:uid="{00000000-0005-0000-0000-0000811F0000}"/>
    <cellStyle name="Percent 3 8 5 10" xfId="8648" xr:uid="{00000000-0005-0000-0000-0000821F0000}"/>
    <cellStyle name="Percent 3 8 5 11" xfId="8649" xr:uid="{00000000-0005-0000-0000-0000831F0000}"/>
    <cellStyle name="Percent 3 8 5 12" xfId="8647" xr:uid="{00000000-0005-0000-0000-0000841F0000}"/>
    <cellStyle name="Percent 3 8 5 2" xfId="8650" xr:uid="{00000000-0005-0000-0000-0000851F0000}"/>
    <cellStyle name="Percent 3 8 5 2 2" xfId="8651" xr:uid="{00000000-0005-0000-0000-0000861F0000}"/>
    <cellStyle name="Percent 3 8 5 2 2 2" xfId="8652" xr:uid="{00000000-0005-0000-0000-0000871F0000}"/>
    <cellStyle name="Percent 3 8 5 2 3" xfId="8653" xr:uid="{00000000-0005-0000-0000-0000881F0000}"/>
    <cellStyle name="Percent 3 8 5 2 3 2" xfId="8654" xr:uid="{00000000-0005-0000-0000-0000891F0000}"/>
    <cellStyle name="Percent 3 8 5 2 4" xfId="8655" xr:uid="{00000000-0005-0000-0000-00008A1F0000}"/>
    <cellStyle name="Percent 3 8 5 2 5" xfId="8656" xr:uid="{00000000-0005-0000-0000-00008B1F0000}"/>
    <cellStyle name="Percent 3 8 5 3" xfId="8657" xr:uid="{00000000-0005-0000-0000-00008C1F0000}"/>
    <cellStyle name="Percent 3 8 5 3 2" xfId="8658" xr:uid="{00000000-0005-0000-0000-00008D1F0000}"/>
    <cellStyle name="Percent 3 8 5 3 2 2" xfId="8659" xr:uid="{00000000-0005-0000-0000-00008E1F0000}"/>
    <cellStyle name="Percent 3 8 5 3 3" xfId="8660" xr:uid="{00000000-0005-0000-0000-00008F1F0000}"/>
    <cellStyle name="Percent 3 8 5 3 3 2" xfId="8661" xr:uid="{00000000-0005-0000-0000-0000901F0000}"/>
    <cellStyle name="Percent 3 8 5 3 4" xfId="8662" xr:uid="{00000000-0005-0000-0000-0000911F0000}"/>
    <cellStyle name="Percent 3 8 5 4" xfId="8663" xr:uid="{00000000-0005-0000-0000-0000921F0000}"/>
    <cellStyle name="Percent 3 8 5 4 2" xfId="8664" xr:uid="{00000000-0005-0000-0000-0000931F0000}"/>
    <cellStyle name="Percent 3 8 5 4 2 2" xfId="8665" xr:uid="{00000000-0005-0000-0000-0000941F0000}"/>
    <cellStyle name="Percent 3 8 5 4 3" xfId="8666" xr:uid="{00000000-0005-0000-0000-0000951F0000}"/>
    <cellStyle name="Percent 3 8 5 4 3 2" xfId="8667" xr:uid="{00000000-0005-0000-0000-0000961F0000}"/>
    <cellStyle name="Percent 3 8 5 4 4" xfId="8668" xr:uid="{00000000-0005-0000-0000-0000971F0000}"/>
    <cellStyle name="Percent 3 8 5 5" xfId="8669" xr:uid="{00000000-0005-0000-0000-0000981F0000}"/>
    <cellStyle name="Percent 3 8 5 5 2" xfId="8670" xr:uid="{00000000-0005-0000-0000-0000991F0000}"/>
    <cellStyle name="Percent 3 8 5 5 2 2" xfId="8671" xr:uid="{00000000-0005-0000-0000-00009A1F0000}"/>
    <cellStyle name="Percent 3 8 5 5 3" xfId="8672" xr:uid="{00000000-0005-0000-0000-00009B1F0000}"/>
    <cellStyle name="Percent 3 8 5 5 3 2" xfId="8673" xr:uid="{00000000-0005-0000-0000-00009C1F0000}"/>
    <cellStyle name="Percent 3 8 5 5 4" xfId="8674" xr:uid="{00000000-0005-0000-0000-00009D1F0000}"/>
    <cellStyle name="Percent 3 8 5 5 4 2" xfId="8675" xr:uid="{00000000-0005-0000-0000-00009E1F0000}"/>
    <cellStyle name="Percent 3 8 5 5 5" xfId="8676" xr:uid="{00000000-0005-0000-0000-00009F1F0000}"/>
    <cellStyle name="Percent 3 8 5 6" xfId="8677" xr:uid="{00000000-0005-0000-0000-0000A01F0000}"/>
    <cellStyle name="Percent 3 8 5 6 2" xfId="8678" xr:uid="{00000000-0005-0000-0000-0000A11F0000}"/>
    <cellStyle name="Percent 3 8 5 6 2 2" xfId="8679" xr:uid="{00000000-0005-0000-0000-0000A21F0000}"/>
    <cellStyle name="Percent 3 8 5 6 3" xfId="8680" xr:uid="{00000000-0005-0000-0000-0000A31F0000}"/>
    <cellStyle name="Percent 3 8 5 6 3 2" xfId="8681" xr:uid="{00000000-0005-0000-0000-0000A41F0000}"/>
    <cellStyle name="Percent 3 8 5 6 4" xfId="8682" xr:uid="{00000000-0005-0000-0000-0000A51F0000}"/>
    <cellStyle name="Percent 3 8 5 7" xfId="8683" xr:uid="{00000000-0005-0000-0000-0000A61F0000}"/>
    <cellStyle name="Percent 3 8 5 7 2" xfId="8684" xr:uid="{00000000-0005-0000-0000-0000A71F0000}"/>
    <cellStyle name="Percent 3 8 5 8" xfId="8685" xr:uid="{00000000-0005-0000-0000-0000A81F0000}"/>
    <cellStyle name="Percent 3 8 5 8 2" xfId="8686" xr:uid="{00000000-0005-0000-0000-0000A91F0000}"/>
    <cellStyle name="Percent 3 8 5 9" xfId="8687" xr:uid="{00000000-0005-0000-0000-0000AA1F0000}"/>
    <cellStyle name="Percent 3 8 5 9 2" xfId="8688" xr:uid="{00000000-0005-0000-0000-0000AB1F0000}"/>
    <cellStyle name="Percent 3 8 6" xfId="2949" xr:uid="{00000000-0005-0000-0000-0000AC1F0000}"/>
    <cellStyle name="Percent 3 8 6 10" xfId="8690" xr:uid="{00000000-0005-0000-0000-0000AD1F0000}"/>
    <cellStyle name="Percent 3 8 6 11" xfId="8691" xr:uid="{00000000-0005-0000-0000-0000AE1F0000}"/>
    <cellStyle name="Percent 3 8 6 12" xfId="8689" xr:uid="{00000000-0005-0000-0000-0000AF1F0000}"/>
    <cellStyle name="Percent 3 8 6 2" xfId="8692" xr:uid="{00000000-0005-0000-0000-0000B01F0000}"/>
    <cellStyle name="Percent 3 8 6 2 2" xfId="8693" xr:uid="{00000000-0005-0000-0000-0000B11F0000}"/>
    <cellStyle name="Percent 3 8 6 2 2 2" xfId="8694" xr:uid="{00000000-0005-0000-0000-0000B21F0000}"/>
    <cellStyle name="Percent 3 8 6 2 3" xfId="8695" xr:uid="{00000000-0005-0000-0000-0000B31F0000}"/>
    <cellStyle name="Percent 3 8 6 2 3 2" xfId="8696" xr:uid="{00000000-0005-0000-0000-0000B41F0000}"/>
    <cellStyle name="Percent 3 8 6 2 4" xfId="8697" xr:uid="{00000000-0005-0000-0000-0000B51F0000}"/>
    <cellStyle name="Percent 3 8 6 2 5" xfId="8698" xr:uid="{00000000-0005-0000-0000-0000B61F0000}"/>
    <cellStyle name="Percent 3 8 6 3" xfId="8699" xr:uid="{00000000-0005-0000-0000-0000B71F0000}"/>
    <cellStyle name="Percent 3 8 6 3 2" xfId="8700" xr:uid="{00000000-0005-0000-0000-0000B81F0000}"/>
    <cellStyle name="Percent 3 8 6 3 2 2" xfId="8701" xr:uid="{00000000-0005-0000-0000-0000B91F0000}"/>
    <cellStyle name="Percent 3 8 6 3 3" xfId="8702" xr:uid="{00000000-0005-0000-0000-0000BA1F0000}"/>
    <cellStyle name="Percent 3 8 6 3 3 2" xfId="8703" xr:uid="{00000000-0005-0000-0000-0000BB1F0000}"/>
    <cellStyle name="Percent 3 8 6 3 4" xfId="8704" xr:uid="{00000000-0005-0000-0000-0000BC1F0000}"/>
    <cellStyle name="Percent 3 8 6 4" xfId="8705" xr:uid="{00000000-0005-0000-0000-0000BD1F0000}"/>
    <cellStyle name="Percent 3 8 6 4 2" xfId="8706" xr:uid="{00000000-0005-0000-0000-0000BE1F0000}"/>
    <cellStyle name="Percent 3 8 6 4 2 2" xfId="8707" xr:uid="{00000000-0005-0000-0000-0000BF1F0000}"/>
    <cellStyle name="Percent 3 8 6 4 3" xfId="8708" xr:uid="{00000000-0005-0000-0000-0000C01F0000}"/>
    <cellStyle name="Percent 3 8 6 4 3 2" xfId="8709" xr:uid="{00000000-0005-0000-0000-0000C11F0000}"/>
    <cellStyle name="Percent 3 8 6 4 4" xfId="8710" xr:uid="{00000000-0005-0000-0000-0000C21F0000}"/>
    <cellStyle name="Percent 3 8 6 5" xfId="8711" xr:uid="{00000000-0005-0000-0000-0000C31F0000}"/>
    <cellStyle name="Percent 3 8 6 5 2" xfId="8712" xr:uid="{00000000-0005-0000-0000-0000C41F0000}"/>
    <cellStyle name="Percent 3 8 6 5 2 2" xfId="8713" xr:uid="{00000000-0005-0000-0000-0000C51F0000}"/>
    <cellStyle name="Percent 3 8 6 5 3" xfId="8714" xr:uid="{00000000-0005-0000-0000-0000C61F0000}"/>
    <cellStyle name="Percent 3 8 6 5 3 2" xfId="8715" xr:uid="{00000000-0005-0000-0000-0000C71F0000}"/>
    <cellStyle name="Percent 3 8 6 5 4" xfId="8716" xr:uid="{00000000-0005-0000-0000-0000C81F0000}"/>
    <cellStyle name="Percent 3 8 6 5 4 2" xfId="8717" xr:uid="{00000000-0005-0000-0000-0000C91F0000}"/>
    <cellStyle name="Percent 3 8 6 5 5" xfId="8718" xr:uid="{00000000-0005-0000-0000-0000CA1F0000}"/>
    <cellStyle name="Percent 3 8 6 6" xfId="8719" xr:uid="{00000000-0005-0000-0000-0000CB1F0000}"/>
    <cellStyle name="Percent 3 8 6 6 2" xfId="8720" xr:uid="{00000000-0005-0000-0000-0000CC1F0000}"/>
    <cellStyle name="Percent 3 8 6 6 2 2" xfId="8721" xr:uid="{00000000-0005-0000-0000-0000CD1F0000}"/>
    <cellStyle name="Percent 3 8 6 6 3" xfId="8722" xr:uid="{00000000-0005-0000-0000-0000CE1F0000}"/>
    <cellStyle name="Percent 3 8 6 6 3 2" xfId="8723" xr:uid="{00000000-0005-0000-0000-0000CF1F0000}"/>
    <cellStyle name="Percent 3 8 6 6 4" xfId="8724" xr:uid="{00000000-0005-0000-0000-0000D01F0000}"/>
    <cellStyle name="Percent 3 8 6 7" xfId="8725" xr:uid="{00000000-0005-0000-0000-0000D11F0000}"/>
    <cellStyle name="Percent 3 8 6 7 2" xfId="8726" xr:uid="{00000000-0005-0000-0000-0000D21F0000}"/>
    <cellStyle name="Percent 3 8 6 8" xfId="8727" xr:uid="{00000000-0005-0000-0000-0000D31F0000}"/>
    <cellStyle name="Percent 3 8 6 8 2" xfId="8728" xr:uid="{00000000-0005-0000-0000-0000D41F0000}"/>
    <cellStyle name="Percent 3 8 6 9" xfId="8729" xr:uid="{00000000-0005-0000-0000-0000D51F0000}"/>
    <cellStyle name="Percent 3 8 6 9 2" xfId="8730" xr:uid="{00000000-0005-0000-0000-0000D61F0000}"/>
    <cellStyle name="Percent 3 8 7" xfId="2950" xr:uid="{00000000-0005-0000-0000-0000D71F0000}"/>
    <cellStyle name="Percent 3 8 7 10" xfId="8732" xr:uid="{00000000-0005-0000-0000-0000D81F0000}"/>
    <cellStyle name="Percent 3 8 7 11" xfId="8733" xr:uid="{00000000-0005-0000-0000-0000D91F0000}"/>
    <cellStyle name="Percent 3 8 7 12" xfId="8731" xr:uid="{00000000-0005-0000-0000-0000DA1F0000}"/>
    <cellStyle name="Percent 3 8 7 2" xfId="8734" xr:uid="{00000000-0005-0000-0000-0000DB1F0000}"/>
    <cellStyle name="Percent 3 8 7 2 2" xfId="8735" xr:uid="{00000000-0005-0000-0000-0000DC1F0000}"/>
    <cellStyle name="Percent 3 8 7 2 2 2" xfId="8736" xr:uid="{00000000-0005-0000-0000-0000DD1F0000}"/>
    <cellStyle name="Percent 3 8 7 2 3" xfId="8737" xr:uid="{00000000-0005-0000-0000-0000DE1F0000}"/>
    <cellStyle name="Percent 3 8 7 2 3 2" xfId="8738" xr:uid="{00000000-0005-0000-0000-0000DF1F0000}"/>
    <cellStyle name="Percent 3 8 7 2 4" xfId="8739" xr:uid="{00000000-0005-0000-0000-0000E01F0000}"/>
    <cellStyle name="Percent 3 8 7 2 5" xfId="8740" xr:uid="{00000000-0005-0000-0000-0000E11F0000}"/>
    <cellStyle name="Percent 3 8 7 3" xfId="8741" xr:uid="{00000000-0005-0000-0000-0000E21F0000}"/>
    <cellStyle name="Percent 3 8 7 3 2" xfId="8742" xr:uid="{00000000-0005-0000-0000-0000E31F0000}"/>
    <cellStyle name="Percent 3 8 7 3 2 2" xfId="8743" xr:uid="{00000000-0005-0000-0000-0000E41F0000}"/>
    <cellStyle name="Percent 3 8 7 3 3" xfId="8744" xr:uid="{00000000-0005-0000-0000-0000E51F0000}"/>
    <cellStyle name="Percent 3 8 7 3 3 2" xfId="8745" xr:uid="{00000000-0005-0000-0000-0000E61F0000}"/>
    <cellStyle name="Percent 3 8 7 3 4" xfId="8746" xr:uid="{00000000-0005-0000-0000-0000E71F0000}"/>
    <cellStyle name="Percent 3 8 7 4" xfId="8747" xr:uid="{00000000-0005-0000-0000-0000E81F0000}"/>
    <cellStyle name="Percent 3 8 7 4 2" xfId="8748" xr:uid="{00000000-0005-0000-0000-0000E91F0000}"/>
    <cellStyle name="Percent 3 8 7 4 2 2" xfId="8749" xr:uid="{00000000-0005-0000-0000-0000EA1F0000}"/>
    <cellStyle name="Percent 3 8 7 4 3" xfId="8750" xr:uid="{00000000-0005-0000-0000-0000EB1F0000}"/>
    <cellStyle name="Percent 3 8 7 4 3 2" xfId="8751" xr:uid="{00000000-0005-0000-0000-0000EC1F0000}"/>
    <cellStyle name="Percent 3 8 7 4 4" xfId="8752" xr:uid="{00000000-0005-0000-0000-0000ED1F0000}"/>
    <cellStyle name="Percent 3 8 7 5" xfId="8753" xr:uid="{00000000-0005-0000-0000-0000EE1F0000}"/>
    <cellStyle name="Percent 3 8 7 5 2" xfId="8754" xr:uid="{00000000-0005-0000-0000-0000EF1F0000}"/>
    <cellStyle name="Percent 3 8 7 5 2 2" xfId="8755" xr:uid="{00000000-0005-0000-0000-0000F01F0000}"/>
    <cellStyle name="Percent 3 8 7 5 3" xfId="8756" xr:uid="{00000000-0005-0000-0000-0000F11F0000}"/>
    <cellStyle name="Percent 3 8 7 5 3 2" xfId="8757" xr:uid="{00000000-0005-0000-0000-0000F21F0000}"/>
    <cellStyle name="Percent 3 8 7 5 4" xfId="8758" xr:uid="{00000000-0005-0000-0000-0000F31F0000}"/>
    <cellStyle name="Percent 3 8 7 5 4 2" xfId="8759" xr:uid="{00000000-0005-0000-0000-0000F41F0000}"/>
    <cellStyle name="Percent 3 8 7 5 5" xfId="8760" xr:uid="{00000000-0005-0000-0000-0000F51F0000}"/>
    <cellStyle name="Percent 3 8 7 6" xfId="8761" xr:uid="{00000000-0005-0000-0000-0000F61F0000}"/>
    <cellStyle name="Percent 3 8 7 6 2" xfId="8762" xr:uid="{00000000-0005-0000-0000-0000F71F0000}"/>
    <cellStyle name="Percent 3 8 7 6 2 2" xfId="8763" xr:uid="{00000000-0005-0000-0000-0000F81F0000}"/>
    <cellStyle name="Percent 3 8 7 6 3" xfId="8764" xr:uid="{00000000-0005-0000-0000-0000F91F0000}"/>
    <cellStyle name="Percent 3 8 7 6 3 2" xfId="8765" xr:uid="{00000000-0005-0000-0000-0000FA1F0000}"/>
    <cellStyle name="Percent 3 8 7 6 4" xfId="8766" xr:uid="{00000000-0005-0000-0000-0000FB1F0000}"/>
    <cellStyle name="Percent 3 8 7 7" xfId="8767" xr:uid="{00000000-0005-0000-0000-0000FC1F0000}"/>
    <cellStyle name="Percent 3 8 7 7 2" xfId="8768" xr:uid="{00000000-0005-0000-0000-0000FD1F0000}"/>
    <cellStyle name="Percent 3 8 7 8" xfId="8769" xr:uid="{00000000-0005-0000-0000-0000FE1F0000}"/>
    <cellStyle name="Percent 3 8 7 8 2" xfId="8770" xr:uid="{00000000-0005-0000-0000-0000FF1F0000}"/>
    <cellStyle name="Percent 3 8 7 9" xfId="8771" xr:uid="{00000000-0005-0000-0000-000000200000}"/>
    <cellStyle name="Percent 3 8 7 9 2" xfId="8772" xr:uid="{00000000-0005-0000-0000-000001200000}"/>
    <cellStyle name="Percent 3 8 8" xfId="2951" xr:uid="{00000000-0005-0000-0000-000002200000}"/>
    <cellStyle name="Percent 3 8 8 10" xfId="8774" xr:uid="{00000000-0005-0000-0000-000003200000}"/>
    <cellStyle name="Percent 3 8 8 11" xfId="8775" xr:uid="{00000000-0005-0000-0000-000004200000}"/>
    <cellStyle name="Percent 3 8 8 12" xfId="8773" xr:uid="{00000000-0005-0000-0000-000005200000}"/>
    <cellStyle name="Percent 3 8 8 2" xfId="8776" xr:uid="{00000000-0005-0000-0000-000006200000}"/>
    <cellStyle name="Percent 3 8 8 2 2" xfId="8777" xr:uid="{00000000-0005-0000-0000-000007200000}"/>
    <cellStyle name="Percent 3 8 8 2 2 2" xfId="8778" xr:uid="{00000000-0005-0000-0000-000008200000}"/>
    <cellStyle name="Percent 3 8 8 2 3" xfId="8779" xr:uid="{00000000-0005-0000-0000-000009200000}"/>
    <cellStyle name="Percent 3 8 8 2 3 2" xfId="8780" xr:uid="{00000000-0005-0000-0000-00000A200000}"/>
    <cellStyle name="Percent 3 8 8 2 4" xfId="8781" xr:uid="{00000000-0005-0000-0000-00000B200000}"/>
    <cellStyle name="Percent 3 8 8 2 5" xfId="8782" xr:uid="{00000000-0005-0000-0000-00000C200000}"/>
    <cellStyle name="Percent 3 8 8 3" xfId="8783" xr:uid="{00000000-0005-0000-0000-00000D200000}"/>
    <cellStyle name="Percent 3 8 8 3 2" xfId="8784" xr:uid="{00000000-0005-0000-0000-00000E200000}"/>
    <cellStyle name="Percent 3 8 8 3 2 2" xfId="8785" xr:uid="{00000000-0005-0000-0000-00000F200000}"/>
    <cellStyle name="Percent 3 8 8 3 3" xfId="8786" xr:uid="{00000000-0005-0000-0000-000010200000}"/>
    <cellStyle name="Percent 3 8 8 3 3 2" xfId="8787" xr:uid="{00000000-0005-0000-0000-000011200000}"/>
    <cellStyle name="Percent 3 8 8 3 4" xfId="8788" xr:uid="{00000000-0005-0000-0000-000012200000}"/>
    <cellStyle name="Percent 3 8 8 4" xfId="8789" xr:uid="{00000000-0005-0000-0000-000013200000}"/>
    <cellStyle name="Percent 3 8 8 4 2" xfId="8790" xr:uid="{00000000-0005-0000-0000-000014200000}"/>
    <cellStyle name="Percent 3 8 8 4 2 2" xfId="8791" xr:uid="{00000000-0005-0000-0000-000015200000}"/>
    <cellStyle name="Percent 3 8 8 4 3" xfId="8792" xr:uid="{00000000-0005-0000-0000-000016200000}"/>
    <cellStyle name="Percent 3 8 8 4 3 2" xfId="8793" xr:uid="{00000000-0005-0000-0000-000017200000}"/>
    <cellStyle name="Percent 3 8 8 4 4" xfId="8794" xr:uid="{00000000-0005-0000-0000-000018200000}"/>
    <cellStyle name="Percent 3 8 8 5" xfId="8795" xr:uid="{00000000-0005-0000-0000-000019200000}"/>
    <cellStyle name="Percent 3 8 8 5 2" xfId="8796" xr:uid="{00000000-0005-0000-0000-00001A200000}"/>
    <cellStyle name="Percent 3 8 8 5 2 2" xfId="8797" xr:uid="{00000000-0005-0000-0000-00001B200000}"/>
    <cellStyle name="Percent 3 8 8 5 3" xfId="8798" xr:uid="{00000000-0005-0000-0000-00001C200000}"/>
    <cellStyle name="Percent 3 8 8 5 3 2" xfId="8799" xr:uid="{00000000-0005-0000-0000-00001D200000}"/>
    <cellStyle name="Percent 3 8 8 5 4" xfId="8800" xr:uid="{00000000-0005-0000-0000-00001E200000}"/>
    <cellStyle name="Percent 3 8 8 5 4 2" xfId="8801" xr:uid="{00000000-0005-0000-0000-00001F200000}"/>
    <cellStyle name="Percent 3 8 8 5 5" xfId="8802" xr:uid="{00000000-0005-0000-0000-000020200000}"/>
    <cellStyle name="Percent 3 8 8 6" xfId="8803" xr:uid="{00000000-0005-0000-0000-000021200000}"/>
    <cellStyle name="Percent 3 8 8 6 2" xfId="8804" xr:uid="{00000000-0005-0000-0000-000022200000}"/>
    <cellStyle name="Percent 3 8 8 6 2 2" xfId="8805" xr:uid="{00000000-0005-0000-0000-000023200000}"/>
    <cellStyle name="Percent 3 8 8 6 3" xfId="8806" xr:uid="{00000000-0005-0000-0000-000024200000}"/>
    <cellStyle name="Percent 3 8 8 6 3 2" xfId="8807" xr:uid="{00000000-0005-0000-0000-000025200000}"/>
    <cellStyle name="Percent 3 8 8 6 4" xfId="8808" xr:uid="{00000000-0005-0000-0000-000026200000}"/>
    <cellStyle name="Percent 3 8 8 7" xfId="8809" xr:uid="{00000000-0005-0000-0000-000027200000}"/>
    <cellStyle name="Percent 3 8 8 7 2" xfId="8810" xr:uid="{00000000-0005-0000-0000-000028200000}"/>
    <cellStyle name="Percent 3 8 8 8" xfId="8811" xr:uid="{00000000-0005-0000-0000-000029200000}"/>
    <cellStyle name="Percent 3 8 8 8 2" xfId="8812" xr:uid="{00000000-0005-0000-0000-00002A200000}"/>
    <cellStyle name="Percent 3 8 8 9" xfId="8813" xr:uid="{00000000-0005-0000-0000-00002B200000}"/>
    <cellStyle name="Percent 3 8 8 9 2" xfId="8814" xr:uid="{00000000-0005-0000-0000-00002C200000}"/>
    <cellStyle name="Percent 3 8 9" xfId="2952" xr:uid="{00000000-0005-0000-0000-00002D200000}"/>
    <cellStyle name="Percent 3 8 9 10" xfId="8816" xr:uid="{00000000-0005-0000-0000-00002E200000}"/>
    <cellStyle name="Percent 3 8 9 11" xfId="8817" xr:uid="{00000000-0005-0000-0000-00002F200000}"/>
    <cellStyle name="Percent 3 8 9 12" xfId="8815" xr:uid="{00000000-0005-0000-0000-000030200000}"/>
    <cellStyle name="Percent 3 8 9 2" xfId="8818" xr:uid="{00000000-0005-0000-0000-000031200000}"/>
    <cellStyle name="Percent 3 8 9 2 2" xfId="8819" xr:uid="{00000000-0005-0000-0000-000032200000}"/>
    <cellStyle name="Percent 3 8 9 2 2 2" xfId="8820" xr:uid="{00000000-0005-0000-0000-000033200000}"/>
    <cellStyle name="Percent 3 8 9 2 3" xfId="8821" xr:uid="{00000000-0005-0000-0000-000034200000}"/>
    <cellStyle name="Percent 3 8 9 2 3 2" xfId="8822" xr:uid="{00000000-0005-0000-0000-000035200000}"/>
    <cellStyle name="Percent 3 8 9 2 4" xfId="8823" xr:uid="{00000000-0005-0000-0000-000036200000}"/>
    <cellStyle name="Percent 3 8 9 2 5" xfId="8824" xr:uid="{00000000-0005-0000-0000-000037200000}"/>
    <cellStyle name="Percent 3 8 9 3" xfId="8825" xr:uid="{00000000-0005-0000-0000-000038200000}"/>
    <cellStyle name="Percent 3 8 9 3 2" xfId="8826" xr:uid="{00000000-0005-0000-0000-000039200000}"/>
    <cellStyle name="Percent 3 8 9 3 2 2" xfId="8827" xr:uid="{00000000-0005-0000-0000-00003A200000}"/>
    <cellStyle name="Percent 3 8 9 3 3" xfId="8828" xr:uid="{00000000-0005-0000-0000-00003B200000}"/>
    <cellStyle name="Percent 3 8 9 3 3 2" xfId="8829" xr:uid="{00000000-0005-0000-0000-00003C200000}"/>
    <cellStyle name="Percent 3 8 9 3 4" xfId="8830" xr:uid="{00000000-0005-0000-0000-00003D200000}"/>
    <cellStyle name="Percent 3 8 9 4" xfId="8831" xr:uid="{00000000-0005-0000-0000-00003E200000}"/>
    <cellStyle name="Percent 3 8 9 4 2" xfId="8832" xr:uid="{00000000-0005-0000-0000-00003F200000}"/>
    <cellStyle name="Percent 3 8 9 4 2 2" xfId="8833" xr:uid="{00000000-0005-0000-0000-000040200000}"/>
    <cellStyle name="Percent 3 8 9 4 3" xfId="8834" xr:uid="{00000000-0005-0000-0000-000041200000}"/>
    <cellStyle name="Percent 3 8 9 4 3 2" xfId="8835" xr:uid="{00000000-0005-0000-0000-000042200000}"/>
    <cellStyle name="Percent 3 8 9 4 4" xfId="8836" xr:uid="{00000000-0005-0000-0000-000043200000}"/>
    <cellStyle name="Percent 3 8 9 5" xfId="8837" xr:uid="{00000000-0005-0000-0000-000044200000}"/>
    <cellStyle name="Percent 3 8 9 5 2" xfId="8838" xr:uid="{00000000-0005-0000-0000-000045200000}"/>
    <cellStyle name="Percent 3 8 9 5 2 2" xfId="8839" xr:uid="{00000000-0005-0000-0000-000046200000}"/>
    <cellStyle name="Percent 3 8 9 5 3" xfId="8840" xr:uid="{00000000-0005-0000-0000-000047200000}"/>
    <cellStyle name="Percent 3 8 9 5 3 2" xfId="8841" xr:uid="{00000000-0005-0000-0000-000048200000}"/>
    <cellStyle name="Percent 3 8 9 5 4" xfId="8842" xr:uid="{00000000-0005-0000-0000-000049200000}"/>
    <cellStyle name="Percent 3 8 9 5 4 2" xfId="8843" xr:uid="{00000000-0005-0000-0000-00004A200000}"/>
    <cellStyle name="Percent 3 8 9 5 5" xfId="8844" xr:uid="{00000000-0005-0000-0000-00004B200000}"/>
    <cellStyle name="Percent 3 8 9 6" xfId="8845" xr:uid="{00000000-0005-0000-0000-00004C200000}"/>
    <cellStyle name="Percent 3 8 9 6 2" xfId="8846" xr:uid="{00000000-0005-0000-0000-00004D200000}"/>
    <cellStyle name="Percent 3 8 9 6 2 2" xfId="8847" xr:uid="{00000000-0005-0000-0000-00004E200000}"/>
    <cellStyle name="Percent 3 8 9 6 3" xfId="8848" xr:uid="{00000000-0005-0000-0000-00004F200000}"/>
    <cellStyle name="Percent 3 8 9 6 3 2" xfId="8849" xr:uid="{00000000-0005-0000-0000-000050200000}"/>
    <cellStyle name="Percent 3 8 9 6 4" xfId="8850" xr:uid="{00000000-0005-0000-0000-000051200000}"/>
    <cellStyle name="Percent 3 8 9 7" xfId="8851" xr:uid="{00000000-0005-0000-0000-000052200000}"/>
    <cellStyle name="Percent 3 8 9 7 2" xfId="8852" xr:uid="{00000000-0005-0000-0000-000053200000}"/>
    <cellStyle name="Percent 3 8 9 8" xfId="8853" xr:uid="{00000000-0005-0000-0000-000054200000}"/>
    <cellStyle name="Percent 3 8 9 8 2" xfId="8854" xr:uid="{00000000-0005-0000-0000-000055200000}"/>
    <cellStyle name="Percent 3 8 9 9" xfId="8855" xr:uid="{00000000-0005-0000-0000-000056200000}"/>
    <cellStyle name="Percent 3 8 9 9 2" xfId="8856" xr:uid="{00000000-0005-0000-0000-000057200000}"/>
    <cellStyle name="Percent 3 9" xfId="2953" xr:uid="{00000000-0005-0000-0000-000058200000}"/>
    <cellStyle name="Percent 3 9 10" xfId="2954" xr:uid="{00000000-0005-0000-0000-000059200000}"/>
    <cellStyle name="Percent 3 9 10 10" xfId="8859" xr:uid="{00000000-0005-0000-0000-00005A200000}"/>
    <cellStyle name="Percent 3 9 10 11" xfId="8860" xr:uid="{00000000-0005-0000-0000-00005B200000}"/>
    <cellStyle name="Percent 3 9 10 12" xfId="8858" xr:uid="{00000000-0005-0000-0000-00005C200000}"/>
    <cellStyle name="Percent 3 9 10 2" xfId="8861" xr:uid="{00000000-0005-0000-0000-00005D200000}"/>
    <cellStyle name="Percent 3 9 10 2 2" xfId="8862" xr:uid="{00000000-0005-0000-0000-00005E200000}"/>
    <cellStyle name="Percent 3 9 10 2 2 2" xfId="8863" xr:uid="{00000000-0005-0000-0000-00005F200000}"/>
    <cellStyle name="Percent 3 9 10 2 3" xfId="8864" xr:uid="{00000000-0005-0000-0000-000060200000}"/>
    <cellStyle name="Percent 3 9 10 2 3 2" xfId="8865" xr:uid="{00000000-0005-0000-0000-000061200000}"/>
    <cellStyle name="Percent 3 9 10 2 4" xfId="8866" xr:uid="{00000000-0005-0000-0000-000062200000}"/>
    <cellStyle name="Percent 3 9 10 2 5" xfId="8867" xr:uid="{00000000-0005-0000-0000-000063200000}"/>
    <cellStyle name="Percent 3 9 10 3" xfId="8868" xr:uid="{00000000-0005-0000-0000-000064200000}"/>
    <cellStyle name="Percent 3 9 10 3 2" xfId="8869" xr:uid="{00000000-0005-0000-0000-000065200000}"/>
    <cellStyle name="Percent 3 9 10 3 2 2" xfId="8870" xr:uid="{00000000-0005-0000-0000-000066200000}"/>
    <cellStyle name="Percent 3 9 10 3 3" xfId="8871" xr:uid="{00000000-0005-0000-0000-000067200000}"/>
    <cellStyle name="Percent 3 9 10 3 3 2" xfId="8872" xr:uid="{00000000-0005-0000-0000-000068200000}"/>
    <cellStyle name="Percent 3 9 10 3 4" xfId="8873" xr:uid="{00000000-0005-0000-0000-000069200000}"/>
    <cellStyle name="Percent 3 9 10 4" xfId="8874" xr:uid="{00000000-0005-0000-0000-00006A200000}"/>
    <cellStyle name="Percent 3 9 10 4 2" xfId="8875" xr:uid="{00000000-0005-0000-0000-00006B200000}"/>
    <cellStyle name="Percent 3 9 10 4 2 2" xfId="8876" xr:uid="{00000000-0005-0000-0000-00006C200000}"/>
    <cellStyle name="Percent 3 9 10 4 3" xfId="8877" xr:uid="{00000000-0005-0000-0000-00006D200000}"/>
    <cellStyle name="Percent 3 9 10 4 3 2" xfId="8878" xr:uid="{00000000-0005-0000-0000-00006E200000}"/>
    <cellStyle name="Percent 3 9 10 4 4" xfId="8879" xr:uid="{00000000-0005-0000-0000-00006F200000}"/>
    <cellStyle name="Percent 3 9 10 5" xfId="8880" xr:uid="{00000000-0005-0000-0000-000070200000}"/>
    <cellStyle name="Percent 3 9 10 5 2" xfId="8881" xr:uid="{00000000-0005-0000-0000-000071200000}"/>
    <cellStyle name="Percent 3 9 10 5 2 2" xfId="8882" xr:uid="{00000000-0005-0000-0000-000072200000}"/>
    <cellStyle name="Percent 3 9 10 5 3" xfId="8883" xr:uid="{00000000-0005-0000-0000-000073200000}"/>
    <cellStyle name="Percent 3 9 10 5 3 2" xfId="8884" xr:uid="{00000000-0005-0000-0000-000074200000}"/>
    <cellStyle name="Percent 3 9 10 5 4" xfId="8885" xr:uid="{00000000-0005-0000-0000-000075200000}"/>
    <cellStyle name="Percent 3 9 10 5 4 2" xfId="8886" xr:uid="{00000000-0005-0000-0000-000076200000}"/>
    <cellStyle name="Percent 3 9 10 5 5" xfId="8887" xr:uid="{00000000-0005-0000-0000-000077200000}"/>
    <cellStyle name="Percent 3 9 10 6" xfId="8888" xr:uid="{00000000-0005-0000-0000-000078200000}"/>
    <cellStyle name="Percent 3 9 10 6 2" xfId="8889" xr:uid="{00000000-0005-0000-0000-000079200000}"/>
    <cellStyle name="Percent 3 9 10 6 2 2" xfId="8890" xr:uid="{00000000-0005-0000-0000-00007A200000}"/>
    <cellStyle name="Percent 3 9 10 6 3" xfId="8891" xr:uid="{00000000-0005-0000-0000-00007B200000}"/>
    <cellStyle name="Percent 3 9 10 6 3 2" xfId="8892" xr:uid="{00000000-0005-0000-0000-00007C200000}"/>
    <cellStyle name="Percent 3 9 10 6 4" xfId="8893" xr:uid="{00000000-0005-0000-0000-00007D200000}"/>
    <cellStyle name="Percent 3 9 10 7" xfId="8894" xr:uid="{00000000-0005-0000-0000-00007E200000}"/>
    <cellStyle name="Percent 3 9 10 7 2" xfId="8895" xr:uid="{00000000-0005-0000-0000-00007F200000}"/>
    <cellStyle name="Percent 3 9 10 8" xfId="8896" xr:uid="{00000000-0005-0000-0000-000080200000}"/>
    <cellStyle name="Percent 3 9 10 8 2" xfId="8897" xr:uid="{00000000-0005-0000-0000-000081200000}"/>
    <cellStyle name="Percent 3 9 10 9" xfId="8898" xr:uid="{00000000-0005-0000-0000-000082200000}"/>
    <cellStyle name="Percent 3 9 10 9 2" xfId="8899" xr:uid="{00000000-0005-0000-0000-000083200000}"/>
    <cellStyle name="Percent 3 9 11" xfId="2955" xr:uid="{00000000-0005-0000-0000-000084200000}"/>
    <cellStyle name="Percent 3 9 11 10" xfId="8901" xr:uid="{00000000-0005-0000-0000-000085200000}"/>
    <cellStyle name="Percent 3 9 11 11" xfId="8902" xr:uid="{00000000-0005-0000-0000-000086200000}"/>
    <cellStyle name="Percent 3 9 11 12" xfId="8900" xr:uid="{00000000-0005-0000-0000-000087200000}"/>
    <cellStyle name="Percent 3 9 11 2" xfId="8903" xr:uid="{00000000-0005-0000-0000-000088200000}"/>
    <cellStyle name="Percent 3 9 11 2 2" xfId="8904" xr:uid="{00000000-0005-0000-0000-000089200000}"/>
    <cellStyle name="Percent 3 9 11 2 2 2" xfId="8905" xr:uid="{00000000-0005-0000-0000-00008A200000}"/>
    <cellStyle name="Percent 3 9 11 2 3" xfId="8906" xr:uid="{00000000-0005-0000-0000-00008B200000}"/>
    <cellStyle name="Percent 3 9 11 2 3 2" xfId="8907" xr:uid="{00000000-0005-0000-0000-00008C200000}"/>
    <cellStyle name="Percent 3 9 11 2 4" xfId="8908" xr:uid="{00000000-0005-0000-0000-00008D200000}"/>
    <cellStyle name="Percent 3 9 11 2 5" xfId="8909" xr:uid="{00000000-0005-0000-0000-00008E200000}"/>
    <cellStyle name="Percent 3 9 11 3" xfId="8910" xr:uid="{00000000-0005-0000-0000-00008F200000}"/>
    <cellStyle name="Percent 3 9 11 3 2" xfId="8911" xr:uid="{00000000-0005-0000-0000-000090200000}"/>
    <cellStyle name="Percent 3 9 11 3 2 2" xfId="8912" xr:uid="{00000000-0005-0000-0000-000091200000}"/>
    <cellStyle name="Percent 3 9 11 3 3" xfId="8913" xr:uid="{00000000-0005-0000-0000-000092200000}"/>
    <cellStyle name="Percent 3 9 11 3 3 2" xfId="8914" xr:uid="{00000000-0005-0000-0000-000093200000}"/>
    <cellStyle name="Percent 3 9 11 3 4" xfId="8915" xr:uid="{00000000-0005-0000-0000-000094200000}"/>
    <cellStyle name="Percent 3 9 11 4" xfId="8916" xr:uid="{00000000-0005-0000-0000-000095200000}"/>
    <cellStyle name="Percent 3 9 11 4 2" xfId="8917" xr:uid="{00000000-0005-0000-0000-000096200000}"/>
    <cellStyle name="Percent 3 9 11 4 2 2" xfId="8918" xr:uid="{00000000-0005-0000-0000-000097200000}"/>
    <cellStyle name="Percent 3 9 11 4 3" xfId="8919" xr:uid="{00000000-0005-0000-0000-000098200000}"/>
    <cellStyle name="Percent 3 9 11 4 3 2" xfId="8920" xr:uid="{00000000-0005-0000-0000-000099200000}"/>
    <cellStyle name="Percent 3 9 11 4 4" xfId="8921" xr:uid="{00000000-0005-0000-0000-00009A200000}"/>
    <cellStyle name="Percent 3 9 11 5" xfId="8922" xr:uid="{00000000-0005-0000-0000-00009B200000}"/>
    <cellStyle name="Percent 3 9 11 5 2" xfId="8923" xr:uid="{00000000-0005-0000-0000-00009C200000}"/>
    <cellStyle name="Percent 3 9 11 5 2 2" xfId="8924" xr:uid="{00000000-0005-0000-0000-00009D200000}"/>
    <cellStyle name="Percent 3 9 11 5 3" xfId="8925" xr:uid="{00000000-0005-0000-0000-00009E200000}"/>
    <cellStyle name="Percent 3 9 11 5 3 2" xfId="8926" xr:uid="{00000000-0005-0000-0000-00009F200000}"/>
    <cellStyle name="Percent 3 9 11 5 4" xfId="8927" xr:uid="{00000000-0005-0000-0000-0000A0200000}"/>
    <cellStyle name="Percent 3 9 11 5 4 2" xfId="8928" xr:uid="{00000000-0005-0000-0000-0000A1200000}"/>
    <cellStyle name="Percent 3 9 11 5 5" xfId="8929" xr:uid="{00000000-0005-0000-0000-0000A2200000}"/>
    <cellStyle name="Percent 3 9 11 6" xfId="8930" xr:uid="{00000000-0005-0000-0000-0000A3200000}"/>
    <cellStyle name="Percent 3 9 11 6 2" xfId="8931" xr:uid="{00000000-0005-0000-0000-0000A4200000}"/>
    <cellStyle name="Percent 3 9 11 6 2 2" xfId="8932" xr:uid="{00000000-0005-0000-0000-0000A5200000}"/>
    <cellStyle name="Percent 3 9 11 6 3" xfId="8933" xr:uid="{00000000-0005-0000-0000-0000A6200000}"/>
    <cellStyle name="Percent 3 9 11 6 3 2" xfId="8934" xr:uid="{00000000-0005-0000-0000-0000A7200000}"/>
    <cellStyle name="Percent 3 9 11 6 4" xfId="8935" xr:uid="{00000000-0005-0000-0000-0000A8200000}"/>
    <cellStyle name="Percent 3 9 11 7" xfId="8936" xr:uid="{00000000-0005-0000-0000-0000A9200000}"/>
    <cellStyle name="Percent 3 9 11 7 2" xfId="8937" xr:uid="{00000000-0005-0000-0000-0000AA200000}"/>
    <cellStyle name="Percent 3 9 11 8" xfId="8938" xr:uid="{00000000-0005-0000-0000-0000AB200000}"/>
    <cellStyle name="Percent 3 9 11 8 2" xfId="8939" xr:uid="{00000000-0005-0000-0000-0000AC200000}"/>
    <cellStyle name="Percent 3 9 11 9" xfId="8940" xr:uid="{00000000-0005-0000-0000-0000AD200000}"/>
    <cellStyle name="Percent 3 9 11 9 2" xfId="8941" xr:uid="{00000000-0005-0000-0000-0000AE200000}"/>
    <cellStyle name="Percent 3 9 12" xfId="2956" xr:uid="{00000000-0005-0000-0000-0000AF200000}"/>
    <cellStyle name="Percent 3 9 12 10" xfId="8943" xr:uid="{00000000-0005-0000-0000-0000B0200000}"/>
    <cellStyle name="Percent 3 9 12 11" xfId="8944" xr:uid="{00000000-0005-0000-0000-0000B1200000}"/>
    <cellStyle name="Percent 3 9 12 12" xfId="8942" xr:uid="{00000000-0005-0000-0000-0000B2200000}"/>
    <cellStyle name="Percent 3 9 12 2" xfId="8945" xr:uid="{00000000-0005-0000-0000-0000B3200000}"/>
    <cellStyle name="Percent 3 9 12 2 2" xfId="8946" xr:uid="{00000000-0005-0000-0000-0000B4200000}"/>
    <cellStyle name="Percent 3 9 12 2 2 2" xfId="8947" xr:uid="{00000000-0005-0000-0000-0000B5200000}"/>
    <cellStyle name="Percent 3 9 12 2 3" xfId="8948" xr:uid="{00000000-0005-0000-0000-0000B6200000}"/>
    <cellStyle name="Percent 3 9 12 2 3 2" xfId="8949" xr:uid="{00000000-0005-0000-0000-0000B7200000}"/>
    <cellStyle name="Percent 3 9 12 2 4" xfId="8950" xr:uid="{00000000-0005-0000-0000-0000B8200000}"/>
    <cellStyle name="Percent 3 9 12 2 5" xfId="8951" xr:uid="{00000000-0005-0000-0000-0000B9200000}"/>
    <cellStyle name="Percent 3 9 12 3" xfId="8952" xr:uid="{00000000-0005-0000-0000-0000BA200000}"/>
    <cellStyle name="Percent 3 9 12 3 2" xfId="8953" xr:uid="{00000000-0005-0000-0000-0000BB200000}"/>
    <cellStyle name="Percent 3 9 12 3 2 2" xfId="8954" xr:uid="{00000000-0005-0000-0000-0000BC200000}"/>
    <cellStyle name="Percent 3 9 12 3 3" xfId="8955" xr:uid="{00000000-0005-0000-0000-0000BD200000}"/>
    <cellStyle name="Percent 3 9 12 3 3 2" xfId="8956" xr:uid="{00000000-0005-0000-0000-0000BE200000}"/>
    <cellStyle name="Percent 3 9 12 3 4" xfId="8957" xr:uid="{00000000-0005-0000-0000-0000BF200000}"/>
    <cellStyle name="Percent 3 9 12 4" xfId="8958" xr:uid="{00000000-0005-0000-0000-0000C0200000}"/>
    <cellStyle name="Percent 3 9 12 4 2" xfId="8959" xr:uid="{00000000-0005-0000-0000-0000C1200000}"/>
    <cellStyle name="Percent 3 9 12 4 2 2" xfId="8960" xr:uid="{00000000-0005-0000-0000-0000C2200000}"/>
    <cellStyle name="Percent 3 9 12 4 3" xfId="8961" xr:uid="{00000000-0005-0000-0000-0000C3200000}"/>
    <cellStyle name="Percent 3 9 12 4 3 2" xfId="8962" xr:uid="{00000000-0005-0000-0000-0000C4200000}"/>
    <cellStyle name="Percent 3 9 12 4 4" xfId="8963" xr:uid="{00000000-0005-0000-0000-0000C5200000}"/>
    <cellStyle name="Percent 3 9 12 5" xfId="8964" xr:uid="{00000000-0005-0000-0000-0000C6200000}"/>
    <cellStyle name="Percent 3 9 12 5 2" xfId="8965" xr:uid="{00000000-0005-0000-0000-0000C7200000}"/>
    <cellStyle name="Percent 3 9 12 5 2 2" xfId="8966" xr:uid="{00000000-0005-0000-0000-0000C8200000}"/>
    <cellStyle name="Percent 3 9 12 5 3" xfId="8967" xr:uid="{00000000-0005-0000-0000-0000C9200000}"/>
    <cellStyle name="Percent 3 9 12 5 3 2" xfId="8968" xr:uid="{00000000-0005-0000-0000-0000CA200000}"/>
    <cellStyle name="Percent 3 9 12 5 4" xfId="8969" xr:uid="{00000000-0005-0000-0000-0000CB200000}"/>
    <cellStyle name="Percent 3 9 12 5 4 2" xfId="8970" xr:uid="{00000000-0005-0000-0000-0000CC200000}"/>
    <cellStyle name="Percent 3 9 12 5 5" xfId="8971" xr:uid="{00000000-0005-0000-0000-0000CD200000}"/>
    <cellStyle name="Percent 3 9 12 6" xfId="8972" xr:uid="{00000000-0005-0000-0000-0000CE200000}"/>
    <cellStyle name="Percent 3 9 12 6 2" xfId="8973" xr:uid="{00000000-0005-0000-0000-0000CF200000}"/>
    <cellStyle name="Percent 3 9 12 6 2 2" xfId="8974" xr:uid="{00000000-0005-0000-0000-0000D0200000}"/>
    <cellStyle name="Percent 3 9 12 6 3" xfId="8975" xr:uid="{00000000-0005-0000-0000-0000D1200000}"/>
    <cellStyle name="Percent 3 9 12 6 3 2" xfId="8976" xr:uid="{00000000-0005-0000-0000-0000D2200000}"/>
    <cellStyle name="Percent 3 9 12 6 4" xfId="8977" xr:uid="{00000000-0005-0000-0000-0000D3200000}"/>
    <cellStyle name="Percent 3 9 12 7" xfId="8978" xr:uid="{00000000-0005-0000-0000-0000D4200000}"/>
    <cellStyle name="Percent 3 9 12 7 2" xfId="8979" xr:uid="{00000000-0005-0000-0000-0000D5200000}"/>
    <cellStyle name="Percent 3 9 12 8" xfId="8980" xr:uid="{00000000-0005-0000-0000-0000D6200000}"/>
    <cellStyle name="Percent 3 9 12 8 2" xfId="8981" xr:uid="{00000000-0005-0000-0000-0000D7200000}"/>
    <cellStyle name="Percent 3 9 12 9" xfId="8982" xr:uid="{00000000-0005-0000-0000-0000D8200000}"/>
    <cellStyle name="Percent 3 9 12 9 2" xfId="8983" xr:uid="{00000000-0005-0000-0000-0000D9200000}"/>
    <cellStyle name="Percent 3 9 13" xfId="2957" xr:uid="{00000000-0005-0000-0000-0000DA200000}"/>
    <cellStyle name="Percent 3 9 13 10" xfId="8985" xr:uid="{00000000-0005-0000-0000-0000DB200000}"/>
    <cellStyle name="Percent 3 9 13 11" xfId="8986" xr:uid="{00000000-0005-0000-0000-0000DC200000}"/>
    <cellStyle name="Percent 3 9 13 12" xfId="8984" xr:uid="{00000000-0005-0000-0000-0000DD200000}"/>
    <cellStyle name="Percent 3 9 13 2" xfId="8987" xr:uid="{00000000-0005-0000-0000-0000DE200000}"/>
    <cellStyle name="Percent 3 9 13 2 2" xfId="8988" xr:uid="{00000000-0005-0000-0000-0000DF200000}"/>
    <cellStyle name="Percent 3 9 13 2 2 2" xfId="8989" xr:uid="{00000000-0005-0000-0000-0000E0200000}"/>
    <cellStyle name="Percent 3 9 13 2 3" xfId="8990" xr:uid="{00000000-0005-0000-0000-0000E1200000}"/>
    <cellStyle name="Percent 3 9 13 2 3 2" xfId="8991" xr:uid="{00000000-0005-0000-0000-0000E2200000}"/>
    <cellStyle name="Percent 3 9 13 2 4" xfId="8992" xr:uid="{00000000-0005-0000-0000-0000E3200000}"/>
    <cellStyle name="Percent 3 9 13 2 5" xfId="8993" xr:uid="{00000000-0005-0000-0000-0000E4200000}"/>
    <cellStyle name="Percent 3 9 13 3" xfId="8994" xr:uid="{00000000-0005-0000-0000-0000E5200000}"/>
    <cellStyle name="Percent 3 9 13 3 2" xfId="8995" xr:uid="{00000000-0005-0000-0000-0000E6200000}"/>
    <cellStyle name="Percent 3 9 13 3 2 2" xfId="8996" xr:uid="{00000000-0005-0000-0000-0000E7200000}"/>
    <cellStyle name="Percent 3 9 13 3 3" xfId="8997" xr:uid="{00000000-0005-0000-0000-0000E8200000}"/>
    <cellStyle name="Percent 3 9 13 3 3 2" xfId="8998" xr:uid="{00000000-0005-0000-0000-0000E9200000}"/>
    <cellStyle name="Percent 3 9 13 3 4" xfId="8999" xr:uid="{00000000-0005-0000-0000-0000EA200000}"/>
    <cellStyle name="Percent 3 9 13 4" xfId="9000" xr:uid="{00000000-0005-0000-0000-0000EB200000}"/>
    <cellStyle name="Percent 3 9 13 4 2" xfId="9001" xr:uid="{00000000-0005-0000-0000-0000EC200000}"/>
    <cellStyle name="Percent 3 9 13 4 2 2" xfId="9002" xr:uid="{00000000-0005-0000-0000-0000ED200000}"/>
    <cellStyle name="Percent 3 9 13 4 3" xfId="9003" xr:uid="{00000000-0005-0000-0000-0000EE200000}"/>
    <cellStyle name="Percent 3 9 13 4 3 2" xfId="9004" xr:uid="{00000000-0005-0000-0000-0000EF200000}"/>
    <cellStyle name="Percent 3 9 13 4 4" xfId="9005" xr:uid="{00000000-0005-0000-0000-0000F0200000}"/>
    <cellStyle name="Percent 3 9 13 5" xfId="9006" xr:uid="{00000000-0005-0000-0000-0000F1200000}"/>
    <cellStyle name="Percent 3 9 13 5 2" xfId="9007" xr:uid="{00000000-0005-0000-0000-0000F2200000}"/>
    <cellStyle name="Percent 3 9 13 5 2 2" xfId="9008" xr:uid="{00000000-0005-0000-0000-0000F3200000}"/>
    <cellStyle name="Percent 3 9 13 5 3" xfId="9009" xr:uid="{00000000-0005-0000-0000-0000F4200000}"/>
    <cellStyle name="Percent 3 9 13 5 3 2" xfId="9010" xr:uid="{00000000-0005-0000-0000-0000F5200000}"/>
    <cellStyle name="Percent 3 9 13 5 4" xfId="9011" xr:uid="{00000000-0005-0000-0000-0000F6200000}"/>
    <cellStyle name="Percent 3 9 13 5 4 2" xfId="9012" xr:uid="{00000000-0005-0000-0000-0000F7200000}"/>
    <cellStyle name="Percent 3 9 13 5 5" xfId="9013" xr:uid="{00000000-0005-0000-0000-0000F8200000}"/>
    <cellStyle name="Percent 3 9 13 6" xfId="9014" xr:uid="{00000000-0005-0000-0000-0000F9200000}"/>
    <cellStyle name="Percent 3 9 13 6 2" xfId="9015" xr:uid="{00000000-0005-0000-0000-0000FA200000}"/>
    <cellStyle name="Percent 3 9 13 6 2 2" xfId="9016" xr:uid="{00000000-0005-0000-0000-0000FB200000}"/>
    <cellStyle name="Percent 3 9 13 6 3" xfId="9017" xr:uid="{00000000-0005-0000-0000-0000FC200000}"/>
    <cellStyle name="Percent 3 9 13 6 3 2" xfId="9018" xr:uid="{00000000-0005-0000-0000-0000FD200000}"/>
    <cellStyle name="Percent 3 9 13 6 4" xfId="9019" xr:uid="{00000000-0005-0000-0000-0000FE200000}"/>
    <cellStyle name="Percent 3 9 13 7" xfId="9020" xr:uid="{00000000-0005-0000-0000-0000FF200000}"/>
    <cellStyle name="Percent 3 9 13 7 2" xfId="9021" xr:uid="{00000000-0005-0000-0000-000000210000}"/>
    <cellStyle name="Percent 3 9 13 8" xfId="9022" xr:uid="{00000000-0005-0000-0000-000001210000}"/>
    <cellStyle name="Percent 3 9 13 8 2" xfId="9023" xr:uid="{00000000-0005-0000-0000-000002210000}"/>
    <cellStyle name="Percent 3 9 13 9" xfId="9024" xr:uid="{00000000-0005-0000-0000-000003210000}"/>
    <cellStyle name="Percent 3 9 13 9 2" xfId="9025" xr:uid="{00000000-0005-0000-0000-000004210000}"/>
    <cellStyle name="Percent 3 9 14" xfId="2958" xr:uid="{00000000-0005-0000-0000-000005210000}"/>
    <cellStyle name="Percent 3 9 14 10" xfId="9027" xr:uid="{00000000-0005-0000-0000-000006210000}"/>
    <cellStyle name="Percent 3 9 14 11" xfId="9028" xr:uid="{00000000-0005-0000-0000-000007210000}"/>
    <cellStyle name="Percent 3 9 14 12" xfId="9026" xr:uid="{00000000-0005-0000-0000-000008210000}"/>
    <cellStyle name="Percent 3 9 14 2" xfId="9029" xr:uid="{00000000-0005-0000-0000-000009210000}"/>
    <cellStyle name="Percent 3 9 14 2 2" xfId="9030" xr:uid="{00000000-0005-0000-0000-00000A210000}"/>
    <cellStyle name="Percent 3 9 14 2 2 2" xfId="9031" xr:uid="{00000000-0005-0000-0000-00000B210000}"/>
    <cellStyle name="Percent 3 9 14 2 3" xfId="9032" xr:uid="{00000000-0005-0000-0000-00000C210000}"/>
    <cellStyle name="Percent 3 9 14 2 3 2" xfId="9033" xr:uid="{00000000-0005-0000-0000-00000D210000}"/>
    <cellStyle name="Percent 3 9 14 2 4" xfId="9034" xr:uid="{00000000-0005-0000-0000-00000E210000}"/>
    <cellStyle name="Percent 3 9 14 2 5" xfId="9035" xr:uid="{00000000-0005-0000-0000-00000F210000}"/>
    <cellStyle name="Percent 3 9 14 3" xfId="9036" xr:uid="{00000000-0005-0000-0000-000010210000}"/>
    <cellStyle name="Percent 3 9 14 3 2" xfId="9037" xr:uid="{00000000-0005-0000-0000-000011210000}"/>
    <cellStyle name="Percent 3 9 14 3 2 2" xfId="9038" xr:uid="{00000000-0005-0000-0000-000012210000}"/>
    <cellStyle name="Percent 3 9 14 3 3" xfId="9039" xr:uid="{00000000-0005-0000-0000-000013210000}"/>
    <cellStyle name="Percent 3 9 14 3 3 2" xfId="9040" xr:uid="{00000000-0005-0000-0000-000014210000}"/>
    <cellStyle name="Percent 3 9 14 3 4" xfId="9041" xr:uid="{00000000-0005-0000-0000-000015210000}"/>
    <cellStyle name="Percent 3 9 14 4" xfId="9042" xr:uid="{00000000-0005-0000-0000-000016210000}"/>
    <cellStyle name="Percent 3 9 14 4 2" xfId="9043" xr:uid="{00000000-0005-0000-0000-000017210000}"/>
    <cellStyle name="Percent 3 9 14 4 2 2" xfId="9044" xr:uid="{00000000-0005-0000-0000-000018210000}"/>
    <cellStyle name="Percent 3 9 14 4 3" xfId="9045" xr:uid="{00000000-0005-0000-0000-000019210000}"/>
    <cellStyle name="Percent 3 9 14 4 3 2" xfId="9046" xr:uid="{00000000-0005-0000-0000-00001A210000}"/>
    <cellStyle name="Percent 3 9 14 4 4" xfId="9047" xr:uid="{00000000-0005-0000-0000-00001B210000}"/>
    <cellStyle name="Percent 3 9 14 5" xfId="9048" xr:uid="{00000000-0005-0000-0000-00001C210000}"/>
    <cellStyle name="Percent 3 9 14 5 2" xfId="9049" xr:uid="{00000000-0005-0000-0000-00001D210000}"/>
    <cellStyle name="Percent 3 9 14 5 2 2" xfId="9050" xr:uid="{00000000-0005-0000-0000-00001E210000}"/>
    <cellStyle name="Percent 3 9 14 5 3" xfId="9051" xr:uid="{00000000-0005-0000-0000-00001F210000}"/>
    <cellStyle name="Percent 3 9 14 5 3 2" xfId="9052" xr:uid="{00000000-0005-0000-0000-000020210000}"/>
    <cellStyle name="Percent 3 9 14 5 4" xfId="9053" xr:uid="{00000000-0005-0000-0000-000021210000}"/>
    <cellStyle name="Percent 3 9 14 5 4 2" xfId="9054" xr:uid="{00000000-0005-0000-0000-000022210000}"/>
    <cellStyle name="Percent 3 9 14 5 5" xfId="9055" xr:uid="{00000000-0005-0000-0000-000023210000}"/>
    <cellStyle name="Percent 3 9 14 6" xfId="9056" xr:uid="{00000000-0005-0000-0000-000024210000}"/>
    <cellStyle name="Percent 3 9 14 6 2" xfId="9057" xr:uid="{00000000-0005-0000-0000-000025210000}"/>
    <cellStyle name="Percent 3 9 14 6 2 2" xfId="9058" xr:uid="{00000000-0005-0000-0000-000026210000}"/>
    <cellStyle name="Percent 3 9 14 6 3" xfId="9059" xr:uid="{00000000-0005-0000-0000-000027210000}"/>
    <cellStyle name="Percent 3 9 14 6 3 2" xfId="9060" xr:uid="{00000000-0005-0000-0000-000028210000}"/>
    <cellStyle name="Percent 3 9 14 6 4" xfId="9061" xr:uid="{00000000-0005-0000-0000-000029210000}"/>
    <cellStyle name="Percent 3 9 14 7" xfId="9062" xr:uid="{00000000-0005-0000-0000-00002A210000}"/>
    <cellStyle name="Percent 3 9 14 7 2" xfId="9063" xr:uid="{00000000-0005-0000-0000-00002B210000}"/>
    <cellStyle name="Percent 3 9 14 8" xfId="9064" xr:uid="{00000000-0005-0000-0000-00002C210000}"/>
    <cellStyle name="Percent 3 9 14 8 2" xfId="9065" xr:uid="{00000000-0005-0000-0000-00002D210000}"/>
    <cellStyle name="Percent 3 9 14 9" xfId="9066" xr:uid="{00000000-0005-0000-0000-00002E210000}"/>
    <cellStyle name="Percent 3 9 14 9 2" xfId="9067" xr:uid="{00000000-0005-0000-0000-00002F210000}"/>
    <cellStyle name="Percent 3 9 15" xfId="2959" xr:uid="{00000000-0005-0000-0000-000030210000}"/>
    <cellStyle name="Percent 3 9 15 10" xfId="9069" xr:uid="{00000000-0005-0000-0000-000031210000}"/>
    <cellStyle name="Percent 3 9 15 11" xfId="9070" xr:uid="{00000000-0005-0000-0000-000032210000}"/>
    <cellStyle name="Percent 3 9 15 12" xfId="9068" xr:uid="{00000000-0005-0000-0000-000033210000}"/>
    <cellStyle name="Percent 3 9 15 2" xfId="9071" xr:uid="{00000000-0005-0000-0000-000034210000}"/>
    <cellStyle name="Percent 3 9 15 2 2" xfId="9072" xr:uid="{00000000-0005-0000-0000-000035210000}"/>
    <cellStyle name="Percent 3 9 15 2 2 2" xfId="9073" xr:uid="{00000000-0005-0000-0000-000036210000}"/>
    <cellStyle name="Percent 3 9 15 2 3" xfId="9074" xr:uid="{00000000-0005-0000-0000-000037210000}"/>
    <cellStyle name="Percent 3 9 15 2 3 2" xfId="9075" xr:uid="{00000000-0005-0000-0000-000038210000}"/>
    <cellStyle name="Percent 3 9 15 2 4" xfId="9076" xr:uid="{00000000-0005-0000-0000-000039210000}"/>
    <cellStyle name="Percent 3 9 15 2 5" xfId="9077" xr:uid="{00000000-0005-0000-0000-00003A210000}"/>
    <cellStyle name="Percent 3 9 15 3" xfId="9078" xr:uid="{00000000-0005-0000-0000-00003B210000}"/>
    <cellStyle name="Percent 3 9 15 3 2" xfId="9079" xr:uid="{00000000-0005-0000-0000-00003C210000}"/>
    <cellStyle name="Percent 3 9 15 3 2 2" xfId="9080" xr:uid="{00000000-0005-0000-0000-00003D210000}"/>
    <cellStyle name="Percent 3 9 15 3 3" xfId="9081" xr:uid="{00000000-0005-0000-0000-00003E210000}"/>
    <cellStyle name="Percent 3 9 15 3 3 2" xfId="9082" xr:uid="{00000000-0005-0000-0000-00003F210000}"/>
    <cellStyle name="Percent 3 9 15 3 4" xfId="9083" xr:uid="{00000000-0005-0000-0000-000040210000}"/>
    <cellStyle name="Percent 3 9 15 4" xfId="9084" xr:uid="{00000000-0005-0000-0000-000041210000}"/>
    <cellStyle name="Percent 3 9 15 4 2" xfId="9085" xr:uid="{00000000-0005-0000-0000-000042210000}"/>
    <cellStyle name="Percent 3 9 15 4 2 2" xfId="9086" xr:uid="{00000000-0005-0000-0000-000043210000}"/>
    <cellStyle name="Percent 3 9 15 4 3" xfId="9087" xr:uid="{00000000-0005-0000-0000-000044210000}"/>
    <cellStyle name="Percent 3 9 15 4 3 2" xfId="9088" xr:uid="{00000000-0005-0000-0000-000045210000}"/>
    <cellStyle name="Percent 3 9 15 4 4" xfId="9089" xr:uid="{00000000-0005-0000-0000-000046210000}"/>
    <cellStyle name="Percent 3 9 15 5" xfId="9090" xr:uid="{00000000-0005-0000-0000-000047210000}"/>
    <cellStyle name="Percent 3 9 15 5 2" xfId="9091" xr:uid="{00000000-0005-0000-0000-000048210000}"/>
    <cellStyle name="Percent 3 9 15 5 2 2" xfId="9092" xr:uid="{00000000-0005-0000-0000-000049210000}"/>
    <cellStyle name="Percent 3 9 15 5 3" xfId="9093" xr:uid="{00000000-0005-0000-0000-00004A210000}"/>
    <cellStyle name="Percent 3 9 15 5 3 2" xfId="9094" xr:uid="{00000000-0005-0000-0000-00004B210000}"/>
    <cellStyle name="Percent 3 9 15 5 4" xfId="9095" xr:uid="{00000000-0005-0000-0000-00004C210000}"/>
    <cellStyle name="Percent 3 9 15 5 4 2" xfId="9096" xr:uid="{00000000-0005-0000-0000-00004D210000}"/>
    <cellStyle name="Percent 3 9 15 5 5" xfId="9097" xr:uid="{00000000-0005-0000-0000-00004E210000}"/>
    <cellStyle name="Percent 3 9 15 6" xfId="9098" xr:uid="{00000000-0005-0000-0000-00004F210000}"/>
    <cellStyle name="Percent 3 9 15 6 2" xfId="9099" xr:uid="{00000000-0005-0000-0000-000050210000}"/>
    <cellStyle name="Percent 3 9 15 6 2 2" xfId="9100" xr:uid="{00000000-0005-0000-0000-000051210000}"/>
    <cellStyle name="Percent 3 9 15 6 3" xfId="9101" xr:uid="{00000000-0005-0000-0000-000052210000}"/>
    <cellStyle name="Percent 3 9 15 6 3 2" xfId="9102" xr:uid="{00000000-0005-0000-0000-000053210000}"/>
    <cellStyle name="Percent 3 9 15 6 4" xfId="9103" xr:uid="{00000000-0005-0000-0000-000054210000}"/>
    <cellStyle name="Percent 3 9 15 7" xfId="9104" xr:uid="{00000000-0005-0000-0000-000055210000}"/>
    <cellStyle name="Percent 3 9 15 7 2" xfId="9105" xr:uid="{00000000-0005-0000-0000-000056210000}"/>
    <cellStyle name="Percent 3 9 15 8" xfId="9106" xr:uid="{00000000-0005-0000-0000-000057210000}"/>
    <cellStyle name="Percent 3 9 15 8 2" xfId="9107" xr:uid="{00000000-0005-0000-0000-000058210000}"/>
    <cellStyle name="Percent 3 9 15 9" xfId="9108" xr:uid="{00000000-0005-0000-0000-000059210000}"/>
    <cellStyle name="Percent 3 9 15 9 2" xfId="9109" xr:uid="{00000000-0005-0000-0000-00005A210000}"/>
    <cellStyle name="Percent 3 9 16" xfId="9110" xr:uid="{00000000-0005-0000-0000-00005B210000}"/>
    <cellStyle name="Percent 3 9 16 2" xfId="9111" xr:uid="{00000000-0005-0000-0000-00005C210000}"/>
    <cellStyle name="Percent 3 9 16 2 2" xfId="9112" xr:uid="{00000000-0005-0000-0000-00005D210000}"/>
    <cellStyle name="Percent 3 9 16 3" xfId="9113" xr:uid="{00000000-0005-0000-0000-00005E210000}"/>
    <cellStyle name="Percent 3 9 16 3 2" xfId="9114" xr:uid="{00000000-0005-0000-0000-00005F210000}"/>
    <cellStyle name="Percent 3 9 16 4" xfId="9115" xr:uid="{00000000-0005-0000-0000-000060210000}"/>
    <cellStyle name="Percent 3 9 16 5" xfId="9116" xr:uid="{00000000-0005-0000-0000-000061210000}"/>
    <cellStyle name="Percent 3 9 17" xfId="9117" xr:uid="{00000000-0005-0000-0000-000062210000}"/>
    <cellStyle name="Percent 3 9 17 2" xfId="9118" xr:uid="{00000000-0005-0000-0000-000063210000}"/>
    <cellStyle name="Percent 3 9 17 2 2" xfId="9119" xr:uid="{00000000-0005-0000-0000-000064210000}"/>
    <cellStyle name="Percent 3 9 17 3" xfId="9120" xr:uid="{00000000-0005-0000-0000-000065210000}"/>
    <cellStyle name="Percent 3 9 17 3 2" xfId="9121" xr:uid="{00000000-0005-0000-0000-000066210000}"/>
    <cellStyle name="Percent 3 9 17 4" xfId="9122" xr:uid="{00000000-0005-0000-0000-000067210000}"/>
    <cellStyle name="Percent 3 9 18" xfId="9123" xr:uid="{00000000-0005-0000-0000-000068210000}"/>
    <cellStyle name="Percent 3 9 18 2" xfId="9124" xr:uid="{00000000-0005-0000-0000-000069210000}"/>
    <cellStyle name="Percent 3 9 18 2 2" xfId="9125" xr:uid="{00000000-0005-0000-0000-00006A210000}"/>
    <cellStyle name="Percent 3 9 18 3" xfId="9126" xr:uid="{00000000-0005-0000-0000-00006B210000}"/>
    <cellStyle name="Percent 3 9 18 3 2" xfId="9127" xr:uid="{00000000-0005-0000-0000-00006C210000}"/>
    <cellStyle name="Percent 3 9 18 4" xfId="9128" xr:uid="{00000000-0005-0000-0000-00006D210000}"/>
    <cellStyle name="Percent 3 9 19" xfId="9129" xr:uid="{00000000-0005-0000-0000-00006E210000}"/>
    <cellStyle name="Percent 3 9 19 2" xfId="9130" xr:uid="{00000000-0005-0000-0000-00006F210000}"/>
    <cellStyle name="Percent 3 9 19 2 2" xfId="9131" xr:uid="{00000000-0005-0000-0000-000070210000}"/>
    <cellStyle name="Percent 3 9 19 3" xfId="9132" xr:uid="{00000000-0005-0000-0000-000071210000}"/>
    <cellStyle name="Percent 3 9 19 3 2" xfId="9133" xr:uid="{00000000-0005-0000-0000-000072210000}"/>
    <cellStyle name="Percent 3 9 19 4" xfId="9134" xr:uid="{00000000-0005-0000-0000-000073210000}"/>
    <cellStyle name="Percent 3 9 19 4 2" xfId="9135" xr:uid="{00000000-0005-0000-0000-000074210000}"/>
    <cellStyle name="Percent 3 9 19 5" xfId="9136" xr:uid="{00000000-0005-0000-0000-000075210000}"/>
    <cellStyle name="Percent 3 9 2" xfId="2960" xr:uid="{00000000-0005-0000-0000-000076210000}"/>
    <cellStyle name="Percent 3 9 2 10" xfId="9138" xr:uid="{00000000-0005-0000-0000-000077210000}"/>
    <cellStyle name="Percent 3 9 2 11" xfId="9139" xr:uid="{00000000-0005-0000-0000-000078210000}"/>
    <cellStyle name="Percent 3 9 2 12" xfId="9137" xr:uid="{00000000-0005-0000-0000-000079210000}"/>
    <cellStyle name="Percent 3 9 2 2" xfId="9140" xr:uid="{00000000-0005-0000-0000-00007A210000}"/>
    <cellStyle name="Percent 3 9 2 2 2" xfId="9141" xr:uid="{00000000-0005-0000-0000-00007B210000}"/>
    <cellStyle name="Percent 3 9 2 2 2 2" xfId="9142" xr:uid="{00000000-0005-0000-0000-00007C210000}"/>
    <cellStyle name="Percent 3 9 2 2 3" xfId="9143" xr:uid="{00000000-0005-0000-0000-00007D210000}"/>
    <cellStyle name="Percent 3 9 2 2 3 2" xfId="9144" xr:uid="{00000000-0005-0000-0000-00007E210000}"/>
    <cellStyle name="Percent 3 9 2 2 4" xfId="9145" xr:uid="{00000000-0005-0000-0000-00007F210000}"/>
    <cellStyle name="Percent 3 9 2 2 5" xfId="9146" xr:uid="{00000000-0005-0000-0000-000080210000}"/>
    <cellStyle name="Percent 3 9 2 3" xfId="9147" xr:uid="{00000000-0005-0000-0000-000081210000}"/>
    <cellStyle name="Percent 3 9 2 3 2" xfId="9148" xr:uid="{00000000-0005-0000-0000-000082210000}"/>
    <cellStyle name="Percent 3 9 2 3 2 2" xfId="9149" xr:uid="{00000000-0005-0000-0000-000083210000}"/>
    <cellStyle name="Percent 3 9 2 3 3" xfId="9150" xr:uid="{00000000-0005-0000-0000-000084210000}"/>
    <cellStyle name="Percent 3 9 2 3 3 2" xfId="9151" xr:uid="{00000000-0005-0000-0000-000085210000}"/>
    <cellStyle name="Percent 3 9 2 3 4" xfId="9152" xr:uid="{00000000-0005-0000-0000-000086210000}"/>
    <cellStyle name="Percent 3 9 2 4" xfId="9153" xr:uid="{00000000-0005-0000-0000-000087210000}"/>
    <cellStyle name="Percent 3 9 2 4 2" xfId="9154" xr:uid="{00000000-0005-0000-0000-000088210000}"/>
    <cellStyle name="Percent 3 9 2 4 2 2" xfId="9155" xr:uid="{00000000-0005-0000-0000-000089210000}"/>
    <cellStyle name="Percent 3 9 2 4 3" xfId="9156" xr:uid="{00000000-0005-0000-0000-00008A210000}"/>
    <cellStyle name="Percent 3 9 2 4 3 2" xfId="9157" xr:uid="{00000000-0005-0000-0000-00008B210000}"/>
    <cellStyle name="Percent 3 9 2 4 4" xfId="9158" xr:uid="{00000000-0005-0000-0000-00008C210000}"/>
    <cellStyle name="Percent 3 9 2 5" xfId="9159" xr:uid="{00000000-0005-0000-0000-00008D210000}"/>
    <cellStyle name="Percent 3 9 2 5 2" xfId="9160" xr:uid="{00000000-0005-0000-0000-00008E210000}"/>
    <cellStyle name="Percent 3 9 2 5 2 2" xfId="9161" xr:uid="{00000000-0005-0000-0000-00008F210000}"/>
    <cellStyle name="Percent 3 9 2 5 3" xfId="9162" xr:uid="{00000000-0005-0000-0000-000090210000}"/>
    <cellStyle name="Percent 3 9 2 5 3 2" xfId="9163" xr:uid="{00000000-0005-0000-0000-000091210000}"/>
    <cellStyle name="Percent 3 9 2 5 4" xfId="9164" xr:uid="{00000000-0005-0000-0000-000092210000}"/>
    <cellStyle name="Percent 3 9 2 5 4 2" xfId="9165" xr:uid="{00000000-0005-0000-0000-000093210000}"/>
    <cellStyle name="Percent 3 9 2 5 5" xfId="9166" xr:uid="{00000000-0005-0000-0000-000094210000}"/>
    <cellStyle name="Percent 3 9 2 6" xfId="9167" xr:uid="{00000000-0005-0000-0000-000095210000}"/>
    <cellStyle name="Percent 3 9 2 6 2" xfId="9168" xr:uid="{00000000-0005-0000-0000-000096210000}"/>
    <cellStyle name="Percent 3 9 2 6 2 2" xfId="9169" xr:uid="{00000000-0005-0000-0000-000097210000}"/>
    <cellStyle name="Percent 3 9 2 6 3" xfId="9170" xr:uid="{00000000-0005-0000-0000-000098210000}"/>
    <cellStyle name="Percent 3 9 2 6 3 2" xfId="9171" xr:uid="{00000000-0005-0000-0000-000099210000}"/>
    <cellStyle name="Percent 3 9 2 6 4" xfId="9172" xr:uid="{00000000-0005-0000-0000-00009A210000}"/>
    <cellStyle name="Percent 3 9 2 7" xfId="9173" xr:uid="{00000000-0005-0000-0000-00009B210000}"/>
    <cellStyle name="Percent 3 9 2 7 2" xfId="9174" xr:uid="{00000000-0005-0000-0000-00009C210000}"/>
    <cellStyle name="Percent 3 9 2 8" xfId="9175" xr:uid="{00000000-0005-0000-0000-00009D210000}"/>
    <cellStyle name="Percent 3 9 2 8 2" xfId="9176" xr:uid="{00000000-0005-0000-0000-00009E210000}"/>
    <cellStyle name="Percent 3 9 2 9" xfId="9177" xr:uid="{00000000-0005-0000-0000-00009F210000}"/>
    <cellStyle name="Percent 3 9 2 9 2" xfId="9178" xr:uid="{00000000-0005-0000-0000-0000A0210000}"/>
    <cellStyle name="Percent 3 9 20" xfId="9179" xr:uid="{00000000-0005-0000-0000-0000A1210000}"/>
    <cellStyle name="Percent 3 9 20 2" xfId="9180" xr:uid="{00000000-0005-0000-0000-0000A2210000}"/>
    <cellStyle name="Percent 3 9 20 2 2" xfId="9181" xr:uid="{00000000-0005-0000-0000-0000A3210000}"/>
    <cellStyle name="Percent 3 9 20 3" xfId="9182" xr:uid="{00000000-0005-0000-0000-0000A4210000}"/>
    <cellStyle name="Percent 3 9 20 3 2" xfId="9183" xr:uid="{00000000-0005-0000-0000-0000A5210000}"/>
    <cellStyle name="Percent 3 9 20 4" xfId="9184" xr:uid="{00000000-0005-0000-0000-0000A6210000}"/>
    <cellStyle name="Percent 3 9 21" xfId="9185" xr:uid="{00000000-0005-0000-0000-0000A7210000}"/>
    <cellStyle name="Percent 3 9 21 2" xfId="9186" xr:uid="{00000000-0005-0000-0000-0000A8210000}"/>
    <cellStyle name="Percent 3 9 22" xfId="9187" xr:uid="{00000000-0005-0000-0000-0000A9210000}"/>
    <cellStyle name="Percent 3 9 22 2" xfId="9188" xr:uid="{00000000-0005-0000-0000-0000AA210000}"/>
    <cellStyle name="Percent 3 9 23" xfId="9189" xr:uid="{00000000-0005-0000-0000-0000AB210000}"/>
    <cellStyle name="Percent 3 9 23 2" xfId="9190" xr:uid="{00000000-0005-0000-0000-0000AC210000}"/>
    <cellStyle name="Percent 3 9 24" xfId="9191" xr:uid="{00000000-0005-0000-0000-0000AD210000}"/>
    <cellStyle name="Percent 3 9 25" xfId="9192" xr:uid="{00000000-0005-0000-0000-0000AE210000}"/>
    <cellStyle name="Percent 3 9 26" xfId="8857" xr:uid="{00000000-0005-0000-0000-0000AF210000}"/>
    <cellStyle name="Percent 3 9 3" xfId="2961" xr:uid="{00000000-0005-0000-0000-0000B0210000}"/>
    <cellStyle name="Percent 3 9 3 10" xfId="9194" xr:uid="{00000000-0005-0000-0000-0000B1210000}"/>
    <cellStyle name="Percent 3 9 3 11" xfId="9195" xr:uid="{00000000-0005-0000-0000-0000B2210000}"/>
    <cellStyle name="Percent 3 9 3 12" xfId="9193" xr:uid="{00000000-0005-0000-0000-0000B3210000}"/>
    <cellStyle name="Percent 3 9 3 2" xfId="9196" xr:uid="{00000000-0005-0000-0000-0000B4210000}"/>
    <cellStyle name="Percent 3 9 3 2 2" xfId="9197" xr:uid="{00000000-0005-0000-0000-0000B5210000}"/>
    <cellStyle name="Percent 3 9 3 2 2 2" xfId="9198" xr:uid="{00000000-0005-0000-0000-0000B6210000}"/>
    <cellStyle name="Percent 3 9 3 2 3" xfId="9199" xr:uid="{00000000-0005-0000-0000-0000B7210000}"/>
    <cellStyle name="Percent 3 9 3 2 3 2" xfId="9200" xr:uid="{00000000-0005-0000-0000-0000B8210000}"/>
    <cellStyle name="Percent 3 9 3 2 4" xfId="9201" xr:uid="{00000000-0005-0000-0000-0000B9210000}"/>
    <cellStyle name="Percent 3 9 3 2 5" xfId="9202" xr:uid="{00000000-0005-0000-0000-0000BA210000}"/>
    <cellStyle name="Percent 3 9 3 3" xfId="9203" xr:uid="{00000000-0005-0000-0000-0000BB210000}"/>
    <cellStyle name="Percent 3 9 3 3 2" xfId="9204" xr:uid="{00000000-0005-0000-0000-0000BC210000}"/>
    <cellStyle name="Percent 3 9 3 3 2 2" xfId="9205" xr:uid="{00000000-0005-0000-0000-0000BD210000}"/>
    <cellStyle name="Percent 3 9 3 3 3" xfId="9206" xr:uid="{00000000-0005-0000-0000-0000BE210000}"/>
    <cellStyle name="Percent 3 9 3 3 3 2" xfId="9207" xr:uid="{00000000-0005-0000-0000-0000BF210000}"/>
    <cellStyle name="Percent 3 9 3 3 4" xfId="9208" xr:uid="{00000000-0005-0000-0000-0000C0210000}"/>
    <cellStyle name="Percent 3 9 3 4" xfId="9209" xr:uid="{00000000-0005-0000-0000-0000C1210000}"/>
    <cellStyle name="Percent 3 9 3 4 2" xfId="9210" xr:uid="{00000000-0005-0000-0000-0000C2210000}"/>
    <cellStyle name="Percent 3 9 3 4 2 2" xfId="9211" xr:uid="{00000000-0005-0000-0000-0000C3210000}"/>
    <cellStyle name="Percent 3 9 3 4 3" xfId="9212" xr:uid="{00000000-0005-0000-0000-0000C4210000}"/>
    <cellStyle name="Percent 3 9 3 4 3 2" xfId="9213" xr:uid="{00000000-0005-0000-0000-0000C5210000}"/>
    <cellStyle name="Percent 3 9 3 4 4" xfId="9214" xr:uid="{00000000-0005-0000-0000-0000C6210000}"/>
    <cellStyle name="Percent 3 9 3 5" xfId="9215" xr:uid="{00000000-0005-0000-0000-0000C7210000}"/>
    <cellStyle name="Percent 3 9 3 5 2" xfId="9216" xr:uid="{00000000-0005-0000-0000-0000C8210000}"/>
    <cellStyle name="Percent 3 9 3 5 2 2" xfId="9217" xr:uid="{00000000-0005-0000-0000-0000C9210000}"/>
    <cellStyle name="Percent 3 9 3 5 3" xfId="9218" xr:uid="{00000000-0005-0000-0000-0000CA210000}"/>
    <cellStyle name="Percent 3 9 3 5 3 2" xfId="9219" xr:uid="{00000000-0005-0000-0000-0000CB210000}"/>
    <cellStyle name="Percent 3 9 3 5 4" xfId="9220" xr:uid="{00000000-0005-0000-0000-0000CC210000}"/>
    <cellStyle name="Percent 3 9 3 5 4 2" xfId="9221" xr:uid="{00000000-0005-0000-0000-0000CD210000}"/>
    <cellStyle name="Percent 3 9 3 5 5" xfId="9222" xr:uid="{00000000-0005-0000-0000-0000CE210000}"/>
    <cellStyle name="Percent 3 9 3 6" xfId="9223" xr:uid="{00000000-0005-0000-0000-0000CF210000}"/>
    <cellStyle name="Percent 3 9 3 6 2" xfId="9224" xr:uid="{00000000-0005-0000-0000-0000D0210000}"/>
    <cellStyle name="Percent 3 9 3 6 2 2" xfId="9225" xr:uid="{00000000-0005-0000-0000-0000D1210000}"/>
    <cellStyle name="Percent 3 9 3 6 3" xfId="9226" xr:uid="{00000000-0005-0000-0000-0000D2210000}"/>
    <cellStyle name="Percent 3 9 3 6 3 2" xfId="9227" xr:uid="{00000000-0005-0000-0000-0000D3210000}"/>
    <cellStyle name="Percent 3 9 3 6 4" xfId="9228" xr:uid="{00000000-0005-0000-0000-0000D4210000}"/>
    <cellStyle name="Percent 3 9 3 7" xfId="9229" xr:uid="{00000000-0005-0000-0000-0000D5210000}"/>
    <cellStyle name="Percent 3 9 3 7 2" xfId="9230" xr:uid="{00000000-0005-0000-0000-0000D6210000}"/>
    <cellStyle name="Percent 3 9 3 8" xfId="9231" xr:uid="{00000000-0005-0000-0000-0000D7210000}"/>
    <cellStyle name="Percent 3 9 3 8 2" xfId="9232" xr:uid="{00000000-0005-0000-0000-0000D8210000}"/>
    <cellStyle name="Percent 3 9 3 9" xfId="9233" xr:uid="{00000000-0005-0000-0000-0000D9210000}"/>
    <cellStyle name="Percent 3 9 3 9 2" xfId="9234" xr:uid="{00000000-0005-0000-0000-0000DA210000}"/>
    <cellStyle name="Percent 3 9 4" xfId="2962" xr:uid="{00000000-0005-0000-0000-0000DB210000}"/>
    <cellStyle name="Percent 3 9 4 10" xfId="9236" xr:uid="{00000000-0005-0000-0000-0000DC210000}"/>
    <cellStyle name="Percent 3 9 4 11" xfId="9237" xr:uid="{00000000-0005-0000-0000-0000DD210000}"/>
    <cellStyle name="Percent 3 9 4 12" xfId="9235" xr:uid="{00000000-0005-0000-0000-0000DE210000}"/>
    <cellStyle name="Percent 3 9 4 2" xfId="9238" xr:uid="{00000000-0005-0000-0000-0000DF210000}"/>
    <cellStyle name="Percent 3 9 4 2 2" xfId="9239" xr:uid="{00000000-0005-0000-0000-0000E0210000}"/>
    <cellStyle name="Percent 3 9 4 2 2 2" xfId="9240" xr:uid="{00000000-0005-0000-0000-0000E1210000}"/>
    <cellStyle name="Percent 3 9 4 2 3" xfId="9241" xr:uid="{00000000-0005-0000-0000-0000E2210000}"/>
    <cellStyle name="Percent 3 9 4 2 3 2" xfId="9242" xr:uid="{00000000-0005-0000-0000-0000E3210000}"/>
    <cellStyle name="Percent 3 9 4 2 4" xfId="9243" xr:uid="{00000000-0005-0000-0000-0000E4210000}"/>
    <cellStyle name="Percent 3 9 4 2 5" xfId="9244" xr:uid="{00000000-0005-0000-0000-0000E5210000}"/>
    <cellStyle name="Percent 3 9 4 3" xfId="9245" xr:uid="{00000000-0005-0000-0000-0000E6210000}"/>
    <cellStyle name="Percent 3 9 4 3 2" xfId="9246" xr:uid="{00000000-0005-0000-0000-0000E7210000}"/>
    <cellStyle name="Percent 3 9 4 3 2 2" xfId="9247" xr:uid="{00000000-0005-0000-0000-0000E8210000}"/>
    <cellStyle name="Percent 3 9 4 3 3" xfId="9248" xr:uid="{00000000-0005-0000-0000-0000E9210000}"/>
    <cellStyle name="Percent 3 9 4 3 3 2" xfId="9249" xr:uid="{00000000-0005-0000-0000-0000EA210000}"/>
    <cellStyle name="Percent 3 9 4 3 4" xfId="9250" xr:uid="{00000000-0005-0000-0000-0000EB210000}"/>
    <cellStyle name="Percent 3 9 4 4" xfId="9251" xr:uid="{00000000-0005-0000-0000-0000EC210000}"/>
    <cellStyle name="Percent 3 9 4 4 2" xfId="9252" xr:uid="{00000000-0005-0000-0000-0000ED210000}"/>
    <cellStyle name="Percent 3 9 4 4 2 2" xfId="9253" xr:uid="{00000000-0005-0000-0000-0000EE210000}"/>
    <cellStyle name="Percent 3 9 4 4 3" xfId="9254" xr:uid="{00000000-0005-0000-0000-0000EF210000}"/>
    <cellStyle name="Percent 3 9 4 4 3 2" xfId="9255" xr:uid="{00000000-0005-0000-0000-0000F0210000}"/>
    <cellStyle name="Percent 3 9 4 4 4" xfId="9256" xr:uid="{00000000-0005-0000-0000-0000F1210000}"/>
    <cellStyle name="Percent 3 9 4 5" xfId="9257" xr:uid="{00000000-0005-0000-0000-0000F2210000}"/>
    <cellStyle name="Percent 3 9 4 5 2" xfId="9258" xr:uid="{00000000-0005-0000-0000-0000F3210000}"/>
    <cellStyle name="Percent 3 9 4 5 2 2" xfId="9259" xr:uid="{00000000-0005-0000-0000-0000F4210000}"/>
    <cellStyle name="Percent 3 9 4 5 3" xfId="9260" xr:uid="{00000000-0005-0000-0000-0000F5210000}"/>
    <cellStyle name="Percent 3 9 4 5 3 2" xfId="9261" xr:uid="{00000000-0005-0000-0000-0000F6210000}"/>
    <cellStyle name="Percent 3 9 4 5 4" xfId="9262" xr:uid="{00000000-0005-0000-0000-0000F7210000}"/>
    <cellStyle name="Percent 3 9 4 5 4 2" xfId="9263" xr:uid="{00000000-0005-0000-0000-0000F8210000}"/>
    <cellStyle name="Percent 3 9 4 5 5" xfId="9264" xr:uid="{00000000-0005-0000-0000-0000F9210000}"/>
    <cellStyle name="Percent 3 9 4 6" xfId="9265" xr:uid="{00000000-0005-0000-0000-0000FA210000}"/>
    <cellStyle name="Percent 3 9 4 6 2" xfId="9266" xr:uid="{00000000-0005-0000-0000-0000FB210000}"/>
    <cellStyle name="Percent 3 9 4 6 2 2" xfId="9267" xr:uid="{00000000-0005-0000-0000-0000FC210000}"/>
    <cellStyle name="Percent 3 9 4 6 3" xfId="9268" xr:uid="{00000000-0005-0000-0000-0000FD210000}"/>
    <cellStyle name="Percent 3 9 4 6 3 2" xfId="9269" xr:uid="{00000000-0005-0000-0000-0000FE210000}"/>
    <cellStyle name="Percent 3 9 4 6 4" xfId="9270" xr:uid="{00000000-0005-0000-0000-0000FF210000}"/>
    <cellStyle name="Percent 3 9 4 7" xfId="9271" xr:uid="{00000000-0005-0000-0000-000000220000}"/>
    <cellStyle name="Percent 3 9 4 7 2" xfId="9272" xr:uid="{00000000-0005-0000-0000-000001220000}"/>
    <cellStyle name="Percent 3 9 4 8" xfId="9273" xr:uid="{00000000-0005-0000-0000-000002220000}"/>
    <cellStyle name="Percent 3 9 4 8 2" xfId="9274" xr:uid="{00000000-0005-0000-0000-000003220000}"/>
    <cellStyle name="Percent 3 9 4 9" xfId="9275" xr:uid="{00000000-0005-0000-0000-000004220000}"/>
    <cellStyle name="Percent 3 9 4 9 2" xfId="9276" xr:uid="{00000000-0005-0000-0000-000005220000}"/>
    <cellStyle name="Percent 3 9 5" xfId="2963" xr:uid="{00000000-0005-0000-0000-000006220000}"/>
    <cellStyle name="Percent 3 9 5 10" xfId="9278" xr:uid="{00000000-0005-0000-0000-000007220000}"/>
    <cellStyle name="Percent 3 9 5 11" xfId="9279" xr:uid="{00000000-0005-0000-0000-000008220000}"/>
    <cellStyle name="Percent 3 9 5 12" xfId="9277" xr:uid="{00000000-0005-0000-0000-000009220000}"/>
    <cellStyle name="Percent 3 9 5 2" xfId="9280" xr:uid="{00000000-0005-0000-0000-00000A220000}"/>
    <cellStyle name="Percent 3 9 5 2 2" xfId="9281" xr:uid="{00000000-0005-0000-0000-00000B220000}"/>
    <cellStyle name="Percent 3 9 5 2 2 2" xfId="9282" xr:uid="{00000000-0005-0000-0000-00000C220000}"/>
    <cellStyle name="Percent 3 9 5 2 3" xfId="9283" xr:uid="{00000000-0005-0000-0000-00000D220000}"/>
    <cellStyle name="Percent 3 9 5 2 3 2" xfId="9284" xr:uid="{00000000-0005-0000-0000-00000E220000}"/>
    <cellStyle name="Percent 3 9 5 2 4" xfId="9285" xr:uid="{00000000-0005-0000-0000-00000F220000}"/>
    <cellStyle name="Percent 3 9 5 2 5" xfId="9286" xr:uid="{00000000-0005-0000-0000-000010220000}"/>
    <cellStyle name="Percent 3 9 5 3" xfId="9287" xr:uid="{00000000-0005-0000-0000-000011220000}"/>
    <cellStyle name="Percent 3 9 5 3 2" xfId="9288" xr:uid="{00000000-0005-0000-0000-000012220000}"/>
    <cellStyle name="Percent 3 9 5 3 2 2" xfId="9289" xr:uid="{00000000-0005-0000-0000-000013220000}"/>
    <cellStyle name="Percent 3 9 5 3 3" xfId="9290" xr:uid="{00000000-0005-0000-0000-000014220000}"/>
    <cellStyle name="Percent 3 9 5 3 3 2" xfId="9291" xr:uid="{00000000-0005-0000-0000-000015220000}"/>
    <cellStyle name="Percent 3 9 5 3 4" xfId="9292" xr:uid="{00000000-0005-0000-0000-000016220000}"/>
    <cellStyle name="Percent 3 9 5 4" xfId="9293" xr:uid="{00000000-0005-0000-0000-000017220000}"/>
    <cellStyle name="Percent 3 9 5 4 2" xfId="9294" xr:uid="{00000000-0005-0000-0000-000018220000}"/>
    <cellStyle name="Percent 3 9 5 4 2 2" xfId="9295" xr:uid="{00000000-0005-0000-0000-000019220000}"/>
    <cellStyle name="Percent 3 9 5 4 3" xfId="9296" xr:uid="{00000000-0005-0000-0000-00001A220000}"/>
    <cellStyle name="Percent 3 9 5 4 3 2" xfId="9297" xr:uid="{00000000-0005-0000-0000-00001B220000}"/>
    <cellStyle name="Percent 3 9 5 4 4" xfId="9298" xr:uid="{00000000-0005-0000-0000-00001C220000}"/>
    <cellStyle name="Percent 3 9 5 5" xfId="9299" xr:uid="{00000000-0005-0000-0000-00001D220000}"/>
    <cellStyle name="Percent 3 9 5 5 2" xfId="9300" xr:uid="{00000000-0005-0000-0000-00001E220000}"/>
    <cellStyle name="Percent 3 9 5 5 2 2" xfId="9301" xr:uid="{00000000-0005-0000-0000-00001F220000}"/>
    <cellStyle name="Percent 3 9 5 5 3" xfId="9302" xr:uid="{00000000-0005-0000-0000-000020220000}"/>
    <cellStyle name="Percent 3 9 5 5 3 2" xfId="9303" xr:uid="{00000000-0005-0000-0000-000021220000}"/>
    <cellStyle name="Percent 3 9 5 5 4" xfId="9304" xr:uid="{00000000-0005-0000-0000-000022220000}"/>
    <cellStyle name="Percent 3 9 5 5 4 2" xfId="9305" xr:uid="{00000000-0005-0000-0000-000023220000}"/>
    <cellStyle name="Percent 3 9 5 5 5" xfId="9306" xr:uid="{00000000-0005-0000-0000-000024220000}"/>
    <cellStyle name="Percent 3 9 5 6" xfId="9307" xr:uid="{00000000-0005-0000-0000-000025220000}"/>
    <cellStyle name="Percent 3 9 5 6 2" xfId="9308" xr:uid="{00000000-0005-0000-0000-000026220000}"/>
    <cellStyle name="Percent 3 9 5 6 2 2" xfId="9309" xr:uid="{00000000-0005-0000-0000-000027220000}"/>
    <cellStyle name="Percent 3 9 5 6 3" xfId="9310" xr:uid="{00000000-0005-0000-0000-000028220000}"/>
    <cellStyle name="Percent 3 9 5 6 3 2" xfId="9311" xr:uid="{00000000-0005-0000-0000-000029220000}"/>
    <cellStyle name="Percent 3 9 5 6 4" xfId="9312" xr:uid="{00000000-0005-0000-0000-00002A220000}"/>
    <cellStyle name="Percent 3 9 5 7" xfId="9313" xr:uid="{00000000-0005-0000-0000-00002B220000}"/>
    <cellStyle name="Percent 3 9 5 7 2" xfId="9314" xr:uid="{00000000-0005-0000-0000-00002C220000}"/>
    <cellStyle name="Percent 3 9 5 8" xfId="9315" xr:uid="{00000000-0005-0000-0000-00002D220000}"/>
    <cellStyle name="Percent 3 9 5 8 2" xfId="9316" xr:uid="{00000000-0005-0000-0000-00002E220000}"/>
    <cellStyle name="Percent 3 9 5 9" xfId="9317" xr:uid="{00000000-0005-0000-0000-00002F220000}"/>
    <cellStyle name="Percent 3 9 5 9 2" xfId="9318" xr:uid="{00000000-0005-0000-0000-000030220000}"/>
    <cellStyle name="Percent 3 9 6" xfId="2964" xr:uid="{00000000-0005-0000-0000-000031220000}"/>
    <cellStyle name="Percent 3 9 6 10" xfId="9320" xr:uid="{00000000-0005-0000-0000-000032220000}"/>
    <cellStyle name="Percent 3 9 6 11" xfId="9321" xr:uid="{00000000-0005-0000-0000-000033220000}"/>
    <cellStyle name="Percent 3 9 6 12" xfId="9319" xr:uid="{00000000-0005-0000-0000-000034220000}"/>
    <cellStyle name="Percent 3 9 6 2" xfId="9322" xr:uid="{00000000-0005-0000-0000-000035220000}"/>
    <cellStyle name="Percent 3 9 6 2 2" xfId="9323" xr:uid="{00000000-0005-0000-0000-000036220000}"/>
    <cellStyle name="Percent 3 9 6 2 2 2" xfId="9324" xr:uid="{00000000-0005-0000-0000-000037220000}"/>
    <cellStyle name="Percent 3 9 6 2 3" xfId="9325" xr:uid="{00000000-0005-0000-0000-000038220000}"/>
    <cellStyle name="Percent 3 9 6 2 3 2" xfId="9326" xr:uid="{00000000-0005-0000-0000-000039220000}"/>
    <cellStyle name="Percent 3 9 6 2 4" xfId="9327" xr:uid="{00000000-0005-0000-0000-00003A220000}"/>
    <cellStyle name="Percent 3 9 6 2 5" xfId="9328" xr:uid="{00000000-0005-0000-0000-00003B220000}"/>
    <cellStyle name="Percent 3 9 6 3" xfId="9329" xr:uid="{00000000-0005-0000-0000-00003C220000}"/>
    <cellStyle name="Percent 3 9 6 3 2" xfId="9330" xr:uid="{00000000-0005-0000-0000-00003D220000}"/>
    <cellStyle name="Percent 3 9 6 3 2 2" xfId="9331" xr:uid="{00000000-0005-0000-0000-00003E220000}"/>
    <cellStyle name="Percent 3 9 6 3 3" xfId="9332" xr:uid="{00000000-0005-0000-0000-00003F220000}"/>
    <cellStyle name="Percent 3 9 6 3 3 2" xfId="9333" xr:uid="{00000000-0005-0000-0000-000040220000}"/>
    <cellStyle name="Percent 3 9 6 3 4" xfId="9334" xr:uid="{00000000-0005-0000-0000-000041220000}"/>
    <cellStyle name="Percent 3 9 6 4" xfId="9335" xr:uid="{00000000-0005-0000-0000-000042220000}"/>
    <cellStyle name="Percent 3 9 6 4 2" xfId="9336" xr:uid="{00000000-0005-0000-0000-000043220000}"/>
    <cellStyle name="Percent 3 9 6 4 2 2" xfId="9337" xr:uid="{00000000-0005-0000-0000-000044220000}"/>
    <cellStyle name="Percent 3 9 6 4 3" xfId="9338" xr:uid="{00000000-0005-0000-0000-000045220000}"/>
    <cellStyle name="Percent 3 9 6 4 3 2" xfId="9339" xr:uid="{00000000-0005-0000-0000-000046220000}"/>
    <cellStyle name="Percent 3 9 6 4 4" xfId="9340" xr:uid="{00000000-0005-0000-0000-000047220000}"/>
    <cellStyle name="Percent 3 9 6 5" xfId="9341" xr:uid="{00000000-0005-0000-0000-000048220000}"/>
    <cellStyle name="Percent 3 9 6 5 2" xfId="9342" xr:uid="{00000000-0005-0000-0000-000049220000}"/>
    <cellStyle name="Percent 3 9 6 5 2 2" xfId="9343" xr:uid="{00000000-0005-0000-0000-00004A220000}"/>
    <cellStyle name="Percent 3 9 6 5 3" xfId="9344" xr:uid="{00000000-0005-0000-0000-00004B220000}"/>
    <cellStyle name="Percent 3 9 6 5 3 2" xfId="9345" xr:uid="{00000000-0005-0000-0000-00004C220000}"/>
    <cellStyle name="Percent 3 9 6 5 4" xfId="9346" xr:uid="{00000000-0005-0000-0000-00004D220000}"/>
    <cellStyle name="Percent 3 9 6 5 4 2" xfId="9347" xr:uid="{00000000-0005-0000-0000-00004E220000}"/>
    <cellStyle name="Percent 3 9 6 5 5" xfId="9348" xr:uid="{00000000-0005-0000-0000-00004F220000}"/>
    <cellStyle name="Percent 3 9 6 6" xfId="9349" xr:uid="{00000000-0005-0000-0000-000050220000}"/>
    <cellStyle name="Percent 3 9 6 6 2" xfId="9350" xr:uid="{00000000-0005-0000-0000-000051220000}"/>
    <cellStyle name="Percent 3 9 6 6 2 2" xfId="9351" xr:uid="{00000000-0005-0000-0000-000052220000}"/>
    <cellStyle name="Percent 3 9 6 6 3" xfId="9352" xr:uid="{00000000-0005-0000-0000-000053220000}"/>
    <cellStyle name="Percent 3 9 6 6 3 2" xfId="9353" xr:uid="{00000000-0005-0000-0000-000054220000}"/>
    <cellStyle name="Percent 3 9 6 6 4" xfId="9354" xr:uid="{00000000-0005-0000-0000-000055220000}"/>
    <cellStyle name="Percent 3 9 6 7" xfId="9355" xr:uid="{00000000-0005-0000-0000-000056220000}"/>
    <cellStyle name="Percent 3 9 6 7 2" xfId="9356" xr:uid="{00000000-0005-0000-0000-000057220000}"/>
    <cellStyle name="Percent 3 9 6 8" xfId="9357" xr:uid="{00000000-0005-0000-0000-000058220000}"/>
    <cellStyle name="Percent 3 9 6 8 2" xfId="9358" xr:uid="{00000000-0005-0000-0000-000059220000}"/>
    <cellStyle name="Percent 3 9 6 9" xfId="9359" xr:uid="{00000000-0005-0000-0000-00005A220000}"/>
    <cellStyle name="Percent 3 9 6 9 2" xfId="9360" xr:uid="{00000000-0005-0000-0000-00005B220000}"/>
    <cellStyle name="Percent 3 9 7" xfId="2965" xr:uid="{00000000-0005-0000-0000-00005C220000}"/>
    <cellStyle name="Percent 3 9 7 10" xfId="9362" xr:uid="{00000000-0005-0000-0000-00005D220000}"/>
    <cellStyle name="Percent 3 9 7 11" xfId="9363" xr:uid="{00000000-0005-0000-0000-00005E220000}"/>
    <cellStyle name="Percent 3 9 7 12" xfId="9361" xr:uid="{00000000-0005-0000-0000-00005F220000}"/>
    <cellStyle name="Percent 3 9 7 2" xfId="9364" xr:uid="{00000000-0005-0000-0000-000060220000}"/>
    <cellStyle name="Percent 3 9 7 2 2" xfId="9365" xr:uid="{00000000-0005-0000-0000-000061220000}"/>
    <cellStyle name="Percent 3 9 7 2 2 2" xfId="9366" xr:uid="{00000000-0005-0000-0000-000062220000}"/>
    <cellStyle name="Percent 3 9 7 2 3" xfId="9367" xr:uid="{00000000-0005-0000-0000-000063220000}"/>
    <cellStyle name="Percent 3 9 7 2 3 2" xfId="9368" xr:uid="{00000000-0005-0000-0000-000064220000}"/>
    <cellStyle name="Percent 3 9 7 2 4" xfId="9369" xr:uid="{00000000-0005-0000-0000-000065220000}"/>
    <cellStyle name="Percent 3 9 7 2 5" xfId="9370" xr:uid="{00000000-0005-0000-0000-000066220000}"/>
    <cellStyle name="Percent 3 9 7 3" xfId="9371" xr:uid="{00000000-0005-0000-0000-000067220000}"/>
    <cellStyle name="Percent 3 9 7 3 2" xfId="9372" xr:uid="{00000000-0005-0000-0000-000068220000}"/>
    <cellStyle name="Percent 3 9 7 3 2 2" xfId="9373" xr:uid="{00000000-0005-0000-0000-000069220000}"/>
    <cellStyle name="Percent 3 9 7 3 3" xfId="9374" xr:uid="{00000000-0005-0000-0000-00006A220000}"/>
    <cellStyle name="Percent 3 9 7 3 3 2" xfId="9375" xr:uid="{00000000-0005-0000-0000-00006B220000}"/>
    <cellStyle name="Percent 3 9 7 3 4" xfId="9376" xr:uid="{00000000-0005-0000-0000-00006C220000}"/>
    <cellStyle name="Percent 3 9 7 4" xfId="9377" xr:uid="{00000000-0005-0000-0000-00006D220000}"/>
    <cellStyle name="Percent 3 9 7 4 2" xfId="9378" xr:uid="{00000000-0005-0000-0000-00006E220000}"/>
    <cellStyle name="Percent 3 9 7 4 2 2" xfId="9379" xr:uid="{00000000-0005-0000-0000-00006F220000}"/>
    <cellStyle name="Percent 3 9 7 4 3" xfId="9380" xr:uid="{00000000-0005-0000-0000-000070220000}"/>
    <cellStyle name="Percent 3 9 7 4 3 2" xfId="9381" xr:uid="{00000000-0005-0000-0000-000071220000}"/>
    <cellStyle name="Percent 3 9 7 4 4" xfId="9382" xr:uid="{00000000-0005-0000-0000-000072220000}"/>
    <cellStyle name="Percent 3 9 7 5" xfId="9383" xr:uid="{00000000-0005-0000-0000-000073220000}"/>
    <cellStyle name="Percent 3 9 7 5 2" xfId="9384" xr:uid="{00000000-0005-0000-0000-000074220000}"/>
    <cellStyle name="Percent 3 9 7 5 2 2" xfId="9385" xr:uid="{00000000-0005-0000-0000-000075220000}"/>
    <cellStyle name="Percent 3 9 7 5 3" xfId="9386" xr:uid="{00000000-0005-0000-0000-000076220000}"/>
    <cellStyle name="Percent 3 9 7 5 3 2" xfId="9387" xr:uid="{00000000-0005-0000-0000-000077220000}"/>
    <cellStyle name="Percent 3 9 7 5 4" xfId="9388" xr:uid="{00000000-0005-0000-0000-000078220000}"/>
    <cellStyle name="Percent 3 9 7 5 4 2" xfId="9389" xr:uid="{00000000-0005-0000-0000-000079220000}"/>
    <cellStyle name="Percent 3 9 7 5 5" xfId="9390" xr:uid="{00000000-0005-0000-0000-00007A220000}"/>
    <cellStyle name="Percent 3 9 7 6" xfId="9391" xr:uid="{00000000-0005-0000-0000-00007B220000}"/>
    <cellStyle name="Percent 3 9 7 6 2" xfId="9392" xr:uid="{00000000-0005-0000-0000-00007C220000}"/>
    <cellStyle name="Percent 3 9 7 6 2 2" xfId="9393" xr:uid="{00000000-0005-0000-0000-00007D220000}"/>
    <cellStyle name="Percent 3 9 7 6 3" xfId="9394" xr:uid="{00000000-0005-0000-0000-00007E220000}"/>
    <cellStyle name="Percent 3 9 7 6 3 2" xfId="9395" xr:uid="{00000000-0005-0000-0000-00007F220000}"/>
    <cellStyle name="Percent 3 9 7 6 4" xfId="9396" xr:uid="{00000000-0005-0000-0000-000080220000}"/>
    <cellStyle name="Percent 3 9 7 7" xfId="9397" xr:uid="{00000000-0005-0000-0000-000081220000}"/>
    <cellStyle name="Percent 3 9 7 7 2" xfId="9398" xr:uid="{00000000-0005-0000-0000-000082220000}"/>
    <cellStyle name="Percent 3 9 7 8" xfId="9399" xr:uid="{00000000-0005-0000-0000-000083220000}"/>
    <cellStyle name="Percent 3 9 7 8 2" xfId="9400" xr:uid="{00000000-0005-0000-0000-000084220000}"/>
    <cellStyle name="Percent 3 9 7 9" xfId="9401" xr:uid="{00000000-0005-0000-0000-000085220000}"/>
    <cellStyle name="Percent 3 9 7 9 2" xfId="9402" xr:uid="{00000000-0005-0000-0000-000086220000}"/>
    <cellStyle name="Percent 3 9 8" xfId="2966" xr:uid="{00000000-0005-0000-0000-000087220000}"/>
    <cellStyle name="Percent 3 9 8 10" xfId="9404" xr:uid="{00000000-0005-0000-0000-000088220000}"/>
    <cellStyle name="Percent 3 9 8 11" xfId="9405" xr:uid="{00000000-0005-0000-0000-000089220000}"/>
    <cellStyle name="Percent 3 9 8 12" xfId="9403" xr:uid="{00000000-0005-0000-0000-00008A220000}"/>
    <cellStyle name="Percent 3 9 8 2" xfId="9406" xr:uid="{00000000-0005-0000-0000-00008B220000}"/>
    <cellStyle name="Percent 3 9 8 2 2" xfId="9407" xr:uid="{00000000-0005-0000-0000-00008C220000}"/>
    <cellStyle name="Percent 3 9 8 2 2 2" xfId="9408" xr:uid="{00000000-0005-0000-0000-00008D220000}"/>
    <cellStyle name="Percent 3 9 8 2 3" xfId="9409" xr:uid="{00000000-0005-0000-0000-00008E220000}"/>
    <cellStyle name="Percent 3 9 8 2 3 2" xfId="9410" xr:uid="{00000000-0005-0000-0000-00008F220000}"/>
    <cellStyle name="Percent 3 9 8 2 4" xfId="9411" xr:uid="{00000000-0005-0000-0000-000090220000}"/>
    <cellStyle name="Percent 3 9 8 2 5" xfId="9412" xr:uid="{00000000-0005-0000-0000-000091220000}"/>
    <cellStyle name="Percent 3 9 8 3" xfId="9413" xr:uid="{00000000-0005-0000-0000-000092220000}"/>
    <cellStyle name="Percent 3 9 8 3 2" xfId="9414" xr:uid="{00000000-0005-0000-0000-000093220000}"/>
    <cellStyle name="Percent 3 9 8 3 2 2" xfId="9415" xr:uid="{00000000-0005-0000-0000-000094220000}"/>
    <cellStyle name="Percent 3 9 8 3 3" xfId="9416" xr:uid="{00000000-0005-0000-0000-000095220000}"/>
    <cellStyle name="Percent 3 9 8 3 3 2" xfId="9417" xr:uid="{00000000-0005-0000-0000-000096220000}"/>
    <cellStyle name="Percent 3 9 8 3 4" xfId="9418" xr:uid="{00000000-0005-0000-0000-000097220000}"/>
    <cellStyle name="Percent 3 9 8 4" xfId="9419" xr:uid="{00000000-0005-0000-0000-000098220000}"/>
    <cellStyle name="Percent 3 9 8 4 2" xfId="9420" xr:uid="{00000000-0005-0000-0000-000099220000}"/>
    <cellStyle name="Percent 3 9 8 4 2 2" xfId="9421" xr:uid="{00000000-0005-0000-0000-00009A220000}"/>
    <cellStyle name="Percent 3 9 8 4 3" xfId="9422" xr:uid="{00000000-0005-0000-0000-00009B220000}"/>
    <cellStyle name="Percent 3 9 8 4 3 2" xfId="9423" xr:uid="{00000000-0005-0000-0000-00009C220000}"/>
    <cellStyle name="Percent 3 9 8 4 4" xfId="9424" xr:uid="{00000000-0005-0000-0000-00009D220000}"/>
    <cellStyle name="Percent 3 9 8 5" xfId="9425" xr:uid="{00000000-0005-0000-0000-00009E220000}"/>
    <cellStyle name="Percent 3 9 8 5 2" xfId="9426" xr:uid="{00000000-0005-0000-0000-00009F220000}"/>
    <cellStyle name="Percent 3 9 8 5 2 2" xfId="9427" xr:uid="{00000000-0005-0000-0000-0000A0220000}"/>
    <cellStyle name="Percent 3 9 8 5 3" xfId="9428" xr:uid="{00000000-0005-0000-0000-0000A1220000}"/>
    <cellStyle name="Percent 3 9 8 5 3 2" xfId="9429" xr:uid="{00000000-0005-0000-0000-0000A2220000}"/>
    <cellStyle name="Percent 3 9 8 5 4" xfId="9430" xr:uid="{00000000-0005-0000-0000-0000A3220000}"/>
    <cellStyle name="Percent 3 9 8 5 4 2" xfId="9431" xr:uid="{00000000-0005-0000-0000-0000A4220000}"/>
    <cellStyle name="Percent 3 9 8 5 5" xfId="9432" xr:uid="{00000000-0005-0000-0000-0000A5220000}"/>
    <cellStyle name="Percent 3 9 8 6" xfId="9433" xr:uid="{00000000-0005-0000-0000-0000A6220000}"/>
    <cellStyle name="Percent 3 9 8 6 2" xfId="9434" xr:uid="{00000000-0005-0000-0000-0000A7220000}"/>
    <cellStyle name="Percent 3 9 8 6 2 2" xfId="9435" xr:uid="{00000000-0005-0000-0000-0000A8220000}"/>
    <cellStyle name="Percent 3 9 8 6 3" xfId="9436" xr:uid="{00000000-0005-0000-0000-0000A9220000}"/>
    <cellStyle name="Percent 3 9 8 6 3 2" xfId="9437" xr:uid="{00000000-0005-0000-0000-0000AA220000}"/>
    <cellStyle name="Percent 3 9 8 6 4" xfId="9438" xr:uid="{00000000-0005-0000-0000-0000AB220000}"/>
    <cellStyle name="Percent 3 9 8 7" xfId="9439" xr:uid="{00000000-0005-0000-0000-0000AC220000}"/>
    <cellStyle name="Percent 3 9 8 7 2" xfId="9440" xr:uid="{00000000-0005-0000-0000-0000AD220000}"/>
    <cellStyle name="Percent 3 9 8 8" xfId="9441" xr:uid="{00000000-0005-0000-0000-0000AE220000}"/>
    <cellStyle name="Percent 3 9 8 8 2" xfId="9442" xr:uid="{00000000-0005-0000-0000-0000AF220000}"/>
    <cellStyle name="Percent 3 9 8 9" xfId="9443" xr:uid="{00000000-0005-0000-0000-0000B0220000}"/>
    <cellStyle name="Percent 3 9 8 9 2" xfId="9444" xr:uid="{00000000-0005-0000-0000-0000B1220000}"/>
    <cellStyle name="Percent 3 9 9" xfId="2967" xr:uid="{00000000-0005-0000-0000-0000B2220000}"/>
    <cellStyle name="Percent 3 9 9 10" xfId="9446" xr:uid="{00000000-0005-0000-0000-0000B3220000}"/>
    <cellStyle name="Percent 3 9 9 11" xfId="9447" xr:uid="{00000000-0005-0000-0000-0000B4220000}"/>
    <cellStyle name="Percent 3 9 9 12" xfId="9445" xr:uid="{00000000-0005-0000-0000-0000B5220000}"/>
    <cellStyle name="Percent 3 9 9 2" xfId="9448" xr:uid="{00000000-0005-0000-0000-0000B6220000}"/>
    <cellStyle name="Percent 3 9 9 2 2" xfId="9449" xr:uid="{00000000-0005-0000-0000-0000B7220000}"/>
    <cellStyle name="Percent 3 9 9 2 2 2" xfId="9450" xr:uid="{00000000-0005-0000-0000-0000B8220000}"/>
    <cellStyle name="Percent 3 9 9 2 3" xfId="9451" xr:uid="{00000000-0005-0000-0000-0000B9220000}"/>
    <cellStyle name="Percent 3 9 9 2 3 2" xfId="9452" xr:uid="{00000000-0005-0000-0000-0000BA220000}"/>
    <cellStyle name="Percent 3 9 9 2 4" xfId="9453" xr:uid="{00000000-0005-0000-0000-0000BB220000}"/>
    <cellStyle name="Percent 3 9 9 2 5" xfId="9454" xr:uid="{00000000-0005-0000-0000-0000BC220000}"/>
    <cellStyle name="Percent 3 9 9 3" xfId="9455" xr:uid="{00000000-0005-0000-0000-0000BD220000}"/>
    <cellStyle name="Percent 3 9 9 3 2" xfId="9456" xr:uid="{00000000-0005-0000-0000-0000BE220000}"/>
    <cellStyle name="Percent 3 9 9 3 2 2" xfId="9457" xr:uid="{00000000-0005-0000-0000-0000BF220000}"/>
    <cellStyle name="Percent 3 9 9 3 3" xfId="9458" xr:uid="{00000000-0005-0000-0000-0000C0220000}"/>
    <cellStyle name="Percent 3 9 9 3 3 2" xfId="9459" xr:uid="{00000000-0005-0000-0000-0000C1220000}"/>
    <cellStyle name="Percent 3 9 9 3 4" xfId="9460" xr:uid="{00000000-0005-0000-0000-0000C2220000}"/>
    <cellStyle name="Percent 3 9 9 4" xfId="9461" xr:uid="{00000000-0005-0000-0000-0000C3220000}"/>
    <cellStyle name="Percent 3 9 9 4 2" xfId="9462" xr:uid="{00000000-0005-0000-0000-0000C4220000}"/>
    <cellStyle name="Percent 3 9 9 4 2 2" xfId="9463" xr:uid="{00000000-0005-0000-0000-0000C5220000}"/>
    <cellStyle name="Percent 3 9 9 4 3" xfId="9464" xr:uid="{00000000-0005-0000-0000-0000C6220000}"/>
    <cellStyle name="Percent 3 9 9 4 3 2" xfId="9465" xr:uid="{00000000-0005-0000-0000-0000C7220000}"/>
    <cellStyle name="Percent 3 9 9 4 4" xfId="9466" xr:uid="{00000000-0005-0000-0000-0000C8220000}"/>
    <cellStyle name="Percent 3 9 9 5" xfId="9467" xr:uid="{00000000-0005-0000-0000-0000C9220000}"/>
    <cellStyle name="Percent 3 9 9 5 2" xfId="9468" xr:uid="{00000000-0005-0000-0000-0000CA220000}"/>
    <cellStyle name="Percent 3 9 9 5 2 2" xfId="9469" xr:uid="{00000000-0005-0000-0000-0000CB220000}"/>
    <cellStyle name="Percent 3 9 9 5 3" xfId="9470" xr:uid="{00000000-0005-0000-0000-0000CC220000}"/>
    <cellStyle name="Percent 3 9 9 5 3 2" xfId="9471" xr:uid="{00000000-0005-0000-0000-0000CD220000}"/>
    <cellStyle name="Percent 3 9 9 5 4" xfId="9472" xr:uid="{00000000-0005-0000-0000-0000CE220000}"/>
    <cellStyle name="Percent 3 9 9 5 4 2" xfId="9473" xr:uid="{00000000-0005-0000-0000-0000CF220000}"/>
    <cellStyle name="Percent 3 9 9 5 5" xfId="9474" xr:uid="{00000000-0005-0000-0000-0000D0220000}"/>
    <cellStyle name="Percent 3 9 9 6" xfId="9475" xr:uid="{00000000-0005-0000-0000-0000D1220000}"/>
    <cellStyle name="Percent 3 9 9 6 2" xfId="9476" xr:uid="{00000000-0005-0000-0000-0000D2220000}"/>
    <cellStyle name="Percent 3 9 9 6 2 2" xfId="9477" xr:uid="{00000000-0005-0000-0000-0000D3220000}"/>
    <cellStyle name="Percent 3 9 9 6 3" xfId="9478" xr:uid="{00000000-0005-0000-0000-0000D4220000}"/>
    <cellStyle name="Percent 3 9 9 6 3 2" xfId="9479" xr:uid="{00000000-0005-0000-0000-0000D5220000}"/>
    <cellStyle name="Percent 3 9 9 6 4" xfId="9480" xr:uid="{00000000-0005-0000-0000-0000D6220000}"/>
    <cellStyle name="Percent 3 9 9 7" xfId="9481" xr:uid="{00000000-0005-0000-0000-0000D7220000}"/>
    <cellStyle name="Percent 3 9 9 7 2" xfId="9482" xr:uid="{00000000-0005-0000-0000-0000D8220000}"/>
    <cellStyle name="Percent 3 9 9 8" xfId="9483" xr:uid="{00000000-0005-0000-0000-0000D9220000}"/>
    <cellStyle name="Percent 3 9 9 8 2" xfId="9484" xr:uid="{00000000-0005-0000-0000-0000DA220000}"/>
    <cellStyle name="Percent 3 9 9 9" xfId="9485" xr:uid="{00000000-0005-0000-0000-0000DB220000}"/>
    <cellStyle name="Percent 3 9 9 9 2" xfId="9486" xr:uid="{00000000-0005-0000-0000-0000DC220000}"/>
    <cellStyle name="Percent 31" xfId="2968" xr:uid="{00000000-0005-0000-0000-0000DD220000}"/>
    <cellStyle name="Percent 31 10" xfId="9488" xr:uid="{00000000-0005-0000-0000-0000DE220000}"/>
    <cellStyle name="Percent 31 11" xfId="9489" xr:uid="{00000000-0005-0000-0000-0000DF220000}"/>
    <cellStyle name="Percent 31 12" xfId="9487" xr:uid="{00000000-0005-0000-0000-0000E0220000}"/>
    <cellStyle name="Percent 31 2" xfId="9490" xr:uid="{00000000-0005-0000-0000-0000E1220000}"/>
    <cellStyle name="Percent 31 2 2" xfId="9491" xr:uid="{00000000-0005-0000-0000-0000E2220000}"/>
    <cellStyle name="Percent 31 2 2 2" xfId="9492" xr:uid="{00000000-0005-0000-0000-0000E3220000}"/>
    <cellStyle name="Percent 31 2 3" xfId="9493" xr:uid="{00000000-0005-0000-0000-0000E4220000}"/>
    <cellStyle name="Percent 31 2 3 2" xfId="9494" xr:uid="{00000000-0005-0000-0000-0000E5220000}"/>
    <cellStyle name="Percent 31 2 4" xfId="9495" xr:uid="{00000000-0005-0000-0000-0000E6220000}"/>
    <cellStyle name="Percent 31 2 5" xfId="9496" xr:uid="{00000000-0005-0000-0000-0000E7220000}"/>
    <cellStyle name="Percent 31 3" xfId="9497" xr:uid="{00000000-0005-0000-0000-0000E8220000}"/>
    <cellStyle name="Percent 31 3 2" xfId="9498" xr:uid="{00000000-0005-0000-0000-0000E9220000}"/>
    <cellStyle name="Percent 31 3 2 2" xfId="9499" xr:uid="{00000000-0005-0000-0000-0000EA220000}"/>
    <cellStyle name="Percent 31 3 3" xfId="9500" xr:uid="{00000000-0005-0000-0000-0000EB220000}"/>
    <cellStyle name="Percent 31 3 3 2" xfId="9501" xr:uid="{00000000-0005-0000-0000-0000EC220000}"/>
    <cellStyle name="Percent 31 3 4" xfId="9502" xr:uid="{00000000-0005-0000-0000-0000ED220000}"/>
    <cellStyle name="Percent 31 4" xfId="9503" xr:uid="{00000000-0005-0000-0000-0000EE220000}"/>
    <cellStyle name="Percent 31 4 2" xfId="9504" xr:uid="{00000000-0005-0000-0000-0000EF220000}"/>
    <cellStyle name="Percent 31 4 2 2" xfId="9505" xr:uid="{00000000-0005-0000-0000-0000F0220000}"/>
    <cellStyle name="Percent 31 4 3" xfId="9506" xr:uid="{00000000-0005-0000-0000-0000F1220000}"/>
    <cellStyle name="Percent 31 4 3 2" xfId="9507" xr:uid="{00000000-0005-0000-0000-0000F2220000}"/>
    <cellStyle name="Percent 31 4 4" xfId="9508" xr:uid="{00000000-0005-0000-0000-0000F3220000}"/>
    <cellStyle name="Percent 31 5" xfId="9509" xr:uid="{00000000-0005-0000-0000-0000F4220000}"/>
    <cellStyle name="Percent 31 5 2" xfId="9510" xr:uid="{00000000-0005-0000-0000-0000F5220000}"/>
    <cellStyle name="Percent 31 5 2 2" xfId="9511" xr:uid="{00000000-0005-0000-0000-0000F6220000}"/>
    <cellStyle name="Percent 31 5 3" xfId="9512" xr:uid="{00000000-0005-0000-0000-0000F7220000}"/>
    <cellStyle name="Percent 31 5 3 2" xfId="9513" xr:uid="{00000000-0005-0000-0000-0000F8220000}"/>
    <cellStyle name="Percent 31 5 4" xfId="9514" xr:uid="{00000000-0005-0000-0000-0000F9220000}"/>
    <cellStyle name="Percent 31 5 4 2" xfId="9515" xr:uid="{00000000-0005-0000-0000-0000FA220000}"/>
    <cellStyle name="Percent 31 5 5" xfId="9516" xr:uid="{00000000-0005-0000-0000-0000FB220000}"/>
    <cellStyle name="Percent 31 6" xfId="9517" xr:uid="{00000000-0005-0000-0000-0000FC220000}"/>
    <cellStyle name="Percent 31 6 2" xfId="9518" xr:uid="{00000000-0005-0000-0000-0000FD220000}"/>
    <cellStyle name="Percent 31 6 2 2" xfId="9519" xr:uid="{00000000-0005-0000-0000-0000FE220000}"/>
    <cellStyle name="Percent 31 6 3" xfId="9520" xr:uid="{00000000-0005-0000-0000-0000FF220000}"/>
    <cellStyle name="Percent 31 6 3 2" xfId="9521" xr:uid="{00000000-0005-0000-0000-000000230000}"/>
    <cellStyle name="Percent 31 6 4" xfId="9522" xr:uid="{00000000-0005-0000-0000-000001230000}"/>
    <cellStyle name="Percent 31 7" xfId="9523" xr:uid="{00000000-0005-0000-0000-000002230000}"/>
    <cellStyle name="Percent 31 7 2" xfId="9524" xr:uid="{00000000-0005-0000-0000-000003230000}"/>
    <cellStyle name="Percent 31 8" xfId="9525" xr:uid="{00000000-0005-0000-0000-000004230000}"/>
    <cellStyle name="Percent 31 8 2" xfId="9526" xr:uid="{00000000-0005-0000-0000-000005230000}"/>
    <cellStyle name="Percent 31 9" xfId="9527" xr:uid="{00000000-0005-0000-0000-000006230000}"/>
    <cellStyle name="Percent 31 9 2" xfId="9528" xr:uid="{00000000-0005-0000-0000-000007230000}"/>
    <cellStyle name="Percent 4" xfId="286" xr:uid="{00000000-0005-0000-0000-000008230000}"/>
    <cellStyle name="Percent 4 10" xfId="2970" xr:uid="{00000000-0005-0000-0000-000009230000}"/>
    <cellStyle name="Percent 4 10 10" xfId="9531" xr:uid="{00000000-0005-0000-0000-00000A230000}"/>
    <cellStyle name="Percent 4 10 11" xfId="9532" xr:uid="{00000000-0005-0000-0000-00000B230000}"/>
    <cellStyle name="Percent 4 10 12" xfId="9530" xr:uid="{00000000-0005-0000-0000-00000C230000}"/>
    <cellStyle name="Percent 4 10 2" xfId="9533" xr:uid="{00000000-0005-0000-0000-00000D230000}"/>
    <cellStyle name="Percent 4 10 2 2" xfId="9534" xr:uid="{00000000-0005-0000-0000-00000E230000}"/>
    <cellStyle name="Percent 4 10 2 2 2" xfId="9535" xr:uid="{00000000-0005-0000-0000-00000F230000}"/>
    <cellStyle name="Percent 4 10 2 3" xfId="9536" xr:uid="{00000000-0005-0000-0000-000010230000}"/>
    <cellStyle name="Percent 4 10 2 3 2" xfId="9537" xr:uid="{00000000-0005-0000-0000-000011230000}"/>
    <cellStyle name="Percent 4 10 2 4" xfId="9538" xr:uid="{00000000-0005-0000-0000-000012230000}"/>
    <cellStyle name="Percent 4 10 2 5" xfId="9539" xr:uid="{00000000-0005-0000-0000-000013230000}"/>
    <cellStyle name="Percent 4 10 3" xfId="9540" xr:uid="{00000000-0005-0000-0000-000014230000}"/>
    <cellStyle name="Percent 4 10 3 2" xfId="9541" xr:uid="{00000000-0005-0000-0000-000015230000}"/>
    <cellStyle name="Percent 4 10 3 2 2" xfId="9542" xr:uid="{00000000-0005-0000-0000-000016230000}"/>
    <cellStyle name="Percent 4 10 3 3" xfId="9543" xr:uid="{00000000-0005-0000-0000-000017230000}"/>
    <cellStyle name="Percent 4 10 3 3 2" xfId="9544" xr:uid="{00000000-0005-0000-0000-000018230000}"/>
    <cellStyle name="Percent 4 10 3 4" xfId="9545" xr:uid="{00000000-0005-0000-0000-000019230000}"/>
    <cellStyle name="Percent 4 10 4" xfId="9546" xr:uid="{00000000-0005-0000-0000-00001A230000}"/>
    <cellStyle name="Percent 4 10 4 2" xfId="9547" xr:uid="{00000000-0005-0000-0000-00001B230000}"/>
    <cellStyle name="Percent 4 10 4 2 2" xfId="9548" xr:uid="{00000000-0005-0000-0000-00001C230000}"/>
    <cellStyle name="Percent 4 10 4 3" xfId="9549" xr:uid="{00000000-0005-0000-0000-00001D230000}"/>
    <cellStyle name="Percent 4 10 4 3 2" xfId="9550" xr:uid="{00000000-0005-0000-0000-00001E230000}"/>
    <cellStyle name="Percent 4 10 4 4" xfId="9551" xr:uid="{00000000-0005-0000-0000-00001F230000}"/>
    <cellStyle name="Percent 4 10 5" xfId="9552" xr:uid="{00000000-0005-0000-0000-000020230000}"/>
    <cellStyle name="Percent 4 10 5 2" xfId="9553" xr:uid="{00000000-0005-0000-0000-000021230000}"/>
    <cellStyle name="Percent 4 10 5 2 2" xfId="9554" xr:uid="{00000000-0005-0000-0000-000022230000}"/>
    <cellStyle name="Percent 4 10 5 3" xfId="9555" xr:uid="{00000000-0005-0000-0000-000023230000}"/>
    <cellStyle name="Percent 4 10 5 3 2" xfId="9556" xr:uid="{00000000-0005-0000-0000-000024230000}"/>
    <cellStyle name="Percent 4 10 5 4" xfId="9557" xr:uid="{00000000-0005-0000-0000-000025230000}"/>
    <cellStyle name="Percent 4 10 5 4 2" xfId="9558" xr:uid="{00000000-0005-0000-0000-000026230000}"/>
    <cellStyle name="Percent 4 10 5 5" xfId="9559" xr:uid="{00000000-0005-0000-0000-000027230000}"/>
    <cellStyle name="Percent 4 10 6" xfId="9560" xr:uid="{00000000-0005-0000-0000-000028230000}"/>
    <cellStyle name="Percent 4 10 6 2" xfId="9561" xr:uid="{00000000-0005-0000-0000-000029230000}"/>
    <cellStyle name="Percent 4 10 6 2 2" xfId="9562" xr:uid="{00000000-0005-0000-0000-00002A230000}"/>
    <cellStyle name="Percent 4 10 6 3" xfId="9563" xr:uid="{00000000-0005-0000-0000-00002B230000}"/>
    <cellStyle name="Percent 4 10 6 3 2" xfId="9564" xr:uid="{00000000-0005-0000-0000-00002C230000}"/>
    <cellStyle name="Percent 4 10 6 4" xfId="9565" xr:uid="{00000000-0005-0000-0000-00002D230000}"/>
    <cellStyle name="Percent 4 10 7" xfId="9566" xr:uid="{00000000-0005-0000-0000-00002E230000}"/>
    <cellStyle name="Percent 4 10 7 2" xfId="9567" xr:uid="{00000000-0005-0000-0000-00002F230000}"/>
    <cellStyle name="Percent 4 10 8" xfId="9568" xr:uid="{00000000-0005-0000-0000-000030230000}"/>
    <cellStyle name="Percent 4 10 8 2" xfId="9569" xr:uid="{00000000-0005-0000-0000-000031230000}"/>
    <cellStyle name="Percent 4 10 9" xfId="9570" xr:uid="{00000000-0005-0000-0000-000032230000}"/>
    <cellStyle name="Percent 4 10 9 2" xfId="9571" xr:uid="{00000000-0005-0000-0000-000033230000}"/>
    <cellStyle name="Percent 4 11" xfId="2971" xr:uid="{00000000-0005-0000-0000-000034230000}"/>
    <cellStyle name="Percent 4 11 10" xfId="9573" xr:uid="{00000000-0005-0000-0000-000035230000}"/>
    <cellStyle name="Percent 4 11 11" xfId="9574" xr:uid="{00000000-0005-0000-0000-000036230000}"/>
    <cellStyle name="Percent 4 11 12" xfId="9572" xr:uid="{00000000-0005-0000-0000-000037230000}"/>
    <cellStyle name="Percent 4 11 2" xfId="9575" xr:uid="{00000000-0005-0000-0000-000038230000}"/>
    <cellStyle name="Percent 4 11 2 2" xfId="9576" xr:uid="{00000000-0005-0000-0000-000039230000}"/>
    <cellStyle name="Percent 4 11 2 2 2" xfId="9577" xr:uid="{00000000-0005-0000-0000-00003A230000}"/>
    <cellStyle name="Percent 4 11 2 3" xfId="9578" xr:uid="{00000000-0005-0000-0000-00003B230000}"/>
    <cellStyle name="Percent 4 11 2 3 2" xfId="9579" xr:uid="{00000000-0005-0000-0000-00003C230000}"/>
    <cellStyle name="Percent 4 11 2 4" xfId="9580" xr:uid="{00000000-0005-0000-0000-00003D230000}"/>
    <cellStyle name="Percent 4 11 2 5" xfId="9581" xr:uid="{00000000-0005-0000-0000-00003E230000}"/>
    <cellStyle name="Percent 4 11 3" xfId="9582" xr:uid="{00000000-0005-0000-0000-00003F230000}"/>
    <cellStyle name="Percent 4 11 3 2" xfId="9583" xr:uid="{00000000-0005-0000-0000-000040230000}"/>
    <cellStyle name="Percent 4 11 3 2 2" xfId="9584" xr:uid="{00000000-0005-0000-0000-000041230000}"/>
    <cellStyle name="Percent 4 11 3 3" xfId="9585" xr:uid="{00000000-0005-0000-0000-000042230000}"/>
    <cellStyle name="Percent 4 11 3 3 2" xfId="9586" xr:uid="{00000000-0005-0000-0000-000043230000}"/>
    <cellStyle name="Percent 4 11 3 4" xfId="9587" xr:uid="{00000000-0005-0000-0000-000044230000}"/>
    <cellStyle name="Percent 4 11 4" xfId="9588" xr:uid="{00000000-0005-0000-0000-000045230000}"/>
    <cellStyle name="Percent 4 11 4 2" xfId="9589" xr:uid="{00000000-0005-0000-0000-000046230000}"/>
    <cellStyle name="Percent 4 11 4 2 2" xfId="9590" xr:uid="{00000000-0005-0000-0000-000047230000}"/>
    <cellStyle name="Percent 4 11 4 3" xfId="9591" xr:uid="{00000000-0005-0000-0000-000048230000}"/>
    <cellStyle name="Percent 4 11 4 3 2" xfId="9592" xr:uid="{00000000-0005-0000-0000-000049230000}"/>
    <cellStyle name="Percent 4 11 4 4" xfId="9593" xr:uid="{00000000-0005-0000-0000-00004A230000}"/>
    <cellStyle name="Percent 4 11 5" xfId="9594" xr:uid="{00000000-0005-0000-0000-00004B230000}"/>
    <cellStyle name="Percent 4 11 5 2" xfId="9595" xr:uid="{00000000-0005-0000-0000-00004C230000}"/>
    <cellStyle name="Percent 4 11 5 2 2" xfId="9596" xr:uid="{00000000-0005-0000-0000-00004D230000}"/>
    <cellStyle name="Percent 4 11 5 3" xfId="9597" xr:uid="{00000000-0005-0000-0000-00004E230000}"/>
    <cellStyle name="Percent 4 11 5 3 2" xfId="9598" xr:uid="{00000000-0005-0000-0000-00004F230000}"/>
    <cellStyle name="Percent 4 11 5 4" xfId="9599" xr:uid="{00000000-0005-0000-0000-000050230000}"/>
    <cellStyle name="Percent 4 11 5 4 2" xfId="9600" xr:uid="{00000000-0005-0000-0000-000051230000}"/>
    <cellStyle name="Percent 4 11 5 5" xfId="9601" xr:uid="{00000000-0005-0000-0000-000052230000}"/>
    <cellStyle name="Percent 4 11 6" xfId="9602" xr:uid="{00000000-0005-0000-0000-000053230000}"/>
    <cellStyle name="Percent 4 11 6 2" xfId="9603" xr:uid="{00000000-0005-0000-0000-000054230000}"/>
    <cellStyle name="Percent 4 11 6 2 2" xfId="9604" xr:uid="{00000000-0005-0000-0000-000055230000}"/>
    <cellStyle name="Percent 4 11 6 3" xfId="9605" xr:uid="{00000000-0005-0000-0000-000056230000}"/>
    <cellStyle name="Percent 4 11 6 3 2" xfId="9606" xr:uid="{00000000-0005-0000-0000-000057230000}"/>
    <cellStyle name="Percent 4 11 6 4" xfId="9607" xr:uid="{00000000-0005-0000-0000-000058230000}"/>
    <cellStyle name="Percent 4 11 7" xfId="9608" xr:uid="{00000000-0005-0000-0000-000059230000}"/>
    <cellStyle name="Percent 4 11 7 2" xfId="9609" xr:uid="{00000000-0005-0000-0000-00005A230000}"/>
    <cellStyle name="Percent 4 11 8" xfId="9610" xr:uid="{00000000-0005-0000-0000-00005B230000}"/>
    <cellStyle name="Percent 4 11 8 2" xfId="9611" xr:uid="{00000000-0005-0000-0000-00005C230000}"/>
    <cellStyle name="Percent 4 11 9" xfId="9612" xr:uid="{00000000-0005-0000-0000-00005D230000}"/>
    <cellStyle name="Percent 4 11 9 2" xfId="9613" xr:uid="{00000000-0005-0000-0000-00005E230000}"/>
    <cellStyle name="Percent 4 12" xfId="2972" xr:uid="{00000000-0005-0000-0000-00005F230000}"/>
    <cellStyle name="Percent 4 12 10" xfId="9615" xr:uid="{00000000-0005-0000-0000-000060230000}"/>
    <cellStyle name="Percent 4 12 11" xfId="9616" xr:uid="{00000000-0005-0000-0000-000061230000}"/>
    <cellStyle name="Percent 4 12 12" xfId="9614" xr:uid="{00000000-0005-0000-0000-000062230000}"/>
    <cellStyle name="Percent 4 12 2" xfId="9617" xr:uid="{00000000-0005-0000-0000-000063230000}"/>
    <cellStyle name="Percent 4 12 2 2" xfId="9618" xr:uid="{00000000-0005-0000-0000-000064230000}"/>
    <cellStyle name="Percent 4 12 2 2 2" xfId="9619" xr:uid="{00000000-0005-0000-0000-000065230000}"/>
    <cellStyle name="Percent 4 12 2 3" xfId="9620" xr:uid="{00000000-0005-0000-0000-000066230000}"/>
    <cellStyle name="Percent 4 12 2 3 2" xfId="9621" xr:uid="{00000000-0005-0000-0000-000067230000}"/>
    <cellStyle name="Percent 4 12 2 4" xfId="9622" xr:uid="{00000000-0005-0000-0000-000068230000}"/>
    <cellStyle name="Percent 4 12 2 5" xfId="9623" xr:uid="{00000000-0005-0000-0000-000069230000}"/>
    <cellStyle name="Percent 4 12 3" xfId="9624" xr:uid="{00000000-0005-0000-0000-00006A230000}"/>
    <cellStyle name="Percent 4 12 3 2" xfId="9625" xr:uid="{00000000-0005-0000-0000-00006B230000}"/>
    <cellStyle name="Percent 4 12 3 2 2" xfId="9626" xr:uid="{00000000-0005-0000-0000-00006C230000}"/>
    <cellStyle name="Percent 4 12 3 3" xfId="9627" xr:uid="{00000000-0005-0000-0000-00006D230000}"/>
    <cellStyle name="Percent 4 12 3 3 2" xfId="9628" xr:uid="{00000000-0005-0000-0000-00006E230000}"/>
    <cellStyle name="Percent 4 12 3 4" xfId="9629" xr:uid="{00000000-0005-0000-0000-00006F230000}"/>
    <cellStyle name="Percent 4 12 4" xfId="9630" xr:uid="{00000000-0005-0000-0000-000070230000}"/>
    <cellStyle name="Percent 4 12 4 2" xfId="9631" xr:uid="{00000000-0005-0000-0000-000071230000}"/>
    <cellStyle name="Percent 4 12 4 2 2" xfId="9632" xr:uid="{00000000-0005-0000-0000-000072230000}"/>
    <cellStyle name="Percent 4 12 4 3" xfId="9633" xr:uid="{00000000-0005-0000-0000-000073230000}"/>
    <cellStyle name="Percent 4 12 4 3 2" xfId="9634" xr:uid="{00000000-0005-0000-0000-000074230000}"/>
    <cellStyle name="Percent 4 12 4 4" xfId="9635" xr:uid="{00000000-0005-0000-0000-000075230000}"/>
    <cellStyle name="Percent 4 12 5" xfId="9636" xr:uid="{00000000-0005-0000-0000-000076230000}"/>
    <cellStyle name="Percent 4 12 5 2" xfId="9637" xr:uid="{00000000-0005-0000-0000-000077230000}"/>
    <cellStyle name="Percent 4 12 5 2 2" xfId="9638" xr:uid="{00000000-0005-0000-0000-000078230000}"/>
    <cellStyle name="Percent 4 12 5 3" xfId="9639" xr:uid="{00000000-0005-0000-0000-000079230000}"/>
    <cellStyle name="Percent 4 12 5 3 2" xfId="9640" xr:uid="{00000000-0005-0000-0000-00007A230000}"/>
    <cellStyle name="Percent 4 12 5 4" xfId="9641" xr:uid="{00000000-0005-0000-0000-00007B230000}"/>
    <cellStyle name="Percent 4 12 5 4 2" xfId="9642" xr:uid="{00000000-0005-0000-0000-00007C230000}"/>
    <cellStyle name="Percent 4 12 5 5" xfId="9643" xr:uid="{00000000-0005-0000-0000-00007D230000}"/>
    <cellStyle name="Percent 4 12 6" xfId="9644" xr:uid="{00000000-0005-0000-0000-00007E230000}"/>
    <cellStyle name="Percent 4 12 6 2" xfId="9645" xr:uid="{00000000-0005-0000-0000-00007F230000}"/>
    <cellStyle name="Percent 4 12 6 2 2" xfId="9646" xr:uid="{00000000-0005-0000-0000-000080230000}"/>
    <cellStyle name="Percent 4 12 6 3" xfId="9647" xr:uid="{00000000-0005-0000-0000-000081230000}"/>
    <cellStyle name="Percent 4 12 6 3 2" xfId="9648" xr:uid="{00000000-0005-0000-0000-000082230000}"/>
    <cellStyle name="Percent 4 12 6 4" xfId="9649" xr:uid="{00000000-0005-0000-0000-000083230000}"/>
    <cellStyle name="Percent 4 12 7" xfId="9650" xr:uid="{00000000-0005-0000-0000-000084230000}"/>
    <cellStyle name="Percent 4 12 7 2" xfId="9651" xr:uid="{00000000-0005-0000-0000-000085230000}"/>
    <cellStyle name="Percent 4 12 8" xfId="9652" xr:uid="{00000000-0005-0000-0000-000086230000}"/>
    <cellStyle name="Percent 4 12 8 2" xfId="9653" xr:uid="{00000000-0005-0000-0000-000087230000}"/>
    <cellStyle name="Percent 4 12 9" xfId="9654" xr:uid="{00000000-0005-0000-0000-000088230000}"/>
    <cellStyle name="Percent 4 12 9 2" xfId="9655" xr:uid="{00000000-0005-0000-0000-000089230000}"/>
    <cellStyle name="Percent 4 13" xfId="2973" xr:uid="{00000000-0005-0000-0000-00008A230000}"/>
    <cellStyle name="Percent 4 13 10" xfId="9657" xr:uid="{00000000-0005-0000-0000-00008B230000}"/>
    <cellStyle name="Percent 4 13 11" xfId="9658" xr:uid="{00000000-0005-0000-0000-00008C230000}"/>
    <cellStyle name="Percent 4 13 12" xfId="9656" xr:uid="{00000000-0005-0000-0000-00008D230000}"/>
    <cellStyle name="Percent 4 13 2" xfId="9659" xr:uid="{00000000-0005-0000-0000-00008E230000}"/>
    <cellStyle name="Percent 4 13 2 2" xfId="9660" xr:uid="{00000000-0005-0000-0000-00008F230000}"/>
    <cellStyle name="Percent 4 13 2 2 2" xfId="9661" xr:uid="{00000000-0005-0000-0000-000090230000}"/>
    <cellStyle name="Percent 4 13 2 3" xfId="9662" xr:uid="{00000000-0005-0000-0000-000091230000}"/>
    <cellStyle name="Percent 4 13 2 3 2" xfId="9663" xr:uid="{00000000-0005-0000-0000-000092230000}"/>
    <cellStyle name="Percent 4 13 2 4" xfId="9664" xr:uid="{00000000-0005-0000-0000-000093230000}"/>
    <cellStyle name="Percent 4 13 2 5" xfId="9665" xr:uid="{00000000-0005-0000-0000-000094230000}"/>
    <cellStyle name="Percent 4 13 3" xfId="9666" xr:uid="{00000000-0005-0000-0000-000095230000}"/>
    <cellStyle name="Percent 4 13 3 2" xfId="9667" xr:uid="{00000000-0005-0000-0000-000096230000}"/>
    <cellStyle name="Percent 4 13 3 2 2" xfId="9668" xr:uid="{00000000-0005-0000-0000-000097230000}"/>
    <cellStyle name="Percent 4 13 3 3" xfId="9669" xr:uid="{00000000-0005-0000-0000-000098230000}"/>
    <cellStyle name="Percent 4 13 3 3 2" xfId="9670" xr:uid="{00000000-0005-0000-0000-000099230000}"/>
    <cellStyle name="Percent 4 13 3 4" xfId="9671" xr:uid="{00000000-0005-0000-0000-00009A230000}"/>
    <cellStyle name="Percent 4 13 4" xfId="9672" xr:uid="{00000000-0005-0000-0000-00009B230000}"/>
    <cellStyle name="Percent 4 13 4 2" xfId="9673" xr:uid="{00000000-0005-0000-0000-00009C230000}"/>
    <cellStyle name="Percent 4 13 4 2 2" xfId="9674" xr:uid="{00000000-0005-0000-0000-00009D230000}"/>
    <cellStyle name="Percent 4 13 4 3" xfId="9675" xr:uid="{00000000-0005-0000-0000-00009E230000}"/>
    <cellStyle name="Percent 4 13 4 3 2" xfId="9676" xr:uid="{00000000-0005-0000-0000-00009F230000}"/>
    <cellStyle name="Percent 4 13 4 4" xfId="9677" xr:uid="{00000000-0005-0000-0000-0000A0230000}"/>
    <cellStyle name="Percent 4 13 5" xfId="9678" xr:uid="{00000000-0005-0000-0000-0000A1230000}"/>
    <cellStyle name="Percent 4 13 5 2" xfId="9679" xr:uid="{00000000-0005-0000-0000-0000A2230000}"/>
    <cellStyle name="Percent 4 13 5 2 2" xfId="9680" xr:uid="{00000000-0005-0000-0000-0000A3230000}"/>
    <cellStyle name="Percent 4 13 5 3" xfId="9681" xr:uid="{00000000-0005-0000-0000-0000A4230000}"/>
    <cellStyle name="Percent 4 13 5 3 2" xfId="9682" xr:uid="{00000000-0005-0000-0000-0000A5230000}"/>
    <cellStyle name="Percent 4 13 5 4" xfId="9683" xr:uid="{00000000-0005-0000-0000-0000A6230000}"/>
    <cellStyle name="Percent 4 13 5 4 2" xfId="9684" xr:uid="{00000000-0005-0000-0000-0000A7230000}"/>
    <cellStyle name="Percent 4 13 5 5" xfId="9685" xr:uid="{00000000-0005-0000-0000-0000A8230000}"/>
    <cellStyle name="Percent 4 13 6" xfId="9686" xr:uid="{00000000-0005-0000-0000-0000A9230000}"/>
    <cellStyle name="Percent 4 13 6 2" xfId="9687" xr:uid="{00000000-0005-0000-0000-0000AA230000}"/>
    <cellStyle name="Percent 4 13 6 2 2" xfId="9688" xr:uid="{00000000-0005-0000-0000-0000AB230000}"/>
    <cellStyle name="Percent 4 13 6 3" xfId="9689" xr:uid="{00000000-0005-0000-0000-0000AC230000}"/>
    <cellStyle name="Percent 4 13 6 3 2" xfId="9690" xr:uid="{00000000-0005-0000-0000-0000AD230000}"/>
    <cellStyle name="Percent 4 13 6 4" xfId="9691" xr:uid="{00000000-0005-0000-0000-0000AE230000}"/>
    <cellStyle name="Percent 4 13 7" xfId="9692" xr:uid="{00000000-0005-0000-0000-0000AF230000}"/>
    <cellStyle name="Percent 4 13 7 2" xfId="9693" xr:uid="{00000000-0005-0000-0000-0000B0230000}"/>
    <cellStyle name="Percent 4 13 8" xfId="9694" xr:uid="{00000000-0005-0000-0000-0000B1230000}"/>
    <cellStyle name="Percent 4 13 8 2" xfId="9695" xr:uid="{00000000-0005-0000-0000-0000B2230000}"/>
    <cellStyle name="Percent 4 13 9" xfId="9696" xr:uid="{00000000-0005-0000-0000-0000B3230000}"/>
    <cellStyle name="Percent 4 13 9 2" xfId="9697" xr:uid="{00000000-0005-0000-0000-0000B4230000}"/>
    <cellStyle name="Percent 4 14" xfId="2974" xr:uid="{00000000-0005-0000-0000-0000B5230000}"/>
    <cellStyle name="Percent 4 14 10" xfId="9699" xr:uid="{00000000-0005-0000-0000-0000B6230000}"/>
    <cellStyle name="Percent 4 14 10 2" xfId="9700" xr:uid="{00000000-0005-0000-0000-0000B7230000}"/>
    <cellStyle name="Percent 4 14 11" xfId="9701" xr:uid="{00000000-0005-0000-0000-0000B8230000}"/>
    <cellStyle name="Percent 4 14 12" xfId="9702" xr:uid="{00000000-0005-0000-0000-0000B9230000}"/>
    <cellStyle name="Percent 4 14 13" xfId="9698" xr:uid="{00000000-0005-0000-0000-0000BA230000}"/>
    <cellStyle name="Percent 4 14 2" xfId="9703" xr:uid="{00000000-0005-0000-0000-0000BB230000}"/>
    <cellStyle name="Percent 4 14 2 10" xfId="9704" xr:uid="{00000000-0005-0000-0000-0000BC230000}"/>
    <cellStyle name="Percent 4 14 2 2" xfId="9705" xr:uid="{00000000-0005-0000-0000-0000BD230000}"/>
    <cellStyle name="Percent 4 14 2 2 2" xfId="9706" xr:uid="{00000000-0005-0000-0000-0000BE230000}"/>
    <cellStyle name="Percent 4 14 2 2 2 2" xfId="9707" xr:uid="{00000000-0005-0000-0000-0000BF230000}"/>
    <cellStyle name="Percent 4 14 2 2 3" xfId="9708" xr:uid="{00000000-0005-0000-0000-0000C0230000}"/>
    <cellStyle name="Percent 4 14 2 2 3 2" xfId="9709" xr:uid="{00000000-0005-0000-0000-0000C1230000}"/>
    <cellStyle name="Percent 4 14 2 2 4" xfId="9710" xr:uid="{00000000-0005-0000-0000-0000C2230000}"/>
    <cellStyle name="Percent 4 14 2 3" xfId="9711" xr:uid="{00000000-0005-0000-0000-0000C3230000}"/>
    <cellStyle name="Percent 4 14 2 3 2" xfId="9712" xr:uid="{00000000-0005-0000-0000-0000C4230000}"/>
    <cellStyle name="Percent 4 14 2 3 2 2" xfId="9713" xr:uid="{00000000-0005-0000-0000-0000C5230000}"/>
    <cellStyle name="Percent 4 14 2 3 3" xfId="9714" xr:uid="{00000000-0005-0000-0000-0000C6230000}"/>
    <cellStyle name="Percent 4 14 2 3 3 2" xfId="9715" xr:uid="{00000000-0005-0000-0000-0000C7230000}"/>
    <cellStyle name="Percent 4 14 2 3 4" xfId="9716" xr:uid="{00000000-0005-0000-0000-0000C8230000}"/>
    <cellStyle name="Percent 4 14 2 4" xfId="9717" xr:uid="{00000000-0005-0000-0000-0000C9230000}"/>
    <cellStyle name="Percent 4 14 2 4 2" xfId="9718" xr:uid="{00000000-0005-0000-0000-0000CA230000}"/>
    <cellStyle name="Percent 4 14 2 4 2 2" xfId="9719" xr:uid="{00000000-0005-0000-0000-0000CB230000}"/>
    <cellStyle name="Percent 4 14 2 4 3" xfId="9720" xr:uid="{00000000-0005-0000-0000-0000CC230000}"/>
    <cellStyle name="Percent 4 14 2 4 3 2" xfId="9721" xr:uid="{00000000-0005-0000-0000-0000CD230000}"/>
    <cellStyle name="Percent 4 14 2 4 4" xfId="9722" xr:uid="{00000000-0005-0000-0000-0000CE230000}"/>
    <cellStyle name="Percent 4 14 2 4 4 2" xfId="9723" xr:uid="{00000000-0005-0000-0000-0000CF230000}"/>
    <cellStyle name="Percent 4 14 2 4 5" xfId="9724" xr:uid="{00000000-0005-0000-0000-0000D0230000}"/>
    <cellStyle name="Percent 4 14 2 5" xfId="9725" xr:uid="{00000000-0005-0000-0000-0000D1230000}"/>
    <cellStyle name="Percent 4 14 2 5 2" xfId="9726" xr:uid="{00000000-0005-0000-0000-0000D2230000}"/>
    <cellStyle name="Percent 4 14 2 5 2 2" xfId="9727" xr:uid="{00000000-0005-0000-0000-0000D3230000}"/>
    <cellStyle name="Percent 4 14 2 5 3" xfId="9728" xr:uid="{00000000-0005-0000-0000-0000D4230000}"/>
    <cellStyle name="Percent 4 14 2 5 3 2" xfId="9729" xr:uid="{00000000-0005-0000-0000-0000D5230000}"/>
    <cellStyle name="Percent 4 14 2 5 4" xfId="9730" xr:uid="{00000000-0005-0000-0000-0000D6230000}"/>
    <cellStyle name="Percent 4 14 2 6" xfId="9731" xr:uid="{00000000-0005-0000-0000-0000D7230000}"/>
    <cellStyle name="Percent 4 14 2 6 2" xfId="9732" xr:uid="{00000000-0005-0000-0000-0000D8230000}"/>
    <cellStyle name="Percent 4 14 2 7" xfId="9733" xr:uid="{00000000-0005-0000-0000-0000D9230000}"/>
    <cellStyle name="Percent 4 14 2 7 2" xfId="9734" xr:uid="{00000000-0005-0000-0000-0000DA230000}"/>
    <cellStyle name="Percent 4 14 2 8" xfId="9735" xr:uid="{00000000-0005-0000-0000-0000DB230000}"/>
    <cellStyle name="Percent 4 14 2 8 2" xfId="9736" xr:uid="{00000000-0005-0000-0000-0000DC230000}"/>
    <cellStyle name="Percent 4 14 2 9" xfId="9737" xr:uid="{00000000-0005-0000-0000-0000DD230000}"/>
    <cellStyle name="Percent 4 14 3" xfId="9738" xr:uid="{00000000-0005-0000-0000-0000DE230000}"/>
    <cellStyle name="Percent 4 14 3 2" xfId="9739" xr:uid="{00000000-0005-0000-0000-0000DF230000}"/>
    <cellStyle name="Percent 4 14 3 2 2" xfId="9740" xr:uid="{00000000-0005-0000-0000-0000E0230000}"/>
    <cellStyle name="Percent 4 14 3 3" xfId="9741" xr:uid="{00000000-0005-0000-0000-0000E1230000}"/>
    <cellStyle name="Percent 4 14 3 3 2" xfId="9742" xr:uid="{00000000-0005-0000-0000-0000E2230000}"/>
    <cellStyle name="Percent 4 14 3 4" xfId="9743" xr:uid="{00000000-0005-0000-0000-0000E3230000}"/>
    <cellStyle name="Percent 4 14 3 5" xfId="9744" xr:uid="{00000000-0005-0000-0000-0000E4230000}"/>
    <cellStyle name="Percent 4 14 4" xfId="9745" xr:uid="{00000000-0005-0000-0000-0000E5230000}"/>
    <cellStyle name="Percent 4 14 4 2" xfId="9746" xr:uid="{00000000-0005-0000-0000-0000E6230000}"/>
    <cellStyle name="Percent 4 14 4 2 2" xfId="9747" xr:uid="{00000000-0005-0000-0000-0000E7230000}"/>
    <cellStyle name="Percent 4 14 4 3" xfId="9748" xr:uid="{00000000-0005-0000-0000-0000E8230000}"/>
    <cellStyle name="Percent 4 14 4 3 2" xfId="9749" xr:uid="{00000000-0005-0000-0000-0000E9230000}"/>
    <cellStyle name="Percent 4 14 4 4" xfId="9750" xr:uid="{00000000-0005-0000-0000-0000EA230000}"/>
    <cellStyle name="Percent 4 14 5" xfId="9751" xr:uid="{00000000-0005-0000-0000-0000EB230000}"/>
    <cellStyle name="Percent 4 14 5 2" xfId="9752" xr:uid="{00000000-0005-0000-0000-0000EC230000}"/>
    <cellStyle name="Percent 4 14 5 2 2" xfId="9753" xr:uid="{00000000-0005-0000-0000-0000ED230000}"/>
    <cellStyle name="Percent 4 14 5 3" xfId="9754" xr:uid="{00000000-0005-0000-0000-0000EE230000}"/>
    <cellStyle name="Percent 4 14 5 3 2" xfId="9755" xr:uid="{00000000-0005-0000-0000-0000EF230000}"/>
    <cellStyle name="Percent 4 14 5 4" xfId="9756" xr:uid="{00000000-0005-0000-0000-0000F0230000}"/>
    <cellStyle name="Percent 4 14 6" xfId="9757" xr:uid="{00000000-0005-0000-0000-0000F1230000}"/>
    <cellStyle name="Percent 4 14 6 2" xfId="9758" xr:uid="{00000000-0005-0000-0000-0000F2230000}"/>
    <cellStyle name="Percent 4 14 6 2 2" xfId="9759" xr:uid="{00000000-0005-0000-0000-0000F3230000}"/>
    <cellStyle name="Percent 4 14 6 3" xfId="9760" xr:uid="{00000000-0005-0000-0000-0000F4230000}"/>
    <cellStyle name="Percent 4 14 6 3 2" xfId="9761" xr:uid="{00000000-0005-0000-0000-0000F5230000}"/>
    <cellStyle name="Percent 4 14 6 4" xfId="9762" xr:uid="{00000000-0005-0000-0000-0000F6230000}"/>
    <cellStyle name="Percent 4 14 6 4 2" xfId="9763" xr:uid="{00000000-0005-0000-0000-0000F7230000}"/>
    <cellStyle name="Percent 4 14 6 5" xfId="9764" xr:uid="{00000000-0005-0000-0000-0000F8230000}"/>
    <cellStyle name="Percent 4 14 7" xfId="9765" xr:uid="{00000000-0005-0000-0000-0000F9230000}"/>
    <cellStyle name="Percent 4 14 7 2" xfId="9766" xr:uid="{00000000-0005-0000-0000-0000FA230000}"/>
    <cellStyle name="Percent 4 14 7 2 2" xfId="9767" xr:uid="{00000000-0005-0000-0000-0000FB230000}"/>
    <cellStyle name="Percent 4 14 7 3" xfId="9768" xr:uid="{00000000-0005-0000-0000-0000FC230000}"/>
    <cellStyle name="Percent 4 14 7 3 2" xfId="9769" xr:uid="{00000000-0005-0000-0000-0000FD230000}"/>
    <cellStyle name="Percent 4 14 7 4" xfId="9770" xr:uid="{00000000-0005-0000-0000-0000FE230000}"/>
    <cellStyle name="Percent 4 14 8" xfId="9771" xr:uid="{00000000-0005-0000-0000-0000FF230000}"/>
    <cellStyle name="Percent 4 14 8 2" xfId="9772" xr:uid="{00000000-0005-0000-0000-000000240000}"/>
    <cellStyle name="Percent 4 14 9" xfId="9773" xr:uid="{00000000-0005-0000-0000-000001240000}"/>
    <cellStyle name="Percent 4 14 9 2" xfId="9774" xr:uid="{00000000-0005-0000-0000-000002240000}"/>
    <cellStyle name="Percent 4 15" xfId="2975" xr:uid="{00000000-0005-0000-0000-000003240000}"/>
    <cellStyle name="Percent 4 15 10" xfId="9776" xr:uid="{00000000-0005-0000-0000-000004240000}"/>
    <cellStyle name="Percent 4 15 11" xfId="9777" xr:uid="{00000000-0005-0000-0000-000005240000}"/>
    <cellStyle name="Percent 4 15 12" xfId="9775" xr:uid="{00000000-0005-0000-0000-000006240000}"/>
    <cellStyle name="Percent 4 15 2" xfId="9778" xr:uid="{00000000-0005-0000-0000-000007240000}"/>
    <cellStyle name="Percent 4 15 2 2" xfId="9779" xr:uid="{00000000-0005-0000-0000-000008240000}"/>
    <cellStyle name="Percent 4 15 2 2 2" xfId="9780" xr:uid="{00000000-0005-0000-0000-000009240000}"/>
    <cellStyle name="Percent 4 15 2 3" xfId="9781" xr:uid="{00000000-0005-0000-0000-00000A240000}"/>
    <cellStyle name="Percent 4 15 2 3 2" xfId="9782" xr:uid="{00000000-0005-0000-0000-00000B240000}"/>
    <cellStyle name="Percent 4 15 2 4" xfId="9783" xr:uid="{00000000-0005-0000-0000-00000C240000}"/>
    <cellStyle name="Percent 4 15 2 5" xfId="9784" xr:uid="{00000000-0005-0000-0000-00000D240000}"/>
    <cellStyle name="Percent 4 15 3" xfId="9785" xr:uid="{00000000-0005-0000-0000-00000E240000}"/>
    <cellStyle name="Percent 4 15 3 2" xfId="9786" xr:uid="{00000000-0005-0000-0000-00000F240000}"/>
    <cellStyle name="Percent 4 15 3 2 2" xfId="9787" xr:uid="{00000000-0005-0000-0000-000010240000}"/>
    <cellStyle name="Percent 4 15 3 3" xfId="9788" xr:uid="{00000000-0005-0000-0000-000011240000}"/>
    <cellStyle name="Percent 4 15 3 3 2" xfId="9789" xr:uid="{00000000-0005-0000-0000-000012240000}"/>
    <cellStyle name="Percent 4 15 3 4" xfId="9790" xr:uid="{00000000-0005-0000-0000-000013240000}"/>
    <cellStyle name="Percent 4 15 4" xfId="9791" xr:uid="{00000000-0005-0000-0000-000014240000}"/>
    <cellStyle name="Percent 4 15 4 2" xfId="9792" xr:uid="{00000000-0005-0000-0000-000015240000}"/>
    <cellStyle name="Percent 4 15 4 2 2" xfId="9793" xr:uid="{00000000-0005-0000-0000-000016240000}"/>
    <cellStyle name="Percent 4 15 4 3" xfId="9794" xr:uid="{00000000-0005-0000-0000-000017240000}"/>
    <cellStyle name="Percent 4 15 4 3 2" xfId="9795" xr:uid="{00000000-0005-0000-0000-000018240000}"/>
    <cellStyle name="Percent 4 15 4 4" xfId="9796" xr:uid="{00000000-0005-0000-0000-000019240000}"/>
    <cellStyle name="Percent 4 15 5" xfId="9797" xr:uid="{00000000-0005-0000-0000-00001A240000}"/>
    <cellStyle name="Percent 4 15 5 2" xfId="9798" xr:uid="{00000000-0005-0000-0000-00001B240000}"/>
    <cellStyle name="Percent 4 15 5 2 2" xfId="9799" xr:uid="{00000000-0005-0000-0000-00001C240000}"/>
    <cellStyle name="Percent 4 15 5 3" xfId="9800" xr:uid="{00000000-0005-0000-0000-00001D240000}"/>
    <cellStyle name="Percent 4 15 5 3 2" xfId="9801" xr:uid="{00000000-0005-0000-0000-00001E240000}"/>
    <cellStyle name="Percent 4 15 5 4" xfId="9802" xr:uid="{00000000-0005-0000-0000-00001F240000}"/>
    <cellStyle name="Percent 4 15 5 4 2" xfId="9803" xr:uid="{00000000-0005-0000-0000-000020240000}"/>
    <cellStyle name="Percent 4 15 5 5" xfId="9804" xr:uid="{00000000-0005-0000-0000-000021240000}"/>
    <cellStyle name="Percent 4 15 6" xfId="9805" xr:uid="{00000000-0005-0000-0000-000022240000}"/>
    <cellStyle name="Percent 4 15 6 2" xfId="9806" xr:uid="{00000000-0005-0000-0000-000023240000}"/>
    <cellStyle name="Percent 4 15 6 2 2" xfId="9807" xr:uid="{00000000-0005-0000-0000-000024240000}"/>
    <cellStyle name="Percent 4 15 6 3" xfId="9808" xr:uid="{00000000-0005-0000-0000-000025240000}"/>
    <cellStyle name="Percent 4 15 6 3 2" xfId="9809" xr:uid="{00000000-0005-0000-0000-000026240000}"/>
    <cellStyle name="Percent 4 15 6 4" xfId="9810" xr:uid="{00000000-0005-0000-0000-000027240000}"/>
    <cellStyle name="Percent 4 15 7" xfId="9811" xr:uid="{00000000-0005-0000-0000-000028240000}"/>
    <cellStyle name="Percent 4 15 7 2" xfId="9812" xr:uid="{00000000-0005-0000-0000-000029240000}"/>
    <cellStyle name="Percent 4 15 8" xfId="9813" xr:uid="{00000000-0005-0000-0000-00002A240000}"/>
    <cellStyle name="Percent 4 15 8 2" xfId="9814" xr:uid="{00000000-0005-0000-0000-00002B240000}"/>
    <cellStyle name="Percent 4 15 9" xfId="9815" xr:uid="{00000000-0005-0000-0000-00002C240000}"/>
    <cellStyle name="Percent 4 15 9 2" xfId="9816" xr:uid="{00000000-0005-0000-0000-00002D240000}"/>
    <cellStyle name="Percent 4 16" xfId="2976" xr:uid="{00000000-0005-0000-0000-00002E240000}"/>
    <cellStyle name="Percent 4 16 10" xfId="9818" xr:uid="{00000000-0005-0000-0000-00002F240000}"/>
    <cellStyle name="Percent 4 16 11" xfId="9819" xr:uid="{00000000-0005-0000-0000-000030240000}"/>
    <cellStyle name="Percent 4 16 12" xfId="9817" xr:uid="{00000000-0005-0000-0000-000031240000}"/>
    <cellStyle name="Percent 4 16 2" xfId="4729" xr:uid="{00000000-0005-0000-0000-000032240000}"/>
    <cellStyle name="Percent 4 16 2 2" xfId="9821" xr:uid="{00000000-0005-0000-0000-000033240000}"/>
    <cellStyle name="Percent 4 16 2 2 2" xfId="9822" xr:uid="{00000000-0005-0000-0000-000034240000}"/>
    <cellStyle name="Percent 4 16 2 3" xfId="9823" xr:uid="{00000000-0005-0000-0000-000035240000}"/>
    <cellStyle name="Percent 4 16 2 3 2" xfId="9824" xr:uid="{00000000-0005-0000-0000-000036240000}"/>
    <cellStyle name="Percent 4 16 2 4" xfId="9825" xr:uid="{00000000-0005-0000-0000-000037240000}"/>
    <cellStyle name="Percent 4 16 2 5" xfId="9826" xr:uid="{00000000-0005-0000-0000-000038240000}"/>
    <cellStyle name="Percent 4 16 2 6" xfId="9820" xr:uid="{00000000-0005-0000-0000-000039240000}"/>
    <cellStyle name="Percent 4 16 3" xfId="9827" xr:uid="{00000000-0005-0000-0000-00003A240000}"/>
    <cellStyle name="Percent 4 16 3 2" xfId="9828" xr:uid="{00000000-0005-0000-0000-00003B240000}"/>
    <cellStyle name="Percent 4 16 3 2 2" xfId="9829" xr:uid="{00000000-0005-0000-0000-00003C240000}"/>
    <cellStyle name="Percent 4 16 3 3" xfId="9830" xr:uid="{00000000-0005-0000-0000-00003D240000}"/>
    <cellStyle name="Percent 4 16 3 3 2" xfId="9831" xr:uid="{00000000-0005-0000-0000-00003E240000}"/>
    <cellStyle name="Percent 4 16 3 4" xfId="9832" xr:uid="{00000000-0005-0000-0000-00003F240000}"/>
    <cellStyle name="Percent 4 16 4" xfId="9833" xr:uid="{00000000-0005-0000-0000-000040240000}"/>
    <cellStyle name="Percent 4 16 4 2" xfId="9834" xr:uid="{00000000-0005-0000-0000-000041240000}"/>
    <cellStyle name="Percent 4 16 4 2 2" xfId="9835" xr:uid="{00000000-0005-0000-0000-000042240000}"/>
    <cellStyle name="Percent 4 16 4 3" xfId="9836" xr:uid="{00000000-0005-0000-0000-000043240000}"/>
    <cellStyle name="Percent 4 16 4 3 2" xfId="9837" xr:uid="{00000000-0005-0000-0000-000044240000}"/>
    <cellStyle name="Percent 4 16 4 4" xfId="9838" xr:uid="{00000000-0005-0000-0000-000045240000}"/>
    <cellStyle name="Percent 4 16 5" xfId="9839" xr:uid="{00000000-0005-0000-0000-000046240000}"/>
    <cellStyle name="Percent 4 16 5 2" xfId="9840" xr:uid="{00000000-0005-0000-0000-000047240000}"/>
    <cellStyle name="Percent 4 16 5 2 2" xfId="9841" xr:uid="{00000000-0005-0000-0000-000048240000}"/>
    <cellStyle name="Percent 4 16 5 3" xfId="9842" xr:uid="{00000000-0005-0000-0000-000049240000}"/>
    <cellStyle name="Percent 4 16 5 3 2" xfId="9843" xr:uid="{00000000-0005-0000-0000-00004A240000}"/>
    <cellStyle name="Percent 4 16 5 4" xfId="9844" xr:uid="{00000000-0005-0000-0000-00004B240000}"/>
    <cellStyle name="Percent 4 16 5 4 2" xfId="9845" xr:uid="{00000000-0005-0000-0000-00004C240000}"/>
    <cellStyle name="Percent 4 16 5 5" xfId="9846" xr:uid="{00000000-0005-0000-0000-00004D240000}"/>
    <cellStyle name="Percent 4 16 6" xfId="9847" xr:uid="{00000000-0005-0000-0000-00004E240000}"/>
    <cellStyle name="Percent 4 16 6 2" xfId="9848" xr:uid="{00000000-0005-0000-0000-00004F240000}"/>
    <cellStyle name="Percent 4 16 6 2 2" xfId="9849" xr:uid="{00000000-0005-0000-0000-000050240000}"/>
    <cellStyle name="Percent 4 16 6 3" xfId="9850" xr:uid="{00000000-0005-0000-0000-000051240000}"/>
    <cellStyle name="Percent 4 16 6 3 2" xfId="9851" xr:uid="{00000000-0005-0000-0000-000052240000}"/>
    <cellStyle name="Percent 4 16 6 4" xfId="9852" xr:uid="{00000000-0005-0000-0000-000053240000}"/>
    <cellStyle name="Percent 4 16 7" xfId="9853" xr:uid="{00000000-0005-0000-0000-000054240000}"/>
    <cellStyle name="Percent 4 16 7 2" xfId="9854" xr:uid="{00000000-0005-0000-0000-000055240000}"/>
    <cellStyle name="Percent 4 16 8" xfId="9855" xr:uid="{00000000-0005-0000-0000-000056240000}"/>
    <cellStyle name="Percent 4 16 8 2" xfId="9856" xr:uid="{00000000-0005-0000-0000-000057240000}"/>
    <cellStyle name="Percent 4 16 9" xfId="9857" xr:uid="{00000000-0005-0000-0000-000058240000}"/>
    <cellStyle name="Percent 4 16 9 2" xfId="9858" xr:uid="{00000000-0005-0000-0000-000059240000}"/>
    <cellStyle name="Percent 4 17" xfId="2977" xr:uid="{00000000-0005-0000-0000-00005A240000}"/>
    <cellStyle name="Percent 4 17 10" xfId="9860" xr:uid="{00000000-0005-0000-0000-00005B240000}"/>
    <cellStyle name="Percent 4 17 11" xfId="9861" xr:uid="{00000000-0005-0000-0000-00005C240000}"/>
    <cellStyle name="Percent 4 17 12" xfId="9859" xr:uid="{00000000-0005-0000-0000-00005D240000}"/>
    <cellStyle name="Percent 4 17 2" xfId="9862" xr:uid="{00000000-0005-0000-0000-00005E240000}"/>
    <cellStyle name="Percent 4 17 2 2" xfId="9863" xr:uid="{00000000-0005-0000-0000-00005F240000}"/>
    <cellStyle name="Percent 4 17 2 2 2" xfId="9864" xr:uid="{00000000-0005-0000-0000-000060240000}"/>
    <cellStyle name="Percent 4 17 2 3" xfId="9865" xr:uid="{00000000-0005-0000-0000-000061240000}"/>
    <cellStyle name="Percent 4 17 2 3 2" xfId="9866" xr:uid="{00000000-0005-0000-0000-000062240000}"/>
    <cellStyle name="Percent 4 17 2 4" xfId="9867" xr:uid="{00000000-0005-0000-0000-000063240000}"/>
    <cellStyle name="Percent 4 17 2 5" xfId="9868" xr:uid="{00000000-0005-0000-0000-000064240000}"/>
    <cellStyle name="Percent 4 17 3" xfId="9869" xr:uid="{00000000-0005-0000-0000-000065240000}"/>
    <cellStyle name="Percent 4 17 3 2" xfId="9870" xr:uid="{00000000-0005-0000-0000-000066240000}"/>
    <cellStyle name="Percent 4 17 3 2 2" xfId="9871" xr:uid="{00000000-0005-0000-0000-000067240000}"/>
    <cellStyle name="Percent 4 17 3 3" xfId="9872" xr:uid="{00000000-0005-0000-0000-000068240000}"/>
    <cellStyle name="Percent 4 17 3 3 2" xfId="9873" xr:uid="{00000000-0005-0000-0000-000069240000}"/>
    <cellStyle name="Percent 4 17 3 4" xfId="9874" xr:uid="{00000000-0005-0000-0000-00006A240000}"/>
    <cellStyle name="Percent 4 17 4" xfId="9875" xr:uid="{00000000-0005-0000-0000-00006B240000}"/>
    <cellStyle name="Percent 4 17 4 2" xfId="9876" xr:uid="{00000000-0005-0000-0000-00006C240000}"/>
    <cellStyle name="Percent 4 17 4 2 2" xfId="9877" xr:uid="{00000000-0005-0000-0000-00006D240000}"/>
    <cellStyle name="Percent 4 17 4 3" xfId="9878" xr:uid="{00000000-0005-0000-0000-00006E240000}"/>
    <cellStyle name="Percent 4 17 4 3 2" xfId="9879" xr:uid="{00000000-0005-0000-0000-00006F240000}"/>
    <cellStyle name="Percent 4 17 4 4" xfId="9880" xr:uid="{00000000-0005-0000-0000-000070240000}"/>
    <cellStyle name="Percent 4 17 5" xfId="9881" xr:uid="{00000000-0005-0000-0000-000071240000}"/>
    <cellStyle name="Percent 4 17 5 2" xfId="9882" xr:uid="{00000000-0005-0000-0000-000072240000}"/>
    <cellStyle name="Percent 4 17 5 2 2" xfId="9883" xr:uid="{00000000-0005-0000-0000-000073240000}"/>
    <cellStyle name="Percent 4 17 5 3" xfId="9884" xr:uid="{00000000-0005-0000-0000-000074240000}"/>
    <cellStyle name="Percent 4 17 5 3 2" xfId="9885" xr:uid="{00000000-0005-0000-0000-000075240000}"/>
    <cellStyle name="Percent 4 17 5 4" xfId="9886" xr:uid="{00000000-0005-0000-0000-000076240000}"/>
    <cellStyle name="Percent 4 17 5 4 2" xfId="9887" xr:uid="{00000000-0005-0000-0000-000077240000}"/>
    <cellStyle name="Percent 4 17 5 5" xfId="9888" xr:uid="{00000000-0005-0000-0000-000078240000}"/>
    <cellStyle name="Percent 4 17 6" xfId="9889" xr:uid="{00000000-0005-0000-0000-000079240000}"/>
    <cellStyle name="Percent 4 17 6 2" xfId="9890" xr:uid="{00000000-0005-0000-0000-00007A240000}"/>
    <cellStyle name="Percent 4 17 6 2 2" xfId="9891" xr:uid="{00000000-0005-0000-0000-00007B240000}"/>
    <cellStyle name="Percent 4 17 6 3" xfId="9892" xr:uid="{00000000-0005-0000-0000-00007C240000}"/>
    <cellStyle name="Percent 4 17 6 3 2" xfId="9893" xr:uid="{00000000-0005-0000-0000-00007D240000}"/>
    <cellStyle name="Percent 4 17 6 4" xfId="9894" xr:uid="{00000000-0005-0000-0000-00007E240000}"/>
    <cellStyle name="Percent 4 17 7" xfId="9895" xr:uid="{00000000-0005-0000-0000-00007F240000}"/>
    <cellStyle name="Percent 4 17 7 2" xfId="9896" xr:uid="{00000000-0005-0000-0000-000080240000}"/>
    <cellStyle name="Percent 4 17 8" xfId="9897" xr:uid="{00000000-0005-0000-0000-000081240000}"/>
    <cellStyle name="Percent 4 17 8 2" xfId="9898" xr:uid="{00000000-0005-0000-0000-000082240000}"/>
    <cellStyle name="Percent 4 17 9" xfId="9899" xr:uid="{00000000-0005-0000-0000-000083240000}"/>
    <cellStyle name="Percent 4 17 9 2" xfId="9900" xr:uid="{00000000-0005-0000-0000-000084240000}"/>
    <cellStyle name="Percent 4 18" xfId="2978" xr:uid="{00000000-0005-0000-0000-000085240000}"/>
    <cellStyle name="Percent 4 18 10" xfId="9902" xr:uid="{00000000-0005-0000-0000-000086240000}"/>
    <cellStyle name="Percent 4 18 11" xfId="9903" xr:uid="{00000000-0005-0000-0000-000087240000}"/>
    <cellStyle name="Percent 4 18 12" xfId="9901" xr:uid="{00000000-0005-0000-0000-000088240000}"/>
    <cellStyle name="Percent 4 18 2" xfId="9904" xr:uid="{00000000-0005-0000-0000-000089240000}"/>
    <cellStyle name="Percent 4 18 2 2" xfId="9905" xr:uid="{00000000-0005-0000-0000-00008A240000}"/>
    <cellStyle name="Percent 4 18 2 2 2" xfId="9906" xr:uid="{00000000-0005-0000-0000-00008B240000}"/>
    <cellStyle name="Percent 4 18 2 3" xfId="9907" xr:uid="{00000000-0005-0000-0000-00008C240000}"/>
    <cellStyle name="Percent 4 18 2 3 2" xfId="9908" xr:uid="{00000000-0005-0000-0000-00008D240000}"/>
    <cellStyle name="Percent 4 18 2 4" xfId="9909" xr:uid="{00000000-0005-0000-0000-00008E240000}"/>
    <cellStyle name="Percent 4 18 2 5" xfId="9910" xr:uid="{00000000-0005-0000-0000-00008F240000}"/>
    <cellStyle name="Percent 4 18 3" xfId="9911" xr:uid="{00000000-0005-0000-0000-000090240000}"/>
    <cellStyle name="Percent 4 18 3 2" xfId="9912" xr:uid="{00000000-0005-0000-0000-000091240000}"/>
    <cellStyle name="Percent 4 18 3 2 2" xfId="9913" xr:uid="{00000000-0005-0000-0000-000092240000}"/>
    <cellStyle name="Percent 4 18 3 3" xfId="9914" xr:uid="{00000000-0005-0000-0000-000093240000}"/>
    <cellStyle name="Percent 4 18 3 3 2" xfId="9915" xr:uid="{00000000-0005-0000-0000-000094240000}"/>
    <cellStyle name="Percent 4 18 3 4" xfId="9916" xr:uid="{00000000-0005-0000-0000-000095240000}"/>
    <cellStyle name="Percent 4 18 4" xfId="9917" xr:uid="{00000000-0005-0000-0000-000096240000}"/>
    <cellStyle name="Percent 4 18 4 2" xfId="9918" xr:uid="{00000000-0005-0000-0000-000097240000}"/>
    <cellStyle name="Percent 4 18 4 2 2" xfId="9919" xr:uid="{00000000-0005-0000-0000-000098240000}"/>
    <cellStyle name="Percent 4 18 4 3" xfId="9920" xr:uid="{00000000-0005-0000-0000-000099240000}"/>
    <cellStyle name="Percent 4 18 4 3 2" xfId="9921" xr:uid="{00000000-0005-0000-0000-00009A240000}"/>
    <cellStyle name="Percent 4 18 4 4" xfId="9922" xr:uid="{00000000-0005-0000-0000-00009B240000}"/>
    <cellStyle name="Percent 4 18 5" xfId="9923" xr:uid="{00000000-0005-0000-0000-00009C240000}"/>
    <cellStyle name="Percent 4 18 5 2" xfId="9924" xr:uid="{00000000-0005-0000-0000-00009D240000}"/>
    <cellStyle name="Percent 4 18 5 2 2" xfId="9925" xr:uid="{00000000-0005-0000-0000-00009E240000}"/>
    <cellStyle name="Percent 4 18 5 3" xfId="9926" xr:uid="{00000000-0005-0000-0000-00009F240000}"/>
    <cellStyle name="Percent 4 18 5 3 2" xfId="9927" xr:uid="{00000000-0005-0000-0000-0000A0240000}"/>
    <cellStyle name="Percent 4 18 5 4" xfId="9928" xr:uid="{00000000-0005-0000-0000-0000A1240000}"/>
    <cellStyle name="Percent 4 18 5 4 2" xfId="9929" xr:uid="{00000000-0005-0000-0000-0000A2240000}"/>
    <cellStyle name="Percent 4 18 5 5" xfId="9930" xr:uid="{00000000-0005-0000-0000-0000A3240000}"/>
    <cellStyle name="Percent 4 18 6" xfId="9931" xr:uid="{00000000-0005-0000-0000-0000A4240000}"/>
    <cellStyle name="Percent 4 18 6 2" xfId="9932" xr:uid="{00000000-0005-0000-0000-0000A5240000}"/>
    <cellStyle name="Percent 4 18 6 2 2" xfId="9933" xr:uid="{00000000-0005-0000-0000-0000A6240000}"/>
    <cellStyle name="Percent 4 18 6 3" xfId="9934" xr:uid="{00000000-0005-0000-0000-0000A7240000}"/>
    <cellStyle name="Percent 4 18 6 3 2" xfId="9935" xr:uid="{00000000-0005-0000-0000-0000A8240000}"/>
    <cellStyle name="Percent 4 18 6 4" xfId="9936" xr:uid="{00000000-0005-0000-0000-0000A9240000}"/>
    <cellStyle name="Percent 4 18 7" xfId="9937" xr:uid="{00000000-0005-0000-0000-0000AA240000}"/>
    <cellStyle name="Percent 4 18 7 2" xfId="9938" xr:uid="{00000000-0005-0000-0000-0000AB240000}"/>
    <cellStyle name="Percent 4 18 8" xfId="9939" xr:uid="{00000000-0005-0000-0000-0000AC240000}"/>
    <cellStyle name="Percent 4 18 8 2" xfId="9940" xr:uid="{00000000-0005-0000-0000-0000AD240000}"/>
    <cellStyle name="Percent 4 18 9" xfId="9941" xr:uid="{00000000-0005-0000-0000-0000AE240000}"/>
    <cellStyle name="Percent 4 18 9 2" xfId="9942" xr:uid="{00000000-0005-0000-0000-0000AF240000}"/>
    <cellStyle name="Percent 4 19" xfId="2979" xr:uid="{00000000-0005-0000-0000-0000B0240000}"/>
    <cellStyle name="Percent 4 19 10" xfId="9944" xr:uid="{00000000-0005-0000-0000-0000B1240000}"/>
    <cellStyle name="Percent 4 19 11" xfId="9945" xr:uid="{00000000-0005-0000-0000-0000B2240000}"/>
    <cellStyle name="Percent 4 19 12" xfId="9943" xr:uid="{00000000-0005-0000-0000-0000B3240000}"/>
    <cellStyle name="Percent 4 19 2" xfId="9946" xr:uid="{00000000-0005-0000-0000-0000B4240000}"/>
    <cellStyle name="Percent 4 19 2 2" xfId="9947" xr:uid="{00000000-0005-0000-0000-0000B5240000}"/>
    <cellStyle name="Percent 4 19 2 2 2" xfId="9948" xr:uid="{00000000-0005-0000-0000-0000B6240000}"/>
    <cellStyle name="Percent 4 19 2 3" xfId="9949" xr:uid="{00000000-0005-0000-0000-0000B7240000}"/>
    <cellStyle name="Percent 4 19 2 3 2" xfId="9950" xr:uid="{00000000-0005-0000-0000-0000B8240000}"/>
    <cellStyle name="Percent 4 19 2 4" xfId="9951" xr:uid="{00000000-0005-0000-0000-0000B9240000}"/>
    <cellStyle name="Percent 4 19 2 5" xfId="9952" xr:uid="{00000000-0005-0000-0000-0000BA240000}"/>
    <cellStyle name="Percent 4 19 3" xfId="9953" xr:uid="{00000000-0005-0000-0000-0000BB240000}"/>
    <cellStyle name="Percent 4 19 3 2" xfId="9954" xr:uid="{00000000-0005-0000-0000-0000BC240000}"/>
    <cellStyle name="Percent 4 19 3 2 2" xfId="9955" xr:uid="{00000000-0005-0000-0000-0000BD240000}"/>
    <cellStyle name="Percent 4 19 3 3" xfId="9956" xr:uid="{00000000-0005-0000-0000-0000BE240000}"/>
    <cellStyle name="Percent 4 19 3 3 2" xfId="9957" xr:uid="{00000000-0005-0000-0000-0000BF240000}"/>
    <cellStyle name="Percent 4 19 3 4" xfId="9958" xr:uid="{00000000-0005-0000-0000-0000C0240000}"/>
    <cellStyle name="Percent 4 19 4" xfId="9959" xr:uid="{00000000-0005-0000-0000-0000C1240000}"/>
    <cellStyle name="Percent 4 19 4 2" xfId="9960" xr:uid="{00000000-0005-0000-0000-0000C2240000}"/>
    <cellStyle name="Percent 4 19 4 2 2" xfId="9961" xr:uid="{00000000-0005-0000-0000-0000C3240000}"/>
    <cellStyle name="Percent 4 19 4 3" xfId="9962" xr:uid="{00000000-0005-0000-0000-0000C4240000}"/>
    <cellStyle name="Percent 4 19 4 3 2" xfId="9963" xr:uid="{00000000-0005-0000-0000-0000C5240000}"/>
    <cellStyle name="Percent 4 19 4 4" xfId="9964" xr:uid="{00000000-0005-0000-0000-0000C6240000}"/>
    <cellStyle name="Percent 4 19 5" xfId="9965" xr:uid="{00000000-0005-0000-0000-0000C7240000}"/>
    <cellStyle name="Percent 4 19 5 2" xfId="9966" xr:uid="{00000000-0005-0000-0000-0000C8240000}"/>
    <cellStyle name="Percent 4 19 5 2 2" xfId="9967" xr:uid="{00000000-0005-0000-0000-0000C9240000}"/>
    <cellStyle name="Percent 4 19 5 3" xfId="9968" xr:uid="{00000000-0005-0000-0000-0000CA240000}"/>
    <cellStyle name="Percent 4 19 5 3 2" xfId="9969" xr:uid="{00000000-0005-0000-0000-0000CB240000}"/>
    <cellStyle name="Percent 4 19 5 4" xfId="9970" xr:uid="{00000000-0005-0000-0000-0000CC240000}"/>
    <cellStyle name="Percent 4 19 5 4 2" xfId="9971" xr:uid="{00000000-0005-0000-0000-0000CD240000}"/>
    <cellStyle name="Percent 4 19 5 5" xfId="9972" xr:uid="{00000000-0005-0000-0000-0000CE240000}"/>
    <cellStyle name="Percent 4 19 6" xfId="9973" xr:uid="{00000000-0005-0000-0000-0000CF240000}"/>
    <cellStyle name="Percent 4 19 6 2" xfId="9974" xr:uid="{00000000-0005-0000-0000-0000D0240000}"/>
    <cellStyle name="Percent 4 19 6 2 2" xfId="9975" xr:uid="{00000000-0005-0000-0000-0000D1240000}"/>
    <cellStyle name="Percent 4 19 6 3" xfId="9976" xr:uid="{00000000-0005-0000-0000-0000D2240000}"/>
    <cellStyle name="Percent 4 19 6 3 2" xfId="9977" xr:uid="{00000000-0005-0000-0000-0000D3240000}"/>
    <cellStyle name="Percent 4 19 6 4" xfId="9978" xr:uid="{00000000-0005-0000-0000-0000D4240000}"/>
    <cellStyle name="Percent 4 19 7" xfId="9979" xr:uid="{00000000-0005-0000-0000-0000D5240000}"/>
    <cellStyle name="Percent 4 19 7 2" xfId="9980" xr:uid="{00000000-0005-0000-0000-0000D6240000}"/>
    <cellStyle name="Percent 4 19 8" xfId="9981" xr:uid="{00000000-0005-0000-0000-0000D7240000}"/>
    <cellStyle name="Percent 4 19 8 2" xfId="9982" xr:uid="{00000000-0005-0000-0000-0000D8240000}"/>
    <cellStyle name="Percent 4 19 9" xfId="9983" xr:uid="{00000000-0005-0000-0000-0000D9240000}"/>
    <cellStyle name="Percent 4 19 9 2" xfId="9984" xr:uid="{00000000-0005-0000-0000-0000DA240000}"/>
    <cellStyle name="Percent 4 2" xfId="287" xr:uid="{00000000-0005-0000-0000-0000DB240000}"/>
    <cellStyle name="Percent 4 2 10" xfId="9986" xr:uid="{00000000-0005-0000-0000-0000DC240000}"/>
    <cellStyle name="Percent 4 2 10 2" xfId="9987" xr:uid="{00000000-0005-0000-0000-0000DD240000}"/>
    <cellStyle name="Percent 4 2 10 2 2" xfId="9988" xr:uid="{00000000-0005-0000-0000-0000DE240000}"/>
    <cellStyle name="Percent 4 2 10 3" xfId="9989" xr:uid="{00000000-0005-0000-0000-0000DF240000}"/>
    <cellStyle name="Percent 4 2 10 3 2" xfId="9990" xr:uid="{00000000-0005-0000-0000-0000E0240000}"/>
    <cellStyle name="Percent 4 2 10 4" xfId="9991" xr:uid="{00000000-0005-0000-0000-0000E1240000}"/>
    <cellStyle name="Percent 4 2 11" xfId="9992" xr:uid="{00000000-0005-0000-0000-0000E2240000}"/>
    <cellStyle name="Percent 4 2 11 2" xfId="9993" xr:uid="{00000000-0005-0000-0000-0000E3240000}"/>
    <cellStyle name="Percent 4 2 11 2 2" xfId="9994" xr:uid="{00000000-0005-0000-0000-0000E4240000}"/>
    <cellStyle name="Percent 4 2 11 3" xfId="9995" xr:uid="{00000000-0005-0000-0000-0000E5240000}"/>
    <cellStyle name="Percent 4 2 11 3 2" xfId="9996" xr:uid="{00000000-0005-0000-0000-0000E6240000}"/>
    <cellStyle name="Percent 4 2 11 4" xfId="9997" xr:uid="{00000000-0005-0000-0000-0000E7240000}"/>
    <cellStyle name="Percent 4 2 12" xfId="9998" xr:uid="{00000000-0005-0000-0000-0000E8240000}"/>
    <cellStyle name="Percent 4 2 12 2" xfId="9999" xr:uid="{00000000-0005-0000-0000-0000E9240000}"/>
    <cellStyle name="Percent 4 2 12 2 2" xfId="10000" xr:uid="{00000000-0005-0000-0000-0000EA240000}"/>
    <cellStyle name="Percent 4 2 12 3" xfId="10001" xr:uid="{00000000-0005-0000-0000-0000EB240000}"/>
    <cellStyle name="Percent 4 2 12 3 2" xfId="10002" xr:uid="{00000000-0005-0000-0000-0000EC240000}"/>
    <cellStyle name="Percent 4 2 12 4" xfId="10003" xr:uid="{00000000-0005-0000-0000-0000ED240000}"/>
    <cellStyle name="Percent 4 2 12 4 2" xfId="10004" xr:uid="{00000000-0005-0000-0000-0000EE240000}"/>
    <cellStyle name="Percent 4 2 12 5" xfId="10005" xr:uid="{00000000-0005-0000-0000-0000EF240000}"/>
    <cellStyle name="Percent 4 2 13" xfId="10006" xr:uid="{00000000-0005-0000-0000-0000F0240000}"/>
    <cellStyle name="Percent 4 2 13 2" xfId="10007" xr:uid="{00000000-0005-0000-0000-0000F1240000}"/>
    <cellStyle name="Percent 4 2 13 2 2" xfId="10008" xr:uid="{00000000-0005-0000-0000-0000F2240000}"/>
    <cellStyle name="Percent 4 2 13 3" xfId="10009" xr:uid="{00000000-0005-0000-0000-0000F3240000}"/>
    <cellStyle name="Percent 4 2 13 3 2" xfId="10010" xr:uid="{00000000-0005-0000-0000-0000F4240000}"/>
    <cellStyle name="Percent 4 2 13 4" xfId="10011" xr:uid="{00000000-0005-0000-0000-0000F5240000}"/>
    <cellStyle name="Percent 4 2 14" xfId="10012" xr:uid="{00000000-0005-0000-0000-0000F6240000}"/>
    <cellStyle name="Percent 4 2 14 2" xfId="10013" xr:uid="{00000000-0005-0000-0000-0000F7240000}"/>
    <cellStyle name="Percent 4 2 15" xfId="10014" xr:uid="{00000000-0005-0000-0000-0000F8240000}"/>
    <cellStyle name="Percent 4 2 15 2" xfId="10015" xr:uid="{00000000-0005-0000-0000-0000F9240000}"/>
    <cellStyle name="Percent 4 2 16" xfId="10016" xr:uid="{00000000-0005-0000-0000-0000FA240000}"/>
    <cellStyle name="Percent 4 2 16 2" xfId="10017" xr:uid="{00000000-0005-0000-0000-0000FB240000}"/>
    <cellStyle name="Percent 4 2 17" xfId="10018" xr:uid="{00000000-0005-0000-0000-0000FC240000}"/>
    <cellStyle name="Percent 4 2 18" xfId="10019" xr:uid="{00000000-0005-0000-0000-0000FD240000}"/>
    <cellStyle name="Percent 4 2 19" xfId="9985" xr:uid="{00000000-0005-0000-0000-0000FE240000}"/>
    <cellStyle name="Percent 4 2 2" xfId="288" xr:uid="{00000000-0005-0000-0000-0000FF240000}"/>
    <cellStyle name="Percent 4 2 2 10" xfId="10021" xr:uid="{00000000-0005-0000-0000-000000250000}"/>
    <cellStyle name="Percent 4 2 2 11" xfId="10020" xr:uid="{00000000-0005-0000-0000-000001250000}"/>
    <cellStyle name="Percent 4 2 2 2" xfId="10022" xr:uid="{00000000-0005-0000-0000-000002250000}"/>
    <cellStyle name="Percent 4 2 2 2 2" xfId="10023" xr:uid="{00000000-0005-0000-0000-000003250000}"/>
    <cellStyle name="Percent 4 2 2 2 2 2" xfId="10024" xr:uid="{00000000-0005-0000-0000-000004250000}"/>
    <cellStyle name="Percent 4 2 2 2 3" xfId="10025" xr:uid="{00000000-0005-0000-0000-000005250000}"/>
    <cellStyle name="Percent 4 2 2 2 3 2" xfId="10026" xr:uid="{00000000-0005-0000-0000-000006250000}"/>
    <cellStyle name="Percent 4 2 2 2 4" xfId="10027" xr:uid="{00000000-0005-0000-0000-000007250000}"/>
    <cellStyle name="Percent 4 2 2 2 5" xfId="10028" xr:uid="{00000000-0005-0000-0000-000008250000}"/>
    <cellStyle name="Percent 4 2 2 3" xfId="10029" xr:uid="{00000000-0005-0000-0000-000009250000}"/>
    <cellStyle name="Percent 4 2 2 3 2" xfId="10030" xr:uid="{00000000-0005-0000-0000-00000A250000}"/>
    <cellStyle name="Percent 4 2 2 3 2 2" xfId="10031" xr:uid="{00000000-0005-0000-0000-00000B250000}"/>
    <cellStyle name="Percent 4 2 2 3 3" xfId="10032" xr:uid="{00000000-0005-0000-0000-00000C250000}"/>
    <cellStyle name="Percent 4 2 2 3 3 2" xfId="10033" xr:uid="{00000000-0005-0000-0000-00000D250000}"/>
    <cellStyle name="Percent 4 2 2 3 4" xfId="10034" xr:uid="{00000000-0005-0000-0000-00000E250000}"/>
    <cellStyle name="Percent 4 2 2 4" xfId="10035" xr:uid="{00000000-0005-0000-0000-00000F250000}"/>
    <cellStyle name="Percent 4 2 2 4 2" xfId="10036" xr:uid="{00000000-0005-0000-0000-000010250000}"/>
    <cellStyle name="Percent 4 2 2 4 2 2" xfId="10037" xr:uid="{00000000-0005-0000-0000-000011250000}"/>
    <cellStyle name="Percent 4 2 2 4 3" xfId="10038" xr:uid="{00000000-0005-0000-0000-000012250000}"/>
    <cellStyle name="Percent 4 2 2 4 3 2" xfId="10039" xr:uid="{00000000-0005-0000-0000-000013250000}"/>
    <cellStyle name="Percent 4 2 2 4 4" xfId="10040" xr:uid="{00000000-0005-0000-0000-000014250000}"/>
    <cellStyle name="Percent 4 2 2 4 4 2" xfId="10041" xr:uid="{00000000-0005-0000-0000-000015250000}"/>
    <cellStyle name="Percent 4 2 2 4 5" xfId="10042" xr:uid="{00000000-0005-0000-0000-000016250000}"/>
    <cellStyle name="Percent 4 2 2 5" xfId="10043" xr:uid="{00000000-0005-0000-0000-000017250000}"/>
    <cellStyle name="Percent 4 2 2 5 2" xfId="10044" xr:uid="{00000000-0005-0000-0000-000018250000}"/>
    <cellStyle name="Percent 4 2 2 5 2 2" xfId="10045" xr:uid="{00000000-0005-0000-0000-000019250000}"/>
    <cellStyle name="Percent 4 2 2 5 3" xfId="10046" xr:uid="{00000000-0005-0000-0000-00001A250000}"/>
    <cellStyle name="Percent 4 2 2 5 3 2" xfId="10047" xr:uid="{00000000-0005-0000-0000-00001B250000}"/>
    <cellStyle name="Percent 4 2 2 5 4" xfId="10048" xr:uid="{00000000-0005-0000-0000-00001C250000}"/>
    <cellStyle name="Percent 4 2 2 6" xfId="10049" xr:uid="{00000000-0005-0000-0000-00001D250000}"/>
    <cellStyle name="Percent 4 2 2 6 2" xfId="10050" xr:uid="{00000000-0005-0000-0000-00001E250000}"/>
    <cellStyle name="Percent 4 2 2 7" xfId="10051" xr:uid="{00000000-0005-0000-0000-00001F250000}"/>
    <cellStyle name="Percent 4 2 2 7 2" xfId="10052" xr:uid="{00000000-0005-0000-0000-000020250000}"/>
    <cellStyle name="Percent 4 2 2 8" xfId="10053" xr:uid="{00000000-0005-0000-0000-000021250000}"/>
    <cellStyle name="Percent 4 2 2 8 2" xfId="10054" xr:uid="{00000000-0005-0000-0000-000022250000}"/>
    <cellStyle name="Percent 4 2 2 9" xfId="10055" xr:uid="{00000000-0005-0000-0000-000023250000}"/>
    <cellStyle name="Percent 4 2 3" xfId="289" xr:uid="{00000000-0005-0000-0000-000024250000}"/>
    <cellStyle name="Percent 4 2 3 10" xfId="10057" xr:uid="{00000000-0005-0000-0000-000025250000}"/>
    <cellStyle name="Percent 4 2 3 11" xfId="10056" xr:uid="{00000000-0005-0000-0000-000026250000}"/>
    <cellStyle name="Percent 4 2 3 2" xfId="10058" xr:uid="{00000000-0005-0000-0000-000027250000}"/>
    <cellStyle name="Percent 4 2 3 2 2" xfId="10059" xr:uid="{00000000-0005-0000-0000-000028250000}"/>
    <cellStyle name="Percent 4 2 3 2 2 2" xfId="10060" xr:uid="{00000000-0005-0000-0000-000029250000}"/>
    <cellStyle name="Percent 4 2 3 2 3" xfId="10061" xr:uid="{00000000-0005-0000-0000-00002A250000}"/>
    <cellStyle name="Percent 4 2 3 2 3 2" xfId="10062" xr:uid="{00000000-0005-0000-0000-00002B250000}"/>
    <cellStyle name="Percent 4 2 3 2 4" xfId="10063" xr:uid="{00000000-0005-0000-0000-00002C250000}"/>
    <cellStyle name="Percent 4 2 3 2 5" xfId="10064" xr:uid="{00000000-0005-0000-0000-00002D250000}"/>
    <cellStyle name="Percent 4 2 3 3" xfId="10065" xr:uid="{00000000-0005-0000-0000-00002E250000}"/>
    <cellStyle name="Percent 4 2 3 3 2" xfId="10066" xr:uid="{00000000-0005-0000-0000-00002F250000}"/>
    <cellStyle name="Percent 4 2 3 3 2 2" xfId="10067" xr:uid="{00000000-0005-0000-0000-000030250000}"/>
    <cellStyle name="Percent 4 2 3 3 3" xfId="10068" xr:uid="{00000000-0005-0000-0000-000031250000}"/>
    <cellStyle name="Percent 4 2 3 3 3 2" xfId="10069" xr:uid="{00000000-0005-0000-0000-000032250000}"/>
    <cellStyle name="Percent 4 2 3 3 4" xfId="10070" xr:uid="{00000000-0005-0000-0000-000033250000}"/>
    <cellStyle name="Percent 4 2 3 4" xfId="10071" xr:uid="{00000000-0005-0000-0000-000034250000}"/>
    <cellStyle name="Percent 4 2 3 4 2" xfId="10072" xr:uid="{00000000-0005-0000-0000-000035250000}"/>
    <cellStyle name="Percent 4 2 3 4 2 2" xfId="10073" xr:uid="{00000000-0005-0000-0000-000036250000}"/>
    <cellStyle name="Percent 4 2 3 4 3" xfId="10074" xr:uid="{00000000-0005-0000-0000-000037250000}"/>
    <cellStyle name="Percent 4 2 3 4 3 2" xfId="10075" xr:uid="{00000000-0005-0000-0000-000038250000}"/>
    <cellStyle name="Percent 4 2 3 4 4" xfId="10076" xr:uid="{00000000-0005-0000-0000-000039250000}"/>
    <cellStyle name="Percent 4 2 3 4 4 2" xfId="10077" xr:uid="{00000000-0005-0000-0000-00003A250000}"/>
    <cellStyle name="Percent 4 2 3 4 5" xfId="10078" xr:uid="{00000000-0005-0000-0000-00003B250000}"/>
    <cellStyle name="Percent 4 2 3 5" xfId="10079" xr:uid="{00000000-0005-0000-0000-00003C250000}"/>
    <cellStyle name="Percent 4 2 3 5 2" xfId="10080" xr:uid="{00000000-0005-0000-0000-00003D250000}"/>
    <cellStyle name="Percent 4 2 3 5 2 2" xfId="10081" xr:uid="{00000000-0005-0000-0000-00003E250000}"/>
    <cellStyle name="Percent 4 2 3 5 3" xfId="10082" xr:uid="{00000000-0005-0000-0000-00003F250000}"/>
    <cellStyle name="Percent 4 2 3 5 3 2" xfId="10083" xr:uid="{00000000-0005-0000-0000-000040250000}"/>
    <cellStyle name="Percent 4 2 3 5 4" xfId="10084" xr:uid="{00000000-0005-0000-0000-000041250000}"/>
    <cellStyle name="Percent 4 2 3 6" xfId="10085" xr:uid="{00000000-0005-0000-0000-000042250000}"/>
    <cellStyle name="Percent 4 2 3 6 2" xfId="10086" xr:uid="{00000000-0005-0000-0000-000043250000}"/>
    <cellStyle name="Percent 4 2 3 7" xfId="10087" xr:uid="{00000000-0005-0000-0000-000044250000}"/>
    <cellStyle name="Percent 4 2 3 7 2" xfId="10088" xr:uid="{00000000-0005-0000-0000-000045250000}"/>
    <cellStyle name="Percent 4 2 3 8" xfId="10089" xr:uid="{00000000-0005-0000-0000-000046250000}"/>
    <cellStyle name="Percent 4 2 3 8 2" xfId="10090" xr:uid="{00000000-0005-0000-0000-000047250000}"/>
    <cellStyle name="Percent 4 2 3 9" xfId="10091" xr:uid="{00000000-0005-0000-0000-000048250000}"/>
    <cellStyle name="Percent 4 2 4" xfId="384" xr:uid="{00000000-0005-0000-0000-000049250000}"/>
    <cellStyle name="Percent 4 2 4 10" xfId="10093" xr:uid="{00000000-0005-0000-0000-00004A250000}"/>
    <cellStyle name="Percent 4 2 4 11" xfId="10092" xr:uid="{00000000-0005-0000-0000-00004B250000}"/>
    <cellStyle name="Percent 4 2 4 2" xfId="2981" xr:uid="{00000000-0005-0000-0000-00004C250000}"/>
    <cellStyle name="Percent 4 2 4 2 2" xfId="10095" xr:uid="{00000000-0005-0000-0000-00004D250000}"/>
    <cellStyle name="Percent 4 2 4 2 2 2" xfId="10096" xr:uid="{00000000-0005-0000-0000-00004E250000}"/>
    <cellStyle name="Percent 4 2 4 2 3" xfId="10097" xr:uid="{00000000-0005-0000-0000-00004F250000}"/>
    <cellStyle name="Percent 4 2 4 2 3 2" xfId="10098" xr:uid="{00000000-0005-0000-0000-000050250000}"/>
    <cellStyle name="Percent 4 2 4 2 4" xfId="10099" xr:uid="{00000000-0005-0000-0000-000051250000}"/>
    <cellStyle name="Percent 4 2 4 2 5" xfId="10100" xr:uid="{00000000-0005-0000-0000-000052250000}"/>
    <cellStyle name="Percent 4 2 4 2 6" xfId="10094" xr:uid="{00000000-0005-0000-0000-000053250000}"/>
    <cellStyle name="Percent 4 2 4 3" xfId="4730" xr:uid="{00000000-0005-0000-0000-000054250000}"/>
    <cellStyle name="Percent 4 2 4 3 2" xfId="10102" xr:uid="{00000000-0005-0000-0000-000055250000}"/>
    <cellStyle name="Percent 4 2 4 3 2 2" xfId="10103" xr:uid="{00000000-0005-0000-0000-000056250000}"/>
    <cellStyle name="Percent 4 2 4 3 3" xfId="10104" xr:uid="{00000000-0005-0000-0000-000057250000}"/>
    <cellStyle name="Percent 4 2 4 3 3 2" xfId="10105" xr:uid="{00000000-0005-0000-0000-000058250000}"/>
    <cellStyle name="Percent 4 2 4 3 4" xfId="10106" xr:uid="{00000000-0005-0000-0000-000059250000}"/>
    <cellStyle name="Percent 4 2 4 3 5" xfId="10101" xr:uid="{00000000-0005-0000-0000-00005A250000}"/>
    <cellStyle name="Percent 4 2 4 4" xfId="10107" xr:uid="{00000000-0005-0000-0000-00005B250000}"/>
    <cellStyle name="Percent 4 2 4 4 2" xfId="10108" xr:uid="{00000000-0005-0000-0000-00005C250000}"/>
    <cellStyle name="Percent 4 2 4 4 2 2" xfId="10109" xr:uid="{00000000-0005-0000-0000-00005D250000}"/>
    <cellStyle name="Percent 4 2 4 4 3" xfId="10110" xr:uid="{00000000-0005-0000-0000-00005E250000}"/>
    <cellStyle name="Percent 4 2 4 4 3 2" xfId="10111" xr:uid="{00000000-0005-0000-0000-00005F250000}"/>
    <cellStyle name="Percent 4 2 4 4 4" xfId="10112" xr:uid="{00000000-0005-0000-0000-000060250000}"/>
    <cellStyle name="Percent 4 2 4 4 4 2" xfId="10113" xr:uid="{00000000-0005-0000-0000-000061250000}"/>
    <cellStyle name="Percent 4 2 4 4 5" xfId="10114" xr:uid="{00000000-0005-0000-0000-000062250000}"/>
    <cellStyle name="Percent 4 2 4 5" xfId="10115" xr:uid="{00000000-0005-0000-0000-000063250000}"/>
    <cellStyle name="Percent 4 2 4 5 2" xfId="10116" xr:uid="{00000000-0005-0000-0000-000064250000}"/>
    <cellStyle name="Percent 4 2 4 5 2 2" xfId="10117" xr:uid="{00000000-0005-0000-0000-000065250000}"/>
    <cellStyle name="Percent 4 2 4 5 3" xfId="10118" xr:uid="{00000000-0005-0000-0000-000066250000}"/>
    <cellStyle name="Percent 4 2 4 5 3 2" xfId="10119" xr:uid="{00000000-0005-0000-0000-000067250000}"/>
    <cellStyle name="Percent 4 2 4 5 4" xfId="10120" xr:uid="{00000000-0005-0000-0000-000068250000}"/>
    <cellStyle name="Percent 4 2 4 6" xfId="10121" xr:uid="{00000000-0005-0000-0000-000069250000}"/>
    <cellStyle name="Percent 4 2 4 6 2" xfId="10122" xr:uid="{00000000-0005-0000-0000-00006A250000}"/>
    <cellStyle name="Percent 4 2 4 7" xfId="10123" xr:uid="{00000000-0005-0000-0000-00006B250000}"/>
    <cellStyle name="Percent 4 2 4 7 2" xfId="10124" xr:uid="{00000000-0005-0000-0000-00006C250000}"/>
    <cellStyle name="Percent 4 2 4 8" xfId="10125" xr:uid="{00000000-0005-0000-0000-00006D250000}"/>
    <cellStyle name="Percent 4 2 4 8 2" xfId="10126" xr:uid="{00000000-0005-0000-0000-00006E250000}"/>
    <cellStyle name="Percent 4 2 4 9" xfId="10127" xr:uid="{00000000-0005-0000-0000-00006F250000}"/>
    <cellStyle name="Percent 4 2 5" xfId="2982" xr:uid="{00000000-0005-0000-0000-000070250000}"/>
    <cellStyle name="Percent 4 2 5 10" xfId="10129" xr:uid="{00000000-0005-0000-0000-000071250000}"/>
    <cellStyle name="Percent 4 2 5 11" xfId="10128" xr:uid="{00000000-0005-0000-0000-000072250000}"/>
    <cellStyle name="Percent 4 2 5 2" xfId="10130" xr:uid="{00000000-0005-0000-0000-000073250000}"/>
    <cellStyle name="Percent 4 2 5 2 2" xfId="10131" xr:uid="{00000000-0005-0000-0000-000074250000}"/>
    <cellStyle name="Percent 4 2 5 2 2 2" xfId="10132" xr:uid="{00000000-0005-0000-0000-000075250000}"/>
    <cellStyle name="Percent 4 2 5 2 3" xfId="10133" xr:uid="{00000000-0005-0000-0000-000076250000}"/>
    <cellStyle name="Percent 4 2 5 2 3 2" xfId="10134" xr:uid="{00000000-0005-0000-0000-000077250000}"/>
    <cellStyle name="Percent 4 2 5 2 4" xfId="10135" xr:uid="{00000000-0005-0000-0000-000078250000}"/>
    <cellStyle name="Percent 4 2 5 3" xfId="10136" xr:uid="{00000000-0005-0000-0000-000079250000}"/>
    <cellStyle name="Percent 4 2 5 3 2" xfId="10137" xr:uid="{00000000-0005-0000-0000-00007A250000}"/>
    <cellStyle name="Percent 4 2 5 3 2 2" xfId="10138" xr:uid="{00000000-0005-0000-0000-00007B250000}"/>
    <cellStyle name="Percent 4 2 5 3 3" xfId="10139" xr:uid="{00000000-0005-0000-0000-00007C250000}"/>
    <cellStyle name="Percent 4 2 5 3 3 2" xfId="10140" xr:uid="{00000000-0005-0000-0000-00007D250000}"/>
    <cellStyle name="Percent 4 2 5 3 4" xfId="10141" xr:uid="{00000000-0005-0000-0000-00007E250000}"/>
    <cellStyle name="Percent 4 2 5 4" xfId="10142" xr:uid="{00000000-0005-0000-0000-00007F250000}"/>
    <cellStyle name="Percent 4 2 5 4 2" xfId="10143" xr:uid="{00000000-0005-0000-0000-000080250000}"/>
    <cellStyle name="Percent 4 2 5 4 2 2" xfId="10144" xr:uid="{00000000-0005-0000-0000-000081250000}"/>
    <cellStyle name="Percent 4 2 5 4 3" xfId="10145" xr:uid="{00000000-0005-0000-0000-000082250000}"/>
    <cellStyle name="Percent 4 2 5 4 3 2" xfId="10146" xr:uid="{00000000-0005-0000-0000-000083250000}"/>
    <cellStyle name="Percent 4 2 5 4 4" xfId="10147" xr:uid="{00000000-0005-0000-0000-000084250000}"/>
    <cellStyle name="Percent 4 2 5 4 4 2" xfId="10148" xr:uid="{00000000-0005-0000-0000-000085250000}"/>
    <cellStyle name="Percent 4 2 5 4 5" xfId="10149" xr:uid="{00000000-0005-0000-0000-000086250000}"/>
    <cellStyle name="Percent 4 2 5 5" xfId="10150" xr:uid="{00000000-0005-0000-0000-000087250000}"/>
    <cellStyle name="Percent 4 2 5 5 2" xfId="10151" xr:uid="{00000000-0005-0000-0000-000088250000}"/>
    <cellStyle name="Percent 4 2 5 5 2 2" xfId="10152" xr:uid="{00000000-0005-0000-0000-000089250000}"/>
    <cellStyle name="Percent 4 2 5 5 3" xfId="10153" xr:uid="{00000000-0005-0000-0000-00008A250000}"/>
    <cellStyle name="Percent 4 2 5 5 3 2" xfId="10154" xr:uid="{00000000-0005-0000-0000-00008B250000}"/>
    <cellStyle name="Percent 4 2 5 5 4" xfId="10155" xr:uid="{00000000-0005-0000-0000-00008C250000}"/>
    <cellStyle name="Percent 4 2 5 6" xfId="10156" xr:uid="{00000000-0005-0000-0000-00008D250000}"/>
    <cellStyle name="Percent 4 2 5 6 2" xfId="10157" xr:uid="{00000000-0005-0000-0000-00008E250000}"/>
    <cellStyle name="Percent 4 2 5 7" xfId="10158" xr:uid="{00000000-0005-0000-0000-00008F250000}"/>
    <cellStyle name="Percent 4 2 5 7 2" xfId="10159" xr:uid="{00000000-0005-0000-0000-000090250000}"/>
    <cellStyle name="Percent 4 2 5 8" xfId="10160" xr:uid="{00000000-0005-0000-0000-000091250000}"/>
    <cellStyle name="Percent 4 2 5 8 2" xfId="10161" xr:uid="{00000000-0005-0000-0000-000092250000}"/>
    <cellStyle name="Percent 4 2 5 9" xfId="10162" xr:uid="{00000000-0005-0000-0000-000093250000}"/>
    <cellStyle name="Percent 4 2 6" xfId="2980" xr:uid="{00000000-0005-0000-0000-000094250000}"/>
    <cellStyle name="Percent 4 2 6 10" xfId="10164" xr:uid="{00000000-0005-0000-0000-000095250000}"/>
    <cellStyle name="Percent 4 2 6 11" xfId="10163" xr:uid="{00000000-0005-0000-0000-000096250000}"/>
    <cellStyle name="Percent 4 2 6 2" xfId="4731" xr:uid="{00000000-0005-0000-0000-000097250000}"/>
    <cellStyle name="Percent 4 2 6 2 2" xfId="10166" xr:uid="{00000000-0005-0000-0000-000098250000}"/>
    <cellStyle name="Percent 4 2 6 2 2 2" xfId="10167" xr:uid="{00000000-0005-0000-0000-000099250000}"/>
    <cellStyle name="Percent 4 2 6 2 3" xfId="10168" xr:uid="{00000000-0005-0000-0000-00009A250000}"/>
    <cellStyle name="Percent 4 2 6 2 3 2" xfId="10169" xr:uid="{00000000-0005-0000-0000-00009B250000}"/>
    <cellStyle name="Percent 4 2 6 2 4" xfId="10170" xr:uid="{00000000-0005-0000-0000-00009C250000}"/>
    <cellStyle name="Percent 4 2 6 2 5" xfId="10165" xr:uid="{00000000-0005-0000-0000-00009D250000}"/>
    <cellStyle name="Percent 4 2 6 3" xfId="10171" xr:uid="{00000000-0005-0000-0000-00009E250000}"/>
    <cellStyle name="Percent 4 2 6 3 2" xfId="10172" xr:uid="{00000000-0005-0000-0000-00009F250000}"/>
    <cellStyle name="Percent 4 2 6 3 2 2" xfId="10173" xr:uid="{00000000-0005-0000-0000-0000A0250000}"/>
    <cellStyle name="Percent 4 2 6 3 3" xfId="10174" xr:uid="{00000000-0005-0000-0000-0000A1250000}"/>
    <cellStyle name="Percent 4 2 6 3 3 2" xfId="10175" xr:uid="{00000000-0005-0000-0000-0000A2250000}"/>
    <cellStyle name="Percent 4 2 6 3 4" xfId="10176" xr:uid="{00000000-0005-0000-0000-0000A3250000}"/>
    <cellStyle name="Percent 4 2 6 4" xfId="10177" xr:uid="{00000000-0005-0000-0000-0000A4250000}"/>
    <cellStyle name="Percent 4 2 6 4 2" xfId="10178" xr:uid="{00000000-0005-0000-0000-0000A5250000}"/>
    <cellStyle name="Percent 4 2 6 4 2 2" xfId="10179" xr:uid="{00000000-0005-0000-0000-0000A6250000}"/>
    <cellStyle name="Percent 4 2 6 4 3" xfId="10180" xr:uid="{00000000-0005-0000-0000-0000A7250000}"/>
    <cellStyle name="Percent 4 2 6 4 3 2" xfId="10181" xr:uid="{00000000-0005-0000-0000-0000A8250000}"/>
    <cellStyle name="Percent 4 2 6 4 4" xfId="10182" xr:uid="{00000000-0005-0000-0000-0000A9250000}"/>
    <cellStyle name="Percent 4 2 6 4 4 2" xfId="10183" xr:uid="{00000000-0005-0000-0000-0000AA250000}"/>
    <cellStyle name="Percent 4 2 6 4 5" xfId="10184" xr:uid="{00000000-0005-0000-0000-0000AB250000}"/>
    <cellStyle name="Percent 4 2 6 5" xfId="10185" xr:uid="{00000000-0005-0000-0000-0000AC250000}"/>
    <cellStyle name="Percent 4 2 6 5 2" xfId="10186" xr:uid="{00000000-0005-0000-0000-0000AD250000}"/>
    <cellStyle name="Percent 4 2 6 5 2 2" xfId="10187" xr:uid="{00000000-0005-0000-0000-0000AE250000}"/>
    <cellStyle name="Percent 4 2 6 5 3" xfId="10188" xr:uid="{00000000-0005-0000-0000-0000AF250000}"/>
    <cellStyle name="Percent 4 2 6 5 3 2" xfId="10189" xr:uid="{00000000-0005-0000-0000-0000B0250000}"/>
    <cellStyle name="Percent 4 2 6 5 4" xfId="10190" xr:uid="{00000000-0005-0000-0000-0000B1250000}"/>
    <cellStyle name="Percent 4 2 6 6" xfId="10191" xr:uid="{00000000-0005-0000-0000-0000B2250000}"/>
    <cellStyle name="Percent 4 2 6 6 2" xfId="10192" xr:uid="{00000000-0005-0000-0000-0000B3250000}"/>
    <cellStyle name="Percent 4 2 6 7" xfId="10193" xr:uid="{00000000-0005-0000-0000-0000B4250000}"/>
    <cellStyle name="Percent 4 2 6 7 2" xfId="10194" xr:uid="{00000000-0005-0000-0000-0000B5250000}"/>
    <cellStyle name="Percent 4 2 6 8" xfId="10195" xr:uid="{00000000-0005-0000-0000-0000B6250000}"/>
    <cellStyle name="Percent 4 2 6 8 2" xfId="10196" xr:uid="{00000000-0005-0000-0000-0000B7250000}"/>
    <cellStyle name="Percent 4 2 6 9" xfId="10197" xr:uid="{00000000-0005-0000-0000-0000B8250000}"/>
    <cellStyle name="Percent 4 2 7" xfId="4732" xr:uid="{00000000-0005-0000-0000-0000B9250000}"/>
    <cellStyle name="Percent 4 2 7 10" xfId="10199" xr:uid="{00000000-0005-0000-0000-0000BA250000}"/>
    <cellStyle name="Percent 4 2 7 11" xfId="10198" xr:uid="{00000000-0005-0000-0000-0000BB250000}"/>
    <cellStyle name="Percent 4 2 7 2" xfId="10200" xr:uid="{00000000-0005-0000-0000-0000BC250000}"/>
    <cellStyle name="Percent 4 2 7 2 2" xfId="10201" xr:uid="{00000000-0005-0000-0000-0000BD250000}"/>
    <cellStyle name="Percent 4 2 7 2 2 2" xfId="10202" xr:uid="{00000000-0005-0000-0000-0000BE250000}"/>
    <cellStyle name="Percent 4 2 7 2 3" xfId="10203" xr:uid="{00000000-0005-0000-0000-0000BF250000}"/>
    <cellStyle name="Percent 4 2 7 2 3 2" xfId="10204" xr:uid="{00000000-0005-0000-0000-0000C0250000}"/>
    <cellStyle name="Percent 4 2 7 2 4" xfId="10205" xr:uid="{00000000-0005-0000-0000-0000C1250000}"/>
    <cellStyle name="Percent 4 2 7 3" xfId="10206" xr:uid="{00000000-0005-0000-0000-0000C2250000}"/>
    <cellStyle name="Percent 4 2 7 3 2" xfId="10207" xr:uid="{00000000-0005-0000-0000-0000C3250000}"/>
    <cellStyle name="Percent 4 2 7 3 2 2" xfId="10208" xr:uid="{00000000-0005-0000-0000-0000C4250000}"/>
    <cellStyle name="Percent 4 2 7 3 3" xfId="10209" xr:uid="{00000000-0005-0000-0000-0000C5250000}"/>
    <cellStyle name="Percent 4 2 7 3 3 2" xfId="10210" xr:uid="{00000000-0005-0000-0000-0000C6250000}"/>
    <cellStyle name="Percent 4 2 7 3 4" xfId="10211" xr:uid="{00000000-0005-0000-0000-0000C7250000}"/>
    <cellStyle name="Percent 4 2 7 4" xfId="10212" xr:uid="{00000000-0005-0000-0000-0000C8250000}"/>
    <cellStyle name="Percent 4 2 7 4 2" xfId="10213" xr:uid="{00000000-0005-0000-0000-0000C9250000}"/>
    <cellStyle name="Percent 4 2 7 4 2 2" xfId="10214" xr:uid="{00000000-0005-0000-0000-0000CA250000}"/>
    <cellStyle name="Percent 4 2 7 4 3" xfId="10215" xr:uid="{00000000-0005-0000-0000-0000CB250000}"/>
    <cellStyle name="Percent 4 2 7 4 3 2" xfId="10216" xr:uid="{00000000-0005-0000-0000-0000CC250000}"/>
    <cellStyle name="Percent 4 2 7 4 4" xfId="10217" xr:uid="{00000000-0005-0000-0000-0000CD250000}"/>
    <cellStyle name="Percent 4 2 7 4 4 2" xfId="10218" xr:uid="{00000000-0005-0000-0000-0000CE250000}"/>
    <cellStyle name="Percent 4 2 7 4 5" xfId="10219" xr:uid="{00000000-0005-0000-0000-0000CF250000}"/>
    <cellStyle name="Percent 4 2 7 5" xfId="10220" xr:uid="{00000000-0005-0000-0000-0000D0250000}"/>
    <cellStyle name="Percent 4 2 7 5 2" xfId="10221" xr:uid="{00000000-0005-0000-0000-0000D1250000}"/>
    <cellStyle name="Percent 4 2 7 5 2 2" xfId="10222" xr:uid="{00000000-0005-0000-0000-0000D2250000}"/>
    <cellStyle name="Percent 4 2 7 5 3" xfId="10223" xr:uid="{00000000-0005-0000-0000-0000D3250000}"/>
    <cellStyle name="Percent 4 2 7 5 3 2" xfId="10224" xr:uid="{00000000-0005-0000-0000-0000D4250000}"/>
    <cellStyle name="Percent 4 2 7 5 4" xfId="10225" xr:uid="{00000000-0005-0000-0000-0000D5250000}"/>
    <cellStyle name="Percent 4 2 7 6" xfId="10226" xr:uid="{00000000-0005-0000-0000-0000D6250000}"/>
    <cellStyle name="Percent 4 2 7 6 2" xfId="10227" xr:uid="{00000000-0005-0000-0000-0000D7250000}"/>
    <cellStyle name="Percent 4 2 7 7" xfId="10228" xr:uid="{00000000-0005-0000-0000-0000D8250000}"/>
    <cellStyle name="Percent 4 2 7 7 2" xfId="10229" xr:uid="{00000000-0005-0000-0000-0000D9250000}"/>
    <cellStyle name="Percent 4 2 7 8" xfId="10230" xr:uid="{00000000-0005-0000-0000-0000DA250000}"/>
    <cellStyle name="Percent 4 2 7 8 2" xfId="10231" xr:uid="{00000000-0005-0000-0000-0000DB250000}"/>
    <cellStyle name="Percent 4 2 7 9" xfId="10232" xr:uid="{00000000-0005-0000-0000-0000DC250000}"/>
    <cellStyle name="Percent 4 2 8" xfId="4733" xr:uid="{00000000-0005-0000-0000-0000DD250000}"/>
    <cellStyle name="Percent 4 2 8 10" xfId="10234" xr:uid="{00000000-0005-0000-0000-0000DE250000}"/>
    <cellStyle name="Percent 4 2 8 11" xfId="10233" xr:uid="{00000000-0005-0000-0000-0000DF250000}"/>
    <cellStyle name="Percent 4 2 8 2" xfId="10235" xr:uid="{00000000-0005-0000-0000-0000E0250000}"/>
    <cellStyle name="Percent 4 2 8 2 2" xfId="10236" xr:uid="{00000000-0005-0000-0000-0000E1250000}"/>
    <cellStyle name="Percent 4 2 8 2 2 2" xfId="10237" xr:uid="{00000000-0005-0000-0000-0000E2250000}"/>
    <cellStyle name="Percent 4 2 8 2 3" xfId="10238" xr:uid="{00000000-0005-0000-0000-0000E3250000}"/>
    <cellStyle name="Percent 4 2 8 2 3 2" xfId="10239" xr:uid="{00000000-0005-0000-0000-0000E4250000}"/>
    <cellStyle name="Percent 4 2 8 2 4" xfId="10240" xr:uid="{00000000-0005-0000-0000-0000E5250000}"/>
    <cellStyle name="Percent 4 2 8 3" xfId="10241" xr:uid="{00000000-0005-0000-0000-0000E6250000}"/>
    <cellStyle name="Percent 4 2 8 3 2" xfId="10242" xr:uid="{00000000-0005-0000-0000-0000E7250000}"/>
    <cellStyle name="Percent 4 2 8 3 2 2" xfId="10243" xr:uid="{00000000-0005-0000-0000-0000E8250000}"/>
    <cellStyle name="Percent 4 2 8 3 3" xfId="10244" xr:uid="{00000000-0005-0000-0000-0000E9250000}"/>
    <cellStyle name="Percent 4 2 8 3 3 2" xfId="10245" xr:uid="{00000000-0005-0000-0000-0000EA250000}"/>
    <cellStyle name="Percent 4 2 8 3 4" xfId="10246" xr:uid="{00000000-0005-0000-0000-0000EB250000}"/>
    <cellStyle name="Percent 4 2 8 4" xfId="10247" xr:uid="{00000000-0005-0000-0000-0000EC250000}"/>
    <cellStyle name="Percent 4 2 8 4 2" xfId="10248" xr:uid="{00000000-0005-0000-0000-0000ED250000}"/>
    <cellStyle name="Percent 4 2 8 4 2 2" xfId="10249" xr:uid="{00000000-0005-0000-0000-0000EE250000}"/>
    <cellStyle name="Percent 4 2 8 4 3" xfId="10250" xr:uid="{00000000-0005-0000-0000-0000EF250000}"/>
    <cellStyle name="Percent 4 2 8 4 3 2" xfId="10251" xr:uid="{00000000-0005-0000-0000-0000F0250000}"/>
    <cellStyle name="Percent 4 2 8 4 4" xfId="10252" xr:uid="{00000000-0005-0000-0000-0000F1250000}"/>
    <cellStyle name="Percent 4 2 8 4 4 2" xfId="10253" xr:uid="{00000000-0005-0000-0000-0000F2250000}"/>
    <cellStyle name="Percent 4 2 8 4 5" xfId="10254" xr:uid="{00000000-0005-0000-0000-0000F3250000}"/>
    <cellStyle name="Percent 4 2 8 5" xfId="10255" xr:uid="{00000000-0005-0000-0000-0000F4250000}"/>
    <cellStyle name="Percent 4 2 8 5 2" xfId="10256" xr:uid="{00000000-0005-0000-0000-0000F5250000}"/>
    <cellStyle name="Percent 4 2 8 5 2 2" xfId="10257" xr:uid="{00000000-0005-0000-0000-0000F6250000}"/>
    <cellStyle name="Percent 4 2 8 5 3" xfId="10258" xr:uid="{00000000-0005-0000-0000-0000F7250000}"/>
    <cellStyle name="Percent 4 2 8 5 3 2" xfId="10259" xr:uid="{00000000-0005-0000-0000-0000F8250000}"/>
    <cellStyle name="Percent 4 2 8 5 4" xfId="10260" xr:uid="{00000000-0005-0000-0000-0000F9250000}"/>
    <cellStyle name="Percent 4 2 8 6" xfId="10261" xr:uid="{00000000-0005-0000-0000-0000FA250000}"/>
    <cellStyle name="Percent 4 2 8 6 2" xfId="10262" xr:uid="{00000000-0005-0000-0000-0000FB250000}"/>
    <cellStyle name="Percent 4 2 8 7" xfId="10263" xr:uid="{00000000-0005-0000-0000-0000FC250000}"/>
    <cellStyle name="Percent 4 2 8 7 2" xfId="10264" xr:uid="{00000000-0005-0000-0000-0000FD250000}"/>
    <cellStyle name="Percent 4 2 8 8" xfId="10265" xr:uid="{00000000-0005-0000-0000-0000FE250000}"/>
    <cellStyle name="Percent 4 2 8 8 2" xfId="10266" xr:uid="{00000000-0005-0000-0000-0000FF250000}"/>
    <cellStyle name="Percent 4 2 8 9" xfId="10267" xr:uid="{00000000-0005-0000-0000-000000260000}"/>
    <cellStyle name="Percent 4 2 9" xfId="4734" xr:uid="{00000000-0005-0000-0000-000001260000}"/>
    <cellStyle name="Percent 4 2 9 2" xfId="10269" xr:uid="{00000000-0005-0000-0000-000002260000}"/>
    <cellStyle name="Percent 4 2 9 2 2" xfId="10270" xr:uid="{00000000-0005-0000-0000-000003260000}"/>
    <cellStyle name="Percent 4 2 9 3" xfId="10271" xr:uid="{00000000-0005-0000-0000-000004260000}"/>
    <cellStyle name="Percent 4 2 9 3 2" xfId="10272" xr:uid="{00000000-0005-0000-0000-000005260000}"/>
    <cellStyle name="Percent 4 2 9 4" xfId="10273" xr:uid="{00000000-0005-0000-0000-000006260000}"/>
    <cellStyle name="Percent 4 2 9 5" xfId="10274" xr:uid="{00000000-0005-0000-0000-000007260000}"/>
    <cellStyle name="Percent 4 2 9 6" xfId="10268" xr:uid="{00000000-0005-0000-0000-000008260000}"/>
    <cellStyle name="Percent 4 20" xfId="2983" xr:uid="{00000000-0005-0000-0000-000009260000}"/>
    <cellStyle name="Percent 4 20 10" xfId="10276" xr:uid="{00000000-0005-0000-0000-00000A260000}"/>
    <cellStyle name="Percent 4 20 11" xfId="10277" xr:uid="{00000000-0005-0000-0000-00000B260000}"/>
    <cellStyle name="Percent 4 20 12" xfId="10275" xr:uid="{00000000-0005-0000-0000-00000C260000}"/>
    <cellStyle name="Percent 4 20 2" xfId="10278" xr:uid="{00000000-0005-0000-0000-00000D260000}"/>
    <cellStyle name="Percent 4 20 2 2" xfId="10279" xr:uid="{00000000-0005-0000-0000-00000E260000}"/>
    <cellStyle name="Percent 4 20 2 2 2" xfId="10280" xr:uid="{00000000-0005-0000-0000-00000F260000}"/>
    <cellStyle name="Percent 4 20 2 3" xfId="10281" xr:uid="{00000000-0005-0000-0000-000010260000}"/>
    <cellStyle name="Percent 4 20 2 3 2" xfId="10282" xr:uid="{00000000-0005-0000-0000-000011260000}"/>
    <cellStyle name="Percent 4 20 2 4" xfId="10283" xr:uid="{00000000-0005-0000-0000-000012260000}"/>
    <cellStyle name="Percent 4 20 2 5" xfId="10284" xr:uid="{00000000-0005-0000-0000-000013260000}"/>
    <cellStyle name="Percent 4 20 3" xfId="10285" xr:uid="{00000000-0005-0000-0000-000014260000}"/>
    <cellStyle name="Percent 4 20 3 2" xfId="10286" xr:uid="{00000000-0005-0000-0000-000015260000}"/>
    <cellStyle name="Percent 4 20 3 2 2" xfId="10287" xr:uid="{00000000-0005-0000-0000-000016260000}"/>
    <cellStyle name="Percent 4 20 3 3" xfId="10288" xr:uid="{00000000-0005-0000-0000-000017260000}"/>
    <cellStyle name="Percent 4 20 3 3 2" xfId="10289" xr:uid="{00000000-0005-0000-0000-000018260000}"/>
    <cellStyle name="Percent 4 20 3 4" xfId="10290" xr:uid="{00000000-0005-0000-0000-000019260000}"/>
    <cellStyle name="Percent 4 20 4" xfId="10291" xr:uid="{00000000-0005-0000-0000-00001A260000}"/>
    <cellStyle name="Percent 4 20 4 2" xfId="10292" xr:uid="{00000000-0005-0000-0000-00001B260000}"/>
    <cellStyle name="Percent 4 20 4 2 2" xfId="10293" xr:uid="{00000000-0005-0000-0000-00001C260000}"/>
    <cellStyle name="Percent 4 20 4 3" xfId="10294" xr:uid="{00000000-0005-0000-0000-00001D260000}"/>
    <cellStyle name="Percent 4 20 4 3 2" xfId="10295" xr:uid="{00000000-0005-0000-0000-00001E260000}"/>
    <cellStyle name="Percent 4 20 4 4" xfId="10296" xr:uid="{00000000-0005-0000-0000-00001F260000}"/>
    <cellStyle name="Percent 4 20 5" xfId="10297" xr:uid="{00000000-0005-0000-0000-000020260000}"/>
    <cellStyle name="Percent 4 20 5 2" xfId="10298" xr:uid="{00000000-0005-0000-0000-000021260000}"/>
    <cellStyle name="Percent 4 20 5 2 2" xfId="10299" xr:uid="{00000000-0005-0000-0000-000022260000}"/>
    <cellStyle name="Percent 4 20 5 3" xfId="10300" xr:uid="{00000000-0005-0000-0000-000023260000}"/>
    <cellStyle name="Percent 4 20 5 3 2" xfId="10301" xr:uid="{00000000-0005-0000-0000-000024260000}"/>
    <cellStyle name="Percent 4 20 5 4" xfId="10302" xr:uid="{00000000-0005-0000-0000-000025260000}"/>
    <cellStyle name="Percent 4 20 5 4 2" xfId="10303" xr:uid="{00000000-0005-0000-0000-000026260000}"/>
    <cellStyle name="Percent 4 20 5 5" xfId="10304" xr:uid="{00000000-0005-0000-0000-000027260000}"/>
    <cellStyle name="Percent 4 20 6" xfId="10305" xr:uid="{00000000-0005-0000-0000-000028260000}"/>
    <cellStyle name="Percent 4 20 6 2" xfId="10306" xr:uid="{00000000-0005-0000-0000-000029260000}"/>
    <cellStyle name="Percent 4 20 6 2 2" xfId="10307" xr:uid="{00000000-0005-0000-0000-00002A260000}"/>
    <cellStyle name="Percent 4 20 6 3" xfId="10308" xr:uid="{00000000-0005-0000-0000-00002B260000}"/>
    <cellStyle name="Percent 4 20 6 3 2" xfId="10309" xr:uid="{00000000-0005-0000-0000-00002C260000}"/>
    <cellStyle name="Percent 4 20 6 4" xfId="10310" xr:uid="{00000000-0005-0000-0000-00002D260000}"/>
    <cellStyle name="Percent 4 20 7" xfId="10311" xr:uid="{00000000-0005-0000-0000-00002E260000}"/>
    <cellStyle name="Percent 4 20 7 2" xfId="10312" xr:uid="{00000000-0005-0000-0000-00002F260000}"/>
    <cellStyle name="Percent 4 20 8" xfId="10313" xr:uid="{00000000-0005-0000-0000-000030260000}"/>
    <cellStyle name="Percent 4 20 8 2" xfId="10314" xr:uid="{00000000-0005-0000-0000-000031260000}"/>
    <cellStyle name="Percent 4 20 9" xfId="10315" xr:uid="{00000000-0005-0000-0000-000032260000}"/>
    <cellStyle name="Percent 4 20 9 2" xfId="10316" xr:uid="{00000000-0005-0000-0000-000033260000}"/>
    <cellStyle name="Percent 4 21" xfId="2984" xr:uid="{00000000-0005-0000-0000-000034260000}"/>
    <cellStyle name="Percent 4 21 10" xfId="10318" xr:uid="{00000000-0005-0000-0000-000035260000}"/>
    <cellStyle name="Percent 4 21 11" xfId="10319" xr:uid="{00000000-0005-0000-0000-000036260000}"/>
    <cellStyle name="Percent 4 21 12" xfId="10317" xr:uid="{00000000-0005-0000-0000-000037260000}"/>
    <cellStyle name="Percent 4 21 2" xfId="10320" xr:uid="{00000000-0005-0000-0000-000038260000}"/>
    <cellStyle name="Percent 4 21 2 2" xfId="10321" xr:uid="{00000000-0005-0000-0000-000039260000}"/>
    <cellStyle name="Percent 4 21 2 2 2" xfId="10322" xr:uid="{00000000-0005-0000-0000-00003A260000}"/>
    <cellStyle name="Percent 4 21 2 3" xfId="10323" xr:uid="{00000000-0005-0000-0000-00003B260000}"/>
    <cellStyle name="Percent 4 21 2 3 2" xfId="10324" xr:uid="{00000000-0005-0000-0000-00003C260000}"/>
    <cellStyle name="Percent 4 21 2 4" xfId="10325" xr:uid="{00000000-0005-0000-0000-00003D260000}"/>
    <cellStyle name="Percent 4 21 2 5" xfId="10326" xr:uid="{00000000-0005-0000-0000-00003E260000}"/>
    <cellStyle name="Percent 4 21 3" xfId="10327" xr:uid="{00000000-0005-0000-0000-00003F260000}"/>
    <cellStyle name="Percent 4 21 3 2" xfId="10328" xr:uid="{00000000-0005-0000-0000-000040260000}"/>
    <cellStyle name="Percent 4 21 3 2 2" xfId="10329" xr:uid="{00000000-0005-0000-0000-000041260000}"/>
    <cellStyle name="Percent 4 21 3 3" xfId="10330" xr:uid="{00000000-0005-0000-0000-000042260000}"/>
    <cellStyle name="Percent 4 21 3 3 2" xfId="10331" xr:uid="{00000000-0005-0000-0000-000043260000}"/>
    <cellStyle name="Percent 4 21 3 4" xfId="10332" xr:uid="{00000000-0005-0000-0000-000044260000}"/>
    <cellStyle name="Percent 4 21 4" xfId="10333" xr:uid="{00000000-0005-0000-0000-000045260000}"/>
    <cellStyle name="Percent 4 21 4 2" xfId="10334" xr:uid="{00000000-0005-0000-0000-000046260000}"/>
    <cellStyle name="Percent 4 21 4 2 2" xfId="10335" xr:uid="{00000000-0005-0000-0000-000047260000}"/>
    <cellStyle name="Percent 4 21 4 3" xfId="10336" xr:uid="{00000000-0005-0000-0000-000048260000}"/>
    <cellStyle name="Percent 4 21 4 3 2" xfId="10337" xr:uid="{00000000-0005-0000-0000-000049260000}"/>
    <cellStyle name="Percent 4 21 4 4" xfId="10338" xr:uid="{00000000-0005-0000-0000-00004A260000}"/>
    <cellStyle name="Percent 4 21 5" xfId="10339" xr:uid="{00000000-0005-0000-0000-00004B260000}"/>
    <cellStyle name="Percent 4 21 5 2" xfId="10340" xr:uid="{00000000-0005-0000-0000-00004C260000}"/>
    <cellStyle name="Percent 4 21 5 2 2" xfId="10341" xr:uid="{00000000-0005-0000-0000-00004D260000}"/>
    <cellStyle name="Percent 4 21 5 3" xfId="10342" xr:uid="{00000000-0005-0000-0000-00004E260000}"/>
    <cellStyle name="Percent 4 21 5 3 2" xfId="10343" xr:uid="{00000000-0005-0000-0000-00004F260000}"/>
    <cellStyle name="Percent 4 21 5 4" xfId="10344" xr:uid="{00000000-0005-0000-0000-000050260000}"/>
    <cellStyle name="Percent 4 21 5 4 2" xfId="10345" xr:uid="{00000000-0005-0000-0000-000051260000}"/>
    <cellStyle name="Percent 4 21 5 5" xfId="10346" xr:uid="{00000000-0005-0000-0000-000052260000}"/>
    <cellStyle name="Percent 4 21 6" xfId="10347" xr:uid="{00000000-0005-0000-0000-000053260000}"/>
    <cellStyle name="Percent 4 21 6 2" xfId="10348" xr:uid="{00000000-0005-0000-0000-000054260000}"/>
    <cellStyle name="Percent 4 21 6 2 2" xfId="10349" xr:uid="{00000000-0005-0000-0000-000055260000}"/>
    <cellStyle name="Percent 4 21 6 3" xfId="10350" xr:uid="{00000000-0005-0000-0000-000056260000}"/>
    <cellStyle name="Percent 4 21 6 3 2" xfId="10351" xr:uid="{00000000-0005-0000-0000-000057260000}"/>
    <cellStyle name="Percent 4 21 6 4" xfId="10352" xr:uid="{00000000-0005-0000-0000-000058260000}"/>
    <cellStyle name="Percent 4 21 7" xfId="10353" xr:uid="{00000000-0005-0000-0000-000059260000}"/>
    <cellStyle name="Percent 4 21 7 2" xfId="10354" xr:uid="{00000000-0005-0000-0000-00005A260000}"/>
    <cellStyle name="Percent 4 21 8" xfId="10355" xr:uid="{00000000-0005-0000-0000-00005B260000}"/>
    <cellStyle name="Percent 4 21 8 2" xfId="10356" xr:uid="{00000000-0005-0000-0000-00005C260000}"/>
    <cellStyle name="Percent 4 21 9" xfId="10357" xr:uid="{00000000-0005-0000-0000-00005D260000}"/>
    <cellStyle name="Percent 4 21 9 2" xfId="10358" xr:uid="{00000000-0005-0000-0000-00005E260000}"/>
    <cellStyle name="Percent 4 22" xfId="2985" xr:uid="{00000000-0005-0000-0000-00005F260000}"/>
    <cellStyle name="Percent 4 22 10" xfId="10360" xr:uid="{00000000-0005-0000-0000-000060260000}"/>
    <cellStyle name="Percent 4 22 11" xfId="10361" xr:uid="{00000000-0005-0000-0000-000061260000}"/>
    <cellStyle name="Percent 4 22 12" xfId="10359" xr:uid="{00000000-0005-0000-0000-000062260000}"/>
    <cellStyle name="Percent 4 22 2" xfId="10362" xr:uid="{00000000-0005-0000-0000-000063260000}"/>
    <cellStyle name="Percent 4 22 2 2" xfId="10363" xr:uid="{00000000-0005-0000-0000-000064260000}"/>
    <cellStyle name="Percent 4 22 2 2 2" xfId="10364" xr:uid="{00000000-0005-0000-0000-000065260000}"/>
    <cellStyle name="Percent 4 22 2 3" xfId="10365" xr:uid="{00000000-0005-0000-0000-000066260000}"/>
    <cellStyle name="Percent 4 22 2 3 2" xfId="10366" xr:uid="{00000000-0005-0000-0000-000067260000}"/>
    <cellStyle name="Percent 4 22 2 4" xfId="10367" xr:uid="{00000000-0005-0000-0000-000068260000}"/>
    <cellStyle name="Percent 4 22 2 5" xfId="10368" xr:uid="{00000000-0005-0000-0000-000069260000}"/>
    <cellStyle name="Percent 4 22 3" xfId="10369" xr:uid="{00000000-0005-0000-0000-00006A260000}"/>
    <cellStyle name="Percent 4 22 3 2" xfId="10370" xr:uid="{00000000-0005-0000-0000-00006B260000}"/>
    <cellStyle name="Percent 4 22 3 2 2" xfId="10371" xr:uid="{00000000-0005-0000-0000-00006C260000}"/>
    <cellStyle name="Percent 4 22 3 3" xfId="10372" xr:uid="{00000000-0005-0000-0000-00006D260000}"/>
    <cellStyle name="Percent 4 22 3 3 2" xfId="10373" xr:uid="{00000000-0005-0000-0000-00006E260000}"/>
    <cellStyle name="Percent 4 22 3 4" xfId="10374" xr:uid="{00000000-0005-0000-0000-00006F260000}"/>
    <cellStyle name="Percent 4 22 4" xfId="10375" xr:uid="{00000000-0005-0000-0000-000070260000}"/>
    <cellStyle name="Percent 4 22 4 2" xfId="10376" xr:uid="{00000000-0005-0000-0000-000071260000}"/>
    <cellStyle name="Percent 4 22 4 2 2" xfId="10377" xr:uid="{00000000-0005-0000-0000-000072260000}"/>
    <cellStyle name="Percent 4 22 4 3" xfId="10378" xr:uid="{00000000-0005-0000-0000-000073260000}"/>
    <cellStyle name="Percent 4 22 4 3 2" xfId="10379" xr:uid="{00000000-0005-0000-0000-000074260000}"/>
    <cellStyle name="Percent 4 22 4 4" xfId="10380" xr:uid="{00000000-0005-0000-0000-000075260000}"/>
    <cellStyle name="Percent 4 22 5" xfId="10381" xr:uid="{00000000-0005-0000-0000-000076260000}"/>
    <cellStyle name="Percent 4 22 5 2" xfId="10382" xr:uid="{00000000-0005-0000-0000-000077260000}"/>
    <cellStyle name="Percent 4 22 5 2 2" xfId="10383" xr:uid="{00000000-0005-0000-0000-000078260000}"/>
    <cellStyle name="Percent 4 22 5 3" xfId="10384" xr:uid="{00000000-0005-0000-0000-000079260000}"/>
    <cellStyle name="Percent 4 22 5 3 2" xfId="10385" xr:uid="{00000000-0005-0000-0000-00007A260000}"/>
    <cellStyle name="Percent 4 22 5 4" xfId="10386" xr:uid="{00000000-0005-0000-0000-00007B260000}"/>
    <cellStyle name="Percent 4 22 5 4 2" xfId="10387" xr:uid="{00000000-0005-0000-0000-00007C260000}"/>
    <cellStyle name="Percent 4 22 5 5" xfId="10388" xr:uid="{00000000-0005-0000-0000-00007D260000}"/>
    <cellStyle name="Percent 4 22 6" xfId="10389" xr:uid="{00000000-0005-0000-0000-00007E260000}"/>
    <cellStyle name="Percent 4 22 6 2" xfId="10390" xr:uid="{00000000-0005-0000-0000-00007F260000}"/>
    <cellStyle name="Percent 4 22 6 2 2" xfId="10391" xr:uid="{00000000-0005-0000-0000-000080260000}"/>
    <cellStyle name="Percent 4 22 6 3" xfId="10392" xr:uid="{00000000-0005-0000-0000-000081260000}"/>
    <cellStyle name="Percent 4 22 6 3 2" xfId="10393" xr:uid="{00000000-0005-0000-0000-000082260000}"/>
    <cellStyle name="Percent 4 22 6 4" xfId="10394" xr:uid="{00000000-0005-0000-0000-000083260000}"/>
    <cellStyle name="Percent 4 22 7" xfId="10395" xr:uid="{00000000-0005-0000-0000-000084260000}"/>
    <cellStyle name="Percent 4 22 7 2" xfId="10396" xr:uid="{00000000-0005-0000-0000-000085260000}"/>
    <cellStyle name="Percent 4 22 8" xfId="10397" xr:uid="{00000000-0005-0000-0000-000086260000}"/>
    <cellStyle name="Percent 4 22 8 2" xfId="10398" xr:uid="{00000000-0005-0000-0000-000087260000}"/>
    <cellStyle name="Percent 4 22 9" xfId="10399" xr:uid="{00000000-0005-0000-0000-000088260000}"/>
    <cellStyle name="Percent 4 22 9 2" xfId="10400" xr:uid="{00000000-0005-0000-0000-000089260000}"/>
    <cellStyle name="Percent 4 23" xfId="2986" xr:uid="{00000000-0005-0000-0000-00008A260000}"/>
    <cellStyle name="Percent 4 23 10" xfId="10402" xr:uid="{00000000-0005-0000-0000-00008B260000}"/>
    <cellStyle name="Percent 4 23 11" xfId="10403" xr:uid="{00000000-0005-0000-0000-00008C260000}"/>
    <cellStyle name="Percent 4 23 12" xfId="10401" xr:uid="{00000000-0005-0000-0000-00008D260000}"/>
    <cellStyle name="Percent 4 23 2" xfId="10404" xr:uid="{00000000-0005-0000-0000-00008E260000}"/>
    <cellStyle name="Percent 4 23 2 2" xfId="10405" xr:uid="{00000000-0005-0000-0000-00008F260000}"/>
    <cellStyle name="Percent 4 23 2 2 2" xfId="10406" xr:uid="{00000000-0005-0000-0000-000090260000}"/>
    <cellStyle name="Percent 4 23 2 3" xfId="10407" xr:uid="{00000000-0005-0000-0000-000091260000}"/>
    <cellStyle name="Percent 4 23 2 3 2" xfId="10408" xr:uid="{00000000-0005-0000-0000-000092260000}"/>
    <cellStyle name="Percent 4 23 2 4" xfId="10409" xr:uid="{00000000-0005-0000-0000-000093260000}"/>
    <cellStyle name="Percent 4 23 2 5" xfId="10410" xr:uid="{00000000-0005-0000-0000-000094260000}"/>
    <cellStyle name="Percent 4 23 3" xfId="10411" xr:uid="{00000000-0005-0000-0000-000095260000}"/>
    <cellStyle name="Percent 4 23 3 2" xfId="10412" xr:uid="{00000000-0005-0000-0000-000096260000}"/>
    <cellStyle name="Percent 4 23 3 2 2" xfId="10413" xr:uid="{00000000-0005-0000-0000-000097260000}"/>
    <cellStyle name="Percent 4 23 3 3" xfId="10414" xr:uid="{00000000-0005-0000-0000-000098260000}"/>
    <cellStyle name="Percent 4 23 3 3 2" xfId="10415" xr:uid="{00000000-0005-0000-0000-000099260000}"/>
    <cellStyle name="Percent 4 23 3 4" xfId="10416" xr:uid="{00000000-0005-0000-0000-00009A260000}"/>
    <cellStyle name="Percent 4 23 4" xfId="10417" xr:uid="{00000000-0005-0000-0000-00009B260000}"/>
    <cellStyle name="Percent 4 23 4 2" xfId="10418" xr:uid="{00000000-0005-0000-0000-00009C260000}"/>
    <cellStyle name="Percent 4 23 4 2 2" xfId="10419" xr:uid="{00000000-0005-0000-0000-00009D260000}"/>
    <cellStyle name="Percent 4 23 4 3" xfId="10420" xr:uid="{00000000-0005-0000-0000-00009E260000}"/>
    <cellStyle name="Percent 4 23 4 3 2" xfId="10421" xr:uid="{00000000-0005-0000-0000-00009F260000}"/>
    <cellStyle name="Percent 4 23 4 4" xfId="10422" xr:uid="{00000000-0005-0000-0000-0000A0260000}"/>
    <cellStyle name="Percent 4 23 5" xfId="10423" xr:uid="{00000000-0005-0000-0000-0000A1260000}"/>
    <cellStyle name="Percent 4 23 5 2" xfId="10424" xr:uid="{00000000-0005-0000-0000-0000A2260000}"/>
    <cellStyle name="Percent 4 23 5 2 2" xfId="10425" xr:uid="{00000000-0005-0000-0000-0000A3260000}"/>
    <cellStyle name="Percent 4 23 5 3" xfId="10426" xr:uid="{00000000-0005-0000-0000-0000A4260000}"/>
    <cellStyle name="Percent 4 23 5 3 2" xfId="10427" xr:uid="{00000000-0005-0000-0000-0000A5260000}"/>
    <cellStyle name="Percent 4 23 5 4" xfId="10428" xr:uid="{00000000-0005-0000-0000-0000A6260000}"/>
    <cellStyle name="Percent 4 23 5 4 2" xfId="10429" xr:uid="{00000000-0005-0000-0000-0000A7260000}"/>
    <cellStyle name="Percent 4 23 5 5" xfId="10430" xr:uid="{00000000-0005-0000-0000-0000A8260000}"/>
    <cellStyle name="Percent 4 23 6" xfId="10431" xr:uid="{00000000-0005-0000-0000-0000A9260000}"/>
    <cellStyle name="Percent 4 23 6 2" xfId="10432" xr:uid="{00000000-0005-0000-0000-0000AA260000}"/>
    <cellStyle name="Percent 4 23 6 2 2" xfId="10433" xr:uid="{00000000-0005-0000-0000-0000AB260000}"/>
    <cellStyle name="Percent 4 23 6 3" xfId="10434" xr:uid="{00000000-0005-0000-0000-0000AC260000}"/>
    <cellStyle name="Percent 4 23 6 3 2" xfId="10435" xr:uid="{00000000-0005-0000-0000-0000AD260000}"/>
    <cellStyle name="Percent 4 23 6 4" xfId="10436" xr:uid="{00000000-0005-0000-0000-0000AE260000}"/>
    <cellStyle name="Percent 4 23 7" xfId="10437" xr:uid="{00000000-0005-0000-0000-0000AF260000}"/>
    <cellStyle name="Percent 4 23 7 2" xfId="10438" xr:uid="{00000000-0005-0000-0000-0000B0260000}"/>
    <cellStyle name="Percent 4 23 8" xfId="10439" xr:uid="{00000000-0005-0000-0000-0000B1260000}"/>
    <cellStyle name="Percent 4 23 8 2" xfId="10440" xr:uid="{00000000-0005-0000-0000-0000B2260000}"/>
    <cellStyle name="Percent 4 23 9" xfId="10441" xr:uid="{00000000-0005-0000-0000-0000B3260000}"/>
    <cellStyle name="Percent 4 23 9 2" xfId="10442" xr:uid="{00000000-0005-0000-0000-0000B4260000}"/>
    <cellStyle name="Percent 4 24" xfId="2987" xr:uid="{00000000-0005-0000-0000-0000B5260000}"/>
    <cellStyle name="Percent 4 24 10" xfId="10444" xr:uid="{00000000-0005-0000-0000-0000B6260000}"/>
    <cellStyle name="Percent 4 24 11" xfId="10445" xr:uid="{00000000-0005-0000-0000-0000B7260000}"/>
    <cellStyle name="Percent 4 24 12" xfId="10443" xr:uid="{00000000-0005-0000-0000-0000B8260000}"/>
    <cellStyle name="Percent 4 24 2" xfId="10446" xr:uid="{00000000-0005-0000-0000-0000B9260000}"/>
    <cellStyle name="Percent 4 24 2 2" xfId="10447" xr:uid="{00000000-0005-0000-0000-0000BA260000}"/>
    <cellStyle name="Percent 4 24 2 2 2" xfId="10448" xr:uid="{00000000-0005-0000-0000-0000BB260000}"/>
    <cellStyle name="Percent 4 24 2 3" xfId="10449" xr:uid="{00000000-0005-0000-0000-0000BC260000}"/>
    <cellStyle name="Percent 4 24 2 3 2" xfId="10450" xr:uid="{00000000-0005-0000-0000-0000BD260000}"/>
    <cellStyle name="Percent 4 24 2 4" xfId="10451" xr:uid="{00000000-0005-0000-0000-0000BE260000}"/>
    <cellStyle name="Percent 4 24 2 5" xfId="10452" xr:uid="{00000000-0005-0000-0000-0000BF260000}"/>
    <cellStyle name="Percent 4 24 3" xfId="10453" xr:uid="{00000000-0005-0000-0000-0000C0260000}"/>
    <cellStyle name="Percent 4 24 3 2" xfId="10454" xr:uid="{00000000-0005-0000-0000-0000C1260000}"/>
    <cellStyle name="Percent 4 24 3 2 2" xfId="10455" xr:uid="{00000000-0005-0000-0000-0000C2260000}"/>
    <cellStyle name="Percent 4 24 3 3" xfId="10456" xr:uid="{00000000-0005-0000-0000-0000C3260000}"/>
    <cellStyle name="Percent 4 24 3 3 2" xfId="10457" xr:uid="{00000000-0005-0000-0000-0000C4260000}"/>
    <cellStyle name="Percent 4 24 3 4" xfId="10458" xr:uid="{00000000-0005-0000-0000-0000C5260000}"/>
    <cellStyle name="Percent 4 24 4" xfId="10459" xr:uid="{00000000-0005-0000-0000-0000C6260000}"/>
    <cellStyle name="Percent 4 24 4 2" xfId="10460" xr:uid="{00000000-0005-0000-0000-0000C7260000}"/>
    <cellStyle name="Percent 4 24 4 2 2" xfId="10461" xr:uid="{00000000-0005-0000-0000-0000C8260000}"/>
    <cellStyle name="Percent 4 24 4 3" xfId="10462" xr:uid="{00000000-0005-0000-0000-0000C9260000}"/>
    <cellStyle name="Percent 4 24 4 3 2" xfId="10463" xr:uid="{00000000-0005-0000-0000-0000CA260000}"/>
    <cellStyle name="Percent 4 24 4 4" xfId="10464" xr:uid="{00000000-0005-0000-0000-0000CB260000}"/>
    <cellStyle name="Percent 4 24 5" xfId="10465" xr:uid="{00000000-0005-0000-0000-0000CC260000}"/>
    <cellStyle name="Percent 4 24 5 2" xfId="10466" xr:uid="{00000000-0005-0000-0000-0000CD260000}"/>
    <cellStyle name="Percent 4 24 5 2 2" xfId="10467" xr:uid="{00000000-0005-0000-0000-0000CE260000}"/>
    <cellStyle name="Percent 4 24 5 3" xfId="10468" xr:uid="{00000000-0005-0000-0000-0000CF260000}"/>
    <cellStyle name="Percent 4 24 5 3 2" xfId="10469" xr:uid="{00000000-0005-0000-0000-0000D0260000}"/>
    <cellStyle name="Percent 4 24 5 4" xfId="10470" xr:uid="{00000000-0005-0000-0000-0000D1260000}"/>
    <cellStyle name="Percent 4 24 5 4 2" xfId="10471" xr:uid="{00000000-0005-0000-0000-0000D2260000}"/>
    <cellStyle name="Percent 4 24 5 5" xfId="10472" xr:uid="{00000000-0005-0000-0000-0000D3260000}"/>
    <cellStyle name="Percent 4 24 6" xfId="10473" xr:uid="{00000000-0005-0000-0000-0000D4260000}"/>
    <cellStyle name="Percent 4 24 6 2" xfId="10474" xr:uid="{00000000-0005-0000-0000-0000D5260000}"/>
    <cellStyle name="Percent 4 24 6 2 2" xfId="10475" xr:uid="{00000000-0005-0000-0000-0000D6260000}"/>
    <cellStyle name="Percent 4 24 6 3" xfId="10476" xr:uid="{00000000-0005-0000-0000-0000D7260000}"/>
    <cellStyle name="Percent 4 24 6 3 2" xfId="10477" xr:uid="{00000000-0005-0000-0000-0000D8260000}"/>
    <cellStyle name="Percent 4 24 6 4" xfId="10478" xr:uid="{00000000-0005-0000-0000-0000D9260000}"/>
    <cellStyle name="Percent 4 24 7" xfId="10479" xr:uid="{00000000-0005-0000-0000-0000DA260000}"/>
    <cellStyle name="Percent 4 24 7 2" xfId="10480" xr:uid="{00000000-0005-0000-0000-0000DB260000}"/>
    <cellStyle name="Percent 4 24 8" xfId="10481" xr:uid="{00000000-0005-0000-0000-0000DC260000}"/>
    <cellStyle name="Percent 4 24 8 2" xfId="10482" xr:uid="{00000000-0005-0000-0000-0000DD260000}"/>
    <cellStyle name="Percent 4 24 9" xfId="10483" xr:uid="{00000000-0005-0000-0000-0000DE260000}"/>
    <cellStyle name="Percent 4 24 9 2" xfId="10484" xr:uid="{00000000-0005-0000-0000-0000DF260000}"/>
    <cellStyle name="Percent 4 25" xfId="2988" xr:uid="{00000000-0005-0000-0000-0000E0260000}"/>
    <cellStyle name="Percent 4 25 10" xfId="10486" xr:uid="{00000000-0005-0000-0000-0000E1260000}"/>
    <cellStyle name="Percent 4 25 11" xfId="10487" xr:uid="{00000000-0005-0000-0000-0000E2260000}"/>
    <cellStyle name="Percent 4 25 12" xfId="10485" xr:uid="{00000000-0005-0000-0000-0000E3260000}"/>
    <cellStyle name="Percent 4 25 2" xfId="10488" xr:uid="{00000000-0005-0000-0000-0000E4260000}"/>
    <cellStyle name="Percent 4 25 2 2" xfId="10489" xr:uid="{00000000-0005-0000-0000-0000E5260000}"/>
    <cellStyle name="Percent 4 25 2 2 2" xfId="10490" xr:uid="{00000000-0005-0000-0000-0000E6260000}"/>
    <cellStyle name="Percent 4 25 2 3" xfId="10491" xr:uid="{00000000-0005-0000-0000-0000E7260000}"/>
    <cellStyle name="Percent 4 25 2 3 2" xfId="10492" xr:uid="{00000000-0005-0000-0000-0000E8260000}"/>
    <cellStyle name="Percent 4 25 2 4" xfId="10493" xr:uid="{00000000-0005-0000-0000-0000E9260000}"/>
    <cellStyle name="Percent 4 25 2 5" xfId="10494" xr:uid="{00000000-0005-0000-0000-0000EA260000}"/>
    <cellStyle name="Percent 4 25 3" xfId="10495" xr:uid="{00000000-0005-0000-0000-0000EB260000}"/>
    <cellStyle name="Percent 4 25 3 2" xfId="10496" xr:uid="{00000000-0005-0000-0000-0000EC260000}"/>
    <cellStyle name="Percent 4 25 3 2 2" xfId="10497" xr:uid="{00000000-0005-0000-0000-0000ED260000}"/>
    <cellStyle name="Percent 4 25 3 3" xfId="10498" xr:uid="{00000000-0005-0000-0000-0000EE260000}"/>
    <cellStyle name="Percent 4 25 3 3 2" xfId="10499" xr:uid="{00000000-0005-0000-0000-0000EF260000}"/>
    <cellStyle name="Percent 4 25 3 4" xfId="10500" xr:uid="{00000000-0005-0000-0000-0000F0260000}"/>
    <cellStyle name="Percent 4 25 4" xfId="10501" xr:uid="{00000000-0005-0000-0000-0000F1260000}"/>
    <cellStyle name="Percent 4 25 4 2" xfId="10502" xr:uid="{00000000-0005-0000-0000-0000F2260000}"/>
    <cellStyle name="Percent 4 25 4 2 2" xfId="10503" xr:uid="{00000000-0005-0000-0000-0000F3260000}"/>
    <cellStyle name="Percent 4 25 4 3" xfId="10504" xr:uid="{00000000-0005-0000-0000-0000F4260000}"/>
    <cellStyle name="Percent 4 25 4 3 2" xfId="10505" xr:uid="{00000000-0005-0000-0000-0000F5260000}"/>
    <cellStyle name="Percent 4 25 4 4" xfId="10506" xr:uid="{00000000-0005-0000-0000-0000F6260000}"/>
    <cellStyle name="Percent 4 25 5" xfId="10507" xr:uid="{00000000-0005-0000-0000-0000F7260000}"/>
    <cellStyle name="Percent 4 25 5 2" xfId="10508" xr:uid="{00000000-0005-0000-0000-0000F8260000}"/>
    <cellStyle name="Percent 4 25 5 2 2" xfId="10509" xr:uid="{00000000-0005-0000-0000-0000F9260000}"/>
    <cellStyle name="Percent 4 25 5 3" xfId="10510" xr:uid="{00000000-0005-0000-0000-0000FA260000}"/>
    <cellStyle name="Percent 4 25 5 3 2" xfId="10511" xr:uid="{00000000-0005-0000-0000-0000FB260000}"/>
    <cellStyle name="Percent 4 25 5 4" xfId="10512" xr:uid="{00000000-0005-0000-0000-0000FC260000}"/>
    <cellStyle name="Percent 4 25 5 4 2" xfId="10513" xr:uid="{00000000-0005-0000-0000-0000FD260000}"/>
    <cellStyle name="Percent 4 25 5 5" xfId="10514" xr:uid="{00000000-0005-0000-0000-0000FE260000}"/>
    <cellStyle name="Percent 4 25 6" xfId="10515" xr:uid="{00000000-0005-0000-0000-0000FF260000}"/>
    <cellStyle name="Percent 4 25 6 2" xfId="10516" xr:uid="{00000000-0005-0000-0000-000000270000}"/>
    <cellStyle name="Percent 4 25 6 2 2" xfId="10517" xr:uid="{00000000-0005-0000-0000-000001270000}"/>
    <cellStyle name="Percent 4 25 6 3" xfId="10518" xr:uid="{00000000-0005-0000-0000-000002270000}"/>
    <cellStyle name="Percent 4 25 6 3 2" xfId="10519" xr:uid="{00000000-0005-0000-0000-000003270000}"/>
    <cellStyle name="Percent 4 25 6 4" xfId="10520" xr:uid="{00000000-0005-0000-0000-000004270000}"/>
    <cellStyle name="Percent 4 25 7" xfId="10521" xr:uid="{00000000-0005-0000-0000-000005270000}"/>
    <cellStyle name="Percent 4 25 7 2" xfId="10522" xr:uid="{00000000-0005-0000-0000-000006270000}"/>
    <cellStyle name="Percent 4 25 8" xfId="10523" xr:uid="{00000000-0005-0000-0000-000007270000}"/>
    <cellStyle name="Percent 4 25 8 2" xfId="10524" xr:uid="{00000000-0005-0000-0000-000008270000}"/>
    <cellStyle name="Percent 4 25 9" xfId="10525" xr:uid="{00000000-0005-0000-0000-000009270000}"/>
    <cellStyle name="Percent 4 25 9 2" xfId="10526" xr:uid="{00000000-0005-0000-0000-00000A270000}"/>
    <cellStyle name="Percent 4 26" xfId="2989" xr:uid="{00000000-0005-0000-0000-00000B270000}"/>
    <cellStyle name="Percent 4 26 10" xfId="10528" xr:uid="{00000000-0005-0000-0000-00000C270000}"/>
    <cellStyle name="Percent 4 26 11" xfId="10529" xr:uid="{00000000-0005-0000-0000-00000D270000}"/>
    <cellStyle name="Percent 4 26 12" xfId="10527" xr:uid="{00000000-0005-0000-0000-00000E270000}"/>
    <cellStyle name="Percent 4 26 2" xfId="10530" xr:uid="{00000000-0005-0000-0000-00000F270000}"/>
    <cellStyle name="Percent 4 26 2 2" xfId="10531" xr:uid="{00000000-0005-0000-0000-000010270000}"/>
    <cellStyle name="Percent 4 26 2 2 2" xfId="10532" xr:uid="{00000000-0005-0000-0000-000011270000}"/>
    <cellStyle name="Percent 4 26 2 3" xfId="10533" xr:uid="{00000000-0005-0000-0000-000012270000}"/>
    <cellStyle name="Percent 4 26 2 3 2" xfId="10534" xr:uid="{00000000-0005-0000-0000-000013270000}"/>
    <cellStyle name="Percent 4 26 2 4" xfId="10535" xr:uid="{00000000-0005-0000-0000-000014270000}"/>
    <cellStyle name="Percent 4 26 2 5" xfId="10536" xr:uid="{00000000-0005-0000-0000-000015270000}"/>
    <cellStyle name="Percent 4 26 3" xfId="10537" xr:uid="{00000000-0005-0000-0000-000016270000}"/>
    <cellStyle name="Percent 4 26 3 2" xfId="10538" xr:uid="{00000000-0005-0000-0000-000017270000}"/>
    <cellStyle name="Percent 4 26 3 2 2" xfId="10539" xr:uid="{00000000-0005-0000-0000-000018270000}"/>
    <cellStyle name="Percent 4 26 3 3" xfId="10540" xr:uid="{00000000-0005-0000-0000-000019270000}"/>
    <cellStyle name="Percent 4 26 3 3 2" xfId="10541" xr:uid="{00000000-0005-0000-0000-00001A270000}"/>
    <cellStyle name="Percent 4 26 3 4" xfId="10542" xr:uid="{00000000-0005-0000-0000-00001B270000}"/>
    <cellStyle name="Percent 4 26 4" xfId="10543" xr:uid="{00000000-0005-0000-0000-00001C270000}"/>
    <cellStyle name="Percent 4 26 4 2" xfId="10544" xr:uid="{00000000-0005-0000-0000-00001D270000}"/>
    <cellStyle name="Percent 4 26 4 2 2" xfId="10545" xr:uid="{00000000-0005-0000-0000-00001E270000}"/>
    <cellStyle name="Percent 4 26 4 3" xfId="10546" xr:uid="{00000000-0005-0000-0000-00001F270000}"/>
    <cellStyle name="Percent 4 26 4 3 2" xfId="10547" xr:uid="{00000000-0005-0000-0000-000020270000}"/>
    <cellStyle name="Percent 4 26 4 4" xfId="10548" xr:uid="{00000000-0005-0000-0000-000021270000}"/>
    <cellStyle name="Percent 4 26 5" xfId="10549" xr:uid="{00000000-0005-0000-0000-000022270000}"/>
    <cellStyle name="Percent 4 26 5 2" xfId="10550" xr:uid="{00000000-0005-0000-0000-000023270000}"/>
    <cellStyle name="Percent 4 26 5 2 2" xfId="10551" xr:uid="{00000000-0005-0000-0000-000024270000}"/>
    <cellStyle name="Percent 4 26 5 3" xfId="10552" xr:uid="{00000000-0005-0000-0000-000025270000}"/>
    <cellStyle name="Percent 4 26 5 3 2" xfId="10553" xr:uid="{00000000-0005-0000-0000-000026270000}"/>
    <cellStyle name="Percent 4 26 5 4" xfId="10554" xr:uid="{00000000-0005-0000-0000-000027270000}"/>
    <cellStyle name="Percent 4 26 5 4 2" xfId="10555" xr:uid="{00000000-0005-0000-0000-000028270000}"/>
    <cellStyle name="Percent 4 26 5 5" xfId="10556" xr:uid="{00000000-0005-0000-0000-000029270000}"/>
    <cellStyle name="Percent 4 26 6" xfId="10557" xr:uid="{00000000-0005-0000-0000-00002A270000}"/>
    <cellStyle name="Percent 4 26 6 2" xfId="10558" xr:uid="{00000000-0005-0000-0000-00002B270000}"/>
    <cellStyle name="Percent 4 26 6 2 2" xfId="10559" xr:uid="{00000000-0005-0000-0000-00002C270000}"/>
    <cellStyle name="Percent 4 26 6 3" xfId="10560" xr:uid="{00000000-0005-0000-0000-00002D270000}"/>
    <cellStyle name="Percent 4 26 6 3 2" xfId="10561" xr:uid="{00000000-0005-0000-0000-00002E270000}"/>
    <cellStyle name="Percent 4 26 6 4" xfId="10562" xr:uid="{00000000-0005-0000-0000-00002F270000}"/>
    <cellStyle name="Percent 4 26 7" xfId="10563" xr:uid="{00000000-0005-0000-0000-000030270000}"/>
    <cellStyle name="Percent 4 26 7 2" xfId="10564" xr:uid="{00000000-0005-0000-0000-000031270000}"/>
    <cellStyle name="Percent 4 26 8" xfId="10565" xr:uid="{00000000-0005-0000-0000-000032270000}"/>
    <cellStyle name="Percent 4 26 8 2" xfId="10566" xr:uid="{00000000-0005-0000-0000-000033270000}"/>
    <cellStyle name="Percent 4 26 9" xfId="10567" xr:uid="{00000000-0005-0000-0000-000034270000}"/>
    <cellStyle name="Percent 4 26 9 2" xfId="10568" xr:uid="{00000000-0005-0000-0000-000035270000}"/>
    <cellStyle name="Percent 4 27" xfId="2990" xr:uid="{00000000-0005-0000-0000-000036270000}"/>
    <cellStyle name="Percent 4 27 10" xfId="10570" xr:uid="{00000000-0005-0000-0000-000037270000}"/>
    <cellStyle name="Percent 4 27 11" xfId="10571" xr:uid="{00000000-0005-0000-0000-000038270000}"/>
    <cellStyle name="Percent 4 27 12" xfId="10569" xr:uid="{00000000-0005-0000-0000-000039270000}"/>
    <cellStyle name="Percent 4 27 2" xfId="10572" xr:uid="{00000000-0005-0000-0000-00003A270000}"/>
    <cellStyle name="Percent 4 27 2 2" xfId="10573" xr:uid="{00000000-0005-0000-0000-00003B270000}"/>
    <cellStyle name="Percent 4 27 2 2 2" xfId="10574" xr:uid="{00000000-0005-0000-0000-00003C270000}"/>
    <cellStyle name="Percent 4 27 2 3" xfId="10575" xr:uid="{00000000-0005-0000-0000-00003D270000}"/>
    <cellStyle name="Percent 4 27 2 3 2" xfId="10576" xr:uid="{00000000-0005-0000-0000-00003E270000}"/>
    <cellStyle name="Percent 4 27 2 4" xfId="10577" xr:uid="{00000000-0005-0000-0000-00003F270000}"/>
    <cellStyle name="Percent 4 27 2 5" xfId="10578" xr:uid="{00000000-0005-0000-0000-000040270000}"/>
    <cellStyle name="Percent 4 27 3" xfId="10579" xr:uid="{00000000-0005-0000-0000-000041270000}"/>
    <cellStyle name="Percent 4 27 3 2" xfId="10580" xr:uid="{00000000-0005-0000-0000-000042270000}"/>
    <cellStyle name="Percent 4 27 3 2 2" xfId="10581" xr:uid="{00000000-0005-0000-0000-000043270000}"/>
    <cellStyle name="Percent 4 27 3 3" xfId="10582" xr:uid="{00000000-0005-0000-0000-000044270000}"/>
    <cellStyle name="Percent 4 27 3 3 2" xfId="10583" xr:uid="{00000000-0005-0000-0000-000045270000}"/>
    <cellStyle name="Percent 4 27 3 4" xfId="10584" xr:uid="{00000000-0005-0000-0000-000046270000}"/>
    <cellStyle name="Percent 4 27 4" xfId="10585" xr:uid="{00000000-0005-0000-0000-000047270000}"/>
    <cellStyle name="Percent 4 27 4 2" xfId="10586" xr:uid="{00000000-0005-0000-0000-000048270000}"/>
    <cellStyle name="Percent 4 27 4 2 2" xfId="10587" xr:uid="{00000000-0005-0000-0000-000049270000}"/>
    <cellStyle name="Percent 4 27 4 3" xfId="10588" xr:uid="{00000000-0005-0000-0000-00004A270000}"/>
    <cellStyle name="Percent 4 27 4 3 2" xfId="10589" xr:uid="{00000000-0005-0000-0000-00004B270000}"/>
    <cellStyle name="Percent 4 27 4 4" xfId="10590" xr:uid="{00000000-0005-0000-0000-00004C270000}"/>
    <cellStyle name="Percent 4 27 5" xfId="10591" xr:uid="{00000000-0005-0000-0000-00004D270000}"/>
    <cellStyle name="Percent 4 27 5 2" xfId="10592" xr:uid="{00000000-0005-0000-0000-00004E270000}"/>
    <cellStyle name="Percent 4 27 5 2 2" xfId="10593" xr:uid="{00000000-0005-0000-0000-00004F270000}"/>
    <cellStyle name="Percent 4 27 5 3" xfId="10594" xr:uid="{00000000-0005-0000-0000-000050270000}"/>
    <cellStyle name="Percent 4 27 5 3 2" xfId="10595" xr:uid="{00000000-0005-0000-0000-000051270000}"/>
    <cellStyle name="Percent 4 27 5 4" xfId="10596" xr:uid="{00000000-0005-0000-0000-000052270000}"/>
    <cellStyle name="Percent 4 27 5 4 2" xfId="10597" xr:uid="{00000000-0005-0000-0000-000053270000}"/>
    <cellStyle name="Percent 4 27 5 5" xfId="10598" xr:uid="{00000000-0005-0000-0000-000054270000}"/>
    <cellStyle name="Percent 4 27 6" xfId="10599" xr:uid="{00000000-0005-0000-0000-000055270000}"/>
    <cellStyle name="Percent 4 27 6 2" xfId="10600" xr:uid="{00000000-0005-0000-0000-000056270000}"/>
    <cellStyle name="Percent 4 27 6 2 2" xfId="10601" xr:uid="{00000000-0005-0000-0000-000057270000}"/>
    <cellStyle name="Percent 4 27 6 3" xfId="10602" xr:uid="{00000000-0005-0000-0000-000058270000}"/>
    <cellStyle name="Percent 4 27 6 3 2" xfId="10603" xr:uid="{00000000-0005-0000-0000-000059270000}"/>
    <cellStyle name="Percent 4 27 6 4" xfId="10604" xr:uid="{00000000-0005-0000-0000-00005A270000}"/>
    <cellStyle name="Percent 4 27 7" xfId="10605" xr:uid="{00000000-0005-0000-0000-00005B270000}"/>
    <cellStyle name="Percent 4 27 7 2" xfId="10606" xr:uid="{00000000-0005-0000-0000-00005C270000}"/>
    <cellStyle name="Percent 4 27 8" xfId="10607" xr:uid="{00000000-0005-0000-0000-00005D270000}"/>
    <cellStyle name="Percent 4 27 8 2" xfId="10608" xr:uid="{00000000-0005-0000-0000-00005E270000}"/>
    <cellStyle name="Percent 4 27 9" xfId="10609" xr:uid="{00000000-0005-0000-0000-00005F270000}"/>
    <cellStyle name="Percent 4 27 9 2" xfId="10610" xr:uid="{00000000-0005-0000-0000-000060270000}"/>
    <cellStyle name="Percent 4 28" xfId="2991" xr:uid="{00000000-0005-0000-0000-000061270000}"/>
    <cellStyle name="Percent 4 28 10" xfId="10612" xr:uid="{00000000-0005-0000-0000-000062270000}"/>
    <cellStyle name="Percent 4 28 11" xfId="10613" xr:uid="{00000000-0005-0000-0000-000063270000}"/>
    <cellStyle name="Percent 4 28 12" xfId="10611" xr:uid="{00000000-0005-0000-0000-000064270000}"/>
    <cellStyle name="Percent 4 28 2" xfId="10614" xr:uid="{00000000-0005-0000-0000-000065270000}"/>
    <cellStyle name="Percent 4 28 2 2" xfId="10615" xr:uid="{00000000-0005-0000-0000-000066270000}"/>
    <cellStyle name="Percent 4 28 2 2 2" xfId="10616" xr:uid="{00000000-0005-0000-0000-000067270000}"/>
    <cellStyle name="Percent 4 28 2 3" xfId="10617" xr:uid="{00000000-0005-0000-0000-000068270000}"/>
    <cellStyle name="Percent 4 28 2 3 2" xfId="10618" xr:uid="{00000000-0005-0000-0000-000069270000}"/>
    <cellStyle name="Percent 4 28 2 4" xfId="10619" xr:uid="{00000000-0005-0000-0000-00006A270000}"/>
    <cellStyle name="Percent 4 28 2 5" xfId="10620" xr:uid="{00000000-0005-0000-0000-00006B270000}"/>
    <cellStyle name="Percent 4 28 3" xfId="10621" xr:uid="{00000000-0005-0000-0000-00006C270000}"/>
    <cellStyle name="Percent 4 28 3 2" xfId="10622" xr:uid="{00000000-0005-0000-0000-00006D270000}"/>
    <cellStyle name="Percent 4 28 3 2 2" xfId="10623" xr:uid="{00000000-0005-0000-0000-00006E270000}"/>
    <cellStyle name="Percent 4 28 3 3" xfId="10624" xr:uid="{00000000-0005-0000-0000-00006F270000}"/>
    <cellStyle name="Percent 4 28 3 3 2" xfId="10625" xr:uid="{00000000-0005-0000-0000-000070270000}"/>
    <cellStyle name="Percent 4 28 3 4" xfId="10626" xr:uid="{00000000-0005-0000-0000-000071270000}"/>
    <cellStyle name="Percent 4 28 4" xfId="10627" xr:uid="{00000000-0005-0000-0000-000072270000}"/>
    <cellStyle name="Percent 4 28 4 2" xfId="10628" xr:uid="{00000000-0005-0000-0000-000073270000}"/>
    <cellStyle name="Percent 4 28 4 2 2" xfId="10629" xr:uid="{00000000-0005-0000-0000-000074270000}"/>
    <cellStyle name="Percent 4 28 4 3" xfId="10630" xr:uid="{00000000-0005-0000-0000-000075270000}"/>
    <cellStyle name="Percent 4 28 4 3 2" xfId="10631" xr:uid="{00000000-0005-0000-0000-000076270000}"/>
    <cellStyle name="Percent 4 28 4 4" xfId="10632" xr:uid="{00000000-0005-0000-0000-000077270000}"/>
    <cellStyle name="Percent 4 28 5" xfId="10633" xr:uid="{00000000-0005-0000-0000-000078270000}"/>
    <cellStyle name="Percent 4 28 5 2" xfId="10634" xr:uid="{00000000-0005-0000-0000-000079270000}"/>
    <cellStyle name="Percent 4 28 5 2 2" xfId="10635" xr:uid="{00000000-0005-0000-0000-00007A270000}"/>
    <cellStyle name="Percent 4 28 5 3" xfId="10636" xr:uid="{00000000-0005-0000-0000-00007B270000}"/>
    <cellStyle name="Percent 4 28 5 3 2" xfId="10637" xr:uid="{00000000-0005-0000-0000-00007C270000}"/>
    <cellStyle name="Percent 4 28 5 4" xfId="10638" xr:uid="{00000000-0005-0000-0000-00007D270000}"/>
    <cellStyle name="Percent 4 28 5 4 2" xfId="10639" xr:uid="{00000000-0005-0000-0000-00007E270000}"/>
    <cellStyle name="Percent 4 28 5 5" xfId="10640" xr:uid="{00000000-0005-0000-0000-00007F270000}"/>
    <cellStyle name="Percent 4 28 6" xfId="10641" xr:uid="{00000000-0005-0000-0000-000080270000}"/>
    <cellStyle name="Percent 4 28 6 2" xfId="10642" xr:uid="{00000000-0005-0000-0000-000081270000}"/>
    <cellStyle name="Percent 4 28 6 2 2" xfId="10643" xr:uid="{00000000-0005-0000-0000-000082270000}"/>
    <cellStyle name="Percent 4 28 6 3" xfId="10644" xr:uid="{00000000-0005-0000-0000-000083270000}"/>
    <cellStyle name="Percent 4 28 6 3 2" xfId="10645" xr:uid="{00000000-0005-0000-0000-000084270000}"/>
    <cellStyle name="Percent 4 28 6 4" xfId="10646" xr:uid="{00000000-0005-0000-0000-000085270000}"/>
    <cellStyle name="Percent 4 28 7" xfId="10647" xr:uid="{00000000-0005-0000-0000-000086270000}"/>
    <cellStyle name="Percent 4 28 7 2" xfId="10648" xr:uid="{00000000-0005-0000-0000-000087270000}"/>
    <cellStyle name="Percent 4 28 8" xfId="10649" xr:uid="{00000000-0005-0000-0000-000088270000}"/>
    <cellStyle name="Percent 4 28 8 2" xfId="10650" xr:uid="{00000000-0005-0000-0000-000089270000}"/>
    <cellStyle name="Percent 4 28 9" xfId="10651" xr:uid="{00000000-0005-0000-0000-00008A270000}"/>
    <cellStyle name="Percent 4 28 9 2" xfId="10652" xr:uid="{00000000-0005-0000-0000-00008B270000}"/>
    <cellStyle name="Percent 4 29" xfId="2992" xr:uid="{00000000-0005-0000-0000-00008C270000}"/>
    <cellStyle name="Percent 4 29 10" xfId="10654" xr:uid="{00000000-0005-0000-0000-00008D270000}"/>
    <cellStyle name="Percent 4 29 11" xfId="10655" xr:uid="{00000000-0005-0000-0000-00008E270000}"/>
    <cellStyle name="Percent 4 29 12" xfId="10653" xr:uid="{00000000-0005-0000-0000-00008F270000}"/>
    <cellStyle name="Percent 4 29 2" xfId="2993" xr:uid="{00000000-0005-0000-0000-000090270000}"/>
    <cellStyle name="Percent 4 29 2 2" xfId="10657" xr:uid="{00000000-0005-0000-0000-000091270000}"/>
    <cellStyle name="Percent 4 29 2 2 2" xfId="10658" xr:uid="{00000000-0005-0000-0000-000092270000}"/>
    <cellStyle name="Percent 4 29 2 2 3" xfId="10659" xr:uid="{00000000-0005-0000-0000-000093270000}"/>
    <cellStyle name="Percent 4 29 2 3" xfId="10660" xr:uid="{00000000-0005-0000-0000-000094270000}"/>
    <cellStyle name="Percent 4 29 2 3 2" xfId="10661" xr:uid="{00000000-0005-0000-0000-000095270000}"/>
    <cellStyle name="Percent 4 29 2 4" xfId="10662" xr:uid="{00000000-0005-0000-0000-000096270000}"/>
    <cellStyle name="Percent 4 29 2 5" xfId="10663" xr:uid="{00000000-0005-0000-0000-000097270000}"/>
    <cellStyle name="Percent 4 29 2 6" xfId="10656" xr:uid="{00000000-0005-0000-0000-000098270000}"/>
    <cellStyle name="Percent 4 29 3" xfId="10664" xr:uid="{00000000-0005-0000-0000-000099270000}"/>
    <cellStyle name="Percent 4 29 3 2" xfId="10665" xr:uid="{00000000-0005-0000-0000-00009A270000}"/>
    <cellStyle name="Percent 4 29 3 2 2" xfId="10666" xr:uid="{00000000-0005-0000-0000-00009B270000}"/>
    <cellStyle name="Percent 4 29 3 3" xfId="10667" xr:uid="{00000000-0005-0000-0000-00009C270000}"/>
    <cellStyle name="Percent 4 29 3 3 2" xfId="10668" xr:uid="{00000000-0005-0000-0000-00009D270000}"/>
    <cellStyle name="Percent 4 29 3 4" xfId="10669" xr:uid="{00000000-0005-0000-0000-00009E270000}"/>
    <cellStyle name="Percent 4 29 3 5" xfId="10670" xr:uid="{00000000-0005-0000-0000-00009F270000}"/>
    <cellStyle name="Percent 4 29 4" xfId="10671" xr:uid="{00000000-0005-0000-0000-0000A0270000}"/>
    <cellStyle name="Percent 4 29 4 2" xfId="10672" xr:uid="{00000000-0005-0000-0000-0000A1270000}"/>
    <cellStyle name="Percent 4 29 4 2 2" xfId="10673" xr:uid="{00000000-0005-0000-0000-0000A2270000}"/>
    <cellStyle name="Percent 4 29 4 3" xfId="10674" xr:uid="{00000000-0005-0000-0000-0000A3270000}"/>
    <cellStyle name="Percent 4 29 4 3 2" xfId="10675" xr:uid="{00000000-0005-0000-0000-0000A4270000}"/>
    <cellStyle name="Percent 4 29 4 4" xfId="10676" xr:uid="{00000000-0005-0000-0000-0000A5270000}"/>
    <cellStyle name="Percent 4 29 4 5" xfId="10677" xr:uid="{00000000-0005-0000-0000-0000A6270000}"/>
    <cellStyle name="Percent 4 29 5" xfId="10678" xr:uid="{00000000-0005-0000-0000-0000A7270000}"/>
    <cellStyle name="Percent 4 29 5 2" xfId="10679" xr:uid="{00000000-0005-0000-0000-0000A8270000}"/>
    <cellStyle name="Percent 4 29 5 2 2" xfId="10680" xr:uid="{00000000-0005-0000-0000-0000A9270000}"/>
    <cellStyle name="Percent 4 29 5 3" xfId="10681" xr:uid="{00000000-0005-0000-0000-0000AA270000}"/>
    <cellStyle name="Percent 4 29 5 3 2" xfId="10682" xr:uid="{00000000-0005-0000-0000-0000AB270000}"/>
    <cellStyle name="Percent 4 29 5 4" xfId="10683" xr:uid="{00000000-0005-0000-0000-0000AC270000}"/>
    <cellStyle name="Percent 4 29 5 4 2" xfId="10684" xr:uid="{00000000-0005-0000-0000-0000AD270000}"/>
    <cellStyle name="Percent 4 29 5 5" xfId="10685" xr:uid="{00000000-0005-0000-0000-0000AE270000}"/>
    <cellStyle name="Percent 4 29 6" xfId="10686" xr:uid="{00000000-0005-0000-0000-0000AF270000}"/>
    <cellStyle name="Percent 4 29 6 2" xfId="10687" xr:uid="{00000000-0005-0000-0000-0000B0270000}"/>
    <cellStyle name="Percent 4 29 6 2 2" xfId="10688" xr:uid="{00000000-0005-0000-0000-0000B1270000}"/>
    <cellStyle name="Percent 4 29 6 3" xfId="10689" xr:uid="{00000000-0005-0000-0000-0000B2270000}"/>
    <cellStyle name="Percent 4 29 6 3 2" xfId="10690" xr:uid="{00000000-0005-0000-0000-0000B3270000}"/>
    <cellStyle name="Percent 4 29 6 4" xfId="10691" xr:uid="{00000000-0005-0000-0000-0000B4270000}"/>
    <cellStyle name="Percent 4 29 7" xfId="10692" xr:uid="{00000000-0005-0000-0000-0000B5270000}"/>
    <cellStyle name="Percent 4 29 7 2" xfId="10693" xr:uid="{00000000-0005-0000-0000-0000B6270000}"/>
    <cellStyle name="Percent 4 29 8" xfId="10694" xr:uid="{00000000-0005-0000-0000-0000B7270000}"/>
    <cellStyle name="Percent 4 29 8 2" xfId="10695" xr:uid="{00000000-0005-0000-0000-0000B8270000}"/>
    <cellStyle name="Percent 4 29 9" xfId="10696" xr:uid="{00000000-0005-0000-0000-0000B9270000}"/>
    <cellStyle name="Percent 4 29 9 2" xfId="10697" xr:uid="{00000000-0005-0000-0000-0000BA270000}"/>
    <cellStyle name="Percent 4 3" xfId="290" xr:uid="{00000000-0005-0000-0000-0000BB270000}"/>
    <cellStyle name="Percent 4 3 10" xfId="10699" xr:uid="{00000000-0005-0000-0000-0000BC270000}"/>
    <cellStyle name="Percent 4 3 10 2" xfId="10700" xr:uid="{00000000-0005-0000-0000-0000BD270000}"/>
    <cellStyle name="Percent 4 3 10 2 2" xfId="10701" xr:uid="{00000000-0005-0000-0000-0000BE270000}"/>
    <cellStyle name="Percent 4 3 10 3" xfId="10702" xr:uid="{00000000-0005-0000-0000-0000BF270000}"/>
    <cellStyle name="Percent 4 3 10 3 2" xfId="10703" xr:uid="{00000000-0005-0000-0000-0000C0270000}"/>
    <cellStyle name="Percent 4 3 10 4" xfId="10704" xr:uid="{00000000-0005-0000-0000-0000C1270000}"/>
    <cellStyle name="Percent 4 3 11" xfId="10705" xr:uid="{00000000-0005-0000-0000-0000C2270000}"/>
    <cellStyle name="Percent 4 3 11 2" xfId="10706" xr:uid="{00000000-0005-0000-0000-0000C3270000}"/>
    <cellStyle name="Percent 4 3 11 2 2" xfId="10707" xr:uid="{00000000-0005-0000-0000-0000C4270000}"/>
    <cellStyle name="Percent 4 3 11 3" xfId="10708" xr:uid="{00000000-0005-0000-0000-0000C5270000}"/>
    <cellStyle name="Percent 4 3 11 3 2" xfId="10709" xr:uid="{00000000-0005-0000-0000-0000C6270000}"/>
    <cellStyle name="Percent 4 3 11 4" xfId="10710" xr:uid="{00000000-0005-0000-0000-0000C7270000}"/>
    <cellStyle name="Percent 4 3 12" xfId="10711" xr:uid="{00000000-0005-0000-0000-0000C8270000}"/>
    <cellStyle name="Percent 4 3 12 2" xfId="10712" xr:uid="{00000000-0005-0000-0000-0000C9270000}"/>
    <cellStyle name="Percent 4 3 12 2 2" xfId="10713" xr:uid="{00000000-0005-0000-0000-0000CA270000}"/>
    <cellStyle name="Percent 4 3 12 3" xfId="10714" xr:uid="{00000000-0005-0000-0000-0000CB270000}"/>
    <cellStyle name="Percent 4 3 12 3 2" xfId="10715" xr:uid="{00000000-0005-0000-0000-0000CC270000}"/>
    <cellStyle name="Percent 4 3 12 4" xfId="10716" xr:uid="{00000000-0005-0000-0000-0000CD270000}"/>
    <cellStyle name="Percent 4 3 12 4 2" xfId="10717" xr:uid="{00000000-0005-0000-0000-0000CE270000}"/>
    <cellStyle name="Percent 4 3 12 5" xfId="10718" xr:uid="{00000000-0005-0000-0000-0000CF270000}"/>
    <cellStyle name="Percent 4 3 13" xfId="10719" xr:uid="{00000000-0005-0000-0000-0000D0270000}"/>
    <cellStyle name="Percent 4 3 13 2" xfId="10720" xr:uid="{00000000-0005-0000-0000-0000D1270000}"/>
    <cellStyle name="Percent 4 3 13 2 2" xfId="10721" xr:uid="{00000000-0005-0000-0000-0000D2270000}"/>
    <cellStyle name="Percent 4 3 13 3" xfId="10722" xr:uid="{00000000-0005-0000-0000-0000D3270000}"/>
    <cellStyle name="Percent 4 3 13 3 2" xfId="10723" xr:uid="{00000000-0005-0000-0000-0000D4270000}"/>
    <cellStyle name="Percent 4 3 13 4" xfId="10724" xr:uid="{00000000-0005-0000-0000-0000D5270000}"/>
    <cellStyle name="Percent 4 3 14" xfId="10725" xr:uid="{00000000-0005-0000-0000-0000D6270000}"/>
    <cellStyle name="Percent 4 3 14 2" xfId="10726" xr:uid="{00000000-0005-0000-0000-0000D7270000}"/>
    <cellStyle name="Percent 4 3 15" xfId="10727" xr:uid="{00000000-0005-0000-0000-0000D8270000}"/>
    <cellStyle name="Percent 4 3 15 2" xfId="10728" xr:uid="{00000000-0005-0000-0000-0000D9270000}"/>
    <cellStyle name="Percent 4 3 16" xfId="10729" xr:uid="{00000000-0005-0000-0000-0000DA270000}"/>
    <cellStyle name="Percent 4 3 16 2" xfId="10730" xr:uid="{00000000-0005-0000-0000-0000DB270000}"/>
    <cellStyle name="Percent 4 3 17" xfId="10731" xr:uid="{00000000-0005-0000-0000-0000DC270000}"/>
    <cellStyle name="Percent 4 3 18" xfId="10732" xr:uid="{00000000-0005-0000-0000-0000DD270000}"/>
    <cellStyle name="Percent 4 3 19" xfId="10698" xr:uid="{00000000-0005-0000-0000-0000DE270000}"/>
    <cellStyle name="Percent 4 3 2" xfId="4735" xr:uid="{00000000-0005-0000-0000-0000DF270000}"/>
    <cellStyle name="Percent 4 3 2 10" xfId="10734" xr:uid="{00000000-0005-0000-0000-0000E0270000}"/>
    <cellStyle name="Percent 4 3 2 11" xfId="10733" xr:uid="{00000000-0005-0000-0000-0000E1270000}"/>
    <cellStyle name="Percent 4 3 2 2" xfId="10735" xr:uid="{00000000-0005-0000-0000-0000E2270000}"/>
    <cellStyle name="Percent 4 3 2 2 2" xfId="10736" xr:uid="{00000000-0005-0000-0000-0000E3270000}"/>
    <cellStyle name="Percent 4 3 2 2 2 2" xfId="10737" xr:uid="{00000000-0005-0000-0000-0000E4270000}"/>
    <cellStyle name="Percent 4 3 2 2 3" xfId="10738" xr:uid="{00000000-0005-0000-0000-0000E5270000}"/>
    <cellStyle name="Percent 4 3 2 2 3 2" xfId="10739" xr:uid="{00000000-0005-0000-0000-0000E6270000}"/>
    <cellStyle name="Percent 4 3 2 2 4" xfId="10740" xr:uid="{00000000-0005-0000-0000-0000E7270000}"/>
    <cellStyle name="Percent 4 3 2 3" xfId="10741" xr:uid="{00000000-0005-0000-0000-0000E8270000}"/>
    <cellStyle name="Percent 4 3 2 3 2" xfId="10742" xr:uid="{00000000-0005-0000-0000-0000E9270000}"/>
    <cellStyle name="Percent 4 3 2 3 2 2" xfId="10743" xr:uid="{00000000-0005-0000-0000-0000EA270000}"/>
    <cellStyle name="Percent 4 3 2 3 3" xfId="10744" xr:uid="{00000000-0005-0000-0000-0000EB270000}"/>
    <cellStyle name="Percent 4 3 2 3 3 2" xfId="10745" xr:uid="{00000000-0005-0000-0000-0000EC270000}"/>
    <cellStyle name="Percent 4 3 2 3 4" xfId="10746" xr:uid="{00000000-0005-0000-0000-0000ED270000}"/>
    <cellStyle name="Percent 4 3 2 4" xfId="10747" xr:uid="{00000000-0005-0000-0000-0000EE270000}"/>
    <cellStyle name="Percent 4 3 2 4 2" xfId="10748" xr:uid="{00000000-0005-0000-0000-0000EF270000}"/>
    <cellStyle name="Percent 4 3 2 4 2 2" xfId="10749" xr:uid="{00000000-0005-0000-0000-0000F0270000}"/>
    <cellStyle name="Percent 4 3 2 4 3" xfId="10750" xr:uid="{00000000-0005-0000-0000-0000F1270000}"/>
    <cellStyle name="Percent 4 3 2 4 3 2" xfId="10751" xr:uid="{00000000-0005-0000-0000-0000F2270000}"/>
    <cellStyle name="Percent 4 3 2 4 4" xfId="10752" xr:uid="{00000000-0005-0000-0000-0000F3270000}"/>
    <cellStyle name="Percent 4 3 2 4 4 2" xfId="10753" xr:uid="{00000000-0005-0000-0000-0000F4270000}"/>
    <cellStyle name="Percent 4 3 2 4 5" xfId="10754" xr:uid="{00000000-0005-0000-0000-0000F5270000}"/>
    <cellStyle name="Percent 4 3 2 5" xfId="10755" xr:uid="{00000000-0005-0000-0000-0000F6270000}"/>
    <cellStyle name="Percent 4 3 2 5 2" xfId="10756" xr:uid="{00000000-0005-0000-0000-0000F7270000}"/>
    <cellStyle name="Percent 4 3 2 5 2 2" xfId="10757" xr:uid="{00000000-0005-0000-0000-0000F8270000}"/>
    <cellStyle name="Percent 4 3 2 5 3" xfId="10758" xr:uid="{00000000-0005-0000-0000-0000F9270000}"/>
    <cellStyle name="Percent 4 3 2 5 3 2" xfId="10759" xr:uid="{00000000-0005-0000-0000-0000FA270000}"/>
    <cellStyle name="Percent 4 3 2 5 4" xfId="10760" xr:uid="{00000000-0005-0000-0000-0000FB270000}"/>
    <cellStyle name="Percent 4 3 2 6" xfId="10761" xr:uid="{00000000-0005-0000-0000-0000FC270000}"/>
    <cellStyle name="Percent 4 3 2 6 2" xfId="10762" xr:uid="{00000000-0005-0000-0000-0000FD270000}"/>
    <cellStyle name="Percent 4 3 2 7" xfId="10763" xr:uid="{00000000-0005-0000-0000-0000FE270000}"/>
    <cellStyle name="Percent 4 3 2 7 2" xfId="10764" xr:uid="{00000000-0005-0000-0000-0000FF270000}"/>
    <cellStyle name="Percent 4 3 2 8" xfId="10765" xr:uid="{00000000-0005-0000-0000-000000280000}"/>
    <cellStyle name="Percent 4 3 2 8 2" xfId="10766" xr:uid="{00000000-0005-0000-0000-000001280000}"/>
    <cellStyle name="Percent 4 3 2 9" xfId="10767" xr:uid="{00000000-0005-0000-0000-000002280000}"/>
    <cellStyle name="Percent 4 3 3" xfId="4736" xr:uid="{00000000-0005-0000-0000-000003280000}"/>
    <cellStyle name="Percent 4 3 3 10" xfId="10769" xr:uid="{00000000-0005-0000-0000-000004280000}"/>
    <cellStyle name="Percent 4 3 3 11" xfId="10768" xr:uid="{00000000-0005-0000-0000-000005280000}"/>
    <cellStyle name="Percent 4 3 3 2" xfId="10770" xr:uid="{00000000-0005-0000-0000-000006280000}"/>
    <cellStyle name="Percent 4 3 3 2 2" xfId="10771" xr:uid="{00000000-0005-0000-0000-000007280000}"/>
    <cellStyle name="Percent 4 3 3 2 2 2" xfId="10772" xr:uid="{00000000-0005-0000-0000-000008280000}"/>
    <cellStyle name="Percent 4 3 3 2 3" xfId="10773" xr:uid="{00000000-0005-0000-0000-000009280000}"/>
    <cellStyle name="Percent 4 3 3 2 3 2" xfId="10774" xr:uid="{00000000-0005-0000-0000-00000A280000}"/>
    <cellStyle name="Percent 4 3 3 2 4" xfId="10775" xr:uid="{00000000-0005-0000-0000-00000B280000}"/>
    <cellStyle name="Percent 4 3 3 3" xfId="10776" xr:uid="{00000000-0005-0000-0000-00000C280000}"/>
    <cellStyle name="Percent 4 3 3 3 2" xfId="10777" xr:uid="{00000000-0005-0000-0000-00000D280000}"/>
    <cellStyle name="Percent 4 3 3 3 2 2" xfId="10778" xr:uid="{00000000-0005-0000-0000-00000E280000}"/>
    <cellStyle name="Percent 4 3 3 3 3" xfId="10779" xr:uid="{00000000-0005-0000-0000-00000F280000}"/>
    <cellStyle name="Percent 4 3 3 3 3 2" xfId="10780" xr:uid="{00000000-0005-0000-0000-000010280000}"/>
    <cellStyle name="Percent 4 3 3 3 4" xfId="10781" xr:uid="{00000000-0005-0000-0000-000011280000}"/>
    <cellStyle name="Percent 4 3 3 4" xfId="10782" xr:uid="{00000000-0005-0000-0000-000012280000}"/>
    <cellStyle name="Percent 4 3 3 4 2" xfId="10783" xr:uid="{00000000-0005-0000-0000-000013280000}"/>
    <cellStyle name="Percent 4 3 3 4 2 2" xfId="10784" xr:uid="{00000000-0005-0000-0000-000014280000}"/>
    <cellStyle name="Percent 4 3 3 4 3" xfId="10785" xr:uid="{00000000-0005-0000-0000-000015280000}"/>
    <cellStyle name="Percent 4 3 3 4 3 2" xfId="10786" xr:uid="{00000000-0005-0000-0000-000016280000}"/>
    <cellStyle name="Percent 4 3 3 4 4" xfId="10787" xr:uid="{00000000-0005-0000-0000-000017280000}"/>
    <cellStyle name="Percent 4 3 3 4 4 2" xfId="10788" xr:uid="{00000000-0005-0000-0000-000018280000}"/>
    <cellStyle name="Percent 4 3 3 4 5" xfId="10789" xr:uid="{00000000-0005-0000-0000-000019280000}"/>
    <cellStyle name="Percent 4 3 3 5" xfId="10790" xr:uid="{00000000-0005-0000-0000-00001A280000}"/>
    <cellStyle name="Percent 4 3 3 5 2" xfId="10791" xr:uid="{00000000-0005-0000-0000-00001B280000}"/>
    <cellStyle name="Percent 4 3 3 5 2 2" xfId="10792" xr:uid="{00000000-0005-0000-0000-00001C280000}"/>
    <cellStyle name="Percent 4 3 3 5 3" xfId="10793" xr:uid="{00000000-0005-0000-0000-00001D280000}"/>
    <cellStyle name="Percent 4 3 3 5 3 2" xfId="10794" xr:uid="{00000000-0005-0000-0000-00001E280000}"/>
    <cellStyle name="Percent 4 3 3 5 4" xfId="10795" xr:uid="{00000000-0005-0000-0000-00001F280000}"/>
    <cellStyle name="Percent 4 3 3 6" xfId="10796" xr:uid="{00000000-0005-0000-0000-000020280000}"/>
    <cellStyle name="Percent 4 3 3 6 2" xfId="10797" xr:uid="{00000000-0005-0000-0000-000021280000}"/>
    <cellStyle name="Percent 4 3 3 7" xfId="10798" xr:uid="{00000000-0005-0000-0000-000022280000}"/>
    <cellStyle name="Percent 4 3 3 7 2" xfId="10799" xr:uid="{00000000-0005-0000-0000-000023280000}"/>
    <cellStyle name="Percent 4 3 3 8" xfId="10800" xr:uid="{00000000-0005-0000-0000-000024280000}"/>
    <cellStyle name="Percent 4 3 3 8 2" xfId="10801" xr:uid="{00000000-0005-0000-0000-000025280000}"/>
    <cellStyle name="Percent 4 3 3 9" xfId="10802" xr:uid="{00000000-0005-0000-0000-000026280000}"/>
    <cellStyle name="Percent 4 3 4" xfId="4737" xr:uid="{00000000-0005-0000-0000-000027280000}"/>
    <cellStyle name="Percent 4 3 4 10" xfId="10804" xr:uid="{00000000-0005-0000-0000-000028280000}"/>
    <cellStyle name="Percent 4 3 4 11" xfId="10803" xr:uid="{00000000-0005-0000-0000-000029280000}"/>
    <cellStyle name="Percent 4 3 4 2" xfId="10805" xr:uid="{00000000-0005-0000-0000-00002A280000}"/>
    <cellStyle name="Percent 4 3 4 2 2" xfId="10806" xr:uid="{00000000-0005-0000-0000-00002B280000}"/>
    <cellStyle name="Percent 4 3 4 2 2 2" xfId="10807" xr:uid="{00000000-0005-0000-0000-00002C280000}"/>
    <cellStyle name="Percent 4 3 4 2 3" xfId="10808" xr:uid="{00000000-0005-0000-0000-00002D280000}"/>
    <cellStyle name="Percent 4 3 4 2 3 2" xfId="10809" xr:uid="{00000000-0005-0000-0000-00002E280000}"/>
    <cellStyle name="Percent 4 3 4 2 4" xfId="10810" xr:uid="{00000000-0005-0000-0000-00002F280000}"/>
    <cellStyle name="Percent 4 3 4 3" xfId="10811" xr:uid="{00000000-0005-0000-0000-000030280000}"/>
    <cellStyle name="Percent 4 3 4 3 2" xfId="10812" xr:uid="{00000000-0005-0000-0000-000031280000}"/>
    <cellStyle name="Percent 4 3 4 3 2 2" xfId="10813" xr:uid="{00000000-0005-0000-0000-000032280000}"/>
    <cellStyle name="Percent 4 3 4 3 3" xfId="10814" xr:uid="{00000000-0005-0000-0000-000033280000}"/>
    <cellStyle name="Percent 4 3 4 3 3 2" xfId="10815" xr:uid="{00000000-0005-0000-0000-000034280000}"/>
    <cellStyle name="Percent 4 3 4 3 4" xfId="10816" xr:uid="{00000000-0005-0000-0000-000035280000}"/>
    <cellStyle name="Percent 4 3 4 4" xfId="10817" xr:uid="{00000000-0005-0000-0000-000036280000}"/>
    <cellStyle name="Percent 4 3 4 4 2" xfId="10818" xr:uid="{00000000-0005-0000-0000-000037280000}"/>
    <cellStyle name="Percent 4 3 4 4 2 2" xfId="10819" xr:uid="{00000000-0005-0000-0000-000038280000}"/>
    <cellStyle name="Percent 4 3 4 4 3" xfId="10820" xr:uid="{00000000-0005-0000-0000-000039280000}"/>
    <cellStyle name="Percent 4 3 4 4 3 2" xfId="10821" xr:uid="{00000000-0005-0000-0000-00003A280000}"/>
    <cellStyle name="Percent 4 3 4 4 4" xfId="10822" xr:uid="{00000000-0005-0000-0000-00003B280000}"/>
    <cellStyle name="Percent 4 3 4 4 4 2" xfId="10823" xr:uid="{00000000-0005-0000-0000-00003C280000}"/>
    <cellStyle name="Percent 4 3 4 4 5" xfId="10824" xr:uid="{00000000-0005-0000-0000-00003D280000}"/>
    <cellStyle name="Percent 4 3 4 5" xfId="10825" xr:uid="{00000000-0005-0000-0000-00003E280000}"/>
    <cellStyle name="Percent 4 3 4 5 2" xfId="10826" xr:uid="{00000000-0005-0000-0000-00003F280000}"/>
    <cellStyle name="Percent 4 3 4 5 2 2" xfId="10827" xr:uid="{00000000-0005-0000-0000-000040280000}"/>
    <cellStyle name="Percent 4 3 4 5 3" xfId="10828" xr:uid="{00000000-0005-0000-0000-000041280000}"/>
    <cellStyle name="Percent 4 3 4 5 3 2" xfId="10829" xr:uid="{00000000-0005-0000-0000-000042280000}"/>
    <cellStyle name="Percent 4 3 4 5 4" xfId="10830" xr:uid="{00000000-0005-0000-0000-000043280000}"/>
    <cellStyle name="Percent 4 3 4 6" xfId="10831" xr:uid="{00000000-0005-0000-0000-000044280000}"/>
    <cellStyle name="Percent 4 3 4 6 2" xfId="10832" xr:uid="{00000000-0005-0000-0000-000045280000}"/>
    <cellStyle name="Percent 4 3 4 7" xfId="10833" xr:uid="{00000000-0005-0000-0000-000046280000}"/>
    <cellStyle name="Percent 4 3 4 7 2" xfId="10834" xr:uid="{00000000-0005-0000-0000-000047280000}"/>
    <cellStyle name="Percent 4 3 4 8" xfId="10835" xr:uid="{00000000-0005-0000-0000-000048280000}"/>
    <cellStyle name="Percent 4 3 4 8 2" xfId="10836" xr:uid="{00000000-0005-0000-0000-000049280000}"/>
    <cellStyle name="Percent 4 3 4 9" xfId="10837" xr:uid="{00000000-0005-0000-0000-00004A280000}"/>
    <cellStyle name="Percent 4 3 5" xfId="4738" xr:uid="{00000000-0005-0000-0000-00004B280000}"/>
    <cellStyle name="Percent 4 3 5 10" xfId="10839" xr:uid="{00000000-0005-0000-0000-00004C280000}"/>
    <cellStyle name="Percent 4 3 5 11" xfId="10838" xr:uid="{00000000-0005-0000-0000-00004D280000}"/>
    <cellStyle name="Percent 4 3 5 2" xfId="10840" xr:uid="{00000000-0005-0000-0000-00004E280000}"/>
    <cellStyle name="Percent 4 3 5 2 2" xfId="10841" xr:uid="{00000000-0005-0000-0000-00004F280000}"/>
    <cellStyle name="Percent 4 3 5 2 2 2" xfId="10842" xr:uid="{00000000-0005-0000-0000-000050280000}"/>
    <cellStyle name="Percent 4 3 5 2 3" xfId="10843" xr:uid="{00000000-0005-0000-0000-000051280000}"/>
    <cellStyle name="Percent 4 3 5 2 3 2" xfId="10844" xr:uid="{00000000-0005-0000-0000-000052280000}"/>
    <cellStyle name="Percent 4 3 5 2 4" xfId="10845" xr:uid="{00000000-0005-0000-0000-000053280000}"/>
    <cellStyle name="Percent 4 3 5 3" xfId="10846" xr:uid="{00000000-0005-0000-0000-000054280000}"/>
    <cellStyle name="Percent 4 3 5 3 2" xfId="10847" xr:uid="{00000000-0005-0000-0000-000055280000}"/>
    <cellStyle name="Percent 4 3 5 3 2 2" xfId="10848" xr:uid="{00000000-0005-0000-0000-000056280000}"/>
    <cellStyle name="Percent 4 3 5 3 3" xfId="10849" xr:uid="{00000000-0005-0000-0000-000057280000}"/>
    <cellStyle name="Percent 4 3 5 3 3 2" xfId="10850" xr:uid="{00000000-0005-0000-0000-000058280000}"/>
    <cellStyle name="Percent 4 3 5 3 4" xfId="10851" xr:uid="{00000000-0005-0000-0000-000059280000}"/>
    <cellStyle name="Percent 4 3 5 4" xfId="10852" xr:uid="{00000000-0005-0000-0000-00005A280000}"/>
    <cellStyle name="Percent 4 3 5 4 2" xfId="10853" xr:uid="{00000000-0005-0000-0000-00005B280000}"/>
    <cellStyle name="Percent 4 3 5 4 2 2" xfId="10854" xr:uid="{00000000-0005-0000-0000-00005C280000}"/>
    <cellStyle name="Percent 4 3 5 4 3" xfId="10855" xr:uid="{00000000-0005-0000-0000-00005D280000}"/>
    <cellStyle name="Percent 4 3 5 4 3 2" xfId="10856" xr:uid="{00000000-0005-0000-0000-00005E280000}"/>
    <cellStyle name="Percent 4 3 5 4 4" xfId="10857" xr:uid="{00000000-0005-0000-0000-00005F280000}"/>
    <cellStyle name="Percent 4 3 5 4 4 2" xfId="10858" xr:uid="{00000000-0005-0000-0000-000060280000}"/>
    <cellStyle name="Percent 4 3 5 4 5" xfId="10859" xr:uid="{00000000-0005-0000-0000-000061280000}"/>
    <cellStyle name="Percent 4 3 5 5" xfId="10860" xr:uid="{00000000-0005-0000-0000-000062280000}"/>
    <cellStyle name="Percent 4 3 5 5 2" xfId="10861" xr:uid="{00000000-0005-0000-0000-000063280000}"/>
    <cellStyle name="Percent 4 3 5 5 2 2" xfId="10862" xr:uid="{00000000-0005-0000-0000-000064280000}"/>
    <cellStyle name="Percent 4 3 5 5 3" xfId="10863" xr:uid="{00000000-0005-0000-0000-000065280000}"/>
    <cellStyle name="Percent 4 3 5 5 3 2" xfId="10864" xr:uid="{00000000-0005-0000-0000-000066280000}"/>
    <cellStyle name="Percent 4 3 5 5 4" xfId="10865" xr:uid="{00000000-0005-0000-0000-000067280000}"/>
    <cellStyle name="Percent 4 3 5 6" xfId="10866" xr:uid="{00000000-0005-0000-0000-000068280000}"/>
    <cellStyle name="Percent 4 3 5 6 2" xfId="10867" xr:uid="{00000000-0005-0000-0000-000069280000}"/>
    <cellStyle name="Percent 4 3 5 7" xfId="10868" xr:uid="{00000000-0005-0000-0000-00006A280000}"/>
    <cellStyle name="Percent 4 3 5 7 2" xfId="10869" xr:uid="{00000000-0005-0000-0000-00006B280000}"/>
    <cellStyle name="Percent 4 3 5 8" xfId="10870" xr:uid="{00000000-0005-0000-0000-00006C280000}"/>
    <cellStyle name="Percent 4 3 5 8 2" xfId="10871" xr:uid="{00000000-0005-0000-0000-00006D280000}"/>
    <cellStyle name="Percent 4 3 5 9" xfId="10872" xr:uid="{00000000-0005-0000-0000-00006E280000}"/>
    <cellStyle name="Percent 4 3 6" xfId="4739" xr:uid="{00000000-0005-0000-0000-00006F280000}"/>
    <cellStyle name="Percent 4 3 6 10" xfId="10874" xr:uid="{00000000-0005-0000-0000-000070280000}"/>
    <cellStyle name="Percent 4 3 6 11" xfId="10873" xr:uid="{00000000-0005-0000-0000-000071280000}"/>
    <cellStyle name="Percent 4 3 6 2" xfId="10875" xr:uid="{00000000-0005-0000-0000-000072280000}"/>
    <cellStyle name="Percent 4 3 6 2 2" xfId="10876" xr:uid="{00000000-0005-0000-0000-000073280000}"/>
    <cellStyle name="Percent 4 3 6 2 2 2" xfId="10877" xr:uid="{00000000-0005-0000-0000-000074280000}"/>
    <cellStyle name="Percent 4 3 6 2 3" xfId="10878" xr:uid="{00000000-0005-0000-0000-000075280000}"/>
    <cellStyle name="Percent 4 3 6 2 3 2" xfId="10879" xr:uid="{00000000-0005-0000-0000-000076280000}"/>
    <cellStyle name="Percent 4 3 6 2 4" xfId="10880" xr:uid="{00000000-0005-0000-0000-000077280000}"/>
    <cellStyle name="Percent 4 3 6 3" xfId="10881" xr:uid="{00000000-0005-0000-0000-000078280000}"/>
    <cellStyle name="Percent 4 3 6 3 2" xfId="10882" xr:uid="{00000000-0005-0000-0000-000079280000}"/>
    <cellStyle name="Percent 4 3 6 3 2 2" xfId="10883" xr:uid="{00000000-0005-0000-0000-00007A280000}"/>
    <cellStyle name="Percent 4 3 6 3 3" xfId="10884" xr:uid="{00000000-0005-0000-0000-00007B280000}"/>
    <cellStyle name="Percent 4 3 6 3 3 2" xfId="10885" xr:uid="{00000000-0005-0000-0000-00007C280000}"/>
    <cellStyle name="Percent 4 3 6 3 4" xfId="10886" xr:uid="{00000000-0005-0000-0000-00007D280000}"/>
    <cellStyle name="Percent 4 3 6 4" xfId="10887" xr:uid="{00000000-0005-0000-0000-00007E280000}"/>
    <cellStyle name="Percent 4 3 6 4 2" xfId="10888" xr:uid="{00000000-0005-0000-0000-00007F280000}"/>
    <cellStyle name="Percent 4 3 6 4 2 2" xfId="10889" xr:uid="{00000000-0005-0000-0000-000080280000}"/>
    <cellStyle name="Percent 4 3 6 4 3" xfId="10890" xr:uid="{00000000-0005-0000-0000-000081280000}"/>
    <cellStyle name="Percent 4 3 6 4 3 2" xfId="10891" xr:uid="{00000000-0005-0000-0000-000082280000}"/>
    <cellStyle name="Percent 4 3 6 4 4" xfId="10892" xr:uid="{00000000-0005-0000-0000-000083280000}"/>
    <cellStyle name="Percent 4 3 6 4 4 2" xfId="10893" xr:uid="{00000000-0005-0000-0000-000084280000}"/>
    <cellStyle name="Percent 4 3 6 4 5" xfId="10894" xr:uid="{00000000-0005-0000-0000-000085280000}"/>
    <cellStyle name="Percent 4 3 6 5" xfId="10895" xr:uid="{00000000-0005-0000-0000-000086280000}"/>
    <cellStyle name="Percent 4 3 6 5 2" xfId="10896" xr:uid="{00000000-0005-0000-0000-000087280000}"/>
    <cellStyle name="Percent 4 3 6 5 2 2" xfId="10897" xr:uid="{00000000-0005-0000-0000-000088280000}"/>
    <cellStyle name="Percent 4 3 6 5 3" xfId="10898" xr:uid="{00000000-0005-0000-0000-000089280000}"/>
    <cellStyle name="Percent 4 3 6 5 3 2" xfId="10899" xr:uid="{00000000-0005-0000-0000-00008A280000}"/>
    <cellStyle name="Percent 4 3 6 5 4" xfId="10900" xr:uid="{00000000-0005-0000-0000-00008B280000}"/>
    <cellStyle name="Percent 4 3 6 6" xfId="10901" xr:uid="{00000000-0005-0000-0000-00008C280000}"/>
    <cellStyle name="Percent 4 3 6 6 2" xfId="10902" xr:uid="{00000000-0005-0000-0000-00008D280000}"/>
    <cellStyle name="Percent 4 3 6 7" xfId="10903" xr:uid="{00000000-0005-0000-0000-00008E280000}"/>
    <cellStyle name="Percent 4 3 6 7 2" xfId="10904" xr:uid="{00000000-0005-0000-0000-00008F280000}"/>
    <cellStyle name="Percent 4 3 6 8" xfId="10905" xr:uid="{00000000-0005-0000-0000-000090280000}"/>
    <cellStyle name="Percent 4 3 6 8 2" xfId="10906" xr:uid="{00000000-0005-0000-0000-000091280000}"/>
    <cellStyle name="Percent 4 3 6 9" xfId="10907" xr:uid="{00000000-0005-0000-0000-000092280000}"/>
    <cellStyle name="Percent 4 3 7" xfId="4740" xr:uid="{00000000-0005-0000-0000-000093280000}"/>
    <cellStyle name="Percent 4 3 7 10" xfId="10909" xr:uid="{00000000-0005-0000-0000-000094280000}"/>
    <cellStyle name="Percent 4 3 7 11" xfId="10908" xr:uid="{00000000-0005-0000-0000-000095280000}"/>
    <cellStyle name="Percent 4 3 7 2" xfId="10910" xr:uid="{00000000-0005-0000-0000-000096280000}"/>
    <cellStyle name="Percent 4 3 7 2 2" xfId="10911" xr:uid="{00000000-0005-0000-0000-000097280000}"/>
    <cellStyle name="Percent 4 3 7 2 2 2" xfId="10912" xr:uid="{00000000-0005-0000-0000-000098280000}"/>
    <cellStyle name="Percent 4 3 7 2 3" xfId="10913" xr:uid="{00000000-0005-0000-0000-000099280000}"/>
    <cellStyle name="Percent 4 3 7 2 3 2" xfId="10914" xr:uid="{00000000-0005-0000-0000-00009A280000}"/>
    <cellStyle name="Percent 4 3 7 2 4" xfId="10915" xr:uid="{00000000-0005-0000-0000-00009B280000}"/>
    <cellStyle name="Percent 4 3 7 3" xfId="10916" xr:uid="{00000000-0005-0000-0000-00009C280000}"/>
    <cellStyle name="Percent 4 3 7 3 2" xfId="10917" xr:uid="{00000000-0005-0000-0000-00009D280000}"/>
    <cellStyle name="Percent 4 3 7 3 2 2" xfId="10918" xr:uid="{00000000-0005-0000-0000-00009E280000}"/>
    <cellStyle name="Percent 4 3 7 3 3" xfId="10919" xr:uid="{00000000-0005-0000-0000-00009F280000}"/>
    <cellStyle name="Percent 4 3 7 3 3 2" xfId="10920" xr:uid="{00000000-0005-0000-0000-0000A0280000}"/>
    <cellStyle name="Percent 4 3 7 3 4" xfId="10921" xr:uid="{00000000-0005-0000-0000-0000A1280000}"/>
    <cellStyle name="Percent 4 3 7 4" xfId="10922" xr:uid="{00000000-0005-0000-0000-0000A2280000}"/>
    <cellStyle name="Percent 4 3 7 4 2" xfId="10923" xr:uid="{00000000-0005-0000-0000-0000A3280000}"/>
    <cellStyle name="Percent 4 3 7 4 2 2" xfId="10924" xr:uid="{00000000-0005-0000-0000-0000A4280000}"/>
    <cellStyle name="Percent 4 3 7 4 3" xfId="10925" xr:uid="{00000000-0005-0000-0000-0000A5280000}"/>
    <cellStyle name="Percent 4 3 7 4 3 2" xfId="10926" xr:uid="{00000000-0005-0000-0000-0000A6280000}"/>
    <cellStyle name="Percent 4 3 7 4 4" xfId="10927" xr:uid="{00000000-0005-0000-0000-0000A7280000}"/>
    <cellStyle name="Percent 4 3 7 4 4 2" xfId="10928" xr:uid="{00000000-0005-0000-0000-0000A8280000}"/>
    <cellStyle name="Percent 4 3 7 4 5" xfId="10929" xr:uid="{00000000-0005-0000-0000-0000A9280000}"/>
    <cellStyle name="Percent 4 3 7 5" xfId="10930" xr:uid="{00000000-0005-0000-0000-0000AA280000}"/>
    <cellStyle name="Percent 4 3 7 5 2" xfId="10931" xr:uid="{00000000-0005-0000-0000-0000AB280000}"/>
    <cellStyle name="Percent 4 3 7 5 2 2" xfId="10932" xr:uid="{00000000-0005-0000-0000-0000AC280000}"/>
    <cellStyle name="Percent 4 3 7 5 3" xfId="10933" xr:uid="{00000000-0005-0000-0000-0000AD280000}"/>
    <cellStyle name="Percent 4 3 7 5 3 2" xfId="10934" xr:uid="{00000000-0005-0000-0000-0000AE280000}"/>
    <cellStyle name="Percent 4 3 7 5 4" xfId="10935" xr:uid="{00000000-0005-0000-0000-0000AF280000}"/>
    <cellStyle name="Percent 4 3 7 6" xfId="10936" xr:uid="{00000000-0005-0000-0000-0000B0280000}"/>
    <cellStyle name="Percent 4 3 7 6 2" xfId="10937" xr:uid="{00000000-0005-0000-0000-0000B1280000}"/>
    <cellStyle name="Percent 4 3 7 7" xfId="10938" xr:uid="{00000000-0005-0000-0000-0000B2280000}"/>
    <cellStyle name="Percent 4 3 7 7 2" xfId="10939" xr:uid="{00000000-0005-0000-0000-0000B3280000}"/>
    <cellStyle name="Percent 4 3 7 8" xfId="10940" xr:uid="{00000000-0005-0000-0000-0000B4280000}"/>
    <cellStyle name="Percent 4 3 7 8 2" xfId="10941" xr:uid="{00000000-0005-0000-0000-0000B5280000}"/>
    <cellStyle name="Percent 4 3 7 9" xfId="10942" xr:uid="{00000000-0005-0000-0000-0000B6280000}"/>
    <cellStyle name="Percent 4 3 8" xfId="4741" xr:uid="{00000000-0005-0000-0000-0000B7280000}"/>
    <cellStyle name="Percent 4 3 8 10" xfId="10944" xr:uid="{00000000-0005-0000-0000-0000B8280000}"/>
    <cellStyle name="Percent 4 3 8 11" xfId="10943" xr:uid="{00000000-0005-0000-0000-0000B9280000}"/>
    <cellStyle name="Percent 4 3 8 2" xfId="10945" xr:uid="{00000000-0005-0000-0000-0000BA280000}"/>
    <cellStyle name="Percent 4 3 8 2 2" xfId="10946" xr:uid="{00000000-0005-0000-0000-0000BB280000}"/>
    <cellStyle name="Percent 4 3 8 2 2 2" xfId="10947" xr:uid="{00000000-0005-0000-0000-0000BC280000}"/>
    <cellStyle name="Percent 4 3 8 2 3" xfId="10948" xr:uid="{00000000-0005-0000-0000-0000BD280000}"/>
    <cellStyle name="Percent 4 3 8 2 3 2" xfId="10949" xr:uid="{00000000-0005-0000-0000-0000BE280000}"/>
    <cellStyle name="Percent 4 3 8 2 4" xfId="10950" xr:uid="{00000000-0005-0000-0000-0000BF280000}"/>
    <cellStyle name="Percent 4 3 8 3" xfId="10951" xr:uid="{00000000-0005-0000-0000-0000C0280000}"/>
    <cellStyle name="Percent 4 3 8 3 2" xfId="10952" xr:uid="{00000000-0005-0000-0000-0000C1280000}"/>
    <cellStyle name="Percent 4 3 8 3 2 2" xfId="10953" xr:uid="{00000000-0005-0000-0000-0000C2280000}"/>
    <cellStyle name="Percent 4 3 8 3 3" xfId="10954" xr:uid="{00000000-0005-0000-0000-0000C3280000}"/>
    <cellStyle name="Percent 4 3 8 3 3 2" xfId="10955" xr:uid="{00000000-0005-0000-0000-0000C4280000}"/>
    <cellStyle name="Percent 4 3 8 3 4" xfId="10956" xr:uid="{00000000-0005-0000-0000-0000C5280000}"/>
    <cellStyle name="Percent 4 3 8 4" xfId="10957" xr:uid="{00000000-0005-0000-0000-0000C6280000}"/>
    <cellStyle name="Percent 4 3 8 4 2" xfId="10958" xr:uid="{00000000-0005-0000-0000-0000C7280000}"/>
    <cellStyle name="Percent 4 3 8 4 2 2" xfId="10959" xr:uid="{00000000-0005-0000-0000-0000C8280000}"/>
    <cellStyle name="Percent 4 3 8 4 3" xfId="10960" xr:uid="{00000000-0005-0000-0000-0000C9280000}"/>
    <cellStyle name="Percent 4 3 8 4 3 2" xfId="10961" xr:uid="{00000000-0005-0000-0000-0000CA280000}"/>
    <cellStyle name="Percent 4 3 8 4 4" xfId="10962" xr:uid="{00000000-0005-0000-0000-0000CB280000}"/>
    <cellStyle name="Percent 4 3 8 4 4 2" xfId="10963" xr:uid="{00000000-0005-0000-0000-0000CC280000}"/>
    <cellStyle name="Percent 4 3 8 4 5" xfId="10964" xr:uid="{00000000-0005-0000-0000-0000CD280000}"/>
    <cellStyle name="Percent 4 3 8 5" xfId="10965" xr:uid="{00000000-0005-0000-0000-0000CE280000}"/>
    <cellStyle name="Percent 4 3 8 5 2" xfId="10966" xr:uid="{00000000-0005-0000-0000-0000CF280000}"/>
    <cellStyle name="Percent 4 3 8 5 2 2" xfId="10967" xr:uid="{00000000-0005-0000-0000-0000D0280000}"/>
    <cellStyle name="Percent 4 3 8 5 3" xfId="10968" xr:uid="{00000000-0005-0000-0000-0000D1280000}"/>
    <cellStyle name="Percent 4 3 8 5 3 2" xfId="10969" xr:uid="{00000000-0005-0000-0000-0000D2280000}"/>
    <cellStyle name="Percent 4 3 8 5 4" xfId="10970" xr:uid="{00000000-0005-0000-0000-0000D3280000}"/>
    <cellStyle name="Percent 4 3 8 6" xfId="10971" xr:uid="{00000000-0005-0000-0000-0000D4280000}"/>
    <cellStyle name="Percent 4 3 8 6 2" xfId="10972" xr:uid="{00000000-0005-0000-0000-0000D5280000}"/>
    <cellStyle name="Percent 4 3 8 7" xfId="10973" xr:uid="{00000000-0005-0000-0000-0000D6280000}"/>
    <cellStyle name="Percent 4 3 8 7 2" xfId="10974" xr:uid="{00000000-0005-0000-0000-0000D7280000}"/>
    <cellStyle name="Percent 4 3 8 8" xfId="10975" xr:uid="{00000000-0005-0000-0000-0000D8280000}"/>
    <cellStyle name="Percent 4 3 8 8 2" xfId="10976" xr:uid="{00000000-0005-0000-0000-0000D9280000}"/>
    <cellStyle name="Percent 4 3 8 9" xfId="10977" xr:uid="{00000000-0005-0000-0000-0000DA280000}"/>
    <cellStyle name="Percent 4 3 9" xfId="10978" xr:uid="{00000000-0005-0000-0000-0000DB280000}"/>
    <cellStyle name="Percent 4 3 9 2" xfId="10979" xr:uid="{00000000-0005-0000-0000-0000DC280000}"/>
    <cellStyle name="Percent 4 3 9 2 2" xfId="10980" xr:uid="{00000000-0005-0000-0000-0000DD280000}"/>
    <cellStyle name="Percent 4 3 9 3" xfId="10981" xr:uid="{00000000-0005-0000-0000-0000DE280000}"/>
    <cellStyle name="Percent 4 3 9 3 2" xfId="10982" xr:uid="{00000000-0005-0000-0000-0000DF280000}"/>
    <cellStyle name="Percent 4 3 9 4" xfId="10983" xr:uid="{00000000-0005-0000-0000-0000E0280000}"/>
    <cellStyle name="Percent 4 3 9 5" xfId="10984" xr:uid="{00000000-0005-0000-0000-0000E1280000}"/>
    <cellStyle name="Percent 4 30" xfId="2969" xr:uid="{00000000-0005-0000-0000-0000E2280000}"/>
    <cellStyle name="Percent 4 30 2" xfId="10986" xr:uid="{00000000-0005-0000-0000-0000E3280000}"/>
    <cellStyle name="Percent 4 30 2 2" xfId="10987" xr:uid="{00000000-0005-0000-0000-0000E4280000}"/>
    <cellStyle name="Percent 4 30 3" xfId="10988" xr:uid="{00000000-0005-0000-0000-0000E5280000}"/>
    <cellStyle name="Percent 4 30 3 2" xfId="10989" xr:uid="{00000000-0005-0000-0000-0000E6280000}"/>
    <cellStyle name="Percent 4 30 4" xfId="10990" xr:uid="{00000000-0005-0000-0000-0000E7280000}"/>
    <cellStyle name="Percent 4 30 5" xfId="10991" xr:uid="{00000000-0005-0000-0000-0000E8280000}"/>
    <cellStyle name="Percent 4 30 6" xfId="10985" xr:uid="{00000000-0005-0000-0000-0000E9280000}"/>
    <cellStyle name="Percent 4 31" xfId="10992" xr:uid="{00000000-0005-0000-0000-0000EA280000}"/>
    <cellStyle name="Percent 4 31 2" xfId="10993" xr:uid="{00000000-0005-0000-0000-0000EB280000}"/>
    <cellStyle name="Percent 4 31 2 2" xfId="10994" xr:uid="{00000000-0005-0000-0000-0000EC280000}"/>
    <cellStyle name="Percent 4 31 3" xfId="10995" xr:uid="{00000000-0005-0000-0000-0000ED280000}"/>
    <cellStyle name="Percent 4 31 3 2" xfId="10996" xr:uid="{00000000-0005-0000-0000-0000EE280000}"/>
    <cellStyle name="Percent 4 31 4" xfId="10997" xr:uid="{00000000-0005-0000-0000-0000EF280000}"/>
    <cellStyle name="Percent 4 31 5" xfId="10998" xr:uid="{00000000-0005-0000-0000-0000F0280000}"/>
    <cellStyle name="Percent 4 32" xfId="10999" xr:uid="{00000000-0005-0000-0000-0000F1280000}"/>
    <cellStyle name="Percent 4 32 2" xfId="11000" xr:uid="{00000000-0005-0000-0000-0000F2280000}"/>
    <cellStyle name="Percent 4 32 2 2" xfId="11001" xr:uid="{00000000-0005-0000-0000-0000F3280000}"/>
    <cellStyle name="Percent 4 32 3" xfId="11002" xr:uid="{00000000-0005-0000-0000-0000F4280000}"/>
    <cellStyle name="Percent 4 32 3 2" xfId="11003" xr:uid="{00000000-0005-0000-0000-0000F5280000}"/>
    <cellStyle name="Percent 4 32 4" xfId="11004" xr:uid="{00000000-0005-0000-0000-0000F6280000}"/>
    <cellStyle name="Percent 4 33" xfId="11005" xr:uid="{00000000-0005-0000-0000-0000F7280000}"/>
    <cellStyle name="Percent 4 33 2" xfId="11006" xr:uid="{00000000-0005-0000-0000-0000F8280000}"/>
    <cellStyle name="Percent 4 33 2 2" xfId="11007" xr:uid="{00000000-0005-0000-0000-0000F9280000}"/>
    <cellStyle name="Percent 4 33 3" xfId="11008" xr:uid="{00000000-0005-0000-0000-0000FA280000}"/>
    <cellStyle name="Percent 4 33 3 2" xfId="11009" xr:uid="{00000000-0005-0000-0000-0000FB280000}"/>
    <cellStyle name="Percent 4 33 4" xfId="11010" xr:uid="{00000000-0005-0000-0000-0000FC280000}"/>
    <cellStyle name="Percent 4 33 4 2" xfId="11011" xr:uid="{00000000-0005-0000-0000-0000FD280000}"/>
    <cellStyle name="Percent 4 33 5" xfId="11012" xr:uid="{00000000-0005-0000-0000-0000FE280000}"/>
    <cellStyle name="Percent 4 34" xfId="11013" xr:uid="{00000000-0005-0000-0000-0000FF280000}"/>
    <cellStyle name="Percent 4 34 2" xfId="11014" xr:uid="{00000000-0005-0000-0000-000000290000}"/>
    <cellStyle name="Percent 4 34 2 2" xfId="11015" xr:uid="{00000000-0005-0000-0000-000001290000}"/>
    <cellStyle name="Percent 4 34 3" xfId="11016" xr:uid="{00000000-0005-0000-0000-000002290000}"/>
    <cellStyle name="Percent 4 34 3 2" xfId="11017" xr:uid="{00000000-0005-0000-0000-000003290000}"/>
    <cellStyle name="Percent 4 34 4" xfId="11018" xr:uid="{00000000-0005-0000-0000-000004290000}"/>
    <cellStyle name="Percent 4 35" xfId="11019" xr:uid="{00000000-0005-0000-0000-000005290000}"/>
    <cellStyle name="Percent 4 35 2" xfId="11020" xr:uid="{00000000-0005-0000-0000-000006290000}"/>
    <cellStyle name="Percent 4 36" xfId="11021" xr:uid="{00000000-0005-0000-0000-000007290000}"/>
    <cellStyle name="Percent 4 36 2" xfId="11022" xr:uid="{00000000-0005-0000-0000-000008290000}"/>
    <cellStyle name="Percent 4 37" xfId="11023" xr:uid="{00000000-0005-0000-0000-000009290000}"/>
    <cellStyle name="Percent 4 37 2" xfId="11024" xr:uid="{00000000-0005-0000-0000-00000A290000}"/>
    <cellStyle name="Percent 4 38" xfId="11025" xr:uid="{00000000-0005-0000-0000-00000B290000}"/>
    <cellStyle name="Percent 4 39" xfId="11026" xr:uid="{00000000-0005-0000-0000-00000C290000}"/>
    <cellStyle name="Percent 4 4" xfId="291" xr:uid="{00000000-0005-0000-0000-00000D290000}"/>
    <cellStyle name="Percent 4 4 10" xfId="11028" xr:uid="{00000000-0005-0000-0000-00000E290000}"/>
    <cellStyle name="Percent 4 4 10 2" xfId="11029" xr:uid="{00000000-0005-0000-0000-00000F290000}"/>
    <cellStyle name="Percent 4 4 10 2 2" xfId="11030" xr:uid="{00000000-0005-0000-0000-000010290000}"/>
    <cellStyle name="Percent 4 4 10 3" xfId="11031" xr:uid="{00000000-0005-0000-0000-000011290000}"/>
    <cellStyle name="Percent 4 4 10 3 2" xfId="11032" xr:uid="{00000000-0005-0000-0000-000012290000}"/>
    <cellStyle name="Percent 4 4 10 4" xfId="11033" xr:uid="{00000000-0005-0000-0000-000013290000}"/>
    <cellStyle name="Percent 4 4 11" xfId="11034" xr:uid="{00000000-0005-0000-0000-000014290000}"/>
    <cellStyle name="Percent 4 4 11 2" xfId="11035" xr:uid="{00000000-0005-0000-0000-000015290000}"/>
    <cellStyle name="Percent 4 4 11 2 2" xfId="11036" xr:uid="{00000000-0005-0000-0000-000016290000}"/>
    <cellStyle name="Percent 4 4 11 3" xfId="11037" xr:uid="{00000000-0005-0000-0000-000017290000}"/>
    <cellStyle name="Percent 4 4 11 3 2" xfId="11038" xr:uid="{00000000-0005-0000-0000-000018290000}"/>
    <cellStyle name="Percent 4 4 11 4" xfId="11039" xr:uid="{00000000-0005-0000-0000-000019290000}"/>
    <cellStyle name="Percent 4 4 12" xfId="11040" xr:uid="{00000000-0005-0000-0000-00001A290000}"/>
    <cellStyle name="Percent 4 4 12 2" xfId="11041" xr:uid="{00000000-0005-0000-0000-00001B290000}"/>
    <cellStyle name="Percent 4 4 12 2 2" xfId="11042" xr:uid="{00000000-0005-0000-0000-00001C290000}"/>
    <cellStyle name="Percent 4 4 12 3" xfId="11043" xr:uid="{00000000-0005-0000-0000-00001D290000}"/>
    <cellStyle name="Percent 4 4 12 3 2" xfId="11044" xr:uid="{00000000-0005-0000-0000-00001E290000}"/>
    <cellStyle name="Percent 4 4 12 4" xfId="11045" xr:uid="{00000000-0005-0000-0000-00001F290000}"/>
    <cellStyle name="Percent 4 4 12 4 2" xfId="11046" xr:uid="{00000000-0005-0000-0000-000020290000}"/>
    <cellStyle name="Percent 4 4 12 5" xfId="11047" xr:uid="{00000000-0005-0000-0000-000021290000}"/>
    <cellStyle name="Percent 4 4 13" xfId="11048" xr:uid="{00000000-0005-0000-0000-000022290000}"/>
    <cellStyle name="Percent 4 4 13 2" xfId="11049" xr:uid="{00000000-0005-0000-0000-000023290000}"/>
    <cellStyle name="Percent 4 4 13 2 2" xfId="11050" xr:uid="{00000000-0005-0000-0000-000024290000}"/>
    <cellStyle name="Percent 4 4 13 3" xfId="11051" xr:uid="{00000000-0005-0000-0000-000025290000}"/>
    <cellStyle name="Percent 4 4 13 3 2" xfId="11052" xr:uid="{00000000-0005-0000-0000-000026290000}"/>
    <cellStyle name="Percent 4 4 13 4" xfId="11053" xr:uid="{00000000-0005-0000-0000-000027290000}"/>
    <cellStyle name="Percent 4 4 14" xfId="11054" xr:uid="{00000000-0005-0000-0000-000028290000}"/>
    <cellStyle name="Percent 4 4 14 2" xfId="11055" xr:uid="{00000000-0005-0000-0000-000029290000}"/>
    <cellStyle name="Percent 4 4 15" xfId="11056" xr:uid="{00000000-0005-0000-0000-00002A290000}"/>
    <cellStyle name="Percent 4 4 15 2" xfId="11057" xr:uid="{00000000-0005-0000-0000-00002B290000}"/>
    <cellStyle name="Percent 4 4 16" xfId="11058" xr:uid="{00000000-0005-0000-0000-00002C290000}"/>
    <cellStyle name="Percent 4 4 16 2" xfId="11059" xr:uid="{00000000-0005-0000-0000-00002D290000}"/>
    <cellStyle name="Percent 4 4 17" xfId="11060" xr:uid="{00000000-0005-0000-0000-00002E290000}"/>
    <cellStyle name="Percent 4 4 18" xfId="11061" xr:uid="{00000000-0005-0000-0000-00002F290000}"/>
    <cellStyle name="Percent 4 4 19" xfId="11027" xr:uid="{00000000-0005-0000-0000-000030290000}"/>
    <cellStyle name="Percent 4 4 2" xfId="2994" xr:uid="{00000000-0005-0000-0000-000031290000}"/>
    <cellStyle name="Percent 4 4 2 10" xfId="11063" xr:uid="{00000000-0005-0000-0000-000032290000}"/>
    <cellStyle name="Percent 4 4 2 11" xfId="11062" xr:uid="{00000000-0005-0000-0000-000033290000}"/>
    <cellStyle name="Percent 4 4 2 2" xfId="11064" xr:uid="{00000000-0005-0000-0000-000034290000}"/>
    <cellStyle name="Percent 4 4 2 2 2" xfId="11065" xr:uid="{00000000-0005-0000-0000-000035290000}"/>
    <cellStyle name="Percent 4 4 2 2 2 2" xfId="11066" xr:uid="{00000000-0005-0000-0000-000036290000}"/>
    <cellStyle name="Percent 4 4 2 2 3" xfId="11067" xr:uid="{00000000-0005-0000-0000-000037290000}"/>
    <cellStyle name="Percent 4 4 2 2 3 2" xfId="11068" xr:uid="{00000000-0005-0000-0000-000038290000}"/>
    <cellStyle name="Percent 4 4 2 2 4" xfId="11069" xr:uid="{00000000-0005-0000-0000-000039290000}"/>
    <cellStyle name="Percent 4 4 2 2 5" xfId="11070" xr:uid="{00000000-0005-0000-0000-00003A290000}"/>
    <cellStyle name="Percent 4 4 2 3" xfId="11071" xr:uid="{00000000-0005-0000-0000-00003B290000}"/>
    <cellStyle name="Percent 4 4 2 3 2" xfId="11072" xr:uid="{00000000-0005-0000-0000-00003C290000}"/>
    <cellStyle name="Percent 4 4 2 3 2 2" xfId="11073" xr:uid="{00000000-0005-0000-0000-00003D290000}"/>
    <cellStyle name="Percent 4 4 2 3 3" xfId="11074" xr:uid="{00000000-0005-0000-0000-00003E290000}"/>
    <cellStyle name="Percent 4 4 2 3 3 2" xfId="11075" xr:uid="{00000000-0005-0000-0000-00003F290000}"/>
    <cellStyle name="Percent 4 4 2 3 4" xfId="11076" xr:uid="{00000000-0005-0000-0000-000040290000}"/>
    <cellStyle name="Percent 4 4 2 4" xfId="11077" xr:uid="{00000000-0005-0000-0000-000041290000}"/>
    <cellStyle name="Percent 4 4 2 4 2" xfId="11078" xr:uid="{00000000-0005-0000-0000-000042290000}"/>
    <cellStyle name="Percent 4 4 2 4 2 2" xfId="11079" xr:uid="{00000000-0005-0000-0000-000043290000}"/>
    <cellStyle name="Percent 4 4 2 4 3" xfId="11080" xr:uid="{00000000-0005-0000-0000-000044290000}"/>
    <cellStyle name="Percent 4 4 2 4 3 2" xfId="11081" xr:uid="{00000000-0005-0000-0000-000045290000}"/>
    <cellStyle name="Percent 4 4 2 4 4" xfId="11082" xr:uid="{00000000-0005-0000-0000-000046290000}"/>
    <cellStyle name="Percent 4 4 2 4 4 2" xfId="11083" xr:uid="{00000000-0005-0000-0000-000047290000}"/>
    <cellStyle name="Percent 4 4 2 4 5" xfId="11084" xr:uid="{00000000-0005-0000-0000-000048290000}"/>
    <cellStyle name="Percent 4 4 2 5" xfId="11085" xr:uid="{00000000-0005-0000-0000-000049290000}"/>
    <cellStyle name="Percent 4 4 2 5 2" xfId="11086" xr:uid="{00000000-0005-0000-0000-00004A290000}"/>
    <cellStyle name="Percent 4 4 2 5 2 2" xfId="11087" xr:uid="{00000000-0005-0000-0000-00004B290000}"/>
    <cellStyle name="Percent 4 4 2 5 3" xfId="11088" xr:uid="{00000000-0005-0000-0000-00004C290000}"/>
    <cellStyle name="Percent 4 4 2 5 3 2" xfId="11089" xr:uid="{00000000-0005-0000-0000-00004D290000}"/>
    <cellStyle name="Percent 4 4 2 5 4" xfId="11090" xr:uid="{00000000-0005-0000-0000-00004E290000}"/>
    <cellStyle name="Percent 4 4 2 6" xfId="11091" xr:uid="{00000000-0005-0000-0000-00004F290000}"/>
    <cellStyle name="Percent 4 4 2 6 2" xfId="11092" xr:uid="{00000000-0005-0000-0000-000050290000}"/>
    <cellStyle name="Percent 4 4 2 7" xfId="11093" xr:uid="{00000000-0005-0000-0000-000051290000}"/>
    <cellStyle name="Percent 4 4 2 7 2" xfId="11094" xr:uid="{00000000-0005-0000-0000-000052290000}"/>
    <cellStyle name="Percent 4 4 2 8" xfId="11095" xr:uid="{00000000-0005-0000-0000-000053290000}"/>
    <cellStyle name="Percent 4 4 2 8 2" xfId="11096" xr:uid="{00000000-0005-0000-0000-000054290000}"/>
    <cellStyle name="Percent 4 4 2 9" xfId="11097" xr:uid="{00000000-0005-0000-0000-000055290000}"/>
    <cellStyle name="Percent 4 4 3" xfId="4742" xr:uid="{00000000-0005-0000-0000-000056290000}"/>
    <cellStyle name="Percent 4 4 3 10" xfId="11099" xr:uid="{00000000-0005-0000-0000-000057290000}"/>
    <cellStyle name="Percent 4 4 3 11" xfId="11098" xr:uid="{00000000-0005-0000-0000-000058290000}"/>
    <cellStyle name="Percent 4 4 3 2" xfId="11100" xr:uid="{00000000-0005-0000-0000-000059290000}"/>
    <cellStyle name="Percent 4 4 3 2 2" xfId="11101" xr:uid="{00000000-0005-0000-0000-00005A290000}"/>
    <cellStyle name="Percent 4 4 3 2 2 2" xfId="11102" xr:uid="{00000000-0005-0000-0000-00005B290000}"/>
    <cellStyle name="Percent 4 4 3 2 3" xfId="11103" xr:uid="{00000000-0005-0000-0000-00005C290000}"/>
    <cellStyle name="Percent 4 4 3 2 3 2" xfId="11104" xr:uid="{00000000-0005-0000-0000-00005D290000}"/>
    <cellStyle name="Percent 4 4 3 2 4" xfId="11105" xr:uid="{00000000-0005-0000-0000-00005E290000}"/>
    <cellStyle name="Percent 4 4 3 3" xfId="11106" xr:uid="{00000000-0005-0000-0000-00005F290000}"/>
    <cellStyle name="Percent 4 4 3 3 2" xfId="11107" xr:uid="{00000000-0005-0000-0000-000060290000}"/>
    <cellStyle name="Percent 4 4 3 3 2 2" xfId="11108" xr:uid="{00000000-0005-0000-0000-000061290000}"/>
    <cellStyle name="Percent 4 4 3 3 3" xfId="11109" xr:uid="{00000000-0005-0000-0000-000062290000}"/>
    <cellStyle name="Percent 4 4 3 3 3 2" xfId="11110" xr:uid="{00000000-0005-0000-0000-000063290000}"/>
    <cellStyle name="Percent 4 4 3 3 4" xfId="11111" xr:uid="{00000000-0005-0000-0000-000064290000}"/>
    <cellStyle name="Percent 4 4 3 4" xfId="11112" xr:uid="{00000000-0005-0000-0000-000065290000}"/>
    <cellStyle name="Percent 4 4 3 4 2" xfId="11113" xr:uid="{00000000-0005-0000-0000-000066290000}"/>
    <cellStyle name="Percent 4 4 3 4 2 2" xfId="11114" xr:uid="{00000000-0005-0000-0000-000067290000}"/>
    <cellStyle name="Percent 4 4 3 4 3" xfId="11115" xr:uid="{00000000-0005-0000-0000-000068290000}"/>
    <cellStyle name="Percent 4 4 3 4 3 2" xfId="11116" xr:uid="{00000000-0005-0000-0000-000069290000}"/>
    <cellStyle name="Percent 4 4 3 4 4" xfId="11117" xr:uid="{00000000-0005-0000-0000-00006A290000}"/>
    <cellStyle name="Percent 4 4 3 4 4 2" xfId="11118" xr:uid="{00000000-0005-0000-0000-00006B290000}"/>
    <cellStyle name="Percent 4 4 3 4 5" xfId="11119" xr:uid="{00000000-0005-0000-0000-00006C290000}"/>
    <cellStyle name="Percent 4 4 3 5" xfId="11120" xr:uid="{00000000-0005-0000-0000-00006D290000}"/>
    <cellStyle name="Percent 4 4 3 5 2" xfId="11121" xr:uid="{00000000-0005-0000-0000-00006E290000}"/>
    <cellStyle name="Percent 4 4 3 5 2 2" xfId="11122" xr:uid="{00000000-0005-0000-0000-00006F290000}"/>
    <cellStyle name="Percent 4 4 3 5 3" xfId="11123" xr:uid="{00000000-0005-0000-0000-000070290000}"/>
    <cellStyle name="Percent 4 4 3 5 3 2" xfId="11124" xr:uid="{00000000-0005-0000-0000-000071290000}"/>
    <cellStyle name="Percent 4 4 3 5 4" xfId="11125" xr:uid="{00000000-0005-0000-0000-000072290000}"/>
    <cellStyle name="Percent 4 4 3 6" xfId="11126" xr:uid="{00000000-0005-0000-0000-000073290000}"/>
    <cellStyle name="Percent 4 4 3 6 2" xfId="11127" xr:uid="{00000000-0005-0000-0000-000074290000}"/>
    <cellStyle name="Percent 4 4 3 7" xfId="11128" xr:uid="{00000000-0005-0000-0000-000075290000}"/>
    <cellStyle name="Percent 4 4 3 7 2" xfId="11129" xr:uid="{00000000-0005-0000-0000-000076290000}"/>
    <cellStyle name="Percent 4 4 3 8" xfId="11130" xr:uid="{00000000-0005-0000-0000-000077290000}"/>
    <cellStyle name="Percent 4 4 3 8 2" xfId="11131" xr:uid="{00000000-0005-0000-0000-000078290000}"/>
    <cellStyle name="Percent 4 4 3 9" xfId="11132" xr:uid="{00000000-0005-0000-0000-000079290000}"/>
    <cellStyle name="Percent 4 4 4" xfId="4743" xr:uid="{00000000-0005-0000-0000-00007A290000}"/>
    <cellStyle name="Percent 4 4 4 10" xfId="11134" xr:uid="{00000000-0005-0000-0000-00007B290000}"/>
    <cellStyle name="Percent 4 4 4 11" xfId="11133" xr:uid="{00000000-0005-0000-0000-00007C290000}"/>
    <cellStyle name="Percent 4 4 4 2" xfId="11135" xr:uid="{00000000-0005-0000-0000-00007D290000}"/>
    <cellStyle name="Percent 4 4 4 2 2" xfId="11136" xr:uid="{00000000-0005-0000-0000-00007E290000}"/>
    <cellStyle name="Percent 4 4 4 2 2 2" xfId="11137" xr:uid="{00000000-0005-0000-0000-00007F290000}"/>
    <cellStyle name="Percent 4 4 4 2 3" xfId="11138" xr:uid="{00000000-0005-0000-0000-000080290000}"/>
    <cellStyle name="Percent 4 4 4 2 3 2" xfId="11139" xr:uid="{00000000-0005-0000-0000-000081290000}"/>
    <cellStyle name="Percent 4 4 4 2 4" xfId="11140" xr:uid="{00000000-0005-0000-0000-000082290000}"/>
    <cellStyle name="Percent 4 4 4 3" xfId="11141" xr:uid="{00000000-0005-0000-0000-000083290000}"/>
    <cellStyle name="Percent 4 4 4 3 2" xfId="11142" xr:uid="{00000000-0005-0000-0000-000084290000}"/>
    <cellStyle name="Percent 4 4 4 3 2 2" xfId="11143" xr:uid="{00000000-0005-0000-0000-000085290000}"/>
    <cellStyle name="Percent 4 4 4 3 3" xfId="11144" xr:uid="{00000000-0005-0000-0000-000086290000}"/>
    <cellStyle name="Percent 4 4 4 3 3 2" xfId="11145" xr:uid="{00000000-0005-0000-0000-000087290000}"/>
    <cellStyle name="Percent 4 4 4 3 4" xfId="11146" xr:uid="{00000000-0005-0000-0000-000088290000}"/>
    <cellStyle name="Percent 4 4 4 4" xfId="11147" xr:uid="{00000000-0005-0000-0000-000089290000}"/>
    <cellStyle name="Percent 4 4 4 4 2" xfId="11148" xr:uid="{00000000-0005-0000-0000-00008A290000}"/>
    <cellStyle name="Percent 4 4 4 4 2 2" xfId="11149" xr:uid="{00000000-0005-0000-0000-00008B290000}"/>
    <cellStyle name="Percent 4 4 4 4 3" xfId="11150" xr:uid="{00000000-0005-0000-0000-00008C290000}"/>
    <cellStyle name="Percent 4 4 4 4 3 2" xfId="11151" xr:uid="{00000000-0005-0000-0000-00008D290000}"/>
    <cellStyle name="Percent 4 4 4 4 4" xfId="11152" xr:uid="{00000000-0005-0000-0000-00008E290000}"/>
    <cellStyle name="Percent 4 4 4 4 4 2" xfId="11153" xr:uid="{00000000-0005-0000-0000-00008F290000}"/>
    <cellStyle name="Percent 4 4 4 4 5" xfId="11154" xr:uid="{00000000-0005-0000-0000-000090290000}"/>
    <cellStyle name="Percent 4 4 4 5" xfId="11155" xr:uid="{00000000-0005-0000-0000-000091290000}"/>
    <cellStyle name="Percent 4 4 4 5 2" xfId="11156" xr:uid="{00000000-0005-0000-0000-000092290000}"/>
    <cellStyle name="Percent 4 4 4 5 2 2" xfId="11157" xr:uid="{00000000-0005-0000-0000-000093290000}"/>
    <cellStyle name="Percent 4 4 4 5 3" xfId="11158" xr:uid="{00000000-0005-0000-0000-000094290000}"/>
    <cellStyle name="Percent 4 4 4 5 3 2" xfId="11159" xr:uid="{00000000-0005-0000-0000-000095290000}"/>
    <cellStyle name="Percent 4 4 4 5 4" xfId="11160" xr:uid="{00000000-0005-0000-0000-000096290000}"/>
    <cellStyle name="Percent 4 4 4 6" xfId="11161" xr:uid="{00000000-0005-0000-0000-000097290000}"/>
    <cellStyle name="Percent 4 4 4 6 2" xfId="11162" xr:uid="{00000000-0005-0000-0000-000098290000}"/>
    <cellStyle name="Percent 4 4 4 7" xfId="11163" xr:uid="{00000000-0005-0000-0000-000099290000}"/>
    <cellStyle name="Percent 4 4 4 7 2" xfId="11164" xr:uid="{00000000-0005-0000-0000-00009A290000}"/>
    <cellStyle name="Percent 4 4 4 8" xfId="11165" xr:uid="{00000000-0005-0000-0000-00009B290000}"/>
    <cellStyle name="Percent 4 4 4 8 2" xfId="11166" xr:uid="{00000000-0005-0000-0000-00009C290000}"/>
    <cellStyle name="Percent 4 4 4 9" xfId="11167" xr:uid="{00000000-0005-0000-0000-00009D290000}"/>
    <cellStyle name="Percent 4 4 5" xfId="4744" xr:uid="{00000000-0005-0000-0000-00009E290000}"/>
    <cellStyle name="Percent 4 4 5 10" xfId="11169" xr:uid="{00000000-0005-0000-0000-00009F290000}"/>
    <cellStyle name="Percent 4 4 5 11" xfId="11168" xr:uid="{00000000-0005-0000-0000-0000A0290000}"/>
    <cellStyle name="Percent 4 4 5 2" xfId="11170" xr:uid="{00000000-0005-0000-0000-0000A1290000}"/>
    <cellStyle name="Percent 4 4 5 2 2" xfId="11171" xr:uid="{00000000-0005-0000-0000-0000A2290000}"/>
    <cellStyle name="Percent 4 4 5 2 2 2" xfId="11172" xr:uid="{00000000-0005-0000-0000-0000A3290000}"/>
    <cellStyle name="Percent 4 4 5 2 3" xfId="11173" xr:uid="{00000000-0005-0000-0000-0000A4290000}"/>
    <cellStyle name="Percent 4 4 5 2 3 2" xfId="11174" xr:uid="{00000000-0005-0000-0000-0000A5290000}"/>
    <cellStyle name="Percent 4 4 5 2 4" xfId="11175" xr:uid="{00000000-0005-0000-0000-0000A6290000}"/>
    <cellStyle name="Percent 4 4 5 3" xfId="11176" xr:uid="{00000000-0005-0000-0000-0000A7290000}"/>
    <cellStyle name="Percent 4 4 5 3 2" xfId="11177" xr:uid="{00000000-0005-0000-0000-0000A8290000}"/>
    <cellStyle name="Percent 4 4 5 3 2 2" xfId="11178" xr:uid="{00000000-0005-0000-0000-0000A9290000}"/>
    <cellStyle name="Percent 4 4 5 3 3" xfId="11179" xr:uid="{00000000-0005-0000-0000-0000AA290000}"/>
    <cellStyle name="Percent 4 4 5 3 3 2" xfId="11180" xr:uid="{00000000-0005-0000-0000-0000AB290000}"/>
    <cellStyle name="Percent 4 4 5 3 4" xfId="11181" xr:uid="{00000000-0005-0000-0000-0000AC290000}"/>
    <cellStyle name="Percent 4 4 5 4" xfId="11182" xr:uid="{00000000-0005-0000-0000-0000AD290000}"/>
    <cellStyle name="Percent 4 4 5 4 2" xfId="11183" xr:uid="{00000000-0005-0000-0000-0000AE290000}"/>
    <cellStyle name="Percent 4 4 5 4 2 2" xfId="11184" xr:uid="{00000000-0005-0000-0000-0000AF290000}"/>
    <cellStyle name="Percent 4 4 5 4 3" xfId="11185" xr:uid="{00000000-0005-0000-0000-0000B0290000}"/>
    <cellStyle name="Percent 4 4 5 4 3 2" xfId="11186" xr:uid="{00000000-0005-0000-0000-0000B1290000}"/>
    <cellStyle name="Percent 4 4 5 4 4" xfId="11187" xr:uid="{00000000-0005-0000-0000-0000B2290000}"/>
    <cellStyle name="Percent 4 4 5 4 4 2" xfId="11188" xr:uid="{00000000-0005-0000-0000-0000B3290000}"/>
    <cellStyle name="Percent 4 4 5 4 5" xfId="11189" xr:uid="{00000000-0005-0000-0000-0000B4290000}"/>
    <cellStyle name="Percent 4 4 5 5" xfId="11190" xr:uid="{00000000-0005-0000-0000-0000B5290000}"/>
    <cellStyle name="Percent 4 4 5 5 2" xfId="11191" xr:uid="{00000000-0005-0000-0000-0000B6290000}"/>
    <cellStyle name="Percent 4 4 5 5 2 2" xfId="11192" xr:uid="{00000000-0005-0000-0000-0000B7290000}"/>
    <cellStyle name="Percent 4 4 5 5 3" xfId="11193" xr:uid="{00000000-0005-0000-0000-0000B8290000}"/>
    <cellStyle name="Percent 4 4 5 5 3 2" xfId="11194" xr:uid="{00000000-0005-0000-0000-0000B9290000}"/>
    <cellStyle name="Percent 4 4 5 5 4" xfId="11195" xr:uid="{00000000-0005-0000-0000-0000BA290000}"/>
    <cellStyle name="Percent 4 4 5 6" xfId="11196" xr:uid="{00000000-0005-0000-0000-0000BB290000}"/>
    <cellStyle name="Percent 4 4 5 6 2" xfId="11197" xr:uid="{00000000-0005-0000-0000-0000BC290000}"/>
    <cellStyle name="Percent 4 4 5 7" xfId="11198" xr:uid="{00000000-0005-0000-0000-0000BD290000}"/>
    <cellStyle name="Percent 4 4 5 7 2" xfId="11199" xr:uid="{00000000-0005-0000-0000-0000BE290000}"/>
    <cellStyle name="Percent 4 4 5 8" xfId="11200" xr:uid="{00000000-0005-0000-0000-0000BF290000}"/>
    <cellStyle name="Percent 4 4 5 8 2" xfId="11201" xr:uid="{00000000-0005-0000-0000-0000C0290000}"/>
    <cellStyle name="Percent 4 4 5 9" xfId="11202" xr:uid="{00000000-0005-0000-0000-0000C1290000}"/>
    <cellStyle name="Percent 4 4 6" xfId="4745" xr:uid="{00000000-0005-0000-0000-0000C2290000}"/>
    <cellStyle name="Percent 4 4 6 10" xfId="11204" xr:uid="{00000000-0005-0000-0000-0000C3290000}"/>
    <cellStyle name="Percent 4 4 6 11" xfId="11203" xr:uid="{00000000-0005-0000-0000-0000C4290000}"/>
    <cellStyle name="Percent 4 4 6 2" xfId="11205" xr:uid="{00000000-0005-0000-0000-0000C5290000}"/>
    <cellStyle name="Percent 4 4 6 2 2" xfId="11206" xr:uid="{00000000-0005-0000-0000-0000C6290000}"/>
    <cellStyle name="Percent 4 4 6 2 2 2" xfId="11207" xr:uid="{00000000-0005-0000-0000-0000C7290000}"/>
    <cellStyle name="Percent 4 4 6 2 3" xfId="11208" xr:uid="{00000000-0005-0000-0000-0000C8290000}"/>
    <cellStyle name="Percent 4 4 6 2 3 2" xfId="11209" xr:uid="{00000000-0005-0000-0000-0000C9290000}"/>
    <cellStyle name="Percent 4 4 6 2 4" xfId="11210" xr:uid="{00000000-0005-0000-0000-0000CA290000}"/>
    <cellStyle name="Percent 4 4 6 3" xfId="11211" xr:uid="{00000000-0005-0000-0000-0000CB290000}"/>
    <cellStyle name="Percent 4 4 6 3 2" xfId="11212" xr:uid="{00000000-0005-0000-0000-0000CC290000}"/>
    <cellStyle name="Percent 4 4 6 3 2 2" xfId="11213" xr:uid="{00000000-0005-0000-0000-0000CD290000}"/>
    <cellStyle name="Percent 4 4 6 3 3" xfId="11214" xr:uid="{00000000-0005-0000-0000-0000CE290000}"/>
    <cellStyle name="Percent 4 4 6 3 3 2" xfId="11215" xr:uid="{00000000-0005-0000-0000-0000CF290000}"/>
    <cellStyle name="Percent 4 4 6 3 4" xfId="11216" xr:uid="{00000000-0005-0000-0000-0000D0290000}"/>
    <cellStyle name="Percent 4 4 6 4" xfId="11217" xr:uid="{00000000-0005-0000-0000-0000D1290000}"/>
    <cellStyle name="Percent 4 4 6 4 2" xfId="11218" xr:uid="{00000000-0005-0000-0000-0000D2290000}"/>
    <cellStyle name="Percent 4 4 6 4 2 2" xfId="11219" xr:uid="{00000000-0005-0000-0000-0000D3290000}"/>
    <cellStyle name="Percent 4 4 6 4 3" xfId="11220" xr:uid="{00000000-0005-0000-0000-0000D4290000}"/>
    <cellStyle name="Percent 4 4 6 4 3 2" xfId="11221" xr:uid="{00000000-0005-0000-0000-0000D5290000}"/>
    <cellStyle name="Percent 4 4 6 4 4" xfId="11222" xr:uid="{00000000-0005-0000-0000-0000D6290000}"/>
    <cellStyle name="Percent 4 4 6 4 4 2" xfId="11223" xr:uid="{00000000-0005-0000-0000-0000D7290000}"/>
    <cellStyle name="Percent 4 4 6 4 5" xfId="11224" xr:uid="{00000000-0005-0000-0000-0000D8290000}"/>
    <cellStyle name="Percent 4 4 6 5" xfId="11225" xr:uid="{00000000-0005-0000-0000-0000D9290000}"/>
    <cellStyle name="Percent 4 4 6 5 2" xfId="11226" xr:uid="{00000000-0005-0000-0000-0000DA290000}"/>
    <cellStyle name="Percent 4 4 6 5 2 2" xfId="11227" xr:uid="{00000000-0005-0000-0000-0000DB290000}"/>
    <cellStyle name="Percent 4 4 6 5 3" xfId="11228" xr:uid="{00000000-0005-0000-0000-0000DC290000}"/>
    <cellStyle name="Percent 4 4 6 5 3 2" xfId="11229" xr:uid="{00000000-0005-0000-0000-0000DD290000}"/>
    <cellStyle name="Percent 4 4 6 5 4" xfId="11230" xr:uid="{00000000-0005-0000-0000-0000DE290000}"/>
    <cellStyle name="Percent 4 4 6 6" xfId="11231" xr:uid="{00000000-0005-0000-0000-0000DF290000}"/>
    <cellStyle name="Percent 4 4 6 6 2" xfId="11232" xr:uid="{00000000-0005-0000-0000-0000E0290000}"/>
    <cellStyle name="Percent 4 4 6 7" xfId="11233" xr:uid="{00000000-0005-0000-0000-0000E1290000}"/>
    <cellStyle name="Percent 4 4 6 7 2" xfId="11234" xr:uid="{00000000-0005-0000-0000-0000E2290000}"/>
    <cellStyle name="Percent 4 4 6 8" xfId="11235" xr:uid="{00000000-0005-0000-0000-0000E3290000}"/>
    <cellStyle name="Percent 4 4 6 8 2" xfId="11236" xr:uid="{00000000-0005-0000-0000-0000E4290000}"/>
    <cellStyle name="Percent 4 4 6 9" xfId="11237" xr:uid="{00000000-0005-0000-0000-0000E5290000}"/>
    <cellStyle name="Percent 4 4 7" xfId="4746" xr:uid="{00000000-0005-0000-0000-0000E6290000}"/>
    <cellStyle name="Percent 4 4 7 10" xfId="11239" xr:uid="{00000000-0005-0000-0000-0000E7290000}"/>
    <cellStyle name="Percent 4 4 7 11" xfId="11238" xr:uid="{00000000-0005-0000-0000-0000E8290000}"/>
    <cellStyle name="Percent 4 4 7 2" xfId="11240" xr:uid="{00000000-0005-0000-0000-0000E9290000}"/>
    <cellStyle name="Percent 4 4 7 2 2" xfId="11241" xr:uid="{00000000-0005-0000-0000-0000EA290000}"/>
    <cellStyle name="Percent 4 4 7 2 2 2" xfId="11242" xr:uid="{00000000-0005-0000-0000-0000EB290000}"/>
    <cellStyle name="Percent 4 4 7 2 3" xfId="11243" xr:uid="{00000000-0005-0000-0000-0000EC290000}"/>
    <cellStyle name="Percent 4 4 7 2 3 2" xfId="11244" xr:uid="{00000000-0005-0000-0000-0000ED290000}"/>
    <cellStyle name="Percent 4 4 7 2 4" xfId="11245" xr:uid="{00000000-0005-0000-0000-0000EE290000}"/>
    <cellStyle name="Percent 4 4 7 3" xfId="11246" xr:uid="{00000000-0005-0000-0000-0000EF290000}"/>
    <cellStyle name="Percent 4 4 7 3 2" xfId="11247" xr:uid="{00000000-0005-0000-0000-0000F0290000}"/>
    <cellStyle name="Percent 4 4 7 3 2 2" xfId="11248" xr:uid="{00000000-0005-0000-0000-0000F1290000}"/>
    <cellStyle name="Percent 4 4 7 3 3" xfId="11249" xr:uid="{00000000-0005-0000-0000-0000F2290000}"/>
    <cellStyle name="Percent 4 4 7 3 3 2" xfId="11250" xr:uid="{00000000-0005-0000-0000-0000F3290000}"/>
    <cellStyle name="Percent 4 4 7 3 4" xfId="11251" xr:uid="{00000000-0005-0000-0000-0000F4290000}"/>
    <cellStyle name="Percent 4 4 7 4" xfId="11252" xr:uid="{00000000-0005-0000-0000-0000F5290000}"/>
    <cellStyle name="Percent 4 4 7 4 2" xfId="11253" xr:uid="{00000000-0005-0000-0000-0000F6290000}"/>
    <cellStyle name="Percent 4 4 7 4 2 2" xfId="11254" xr:uid="{00000000-0005-0000-0000-0000F7290000}"/>
    <cellStyle name="Percent 4 4 7 4 3" xfId="11255" xr:uid="{00000000-0005-0000-0000-0000F8290000}"/>
    <cellStyle name="Percent 4 4 7 4 3 2" xfId="11256" xr:uid="{00000000-0005-0000-0000-0000F9290000}"/>
    <cellStyle name="Percent 4 4 7 4 4" xfId="11257" xr:uid="{00000000-0005-0000-0000-0000FA290000}"/>
    <cellStyle name="Percent 4 4 7 4 4 2" xfId="11258" xr:uid="{00000000-0005-0000-0000-0000FB290000}"/>
    <cellStyle name="Percent 4 4 7 4 5" xfId="11259" xr:uid="{00000000-0005-0000-0000-0000FC290000}"/>
    <cellStyle name="Percent 4 4 7 5" xfId="11260" xr:uid="{00000000-0005-0000-0000-0000FD290000}"/>
    <cellStyle name="Percent 4 4 7 5 2" xfId="11261" xr:uid="{00000000-0005-0000-0000-0000FE290000}"/>
    <cellStyle name="Percent 4 4 7 5 2 2" xfId="11262" xr:uid="{00000000-0005-0000-0000-0000FF290000}"/>
    <cellStyle name="Percent 4 4 7 5 3" xfId="11263" xr:uid="{00000000-0005-0000-0000-0000002A0000}"/>
    <cellStyle name="Percent 4 4 7 5 3 2" xfId="11264" xr:uid="{00000000-0005-0000-0000-0000012A0000}"/>
    <cellStyle name="Percent 4 4 7 5 4" xfId="11265" xr:uid="{00000000-0005-0000-0000-0000022A0000}"/>
    <cellStyle name="Percent 4 4 7 6" xfId="11266" xr:uid="{00000000-0005-0000-0000-0000032A0000}"/>
    <cellStyle name="Percent 4 4 7 6 2" xfId="11267" xr:uid="{00000000-0005-0000-0000-0000042A0000}"/>
    <cellStyle name="Percent 4 4 7 7" xfId="11268" xr:uid="{00000000-0005-0000-0000-0000052A0000}"/>
    <cellStyle name="Percent 4 4 7 7 2" xfId="11269" xr:uid="{00000000-0005-0000-0000-0000062A0000}"/>
    <cellStyle name="Percent 4 4 7 8" xfId="11270" xr:uid="{00000000-0005-0000-0000-0000072A0000}"/>
    <cellStyle name="Percent 4 4 7 8 2" xfId="11271" xr:uid="{00000000-0005-0000-0000-0000082A0000}"/>
    <cellStyle name="Percent 4 4 7 9" xfId="11272" xr:uid="{00000000-0005-0000-0000-0000092A0000}"/>
    <cellStyle name="Percent 4 4 8" xfId="4747" xr:uid="{00000000-0005-0000-0000-00000A2A0000}"/>
    <cellStyle name="Percent 4 4 8 10" xfId="11274" xr:uid="{00000000-0005-0000-0000-00000B2A0000}"/>
    <cellStyle name="Percent 4 4 8 11" xfId="11273" xr:uid="{00000000-0005-0000-0000-00000C2A0000}"/>
    <cellStyle name="Percent 4 4 8 2" xfId="11275" xr:uid="{00000000-0005-0000-0000-00000D2A0000}"/>
    <cellStyle name="Percent 4 4 8 2 2" xfId="11276" xr:uid="{00000000-0005-0000-0000-00000E2A0000}"/>
    <cellStyle name="Percent 4 4 8 2 2 2" xfId="11277" xr:uid="{00000000-0005-0000-0000-00000F2A0000}"/>
    <cellStyle name="Percent 4 4 8 2 3" xfId="11278" xr:uid="{00000000-0005-0000-0000-0000102A0000}"/>
    <cellStyle name="Percent 4 4 8 2 3 2" xfId="11279" xr:uid="{00000000-0005-0000-0000-0000112A0000}"/>
    <cellStyle name="Percent 4 4 8 2 4" xfId="11280" xr:uid="{00000000-0005-0000-0000-0000122A0000}"/>
    <cellStyle name="Percent 4 4 8 3" xfId="11281" xr:uid="{00000000-0005-0000-0000-0000132A0000}"/>
    <cellStyle name="Percent 4 4 8 3 2" xfId="11282" xr:uid="{00000000-0005-0000-0000-0000142A0000}"/>
    <cellStyle name="Percent 4 4 8 3 2 2" xfId="11283" xr:uid="{00000000-0005-0000-0000-0000152A0000}"/>
    <cellStyle name="Percent 4 4 8 3 3" xfId="11284" xr:uid="{00000000-0005-0000-0000-0000162A0000}"/>
    <cellStyle name="Percent 4 4 8 3 3 2" xfId="11285" xr:uid="{00000000-0005-0000-0000-0000172A0000}"/>
    <cellStyle name="Percent 4 4 8 3 4" xfId="11286" xr:uid="{00000000-0005-0000-0000-0000182A0000}"/>
    <cellStyle name="Percent 4 4 8 4" xfId="11287" xr:uid="{00000000-0005-0000-0000-0000192A0000}"/>
    <cellStyle name="Percent 4 4 8 4 2" xfId="11288" xr:uid="{00000000-0005-0000-0000-00001A2A0000}"/>
    <cellStyle name="Percent 4 4 8 4 2 2" xfId="11289" xr:uid="{00000000-0005-0000-0000-00001B2A0000}"/>
    <cellStyle name="Percent 4 4 8 4 3" xfId="11290" xr:uid="{00000000-0005-0000-0000-00001C2A0000}"/>
    <cellStyle name="Percent 4 4 8 4 3 2" xfId="11291" xr:uid="{00000000-0005-0000-0000-00001D2A0000}"/>
    <cellStyle name="Percent 4 4 8 4 4" xfId="11292" xr:uid="{00000000-0005-0000-0000-00001E2A0000}"/>
    <cellStyle name="Percent 4 4 8 4 4 2" xfId="11293" xr:uid="{00000000-0005-0000-0000-00001F2A0000}"/>
    <cellStyle name="Percent 4 4 8 4 5" xfId="11294" xr:uid="{00000000-0005-0000-0000-0000202A0000}"/>
    <cellStyle name="Percent 4 4 8 5" xfId="11295" xr:uid="{00000000-0005-0000-0000-0000212A0000}"/>
    <cellStyle name="Percent 4 4 8 5 2" xfId="11296" xr:uid="{00000000-0005-0000-0000-0000222A0000}"/>
    <cellStyle name="Percent 4 4 8 5 2 2" xfId="11297" xr:uid="{00000000-0005-0000-0000-0000232A0000}"/>
    <cellStyle name="Percent 4 4 8 5 3" xfId="11298" xr:uid="{00000000-0005-0000-0000-0000242A0000}"/>
    <cellStyle name="Percent 4 4 8 5 3 2" xfId="11299" xr:uid="{00000000-0005-0000-0000-0000252A0000}"/>
    <cellStyle name="Percent 4 4 8 5 4" xfId="11300" xr:uid="{00000000-0005-0000-0000-0000262A0000}"/>
    <cellStyle name="Percent 4 4 8 6" xfId="11301" xr:uid="{00000000-0005-0000-0000-0000272A0000}"/>
    <cellStyle name="Percent 4 4 8 6 2" xfId="11302" xr:uid="{00000000-0005-0000-0000-0000282A0000}"/>
    <cellStyle name="Percent 4 4 8 7" xfId="11303" xr:uid="{00000000-0005-0000-0000-0000292A0000}"/>
    <cellStyle name="Percent 4 4 8 7 2" xfId="11304" xr:uid="{00000000-0005-0000-0000-00002A2A0000}"/>
    <cellStyle name="Percent 4 4 8 8" xfId="11305" xr:uid="{00000000-0005-0000-0000-00002B2A0000}"/>
    <cellStyle name="Percent 4 4 8 8 2" xfId="11306" xr:uid="{00000000-0005-0000-0000-00002C2A0000}"/>
    <cellStyle name="Percent 4 4 8 9" xfId="11307" xr:uid="{00000000-0005-0000-0000-00002D2A0000}"/>
    <cellStyle name="Percent 4 4 9" xfId="11308" xr:uid="{00000000-0005-0000-0000-00002E2A0000}"/>
    <cellStyle name="Percent 4 4 9 2" xfId="11309" xr:uid="{00000000-0005-0000-0000-00002F2A0000}"/>
    <cellStyle name="Percent 4 4 9 2 2" xfId="11310" xr:uid="{00000000-0005-0000-0000-0000302A0000}"/>
    <cellStyle name="Percent 4 4 9 3" xfId="11311" xr:uid="{00000000-0005-0000-0000-0000312A0000}"/>
    <cellStyle name="Percent 4 4 9 3 2" xfId="11312" xr:uid="{00000000-0005-0000-0000-0000322A0000}"/>
    <cellStyle name="Percent 4 4 9 4" xfId="11313" xr:uid="{00000000-0005-0000-0000-0000332A0000}"/>
    <cellStyle name="Percent 4 4 9 5" xfId="11314" xr:uid="{00000000-0005-0000-0000-0000342A0000}"/>
    <cellStyle name="Percent 4 40" xfId="9529" xr:uid="{00000000-0005-0000-0000-0000352A0000}"/>
    <cellStyle name="Percent 4 5" xfId="2995" xr:uid="{00000000-0005-0000-0000-0000362A0000}"/>
    <cellStyle name="Percent 4 5 10" xfId="11316" xr:uid="{00000000-0005-0000-0000-0000372A0000}"/>
    <cellStyle name="Percent 4 5 10 2" xfId="11317" xr:uid="{00000000-0005-0000-0000-0000382A0000}"/>
    <cellStyle name="Percent 4 5 10 2 2" xfId="11318" xr:uid="{00000000-0005-0000-0000-0000392A0000}"/>
    <cellStyle name="Percent 4 5 10 3" xfId="11319" xr:uid="{00000000-0005-0000-0000-00003A2A0000}"/>
    <cellStyle name="Percent 4 5 10 3 2" xfId="11320" xr:uid="{00000000-0005-0000-0000-00003B2A0000}"/>
    <cellStyle name="Percent 4 5 10 4" xfId="11321" xr:uid="{00000000-0005-0000-0000-00003C2A0000}"/>
    <cellStyle name="Percent 4 5 11" xfId="11322" xr:uid="{00000000-0005-0000-0000-00003D2A0000}"/>
    <cellStyle name="Percent 4 5 11 2" xfId="11323" xr:uid="{00000000-0005-0000-0000-00003E2A0000}"/>
    <cellStyle name="Percent 4 5 11 2 2" xfId="11324" xr:uid="{00000000-0005-0000-0000-00003F2A0000}"/>
    <cellStyle name="Percent 4 5 11 3" xfId="11325" xr:uid="{00000000-0005-0000-0000-0000402A0000}"/>
    <cellStyle name="Percent 4 5 11 3 2" xfId="11326" xr:uid="{00000000-0005-0000-0000-0000412A0000}"/>
    <cellStyle name="Percent 4 5 11 4" xfId="11327" xr:uid="{00000000-0005-0000-0000-0000422A0000}"/>
    <cellStyle name="Percent 4 5 12" xfId="11328" xr:uid="{00000000-0005-0000-0000-0000432A0000}"/>
    <cellStyle name="Percent 4 5 12 2" xfId="11329" xr:uid="{00000000-0005-0000-0000-0000442A0000}"/>
    <cellStyle name="Percent 4 5 12 2 2" xfId="11330" xr:uid="{00000000-0005-0000-0000-0000452A0000}"/>
    <cellStyle name="Percent 4 5 12 3" xfId="11331" xr:uid="{00000000-0005-0000-0000-0000462A0000}"/>
    <cellStyle name="Percent 4 5 12 3 2" xfId="11332" xr:uid="{00000000-0005-0000-0000-0000472A0000}"/>
    <cellStyle name="Percent 4 5 12 4" xfId="11333" xr:uid="{00000000-0005-0000-0000-0000482A0000}"/>
    <cellStyle name="Percent 4 5 12 4 2" xfId="11334" xr:uid="{00000000-0005-0000-0000-0000492A0000}"/>
    <cellStyle name="Percent 4 5 12 5" xfId="11335" xr:uid="{00000000-0005-0000-0000-00004A2A0000}"/>
    <cellStyle name="Percent 4 5 13" xfId="11336" xr:uid="{00000000-0005-0000-0000-00004B2A0000}"/>
    <cellStyle name="Percent 4 5 13 2" xfId="11337" xr:uid="{00000000-0005-0000-0000-00004C2A0000}"/>
    <cellStyle name="Percent 4 5 13 2 2" xfId="11338" xr:uid="{00000000-0005-0000-0000-00004D2A0000}"/>
    <cellStyle name="Percent 4 5 13 3" xfId="11339" xr:uid="{00000000-0005-0000-0000-00004E2A0000}"/>
    <cellStyle name="Percent 4 5 13 3 2" xfId="11340" xr:uid="{00000000-0005-0000-0000-00004F2A0000}"/>
    <cellStyle name="Percent 4 5 13 4" xfId="11341" xr:uid="{00000000-0005-0000-0000-0000502A0000}"/>
    <cellStyle name="Percent 4 5 14" xfId="11342" xr:uid="{00000000-0005-0000-0000-0000512A0000}"/>
    <cellStyle name="Percent 4 5 14 2" xfId="11343" xr:uid="{00000000-0005-0000-0000-0000522A0000}"/>
    <cellStyle name="Percent 4 5 15" xfId="11344" xr:uid="{00000000-0005-0000-0000-0000532A0000}"/>
    <cellStyle name="Percent 4 5 15 2" xfId="11345" xr:uid="{00000000-0005-0000-0000-0000542A0000}"/>
    <cellStyle name="Percent 4 5 16" xfId="11346" xr:uid="{00000000-0005-0000-0000-0000552A0000}"/>
    <cellStyle name="Percent 4 5 16 2" xfId="11347" xr:uid="{00000000-0005-0000-0000-0000562A0000}"/>
    <cellStyle name="Percent 4 5 17" xfId="11348" xr:uid="{00000000-0005-0000-0000-0000572A0000}"/>
    <cellStyle name="Percent 4 5 18" xfId="11349" xr:uid="{00000000-0005-0000-0000-0000582A0000}"/>
    <cellStyle name="Percent 4 5 19" xfId="11315" xr:uid="{00000000-0005-0000-0000-0000592A0000}"/>
    <cellStyle name="Percent 4 5 2" xfId="2996" xr:uid="{00000000-0005-0000-0000-00005A2A0000}"/>
    <cellStyle name="Percent 4 5 2 10" xfId="11351" xr:uid="{00000000-0005-0000-0000-00005B2A0000}"/>
    <cellStyle name="Percent 4 5 2 11" xfId="11350" xr:uid="{00000000-0005-0000-0000-00005C2A0000}"/>
    <cellStyle name="Percent 4 5 2 2" xfId="11352" xr:uid="{00000000-0005-0000-0000-00005D2A0000}"/>
    <cellStyle name="Percent 4 5 2 2 2" xfId="11353" xr:uid="{00000000-0005-0000-0000-00005E2A0000}"/>
    <cellStyle name="Percent 4 5 2 2 2 2" xfId="11354" xr:uid="{00000000-0005-0000-0000-00005F2A0000}"/>
    <cellStyle name="Percent 4 5 2 2 3" xfId="11355" xr:uid="{00000000-0005-0000-0000-0000602A0000}"/>
    <cellStyle name="Percent 4 5 2 2 3 2" xfId="11356" xr:uid="{00000000-0005-0000-0000-0000612A0000}"/>
    <cellStyle name="Percent 4 5 2 2 4" xfId="11357" xr:uid="{00000000-0005-0000-0000-0000622A0000}"/>
    <cellStyle name="Percent 4 5 2 2 5" xfId="11358" xr:uid="{00000000-0005-0000-0000-0000632A0000}"/>
    <cellStyle name="Percent 4 5 2 3" xfId="11359" xr:uid="{00000000-0005-0000-0000-0000642A0000}"/>
    <cellStyle name="Percent 4 5 2 3 2" xfId="11360" xr:uid="{00000000-0005-0000-0000-0000652A0000}"/>
    <cellStyle name="Percent 4 5 2 3 2 2" xfId="11361" xr:uid="{00000000-0005-0000-0000-0000662A0000}"/>
    <cellStyle name="Percent 4 5 2 3 3" xfId="11362" xr:uid="{00000000-0005-0000-0000-0000672A0000}"/>
    <cellStyle name="Percent 4 5 2 3 3 2" xfId="11363" xr:uid="{00000000-0005-0000-0000-0000682A0000}"/>
    <cellStyle name="Percent 4 5 2 3 4" xfId="11364" xr:uid="{00000000-0005-0000-0000-0000692A0000}"/>
    <cellStyle name="Percent 4 5 2 4" xfId="11365" xr:uid="{00000000-0005-0000-0000-00006A2A0000}"/>
    <cellStyle name="Percent 4 5 2 4 2" xfId="11366" xr:uid="{00000000-0005-0000-0000-00006B2A0000}"/>
    <cellStyle name="Percent 4 5 2 4 2 2" xfId="11367" xr:uid="{00000000-0005-0000-0000-00006C2A0000}"/>
    <cellStyle name="Percent 4 5 2 4 3" xfId="11368" xr:uid="{00000000-0005-0000-0000-00006D2A0000}"/>
    <cellStyle name="Percent 4 5 2 4 3 2" xfId="11369" xr:uid="{00000000-0005-0000-0000-00006E2A0000}"/>
    <cellStyle name="Percent 4 5 2 4 4" xfId="11370" xr:uid="{00000000-0005-0000-0000-00006F2A0000}"/>
    <cellStyle name="Percent 4 5 2 4 4 2" xfId="11371" xr:uid="{00000000-0005-0000-0000-0000702A0000}"/>
    <cellStyle name="Percent 4 5 2 4 5" xfId="11372" xr:uid="{00000000-0005-0000-0000-0000712A0000}"/>
    <cellStyle name="Percent 4 5 2 5" xfId="11373" xr:uid="{00000000-0005-0000-0000-0000722A0000}"/>
    <cellStyle name="Percent 4 5 2 5 2" xfId="11374" xr:uid="{00000000-0005-0000-0000-0000732A0000}"/>
    <cellStyle name="Percent 4 5 2 5 2 2" xfId="11375" xr:uid="{00000000-0005-0000-0000-0000742A0000}"/>
    <cellStyle name="Percent 4 5 2 5 3" xfId="11376" xr:uid="{00000000-0005-0000-0000-0000752A0000}"/>
    <cellStyle name="Percent 4 5 2 5 3 2" xfId="11377" xr:uid="{00000000-0005-0000-0000-0000762A0000}"/>
    <cellStyle name="Percent 4 5 2 5 4" xfId="11378" xr:uid="{00000000-0005-0000-0000-0000772A0000}"/>
    <cellStyle name="Percent 4 5 2 6" xfId="11379" xr:uid="{00000000-0005-0000-0000-0000782A0000}"/>
    <cellStyle name="Percent 4 5 2 6 2" xfId="11380" xr:uid="{00000000-0005-0000-0000-0000792A0000}"/>
    <cellStyle name="Percent 4 5 2 7" xfId="11381" xr:uid="{00000000-0005-0000-0000-00007A2A0000}"/>
    <cellStyle name="Percent 4 5 2 7 2" xfId="11382" xr:uid="{00000000-0005-0000-0000-00007B2A0000}"/>
    <cellStyle name="Percent 4 5 2 8" xfId="11383" xr:uid="{00000000-0005-0000-0000-00007C2A0000}"/>
    <cellStyle name="Percent 4 5 2 8 2" xfId="11384" xr:uid="{00000000-0005-0000-0000-00007D2A0000}"/>
    <cellStyle name="Percent 4 5 2 9" xfId="11385" xr:uid="{00000000-0005-0000-0000-00007E2A0000}"/>
    <cellStyle name="Percent 4 5 3" xfId="4748" xr:uid="{00000000-0005-0000-0000-00007F2A0000}"/>
    <cellStyle name="Percent 4 5 3 10" xfId="11387" xr:uid="{00000000-0005-0000-0000-0000802A0000}"/>
    <cellStyle name="Percent 4 5 3 11" xfId="11386" xr:uid="{00000000-0005-0000-0000-0000812A0000}"/>
    <cellStyle name="Percent 4 5 3 2" xfId="11388" xr:uid="{00000000-0005-0000-0000-0000822A0000}"/>
    <cellStyle name="Percent 4 5 3 2 2" xfId="11389" xr:uid="{00000000-0005-0000-0000-0000832A0000}"/>
    <cellStyle name="Percent 4 5 3 2 2 2" xfId="11390" xr:uid="{00000000-0005-0000-0000-0000842A0000}"/>
    <cellStyle name="Percent 4 5 3 2 3" xfId="11391" xr:uid="{00000000-0005-0000-0000-0000852A0000}"/>
    <cellStyle name="Percent 4 5 3 2 3 2" xfId="11392" xr:uid="{00000000-0005-0000-0000-0000862A0000}"/>
    <cellStyle name="Percent 4 5 3 2 4" xfId="11393" xr:uid="{00000000-0005-0000-0000-0000872A0000}"/>
    <cellStyle name="Percent 4 5 3 2 5" xfId="11394" xr:uid="{00000000-0005-0000-0000-0000882A0000}"/>
    <cellStyle name="Percent 4 5 3 3" xfId="11395" xr:uid="{00000000-0005-0000-0000-0000892A0000}"/>
    <cellStyle name="Percent 4 5 3 3 2" xfId="11396" xr:uid="{00000000-0005-0000-0000-00008A2A0000}"/>
    <cellStyle name="Percent 4 5 3 3 2 2" xfId="11397" xr:uid="{00000000-0005-0000-0000-00008B2A0000}"/>
    <cellStyle name="Percent 4 5 3 3 3" xfId="11398" xr:uid="{00000000-0005-0000-0000-00008C2A0000}"/>
    <cellStyle name="Percent 4 5 3 3 3 2" xfId="11399" xr:uid="{00000000-0005-0000-0000-00008D2A0000}"/>
    <cellStyle name="Percent 4 5 3 3 4" xfId="11400" xr:uid="{00000000-0005-0000-0000-00008E2A0000}"/>
    <cellStyle name="Percent 4 5 3 4" xfId="11401" xr:uid="{00000000-0005-0000-0000-00008F2A0000}"/>
    <cellStyle name="Percent 4 5 3 4 2" xfId="11402" xr:uid="{00000000-0005-0000-0000-0000902A0000}"/>
    <cellStyle name="Percent 4 5 3 4 2 2" xfId="11403" xr:uid="{00000000-0005-0000-0000-0000912A0000}"/>
    <cellStyle name="Percent 4 5 3 4 3" xfId="11404" xr:uid="{00000000-0005-0000-0000-0000922A0000}"/>
    <cellStyle name="Percent 4 5 3 4 3 2" xfId="11405" xr:uid="{00000000-0005-0000-0000-0000932A0000}"/>
    <cellStyle name="Percent 4 5 3 4 4" xfId="11406" xr:uid="{00000000-0005-0000-0000-0000942A0000}"/>
    <cellStyle name="Percent 4 5 3 4 4 2" xfId="11407" xr:uid="{00000000-0005-0000-0000-0000952A0000}"/>
    <cellStyle name="Percent 4 5 3 4 5" xfId="11408" xr:uid="{00000000-0005-0000-0000-0000962A0000}"/>
    <cellStyle name="Percent 4 5 3 5" xfId="11409" xr:uid="{00000000-0005-0000-0000-0000972A0000}"/>
    <cellStyle name="Percent 4 5 3 5 2" xfId="11410" xr:uid="{00000000-0005-0000-0000-0000982A0000}"/>
    <cellStyle name="Percent 4 5 3 5 2 2" xfId="11411" xr:uid="{00000000-0005-0000-0000-0000992A0000}"/>
    <cellStyle name="Percent 4 5 3 5 3" xfId="11412" xr:uid="{00000000-0005-0000-0000-00009A2A0000}"/>
    <cellStyle name="Percent 4 5 3 5 3 2" xfId="11413" xr:uid="{00000000-0005-0000-0000-00009B2A0000}"/>
    <cellStyle name="Percent 4 5 3 5 4" xfId="11414" xr:uid="{00000000-0005-0000-0000-00009C2A0000}"/>
    <cellStyle name="Percent 4 5 3 6" xfId="11415" xr:uid="{00000000-0005-0000-0000-00009D2A0000}"/>
    <cellStyle name="Percent 4 5 3 6 2" xfId="11416" xr:uid="{00000000-0005-0000-0000-00009E2A0000}"/>
    <cellStyle name="Percent 4 5 3 7" xfId="11417" xr:uid="{00000000-0005-0000-0000-00009F2A0000}"/>
    <cellStyle name="Percent 4 5 3 7 2" xfId="11418" xr:uid="{00000000-0005-0000-0000-0000A02A0000}"/>
    <cellStyle name="Percent 4 5 3 8" xfId="11419" xr:uid="{00000000-0005-0000-0000-0000A12A0000}"/>
    <cellStyle name="Percent 4 5 3 8 2" xfId="11420" xr:uid="{00000000-0005-0000-0000-0000A22A0000}"/>
    <cellStyle name="Percent 4 5 3 9" xfId="11421" xr:uid="{00000000-0005-0000-0000-0000A32A0000}"/>
    <cellStyle name="Percent 4 5 4" xfId="4749" xr:uid="{00000000-0005-0000-0000-0000A42A0000}"/>
    <cellStyle name="Percent 4 5 4 10" xfId="11423" xr:uid="{00000000-0005-0000-0000-0000A52A0000}"/>
    <cellStyle name="Percent 4 5 4 11" xfId="11422" xr:uid="{00000000-0005-0000-0000-0000A62A0000}"/>
    <cellStyle name="Percent 4 5 4 2" xfId="11424" xr:uid="{00000000-0005-0000-0000-0000A72A0000}"/>
    <cellStyle name="Percent 4 5 4 2 2" xfId="11425" xr:uid="{00000000-0005-0000-0000-0000A82A0000}"/>
    <cellStyle name="Percent 4 5 4 2 2 2" xfId="11426" xr:uid="{00000000-0005-0000-0000-0000A92A0000}"/>
    <cellStyle name="Percent 4 5 4 2 3" xfId="11427" xr:uid="{00000000-0005-0000-0000-0000AA2A0000}"/>
    <cellStyle name="Percent 4 5 4 2 3 2" xfId="11428" xr:uid="{00000000-0005-0000-0000-0000AB2A0000}"/>
    <cellStyle name="Percent 4 5 4 2 4" xfId="11429" xr:uid="{00000000-0005-0000-0000-0000AC2A0000}"/>
    <cellStyle name="Percent 4 5 4 3" xfId="11430" xr:uid="{00000000-0005-0000-0000-0000AD2A0000}"/>
    <cellStyle name="Percent 4 5 4 3 2" xfId="11431" xr:uid="{00000000-0005-0000-0000-0000AE2A0000}"/>
    <cellStyle name="Percent 4 5 4 3 2 2" xfId="11432" xr:uid="{00000000-0005-0000-0000-0000AF2A0000}"/>
    <cellStyle name="Percent 4 5 4 3 3" xfId="11433" xr:uid="{00000000-0005-0000-0000-0000B02A0000}"/>
    <cellStyle name="Percent 4 5 4 3 3 2" xfId="11434" xr:uid="{00000000-0005-0000-0000-0000B12A0000}"/>
    <cellStyle name="Percent 4 5 4 3 4" xfId="11435" xr:uid="{00000000-0005-0000-0000-0000B22A0000}"/>
    <cellStyle name="Percent 4 5 4 4" xfId="11436" xr:uid="{00000000-0005-0000-0000-0000B32A0000}"/>
    <cellStyle name="Percent 4 5 4 4 2" xfId="11437" xr:uid="{00000000-0005-0000-0000-0000B42A0000}"/>
    <cellStyle name="Percent 4 5 4 4 2 2" xfId="11438" xr:uid="{00000000-0005-0000-0000-0000B52A0000}"/>
    <cellStyle name="Percent 4 5 4 4 3" xfId="11439" xr:uid="{00000000-0005-0000-0000-0000B62A0000}"/>
    <cellStyle name="Percent 4 5 4 4 3 2" xfId="11440" xr:uid="{00000000-0005-0000-0000-0000B72A0000}"/>
    <cellStyle name="Percent 4 5 4 4 4" xfId="11441" xr:uid="{00000000-0005-0000-0000-0000B82A0000}"/>
    <cellStyle name="Percent 4 5 4 4 4 2" xfId="11442" xr:uid="{00000000-0005-0000-0000-0000B92A0000}"/>
    <cellStyle name="Percent 4 5 4 4 5" xfId="11443" xr:uid="{00000000-0005-0000-0000-0000BA2A0000}"/>
    <cellStyle name="Percent 4 5 4 5" xfId="11444" xr:uid="{00000000-0005-0000-0000-0000BB2A0000}"/>
    <cellStyle name="Percent 4 5 4 5 2" xfId="11445" xr:uid="{00000000-0005-0000-0000-0000BC2A0000}"/>
    <cellStyle name="Percent 4 5 4 5 2 2" xfId="11446" xr:uid="{00000000-0005-0000-0000-0000BD2A0000}"/>
    <cellStyle name="Percent 4 5 4 5 3" xfId="11447" xr:uid="{00000000-0005-0000-0000-0000BE2A0000}"/>
    <cellStyle name="Percent 4 5 4 5 3 2" xfId="11448" xr:uid="{00000000-0005-0000-0000-0000BF2A0000}"/>
    <cellStyle name="Percent 4 5 4 5 4" xfId="11449" xr:uid="{00000000-0005-0000-0000-0000C02A0000}"/>
    <cellStyle name="Percent 4 5 4 6" xfId="11450" xr:uid="{00000000-0005-0000-0000-0000C12A0000}"/>
    <cellStyle name="Percent 4 5 4 6 2" xfId="11451" xr:uid="{00000000-0005-0000-0000-0000C22A0000}"/>
    <cellStyle name="Percent 4 5 4 7" xfId="11452" xr:uid="{00000000-0005-0000-0000-0000C32A0000}"/>
    <cellStyle name="Percent 4 5 4 7 2" xfId="11453" xr:uid="{00000000-0005-0000-0000-0000C42A0000}"/>
    <cellStyle name="Percent 4 5 4 8" xfId="11454" xr:uid="{00000000-0005-0000-0000-0000C52A0000}"/>
    <cellStyle name="Percent 4 5 4 8 2" xfId="11455" xr:uid="{00000000-0005-0000-0000-0000C62A0000}"/>
    <cellStyle name="Percent 4 5 4 9" xfId="11456" xr:uid="{00000000-0005-0000-0000-0000C72A0000}"/>
    <cellStyle name="Percent 4 5 5" xfId="4750" xr:uid="{00000000-0005-0000-0000-0000C82A0000}"/>
    <cellStyle name="Percent 4 5 5 10" xfId="11458" xr:uid="{00000000-0005-0000-0000-0000C92A0000}"/>
    <cellStyle name="Percent 4 5 5 11" xfId="11457" xr:uid="{00000000-0005-0000-0000-0000CA2A0000}"/>
    <cellStyle name="Percent 4 5 5 2" xfId="11459" xr:uid="{00000000-0005-0000-0000-0000CB2A0000}"/>
    <cellStyle name="Percent 4 5 5 2 2" xfId="11460" xr:uid="{00000000-0005-0000-0000-0000CC2A0000}"/>
    <cellStyle name="Percent 4 5 5 2 2 2" xfId="11461" xr:uid="{00000000-0005-0000-0000-0000CD2A0000}"/>
    <cellStyle name="Percent 4 5 5 2 3" xfId="11462" xr:uid="{00000000-0005-0000-0000-0000CE2A0000}"/>
    <cellStyle name="Percent 4 5 5 2 3 2" xfId="11463" xr:uid="{00000000-0005-0000-0000-0000CF2A0000}"/>
    <cellStyle name="Percent 4 5 5 2 4" xfId="11464" xr:uid="{00000000-0005-0000-0000-0000D02A0000}"/>
    <cellStyle name="Percent 4 5 5 3" xfId="11465" xr:uid="{00000000-0005-0000-0000-0000D12A0000}"/>
    <cellStyle name="Percent 4 5 5 3 2" xfId="11466" xr:uid="{00000000-0005-0000-0000-0000D22A0000}"/>
    <cellStyle name="Percent 4 5 5 3 2 2" xfId="11467" xr:uid="{00000000-0005-0000-0000-0000D32A0000}"/>
    <cellStyle name="Percent 4 5 5 3 3" xfId="11468" xr:uid="{00000000-0005-0000-0000-0000D42A0000}"/>
    <cellStyle name="Percent 4 5 5 3 3 2" xfId="11469" xr:uid="{00000000-0005-0000-0000-0000D52A0000}"/>
    <cellStyle name="Percent 4 5 5 3 4" xfId="11470" xr:uid="{00000000-0005-0000-0000-0000D62A0000}"/>
    <cellStyle name="Percent 4 5 5 4" xfId="11471" xr:uid="{00000000-0005-0000-0000-0000D72A0000}"/>
    <cellStyle name="Percent 4 5 5 4 2" xfId="11472" xr:uid="{00000000-0005-0000-0000-0000D82A0000}"/>
    <cellStyle name="Percent 4 5 5 4 2 2" xfId="11473" xr:uid="{00000000-0005-0000-0000-0000D92A0000}"/>
    <cellStyle name="Percent 4 5 5 4 3" xfId="11474" xr:uid="{00000000-0005-0000-0000-0000DA2A0000}"/>
    <cellStyle name="Percent 4 5 5 4 3 2" xfId="11475" xr:uid="{00000000-0005-0000-0000-0000DB2A0000}"/>
    <cellStyle name="Percent 4 5 5 4 4" xfId="11476" xr:uid="{00000000-0005-0000-0000-0000DC2A0000}"/>
    <cellStyle name="Percent 4 5 5 4 4 2" xfId="11477" xr:uid="{00000000-0005-0000-0000-0000DD2A0000}"/>
    <cellStyle name="Percent 4 5 5 4 5" xfId="11478" xr:uid="{00000000-0005-0000-0000-0000DE2A0000}"/>
    <cellStyle name="Percent 4 5 5 5" xfId="11479" xr:uid="{00000000-0005-0000-0000-0000DF2A0000}"/>
    <cellStyle name="Percent 4 5 5 5 2" xfId="11480" xr:uid="{00000000-0005-0000-0000-0000E02A0000}"/>
    <cellStyle name="Percent 4 5 5 5 2 2" xfId="11481" xr:uid="{00000000-0005-0000-0000-0000E12A0000}"/>
    <cellStyle name="Percent 4 5 5 5 3" xfId="11482" xr:uid="{00000000-0005-0000-0000-0000E22A0000}"/>
    <cellStyle name="Percent 4 5 5 5 3 2" xfId="11483" xr:uid="{00000000-0005-0000-0000-0000E32A0000}"/>
    <cellStyle name="Percent 4 5 5 5 4" xfId="11484" xr:uid="{00000000-0005-0000-0000-0000E42A0000}"/>
    <cellStyle name="Percent 4 5 5 6" xfId="11485" xr:uid="{00000000-0005-0000-0000-0000E52A0000}"/>
    <cellStyle name="Percent 4 5 5 6 2" xfId="11486" xr:uid="{00000000-0005-0000-0000-0000E62A0000}"/>
    <cellStyle name="Percent 4 5 5 7" xfId="11487" xr:uid="{00000000-0005-0000-0000-0000E72A0000}"/>
    <cellStyle name="Percent 4 5 5 7 2" xfId="11488" xr:uid="{00000000-0005-0000-0000-0000E82A0000}"/>
    <cellStyle name="Percent 4 5 5 8" xfId="11489" xr:uid="{00000000-0005-0000-0000-0000E92A0000}"/>
    <cellStyle name="Percent 4 5 5 8 2" xfId="11490" xr:uid="{00000000-0005-0000-0000-0000EA2A0000}"/>
    <cellStyle name="Percent 4 5 5 9" xfId="11491" xr:uid="{00000000-0005-0000-0000-0000EB2A0000}"/>
    <cellStyle name="Percent 4 5 6" xfId="4751" xr:uid="{00000000-0005-0000-0000-0000EC2A0000}"/>
    <cellStyle name="Percent 4 5 6 10" xfId="11493" xr:uid="{00000000-0005-0000-0000-0000ED2A0000}"/>
    <cellStyle name="Percent 4 5 6 11" xfId="11492" xr:uid="{00000000-0005-0000-0000-0000EE2A0000}"/>
    <cellStyle name="Percent 4 5 6 2" xfId="11494" xr:uid="{00000000-0005-0000-0000-0000EF2A0000}"/>
    <cellStyle name="Percent 4 5 6 2 2" xfId="11495" xr:uid="{00000000-0005-0000-0000-0000F02A0000}"/>
    <cellStyle name="Percent 4 5 6 2 2 2" xfId="11496" xr:uid="{00000000-0005-0000-0000-0000F12A0000}"/>
    <cellStyle name="Percent 4 5 6 2 3" xfId="11497" xr:uid="{00000000-0005-0000-0000-0000F22A0000}"/>
    <cellStyle name="Percent 4 5 6 2 3 2" xfId="11498" xr:uid="{00000000-0005-0000-0000-0000F32A0000}"/>
    <cellStyle name="Percent 4 5 6 2 4" xfId="11499" xr:uid="{00000000-0005-0000-0000-0000F42A0000}"/>
    <cellStyle name="Percent 4 5 6 3" xfId="11500" xr:uid="{00000000-0005-0000-0000-0000F52A0000}"/>
    <cellStyle name="Percent 4 5 6 3 2" xfId="11501" xr:uid="{00000000-0005-0000-0000-0000F62A0000}"/>
    <cellStyle name="Percent 4 5 6 3 2 2" xfId="11502" xr:uid="{00000000-0005-0000-0000-0000F72A0000}"/>
    <cellStyle name="Percent 4 5 6 3 3" xfId="11503" xr:uid="{00000000-0005-0000-0000-0000F82A0000}"/>
    <cellStyle name="Percent 4 5 6 3 3 2" xfId="11504" xr:uid="{00000000-0005-0000-0000-0000F92A0000}"/>
    <cellStyle name="Percent 4 5 6 3 4" xfId="11505" xr:uid="{00000000-0005-0000-0000-0000FA2A0000}"/>
    <cellStyle name="Percent 4 5 6 4" xfId="11506" xr:uid="{00000000-0005-0000-0000-0000FB2A0000}"/>
    <cellStyle name="Percent 4 5 6 4 2" xfId="11507" xr:uid="{00000000-0005-0000-0000-0000FC2A0000}"/>
    <cellStyle name="Percent 4 5 6 4 2 2" xfId="11508" xr:uid="{00000000-0005-0000-0000-0000FD2A0000}"/>
    <cellStyle name="Percent 4 5 6 4 3" xfId="11509" xr:uid="{00000000-0005-0000-0000-0000FE2A0000}"/>
    <cellStyle name="Percent 4 5 6 4 3 2" xfId="11510" xr:uid="{00000000-0005-0000-0000-0000FF2A0000}"/>
    <cellStyle name="Percent 4 5 6 4 4" xfId="11511" xr:uid="{00000000-0005-0000-0000-0000002B0000}"/>
    <cellStyle name="Percent 4 5 6 4 4 2" xfId="11512" xr:uid="{00000000-0005-0000-0000-0000012B0000}"/>
    <cellStyle name="Percent 4 5 6 4 5" xfId="11513" xr:uid="{00000000-0005-0000-0000-0000022B0000}"/>
    <cellStyle name="Percent 4 5 6 5" xfId="11514" xr:uid="{00000000-0005-0000-0000-0000032B0000}"/>
    <cellStyle name="Percent 4 5 6 5 2" xfId="11515" xr:uid="{00000000-0005-0000-0000-0000042B0000}"/>
    <cellStyle name="Percent 4 5 6 5 2 2" xfId="11516" xr:uid="{00000000-0005-0000-0000-0000052B0000}"/>
    <cellStyle name="Percent 4 5 6 5 3" xfId="11517" xr:uid="{00000000-0005-0000-0000-0000062B0000}"/>
    <cellStyle name="Percent 4 5 6 5 3 2" xfId="11518" xr:uid="{00000000-0005-0000-0000-0000072B0000}"/>
    <cellStyle name="Percent 4 5 6 5 4" xfId="11519" xr:uid="{00000000-0005-0000-0000-0000082B0000}"/>
    <cellStyle name="Percent 4 5 6 6" xfId="11520" xr:uid="{00000000-0005-0000-0000-0000092B0000}"/>
    <cellStyle name="Percent 4 5 6 6 2" xfId="11521" xr:uid="{00000000-0005-0000-0000-00000A2B0000}"/>
    <cellStyle name="Percent 4 5 6 7" xfId="11522" xr:uid="{00000000-0005-0000-0000-00000B2B0000}"/>
    <cellStyle name="Percent 4 5 6 7 2" xfId="11523" xr:uid="{00000000-0005-0000-0000-00000C2B0000}"/>
    <cellStyle name="Percent 4 5 6 8" xfId="11524" xr:uid="{00000000-0005-0000-0000-00000D2B0000}"/>
    <cellStyle name="Percent 4 5 6 8 2" xfId="11525" xr:uid="{00000000-0005-0000-0000-00000E2B0000}"/>
    <cellStyle name="Percent 4 5 6 9" xfId="11526" xr:uid="{00000000-0005-0000-0000-00000F2B0000}"/>
    <cellStyle name="Percent 4 5 7" xfId="4752" xr:uid="{00000000-0005-0000-0000-0000102B0000}"/>
    <cellStyle name="Percent 4 5 7 10" xfId="11528" xr:uid="{00000000-0005-0000-0000-0000112B0000}"/>
    <cellStyle name="Percent 4 5 7 11" xfId="11527" xr:uid="{00000000-0005-0000-0000-0000122B0000}"/>
    <cellStyle name="Percent 4 5 7 2" xfId="11529" xr:uid="{00000000-0005-0000-0000-0000132B0000}"/>
    <cellStyle name="Percent 4 5 7 2 2" xfId="11530" xr:uid="{00000000-0005-0000-0000-0000142B0000}"/>
    <cellStyle name="Percent 4 5 7 2 2 2" xfId="11531" xr:uid="{00000000-0005-0000-0000-0000152B0000}"/>
    <cellStyle name="Percent 4 5 7 2 3" xfId="11532" xr:uid="{00000000-0005-0000-0000-0000162B0000}"/>
    <cellStyle name="Percent 4 5 7 2 3 2" xfId="11533" xr:uid="{00000000-0005-0000-0000-0000172B0000}"/>
    <cellStyle name="Percent 4 5 7 2 4" xfId="11534" xr:uid="{00000000-0005-0000-0000-0000182B0000}"/>
    <cellStyle name="Percent 4 5 7 3" xfId="11535" xr:uid="{00000000-0005-0000-0000-0000192B0000}"/>
    <cellStyle name="Percent 4 5 7 3 2" xfId="11536" xr:uid="{00000000-0005-0000-0000-00001A2B0000}"/>
    <cellStyle name="Percent 4 5 7 3 2 2" xfId="11537" xr:uid="{00000000-0005-0000-0000-00001B2B0000}"/>
    <cellStyle name="Percent 4 5 7 3 3" xfId="11538" xr:uid="{00000000-0005-0000-0000-00001C2B0000}"/>
    <cellStyle name="Percent 4 5 7 3 3 2" xfId="11539" xr:uid="{00000000-0005-0000-0000-00001D2B0000}"/>
    <cellStyle name="Percent 4 5 7 3 4" xfId="11540" xr:uid="{00000000-0005-0000-0000-00001E2B0000}"/>
    <cellStyle name="Percent 4 5 7 4" xfId="11541" xr:uid="{00000000-0005-0000-0000-00001F2B0000}"/>
    <cellStyle name="Percent 4 5 7 4 2" xfId="11542" xr:uid="{00000000-0005-0000-0000-0000202B0000}"/>
    <cellStyle name="Percent 4 5 7 4 2 2" xfId="11543" xr:uid="{00000000-0005-0000-0000-0000212B0000}"/>
    <cellStyle name="Percent 4 5 7 4 3" xfId="11544" xr:uid="{00000000-0005-0000-0000-0000222B0000}"/>
    <cellStyle name="Percent 4 5 7 4 3 2" xfId="11545" xr:uid="{00000000-0005-0000-0000-0000232B0000}"/>
    <cellStyle name="Percent 4 5 7 4 4" xfId="11546" xr:uid="{00000000-0005-0000-0000-0000242B0000}"/>
    <cellStyle name="Percent 4 5 7 4 4 2" xfId="11547" xr:uid="{00000000-0005-0000-0000-0000252B0000}"/>
    <cellStyle name="Percent 4 5 7 4 5" xfId="11548" xr:uid="{00000000-0005-0000-0000-0000262B0000}"/>
    <cellStyle name="Percent 4 5 7 5" xfId="11549" xr:uid="{00000000-0005-0000-0000-0000272B0000}"/>
    <cellStyle name="Percent 4 5 7 5 2" xfId="11550" xr:uid="{00000000-0005-0000-0000-0000282B0000}"/>
    <cellStyle name="Percent 4 5 7 5 2 2" xfId="11551" xr:uid="{00000000-0005-0000-0000-0000292B0000}"/>
    <cellStyle name="Percent 4 5 7 5 3" xfId="11552" xr:uid="{00000000-0005-0000-0000-00002A2B0000}"/>
    <cellStyle name="Percent 4 5 7 5 3 2" xfId="11553" xr:uid="{00000000-0005-0000-0000-00002B2B0000}"/>
    <cellStyle name="Percent 4 5 7 5 4" xfId="11554" xr:uid="{00000000-0005-0000-0000-00002C2B0000}"/>
    <cellStyle name="Percent 4 5 7 6" xfId="11555" xr:uid="{00000000-0005-0000-0000-00002D2B0000}"/>
    <cellStyle name="Percent 4 5 7 6 2" xfId="11556" xr:uid="{00000000-0005-0000-0000-00002E2B0000}"/>
    <cellStyle name="Percent 4 5 7 7" xfId="11557" xr:uid="{00000000-0005-0000-0000-00002F2B0000}"/>
    <cellStyle name="Percent 4 5 7 7 2" xfId="11558" xr:uid="{00000000-0005-0000-0000-0000302B0000}"/>
    <cellStyle name="Percent 4 5 7 8" xfId="11559" xr:uid="{00000000-0005-0000-0000-0000312B0000}"/>
    <cellStyle name="Percent 4 5 7 8 2" xfId="11560" xr:uid="{00000000-0005-0000-0000-0000322B0000}"/>
    <cellStyle name="Percent 4 5 7 9" xfId="11561" xr:uid="{00000000-0005-0000-0000-0000332B0000}"/>
    <cellStyle name="Percent 4 5 8" xfId="4753" xr:uid="{00000000-0005-0000-0000-0000342B0000}"/>
    <cellStyle name="Percent 4 5 8 10" xfId="11563" xr:uid="{00000000-0005-0000-0000-0000352B0000}"/>
    <cellStyle name="Percent 4 5 8 11" xfId="11562" xr:uid="{00000000-0005-0000-0000-0000362B0000}"/>
    <cellStyle name="Percent 4 5 8 2" xfId="11564" xr:uid="{00000000-0005-0000-0000-0000372B0000}"/>
    <cellStyle name="Percent 4 5 8 2 2" xfId="11565" xr:uid="{00000000-0005-0000-0000-0000382B0000}"/>
    <cellStyle name="Percent 4 5 8 2 2 2" xfId="11566" xr:uid="{00000000-0005-0000-0000-0000392B0000}"/>
    <cellStyle name="Percent 4 5 8 2 3" xfId="11567" xr:uid="{00000000-0005-0000-0000-00003A2B0000}"/>
    <cellStyle name="Percent 4 5 8 2 3 2" xfId="11568" xr:uid="{00000000-0005-0000-0000-00003B2B0000}"/>
    <cellStyle name="Percent 4 5 8 2 4" xfId="11569" xr:uid="{00000000-0005-0000-0000-00003C2B0000}"/>
    <cellStyle name="Percent 4 5 8 3" xfId="11570" xr:uid="{00000000-0005-0000-0000-00003D2B0000}"/>
    <cellStyle name="Percent 4 5 8 3 2" xfId="11571" xr:uid="{00000000-0005-0000-0000-00003E2B0000}"/>
    <cellStyle name="Percent 4 5 8 3 2 2" xfId="11572" xr:uid="{00000000-0005-0000-0000-00003F2B0000}"/>
    <cellStyle name="Percent 4 5 8 3 3" xfId="11573" xr:uid="{00000000-0005-0000-0000-0000402B0000}"/>
    <cellStyle name="Percent 4 5 8 3 3 2" xfId="11574" xr:uid="{00000000-0005-0000-0000-0000412B0000}"/>
    <cellStyle name="Percent 4 5 8 3 4" xfId="11575" xr:uid="{00000000-0005-0000-0000-0000422B0000}"/>
    <cellStyle name="Percent 4 5 8 4" xfId="11576" xr:uid="{00000000-0005-0000-0000-0000432B0000}"/>
    <cellStyle name="Percent 4 5 8 4 2" xfId="11577" xr:uid="{00000000-0005-0000-0000-0000442B0000}"/>
    <cellStyle name="Percent 4 5 8 4 2 2" xfId="11578" xr:uid="{00000000-0005-0000-0000-0000452B0000}"/>
    <cellStyle name="Percent 4 5 8 4 3" xfId="11579" xr:uid="{00000000-0005-0000-0000-0000462B0000}"/>
    <cellStyle name="Percent 4 5 8 4 3 2" xfId="11580" xr:uid="{00000000-0005-0000-0000-0000472B0000}"/>
    <cellStyle name="Percent 4 5 8 4 4" xfId="11581" xr:uid="{00000000-0005-0000-0000-0000482B0000}"/>
    <cellStyle name="Percent 4 5 8 4 4 2" xfId="11582" xr:uid="{00000000-0005-0000-0000-0000492B0000}"/>
    <cellStyle name="Percent 4 5 8 4 5" xfId="11583" xr:uid="{00000000-0005-0000-0000-00004A2B0000}"/>
    <cellStyle name="Percent 4 5 8 5" xfId="11584" xr:uid="{00000000-0005-0000-0000-00004B2B0000}"/>
    <cellStyle name="Percent 4 5 8 5 2" xfId="11585" xr:uid="{00000000-0005-0000-0000-00004C2B0000}"/>
    <cellStyle name="Percent 4 5 8 5 2 2" xfId="11586" xr:uid="{00000000-0005-0000-0000-00004D2B0000}"/>
    <cellStyle name="Percent 4 5 8 5 3" xfId="11587" xr:uid="{00000000-0005-0000-0000-00004E2B0000}"/>
    <cellStyle name="Percent 4 5 8 5 3 2" xfId="11588" xr:uid="{00000000-0005-0000-0000-00004F2B0000}"/>
    <cellStyle name="Percent 4 5 8 5 4" xfId="11589" xr:uid="{00000000-0005-0000-0000-0000502B0000}"/>
    <cellStyle name="Percent 4 5 8 6" xfId="11590" xr:uid="{00000000-0005-0000-0000-0000512B0000}"/>
    <cellStyle name="Percent 4 5 8 6 2" xfId="11591" xr:uid="{00000000-0005-0000-0000-0000522B0000}"/>
    <cellStyle name="Percent 4 5 8 7" xfId="11592" xr:uid="{00000000-0005-0000-0000-0000532B0000}"/>
    <cellStyle name="Percent 4 5 8 7 2" xfId="11593" xr:uid="{00000000-0005-0000-0000-0000542B0000}"/>
    <cellStyle name="Percent 4 5 8 8" xfId="11594" xr:uid="{00000000-0005-0000-0000-0000552B0000}"/>
    <cellStyle name="Percent 4 5 8 8 2" xfId="11595" xr:uid="{00000000-0005-0000-0000-0000562B0000}"/>
    <cellStyle name="Percent 4 5 8 9" xfId="11596" xr:uid="{00000000-0005-0000-0000-0000572B0000}"/>
    <cellStyle name="Percent 4 5 9" xfId="11597" xr:uid="{00000000-0005-0000-0000-0000582B0000}"/>
    <cellStyle name="Percent 4 5 9 2" xfId="11598" xr:uid="{00000000-0005-0000-0000-0000592B0000}"/>
    <cellStyle name="Percent 4 5 9 2 2" xfId="11599" xr:uid="{00000000-0005-0000-0000-00005A2B0000}"/>
    <cellStyle name="Percent 4 5 9 3" xfId="11600" xr:uid="{00000000-0005-0000-0000-00005B2B0000}"/>
    <cellStyle name="Percent 4 5 9 3 2" xfId="11601" xr:uid="{00000000-0005-0000-0000-00005C2B0000}"/>
    <cellStyle name="Percent 4 5 9 4" xfId="11602" xr:uid="{00000000-0005-0000-0000-00005D2B0000}"/>
    <cellStyle name="Percent 4 5 9 5" xfId="11603" xr:uid="{00000000-0005-0000-0000-00005E2B0000}"/>
    <cellStyle name="Percent 4 6" xfId="2997" xr:uid="{00000000-0005-0000-0000-00005F2B0000}"/>
    <cellStyle name="Percent 4 6 10" xfId="11605" xr:uid="{00000000-0005-0000-0000-0000602B0000}"/>
    <cellStyle name="Percent 4 6 10 2" xfId="11606" xr:uid="{00000000-0005-0000-0000-0000612B0000}"/>
    <cellStyle name="Percent 4 6 10 2 2" xfId="11607" xr:uid="{00000000-0005-0000-0000-0000622B0000}"/>
    <cellStyle name="Percent 4 6 10 3" xfId="11608" xr:uid="{00000000-0005-0000-0000-0000632B0000}"/>
    <cellStyle name="Percent 4 6 10 3 2" xfId="11609" xr:uid="{00000000-0005-0000-0000-0000642B0000}"/>
    <cellStyle name="Percent 4 6 10 4" xfId="11610" xr:uid="{00000000-0005-0000-0000-0000652B0000}"/>
    <cellStyle name="Percent 4 6 11" xfId="11611" xr:uid="{00000000-0005-0000-0000-0000662B0000}"/>
    <cellStyle name="Percent 4 6 11 2" xfId="11612" xr:uid="{00000000-0005-0000-0000-0000672B0000}"/>
    <cellStyle name="Percent 4 6 11 2 2" xfId="11613" xr:uid="{00000000-0005-0000-0000-0000682B0000}"/>
    <cellStyle name="Percent 4 6 11 3" xfId="11614" xr:uid="{00000000-0005-0000-0000-0000692B0000}"/>
    <cellStyle name="Percent 4 6 11 3 2" xfId="11615" xr:uid="{00000000-0005-0000-0000-00006A2B0000}"/>
    <cellStyle name="Percent 4 6 11 4" xfId="11616" xr:uid="{00000000-0005-0000-0000-00006B2B0000}"/>
    <cellStyle name="Percent 4 6 12" xfId="11617" xr:uid="{00000000-0005-0000-0000-00006C2B0000}"/>
    <cellStyle name="Percent 4 6 12 2" xfId="11618" xr:uid="{00000000-0005-0000-0000-00006D2B0000}"/>
    <cellStyle name="Percent 4 6 12 2 2" xfId="11619" xr:uid="{00000000-0005-0000-0000-00006E2B0000}"/>
    <cellStyle name="Percent 4 6 12 3" xfId="11620" xr:uid="{00000000-0005-0000-0000-00006F2B0000}"/>
    <cellStyle name="Percent 4 6 12 3 2" xfId="11621" xr:uid="{00000000-0005-0000-0000-0000702B0000}"/>
    <cellStyle name="Percent 4 6 12 4" xfId="11622" xr:uid="{00000000-0005-0000-0000-0000712B0000}"/>
    <cellStyle name="Percent 4 6 12 4 2" xfId="11623" xr:uid="{00000000-0005-0000-0000-0000722B0000}"/>
    <cellStyle name="Percent 4 6 12 5" xfId="11624" xr:uid="{00000000-0005-0000-0000-0000732B0000}"/>
    <cellStyle name="Percent 4 6 13" xfId="11625" xr:uid="{00000000-0005-0000-0000-0000742B0000}"/>
    <cellStyle name="Percent 4 6 13 2" xfId="11626" xr:uid="{00000000-0005-0000-0000-0000752B0000}"/>
    <cellStyle name="Percent 4 6 13 2 2" xfId="11627" xr:uid="{00000000-0005-0000-0000-0000762B0000}"/>
    <cellStyle name="Percent 4 6 13 3" xfId="11628" xr:uid="{00000000-0005-0000-0000-0000772B0000}"/>
    <cellStyle name="Percent 4 6 13 3 2" xfId="11629" xr:uid="{00000000-0005-0000-0000-0000782B0000}"/>
    <cellStyle name="Percent 4 6 13 4" xfId="11630" xr:uid="{00000000-0005-0000-0000-0000792B0000}"/>
    <cellStyle name="Percent 4 6 14" xfId="11631" xr:uid="{00000000-0005-0000-0000-00007A2B0000}"/>
    <cellStyle name="Percent 4 6 14 2" xfId="11632" xr:uid="{00000000-0005-0000-0000-00007B2B0000}"/>
    <cellStyle name="Percent 4 6 15" xfId="11633" xr:uid="{00000000-0005-0000-0000-00007C2B0000}"/>
    <cellStyle name="Percent 4 6 15 2" xfId="11634" xr:uid="{00000000-0005-0000-0000-00007D2B0000}"/>
    <cellStyle name="Percent 4 6 16" xfId="11635" xr:uid="{00000000-0005-0000-0000-00007E2B0000}"/>
    <cellStyle name="Percent 4 6 16 2" xfId="11636" xr:uid="{00000000-0005-0000-0000-00007F2B0000}"/>
    <cellStyle name="Percent 4 6 17" xfId="11637" xr:uid="{00000000-0005-0000-0000-0000802B0000}"/>
    <cellStyle name="Percent 4 6 18" xfId="11638" xr:uid="{00000000-0005-0000-0000-0000812B0000}"/>
    <cellStyle name="Percent 4 6 19" xfId="11604" xr:uid="{00000000-0005-0000-0000-0000822B0000}"/>
    <cellStyle name="Percent 4 6 2" xfId="4754" xr:uid="{00000000-0005-0000-0000-0000832B0000}"/>
    <cellStyle name="Percent 4 6 2 10" xfId="11640" xr:uid="{00000000-0005-0000-0000-0000842B0000}"/>
    <cellStyle name="Percent 4 6 2 11" xfId="11639" xr:uid="{00000000-0005-0000-0000-0000852B0000}"/>
    <cellStyle name="Percent 4 6 2 2" xfId="11641" xr:uid="{00000000-0005-0000-0000-0000862B0000}"/>
    <cellStyle name="Percent 4 6 2 2 2" xfId="11642" xr:uid="{00000000-0005-0000-0000-0000872B0000}"/>
    <cellStyle name="Percent 4 6 2 2 2 2" xfId="11643" xr:uid="{00000000-0005-0000-0000-0000882B0000}"/>
    <cellStyle name="Percent 4 6 2 2 3" xfId="11644" xr:uid="{00000000-0005-0000-0000-0000892B0000}"/>
    <cellStyle name="Percent 4 6 2 2 3 2" xfId="11645" xr:uid="{00000000-0005-0000-0000-00008A2B0000}"/>
    <cellStyle name="Percent 4 6 2 2 4" xfId="11646" xr:uid="{00000000-0005-0000-0000-00008B2B0000}"/>
    <cellStyle name="Percent 4 6 2 3" xfId="11647" xr:uid="{00000000-0005-0000-0000-00008C2B0000}"/>
    <cellStyle name="Percent 4 6 2 3 2" xfId="11648" xr:uid="{00000000-0005-0000-0000-00008D2B0000}"/>
    <cellStyle name="Percent 4 6 2 3 2 2" xfId="11649" xr:uid="{00000000-0005-0000-0000-00008E2B0000}"/>
    <cellStyle name="Percent 4 6 2 3 3" xfId="11650" xr:uid="{00000000-0005-0000-0000-00008F2B0000}"/>
    <cellStyle name="Percent 4 6 2 3 3 2" xfId="11651" xr:uid="{00000000-0005-0000-0000-0000902B0000}"/>
    <cellStyle name="Percent 4 6 2 3 4" xfId="11652" xr:uid="{00000000-0005-0000-0000-0000912B0000}"/>
    <cellStyle name="Percent 4 6 2 4" xfId="11653" xr:uid="{00000000-0005-0000-0000-0000922B0000}"/>
    <cellStyle name="Percent 4 6 2 4 2" xfId="11654" xr:uid="{00000000-0005-0000-0000-0000932B0000}"/>
    <cellStyle name="Percent 4 6 2 4 2 2" xfId="11655" xr:uid="{00000000-0005-0000-0000-0000942B0000}"/>
    <cellStyle name="Percent 4 6 2 4 3" xfId="11656" xr:uid="{00000000-0005-0000-0000-0000952B0000}"/>
    <cellStyle name="Percent 4 6 2 4 3 2" xfId="11657" xr:uid="{00000000-0005-0000-0000-0000962B0000}"/>
    <cellStyle name="Percent 4 6 2 4 4" xfId="11658" xr:uid="{00000000-0005-0000-0000-0000972B0000}"/>
    <cellStyle name="Percent 4 6 2 4 4 2" xfId="11659" xr:uid="{00000000-0005-0000-0000-0000982B0000}"/>
    <cellStyle name="Percent 4 6 2 4 5" xfId="11660" xr:uid="{00000000-0005-0000-0000-0000992B0000}"/>
    <cellStyle name="Percent 4 6 2 5" xfId="11661" xr:uid="{00000000-0005-0000-0000-00009A2B0000}"/>
    <cellStyle name="Percent 4 6 2 5 2" xfId="11662" xr:uid="{00000000-0005-0000-0000-00009B2B0000}"/>
    <cellStyle name="Percent 4 6 2 5 2 2" xfId="11663" xr:uid="{00000000-0005-0000-0000-00009C2B0000}"/>
    <cellStyle name="Percent 4 6 2 5 3" xfId="11664" xr:uid="{00000000-0005-0000-0000-00009D2B0000}"/>
    <cellStyle name="Percent 4 6 2 5 3 2" xfId="11665" xr:uid="{00000000-0005-0000-0000-00009E2B0000}"/>
    <cellStyle name="Percent 4 6 2 5 4" xfId="11666" xr:uid="{00000000-0005-0000-0000-00009F2B0000}"/>
    <cellStyle name="Percent 4 6 2 6" xfId="11667" xr:uid="{00000000-0005-0000-0000-0000A02B0000}"/>
    <cellStyle name="Percent 4 6 2 6 2" xfId="11668" xr:uid="{00000000-0005-0000-0000-0000A12B0000}"/>
    <cellStyle name="Percent 4 6 2 7" xfId="11669" xr:uid="{00000000-0005-0000-0000-0000A22B0000}"/>
    <cellStyle name="Percent 4 6 2 7 2" xfId="11670" xr:uid="{00000000-0005-0000-0000-0000A32B0000}"/>
    <cellStyle name="Percent 4 6 2 8" xfId="11671" xr:uid="{00000000-0005-0000-0000-0000A42B0000}"/>
    <cellStyle name="Percent 4 6 2 8 2" xfId="11672" xr:uid="{00000000-0005-0000-0000-0000A52B0000}"/>
    <cellStyle name="Percent 4 6 2 9" xfId="11673" xr:uid="{00000000-0005-0000-0000-0000A62B0000}"/>
    <cellStyle name="Percent 4 6 3" xfId="4755" xr:uid="{00000000-0005-0000-0000-0000A72B0000}"/>
    <cellStyle name="Percent 4 6 3 10" xfId="11675" xr:uid="{00000000-0005-0000-0000-0000A82B0000}"/>
    <cellStyle name="Percent 4 6 3 11" xfId="11674" xr:uid="{00000000-0005-0000-0000-0000A92B0000}"/>
    <cellStyle name="Percent 4 6 3 2" xfId="11676" xr:uid="{00000000-0005-0000-0000-0000AA2B0000}"/>
    <cellStyle name="Percent 4 6 3 2 2" xfId="11677" xr:uid="{00000000-0005-0000-0000-0000AB2B0000}"/>
    <cellStyle name="Percent 4 6 3 2 2 2" xfId="11678" xr:uid="{00000000-0005-0000-0000-0000AC2B0000}"/>
    <cellStyle name="Percent 4 6 3 2 3" xfId="11679" xr:uid="{00000000-0005-0000-0000-0000AD2B0000}"/>
    <cellStyle name="Percent 4 6 3 2 3 2" xfId="11680" xr:uid="{00000000-0005-0000-0000-0000AE2B0000}"/>
    <cellStyle name="Percent 4 6 3 2 4" xfId="11681" xr:uid="{00000000-0005-0000-0000-0000AF2B0000}"/>
    <cellStyle name="Percent 4 6 3 3" xfId="11682" xr:uid="{00000000-0005-0000-0000-0000B02B0000}"/>
    <cellStyle name="Percent 4 6 3 3 2" xfId="11683" xr:uid="{00000000-0005-0000-0000-0000B12B0000}"/>
    <cellStyle name="Percent 4 6 3 3 2 2" xfId="11684" xr:uid="{00000000-0005-0000-0000-0000B22B0000}"/>
    <cellStyle name="Percent 4 6 3 3 3" xfId="11685" xr:uid="{00000000-0005-0000-0000-0000B32B0000}"/>
    <cellStyle name="Percent 4 6 3 3 3 2" xfId="11686" xr:uid="{00000000-0005-0000-0000-0000B42B0000}"/>
    <cellStyle name="Percent 4 6 3 3 4" xfId="11687" xr:uid="{00000000-0005-0000-0000-0000B52B0000}"/>
    <cellStyle name="Percent 4 6 3 4" xfId="11688" xr:uid="{00000000-0005-0000-0000-0000B62B0000}"/>
    <cellStyle name="Percent 4 6 3 4 2" xfId="11689" xr:uid="{00000000-0005-0000-0000-0000B72B0000}"/>
    <cellStyle name="Percent 4 6 3 4 2 2" xfId="11690" xr:uid="{00000000-0005-0000-0000-0000B82B0000}"/>
    <cellStyle name="Percent 4 6 3 4 3" xfId="11691" xr:uid="{00000000-0005-0000-0000-0000B92B0000}"/>
    <cellStyle name="Percent 4 6 3 4 3 2" xfId="11692" xr:uid="{00000000-0005-0000-0000-0000BA2B0000}"/>
    <cellStyle name="Percent 4 6 3 4 4" xfId="11693" xr:uid="{00000000-0005-0000-0000-0000BB2B0000}"/>
    <cellStyle name="Percent 4 6 3 4 4 2" xfId="11694" xr:uid="{00000000-0005-0000-0000-0000BC2B0000}"/>
    <cellStyle name="Percent 4 6 3 4 5" xfId="11695" xr:uid="{00000000-0005-0000-0000-0000BD2B0000}"/>
    <cellStyle name="Percent 4 6 3 5" xfId="11696" xr:uid="{00000000-0005-0000-0000-0000BE2B0000}"/>
    <cellStyle name="Percent 4 6 3 5 2" xfId="11697" xr:uid="{00000000-0005-0000-0000-0000BF2B0000}"/>
    <cellStyle name="Percent 4 6 3 5 2 2" xfId="11698" xr:uid="{00000000-0005-0000-0000-0000C02B0000}"/>
    <cellStyle name="Percent 4 6 3 5 3" xfId="11699" xr:uid="{00000000-0005-0000-0000-0000C12B0000}"/>
    <cellStyle name="Percent 4 6 3 5 3 2" xfId="11700" xr:uid="{00000000-0005-0000-0000-0000C22B0000}"/>
    <cellStyle name="Percent 4 6 3 5 4" xfId="11701" xr:uid="{00000000-0005-0000-0000-0000C32B0000}"/>
    <cellStyle name="Percent 4 6 3 6" xfId="11702" xr:uid="{00000000-0005-0000-0000-0000C42B0000}"/>
    <cellStyle name="Percent 4 6 3 6 2" xfId="11703" xr:uid="{00000000-0005-0000-0000-0000C52B0000}"/>
    <cellStyle name="Percent 4 6 3 7" xfId="11704" xr:uid="{00000000-0005-0000-0000-0000C62B0000}"/>
    <cellStyle name="Percent 4 6 3 7 2" xfId="11705" xr:uid="{00000000-0005-0000-0000-0000C72B0000}"/>
    <cellStyle name="Percent 4 6 3 8" xfId="11706" xr:uid="{00000000-0005-0000-0000-0000C82B0000}"/>
    <cellStyle name="Percent 4 6 3 8 2" xfId="11707" xr:uid="{00000000-0005-0000-0000-0000C92B0000}"/>
    <cellStyle name="Percent 4 6 3 9" xfId="11708" xr:uid="{00000000-0005-0000-0000-0000CA2B0000}"/>
    <cellStyle name="Percent 4 6 4" xfId="4756" xr:uid="{00000000-0005-0000-0000-0000CB2B0000}"/>
    <cellStyle name="Percent 4 6 4 10" xfId="11710" xr:uid="{00000000-0005-0000-0000-0000CC2B0000}"/>
    <cellStyle name="Percent 4 6 4 11" xfId="11709" xr:uid="{00000000-0005-0000-0000-0000CD2B0000}"/>
    <cellStyle name="Percent 4 6 4 2" xfId="11711" xr:uid="{00000000-0005-0000-0000-0000CE2B0000}"/>
    <cellStyle name="Percent 4 6 4 2 2" xfId="11712" xr:uid="{00000000-0005-0000-0000-0000CF2B0000}"/>
    <cellStyle name="Percent 4 6 4 2 2 2" xfId="11713" xr:uid="{00000000-0005-0000-0000-0000D02B0000}"/>
    <cellStyle name="Percent 4 6 4 2 3" xfId="11714" xr:uid="{00000000-0005-0000-0000-0000D12B0000}"/>
    <cellStyle name="Percent 4 6 4 2 3 2" xfId="11715" xr:uid="{00000000-0005-0000-0000-0000D22B0000}"/>
    <cellStyle name="Percent 4 6 4 2 4" xfId="11716" xr:uid="{00000000-0005-0000-0000-0000D32B0000}"/>
    <cellStyle name="Percent 4 6 4 3" xfId="11717" xr:uid="{00000000-0005-0000-0000-0000D42B0000}"/>
    <cellStyle name="Percent 4 6 4 3 2" xfId="11718" xr:uid="{00000000-0005-0000-0000-0000D52B0000}"/>
    <cellStyle name="Percent 4 6 4 3 2 2" xfId="11719" xr:uid="{00000000-0005-0000-0000-0000D62B0000}"/>
    <cellStyle name="Percent 4 6 4 3 3" xfId="11720" xr:uid="{00000000-0005-0000-0000-0000D72B0000}"/>
    <cellStyle name="Percent 4 6 4 3 3 2" xfId="11721" xr:uid="{00000000-0005-0000-0000-0000D82B0000}"/>
    <cellStyle name="Percent 4 6 4 3 4" xfId="11722" xr:uid="{00000000-0005-0000-0000-0000D92B0000}"/>
    <cellStyle name="Percent 4 6 4 4" xfId="11723" xr:uid="{00000000-0005-0000-0000-0000DA2B0000}"/>
    <cellStyle name="Percent 4 6 4 4 2" xfId="11724" xr:uid="{00000000-0005-0000-0000-0000DB2B0000}"/>
    <cellStyle name="Percent 4 6 4 4 2 2" xfId="11725" xr:uid="{00000000-0005-0000-0000-0000DC2B0000}"/>
    <cellStyle name="Percent 4 6 4 4 3" xfId="11726" xr:uid="{00000000-0005-0000-0000-0000DD2B0000}"/>
    <cellStyle name="Percent 4 6 4 4 3 2" xfId="11727" xr:uid="{00000000-0005-0000-0000-0000DE2B0000}"/>
    <cellStyle name="Percent 4 6 4 4 4" xfId="11728" xr:uid="{00000000-0005-0000-0000-0000DF2B0000}"/>
    <cellStyle name="Percent 4 6 4 4 4 2" xfId="11729" xr:uid="{00000000-0005-0000-0000-0000E02B0000}"/>
    <cellStyle name="Percent 4 6 4 4 5" xfId="11730" xr:uid="{00000000-0005-0000-0000-0000E12B0000}"/>
    <cellStyle name="Percent 4 6 4 5" xfId="11731" xr:uid="{00000000-0005-0000-0000-0000E22B0000}"/>
    <cellStyle name="Percent 4 6 4 5 2" xfId="11732" xr:uid="{00000000-0005-0000-0000-0000E32B0000}"/>
    <cellStyle name="Percent 4 6 4 5 2 2" xfId="11733" xr:uid="{00000000-0005-0000-0000-0000E42B0000}"/>
    <cellStyle name="Percent 4 6 4 5 3" xfId="11734" xr:uid="{00000000-0005-0000-0000-0000E52B0000}"/>
    <cellStyle name="Percent 4 6 4 5 3 2" xfId="11735" xr:uid="{00000000-0005-0000-0000-0000E62B0000}"/>
    <cellStyle name="Percent 4 6 4 5 4" xfId="11736" xr:uid="{00000000-0005-0000-0000-0000E72B0000}"/>
    <cellStyle name="Percent 4 6 4 6" xfId="11737" xr:uid="{00000000-0005-0000-0000-0000E82B0000}"/>
    <cellStyle name="Percent 4 6 4 6 2" xfId="11738" xr:uid="{00000000-0005-0000-0000-0000E92B0000}"/>
    <cellStyle name="Percent 4 6 4 7" xfId="11739" xr:uid="{00000000-0005-0000-0000-0000EA2B0000}"/>
    <cellStyle name="Percent 4 6 4 7 2" xfId="11740" xr:uid="{00000000-0005-0000-0000-0000EB2B0000}"/>
    <cellStyle name="Percent 4 6 4 8" xfId="11741" xr:uid="{00000000-0005-0000-0000-0000EC2B0000}"/>
    <cellStyle name="Percent 4 6 4 8 2" xfId="11742" xr:uid="{00000000-0005-0000-0000-0000ED2B0000}"/>
    <cellStyle name="Percent 4 6 4 9" xfId="11743" xr:uid="{00000000-0005-0000-0000-0000EE2B0000}"/>
    <cellStyle name="Percent 4 6 5" xfId="4757" xr:uid="{00000000-0005-0000-0000-0000EF2B0000}"/>
    <cellStyle name="Percent 4 6 5 10" xfId="11745" xr:uid="{00000000-0005-0000-0000-0000F02B0000}"/>
    <cellStyle name="Percent 4 6 5 11" xfId="11744" xr:uid="{00000000-0005-0000-0000-0000F12B0000}"/>
    <cellStyle name="Percent 4 6 5 2" xfId="11746" xr:uid="{00000000-0005-0000-0000-0000F22B0000}"/>
    <cellStyle name="Percent 4 6 5 2 2" xfId="11747" xr:uid="{00000000-0005-0000-0000-0000F32B0000}"/>
    <cellStyle name="Percent 4 6 5 2 2 2" xfId="11748" xr:uid="{00000000-0005-0000-0000-0000F42B0000}"/>
    <cellStyle name="Percent 4 6 5 2 3" xfId="11749" xr:uid="{00000000-0005-0000-0000-0000F52B0000}"/>
    <cellStyle name="Percent 4 6 5 2 3 2" xfId="11750" xr:uid="{00000000-0005-0000-0000-0000F62B0000}"/>
    <cellStyle name="Percent 4 6 5 2 4" xfId="11751" xr:uid="{00000000-0005-0000-0000-0000F72B0000}"/>
    <cellStyle name="Percent 4 6 5 3" xfId="11752" xr:uid="{00000000-0005-0000-0000-0000F82B0000}"/>
    <cellStyle name="Percent 4 6 5 3 2" xfId="11753" xr:uid="{00000000-0005-0000-0000-0000F92B0000}"/>
    <cellStyle name="Percent 4 6 5 3 2 2" xfId="11754" xr:uid="{00000000-0005-0000-0000-0000FA2B0000}"/>
    <cellStyle name="Percent 4 6 5 3 3" xfId="11755" xr:uid="{00000000-0005-0000-0000-0000FB2B0000}"/>
    <cellStyle name="Percent 4 6 5 3 3 2" xfId="11756" xr:uid="{00000000-0005-0000-0000-0000FC2B0000}"/>
    <cellStyle name="Percent 4 6 5 3 4" xfId="11757" xr:uid="{00000000-0005-0000-0000-0000FD2B0000}"/>
    <cellStyle name="Percent 4 6 5 4" xfId="11758" xr:uid="{00000000-0005-0000-0000-0000FE2B0000}"/>
    <cellStyle name="Percent 4 6 5 4 2" xfId="11759" xr:uid="{00000000-0005-0000-0000-0000FF2B0000}"/>
    <cellStyle name="Percent 4 6 5 4 2 2" xfId="11760" xr:uid="{00000000-0005-0000-0000-0000002C0000}"/>
    <cellStyle name="Percent 4 6 5 4 3" xfId="11761" xr:uid="{00000000-0005-0000-0000-0000012C0000}"/>
    <cellStyle name="Percent 4 6 5 4 3 2" xfId="11762" xr:uid="{00000000-0005-0000-0000-0000022C0000}"/>
    <cellStyle name="Percent 4 6 5 4 4" xfId="11763" xr:uid="{00000000-0005-0000-0000-0000032C0000}"/>
    <cellStyle name="Percent 4 6 5 4 4 2" xfId="11764" xr:uid="{00000000-0005-0000-0000-0000042C0000}"/>
    <cellStyle name="Percent 4 6 5 4 5" xfId="11765" xr:uid="{00000000-0005-0000-0000-0000052C0000}"/>
    <cellStyle name="Percent 4 6 5 5" xfId="11766" xr:uid="{00000000-0005-0000-0000-0000062C0000}"/>
    <cellStyle name="Percent 4 6 5 5 2" xfId="11767" xr:uid="{00000000-0005-0000-0000-0000072C0000}"/>
    <cellStyle name="Percent 4 6 5 5 2 2" xfId="11768" xr:uid="{00000000-0005-0000-0000-0000082C0000}"/>
    <cellStyle name="Percent 4 6 5 5 3" xfId="11769" xr:uid="{00000000-0005-0000-0000-0000092C0000}"/>
    <cellStyle name="Percent 4 6 5 5 3 2" xfId="11770" xr:uid="{00000000-0005-0000-0000-00000A2C0000}"/>
    <cellStyle name="Percent 4 6 5 5 4" xfId="11771" xr:uid="{00000000-0005-0000-0000-00000B2C0000}"/>
    <cellStyle name="Percent 4 6 5 6" xfId="11772" xr:uid="{00000000-0005-0000-0000-00000C2C0000}"/>
    <cellStyle name="Percent 4 6 5 6 2" xfId="11773" xr:uid="{00000000-0005-0000-0000-00000D2C0000}"/>
    <cellStyle name="Percent 4 6 5 7" xfId="11774" xr:uid="{00000000-0005-0000-0000-00000E2C0000}"/>
    <cellStyle name="Percent 4 6 5 7 2" xfId="11775" xr:uid="{00000000-0005-0000-0000-00000F2C0000}"/>
    <cellStyle name="Percent 4 6 5 8" xfId="11776" xr:uid="{00000000-0005-0000-0000-0000102C0000}"/>
    <cellStyle name="Percent 4 6 5 8 2" xfId="11777" xr:uid="{00000000-0005-0000-0000-0000112C0000}"/>
    <cellStyle name="Percent 4 6 5 9" xfId="11778" xr:uid="{00000000-0005-0000-0000-0000122C0000}"/>
    <cellStyle name="Percent 4 6 6" xfId="4758" xr:uid="{00000000-0005-0000-0000-0000132C0000}"/>
    <cellStyle name="Percent 4 6 6 10" xfId="11780" xr:uid="{00000000-0005-0000-0000-0000142C0000}"/>
    <cellStyle name="Percent 4 6 6 11" xfId="11779" xr:uid="{00000000-0005-0000-0000-0000152C0000}"/>
    <cellStyle name="Percent 4 6 6 2" xfId="11781" xr:uid="{00000000-0005-0000-0000-0000162C0000}"/>
    <cellStyle name="Percent 4 6 6 2 2" xfId="11782" xr:uid="{00000000-0005-0000-0000-0000172C0000}"/>
    <cellStyle name="Percent 4 6 6 2 2 2" xfId="11783" xr:uid="{00000000-0005-0000-0000-0000182C0000}"/>
    <cellStyle name="Percent 4 6 6 2 3" xfId="11784" xr:uid="{00000000-0005-0000-0000-0000192C0000}"/>
    <cellStyle name="Percent 4 6 6 2 3 2" xfId="11785" xr:uid="{00000000-0005-0000-0000-00001A2C0000}"/>
    <cellStyle name="Percent 4 6 6 2 4" xfId="11786" xr:uid="{00000000-0005-0000-0000-00001B2C0000}"/>
    <cellStyle name="Percent 4 6 6 3" xfId="11787" xr:uid="{00000000-0005-0000-0000-00001C2C0000}"/>
    <cellStyle name="Percent 4 6 6 3 2" xfId="11788" xr:uid="{00000000-0005-0000-0000-00001D2C0000}"/>
    <cellStyle name="Percent 4 6 6 3 2 2" xfId="11789" xr:uid="{00000000-0005-0000-0000-00001E2C0000}"/>
    <cellStyle name="Percent 4 6 6 3 3" xfId="11790" xr:uid="{00000000-0005-0000-0000-00001F2C0000}"/>
    <cellStyle name="Percent 4 6 6 3 3 2" xfId="11791" xr:uid="{00000000-0005-0000-0000-0000202C0000}"/>
    <cellStyle name="Percent 4 6 6 3 4" xfId="11792" xr:uid="{00000000-0005-0000-0000-0000212C0000}"/>
    <cellStyle name="Percent 4 6 6 4" xfId="11793" xr:uid="{00000000-0005-0000-0000-0000222C0000}"/>
    <cellStyle name="Percent 4 6 6 4 2" xfId="11794" xr:uid="{00000000-0005-0000-0000-0000232C0000}"/>
    <cellStyle name="Percent 4 6 6 4 2 2" xfId="11795" xr:uid="{00000000-0005-0000-0000-0000242C0000}"/>
    <cellStyle name="Percent 4 6 6 4 3" xfId="11796" xr:uid="{00000000-0005-0000-0000-0000252C0000}"/>
    <cellStyle name="Percent 4 6 6 4 3 2" xfId="11797" xr:uid="{00000000-0005-0000-0000-0000262C0000}"/>
    <cellStyle name="Percent 4 6 6 4 4" xfId="11798" xr:uid="{00000000-0005-0000-0000-0000272C0000}"/>
    <cellStyle name="Percent 4 6 6 4 4 2" xfId="11799" xr:uid="{00000000-0005-0000-0000-0000282C0000}"/>
    <cellStyle name="Percent 4 6 6 4 5" xfId="11800" xr:uid="{00000000-0005-0000-0000-0000292C0000}"/>
    <cellStyle name="Percent 4 6 6 5" xfId="11801" xr:uid="{00000000-0005-0000-0000-00002A2C0000}"/>
    <cellStyle name="Percent 4 6 6 5 2" xfId="11802" xr:uid="{00000000-0005-0000-0000-00002B2C0000}"/>
    <cellStyle name="Percent 4 6 6 5 2 2" xfId="11803" xr:uid="{00000000-0005-0000-0000-00002C2C0000}"/>
    <cellStyle name="Percent 4 6 6 5 3" xfId="11804" xr:uid="{00000000-0005-0000-0000-00002D2C0000}"/>
    <cellStyle name="Percent 4 6 6 5 3 2" xfId="11805" xr:uid="{00000000-0005-0000-0000-00002E2C0000}"/>
    <cellStyle name="Percent 4 6 6 5 4" xfId="11806" xr:uid="{00000000-0005-0000-0000-00002F2C0000}"/>
    <cellStyle name="Percent 4 6 6 6" xfId="11807" xr:uid="{00000000-0005-0000-0000-0000302C0000}"/>
    <cellStyle name="Percent 4 6 6 6 2" xfId="11808" xr:uid="{00000000-0005-0000-0000-0000312C0000}"/>
    <cellStyle name="Percent 4 6 6 7" xfId="11809" xr:uid="{00000000-0005-0000-0000-0000322C0000}"/>
    <cellStyle name="Percent 4 6 6 7 2" xfId="11810" xr:uid="{00000000-0005-0000-0000-0000332C0000}"/>
    <cellStyle name="Percent 4 6 6 8" xfId="11811" xr:uid="{00000000-0005-0000-0000-0000342C0000}"/>
    <cellStyle name="Percent 4 6 6 8 2" xfId="11812" xr:uid="{00000000-0005-0000-0000-0000352C0000}"/>
    <cellStyle name="Percent 4 6 6 9" xfId="11813" xr:uid="{00000000-0005-0000-0000-0000362C0000}"/>
    <cellStyle name="Percent 4 6 7" xfId="4759" xr:uid="{00000000-0005-0000-0000-0000372C0000}"/>
    <cellStyle name="Percent 4 6 7 10" xfId="11815" xr:uid="{00000000-0005-0000-0000-0000382C0000}"/>
    <cellStyle name="Percent 4 6 7 11" xfId="11814" xr:uid="{00000000-0005-0000-0000-0000392C0000}"/>
    <cellStyle name="Percent 4 6 7 2" xfId="11816" xr:uid="{00000000-0005-0000-0000-00003A2C0000}"/>
    <cellStyle name="Percent 4 6 7 2 2" xfId="11817" xr:uid="{00000000-0005-0000-0000-00003B2C0000}"/>
    <cellStyle name="Percent 4 6 7 2 2 2" xfId="11818" xr:uid="{00000000-0005-0000-0000-00003C2C0000}"/>
    <cellStyle name="Percent 4 6 7 2 3" xfId="11819" xr:uid="{00000000-0005-0000-0000-00003D2C0000}"/>
    <cellStyle name="Percent 4 6 7 2 3 2" xfId="11820" xr:uid="{00000000-0005-0000-0000-00003E2C0000}"/>
    <cellStyle name="Percent 4 6 7 2 4" xfId="11821" xr:uid="{00000000-0005-0000-0000-00003F2C0000}"/>
    <cellStyle name="Percent 4 6 7 3" xfId="11822" xr:uid="{00000000-0005-0000-0000-0000402C0000}"/>
    <cellStyle name="Percent 4 6 7 3 2" xfId="11823" xr:uid="{00000000-0005-0000-0000-0000412C0000}"/>
    <cellStyle name="Percent 4 6 7 3 2 2" xfId="11824" xr:uid="{00000000-0005-0000-0000-0000422C0000}"/>
    <cellStyle name="Percent 4 6 7 3 3" xfId="11825" xr:uid="{00000000-0005-0000-0000-0000432C0000}"/>
    <cellStyle name="Percent 4 6 7 3 3 2" xfId="11826" xr:uid="{00000000-0005-0000-0000-0000442C0000}"/>
    <cellStyle name="Percent 4 6 7 3 4" xfId="11827" xr:uid="{00000000-0005-0000-0000-0000452C0000}"/>
    <cellStyle name="Percent 4 6 7 4" xfId="11828" xr:uid="{00000000-0005-0000-0000-0000462C0000}"/>
    <cellStyle name="Percent 4 6 7 4 2" xfId="11829" xr:uid="{00000000-0005-0000-0000-0000472C0000}"/>
    <cellStyle name="Percent 4 6 7 4 2 2" xfId="11830" xr:uid="{00000000-0005-0000-0000-0000482C0000}"/>
    <cellStyle name="Percent 4 6 7 4 3" xfId="11831" xr:uid="{00000000-0005-0000-0000-0000492C0000}"/>
    <cellStyle name="Percent 4 6 7 4 3 2" xfId="11832" xr:uid="{00000000-0005-0000-0000-00004A2C0000}"/>
    <cellStyle name="Percent 4 6 7 4 4" xfId="11833" xr:uid="{00000000-0005-0000-0000-00004B2C0000}"/>
    <cellStyle name="Percent 4 6 7 4 4 2" xfId="11834" xr:uid="{00000000-0005-0000-0000-00004C2C0000}"/>
    <cellStyle name="Percent 4 6 7 4 5" xfId="11835" xr:uid="{00000000-0005-0000-0000-00004D2C0000}"/>
    <cellStyle name="Percent 4 6 7 5" xfId="11836" xr:uid="{00000000-0005-0000-0000-00004E2C0000}"/>
    <cellStyle name="Percent 4 6 7 5 2" xfId="11837" xr:uid="{00000000-0005-0000-0000-00004F2C0000}"/>
    <cellStyle name="Percent 4 6 7 5 2 2" xfId="11838" xr:uid="{00000000-0005-0000-0000-0000502C0000}"/>
    <cellStyle name="Percent 4 6 7 5 3" xfId="11839" xr:uid="{00000000-0005-0000-0000-0000512C0000}"/>
    <cellStyle name="Percent 4 6 7 5 3 2" xfId="11840" xr:uid="{00000000-0005-0000-0000-0000522C0000}"/>
    <cellStyle name="Percent 4 6 7 5 4" xfId="11841" xr:uid="{00000000-0005-0000-0000-0000532C0000}"/>
    <cellStyle name="Percent 4 6 7 6" xfId="11842" xr:uid="{00000000-0005-0000-0000-0000542C0000}"/>
    <cellStyle name="Percent 4 6 7 6 2" xfId="11843" xr:uid="{00000000-0005-0000-0000-0000552C0000}"/>
    <cellStyle name="Percent 4 6 7 7" xfId="11844" xr:uid="{00000000-0005-0000-0000-0000562C0000}"/>
    <cellStyle name="Percent 4 6 7 7 2" xfId="11845" xr:uid="{00000000-0005-0000-0000-0000572C0000}"/>
    <cellStyle name="Percent 4 6 7 8" xfId="11846" xr:uid="{00000000-0005-0000-0000-0000582C0000}"/>
    <cellStyle name="Percent 4 6 7 8 2" xfId="11847" xr:uid="{00000000-0005-0000-0000-0000592C0000}"/>
    <cellStyle name="Percent 4 6 7 9" xfId="11848" xr:uid="{00000000-0005-0000-0000-00005A2C0000}"/>
    <cellStyle name="Percent 4 6 8" xfId="4760" xr:uid="{00000000-0005-0000-0000-00005B2C0000}"/>
    <cellStyle name="Percent 4 6 8 10" xfId="11850" xr:uid="{00000000-0005-0000-0000-00005C2C0000}"/>
    <cellStyle name="Percent 4 6 8 11" xfId="11849" xr:uid="{00000000-0005-0000-0000-00005D2C0000}"/>
    <cellStyle name="Percent 4 6 8 2" xfId="11851" xr:uid="{00000000-0005-0000-0000-00005E2C0000}"/>
    <cellStyle name="Percent 4 6 8 2 2" xfId="11852" xr:uid="{00000000-0005-0000-0000-00005F2C0000}"/>
    <cellStyle name="Percent 4 6 8 2 2 2" xfId="11853" xr:uid="{00000000-0005-0000-0000-0000602C0000}"/>
    <cellStyle name="Percent 4 6 8 2 3" xfId="11854" xr:uid="{00000000-0005-0000-0000-0000612C0000}"/>
    <cellStyle name="Percent 4 6 8 2 3 2" xfId="11855" xr:uid="{00000000-0005-0000-0000-0000622C0000}"/>
    <cellStyle name="Percent 4 6 8 2 4" xfId="11856" xr:uid="{00000000-0005-0000-0000-0000632C0000}"/>
    <cellStyle name="Percent 4 6 8 3" xfId="11857" xr:uid="{00000000-0005-0000-0000-0000642C0000}"/>
    <cellStyle name="Percent 4 6 8 3 2" xfId="11858" xr:uid="{00000000-0005-0000-0000-0000652C0000}"/>
    <cellStyle name="Percent 4 6 8 3 2 2" xfId="11859" xr:uid="{00000000-0005-0000-0000-0000662C0000}"/>
    <cellStyle name="Percent 4 6 8 3 3" xfId="11860" xr:uid="{00000000-0005-0000-0000-0000672C0000}"/>
    <cellStyle name="Percent 4 6 8 3 3 2" xfId="11861" xr:uid="{00000000-0005-0000-0000-0000682C0000}"/>
    <cellStyle name="Percent 4 6 8 3 4" xfId="11862" xr:uid="{00000000-0005-0000-0000-0000692C0000}"/>
    <cellStyle name="Percent 4 6 8 4" xfId="11863" xr:uid="{00000000-0005-0000-0000-00006A2C0000}"/>
    <cellStyle name="Percent 4 6 8 4 2" xfId="11864" xr:uid="{00000000-0005-0000-0000-00006B2C0000}"/>
    <cellStyle name="Percent 4 6 8 4 2 2" xfId="11865" xr:uid="{00000000-0005-0000-0000-00006C2C0000}"/>
    <cellStyle name="Percent 4 6 8 4 3" xfId="11866" xr:uid="{00000000-0005-0000-0000-00006D2C0000}"/>
    <cellStyle name="Percent 4 6 8 4 3 2" xfId="11867" xr:uid="{00000000-0005-0000-0000-00006E2C0000}"/>
    <cellStyle name="Percent 4 6 8 4 4" xfId="11868" xr:uid="{00000000-0005-0000-0000-00006F2C0000}"/>
    <cellStyle name="Percent 4 6 8 4 4 2" xfId="11869" xr:uid="{00000000-0005-0000-0000-0000702C0000}"/>
    <cellStyle name="Percent 4 6 8 4 5" xfId="11870" xr:uid="{00000000-0005-0000-0000-0000712C0000}"/>
    <cellStyle name="Percent 4 6 8 5" xfId="11871" xr:uid="{00000000-0005-0000-0000-0000722C0000}"/>
    <cellStyle name="Percent 4 6 8 5 2" xfId="11872" xr:uid="{00000000-0005-0000-0000-0000732C0000}"/>
    <cellStyle name="Percent 4 6 8 5 2 2" xfId="11873" xr:uid="{00000000-0005-0000-0000-0000742C0000}"/>
    <cellStyle name="Percent 4 6 8 5 3" xfId="11874" xr:uid="{00000000-0005-0000-0000-0000752C0000}"/>
    <cellStyle name="Percent 4 6 8 5 3 2" xfId="11875" xr:uid="{00000000-0005-0000-0000-0000762C0000}"/>
    <cellStyle name="Percent 4 6 8 5 4" xfId="11876" xr:uid="{00000000-0005-0000-0000-0000772C0000}"/>
    <cellStyle name="Percent 4 6 8 6" xfId="11877" xr:uid="{00000000-0005-0000-0000-0000782C0000}"/>
    <cellStyle name="Percent 4 6 8 6 2" xfId="11878" xr:uid="{00000000-0005-0000-0000-0000792C0000}"/>
    <cellStyle name="Percent 4 6 8 7" xfId="11879" xr:uid="{00000000-0005-0000-0000-00007A2C0000}"/>
    <cellStyle name="Percent 4 6 8 7 2" xfId="11880" xr:uid="{00000000-0005-0000-0000-00007B2C0000}"/>
    <cellStyle name="Percent 4 6 8 8" xfId="11881" xr:uid="{00000000-0005-0000-0000-00007C2C0000}"/>
    <cellStyle name="Percent 4 6 8 8 2" xfId="11882" xr:uid="{00000000-0005-0000-0000-00007D2C0000}"/>
    <cellStyle name="Percent 4 6 8 9" xfId="11883" xr:uid="{00000000-0005-0000-0000-00007E2C0000}"/>
    <cellStyle name="Percent 4 6 9" xfId="11884" xr:uid="{00000000-0005-0000-0000-00007F2C0000}"/>
    <cellStyle name="Percent 4 6 9 2" xfId="11885" xr:uid="{00000000-0005-0000-0000-0000802C0000}"/>
    <cellStyle name="Percent 4 6 9 2 2" xfId="11886" xr:uid="{00000000-0005-0000-0000-0000812C0000}"/>
    <cellStyle name="Percent 4 6 9 3" xfId="11887" xr:uid="{00000000-0005-0000-0000-0000822C0000}"/>
    <cellStyle name="Percent 4 6 9 3 2" xfId="11888" xr:uid="{00000000-0005-0000-0000-0000832C0000}"/>
    <cellStyle name="Percent 4 6 9 4" xfId="11889" xr:uid="{00000000-0005-0000-0000-0000842C0000}"/>
    <cellStyle name="Percent 4 6 9 5" xfId="11890" xr:uid="{00000000-0005-0000-0000-0000852C0000}"/>
    <cellStyle name="Percent 4 7" xfId="2998" xr:uid="{00000000-0005-0000-0000-0000862C0000}"/>
    <cellStyle name="Percent 4 7 10" xfId="11892" xr:uid="{00000000-0005-0000-0000-0000872C0000}"/>
    <cellStyle name="Percent 4 7 11" xfId="11893" xr:uid="{00000000-0005-0000-0000-0000882C0000}"/>
    <cellStyle name="Percent 4 7 12" xfId="11891" xr:uid="{00000000-0005-0000-0000-0000892C0000}"/>
    <cellStyle name="Percent 4 7 2" xfId="11894" xr:uid="{00000000-0005-0000-0000-00008A2C0000}"/>
    <cellStyle name="Percent 4 7 2 2" xfId="11895" xr:uid="{00000000-0005-0000-0000-00008B2C0000}"/>
    <cellStyle name="Percent 4 7 2 2 2" xfId="11896" xr:uid="{00000000-0005-0000-0000-00008C2C0000}"/>
    <cellStyle name="Percent 4 7 2 3" xfId="11897" xr:uid="{00000000-0005-0000-0000-00008D2C0000}"/>
    <cellStyle name="Percent 4 7 2 3 2" xfId="11898" xr:uid="{00000000-0005-0000-0000-00008E2C0000}"/>
    <cellStyle name="Percent 4 7 2 4" xfId="11899" xr:uid="{00000000-0005-0000-0000-00008F2C0000}"/>
    <cellStyle name="Percent 4 7 2 5" xfId="11900" xr:uid="{00000000-0005-0000-0000-0000902C0000}"/>
    <cellStyle name="Percent 4 7 3" xfId="11901" xr:uid="{00000000-0005-0000-0000-0000912C0000}"/>
    <cellStyle name="Percent 4 7 3 2" xfId="11902" xr:uid="{00000000-0005-0000-0000-0000922C0000}"/>
    <cellStyle name="Percent 4 7 3 2 2" xfId="11903" xr:uid="{00000000-0005-0000-0000-0000932C0000}"/>
    <cellStyle name="Percent 4 7 3 3" xfId="11904" xr:uid="{00000000-0005-0000-0000-0000942C0000}"/>
    <cellStyle name="Percent 4 7 3 3 2" xfId="11905" xr:uid="{00000000-0005-0000-0000-0000952C0000}"/>
    <cellStyle name="Percent 4 7 3 4" xfId="11906" xr:uid="{00000000-0005-0000-0000-0000962C0000}"/>
    <cellStyle name="Percent 4 7 4" xfId="11907" xr:uid="{00000000-0005-0000-0000-0000972C0000}"/>
    <cellStyle name="Percent 4 7 4 2" xfId="11908" xr:uid="{00000000-0005-0000-0000-0000982C0000}"/>
    <cellStyle name="Percent 4 7 4 2 2" xfId="11909" xr:uid="{00000000-0005-0000-0000-0000992C0000}"/>
    <cellStyle name="Percent 4 7 4 3" xfId="11910" xr:uid="{00000000-0005-0000-0000-00009A2C0000}"/>
    <cellStyle name="Percent 4 7 4 3 2" xfId="11911" xr:uid="{00000000-0005-0000-0000-00009B2C0000}"/>
    <cellStyle name="Percent 4 7 4 4" xfId="11912" xr:uid="{00000000-0005-0000-0000-00009C2C0000}"/>
    <cellStyle name="Percent 4 7 5" xfId="11913" xr:uid="{00000000-0005-0000-0000-00009D2C0000}"/>
    <cellStyle name="Percent 4 7 5 2" xfId="11914" xr:uid="{00000000-0005-0000-0000-00009E2C0000}"/>
    <cellStyle name="Percent 4 7 5 2 2" xfId="11915" xr:uid="{00000000-0005-0000-0000-00009F2C0000}"/>
    <cellStyle name="Percent 4 7 5 3" xfId="11916" xr:uid="{00000000-0005-0000-0000-0000A02C0000}"/>
    <cellStyle name="Percent 4 7 5 3 2" xfId="11917" xr:uid="{00000000-0005-0000-0000-0000A12C0000}"/>
    <cellStyle name="Percent 4 7 5 4" xfId="11918" xr:uid="{00000000-0005-0000-0000-0000A22C0000}"/>
    <cellStyle name="Percent 4 7 5 4 2" xfId="11919" xr:uid="{00000000-0005-0000-0000-0000A32C0000}"/>
    <cellStyle name="Percent 4 7 5 5" xfId="11920" xr:uid="{00000000-0005-0000-0000-0000A42C0000}"/>
    <cellStyle name="Percent 4 7 6" xfId="11921" xr:uid="{00000000-0005-0000-0000-0000A52C0000}"/>
    <cellStyle name="Percent 4 7 6 2" xfId="11922" xr:uid="{00000000-0005-0000-0000-0000A62C0000}"/>
    <cellStyle name="Percent 4 7 6 2 2" xfId="11923" xr:uid="{00000000-0005-0000-0000-0000A72C0000}"/>
    <cellStyle name="Percent 4 7 6 3" xfId="11924" xr:uid="{00000000-0005-0000-0000-0000A82C0000}"/>
    <cellStyle name="Percent 4 7 6 3 2" xfId="11925" xr:uid="{00000000-0005-0000-0000-0000A92C0000}"/>
    <cellStyle name="Percent 4 7 6 4" xfId="11926" xr:uid="{00000000-0005-0000-0000-0000AA2C0000}"/>
    <cellStyle name="Percent 4 7 7" xfId="11927" xr:uid="{00000000-0005-0000-0000-0000AB2C0000}"/>
    <cellStyle name="Percent 4 7 7 2" xfId="11928" xr:uid="{00000000-0005-0000-0000-0000AC2C0000}"/>
    <cellStyle name="Percent 4 7 8" xfId="11929" xr:uid="{00000000-0005-0000-0000-0000AD2C0000}"/>
    <cellStyle name="Percent 4 7 8 2" xfId="11930" xr:uid="{00000000-0005-0000-0000-0000AE2C0000}"/>
    <cellStyle name="Percent 4 7 9" xfId="11931" xr:uid="{00000000-0005-0000-0000-0000AF2C0000}"/>
    <cellStyle name="Percent 4 7 9 2" xfId="11932" xr:uid="{00000000-0005-0000-0000-0000B02C0000}"/>
    <cellStyle name="Percent 4 8" xfId="2999" xr:uid="{00000000-0005-0000-0000-0000B12C0000}"/>
    <cellStyle name="Percent 4 8 10" xfId="11934" xr:uid="{00000000-0005-0000-0000-0000B22C0000}"/>
    <cellStyle name="Percent 4 8 11" xfId="11935" xr:uid="{00000000-0005-0000-0000-0000B32C0000}"/>
    <cellStyle name="Percent 4 8 12" xfId="11933" xr:uid="{00000000-0005-0000-0000-0000B42C0000}"/>
    <cellStyle name="Percent 4 8 2" xfId="11936" xr:uid="{00000000-0005-0000-0000-0000B52C0000}"/>
    <cellStyle name="Percent 4 8 2 2" xfId="11937" xr:uid="{00000000-0005-0000-0000-0000B62C0000}"/>
    <cellStyle name="Percent 4 8 2 2 2" xfId="11938" xr:uid="{00000000-0005-0000-0000-0000B72C0000}"/>
    <cellStyle name="Percent 4 8 2 3" xfId="11939" xr:uid="{00000000-0005-0000-0000-0000B82C0000}"/>
    <cellStyle name="Percent 4 8 2 3 2" xfId="11940" xr:uid="{00000000-0005-0000-0000-0000B92C0000}"/>
    <cellStyle name="Percent 4 8 2 4" xfId="11941" xr:uid="{00000000-0005-0000-0000-0000BA2C0000}"/>
    <cellStyle name="Percent 4 8 2 5" xfId="11942" xr:uid="{00000000-0005-0000-0000-0000BB2C0000}"/>
    <cellStyle name="Percent 4 8 3" xfId="11943" xr:uid="{00000000-0005-0000-0000-0000BC2C0000}"/>
    <cellStyle name="Percent 4 8 3 2" xfId="11944" xr:uid="{00000000-0005-0000-0000-0000BD2C0000}"/>
    <cellStyle name="Percent 4 8 3 2 2" xfId="11945" xr:uid="{00000000-0005-0000-0000-0000BE2C0000}"/>
    <cellStyle name="Percent 4 8 3 3" xfId="11946" xr:uid="{00000000-0005-0000-0000-0000BF2C0000}"/>
    <cellStyle name="Percent 4 8 3 3 2" xfId="11947" xr:uid="{00000000-0005-0000-0000-0000C02C0000}"/>
    <cellStyle name="Percent 4 8 3 4" xfId="11948" xr:uid="{00000000-0005-0000-0000-0000C12C0000}"/>
    <cellStyle name="Percent 4 8 4" xfId="11949" xr:uid="{00000000-0005-0000-0000-0000C22C0000}"/>
    <cellStyle name="Percent 4 8 4 2" xfId="11950" xr:uid="{00000000-0005-0000-0000-0000C32C0000}"/>
    <cellStyle name="Percent 4 8 4 2 2" xfId="11951" xr:uid="{00000000-0005-0000-0000-0000C42C0000}"/>
    <cellStyle name="Percent 4 8 4 3" xfId="11952" xr:uid="{00000000-0005-0000-0000-0000C52C0000}"/>
    <cellStyle name="Percent 4 8 4 3 2" xfId="11953" xr:uid="{00000000-0005-0000-0000-0000C62C0000}"/>
    <cellStyle name="Percent 4 8 4 4" xfId="11954" xr:uid="{00000000-0005-0000-0000-0000C72C0000}"/>
    <cellStyle name="Percent 4 8 5" xfId="11955" xr:uid="{00000000-0005-0000-0000-0000C82C0000}"/>
    <cellStyle name="Percent 4 8 5 2" xfId="11956" xr:uid="{00000000-0005-0000-0000-0000C92C0000}"/>
    <cellStyle name="Percent 4 8 5 2 2" xfId="11957" xr:uid="{00000000-0005-0000-0000-0000CA2C0000}"/>
    <cellStyle name="Percent 4 8 5 3" xfId="11958" xr:uid="{00000000-0005-0000-0000-0000CB2C0000}"/>
    <cellStyle name="Percent 4 8 5 3 2" xfId="11959" xr:uid="{00000000-0005-0000-0000-0000CC2C0000}"/>
    <cellStyle name="Percent 4 8 5 4" xfId="11960" xr:uid="{00000000-0005-0000-0000-0000CD2C0000}"/>
    <cellStyle name="Percent 4 8 5 4 2" xfId="11961" xr:uid="{00000000-0005-0000-0000-0000CE2C0000}"/>
    <cellStyle name="Percent 4 8 5 5" xfId="11962" xr:uid="{00000000-0005-0000-0000-0000CF2C0000}"/>
    <cellStyle name="Percent 4 8 6" xfId="11963" xr:uid="{00000000-0005-0000-0000-0000D02C0000}"/>
    <cellStyle name="Percent 4 8 6 2" xfId="11964" xr:uid="{00000000-0005-0000-0000-0000D12C0000}"/>
    <cellStyle name="Percent 4 8 6 2 2" xfId="11965" xr:uid="{00000000-0005-0000-0000-0000D22C0000}"/>
    <cellStyle name="Percent 4 8 6 3" xfId="11966" xr:uid="{00000000-0005-0000-0000-0000D32C0000}"/>
    <cellStyle name="Percent 4 8 6 3 2" xfId="11967" xr:uid="{00000000-0005-0000-0000-0000D42C0000}"/>
    <cellStyle name="Percent 4 8 6 4" xfId="11968" xr:uid="{00000000-0005-0000-0000-0000D52C0000}"/>
    <cellStyle name="Percent 4 8 7" xfId="11969" xr:uid="{00000000-0005-0000-0000-0000D62C0000}"/>
    <cellStyle name="Percent 4 8 7 2" xfId="11970" xr:uid="{00000000-0005-0000-0000-0000D72C0000}"/>
    <cellStyle name="Percent 4 8 8" xfId="11971" xr:uid="{00000000-0005-0000-0000-0000D82C0000}"/>
    <cellStyle name="Percent 4 8 8 2" xfId="11972" xr:uid="{00000000-0005-0000-0000-0000D92C0000}"/>
    <cellStyle name="Percent 4 8 9" xfId="11973" xr:uid="{00000000-0005-0000-0000-0000DA2C0000}"/>
    <cellStyle name="Percent 4 8 9 2" xfId="11974" xr:uid="{00000000-0005-0000-0000-0000DB2C0000}"/>
    <cellStyle name="Percent 4 9" xfId="3000" xr:uid="{00000000-0005-0000-0000-0000DC2C0000}"/>
    <cellStyle name="Percent 4 9 10" xfId="11976" xr:uid="{00000000-0005-0000-0000-0000DD2C0000}"/>
    <cellStyle name="Percent 4 9 11" xfId="11977" xr:uid="{00000000-0005-0000-0000-0000DE2C0000}"/>
    <cellStyle name="Percent 4 9 12" xfId="11975" xr:uid="{00000000-0005-0000-0000-0000DF2C0000}"/>
    <cellStyle name="Percent 4 9 2" xfId="11978" xr:uid="{00000000-0005-0000-0000-0000E02C0000}"/>
    <cellStyle name="Percent 4 9 2 2" xfId="11979" xr:uid="{00000000-0005-0000-0000-0000E12C0000}"/>
    <cellStyle name="Percent 4 9 2 2 2" xfId="11980" xr:uid="{00000000-0005-0000-0000-0000E22C0000}"/>
    <cellStyle name="Percent 4 9 2 3" xfId="11981" xr:uid="{00000000-0005-0000-0000-0000E32C0000}"/>
    <cellStyle name="Percent 4 9 2 3 2" xfId="11982" xr:uid="{00000000-0005-0000-0000-0000E42C0000}"/>
    <cellStyle name="Percent 4 9 2 4" xfId="11983" xr:uid="{00000000-0005-0000-0000-0000E52C0000}"/>
    <cellStyle name="Percent 4 9 2 5" xfId="11984" xr:uid="{00000000-0005-0000-0000-0000E62C0000}"/>
    <cellStyle name="Percent 4 9 3" xfId="11985" xr:uid="{00000000-0005-0000-0000-0000E72C0000}"/>
    <cellStyle name="Percent 4 9 3 2" xfId="11986" xr:uid="{00000000-0005-0000-0000-0000E82C0000}"/>
    <cellStyle name="Percent 4 9 3 2 2" xfId="11987" xr:uid="{00000000-0005-0000-0000-0000E92C0000}"/>
    <cellStyle name="Percent 4 9 3 3" xfId="11988" xr:uid="{00000000-0005-0000-0000-0000EA2C0000}"/>
    <cellStyle name="Percent 4 9 3 3 2" xfId="11989" xr:uid="{00000000-0005-0000-0000-0000EB2C0000}"/>
    <cellStyle name="Percent 4 9 3 4" xfId="11990" xr:uid="{00000000-0005-0000-0000-0000EC2C0000}"/>
    <cellStyle name="Percent 4 9 4" xfId="11991" xr:uid="{00000000-0005-0000-0000-0000ED2C0000}"/>
    <cellStyle name="Percent 4 9 4 2" xfId="11992" xr:uid="{00000000-0005-0000-0000-0000EE2C0000}"/>
    <cellStyle name="Percent 4 9 4 2 2" xfId="11993" xr:uid="{00000000-0005-0000-0000-0000EF2C0000}"/>
    <cellStyle name="Percent 4 9 4 3" xfId="11994" xr:uid="{00000000-0005-0000-0000-0000F02C0000}"/>
    <cellStyle name="Percent 4 9 4 3 2" xfId="11995" xr:uid="{00000000-0005-0000-0000-0000F12C0000}"/>
    <cellStyle name="Percent 4 9 4 4" xfId="11996" xr:uid="{00000000-0005-0000-0000-0000F22C0000}"/>
    <cellStyle name="Percent 4 9 5" xfId="11997" xr:uid="{00000000-0005-0000-0000-0000F32C0000}"/>
    <cellStyle name="Percent 4 9 5 2" xfId="11998" xr:uid="{00000000-0005-0000-0000-0000F42C0000}"/>
    <cellStyle name="Percent 4 9 5 2 2" xfId="11999" xr:uid="{00000000-0005-0000-0000-0000F52C0000}"/>
    <cellStyle name="Percent 4 9 5 3" xfId="12000" xr:uid="{00000000-0005-0000-0000-0000F62C0000}"/>
    <cellStyle name="Percent 4 9 5 3 2" xfId="12001" xr:uid="{00000000-0005-0000-0000-0000F72C0000}"/>
    <cellStyle name="Percent 4 9 5 4" xfId="12002" xr:uid="{00000000-0005-0000-0000-0000F82C0000}"/>
    <cellStyle name="Percent 4 9 5 4 2" xfId="12003" xr:uid="{00000000-0005-0000-0000-0000F92C0000}"/>
    <cellStyle name="Percent 4 9 5 5" xfId="12004" xr:uid="{00000000-0005-0000-0000-0000FA2C0000}"/>
    <cellStyle name="Percent 4 9 6" xfId="12005" xr:uid="{00000000-0005-0000-0000-0000FB2C0000}"/>
    <cellStyle name="Percent 4 9 6 2" xfId="12006" xr:uid="{00000000-0005-0000-0000-0000FC2C0000}"/>
    <cellStyle name="Percent 4 9 6 2 2" xfId="12007" xr:uid="{00000000-0005-0000-0000-0000FD2C0000}"/>
    <cellStyle name="Percent 4 9 6 3" xfId="12008" xr:uid="{00000000-0005-0000-0000-0000FE2C0000}"/>
    <cellStyle name="Percent 4 9 6 3 2" xfId="12009" xr:uid="{00000000-0005-0000-0000-0000FF2C0000}"/>
    <cellStyle name="Percent 4 9 6 4" xfId="12010" xr:uid="{00000000-0005-0000-0000-0000002D0000}"/>
    <cellStyle name="Percent 4 9 7" xfId="12011" xr:uid="{00000000-0005-0000-0000-0000012D0000}"/>
    <cellStyle name="Percent 4 9 7 2" xfId="12012" xr:uid="{00000000-0005-0000-0000-0000022D0000}"/>
    <cellStyle name="Percent 4 9 8" xfId="12013" xr:uid="{00000000-0005-0000-0000-0000032D0000}"/>
    <cellStyle name="Percent 4 9 8 2" xfId="12014" xr:uid="{00000000-0005-0000-0000-0000042D0000}"/>
    <cellStyle name="Percent 4 9 9" xfId="12015" xr:uid="{00000000-0005-0000-0000-0000052D0000}"/>
    <cellStyle name="Percent 4 9 9 2" xfId="12016" xr:uid="{00000000-0005-0000-0000-0000062D0000}"/>
    <cellStyle name="Percent 5" xfId="292" xr:uid="{00000000-0005-0000-0000-0000072D0000}"/>
    <cellStyle name="Percent 5 10" xfId="4761" xr:uid="{00000000-0005-0000-0000-0000082D0000}"/>
    <cellStyle name="Percent 5 10 2" xfId="12019" xr:uid="{00000000-0005-0000-0000-0000092D0000}"/>
    <cellStyle name="Percent 5 10 2 2" xfId="12020" xr:uid="{00000000-0005-0000-0000-00000A2D0000}"/>
    <cellStyle name="Percent 5 10 3" xfId="12021" xr:uid="{00000000-0005-0000-0000-00000B2D0000}"/>
    <cellStyle name="Percent 5 10 3 2" xfId="12022" xr:uid="{00000000-0005-0000-0000-00000C2D0000}"/>
    <cellStyle name="Percent 5 10 4" xfId="12023" xr:uid="{00000000-0005-0000-0000-00000D2D0000}"/>
    <cellStyle name="Percent 5 10 5" xfId="12024" xr:uid="{00000000-0005-0000-0000-00000E2D0000}"/>
    <cellStyle name="Percent 5 10 6" xfId="12018" xr:uid="{00000000-0005-0000-0000-00000F2D0000}"/>
    <cellStyle name="Percent 5 11" xfId="4762" xr:uid="{00000000-0005-0000-0000-0000102D0000}"/>
    <cellStyle name="Percent 5 11 2" xfId="12026" xr:uid="{00000000-0005-0000-0000-0000112D0000}"/>
    <cellStyle name="Percent 5 11 2 2" xfId="12027" xr:uid="{00000000-0005-0000-0000-0000122D0000}"/>
    <cellStyle name="Percent 5 11 3" xfId="12028" xr:uid="{00000000-0005-0000-0000-0000132D0000}"/>
    <cellStyle name="Percent 5 11 3 2" xfId="12029" xr:uid="{00000000-0005-0000-0000-0000142D0000}"/>
    <cellStyle name="Percent 5 11 4" xfId="12030" xr:uid="{00000000-0005-0000-0000-0000152D0000}"/>
    <cellStyle name="Percent 5 11 5" xfId="12031" xr:uid="{00000000-0005-0000-0000-0000162D0000}"/>
    <cellStyle name="Percent 5 11 6" xfId="12025" xr:uid="{00000000-0005-0000-0000-0000172D0000}"/>
    <cellStyle name="Percent 5 12" xfId="12032" xr:uid="{00000000-0005-0000-0000-0000182D0000}"/>
    <cellStyle name="Percent 5 12 2" xfId="12033" xr:uid="{00000000-0005-0000-0000-0000192D0000}"/>
    <cellStyle name="Percent 5 12 2 2" xfId="12034" xr:uid="{00000000-0005-0000-0000-00001A2D0000}"/>
    <cellStyle name="Percent 5 12 3" xfId="12035" xr:uid="{00000000-0005-0000-0000-00001B2D0000}"/>
    <cellStyle name="Percent 5 12 3 2" xfId="12036" xr:uid="{00000000-0005-0000-0000-00001C2D0000}"/>
    <cellStyle name="Percent 5 12 4" xfId="12037" xr:uid="{00000000-0005-0000-0000-00001D2D0000}"/>
    <cellStyle name="Percent 5 13" xfId="12038" xr:uid="{00000000-0005-0000-0000-00001E2D0000}"/>
    <cellStyle name="Percent 5 13 2" xfId="12039" xr:uid="{00000000-0005-0000-0000-00001F2D0000}"/>
    <cellStyle name="Percent 5 13 2 2" xfId="12040" xr:uid="{00000000-0005-0000-0000-0000202D0000}"/>
    <cellStyle name="Percent 5 13 3" xfId="12041" xr:uid="{00000000-0005-0000-0000-0000212D0000}"/>
    <cellStyle name="Percent 5 13 3 2" xfId="12042" xr:uid="{00000000-0005-0000-0000-0000222D0000}"/>
    <cellStyle name="Percent 5 13 4" xfId="12043" xr:uid="{00000000-0005-0000-0000-0000232D0000}"/>
    <cellStyle name="Percent 5 13 4 2" xfId="12044" xr:uid="{00000000-0005-0000-0000-0000242D0000}"/>
    <cellStyle name="Percent 5 13 5" xfId="12045" xr:uid="{00000000-0005-0000-0000-0000252D0000}"/>
    <cellStyle name="Percent 5 14" xfId="12046" xr:uid="{00000000-0005-0000-0000-0000262D0000}"/>
    <cellStyle name="Percent 5 14 2" xfId="12047" xr:uid="{00000000-0005-0000-0000-0000272D0000}"/>
    <cellStyle name="Percent 5 14 2 2" xfId="12048" xr:uid="{00000000-0005-0000-0000-0000282D0000}"/>
    <cellStyle name="Percent 5 14 3" xfId="12049" xr:uid="{00000000-0005-0000-0000-0000292D0000}"/>
    <cellStyle name="Percent 5 14 3 2" xfId="12050" xr:uid="{00000000-0005-0000-0000-00002A2D0000}"/>
    <cellStyle name="Percent 5 14 4" xfId="12051" xr:uid="{00000000-0005-0000-0000-00002B2D0000}"/>
    <cellStyle name="Percent 5 15" xfId="12052" xr:uid="{00000000-0005-0000-0000-00002C2D0000}"/>
    <cellStyle name="Percent 5 15 2" xfId="12053" xr:uid="{00000000-0005-0000-0000-00002D2D0000}"/>
    <cellStyle name="Percent 5 16" xfId="12054" xr:uid="{00000000-0005-0000-0000-00002E2D0000}"/>
    <cellStyle name="Percent 5 16 2" xfId="12055" xr:uid="{00000000-0005-0000-0000-00002F2D0000}"/>
    <cellStyle name="Percent 5 17" xfId="12056" xr:uid="{00000000-0005-0000-0000-0000302D0000}"/>
    <cellStyle name="Percent 5 17 2" xfId="12057" xr:uid="{00000000-0005-0000-0000-0000312D0000}"/>
    <cellStyle name="Percent 5 18" xfId="12058" xr:uid="{00000000-0005-0000-0000-0000322D0000}"/>
    <cellStyle name="Percent 5 19" xfId="12059" xr:uid="{00000000-0005-0000-0000-0000332D0000}"/>
    <cellStyle name="Percent 5 2" xfId="293" xr:uid="{00000000-0005-0000-0000-0000342D0000}"/>
    <cellStyle name="Percent 5 2 10" xfId="12061" xr:uid="{00000000-0005-0000-0000-0000352D0000}"/>
    <cellStyle name="Percent 5 2 11" xfId="12060" xr:uid="{00000000-0005-0000-0000-0000362D0000}"/>
    <cellStyle name="Percent 5 2 2" xfId="12062" xr:uid="{00000000-0005-0000-0000-0000372D0000}"/>
    <cellStyle name="Percent 5 2 2 2" xfId="12063" xr:uid="{00000000-0005-0000-0000-0000382D0000}"/>
    <cellStyle name="Percent 5 2 2 2 2" xfId="12064" xr:uid="{00000000-0005-0000-0000-0000392D0000}"/>
    <cellStyle name="Percent 5 2 2 3" xfId="12065" xr:uid="{00000000-0005-0000-0000-00003A2D0000}"/>
    <cellStyle name="Percent 5 2 2 3 2" xfId="12066" xr:uid="{00000000-0005-0000-0000-00003B2D0000}"/>
    <cellStyle name="Percent 5 2 2 4" xfId="12067" xr:uid="{00000000-0005-0000-0000-00003C2D0000}"/>
    <cellStyle name="Percent 5 2 2 5" xfId="12068" xr:uid="{00000000-0005-0000-0000-00003D2D0000}"/>
    <cellStyle name="Percent 5 2 3" xfId="12069" xr:uid="{00000000-0005-0000-0000-00003E2D0000}"/>
    <cellStyle name="Percent 5 2 3 2" xfId="12070" xr:uid="{00000000-0005-0000-0000-00003F2D0000}"/>
    <cellStyle name="Percent 5 2 3 2 2" xfId="12071" xr:uid="{00000000-0005-0000-0000-0000402D0000}"/>
    <cellStyle name="Percent 5 2 3 3" xfId="12072" xr:uid="{00000000-0005-0000-0000-0000412D0000}"/>
    <cellStyle name="Percent 5 2 3 3 2" xfId="12073" xr:uid="{00000000-0005-0000-0000-0000422D0000}"/>
    <cellStyle name="Percent 5 2 3 4" xfId="12074" xr:uid="{00000000-0005-0000-0000-0000432D0000}"/>
    <cellStyle name="Percent 5 2 4" xfId="12075" xr:uid="{00000000-0005-0000-0000-0000442D0000}"/>
    <cellStyle name="Percent 5 2 4 2" xfId="12076" xr:uid="{00000000-0005-0000-0000-0000452D0000}"/>
    <cellStyle name="Percent 5 2 4 2 2" xfId="12077" xr:uid="{00000000-0005-0000-0000-0000462D0000}"/>
    <cellStyle name="Percent 5 2 4 3" xfId="12078" xr:uid="{00000000-0005-0000-0000-0000472D0000}"/>
    <cellStyle name="Percent 5 2 4 3 2" xfId="12079" xr:uid="{00000000-0005-0000-0000-0000482D0000}"/>
    <cellStyle name="Percent 5 2 4 4" xfId="12080" xr:uid="{00000000-0005-0000-0000-0000492D0000}"/>
    <cellStyle name="Percent 5 2 4 4 2" xfId="12081" xr:uid="{00000000-0005-0000-0000-00004A2D0000}"/>
    <cellStyle name="Percent 5 2 4 5" xfId="12082" xr:uid="{00000000-0005-0000-0000-00004B2D0000}"/>
    <cellStyle name="Percent 5 2 5" xfId="12083" xr:uid="{00000000-0005-0000-0000-00004C2D0000}"/>
    <cellStyle name="Percent 5 2 5 2" xfId="12084" xr:uid="{00000000-0005-0000-0000-00004D2D0000}"/>
    <cellStyle name="Percent 5 2 5 2 2" xfId="12085" xr:uid="{00000000-0005-0000-0000-00004E2D0000}"/>
    <cellStyle name="Percent 5 2 5 3" xfId="12086" xr:uid="{00000000-0005-0000-0000-00004F2D0000}"/>
    <cellStyle name="Percent 5 2 5 3 2" xfId="12087" xr:uid="{00000000-0005-0000-0000-0000502D0000}"/>
    <cellStyle name="Percent 5 2 5 4" xfId="12088" xr:uid="{00000000-0005-0000-0000-0000512D0000}"/>
    <cellStyle name="Percent 5 2 6" xfId="12089" xr:uid="{00000000-0005-0000-0000-0000522D0000}"/>
    <cellStyle name="Percent 5 2 6 2" xfId="12090" xr:uid="{00000000-0005-0000-0000-0000532D0000}"/>
    <cellStyle name="Percent 5 2 7" xfId="12091" xr:uid="{00000000-0005-0000-0000-0000542D0000}"/>
    <cellStyle name="Percent 5 2 7 2" xfId="12092" xr:uid="{00000000-0005-0000-0000-0000552D0000}"/>
    <cellStyle name="Percent 5 2 8" xfId="12093" xr:uid="{00000000-0005-0000-0000-0000562D0000}"/>
    <cellStyle name="Percent 5 2 8 2" xfId="12094" xr:uid="{00000000-0005-0000-0000-0000572D0000}"/>
    <cellStyle name="Percent 5 2 9" xfId="12095" xr:uid="{00000000-0005-0000-0000-0000582D0000}"/>
    <cellStyle name="Percent 5 20" xfId="12017" xr:uid="{00000000-0005-0000-0000-0000592D0000}"/>
    <cellStyle name="Percent 5 3" xfId="294" xr:uid="{00000000-0005-0000-0000-00005A2D0000}"/>
    <cellStyle name="Percent 5 3 10" xfId="12097" xr:uid="{00000000-0005-0000-0000-00005B2D0000}"/>
    <cellStyle name="Percent 5 3 11" xfId="12098" xr:uid="{00000000-0005-0000-0000-00005C2D0000}"/>
    <cellStyle name="Percent 5 3 12" xfId="12096" xr:uid="{00000000-0005-0000-0000-00005D2D0000}"/>
    <cellStyle name="Percent 5 3 2" xfId="3002" xr:uid="{00000000-0005-0000-0000-00005E2D0000}"/>
    <cellStyle name="Percent 5 3 2 10" xfId="12100" xr:uid="{00000000-0005-0000-0000-00005F2D0000}"/>
    <cellStyle name="Percent 5 3 2 11" xfId="12099" xr:uid="{00000000-0005-0000-0000-0000602D0000}"/>
    <cellStyle name="Percent 5 3 2 2" xfId="12101" xr:uid="{00000000-0005-0000-0000-0000612D0000}"/>
    <cellStyle name="Percent 5 3 2 2 2" xfId="12102" xr:uid="{00000000-0005-0000-0000-0000622D0000}"/>
    <cellStyle name="Percent 5 3 2 2 2 2" xfId="12103" xr:uid="{00000000-0005-0000-0000-0000632D0000}"/>
    <cellStyle name="Percent 5 3 2 2 3" xfId="12104" xr:uid="{00000000-0005-0000-0000-0000642D0000}"/>
    <cellStyle name="Percent 5 3 2 2 3 2" xfId="12105" xr:uid="{00000000-0005-0000-0000-0000652D0000}"/>
    <cellStyle name="Percent 5 3 2 2 4" xfId="12106" xr:uid="{00000000-0005-0000-0000-0000662D0000}"/>
    <cellStyle name="Percent 5 3 2 2 5" xfId="12107" xr:uid="{00000000-0005-0000-0000-0000672D0000}"/>
    <cellStyle name="Percent 5 3 2 3" xfId="12108" xr:uid="{00000000-0005-0000-0000-0000682D0000}"/>
    <cellStyle name="Percent 5 3 2 3 2" xfId="12109" xr:uid="{00000000-0005-0000-0000-0000692D0000}"/>
    <cellStyle name="Percent 5 3 2 3 2 2" xfId="12110" xr:uid="{00000000-0005-0000-0000-00006A2D0000}"/>
    <cellStyle name="Percent 5 3 2 3 3" xfId="12111" xr:uid="{00000000-0005-0000-0000-00006B2D0000}"/>
    <cellStyle name="Percent 5 3 2 3 3 2" xfId="12112" xr:uid="{00000000-0005-0000-0000-00006C2D0000}"/>
    <cellStyle name="Percent 5 3 2 3 4" xfId="12113" xr:uid="{00000000-0005-0000-0000-00006D2D0000}"/>
    <cellStyle name="Percent 5 3 2 4" xfId="12114" xr:uid="{00000000-0005-0000-0000-00006E2D0000}"/>
    <cellStyle name="Percent 5 3 2 4 2" xfId="12115" xr:uid="{00000000-0005-0000-0000-00006F2D0000}"/>
    <cellStyle name="Percent 5 3 2 4 2 2" xfId="12116" xr:uid="{00000000-0005-0000-0000-0000702D0000}"/>
    <cellStyle name="Percent 5 3 2 4 3" xfId="12117" xr:uid="{00000000-0005-0000-0000-0000712D0000}"/>
    <cellStyle name="Percent 5 3 2 4 3 2" xfId="12118" xr:uid="{00000000-0005-0000-0000-0000722D0000}"/>
    <cellStyle name="Percent 5 3 2 4 4" xfId="12119" xr:uid="{00000000-0005-0000-0000-0000732D0000}"/>
    <cellStyle name="Percent 5 3 2 4 4 2" xfId="12120" xr:uid="{00000000-0005-0000-0000-0000742D0000}"/>
    <cellStyle name="Percent 5 3 2 4 5" xfId="12121" xr:uid="{00000000-0005-0000-0000-0000752D0000}"/>
    <cellStyle name="Percent 5 3 2 5" xfId="12122" xr:uid="{00000000-0005-0000-0000-0000762D0000}"/>
    <cellStyle name="Percent 5 3 2 5 2" xfId="12123" xr:uid="{00000000-0005-0000-0000-0000772D0000}"/>
    <cellStyle name="Percent 5 3 2 5 2 2" xfId="12124" xr:uid="{00000000-0005-0000-0000-0000782D0000}"/>
    <cellStyle name="Percent 5 3 2 5 3" xfId="12125" xr:uid="{00000000-0005-0000-0000-0000792D0000}"/>
    <cellStyle name="Percent 5 3 2 5 3 2" xfId="12126" xr:uid="{00000000-0005-0000-0000-00007A2D0000}"/>
    <cellStyle name="Percent 5 3 2 5 4" xfId="12127" xr:uid="{00000000-0005-0000-0000-00007B2D0000}"/>
    <cellStyle name="Percent 5 3 2 6" xfId="12128" xr:uid="{00000000-0005-0000-0000-00007C2D0000}"/>
    <cellStyle name="Percent 5 3 2 6 2" xfId="12129" xr:uid="{00000000-0005-0000-0000-00007D2D0000}"/>
    <cellStyle name="Percent 5 3 2 7" xfId="12130" xr:uid="{00000000-0005-0000-0000-00007E2D0000}"/>
    <cellStyle name="Percent 5 3 2 7 2" xfId="12131" xr:uid="{00000000-0005-0000-0000-00007F2D0000}"/>
    <cellStyle name="Percent 5 3 2 8" xfId="12132" xr:uid="{00000000-0005-0000-0000-0000802D0000}"/>
    <cellStyle name="Percent 5 3 2 8 2" xfId="12133" xr:uid="{00000000-0005-0000-0000-0000812D0000}"/>
    <cellStyle name="Percent 5 3 2 9" xfId="12134" xr:uid="{00000000-0005-0000-0000-0000822D0000}"/>
    <cellStyle name="Percent 5 3 3" xfId="12135" xr:uid="{00000000-0005-0000-0000-0000832D0000}"/>
    <cellStyle name="Percent 5 3 3 2" xfId="12136" xr:uid="{00000000-0005-0000-0000-0000842D0000}"/>
    <cellStyle name="Percent 5 3 3 2 2" xfId="12137" xr:uid="{00000000-0005-0000-0000-0000852D0000}"/>
    <cellStyle name="Percent 5 3 3 3" xfId="12138" xr:uid="{00000000-0005-0000-0000-0000862D0000}"/>
    <cellStyle name="Percent 5 3 3 3 2" xfId="12139" xr:uid="{00000000-0005-0000-0000-0000872D0000}"/>
    <cellStyle name="Percent 5 3 3 4" xfId="12140" xr:uid="{00000000-0005-0000-0000-0000882D0000}"/>
    <cellStyle name="Percent 5 3 3 5" xfId="12141" xr:uid="{00000000-0005-0000-0000-0000892D0000}"/>
    <cellStyle name="Percent 5 3 4" xfId="12142" xr:uid="{00000000-0005-0000-0000-00008A2D0000}"/>
    <cellStyle name="Percent 5 3 4 2" xfId="12143" xr:uid="{00000000-0005-0000-0000-00008B2D0000}"/>
    <cellStyle name="Percent 5 3 4 2 2" xfId="12144" xr:uid="{00000000-0005-0000-0000-00008C2D0000}"/>
    <cellStyle name="Percent 5 3 4 3" xfId="12145" xr:uid="{00000000-0005-0000-0000-00008D2D0000}"/>
    <cellStyle name="Percent 5 3 4 3 2" xfId="12146" xr:uid="{00000000-0005-0000-0000-00008E2D0000}"/>
    <cellStyle name="Percent 5 3 4 4" xfId="12147" xr:uid="{00000000-0005-0000-0000-00008F2D0000}"/>
    <cellStyle name="Percent 5 3 5" xfId="12148" xr:uid="{00000000-0005-0000-0000-0000902D0000}"/>
    <cellStyle name="Percent 5 3 5 2" xfId="12149" xr:uid="{00000000-0005-0000-0000-0000912D0000}"/>
    <cellStyle name="Percent 5 3 5 2 2" xfId="12150" xr:uid="{00000000-0005-0000-0000-0000922D0000}"/>
    <cellStyle name="Percent 5 3 5 3" xfId="12151" xr:uid="{00000000-0005-0000-0000-0000932D0000}"/>
    <cellStyle name="Percent 5 3 5 3 2" xfId="12152" xr:uid="{00000000-0005-0000-0000-0000942D0000}"/>
    <cellStyle name="Percent 5 3 5 4" xfId="12153" xr:uid="{00000000-0005-0000-0000-0000952D0000}"/>
    <cellStyle name="Percent 5 3 5 4 2" xfId="12154" xr:uid="{00000000-0005-0000-0000-0000962D0000}"/>
    <cellStyle name="Percent 5 3 5 5" xfId="12155" xr:uid="{00000000-0005-0000-0000-0000972D0000}"/>
    <cellStyle name="Percent 5 3 6" xfId="12156" xr:uid="{00000000-0005-0000-0000-0000982D0000}"/>
    <cellStyle name="Percent 5 3 6 2" xfId="12157" xr:uid="{00000000-0005-0000-0000-0000992D0000}"/>
    <cellStyle name="Percent 5 3 6 2 2" xfId="12158" xr:uid="{00000000-0005-0000-0000-00009A2D0000}"/>
    <cellStyle name="Percent 5 3 6 3" xfId="12159" xr:uid="{00000000-0005-0000-0000-00009B2D0000}"/>
    <cellStyle name="Percent 5 3 6 3 2" xfId="12160" xr:uid="{00000000-0005-0000-0000-00009C2D0000}"/>
    <cellStyle name="Percent 5 3 6 4" xfId="12161" xr:uid="{00000000-0005-0000-0000-00009D2D0000}"/>
    <cellStyle name="Percent 5 3 7" xfId="12162" xr:uid="{00000000-0005-0000-0000-00009E2D0000}"/>
    <cellStyle name="Percent 5 3 7 2" xfId="12163" xr:uid="{00000000-0005-0000-0000-00009F2D0000}"/>
    <cellStyle name="Percent 5 3 8" xfId="12164" xr:uid="{00000000-0005-0000-0000-0000A02D0000}"/>
    <cellStyle name="Percent 5 3 8 2" xfId="12165" xr:uid="{00000000-0005-0000-0000-0000A12D0000}"/>
    <cellStyle name="Percent 5 3 9" xfId="12166" xr:uid="{00000000-0005-0000-0000-0000A22D0000}"/>
    <cellStyle name="Percent 5 3 9 2" xfId="12167" xr:uid="{00000000-0005-0000-0000-0000A32D0000}"/>
    <cellStyle name="Percent 5 4" xfId="385" xr:uid="{00000000-0005-0000-0000-0000A42D0000}"/>
    <cellStyle name="Percent 5 4 10" xfId="12169" xr:uid="{00000000-0005-0000-0000-0000A52D0000}"/>
    <cellStyle name="Percent 5 4 11" xfId="12168" xr:uid="{00000000-0005-0000-0000-0000A62D0000}"/>
    <cellStyle name="Percent 5 4 2" xfId="3003" xr:uid="{00000000-0005-0000-0000-0000A72D0000}"/>
    <cellStyle name="Percent 5 4 2 2" xfId="12171" xr:uid="{00000000-0005-0000-0000-0000A82D0000}"/>
    <cellStyle name="Percent 5 4 2 2 2" xfId="12172" xr:uid="{00000000-0005-0000-0000-0000A92D0000}"/>
    <cellStyle name="Percent 5 4 2 3" xfId="12173" xr:uid="{00000000-0005-0000-0000-0000AA2D0000}"/>
    <cellStyle name="Percent 5 4 2 3 2" xfId="12174" xr:uid="{00000000-0005-0000-0000-0000AB2D0000}"/>
    <cellStyle name="Percent 5 4 2 4" xfId="12175" xr:uid="{00000000-0005-0000-0000-0000AC2D0000}"/>
    <cellStyle name="Percent 5 4 2 5" xfId="12170" xr:uid="{00000000-0005-0000-0000-0000AD2D0000}"/>
    <cellStyle name="Percent 5 4 3" xfId="12176" xr:uid="{00000000-0005-0000-0000-0000AE2D0000}"/>
    <cellStyle name="Percent 5 4 3 2" xfId="12177" xr:uid="{00000000-0005-0000-0000-0000AF2D0000}"/>
    <cellStyle name="Percent 5 4 3 2 2" xfId="12178" xr:uid="{00000000-0005-0000-0000-0000B02D0000}"/>
    <cellStyle name="Percent 5 4 3 3" xfId="12179" xr:uid="{00000000-0005-0000-0000-0000B12D0000}"/>
    <cellStyle name="Percent 5 4 3 3 2" xfId="12180" xr:uid="{00000000-0005-0000-0000-0000B22D0000}"/>
    <cellStyle name="Percent 5 4 3 4" xfId="12181" xr:uid="{00000000-0005-0000-0000-0000B32D0000}"/>
    <cellStyle name="Percent 5 4 4" xfId="12182" xr:uid="{00000000-0005-0000-0000-0000B42D0000}"/>
    <cellStyle name="Percent 5 4 4 2" xfId="12183" xr:uid="{00000000-0005-0000-0000-0000B52D0000}"/>
    <cellStyle name="Percent 5 4 4 2 2" xfId="12184" xr:uid="{00000000-0005-0000-0000-0000B62D0000}"/>
    <cellStyle name="Percent 5 4 4 3" xfId="12185" xr:uid="{00000000-0005-0000-0000-0000B72D0000}"/>
    <cellStyle name="Percent 5 4 4 3 2" xfId="12186" xr:uid="{00000000-0005-0000-0000-0000B82D0000}"/>
    <cellStyle name="Percent 5 4 4 4" xfId="12187" xr:uid="{00000000-0005-0000-0000-0000B92D0000}"/>
    <cellStyle name="Percent 5 4 4 4 2" xfId="12188" xr:uid="{00000000-0005-0000-0000-0000BA2D0000}"/>
    <cellStyle name="Percent 5 4 4 5" xfId="12189" xr:uid="{00000000-0005-0000-0000-0000BB2D0000}"/>
    <cellStyle name="Percent 5 4 5" xfId="12190" xr:uid="{00000000-0005-0000-0000-0000BC2D0000}"/>
    <cellStyle name="Percent 5 4 5 2" xfId="12191" xr:uid="{00000000-0005-0000-0000-0000BD2D0000}"/>
    <cellStyle name="Percent 5 4 5 2 2" xfId="12192" xr:uid="{00000000-0005-0000-0000-0000BE2D0000}"/>
    <cellStyle name="Percent 5 4 5 3" xfId="12193" xr:uid="{00000000-0005-0000-0000-0000BF2D0000}"/>
    <cellStyle name="Percent 5 4 5 3 2" xfId="12194" xr:uid="{00000000-0005-0000-0000-0000C02D0000}"/>
    <cellStyle name="Percent 5 4 5 4" xfId="12195" xr:uid="{00000000-0005-0000-0000-0000C12D0000}"/>
    <cellStyle name="Percent 5 4 6" xfId="12196" xr:uid="{00000000-0005-0000-0000-0000C22D0000}"/>
    <cellStyle name="Percent 5 4 6 2" xfId="12197" xr:uid="{00000000-0005-0000-0000-0000C32D0000}"/>
    <cellStyle name="Percent 5 4 7" xfId="12198" xr:uid="{00000000-0005-0000-0000-0000C42D0000}"/>
    <cellStyle name="Percent 5 4 7 2" xfId="12199" xr:uid="{00000000-0005-0000-0000-0000C52D0000}"/>
    <cellStyle name="Percent 5 4 8" xfId="12200" xr:uid="{00000000-0005-0000-0000-0000C62D0000}"/>
    <cellStyle name="Percent 5 4 8 2" xfId="12201" xr:uid="{00000000-0005-0000-0000-0000C72D0000}"/>
    <cellStyle name="Percent 5 4 9" xfId="12202" xr:uid="{00000000-0005-0000-0000-0000C82D0000}"/>
    <cellStyle name="Percent 5 5" xfId="3001" xr:uid="{00000000-0005-0000-0000-0000C92D0000}"/>
    <cellStyle name="Percent 5 5 10" xfId="12204" xr:uid="{00000000-0005-0000-0000-0000CA2D0000}"/>
    <cellStyle name="Percent 5 5 11" xfId="12203" xr:uid="{00000000-0005-0000-0000-0000CB2D0000}"/>
    <cellStyle name="Percent 5 5 2" xfId="4763" xr:uid="{00000000-0005-0000-0000-0000CC2D0000}"/>
    <cellStyle name="Percent 5 5 2 2" xfId="12206" xr:uid="{00000000-0005-0000-0000-0000CD2D0000}"/>
    <cellStyle name="Percent 5 5 2 2 2" xfId="12207" xr:uid="{00000000-0005-0000-0000-0000CE2D0000}"/>
    <cellStyle name="Percent 5 5 2 3" xfId="12208" xr:uid="{00000000-0005-0000-0000-0000CF2D0000}"/>
    <cellStyle name="Percent 5 5 2 3 2" xfId="12209" xr:uid="{00000000-0005-0000-0000-0000D02D0000}"/>
    <cellStyle name="Percent 5 5 2 4" xfId="12210" xr:uid="{00000000-0005-0000-0000-0000D12D0000}"/>
    <cellStyle name="Percent 5 5 2 5" xfId="12205" xr:uid="{00000000-0005-0000-0000-0000D22D0000}"/>
    <cellStyle name="Percent 5 5 3" xfId="12211" xr:uid="{00000000-0005-0000-0000-0000D32D0000}"/>
    <cellStyle name="Percent 5 5 3 2" xfId="12212" xr:uid="{00000000-0005-0000-0000-0000D42D0000}"/>
    <cellStyle name="Percent 5 5 3 2 2" xfId="12213" xr:uid="{00000000-0005-0000-0000-0000D52D0000}"/>
    <cellStyle name="Percent 5 5 3 3" xfId="12214" xr:uid="{00000000-0005-0000-0000-0000D62D0000}"/>
    <cellStyle name="Percent 5 5 3 3 2" xfId="12215" xr:uid="{00000000-0005-0000-0000-0000D72D0000}"/>
    <cellStyle name="Percent 5 5 3 4" xfId="12216" xr:uid="{00000000-0005-0000-0000-0000D82D0000}"/>
    <cellStyle name="Percent 5 5 4" xfId="12217" xr:uid="{00000000-0005-0000-0000-0000D92D0000}"/>
    <cellStyle name="Percent 5 5 4 2" xfId="12218" xr:uid="{00000000-0005-0000-0000-0000DA2D0000}"/>
    <cellStyle name="Percent 5 5 4 2 2" xfId="12219" xr:uid="{00000000-0005-0000-0000-0000DB2D0000}"/>
    <cellStyle name="Percent 5 5 4 3" xfId="12220" xr:uid="{00000000-0005-0000-0000-0000DC2D0000}"/>
    <cellStyle name="Percent 5 5 4 3 2" xfId="12221" xr:uid="{00000000-0005-0000-0000-0000DD2D0000}"/>
    <cellStyle name="Percent 5 5 4 4" xfId="12222" xr:uid="{00000000-0005-0000-0000-0000DE2D0000}"/>
    <cellStyle name="Percent 5 5 4 4 2" xfId="12223" xr:uid="{00000000-0005-0000-0000-0000DF2D0000}"/>
    <cellStyle name="Percent 5 5 4 5" xfId="12224" xr:uid="{00000000-0005-0000-0000-0000E02D0000}"/>
    <cellStyle name="Percent 5 5 5" xfId="12225" xr:uid="{00000000-0005-0000-0000-0000E12D0000}"/>
    <cellStyle name="Percent 5 5 5 2" xfId="12226" xr:uid="{00000000-0005-0000-0000-0000E22D0000}"/>
    <cellStyle name="Percent 5 5 5 2 2" xfId="12227" xr:uid="{00000000-0005-0000-0000-0000E32D0000}"/>
    <cellStyle name="Percent 5 5 5 3" xfId="12228" xr:uid="{00000000-0005-0000-0000-0000E42D0000}"/>
    <cellStyle name="Percent 5 5 5 3 2" xfId="12229" xr:uid="{00000000-0005-0000-0000-0000E52D0000}"/>
    <cellStyle name="Percent 5 5 5 4" xfId="12230" xr:uid="{00000000-0005-0000-0000-0000E62D0000}"/>
    <cellStyle name="Percent 5 5 6" xfId="12231" xr:uid="{00000000-0005-0000-0000-0000E72D0000}"/>
    <cellStyle name="Percent 5 5 6 2" xfId="12232" xr:uid="{00000000-0005-0000-0000-0000E82D0000}"/>
    <cellStyle name="Percent 5 5 7" xfId="12233" xr:uid="{00000000-0005-0000-0000-0000E92D0000}"/>
    <cellStyle name="Percent 5 5 7 2" xfId="12234" xr:uid="{00000000-0005-0000-0000-0000EA2D0000}"/>
    <cellStyle name="Percent 5 5 8" xfId="12235" xr:uid="{00000000-0005-0000-0000-0000EB2D0000}"/>
    <cellStyle name="Percent 5 5 8 2" xfId="12236" xr:uid="{00000000-0005-0000-0000-0000EC2D0000}"/>
    <cellStyle name="Percent 5 5 9" xfId="12237" xr:uid="{00000000-0005-0000-0000-0000ED2D0000}"/>
    <cellStyle name="Percent 5 6" xfId="4764" xr:uid="{00000000-0005-0000-0000-0000EE2D0000}"/>
    <cellStyle name="Percent 5 6 10" xfId="12239" xr:uid="{00000000-0005-0000-0000-0000EF2D0000}"/>
    <cellStyle name="Percent 5 6 11" xfId="12238" xr:uid="{00000000-0005-0000-0000-0000F02D0000}"/>
    <cellStyle name="Percent 5 6 2" xfId="12240" xr:uid="{00000000-0005-0000-0000-0000F12D0000}"/>
    <cellStyle name="Percent 5 6 2 2" xfId="12241" xr:uid="{00000000-0005-0000-0000-0000F22D0000}"/>
    <cellStyle name="Percent 5 6 2 2 2" xfId="12242" xr:uid="{00000000-0005-0000-0000-0000F32D0000}"/>
    <cellStyle name="Percent 5 6 2 3" xfId="12243" xr:uid="{00000000-0005-0000-0000-0000F42D0000}"/>
    <cellStyle name="Percent 5 6 2 3 2" xfId="12244" xr:uid="{00000000-0005-0000-0000-0000F52D0000}"/>
    <cellStyle name="Percent 5 6 2 4" xfId="12245" xr:uid="{00000000-0005-0000-0000-0000F62D0000}"/>
    <cellStyle name="Percent 5 6 3" xfId="12246" xr:uid="{00000000-0005-0000-0000-0000F72D0000}"/>
    <cellStyle name="Percent 5 6 3 2" xfId="12247" xr:uid="{00000000-0005-0000-0000-0000F82D0000}"/>
    <cellStyle name="Percent 5 6 3 2 2" xfId="12248" xr:uid="{00000000-0005-0000-0000-0000F92D0000}"/>
    <cellStyle name="Percent 5 6 3 3" xfId="12249" xr:uid="{00000000-0005-0000-0000-0000FA2D0000}"/>
    <cellStyle name="Percent 5 6 3 3 2" xfId="12250" xr:uid="{00000000-0005-0000-0000-0000FB2D0000}"/>
    <cellStyle name="Percent 5 6 3 4" xfId="12251" xr:uid="{00000000-0005-0000-0000-0000FC2D0000}"/>
    <cellStyle name="Percent 5 6 4" xfId="12252" xr:uid="{00000000-0005-0000-0000-0000FD2D0000}"/>
    <cellStyle name="Percent 5 6 4 2" xfId="12253" xr:uid="{00000000-0005-0000-0000-0000FE2D0000}"/>
    <cellStyle name="Percent 5 6 4 2 2" xfId="12254" xr:uid="{00000000-0005-0000-0000-0000FF2D0000}"/>
    <cellStyle name="Percent 5 6 4 3" xfId="12255" xr:uid="{00000000-0005-0000-0000-0000002E0000}"/>
    <cellStyle name="Percent 5 6 4 3 2" xfId="12256" xr:uid="{00000000-0005-0000-0000-0000012E0000}"/>
    <cellStyle name="Percent 5 6 4 4" xfId="12257" xr:uid="{00000000-0005-0000-0000-0000022E0000}"/>
    <cellStyle name="Percent 5 6 4 4 2" xfId="12258" xr:uid="{00000000-0005-0000-0000-0000032E0000}"/>
    <cellStyle name="Percent 5 6 4 5" xfId="12259" xr:uid="{00000000-0005-0000-0000-0000042E0000}"/>
    <cellStyle name="Percent 5 6 5" xfId="12260" xr:uid="{00000000-0005-0000-0000-0000052E0000}"/>
    <cellStyle name="Percent 5 6 5 2" xfId="12261" xr:uid="{00000000-0005-0000-0000-0000062E0000}"/>
    <cellStyle name="Percent 5 6 5 2 2" xfId="12262" xr:uid="{00000000-0005-0000-0000-0000072E0000}"/>
    <cellStyle name="Percent 5 6 5 3" xfId="12263" xr:uid="{00000000-0005-0000-0000-0000082E0000}"/>
    <cellStyle name="Percent 5 6 5 3 2" xfId="12264" xr:uid="{00000000-0005-0000-0000-0000092E0000}"/>
    <cellStyle name="Percent 5 6 5 4" xfId="12265" xr:uid="{00000000-0005-0000-0000-00000A2E0000}"/>
    <cellStyle name="Percent 5 6 6" xfId="12266" xr:uid="{00000000-0005-0000-0000-00000B2E0000}"/>
    <cellStyle name="Percent 5 6 6 2" xfId="12267" xr:uid="{00000000-0005-0000-0000-00000C2E0000}"/>
    <cellStyle name="Percent 5 6 7" xfId="12268" xr:uid="{00000000-0005-0000-0000-00000D2E0000}"/>
    <cellStyle name="Percent 5 6 7 2" xfId="12269" xr:uid="{00000000-0005-0000-0000-00000E2E0000}"/>
    <cellStyle name="Percent 5 6 8" xfId="12270" xr:uid="{00000000-0005-0000-0000-00000F2E0000}"/>
    <cellStyle name="Percent 5 6 8 2" xfId="12271" xr:uid="{00000000-0005-0000-0000-0000102E0000}"/>
    <cellStyle name="Percent 5 6 9" xfId="12272" xr:uid="{00000000-0005-0000-0000-0000112E0000}"/>
    <cellStyle name="Percent 5 7" xfId="4765" xr:uid="{00000000-0005-0000-0000-0000122E0000}"/>
    <cellStyle name="Percent 5 7 10" xfId="12274" xr:uid="{00000000-0005-0000-0000-0000132E0000}"/>
    <cellStyle name="Percent 5 7 11" xfId="12273" xr:uid="{00000000-0005-0000-0000-0000142E0000}"/>
    <cellStyle name="Percent 5 7 2" xfId="12275" xr:uid="{00000000-0005-0000-0000-0000152E0000}"/>
    <cellStyle name="Percent 5 7 2 2" xfId="12276" xr:uid="{00000000-0005-0000-0000-0000162E0000}"/>
    <cellStyle name="Percent 5 7 2 2 2" xfId="12277" xr:uid="{00000000-0005-0000-0000-0000172E0000}"/>
    <cellStyle name="Percent 5 7 2 3" xfId="12278" xr:uid="{00000000-0005-0000-0000-0000182E0000}"/>
    <cellStyle name="Percent 5 7 2 3 2" xfId="12279" xr:uid="{00000000-0005-0000-0000-0000192E0000}"/>
    <cellStyle name="Percent 5 7 2 4" xfId="12280" xr:uid="{00000000-0005-0000-0000-00001A2E0000}"/>
    <cellStyle name="Percent 5 7 3" xfId="12281" xr:uid="{00000000-0005-0000-0000-00001B2E0000}"/>
    <cellStyle name="Percent 5 7 3 2" xfId="12282" xr:uid="{00000000-0005-0000-0000-00001C2E0000}"/>
    <cellStyle name="Percent 5 7 3 2 2" xfId="12283" xr:uid="{00000000-0005-0000-0000-00001D2E0000}"/>
    <cellStyle name="Percent 5 7 3 3" xfId="12284" xr:uid="{00000000-0005-0000-0000-00001E2E0000}"/>
    <cellStyle name="Percent 5 7 3 3 2" xfId="12285" xr:uid="{00000000-0005-0000-0000-00001F2E0000}"/>
    <cellStyle name="Percent 5 7 3 4" xfId="12286" xr:uid="{00000000-0005-0000-0000-0000202E0000}"/>
    <cellStyle name="Percent 5 7 4" xfId="12287" xr:uid="{00000000-0005-0000-0000-0000212E0000}"/>
    <cellStyle name="Percent 5 7 4 2" xfId="12288" xr:uid="{00000000-0005-0000-0000-0000222E0000}"/>
    <cellStyle name="Percent 5 7 4 2 2" xfId="12289" xr:uid="{00000000-0005-0000-0000-0000232E0000}"/>
    <cellStyle name="Percent 5 7 4 3" xfId="12290" xr:uid="{00000000-0005-0000-0000-0000242E0000}"/>
    <cellStyle name="Percent 5 7 4 3 2" xfId="12291" xr:uid="{00000000-0005-0000-0000-0000252E0000}"/>
    <cellStyle name="Percent 5 7 4 4" xfId="12292" xr:uid="{00000000-0005-0000-0000-0000262E0000}"/>
    <cellStyle name="Percent 5 7 4 4 2" xfId="12293" xr:uid="{00000000-0005-0000-0000-0000272E0000}"/>
    <cellStyle name="Percent 5 7 4 5" xfId="12294" xr:uid="{00000000-0005-0000-0000-0000282E0000}"/>
    <cellStyle name="Percent 5 7 5" xfId="12295" xr:uid="{00000000-0005-0000-0000-0000292E0000}"/>
    <cellStyle name="Percent 5 7 5 2" xfId="12296" xr:uid="{00000000-0005-0000-0000-00002A2E0000}"/>
    <cellStyle name="Percent 5 7 5 2 2" xfId="12297" xr:uid="{00000000-0005-0000-0000-00002B2E0000}"/>
    <cellStyle name="Percent 5 7 5 3" xfId="12298" xr:uid="{00000000-0005-0000-0000-00002C2E0000}"/>
    <cellStyle name="Percent 5 7 5 3 2" xfId="12299" xr:uid="{00000000-0005-0000-0000-00002D2E0000}"/>
    <cellStyle name="Percent 5 7 5 4" xfId="12300" xr:uid="{00000000-0005-0000-0000-00002E2E0000}"/>
    <cellStyle name="Percent 5 7 6" xfId="12301" xr:uid="{00000000-0005-0000-0000-00002F2E0000}"/>
    <cellStyle name="Percent 5 7 6 2" xfId="12302" xr:uid="{00000000-0005-0000-0000-0000302E0000}"/>
    <cellStyle name="Percent 5 7 7" xfId="12303" xr:uid="{00000000-0005-0000-0000-0000312E0000}"/>
    <cellStyle name="Percent 5 7 7 2" xfId="12304" xr:uid="{00000000-0005-0000-0000-0000322E0000}"/>
    <cellStyle name="Percent 5 7 8" xfId="12305" xr:uid="{00000000-0005-0000-0000-0000332E0000}"/>
    <cellStyle name="Percent 5 7 8 2" xfId="12306" xr:uid="{00000000-0005-0000-0000-0000342E0000}"/>
    <cellStyle name="Percent 5 7 9" xfId="12307" xr:uid="{00000000-0005-0000-0000-0000352E0000}"/>
    <cellStyle name="Percent 5 8" xfId="4766" xr:uid="{00000000-0005-0000-0000-0000362E0000}"/>
    <cellStyle name="Percent 5 8 10" xfId="12309" xr:uid="{00000000-0005-0000-0000-0000372E0000}"/>
    <cellStyle name="Percent 5 8 11" xfId="12308" xr:uid="{00000000-0005-0000-0000-0000382E0000}"/>
    <cellStyle name="Percent 5 8 2" xfId="12310" xr:uid="{00000000-0005-0000-0000-0000392E0000}"/>
    <cellStyle name="Percent 5 8 2 2" xfId="12311" xr:uid="{00000000-0005-0000-0000-00003A2E0000}"/>
    <cellStyle name="Percent 5 8 2 2 2" xfId="12312" xr:uid="{00000000-0005-0000-0000-00003B2E0000}"/>
    <cellStyle name="Percent 5 8 2 3" xfId="12313" xr:uid="{00000000-0005-0000-0000-00003C2E0000}"/>
    <cellStyle name="Percent 5 8 2 3 2" xfId="12314" xr:uid="{00000000-0005-0000-0000-00003D2E0000}"/>
    <cellStyle name="Percent 5 8 2 4" xfId="12315" xr:uid="{00000000-0005-0000-0000-00003E2E0000}"/>
    <cellStyle name="Percent 5 8 3" xfId="12316" xr:uid="{00000000-0005-0000-0000-00003F2E0000}"/>
    <cellStyle name="Percent 5 8 3 2" xfId="12317" xr:uid="{00000000-0005-0000-0000-0000402E0000}"/>
    <cellStyle name="Percent 5 8 3 2 2" xfId="12318" xr:uid="{00000000-0005-0000-0000-0000412E0000}"/>
    <cellStyle name="Percent 5 8 3 3" xfId="12319" xr:uid="{00000000-0005-0000-0000-0000422E0000}"/>
    <cellStyle name="Percent 5 8 3 3 2" xfId="12320" xr:uid="{00000000-0005-0000-0000-0000432E0000}"/>
    <cellStyle name="Percent 5 8 3 4" xfId="12321" xr:uid="{00000000-0005-0000-0000-0000442E0000}"/>
    <cellStyle name="Percent 5 8 4" xfId="12322" xr:uid="{00000000-0005-0000-0000-0000452E0000}"/>
    <cellStyle name="Percent 5 8 4 2" xfId="12323" xr:uid="{00000000-0005-0000-0000-0000462E0000}"/>
    <cellStyle name="Percent 5 8 4 2 2" xfId="12324" xr:uid="{00000000-0005-0000-0000-0000472E0000}"/>
    <cellStyle name="Percent 5 8 4 3" xfId="12325" xr:uid="{00000000-0005-0000-0000-0000482E0000}"/>
    <cellStyle name="Percent 5 8 4 3 2" xfId="12326" xr:uid="{00000000-0005-0000-0000-0000492E0000}"/>
    <cellStyle name="Percent 5 8 4 4" xfId="12327" xr:uid="{00000000-0005-0000-0000-00004A2E0000}"/>
    <cellStyle name="Percent 5 8 4 4 2" xfId="12328" xr:uid="{00000000-0005-0000-0000-00004B2E0000}"/>
    <cellStyle name="Percent 5 8 4 5" xfId="12329" xr:uid="{00000000-0005-0000-0000-00004C2E0000}"/>
    <cellStyle name="Percent 5 8 5" xfId="12330" xr:uid="{00000000-0005-0000-0000-00004D2E0000}"/>
    <cellStyle name="Percent 5 8 5 2" xfId="12331" xr:uid="{00000000-0005-0000-0000-00004E2E0000}"/>
    <cellStyle name="Percent 5 8 5 2 2" xfId="12332" xr:uid="{00000000-0005-0000-0000-00004F2E0000}"/>
    <cellStyle name="Percent 5 8 5 3" xfId="12333" xr:uid="{00000000-0005-0000-0000-0000502E0000}"/>
    <cellStyle name="Percent 5 8 5 3 2" xfId="12334" xr:uid="{00000000-0005-0000-0000-0000512E0000}"/>
    <cellStyle name="Percent 5 8 5 4" xfId="12335" xr:uid="{00000000-0005-0000-0000-0000522E0000}"/>
    <cellStyle name="Percent 5 8 6" xfId="12336" xr:uid="{00000000-0005-0000-0000-0000532E0000}"/>
    <cellStyle name="Percent 5 8 6 2" xfId="12337" xr:uid="{00000000-0005-0000-0000-0000542E0000}"/>
    <cellStyle name="Percent 5 8 7" xfId="12338" xr:uid="{00000000-0005-0000-0000-0000552E0000}"/>
    <cellStyle name="Percent 5 8 7 2" xfId="12339" xr:uid="{00000000-0005-0000-0000-0000562E0000}"/>
    <cellStyle name="Percent 5 8 8" xfId="12340" xr:uid="{00000000-0005-0000-0000-0000572E0000}"/>
    <cellStyle name="Percent 5 8 8 2" xfId="12341" xr:uid="{00000000-0005-0000-0000-0000582E0000}"/>
    <cellStyle name="Percent 5 8 9" xfId="12342" xr:uid="{00000000-0005-0000-0000-0000592E0000}"/>
    <cellStyle name="Percent 5 9" xfId="4767" xr:uid="{00000000-0005-0000-0000-00005A2E0000}"/>
    <cellStyle name="Percent 5 9 10" xfId="12344" xr:uid="{00000000-0005-0000-0000-00005B2E0000}"/>
    <cellStyle name="Percent 5 9 11" xfId="12343" xr:uid="{00000000-0005-0000-0000-00005C2E0000}"/>
    <cellStyle name="Percent 5 9 2" xfId="4768" xr:uid="{00000000-0005-0000-0000-00005D2E0000}"/>
    <cellStyle name="Percent 5 9 2 2" xfId="12346" xr:uid="{00000000-0005-0000-0000-00005E2E0000}"/>
    <cellStyle name="Percent 5 9 2 2 2" xfId="12347" xr:uid="{00000000-0005-0000-0000-00005F2E0000}"/>
    <cellStyle name="Percent 5 9 2 3" xfId="12348" xr:uid="{00000000-0005-0000-0000-0000602E0000}"/>
    <cellStyle name="Percent 5 9 2 3 2" xfId="12349" xr:uid="{00000000-0005-0000-0000-0000612E0000}"/>
    <cellStyle name="Percent 5 9 2 4" xfId="12350" xr:uid="{00000000-0005-0000-0000-0000622E0000}"/>
    <cellStyle name="Percent 5 9 2 5" xfId="12345" xr:uid="{00000000-0005-0000-0000-0000632E0000}"/>
    <cellStyle name="Percent 5 9 3" xfId="12351" xr:uid="{00000000-0005-0000-0000-0000642E0000}"/>
    <cellStyle name="Percent 5 9 3 2" xfId="12352" xr:uid="{00000000-0005-0000-0000-0000652E0000}"/>
    <cellStyle name="Percent 5 9 3 2 2" xfId="12353" xr:uid="{00000000-0005-0000-0000-0000662E0000}"/>
    <cellStyle name="Percent 5 9 3 3" xfId="12354" xr:uid="{00000000-0005-0000-0000-0000672E0000}"/>
    <cellStyle name="Percent 5 9 3 3 2" xfId="12355" xr:uid="{00000000-0005-0000-0000-0000682E0000}"/>
    <cellStyle name="Percent 5 9 3 4" xfId="12356" xr:uid="{00000000-0005-0000-0000-0000692E0000}"/>
    <cellStyle name="Percent 5 9 4" xfId="12357" xr:uid="{00000000-0005-0000-0000-00006A2E0000}"/>
    <cellStyle name="Percent 5 9 4 2" xfId="12358" xr:uid="{00000000-0005-0000-0000-00006B2E0000}"/>
    <cellStyle name="Percent 5 9 4 2 2" xfId="12359" xr:uid="{00000000-0005-0000-0000-00006C2E0000}"/>
    <cellStyle name="Percent 5 9 4 3" xfId="12360" xr:uid="{00000000-0005-0000-0000-00006D2E0000}"/>
    <cellStyle name="Percent 5 9 4 3 2" xfId="12361" xr:uid="{00000000-0005-0000-0000-00006E2E0000}"/>
    <cellStyle name="Percent 5 9 4 4" xfId="12362" xr:uid="{00000000-0005-0000-0000-00006F2E0000}"/>
    <cellStyle name="Percent 5 9 4 4 2" xfId="12363" xr:uid="{00000000-0005-0000-0000-0000702E0000}"/>
    <cellStyle name="Percent 5 9 4 5" xfId="12364" xr:uid="{00000000-0005-0000-0000-0000712E0000}"/>
    <cellStyle name="Percent 5 9 5" xfId="12365" xr:uid="{00000000-0005-0000-0000-0000722E0000}"/>
    <cellStyle name="Percent 5 9 5 2" xfId="12366" xr:uid="{00000000-0005-0000-0000-0000732E0000}"/>
    <cellStyle name="Percent 5 9 5 2 2" xfId="12367" xr:uid="{00000000-0005-0000-0000-0000742E0000}"/>
    <cellStyle name="Percent 5 9 5 3" xfId="12368" xr:uid="{00000000-0005-0000-0000-0000752E0000}"/>
    <cellStyle name="Percent 5 9 5 3 2" xfId="12369" xr:uid="{00000000-0005-0000-0000-0000762E0000}"/>
    <cellStyle name="Percent 5 9 5 4" xfId="12370" xr:uid="{00000000-0005-0000-0000-0000772E0000}"/>
    <cellStyle name="Percent 5 9 6" xfId="12371" xr:uid="{00000000-0005-0000-0000-0000782E0000}"/>
    <cellStyle name="Percent 5 9 6 2" xfId="12372" xr:uid="{00000000-0005-0000-0000-0000792E0000}"/>
    <cellStyle name="Percent 5 9 7" xfId="12373" xr:uid="{00000000-0005-0000-0000-00007A2E0000}"/>
    <cellStyle name="Percent 5 9 7 2" xfId="12374" xr:uid="{00000000-0005-0000-0000-00007B2E0000}"/>
    <cellStyle name="Percent 5 9 8" xfId="12375" xr:uid="{00000000-0005-0000-0000-00007C2E0000}"/>
    <cellStyle name="Percent 5 9 8 2" xfId="12376" xr:uid="{00000000-0005-0000-0000-00007D2E0000}"/>
    <cellStyle name="Percent 5 9 9" xfId="12377" xr:uid="{00000000-0005-0000-0000-00007E2E0000}"/>
    <cellStyle name="Percent 6" xfId="335" xr:uid="{00000000-0005-0000-0000-00007F2E0000}"/>
    <cellStyle name="Percent 6 10" xfId="12379" xr:uid="{00000000-0005-0000-0000-0000802E0000}"/>
    <cellStyle name="Percent 6 10 2" xfId="12380" xr:uid="{00000000-0005-0000-0000-0000812E0000}"/>
    <cellStyle name="Percent 6 10 2 2" xfId="12381" xr:uid="{00000000-0005-0000-0000-0000822E0000}"/>
    <cellStyle name="Percent 6 10 3" xfId="12382" xr:uid="{00000000-0005-0000-0000-0000832E0000}"/>
    <cellStyle name="Percent 6 10 3 2" xfId="12383" xr:uid="{00000000-0005-0000-0000-0000842E0000}"/>
    <cellStyle name="Percent 6 10 4" xfId="12384" xr:uid="{00000000-0005-0000-0000-0000852E0000}"/>
    <cellStyle name="Percent 6 10 5" xfId="12385" xr:uid="{00000000-0005-0000-0000-0000862E0000}"/>
    <cellStyle name="Percent 6 11" xfId="12386" xr:uid="{00000000-0005-0000-0000-0000872E0000}"/>
    <cellStyle name="Percent 6 11 2" xfId="12387" xr:uid="{00000000-0005-0000-0000-0000882E0000}"/>
    <cellStyle name="Percent 6 11 2 2" xfId="12388" xr:uid="{00000000-0005-0000-0000-0000892E0000}"/>
    <cellStyle name="Percent 6 11 3" xfId="12389" xr:uid="{00000000-0005-0000-0000-00008A2E0000}"/>
    <cellStyle name="Percent 6 11 3 2" xfId="12390" xr:uid="{00000000-0005-0000-0000-00008B2E0000}"/>
    <cellStyle name="Percent 6 11 4" xfId="12391" xr:uid="{00000000-0005-0000-0000-00008C2E0000}"/>
    <cellStyle name="Percent 6 11 5" xfId="12392" xr:uid="{00000000-0005-0000-0000-00008D2E0000}"/>
    <cellStyle name="Percent 6 12" xfId="12393" xr:uid="{00000000-0005-0000-0000-00008E2E0000}"/>
    <cellStyle name="Percent 6 12 2" xfId="12394" xr:uid="{00000000-0005-0000-0000-00008F2E0000}"/>
    <cellStyle name="Percent 6 12 2 2" xfId="12395" xr:uid="{00000000-0005-0000-0000-0000902E0000}"/>
    <cellStyle name="Percent 6 12 3" xfId="12396" xr:uid="{00000000-0005-0000-0000-0000912E0000}"/>
    <cellStyle name="Percent 6 12 3 2" xfId="12397" xr:uid="{00000000-0005-0000-0000-0000922E0000}"/>
    <cellStyle name="Percent 6 12 4" xfId="12398" xr:uid="{00000000-0005-0000-0000-0000932E0000}"/>
    <cellStyle name="Percent 6 13" xfId="12399" xr:uid="{00000000-0005-0000-0000-0000942E0000}"/>
    <cellStyle name="Percent 6 13 2" xfId="12400" xr:uid="{00000000-0005-0000-0000-0000952E0000}"/>
    <cellStyle name="Percent 6 13 2 2" xfId="12401" xr:uid="{00000000-0005-0000-0000-0000962E0000}"/>
    <cellStyle name="Percent 6 13 3" xfId="12402" xr:uid="{00000000-0005-0000-0000-0000972E0000}"/>
    <cellStyle name="Percent 6 13 3 2" xfId="12403" xr:uid="{00000000-0005-0000-0000-0000982E0000}"/>
    <cellStyle name="Percent 6 13 4" xfId="12404" xr:uid="{00000000-0005-0000-0000-0000992E0000}"/>
    <cellStyle name="Percent 6 13 4 2" xfId="12405" xr:uid="{00000000-0005-0000-0000-00009A2E0000}"/>
    <cellStyle name="Percent 6 13 5" xfId="12406" xr:uid="{00000000-0005-0000-0000-00009B2E0000}"/>
    <cellStyle name="Percent 6 14" xfId="12407" xr:uid="{00000000-0005-0000-0000-00009C2E0000}"/>
    <cellStyle name="Percent 6 14 2" xfId="12408" xr:uid="{00000000-0005-0000-0000-00009D2E0000}"/>
    <cellStyle name="Percent 6 14 2 2" xfId="12409" xr:uid="{00000000-0005-0000-0000-00009E2E0000}"/>
    <cellStyle name="Percent 6 14 3" xfId="12410" xr:uid="{00000000-0005-0000-0000-00009F2E0000}"/>
    <cellStyle name="Percent 6 14 3 2" xfId="12411" xr:uid="{00000000-0005-0000-0000-0000A02E0000}"/>
    <cellStyle name="Percent 6 14 4" xfId="12412" xr:uid="{00000000-0005-0000-0000-0000A12E0000}"/>
    <cellStyle name="Percent 6 15" xfId="12413" xr:uid="{00000000-0005-0000-0000-0000A22E0000}"/>
    <cellStyle name="Percent 6 15 2" xfId="12414" xr:uid="{00000000-0005-0000-0000-0000A32E0000}"/>
    <cellStyle name="Percent 6 16" xfId="12415" xr:uid="{00000000-0005-0000-0000-0000A42E0000}"/>
    <cellStyle name="Percent 6 16 2" xfId="12416" xr:uid="{00000000-0005-0000-0000-0000A52E0000}"/>
    <cellStyle name="Percent 6 17" xfId="12417" xr:uid="{00000000-0005-0000-0000-0000A62E0000}"/>
    <cellStyle name="Percent 6 17 2" xfId="12418" xr:uid="{00000000-0005-0000-0000-0000A72E0000}"/>
    <cellStyle name="Percent 6 18" xfId="12419" xr:uid="{00000000-0005-0000-0000-0000A82E0000}"/>
    <cellStyle name="Percent 6 19" xfId="12420" xr:uid="{00000000-0005-0000-0000-0000A92E0000}"/>
    <cellStyle name="Percent 6 2" xfId="3005" xr:uid="{00000000-0005-0000-0000-0000AA2E0000}"/>
    <cellStyle name="Percent 6 2 10" xfId="12422" xr:uid="{00000000-0005-0000-0000-0000AB2E0000}"/>
    <cellStyle name="Percent 6 2 11" xfId="12421" xr:uid="{00000000-0005-0000-0000-0000AC2E0000}"/>
    <cellStyle name="Percent 6 2 2" xfId="12423" xr:uid="{00000000-0005-0000-0000-0000AD2E0000}"/>
    <cellStyle name="Percent 6 2 2 2" xfId="12424" xr:uid="{00000000-0005-0000-0000-0000AE2E0000}"/>
    <cellStyle name="Percent 6 2 2 2 2" xfId="12425" xr:uid="{00000000-0005-0000-0000-0000AF2E0000}"/>
    <cellStyle name="Percent 6 2 2 3" xfId="12426" xr:uid="{00000000-0005-0000-0000-0000B02E0000}"/>
    <cellStyle name="Percent 6 2 2 3 2" xfId="12427" xr:uid="{00000000-0005-0000-0000-0000B12E0000}"/>
    <cellStyle name="Percent 6 2 2 4" xfId="12428" xr:uid="{00000000-0005-0000-0000-0000B22E0000}"/>
    <cellStyle name="Percent 6 2 3" xfId="12429" xr:uid="{00000000-0005-0000-0000-0000B32E0000}"/>
    <cellStyle name="Percent 6 2 3 2" xfId="12430" xr:uid="{00000000-0005-0000-0000-0000B42E0000}"/>
    <cellStyle name="Percent 6 2 3 2 2" xfId="12431" xr:uid="{00000000-0005-0000-0000-0000B52E0000}"/>
    <cellStyle name="Percent 6 2 3 3" xfId="12432" xr:uid="{00000000-0005-0000-0000-0000B62E0000}"/>
    <cellStyle name="Percent 6 2 3 3 2" xfId="12433" xr:uid="{00000000-0005-0000-0000-0000B72E0000}"/>
    <cellStyle name="Percent 6 2 3 4" xfId="12434" xr:uid="{00000000-0005-0000-0000-0000B82E0000}"/>
    <cellStyle name="Percent 6 2 4" xfId="12435" xr:uid="{00000000-0005-0000-0000-0000B92E0000}"/>
    <cellStyle name="Percent 6 2 4 2" xfId="12436" xr:uid="{00000000-0005-0000-0000-0000BA2E0000}"/>
    <cellStyle name="Percent 6 2 4 2 2" xfId="12437" xr:uid="{00000000-0005-0000-0000-0000BB2E0000}"/>
    <cellStyle name="Percent 6 2 4 3" xfId="12438" xr:uid="{00000000-0005-0000-0000-0000BC2E0000}"/>
    <cellStyle name="Percent 6 2 4 3 2" xfId="12439" xr:uid="{00000000-0005-0000-0000-0000BD2E0000}"/>
    <cellStyle name="Percent 6 2 4 4" xfId="12440" xr:uid="{00000000-0005-0000-0000-0000BE2E0000}"/>
    <cellStyle name="Percent 6 2 4 4 2" xfId="12441" xr:uid="{00000000-0005-0000-0000-0000BF2E0000}"/>
    <cellStyle name="Percent 6 2 4 5" xfId="12442" xr:uid="{00000000-0005-0000-0000-0000C02E0000}"/>
    <cellStyle name="Percent 6 2 5" xfId="12443" xr:uid="{00000000-0005-0000-0000-0000C12E0000}"/>
    <cellStyle name="Percent 6 2 5 2" xfId="12444" xr:uid="{00000000-0005-0000-0000-0000C22E0000}"/>
    <cellStyle name="Percent 6 2 5 2 2" xfId="12445" xr:uid="{00000000-0005-0000-0000-0000C32E0000}"/>
    <cellStyle name="Percent 6 2 5 3" xfId="12446" xr:uid="{00000000-0005-0000-0000-0000C42E0000}"/>
    <cellStyle name="Percent 6 2 5 3 2" xfId="12447" xr:uid="{00000000-0005-0000-0000-0000C52E0000}"/>
    <cellStyle name="Percent 6 2 5 4" xfId="12448" xr:uid="{00000000-0005-0000-0000-0000C62E0000}"/>
    <cellStyle name="Percent 6 2 6" xfId="12449" xr:uid="{00000000-0005-0000-0000-0000C72E0000}"/>
    <cellStyle name="Percent 6 2 6 2" xfId="12450" xr:uid="{00000000-0005-0000-0000-0000C82E0000}"/>
    <cellStyle name="Percent 6 2 7" xfId="12451" xr:uid="{00000000-0005-0000-0000-0000C92E0000}"/>
    <cellStyle name="Percent 6 2 7 2" xfId="12452" xr:uid="{00000000-0005-0000-0000-0000CA2E0000}"/>
    <cellStyle name="Percent 6 2 8" xfId="12453" xr:uid="{00000000-0005-0000-0000-0000CB2E0000}"/>
    <cellStyle name="Percent 6 2 8 2" xfId="12454" xr:uid="{00000000-0005-0000-0000-0000CC2E0000}"/>
    <cellStyle name="Percent 6 2 9" xfId="12455" xr:uid="{00000000-0005-0000-0000-0000CD2E0000}"/>
    <cellStyle name="Percent 6 20" xfId="12378" xr:uid="{00000000-0005-0000-0000-0000CE2E0000}"/>
    <cellStyle name="Percent 6 3" xfId="3004" xr:uid="{00000000-0005-0000-0000-0000CF2E0000}"/>
    <cellStyle name="Percent 6 3 10" xfId="12457" xr:uid="{00000000-0005-0000-0000-0000D02E0000}"/>
    <cellStyle name="Percent 6 3 11" xfId="12456" xr:uid="{00000000-0005-0000-0000-0000D12E0000}"/>
    <cellStyle name="Percent 6 3 2" xfId="4769" xr:uid="{00000000-0005-0000-0000-0000D22E0000}"/>
    <cellStyle name="Percent 6 3 2 2" xfId="12459" xr:uid="{00000000-0005-0000-0000-0000D32E0000}"/>
    <cellStyle name="Percent 6 3 2 2 2" xfId="12460" xr:uid="{00000000-0005-0000-0000-0000D42E0000}"/>
    <cellStyle name="Percent 6 3 2 3" xfId="12461" xr:uid="{00000000-0005-0000-0000-0000D52E0000}"/>
    <cellStyle name="Percent 6 3 2 3 2" xfId="12462" xr:uid="{00000000-0005-0000-0000-0000D62E0000}"/>
    <cellStyle name="Percent 6 3 2 4" xfId="12463" xr:uid="{00000000-0005-0000-0000-0000D72E0000}"/>
    <cellStyle name="Percent 6 3 2 5" xfId="12458" xr:uid="{00000000-0005-0000-0000-0000D82E0000}"/>
    <cellStyle name="Percent 6 3 3" xfId="12464" xr:uid="{00000000-0005-0000-0000-0000D92E0000}"/>
    <cellStyle name="Percent 6 3 3 2" xfId="12465" xr:uid="{00000000-0005-0000-0000-0000DA2E0000}"/>
    <cellStyle name="Percent 6 3 3 2 2" xfId="12466" xr:uid="{00000000-0005-0000-0000-0000DB2E0000}"/>
    <cellStyle name="Percent 6 3 3 3" xfId="12467" xr:uid="{00000000-0005-0000-0000-0000DC2E0000}"/>
    <cellStyle name="Percent 6 3 3 3 2" xfId="12468" xr:uid="{00000000-0005-0000-0000-0000DD2E0000}"/>
    <cellStyle name="Percent 6 3 3 4" xfId="12469" xr:uid="{00000000-0005-0000-0000-0000DE2E0000}"/>
    <cellStyle name="Percent 6 3 4" xfId="12470" xr:uid="{00000000-0005-0000-0000-0000DF2E0000}"/>
    <cellStyle name="Percent 6 3 4 2" xfId="12471" xr:uid="{00000000-0005-0000-0000-0000E02E0000}"/>
    <cellStyle name="Percent 6 3 4 2 2" xfId="12472" xr:uid="{00000000-0005-0000-0000-0000E12E0000}"/>
    <cellStyle name="Percent 6 3 4 3" xfId="12473" xr:uid="{00000000-0005-0000-0000-0000E22E0000}"/>
    <cellStyle name="Percent 6 3 4 3 2" xfId="12474" xr:uid="{00000000-0005-0000-0000-0000E32E0000}"/>
    <cellStyle name="Percent 6 3 4 4" xfId="12475" xr:uid="{00000000-0005-0000-0000-0000E42E0000}"/>
    <cellStyle name="Percent 6 3 4 4 2" xfId="12476" xr:uid="{00000000-0005-0000-0000-0000E52E0000}"/>
    <cellStyle name="Percent 6 3 4 5" xfId="12477" xr:uid="{00000000-0005-0000-0000-0000E62E0000}"/>
    <cellStyle name="Percent 6 3 5" xfId="12478" xr:uid="{00000000-0005-0000-0000-0000E72E0000}"/>
    <cellStyle name="Percent 6 3 5 2" xfId="12479" xr:uid="{00000000-0005-0000-0000-0000E82E0000}"/>
    <cellStyle name="Percent 6 3 5 2 2" xfId="12480" xr:uid="{00000000-0005-0000-0000-0000E92E0000}"/>
    <cellStyle name="Percent 6 3 5 3" xfId="12481" xr:uid="{00000000-0005-0000-0000-0000EA2E0000}"/>
    <cellStyle name="Percent 6 3 5 3 2" xfId="12482" xr:uid="{00000000-0005-0000-0000-0000EB2E0000}"/>
    <cellStyle name="Percent 6 3 5 4" xfId="12483" xr:uid="{00000000-0005-0000-0000-0000EC2E0000}"/>
    <cellStyle name="Percent 6 3 6" xfId="12484" xr:uid="{00000000-0005-0000-0000-0000ED2E0000}"/>
    <cellStyle name="Percent 6 3 6 2" xfId="12485" xr:uid="{00000000-0005-0000-0000-0000EE2E0000}"/>
    <cellStyle name="Percent 6 3 7" xfId="12486" xr:uid="{00000000-0005-0000-0000-0000EF2E0000}"/>
    <cellStyle name="Percent 6 3 7 2" xfId="12487" xr:uid="{00000000-0005-0000-0000-0000F02E0000}"/>
    <cellStyle name="Percent 6 3 8" xfId="12488" xr:uid="{00000000-0005-0000-0000-0000F12E0000}"/>
    <cellStyle name="Percent 6 3 8 2" xfId="12489" xr:uid="{00000000-0005-0000-0000-0000F22E0000}"/>
    <cellStyle name="Percent 6 3 9" xfId="12490" xr:uid="{00000000-0005-0000-0000-0000F32E0000}"/>
    <cellStyle name="Percent 6 4" xfId="4770" xr:uid="{00000000-0005-0000-0000-0000F42E0000}"/>
    <cellStyle name="Percent 6 4 10" xfId="12492" xr:uid="{00000000-0005-0000-0000-0000F52E0000}"/>
    <cellStyle name="Percent 6 4 11" xfId="12491" xr:uid="{00000000-0005-0000-0000-0000F62E0000}"/>
    <cellStyle name="Percent 6 4 2" xfId="12493" xr:uid="{00000000-0005-0000-0000-0000F72E0000}"/>
    <cellStyle name="Percent 6 4 2 2" xfId="12494" xr:uid="{00000000-0005-0000-0000-0000F82E0000}"/>
    <cellStyle name="Percent 6 4 2 2 2" xfId="12495" xr:uid="{00000000-0005-0000-0000-0000F92E0000}"/>
    <cellStyle name="Percent 6 4 2 3" xfId="12496" xr:uid="{00000000-0005-0000-0000-0000FA2E0000}"/>
    <cellStyle name="Percent 6 4 2 3 2" xfId="12497" xr:uid="{00000000-0005-0000-0000-0000FB2E0000}"/>
    <cellStyle name="Percent 6 4 2 4" xfId="12498" xr:uid="{00000000-0005-0000-0000-0000FC2E0000}"/>
    <cellStyle name="Percent 6 4 3" xfId="12499" xr:uid="{00000000-0005-0000-0000-0000FD2E0000}"/>
    <cellStyle name="Percent 6 4 3 2" xfId="12500" xr:uid="{00000000-0005-0000-0000-0000FE2E0000}"/>
    <cellStyle name="Percent 6 4 3 2 2" xfId="12501" xr:uid="{00000000-0005-0000-0000-0000FF2E0000}"/>
    <cellStyle name="Percent 6 4 3 3" xfId="12502" xr:uid="{00000000-0005-0000-0000-0000002F0000}"/>
    <cellStyle name="Percent 6 4 3 3 2" xfId="12503" xr:uid="{00000000-0005-0000-0000-0000012F0000}"/>
    <cellStyle name="Percent 6 4 3 4" xfId="12504" xr:uid="{00000000-0005-0000-0000-0000022F0000}"/>
    <cellStyle name="Percent 6 4 4" xfId="12505" xr:uid="{00000000-0005-0000-0000-0000032F0000}"/>
    <cellStyle name="Percent 6 4 4 2" xfId="12506" xr:uid="{00000000-0005-0000-0000-0000042F0000}"/>
    <cellStyle name="Percent 6 4 4 2 2" xfId="12507" xr:uid="{00000000-0005-0000-0000-0000052F0000}"/>
    <cellStyle name="Percent 6 4 4 3" xfId="12508" xr:uid="{00000000-0005-0000-0000-0000062F0000}"/>
    <cellStyle name="Percent 6 4 4 3 2" xfId="12509" xr:uid="{00000000-0005-0000-0000-0000072F0000}"/>
    <cellStyle name="Percent 6 4 4 4" xfId="12510" xr:uid="{00000000-0005-0000-0000-0000082F0000}"/>
    <cellStyle name="Percent 6 4 4 4 2" xfId="12511" xr:uid="{00000000-0005-0000-0000-0000092F0000}"/>
    <cellStyle name="Percent 6 4 4 5" xfId="12512" xr:uid="{00000000-0005-0000-0000-00000A2F0000}"/>
    <cellStyle name="Percent 6 4 5" xfId="12513" xr:uid="{00000000-0005-0000-0000-00000B2F0000}"/>
    <cellStyle name="Percent 6 4 5 2" xfId="12514" xr:uid="{00000000-0005-0000-0000-00000C2F0000}"/>
    <cellStyle name="Percent 6 4 5 2 2" xfId="12515" xr:uid="{00000000-0005-0000-0000-00000D2F0000}"/>
    <cellStyle name="Percent 6 4 5 3" xfId="12516" xr:uid="{00000000-0005-0000-0000-00000E2F0000}"/>
    <cellStyle name="Percent 6 4 5 3 2" xfId="12517" xr:uid="{00000000-0005-0000-0000-00000F2F0000}"/>
    <cellStyle name="Percent 6 4 5 4" xfId="12518" xr:uid="{00000000-0005-0000-0000-0000102F0000}"/>
    <cellStyle name="Percent 6 4 6" xfId="12519" xr:uid="{00000000-0005-0000-0000-0000112F0000}"/>
    <cellStyle name="Percent 6 4 6 2" xfId="12520" xr:uid="{00000000-0005-0000-0000-0000122F0000}"/>
    <cellStyle name="Percent 6 4 7" xfId="12521" xr:uid="{00000000-0005-0000-0000-0000132F0000}"/>
    <cellStyle name="Percent 6 4 7 2" xfId="12522" xr:uid="{00000000-0005-0000-0000-0000142F0000}"/>
    <cellStyle name="Percent 6 4 8" xfId="12523" xr:uid="{00000000-0005-0000-0000-0000152F0000}"/>
    <cellStyle name="Percent 6 4 8 2" xfId="12524" xr:uid="{00000000-0005-0000-0000-0000162F0000}"/>
    <cellStyle name="Percent 6 4 9" xfId="12525" xr:uid="{00000000-0005-0000-0000-0000172F0000}"/>
    <cellStyle name="Percent 6 5" xfId="4771" xr:uid="{00000000-0005-0000-0000-0000182F0000}"/>
    <cellStyle name="Percent 6 5 10" xfId="12527" xr:uid="{00000000-0005-0000-0000-0000192F0000}"/>
    <cellStyle name="Percent 6 5 11" xfId="12526" xr:uid="{00000000-0005-0000-0000-00001A2F0000}"/>
    <cellStyle name="Percent 6 5 2" xfId="12528" xr:uid="{00000000-0005-0000-0000-00001B2F0000}"/>
    <cellStyle name="Percent 6 5 2 2" xfId="12529" xr:uid="{00000000-0005-0000-0000-00001C2F0000}"/>
    <cellStyle name="Percent 6 5 2 2 2" xfId="12530" xr:uid="{00000000-0005-0000-0000-00001D2F0000}"/>
    <cellStyle name="Percent 6 5 2 3" xfId="12531" xr:uid="{00000000-0005-0000-0000-00001E2F0000}"/>
    <cellStyle name="Percent 6 5 2 3 2" xfId="12532" xr:uid="{00000000-0005-0000-0000-00001F2F0000}"/>
    <cellStyle name="Percent 6 5 2 4" xfId="12533" xr:uid="{00000000-0005-0000-0000-0000202F0000}"/>
    <cellStyle name="Percent 6 5 3" xfId="12534" xr:uid="{00000000-0005-0000-0000-0000212F0000}"/>
    <cellStyle name="Percent 6 5 3 2" xfId="12535" xr:uid="{00000000-0005-0000-0000-0000222F0000}"/>
    <cellStyle name="Percent 6 5 3 2 2" xfId="12536" xr:uid="{00000000-0005-0000-0000-0000232F0000}"/>
    <cellStyle name="Percent 6 5 3 3" xfId="12537" xr:uid="{00000000-0005-0000-0000-0000242F0000}"/>
    <cellStyle name="Percent 6 5 3 3 2" xfId="12538" xr:uid="{00000000-0005-0000-0000-0000252F0000}"/>
    <cellStyle name="Percent 6 5 3 4" xfId="12539" xr:uid="{00000000-0005-0000-0000-0000262F0000}"/>
    <cellStyle name="Percent 6 5 4" xfId="12540" xr:uid="{00000000-0005-0000-0000-0000272F0000}"/>
    <cellStyle name="Percent 6 5 4 2" xfId="12541" xr:uid="{00000000-0005-0000-0000-0000282F0000}"/>
    <cellStyle name="Percent 6 5 4 2 2" xfId="12542" xr:uid="{00000000-0005-0000-0000-0000292F0000}"/>
    <cellStyle name="Percent 6 5 4 3" xfId="12543" xr:uid="{00000000-0005-0000-0000-00002A2F0000}"/>
    <cellStyle name="Percent 6 5 4 3 2" xfId="12544" xr:uid="{00000000-0005-0000-0000-00002B2F0000}"/>
    <cellStyle name="Percent 6 5 4 4" xfId="12545" xr:uid="{00000000-0005-0000-0000-00002C2F0000}"/>
    <cellStyle name="Percent 6 5 4 4 2" xfId="12546" xr:uid="{00000000-0005-0000-0000-00002D2F0000}"/>
    <cellStyle name="Percent 6 5 4 5" xfId="12547" xr:uid="{00000000-0005-0000-0000-00002E2F0000}"/>
    <cellStyle name="Percent 6 5 5" xfId="12548" xr:uid="{00000000-0005-0000-0000-00002F2F0000}"/>
    <cellStyle name="Percent 6 5 5 2" xfId="12549" xr:uid="{00000000-0005-0000-0000-0000302F0000}"/>
    <cellStyle name="Percent 6 5 5 2 2" xfId="12550" xr:uid="{00000000-0005-0000-0000-0000312F0000}"/>
    <cellStyle name="Percent 6 5 5 3" xfId="12551" xr:uid="{00000000-0005-0000-0000-0000322F0000}"/>
    <cellStyle name="Percent 6 5 5 3 2" xfId="12552" xr:uid="{00000000-0005-0000-0000-0000332F0000}"/>
    <cellStyle name="Percent 6 5 5 4" xfId="12553" xr:uid="{00000000-0005-0000-0000-0000342F0000}"/>
    <cellStyle name="Percent 6 5 6" xfId="12554" xr:uid="{00000000-0005-0000-0000-0000352F0000}"/>
    <cellStyle name="Percent 6 5 6 2" xfId="12555" xr:uid="{00000000-0005-0000-0000-0000362F0000}"/>
    <cellStyle name="Percent 6 5 7" xfId="12556" xr:uid="{00000000-0005-0000-0000-0000372F0000}"/>
    <cellStyle name="Percent 6 5 7 2" xfId="12557" xr:uid="{00000000-0005-0000-0000-0000382F0000}"/>
    <cellStyle name="Percent 6 5 8" xfId="12558" xr:uid="{00000000-0005-0000-0000-0000392F0000}"/>
    <cellStyle name="Percent 6 5 8 2" xfId="12559" xr:uid="{00000000-0005-0000-0000-00003A2F0000}"/>
    <cellStyle name="Percent 6 5 9" xfId="12560" xr:uid="{00000000-0005-0000-0000-00003B2F0000}"/>
    <cellStyle name="Percent 6 6" xfId="4772" xr:uid="{00000000-0005-0000-0000-00003C2F0000}"/>
    <cellStyle name="Percent 6 6 10" xfId="12562" xr:uid="{00000000-0005-0000-0000-00003D2F0000}"/>
    <cellStyle name="Percent 6 6 11" xfId="12561" xr:uid="{00000000-0005-0000-0000-00003E2F0000}"/>
    <cellStyle name="Percent 6 6 2" xfId="12563" xr:uid="{00000000-0005-0000-0000-00003F2F0000}"/>
    <cellStyle name="Percent 6 6 2 2" xfId="12564" xr:uid="{00000000-0005-0000-0000-0000402F0000}"/>
    <cellStyle name="Percent 6 6 2 2 2" xfId="12565" xr:uid="{00000000-0005-0000-0000-0000412F0000}"/>
    <cellStyle name="Percent 6 6 2 3" xfId="12566" xr:uid="{00000000-0005-0000-0000-0000422F0000}"/>
    <cellStyle name="Percent 6 6 2 3 2" xfId="12567" xr:uid="{00000000-0005-0000-0000-0000432F0000}"/>
    <cellStyle name="Percent 6 6 2 4" xfId="12568" xr:uid="{00000000-0005-0000-0000-0000442F0000}"/>
    <cellStyle name="Percent 6 6 3" xfId="12569" xr:uid="{00000000-0005-0000-0000-0000452F0000}"/>
    <cellStyle name="Percent 6 6 3 2" xfId="12570" xr:uid="{00000000-0005-0000-0000-0000462F0000}"/>
    <cellStyle name="Percent 6 6 3 2 2" xfId="12571" xr:uid="{00000000-0005-0000-0000-0000472F0000}"/>
    <cellStyle name="Percent 6 6 3 3" xfId="12572" xr:uid="{00000000-0005-0000-0000-0000482F0000}"/>
    <cellStyle name="Percent 6 6 3 3 2" xfId="12573" xr:uid="{00000000-0005-0000-0000-0000492F0000}"/>
    <cellStyle name="Percent 6 6 3 4" xfId="12574" xr:uid="{00000000-0005-0000-0000-00004A2F0000}"/>
    <cellStyle name="Percent 6 6 4" xfId="12575" xr:uid="{00000000-0005-0000-0000-00004B2F0000}"/>
    <cellStyle name="Percent 6 6 4 2" xfId="12576" xr:uid="{00000000-0005-0000-0000-00004C2F0000}"/>
    <cellStyle name="Percent 6 6 4 2 2" xfId="12577" xr:uid="{00000000-0005-0000-0000-00004D2F0000}"/>
    <cellStyle name="Percent 6 6 4 3" xfId="12578" xr:uid="{00000000-0005-0000-0000-00004E2F0000}"/>
    <cellStyle name="Percent 6 6 4 3 2" xfId="12579" xr:uid="{00000000-0005-0000-0000-00004F2F0000}"/>
    <cellStyle name="Percent 6 6 4 4" xfId="12580" xr:uid="{00000000-0005-0000-0000-0000502F0000}"/>
    <cellStyle name="Percent 6 6 4 4 2" xfId="12581" xr:uid="{00000000-0005-0000-0000-0000512F0000}"/>
    <cellStyle name="Percent 6 6 4 5" xfId="12582" xr:uid="{00000000-0005-0000-0000-0000522F0000}"/>
    <cellStyle name="Percent 6 6 5" xfId="12583" xr:uid="{00000000-0005-0000-0000-0000532F0000}"/>
    <cellStyle name="Percent 6 6 5 2" xfId="12584" xr:uid="{00000000-0005-0000-0000-0000542F0000}"/>
    <cellStyle name="Percent 6 6 5 2 2" xfId="12585" xr:uid="{00000000-0005-0000-0000-0000552F0000}"/>
    <cellStyle name="Percent 6 6 5 3" xfId="12586" xr:uid="{00000000-0005-0000-0000-0000562F0000}"/>
    <cellStyle name="Percent 6 6 5 3 2" xfId="12587" xr:uid="{00000000-0005-0000-0000-0000572F0000}"/>
    <cellStyle name="Percent 6 6 5 4" xfId="12588" xr:uid="{00000000-0005-0000-0000-0000582F0000}"/>
    <cellStyle name="Percent 6 6 6" xfId="12589" xr:uid="{00000000-0005-0000-0000-0000592F0000}"/>
    <cellStyle name="Percent 6 6 6 2" xfId="12590" xr:uid="{00000000-0005-0000-0000-00005A2F0000}"/>
    <cellStyle name="Percent 6 6 7" xfId="12591" xr:uid="{00000000-0005-0000-0000-00005B2F0000}"/>
    <cellStyle name="Percent 6 6 7 2" xfId="12592" xr:uid="{00000000-0005-0000-0000-00005C2F0000}"/>
    <cellStyle name="Percent 6 6 8" xfId="12593" xr:uid="{00000000-0005-0000-0000-00005D2F0000}"/>
    <cellStyle name="Percent 6 6 8 2" xfId="12594" xr:uid="{00000000-0005-0000-0000-00005E2F0000}"/>
    <cellStyle name="Percent 6 6 9" xfId="12595" xr:uid="{00000000-0005-0000-0000-00005F2F0000}"/>
    <cellStyle name="Percent 6 7" xfId="4773" xr:uid="{00000000-0005-0000-0000-0000602F0000}"/>
    <cellStyle name="Percent 6 7 10" xfId="12597" xr:uid="{00000000-0005-0000-0000-0000612F0000}"/>
    <cellStyle name="Percent 6 7 11" xfId="12596" xr:uid="{00000000-0005-0000-0000-0000622F0000}"/>
    <cellStyle name="Percent 6 7 2" xfId="12598" xr:uid="{00000000-0005-0000-0000-0000632F0000}"/>
    <cellStyle name="Percent 6 7 2 2" xfId="12599" xr:uid="{00000000-0005-0000-0000-0000642F0000}"/>
    <cellStyle name="Percent 6 7 2 2 2" xfId="12600" xr:uid="{00000000-0005-0000-0000-0000652F0000}"/>
    <cellStyle name="Percent 6 7 2 3" xfId="12601" xr:uid="{00000000-0005-0000-0000-0000662F0000}"/>
    <cellStyle name="Percent 6 7 2 3 2" xfId="12602" xr:uid="{00000000-0005-0000-0000-0000672F0000}"/>
    <cellStyle name="Percent 6 7 2 4" xfId="12603" xr:uid="{00000000-0005-0000-0000-0000682F0000}"/>
    <cellStyle name="Percent 6 7 3" xfId="12604" xr:uid="{00000000-0005-0000-0000-0000692F0000}"/>
    <cellStyle name="Percent 6 7 3 2" xfId="12605" xr:uid="{00000000-0005-0000-0000-00006A2F0000}"/>
    <cellStyle name="Percent 6 7 3 2 2" xfId="12606" xr:uid="{00000000-0005-0000-0000-00006B2F0000}"/>
    <cellStyle name="Percent 6 7 3 3" xfId="12607" xr:uid="{00000000-0005-0000-0000-00006C2F0000}"/>
    <cellStyle name="Percent 6 7 3 3 2" xfId="12608" xr:uid="{00000000-0005-0000-0000-00006D2F0000}"/>
    <cellStyle name="Percent 6 7 3 4" xfId="12609" xr:uid="{00000000-0005-0000-0000-00006E2F0000}"/>
    <cellStyle name="Percent 6 7 4" xfId="12610" xr:uid="{00000000-0005-0000-0000-00006F2F0000}"/>
    <cellStyle name="Percent 6 7 4 2" xfId="12611" xr:uid="{00000000-0005-0000-0000-0000702F0000}"/>
    <cellStyle name="Percent 6 7 4 2 2" xfId="12612" xr:uid="{00000000-0005-0000-0000-0000712F0000}"/>
    <cellStyle name="Percent 6 7 4 3" xfId="12613" xr:uid="{00000000-0005-0000-0000-0000722F0000}"/>
    <cellStyle name="Percent 6 7 4 3 2" xfId="12614" xr:uid="{00000000-0005-0000-0000-0000732F0000}"/>
    <cellStyle name="Percent 6 7 4 4" xfId="12615" xr:uid="{00000000-0005-0000-0000-0000742F0000}"/>
    <cellStyle name="Percent 6 7 4 4 2" xfId="12616" xr:uid="{00000000-0005-0000-0000-0000752F0000}"/>
    <cellStyle name="Percent 6 7 4 5" xfId="12617" xr:uid="{00000000-0005-0000-0000-0000762F0000}"/>
    <cellStyle name="Percent 6 7 5" xfId="12618" xr:uid="{00000000-0005-0000-0000-0000772F0000}"/>
    <cellStyle name="Percent 6 7 5 2" xfId="12619" xr:uid="{00000000-0005-0000-0000-0000782F0000}"/>
    <cellStyle name="Percent 6 7 5 2 2" xfId="12620" xr:uid="{00000000-0005-0000-0000-0000792F0000}"/>
    <cellStyle name="Percent 6 7 5 3" xfId="12621" xr:uid="{00000000-0005-0000-0000-00007A2F0000}"/>
    <cellStyle name="Percent 6 7 5 3 2" xfId="12622" xr:uid="{00000000-0005-0000-0000-00007B2F0000}"/>
    <cellStyle name="Percent 6 7 5 4" xfId="12623" xr:uid="{00000000-0005-0000-0000-00007C2F0000}"/>
    <cellStyle name="Percent 6 7 6" xfId="12624" xr:uid="{00000000-0005-0000-0000-00007D2F0000}"/>
    <cellStyle name="Percent 6 7 6 2" xfId="12625" xr:uid="{00000000-0005-0000-0000-00007E2F0000}"/>
    <cellStyle name="Percent 6 7 7" xfId="12626" xr:uid="{00000000-0005-0000-0000-00007F2F0000}"/>
    <cellStyle name="Percent 6 7 7 2" xfId="12627" xr:uid="{00000000-0005-0000-0000-0000802F0000}"/>
    <cellStyle name="Percent 6 7 8" xfId="12628" xr:uid="{00000000-0005-0000-0000-0000812F0000}"/>
    <cellStyle name="Percent 6 7 8 2" xfId="12629" xr:uid="{00000000-0005-0000-0000-0000822F0000}"/>
    <cellStyle name="Percent 6 7 9" xfId="12630" xr:uid="{00000000-0005-0000-0000-0000832F0000}"/>
    <cellStyle name="Percent 6 8" xfId="4774" xr:uid="{00000000-0005-0000-0000-0000842F0000}"/>
    <cellStyle name="Percent 6 8 10" xfId="12632" xr:uid="{00000000-0005-0000-0000-0000852F0000}"/>
    <cellStyle name="Percent 6 8 11" xfId="12631" xr:uid="{00000000-0005-0000-0000-0000862F0000}"/>
    <cellStyle name="Percent 6 8 2" xfId="12633" xr:uid="{00000000-0005-0000-0000-0000872F0000}"/>
    <cellStyle name="Percent 6 8 2 2" xfId="12634" xr:uid="{00000000-0005-0000-0000-0000882F0000}"/>
    <cellStyle name="Percent 6 8 2 2 2" xfId="12635" xr:uid="{00000000-0005-0000-0000-0000892F0000}"/>
    <cellStyle name="Percent 6 8 2 3" xfId="12636" xr:uid="{00000000-0005-0000-0000-00008A2F0000}"/>
    <cellStyle name="Percent 6 8 2 3 2" xfId="12637" xr:uid="{00000000-0005-0000-0000-00008B2F0000}"/>
    <cellStyle name="Percent 6 8 2 4" xfId="12638" xr:uid="{00000000-0005-0000-0000-00008C2F0000}"/>
    <cellStyle name="Percent 6 8 3" xfId="12639" xr:uid="{00000000-0005-0000-0000-00008D2F0000}"/>
    <cellStyle name="Percent 6 8 3 2" xfId="12640" xr:uid="{00000000-0005-0000-0000-00008E2F0000}"/>
    <cellStyle name="Percent 6 8 3 2 2" xfId="12641" xr:uid="{00000000-0005-0000-0000-00008F2F0000}"/>
    <cellStyle name="Percent 6 8 3 3" xfId="12642" xr:uid="{00000000-0005-0000-0000-0000902F0000}"/>
    <cellStyle name="Percent 6 8 3 3 2" xfId="12643" xr:uid="{00000000-0005-0000-0000-0000912F0000}"/>
    <cellStyle name="Percent 6 8 3 4" xfId="12644" xr:uid="{00000000-0005-0000-0000-0000922F0000}"/>
    <cellStyle name="Percent 6 8 4" xfId="12645" xr:uid="{00000000-0005-0000-0000-0000932F0000}"/>
    <cellStyle name="Percent 6 8 4 2" xfId="12646" xr:uid="{00000000-0005-0000-0000-0000942F0000}"/>
    <cellStyle name="Percent 6 8 4 2 2" xfId="12647" xr:uid="{00000000-0005-0000-0000-0000952F0000}"/>
    <cellStyle name="Percent 6 8 4 3" xfId="12648" xr:uid="{00000000-0005-0000-0000-0000962F0000}"/>
    <cellStyle name="Percent 6 8 4 3 2" xfId="12649" xr:uid="{00000000-0005-0000-0000-0000972F0000}"/>
    <cellStyle name="Percent 6 8 4 4" xfId="12650" xr:uid="{00000000-0005-0000-0000-0000982F0000}"/>
    <cellStyle name="Percent 6 8 4 4 2" xfId="12651" xr:uid="{00000000-0005-0000-0000-0000992F0000}"/>
    <cellStyle name="Percent 6 8 4 5" xfId="12652" xr:uid="{00000000-0005-0000-0000-00009A2F0000}"/>
    <cellStyle name="Percent 6 8 5" xfId="12653" xr:uid="{00000000-0005-0000-0000-00009B2F0000}"/>
    <cellStyle name="Percent 6 8 5 2" xfId="12654" xr:uid="{00000000-0005-0000-0000-00009C2F0000}"/>
    <cellStyle name="Percent 6 8 5 2 2" xfId="12655" xr:uid="{00000000-0005-0000-0000-00009D2F0000}"/>
    <cellStyle name="Percent 6 8 5 3" xfId="12656" xr:uid="{00000000-0005-0000-0000-00009E2F0000}"/>
    <cellStyle name="Percent 6 8 5 3 2" xfId="12657" xr:uid="{00000000-0005-0000-0000-00009F2F0000}"/>
    <cellStyle name="Percent 6 8 5 4" xfId="12658" xr:uid="{00000000-0005-0000-0000-0000A02F0000}"/>
    <cellStyle name="Percent 6 8 6" xfId="12659" xr:uid="{00000000-0005-0000-0000-0000A12F0000}"/>
    <cellStyle name="Percent 6 8 6 2" xfId="12660" xr:uid="{00000000-0005-0000-0000-0000A22F0000}"/>
    <cellStyle name="Percent 6 8 7" xfId="12661" xr:uid="{00000000-0005-0000-0000-0000A32F0000}"/>
    <cellStyle name="Percent 6 8 7 2" xfId="12662" xr:uid="{00000000-0005-0000-0000-0000A42F0000}"/>
    <cellStyle name="Percent 6 8 8" xfId="12663" xr:uid="{00000000-0005-0000-0000-0000A52F0000}"/>
    <cellStyle name="Percent 6 8 8 2" xfId="12664" xr:uid="{00000000-0005-0000-0000-0000A62F0000}"/>
    <cellStyle name="Percent 6 8 9" xfId="12665" xr:uid="{00000000-0005-0000-0000-0000A72F0000}"/>
    <cellStyle name="Percent 6 9" xfId="12666" xr:uid="{00000000-0005-0000-0000-0000A82F0000}"/>
    <cellStyle name="Percent 6 9 10" xfId="12667" xr:uid="{00000000-0005-0000-0000-0000A92F0000}"/>
    <cellStyle name="Percent 6 9 2" xfId="12668" xr:uid="{00000000-0005-0000-0000-0000AA2F0000}"/>
    <cellStyle name="Percent 6 9 2 2" xfId="12669" xr:uid="{00000000-0005-0000-0000-0000AB2F0000}"/>
    <cellStyle name="Percent 6 9 2 2 2" xfId="12670" xr:uid="{00000000-0005-0000-0000-0000AC2F0000}"/>
    <cellStyle name="Percent 6 9 2 3" xfId="12671" xr:uid="{00000000-0005-0000-0000-0000AD2F0000}"/>
    <cellStyle name="Percent 6 9 2 3 2" xfId="12672" xr:uid="{00000000-0005-0000-0000-0000AE2F0000}"/>
    <cellStyle name="Percent 6 9 2 4" xfId="12673" xr:uid="{00000000-0005-0000-0000-0000AF2F0000}"/>
    <cellStyle name="Percent 6 9 3" xfId="12674" xr:uid="{00000000-0005-0000-0000-0000B02F0000}"/>
    <cellStyle name="Percent 6 9 3 2" xfId="12675" xr:uid="{00000000-0005-0000-0000-0000B12F0000}"/>
    <cellStyle name="Percent 6 9 3 2 2" xfId="12676" xr:uid="{00000000-0005-0000-0000-0000B22F0000}"/>
    <cellStyle name="Percent 6 9 3 3" xfId="12677" xr:uid="{00000000-0005-0000-0000-0000B32F0000}"/>
    <cellStyle name="Percent 6 9 3 3 2" xfId="12678" xr:uid="{00000000-0005-0000-0000-0000B42F0000}"/>
    <cellStyle name="Percent 6 9 3 4" xfId="12679" xr:uid="{00000000-0005-0000-0000-0000B52F0000}"/>
    <cellStyle name="Percent 6 9 4" xfId="12680" xr:uid="{00000000-0005-0000-0000-0000B62F0000}"/>
    <cellStyle name="Percent 6 9 4 2" xfId="12681" xr:uid="{00000000-0005-0000-0000-0000B72F0000}"/>
    <cellStyle name="Percent 6 9 4 2 2" xfId="12682" xr:uid="{00000000-0005-0000-0000-0000B82F0000}"/>
    <cellStyle name="Percent 6 9 4 3" xfId="12683" xr:uid="{00000000-0005-0000-0000-0000B92F0000}"/>
    <cellStyle name="Percent 6 9 4 3 2" xfId="12684" xr:uid="{00000000-0005-0000-0000-0000BA2F0000}"/>
    <cellStyle name="Percent 6 9 4 4" xfId="12685" xr:uid="{00000000-0005-0000-0000-0000BB2F0000}"/>
    <cellStyle name="Percent 6 9 4 4 2" xfId="12686" xr:uid="{00000000-0005-0000-0000-0000BC2F0000}"/>
    <cellStyle name="Percent 6 9 4 5" xfId="12687" xr:uid="{00000000-0005-0000-0000-0000BD2F0000}"/>
    <cellStyle name="Percent 6 9 5" xfId="12688" xr:uid="{00000000-0005-0000-0000-0000BE2F0000}"/>
    <cellStyle name="Percent 6 9 5 2" xfId="12689" xr:uid="{00000000-0005-0000-0000-0000BF2F0000}"/>
    <cellStyle name="Percent 6 9 5 2 2" xfId="12690" xr:uid="{00000000-0005-0000-0000-0000C02F0000}"/>
    <cellStyle name="Percent 6 9 5 3" xfId="12691" xr:uid="{00000000-0005-0000-0000-0000C12F0000}"/>
    <cellStyle name="Percent 6 9 5 3 2" xfId="12692" xr:uid="{00000000-0005-0000-0000-0000C22F0000}"/>
    <cellStyle name="Percent 6 9 5 4" xfId="12693" xr:uid="{00000000-0005-0000-0000-0000C32F0000}"/>
    <cellStyle name="Percent 6 9 6" xfId="12694" xr:uid="{00000000-0005-0000-0000-0000C42F0000}"/>
    <cellStyle name="Percent 6 9 6 2" xfId="12695" xr:uid="{00000000-0005-0000-0000-0000C52F0000}"/>
    <cellStyle name="Percent 6 9 7" xfId="12696" xr:uid="{00000000-0005-0000-0000-0000C62F0000}"/>
    <cellStyle name="Percent 6 9 7 2" xfId="12697" xr:uid="{00000000-0005-0000-0000-0000C72F0000}"/>
    <cellStyle name="Percent 6 9 8" xfId="12698" xr:uid="{00000000-0005-0000-0000-0000C82F0000}"/>
    <cellStyle name="Percent 6 9 8 2" xfId="12699" xr:uid="{00000000-0005-0000-0000-0000C92F0000}"/>
    <cellStyle name="Percent 6 9 9" xfId="12700" xr:uid="{00000000-0005-0000-0000-0000CA2F0000}"/>
    <cellStyle name="Percent 7" xfId="337" xr:uid="{00000000-0005-0000-0000-0000CB2F0000}"/>
    <cellStyle name="Percent 7 10" xfId="12702" xr:uid="{00000000-0005-0000-0000-0000CC2F0000}"/>
    <cellStyle name="Percent 7 10 2" xfId="12703" xr:uid="{00000000-0005-0000-0000-0000CD2F0000}"/>
    <cellStyle name="Percent 7 10 2 2" xfId="12704" xr:uid="{00000000-0005-0000-0000-0000CE2F0000}"/>
    <cellStyle name="Percent 7 10 3" xfId="12705" xr:uid="{00000000-0005-0000-0000-0000CF2F0000}"/>
    <cellStyle name="Percent 7 10 3 2" xfId="12706" xr:uid="{00000000-0005-0000-0000-0000D02F0000}"/>
    <cellStyle name="Percent 7 10 4" xfId="12707" xr:uid="{00000000-0005-0000-0000-0000D12F0000}"/>
    <cellStyle name="Percent 7 10 5" xfId="12708" xr:uid="{00000000-0005-0000-0000-0000D22F0000}"/>
    <cellStyle name="Percent 7 11" xfId="12709" xr:uid="{00000000-0005-0000-0000-0000D32F0000}"/>
    <cellStyle name="Percent 7 11 2" xfId="12710" xr:uid="{00000000-0005-0000-0000-0000D42F0000}"/>
    <cellStyle name="Percent 7 11 2 2" xfId="12711" xr:uid="{00000000-0005-0000-0000-0000D52F0000}"/>
    <cellStyle name="Percent 7 11 3" xfId="12712" xr:uid="{00000000-0005-0000-0000-0000D62F0000}"/>
    <cellStyle name="Percent 7 11 3 2" xfId="12713" xr:uid="{00000000-0005-0000-0000-0000D72F0000}"/>
    <cellStyle name="Percent 7 11 4" xfId="12714" xr:uid="{00000000-0005-0000-0000-0000D82F0000}"/>
    <cellStyle name="Percent 7 12" xfId="12715" xr:uid="{00000000-0005-0000-0000-0000D92F0000}"/>
    <cellStyle name="Percent 7 12 2" xfId="12716" xr:uid="{00000000-0005-0000-0000-0000DA2F0000}"/>
    <cellStyle name="Percent 7 12 2 2" xfId="12717" xr:uid="{00000000-0005-0000-0000-0000DB2F0000}"/>
    <cellStyle name="Percent 7 12 3" xfId="12718" xr:uid="{00000000-0005-0000-0000-0000DC2F0000}"/>
    <cellStyle name="Percent 7 12 3 2" xfId="12719" xr:uid="{00000000-0005-0000-0000-0000DD2F0000}"/>
    <cellStyle name="Percent 7 12 4" xfId="12720" xr:uid="{00000000-0005-0000-0000-0000DE2F0000}"/>
    <cellStyle name="Percent 7 13" xfId="12721" xr:uid="{00000000-0005-0000-0000-0000DF2F0000}"/>
    <cellStyle name="Percent 7 13 2" xfId="12722" xr:uid="{00000000-0005-0000-0000-0000E02F0000}"/>
    <cellStyle name="Percent 7 13 2 2" xfId="12723" xr:uid="{00000000-0005-0000-0000-0000E12F0000}"/>
    <cellStyle name="Percent 7 13 3" xfId="12724" xr:uid="{00000000-0005-0000-0000-0000E22F0000}"/>
    <cellStyle name="Percent 7 13 3 2" xfId="12725" xr:uid="{00000000-0005-0000-0000-0000E32F0000}"/>
    <cellStyle name="Percent 7 13 4" xfId="12726" xr:uid="{00000000-0005-0000-0000-0000E42F0000}"/>
    <cellStyle name="Percent 7 13 4 2" xfId="12727" xr:uid="{00000000-0005-0000-0000-0000E52F0000}"/>
    <cellStyle name="Percent 7 13 5" xfId="12728" xr:uid="{00000000-0005-0000-0000-0000E62F0000}"/>
    <cellStyle name="Percent 7 14" xfId="12729" xr:uid="{00000000-0005-0000-0000-0000E72F0000}"/>
    <cellStyle name="Percent 7 14 2" xfId="12730" xr:uid="{00000000-0005-0000-0000-0000E82F0000}"/>
    <cellStyle name="Percent 7 14 2 2" xfId="12731" xr:uid="{00000000-0005-0000-0000-0000E92F0000}"/>
    <cellStyle name="Percent 7 14 3" xfId="12732" xr:uid="{00000000-0005-0000-0000-0000EA2F0000}"/>
    <cellStyle name="Percent 7 14 3 2" xfId="12733" xr:uid="{00000000-0005-0000-0000-0000EB2F0000}"/>
    <cellStyle name="Percent 7 14 4" xfId="12734" xr:uid="{00000000-0005-0000-0000-0000EC2F0000}"/>
    <cellStyle name="Percent 7 15" xfId="12735" xr:uid="{00000000-0005-0000-0000-0000ED2F0000}"/>
    <cellStyle name="Percent 7 15 2" xfId="12736" xr:uid="{00000000-0005-0000-0000-0000EE2F0000}"/>
    <cellStyle name="Percent 7 16" xfId="12737" xr:uid="{00000000-0005-0000-0000-0000EF2F0000}"/>
    <cellStyle name="Percent 7 16 2" xfId="12738" xr:uid="{00000000-0005-0000-0000-0000F02F0000}"/>
    <cellStyle name="Percent 7 17" xfId="12739" xr:uid="{00000000-0005-0000-0000-0000F12F0000}"/>
    <cellStyle name="Percent 7 17 2" xfId="12740" xr:uid="{00000000-0005-0000-0000-0000F22F0000}"/>
    <cellStyle name="Percent 7 18" xfId="12741" xr:uid="{00000000-0005-0000-0000-0000F32F0000}"/>
    <cellStyle name="Percent 7 19" xfId="12742" xr:uid="{00000000-0005-0000-0000-0000F42F0000}"/>
    <cellStyle name="Percent 7 2" xfId="3006" xr:uid="{00000000-0005-0000-0000-0000F52F0000}"/>
    <cellStyle name="Percent 7 2 10" xfId="12744" xr:uid="{00000000-0005-0000-0000-0000F62F0000}"/>
    <cellStyle name="Percent 7 2 11" xfId="12743" xr:uid="{00000000-0005-0000-0000-0000F72F0000}"/>
    <cellStyle name="Percent 7 2 2" xfId="12745" xr:uid="{00000000-0005-0000-0000-0000F82F0000}"/>
    <cellStyle name="Percent 7 2 2 2" xfId="12746" xr:uid="{00000000-0005-0000-0000-0000F92F0000}"/>
    <cellStyle name="Percent 7 2 2 2 2" xfId="12747" xr:uid="{00000000-0005-0000-0000-0000FA2F0000}"/>
    <cellStyle name="Percent 7 2 2 3" xfId="12748" xr:uid="{00000000-0005-0000-0000-0000FB2F0000}"/>
    <cellStyle name="Percent 7 2 2 3 2" xfId="12749" xr:uid="{00000000-0005-0000-0000-0000FC2F0000}"/>
    <cellStyle name="Percent 7 2 2 4" xfId="12750" xr:uid="{00000000-0005-0000-0000-0000FD2F0000}"/>
    <cellStyle name="Percent 7 2 3" xfId="12751" xr:uid="{00000000-0005-0000-0000-0000FE2F0000}"/>
    <cellStyle name="Percent 7 2 3 2" xfId="12752" xr:uid="{00000000-0005-0000-0000-0000FF2F0000}"/>
    <cellStyle name="Percent 7 2 3 2 2" xfId="12753" xr:uid="{00000000-0005-0000-0000-000000300000}"/>
    <cellStyle name="Percent 7 2 3 3" xfId="12754" xr:uid="{00000000-0005-0000-0000-000001300000}"/>
    <cellStyle name="Percent 7 2 3 3 2" xfId="12755" xr:uid="{00000000-0005-0000-0000-000002300000}"/>
    <cellStyle name="Percent 7 2 3 4" xfId="12756" xr:uid="{00000000-0005-0000-0000-000003300000}"/>
    <cellStyle name="Percent 7 2 4" xfId="12757" xr:uid="{00000000-0005-0000-0000-000004300000}"/>
    <cellStyle name="Percent 7 2 4 2" xfId="12758" xr:uid="{00000000-0005-0000-0000-000005300000}"/>
    <cellStyle name="Percent 7 2 4 2 2" xfId="12759" xr:uid="{00000000-0005-0000-0000-000006300000}"/>
    <cellStyle name="Percent 7 2 4 3" xfId="12760" xr:uid="{00000000-0005-0000-0000-000007300000}"/>
    <cellStyle name="Percent 7 2 4 3 2" xfId="12761" xr:uid="{00000000-0005-0000-0000-000008300000}"/>
    <cellStyle name="Percent 7 2 4 4" xfId="12762" xr:uid="{00000000-0005-0000-0000-000009300000}"/>
    <cellStyle name="Percent 7 2 4 4 2" xfId="12763" xr:uid="{00000000-0005-0000-0000-00000A300000}"/>
    <cellStyle name="Percent 7 2 4 5" xfId="12764" xr:uid="{00000000-0005-0000-0000-00000B300000}"/>
    <cellStyle name="Percent 7 2 5" xfId="12765" xr:uid="{00000000-0005-0000-0000-00000C300000}"/>
    <cellStyle name="Percent 7 2 5 2" xfId="12766" xr:uid="{00000000-0005-0000-0000-00000D300000}"/>
    <cellStyle name="Percent 7 2 5 2 2" xfId="12767" xr:uid="{00000000-0005-0000-0000-00000E300000}"/>
    <cellStyle name="Percent 7 2 5 3" xfId="12768" xr:uid="{00000000-0005-0000-0000-00000F300000}"/>
    <cellStyle name="Percent 7 2 5 3 2" xfId="12769" xr:uid="{00000000-0005-0000-0000-000010300000}"/>
    <cellStyle name="Percent 7 2 5 4" xfId="12770" xr:uid="{00000000-0005-0000-0000-000011300000}"/>
    <cellStyle name="Percent 7 2 6" xfId="12771" xr:uid="{00000000-0005-0000-0000-000012300000}"/>
    <cellStyle name="Percent 7 2 6 2" xfId="12772" xr:uid="{00000000-0005-0000-0000-000013300000}"/>
    <cellStyle name="Percent 7 2 7" xfId="12773" xr:uid="{00000000-0005-0000-0000-000014300000}"/>
    <cellStyle name="Percent 7 2 7 2" xfId="12774" xr:uid="{00000000-0005-0000-0000-000015300000}"/>
    <cellStyle name="Percent 7 2 8" xfId="12775" xr:uid="{00000000-0005-0000-0000-000016300000}"/>
    <cellStyle name="Percent 7 2 8 2" xfId="12776" xr:uid="{00000000-0005-0000-0000-000017300000}"/>
    <cellStyle name="Percent 7 2 9" xfId="12777" xr:uid="{00000000-0005-0000-0000-000018300000}"/>
    <cellStyle name="Percent 7 20" xfId="12701" xr:uid="{00000000-0005-0000-0000-000019300000}"/>
    <cellStyle name="Percent 7 3" xfId="4775" xr:uid="{00000000-0005-0000-0000-00001A300000}"/>
    <cellStyle name="Percent 7 3 10" xfId="12779" xr:uid="{00000000-0005-0000-0000-00001B300000}"/>
    <cellStyle name="Percent 7 3 11" xfId="12778" xr:uid="{00000000-0005-0000-0000-00001C300000}"/>
    <cellStyle name="Percent 7 3 2" xfId="12780" xr:uid="{00000000-0005-0000-0000-00001D300000}"/>
    <cellStyle name="Percent 7 3 2 2" xfId="12781" xr:uid="{00000000-0005-0000-0000-00001E300000}"/>
    <cellStyle name="Percent 7 3 2 2 2" xfId="12782" xr:uid="{00000000-0005-0000-0000-00001F300000}"/>
    <cellStyle name="Percent 7 3 2 3" xfId="12783" xr:uid="{00000000-0005-0000-0000-000020300000}"/>
    <cellStyle name="Percent 7 3 2 3 2" xfId="12784" xr:uid="{00000000-0005-0000-0000-000021300000}"/>
    <cellStyle name="Percent 7 3 2 4" xfId="12785" xr:uid="{00000000-0005-0000-0000-000022300000}"/>
    <cellStyle name="Percent 7 3 3" xfId="12786" xr:uid="{00000000-0005-0000-0000-000023300000}"/>
    <cellStyle name="Percent 7 3 3 2" xfId="12787" xr:uid="{00000000-0005-0000-0000-000024300000}"/>
    <cellStyle name="Percent 7 3 3 2 2" xfId="12788" xr:uid="{00000000-0005-0000-0000-000025300000}"/>
    <cellStyle name="Percent 7 3 3 3" xfId="12789" xr:uid="{00000000-0005-0000-0000-000026300000}"/>
    <cellStyle name="Percent 7 3 3 3 2" xfId="12790" xr:uid="{00000000-0005-0000-0000-000027300000}"/>
    <cellStyle name="Percent 7 3 3 4" xfId="12791" xr:uid="{00000000-0005-0000-0000-000028300000}"/>
    <cellStyle name="Percent 7 3 4" xfId="12792" xr:uid="{00000000-0005-0000-0000-000029300000}"/>
    <cellStyle name="Percent 7 3 4 2" xfId="12793" xr:uid="{00000000-0005-0000-0000-00002A300000}"/>
    <cellStyle name="Percent 7 3 4 2 2" xfId="12794" xr:uid="{00000000-0005-0000-0000-00002B300000}"/>
    <cellStyle name="Percent 7 3 4 3" xfId="12795" xr:uid="{00000000-0005-0000-0000-00002C300000}"/>
    <cellStyle name="Percent 7 3 4 3 2" xfId="12796" xr:uid="{00000000-0005-0000-0000-00002D300000}"/>
    <cellStyle name="Percent 7 3 4 4" xfId="12797" xr:uid="{00000000-0005-0000-0000-00002E300000}"/>
    <cellStyle name="Percent 7 3 4 4 2" xfId="12798" xr:uid="{00000000-0005-0000-0000-00002F300000}"/>
    <cellStyle name="Percent 7 3 4 5" xfId="12799" xr:uid="{00000000-0005-0000-0000-000030300000}"/>
    <cellStyle name="Percent 7 3 5" xfId="12800" xr:uid="{00000000-0005-0000-0000-000031300000}"/>
    <cellStyle name="Percent 7 3 5 2" xfId="12801" xr:uid="{00000000-0005-0000-0000-000032300000}"/>
    <cellStyle name="Percent 7 3 5 2 2" xfId="12802" xr:uid="{00000000-0005-0000-0000-000033300000}"/>
    <cellStyle name="Percent 7 3 5 3" xfId="12803" xr:uid="{00000000-0005-0000-0000-000034300000}"/>
    <cellStyle name="Percent 7 3 5 3 2" xfId="12804" xr:uid="{00000000-0005-0000-0000-000035300000}"/>
    <cellStyle name="Percent 7 3 5 4" xfId="12805" xr:uid="{00000000-0005-0000-0000-000036300000}"/>
    <cellStyle name="Percent 7 3 6" xfId="12806" xr:uid="{00000000-0005-0000-0000-000037300000}"/>
    <cellStyle name="Percent 7 3 6 2" xfId="12807" xr:uid="{00000000-0005-0000-0000-000038300000}"/>
    <cellStyle name="Percent 7 3 7" xfId="12808" xr:uid="{00000000-0005-0000-0000-000039300000}"/>
    <cellStyle name="Percent 7 3 7 2" xfId="12809" xr:uid="{00000000-0005-0000-0000-00003A300000}"/>
    <cellStyle name="Percent 7 3 8" xfId="12810" xr:uid="{00000000-0005-0000-0000-00003B300000}"/>
    <cellStyle name="Percent 7 3 8 2" xfId="12811" xr:uid="{00000000-0005-0000-0000-00003C300000}"/>
    <cellStyle name="Percent 7 3 9" xfId="12812" xr:uid="{00000000-0005-0000-0000-00003D300000}"/>
    <cellStyle name="Percent 7 4" xfId="4776" xr:uid="{00000000-0005-0000-0000-00003E300000}"/>
    <cellStyle name="Percent 7 4 10" xfId="12814" xr:uid="{00000000-0005-0000-0000-00003F300000}"/>
    <cellStyle name="Percent 7 4 11" xfId="12813" xr:uid="{00000000-0005-0000-0000-000040300000}"/>
    <cellStyle name="Percent 7 4 2" xfId="12815" xr:uid="{00000000-0005-0000-0000-000041300000}"/>
    <cellStyle name="Percent 7 4 2 2" xfId="12816" xr:uid="{00000000-0005-0000-0000-000042300000}"/>
    <cellStyle name="Percent 7 4 2 2 2" xfId="12817" xr:uid="{00000000-0005-0000-0000-000043300000}"/>
    <cellStyle name="Percent 7 4 2 3" xfId="12818" xr:uid="{00000000-0005-0000-0000-000044300000}"/>
    <cellStyle name="Percent 7 4 2 3 2" xfId="12819" xr:uid="{00000000-0005-0000-0000-000045300000}"/>
    <cellStyle name="Percent 7 4 2 4" xfId="12820" xr:uid="{00000000-0005-0000-0000-000046300000}"/>
    <cellStyle name="Percent 7 4 3" xfId="12821" xr:uid="{00000000-0005-0000-0000-000047300000}"/>
    <cellStyle name="Percent 7 4 3 2" xfId="12822" xr:uid="{00000000-0005-0000-0000-000048300000}"/>
    <cellStyle name="Percent 7 4 3 2 2" xfId="12823" xr:uid="{00000000-0005-0000-0000-000049300000}"/>
    <cellStyle name="Percent 7 4 3 3" xfId="12824" xr:uid="{00000000-0005-0000-0000-00004A300000}"/>
    <cellStyle name="Percent 7 4 3 3 2" xfId="12825" xr:uid="{00000000-0005-0000-0000-00004B300000}"/>
    <cellStyle name="Percent 7 4 3 4" xfId="12826" xr:uid="{00000000-0005-0000-0000-00004C300000}"/>
    <cellStyle name="Percent 7 4 4" xfId="12827" xr:uid="{00000000-0005-0000-0000-00004D300000}"/>
    <cellStyle name="Percent 7 4 4 2" xfId="12828" xr:uid="{00000000-0005-0000-0000-00004E300000}"/>
    <cellStyle name="Percent 7 4 4 2 2" xfId="12829" xr:uid="{00000000-0005-0000-0000-00004F300000}"/>
    <cellStyle name="Percent 7 4 4 3" xfId="12830" xr:uid="{00000000-0005-0000-0000-000050300000}"/>
    <cellStyle name="Percent 7 4 4 3 2" xfId="12831" xr:uid="{00000000-0005-0000-0000-000051300000}"/>
    <cellStyle name="Percent 7 4 4 4" xfId="12832" xr:uid="{00000000-0005-0000-0000-000052300000}"/>
    <cellStyle name="Percent 7 4 4 4 2" xfId="12833" xr:uid="{00000000-0005-0000-0000-000053300000}"/>
    <cellStyle name="Percent 7 4 4 5" xfId="12834" xr:uid="{00000000-0005-0000-0000-000054300000}"/>
    <cellStyle name="Percent 7 4 5" xfId="12835" xr:uid="{00000000-0005-0000-0000-000055300000}"/>
    <cellStyle name="Percent 7 4 5 2" xfId="12836" xr:uid="{00000000-0005-0000-0000-000056300000}"/>
    <cellStyle name="Percent 7 4 5 2 2" xfId="12837" xr:uid="{00000000-0005-0000-0000-000057300000}"/>
    <cellStyle name="Percent 7 4 5 3" xfId="12838" xr:uid="{00000000-0005-0000-0000-000058300000}"/>
    <cellStyle name="Percent 7 4 5 3 2" xfId="12839" xr:uid="{00000000-0005-0000-0000-000059300000}"/>
    <cellStyle name="Percent 7 4 5 4" xfId="12840" xr:uid="{00000000-0005-0000-0000-00005A300000}"/>
    <cellStyle name="Percent 7 4 6" xfId="12841" xr:uid="{00000000-0005-0000-0000-00005B300000}"/>
    <cellStyle name="Percent 7 4 6 2" xfId="12842" xr:uid="{00000000-0005-0000-0000-00005C300000}"/>
    <cellStyle name="Percent 7 4 7" xfId="12843" xr:uid="{00000000-0005-0000-0000-00005D300000}"/>
    <cellStyle name="Percent 7 4 7 2" xfId="12844" xr:uid="{00000000-0005-0000-0000-00005E300000}"/>
    <cellStyle name="Percent 7 4 8" xfId="12845" xr:uid="{00000000-0005-0000-0000-00005F300000}"/>
    <cellStyle name="Percent 7 4 8 2" xfId="12846" xr:uid="{00000000-0005-0000-0000-000060300000}"/>
    <cellStyle name="Percent 7 4 9" xfId="12847" xr:uid="{00000000-0005-0000-0000-000061300000}"/>
    <cellStyle name="Percent 7 5" xfId="4777" xr:uid="{00000000-0005-0000-0000-000062300000}"/>
    <cellStyle name="Percent 7 5 10" xfId="12849" xr:uid="{00000000-0005-0000-0000-000063300000}"/>
    <cellStyle name="Percent 7 5 11" xfId="12848" xr:uid="{00000000-0005-0000-0000-000064300000}"/>
    <cellStyle name="Percent 7 5 2" xfId="12850" xr:uid="{00000000-0005-0000-0000-000065300000}"/>
    <cellStyle name="Percent 7 5 2 2" xfId="12851" xr:uid="{00000000-0005-0000-0000-000066300000}"/>
    <cellStyle name="Percent 7 5 2 2 2" xfId="12852" xr:uid="{00000000-0005-0000-0000-000067300000}"/>
    <cellStyle name="Percent 7 5 2 3" xfId="12853" xr:uid="{00000000-0005-0000-0000-000068300000}"/>
    <cellStyle name="Percent 7 5 2 3 2" xfId="12854" xr:uid="{00000000-0005-0000-0000-000069300000}"/>
    <cellStyle name="Percent 7 5 2 4" xfId="12855" xr:uid="{00000000-0005-0000-0000-00006A300000}"/>
    <cellStyle name="Percent 7 5 3" xfId="12856" xr:uid="{00000000-0005-0000-0000-00006B300000}"/>
    <cellStyle name="Percent 7 5 3 2" xfId="12857" xr:uid="{00000000-0005-0000-0000-00006C300000}"/>
    <cellStyle name="Percent 7 5 3 2 2" xfId="12858" xr:uid="{00000000-0005-0000-0000-00006D300000}"/>
    <cellStyle name="Percent 7 5 3 3" xfId="12859" xr:uid="{00000000-0005-0000-0000-00006E300000}"/>
    <cellStyle name="Percent 7 5 3 3 2" xfId="12860" xr:uid="{00000000-0005-0000-0000-00006F300000}"/>
    <cellStyle name="Percent 7 5 3 4" xfId="12861" xr:uid="{00000000-0005-0000-0000-000070300000}"/>
    <cellStyle name="Percent 7 5 4" xfId="12862" xr:uid="{00000000-0005-0000-0000-000071300000}"/>
    <cellStyle name="Percent 7 5 4 2" xfId="12863" xr:uid="{00000000-0005-0000-0000-000072300000}"/>
    <cellStyle name="Percent 7 5 4 2 2" xfId="12864" xr:uid="{00000000-0005-0000-0000-000073300000}"/>
    <cellStyle name="Percent 7 5 4 3" xfId="12865" xr:uid="{00000000-0005-0000-0000-000074300000}"/>
    <cellStyle name="Percent 7 5 4 3 2" xfId="12866" xr:uid="{00000000-0005-0000-0000-000075300000}"/>
    <cellStyle name="Percent 7 5 4 4" xfId="12867" xr:uid="{00000000-0005-0000-0000-000076300000}"/>
    <cellStyle name="Percent 7 5 4 4 2" xfId="12868" xr:uid="{00000000-0005-0000-0000-000077300000}"/>
    <cellStyle name="Percent 7 5 4 5" xfId="12869" xr:uid="{00000000-0005-0000-0000-000078300000}"/>
    <cellStyle name="Percent 7 5 5" xfId="12870" xr:uid="{00000000-0005-0000-0000-000079300000}"/>
    <cellStyle name="Percent 7 5 5 2" xfId="12871" xr:uid="{00000000-0005-0000-0000-00007A300000}"/>
    <cellStyle name="Percent 7 5 5 2 2" xfId="12872" xr:uid="{00000000-0005-0000-0000-00007B300000}"/>
    <cellStyle name="Percent 7 5 5 3" xfId="12873" xr:uid="{00000000-0005-0000-0000-00007C300000}"/>
    <cellStyle name="Percent 7 5 5 3 2" xfId="12874" xr:uid="{00000000-0005-0000-0000-00007D300000}"/>
    <cellStyle name="Percent 7 5 5 4" xfId="12875" xr:uid="{00000000-0005-0000-0000-00007E300000}"/>
    <cellStyle name="Percent 7 5 6" xfId="12876" xr:uid="{00000000-0005-0000-0000-00007F300000}"/>
    <cellStyle name="Percent 7 5 6 2" xfId="12877" xr:uid="{00000000-0005-0000-0000-000080300000}"/>
    <cellStyle name="Percent 7 5 7" xfId="12878" xr:uid="{00000000-0005-0000-0000-000081300000}"/>
    <cellStyle name="Percent 7 5 7 2" xfId="12879" xr:uid="{00000000-0005-0000-0000-000082300000}"/>
    <cellStyle name="Percent 7 5 8" xfId="12880" xr:uid="{00000000-0005-0000-0000-000083300000}"/>
    <cellStyle name="Percent 7 5 8 2" xfId="12881" xr:uid="{00000000-0005-0000-0000-000084300000}"/>
    <cellStyle name="Percent 7 5 9" xfId="12882" xr:uid="{00000000-0005-0000-0000-000085300000}"/>
    <cellStyle name="Percent 7 6" xfId="4778" xr:uid="{00000000-0005-0000-0000-000086300000}"/>
    <cellStyle name="Percent 7 6 10" xfId="12884" xr:uid="{00000000-0005-0000-0000-000087300000}"/>
    <cellStyle name="Percent 7 6 11" xfId="12883" xr:uid="{00000000-0005-0000-0000-000088300000}"/>
    <cellStyle name="Percent 7 6 2" xfId="12885" xr:uid="{00000000-0005-0000-0000-000089300000}"/>
    <cellStyle name="Percent 7 6 2 2" xfId="12886" xr:uid="{00000000-0005-0000-0000-00008A300000}"/>
    <cellStyle name="Percent 7 6 2 2 2" xfId="12887" xr:uid="{00000000-0005-0000-0000-00008B300000}"/>
    <cellStyle name="Percent 7 6 2 3" xfId="12888" xr:uid="{00000000-0005-0000-0000-00008C300000}"/>
    <cellStyle name="Percent 7 6 2 3 2" xfId="12889" xr:uid="{00000000-0005-0000-0000-00008D300000}"/>
    <cellStyle name="Percent 7 6 2 4" xfId="12890" xr:uid="{00000000-0005-0000-0000-00008E300000}"/>
    <cellStyle name="Percent 7 6 3" xfId="12891" xr:uid="{00000000-0005-0000-0000-00008F300000}"/>
    <cellStyle name="Percent 7 6 3 2" xfId="12892" xr:uid="{00000000-0005-0000-0000-000090300000}"/>
    <cellStyle name="Percent 7 6 3 2 2" xfId="12893" xr:uid="{00000000-0005-0000-0000-000091300000}"/>
    <cellStyle name="Percent 7 6 3 3" xfId="12894" xr:uid="{00000000-0005-0000-0000-000092300000}"/>
    <cellStyle name="Percent 7 6 3 3 2" xfId="12895" xr:uid="{00000000-0005-0000-0000-000093300000}"/>
    <cellStyle name="Percent 7 6 3 4" xfId="12896" xr:uid="{00000000-0005-0000-0000-000094300000}"/>
    <cellStyle name="Percent 7 6 4" xfId="12897" xr:uid="{00000000-0005-0000-0000-000095300000}"/>
    <cellStyle name="Percent 7 6 4 2" xfId="12898" xr:uid="{00000000-0005-0000-0000-000096300000}"/>
    <cellStyle name="Percent 7 6 4 2 2" xfId="12899" xr:uid="{00000000-0005-0000-0000-000097300000}"/>
    <cellStyle name="Percent 7 6 4 3" xfId="12900" xr:uid="{00000000-0005-0000-0000-000098300000}"/>
    <cellStyle name="Percent 7 6 4 3 2" xfId="12901" xr:uid="{00000000-0005-0000-0000-000099300000}"/>
    <cellStyle name="Percent 7 6 4 4" xfId="12902" xr:uid="{00000000-0005-0000-0000-00009A300000}"/>
    <cellStyle name="Percent 7 6 4 4 2" xfId="12903" xr:uid="{00000000-0005-0000-0000-00009B300000}"/>
    <cellStyle name="Percent 7 6 4 5" xfId="12904" xr:uid="{00000000-0005-0000-0000-00009C300000}"/>
    <cellStyle name="Percent 7 6 5" xfId="12905" xr:uid="{00000000-0005-0000-0000-00009D300000}"/>
    <cellStyle name="Percent 7 6 5 2" xfId="12906" xr:uid="{00000000-0005-0000-0000-00009E300000}"/>
    <cellStyle name="Percent 7 6 5 2 2" xfId="12907" xr:uid="{00000000-0005-0000-0000-00009F300000}"/>
    <cellStyle name="Percent 7 6 5 3" xfId="12908" xr:uid="{00000000-0005-0000-0000-0000A0300000}"/>
    <cellStyle name="Percent 7 6 5 3 2" xfId="12909" xr:uid="{00000000-0005-0000-0000-0000A1300000}"/>
    <cellStyle name="Percent 7 6 5 4" xfId="12910" xr:uid="{00000000-0005-0000-0000-0000A2300000}"/>
    <cellStyle name="Percent 7 6 6" xfId="12911" xr:uid="{00000000-0005-0000-0000-0000A3300000}"/>
    <cellStyle name="Percent 7 6 6 2" xfId="12912" xr:uid="{00000000-0005-0000-0000-0000A4300000}"/>
    <cellStyle name="Percent 7 6 7" xfId="12913" xr:uid="{00000000-0005-0000-0000-0000A5300000}"/>
    <cellStyle name="Percent 7 6 7 2" xfId="12914" xr:uid="{00000000-0005-0000-0000-0000A6300000}"/>
    <cellStyle name="Percent 7 6 8" xfId="12915" xr:uid="{00000000-0005-0000-0000-0000A7300000}"/>
    <cellStyle name="Percent 7 6 8 2" xfId="12916" xr:uid="{00000000-0005-0000-0000-0000A8300000}"/>
    <cellStyle name="Percent 7 6 9" xfId="12917" xr:uid="{00000000-0005-0000-0000-0000A9300000}"/>
    <cellStyle name="Percent 7 7" xfId="4779" xr:uid="{00000000-0005-0000-0000-0000AA300000}"/>
    <cellStyle name="Percent 7 7 10" xfId="12919" xr:uid="{00000000-0005-0000-0000-0000AB300000}"/>
    <cellStyle name="Percent 7 7 11" xfId="12918" xr:uid="{00000000-0005-0000-0000-0000AC300000}"/>
    <cellStyle name="Percent 7 7 2" xfId="12920" xr:uid="{00000000-0005-0000-0000-0000AD300000}"/>
    <cellStyle name="Percent 7 7 2 2" xfId="12921" xr:uid="{00000000-0005-0000-0000-0000AE300000}"/>
    <cellStyle name="Percent 7 7 2 2 2" xfId="12922" xr:uid="{00000000-0005-0000-0000-0000AF300000}"/>
    <cellStyle name="Percent 7 7 2 3" xfId="12923" xr:uid="{00000000-0005-0000-0000-0000B0300000}"/>
    <cellStyle name="Percent 7 7 2 3 2" xfId="12924" xr:uid="{00000000-0005-0000-0000-0000B1300000}"/>
    <cellStyle name="Percent 7 7 2 4" xfId="12925" xr:uid="{00000000-0005-0000-0000-0000B2300000}"/>
    <cellStyle name="Percent 7 7 3" xfId="12926" xr:uid="{00000000-0005-0000-0000-0000B3300000}"/>
    <cellStyle name="Percent 7 7 3 2" xfId="12927" xr:uid="{00000000-0005-0000-0000-0000B4300000}"/>
    <cellStyle name="Percent 7 7 3 2 2" xfId="12928" xr:uid="{00000000-0005-0000-0000-0000B5300000}"/>
    <cellStyle name="Percent 7 7 3 3" xfId="12929" xr:uid="{00000000-0005-0000-0000-0000B6300000}"/>
    <cellStyle name="Percent 7 7 3 3 2" xfId="12930" xr:uid="{00000000-0005-0000-0000-0000B7300000}"/>
    <cellStyle name="Percent 7 7 3 4" xfId="12931" xr:uid="{00000000-0005-0000-0000-0000B8300000}"/>
    <cellStyle name="Percent 7 7 4" xfId="12932" xr:uid="{00000000-0005-0000-0000-0000B9300000}"/>
    <cellStyle name="Percent 7 7 4 2" xfId="12933" xr:uid="{00000000-0005-0000-0000-0000BA300000}"/>
    <cellStyle name="Percent 7 7 4 2 2" xfId="12934" xr:uid="{00000000-0005-0000-0000-0000BB300000}"/>
    <cellStyle name="Percent 7 7 4 3" xfId="12935" xr:uid="{00000000-0005-0000-0000-0000BC300000}"/>
    <cellStyle name="Percent 7 7 4 3 2" xfId="12936" xr:uid="{00000000-0005-0000-0000-0000BD300000}"/>
    <cellStyle name="Percent 7 7 4 4" xfId="12937" xr:uid="{00000000-0005-0000-0000-0000BE300000}"/>
    <cellStyle name="Percent 7 7 4 4 2" xfId="12938" xr:uid="{00000000-0005-0000-0000-0000BF300000}"/>
    <cellStyle name="Percent 7 7 4 5" xfId="12939" xr:uid="{00000000-0005-0000-0000-0000C0300000}"/>
    <cellStyle name="Percent 7 7 5" xfId="12940" xr:uid="{00000000-0005-0000-0000-0000C1300000}"/>
    <cellStyle name="Percent 7 7 5 2" xfId="12941" xr:uid="{00000000-0005-0000-0000-0000C2300000}"/>
    <cellStyle name="Percent 7 7 5 2 2" xfId="12942" xr:uid="{00000000-0005-0000-0000-0000C3300000}"/>
    <cellStyle name="Percent 7 7 5 3" xfId="12943" xr:uid="{00000000-0005-0000-0000-0000C4300000}"/>
    <cellStyle name="Percent 7 7 5 3 2" xfId="12944" xr:uid="{00000000-0005-0000-0000-0000C5300000}"/>
    <cellStyle name="Percent 7 7 5 4" xfId="12945" xr:uid="{00000000-0005-0000-0000-0000C6300000}"/>
    <cellStyle name="Percent 7 7 6" xfId="12946" xr:uid="{00000000-0005-0000-0000-0000C7300000}"/>
    <cellStyle name="Percent 7 7 6 2" xfId="12947" xr:uid="{00000000-0005-0000-0000-0000C8300000}"/>
    <cellStyle name="Percent 7 7 7" xfId="12948" xr:uid="{00000000-0005-0000-0000-0000C9300000}"/>
    <cellStyle name="Percent 7 7 7 2" xfId="12949" xr:uid="{00000000-0005-0000-0000-0000CA300000}"/>
    <cellStyle name="Percent 7 7 8" xfId="12950" xr:uid="{00000000-0005-0000-0000-0000CB300000}"/>
    <cellStyle name="Percent 7 7 8 2" xfId="12951" xr:uid="{00000000-0005-0000-0000-0000CC300000}"/>
    <cellStyle name="Percent 7 7 9" xfId="12952" xr:uid="{00000000-0005-0000-0000-0000CD300000}"/>
    <cellStyle name="Percent 7 8" xfId="4780" xr:uid="{00000000-0005-0000-0000-0000CE300000}"/>
    <cellStyle name="Percent 7 8 10" xfId="12954" xr:uid="{00000000-0005-0000-0000-0000CF300000}"/>
    <cellStyle name="Percent 7 8 11" xfId="12953" xr:uid="{00000000-0005-0000-0000-0000D0300000}"/>
    <cellStyle name="Percent 7 8 2" xfId="12955" xr:uid="{00000000-0005-0000-0000-0000D1300000}"/>
    <cellStyle name="Percent 7 8 2 2" xfId="12956" xr:uid="{00000000-0005-0000-0000-0000D2300000}"/>
    <cellStyle name="Percent 7 8 2 2 2" xfId="12957" xr:uid="{00000000-0005-0000-0000-0000D3300000}"/>
    <cellStyle name="Percent 7 8 2 3" xfId="12958" xr:uid="{00000000-0005-0000-0000-0000D4300000}"/>
    <cellStyle name="Percent 7 8 2 3 2" xfId="12959" xr:uid="{00000000-0005-0000-0000-0000D5300000}"/>
    <cellStyle name="Percent 7 8 2 4" xfId="12960" xr:uid="{00000000-0005-0000-0000-0000D6300000}"/>
    <cellStyle name="Percent 7 8 3" xfId="12961" xr:uid="{00000000-0005-0000-0000-0000D7300000}"/>
    <cellStyle name="Percent 7 8 3 2" xfId="12962" xr:uid="{00000000-0005-0000-0000-0000D8300000}"/>
    <cellStyle name="Percent 7 8 3 2 2" xfId="12963" xr:uid="{00000000-0005-0000-0000-0000D9300000}"/>
    <cellStyle name="Percent 7 8 3 3" xfId="12964" xr:uid="{00000000-0005-0000-0000-0000DA300000}"/>
    <cellStyle name="Percent 7 8 3 3 2" xfId="12965" xr:uid="{00000000-0005-0000-0000-0000DB300000}"/>
    <cellStyle name="Percent 7 8 3 4" xfId="12966" xr:uid="{00000000-0005-0000-0000-0000DC300000}"/>
    <cellStyle name="Percent 7 8 4" xfId="12967" xr:uid="{00000000-0005-0000-0000-0000DD300000}"/>
    <cellStyle name="Percent 7 8 4 2" xfId="12968" xr:uid="{00000000-0005-0000-0000-0000DE300000}"/>
    <cellStyle name="Percent 7 8 4 2 2" xfId="12969" xr:uid="{00000000-0005-0000-0000-0000DF300000}"/>
    <cellStyle name="Percent 7 8 4 3" xfId="12970" xr:uid="{00000000-0005-0000-0000-0000E0300000}"/>
    <cellStyle name="Percent 7 8 4 3 2" xfId="12971" xr:uid="{00000000-0005-0000-0000-0000E1300000}"/>
    <cellStyle name="Percent 7 8 4 4" xfId="12972" xr:uid="{00000000-0005-0000-0000-0000E2300000}"/>
    <cellStyle name="Percent 7 8 4 4 2" xfId="12973" xr:uid="{00000000-0005-0000-0000-0000E3300000}"/>
    <cellStyle name="Percent 7 8 4 5" xfId="12974" xr:uid="{00000000-0005-0000-0000-0000E4300000}"/>
    <cellStyle name="Percent 7 8 5" xfId="12975" xr:uid="{00000000-0005-0000-0000-0000E5300000}"/>
    <cellStyle name="Percent 7 8 5 2" xfId="12976" xr:uid="{00000000-0005-0000-0000-0000E6300000}"/>
    <cellStyle name="Percent 7 8 5 2 2" xfId="12977" xr:uid="{00000000-0005-0000-0000-0000E7300000}"/>
    <cellStyle name="Percent 7 8 5 3" xfId="12978" xr:uid="{00000000-0005-0000-0000-0000E8300000}"/>
    <cellStyle name="Percent 7 8 5 3 2" xfId="12979" xr:uid="{00000000-0005-0000-0000-0000E9300000}"/>
    <cellStyle name="Percent 7 8 5 4" xfId="12980" xr:uid="{00000000-0005-0000-0000-0000EA300000}"/>
    <cellStyle name="Percent 7 8 6" xfId="12981" xr:uid="{00000000-0005-0000-0000-0000EB300000}"/>
    <cellStyle name="Percent 7 8 6 2" xfId="12982" xr:uid="{00000000-0005-0000-0000-0000EC300000}"/>
    <cellStyle name="Percent 7 8 7" xfId="12983" xr:uid="{00000000-0005-0000-0000-0000ED300000}"/>
    <cellStyle name="Percent 7 8 7 2" xfId="12984" xr:uid="{00000000-0005-0000-0000-0000EE300000}"/>
    <cellStyle name="Percent 7 8 8" xfId="12985" xr:uid="{00000000-0005-0000-0000-0000EF300000}"/>
    <cellStyle name="Percent 7 8 8 2" xfId="12986" xr:uid="{00000000-0005-0000-0000-0000F0300000}"/>
    <cellStyle name="Percent 7 8 9" xfId="12987" xr:uid="{00000000-0005-0000-0000-0000F1300000}"/>
    <cellStyle name="Percent 7 9" xfId="12988" xr:uid="{00000000-0005-0000-0000-0000F2300000}"/>
    <cellStyle name="Percent 7 9 10" xfId="12989" xr:uid="{00000000-0005-0000-0000-0000F3300000}"/>
    <cellStyle name="Percent 7 9 2" xfId="12990" xr:uid="{00000000-0005-0000-0000-0000F4300000}"/>
    <cellStyle name="Percent 7 9 2 2" xfId="12991" xr:uid="{00000000-0005-0000-0000-0000F5300000}"/>
    <cellStyle name="Percent 7 9 2 2 2" xfId="12992" xr:uid="{00000000-0005-0000-0000-0000F6300000}"/>
    <cellStyle name="Percent 7 9 2 3" xfId="12993" xr:uid="{00000000-0005-0000-0000-0000F7300000}"/>
    <cellStyle name="Percent 7 9 2 3 2" xfId="12994" xr:uid="{00000000-0005-0000-0000-0000F8300000}"/>
    <cellStyle name="Percent 7 9 2 4" xfId="12995" xr:uid="{00000000-0005-0000-0000-0000F9300000}"/>
    <cellStyle name="Percent 7 9 3" xfId="12996" xr:uid="{00000000-0005-0000-0000-0000FA300000}"/>
    <cellStyle name="Percent 7 9 3 2" xfId="12997" xr:uid="{00000000-0005-0000-0000-0000FB300000}"/>
    <cellStyle name="Percent 7 9 3 2 2" xfId="12998" xr:uid="{00000000-0005-0000-0000-0000FC300000}"/>
    <cellStyle name="Percent 7 9 3 3" xfId="12999" xr:uid="{00000000-0005-0000-0000-0000FD300000}"/>
    <cellStyle name="Percent 7 9 3 3 2" xfId="13000" xr:uid="{00000000-0005-0000-0000-0000FE300000}"/>
    <cellStyle name="Percent 7 9 3 4" xfId="13001" xr:uid="{00000000-0005-0000-0000-0000FF300000}"/>
    <cellStyle name="Percent 7 9 4" xfId="13002" xr:uid="{00000000-0005-0000-0000-000000310000}"/>
    <cellStyle name="Percent 7 9 4 2" xfId="13003" xr:uid="{00000000-0005-0000-0000-000001310000}"/>
    <cellStyle name="Percent 7 9 4 2 2" xfId="13004" xr:uid="{00000000-0005-0000-0000-000002310000}"/>
    <cellStyle name="Percent 7 9 4 3" xfId="13005" xr:uid="{00000000-0005-0000-0000-000003310000}"/>
    <cellStyle name="Percent 7 9 4 3 2" xfId="13006" xr:uid="{00000000-0005-0000-0000-000004310000}"/>
    <cellStyle name="Percent 7 9 4 4" xfId="13007" xr:uid="{00000000-0005-0000-0000-000005310000}"/>
    <cellStyle name="Percent 7 9 4 4 2" xfId="13008" xr:uid="{00000000-0005-0000-0000-000006310000}"/>
    <cellStyle name="Percent 7 9 4 5" xfId="13009" xr:uid="{00000000-0005-0000-0000-000007310000}"/>
    <cellStyle name="Percent 7 9 5" xfId="13010" xr:uid="{00000000-0005-0000-0000-000008310000}"/>
    <cellStyle name="Percent 7 9 5 2" xfId="13011" xr:uid="{00000000-0005-0000-0000-000009310000}"/>
    <cellStyle name="Percent 7 9 5 2 2" xfId="13012" xr:uid="{00000000-0005-0000-0000-00000A310000}"/>
    <cellStyle name="Percent 7 9 5 3" xfId="13013" xr:uid="{00000000-0005-0000-0000-00000B310000}"/>
    <cellStyle name="Percent 7 9 5 3 2" xfId="13014" xr:uid="{00000000-0005-0000-0000-00000C310000}"/>
    <cellStyle name="Percent 7 9 5 4" xfId="13015" xr:uid="{00000000-0005-0000-0000-00000D310000}"/>
    <cellStyle name="Percent 7 9 6" xfId="13016" xr:uid="{00000000-0005-0000-0000-00000E310000}"/>
    <cellStyle name="Percent 7 9 6 2" xfId="13017" xr:uid="{00000000-0005-0000-0000-00000F310000}"/>
    <cellStyle name="Percent 7 9 7" xfId="13018" xr:uid="{00000000-0005-0000-0000-000010310000}"/>
    <cellStyle name="Percent 7 9 7 2" xfId="13019" xr:uid="{00000000-0005-0000-0000-000011310000}"/>
    <cellStyle name="Percent 7 9 8" xfId="13020" xr:uid="{00000000-0005-0000-0000-000012310000}"/>
    <cellStyle name="Percent 7 9 8 2" xfId="13021" xr:uid="{00000000-0005-0000-0000-000013310000}"/>
    <cellStyle name="Percent 7 9 9" xfId="13022" xr:uid="{00000000-0005-0000-0000-000014310000}"/>
    <cellStyle name="Percent 8" xfId="3007" xr:uid="{00000000-0005-0000-0000-000015310000}"/>
    <cellStyle name="Percent 8 10" xfId="13024" xr:uid="{00000000-0005-0000-0000-000016310000}"/>
    <cellStyle name="Percent 8 10 2" xfId="13025" xr:uid="{00000000-0005-0000-0000-000017310000}"/>
    <cellStyle name="Percent 8 10 2 2" xfId="13026" xr:uid="{00000000-0005-0000-0000-000018310000}"/>
    <cellStyle name="Percent 8 10 3" xfId="13027" xr:uid="{00000000-0005-0000-0000-000019310000}"/>
    <cellStyle name="Percent 8 10 3 2" xfId="13028" xr:uid="{00000000-0005-0000-0000-00001A310000}"/>
    <cellStyle name="Percent 8 10 4" xfId="13029" xr:uid="{00000000-0005-0000-0000-00001B310000}"/>
    <cellStyle name="Percent 8 11" xfId="13030" xr:uid="{00000000-0005-0000-0000-00001C310000}"/>
    <cellStyle name="Percent 8 11 2" xfId="13031" xr:uid="{00000000-0005-0000-0000-00001D310000}"/>
    <cellStyle name="Percent 8 11 2 2" xfId="13032" xr:uid="{00000000-0005-0000-0000-00001E310000}"/>
    <cellStyle name="Percent 8 11 3" xfId="13033" xr:uid="{00000000-0005-0000-0000-00001F310000}"/>
    <cellStyle name="Percent 8 11 3 2" xfId="13034" xr:uid="{00000000-0005-0000-0000-000020310000}"/>
    <cellStyle name="Percent 8 11 4" xfId="13035" xr:uid="{00000000-0005-0000-0000-000021310000}"/>
    <cellStyle name="Percent 8 11 4 2" xfId="13036" xr:uid="{00000000-0005-0000-0000-000022310000}"/>
    <cellStyle name="Percent 8 11 5" xfId="13037" xr:uid="{00000000-0005-0000-0000-000023310000}"/>
    <cellStyle name="Percent 8 12" xfId="13038" xr:uid="{00000000-0005-0000-0000-000024310000}"/>
    <cellStyle name="Percent 8 12 2" xfId="13039" xr:uid="{00000000-0005-0000-0000-000025310000}"/>
    <cellStyle name="Percent 8 12 2 2" xfId="13040" xr:uid="{00000000-0005-0000-0000-000026310000}"/>
    <cellStyle name="Percent 8 12 3" xfId="13041" xr:uid="{00000000-0005-0000-0000-000027310000}"/>
    <cellStyle name="Percent 8 12 3 2" xfId="13042" xr:uid="{00000000-0005-0000-0000-000028310000}"/>
    <cellStyle name="Percent 8 12 4" xfId="13043" xr:uid="{00000000-0005-0000-0000-000029310000}"/>
    <cellStyle name="Percent 8 13" xfId="13044" xr:uid="{00000000-0005-0000-0000-00002A310000}"/>
    <cellStyle name="Percent 8 13 2" xfId="13045" xr:uid="{00000000-0005-0000-0000-00002B310000}"/>
    <cellStyle name="Percent 8 14" xfId="13046" xr:uid="{00000000-0005-0000-0000-00002C310000}"/>
    <cellStyle name="Percent 8 14 2" xfId="13047" xr:uid="{00000000-0005-0000-0000-00002D310000}"/>
    <cellStyle name="Percent 8 15" xfId="13048" xr:uid="{00000000-0005-0000-0000-00002E310000}"/>
    <cellStyle name="Percent 8 15 2" xfId="13049" xr:uid="{00000000-0005-0000-0000-00002F310000}"/>
    <cellStyle name="Percent 8 16" xfId="13050" xr:uid="{00000000-0005-0000-0000-000030310000}"/>
    <cellStyle name="Percent 8 17" xfId="13051" xr:uid="{00000000-0005-0000-0000-000031310000}"/>
    <cellStyle name="Percent 8 18" xfId="13023" xr:uid="{00000000-0005-0000-0000-000032310000}"/>
    <cellStyle name="Percent 8 2" xfId="4781" xr:uid="{00000000-0005-0000-0000-000033310000}"/>
    <cellStyle name="Percent 8 2 10" xfId="13053" xr:uid="{00000000-0005-0000-0000-000034310000}"/>
    <cellStyle name="Percent 8 2 11" xfId="13052" xr:uid="{00000000-0005-0000-0000-000035310000}"/>
    <cellStyle name="Percent 8 2 2" xfId="13054" xr:uid="{00000000-0005-0000-0000-000036310000}"/>
    <cellStyle name="Percent 8 2 2 2" xfId="13055" xr:uid="{00000000-0005-0000-0000-000037310000}"/>
    <cellStyle name="Percent 8 2 2 2 2" xfId="13056" xr:uid="{00000000-0005-0000-0000-000038310000}"/>
    <cellStyle name="Percent 8 2 2 3" xfId="13057" xr:uid="{00000000-0005-0000-0000-000039310000}"/>
    <cellStyle name="Percent 8 2 2 3 2" xfId="13058" xr:uid="{00000000-0005-0000-0000-00003A310000}"/>
    <cellStyle name="Percent 8 2 2 4" xfId="13059" xr:uid="{00000000-0005-0000-0000-00003B310000}"/>
    <cellStyle name="Percent 8 2 3" xfId="13060" xr:uid="{00000000-0005-0000-0000-00003C310000}"/>
    <cellStyle name="Percent 8 2 3 2" xfId="13061" xr:uid="{00000000-0005-0000-0000-00003D310000}"/>
    <cellStyle name="Percent 8 2 3 2 2" xfId="13062" xr:uid="{00000000-0005-0000-0000-00003E310000}"/>
    <cellStyle name="Percent 8 2 3 3" xfId="13063" xr:uid="{00000000-0005-0000-0000-00003F310000}"/>
    <cellStyle name="Percent 8 2 3 3 2" xfId="13064" xr:uid="{00000000-0005-0000-0000-000040310000}"/>
    <cellStyle name="Percent 8 2 3 4" xfId="13065" xr:uid="{00000000-0005-0000-0000-000041310000}"/>
    <cellStyle name="Percent 8 2 4" xfId="13066" xr:uid="{00000000-0005-0000-0000-000042310000}"/>
    <cellStyle name="Percent 8 2 4 2" xfId="13067" xr:uid="{00000000-0005-0000-0000-000043310000}"/>
    <cellStyle name="Percent 8 2 4 2 2" xfId="13068" xr:uid="{00000000-0005-0000-0000-000044310000}"/>
    <cellStyle name="Percent 8 2 4 3" xfId="13069" xr:uid="{00000000-0005-0000-0000-000045310000}"/>
    <cellStyle name="Percent 8 2 4 3 2" xfId="13070" xr:uid="{00000000-0005-0000-0000-000046310000}"/>
    <cellStyle name="Percent 8 2 4 4" xfId="13071" xr:uid="{00000000-0005-0000-0000-000047310000}"/>
    <cellStyle name="Percent 8 2 4 4 2" xfId="13072" xr:uid="{00000000-0005-0000-0000-000048310000}"/>
    <cellStyle name="Percent 8 2 4 5" xfId="13073" xr:uid="{00000000-0005-0000-0000-000049310000}"/>
    <cellStyle name="Percent 8 2 5" xfId="13074" xr:uid="{00000000-0005-0000-0000-00004A310000}"/>
    <cellStyle name="Percent 8 2 5 2" xfId="13075" xr:uid="{00000000-0005-0000-0000-00004B310000}"/>
    <cellStyle name="Percent 8 2 5 2 2" xfId="13076" xr:uid="{00000000-0005-0000-0000-00004C310000}"/>
    <cellStyle name="Percent 8 2 5 3" xfId="13077" xr:uid="{00000000-0005-0000-0000-00004D310000}"/>
    <cellStyle name="Percent 8 2 5 3 2" xfId="13078" xr:uid="{00000000-0005-0000-0000-00004E310000}"/>
    <cellStyle name="Percent 8 2 5 4" xfId="13079" xr:uid="{00000000-0005-0000-0000-00004F310000}"/>
    <cellStyle name="Percent 8 2 6" xfId="13080" xr:uid="{00000000-0005-0000-0000-000050310000}"/>
    <cellStyle name="Percent 8 2 6 2" xfId="13081" xr:uid="{00000000-0005-0000-0000-000051310000}"/>
    <cellStyle name="Percent 8 2 7" xfId="13082" xr:uid="{00000000-0005-0000-0000-000052310000}"/>
    <cellStyle name="Percent 8 2 7 2" xfId="13083" xr:uid="{00000000-0005-0000-0000-000053310000}"/>
    <cellStyle name="Percent 8 2 8" xfId="13084" xr:uid="{00000000-0005-0000-0000-000054310000}"/>
    <cellStyle name="Percent 8 2 8 2" xfId="13085" xr:uid="{00000000-0005-0000-0000-000055310000}"/>
    <cellStyle name="Percent 8 2 9" xfId="13086" xr:uid="{00000000-0005-0000-0000-000056310000}"/>
    <cellStyle name="Percent 8 3" xfId="4782" xr:uid="{00000000-0005-0000-0000-000057310000}"/>
    <cellStyle name="Percent 8 3 10" xfId="13088" xr:uid="{00000000-0005-0000-0000-000058310000}"/>
    <cellStyle name="Percent 8 3 11" xfId="13087" xr:uid="{00000000-0005-0000-0000-000059310000}"/>
    <cellStyle name="Percent 8 3 2" xfId="13089" xr:uid="{00000000-0005-0000-0000-00005A310000}"/>
    <cellStyle name="Percent 8 3 2 2" xfId="13090" xr:uid="{00000000-0005-0000-0000-00005B310000}"/>
    <cellStyle name="Percent 8 3 2 2 2" xfId="13091" xr:uid="{00000000-0005-0000-0000-00005C310000}"/>
    <cellStyle name="Percent 8 3 2 3" xfId="13092" xr:uid="{00000000-0005-0000-0000-00005D310000}"/>
    <cellStyle name="Percent 8 3 2 3 2" xfId="13093" xr:uid="{00000000-0005-0000-0000-00005E310000}"/>
    <cellStyle name="Percent 8 3 2 4" xfId="13094" xr:uid="{00000000-0005-0000-0000-00005F310000}"/>
    <cellStyle name="Percent 8 3 3" xfId="13095" xr:uid="{00000000-0005-0000-0000-000060310000}"/>
    <cellStyle name="Percent 8 3 3 2" xfId="13096" xr:uid="{00000000-0005-0000-0000-000061310000}"/>
    <cellStyle name="Percent 8 3 3 2 2" xfId="13097" xr:uid="{00000000-0005-0000-0000-000062310000}"/>
    <cellStyle name="Percent 8 3 3 3" xfId="13098" xr:uid="{00000000-0005-0000-0000-000063310000}"/>
    <cellStyle name="Percent 8 3 3 3 2" xfId="13099" xr:uid="{00000000-0005-0000-0000-000064310000}"/>
    <cellStyle name="Percent 8 3 3 4" xfId="13100" xr:uid="{00000000-0005-0000-0000-000065310000}"/>
    <cellStyle name="Percent 8 3 4" xfId="13101" xr:uid="{00000000-0005-0000-0000-000066310000}"/>
    <cellStyle name="Percent 8 3 4 2" xfId="13102" xr:uid="{00000000-0005-0000-0000-000067310000}"/>
    <cellStyle name="Percent 8 3 4 2 2" xfId="13103" xr:uid="{00000000-0005-0000-0000-000068310000}"/>
    <cellStyle name="Percent 8 3 4 3" xfId="13104" xr:uid="{00000000-0005-0000-0000-000069310000}"/>
    <cellStyle name="Percent 8 3 4 3 2" xfId="13105" xr:uid="{00000000-0005-0000-0000-00006A310000}"/>
    <cellStyle name="Percent 8 3 4 4" xfId="13106" xr:uid="{00000000-0005-0000-0000-00006B310000}"/>
    <cellStyle name="Percent 8 3 4 4 2" xfId="13107" xr:uid="{00000000-0005-0000-0000-00006C310000}"/>
    <cellStyle name="Percent 8 3 4 5" xfId="13108" xr:uid="{00000000-0005-0000-0000-00006D310000}"/>
    <cellStyle name="Percent 8 3 5" xfId="13109" xr:uid="{00000000-0005-0000-0000-00006E310000}"/>
    <cellStyle name="Percent 8 3 5 2" xfId="13110" xr:uid="{00000000-0005-0000-0000-00006F310000}"/>
    <cellStyle name="Percent 8 3 5 2 2" xfId="13111" xr:uid="{00000000-0005-0000-0000-000070310000}"/>
    <cellStyle name="Percent 8 3 5 3" xfId="13112" xr:uid="{00000000-0005-0000-0000-000071310000}"/>
    <cellStyle name="Percent 8 3 5 3 2" xfId="13113" xr:uid="{00000000-0005-0000-0000-000072310000}"/>
    <cellStyle name="Percent 8 3 5 4" xfId="13114" xr:uid="{00000000-0005-0000-0000-000073310000}"/>
    <cellStyle name="Percent 8 3 6" xfId="13115" xr:uid="{00000000-0005-0000-0000-000074310000}"/>
    <cellStyle name="Percent 8 3 6 2" xfId="13116" xr:uid="{00000000-0005-0000-0000-000075310000}"/>
    <cellStyle name="Percent 8 3 7" xfId="13117" xr:uid="{00000000-0005-0000-0000-000076310000}"/>
    <cellStyle name="Percent 8 3 7 2" xfId="13118" xr:uid="{00000000-0005-0000-0000-000077310000}"/>
    <cellStyle name="Percent 8 3 8" xfId="13119" xr:uid="{00000000-0005-0000-0000-000078310000}"/>
    <cellStyle name="Percent 8 3 8 2" xfId="13120" xr:uid="{00000000-0005-0000-0000-000079310000}"/>
    <cellStyle name="Percent 8 3 9" xfId="13121" xr:uid="{00000000-0005-0000-0000-00007A310000}"/>
    <cellStyle name="Percent 8 4" xfId="4783" xr:uid="{00000000-0005-0000-0000-00007B310000}"/>
    <cellStyle name="Percent 8 4 10" xfId="13123" xr:uid="{00000000-0005-0000-0000-00007C310000}"/>
    <cellStyle name="Percent 8 4 11" xfId="13122" xr:uid="{00000000-0005-0000-0000-00007D310000}"/>
    <cellStyle name="Percent 8 4 2" xfId="13124" xr:uid="{00000000-0005-0000-0000-00007E310000}"/>
    <cellStyle name="Percent 8 4 2 2" xfId="13125" xr:uid="{00000000-0005-0000-0000-00007F310000}"/>
    <cellStyle name="Percent 8 4 2 2 2" xfId="13126" xr:uid="{00000000-0005-0000-0000-000080310000}"/>
    <cellStyle name="Percent 8 4 2 3" xfId="13127" xr:uid="{00000000-0005-0000-0000-000081310000}"/>
    <cellStyle name="Percent 8 4 2 3 2" xfId="13128" xr:uid="{00000000-0005-0000-0000-000082310000}"/>
    <cellStyle name="Percent 8 4 2 4" xfId="13129" xr:uid="{00000000-0005-0000-0000-000083310000}"/>
    <cellStyle name="Percent 8 4 3" xfId="13130" xr:uid="{00000000-0005-0000-0000-000084310000}"/>
    <cellStyle name="Percent 8 4 3 2" xfId="13131" xr:uid="{00000000-0005-0000-0000-000085310000}"/>
    <cellStyle name="Percent 8 4 3 2 2" xfId="13132" xr:uid="{00000000-0005-0000-0000-000086310000}"/>
    <cellStyle name="Percent 8 4 3 3" xfId="13133" xr:uid="{00000000-0005-0000-0000-000087310000}"/>
    <cellStyle name="Percent 8 4 3 3 2" xfId="13134" xr:uid="{00000000-0005-0000-0000-000088310000}"/>
    <cellStyle name="Percent 8 4 3 4" xfId="13135" xr:uid="{00000000-0005-0000-0000-000089310000}"/>
    <cellStyle name="Percent 8 4 4" xfId="13136" xr:uid="{00000000-0005-0000-0000-00008A310000}"/>
    <cellStyle name="Percent 8 4 4 2" xfId="13137" xr:uid="{00000000-0005-0000-0000-00008B310000}"/>
    <cellStyle name="Percent 8 4 4 2 2" xfId="13138" xr:uid="{00000000-0005-0000-0000-00008C310000}"/>
    <cellStyle name="Percent 8 4 4 3" xfId="13139" xr:uid="{00000000-0005-0000-0000-00008D310000}"/>
    <cellStyle name="Percent 8 4 4 3 2" xfId="13140" xr:uid="{00000000-0005-0000-0000-00008E310000}"/>
    <cellStyle name="Percent 8 4 4 4" xfId="13141" xr:uid="{00000000-0005-0000-0000-00008F310000}"/>
    <cellStyle name="Percent 8 4 4 4 2" xfId="13142" xr:uid="{00000000-0005-0000-0000-000090310000}"/>
    <cellStyle name="Percent 8 4 4 5" xfId="13143" xr:uid="{00000000-0005-0000-0000-000091310000}"/>
    <cellStyle name="Percent 8 4 5" xfId="13144" xr:uid="{00000000-0005-0000-0000-000092310000}"/>
    <cellStyle name="Percent 8 4 5 2" xfId="13145" xr:uid="{00000000-0005-0000-0000-000093310000}"/>
    <cellStyle name="Percent 8 4 5 2 2" xfId="13146" xr:uid="{00000000-0005-0000-0000-000094310000}"/>
    <cellStyle name="Percent 8 4 5 3" xfId="13147" xr:uid="{00000000-0005-0000-0000-000095310000}"/>
    <cellStyle name="Percent 8 4 5 3 2" xfId="13148" xr:uid="{00000000-0005-0000-0000-000096310000}"/>
    <cellStyle name="Percent 8 4 5 4" xfId="13149" xr:uid="{00000000-0005-0000-0000-000097310000}"/>
    <cellStyle name="Percent 8 4 6" xfId="13150" xr:uid="{00000000-0005-0000-0000-000098310000}"/>
    <cellStyle name="Percent 8 4 6 2" xfId="13151" xr:uid="{00000000-0005-0000-0000-000099310000}"/>
    <cellStyle name="Percent 8 4 7" xfId="13152" xr:uid="{00000000-0005-0000-0000-00009A310000}"/>
    <cellStyle name="Percent 8 4 7 2" xfId="13153" xr:uid="{00000000-0005-0000-0000-00009B310000}"/>
    <cellStyle name="Percent 8 4 8" xfId="13154" xr:uid="{00000000-0005-0000-0000-00009C310000}"/>
    <cellStyle name="Percent 8 4 8 2" xfId="13155" xr:uid="{00000000-0005-0000-0000-00009D310000}"/>
    <cellStyle name="Percent 8 4 9" xfId="13156" xr:uid="{00000000-0005-0000-0000-00009E310000}"/>
    <cellStyle name="Percent 8 5" xfId="4784" xr:uid="{00000000-0005-0000-0000-00009F310000}"/>
    <cellStyle name="Percent 8 5 10" xfId="13158" xr:uid="{00000000-0005-0000-0000-0000A0310000}"/>
    <cellStyle name="Percent 8 5 11" xfId="13157" xr:uid="{00000000-0005-0000-0000-0000A1310000}"/>
    <cellStyle name="Percent 8 5 2" xfId="13159" xr:uid="{00000000-0005-0000-0000-0000A2310000}"/>
    <cellStyle name="Percent 8 5 2 2" xfId="13160" xr:uid="{00000000-0005-0000-0000-0000A3310000}"/>
    <cellStyle name="Percent 8 5 2 2 2" xfId="13161" xr:uid="{00000000-0005-0000-0000-0000A4310000}"/>
    <cellStyle name="Percent 8 5 2 3" xfId="13162" xr:uid="{00000000-0005-0000-0000-0000A5310000}"/>
    <cellStyle name="Percent 8 5 2 3 2" xfId="13163" xr:uid="{00000000-0005-0000-0000-0000A6310000}"/>
    <cellStyle name="Percent 8 5 2 4" xfId="13164" xr:uid="{00000000-0005-0000-0000-0000A7310000}"/>
    <cellStyle name="Percent 8 5 3" xfId="13165" xr:uid="{00000000-0005-0000-0000-0000A8310000}"/>
    <cellStyle name="Percent 8 5 3 2" xfId="13166" xr:uid="{00000000-0005-0000-0000-0000A9310000}"/>
    <cellStyle name="Percent 8 5 3 2 2" xfId="13167" xr:uid="{00000000-0005-0000-0000-0000AA310000}"/>
    <cellStyle name="Percent 8 5 3 3" xfId="13168" xr:uid="{00000000-0005-0000-0000-0000AB310000}"/>
    <cellStyle name="Percent 8 5 3 3 2" xfId="13169" xr:uid="{00000000-0005-0000-0000-0000AC310000}"/>
    <cellStyle name="Percent 8 5 3 4" xfId="13170" xr:uid="{00000000-0005-0000-0000-0000AD310000}"/>
    <cellStyle name="Percent 8 5 4" xfId="13171" xr:uid="{00000000-0005-0000-0000-0000AE310000}"/>
    <cellStyle name="Percent 8 5 4 2" xfId="13172" xr:uid="{00000000-0005-0000-0000-0000AF310000}"/>
    <cellStyle name="Percent 8 5 4 2 2" xfId="13173" xr:uid="{00000000-0005-0000-0000-0000B0310000}"/>
    <cellStyle name="Percent 8 5 4 3" xfId="13174" xr:uid="{00000000-0005-0000-0000-0000B1310000}"/>
    <cellStyle name="Percent 8 5 4 3 2" xfId="13175" xr:uid="{00000000-0005-0000-0000-0000B2310000}"/>
    <cellStyle name="Percent 8 5 4 4" xfId="13176" xr:uid="{00000000-0005-0000-0000-0000B3310000}"/>
    <cellStyle name="Percent 8 5 4 4 2" xfId="13177" xr:uid="{00000000-0005-0000-0000-0000B4310000}"/>
    <cellStyle name="Percent 8 5 4 5" xfId="13178" xr:uid="{00000000-0005-0000-0000-0000B5310000}"/>
    <cellStyle name="Percent 8 5 5" xfId="13179" xr:uid="{00000000-0005-0000-0000-0000B6310000}"/>
    <cellStyle name="Percent 8 5 5 2" xfId="13180" xr:uid="{00000000-0005-0000-0000-0000B7310000}"/>
    <cellStyle name="Percent 8 5 5 2 2" xfId="13181" xr:uid="{00000000-0005-0000-0000-0000B8310000}"/>
    <cellStyle name="Percent 8 5 5 3" xfId="13182" xr:uid="{00000000-0005-0000-0000-0000B9310000}"/>
    <cellStyle name="Percent 8 5 5 3 2" xfId="13183" xr:uid="{00000000-0005-0000-0000-0000BA310000}"/>
    <cellStyle name="Percent 8 5 5 4" xfId="13184" xr:uid="{00000000-0005-0000-0000-0000BB310000}"/>
    <cellStyle name="Percent 8 5 6" xfId="13185" xr:uid="{00000000-0005-0000-0000-0000BC310000}"/>
    <cellStyle name="Percent 8 5 6 2" xfId="13186" xr:uid="{00000000-0005-0000-0000-0000BD310000}"/>
    <cellStyle name="Percent 8 5 7" xfId="13187" xr:uid="{00000000-0005-0000-0000-0000BE310000}"/>
    <cellStyle name="Percent 8 5 7 2" xfId="13188" xr:uid="{00000000-0005-0000-0000-0000BF310000}"/>
    <cellStyle name="Percent 8 5 8" xfId="13189" xr:uid="{00000000-0005-0000-0000-0000C0310000}"/>
    <cellStyle name="Percent 8 5 8 2" xfId="13190" xr:uid="{00000000-0005-0000-0000-0000C1310000}"/>
    <cellStyle name="Percent 8 5 9" xfId="13191" xr:uid="{00000000-0005-0000-0000-0000C2310000}"/>
    <cellStyle name="Percent 8 6" xfId="4785" xr:uid="{00000000-0005-0000-0000-0000C3310000}"/>
    <cellStyle name="Percent 8 6 10" xfId="13193" xr:uid="{00000000-0005-0000-0000-0000C4310000}"/>
    <cellStyle name="Percent 8 6 11" xfId="13192" xr:uid="{00000000-0005-0000-0000-0000C5310000}"/>
    <cellStyle name="Percent 8 6 2" xfId="13194" xr:uid="{00000000-0005-0000-0000-0000C6310000}"/>
    <cellStyle name="Percent 8 6 2 2" xfId="13195" xr:uid="{00000000-0005-0000-0000-0000C7310000}"/>
    <cellStyle name="Percent 8 6 2 2 2" xfId="13196" xr:uid="{00000000-0005-0000-0000-0000C8310000}"/>
    <cellStyle name="Percent 8 6 2 3" xfId="13197" xr:uid="{00000000-0005-0000-0000-0000C9310000}"/>
    <cellStyle name="Percent 8 6 2 3 2" xfId="13198" xr:uid="{00000000-0005-0000-0000-0000CA310000}"/>
    <cellStyle name="Percent 8 6 2 4" xfId="13199" xr:uid="{00000000-0005-0000-0000-0000CB310000}"/>
    <cellStyle name="Percent 8 6 3" xfId="13200" xr:uid="{00000000-0005-0000-0000-0000CC310000}"/>
    <cellStyle name="Percent 8 6 3 2" xfId="13201" xr:uid="{00000000-0005-0000-0000-0000CD310000}"/>
    <cellStyle name="Percent 8 6 3 2 2" xfId="13202" xr:uid="{00000000-0005-0000-0000-0000CE310000}"/>
    <cellStyle name="Percent 8 6 3 3" xfId="13203" xr:uid="{00000000-0005-0000-0000-0000CF310000}"/>
    <cellStyle name="Percent 8 6 3 3 2" xfId="13204" xr:uid="{00000000-0005-0000-0000-0000D0310000}"/>
    <cellStyle name="Percent 8 6 3 4" xfId="13205" xr:uid="{00000000-0005-0000-0000-0000D1310000}"/>
    <cellStyle name="Percent 8 6 4" xfId="13206" xr:uid="{00000000-0005-0000-0000-0000D2310000}"/>
    <cellStyle name="Percent 8 6 4 2" xfId="13207" xr:uid="{00000000-0005-0000-0000-0000D3310000}"/>
    <cellStyle name="Percent 8 6 4 2 2" xfId="13208" xr:uid="{00000000-0005-0000-0000-0000D4310000}"/>
    <cellStyle name="Percent 8 6 4 3" xfId="13209" xr:uid="{00000000-0005-0000-0000-0000D5310000}"/>
    <cellStyle name="Percent 8 6 4 3 2" xfId="13210" xr:uid="{00000000-0005-0000-0000-0000D6310000}"/>
    <cellStyle name="Percent 8 6 4 4" xfId="13211" xr:uid="{00000000-0005-0000-0000-0000D7310000}"/>
    <cellStyle name="Percent 8 6 4 4 2" xfId="13212" xr:uid="{00000000-0005-0000-0000-0000D8310000}"/>
    <cellStyle name="Percent 8 6 4 5" xfId="13213" xr:uid="{00000000-0005-0000-0000-0000D9310000}"/>
    <cellStyle name="Percent 8 6 5" xfId="13214" xr:uid="{00000000-0005-0000-0000-0000DA310000}"/>
    <cellStyle name="Percent 8 6 5 2" xfId="13215" xr:uid="{00000000-0005-0000-0000-0000DB310000}"/>
    <cellStyle name="Percent 8 6 5 2 2" xfId="13216" xr:uid="{00000000-0005-0000-0000-0000DC310000}"/>
    <cellStyle name="Percent 8 6 5 3" xfId="13217" xr:uid="{00000000-0005-0000-0000-0000DD310000}"/>
    <cellStyle name="Percent 8 6 5 3 2" xfId="13218" xr:uid="{00000000-0005-0000-0000-0000DE310000}"/>
    <cellStyle name="Percent 8 6 5 4" xfId="13219" xr:uid="{00000000-0005-0000-0000-0000DF310000}"/>
    <cellStyle name="Percent 8 6 6" xfId="13220" xr:uid="{00000000-0005-0000-0000-0000E0310000}"/>
    <cellStyle name="Percent 8 6 6 2" xfId="13221" xr:uid="{00000000-0005-0000-0000-0000E1310000}"/>
    <cellStyle name="Percent 8 6 7" xfId="13222" xr:uid="{00000000-0005-0000-0000-0000E2310000}"/>
    <cellStyle name="Percent 8 6 7 2" xfId="13223" xr:uid="{00000000-0005-0000-0000-0000E3310000}"/>
    <cellStyle name="Percent 8 6 8" xfId="13224" xr:uid="{00000000-0005-0000-0000-0000E4310000}"/>
    <cellStyle name="Percent 8 6 8 2" xfId="13225" xr:uid="{00000000-0005-0000-0000-0000E5310000}"/>
    <cellStyle name="Percent 8 6 9" xfId="13226" xr:uid="{00000000-0005-0000-0000-0000E6310000}"/>
    <cellStyle name="Percent 8 7" xfId="4786" xr:uid="{00000000-0005-0000-0000-0000E7310000}"/>
    <cellStyle name="Percent 8 7 10" xfId="13228" xr:uid="{00000000-0005-0000-0000-0000E8310000}"/>
    <cellStyle name="Percent 8 7 11" xfId="13227" xr:uid="{00000000-0005-0000-0000-0000E9310000}"/>
    <cellStyle name="Percent 8 7 2" xfId="13229" xr:uid="{00000000-0005-0000-0000-0000EA310000}"/>
    <cellStyle name="Percent 8 7 2 2" xfId="13230" xr:uid="{00000000-0005-0000-0000-0000EB310000}"/>
    <cellStyle name="Percent 8 7 2 2 2" xfId="13231" xr:uid="{00000000-0005-0000-0000-0000EC310000}"/>
    <cellStyle name="Percent 8 7 2 3" xfId="13232" xr:uid="{00000000-0005-0000-0000-0000ED310000}"/>
    <cellStyle name="Percent 8 7 2 3 2" xfId="13233" xr:uid="{00000000-0005-0000-0000-0000EE310000}"/>
    <cellStyle name="Percent 8 7 2 4" xfId="13234" xr:uid="{00000000-0005-0000-0000-0000EF310000}"/>
    <cellStyle name="Percent 8 7 3" xfId="13235" xr:uid="{00000000-0005-0000-0000-0000F0310000}"/>
    <cellStyle name="Percent 8 7 3 2" xfId="13236" xr:uid="{00000000-0005-0000-0000-0000F1310000}"/>
    <cellStyle name="Percent 8 7 3 2 2" xfId="13237" xr:uid="{00000000-0005-0000-0000-0000F2310000}"/>
    <cellStyle name="Percent 8 7 3 3" xfId="13238" xr:uid="{00000000-0005-0000-0000-0000F3310000}"/>
    <cellStyle name="Percent 8 7 3 3 2" xfId="13239" xr:uid="{00000000-0005-0000-0000-0000F4310000}"/>
    <cellStyle name="Percent 8 7 3 4" xfId="13240" xr:uid="{00000000-0005-0000-0000-0000F5310000}"/>
    <cellStyle name="Percent 8 7 4" xfId="13241" xr:uid="{00000000-0005-0000-0000-0000F6310000}"/>
    <cellStyle name="Percent 8 7 4 2" xfId="13242" xr:uid="{00000000-0005-0000-0000-0000F7310000}"/>
    <cellStyle name="Percent 8 7 4 2 2" xfId="13243" xr:uid="{00000000-0005-0000-0000-0000F8310000}"/>
    <cellStyle name="Percent 8 7 4 3" xfId="13244" xr:uid="{00000000-0005-0000-0000-0000F9310000}"/>
    <cellStyle name="Percent 8 7 4 3 2" xfId="13245" xr:uid="{00000000-0005-0000-0000-0000FA310000}"/>
    <cellStyle name="Percent 8 7 4 4" xfId="13246" xr:uid="{00000000-0005-0000-0000-0000FB310000}"/>
    <cellStyle name="Percent 8 7 4 4 2" xfId="13247" xr:uid="{00000000-0005-0000-0000-0000FC310000}"/>
    <cellStyle name="Percent 8 7 4 5" xfId="13248" xr:uid="{00000000-0005-0000-0000-0000FD310000}"/>
    <cellStyle name="Percent 8 7 5" xfId="13249" xr:uid="{00000000-0005-0000-0000-0000FE310000}"/>
    <cellStyle name="Percent 8 7 5 2" xfId="13250" xr:uid="{00000000-0005-0000-0000-0000FF310000}"/>
    <cellStyle name="Percent 8 7 5 2 2" xfId="13251" xr:uid="{00000000-0005-0000-0000-000000320000}"/>
    <cellStyle name="Percent 8 7 5 3" xfId="13252" xr:uid="{00000000-0005-0000-0000-000001320000}"/>
    <cellStyle name="Percent 8 7 5 3 2" xfId="13253" xr:uid="{00000000-0005-0000-0000-000002320000}"/>
    <cellStyle name="Percent 8 7 5 4" xfId="13254" xr:uid="{00000000-0005-0000-0000-000003320000}"/>
    <cellStyle name="Percent 8 7 6" xfId="13255" xr:uid="{00000000-0005-0000-0000-000004320000}"/>
    <cellStyle name="Percent 8 7 6 2" xfId="13256" xr:uid="{00000000-0005-0000-0000-000005320000}"/>
    <cellStyle name="Percent 8 7 7" xfId="13257" xr:uid="{00000000-0005-0000-0000-000006320000}"/>
    <cellStyle name="Percent 8 7 7 2" xfId="13258" xr:uid="{00000000-0005-0000-0000-000007320000}"/>
    <cellStyle name="Percent 8 7 8" xfId="13259" xr:uid="{00000000-0005-0000-0000-000008320000}"/>
    <cellStyle name="Percent 8 7 8 2" xfId="13260" xr:uid="{00000000-0005-0000-0000-000009320000}"/>
    <cellStyle name="Percent 8 7 9" xfId="13261" xr:uid="{00000000-0005-0000-0000-00000A320000}"/>
    <cellStyle name="Percent 8 8" xfId="4787" xr:uid="{00000000-0005-0000-0000-00000B320000}"/>
    <cellStyle name="Percent 8 8 10" xfId="13263" xr:uid="{00000000-0005-0000-0000-00000C320000}"/>
    <cellStyle name="Percent 8 8 11" xfId="13262" xr:uid="{00000000-0005-0000-0000-00000D320000}"/>
    <cellStyle name="Percent 8 8 2" xfId="13264" xr:uid="{00000000-0005-0000-0000-00000E320000}"/>
    <cellStyle name="Percent 8 8 2 2" xfId="13265" xr:uid="{00000000-0005-0000-0000-00000F320000}"/>
    <cellStyle name="Percent 8 8 2 2 2" xfId="13266" xr:uid="{00000000-0005-0000-0000-000010320000}"/>
    <cellStyle name="Percent 8 8 2 3" xfId="13267" xr:uid="{00000000-0005-0000-0000-000011320000}"/>
    <cellStyle name="Percent 8 8 2 3 2" xfId="13268" xr:uid="{00000000-0005-0000-0000-000012320000}"/>
    <cellStyle name="Percent 8 8 2 4" xfId="13269" xr:uid="{00000000-0005-0000-0000-000013320000}"/>
    <cellStyle name="Percent 8 8 3" xfId="13270" xr:uid="{00000000-0005-0000-0000-000014320000}"/>
    <cellStyle name="Percent 8 8 3 2" xfId="13271" xr:uid="{00000000-0005-0000-0000-000015320000}"/>
    <cellStyle name="Percent 8 8 3 2 2" xfId="13272" xr:uid="{00000000-0005-0000-0000-000016320000}"/>
    <cellStyle name="Percent 8 8 3 3" xfId="13273" xr:uid="{00000000-0005-0000-0000-000017320000}"/>
    <cellStyle name="Percent 8 8 3 3 2" xfId="13274" xr:uid="{00000000-0005-0000-0000-000018320000}"/>
    <cellStyle name="Percent 8 8 3 4" xfId="13275" xr:uid="{00000000-0005-0000-0000-000019320000}"/>
    <cellStyle name="Percent 8 8 4" xfId="13276" xr:uid="{00000000-0005-0000-0000-00001A320000}"/>
    <cellStyle name="Percent 8 8 4 2" xfId="13277" xr:uid="{00000000-0005-0000-0000-00001B320000}"/>
    <cellStyle name="Percent 8 8 4 2 2" xfId="13278" xr:uid="{00000000-0005-0000-0000-00001C320000}"/>
    <cellStyle name="Percent 8 8 4 3" xfId="13279" xr:uid="{00000000-0005-0000-0000-00001D320000}"/>
    <cellStyle name="Percent 8 8 4 3 2" xfId="13280" xr:uid="{00000000-0005-0000-0000-00001E320000}"/>
    <cellStyle name="Percent 8 8 4 4" xfId="13281" xr:uid="{00000000-0005-0000-0000-00001F320000}"/>
    <cellStyle name="Percent 8 8 4 4 2" xfId="13282" xr:uid="{00000000-0005-0000-0000-000020320000}"/>
    <cellStyle name="Percent 8 8 4 5" xfId="13283" xr:uid="{00000000-0005-0000-0000-000021320000}"/>
    <cellStyle name="Percent 8 8 5" xfId="13284" xr:uid="{00000000-0005-0000-0000-000022320000}"/>
    <cellStyle name="Percent 8 8 5 2" xfId="13285" xr:uid="{00000000-0005-0000-0000-000023320000}"/>
    <cellStyle name="Percent 8 8 5 2 2" xfId="13286" xr:uid="{00000000-0005-0000-0000-000024320000}"/>
    <cellStyle name="Percent 8 8 5 3" xfId="13287" xr:uid="{00000000-0005-0000-0000-000025320000}"/>
    <cellStyle name="Percent 8 8 5 3 2" xfId="13288" xr:uid="{00000000-0005-0000-0000-000026320000}"/>
    <cellStyle name="Percent 8 8 5 4" xfId="13289" xr:uid="{00000000-0005-0000-0000-000027320000}"/>
    <cellStyle name="Percent 8 8 6" xfId="13290" xr:uid="{00000000-0005-0000-0000-000028320000}"/>
    <cellStyle name="Percent 8 8 6 2" xfId="13291" xr:uid="{00000000-0005-0000-0000-000029320000}"/>
    <cellStyle name="Percent 8 8 7" xfId="13292" xr:uid="{00000000-0005-0000-0000-00002A320000}"/>
    <cellStyle name="Percent 8 8 7 2" xfId="13293" xr:uid="{00000000-0005-0000-0000-00002B320000}"/>
    <cellStyle name="Percent 8 8 8" xfId="13294" xr:uid="{00000000-0005-0000-0000-00002C320000}"/>
    <cellStyle name="Percent 8 8 8 2" xfId="13295" xr:uid="{00000000-0005-0000-0000-00002D320000}"/>
    <cellStyle name="Percent 8 8 9" xfId="13296" xr:uid="{00000000-0005-0000-0000-00002E320000}"/>
    <cellStyle name="Percent 8 9" xfId="13297" xr:uid="{00000000-0005-0000-0000-00002F320000}"/>
    <cellStyle name="Percent 8 9 2" xfId="13298" xr:uid="{00000000-0005-0000-0000-000030320000}"/>
    <cellStyle name="Percent 8 9 2 2" xfId="13299" xr:uid="{00000000-0005-0000-0000-000031320000}"/>
    <cellStyle name="Percent 8 9 3" xfId="13300" xr:uid="{00000000-0005-0000-0000-000032320000}"/>
    <cellStyle name="Percent 8 9 3 2" xfId="13301" xr:uid="{00000000-0005-0000-0000-000033320000}"/>
    <cellStyle name="Percent 8 9 4" xfId="13302" xr:uid="{00000000-0005-0000-0000-000034320000}"/>
    <cellStyle name="Percent 9" xfId="2553" xr:uid="{00000000-0005-0000-0000-000035320000}"/>
    <cellStyle name="Percent 9 10" xfId="3008" xr:uid="{00000000-0005-0000-0000-000036320000}"/>
    <cellStyle name="Percent 9 10 10" xfId="13305" xr:uid="{00000000-0005-0000-0000-000037320000}"/>
    <cellStyle name="Percent 9 10 11" xfId="13306" xr:uid="{00000000-0005-0000-0000-000038320000}"/>
    <cellStyle name="Percent 9 10 12" xfId="13304" xr:uid="{00000000-0005-0000-0000-000039320000}"/>
    <cellStyle name="Percent 9 10 2" xfId="13307" xr:uid="{00000000-0005-0000-0000-00003A320000}"/>
    <cellStyle name="Percent 9 10 2 2" xfId="13308" xr:uid="{00000000-0005-0000-0000-00003B320000}"/>
    <cellStyle name="Percent 9 10 2 2 2" xfId="13309" xr:uid="{00000000-0005-0000-0000-00003C320000}"/>
    <cellStyle name="Percent 9 10 2 3" xfId="13310" xr:uid="{00000000-0005-0000-0000-00003D320000}"/>
    <cellStyle name="Percent 9 10 2 3 2" xfId="13311" xr:uid="{00000000-0005-0000-0000-00003E320000}"/>
    <cellStyle name="Percent 9 10 2 4" xfId="13312" xr:uid="{00000000-0005-0000-0000-00003F320000}"/>
    <cellStyle name="Percent 9 10 2 5" xfId="13313" xr:uid="{00000000-0005-0000-0000-000040320000}"/>
    <cellStyle name="Percent 9 10 3" xfId="13314" xr:uid="{00000000-0005-0000-0000-000041320000}"/>
    <cellStyle name="Percent 9 10 3 2" xfId="13315" xr:uid="{00000000-0005-0000-0000-000042320000}"/>
    <cellStyle name="Percent 9 10 3 2 2" xfId="13316" xr:uid="{00000000-0005-0000-0000-000043320000}"/>
    <cellStyle name="Percent 9 10 3 3" xfId="13317" xr:uid="{00000000-0005-0000-0000-000044320000}"/>
    <cellStyle name="Percent 9 10 3 3 2" xfId="13318" xr:uid="{00000000-0005-0000-0000-000045320000}"/>
    <cellStyle name="Percent 9 10 3 4" xfId="13319" xr:uid="{00000000-0005-0000-0000-000046320000}"/>
    <cellStyle name="Percent 9 10 4" xfId="13320" xr:uid="{00000000-0005-0000-0000-000047320000}"/>
    <cellStyle name="Percent 9 10 4 2" xfId="13321" xr:uid="{00000000-0005-0000-0000-000048320000}"/>
    <cellStyle name="Percent 9 10 4 2 2" xfId="13322" xr:uid="{00000000-0005-0000-0000-000049320000}"/>
    <cellStyle name="Percent 9 10 4 3" xfId="13323" xr:uid="{00000000-0005-0000-0000-00004A320000}"/>
    <cellStyle name="Percent 9 10 4 3 2" xfId="13324" xr:uid="{00000000-0005-0000-0000-00004B320000}"/>
    <cellStyle name="Percent 9 10 4 4" xfId="13325" xr:uid="{00000000-0005-0000-0000-00004C320000}"/>
    <cellStyle name="Percent 9 10 5" xfId="13326" xr:uid="{00000000-0005-0000-0000-00004D320000}"/>
    <cellStyle name="Percent 9 10 5 2" xfId="13327" xr:uid="{00000000-0005-0000-0000-00004E320000}"/>
    <cellStyle name="Percent 9 10 5 2 2" xfId="13328" xr:uid="{00000000-0005-0000-0000-00004F320000}"/>
    <cellStyle name="Percent 9 10 5 3" xfId="13329" xr:uid="{00000000-0005-0000-0000-000050320000}"/>
    <cellStyle name="Percent 9 10 5 3 2" xfId="13330" xr:uid="{00000000-0005-0000-0000-000051320000}"/>
    <cellStyle name="Percent 9 10 5 4" xfId="13331" xr:uid="{00000000-0005-0000-0000-000052320000}"/>
    <cellStyle name="Percent 9 10 5 4 2" xfId="13332" xr:uid="{00000000-0005-0000-0000-000053320000}"/>
    <cellStyle name="Percent 9 10 5 5" xfId="13333" xr:uid="{00000000-0005-0000-0000-000054320000}"/>
    <cellStyle name="Percent 9 10 6" xfId="13334" xr:uid="{00000000-0005-0000-0000-000055320000}"/>
    <cellStyle name="Percent 9 10 6 2" xfId="13335" xr:uid="{00000000-0005-0000-0000-000056320000}"/>
    <cellStyle name="Percent 9 10 6 2 2" xfId="13336" xr:uid="{00000000-0005-0000-0000-000057320000}"/>
    <cellStyle name="Percent 9 10 6 3" xfId="13337" xr:uid="{00000000-0005-0000-0000-000058320000}"/>
    <cellStyle name="Percent 9 10 6 3 2" xfId="13338" xr:uid="{00000000-0005-0000-0000-000059320000}"/>
    <cellStyle name="Percent 9 10 6 4" xfId="13339" xr:uid="{00000000-0005-0000-0000-00005A320000}"/>
    <cellStyle name="Percent 9 10 7" xfId="13340" xr:uid="{00000000-0005-0000-0000-00005B320000}"/>
    <cellStyle name="Percent 9 10 7 2" xfId="13341" xr:uid="{00000000-0005-0000-0000-00005C320000}"/>
    <cellStyle name="Percent 9 10 8" xfId="13342" xr:uid="{00000000-0005-0000-0000-00005D320000}"/>
    <cellStyle name="Percent 9 10 8 2" xfId="13343" xr:uid="{00000000-0005-0000-0000-00005E320000}"/>
    <cellStyle name="Percent 9 10 9" xfId="13344" xr:uid="{00000000-0005-0000-0000-00005F320000}"/>
    <cellStyle name="Percent 9 10 9 2" xfId="13345" xr:uid="{00000000-0005-0000-0000-000060320000}"/>
    <cellStyle name="Percent 9 11" xfId="3009" xr:uid="{00000000-0005-0000-0000-000061320000}"/>
    <cellStyle name="Percent 9 11 10" xfId="13347" xr:uid="{00000000-0005-0000-0000-000062320000}"/>
    <cellStyle name="Percent 9 11 11" xfId="13348" xr:uid="{00000000-0005-0000-0000-000063320000}"/>
    <cellStyle name="Percent 9 11 12" xfId="13346" xr:uid="{00000000-0005-0000-0000-000064320000}"/>
    <cellStyle name="Percent 9 11 2" xfId="13349" xr:uid="{00000000-0005-0000-0000-000065320000}"/>
    <cellStyle name="Percent 9 11 2 2" xfId="13350" xr:uid="{00000000-0005-0000-0000-000066320000}"/>
    <cellStyle name="Percent 9 11 2 2 2" xfId="13351" xr:uid="{00000000-0005-0000-0000-000067320000}"/>
    <cellStyle name="Percent 9 11 2 3" xfId="13352" xr:uid="{00000000-0005-0000-0000-000068320000}"/>
    <cellStyle name="Percent 9 11 2 3 2" xfId="13353" xr:uid="{00000000-0005-0000-0000-000069320000}"/>
    <cellStyle name="Percent 9 11 2 4" xfId="13354" xr:uid="{00000000-0005-0000-0000-00006A320000}"/>
    <cellStyle name="Percent 9 11 2 5" xfId="13355" xr:uid="{00000000-0005-0000-0000-00006B320000}"/>
    <cellStyle name="Percent 9 11 3" xfId="13356" xr:uid="{00000000-0005-0000-0000-00006C320000}"/>
    <cellStyle name="Percent 9 11 3 2" xfId="13357" xr:uid="{00000000-0005-0000-0000-00006D320000}"/>
    <cellStyle name="Percent 9 11 3 2 2" xfId="13358" xr:uid="{00000000-0005-0000-0000-00006E320000}"/>
    <cellStyle name="Percent 9 11 3 3" xfId="13359" xr:uid="{00000000-0005-0000-0000-00006F320000}"/>
    <cellStyle name="Percent 9 11 3 3 2" xfId="13360" xr:uid="{00000000-0005-0000-0000-000070320000}"/>
    <cellStyle name="Percent 9 11 3 4" xfId="13361" xr:uid="{00000000-0005-0000-0000-000071320000}"/>
    <cellStyle name="Percent 9 11 4" xfId="13362" xr:uid="{00000000-0005-0000-0000-000072320000}"/>
    <cellStyle name="Percent 9 11 4 2" xfId="13363" xr:uid="{00000000-0005-0000-0000-000073320000}"/>
    <cellStyle name="Percent 9 11 4 2 2" xfId="13364" xr:uid="{00000000-0005-0000-0000-000074320000}"/>
    <cellStyle name="Percent 9 11 4 3" xfId="13365" xr:uid="{00000000-0005-0000-0000-000075320000}"/>
    <cellStyle name="Percent 9 11 4 3 2" xfId="13366" xr:uid="{00000000-0005-0000-0000-000076320000}"/>
    <cellStyle name="Percent 9 11 4 4" xfId="13367" xr:uid="{00000000-0005-0000-0000-000077320000}"/>
    <cellStyle name="Percent 9 11 5" xfId="13368" xr:uid="{00000000-0005-0000-0000-000078320000}"/>
    <cellStyle name="Percent 9 11 5 2" xfId="13369" xr:uid="{00000000-0005-0000-0000-000079320000}"/>
    <cellStyle name="Percent 9 11 5 2 2" xfId="13370" xr:uid="{00000000-0005-0000-0000-00007A320000}"/>
    <cellStyle name="Percent 9 11 5 3" xfId="13371" xr:uid="{00000000-0005-0000-0000-00007B320000}"/>
    <cellStyle name="Percent 9 11 5 3 2" xfId="13372" xr:uid="{00000000-0005-0000-0000-00007C320000}"/>
    <cellStyle name="Percent 9 11 5 4" xfId="13373" xr:uid="{00000000-0005-0000-0000-00007D320000}"/>
    <cellStyle name="Percent 9 11 5 4 2" xfId="13374" xr:uid="{00000000-0005-0000-0000-00007E320000}"/>
    <cellStyle name="Percent 9 11 5 5" xfId="13375" xr:uid="{00000000-0005-0000-0000-00007F320000}"/>
    <cellStyle name="Percent 9 11 6" xfId="13376" xr:uid="{00000000-0005-0000-0000-000080320000}"/>
    <cellStyle name="Percent 9 11 6 2" xfId="13377" xr:uid="{00000000-0005-0000-0000-000081320000}"/>
    <cellStyle name="Percent 9 11 6 2 2" xfId="13378" xr:uid="{00000000-0005-0000-0000-000082320000}"/>
    <cellStyle name="Percent 9 11 6 3" xfId="13379" xr:uid="{00000000-0005-0000-0000-000083320000}"/>
    <cellStyle name="Percent 9 11 6 3 2" xfId="13380" xr:uid="{00000000-0005-0000-0000-000084320000}"/>
    <cellStyle name="Percent 9 11 6 4" xfId="13381" xr:uid="{00000000-0005-0000-0000-000085320000}"/>
    <cellStyle name="Percent 9 11 7" xfId="13382" xr:uid="{00000000-0005-0000-0000-000086320000}"/>
    <cellStyle name="Percent 9 11 7 2" xfId="13383" xr:uid="{00000000-0005-0000-0000-000087320000}"/>
    <cellStyle name="Percent 9 11 8" xfId="13384" xr:uid="{00000000-0005-0000-0000-000088320000}"/>
    <cellStyle name="Percent 9 11 8 2" xfId="13385" xr:uid="{00000000-0005-0000-0000-000089320000}"/>
    <cellStyle name="Percent 9 11 9" xfId="13386" xr:uid="{00000000-0005-0000-0000-00008A320000}"/>
    <cellStyle name="Percent 9 11 9 2" xfId="13387" xr:uid="{00000000-0005-0000-0000-00008B320000}"/>
    <cellStyle name="Percent 9 12" xfId="3010" xr:uid="{00000000-0005-0000-0000-00008C320000}"/>
    <cellStyle name="Percent 9 12 10" xfId="13389" xr:uid="{00000000-0005-0000-0000-00008D320000}"/>
    <cellStyle name="Percent 9 12 11" xfId="13390" xr:uid="{00000000-0005-0000-0000-00008E320000}"/>
    <cellStyle name="Percent 9 12 12" xfId="13388" xr:uid="{00000000-0005-0000-0000-00008F320000}"/>
    <cellStyle name="Percent 9 12 2" xfId="13391" xr:uid="{00000000-0005-0000-0000-000090320000}"/>
    <cellStyle name="Percent 9 12 2 2" xfId="13392" xr:uid="{00000000-0005-0000-0000-000091320000}"/>
    <cellStyle name="Percent 9 12 2 2 2" xfId="13393" xr:uid="{00000000-0005-0000-0000-000092320000}"/>
    <cellStyle name="Percent 9 12 2 3" xfId="13394" xr:uid="{00000000-0005-0000-0000-000093320000}"/>
    <cellStyle name="Percent 9 12 2 3 2" xfId="13395" xr:uid="{00000000-0005-0000-0000-000094320000}"/>
    <cellStyle name="Percent 9 12 2 4" xfId="13396" xr:uid="{00000000-0005-0000-0000-000095320000}"/>
    <cellStyle name="Percent 9 12 2 5" xfId="13397" xr:uid="{00000000-0005-0000-0000-000096320000}"/>
    <cellStyle name="Percent 9 12 3" xfId="13398" xr:uid="{00000000-0005-0000-0000-000097320000}"/>
    <cellStyle name="Percent 9 12 3 2" xfId="13399" xr:uid="{00000000-0005-0000-0000-000098320000}"/>
    <cellStyle name="Percent 9 12 3 2 2" xfId="13400" xr:uid="{00000000-0005-0000-0000-000099320000}"/>
    <cellStyle name="Percent 9 12 3 3" xfId="13401" xr:uid="{00000000-0005-0000-0000-00009A320000}"/>
    <cellStyle name="Percent 9 12 3 3 2" xfId="13402" xr:uid="{00000000-0005-0000-0000-00009B320000}"/>
    <cellStyle name="Percent 9 12 3 4" xfId="13403" xr:uid="{00000000-0005-0000-0000-00009C320000}"/>
    <cellStyle name="Percent 9 12 4" xfId="13404" xr:uid="{00000000-0005-0000-0000-00009D320000}"/>
    <cellStyle name="Percent 9 12 4 2" xfId="13405" xr:uid="{00000000-0005-0000-0000-00009E320000}"/>
    <cellStyle name="Percent 9 12 4 2 2" xfId="13406" xr:uid="{00000000-0005-0000-0000-00009F320000}"/>
    <cellStyle name="Percent 9 12 4 3" xfId="13407" xr:uid="{00000000-0005-0000-0000-0000A0320000}"/>
    <cellStyle name="Percent 9 12 4 3 2" xfId="13408" xr:uid="{00000000-0005-0000-0000-0000A1320000}"/>
    <cellStyle name="Percent 9 12 4 4" xfId="13409" xr:uid="{00000000-0005-0000-0000-0000A2320000}"/>
    <cellStyle name="Percent 9 12 5" xfId="13410" xr:uid="{00000000-0005-0000-0000-0000A3320000}"/>
    <cellStyle name="Percent 9 12 5 2" xfId="13411" xr:uid="{00000000-0005-0000-0000-0000A4320000}"/>
    <cellStyle name="Percent 9 12 5 2 2" xfId="13412" xr:uid="{00000000-0005-0000-0000-0000A5320000}"/>
    <cellStyle name="Percent 9 12 5 3" xfId="13413" xr:uid="{00000000-0005-0000-0000-0000A6320000}"/>
    <cellStyle name="Percent 9 12 5 3 2" xfId="13414" xr:uid="{00000000-0005-0000-0000-0000A7320000}"/>
    <cellStyle name="Percent 9 12 5 4" xfId="13415" xr:uid="{00000000-0005-0000-0000-0000A8320000}"/>
    <cellStyle name="Percent 9 12 5 4 2" xfId="13416" xr:uid="{00000000-0005-0000-0000-0000A9320000}"/>
    <cellStyle name="Percent 9 12 5 5" xfId="13417" xr:uid="{00000000-0005-0000-0000-0000AA320000}"/>
    <cellStyle name="Percent 9 12 6" xfId="13418" xr:uid="{00000000-0005-0000-0000-0000AB320000}"/>
    <cellStyle name="Percent 9 12 6 2" xfId="13419" xr:uid="{00000000-0005-0000-0000-0000AC320000}"/>
    <cellStyle name="Percent 9 12 6 2 2" xfId="13420" xr:uid="{00000000-0005-0000-0000-0000AD320000}"/>
    <cellStyle name="Percent 9 12 6 3" xfId="13421" xr:uid="{00000000-0005-0000-0000-0000AE320000}"/>
    <cellStyle name="Percent 9 12 6 3 2" xfId="13422" xr:uid="{00000000-0005-0000-0000-0000AF320000}"/>
    <cellStyle name="Percent 9 12 6 4" xfId="13423" xr:uid="{00000000-0005-0000-0000-0000B0320000}"/>
    <cellStyle name="Percent 9 12 7" xfId="13424" xr:uid="{00000000-0005-0000-0000-0000B1320000}"/>
    <cellStyle name="Percent 9 12 7 2" xfId="13425" xr:uid="{00000000-0005-0000-0000-0000B2320000}"/>
    <cellStyle name="Percent 9 12 8" xfId="13426" xr:uid="{00000000-0005-0000-0000-0000B3320000}"/>
    <cellStyle name="Percent 9 12 8 2" xfId="13427" xr:uid="{00000000-0005-0000-0000-0000B4320000}"/>
    <cellStyle name="Percent 9 12 9" xfId="13428" xr:uid="{00000000-0005-0000-0000-0000B5320000}"/>
    <cellStyle name="Percent 9 12 9 2" xfId="13429" xr:uid="{00000000-0005-0000-0000-0000B6320000}"/>
    <cellStyle name="Percent 9 13" xfId="3011" xr:uid="{00000000-0005-0000-0000-0000B7320000}"/>
    <cellStyle name="Percent 9 13 10" xfId="13431" xr:uid="{00000000-0005-0000-0000-0000B8320000}"/>
    <cellStyle name="Percent 9 13 11" xfId="13432" xr:uid="{00000000-0005-0000-0000-0000B9320000}"/>
    <cellStyle name="Percent 9 13 12" xfId="13430" xr:uid="{00000000-0005-0000-0000-0000BA320000}"/>
    <cellStyle name="Percent 9 13 2" xfId="13433" xr:uid="{00000000-0005-0000-0000-0000BB320000}"/>
    <cellStyle name="Percent 9 13 2 2" xfId="13434" xr:uid="{00000000-0005-0000-0000-0000BC320000}"/>
    <cellStyle name="Percent 9 13 2 2 2" xfId="13435" xr:uid="{00000000-0005-0000-0000-0000BD320000}"/>
    <cellStyle name="Percent 9 13 2 3" xfId="13436" xr:uid="{00000000-0005-0000-0000-0000BE320000}"/>
    <cellStyle name="Percent 9 13 2 3 2" xfId="13437" xr:uid="{00000000-0005-0000-0000-0000BF320000}"/>
    <cellStyle name="Percent 9 13 2 4" xfId="13438" xr:uid="{00000000-0005-0000-0000-0000C0320000}"/>
    <cellStyle name="Percent 9 13 2 5" xfId="13439" xr:uid="{00000000-0005-0000-0000-0000C1320000}"/>
    <cellStyle name="Percent 9 13 3" xfId="13440" xr:uid="{00000000-0005-0000-0000-0000C2320000}"/>
    <cellStyle name="Percent 9 13 3 2" xfId="13441" xr:uid="{00000000-0005-0000-0000-0000C3320000}"/>
    <cellStyle name="Percent 9 13 3 2 2" xfId="13442" xr:uid="{00000000-0005-0000-0000-0000C4320000}"/>
    <cellStyle name="Percent 9 13 3 3" xfId="13443" xr:uid="{00000000-0005-0000-0000-0000C5320000}"/>
    <cellStyle name="Percent 9 13 3 3 2" xfId="13444" xr:uid="{00000000-0005-0000-0000-0000C6320000}"/>
    <cellStyle name="Percent 9 13 3 4" xfId="13445" xr:uid="{00000000-0005-0000-0000-0000C7320000}"/>
    <cellStyle name="Percent 9 13 4" xfId="13446" xr:uid="{00000000-0005-0000-0000-0000C8320000}"/>
    <cellStyle name="Percent 9 13 4 2" xfId="13447" xr:uid="{00000000-0005-0000-0000-0000C9320000}"/>
    <cellStyle name="Percent 9 13 4 2 2" xfId="13448" xr:uid="{00000000-0005-0000-0000-0000CA320000}"/>
    <cellStyle name="Percent 9 13 4 3" xfId="13449" xr:uid="{00000000-0005-0000-0000-0000CB320000}"/>
    <cellStyle name="Percent 9 13 4 3 2" xfId="13450" xr:uid="{00000000-0005-0000-0000-0000CC320000}"/>
    <cellStyle name="Percent 9 13 4 4" xfId="13451" xr:uid="{00000000-0005-0000-0000-0000CD320000}"/>
    <cellStyle name="Percent 9 13 5" xfId="13452" xr:uid="{00000000-0005-0000-0000-0000CE320000}"/>
    <cellStyle name="Percent 9 13 5 2" xfId="13453" xr:uid="{00000000-0005-0000-0000-0000CF320000}"/>
    <cellStyle name="Percent 9 13 5 2 2" xfId="13454" xr:uid="{00000000-0005-0000-0000-0000D0320000}"/>
    <cellStyle name="Percent 9 13 5 3" xfId="13455" xr:uid="{00000000-0005-0000-0000-0000D1320000}"/>
    <cellStyle name="Percent 9 13 5 3 2" xfId="13456" xr:uid="{00000000-0005-0000-0000-0000D2320000}"/>
    <cellStyle name="Percent 9 13 5 4" xfId="13457" xr:uid="{00000000-0005-0000-0000-0000D3320000}"/>
    <cellStyle name="Percent 9 13 5 4 2" xfId="13458" xr:uid="{00000000-0005-0000-0000-0000D4320000}"/>
    <cellStyle name="Percent 9 13 5 5" xfId="13459" xr:uid="{00000000-0005-0000-0000-0000D5320000}"/>
    <cellStyle name="Percent 9 13 6" xfId="13460" xr:uid="{00000000-0005-0000-0000-0000D6320000}"/>
    <cellStyle name="Percent 9 13 6 2" xfId="13461" xr:uid="{00000000-0005-0000-0000-0000D7320000}"/>
    <cellStyle name="Percent 9 13 6 2 2" xfId="13462" xr:uid="{00000000-0005-0000-0000-0000D8320000}"/>
    <cellStyle name="Percent 9 13 6 3" xfId="13463" xr:uid="{00000000-0005-0000-0000-0000D9320000}"/>
    <cellStyle name="Percent 9 13 6 3 2" xfId="13464" xr:uid="{00000000-0005-0000-0000-0000DA320000}"/>
    <cellStyle name="Percent 9 13 6 4" xfId="13465" xr:uid="{00000000-0005-0000-0000-0000DB320000}"/>
    <cellStyle name="Percent 9 13 7" xfId="13466" xr:uid="{00000000-0005-0000-0000-0000DC320000}"/>
    <cellStyle name="Percent 9 13 7 2" xfId="13467" xr:uid="{00000000-0005-0000-0000-0000DD320000}"/>
    <cellStyle name="Percent 9 13 8" xfId="13468" xr:uid="{00000000-0005-0000-0000-0000DE320000}"/>
    <cellStyle name="Percent 9 13 8 2" xfId="13469" xr:uid="{00000000-0005-0000-0000-0000DF320000}"/>
    <cellStyle name="Percent 9 13 9" xfId="13470" xr:uid="{00000000-0005-0000-0000-0000E0320000}"/>
    <cellStyle name="Percent 9 13 9 2" xfId="13471" xr:uid="{00000000-0005-0000-0000-0000E1320000}"/>
    <cellStyle name="Percent 9 14" xfId="3012" xr:uid="{00000000-0005-0000-0000-0000E2320000}"/>
    <cellStyle name="Percent 9 14 10" xfId="13473" xr:uid="{00000000-0005-0000-0000-0000E3320000}"/>
    <cellStyle name="Percent 9 14 11" xfId="13474" xr:uid="{00000000-0005-0000-0000-0000E4320000}"/>
    <cellStyle name="Percent 9 14 12" xfId="13472" xr:uid="{00000000-0005-0000-0000-0000E5320000}"/>
    <cellStyle name="Percent 9 14 2" xfId="13475" xr:uid="{00000000-0005-0000-0000-0000E6320000}"/>
    <cellStyle name="Percent 9 14 2 2" xfId="13476" xr:uid="{00000000-0005-0000-0000-0000E7320000}"/>
    <cellStyle name="Percent 9 14 2 2 2" xfId="13477" xr:uid="{00000000-0005-0000-0000-0000E8320000}"/>
    <cellStyle name="Percent 9 14 2 3" xfId="13478" xr:uid="{00000000-0005-0000-0000-0000E9320000}"/>
    <cellStyle name="Percent 9 14 2 3 2" xfId="13479" xr:uid="{00000000-0005-0000-0000-0000EA320000}"/>
    <cellStyle name="Percent 9 14 2 4" xfId="13480" xr:uid="{00000000-0005-0000-0000-0000EB320000}"/>
    <cellStyle name="Percent 9 14 2 5" xfId="13481" xr:uid="{00000000-0005-0000-0000-0000EC320000}"/>
    <cellStyle name="Percent 9 14 3" xfId="13482" xr:uid="{00000000-0005-0000-0000-0000ED320000}"/>
    <cellStyle name="Percent 9 14 3 2" xfId="13483" xr:uid="{00000000-0005-0000-0000-0000EE320000}"/>
    <cellStyle name="Percent 9 14 3 2 2" xfId="13484" xr:uid="{00000000-0005-0000-0000-0000EF320000}"/>
    <cellStyle name="Percent 9 14 3 3" xfId="13485" xr:uid="{00000000-0005-0000-0000-0000F0320000}"/>
    <cellStyle name="Percent 9 14 3 3 2" xfId="13486" xr:uid="{00000000-0005-0000-0000-0000F1320000}"/>
    <cellStyle name="Percent 9 14 3 4" xfId="13487" xr:uid="{00000000-0005-0000-0000-0000F2320000}"/>
    <cellStyle name="Percent 9 14 4" xfId="13488" xr:uid="{00000000-0005-0000-0000-0000F3320000}"/>
    <cellStyle name="Percent 9 14 4 2" xfId="13489" xr:uid="{00000000-0005-0000-0000-0000F4320000}"/>
    <cellStyle name="Percent 9 14 4 2 2" xfId="13490" xr:uid="{00000000-0005-0000-0000-0000F5320000}"/>
    <cellStyle name="Percent 9 14 4 3" xfId="13491" xr:uid="{00000000-0005-0000-0000-0000F6320000}"/>
    <cellStyle name="Percent 9 14 4 3 2" xfId="13492" xr:uid="{00000000-0005-0000-0000-0000F7320000}"/>
    <cellStyle name="Percent 9 14 4 4" xfId="13493" xr:uid="{00000000-0005-0000-0000-0000F8320000}"/>
    <cellStyle name="Percent 9 14 5" xfId="13494" xr:uid="{00000000-0005-0000-0000-0000F9320000}"/>
    <cellStyle name="Percent 9 14 5 2" xfId="13495" xr:uid="{00000000-0005-0000-0000-0000FA320000}"/>
    <cellStyle name="Percent 9 14 5 2 2" xfId="13496" xr:uid="{00000000-0005-0000-0000-0000FB320000}"/>
    <cellStyle name="Percent 9 14 5 3" xfId="13497" xr:uid="{00000000-0005-0000-0000-0000FC320000}"/>
    <cellStyle name="Percent 9 14 5 3 2" xfId="13498" xr:uid="{00000000-0005-0000-0000-0000FD320000}"/>
    <cellStyle name="Percent 9 14 5 4" xfId="13499" xr:uid="{00000000-0005-0000-0000-0000FE320000}"/>
    <cellStyle name="Percent 9 14 5 4 2" xfId="13500" xr:uid="{00000000-0005-0000-0000-0000FF320000}"/>
    <cellStyle name="Percent 9 14 5 5" xfId="13501" xr:uid="{00000000-0005-0000-0000-000000330000}"/>
    <cellStyle name="Percent 9 14 6" xfId="13502" xr:uid="{00000000-0005-0000-0000-000001330000}"/>
    <cellStyle name="Percent 9 14 6 2" xfId="13503" xr:uid="{00000000-0005-0000-0000-000002330000}"/>
    <cellStyle name="Percent 9 14 6 2 2" xfId="13504" xr:uid="{00000000-0005-0000-0000-000003330000}"/>
    <cellStyle name="Percent 9 14 6 3" xfId="13505" xr:uid="{00000000-0005-0000-0000-000004330000}"/>
    <cellStyle name="Percent 9 14 6 3 2" xfId="13506" xr:uid="{00000000-0005-0000-0000-000005330000}"/>
    <cellStyle name="Percent 9 14 6 4" xfId="13507" xr:uid="{00000000-0005-0000-0000-000006330000}"/>
    <cellStyle name="Percent 9 14 7" xfId="13508" xr:uid="{00000000-0005-0000-0000-000007330000}"/>
    <cellStyle name="Percent 9 14 7 2" xfId="13509" xr:uid="{00000000-0005-0000-0000-000008330000}"/>
    <cellStyle name="Percent 9 14 8" xfId="13510" xr:uid="{00000000-0005-0000-0000-000009330000}"/>
    <cellStyle name="Percent 9 14 8 2" xfId="13511" xr:uid="{00000000-0005-0000-0000-00000A330000}"/>
    <cellStyle name="Percent 9 14 9" xfId="13512" xr:uid="{00000000-0005-0000-0000-00000B330000}"/>
    <cellStyle name="Percent 9 14 9 2" xfId="13513" xr:uid="{00000000-0005-0000-0000-00000C330000}"/>
    <cellStyle name="Percent 9 15" xfId="3013" xr:uid="{00000000-0005-0000-0000-00000D330000}"/>
    <cellStyle name="Percent 9 15 10" xfId="13515" xr:uid="{00000000-0005-0000-0000-00000E330000}"/>
    <cellStyle name="Percent 9 15 11" xfId="13516" xr:uid="{00000000-0005-0000-0000-00000F330000}"/>
    <cellStyle name="Percent 9 15 12" xfId="13514" xr:uid="{00000000-0005-0000-0000-000010330000}"/>
    <cellStyle name="Percent 9 15 2" xfId="13517" xr:uid="{00000000-0005-0000-0000-000011330000}"/>
    <cellStyle name="Percent 9 15 2 2" xfId="13518" xr:uid="{00000000-0005-0000-0000-000012330000}"/>
    <cellStyle name="Percent 9 15 2 2 2" xfId="13519" xr:uid="{00000000-0005-0000-0000-000013330000}"/>
    <cellStyle name="Percent 9 15 2 3" xfId="13520" xr:uid="{00000000-0005-0000-0000-000014330000}"/>
    <cellStyle name="Percent 9 15 2 3 2" xfId="13521" xr:uid="{00000000-0005-0000-0000-000015330000}"/>
    <cellStyle name="Percent 9 15 2 4" xfId="13522" xr:uid="{00000000-0005-0000-0000-000016330000}"/>
    <cellStyle name="Percent 9 15 2 5" xfId="13523" xr:uid="{00000000-0005-0000-0000-000017330000}"/>
    <cellStyle name="Percent 9 15 3" xfId="13524" xr:uid="{00000000-0005-0000-0000-000018330000}"/>
    <cellStyle name="Percent 9 15 3 2" xfId="13525" xr:uid="{00000000-0005-0000-0000-000019330000}"/>
    <cellStyle name="Percent 9 15 3 2 2" xfId="13526" xr:uid="{00000000-0005-0000-0000-00001A330000}"/>
    <cellStyle name="Percent 9 15 3 3" xfId="13527" xr:uid="{00000000-0005-0000-0000-00001B330000}"/>
    <cellStyle name="Percent 9 15 3 3 2" xfId="13528" xr:uid="{00000000-0005-0000-0000-00001C330000}"/>
    <cellStyle name="Percent 9 15 3 4" xfId="13529" xr:uid="{00000000-0005-0000-0000-00001D330000}"/>
    <cellStyle name="Percent 9 15 4" xfId="13530" xr:uid="{00000000-0005-0000-0000-00001E330000}"/>
    <cellStyle name="Percent 9 15 4 2" xfId="13531" xr:uid="{00000000-0005-0000-0000-00001F330000}"/>
    <cellStyle name="Percent 9 15 4 2 2" xfId="13532" xr:uid="{00000000-0005-0000-0000-000020330000}"/>
    <cellStyle name="Percent 9 15 4 3" xfId="13533" xr:uid="{00000000-0005-0000-0000-000021330000}"/>
    <cellStyle name="Percent 9 15 4 3 2" xfId="13534" xr:uid="{00000000-0005-0000-0000-000022330000}"/>
    <cellStyle name="Percent 9 15 4 4" xfId="13535" xr:uid="{00000000-0005-0000-0000-000023330000}"/>
    <cellStyle name="Percent 9 15 5" xfId="13536" xr:uid="{00000000-0005-0000-0000-000024330000}"/>
    <cellStyle name="Percent 9 15 5 2" xfId="13537" xr:uid="{00000000-0005-0000-0000-000025330000}"/>
    <cellStyle name="Percent 9 15 5 2 2" xfId="13538" xr:uid="{00000000-0005-0000-0000-000026330000}"/>
    <cellStyle name="Percent 9 15 5 3" xfId="13539" xr:uid="{00000000-0005-0000-0000-000027330000}"/>
    <cellStyle name="Percent 9 15 5 3 2" xfId="13540" xr:uid="{00000000-0005-0000-0000-000028330000}"/>
    <cellStyle name="Percent 9 15 5 4" xfId="13541" xr:uid="{00000000-0005-0000-0000-000029330000}"/>
    <cellStyle name="Percent 9 15 5 4 2" xfId="13542" xr:uid="{00000000-0005-0000-0000-00002A330000}"/>
    <cellStyle name="Percent 9 15 5 5" xfId="13543" xr:uid="{00000000-0005-0000-0000-00002B330000}"/>
    <cellStyle name="Percent 9 15 6" xfId="13544" xr:uid="{00000000-0005-0000-0000-00002C330000}"/>
    <cellStyle name="Percent 9 15 6 2" xfId="13545" xr:uid="{00000000-0005-0000-0000-00002D330000}"/>
    <cellStyle name="Percent 9 15 6 2 2" xfId="13546" xr:uid="{00000000-0005-0000-0000-00002E330000}"/>
    <cellStyle name="Percent 9 15 6 3" xfId="13547" xr:uid="{00000000-0005-0000-0000-00002F330000}"/>
    <cellStyle name="Percent 9 15 6 3 2" xfId="13548" xr:uid="{00000000-0005-0000-0000-000030330000}"/>
    <cellStyle name="Percent 9 15 6 4" xfId="13549" xr:uid="{00000000-0005-0000-0000-000031330000}"/>
    <cellStyle name="Percent 9 15 7" xfId="13550" xr:uid="{00000000-0005-0000-0000-000032330000}"/>
    <cellStyle name="Percent 9 15 7 2" xfId="13551" xr:uid="{00000000-0005-0000-0000-000033330000}"/>
    <cellStyle name="Percent 9 15 8" xfId="13552" xr:uid="{00000000-0005-0000-0000-000034330000}"/>
    <cellStyle name="Percent 9 15 8 2" xfId="13553" xr:uid="{00000000-0005-0000-0000-000035330000}"/>
    <cellStyle name="Percent 9 15 9" xfId="13554" xr:uid="{00000000-0005-0000-0000-000036330000}"/>
    <cellStyle name="Percent 9 15 9 2" xfId="13555" xr:uid="{00000000-0005-0000-0000-000037330000}"/>
    <cellStyle name="Percent 9 16" xfId="3014" xr:uid="{00000000-0005-0000-0000-000038330000}"/>
    <cellStyle name="Percent 9 16 10" xfId="13557" xr:uid="{00000000-0005-0000-0000-000039330000}"/>
    <cellStyle name="Percent 9 16 11" xfId="13558" xr:uid="{00000000-0005-0000-0000-00003A330000}"/>
    <cellStyle name="Percent 9 16 12" xfId="13556" xr:uid="{00000000-0005-0000-0000-00003B330000}"/>
    <cellStyle name="Percent 9 16 2" xfId="13559" xr:uid="{00000000-0005-0000-0000-00003C330000}"/>
    <cellStyle name="Percent 9 16 2 2" xfId="13560" xr:uid="{00000000-0005-0000-0000-00003D330000}"/>
    <cellStyle name="Percent 9 16 2 2 2" xfId="13561" xr:uid="{00000000-0005-0000-0000-00003E330000}"/>
    <cellStyle name="Percent 9 16 2 3" xfId="13562" xr:uid="{00000000-0005-0000-0000-00003F330000}"/>
    <cellStyle name="Percent 9 16 2 3 2" xfId="13563" xr:uid="{00000000-0005-0000-0000-000040330000}"/>
    <cellStyle name="Percent 9 16 2 4" xfId="13564" xr:uid="{00000000-0005-0000-0000-000041330000}"/>
    <cellStyle name="Percent 9 16 2 5" xfId="13565" xr:uid="{00000000-0005-0000-0000-000042330000}"/>
    <cellStyle name="Percent 9 16 3" xfId="13566" xr:uid="{00000000-0005-0000-0000-000043330000}"/>
    <cellStyle name="Percent 9 16 3 2" xfId="13567" xr:uid="{00000000-0005-0000-0000-000044330000}"/>
    <cellStyle name="Percent 9 16 3 2 2" xfId="13568" xr:uid="{00000000-0005-0000-0000-000045330000}"/>
    <cellStyle name="Percent 9 16 3 3" xfId="13569" xr:uid="{00000000-0005-0000-0000-000046330000}"/>
    <cellStyle name="Percent 9 16 3 3 2" xfId="13570" xr:uid="{00000000-0005-0000-0000-000047330000}"/>
    <cellStyle name="Percent 9 16 3 4" xfId="13571" xr:uid="{00000000-0005-0000-0000-000048330000}"/>
    <cellStyle name="Percent 9 16 4" xfId="13572" xr:uid="{00000000-0005-0000-0000-000049330000}"/>
    <cellStyle name="Percent 9 16 4 2" xfId="13573" xr:uid="{00000000-0005-0000-0000-00004A330000}"/>
    <cellStyle name="Percent 9 16 4 2 2" xfId="13574" xr:uid="{00000000-0005-0000-0000-00004B330000}"/>
    <cellStyle name="Percent 9 16 4 3" xfId="13575" xr:uid="{00000000-0005-0000-0000-00004C330000}"/>
    <cellStyle name="Percent 9 16 4 3 2" xfId="13576" xr:uid="{00000000-0005-0000-0000-00004D330000}"/>
    <cellStyle name="Percent 9 16 4 4" xfId="13577" xr:uid="{00000000-0005-0000-0000-00004E330000}"/>
    <cellStyle name="Percent 9 16 5" xfId="13578" xr:uid="{00000000-0005-0000-0000-00004F330000}"/>
    <cellStyle name="Percent 9 16 5 2" xfId="13579" xr:uid="{00000000-0005-0000-0000-000050330000}"/>
    <cellStyle name="Percent 9 16 5 2 2" xfId="13580" xr:uid="{00000000-0005-0000-0000-000051330000}"/>
    <cellStyle name="Percent 9 16 5 3" xfId="13581" xr:uid="{00000000-0005-0000-0000-000052330000}"/>
    <cellStyle name="Percent 9 16 5 3 2" xfId="13582" xr:uid="{00000000-0005-0000-0000-000053330000}"/>
    <cellStyle name="Percent 9 16 5 4" xfId="13583" xr:uid="{00000000-0005-0000-0000-000054330000}"/>
    <cellStyle name="Percent 9 16 5 4 2" xfId="13584" xr:uid="{00000000-0005-0000-0000-000055330000}"/>
    <cellStyle name="Percent 9 16 5 5" xfId="13585" xr:uid="{00000000-0005-0000-0000-000056330000}"/>
    <cellStyle name="Percent 9 16 6" xfId="13586" xr:uid="{00000000-0005-0000-0000-000057330000}"/>
    <cellStyle name="Percent 9 16 6 2" xfId="13587" xr:uid="{00000000-0005-0000-0000-000058330000}"/>
    <cellStyle name="Percent 9 16 6 2 2" xfId="13588" xr:uid="{00000000-0005-0000-0000-000059330000}"/>
    <cellStyle name="Percent 9 16 6 3" xfId="13589" xr:uid="{00000000-0005-0000-0000-00005A330000}"/>
    <cellStyle name="Percent 9 16 6 3 2" xfId="13590" xr:uid="{00000000-0005-0000-0000-00005B330000}"/>
    <cellStyle name="Percent 9 16 6 4" xfId="13591" xr:uid="{00000000-0005-0000-0000-00005C330000}"/>
    <cellStyle name="Percent 9 16 7" xfId="13592" xr:uid="{00000000-0005-0000-0000-00005D330000}"/>
    <cellStyle name="Percent 9 16 7 2" xfId="13593" xr:uid="{00000000-0005-0000-0000-00005E330000}"/>
    <cellStyle name="Percent 9 16 8" xfId="13594" xr:uid="{00000000-0005-0000-0000-00005F330000}"/>
    <cellStyle name="Percent 9 16 8 2" xfId="13595" xr:uid="{00000000-0005-0000-0000-000060330000}"/>
    <cellStyle name="Percent 9 16 9" xfId="13596" xr:uid="{00000000-0005-0000-0000-000061330000}"/>
    <cellStyle name="Percent 9 16 9 2" xfId="13597" xr:uid="{00000000-0005-0000-0000-000062330000}"/>
    <cellStyle name="Percent 9 17" xfId="3015" xr:uid="{00000000-0005-0000-0000-000063330000}"/>
    <cellStyle name="Percent 9 17 10" xfId="13599" xr:uid="{00000000-0005-0000-0000-000064330000}"/>
    <cellStyle name="Percent 9 17 11" xfId="13600" xr:uid="{00000000-0005-0000-0000-000065330000}"/>
    <cellStyle name="Percent 9 17 12" xfId="13598" xr:uid="{00000000-0005-0000-0000-000066330000}"/>
    <cellStyle name="Percent 9 17 2" xfId="13601" xr:uid="{00000000-0005-0000-0000-000067330000}"/>
    <cellStyle name="Percent 9 17 2 2" xfId="13602" xr:uid="{00000000-0005-0000-0000-000068330000}"/>
    <cellStyle name="Percent 9 17 2 2 2" xfId="13603" xr:uid="{00000000-0005-0000-0000-000069330000}"/>
    <cellStyle name="Percent 9 17 2 3" xfId="13604" xr:uid="{00000000-0005-0000-0000-00006A330000}"/>
    <cellStyle name="Percent 9 17 2 3 2" xfId="13605" xr:uid="{00000000-0005-0000-0000-00006B330000}"/>
    <cellStyle name="Percent 9 17 2 4" xfId="13606" xr:uid="{00000000-0005-0000-0000-00006C330000}"/>
    <cellStyle name="Percent 9 17 2 5" xfId="13607" xr:uid="{00000000-0005-0000-0000-00006D330000}"/>
    <cellStyle name="Percent 9 17 3" xfId="13608" xr:uid="{00000000-0005-0000-0000-00006E330000}"/>
    <cellStyle name="Percent 9 17 3 2" xfId="13609" xr:uid="{00000000-0005-0000-0000-00006F330000}"/>
    <cellStyle name="Percent 9 17 3 2 2" xfId="13610" xr:uid="{00000000-0005-0000-0000-000070330000}"/>
    <cellStyle name="Percent 9 17 3 3" xfId="13611" xr:uid="{00000000-0005-0000-0000-000071330000}"/>
    <cellStyle name="Percent 9 17 3 3 2" xfId="13612" xr:uid="{00000000-0005-0000-0000-000072330000}"/>
    <cellStyle name="Percent 9 17 3 4" xfId="13613" xr:uid="{00000000-0005-0000-0000-000073330000}"/>
    <cellStyle name="Percent 9 17 4" xfId="13614" xr:uid="{00000000-0005-0000-0000-000074330000}"/>
    <cellStyle name="Percent 9 17 4 2" xfId="13615" xr:uid="{00000000-0005-0000-0000-000075330000}"/>
    <cellStyle name="Percent 9 17 4 2 2" xfId="13616" xr:uid="{00000000-0005-0000-0000-000076330000}"/>
    <cellStyle name="Percent 9 17 4 3" xfId="13617" xr:uid="{00000000-0005-0000-0000-000077330000}"/>
    <cellStyle name="Percent 9 17 4 3 2" xfId="13618" xr:uid="{00000000-0005-0000-0000-000078330000}"/>
    <cellStyle name="Percent 9 17 4 4" xfId="13619" xr:uid="{00000000-0005-0000-0000-000079330000}"/>
    <cellStyle name="Percent 9 17 5" xfId="13620" xr:uid="{00000000-0005-0000-0000-00007A330000}"/>
    <cellStyle name="Percent 9 17 5 2" xfId="13621" xr:uid="{00000000-0005-0000-0000-00007B330000}"/>
    <cellStyle name="Percent 9 17 5 2 2" xfId="13622" xr:uid="{00000000-0005-0000-0000-00007C330000}"/>
    <cellStyle name="Percent 9 17 5 3" xfId="13623" xr:uid="{00000000-0005-0000-0000-00007D330000}"/>
    <cellStyle name="Percent 9 17 5 3 2" xfId="13624" xr:uid="{00000000-0005-0000-0000-00007E330000}"/>
    <cellStyle name="Percent 9 17 5 4" xfId="13625" xr:uid="{00000000-0005-0000-0000-00007F330000}"/>
    <cellStyle name="Percent 9 17 5 4 2" xfId="13626" xr:uid="{00000000-0005-0000-0000-000080330000}"/>
    <cellStyle name="Percent 9 17 5 5" xfId="13627" xr:uid="{00000000-0005-0000-0000-000081330000}"/>
    <cellStyle name="Percent 9 17 6" xfId="13628" xr:uid="{00000000-0005-0000-0000-000082330000}"/>
    <cellStyle name="Percent 9 17 6 2" xfId="13629" xr:uid="{00000000-0005-0000-0000-000083330000}"/>
    <cellStyle name="Percent 9 17 6 2 2" xfId="13630" xr:uid="{00000000-0005-0000-0000-000084330000}"/>
    <cellStyle name="Percent 9 17 6 3" xfId="13631" xr:uid="{00000000-0005-0000-0000-000085330000}"/>
    <cellStyle name="Percent 9 17 6 3 2" xfId="13632" xr:uid="{00000000-0005-0000-0000-000086330000}"/>
    <cellStyle name="Percent 9 17 6 4" xfId="13633" xr:uid="{00000000-0005-0000-0000-000087330000}"/>
    <cellStyle name="Percent 9 17 7" xfId="13634" xr:uid="{00000000-0005-0000-0000-000088330000}"/>
    <cellStyle name="Percent 9 17 7 2" xfId="13635" xr:uid="{00000000-0005-0000-0000-000089330000}"/>
    <cellStyle name="Percent 9 17 8" xfId="13636" xr:uid="{00000000-0005-0000-0000-00008A330000}"/>
    <cellStyle name="Percent 9 17 8 2" xfId="13637" xr:uid="{00000000-0005-0000-0000-00008B330000}"/>
    <cellStyle name="Percent 9 17 9" xfId="13638" xr:uid="{00000000-0005-0000-0000-00008C330000}"/>
    <cellStyle name="Percent 9 17 9 2" xfId="13639" xr:uid="{00000000-0005-0000-0000-00008D330000}"/>
    <cellStyle name="Percent 9 18" xfId="3016" xr:uid="{00000000-0005-0000-0000-00008E330000}"/>
    <cellStyle name="Percent 9 18 10" xfId="13641" xr:uid="{00000000-0005-0000-0000-00008F330000}"/>
    <cellStyle name="Percent 9 18 11" xfId="13642" xr:uid="{00000000-0005-0000-0000-000090330000}"/>
    <cellStyle name="Percent 9 18 12" xfId="13640" xr:uid="{00000000-0005-0000-0000-000091330000}"/>
    <cellStyle name="Percent 9 18 2" xfId="13643" xr:uid="{00000000-0005-0000-0000-000092330000}"/>
    <cellStyle name="Percent 9 18 2 2" xfId="13644" xr:uid="{00000000-0005-0000-0000-000093330000}"/>
    <cellStyle name="Percent 9 18 2 2 2" xfId="13645" xr:uid="{00000000-0005-0000-0000-000094330000}"/>
    <cellStyle name="Percent 9 18 2 3" xfId="13646" xr:uid="{00000000-0005-0000-0000-000095330000}"/>
    <cellStyle name="Percent 9 18 2 3 2" xfId="13647" xr:uid="{00000000-0005-0000-0000-000096330000}"/>
    <cellStyle name="Percent 9 18 2 4" xfId="13648" xr:uid="{00000000-0005-0000-0000-000097330000}"/>
    <cellStyle name="Percent 9 18 2 5" xfId="13649" xr:uid="{00000000-0005-0000-0000-000098330000}"/>
    <cellStyle name="Percent 9 18 3" xfId="13650" xr:uid="{00000000-0005-0000-0000-000099330000}"/>
    <cellStyle name="Percent 9 18 3 2" xfId="13651" xr:uid="{00000000-0005-0000-0000-00009A330000}"/>
    <cellStyle name="Percent 9 18 3 2 2" xfId="13652" xr:uid="{00000000-0005-0000-0000-00009B330000}"/>
    <cellStyle name="Percent 9 18 3 3" xfId="13653" xr:uid="{00000000-0005-0000-0000-00009C330000}"/>
    <cellStyle name="Percent 9 18 3 3 2" xfId="13654" xr:uid="{00000000-0005-0000-0000-00009D330000}"/>
    <cellStyle name="Percent 9 18 3 4" xfId="13655" xr:uid="{00000000-0005-0000-0000-00009E330000}"/>
    <cellStyle name="Percent 9 18 4" xfId="13656" xr:uid="{00000000-0005-0000-0000-00009F330000}"/>
    <cellStyle name="Percent 9 18 4 2" xfId="13657" xr:uid="{00000000-0005-0000-0000-0000A0330000}"/>
    <cellStyle name="Percent 9 18 4 2 2" xfId="13658" xr:uid="{00000000-0005-0000-0000-0000A1330000}"/>
    <cellStyle name="Percent 9 18 4 3" xfId="13659" xr:uid="{00000000-0005-0000-0000-0000A2330000}"/>
    <cellStyle name="Percent 9 18 4 3 2" xfId="13660" xr:uid="{00000000-0005-0000-0000-0000A3330000}"/>
    <cellStyle name="Percent 9 18 4 4" xfId="13661" xr:uid="{00000000-0005-0000-0000-0000A4330000}"/>
    <cellStyle name="Percent 9 18 5" xfId="13662" xr:uid="{00000000-0005-0000-0000-0000A5330000}"/>
    <cellStyle name="Percent 9 18 5 2" xfId="13663" xr:uid="{00000000-0005-0000-0000-0000A6330000}"/>
    <cellStyle name="Percent 9 18 5 2 2" xfId="13664" xr:uid="{00000000-0005-0000-0000-0000A7330000}"/>
    <cellStyle name="Percent 9 18 5 3" xfId="13665" xr:uid="{00000000-0005-0000-0000-0000A8330000}"/>
    <cellStyle name="Percent 9 18 5 3 2" xfId="13666" xr:uid="{00000000-0005-0000-0000-0000A9330000}"/>
    <cellStyle name="Percent 9 18 5 4" xfId="13667" xr:uid="{00000000-0005-0000-0000-0000AA330000}"/>
    <cellStyle name="Percent 9 18 5 4 2" xfId="13668" xr:uid="{00000000-0005-0000-0000-0000AB330000}"/>
    <cellStyle name="Percent 9 18 5 5" xfId="13669" xr:uid="{00000000-0005-0000-0000-0000AC330000}"/>
    <cellStyle name="Percent 9 18 6" xfId="13670" xr:uid="{00000000-0005-0000-0000-0000AD330000}"/>
    <cellStyle name="Percent 9 18 6 2" xfId="13671" xr:uid="{00000000-0005-0000-0000-0000AE330000}"/>
    <cellStyle name="Percent 9 18 6 2 2" xfId="13672" xr:uid="{00000000-0005-0000-0000-0000AF330000}"/>
    <cellStyle name="Percent 9 18 6 3" xfId="13673" xr:uid="{00000000-0005-0000-0000-0000B0330000}"/>
    <cellStyle name="Percent 9 18 6 3 2" xfId="13674" xr:uid="{00000000-0005-0000-0000-0000B1330000}"/>
    <cellStyle name="Percent 9 18 6 4" xfId="13675" xr:uid="{00000000-0005-0000-0000-0000B2330000}"/>
    <cellStyle name="Percent 9 18 7" xfId="13676" xr:uid="{00000000-0005-0000-0000-0000B3330000}"/>
    <cellStyle name="Percent 9 18 7 2" xfId="13677" xr:uid="{00000000-0005-0000-0000-0000B4330000}"/>
    <cellStyle name="Percent 9 18 8" xfId="13678" xr:uid="{00000000-0005-0000-0000-0000B5330000}"/>
    <cellStyle name="Percent 9 18 8 2" xfId="13679" xr:uid="{00000000-0005-0000-0000-0000B6330000}"/>
    <cellStyle name="Percent 9 18 9" xfId="13680" xr:uid="{00000000-0005-0000-0000-0000B7330000}"/>
    <cellStyle name="Percent 9 18 9 2" xfId="13681" xr:uid="{00000000-0005-0000-0000-0000B8330000}"/>
    <cellStyle name="Percent 9 19" xfId="3017" xr:uid="{00000000-0005-0000-0000-0000B9330000}"/>
    <cellStyle name="Percent 9 19 10" xfId="13683" xr:uid="{00000000-0005-0000-0000-0000BA330000}"/>
    <cellStyle name="Percent 9 19 11" xfId="13684" xr:uid="{00000000-0005-0000-0000-0000BB330000}"/>
    <cellStyle name="Percent 9 19 12" xfId="13682" xr:uid="{00000000-0005-0000-0000-0000BC330000}"/>
    <cellStyle name="Percent 9 19 2" xfId="13685" xr:uid="{00000000-0005-0000-0000-0000BD330000}"/>
    <cellStyle name="Percent 9 19 2 2" xfId="13686" xr:uid="{00000000-0005-0000-0000-0000BE330000}"/>
    <cellStyle name="Percent 9 19 2 2 2" xfId="13687" xr:uid="{00000000-0005-0000-0000-0000BF330000}"/>
    <cellStyle name="Percent 9 19 2 3" xfId="13688" xr:uid="{00000000-0005-0000-0000-0000C0330000}"/>
    <cellStyle name="Percent 9 19 2 3 2" xfId="13689" xr:uid="{00000000-0005-0000-0000-0000C1330000}"/>
    <cellStyle name="Percent 9 19 2 4" xfId="13690" xr:uid="{00000000-0005-0000-0000-0000C2330000}"/>
    <cellStyle name="Percent 9 19 2 5" xfId="13691" xr:uid="{00000000-0005-0000-0000-0000C3330000}"/>
    <cellStyle name="Percent 9 19 3" xfId="13692" xr:uid="{00000000-0005-0000-0000-0000C4330000}"/>
    <cellStyle name="Percent 9 19 3 2" xfId="13693" xr:uid="{00000000-0005-0000-0000-0000C5330000}"/>
    <cellStyle name="Percent 9 19 3 2 2" xfId="13694" xr:uid="{00000000-0005-0000-0000-0000C6330000}"/>
    <cellStyle name="Percent 9 19 3 3" xfId="13695" xr:uid="{00000000-0005-0000-0000-0000C7330000}"/>
    <cellStyle name="Percent 9 19 3 3 2" xfId="13696" xr:uid="{00000000-0005-0000-0000-0000C8330000}"/>
    <cellStyle name="Percent 9 19 3 4" xfId="13697" xr:uid="{00000000-0005-0000-0000-0000C9330000}"/>
    <cellStyle name="Percent 9 19 4" xfId="13698" xr:uid="{00000000-0005-0000-0000-0000CA330000}"/>
    <cellStyle name="Percent 9 19 4 2" xfId="13699" xr:uid="{00000000-0005-0000-0000-0000CB330000}"/>
    <cellStyle name="Percent 9 19 4 2 2" xfId="13700" xr:uid="{00000000-0005-0000-0000-0000CC330000}"/>
    <cellStyle name="Percent 9 19 4 3" xfId="13701" xr:uid="{00000000-0005-0000-0000-0000CD330000}"/>
    <cellStyle name="Percent 9 19 4 3 2" xfId="13702" xr:uid="{00000000-0005-0000-0000-0000CE330000}"/>
    <cellStyle name="Percent 9 19 4 4" xfId="13703" xr:uid="{00000000-0005-0000-0000-0000CF330000}"/>
    <cellStyle name="Percent 9 19 5" xfId="13704" xr:uid="{00000000-0005-0000-0000-0000D0330000}"/>
    <cellStyle name="Percent 9 19 5 2" xfId="13705" xr:uid="{00000000-0005-0000-0000-0000D1330000}"/>
    <cellStyle name="Percent 9 19 5 2 2" xfId="13706" xr:uid="{00000000-0005-0000-0000-0000D2330000}"/>
    <cellStyle name="Percent 9 19 5 3" xfId="13707" xr:uid="{00000000-0005-0000-0000-0000D3330000}"/>
    <cellStyle name="Percent 9 19 5 3 2" xfId="13708" xr:uid="{00000000-0005-0000-0000-0000D4330000}"/>
    <cellStyle name="Percent 9 19 5 4" xfId="13709" xr:uid="{00000000-0005-0000-0000-0000D5330000}"/>
    <cellStyle name="Percent 9 19 5 4 2" xfId="13710" xr:uid="{00000000-0005-0000-0000-0000D6330000}"/>
    <cellStyle name="Percent 9 19 5 5" xfId="13711" xr:uid="{00000000-0005-0000-0000-0000D7330000}"/>
    <cellStyle name="Percent 9 19 6" xfId="13712" xr:uid="{00000000-0005-0000-0000-0000D8330000}"/>
    <cellStyle name="Percent 9 19 6 2" xfId="13713" xr:uid="{00000000-0005-0000-0000-0000D9330000}"/>
    <cellStyle name="Percent 9 19 6 2 2" xfId="13714" xr:uid="{00000000-0005-0000-0000-0000DA330000}"/>
    <cellStyle name="Percent 9 19 6 3" xfId="13715" xr:uid="{00000000-0005-0000-0000-0000DB330000}"/>
    <cellStyle name="Percent 9 19 6 3 2" xfId="13716" xr:uid="{00000000-0005-0000-0000-0000DC330000}"/>
    <cellStyle name="Percent 9 19 6 4" xfId="13717" xr:uid="{00000000-0005-0000-0000-0000DD330000}"/>
    <cellStyle name="Percent 9 19 7" xfId="13718" xr:uid="{00000000-0005-0000-0000-0000DE330000}"/>
    <cellStyle name="Percent 9 19 7 2" xfId="13719" xr:uid="{00000000-0005-0000-0000-0000DF330000}"/>
    <cellStyle name="Percent 9 19 8" xfId="13720" xr:uid="{00000000-0005-0000-0000-0000E0330000}"/>
    <cellStyle name="Percent 9 19 8 2" xfId="13721" xr:uid="{00000000-0005-0000-0000-0000E1330000}"/>
    <cellStyle name="Percent 9 19 9" xfId="13722" xr:uid="{00000000-0005-0000-0000-0000E2330000}"/>
    <cellStyle name="Percent 9 19 9 2" xfId="13723" xr:uid="{00000000-0005-0000-0000-0000E3330000}"/>
    <cellStyle name="Percent 9 2" xfId="3018" xr:uid="{00000000-0005-0000-0000-0000E4330000}"/>
    <cellStyle name="Percent 9 2 10" xfId="13725" xr:uid="{00000000-0005-0000-0000-0000E5330000}"/>
    <cellStyle name="Percent 9 2 10 2" xfId="13726" xr:uid="{00000000-0005-0000-0000-0000E6330000}"/>
    <cellStyle name="Percent 9 2 11" xfId="13727" xr:uid="{00000000-0005-0000-0000-0000E7330000}"/>
    <cellStyle name="Percent 9 2 12" xfId="13728" xr:uid="{00000000-0005-0000-0000-0000E8330000}"/>
    <cellStyle name="Percent 9 2 13" xfId="13724" xr:uid="{00000000-0005-0000-0000-0000E9330000}"/>
    <cellStyle name="Percent 9 2 2" xfId="4789" xr:uid="{00000000-0005-0000-0000-0000EA330000}"/>
    <cellStyle name="Percent 9 2 2 10" xfId="13730" xr:uid="{00000000-0005-0000-0000-0000EB330000}"/>
    <cellStyle name="Percent 9 2 2 11" xfId="13729" xr:uid="{00000000-0005-0000-0000-0000EC330000}"/>
    <cellStyle name="Percent 9 2 2 2" xfId="13731" xr:uid="{00000000-0005-0000-0000-0000ED330000}"/>
    <cellStyle name="Percent 9 2 2 2 2" xfId="13732" xr:uid="{00000000-0005-0000-0000-0000EE330000}"/>
    <cellStyle name="Percent 9 2 2 2 2 2" xfId="13733" xr:uid="{00000000-0005-0000-0000-0000EF330000}"/>
    <cellStyle name="Percent 9 2 2 2 3" xfId="13734" xr:uid="{00000000-0005-0000-0000-0000F0330000}"/>
    <cellStyle name="Percent 9 2 2 2 3 2" xfId="13735" xr:uid="{00000000-0005-0000-0000-0000F1330000}"/>
    <cellStyle name="Percent 9 2 2 2 4" xfId="13736" xr:uid="{00000000-0005-0000-0000-0000F2330000}"/>
    <cellStyle name="Percent 9 2 2 3" xfId="13737" xr:uid="{00000000-0005-0000-0000-0000F3330000}"/>
    <cellStyle name="Percent 9 2 2 3 2" xfId="13738" xr:uid="{00000000-0005-0000-0000-0000F4330000}"/>
    <cellStyle name="Percent 9 2 2 3 2 2" xfId="13739" xr:uid="{00000000-0005-0000-0000-0000F5330000}"/>
    <cellStyle name="Percent 9 2 2 3 3" xfId="13740" xr:uid="{00000000-0005-0000-0000-0000F6330000}"/>
    <cellStyle name="Percent 9 2 2 3 3 2" xfId="13741" xr:uid="{00000000-0005-0000-0000-0000F7330000}"/>
    <cellStyle name="Percent 9 2 2 3 4" xfId="13742" xr:uid="{00000000-0005-0000-0000-0000F8330000}"/>
    <cellStyle name="Percent 9 2 2 4" xfId="13743" xr:uid="{00000000-0005-0000-0000-0000F9330000}"/>
    <cellStyle name="Percent 9 2 2 4 2" xfId="13744" xr:uid="{00000000-0005-0000-0000-0000FA330000}"/>
    <cellStyle name="Percent 9 2 2 4 2 2" xfId="13745" xr:uid="{00000000-0005-0000-0000-0000FB330000}"/>
    <cellStyle name="Percent 9 2 2 4 3" xfId="13746" xr:uid="{00000000-0005-0000-0000-0000FC330000}"/>
    <cellStyle name="Percent 9 2 2 4 3 2" xfId="13747" xr:uid="{00000000-0005-0000-0000-0000FD330000}"/>
    <cellStyle name="Percent 9 2 2 4 4" xfId="13748" xr:uid="{00000000-0005-0000-0000-0000FE330000}"/>
    <cellStyle name="Percent 9 2 2 4 4 2" xfId="13749" xr:uid="{00000000-0005-0000-0000-0000FF330000}"/>
    <cellStyle name="Percent 9 2 2 4 5" xfId="13750" xr:uid="{00000000-0005-0000-0000-000000340000}"/>
    <cellStyle name="Percent 9 2 2 5" xfId="13751" xr:uid="{00000000-0005-0000-0000-000001340000}"/>
    <cellStyle name="Percent 9 2 2 5 2" xfId="13752" xr:uid="{00000000-0005-0000-0000-000002340000}"/>
    <cellStyle name="Percent 9 2 2 5 2 2" xfId="13753" xr:uid="{00000000-0005-0000-0000-000003340000}"/>
    <cellStyle name="Percent 9 2 2 5 3" xfId="13754" xr:uid="{00000000-0005-0000-0000-000004340000}"/>
    <cellStyle name="Percent 9 2 2 5 3 2" xfId="13755" xr:uid="{00000000-0005-0000-0000-000005340000}"/>
    <cellStyle name="Percent 9 2 2 5 4" xfId="13756" xr:uid="{00000000-0005-0000-0000-000006340000}"/>
    <cellStyle name="Percent 9 2 2 6" xfId="13757" xr:uid="{00000000-0005-0000-0000-000007340000}"/>
    <cellStyle name="Percent 9 2 2 6 2" xfId="13758" xr:uid="{00000000-0005-0000-0000-000008340000}"/>
    <cellStyle name="Percent 9 2 2 7" xfId="13759" xr:uid="{00000000-0005-0000-0000-000009340000}"/>
    <cellStyle name="Percent 9 2 2 7 2" xfId="13760" xr:uid="{00000000-0005-0000-0000-00000A340000}"/>
    <cellStyle name="Percent 9 2 2 8" xfId="13761" xr:uid="{00000000-0005-0000-0000-00000B340000}"/>
    <cellStyle name="Percent 9 2 2 8 2" xfId="13762" xr:uid="{00000000-0005-0000-0000-00000C340000}"/>
    <cellStyle name="Percent 9 2 2 9" xfId="13763" xr:uid="{00000000-0005-0000-0000-00000D340000}"/>
    <cellStyle name="Percent 9 2 3" xfId="13764" xr:uid="{00000000-0005-0000-0000-00000E340000}"/>
    <cellStyle name="Percent 9 2 3 2" xfId="13765" xr:uid="{00000000-0005-0000-0000-00000F340000}"/>
    <cellStyle name="Percent 9 2 3 2 2" xfId="13766" xr:uid="{00000000-0005-0000-0000-000010340000}"/>
    <cellStyle name="Percent 9 2 3 3" xfId="13767" xr:uid="{00000000-0005-0000-0000-000011340000}"/>
    <cellStyle name="Percent 9 2 3 3 2" xfId="13768" xr:uid="{00000000-0005-0000-0000-000012340000}"/>
    <cellStyle name="Percent 9 2 3 4" xfId="13769" xr:uid="{00000000-0005-0000-0000-000013340000}"/>
    <cellStyle name="Percent 9 2 3 5" xfId="13770" xr:uid="{00000000-0005-0000-0000-000014340000}"/>
    <cellStyle name="Percent 9 2 4" xfId="13771" xr:uid="{00000000-0005-0000-0000-000015340000}"/>
    <cellStyle name="Percent 9 2 4 2" xfId="13772" xr:uid="{00000000-0005-0000-0000-000016340000}"/>
    <cellStyle name="Percent 9 2 4 2 2" xfId="13773" xr:uid="{00000000-0005-0000-0000-000017340000}"/>
    <cellStyle name="Percent 9 2 4 3" xfId="13774" xr:uid="{00000000-0005-0000-0000-000018340000}"/>
    <cellStyle name="Percent 9 2 4 3 2" xfId="13775" xr:uid="{00000000-0005-0000-0000-000019340000}"/>
    <cellStyle name="Percent 9 2 4 4" xfId="13776" xr:uid="{00000000-0005-0000-0000-00001A340000}"/>
    <cellStyle name="Percent 9 2 5" xfId="13777" xr:uid="{00000000-0005-0000-0000-00001B340000}"/>
    <cellStyle name="Percent 9 2 5 2" xfId="13778" xr:uid="{00000000-0005-0000-0000-00001C340000}"/>
    <cellStyle name="Percent 9 2 5 2 2" xfId="13779" xr:uid="{00000000-0005-0000-0000-00001D340000}"/>
    <cellStyle name="Percent 9 2 5 3" xfId="13780" xr:uid="{00000000-0005-0000-0000-00001E340000}"/>
    <cellStyle name="Percent 9 2 5 3 2" xfId="13781" xr:uid="{00000000-0005-0000-0000-00001F340000}"/>
    <cellStyle name="Percent 9 2 5 4" xfId="13782" xr:uid="{00000000-0005-0000-0000-000020340000}"/>
    <cellStyle name="Percent 9 2 6" xfId="13783" xr:uid="{00000000-0005-0000-0000-000021340000}"/>
    <cellStyle name="Percent 9 2 6 2" xfId="13784" xr:uid="{00000000-0005-0000-0000-000022340000}"/>
    <cellStyle name="Percent 9 2 6 2 2" xfId="13785" xr:uid="{00000000-0005-0000-0000-000023340000}"/>
    <cellStyle name="Percent 9 2 6 3" xfId="13786" xr:uid="{00000000-0005-0000-0000-000024340000}"/>
    <cellStyle name="Percent 9 2 6 3 2" xfId="13787" xr:uid="{00000000-0005-0000-0000-000025340000}"/>
    <cellStyle name="Percent 9 2 6 4" xfId="13788" xr:uid="{00000000-0005-0000-0000-000026340000}"/>
    <cellStyle name="Percent 9 2 6 4 2" xfId="13789" xr:uid="{00000000-0005-0000-0000-000027340000}"/>
    <cellStyle name="Percent 9 2 6 5" xfId="13790" xr:uid="{00000000-0005-0000-0000-000028340000}"/>
    <cellStyle name="Percent 9 2 7" xfId="13791" xr:uid="{00000000-0005-0000-0000-000029340000}"/>
    <cellStyle name="Percent 9 2 7 2" xfId="13792" xr:uid="{00000000-0005-0000-0000-00002A340000}"/>
    <cellStyle name="Percent 9 2 7 2 2" xfId="13793" xr:uid="{00000000-0005-0000-0000-00002B340000}"/>
    <cellStyle name="Percent 9 2 7 3" xfId="13794" xr:uid="{00000000-0005-0000-0000-00002C340000}"/>
    <cellStyle name="Percent 9 2 7 3 2" xfId="13795" xr:uid="{00000000-0005-0000-0000-00002D340000}"/>
    <cellStyle name="Percent 9 2 7 4" xfId="13796" xr:uid="{00000000-0005-0000-0000-00002E340000}"/>
    <cellStyle name="Percent 9 2 8" xfId="13797" xr:uid="{00000000-0005-0000-0000-00002F340000}"/>
    <cellStyle name="Percent 9 2 8 2" xfId="13798" xr:uid="{00000000-0005-0000-0000-000030340000}"/>
    <cellStyle name="Percent 9 2 9" xfId="13799" xr:uid="{00000000-0005-0000-0000-000031340000}"/>
    <cellStyle name="Percent 9 2 9 2" xfId="13800" xr:uid="{00000000-0005-0000-0000-000032340000}"/>
    <cellStyle name="Percent 9 20" xfId="3019" xr:uid="{00000000-0005-0000-0000-000033340000}"/>
    <cellStyle name="Percent 9 20 10" xfId="13802" xr:uid="{00000000-0005-0000-0000-000034340000}"/>
    <cellStyle name="Percent 9 20 11" xfId="13803" xr:uid="{00000000-0005-0000-0000-000035340000}"/>
    <cellStyle name="Percent 9 20 12" xfId="13801" xr:uid="{00000000-0005-0000-0000-000036340000}"/>
    <cellStyle name="Percent 9 20 2" xfId="13804" xr:uid="{00000000-0005-0000-0000-000037340000}"/>
    <cellStyle name="Percent 9 20 2 2" xfId="13805" xr:uid="{00000000-0005-0000-0000-000038340000}"/>
    <cellStyle name="Percent 9 20 2 2 2" xfId="13806" xr:uid="{00000000-0005-0000-0000-000039340000}"/>
    <cellStyle name="Percent 9 20 2 3" xfId="13807" xr:uid="{00000000-0005-0000-0000-00003A340000}"/>
    <cellStyle name="Percent 9 20 2 3 2" xfId="13808" xr:uid="{00000000-0005-0000-0000-00003B340000}"/>
    <cellStyle name="Percent 9 20 2 4" xfId="13809" xr:uid="{00000000-0005-0000-0000-00003C340000}"/>
    <cellStyle name="Percent 9 20 2 5" xfId="13810" xr:uid="{00000000-0005-0000-0000-00003D340000}"/>
    <cellStyle name="Percent 9 20 3" xfId="13811" xr:uid="{00000000-0005-0000-0000-00003E340000}"/>
    <cellStyle name="Percent 9 20 3 2" xfId="13812" xr:uid="{00000000-0005-0000-0000-00003F340000}"/>
    <cellStyle name="Percent 9 20 3 2 2" xfId="13813" xr:uid="{00000000-0005-0000-0000-000040340000}"/>
    <cellStyle name="Percent 9 20 3 3" xfId="13814" xr:uid="{00000000-0005-0000-0000-000041340000}"/>
    <cellStyle name="Percent 9 20 3 3 2" xfId="13815" xr:uid="{00000000-0005-0000-0000-000042340000}"/>
    <cellStyle name="Percent 9 20 3 4" xfId="13816" xr:uid="{00000000-0005-0000-0000-000043340000}"/>
    <cellStyle name="Percent 9 20 4" xfId="13817" xr:uid="{00000000-0005-0000-0000-000044340000}"/>
    <cellStyle name="Percent 9 20 4 2" xfId="13818" xr:uid="{00000000-0005-0000-0000-000045340000}"/>
    <cellStyle name="Percent 9 20 4 2 2" xfId="13819" xr:uid="{00000000-0005-0000-0000-000046340000}"/>
    <cellStyle name="Percent 9 20 4 3" xfId="13820" xr:uid="{00000000-0005-0000-0000-000047340000}"/>
    <cellStyle name="Percent 9 20 4 3 2" xfId="13821" xr:uid="{00000000-0005-0000-0000-000048340000}"/>
    <cellStyle name="Percent 9 20 4 4" xfId="13822" xr:uid="{00000000-0005-0000-0000-000049340000}"/>
    <cellStyle name="Percent 9 20 5" xfId="13823" xr:uid="{00000000-0005-0000-0000-00004A340000}"/>
    <cellStyle name="Percent 9 20 5 2" xfId="13824" xr:uid="{00000000-0005-0000-0000-00004B340000}"/>
    <cellStyle name="Percent 9 20 5 2 2" xfId="13825" xr:uid="{00000000-0005-0000-0000-00004C340000}"/>
    <cellStyle name="Percent 9 20 5 3" xfId="13826" xr:uid="{00000000-0005-0000-0000-00004D340000}"/>
    <cellStyle name="Percent 9 20 5 3 2" xfId="13827" xr:uid="{00000000-0005-0000-0000-00004E340000}"/>
    <cellStyle name="Percent 9 20 5 4" xfId="13828" xr:uid="{00000000-0005-0000-0000-00004F340000}"/>
    <cellStyle name="Percent 9 20 5 4 2" xfId="13829" xr:uid="{00000000-0005-0000-0000-000050340000}"/>
    <cellStyle name="Percent 9 20 5 5" xfId="13830" xr:uid="{00000000-0005-0000-0000-000051340000}"/>
    <cellStyle name="Percent 9 20 6" xfId="13831" xr:uid="{00000000-0005-0000-0000-000052340000}"/>
    <cellStyle name="Percent 9 20 6 2" xfId="13832" xr:uid="{00000000-0005-0000-0000-000053340000}"/>
    <cellStyle name="Percent 9 20 6 2 2" xfId="13833" xr:uid="{00000000-0005-0000-0000-000054340000}"/>
    <cellStyle name="Percent 9 20 6 3" xfId="13834" xr:uid="{00000000-0005-0000-0000-000055340000}"/>
    <cellStyle name="Percent 9 20 6 3 2" xfId="13835" xr:uid="{00000000-0005-0000-0000-000056340000}"/>
    <cellStyle name="Percent 9 20 6 4" xfId="13836" xr:uid="{00000000-0005-0000-0000-000057340000}"/>
    <cellStyle name="Percent 9 20 7" xfId="13837" xr:uid="{00000000-0005-0000-0000-000058340000}"/>
    <cellStyle name="Percent 9 20 7 2" xfId="13838" xr:uid="{00000000-0005-0000-0000-000059340000}"/>
    <cellStyle name="Percent 9 20 8" xfId="13839" xr:uid="{00000000-0005-0000-0000-00005A340000}"/>
    <cellStyle name="Percent 9 20 8 2" xfId="13840" xr:uid="{00000000-0005-0000-0000-00005B340000}"/>
    <cellStyle name="Percent 9 20 9" xfId="13841" xr:uid="{00000000-0005-0000-0000-00005C340000}"/>
    <cellStyle name="Percent 9 20 9 2" xfId="13842" xr:uid="{00000000-0005-0000-0000-00005D340000}"/>
    <cellStyle name="Percent 9 21" xfId="4788" xr:uid="{00000000-0005-0000-0000-00005E340000}"/>
    <cellStyle name="Percent 9 21 2" xfId="13844" xr:uid="{00000000-0005-0000-0000-00005F340000}"/>
    <cellStyle name="Percent 9 21 2 2" xfId="13845" xr:uid="{00000000-0005-0000-0000-000060340000}"/>
    <cellStyle name="Percent 9 21 3" xfId="13846" xr:uid="{00000000-0005-0000-0000-000061340000}"/>
    <cellStyle name="Percent 9 21 3 2" xfId="13847" xr:uid="{00000000-0005-0000-0000-000062340000}"/>
    <cellStyle name="Percent 9 21 4" xfId="13848" xr:uid="{00000000-0005-0000-0000-000063340000}"/>
    <cellStyle name="Percent 9 21 5" xfId="13843" xr:uid="{00000000-0005-0000-0000-000064340000}"/>
    <cellStyle name="Percent 9 22" xfId="13849" xr:uid="{00000000-0005-0000-0000-000065340000}"/>
    <cellStyle name="Percent 9 22 2" xfId="13850" xr:uid="{00000000-0005-0000-0000-000066340000}"/>
    <cellStyle name="Percent 9 22 2 2" xfId="13851" xr:uid="{00000000-0005-0000-0000-000067340000}"/>
    <cellStyle name="Percent 9 22 3" xfId="13852" xr:uid="{00000000-0005-0000-0000-000068340000}"/>
    <cellStyle name="Percent 9 22 3 2" xfId="13853" xr:uid="{00000000-0005-0000-0000-000069340000}"/>
    <cellStyle name="Percent 9 22 4" xfId="13854" xr:uid="{00000000-0005-0000-0000-00006A340000}"/>
    <cellStyle name="Percent 9 23" xfId="13855" xr:uid="{00000000-0005-0000-0000-00006B340000}"/>
    <cellStyle name="Percent 9 23 2" xfId="13856" xr:uid="{00000000-0005-0000-0000-00006C340000}"/>
    <cellStyle name="Percent 9 23 2 2" xfId="13857" xr:uid="{00000000-0005-0000-0000-00006D340000}"/>
    <cellStyle name="Percent 9 23 3" xfId="13858" xr:uid="{00000000-0005-0000-0000-00006E340000}"/>
    <cellStyle name="Percent 9 23 3 2" xfId="13859" xr:uid="{00000000-0005-0000-0000-00006F340000}"/>
    <cellStyle name="Percent 9 23 4" xfId="13860" xr:uid="{00000000-0005-0000-0000-000070340000}"/>
    <cellStyle name="Percent 9 23 4 2" xfId="13861" xr:uid="{00000000-0005-0000-0000-000071340000}"/>
    <cellStyle name="Percent 9 23 5" xfId="13862" xr:uid="{00000000-0005-0000-0000-000072340000}"/>
    <cellStyle name="Percent 9 24" xfId="13863" xr:uid="{00000000-0005-0000-0000-000073340000}"/>
    <cellStyle name="Percent 9 24 2" xfId="13864" xr:uid="{00000000-0005-0000-0000-000074340000}"/>
    <cellStyle name="Percent 9 24 2 2" xfId="13865" xr:uid="{00000000-0005-0000-0000-000075340000}"/>
    <cellStyle name="Percent 9 24 3" xfId="13866" xr:uid="{00000000-0005-0000-0000-000076340000}"/>
    <cellStyle name="Percent 9 24 3 2" xfId="13867" xr:uid="{00000000-0005-0000-0000-000077340000}"/>
    <cellStyle name="Percent 9 24 4" xfId="13868" xr:uid="{00000000-0005-0000-0000-000078340000}"/>
    <cellStyle name="Percent 9 25" xfId="13869" xr:uid="{00000000-0005-0000-0000-000079340000}"/>
    <cellStyle name="Percent 9 25 2" xfId="13870" xr:uid="{00000000-0005-0000-0000-00007A340000}"/>
    <cellStyle name="Percent 9 26" xfId="13871" xr:uid="{00000000-0005-0000-0000-00007B340000}"/>
    <cellStyle name="Percent 9 26 2" xfId="13872" xr:uid="{00000000-0005-0000-0000-00007C340000}"/>
    <cellStyle name="Percent 9 27" xfId="13873" xr:uid="{00000000-0005-0000-0000-00007D340000}"/>
    <cellStyle name="Percent 9 27 2" xfId="13874" xr:uid="{00000000-0005-0000-0000-00007E340000}"/>
    <cellStyle name="Percent 9 28" xfId="13875" xr:uid="{00000000-0005-0000-0000-00007F340000}"/>
    <cellStyle name="Percent 9 29" xfId="13876" xr:uid="{00000000-0005-0000-0000-000080340000}"/>
    <cellStyle name="Percent 9 3" xfId="3020" xr:uid="{00000000-0005-0000-0000-000081340000}"/>
    <cellStyle name="Percent 9 3 10" xfId="13878" xr:uid="{00000000-0005-0000-0000-000082340000}"/>
    <cellStyle name="Percent 9 3 10 2" xfId="13879" xr:uid="{00000000-0005-0000-0000-000083340000}"/>
    <cellStyle name="Percent 9 3 11" xfId="13880" xr:uid="{00000000-0005-0000-0000-000084340000}"/>
    <cellStyle name="Percent 9 3 12" xfId="13881" xr:uid="{00000000-0005-0000-0000-000085340000}"/>
    <cellStyle name="Percent 9 3 13" xfId="13877" xr:uid="{00000000-0005-0000-0000-000086340000}"/>
    <cellStyle name="Percent 9 3 2" xfId="4790" xr:uid="{00000000-0005-0000-0000-000087340000}"/>
    <cellStyle name="Percent 9 3 2 10" xfId="13883" xr:uid="{00000000-0005-0000-0000-000088340000}"/>
    <cellStyle name="Percent 9 3 2 11" xfId="13882" xr:uid="{00000000-0005-0000-0000-000089340000}"/>
    <cellStyle name="Percent 9 3 2 2" xfId="13884" xr:uid="{00000000-0005-0000-0000-00008A340000}"/>
    <cellStyle name="Percent 9 3 2 2 2" xfId="13885" xr:uid="{00000000-0005-0000-0000-00008B340000}"/>
    <cellStyle name="Percent 9 3 2 2 2 2" xfId="13886" xr:uid="{00000000-0005-0000-0000-00008C340000}"/>
    <cellStyle name="Percent 9 3 2 2 3" xfId="13887" xr:uid="{00000000-0005-0000-0000-00008D340000}"/>
    <cellStyle name="Percent 9 3 2 2 3 2" xfId="13888" xr:uid="{00000000-0005-0000-0000-00008E340000}"/>
    <cellStyle name="Percent 9 3 2 2 4" xfId="13889" xr:uid="{00000000-0005-0000-0000-00008F340000}"/>
    <cellStyle name="Percent 9 3 2 3" xfId="13890" xr:uid="{00000000-0005-0000-0000-000090340000}"/>
    <cellStyle name="Percent 9 3 2 3 2" xfId="13891" xr:uid="{00000000-0005-0000-0000-000091340000}"/>
    <cellStyle name="Percent 9 3 2 3 2 2" xfId="13892" xr:uid="{00000000-0005-0000-0000-000092340000}"/>
    <cellStyle name="Percent 9 3 2 3 3" xfId="13893" xr:uid="{00000000-0005-0000-0000-000093340000}"/>
    <cellStyle name="Percent 9 3 2 3 3 2" xfId="13894" xr:uid="{00000000-0005-0000-0000-000094340000}"/>
    <cellStyle name="Percent 9 3 2 3 4" xfId="13895" xr:uid="{00000000-0005-0000-0000-000095340000}"/>
    <cellStyle name="Percent 9 3 2 4" xfId="13896" xr:uid="{00000000-0005-0000-0000-000096340000}"/>
    <cellStyle name="Percent 9 3 2 4 2" xfId="13897" xr:uid="{00000000-0005-0000-0000-000097340000}"/>
    <cellStyle name="Percent 9 3 2 4 2 2" xfId="13898" xr:uid="{00000000-0005-0000-0000-000098340000}"/>
    <cellStyle name="Percent 9 3 2 4 3" xfId="13899" xr:uid="{00000000-0005-0000-0000-000099340000}"/>
    <cellStyle name="Percent 9 3 2 4 3 2" xfId="13900" xr:uid="{00000000-0005-0000-0000-00009A340000}"/>
    <cellStyle name="Percent 9 3 2 4 4" xfId="13901" xr:uid="{00000000-0005-0000-0000-00009B340000}"/>
    <cellStyle name="Percent 9 3 2 4 4 2" xfId="13902" xr:uid="{00000000-0005-0000-0000-00009C340000}"/>
    <cellStyle name="Percent 9 3 2 4 5" xfId="13903" xr:uid="{00000000-0005-0000-0000-00009D340000}"/>
    <cellStyle name="Percent 9 3 2 5" xfId="13904" xr:uid="{00000000-0005-0000-0000-00009E340000}"/>
    <cellStyle name="Percent 9 3 2 5 2" xfId="13905" xr:uid="{00000000-0005-0000-0000-00009F340000}"/>
    <cellStyle name="Percent 9 3 2 5 2 2" xfId="13906" xr:uid="{00000000-0005-0000-0000-0000A0340000}"/>
    <cellStyle name="Percent 9 3 2 5 3" xfId="13907" xr:uid="{00000000-0005-0000-0000-0000A1340000}"/>
    <cellStyle name="Percent 9 3 2 5 3 2" xfId="13908" xr:uid="{00000000-0005-0000-0000-0000A2340000}"/>
    <cellStyle name="Percent 9 3 2 5 4" xfId="13909" xr:uid="{00000000-0005-0000-0000-0000A3340000}"/>
    <cellStyle name="Percent 9 3 2 6" xfId="13910" xr:uid="{00000000-0005-0000-0000-0000A4340000}"/>
    <cellStyle name="Percent 9 3 2 6 2" xfId="13911" xr:uid="{00000000-0005-0000-0000-0000A5340000}"/>
    <cellStyle name="Percent 9 3 2 7" xfId="13912" xr:uid="{00000000-0005-0000-0000-0000A6340000}"/>
    <cellStyle name="Percent 9 3 2 7 2" xfId="13913" xr:uid="{00000000-0005-0000-0000-0000A7340000}"/>
    <cellStyle name="Percent 9 3 2 8" xfId="13914" xr:uid="{00000000-0005-0000-0000-0000A8340000}"/>
    <cellStyle name="Percent 9 3 2 8 2" xfId="13915" xr:uid="{00000000-0005-0000-0000-0000A9340000}"/>
    <cellStyle name="Percent 9 3 2 9" xfId="13916" xr:uid="{00000000-0005-0000-0000-0000AA340000}"/>
    <cellStyle name="Percent 9 3 3" xfId="13917" xr:uid="{00000000-0005-0000-0000-0000AB340000}"/>
    <cellStyle name="Percent 9 3 3 2" xfId="13918" xr:uid="{00000000-0005-0000-0000-0000AC340000}"/>
    <cellStyle name="Percent 9 3 3 2 2" xfId="13919" xr:uid="{00000000-0005-0000-0000-0000AD340000}"/>
    <cellStyle name="Percent 9 3 3 3" xfId="13920" xr:uid="{00000000-0005-0000-0000-0000AE340000}"/>
    <cellStyle name="Percent 9 3 3 3 2" xfId="13921" xr:uid="{00000000-0005-0000-0000-0000AF340000}"/>
    <cellStyle name="Percent 9 3 3 4" xfId="13922" xr:uid="{00000000-0005-0000-0000-0000B0340000}"/>
    <cellStyle name="Percent 9 3 3 5" xfId="13923" xr:uid="{00000000-0005-0000-0000-0000B1340000}"/>
    <cellStyle name="Percent 9 3 4" xfId="13924" xr:uid="{00000000-0005-0000-0000-0000B2340000}"/>
    <cellStyle name="Percent 9 3 4 2" xfId="13925" xr:uid="{00000000-0005-0000-0000-0000B3340000}"/>
    <cellStyle name="Percent 9 3 4 2 2" xfId="13926" xr:uid="{00000000-0005-0000-0000-0000B4340000}"/>
    <cellStyle name="Percent 9 3 4 3" xfId="13927" xr:uid="{00000000-0005-0000-0000-0000B5340000}"/>
    <cellStyle name="Percent 9 3 4 3 2" xfId="13928" xr:uid="{00000000-0005-0000-0000-0000B6340000}"/>
    <cellStyle name="Percent 9 3 4 4" xfId="13929" xr:uid="{00000000-0005-0000-0000-0000B7340000}"/>
    <cellStyle name="Percent 9 3 5" xfId="13930" xr:uid="{00000000-0005-0000-0000-0000B8340000}"/>
    <cellStyle name="Percent 9 3 5 2" xfId="13931" xr:uid="{00000000-0005-0000-0000-0000B9340000}"/>
    <cellStyle name="Percent 9 3 5 2 2" xfId="13932" xr:uid="{00000000-0005-0000-0000-0000BA340000}"/>
    <cellStyle name="Percent 9 3 5 3" xfId="13933" xr:uid="{00000000-0005-0000-0000-0000BB340000}"/>
    <cellStyle name="Percent 9 3 5 3 2" xfId="13934" xr:uid="{00000000-0005-0000-0000-0000BC340000}"/>
    <cellStyle name="Percent 9 3 5 4" xfId="13935" xr:uid="{00000000-0005-0000-0000-0000BD340000}"/>
    <cellStyle name="Percent 9 3 6" xfId="13936" xr:uid="{00000000-0005-0000-0000-0000BE340000}"/>
    <cellStyle name="Percent 9 3 6 2" xfId="13937" xr:uid="{00000000-0005-0000-0000-0000BF340000}"/>
    <cellStyle name="Percent 9 3 6 2 2" xfId="13938" xr:uid="{00000000-0005-0000-0000-0000C0340000}"/>
    <cellStyle name="Percent 9 3 6 3" xfId="13939" xr:uid="{00000000-0005-0000-0000-0000C1340000}"/>
    <cellStyle name="Percent 9 3 6 3 2" xfId="13940" xr:uid="{00000000-0005-0000-0000-0000C2340000}"/>
    <cellStyle name="Percent 9 3 6 4" xfId="13941" xr:uid="{00000000-0005-0000-0000-0000C3340000}"/>
    <cellStyle name="Percent 9 3 6 4 2" xfId="13942" xr:uid="{00000000-0005-0000-0000-0000C4340000}"/>
    <cellStyle name="Percent 9 3 6 5" xfId="13943" xr:uid="{00000000-0005-0000-0000-0000C5340000}"/>
    <cellStyle name="Percent 9 3 7" xfId="13944" xr:uid="{00000000-0005-0000-0000-0000C6340000}"/>
    <cellStyle name="Percent 9 3 7 2" xfId="13945" xr:uid="{00000000-0005-0000-0000-0000C7340000}"/>
    <cellStyle name="Percent 9 3 7 2 2" xfId="13946" xr:uid="{00000000-0005-0000-0000-0000C8340000}"/>
    <cellStyle name="Percent 9 3 7 3" xfId="13947" xr:uid="{00000000-0005-0000-0000-0000C9340000}"/>
    <cellStyle name="Percent 9 3 7 3 2" xfId="13948" xr:uid="{00000000-0005-0000-0000-0000CA340000}"/>
    <cellStyle name="Percent 9 3 7 4" xfId="13949" xr:uid="{00000000-0005-0000-0000-0000CB340000}"/>
    <cellStyle name="Percent 9 3 8" xfId="13950" xr:uid="{00000000-0005-0000-0000-0000CC340000}"/>
    <cellStyle name="Percent 9 3 8 2" xfId="13951" xr:uid="{00000000-0005-0000-0000-0000CD340000}"/>
    <cellStyle name="Percent 9 3 9" xfId="13952" xr:uid="{00000000-0005-0000-0000-0000CE340000}"/>
    <cellStyle name="Percent 9 3 9 2" xfId="13953" xr:uid="{00000000-0005-0000-0000-0000CF340000}"/>
    <cellStyle name="Percent 9 30" xfId="13303" xr:uid="{00000000-0005-0000-0000-0000D0340000}"/>
    <cellStyle name="Percent 9 4" xfId="3021" xr:uid="{00000000-0005-0000-0000-0000D1340000}"/>
    <cellStyle name="Percent 9 4 10" xfId="13955" xr:uid="{00000000-0005-0000-0000-0000D2340000}"/>
    <cellStyle name="Percent 9 4 10 2" xfId="13956" xr:uid="{00000000-0005-0000-0000-0000D3340000}"/>
    <cellStyle name="Percent 9 4 11" xfId="13957" xr:uid="{00000000-0005-0000-0000-0000D4340000}"/>
    <cellStyle name="Percent 9 4 12" xfId="13958" xr:uid="{00000000-0005-0000-0000-0000D5340000}"/>
    <cellStyle name="Percent 9 4 13" xfId="13954" xr:uid="{00000000-0005-0000-0000-0000D6340000}"/>
    <cellStyle name="Percent 9 4 2" xfId="4791" xr:uid="{00000000-0005-0000-0000-0000D7340000}"/>
    <cellStyle name="Percent 9 4 2 10" xfId="13960" xr:uid="{00000000-0005-0000-0000-0000D8340000}"/>
    <cellStyle name="Percent 9 4 2 11" xfId="13959" xr:uid="{00000000-0005-0000-0000-0000D9340000}"/>
    <cellStyle name="Percent 9 4 2 2" xfId="13961" xr:uid="{00000000-0005-0000-0000-0000DA340000}"/>
    <cellStyle name="Percent 9 4 2 2 2" xfId="13962" xr:uid="{00000000-0005-0000-0000-0000DB340000}"/>
    <cellStyle name="Percent 9 4 2 2 2 2" xfId="13963" xr:uid="{00000000-0005-0000-0000-0000DC340000}"/>
    <cellStyle name="Percent 9 4 2 2 3" xfId="13964" xr:uid="{00000000-0005-0000-0000-0000DD340000}"/>
    <cellStyle name="Percent 9 4 2 2 3 2" xfId="13965" xr:uid="{00000000-0005-0000-0000-0000DE340000}"/>
    <cellStyle name="Percent 9 4 2 2 4" xfId="13966" xr:uid="{00000000-0005-0000-0000-0000DF340000}"/>
    <cellStyle name="Percent 9 4 2 3" xfId="13967" xr:uid="{00000000-0005-0000-0000-0000E0340000}"/>
    <cellStyle name="Percent 9 4 2 3 2" xfId="13968" xr:uid="{00000000-0005-0000-0000-0000E1340000}"/>
    <cellStyle name="Percent 9 4 2 3 2 2" xfId="13969" xr:uid="{00000000-0005-0000-0000-0000E2340000}"/>
    <cellStyle name="Percent 9 4 2 3 3" xfId="13970" xr:uid="{00000000-0005-0000-0000-0000E3340000}"/>
    <cellStyle name="Percent 9 4 2 3 3 2" xfId="13971" xr:uid="{00000000-0005-0000-0000-0000E4340000}"/>
    <cellStyle name="Percent 9 4 2 3 4" xfId="13972" xr:uid="{00000000-0005-0000-0000-0000E5340000}"/>
    <cellStyle name="Percent 9 4 2 4" xfId="13973" xr:uid="{00000000-0005-0000-0000-0000E6340000}"/>
    <cellStyle name="Percent 9 4 2 4 2" xfId="13974" xr:uid="{00000000-0005-0000-0000-0000E7340000}"/>
    <cellStyle name="Percent 9 4 2 4 2 2" xfId="13975" xr:uid="{00000000-0005-0000-0000-0000E8340000}"/>
    <cellStyle name="Percent 9 4 2 4 3" xfId="13976" xr:uid="{00000000-0005-0000-0000-0000E9340000}"/>
    <cellStyle name="Percent 9 4 2 4 3 2" xfId="13977" xr:uid="{00000000-0005-0000-0000-0000EA340000}"/>
    <cellStyle name="Percent 9 4 2 4 4" xfId="13978" xr:uid="{00000000-0005-0000-0000-0000EB340000}"/>
    <cellStyle name="Percent 9 4 2 4 4 2" xfId="13979" xr:uid="{00000000-0005-0000-0000-0000EC340000}"/>
    <cellStyle name="Percent 9 4 2 4 5" xfId="13980" xr:uid="{00000000-0005-0000-0000-0000ED340000}"/>
    <cellStyle name="Percent 9 4 2 5" xfId="13981" xr:uid="{00000000-0005-0000-0000-0000EE340000}"/>
    <cellStyle name="Percent 9 4 2 5 2" xfId="13982" xr:uid="{00000000-0005-0000-0000-0000EF340000}"/>
    <cellStyle name="Percent 9 4 2 5 2 2" xfId="13983" xr:uid="{00000000-0005-0000-0000-0000F0340000}"/>
    <cellStyle name="Percent 9 4 2 5 3" xfId="13984" xr:uid="{00000000-0005-0000-0000-0000F1340000}"/>
    <cellStyle name="Percent 9 4 2 5 3 2" xfId="13985" xr:uid="{00000000-0005-0000-0000-0000F2340000}"/>
    <cellStyle name="Percent 9 4 2 5 4" xfId="13986" xr:uid="{00000000-0005-0000-0000-0000F3340000}"/>
    <cellStyle name="Percent 9 4 2 6" xfId="13987" xr:uid="{00000000-0005-0000-0000-0000F4340000}"/>
    <cellStyle name="Percent 9 4 2 6 2" xfId="13988" xr:uid="{00000000-0005-0000-0000-0000F5340000}"/>
    <cellStyle name="Percent 9 4 2 7" xfId="13989" xr:uid="{00000000-0005-0000-0000-0000F6340000}"/>
    <cellStyle name="Percent 9 4 2 7 2" xfId="13990" xr:uid="{00000000-0005-0000-0000-0000F7340000}"/>
    <cellStyle name="Percent 9 4 2 8" xfId="13991" xr:uid="{00000000-0005-0000-0000-0000F8340000}"/>
    <cellStyle name="Percent 9 4 2 8 2" xfId="13992" xr:uid="{00000000-0005-0000-0000-0000F9340000}"/>
    <cellStyle name="Percent 9 4 2 9" xfId="13993" xr:uid="{00000000-0005-0000-0000-0000FA340000}"/>
    <cellStyle name="Percent 9 4 3" xfId="13994" xr:uid="{00000000-0005-0000-0000-0000FB340000}"/>
    <cellStyle name="Percent 9 4 3 2" xfId="13995" xr:uid="{00000000-0005-0000-0000-0000FC340000}"/>
    <cellStyle name="Percent 9 4 3 2 2" xfId="13996" xr:uid="{00000000-0005-0000-0000-0000FD340000}"/>
    <cellStyle name="Percent 9 4 3 3" xfId="13997" xr:uid="{00000000-0005-0000-0000-0000FE340000}"/>
    <cellStyle name="Percent 9 4 3 3 2" xfId="13998" xr:uid="{00000000-0005-0000-0000-0000FF340000}"/>
    <cellStyle name="Percent 9 4 3 4" xfId="13999" xr:uid="{00000000-0005-0000-0000-000000350000}"/>
    <cellStyle name="Percent 9 4 3 5" xfId="14000" xr:uid="{00000000-0005-0000-0000-000001350000}"/>
    <cellStyle name="Percent 9 4 4" xfId="14001" xr:uid="{00000000-0005-0000-0000-000002350000}"/>
    <cellStyle name="Percent 9 4 4 2" xfId="14002" xr:uid="{00000000-0005-0000-0000-000003350000}"/>
    <cellStyle name="Percent 9 4 4 2 2" xfId="14003" xr:uid="{00000000-0005-0000-0000-000004350000}"/>
    <cellStyle name="Percent 9 4 4 3" xfId="14004" xr:uid="{00000000-0005-0000-0000-000005350000}"/>
    <cellStyle name="Percent 9 4 4 3 2" xfId="14005" xr:uid="{00000000-0005-0000-0000-000006350000}"/>
    <cellStyle name="Percent 9 4 4 4" xfId="14006" xr:uid="{00000000-0005-0000-0000-000007350000}"/>
    <cellStyle name="Percent 9 4 5" xfId="14007" xr:uid="{00000000-0005-0000-0000-000008350000}"/>
    <cellStyle name="Percent 9 4 5 2" xfId="14008" xr:uid="{00000000-0005-0000-0000-000009350000}"/>
    <cellStyle name="Percent 9 4 5 2 2" xfId="14009" xr:uid="{00000000-0005-0000-0000-00000A350000}"/>
    <cellStyle name="Percent 9 4 5 3" xfId="14010" xr:uid="{00000000-0005-0000-0000-00000B350000}"/>
    <cellStyle name="Percent 9 4 5 3 2" xfId="14011" xr:uid="{00000000-0005-0000-0000-00000C350000}"/>
    <cellStyle name="Percent 9 4 5 4" xfId="14012" xr:uid="{00000000-0005-0000-0000-00000D350000}"/>
    <cellStyle name="Percent 9 4 6" xfId="14013" xr:uid="{00000000-0005-0000-0000-00000E350000}"/>
    <cellStyle name="Percent 9 4 6 2" xfId="14014" xr:uid="{00000000-0005-0000-0000-00000F350000}"/>
    <cellStyle name="Percent 9 4 6 2 2" xfId="14015" xr:uid="{00000000-0005-0000-0000-000010350000}"/>
    <cellStyle name="Percent 9 4 6 3" xfId="14016" xr:uid="{00000000-0005-0000-0000-000011350000}"/>
    <cellStyle name="Percent 9 4 6 3 2" xfId="14017" xr:uid="{00000000-0005-0000-0000-000012350000}"/>
    <cellStyle name="Percent 9 4 6 4" xfId="14018" xr:uid="{00000000-0005-0000-0000-000013350000}"/>
    <cellStyle name="Percent 9 4 6 4 2" xfId="14019" xr:uid="{00000000-0005-0000-0000-000014350000}"/>
    <cellStyle name="Percent 9 4 6 5" xfId="14020" xr:uid="{00000000-0005-0000-0000-000015350000}"/>
    <cellStyle name="Percent 9 4 7" xfId="14021" xr:uid="{00000000-0005-0000-0000-000016350000}"/>
    <cellStyle name="Percent 9 4 7 2" xfId="14022" xr:uid="{00000000-0005-0000-0000-000017350000}"/>
    <cellStyle name="Percent 9 4 7 2 2" xfId="14023" xr:uid="{00000000-0005-0000-0000-000018350000}"/>
    <cellStyle name="Percent 9 4 7 3" xfId="14024" xr:uid="{00000000-0005-0000-0000-000019350000}"/>
    <cellStyle name="Percent 9 4 7 3 2" xfId="14025" xr:uid="{00000000-0005-0000-0000-00001A350000}"/>
    <cellStyle name="Percent 9 4 7 4" xfId="14026" xr:uid="{00000000-0005-0000-0000-00001B350000}"/>
    <cellStyle name="Percent 9 4 8" xfId="14027" xr:uid="{00000000-0005-0000-0000-00001C350000}"/>
    <cellStyle name="Percent 9 4 8 2" xfId="14028" xr:uid="{00000000-0005-0000-0000-00001D350000}"/>
    <cellStyle name="Percent 9 4 9" xfId="14029" xr:uid="{00000000-0005-0000-0000-00001E350000}"/>
    <cellStyle name="Percent 9 4 9 2" xfId="14030" xr:uid="{00000000-0005-0000-0000-00001F350000}"/>
    <cellStyle name="Percent 9 5" xfId="3022" xr:uid="{00000000-0005-0000-0000-000020350000}"/>
    <cellStyle name="Percent 9 5 10" xfId="14032" xr:uid="{00000000-0005-0000-0000-000021350000}"/>
    <cellStyle name="Percent 9 5 10 2" xfId="14033" xr:uid="{00000000-0005-0000-0000-000022350000}"/>
    <cellStyle name="Percent 9 5 11" xfId="14034" xr:uid="{00000000-0005-0000-0000-000023350000}"/>
    <cellStyle name="Percent 9 5 12" xfId="14035" xr:uid="{00000000-0005-0000-0000-000024350000}"/>
    <cellStyle name="Percent 9 5 13" xfId="14031" xr:uid="{00000000-0005-0000-0000-000025350000}"/>
    <cellStyle name="Percent 9 5 2" xfId="4792" xr:uid="{00000000-0005-0000-0000-000026350000}"/>
    <cellStyle name="Percent 9 5 2 10" xfId="14037" xr:uid="{00000000-0005-0000-0000-000027350000}"/>
    <cellStyle name="Percent 9 5 2 11" xfId="14036" xr:uid="{00000000-0005-0000-0000-000028350000}"/>
    <cellStyle name="Percent 9 5 2 2" xfId="14038" xr:uid="{00000000-0005-0000-0000-000029350000}"/>
    <cellStyle name="Percent 9 5 2 2 2" xfId="14039" xr:uid="{00000000-0005-0000-0000-00002A350000}"/>
    <cellStyle name="Percent 9 5 2 2 2 2" xfId="14040" xr:uid="{00000000-0005-0000-0000-00002B350000}"/>
    <cellStyle name="Percent 9 5 2 2 3" xfId="14041" xr:uid="{00000000-0005-0000-0000-00002C350000}"/>
    <cellStyle name="Percent 9 5 2 2 3 2" xfId="14042" xr:uid="{00000000-0005-0000-0000-00002D350000}"/>
    <cellStyle name="Percent 9 5 2 2 4" xfId="14043" xr:uid="{00000000-0005-0000-0000-00002E350000}"/>
    <cellStyle name="Percent 9 5 2 3" xfId="14044" xr:uid="{00000000-0005-0000-0000-00002F350000}"/>
    <cellStyle name="Percent 9 5 2 3 2" xfId="14045" xr:uid="{00000000-0005-0000-0000-000030350000}"/>
    <cellStyle name="Percent 9 5 2 3 2 2" xfId="14046" xr:uid="{00000000-0005-0000-0000-000031350000}"/>
    <cellStyle name="Percent 9 5 2 3 3" xfId="14047" xr:uid="{00000000-0005-0000-0000-000032350000}"/>
    <cellStyle name="Percent 9 5 2 3 3 2" xfId="14048" xr:uid="{00000000-0005-0000-0000-000033350000}"/>
    <cellStyle name="Percent 9 5 2 3 4" xfId="14049" xr:uid="{00000000-0005-0000-0000-000034350000}"/>
    <cellStyle name="Percent 9 5 2 4" xfId="14050" xr:uid="{00000000-0005-0000-0000-000035350000}"/>
    <cellStyle name="Percent 9 5 2 4 2" xfId="14051" xr:uid="{00000000-0005-0000-0000-000036350000}"/>
    <cellStyle name="Percent 9 5 2 4 2 2" xfId="14052" xr:uid="{00000000-0005-0000-0000-000037350000}"/>
    <cellStyle name="Percent 9 5 2 4 3" xfId="14053" xr:uid="{00000000-0005-0000-0000-000038350000}"/>
    <cellStyle name="Percent 9 5 2 4 3 2" xfId="14054" xr:uid="{00000000-0005-0000-0000-000039350000}"/>
    <cellStyle name="Percent 9 5 2 4 4" xfId="14055" xr:uid="{00000000-0005-0000-0000-00003A350000}"/>
    <cellStyle name="Percent 9 5 2 4 4 2" xfId="14056" xr:uid="{00000000-0005-0000-0000-00003B350000}"/>
    <cellStyle name="Percent 9 5 2 4 5" xfId="14057" xr:uid="{00000000-0005-0000-0000-00003C350000}"/>
    <cellStyle name="Percent 9 5 2 5" xfId="14058" xr:uid="{00000000-0005-0000-0000-00003D350000}"/>
    <cellStyle name="Percent 9 5 2 5 2" xfId="14059" xr:uid="{00000000-0005-0000-0000-00003E350000}"/>
    <cellStyle name="Percent 9 5 2 5 2 2" xfId="14060" xr:uid="{00000000-0005-0000-0000-00003F350000}"/>
    <cellStyle name="Percent 9 5 2 5 3" xfId="14061" xr:uid="{00000000-0005-0000-0000-000040350000}"/>
    <cellStyle name="Percent 9 5 2 5 3 2" xfId="14062" xr:uid="{00000000-0005-0000-0000-000041350000}"/>
    <cellStyle name="Percent 9 5 2 5 4" xfId="14063" xr:uid="{00000000-0005-0000-0000-000042350000}"/>
    <cellStyle name="Percent 9 5 2 6" xfId="14064" xr:uid="{00000000-0005-0000-0000-000043350000}"/>
    <cellStyle name="Percent 9 5 2 6 2" xfId="14065" xr:uid="{00000000-0005-0000-0000-000044350000}"/>
    <cellStyle name="Percent 9 5 2 7" xfId="14066" xr:uid="{00000000-0005-0000-0000-000045350000}"/>
    <cellStyle name="Percent 9 5 2 7 2" xfId="14067" xr:uid="{00000000-0005-0000-0000-000046350000}"/>
    <cellStyle name="Percent 9 5 2 8" xfId="14068" xr:uid="{00000000-0005-0000-0000-000047350000}"/>
    <cellStyle name="Percent 9 5 2 8 2" xfId="14069" xr:uid="{00000000-0005-0000-0000-000048350000}"/>
    <cellStyle name="Percent 9 5 2 9" xfId="14070" xr:uid="{00000000-0005-0000-0000-000049350000}"/>
    <cellStyle name="Percent 9 5 3" xfId="14071" xr:uid="{00000000-0005-0000-0000-00004A350000}"/>
    <cellStyle name="Percent 9 5 3 2" xfId="14072" xr:uid="{00000000-0005-0000-0000-00004B350000}"/>
    <cellStyle name="Percent 9 5 3 2 2" xfId="14073" xr:uid="{00000000-0005-0000-0000-00004C350000}"/>
    <cellStyle name="Percent 9 5 3 3" xfId="14074" xr:uid="{00000000-0005-0000-0000-00004D350000}"/>
    <cellStyle name="Percent 9 5 3 3 2" xfId="14075" xr:uid="{00000000-0005-0000-0000-00004E350000}"/>
    <cellStyle name="Percent 9 5 3 4" xfId="14076" xr:uid="{00000000-0005-0000-0000-00004F350000}"/>
    <cellStyle name="Percent 9 5 3 5" xfId="14077" xr:uid="{00000000-0005-0000-0000-000050350000}"/>
    <cellStyle name="Percent 9 5 4" xfId="14078" xr:uid="{00000000-0005-0000-0000-000051350000}"/>
    <cellStyle name="Percent 9 5 4 2" xfId="14079" xr:uid="{00000000-0005-0000-0000-000052350000}"/>
    <cellStyle name="Percent 9 5 4 2 2" xfId="14080" xr:uid="{00000000-0005-0000-0000-000053350000}"/>
    <cellStyle name="Percent 9 5 4 3" xfId="14081" xr:uid="{00000000-0005-0000-0000-000054350000}"/>
    <cellStyle name="Percent 9 5 4 3 2" xfId="14082" xr:uid="{00000000-0005-0000-0000-000055350000}"/>
    <cellStyle name="Percent 9 5 4 4" xfId="14083" xr:uid="{00000000-0005-0000-0000-000056350000}"/>
    <cellStyle name="Percent 9 5 5" xfId="14084" xr:uid="{00000000-0005-0000-0000-000057350000}"/>
    <cellStyle name="Percent 9 5 5 2" xfId="14085" xr:uid="{00000000-0005-0000-0000-000058350000}"/>
    <cellStyle name="Percent 9 5 5 2 2" xfId="14086" xr:uid="{00000000-0005-0000-0000-000059350000}"/>
    <cellStyle name="Percent 9 5 5 3" xfId="14087" xr:uid="{00000000-0005-0000-0000-00005A350000}"/>
    <cellStyle name="Percent 9 5 5 3 2" xfId="14088" xr:uid="{00000000-0005-0000-0000-00005B350000}"/>
    <cellStyle name="Percent 9 5 5 4" xfId="14089" xr:uid="{00000000-0005-0000-0000-00005C350000}"/>
    <cellStyle name="Percent 9 5 6" xfId="14090" xr:uid="{00000000-0005-0000-0000-00005D350000}"/>
    <cellStyle name="Percent 9 5 6 2" xfId="14091" xr:uid="{00000000-0005-0000-0000-00005E350000}"/>
    <cellStyle name="Percent 9 5 6 2 2" xfId="14092" xr:uid="{00000000-0005-0000-0000-00005F350000}"/>
    <cellStyle name="Percent 9 5 6 3" xfId="14093" xr:uid="{00000000-0005-0000-0000-000060350000}"/>
    <cellStyle name="Percent 9 5 6 3 2" xfId="14094" xr:uid="{00000000-0005-0000-0000-000061350000}"/>
    <cellStyle name="Percent 9 5 6 4" xfId="14095" xr:uid="{00000000-0005-0000-0000-000062350000}"/>
    <cellStyle name="Percent 9 5 6 4 2" xfId="14096" xr:uid="{00000000-0005-0000-0000-000063350000}"/>
    <cellStyle name="Percent 9 5 6 5" xfId="14097" xr:uid="{00000000-0005-0000-0000-000064350000}"/>
    <cellStyle name="Percent 9 5 7" xfId="14098" xr:uid="{00000000-0005-0000-0000-000065350000}"/>
    <cellStyle name="Percent 9 5 7 2" xfId="14099" xr:uid="{00000000-0005-0000-0000-000066350000}"/>
    <cellStyle name="Percent 9 5 7 2 2" xfId="14100" xr:uid="{00000000-0005-0000-0000-000067350000}"/>
    <cellStyle name="Percent 9 5 7 3" xfId="14101" xr:uid="{00000000-0005-0000-0000-000068350000}"/>
    <cellStyle name="Percent 9 5 7 3 2" xfId="14102" xr:uid="{00000000-0005-0000-0000-000069350000}"/>
    <cellStyle name="Percent 9 5 7 4" xfId="14103" xr:uid="{00000000-0005-0000-0000-00006A350000}"/>
    <cellStyle name="Percent 9 5 8" xfId="14104" xr:uid="{00000000-0005-0000-0000-00006B350000}"/>
    <cellStyle name="Percent 9 5 8 2" xfId="14105" xr:uid="{00000000-0005-0000-0000-00006C350000}"/>
    <cellStyle name="Percent 9 5 9" xfId="14106" xr:uid="{00000000-0005-0000-0000-00006D350000}"/>
    <cellStyle name="Percent 9 5 9 2" xfId="14107" xr:uid="{00000000-0005-0000-0000-00006E350000}"/>
    <cellStyle name="Percent 9 6" xfId="3023" xr:uid="{00000000-0005-0000-0000-00006F350000}"/>
    <cellStyle name="Percent 9 6 10" xfId="14109" xr:uid="{00000000-0005-0000-0000-000070350000}"/>
    <cellStyle name="Percent 9 6 10 2" xfId="14110" xr:uid="{00000000-0005-0000-0000-000071350000}"/>
    <cellStyle name="Percent 9 6 11" xfId="14111" xr:uid="{00000000-0005-0000-0000-000072350000}"/>
    <cellStyle name="Percent 9 6 12" xfId="14112" xr:uid="{00000000-0005-0000-0000-000073350000}"/>
    <cellStyle name="Percent 9 6 13" xfId="14108" xr:uid="{00000000-0005-0000-0000-000074350000}"/>
    <cellStyle name="Percent 9 6 2" xfId="4793" xr:uid="{00000000-0005-0000-0000-000075350000}"/>
    <cellStyle name="Percent 9 6 2 10" xfId="14114" xr:uid="{00000000-0005-0000-0000-000076350000}"/>
    <cellStyle name="Percent 9 6 2 11" xfId="14113" xr:uid="{00000000-0005-0000-0000-000077350000}"/>
    <cellStyle name="Percent 9 6 2 2" xfId="14115" xr:uid="{00000000-0005-0000-0000-000078350000}"/>
    <cellStyle name="Percent 9 6 2 2 2" xfId="14116" xr:uid="{00000000-0005-0000-0000-000079350000}"/>
    <cellStyle name="Percent 9 6 2 2 2 2" xfId="14117" xr:uid="{00000000-0005-0000-0000-00007A350000}"/>
    <cellStyle name="Percent 9 6 2 2 3" xfId="14118" xr:uid="{00000000-0005-0000-0000-00007B350000}"/>
    <cellStyle name="Percent 9 6 2 2 3 2" xfId="14119" xr:uid="{00000000-0005-0000-0000-00007C350000}"/>
    <cellStyle name="Percent 9 6 2 2 4" xfId="14120" xr:uid="{00000000-0005-0000-0000-00007D350000}"/>
    <cellStyle name="Percent 9 6 2 3" xfId="14121" xr:uid="{00000000-0005-0000-0000-00007E350000}"/>
    <cellStyle name="Percent 9 6 2 3 2" xfId="14122" xr:uid="{00000000-0005-0000-0000-00007F350000}"/>
    <cellStyle name="Percent 9 6 2 3 2 2" xfId="14123" xr:uid="{00000000-0005-0000-0000-000080350000}"/>
    <cellStyle name="Percent 9 6 2 3 3" xfId="14124" xr:uid="{00000000-0005-0000-0000-000081350000}"/>
    <cellStyle name="Percent 9 6 2 3 3 2" xfId="14125" xr:uid="{00000000-0005-0000-0000-000082350000}"/>
    <cellStyle name="Percent 9 6 2 3 4" xfId="14126" xr:uid="{00000000-0005-0000-0000-000083350000}"/>
    <cellStyle name="Percent 9 6 2 4" xfId="14127" xr:uid="{00000000-0005-0000-0000-000084350000}"/>
    <cellStyle name="Percent 9 6 2 4 2" xfId="14128" xr:uid="{00000000-0005-0000-0000-000085350000}"/>
    <cellStyle name="Percent 9 6 2 4 2 2" xfId="14129" xr:uid="{00000000-0005-0000-0000-000086350000}"/>
    <cellStyle name="Percent 9 6 2 4 3" xfId="14130" xr:uid="{00000000-0005-0000-0000-000087350000}"/>
    <cellStyle name="Percent 9 6 2 4 3 2" xfId="14131" xr:uid="{00000000-0005-0000-0000-000088350000}"/>
    <cellStyle name="Percent 9 6 2 4 4" xfId="14132" xr:uid="{00000000-0005-0000-0000-000089350000}"/>
    <cellStyle name="Percent 9 6 2 4 4 2" xfId="14133" xr:uid="{00000000-0005-0000-0000-00008A350000}"/>
    <cellStyle name="Percent 9 6 2 4 5" xfId="14134" xr:uid="{00000000-0005-0000-0000-00008B350000}"/>
    <cellStyle name="Percent 9 6 2 5" xfId="14135" xr:uid="{00000000-0005-0000-0000-00008C350000}"/>
    <cellStyle name="Percent 9 6 2 5 2" xfId="14136" xr:uid="{00000000-0005-0000-0000-00008D350000}"/>
    <cellStyle name="Percent 9 6 2 5 2 2" xfId="14137" xr:uid="{00000000-0005-0000-0000-00008E350000}"/>
    <cellStyle name="Percent 9 6 2 5 3" xfId="14138" xr:uid="{00000000-0005-0000-0000-00008F350000}"/>
    <cellStyle name="Percent 9 6 2 5 3 2" xfId="14139" xr:uid="{00000000-0005-0000-0000-000090350000}"/>
    <cellStyle name="Percent 9 6 2 5 4" xfId="14140" xr:uid="{00000000-0005-0000-0000-000091350000}"/>
    <cellStyle name="Percent 9 6 2 6" xfId="14141" xr:uid="{00000000-0005-0000-0000-000092350000}"/>
    <cellStyle name="Percent 9 6 2 6 2" xfId="14142" xr:uid="{00000000-0005-0000-0000-000093350000}"/>
    <cellStyle name="Percent 9 6 2 7" xfId="14143" xr:uid="{00000000-0005-0000-0000-000094350000}"/>
    <cellStyle name="Percent 9 6 2 7 2" xfId="14144" xr:uid="{00000000-0005-0000-0000-000095350000}"/>
    <cellStyle name="Percent 9 6 2 8" xfId="14145" xr:uid="{00000000-0005-0000-0000-000096350000}"/>
    <cellStyle name="Percent 9 6 2 8 2" xfId="14146" xr:uid="{00000000-0005-0000-0000-000097350000}"/>
    <cellStyle name="Percent 9 6 2 9" xfId="14147" xr:uid="{00000000-0005-0000-0000-000098350000}"/>
    <cellStyle name="Percent 9 6 3" xfId="14148" xr:uid="{00000000-0005-0000-0000-000099350000}"/>
    <cellStyle name="Percent 9 6 3 2" xfId="14149" xr:uid="{00000000-0005-0000-0000-00009A350000}"/>
    <cellStyle name="Percent 9 6 3 2 2" xfId="14150" xr:uid="{00000000-0005-0000-0000-00009B350000}"/>
    <cellStyle name="Percent 9 6 3 3" xfId="14151" xr:uid="{00000000-0005-0000-0000-00009C350000}"/>
    <cellStyle name="Percent 9 6 3 3 2" xfId="14152" xr:uid="{00000000-0005-0000-0000-00009D350000}"/>
    <cellStyle name="Percent 9 6 3 4" xfId="14153" xr:uid="{00000000-0005-0000-0000-00009E350000}"/>
    <cellStyle name="Percent 9 6 3 5" xfId="14154" xr:uid="{00000000-0005-0000-0000-00009F350000}"/>
    <cellStyle name="Percent 9 6 4" xfId="14155" xr:uid="{00000000-0005-0000-0000-0000A0350000}"/>
    <cellStyle name="Percent 9 6 4 2" xfId="14156" xr:uid="{00000000-0005-0000-0000-0000A1350000}"/>
    <cellStyle name="Percent 9 6 4 2 2" xfId="14157" xr:uid="{00000000-0005-0000-0000-0000A2350000}"/>
    <cellStyle name="Percent 9 6 4 3" xfId="14158" xr:uid="{00000000-0005-0000-0000-0000A3350000}"/>
    <cellStyle name="Percent 9 6 4 3 2" xfId="14159" xr:uid="{00000000-0005-0000-0000-0000A4350000}"/>
    <cellStyle name="Percent 9 6 4 4" xfId="14160" xr:uid="{00000000-0005-0000-0000-0000A5350000}"/>
    <cellStyle name="Percent 9 6 5" xfId="14161" xr:uid="{00000000-0005-0000-0000-0000A6350000}"/>
    <cellStyle name="Percent 9 6 5 2" xfId="14162" xr:uid="{00000000-0005-0000-0000-0000A7350000}"/>
    <cellStyle name="Percent 9 6 5 2 2" xfId="14163" xr:uid="{00000000-0005-0000-0000-0000A8350000}"/>
    <cellStyle name="Percent 9 6 5 3" xfId="14164" xr:uid="{00000000-0005-0000-0000-0000A9350000}"/>
    <cellStyle name="Percent 9 6 5 3 2" xfId="14165" xr:uid="{00000000-0005-0000-0000-0000AA350000}"/>
    <cellStyle name="Percent 9 6 5 4" xfId="14166" xr:uid="{00000000-0005-0000-0000-0000AB350000}"/>
    <cellStyle name="Percent 9 6 6" xfId="14167" xr:uid="{00000000-0005-0000-0000-0000AC350000}"/>
    <cellStyle name="Percent 9 6 6 2" xfId="14168" xr:uid="{00000000-0005-0000-0000-0000AD350000}"/>
    <cellStyle name="Percent 9 6 6 2 2" xfId="14169" xr:uid="{00000000-0005-0000-0000-0000AE350000}"/>
    <cellStyle name="Percent 9 6 6 3" xfId="14170" xr:uid="{00000000-0005-0000-0000-0000AF350000}"/>
    <cellStyle name="Percent 9 6 6 3 2" xfId="14171" xr:uid="{00000000-0005-0000-0000-0000B0350000}"/>
    <cellStyle name="Percent 9 6 6 4" xfId="14172" xr:uid="{00000000-0005-0000-0000-0000B1350000}"/>
    <cellStyle name="Percent 9 6 6 4 2" xfId="14173" xr:uid="{00000000-0005-0000-0000-0000B2350000}"/>
    <cellStyle name="Percent 9 6 6 5" xfId="14174" xr:uid="{00000000-0005-0000-0000-0000B3350000}"/>
    <cellStyle name="Percent 9 6 7" xfId="14175" xr:uid="{00000000-0005-0000-0000-0000B4350000}"/>
    <cellStyle name="Percent 9 6 7 2" xfId="14176" xr:uid="{00000000-0005-0000-0000-0000B5350000}"/>
    <cellStyle name="Percent 9 6 7 2 2" xfId="14177" xr:uid="{00000000-0005-0000-0000-0000B6350000}"/>
    <cellStyle name="Percent 9 6 7 3" xfId="14178" xr:uid="{00000000-0005-0000-0000-0000B7350000}"/>
    <cellStyle name="Percent 9 6 7 3 2" xfId="14179" xr:uid="{00000000-0005-0000-0000-0000B8350000}"/>
    <cellStyle name="Percent 9 6 7 4" xfId="14180" xr:uid="{00000000-0005-0000-0000-0000B9350000}"/>
    <cellStyle name="Percent 9 6 8" xfId="14181" xr:uid="{00000000-0005-0000-0000-0000BA350000}"/>
    <cellStyle name="Percent 9 6 8 2" xfId="14182" xr:uid="{00000000-0005-0000-0000-0000BB350000}"/>
    <cellStyle name="Percent 9 6 9" xfId="14183" xr:uid="{00000000-0005-0000-0000-0000BC350000}"/>
    <cellStyle name="Percent 9 6 9 2" xfId="14184" xr:uid="{00000000-0005-0000-0000-0000BD350000}"/>
    <cellStyle name="Percent 9 7" xfId="3024" xr:uid="{00000000-0005-0000-0000-0000BE350000}"/>
    <cellStyle name="Percent 9 7 10" xfId="14186" xr:uid="{00000000-0005-0000-0000-0000BF350000}"/>
    <cellStyle name="Percent 9 7 10 2" xfId="14187" xr:uid="{00000000-0005-0000-0000-0000C0350000}"/>
    <cellStyle name="Percent 9 7 11" xfId="14188" xr:uid="{00000000-0005-0000-0000-0000C1350000}"/>
    <cellStyle name="Percent 9 7 11 2" xfId="14189" xr:uid="{00000000-0005-0000-0000-0000C2350000}"/>
    <cellStyle name="Percent 9 7 12" xfId="14190" xr:uid="{00000000-0005-0000-0000-0000C3350000}"/>
    <cellStyle name="Percent 9 7 12 2" xfId="14191" xr:uid="{00000000-0005-0000-0000-0000C4350000}"/>
    <cellStyle name="Percent 9 7 13" xfId="14192" xr:uid="{00000000-0005-0000-0000-0000C5350000}"/>
    <cellStyle name="Percent 9 7 14" xfId="14193" xr:uid="{00000000-0005-0000-0000-0000C6350000}"/>
    <cellStyle name="Percent 9 7 15" xfId="14185" xr:uid="{00000000-0005-0000-0000-0000C7350000}"/>
    <cellStyle name="Percent 9 7 2" xfId="3025" xr:uid="{00000000-0005-0000-0000-0000C8350000}"/>
    <cellStyle name="Percent 9 7 2 10" xfId="14195" xr:uid="{00000000-0005-0000-0000-0000C9350000}"/>
    <cellStyle name="Percent 9 7 2 11" xfId="14196" xr:uid="{00000000-0005-0000-0000-0000CA350000}"/>
    <cellStyle name="Percent 9 7 2 12" xfId="14194" xr:uid="{00000000-0005-0000-0000-0000CB350000}"/>
    <cellStyle name="Percent 9 7 2 2" xfId="14197" xr:uid="{00000000-0005-0000-0000-0000CC350000}"/>
    <cellStyle name="Percent 9 7 2 2 2" xfId="14198" xr:uid="{00000000-0005-0000-0000-0000CD350000}"/>
    <cellStyle name="Percent 9 7 2 2 2 2" xfId="14199" xr:uid="{00000000-0005-0000-0000-0000CE350000}"/>
    <cellStyle name="Percent 9 7 2 2 3" xfId="14200" xr:uid="{00000000-0005-0000-0000-0000CF350000}"/>
    <cellStyle name="Percent 9 7 2 2 3 2" xfId="14201" xr:uid="{00000000-0005-0000-0000-0000D0350000}"/>
    <cellStyle name="Percent 9 7 2 2 4" xfId="14202" xr:uid="{00000000-0005-0000-0000-0000D1350000}"/>
    <cellStyle name="Percent 9 7 2 2 5" xfId="14203" xr:uid="{00000000-0005-0000-0000-0000D2350000}"/>
    <cellStyle name="Percent 9 7 2 3" xfId="14204" xr:uid="{00000000-0005-0000-0000-0000D3350000}"/>
    <cellStyle name="Percent 9 7 2 3 2" xfId="14205" xr:uid="{00000000-0005-0000-0000-0000D4350000}"/>
    <cellStyle name="Percent 9 7 2 3 2 2" xfId="14206" xr:uid="{00000000-0005-0000-0000-0000D5350000}"/>
    <cellStyle name="Percent 9 7 2 3 3" xfId="14207" xr:uid="{00000000-0005-0000-0000-0000D6350000}"/>
    <cellStyle name="Percent 9 7 2 3 3 2" xfId="14208" xr:uid="{00000000-0005-0000-0000-0000D7350000}"/>
    <cellStyle name="Percent 9 7 2 3 4" xfId="14209" xr:uid="{00000000-0005-0000-0000-0000D8350000}"/>
    <cellStyle name="Percent 9 7 2 4" xfId="14210" xr:uid="{00000000-0005-0000-0000-0000D9350000}"/>
    <cellStyle name="Percent 9 7 2 4 2" xfId="14211" xr:uid="{00000000-0005-0000-0000-0000DA350000}"/>
    <cellStyle name="Percent 9 7 2 4 2 2" xfId="14212" xr:uid="{00000000-0005-0000-0000-0000DB350000}"/>
    <cellStyle name="Percent 9 7 2 4 3" xfId="14213" xr:uid="{00000000-0005-0000-0000-0000DC350000}"/>
    <cellStyle name="Percent 9 7 2 4 3 2" xfId="14214" xr:uid="{00000000-0005-0000-0000-0000DD350000}"/>
    <cellStyle name="Percent 9 7 2 4 4" xfId="14215" xr:uid="{00000000-0005-0000-0000-0000DE350000}"/>
    <cellStyle name="Percent 9 7 2 5" xfId="14216" xr:uid="{00000000-0005-0000-0000-0000DF350000}"/>
    <cellStyle name="Percent 9 7 2 5 2" xfId="14217" xr:uid="{00000000-0005-0000-0000-0000E0350000}"/>
    <cellStyle name="Percent 9 7 2 5 2 2" xfId="14218" xr:uid="{00000000-0005-0000-0000-0000E1350000}"/>
    <cellStyle name="Percent 9 7 2 5 3" xfId="14219" xr:uid="{00000000-0005-0000-0000-0000E2350000}"/>
    <cellStyle name="Percent 9 7 2 5 3 2" xfId="14220" xr:uid="{00000000-0005-0000-0000-0000E3350000}"/>
    <cellStyle name="Percent 9 7 2 5 4" xfId="14221" xr:uid="{00000000-0005-0000-0000-0000E4350000}"/>
    <cellStyle name="Percent 9 7 2 5 4 2" xfId="14222" xr:uid="{00000000-0005-0000-0000-0000E5350000}"/>
    <cellStyle name="Percent 9 7 2 5 5" xfId="14223" xr:uid="{00000000-0005-0000-0000-0000E6350000}"/>
    <cellStyle name="Percent 9 7 2 6" xfId="14224" xr:uid="{00000000-0005-0000-0000-0000E7350000}"/>
    <cellStyle name="Percent 9 7 2 6 2" xfId="14225" xr:uid="{00000000-0005-0000-0000-0000E8350000}"/>
    <cellStyle name="Percent 9 7 2 6 2 2" xfId="14226" xr:uid="{00000000-0005-0000-0000-0000E9350000}"/>
    <cellStyle name="Percent 9 7 2 6 3" xfId="14227" xr:uid="{00000000-0005-0000-0000-0000EA350000}"/>
    <cellStyle name="Percent 9 7 2 6 3 2" xfId="14228" xr:uid="{00000000-0005-0000-0000-0000EB350000}"/>
    <cellStyle name="Percent 9 7 2 6 4" xfId="14229" xr:uid="{00000000-0005-0000-0000-0000EC350000}"/>
    <cellStyle name="Percent 9 7 2 7" xfId="14230" xr:uid="{00000000-0005-0000-0000-0000ED350000}"/>
    <cellStyle name="Percent 9 7 2 7 2" xfId="14231" xr:uid="{00000000-0005-0000-0000-0000EE350000}"/>
    <cellStyle name="Percent 9 7 2 8" xfId="14232" xr:uid="{00000000-0005-0000-0000-0000EF350000}"/>
    <cellStyle name="Percent 9 7 2 8 2" xfId="14233" xr:uid="{00000000-0005-0000-0000-0000F0350000}"/>
    <cellStyle name="Percent 9 7 2 9" xfId="14234" xr:uid="{00000000-0005-0000-0000-0000F1350000}"/>
    <cellStyle name="Percent 9 7 2 9 2" xfId="14235" xr:uid="{00000000-0005-0000-0000-0000F2350000}"/>
    <cellStyle name="Percent 9 7 3" xfId="3026" xr:uid="{00000000-0005-0000-0000-0000F3350000}"/>
    <cellStyle name="Percent 9 7 3 10" xfId="14237" xr:uid="{00000000-0005-0000-0000-0000F4350000}"/>
    <cellStyle name="Percent 9 7 3 11" xfId="14238" xr:uid="{00000000-0005-0000-0000-0000F5350000}"/>
    <cellStyle name="Percent 9 7 3 12" xfId="14236" xr:uid="{00000000-0005-0000-0000-0000F6350000}"/>
    <cellStyle name="Percent 9 7 3 2" xfId="14239" xr:uid="{00000000-0005-0000-0000-0000F7350000}"/>
    <cellStyle name="Percent 9 7 3 2 2" xfId="14240" xr:uid="{00000000-0005-0000-0000-0000F8350000}"/>
    <cellStyle name="Percent 9 7 3 2 2 2" xfId="14241" xr:uid="{00000000-0005-0000-0000-0000F9350000}"/>
    <cellStyle name="Percent 9 7 3 2 3" xfId="14242" xr:uid="{00000000-0005-0000-0000-0000FA350000}"/>
    <cellStyle name="Percent 9 7 3 2 3 2" xfId="14243" xr:uid="{00000000-0005-0000-0000-0000FB350000}"/>
    <cellStyle name="Percent 9 7 3 2 4" xfId="14244" xr:uid="{00000000-0005-0000-0000-0000FC350000}"/>
    <cellStyle name="Percent 9 7 3 2 5" xfId="14245" xr:uid="{00000000-0005-0000-0000-0000FD350000}"/>
    <cellStyle name="Percent 9 7 3 3" xfId="14246" xr:uid="{00000000-0005-0000-0000-0000FE350000}"/>
    <cellStyle name="Percent 9 7 3 3 2" xfId="14247" xr:uid="{00000000-0005-0000-0000-0000FF350000}"/>
    <cellStyle name="Percent 9 7 3 3 2 2" xfId="14248" xr:uid="{00000000-0005-0000-0000-000000360000}"/>
    <cellStyle name="Percent 9 7 3 3 3" xfId="14249" xr:uid="{00000000-0005-0000-0000-000001360000}"/>
    <cellStyle name="Percent 9 7 3 3 3 2" xfId="14250" xr:uid="{00000000-0005-0000-0000-000002360000}"/>
    <cellStyle name="Percent 9 7 3 3 4" xfId="14251" xr:uid="{00000000-0005-0000-0000-000003360000}"/>
    <cellStyle name="Percent 9 7 3 4" xfId="14252" xr:uid="{00000000-0005-0000-0000-000004360000}"/>
    <cellStyle name="Percent 9 7 3 4 2" xfId="14253" xr:uid="{00000000-0005-0000-0000-000005360000}"/>
    <cellStyle name="Percent 9 7 3 4 2 2" xfId="14254" xr:uid="{00000000-0005-0000-0000-000006360000}"/>
    <cellStyle name="Percent 9 7 3 4 3" xfId="14255" xr:uid="{00000000-0005-0000-0000-000007360000}"/>
    <cellStyle name="Percent 9 7 3 4 3 2" xfId="14256" xr:uid="{00000000-0005-0000-0000-000008360000}"/>
    <cellStyle name="Percent 9 7 3 4 4" xfId="14257" xr:uid="{00000000-0005-0000-0000-000009360000}"/>
    <cellStyle name="Percent 9 7 3 5" xfId="14258" xr:uid="{00000000-0005-0000-0000-00000A360000}"/>
    <cellStyle name="Percent 9 7 3 5 2" xfId="14259" xr:uid="{00000000-0005-0000-0000-00000B360000}"/>
    <cellStyle name="Percent 9 7 3 5 2 2" xfId="14260" xr:uid="{00000000-0005-0000-0000-00000C360000}"/>
    <cellStyle name="Percent 9 7 3 5 3" xfId="14261" xr:uid="{00000000-0005-0000-0000-00000D360000}"/>
    <cellStyle name="Percent 9 7 3 5 3 2" xfId="14262" xr:uid="{00000000-0005-0000-0000-00000E360000}"/>
    <cellStyle name="Percent 9 7 3 5 4" xfId="14263" xr:uid="{00000000-0005-0000-0000-00000F360000}"/>
    <cellStyle name="Percent 9 7 3 5 4 2" xfId="14264" xr:uid="{00000000-0005-0000-0000-000010360000}"/>
    <cellStyle name="Percent 9 7 3 5 5" xfId="14265" xr:uid="{00000000-0005-0000-0000-000011360000}"/>
    <cellStyle name="Percent 9 7 3 6" xfId="14266" xr:uid="{00000000-0005-0000-0000-000012360000}"/>
    <cellStyle name="Percent 9 7 3 6 2" xfId="14267" xr:uid="{00000000-0005-0000-0000-000013360000}"/>
    <cellStyle name="Percent 9 7 3 6 2 2" xfId="14268" xr:uid="{00000000-0005-0000-0000-000014360000}"/>
    <cellStyle name="Percent 9 7 3 6 3" xfId="14269" xr:uid="{00000000-0005-0000-0000-000015360000}"/>
    <cellStyle name="Percent 9 7 3 6 3 2" xfId="14270" xr:uid="{00000000-0005-0000-0000-000016360000}"/>
    <cellStyle name="Percent 9 7 3 6 4" xfId="14271" xr:uid="{00000000-0005-0000-0000-000017360000}"/>
    <cellStyle name="Percent 9 7 3 7" xfId="14272" xr:uid="{00000000-0005-0000-0000-000018360000}"/>
    <cellStyle name="Percent 9 7 3 7 2" xfId="14273" xr:uid="{00000000-0005-0000-0000-000019360000}"/>
    <cellStyle name="Percent 9 7 3 8" xfId="14274" xr:uid="{00000000-0005-0000-0000-00001A360000}"/>
    <cellStyle name="Percent 9 7 3 8 2" xfId="14275" xr:uid="{00000000-0005-0000-0000-00001B360000}"/>
    <cellStyle name="Percent 9 7 3 9" xfId="14276" xr:uid="{00000000-0005-0000-0000-00001C360000}"/>
    <cellStyle name="Percent 9 7 3 9 2" xfId="14277" xr:uid="{00000000-0005-0000-0000-00001D360000}"/>
    <cellStyle name="Percent 9 7 4" xfId="4794" xr:uid="{00000000-0005-0000-0000-00001E360000}"/>
    <cellStyle name="Percent 9 7 4 10" xfId="14279" xr:uid="{00000000-0005-0000-0000-00001F360000}"/>
    <cellStyle name="Percent 9 7 4 11" xfId="14278" xr:uid="{00000000-0005-0000-0000-000020360000}"/>
    <cellStyle name="Percent 9 7 4 2" xfId="14280" xr:uid="{00000000-0005-0000-0000-000021360000}"/>
    <cellStyle name="Percent 9 7 4 2 2" xfId="14281" xr:uid="{00000000-0005-0000-0000-000022360000}"/>
    <cellStyle name="Percent 9 7 4 2 2 2" xfId="14282" xr:uid="{00000000-0005-0000-0000-000023360000}"/>
    <cellStyle name="Percent 9 7 4 2 3" xfId="14283" xr:uid="{00000000-0005-0000-0000-000024360000}"/>
    <cellStyle name="Percent 9 7 4 2 3 2" xfId="14284" xr:uid="{00000000-0005-0000-0000-000025360000}"/>
    <cellStyle name="Percent 9 7 4 2 4" xfId="14285" xr:uid="{00000000-0005-0000-0000-000026360000}"/>
    <cellStyle name="Percent 9 7 4 3" xfId="14286" xr:uid="{00000000-0005-0000-0000-000027360000}"/>
    <cellStyle name="Percent 9 7 4 3 2" xfId="14287" xr:uid="{00000000-0005-0000-0000-000028360000}"/>
    <cellStyle name="Percent 9 7 4 3 2 2" xfId="14288" xr:uid="{00000000-0005-0000-0000-000029360000}"/>
    <cellStyle name="Percent 9 7 4 3 3" xfId="14289" xr:uid="{00000000-0005-0000-0000-00002A360000}"/>
    <cellStyle name="Percent 9 7 4 3 3 2" xfId="14290" xr:uid="{00000000-0005-0000-0000-00002B360000}"/>
    <cellStyle name="Percent 9 7 4 3 4" xfId="14291" xr:uid="{00000000-0005-0000-0000-00002C360000}"/>
    <cellStyle name="Percent 9 7 4 4" xfId="14292" xr:uid="{00000000-0005-0000-0000-00002D360000}"/>
    <cellStyle name="Percent 9 7 4 4 2" xfId="14293" xr:uid="{00000000-0005-0000-0000-00002E360000}"/>
    <cellStyle name="Percent 9 7 4 4 2 2" xfId="14294" xr:uid="{00000000-0005-0000-0000-00002F360000}"/>
    <cellStyle name="Percent 9 7 4 4 3" xfId="14295" xr:uid="{00000000-0005-0000-0000-000030360000}"/>
    <cellStyle name="Percent 9 7 4 4 3 2" xfId="14296" xr:uid="{00000000-0005-0000-0000-000031360000}"/>
    <cellStyle name="Percent 9 7 4 4 4" xfId="14297" xr:uid="{00000000-0005-0000-0000-000032360000}"/>
    <cellStyle name="Percent 9 7 4 4 4 2" xfId="14298" xr:uid="{00000000-0005-0000-0000-000033360000}"/>
    <cellStyle name="Percent 9 7 4 4 5" xfId="14299" xr:uid="{00000000-0005-0000-0000-000034360000}"/>
    <cellStyle name="Percent 9 7 4 5" xfId="14300" xr:uid="{00000000-0005-0000-0000-000035360000}"/>
    <cellStyle name="Percent 9 7 4 5 2" xfId="14301" xr:uid="{00000000-0005-0000-0000-000036360000}"/>
    <cellStyle name="Percent 9 7 4 5 2 2" xfId="14302" xr:uid="{00000000-0005-0000-0000-000037360000}"/>
    <cellStyle name="Percent 9 7 4 5 3" xfId="14303" xr:uid="{00000000-0005-0000-0000-000038360000}"/>
    <cellStyle name="Percent 9 7 4 5 3 2" xfId="14304" xr:uid="{00000000-0005-0000-0000-000039360000}"/>
    <cellStyle name="Percent 9 7 4 5 4" xfId="14305" xr:uid="{00000000-0005-0000-0000-00003A360000}"/>
    <cellStyle name="Percent 9 7 4 6" xfId="14306" xr:uid="{00000000-0005-0000-0000-00003B360000}"/>
    <cellStyle name="Percent 9 7 4 6 2" xfId="14307" xr:uid="{00000000-0005-0000-0000-00003C360000}"/>
    <cellStyle name="Percent 9 7 4 7" xfId="14308" xr:uid="{00000000-0005-0000-0000-00003D360000}"/>
    <cellStyle name="Percent 9 7 4 7 2" xfId="14309" xr:uid="{00000000-0005-0000-0000-00003E360000}"/>
    <cellStyle name="Percent 9 7 4 8" xfId="14310" xr:uid="{00000000-0005-0000-0000-00003F360000}"/>
    <cellStyle name="Percent 9 7 4 8 2" xfId="14311" xr:uid="{00000000-0005-0000-0000-000040360000}"/>
    <cellStyle name="Percent 9 7 4 9" xfId="14312" xr:uid="{00000000-0005-0000-0000-000041360000}"/>
    <cellStyle name="Percent 9 7 5" xfId="14313" xr:uid="{00000000-0005-0000-0000-000042360000}"/>
    <cellStyle name="Percent 9 7 5 2" xfId="14314" xr:uid="{00000000-0005-0000-0000-000043360000}"/>
    <cellStyle name="Percent 9 7 5 2 2" xfId="14315" xr:uid="{00000000-0005-0000-0000-000044360000}"/>
    <cellStyle name="Percent 9 7 5 3" xfId="14316" xr:uid="{00000000-0005-0000-0000-000045360000}"/>
    <cellStyle name="Percent 9 7 5 3 2" xfId="14317" xr:uid="{00000000-0005-0000-0000-000046360000}"/>
    <cellStyle name="Percent 9 7 5 4" xfId="14318" xr:uid="{00000000-0005-0000-0000-000047360000}"/>
    <cellStyle name="Percent 9 7 5 5" xfId="14319" xr:uid="{00000000-0005-0000-0000-000048360000}"/>
    <cellStyle name="Percent 9 7 6" xfId="14320" xr:uid="{00000000-0005-0000-0000-000049360000}"/>
    <cellStyle name="Percent 9 7 6 2" xfId="14321" xr:uid="{00000000-0005-0000-0000-00004A360000}"/>
    <cellStyle name="Percent 9 7 6 2 2" xfId="14322" xr:uid="{00000000-0005-0000-0000-00004B360000}"/>
    <cellStyle name="Percent 9 7 6 3" xfId="14323" xr:uid="{00000000-0005-0000-0000-00004C360000}"/>
    <cellStyle name="Percent 9 7 6 3 2" xfId="14324" xr:uid="{00000000-0005-0000-0000-00004D360000}"/>
    <cellStyle name="Percent 9 7 6 4" xfId="14325" xr:uid="{00000000-0005-0000-0000-00004E360000}"/>
    <cellStyle name="Percent 9 7 7" xfId="14326" xr:uid="{00000000-0005-0000-0000-00004F360000}"/>
    <cellStyle name="Percent 9 7 7 2" xfId="14327" xr:uid="{00000000-0005-0000-0000-000050360000}"/>
    <cellStyle name="Percent 9 7 7 2 2" xfId="14328" xr:uid="{00000000-0005-0000-0000-000051360000}"/>
    <cellStyle name="Percent 9 7 7 3" xfId="14329" xr:uid="{00000000-0005-0000-0000-000052360000}"/>
    <cellStyle name="Percent 9 7 7 3 2" xfId="14330" xr:uid="{00000000-0005-0000-0000-000053360000}"/>
    <cellStyle name="Percent 9 7 7 4" xfId="14331" xr:uid="{00000000-0005-0000-0000-000054360000}"/>
    <cellStyle name="Percent 9 7 8" xfId="14332" xr:uid="{00000000-0005-0000-0000-000055360000}"/>
    <cellStyle name="Percent 9 7 8 2" xfId="14333" xr:uid="{00000000-0005-0000-0000-000056360000}"/>
    <cellStyle name="Percent 9 7 8 2 2" xfId="14334" xr:uid="{00000000-0005-0000-0000-000057360000}"/>
    <cellStyle name="Percent 9 7 8 3" xfId="14335" xr:uid="{00000000-0005-0000-0000-000058360000}"/>
    <cellStyle name="Percent 9 7 8 3 2" xfId="14336" xr:uid="{00000000-0005-0000-0000-000059360000}"/>
    <cellStyle name="Percent 9 7 8 4" xfId="14337" xr:uid="{00000000-0005-0000-0000-00005A360000}"/>
    <cellStyle name="Percent 9 7 8 4 2" xfId="14338" xr:uid="{00000000-0005-0000-0000-00005B360000}"/>
    <cellStyle name="Percent 9 7 8 5" xfId="14339" xr:uid="{00000000-0005-0000-0000-00005C360000}"/>
    <cellStyle name="Percent 9 7 9" xfId="14340" xr:uid="{00000000-0005-0000-0000-00005D360000}"/>
    <cellStyle name="Percent 9 7 9 2" xfId="14341" xr:uid="{00000000-0005-0000-0000-00005E360000}"/>
    <cellStyle name="Percent 9 7 9 2 2" xfId="14342" xr:uid="{00000000-0005-0000-0000-00005F360000}"/>
    <cellStyle name="Percent 9 7 9 3" xfId="14343" xr:uid="{00000000-0005-0000-0000-000060360000}"/>
    <cellStyle name="Percent 9 7 9 3 2" xfId="14344" xr:uid="{00000000-0005-0000-0000-000061360000}"/>
    <cellStyle name="Percent 9 7 9 4" xfId="14345" xr:uid="{00000000-0005-0000-0000-000062360000}"/>
    <cellStyle name="Percent 9 8" xfId="3027" xr:uid="{00000000-0005-0000-0000-000063360000}"/>
    <cellStyle name="Percent 9 8 10" xfId="14347" xr:uid="{00000000-0005-0000-0000-000064360000}"/>
    <cellStyle name="Percent 9 8 10 2" xfId="14348" xr:uid="{00000000-0005-0000-0000-000065360000}"/>
    <cellStyle name="Percent 9 8 11" xfId="14349" xr:uid="{00000000-0005-0000-0000-000066360000}"/>
    <cellStyle name="Percent 9 8 12" xfId="14350" xr:uid="{00000000-0005-0000-0000-000067360000}"/>
    <cellStyle name="Percent 9 8 13" xfId="14346" xr:uid="{00000000-0005-0000-0000-000068360000}"/>
    <cellStyle name="Percent 9 8 2" xfId="4795" xr:uid="{00000000-0005-0000-0000-000069360000}"/>
    <cellStyle name="Percent 9 8 2 10" xfId="14352" xr:uid="{00000000-0005-0000-0000-00006A360000}"/>
    <cellStyle name="Percent 9 8 2 11" xfId="14351" xr:uid="{00000000-0005-0000-0000-00006B360000}"/>
    <cellStyle name="Percent 9 8 2 2" xfId="14353" xr:uid="{00000000-0005-0000-0000-00006C360000}"/>
    <cellStyle name="Percent 9 8 2 2 2" xfId="14354" xr:uid="{00000000-0005-0000-0000-00006D360000}"/>
    <cellStyle name="Percent 9 8 2 2 2 2" xfId="14355" xr:uid="{00000000-0005-0000-0000-00006E360000}"/>
    <cellStyle name="Percent 9 8 2 2 3" xfId="14356" xr:uid="{00000000-0005-0000-0000-00006F360000}"/>
    <cellStyle name="Percent 9 8 2 2 3 2" xfId="14357" xr:uid="{00000000-0005-0000-0000-000070360000}"/>
    <cellStyle name="Percent 9 8 2 2 4" xfId="14358" xr:uid="{00000000-0005-0000-0000-000071360000}"/>
    <cellStyle name="Percent 9 8 2 3" xfId="14359" xr:uid="{00000000-0005-0000-0000-000072360000}"/>
    <cellStyle name="Percent 9 8 2 3 2" xfId="14360" xr:uid="{00000000-0005-0000-0000-000073360000}"/>
    <cellStyle name="Percent 9 8 2 3 2 2" xfId="14361" xr:uid="{00000000-0005-0000-0000-000074360000}"/>
    <cellStyle name="Percent 9 8 2 3 3" xfId="14362" xr:uid="{00000000-0005-0000-0000-000075360000}"/>
    <cellStyle name="Percent 9 8 2 3 3 2" xfId="14363" xr:uid="{00000000-0005-0000-0000-000076360000}"/>
    <cellStyle name="Percent 9 8 2 3 4" xfId="14364" xr:uid="{00000000-0005-0000-0000-000077360000}"/>
    <cellStyle name="Percent 9 8 2 4" xfId="14365" xr:uid="{00000000-0005-0000-0000-000078360000}"/>
    <cellStyle name="Percent 9 8 2 4 2" xfId="14366" xr:uid="{00000000-0005-0000-0000-000079360000}"/>
    <cellStyle name="Percent 9 8 2 4 2 2" xfId="14367" xr:uid="{00000000-0005-0000-0000-00007A360000}"/>
    <cellStyle name="Percent 9 8 2 4 3" xfId="14368" xr:uid="{00000000-0005-0000-0000-00007B360000}"/>
    <cellStyle name="Percent 9 8 2 4 3 2" xfId="14369" xr:uid="{00000000-0005-0000-0000-00007C360000}"/>
    <cellStyle name="Percent 9 8 2 4 4" xfId="14370" xr:uid="{00000000-0005-0000-0000-00007D360000}"/>
    <cellStyle name="Percent 9 8 2 4 4 2" xfId="14371" xr:uid="{00000000-0005-0000-0000-00007E360000}"/>
    <cellStyle name="Percent 9 8 2 4 5" xfId="14372" xr:uid="{00000000-0005-0000-0000-00007F360000}"/>
    <cellStyle name="Percent 9 8 2 5" xfId="14373" xr:uid="{00000000-0005-0000-0000-000080360000}"/>
    <cellStyle name="Percent 9 8 2 5 2" xfId="14374" xr:uid="{00000000-0005-0000-0000-000081360000}"/>
    <cellStyle name="Percent 9 8 2 5 2 2" xfId="14375" xr:uid="{00000000-0005-0000-0000-000082360000}"/>
    <cellStyle name="Percent 9 8 2 5 3" xfId="14376" xr:uid="{00000000-0005-0000-0000-000083360000}"/>
    <cellStyle name="Percent 9 8 2 5 3 2" xfId="14377" xr:uid="{00000000-0005-0000-0000-000084360000}"/>
    <cellStyle name="Percent 9 8 2 5 4" xfId="14378" xr:uid="{00000000-0005-0000-0000-000085360000}"/>
    <cellStyle name="Percent 9 8 2 6" xfId="14379" xr:uid="{00000000-0005-0000-0000-000086360000}"/>
    <cellStyle name="Percent 9 8 2 6 2" xfId="14380" xr:uid="{00000000-0005-0000-0000-000087360000}"/>
    <cellStyle name="Percent 9 8 2 7" xfId="14381" xr:uid="{00000000-0005-0000-0000-000088360000}"/>
    <cellStyle name="Percent 9 8 2 7 2" xfId="14382" xr:uid="{00000000-0005-0000-0000-000089360000}"/>
    <cellStyle name="Percent 9 8 2 8" xfId="14383" xr:uid="{00000000-0005-0000-0000-00008A360000}"/>
    <cellStyle name="Percent 9 8 2 8 2" xfId="14384" xr:uid="{00000000-0005-0000-0000-00008B360000}"/>
    <cellStyle name="Percent 9 8 2 9" xfId="14385" xr:uid="{00000000-0005-0000-0000-00008C360000}"/>
    <cellStyle name="Percent 9 8 3" xfId="14386" xr:uid="{00000000-0005-0000-0000-00008D360000}"/>
    <cellStyle name="Percent 9 8 3 2" xfId="14387" xr:uid="{00000000-0005-0000-0000-00008E360000}"/>
    <cellStyle name="Percent 9 8 3 2 2" xfId="14388" xr:uid="{00000000-0005-0000-0000-00008F360000}"/>
    <cellStyle name="Percent 9 8 3 3" xfId="14389" xr:uid="{00000000-0005-0000-0000-000090360000}"/>
    <cellStyle name="Percent 9 8 3 3 2" xfId="14390" xr:uid="{00000000-0005-0000-0000-000091360000}"/>
    <cellStyle name="Percent 9 8 3 4" xfId="14391" xr:uid="{00000000-0005-0000-0000-000092360000}"/>
    <cellStyle name="Percent 9 8 3 5" xfId="14392" xr:uid="{00000000-0005-0000-0000-000093360000}"/>
    <cellStyle name="Percent 9 8 4" xfId="14393" xr:uid="{00000000-0005-0000-0000-000094360000}"/>
    <cellStyle name="Percent 9 8 4 2" xfId="14394" xr:uid="{00000000-0005-0000-0000-000095360000}"/>
    <cellStyle name="Percent 9 8 4 2 2" xfId="14395" xr:uid="{00000000-0005-0000-0000-000096360000}"/>
    <cellStyle name="Percent 9 8 4 3" xfId="14396" xr:uid="{00000000-0005-0000-0000-000097360000}"/>
    <cellStyle name="Percent 9 8 4 3 2" xfId="14397" xr:uid="{00000000-0005-0000-0000-000098360000}"/>
    <cellStyle name="Percent 9 8 4 4" xfId="14398" xr:uid="{00000000-0005-0000-0000-000099360000}"/>
    <cellStyle name="Percent 9 8 5" xfId="14399" xr:uid="{00000000-0005-0000-0000-00009A360000}"/>
    <cellStyle name="Percent 9 8 5 2" xfId="14400" xr:uid="{00000000-0005-0000-0000-00009B360000}"/>
    <cellStyle name="Percent 9 8 5 2 2" xfId="14401" xr:uid="{00000000-0005-0000-0000-00009C360000}"/>
    <cellStyle name="Percent 9 8 5 3" xfId="14402" xr:uid="{00000000-0005-0000-0000-00009D360000}"/>
    <cellStyle name="Percent 9 8 5 3 2" xfId="14403" xr:uid="{00000000-0005-0000-0000-00009E360000}"/>
    <cellStyle name="Percent 9 8 5 4" xfId="14404" xr:uid="{00000000-0005-0000-0000-00009F360000}"/>
    <cellStyle name="Percent 9 8 6" xfId="14405" xr:uid="{00000000-0005-0000-0000-0000A0360000}"/>
    <cellStyle name="Percent 9 8 6 2" xfId="14406" xr:uid="{00000000-0005-0000-0000-0000A1360000}"/>
    <cellStyle name="Percent 9 8 6 2 2" xfId="14407" xr:uid="{00000000-0005-0000-0000-0000A2360000}"/>
    <cellStyle name="Percent 9 8 6 3" xfId="14408" xr:uid="{00000000-0005-0000-0000-0000A3360000}"/>
    <cellStyle name="Percent 9 8 6 3 2" xfId="14409" xr:uid="{00000000-0005-0000-0000-0000A4360000}"/>
    <cellStyle name="Percent 9 8 6 4" xfId="14410" xr:uid="{00000000-0005-0000-0000-0000A5360000}"/>
    <cellStyle name="Percent 9 8 6 4 2" xfId="14411" xr:uid="{00000000-0005-0000-0000-0000A6360000}"/>
    <cellStyle name="Percent 9 8 6 5" xfId="14412" xr:uid="{00000000-0005-0000-0000-0000A7360000}"/>
    <cellStyle name="Percent 9 8 7" xfId="14413" xr:uid="{00000000-0005-0000-0000-0000A8360000}"/>
    <cellStyle name="Percent 9 8 7 2" xfId="14414" xr:uid="{00000000-0005-0000-0000-0000A9360000}"/>
    <cellStyle name="Percent 9 8 7 2 2" xfId="14415" xr:uid="{00000000-0005-0000-0000-0000AA360000}"/>
    <cellStyle name="Percent 9 8 7 3" xfId="14416" xr:uid="{00000000-0005-0000-0000-0000AB360000}"/>
    <cellStyle name="Percent 9 8 7 3 2" xfId="14417" xr:uid="{00000000-0005-0000-0000-0000AC360000}"/>
    <cellStyle name="Percent 9 8 7 4" xfId="14418" xr:uid="{00000000-0005-0000-0000-0000AD360000}"/>
    <cellStyle name="Percent 9 8 8" xfId="14419" xr:uid="{00000000-0005-0000-0000-0000AE360000}"/>
    <cellStyle name="Percent 9 8 8 2" xfId="14420" xr:uid="{00000000-0005-0000-0000-0000AF360000}"/>
    <cellStyle name="Percent 9 8 9" xfId="14421" xr:uid="{00000000-0005-0000-0000-0000B0360000}"/>
    <cellStyle name="Percent 9 8 9 2" xfId="14422" xr:uid="{00000000-0005-0000-0000-0000B1360000}"/>
    <cellStyle name="Percent 9 9" xfId="3028" xr:uid="{00000000-0005-0000-0000-0000B2360000}"/>
    <cellStyle name="Percent 9 9 10" xfId="14424" xr:uid="{00000000-0005-0000-0000-0000B3360000}"/>
    <cellStyle name="Percent 9 9 11" xfId="14425" xr:uid="{00000000-0005-0000-0000-0000B4360000}"/>
    <cellStyle name="Percent 9 9 12" xfId="14423" xr:uid="{00000000-0005-0000-0000-0000B5360000}"/>
    <cellStyle name="Percent 9 9 2" xfId="14426" xr:uid="{00000000-0005-0000-0000-0000B6360000}"/>
    <cellStyle name="Percent 9 9 2 2" xfId="14427" xr:uid="{00000000-0005-0000-0000-0000B7360000}"/>
    <cellStyle name="Percent 9 9 2 2 2" xfId="14428" xr:uid="{00000000-0005-0000-0000-0000B8360000}"/>
    <cellStyle name="Percent 9 9 2 3" xfId="14429" xr:uid="{00000000-0005-0000-0000-0000B9360000}"/>
    <cellStyle name="Percent 9 9 2 3 2" xfId="14430" xr:uid="{00000000-0005-0000-0000-0000BA360000}"/>
    <cellStyle name="Percent 9 9 2 4" xfId="14431" xr:uid="{00000000-0005-0000-0000-0000BB360000}"/>
    <cellStyle name="Percent 9 9 2 5" xfId="14432" xr:uid="{00000000-0005-0000-0000-0000BC360000}"/>
    <cellStyle name="Percent 9 9 3" xfId="14433" xr:uid="{00000000-0005-0000-0000-0000BD360000}"/>
    <cellStyle name="Percent 9 9 3 2" xfId="14434" xr:uid="{00000000-0005-0000-0000-0000BE360000}"/>
    <cellStyle name="Percent 9 9 3 2 2" xfId="14435" xr:uid="{00000000-0005-0000-0000-0000BF360000}"/>
    <cellStyle name="Percent 9 9 3 3" xfId="14436" xr:uid="{00000000-0005-0000-0000-0000C0360000}"/>
    <cellStyle name="Percent 9 9 3 3 2" xfId="14437" xr:uid="{00000000-0005-0000-0000-0000C1360000}"/>
    <cellStyle name="Percent 9 9 3 4" xfId="14438" xr:uid="{00000000-0005-0000-0000-0000C2360000}"/>
    <cellStyle name="Percent 9 9 4" xfId="14439" xr:uid="{00000000-0005-0000-0000-0000C3360000}"/>
    <cellStyle name="Percent 9 9 4 2" xfId="14440" xr:uid="{00000000-0005-0000-0000-0000C4360000}"/>
    <cellStyle name="Percent 9 9 4 2 2" xfId="14441" xr:uid="{00000000-0005-0000-0000-0000C5360000}"/>
    <cellStyle name="Percent 9 9 4 3" xfId="14442" xr:uid="{00000000-0005-0000-0000-0000C6360000}"/>
    <cellStyle name="Percent 9 9 4 3 2" xfId="14443" xr:uid="{00000000-0005-0000-0000-0000C7360000}"/>
    <cellStyle name="Percent 9 9 4 4" xfId="14444" xr:uid="{00000000-0005-0000-0000-0000C8360000}"/>
    <cellStyle name="Percent 9 9 5" xfId="14445" xr:uid="{00000000-0005-0000-0000-0000C9360000}"/>
    <cellStyle name="Percent 9 9 5 2" xfId="14446" xr:uid="{00000000-0005-0000-0000-0000CA360000}"/>
    <cellStyle name="Percent 9 9 5 2 2" xfId="14447" xr:uid="{00000000-0005-0000-0000-0000CB360000}"/>
    <cellStyle name="Percent 9 9 5 3" xfId="14448" xr:uid="{00000000-0005-0000-0000-0000CC360000}"/>
    <cellStyle name="Percent 9 9 5 3 2" xfId="14449" xr:uid="{00000000-0005-0000-0000-0000CD360000}"/>
    <cellStyle name="Percent 9 9 5 4" xfId="14450" xr:uid="{00000000-0005-0000-0000-0000CE360000}"/>
    <cellStyle name="Percent 9 9 5 4 2" xfId="14451" xr:uid="{00000000-0005-0000-0000-0000CF360000}"/>
    <cellStyle name="Percent 9 9 5 5" xfId="14452" xr:uid="{00000000-0005-0000-0000-0000D0360000}"/>
    <cellStyle name="Percent 9 9 6" xfId="14453" xr:uid="{00000000-0005-0000-0000-0000D1360000}"/>
    <cellStyle name="Percent 9 9 6 2" xfId="14454" xr:uid="{00000000-0005-0000-0000-0000D2360000}"/>
    <cellStyle name="Percent 9 9 6 2 2" xfId="14455" xr:uid="{00000000-0005-0000-0000-0000D3360000}"/>
    <cellStyle name="Percent 9 9 6 3" xfId="14456" xr:uid="{00000000-0005-0000-0000-0000D4360000}"/>
    <cellStyle name="Percent 9 9 6 3 2" xfId="14457" xr:uid="{00000000-0005-0000-0000-0000D5360000}"/>
    <cellStyle name="Percent 9 9 6 4" xfId="14458" xr:uid="{00000000-0005-0000-0000-0000D6360000}"/>
    <cellStyle name="Percent 9 9 7" xfId="14459" xr:uid="{00000000-0005-0000-0000-0000D7360000}"/>
    <cellStyle name="Percent 9 9 7 2" xfId="14460" xr:uid="{00000000-0005-0000-0000-0000D8360000}"/>
    <cellStyle name="Percent 9 9 8" xfId="14461" xr:uid="{00000000-0005-0000-0000-0000D9360000}"/>
    <cellStyle name="Percent 9 9 8 2" xfId="14462" xr:uid="{00000000-0005-0000-0000-0000DA360000}"/>
    <cellStyle name="Percent 9 9 9" xfId="14463" xr:uid="{00000000-0005-0000-0000-0000DB360000}"/>
    <cellStyle name="Percent 9 9 9 2" xfId="14464" xr:uid="{00000000-0005-0000-0000-0000DC360000}"/>
    <cellStyle name="Percentagem 2 2" xfId="3029" xr:uid="{00000000-0005-0000-0000-0000DD360000}"/>
    <cellStyle name="Percentagem 2 2 10" xfId="14466" xr:uid="{00000000-0005-0000-0000-0000DE360000}"/>
    <cellStyle name="Percentagem 2 2 11" xfId="14467" xr:uid="{00000000-0005-0000-0000-0000DF360000}"/>
    <cellStyle name="Percentagem 2 2 12" xfId="14465" xr:uid="{00000000-0005-0000-0000-0000E0360000}"/>
    <cellStyle name="Percentagem 2 2 2" xfId="14468" xr:uid="{00000000-0005-0000-0000-0000E1360000}"/>
    <cellStyle name="Percentagem 2 2 2 2" xfId="14469" xr:uid="{00000000-0005-0000-0000-0000E2360000}"/>
    <cellStyle name="Percentagem 2 2 2 2 2" xfId="14470" xr:uid="{00000000-0005-0000-0000-0000E3360000}"/>
    <cellStyle name="Percentagem 2 2 2 3" xfId="14471" xr:uid="{00000000-0005-0000-0000-0000E4360000}"/>
    <cellStyle name="Percentagem 2 2 2 3 2" xfId="14472" xr:uid="{00000000-0005-0000-0000-0000E5360000}"/>
    <cellStyle name="Percentagem 2 2 2 4" xfId="14473" xr:uid="{00000000-0005-0000-0000-0000E6360000}"/>
    <cellStyle name="Percentagem 2 2 2 5" xfId="14474" xr:uid="{00000000-0005-0000-0000-0000E7360000}"/>
    <cellStyle name="Percentagem 2 2 3" xfId="14475" xr:uid="{00000000-0005-0000-0000-0000E8360000}"/>
    <cellStyle name="Percentagem 2 2 3 2" xfId="14476" xr:uid="{00000000-0005-0000-0000-0000E9360000}"/>
    <cellStyle name="Percentagem 2 2 3 2 2" xfId="14477" xr:uid="{00000000-0005-0000-0000-0000EA360000}"/>
    <cellStyle name="Percentagem 2 2 3 3" xfId="14478" xr:uid="{00000000-0005-0000-0000-0000EB360000}"/>
    <cellStyle name="Percentagem 2 2 3 3 2" xfId="14479" xr:uid="{00000000-0005-0000-0000-0000EC360000}"/>
    <cellStyle name="Percentagem 2 2 3 4" xfId="14480" xr:uid="{00000000-0005-0000-0000-0000ED360000}"/>
    <cellStyle name="Percentagem 2 2 4" xfId="14481" xr:uid="{00000000-0005-0000-0000-0000EE360000}"/>
    <cellStyle name="Percentagem 2 2 4 2" xfId="14482" xr:uid="{00000000-0005-0000-0000-0000EF360000}"/>
    <cellStyle name="Percentagem 2 2 4 2 2" xfId="14483" xr:uid="{00000000-0005-0000-0000-0000F0360000}"/>
    <cellStyle name="Percentagem 2 2 4 3" xfId="14484" xr:uid="{00000000-0005-0000-0000-0000F1360000}"/>
    <cellStyle name="Percentagem 2 2 4 3 2" xfId="14485" xr:uid="{00000000-0005-0000-0000-0000F2360000}"/>
    <cellStyle name="Percentagem 2 2 4 4" xfId="14486" xr:uid="{00000000-0005-0000-0000-0000F3360000}"/>
    <cellStyle name="Percentagem 2 2 5" xfId="14487" xr:uid="{00000000-0005-0000-0000-0000F4360000}"/>
    <cellStyle name="Percentagem 2 2 5 2" xfId="14488" xr:uid="{00000000-0005-0000-0000-0000F5360000}"/>
    <cellStyle name="Percentagem 2 2 5 2 2" xfId="14489" xr:uid="{00000000-0005-0000-0000-0000F6360000}"/>
    <cellStyle name="Percentagem 2 2 5 3" xfId="14490" xr:uid="{00000000-0005-0000-0000-0000F7360000}"/>
    <cellStyle name="Percentagem 2 2 5 3 2" xfId="14491" xr:uid="{00000000-0005-0000-0000-0000F8360000}"/>
    <cellStyle name="Percentagem 2 2 5 4" xfId="14492" xr:uid="{00000000-0005-0000-0000-0000F9360000}"/>
    <cellStyle name="Percentagem 2 2 5 4 2" xfId="14493" xr:uid="{00000000-0005-0000-0000-0000FA360000}"/>
    <cellStyle name="Percentagem 2 2 5 5" xfId="14494" xr:uid="{00000000-0005-0000-0000-0000FB360000}"/>
    <cellStyle name="Percentagem 2 2 6" xfId="14495" xr:uid="{00000000-0005-0000-0000-0000FC360000}"/>
    <cellStyle name="Percentagem 2 2 6 2" xfId="14496" xr:uid="{00000000-0005-0000-0000-0000FD360000}"/>
    <cellStyle name="Percentagem 2 2 6 2 2" xfId="14497" xr:uid="{00000000-0005-0000-0000-0000FE360000}"/>
    <cellStyle name="Percentagem 2 2 6 3" xfId="14498" xr:uid="{00000000-0005-0000-0000-0000FF360000}"/>
    <cellStyle name="Percentagem 2 2 6 3 2" xfId="14499" xr:uid="{00000000-0005-0000-0000-000000370000}"/>
    <cellStyle name="Percentagem 2 2 6 4" xfId="14500" xr:uid="{00000000-0005-0000-0000-000001370000}"/>
    <cellStyle name="Percentagem 2 2 7" xfId="14501" xr:uid="{00000000-0005-0000-0000-000002370000}"/>
    <cellStyle name="Percentagem 2 2 7 2" xfId="14502" xr:uid="{00000000-0005-0000-0000-000003370000}"/>
    <cellStyle name="Percentagem 2 2 8" xfId="14503" xr:uid="{00000000-0005-0000-0000-000004370000}"/>
    <cellStyle name="Percentagem 2 2 8 2" xfId="14504" xr:uid="{00000000-0005-0000-0000-000005370000}"/>
    <cellStyle name="Percentagem 2 2 9" xfId="14505" xr:uid="{00000000-0005-0000-0000-000006370000}"/>
    <cellStyle name="Percentagem 2 2 9 2" xfId="14506" xr:uid="{00000000-0005-0000-0000-000007370000}"/>
    <cellStyle name="Percentagem 2 3" xfId="3030" xr:uid="{00000000-0005-0000-0000-000008370000}"/>
    <cellStyle name="Percentagem 2 3 10" xfId="14508" xr:uid="{00000000-0005-0000-0000-000009370000}"/>
    <cellStyle name="Percentagem 2 3 11" xfId="14509" xr:uid="{00000000-0005-0000-0000-00000A370000}"/>
    <cellStyle name="Percentagem 2 3 12" xfId="14507" xr:uid="{00000000-0005-0000-0000-00000B370000}"/>
    <cellStyle name="Percentagem 2 3 2" xfId="14510" xr:uid="{00000000-0005-0000-0000-00000C370000}"/>
    <cellStyle name="Percentagem 2 3 2 2" xfId="14511" xr:uid="{00000000-0005-0000-0000-00000D370000}"/>
    <cellStyle name="Percentagem 2 3 2 2 2" xfId="14512" xr:uid="{00000000-0005-0000-0000-00000E370000}"/>
    <cellStyle name="Percentagem 2 3 2 3" xfId="14513" xr:uid="{00000000-0005-0000-0000-00000F370000}"/>
    <cellStyle name="Percentagem 2 3 2 3 2" xfId="14514" xr:uid="{00000000-0005-0000-0000-000010370000}"/>
    <cellStyle name="Percentagem 2 3 2 4" xfId="14515" xr:uid="{00000000-0005-0000-0000-000011370000}"/>
    <cellStyle name="Percentagem 2 3 2 5" xfId="14516" xr:uid="{00000000-0005-0000-0000-000012370000}"/>
    <cellStyle name="Percentagem 2 3 3" xfId="14517" xr:uid="{00000000-0005-0000-0000-000013370000}"/>
    <cellStyle name="Percentagem 2 3 3 2" xfId="14518" xr:uid="{00000000-0005-0000-0000-000014370000}"/>
    <cellStyle name="Percentagem 2 3 3 2 2" xfId="14519" xr:uid="{00000000-0005-0000-0000-000015370000}"/>
    <cellStyle name="Percentagem 2 3 3 3" xfId="14520" xr:uid="{00000000-0005-0000-0000-000016370000}"/>
    <cellStyle name="Percentagem 2 3 3 3 2" xfId="14521" xr:uid="{00000000-0005-0000-0000-000017370000}"/>
    <cellStyle name="Percentagem 2 3 3 4" xfId="14522" xr:uid="{00000000-0005-0000-0000-000018370000}"/>
    <cellStyle name="Percentagem 2 3 4" xfId="14523" xr:uid="{00000000-0005-0000-0000-000019370000}"/>
    <cellStyle name="Percentagem 2 3 4 2" xfId="14524" xr:uid="{00000000-0005-0000-0000-00001A370000}"/>
    <cellStyle name="Percentagem 2 3 4 2 2" xfId="14525" xr:uid="{00000000-0005-0000-0000-00001B370000}"/>
    <cellStyle name="Percentagem 2 3 4 3" xfId="14526" xr:uid="{00000000-0005-0000-0000-00001C370000}"/>
    <cellStyle name="Percentagem 2 3 4 3 2" xfId="14527" xr:uid="{00000000-0005-0000-0000-00001D370000}"/>
    <cellStyle name="Percentagem 2 3 4 4" xfId="14528" xr:uid="{00000000-0005-0000-0000-00001E370000}"/>
    <cellStyle name="Percentagem 2 3 5" xfId="14529" xr:uid="{00000000-0005-0000-0000-00001F370000}"/>
    <cellStyle name="Percentagem 2 3 5 2" xfId="14530" xr:uid="{00000000-0005-0000-0000-000020370000}"/>
    <cellStyle name="Percentagem 2 3 5 2 2" xfId="14531" xr:uid="{00000000-0005-0000-0000-000021370000}"/>
    <cellStyle name="Percentagem 2 3 5 3" xfId="14532" xr:uid="{00000000-0005-0000-0000-000022370000}"/>
    <cellStyle name="Percentagem 2 3 5 3 2" xfId="14533" xr:uid="{00000000-0005-0000-0000-000023370000}"/>
    <cellStyle name="Percentagem 2 3 5 4" xfId="14534" xr:uid="{00000000-0005-0000-0000-000024370000}"/>
    <cellStyle name="Percentagem 2 3 5 4 2" xfId="14535" xr:uid="{00000000-0005-0000-0000-000025370000}"/>
    <cellStyle name="Percentagem 2 3 5 5" xfId="14536" xr:uid="{00000000-0005-0000-0000-000026370000}"/>
    <cellStyle name="Percentagem 2 3 6" xfId="14537" xr:uid="{00000000-0005-0000-0000-000027370000}"/>
    <cellStyle name="Percentagem 2 3 6 2" xfId="14538" xr:uid="{00000000-0005-0000-0000-000028370000}"/>
    <cellStyle name="Percentagem 2 3 6 2 2" xfId="14539" xr:uid="{00000000-0005-0000-0000-000029370000}"/>
    <cellStyle name="Percentagem 2 3 6 3" xfId="14540" xr:uid="{00000000-0005-0000-0000-00002A370000}"/>
    <cellStyle name="Percentagem 2 3 6 3 2" xfId="14541" xr:uid="{00000000-0005-0000-0000-00002B370000}"/>
    <cellStyle name="Percentagem 2 3 6 4" xfId="14542" xr:uid="{00000000-0005-0000-0000-00002C370000}"/>
    <cellStyle name="Percentagem 2 3 7" xfId="14543" xr:uid="{00000000-0005-0000-0000-00002D370000}"/>
    <cellStyle name="Percentagem 2 3 7 2" xfId="14544" xr:uid="{00000000-0005-0000-0000-00002E370000}"/>
    <cellStyle name="Percentagem 2 3 8" xfId="14545" xr:uid="{00000000-0005-0000-0000-00002F370000}"/>
    <cellStyle name="Percentagem 2 3 8 2" xfId="14546" xr:uid="{00000000-0005-0000-0000-000030370000}"/>
    <cellStyle name="Percentagem 2 3 9" xfId="14547" xr:uid="{00000000-0005-0000-0000-000031370000}"/>
    <cellStyle name="Percentagem 2 3 9 2" xfId="14548" xr:uid="{00000000-0005-0000-0000-000032370000}"/>
    <cellStyle name="Pilkku_Layo9704" xfId="295" xr:uid="{00000000-0005-0000-0000-000033370000}"/>
    <cellStyle name="Pyör. luku_Layo9704" xfId="296" xr:uid="{00000000-0005-0000-0000-000034370000}"/>
    <cellStyle name="Pyör. valuutta_Layo9704" xfId="297" xr:uid="{00000000-0005-0000-0000-000035370000}"/>
    <cellStyle name="Schlecht" xfId="3031" xr:uid="{00000000-0005-0000-0000-000036370000}"/>
    <cellStyle name="Schlecht 10" xfId="14550" xr:uid="{00000000-0005-0000-0000-000037370000}"/>
    <cellStyle name="Schlecht 11" xfId="14551" xr:uid="{00000000-0005-0000-0000-000038370000}"/>
    <cellStyle name="Schlecht 12" xfId="14549" xr:uid="{00000000-0005-0000-0000-000039370000}"/>
    <cellStyle name="Schlecht 2" xfId="14552" xr:uid="{00000000-0005-0000-0000-00003A370000}"/>
    <cellStyle name="Schlecht 2 2" xfId="14553" xr:uid="{00000000-0005-0000-0000-00003B370000}"/>
    <cellStyle name="Schlecht 2 2 2" xfId="14554" xr:uid="{00000000-0005-0000-0000-00003C370000}"/>
    <cellStyle name="Schlecht 2 3" xfId="14555" xr:uid="{00000000-0005-0000-0000-00003D370000}"/>
    <cellStyle name="Schlecht 2 3 2" xfId="14556" xr:uid="{00000000-0005-0000-0000-00003E370000}"/>
    <cellStyle name="Schlecht 2 4" xfId="14557" xr:uid="{00000000-0005-0000-0000-00003F370000}"/>
    <cellStyle name="Schlecht 2 5" xfId="14558" xr:uid="{00000000-0005-0000-0000-000040370000}"/>
    <cellStyle name="Schlecht 3" xfId="14559" xr:uid="{00000000-0005-0000-0000-000041370000}"/>
    <cellStyle name="Schlecht 3 2" xfId="14560" xr:uid="{00000000-0005-0000-0000-000042370000}"/>
    <cellStyle name="Schlecht 3 2 2" xfId="14561" xr:uid="{00000000-0005-0000-0000-000043370000}"/>
    <cellStyle name="Schlecht 3 3" xfId="14562" xr:uid="{00000000-0005-0000-0000-000044370000}"/>
    <cellStyle name="Schlecht 3 3 2" xfId="14563" xr:uid="{00000000-0005-0000-0000-000045370000}"/>
    <cellStyle name="Schlecht 3 4" xfId="14564" xr:uid="{00000000-0005-0000-0000-000046370000}"/>
    <cellStyle name="Schlecht 4" xfId="14565" xr:uid="{00000000-0005-0000-0000-000047370000}"/>
    <cellStyle name="Schlecht 4 2" xfId="14566" xr:uid="{00000000-0005-0000-0000-000048370000}"/>
    <cellStyle name="Schlecht 4 2 2" xfId="14567" xr:uid="{00000000-0005-0000-0000-000049370000}"/>
    <cellStyle name="Schlecht 4 3" xfId="14568" xr:uid="{00000000-0005-0000-0000-00004A370000}"/>
    <cellStyle name="Schlecht 4 3 2" xfId="14569" xr:uid="{00000000-0005-0000-0000-00004B370000}"/>
    <cellStyle name="Schlecht 4 4" xfId="14570" xr:uid="{00000000-0005-0000-0000-00004C370000}"/>
    <cellStyle name="Schlecht 5" xfId="14571" xr:uid="{00000000-0005-0000-0000-00004D370000}"/>
    <cellStyle name="Schlecht 5 2" xfId="14572" xr:uid="{00000000-0005-0000-0000-00004E370000}"/>
    <cellStyle name="Schlecht 5 2 2" xfId="14573" xr:uid="{00000000-0005-0000-0000-00004F370000}"/>
    <cellStyle name="Schlecht 5 3" xfId="14574" xr:uid="{00000000-0005-0000-0000-000050370000}"/>
    <cellStyle name="Schlecht 5 3 2" xfId="14575" xr:uid="{00000000-0005-0000-0000-000051370000}"/>
    <cellStyle name="Schlecht 5 4" xfId="14576" xr:uid="{00000000-0005-0000-0000-000052370000}"/>
    <cellStyle name="Schlecht 5 4 2" xfId="14577" xr:uid="{00000000-0005-0000-0000-000053370000}"/>
    <cellStyle name="Schlecht 5 5" xfId="14578" xr:uid="{00000000-0005-0000-0000-000054370000}"/>
    <cellStyle name="Schlecht 6" xfId="14579" xr:uid="{00000000-0005-0000-0000-000055370000}"/>
    <cellStyle name="Schlecht 6 2" xfId="14580" xr:uid="{00000000-0005-0000-0000-000056370000}"/>
    <cellStyle name="Schlecht 6 2 2" xfId="14581" xr:uid="{00000000-0005-0000-0000-000057370000}"/>
    <cellStyle name="Schlecht 6 3" xfId="14582" xr:uid="{00000000-0005-0000-0000-000058370000}"/>
    <cellStyle name="Schlecht 6 3 2" xfId="14583" xr:uid="{00000000-0005-0000-0000-000059370000}"/>
    <cellStyle name="Schlecht 6 4" xfId="14584" xr:uid="{00000000-0005-0000-0000-00005A370000}"/>
    <cellStyle name="Schlecht 7" xfId="14585" xr:uid="{00000000-0005-0000-0000-00005B370000}"/>
    <cellStyle name="Schlecht 7 2" xfId="14586" xr:uid="{00000000-0005-0000-0000-00005C370000}"/>
    <cellStyle name="Schlecht 8" xfId="14587" xr:uid="{00000000-0005-0000-0000-00005D370000}"/>
    <cellStyle name="Schlecht 8 2" xfId="14588" xr:uid="{00000000-0005-0000-0000-00005E370000}"/>
    <cellStyle name="Schlecht 9" xfId="14589" xr:uid="{00000000-0005-0000-0000-00005F370000}"/>
    <cellStyle name="Schlecht 9 2" xfId="14590" xr:uid="{00000000-0005-0000-0000-000060370000}"/>
    <cellStyle name="Shade" xfId="3032" xr:uid="{00000000-0005-0000-0000-000061370000}"/>
    <cellStyle name="Shade 10" xfId="14592" xr:uid="{00000000-0005-0000-0000-000062370000}"/>
    <cellStyle name="Shade 11" xfId="14593" xr:uid="{00000000-0005-0000-0000-000063370000}"/>
    <cellStyle name="Shade 12" xfId="14591" xr:uid="{00000000-0005-0000-0000-000064370000}"/>
    <cellStyle name="Shade 2" xfId="14594" xr:uid="{00000000-0005-0000-0000-000065370000}"/>
    <cellStyle name="Shade 2 2" xfId="14595" xr:uid="{00000000-0005-0000-0000-000066370000}"/>
    <cellStyle name="Shade 2 2 2" xfId="14596" xr:uid="{00000000-0005-0000-0000-000067370000}"/>
    <cellStyle name="Shade 2 3" xfId="14597" xr:uid="{00000000-0005-0000-0000-000068370000}"/>
    <cellStyle name="Shade 2 3 2" xfId="14598" xr:uid="{00000000-0005-0000-0000-000069370000}"/>
    <cellStyle name="Shade 2 4" xfId="14599" xr:uid="{00000000-0005-0000-0000-00006A370000}"/>
    <cellStyle name="Shade 2 5" xfId="14600" xr:uid="{00000000-0005-0000-0000-00006B370000}"/>
    <cellStyle name="Shade 3" xfId="14601" xr:uid="{00000000-0005-0000-0000-00006C370000}"/>
    <cellStyle name="Shade 3 2" xfId="14602" xr:uid="{00000000-0005-0000-0000-00006D370000}"/>
    <cellStyle name="Shade 3 2 2" xfId="14603" xr:uid="{00000000-0005-0000-0000-00006E370000}"/>
    <cellStyle name="Shade 3 3" xfId="14604" xr:uid="{00000000-0005-0000-0000-00006F370000}"/>
    <cellStyle name="Shade 3 3 2" xfId="14605" xr:uid="{00000000-0005-0000-0000-000070370000}"/>
    <cellStyle name="Shade 3 4" xfId="14606" xr:uid="{00000000-0005-0000-0000-000071370000}"/>
    <cellStyle name="Shade 4" xfId="14607" xr:uid="{00000000-0005-0000-0000-000072370000}"/>
    <cellStyle name="Shade 4 2" xfId="14608" xr:uid="{00000000-0005-0000-0000-000073370000}"/>
    <cellStyle name="Shade 4 2 2" xfId="14609" xr:uid="{00000000-0005-0000-0000-000074370000}"/>
    <cellStyle name="Shade 4 3" xfId="14610" xr:uid="{00000000-0005-0000-0000-000075370000}"/>
    <cellStyle name="Shade 4 3 2" xfId="14611" xr:uid="{00000000-0005-0000-0000-000076370000}"/>
    <cellStyle name="Shade 4 4" xfId="14612" xr:uid="{00000000-0005-0000-0000-000077370000}"/>
    <cellStyle name="Shade 5" xfId="14613" xr:uid="{00000000-0005-0000-0000-000078370000}"/>
    <cellStyle name="Shade 5 2" xfId="14614" xr:uid="{00000000-0005-0000-0000-000079370000}"/>
    <cellStyle name="Shade 5 2 2" xfId="14615" xr:uid="{00000000-0005-0000-0000-00007A370000}"/>
    <cellStyle name="Shade 5 3" xfId="14616" xr:uid="{00000000-0005-0000-0000-00007B370000}"/>
    <cellStyle name="Shade 5 3 2" xfId="14617" xr:uid="{00000000-0005-0000-0000-00007C370000}"/>
    <cellStyle name="Shade 5 4" xfId="14618" xr:uid="{00000000-0005-0000-0000-00007D370000}"/>
    <cellStyle name="Shade 5 4 2" xfId="14619" xr:uid="{00000000-0005-0000-0000-00007E370000}"/>
    <cellStyle name="Shade 5 5" xfId="14620" xr:uid="{00000000-0005-0000-0000-00007F370000}"/>
    <cellStyle name="Shade 6" xfId="14621" xr:uid="{00000000-0005-0000-0000-000080370000}"/>
    <cellStyle name="Shade 6 2" xfId="14622" xr:uid="{00000000-0005-0000-0000-000081370000}"/>
    <cellStyle name="Shade 6 2 2" xfId="14623" xr:uid="{00000000-0005-0000-0000-000082370000}"/>
    <cellStyle name="Shade 6 3" xfId="14624" xr:uid="{00000000-0005-0000-0000-000083370000}"/>
    <cellStyle name="Shade 6 3 2" xfId="14625" xr:uid="{00000000-0005-0000-0000-000084370000}"/>
    <cellStyle name="Shade 6 4" xfId="14626" xr:uid="{00000000-0005-0000-0000-000085370000}"/>
    <cellStyle name="Shade 7" xfId="14627" xr:uid="{00000000-0005-0000-0000-000086370000}"/>
    <cellStyle name="Shade 7 2" xfId="14628" xr:uid="{00000000-0005-0000-0000-000087370000}"/>
    <cellStyle name="Shade 8" xfId="14629" xr:uid="{00000000-0005-0000-0000-000088370000}"/>
    <cellStyle name="Shade 8 2" xfId="14630" xr:uid="{00000000-0005-0000-0000-000089370000}"/>
    <cellStyle name="Shade 9" xfId="14631" xr:uid="{00000000-0005-0000-0000-00008A370000}"/>
    <cellStyle name="Shade 9 2" xfId="14632" xr:uid="{00000000-0005-0000-0000-00008B370000}"/>
    <cellStyle name="source" xfId="323" xr:uid="{00000000-0005-0000-0000-00008C370000}"/>
    <cellStyle name="source 10" xfId="14634" xr:uid="{00000000-0005-0000-0000-00008D370000}"/>
    <cellStyle name="source 11" xfId="14635" xr:uid="{00000000-0005-0000-0000-00008E370000}"/>
    <cellStyle name="source 12" xfId="14633" xr:uid="{00000000-0005-0000-0000-00008F370000}"/>
    <cellStyle name="source 2" xfId="3033" xr:uid="{00000000-0005-0000-0000-000090370000}"/>
    <cellStyle name="source 2 2" xfId="14637" xr:uid="{00000000-0005-0000-0000-000091370000}"/>
    <cellStyle name="source 2 2 2" xfId="14638" xr:uid="{00000000-0005-0000-0000-000092370000}"/>
    <cellStyle name="source 2 3" xfId="14639" xr:uid="{00000000-0005-0000-0000-000093370000}"/>
    <cellStyle name="source 2 3 2" xfId="14640" xr:uid="{00000000-0005-0000-0000-000094370000}"/>
    <cellStyle name="source 2 4" xfId="14641" xr:uid="{00000000-0005-0000-0000-000095370000}"/>
    <cellStyle name="source 2 5" xfId="14642" xr:uid="{00000000-0005-0000-0000-000096370000}"/>
    <cellStyle name="source 2 6" xfId="14636" xr:uid="{00000000-0005-0000-0000-000097370000}"/>
    <cellStyle name="source 3" xfId="14643" xr:uid="{00000000-0005-0000-0000-000098370000}"/>
    <cellStyle name="source 3 2" xfId="14644" xr:uid="{00000000-0005-0000-0000-000099370000}"/>
    <cellStyle name="source 3 2 2" xfId="14645" xr:uid="{00000000-0005-0000-0000-00009A370000}"/>
    <cellStyle name="source 3 3" xfId="14646" xr:uid="{00000000-0005-0000-0000-00009B370000}"/>
    <cellStyle name="source 3 3 2" xfId="14647" xr:uid="{00000000-0005-0000-0000-00009C370000}"/>
    <cellStyle name="source 3 4" xfId="14648" xr:uid="{00000000-0005-0000-0000-00009D370000}"/>
    <cellStyle name="source 4" xfId="14649" xr:uid="{00000000-0005-0000-0000-00009E370000}"/>
    <cellStyle name="source 4 2" xfId="14650" xr:uid="{00000000-0005-0000-0000-00009F370000}"/>
    <cellStyle name="source 4 2 2" xfId="14651" xr:uid="{00000000-0005-0000-0000-0000A0370000}"/>
    <cellStyle name="source 4 3" xfId="14652" xr:uid="{00000000-0005-0000-0000-0000A1370000}"/>
    <cellStyle name="source 4 3 2" xfId="14653" xr:uid="{00000000-0005-0000-0000-0000A2370000}"/>
    <cellStyle name="source 4 4" xfId="14654" xr:uid="{00000000-0005-0000-0000-0000A3370000}"/>
    <cellStyle name="source 5" xfId="14655" xr:uid="{00000000-0005-0000-0000-0000A4370000}"/>
    <cellStyle name="source 5 2" xfId="14656" xr:uid="{00000000-0005-0000-0000-0000A5370000}"/>
    <cellStyle name="source 5 2 2" xfId="14657" xr:uid="{00000000-0005-0000-0000-0000A6370000}"/>
    <cellStyle name="source 5 3" xfId="14658" xr:uid="{00000000-0005-0000-0000-0000A7370000}"/>
    <cellStyle name="source 5 3 2" xfId="14659" xr:uid="{00000000-0005-0000-0000-0000A8370000}"/>
    <cellStyle name="source 5 4" xfId="14660" xr:uid="{00000000-0005-0000-0000-0000A9370000}"/>
    <cellStyle name="source 5 4 2" xfId="14661" xr:uid="{00000000-0005-0000-0000-0000AA370000}"/>
    <cellStyle name="source 5 5" xfId="14662" xr:uid="{00000000-0005-0000-0000-0000AB370000}"/>
    <cellStyle name="source 6" xfId="14663" xr:uid="{00000000-0005-0000-0000-0000AC370000}"/>
    <cellStyle name="source 6 2" xfId="14664" xr:uid="{00000000-0005-0000-0000-0000AD370000}"/>
    <cellStyle name="source 6 2 2" xfId="14665" xr:uid="{00000000-0005-0000-0000-0000AE370000}"/>
    <cellStyle name="source 6 3" xfId="14666" xr:uid="{00000000-0005-0000-0000-0000AF370000}"/>
    <cellStyle name="source 6 3 2" xfId="14667" xr:uid="{00000000-0005-0000-0000-0000B0370000}"/>
    <cellStyle name="source 6 4" xfId="14668" xr:uid="{00000000-0005-0000-0000-0000B1370000}"/>
    <cellStyle name="source 7" xfId="14669" xr:uid="{00000000-0005-0000-0000-0000B2370000}"/>
    <cellStyle name="source 7 2" xfId="14670" xr:uid="{00000000-0005-0000-0000-0000B3370000}"/>
    <cellStyle name="source 8" xfId="14671" xr:uid="{00000000-0005-0000-0000-0000B4370000}"/>
    <cellStyle name="source 8 2" xfId="14672" xr:uid="{00000000-0005-0000-0000-0000B5370000}"/>
    <cellStyle name="source 9" xfId="14673" xr:uid="{00000000-0005-0000-0000-0000B6370000}"/>
    <cellStyle name="source 9 2" xfId="14674" xr:uid="{00000000-0005-0000-0000-0000B7370000}"/>
    <cellStyle name="Standaard_Blad1" xfId="3034" xr:uid="{00000000-0005-0000-0000-0000B8370000}"/>
    <cellStyle name="Standard 2" xfId="3035" xr:uid="{00000000-0005-0000-0000-0000B9370000}"/>
    <cellStyle name="Standard 2 10" xfId="14676" xr:uid="{00000000-0005-0000-0000-0000BA370000}"/>
    <cellStyle name="Standard 2 11" xfId="14675" xr:uid="{00000000-0005-0000-0000-0000BB370000}"/>
    <cellStyle name="Standard 2 2" xfId="14677" xr:uid="{00000000-0005-0000-0000-0000BC370000}"/>
    <cellStyle name="Standard 2 2 2" xfId="14678" xr:uid="{00000000-0005-0000-0000-0000BD370000}"/>
    <cellStyle name="Standard 2 2 2 2" xfId="14679" xr:uid="{00000000-0005-0000-0000-0000BE370000}"/>
    <cellStyle name="Standard 2 2 3" xfId="14680" xr:uid="{00000000-0005-0000-0000-0000BF370000}"/>
    <cellStyle name="Standard 2 2 3 2" xfId="14681" xr:uid="{00000000-0005-0000-0000-0000C0370000}"/>
    <cellStyle name="Standard 2 2 4" xfId="14682" xr:uid="{00000000-0005-0000-0000-0000C1370000}"/>
    <cellStyle name="Standard 2 2 5" xfId="14683" xr:uid="{00000000-0005-0000-0000-0000C2370000}"/>
    <cellStyle name="Standard 2 3" xfId="14684" xr:uid="{00000000-0005-0000-0000-0000C3370000}"/>
    <cellStyle name="Standard 2 3 2" xfId="14685" xr:uid="{00000000-0005-0000-0000-0000C4370000}"/>
    <cellStyle name="Standard 2 3 2 2" xfId="14686" xr:uid="{00000000-0005-0000-0000-0000C5370000}"/>
    <cellStyle name="Standard 2 3 3" xfId="14687" xr:uid="{00000000-0005-0000-0000-0000C6370000}"/>
    <cellStyle name="Standard 2 3 3 2" xfId="14688" xr:uid="{00000000-0005-0000-0000-0000C7370000}"/>
    <cellStyle name="Standard 2 3 4" xfId="14689" xr:uid="{00000000-0005-0000-0000-0000C8370000}"/>
    <cellStyle name="Standard 2 4" xfId="14690" xr:uid="{00000000-0005-0000-0000-0000C9370000}"/>
    <cellStyle name="Standard 2 4 2" xfId="14691" xr:uid="{00000000-0005-0000-0000-0000CA370000}"/>
    <cellStyle name="Standard 2 4 2 2" xfId="14692" xr:uid="{00000000-0005-0000-0000-0000CB370000}"/>
    <cellStyle name="Standard 2 4 3" xfId="14693" xr:uid="{00000000-0005-0000-0000-0000CC370000}"/>
    <cellStyle name="Standard 2 4 3 2" xfId="14694" xr:uid="{00000000-0005-0000-0000-0000CD370000}"/>
    <cellStyle name="Standard 2 4 4" xfId="14695" xr:uid="{00000000-0005-0000-0000-0000CE370000}"/>
    <cellStyle name="Standard 2 4 4 2" xfId="14696" xr:uid="{00000000-0005-0000-0000-0000CF370000}"/>
    <cellStyle name="Standard 2 4 5" xfId="14697" xr:uid="{00000000-0005-0000-0000-0000D0370000}"/>
    <cellStyle name="Standard 2 5" xfId="14698" xr:uid="{00000000-0005-0000-0000-0000D1370000}"/>
    <cellStyle name="Standard 2 5 2" xfId="14699" xr:uid="{00000000-0005-0000-0000-0000D2370000}"/>
    <cellStyle name="Standard 2 5 2 2" xfId="14700" xr:uid="{00000000-0005-0000-0000-0000D3370000}"/>
    <cellStyle name="Standard 2 5 3" xfId="14701" xr:uid="{00000000-0005-0000-0000-0000D4370000}"/>
    <cellStyle name="Standard 2 5 3 2" xfId="14702" xr:uid="{00000000-0005-0000-0000-0000D5370000}"/>
    <cellStyle name="Standard 2 5 4" xfId="14703" xr:uid="{00000000-0005-0000-0000-0000D6370000}"/>
    <cellStyle name="Standard 2 6" xfId="14704" xr:uid="{00000000-0005-0000-0000-0000D7370000}"/>
    <cellStyle name="Standard 2 6 2" xfId="14705" xr:uid="{00000000-0005-0000-0000-0000D8370000}"/>
    <cellStyle name="Standard 2 7" xfId="14706" xr:uid="{00000000-0005-0000-0000-0000D9370000}"/>
    <cellStyle name="Standard 2 7 2" xfId="14707" xr:uid="{00000000-0005-0000-0000-0000DA370000}"/>
    <cellStyle name="Standard 2 8" xfId="14708" xr:uid="{00000000-0005-0000-0000-0000DB370000}"/>
    <cellStyle name="Standard 2 8 2" xfId="14709" xr:uid="{00000000-0005-0000-0000-0000DC370000}"/>
    <cellStyle name="Standard 2 9" xfId="14710" xr:uid="{00000000-0005-0000-0000-0000DD370000}"/>
    <cellStyle name="Standard 3" xfId="3036" xr:uid="{00000000-0005-0000-0000-0000DE370000}"/>
    <cellStyle name="Standard 3 10" xfId="14712" xr:uid="{00000000-0005-0000-0000-0000DF370000}"/>
    <cellStyle name="Standard 3 11" xfId="14711" xr:uid="{00000000-0005-0000-0000-0000E0370000}"/>
    <cellStyle name="Standard 3 2" xfId="14713" xr:uid="{00000000-0005-0000-0000-0000E1370000}"/>
    <cellStyle name="Standard 3 2 2" xfId="14714" xr:uid="{00000000-0005-0000-0000-0000E2370000}"/>
    <cellStyle name="Standard 3 2 2 2" xfId="14715" xr:uid="{00000000-0005-0000-0000-0000E3370000}"/>
    <cellStyle name="Standard 3 2 3" xfId="14716" xr:uid="{00000000-0005-0000-0000-0000E4370000}"/>
    <cellStyle name="Standard 3 2 3 2" xfId="14717" xr:uid="{00000000-0005-0000-0000-0000E5370000}"/>
    <cellStyle name="Standard 3 2 4" xfId="14718" xr:uid="{00000000-0005-0000-0000-0000E6370000}"/>
    <cellStyle name="Standard 3 2 5" xfId="14719" xr:uid="{00000000-0005-0000-0000-0000E7370000}"/>
    <cellStyle name="Standard 3 3" xfId="14720" xr:uid="{00000000-0005-0000-0000-0000E8370000}"/>
    <cellStyle name="Standard 3 3 2" xfId="14721" xr:uid="{00000000-0005-0000-0000-0000E9370000}"/>
    <cellStyle name="Standard 3 3 2 2" xfId="14722" xr:uid="{00000000-0005-0000-0000-0000EA370000}"/>
    <cellStyle name="Standard 3 3 3" xfId="14723" xr:uid="{00000000-0005-0000-0000-0000EB370000}"/>
    <cellStyle name="Standard 3 3 3 2" xfId="14724" xr:uid="{00000000-0005-0000-0000-0000EC370000}"/>
    <cellStyle name="Standard 3 3 4" xfId="14725" xr:uid="{00000000-0005-0000-0000-0000ED370000}"/>
    <cellStyle name="Standard 3 4" xfId="14726" xr:uid="{00000000-0005-0000-0000-0000EE370000}"/>
    <cellStyle name="Standard 3 4 2" xfId="14727" xr:uid="{00000000-0005-0000-0000-0000EF370000}"/>
    <cellStyle name="Standard 3 4 2 2" xfId="14728" xr:uid="{00000000-0005-0000-0000-0000F0370000}"/>
    <cellStyle name="Standard 3 4 3" xfId="14729" xr:uid="{00000000-0005-0000-0000-0000F1370000}"/>
    <cellStyle name="Standard 3 4 3 2" xfId="14730" xr:uid="{00000000-0005-0000-0000-0000F2370000}"/>
    <cellStyle name="Standard 3 4 4" xfId="14731" xr:uid="{00000000-0005-0000-0000-0000F3370000}"/>
    <cellStyle name="Standard 3 4 4 2" xfId="14732" xr:uid="{00000000-0005-0000-0000-0000F4370000}"/>
    <cellStyle name="Standard 3 4 5" xfId="14733" xr:uid="{00000000-0005-0000-0000-0000F5370000}"/>
    <cellStyle name="Standard 3 5" xfId="14734" xr:uid="{00000000-0005-0000-0000-0000F6370000}"/>
    <cellStyle name="Standard 3 5 2" xfId="14735" xr:uid="{00000000-0005-0000-0000-0000F7370000}"/>
    <cellStyle name="Standard 3 5 2 2" xfId="14736" xr:uid="{00000000-0005-0000-0000-0000F8370000}"/>
    <cellStyle name="Standard 3 5 3" xfId="14737" xr:uid="{00000000-0005-0000-0000-0000F9370000}"/>
    <cellStyle name="Standard 3 5 3 2" xfId="14738" xr:uid="{00000000-0005-0000-0000-0000FA370000}"/>
    <cellStyle name="Standard 3 5 4" xfId="14739" xr:uid="{00000000-0005-0000-0000-0000FB370000}"/>
    <cellStyle name="Standard 3 6" xfId="14740" xr:uid="{00000000-0005-0000-0000-0000FC370000}"/>
    <cellStyle name="Standard 3 6 2" xfId="14741" xr:uid="{00000000-0005-0000-0000-0000FD370000}"/>
    <cellStyle name="Standard 3 7" xfId="14742" xr:uid="{00000000-0005-0000-0000-0000FE370000}"/>
    <cellStyle name="Standard 3 7 2" xfId="14743" xr:uid="{00000000-0005-0000-0000-0000FF370000}"/>
    <cellStyle name="Standard 3 8" xfId="14744" xr:uid="{00000000-0005-0000-0000-000000380000}"/>
    <cellStyle name="Standard 3 8 2" xfId="14745" xr:uid="{00000000-0005-0000-0000-000001380000}"/>
    <cellStyle name="Standard 3 9" xfId="14746" xr:uid="{00000000-0005-0000-0000-000002380000}"/>
    <cellStyle name="Standard_Sce_D_Extraction" xfId="3037" xr:uid="{00000000-0005-0000-0000-000003380000}"/>
    <cellStyle name="Style 1" xfId="3038" xr:uid="{00000000-0005-0000-0000-000004380000}"/>
    <cellStyle name="Style 1 10" xfId="14748" xr:uid="{00000000-0005-0000-0000-000005380000}"/>
    <cellStyle name="Style 1 11" xfId="14749" xr:uid="{00000000-0005-0000-0000-000006380000}"/>
    <cellStyle name="Style 1 12" xfId="14747" xr:uid="{00000000-0005-0000-0000-000007380000}"/>
    <cellStyle name="Style 1 2" xfId="14750" xr:uid="{00000000-0005-0000-0000-000008380000}"/>
    <cellStyle name="Style 1 2 2" xfId="14751" xr:uid="{00000000-0005-0000-0000-000009380000}"/>
    <cellStyle name="Style 1 2 2 2" xfId="14752" xr:uid="{00000000-0005-0000-0000-00000A380000}"/>
    <cellStyle name="Style 1 2 3" xfId="14753" xr:uid="{00000000-0005-0000-0000-00000B380000}"/>
    <cellStyle name="Style 1 2 3 2" xfId="14754" xr:uid="{00000000-0005-0000-0000-00000C380000}"/>
    <cellStyle name="Style 1 2 4" xfId="14755" xr:uid="{00000000-0005-0000-0000-00000D380000}"/>
    <cellStyle name="Style 1 2 5" xfId="14756" xr:uid="{00000000-0005-0000-0000-00000E380000}"/>
    <cellStyle name="Style 1 3" xfId="14757" xr:uid="{00000000-0005-0000-0000-00000F380000}"/>
    <cellStyle name="Style 1 3 2" xfId="14758" xr:uid="{00000000-0005-0000-0000-000010380000}"/>
    <cellStyle name="Style 1 3 2 2" xfId="14759" xr:uid="{00000000-0005-0000-0000-000011380000}"/>
    <cellStyle name="Style 1 3 3" xfId="14760" xr:uid="{00000000-0005-0000-0000-000012380000}"/>
    <cellStyle name="Style 1 3 3 2" xfId="14761" xr:uid="{00000000-0005-0000-0000-000013380000}"/>
    <cellStyle name="Style 1 3 4" xfId="14762" xr:uid="{00000000-0005-0000-0000-000014380000}"/>
    <cellStyle name="Style 1 4" xfId="14763" xr:uid="{00000000-0005-0000-0000-000015380000}"/>
    <cellStyle name="Style 1 4 2" xfId="14764" xr:uid="{00000000-0005-0000-0000-000016380000}"/>
    <cellStyle name="Style 1 4 2 2" xfId="14765" xr:uid="{00000000-0005-0000-0000-000017380000}"/>
    <cellStyle name="Style 1 4 3" xfId="14766" xr:uid="{00000000-0005-0000-0000-000018380000}"/>
    <cellStyle name="Style 1 4 3 2" xfId="14767" xr:uid="{00000000-0005-0000-0000-000019380000}"/>
    <cellStyle name="Style 1 4 4" xfId="14768" xr:uid="{00000000-0005-0000-0000-00001A380000}"/>
    <cellStyle name="Style 1 5" xfId="14769" xr:uid="{00000000-0005-0000-0000-00001B380000}"/>
    <cellStyle name="Style 1 5 2" xfId="14770" xr:uid="{00000000-0005-0000-0000-00001C380000}"/>
    <cellStyle name="Style 1 5 2 2" xfId="14771" xr:uid="{00000000-0005-0000-0000-00001D380000}"/>
    <cellStyle name="Style 1 5 3" xfId="14772" xr:uid="{00000000-0005-0000-0000-00001E380000}"/>
    <cellStyle name="Style 1 5 3 2" xfId="14773" xr:uid="{00000000-0005-0000-0000-00001F380000}"/>
    <cellStyle name="Style 1 5 4" xfId="14774" xr:uid="{00000000-0005-0000-0000-000020380000}"/>
    <cellStyle name="Style 1 5 4 2" xfId="14775" xr:uid="{00000000-0005-0000-0000-000021380000}"/>
    <cellStyle name="Style 1 5 5" xfId="14776" xr:uid="{00000000-0005-0000-0000-000022380000}"/>
    <cellStyle name="Style 1 6" xfId="14777" xr:uid="{00000000-0005-0000-0000-000023380000}"/>
    <cellStyle name="Style 1 6 2" xfId="14778" xr:uid="{00000000-0005-0000-0000-000024380000}"/>
    <cellStyle name="Style 1 6 2 2" xfId="14779" xr:uid="{00000000-0005-0000-0000-000025380000}"/>
    <cellStyle name="Style 1 6 3" xfId="14780" xr:uid="{00000000-0005-0000-0000-000026380000}"/>
    <cellStyle name="Style 1 6 3 2" xfId="14781" xr:uid="{00000000-0005-0000-0000-000027380000}"/>
    <cellStyle name="Style 1 6 4" xfId="14782" xr:uid="{00000000-0005-0000-0000-000028380000}"/>
    <cellStyle name="Style 1 7" xfId="14783" xr:uid="{00000000-0005-0000-0000-000029380000}"/>
    <cellStyle name="Style 1 7 2" xfId="14784" xr:uid="{00000000-0005-0000-0000-00002A380000}"/>
    <cellStyle name="Style 1 8" xfId="14785" xr:uid="{00000000-0005-0000-0000-00002B380000}"/>
    <cellStyle name="Style 1 8 2" xfId="14786" xr:uid="{00000000-0005-0000-0000-00002C380000}"/>
    <cellStyle name="Style 1 9" xfId="14787" xr:uid="{00000000-0005-0000-0000-00002D380000}"/>
    <cellStyle name="Style 1 9 2" xfId="14788" xr:uid="{00000000-0005-0000-0000-00002E380000}"/>
    <cellStyle name="Style 103" xfId="3039" xr:uid="{00000000-0005-0000-0000-00002F380000}"/>
    <cellStyle name="Style 103 2" xfId="3040" xr:uid="{00000000-0005-0000-0000-000030380000}"/>
    <cellStyle name="Style 103 3" xfId="3041" xr:uid="{00000000-0005-0000-0000-000031380000}"/>
    <cellStyle name="Style 104" xfId="3042" xr:uid="{00000000-0005-0000-0000-000032380000}"/>
    <cellStyle name="Style 104 2" xfId="3043" xr:uid="{00000000-0005-0000-0000-000033380000}"/>
    <cellStyle name="Style 104 3" xfId="3044" xr:uid="{00000000-0005-0000-0000-000034380000}"/>
    <cellStyle name="Style 105" xfId="3045" xr:uid="{00000000-0005-0000-0000-000035380000}"/>
    <cellStyle name="Style 105 2" xfId="3046" xr:uid="{00000000-0005-0000-0000-000036380000}"/>
    <cellStyle name="Style 106" xfId="3047" xr:uid="{00000000-0005-0000-0000-000037380000}"/>
    <cellStyle name="Style 106 2" xfId="3048" xr:uid="{00000000-0005-0000-0000-000038380000}"/>
    <cellStyle name="Style 107" xfId="3049" xr:uid="{00000000-0005-0000-0000-000039380000}"/>
    <cellStyle name="Style 107 2" xfId="3050" xr:uid="{00000000-0005-0000-0000-00003A380000}"/>
    <cellStyle name="Style 108" xfId="3051" xr:uid="{00000000-0005-0000-0000-00003B380000}"/>
    <cellStyle name="Style 108 2" xfId="3052" xr:uid="{00000000-0005-0000-0000-00003C380000}"/>
    <cellStyle name="Style 108 3" xfId="3053" xr:uid="{00000000-0005-0000-0000-00003D380000}"/>
    <cellStyle name="Style 109" xfId="3054" xr:uid="{00000000-0005-0000-0000-00003E380000}"/>
    <cellStyle name="Style 109 2" xfId="3055" xr:uid="{00000000-0005-0000-0000-00003F380000}"/>
    <cellStyle name="Style 110" xfId="3056" xr:uid="{00000000-0005-0000-0000-000040380000}"/>
    <cellStyle name="Style 110 2" xfId="3057" xr:uid="{00000000-0005-0000-0000-000041380000}"/>
    <cellStyle name="Style 114" xfId="3058" xr:uid="{00000000-0005-0000-0000-000042380000}"/>
    <cellStyle name="Style 114 2" xfId="3059" xr:uid="{00000000-0005-0000-0000-000043380000}"/>
    <cellStyle name="Style 114 3" xfId="3060" xr:uid="{00000000-0005-0000-0000-000044380000}"/>
    <cellStyle name="Style 115" xfId="3061" xr:uid="{00000000-0005-0000-0000-000045380000}"/>
    <cellStyle name="Style 115 2" xfId="3062" xr:uid="{00000000-0005-0000-0000-000046380000}"/>
    <cellStyle name="Style 115 3" xfId="3063" xr:uid="{00000000-0005-0000-0000-000047380000}"/>
    <cellStyle name="Style 116" xfId="3064" xr:uid="{00000000-0005-0000-0000-000048380000}"/>
    <cellStyle name="Style 116 2" xfId="3065" xr:uid="{00000000-0005-0000-0000-000049380000}"/>
    <cellStyle name="Style 117" xfId="3066" xr:uid="{00000000-0005-0000-0000-00004A380000}"/>
    <cellStyle name="Style 117 2" xfId="3067" xr:uid="{00000000-0005-0000-0000-00004B380000}"/>
    <cellStyle name="Style 118" xfId="3068" xr:uid="{00000000-0005-0000-0000-00004C380000}"/>
    <cellStyle name="Style 118 2" xfId="3069" xr:uid="{00000000-0005-0000-0000-00004D380000}"/>
    <cellStyle name="Style 119" xfId="3070" xr:uid="{00000000-0005-0000-0000-00004E380000}"/>
    <cellStyle name="Style 119 2" xfId="3071" xr:uid="{00000000-0005-0000-0000-00004F380000}"/>
    <cellStyle name="Style 119 3" xfId="3072" xr:uid="{00000000-0005-0000-0000-000050380000}"/>
    <cellStyle name="Style 120" xfId="3073" xr:uid="{00000000-0005-0000-0000-000051380000}"/>
    <cellStyle name="Style 120 2" xfId="3074" xr:uid="{00000000-0005-0000-0000-000052380000}"/>
    <cellStyle name="Style 121" xfId="3075" xr:uid="{00000000-0005-0000-0000-000053380000}"/>
    <cellStyle name="Style 121 2" xfId="3076" xr:uid="{00000000-0005-0000-0000-000054380000}"/>
    <cellStyle name="Style 126" xfId="3077" xr:uid="{00000000-0005-0000-0000-000055380000}"/>
    <cellStyle name="Style 126 2" xfId="3078" xr:uid="{00000000-0005-0000-0000-000056380000}"/>
    <cellStyle name="Style 126 3" xfId="3079" xr:uid="{00000000-0005-0000-0000-000057380000}"/>
    <cellStyle name="Style 127" xfId="3080" xr:uid="{00000000-0005-0000-0000-000058380000}"/>
    <cellStyle name="Style 127 2" xfId="3081" xr:uid="{00000000-0005-0000-0000-000059380000}"/>
    <cellStyle name="Style 128" xfId="3082" xr:uid="{00000000-0005-0000-0000-00005A380000}"/>
    <cellStyle name="Style 128 2" xfId="3083" xr:uid="{00000000-0005-0000-0000-00005B380000}"/>
    <cellStyle name="Style 129" xfId="3084" xr:uid="{00000000-0005-0000-0000-00005C380000}"/>
    <cellStyle name="Style 129 2" xfId="3085" xr:uid="{00000000-0005-0000-0000-00005D380000}"/>
    <cellStyle name="Style 130" xfId="3086" xr:uid="{00000000-0005-0000-0000-00005E380000}"/>
    <cellStyle name="Style 130 2" xfId="3087" xr:uid="{00000000-0005-0000-0000-00005F380000}"/>
    <cellStyle name="Style 130 3" xfId="3088" xr:uid="{00000000-0005-0000-0000-000060380000}"/>
    <cellStyle name="Style 131" xfId="3089" xr:uid="{00000000-0005-0000-0000-000061380000}"/>
    <cellStyle name="Style 131 2" xfId="3090" xr:uid="{00000000-0005-0000-0000-000062380000}"/>
    <cellStyle name="Style 132" xfId="3091" xr:uid="{00000000-0005-0000-0000-000063380000}"/>
    <cellStyle name="Style 132 2" xfId="3092" xr:uid="{00000000-0005-0000-0000-000064380000}"/>
    <cellStyle name="Style 137" xfId="3093" xr:uid="{00000000-0005-0000-0000-000065380000}"/>
    <cellStyle name="Style 137 2" xfId="3094" xr:uid="{00000000-0005-0000-0000-000066380000}"/>
    <cellStyle name="Style 137 3" xfId="3095" xr:uid="{00000000-0005-0000-0000-000067380000}"/>
    <cellStyle name="Style 138" xfId="3096" xr:uid="{00000000-0005-0000-0000-000068380000}"/>
    <cellStyle name="Style 138 2" xfId="3097" xr:uid="{00000000-0005-0000-0000-000069380000}"/>
    <cellStyle name="Style 139" xfId="3098" xr:uid="{00000000-0005-0000-0000-00006A380000}"/>
    <cellStyle name="Style 139 2" xfId="3099" xr:uid="{00000000-0005-0000-0000-00006B380000}"/>
    <cellStyle name="Style 140" xfId="3100" xr:uid="{00000000-0005-0000-0000-00006C380000}"/>
    <cellStyle name="Style 140 2" xfId="3101" xr:uid="{00000000-0005-0000-0000-00006D380000}"/>
    <cellStyle name="Style 141" xfId="3102" xr:uid="{00000000-0005-0000-0000-00006E380000}"/>
    <cellStyle name="Style 141 2" xfId="3103" xr:uid="{00000000-0005-0000-0000-00006F380000}"/>
    <cellStyle name="Style 141 3" xfId="3104" xr:uid="{00000000-0005-0000-0000-000070380000}"/>
    <cellStyle name="Style 142" xfId="3105" xr:uid="{00000000-0005-0000-0000-000071380000}"/>
    <cellStyle name="Style 142 2" xfId="3106" xr:uid="{00000000-0005-0000-0000-000072380000}"/>
    <cellStyle name="Style 143" xfId="3107" xr:uid="{00000000-0005-0000-0000-000073380000}"/>
    <cellStyle name="Style 143 2" xfId="3108" xr:uid="{00000000-0005-0000-0000-000074380000}"/>
    <cellStyle name="Style 148" xfId="3109" xr:uid="{00000000-0005-0000-0000-000075380000}"/>
    <cellStyle name="Style 148 2" xfId="3110" xr:uid="{00000000-0005-0000-0000-000076380000}"/>
    <cellStyle name="Style 148 3" xfId="3111" xr:uid="{00000000-0005-0000-0000-000077380000}"/>
    <cellStyle name="Style 149" xfId="3112" xr:uid="{00000000-0005-0000-0000-000078380000}"/>
    <cellStyle name="Style 149 2" xfId="3113" xr:uid="{00000000-0005-0000-0000-000079380000}"/>
    <cellStyle name="Style 150" xfId="3114" xr:uid="{00000000-0005-0000-0000-00007A380000}"/>
    <cellStyle name="Style 150 2" xfId="3115" xr:uid="{00000000-0005-0000-0000-00007B380000}"/>
    <cellStyle name="Style 151" xfId="3116" xr:uid="{00000000-0005-0000-0000-00007C380000}"/>
    <cellStyle name="Style 151 2" xfId="3117" xr:uid="{00000000-0005-0000-0000-00007D380000}"/>
    <cellStyle name="Style 152" xfId="3118" xr:uid="{00000000-0005-0000-0000-00007E380000}"/>
    <cellStyle name="Style 152 2" xfId="3119" xr:uid="{00000000-0005-0000-0000-00007F380000}"/>
    <cellStyle name="Style 152 3" xfId="3120" xr:uid="{00000000-0005-0000-0000-000080380000}"/>
    <cellStyle name="Style 153" xfId="3121" xr:uid="{00000000-0005-0000-0000-000081380000}"/>
    <cellStyle name="Style 153 2" xfId="3122" xr:uid="{00000000-0005-0000-0000-000082380000}"/>
    <cellStyle name="Style 154" xfId="3123" xr:uid="{00000000-0005-0000-0000-000083380000}"/>
    <cellStyle name="Style 154 2" xfId="3124" xr:uid="{00000000-0005-0000-0000-000084380000}"/>
    <cellStyle name="Style 159" xfId="3125" xr:uid="{00000000-0005-0000-0000-000085380000}"/>
    <cellStyle name="Style 159 2" xfId="3126" xr:uid="{00000000-0005-0000-0000-000086380000}"/>
    <cellStyle name="Style 159 3" xfId="3127" xr:uid="{00000000-0005-0000-0000-000087380000}"/>
    <cellStyle name="Style 160" xfId="3128" xr:uid="{00000000-0005-0000-0000-000088380000}"/>
    <cellStyle name="Style 160 2" xfId="3129" xr:uid="{00000000-0005-0000-0000-000089380000}"/>
    <cellStyle name="Style 161" xfId="3130" xr:uid="{00000000-0005-0000-0000-00008A380000}"/>
    <cellStyle name="Style 161 2" xfId="3131" xr:uid="{00000000-0005-0000-0000-00008B380000}"/>
    <cellStyle name="Style 162" xfId="3132" xr:uid="{00000000-0005-0000-0000-00008C380000}"/>
    <cellStyle name="Style 162 2" xfId="3133" xr:uid="{00000000-0005-0000-0000-00008D380000}"/>
    <cellStyle name="Style 163" xfId="3134" xr:uid="{00000000-0005-0000-0000-00008E380000}"/>
    <cellStyle name="Style 163 2" xfId="3135" xr:uid="{00000000-0005-0000-0000-00008F380000}"/>
    <cellStyle name="Style 163 3" xfId="3136" xr:uid="{00000000-0005-0000-0000-000090380000}"/>
    <cellStyle name="Style 164" xfId="3137" xr:uid="{00000000-0005-0000-0000-000091380000}"/>
    <cellStyle name="Style 164 2" xfId="3138" xr:uid="{00000000-0005-0000-0000-000092380000}"/>
    <cellStyle name="Style 165" xfId="3139" xr:uid="{00000000-0005-0000-0000-000093380000}"/>
    <cellStyle name="Style 165 2" xfId="3140" xr:uid="{00000000-0005-0000-0000-000094380000}"/>
    <cellStyle name="Style 21" xfId="298" xr:uid="{00000000-0005-0000-0000-000095380000}"/>
    <cellStyle name="Style 21 10" xfId="14790" xr:uid="{00000000-0005-0000-0000-000096380000}"/>
    <cellStyle name="Style 21 10 2" xfId="14791" xr:uid="{00000000-0005-0000-0000-000097380000}"/>
    <cellStyle name="Style 21 11" xfId="14792" xr:uid="{00000000-0005-0000-0000-000098380000}"/>
    <cellStyle name="Style 21 12" xfId="14793" xr:uid="{00000000-0005-0000-0000-000099380000}"/>
    <cellStyle name="Style 21 13" xfId="14789" xr:uid="{00000000-0005-0000-0000-00009A380000}"/>
    <cellStyle name="Style 21 2" xfId="299" xr:uid="{00000000-0005-0000-0000-00009B380000}"/>
    <cellStyle name="Style 21 2 10" xfId="14795" xr:uid="{00000000-0005-0000-0000-00009C380000}"/>
    <cellStyle name="Style 21 2 11" xfId="14796" xr:uid="{00000000-0005-0000-0000-00009D380000}"/>
    <cellStyle name="Style 21 2 12" xfId="14794" xr:uid="{00000000-0005-0000-0000-00009E380000}"/>
    <cellStyle name="Style 21 2 2" xfId="3143" xr:uid="{00000000-0005-0000-0000-00009F380000}"/>
    <cellStyle name="Style 21 2 2 2" xfId="14798" xr:uid="{00000000-0005-0000-0000-0000A0380000}"/>
    <cellStyle name="Style 21 2 2 2 2" xfId="14799" xr:uid="{00000000-0005-0000-0000-0000A1380000}"/>
    <cellStyle name="Style 21 2 2 3" xfId="14800" xr:uid="{00000000-0005-0000-0000-0000A2380000}"/>
    <cellStyle name="Style 21 2 2 3 2" xfId="14801" xr:uid="{00000000-0005-0000-0000-0000A3380000}"/>
    <cellStyle name="Style 21 2 2 4" xfId="14802" xr:uid="{00000000-0005-0000-0000-0000A4380000}"/>
    <cellStyle name="Style 21 2 2 5" xfId="14803" xr:uid="{00000000-0005-0000-0000-0000A5380000}"/>
    <cellStyle name="Style 21 2 2 6" xfId="14797" xr:uid="{00000000-0005-0000-0000-0000A6380000}"/>
    <cellStyle name="Style 21 2 3" xfId="3142" xr:uid="{00000000-0005-0000-0000-0000A7380000}"/>
    <cellStyle name="Style 21 2 3 2" xfId="14805" xr:uid="{00000000-0005-0000-0000-0000A8380000}"/>
    <cellStyle name="Style 21 2 3 2 2" xfId="14806" xr:uid="{00000000-0005-0000-0000-0000A9380000}"/>
    <cellStyle name="Style 21 2 3 3" xfId="14807" xr:uid="{00000000-0005-0000-0000-0000AA380000}"/>
    <cellStyle name="Style 21 2 3 3 2" xfId="14808" xr:uid="{00000000-0005-0000-0000-0000AB380000}"/>
    <cellStyle name="Style 21 2 3 4" xfId="14809" xr:uid="{00000000-0005-0000-0000-0000AC380000}"/>
    <cellStyle name="Style 21 2 3 5" xfId="14804" xr:uid="{00000000-0005-0000-0000-0000AD380000}"/>
    <cellStyle name="Style 21 2 4" xfId="14810" xr:uid="{00000000-0005-0000-0000-0000AE380000}"/>
    <cellStyle name="Style 21 2 4 2" xfId="14811" xr:uid="{00000000-0005-0000-0000-0000AF380000}"/>
    <cellStyle name="Style 21 2 4 2 2" xfId="14812" xr:uid="{00000000-0005-0000-0000-0000B0380000}"/>
    <cellStyle name="Style 21 2 4 3" xfId="14813" xr:uid="{00000000-0005-0000-0000-0000B1380000}"/>
    <cellStyle name="Style 21 2 4 3 2" xfId="14814" xr:uid="{00000000-0005-0000-0000-0000B2380000}"/>
    <cellStyle name="Style 21 2 4 4" xfId="14815" xr:uid="{00000000-0005-0000-0000-0000B3380000}"/>
    <cellStyle name="Style 21 2 5" xfId="14816" xr:uid="{00000000-0005-0000-0000-0000B4380000}"/>
    <cellStyle name="Style 21 2 5 2" xfId="14817" xr:uid="{00000000-0005-0000-0000-0000B5380000}"/>
    <cellStyle name="Style 21 2 5 2 2" xfId="14818" xr:uid="{00000000-0005-0000-0000-0000B6380000}"/>
    <cellStyle name="Style 21 2 5 3" xfId="14819" xr:uid="{00000000-0005-0000-0000-0000B7380000}"/>
    <cellStyle name="Style 21 2 5 3 2" xfId="14820" xr:uid="{00000000-0005-0000-0000-0000B8380000}"/>
    <cellStyle name="Style 21 2 5 4" xfId="14821" xr:uid="{00000000-0005-0000-0000-0000B9380000}"/>
    <cellStyle name="Style 21 2 5 4 2" xfId="14822" xr:uid="{00000000-0005-0000-0000-0000BA380000}"/>
    <cellStyle name="Style 21 2 5 5" xfId="14823" xr:uid="{00000000-0005-0000-0000-0000BB380000}"/>
    <cellStyle name="Style 21 2 6" xfId="14824" xr:uid="{00000000-0005-0000-0000-0000BC380000}"/>
    <cellStyle name="Style 21 2 6 2" xfId="14825" xr:uid="{00000000-0005-0000-0000-0000BD380000}"/>
    <cellStyle name="Style 21 2 6 2 2" xfId="14826" xr:uid="{00000000-0005-0000-0000-0000BE380000}"/>
    <cellStyle name="Style 21 2 6 3" xfId="14827" xr:uid="{00000000-0005-0000-0000-0000BF380000}"/>
    <cellStyle name="Style 21 2 6 3 2" xfId="14828" xr:uid="{00000000-0005-0000-0000-0000C0380000}"/>
    <cellStyle name="Style 21 2 6 4" xfId="14829" xr:uid="{00000000-0005-0000-0000-0000C1380000}"/>
    <cellStyle name="Style 21 2 7" xfId="14830" xr:uid="{00000000-0005-0000-0000-0000C2380000}"/>
    <cellStyle name="Style 21 2 7 2" xfId="14831" xr:uid="{00000000-0005-0000-0000-0000C3380000}"/>
    <cellStyle name="Style 21 2 8" xfId="14832" xr:uid="{00000000-0005-0000-0000-0000C4380000}"/>
    <cellStyle name="Style 21 2 8 2" xfId="14833" xr:uid="{00000000-0005-0000-0000-0000C5380000}"/>
    <cellStyle name="Style 21 2 9" xfId="14834" xr:uid="{00000000-0005-0000-0000-0000C6380000}"/>
    <cellStyle name="Style 21 2 9 2" xfId="14835" xr:uid="{00000000-0005-0000-0000-0000C7380000}"/>
    <cellStyle name="Style 21 3" xfId="3144" xr:uid="{00000000-0005-0000-0000-0000C8380000}"/>
    <cellStyle name="Style 21 3 2" xfId="4796" xr:uid="{00000000-0005-0000-0000-0000C9380000}"/>
    <cellStyle name="Style 21 3 2 2" xfId="14838" xr:uid="{00000000-0005-0000-0000-0000CA380000}"/>
    <cellStyle name="Style 21 3 2 3" xfId="14837" xr:uid="{00000000-0005-0000-0000-0000CB380000}"/>
    <cellStyle name="Style 21 3 3" xfId="14839" xr:uid="{00000000-0005-0000-0000-0000CC380000}"/>
    <cellStyle name="Style 21 3 3 2" xfId="14840" xr:uid="{00000000-0005-0000-0000-0000CD380000}"/>
    <cellStyle name="Style 21 3 4" xfId="14841" xr:uid="{00000000-0005-0000-0000-0000CE380000}"/>
    <cellStyle name="Style 21 3 5" xfId="14842" xr:uid="{00000000-0005-0000-0000-0000CF380000}"/>
    <cellStyle name="Style 21 3 6" xfId="14836" xr:uid="{00000000-0005-0000-0000-0000D0380000}"/>
    <cellStyle name="Style 21 4" xfId="3145" xr:uid="{00000000-0005-0000-0000-0000D1380000}"/>
    <cellStyle name="Style 21 4 2" xfId="14844" xr:uid="{00000000-0005-0000-0000-0000D2380000}"/>
    <cellStyle name="Style 21 4 2 2" xfId="14845" xr:uid="{00000000-0005-0000-0000-0000D3380000}"/>
    <cellStyle name="Style 21 4 3" xfId="14846" xr:uid="{00000000-0005-0000-0000-0000D4380000}"/>
    <cellStyle name="Style 21 4 3 2" xfId="14847" xr:uid="{00000000-0005-0000-0000-0000D5380000}"/>
    <cellStyle name="Style 21 4 4" xfId="14848" xr:uid="{00000000-0005-0000-0000-0000D6380000}"/>
    <cellStyle name="Style 21 4 5" xfId="14843" xr:uid="{00000000-0005-0000-0000-0000D7380000}"/>
    <cellStyle name="Style 21 5" xfId="3141" xr:uid="{00000000-0005-0000-0000-0000D8380000}"/>
    <cellStyle name="Style 21 5 2" xfId="14850" xr:uid="{00000000-0005-0000-0000-0000D9380000}"/>
    <cellStyle name="Style 21 5 2 2" xfId="14851" xr:uid="{00000000-0005-0000-0000-0000DA380000}"/>
    <cellStyle name="Style 21 5 3" xfId="14852" xr:uid="{00000000-0005-0000-0000-0000DB380000}"/>
    <cellStyle name="Style 21 5 3 2" xfId="14853" xr:uid="{00000000-0005-0000-0000-0000DC380000}"/>
    <cellStyle name="Style 21 5 4" xfId="14854" xr:uid="{00000000-0005-0000-0000-0000DD380000}"/>
    <cellStyle name="Style 21 5 5" xfId="14849" xr:uid="{00000000-0005-0000-0000-0000DE380000}"/>
    <cellStyle name="Style 21 6" xfId="14855" xr:uid="{00000000-0005-0000-0000-0000DF380000}"/>
    <cellStyle name="Style 21 6 2" xfId="14856" xr:uid="{00000000-0005-0000-0000-0000E0380000}"/>
    <cellStyle name="Style 21 6 2 2" xfId="14857" xr:uid="{00000000-0005-0000-0000-0000E1380000}"/>
    <cellStyle name="Style 21 6 3" xfId="14858" xr:uid="{00000000-0005-0000-0000-0000E2380000}"/>
    <cellStyle name="Style 21 6 3 2" xfId="14859" xr:uid="{00000000-0005-0000-0000-0000E3380000}"/>
    <cellStyle name="Style 21 6 4" xfId="14860" xr:uid="{00000000-0005-0000-0000-0000E4380000}"/>
    <cellStyle name="Style 21 6 4 2" xfId="14861" xr:uid="{00000000-0005-0000-0000-0000E5380000}"/>
    <cellStyle name="Style 21 6 5" xfId="14862" xr:uid="{00000000-0005-0000-0000-0000E6380000}"/>
    <cellStyle name="Style 21 7" xfId="14863" xr:uid="{00000000-0005-0000-0000-0000E7380000}"/>
    <cellStyle name="Style 21 7 2" xfId="14864" xr:uid="{00000000-0005-0000-0000-0000E8380000}"/>
    <cellStyle name="Style 21 7 2 2" xfId="14865" xr:uid="{00000000-0005-0000-0000-0000E9380000}"/>
    <cellStyle name="Style 21 7 3" xfId="14866" xr:uid="{00000000-0005-0000-0000-0000EA380000}"/>
    <cellStyle name="Style 21 7 3 2" xfId="14867" xr:uid="{00000000-0005-0000-0000-0000EB380000}"/>
    <cellStyle name="Style 21 7 4" xfId="14868" xr:uid="{00000000-0005-0000-0000-0000EC380000}"/>
    <cellStyle name="Style 21 8" xfId="14869" xr:uid="{00000000-0005-0000-0000-0000ED380000}"/>
    <cellStyle name="Style 21 8 2" xfId="14870" xr:uid="{00000000-0005-0000-0000-0000EE380000}"/>
    <cellStyle name="Style 21 9" xfId="14871" xr:uid="{00000000-0005-0000-0000-0000EF380000}"/>
    <cellStyle name="Style 21 9 2" xfId="14872" xr:uid="{00000000-0005-0000-0000-0000F0380000}"/>
    <cellStyle name="Style 22" xfId="300" xr:uid="{00000000-0005-0000-0000-0000F1380000}"/>
    <cellStyle name="Style 22 10" xfId="14874" xr:uid="{00000000-0005-0000-0000-0000F2380000}"/>
    <cellStyle name="Style 22 11" xfId="14875" xr:uid="{00000000-0005-0000-0000-0000F3380000}"/>
    <cellStyle name="Style 22 12" xfId="14873" xr:uid="{00000000-0005-0000-0000-0000F4380000}"/>
    <cellStyle name="Style 22 2" xfId="3147" xr:uid="{00000000-0005-0000-0000-0000F5380000}"/>
    <cellStyle name="Style 22 2 2" xfId="14877" xr:uid="{00000000-0005-0000-0000-0000F6380000}"/>
    <cellStyle name="Style 22 2 2 2" xfId="14878" xr:uid="{00000000-0005-0000-0000-0000F7380000}"/>
    <cellStyle name="Style 22 2 3" xfId="14879" xr:uid="{00000000-0005-0000-0000-0000F8380000}"/>
    <cellStyle name="Style 22 2 3 2" xfId="14880" xr:uid="{00000000-0005-0000-0000-0000F9380000}"/>
    <cellStyle name="Style 22 2 4" xfId="14881" xr:uid="{00000000-0005-0000-0000-0000FA380000}"/>
    <cellStyle name="Style 22 2 5" xfId="14882" xr:uid="{00000000-0005-0000-0000-0000FB380000}"/>
    <cellStyle name="Style 22 2 6" xfId="14876" xr:uid="{00000000-0005-0000-0000-0000FC380000}"/>
    <cellStyle name="Style 22 3" xfId="3146" xr:uid="{00000000-0005-0000-0000-0000FD380000}"/>
    <cellStyle name="Style 22 3 2" xfId="14884" xr:uid="{00000000-0005-0000-0000-0000FE380000}"/>
    <cellStyle name="Style 22 3 2 2" xfId="14885" xr:uid="{00000000-0005-0000-0000-0000FF380000}"/>
    <cellStyle name="Style 22 3 3" xfId="14886" xr:uid="{00000000-0005-0000-0000-000000390000}"/>
    <cellStyle name="Style 22 3 3 2" xfId="14887" xr:uid="{00000000-0005-0000-0000-000001390000}"/>
    <cellStyle name="Style 22 3 4" xfId="14888" xr:uid="{00000000-0005-0000-0000-000002390000}"/>
    <cellStyle name="Style 22 3 5" xfId="14883" xr:uid="{00000000-0005-0000-0000-000003390000}"/>
    <cellStyle name="Style 22 4" xfId="14889" xr:uid="{00000000-0005-0000-0000-000004390000}"/>
    <cellStyle name="Style 22 4 2" xfId="14890" xr:uid="{00000000-0005-0000-0000-000005390000}"/>
    <cellStyle name="Style 22 4 2 2" xfId="14891" xr:uid="{00000000-0005-0000-0000-000006390000}"/>
    <cellStyle name="Style 22 4 3" xfId="14892" xr:uid="{00000000-0005-0000-0000-000007390000}"/>
    <cellStyle name="Style 22 4 3 2" xfId="14893" xr:uid="{00000000-0005-0000-0000-000008390000}"/>
    <cellStyle name="Style 22 4 4" xfId="14894" xr:uid="{00000000-0005-0000-0000-000009390000}"/>
    <cellStyle name="Style 22 5" xfId="14895" xr:uid="{00000000-0005-0000-0000-00000A390000}"/>
    <cellStyle name="Style 22 5 2" xfId="14896" xr:uid="{00000000-0005-0000-0000-00000B390000}"/>
    <cellStyle name="Style 22 5 2 2" xfId="14897" xr:uid="{00000000-0005-0000-0000-00000C390000}"/>
    <cellStyle name="Style 22 5 3" xfId="14898" xr:uid="{00000000-0005-0000-0000-00000D390000}"/>
    <cellStyle name="Style 22 5 3 2" xfId="14899" xr:uid="{00000000-0005-0000-0000-00000E390000}"/>
    <cellStyle name="Style 22 5 4" xfId="14900" xr:uid="{00000000-0005-0000-0000-00000F390000}"/>
    <cellStyle name="Style 22 5 4 2" xfId="14901" xr:uid="{00000000-0005-0000-0000-000010390000}"/>
    <cellStyle name="Style 22 5 5" xfId="14902" xr:uid="{00000000-0005-0000-0000-000011390000}"/>
    <cellStyle name="Style 22 6" xfId="14903" xr:uid="{00000000-0005-0000-0000-000012390000}"/>
    <cellStyle name="Style 22 6 2" xfId="14904" xr:uid="{00000000-0005-0000-0000-000013390000}"/>
    <cellStyle name="Style 22 6 2 2" xfId="14905" xr:uid="{00000000-0005-0000-0000-000014390000}"/>
    <cellStyle name="Style 22 6 3" xfId="14906" xr:uid="{00000000-0005-0000-0000-000015390000}"/>
    <cellStyle name="Style 22 6 3 2" xfId="14907" xr:uid="{00000000-0005-0000-0000-000016390000}"/>
    <cellStyle name="Style 22 6 4" xfId="14908" xr:uid="{00000000-0005-0000-0000-000017390000}"/>
    <cellStyle name="Style 22 7" xfId="14909" xr:uid="{00000000-0005-0000-0000-000018390000}"/>
    <cellStyle name="Style 22 7 2" xfId="14910" xr:uid="{00000000-0005-0000-0000-000019390000}"/>
    <cellStyle name="Style 22 8" xfId="14911" xr:uid="{00000000-0005-0000-0000-00001A390000}"/>
    <cellStyle name="Style 22 8 2" xfId="14912" xr:uid="{00000000-0005-0000-0000-00001B390000}"/>
    <cellStyle name="Style 22 9" xfId="14913" xr:uid="{00000000-0005-0000-0000-00001C390000}"/>
    <cellStyle name="Style 22 9 2" xfId="14914" xr:uid="{00000000-0005-0000-0000-00001D390000}"/>
    <cellStyle name="Style 23" xfId="301" xr:uid="{00000000-0005-0000-0000-00001E390000}"/>
    <cellStyle name="Style 23 10" xfId="14916" xr:uid="{00000000-0005-0000-0000-00001F390000}"/>
    <cellStyle name="Style 23 11" xfId="14917" xr:uid="{00000000-0005-0000-0000-000020390000}"/>
    <cellStyle name="Style 23 12" xfId="14915" xr:uid="{00000000-0005-0000-0000-000021390000}"/>
    <cellStyle name="Style 23 2" xfId="3149" xr:uid="{00000000-0005-0000-0000-000022390000}"/>
    <cellStyle name="Style 23 2 2" xfId="14919" xr:uid="{00000000-0005-0000-0000-000023390000}"/>
    <cellStyle name="Style 23 2 2 2" xfId="14920" xr:uid="{00000000-0005-0000-0000-000024390000}"/>
    <cellStyle name="Style 23 2 3" xfId="14921" xr:uid="{00000000-0005-0000-0000-000025390000}"/>
    <cellStyle name="Style 23 2 3 2" xfId="14922" xr:uid="{00000000-0005-0000-0000-000026390000}"/>
    <cellStyle name="Style 23 2 4" xfId="14923" xr:uid="{00000000-0005-0000-0000-000027390000}"/>
    <cellStyle name="Style 23 2 5" xfId="14924" xr:uid="{00000000-0005-0000-0000-000028390000}"/>
    <cellStyle name="Style 23 2 6" xfId="14918" xr:uid="{00000000-0005-0000-0000-000029390000}"/>
    <cellStyle name="Style 23 3" xfId="3148" xr:uid="{00000000-0005-0000-0000-00002A390000}"/>
    <cellStyle name="Style 23 3 2" xfId="14926" xr:uid="{00000000-0005-0000-0000-00002B390000}"/>
    <cellStyle name="Style 23 3 2 2" xfId="14927" xr:uid="{00000000-0005-0000-0000-00002C390000}"/>
    <cellStyle name="Style 23 3 3" xfId="14928" xr:uid="{00000000-0005-0000-0000-00002D390000}"/>
    <cellStyle name="Style 23 3 3 2" xfId="14929" xr:uid="{00000000-0005-0000-0000-00002E390000}"/>
    <cellStyle name="Style 23 3 4" xfId="14930" xr:uid="{00000000-0005-0000-0000-00002F390000}"/>
    <cellStyle name="Style 23 3 5" xfId="14925" xr:uid="{00000000-0005-0000-0000-000030390000}"/>
    <cellStyle name="Style 23 4" xfId="14931" xr:uid="{00000000-0005-0000-0000-000031390000}"/>
    <cellStyle name="Style 23 4 2" xfId="14932" xr:uid="{00000000-0005-0000-0000-000032390000}"/>
    <cellStyle name="Style 23 4 2 2" xfId="14933" xr:uid="{00000000-0005-0000-0000-000033390000}"/>
    <cellStyle name="Style 23 4 3" xfId="14934" xr:uid="{00000000-0005-0000-0000-000034390000}"/>
    <cellStyle name="Style 23 4 3 2" xfId="14935" xr:uid="{00000000-0005-0000-0000-000035390000}"/>
    <cellStyle name="Style 23 4 4" xfId="14936" xr:uid="{00000000-0005-0000-0000-000036390000}"/>
    <cellStyle name="Style 23 5" xfId="14937" xr:uid="{00000000-0005-0000-0000-000037390000}"/>
    <cellStyle name="Style 23 5 2" xfId="14938" xr:uid="{00000000-0005-0000-0000-000038390000}"/>
    <cellStyle name="Style 23 5 2 2" xfId="14939" xr:uid="{00000000-0005-0000-0000-000039390000}"/>
    <cellStyle name="Style 23 5 3" xfId="14940" xr:uid="{00000000-0005-0000-0000-00003A390000}"/>
    <cellStyle name="Style 23 5 3 2" xfId="14941" xr:uid="{00000000-0005-0000-0000-00003B390000}"/>
    <cellStyle name="Style 23 5 4" xfId="14942" xr:uid="{00000000-0005-0000-0000-00003C390000}"/>
    <cellStyle name="Style 23 5 4 2" xfId="14943" xr:uid="{00000000-0005-0000-0000-00003D390000}"/>
    <cellStyle name="Style 23 5 5" xfId="14944" xr:uid="{00000000-0005-0000-0000-00003E390000}"/>
    <cellStyle name="Style 23 6" xfId="14945" xr:uid="{00000000-0005-0000-0000-00003F390000}"/>
    <cellStyle name="Style 23 6 2" xfId="14946" xr:uid="{00000000-0005-0000-0000-000040390000}"/>
    <cellStyle name="Style 23 6 2 2" xfId="14947" xr:uid="{00000000-0005-0000-0000-000041390000}"/>
    <cellStyle name="Style 23 6 3" xfId="14948" xr:uid="{00000000-0005-0000-0000-000042390000}"/>
    <cellStyle name="Style 23 6 3 2" xfId="14949" xr:uid="{00000000-0005-0000-0000-000043390000}"/>
    <cellStyle name="Style 23 6 4" xfId="14950" xr:uid="{00000000-0005-0000-0000-000044390000}"/>
    <cellStyle name="Style 23 7" xfId="14951" xr:uid="{00000000-0005-0000-0000-000045390000}"/>
    <cellStyle name="Style 23 7 2" xfId="14952" xr:uid="{00000000-0005-0000-0000-000046390000}"/>
    <cellStyle name="Style 23 8" xfId="14953" xr:uid="{00000000-0005-0000-0000-000047390000}"/>
    <cellStyle name="Style 23 8 2" xfId="14954" xr:uid="{00000000-0005-0000-0000-000048390000}"/>
    <cellStyle name="Style 23 9" xfId="14955" xr:uid="{00000000-0005-0000-0000-000049390000}"/>
    <cellStyle name="Style 23 9 2" xfId="14956" xr:uid="{00000000-0005-0000-0000-00004A390000}"/>
    <cellStyle name="Style 24" xfId="302" xr:uid="{00000000-0005-0000-0000-00004B390000}"/>
    <cellStyle name="Style 24 10" xfId="14958" xr:uid="{00000000-0005-0000-0000-00004C390000}"/>
    <cellStyle name="Style 24 11" xfId="14959" xr:uid="{00000000-0005-0000-0000-00004D390000}"/>
    <cellStyle name="Style 24 12" xfId="14957" xr:uid="{00000000-0005-0000-0000-00004E390000}"/>
    <cellStyle name="Style 24 2" xfId="3151" xr:uid="{00000000-0005-0000-0000-00004F390000}"/>
    <cellStyle name="Style 24 2 2" xfId="14961" xr:uid="{00000000-0005-0000-0000-000050390000}"/>
    <cellStyle name="Style 24 2 2 2" xfId="14962" xr:uid="{00000000-0005-0000-0000-000051390000}"/>
    <cellStyle name="Style 24 2 3" xfId="14963" xr:uid="{00000000-0005-0000-0000-000052390000}"/>
    <cellStyle name="Style 24 2 3 2" xfId="14964" xr:uid="{00000000-0005-0000-0000-000053390000}"/>
    <cellStyle name="Style 24 2 4" xfId="14965" xr:uid="{00000000-0005-0000-0000-000054390000}"/>
    <cellStyle name="Style 24 2 5" xfId="14966" xr:uid="{00000000-0005-0000-0000-000055390000}"/>
    <cellStyle name="Style 24 2 6" xfId="14960" xr:uid="{00000000-0005-0000-0000-000056390000}"/>
    <cellStyle name="Style 24 3" xfId="3150" xr:uid="{00000000-0005-0000-0000-000057390000}"/>
    <cellStyle name="Style 24 3 2" xfId="14968" xr:uid="{00000000-0005-0000-0000-000058390000}"/>
    <cellStyle name="Style 24 3 2 2" xfId="14969" xr:uid="{00000000-0005-0000-0000-000059390000}"/>
    <cellStyle name="Style 24 3 3" xfId="14970" xr:uid="{00000000-0005-0000-0000-00005A390000}"/>
    <cellStyle name="Style 24 3 3 2" xfId="14971" xr:uid="{00000000-0005-0000-0000-00005B390000}"/>
    <cellStyle name="Style 24 3 4" xfId="14972" xr:uid="{00000000-0005-0000-0000-00005C390000}"/>
    <cellStyle name="Style 24 3 5" xfId="14967" xr:uid="{00000000-0005-0000-0000-00005D390000}"/>
    <cellStyle name="Style 24 4" xfId="14973" xr:uid="{00000000-0005-0000-0000-00005E390000}"/>
    <cellStyle name="Style 24 4 2" xfId="14974" xr:uid="{00000000-0005-0000-0000-00005F390000}"/>
    <cellStyle name="Style 24 4 2 2" xfId="14975" xr:uid="{00000000-0005-0000-0000-000060390000}"/>
    <cellStyle name="Style 24 4 3" xfId="14976" xr:uid="{00000000-0005-0000-0000-000061390000}"/>
    <cellStyle name="Style 24 4 3 2" xfId="14977" xr:uid="{00000000-0005-0000-0000-000062390000}"/>
    <cellStyle name="Style 24 4 4" xfId="14978" xr:uid="{00000000-0005-0000-0000-000063390000}"/>
    <cellStyle name="Style 24 5" xfId="14979" xr:uid="{00000000-0005-0000-0000-000064390000}"/>
    <cellStyle name="Style 24 5 2" xfId="14980" xr:uid="{00000000-0005-0000-0000-000065390000}"/>
    <cellStyle name="Style 24 5 2 2" xfId="14981" xr:uid="{00000000-0005-0000-0000-000066390000}"/>
    <cellStyle name="Style 24 5 3" xfId="14982" xr:uid="{00000000-0005-0000-0000-000067390000}"/>
    <cellStyle name="Style 24 5 3 2" xfId="14983" xr:uid="{00000000-0005-0000-0000-000068390000}"/>
    <cellStyle name="Style 24 5 4" xfId="14984" xr:uid="{00000000-0005-0000-0000-000069390000}"/>
    <cellStyle name="Style 24 5 4 2" xfId="14985" xr:uid="{00000000-0005-0000-0000-00006A390000}"/>
    <cellStyle name="Style 24 5 5" xfId="14986" xr:uid="{00000000-0005-0000-0000-00006B390000}"/>
    <cellStyle name="Style 24 6" xfId="14987" xr:uid="{00000000-0005-0000-0000-00006C390000}"/>
    <cellStyle name="Style 24 6 2" xfId="14988" xr:uid="{00000000-0005-0000-0000-00006D390000}"/>
    <cellStyle name="Style 24 6 2 2" xfId="14989" xr:uid="{00000000-0005-0000-0000-00006E390000}"/>
    <cellStyle name="Style 24 6 3" xfId="14990" xr:uid="{00000000-0005-0000-0000-00006F390000}"/>
    <cellStyle name="Style 24 6 3 2" xfId="14991" xr:uid="{00000000-0005-0000-0000-000070390000}"/>
    <cellStyle name="Style 24 6 4" xfId="14992" xr:uid="{00000000-0005-0000-0000-000071390000}"/>
    <cellStyle name="Style 24 7" xfId="14993" xr:uid="{00000000-0005-0000-0000-000072390000}"/>
    <cellStyle name="Style 24 7 2" xfId="14994" xr:uid="{00000000-0005-0000-0000-000073390000}"/>
    <cellStyle name="Style 24 8" xfId="14995" xr:uid="{00000000-0005-0000-0000-000074390000}"/>
    <cellStyle name="Style 24 8 2" xfId="14996" xr:uid="{00000000-0005-0000-0000-000075390000}"/>
    <cellStyle name="Style 24 9" xfId="14997" xr:uid="{00000000-0005-0000-0000-000076390000}"/>
    <cellStyle name="Style 24 9 2" xfId="14998" xr:uid="{00000000-0005-0000-0000-000077390000}"/>
    <cellStyle name="Style 25" xfId="303" xr:uid="{00000000-0005-0000-0000-000078390000}"/>
    <cellStyle name="Style 25 10" xfId="15000" xr:uid="{00000000-0005-0000-0000-000079390000}"/>
    <cellStyle name="Style 25 10 2" xfId="15001" xr:uid="{00000000-0005-0000-0000-00007A390000}"/>
    <cellStyle name="Style 25 11" xfId="15002" xr:uid="{00000000-0005-0000-0000-00007B390000}"/>
    <cellStyle name="Style 25 12" xfId="15003" xr:uid="{00000000-0005-0000-0000-00007C390000}"/>
    <cellStyle name="Style 25 13" xfId="14999" xr:uid="{00000000-0005-0000-0000-00007D390000}"/>
    <cellStyle name="Style 25 2" xfId="304" xr:uid="{00000000-0005-0000-0000-00007E390000}"/>
    <cellStyle name="Style 25 2 10" xfId="15005" xr:uid="{00000000-0005-0000-0000-00007F390000}"/>
    <cellStyle name="Style 25 2 11" xfId="15006" xr:uid="{00000000-0005-0000-0000-000080390000}"/>
    <cellStyle name="Style 25 2 12" xfId="15004" xr:uid="{00000000-0005-0000-0000-000081390000}"/>
    <cellStyle name="Style 25 2 2" xfId="4797" xr:uid="{00000000-0005-0000-0000-000082390000}"/>
    <cellStyle name="Style 25 2 2 2" xfId="15008" xr:uid="{00000000-0005-0000-0000-000083390000}"/>
    <cellStyle name="Style 25 2 2 2 2" xfId="15009" xr:uid="{00000000-0005-0000-0000-000084390000}"/>
    <cellStyle name="Style 25 2 2 3" xfId="15010" xr:uid="{00000000-0005-0000-0000-000085390000}"/>
    <cellStyle name="Style 25 2 2 3 2" xfId="15011" xr:uid="{00000000-0005-0000-0000-000086390000}"/>
    <cellStyle name="Style 25 2 2 4" xfId="15012" xr:uid="{00000000-0005-0000-0000-000087390000}"/>
    <cellStyle name="Style 25 2 2 5" xfId="15013" xr:uid="{00000000-0005-0000-0000-000088390000}"/>
    <cellStyle name="Style 25 2 2 6" xfId="15007" xr:uid="{00000000-0005-0000-0000-000089390000}"/>
    <cellStyle name="Style 25 2 3" xfId="15014" xr:uid="{00000000-0005-0000-0000-00008A390000}"/>
    <cellStyle name="Style 25 2 3 2" xfId="15015" xr:uid="{00000000-0005-0000-0000-00008B390000}"/>
    <cellStyle name="Style 25 2 3 2 2" xfId="15016" xr:uid="{00000000-0005-0000-0000-00008C390000}"/>
    <cellStyle name="Style 25 2 3 3" xfId="15017" xr:uid="{00000000-0005-0000-0000-00008D390000}"/>
    <cellStyle name="Style 25 2 3 3 2" xfId="15018" xr:uid="{00000000-0005-0000-0000-00008E390000}"/>
    <cellStyle name="Style 25 2 3 4" xfId="15019" xr:uid="{00000000-0005-0000-0000-00008F390000}"/>
    <cellStyle name="Style 25 2 4" xfId="15020" xr:uid="{00000000-0005-0000-0000-000090390000}"/>
    <cellStyle name="Style 25 2 4 2" xfId="15021" xr:uid="{00000000-0005-0000-0000-000091390000}"/>
    <cellStyle name="Style 25 2 4 2 2" xfId="15022" xr:uid="{00000000-0005-0000-0000-000092390000}"/>
    <cellStyle name="Style 25 2 4 3" xfId="15023" xr:uid="{00000000-0005-0000-0000-000093390000}"/>
    <cellStyle name="Style 25 2 4 3 2" xfId="15024" xr:uid="{00000000-0005-0000-0000-000094390000}"/>
    <cellStyle name="Style 25 2 4 4" xfId="15025" xr:uid="{00000000-0005-0000-0000-000095390000}"/>
    <cellStyle name="Style 25 2 5" xfId="15026" xr:uid="{00000000-0005-0000-0000-000096390000}"/>
    <cellStyle name="Style 25 2 5 2" xfId="15027" xr:uid="{00000000-0005-0000-0000-000097390000}"/>
    <cellStyle name="Style 25 2 5 2 2" xfId="15028" xr:uid="{00000000-0005-0000-0000-000098390000}"/>
    <cellStyle name="Style 25 2 5 3" xfId="15029" xr:uid="{00000000-0005-0000-0000-000099390000}"/>
    <cellStyle name="Style 25 2 5 3 2" xfId="15030" xr:uid="{00000000-0005-0000-0000-00009A390000}"/>
    <cellStyle name="Style 25 2 5 4" xfId="15031" xr:uid="{00000000-0005-0000-0000-00009B390000}"/>
    <cellStyle name="Style 25 2 5 4 2" xfId="15032" xr:uid="{00000000-0005-0000-0000-00009C390000}"/>
    <cellStyle name="Style 25 2 5 5" xfId="15033" xr:uid="{00000000-0005-0000-0000-00009D390000}"/>
    <cellStyle name="Style 25 2 6" xfId="15034" xr:uid="{00000000-0005-0000-0000-00009E390000}"/>
    <cellStyle name="Style 25 2 6 2" xfId="15035" xr:uid="{00000000-0005-0000-0000-00009F390000}"/>
    <cellStyle name="Style 25 2 6 2 2" xfId="15036" xr:uid="{00000000-0005-0000-0000-0000A0390000}"/>
    <cellStyle name="Style 25 2 6 3" xfId="15037" xr:uid="{00000000-0005-0000-0000-0000A1390000}"/>
    <cellStyle name="Style 25 2 6 3 2" xfId="15038" xr:uid="{00000000-0005-0000-0000-0000A2390000}"/>
    <cellStyle name="Style 25 2 6 4" xfId="15039" xr:uid="{00000000-0005-0000-0000-0000A3390000}"/>
    <cellStyle name="Style 25 2 7" xfId="15040" xr:uid="{00000000-0005-0000-0000-0000A4390000}"/>
    <cellStyle name="Style 25 2 7 2" xfId="15041" xr:uid="{00000000-0005-0000-0000-0000A5390000}"/>
    <cellStyle name="Style 25 2 8" xfId="15042" xr:uid="{00000000-0005-0000-0000-0000A6390000}"/>
    <cellStyle name="Style 25 2 8 2" xfId="15043" xr:uid="{00000000-0005-0000-0000-0000A7390000}"/>
    <cellStyle name="Style 25 2 9" xfId="15044" xr:uid="{00000000-0005-0000-0000-0000A8390000}"/>
    <cellStyle name="Style 25 2 9 2" xfId="15045" xr:uid="{00000000-0005-0000-0000-0000A9390000}"/>
    <cellStyle name="Style 25 3" xfId="3153" xr:uid="{00000000-0005-0000-0000-0000AA390000}"/>
    <cellStyle name="Style 25 3 2" xfId="4798" xr:uid="{00000000-0005-0000-0000-0000AB390000}"/>
    <cellStyle name="Style 25 3 2 2" xfId="15048" xr:uid="{00000000-0005-0000-0000-0000AC390000}"/>
    <cellStyle name="Style 25 3 2 3" xfId="15047" xr:uid="{00000000-0005-0000-0000-0000AD390000}"/>
    <cellStyle name="Style 25 3 3" xfId="15049" xr:uid="{00000000-0005-0000-0000-0000AE390000}"/>
    <cellStyle name="Style 25 3 3 2" xfId="15050" xr:uid="{00000000-0005-0000-0000-0000AF390000}"/>
    <cellStyle name="Style 25 3 4" xfId="15051" xr:uid="{00000000-0005-0000-0000-0000B0390000}"/>
    <cellStyle name="Style 25 3 5" xfId="15052" xr:uid="{00000000-0005-0000-0000-0000B1390000}"/>
    <cellStyle name="Style 25 3 6" xfId="15046" xr:uid="{00000000-0005-0000-0000-0000B2390000}"/>
    <cellStyle name="Style 25 4" xfId="3152" xr:uid="{00000000-0005-0000-0000-0000B3390000}"/>
    <cellStyle name="Style 25 4 2" xfId="15054" xr:uid="{00000000-0005-0000-0000-0000B4390000}"/>
    <cellStyle name="Style 25 4 2 2" xfId="15055" xr:uid="{00000000-0005-0000-0000-0000B5390000}"/>
    <cellStyle name="Style 25 4 3" xfId="15056" xr:uid="{00000000-0005-0000-0000-0000B6390000}"/>
    <cellStyle name="Style 25 4 3 2" xfId="15057" xr:uid="{00000000-0005-0000-0000-0000B7390000}"/>
    <cellStyle name="Style 25 4 4" xfId="15058" xr:uid="{00000000-0005-0000-0000-0000B8390000}"/>
    <cellStyle name="Style 25 4 5" xfId="15053" xr:uid="{00000000-0005-0000-0000-0000B9390000}"/>
    <cellStyle name="Style 25 5" xfId="15059" xr:uid="{00000000-0005-0000-0000-0000BA390000}"/>
    <cellStyle name="Style 25 5 2" xfId="15060" xr:uid="{00000000-0005-0000-0000-0000BB390000}"/>
    <cellStyle name="Style 25 5 2 2" xfId="15061" xr:uid="{00000000-0005-0000-0000-0000BC390000}"/>
    <cellStyle name="Style 25 5 3" xfId="15062" xr:uid="{00000000-0005-0000-0000-0000BD390000}"/>
    <cellStyle name="Style 25 5 3 2" xfId="15063" xr:uid="{00000000-0005-0000-0000-0000BE390000}"/>
    <cellStyle name="Style 25 5 4" xfId="15064" xr:uid="{00000000-0005-0000-0000-0000BF390000}"/>
    <cellStyle name="Style 25 6" xfId="15065" xr:uid="{00000000-0005-0000-0000-0000C0390000}"/>
    <cellStyle name="Style 25 6 2" xfId="15066" xr:uid="{00000000-0005-0000-0000-0000C1390000}"/>
    <cellStyle name="Style 25 6 2 2" xfId="15067" xr:uid="{00000000-0005-0000-0000-0000C2390000}"/>
    <cellStyle name="Style 25 6 3" xfId="15068" xr:uid="{00000000-0005-0000-0000-0000C3390000}"/>
    <cellStyle name="Style 25 6 3 2" xfId="15069" xr:uid="{00000000-0005-0000-0000-0000C4390000}"/>
    <cellStyle name="Style 25 6 4" xfId="15070" xr:uid="{00000000-0005-0000-0000-0000C5390000}"/>
    <cellStyle name="Style 25 6 4 2" xfId="15071" xr:uid="{00000000-0005-0000-0000-0000C6390000}"/>
    <cellStyle name="Style 25 6 5" xfId="15072" xr:uid="{00000000-0005-0000-0000-0000C7390000}"/>
    <cellStyle name="Style 25 7" xfId="15073" xr:uid="{00000000-0005-0000-0000-0000C8390000}"/>
    <cellStyle name="Style 25 7 2" xfId="15074" xr:uid="{00000000-0005-0000-0000-0000C9390000}"/>
    <cellStyle name="Style 25 7 2 2" xfId="15075" xr:uid="{00000000-0005-0000-0000-0000CA390000}"/>
    <cellStyle name="Style 25 7 3" xfId="15076" xr:uid="{00000000-0005-0000-0000-0000CB390000}"/>
    <cellStyle name="Style 25 7 3 2" xfId="15077" xr:uid="{00000000-0005-0000-0000-0000CC390000}"/>
    <cellStyle name="Style 25 7 4" xfId="15078" xr:uid="{00000000-0005-0000-0000-0000CD390000}"/>
    <cellStyle name="Style 25 8" xfId="15079" xr:uid="{00000000-0005-0000-0000-0000CE390000}"/>
    <cellStyle name="Style 25 8 2" xfId="15080" xr:uid="{00000000-0005-0000-0000-0000CF390000}"/>
    <cellStyle name="Style 25 9" xfId="15081" xr:uid="{00000000-0005-0000-0000-0000D0390000}"/>
    <cellStyle name="Style 25 9 2" xfId="15082" xr:uid="{00000000-0005-0000-0000-0000D1390000}"/>
    <cellStyle name="Style 26" xfId="305" xr:uid="{00000000-0005-0000-0000-0000D2390000}"/>
    <cellStyle name="Style 26 10" xfId="15084" xr:uid="{00000000-0005-0000-0000-0000D3390000}"/>
    <cellStyle name="Style 26 11" xfId="15085" xr:uid="{00000000-0005-0000-0000-0000D4390000}"/>
    <cellStyle name="Style 26 12" xfId="15083" xr:uid="{00000000-0005-0000-0000-0000D5390000}"/>
    <cellStyle name="Style 26 2" xfId="3155" xr:uid="{00000000-0005-0000-0000-0000D6390000}"/>
    <cellStyle name="Style 26 2 2" xfId="15087" xr:uid="{00000000-0005-0000-0000-0000D7390000}"/>
    <cellStyle name="Style 26 2 2 2" xfId="15088" xr:uid="{00000000-0005-0000-0000-0000D8390000}"/>
    <cellStyle name="Style 26 2 3" xfId="15089" xr:uid="{00000000-0005-0000-0000-0000D9390000}"/>
    <cellStyle name="Style 26 2 3 2" xfId="15090" xr:uid="{00000000-0005-0000-0000-0000DA390000}"/>
    <cellStyle name="Style 26 2 4" xfId="15091" xr:uid="{00000000-0005-0000-0000-0000DB390000}"/>
    <cellStyle name="Style 26 2 5" xfId="15092" xr:uid="{00000000-0005-0000-0000-0000DC390000}"/>
    <cellStyle name="Style 26 2 6" xfId="15086" xr:uid="{00000000-0005-0000-0000-0000DD390000}"/>
    <cellStyle name="Style 26 3" xfId="3154" xr:uid="{00000000-0005-0000-0000-0000DE390000}"/>
    <cellStyle name="Style 26 3 2" xfId="15094" xr:uid="{00000000-0005-0000-0000-0000DF390000}"/>
    <cellStyle name="Style 26 3 2 2" xfId="15095" xr:uid="{00000000-0005-0000-0000-0000E0390000}"/>
    <cellStyle name="Style 26 3 3" xfId="15096" xr:uid="{00000000-0005-0000-0000-0000E1390000}"/>
    <cellStyle name="Style 26 3 3 2" xfId="15097" xr:uid="{00000000-0005-0000-0000-0000E2390000}"/>
    <cellStyle name="Style 26 3 4" xfId="15098" xr:uid="{00000000-0005-0000-0000-0000E3390000}"/>
    <cellStyle name="Style 26 3 5" xfId="15093" xr:uid="{00000000-0005-0000-0000-0000E4390000}"/>
    <cellStyle name="Style 26 4" xfId="15099" xr:uid="{00000000-0005-0000-0000-0000E5390000}"/>
    <cellStyle name="Style 26 4 2" xfId="15100" xr:uid="{00000000-0005-0000-0000-0000E6390000}"/>
    <cellStyle name="Style 26 4 2 2" xfId="15101" xr:uid="{00000000-0005-0000-0000-0000E7390000}"/>
    <cellStyle name="Style 26 4 3" xfId="15102" xr:uid="{00000000-0005-0000-0000-0000E8390000}"/>
    <cellStyle name="Style 26 4 3 2" xfId="15103" xr:uid="{00000000-0005-0000-0000-0000E9390000}"/>
    <cellStyle name="Style 26 4 4" xfId="15104" xr:uid="{00000000-0005-0000-0000-0000EA390000}"/>
    <cellStyle name="Style 26 5" xfId="15105" xr:uid="{00000000-0005-0000-0000-0000EB390000}"/>
    <cellStyle name="Style 26 5 2" xfId="15106" xr:uid="{00000000-0005-0000-0000-0000EC390000}"/>
    <cellStyle name="Style 26 5 2 2" xfId="15107" xr:uid="{00000000-0005-0000-0000-0000ED390000}"/>
    <cellStyle name="Style 26 5 3" xfId="15108" xr:uid="{00000000-0005-0000-0000-0000EE390000}"/>
    <cellStyle name="Style 26 5 3 2" xfId="15109" xr:uid="{00000000-0005-0000-0000-0000EF390000}"/>
    <cellStyle name="Style 26 5 4" xfId="15110" xr:uid="{00000000-0005-0000-0000-0000F0390000}"/>
    <cellStyle name="Style 26 5 4 2" xfId="15111" xr:uid="{00000000-0005-0000-0000-0000F1390000}"/>
    <cellStyle name="Style 26 5 5" xfId="15112" xr:uid="{00000000-0005-0000-0000-0000F2390000}"/>
    <cellStyle name="Style 26 6" xfId="15113" xr:uid="{00000000-0005-0000-0000-0000F3390000}"/>
    <cellStyle name="Style 26 6 2" xfId="15114" xr:uid="{00000000-0005-0000-0000-0000F4390000}"/>
    <cellStyle name="Style 26 6 2 2" xfId="15115" xr:uid="{00000000-0005-0000-0000-0000F5390000}"/>
    <cellStyle name="Style 26 6 3" xfId="15116" xr:uid="{00000000-0005-0000-0000-0000F6390000}"/>
    <cellStyle name="Style 26 6 3 2" xfId="15117" xr:uid="{00000000-0005-0000-0000-0000F7390000}"/>
    <cellStyle name="Style 26 6 4" xfId="15118" xr:uid="{00000000-0005-0000-0000-0000F8390000}"/>
    <cellStyle name="Style 26 7" xfId="15119" xr:uid="{00000000-0005-0000-0000-0000F9390000}"/>
    <cellStyle name="Style 26 7 2" xfId="15120" xr:uid="{00000000-0005-0000-0000-0000FA390000}"/>
    <cellStyle name="Style 26 8" xfId="15121" xr:uid="{00000000-0005-0000-0000-0000FB390000}"/>
    <cellStyle name="Style 26 8 2" xfId="15122" xr:uid="{00000000-0005-0000-0000-0000FC390000}"/>
    <cellStyle name="Style 26 9" xfId="15123" xr:uid="{00000000-0005-0000-0000-0000FD390000}"/>
    <cellStyle name="Style 26 9 2" xfId="15124" xr:uid="{00000000-0005-0000-0000-0000FE390000}"/>
    <cellStyle name="Style 27" xfId="3156" xr:uid="{00000000-0005-0000-0000-0000FF390000}"/>
    <cellStyle name="Style 27 2" xfId="3157" xr:uid="{00000000-0005-0000-0000-0000003A0000}"/>
    <cellStyle name="Style 35" xfId="3158" xr:uid="{00000000-0005-0000-0000-0000013A0000}"/>
    <cellStyle name="Style 35 2" xfId="3159" xr:uid="{00000000-0005-0000-0000-0000023A0000}"/>
    <cellStyle name="Style 35 3" xfId="3160" xr:uid="{00000000-0005-0000-0000-0000033A0000}"/>
    <cellStyle name="Style 36" xfId="3161" xr:uid="{00000000-0005-0000-0000-0000043A0000}"/>
    <cellStyle name="Style 36 2" xfId="3162" xr:uid="{00000000-0005-0000-0000-0000053A0000}"/>
    <cellStyle name="Style 37" xfId="3163" xr:uid="{00000000-0005-0000-0000-0000063A0000}"/>
    <cellStyle name="Style 37 2" xfId="3164" xr:uid="{00000000-0005-0000-0000-0000073A0000}"/>
    <cellStyle name="Style 38" xfId="3165" xr:uid="{00000000-0005-0000-0000-0000083A0000}"/>
    <cellStyle name="Style 38 2" xfId="3166" xr:uid="{00000000-0005-0000-0000-0000093A0000}"/>
    <cellStyle name="Style 39" xfId="3167" xr:uid="{00000000-0005-0000-0000-00000A3A0000}"/>
    <cellStyle name="Style 39 2" xfId="3168" xr:uid="{00000000-0005-0000-0000-00000B3A0000}"/>
    <cellStyle name="Style 39 3" xfId="3169" xr:uid="{00000000-0005-0000-0000-00000C3A0000}"/>
    <cellStyle name="Style 40" xfId="3170" xr:uid="{00000000-0005-0000-0000-00000D3A0000}"/>
    <cellStyle name="Style 40 2" xfId="3171" xr:uid="{00000000-0005-0000-0000-00000E3A0000}"/>
    <cellStyle name="Style 41" xfId="3172" xr:uid="{00000000-0005-0000-0000-00000F3A0000}"/>
    <cellStyle name="Style 41 2" xfId="3173" xr:uid="{00000000-0005-0000-0000-0000103A0000}"/>
    <cellStyle name="Style 46" xfId="3174" xr:uid="{00000000-0005-0000-0000-0000113A0000}"/>
    <cellStyle name="Style 46 2" xfId="3175" xr:uid="{00000000-0005-0000-0000-0000123A0000}"/>
    <cellStyle name="Style 46 3" xfId="3176" xr:uid="{00000000-0005-0000-0000-0000133A0000}"/>
    <cellStyle name="Style 47" xfId="3177" xr:uid="{00000000-0005-0000-0000-0000143A0000}"/>
    <cellStyle name="Style 47 2" xfId="3178" xr:uid="{00000000-0005-0000-0000-0000153A0000}"/>
    <cellStyle name="Style 48" xfId="3179" xr:uid="{00000000-0005-0000-0000-0000163A0000}"/>
    <cellStyle name="Style 48 2" xfId="3180" xr:uid="{00000000-0005-0000-0000-0000173A0000}"/>
    <cellStyle name="Style 49" xfId="3181" xr:uid="{00000000-0005-0000-0000-0000183A0000}"/>
    <cellStyle name="Style 49 2" xfId="3182" xr:uid="{00000000-0005-0000-0000-0000193A0000}"/>
    <cellStyle name="Style 50" xfId="3183" xr:uid="{00000000-0005-0000-0000-00001A3A0000}"/>
    <cellStyle name="Style 50 2" xfId="3184" xr:uid="{00000000-0005-0000-0000-00001B3A0000}"/>
    <cellStyle name="Style 50 3" xfId="3185" xr:uid="{00000000-0005-0000-0000-00001C3A0000}"/>
    <cellStyle name="Style 51" xfId="3186" xr:uid="{00000000-0005-0000-0000-00001D3A0000}"/>
    <cellStyle name="Style 51 2" xfId="3187" xr:uid="{00000000-0005-0000-0000-00001E3A0000}"/>
    <cellStyle name="Style 52" xfId="3188" xr:uid="{00000000-0005-0000-0000-00001F3A0000}"/>
    <cellStyle name="Style 52 2" xfId="3189" xr:uid="{00000000-0005-0000-0000-0000203A0000}"/>
    <cellStyle name="Style 58" xfId="3190" xr:uid="{00000000-0005-0000-0000-0000213A0000}"/>
    <cellStyle name="Style 58 2" xfId="3191" xr:uid="{00000000-0005-0000-0000-0000223A0000}"/>
    <cellStyle name="Style 58 3" xfId="3192" xr:uid="{00000000-0005-0000-0000-0000233A0000}"/>
    <cellStyle name="Style 59" xfId="3193" xr:uid="{00000000-0005-0000-0000-0000243A0000}"/>
    <cellStyle name="Style 59 2" xfId="3194" xr:uid="{00000000-0005-0000-0000-0000253A0000}"/>
    <cellStyle name="Style 60" xfId="3195" xr:uid="{00000000-0005-0000-0000-0000263A0000}"/>
    <cellStyle name="Style 60 2" xfId="3196" xr:uid="{00000000-0005-0000-0000-0000273A0000}"/>
    <cellStyle name="Style 61" xfId="3197" xr:uid="{00000000-0005-0000-0000-0000283A0000}"/>
    <cellStyle name="Style 61 2" xfId="3198" xr:uid="{00000000-0005-0000-0000-0000293A0000}"/>
    <cellStyle name="Style 62" xfId="3199" xr:uid="{00000000-0005-0000-0000-00002A3A0000}"/>
    <cellStyle name="Style 62 2" xfId="3200" xr:uid="{00000000-0005-0000-0000-00002B3A0000}"/>
    <cellStyle name="Style 62 3" xfId="3201" xr:uid="{00000000-0005-0000-0000-00002C3A0000}"/>
    <cellStyle name="Style 63" xfId="3202" xr:uid="{00000000-0005-0000-0000-00002D3A0000}"/>
    <cellStyle name="Style 63 2" xfId="3203" xr:uid="{00000000-0005-0000-0000-00002E3A0000}"/>
    <cellStyle name="Style 64" xfId="3204" xr:uid="{00000000-0005-0000-0000-00002F3A0000}"/>
    <cellStyle name="Style 64 2" xfId="3205" xr:uid="{00000000-0005-0000-0000-0000303A0000}"/>
    <cellStyle name="Style 69" xfId="3206" xr:uid="{00000000-0005-0000-0000-0000313A0000}"/>
    <cellStyle name="Style 69 2" xfId="3207" xr:uid="{00000000-0005-0000-0000-0000323A0000}"/>
    <cellStyle name="Style 69 3" xfId="3208" xr:uid="{00000000-0005-0000-0000-0000333A0000}"/>
    <cellStyle name="Style 70" xfId="3209" xr:uid="{00000000-0005-0000-0000-0000343A0000}"/>
    <cellStyle name="Style 70 2" xfId="3210" xr:uid="{00000000-0005-0000-0000-0000353A0000}"/>
    <cellStyle name="Style 71" xfId="3211" xr:uid="{00000000-0005-0000-0000-0000363A0000}"/>
    <cellStyle name="Style 71 2" xfId="3212" xr:uid="{00000000-0005-0000-0000-0000373A0000}"/>
    <cellStyle name="Style 72" xfId="3213" xr:uid="{00000000-0005-0000-0000-0000383A0000}"/>
    <cellStyle name="Style 72 2" xfId="3214" xr:uid="{00000000-0005-0000-0000-0000393A0000}"/>
    <cellStyle name="Style 73" xfId="3215" xr:uid="{00000000-0005-0000-0000-00003A3A0000}"/>
    <cellStyle name="Style 73 2" xfId="3216" xr:uid="{00000000-0005-0000-0000-00003B3A0000}"/>
    <cellStyle name="Style 73 3" xfId="3217" xr:uid="{00000000-0005-0000-0000-00003C3A0000}"/>
    <cellStyle name="Style 74" xfId="3218" xr:uid="{00000000-0005-0000-0000-00003D3A0000}"/>
    <cellStyle name="Style 74 2" xfId="3219" xr:uid="{00000000-0005-0000-0000-00003E3A0000}"/>
    <cellStyle name="Style 75" xfId="3220" xr:uid="{00000000-0005-0000-0000-00003F3A0000}"/>
    <cellStyle name="Style 75 2" xfId="3221" xr:uid="{00000000-0005-0000-0000-0000403A0000}"/>
    <cellStyle name="Style 80" xfId="3222" xr:uid="{00000000-0005-0000-0000-0000413A0000}"/>
    <cellStyle name="Style 80 2" xfId="3223" xr:uid="{00000000-0005-0000-0000-0000423A0000}"/>
    <cellStyle name="Style 80 3" xfId="3224" xr:uid="{00000000-0005-0000-0000-0000433A0000}"/>
    <cellStyle name="Style 81" xfId="3225" xr:uid="{00000000-0005-0000-0000-0000443A0000}"/>
    <cellStyle name="Style 81 2" xfId="3226" xr:uid="{00000000-0005-0000-0000-0000453A0000}"/>
    <cellStyle name="Style 81 3" xfId="3227" xr:uid="{00000000-0005-0000-0000-0000463A0000}"/>
    <cellStyle name="Style 82" xfId="3228" xr:uid="{00000000-0005-0000-0000-0000473A0000}"/>
    <cellStyle name="Style 82 2" xfId="3229" xr:uid="{00000000-0005-0000-0000-0000483A0000}"/>
    <cellStyle name="Style 83" xfId="3230" xr:uid="{00000000-0005-0000-0000-0000493A0000}"/>
    <cellStyle name="Style 83 2" xfId="3231" xr:uid="{00000000-0005-0000-0000-00004A3A0000}"/>
    <cellStyle name="Style 84" xfId="3232" xr:uid="{00000000-0005-0000-0000-00004B3A0000}"/>
    <cellStyle name="Style 84 2" xfId="3233" xr:uid="{00000000-0005-0000-0000-00004C3A0000}"/>
    <cellStyle name="Style 85" xfId="3234" xr:uid="{00000000-0005-0000-0000-00004D3A0000}"/>
    <cellStyle name="Style 85 2" xfId="3235" xr:uid="{00000000-0005-0000-0000-00004E3A0000}"/>
    <cellStyle name="Style 85 3" xfId="3236" xr:uid="{00000000-0005-0000-0000-00004F3A0000}"/>
    <cellStyle name="Style 86" xfId="3237" xr:uid="{00000000-0005-0000-0000-0000503A0000}"/>
    <cellStyle name="Style 86 2" xfId="3238" xr:uid="{00000000-0005-0000-0000-0000513A0000}"/>
    <cellStyle name="Style 87" xfId="3239" xr:uid="{00000000-0005-0000-0000-0000523A0000}"/>
    <cellStyle name="Style 87 2" xfId="3240" xr:uid="{00000000-0005-0000-0000-0000533A0000}"/>
    <cellStyle name="Style 93" xfId="3241" xr:uid="{00000000-0005-0000-0000-0000543A0000}"/>
    <cellStyle name="Style 93 2" xfId="3242" xr:uid="{00000000-0005-0000-0000-0000553A0000}"/>
    <cellStyle name="Style 93 3" xfId="3243" xr:uid="{00000000-0005-0000-0000-0000563A0000}"/>
    <cellStyle name="Style 94" xfId="3244" xr:uid="{00000000-0005-0000-0000-0000573A0000}"/>
    <cellStyle name="Style 94 2" xfId="3245" xr:uid="{00000000-0005-0000-0000-0000583A0000}"/>
    <cellStyle name="Style 95" xfId="3246" xr:uid="{00000000-0005-0000-0000-0000593A0000}"/>
    <cellStyle name="Style 95 2" xfId="3247" xr:uid="{00000000-0005-0000-0000-00005A3A0000}"/>
    <cellStyle name="Style 96" xfId="3248" xr:uid="{00000000-0005-0000-0000-00005B3A0000}"/>
    <cellStyle name="Style 96 2" xfId="3249" xr:uid="{00000000-0005-0000-0000-00005C3A0000}"/>
    <cellStyle name="Style 97" xfId="3250" xr:uid="{00000000-0005-0000-0000-00005D3A0000}"/>
    <cellStyle name="Style 97 2" xfId="3251" xr:uid="{00000000-0005-0000-0000-00005E3A0000}"/>
    <cellStyle name="Style 97 3" xfId="3252" xr:uid="{00000000-0005-0000-0000-00005F3A0000}"/>
    <cellStyle name="Style 98" xfId="3253" xr:uid="{00000000-0005-0000-0000-0000603A0000}"/>
    <cellStyle name="Style 98 2" xfId="3254" xr:uid="{00000000-0005-0000-0000-0000613A0000}"/>
    <cellStyle name="Style 99" xfId="3255" xr:uid="{00000000-0005-0000-0000-0000623A0000}"/>
    <cellStyle name="Style 99 2" xfId="3256" xr:uid="{00000000-0005-0000-0000-0000633A0000}"/>
    <cellStyle name="tableau | cellule | normal | decimal 1" xfId="324" xr:uid="{00000000-0005-0000-0000-0000643A0000}"/>
    <cellStyle name="tableau | cellule | normal | decimal 1 10" xfId="15126" xr:uid="{00000000-0005-0000-0000-0000653A0000}"/>
    <cellStyle name="tableau | cellule | normal | decimal 1 11" xfId="15127" xr:uid="{00000000-0005-0000-0000-0000663A0000}"/>
    <cellStyle name="tableau | cellule | normal | decimal 1 12" xfId="15125" xr:uid="{00000000-0005-0000-0000-0000673A0000}"/>
    <cellStyle name="tableau | cellule | normal | decimal 1 2" xfId="15128" xr:uid="{00000000-0005-0000-0000-0000683A0000}"/>
    <cellStyle name="tableau | cellule | normal | decimal 1 2 2" xfId="15129" xr:uid="{00000000-0005-0000-0000-0000693A0000}"/>
    <cellStyle name="tableau | cellule | normal | decimal 1 2 2 2" xfId="15130" xr:uid="{00000000-0005-0000-0000-00006A3A0000}"/>
    <cellStyle name="tableau | cellule | normal | decimal 1 2 3" xfId="15131" xr:uid="{00000000-0005-0000-0000-00006B3A0000}"/>
    <cellStyle name="tableau | cellule | normal | decimal 1 2 3 2" xfId="15132" xr:uid="{00000000-0005-0000-0000-00006C3A0000}"/>
    <cellStyle name="tableau | cellule | normal | decimal 1 2 4" xfId="15133" xr:uid="{00000000-0005-0000-0000-00006D3A0000}"/>
    <cellStyle name="tableau | cellule | normal | decimal 1 2 5" xfId="15134" xr:uid="{00000000-0005-0000-0000-00006E3A0000}"/>
    <cellStyle name="tableau | cellule | normal | decimal 1 3" xfId="15135" xr:uid="{00000000-0005-0000-0000-00006F3A0000}"/>
    <cellStyle name="tableau | cellule | normal | decimal 1 3 2" xfId="15136" xr:uid="{00000000-0005-0000-0000-0000703A0000}"/>
    <cellStyle name="tableau | cellule | normal | decimal 1 3 2 2" xfId="15137" xr:uid="{00000000-0005-0000-0000-0000713A0000}"/>
    <cellStyle name="tableau | cellule | normal | decimal 1 3 3" xfId="15138" xr:uid="{00000000-0005-0000-0000-0000723A0000}"/>
    <cellStyle name="tableau | cellule | normal | decimal 1 3 3 2" xfId="15139" xr:uid="{00000000-0005-0000-0000-0000733A0000}"/>
    <cellStyle name="tableau | cellule | normal | decimal 1 3 4" xfId="15140" xr:uid="{00000000-0005-0000-0000-0000743A0000}"/>
    <cellStyle name="tableau | cellule | normal | decimal 1 4" xfId="15141" xr:uid="{00000000-0005-0000-0000-0000753A0000}"/>
    <cellStyle name="tableau | cellule | normal | decimal 1 4 2" xfId="15142" xr:uid="{00000000-0005-0000-0000-0000763A0000}"/>
    <cellStyle name="tableau | cellule | normal | decimal 1 4 2 2" xfId="15143" xr:uid="{00000000-0005-0000-0000-0000773A0000}"/>
    <cellStyle name="tableau | cellule | normal | decimal 1 4 3" xfId="15144" xr:uid="{00000000-0005-0000-0000-0000783A0000}"/>
    <cellStyle name="tableau | cellule | normal | decimal 1 4 3 2" xfId="15145" xr:uid="{00000000-0005-0000-0000-0000793A0000}"/>
    <cellStyle name="tableau | cellule | normal | decimal 1 4 4" xfId="15146" xr:uid="{00000000-0005-0000-0000-00007A3A0000}"/>
    <cellStyle name="tableau | cellule | normal | decimal 1 5" xfId="15147" xr:uid="{00000000-0005-0000-0000-00007B3A0000}"/>
    <cellStyle name="tableau | cellule | normal | decimal 1 5 2" xfId="15148" xr:uid="{00000000-0005-0000-0000-00007C3A0000}"/>
    <cellStyle name="tableau | cellule | normal | decimal 1 5 2 2" xfId="15149" xr:uid="{00000000-0005-0000-0000-00007D3A0000}"/>
    <cellStyle name="tableau | cellule | normal | decimal 1 5 3" xfId="15150" xr:uid="{00000000-0005-0000-0000-00007E3A0000}"/>
    <cellStyle name="tableau | cellule | normal | decimal 1 5 3 2" xfId="15151" xr:uid="{00000000-0005-0000-0000-00007F3A0000}"/>
    <cellStyle name="tableau | cellule | normal | decimal 1 5 4" xfId="15152" xr:uid="{00000000-0005-0000-0000-0000803A0000}"/>
    <cellStyle name="tableau | cellule | normal | decimal 1 5 4 2" xfId="15153" xr:uid="{00000000-0005-0000-0000-0000813A0000}"/>
    <cellStyle name="tableau | cellule | normal | decimal 1 5 5" xfId="15154" xr:uid="{00000000-0005-0000-0000-0000823A0000}"/>
    <cellStyle name="tableau | cellule | normal | decimal 1 6" xfId="15155" xr:uid="{00000000-0005-0000-0000-0000833A0000}"/>
    <cellStyle name="tableau | cellule | normal | decimal 1 6 2" xfId="15156" xr:uid="{00000000-0005-0000-0000-0000843A0000}"/>
    <cellStyle name="tableau | cellule | normal | decimal 1 6 2 2" xfId="15157" xr:uid="{00000000-0005-0000-0000-0000853A0000}"/>
    <cellStyle name="tableau | cellule | normal | decimal 1 6 3" xfId="15158" xr:uid="{00000000-0005-0000-0000-0000863A0000}"/>
    <cellStyle name="tableau | cellule | normal | decimal 1 6 3 2" xfId="15159" xr:uid="{00000000-0005-0000-0000-0000873A0000}"/>
    <cellStyle name="tableau | cellule | normal | decimal 1 6 4" xfId="15160" xr:uid="{00000000-0005-0000-0000-0000883A0000}"/>
    <cellStyle name="tableau | cellule | normal | decimal 1 7" xfId="15161" xr:uid="{00000000-0005-0000-0000-0000893A0000}"/>
    <cellStyle name="tableau | cellule | normal | decimal 1 7 2" xfId="15162" xr:uid="{00000000-0005-0000-0000-00008A3A0000}"/>
    <cellStyle name="tableau | cellule | normal | decimal 1 8" xfId="15163" xr:uid="{00000000-0005-0000-0000-00008B3A0000}"/>
    <cellStyle name="tableau | cellule | normal | decimal 1 8 2" xfId="15164" xr:uid="{00000000-0005-0000-0000-00008C3A0000}"/>
    <cellStyle name="tableau | cellule | normal | decimal 1 9" xfId="15165" xr:uid="{00000000-0005-0000-0000-00008D3A0000}"/>
    <cellStyle name="tableau | cellule | normal | decimal 1 9 2" xfId="15166" xr:uid="{00000000-0005-0000-0000-00008E3A0000}"/>
    <cellStyle name="tableau | cellule | normal | pourcentage | decimal 1" xfId="325" xr:uid="{00000000-0005-0000-0000-00008F3A0000}"/>
    <cellStyle name="tableau | cellule | normal | pourcentage | decimal 1 10" xfId="15168" xr:uid="{00000000-0005-0000-0000-0000903A0000}"/>
    <cellStyle name="tableau | cellule | normal | pourcentage | decimal 1 11" xfId="15169" xr:uid="{00000000-0005-0000-0000-0000913A0000}"/>
    <cellStyle name="tableau | cellule | normal | pourcentage | decimal 1 12" xfId="15167" xr:uid="{00000000-0005-0000-0000-0000923A0000}"/>
    <cellStyle name="tableau | cellule | normal | pourcentage | decimal 1 2" xfId="15170" xr:uid="{00000000-0005-0000-0000-0000933A0000}"/>
    <cellStyle name="tableau | cellule | normal | pourcentage | decimal 1 2 2" xfId="15171" xr:uid="{00000000-0005-0000-0000-0000943A0000}"/>
    <cellStyle name="tableau | cellule | normal | pourcentage | decimal 1 2 2 2" xfId="15172" xr:uid="{00000000-0005-0000-0000-0000953A0000}"/>
    <cellStyle name="tableau | cellule | normal | pourcentage | decimal 1 2 3" xfId="15173" xr:uid="{00000000-0005-0000-0000-0000963A0000}"/>
    <cellStyle name="tableau | cellule | normal | pourcentage | decimal 1 2 3 2" xfId="15174" xr:uid="{00000000-0005-0000-0000-0000973A0000}"/>
    <cellStyle name="tableau | cellule | normal | pourcentage | decimal 1 2 4" xfId="15175" xr:uid="{00000000-0005-0000-0000-0000983A0000}"/>
    <cellStyle name="tableau | cellule | normal | pourcentage | decimal 1 2 5" xfId="15176" xr:uid="{00000000-0005-0000-0000-0000993A0000}"/>
    <cellStyle name="tableau | cellule | normal | pourcentage | decimal 1 3" xfId="15177" xr:uid="{00000000-0005-0000-0000-00009A3A0000}"/>
    <cellStyle name="tableau | cellule | normal | pourcentage | decimal 1 3 2" xfId="15178" xr:uid="{00000000-0005-0000-0000-00009B3A0000}"/>
    <cellStyle name="tableau | cellule | normal | pourcentage | decimal 1 3 2 2" xfId="15179" xr:uid="{00000000-0005-0000-0000-00009C3A0000}"/>
    <cellStyle name="tableau | cellule | normal | pourcentage | decimal 1 3 3" xfId="15180" xr:uid="{00000000-0005-0000-0000-00009D3A0000}"/>
    <cellStyle name="tableau | cellule | normal | pourcentage | decimal 1 3 3 2" xfId="15181" xr:uid="{00000000-0005-0000-0000-00009E3A0000}"/>
    <cellStyle name="tableau | cellule | normal | pourcentage | decimal 1 3 4" xfId="15182" xr:uid="{00000000-0005-0000-0000-00009F3A0000}"/>
    <cellStyle name="tableau | cellule | normal | pourcentage | decimal 1 4" xfId="15183" xr:uid="{00000000-0005-0000-0000-0000A03A0000}"/>
    <cellStyle name="tableau | cellule | normal | pourcentage | decimal 1 4 2" xfId="15184" xr:uid="{00000000-0005-0000-0000-0000A13A0000}"/>
    <cellStyle name="tableau | cellule | normal | pourcentage | decimal 1 4 2 2" xfId="15185" xr:uid="{00000000-0005-0000-0000-0000A23A0000}"/>
    <cellStyle name="tableau | cellule | normal | pourcentage | decimal 1 4 3" xfId="15186" xr:uid="{00000000-0005-0000-0000-0000A33A0000}"/>
    <cellStyle name="tableau | cellule | normal | pourcentage | decimal 1 4 3 2" xfId="15187" xr:uid="{00000000-0005-0000-0000-0000A43A0000}"/>
    <cellStyle name="tableau | cellule | normal | pourcentage | decimal 1 4 4" xfId="15188" xr:uid="{00000000-0005-0000-0000-0000A53A0000}"/>
    <cellStyle name="tableau | cellule | normal | pourcentage | decimal 1 5" xfId="15189" xr:uid="{00000000-0005-0000-0000-0000A63A0000}"/>
    <cellStyle name="tableau | cellule | normal | pourcentage | decimal 1 5 2" xfId="15190" xr:uid="{00000000-0005-0000-0000-0000A73A0000}"/>
    <cellStyle name="tableau | cellule | normal | pourcentage | decimal 1 5 2 2" xfId="15191" xr:uid="{00000000-0005-0000-0000-0000A83A0000}"/>
    <cellStyle name="tableau | cellule | normal | pourcentage | decimal 1 5 3" xfId="15192" xr:uid="{00000000-0005-0000-0000-0000A93A0000}"/>
    <cellStyle name="tableau | cellule | normal | pourcentage | decimal 1 5 3 2" xfId="15193" xr:uid="{00000000-0005-0000-0000-0000AA3A0000}"/>
    <cellStyle name="tableau | cellule | normal | pourcentage | decimal 1 5 4" xfId="15194" xr:uid="{00000000-0005-0000-0000-0000AB3A0000}"/>
    <cellStyle name="tableau | cellule | normal | pourcentage | decimal 1 5 4 2" xfId="15195" xr:uid="{00000000-0005-0000-0000-0000AC3A0000}"/>
    <cellStyle name="tableau | cellule | normal | pourcentage | decimal 1 5 5" xfId="15196" xr:uid="{00000000-0005-0000-0000-0000AD3A0000}"/>
    <cellStyle name="tableau | cellule | normal | pourcentage | decimal 1 6" xfId="15197" xr:uid="{00000000-0005-0000-0000-0000AE3A0000}"/>
    <cellStyle name="tableau | cellule | normal | pourcentage | decimal 1 6 2" xfId="15198" xr:uid="{00000000-0005-0000-0000-0000AF3A0000}"/>
    <cellStyle name="tableau | cellule | normal | pourcentage | decimal 1 6 2 2" xfId="15199" xr:uid="{00000000-0005-0000-0000-0000B03A0000}"/>
    <cellStyle name="tableau | cellule | normal | pourcentage | decimal 1 6 3" xfId="15200" xr:uid="{00000000-0005-0000-0000-0000B13A0000}"/>
    <cellStyle name="tableau | cellule | normal | pourcentage | decimal 1 6 3 2" xfId="15201" xr:uid="{00000000-0005-0000-0000-0000B23A0000}"/>
    <cellStyle name="tableau | cellule | normal | pourcentage | decimal 1 6 4" xfId="15202" xr:uid="{00000000-0005-0000-0000-0000B33A0000}"/>
    <cellStyle name="tableau | cellule | normal | pourcentage | decimal 1 7" xfId="15203" xr:uid="{00000000-0005-0000-0000-0000B43A0000}"/>
    <cellStyle name="tableau | cellule | normal | pourcentage | decimal 1 7 2" xfId="15204" xr:uid="{00000000-0005-0000-0000-0000B53A0000}"/>
    <cellStyle name="tableau | cellule | normal | pourcentage | decimal 1 8" xfId="15205" xr:uid="{00000000-0005-0000-0000-0000B63A0000}"/>
    <cellStyle name="tableau | cellule | normal | pourcentage | decimal 1 8 2" xfId="15206" xr:uid="{00000000-0005-0000-0000-0000B73A0000}"/>
    <cellStyle name="tableau | cellule | normal | pourcentage | decimal 1 9" xfId="15207" xr:uid="{00000000-0005-0000-0000-0000B83A0000}"/>
    <cellStyle name="tableau | cellule | normal | pourcentage | decimal 1 9 2" xfId="15208" xr:uid="{00000000-0005-0000-0000-0000B93A0000}"/>
    <cellStyle name="tableau | cellule | total | decimal 1" xfId="326" xr:uid="{00000000-0005-0000-0000-0000BA3A0000}"/>
    <cellStyle name="tableau | cellule | total | decimal 1 10" xfId="15210" xr:uid="{00000000-0005-0000-0000-0000BB3A0000}"/>
    <cellStyle name="tableau | cellule | total | decimal 1 11" xfId="15211" xr:uid="{00000000-0005-0000-0000-0000BC3A0000}"/>
    <cellStyle name="tableau | cellule | total | decimal 1 12" xfId="15209" xr:uid="{00000000-0005-0000-0000-0000BD3A0000}"/>
    <cellStyle name="tableau | cellule | total | decimal 1 2" xfId="15212" xr:uid="{00000000-0005-0000-0000-0000BE3A0000}"/>
    <cellStyle name="tableau | cellule | total | decimal 1 2 2" xfId="15213" xr:uid="{00000000-0005-0000-0000-0000BF3A0000}"/>
    <cellStyle name="tableau | cellule | total | decimal 1 2 2 2" xfId="15214" xr:uid="{00000000-0005-0000-0000-0000C03A0000}"/>
    <cellStyle name="tableau | cellule | total | decimal 1 2 3" xfId="15215" xr:uid="{00000000-0005-0000-0000-0000C13A0000}"/>
    <cellStyle name="tableau | cellule | total | decimal 1 2 3 2" xfId="15216" xr:uid="{00000000-0005-0000-0000-0000C23A0000}"/>
    <cellStyle name="tableau | cellule | total | decimal 1 2 4" xfId="15217" xr:uid="{00000000-0005-0000-0000-0000C33A0000}"/>
    <cellStyle name="tableau | cellule | total | decimal 1 2 5" xfId="15218" xr:uid="{00000000-0005-0000-0000-0000C43A0000}"/>
    <cellStyle name="tableau | cellule | total | decimal 1 3" xfId="15219" xr:uid="{00000000-0005-0000-0000-0000C53A0000}"/>
    <cellStyle name="tableau | cellule | total | decimal 1 3 2" xfId="15220" xr:uid="{00000000-0005-0000-0000-0000C63A0000}"/>
    <cellStyle name="tableau | cellule | total | decimal 1 3 2 2" xfId="15221" xr:uid="{00000000-0005-0000-0000-0000C73A0000}"/>
    <cellStyle name="tableau | cellule | total | decimal 1 3 3" xfId="15222" xr:uid="{00000000-0005-0000-0000-0000C83A0000}"/>
    <cellStyle name="tableau | cellule | total | decimal 1 3 3 2" xfId="15223" xr:uid="{00000000-0005-0000-0000-0000C93A0000}"/>
    <cellStyle name="tableau | cellule | total | decimal 1 3 4" xfId="15224" xr:uid="{00000000-0005-0000-0000-0000CA3A0000}"/>
    <cellStyle name="tableau | cellule | total | decimal 1 4" xfId="15225" xr:uid="{00000000-0005-0000-0000-0000CB3A0000}"/>
    <cellStyle name="tableau | cellule | total | decimal 1 4 2" xfId="15226" xr:uid="{00000000-0005-0000-0000-0000CC3A0000}"/>
    <cellStyle name="tableau | cellule | total | decimal 1 4 2 2" xfId="15227" xr:uid="{00000000-0005-0000-0000-0000CD3A0000}"/>
    <cellStyle name="tableau | cellule | total | decimal 1 4 3" xfId="15228" xr:uid="{00000000-0005-0000-0000-0000CE3A0000}"/>
    <cellStyle name="tableau | cellule | total | decimal 1 4 3 2" xfId="15229" xr:uid="{00000000-0005-0000-0000-0000CF3A0000}"/>
    <cellStyle name="tableau | cellule | total | decimal 1 4 4" xfId="15230" xr:uid="{00000000-0005-0000-0000-0000D03A0000}"/>
    <cellStyle name="tableau | cellule | total | decimal 1 5" xfId="15231" xr:uid="{00000000-0005-0000-0000-0000D13A0000}"/>
    <cellStyle name="tableau | cellule | total | decimal 1 5 2" xfId="15232" xr:uid="{00000000-0005-0000-0000-0000D23A0000}"/>
    <cellStyle name="tableau | cellule | total | decimal 1 5 2 2" xfId="15233" xr:uid="{00000000-0005-0000-0000-0000D33A0000}"/>
    <cellStyle name="tableau | cellule | total | decimal 1 5 3" xfId="15234" xr:uid="{00000000-0005-0000-0000-0000D43A0000}"/>
    <cellStyle name="tableau | cellule | total | decimal 1 5 3 2" xfId="15235" xr:uid="{00000000-0005-0000-0000-0000D53A0000}"/>
    <cellStyle name="tableau | cellule | total | decimal 1 5 4" xfId="15236" xr:uid="{00000000-0005-0000-0000-0000D63A0000}"/>
    <cellStyle name="tableau | cellule | total | decimal 1 5 4 2" xfId="15237" xr:uid="{00000000-0005-0000-0000-0000D73A0000}"/>
    <cellStyle name="tableau | cellule | total | decimal 1 5 5" xfId="15238" xr:uid="{00000000-0005-0000-0000-0000D83A0000}"/>
    <cellStyle name="tableau | cellule | total | decimal 1 6" xfId="15239" xr:uid="{00000000-0005-0000-0000-0000D93A0000}"/>
    <cellStyle name="tableau | cellule | total | decimal 1 6 2" xfId="15240" xr:uid="{00000000-0005-0000-0000-0000DA3A0000}"/>
    <cellStyle name="tableau | cellule | total | decimal 1 6 2 2" xfId="15241" xr:uid="{00000000-0005-0000-0000-0000DB3A0000}"/>
    <cellStyle name="tableau | cellule | total | decimal 1 6 3" xfId="15242" xr:uid="{00000000-0005-0000-0000-0000DC3A0000}"/>
    <cellStyle name="tableau | cellule | total | decimal 1 6 3 2" xfId="15243" xr:uid="{00000000-0005-0000-0000-0000DD3A0000}"/>
    <cellStyle name="tableau | cellule | total | decimal 1 6 4" xfId="15244" xr:uid="{00000000-0005-0000-0000-0000DE3A0000}"/>
    <cellStyle name="tableau | cellule | total | decimal 1 7" xfId="15245" xr:uid="{00000000-0005-0000-0000-0000DF3A0000}"/>
    <cellStyle name="tableau | cellule | total | decimal 1 7 2" xfId="15246" xr:uid="{00000000-0005-0000-0000-0000E03A0000}"/>
    <cellStyle name="tableau | cellule | total | decimal 1 8" xfId="15247" xr:uid="{00000000-0005-0000-0000-0000E13A0000}"/>
    <cellStyle name="tableau | cellule | total | decimal 1 8 2" xfId="15248" xr:uid="{00000000-0005-0000-0000-0000E23A0000}"/>
    <cellStyle name="tableau | cellule | total | decimal 1 9" xfId="15249" xr:uid="{00000000-0005-0000-0000-0000E33A0000}"/>
    <cellStyle name="tableau | cellule | total | decimal 1 9 2" xfId="15250" xr:uid="{00000000-0005-0000-0000-0000E43A0000}"/>
    <cellStyle name="tableau | coin superieur gauche" xfId="327" xr:uid="{00000000-0005-0000-0000-0000E53A0000}"/>
    <cellStyle name="tableau | coin superieur gauche 10" xfId="15252" xr:uid="{00000000-0005-0000-0000-0000E63A0000}"/>
    <cellStyle name="tableau | coin superieur gauche 11" xfId="15253" xr:uid="{00000000-0005-0000-0000-0000E73A0000}"/>
    <cellStyle name="tableau | coin superieur gauche 12" xfId="15251" xr:uid="{00000000-0005-0000-0000-0000E83A0000}"/>
    <cellStyle name="tableau | coin superieur gauche 2" xfId="15254" xr:uid="{00000000-0005-0000-0000-0000E93A0000}"/>
    <cellStyle name="tableau | coin superieur gauche 2 2" xfId="15255" xr:uid="{00000000-0005-0000-0000-0000EA3A0000}"/>
    <cellStyle name="tableau | coin superieur gauche 2 2 2" xfId="15256" xr:uid="{00000000-0005-0000-0000-0000EB3A0000}"/>
    <cellStyle name="tableau | coin superieur gauche 2 3" xfId="15257" xr:uid="{00000000-0005-0000-0000-0000EC3A0000}"/>
    <cellStyle name="tableau | coin superieur gauche 2 3 2" xfId="15258" xr:uid="{00000000-0005-0000-0000-0000ED3A0000}"/>
    <cellStyle name="tableau | coin superieur gauche 2 4" xfId="15259" xr:uid="{00000000-0005-0000-0000-0000EE3A0000}"/>
    <cellStyle name="tableau | coin superieur gauche 2 5" xfId="15260" xr:uid="{00000000-0005-0000-0000-0000EF3A0000}"/>
    <cellStyle name="tableau | coin superieur gauche 3" xfId="15261" xr:uid="{00000000-0005-0000-0000-0000F03A0000}"/>
    <cellStyle name="tableau | coin superieur gauche 3 2" xfId="15262" xr:uid="{00000000-0005-0000-0000-0000F13A0000}"/>
    <cellStyle name="tableau | coin superieur gauche 3 2 2" xfId="15263" xr:uid="{00000000-0005-0000-0000-0000F23A0000}"/>
    <cellStyle name="tableau | coin superieur gauche 3 3" xfId="15264" xr:uid="{00000000-0005-0000-0000-0000F33A0000}"/>
    <cellStyle name="tableau | coin superieur gauche 3 3 2" xfId="15265" xr:uid="{00000000-0005-0000-0000-0000F43A0000}"/>
    <cellStyle name="tableau | coin superieur gauche 3 4" xfId="15266" xr:uid="{00000000-0005-0000-0000-0000F53A0000}"/>
    <cellStyle name="tableau | coin superieur gauche 4" xfId="15267" xr:uid="{00000000-0005-0000-0000-0000F63A0000}"/>
    <cellStyle name="tableau | coin superieur gauche 4 2" xfId="15268" xr:uid="{00000000-0005-0000-0000-0000F73A0000}"/>
    <cellStyle name="tableau | coin superieur gauche 4 2 2" xfId="15269" xr:uid="{00000000-0005-0000-0000-0000F83A0000}"/>
    <cellStyle name="tableau | coin superieur gauche 4 3" xfId="15270" xr:uid="{00000000-0005-0000-0000-0000F93A0000}"/>
    <cellStyle name="tableau | coin superieur gauche 4 3 2" xfId="15271" xr:uid="{00000000-0005-0000-0000-0000FA3A0000}"/>
    <cellStyle name="tableau | coin superieur gauche 4 4" xfId="15272" xr:uid="{00000000-0005-0000-0000-0000FB3A0000}"/>
    <cellStyle name="tableau | coin superieur gauche 5" xfId="15273" xr:uid="{00000000-0005-0000-0000-0000FC3A0000}"/>
    <cellStyle name="tableau | coin superieur gauche 5 2" xfId="15274" xr:uid="{00000000-0005-0000-0000-0000FD3A0000}"/>
    <cellStyle name="tableau | coin superieur gauche 5 2 2" xfId="15275" xr:uid="{00000000-0005-0000-0000-0000FE3A0000}"/>
    <cellStyle name="tableau | coin superieur gauche 5 3" xfId="15276" xr:uid="{00000000-0005-0000-0000-0000FF3A0000}"/>
    <cellStyle name="tableau | coin superieur gauche 5 3 2" xfId="15277" xr:uid="{00000000-0005-0000-0000-0000003B0000}"/>
    <cellStyle name="tableau | coin superieur gauche 5 4" xfId="15278" xr:uid="{00000000-0005-0000-0000-0000013B0000}"/>
    <cellStyle name="tableau | coin superieur gauche 5 4 2" xfId="15279" xr:uid="{00000000-0005-0000-0000-0000023B0000}"/>
    <cellStyle name="tableau | coin superieur gauche 5 5" xfId="15280" xr:uid="{00000000-0005-0000-0000-0000033B0000}"/>
    <cellStyle name="tableau | coin superieur gauche 6" xfId="15281" xr:uid="{00000000-0005-0000-0000-0000043B0000}"/>
    <cellStyle name="tableau | coin superieur gauche 6 2" xfId="15282" xr:uid="{00000000-0005-0000-0000-0000053B0000}"/>
    <cellStyle name="tableau | coin superieur gauche 6 2 2" xfId="15283" xr:uid="{00000000-0005-0000-0000-0000063B0000}"/>
    <cellStyle name="tableau | coin superieur gauche 6 3" xfId="15284" xr:uid="{00000000-0005-0000-0000-0000073B0000}"/>
    <cellStyle name="tableau | coin superieur gauche 6 3 2" xfId="15285" xr:uid="{00000000-0005-0000-0000-0000083B0000}"/>
    <cellStyle name="tableau | coin superieur gauche 6 4" xfId="15286" xr:uid="{00000000-0005-0000-0000-0000093B0000}"/>
    <cellStyle name="tableau | coin superieur gauche 7" xfId="15287" xr:uid="{00000000-0005-0000-0000-00000A3B0000}"/>
    <cellStyle name="tableau | coin superieur gauche 7 2" xfId="15288" xr:uid="{00000000-0005-0000-0000-00000B3B0000}"/>
    <cellStyle name="tableau | coin superieur gauche 8" xfId="15289" xr:uid="{00000000-0005-0000-0000-00000C3B0000}"/>
    <cellStyle name="tableau | coin superieur gauche 8 2" xfId="15290" xr:uid="{00000000-0005-0000-0000-00000D3B0000}"/>
    <cellStyle name="tableau | coin superieur gauche 9" xfId="15291" xr:uid="{00000000-0005-0000-0000-00000E3B0000}"/>
    <cellStyle name="tableau | coin superieur gauche 9 2" xfId="15292" xr:uid="{00000000-0005-0000-0000-00000F3B0000}"/>
    <cellStyle name="tableau | entete-colonne | series" xfId="328" xr:uid="{00000000-0005-0000-0000-0000103B0000}"/>
    <cellStyle name="tableau | entete-colonne | series 10" xfId="15294" xr:uid="{00000000-0005-0000-0000-0000113B0000}"/>
    <cellStyle name="tableau | entete-colonne | series 11" xfId="15295" xr:uid="{00000000-0005-0000-0000-0000123B0000}"/>
    <cellStyle name="tableau | entete-colonne | series 12" xfId="15293" xr:uid="{00000000-0005-0000-0000-0000133B0000}"/>
    <cellStyle name="tableau | entete-colonne | series 2" xfId="15296" xr:uid="{00000000-0005-0000-0000-0000143B0000}"/>
    <cellStyle name="tableau | entete-colonne | series 2 2" xfId="15297" xr:uid="{00000000-0005-0000-0000-0000153B0000}"/>
    <cellStyle name="tableau | entete-colonne | series 2 2 2" xfId="15298" xr:uid="{00000000-0005-0000-0000-0000163B0000}"/>
    <cellStyle name="tableau | entete-colonne | series 2 3" xfId="15299" xr:uid="{00000000-0005-0000-0000-0000173B0000}"/>
    <cellStyle name="tableau | entete-colonne | series 2 3 2" xfId="15300" xr:uid="{00000000-0005-0000-0000-0000183B0000}"/>
    <cellStyle name="tableau | entete-colonne | series 2 4" xfId="15301" xr:uid="{00000000-0005-0000-0000-0000193B0000}"/>
    <cellStyle name="tableau | entete-colonne | series 2 5" xfId="15302" xr:uid="{00000000-0005-0000-0000-00001A3B0000}"/>
    <cellStyle name="tableau | entete-colonne | series 3" xfId="15303" xr:uid="{00000000-0005-0000-0000-00001B3B0000}"/>
    <cellStyle name="tableau | entete-colonne | series 3 2" xfId="15304" xr:uid="{00000000-0005-0000-0000-00001C3B0000}"/>
    <cellStyle name="tableau | entete-colonne | series 3 2 2" xfId="15305" xr:uid="{00000000-0005-0000-0000-00001D3B0000}"/>
    <cellStyle name="tableau | entete-colonne | series 3 3" xfId="15306" xr:uid="{00000000-0005-0000-0000-00001E3B0000}"/>
    <cellStyle name="tableau | entete-colonne | series 3 3 2" xfId="15307" xr:uid="{00000000-0005-0000-0000-00001F3B0000}"/>
    <cellStyle name="tableau | entete-colonne | series 3 4" xfId="15308" xr:uid="{00000000-0005-0000-0000-0000203B0000}"/>
    <cellStyle name="tableau | entete-colonne | series 4" xfId="15309" xr:uid="{00000000-0005-0000-0000-0000213B0000}"/>
    <cellStyle name="tableau | entete-colonne | series 4 2" xfId="15310" xr:uid="{00000000-0005-0000-0000-0000223B0000}"/>
    <cellStyle name="tableau | entete-colonne | series 4 2 2" xfId="15311" xr:uid="{00000000-0005-0000-0000-0000233B0000}"/>
    <cellStyle name="tableau | entete-colonne | series 4 3" xfId="15312" xr:uid="{00000000-0005-0000-0000-0000243B0000}"/>
    <cellStyle name="tableau | entete-colonne | series 4 3 2" xfId="15313" xr:uid="{00000000-0005-0000-0000-0000253B0000}"/>
    <cellStyle name="tableau | entete-colonne | series 4 4" xfId="15314" xr:uid="{00000000-0005-0000-0000-0000263B0000}"/>
    <cellStyle name="tableau | entete-colonne | series 5" xfId="15315" xr:uid="{00000000-0005-0000-0000-0000273B0000}"/>
    <cellStyle name="tableau | entete-colonne | series 5 2" xfId="15316" xr:uid="{00000000-0005-0000-0000-0000283B0000}"/>
    <cellStyle name="tableau | entete-colonne | series 5 2 2" xfId="15317" xr:uid="{00000000-0005-0000-0000-0000293B0000}"/>
    <cellStyle name="tableau | entete-colonne | series 5 3" xfId="15318" xr:uid="{00000000-0005-0000-0000-00002A3B0000}"/>
    <cellStyle name="tableau | entete-colonne | series 5 3 2" xfId="15319" xr:uid="{00000000-0005-0000-0000-00002B3B0000}"/>
    <cellStyle name="tableau | entete-colonne | series 5 4" xfId="15320" xr:uid="{00000000-0005-0000-0000-00002C3B0000}"/>
    <cellStyle name="tableau | entete-colonne | series 5 4 2" xfId="15321" xr:uid="{00000000-0005-0000-0000-00002D3B0000}"/>
    <cellStyle name="tableau | entete-colonne | series 5 5" xfId="15322" xr:uid="{00000000-0005-0000-0000-00002E3B0000}"/>
    <cellStyle name="tableau | entete-colonne | series 6" xfId="15323" xr:uid="{00000000-0005-0000-0000-00002F3B0000}"/>
    <cellStyle name="tableau | entete-colonne | series 6 2" xfId="15324" xr:uid="{00000000-0005-0000-0000-0000303B0000}"/>
    <cellStyle name="tableau | entete-colonne | series 6 2 2" xfId="15325" xr:uid="{00000000-0005-0000-0000-0000313B0000}"/>
    <cellStyle name="tableau | entete-colonne | series 6 3" xfId="15326" xr:uid="{00000000-0005-0000-0000-0000323B0000}"/>
    <cellStyle name="tableau | entete-colonne | series 6 3 2" xfId="15327" xr:uid="{00000000-0005-0000-0000-0000333B0000}"/>
    <cellStyle name="tableau | entete-colonne | series 6 4" xfId="15328" xr:uid="{00000000-0005-0000-0000-0000343B0000}"/>
    <cellStyle name="tableau | entete-colonne | series 7" xfId="15329" xr:uid="{00000000-0005-0000-0000-0000353B0000}"/>
    <cellStyle name="tableau | entete-colonne | series 7 2" xfId="15330" xr:uid="{00000000-0005-0000-0000-0000363B0000}"/>
    <cellStyle name="tableau | entete-colonne | series 8" xfId="15331" xr:uid="{00000000-0005-0000-0000-0000373B0000}"/>
    <cellStyle name="tableau | entete-colonne | series 8 2" xfId="15332" xr:uid="{00000000-0005-0000-0000-0000383B0000}"/>
    <cellStyle name="tableau | entete-colonne | series 9" xfId="15333" xr:uid="{00000000-0005-0000-0000-0000393B0000}"/>
    <cellStyle name="tableau | entete-colonne | series 9 2" xfId="15334" xr:uid="{00000000-0005-0000-0000-00003A3B0000}"/>
    <cellStyle name="tableau | entete-ligne | normal" xfId="329" xr:uid="{00000000-0005-0000-0000-00003B3B0000}"/>
    <cellStyle name="tableau | entete-ligne | normal 10" xfId="15336" xr:uid="{00000000-0005-0000-0000-00003C3B0000}"/>
    <cellStyle name="tableau | entete-ligne | normal 11" xfId="15337" xr:uid="{00000000-0005-0000-0000-00003D3B0000}"/>
    <cellStyle name="tableau | entete-ligne | normal 12" xfId="15335" xr:uid="{00000000-0005-0000-0000-00003E3B0000}"/>
    <cellStyle name="tableau | entete-ligne | normal 2" xfId="15338" xr:uid="{00000000-0005-0000-0000-00003F3B0000}"/>
    <cellStyle name="tableau | entete-ligne | normal 2 2" xfId="15339" xr:uid="{00000000-0005-0000-0000-0000403B0000}"/>
    <cellStyle name="tableau | entete-ligne | normal 2 2 2" xfId="15340" xr:uid="{00000000-0005-0000-0000-0000413B0000}"/>
    <cellStyle name="tableau | entete-ligne | normal 2 3" xfId="15341" xr:uid="{00000000-0005-0000-0000-0000423B0000}"/>
    <cellStyle name="tableau | entete-ligne | normal 2 3 2" xfId="15342" xr:uid="{00000000-0005-0000-0000-0000433B0000}"/>
    <cellStyle name="tableau | entete-ligne | normal 2 4" xfId="15343" xr:uid="{00000000-0005-0000-0000-0000443B0000}"/>
    <cellStyle name="tableau | entete-ligne | normal 2 5" xfId="15344" xr:uid="{00000000-0005-0000-0000-0000453B0000}"/>
    <cellStyle name="tableau | entete-ligne | normal 3" xfId="15345" xr:uid="{00000000-0005-0000-0000-0000463B0000}"/>
    <cellStyle name="tableau | entete-ligne | normal 3 2" xfId="15346" xr:uid="{00000000-0005-0000-0000-0000473B0000}"/>
    <cellStyle name="tableau | entete-ligne | normal 3 2 2" xfId="15347" xr:uid="{00000000-0005-0000-0000-0000483B0000}"/>
    <cellStyle name="tableau | entete-ligne | normal 3 3" xfId="15348" xr:uid="{00000000-0005-0000-0000-0000493B0000}"/>
    <cellStyle name="tableau | entete-ligne | normal 3 3 2" xfId="15349" xr:uid="{00000000-0005-0000-0000-00004A3B0000}"/>
    <cellStyle name="tableau | entete-ligne | normal 3 4" xfId="15350" xr:uid="{00000000-0005-0000-0000-00004B3B0000}"/>
    <cellStyle name="tableau | entete-ligne | normal 4" xfId="15351" xr:uid="{00000000-0005-0000-0000-00004C3B0000}"/>
    <cellStyle name="tableau | entete-ligne | normal 4 2" xfId="15352" xr:uid="{00000000-0005-0000-0000-00004D3B0000}"/>
    <cellStyle name="tableau | entete-ligne | normal 4 2 2" xfId="15353" xr:uid="{00000000-0005-0000-0000-00004E3B0000}"/>
    <cellStyle name="tableau | entete-ligne | normal 4 3" xfId="15354" xr:uid="{00000000-0005-0000-0000-00004F3B0000}"/>
    <cellStyle name="tableau | entete-ligne | normal 4 3 2" xfId="15355" xr:uid="{00000000-0005-0000-0000-0000503B0000}"/>
    <cellStyle name="tableau | entete-ligne | normal 4 4" xfId="15356" xr:uid="{00000000-0005-0000-0000-0000513B0000}"/>
    <cellStyle name="tableau | entete-ligne | normal 5" xfId="15357" xr:uid="{00000000-0005-0000-0000-0000523B0000}"/>
    <cellStyle name="tableau | entete-ligne | normal 5 2" xfId="15358" xr:uid="{00000000-0005-0000-0000-0000533B0000}"/>
    <cellStyle name="tableau | entete-ligne | normal 5 2 2" xfId="15359" xr:uid="{00000000-0005-0000-0000-0000543B0000}"/>
    <cellStyle name="tableau | entete-ligne | normal 5 3" xfId="15360" xr:uid="{00000000-0005-0000-0000-0000553B0000}"/>
    <cellStyle name="tableau | entete-ligne | normal 5 3 2" xfId="15361" xr:uid="{00000000-0005-0000-0000-0000563B0000}"/>
    <cellStyle name="tableau | entete-ligne | normal 5 4" xfId="15362" xr:uid="{00000000-0005-0000-0000-0000573B0000}"/>
    <cellStyle name="tableau | entete-ligne | normal 5 4 2" xfId="15363" xr:uid="{00000000-0005-0000-0000-0000583B0000}"/>
    <cellStyle name="tableau | entete-ligne | normal 5 5" xfId="15364" xr:uid="{00000000-0005-0000-0000-0000593B0000}"/>
    <cellStyle name="tableau | entete-ligne | normal 6" xfId="15365" xr:uid="{00000000-0005-0000-0000-00005A3B0000}"/>
    <cellStyle name="tableau | entete-ligne | normal 6 2" xfId="15366" xr:uid="{00000000-0005-0000-0000-00005B3B0000}"/>
    <cellStyle name="tableau | entete-ligne | normal 6 2 2" xfId="15367" xr:uid="{00000000-0005-0000-0000-00005C3B0000}"/>
    <cellStyle name="tableau | entete-ligne | normal 6 3" xfId="15368" xr:uid="{00000000-0005-0000-0000-00005D3B0000}"/>
    <cellStyle name="tableau | entete-ligne | normal 6 3 2" xfId="15369" xr:uid="{00000000-0005-0000-0000-00005E3B0000}"/>
    <cellStyle name="tableau | entete-ligne | normal 6 4" xfId="15370" xr:uid="{00000000-0005-0000-0000-00005F3B0000}"/>
    <cellStyle name="tableau | entete-ligne | normal 7" xfId="15371" xr:uid="{00000000-0005-0000-0000-0000603B0000}"/>
    <cellStyle name="tableau | entete-ligne | normal 7 2" xfId="15372" xr:uid="{00000000-0005-0000-0000-0000613B0000}"/>
    <cellStyle name="tableau | entete-ligne | normal 8" xfId="15373" xr:uid="{00000000-0005-0000-0000-0000623B0000}"/>
    <cellStyle name="tableau | entete-ligne | normal 8 2" xfId="15374" xr:uid="{00000000-0005-0000-0000-0000633B0000}"/>
    <cellStyle name="tableau | entete-ligne | normal 9" xfId="15375" xr:uid="{00000000-0005-0000-0000-0000643B0000}"/>
    <cellStyle name="tableau | entete-ligne | normal 9 2" xfId="15376" xr:uid="{00000000-0005-0000-0000-0000653B0000}"/>
    <cellStyle name="tableau | entete-ligne | total" xfId="330" xr:uid="{00000000-0005-0000-0000-0000663B0000}"/>
    <cellStyle name="tableau | entete-ligne | total 10" xfId="15378" xr:uid="{00000000-0005-0000-0000-0000673B0000}"/>
    <cellStyle name="tableau | entete-ligne | total 11" xfId="15379" xr:uid="{00000000-0005-0000-0000-0000683B0000}"/>
    <cellStyle name="tableau | entete-ligne | total 12" xfId="15377" xr:uid="{00000000-0005-0000-0000-0000693B0000}"/>
    <cellStyle name="tableau | entete-ligne | total 2" xfId="15380" xr:uid="{00000000-0005-0000-0000-00006A3B0000}"/>
    <cellStyle name="tableau | entete-ligne | total 2 2" xfId="15381" xr:uid="{00000000-0005-0000-0000-00006B3B0000}"/>
    <cellStyle name="tableau | entete-ligne | total 2 2 2" xfId="15382" xr:uid="{00000000-0005-0000-0000-00006C3B0000}"/>
    <cellStyle name="tableau | entete-ligne | total 2 3" xfId="15383" xr:uid="{00000000-0005-0000-0000-00006D3B0000}"/>
    <cellStyle name="tableau | entete-ligne | total 2 3 2" xfId="15384" xr:uid="{00000000-0005-0000-0000-00006E3B0000}"/>
    <cellStyle name="tableau | entete-ligne | total 2 4" xfId="15385" xr:uid="{00000000-0005-0000-0000-00006F3B0000}"/>
    <cellStyle name="tableau | entete-ligne | total 2 5" xfId="15386" xr:uid="{00000000-0005-0000-0000-0000703B0000}"/>
    <cellStyle name="tableau | entete-ligne | total 3" xfId="15387" xr:uid="{00000000-0005-0000-0000-0000713B0000}"/>
    <cellStyle name="tableau | entete-ligne | total 3 2" xfId="15388" xr:uid="{00000000-0005-0000-0000-0000723B0000}"/>
    <cellStyle name="tableau | entete-ligne | total 3 2 2" xfId="15389" xr:uid="{00000000-0005-0000-0000-0000733B0000}"/>
    <cellStyle name="tableau | entete-ligne | total 3 3" xfId="15390" xr:uid="{00000000-0005-0000-0000-0000743B0000}"/>
    <cellStyle name="tableau | entete-ligne | total 3 3 2" xfId="15391" xr:uid="{00000000-0005-0000-0000-0000753B0000}"/>
    <cellStyle name="tableau | entete-ligne | total 3 4" xfId="15392" xr:uid="{00000000-0005-0000-0000-0000763B0000}"/>
    <cellStyle name="tableau | entete-ligne | total 4" xfId="15393" xr:uid="{00000000-0005-0000-0000-0000773B0000}"/>
    <cellStyle name="tableau | entete-ligne | total 4 2" xfId="15394" xr:uid="{00000000-0005-0000-0000-0000783B0000}"/>
    <cellStyle name="tableau | entete-ligne | total 4 2 2" xfId="15395" xr:uid="{00000000-0005-0000-0000-0000793B0000}"/>
    <cellStyle name="tableau | entete-ligne | total 4 3" xfId="15396" xr:uid="{00000000-0005-0000-0000-00007A3B0000}"/>
    <cellStyle name="tableau | entete-ligne | total 4 3 2" xfId="15397" xr:uid="{00000000-0005-0000-0000-00007B3B0000}"/>
    <cellStyle name="tableau | entete-ligne | total 4 4" xfId="15398" xr:uid="{00000000-0005-0000-0000-00007C3B0000}"/>
    <cellStyle name="tableau | entete-ligne | total 5" xfId="15399" xr:uid="{00000000-0005-0000-0000-00007D3B0000}"/>
    <cellStyle name="tableau | entete-ligne | total 5 2" xfId="15400" xr:uid="{00000000-0005-0000-0000-00007E3B0000}"/>
    <cellStyle name="tableau | entete-ligne | total 5 2 2" xfId="15401" xr:uid="{00000000-0005-0000-0000-00007F3B0000}"/>
    <cellStyle name="tableau | entete-ligne | total 5 3" xfId="15402" xr:uid="{00000000-0005-0000-0000-0000803B0000}"/>
    <cellStyle name="tableau | entete-ligne | total 5 3 2" xfId="15403" xr:uid="{00000000-0005-0000-0000-0000813B0000}"/>
    <cellStyle name="tableau | entete-ligne | total 5 4" xfId="15404" xr:uid="{00000000-0005-0000-0000-0000823B0000}"/>
    <cellStyle name="tableau | entete-ligne | total 5 4 2" xfId="15405" xr:uid="{00000000-0005-0000-0000-0000833B0000}"/>
    <cellStyle name="tableau | entete-ligne | total 5 5" xfId="15406" xr:uid="{00000000-0005-0000-0000-0000843B0000}"/>
    <cellStyle name="tableau | entete-ligne | total 6" xfId="15407" xr:uid="{00000000-0005-0000-0000-0000853B0000}"/>
    <cellStyle name="tableau | entete-ligne | total 6 2" xfId="15408" xr:uid="{00000000-0005-0000-0000-0000863B0000}"/>
    <cellStyle name="tableau | entete-ligne | total 6 2 2" xfId="15409" xr:uid="{00000000-0005-0000-0000-0000873B0000}"/>
    <cellStyle name="tableau | entete-ligne | total 6 3" xfId="15410" xr:uid="{00000000-0005-0000-0000-0000883B0000}"/>
    <cellStyle name="tableau | entete-ligne | total 6 3 2" xfId="15411" xr:uid="{00000000-0005-0000-0000-0000893B0000}"/>
    <cellStyle name="tableau | entete-ligne | total 6 4" xfId="15412" xr:uid="{00000000-0005-0000-0000-00008A3B0000}"/>
    <cellStyle name="tableau | entete-ligne | total 7" xfId="15413" xr:uid="{00000000-0005-0000-0000-00008B3B0000}"/>
    <cellStyle name="tableau | entete-ligne | total 7 2" xfId="15414" xr:uid="{00000000-0005-0000-0000-00008C3B0000}"/>
    <cellStyle name="tableau | entete-ligne | total 8" xfId="15415" xr:uid="{00000000-0005-0000-0000-00008D3B0000}"/>
    <cellStyle name="tableau | entete-ligne | total 8 2" xfId="15416" xr:uid="{00000000-0005-0000-0000-00008E3B0000}"/>
    <cellStyle name="tableau | entete-ligne | total 9" xfId="15417" xr:uid="{00000000-0005-0000-0000-00008F3B0000}"/>
    <cellStyle name="tableau | entete-ligne | total 9 2" xfId="15418" xr:uid="{00000000-0005-0000-0000-0000903B0000}"/>
    <cellStyle name="tableau | ligne-titre | niveau1" xfId="331" xr:uid="{00000000-0005-0000-0000-0000913B0000}"/>
    <cellStyle name="tableau | ligne-titre | niveau1 10" xfId="15420" xr:uid="{00000000-0005-0000-0000-0000923B0000}"/>
    <cellStyle name="tableau | ligne-titre | niveau1 11" xfId="15421" xr:uid="{00000000-0005-0000-0000-0000933B0000}"/>
    <cellStyle name="tableau | ligne-titre | niveau1 12" xfId="15419" xr:uid="{00000000-0005-0000-0000-0000943B0000}"/>
    <cellStyle name="tableau | ligne-titre | niveau1 2" xfId="15422" xr:uid="{00000000-0005-0000-0000-0000953B0000}"/>
    <cellStyle name="tableau | ligne-titre | niveau1 2 2" xfId="15423" xr:uid="{00000000-0005-0000-0000-0000963B0000}"/>
    <cellStyle name="tableau | ligne-titre | niveau1 2 2 2" xfId="15424" xr:uid="{00000000-0005-0000-0000-0000973B0000}"/>
    <cellStyle name="tableau | ligne-titre | niveau1 2 3" xfId="15425" xr:uid="{00000000-0005-0000-0000-0000983B0000}"/>
    <cellStyle name="tableau | ligne-titre | niveau1 2 3 2" xfId="15426" xr:uid="{00000000-0005-0000-0000-0000993B0000}"/>
    <cellStyle name="tableau | ligne-titre | niveau1 2 4" xfId="15427" xr:uid="{00000000-0005-0000-0000-00009A3B0000}"/>
    <cellStyle name="tableau | ligne-titre | niveau1 2 5" xfId="15428" xr:uid="{00000000-0005-0000-0000-00009B3B0000}"/>
    <cellStyle name="tableau | ligne-titre | niveau1 3" xfId="15429" xr:uid="{00000000-0005-0000-0000-00009C3B0000}"/>
    <cellStyle name="tableau | ligne-titre | niveau1 3 2" xfId="15430" xr:uid="{00000000-0005-0000-0000-00009D3B0000}"/>
    <cellStyle name="tableau | ligne-titre | niveau1 3 2 2" xfId="15431" xr:uid="{00000000-0005-0000-0000-00009E3B0000}"/>
    <cellStyle name="tableau | ligne-titre | niveau1 3 3" xfId="15432" xr:uid="{00000000-0005-0000-0000-00009F3B0000}"/>
    <cellStyle name="tableau | ligne-titre | niveau1 3 3 2" xfId="15433" xr:uid="{00000000-0005-0000-0000-0000A03B0000}"/>
    <cellStyle name="tableau | ligne-titre | niveau1 3 4" xfId="15434" xr:uid="{00000000-0005-0000-0000-0000A13B0000}"/>
    <cellStyle name="tableau | ligne-titre | niveau1 4" xfId="15435" xr:uid="{00000000-0005-0000-0000-0000A23B0000}"/>
    <cellStyle name="tableau | ligne-titre | niveau1 4 2" xfId="15436" xr:uid="{00000000-0005-0000-0000-0000A33B0000}"/>
    <cellStyle name="tableau | ligne-titre | niveau1 4 2 2" xfId="15437" xr:uid="{00000000-0005-0000-0000-0000A43B0000}"/>
    <cellStyle name="tableau | ligne-titre | niveau1 4 3" xfId="15438" xr:uid="{00000000-0005-0000-0000-0000A53B0000}"/>
    <cellStyle name="tableau | ligne-titre | niveau1 4 3 2" xfId="15439" xr:uid="{00000000-0005-0000-0000-0000A63B0000}"/>
    <cellStyle name="tableau | ligne-titre | niveau1 4 4" xfId="15440" xr:uid="{00000000-0005-0000-0000-0000A73B0000}"/>
    <cellStyle name="tableau | ligne-titre | niveau1 5" xfId="15441" xr:uid="{00000000-0005-0000-0000-0000A83B0000}"/>
    <cellStyle name="tableau | ligne-titre | niveau1 5 2" xfId="15442" xr:uid="{00000000-0005-0000-0000-0000A93B0000}"/>
    <cellStyle name="tableau | ligne-titre | niveau1 5 2 2" xfId="15443" xr:uid="{00000000-0005-0000-0000-0000AA3B0000}"/>
    <cellStyle name="tableau | ligne-titre | niveau1 5 3" xfId="15444" xr:uid="{00000000-0005-0000-0000-0000AB3B0000}"/>
    <cellStyle name="tableau | ligne-titre | niveau1 5 3 2" xfId="15445" xr:uid="{00000000-0005-0000-0000-0000AC3B0000}"/>
    <cellStyle name="tableau | ligne-titre | niveau1 5 4" xfId="15446" xr:uid="{00000000-0005-0000-0000-0000AD3B0000}"/>
    <cellStyle name="tableau | ligne-titre | niveau1 5 4 2" xfId="15447" xr:uid="{00000000-0005-0000-0000-0000AE3B0000}"/>
    <cellStyle name="tableau | ligne-titre | niveau1 5 5" xfId="15448" xr:uid="{00000000-0005-0000-0000-0000AF3B0000}"/>
    <cellStyle name="tableau | ligne-titre | niveau1 6" xfId="15449" xr:uid="{00000000-0005-0000-0000-0000B03B0000}"/>
    <cellStyle name="tableau | ligne-titre | niveau1 6 2" xfId="15450" xr:uid="{00000000-0005-0000-0000-0000B13B0000}"/>
    <cellStyle name="tableau | ligne-titre | niveau1 6 2 2" xfId="15451" xr:uid="{00000000-0005-0000-0000-0000B23B0000}"/>
    <cellStyle name="tableau | ligne-titre | niveau1 6 3" xfId="15452" xr:uid="{00000000-0005-0000-0000-0000B33B0000}"/>
    <cellStyle name="tableau | ligne-titre | niveau1 6 3 2" xfId="15453" xr:uid="{00000000-0005-0000-0000-0000B43B0000}"/>
    <cellStyle name="tableau | ligne-titre | niveau1 6 4" xfId="15454" xr:uid="{00000000-0005-0000-0000-0000B53B0000}"/>
    <cellStyle name="tableau | ligne-titre | niveau1 7" xfId="15455" xr:uid="{00000000-0005-0000-0000-0000B63B0000}"/>
    <cellStyle name="tableau | ligne-titre | niveau1 7 2" xfId="15456" xr:uid="{00000000-0005-0000-0000-0000B73B0000}"/>
    <cellStyle name="tableau | ligne-titre | niveau1 8" xfId="15457" xr:uid="{00000000-0005-0000-0000-0000B83B0000}"/>
    <cellStyle name="tableau | ligne-titre | niveau1 8 2" xfId="15458" xr:uid="{00000000-0005-0000-0000-0000B93B0000}"/>
    <cellStyle name="tableau | ligne-titre | niveau1 9" xfId="15459" xr:uid="{00000000-0005-0000-0000-0000BA3B0000}"/>
    <cellStyle name="tableau | ligne-titre | niveau1 9 2" xfId="15460" xr:uid="{00000000-0005-0000-0000-0000BB3B0000}"/>
    <cellStyle name="tableau | ligne-titre | niveau2" xfId="332" xr:uid="{00000000-0005-0000-0000-0000BC3B0000}"/>
    <cellStyle name="tableau | ligne-titre | niveau2 10" xfId="15462" xr:uid="{00000000-0005-0000-0000-0000BD3B0000}"/>
    <cellStyle name="tableau | ligne-titre | niveau2 11" xfId="15463" xr:uid="{00000000-0005-0000-0000-0000BE3B0000}"/>
    <cellStyle name="tableau | ligne-titre | niveau2 12" xfId="15461" xr:uid="{00000000-0005-0000-0000-0000BF3B0000}"/>
    <cellStyle name="tableau | ligne-titre | niveau2 2" xfId="15464" xr:uid="{00000000-0005-0000-0000-0000C03B0000}"/>
    <cellStyle name="tableau | ligne-titre | niveau2 2 2" xfId="15465" xr:uid="{00000000-0005-0000-0000-0000C13B0000}"/>
    <cellStyle name="tableau | ligne-titre | niveau2 2 2 2" xfId="15466" xr:uid="{00000000-0005-0000-0000-0000C23B0000}"/>
    <cellStyle name="tableau | ligne-titre | niveau2 2 3" xfId="15467" xr:uid="{00000000-0005-0000-0000-0000C33B0000}"/>
    <cellStyle name="tableau | ligne-titre | niveau2 2 3 2" xfId="15468" xr:uid="{00000000-0005-0000-0000-0000C43B0000}"/>
    <cellStyle name="tableau | ligne-titre | niveau2 2 4" xfId="15469" xr:uid="{00000000-0005-0000-0000-0000C53B0000}"/>
    <cellStyle name="tableau | ligne-titre | niveau2 2 5" xfId="15470" xr:uid="{00000000-0005-0000-0000-0000C63B0000}"/>
    <cellStyle name="tableau | ligne-titre | niveau2 3" xfId="15471" xr:uid="{00000000-0005-0000-0000-0000C73B0000}"/>
    <cellStyle name="tableau | ligne-titre | niveau2 3 2" xfId="15472" xr:uid="{00000000-0005-0000-0000-0000C83B0000}"/>
    <cellStyle name="tableau | ligne-titre | niveau2 3 2 2" xfId="15473" xr:uid="{00000000-0005-0000-0000-0000C93B0000}"/>
    <cellStyle name="tableau | ligne-titre | niveau2 3 3" xfId="15474" xr:uid="{00000000-0005-0000-0000-0000CA3B0000}"/>
    <cellStyle name="tableau | ligne-titre | niveau2 3 3 2" xfId="15475" xr:uid="{00000000-0005-0000-0000-0000CB3B0000}"/>
    <cellStyle name="tableau | ligne-titre | niveau2 3 4" xfId="15476" xr:uid="{00000000-0005-0000-0000-0000CC3B0000}"/>
    <cellStyle name="tableau | ligne-titre | niveau2 4" xfId="15477" xr:uid="{00000000-0005-0000-0000-0000CD3B0000}"/>
    <cellStyle name="tableau | ligne-titre | niveau2 4 2" xfId="15478" xr:uid="{00000000-0005-0000-0000-0000CE3B0000}"/>
    <cellStyle name="tableau | ligne-titre | niveau2 4 2 2" xfId="15479" xr:uid="{00000000-0005-0000-0000-0000CF3B0000}"/>
    <cellStyle name="tableau | ligne-titre | niveau2 4 3" xfId="15480" xr:uid="{00000000-0005-0000-0000-0000D03B0000}"/>
    <cellStyle name="tableau | ligne-titre | niveau2 4 3 2" xfId="15481" xr:uid="{00000000-0005-0000-0000-0000D13B0000}"/>
    <cellStyle name="tableau | ligne-titre | niveau2 4 4" xfId="15482" xr:uid="{00000000-0005-0000-0000-0000D23B0000}"/>
    <cellStyle name="tableau | ligne-titre | niveau2 5" xfId="15483" xr:uid="{00000000-0005-0000-0000-0000D33B0000}"/>
    <cellStyle name="tableau | ligne-titre | niveau2 5 2" xfId="15484" xr:uid="{00000000-0005-0000-0000-0000D43B0000}"/>
    <cellStyle name="tableau | ligne-titre | niveau2 5 2 2" xfId="15485" xr:uid="{00000000-0005-0000-0000-0000D53B0000}"/>
    <cellStyle name="tableau | ligne-titre | niveau2 5 3" xfId="15486" xr:uid="{00000000-0005-0000-0000-0000D63B0000}"/>
    <cellStyle name="tableau | ligne-titre | niveau2 5 3 2" xfId="15487" xr:uid="{00000000-0005-0000-0000-0000D73B0000}"/>
    <cellStyle name="tableau | ligne-titre | niveau2 5 4" xfId="15488" xr:uid="{00000000-0005-0000-0000-0000D83B0000}"/>
    <cellStyle name="tableau | ligne-titre | niveau2 5 4 2" xfId="15489" xr:uid="{00000000-0005-0000-0000-0000D93B0000}"/>
    <cellStyle name="tableau | ligne-titre | niveau2 5 5" xfId="15490" xr:uid="{00000000-0005-0000-0000-0000DA3B0000}"/>
    <cellStyle name="tableau | ligne-titre | niveau2 6" xfId="15491" xr:uid="{00000000-0005-0000-0000-0000DB3B0000}"/>
    <cellStyle name="tableau | ligne-titre | niveau2 6 2" xfId="15492" xr:uid="{00000000-0005-0000-0000-0000DC3B0000}"/>
    <cellStyle name="tableau | ligne-titre | niveau2 6 2 2" xfId="15493" xr:uid="{00000000-0005-0000-0000-0000DD3B0000}"/>
    <cellStyle name="tableau | ligne-titre | niveau2 6 3" xfId="15494" xr:uid="{00000000-0005-0000-0000-0000DE3B0000}"/>
    <cellStyle name="tableau | ligne-titre | niveau2 6 3 2" xfId="15495" xr:uid="{00000000-0005-0000-0000-0000DF3B0000}"/>
    <cellStyle name="tableau | ligne-titre | niveau2 6 4" xfId="15496" xr:uid="{00000000-0005-0000-0000-0000E03B0000}"/>
    <cellStyle name="tableau | ligne-titre | niveau2 7" xfId="15497" xr:uid="{00000000-0005-0000-0000-0000E13B0000}"/>
    <cellStyle name="tableau | ligne-titre | niveau2 7 2" xfId="15498" xr:uid="{00000000-0005-0000-0000-0000E23B0000}"/>
    <cellStyle name="tableau | ligne-titre | niveau2 8" xfId="15499" xr:uid="{00000000-0005-0000-0000-0000E33B0000}"/>
    <cellStyle name="tableau | ligne-titre | niveau2 8 2" xfId="15500" xr:uid="{00000000-0005-0000-0000-0000E43B0000}"/>
    <cellStyle name="tableau | ligne-titre | niveau2 9" xfId="15501" xr:uid="{00000000-0005-0000-0000-0000E53B0000}"/>
    <cellStyle name="tableau | ligne-titre | niveau2 9 2" xfId="15502" xr:uid="{00000000-0005-0000-0000-0000E63B0000}"/>
    <cellStyle name="Title" xfId="1" builtinId="15" customBuiltin="1"/>
    <cellStyle name="Title 10" xfId="3257" xr:uid="{00000000-0005-0000-0000-0000E83B0000}"/>
    <cellStyle name="Title 10 10" xfId="15504" xr:uid="{00000000-0005-0000-0000-0000E93B0000}"/>
    <cellStyle name="Title 10 11" xfId="15505" xr:uid="{00000000-0005-0000-0000-0000EA3B0000}"/>
    <cellStyle name="Title 10 12" xfId="15503" xr:uid="{00000000-0005-0000-0000-0000EB3B0000}"/>
    <cellStyle name="Title 10 2" xfId="15506" xr:uid="{00000000-0005-0000-0000-0000EC3B0000}"/>
    <cellStyle name="Title 10 2 2" xfId="15507" xr:uid="{00000000-0005-0000-0000-0000ED3B0000}"/>
    <cellStyle name="Title 10 2 2 2" xfId="15508" xr:uid="{00000000-0005-0000-0000-0000EE3B0000}"/>
    <cellStyle name="Title 10 2 3" xfId="15509" xr:uid="{00000000-0005-0000-0000-0000EF3B0000}"/>
    <cellStyle name="Title 10 2 3 2" xfId="15510" xr:uid="{00000000-0005-0000-0000-0000F03B0000}"/>
    <cellStyle name="Title 10 2 4" xfId="15511" xr:uid="{00000000-0005-0000-0000-0000F13B0000}"/>
    <cellStyle name="Title 10 2 5" xfId="15512" xr:uid="{00000000-0005-0000-0000-0000F23B0000}"/>
    <cellStyle name="Title 10 3" xfId="15513" xr:uid="{00000000-0005-0000-0000-0000F33B0000}"/>
    <cellStyle name="Title 10 3 2" xfId="15514" xr:uid="{00000000-0005-0000-0000-0000F43B0000}"/>
    <cellStyle name="Title 10 3 2 2" xfId="15515" xr:uid="{00000000-0005-0000-0000-0000F53B0000}"/>
    <cellStyle name="Title 10 3 3" xfId="15516" xr:uid="{00000000-0005-0000-0000-0000F63B0000}"/>
    <cellStyle name="Title 10 3 3 2" xfId="15517" xr:uid="{00000000-0005-0000-0000-0000F73B0000}"/>
    <cellStyle name="Title 10 3 4" xfId="15518" xr:uid="{00000000-0005-0000-0000-0000F83B0000}"/>
    <cellStyle name="Title 10 4" xfId="15519" xr:uid="{00000000-0005-0000-0000-0000F93B0000}"/>
    <cellStyle name="Title 10 4 2" xfId="15520" xr:uid="{00000000-0005-0000-0000-0000FA3B0000}"/>
    <cellStyle name="Title 10 4 2 2" xfId="15521" xr:uid="{00000000-0005-0000-0000-0000FB3B0000}"/>
    <cellStyle name="Title 10 4 3" xfId="15522" xr:uid="{00000000-0005-0000-0000-0000FC3B0000}"/>
    <cellStyle name="Title 10 4 3 2" xfId="15523" xr:uid="{00000000-0005-0000-0000-0000FD3B0000}"/>
    <cellStyle name="Title 10 4 4" xfId="15524" xr:uid="{00000000-0005-0000-0000-0000FE3B0000}"/>
    <cellStyle name="Title 10 5" xfId="15525" xr:uid="{00000000-0005-0000-0000-0000FF3B0000}"/>
    <cellStyle name="Title 10 5 2" xfId="15526" xr:uid="{00000000-0005-0000-0000-0000003C0000}"/>
    <cellStyle name="Title 10 5 2 2" xfId="15527" xr:uid="{00000000-0005-0000-0000-0000013C0000}"/>
    <cellStyle name="Title 10 5 3" xfId="15528" xr:uid="{00000000-0005-0000-0000-0000023C0000}"/>
    <cellStyle name="Title 10 5 3 2" xfId="15529" xr:uid="{00000000-0005-0000-0000-0000033C0000}"/>
    <cellStyle name="Title 10 5 4" xfId="15530" xr:uid="{00000000-0005-0000-0000-0000043C0000}"/>
    <cellStyle name="Title 10 5 4 2" xfId="15531" xr:uid="{00000000-0005-0000-0000-0000053C0000}"/>
    <cellStyle name="Title 10 5 5" xfId="15532" xr:uid="{00000000-0005-0000-0000-0000063C0000}"/>
    <cellStyle name="Title 10 6" xfId="15533" xr:uid="{00000000-0005-0000-0000-0000073C0000}"/>
    <cellStyle name="Title 10 6 2" xfId="15534" xr:uid="{00000000-0005-0000-0000-0000083C0000}"/>
    <cellStyle name="Title 10 6 2 2" xfId="15535" xr:uid="{00000000-0005-0000-0000-0000093C0000}"/>
    <cellStyle name="Title 10 6 3" xfId="15536" xr:uid="{00000000-0005-0000-0000-00000A3C0000}"/>
    <cellStyle name="Title 10 6 3 2" xfId="15537" xr:uid="{00000000-0005-0000-0000-00000B3C0000}"/>
    <cellStyle name="Title 10 6 4" xfId="15538" xr:uid="{00000000-0005-0000-0000-00000C3C0000}"/>
    <cellStyle name="Title 10 7" xfId="15539" xr:uid="{00000000-0005-0000-0000-00000D3C0000}"/>
    <cellStyle name="Title 10 7 2" xfId="15540" xr:uid="{00000000-0005-0000-0000-00000E3C0000}"/>
    <cellStyle name="Title 10 8" xfId="15541" xr:uid="{00000000-0005-0000-0000-00000F3C0000}"/>
    <cellStyle name="Title 10 8 2" xfId="15542" xr:uid="{00000000-0005-0000-0000-0000103C0000}"/>
    <cellStyle name="Title 10 9" xfId="15543" xr:uid="{00000000-0005-0000-0000-0000113C0000}"/>
    <cellStyle name="Title 10 9 2" xfId="15544" xr:uid="{00000000-0005-0000-0000-0000123C0000}"/>
    <cellStyle name="Title 11" xfId="3258" xr:uid="{00000000-0005-0000-0000-0000133C0000}"/>
    <cellStyle name="Title 11 10" xfId="15546" xr:uid="{00000000-0005-0000-0000-0000143C0000}"/>
    <cellStyle name="Title 11 11" xfId="15547" xr:uid="{00000000-0005-0000-0000-0000153C0000}"/>
    <cellStyle name="Title 11 12" xfId="15545" xr:uid="{00000000-0005-0000-0000-0000163C0000}"/>
    <cellStyle name="Title 11 2" xfId="15548" xr:uid="{00000000-0005-0000-0000-0000173C0000}"/>
    <cellStyle name="Title 11 2 2" xfId="15549" xr:uid="{00000000-0005-0000-0000-0000183C0000}"/>
    <cellStyle name="Title 11 2 2 2" xfId="15550" xr:uid="{00000000-0005-0000-0000-0000193C0000}"/>
    <cellStyle name="Title 11 2 3" xfId="15551" xr:uid="{00000000-0005-0000-0000-00001A3C0000}"/>
    <cellStyle name="Title 11 2 3 2" xfId="15552" xr:uid="{00000000-0005-0000-0000-00001B3C0000}"/>
    <cellStyle name="Title 11 2 4" xfId="15553" xr:uid="{00000000-0005-0000-0000-00001C3C0000}"/>
    <cellStyle name="Title 11 2 5" xfId="15554" xr:uid="{00000000-0005-0000-0000-00001D3C0000}"/>
    <cellStyle name="Title 11 3" xfId="15555" xr:uid="{00000000-0005-0000-0000-00001E3C0000}"/>
    <cellStyle name="Title 11 3 2" xfId="15556" xr:uid="{00000000-0005-0000-0000-00001F3C0000}"/>
    <cellStyle name="Title 11 3 2 2" xfId="15557" xr:uid="{00000000-0005-0000-0000-0000203C0000}"/>
    <cellStyle name="Title 11 3 3" xfId="15558" xr:uid="{00000000-0005-0000-0000-0000213C0000}"/>
    <cellStyle name="Title 11 3 3 2" xfId="15559" xr:uid="{00000000-0005-0000-0000-0000223C0000}"/>
    <cellStyle name="Title 11 3 4" xfId="15560" xr:uid="{00000000-0005-0000-0000-0000233C0000}"/>
    <cellStyle name="Title 11 4" xfId="15561" xr:uid="{00000000-0005-0000-0000-0000243C0000}"/>
    <cellStyle name="Title 11 4 2" xfId="15562" xr:uid="{00000000-0005-0000-0000-0000253C0000}"/>
    <cellStyle name="Title 11 4 2 2" xfId="15563" xr:uid="{00000000-0005-0000-0000-0000263C0000}"/>
    <cellStyle name="Title 11 4 3" xfId="15564" xr:uid="{00000000-0005-0000-0000-0000273C0000}"/>
    <cellStyle name="Title 11 4 3 2" xfId="15565" xr:uid="{00000000-0005-0000-0000-0000283C0000}"/>
    <cellStyle name="Title 11 4 4" xfId="15566" xr:uid="{00000000-0005-0000-0000-0000293C0000}"/>
    <cellStyle name="Title 11 5" xfId="15567" xr:uid="{00000000-0005-0000-0000-00002A3C0000}"/>
    <cellStyle name="Title 11 5 2" xfId="15568" xr:uid="{00000000-0005-0000-0000-00002B3C0000}"/>
    <cellStyle name="Title 11 5 2 2" xfId="15569" xr:uid="{00000000-0005-0000-0000-00002C3C0000}"/>
    <cellStyle name="Title 11 5 3" xfId="15570" xr:uid="{00000000-0005-0000-0000-00002D3C0000}"/>
    <cellStyle name="Title 11 5 3 2" xfId="15571" xr:uid="{00000000-0005-0000-0000-00002E3C0000}"/>
    <cellStyle name="Title 11 5 4" xfId="15572" xr:uid="{00000000-0005-0000-0000-00002F3C0000}"/>
    <cellStyle name="Title 11 5 4 2" xfId="15573" xr:uid="{00000000-0005-0000-0000-0000303C0000}"/>
    <cellStyle name="Title 11 5 5" xfId="15574" xr:uid="{00000000-0005-0000-0000-0000313C0000}"/>
    <cellStyle name="Title 11 6" xfId="15575" xr:uid="{00000000-0005-0000-0000-0000323C0000}"/>
    <cellStyle name="Title 11 6 2" xfId="15576" xr:uid="{00000000-0005-0000-0000-0000333C0000}"/>
    <cellStyle name="Title 11 6 2 2" xfId="15577" xr:uid="{00000000-0005-0000-0000-0000343C0000}"/>
    <cellStyle name="Title 11 6 3" xfId="15578" xr:uid="{00000000-0005-0000-0000-0000353C0000}"/>
    <cellStyle name="Title 11 6 3 2" xfId="15579" xr:uid="{00000000-0005-0000-0000-0000363C0000}"/>
    <cellStyle name="Title 11 6 4" xfId="15580" xr:uid="{00000000-0005-0000-0000-0000373C0000}"/>
    <cellStyle name="Title 11 7" xfId="15581" xr:uid="{00000000-0005-0000-0000-0000383C0000}"/>
    <cellStyle name="Title 11 7 2" xfId="15582" xr:uid="{00000000-0005-0000-0000-0000393C0000}"/>
    <cellStyle name="Title 11 8" xfId="15583" xr:uid="{00000000-0005-0000-0000-00003A3C0000}"/>
    <cellStyle name="Title 11 8 2" xfId="15584" xr:uid="{00000000-0005-0000-0000-00003B3C0000}"/>
    <cellStyle name="Title 11 9" xfId="15585" xr:uid="{00000000-0005-0000-0000-00003C3C0000}"/>
    <cellStyle name="Title 11 9 2" xfId="15586" xr:uid="{00000000-0005-0000-0000-00003D3C0000}"/>
    <cellStyle name="Title 12" xfId="3259" xr:uid="{00000000-0005-0000-0000-00003E3C0000}"/>
    <cellStyle name="Title 12 10" xfId="15588" xr:uid="{00000000-0005-0000-0000-00003F3C0000}"/>
    <cellStyle name="Title 12 11" xfId="15589" xr:uid="{00000000-0005-0000-0000-0000403C0000}"/>
    <cellStyle name="Title 12 12" xfId="15587" xr:uid="{00000000-0005-0000-0000-0000413C0000}"/>
    <cellStyle name="Title 12 2" xfId="15590" xr:uid="{00000000-0005-0000-0000-0000423C0000}"/>
    <cellStyle name="Title 12 2 2" xfId="15591" xr:uid="{00000000-0005-0000-0000-0000433C0000}"/>
    <cellStyle name="Title 12 2 2 2" xfId="15592" xr:uid="{00000000-0005-0000-0000-0000443C0000}"/>
    <cellStyle name="Title 12 2 3" xfId="15593" xr:uid="{00000000-0005-0000-0000-0000453C0000}"/>
    <cellStyle name="Title 12 2 3 2" xfId="15594" xr:uid="{00000000-0005-0000-0000-0000463C0000}"/>
    <cellStyle name="Title 12 2 4" xfId="15595" xr:uid="{00000000-0005-0000-0000-0000473C0000}"/>
    <cellStyle name="Title 12 2 5" xfId="15596" xr:uid="{00000000-0005-0000-0000-0000483C0000}"/>
    <cellStyle name="Title 12 3" xfId="15597" xr:uid="{00000000-0005-0000-0000-0000493C0000}"/>
    <cellStyle name="Title 12 3 2" xfId="15598" xr:uid="{00000000-0005-0000-0000-00004A3C0000}"/>
    <cellStyle name="Title 12 3 2 2" xfId="15599" xr:uid="{00000000-0005-0000-0000-00004B3C0000}"/>
    <cellStyle name="Title 12 3 3" xfId="15600" xr:uid="{00000000-0005-0000-0000-00004C3C0000}"/>
    <cellStyle name="Title 12 3 3 2" xfId="15601" xr:uid="{00000000-0005-0000-0000-00004D3C0000}"/>
    <cellStyle name="Title 12 3 4" xfId="15602" xr:uid="{00000000-0005-0000-0000-00004E3C0000}"/>
    <cellStyle name="Title 12 4" xfId="15603" xr:uid="{00000000-0005-0000-0000-00004F3C0000}"/>
    <cellStyle name="Title 12 4 2" xfId="15604" xr:uid="{00000000-0005-0000-0000-0000503C0000}"/>
    <cellStyle name="Title 12 4 2 2" xfId="15605" xr:uid="{00000000-0005-0000-0000-0000513C0000}"/>
    <cellStyle name="Title 12 4 3" xfId="15606" xr:uid="{00000000-0005-0000-0000-0000523C0000}"/>
    <cellStyle name="Title 12 4 3 2" xfId="15607" xr:uid="{00000000-0005-0000-0000-0000533C0000}"/>
    <cellStyle name="Title 12 4 4" xfId="15608" xr:uid="{00000000-0005-0000-0000-0000543C0000}"/>
    <cellStyle name="Title 12 5" xfId="15609" xr:uid="{00000000-0005-0000-0000-0000553C0000}"/>
    <cellStyle name="Title 12 5 2" xfId="15610" xr:uid="{00000000-0005-0000-0000-0000563C0000}"/>
    <cellStyle name="Title 12 5 2 2" xfId="15611" xr:uid="{00000000-0005-0000-0000-0000573C0000}"/>
    <cellStyle name="Title 12 5 3" xfId="15612" xr:uid="{00000000-0005-0000-0000-0000583C0000}"/>
    <cellStyle name="Title 12 5 3 2" xfId="15613" xr:uid="{00000000-0005-0000-0000-0000593C0000}"/>
    <cellStyle name="Title 12 5 4" xfId="15614" xr:uid="{00000000-0005-0000-0000-00005A3C0000}"/>
    <cellStyle name="Title 12 5 4 2" xfId="15615" xr:uid="{00000000-0005-0000-0000-00005B3C0000}"/>
    <cellStyle name="Title 12 5 5" xfId="15616" xr:uid="{00000000-0005-0000-0000-00005C3C0000}"/>
    <cellStyle name="Title 12 6" xfId="15617" xr:uid="{00000000-0005-0000-0000-00005D3C0000}"/>
    <cellStyle name="Title 12 6 2" xfId="15618" xr:uid="{00000000-0005-0000-0000-00005E3C0000}"/>
    <cellStyle name="Title 12 6 2 2" xfId="15619" xr:uid="{00000000-0005-0000-0000-00005F3C0000}"/>
    <cellStyle name="Title 12 6 3" xfId="15620" xr:uid="{00000000-0005-0000-0000-0000603C0000}"/>
    <cellStyle name="Title 12 6 3 2" xfId="15621" xr:uid="{00000000-0005-0000-0000-0000613C0000}"/>
    <cellStyle name="Title 12 6 4" xfId="15622" xr:uid="{00000000-0005-0000-0000-0000623C0000}"/>
    <cellStyle name="Title 12 7" xfId="15623" xr:uid="{00000000-0005-0000-0000-0000633C0000}"/>
    <cellStyle name="Title 12 7 2" xfId="15624" xr:uid="{00000000-0005-0000-0000-0000643C0000}"/>
    <cellStyle name="Title 12 8" xfId="15625" xr:uid="{00000000-0005-0000-0000-0000653C0000}"/>
    <cellStyle name="Title 12 8 2" xfId="15626" xr:uid="{00000000-0005-0000-0000-0000663C0000}"/>
    <cellStyle name="Title 12 9" xfId="15627" xr:uid="{00000000-0005-0000-0000-0000673C0000}"/>
    <cellStyle name="Title 12 9 2" xfId="15628" xr:uid="{00000000-0005-0000-0000-0000683C0000}"/>
    <cellStyle name="Title 13" xfId="3260" xr:uid="{00000000-0005-0000-0000-0000693C0000}"/>
    <cellStyle name="Title 13 10" xfId="15630" xr:uid="{00000000-0005-0000-0000-00006A3C0000}"/>
    <cellStyle name="Title 13 11" xfId="15631" xr:uid="{00000000-0005-0000-0000-00006B3C0000}"/>
    <cellStyle name="Title 13 12" xfId="15629" xr:uid="{00000000-0005-0000-0000-00006C3C0000}"/>
    <cellStyle name="Title 13 2" xfId="15632" xr:uid="{00000000-0005-0000-0000-00006D3C0000}"/>
    <cellStyle name="Title 13 2 2" xfId="15633" xr:uid="{00000000-0005-0000-0000-00006E3C0000}"/>
    <cellStyle name="Title 13 2 2 2" xfId="15634" xr:uid="{00000000-0005-0000-0000-00006F3C0000}"/>
    <cellStyle name="Title 13 2 3" xfId="15635" xr:uid="{00000000-0005-0000-0000-0000703C0000}"/>
    <cellStyle name="Title 13 2 3 2" xfId="15636" xr:uid="{00000000-0005-0000-0000-0000713C0000}"/>
    <cellStyle name="Title 13 2 4" xfId="15637" xr:uid="{00000000-0005-0000-0000-0000723C0000}"/>
    <cellStyle name="Title 13 2 5" xfId="15638" xr:uid="{00000000-0005-0000-0000-0000733C0000}"/>
    <cellStyle name="Title 13 3" xfId="15639" xr:uid="{00000000-0005-0000-0000-0000743C0000}"/>
    <cellStyle name="Title 13 3 2" xfId="15640" xr:uid="{00000000-0005-0000-0000-0000753C0000}"/>
    <cellStyle name="Title 13 3 2 2" xfId="15641" xr:uid="{00000000-0005-0000-0000-0000763C0000}"/>
    <cellStyle name="Title 13 3 3" xfId="15642" xr:uid="{00000000-0005-0000-0000-0000773C0000}"/>
    <cellStyle name="Title 13 3 3 2" xfId="15643" xr:uid="{00000000-0005-0000-0000-0000783C0000}"/>
    <cellStyle name="Title 13 3 4" xfId="15644" xr:uid="{00000000-0005-0000-0000-0000793C0000}"/>
    <cellStyle name="Title 13 4" xfId="15645" xr:uid="{00000000-0005-0000-0000-00007A3C0000}"/>
    <cellStyle name="Title 13 4 2" xfId="15646" xr:uid="{00000000-0005-0000-0000-00007B3C0000}"/>
    <cellStyle name="Title 13 4 2 2" xfId="15647" xr:uid="{00000000-0005-0000-0000-00007C3C0000}"/>
    <cellStyle name="Title 13 4 3" xfId="15648" xr:uid="{00000000-0005-0000-0000-00007D3C0000}"/>
    <cellStyle name="Title 13 4 3 2" xfId="15649" xr:uid="{00000000-0005-0000-0000-00007E3C0000}"/>
    <cellStyle name="Title 13 4 4" xfId="15650" xr:uid="{00000000-0005-0000-0000-00007F3C0000}"/>
    <cellStyle name="Title 13 5" xfId="15651" xr:uid="{00000000-0005-0000-0000-0000803C0000}"/>
    <cellStyle name="Title 13 5 2" xfId="15652" xr:uid="{00000000-0005-0000-0000-0000813C0000}"/>
    <cellStyle name="Title 13 5 2 2" xfId="15653" xr:uid="{00000000-0005-0000-0000-0000823C0000}"/>
    <cellStyle name="Title 13 5 3" xfId="15654" xr:uid="{00000000-0005-0000-0000-0000833C0000}"/>
    <cellStyle name="Title 13 5 3 2" xfId="15655" xr:uid="{00000000-0005-0000-0000-0000843C0000}"/>
    <cellStyle name="Title 13 5 4" xfId="15656" xr:uid="{00000000-0005-0000-0000-0000853C0000}"/>
    <cellStyle name="Title 13 5 4 2" xfId="15657" xr:uid="{00000000-0005-0000-0000-0000863C0000}"/>
    <cellStyle name="Title 13 5 5" xfId="15658" xr:uid="{00000000-0005-0000-0000-0000873C0000}"/>
    <cellStyle name="Title 13 6" xfId="15659" xr:uid="{00000000-0005-0000-0000-0000883C0000}"/>
    <cellStyle name="Title 13 6 2" xfId="15660" xr:uid="{00000000-0005-0000-0000-0000893C0000}"/>
    <cellStyle name="Title 13 6 2 2" xfId="15661" xr:uid="{00000000-0005-0000-0000-00008A3C0000}"/>
    <cellStyle name="Title 13 6 3" xfId="15662" xr:uid="{00000000-0005-0000-0000-00008B3C0000}"/>
    <cellStyle name="Title 13 6 3 2" xfId="15663" xr:uid="{00000000-0005-0000-0000-00008C3C0000}"/>
    <cellStyle name="Title 13 6 4" xfId="15664" xr:uid="{00000000-0005-0000-0000-00008D3C0000}"/>
    <cellStyle name="Title 13 7" xfId="15665" xr:uid="{00000000-0005-0000-0000-00008E3C0000}"/>
    <cellStyle name="Title 13 7 2" xfId="15666" xr:uid="{00000000-0005-0000-0000-00008F3C0000}"/>
    <cellStyle name="Title 13 8" xfId="15667" xr:uid="{00000000-0005-0000-0000-0000903C0000}"/>
    <cellStyle name="Title 13 8 2" xfId="15668" xr:uid="{00000000-0005-0000-0000-0000913C0000}"/>
    <cellStyle name="Title 13 9" xfId="15669" xr:uid="{00000000-0005-0000-0000-0000923C0000}"/>
    <cellStyle name="Title 13 9 2" xfId="15670" xr:uid="{00000000-0005-0000-0000-0000933C0000}"/>
    <cellStyle name="Title 14" xfId="3261" xr:uid="{00000000-0005-0000-0000-0000943C0000}"/>
    <cellStyle name="Title 14 10" xfId="15672" xr:uid="{00000000-0005-0000-0000-0000953C0000}"/>
    <cellStyle name="Title 14 11" xfId="15673" xr:uid="{00000000-0005-0000-0000-0000963C0000}"/>
    <cellStyle name="Title 14 12" xfId="15671" xr:uid="{00000000-0005-0000-0000-0000973C0000}"/>
    <cellStyle name="Title 14 2" xfId="15674" xr:uid="{00000000-0005-0000-0000-0000983C0000}"/>
    <cellStyle name="Title 14 2 2" xfId="15675" xr:uid="{00000000-0005-0000-0000-0000993C0000}"/>
    <cellStyle name="Title 14 2 2 2" xfId="15676" xr:uid="{00000000-0005-0000-0000-00009A3C0000}"/>
    <cellStyle name="Title 14 2 3" xfId="15677" xr:uid="{00000000-0005-0000-0000-00009B3C0000}"/>
    <cellStyle name="Title 14 2 3 2" xfId="15678" xr:uid="{00000000-0005-0000-0000-00009C3C0000}"/>
    <cellStyle name="Title 14 2 4" xfId="15679" xr:uid="{00000000-0005-0000-0000-00009D3C0000}"/>
    <cellStyle name="Title 14 2 5" xfId="15680" xr:uid="{00000000-0005-0000-0000-00009E3C0000}"/>
    <cellStyle name="Title 14 3" xfId="15681" xr:uid="{00000000-0005-0000-0000-00009F3C0000}"/>
    <cellStyle name="Title 14 3 2" xfId="15682" xr:uid="{00000000-0005-0000-0000-0000A03C0000}"/>
    <cellStyle name="Title 14 3 2 2" xfId="15683" xr:uid="{00000000-0005-0000-0000-0000A13C0000}"/>
    <cellStyle name="Title 14 3 3" xfId="15684" xr:uid="{00000000-0005-0000-0000-0000A23C0000}"/>
    <cellStyle name="Title 14 3 3 2" xfId="15685" xr:uid="{00000000-0005-0000-0000-0000A33C0000}"/>
    <cellStyle name="Title 14 3 4" xfId="15686" xr:uid="{00000000-0005-0000-0000-0000A43C0000}"/>
    <cellStyle name="Title 14 4" xfId="15687" xr:uid="{00000000-0005-0000-0000-0000A53C0000}"/>
    <cellStyle name="Title 14 4 2" xfId="15688" xr:uid="{00000000-0005-0000-0000-0000A63C0000}"/>
    <cellStyle name="Title 14 4 2 2" xfId="15689" xr:uid="{00000000-0005-0000-0000-0000A73C0000}"/>
    <cellStyle name="Title 14 4 3" xfId="15690" xr:uid="{00000000-0005-0000-0000-0000A83C0000}"/>
    <cellStyle name="Title 14 4 3 2" xfId="15691" xr:uid="{00000000-0005-0000-0000-0000A93C0000}"/>
    <cellStyle name="Title 14 4 4" xfId="15692" xr:uid="{00000000-0005-0000-0000-0000AA3C0000}"/>
    <cellStyle name="Title 14 5" xfId="15693" xr:uid="{00000000-0005-0000-0000-0000AB3C0000}"/>
    <cellStyle name="Title 14 5 2" xfId="15694" xr:uid="{00000000-0005-0000-0000-0000AC3C0000}"/>
    <cellStyle name="Title 14 5 2 2" xfId="15695" xr:uid="{00000000-0005-0000-0000-0000AD3C0000}"/>
    <cellStyle name="Title 14 5 3" xfId="15696" xr:uid="{00000000-0005-0000-0000-0000AE3C0000}"/>
    <cellStyle name="Title 14 5 3 2" xfId="15697" xr:uid="{00000000-0005-0000-0000-0000AF3C0000}"/>
    <cellStyle name="Title 14 5 4" xfId="15698" xr:uid="{00000000-0005-0000-0000-0000B03C0000}"/>
    <cellStyle name="Title 14 5 4 2" xfId="15699" xr:uid="{00000000-0005-0000-0000-0000B13C0000}"/>
    <cellStyle name="Title 14 5 5" xfId="15700" xr:uid="{00000000-0005-0000-0000-0000B23C0000}"/>
    <cellStyle name="Title 14 6" xfId="15701" xr:uid="{00000000-0005-0000-0000-0000B33C0000}"/>
    <cellStyle name="Title 14 6 2" xfId="15702" xr:uid="{00000000-0005-0000-0000-0000B43C0000}"/>
    <cellStyle name="Title 14 6 2 2" xfId="15703" xr:uid="{00000000-0005-0000-0000-0000B53C0000}"/>
    <cellStyle name="Title 14 6 3" xfId="15704" xr:uid="{00000000-0005-0000-0000-0000B63C0000}"/>
    <cellStyle name="Title 14 6 3 2" xfId="15705" xr:uid="{00000000-0005-0000-0000-0000B73C0000}"/>
    <cellStyle name="Title 14 6 4" xfId="15706" xr:uid="{00000000-0005-0000-0000-0000B83C0000}"/>
    <cellStyle name="Title 14 7" xfId="15707" xr:uid="{00000000-0005-0000-0000-0000B93C0000}"/>
    <cellStyle name="Title 14 7 2" xfId="15708" xr:uid="{00000000-0005-0000-0000-0000BA3C0000}"/>
    <cellStyle name="Title 14 8" xfId="15709" xr:uid="{00000000-0005-0000-0000-0000BB3C0000}"/>
    <cellStyle name="Title 14 8 2" xfId="15710" xr:uid="{00000000-0005-0000-0000-0000BC3C0000}"/>
    <cellStyle name="Title 14 9" xfId="15711" xr:uid="{00000000-0005-0000-0000-0000BD3C0000}"/>
    <cellStyle name="Title 14 9 2" xfId="15712" xr:uid="{00000000-0005-0000-0000-0000BE3C0000}"/>
    <cellStyle name="Title 15" xfId="3262" xr:uid="{00000000-0005-0000-0000-0000BF3C0000}"/>
    <cellStyle name="Title 15 10" xfId="15714" xr:uid="{00000000-0005-0000-0000-0000C03C0000}"/>
    <cellStyle name="Title 15 11" xfId="15715" xr:uid="{00000000-0005-0000-0000-0000C13C0000}"/>
    <cellStyle name="Title 15 12" xfId="15713" xr:uid="{00000000-0005-0000-0000-0000C23C0000}"/>
    <cellStyle name="Title 15 2" xfId="15716" xr:uid="{00000000-0005-0000-0000-0000C33C0000}"/>
    <cellStyle name="Title 15 2 2" xfId="15717" xr:uid="{00000000-0005-0000-0000-0000C43C0000}"/>
    <cellStyle name="Title 15 2 2 2" xfId="15718" xr:uid="{00000000-0005-0000-0000-0000C53C0000}"/>
    <cellStyle name="Title 15 2 3" xfId="15719" xr:uid="{00000000-0005-0000-0000-0000C63C0000}"/>
    <cellStyle name="Title 15 2 3 2" xfId="15720" xr:uid="{00000000-0005-0000-0000-0000C73C0000}"/>
    <cellStyle name="Title 15 2 4" xfId="15721" xr:uid="{00000000-0005-0000-0000-0000C83C0000}"/>
    <cellStyle name="Title 15 2 5" xfId="15722" xr:uid="{00000000-0005-0000-0000-0000C93C0000}"/>
    <cellStyle name="Title 15 3" xfId="15723" xr:uid="{00000000-0005-0000-0000-0000CA3C0000}"/>
    <cellStyle name="Title 15 3 2" xfId="15724" xr:uid="{00000000-0005-0000-0000-0000CB3C0000}"/>
    <cellStyle name="Title 15 3 2 2" xfId="15725" xr:uid="{00000000-0005-0000-0000-0000CC3C0000}"/>
    <cellStyle name="Title 15 3 3" xfId="15726" xr:uid="{00000000-0005-0000-0000-0000CD3C0000}"/>
    <cellStyle name="Title 15 3 3 2" xfId="15727" xr:uid="{00000000-0005-0000-0000-0000CE3C0000}"/>
    <cellStyle name="Title 15 3 4" xfId="15728" xr:uid="{00000000-0005-0000-0000-0000CF3C0000}"/>
    <cellStyle name="Title 15 4" xfId="15729" xr:uid="{00000000-0005-0000-0000-0000D03C0000}"/>
    <cellStyle name="Title 15 4 2" xfId="15730" xr:uid="{00000000-0005-0000-0000-0000D13C0000}"/>
    <cellStyle name="Title 15 4 2 2" xfId="15731" xr:uid="{00000000-0005-0000-0000-0000D23C0000}"/>
    <cellStyle name="Title 15 4 3" xfId="15732" xr:uid="{00000000-0005-0000-0000-0000D33C0000}"/>
    <cellStyle name="Title 15 4 3 2" xfId="15733" xr:uid="{00000000-0005-0000-0000-0000D43C0000}"/>
    <cellStyle name="Title 15 4 4" xfId="15734" xr:uid="{00000000-0005-0000-0000-0000D53C0000}"/>
    <cellStyle name="Title 15 5" xfId="15735" xr:uid="{00000000-0005-0000-0000-0000D63C0000}"/>
    <cellStyle name="Title 15 5 2" xfId="15736" xr:uid="{00000000-0005-0000-0000-0000D73C0000}"/>
    <cellStyle name="Title 15 5 2 2" xfId="15737" xr:uid="{00000000-0005-0000-0000-0000D83C0000}"/>
    <cellStyle name="Title 15 5 3" xfId="15738" xr:uid="{00000000-0005-0000-0000-0000D93C0000}"/>
    <cellStyle name="Title 15 5 3 2" xfId="15739" xr:uid="{00000000-0005-0000-0000-0000DA3C0000}"/>
    <cellStyle name="Title 15 5 4" xfId="15740" xr:uid="{00000000-0005-0000-0000-0000DB3C0000}"/>
    <cellStyle name="Title 15 5 4 2" xfId="15741" xr:uid="{00000000-0005-0000-0000-0000DC3C0000}"/>
    <cellStyle name="Title 15 5 5" xfId="15742" xr:uid="{00000000-0005-0000-0000-0000DD3C0000}"/>
    <cellStyle name="Title 15 6" xfId="15743" xr:uid="{00000000-0005-0000-0000-0000DE3C0000}"/>
    <cellStyle name="Title 15 6 2" xfId="15744" xr:uid="{00000000-0005-0000-0000-0000DF3C0000}"/>
    <cellStyle name="Title 15 6 2 2" xfId="15745" xr:uid="{00000000-0005-0000-0000-0000E03C0000}"/>
    <cellStyle name="Title 15 6 3" xfId="15746" xr:uid="{00000000-0005-0000-0000-0000E13C0000}"/>
    <cellStyle name="Title 15 6 3 2" xfId="15747" xr:uid="{00000000-0005-0000-0000-0000E23C0000}"/>
    <cellStyle name="Title 15 6 4" xfId="15748" xr:uid="{00000000-0005-0000-0000-0000E33C0000}"/>
    <cellStyle name="Title 15 7" xfId="15749" xr:uid="{00000000-0005-0000-0000-0000E43C0000}"/>
    <cellStyle name="Title 15 7 2" xfId="15750" xr:uid="{00000000-0005-0000-0000-0000E53C0000}"/>
    <cellStyle name="Title 15 8" xfId="15751" xr:uid="{00000000-0005-0000-0000-0000E63C0000}"/>
    <cellStyle name="Title 15 8 2" xfId="15752" xr:uid="{00000000-0005-0000-0000-0000E73C0000}"/>
    <cellStyle name="Title 15 9" xfId="15753" xr:uid="{00000000-0005-0000-0000-0000E83C0000}"/>
    <cellStyle name="Title 15 9 2" xfId="15754" xr:uid="{00000000-0005-0000-0000-0000E93C0000}"/>
    <cellStyle name="Title 16" xfId="3263" xr:uid="{00000000-0005-0000-0000-0000EA3C0000}"/>
    <cellStyle name="Title 16 10" xfId="15756" xr:uid="{00000000-0005-0000-0000-0000EB3C0000}"/>
    <cellStyle name="Title 16 11" xfId="15757" xr:uid="{00000000-0005-0000-0000-0000EC3C0000}"/>
    <cellStyle name="Title 16 12" xfId="15755" xr:uid="{00000000-0005-0000-0000-0000ED3C0000}"/>
    <cellStyle name="Title 16 2" xfId="15758" xr:uid="{00000000-0005-0000-0000-0000EE3C0000}"/>
    <cellStyle name="Title 16 2 2" xfId="15759" xr:uid="{00000000-0005-0000-0000-0000EF3C0000}"/>
    <cellStyle name="Title 16 2 2 2" xfId="15760" xr:uid="{00000000-0005-0000-0000-0000F03C0000}"/>
    <cellStyle name="Title 16 2 3" xfId="15761" xr:uid="{00000000-0005-0000-0000-0000F13C0000}"/>
    <cellStyle name="Title 16 2 3 2" xfId="15762" xr:uid="{00000000-0005-0000-0000-0000F23C0000}"/>
    <cellStyle name="Title 16 2 4" xfId="15763" xr:uid="{00000000-0005-0000-0000-0000F33C0000}"/>
    <cellStyle name="Title 16 2 5" xfId="15764" xr:uid="{00000000-0005-0000-0000-0000F43C0000}"/>
    <cellStyle name="Title 16 3" xfId="15765" xr:uid="{00000000-0005-0000-0000-0000F53C0000}"/>
    <cellStyle name="Title 16 3 2" xfId="15766" xr:uid="{00000000-0005-0000-0000-0000F63C0000}"/>
    <cellStyle name="Title 16 3 2 2" xfId="15767" xr:uid="{00000000-0005-0000-0000-0000F73C0000}"/>
    <cellStyle name="Title 16 3 3" xfId="15768" xr:uid="{00000000-0005-0000-0000-0000F83C0000}"/>
    <cellStyle name="Title 16 3 3 2" xfId="15769" xr:uid="{00000000-0005-0000-0000-0000F93C0000}"/>
    <cellStyle name="Title 16 3 4" xfId="15770" xr:uid="{00000000-0005-0000-0000-0000FA3C0000}"/>
    <cellStyle name="Title 16 4" xfId="15771" xr:uid="{00000000-0005-0000-0000-0000FB3C0000}"/>
    <cellStyle name="Title 16 4 2" xfId="15772" xr:uid="{00000000-0005-0000-0000-0000FC3C0000}"/>
    <cellStyle name="Title 16 4 2 2" xfId="15773" xr:uid="{00000000-0005-0000-0000-0000FD3C0000}"/>
    <cellStyle name="Title 16 4 3" xfId="15774" xr:uid="{00000000-0005-0000-0000-0000FE3C0000}"/>
    <cellStyle name="Title 16 4 3 2" xfId="15775" xr:uid="{00000000-0005-0000-0000-0000FF3C0000}"/>
    <cellStyle name="Title 16 4 4" xfId="15776" xr:uid="{00000000-0005-0000-0000-0000003D0000}"/>
    <cellStyle name="Title 16 5" xfId="15777" xr:uid="{00000000-0005-0000-0000-0000013D0000}"/>
    <cellStyle name="Title 16 5 2" xfId="15778" xr:uid="{00000000-0005-0000-0000-0000023D0000}"/>
    <cellStyle name="Title 16 5 2 2" xfId="15779" xr:uid="{00000000-0005-0000-0000-0000033D0000}"/>
    <cellStyle name="Title 16 5 3" xfId="15780" xr:uid="{00000000-0005-0000-0000-0000043D0000}"/>
    <cellStyle name="Title 16 5 3 2" xfId="15781" xr:uid="{00000000-0005-0000-0000-0000053D0000}"/>
    <cellStyle name="Title 16 5 4" xfId="15782" xr:uid="{00000000-0005-0000-0000-0000063D0000}"/>
    <cellStyle name="Title 16 5 4 2" xfId="15783" xr:uid="{00000000-0005-0000-0000-0000073D0000}"/>
    <cellStyle name="Title 16 5 5" xfId="15784" xr:uid="{00000000-0005-0000-0000-0000083D0000}"/>
    <cellStyle name="Title 16 6" xfId="15785" xr:uid="{00000000-0005-0000-0000-0000093D0000}"/>
    <cellStyle name="Title 16 6 2" xfId="15786" xr:uid="{00000000-0005-0000-0000-00000A3D0000}"/>
    <cellStyle name="Title 16 6 2 2" xfId="15787" xr:uid="{00000000-0005-0000-0000-00000B3D0000}"/>
    <cellStyle name="Title 16 6 3" xfId="15788" xr:uid="{00000000-0005-0000-0000-00000C3D0000}"/>
    <cellStyle name="Title 16 6 3 2" xfId="15789" xr:uid="{00000000-0005-0000-0000-00000D3D0000}"/>
    <cellStyle name="Title 16 6 4" xfId="15790" xr:uid="{00000000-0005-0000-0000-00000E3D0000}"/>
    <cellStyle name="Title 16 7" xfId="15791" xr:uid="{00000000-0005-0000-0000-00000F3D0000}"/>
    <cellStyle name="Title 16 7 2" xfId="15792" xr:uid="{00000000-0005-0000-0000-0000103D0000}"/>
    <cellStyle name="Title 16 8" xfId="15793" xr:uid="{00000000-0005-0000-0000-0000113D0000}"/>
    <cellStyle name="Title 16 8 2" xfId="15794" xr:uid="{00000000-0005-0000-0000-0000123D0000}"/>
    <cellStyle name="Title 16 9" xfId="15795" xr:uid="{00000000-0005-0000-0000-0000133D0000}"/>
    <cellStyle name="Title 16 9 2" xfId="15796" xr:uid="{00000000-0005-0000-0000-0000143D0000}"/>
    <cellStyle name="Title 17" xfId="3264" xr:uid="{00000000-0005-0000-0000-0000153D0000}"/>
    <cellStyle name="Title 17 10" xfId="15798" xr:uid="{00000000-0005-0000-0000-0000163D0000}"/>
    <cellStyle name="Title 17 11" xfId="15799" xr:uid="{00000000-0005-0000-0000-0000173D0000}"/>
    <cellStyle name="Title 17 12" xfId="15797" xr:uid="{00000000-0005-0000-0000-0000183D0000}"/>
    <cellStyle name="Title 17 2" xfId="15800" xr:uid="{00000000-0005-0000-0000-0000193D0000}"/>
    <cellStyle name="Title 17 2 2" xfId="15801" xr:uid="{00000000-0005-0000-0000-00001A3D0000}"/>
    <cellStyle name="Title 17 2 2 2" xfId="15802" xr:uid="{00000000-0005-0000-0000-00001B3D0000}"/>
    <cellStyle name="Title 17 2 3" xfId="15803" xr:uid="{00000000-0005-0000-0000-00001C3D0000}"/>
    <cellStyle name="Title 17 2 3 2" xfId="15804" xr:uid="{00000000-0005-0000-0000-00001D3D0000}"/>
    <cellStyle name="Title 17 2 4" xfId="15805" xr:uid="{00000000-0005-0000-0000-00001E3D0000}"/>
    <cellStyle name="Title 17 2 5" xfId="15806" xr:uid="{00000000-0005-0000-0000-00001F3D0000}"/>
    <cellStyle name="Title 17 3" xfId="15807" xr:uid="{00000000-0005-0000-0000-0000203D0000}"/>
    <cellStyle name="Title 17 3 2" xfId="15808" xr:uid="{00000000-0005-0000-0000-0000213D0000}"/>
    <cellStyle name="Title 17 3 2 2" xfId="15809" xr:uid="{00000000-0005-0000-0000-0000223D0000}"/>
    <cellStyle name="Title 17 3 3" xfId="15810" xr:uid="{00000000-0005-0000-0000-0000233D0000}"/>
    <cellStyle name="Title 17 3 3 2" xfId="15811" xr:uid="{00000000-0005-0000-0000-0000243D0000}"/>
    <cellStyle name="Title 17 3 4" xfId="15812" xr:uid="{00000000-0005-0000-0000-0000253D0000}"/>
    <cellStyle name="Title 17 4" xfId="15813" xr:uid="{00000000-0005-0000-0000-0000263D0000}"/>
    <cellStyle name="Title 17 4 2" xfId="15814" xr:uid="{00000000-0005-0000-0000-0000273D0000}"/>
    <cellStyle name="Title 17 4 2 2" xfId="15815" xr:uid="{00000000-0005-0000-0000-0000283D0000}"/>
    <cellStyle name="Title 17 4 3" xfId="15816" xr:uid="{00000000-0005-0000-0000-0000293D0000}"/>
    <cellStyle name="Title 17 4 3 2" xfId="15817" xr:uid="{00000000-0005-0000-0000-00002A3D0000}"/>
    <cellStyle name="Title 17 4 4" xfId="15818" xr:uid="{00000000-0005-0000-0000-00002B3D0000}"/>
    <cellStyle name="Title 17 5" xfId="15819" xr:uid="{00000000-0005-0000-0000-00002C3D0000}"/>
    <cellStyle name="Title 17 5 2" xfId="15820" xr:uid="{00000000-0005-0000-0000-00002D3D0000}"/>
    <cellStyle name="Title 17 5 2 2" xfId="15821" xr:uid="{00000000-0005-0000-0000-00002E3D0000}"/>
    <cellStyle name="Title 17 5 3" xfId="15822" xr:uid="{00000000-0005-0000-0000-00002F3D0000}"/>
    <cellStyle name="Title 17 5 3 2" xfId="15823" xr:uid="{00000000-0005-0000-0000-0000303D0000}"/>
    <cellStyle name="Title 17 5 4" xfId="15824" xr:uid="{00000000-0005-0000-0000-0000313D0000}"/>
    <cellStyle name="Title 17 5 4 2" xfId="15825" xr:uid="{00000000-0005-0000-0000-0000323D0000}"/>
    <cellStyle name="Title 17 5 5" xfId="15826" xr:uid="{00000000-0005-0000-0000-0000333D0000}"/>
    <cellStyle name="Title 17 6" xfId="15827" xr:uid="{00000000-0005-0000-0000-0000343D0000}"/>
    <cellStyle name="Title 17 6 2" xfId="15828" xr:uid="{00000000-0005-0000-0000-0000353D0000}"/>
    <cellStyle name="Title 17 6 2 2" xfId="15829" xr:uid="{00000000-0005-0000-0000-0000363D0000}"/>
    <cellStyle name="Title 17 6 3" xfId="15830" xr:uid="{00000000-0005-0000-0000-0000373D0000}"/>
    <cellStyle name="Title 17 6 3 2" xfId="15831" xr:uid="{00000000-0005-0000-0000-0000383D0000}"/>
    <cellStyle name="Title 17 6 4" xfId="15832" xr:uid="{00000000-0005-0000-0000-0000393D0000}"/>
    <cellStyle name="Title 17 7" xfId="15833" xr:uid="{00000000-0005-0000-0000-00003A3D0000}"/>
    <cellStyle name="Title 17 7 2" xfId="15834" xr:uid="{00000000-0005-0000-0000-00003B3D0000}"/>
    <cellStyle name="Title 17 8" xfId="15835" xr:uid="{00000000-0005-0000-0000-00003C3D0000}"/>
    <cellStyle name="Title 17 8 2" xfId="15836" xr:uid="{00000000-0005-0000-0000-00003D3D0000}"/>
    <cellStyle name="Title 17 9" xfId="15837" xr:uid="{00000000-0005-0000-0000-00003E3D0000}"/>
    <cellStyle name="Title 17 9 2" xfId="15838" xr:uid="{00000000-0005-0000-0000-00003F3D0000}"/>
    <cellStyle name="Title 18" xfId="3265" xr:uid="{00000000-0005-0000-0000-0000403D0000}"/>
    <cellStyle name="Title 18 10" xfId="15840" xr:uid="{00000000-0005-0000-0000-0000413D0000}"/>
    <cellStyle name="Title 18 11" xfId="15841" xr:uid="{00000000-0005-0000-0000-0000423D0000}"/>
    <cellStyle name="Title 18 12" xfId="15839" xr:uid="{00000000-0005-0000-0000-0000433D0000}"/>
    <cellStyle name="Title 18 2" xfId="15842" xr:uid="{00000000-0005-0000-0000-0000443D0000}"/>
    <cellStyle name="Title 18 2 2" xfId="15843" xr:uid="{00000000-0005-0000-0000-0000453D0000}"/>
    <cellStyle name="Title 18 2 2 2" xfId="15844" xr:uid="{00000000-0005-0000-0000-0000463D0000}"/>
    <cellStyle name="Title 18 2 3" xfId="15845" xr:uid="{00000000-0005-0000-0000-0000473D0000}"/>
    <cellStyle name="Title 18 2 3 2" xfId="15846" xr:uid="{00000000-0005-0000-0000-0000483D0000}"/>
    <cellStyle name="Title 18 2 4" xfId="15847" xr:uid="{00000000-0005-0000-0000-0000493D0000}"/>
    <cellStyle name="Title 18 2 5" xfId="15848" xr:uid="{00000000-0005-0000-0000-00004A3D0000}"/>
    <cellStyle name="Title 18 3" xfId="15849" xr:uid="{00000000-0005-0000-0000-00004B3D0000}"/>
    <cellStyle name="Title 18 3 2" xfId="15850" xr:uid="{00000000-0005-0000-0000-00004C3D0000}"/>
    <cellStyle name="Title 18 3 2 2" xfId="15851" xr:uid="{00000000-0005-0000-0000-00004D3D0000}"/>
    <cellStyle name="Title 18 3 3" xfId="15852" xr:uid="{00000000-0005-0000-0000-00004E3D0000}"/>
    <cellStyle name="Title 18 3 3 2" xfId="15853" xr:uid="{00000000-0005-0000-0000-00004F3D0000}"/>
    <cellStyle name="Title 18 3 4" xfId="15854" xr:uid="{00000000-0005-0000-0000-0000503D0000}"/>
    <cellStyle name="Title 18 4" xfId="15855" xr:uid="{00000000-0005-0000-0000-0000513D0000}"/>
    <cellStyle name="Title 18 4 2" xfId="15856" xr:uid="{00000000-0005-0000-0000-0000523D0000}"/>
    <cellStyle name="Title 18 4 2 2" xfId="15857" xr:uid="{00000000-0005-0000-0000-0000533D0000}"/>
    <cellStyle name="Title 18 4 3" xfId="15858" xr:uid="{00000000-0005-0000-0000-0000543D0000}"/>
    <cellStyle name="Title 18 4 3 2" xfId="15859" xr:uid="{00000000-0005-0000-0000-0000553D0000}"/>
    <cellStyle name="Title 18 4 4" xfId="15860" xr:uid="{00000000-0005-0000-0000-0000563D0000}"/>
    <cellStyle name="Title 18 5" xfId="15861" xr:uid="{00000000-0005-0000-0000-0000573D0000}"/>
    <cellStyle name="Title 18 5 2" xfId="15862" xr:uid="{00000000-0005-0000-0000-0000583D0000}"/>
    <cellStyle name="Title 18 5 2 2" xfId="15863" xr:uid="{00000000-0005-0000-0000-0000593D0000}"/>
    <cellStyle name="Title 18 5 3" xfId="15864" xr:uid="{00000000-0005-0000-0000-00005A3D0000}"/>
    <cellStyle name="Title 18 5 3 2" xfId="15865" xr:uid="{00000000-0005-0000-0000-00005B3D0000}"/>
    <cellStyle name="Title 18 5 4" xfId="15866" xr:uid="{00000000-0005-0000-0000-00005C3D0000}"/>
    <cellStyle name="Title 18 5 4 2" xfId="15867" xr:uid="{00000000-0005-0000-0000-00005D3D0000}"/>
    <cellStyle name="Title 18 5 5" xfId="15868" xr:uid="{00000000-0005-0000-0000-00005E3D0000}"/>
    <cellStyle name="Title 18 6" xfId="15869" xr:uid="{00000000-0005-0000-0000-00005F3D0000}"/>
    <cellStyle name="Title 18 6 2" xfId="15870" xr:uid="{00000000-0005-0000-0000-0000603D0000}"/>
    <cellStyle name="Title 18 6 2 2" xfId="15871" xr:uid="{00000000-0005-0000-0000-0000613D0000}"/>
    <cellStyle name="Title 18 6 3" xfId="15872" xr:uid="{00000000-0005-0000-0000-0000623D0000}"/>
    <cellStyle name="Title 18 6 3 2" xfId="15873" xr:uid="{00000000-0005-0000-0000-0000633D0000}"/>
    <cellStyle name="Title 18 6 4" xfId="15874" xr:uid="{00000000-0005-0000-0000-0000643D0000}"/>
    <cellStyle name="Title 18 7" xfId="15875" xr:uid="{00000000-0005-0000-0000-0000653D0000}"/>
    <cellStyle name="Title 18 7 2" xfId="15876" xr:uid="{00000000-0005-0000-0000-0000663D0000}"/>
    <cellStyle name="Title 18 8" xfId="15877" xr:uid="{00000000-0005-0000-0000-0000673D0000}"/>
    <cellStyle name="Title 18 8 2" xfId="15878" xr:uid="{00000000-0005-0000-0000-0000683D0000}"/>
    <cellStyle name="Title 18 9" xfId="15879" xr:uid="{00000000-0005-0000-0000-0000693D0000}"/>
    <cellStyle name="Title 18 9 2" xfId="15880" xr:uid="{00000000-0005-0000-0000-00006A3D0000}"/>
    <cellStyle name="Title 19" xfId="3266" xr:uid="{00000000-0005-0000-0000-00006B3D0000}"/>
    <cellStyle name="Title 19 10" xfId="15882" xr:uid="{00000000-0005-0000-0000-00006C3D0000}"/>
    <cellStyle name="Title 19 11" xfId="15883" xr:uid="{00000000-0005-0000-0000-00006D3D0000}"/>
    <cellStyle name="Title 19 12" xfId="15881" xr:uid="{00000000-0005-0000-0000-00006E3D0000}"/>
    <cellStyle name="Title 19 2" xfId="15884" xr:uid="{00000000-0005-0000-0000-00006F3D0000}"/>
    <cellStyle name="Title 19 2 2" xfId="15885" xr:uid="{00000000-0005-0000-0000-0000703D0000}"/>
    <cellStyle name="Title 19 2 2 2" xfId="15886" xr:uid="{00000000-0005-0000-0000-0000713D0000}"/>
    <cellStyle name="Title 19 2 3" xfId="15887" xr:uid="{00000000-0005-0000-0000-0000723D0000}"/>
    <cellStyle name="Title 19 2 3 2" xfId="15888" xr:uid="{00000000-0005-0000-0000-0000733D0000}"/>
    <cellStyle name="Title 19 2 4" xfId="15889" xr:uid="{00000000-0005-0000-0000-0000743D0000}"/>
    <cellStyle name="Title 19 2 5" xfId="15890" xr:uid="{00000000-0005-0000-0000-0000753D0000}"/>
    <cellStyle name="Title 19 3" xfId="15891" xr:uid="{00000000-0005-0000-0000-0000763D0000}"/>
    <cellStyle name="Title 19 3 2" xfId="15892" xr:uid="{00000000-0005-0000-0000-0000773D0000}"/>
    <cellStyle name="Title 19 3 2 2" xfId="15893" xr:uid="{00000000-0005-0000-0000-0000783D0000}"/>
    <cellStyle name="Title 19 3 3" xfId="15894" xr:uid="{00000000-0005-0000-0000-0000793D0000}"/>
    <cellStyle name="Title 19 3 3 2" xfId="15895" xr:uid="{00000000-0005-0000-0000-00007A3D0000}"/>
    <cellStyle name="Title 19 3 4" xfId="15896" xr:uid="{00000000-0005-0000-0000-00007B3D0000}"/>
    <cellStyle name="Title 19 4" xfId="15897" xr:uid="{00000000-0005-0000-0000-00007C3D0000}"/>
    <cellStyle name="Title 19 4 2" xfId="15898" xr:uid="{00000000-0005-0000-0000-00007D3D0000}"/>
    <cellStyle name="Title 19 4 2 2" xfId="15899" xr:uid="{00000000-0005-0000-0000-00007E3D0000}"/>
    <cellStyle name="Title 19 4 3" xfId="15900" xr:uid="{00000000-0005-0000-0000-00007F3D0000}"/>
    <cellStyle name="Title 19 4 3 2" xfId="15901" xr:uid="{00000000-0005-0000-0000-0000803D0000}"/>
    <cellStyle name="Title 19 4 4" xfId="15902" xr:uid="{00000000-0005-0000-0000-0000813D0000}"/>
    <cellStyle name="Title 19 5" xfId="15903" xr:uid="{00000000-0005-0000-0000-0000823D0000}"/>
    <cellStyle name="Title 19 5 2" xfId="15904" xr:uid="{00000000-0005-0000-0000-0000833D0000}"/>
    <cellStyle name="Title 19 5 2 2" xfId="15905" xr:uid="{00000000-0005-0000-0000-0000843D0000}"/>
    <cellStyle name="Title 19 5 3" xfId="15906" xr:uid="{00000000-0005-0000-0000-0000853D0000}"/>
    <cellStyle name="Title 19 5 3 2" xfId="15907" xr:uid="{00000000-0005-0000-0000-0000863D0000}"/>
    <cellStyle name="Title 19 5 4" xfId="15908" xr:uid="{00000000-0005-0000-0000-0000873D0000}"/>
    <cellStyle name="Title 19 5 4 2" xfId="15909" xr:uid="{00000000-0005-0000-0000-0000883D0000}"/>
    <cellStyle name="Title 19 5 5" xfId="15910" xr:uid="{00000000-0005-0000-0000-0000893D0000}"/>
    <cellStyle name="Title 19 6" xfId="15911" xr:uid="{00000000-0005-0000-0000-00008A3D0000}"/>
    <cellStyle name="Title 19 6 2" xfId="15912" xr:uid="{00000000-0005-0000-0000-00008B3D0000}"/>
    <cellStyle name="Title 19 6 2 2" xfId="15913" xr:uid="{00000000-0005-0000-0000-00008C3D0000}"/>
    <cellStyle name="Title 19 6 3" xfId="15914" xr:uid="{00000000-0005-0000-0000-00008D3D0000}"/>
    <cellStyle name="Title 19 6 3 2" xfId="15915" xr:uid="{00000000-0005-0000-0000-00008E3D0000}"/>
    <cellStyle name="Title 19 6 4" xfId="15916" xr:uid="{00000000-0005-0000-0000-00008F3D0000}"/>
    <cellStyle name="Title 19 7" xfId="15917" xr:uid="{00000000-0005-0000-0000-0000903D0000}"/>
    <cellStyle name="Title 19 7 2" xfId="15918" xr:uid="{00000000-0005-0000-0000-0000913D0000}"/>
    <cellStyle name="Title 19 8" xfId="15919" xr:uid="{00000000-0005-0000-0000-0000923D0000}"/>
    <cellStyle name="Title 19 8 2" xfId="15920" xr:uid="{00000000-0005-0000-0000-0000933D0000}"/>
    <cellStyle name="Title 19 9" xfId="15921" xr:uid="{00000000-0005-0000-0000-0000943D0000}"/>
    <cellStyle name="Title 19 9 2" xfId="15922" xr:uid="{00000000-0005-0000-0000-0000953D0000}"/>
    <cellStyle name="Title 2" xfId="306" xr:uid="{00000000-0005-0000-0000-0000963D0000}"/>
    <cellStyle name="Title 2 10" xfId="4799" xr:uid="{00000000-0005-0000-0000-0000973D0000}"/>
    <cellStyle name="Title 2 10 10" xfId="15925" xr:uid="{00000000-0005-0000-0000-0000983D0000}"/>
    <cellStyle name="Title 2 10 11" xfId="15924" xr:uid="{00000000-0005-0000-0000-0000993D0000}"/>
    <cellStyle name="Title 2 10 2" xfId="15926" xr:uid="{00000000-0005-0000-0000-00009A3D0000}"/>
    <cellStyle name="Title 2 10 2 2" xfId="15927" xr:uid="{00000000-0005-0000-0000-00009B3D0000}"/>
    <cellStyle name="Title 2 10 2 2 2" xfId="15928" xr:uid="{00000000-0005-0000-0000-00009C3D0000}"/>
    <cellStyle name="Title 2 10 2 3" xfId="15929" xr:uid="{00000000-0005-0000-0000-00009D3D0000}"/>
    <cellStyle name="Title 2 10 2 3 2" xfId="15930" xr:uid="{00000000-0005-0000-0000-00009E3D0000}"/>
    <cellStyle name="Title 2 10 2 4" xfId="15931" xr:uid="{00000000-0005-0000-0000-00009F3D0000}"/>
    <cellStyle name="Title 2 10 3" xfId="15932" xr:uid="{00000000-0005-0000-0000-0000A03D0000}"/>
    <cellStyle name="Title 2 10 3 2" xfId="15933" xr:uid="{00000000-0005-0000-0000-0000A13D0000}"/>
    <cellStyle name="Title 2 10 3 2 2" xfId="15934" xr:uid="{00000000-0005-0000-0000-0000A23D0000}"/>
    <cellStyle name="Title 2 10 3 3" xfId="15935" xr:uid="{00000000-0005-0000-0000-0000A33D0000}"/>
    <cellStyle name="Title 2 10 3 3 2" xfId="15936" xr:uid="{00000000-0005-0000-0000-0000A43D0000}"/>
    <cellStyle name="Title 2 10 3 4" xfId="15937" xr:uid="{00000000-0005-0000-0000-0000A53D0000}"/>
    <cellStyle name="Title 2 10 4" xfId="15938" xr:uid="{00000000-0005-0000-0000-0000A63D0000}"/>
    <cellStyle name="Title 2 10 4 2" xfId="15939" xr:uid="{00000000-0005-0000-0000-0000A73D0000}"/>
    <cellStyle name="Title 2 10 4 2 2" xfId="15940" xr:uid="{00000000-0005-0000-0000-0000A83D0000}"/>
    <cellStyle name="Title 2 10 4 3" xfId="15941" xr:uid="{00000000-0005-0000-0000-0000A93D0000}"/>
    <cellStyle name="Title 2 10 4 3 2" xfId="15942" xr:uid="{00000000-0005-0000-0000-0000AA3D0000}"/>
    <cellStyle name="Title 2 10 4 4" xfId="15943" xr:uid="{00000000-0005-0000-0000-0000AB3D0000}"/>
    <cellStyle name="Title 2 10 4 4 2" xfId="15944" xr:uid="{00000000-0005-0000-0000-0000AC3D0000}"/>
    <cellStyle name="Title 2 10 4 5" xfId="15945" xr:uid="{00000000-0005-0000-0000-0000AD3D0000}"/>
    <cellStyle name="Title 2 10 5" xfId="15946" xr:uid="{00000000-0005-0000-0000-0000AE3D0000}"/>
    <cellStyle name="Title 2 10 5 2" xfId="15947" xr:uid="{00000000-0005-0000-0000-0000AF3D0000}"/>
    <cellStyle name="Title 2 10 5 2 2" xfId="15948" xr:uid="{00000000-0005-0000-0000-0000B03D0000}"/>
    <cellStyle name="Title 2 10 5 3" xfId="15949" xr:uid="{00000000-0005-0000-0000-0000B13D0000}"/>
    <cellStyle name="Title 2 10 5 3 2" xfId="15950" xr:uid="{00000000-0005-0000-0000-0000B23D0000}"/>
    <cellStyle name="Title 2 10 5 4" xfId="15951" xr:uid="{00000000-0005-0000-0000-0000B33D0000}"/>
    <cellStyle name="Title 2 10 6" xfId="15952" xr:uid="{00000000-0005-0000-0000-0000B43D0000}"/>
    <cellStyle name="Title 2 10 6 2" xfId="15953" xr:uid="{00000000-0005-0000-0000-0000B53D0000}"/>
    <cellStyle name="Title 2 10 7" xfId="15954" xr:uid="{00000000-0005-0000-0000-0000B63D0000}"/>
    <cellStyle name="Title 2 10 7 2" xfId="15955" xr:uid="{00000000-0005-0000-0000-0000B73D0000}"/>
    <cellStyle name="Title 2 10 8" xfId="15956" xr:uid="{00000000-0005-0000-0000-0000B83D0000}"/>
    <cellStyle name="Title 2 10 8 2" xfId="15957" xr:uid="{00000000-0005-0000-0000-0000B93D0000}"/>
    <cellStyle name="Title 2 10 9" xfId="15958" xr:uid="{00000000-0005-0000-0000-0000BA3D0000}"/>
    <cellStyle name="Title 2 11" xfId="15959" xr:uid="{00000000-0005-0000-0000-0000BB3D0000}"/>
    <cellStyle name="Title 2 11 10" xfId="15960" xr:uid="{00000000-0005-0000-0000-0000BC3D0000}"/>
    <cellStyle name="Title 2 11 2" xfId="15961" xr:uid="{00000000-0005-0000-0000-0000BD3D0000}"/>
    <cellStyle name="Title 2 11 2 2" xfId="15962" xr:uid="{00000000-0005-0000-0000-0000BE3D0000}"/>
    <cellStyle name="Title 2 11 2 2 2" xfId="15963" xr:uid="{00000000-0005-0000-0000-0000BF3D0000}"/>
    <cellStyle name="Title 2 11 2 3" xfId="15964" xr:uid="{00000000-0005-0000-0000-0000C03D0000}"/>
    <cellStyle name="Title 2 11 2 3 2" xfId="15965" xr:uid="{00000000-0005-0000-0000-0000C13D0000}"/>
    <cellStyle name="Title 2 11 2 4" xfId="15966" xr:uid="{00000000-0005-0000-0000-0000C23D0000}"/>
    <cellStyle name="Title 2 11 3" xfId="15967" xr:uid="{00000000-0005-0000-0000-0000C33D0000}"/>
    <cellStyle name="Title 2 11 3 2" xfId="15968" xr:uid="{00000000-0005-0000-0000-0000C43D0000}"/>
    <cellStyle name="Title 2 11 3 2 2" xfId="15969" xr:uid="{00000000-0005-0000-0000-0000C53D0000}"/>
    <cellStyle name="Title 2 11 3 3" xfId="15970" xr:uid="{00000000-0005-0000-0000-0000C63D0000}"/>
    <cellStyle name="Title 2 11 3 3 2" xfId="15971" xr:uid="{00000000-0005-0000-0000-0000C73D0000}"/>
    <cellStyle name="Title 2 11 3 4" xfId="15972" xr:uid="{00000000-0005-0000-0000-0000C83D0000}"/>
    <cellStyle name="Title 2 11 4" xfId="15973" xr:uid="{00000000-0005-0000-0000-0000C93D0000}"/>
    <cellStyle name="Title 2 11 4 2" xfId="15974" xr:uid="{00000000-0005-0000-0000-0000CA3D0000}"/>
    <cellStyle name="Title 2 11 4 2 2" xfId="15975" xr:uid="{00000000-0005-0000-0000-0000CB3D0000}"/>
    <cellStyle name="Title 2 11 4 3" xfId="15976" xr:uid="{00000000-0005-0000-0000-0000CC3D0000}"/>
    <cellStyle name="Title 2 11 4 3 2" xfId="15977" xr:uid="{00000000-0005-0000-0000-0000CD3D0000}"/>
    <cellStyle name="Title 2 11 4 4" xfId="15978" xr:uid="{00000000-0005-0000-0000-0000CE3D0000}"/>
    <cellStyle name="Title 2 11 4 4 2" xfId="15979" xr:uid="{00000000-0005-0000-0000-0000CF3D0000}"/>
    <cellStyle name="Title 2 11 4 5" xfId="15980" xr:uid="{00000000-0005-0000-0000-0000D03D0000}"/>
    <cellStyle name="Title 2 11 5" xfId="15981" xr:uid="{00000000-0005-0000-0000-0000D13D0000}"/>
    <cellStyle name="Title 2 11 5 2" xfId="15982" xr:uid="{00000000-0005-0000-0000-0000D23D0000}"/>
    <cellStyle name="Title 2 11 5 2 2" xfId="15983" xr:uid="{00000000-0005-0000-0000-0000D33D0000}"/>
    <cellStyle name="Title 2 11 5 3" xfId="15984" xr:uid="{00000000-0005-0000-0000-0000D43D0000}"/>
    <cellStyle name="Title 2 11 5 3 2" xfId="15985" xr:uid="{00000000-0005-0000-0000-0000D53D0000}"/>
    <cellStyle name="Title 2 11 5 4" xfId="15986" xr:uid="{00000000-0005-0000-0000-0000D63D0000}"/>
    <cellStyle name="Title 2 11 6" xfId="15987" xr:uid="{00000000-0005-0000-0000-0000D73D0000}"/>
    <cellStyle name="Title 2 11 6 2" xfId="15988" xr:uid="{00000000-0005-0000-0000-0000D83D0000}"/>
    <cellStyle name="Title 2 11 7" xfId="15989" xr:uid="{00000000-0005-0000-0000-0000D93D0000}"/>
    <cellStyle name="Title 2 11 7 2" xfId="15990" xr:uid="{00000000-0005-0000-0000-0000DA3D0000}"/>
    <cellStyle name="Title 2 11 8" xfId="15991" xr:uid="{00000000-0005-0000-0000-0000DB3D0000}"/>
    <cellStyle name="Title 2 11 8 2" xfId="15992" xr:uid="{00000000-0005-0000-0000-0000DC3D0000}"/>
    <cellStyle name="Title 2 11 9" xfId="15993" xr:uid="{00000000-0005-0000-0000-0000DD3D0000}"/>
    <cellStyle name="Title 2 12" xfId="15994" xr:uid="{00000000-0005-0000-0000-0000DE3D0000}"/>
    <cellStyle name="Title 2 12 2" xfId="15995" xr:uid="{00000000-0005-0000-0000-0000DF3D0000}"/>
    <cellStyle name="Title 2 12 2 2" xfId="15996" xr:uid="{00000000-0005-0000-0000-0000E03D0000}"/>
    <cellStyle name="Title 2 12 3" xfId="15997" xr:uid="{00000000-0005-0000-0000-0000E13D0000}"/>
    <cellStyle name="Title 2 12 3 2" xfId="15998" xr:uid="{00000000-0005-0000-0000-0000E23D0000}"/>
    <cellStyle name="Title 2 12 4" xfId="15999" xr:uid="{00000000-0005-0000-0000-0000E33D0000}"/>
    <cellStyle name="Title 2 12 5" xfId="16000" xr:uid="{00000000-0005-0000-0000-0000E43D0000}"/>
    <cellStyle name="Title 2 13" xfId="16001" xr:uid="{00000000-0005-0000-0000-0000E53D0000}"/>
    <cellStyle name="Title 2 13 2" xfId="16002" xr:uid="{00000000-0005-0000-0000-0000E63D0000}"/>
    <cellStyle name="Title 2 13 2 2" xfId="16003" xr:uid="{00000000-0005-0000-0000-0000E73D0000}"/>
    <cellStyle name="Title 2 13 3" xfId="16004" xr:uid="{00000000-0005-0000-0000-0000E83D0000}"/>
    <cellStyle name="Title 2 13 3 2" xfId="16005" xr:uid="{00000000-0005-0000-0000-0000E93D0000}"/>
    <cellStyle name="Title 2 13 4" xfId="16006" xr:uid="{00000000-0005-0000-0000-0000EA3D0000}"/>
    <cellStyle name="Title 2 14" xfId="16007" xr:uid="{00000000-0005-0000-0000-0000EB3D0000}"/>
    <cellStyle name="Title 2 14 2" xfId="16008" xr:uid="{00000000-0005-0000-0000-0000EC3D0000}"/>
    <cellStyle name="Title 2 14 2 2" xfId="16009" xr:uid="{00000000-0005-0000-0000-0000ED3D0000}"/>
    <cellStyle name="Title 2 14 3" xfId="16010" xr:uid="{00000000-0005-0000-0000-0000EE3D0000}"/>
    <cellStyle name="Title 2 14 3 2" xfId="16011" xr:uid="{00000000-0005-0000-0000-0000EF3D0000}"/>
    <cellStyle name="Title 2 14 4" xfId="16012" xr:uid="{00000000-0005-0000-0000-0000F03D0000}"/>
    <cellStyle name="Title 2 15" xfId="16013" xr:uid="{00000000-0005-0000-0000-0000F13D0000}"/>
    <cellStyle name="Title 2 15 2" xfId="16014" xr:uid="{00000000-0005-0000-0000-0000F23D0000}"/>
    <cellStyle name="Title 2 15 2 2" xfId="16015" xr:uid="{00000000-0005-0000-0000-0000F33D0000}"/>
    <cellStyle name="Title 2 15 3" xfId="16016" xr:uid="{00000000-0005-0000-0000-0000F43D0000}"/>
    <cellStyle name="Title 2 15 3 2" xfId="16017" xr:uid="{00000000-0005-0000-0000-0000F53D0000}"/>
    <cellStyle name="Title 2 15 4" xfId="16018" xr:uid="{00000000-0005-0000-0000-0000F63D0000}"/>
    <cellStyle name="Title 2 15 4 2" xfId="16019" xr:uid="{00000000-0005-0000-0000-0000F73D0000}"/>
    <cellStyle name="Title 2 15 5" xfId="16020" xr:uid="{00000000-0005-0000-0000-0000F83D0000}"/>
    <cellStyle name="Title 2 16" xfId="16021" xr:uid="{00000000-0005-0000-0000-0000F93D0000}"/>
    <cellStyle name="Title 2 16 2" xfId="16022" xr:uid="{00000000-0005-0000-0000-0000FA3D0000}"/>
    <cellStyle name="Title 2 16 2 2" xfId="16023" xr:uid="{00000000-0005-0000-0000-0000FB3D0000}"/>
    <cellStyle name="Title 2 16 3" xfId="16024" xr:uid="{00000000-0005-0000-0000-0000FC3D0000}"/>
    <cellStyle name="Title 2 16 3 2" xfId="16025" xr:uid="{00000000-0005-0000-0000-0000FD3D0000}"/>
    <cellStyle name="Title 2 16 4" xfId="16026" xr:uid="{00000000-0005-0000-0000-0000FE3D0000}"/>
    <cellStyle name="Title 2 17" xfId="16027" xr:uid="{00000000-0005-0000-0000-0000FF3D0000}"/>
    <cellStyle name="Title 2 17 2" xfId="16028" xr:uid="{00000000-0005-0000-0000-0000003E0000}"/>
    <cellStyle name="Title 2 18" xfId="16029" xr:uid="{00000000-0005-0000-0000-0000013E0000}"/>
    <cellStyle name="Title 2 18 2" xfId="16030" xr:uid="{00000000-0005-0000-0000-0000023E0000}"/>
    <cellStyle name="Title 2 19" xfId="16031" xr:uid="{00000000-0005-0000-0000-0000033E0000}"/>
    <cellStyle name="Title 2 19 2" xfId="16032" xr:uid="{00000000-0005-0000-0000-0000043E0000}"/>
    <cellStyle name="Title 2 2" xfId="4800" xr:uid="{00000000-0005-0000-0000-0000053E0000}"/>
    <cellStyle name="Title 2 2 10" xfId="16034" xr:uid="{00000000-0005-0000-0000-0000063E0000}"/>
    <cellStyle name="Title 2 2 11" xfId="16033" xr:uid="{00000000-0005-0000-0000-0000073E0000}"/>
    <cellStyle name="Title 2 2 2" xfId="16035" xr:uid="{00000000-0005-0000-0000-0000083E0000}"/>
    <cellStyle name="Title 2 2 2 2" xfId="16036" xr:uid="{00000000-0005-0000-0000-0000093E0000}"/>
    <cellStyle name="Title 2 2 2 2 2" xfId="16037" xr:uid="{00000000-0005-0000-0000-00000A3E0000}"/>
    <cellStyle name="Title 2 2 2 3" xfId="16038" xr:uid="{00000000-0005-0000-0000-00000B3E0000}"/>
    <cellStyle name="Title 2 2 2 3 2" xfId="16039" xr:uid="{00000000-0005-0000-0000-00000C3E0000}"/>
    <cellStyle name="Title 2 2 2 4" xfId="16040" xr:uid="{00000000-0005-0000-0000-00000D3E0000}"/>
    <cellStyle name="Title 2 2 3" xfId="16041" xr:uid="{00000000-0005-0000-0000-00000E3E0000}"/>
    <cellStyle name="Title 2 2 3 2" xfId="16042" xr:uid="{00000000-0005-0000-0000-00000F3E0000}"/>
    <cellStyle name="Title 2 2 3 2 2" xfId="16043" xr:uid="{00000000-0005-0000-0000-0000103E0000}"/>
    <cellStyle name="Title 2 2 3 3" xfId="16044" xr:uid="{00000000-0005-0000-0000-0000113E0000}"/>
    <cellStyle name="Title 2 2 3 3 2" xfId="16045" xr:uid="{00000000-0005-0000-0000-0000123E0000}"/>
    <cellStyle name="Title 2 2 3 4" xfId="16046" xr:uid="{00000000-0005-0000-0000-0000133E0000}"/>
    <cellStyle name="Title 2 2 4" xfId="16047" xr:uid="{00000000-0005-0000-0000-0000143E0000}"/>
    <cellStyle name="Title 2 2 4 2" xfId="16048" xr:uid="{00000000-0005-0000-0000-0000153E0000}"/>
    <cellStyle name="Title 2 2 4 2 2" xfId="16049" xr:uid="{00000000-0005-0000-0000-0000163E0000}"/>
    <cellStyle name="Title 2 2 4 3" xfId="16050" xr:uid="{00000000-0005-0000-0000-0000173E0000}"/>
    <cellStyle name="Title 2 2 4 3 2" xfId="16051" xr:uid="{00000000-0005-0000-0000-0000183E0000}"/>
    <cellStyle name="Title 2 2 4 4" xfId="16052" xr:uid="{00000000-0005-0000-0000-0000193E0000}"/>
    <cellStyle name="Title 2 2 4 4 2" xfId="16053" xr:uid="{00000000-0005-0000-0000-00001A3E0000}"/>
    <cellStyle name="Title 2 2 4 5" xfId="16054" xr:uid="{00000000-0005-0000-0000-00001B3E0000}"/>
    <cellStyle name="Title 2 2 5" xfId="16055" xr:uid="{00000000-0005-0000-0000-00001C3E0000}"/>
    <cellStyle name="Title 2 2 5 2" xfId="16056" xr:uid="{00000000-0005-0000-0000-00001D3E0000}"/>
    <cellStyle name="Title 2 2 5 2 2" xfId="16057" xr:uid="{00000000-0005-0000-0000-00001E3E0000}"/>
    <cellStyle name="Title 2 2 5 3" xfId="16058" xr:uid="{00000000-0005-0000-0000-00001F3E0000}"/>
    <cellStyle name="Title 2 2 5 3 2" xfId="16059" xr:uid="{00000000-0005-0000-0000-0000203E0000}"/>
    <cellStyle name="Title 2 2 5 4" xfId="16060" xr:uid="{00000000-0005-0000-0000-0000213E0000}"/>
    <cellStyle name="Title 2 2 6" xfId="16061" xr:uid="{00000000-0005-0000-0000-0000223E0000}"/>
    <cellStyle name="Title 2 2 6 2" xfId="16062" xr:uid="{00000000-0005-0000-0000-0000233E0000}"/>
    <cellStyle name="Title 2 2 7" xfId="16063" xr:uid="{00000000-0005-0000-0000-0000243E0000}"/>
    <cellStyle name="Title 2 2 7 2" xfId="16064" xr:uid="{00000000-0005-0000-0000-0000253E0000}"/>
    <cellStyle name="Title 2 2 8" xfId="16065" xr:uid="{00000000-0005-0000-0000-0000263E0000}"/>
    <cellStyle name="Title 2 2 8 2" xfId="16066" xr:uid="{00000000-0005-0000-0000-0000273E0000}"/>
    <cellStyle name="Title 2 2 9" xfId="16067" xr:uid="{00000000-0005-0000-0000-0000283E0000}"/>
    <cellStyle name="Title 2 20" xfId="16068" xr:uid="{00000000-0005-0000-0000-0000293E0000}"/>
    <cellStyle name="Title 2 21" xfId="16069" xr:uid="{00000000-0005-0000-0000-00002A3E0000}"/>
    <cellStyle name="Title 2 22" xfId="15923" xr:uid="{00000000-0005-0000-0000-00002B3E0000}"/>
    <cellStyle name="Title 2 3" xfId="4801" xr:uid="{00000000-0005-0000-0000-00002C3E0000}"/>
    <cellStyle name="Title 2 3 10" xfId="16071" xr:uid="{00000000-0005-0000-0000-00002D3E0000}"/>
    <cellStyle name="Title 2 3 11" xfId="16070" xr:uid="{00000000-0005-0000-0000-00002E3E0000}"/>
    <cellStyle name="Title 2 3 2" xfId="16072" xr:uid="{00000000-0005-0000-0000-00002F3E0000}"/>
    <cellStyle name="Title 2 3 2 2" xfId="16073" xr:uid="{00000000-0005-0000-0000-0000303E0000}"/>
    <cellStyle name="Title 2 3 2 2 2" xfId="16074" xr:uid="{00000000-0005-0000-0000-0000313E0000}"/>
    <cellStyle name="Title 2 3 2 3" xfId="16075" xr:uid="{00000000-0005-0000-0000-0000323E0000}"/>
    <cellStyle name="Title 2 3 2 3 2" xfId="16076" xr:uid="{00000000-0005-0000-0000-0000333E0000}"/>
    <cellStyle name="Title 2 3 2 4" xfId="16077" xr:uid="{00000000-0005-0000-0000-0000343E0000}"/>
    <cellStyle name="Title 2 3 3" xfId="16078" xr:uid="{00000000-0005-0000-0000-0000353E0000}"/>
    <cellStyle name="Title 2 3 3 2" xfId="16079" xr:uid="{00000000-0005-0000-0000-0000363E0000}"/>
    <cellStyle name="Title 2 3 3 2 2" xfId="16080" xr:uid="{00000000-0005-0000-0000-0000373E0000}"/>
    <cellStyle name="Title 2 3 3 3" xfId="16081" xr:uid="{00000000-0005-0000-0000-0000383E0000}"/>
    <cellStyle name="Title 2 3 3 3 2" xfId="16082" xr:uid="{00000000-0005-0000-0000-0000393E0000}"/>
    <cellStyle name="Title 2 3 3 4" xfId="16083" xr:uid="{00000000-0005-0000-0000-00003A3E0000}"/>
    <cellStyle name="Title 2 3 4" xfId="16084" xr:uid="{00000000-0005-0000-0000-00003B3E0000}"/>
    <cellStyle name="Title 2 3 4 2" xfId="16085" xr:uid="{00000000-0005-0000-0000-00003C3E0000}"/>
    <cellStyle name="Title 2 3 4 2 2" xfId="16086" xr:uid="{00000000-0005-0000-0000-00003D3E0000}"/>
    <cellStyle name="Title 2 3 4 3" xfId="16087" xr:uid="{00000000-0005-0000-0000-00003E3E0000}"/>
    <cellStyle name="Title 2 3 4 3 2" xfId="16088" xr:uid="{00000000-0005-0000-0000-00003F3E0000}"/>
    <cellStyle name="Title 2 3 4 4" xfId="16089" xr:uid="{00000000-0005-0000-0000-0000403E0000}"/>
    <cellStyle name="Title 2 3 4 4 2" xfId="16090" xr:uid="{00000000-0005-0000-0000-0000413E0000}"/>
    <cellStyle name="Title 2 3 4 5" xfId="16091" xr:uid="{00000000-0005-0000-0000-0000423E0000}"/>
    <cellStyle name="Title 2 3 5" xfId="16092" xr:uid="{00000000-0005-0000-0000-0000433E0000}"/>
    <cellStyle name="Title 2 3 5 2" xfId="16093" xr:uid="{00000000-0005-0000-0000-0000443E0000}"/>
    <cellStyle name="Title 2 3 5 2 2" xfId="16094" xr:uid="{00000000-0005-0000-0000-0000453E0000}"/>
    <cellStyle name="Title 2 3 5 3" xfId="16095" xr:uid="{00000000-0005-0000-0000-0000463E0000}"/>
    <cellStyle name="Title 2 3 5 3 2" xfId="16096" xr:uid="{00000000-0005-0000-0000-0000473E0000}"/>
    <cellStyle name="Title 2 3 5 4" xfId="16097" xr:uid="{00000000-0005-0000-0000-0000483E0000}"/>
    <cellStyle name="Title 2 3 6" xfId="16098" xr:uid="{00000000-0005-0000-0000-0000493E0000}"/>
    <cellStyle name="Title 2 3 6 2" xfId="16099" xr:uid="{00000000-0005-0000-0000-00004A3E0000}"/>
    <cellStyle name="Title 2 3 7" xfId="16100" xr:uid="{00000000-0005-0000-0000-00004B3E0000}"/>
    <cellStyle name="Title 2 3 7 2" xfId="16101" xr:uid="{00000000-0005-0000-0000-00004C3E0000}"/>
    <cellStyle name="Title 2 3 8" xfId="16102" xr:uid="{00000000-0005-0000-0000-00004D3E0000}"/>
    <cellStyle name="Title 2 3 8 2" xfId="16103" xr:uid="{00000000-0005-0000-0000-00004E3E0000}"/>
    <cellStyle name="Title 2 3 9" xfId="16104" xr:uid="{00000000-0005-0000-0000-00004F3E0000}"/>
    <cellStyle name="Title 2 4" xfId="4802" xr:uid="{00000000-0005-0000-0000-0000503E0000}"/>
    <cellStyle name="Title 2 4 10" xfId="16106" xr:uid="{00000000-0005-0000-0000-0000513E0000}"/>
    <cellStyle name="Title 2 4 11" xfId="16105" xr:uid="{00000000-0005-0000-0000-0000523E0000}"/>
    <cellStyle name="Title 2 4 2" xfId="16107" xr:uid="{00000000-0005-0000-0000-0000533E0000}"/>
    <cellStyle name="Title 2 4 2 2" xfId="16108" xr:uid="{00000000-0005-0000-0000-0000543E0000}"/>
    <cellStyle name="Title 2 4 2 2 2" xfId="16109" xr:uid="{00000000-0005-0000-0000-0000553E0000}"/>
    <cellStyle name="Title 2 4 2 3" xfId="16110" xr:uid="{00000000-0005-0000-0000-0000563E0000}"/>
    <cellStyle name="Title 2 4 2 3 2" xfId="16111" xr:uid="{00000000-0005-0000-0000-0000573E0000}"/>
    <cellStyle name="Title 2 4 2 4" xfId="16112" xr:uid="{00000000-0005-0000-0000-0000583E0000}"/>
    <cellStyle name="Title 2 4 3" xfId="16113" xr:uid="{00000000-0005-0000-0000-0000593E0000}"/>
    <cellStyle name="Title 2 4 3 2" xfId="16114" xr:uid="{00000000-0005-0000-0000-00005A3E0000}"/>
    <cellStyle name="Title 2 4 3 2 2" xfId="16115" xr:uid="{00000000-0005-0000-0000-00005B3E0000}"/>
    <cellStyle name="Title 2 4 3 3" xfId="16116" xr:uid="{00000000-0005-0000-0000-00005C3E0000}"/>
    <cellStyle name="Title 2 4 3 3 2" xfId="16117" xr:uid="{00000000-0005-0000-0000-00005D3E0000}"/>
    <cellStyle name="Title 2 4 3 4" xfId="16118" xr:uid="{00000000-0005-0000-0000-00005E3E0000}"/>
    <cellStyle name="Title 2 4 4" xfId="16119" xr:uid="{00000000-0005-0000-0000-00005F3E0000}"/>
    <cellStyle name="Title 2 4 4 2" xfId="16120" xr:uid="{00000000-0005-0000-0000-0000603E0000}"/>
    <cellStyle name="Title 2 4 4 2 2" xfId="16121" xr:uid="{00000000-0005-0000-0000-0000613E0000}"/>
    <cellStyle name="Title 2 4 4 3" xfId="16122" xr:uid="{00000000-0005-0000-0000-0000623E0000}"/>
    <cellStyle name="Title 2 4 4 3 2" xfId="16123" xr:uid="{00000000-0005-0000-0000-0000633E0000}"/>
    <cellStyle name="Title 2 4 4 4" xfId="16124" xr:uid="{00000000-0005-0000-0000-0000643E0000}"/>
    <cellStyle name="Title 2 4 4 4 2" xfId="16125" xr:uid="{00000000-0005-0000-0000-0000653E0000}"/>
    <cellStyle name="Title 2 4 4 5" xfId="16126" xr:uid="{00000000-0005-0000-0000-0000663E0000}"/>
    <cellStyle name="Title 2 4 5" xfId="16127" xr:uid="{00000000-0005-0000-0000-0000673E0000}"/>
    <cellStyle name="Title 2 4 5 2" xfId="16128" xr:uid="{00000000-0005-0000-0000-0000683E0000}"/>
    <cellStyle name="Title 2 4 5 2 2" xfId="16129" xr:uid="{00000000-0005-0000-0000-0000693E0000}"/>
    <cellStyle name="Title 2 4 5 3" xfId="16130" xr:uid="{00000000-0005-0000-0000-00006A3E0000}"/>
    <cellStyle name="Title 2 4 5 3 2" xfId="16131" xr:uid="{00000000-0005-0000-0000-00006B3E0000}"/>
    <cellStyle name="Title 2 4 5 4" xfId="16132" xr:uid="{00000000-0005-0000-0000-00006C3E0000}"/>
    <cellStyle name="Title 2 4 6" xfId="16133" xr:uid="{00000000-0005-0000-0000-00006D3E0000}"/>
    <cellStyle name="Title 2 4 6 2" xfId="16134" xr:uid="{00000000-0005-0000-0000-00006E3E0000}"/>
    <cellStyle name="Title 2 4 7" xfId="16135" xr:uid="{00000000-0005-0000-0000-00006F3E0000}"/>
    <cellStyle name="Title 2 4 7 2" xfId="16136" xr:uid="{00000000-0005-0000-0000-0000703E0000}"/>
    <cellStyle name="Title 2 4 8" xfId="16137" xr:uid="{00000000-0005-0000-0000-0000713E0000}"/>
    <cellStyle name="Title 2 4 8 2" xfId="16138" xr:uid="{00000000-0005-0000-0000-0000723E0000}"/>
    <cellStyle name="Title 2 4 9" xfId="16139" xr:uid="{00000000-0005-0000-0000-0000733E0000}"/>
    <cellStyle name="Title 2 5" xfId="4803" xr:uid="{00000000-0005-0000-0000-0000743E0000}"/>
    <cellStyle name="Title 2 5 10" xfId="16141" xr:uid="{00000000-0005-0000-0000-0000753E0000}"/>
    <cellStyle name="Title 2 5 11" xfId="16140" xr:uid="{00000000-0005-0000-0000-0000763E0000}"/>
    <cellStyle name="Title 2 5 2" xfId="16142" xr:uid="{00000000-0005-0000-0000-0000773E0000}"/>
    <cellStyle name="Title 2 5 2 2" xfId="16143" xr:uid="{00000000-0005-0000-0000-0000783E0000}"/>
    <cellStyle name="Title 2 5 2 2 2" xfId="16144" xr:uid="{00000000-0005-0000-0000-0000793E0000}"/>
    <cellStyle name="Title 2 5 2 3" xfId="16145" xr:uid="{00000000-0005-0000-0000-00007A3E0000}"/>
    <cellStyle name="Title 2 5 2 3 2" xfId="16146" xr:uid="{00000000-0005-0000-0000-00007B3E0000}"/>
    <cellStyle name="Title 2 5 2 4" xfId="16147" xr:uid="{00000000-0005-0000-0000-00007C3E0000}"/>
    <cellStyle name="Title 2 5 3" xfId="16148" xr:uid="{00000000-0005-0000-0000-00007D3E0000}"/>
    <cellStyle name="Title 2 5 3 2" xfId="16149" xr:uid="{00000000-0005-0000-0000-00007E3E0000}"/>
    <cellStyle name="Title 2 5 3 2 2" xfId="16150" xr:uid="{00000000-0005-0000-0000-00007F3E0000}"/>
    <cellStyle name="Title 2 5 3 3" xfId="16151" xr:uid="{00000000-0005-0000-0000-0000803E0000}"/>
    <cellStyle name="Title 2 5 3 3 2" xfId="16152" xr:uid="{00000000-0005-0000-0000-0000813E0000}"/>
    <cellStyle name="Title 2 5 3 4" xfId="16153" xr:uid="{00000000-0005-0000-0000-0000823E0000}"/>
    <cellStyle name="Title 2 5 4" xfId="16154" xr:uid="{00000000-0005-0000-0000-0000833E0000}"/>
    <cellStyle name="Title 2 5 4 2" xfId="16155" xr:uid="{00000000-0005-0000-0000-0000843E0000}"/>
    <cellStyle name="Title 2 5 4 2 2" xfId="16156" xr:uid="{00000000-0005-0000-0000-0000853E0000}"/>
    <cellStyle name="Title 2 5 4 3" xfId="16157" xr:uid="{00000000-0005-0000-0000-0000863E0000}"/>
    <cellStyle name="Title 2 5 4 3 2" xfId="16158" xr:uid="{00000000-0005-0000-0000-0000873E0000}"/>
    <cellStyle name="Title 2 5 4 4" xfId="16159" xr:uid="{00000000-0005-0000-0000-0000883E0000}"/>
    <cellStyle name="Title 2 5 4 4 2" xfId="16160" xr:uid="{00000000-0005-0000-0000-0000893E0000}"/>
    <cellStyle name="Title 2 5 4 5" xfId="16161" xr:uid="{00000000-0005-0000-0000-00008A3E0000}"/>
    <cellStyle name="Title 2 5 5" xfId="16162" xr:uid="{00000000-0005-0000-0000-00008B3E0000}"/>
    <cellStyle name="Title 2 5 5 2" xfId="16163" xr:uid="{00000000-0005-0000-0000-00008C3E0000}"/>
    <cellStyle name="Title 2 5 5 2 2" xfId="16164" xr:uid="{00000000-0005-0000-0000-00008D3E0000}"/>
    <cellStyle name="Title 2 5 5 3" xfId="16165" xr:uid="{00000000-0005-0000-0000-00008E3E0000}"/>
    <cellStyle name="Title 2 5 5 3 2" xfId="16166" xr:uid="{00000000-0005-0000-0000-00008F3E0000}"/>
    <cellStyle name="Title 2 5 5 4" xfId="16167" xr:uid="{00000000-0005-0000-0000-0000903E0000}"/>
    <cellStyle name="Title 2 5 6" xfId="16168" xr:uid="{00000000-0005-0000-0000-0000913E0000}"/>
    <cellStyle name="Title 2 5 6 2" xfId="16169" xr:uid="{00000000-0005-0000-0000-0000923E0000}"/>
    <cellStyle name="Title 2 5 7" xfId="16170" xr:uid="{00000000-0005-0000-0000-0000933E0000}"/>
    <cellStyle name="Title 2 5 7 2" xfId="16171" xr:uid="{00000000-0005-0000-0000-0000943E0000}"/>
    <cellStyle name="Title 2 5 8" xfId="16172" xr:uid="{00000000-0005-0000-0000-0000953E0000}"/>
    <cellStyle name="Title 2 5 8 2" xfId="16173" xr:uid="{00000000-0005-0000-0000-0000963E0000}"/>
    <cellStyle name="Title 2 5 9" xfId="16174" xr:uid="{00000000-0005-0000-0000-0000973E0000}"/>
    <cellStyle name="Title 2 6" xfId="4804" xr:uid="{00000000-0005-0000-0000-0000983E0000}"/>
    <cellStyle name="Title 2 6 10" xfId="16176" xr:uid="{00000000-0005-0000-0000-0000993E0000}"/>
    <cellStyle name="Title 2 6 11" xfId="16175" xr:uid="{00000000-0005-0000-0000-00009A3E0000}"/>
    <cellStyle name="Title 2 6 2" xfId="16177" xr:uid="{00000000-0005-0000-0000-00009B3E0000}"/>
    <cellStyle name="Title 2 6 2 2" xfId="16178" xr:uid="{00000000-0005-0000-0000-00009C3E0000}"/>
    <cellStyle name="Title 2 6 2 2 2" xfId="16179" xr:uid="{00000000-0005-0000-0000-00009D3E0000}"/>
    <cellStyle name="Title 2 6 2 3" xfId="16180" xr:uid="{00000000-0005-0000-0000-00009E3E0000}"/>
    <cellStyle name="Title 2 6 2 3 2" xfId="16181" xr:uid="{00000000-0005-0000-0000-00009F3E0000}"/>
    <cellStyle name="Title 2 6 2 4" xfId="16182" xr:uid="{00000000-0005-0000-0000-0000A03E0000}"/>
    <cellStyle name="Title 2 6 3" xfId="16183" xr:uid="{00000000-0005-0000-0000-0000A13E0000}"/>
    <cellStyle name="Title 2 6 3 2" xfId="16184" xr:uid="{00000000-0005-0000-0000-0000A23E0000}"/>
    <cellStyle name="Title 2 6 3 2 2" xfId="16185" xr:uid="{00000000-0005-0000-0000-0000A33E0000}"/>
    <cellStyle name="Title 2 6 3 3" xfId="16186" xr:uid="{00000000-0005-0000-0000-0000A43E0000}"/>
    <cellStyle name="Title 2 6 3 3 2" xfId="16187" xr:uid="{00000000-0005-0000-0000-0000A53E0000}"/>
    <cellStyle name="Title 2 6 3 4" xfId="16188" xr:uid="{00000000-0005-0000-0000-0000A63E0000}"/>
    <cellStyle name="Title 2 6 4" xfId="16189" xr:uid="{00000000-0005-0000-0000-0000A73E0000}"/>
    <cellStyle name="Title 2 6 4 2" xfId="16190" xr:uid="{00000000-0005-0000-0000-0000A83E0000}"/>
    <cellStyle name="Title 2 6 4 2 2" xfId="16191" xr:uid="{00000000-0005-0000-0000-0000A93E0000}"/>
    <cellStyle name="Title 2 6 4 3" xfId="16192" xr:uid="{00000000-0005-0000-0000-0000AA3E0000}"/>
    <cellStyle name="Title 2 6 4 3 2" xfId="16193" xr:uid="{00000000-0005-0000-0000-0000AB3E0000}"/>
    <cellStyle name="Title 2 6 4 4" xfId="16194" xr:uid="{00000000-0005-0000-0000-0000AC3E0000}"/>
    <cellStyle name="Title 2 6 4 4 2" xfId="16195" xr:uid="{00000000-0005-0000-0000-0000AD3E0000}"/>
    <cellStyle name="Title 2 6 4 5" xfId="16196" xr:uid="{00000000-0005-0000-0000-0000AE3E0000}"/>
    <cellStyle name="Title 2 6 5" xfId="16197" xr:uid="{00000000-0005-0000-0000-0000AF3E0000}"/>
    <cellStyle name="Title 2 6 5 2" xfId="16198" xr:uid="{00000000-0005-0000-0000-0000B03E0000}"/>
    <cellStyle name="Title 2 6 5 2 2" xfId="16199" xr:uid="{00000000-0005-0000-0000-0000B13E0000}"/>
    <cellStyle name="Title 2 6 5 3" xfId="16200" xr:uid="{00000000-0005-0000-0000-0000B23E0000}"/>
    <cellStyle name="Title 2 6 5 3 2" xfId="16201" xr:uid="{00000000-0005-0000-0000-0000B33E0000}"/>
    <cellStyle name="Title 2 6 5 4" xfId="16202" xr:uid="{00000000-0005-0000-0000-0000B43E0000}"/>
    <cellStyle name="Title 2 6 6" xfId="16203" xr:uid="{00000000-0005-0000-0000-0000B53E0000}"/>
    <cellStyle name="Title 2 6 6 2" xfId="16204" xr:uid="{00000000-0005-0000-0000-0000B63E0000}"/>
    <cellStyle name="Title 2 6 7" xfId="16205" xr:uid="{00000000-0005-0000-0000-0000B73E0000}"/>
    <cellStyle name="Title 2 6 7 2" xfId="16206" xr:uid="{00000000-0005-0000-0000-0000B83E0000}"/>
    <cellStyle name="Title 2 6 8" xfId="16207" xr:uid="{00000000-0005-0000-0000-0000B93E0000}"/>
    <cellStyle name="Title 2 6 8 2" xfId="16208" xr:uid="{00000000-0005-0000-0000-0000BA3E0000}"/>
    <cellStyle name="Title 2 6 9" xfId="16209" xr:uid="{00000000-0005-0000-0000-0000BB3E0000}"/>
    <cellStyle name="Title 2 7" xfId="4805" xr:uid="{00000000-0005-0000-0000-0000BC3E0000}"/>
    <cellStyle name="Title 2 7 10" xfId="16211" xr:uid="{00000000-0005-0000-0000-0000BD3E0000}"/>
    <cellStyle name="Title 2 7 11" xfId="16210" xr:uid="{00000000-0005-0000-0000-0000BE3E0000}"/>
    <cellStyle name="Title 2 7 2" xfId="16212" xr:uid="{00000000-0005-0000-0000-0000BF3E0000}"/>
    <cellStyle name="Title 2 7 2 2" xfId="16213" xr:uid="{00000000-0005-0000-0000-0000C03E0000}"/>
    <cellStyle name="Title 2 7 2 2 2" xfId="16214" xr:uid="{00000000-0005-0000-0000-0000C13E0000}"/>
    <cellStyle name="Title 2 7 2 3" xfId="16215" xr:uid="{00000000-0005-0000-0000-0000C23E0000}"/>
    <cellStyle name="Title 2 7 2 3 2" xfId="16216" xr:uid="{00000000-0005-0000-0000-0000C33E0000}"/>
    <cellStyle name="Title 2 7 2 4" xfId="16217" xr:uid="{00000000-0005-0000-0000-0000C43E0000}"/>
    <cellStyle name="Title 2 7 3" xfId="16218" xr:uid="{00000000-0005-0000-0000-0000C53E0000}"/>
    <cellStyle name="Title 2 7 3 2" xfId="16219" xr:uid="{00000000-0005-0000-0000-0000C63E0000}"/>
    <cellStyle name="Title 2 7 3 2 2" xfId="16220" xr:uid="{00000000-0005-0000-0000-0000C73E0000}"/>
    <cellStyle name="Title 2 7 3 3" xfId="16221" xr:uid="{00000000-0005-0000-0000-0000C83E0000}"/>
    <cellStyle name="Title 2 7 3 3 2" xfId="16222" xr:uid="{00000000-0005-0000-0000-0000C93E0000}"/>
    <cellStyle name="Title 2 7 3 4" xfId="16223" xr:uid="{00000000-0005-0000-0000-0000CA3E0000}"/>
    <cellStyle name="Title 2 7 4" xfId="16224" xr:uid="{00000000-0005-0000-0000-0000CB3E0000}"/>
    <cellStyle name="Title 2 7 4 2" xfId="16225" xr:uid="{00000000-0005-0000-0000-0000CC3E0000}"/>
    <cellStyle name="Title 2 7 4 2 2" xfId="16226" xr:uid="{00000000-0005-0000-0000-0000CD3E0000}"/>
    <cellStyle name="Title 2 7 4 3" xfId="16227" xr:uid="{00000000-0005-0000-0000-0000CE3E0000}"/>
    <cellStyle name="Title 2 7 4 3 2" xfId="16228" xr:uid="{00000000-0005-0000-0000-0000CF3E0000}"/>
    <cellStyle name="Title 2 7 4 4" xfId="16229" xr:uid="{00000000-0005-0000-0000-0000D03E0000}"/>
    <cellStyle name="Title 2 7 4 4 2" xfId="16230" xr:uid="{00000000-0005-0000-0000-0000D13E0000}"/>
    <cellStyle name="Title 2 7 4 5" xfId="16231" xr:uid="{00000000-0005-0000-0000-0000D23E0000}"/>
    <cellStyle name="Title 2 7 5" xfId="16232" xr:uid="{00000000-0005-0000-0000-0000D33E0000}"/>
    <cellStyle name="Title 2 7 5 2" xfId="16233" xr:uid="{00000000-0005-0000-0000-0000D43E0000}"/>
    <cellStyle name="Title 2 7 5 2 2" xfId="16234" xr:uid="{00000000-0005-0000-0000-0000D53E0000}"/>
    <cellStyle name="Title 2 7 5 3" xfId="16235" xr:uid="{00000000-0005-0000-0000-0000D63E0000}"/>
    <cellStyle name="Title 2 7 5 3 2" xfId="16236" xr:uid="{00000000-0005-0000-0000-0000D73E0000}"/>
    <cellStyle name="Title 2 7 5 4" xfId="16237" xr:uid="{00000000-0005-0000-0000-0000D83E0000}"/>
    <cellStyle name="Title 2 7 6" xfId="16238" xr:uid="{00000000-0005-0000-0000-0000D93E0000}"/>
    <cellStyle name="Title 2 7 6 2" xfId="16239" xr:uid="{00000000-0005-0000-0000-0000DA3E0000}"/>
    <cellStyle name="Title 2 7 7" xfId="16240" xr:uid="{00000000-0005-0000-0000-0000DB3E0000}"/>
    <cellStyle name="Title 2 7 7 2" xfId="16241" xr:uid="{00000000-0005-0000-0000-0000DC3E0000}"/>
    <cellStyle name="Title 2 7 8" xfId="16242" xr:uid="{00000000-0005-0000-0000-0000DD3E0000}"/>
    <cellStyle name="Title 2 7 8 2" xfId="16243" xr:uid="{00000000-0005-0000-0000-0000DE3E0000}"/>
    <cellStyle name="Title 2 7 9" xfId="16244" xr:uid="{00000000-0005-0000-0000-0000DF3E0000}"/>
    <cellStyle name="Title 2 8" xfId="4806" xr:uid="{00000000-0005-0000-0000-0000E03E0000}"/>
    <cellStyle name="Title 2 8 10" xfId="16246" xr:uid="{00000000-0005-0000-0000-0000E13E0000}"/>
    <cellStyle name="Title 2 8 11" xfId="16245" xr:uid="{00000000-0005-0000-0000-0000E23E0000}"/>
    <cellStyle name="Title 2 8 2" xfId="16247" xr:uid="{00000000-0005-0000-0000-0000E33E0000}"/>
    <cellStyle name="Title 2 8 2 2" xfId="16248" xr:uid="{00000000-0005-0000-0000-0000E43E0000}"/>
    <cellStyle name="Title 2 8 2 2 2" xfId="16249" xr:uid="{00000000-0005-0000-0000-0000E53E0000}"/>
    <cellStyle name="Title 2 8 2 3" xfId="16250" xr:uid="{00000000-0005-0000-0000-0000E63E0000}"/>
    <cellStyle name="Title 2 8 2 3 2" xfId="16251" xr:uid="{00000000-0005-0000-0000-0000E73E0000}"/>
    <cellStyle name="Title 2 8 2 4" xfId="16252" xr:uid="{00000000-0005-0000-0000-0000E83E0000}"/>
    <cellStyle name="Title 2 8 3" xfId="16253" xr:uid="{00000000-0005-0000-0000-0000E93E0000}"/>
    <cellStyle name="Title 2 8 3 2" xfId="16254" xr:uid="{00000000-0005-0000-0000-0000EA3E0000}"/>
    <cellStyle name="Title 2 8 3 2 2" xfId="16255" xr:uid="{00000000-0005-0000-0000-0000EB3E0000}"/>
    <cellStyle name="Title 2 8 3 3" xfId="16256" xr:uid="{00000000-0005-0000-0000-0000EC3E0000}"/>
    <cellStyle name="Title 2 8 3 3 2" xfId="16257" xr:uid="{00000000-0005-0000-0000-0000ED3E0000}"/>
    <cellStyle name="Title 2 8 3 4" xfId="16258" xr:uid="{00000000-0005-0000-0000-0000EE3E0000}"/>
    <cellStyle name="Title 2 8 4" xfId="16259" xr:uid="{00000000-0005-0000-0000-0000EF3E0000}"/>
    <cellStyle name="Title 2 8 4 2" xfId="16260" xr:uid="{00000000-0005-0000-0000-0000F03E0000}"/>
    <cellStyle name="Title 2 8 4 2 2" xfId="16261" xr:uid="{00000000-0005-0000-0000-0000F13E0000}"/>
    <cellStyle name="Title 2 8 4 3" xfId="16262" xr:uid="{00000000-0005-0000-0000-0000F23E0000}"/>
    <cellStyle name="Title 2 8 4 3 2" xfId="16263" xr:uid="{00000000-0005-0000-0000-0000F33E0000}"/>
    <cellStyle name="Title 2 8 4 4" xfId="16264" xr:uid="{00000000-0005-0000-0000-0000F43E0000}"/>
    <cellStyle name="Title 2 8 4 4 2" xfId="16265" xr:uid="{00000000-0005-0000-0000-0000F53E0000}"/>
    <cellStyle name="Title 2 8 4 5" xfId="16266" xr:uid="{00000000-0005-0000-0000-0000F63E0000}"/>
    <cellStyle name="Title 2 8 5" xfId="16267" xr:uid="{00000000-0005-0000-0000-0000F73E0000}"/>
    <cellStyle name="Title 2 8 5 2" xfId="16268" xr:uid="{00000000-0005-0000-0000-0000F83E0000}"/>
    <cellStyle name="Title 2 8 5 2 2" xfId="16269" xr:uid="{00000000-0005-0000-0000-0000F93E0000}"/>
    <cellStyle name="Title 2 8 5 3" xfId="16270" xr:uid="{00000000-0005-0000-0000-0000FA3E0000}"/>
    <cellStyle name="Title 2 8 5 3 2" xfId="16271" xr:uid="{00000000-0005-0000-0000-0000FB3E0000}"/>
    <cellStyle name="Title 2 8 5 4" xfId="16272" xr:uid="{00000000-0005-0000-0000-0000FC3E0000}"/>
    <cellStyle name="Title 2 8 6" xfId="16273" xr:uid="{00000000-0005-0000-0000-0000FD3E0000}"/>
    <cellStyle name="Title 2 8 6 2" xfId="16274" xr:uid="{00000000-0005-0000-0000-0000FE3E0000}"/>
    <cellStyle name="Title 2 8 7" xfId="16275" xr:uid="{00000000-0005-0000-0000-0000FF3E0000}"/>
    <cellStyle name="Title 2 8 7 2" xfId="16276" xr:uid="{00000000-0005-0000-0000-0000003F0000}"/>
    <cellStyle name="Title 2 8 8" xfId="16277" xr:uid="{00000000-0005-0000-0000-0000013F0000}"/>
    <cellStyle name="Title 2 8 8 2" xfId="16278" xr:uid="{00000000-0005-0000-0000-0000023F0000}"/>
    <cellStyle name="Title 2 8 9" xfId="16279" xr:uid="{00000000-0005-0000-0000-0000033F0000}"/>
    <cellStyle name="Title 2 9" xfId="4807" xr:uid="{00000000-0005-0000-0000-0000043F0000}"/>
    <cellStyle name="Title 2 9 10" xfId="16281" xr:uid="{00000000-0005-0000-0000-0000053F0000}"/>
    <cellStyle name="Title 2 9 11" xfId="16280" xr:uid="{00000000-0005-0000-0000-0000063F0000}"/>
    <cellStyle name="Title 2 9 2" xfId="16282" xr:uid="{00000000-0005-0000-0000-0000073F0000}"/>
    <cellStyle name="Title 2 9 2 2" xfId="16283" xr:uid="{00000000-0005-0000-0000-0000083F0000}"/>
    <cellStyle name="Title 2 9 2 2 2" xfId="16284" xr:uid="{00000000-0005-0000-0000-0000093F0000}"/>
    <cellStyle name="Title 2 9 2 3" xfId="16285" xr:uid="{00000000-0005-0000-0000-00000A3F0000}"/>
    <cellStyle name="Title 2 9 2 3 2" xfId="16286" xr:uid="{00000000-0005-0000-0000-00000B3F0000}"/>
    <cellStyle name="Title 2 9 2 4" xfId="16287" xr:uid="{00000000-0005-0000-0000-00000C3F0000}"/>
    <cellStyle name="Title 2 9 3" xfId="16288" xr:uid="{00000000-0005-0000-0000-00000D3F0000}"/>
    <cellStyle name="Title 2 9 3 2" xfId="16289" xr:uid="{00000000-0005-0000-0000-00000E3F0000}"/>
    <cellStyle name="Title 2 9 3 2 2" xfId="16290" xr:uid="{00000000-0005-0000-0000-00000F3F0000}"/>
    <cellStyle name="Title 2 9 3 3" xfId="16291" xr:uid="{00000000-0005-0000-0000-0000103F0000}"/>
    <cellStyle name="Title 2 9 3 3 2" xfId="16292" xr:uid="{00000000-0005-0000-0000-0000113F0000}"/>
    <cellStyle name="Title 2 9 3 4" xfId="16293" xr:uid="{00000000-0005-0000-0000-0000123F0000}"/>
    <cellStyle name="Title 2 9 4" xfId="16294" xr:uid="{00000000-0005-0000-0000-0000133F0000}"/>
    <cellStyle name="Title 2 9 4 2" xfId="16295" xr:uid="{00000000-0005-0000-0000-0000143F0000}"/>
    <cellStyle name="Title 2 9 4 2 2" xfId="16296" xr:uid="{00000000-0005-0000-0000-0000153F0000}"/>
    <cellStyle name="Title 2 9 4 3" xfId="16297" xr:uid="{00000000-0005-0000-0000-0000163F0000}"/>
    <cellStyle name="Title 2 9 4 3 2" xfId="16298" xr:uid="{00000000-0005-0000-0000-0000173F0000}"/>
    <cellStyle name="Title 2 9 4 4" xfId="16299" xr:uid="{00000000-0005-0000-0000-0000183F0000}"/>
    <cellStyle name="Title 2 9 4 4 2" xfId="16300" xr:uid="{00000000-0005-0000-0000-0000193F0000}"/>
    <cellStyle name="Title 2 9 4 5" xfId="16301" xr:uid="{00000000-0005-0000-0000-00001A3F0000}"/>
    <cellStyle name="Title 2 9 5" xfId="16302" xr:uid="{00000000-0005-0000-0000-00001B3F0000}"/>
    <cellStyle name="Title 2 9 5 2" xfId="16303" xr:uid="{00000000-0005-0000-0000-00001C3F0000}"/>
    <cellStyle name="Title 2 9 5 2 2" xfId="16304" xr:uid="{00000000-0005-0000-0000-00001D3F0000}"/>
    <cellStyle name="Title 2 9 5 3" xfId="16305" xr:uid="{00000000-0005-0000-0000-00001E3F0000}"/>
    <cellStyle name="Title 2 9 5 3 2" xfId="16306" xr:uid="{00000000-0005-0000-0000-00001F3F0000}"/>
    <cellStyle name="Title 2 9 5 4" xfId="16307" xr:uid="{00000000-0005-0000-0000-0000203F0000}"/>
    <cellStyle name="Title 2 9 6" xfId="16308" xr:uid="{00000000-0005-0000-0000-0000213F0000}"/>
    <cellStyle name="Title 2 9 6 2" xfId="16309" xr:uid="{00000000-0005-0000-0000-0000223F0000}"/>
    <cellStyle name="Title 2 9 7" xfId="16310" xr:uid="{00000000-0005-0000-0000-0000233F0000}"/>
    <cellStyle name="Title 2 9 7 2" xfId="16311" xr:uid="{00000000-0005-0000-0000-0000243F0000}"/>
    <cellStyle name="Title 2 9 8" xfId="16312" xr:uid="{00000000-0005-0000-0000-0000253F0000}"/>
    <cellStyle name="Title 2 9 8 2" xfId="16313" xr:uid="{00000000-0005-0000-0000-0000263F0000}"/>
    <cellStyle name="Title 2 9 9" xfId="16314" xr:uid="{00000000-0005-0000-0000-0000273F0000}"/>
    <cellStyle name="Title 20" xfId="3267" xr:uid="{00000000-0005-0000-0000-0000283F0000}"/>
    <cellStyle name="Title 20 10" xfId="16316" xr:uid="{00000000-0005-0000-0000-0000293F0000}"/>
    <cellStyle name="Title 20 11" xfId="16317" xr:uid="{00000000-0005-0000-0000-00002A3F0000}"/>
    <cellStyle name="Title 20 12" xfId="16315" xr:uid="{00000000-0005-0000-0000-00002B3F0000}"/>
    <cellStyle name="Title 20 2" xfId="16318" xr:uid="{00000000-0005-0000-0000-00002C3F0000}"/>
    <cellStyle name="Title 20 2 2" xfId="16319" xr:uid="{00000000-0005-0000-0000-00002D3F0000}"/>
    <cellStyle name="Title 20 2 2 2" xfId="16320" xr:uid="{00000000-0005-0000-0000-00002E3F0000}"/>
    <cellStyle name="Title 20 2 3" xfId="16321" xr:uid="{00000000-0005-0000-0000-00002F3F0000}"/>
    <cellStyle name="Title 20 2 3 2" xfId="16322" xr:uid="{00000000-0005-0000-0000-0000303F0000}"/>
    <cellStyle name="Title 20 2 4" xfId="16323" xr:uid="{00000000-0005-0000-0000-0000313F0000}"/>
    <cellStyle name="Title 20 2 5" xfId="16324" xr:uid="{00000000-0005-0000-0000-0000323F0000}"/>
    <cellStyle name="Title 20 3" xfId="16325" xr:uid="{00000000-0005-0000-0000-0000333F0000}"/>
    <cellStyle name="Title 20 3 2" xfId="16326" xr:uid="{00000000-0005-0000-0000-0000343F0000}"/>
    <cellStyle name="Title 20 3 2 2" xfId="16327" xr:uid="{00000000-0005-0000-0000-0000353F0000}"/>
    <cellStyle name="Title 20 3 3" xfId="16328" xr:uid="{00000000-0005-0000-0000-0000363F0000}"/>
    <cellStyle name="Title 20 3 3 2" xfId="16329" xr:uid="{00000000-0005-0000-0000-0000373F0000}"/>
    <cellStyle name="Title 20 3 4" xfId="16330" xr:uid="{00000000-0005-0000-0000-0000383F0000}"/>
    <cellStyle name="Title 20 4" xfId="16331" xr:uid="{00000000-0005-0000-0000-0000393F0000}"/>
    <cellStyle name="Title 20 4 2" xfId="16332" xr:uid="{00000000-0005-0000-0000-00003A3F0000}"/>
    <cellStyle name="Title 20 4 2 2" xfId="16333" xr:uid="{00000000-0005-0000-0000-00003B3F0000}"/>
    <cellStyle name="Title 20 4 3" xfId="16334" xr:uid="{00000000-0005-0000-0000-00003C3F0000}"/>
    <cellStyle name="Title 20 4 3 2" xfId="16335" xr:uid="{00000000-0005-0000-0000-00003D3F0000}"/>
    <cellStyle name="Title 20 4 4" xfId="16336" xr:uid="{00000000-0005-0000-0000-00003E3F0000}"/>
    <cellStyle name="Title 20 5" xfId="16337" xr:uid="{00000000-0005-0000-0000-00003F3F0000}"/>
    <cellStyle name="Title 20 5 2" xfId="16338" xr:uid="{00000000-0005-0000-0000-0000403F0000}"/>
    <cellStyle name="Title 20 5 2 2" xfId="16339" xr:uid="{00000000-0005-0000-0000-0000413F0000}"/>
    <cellStyle name="Title 20 5 3" xfId="16340" xr:uid="{00000000-0005-0000-0000-0000423F0000}"/>
    <cellStyle name="Title 20 5 3 2" xfId="16341" xr:uid="{00000000-0005-0000-0000-0000433F0000}"/>
    <cellStyle name="Title 20 5 4" xfId="16342" xr:uid="{00000000-0005-0000-0000-0000443F0000}"/>
    <cellStyle name="Title 20 5 4 2" xfId="16343" xr:uid="{00000000-0005-0000-0000-0000453F0000}"/>
    <cellStyle name="Title 20 5 5" xfId="16344" xr:uid="{00000000-0005-0000-0000-0000463F0000}"/>
    <cellStyle name="Title 20 6" xfId="16345" xr:uid="{00000000-0005-0000-0000-0000473F0000}"/>
    <cellStyle name="Title 20 6 2" xfId="16346" xr:uid="{00000000-0005-0000-0000-0000483F0000}"/>
    <cellStyle name="Title 20 6 2 2" xfId="16347" xr:uid="{00000000-0005-0000-0000-0000493F0000}"/>
    <cellStyle name="Title 20 6 3" xfId="16348" xr:uid="{00000000-0005-0000-0000-00004A3F0000}"/>
    <cellStyle name="Title 20 6 3 2" xfId="16349" xr:uid="{00000000-0005-0000-0000-00004B3F0000}"/>
    <cellStyle name="Title 20 6 4" xfId="16350" xr:uid="{00000000-0005-0000-0000-00004C3F0000}"/>
    <cellStyle name="Title 20 7" xfId="16351" xr:uid="{00000000-0005-0000-0000-00004D3F0000}"/>
    <cellStyle name="Title 20 7 2" xfId="16352" xr:uid="{00000000-0005-0000-0000-00004E3F0000}"/>
    <cellStyle name="Title 20 8" xfId="16353" xr:uid="{00000000-0005-0000-0000-00004F3F0000}"/>
    <cellStyle name="Title 20 8 2" xfId="16354" xr:uid="{00000000-0005-0000-0000-0000503F0000}"/>
    <cellStyle name="Title 20 9" xfId="16355" xr:uid="{00000000-0005-0000-0000-0000513F0000}"/>
    <cellStyle name="Title 20 9 2" xfId="16356" xr:uid="{00000000-0005-0000-0000-0000523F0000}"/>
    <cellStyle name="Title 21" xfId="3268" xr:uid="{00000000-0005-0000-0000-0000533F0000}"/>
    <cellStyle name="Title 21 10" xfId="16358" xr:uid="{00000000-0005-0000-0000-0000543F0000}"/>
    <cellStyle name="Title 21 11" xfId="16359" xr:uid="{00000000-0005-0000-0000-0000553F0000}"/>
    <cellStyle name="Title 21 12" xfId="16357" xr:uid="{00000000-0005-0000-0000-0000563F0000}"/>
    <cellStyle name="Title 21 2" xfId="16360" xr:uid="{00000000-0005-0000-0000-0000573F0000}"/>
    <cellStyle name="Title 21 2 2" xfId="16361" xr:uid="{00000000-0005-0000-0000-0000583F0000}"/>
    <cellStyle name="Title 21 2 2 2" xfId="16362" xr:uid="{00000000-0005-0000-0000-0000593F0000}"/>
    <cellStyle name="Title 21 2 3" xfId="16363" xr:uid="{00000000-0005-0000-0000-00005A3F0000}"/>
    <cellStyle name="Title 21 2 3 2" xfId="16364" xr:uid="{00000000-0005-0000-0000-00005B3F0000}"/>
    <cellStyle name="Title 21 2 4" xfId="16365" xr:uid="{00000000-0005-0000-0000-00005C3F0000}"/>
    <cellStyle name="Title 21 2 5" xfId="16366" xr:uid="{00000000-0005-0000-0000-00005D3F0000}"/>
    <cellStyle name="Title 21 3" xfId="16367" xr:uid="{00000000-0005-0000-0000-00005E3F0000}"/>
    <cellStyle name="Title 21 3 2" xfId="16368" xr:uid="{00000000-0005-0000-0000-00005F3F0000}"/>
    <cellStyle name="Title 21 3 2 2" xfId="16369" xr:uid="{00000000-0005-0000-0000-0000603F0000}"/>
    <cellStyle name="Title 21 3 3" xfId="16370" xr:uid="{00000000-0005-0000-0000-0000613F0000}"/>
    <cellStyle name="Title 21 3 3 2" xfId="16371" xr:uid="{00000000-0005-0000-0000-0000623F0000}"/>
    <cellStyle name="Title 21 3 4" xfId="16372" xr:uid="{00000000-0005-0000-0000-0000633F0000}"/>
    <cellStyle name="Title 21 4" xfId="16373" xr:uid="{00000000-0005-0000-0000-0000643F0000}"/>
    <cellStyle name="Title 21 4 2" xfId="16374" xr:uid="{00000000-0005-0000-0000-0000653F0000}"/>
    <cellStyle name="Title 21 4 2 2" xfId="16375" xr:uid="{00000000-0005-0000-0000-0000663F0000}"/>
    <cellStyle name="Title 21 4 3" xfId="16376" xr:uid="{00000000-0005-0000-0000-0000673F0000}"/>
    <cellStyle name="Title 21 4 3 2" xfId="16377" xr:uid="{00000000-0005-0000-0000-0000683F0000}"/>
    <cellStyle name="Title 21 4 4" xfId="16378" xr:uid="{00000000-0005-0000-0000-0000693F0000}"/>
    <cellStyle name="Title 21 5" xfId="16379" xr:uid="{00000000-0005-0000-0000-00006A3F0000}"/>
    <cellStyle name="Title 21 5 2" xfId="16380" xr:uid="{00000000-0005-0000-0000-00006B3F0000}"/>
    <cellStyle name="Title 21 5 2 2" xfId="16381" xr:uid="{00000000-0005-0000-0000-00006C3F0000}"/>
    <cellStyle name="Title 21 5 3" xfId="16382" xr:uid="{00000000-0005-0000-0000-00006D3F0000}"/>
    <cellStyle name="Title 21 5 3 2" xfId="16383" xr:uid="{00000000-0005-0000-0000-00006E3F0000}"/>
    <cellStyle name="Title 21 5 4" xfId="16384" xr:uid="{00000000-0005-0000-0000-00006F3F0000}"/>
    <cellStyle name="Title 21 5 4 2" xfId="16385" xr:uid="{00000000-0005-0000-0000-0000703F0000}"/>
    <cellStyle name="Title 21 5 5" xfId="16386" xr:uid="{00000000-0005-0000-0000-0000713F0000}"/>
    <cellStyle name="Title 21 6" xfId="16387" xr:uid="{00000000-0005-0000-0000-0000723F0000}"/>
    <cellStyle name="Title 21 6 2" xfId="16388" xr:uid="{00000000-0005-0000-0000-0000733F0000}"/>
    <cellStyle name="Title 21 6 2 2" xfId="16389" xr:uid="{00000000-0005-0000-0000-0000743F0000}"/>
    <cellStyle name="Title 21 6 3" xfId="16390" xr:uid="{00000000-0005-0000-0000-0000753F0000}"/>
    <cellStyle name="Title 21 6 3 2" xfId="16391" xr:uid="{00000000-0005-0000-0000-0000763F0000}"/>
    <cellStyle name="Title 21 6 4" xfId="16392" xr:uid="{00000000-0005-0000-0000-0000773F0000}"/>
    <cellStyle name="Title 21 7" xfId="16393" xr:uid="{00000000-0005-0000-0000-0000783F0000}"/>
    <cellStyle name="Title 21 7 2" xfId="16394" xr:uid="{00000000-0005-0000-0000-0000793F0000}"/>
    <cellStyle name="Title 21 8" xfId="16395" xr:uid="{00000000-0005-0000-0000-00007A3F0000}"/>
    <cellStyle name="Title 21 8 2" xfId="16396" xr:uid="{00000000-0005-0000-0000-00007B3F0000}"/>
    <cellStyle name="Title 21 9" xfId="16397" xr:uid="{00000000-0005-0000-0000-00007C3F0000}"/>
    <cellStyle name="Title 21 9 2" xfId="16398" xr:uid="{00000000-0005-0000-0000-00007D3F0000}"/>
    <cellStyle name="Title 22" xfId="3269" xr:uid="{00000000-0005-0000-0000-00007E3F0000}"/>
    <cellStyle name="Title 22 10" xfId="16400" xr:uid="{00000000-0005-0000-0000-00007F3F0000}"/>
    <cellStyle name="Title 22 11" xfId="16401" xr:uid="{00000000-0005-0000-0000-0000803F0000}"/>
    <cellStyle name="Title 22 12" xfId="16399" xr:uid="{00000000-0005-0000-0000-0000813F0000}"/>
    <cellStyle name="Title 22 2" xfId="16402" xr:uid="{00000000-0005-0000-0000-0000823F0000}"/>
    <cellStyle name="Title 22 2 2" xfId="16403" xr:uid="{00000000-0005-0000-0000-0000833F0000}"/>
    <cellStyle name="Title 22 2 2 2" xfId="16404" xr:uid="{00000000-0005-0000-0000-0000843F0000}"/>
    <cellStyle name="Title 22 2 3" xfId="16405" xr:uid="{00000000-0005-0000-0000-0000853F0000}"/>
    <cellStyle name="Title 22 2 3 2" xfId="16406" xr:uid="{00000000-0005-0000-0000-0000863F0000}"/>
    <cellStyle name="Title 22 2 4" xfId="16407" xr:uid="{00000000-0005-0000-0000-0000873F0000}"/>
    <cellStyle name="Title 22 2 5" xfId="16408" xr:uid="{00000000-0005-0000-0000-0000883F0000}"/>
    <cellStyle name="Title 22 3" xfId="16409" xr:uid="{00000000-0005-0000-0000-0000893F0000}"/>
    <cellStyle name="Title 22 3 2" xfId="16410" xr:uid="{00000000-0005-0000-0000-00008A3F0000}"/>
    <cellStyle name="Title 22 3 2 2" xfId="16411" xr:uid="{00000000-0005-0000-0000-00008B3F0000}"/>
    <cellStyle name="Title 22 3 3" xfId="16412" xr:uid="{00000000-0005-0000-0000-00008C3F0000}"/>
    <cellStyle name="Title 22 3 3 2" xfId="16413" xr:uid="{00000000-0005-0000-0000-00008D3F0000}"/>
    <cellStyle name="Title 22 3 4" xfId="16414" xr:uid="{00000000-0005-0000-0000-00008E3F0000}"/>
    <cellStyle name="Title 22 4" xfId="16415" xr:uid="{00000000-0005-0000-0000-00008F3F0000}"/>
    <cellStyle name="Title 22 4 2" xfId="16416" xr:uid="{00000000-0005-0000-0000-0000903F0000}"/>
    <cellStyle name="Title 22 4 2 2" xfId="16417" xr:uid="{00000000-0005-0000-0000-0000913F0000}"/>
    <cellStyle name="Title 22 4 3" xfId="16418" xr:uid="{00000000-0005-0000-0000-0000923F0000}"/>
    <cellStyle name="Title 22 4 3 2" xfId="16419" xr:uid="{00000000-0005-0000-0000-0000933F0000}"/>
    <cellStyle name="Title 22 4 4" xfId="16420" xr:uid="{00000000-0005-0000-0000-0000943F0000}"/>
    <cellStyle name="Title 22 5" xfId="16421" xr:uid="{00000000-0005-0000-0000-0000953F0000}"/>
    <cellStyle name="Title 22 5 2" xfId="16422" xr:uid="{00000000-0005-0000-0000-0000963F0000}"/>
    <cellStyle name="Title 22 5 2 2" xfId="16423" xr:uid="{00000000-0005-0000-0000-0000973F0000}"/>
    <cellStyle name="Title 22 5 3" xfId="16424" xr:uid="{00000000-0005-0000-0000-0000983F0000}"/>
    <cellStyle name="Title 22 5 3 2" xfId="16425" xr:uid="{00000000-0005-0000-0000-0000993F0000}"/>
    <cellStyle name="Title 22 5 4" xfId="16426" xr:uid="{00000000-0005-0000-0000-00009A3F0000}"/>
    <cellStyle name="Title 22 5 4 2" xfId="16427" xr:uid="{00000000-0005-0000-0000-00009B3F0000}"/>
    <cellStyle name="Title 22 5 5" xfId="16428" xr:uid="{00000000-0005-0000-0000-00009C3F0000}"/>
    <cellStyle name="Title 22 6" xfId="16429" xr:uid="{00000000-0005-0000-0000-00009D3F0000}"/>
    <cellStyle name="Title 22 6 2" xfId="16430" xr:uid="{00000000-0005-0000-0000-00009E3F0000}"/>
    <cellStyle name="Title 22 6 2 2" xfId="16431" xr:uid="{00000000-0005-0000-0000-00009F3F0000}"/>
    <cellStyle name="Title 22 6 3" xfId="16432" xr:uid="{00000000-0005-0000-0000-0000A03F0000}"/>
    <cellStyle name="Title 22 6 3 2" xfId="16433" xr:uid="{00000000-0005-0000-0000-0000A13F0000}"/>
    <cellStyle name="Title 22 6 4" xfId="16434" xr:uid="{00000000-0005-0000-0000-0000A23F0000}"/>
    <cellStyle name="Title 22 7" xfId="16435" xr:uid="{00000000-0005-0000-0000-0000A33F0000}"/>
    <cellStyle name="Title 22 7 2" xfId="16436" xr:uid="{00000000-0005-0000-0000-0000A43F0000}"/>
    <cellStyle name="Title 22 8" xfId="16437" xr:uid="{00000000-0005-0000-0000-0000A53F0000}"/>
    <cellStyle name="Title 22 8 2" xfId="16438" xr:uid="{00000000-0005-0000-0000-0000A63F0000}"/>
    <cellStyle name="Title 22 9" xfId="16439" xr:uid="{00000000-0005-0000-0000-0000A73F0000}"/>
    <cellStyle name="Title 22 9 2" xfId="16440" xr:uid="{00000000-0005-0000-0000-0000A83F0000}"/>
    <cellStyle name="Title 23" xfId="3270" xr:uid="{00000000-0005-0000-0000-0000A93F0000}"/>
    <cellStyle name="Title 23 10" xfId="16442" xr:uid="{00000000-0005-0000-0000-0000AA3F0000}"/>
    <cellStyle name="Title 23 11" xfId="16443" xr:uid="{00000000-0005-0000-0000-0000AB3F0000}"/>
    <cellStyle name="Title 23 12" xfId="16441" xr:uid="{00000000-0005-0000-0000-0000AC3F0000}"/>
    <cellStyle name="Title 23 2" xfId="16444" xr:uid="{00000000-0005-0000-0000-0000AD3F0000}"/>
    <cellStyle name="Title 23 2 2" xfId="16445" xr:uid="{00000000-0005-0000-0000-0000AE3F0000}"/>
    <cellStyle name="Title 23 2 2 2" xfId="16446" xr:uid="{00000000-0005-0000-0000-0000AF3F0000}"/>
    <cellStyle name="Title 23 2 3" xfId="16447" xr:uid="{00000000-0005-0000-0000-0000B03F0000}"/>
    <cellStyle name="Title 23 2 3 2" xfId="16448" xr:uid="{00000000-0005-0000-0000-0000B13F0000}"/>
    <cellStyle name="Title 23 2 4" xfId="16449" xr:uid="{00000000-0005-0000-0000-0000B23F0000}"/>
    <cellStyle name="Title 23 2 5" xfId="16450" xr:uid="{00000000-0005-0000-0000-0000B33F0000}"/>
    <cellStyle name="Title 23 3" xfId="16451" xr:uid="{00000000-0005-0000-0000-0000B43F0000}"/>
    <cellStyle name="Title 23 3 2" xfId="16452" xr:uid="{00000000-0005-0000-0000-0000B53F0000}"/>
    <cellStyle name="Title 23 3 2 2" xfId="16453" xr:uid="{00000000-0005-0000-0000-0000B63F0000}"/>
    <cellStyle name="Title 23 3 3" xfId="16454" xr:uid="{00000000-0005-0000-0000-0000B73F0000}"/>
    <cellStyle name="Title 23 3 3 2" xfId="16455" xr:uid="{00000000-0005-0000-0000-0000B83F0000}"/>
    <cellStyle name="Title 23 3 4" xfId="16456" xr:uid="{00000000-0005-0000-0000-0000B93F0000}"/>
    <cellStyle name="Title 23 4" xfId="16457" xr:uid="{00000000-0005-0000-0000-0000BA3F0000}"/>
    <cellStyle name="Title 23 4 2" xfId="16458" xr:uid="{00000000-0005-0000-0000-0000BB3F0000}"/>
    <cellStyle name="Title 23 4 2 2" xfId="16459" xr:uid="{00000000-0005-0000-0000-0000BC3F0000}"/>
    <cellStyle name="Title 23 4 3" xfId="16460" xr:uid="{00000000-0005-0000-0000-0000BD3F0000}"/>
    <cellStyle name="Title 23 4 3 2" xfId="16461" xr:uid="{00000000-0005-0000-0000-0000BE3F0000}"/>
    <cellStyle name="Title 23 4 4" xfId="16462" xr:uid="{00000000-0005-0000-0000-0000BF3F0000}"/>
    <cellStyle name="Title 23 5" xfId="16463" xr:uid="{00000000-0005-0000-0000-0000C03F0000}"/>
    <cellStyle name="Title 23 5 2" xfId="16464" xr:uid="{00000000-0005-0000-0000-0000C13F0000}"/>
    <cellStyle name="Title 23 5 2 2" xfId="16465" xr:uid="{00000000-0005-0000-0000-0000C23F0000}"/>
    <cellStyle name="Title 23 5 3" xfId="16466" xr:uid="{00000000-0005-0000-0000-0000C33F0000}"/>
    <cellStyle name="Title 23 5 3 2" xfId="16467" xr:uid="{00000000-0005-0000-0000-0000C43F0000}"/>
    <cellStyle name="Title 23 5 4" xfId="16468" xr:uid="{00000000-0005-0000-0000-0000C53F0000}"/>
    <cellStyle name="Title 23 5 4 2" xfId="16469" xr:uid="{00000000-0005-0000-0000-0000C63F0000}"/>
    <cellStyle name="Title 23 5 5" xfId="16470" xr:uid="{00000000-0005-0000-0000-0000C73F0000}"/>
    <cellStyle name="Title 23 6" xfId="16471" xr:uid="{00000000-0005-0000-0000-0000C83F0000}"/>
    <cellStyle name="Title 23 6 2" xfId="16472" xr:uid="{00000000-0005-0000-0000-0000C93F0000}"/>
    <cellStyle name="Title 23 6 2 2" xfId="16473" xr:uid="{00000000-0005-0000-0000-0000CA3F0000}"/>
    <cellStyle name="Title 23 6 3" xfId="16474" xr:uid="{00000000-0005-0000-0000-0000CB3F0000}"/>
    <cellStyle name="Title 23 6 3 2" xfId="16475" xr:uid="{00000000-0005-0000-0000-0000CC3F0000}"/>
    <cellStyle name="Title 23 6 4" xfId="16476" xr:uid="{00000000-0005-0000-0000-0000CD3F0000}"/>
    <cellStyle name="Title 23 7" xfId="16477" xr:uid="{00000000-0005-0000-0000-0000CE3F0000}"/>
    <cellStyle name="Title 23 7 2" xfId="16478" xr:uid="{00000000-0005-0000-0000-0000CF3F0000}"/>
    <cellStyle name="Title 23 8" xfId="16479" xr:uid="{00000000-0005-0000-0000-0000D03F0000}"/>
    <cellStyle name="Title 23 8 2" xfId="16480" xr:uid="{00000000-0005-0000-0000-0000D13F0000}"/>
    <cellStyle name="Title 23 9" xfId="16481" xr:uid="{00000000-0005-0000-0000-0000D23F0000}"/>
    <cellStyle name="Title 23 9 2" xfId="16482" xr:uid="{00000000-0005-0000-0000-0000D33F0000}"/>
    <cellStyle name="Title 24" xfId="3271" xr:uid="{00000000-0005-0000-0000-0000D43F0000}"/>
    <cellStyle name="Title 24 10" xfId="16484" xr:uid="{00000000-0005-0000-0000-0000D53F0000}"/>
    <cellStyle name="Title 24 11" xfId="16485" xr:uid="{00000000-0005-0000-0000-0000D63F0000}"/>
    <cellStyle name="Title 24 12" xfId="16483" xr:uid="{00000000-0005-0000-0000-0000D73F0000}"/>
    <cellStyle name="Title 24 2" xfId="16486" xr:uid="{00000000-0005-0000-0000-0000D83F0000}"/>
    <cellStyle name="Title 24 2 2" xfId="16487" xr:uid="{00000000-0005-0000-0000-0000D93F0000}"/>
    <cellStyle name="Title 24 2 2 2" xfId="16488" xr:uid="{00000000-0005-0000-0000-0000DA3F0000}"/>
    <cellStyle name="Title 24 2 3" xfId="16489" xr:uid="{00000000-0005-0000-0000-0000DB3F0000}"/>
    <cellStyle name="Title 24 2 3 2" xfId="16490" xr:uid="{00000000-0005-0000-0000-0000DC3F0000}"/>
    <cellStyle name="Title 24 2 4" xfId="16491" xr:uid="{00000000-0005-0000-0000-0000DD3F0000}"/>
    <cellStyle name="Title 24 2 5" xfId="16492" xr:uid="{00000000-0005-0000-0000-0000DE3F0000}"/>
    <cellStyle name="Title 24 3" xfId="16493" xr:uid="{00000000-0005-0000-0000-0000DF3F0000}"/>
    <cellStyle name="Title 24 3 2" xfId="16494" xr:uid="{00000000-0005-0000-0000-0000E03F0000}"/>
    <cellStyle name="Title 24 3 2 2" xfId="16495" xr:uid="{00000000-0005-0000-0000-0000E13F0000}"/>
    <cellStyle name="Title 24 3 3" xfId="16496" xr:uid="{00000000-0005-0000-0000-0000E23F0000}"/>
    <cellStyle name="Title 24 3 3 2" xfId="16497" xr:uid="{00000000-0005-0000-0000-0000E33F0000}"/>
    <cellStyle name="Title 24 3 4" xfId="16498" xr:uid="{00000000-0005-0000-0000-0000E43F0000}"/>
    <cellStyle name="Title 24 4" xfId="16499" xr:uid="{00000000-0005-0000-0000-0000E53F0000}"/>
    <cellStyle name="Title 24 4 2" xfId="16500" xr:uid="{00000000-0005-0000-0000-0000E63F0000}"/>
    <cellStyle name="Title 24 4 2 2" xfId="16501" xr:uid="{00000000-0005-0000-0000-0000E73F0000}"/>
    <cellStyle name="Title 24 4 3" xfId="16502" xr:uid="{00000000-0005-0000-0000-0000E83F0000}"/>
    <cellStyle name="Title 24 4 3 2" xfId="16503" xr:uid="{00000000-0005-0000-0000-0000E93F0000}"/>
    <cellStyle name="Title 24 4 4" xfId="16504" xr:uid="{00000000-0005-0000-0000-0000EA3F0000}"/>
    <cellStyle name="Title 24 5" xfId="16505" xr:uid="{00000000-0005-0000-0000-0000EB3F0000}"/>
    <cellStyle name="Title 24 5 2" xfId="16506" xr:uid="{00000000-0005-0000-0000-0000EC3F0000}"/>
    <cellStyle name="Title 24 5 2 2" xfId="16507" xr:uid="{00000000-0005-0000-0000-0000ED3F0000}"/>
    <cellStyle name="Title 24 5 3" xfId="16508" xr:uid="{00000000-0005-0000-0000-0000EE3F0000}"/>
    <cellStyle name="Title 24 5 3 2" xfId="16509" xr:uid="{00000000-0005-0000-0000-0000EF3F0000}"/>
    <cellStyle name="Title 24 5 4" xfId="16510" xr:uid="{00000000-0005-0000-0000-0000F03F0000}"/>
    <cellStyle name="Title 24 5 4 2" xfId="16511" xr:uid="{00000000-0005-0000-0000-0000F13F0000}"/>
    <cellStyle name="Title 24 5 5" xfId="16512" xr:uid="{00000000-0005-0000-0000-0000F23F0000}"/>
    <cellStyle name="Title 24 6" xfId="16513" xr:uid="{00000000-0005-0000-0000-0000F33F0000}"/>
    <cellStyle name="Title 24 6 2" xfId="16514" xr:uid="{00000000-0005-0000-0000-0000F43F0000}"/>
    <cellStyle name="Title 24 6 2 2" xfId="16515" xr:uid="{00000000-0005-0000-0000-0000F53F0000}"/>
    <cellStyle name="Title 24 6 3" xfId="16516" xr:uid="{00000000-0005-0000-0000-0000F63F0000}"/>
    <cellStyle name="Title 24 6 3 2" xfId="16517" xr:uid="{00000000-0005-0000-0000-0000F73F0000}"/>
    <cellStyle name="Title 24 6 4" xfId="16518" xr:uid="{00000000-0005-0000-0000-0000F83F0000}"/>
    <cellStyle name="Title 24 7" xfId="16519" xr:uid="{00000000-0005-0000-0000-0000F93F0000}"/>
    <cellStyle name="Title 24 7 2" xfId="16520" xr:uid="{00000000-0005-0000-0000-0000FA3F0000}"/>
    <cellStyle name="Title 24 8" xfId="16521" xr:uid="{00000000-0005-0000-0000-0000FB3F0000}"/>
    <cellStyle name="Title 24 8 2" xfId="16522" xr:uid="{00000000-0005-0000-0000-0000FC3F0000}"/>
    <cellStyle name="Title 24 9" xfId="16523" xr:uid="{00000000-0005-0000-0000-0000FD3F0000}"/>
    <cellStyle name="Title 24 9 2" xfId="16524" xr:uid="{00000000-0005-0000-0000-0000FE3F0000}"/>
    <cellStyle name="Title 25" xfId="3272" xr:uid="{00000000-0005-0000-0000-0000FF3F0000}"/>
    <cellStyle name="Title 25 10" xfId="16526" xr:uid="{00000000-0005-0000-0000-000000400000}"/>
    <cellStyle name="Title 25 11" xfId="16527" xr:uid="{00000000-0005-0000-0000-000001400000}"/>
    <cellStyle name="Title 25 12" xfId="16525" xr:uid="{00000000-0005-0000-0000-000002400000}"/>
    <cellStyle name="Title 25 2" xfId="16528" xr:uid="{00000000-0005-0000-0000-000003400000}"/>
    <cellStyle name="Title 25 2 2" xfId="16529" xr:uid="{00000000-0005-0000-0000-000004400000}"/>
    <cellStyle name="Title 25 2 2 2" xfId="16530" xr:uid="{00000000-0005-0000-0000-000005400000}"/>
    <cellStyle name="Title 25 2 3" xfId="16531" xr:uid="{00000000-0005-0000-0000-000006400000}"/>
    <cellStyle name="Title 25 2 3 2" xfId="16532" xr:uid="{00000000-0005-0000-0000-000007400000}"/>
    <cellStyle name="Title 25 2 4" xfId="16533" xr:uid="{00000000-0005-0000-0000-000008400000}"/>
    <cellStyle name="Title 25 2 5" xfId="16534" xr:uid="{00000000-0005-0000-0000-000009400000}"/>
    <cellStyle name="Title 25 3" xfId="16535" xr:uid="{00000000-0005-0000-0000-00000A400000}"/>
    <cellStyle name="Title 25 3 2" xfId="16536" xr:uid="{00000000-0005-0000-0000-00000B400000}"/>
    <cellStyle name="Title 25 3 2 2" xfId="16537" xr:uid="{00000000-0005-0000-0000-00000C400000}"/>
    <cellStyle name="Title 25 3 3" xfId="16538" xr:uid="{00000000-0005-0000-0000-00000D400000}"/>
    <cellStyle name="Title 25 3 3 2" xfId="16539" xr:uid="{00000000-0005-0000-0000-00000E400000}"/>
    <cellStyle name="Title 25 3 4" xfId="16540" xr:uid="{00000000-0005-0000-0000-00000F400000}"/>
    <cellStyle name="Title 25 4" xfId="16541" xr:uid="{00000000-0005-0000-0000-000010400000}"/>
    <cellStyle name="Title 25 4 2" xfId="16542" xr:uid="{00000000-0005-0000-0000-000011400000}"/>
    <cellStyle name="Title 25 4 2 2" xfId="16543" xr:uid="{00000000-0005-0000-0000-000012400000}"/>
    <cellStyle name="Title 25 4 3" xfId="16544" xr:uid="{00000000-0005-0000-0000-000013400000}"/>
    <cellStyle name="Title 25 4 3 2" xfId="16545" xr:uid="{00000000-0005-0000-0000-000014400000}"/>
    <cellStyle name="Title 25 4 4" xfId="16546" xr:uid="{00000000-0005-0000-0000-000015400000}"/>
    <cellStyle name="Title 25 5" xfId="16547" xr:uid="{00000000-0005-0000-0000-000016400000}"/>
    <cellStyle name="Title 25 5 2" xfId="16548" xr:uid="{00000000-0005-0000-0000-000017400000}"/>
    <cellStyle name="Title 25 5 2 2" xfId="16549" xr:uid="{00000000-0005-0000-0000-000018400000}"/>
    <cellStyle name="Title 25 5 3" xfId="16550" xr:uid="{00000000-0005-0000-0000-000019400000}"/>
    <cellStyle name="Title 25 5 3 2" xfId="16551" xr:uid="{00000000-0005-0000-0000-00001A400000}"/>
    <cellStyle name="Title 25 5 4" xfId="16552" xr:uid="{00000000-0005-0000-0000-00001B400000}"/>
    <cellStyle name="Title 25 5 4 2" xfId="16553" xr:uid="{00000000-0005-0000-0000-00001C400000}"/>
    <cellStyle name="Title 25 5 5" xfId="16554" xr:uid="{00000000-0005-0000-0000-00001D400000}"/>
    <cellStyle name="Title 25 6" xfId="16555" xr:uid="{00000000-0005-0000-0000-00001E400000}"/>
    <cellStyle name="Title 25 6 2" xfId="16556" xr:uid="{00000000-0005-0000-0000-00001F400000}"/>
    <cellStyle name="Title 25 6 2 2" xfId="16557" xr:uid="{00000000-0005-0000-0000-000020400000}"/>
    <cellStyle name="Title 25 6 3" xfId="16558" xr:uid="{00000000-0005-0000-0000-000021400000}"/>
    <cellStyle name="Title 25 6 3 2" xfId="16559" xr:uid="{00000000-0005-0000-0000-000022400000}"/>
    <cellStyle name="Title 25 6 4" xfId="16560" xr:uid="{00000000-0005-0000-0000-000023400000}"/>
    <cellStyle name="Title 25 7" xfId="16561" xr:uid="{00000000-0005-0000-0000-000024400000}"/>
    <cellStyle name="Title 25 7 2" xfId="16562" xr:uid="{00000000-0005-0000-0000-000025400000}"/>
    <cellStyle name="Title 25 8" xfId="16563" xr:uid="{00000000-0005-0000-0000-000026400000}"/>
    <cellStyle name="Title 25 8 2" xfId="16564" xr:uid="{00000000-0005-0000-0000-000027400000}"/>
    <cellStyle name="Title 25 9" xfId="16565" xr:uid="{00000000-0005-0000-0000-000028400000}"/>
    <cellStyle name="Title 25 9 2" xfId="16566" xr:uid="{00000000-0005-0000-0000-000029400000}"/>
    <cellStyle name="Title 26" xfId="3273" xr:uid="{00000000-0005-0000-0000-00002A400000}"/>
    <cellStyle name="Title 26 10" xfId="16568" xr:uid="{00000000-0005-0000-0000-00002B400000}"/>
    <cellStyle name="Title 26 11" xfId="16569" xr:uid="{00000000-0005-0000-0000-00002C400000}"/>
    <cellStyle name="Title 26 12" xfId="16567" xr:uid="{00000000-0005-0000-0000-00002D400000}"/>
    <cellStyle name="Title 26 2" xfId="16570" xr:uid="{00000000-0005-0000-0000-00002E400000}"/>
    <cellStyle name="Title 26 2 2" xfId="16571" xr:uid="{00000000-0005-0000-0000-00002F400000}"/>
    <cellStyle name="Title 26 2 2 2" xfId="16572" xr:uid="{00000000-0005-0000-0000-000030400000}"/>
    <cellStyle name="Title 26 2 3" xfId="16573" xr:uid="{00000000-0005-0000-0000-000031400000}"/>
    <cellStyle name="Title 26 2 3 2" xfId="16574" xr:uid="{00000000-0005-0000-0000-000032400000}"/>
    <cellStyle name="Title 26 2 4" xfId="16575" xr:uid="{00000000-0005-0000-0000-000033400000}"/>
    <cellStyle name="Title 26 2 5" xfId="16576" xr:uid="{00000000-0005-0000-0000-000034400000}"/>
    <cellStyle name="Title 26 3" xfId="16577" xr:uid="{00000000-0005-0000-0000-000035400000}"/>
    <cellStyle name="Title 26 3 2" xfId="16578" xr:uid="{00000000-0005-0000-0000-000036400000}"/>
    <cellStyle name="Title 26 3 2 2" xfId="16579" xr:uid="{00000000-0005-0000-0000-000037400000}"/>
    <cellStyle name="Title 26 3 3" xfId="16580" xr:uid="{00000000-0005-0000-0000-000038400000}"/>
    <cellStyle name="Title 26 3 3 2" xfId="16581" xr:uid="{00000000-0005-0000-0000-000039400000}"/>
    <cellStyle name="Title 26 3 4" xfId="16582" xr:uid="{00000000-0005-0000-0000-00003A400000}"/>
    <cellStyle name="Title 26 4" xfId="16583" xr:uid="{00000000-0005-0000-0000-00003B400000}"/>
    <cellStyle name="Title 26 4 2" xfId="16584" xr:uid="{00000000-0005-0000-0000-00003C400000}"/>
    <cellStyle name="Title 26 4 2 2" xfId="16585" xr:uid="{00000000-0005-0000-0000-00003D400000}"/>
    <cellStyle name="Title 26 4 3" xfId="16586" xr:uid="{00000000-0005-0000-0000-00003E400000}"/>
    <cellStyle name="Title 26 4 3 2" xfId="16587" xr:uid="{00000000-0005-0000-0000-00003F400000}"/>
    <cellStyle name="Title 26 4 4" xfId="16588" xr:uid="{00000000-0005-0000-0000-000040400000}"/>
    <cellStyle name="Title 26 5" xfId="16589" xr:uid="{00000000-0005-0000-0000-000041400000}"/>
    <cellStyle name="Title 26 5 2" xfId="16590" xr:uid="{00000000-0005-0000-0000-000042400000}"/>
    <cellStyle name="Title 26 5 2 2" xfId="16591" xr:uid="{00000000-0005-0000-0000-000043400000}"/>
    <cellStyle name="Title 26 5 3" xfId="16592" xr:uid="{00000000-0005-0000-0000-000044400000}"/>
    <cellStyle name="Title 26 5 3 2" xfId="16593" xr:uid="{00000000-0005-0000-0000-000045400000}"/>
    <cellStyle name="Title 26 5 4" xfId="16594" xr:uid="{00000000-0005-0000-0000-000046400000}"/>
    <cellStyle name="Title 26 5 4 2" xfId="16595" xr:uid="{00000000-0005-0000-0000-000047400000}"/>
    <cellStyle name="Title 26 5 5" xfId="16596" xr:uid="{00000000-0005-0000-0000-000048400000}"/>
    <cellStyle name="Title 26 6" xfId="16597" xr:uid="{00000000-0005-0000-0000-000049400000}"/>
    <cellStyle name="Title 26 6 2" xfId="16598" xr:uid="{00000000-0005-0000-0000-00004A400000}"/>
    <cellStyle name="Title 26 6 2 2" xfId="16599" xr:uid="{00000000-0005-0000-0000-00004B400000}"/>
    <cellStyle name="Title 26 6 3" xfId="16600" xr:uid="{00000000-0005-0000-0000-00004C400000}"/>
    <cellStyle name="Title 26 6 3 2" xfId="16601" xr:uid="{00000000-0005-0000-0000-00004D400000}"/>
    <cellStyle name="Title 26 6 4" xfId="16602" xr:uid="{00000000-0005-0000-0000-00004E400000}"/>
    <cellStyle name="Title 26 7" xfId="16603" xr:uid="{00000000-0005-0000-0000-00004F400000}"/>
    <cellStyle name="Title 26 7 2" xfId="16604" xr:uid="{00000000-0005-0000-0000-000050400000}"/>
    <cellStyle name="Title 26 8" xfId="16605" xr:uid="{00000000-0005-0000-0000-000051400000}"/>
    <cellStyle name="Title 26 8 2" xfId="16606" xr:uid="{00000000-0005-0000-0000-000052400000}"/>
    <cellStyle name="Title 26 9" xfId="16607" xr:uid="{00000000-0005-0000-0000-000053400000}"/>
    <cellStyle name="Title 26 9 2" xfId="16608" xr:uid="{00000000-0005-0000-0000-000054400000}"/>
    <cellStyle name="Title 27" xfId="3274" xr:uid="{00000000-0005-0000-0000-000055400000}"/>
    <cellStyle name="Title 27 10" xfId="16610" xr:uid="{00000000-0005-0000-0000-000056400000}"/>
    <cellStyle name="Title 27 11" xfId="16611" xr:uid="{00000000-0005-0000-0000-000057400000}"/>
    <cellStyle name="Title 27 12" xfId="16609" xr:uid="{00000000-0005-0000-0000-000058400000}"/>
    <cellStyle name="Title 27 2" xfId="16612" xr:uid="{00000000-0005-0000-0000-000059400000}"/>
    <cellStyle name="Title 27 2 2" xfId="16613" xr:uid="{00000000-0005-0000-0000-00005A400000}"/>
    <cellStyle name="Title 27 2 2 2" xfId="16614" xr:uid="{00000000-0005-0000-0000-00005B400000}"/>
    <cellStyle name="Title 27 2 3" xfId="16615" xr:uid="{00000000-0005-0000-0000-00005C400000}"/>
    <cellStyle name="Title 27 2 3 2" xfId="16616" xr:uid="{00000000-0005-0000-0000-00005D400000}"/>
    <cellStyle name="Title 27 2 4" xfId="16617" xr:uid="{00000000-0005-0000-0000-00005E400000}"/>
    <cellStyle name="Title 27 2 5" xfId="16618" xr:uid="{00000000-0005-0000-0000-00005F400000}"/>
    <cellStyle name="Title 27 3" xfId="16619" xr:uid="{00000000-0005-0000-0000-000060400000}"/>
    <cellStyle name="Title 27 3 2" xfId="16620" xr:uid="{00000000-0005-0000-0000-000061400000}"/>
    <cellStyle name="Title 27 3 2 2" xfId="16621" xr:uid="{00000000-0005-0000-0000-000062400000}"/>
    <cellStyle name="Title 27 3 3" xfId="16622" xr:uid="{00000000-0005-0000-0000-000063400000}"/>
    <cellStyle name="Title 27 3 3 2" xfId="16623" xr:uid="{00000000-0005-0000-0000-000064400000}"/>
    <cellStyle name="Title 27 3 4" xfId="16624" xr:uid="{00000000-0005-0000-0000-000065400000}"/>
    <cellStyle name="Title 27 4" xfId="16625" xr:uid="{00000000-0005-0000-0000-000066400000}"/>
    <cellStyle name="Title 27 4 2" xfId="16626" xr:uid="{00000000-0005-0000-0000-000067400000}"/>
    <cellStyle name="Title 27 4 2 2" xfId="16627" xr:uid="{00000000-0005-0000-0000-000068400000}"/>
    <cellStyle name="Title 27 4 3" xfId="16628" xr:uid="{00000000-0005-0000-0000-000069400000}"/>
    <cellStyle name="Title 27 4 3 2" xfId="16629" xr:uid="{00000000-0005-0000-0000-00006A400000}"/>
    <cellStyle name="Title 27 4 4" xfId="16630" xr:uid="{00000000-0005-0000-0000-00006B400000}"/>
    <cellStyle name="Title 27 5" xfId="16631" xr:uid="{00000000-0005-0000-0000-00006C400000}"/>
    <cellStyle name="Title 27 5 2" xfId="16632" xr:uid="{00000000-0005-0000-0000-00006D400000}"/>
    <cellStyle name="Title 27 5 2 2" xfId="16633" xr:uid="{00000000-0005-0000-0000-00006E400000}"/>
    <cellStyle name="Title 27 5 3" xfId="16634" xr:uid="{00000000-0005-0000-0000-00006F400000}"/>
    <cellStyle name="Title 27 5 3 2" xfId="16635" xr:uid="{00000000-0005-0000-0000-000070400000}"/>
    <cellStyle name="Title 27 5 4" xfId="16636" xr:uid="{00000000-0005-0000-0000-000071400000}"/>
    <cellStyle name="Title 27 5 4 2" xfId="16637" xr:uid="{00000000-0005-0000-0000-000072400000}"/>
    <cellStyle name="Title 27 5 5" xfId="16638" xr:uid="{00000000-0005-0000-0000-000073400000}"/>
    <cellStyle name="Title 27 6" xfId="16639" xr:uid="{00000000-0005-0000-0000-000074400000}"/>
    <cellStyle name="Title 27 6 2" xfId="16640" xr:uid="{00000000-0005-0000-0000-000075400000}"/>
    <cellStyle name="Title 27 6 2 2" xfId="16641" xr:uid="{00000000-0005-0000-0000-000076400000}"/>
    <cellStyle name="Title 27 6 3" xfId="16642" xr:uid="{00000000-0005-0000-0000-000077400000}"/>
    <cellStyle name="Title 27 6 3 2" xfId="16643" xr:uid="{00000000-0005-0000-0000-000078400000}"/>
    <cellStyle name="Title 27 6 4" xfId="16644" xr:uid="{00000000-0005-0000-0000-000079400000}"/>
    <cellStyle name="Title 27 7" xfId="16645" xr:uid="{00000000-0005-0000-0000-00007A400000}"/>
    <cellStyle name="Title 27 7 2" xfId="16646" xr:uid="{00000000-0005-0000-0000-00007B400000}"/>
    <cellStyle name="Title 27 8" xfId="16647" xr:uid="{00000000-0005-0000-0000-00007C400000}"/>
    <cellStyle name="Title 27 8 2" xfId="16648" xr:uid="{00000000-0005-0000-0000-00007D400000}"/>
    <cellStyle name="Title 27 9" xfId="16649" xr:uid="{00000000-0005-0000-0000-00007E400000}"/>
    <cellStyle name="Title 27 9 2" xfId="16650" xr:uid="{00000000-0005-0000-0000-00007F400000}"/>
    <cellStyle name="Title 28" xfId="3275" xr:uid="{00000000-0005-0000-0000-000080400000}"/>
    <cellStyle name="Title 28 10" xfId="16652" xr:uid="{00000000-0005-0000-0000-000081400000}"/>
    <cellStyle name="Title 28 11" xfId="16653" xr:uid="{00000000-0005-0000-0000-000082400000}"/>
    <cellStyle name="Title 28 12" xfId="16651" xr:uid="{00000000-0005-0000-0000-000083400000}"/>
    <cellStyle name="Title 28 2" xfId="16654" xr:uid="{00000000-0005-0000-0000-000084400000}"/>
    <cellStyle name="Title 28 2 2" xfId="16655" xr:uid="{00000000-0005-0000-0000-000085400000}"/>
    <cellStyle name="Title 28 2 2 2" xfId="16656" xr:uid="{00000000-0005-0000-0000-000086400000}"/>
    <cellStyle name="Title 28 2 3" xfId="16657" xr:uid="{00000000-0005-0000-0000-000087400000}"/>
    <cellStyle name="Title 28 2 3 2" xfId="16658" xr:uid="{00000000-0005-0000-0000-000088400000}"/>
    <cellStyle name="Title 28 2 4" xfId="16659" xr:uid="{00000000-0005-0000-0000-000089400000}"/>
    <cellStyle name="Title 28 2 5" xfId="16660" xr:uid="{00000000-0005-0000-0000-00008A400000}"/>
    <cellStyle name="Title 28 3" xfId="16661" xr:uid="{00000000-0005-0000-0000-00008B400000}"/>
    <cellStyle name="Title 28 3 2" xfId="16662" xr:uid="{00000000-0005-0000-0000-00008C400000}"/>
    <cellStyle name="Title 28 3 2 2" xfId="16663" xr:uid="{00000000-0005-0000-0000-00008D400000}"/>
    <cellStyle name="Title 28 3 3" xfId="16664" xr:uid="{00000000-0005-0000-0000-00008E400000}"/>
    <cellStyle name="Title 28 3 3 2" xfId="16665" xr:uid="{00000000-0005-0000-0000-00008F400000}"/>
    <cellStyle name="Title 28 3 4" xfId="16666" xr:uid="{00000000-0005-0000-0000-000090400000}"/>
    <cellStyle name="Title 28 4" xfId="16667" xr:uid="{00000000-0005-0000-0000-000091400000}"/>
    <cellStyle name="Title 28 4 2" xfId="16668" xr:uid="{00000000-0005-0000-0000-000092400000}"/>
    <cellStyle name="Title 28 4 2 2" xfId="16669" xr:uid="{00000000-0005-0000-0000-000093400000}"/>
    <cellStyle name="Title 28 4 3" xfId="16670" xr:uid="{00000000-0005-0000-0000-000094400000}"/>
    <cellStyle name="Title 28 4 3 2" xfId="16671" xr:uid="{00000000-0005-0000-0000-000095400000}"/>
    <cellStyle name="Title 28 4 4" xfId="16672" xr:uid="{00000000-0005-0000-0000-000096400000}"/>
    <cellStyle name="Title 28 5" xfId="16673" xr:uid="{00000000-0005-0000-0000-000097400000}"/>
    <cellStyle name="Title 28 5 2" xfId="16674" xr:uid="{00000000-0005-0000-0000-000098400000}"/>
    <cellStyle name="Title 28 5 2 2" xfId="16675" xr:uid="{00000000-0005-0000-0000-000099400000}"/>
    <cellStyle name="Title 28 5 3" xfId="16676" xr:uid="{00000000-0005-0000-0000-00009A400000}"/>
    <cellStyle name="Title 28 5 3 2" xfId="16677" xr:uid="{00000000-0005-0000-0000-00009B400000}"/>
    <cellStyle name="Title 28 5 4" xfId="16678" xr:uid="{00000000-0005-0000-0000-00009C400000}"/>
    <cellStyle name="Title 28 5 4 2" xfId="16679" xr:uid="{00000000-0005-0000-0000-00009D400000}"/>
    <cellStyle name="Title 28 5 5" xfId="16680" xr:uid="{00000000-0005-0000-0000-00009E400000}"/>
    <cellStyle name="Title 28 6" xfId="16681" xr:uid="{00000000-0005-0000-0000-00009F400000}"/>
    <cellStyle name="Title 28 6 2" xfId="16682" xr:uid="{00000000-0005-0000-0000-0000A0400000}"/>
    <cellStyle name="Title 28 6 2 2" xfId="16683" xr:uid="{00000000-0005-0000-0000-0000A1400000}"/>
    <cellStyle name="Title 28 6 3" xfId="16684" xr:uid="{00000000-0005-0000-0000-0000A2400000}"/>
    <cellStyle name="Title 28 6 3 2" xfId="16685" xr:uid="{00000000-0005-0000-0000-0000A3400000}"/>
    <cellStyle name="Title 28 6 4" xfId="16686" xr:uid="{00000000-0005-0000-0000-0000A4400000}"/>
    <cellStyle name="Title 28 7" xfId="16687" xr:uid="{00000000-0005-0000-0000-0000A5400000}"/>
    <cellStyle name="Title 28 7 2" xfId="16688" xr:uid="{00000000-0005-0000-0000-0000A6400000}"/>
    <cellStyle name="Title 28 8" xfId="16689" xr:uid="{00000000-0005-0000-0000-0000A7400000}"/>
    <cellStyle name="Title 28 8 2" xfId="16690" xr:uid="{00000000-0005-0000-0000-0000A8400000}"/>
    <cellStyle name="Title 28 9" xfId="16691" xr:uid="{00000000-0005-0000-0000-0000A9400000}"/>
    <cellStyle name="Title 28 9 2" xfId="16692" xr:uid="{00000000-0005-0000-0000-0000AA400000}"/>
    <cellStyle name="Title 29" xfId="3276" xr:uid="{00000000-0005-0000-0000-0000AB400000}"/>
    <cellStyle name="Title 29 10" xfId="16694" xr:uid="{00000000-0005-0000-0000-0000AC400000}"/>
    <cellStyle name="Title 29 11" xfId="16695" xr:uid="{00000000-0005-0000-0000-0000AD400000}"/>
    <cellStyle name="Title 29 12" xfId="16693" xr:uid="{00000000-0005-0000-0000-0000AE400000}"/>
    <cellStyle name="Title 29 2" xfId="16696" xr:uid="{00000000-0005-0000-0000-0000AF400000}"/>
    <cellStyle name="Title 29 2 2" xfId="16697" xr:uid="{00000000-0005-0000-0000-0000B0400000}"/>
    <cellStyle name="Title 29 2 2 2" xfId="16698" xr:uid="{00000000-0005-0000-0000-0000B1400000}"/>
    <cellStyle name="Title 29 2 3" xfId="16699" xr:uid="{00000000-0005-0000-0000-0000B2400000}"/>
    <cellStyle name="Title 29 2 3 2" xfId="16700" xr:uid="{00000000-0005-0000-0000-0000B3400000}"/>
    <cellStyle name="Title 29 2 4" xfId="16701" xr:uid="{00000000-0005-0000-0000-0000B4400000}"/>
    <cellStyle name="Title 29 2 5" xfId="16702" xr:uid="{00000000-0005-0000-0000-0000B5400000}"/>
    <cellStyle name="Title 29 3" xfId="16703" xr:uid="{00000000-0005-0000-0000-0000B6400000}"/>
    <cellStyle name="Title 29 3 2" xfId="16704" xr:uid="{00000000-0005-0000-0000-0000B7400000}"/>
    <cellStyle name="Title 29 3 2 2" xfId="16705" xr:uid="{00000000-0005-0000-0000-0000B8400000}"/>
    <cellStyle name="Title 29 3 3" xfId="16706" xr:uid="{00000000-0005-0000-0000-0000B9400000}"/>
    <cellStyle name="Title 29 3 3 2" xfId="16707" xr:uid="{00000000-0005-0000-0000-0000BA400000}"/>
    <cellStyle name="Title 29 3 4" xfId="16708" xr:uid="{00000000-0005-0000-0000-0000BB400000}"/>
    <cellStyle name="Title 29 4" xfId="16709" xr:uid="{00000000-0005-0000-0000-0000BC400000}"/>
    <cellStyle name="Title 29 4 2" xfId="16710" xr:uid="{00000000-0005-0000-0000-0000BD400000}"/>
    <cellStyle name="Title 29 4 2 2" xfId="16711" xr:uid="{00000000-0005-0000-0000-0000BE400000}"/>
    <cellStyle name="Title 29 4 3" xfId="16712" xr:uid="{00000000-0005-0000-0000-0000BF400000}"/>
    <cellStyle name="Title 29 4 3 2" xfId="16713" xr:uid="{00000000-0005-0000-0000-0000C0400000}"/>
    <cellStyle name="Title 29 4 4" xfId="16714" xr:uid="{00000000-0005-0000-0000-0000C1400000}"/>
    <cellStyle name="Title 29 5" xfId="16715" xr:uid="{00000000-0005-0000-0000-0000C2400000}"/>
    <cellStyle name="Title 29 5 2" xfId="16716" xr:uid="{00000000-0005-0000-0000-0000C3400000}"/>
    <cellStyle name="Title 29 5 2 2" xfId="16717" xr:uid="{00000000-0005-0000-0000-0000C4400000}"/>
    <cellStyle name="Title 29 5 3" xfId="16718" xr:uid="{00000000-0005-0000-0000-0000C5400000}"/>
    <cellStyle name="Title 29 5 3 2" xfId="16719" xr:uid="{00000000-0005-0000-0000-0000C6400000}"/>
    <cellStyle name="Title 29 5 4" xfId="16720" xr:uid="{00000000-0005-0000-0000-0000C7400000}"/>
    <cellStyle name="Title 29 5 4 2" xfId="16721" xr:uid="{00000000-0005-0000-0000-0000C8400000}"/>
    <cellStyle name="Title 29 5 5" xfId="16722" xr:uid="{00000000-0005-0000-0000-0000C9400000}"/>
    <cellStyle name="Title 29 6" xfId="16723" xr:uid="{00000000-0005-0000-0000-0000CA400000}"/>
    <cellStyle name="Title 29 6 2" xfId="16724" xr:uid="{00000000-0005-0000-0000-0000CB400000}"/>
    <cellStyle name="Title 29 6 2 2" xfId="16725" xr:uid="{00000000-0005-0000-0000-0000CC400000}"/>
    <cellStyle name="Title 29 6 3" xfId="16726" xr:uid="{00000000-0005-0000-0000-0000CD400000}"/>
    <cellStyle name="Title 29 6 3 2" xfId="16727" xr:uid="{00000000-0005-0000-0000-0000CE400000}"/>
    <cellStyle name="Title 29 6 4" xfId="16728" xr:uid="{00000000-0005-0000-0000-0000CF400000}"/>
    <cellStyle name="Title 29 7" xfId="16729" xr:uid="{00000000-0005-0000-0000-0000D0400000}"/>
    <cellStyle name="Title 29 7 2" xfId="16730" xr:uid="{00000000-0005-0000-0000-0000D1400000}"/>
    <cellStyle name="Title 29 8" xfId="16731" xr:uid="{00000000-0005-0000-0000-0000D2400000}"/>
    <cellStyle name="Title 29 8 2" xfId="16732" xr:uid="{00000000-0005-0000-0000-0000D3400000}"/>
    <cellStyle name="Title 29 9" xfId="16733" xr:uid="{00000000-0005-0000-0000-0000D4400000}"/>
    <cellStyle name="Title 29 9 2" xfId="16734" xr:uid="{00000000-0005-0000-0000-0000D5400000}"/>
    <cellStyle name="Title 3" xfId="307" xr:uid="{00000000-0005-0000-0000-0000D6400000}"/>
    <cellStyle name="Title 3 10" xfId="16736" xr:uid="{00000000-0005-0000-0000-0000D7400000}"/>
    <cellStyle name="Title 3 10 2" xfId="16737" xr:uid="{00000000-0005-0000-0000-0000D8400000}"/>
    <cellStyle name="Title 3 11" xfId="16738" xr:uid="{00000000-0005-0000-0000-0000D9400000}"/>
    <cellStyle name="Title 3 12" xfId="16739" xr:uid="{00000000-0005-0000-0000-0000DA400000}"/>
    <cellStyle name="Title 3 13" xfId="16735" xr:uid="{00000000-0005-0000-0000-0000DB400000}"/>
    <cellStyle name="Title 3 2" xfId="3277" xr:uid="{00000000-0005-0000-0000-0000DC400000}"/>
    <cellStyle name="Title 3 2 10" xfId="16741" xr:uid="{00000000-0005-0000-0000-0000DD400000}"/>
    <cellStyle name="Title 3 2 11" xfId="16740" xr:uid="{00000000-0005-0000-0000-0000DE400000}"/>
    <cellStyle name="Title 3 2 2" xfId="16742" xr:uid="{00000000-0005-0000-0000-0000DF400000}"/>
    <cellStyle name="Title 3 2 2 2" xfId="16743" xr:uid="{00000000-0005-0000-0000-0000E0400000}"/>
    <cellStyle name="Title 3 2 2 2 2" xfId="16744" xr:uid="{00000000-0005-0000-0000-0000E1400000}"/>
    <cellStyle name="Title 3 2 2 3" xfId="16745" xr:uid="{00000000-0005-0000-0000-0000E2400000}"/>
    <cellStyle name="Title 3 2 2 3 2" xfId="16746" xr:uid="{00000000-0005-0000-0000-0000E3400000}"/>
    <cellStyle name="Title 3 2 2 4" xfId="16747" xr:uid="{00000000-0005-0000-0000-0000E4400000}"/>
    <cellStyle name="Title 3 2 3" xfId="16748" xr:uid="{00000000-0005-0000-0000-0000E5400000}"/>
    <cellStyle name="Title 3 2 3 2" xfId="16749" xr:uid="{00000000-0005-0000-0000-0000E6400000}"/>
    <cellStyle name="Title 3 2 3 2 2" xfId="16750" xr:uid="{00000000-0005-0000-0000-0000E7400000}"/>
    <cellStyle name="Title 3 2 3 3" xfId="16751" xr:uid="{00000000-0005-0000-0000-0000E8400000}"/>
    <cellStyle name="Title 3 2 3 3 2" xfId="16752" xr:uid="{00000000-0005-0000-0000-0000E9400000}"/>
    <cellStyle name="Title 3 2 3 4" xfId="16753" xr:uid="{00000000-0005-0000-0000-0000EA400000}"/>
    <cellStyle name="Title 3 2 4" xfId="16754" xr:uid="{00000000-0005-0000-0000-0000EB400000}"/>
    <cellStyle name="Title 3 2 4 2" xfId="16755" xr:uid="{00000000-0005-0000-0000-0000EC400000}"/>
    <cellStyle name="Title 3 2 4 2 2" xfId="16756" xr:uid="{00000000-0005-0000-0000-0000ED400000}"/>
    <cellStyle name="Title 3 2 4 3" xfId="16757" xr:uid="{00000000-0005-0000-0000-0000EE400000}"/>
    <cellStyle name="Title 3 2 4 3 2" xfId="16758" xr:uid="{00000000-0005-0000-0000-0000EF400000}"/>
    <cellStyle name="Title 3 2 4 4" xfId="16759" xr:uid="{00000000-0005-0000-0000-0000F0400000}"/>
    <cellStyle name="Title 3 2 4 4 2" xfId="16760" xr:uid="{00000000-0005-0000-0000-0000F1400000}"/>
    <cellStyle name="Title 3 2 4 5" xfId="16761" xr:uid="{00000000-0005-0000-0000-0000F2400000}"/>
    <cellStyle name="Title 3 2 5" xfId="16762" xr:uid="{00000000-0005-0000-0000-0000F3400000}"/>
    <cellStyle name="Title 3 2 5 2" xfId="16763" xr:uid="{00000000-0005-0000-0000-0000F4400000}"/>
    <cellStyle name="Title 3 2 5 2 2" xfId="16764" xr:uid="{00000000-0005-0000-0000-0000F5400000}"/>
    <cellStyle name="Title 3 2 5 3" xfId="16765" xr:uid="{00000000-0005-0000-0000-0000F6400000}"/>
    <cellStyle name="Title 3 2 5 3 2" xfId="16766" xr:uid="{00000000-0005-0000-0000-0000F7400000}"/>
    <cellStyle name="Title 3 2 5 4" xfId="16767" xr:uid="{00000000-0005-0000-0000-0000F8400000}"/>
    <cellStyle name="Title 3 2 6" xfId="16768" xr:uid="{00000000-0005-0000-0000-0000F9400000}"/>
    <cellStyle name="Title 3 2 6 2" xfId="16769" xr:uid="{00000000-0005-0000-0000-0000FA400000}"/>
    <cellStyle name="Title 3 2 7" xfId="16770" xr:uid="{00000000-0005-0000-0000-0000FB400000}"/>
    <cellStyle name="Title 3 2 7 2" xfId="16771" xr:uid="{00000000-0005-0000-0000-0000FC400000}"/>
    <cellStyle name="Title 3 2 8" xfId="16772" xr:uid="{00000000-0005-0000-0000-0000FD400000}"/>
    <cellStyle name="Title 3 2 8 2" xfId="16773" xr:uid="{00000000-0005-0000-0000-0000FE400000}"/>
    <cellStyle name="Title 3 2 9" xfId="16774" xr:uid="{00000000-0005-0000-0000-0000FF400000}"/>
    <cellStyle name="Title 3 3" xfId="4808" xr:uid="{00000000-0005-0000-0000-000000410000}"/>
    <cellStyle name="Title 3 3 2" xfId="16776" xr:uid="{00000000-0005-0000-0000-000001410000}"/>
    <cellStyle name="Title 3 3 2 2" xfId="16777" xr:uid="{00000000-0005-0000-0000-000002410000}"/>
    <cellStyle name="Title 3 3 3" xfId="16778" xr:uid="{00000000-0005-0000-0000-000003410000}"/>
    <cellStyle name="Title 3 3 3 2" xfId="16779" xr:uid="{00000000-0005-0000-0000-000004410000}"/>
    <cellStyle name="Title 3 3 4" xfId="16780" xr:uid="{00000000-0005-0000-0000-000005410000}"/>
    <cellStyle name="Title 3 3 5" xfId="16781" xr:uid="{00000000-0005-0000-0000-000006410000}"/>
    <cellStyle name="Title 3 3 6" xfId="16775" xr:uid="{00000000-0005-0000-0000-000007410000}"/>
    <cellStyle name="Title 3 4" xfId="16782" xr:uid="{00000000-0005-0000-0000-000008410000}"/>
    <cellStyle name="Title 3 4 2" xfId="16783" xr:uid="{00000000-0005-0000-0000-000009410000}"/>
    <cellStyle name="Title 3 4 2 2" xfId="16784" xr:uid="{00000000-0005-0000-0000-00000A410000}"/>
    <cellStyle name="Title 3 4 3" xfId="16785" xr:uid="{00000000-0005-0000-0000-00000B410000}"/>
    <cellStyle name="Title 3 4 3 2" xfId="16786" xr:uid="{00000000-0005-0000-0000-00000C410000}"/>
    <cellStyle name="Title 3 4 4" xfId="16787" xr:uid="{00000000-0005-0000-0000-00000D410000}"/>
    <cellStyle name="Title 3 5" xfId="16788" xr:uid="{00000000-0005-0000-0000-00000E410000}"/>
    <cellStyle name="Title 3 5 2" xfId="16789" xr:uid="{00000000-0005-0000-0000-00000F410000}"/>
    <cellStyle name="Title 3 5 2 2" xfId="16790" xr:uid="{00000000-0005-0000-0000-000010410000}"/>
    <cellStyle name="Title 3 5 3" xfId="16791" xr:uid="{00000000-0005-0000-0000-000011410000}"/>
    <cellStyle name="Title 3 5 3 2" xfId="16792" xr:uid="{00000000-0005-0000-0000-000012410000}"/>
    <cellStyle name="Title 3 5 4" xfId="16793" xr:uid="{00000000-0005-0000-0000-000013410000}"/>
    <cellStyle name="Title 3 6" xfId="16794" xr:uid="{00000000-0005-0000-0000-000014410000}"/>
    <cellStyle name="Title 3 6 2" xfId="16795" xr:uid="{00000000-0005-0000-0000-000015410000}"/>
    <cellStyle name="Title 3 6 2 2" xfId="16796" xr:uid="{00000000-0005-0000-0000-000016410000}"/>
    <cellStyle name="Title 3 6 3" xfId="16797" xr:uid="{00000000-0005-0000-0000-000017410000}"/>
    <cellStyle name="Title 3 6 3 2" xfId="16798" xr:uid="{00000000-0005-0000-0000-000018410000}"/>
    <cellStyle name="Title 3 6 4" xfId="16799" xr:uid="{00000000-0005-0000-0000-000019410000}"/>
    <cellStyle name="Title 3 6 4 2" xfId="16800" xr:uid="{00000000-0005-0000-0000-00001A410000}"/>
    <cellStyle name="Title 3 6 5" xfId="16801" xr:uid="{00000000-0005-0000-0000-00001B410000}"/>
    <cellStyle name="Title 3 7" xfId="16802" xr:uid="{00000000-0005-0000-0000-00001C410000}"/>
    <cellStyle name="Title 3 7 2" xfId="16803" xr:uid="{00000000-0005-0000-0000-00001D410000}"/>
    <cellStyle name="Title 3 7 2 2" xfId="16804" xr:uid="{00000000-0005-0000-0000-00001E410000}"/>
    <cellStyle name="Title 3 7 3" xfId="16805" xr:uid="{00000000-0005-0000-0000-00001F410000}"/>
    <cellStyle name="Title 3 7 3 2" xfId="16806" xr:uid="{00000000-0005-0000-0000-000020410000}"/>
    <cellStyle name="Title 3 7 4" xfId="16807" xr:uid="{00000000-0005-0000-0000-000021410000}"/>
    <cellStyle name="Title 3 8" xfId="16808" xr:uid="{00000000-0005-0000-0000-000022410000}"/>
    <cellStyle name="Title 3 8 2" xfId="16809" xr:uid="{00000000-0005-0000-0000-000023410000}"/>
    <cellStyle name="Title 3 9" xfId="16810" xr:uid="{00000000-0005-0000-0000-000024410000}"/>
    <cellStyle name="Title 3 9 2" xfId="16811" xr:uid="{00000000-0005-0000-0000-000025410000}"/>
    <cellStyle name="Title 30" xfId="3278" xr:uid="{00000000-0005-0000-0000-000026410000}"/>
    <cellStyle name="Title 30 10" xfId="16813" xr:uid="{00000000-0005-0000-0000-000027410000}"/>
    <cellStyle name="Title 30 11" xfId="16814" xr:uid="{00000000-0005-0000-0000-000028410000}"/>
    <cellStyle name="Title 30 12" xfId="16812" xr:uid="{00000000-0005-0000-0000-000029410000}"/>
    <cellStyle name="Title 30 2" xfId="16815" xr:uid="{00000000-0005-0000-0000-00002A410000}"/>
    <cellStyle name="Title 30 2 2" xfId="16816" xr:uid="{00000000-0005-0000-0000-00002B410000}"/>
    <cellStyle name="Title 30 2 2 2" xfId="16817" xr:uid="{00000000-0005-0000-0000-00002C410000}"/>
    <cellStyle name="Title 30 2 3" xfId="16818" xr:uid="{00000000-0005-0000-0000-00002D410000}"/>
    <cellStyle name="Title 30 2 3 2" xfId="16819" xr:uid="{00000000-0005-0000-0000-00002E410000}"/>
    <cellStyle name="Title 30 2 4" xfId="16820" xr:uid="{00000000-0005-0000-0000-00002F410000}"/>
    <cellStyle name="Title 30 2 5" xfId="16821" xr:uid="{00000000-0005-0000-0000-000030410000}"/>
    <cellStyle name="Title 30 3" xfId="16822" xr:uid="{00000000-0005-0000-0000-000031410000}"/>
    <cellStyle name="Title 30 3 2" xfId="16823" xr:uid="{00000000-0005-0000-0000-000032410000}"/>
    <cellStyle name="Title 30 3 2 2" xfId="16824" xr:uid="{00000000-0005-0000-0000-000033410000}"/>
    <cellStyle name="Title 30 3 3" xfId="16825" xr:uid="{00000000-0005-0000-0000-000034410000}"/>
    <cellStyle name="Title 30 3 3 2" xfId="16826" xr:uid="{00000000-0005-0000-0000-000035410000}"/>
    <cellStyle name="Title 30 3 4" xfId="16827" xr:uid="{00000000-0005-0000-0000-000036410000}"/>
    <cellStyle name="Title 30 4" xfId="16828" xr:uid="{00000000-0005-0000-0000-000037410000}"/>
    <cellStyle name="Title 30 4 2" xfId="16829" xr:uid="{00000000-0005-0000-0000-000038410000}"/>
    <cellStyle name="Title 30 4 2 2" xfId="16830" xr:uid="{00000000-0005-0000-0000-000039410000}"/>
    <cellStyle name="Title 30 4 3" xfId="16831" xr:uid="{00000000-0005-0000-0000-00003A410000}"/>
    <cellStyle name="Title 30 4 3 2" xfId="16832" xr:uid="{00000000-0005-0000-0000-00003B410000}"/>
    <cellStyle name="Title 30 4 4" xfId="16833" xr:uid="{00000000-0005-0000-0000-00003C410000}"/>
    <cellStyle name="Title 30 5" xfId="16834" xr:uid="{00000000-0005-0000-0000-00003D410000}"/>
    <cellStyle name="Title 30 5 2" xfId="16835" xr:uid="{00000000-0005-0000-0000-00003E410000}"/>
    <cellStyle name="Title 30 5 2 2" xfId="16836" xr:uid="{00000000-0005-0000-0000-00003F410000}"/>
    <cellStyle name="Title 30 5 3" xfId="16837" xr:uid="{00000000-0005-0000-0000-000040410000}"/>
    <cellStyle name="Title 30 5 3 2" xfId="16838" xr:uid="{00000000-0005-0000-0000-000041410000}"/>
    <cellStyle name="Title 30 5 4" xfId="16839" xr:uid="{00000000-0005-0000-0000-000042410000}"/>
    <cellStyle name="Title 30 5 4 2" xfId="16840" xr:uid="{00000000-0005-0000-0000-000043410000}"/>
    <cellStyle name="Title 30 5 5" xfId="16841" xr:uid="{00000000-0005-0000-0000-000044410000}"/>
    <cellStyle name="Title 30 6" xfId="16842" xr:uid="{00000000-0005-0000-0000-000045410000}"/>
    <cellStyle name="Title 30 6 2" xfId="16843" xr:uid="{00000000-0005-0000-0000-000046410000}"/>
    <cellStyle name="Title 30 6 2 2" xfId="16844" xr:uid="{00000000-0005-0000-0000-000047410000}"/>
    <cellStyle name="Title 30 6 3" xfId="16845" xr:uid="{00000000-0005-0000-0000-000048410000}"/>
    <cellStyle name="Title 30 6 3 2" xfId="16846" xr:uid="{00000000-0005-0000-0000-000049410000}"/>
    <cellStyle name="Title 30 6 4" xfId="16847" xr:uid="{00000000-0005-0000-0000-00004A410000}"/>
    <cellStyle name="Title 30 7" xfId="16848" xr:uid="{00000000-0005-0000-0000-00004B410000}"/>
    <cellStyle name="Title 30 7 2" xfId="16849" xr:uid="{00000000-0005-0000-0000-00004C410000}"/>
    <cellStyle name="Title 30 8" xfId="16850" xr:uid="{00000000-0005-0000-0000-00004D410000}"/>
    <cellStyle name="Title 30 8 2" xfId="16851" xr:uid="{00000000-0005-0000-0000-00004E410000}"/>
    <cellStyle name="Title 30 9" xfId="16852" xr:uid="{00000000-0005-0000-0000-00004F410000}"/>
    <cellStyle name="Title 30 9 2" xfId="16853" xr:uid="{00000000-0005-0000-0000-000050410000}"/>
    <cellStyle name="Title 31" xfId="3279" xr:uid="{00000000-0005-0000-0000-000051410000}"/>
    <cellStyle name="Title 31 10" xfId="16855" xr:uid="{00000000-0005-0000-0000-000052410000}"/>
    <cellStyle name="Title 31 11" xfId="16856" xr:uid="{00000000-0005-0000-0000-000053410000}"/>
    <cellStyle name="Title 31 12" xfId="16854" xr:uid="{00000000-0005-0000-0000-000054410000}"/>
    <cellStyle name="Title 31 2" xfId="16857" xr:uid="{00000000-0005-0000-0000-000055410000}"/>
    <cellStyle name="Title 31 2 2" xfId="16858" xr:uid="{00000000-0005-0000-0000-000056410000}"/>
    <cellStyle name="Title 31 2 2 2" xfId="16859" xr:uid="{00000000-0005-0000-0000-000057410000}"/>
    <cellStyle name="Title 31 2 3" xfId="16860" xr:uid="{00000000-0005-0000-0000-000058410000}"/>
    <cellStyle name="Title 31 2 3 2" xfId="16861" xr:uid="{00000000-0005-0000-0000-000059410000}"/>
    <cellStyle name="Title 31 2 4" xfId="16862" xr:uid="{00000000-0005-0000-0000-00005A410000}"/>
    <cellStyle name="Title 31 2 5" xfId="16863" xr:uid="{00000000-0005-0000-0000-00005B410000}"/>
    <cellStyle name="Title 31 3" xfId="16864" xr:uid="{00000000-0005-0000-0000-00005C410000}"/>
    <cellStyle name="Title 31 3 2" xfId="16865" xr:uid="{00000000-0005-0000-0000-00005D410000}"/>
    <cellStyle name="Title 31 3 2 2" xfId="16866" xr:uid="{00000000-0005-0000-0000-00005E410000}"/>
    <cellStyle name="Title 31 3 3" xfId="16867" xr:uid="{00000000-0005-0000-0000-00005F410000}"/>
    <cellStyle name="Title 31 3 3 2" xfId="16868" xr:uid="{00000000-0005-0000-0000-000060410000}"/>
    <cellStyle name="Title 31 3 4" xfId="16869" xr:uid="{00000000-0005-0000-0000-000061410000}"/>
    <cellStyle name="Title 31 4" xfId="16870" xr:uid="{00000000-0005-0000-0000-000062410000}"/>
    <cellStyle name="Title 31 4 2" xfId="16871" xr:uid="{00000000-0005-0000-0000-000063410000}"/>
    <cellStyle name="Title 31 4 2 2" xfId="16872" xr:uid="{00000000-0005-0000-0000-000064410000}"/>
    <cellStyle name="Title 31 4 3" xfId="16873" xr:uid="{00000000-0005-0000-0000-000065410000}"/>
    <cellStyle name="Title 31 4 3 2" xfId="16874" xr:uid="{00000000-0005-0000-0000-000066410000}"/>
    <cellStyle name="Title 31 4 4" xfId="16875" xr:uid="{00000000-0005-0000-0000-000067410000}"/>
    <cellStyle name="Title 31 5" xfId="16876" xr:uid="{00000000-0005-0000-0000-000068410000}"/>
    <cellStyle name="Title 31 5 2" xfId="16877" xr:uid="{00000000-0005-0000-0000-000069410000}"/>
    <cellStyle name="Title 31 5 2 2" xfId="16878" xr:uid="{00000000-0005-0000-0000-00006A410000}"/>
    <cellStyle name="Title 31 5 3" xfId="16879" xr:uid="{00000000-0005-0000-0000-00006B410000}"/>
    <cellStyle name="Title 31 5 3 2" xfId="16880" xr:uid="{00000000-0005-0000-0000-00006C410000}"/>
    <cellStyle name="Title 31 5 4" xfId="16881" xr:uid="{00000000-0005-0000-0000-00006D410000}"/>
    <cellStyle name="Title 31 5 4 2" xfId="16882" xr:uid="{00000000-0005-0000-0000-00006E410000}"/>
    <cellStyle name="Title 31 5 5" xfId="16883" xr:uid="{00000000-0005-0000-0000-00006F410000}"/>
    <cellStyle name="Title 31 6" xfId="16884" xr:uid="{00000000-0005-0000-0000-000070410000}"/>
    <cellStyle name="Title 31 6 2" xfId="16885" xr:uid="{00000000-0005-0000-0000-000071410000}"/>
    <cellStyle name="Title 31 6 2 2" xfId="16886" xr:uid="{00000000-0005-0000-0000-000072410000}"/>
    <cellStyle name="Title 31 6 3" xfId="16887" xr:uid="{00000000-0005-0000-0000-000073410000}"/>
    <cellStyle name="Title 31 6 3 2" xfId="16888" xr:uid="{00000000-0005-0000-0000-000074410000}"/>
    <cellStyle name="Title 31 6 4" xfId="16889" xr:uid="{00000000-0005-0000-0000-000075410000}"/>
    <cellStyle name="Title 31 7" xfId="16890" xr:uid="{00000000-0005-0000-0000-000076410000}"/>
    <cellStyle name="Title 31 7 2" xfId="16891" xr:uid="{00000000-0005-0000-0000-000077410000}"/>
    <cellStyle name="Title 31 8" xfId="16892" xr:uid="{00000000-0005-0000-0000-000078410000}"/>
    <cellStyle name="Title 31 8 2" xfId="16893" xr:uid="{00000000-0005-0000-0000-000079410000}"/>
    <cellStyle name="Title 31 9" xfId="16894" xr:uid="{00000000-0005-0000-0000-00007A410000}"/>
    <cellStyle name="Title 31 9 2" xfId="16895" xr:uid="{00000000-0005-0000-0000-00007B410000}"/>
    <cellStyle name="Title 32" xfId="3280" xr:uid="{00000000-0005-0000-0000-00007C410000}"/>
    <cellStyle name="Title 32 10" xfId="16897" xr:uid="{00000000-0005-0000-0000-00007D410000}"/>
    <cellStyle name="Title 32 11" xfId="16898" xr:uid="{00000000-0005-0000-0000-00007E410000}"/>
    <cellStyle name="Title 32 12" xfId="16896" xr:uid="{00000000-0005-0000-0000-00007F410000}"/>
    <cellStyle name="Title 32 2" xfId="16899" xr:uid="{00000000-0005-0000-0000-000080410000}"/>
    <cellStyle name="Title 32 2 2" xfId="16900" xr:uid="{00000000-0005-0000-0000-000081410000}"/>
    <cellStyle name="Title 32 2 2 2" xfId="16901" xr:uid="{00000000-0005-0000-0000-000082410000}"/>
    <cellStyle name="Title 32 2 3" xfId="16902" xr:uid="{00000000-0005-0000-0000-000083410000}"/>
    <cellStyle name="Title 32 2 3 2" xfId="16903" xr:uid="{00000000-0005-0000-0000-000084410000}"/>
    <cellStyle name="Title 32 2 4" xfId="16904" xr:uid="{00000000-0005-0000-0000-000085410000}"/>
    <cellStyle name="Title 32 2 5" xfId="16905" xr:uid="{00000000-0005-0000-0000-000086410000}"/>
    <cellStyle name="Title 32 3" xfId="16906" xr:uid="{00000000-0005-0000-0000-000087410000}"/>
    <cellStyle name="Title 32 3 2" xfId="16907" xr:uid="{00000000-0005-0000-0000-000088410000}"/>
    <cellStyle name="Title 32 3 2 2" xfId="16908" xr:uid="{00000000-0005-0000-0000-000089410000}"/>
    <cellStyle name="Title 32 3 3" xfId="16909" xr:uid="{00000000-0005-0000-0000-00008A410000}"/>
    <cellStyle name="Title 32 3 3 2" xfId="16910" xr:uid="{00000000-0005-0000-0000-00008B410000}"/>
    <cellStyle name="Title 32 3 4" xfId="16911" xr:uid="{00000000-0005-0000-0000-00008C410000}"/>
    <cellStyle name="Title 32 4" xfId="16912" xr:uid="{00000000-0005-0000-0000-00008D410000}"/>
    <cellStyle name="Title 32 4 2" xfId="16913" xr:uid="{00000000-0005-0000-0000-00008E410000}"/>
    <cellStyle name="Title 32 4 2 2" xfId="16914" xr:uid="{00000000-0005-0000-0000-00008F410000}"/>
    <cellStyle name="Title 32 4 3" xfId="16915" xr:uid="{00000000-0005-0000-0000-000090410000}"/>
    <cellStyle name="Title 32 4 3 2" xfId="16916" xr:uid="{00000000-0005-0000-0000-000091410000}"/>
    <cellStyle name="Title 32 4 4" xfId="16917" xr:uid="{00000000-0005-0000-0000-000092410000}"/>
    <cellStyle name="Title 32 5" xfId="16918" xr:uid="{00000000-0005-0000-0000-000093410000}"/>
    <cellStyle name="Title 32 5 2" xfId="16919" xr:uid="{00000000-0005-0000-0000-000094410000}"/>
    <cellStyle name="Title 32 5 2 2" xfId="16920" xr:uid="{00000000-0005-0000-0000-000095410000}"/>
    <cellStyle name="Title 32 5 3" xfId="16921" xr:uid="{00000000-0005-0000-0000-000096410000}"/>
    <cellStyle name="Title 32 5 3 2" xfId="16922" xr:uid="{00000000-0005-0000-0000-000097410000}"/>
    <cellStyle name="Title 32 5 4" xfId="16923" xr:uid="{00000000-0005-0000-0000-000098410000}"/>
    <cellStyle name="Title 32 5 4 2" xfId="16924" xr:uid="{00000000-0005-0000-0000-000099410000}"/>
    <cellStyle name="Title 32 5 5" xfId="16925" xr:uid="{00000000-0005-0000-0000-00009A410000}"/>
    <cellStyle name="Title 32 6" xfId="16926" xr:uid="{00000000-0005-0000-0000-00009B410000}"/>
    <cellStyle name="Title 32 6 2" xfId="16927" xr:uid="{00000000-0005-0000-0000-00009C410000}"/>
    <cellStyle name="Title 32 6 2 2" xfId="16928" xr:uid="{00000000-0005-0000-0000-00009D410000}"/>
    <cellStyle name="Title 32 6 3" xfId="16929" xr:uid="{00000000-0005-0000-0000-00009E410000}"/>
    <cellStyle name="Title 32 6 3 2" xfId="16930" xr:uid="{00000000-0005-0000-0000-00009F410000}"/>
    <cellStyle name="Title 32 6 4" xfId="16931" xr:uid="{00000000-0005-0000-0000-0000A0410000}"/>
    <cellStyle name="Title 32 7" xfId="16932" xr:uid="{00000000-0005-0000-0000-0000A1410000}"/>
    <cellStyle name="Title 32 7 2" xfId="16933" xr:uid="{00000000-0005-0000-0000-0000A2410000}"/>
    <cellStyle name="Title 32 8" xfId="16934" xr:uid="{00000000-0005-0000-0000-0000A3410000}"/>
    <cellStyle name="Title 32 8 2" xfId="16935" xr:uid="{00000000-0005-0000-0000-0000A4410000}"/>
    <cellStyle name="Title 32 9" xfId="16936" xr:uid="{00000000-0005-0000-0000-0000A5410000}"/>
    <cellStyle name="Title 32 9 2" xfId="16937" xr:uid="{00000000-0005-0000-0000-0000A6410000}"/>
    <cellStyle name="Title 33" xfId="3281" xr:uid="{00000000-0005-0000-0000-0000A7410000}"/>
    <cellStyle name="Title 33 10" xfId="16939" xr:uid="{00000000-0005-0000-0000-0000A8410000}"/>
    <cellStyle name="Title 33 11" xfId="16940" xr:uid="{00000000-0005-0000-0000-0000A9410000}"/>
    <cellStyle name="Title 33 12" xfId="16938" xr:uid="{00000000-0005-0000-0000-0000AA410000}"/>
    <cellStyle name="Title 33 2" xfId="16941" xr:uid="{00000000-0005-0000-0000-0000AB410000}"/>
    <cellStyle name="Title 33 2 2" xfId="16942" xr:uid="{00000000-0005-0000-0000-0000AC410000}"/>
    <cellStyle name="Title 33 2 2 2" xfId="16943" xr:uid="{00000000-0005-0000-0000-0000AD410000}"/>
    <cellStyle name="Title 33 2 3" xfId="16944" xr:uid="{00000000-0005-0000-0000-0000AE410000}"/>
    <cellStyle name="Title 33 2 3 2" xfId="16945" xr:uid="{00000000-0005-0000-0000-0000AF410000}"/>
    <cellStyle name="Title 33 2 4" xfId="16946" xr:uid="{00000000-0005-0000-0000-0000B0410000}"/>
    <cellStyle name="Title 33 2 5" xfId="16947" xr:uid="{00000000-0005-0000-0000-0000B1410000}"/>
    <cellStyle name="Title 33 3" xfId="16948" xr:uid="{00000000-0005-0000-0000-0000B2410000}"/>
    <cellStyle name="Title 33 3 2" xfId="16949" xr:uid="{00000000-0005-0000-0000-0000B3410000}"/>
    <cellStyle name="Title 33 3 2 2" xfId="16950" xr:uid="{00000000-0005-0000-0000-0000B4410000}"/>
    <cellStyle name="Title 33 3 3" xfId="16951" xr:uid="{00000000-0005-0000-0000-0000B5410000}"/>
    <cellStyle name="Title 33 3 3 2" xfId="16952" xr:uid="{00000000-0005-0000-0000-0000B6410000}"/>
    <cellStyle name="Title 33 3 4" xfId="16953" xr:uid="{00000000-0005-0000-0000-0000B7410000}"/>
    <cellStyle name="Title 33 4" xfId="16954" xr:uid="{00000000-0005-0000-0000-0000B8410000}"/>
    <cellStyle name="Title 33 4 2" xfId="16955" xr:uid="{00000000-0005-0000-0000-0000B9410000}"/>
    <cellStyle name="Title 33 4 2 2" xfId="16956" xr:uid="{00000000-0005-0000-0000-0000BA410000}"/>
    <cellStyle name="Title 33 4 3" xfId="16957" xr:uid="{00000000-0005-0000-0000-0000BB410000}"/>
    <cellStyle name="Title 33 4 3 2" xfId="16958" xr:uid="{00000000-0005-0000-0000-0000BC410000}"/>
    <cellStyle name="Title 33 4 4" xfId="16959" xr:uid="{00000000-0005-0000-0000-0000BD410000}"/>
    <cellStyle name="Title 33 5" xfId="16960" xr:uid="{00000000-0005-0000-0000-0000BE410000}"/>
    <cellStyle name="Title 33 5 2" xfId="16961" xr:uid="{00000000-0005-0000-0000-0000BF410000}"/>
    <cellStyle name="Title 33 5 2 2" xfId="16962" xr:uid="{00000000-0005-0000-0000-0000C0410000}"/>
    <cellStyle name="Title 33 5 3" xfId="16963" xr:uid="{00000000-0005-0000-0000-0000C1410000}"/>
    <cellStyle name="Title 33 5 3 2" xfId="16964" xr:uid="{00000000-0005-0000-0000-0000C2410000}"/>
    <cellStyle name="Title 33 5 4" xfId="16965" xr:uid="{00000000-0005-0000-0000-0000C3410000}"/>
    <cellStyle name="Title 33 5 4 2" xfId="16966" xr:uid="{00000000-0005-0000-0000-0000C4410000}"/>
    <cellStyle name="Title 33 5 5" xfId="16967" xr:uid="{00000000-0005-0000-0000-0000C5410000}"/>
    <cellStyle name="Title 33 6" xfId="16968" xr:uid="{00000000-0005-0000-0000-0000C6410000}"/>
    <cellStyle name="Title 33 6 2" xfId="16969" xr:uid="{00000000-0005-0000-0000-0000C7410000}"/>
    <cellStyle name="Title 33 6 2 2" xfId="16970" xr:uid="{00000000-0005-0000-0000-0000C8410000}"/>
    <cellStyle name="Title 33 6 3" xfId="16971" xr:uid="{00000000-0005-0000-0000-0000C9410000}"/>
    <cellStyle name="Title 33 6 3 2" xfId="16972" xr:uid="{00000000-0005-0000-0000-0000CA410000}"/>
    <cellStyle name="Title 33 6 4" xfId="16973" xr:uid="{00000000-0005-0000-0000-0000CB410000}"/>
    <cellStyle name="Title 33 7" xfId="16974" xr:uid="{00000000-0005-0000-0000-0000CC410000}"/>
    <cellStyle name="Title 33 7 2" xfId="16975" xr:uid="{00000000-0005-0000-0000-0000CD410000}"/>
    <cellStyle name="Title 33 8" xfId="16976" xr:uid="{00000000-0005-0000-0000-0000CE410000}"/>
    <cellStyle name="Title 33 8 2" xfId="16977" xr:uid="{00000000-0005-0000-0000-0000CF410000}"/>
    <cellStyle name="Title 33 9" xfId="16978" xr:uid="{00000000-0005-0000-0000-0000D0410000}"/>
    <cellStyle name="Title 33 9 2" xfId="16979" xr:uid="{00000000-0005-0000-0000-0000D1410000}"/>
    <cellStyle name="Title 34" xfId="3282" xr:uid="{00000000-0005-0000-0000-0000D2410000}"/>
    <cellStyle name="Title 34 10" xfId="16981" xr:uid="{00000000-0005-0000-0000-0000D3410000}"/>
    <cellStyle name="Title 34 11" xfId="16982" xr:uid="{00000000-0005-0000-0000-0000D4410000}"/>
    <cellStyle name="Title 34 12" xfId="16980" xr:uid="{00000000-0005-0000-0000-0000D5410000}"/>
    <cellStyle name="Title 34 2" xfId="16983" xr:uid="{00000000-0005-0000-0000-0000D6410000}"/>
    <cellStyle name="Title 34 2 2" xfId="16984" xr:uid="{00000000-0005-0000-0000-0000D7410000}"/>
    <cellStyle name="Title 34 2 2 2" xfId="16985" xr:uid="{00000000-0005-0000-0000-0000D8410000}"/>
    <cellStyle name="Title 34 2 3" xfId="16986" xr:uid="{00000000-0005-0000-0000-0000D9410000}"/>
    <cellStyle name="Title 34 2 3 2" xfId="16987" xr:uid="{00000000-0005-0000-0000-0000DA410000}"/>
    <cellStyle name="Title 34 2 4" xfId="16988" xr:uid="{00000000-0005-0000-0000-0000DB410000}"/>
    <cellStyle name="Title 34 2 5" xfId="16989" xr:uid="{00000000-0005-0000-0000-0000DC410000}"/>
    <cellStyle name="Title 34 3" xfId="16990" xr:uid="{00000000-0005-0000-0000-0000DD410000}"/>
    <cellStyle name="Title 34 3 2" xfId="16991" xr:uid="{00000000-0005-0000-0000-0000DE410000}"/>
    <cellStyle name="Title 34 3 2 2" xfId="16992" xr:uid="{00000000-0005-0000-0000-0000DF410000}"/>
    <cellStyle name="Title 34 3 3" xfId="16993" xr:uid="{00000000-0005-0000-0000-0000E0410000}"/>
    <cellStyle name="Title 34 3 3 2" xfId="16994" xr:uid="{00000000-0005-0000-0000-0000E1410000}"/>
    <cellStyle name="Title 34 3 4" xfId="16995" xr:uid="{00000000-0005-0000-0000-0000E2410000}"/>
    <cellStyle name="Title 34 4" xfId="16996" xr:uid="{00000000-0005-0000-0000-0000E3410000}"/>
    <cellStyle name="Title 34 4 2" xfId="16997" xr:uid="{00000000-0005-0000-0000-0000E4410000}"/>
    <cellStyle name="Title 34 4 2 2" xfId="16998" xr:uid="{00000000-0005-0000-0000-0000E5410000}"/>
    <cellStyle name="Title 34 4 3" xfId="16999" xr:uid="{00000000-0005-0000-0000-0000E6410000}"/>
    <cellStyle name="Title 34 4 3 2" xfId="17000" xr:uid="{00000000-0005-0000-0000-0000E7410000}"/>
    <cellStyle name="Title 34 4 4" xfId="17001" xr:uid="{00000000-0005-0000-0000-0000E8410000}"/>
    <cellStyle name="Title 34 5" xfId="17002" xr:uid="{00000000-0005-0000-0000-0000E9410000}"/>
    <cellStyle name="Title 34 5 2" xfId="17003" xr:uid="{00000000-0005-0000-0000-0000EA410000}"/>
    <cellStyle name="Title 34 5 2 2" xfId="17004" xr:uid="{00000000-0005-0000-0000-0000EB410000}"/>
    <cellStyle name="Title 34 5 3" xfId="17005" xr:uid="{00000000-0005-0000-0000-0000EC410000}"/>
    <cellStyle name="Title 34 5 3 2" xfId="17006" xr:uid="{00000000-0005-0000-0000-0000ED410000}"/>
    <cellStyle name="Title 34 5 4" xfId="17007" xr:uid="{00000000-0005-0000-0000-0000EE410000}"/>
    <cellStyle name="Title 34 5 4 2" xfId="17008" xr:uid="{00000000-0005-0000-0000-0000EF410000}"/>
    <cellStyle name="Title 34 5 5" xfId="17009" xr:uid="{00000000-0005-0000-0000-0000F0410000}"/>
    <cellStyle name="Title 34 6" xfId="17010" xr:uid="{00000000-0005-0000-0000-0000F1410000}"/>
    <cellStyle name="Title 34 6 2" xfId="17011" xr:uid="{00000000-0005-0000-0000-0000F2410000}"/>
    <cellStyle name="Title 34 6 2 2" xfId="17012" xr:uid="{00000000-0005-0000-0000-0000F3410000}"/>
    <cellStyle name="Title 34 6 3" xfId="17013" xr:uid="{00000000-0005-0000-0000-0000F4410000}"/>
    <cellStyle name="Title 34 6 3 2" xfId="17014" xr:uid="{00000000-0005-0000-0000-0000F5410000}"/>
    <cellStyle name="Title 34 6 4" xfId="17015" xr:uid="{00000000-0005-0000-0000-0000F6410000}"/>
    <cellStyle name="Title 34 7" xfId="17016" xr:uid="{00000000-0005-0000-0000-0000F7410000}"/>
    <cellStyle name="Title 34 7 2" xfId="17017" xr:uid="{00000000-0005-0000-0000-0000F8410000}"/>
    <cellStyle name="Title 34 8" xfId="17018" xr:uid="{00000000-0005-0000-0000-0000F9410000}"/>
    <cellStyle name="Title 34 8 2" xfId="17019" xr:uid="{00000000-0005-0000-0000-0000FA410000}"/>
    <cellStyle name="Title 34 9" xfId="17020" xr:uid="{00000000-0005-0000-0000-0000FB410000}"/>
    <cellStyle name="Title 34 9 2" xfId="17021" xr:uid="{00000000-0005-0000-0000-0000FC410000}"/>
    <cellStyle name="Title 35" xfId="3283" xr:uid="{00000000-0005-0000-0000-0000FD410000}"/>
    <cellStyle name="Title 35 10" xfId="17023" xr:uid="{00000000-0005-0000-0000-0000FE410000}"/>
    <cellStyle name="Title 35 11" xfId="17024" xr:uid="{00000000-0005-0000-0000-0000FF410000}"/>
    <cellStyle name="Title 35 12" xfId="17022" xr:uid="{00000000-0005-0000-0000-000000420000}"/>
    <cellStyle name="Title 35 2" xfId="17025" xr:uid="{00000000-0005-0000-0000-000001420000}"/>
    <cellStyle name="Title 35 2 2" xfId="17026" xr:uid="{00000000-0005-0000-0000-000002420000}"/>
    <cellStyle name="Title 35 2 2 2" xfId="17027" xr:uid="{00000000-0005-0000-0000-000003420000}"/>
    <cellStyle name="Title 35 2 3" xfId="17028" xr:uid="{00000000-0005-0000-0000-000004420000}"/>
    <cellStyle name="Title 35 2 3 2" xfId="17029" xr:uid="{00000000-0005-0000-0000-000005420000}"/>
    <cellStyle name="Title 35 2 4" xfId="17030" xr:uid="{00000000-0005-0000-0000-000006420000}"/>
    <cellStyle name="Title 35 2 5" xfId="17031" xr:uid="{00000000-0005-0000-0000-000007420000}"/>
    <cellStyle name="Title 35 3" xfId="17032" xr:uid="{00000000-0005-0000-0000-000008420000}"/>
    <cellStyle name="Title 35 3 2" xfId="17033" xr:uid="{00000000-0005-0000-0000-000009420000}"/>
    <cellStyle name="Title 35 3 2 2" xfId="17034" xr:uid="{00000000-0005-0000-0000-00000A420000}"/>
    <cellStyle name="Title 35 3 3" xfId="17035" xr:uid="{00000000-0005-0000-0000-00000B420000}"/>
    <cellStyle name="Title 35 3 3 2" xfId="17036" xr:uid="{00000000-0005-0000-0000-00000C420000}"/>
    <cellStyle name="Title 35 3 4" xfId="17037" xr:uid="{00000000-0005-0000-0000-00000D420000}"/>
    <cellStyle name="Title 35 4" xfId="17038" xr:uid="{00000000-0005-0000-0000-00000E420000}"/>
    <cellStyle name="Title 35 4 2" xfId="17039" xr:uid="{00000000-0005-0000-0000-00000F420000}"/>
    <cellStyle name="Title 35 4 2 2" xfId="17040" xr:uid="{00000000-0005-0000-0000-000010420000}"/>
    <cellStyle name="Title 35 4 3" xfId="17041" xr:uid="{00000000-0005-0000-0000-000011420000}"/>
    <cellStyle name="Title 35 4 3 2" xfId="17042" xr:uid="{00000000-0005-0000-0000-000012420000}"/>
    <cellStyle name="Title 35 4 4" xfId="17043" xr:uid="{00000000-0005-0000-0000-000013420000}"/>
    <cellStyle name="Title 35 5" xfId="17044" xr:uid="{00000000-0005-0000-0000-000014420000}"/>
    <cellStyle name="Title 35 5 2" xfId="17045" xr:uid="{00000000-0005-0000-0000-000015420000}"/>
    <cellStyle name="Title 35 5 2 2" xfId="17046" xr:uid="{00000000-0005-0000-0000-000016420000}"/>
    <cellStyle name="Title 35 5 3" xfId="17047" xr:uid="{00000000-0005-0000-0000-000017420000}"/>
    <cellStyle name="Title 35 5 3 2" xfId="17048" xr:uid="{00000000-0005-0000-0000-000018420000}"/>
    <cellStyle name="Title 35 5 4" xfId="17049" xr:uid="{00000000-0005-0000-0000-000019420000}"/>
    <cellStyle name="Title 35 5 4 2" xfId="17050" xr:uid="{00000000-0005-0000-0000-00001A420000}"/>
    <cellStyle name="Title 35 5 5" xfId="17051" xr:uid="{00000000-0005-0000-0000-00001B420000}"/>
    <cellStyle name="Title 35 6" xfId="17052" xr:uid="{00000000-0005-0000-0000-00001C420000}"/>
    <cellStyle name="Title 35 6 2" xfId="17053" xr:uid="{00000000-0005-0000-0000-00001D420000}"/>
    <cellStyle name="Title 35 6 2 2" xfId="17054" xr:uid="{00000000-0005-0000-0000-00001E420000}"/>
    <cellStyle name="Title 35 6 3" xfId="17055" xr:uid="{00000000-0005-0000-0000-00001F420000}"/>
    <cellStyle name="Title 35 6 3 2" xfId="17056" xr:uid="{00000000-0005-0000-0000-000020420000}"/>
    <cellStyle name="Title 35 6 4" xfId="17057" xr:uid="{00000000-0005-0000-0000-000021420000}"/>
    <cellStyle name="Title 35 7" xfId="17058" xr:uid="{00000000-0005-0000-0000-000022420000}"/>
    <cellStyle name="Title 35 7 2" xfId="17059" xr:uid="{00000000-0005-0000-0000-000023420000}"/>
    <cellStyle name="Title 35 8" xfId="17060" xr:uid="{00000000-0005-0000-0000-000024420000}"/>
    <cellStyle name="Title 35 8 2" xfId="17061" xr:uid="{00000000-0005-0000-0000-000025420000}"/>
    <cellStyle name="Title 35 9" xfId="17062" xr:uid="{00000000-0005-0000-0000-000026420000}"/>
    <cellStyle name="Title 35 9 2" xfId="17063" xr:uid="{00000000-0005-0000-0000-000027420000}"/>
    <cellStyle name="Title 36" xfId="3284" xr:uid="{00000000-0005-0000-0000-000028420000}"/>
    <cellStyle name="Title 36 10" xfId="17065" xr:uid="{00000000-0005-0000-0000-000029420000}"/>
    <cellStyle name="Title 36 11" xfId="17066" xr:uid="{00000000-0005-0000-0000-00002A420000}"/>
    <cellStyle name="Title 36 12" xfId="17064" xr:uid="{00000000-0005-0000-0000-00002B420000}"/>
    <cellStyle name="Title 36 2" xfId="17067" xr:uid="{00000000-0005-0000-0000-00002C420000}"/>
    <cellStyle name="Title 36 2 2" xfId="17068" xr:uid="{00000000-0005-0000-0000-00002D420000}"/>
    <cellStyle name="Title 36 2 2 2" xfId="17069" xr:uid="{00000000-0005-0000-0000-00002E420000}"/>
    <cellStyle name="Title 36 2 3" xfId="17070" xr:uid="{00000000-0005-0000-0000-00002F420000}"/>
    <cellStyle name="Title 36 2 3 2" xfId="17071" xr:uid="{00000000-0005-0000-0000-000030420000}"/>
    <cellStyle name="Title 36 2 4" xfId="17072" xr:uid="{00000000-0005-0000-0000-000031420000}"/>
    <cellStyle name="Title 36 2 5" xfId="17073" xr:uid="{00000000-0005-0000-0000-000032420000}"/>
    <cellStyle name="Title 36 3" xfId="17074" xr:uid="{00000000-0005-0000-0000-000033420000}"/>
    <cellStyle name="Title 36 3 2" xfId="17075" xr:uid="{00000000-0005-0000-0000-000034420000}"/>
    <cellStyle name="Title 36 3 2 2" xfId="17076" xr:uid="{00000000-0005-0000-0000-000035420000}"/>
    <cellStyle name="Title 36 3 3" xfId="17077" xr:uid="{00000000-0005-0000-0000-000036420000}"/>
    <cellStyle name="Title 36 3 3 2" xfId="17078" xr:uid="{00000000-0005-0000-0000-000037420000}"/>
    <cellStyle name="Title 36 3 4" xfId="17079" xr:uid="{00000000-0005-0000-0000-000038420000}"/>
    <cellStyle name="Title 36 4" xfId="17080" xr:uid="{00000000-0005-0000-0000-000039420000}"/>
    <cellStyle name="Title 36 4 2" xfId="17081" xr:uid="{00000000-0005-0000-0000-00003A420000}"/>
    <cellStyle name="Title 36 4 2 2" xfId="17082" xr:uid="{00000000-0005-0000-0000-00003B420000}"/>
    <cellStyle name="Title 36 4 3" xfId="17083" xr:uid="{00000000-0005-0000-0000-00003C420000}"/>
    <cellStyle name="Title 36 4 3 2" xfId="17084" xr:uid="{00000000-0005-0000-0000-00003D420000}"/>
    <cellStyle name="Title 36 4 4" xfId="17085" xr:uid="{00000000-0005-0000-0000-00003E420000}"/>
    <cellStyle name="Title 36 5" xfId="17086" xr:uid="{00000000-0005-0000-0000-00003F420000}"/>
    <cellStyle name="Title 36 5 2" xfId="17087" xr:uid="{00000000-0005-0000-0000-000040420000}"/>
    <cellStyle name="Title 36 5 2 2" xfId="17088" xr:uid="{00000000-0005-0000-0000-000041420000}"/>
    <cellStyle name="Title 36 5 3" xfId="17089" xr:uid="{00000000-0005-0000-0000-000042420000}"/>
    <cellStyle name="Title 36 5 3 2" xfId="17090" xr:uid="{00000000-0005-0000-0000-000043420000}"/>
    <cellStyle name="Title 36 5 4" xfId="17091" xr:uid="{00000000-0005-0000-0000-000044420000}"/>
    <cellStyle name="Title 36 5 4 2" xfId="17092" xr:uid="{00000000-0005-0000-0000-000045420000}"/>
    <cellStyle name="Title 36 5 5" xfId="17093" xr:uid="{00000000-0005-0000-0000-000046420000}"/>
    <cellStyle name="Title 36 6" xfId="17094" xr:uid="{00000000-0005-0000-0000-000047420000}"/>
    <cellStyle name="Title 36 6 2" xfId="17095" xr:uid="{00000000-0005-0000-0000-000048420000}"/>
    <cellStyle name="Title 36 6 2 2" xfId="17096" xr:uid="{00000000-0005-0000-0000-000049420000}"/>
    <cellStyle name="Title 36 6 3" xfId="17097" xr:uid="{00000000-0005-0000-0000-00004A420000}"/>
    <cellStyle name="Title 36 6 3 2" xfId="17098" xr:uid="{00000000-0005-0000-0000-00004B420000}"/>
    <cellStyle name="Title 36 6 4" xfId="17099" xr:uid="{00000000-0005-0000-0000-00004C420000}"/>
    <cellStyle name="Title 36 7" xfId="17100" xr:uid="{00000000-0005-0000-0000-00004D420000}"/>
    <cellStyle name="Title 36 7 2" xfId="17101" xr:uid="{00000000-0005-0000-0000-00004E420000}"/>
    <cellStyle name="Title 36 8" xfId="17102" xr:uid="{00000000-0005-0000-0000-00004F420000}"/>
    <cellStyle name="Title 36 8 2" xfId="17103" xr:uid="{00000000-0005-0000-0000-000050420000}"/>
    <cellStyle name="Title 36 9" xfId="17104" xr:uid="{00000000-0005-0000-0000-000051420000}"/>
    <cellStyle name="Title 36 9 2" xfId="17105" xr:uid="{00000000-0005-0000-0000-000052420000}"/>
    <cellStyle name="Title 37" xfId="3285" xr:uid="{00000000-0005-0000-0000-000053420000}"/>
    <cellStyle name="Title 37 10" xfId="17107" xr:uid="{00000000-0005-0000-0000-000054420000}"/>
    <cellStyle name="Title 37 11" xfId="17108" xr:uid="{00000000-0005-0000-0000-000055420000}"/>
    <cellStyle name="Title 37 12" xfId="17106" xr:uid="{00000000-0005-0000-0000-000056420000}"/>
    <cellStyle name="Title 37 2" xfId="17109" xr:uid="{00000000-0005-0000-0000-000057420000}"/>
    <cellStyle name="Title 37 2 2" xfId="17110" xr:uid="{00000000-0005-0000-0000-000058420000}"/>
    <cellStyle name="Title 37 2 2 2" xfId="17111" xr:uid="{00000000-0005-0000-0000-000059420000}"/>
    <cellStyle name="Title 37 2 3" xfId="17112" xr:uid="{00000000-0005-0000-0000-00005A420000}"/>
    <cellStyle name="Title 37 2 3 2" xfId="17113" xr:uid="{00000000-0005-0000-0000-00005B420000}"/>
    <cellStyle name="Title 37 2 4" xfId="17114" xr:uid="{00000000-0005-0000-0000-00005C420000}"/>
    <cellStyle name="Title 37 2 5" xfId="17115" xr:uid="{00000000-0005-0000-0000-00005D420000}"/>
    <cellStyle name="Title 37 3" xfId="17116" xr:uid="{00000000-0005-0000-0000-00005E420000}"/>
    <cellStyle name="Title 37 3 2" xfId="17117" xr:uid="{00000000-0005-0000-0000-00005F420000}"/>
    <cellStyle name="Title 37 3 2 2" xfId="17118" xr:uid="{00000000-0005-0000-0000-000060420000}"/>
    <cellStyle name="Title 37 3 3" xfId="17119" xr:uid="{00000000-0005-0000-0000-000061420000}"/>
    <cellStyle name="Title 37 3 3 2" xfId="17120" xr:uid="{00000000-0005-0000-0000-000062420000}"/>
    <cellStyle name="Title 37 3 4" xfId="17121" xr:uid="{00000000-0005-0000-0000-000063420000}"/>
    <cellStyle name="Title 37 4" xfId="17122" xr:uid="{00000000-0005-0000-0000-000064420000}"/>
    <cellStyle name="Title 37 4 2" xfId="17123" xr:uid="{00000000-0005-0000-0000-000065420000}"/>
    <cellStyle name="Title 37 4 2 2" xfId="17124" xr:uid="{00000000-0005-0000-0000-000066420000}"/>
    <cellStyle name="Title 37 4 3" xfId="17125" xr:uid="{00000000-0005-0000-0000-000067420000}"/>
    <cellStyle name="Title 37 4 3 2" xfId="17126" xr:uid="{00000000-0005-0000-0000-000068420000}"/>
    <cellStyle name="Title 37 4 4" xfId="17127" xr:uid="{00000000-0005-0000-0000-000069420000}"/>
    <cellStyle name="Title 37 5" xfId="17128" xr:uid="{00000000-0005-0000-0000-00006A420000}"/>
    <cellStyle name="Title 37 5 2" xfId="17129" xr:uid="{00000000-0005-0000-0000-00006B420000}"/>
    <cellStyle name="Title 37 5 2 2" xfId="17130" xr:uid="{00000000-0005-0000-0000-00006C420000}"/>
    <cellStyle name="Title 37 5 3" xfId="17131" xr:uid="{00000000-0005-0000-0000-00006D420000}"/>
    <cellStyle name="Title 37 5 3 2" xfId="17132" xr:uid="{00000000-0005-0000-0000-00006E420000}"/>
    <cellStyle name="Title 37 5 4" xfId="17133" xr:uid="{00000000-0005-0000-0000-00006F420000}"/>
    <cellStyle name="Title 37 5 4 2" xfId="17134" xr:uid="{00000000-0005-0000-0000-000070420000}"/>
    <cellStyle name="Title 37 5 5" xfId="17135" xr:uid="{00000000-0005-0000-0000-000071420000}"/>
    <cellStyle name="Title 37 6" xfId="17136" xr:uid="{00000000-0005-0000-0000-000072420000}"/>
    <cellStyle name="Title 37 6 2" xfId="17137" xr:uid="{00000000-0005-0000-0000-000073420000}"/>
    <cellStyle name="Title 37 6 2 2" xfId="17138" xr:uid="{00000000-0005-0000-0000-000074420000}"/>
    <cellStyle name="Title 37 6 3" xfId="17139" xr:uid="{00000000-0005-0000-0000-000075420000}"/>
    <cellStyle name="Title 37 6 3 2" xfId="17140" xr:uid="{00000000-0005-0000-0000-000076420000}"/>
    <cellStyle name="Title 37 6 4" xfId="17141" xr:uid="{00000000-0005-0000-0000-000077420000}"/>
    <cellStyle name="Title 37 7" xfId="17142" xr:uid="{00000000-0005-0000-0000-000078420000}"/>
    <cellStyle name="Title 37 7 2" xfId="17143" xr:uid="{00000000-0005-0000-0000-000079420000}"/>
    <cellStyle name="Title 37 8" xfId="17144" xr:uid="{00000000-0005-0000-0000-00007A420000}"/>
    <cellStyle name="Title 37 8 2" xfId="17145" xr:uid="{00000000-0005-0000-0000-00007B420000}"/>
    <cellStyle name="Title 37 9" xfId="17146" xr:uid="{00000000-0005-0000-0000-00007C420000}"/>
    <cellStyle name="Title 37 9 2" xfId="17147" xr:uid="{00000000-0005-0000-0000-00007D420000}"/>
    <cellStyle name="Title 38" xfId="3286" xr:uid="{00000000-0005-0000-0000-00007E420000}"/>
    <cellStyle name="Title 38 10" xfId="17149" xr:uid="{00000000-0005-0000-0000-00007F420000}"/>
    <cellStyle name="Title 38 11" xfId="17150" xr:uid="{00000000-0005-0000-0000-000080420000}"/>
    <cellStyle name="Title 38 12" xfId="17148" xr:uid="{00000000-0005-0000-0000-000081420000}"/>
    <cellStyle name="Title 38 2" xfId="17151" xr:uid="{00000000-0005-0000-0000-000082420000}"/>
    <cellStyle name="Title 38 2 2" xfId="17152" xr:uid="{00000000-0005-0000-0000-000083420000}"/>
    <cellStyle name="Title 38 2 2 2" xfId="17153" xr:uid="{00000000-0005-0000-0000-000084420000}"/>
    <cellStyle name="Title 38 2 3" xfId="17154" xr:uid="{00000000-0005-0000-0000-000085420000}"/>
    <cellStyle name="Title 38 2 3 2" xfId="17155" xr:uid="{00000000-0005-0000-0000-000086420000}"/>
    <cellStyle name="Title 38 2 4" xfId="17156" xr:uid="{00000000-0005-0000-0000-000087420000}"/>
    <cellStyle name="Title 38 2 5" xfId="17157" xr:uid="{00000000-0005-0000-0000-000088420000}"/>
    <cellStyle name="Title 38 3" xfId="17158" xr:uid="{00000000-0005-0000-0000-000089420000}"/>
    <cellStyle name="Title 38 3 2" xfId="17159" xr:uid="{00000000-0005-0000-0000-00008A420000}"/>
    <cellStyle name="Title 38 3 2 2" xfId="17160" xr:uid="{00000000-0005-0000-0000-00008B420000}"/>
    <cellStyle name="Title 38 3 3" xfId="17161" xr:uid="{00000000-0005-0000-0000-00008C420000}"/>
    <cellStyle name="Title 38 3 3 2" xfId="17162" xr:uid="{00000000-0005-0000-0000-00008D420000}"/>
    <cellStyle name="Title 38 3 4" xfId="17163" xr:uid="{00000000-0005-0000-0000-00008E420000}"/>
    <cellStyle name="Title 38 4" xfId="17164" xr:uid="{00000000-0005-0000-0000-00008F420000}"/>
    <cellStyle name="Title 38 4 2" xfId="17165" xr:uid="{00000000-0005-0000-0000-000090420000}"/>
    <cellStyle name="Title 38 4 2 2" xfId="17166" xr:uid="{00000000-0005-0000-0000-000091420000}"/>
    <cellStyle name="Title 38 4 3" xfId="17167" xr:uid="{00000000-0005-0000-0000-000092420000}"/>
    <cellStyle name="Title 38 4 3 2" xfId="17168" xr:uid="{00000000-0005-0000-0000-000093420000}"/>
    <cellStyle name="Title 38 4 4" xfId="17169" xr:uid="{00000000-0005-0000-0000-000094420000}"/>
    <cellStyle name="Title 38 5" xfId="17170" xr:uid="{00000000-0005-0000-0000-000095420000}"/>
    <cellStyle name="Title 38 5 2" xfId="17171" xr:uid="{00000000-0005-0000-0000-000096420000}"/>
    <cellStyle name="Title 38 5 2 2" xfId="17172" xr:uid="{00000000-0005-0000-0000-000097420000}"/>
    <cellStyle name="Title 38 5 3" xfId="17173" xr:uid="{00000000-0005-0000-0000-000098420000}"/>
    <cellStyle name="Title 38 5 3 2" xfId="17174" xr:uid="{00000000-0005-0000-0000-000099420000}"/>
    <cellStyle name="Title 38 5 4" xfId="17175" xr:uid="{00000000-0005-0000-0000-00009A420000}"/>
    <cellStyle name="Title 38 5 4 2" xfId="17176" xr:uid="{00000000-0005-0000-0000-00009B420000}"/>
    <cellStyle name="Title 38 5 5" xfId="17177" xr:uid="{00000000-0005-0000-0000-00009C420000}"/>
    <cellStyle name="Title 38 6" xfId="17178" xr:uid="{00000000-0005-0000-0000-00009D420000}"/>
    <cellStyle name="Title 38 6 2" xfId="17179" xr:uid="{00000000-0005-0000-0000-00009E420000}"/>
    <cellStyle name="Title 38 6 2 2" xfId="17180" xr:uid="{00000000-0005-0000-0000-00009F420000}"/>
    <cellStyle name="Title 38 6 3" xfId="17181" xr:uid="{00000000-0005-0000-0000-0000A0420000}"/>
    <cellStyle name="Title 38 6 3 2" xfId="17182" xr:uid="{00000000-0005-0000-0000-0000A1420000}"/>
    <cellStyle name="Title 38 6 4" xfId="17183" xr:uid="{00000000-0005-0000-0000-0000A2420000}"/>
    <cellStyle name="Title 38 7" xfId="17184" xr:uid="{00000000-0005-0000-0000-0000A3420000}"/>
    <cellStyle name="Title 38 7 2" xfId="17185" xr:uid="{00000000-0005-0000-0000-0000A4420000}"/>
    <cellStyle name="Title 38 8" xfId="17186" xr:uid="{00000000-0005-0000-0000-0000A5420000}"/>
    <cellStyle name="Title 38 8 2" xfId="17187" xr:uid="{00000000-0005-0000-0000-0000A6420000}"/>
    <cellStyle name="Title 38 9" xfId="17188" xr:uid="{00000000-0005-0000-0000-0000A7420000}"/>
    <cellStyle name="Title 38 9 2" xfId="17189" xr:uid="{00000000-0005-0000-0000-0000A8420000}"/>
    <cellStyle name="Title 39" xfId="3287" xr:uid="{00000000-0005-0000-0000-0000A9420000}"/>
    <cellStyle name="Title 39 10" xfId="17191" xr:uid="{00000000-0005-0000-0000-0000AA420000}"/>
    <cellStyle name="Title 39 11" xfId="17192" xr:uid="{00000000-0005-0000-0000-0000AB420000}"/>
    <cellStyle name="Title 39 12" xfId="17190" xr:uid="{00000000-0005-0000-0000-0000AC420000}"/>
    <cellStyle name="Title 39 2" xfId="17193" xr:uid="{00000000-0005-0000-0000-0000AD420000}"/>
    <cellStyle name="Title 39 2 2" xfId="17194" xr:uid="{00000000-0005-0000-0000-0000AE420000}"/>
    <cellStyle name="Title 39 2 2 2" xfId="17195" xr:uid="{00000000-0005-0000-0000-0000AF420000}"/>
    <cellStyle name="Title 39 2 3" xfId="17196" xr:uid="{00000000-0005-0000-0000-0000B0420000}"/>
    <cellStyle name="Title 39 2 3 2" xfId="17197" xr:uid="{00000000-0005-0000-0000-0000B1420000}"/>
    <cellStyle name="Title 39 2 4" xfId="17198" xr:uid="{00000000-0005-0000-0000-0000B2420000}"/>
    <cellStyle name="Title 39 2 5" xfId="17199" xr:uid="{00000000-0005-0000-0000-0000B3420000}"/>
    <cellStyle name="Title 39 3" xfId="17200" xr:uid="{00000000-0005-0000-0000-0000B4420000}"/>
    <cellStyle name="Title 39 3 2" xfId="17201" xr:uid="{00000000-0005-0000-0000-0000B5420000}"/>
    <cellStyle name="Title 39 3 2 2" xfId="17202" xr:uid="{00000000-0005-0000-0000-0000B6420000}"/>
    <cellStyle name="Title 39 3 3" xfId="17203" xr:uid="{00000000-0005-0000-0000-0000B7420000}"/>
    <cellStyle name="Title 39 3 3 2" xfId="17204" xr:uid="{00000000-0005-0000-0000-0000B8420000}"/>
    <cellStyle name="Title 39 3 4" xfId="17205" xr:uid="{00000000-0005-0000-0000-0000B9420000}"/>
    <cellStyle name="Title 39 4" xfId="17206" xr:uid="{00000000-0005-0000-0000-0000BA420000}"/>
    <cellStyle name="Title 39 4 2" xfId="17207" xr:uid="{00000000-0005-0000-0000-0000BB420000}"/>
    <cellStyle name="Title 39 4 2 2" xfId="17208" xr:uid="{00000000-0005-0000-0000-0000BC420000}"/>
    <cellStyle name="Title 39 4 3" xfId="17209" xr:uid="{00000000-0005-0000-0000-0000BD420000}"/>
    <cellStyle name="Title 39 4 3 2" xfId="17210" xr:uid="{00000000-0005-0000-0000-0000BE420000}"/>
    <cellStyle name="Title 39 4 4" xfId="17211" xr:uid="{00000000-0005-0000-0000-0000BF420000}"/>
    <cellStyle name="Title 39 5" xfId="17212" xr:uid="{00000000-0005-0000-0000-0000C0420000}"/>
    <cellStyle name="Title 39 5 2" xfId="17213" xr:uid="{00000000-0005-0000-0000-0000C1420000}"/>
    <cellStyle name="Title 39 5 2 2" xfId="17214" xr:uid="{00000000-0005-0000-0000-0000C2420000}"/>
    <cellStyle name="Title 39 5 3" xfId="17215" xr:uid="{00000000-0005-0000-0000-0000C3420000}"/>
    <cellStyle name="Title 39 5 3 2" xfId="17216" xr:uid="{00000000-0005-0000-0000-0000C4420000}"/>
    <cellStyle name="Title 39 5 4" xfId="17217" xr:uid="{00000000-0005-0000-0000-0000C5420000}"/>
    <cellStyle name="Title 39 5 4 2" xfId="17218" xr:uid="{00000000-0005-0000-0000-0000C6420000}"/>
    <cellStyle name="Title 39 5 5" xfId="17219" xr:uid="{00000000-0005-0000-0000-0000C7420000}"/>
    <cellStyle name="Title 39 6" xfId="17220" xr:uid="{00000000-0005-0000-0000-0000C8420000}"/>
    <cellStyle name="Title 39 6 2" xfId="17221" xr:uid="{00000000-0005-0000-0000-0000C9420000}"/>
    <cellStyle name="Title 39 6 2 2" xfId="17222" xr:uid="{00000000-0005-0000-0000-0000CA420000}"/>
    <cellStyle name="Title 39 6 3" xfId="17223" xr:uid="{00000000-0005-0000-0000-0000CB420000}"/>
    <cellStyle name="Title 39 6 3 2" xfId="17224" xr:uid="{00000000-0005-0000-0000-0000CC420000}"/>
    <cellStyle name="Title 39 6 4" xfId="17225" xr:uid="{00000000-0005-0000-0000-0000CD420000}"/>
    <cellStyle name="Title 39 7" xfId="17226" xr:uid="{00000000-0005-0000-0000-0000CE420000}"/>
    <cellStyle name="Title 39 7 2" xfId="17227" xr:uid="{00000000-0005-0000-0000-0000CF420000}"/>
    <cellStyle name="Title 39 8" xfId="17228" xr:uid="{00000000-0005-0000-0000-0000D0420000}"/>
    <cellStyle name="Title 39 8 2" xfId="17229" xr:uid="{00000000-0005-0000-0000-0000D1420000}"/>
    <cellStyle name="Title 39 9" xfId="17230" xr:uid="{00000000-0005-0000-0000-0000D2420000}"/>
    <cellStyle name="Title 39 9 2" xfId="17231" xr:uid="{00000000-0005-0000-0000-0000D3420000}"/>
    <cellStyle name="Title 4" xfId="3288" xr:uid="{00000000-0005-0000-0000-0000D4420000}"/>
    <cellStyle name="Title 4 10" xfId="17233" xr:uid="{00000000-0005-0000-0000-0000D5420000}"/>
    <cellStyle name="Title 4 10 2" xfId="17234" xr:uid="{00000000-0005-0000-0000-0000D6420000}"/>
    <cellStyle name="Title 4 11" xfId="17235" xr:uid="{00000000-0005-0000-0000-0000D7420000}"/>
    <cellStyle name="Title 4 12" xfId="17236" xr:uid="{00000000-0005-0000-0000-0000D8420000}"/>
    <cellStyle name="Title 4 13" xfId="17232" xr:uid="{00000000-0005-0000-0000-0000D9420000}"/>
    <cellStyle name="Title 4 2" xfId="17237" xr:uid="{00000000-0005-0000-0000-0000DA420000}"/>
    <cellStyle name="Title 4 2 10" xfId="17238" xr:uid="{00000000-0005-0000-0000-0000DB420000}"/>
    <cellStyle name="Title 4 2 2" xfId="17239" xr:uid="{00000000-0005-0000-0000-0000DC420000}"/>
    <cellStyle name="Title 4 2 2 2" xfId="17240" xr:uid="{00000000-0005-0000-0000-0000DD420000}"/>
    <cellStyle name="Title 4 2 2 2 2" xfId="17241" xr:uid="{00000000-0005-0000-0000-0000DE420000}"/>
    <cellStyle name="Title 4 2 2 3" xfId="17242" xr:uid="{00000000-0005-0000-0000-0000DF420000}"/>
    <cellStyle name="Title 4 2 2 3 2" xfId="17243" xr:uid="{00000000-0005-0000-0000-0000E0420000}"/>
    <cellStyle name="Title 4 2 2 4" xfId="17244" xr:uid="{00000000-0005-0000-0000-0000E1420000}"/>
    <cellStyle name="Title 4 2 3" xfId="17245" xr:uid="{00000000-0005-0000-0000-0000E2420000}"/>
    <cellStyle name="Title 4 2 3 2" xfId="17246" xr:uid="{00000000-0005-0000-0000-0000E3420000}"/>
    <cellStyle name="Title 4 2 3 2 2" xfId="17247" xr:uid="{00000000-0005-0000-0000-0000E4420000}"/>
    <cellStyle name="Title 4 2 3 3" xfId="17248" xr:uid="{00000000-0005-0000-0000-0000E5420000}"/>
    <cellStyle name="Title 4 2 3 3 2" xfId="17249" xr:uid="{00000000-0005-0000-0000-0000E6420000}"/>
    <cellStyle name="Title 4 2 3 4" xfId="17250" xr:uid="{00000000-0005-0000-0000-0000E7420000}"/>
    <cellStyle name="Title 4 2 4" xfId="17251" xr:uid="{00000000-0005-0000-0000-0000E8420000}"/>
    <cellStyle name="Title 4 2 4 2" xfId="17252" xr:uid="{00000000-0005-0000-0000-0000E9420000}"/>
    <cellStyle name="Title 4 2 4 2 2" xfId="17253" xr:uid="{00000000-0005-0000-0000-0000EA420000}"/>
    <cellStyle name="Title 4 2 4 3" xfId="17254" xr:uid="{00000000-0005-0000-0000-0000EB420000}"/>
    <cellStyle name="Title 4 2 4 3 2" xfId="17255" xr:uid="{00000000-0005-0000-0000-0000EC420000}"/>
    <cellStyle name="Title 4 2 4 4" xfId="17256" xr:uid="{00000000-0005-0000-0000-0000ED420000}"/>
    <cellStyle name="Title 4 2 4 4 2" xfId="17257" xr:uid="{00000000-0005-0000-0000-0000EE420000}"/>
    <cellStyle name="Title 4 2 4 5" xfId="17258" xr:uid="{00000000-0005-0000-0000-0000EF420000}"/>
    <cellStyle name="Title 4 2 5" xfId="17259" xr:uid="{00000000-0005-0000-0000-0000F0420000}"/>
    <cellStyle name="Title 4 2 5 2" xfId="17260" xr:uid="{00000000-0005-0000-0000-0000F1420000}"/>
    <cellStyle name="Title 4 2 5 2 2" xfId="17261" xr:uid="{00000000-0005-0000-0000-0000F2420000}"/>
    <cellStyle name="Title 4 2 5 3" xfId="17262" xr:uid="{00000000-0005-0000-0000-0000F3420000}"/>
    <cellStyle name="Title 4 2 5 3 2" xfId="17263" xr:uid="{00000000-0005-0000-0000-0000F4420000}"/>
    <cellStyle name="Title 4 2 5 4" xfId="17264" xr:uid="{00000000-0005-0000-0000-0000F5420000}"/>
    <cellStyle name="Title 4 2 6" xfId="17265" xr:uid="{00000000-0005-0000-0000-0000F6420000}"/>
    <cellStyle name="Title 4 2 6 2" xfId="17266" xr:uid="{00000000-0005-0000-0000-0000F7420000}"/>
    <cellStyle name="Title 4 2 7" xfId="17267" xr:uid="{00000000-0005-0000-0000-0000F8420000}"/>
    <cellStyle name="Title 4 2 7 2" xfId="17268" xr:uid="{00000000-0005-0000-0000-0000F9420000}"/>
    <cellStyle name="Title 4 2 8" xfId="17269" xr:uid="{00000000-0005-0000-0000-0000FA420000}"/>
    <cellStyle name="Title 4 2 8 2" xfId="17270" xr:uid="{00000000-0005-0000-0000-0000FB420000}"/>
    <cellStyle name="Title 4 2 9" xfId="17271" xr:uid="{00000000-0005-0000-0000-0000FC420000}"/>
    <cellStyle name="Title 4 3" xfId="17272" xr:uid="{00000000-0005-0000-0000-0000FD420000}"/>
    <cellStyle name="Title 4 3 2" xfId="17273" xr:uid="{00000000-0005-0000-0000-0000FE420000}"/>
    <cellStyle name="Title 4 3 2 2" xfId="17274" xr:uid="{00000000-0005-0000-0000-0000FF420000}"/>
    <cellStyle name="Title 4 3 3" xfId="17275" xr:uid="{00000000-0005-0000-0000-000000430000}"/>
    <cellStyle name="Title 4 3 3 2" xfId="17276" xr:uid="{00000000-0005-0000-0000-000001430000}"/>
    <cellStyle name="Title 4 3 4" xfId="17277" xr:uid="{00000000-0005-0000-0000-000002430000}"/>
    <cellStyle name="Title 4 3 5" xfId="17278" xr:uid="{00000000-0005-0000-0000-000003430000}"/>
    <cellStyle name="Title 4 4" xfId="17279" xr:uid="{00000000-0005-0000-0000-000004430000}"/>
    <cellStyle name="Title 4 4 2" xfId="17280" xr:uid="{00000000-0005-0000-0000-000005430000}"/>
    <cellStyle name="Title 4 4 2 2" xfId="17281" xr:uid="{00000000-0005-0000-0000-000006430000}"/>
    <cellStyle name="Title 4 4 3" xfId="17282" xr:uid="{00000000-0005-0000-0000-000007430000}"/>
    <cellStyle name="Title 4 4 3 2" xfId="17283" xr:uid="{00000000-0005-0000-0000-000008430000}"/>
    <cellStyle name="Title 4 4 4" xfId="17284" xr:uid="{00000000-0005-0000-0000-000009430000}"/>
    <cellStyle name="Title 4 5" xfId="17285" xr:uid="{00000000-0005-0000-0000-00000A430000}"/>
    <cellStyle name="Title 4 5 2" xfId="17286" xr:uid="{00000000-0005-0000-0000-00000B430000}"/>
    <cellStyle name="Title 4 5 2 2" xfId="17287" xr:uid="{00000000-0005-0000-0000-00000C430000}"/>
    <cellStyle name="Title 4 5 3" xfId="17288" xr:uid="{00000000-0005-0000-0000-00000D430000}"/>
    <cellStyle name="Title 4 5 3 2" xfId="17289" xr:uid="{00000000-0005-0000-0000-00000E430000}"/>
    <cellStyle name="Title 4 5 4" xfId="17290" xr:uid="{00000000-0005-0000-0000-00000F430000}"/>
    <cellStyle name="Title 4 6" xfId="17291" xr:uid="{00000000-0005-0000-0000-000010430000}"/>
    <cellStyle name="Title 4 6 2" xfId="17292" xr:uid="{00000000-0005-0000-0000-000011430000}"/>
    <cellStyle name="Title 4 6 2 2" xfId="17293" xr:uid="{00000000-0005-0000-0000-000012430000}"/>
    <cellStyle name="Title 4 6 3" xfId="17294" xr:uid="{00000000-0005-0000-0000-000013430000}"/>
    <cellStyle name="Title 4 6 3 2" xfId="17295" xr:uid="{00000000-0005-0000-0000-000014430000}"/>
    <cellStyle name="Title 4 6 4" xfId="17296" xr:uid="{00000000-0005-0000-0000-000015430000}"/>
    <cellStyle name="Title 4 6 4 2" xfId="17297" xr:uid="{00000000-0005-0000-0000-000016430000}"/>
    <cellStyle name="Title 4 6 5" xfId="17298" xr:uid="{00000000-0005-0000-0000-000017430000}"/>
    <cellStyle name="Title 4 7" xfId="17299" xr:uid="{00000000-0005-0000-0000-000018430000}"/>
    <cellStyle name="Title 4 7 2" xfId="17300" xr:uid="{00000000-0005-0000-0000-000019430000}"/>
    <cellStyle name="Title 4 7 2 2" xfId="17301" xr:uid="{00000000-0005-0000-0000-00001A430000}"/>
    <cellStyle name="Title 4 7 3" xfId="17302" xr:uid="{00000000-0005-0000-0000-00001B430000}"/>
    <cellStyle name="Title 4 7 3 2" xfId="17303" xr:uid="{00000000-0005-0000-0000-00001C430000}"/>
    <cellStyle name="Title 4 7 4" xfId="17304" xr:uid="{00000000-0005-0000-0000-00001D430000}"/>
    <cellStyle name="Title 4 8" xfId="17305" xr:uid="{00000000-0005-0000-0000-00001E430000}"/>
    <cellStyle name="Title 4 8 2" xfId="17306" xr:uid="{00000000-0005-0000-0000-00001F430000}"/>
    <cellStyle name="Title 4 9" xfId="17307" xr:uid="{00000000-0005-0000-0000-000020430000}"/>
    <cellStyle name="Title 4 9 2" xfId="17308" xr:uid="{00000000-0005-0000-0000-000021430000}"/>
    <cellStyle name="Title 40" xfId="3289" xr:uid="{00000000-0005-0000-0000-000022430000}"/>
    <cellStyle name="Title 40 10" xfId="17310" xr:uid="{00000000-0005-0000-0000-000023430000}"/>
    <cellStyle name="Title 40 11" xfId="17311" xr:uid="{00000000-0005-0000-0000-000024430000}"/>
    <cellStyle name="Title 40 12" xfId="17309" xr:uid="{00000000-0005-0000-0000-000025430000}"/>
    <cellStyle name="Title 40 2" xfId="17312" xr:uid="{00000000-0005-0000-0000-000026430000}"/>
    <cellStyle name="Title 40 2 2" xfId="17313" xr:uid="{00000000-0005-0000-0000-000027430000}"/>
    <cellStyle name="Title 40 2 2 2" xfId="17314" xr:uid="{00000000-0005-0000-0000-000028430000}"/>
    <cellStyle name="Title 40 2 3" xfId="17315" xr:uid="{00000000-0005-0000-0000-000029430000}"/>
    <cellStyle name="Title 40 2 3 2" xfId="17316" xr:uid="{00000000-0005-0000-0000-00002A430000}"/>
    <cellStyle name="Title 40 2 4" xfId="17317" xr:uid="{00000000-0005-0000-0000-00002B430000}"/>
    <cellStyle name="Title 40 2 5" xfId="17318" xr:uid="{00000000-0005-0000-0000-00002C430000}"/>
    <cellStyle name="Title 40 3" xfId="17319" xr:uid="{00000000-0005-0000-0000-00002D430000}"/>
    <cellStyle name="Title 40 3 2" xfId="17320" xr:uid="{00000000-0005-0000-0000-00002E430000}"/>
    <cellStyle name="Title 40 3 2 2" xfId="17321" xr:uid="{00000000-0005-0000-0000-00002F430000}"/>
    <cellStyle name="Title 40 3 3" xfId="17322" xr:uid="{00000000-0005-0000-0000-000030430000}"/>
    <cellStyle name="Title 40 3 3 2" xfId="17323" xr:uid="{00000000-0005-0000-0000-000031430000}"/>
    <cellStyle name="Title 40 3 4" xfId="17324" xr:uid="{00000000-0005-0000-0000-000032430000}"/>
    <cellStyle name="Title 40 4" xfId="17325" xr:uid="{00000000-0005-0000-0000-000033430000}"/>
    <cellStyle name="Title 40 4 2" xfId="17326" xr:uid="{00000000-0005-0000-0000-000034430000}"/>
    <cellStyle name="Title 40 4 2 2" xfId="17327" xr:uid="{00000000-0005-0000-0000-000035430000}"/>
    <cellStyle name="Title 40 4 3" xfId="17328" xr:uid="{00000000-0005-0000-0000-000036430000}"/>
    <cellStyle name="Title 40 4 3 2" xfId="17329" xr:uid="{00000000-0005-0000-0000-000037430000}"/>
    <cellStyle name="Title 40 4 4" xfId="17330" xr:uid="{00000000-0005-0000-0000-000038430000}"/>
    <cellStyle name="Title 40 5" xfId="17331" xr:uid="{00000000-0005-0000-0000-000039430000}"/>
    <cellStyle name="Title 40 5 2" xfId="17332" xr:uid="{00000000-0005-0000-0000-00003A430000}"/>
    <cellStyle name="Title 40 5 2 2" xfId="17333" xr:uid="{00000000-0005-0000-0000-00003B430000}"/>
    <cellStyle name="Title 40 5 3" xfId="17334" xr:uid="{00000000-0005-0000-0000-00003C430000}"/>
    <cellStyle name="Title 40 5 3 2" xfId="17335" xr:uid="{00000000-0005-0000-0000-00003D430000}"/>
    <cellStyle name="Title 40 5 4" xfId="17336" xr:uid="{00000000-0005-0000-0000-00003E430000}"/>
    <cellStyle name="Title 40 5 4 2" xfId="17337" xr:uid="{00000000-0005-0000-0000-00003F430000}"/>
    <cellStyle name="Title 40 5 5" xfId="17338" xr:uid="{00000000-0005-0000-0000-000040430000}"/>
    <cellStyle name="Title 40 6" xfId="17339" xr:uid="{00000000-0005-0000-0000-000041430000}"/>
    <cellStyle name="Title 40 6 2" xfId="17340" xr:uid="{00000000-0005-0000-0000-000042430000}"/>
    <cellStyle name="Title 40 6 2 2" xfId="17341" xr:uid="{00000000-0005-0000-0000-000043430000}"/>
    <cellStyle name="Title 40 6 3" xfId="17342" xr:uid="{00000000-0005-0000-0000-000044430000}"/>
    <cellStyle name="Title 40 6 3 2" xfId="17343" xr:uid="{00000000-0005-0000-0000-000045430000}"/>
    <cellStyle name="Title 40 6 4" xfId="17344" xr:uid="{00000000-0005-0000-0000-000046430000}"/>
    <cellStyle name="Title 40 7" xfId="17345" xr:uid="{00000000-0005-0000-0000-000047430000}"/>
    <cellStyle name="Title 40 7 2" xfId="17346" xr:uid="{00000000-0005-0000-0000-000048430000}"/>
    <cellStyle name="Title 40 8" xfId="17347" xr:uid="{00000000-0005-0000-0000-000049430000}"/>
    <cellStyle name="Title 40 8 2" xfId="17348" xr:uid="{00000000-0005-0000-0000-00004A430000}"/>
    <cellStyle name="Title 40 9" xfId="17349" xr:uid="{00000000-0005-0000-0000-00004B430000}"/>
    <cellStyle name="Title 40 9 2" xfId="17350" xr:uid="{00000000-0005-0000-0000-00004C430000}"/>
    <cellStyle name="Title 41" xfId="3290" xr:uid="{00000000-0005-0000-0000-00004D430000}"/>
    <cellStyle name="Title 41 10" xfId="17352" xr:uid="{00000000-0005-0000-0000-00004E430000}"/>
    <cellStyle name="Title 41 11" xfId="17353" xr:uid="{00000000-0005-0000-0000-00004F430000}"/>
    <cellStyle name="Title 41 12" xfId="17351" xr:uid="{00000000-0005-0000-0000-000050430000}"/>
    <cellStyle name="Title 41 2" xfId="17354" xr:uid="{00000000-0005-0000-0000-000051430000}"/>
    <cellStyle name="Title 41 2 2" xfId="17355" xr:uid="{00000000-0005-0000-0000-000052430000}"/>
    <cellStyle name="Title 41 2 2 2" xfId="17356" xr:uid="{00000000-0005-0000-0000-000053430000}"/>
    <cellStyle name="Title 41 2 3" xfId="17357" xr:uid="{00000000-0005-0000-0000-000054430000}"/>
    <cellStyle name="Title 41 2 3 2" xfId="17358" xr:uid="{00000000-0005-0000-0000-000055430000}"/>
    <cellStyle name="Title 41 2 4" xfId="17359" xr:uid="{00000000-0005-0000-0000-000056430000}"/>
    <cellStyle name="Title 41 2 5" xfId="17360" xr:uid="{00000000-0005-0000-0000-000057430000}"/>
    <cellStyle name="Title 41 3" xfId="17361" xr:uid="{00000000-0005-0000-0000-000058430000}"/>
    <cellStyle name="Title 41 3 2" xfId="17362" xr:uid="{00000000-0005-0000-0000-000059430000}"/>
    <cellStyle name="Title 41 3 2 2" xfId="17363" xr:uid="{00000000-0005-0000-0000-00005A430000}"/>
    <cellStyle name="Title 41 3 3" xfId="17364" xr:uid="{00000000-0005-0000-0000-00005B430000}"/>
    <cellStyle name="Title 41 3 3 2" xfId="17365" xr:uid="{00000000-0005-0000-0000-00005C430000}"/>
    <cellStyle name="Title 41 3 4" xfId="17366" xr:uid="{00000000-0005-0000-0000-00005D430000}"/>
    <cellStyle name="Title 41 4" xfId="17367" xr:uid="{00000000-0005-0000-0000-00005E430000}"/>
    <cellStyle name="Title 41 4 2" xfId="17368" xr:uid="{00000000-0005-0000-0000-00005F430000}"/>
    <cellStyle name="Title 41 4 2 2" xfId="17369" xr:uid="{00000000-0005-0000-0000-000060430000}"/>
    <cellStyle name="Title 41 4 3" xfId="17370" xr:uid="{00000000-0005-0000-0000-000061430000}"/>
    <cellStyle name="Title 41 4 3 2" xfId="17371" xr:uid="{00000000-0005-0000-0000-000062430000}"/>
    <cellStyle name="Title 41 4 4" xfId="17372" xr:uid="{00000000-0005-0000-0000-000063430000}"/>
    <cellStyle name="Title 41 5" xfId="17373" xr:uid="{00000000-0005-0000-0000-000064430000}"/>
    <cellStyle name="Title 41 5 2" xfId="17374" xr:uid="{00000000-0005-0000-0000-000065430000}"/>
    <cellStyle name="Title 41 5 2 2" xfId="17375" xr:uid="{00000000-0005-0000-0000-000066430000}"/>
    <cellStyle name="Title 41 5 3" xfId="17376" xr:uid="{00000000-0005-0000-0000-000067430000}"/>
    <cellStyle name="Title 41 5 3 2" xfId="17377" xr:uid="{00000000-0005-0000-0000-000068430000}"/>
    <cellStyle name="Title 41 5 4" xfId="17378" xr:uid="{00000000-0005-0000-0000-000069430000}"/>
    <cellStyle name="Title 41 5 4 2" xfId="17379" xr:uid="{00000000-0005-0000-0000-00006A430000}"/>
    <cellStyle name="Title 41 5 5" xfId="17380" xr:uid="{00000000-0005-0000-0000-00006B430000}"/>
    <cellStyle name="Title 41 6" xfId="17381" xr:uid="{00000000-0005-0000-0000-00006C430000}"/>
    <cellStyle name="Title 41 6 2" xfId="17382" xr:uid="{00000000-0005-0000-0000-00006D430000}"/>
    <cellStyle name="Title 41 6 2 2" xfId="17383" xr:uid="{00000000-0005-0000-0000-00006E430000}"/>
    <cellStyle name="Title 41 6 3" xfId="17384" xr:uid="{00000000-0005-0000-0000-00006F430000}"/>
    <cellStyle name="Title 41 6 3 2" xfId="17385" xr:uid="{00000000-0005-0000-0000-000070430000}"/>
    <cellStyle name="Title 41 6 4" xfId="17386" xr:uid="{00000000-0005-0000-0000-000071430000}"/>
    <cellStyle name="Title 41 7" xfId="17387" xr:uid="{00000000-0005-0000-0000-000072430000}"/>
    <cellStyle name="Title 41 7 2" xfId="17388" xr:uid="{00000000-0005-0000-0000-000073430000}"/>
    <cellStyle name="Title 41 8" xfId="17389" xr:uid="{00000000-0005-0000-0000-000074430000}"/>
    <cellStyle name="Title 41 8 2" xfId="17390" xr:uid="{00000000-0005-0000-0000-000075430000}"/>
    <cellStyle name="Title 41 9" xfId="17391" xr:uid="{00000000-0005-0000-0000-000076430000}"/>
    <cellStyle name="Title 41 9 2" xfId="17392" xr:uid="{00000000-0005-0000-0000-000077430000}"/>
    <cellStyle name="Title 42" xfId="3291" xr:uid="{00000000-0005-0000-0000-000078430000}"/>
    <cellStyle name="Title 42 10" xfId="17394" xr:uid="{00000000-0005-0000-0000-000079430000}"/>
    <cellStyle name="Title 42 11" xfId="17395" xr:uid="{00000000-0005-0000-0000-00007A430000}"/>
    <cellStyle name="Title 42 12" xfId="17393" xr:uid="{00000000-0005-0000-0000-00007B430000}"/>
    <cellStyle name="Title 42 2" xfId="17396" xr:uid="{00000000-0005-0000-0000-00007C430000}"/>
    <cellStyle name="Title 42 2 2" xfId="17397" xr:uid="{00000000-0005-0000-0000-00007D430000}"/>
    <cellStyle name="Title 42 2 2 2" xfId="17398" xr:uid="{00000000-0005-0000-0000-00007E430000}"/>
    <cellStyle name="Title 42 2 3" xfId="17399" xr:uid="{00000000-0005-0000-0000-00007F430000}"/>
    <cellStyle name="Title 42 2 3 2" xfId="17400" xr:uid="{00000000-0005-0000-0000-000080430000}"/>
    <cellStyle name="Title 42 2 4" xfId="17401" xr:uid="{00000000-0005-0000-0000-000081430000}"/>
    <cellStyle name="Title 42 2 5" xfId="17402" xr:uid="{00000000-0005-0000-0000-000082430000}"/>
    <cellStyle name="Title 42 3" xfId="17403" xr:uid="{00000000-0005-0000-0000-000083430000}"/>
    <cellStyle name="Title 42 3 2" xfId="17404" xr:uid="{00000000-0005-0000-0000-000084430000}"/>
    <cellStyle name="Title 42 3 2 2" xfId="17405" xr:uid="{00000000-0005-0000-0000-000085430000}"/>
    <cellStyle name="Title 42 3 3" xfId="17406" xr:uid="{00000000-0005-0000-0000-000086430000}"/>
    <cellStyle name="Title 42 3 3 2" xfId="17407" xr:uid="{00000000-0005-0000-0000-000087430000}"/>
    <cellStyle name="Title 42 3 4" xfId="17408" xr:uid="{00000000-0005-0000-0000-000088430000}"/>
    <cellStyle name="Title 42 4" xfId="17409" xr:uid="{00000000-0005-0000-0000-000089430000}"/>
    <cellStyle name="Title 42 4 2" xfId="17410" xr:uid="{00000000-0005-0000-0000-00008A430000}"/>
    <cellStyle name="Title 42 4 2 2" xfId="17411" xr:uid="{00000000-0005-0000-0000-00008B430000}"/>
    <cellStyle name="Title 42 4 3" xfId="17412" xr:uid="{00000000-0005-0000-0000-00008C430000}"/>
    <cellStyle name="Title 42 4 3 2" xfId="17413" xr:uid="{00000000-0005-0000-0000-00008D430000}"/>
    <cellStyle name="Title 42 4 4" xfId="17414" xr:uid="{00000000-0005-0000-0000-00008E430000}"/>
    <cellStyle name="Title 42 5" xfId="17415" xr:uid="{00000000-0005-0000-0000-00008F430000}"/>
    <cellStyle name="Title 42 5 2" xfId="17416" xr:uid="{00000000-0005-0000-0000-000090430000}"/>
    <cellStyle name="Title 42 5 2 2" xfId="17417" xr:uid="{00000000-0005-0000-0000-000091430000}"/>
    <cellStyle name="Title 42 5 3" xfId="17418" xr:uid="{00000000-0005-0000-0000-000092430000}"/>
    <cellStyle name="Title 42 5 3 2" xfId="17419" xr:uid="{00000000-0005-0000-0000-000093430000}"/>
    <cellStyle name="Title 42 5 4" xfId="17420" xr:uid="{00000000-0005-0000-0000-000094430000}"/>
    <cellStyle name="Title 42 5 4 2" xfId="17421" xr:uid="{00000000-0005-0000-0000-000095430000}"/>
    <cellStyle name="Title 42 5 5" xfId="17422" xr:uid="{00000000-0005-0000-0000-000096430000}"/>
    <cellStyle name="Title 42 6" xfId="17423" xr:uid="{00000000-0005-0000-0000-000097430000}"/>
    <cellStyle name="Title 42 6 2" xfId="17424" xr:uid="{00000000-0005-0000-0000-000098430000}"/>
    <cellStyle name="Title 42 6 2 2" xfId="17425" xr:uid="{00000000-0005-0000-0000-000099430000}"/>
    <cellStyle name="Title 42 6 3" xfId="17426" xr:uid="{00000000-0005-0000-0000-00009A430000}"/>
    <cellStyle name="Title 42 6 3 2" xfId="17427" xr:uid="{00000000-0005-0000-0000-00009B430000}"/>
    <cellStyle name="Title 42 6 4" xfId="17428" xr:uid="{00000000-0005-0000-0000-00009C430000}"/>
    <cellStyle name="Title 42 7" xfId="17429" xr:uid="{00000000-0005-0000-0000-00009D430000}"/>
    <cellStyle name="Title 42 7 2" xfId="17430" xr:uid="{00000000-0005-0000-0000-00009E430000}"/>
    <cellStyle name="Title 42 8" xfId="17431" xr:uid="{00000000-0005-0000-0000-00009F430000}"/>
    <cellStyle name="Title 42 8 2" xfId="17432" xr:uid="{00000000-0005-0000-0000-0000A0430000}"/>
    <cellStyle name="Title 42 9" xfId="17433" xr:uid="{00000000-0005-0000-0000-0000A1430000}"/>
    <cellStyle name="Title 42 9 2" xfId="17434" xr:uid="{00000000-0005-0000-0000-0000A2430000}"/>
    <cellStyle name="Title 43" xfId="3292" xr:uid="{00000000-0005-0000-0000-0000A3430000}"/>
    <cellStyle name="Title 43 10" xfId="17436" xr:uid="{00000000-0005-0000-0000-0000A4430000}"/>
    <cellStyle name="Title 43 11" xfId="17437" xr:uid="{00000000-0005-0000-0000-0000A5430000}"/>
    <cellStyle name="Title 43 12" xfId="17435" xr:uid="{00000000-0005-0000-0000-0000A6430000}"/>
    <cellStyle name="Title 43 2" xfId="17438" xr:uid="{00000000-0005-0000-0000-0000A7430000}"/>
    <cellStyle name="Title 43 2 2" xfId="17439" xr:uid="{00000000-0005-0000-0000-0000A8430000}"/>
    <cellStyle name="Title 43 2 2 2" xfId="17440" xr:uid="{00000000-0005-0000-0000-0000A9430000}"/>
    <cellStyle name="Title 43 2 3" xfId="17441" xr:uid="{00000000-0005-0000-0000-0000AA430000}"/>
    <cellStyle name="Title 43 2 3 2" xfId="17442" xr:uid="{00000000-0005-0000-0000-0000AB430000}"/>
    <cellStyle name="Title 43 2 4" xfId="17443" xr:uid="{00000000-0005-0000-0000-0000AC430000}"/>
    <cellStyle name="Title 43 2 5" xfId="17444" xr:uid="{00000000-0005-0000-0000-0000AD430000}"/>
    <cellStyle name="Title 43 3" xfId="17445" xr:uid="{00000000-0005-0000-0000-0000AE430000}"/>
    <cellStyle name="Title 43 3 2" xfId="17446" xr:uid="{00000000-0005-0000-0000-0000AF430000}"/>
    <cellStyle name="Title 43 3 2 2" xfId="17447" xr:uid="{00000000-0005-0000-0000-0000B0430000}"/>
    <cellStyle name="Title 43 3 3" xfId="17448" xr:uid="{00000000-0005-0000-0000-0000B1430000}"/>
    <cellStyle name="Title 43 3 3 2" xfId="17449" xr:uid="{00000000-0005-0000-0000-0000B2430000}"/>
    <cellStyle name="Title 43 3 4" xfId="17450" xr:uid="{00000000-0005-0000-0000-0000B3430000}"/>
    <cellStyle name="Title 43 4" xfId="17451" xr:uid="{00000000-0005-0000-0000-0000B4430000}"/>
    <cellStyle name="Title 43 4 2" xfId="17452" xr:uid="{00000000-0005-0000-0000-0000B5430000}"/>
    <cellStyle name="Title 43 4 2 2" xfId="17453" xr:uid="{00000000-0005-0000-0000-0000B6430000}"/>
    <cellStyle name="Title 43 4 3" xfId="17454" xr:uid="{00000000-0005-0000-0000-0000B7430000}"/>
    <cellStyle name="Title 43 4 3 2" xfId="17455" xr:uid="{00000000-0005-0000-0000-0000B8430000}"/>
    <cellStyle name="Title 43 4 4" xfId="17456" xr:uid="{00000000-0005-0000-0000-0000B9430000}"/>
    <cellStyle name="Title 43 5" xfId="17457" xr:uid="{00000000-0005-0000-0000-0000BA430000}"/>
    <cellStyle name="Title 43 5 2" xfId="17458" xr:uid="{00000000-0005-0000-0000-0000BB430000}"/>
    <cellStyle name="Title 43 5 2 2" xfId="17459" xr:uid="{00000000-0005-0000-0000-0000BC430000}"/>
    <cellStyle name="Title 43 5 3" xfId="17460" xr:uid="{00000000-0005-0000-0000-0000BD430000}"/>
    <cellStyle name="Title 43 5 3 2" xfId="17461" xr:uid="{00000000-0005-0000-0000-0000BE430000}"/>
    <cellStyle name="Title 43 5 4" xfId="17462" xr:uid="{00000000-0005-0000-0000-0000BF430000}"/>
    <cellStyle name="Title 43 5 4 2" xfId="17463" xr:uid="{00000000-0005-0000-0000-0000C0430000}"/>
    <cellStyle name="Title 43 5 5" xfId="17464" xr:uid="{00000000-0005-0000-0000-0000C1430000}"/>
    <cellStyle name="Title 43 6" xfId="17465" xr:uid="{00000000-0005-0000-0000-0000C2430000}"/>
    <cellStyle name="Title 43 6 2" xfId="17466" xr:uid="{00000000-0005-0000-0000-0000C3430000}"/>
    <cellStyle name="Title 43 6 2 2" xfId="17467" xr:uid="{00000000-0005-0000-0000-0000C4430000}"/>
    <cellStyle name="Title 43 6 3" xfId="17468" xr:uid="{00000000-0005-0000-0000-0000C5430000}"/>
    <cellStyle name="Title 43 6 3 2" xfId="17469" xr:uid="{00000000-0005-0000-0000-0000C6430000}"/>
    <cellStyle name="Title 43 6 4" xfId="17470" xr:uid="{00000000-0005-0000-0000-0000C7430000}"/>
    <cellStyle name="Title 43 7" xfId="17471" xr:uid="{00000000-0005-0000-0000-0000C8430000}"/>
    <cellStyle name="Title 43 7 2" xfId="17472" xr:uid="{00000000-0005-0000-0000-0000C9430000}"/>
    <cellStyle name="Title 43 8" xfId="17473" xr:uid="{00000000-0005-0000-0000-0000CA430000}"/>
    <cellStyle name="Title 43 8 2" xfId="17474" xr:uid="{00000000-0005-0000-0000-0000CB430000}"/>
    <cellStyle name="Title 43 9" xfId="17475" xr:uid="{00000000-0005-0000-0000-0000CC430000}"/>
    <cellStyle name="Title 43 9 2" xfId="17476" xr:uid="{00000000-0005-0000-0000-0000CD430000}"/>
    <cellStyle name="Title 5" xfId="3293" xr:uid="{00000000-0005-0000-0000-0000CE430000}"/>
    <cellStyle name="Title 5 10" xfId="17478" xr:uid="{00000000-0005-0000-0000-0000CF430000}"/>
    <cellStyle name="Title 5 10 2" xfId="17479" xr:uid="{00000000-0005-0000-0000-0000D0430000}"/>
    <cellStyle name="Title 5 11" xfId="17480" xr:uid="{00000000-0005-0000-0000-0000D1430000}"/>
    <cellStyle name="Title 5 12" xfId="17481" xr:uid="{00000000-0005-0000-0000-0000D2430000}"/>
    <cellStyle name="Title 5 13" xfId="17477" xr:uid="{00000000-0005-0000-0000-0000D3430000}"/>
    <cellStyle name="Title 5 2" xfId="17482" xr:uid="{00000000-0005-0000-0000-0000D4430000}"/>
    <cellStyle name="Title 5 2 10" xfId="17483" xr:uid="{00000000-0005-0000-0000-0000D5430000}"/>
    <cellStyle name="Title 5 2 2" xfId="17484" xr:uid="{00000000-0005-0000-0000-0000D6430000}"/>
    <cellStyle name="Title 5 2 2 2" xfId="17485" xr:uid="{00000000-0005-0000-0000-0000D7430000}"/>
    <cellStyle name="Title 5 2 2 2 2" xfId="17486" xr:uid="{00000000-0005-0000-0000-0000D8430000}"/>
    <cellStyle name="Title 5 2 2 3" xfId="17487" xr:uid="{00000000-0005-0000-0000-0000D9430000}"/>
    <cellStyle name="Title 5 2 2 3 2" xfId="17488" xr:uid="{00000000-0005-0000-0000-0000DA430000}"/>
    <cellStyle name="Title 5 2 2 4" xfId="17489" xr:uid="{00000000-0005-0000-0000-0000DB430000}"/>
    <cellStyle name="Title 5 2 3" xfId="17490" xr:uid="{00000000-0005-0000-0000-0000DC430000}"/>
    <cellStyle name="Title 5 2 3 2" xfId="17491" xr:uid="{00000000-0005-0000-0000-0000DD430000}"/>
    <cellStyle name="Title 5 2 3 2 2" xfId="17492" xr:uid="{00000000-0005-0000-0000-0000DE430000}"/>
    <cellStyle name="Title 5 2 3 3" xfId="17493" xr:uid="{00000000-0005-0000-0000-0000DF430000}"/>
    <cellStyle name="Title 5 2 3 3 2" xfId="17494" xr:uid="{00000000-0005-0000-0000-0000E0430000}"/>
    <cellStyle name="Title 5 2 3 4" xfId="17495" xr:uid="{00000000-0005-0000-0000-0000E1430000}"/>
    <cellStyle name="Title 5 2 4" xfId="17496" xr:uid="{00000000-0005-0000-0000-0000E2430000}"/>
    <cellStyle name="Title 5 2 4 2" xfId="17497" xr:uid="{00000000-0005-0000-0000-0000E3430000}"/>
    <cellStyle name="Title 5 2 4 2 2" xfId="17498" xr:uid="{00000000-0005-0000-0000-0000E4430000}"/>
    <cellStyle name="Title 5 2 4 3" xfId="17499" xr:uid="{00000000-0005-0000-0000-0000E5430000}"/>
    <cellStyle name="Title 5 2 4 3 2" xfId="17500" xr:uid="{00000000-0005-0000-0000-0000E6430000}"/>
    <cellStyle name="Title 5 2 4 4" xfId="17501" xr:uid="{00000000-0005-0000-0000-0000E7430000}"/>
    <cellStyle name="Title 5 2 4 4 2" xfId="17502" xr:uid="{00000000-0005-0000-0000-0000E8430000}"/>
    <cellStyle name="Title 5 2 4 5" xfId="17503" xr:uid="{00000000-0005-0000-0000-0000E9430000}"/>
    <cellStyle name="Title 5 2 5" xfId="17504" xr:uid="{00000000-0005-0000-0000-0000EA430000}"/>
    <cellStyle name="Title 5 2 5 2" xfId="17505" xr:uid="{00000000-0005-0000-0000-0000EB430000}"/>
    <cellStyle name="Title 5 2 5 2 2" xfId="17506" xr:uid="{00000000-0005-0000-0000-0000EC430000}"/>
    <cellStyle name="Title 5 2 5 3" xfId="17507" xr:uid="{00000000-0005-0000-0000-0000ED430000}"/>
    <cellStyle name="Title 5 2 5 3 2" xfId="17508" xr:uid="{00000000-0005-0000-0000-0000EE430000}"/>
    <cellStyle name="Title 5 2 5 4" xfId="17509" xr:uid="{00000000-0005-0000-0000-0000EF430000}"/>
    <cellStyle name="Title 5 2 6" xfId="17510" xr:uid="{00000000-0005-0000-0000-0000F0430000}"/>
    <cellStyle name="Title 5 2 6 2" xfId="17511" xr:uid="{00000000-0005-0000-0000-0000F1430000}"/>
    <cellStyle name="Title 5 2 7" xfId="17512" xr:uid="{00000000-0005-0000-0000-0000F2430000}"/>
    <cellStyle name="Title 5 2 7 2" xfId="17513" xr:uid="{00000000-0005-0000-0000-0000F3430000}"/>
    <cellStyle name="Title 5 2 8" xfId="17514" xr:uid="{00000000-0005-0000-0000-0000F4430000}"/>
    <cellStyle name="Title 5 2 8 2" xfId="17515" xr:uid="{00000000-0005-0000-0000-0000F5430000}"/>
    <cellStyle name="Title 5 2 9" xfId="17516" xr:uid="{00000000-0005-0000-0000-0000F6430000}"/>
    <cellStyle name="Title 5 3" xfId="17517" xr:uid="{00000000-0005-0000-0000-0000F7430000}"/>
    <cellStyle name="Title 5 3 2" xfId="17518" xr:uid="{00000000-0005-0000-0000-0000F8430000}"/>
    <cellStyle name="Title 5 3 2 2" xfId="17519" xr:uid="{00000000-0005-0000-0000-0000F9430000}"/>
    <cellStyle name="Title 5 3 3" xfId="17520" xr:uid="{00000000-0005-0000-0000-0000FA430000}"/>
    <cellStyle name="Title 5 3 3 2" xfId="17521" xr:uid="{00000000-0005-0000-0000-0000FB430000}"/>
    <cellStyle name="Title 5 3 4" xfId="17522" xr:uid="{00000000-0005-0000-0000-0000FC430000}"/>
    <cellStyle name="Title 5 3 5" xfId="17523" xr:uid="{00000000-0005-0000-0000-0000FD430000}"/>
    <cellStyle name="Title 5 4" xfId="17524" xr:uid="{00000000-0005-0000-0000-0000FE430000}"/>
    <cellStyle name="Title 5 4 2" xfId="17525" xr:uid="{00000000-0005-0000-0000-0000FF430000}"/>
    <cellStyle name="Title 5 4 2 2" xfId="17526" xr:uid="{00000000-0005-0000-0000-000000440000}"/>
    <cellStyle name="Title 5 4 3" xfId="17527" xr:uid="{00000000-0005-0000-0000-000001440000}"/>
    <cellStyle name="Title 5 4 3 2" xfId="17528" xr:uid="{00000000-0005-0000-0000-000002440000}"/>
    <cellStyle name="Title 5 4 4" xfId="17529" xr:uid="{00000000-0005-0000-0000-000003440000}"/>
    <cellStyle name="Title 5 5" xfId="17530" xr:uid="{00000000-0005-0000-0000-000004440000}"/>
    <cellStyle name="Title 5 5 2" xfId="17531" xr:uid="{00000000-0005-0000-0000-000005440000}"/>
    <cellStyle name="Title 5 5 2 2" xfId="17532" xr:uid="{00000000-0005-0000-0000-000006440000}"/>
    <cellStyle name="Title 5 5 3" xfId="17533" xr:uid="{00000000-0005-0000-0000-000007440000}"/>
    <cellStyle name="Title 5 5 3 2" xfId="17534" xr:uid="{00000000-0005-0000-0000-000008440000}"/>
    <cellStyle name="Title 5 5 4" xfId="17535" xr:uid="{00000000-0005-0000-0000-000009440000}"/>
    <cellStyle name="Title 5 6" xfId="17536" xr:uid="{00000000-0005-0000-0000-00000A440000}"/>
    <cellStyle name="Title 5 6 2" xfId="17537" xr:uid="{00000000-0005-0000-0000-00000B440000}"/>
    <cellStyle name="Title 5 6 2 2" xfId="17538" xr:uid="{00000000-0005-0000-0000-00000C440000}"/>
    <cellStyle name="Title 5 6 3" xfId="17539" xr:uid="{00000000-0005-0000-0000-00000D440000}"/>
    <cellStyle name="Title 5 6 3 2" xfId="17540" xr:uid="{00000000-0005-0000-0000-00000E440000}"/>
    <cellStyle name="Title 5 6 4" xfId="17541" xr:uid="{00000000-0005-0000-0000-00000F440000}"/>
    <cellStyle name="Title 5 6 4 2" xfId="17542" xr:uid="{00000000-0005-0000-0000-000010440000}"/>
    <cellStyle name="Title 5 6 5" xfId="17543" xr:uid="{00000000-0005-0000-0000-000011440000}"/>
    <cellStyle name="Title 5 7" xfId="17544" xr:uid="{00000000-0005-0000-0000-000012440000}"/>
    <cellStyle name="Title 5 7 2" xfId="17545" xr:uid="{00000000-0005-0000-0000-000013440000}"/>
    <cellStyle name="Title 5 7 2 2" xfId="17546" xr:uid="{00000000-0005-0000-0000-000014440000}"/>
    <cellStyle name="Title 5 7 3" xfId="17547" xr:uid="{00000000-0005-0000-0000-000015440000}"/>
    <cellStyle name="Title 5 7 3 2" xfId="17548" xr:uid="{00000000-0005-0000-0000-000016440000}"/>
    <cellStyle name="Title 5 7 4" xfId="17549" xr:uid="{00000000-0005-0000-0000-000017440000}"/>
    <cellStyle name="Title 5 8" xfId="17550" xr:uid="{00000000-0005-0000-0000-000018440000}"/>
    <cellStyle name="Title 5 8 2" xfId="17551" xr:uid="{00000000-0005-0000-0000-000019440000}"/>
    <cellStyle name="Title 5 9" xfId="17552" xr:uid="{00000000-0005-0000-0000-00001A440000}"/>
    <cellStyle name="Title 5 9 2" xfId="17553" xr:uid="{00000000-0005-0000-0000-00001B440000}"/>
    <cellStyle name="Title 6" xfId="3294" xr:uid="{00000000-0005-0000-0000-00001C440000}"/>
    <cellStyle name="Title 6 10" xfId="17555" xr:uid="{00000000-0005-0000-0000-00001D440000}"/>
    <cellStyle name="Title 6 10 2" xfId="17556" xr:uid="{00000000-0005-0000-0000-00001E440000}"/>
    <cellStyle name="Title 6 11" xfId="17557" xr:uid="{00000000-0005-0000-0000-00001F440000}"/>
    <cellStyle name="Title 6 12" xfId="17558" xr:uid="{00000000-0005-0000-0000-000020440000}"/>
    <cellStyle name="Title 6 13" xfId="17554" xr:uid="{00000000-0005-0000-0000-000021440000}"/>
    <cellStyle name="Title 6 2" xfId="17559" xr:uid="{00000000-0005-0000-0000-000022440000}"/>
    <cellStyle name="Title 6 2 10" xfId="17560" xr:uid="{00000000-0005-0000-0000-000023440000}"/>
    <cellStyle name="Title 6 2 2" xfId="17561" xr:uid="{00000000-0005-0000-0000-000024440000}"/>
    <cellStyle name="Title 6 2 2 2" xfId="17562" xr:uid="{00000000-0005-0000-0000-000025440000}"/>
    <cellStyle name="Title 6 2 2 2 2" xfId="17563" xr:uid="{00000000-0005-0000-0000-000026440000}"/>
    <cellStyle name="Title 6 2 2 3" xfId="17564" xr:uid="{00000000-0005-0000-0000-000027440000}"/>
    <cellStyle name="Title 6 2 2 3 2" xfId="17565" xr:uid="{00000000-0005-0000-0000-000028440000}"/>
    <cellStyle name="Title 6 2 2 4" xfId="17566" xr:uid="{00000000-0005-0000-0000-000029440000}"/>
    <cellStyle name="Title 6 2 3" xfId="17567" xr:uid="{00000000-0005-0000-0000-00002A440000}"/>
    <cellStyle name="Title 6 2 3 2" xfId="17568" xr:uid="{00000000-0005-0000-0000-00002B440000}"/>
    <cellStyle name="Title 6 2 3 2 2" xfId="17569" xr:uid="{00000000-0005-0000-0000-00002C440000}"/>
    <cellStyle name="Title 6 2 3 3" xfId="17570" xr:uid="{00000000-0005-0000-0000-00002D440000}"/>
    <cellStyle name="Title 6 2 3 3 2" xfId="17571" xr:uid="{00000000-0005-0000-0000-00002E440000}"/>
    <cellStyle name="Title 6 2 3 4" xfId="17572" xr:uid="{00000000-0005-0000-0000-00002F440000}"/>
    <cellStyle name="Title 6 2 4" xfId="17573" xr:uid="{00000000-0005-0000-0000-000030440000}"/>
    <cellStyle name="Title 6 2 4 2" xfId="17574" xr:uid="{00000000-0005-0000-0000-000031440000}"/>
    <cellStyle name="Title 6 2 4 2 2" xfId="17575" xr:uid="{00000000-0005-0000-0000-000032440000}"/>
    <cellStyle name="Title 6 2 4 3" xfId="17576" xr:uid="{00000000-0005-0000-0000-000033440000}"/>
    <cellStyle name="Title 6 2 4 3 2" xfId="17577" xr:uid="{00000000-0005-0000-0000-000034440000}"/>
    <cellStyle name="Title 6 2 4 4" xfId="17578" xr:uid="{00000000-0005-0000-0000-000035440000}"/>
    <cellStyle name="Title 6 2 4 4 2" xfId="17579" xr:uid="{00000000-0005-0000-0000-000036440000}"/>
    <cellStyle name="Title 6 2 4 5" xfId="17580" xr:uid="{00000000-0005-0000-0000-000037440000}"/>
    <cellStyle name="Title 6 2 5" xfId="17581" xr:uid="{00000000-0005-0000-0000-000038440000}"/>
    <cellStyle name="Title 6 2 5 2" xfId="17582" xr:uid="{00000000-0005-0000-0000-000039440000}"/>
    <cellStyle name="Title 6 2 5 2 2" xfId="17583" xr:uid="{00000000-0005-0000-0000-00003A440000}"/>
    <cellStyle name="Title 6 2 5 3" xfId="17584" xr:uid="{00000000-0005-0000-0000-00003B440000}"/>
    <cellStyle name="Title 6 2 5 3 2" xfId="17585" xr:uid="{00000000-0005-0000-0000-00003C440000}"/>
    <cellStyle name="Title 6 2 5 4" xfId="17586" xr:uid="{00000000-0005-0000-0000-00003D440000}"/>
    <cellStyle name="Title 6 2 6" xfId="17587" xr:uid="{00000000-0005-0000-0000-00003E440000}"/>
    <cellStyle name="Title 6 2 6 2" xfId="17588" xr:uid="{00000000-0005-0000-0000-00003F440000}"/>
    <cellStyle name="Title 6 2 7" xfId="17589" xr:uid="{00000000-0005-0000-0000-000040440000}"/>
    <cellStyle name="Title 6 2 7 2" xfId="17590" xr:uid="{00000000-0005-0000-0000-000041440000}"/>
    <cellStyle name="Title 6 2 8" xfId="17591" xr:uid="{00000000-0005-0000-0000-000042440000}"/>
    <cellStyle name="Title 6 2 8 2" xfId="17592" xr:uid="{00000000-0005-0000-0000-000043440000}"/>
    <cellStyle name="Title 6 2 9" xfId="17593" xr:uid="{00000000-0005-0000-0000-000044440000}"/>
    <cellStyle name="Title 6 3" xfId="17594" xr:uid="{00000000-0005-0000-0000-000045440000}"/>
    <cellStyle name="Title 6 3 2" xfId="17595" xr:uid="{00000000-0005-0000-0000-000046440000}"/>
    <cellStyle name="Title 6 3 2 2" xfId="17596" xr:uid="{00000000-0005-0000-0000-000047440000}"/>
    <cellStyle name="Title 6 3 3" xfId="17597" xr:uid="{00000000-0005-0000-0000-000048440000}"/>
    <cellStyle name="Title 6 3 3 2" xfId="17598" xr:uid="{00000000-0005-0000-0000-000049440000}"/>
    <cellStyle name="Title 6 3 4" xfId="17599" xr:uid="{00000000-0005-0000-0000-00004A440000}"/>
    <cellStyle name="Title 6 3 5" xfId="17600" xr:uid="{00000000-0005-0000-0000-00004B440000}"/>
    <cellStyle name="Title 6 4" xfId="17601" xr:uid="{00000000-0005-0000-0000-00004C440000}"/>
    <cellStyle name="Title 6 4 2" xfId="17602" xr:uid="{00000000-0005-0000-0000-00004D440000}"/>
    <cellStyle name="Title 6 4 2 2" xfId="17603" xr:uid="{00000000-0005-0000-0000-00004E440000}"/>
    <cellStyle name="Title 6 4 3" xfId="17604" xr:uid="{00000000-0005-0000-0000-00004F440000}"/>
    <cellStyle name="Title 6 4 3 2" xfId="17605" xr:uid="{00000000-0005-0000-0000-000050440000}"/>
    <cellStyle name="Title 6 4 4" xfId="17606" xr:uid="{00000000-0005-0000-0000-000051440000}"/>
    <cellStyle name="Title 6 5" xfId="17607" xr:uid="{00000000-0005-0000-0000-000052440000}"/>
    <cellStyle name="Title 6 5 2" xfId="17608" xr:uid="{00000000-0005-0000-0000-000053440000}"/>
    <cellStyle name="Title 6 5 2 2" xfId="17609" xr:uid="{00000000-0005-0000-0000-000054440000}"/>
    <cellStyle name="Title 6 5 3" xfId="17610" xr:uid="{00000000-0005-0000-0000-000055440000}"/>
    <cellStyle name="Title 6 5 3 2" xfId="17611" xr:uid="{00000000-0005-0000-0000-000056440000}"/>
    <cellStyle name="Title 6 5 4" xfId="17612" xr:uid="{00000000-0005-0000-0000-000057440000}"/>
    <cellStyle name="Title 6 6" xfId="17613" xr:uid="{00000000-0005-0000-0000-000058440000}"/>
    <cellStyle name="Title 6 6 2" xfId="17614" xr:uid="{00000000-0005-0000-0000-000059440000}"/>
    <cellStyle name="Title 6 6 2 2" xfId="17615" xr:uid="{00000000-0005-0000-0000-00005A440000}"/>
    <cellStyle name="Title 6 6 3" xfId="17616" xr:uid="{00000000-0005-0000-0000-00005B440000}"/>
    <cellStyle name="Title 6 6 3 2" xfId="17617" xr:uid="{00000000-0005-0000-0000-00005C440000}"/>
    <cellStyle name="Title 6 6 4" xfId="17618" xr:uid="{00000000-0005-0000-0000-00005D440000}"/>
    <cellStyle name="Title 6 6 4 2" xfId="17619" xr:uid="{00000000-0005-0000-0000-00005E440000}"/>
    <cellStyle name="Title 6 6 5" xfId="17620" xr:uid="{00000000-0005-0000-0000-00005F440000}"/>
    <cellStyle name="Title 6 7" xfId="17621" xr:uid="{00000000-0005-0000-0000-000060440000}"/>
    <cellStyle name="Title 6 7 2" xfId="17622" xr:uid="{00000000-0005-0000-0000-000061440000}"/>
    <cellStyle name="Title 6 7 2 2" xfId="17623" xr:uid="{00000000-0005-0000-0000-000062440000}"/>
    <cellStyle name="Title 6 7 3" xfId="17624" xr:uid="{00000000-0005-0000-0000-000063440000}"/>
    <cellStyle name="Title 6 7 3 2" xfId="17625" xr:uid="{00000000-0005-0000-0000-000064440000}"/>
    <cellStyle name="Title 6 7 4" xfId="17626" xr:uid="{00000000-0005-0000-0000-000065440000}"/>
    <cellStyle name="Title 6 8" xfId="17627" xr:uid="{00000000-0005-0000-0000-000066440000}"/>
    <cellStyle name="Title 6 8 2" xfId="17628" xr:uid="{00000000-0005-0000-0000-000067440000}"/>
    <cellStyle name="Title 6 9" xfId="17629" xr:uid="{00000000-0005-0000-0000-000068440000}"/>
    <cellStyle name="Title 6 9 2" xfId="17630" xr:uid="{00000000-0005-0000-0000-000069440000}"/>
    <cellStyle name="Title 7" xfId="3295" xr:uid="{00000000-0005-0000-0000-00006A440000}"/>
    <cellStyle name="Title 7 10" xfId="17632" xr:uid="{00000000-0005-0000-0000-00006B440000}"/>
    <cellStyle name="Title 7 11" xfId="17633" xr:uid="{00000000-0005-0000-0000-00006C440000}"/>
    <cellStyle name="Title 7 12" xfId="17631" xr:uid="{00000000-0005-0000-0000-00006D440000}"/>
    <cellStyle name="Title 7 2" xfId="17634" xr:uid="{00000000-0005-0000-0000-00006E440000}"/>
    <cellStyle name="Title 7 2 2" xfId="17635" xr:uid="{00000000-0005-0000-0000-00006F440000}"/>
    <cellStyle name="Title 7 2 2 2" xfId="17636" xr:uid="{00000000-0005-0000-0000-000070440000}"/>
    <cellStyle name="Title 7 2 3" xfId="17637" xr:uid="{00000000-0005-0000-0000-000071440000}"/>
    <cellStyle name="Title 7 2 3 2" xfId="17638" xr:uid="{00000000-0005-0000-0000-000072440000}"/>
    <cellStyle name="Title 7 2 4" xfId="17639" xr:uid="{00000000-0005-0000-0000-000073440000}"/>
    <cellStyle name="Title 7 2 5" xfId="17640" xr:uid="{00000000-0005-0000-0000-000074440000}"/>
    <cellStyle name="Title 7 3" xfId="17641" xr:uid="{00000000-0005-0000-0000-000075440000}"/>
    <cellStyle name="Title 7 3 2" xfId="17642" xr:uid="{00000000-0005-0000-0000-000076440000}"/>
    <cellStyle name="Title 7 3 2 2" xfId="17643" xr:uid="{00000000-0005-0000-0000-000077440000}"/>
    <cellStyle name="Title 7 3 3" xfId="17644" xr:uid="{00000000-0005-0000-0000-000078440000}"/>
    <cellStyle name="Title 7 3 3 2" xfId="17645" xr:uid="{00000000-0005-0000-0000-000079440000}"/>
    <cellStyle name="Title 7 3 4" xfId="17646" xr:uid="{00000000-0005-0000-0000-00007A440000}"/>
    <cellStyle name="Title 7 4" xfId="17647" xr:uid="{00000000-0005-0000-0000-00007B440000}"/>
    <cellStyle name="Title 7 4 2" xfId="17648" xr:uid="{00000000-0005-0000-0000-00007C440000}"/>
    <cellStyle name="Title 7 4 2 2" xfId="17649" xr:uid="{00000000-0005-0000-0000-00007D440000}"/>
    <cellStyle name="Title 7 4 3" xfId="17650" xr:uid="{00000000-0005-0000-0000-00007E440000}"/>
    <cellStyle name="Title 7 4 3 2" xfId="17651" xr:uid="{00000000-0005-0000-0000-00007F440000}"/>
    <cellStyle name="Title 7 4 4" xfId="17652" xr:uid="{00000000-0005-0000-0000-000080440000}"/>
    <cellStyle name="Title 7 5" xfId="17653" xr:uid="{00000000-0005-0000-0000-000081440000}"/>
    <cellStyle name="Title 7 5 2" xfId="17654" xr:uid="{00000000-0005-0000-0000-000082440000}"/>
    <cellStyle name="Title 7 5 2 2" xfId="17655" xr:uid="{00000000-0005-0000-0000-000083440000}"/>
    <cellStyle name="Title 7 5 3" xfId="17656" xr:uid="{00000000-0005-0000-0000-000084440000}"/>
    <cellStyle name="Title 7 5 3 2" xfId="17657" xr:uid="{00000000-0005-0000-0000-000085440000}"/>
    <cellStyle name="Title 7 5 4" xfId="17658" xr:uid="{00000000-0005-0000-0000-000086440000}"/>
    <cellStyle name="Title 7 5 4 2" xfId="17659" xr:uid="{00000000-0005-0000-0000-000087440000}"/>
    <cellStyle name="Title 7 5 5" xfId="17660" xr:uid="{00000000-0005-0000-0000-000088440000}"/>
    <cellStyle name="Title 7 6" xfId="17661" xr:uid="{00000000-0005-0000-0000-000089440000}"/>
    <cellStyle name="Title 7 6 2" xfId="17662" xr:uid="{00000000-0005-0000-0000-00008A440000}"/>
    <cellStyle name="Title 7 6 2 2" xfId="17663" xr:uid="{00000000-0005-0000-0000-00008B440000}"/>
    <cellStyle name="Title 7 6 3" xfId="17664" xr:uid="{00000000-0005-0000-0000-00008C440000}"/>
    <cellStyle name="Title 7 6 3 2" xfId="17665" xr:uid="{00000000-0005-0000-0000-00008D440000}"/>
    <cellStyle name="Title 7 6 4" xfId="17666" xr:uid="{00000000-0005-0000-0000-00008E440000}"/>
    <cellStyle name="Title 7 7" xfId="17667" xr:uid="{00000000-0005-0000-0000-00008F440000}"/>
    <cellStyle name="Title 7 7 2" xfId="17668" xr:uid="{00000000-0005-0000-0000-000090440000}"/>
    <cellStyle name="Title 7 8" xfId="17669" xr:uid="{00000000-0005-0000-0000-000091440000}"/>
    <cellStyle name="Title 7 8 2" xfId="17670" xr:uid="{00000000-0005-0000-0000-000092440000}"/>
    <cellStyle name="Title 7 9" xfId="17671" xr:uid="{00000000-0005-0000-0000-000093440000}"/>
    <cellStyle name="Title 7 9 2" xfId="17672" xr:uid="{00000000-0005-0000-0000-000094440000}"/>
    <cellStyle name="Title 8" xfId="3296" xr:uid="{00000000-0005-0000-0000-000095440000}"/>
    <cellStyle name="Title 8 10" xfId="17674" xr:uid="{00000000-0005-0000-0000-000096440000}"/>
    <cellStyle name="Title 8 11" xfId="17675" xr:uid="{00000000-0005-0000-0000-000097440000}"/>
    <cellStyle name="Title 8 12" xfId="17673" xr:uid="{00000000-0005-0000-0000-000098440000}"/>
    <cellStyle name="Title 8 2" xfId="17676" xr:uid="{00000000-0005-0000-0000-000099440000}"/>
    <cellStyle name="Title 8 2 2" xfId="17677" xr:uid="{00000000-0005-0000-0000-00009A440000}"/>
    <cellStyle name="Title 8 2 2 2" xfId="17678" xr:uid="{00000000-0005-0000-0000-00009B440000}"/>
    <cellStyle name="Title 8 2 3" xfId="17679" xr:uid="{00000000-0005-0000-0000-00009C440000}"/>
    <cellStyle name="Title 8 2 3 2" xfId="17680" xr:uid="{00000000-0005-0000-0000-00009D440000}"/>
    <cellStyle name="Title 8 2 4" xfId="17681" xr:uid="{00000000-0005-0000-0000-00009E440000}"/>
    <cellStyle name="Title 8 2 5" xfId="17682" xr:uid="{00000000-0005-0000-0000-00009F440000}"/>
    <cellStyle name="Title 8 3" xfId="17683" xr:uid="{00000000-0005-0000-0000-0000A0440000}"/>
    <cellStyle name="Title 8 3 2" xfId="17684" xr:uid="{00000000-0005-0000-0000-0000A1440000}"/>
    <cellStyle name="Title 8 3 2 2" xfId="17685" xr:uid="{00000000-0005-0000-0000-0000A2440000}"/>
    <cellStyle name="Title 8 3 3" xfId="17686" xr:uid="{00000000-0005-0000-0000-0000A3440000}"/>
    <cellStyle name="Title 8 3 3 2" xfId="17687" xr:uid="{00000000-0005-0000-0000-0000A4440000}"/>
    <cellStyle name="Title 8 3 4" xfId="17688" xr:uid="{00000000-0005-0000-0000-0000A5440000}"/>
    <cellStyle name="Title 8 4" xfId="17689" xr:uid="{00000000-0005-0000-0000-0000A6440000}"/>
    <cellStyle name="Title 8 4 2" xfId="17690" xr:uid="{00000000-0005-0000-0000-0000A7440000}"/>
    <cellStyle name="Title 8 4 2 2" xfId="17691" xr:uid="{00000000-0005-0000-0000-0000A8440000}"/>
    <cellStyle name="Title 8 4 3" xfId="17692" xr:uid="{00000000-0005-0000-0000-0000A9440000}"/>
    <cellStyle name="Title 8 4 3 2" xfId="17693" xr:uid="{00000000-0005-0000-0000-0000AA440000}"/>
    <cellStyle name="Title 8 4 4" xfId="17694" xr:uid="{00000000-0005-0000-0000-0000AB440000}"/>
    <cellStyle name="Title 8 5" xfId="17695" xr:uid="{00000000-0005-0000-0000-0000AC440000}"/>
    <cellStyle name="Title 8 5 2" xfId="17696" xr:uid="{00000000-0005-0000-0000-0000AD440000}"/>
    <cellStyle name="Title 8 5 2 2" xfId="17697" xr:uid="{00000000-0005-0000-0000-0000AE440000}"/>
    <cellStyle name="Title 8 5 3" xfId="17698" xr:uid="{00000000-0005-0000-0000-0000AF440000}"/>
    <cellStyle name="Title 8 5 3 2" xfId="17699" xr:uid="{00000000-0005-0000-0000-0000B0440000}"/>
    <cellStyle name="Title 8 5 4" xfId="17700" xr:uid="{00000000-0005-0000-0000-0000B1440000}"/>
    <cellStyle name="Title 8 5 4 2" xfId="17701" xr:uid="{00000000-0005-0000-0000-0000B2440000}"/>
    <cellStyle name="Title 8 5 5" xfId="17702" xr:uid="{00000000-0005-0000-0000-0000B3440000}"/>
    <cellStyle name="Title 8 6" xfId="17703" xr:uid="{00000000-0005-0000-0000-0000B4440000}"/>
    <cellStyle name="Title 8 6 2" xfId="17704" xr:uid="{00000000-0005-0000-0000-0000B5440000}"/>
    <cellStyle name="Title 8 6 2 2" xfId="17705" xr:uid="{00000000-0005-0000-0000-0000B6440000}"/>
    <cellStyle name="Title 8 6 3" xfId="17706" xr:uid="{00000000-0005-0000-0000-0000B7440000}"/>
    <cellStyle name="Title 8 6 3 2" xfId="17707" xr:uid="{00000000-0005-0000-0000-0000B8440000}"/>
    <cellStyle name="Title 8 6 4" xfId="17708" xr:uid="{00000000-0005-0000-0000-0000B9440000}"/>
    <cellStyle name="Title 8 7" xfId="17709" xr:uid="{00000000-0005-0000-0000-0000BA440000}"/>
    <cellStyle name="Title 8 7 2" xfId="17710" xr:uid="{00000000-0005-0000-0000-0000BB440000}"/>
    <cellStyle name="Title 8 8" xfId="17711" xr:uid="{00000000-0005-0000-0000-0000BC440000}"/>
    <cellStyle name="Title 8 8 2" xfId="17712" xr:uid="{00000000-0005-0000-0000-0000BD440000}"/>
    <cellStyle name="Title 8 9" xfId="17713" xr:uid="{00000000-0005-0000-0000-0000BE440000}"/>
    <cellStyle name="Title 8 9 2" xfId="17714" xr:uid="{00000000-0005-0000-0000-0000BF440000}"/>
    <cellStyle name="Title 9" xfId="3297" xr:uid="{00000000-0005-0000-0000-0000C0440000}"/>
    <cellStyle name="Title 9 10" xfId="17716" xr:uid="{00000000-0005-0000-0000-0000C1440000}"/>
    <cellStyle name="Title 9 11" xfId="17717" xr:uid="{00000000-0005-0000-0000-0000C2440000}"/>
    <cellStyle name="Title 9 12" xfId="17715" xr:uid="{00000000-0005-0000-0000-0000C3440000}"/>
    <cellStyle name="Title 9 2" xfId="17718" xr:uid="{00000000-0005-0000-0000-0000C4440000}"/>
    <cellStyle name="Title 9 2 2" xfId="17719" xr:uid="{00000000-0005-0000-0000-0000C5440000}"/>
    <cellStyle name="Title 9 2 2 2" xfId="17720" xr:uid="{00000000-0005-0000-0000-0000C6440000}"/>
    <cellStyle name="Title 9 2 3" xfId="17721" xr:uid="{00000000-0005-0000-0000-0000C7440000}"/>
    <cellStyle name="Title 9 2 3 2" xfId="17722" xr:uid="{00000000-0005-0000-0000-0000C8440000}"/>
    <cellStyle name="Title 9 2 4" xfId="17723" xr:uid="{00000000-0005-0000-0000-0000C9440000}"/>
    <cellStyle name="Title 9 2 5" xfId="17724" xr:uid="{00000000-0005-0000-0000-0000CA440000}"/>
    <cellStyle name="Title 9 3" xfId="17725" xr:uid="{00000000-0005-0000-0000-0000CB440000}"/>
    <cellStyle name="Title 9 3 2" xfId="17726" xr:uid="{00000000-0005-0000-0000-0000CC440000}"/>
    <cellStyle name="Title 9 3 2 2" xfId="17727" xr:uid="{00000000-0005-0000-0000-0000CD440000}"/>
    <cellStyle name="Title 9 3 3" xfId="17728" xr:uid="{00000000-0005-0000-0000-0000CE440000}"/>
    <cellStyle name="Title 9 3 3 2" xfId="17729" xr:uid="{00000000-0005-0000-0000-0000CF440000}"/>
    <cellStyle name="Title 9 3 4" xfId="17730" xr:uid="{00000000-0005-0000-0000-0000D0440000}"/>
    <cellStyle name="Title 9 4" xfId="17731" xr:uid="{00000000-0005-0000-0000-0000D1440000}"/>
    <cellStyle name="Title 9 4 2" xfId="17732" xr:uid="{00000000-0005-0000-0000-0000D2440000}"/>
    <cellStyle name="Title 9 4 2 2" xfId="17733" xr:uid="{00000000-0005-0000-0000-0000D3440000}"/>
    <cellStyle name="Title 9 4 3" xfId="17734" xr:uid="{00000000-0005-0000-0000-0000D4440000}"/>
    <cellStyle name="Title 9 4 3 2" xfId="17735" xr:uid="{00000000-0005-0000-0000-0000D5440000}"/>
    <cellStyle name="Title 9 4 4" xfId="17736" xr:uid="{00000000-0005-0000-0000-0000D6440000}"/>
    <cellStyle name="Title 9 5" xfId="17737" xr:uid="{00000000-0005-0000-0000-0000D7440000}"/>
    <cellStyle name="Title 9 5 2" xfId="17738" xr:uid="{00000000-0005-0000-0000-0000D8440000}"/>
    <cellStyle name="Title 9 5 2 2" xfId="17739" xr:uid="{00000000-0005-0000-0000-0000D9440000}"/>
    <cellStyle name="Title 9 5 3" xfId="17740" xr:uid="{00000000-0005-0000-0000-0000DA440000}"/>
    <cellStyle name="Title 9 5 3 2" xfId="17741" xr:uid="{00000000-0005-0000-0000-0000DB440000}"/>
    <cellStyle name="Title 9 5 4" xfId="17742" xr:uid="{00000000-0005-0000-0000-0000DC440000}"/>
    <cellStyle name="Title 9 5 4 2" xfId="17743" xr:uid="{00000000-0005-0000-0000-0000DD440000}"/>
    <cellStyle name="Title 9 5 5" xfId="17744" xr:uid="{00000000-0005-0000-0000-0000DE440000}"/>
    <cellStyle name="Title 9 6" xfId="17745" xr:uid="{00000000-0005-0000-0000-0000DF440000}"/>
    <cellStyle name="Title 9 6 2" xfId="17746" xr:uid="{00000000-0005-0000-0000-0000E0440000}"/>
    <cellStyle name="Title 9 6 2 2" xfId="17747" xr:uid="{00000000-0005-0000-0000-0000E1440000}"/>
    <cellStyle name="Title 9 6 3" xfId="17748" xr:uid="{00000000-0005-0000-0000-0000E2440000}"/>
    <cellStyle name="Title 9 6 3 2" xfId="17749" xr:uid="{00000000-0005-0000-0000-0000E3440000}"/>
    <cellStyle name="Title 9 6 4" xfId="17750" xr:uid="{00000000-0005-0000-0000-0000E4440000}"/>
    <cellStyle name="Title 9 7" xfId="17751" xr:uid="{00000000-0005-0000-0000-0000E5440000}"/>
    <cellStyle name="Title 9 7 2" xfId="17752" xr:uid="{00000000-0005-0000-0000-0000E6440000}"/>
    <cellStyle name="Title 9 8" xfId="17753" xr:uid="{00000000-0005-0000-0000-0000E7440000}"/>
    <cellStyle name="Title 9 8 2" xfId="17754" xr:uid="{00000000-0005-0000-0000-0000E8440000}"/>
    <cellStyle name="Title 9 9" xfId="17755" xr:uid="{00000000-0005-0000-0000-0000E9440000}"/>
    <cellStyle name="Title 9 9 2" xfId="17756" xr:uid="{00000000-0005-0000-0000-0000EA440000}"/>
    <cellStyle name="Total" xfId="17" builtinId="25" customBuiltin="1"/>
    <cellStyle name="Total 10" xfId="3298" xr:uid="{00000000-0005-0000-0000-0000EC440000}"/>
    <cellStyle name="Total 10 10" xfId="17758" xr:uid="{00000000-0005-0000-0000-0000ED440000}"/>
    <cellStyle name="Total 10 11" xfId="17759" xr:uid="{00000000-0005-0000-0000-0000EE440000}"/>
    <cellStyle name="Total 10 12" xfId="17757" xr:uid="{00000000-0005-0000-0000-0000EF440000}"/>
    <cellStyle name="Total 10 2" xfId="17760" xr:uid="{00000000-0005-0000-0000-0000F0440000}"/>
    <cellStyle name="Total 10 2 2" xfId="17761" xr:uid="{00000000-0005-0000-0000-0000F1440000}"/>
    <cellStyle name="Total 10 2 2 2" xfId="17762" xr:uid="{00000000-0005-0000-0000-0000F2440000}"/>
    <cellStyle name="Total 10 2 3" xfId="17763" xr:uid="{00000000-0005-0000-0000-0000F3440000}"/>
    <cellStyle name="Total 10 2 3 2" xfId="17764" xr:uid="{00000000-0005-0000-0000-0000F4440000}"/>
    <cellStyle name="Total 10 2 4" xfId="17765" xr:uid="{00000000-0005-0000-0000-0000F5440000}"/>
    <cellStyle name="Total 10 2 5" xfId="17766" xr:uid="{00000000-0005-0000-0000-0000F6440000}"/>
    <cellStyle name="Total 10 3" xfId="17767" xr:uid="{00000000-0005-0000-0000-0000F7440000}"/>
    <cellStyle name="Total 10 3 2" xfId="17768" xr:uid="{00000000-0005-0000-0000-0000F8440000}"/>
    <cellStyle name="Total 10 3 2 2" xfId="17769" xr:uid="{00000000-0005-0000-0000-0000F9440000}"/>
    <cellStyle name="Total 10 3 3" xfId="17770" xr:uid="{00000000-0005-0000-0000-0000FA440000}"/>
    <cellStyle name="Total 10 3 3 2" xfId="17771" xr:uid="{00000000-0005-0000-0000-0000FB440000}"/>
    <cellStyle name="Total 10 3 4" xfId="17772" xr:uid="{00000000-0005-0000-0000-0000FC440000}"/>
    <cellStyle name="Total 10 4" xfId="17773" xr:uid="{00000000-0005-0000-0000-0000FD440000}"/>
    <cellStyle name="Total 10 4 2" xfId="17774" xr:uid="{00000000-0005-0000-0000-0000FE440000}"/>
    <cellStyle name="Total 10 4 2 2" xfId="17775" xr:uid="{00000000-0005-0000-0000-0000FF440000}"/>
    <cellStyle name="Total 10 4 3" xfId="17776" xr:uid="{00000000-0005-0000-0000-000000450000}"/>
    <cellStyle name="Total 10 4 3 2" xfId="17777" xr:uid="{00000000-0005-0000-0000-000001450000}"/>
    <cellStyle name="Total 10 4 4" xfId="17778" xr:uid="{00000000-0005-0000-0000-000002450000}"/>
    <cellStyle name="Total 10 5" xfId="17779" xr:uid="{00000000-0005-0000-0000-000003450000}"/>
    <cellStyle name="Total 10 5 2" xfId="17780" xr:uid="{00000000-0005-0000-0000-000004450000}"/>
    <cellStyle name="Total 10 5 2 2" xfId="17781" xr:uid="{00000000-0005-0000-0000-000005450000}"/>
    <cellStyle name="Total 10 5 3" xfId="17782" xr:uid="{00000000-0005-0000-0000-000006450000}"/>
    <cellStyle name="Total 10 5 3 2" xfId="17783" xr:uid="{00000000-0005-0000-0000-000007450000}"/>
    <cellStyle name="Total 10 5 4" xfId="17784" xr:uid="{00000000-0005-0000-0000-000008450000}"/>
    <cellStyle name="Total 10 5 4 2" xfId="17785" xr:uid="{00000000-0005-0000-0000-000009450000}"/>
    <cellStyle name="Total 10 5 5" xfId="17786" xr:uid="{00000000-0005-0000-0000-00000A450000}"/>
    <cellStyle name="Total 10 6" xfId="17787" xr:uid="{00000000-0005-0000-0000-00000B450000}"/>
    <cellStyle name="Total 10 6 2" xfId="17788" xr:uid="{00000000-0005-0000-0000-00000C450000}"/>
    <cellStyle name="Total 10 6 2 2" xfId="17789" xr:uid="{00000000-0005-0000-0000-00000D450000}"/>
    <cellStyle name="Total 10 6 3" xfId="17790" xr:uid="{00000000-0005-0000-0000-00000E450000}"/>
    <cellStyle name="Total 10 6 3 2" xfId="17791" xr:uid="{00000000-0005-0000-0000-00000F450000}"/>
    <cellStyle name="Total 10 6 4" xfId="17792" xr:uid="{00000000-0005-0000-0000-000010450000}"/>
    <cellStyle name="Total 10 7" xfId="17793" xr:uid="{00000000-0005-0000-0000-000011450000}"/>
    <cellStyle name="Total 10 7 2" xfId="17794" xr:uid="{00000000-0005-0000-0000-000012450000}"/>
    <cellStyle name="Total 10 8" xfId="17795" xr:uid="{00000000-0005-0000-0000-000013450000}"/>
    <cellStyle name="Total 10 8 2" xfId="17796" xr:uid="{00000000-0005-0000-0000-000014450000}"/>
    <cellStyle name="Total 10 9" xfId="17797" xr:uid="{00000000-0005-0000-0000-000015450000}"/>
    <cellStyle name="Total 10 9 2" xfId="17798" xr:uid="{00000000-0005-0000-0000-000016450000}"/>
    <cellStyle name="Total 11" xfId="3299" xr:uid="{00000000-0005-0000-0000-000017450000}"/>
    <cellStyle name="Total 11 10" xfId="17800" xr:uid="{00000000-0005-0000-0000-000018450000}"/>
    <cellStyle name="Total 11 11" xfId="17801" xr:uid="{00000000-0005-0000-0000-000019450000}"/>
    <cellStyle name="Total 11 12" xfId="17799" xr:uid="{00000000-0005-0000-0000-00001A450000}"/>
    <cellStyle name="Total 11 2" xfId="17802" xr:uid="{00000000-0005-0000-0000-00001B450000}"/>
    <cellStyle name="Total 11 2 2" xfId="17803" xr:uid="{00000000-0005-0000-0000-00001C450000}"/>
    <cellStyle name="Total 11 2 2 2" xfId="17804" xr:uid="{00000000-0005-0000-0000-00001D450000}"/>
    <cellStyle name="Total 11 2 3" xfId="17805" xr:uid="{00000000-0005-0000-0000-00001E450000}"/>
    <cellStyle name="Total 11 2 3 2" xfId="17806" xr:uid="{00000000-0005-0000-0000-00001F450000}"/>
    <cellStyle name="Total 11 2 4" xfId="17807" xr:uid="{00000000-0005-0000-0000-000020450000}"/>
    <cellStyle name="Total 11 2 5" xfId="17808" xr:uid="{00000000-0005-0000-0000-000021450000}"/>
    <cellStyle name="Total 11 3" xfId="17809" xr:uid="{00000000-0005-0000-0000-000022450000}"/>
    <cellStyle name="Total 11 3 2" xfId="17810" xr:uid="{00000000-0005-0000-0000-000023450000}"/>
    <cellStyle name="Total 11 3 2 2" xfId="17811" xr:uid="{00000000-0005-0000-0000-000024450000}"/>
    <cellStyle name="Total 11 3 3" xfId="17812" xr:uid="{00000000-0005-0000-0000-000025450000}"/>
    <cellStyle name="Total 11 3 3 2" xfId="17813" xr:uid="{00000000-0005-0000-0000-000026450000}"/>
    <cellStyle name="Total 11 3 4" xfId="17814" xr:uid="{00000000-0005-0000-0000-000027450000}"/>
    <cellStyle name="Total 11 4" xfId="17815" xr:uid="{00000000-0005-0000-0000-000028450000}"/>
    <cellStyle name="Total 11 4 2" xfId="17816" xr:uid="{00000000-0005-0000-0000-000029450000}"/>
    <cellStyle name="Total 11 4 2 2" xfId="17817" xr:uid="{00000000-0005-0000-0000-00002A450000}"/>
    <cellStyle name="Total 11 4 3" xfId="17818" xr:uid="{00000000-0005-0000-0000-00002B450000}"/>
    <cellStyle name="Total 11 4 3 2" xfId="17819" xr:uid="{00000000-0005-0000-0000-00002C450000}"/>
    <cellStyle name="Total 11 4 4" xfId="17820" xr:uid="{00000000-0005-0000-0000-00002D450000}"/>
    <cellStyle name="Total 11 5" xfId="17821" xr:uid="{00000000-0005-0000-0000-00002E450000}"/>
    <cellStyle name="Total 11 5 2" xfId="17822" xr:uid="{00000000-0005-0000-0000-00002F450000}"/>
    <cellStyle name="Total 11 5 2 2" xfId="17823" xr:uid="{00000000-0005-0000-0000-000030450000}"/>
    <cellStyle name="Total 11 5 3" xfId="17824" xr:uid="{00000000-0005-0000-0000-000031450000}"/>
    <cellStyle name="Total 11 5 3 2" xfId="17825" xr:uid="{00000000-0005-0000-0000-000032450000}"/>
    <cellStyle name="Total 11 5 4" xfId="17826" xr:uid="{00000000-0005-0000-0000-000033450000}"/>
    <cellStyle name="Total 11 5 4 2" xfId="17827" xr:uid="{00000000-0005-0000-0000-000034450000}"/>
    <cellStyle name="Total 11 5 5" xfId="17828" xr:uid="{00000000-0005-0000-0000-000035450000}"/>
    <cellStyle name="Total 11 6" xfId="17829" xr:uid="{00000000-0005-0000-0000-000036450000}"/>
    <cellStyle name="Total 11 6 2" xfId="17830" xr:uid="{00000000-0005-0000-0000-000037450000}"/>
    <cellStyle name="Total 11 6 2 2" xfId="17831" xr:uid="{00000000-0005-0000-0000-000038450000}"/>
    <cellStyle name="Total 11 6 3" xfId="17832" xr:uid="{00000000-0005-0000-0000-000039450000}"/>
    <cellStyle name="Total 11 6 3 2" xfId="17833" xr:uid="{00000000-0005-0000-0000-00003A450000}"/>
    <cellStyle name="Total 11 6 4" xfId="17834" xr:uid="{00000000-0005-0000-0000-00003B450000}"/>
    <cellStyle name="Total 11 7" xfId="17835" xr:uid="{00000000-0005-0000-0000-00003C450000}"/>
    <cellStyle name="Total 11 7 2" xfId="17836" xr:uid="{00000000-0005-0000-0000-00003D450000}"/>
    <cellStyle name="Total 11 8" xfId="17837" xr:uid="{00000000-0005-0000-0000-00003E450000}"/>
    <cellStyle name="Total 11 8 2" xfId="17838" xr:uid="{00000000-0005-0000-0000-00003F450000}"/>
    <cellStyle name="Total 11 9" xfId="17839" xr:uid="{00000000-0005-0000-0000-000040450000}"/>
    <cellStyle name="Total 11 9 2" xfId="17840" xr:uid="{00000000-0005-0000-0000-000041450000}"/>
    <cellStyle name="Total 12" xfId="3300" xr:uid="{00000000-0005-0000-0000-000042450000}"/>
    <cellStyle name="Total 12 10" xfId="17842" xr:uid="{00000000-0005-0000-0000-000043450000}"/>
    <cellStyle name="Total 12 11" xfId="17843" xr:uid="{00000000-0005-0000-0000-000044450000}"/>
    <cellStyle name="Total 12 12" xfId="17841" xr:uid="{00000000-0005-0000-0000-000045450000}"/>
    <cellStyle name="Total 12 2" xfId="17844" xr:uid="{00000000-0005-0000-0000-000046450000}"/>
    <cellStyle name="Total 12 2 2" xfId="17845" xr:uid="{00000000-0005-0000-0000-000047450000}"/>
    <cellStyle name="Total 12 2 2 2" xfId="17846" xr:uid="{00000000-0005-0000-0000-000048450000}"/>
    <cellStyle name="Total 12 2 3" xfId="17847" xr:uid="{00000000-0005-0000-0000-000049450000}"/>
    <cellStyle name="Total 12 2 3 2" xfId="17848" xr:uid="{00000000-0005-0000-0000-00004A450000}"/>
    <cellStyle name="Total 12 2 4" xfId="17849" xr:uid="{00000000-0005-0000-0000-00004B450000}"/>
    <cellStyle name="Total 12 2 5" xfId="17850" xr:uid="{00000000-0005-0000-0000-00004C450000}"/>
    <cellStyle name="Total 12 3" xfId="17851" xr:uid="{00000000-0005-0000-0000-00004D450000}"/>
    <cellStyle name="Total 12 3 2" xfId="17852" xr:uid="{00000000-0005-0000-0000-00004E450000}"/>
    <cellStyle name="Total 12 3 2 2" xfId="17853" xr:uid="{00000000-0005-0000-0000-00004F450000}"/>
    <cellStyle name="Total 12 3 3" xfId="17854" xr:uid="{00000000-0005-0000-0000-000050450000}"/>
    <cellStyle name="Total 12 3 3 2" xfId="17855" xr:uid="{00000000-0005-0000-0000-000051450000}"/>
    <cellStyle name="Total 12 3 4" xfId="17856" xr:uid="{00000000-0005-0000-0000-000052450000}"/>
    <cellStyle name="Total 12 4" xfId="17857" xr:uid="{00000000-0005-0000-0000-000053450000}"/>
    <cellStyle name="Total 12 4 2" xfId="17858" xr:uid="{00000000-0005-0000-0000-000054450000}"/>
    <cellStyle name="Total 12 4 2 2" xfId="17859" xr:uid="{00000000-0005-0000-0000-000055450000}"/>
    <cellStyle name="Total 12 4 3" xfId="17860" xr:uid="{00000000-0005-0000-0000-000056450000}"/>
    <cellStyle name="Total 12 4 3 2" xfId="17861" xr:uid="{00000000-0005-0000-0000-000057450000}"/>
    <cellStyle name="Total 12 4 4" xfId="17862" xr:uid="{00000000-0005-0000-0000-000058450000}"/>
    <cellStyle name="Total 12 5" xfId="17863" xr:uid="{00000000-0005-0000-0000-000059450000}"/>
    <cellStyle name="Total 12 5 2" xfId="17864" xr:uid="{00000000-0005-0000-0000-00005A450000}"/>
    <cellStyle name="Total 12 5 2 2" xfId="17865" xr:uid="{00000000-0005-0000-0000-00005B450000}"/>
    <cellStyle name="Total 12 5 3" xfId="17866" xr:uid="{00000000-0005-0000-0000-00005C450000}"/>
    <cellStyle name="Total 12 5 3 2" xfId="17867" xr:uid="{00000000-0005-0000-0000-00005D450000}"/>
    <cellStyle name="Total 12 5 4" xfId="17868" xr:uid="{00000000-0005-0000-0000-00005E450000}"/>
    <cellStyle name="Total 12 5 4 2" xfId="17869" xr:uid="{00000000-0005-0000-0000-00005F450000}"/>
    <cellStyle name="Total 12 5 5" xfId="17870" xr:uid="{00000000-0005-0000-0000-000060450000}"/>
    <cellStyle name="Total 12 6" xfId="17871" xr:uid="{00000000-0005-0000-0000-000061450000}"/>
    <cellStyle name="Total 12 6 2" xfId="17872" xr:uid="{00000000-0005-0000-0000-000062450000}"/>
    <cellStyle name="Total 12 6 2 2" xfId="17873" xr:uid="{00000000-0005-0000-0000-000063450000}"/>
    <cellStyle name="Total 12 6 3" xfId="17874" xr:uid="{00000000-0005-0000-0000-000064450000}"/>
    <cellStyle name="Total 12 6 3 2" xfId="17875" xr:uid="{00000000-0005-0000-0000-000065450000}"/>
    <cellStyle name="Total 12 6 4" xfId="17876" xr:uid="{00000000-0005-0000-0000-000066450000}"/>
    <cellStyle name="Total 12 7" xfId="17877" xr:uid="{00000000-0005-0000-0000-000067450000}"/>
    <cellStyle name="Total 12 7 2" xfId="17878" xr:uid="{00000000-0005-0000-0000-000068450000}"/>
    <cellStyle name="Total 12 8" xfId="17879" xr:uid="{00000000-0005-0000-0000-000069450000}"/>
    <cellStyle name="Total 12 8 2" xfId="17880" xr:uid="{00000000-0005-0000-0000-00006A450000}"/>
    <cellStyle name="Total 12 9" xfId="17881" xr:uid="{00000000-0005-0000-0000-00006B450000}"/>
    <cellStyle name="Total 12 9 2" xfId="17882" xr:uid="{00000000-0005-0000-0000-00006C450000}"/>
    <cellStyle name="Total 13" xfId="3301" xr:uid="{00000000-0005-0000-0000-00006D450000}"/>
    <cellStyle name="Total 13 10" xfId="17884" xr:uid="{00000000-0005-0000-0000-00006E450000}"/>
    <cellStyle name="Total 13 11" xfId="17885" xr:uid="{00000000-0005-0000-0000-00006F450000}"/>
    <cellStyle name="Total 13 12" xfId="17883" xr:uid="{00000000-0005-0000-0000-000070450000}"/>
    <cellStyle name="Total 13 2" xfId="17886" xr:uid="{00000000-0005-0000-0000-000071450000}"/>
    <cellStyle name="Total 13 2 2" xfId="17887" xr:uid="{00000000-0005-0000-0000-000072450000}"/>
    <cellStyle name="Total 13 2 2 2" xfId="17888" xr:uid="{00000000-0005-0000-0000-000073450000}"/>
    <cellStyle name="Total 13 2 3" xfId="17889" xr:uid="{00000000-0005-0000-0000-000074450000}"/>
    <cellStyle name="Total 13 2 3 2" xfId="17890" xr:uid="{00000000-0005-0000-0000-000075450000}"/>
    <cellStyle name="Total 13 2 4" xfId="17891" xr:uid="{00000000-0005-0000-0000-000076450000}"/>
    <cellStyle name="Total 13 2 5" xfId="17892" xr:uid="{00000000-0005-0000-0000-000077450000}"/>
    <cellStyle name="Total 13 3" xfId="17893" xr:uid="{00000000-0005-0000-0000-000078450000}"/>
    <cellStyle name="Total 13 3 2" xfId="17894" xr:uid="{00000000-0005-0000-0000-000079450000}"/>
    <cellStyle name="Total 13 3 2 2" xfId="17895" xr:uid="{00000000-0005-0000-0000-00007A450000}"/>
    <cellStyle name="Total 13 3 3" xfId="17896" xr:uid="{00000000-0005-0000-0000-00007B450000}"/>
    <cellStyle name="Total 13 3 3 2" xfId="17897" xr:uid="{00000000-0005-0000-0000-00007C450000}"/>
    <cellStyle name="Total 13 3 4" xfId="17898" xr:uid="{00000000-0005-0000-0000-00007D450000}"/>
    <cellStyle name="Total 13 4" xfId="17899" xr:uid="{00000000-0005-0000-0000-00007E450000}"/>
    <cellStyle name="Total 13 4 2" xfId="17900" xr:uid="{00000000-0005-0000-0000-00007F450000}"/>
    <cellStyle name="Total 13 4 2 2" xfId="17901" xr:uid="{00000000-0005-0000-0000-000080450000}"/>
    <cellStyle name="Total 13 4 3" xfId="17902" xr:uid="{00000000-0005-0000-0000-000081450000}"/>
    <cellStyle name="Total 13 4 3 2" xfId="17903" xr:uid="{00000000-0005-0000-0000-000082450000}"/>
    <cellStyle name="Total 13 4 4" xfId="17904" xr:uid="{00000000-0005-0000-0000-000083450000}"/>
    <cellStyle name="Total 13 5" xfId="17905" xr:uid="{00000000-0005-0000-0000-000084450000}"/>
    <cellStyle name="Total 13 5 2" xfId="17906" xr:uid="{00000000-0005-0000-0000-000085450000}"/>
    <cellStyle name="Total 13 5 2 2" xfId="17907" xr:uid="{00000000-0005-0000-0000-000086450000}"/>
    <cellStyle name="Total 13 5 3" xfId="17908" xr:uid="{00000000-0005-0000-0000-000087450000}"/>
    <cellStyle name="Total 13 5 3 2" xfId="17909" xr:uid="{00000000-0005-0000-0000-000088450000}"/>
    <cellStyle name="Total 13 5 4" xfId="17910" xr:uid="{00000000-0005-0000-0000-000089450000}"/>
    <cellStyle name="Total 13 5 4 2" xfId="17911" xr:uid="{00000000-0005-0000-0000-00008A450000}"/>
    <cellStyle name="Total 13 5 5" xfId="17912" xr:uid="{00000000-0005-0000-0000-00008B450000}"/>
    <cellStyle name="Total 13 6" xfId="17913" xr:uid="{00000000-0005-0000-0000-00008C450000}"/>
    <cellStyle name="Total 13 6 2" xfId="17914" xr:uid="{00000000-0005-0000-0000-00008D450000}"/>
    <cellStyle name="Total 13 6 2 2" xfId="17915" xr:uid="{00000000-0005-0000-0000-00008E450000}"/>
    <cellStyle name="Total 13 6 3" xfId="17916" xr:uid="{00000000-0005-0000-0000-00008F450000}"/>
    <cellStyle name="Total 13 6 3 2" xfId="17917" xr:uid="{00000000-0005-0000-0000-000090450000}"/>
    <cellStyle name="Total 13 6 4" xfId="17918" xr:uid="{00000000-0005-0000-0000-000091450000}"/>
    <cellStyle name="Total 13 7" xfId="17919" xr:uid="{00000000-0005-0000-0000-000092450000}"/>
    <cellStyle name="Total 13 7 2" xfId="17920" xr:uid="{00000000-0005-0000-0000-000093450000}"/>
    <cellStyle name="Total 13 8" xfId="17921" xr:uid="{00000000-0005-0000-0000-000094450000}"/>
    <cellStyle name="Total 13 8 2" xfId="17922" xr:uid="{00000000-0005-0000-0000-000095450000}"/>
    <cellStyle name="Total 13 9" xfId="17923" xr:uid="{00000000-0005-0000-0000-000096450000}"/>
    <cellStyle name="Total 13 9 2" xfId="17924" xr:uid="{00000000-0005-0000-0000-000097450000}"/>
    <cellStyle name="Total 14" xfId="3302" xr:uid="{00000000-0005-0000-0000-000098450000}"/>
    <cellStyle name="Total 14 10" xfId="17926" xr:uid="{00000000-0005-0000-0000-000099450000}"/>
    <cellStyle name="Total 14 11" xfId="17927" xr:uid="{00000000-0005-0000-0000-00009A450000}"/>
    <cellStyle name="Total 14 12" xfId="17925" xr:uid="{00000000-0005-0000-0000-00009B450000}"/>
    <cellStyle name="Total 14 2" xfId="17928" xr:uid="{00000000-0005-0000-0000-00009C450000}"/>
    <cellStyle name="Total 14 2 2" xfId="17929" xr:uid="{00000000-0005-0000-0000-00009D450000}"/>
    <cellStyle name="Total 14 2 2 2" xfId="17930" xr:uid="{00000000-0005-0000-0000-00009E450000}"/>
    <cellStyle name="Total 14 2 3" xfId="17931" xr:uid="{00000000-0005-0000-0000-00009F450000}"/>
    <cellStyle name="Total 14 2 3 2" xfId="17932" xr:uid="{00000000-0005-0000-0000-0000A0450000}"/>
    <cellStyle name="Total 14 2 4" xfId="17933" xr:uid="{00000000-0005-0000-0000-0000A1450000}"/>
    <cellStyle name="Total 14 2 5" xfId="17934" xr:uid="{00000000-0005-0000-0000-0000A2450000}"/>
    <cellStyle name="Total 14 3" xfId="17935" xr:uid="{00000000-0005-0000-0000-0000A3450000}"/>
    <cellStyle name="Total 14 3 2" xfId="17936" xr:uid="{00000000-0005-0000-0000-0000A4450000}"/>
    <cellStyle name="Total 14 3 2 2" xfId="17937" xr:uid="{00000000-0005-0000-0000-0000A5450000}"/>
    <cellStyle name="Total 14 3 3" xfId="17938" xr:uid="{00000000-0005-0000-0000-0000A6450000}"/>
    <cellStyle name="Total 14 3 3 2" xfId="17939" xr:uid="{00000000-0005-0000-0000-0000A7450000}"/>
    <cellStyle name="Total 14 3 4" xfId="17940" xr:uid="{00000000-0005-0000-0000-0000A8450000}"/>
    <cellStyle name="Total 14 4" xfId="17941" xr:uid="{00000000-0005-0000-0000-0000A9450000}"/>
    <cellStyle name="Total 14 4 2" xfId="17942" xr:uid="{00000000-0005-0000-0000-0000AA450000}"/>
    <cellStyle name="Total 14 4 2 2" xfId="17943" xr:uid="{00000000-0005-0000-0000-0000AB450000}"/>
    <cellStyle name="Total 14 4 3" xfId="17944" xr:uid="{00000000-0005-0000-0000-0000AC450000}"/>
    <cellStyle name="Total 14 4 3 2" xfId="17945" xr:uid="{00000000-0005-0000-0000-0000AD450000}"/>
    <cellStyle name="Total 14 4 4" xfId="17946" xr:uid="{00000000-0005-0000-0000-0000AE450000}"/>
    <cellStyle name="Total 14 5" xfId="17947" xr:uid="{00000000-0005-0000-0000-0000AF450000}"/>
    <cellStyle name="Total 14 5 2" xfId="17948" xr:uid="{00000000-0005-0000-0000-0000B0450000}"/>
    <cellStyle name="Total 14 5 2 2" xfId="17949" xr:uid="{00000000-0005-0000-0000-0000B1450000}"/>
    <cellStyle name="Total 14 5 3" xfId="17950" xr:uid="{00000000-0005-0000-0000-0000B2450000}"/>
    <cellStyle name="Total 14 5 3 2" xfId="17951" xr:uid="{00000000-0005-0000-0000-0000B3450000}"/>
    <cellStyle name="Total 14 5 4" xfId="17952" xr:uid="{00000000-0005-0000-0000-0000B4450000}"/>
    <cellStyle name="Total 14 5 4 2" xfId="17953" xr:uid="{00000000-0005-0000-0000-0000B5450000}"/>
    <cellStyle name="Total 14 5 5" xfId="17954" xr:uid="{00000000-0005-0000-0000-0000B6450000}"/>
    <cellStyle name="Total 14 6" xfId="17955" xr:uid="{00000000-0005-0000-0000-0000B7450000}"/>
    <cellStyle name="Total 14 6 2" xfId="17956" xr:uid="{00000000-0005-0000-0000-0000B8450000}"/>
    <cellStyle name="Total 14 6 2 2" xfId="17957" xr:uid="{00000000-0005-0000-0000-0000B9450000}"/>
    <cellStyle name="Total 14 6 3" xfId="17958" xr:uid="{00000000-0005-0000-0000-0000BA450000}"/>
    <cellStyle name="Total 14 6 3 2" xfId="17959" xr:uid="{00000000-0005-0000-0000-0000BB450000}"/>
    <cellStyle name="Total 14 6 4" xfId="17960" xr:uid="{00000000-0005-0000-0000-0000BC450000}"/>
    <cellStyle name="Total 14 7" xfId="17961" xr:uid="{00000000-0005-0000-0000-0000BD450000}"/>
    <cellStyle name="Total 14 7 2" xfId="17962" xr:uid="{00000000-0005-0000-0000-0000BE450000}"/>
    <cellStyle name="Total 14 8" xfId="17963" xr:uid="{00000000-0005-0000-0000-0000BF450000}"/>
    <cellStyle name="Total 14 8 2" xfId="17964" xr:uid="{00000000-0005-0000-0000-0000C0450000}"/>
    <cellStyle name="Total 14 9" xfId="17965" xr:uid="{00000000-0005-0000-0000-0000C1450000}"/>
    <cellStyle name="Total 14 9 2" xfId="17966" xr:uid="{00000000-0005-0000-0000-0000C2450000}"/>
    <cellStyle name="Total 15" xfId="3303" xr:uid="{00000000-0005-0000-0000-0000C3450000}"/>
    <cellStyle name="Total 15 10" xfId="17968" xr:uid="{00000000-0005-0000-0000-0000C4450000}"/>
    <cellStyle name="Total 15 11" xfId="17969" xr:uid="{00000000-0005-0000-0000-0000C5450000}"/>
    <cellStyle name="Total 15 12" xfId="17967" xr:uid="{00000000-0005-0000-0000-0000C6450000}"/>
    <cellStyle name="Total 15 2" xfId="17970" xr:uid="{00000000-0005-0000-0000-0000C7450000}"/>
    <cellStyle name="Total 15 2 2" xfId="17971" xr:uid="{00000000-0005-0000-0000-0000C8450000}"/>
    <cellStyle name="Total 15 2 2 2" xfId="17972" xr:uid="{00000000-0005-0000-0000-0000C9450000}"/>
    <cellStyle name="Total 15 2 3" xfId="17973" xr:uid="{00000000-0005-0000-0000-0000CA450000}"/>
    <cellStyle name="Total 15 2 3 2" xfId="17974" xr:uid="{00000000-0005-0000-0000-0000CB450000}"/>
    <cellStyle name="Total 15 2 4" xfId="17975" xr:uid="{00000000-0005-0000-0000-0000CC450000}"/>
    <cellStyle name="Total 15 2 5" xfId="17976" xr:uid="{00000000-0005-0000-0000-0000CD450000}"/>
    <cellStyle name="Total 15 3" xfId="17977" xr:uid="{00000000-0005-0000-0000-0000CE450000}"/>
    <cellStyle name="Total 15 3 2" xfId="17978" xr:uid="{00000000-0005-0000-0000-0000CF450000}"/>
    <cellStyle name="Total 15 3 2 2" xfId="17979" xr:uid="{00000000-0005-0000-0000-0000D0450000}"/>
    <cellStyle name="Total 15 3 3" xfId="17980" xr:uid="{00000000-0005-0000-0000-0000D1450000}"/>
    <cellStyle name="Total 15 3 3 2" xfId="17981" xr:uid="{00000000-0005-0000-0000-0000D2450000}"/>
    <cellStyle name="Total 15 3 4" xfId="17982" xr:uid="{00000000-0005-0000-0000-0000D3450000}"/>
    <cellStyle name="Total 15 4" xfId="17983" xr:uid="{00000000-0005-0000-0000-0000D4450000}"/>
    <cellStyle name="Total 15 4 2" xfId="17984" xr:uid="{00000000-0005-0000-0000-0000D5450000}"/>
    <cellStyle name="Total 15 4 2 2" xfId="17985" xr:uid="{00000000-0005-0000-0000-0000D6450000}"/>
    <cellStyle name="Total 15 4 3" xfId="17986" xr:uid="{00000000-0005-0000-0000-0000D7450000}"/>
    <cellStyle name="Total 15 4 3 2" xfId="17987" xr:uid="{00000000-0005-0000-0000-0000D8450000}"/>
    <cellStyle name="Total 15 4 4" xfId="17988" xr:uid="{00000000-0005-0000-0000-0000D9450000}"/>
    <cellStyle name="Total 15 5" xfId="17989" xr:uid="{00000000-0005-0000-0000-0000DA450000}"/>
    <cellStyle name="Total 15 5 2" xfId="17990" xr:uid="{00000000-0005-0000-0000-0000DB450000}"/>
    <cellStyle name="Total 15 5 2 2" xfId="17991" xr:uid="{00000000-0005-0000-0000-0000DC450000}"/>
    <cellStyle name="Total 15 5 3" xfId="17992" xr:uid="{00000000-0005-0000-0000-0000DD450000}"/>
    <cellStyle name="Total 15 5 3 2" xfId="17993" xr:uid="{00000000-0005-0000-0000-0000DE450000}"/>
    <cellStyle name="Total 15 5 4" xfId="17994" xr:uid="{00000000-0005-0000-0000-0000DF450000}"/>
    <cellStyle name="Total 15 5 4 2" xfId="17995" xr:uid="{00000000-0005-0000-0000-0000E0450000}"/>
    <cellStyle name="Total 15 5 5" xfId="17996" xr:uid="{00000000-0005-0000-0000-0000E1450000}"/>
    <cellStyle name="Total 15 6" xfId="17997" xr:uid="{00000000-0005-0000-0000-0000E2450000}"/>
    <cellStyle name="Total 15 6 2" xfId="17998" xr:uid="{00000000-0005-0000-0000-0000E3450000}"/>
    <cellStyle name="Total 15 6 2 2" xfId="17999" xr:uid="{00000000-0005-0000-0000-0000E4450000}"/>
    <cellStyle name="Total 15 6 3" xfId="18000" xr:uid="{00000000-0005-0000-0000-0000E5450000}"/>
    <cellStyle name="Total 15 6 3 2" xfId="18001" xr:uid="{00000000-0005-0000-0000-0000E6450000}"/>
    <cellStyle name="Total 15 6 4" xfId="18002" xr:uid="{00000000-0005-0000-0000-0000E7450000}"/>
    <cellStyle name="Total 15 7" xfId="18003" xr:uid="{00000000-0005-0000-0000-0000E8450000}"/>
    <cellStyle name="Total 15 7 2" xfId="18004" xr:uid="{00000000-0005-0000-0000-0000E9450000}"/>
    <cellStyle name="Total 15 8" xfId="18005" xr:uid="{00000000-0005-0000-0000-0000EA450000}"/>
    <cellStyle name="Total 15 8 2" xfId="18006" xr:uid="{00000000-0005-0000-0000-0000EB450000}"/>
    <cellStyle name="Total 15 9" xfId="18007" xr:uid="{00000000-0005-0000-0000-0000EC450000}"/>
    <cellStyle name="Total 15 9 2" xfId="18008" xr:uid="{00000000-0005-0000-0000-0000ED450000}"/>
    <cellStyle name="Total 16" xfId="3304" xr:uid="{00000000-0005-0000-0000-0000EE450000}"/>
    <cellStyle name="Total 16 10" xfId="18010" xr:uid="{00000000-0005-0000-0000-0000EF450000}"/>
    <cellStyle name="Total 16 11" xfId="18011" xr:uid="{00000000-0005-0000-0000-0000F0450000}"/>
    <cellStyle name="Total 16 12" xfId="18009" xr:uid="{00000000-0005-0000-0000-0000F1450000}"/>
    <cellStyle name="Total 16 2" xfId="18012" xr:uid="{00000000-0005-0000-0000-0000F2450000}"/>
    <cellStyle name="Total 16 2 2" xfId="18013" xr:uid="{00000000-0005-0000-0000-0000F3450000}"/>
    <cellStyle name="Total 16 2 2 2" xfId="18014" xr:uid="{00000000-0005-0000-0000-0000F4450000}"/>
    <cellStyle name="Total 16 2 3" xfId="18015" xr:uid="{00000000-0005-0000-0000-0000F5450000}"/>
    <cellStyle name="Total 16 2 3 2" xfId="18016" xr:uid="{00000000-0005-0000-0000-0000F6450000}"/>
    <cellStyle name="Total 16 2 4" xfId="18017" xr:uid="{00000000-0005-0000-0000-0000F7450000}"/>
    <cellStyle name="Total 16 2 5" xfId="18018" xr:uid="{00000000-0005-0000-0000-0000F8450000}"/>
    <cellStyle name="Total 16 3" xfId="18019" xr:uid="{00000000-0005-0000-0000-0000F9450000}"/>
    <cellStyle name="Total 16 3 2" xfId="18020" xr:uid="{00000000-0005-0000-0000-0000FA450000}"/>
    <cellStyle name="Total 16 3 2 2" xfId="18021" xr:uid="{00000000-0005-0000-0000-0000FB450000}"/>
    <cellStyle name="Total 16 3 3" xfId="18022" xr:uid="{00000000-0005-0000-0000-0000FC450000}"/>
    <cellStyle name="Total 16 3 3 2" xfId="18023" xr:uid="{00000000-0005-0000-0000-0000FD450000}"/>
    <cellStyle name="Total 16 3 4" xfId="18024" xr:uid="{00000000-0005-0000-0000-0000FE450000}"/>
    <cellStyle name="Total 16 4" xfId="18025" xr:uid="{00000000-0005-0000-0000-0000FF450000}"/>
    <cellStyle name="Total 16 4 2" xfId="18026" xr:uid="{00000000-0005-0000-0000-000000460000}"/>
    <cellStyle name="Total 16 4 2 2" xfId="18027" xr:uid="{00000000-0005-0000-0000-000001460000}"/>
    <cellStyle name="Total 16 4 3" xfId="18028" xr:uid="{00000000-0005-0000-0000-000002460000}"/>
    <cellStyle name="Total 16 4 3 2" xfId="18029" xr:uid="{00000000-0005-0000-0000-000003460000}"/>
    <cellStyle name="Total 16 4 4" xfId="18030" xr:uid="{00000000-0005-0000-0000-000004460000}"/>
    <cellStyle name="Total 16 5" xfId="18031" xr:uid="{00000000-0005-0000-0000-000005460000}"/>
    <cellStyle name="Total 16 5 2" xfId="18032" xr:uid="{00000000-0005-0000-0000-000006460000}"/>
    <cellStyle name="Total 16 5 2 2" xfId="18033" xr:uid="{00000000-0005-0000-0000-000007460000}"/>
    <cellStyle name="Total 16 5 3" xfId="18034" xr:uid="{00000000-0005-0000-0000-000008460000}"/>
    <cellStyle name="Total 16 5 3 2" xfId="18035" xr:uid="{00000000-0005-0000-0000-000009460000}"/>
    <cellStyle name="Total 16 5 4" xfId="18036" xr:uid="{00000000-0005-0000-0000-00000A460000}"/>
    <cellStyle name="Total 16 5 4 2" xfId="18037" xr:uid="{00000000-0005-0000-0000-00000B460000}"/>
    <cellStyle name="Total 16 5 5" xfId="18038" xr:uid="{00000000-0005-0000-0000-00000C460000}"/>
    <cellStyle name="Total 16 6" xfId="18039" xr:uid="{00000000-0005-0000-0000-00000D460000}"/>
    <cellStyle name="Total 16 6 2" xfId="18040" xr:uid="{00000000-0005-0000-0000-00000E460000}"/>
    <cellStyle name="Total 16 6 2 2" xfId="18041" xr:uid="{00000000-0005-0000-0000-00000F460000}"/>
    <cellStyle name="Total 16 6 3" xfId="18042" xr:uid="{00000000-0005-0000-0000-000010460000}"/>
    <cellStyle name="Total 16 6 3 2" xfId="18043" xr:uid="{00000000-0005-0000-0000-000011460000}"/>
    <cellStyle name="Total 16 6 4" xfId="18044" xr:uid="{00000000-0005-0000-0000-000012460000}"/>
    <cellStyle name="Total 16 7" xfId="18045" xr:uid="{00000000-0005-0000-0000-000013460000}"/>
    <cellStyle name="Total 16 7 2" xfId="18046" xr:uid="{00000000-0005-0000-0000-000014460000}"/>
    <cellStyle name="Total 16 8" xfId="18047" xr:uid="{00000000-0005-0000-0000-000015460000}"/>
    <cellStyle name="Total 16 8 2" xfId="18048" xr:uid="{00000000-0005-0000-0000-000016460000}"/>
    <cellStyle name="Total 16 9" xfId="18049" xr:uid="{00000000-0005-0000-0000-000017460000}"/>
    <cellStyle name="Total 16 9 2" xfId="18050" xr:uid="{00000000-0005-0000-0000-000018460000}"/>
    <cellStyle name="Total 17" xfId="3305" xr:uid="{00000000-0005-0000-0000-000019460000}"/>
    <cellStyle name="Total 17 10" xfId="18052" xr:uid="{00000000-0005-0000-0000-00001A460000}"/>
    <cellStyle name="Total 17 11" xfId="18053" xr:uid="{00000000-0005-0000-0000-00001B460000}"/>
    <cellStyle name="Total 17 12" xfId="18051" xr:uid="{00000000-0005-0000-0000-00001C460000}"/>
    <cellStyle name="Total 17 2" xfId="18054" xr:uid="{00000000-0005-0000-0000-00001D460000}"/>
    <cellStyle name="Total 17 2 2" xfId="18055" xr:uid="{00000000-0005-0000-0000-00001E460000}"/>
    <cellStyle name="Total 17 2 2 2" xfId="18056" xr:uid="{00000000-0005-0000-0000-00001F460000}"/>
    <cellStyle name="Total 17 2 3" xfId="18057" xr:uid="{00000000-0005-0000-0000-000020460000}"/>
    <cellStyle name="Total 17 2 3 2" xfId="18058" xr:uid="{00000000-0005-0000-0000-000021460000}"/>
    <cellStyle name="Total 17 2 4" xfId="18059" xr:uid="{00000000-0005-0000-0000-000022460000}"/>
    <cellStyle name="Total 17 2 5" xfId="18060" xr:uid="{00000000-0005-0000-0000-000023460000}"/>
    <cellStyle name="Total 17 3" xfId="18061" xr:uid="{00000000-0005-0000-0000-000024460000}"/>
    <cellStyle name="Total 17 3 2" xfId="18062" xr:uid="{00000000-0005-0000-0000-000025460000}"/>
    <cellStyle name="Total 17 3 2 2" xfId="18063" xr:uid="{00000000-0005-0000-0000-000026460000}"/>
    <cellStyle name="Total 17 3 3" xfId="18064" xr:uid="{00000000-0005-0000-0000-000027460000}"/>
    <cellStyle name="Total 17 3 3 2" xfId="18065" xr:uid="{00000000-0005-0000-0000-000028460000}"/>
    <cellStyle name="Total 17 3 4" xfId="18066" xr:uid="{00000000-0005-0000-0000-000029460000}"/>
    <cellStyle name="Total 17 4" xfId="18067" xr:uid="{00000000-0005-0000-0000-00002A460000}"/>
    <cellStyle name="Total 17 4 2" xfId="18068" xr:uid="{00000000-0005-0000-0000-00002B460000}"/>
    <cellStyle name="Total 17 4 2 2" xfId="18069" xr:uid="{00000000-0005-0000-0000-00002C460000}"/>
    <cellStyle name="Total 17 4 3" xfId="18070" xr:uid="{00000000-0005-0000-0000-00002D460000}"/>
    <cellStyle name="Total 17 4 3 2" xfId="18071" xr:uid="{00000000-0005-0000-0000-00002E460000}"/>
    <cellStyle name="Total 17 4 4" xfId="18072" xr:uid="{00000000-0005-0000-0000-00002F460000}"/>
    <cellStyle name="Total 17 5" xfId="18073" xr:uid="{00000000-0005-0000-0000-000030460000}"/>
    <cellStyle name="Total 17 5 2" xfId="18074" xr:uid="{00000000-0005-0000-0000-000031460000}"/>
    <cellStyle name="Total 17 5 2 2" xfId="18075" xr:uid="{00000000-0005-0000-0000-000032460000}"/>
    <cellStyle name="Total 17 5 3" xfId="18076" xr:uid="{00000000-0005-0000-0000-000033460000}"/>
    <cellStyle name="Total 17 5 3 2" xfId="18077" xr:uid="{00000000-0005-0000-0000-000034460000}"/>
    <cellStyle name="Total 17 5 4" xfId="18078" xr:uid="{00000000-0005-0000-0000-000035460000}"/>
    <cellStyle name="Total 17 5 4 2" xfId="18079" xr:uid="{00000000-0005-0000-0000-000036460000}"/>
    <cellStyle name="Total 17 5 5" xfId="18080" xr:uid="{00000000-0005-0000-0000-000037460000}"/>
    <cellStyle name="Total 17 6" xfId="18081" xr:uid="{00000000-0005-0000-0000-000038460000}"/>
    <cellStyle name="Total 17 6 2" xfId="18082" xr:uid="{00000000-0005-0000-0000-000039460000}"/>
    <cellStyle name="Total 17 6 2 2" xfId="18083" xr:uid="{00000000-0005-0000-0000-00003A460000}"/>
    <cellStyle name="Total 17 6 3" xfId="18084" xr:uid="{00000000-0005-0000-0000-00003B460000}"/>
    <cellStyle name="Total 17 6 3 2" xfId="18085" xr:uid="{00000000-0005-0000-0000-00003C460000}"/>
    <cellStyle name="Total 17 6 4" xfId="18086" xr:uid="{00000000-0005-0000-0000-00003D460000}"/>
    <cellStyle name="Total 17 7" xfId="18087" xr:uid="{00000000-0005-0000-0000-00003E460000}"/>
    <cellStyle name="Total 17 7 2" xfId="18088" xr:uid="{00000000-0005-0000-0000-00003F460000}"/>
    <cellStyle name="Total 17 8" xfId="18089" xr:uid="{00000000-0005-0000-0000-000040460000}"/>
    <cellStyle name="Total 17 8 2" xfId="18090" xr:uid="{00000000-0005-0000-0000-000041460000}"/>
    <cellStyle name="Total 17 9" xfId="18091" xr:uid="{00000000-0005-0000-0000-000042460000}"/>
    <cellStyle name="Total 17 9 2" xfId="18092" xr:uid="{00000000-0005-0000-0000-000043460000}"/>
    <cellStyle name="Total 18" xfId="3306" xr:uid="{00000000-0005-0000-0000-000044460000}"/>
    <cellStyle name="Total 18 10" xfId="18094" xr:uid="{00000000-0005-0000-0000-000045460000}"/>
    <cellStyle name="Total 18 11" xfId="18095" xr:uid="{00000000-0005-0000-0000-000046460000}"/>
    <cellStyle name="Total 18 12" xfId="18093" xr:uid="{00000000-0005-0000-0000-000047460000}"/>
    <cellStyle name="Total 18 2" xfId="18096" xr:uid="{00000000-0005-0000-0000-000048460000}"/>
    <cellStyle name="Total 18 2 2" xfId="18097" xr:uid="{00000000-0005-0000-0000-000049460000}"/>
    <cellStyle name="Total 18 2 2 2" xfId="18098" xr:uid="{00000000-0005-0000-0000-00004A460000}"/>
    <cellStyle name="Total 18 2 3" xfId="18099" xr:uid="{00000000-0005-0000-0000-00004B460000}"/>
    <cellStyle name="Total 18 2 3 2" xfId="18100" xr:uid="{00000000-0005-0000-0000-00004C460000}"/>
    <cellStyle name="Total 18 2 4" xfId="18101" xr:uid="{00000000-0005-0000-0000-00004D460000}"/>
    <cellStyle name="Total 18 2 5" xfId="18102" xr:uid="{00000000-0005-0000-0000-00004E460000}"/>
    <cellStyle name="Total 18 3" xfId="18103" xr:uid="{00000000-0005-0000-0000-00004F460000}"/>
    <cellStyle name="Total 18 3 2" xfId="18104" xr:uid="{00000000-0005-0000-0000-000050460000}"/>
    <cellStyle name="Total 18 3 2 2" xfId="18105" xr:uid="{00000000-0005-0000-0000-000051460000}"/>
    <cellStyle name="Total 18 3 3" xfId="18106" xr:uid="{00000000-0005-0000-0000-000052460000}"/>
    <cellStyle name="Total 18 3 3 2" xfId="18107" xr:uid="{00000000-0005-0000-0000-000053460000}"/>
    <cellStyle name="Total 18 3 4" xfId="18108" xr:uid="{00000000-0005-0000-0000-000054460000}"/>
    <cellStyle name="Total 18 4" xfId="18109" xr:uid="{00000000-0005-0000-0000-000055460000}"/>
    <cellStyle name="Total 18 4 2" xfId="18110" xr:uid="{00000000-0005-0000-0000-000056460000}"/>
    <cellStyle name="Total 18 4 2 2" xfId="18111" xr:uid="{00000000-0005-0000-0000-000057460000}"/>
    <cellStyle name="Total 18 4 3" xfId="18112" xr:uid="{00000000-0005-0000-0000-000058460000}"/>
    <cellStyle name="Total 18 4 3 2" xfId="18113" xr:uid="{00000000-0005-0000-0000-000059460000}"/>
    <cellStyle name="Total 18 4 4" xfId="18114" xr:uid="{00000000-0005-0000-0000-00005A460000}"/>
    <cellStyle name="Total 18 5" xfId="18115" xr:uid="{00000000-0005-0000-0000-00005B460000}"/>
    <cellStyle name="Total 18 5 2" xfId="18116" xr:uid="{00000000-0005-0000-0000-00005C460000}"/>
    <cellStyle name="Total 18 5 2 2" xfId="18117" xr:uid="{00000000-0005-0000-0000-00005D460000}"/>
    <cellStyle name="Total 18 5 3" xfId="18118" xr:uid="{00000000-0005-0000-0000-00005E460000}"/>
    <cellStyle name="Total 18 5 3 2" xfId="18119" xr:uid="{00000000-0005-0000-0000-00005F460000}"/>
    <cellStyle name="Total 18 5 4" xfId="18120" xr:uid="{00000000-0005-0000-0000-000060460000}"/>
    <cellStyle name="Total 18 5 4 2" xfId="18121" xr:uid="{00000000-0005-0000-0000-000061460000}"/>
    <cellStyle name="Total 18 5 5" xfId="18122" xr:uid="{00000000-0005-0000-0000-000062460000}"/>
    <cellStyle name="Total 18 6" xfId="18123" xr:uid="{00000000-0005-0000-0000-000063460000}"/>
    <cellStyle name="Total 18 6 2" xfId="18124" xr:uid="{00000000-0005-0000-0000-000064460000}"/>
    <cellStyle name="Total 18 6 2 2" xfId="18125" xr:uid="{00000000-0005-0000-0000-000065460000}"/>
    <cellStyle name="Total 18 6 3" xfId="18126" xr:uid="{00000000-0005-0000-0000-000066460000}"/>
    <cellStyle name="Total 18 6 3 2" xfId="18127" xr:uid="{00000000-0005-0000-0000-000067460000}"/>
    <cellStyle name="Total 18 6 4" xfId="18128" xr:uid="{00000000-0005-0000-0000-000068460000}"/>
    <cellStyle name="Total 18 7" xfId="18129" xr:uid="{00000000-0005-0000-0000-000069460000}"/>
    <cellStyle name="Total 18 7 2" xfId="18130" xr:uid="{00000000-0005-0000-0000-00006A460000}"/>
    <cellStyle name="Total 18 8" xfId="18131" xr:uid="{00000000-0005-0000-0000-00006B460000}"/>
    <cellStyle name="Total 18 8 2" xfId="18132" xr:uid="{00000000-0005-0000-0000-00006C460000}"/>
    <cellStyle name="Total 18 9" xfId="18133" xr:uid="{00000000-0005-0000-0000-00006D460000}"/>
    <cellStyle name="Total 18 9 2" xfId="18134" xr:uid="{00000000-0005-0000-0000-00006E460000}"/>
    <cellStyle name="Total 19" xfId="3307" xr:uid="{00000000-0005-0000-0000-00006F460000}"/>
    <cellStyle name="Total 19 10" xfId="18136" xr:uid="{00000000-0005-0000-0000-000070460000}"/>
    <cellStyle name="Total 19 11" xfId="18137" xr:uid="{00000000-0005-0000-0000-000071460000}"/>
    <cellStyle name="Total 19 12" xfId="18135" xr:uid="{00000000-0005-0000-0000-000072460000}"/>
    <cellStyle name="Total 19 2" xfId="18138" xr:uid="{00000000-0005-0000-0000-000073460000}"/>
    <cellStyle name="Total 19 2 2" xfId="18139" xr:uid="{00000000-0005-0000-0000-000074460000}"/>
    <cellStyle name="Total 19 2 2 2" xfId="18140" xr:uid="{00000000-0005-0000-0000-000075460000}"/>
    <cellStyle name="Total 19 2 3" xfId="18141" xr:uid="{00000000-0005-0000-0000-000076460000}"/>
    <cellStyle name="Total 19 2 3 2" xfId="18142" xr:uid="{00000000-0005-0000-0000-000077460000}"/>
    <cellStyle name="Total 19 2 4" xfId="18143" xr:uid="{00000000-0005-0000-0000-000078460000}"/>
    <cellStyle name="Total 19 2 5" xfId="18144" xr:uid="{00000000-0005-0000-0000-000079460000}"/>
    <cellStyle name="Total 19 3" xfId="18145" xr:uid="{00000000-0005-0000-0000-00007A460000}"/>
    <cellStyle name="Total 19 3 2" xfId="18146" xr:uid="{00000000-0005-0000-0000-00007B460000}"/>
    <cellStyle name="Total 19 3 2 2" xfId="18147" xr:uid="{00000000-0005-0000-0000-00007C460000}"/>
    <cellStyle name="Total 19 3 3" xfId="18148" xr:uid="{00000000-0005-0000-0000-00007D460000}"/>
    <cellStyle name="Total 19 3 3 2" xfId="18149" xr:uid="{00000000-0005-0000-0000-00007E460000}"/>
    <cellStyle name="Total 19 3 4" xfId="18150" xr:uid="{00000000-0005-0000-0000-00007F460000}"/>
    <cellStyle name="Total 19 4" xfId="18151" xr:uid="{00000000-0005-0000-0000-000080460000}"/>
    <cellStyle name="Total 19 4 2" xfId="18152" xr:uid="{00000000-0005-0000-0000-000081460000}"/>
    <cellStyle name="Total 19 4 2 2" xfId="18153" xr:uid="{00000000-0005-0000-0000-000082460000}"/>
    <cellStyle name="Total 19 4 3" xfId="18154" xr:uid="{00000000-0005-0000-0000-000083460000}"/>
    <cellStyle name="Total 19 4 3 2" xfId="18155" xr:uid="{00000000-0005-0000-0000-000084460000}"/>
    <cellStyle name="Total 19 4 4" xfId="18156" xr:uid="{00000000-0005-0000-0000-000085460000}"/>
    <cellStyle name="Total 19 5" xfId="18157" xr:uid="{00000000-0005-0000-0000-000086460000}"/>
    <cellStyle name="Total 19 5 2" xfId="18158" xr:uid="{00000000-0005-0000-0000-000087460000}"/>
    <cellStyle name="Total 19 5 2 2" xfId="18159" xr:uid="{00000000-0005-0000-0000-000088460000}"/>
    <cellStyle name="Total 19 5 3" xfId="18160" xr:uid="{00000000-0005-0000-0000-000089460000}"/>
    <cellStyle name="Total 19 5 3 2" xfId="18161" xr:uid="{00000000-0005-0000-0000-00008A460000}"/>
    <cellStyle name="Total 19 5 4" xfId="18162" xr:uid="{00000000-0005-0000-0000-00008B460000}"/>
    <cellStyle name="Total 19 5 4 2" xfId="18163" xr:uid="{00000000-0005-0000-0000-00008C460000}"/>
    <cellStyle name="Total 19 5 5" xfId="18164" xr:uid="{00000000-0005-0000-0000-00008D460000}"/>
    <cellStyle name="Total 19 6" xfId="18165" xr:uid="{00000000-0005-0000-0000-00008E460000}"/>
    <cellStyle name="Total 19 6 2" xfId="18166" xr:uid="{00000000-0005-0000-0000-00008F460000}"/>
    <cellStyle name="Total 19 6 2 2" xfId="18167" xr:uid="{00000000-0005-0000-0000-000090460000}"/>
    <cellStyle name="Total 19 6 3" xfId="18168" xr:uid="{00000000-0005-0000-0000-000091460000}"/>
    <cellStyle name="Total 19 6 3 2" xfId="18169" xr:uid="{00000000-0005-0000-0000-000092460000}"/>
    <cellStyle name="Total 19 6 4" xfId="18170" xr:uid="{00000000-0005-0000-0000-000093460000}"/>
    <cellStyle name="Total 19 7" xfId="18171" xr:uid="{00000000-0005-0000-0000-000094460000}"/>
    <cellStyle name="Total 19 7 2" xfId="18172" xr:uid="{00000000-0005-0000-0000-000095460000}"/>
    <cellStyle name="Total 19 8" xfId="18173" xr:uid="{00000000-0005-0000-0000-000096460000}"/>
    <cellStyle name="Total 19 8 2" xfId="18174" xr:uid="{00000000-0005-0000-0000-000097460000}"/>
    <cellStyle name="Total 19 9" xfId="18175" xr:uid="{00000000-0005-0000-0000-000098460000}"/>
    <cellStyle name="Total 19 9 2" xfId="18176" xr:uid="{00000000-0005-0000-0000-000099460000}"/>
    <cellStyle name="Total 2" xfId="308" xr:uid="{00000000-0005-0000-0000-00009A460000}"/>
    <cellStyle name="Total 2 10" xfId="4809" xr:uid="{00000000-0005-0000-0000-00009B460000}"/>
    <cellStyle name="Total 2 10 10" xfId="18179" xr:uid="{00000000-0005-0000-0000-00009C460000}"/>
    <cellStyle name="Total 2 10 11" xfId="18178" xr:uid="{00000000-0005-0000-0000-00009D460000}"/>
    <cellStyle name="Total 2 10 2" xfId="18180" xr:uid="{00000000-0005-0000-0000-00009E460000}"/>
    <cellStyle name="Total 2 10 2 2" xfId="18181" xr:uid="{00000000-0005-0000-0000-00009F460000}"/>
    <cellStyle name="Total 2 10 2 2 2" xfId="18182" xr:uid="{00000000-0005-0000-0000-0000A0460000}"/>
    <cellStyle name="Total 2 10 2 3" xfId="18183" xr:uid="{00000000-0005-0000-0000-0000A1460000}"/>
    <cellStyle name="Total 2 10 2 3 2" xfId="18184" xr:uid="{00000000-0005-0000-0000-0000A2460000}"/>
    <cellStyle name="Total 2 10 2 4" xfId="18185" xr:uid="{00000000-0005-0000-0000-0000A3460000}"/>
    <cellStyle name="Total 2 10 3" xfId="18186" xr:uid="{00000000-0005-0000-0000-0000A4460000}"/>
    <cellStyle name="Total 2 10 3 2" xfId="18187" xr:uid="{00000000-0005-0000-0000-0000A5460000}"/>
    <cellStyle name="Total 2 10 3 2 2" xfId="18188" xr:uid="{00000000-0005-0000-0000-0000A6460000}"/>
    <cellStyle name="Total 2 10 3 3" xfId="18189" xr:uid="{00000000-0005-0000-0000-0000A7460000}"/>
    <cellStyle name="Total 2 10 3 3 2" xfId="18190" xr:uid="{00000000-0005-0000-0000-0000A8460000}"/>
    <cellStyle name="Total 2 10 3 4" xfId="18191" xr:uid="{00000000-0005-0000-0000-0000A9460000}"/>
    <cellStyle name="Total 2 10 4" xfId="18192" xr:uid="{00000000-0005-0000-0000-0000AA460000}"/>
    <cellStyle name="Total 2 10 4 2" xfId="18193" xr:uid="{00000000-0005-0000-0000-0000AB460000}"/>
    <cellStyle name="Total 2 10 4 2 2" xfId="18194" xr:uid="{00000000-0005-0000-0000-0000AC460000}"/>
    <cellStyle name="Total 2 10 4 3" xfId="18195" xr:uid="{00000000-0005-0000-0000-0000AD460000}"/>
    <cellStyle name="Total 2 10 4 3 2" xfId="18196" xr:uid="{00000000-0005-0000-0000-0000AE460000}"/>
    <cellStyle name="Total 2 10 4 4" xfId="18197" xr:uid="{00000000-0005-0000-0000-0000AF460000}"/>
    <cellStyle name="Total 2 10 4 4 2" xfId="18198" xr:uid="{00000000-0005-0000-0000-0000B0460000}"/>
    <cellStyle name="Total 2 10 4 5" xfId="18199" xr:uid="{00000000-0005-0000-0000-0000B1460000}"/>
    <cellStyle name="Total 2 10 5" xfId="18200" xr:uid="{00000000-0005-0000-0000-0000B2460000}"/>
    <cellStyle name="Total 2 10 5 2" xfId="18201" xr:uid="{00000000-0005-0000-0000-0000B3460000}"/>
    <cellStyle name="Total 2 10 5 2 2" xfId="18202" xr:uid="{00000000-0005-0000-0000-0000B4460000}"/>
    <cellStyle name="Total 2 10 5 3" xfId="18203" xr:uid="{00000000-0005-0000-0000-0000B5460000}"/>
    <cellStyle name="Total 2 10 5 3 2" xfId="18204" xr:uid="{00000000-0005-0000-0000-0000B6460000}"/>
    <cellStyle name="Total 2 10 5 4" xfId="18205" xr:uid="{00000000-0005-0000-0000-0000B7460000}"/>
    <cellStyle name="Total 2 10 6" xfId="18206" xr:uid="{00000000-0005-0000-0000-0000B8460000}"/>
    <cellStyle name="Total 2 10 6 2" xfId="18207" xr:uid="{00000000-0005-0000-0000-0000B9460000}"/>
    <cellStyle name="Total 2 10 7" xfId="18208" xr:uid="{00000000-0005-0000-0000-0000BA460000}"/>
    <cellStyle name="Total 2 10 7 2" xfId="18209" xr:uid="{00000000-0005-0000-0000-0000BB460000}"/>
    <cellStyle name="Total 2 10 8" xfId="18210" xr:uid="{00000000-0005-0000-0000-0000BC460000}"/>
    <cellStyle name="Total 2 10 8 2" xfId="18211" xr:uid="{00000000-0005-0000-0000-0000BD460000}"/>
    <cellStyle name="Total 2 10 9" xfId="18212" xr:uid="{00000000-0005-0000-0000-0000BE460000}"/>
    <cellStyle name="Total 2 11" xfId="18213" xr:uid="{00000000-0005-0000-0000-0000BF460000}"/>
    <cellStyle name="Total 2 11 10" xfId="18214" xr:uid="{00000000-0005-0000-0000-0000C0460000}"/>
    <cellStyle name="Total 2 11 2" xfId="18215" xr:uid="{00000000-0005-0000-0000-0000C1460000}"/>
    <cellStyle name="Total 2 11 2 2" xfId="18216" xr:uid="{00000000-0005-0000-0000-0000C2460000}"/>
    <cellStyle name="Total 2 11 2 2 2" xfId="18217" xr:uid="{00000000-0005-0000-0000-0000C3460000}"/>
    <cellStyle name="Total 2 11 2 3" xfId="18218" xr:uid="{00000000-0005-0000-0000-0000C4460000}"/>
    <cellStyle name="Total 2 11 2 3 2" xfId="18219" xr:uid="{00000000-0005-0000-0000-0000C5460000}"/>
    <cellStyle name="Total 2 11 2 4" xfId="18220" xr:uid="{00000000-0005-0000-0000-0000C6460000}"/>
    <cellStyle name="Total 2 11 3" xfId="18221" xr:uid="{00000000-0005-0000-0000-0000C7460000}"/>
    <cellStyle name="Total 2 11 3 2" xfId="18222" xr:uid="{00000000-0005-0000-0000-0000C8460000}"/>
    <cellStyle name="Total 2 11 3 2 2" xfId="18223" xr:uid="{00000000-0005-0000-0000-0000C9460000}"/>
    <cellStyle name="Total 2 11 3 3" xfId="18224" xr:uid="{00000000-0005-0000-0000-0000CA460000}"/>
    <cellStyle name="Total 2 11 3 3 2" xfId="18225" xr:uid="{00000000-0005-0000-0000-0000CB460000}"/>
    <cellStyle name="Total 2 11 3 4" xfId="18226" xr:uid="{00000000-0005-0000-0000-0000CC460000}"/>
    <cellStyle name="Total 2 11 4" xfId="18227" xr:uid="{00000000-0005-0000-0000-0000CD460000}"/>
    <cellStyle name="Total 2 11 4 2" xfId="18228" xr:uid="{00000000-0005-0000-0000-0000CE460000}"/>
    <cellStyle name="Total 2 11 4 2 2" xfId="18229" xr:uid="{00000000-0005-0000-0000-0000CF460000}"/>
    <cellStyle name="Total 2 11 4 3" xfId="18230" xr:uid="{00000000-0005-0000-0000-0000D0460000}"/>
    <cellStyle name="Total 2 11 4 3 2" xfId="18231" xr:uid="{00000000-0005-0000-0000-0000D1460000}"/>
    <cellStyle name="Total 2 11 4 4" xfId="18232" xr:uid="{00000000-0005-0000-0000-0000D2460000}"/>
    <cellStyle name="Total 2 11 4 4 2" xfId="18233" xr:uid="{00000000-0005-0000-0000-0000D3460000}"/>
    <cellStyle name="Total 2 11 4 5" xfId="18234" xr:uid="{00000000-0005-0000-0000-0000D4460000}"/>
    <cellStyle name="Total 2 11 5" xfId="18235" xr:uid="{00000000-0005-0000-0000-0000D5460000}"/>
    <cellStyle name="Total 2 11 5 2" xfId="18236" xr:uid="{00000000-0005-0000-0000-0000D6460000}"/>
    <cellStyle name="Total 2 11 5 2 2" xfId="18237" xr:uid="{00000000-0005-0000-0000-0000D7460000}"/>
    <cellStyle name="Total 2 11 5 3" xfId="18238" xr:uid="{00000000-0005-0000-0000-0000D8460000}"/>
    <cellStyle name="Total 2 11 5 3 2" xfId="18239" xr:uid="{00000000-0005-0000-0000-0000D9460000}"/>
    <cellStyle name="Total 2 11 5 4" xfId="18240" xr:uid="{00000000-0005-0000-0000-0000DA460000}"/>
    <cellStyle name="Total 2 11 6" xfId="18241" xr:uid="{00000000-0005-0000-0000-0000DB460000}"/>
    <cellStyle name="Total 2 11 6 2" xfId="18242" xr:uid="{00000000-0005-0000-0000-0000DC460000}"/>
    <cellStyle name="Total 2 11 7" xfId="18243" xr:uid="{00000000-0005-0000-0000-0000DD460000}"/>
    <cellStyle name="Total 2 11 7 2" xfId="18244" xr:uid="{00000000-0005-0000-0000-0000DE460000}"/>
    <cellStyle name="Total 2 11 8" xfId="18245" xr:uid="{00000000-0005-0000-0000-0000DF460000}"/>
    <cellStyle name="Total 2 11 8 2" xfId="18246" xr:uid="{00000000-0005-0000-0000-0000E0460000}"/>
    <cellStyle name="Total 2 11 9" xfId="18247" xr:uid="{00000000-0005-0000-0000-0000E1460000}"/>
    <cellStyle name="Total 2 12" xfId="18248" xr:uid="{00000000-0005-0000-0000-0000E2460000}"/>
    <cellStyle name="Total 2 12 2" xfId="18249" xr:uid="{00000000-0005-0000-0000-0000E3460000}"/>
    <cellStyle name="Total 2 12 2 2" xfId="18250" xr:uid="{00000000-0005-0000-0000-0000E4460000}"/>
    <cellStyle name="Total 2 12 3" xfId="18251" xr:uid="{00000000-0005-0000-0000-0000E5460000}"/>
    <cellStyle name="Total 2 12 3 2" xfId="18252" xr:uid="{00000000-0005-0000-0000-0000E6460000}"/>
    <cellStyle name="Total 2 12 4" xfId="18253" xr:uid="{00000000-0005-0000-0000-0000E7460000}"/>
    <cellStyle name="Total 2 12 5" xfId="18254" xr:uid="{00000000-0005-0000-0000-0000E8460000}"/>
    <cellStyle name="Total 2 13" xfId="18255" xr:uid="{00000000-0005-0000-0000-0000E9460000}"/>
    <cellStyle name="Total 2 13 2" xfId="18256" xr:uid="{00000000-0005-0000-0000-0000EA460000}"/>
    <cellStyle name="Total 2 13 2 2" xfId="18257" xr:uid="{00000000-0005-0000-0000-0000EB460000}"/>
    <cellStyle name="Total 2 13 3" xfId="18258" xr:uid="{00000000-0005-0000-0000-0000EC460000}"/>
    <cellStyle name="Total 2 13 3 2" xfId="18259" xr:uid="{00000000-0005-0000-0000-0000ED460000}"/>
    <cellStyle name="Total 2 13 4" xfId="18260" xr:uid="{00000000-0005-0000-0000-0000EE460000}"/>
    <cellStyle name="Total 2 14" xfId="18261" xr:uid="{00000000-0005-0000-0000-0000EF460000}"/>
    <cellStyle name="Total 2 14 2" xfId="18262" xr:uid="{00000000-0005-0000-0000-0000F0460000}"/>
    <cellStyle name="Total 2 14 2 2" xfId="18263" xr:uid="{00000000-0005-0000-0000-0000F1460000}"/>
    <cellStyle name="Total 2 14 3" xfId="18264" xr:uid="{00000000-0005-0000-0000-0000F2460000}"/>
    <cellStyle name="Total 2 14 3 2" xfId="18265" xr:uid="{00000000-0005-0000-0000-0000F3460000}"/>
    <cellStyle name="Total 2 14 4" xfId="18266" xr:uid="{00000000-0005-0000-0000-0000F4460000}"/>
    <cellStyle name="Total 2 15" xfId="18267" xr:uid="{00000000-0005-0000-0000-0000F5460000}"/>
    <cellStyle name="Total 2 15 2" xfId="18268" xr:uid="{00000000-0005-0000-0000-0000F6460000}"/>
    <cellStyle name="Total 2 15 2 2" xfId="18269" xr:uid="{00000000-0005-0000-0000-0000F7460000}"/>
    <cellStyle name="Total 2 15 3" xfId="18270" xr:uid="{00000000-0005-0000-0000-0000F8460000}"/>
    <cellStyle name="Total 2 15 3 2" xfId="18271" xr:uid="{00000000-0005-0000-0000-0000F9460000}"/>
    <cellStyle name="Total 2 15 4" xfId="18272" xr:uid="{00000000-0005-0000-0000-0000FA460000}"/>
    <cellStyle name="Total 2 15 4 2" xfId="18273" xr:uid="{00000000-0005-0000-0000-0000FB460000}"/>
    <cellStyle name="Total 2 15 5" xfId="18274" xr:uid="{00000000-0005-0000-0000-0000FC460000}"/>
    <cellStyle name="Total 2 16" xfId="18275" xr:uid="{00000000-0005-0000-0000-0000FD460000}"/>
    <cellStyle name="Total 2 16 2" xfId="18276" xr:uid="{00000000-0005-0000-0000-0000FE460000}"/>
    <cellStyle name="Total 2 16 2 2" xfId="18277" xr:uid="{00000000-0005-0000-0000-0000FF460000}"/>
    <cellStyle name="Total 2 16 3" xfId="18278" xr:uid="{00000000-0005-0000-0000-000000470000}"/>
    <cellStyle name="Total 2 16 3 2" xfId="18279" xr:uid="{00000000-0005-0000-0000-000001470000}"/>
    <cellStyle name="Total 2 16 4" xfId="18280" xr:uid="{00000000-0005-0000-0000-000002470000}"/>
    <cellStyle name="Total 2 17" xfId="18281" xr:uid="{00000000-0005-0000-0000-000003470000}"/>
    <cellStyle name="Total 2 17 2" xfId="18282" xr:uid="{00000000-0005-0000-0000-000004470000}"/>
    <cellStyle name="Total 2 18" xfId="18283" xr:uid="{00000000-0005-0000-0000-000005470000}"/>
    <cellStyle name="Total 2 18 2" xfId="18284" xr:uid="{00000000-0005-0000-0000-000006470000}"/>
    <cellStyle name="Total 2 19" xfId="18285" xr:uid="{00000000-0005-0000-0000-000007470000}"/>
    <cellStyle name="Total 2 19 2" xfId="18286" xr:uid="{00000000-0005-0000-0000-000008470000}"/>
    <cellStyle name="Total 2 2" xfId="4810" xr:uid="{00000000-0005-0000-0000-000009470000}"/>
    <cellStyle name="Total 2 2 10" xfId="18288" xr:uid="{00000000-0005-0000-0000-00000A470000}"/>
    <cellStyle name="Total 2 2 11" xfId="18287" xr:uid="{00000000-0005-0000-0000-00000B470000}"/>
    <cellStyle name="Total 2 2 2" xfId="18289" xr:uid="{00000000-0005-0000-0000-00000C470000}"/>
    <cellStyle name="Total 2 2 2 2" xfId="18290" xr:uid="{00000000-0005-0000-0000-00000D470000}"/>
    <cellStyle name="Total 2 2 2 2 2" xfId="18291" xr:uid="{00000000-0005-0000-0000-00000E470000}"/>
    <cellStyle name="Total 2 2 2 3" xfId="18292" xr:uid="{00000000-0005-0000-0000-00000F470000}"/>
    <cellStyle name="Total 2 2 2 3 2" xfId="18293" xr:uid="{00000000-0005-0000-0000-000010470000}"/>
    <cellStyle name="Total 2 2 2 4" xfId="18294" xr:uid="{00000000-0005-0000-0000-000011470000}"/>
    <cellStyle name="Total 2 2 3" xfId="18295" xr:uid="{00000000-0005-0000-0000-000012470000}"/>
    <cellStyle name="Total 2 2 3 2" xfId="18296" xr:uid="{00000000-0005-0000-0000-000013470000}"/>
    <cellStyle name="Total 2 2 3 2 2" xfId="18297" xr:uid="{00000000-0005-0000-0000-000014470000}"/>
    <cellStyle name="Total 2 2 3 3" xfId="18298" xr:uid="{00000000-0005-0000-0000-000015470000}"/>
    <cellStyle name="Total 2 2 3 3 2" xfId="18299" xr:uid="{00000000-0005-0000-0000-000016470000}"/>
    <cellStyle name="Total 2 2 3 4" xfId="18300" xr:uid="{00000000-0005-0000-0000-000017470000}"/>
    <cellStyle name="Total 2 2 4" xfId="18301" xr:uid="{00000000-0005-0000-0000-000018470000}"/>
    <cellStyle name="Total 2 2 4 2" xfId="18302" xr:uid="{00000000-0005-0000-0000-000019470000}"/>
    <cellStyle name="Total 2 2 4 2 2" xfId="18303" xr:uid="{00000000-0005-0000-0000-00001A470000}"/>
    <cellStyle name="Total 2 2 4 3" xfId="18304" xr:uid="{00000000-0005-0000-0000-00001B470000}"/>
    <cellStyle name="Total 2 2 4 3 2" xfId="18305" xr:uid="{00000000-0005-0000-0000-00001C470000}"/>
    <cellStyle name="Total 2 2 4 4" xfId="18306" xr:uid="{00000000-0005-0000-0000-00001D470000}"/>
    <cellStyle name="Total 2 2 4 4 2" xfId="18307" xr:uid="{00000000-0005-0000-0000-00001E470000}"/>
    <cellStyle name="Total 2 2 4 5" xfId="18308" xr:uid="{00000000-0005-0000-0000-00001F470000}"/>
    <cellStyle name="Total 2 2 5" xfId="18309" xr:uid="{00000000-0005-0000-0000-000020470000}"/>
    <cellStyle name="Total 2 2 5 2" xfId="18310" xr:uid="{00000000-0005-0000-0000-000021470000}"/>
    <cellStyle name="Total 2 2 5 2 2" xfId="18311" xr:uid="{00000000-0005-0000-0000-000022470000}"/>
    <cellStyle name="Total 2 2 5 3" xfId="18312" xr:uid="{00000000-0005-0000-0000-000023470000}"/>
    <cellStyle name="Total 2 2 5 3 2" xfId="18313" xr:uid="{00000000-0005-0000-0000-000024470000}"/>
    <cellStyle name="Total 2 2 5 4" xfId="18314" xr:uid="{00000000-0005-0000-0000-000025470000}"/>
    <cellStyle name="Total 2 2 6" xfId="18315" xr:uid="{00000000-0005-0000-0000-000026470000}"/>
    <cellStyle name="Total 2 2 6 2" xfId="18316" xr:uid="{00000000-0005-0000-0000-000027470000}"/>
    <cellStyle name="Total 2 2 7" xfId="18317" xr:uid="{00000000-0005-0000-0000-000028470000}"/>
    <cellStyle name="Total 2 2 7 2" xfId="18318" xr:uid="{00000000-0005-0000-0000-000029470000}"/>
    <cellStyle name="Total 2 2 8" xfId="18319" xr:uid="{00000000-0005-0000-0000-00002A470000}"/>
    <cellStyle name="Total 2 2 8 2" xfId="18320" xr:uid="{00000000-0005-0000-0000-00002B470000}"/>
    <cellStyle name="Total 2 2 9" xfId="18321" xr:uid="{00000000-0005-0000-0000-00002C470000}"/>
    <cellStyle name="Total 2 20" xfId="18322" xr:uid="{00000000-0005-0000-0000-00002D470000}"/>
    <cellStyle name="Total 2 21" xfId="18323" xr:uid="{00000000-0005-0000-0000-00002E470000}"/>
    <cellStyle name="Total 2 22" xfId="18177" xr:uid="{00000000-0005-0000-0000-00002F470000}"/>
    <cellStyle name="Total 2 3" xfId="4811" xr:uid="{00000000-0005-0000-0000-000030470000}"/>
    <cellStyle name="Total 2 3 10" xfId="18325" xr:uid="{00000000-0005-0000-0000-000031470000}"/>
    <cellStyle name="Total 2 3 11" xfId="18324" xr:uid="{00000000-0005-0000-0000-000032470000}"/>
    <cellStyle name="Total 2 3 2" xfId="18326" xr:uid="{00000000-0005-0000-0000-000033470000}"/>
    <cellStyle name="Total 2 3 2 2" xfId="18327" xr:uid="{00000000-0005-0000-0000-000034470000}"/>
    <cellStyle name="Total 2 3 2 2 2" xfId="18328" xr:uid="{00000000-0005-0000-0000-000035470000}"/>
    <cellStyle name="Total 2 3 2 3" xfId="18329" xr:uid="{00000000-0005-0000-0000-000036470000}"/>
    <cellStyle name="Total 2 3 2 3 2" xfId="18330" xr:uid="{00000000-0005-0000-0000-000037470000}"/>
    <cellStyle name="Total 2 3 2 4" xfId="18331" xr:uid="{00000000-0005-0000-0000-000038470000}"/>
    <cellStyle name="Total 2 3 3" xfId="18332" xr:uid="{00000000-0005-0000-0000-000039470000}"/>
    <cellStyle name="Total 2 3 3 2" xfId="18333" xr:uid="{00000000-0005-0000-0000-00003A470000}"/>
    <cellStyle name="Total 2 3 3 2 2" xfId="18334" xr:uid="{00000000-0005-0000-0000-00003B470000}"/>
    <cellStyle name="Total 2 3 3 3" xfId="18335" xr:uid="{00000000-0005-0000-0000-00003C470000}"/>
    <cellStyle name="Total 2 3 3 3 2" xfId="18336" xr:uid="{00000000-0005-0000-0000-00003D470000}"/>
    <cellStyle name="Total 2 3 3 4" xfId="18337" xr:uid="{00000000-0005-0000-0000-00003E470000}"/>
    <cellStyle name="Total 2 3 4" xfId="18338" xr:uid="{00000000-0005-0000-0000-00003F470000}"/>
    <cellStyle name="Total 2 3 4 2" xfId="18339" xr:uid="{00000000-0005-0000-0000-000040470000}"/>
    <cellStyle name="Total 2 3 4 2 2" xfId="18340" xr:uid="{00000000-0005-0000-0000-000041470000}"/>
    <cellStyle name="Total 2 3 4 3" xfId="18341" xr:uid="{00000000-0005-0000-0000-000042470000}"/>
    <cellStyle name="Total 2 3 4 3 2" xfId="18342" xr:uid="{00000000-0005-0000-0000-000043470000}"/>
    <cellStyle name="Total 2 3 4 4" xfId="18343" xr:uid="{00000000-0005-0000-0000-000044470000}"/>
    <cellStyle name="Total 2 3 4 4 2" xfId="18344" xr:uid="{00000000-0005-0000-0000-000045470000}"/>
    <cellStyle name="Total 2 3 4 5" xfId="18345" xr:uid="{00000000-0005-0000-0000-000046470000}"/>
    <cellStyle name="Total 2 3 5" xfId="18346" xr:uid="{00000000-0005-0000-0000-000047470000}"/>
    <cellStyle name="Total 2 3 5 2" xfId="18347" xr:uid="{00000000-0005-0000-0000-000048470000}"/>
    <cellStyle name="Total 2 3 5 2 2" xfId="18348" xr:uid="{00000000-0005-0000-0000-000049470000}"/>
    <cellStyle name="Total 2 3 5 3" xfId="18349" xr:uid="{00000000-0005-0000-0000-00004A470000}"/>
    <cellStyle name="Total 2 3 5 3 2" xfId="18350" xr:uid="{00000000-0005-0000-0000-00004B470000}"/>
    <cellStyle name="Total 2 3 5 4" xfId="18351" xr:uid="{00000000-0005-0000-0000-00004C470000}"/>
    <cellStyle name="Total 2 3 6" xfId="18352" xr:uid="{00000000-0005-0000-0000-00004D470000}"/>
    <cellStyle name="Total 2 3 6 2" xfId="18353" xr:uid="{00000000-0005-0000-0000-00004E470000}"/>
    <cellStyle name="Total 2 3 7" xfId="18354" xr:uid="{00000000-0005-0000-0000-00004F470000}"/>
    <cellStyle name="Total 2 3 7 2" xfId="18355" xr:uid="{00000000-0005-0000-0000-000050470000}"/>
    <cellStyle name="Total 2 3 8" xfId="18356" xr:uid="{00000000-0005-0000-0000-000051470000}"/>
    <cellStyle name="Total 2 3 8 2" xfId="18357" xr:uid="{00000000-0005-0000-0000-000052470000}"/>
    <cellStyle name="Total 2 3 9" xfId="18358" xr:uid="{00000000-0005-0000-0000-000053470000}"/>
    <cellStyle name="Total 2 4" xfId="4812" xr:uid="{00000000-0005-0000-0000-000054470000}"/>
    <cellStyle name="Total 2 4 10" xfId="18360" xr:uid="{00000000-0005-0000-0000-000055470000}"/>
    <cellStyle name="Total 2 4 11" xfId="18359" xr:uid="{00000000-0005-0000-0000-000056470000}"/>
    <cellStyle name="Total 2 4 2" xfId="18361" xr:uid="{00000000-0005-0000-0000-000057470000}"/>
    <cellStyle name="Total 2 4 2 2" xfId="18362" xr:uid="{00000000-0005-0000-0000-000058470000}"/>
    <cellStyle name="Total 2 4 2 2 2" xfId="18363" xr:uid="{00000000-0005-0000-0000-000059470000}"/>
    <cellStyle name="Total 2 4 2 3" xfId="18364" xr:uid="{00000000-0005-0000-0000-00005A470000}"/>
    <cellStyle name="Total 2 4 2 3 2" xfId="18365" xr:uid="{00000000-0005-0000-0000-00005B470000}"/>
    <cellStyle name="Total 2 4 2 4" xfId="18366" xr:uid="{00000000-0005-0000-0000-00005C470000}"/>
    <cellStyle name="Total 2 4 3" xfId="18367" xr:uid="{00000000-0005-0000-0000-00005D470000}"/>
    <cellStyle name="Total 2 4 3 2" xfId="18368" xr:uid="{00000000-0005-0000-0000-00005E470000}"/>
    <cellStyle name="Total 2 4 3 2 2" xfId="18369" xr:uid="{00000000-0005-0000-0000-00005F470000}"/>
    <cellStyle name="Total 2 4 3 3" xfId="18370" xr:uid="{00000000-0005-0000-0000-000060470000}"/>
    <cellStyle name="Total 2 4 3 3 2" xfId="18371" xr:uid="{00000000-0005-0000-0000-000061470000}"/>
    <cellStyle name="Total 2 4 3 4" xfId="18372" xr:uid="{00000000-0005-0000-0000-000062470000}"/>
    <cellStyle name="Total 2 4 4" xfId="18373" xr:uid="{00000000-0005-0000-0000-000063470000}"/>
    <cellStyle name="Total 2 4 4 2" xfId="18374" xr:uid="{00000000-0005-0000-0000-000064470000}"/>
    <cellStyle name="Total 2 4 4 2 2" xfId="18375" xr:uid="{00000000-0005-0000-0000-000065470000}"/>
    <cellStyle name="Total 2 4 4 3" xfId="18376" xr:uid="{00000000-0005-0000-0000-000066470000}"/>
    <cellStyle name="Total 2 4 4 3 2" xfId="18377" xr:uid="{00000000-0005-0000-0000-000067470000}"/>
    <cellStyle name="Total 2 4 4 4" xfId="18378" xr:uid="{00000000-0005-0000-0000-000068470000}"/>
    <cellStyle name="Total 2 4 4 4 2" xfId="18379" xr:uid="{00000000-0005-0000-0000-000069470000}"/>
    <cellStyle name="Total 2 4 4 5" xfId="18380" xr:uid="{00000000-0005-0000-0000-00006A470000}"/>
    <cellStyle name="Total 2 4 5" xfId="18381" xr:uid="{00000000-0005-0000-0000-00006B470000}"/>
    <cellStyle name="Total 2 4 5 2" xfId="18382" xr:uid="{00000000-0005-0000-0000-00006C470000}"/>
    <cellStyle name="Total 2 4 5 2 2" xfId="18383" xr:uid="{00000000-0005-0000-0000-00006D470000}"/>
    <cellStyle name="Total 2 4 5 3" xfId="18384" xr:uid="{00000000-0005-0000-0000-00006E470000}"/>
    <cellStyle name="Total 2 4 5 3 2" xfId="18385" xr:uid="{00000000-0005-0000-0000-00006F470000}"/>
    <cellStyle name="Total 2 4 5 4" xfId="18386" xr:uid="{00000000-0005-0000-0000-000070470000}"/>
    <cellStyle name="Total 2 4 6" xfId="18387" xr:uid="{00000000-0005-0000-0000-000071470000}"/>
    <cellStyle name="Total 2 4 6 2" xfId="18388" xr:uid="{00000000-0005-0000-0000-000072470000}"/>
    <cellStyle name="Total 2 4 7" xfId="18389" xr:uid="{00000000-0005-0000-0000-000073470000}"/>
    <cellStyle name="Total 2 4 7 2" xfId="18390" xr:uid="{00000000-0005-0000-0000-000074470000}"/>
    <cellStyle name="Total 2 4 8" xfId="18391" xr:uid="{00000000-0005-0000-0000-000075470000}"/>
    <cellStyle name="Total 2 4 8 2" xfId="18392" xr:uid="{00000000-0005-0000-0000-000076470000}"/>
    <cellStyle name="Total 2 4 9" xfId="18393" xr:uid="{00000000-0005-0000-0000-000077470000}"/>
    <cellStyle name="Total 2 5" xfId="4813" xr:uid="{00000000-0005-0000-0000-000078470000}"/>
    <cellStyle name="Total 2 5 10" xfId="18395" xr:uid="{00000000-0005-0000-0000-000079470000}"/>
    <cellStyle name="Total 2 5 11" xfId="18394" xr:uid="{00000000-0005-0000-0000-00007A470000}"/>
    <cellStyle name="Total 2 5 2" xfId="18396" xr:uid="{00000000-0005-0000-0000-00007B470000}"/>
    <cellStyle name="Total 2 5 2 2" xfId="18397" xr:uid="{00000000-0005-0000-0000-00007C470000}"/>
    <cellStyle name="Total 2 5 2 2 2" xfId="18398" xr:uid="{00000000-0005-0000-0000-00007D470000}"/>
    <cellStyle name="Total 2 5 2 3" xfId="18399" xr:uid="{00000000-0005-0000-0000-00007E470000}"/>
    <cellStyle name="Total 2 5 2 3 2" xfId="18400" xr:uid="{00000000-0005-0000-0000-00007F470000}"/>
    <cellStyle name="Total 2 5 2 4" xfId="18401" xr:uid="{00000000-0005-0000-0000-000080470000}"/>
    <cellStyle name="Total 2 5 3" xfId="18402" xr:uid="{00000000-0005-0000-0000-000081470000}"/>
    <cellStyle name="Total 2 5 3 2" xfId="18403" xr:uid="{00000000-0005-0000-0000-000082470000}"/>
    <cellStyle name="Total 2 5 3 2 2" xfId="18404" xr:uid="{00000000-0005-0000-0000-000083470000}"/>
    <cellStyle name="Total 2 5 3 3" xfId="18405" xr:uid="{00000000-0005-0000-0000-000084470000}"/>
    <cellStyle name="Total 2 5 3 3 2" xfId="18406" xr:uid="{00000000-0005-0000-0000-000085470000}"/>
    <cellStyle name="Total 2 5 3 4" xfId="18407" xr:uid="{00000000-0005-0000-0000-000086470000}"/>
    <cellStyle name="Total 2 5 4" xfId="18408" xr:uid="{00000000-0005-0000-0000-000087470000}"/>
    <cellStyle name="Total 2 5 4 2" xfId="18409" xr:uid="{00000000-0005-0000-0000-000088470000}"/>
    <cellStyle name="Total 2 5 4 2 2" xfId="18410" xr:uid="{00000000-0005-0000-0000-000089470000}"/>
    <cellStyle name="Total 2 5 4 3" xfId="18411" xr:uid="{00000000-0005-0000-0000-00008A470000}"/>
    <cellStyle name="Total 2 5 4 3 2" xfId="18412" xr:uid="{00000000-0005-0000-0000-00008B470000}"/>
    <cellStyle name="Total 2 5 4 4" xfId="18413" xr:uid="{00000000-0005-0000-0000-00008C470000}"/>
    <cellStyle name="Total 2 5 4 4 2" xfId="18414" xr:uid="{00000000-0005-0000-0000-00008D470000}"/>
    <cellStyle name="Total 2 5 4 5" xfId="18415" xr:uid="{00000000-0005-0000-0000-00008E470000}"/>
    <cellStyle name="Total 2 5 5" xfId="18416" xr:uid="{00000000-0005-0000-0000-00008F470000}"/>
    <cellStyle name="Total 2 5 5 2" xfId="18417" xr:uid="{00000000-0005-0000-0000-000090470000}"/>
    <cellStyle name="Total 2 5 5 2 2" xfId="18418" xr:uid="{00000000-0005-0000-0000-000091470000}"/>
    <cellStyle name="Total 2 5 5 3" xfId="18419" xr:uid="{00000000-0005-0000-0000-000092470000}"/>
    <cellStyle name="Total 2 5 5 3 2" xfId="18420" xr:uid="{00000000-0005-0000-0000-000093470000}"/>
    <cellStyle name="Total 2 5 5 4" xfId="18421" xr:uid="{00000000-0005-0000-0000-000094470000}"/>
    <cellStyle name="Total 2 5 6" xfId="18422" xr:uid="{00000000-0005-0000-0000-000095470000}"/>
    <cellStyle name="Total 2 5 6 2" xfId="18423" xr:uid="{00000000-0005-0000-0000-000096470000}"/>
    <cellStyle name="Total 2 5 7" xfId="18424" xr:uid="{00000000-0005-0000-0000-000097470000}"/>
    <cellStyle name="Total 2 5 7 2" xfId="18425" xr:uid="{00000000-0005-0000-0000-000098470000}"/>
    <cellStyle name="Total 2 5 8" xfId="18426" xr:uid="{00000000-0005-0000-0000-000099470000}"/>
    <cellStyle name="Total 2 5 8 2" xfId="18427" xr:uid="{00000000-0005-0000-0000-00009A470000}"/>
    <cellStyle name="Total 2 5 9" xfId="18428" xr:uid="{00000000-0005-0000-0000-00009B470000}"/>
    <cellStyle name="Total 2 6" xfId="4814" xr:uid="{00000000-0005-0000-0000-00009C470000}"/>
    <cellStyle name="Total 2 6 10" xfId="18430" xr:uid="{00000000-0005-0000-0000-00009D470000}"/>
    <cellStyle name="Total 2 6 11" xfId="18429" xr:uid="{00000000-0005-0000-0000-00009E470000}"/>
    <cellStyle name="Total 2 6 2" xfId="18431" xr:uid="{00000000-0005-0000-0000-00009F470000}"/>
    <cellStyle name="Total 2 6 2 2" xfId="18432" xr:uid="{00000000-0005-0000-0000-0000A0470000}"/>
    <cellStyle name="Total 2 6 2 2 2" xfId="18433" xr:uid="{00000000-0005-0000-0000-0000A1470000}"/>
    <cellStyle name="Total 2 6 2 3" xfId="18434" xr:uid="{00000000-0005-0000-0000-0000A2470000}"/>
    <cellStyle name="Total 2 6 2 3 2" xfId="18435" xr:uid="{00000000-0005-0000-0000-0000A3470000}"/>
    <cellStyle name="Total 2 6 2 4" xfId="18436" xr:uid="{00000000-0005-0000-0000-0000A4470000}"/>
    <cellStyle name="Total 2 6 3" xfId="18437" xr:uid="{00000000-0005-0000-0000-0000A5470000}"/>
    <cellStyle name="Total 2 6 3 2" xfId="18438" xr:uid="{00000000-0005-0000-0000-0000A6470000}"/>
    <cellStyle name="Total 2 6 3 2 2" xfId="18439" xr:uid="{00000000-0005-0000-0000-0000A7470000}"/>
    <cellStyle name="Total 2 6 3 3" xfId="18440" xr:uid="{00000000-0005-0000-0000-0000A8470000}"/>
    <cellStyle name="Total 2 6 3 3 2" xfId="18441" xr:uid="{00000000-0005-0000-0000-0000A9470000}"/>
    <cellStyle name="Total 2 6 3 4" xfId="18442" xr:uid="{00000000-0005-0000-0000-0000AA470000}"/>
    <cellStyle name="Total 2 6 4" xfId="18443" xr:uid="{00000000-0005-0000-0000-0000AB470000}"/>
    <cellStyle name="Total 2 6 4 2" xfId="18444" xr:uid="{00000000-0005-0000-0000-0000AC470000}"/>
    <cellStyle name="Total 2 6 4 2 2" xfId="18445" xr:uid="{00000000-0005-0000-0000-0000AD470000}"/>
    <cellStyle name="Total 2 6 4 3" xfId="18446" xr:uid="{00000000-0005-0000-0000-0000AE470000}"/>
    <cellStyle name="Total 2 6 4 3 2" xfId="18447" xr:uid="{00000000-0005-0000-0000-0000AF470000}"/>
    <cellStyle name="Total 2 6 4 4" xfId="18448" xr:uid="{00000000-0005-0000-0000-0000B0470000}"/>
    <cellStyle name="Total 2 6 4 4 2" xfId="18449" xr:uid="{00000000-0005-0000-0000-0000B1470000}"/>
    <cellStyle name="Total 2 6 4 5" xfId="18450" xr:uid="{00000000-0005-0000-0000-0000B2470000}"/>
    <cellStyle name="Total 2 6 5" xfId="18451" xr:uid="{00000000-0005-0000-0000-0000B3470000}"/>
    <cellStyle name="Total 2 6 5 2" xfId="18452" xr:uid="{00000000-0005-0000-0000-0000B4470000}"/>
    <cellStyle name="Total 2 6 5 2 2" xfId="18453" xr:uid="{00000000-0005-0000-0000-0000B5470000}"/>
    <cellStyle name="Total 2 6 5 3" xfId="18454" xr:uid="{00000000-0005-0000-0000-0000B6470000}"/>
    <cellStyle name="Total 2 6 5 3 2" xfId="18455" xr:uid="{00000000-0005-0000-0000-0000B7470000}"/>
    <cellStyle name="Total 2 6 5 4" xfId="18456" xr:uid="{00000000-0005-0000-0000-0000B8470000}"/>
    <cellStyle name="Total 2 6 6" xfId="18457" xr:uid="{00000000-0005-0000-0000-0000B9470000}"/>
    <cellStyle name="Total 2 6 6 2" xfId="18458" xr:uid="{00000000-0005-0000-0000-0000BA470000}"/>
    <cellStyle name="Total 2 6 7" xfId="18459" xr:uid="{00000000-0005-0000-0000-0000BB470000}"/>
    <cellStyle name="Total 2 6 7 2" xfId="18460" xr:uid="{00000000-0005-0000-0000-0000BC470000}"/>
    <cellStyle name="Total 2 6 8" xfId="18461" xr:uid="{00000000-0005-0000-0000-0000BD470000}"/>
    <cellStyle name="Total 2 6 8 2" xfId="18462" xr:uid="{00000000-0005-0000-0000-0000BE470000}"/>
    <cellStyle name="Total 2 6 9" xfId="18463" xr:uid="{00000000-0005-0000-0000-0000BF470000}"/>
    <cellStyle name="Total 2 7" xfId="4815" xr:uid="{00000000-0005-0000-0000-0000C0470000}"/>
    <cellStyle name="Total 2 7 10" xfId="18465" xr:uid="{00000000-0005-0000-0000-0000C1470000}"/>
    <cellStyle name="Total 2 7 11" xfId="18464" xr:uid="{00000000-0005-0000-0000-0000C2470000}"/>
    <cellStyle name="Total 2 7 2" xfId="18466" xr:uid="{00000000-0005-0000-0000-0000C3470000}"/>
    <cellStyle name="Total 2 7 2 2" xfId="18467" xr:uid="{00000000-0005-0000-0000-0000C4470000}"/>
    <cellStyle name="Total 2 7 2 2 2" xfId="18468" xr:uid="{00000000-0005-0000-0000-0000C5470000}"/>
    <cellStyle name="Total 2 7 2 3" xfId="18469" xr:uid="{00000000-0005-0000-0000-0000C6470000}"/>
    <cellStyle name="Total 2 7 2 3 2" xfId="18470" xr:uid="{00000000-0005-0000-0000-0000C7470000}"/>
    <cellStyle name="Total 2 7 2 4" xfId="18471" xr:uid="{00000000-0005-0000-0000-0000C8470000}"/>
    <cellStyle name="Total 2 7 3" xfId="18472" xr:uid="{00000000-0005-0000-0000-0000C9470000}"/>
    <cellStyle name="Total 2 7 3 2" xfId="18473" xr:uid="{00000000-0005-0000-0000-0000CA470000}"/>
    <cellStyle name="Total 2 7 3 2 2" xfId="18474" xr:uid="{00000000-0005-0000-0000-0000CB470000}"/>
    <cellStyle name="Total 2 7 3 3" xfId="18475" xr:uid="{00000000-0005-0000-0000-0000CC470000}"/>
    <cellStyle name="Total 2 7 3 3 2" xfId="18476" xr:uid="{00000000-0005-0000-0000-0000CD470000}"/>
    <cellStyle name="Total 2 7 3 4" xfId="18477" xr:uid="{00000000-0005-0000-0000-0000CE470000}"/>
    <cellStyle name="Total 2 7 4" xfId="18478" xr:uid="{00000000-0005-0000-0000-0000CF470000}"/>
    <cellStyle name="Total 2 7 4 2" xfId="18479" xr:uid="{00000000-0005-0000-0000-0000D0470000}"/>
    <cellStyle name="Total 2 7 4 2 2" xfId="18480" xr:uid="{00000000-0005-0000-0000-0000D1470000}"/>
    <cellStyle name="Total 2 7 4 3" xfId="18481" xr:uid="{00000000-0005-0000-0000-0000D2470000}"/>
    <cellStyle name="Total 2 7 4 3 2" xfId="18482" xr:uid="{00000000-0005-0000-0000-0000D3470000}"/>
    <cellStyle name="Total 2 7 4 4" xfId="18483" xr:uid="{00000000-0005-0000-0000-0000D4470000}"/>
    <cellStyle name="Total 2 7 4 4 2" xfId="18484" xr:uid="{00000000-0005-0000-0000-0000D5470000}"/>
    <cellStyle name="Total 2 7 4 5" xfId="18485" xr:uid="{00000000-0005-0000-0000-0000D6470000}"/>
    <cellStyle name="Total 2 7 5" xfId="18486" xr:uid="{00000000-0005-0000-0000-0000D7470000}"/>
    <cellStyle name="Total 2 7 5 2" xfId="18487" xr:uid="{00000000-0005-0000-0000-0000D8470000}"/>
    <cellStyle name="Total 2 7 5 2 2" xfId="18488" xr:uid="{00000000-0005-0000-0000-0000D9470000}"/>
    <cellStyle name="Total 2 7 5 3" xfId="18489" xr:uid="{00000000-0005-0000-0000-0000DA470000}"/>
    <cellStyle name="Total 2 7 5 3 2" xfId="18490" xr:uid="{00000000-0005-0000-0000-0000DB470000}"/>
    <cellStyle name="Total 2 7 5 4" xfId="18491" xr:uid="{00000000-0005-0000-0000-0000DC470000}"/>
    <cellStyle name="Total 2 7 6" xfId="18492" xr:uid="{00000000-0005-0000-0000-0000DD470000}"/>
    <cellStyle name="Total 2 7 6 2" xfId="18493" xr:uid="{00000000-0005-0000-0000-0000DE470000}"/>
    <cellStyle name="Total 2 7 7" xfId="18494" xr:uid="{00000000-0005-0000-0000-0000DF470000}"/>
    <cellStyle name="Total 2 7 7 2" xfId="18495" xr:uid="{00000000-0005-0000-0000-0000E0470000}"/>
    <cellStyle name="Total 2 7 8" xfId="18496" xr:uid="{00000000-0005-0000-0000-0000E1470000}"/>
    <cellStyle name="Total 2 7 8 2" xfId="18497" xr:uid="{00000000-0005-0000-0000-0000E2470000}"/>
    <cellStyle name="Total 2 7 9" xfId="18498" xr:uid="{00000000-0005-0000-0000-0000E3470000}"/>
    <cellStyle name="Total 2 8" xfId="4816" xr:uid="{00000000-0005-0000-0000-0000E4470000}"/>
    <cellStyle name="Total 2 8 10" xfId="18500" xr:uid="{00000000-0005-0000-0000-0000E5470000}"/>
    <cellStyle name="Total 2 8 11" xfId="18499" xr:uid="{00000000-0005-0000-0000-0000E6470000}"/>
    <cellStyle name="Total 2 8 2" xfId="18501" xr:uid="{00000000-0005-0000-0000-0000E7470000}"/>
    <cellStyle name="Total 2 8 2 2" xfId="18502" xr:uid="{00000000-0005-0000-0000-0000E8470000}"/>
    <cellStyle name="Total 2 8 2 2 2" xfId="18503" xr:uid="{00000000-0005-0000-0000-0000E9470000}"/>
    <cellStyle name="Total 2 8 2 3" xfId="18504" xr:uid="{00000000-0005-0000-0000-0000EA470000}"/>
    <cellStyle name="Total 2 8 2 3 2" xfId="18505" xr:uid="{00000000-0005-0000-0000-0000EB470000}"/>
    <cellStyle name="Total 2 8 2 4" xfId="18506" xr:uid="{00000000-0005-0000-0000-0000EC470000}"/>
    <cellStyle name="Total 2 8 3" xfId="18507" xr:uid="{00000000-0005-0000-0000-0000ED470000}"/>
    <cellStyle name="Total 2 8 3 2" xfId="18508" xr:uid="{00000000-0005-0000-0000-0000EE470000}"/>
    <cellStyle name="Total 2 8 3 2 2" xfId="18509" xr:uid="{00000000-0005-0000-0000-0000EF470000}"/>
    <cellStyle name="Total 2 8 3 3" xfId="18510" xr:uid="{00000000-0005-0000-0000-0000F0470000}"/>
    <cellStyle name="Total 2 8 3 3 2" xfId="18511" xr:uid="{00000000-0005-0000-0000-0000F1470000}"/>
    <cellStyle name="Total 2 8 3 4" xfId="18512" xr:uid="{00000000-0005-0000-0000-0000F2470000}"/>
    <cellStyle name="Total 2 8 4" xfId="18513" xr:uid="{00000000-0005-0000-0000-0000F3470000}"/>
    <cellStyle name="Total 2 8 4 2" xfId="18514" xr:uid="{00000000-0005-0000-0000-0000F4470000}"/>
    <cellStyle name="Total 2 8 4 2 2" xfId="18515" xr:uid="{00000000-0005-0000-0000-0000F5470000}"/>
    <cellStyle name="Total 2 8 4 3" xfId="18516" xr:uid="{00000000-0005-0000-0000-0000F6470000}"/>
    <cellStyle name="Total 2 8 4 3 2" xfId="18517" xr:uid="{00000000-0005-0000-0000-0000F7470000}"/>
    <cellStyle name="Total 2 8 4 4" xfId="18518" xr:uid="{00000000-0005-0000-0000-0000F8470000}"/>
    <cellStyle name="Total 2 8 4 4 2" xfId="18519" xr:uid="{00000000-0005-0000-0000-0000F9470000}"/>
    <cellStyle name="Total 2 8 4 5" xfId="18520" xr:uid="{00000000-0005-0000-0000-0000FA470000}"/>
    <cellStyle name="Total 2 8 5" xfId="18521" xr:uid="{00000000-0005-0000-0000-0000FB470000}"/>
    <cellStyle name="Total 2 8 5 2" xfId="18522" xr:uid="{00000000-0005-0000-0000-0000FC470000}"/>
    <cellStyle name="Total 2 8 5 2 2" xfId="18523" xr:uid="{00000000-0005-0000-0000-0000FD470000}"/>
    <cellStyle name="Total 2 8 5 3" xfId="18524" xr:uid="{00000000-0005-0000-0000-0000FE470000}"/>
    <cellStyle name="Total 2 8 5 3 2" xfId="18525" xr:uid="{00000000-0005-0000-0000-0000FF470000}"/>
    <cellStyle name="Total 2 8 5 4" xfId="18526" xr:uid="{00000000-0005-0000-0000-000000480000}"/>
    <cellStyle name="Total 2 8 6" xfId="18527" xr:uid="{00000000-0005-0000-0000-000001480000}"/>
    <cellStyle name="Total 2 8 6 2" xfId="18528" xr:uid="{00000000-0005-0000-0000-000002480000}"/>
    <cellStyle name="Total 2 8 7" xfId="18529" xr:uid="{00000000-0005-0000-0000-000003480000}"/>
    <cellStyle name="Total 2 8 7 2" xfId="18530" xr:uid="{00000000-0005-0000-0000-000004480000}"/>
    <cellStyle name="Total 2 8 8" xfId="18531" xr:uid="{00000000-0005-0000-0000-000005480000}"/>
    <cellStyle name="Total 2 8 8 2" xfId="18532" xr:uid="{00000000-0005-0000-0000-000006480000}"/>
    <cellStyle name="Total 2 8 9" xfId="18533" xr:uid="{00000000-0005-0000-0000-000007480000}"/>
    <cellStyle name="Total 2 9" xfId="4817" xr:uid="{00000000-0005-0000-0000-000008480000}"/>
    <cellStyle name="Total 2 9 10" xfId="18535" xr:uid="{00000000-0005-0000-0000-000009480000}"/>
    <cellStyle name="Total 2 9 11" xfId="18534" xr:uid="{00000000-0005-0000-0000-00000A480000}"/>
    <cellStyle name="Total 2 9 2" xfId="18536" xr:uid="{00000000-0005-0000-0000-00000B480000}"/>
    <cellStyle name="Total 2 9 2 2" xfId="18537" xr:uid="{00000000-0005-0000-0000-00000C480000}"/>
    <cellStyle name="Total 2 9 2 2 2" xfId="18538" xr:uid="{00000000-0005-0000-0000-00000D480000}"/>
    <cellStyle name="Total 2 9 2 3" xfId="18539" xr:uid="{00000000-0005-0000-0000-00000E480000}"/>
    <cellStyle name="Total 2 9 2 3 2" xfId="18540" xr:uid="{00000000-0005-0000-0000-00000F480000}"/>
    <cellStyle name="Total 2 9 2 4" xfId="18541" xr:uid="{00000000-0005-0000-0000-000010480000}"/>
    <cellStyle name="Total 2 9 3" xfId="18542" xr:uid="{00000000-0005-0000-0000-000011480000}"/>
    <cellStyle name="Total 2 9 3 2" xfId="18543" xr:uid="{00000000-0005-0000-0000-000012480000}"/>
    <cellStyle name="Total 2 9 3 2 2" xfId="18544" xr:uid="{00000000-0005-0000-0000-000013480000}"/>
    <cellStyle name="Total 2 9 3 3" xfId="18545" xr:uid="{00000000-0005-0000-0000-000014480000}"/>
    <cellStyle name="Total 2 9 3 3 2" xfId="18546" xr:uid="{00000000-0005-0000-0000-000015480000}"/>
    <cellStyle name="Total 2 9 3 4" xfId="18547" xr:uid="{00000000-0005-0000-0000-000016480000}"/>
    <cellStyle name="Total 2 9 4" xfId="18548" xr:uid="{00000000-0005-0000-0000-000017480000}"/>
    <cellStyle name="Total 2 9 4 2" xfId="18549" xr:uid="{00000000-0005-0000-0000-000018480000}"/>
    <cellStyle name="Total 2 9 4 2 2" xfId="18550" xr:uid="{00000000-0005-0000-0000-000019480000}"/>
    <cellStyle name="Total 2 9 4 3" xfId="18551" xr:uid="{00000000-0005-0000-0000-00001A480000}"/>
    <cellStyle name="Total 2 9 4 3 2" xfId="18552" xr:uid="{00000000-0005-0000-0000-00001B480000}"/>
    <cellStyle name="Total 2 9 4 4" xfId="18553" xr:uid="{00000000-0005-0000-0000-00001C480000}"/>
    <cellStyle name="Total 2 9 4 4 2" xfId="18554" xr:uid="{00000000-0005-0000-0000-00001D480000}"/>
    <cellStyle name="Total 2 9 4 5" xfId="18555" xr:uid="{00000000-0005-0000-0000-00001E480000}"/>
    <cellStyle name="Total 2 9 5" xfId="18556" xr:uid="{00000000-0005-0000-0000-00001F480000}"/>
    <cellStyle name="Total 2 9 5 2" xfId="18557" xr:uid="{00000000-0005-0000-0000-000020480000}"/>
    <cellStyle name="Total 2 9 5 2 2" xfId="18558" xr:uid="{00000000-0005-0000-0000-000021480000}"/>
    <cellStyle name="Total 2 9 5 3" xfId="18559" xr:uid="{00000000-0005-0000-0000-000022480000}"/>
    <cellStyle name="Total 2 9 5 3 2" xfId="18560" xr:uid="{00000000-0005-0000-0000-000023480000}"/>
    <cellStyle name="Total 2 9 5 4" xfId="18561" xr:uid="{00000000-0005-0000-0000-000024480000}"/>
    <cellStyle name="Total 2 9 6" xfId="18562" xr:uid="{00000000-0005-0000-0000-000025480000}"/>
    <cellStyle name="Total 2 9 6 2" xfId="18563" xr:uid="{00000000-0005-0000-0000-000026480000}"/>
    <cellStyle name="Total 2 9 7" xfId="18564" xr:uid="{00000000-0005-0000-0000-000027480000}"/>
    <cellStyle name="Total 2 9 7 2" xfId="18565" xr:uid="{00000000-0005-0000-0000-000028480000}"/>
    <cellStyle name="Total 2 9 8" xfId="18566" xr:uid="{00000000-0005-0000-0000-000029480000}"/>
    <cellStyle name="Total 2 9 8 2" xfId="18567" xr:uid="{00000000-0005-0000-0000-00002A480000}"/>
    <cellStyle name="Total 2 9 9" xfId="18568" xr:uid="{00000000-0005-0000-0000-00002B480000}"/>
    <cellStyle name="Total 20" xfId="3308" xr:uid="{00000000-0005-0000-0000-00002C480000}"/>
    <cellStyle name="Total 20 10" xfId="18570" xr:uid="{00000000-0005-0000-0000-00002D480000}"/>
    <cellStyle name="Total 20 11" xfId="18571" xr:uid="{00000000-0005-0000-0000-00002E480000}"/>
    <cellStyle name="Total 20 12" xfId="18569" xr:uid="{00000000-0005-0000-0000-00002F480000}"/>
    <cellStyle name="Total 20 2" xfId="18572" xr:uid="{00000000-0005-0000-0000-000030480000}"/>
    <cellStyle name="Total 20 2 2" xfId="18573" xr:uid="{00000000-0005-0000-0000-000031480000}"/>
    <cellStyle name="Total 20 2 2 2" xfId="18574" xr:uid="{00000000-0005-0000-0000-000032480000}"/>
    <cellStyle name="Total 20 2 3" xfId="18575" xr:uid="{00000000-0005-0000-0000-000033480000}"/>
    <cellStyle name="Total 20 2 3 2" xfId="18576" xr:uid="{00000000-0005-0000-0000-000034480000}"/>
    <cellStyle name="Total 20 2 4" xfId="18577" xr:uid="{00000000-0005-0000-0000-000035480000}"/>
    <cellStyle name="Total 20 2 5" xfId="18578" xr:uid="{00000000-0005-0000-0000-000036480000}"/>
    <cellStyle name="Total 20 3" xfId="18579" xr:uid="{00000000-0005-0000-0000-000037480000}"/>
    <cellStyle name="Total 20 3 2" xfId="18580" xr:uid="{00000000-0005-0000-0000-000038480000}"/>
    <cellStyle name="Total 20 3 2 2" xfId="18581" xr:uid="{00000000-0005-0000-0000-000039480000}"/>
    <cellStyle name="Total 20 3 3" xfId="18582" xr:uid="{00000000-0005-0000-0000-00003A480000}"/>
    <cellStyle name="Total 20 3 3 2" xfId="18583" xr:uid="{00000000-0005-0000-0000-00003B480000}"/>
    <cellStyle name="Total 20 3 4" xfId="18584" xr:uid="{00000000-0005-0000-0000-00003C480000}"/>
    <cellStyle name="Total 20 4" xfId="18585" xr:uid="{00000000-0005-0000-0000-00003D480000}"/>
    <cellStyle name="Total 20 4 2" xfId="18586" xr:uid="{00000000-0005-0000-0000-00003E480000}"/>
    <cellStyle name="Total 20 4 2 2" xfId="18587" xr:uid="{00000000-0005-0000-0000-00003F480000}"/>
    <cellStyle name="Total 20 4 3" xfId="18588" xr:uid="{00000000-0005-0000-0000-000040480000}"/>
    <cellStyle name="Total 20 4 3 2" xfId="18589" xr:uid="{00000000-0005-0000-0000-000041480000}"/>
    <cellStyle name="Total 20 4 4" xfId="18590" xr:uid="{00000000-0005-0000-0000-000042480000}"/>
    <cellStyle name="Total 20 5" xfId="18591" xr:uid="{00000000-0005-0000-0000-000043480000}"/>
    <cellStyle name="Total 20 5 2" xfId="18592" xr:uid="{00000000-0005-0000-0000-000044480000}"/>
    <cellStyle name="Total 20 5 2 2" xfId="18593" xr:uid="{00000000-0005-0000-0000-000045480000}"/>
    <cellStyle name="Total 20 5 3" xfId="18594" xr:uid="{00000000-0005-0000-0000-000046480000}"/>
    <cellStyle name="Total 20 5 3 2" xfId="18595" xr:uid="{00000000-0005-0000-0000-000047480000}"/>
    <cellStyle name="Total 20 5 4" xfId="18596" xr:uid="{00000000-0005-0000-0000-000048480000}"/>
    <cellStyle name="Total 20 5 4 2" xfId="18597" xr:uid="{00000000-0005-0000-0000-000049480000}"/>
    <cellStyle name="Total 20 5 5" xfId="18598" xr:uid="{00000000-0005-0000-0000-00004A480000}"/>
    <cellStyle name="Total 20 6" xfId="18599" xr:uid="{00000000-0005-0000-0000-00004B480000}"/>
    <cellStyle name="Total 20 6 2" xfId="18600" xr:uid="{00000000-0005-0000-0000-00004C480000}"/>
    <cellStyle name="Total 20 6 2 2" xfId="18601" xr:uid="{00000000-0005-0000-0000-00004D480000}"/>
    <cellStyle name="Total 20 6 3" xfId="18602" xr:uid="{00000000-0005-0000-0000-00004E480000}"/>
    <cellStyle name="Total 20 6 3 2" xfId="18603" xr:uid="{00000000-0005-0000-0000-00004F480000}"/>
    <cellStyle name="Total 20 6 4" xfId="18604" xr:uid="{00000000-0005-0000-0000-000050480000}"/>
    <cellStyle name="Total 20 7" xfId="18605" xr:uid="{00000000-0005-0000-0000-000051480000}"/>
    <cellStyle name="Total 20 7 2" xfId="18606" xr:uid="{00000000-0005-0000-0000-000052480000}"/>
    <cellStyle name="Total 20 8" xfId="18607" xr:uid="{00000000-0005-0000-0000-000053480000}"/>
    <cellStyle name="Total 20 8 2" xfId="18608" xr:uid="{00000000-0005-0000-0000-000054480000}"/>
    <cellStyle name="Total 20 9" xfId="18609" xr:uid="{00000000-0005-0000-0000-000055480000}"/>
    <cellStyle name="Total 20 9 2" xfId="18610" xr:uid="{00000000-0005-0000-0000-000056480000}"/>
    <cellStyle name="Total 21" xfId="3309" xr:uid="{00000000-0005-0000-0000-000057480000}"/>
    <cellStyle name="Total 21 10" xfId="18612" xr:uid="{00000000-0005-0000-0000-000058480000}"/>
    <cellStyle name="Total 21 11" xfId="18613" xr:uid="{00000000-0005-0000-0000-000059480000}"/>
    <cellStyle name="Total 21 12" xfId="18611" xr:uid="{00000000-0005-0000-0000-00005A480000}"/>
    <cellStyle name="Total 21 2" xfId="18614" xr:uid="{00000000-0005-0000-0000-00005B480000}"/>
    <cellStyle name="Total 21 2 2" xfId="18615" xr:uid="{00000000-0005-0000-0000-00005C480000}"/>
    <cellStyle name="Total 21 2 2 2" xfId="18616" xr:uid="{00000000-0005-0000-0000-00005D480000}"/>
    <cellStyle name="Total 21 2 3" xfId="18617" xr:uid="{00000000-0005-0000-0000-00005E480000}"/>
    <cellStyle name="Total 21 2 3 2" xfId="18618" xr:uid="{00000000-0005-0000-0000-00005F480000}"/>
    <cellStyle name="Total 21 2 4" xfId="18619" xr:uid="{00000000-0005-0000-0000-000060480000}"/>
    <cellStyle name="Total 21 2 5" xfId="18620" xr:uid="{00000000-0005-0000-0000-000061480000}"/>
    <cellStyle name="Total 21 3" xfId="18621" xr:uid="{00000000-0005-0000-0000-000062480000}"/>
    <cellStyle name="Total 21 3 2" xfId="18622" xr:uid="{00000000-0005-0000-0000-000063480000}"/>
    <cellStyle name="Total 21 3 2 2" xfId="18623" xr:uid="{00000000-0005-0000-0000-000064480000}"/>
    <cellStyle name="Total 21 3 3" xfId="18624" xr:uid="{00000000-0005-0000-0000-000065480000}"/>
    <cellStyle name="Total 21 3 3 2" xfId="18625" xr:uid="{00000000-0005-0000-0000-000066480000}"/>
    <cellStyle name="Total 21 3 4" xfId="18626" xr:uid="{00000000-0005-0000-0000-000067480000}"/>
    <cellStyle name="Total 21 4" xfId="18627" xr:uid="{00000000-0005-0000-0000-000068480000}"/>
    <cellStyle name="Total 21 4 2" xfId="18628" xr:uid="{00000000-0005-0000-0000-000069480000}"/>
    <cellStyle name="Total 21 4 2 2" xfId="18629" xr:uid="{00000000-0005-0000-0000-00006A480000}"/>
    <cellStyle name="Total 21 4 3" xfId="18630" xr:uid="{00000000-0005-0000-0000-00006B480000}"/>
    <cellStyle name="Total 21 4 3 2" xfId="18631" xr:uid="{00000000-0005-0000-0000-00006C480000}"/>
    <cellStyle name="Total 21 4 4" xfId="18632" xr:uid="{00000000-0005-0000-0000-00006D480000}"/>
    <cellStyle name="Total 21 5" xfId="18633" xr:uid="{00000000-0005-0000-0000-00006E480000}"/>
    <cellStyle name="Total 21 5 2" xfId="18634" xr:uid="{00000000-0005-0000-0000-00006F480000}"/>
    <cellStyle name="Total 21 5 2 2" xfId="18635" xr:uid="{00000000-0005-0000-0000-000070480000}"/>
    <cellStyle name="Total 21 5 3" xfId="18636" xr:uid="{00000000-0005-0000-0000-000071480000}"/>
    <cellStyle name="Total 21 5 3 2" xfId="18637" xr:uid="{00000000-0005-0000-0000-000072480000}"/>
    <cellStyle name="Total 21 5 4" xfId="18638" xr:uid="{00000000-0005-0000-0000-000073480000}"/>
    <cellStyle name="Total 21 5 4 2" xfId="18639" xr:uid="{00000000-0005-0000-0000-000074480000}"/>
    <cellStyle name="Total 21 5 5" xfId="18640" xr:uid="{00000000-0005-0000-0000-000075480000}"/>
    <cellStyle name="Total 21 6" xfId="18641" xr:uid="{00000000-0005-0000-0000-000076480000}"/>
    <cellStyle name="Total 21 6 2" xfId="18642" xr:uid="{00000000-0005-0000-0000-000077480000}"/>
    <cellStyle name="Total 21 6 2 2" xfId="18643" xr:uid="{00000000-0005-0000-0000-000078480000}"/>
    <cellStyle name="Total 21 6 3" xfId="18644" xr:uid="{00000000-0005-0000-0000-000079480000}"/>
    <cellStyle name="Total 21 6 3 2" xfId="18645" xr:uid="{00000000-0005-0000-0000-00007A480000}"/>
    <cellStyle name="Total 21 6 4" xfId="18646" xr:uid="{00000000-0005-0000-0000-00007B480000}"/>
    <cellStyle name="Total 21 7" xfId="18647" xr:uid="{00000000-0005-0000-0000-00007C480000}"/>
    <cellStyle name="Total 21 7 2" xfId="18648" xr:uid="{00000000-0005-0000-0000-00007D480000}"/>
    <cellStyle name="Total 21 8" xfId="18649" xr:uid="{00000000-0005-0000-0000-00007E480000}"/>
    <cellStyle name="Total 21 8 2" xfId="18650" xr:uid="{00000000-0005-0000-0000-00007F480000}"/>
    <cellStyle name="Total 21 9" xfId="18651" xr:uid="{00000000-0005-0000-0000-000080480000}"/>
    <cellStyle name="Total 21 9 2" xfId="18652" xr:uid="{00000000-0005-0000-0000-000081480000}"/>
    <cellStyle name="Total 22" xfId="3310" xr:uid="{00000000-0005-0000-0000-000082480000}"/>
    <cellStyle name="Total 22 10" xfId="18654" xr:uid="{00000000-0005-0000-0000-000083480000}"/>
    <cellStyle name="Total 22 11" xfId="18655" xr:uid="{00000000-0005-0000-0000-000084480000}"/>
    <cellStyle name="Total 22 12" xfId="18653" xr:uid="{00000000-0005-0000-0000-000085480000}"/>
    <cellStyle name="Total 22 2" xfId="18656" xr:uid="{00000000-0005-0000-0000-000086480000}"/>
    <cellStyle name="Total 22 2 2" xfId="18657" xr:uid="{00000000-0005-0000-0000-000087480000}"/>
    <cellStyle name="Total 22 2 2 2" xfId="18658" xr:uid="{00000000-0005-0000-0000-000088480000}"/>
    <cellStyle name="Total 22 2 3" xfId="18659" xr:uid="{00000000-0005-0000-0000-000089480000}"/>
    <cellStyle name="Total 22 2 3 2" xfId="18660" xr:uid="{00000000-0005-0000-0000-00008A480000}"/>
    <cellStyle name="Total 22 2 4" xfId="18661" xr:uid="{00000000-0005-0000-0000-00008B480000}"/>
    <cellStyle name="Total 22 2 5" xfId="18662" xr:uid="{00000000-0005-0000-0000-00008C480000}"/>
    <cellStyle name="Total 22 3" xfId="18663" xr:uid="{00000000-0005-0000-0000-00008D480000}"/>
    <cellStyle name="Total 22 3 2" xfId="18664" xr:uid="{00000000-0005-0000-0000-00008E480000}"/>
    <cellStyle name="Total 22 3 2 2" xfId="18665" xr:uid="{00000000-0005-0000-0000-00008F480000}"/>
    <cellStyle name="Total 22 3 3" xfId="18666" xr:uid="{00000000-0005-0000-0000-000090480000}"/>
    <cellStyle name="Total 22 3 3 2" xfId="18667" xr:uid="{00000000-0005-0000-0000-000091480000}"/>
    <cellStyle name="Total 22 3 4" xfId="18668" xr:uid="{00000000-0005-0000-0000-000092480000}"/>
    <cellStyle name="Total 22 4" xfId="18669" xr:uid="{00000000-0005-0000-0000-000093480000}"/>
    <cellStyle name="Total 22 4 2" xfId="18670" xr:uid="{00000000-0005-0000-0000-000094480000}"/>
    <cellStyle name="Total 22 4 2 2" xfId="18671" xr:uid="{00000000-0005-0000-0000-000095480000}"/>
    <cellStyle name="Total 22 4 3" xfId="18672" xr:uid="{00000000-0005-0000-0000-000096480000}"/>
    <cellStyle name="Total 22 4 3 2" xfId="18673" xr:uid="{00000000-0005-0000-0000-000097480000}"/>
    <cellStyle name="Total 22 4 4" xfId="18674" xr:uid="{00000000-0005-0000-0000-000098480000}"/>
    <cellStyle name="Total 22 5" xfId="18675" xr:uid="{00000000-0005-0000-0000-000099480000}"/>
    <cellStyle name="Total 22 5 2" xfId="18676" xr:uid="{00000000-0005-0000-0000-00009A480000}"/>
    <cellStyle name="Total 22 5 2 2" xfId="18677" xr:uid="{00000000-0005-0000-0000-00009B480000}"/>
    <cellStyle name="Total 22 5 3" xfId="18678" xr:uid="{00000000-0005-0000-0000-00009C480000}"/>
    <cellStyle name="Total 22 5 3 2" xfId="18679" xr:uid="{00000000-0005-0000-0000-00009D480000}"/>
    <cellStyle name="Total 22 5 4" xfId="18680" xr:uid="{00000000-0005-0000-0000-00009E480000}"/>
    <cellStyle name="Total 22 5 4 2" xfId="18681" xr:uid="{00000000-0005-0000-0000-00009F480000}"/>
    <cellStyle name="Total 22 5 5" xfId="18682" xr:uid="{00000000-0005-0000-0000-0000A0480000}"/>
    <cellStyle name="Total 22 6" xfId="18683" xr:uid="{00000000-0005-0000-0000-0000A1480000}"/>
    <cellStyle name="Total 22 6 2" xfId="18684" xr:uid="{00000000-0005-0000-0000-0000A2480000}"/>
    <cellStyle name="Total 22 6 2 2" xfId="18685" xr:uid="{00000000-0005-0000-0000-0000A3480000}"/>
    <cellStyle name="Total 22 6 3" xfId="18686" xr:uid="{00000000-0005-0000-0000-0000A4480000}"/>
    <cellStyle name="Total 22 6 3 2" xfId="18687" xr:uid="{00000000-0005-0000-0000-0000A5480000}"/>
    <cellStyle name="Total 22 6 4" xfId="18688" xr:uid="{00000000-0005-0000-0000-0000A6480000}"/>
    <cellStyle name="Total 22 7" xfId="18689" xr:uid="{00000000-0005-0000-0000-0000A7480000}"/>
    <cellStyle name="Total 22 7 2" xfId="18690" xr:uid="{00000000-0005-0000-0000-0000A8480000}"/>
    <cellStyle name="Total 22 8" xfId="18691" xr:uid="{00000000-0005-0000-0000-0000A9480000}"/>
    <cellStyle name="Total 22 8 2" xfId="18692" xr:uid="{00000000-0005-0000-0000-0000AA480000}"/>
    <cellStyle name="Total 22 9" xfId="18693" xr:uid="{00000000-0005-0000-0000-0000AB480000}"/>
    <cellStyle name="Total 22 9 2" xfId="18694" xr:uid="{00000000-0005-0000-0000-0000AC480000}"/>
    <cellStyle name="Total 23" xfId="3311" xr:uid="{00000000-0005-0000-0000-0000AD480000}"/>
    <cellStyle name="Total 23 10" xfId="18696" xr:uid="{00000000-0005-0000-0000-0000AE480000}"/>
    <cellStyle name="Total 23 11" xfId="18697" xr:uid="{00000000-0005-0000-0000-0000AF480000}"/>
    <cellStyle name="Total 23 12" xfId="18695" xr:uid="{00000000-0005-0000-0000-0000B0480000}"/>
    <cellStyle name="Total 23 2" xfId="18698" xr:uid="{00000000-0005-0000-0000-0000B1480000}"/>
    <cellStyle name="Total 23 2 2" xfId="18699" xr:uid="{00000000-0005-0000-0000-0000B2480000}"/>
    <cellStyle name="Total 23 2 2 2" xfId="18700" xr:uid="{00000000-0005-0000-0000-0000B3480000}"/>
    <cellStyle name="Total 23 2 3" xfId="18701" xr:uid="{00000000-0005-0000-0000-0000B4480000}"/>
    <cellStyle name="Total 23 2 3 2" xfId="18702" xr:uid="{00000000-0005-0000-0000-0000B5480000}"/>
    <cellStyle name="Total 23 2 4" xfId="18703" xr:uid="{00000000-0005-0000-0000-0000B6480000}"/>
    <cellStyle name="Total 23 2 5" xfId="18704" xr:uid="{00000000-0005-0000-0000-0000B7480000}"/>
    <cellStyle name="Total 23 3" xfId="18705" xr:uid="{00000000-0005-0000-0000-0000B8480000}"/>
    <cellStyle name="Total 23 3 2" xfId="18706" xr:uid="{00000000-0005-0000-0000-0000B9480000}"/>
    <cellStyle name="Total 23 3 2 2" xfId="18707" xr:uid="{00000000-0005-0000-0000-0000BA480000}"/>
    <cellStyle name="Total 23 3 3" xfId="18708" xr:uid="{00000000-0005-0000-0000-0000BB480000}"/>
    <cellStyle name="Total 23 3 3 2" xfId="18709" xr:uid="{00000000-0005-0000-0000-0000BC480000}"/>
    <cellStyle name="Total 23 3 4" xfId="18710" xr:uid="{00000000-0005-0000-0000-0000BD480000}"/>
    <cellStyle name="Total 23 4" xfId="18711" xr:uid="{00000000-0005-0000-0000-0000BE480000}"/>
    <cellStyle name="Total 23 4 2" xfId="18712" xr:uid="{00000000-0005-0000-0000-0000BF480000}"/>
    <cellStyle name="Total 23 4 2 2" xfId="18713" xr:uid="{00000000-0005-0000-0000-0000C0480000}"/>
    <cellStyle name="Total 23 4 3" xfId="18714" xr:uid="{00000000-0005-0000-0000-0000C1480000}"/>
    <cellStyle name="Total 23 4 3 2" xfId="18715" xr:uid="{00000000-0005-0000-0000-0000C2480000}"/>
    <cellStyle name="Total 23 4 4" xfId="18716" xr:uid="{00000000-0005-0000-0000-0000C3480000}"/>
    <cellStyle name="Total 23 5" xfId="18717" xr:uid="{00000000-0005-0000-0000-0000C4480000}"/>
    <cellStyle name="Total 23 5 2" xfId="18718" xr:uid="{00000000-0005-0000-0000-0000C5480000}"/>
    <cellStyle name="Total 23 5 2 2" xfId="18719" xr:uid="{00000000-0005-0000-0000-0000C6480000}"/>
    <cellStyle name="Total 23 5 3" xfId="18720" xr:uid="{00000000-0005-0000-0000-0000C7480000}"/>
    <cellStyle name="Total 23 5 3 2" xfId="18721" xr:uid="{00000000-0005-0000-0000-0000C8480000}"/>
    <cellStyle name="Total 23 5 4" xfId="18722" xr:uid="{00000000-0005-0000-0000-0000C9480000}"/>
    <cellStyle name="Total 23 5 4 2" xfId="18723" xr:uid="{00000000-0005-0000-0000-0000CA480000}"/>
    <cellStyle name="Total 23 5 5" xfId="18724" xr:uid="{00000000-0005-0000-0000-0000CB480000}"/>
    <cellStyle name="Total 23 6" xfId="18725" xr:uid="{00000000-0005-0000-0000-0000CC480000}"/>
    <cellStyle name="Total 23 6 2" xfId="18726" xr:uid="{00000000-0005-0000-0000-0000CD480000}"/>
    <cellStyle name="Total 23 6 2 2" xfId="18727" xr:uid="{00000000-0005-0000-0000-0000CE480000}"/>
    <cellStyle name="Total 23 6 3" xfId="18728" xr:uid="{00000000-0005-0000-0000-0000CF480000}"/>
    <cellStyle name="Total 23 6 3 2" xfId="18729" xr:uid="{00000000-0005-0000-0000-0000D0480000}"/>
    <cellStyle name="Total 23 6 4" xfId="18730" xr:uid="{00000000-0005-0000-0000-0000D1480000}"/>
    <cellStyle name="Total 23 7" xfId="18731" xr:uid="{00000000-0005-0000-0000-0000D2480000}"/>
    <cellStyle name="Total 23 7 2" xfId="18732" xr:uid="{00000000-0005-0000-0000-0000D3480000}"/>
    <cellStyle name="Total 23 8" xfId="18733" xr:uid="{00000000-0005-0000-0000-0000D4480000}"/>
    <cellStyle name="Total 23 8 2" xfId="18734" xr:uid="{00000000-0005-0000-0000-0000D5480000}"/>
    <cellStyle name="Total 23 9" xfId="18735" xr:uid="{00000000-0005-0000-0000-0000D6480000}"/>
    <cellStyle name="Total 23 9 2" xfId="18736" xr:uid="{00000000-0005-0000-0000-0000D7480000}"/>
    <cellStyle name="Total 24" xfId="3312" xr:uid="{00000000-0005-0000-0000-0000D8480000}"/>
    <cellStyle name="Total 24 10" xfId="18738" xr:uid="{00000000-0005-0000-0000-0000D9480000}"/>
    <cellStyle name="Total 24 11" xfId="18739" xr:uid="{00000000-0005-0000-0000-0000DA480000}"/>
    <cellStyle name="Total 24 12" xfId="18737" xr:uid="{00000000-0005-0000-0000-0000DB480000}"/>
    <cellStyle name="Total 24 2" xfId="18740" xr:uid="{00000000-0005-0000-0000-0000DC480000}"/>
    <cellStyle name="Total 24 2 2" xfId="18741" xr:uid="{00000000-0005-0000-0000-0000DD480000}"/>
    <cellStyle name="Total 24 2 2 2" xfId="18742" xr:uid="{00000000-0005-0000-0000-0000DE480000}"/>
    <cellStyle name="Total 24 2 3" xfId="18743" xr:uid="{00000000-0005-0000-0000-0000DF480000}"/>
    <cellStyle name="Total 24 2 3 2" xfId="18744" xr:uid="{00000000-0005-0000-0000-0000E0480000}"/>
    <cellStyle name="Total 24 2 4" xfId="18745" xr:uid="{00000000-0005-0000-0000-0000E1480000}"/>
    <cellStyle name="Total 24 2 5" xfId="18746" xr:uid="{00000000-0005-0000-0000-0000E2480000}"/>
    <cellStyle name="Total 24 3" xfId="18747" xr:uid="{00000000-0005-0000-0000-0000E3480000}"/>
    <cellStyle name="Total 24 3 2" xfId="18748" xr:uid="{00000000-0005-0000-0000-0000E4480000}"/>
    <cellStyle name="Total 24 3 2 2" xfId="18749" xr:uid="{00000000-0005-0000-0000-0000E5480000}"/>
    <cellStyle name="Total 24 3 3" xfId="18750" xr:uid="{00000000-0005-0000-0000-0000E6480000}"/>
    <cellStyle name="Total 24 3 3 2" xfId="18751" xr:uid="{00000000-0005-0000-0000-0000E7480000}"/>
    <cellStyle name="Total 24 3 4" xfId="18752" xr:uid="{00000000-0005-0000-0000-0000E8480000}"/>
    <cellStyle name="Total 24 4" xfId="18753" xr:uid="{00000000-0005-0000-0000-0000E9480000}"/>
    <cellStyle name="Total 24 4 2" xfId="18754" xr:uid="{00000000-0005-0000-0000-0000EA480000}"/>
    <cellStyle name="Total 24 4 2 2" xfId="18755" xr:uid="{00000000-0005-0000-0000-0000EB480000}"/>
    <cellStyle name="Total 24 4 3" xfId="18756" xr:uid="{00000000-0005-0000-0000-0000EC480000}"/>
    <cellStyle name="Total 24 4 3 2" xfId="18757" xr:uid="{00000000-0005-0000-0000-0000ED480000}"/>
    <cellStyle name="Total 24 4 4" xfId="18758" xr:uid="{00000000-0005-0000-0000-0000EE480000}"/>
    <cellStyle name="Total 24 5" xfId="18759" xr:uid="{00000000-0005-0000-0000-0000EF480000}"/>
    <cellStyle name="Total 24 5 2" xfId="18760" xr:uid="{00000000-0005-0000-0000-0000F0480000}"/>
    <cellStyle name="Total 24 5 2 2" xfId="18761" xr:uid="{00000000-0005-0000-0000-0000F1480000}"/>
    <cellStyle name="Total 24 5 3" xfId="18762" xr:uid="{00000000-0005-0000-0000-0000F2480000}"/>
    <cellStyle name="Total 24 5 3 2" xfId="18763" xr:uid="{00000000-0005-0000-0000-0000F3480000}"/>
    <cellStyle name="Total 24 5 4" xfId="18764" xr:uid="{00000000-0005-0000-0000-0000F4480000}"/>
    <cellStyle name="Total 24 5 4 2" xfId="18765" xr:uid="{00000000-0005-0000-0000-0000F5480000}"/>
    <cellStyle name="Total 24 5 5" xfId="18766" xr:uid="{00000000-0005-0000-0000-0000F6480000}"/>
    <cellStyle name="Total 24 6" xfId="18767" xr:uid="{00000000-0005-0000-0000-0000F7480000}"/>
    <cellStyle name="Total 24 6 2" xfId="18768" xr:uid="{00000000-0005-0000-0000-0000F8480000}"/>
    <cellStyle name="Total 24 6 2 2" xfId="18769" xr:uid="{00000000-0005-0000-0000-0000F9480000}"/>
    <cellStyle name="Total 24 6 3" xfId="18770" xr:uid="{00000000-0005-0000-0000-0000FA480000}"/>
    <cellStyle name="Total 24 6 3 2" xfId="18771" xr:uid="{00000000-0005-0000-0000-0000FB480000}"/>
    <cellStyle name="Total 24 6 4" xfId="18772" xr:uid="{00000000-0005-0000-0000-0000FC480000}"/>
    <cellStyle name="Total 24 7" xfId="18773" xr:uid="{00000000-0005-0000-0000-0000FD480000}"/>
    <cellStyle name="Total 24 7 2" xfId="18774" xr:uid="{00000000-0005-0000-0000-0000FE480000}"/>
    <cellStyle name="Total 24 8" xfId="18775" xr:uid="{00000000-0005-0000-0000-0000FF480000}"/>
    <cellStyle name="Total 24 8 2" xfId="18776" xr:uid="{00000000-0005-0000-0000-000000490000}"/>
    <cellStyle name="Total 24 9" xfId="18777" xr:uid="{00000000-0005-0000-0000-000001490000}"/>
    <cellStyle name="Total 24 9 2" xfId="18778" xr:uid="{00000000-0005-0000-0000-000002490000}"/>
    <cellStyle name="Total 25" xfId="3313" xr:uid="{00000000-0005-0000-0000-000003490000}"/>
    <cellStyle name="Total 25 10" xfId="18780" xr:uid="{00000000-0005-0000-0000-000004490000}"/>
    <cellStyle name="Total 25 11" xfId="18781" xr:uid="{00000000-0005-0000-0000-000005490000}"/>
    <cellStyle name="Total 25 12" xfId="18779" xr:uid="{00000000-0005-0000-0000-000006490000}"/>
    <cellStyle name="Total 25 2" xfId="18782" xr:uid="{00000000-0005-0000-0000-000007490000}"/>
    <cellStyle name="Total 25 2 2" xfId="18783" xr:uid="{00000000-0005-0000-0000-000008490000}"/>
    <cellStyle name="Total 25 2 2 2" xfId="18784" xr:uid="{00000000-0005-0000-0000-000009490000}"/>
    <cellStyle name="Total 25 2 3" xfId="18785" xr:uid="{00000000-0005-0000-0000-00000A490000}"/>
    <cellStyle name="Total 25 2 3 2" xfId="18786" xr:uid="{00000000-0005-0000-0000-00000B490000}"/>
    <cellStyle name="Total 25 2 4" xfId="18787" xr:uid="{00000000-0005-0000-0000-00000C490000}"/>
    <cellStyle name="Total 25 2 5" xfId="18788" xr:uid="{00000000-0005-0000-0000-00000D490000}"/>
    <cellStyle name="Total 25 3" xfId="18789" xr:uid="{00000000-0005-0000-0000-00000E490000}"/>
    <cellStyle name="Total 25 3 2" xfId="18790" xr:uid="{00000000-0005-0000-0000-00000F490000}"/>
    <cellStyle name="Total 25 3 2 2" xfId="18791" xr:uid="{00000000-0005-0000-0000-000010490000}"/>
    <cellStyle name="Total 25 3 3" xfId="18792" xr:uid="{00000000-0005-0000-0000-000011490000}"/>
    <cellStyle name="Total 25 3 3 2" xfId="18793" xr:uid="{00000000-0005-0000-0000-000012490000}"/>
    <cellStyle name="Total 25 3 4" xfId="18794" xr:uid="{00000000-0005-0000-0000-000013490000}"/>
    <cellStyle name="Total 25 4" xfId="18795" xr:uid="{00000000-0005-0000-0000-000014490000}"/>
    <cellStyle name="Total 25 4 2" xfId="18796" xr:uid="{00000000-0005-0000-0000-000015490000}"/>
    <cellStyle name="Total 25 4 2 2" xfId="18797" xr:uid="{00000000-0005-0000-0000-000016490000}"/>
    <cellStyle name="Total 25 4 3" xfId="18798" xr:uid="{00000000-0005-0000-0000-000017490000}"/>
    <cellStyle name="Total 25 4 3 2" xfId="18799" xr:uid="{00000000-0005-0000-0000-000018490000}"/>
    <cellStyle name="Total 25 4 4" xfId="18800" xr:uid="{00000000-0005-0000-0000-000019490000}"/>
    <cellStyle name="Total 25 5" xfId="18801" xr:uid="{00000000-0005-0000-0000-00001A490000}"/>
    <cellStyle name="Total 25 5 2" xfId="18802" xr:uid="{00000000-0005-0000-0000-00001B490000}"/>
    <cellStyle name="Total 25 5 2 2" xfId="18803" xr:uid="{00000000-0005-0000-0000-00001C490000}"/>
    <cellStyle name="Total 25 5 3" xfId="18804" xr:uid="{00000000-0005-0000-0000-00001D490000}"/>
    <cellStyle name="Total 25 5 3 2" xfId="18805" xr:uid="{00000000-0005-0000-0000-00001E490000}"/>
    <cellStyle name="Total 25 5 4" xfId="18806" xr:uid="{00000000-0005-0000-0000-00001F490000}"/>
    <cellStyle name="Total 25 5 4 2" xfId="18807" xr:uid="{00000000-0005-0000-0000-000020490000}"/>
    <cellStyle name="Total 25 5 5" xfId="18808" xr:uid="{00000000-0005-0000-0000-000021490000}"/>
    <cellStyle name="Total 25 6" xfId="18809" xr:uid="{00000000-0005-0000-0000-000022490000}"/>
    <cellStyle name="Total 25 6 2" xfId="18810" xr:uid="{00000000-0005-0000-0000-000023490000}"/>
    <cellStyle name="Total 25 6 2 2" xfId="18811" xr:uid="{00000000-0005-0000-0000-000024490000}"/>
    <cellStyle name="Total 25 6 3" xfId="18812" xr:uid="{00000000-0005-0000-0000-000025490000}"/>
    <cellStyle name="Total 25 6 3 2" xfId="18813" xr:uid="{00000000-0005-0000-0000-000026490000}"/>
    <cellStyle name="Total 25 6 4" xfId="18814" xr:uid="{00000000-0005-0000-0000-000027490000}"/>
    <cellStyle name="Total 25 7" xfId="18815" xr:uid="{00000000-0005-0000-0000-000028490000}"/>
    <cellStyle name="Total 25 7 2" xfId="18816" xr:uid="{00000000-0005-0000-0000-000029490000}"/>
    <cellStyle name="Total 25 8" xfId="18817" xr:uid="{00000000-0005-0000-0000-00002A490000}"/>
    <cellStyle name="Total 25 8 2" xfId="18818" xr:uid="{00000000-0005-0000-0000-00002B490000}"/>
    <cellStyle name="Total 25 9" xfId="18819" xr:uid="{00000000-0005-0000-0000-00002C490000}"/>
    <cellStyle name="Total 25 9 2" xfId="18820" xr:uid="{00000000-0005-0000-0000-00002D490000}"/>
    <cellStyle name="Total 26" xfId="3314" xr:uid="{00000000-0005-0000-0000-00002E490000}"/>
    <cellStyle name="Total 26 10" xfId="18822" xr:uid="{00000000-0005-0000-0000-00002F490000}"/>
    <cellStyle name="Total 26 11" xfId="18823" xr:uid="{00000000-0005-0000-0000-000030490000}"/>
    <cellStyle name="Total 26 12" xfId="18821" xr:uid="{00000000-0005-0000-0000-000031490000}"/>
    <cellStyle name="Total 26 2" xfId="18824" xr:uid="{00000000-0005-0000-0000-000032490000}"/>
    <cellStyle name="Total 26 2 2" xfId="18825" xr:uid="{00000000-0005-0000-0000-000033490000}"/>
    <cellStyle name="Total 26 2 2 2" xfId="18826" xr:uid="{00000000-0005-0000-0000-000034490000}"/>
    <cellStyle name="Total 26 2 3" xfId="18827" xr:uid="{00000000-0005-0000-0000-000035490000}"/>
    <cellStyle name="Total 26 2 3 2" xfId="18828" xr:uid="{00000000-0005-0000-0000-000036490000}"/>
    <cellStyle name="Total 26 2 4" xfId="18829" xr:uid="{00000000-0005-0000-0000-000037490000}"/>
    <cellStyle name="Total 26 2 5" xfId="18830" xr:uid="{00000000-0005-0000-0000-000038490000}"/>
    <cellStyle name="Total 26 3" xfId="18831" xr:uid="{00000000-0005-0000-0000-000039490000}"/>
    <cellStyle name="Total 26 3 2" xfId="18832" xr:uid="{00000000-0005-0000-0000-00003A490000}"/>
    <cellStyle name="Total 26 3 2 2" xfId="18833" xr:uid="{00000000-0005-0000-0000-00003B490000}"/>
    <cellStyle name="Total 26 3 3" xfId="18834" xr:uid="{00000000-0005-0000-0000-00003C490000}"/>
    <cellStyle name="Total 26 3 3 2" xfId="18835" xr:uid="{00000000-0005-0000-0000-00003D490000}"/>
    <cellStyle name="Total 26 3 4" xfId="18836" xr:uid="{00000000-0005-0000-0000-00003E490000}"/>
    <cellStyle name="Total 26 4" xfId="18837" xr:uid="{00000000-0005-0000-0000-00003F490000}"/>
    <cellStyle name="Total 26 4 2" xfId="18838" xr:uid="{00000000-0005-0000-0000-000040490000}"/>
    <cellStyle name="Total 26 4 2 2" xfId="18839" xr:uid="{00000000-0005-0000-0000-000041490000}"/>
    <cellStyle name="Total 26 4 3" xfId="18840" xr:uid="{00000000-0005-0000-0000-000042490000}"/>
    <cellStyle name="Total 26 4 3 2" xfId="18841" xr:uid="{00000000-0005-0000-0000-000043490000}"/>
    <cellStyle name="Total 26 4 4" xfId="18842" xr:uid="{00000000-0005-0000-0000-000044490000}"/>
    <cellStyle name="Total 26 5" xfId="18843" xr:uid="{00000000-0005-0000-0000-000045490000}"/>
    <cellStyle name="Total 26 5 2" xfId="18844" xr:uid="{00000000-0005-0000-0000-000046490000}"/>
    <cellStyle name="Total 26 5 2 2" xfId="18845" xr:uid="{00000000-0005-0000-0000-000047490000}"/>
    <cellStyle name="Total 26 5 3" xfId="18846" xr:uid="{00000000-0005-0000-0000-000048490000}"/>
    <cellStyle name="Total 26 5 3 2" xfId="18847" xr:uid="{00000000-0005-0000-0000-000049490000}"/>
    <cellStyle name="Total 26 5 4" xfId="18848" xr:uid="{00000000-0005-0000-0000-00004A490000}"/>
    <cellStyle name="Total 26 5 4 2" xfId="18849" xr:uid="{00000000-0005-0000-0000-00004B490000}"/>
    <cellStyle name="Total 26 5 5" xfId="18850" xr:uid="{00000000-0005-0000-0000-00004C490000}"/>
    <cellStyle name="Total 26 6" xfId="18851" xr:uid="{00000000-0005-0000-0000-00004D490000}"/>
    <cellStyle name="Total 26 6 2" xfId="18852" xr:uid="{00000000-0005-0000-0000-00004E490000}"/>
    <cellStyle name="Total 26 6 2 2" xfId="18853" xr:uid="{00000000-0005-0000-0000-00004F490000}"/>
    <cellStyle name="Total 26 6 3" xfId="18854" xr:uid="{00000000-0005-0000-0000-000050490000}"/>
    <cellStyle name="Total 26 6 3 2" xfId="18855" xr:uid="{00000000-0005-0000-0000-000051490000}"/>
    <cellStyle name="Total 26 6 4" xfId="18856" xr:uid="{00000000-0005-0000-0000-000052490000}"/>
    <cellStyle name="Total 26 7" xfId="18857" xr:uid="{00000000-0005-0000-0000-000053490000}"/>
    <cellStyle name="Total 26 7 2" xfId="18858" xr:uid="{00000000-0005-0000-0000-000054490000}"/>
    <cellStyle name="Total 26 8" xfId="18859" xr:uid="{00000000-0005-0000-0000-000055490000}"/>
    <cellStyle name="Total 26 8 2" xfId="18860" xr:uid="{00000000-0005-0000-0000-000056490000}"/>
    <cellStyle name="Total 26 9" xfId="18861" xr:uid="{00000000-0005-0000-0000-000057490000}"/>
    <cellStyle name="Total 26 9 2" xfId="18862" xr:uid="{00000000-0005-0000-0000-000058490000}"/>
    <cellStyle name="Total 27" xfId="3315" xr:uid="{00000000-0005-0000-0000-000059490000}"/>
    <cellStyle name="Total 27 10" xfId="18864" xr:uid="{00000000-0005-0000-0000-00005A490000}"/>
    <cellStyle name="Total 27 11" xfId="18865" xr:uid="{00000000-0005-0000-0000-00005B490000}"/>
    <cellStyle name="Total 27 12" xfId="18863" xr:uid="{00000000-0005-0000-0000-00005C490000}"/>
    <cellStyle name="Total 27 2" xfId="18866" xr:uid="{00000000-0005-0000-0000-00005D490000}"/>
    <cellStyle name="Total 27 2 2" xfId="18867" xr:uid="{00000000-0005-0000-0000-00005E490000}"/>
    <cellStyle name="Total 27 2 2 2" xfId="18868" xr:uid="{00000000-0005-0000-0000-00005F490000}"/>
    <cellStyle name="Total 27 2 3" xfId="18869" xr:uid="{00000000-0005-0000-0000-000060490000}"/>
    <cellStyle name="Total 27 2 3 2" xfId="18870" xr:uid="{00000000-0005-0000-0000-000061490000}"/>
    <cellStyle name="Total 27 2 4" xfId="18871" xr:uid="{00000000-0005-0000-0000-000062490000}"/>
    <cellStyle name="Total 27 2 5" xfId="18872" xr:uid="{00000000-0005-0000-0000-000063490000}"/>
    <cellStyle name="Total 27 3" xfId="18873" xr:uid="{00000000-0005-0000-0000-000064490000}"/>
    <cellStyle name="Total 27 3 2" xfId="18874" xr:uid="{00000000-0005-0000-0000-000065490000}"/>
    <cellStyle name="Total 27 3 2 2" xfId="18875" xr:uid="{00000000-0005-0000-0000-000066490000}"/>
    <cellStyle name="Total 27 3 3" xfId="18876" xr:uid="{00000000-0005-0000-0000-000067490000}"/>
    <cellStyle name="Total 27 3 3 2" xfId="18877" xr:uid="{00000000-0005-0000-0000-000068490000}"/>
    <cellStyle name="Total 27 3 4" xfId="18878" xr:uid="{00000000-0005-0000-0000-000069490000}"/>
    <cellStyle name="Total 27 4" xfId="18879" xr:uid="{00000000-0005-0000-0000-00006A490000}"/>
    <cellStyle name="Total 27 4 2" xfId="18880" xr:uid="{00000000-0005-0000-0000-00006B490000}"/>
    <cellStyle name="Total 27 4 2 2" xfId="18881" xr:uid="{00000000-0005-0000-0000-00006C490000}"/>
    <cellStyle name="Total 27 4 3" xfId="18882" xr:uid="{00000000-0005-0000-0000-00006D490000}"/>
    <cellStyle name="Total 27 4 3 2" xfId="18883" xr:uid="{00000000-0005-0000-0000-00006E490000}"/>
    <cellStyle name="Total 27 4 4" xfId="18884" xr:uid="{00000000-0005-0000-0000-00006F490000}"/>
    <cellStyle name="Total 27 5" xfId="18885" xr:uid="{00000000-0005-0000-0000-000070490000}"/>
    <cellStyle name="Total 27 5 2" xfId="18886" xr:uid="{00000000-0005-0000-0000-000071490000}"/>
    <cellStyle name="Total 27 5 2 2" xfId="18887" xr:uid="{00000000-0005-0000-0000-000072490000}"/>
    <cellStyle name="Total 27 5 3" xfId="18888" xr:uid="{00000000-0005-0000-0000-000073490000}"/>
    <cellStyle name="Total 27 5 3 2" xfId="18889" xr:uid="{00000000-0005-0000-0000-000074490000}"/>
    <cellStyle name="Total 27 5 4" xfId="18890" xr:uid="{00000000-0005-0000-0000-000075490000}"/>
    <cellStyle name="Total 27 5 4 2" xfId="18891" xr:uid="{00000000-0005-0000-0000-000076490000}"/>
    <cellStyle name="Total 27 5 5" xfId="18892" xr:uid="{00000000-0005-0000-0000-000077490000}"/>
    <cellStyle name="Total 27 6" xfId="18893" xr:uid="{00000000-0005-0000-0000-000078490000}"/>
    <cellStyle name="Total 27 6 2" xfId="18894" xr:uid="{00000000-0005-0000-0000-000079490000}"/>
    <cellStyle name="Total 27 6 2 2" xfId="18895" xr:uid="{00000000-0005-0000-0000-00007A490000}"/>
    <cellStyle name="Total 27 6 3" xfId="18896" xr:uid="{00000000-0005-0000-0000-00007B490000}"/>
    <cellStyle name="Total 27 6 3 2" xfId="18897" xr:uid="{00000000-0005-0000-0000-00007C490000}"/>
    <cellStyle name="Total 27 6 4" xfId="18898" xr:uid="{00000000-0005-0000-0000-00007D490000}"/>
    <cellStyle name="Total 27 7" xfId="18899" xr:uid="{00000000-0005-0000-0000-00007E490000}"/>
    <cellStyle name="Total 27 7 2" xfId="18900" xr:uid="{00000000-0005-0000-0000-00007F490000}"/>
    <cellStyle name="Total 27 8" xfId="18901" xr:uid="{00000000-0005-0000-0000-000080490000}"/>
    <cellStyle name="Total 27 8 2" xfId="18902" xr:uid="{00000000-0005-0000-0000-000081490000}"/>
    <cellStyle name="Total 27 9" xfId="18903" xr:uid="{00000000-0005-0000-0000-000082490000}"/>
    <cellStyle name="Total 27 9 2" xfId="18904" xr:uid="{00000000-0005-0000-0000-000083490000}"/>
    <cellStyle name="Total 28" xfId="3316" xr:uid="{00000000-0005-0000-0000-000084490000}"/>
    <cellStyle name="Total 28 10" xfId="18906" xr:uid="{00000000-0005-0000-0000-000085490000}"/>
    <cellStyle name="Total 28 11" xfId="18907" xr:uid="{00000000-0005-0000-0000-000086490000}"/>
    <cellStyle name="Total 28 12" xfId="18905" xr:uid="{00000000-0005-0000-0000-000087490000}"/>
    <cellStyle name="Total 28 2" xfId="18908" xr:uid="{00000000-0005-0000-0000-000088490000}"/>
    <cellStyle name="Total 28 2 2" xfId="18909" xr:uid="{00000000-0005-0000-0000-000089490000}"/>
    <cellStyle name="Total 28 2 2 2" xfId="18910" xr:uid="{00000000-0005-0000-0000-00008A490000}"/>
    <cellStyle name="Total 28 2 3" xfId="18911" xr:uid="{00000000-0005-0000-0000-00008B490000}"/>
    <cellStyle name="Total 28 2 3 2" xfId="18912" xr:uid="{00000000-0005-0000-0000-00008C490000}"/>
    <cellStyle name="Total 28 2 4" xfId="18913" xr:uid="{00000000-0005-0000-0000-00008D490000}"/>
    <cellStyle name="Total 28 2 5" xfId="18914" xr:uid="{00000000-0005-0000-0000-00008E490000}"/>
    <cellStyle name="Total 28 3" xfId="18915" xr:uid="{00000000-0005-0000-0000-00008F490000}"/>
    <cellStyle name="Total 28 3 2" xfId="18916" xr:uid="{00000000-0005-0000-0000-000090490000}"/>
    <cellStyle name="Total 28 3 2 2" xfId="18917" xr:uid="{00000000-0005-0000-0000-000091490000}"/>
    <cellStyle name="Total 28 3 3" xfId="18918" xr:uid="{00000000-0005-0000-0000-000092490000}"/>
    <cellStyle name="Total 28 3 3 2" xfId="18919" xr:uid="{00000000-0005-0000-0000-000093490000}"/>
    <cellStyle name="Total 28 3 4" xfId="18920" xr:uid="{00000000-0005-0000-0000-000094490000}"/>
    <cellStyle name="Total 28 4" xfId="18921" xr:uid="{00000000-0005-0000-0000-000095490000}"/>
    <cellStyle name="Total 28 4 2" xfId="18922" xr:uid="{00000000-0005-0000-0000-000096490000}"/>
    <cellStyle name="Total 28 4 2 2" xfId="18923" xr:uid="{00000000-0005-0000-0000-000097490000}"/>
    <cellStyle name="Total 28 4 3" xfId="18924" xr:uid="{00000000-0005-0000-0000-000098490000}"/>
    <cellStyle name="Total 28 4 3 2" xfId="18925" xr:uid="{00000000-0005-0000-0000-000099490000}"/>
    <cellStyle name="Total 28 4 4" xfId="18926" xr:uid="{00000000-0005-0000-0000-00009A490000}"/>
    <cellStyle name="Total 28 5" xfId="18927" xr:uid="{00000000-0005-0000-0000-00009B490000}"/>
    <cellStyle name="Total 28 5 2" xfId="18928" xr:uid="{00000000-0005-0000-0000-00009C490000}"/>
    <cellStyle name="Total 28 5 2 2" xfId="18929" xr:uid="{00000000-0005-0000-0000-00009D490000}"/>
    <cellStyle name="Total 28 5 3" xfId="18930" xr:uid="{00000000-0005-0000-0000-00009E490000}"/>
    <cellStyle name="Total 28 5 3 2" xfId="18931" xr:uid="{00000000-0005-0000-0000-00009F490000}"/>
    <cellStyle name="Total 28 5 4" xfId="18932" xr:uid="{00000000-0005-0000-0000-0000A0490000}"/>
    <cellStyle name="Total 28 5 4 2" xfId="18933" xr:uid="{00000000-0005-0000-0000-0000A1490000}"/>
    <cellStyle name="Total 28 5 5" xfId="18934" xr:uid="{00000000-0005-0000-0000-0000A2490000}"/>
    <cellStyle name="Total 28 6" xfId="18935" xr:uid="{00000000-0005-0000-0000-0000A3490000}"/>
    <cellStyle name="Total 28 6 2" xfId="18936" xr:uid="{00000000-0005-0000-0000-0000A4490000}"/>
    <cellStyle name="Total 28 6 2 2" xfId="18937" xr:uid="{00000000-0005-0000-0000-0000A5490000}"/>
    <cellStyle name="Total 28 6 3" xfId="18938" xr:uid="{00000000-0005-0000-0000-0000A6490000}"/>
    <cellStyle name="Total 28 6 3 2" xfId="18939" xr:uid="{00000000-0005-0000-0000-0000A7490000}"/>
    <cellStyle name="Total 28 6 4" xfId="18940" xr:uid="{00000000-0005-0000-0000-0000A8490000}"/>
    <cellStyle name="Total 28 7" xfId="18941" xr:uid="{00000000-0005-0000-0000-0000A9490000}"/>
    <cellStyle name="Total 28 7 2" xfId="18942" xr:uid="{00000000-0005-0000-0000-0000AA490000}"/>
    <cellStyle name="Total 28 8" xfId="18943" xr:uid="{00000000-0005-0000-0000-0000AB490000}"/>
    <cellStyle name="Total 28 8 2" xfId="18944" xr:uid="{00000000-0005-0000-0000-0000AC490000}"/>
    <cellStyle name="Total 28 9" xfId="18945" xr:uid="{00000000-0005-0000-0000-0000AD490000}"/>
    <cellStyle name="Total 28 9 2" xfId="18946" xr:uid="{00000000-0005-0000-0000-0000AE490000}"/>
    <cellStyle name="Total 29" xfId="3317" xr:uid="{00000000-0005-0000-0000-0000AF490000}"/>
    <cellStyle name="Total 29 10" xfId="18948" xr:uid="{00000000-0005-0000-0000-0000B0490000}"/>
    <cellStyle name="Total 29 11" xfId="18949" xr:uid="{00000000-0005-0000-0000-0000B1490000}"/>
    <cellStyle name="Total 29 12" xfId="18947" xr:uid="{00000000-0005-0000-0000-0000B2490000}"/>
    <cellStyle name="Total 29 2" xfId="18950" xr:uid="{00000000-0005-0000-0000-0000B3490000}"/>
    <cellStyle name="Total 29 2 2" xfId="18951" xr:uid="{00000000-0005-0000-0000-0000B4490000}"/>
    <cellStyle name="Total 29 2 2 2" xfId="18952" xr:uid="{00000000-0005-0000-0000-0000B5490000}"/>
    <cellStyle name="Total 29 2 3" xfId="18953" xr:uid="{00000000-0005-0000-0000-0000B6490000}"/>
    <cellStyle name="Total 29 2 3 2" xfId="18954" xr:uid="{00000000-0005-0000-0000-0000B7490000}"/>
    <cellStyle name="Total 29 2 4" xfId="18955" xr:uid="{00000000-0005-0000-0000-0000B8490000}"/>
    <cellStyle name="Total 29 2 5" xfId="18956" xr:uid="{00000000-0005-0000-0000-0000B9490000}"/>
    <cellStyle name="Total 29 3" xfId="18957" xr:uid="{00000000-0005-0000-0000-0000BA490000}"/>
    <cellStyle name="Total 29 3 2" xfId="18958" xr:uid="{00000000-0005-0000-0000-0000BB490000}"/>
    <cellStyle name="Total 29 3 2 2" xfId="18959" xr:uid="{00000000-0005-0000-0000-0000BC490000}"/>
    <cellStyle name="Total 29 3 3" xfId="18960" xr:uid="{00000000-0005-0000-0000-0000BD490000}"/>
    <cellStyle name="Total 29 3 3 2" xfId="18961" xr:uid="{00000000-0005-0000-0000-0000BE490000}"/>
    <cellStyle name="Total 29 3 4" xfId="18962" xr:uid="{00000000-0005-0000-0000-0000BF490000}"/>
    <cellStyle name="Total 29 4" xfId="18963" xr:uid="{00000000-0005-0000-0000-0000C0490000}"/>
    <cellStyle name="Total 29 4 2" xfId="18964" xr:uid="{00000000-0005-0000-0000-0000C1490000}"/>
    <cellStyle name="Total 29 4 2 2" xfId="18965" xr:uid="{00000000-0005-0000-0000-0000C2490000}"/>
    <cellStyle name="Total 29 4 3" xfId="18966" xr:uid="{00000000-0005-0000-0000-0000C3490000}"/>
    <cellStyle name="Total 29 4 3 2" xfId="18967" xr:uid="{00000000-0005-0000-0000-0000C4490000}"/>
    <cellStyle name="Total 29 4 4" xfId="18968" xr:uid="{00000000-0005-0000-0000-0000C5490000}"/>
    <cellStyle name="Total 29 5" xfId="18969" xr:uid="{00000000-0005-0000-0000-0000C6490000}"/>
    <cellStyle name="Total 29 5 2" xfId="18970" xr:uid="{00000000-0005-0000-0000-0000C7490000}"/>
    <cellStyle name="Total 29 5 2 2" xfId="18971" xr:uid="{00000000-0005-0000-0000-0000C8490000}"/>
    <cellStyle name="Total 29 5 3" xfId="18972" xr:uid="{00000000-0005-0000-0000-0000C9490000}"/>
    <cellStyle name="Total 29 5 3 2" xfId="18973" xr:uid="{00000000-0005-0000-0000-0000CA490000}"/>
    <cellStyle name="Total 29 5 4" xfId="18974" xr:uid="{00000000-0005-0000-0000-0000CB490000}"/>
    <cellStyle name="Total 29 5 4 2" xfId="18975" xr:uid="{00000000-0005-0000-0000-0000CC490000}"/>
    <cellStyle name="Total 29 5 5" xfId="18976" xr:uid="{00000000-0005-0000-0000-0000CD490000}"/>
    <cellStyle name="Total 29 6" xfId="18977" xr:uid="{00000000-0005-0000-0000-0000CE490000}"/>
    <cellStyle name="Total 29 6 2" xfId="18978" xr:uid="{00000000-0005-0000-0000-0000CF490000}"/>
    <cellStyle name="Total 29 6 2 2" xfId="18979" xr:uid="{00000000-0005-0000-0000-0000D0490000}"/>
    <cellStyle name="Total 29 6 3" xfId="18980" xr:uid="{00000000-0005-0000-0000-0000D1490000}"/>
    <cellStyle name="Total 29 6 3 2" xfId="18981" xr:uid="{00000000-0005-0000-0000-0000D2490000}"/>
    <cellStyle name="Total 29 6 4" xfId="18982" xr:uid="{00000000-0005-0000-0000-0000D3490000}"/>
    <cellStyle name="Total 29 7" xfId="18983" xr:uid="{00000000-0005-0000-0000-0000D4490000}"/>
    <cellStyle name="Total 29 7 2" xfId="18984" xr:uid="{00000000-0005-0000-0000-0000D5490000}"/>
    <cellStyle name="Total 29 8" xfId="18985" xr:uid="{00000000-0005-0000-0000-0000D6490000}"/>
    <cellStyle name="Total 29 8 2" xfId="18986" xr:uid="{00000000-0005-0000-0000-0000D7490000}"/>
    <cellStyle name="Total 29 9" xfId="18987" xr:uid="{00000000-0005-0000-0000-0000D8490000}"/>
    <cellStyle name="Total 29 9 2" xfId="18988" xr:uid="{00000000-0005-0000-0000-0000D9490000}"/>
    <cellStyle name="Total 3" xfId="309" xr:uid="{00000000-0005-0000-0000-0000DA490000}"/>
    <cellStyle name="Total 3 10" xfId="18990" xr:uid="{00000000-0005-0000-0000-0000DB490000}"/>
    <cellStyle name="Total 3 10 2" xfId="18991" xr:uid="{00000000-0005-0000-0000-0000DC490000}"/>
    <cellStyle name="Total 3 11" xfId="18992" xr:uid="{00000000-0005-0000-0000-0000DD490000}"/>
    <cellStyle name="Total 3 12" xfId="18993" xr:uid="{00000000-0005-0000-0000-0000DE490000}"/>
    <cellStyle name="Total 3 13" xfId="18989" xr:uid="{00000000-0005-0000-0000-0000DF490000}"/>
    <cellStyle name="Total 3 2" xfId="3318" xr:uid="{00000000-0005-0000-0000-0000E0490000}"/>
    <cellStyle name="Total 3 2 10" xfId="18995" xr:uid="{00000000-0005-0000-0000-0000E1490000}"/>
    <cellStyle name="Total 3 2 11" xfId="18994" xr:uid="{00000000-0005-0000-0000-0000E2490000}"/>
    <cellStyle name="Total 3 2 2" xfId="18996" xr:uid="{00000000-0005-0000-0000-0000E3490000}"/>
    <cellStyle name="Total 3 2 2 2" xfId="18997" xr:uid="{00000000-0005-0000-0000-0000E4490000}"/>
    <cellStyle name="Total 3 2 2 2 2" xfId="18998" xr:uid="{00000000-0005-0000-0000-0000E5490000}"/>
    <cellStyle name="Total 3 2 2 3" xfId="18999" xr:uid="{00000000-0005-0000-0000-0000E6490000}"/>
    <cellStyle name="Total 3 2 2 3 2" xfId="19000" xr:uid="{00000000-0005-0000-0000-0000E7490000}"/>
    <cellStyle name="Total 3 2 2 4" xfId="19001" xr:uid="{00000000-0005-0000-0000-0000E8490000}"/>
    <cellStyle name="Total 3 2 3" xfId="19002" xr:uid="{00000000-0005-0000-0000-0000E9490000}"/>
    <cellStyle name="Total 3 2 3 2" xfId="19003" xr:uid="{00000000-0005-0000-0000-0000EA490000}"/>
    <cellStyle name="Total 3 2 3 2 2" xfId="19004" xr:uid="{00000000-0005-0000-0000-0000EB490000}"/>
    <cellStyle name="Total 3 2 3 3" xfId="19005" xr:uid="{00000000-0005-0000-0000-0000EC490000}"/>
    <cellStyle name="Total 3 2 3 3 2" xfId="19006" xr:uid="{00000000-0005-0000-0000-0000ED490000}"/>
    <cellStyle name="Total 3 2 3 4" xfId="19007" xr:uid="{00000000-0005-0000-0000-0000EE490000}"/>
    <cellStyle name="Total 3 2 4" xfId="19008" xr:uid="{00000000-0005-0000-0000-0000EF490000}"/>
    <cellStyle name="Total 3 2 4 2" xfId="19009" xr:uid="{00000000-0005-0000-0000-0000F0490000}"/>
    <cellStyle name="Total 3 2 4 2 2" xfId="19010" xr:uid="{00000000-0005-0000-0000-0000F1490000}"/>
    <cellStyle name="Total 3 2 4 3" xfId="19011" xr:uid="{00000000-0005-0000-0000-0000F2490000}"/>
    <cellStyle name="Total 3 2 4 3 2" xfId="19012" xr:uid="{00000000-0005-0000-0000-0000F3490000}"/>
    <cellStyle name="Total 3 2 4 4" xfId="19013" xr:uid="{00000000-0005-0000-0000-0000F4490000}"/>
    <cellStyle name="Total 3 2 4 4 2" xfId="19014" xr:uid="{00000000-0005-0000-0000-0000F5490000}"/>
    <cellStyle name="Total 3 2 4 5" xfId="19015" xr:uid="{00000000-0005-0000-0000-0000F6490000}"/>
    <cellStyle name="Total 3 2 5" xfId="19016" xr:uid="{00000000-0005-0000-0000-0000F7490000}"/>
    <cellStyle name="Total 3 2 5 2" xfId="19017" xr:uid="{00000000-0005-0000-0000-0000F8490000}"/>
    <cellStyle name="Total 3 2 5 2 2" xfId="19018" xr:uid="{00000000-0005-0000-0000-0000F9490000}"/>
    <cellStyle name="Total 3 2 5 3" xfId="19019" xr:uid="{00000000-0005-0000-0000-0000FA490000}"/>
    <cellStyle name="Total 3 2 5 3 2" xfId="19020" xr:uid="{00000000-0005-0000-0000-0000FB490000}"/>
    <cellStyle name="Total 3 2 5 4" xfId="19021" xr:uid="{00000000-0005-0000-0000-0000FC490000}"/>
    <cellStyle name="Total 3 2 6" xfId="19022" xr:uid="{00000000-0005-0000-0000-0000FD490000}"/>
    <cellStyle name="Total 3 2 6 2" xfId="19023" xr:uid="{00000000-0005-0000-0000-0000FE490000}"/>
    <cellStyle name="Total 3 2 7" xfId="19024" xr:uid="{00000000-0005-0000-0000-0000FF490000}"/>
    <cellStyle name="Total 3 2 7 2" xfId="19025" xr:uid="{00000000-0005-0000-0000-0000004A0000}"/>
    <cellStyle name="Total 3 2 8" xfId="19026" xr:uid="{00000000-0005-0000-0000-0000014A0000}"/>
    <cellStyle name="Total 3 2 8 2" xfId="19027" xr:uid="{00000000-0005-0000-0000-0000024A0000}"/>
    <cellStyle name="Total 3 2 9" xfId="19028" xr:uid="{00000000-0005-0000-0000-0000034A0000}"/>
    <cellStyle name="Total 3 3" xfId="4818" xr:uid="{00000000-0005-0000-0000-0000044A0000}"/>
    <cellStyle name="Total 3 3 2" xfId="19030" xr:uid="{00000000-0005-0000-0000-0000054A0000}"/>
    <cellStyle name="Total 3 3 2 2" xfId="19031" xr:uid="{00000000-0005-0000-0000-0000064A0000}"/>
    <cellStyle name="Total 3 3 3" xfId="19032" xr:uid="{00000000-0005-0000-0000-0000074A0000}"/>
    <cellStyle name="Total 3 3 3 2" xfId="19033" xr:uid="{00000000-0005-0000-0000-0000084A0000}"/>
    <cellStyle name="Total 3 3 4" xfId="19034" xr:uid="{00000000-0005-0000-0000-0000094A0000}"/>
    <cellStyle name="Total 3 3 5" xfId="19035" xr:uid="{00000000-0005-0000-0000-00000A4A0000}"/>
    <cellStyle name="Total 3 3 6" xfId="19029" xr:uid="{00000000-0005-0000-0000-00000B4A0000}"/>
    <cellStyle name="Total 3 4" xfId="19036" xr:uid="{00000000-0005-0000-0000-00000C4A0000}"/>
    <cellStyle name="Total 3 4 2" xfId="19037" xr:uid="{00000000-0005-0000-0000-00000D4A0000}"/>
    <cellStyle name="Total 3 4 2 2" xfId="19038" xr:uid="{00000000-0005-0000-0000-00000E4A0000}"/>
    <cellStyle name="Total 3 4 3" xfId="19039" xr:uid="{00000000-0005-0000-0000-00000F4A0000}"/>
    <cellStyle name="Total 3 4 3 2" xfId="19040" xr:uid="{00000000-0005-0000-0000-0000104A0000}"/>
    <cellStyle name="Total 3 4 4" xfId="19041" xr:uid="{00000000-0005-0000-0000-0000114A0000}"/>
    <cellStyle name="Total 3 5" xfId="19042" xr:uid="{00000000-0005-0000-0000-0000124A0000}"/>
    <cellStyle name="Total 3 5 2" xfId="19043" xr:uid="{00000000-0005-0000-0000-0000134A0000}"/>
    <cellStyle name="Total 3 5 2 2" xfId="19044" xr:uid="{00000000-0005-0000-0000-0000144A0000}"/>
    <cellStyle name="Total 3 5 3" xfId="19045" xr:uid="{00000000-0005-0000-0000-0000154A0000}"/>
    <cellStyle name="Total 3 5 3 2" xfId="19046" xr:uid="{00000000-0005-0000-0000-0000164A0000}"/>
    <cellStyle name="Total 3 5 4" xfId="19047" xr:uid="{00000000-0005-0000-0000-0000174A0000}"/>
    <cellStyle name="Total 3 6" xfId="19048" xr:uid="{00000000-0005-0000-0000-0000184A0000}"/>
    <cellStyle name="Total 3 6 2" xfId="19049" xr:uid="{00000000-0005-0000-0000-0000194A0000}"/>
    <cellStyle name="Total 3 6 2 2" xfId="19050" xr:uid="{00000000-0005-0000-0000-00001A4A0000}"/>
    <cellStyle name="Total 3 6 3" xfId="19051" xr:uid="{00000000-0005-0000-0000-00001B4A0000}"/>
    <cellStyle name="Total 3 6 3 2" xfId="19052" xr:uid="{00000000-0005-0000-0000-00001C4A0000}"/>
    <cellStyle name="Total 3 6 4" xfId="19053" xr:uid="{00000000-0005-0000-0000-00001D4A0000}"/>
    <cellStyle name="Total 3 6 4 2" xfId="19054" xr:uid="{00000000-0005-0000-0000-00001E4A0000}"/>
    <cellStyle name="Total 3 6 5" xfId="19055" xr:uid="{00000000-0005-0000-0000-00001F4A0000}"/>
    <cellStyle name="Total 3 7" xfId="19056" xr:uid="{00000000-0005-0000-0000-0000204A0000}"/>
    <cellStyle name="Total 3 7 2" xfId="19057" xr:uid="{00000000-0005-0000-0000-0000214A0000}"/>
    <cellStyle name="Total 3 7 2 2" xfId="19058" xr:uid="{00000000-0005-0000-0000-0000224A0000}"/>
    <cellStyle name="Total 3 7 3" xfId="19059" xr:uid="{00000000-0005-0000-0000-0000234A0000}"/>
    <cellStyle name="Total 3 7 3 2" xfId="19060" xr:uid="{00000000-0005-0000-0000-0000244A0000}"/>
    <cellStyle name="Total 3 7 4" xfId="19061" xr:uid="{00000000-0005-0000-0000-0000254A0000}"/>
    <cellStyle name="Total 3 8" xfId="19062" xr:uid="{00000000-0005-0000-0000-0000264A0000}"/>
    <cellStyle name="Total 3 8 2" xfId="19063" xr:uid="{00000000-0005-0000-0000-0000274A0000}"/>
    <cellStyle name="Total 3 9" xfId="19064" xr:uid="{00000000-0005-0000-0000-0000284A0000}"/>
    <cellStyle name="Total 3 9 2" xfId="19065" xr:uid="{00000000-0005-0000-0000-0000294A0000}"/>
    <cellStyle name="Total 30" xfId="3319" xr:uid="{00000000-0005-0000-0000-00002A4A0000}"/>
    <cellStyle name="Total 30 10" xfId="19067" xr:uid="{00000000-0005-0000-0000-00002B4A0000}"/>
    <cellStyle name="Total 30 11" xfId="19068" xr:uid="{00000000-0005-0000-0000-00002C4A0000}"/>
    <cellStyle name="Total 30 12" xfId="19066" xr:uid="{00000000-0005-0000-0000-00002D4A0000}"/>
    <cellStyle name="Total 30 2" xfId="19069" xr:uid="{00000000-0005-0000-0000-00002E4A0000}"/>
    <cellStyle name="Total 30 2 2" xfId="19070" xr:uid="{00000000-0005-0000-0000-00002F4A0000}"/>
    <cellStyle name="Total 30 2 2 2" xfId="19071" xr:uid="{00000000-0005-0000-0000-0000304A0000}"/>
    <cellStyle name="Total 30 2 3" xfId="19072" xr:uid="{00000000-0005-0000-0000-0000314A0000}"/>
    <cellStyle name="Total 30 2 3 2" xfId="19073" xr:uid="{00000000-0005-0000-0000-0000324A0000}"/>
    <cellStyle name="Total 30 2 4" xfId="19074" xr:uid="{00000000-0005-0000-0000-0000334A0000}"/>
    <cellStyle name="Total 30 2 5" xfId="19075" xr:uid="{00000000-0005-0000-0000-0000344A0000}"/>
    <cellStyle name="Total 30 3" xfId="19076" xr:uid="{00000000-0005-0000-0000-0000354A0000}"/>
    <cellStyle name="Total 30 3 2" xfId="19077" xr:uid="{00000000-0005-0000-0000-0000364A0000}"/>
    <cellStyle name="Total 30 3 2 2" xfId="19078" xr:uid="{00000000-0005-0000-0000-0000374A0000}"/>
    <cellStyle name="Total 30 3 3" xfId="19079" xr:uid="{00000000-0005-0000-0000-0000384A0000}"/>
    <cellStyle name="Total 30 3 3 2" xfId="19080" xr:uid="{00000000-0005-0000-0000-0000394A0000}"/>
    <cellStyle name="Total 30 3 4" xfId="19081" xr:uid="{00000000-0005-0000-0000-00003A4A0000}"/>
    <cellStyle name="Total 30 4" xfId="19082" xr:uid="{00000000-0005-0000-0000-00003B4A0000}"/>
    <cellStyle name="Total 30 4 2" xfId="19083" xr:uid="{00000000-0005-0000-0000-00003C4A0000}"/>
    <cellStyle name="Total 30 4 2 2" xfId="19084" xr:uid="{00000000-0005-0000-0000-00003D4A0000}"/>
    <cellStyle name="Total 30 4 3" xfId="19085" xr:uid="{00000000-0005-0000-0000-00003E4A0000}"/>
    <cellStyle name="Total 30 4 3 2" xfId="19086" xr:uid="{00000000-0005-0000-0000-00003F4A0000}"/>
    <cellStyle name="Total 30 4 4" xfId="19087" xr:uid="{00000000-0005-0000-0000-0000404A0000}"/>
    <cellStyle name="Total 30 5" xfId="19088" xr:uid="{00000000-0005-0000-0000-0000414A0000}"/>
    <cellStyle name="Total 30 5 2" xfId="19089" xr:uid="{00000000-0005-0000-0000-0000424A0000}"/>
    <cellStyle name="Total 30 5 2 2" xfId="19090" xr:uid="{00000000-0005-0000-0000-0000434A0000}"/>
    <cellStyle name="Total 30 5 3" xfId="19091" xr:uid="{00000000-0005-0000-0000-0000444A0000}"/>
    <cellStyle name="Total 30 5 3 2" xfId="19092" xr:uid="{00000000-0005-0000-0000-0000454A0000}"/>
    <cellStyle name="Total 30 5 4" xfId="19093" xr:uid="{00000000-0005-0000-0000-0000464A0000}"/>
    <cellStyle name="Total 30 5 4 2" xfId="19094" xr:uid="{00000000-0005-0000-0000-0000474A0000}"/>
    <cellStyle name="Total 30 5 5" xfId="19095" xr:uid="{00000000-0005-0000-0000-0000484A0000}"/>
    <cellStyle name="Total 30 6" xfId="19096" xr:uid="{00000000-0005-0000-0000-0000494A0000}"/>
    <cellStyle name="Total 30 6 2" xfId="19097" xr:uid="{00000000-0005-0000-0000-00004A4A0000}"/>
    <cellStyle name="Total 30 6 2 2" xfId="19098" xr:uid="{00000000-0005-0000-0000-00004B4A0000}"/>
    <cellStyle name="Total 30 6 3" xfId="19099" xr:uid="{00000000-0005-0000-0000-00004C4A0000}"/>
    <cellStyle name="Total 30 6 3 2" xfId="19100" xr:uid="{00000000-0005-0000-0000-00004D4A0000}"/>
    <cellStyle name="Total 30 6 4" xfId="19101" xr:uid="{00000000-0005-0000-0000-00004E4A0000}"/>
    <cellStyle name="Total 30 7" xfId="19102" xr:uid="{00000000-0005-0000-0000-00004F4A0000}"/>
    <cellStyle name="Total 30 7 2" xfId="19103" xr:uid="{00000000-0005-0000-0000-0000504A0000}"/>
    <cellStyle name="Total 30 8" xfId="19104" xr:uid="{00000000-0005-0000-0000-0000514A0000}"/>
    <cellStyle name="Total 30 8 2" xfId="19105" xr:uid="{00000000-0005-0000-0000-0000524A0000}"/>
    <cellStyle name="Total 30 9" xfId="19106" xr:uid="{00000000-0005-0000-0000-0000534A0000}"/>
    <cellStyle name="Total 30 9 2" xfId="19107" xr:uid="{00000000-0005-0000-0000-0000544A0000}"/>
    <cellStyle name="Total 31" xfId="3320" xr:uid="{00000000-0005-0000-0000-0000554A0000}"/>
    <cellStyle name="Total 31 10" xfId="19109" xr:uid="{00000000-0005-0000-0000-0000564A0000}"/>
    <cellStyle name="Total 31 11" xfId="19110" xr:uid="{00000000-0005-0000-0000-0000574A0000}"/>
    <cellStyle name="Total 31 12" xfId="19108" xr:uid="{00000000-0005-0000-0000-0000584A0000}"/>
    <cellStyle name="Total 31 2" xfId="19111" xr:uid="{00000000-0005-0000-0000-0000594A0000}"/>
    <cellStyle name="Total 31 2 2" xfId="19112" xr:uid="{00000000-0005-0000-0000-00005A4A0000}"/>
    <cellStyle name="Total 31 2 2 2" xfId="19113" xr:uid="{00000000-0005-0000-0000-00005B4A0000}"/>
    <cellStyle name="Total 31 2 3" xfId="19114" xr:uid="{00000000-0005-0000-0000-00005C4A0000}"/>
    <cellStyle name="Total 31 2 3 2" xfId="19115" xr:uid="{00000000-0005-0000-0000-00005D4A0000}"/>
    <cellStyle name="Total 31 2 4" xfId="19116" xr:uid="{00000000-0005-0000-0000-00005E4A0000}"/>
    <cellStyle name="Total 31 2 5" xfId="19117" xr:uid="{00000000-0005-0000-0000-00005F4A0000}"/>
    <cellStyle name="Total 31 3" xfId="19118" xr:uid="{00000000-0005-0000-0000-0000604A0000}"/>
    <cellStyle name="Total 31 3 2" xfId="19119" xr:uid="{00000000-0005-0000-0000-0000614A0000}"/>
    <cellStyle name="Total 31 3 2 2" xfId="19120" xr:uid="{00000000-0005-0000-0000-0000624A0000}"/>
    <cellStyle name="Total 31 3 3" xfId="19121" xr:uid="{00000000-0005-0000-0000-0000634A0000}"/>
    <cellStyle name="Total 31 3 3 2" xfId="19122" xr:uid="{00000000-0005-0000-0000-0000644A0000}"/>
    <cellStyle name="Total 31 3 4" xfId="19123" xr:uid="{00000000-0005-0000-0000-0000654A0000}"/>
    <cellStyle name="Total 31 4" xfId="19124" xr:uid="{00000000-0005-0000-0000-0000664A0000}"/>
    <cellStyle name="Total 31 4 2" xfId="19125" xr:uid="{00000000-0005-0000-0000-0000674A0000}"/>
    <cellStyle name="Total 31 4 2 2" xfId="19126" xr:uid="{00000000-0005-0000-0000-0000684A0000}"/>
    <cellStyle name="Total 31 4 3" xfId="19127" xr:uid="{00000000-0005-0000-0000-0000694A0000}"/>
    <cellStyle name="Total 31 4 3 2" xfId="19128" xr:uid="{00000000-0005-0000-0000-00006A4A0000}"/>
    <cellStyle name="Total 31 4 4" xfId="19129" xr:uid="{00000000-0005-0000-0000-00006B4A0000}"/>
    <cellStyle name="Total 31 5" xfId="19130" xr:uid="{00000000-0005-0000-0000-00006C4A0000}"/>
    <cellStyle name="Total 31 5 2" xfId="19131" xr:uid="{00000000-0005-0000-0000-00006D4A0000}"/>
    <cellStyle name="Total 31 5 2 2" xfId="19132" xr:uid="{00000000-0005-0000-0000-00006E4A0000}"/>
    <cellStyle name="Total 31 5 3" xfId="19133" xr:uid="{00000000-0005-0000-0000-00006F4A0000}"/>
    <cellStyle name="Total 31 5 3 2" xfId="19134" xr:uid="{00000000-0005-0000-0000-0000704A0000}"/>
    <cellStyle name="Total 31 5 4" xfId="19135" xr:uid="{00000000-0005-0000-0000-0000714A0000}"/>
    <cellStyle name="Total 31 5 4 2" xfId="19136" xr:uid="{00000000-0005-0000-0000-0000724A0000}"/>
    <cellStyle name="Total 31 5 5" xfId="19137" xr:uid="{00000000-0005-0000-0000-0000734A0000}"/>
    <cellStyle name="Total 31 6" xfId="19138" xr:uid="{00000000-0005-0000-0000-0000744A0000}"/>
    <cellStyle name="Total 31 6 2" xfId="19139" xr:uid="{00000000-0005-0000-0000-0000754A0000}"/>
    <cellStyle name="Total 31 6 2 2" xfId="19140" xr:uid="{00000000-0005-0000-0000-0000764A0000}"/>
    <cellStyle name="Total 31 6 3" xfId="19141" xr:uid="{00000000-0005-0000-0000-0000774A0000}"/>
    <cellStyle name="Total 31 6 3 2" xfId="19142" xr:uid="{00000000-0005-0000-0000-0000784A0000}"/>
    <cellStyle name="Total 31 6 4" xfId="19143" xr:uid="{00000000-0005-0000-0000-0000794A0000}"/>
    <cellStyle name="Total 31 7" xfId="19144" xr:uid="{00000000-0005-0000-0000-00007A4A0000}"/>
    <cellStyle name="Total 31 7 2" xfId="19145" xr:uid="{00000000-0005-0000-0000-00007B4A0000}"/>
    <cellStyle name="Total 31 8" xfId="19146" xr:uid="{00000000-0005-0000-0000-00007C4A0000}"/>
    <cellStyle name="Total 31 8 2" xfId="19147" xr:uid="{00000000-0005-0000-0000-00007D4A0000}"/>
    <cellStyle name="Total 31 9" xfId="19148" xr:uid="{00000000-0005-0000-0000-00007E4A0000}"/>
    <cellStyle name="Total 31 9 2" xfId="19149" xr:uid="{00000000-0005-0000-0000-00007F4A0000}"/>
    <cellStyle name="Total 32" xfId="3321" xr:uid="{00000000-0005-0000-0000-0000804A0000}"/>
    <cellStyle name="Total 32 10" xfId="19151" xr:uid="{00000000-0005-0000-0000-0000814A0000}"/>
    <cellStyle name="Total 32 11" xfId="19152" xr:uid="{00000000-0005-0000-0000-0000824A0000}"/>
    <cellStyle name="Total 32 12" xfId="19150" xr:uid="{00000000-0005-0000-0000-0000834A0000}"/>
    <cellStyle name="Total 32 2" xfId="19153" xr:uid="{00000000-0005-0000-0000-0000844A0000}"/>
    <cellStyle name="Total 32 2 2" xfId="19154" xr:uid="{00000000-0005-0000-0000-0000854A0000}"/>
    <cellStyle name="Total 32 2 2 2" xfId="19155" xr:uid="{00000000-0005-0000-0000-0000864A0000}"/>
    <cellStyle name="Total 32 2 3" xfId="19156" xr:uid="{00000000-0005-0000-0000-0000874A0000}"/>
    <cellStyle name="Total 32 2 3 2" xfId="19157" xr:uid="{00000000-0005-0000-0000-0000884A0000}"/>
    <cellStyle name="Total 32 2 4" xfId="19158" xr:uid="{00000000-0005-0000-0000-0000894A0000}"/>
    <cellStyle name="Total 32 2 5" xfId="19159" xr:uid="{00000000-0005-0000-0000-00008A4A0000}"/>
    <cellStyle name="Total 32 3" xfId="19160" xr:uid="{00000000-0005-0000-0000-00008B4A0000}"/>
    <cellStyle name="Total 32 3 2" xfId="19161" xr:uid="{00000000-0005-0000-0000-00008C4A0000}"/>
    <cellStyle name="Total 32 3 2 2" xfId="19162" xr:uid="{00000000-0005-0000-0000-00008D4A0000}"/>
    <cellStyle name="Total 32 3 3" xfId="19163" xr:uid="{00000000-0005-0000-0000-00008E4A0000}"/>
    <cellStyle name="Total 32 3 3 2" xfId="19164" xr:uid="{00000000-0005-0000-0000-00008F4A0000}"/>
    <cellStyle name="Total 32 3 4" xfId="19165" xr:uid="{00000000-0005-0000-0000-0000904A0000}"/>
    <cellStyle name="Total 32 4" xfId="19166" xr:uid="{00000000-0005-0000-0000-0000914A0000}"/>
    <cellStyle name="Total 32 4 2" xfId="19167" xr:uid="{00000000-0005-0000-0000-0000924A0000}"/>
    <cellStyle name="Total 32 4 2 2" xfId="19168" xr:uid="{00000000-0005-0000-0000-0000934A0000}"/>
    <cellStyle name="Total 32 4 3" xfId="19169" xr:uid="{00000000-0005-0000-0000-0000944A0000}"/>
    <cellStyle name="Total 32 4 3 2" xfId="19170" xr:uid="{00000000-0005-0000-0000-0000954A0000}"/>
    <cellStyle name="Total 32 4 4" xfId="19171" xr:uid="{00000000-0005-0000-0000-0000964A0000}"/>
    <cellStyle name="Total 32 5" xfId="19172" xr:uid="{00000000-0005-0000-0000-0000974A0000}"/>
    <cellStyle name="Total 32 5 2" xfId="19173" xr:uid="{00000000-0005-0000-0000-0000984A0000}"/>
    <cellStyle name="Total 32 5 2 2" xfId="19174" xr:uid="{00000000-0005-0000-0000-0000994A0000}"/>
    <cellStyle name="Total 32 5 3" xfId="19175" xr:uid="{00000000-0005-0000-0000-00009A4A0000}"/>
    <cellStyle name="Total 32 5 3 2" xfId="19176" xr:uid="{00000000-0005-0000-0000-00009B4A0000}"/>
    <cellStyle name="Total 32 5 4" xfId="19177" xr:uid="{00000000-0005-0000-0000-00009C4A0000}"/>
    <cellStyle name="Total 32 5 4 2" xfId="19178" xr:uid="{00000000-0005-0000-0000-00009D4A0000}"/>
    <cellStyle name="Total 32 5 5" xfId="19179" xr:uid="{00000000-0005-0000-0000-00009E4A0000}"/>
    <cellStyle name="Total 32 6" xfId="19180" xr:uid="{00000000-0005-0000-0000-00009F4A0000}"/>
    <cellStyle name="Total 32 6 2" xfId="19181" xr:uid="{00000000-0005-0000-0000-0000A04A0000}"/>
    <cellStyle name="Total 32 6 2 2" xfId="19182" xr:uid="{00000000-0005-0000-0000-0000A14A0000}"/>
    <cellStyle name="Total 32 6 3" xfId="19183" xr:uid="{00000000-0005-0000-0000-0000A24A0000}"/>
    <cellStyle name="Total 32 6 3 2" xfId="19184" xr:uid="{00000000-0005-0000-0000-0000A34A0000}"/>
    <cellStyle name="Total 32 6 4" xfId="19185" xr:uid="{00000000-0005-0000-0000-0000A44A0000}"/>
    <cellStyle name="Total 32 7" xfId="19186" xr:uid="{00000000-0005-0000-0000-0000A54A0000}"/>
    <cellStyle name="Total 32 7 2" xfId="19187" xr:uid="{00000000-0005-0000-0000-0000A64A0000}"/>
    <cellStyle name="Total 32 8" xfId="19188" xr:uid="{00000000-0005-0000-0000-0000A74A0000}"/>
    <cellStyle name="Total 32 8 2" xfId="19189" xr:uid="{00000000-0005-0000-0000-0000A84A0000}"/>
    <cellStyle name="Total 32 9" xfId="19190" xr:uid="{00000000-0005-0000-0000-0000A94A0000}"/>
    <cellStyle name="Total 32 9 2" xfId="19191" xr:uid="{00000000-0005-0000-0000-0000AA4A0000}"/>
    <cellStyle name="Total 33" xfId="3322" xr:uid="{00000000-0005-0000-0000-0000AB4A0000}"/>
    <cellStyle name="Total 33 10" xfId="19193" xr:uid="{00000000-0005-0000-0000-0000AC4A0000}"/>
    <cellStyle name="Total 33 11" xfId="19194" xr:uid="{00000000-0005-0000-0000-0000AD4A0000}"/>
    <cellStyle name="Total 33 12" xfId="19192" xr:uid="{00000000-0005-0000-0000-0000AE4A0000}"/>
    <cellStyle name="Total 33 2" xfId="19195" xr:uid="{00000000-0005-0000-0000-0000AF4A0000}"/>
    <cellStyle name="Total 33 2 2" xfId="19196" xr:uid="{00000000-0005-0000-0000-0000B04A0000}"/>
    <cellStyle name="Total 33 2 2 2" xfId="19197" xr:uid="{00000000-0005-0000-0000-0000B14A0000}"/>
    <cellStyle name="Total 33 2 3" xfId="19198" xr:uid="{00000000-0005-0000-0000-0000B24A0000}"/>
    <cellStyle name="Total 33 2 3 2" xfId="19199" xr:uid="{00000000-0005-0000-0000-0000B34A0000}"/>
    <cellStyle name="Total 33 2 4" xfId="19200" xr:uid="{00000000-0005-0000-0000-0000B44A0000}"/>
    <cellStyle name="Total 33 2 5" xfId="19201" xr:uid="{00000000-0005-0000-0000-0000B54A0000}"/>
    <cellStyle name="Total 33 3" xfId="19202" xr:uid="{00000000-0005-0000-0000-0000B64A0000}"/>
    <cellStyle name="Total 33 3 2" xfId="19203" xr:uid="{00000000-0005-0000-0000-0000B74A0000}"/>
    <cellStyle name="Total 33 3 2 2" xfId="19204" xr:uid="{00000000-0005-0000-0000-0000B84A0000}"/>
    <cellStyle name="Total 33 3 3" xfId="19205" xr:uid="{00000000-0005-0000-0000-0000B94A0000}"/>
    <cellStyle name="Total 33 3 3 2" xfId="19206" xr:uid="{00000000-0005-0000-0000-0000BA4A0000}"/>
    <cellStyle name="Total 33 3 4" xfId="19207" xr:uid="{00000000-0005-0000-0000-0000BB4A0000}"/>
    <cellStyle name="Total 33 4" xfId="19208" xr:uid="{00000000-0005-0000-0000-0000BC4A0000}"/>
    <cellStyle name="Total 33 4 2" xfId="19209" xr:uid="{00000000-0005-0000-0000-0000BD4A0000}"/>
    <cellStyle name="Total 33 4 2 2" xfId="19210" xr:uid="{00000000-0005-0000-0000-0000BE4A0000}"/>
    <cellStyle name="Total 33 4 3" xfId="19211" xr:uid="{00000000-0005-0000-0000-0000BF4A0000}"/>
    <cellStyle name="Total 33 4 3 2" xfId="19212" xr:uid="{00000000-0005-0000-0000-0000C04A0000}"/>
    <cellStyle name="Total 33 4 4" xfId="19213" xr:uid="{00000000-0005-0000-0000-0000C14A0000}"/>
    <cellStyle name="Total 33 5" xfId="19214" xr:uid="{00000000-0005-0000-0000-0000C24A0000}"/>
    <cellStyle name="Total 33 5 2" xfId="19215" xr:uid="{00000000-0005-0000-0000-0000C34A0000}"/>
    <cellStyle name="Total 33 5 2 2" xfId="19216" xr:uid="{00000000-0005-0000-0000-0000C44A0000}"/>
    <cellStyle name="Total 33 5 3" xfId="19217" xr:uid="{00000000-0005-0000-0000-0000C54A0000}"/>
    <cellStyle name="Total 33 5 3 2" xfId="19218" xr:uid="{00000000-0005-0000-0000-0000C64A0000}"/>
    <cellStyle name="Total 33 5 4" xfId="19219" xr:uid="{00000000-0005-0000-0000-0000C74A0000}"/>
    <cellStyle name="Total 33 5 4 2" xfId="19220" xr:uid="{00000000-0005-0000-0000-0000C84A0000}"/>
    <cellStyle name="Total 33 5 5" xfId="19221" xr:uid="{00000000-0005-0000-0000-0000C94A0000}"/>
    <cellStyle name="Total 33 6" xfId="19222" xr:uid="{00000000-0005-0000-0000-0000CA4A0000}"/>
    <cellStyle name="Total 33 6 2" xfId="19223" xr:uid="{00000000-0005-0000-0000-0000CB4A0000}"/>
    <cellStyle name="Total 33 6 2 2" xfId="19224" xr:uid="{00000000-0005-0000-0000-0000CC4A0000}"/>
    <cellStyle name="Total 33 6 3" xfId="19225" xr:uid="{00000000-0005-0000-0000-0000CD4A0000}"/>
    <cellStyle name="Total 33 6 3 2" xfId="19226" xr:uid="{00000000-0005-0000-0000-0000CE4A0000}"/>
    <cellStyle name="Total 33 6 4" xfId="19227" xr:uid="{00000000-0005-0000-0000-0000CF4A0000}"/>
    <cellStyle name="Total 33 7" xfId="19228" xr:uid="{00000000-0005-0000-0000-0000D04A0000}"/>
    <cellStyle name="Total 33 7 2" xfId="19229" xr:uid="{00000000-0005-0000-0000-0000D14A0000}"/>
    <cellStyle name="Total 33 8" xfId="19230" xr:uid="{00000000-0005-0000-0000-0000D24A0000}"/>
    <cellStyle name="Total 33 8 2" xfId="19231" xr:uid="{00000000-0005-0000-0000-0000D34A0000}"/>
    <cellStyle name="Total 33 9" xfId="19232" xr:uid="{00000000-0005-0000-0000-0000D44A0000}"/>
    <cellStyle name="Total 33 9 2" xfId="19233" xr:uid="{00000000-0005-0000-0000-0000D54A0000}"/>
    <cellStyle name="Total 34" xfId="3323" xr:uid="{00000000-0005-0000-0000-0000D64A0000}"/>
    <cellStyle name="Total 34 10" xfId="19235" xr:uid="{00000000-0005-0000-0000-0000D74A0000}"/>
    <cellStyle name="Total 34 11" xfId="19236" xr:uid="{00000000-0005-0000-0000-0000D84A0000}"/>
    <cellStyle name="Total 34 12" xfId="19234" xr:uid="{00000000-0005-0000-0000-0000D94A0000}"/>
    <cellStyle name="Total 34 2" xfId="19237" xr:uid="{00000000-0005-0000-0000-0000DA4A0000}"/>
    <cellStyle name="Total 34 2 2" xfId="19238" xr:uid="{00000000-0005-0000-0000-0000DB4A0000}"/>
    <cellStyle name="Total 34 2 2 2" xfId="19239" xr:uid="{00000000-0005-0000-0000-0000DC4A0000}"/>
    <cellStyle name="Total 34 2 3" xfId="19240" xr:uid="{00000000-0005-0000-0000-0000DD4A0000}"/>
    <cellStyle name="Total 34 2 3 2" xfId="19241" xr:uid="{00000000-0005-0000-0000-0000DE4A0000}"/>
    <cellStyle name="Total 34 2 4" xfId="19242" xr:uid="{00000000-0005-0000-0000-0000DF4A0000}"/>
    <cellStyle name="Total 34 2 5" xfId="19243" xr:uid="{00000000-0005-0000-0000-0000E04A0000}"/>
    <cellStyle name="Total 34 3" xfId="19244" xr:uid="{00000000-0005-0000-0000-0000E14A0000}"/>
    <cellStyle name="Total 34 3 2" xfId="19245" xr:uid="{00000000-0005-0000-0000-0000E24A0000}"/>
    <cellStyle name="Total 34 3 2 2" xfId="19246" xr:uid="{00000000-0005-0000-0000-0000E34A0000}"/>
    <cellStyle name="Total 34 3 3" xfId="19247" xr:uid="{00000000-0005-0000-0000-0000E44A0000}"/>
    <cellStyle name="Total 34 3 3 2" xfId="19248" xr:uid="{00000000-0005-0000-0000-0000E54A0000}"/>
    <cellStyle name="Total 34 3 4" xfId="19249" xr:uid="{00000000-0005-0000-0000-0000E64A0000}"/>
    <cellStyle name="Total 34 4" xfId="19250" xr:uid="{00000000-0005-0000-0000-0000E74A0000}"/>
    <cellStyle name="Total 34 4 2" xfId="19251" xr:uid="{00000000-0005-0000-0000-0000E84A0000}"/>
    <cellStyle name="Total 34 4 2 2" xfId="19252" xr:uid="{00000000-0005-0000-0000-0000E94A0000}"/>
    <cellStyle name="Total 34 4 3" xfId="19253" xr:uid="{00000000-0005-0000-0000-0000EA4A0000}"/>
    <cellStyle name="Total 34 4 3 2" xfId="19254" xr:uid="{00000000-0005-0000-0000-0000EB4A0000}"/>
    <cellStyle name="Total 34 4 4" xfId="19255" xr:uid="{00000000-0005-0000-0000-0000EC4A0000}"/>
    <cellStyle name="Total 34 5" xfId="19256" xr:uid="{00000000-0005-0000-0000-0000ED4A0000}"/>
    <cellStyle name="Total 34 5 2" xfId="19257" xr:uid="{00000000-0005-0000-0000-0000EE4A0000}"/>
    <cellStyle name="Total 34 5 2 2" xfId="19258" xr:uid="{00000000-0005-0000-0000-0000EF4A0000}"/>
    <cellStyle name="Total 34 5 3" xfId="19259" xr:uid="{00000000-0005-0000-0000-0000F04A0000}"/>
    <cellStyle name="Total 34 5 3 2" xfId="19260" xr:uid="{00000000-0005-0000-0000-0000F14A0000}"/>
    <cellStyle name="Total 34 5 4" xfId="19261" xr:uid="{00000000-0005-0000-0000-0000F24A0000}"/>
    <cellStyle name="Total 34 5 4 2" xfId="19262" xr:uid="{00000000-0005-0000-0000-0000F34A0000}"/>
    <cellStyle name="Total 34 5 5" xfId="19263" xr:uid="{00000000-0005-0000-0000-0000F44A0000}"/>
    <cellStyle name="Total 34 6" xfId="19264" xr:uid="{00000000-0005-0000-0000-0000F54A0000}"/>
    <cellStyle name="Total 34 6 2" xfId="19265" xr:uid="{00000000-0005-0000-0000-0000F64A0000}"/>
    <cellStyle name="Total 34 6 2 2" xfId="19266" xr:uid="{00000000-0005-0000-0000-0000F74A0000}"/>
    <cellStyle name="Total 34 6 3" xfId="19267" xr:uid="{00000000-0005-0000-0000-0000F84A0000}"/>
    <cellStyle name="Total 34 6 3 2" xfId="19268" xr:uid="{00000000-0005-0000-0000-0000F94A0000}"/>
    <cellStyle name="Total 34 6 4" xfId="19269" xr:uid="{00000000-0005-0000-0000-0000FA4A0000}"/>
    <cellStyle name="Total 34 7" xfId="19270" xr:uid="{00000000-0005-0000-0000-0000FB4A0000}"/>
    <cellStyle name="Total 34 7 2" xfId="19271" xr:uid="{00000000-0005-0000-0000-0000FC4A0000}"/>
    <cellStyle name="Total 34 8" xfId="19272" xr:uid="{00000000-0005-0000-0000-0000FD4A0000}"/>
    <cellStyle name="Total 34 8 2" xfId="19273" xr:uid="{00000000-0005-0000-0000-0000FE4A0000}"/>
    <cellStyle name="Total 34 9" xfId="19274" xr:uid="{00000000-0005-0000-0000-0000FF4A0000}"/>
    <cellStyle name="Total 34 9 2" xfId="19275" xr:uid="{00000000-0005-0000-0000-0000004B0000}"/>
    <cellStyle name="Total 35" xfId="3324" xr:uid="{00000000-0005-0000-0000-0000014B0000}"/>
    <cellStyle name="Total 35 10" xfId="19277" xr:uid="{00000000-0005-0000-0000-0000024B0000}"/>
    <cellStyle name="Total 35 11" xfId="19278" xr:uid="{00000000-0005-0000-0000-0000034B0000}"/>
    <cellStyle name="Total 35 12" xfId="19276" xr:uid="{00000000-0005-0000-0000-0000044B0000}"/>
    <cellStyle name="Total 35 2" xfId="19279" xr:uid="{00000000-0005-0000-0000-0000054B0000}"/>
    <cellStyle name="Total 35 2 2" xfId="19280" xr:uid="{00000000-0005-0000-0000-0000064B0000}"/>
    <cellStyle name="Total 35 2 2 2" xfId="19281" xr:uid="{00000000-0005-0000-0000-0000074B0000}"/>
    <cellStyle name="Total 35 2 3" xfId="19282" xr:uid="{00000000-0005-0000-0000-0000084B0000}"/>
    <cellStyle name="Total 35 2 3 2" xfId="19283" xr:uid="{00000000-0005-0000-0000-0000094B0000}"/>
    <cellStyle name="Total 35 2 4" xfId="19284" xr:uid="{00000000-0005-0000-0000-00000A4B0000}"/>
    <cellStyle name="Total 35 2 5" xfId="19285" xr:uid="{00000000-0005-0000-0000-00000B4B0000}"/>
    <cellStyle name="Total 35 3" xfId="19286" xr:uid="{00000000-0005-0000-0000-00000C4B0000}"/>
    <cellStyle name="Total 35 3 2" xfId="19287" xr:uid="{00000000-0005-0000-0000-00000D4B0000}"/>
    <cellStyle name="Total 35 3 2 2" xfId="19288" xr:uid="{00000000-0005-0000-0000-00000E4B0000}"/>
    <cellStyle name="Total 35 3 3" xfId="19289" xr:uid="{00000000-0005-0000-0000-00000F4B0000}"/>
    <cellStyle name="Total 35 3 3 2" xfId="19290" xr:uid="{00000000-0005-0000-0000-0000104B0000}"/>
    <cellStyle name="Total 35 3 4" xfId="19291" xr:uid="{00000000-0005-0000-0000-0000114B0000}"/>
    <cellStyle name="Total 35 4" xfId="19292" xr:uid="{00000000-0005-0000-0000-0000124B0000}"/>
    <cellStyle name="Total 35 4 2" xfId="19293" xr:uid="{00000000-0005-0000-0000-0000134B0000}"/>
    <cellStyle name="Total 35 4 2 2" xfId="19294" xr:uid="{00000000-0005-0000-0000-0000144B0000}"/>
    <cellStyle name="Total 35 4 3" xfId="19295" xr:uid="{00000000-0005-0000-0000-0000154B0000}"/>
    <cellStyle name="Total 35 4 3 2" xfId="19296" xr:uid="{00000000-0005-0000-0000-0000164B0000}"/>
    <cellStyle name="Total 35 4 4" xfId="19297" xr:uid="{00000000-0005-0000-0000-0000174B0000}"/>
    <cellStyle name="Total 35 5" xfId="19298" xr:uid="{00000000-0005-0000-0000-0000184B0000}"/>
    <cellStyle name="Total 35 5 2" xfId="19299" xr:uid="{00000000-0005-0000-0000-0000194B0000}"/>
    <cellStyle name="Total 35 5 2 2" xfId="19300" xr:uid="{00000000-0005-0000-0000-00001A4B0000}"/>
    <cellStyle name="Total 35 5 3" xfId="19301" xr:uid="{00000000-0005-0000-0000-00001B4B0000}"/>
    <cellStyle name="Total 35 5 3 2" xfId="19302" xr:uid="{00000000-0005-0000-0000-00001C4B0000}"/>
    <cellStyle name="Total 35 5 4" xfId="19303" xr:uid="{00000000-0005-0000-0000-00001D4B0000}"/>
    <cellStyle name="Total 35 5 4 2" xfId="19304" xr:uid="{00000000-0005-0000-0000-00001E4B0000}"/>
    <cellStyle name="Total 35 5 5" xfId="19305" xr:uid="{00000000-0005-0000-0000-00001F4B0000}"/>
    <cellStyle name="Total 35 6" xfId="19306" xr:uid="{00000000-0005-0000-0000-0000204B0000}"/>
    <cellStyle name="Total 35 6 2" xfId="19307" xr:uid="{00000000-0005-0000-0000-0000214B0000}"/>
    <cellStyle name="Total 35 6 2 2" xfId="19308" xr:uid="{00000000-0005-0000-0000-0000224B0000}"/>
    <cellStyle name="Total 35 6 3" xfId="19309" xr:uid="{00000000-0005-0000-0000-0000234B0000}"/>
    <cellStyle name="Total 35 6 3 2" xfId="19310" xr:uid="{00000000-0005-0000-0000-0000244B0000}"/>
    <cellStyle name="Total 35 6 4" xfId="19311" xr:uid="{00000000-0005-0000-0000-0000254B0000}"/>
    <cellStyle name="Total 35 7" xfId="19312" xr:uid="{00000000-0005-0000-0000-0000264B0000}"/>
    <cellStyle name="Total 35 7 2" xfId="19313" xr:uid="{00000000-0005-0000-0000-0000274B0000}"/>
    <cellStyle name="Total 35 8" xfId="19314" xr:uid="{00000000-0005-0000-0000-0000284B0000}"/>
    <cellStyle name="Total 35 8 2" xfId="19315" xr:uid="{00000000-0005-0000-0000-0000294B0000}"/>
    <cellStyle name="Total 35 9" xfId="19316" xr:uid="{00000000-0005-0000-0000-00002A4B0000}"/>
    <cellStyle name="Total 35 9 2" xfId="19317" xr:uid="{00000000-0005-0000-0000-00002B4B0000}"/>
    <cellStyle name="Total 36" xfId="3325" xr:uid="{00000000-0005-0000-0000-00002C4B0000}"/>
    <cellStyle name="Total 36 10" xfId="19319" xr:uid="{00000000-0005-0000-0000-00002D4B0000}"/>
    <cellStyle name="Total 36 11" xfId="19320" xr:uid="{00000000-0005-0000-0000-00002E4B0000}"/>
    <cellStyle name="Total 36 12" xfId="19318" xr:uid="{00000000-0005-0000-0000-00002F4B0000}"/>
    <cellStyle name="Total 36 2" xfId="19321" xr:uid="{00000000-0005-0000-0000-0000304B0000}"/>
    <cellStyle name="Total 36 2 2" xfId="19322" xr:uid="{00000000-0005-0000-0000-0000314B0000}"/>
    <cellStyle name="Total 36 2 2 2" xfId="19323" xr:uid="{00000000-0005-0000-0000-0000324B0000}"/>
    <cellStyle name="Total 36 2 3" xfId="19324" xr:uid="{00000000-0005-0000-0000-0000334B0000}"/>
    <cellStyle name="Total 36 2 3 2" xfId="19325" xr:uid="{00000000-0005-0000-0000-0000344B0000}"/>
    <cellStyle name="Total 36 2 4" xfId="19326" xr:uid="{00000000-0005-0000-0000-0000354B0000}"/>
    <cellStyle name="Total 36 2 5" xfId="19327" xr:uid="{00000000-0005-0000-0000-0000364B0000}"/>
    <cellStyle name="Total 36 3" xfId="19328" xr:uid="{00000000-0005-0000-0000-0000374B0000}"/>
    <cellStyle name="Total 36 3 2" xfId="19329" xr:uid="{00000000-0005-0000-0000-0000384B0000}"/>
    <cellStyle name="Total 36 3 2 2" xfId="19330" xr:uid="{00000000-0005-0000-0000-0000394B0000}"/>
    <cellStyle name="Total 36 3 3" xfId="19331" xr:uid="{00000000-0005-0000-0000-00003A4B0000}"/>
    <cellStyle name="Total 36 3 3 2" xfId="19332" xr:uid="{00000000-0005-0000-0000-00003B4B0000}"/>
    <cellStyle name="Total 36 3 4" xfId="19333" xr:uid="{00000000-0005-0000-0000-00003C4B0000}"/>
    <cellStyle name="Total 36 4" xfId="19334" xr:uid="{00000000-0005-0000-0000-00003D4B0000}"/>
    <cellStyle name="Total 36 4 2" xfId="19335" xr:uid="{00000000-0005-0000-0000-00003E4B0000}"/>
    <cellStyle name="Total 36 4 2 2" xfId="19336" xr:uid="{00000000-0005-0000-0000-00003F4B0000}"/>
    <cellStyle name="Total 36 4 3" xfId="19337" xr:uid="{00000000-0005-0000-0000-0000404B0000}"/>
    <cellStyle name="Total 36 4 3 2" xfId="19338" xr:uid="{00000000-0005-0000-0000-0000414B0000}"/>
    <cellStyle name="Total 36 4 4" xfId="19339" xr:uid="{00000000-0005-0000-0000-0000424B0000}"/>
    <cellStyle name="Total 36 5" xfId="19340" xr:uid="{00000000-0005-0000-0000-0000434B0000}"/>
    <cellStyle name="Total 36 5 2" xfId="19341" xr:uid="{00000000-0005-0000-0000-0000444B0000}"/>
    <cellStyle name="Total 36 5 2 2" xfId="19342" xr:uid="{00000000-0005-0000-0000-0000454B0000}"/>
    <cellStyle name="Total 36 5 3" xfId="19343" xr:uid="{00000000-0005-0000-0000-0000464B0000}"/>
    <cellStyle name="Total 36 5 3 2" xfId="19344" xr:uid="{00000000-0005-0000-0000-0000474B0000}"/>
    <cellStyle name="Total 36 5 4" xfId="19345" xr:uid="{00000000-0005-0000-0000-0000484B0000}"/>
    <cellStyle name="Total 36 5 4 2" xfId="19346" xr:uid="{00000000-0005-0000-0000-0000494B0000}"/>
    <cellStyle name="Total 36 5 5" xfId="19347" xr:uid="{00000000-0005-0000-0000-00004A4B0000}"/>
    <cellStyle name="Total 36 6" xfId="19348" xr:uid="{00000000-0005-0000-0000-00004B4B0000}"/>
    <cellStyle name="Total 36 6 2" xfId="19349" xr:uid="{00000000-0005-0000-0000-00004C4B0000}"/>
    <cellStyle name="Total 36 6 2 2" xfId="19350" xr:uid="{00000000-0005-0000-0000-00004D4B0000}"/>
    <cellStyle name="Total 36 6 3" xfId="19351" xr:uid="{00000000-0005-0000-0000-00004E4B0000}"/>
    <cellStyle name="Total 36 6 3 2" xfId="19352" xr:uid="{00000000-0005-0000-0000-00004F4B0000}"/>
    <cellStyle name="Total 36 6 4" xfId="19353" xr:uid="{00000000-0005-0000-0000-0000504B0000}"/>
    <cellStyle name="Total 36 7" xfId="19354" xr:uid="{00000000-0005-0000-0000-0000514B0000}"/>
    <cellStyle name="Total 36 7 2" xfId="19355" xr:uid="{00000000-0005-0000-0000-0000524B0000}"/>
    <cellStyle name="Total 36 8" xfId="19356" xr:uid="{00000000-0005-0000-0000-0000534B0000}"/>
    <cellStyle name="Total 36 8 2" xfId="19357" xr:uid="{00000000-0005-0000-0000-0000544B0000}"/>
    <cellStyle name="Total 36 9" xfId="19358" xr:uid="{00000000-0005-0000-0000-0000554B0000}"/>
    <cellStyle name="Total 36 9 2" xfId="19359" xr:uid="{00000000-0005-0000-0000-0000564B0000}"/>
    <cellStyle name="Total 37" xfId="3326" xr:uid="{00000000-0005-0000-0000-0000574B0000}"/>
    <cellStyle name="Total 37 10" xfId="19361" xr:uid="{00000000-0005-0000-0000-0000584B0000}"/>
    <cellStyle name="Total 37 11" xfId="19362" xr:uid="{00000000-0005-0000-0000-0000594B0000}"/>
    <cellStyle name="Total 37 12" xfId="19360" xr:uid="{00000000-0005-0000-0000-00005A4B0000}"/>
    <cellStyle name="Total 37 2" xfId="19363" xr:uid="{00000000-0005-0000-0000-00005B4B0000}"/>
    <cellStyle name="Total 37 2 2" xfId="19364" xr:uid="{00000000-0005-0000-0000-00005C4B0000}"/>
    <cellStyle name="Total 37 2 2 2" xfId="19365" xr:uid="{00000000-0005-0000-0000-00005D4B0000}"/>
    <cellStyle name="Total 37 2 3" xfId="19366" xr:uid="{00000000-0005-0000-0000-00005E4B0000}"/>
    <cellStyle name="Total 37 2 3 2" xfId="19367" xr:uid="{00000000-0005-0000-0000-00005F4B0000}"/>
    <cellStyle name="Total 37 2 4" xfId="19368" xr:uid="{00000000-0005-0000-0000-0000604B0000}"/>
    <cellStyle name="Total 37 2 5" xfId="19369" xr:uid="{00000000-0005-0000-0000-0000614B0000}"/>
    <cellStyle name="Total 37 3" xfId="19370" xr:uid="{00000000-0005-0000-0000-0000624B0000}"/>
    <cellStyle name="Total 37 3 2" xfId="19371" xr:uid="{00000000-0005-0000-0000-0000634B0000}"/>
    <cellStyle name="Total 37 3 2 2" xfId="19372" xr:uid="{00000000-0005-0000-0000-0000644B0000}"/>
    <cellStyle name="Total 37 3 3" xfId="19373" xr:uid="{00000000-0005-0000-0000-0000654B0000}"/>
    <cellStyle name="Total 37 3 3 2" xfId="19374" xr:uid="{00000000-0005-0000-0000-0000664B0000}"/>
    <cellStyle name="Total 37 3 4" xfId="19375" xr:uid="{00000000-0005-0000-0000-0000674B0000}"/>
    <cellStyle name="Total 37 4" xfId="19376" xr:uid="{00000000-0005-0000-0000-0000684B0000}"/>
    <cellStyle name="Total 37 4 2" xfId="19377" xr:uid="{00000000-0005-0000-0000-0000694B0000}"/>
    <cellStyle name="Total 37 4 2 2" xfId="19378" xr:uid="{00000000-0005-0000-0000-00006A4B0000}"/>
    <cellStyle name="Total 37 4 3" xfId="19379" xr:uid="{00000000-0005-0000-0000-00006B4B0000}"/>
    <cellStyle name="Total 37 4 3 2" xfId="19380" xr:uid="{00000000-0005-0000-0000-00006C4B0000}"/>
    <cellStyle name="Total 37 4 4" xfId="19381" xr:uid="{00000000-0005-0000-0000-00006D4B0000}"/>
    <cellStyle name="Total 37 5" xfId="19382" xr:uid="{00000000-0005-0000-0000-00006E4B0000}"/>
    <cellStyle name="Total 37 5 2" xfId="19383" xr:uid="{00000000-0005-0000-0000-00006F4B0000}"/>
    <cellStyle name="Total 37 5 2 2" xfId="19384" xr:uid="{00000000-0005-0000-0000-0000704B0000}"/>
    <cellStyle name="Total 37 5 3" xfId="19385" xr:uid="{00000000-0005-0000-0000-0000714B0000}"/>
    <cellStyle name="Total 37 5 3 2" xfId="19386" xr:uid="{00000000-0005-0000-0000-0000724B0000}"/>
    <cellStyle name="Total 37 5 4" xfId="19387" xr:uid="{00000000-0005-0000-0000-0000734B0000}"/>
    <cellStyle name="Total 37 5 4 2" xfId="19388" xr:uid="{00000000-0005-0000-0000-0000744B0000}"/>
    <cellStyle name="Total 37 5 5" xfId="19389" xr:uid="{00000000-0005-0000-0000-0000754B0000}"/>
    <cellStyle name="Total 37 6" xfId="19390" xr:uid="{00000000-0005-0000-0000-0000764B0000}"/>
    <cellStyle name="Total 37 6 2" xfId="19391" xr:uid="{00000000-0005-0000-0000-0000774B0000}"/>
    <cellStyle name="Total 37 6 2 2" xfId="19392" xr:uid="{00000000-0005-0000-0000-0000784B0000}"/>
    <cellStyle name="Total 37 6 3" xfId="19393" xr:uid="{00000000-0005-0000-0000-0000794B0000}"/>
    <cellStyle name="Total 37 6 3 2" xfId="19394" xr:uid="{00000000-0005-0000-0000-00007A4B0000}"/>
    <cellStyle name="Total 37 6 4" xfId="19395" xr:uid="{00000000-0005-0000-0000-00007B4B0000}"/>
    <cellStyle name="Total 37 7" xfId="19396" xr:uid="{00000000-0005-0000-0000-00007C4B0000}"/>
    <cellStyle name="Total 37 7 2" xfId="19397" xr:uid="{00000000-0005-0000-0000-00007D4B0000}"/>
    <cellStyle name="Total 37 8" xfId="19398" xr:uid="{00000000-0005-0000-0000-00007E4B0000}"/>
    <cellStyle name="Total 37 8 2" xfId="19399" xr:uid="{00000000-0005-0000-0000-00007F4B0000}"/>
    <cellStyle name="Total 37 9" xfId="19400" xr:uid="{00000000-0005-0000-0000-0000804B0000}"/>
    <cellStyle name="Total 37 9 2" xfId="19401" xr:uid="{00000000-0005-0000-0000-0000814B0000}"/>
    <cellStyle name="Total 38" xfId="3327" xr:uid="{00000000-0005-0000-0000-0000824B0000}"/>
    <cellStyle name="Total 38 10" xfId="19403" xr:uid="{00000000-0005-0000-0000-0000834B0000}"/>
    <cellStyle name="Total 38 11" xfId="19404" xr:uid="{00000000-0005-0000-0000-0000844B0000}"/>
    <cellStyle name="Total 38 12" xfId="19402" xr:uid="{00000000-0005-0000-0000-0000854B0000}"/>
    <cellStyle name="Total 38 2" xfId="19405" xr:uid="{00000000-0005-0000-0000-0000864B0000}"/>
    <cellStyle name="Total 38 2 2" xfId="19406" xr:uid="{00000000-0005-0000-0000-0000874B0000}"/>
    <cellStyle name="Total 38 2 2 2" xfId="19407" xr:uid="{00000000-0005-0000-0000-0000884B0000}"/>
    <cellStyle name="Total 38 2 3" xfId="19408" xr:uid="{00000000-0005-0000-0000-0000894B0000}"/>
    <cellStyle name="Total 38 2 3 2" xfId="19409" xr:uid="{00000000-0005-0000-0000-00008A4B0000}"/>
    <cellStyle name="Total 38 2 4" xfId="19410" xr:uid="{00000000-0005-0000-0000-00008B4B0000}"/>
    <cellStyle name="Total 38 2 5" xfId="19411" xr:uid="{00000000-0005-0000-0000-00008C4B0000}"/>
    <cellStyle name="Total 38 3" xfId="19412" xr:uid="{00000000-0005-0000-0000-00008D4B0000}"/>
    <cellStyle name="Total 38 3 2" xfId="19413" xr:uid="{00000000-0005-0000-0000-00008E4B0000}"/>
    <cellStyle name="Total 38 3 2 2" xfId="19414" xr:uid="{00000000-0005-0000-0000-00008F4B0000}"/>
    <cellStyle name="Total 38 3 3" xfId="19415" xr:uid="{00000000-0005-0000-0000-0000904B0000}"/>
    <cellStyle name="Total 38 3 3 2" xfId="19416" xr:uid="{00000000-0005-0000-0000-0000914B0000}"/>
    <cellStyle name="Total 38 3 4" xfId="19417" xr:uid="{00000000-0005-0000-0000-0000924B0000}"/>
    <cellStyle name="Total 38 4" xfId="19418" xr:uid="{00000000-0005-0000-0000-0000934B0000}"/>
    <cellStyle name="Total 38 4 2" xfId="19419" xr:uid="{00000000-0005-0000-0000-0000944B0000}"/>
    <cellStyle name="Total 38 4 2 2" xfId="19420" xr:uid="{00000000-0005-0000-0000-0000954B0000}"/>
    <cellStyle name="Total 38 4 3" xfId="19421" xr:uid="{00000000-0005-0000-0000-0000964B0000}"/>
    <cellStyle name="Total 38 4 3 2" xfId="19422" xr:uid="{00000000-0005-0000-0000-0000974B0000}"/>
    <cellStyle name="Total 38 4 4" xfId="19423" xr:uid="{00000000-0005-0000-0000-0000984B0000}"/>
    <cellStyle name="Total 38 5" xfId="19424" xr:uid="{00000000-0005-0000-0000-0000994B0000}"/>
    <cellStyle name="Total 38 5 2" xfId="19425" xr:uid="{00000000-0005-0000-0000-00009A4B0000}"/>
    <cellStyle name="Total 38 5 2 2" xfId="19426" xr:uid="{00000000-0005-0000-0000-00009B4B0000}"/>
    <cellStyle name="Total 38 5 3" xfId="19427" xr:uid="{00000000-0005-0000-0000-00009C4B0000}"/>
    <cellStyle name="Total 38 5 3 2" xfId="19428" xr:uid="{00000000-0005-0000-0000-00009D4B0000}"/>
    <cellStyle name="Total 38 5 4" xfId="19429" xr:uid="{00000000-0005-0000-0000-00009E4B0000}"/>
    <cellStyle name="Total 38 5 4 2" xfId="19430" xr:uid="{00000000-0005-0000-0000-00009F4B0000}"/>
    <cellStyle name="Total 38 5 5" xfId="19431" xr:uid="{00000000-0005-0000-0000-0000A04B0000}"/>
    <cellStyle name="Total 38 6" xfId="19432" xr:uid="{00000000-0005-0000-0000-0000A14B0000}"/>
    <cellStyle name="Total 38 6 2" xfId="19433" xr:uid="{00000000-0005-0000-0000-0000A24B0000}"/>
    <cellStyle name="Total 38 6 2 2" xfId="19434" xr:uid="{00000000-0005-0000-0000-0000A34B0000}"/>
    <cellStyle name="Total 38 6 3" xfId="19435" xr:uid="{00000000-0005-0000-0000-0000A44B0000}"/>
    <cellStyle name="Total 38 6 3 2" xfId="19436" xr:uid="{00000000-0005-0000-0000-0000A54B0000}"/>
    <cellStyle name="Total 38 6 4" xfId="19437" xr:uid="{00000000-0005-0000-0000-0000A64B0000}"/>
    <cellStyle name="Total 38 7" xfId="19438" xr:uid="{00000000-0005-0000-0000-0000A74B0000}"/>
    <cellStyle name="Total 38 7 2" xfId="19439" xr:uid="{00000000-0005-0000-0000-0000A84B0000}"/>
    <cellStyle name="Total 38 8" xfId="19440" xr:uid="{00000000-0005-0000-0000-0000A94B0000}"/>
    <cellStyle name="Total 38 8 2" xfId="19441" xr:uid="{00000000-0005-0000-0000-0000AA4B0000}"/>
    <cellStyle name="Total 38 9" xfId="19442" xr:uid="{00000000-0005-0000-0000-0000AB4B0000}"/>
    <cellStyle name="Total 38 9 2" xfId="19443" xr:uid="{00000000-0005-0000-0000-0000AC4B0000}"/>
    <cellStyle name="Total 39" xfId="3328" xr:uid="{00000000-0005-0000-0000-0000AD4B0000}"/>
    <cellStyle name="Total 39 10" xfId="19445" xr:uid="{00000000-0005-0000-0000-0000AE4B0000}"/>
    <cellStyle name="Total 39 11" xfId="19446" xr:uid="{00000000-0005-0000-0000-0000AF4B0000}"/>
    <cellStyle name="Total 39 12" xfId="19444" xr:uid="{00000000-0005-0000-0000-0000B04B0000}"/>
    <cellStyle name="Total 39 2" xfId="19447" xr:uid="{00000000-0005-0000-0000-0000B14B0000}"/>
    <cellStyle name="Total 39 2 2" xfId="19448" xr:uid="{00000000-0005-0000-0000-0000B24B0000}"/>
    <cellStyle name="Total 39 2 2 2" xfId="19449" xr:uid="{00000000-0005-0000-0000-0000B34B0000}"/>
    <cellStyle name="Total 39 2 3" xfId="19450" xr:uid="{00000000-0005-0000-0000-0000B44B0000}"/>
    <cellStyle name="Total 39 2 3 2" xfId="19451" xr:uid="{00000000-0005-0000-0000-0000B54B0000}"/>
    <cellStyle name="Total 39 2 4" xfId="19452" xr:uid="{00000000-0005-0000-0000-0000B64B0000}"/>
    <cellStyle name="Total 39 2 5" xfId="19453" xr:uid="{00000000-0005-0000-0000-0000B74B0000}"/>
    <cellStyle name="Total 39 3" xfId="19454" xr:uid="{00000000-0005-0000-0000-0000B84B0000}"/>
    <cellStyle name="Total 39 3 2" xfId="19455" xr:uid="{00000000-0005-0000-0000-0000B94B0000}"/>
    <cellStyle name="Total 39 3 2 2" xfId="19456" xr:uid="{00000000-0005-0000-0000-0000BA4B0000}"/>
    <cellStyle name="Total 39 3 3" xfId="19457" xr:uid="{00000000-0005-0000-0000-0000BB4B0000}"/>
    <cellStyle name="Total 39 3 3 2" xfId="19458" xr:uid="{00000000-0005-0000-0000-0000BC4B0000}"/>
    <cellStyle name="Total 39 3 4" xfId="19459" xr:uid="{00000000-0005-0000-0000-0000BD4B0000}"/>
    <cellStyle name="Total 39 4" xfId="19460" xr:uid="{00000000-0005-0000-0000-0000BE4B0000}"/>
    <cellStyle name="Total 39 4 2" xfId="19461" xr:uid="{00000000-0005-0000-0000-0000BF4B0000}"/>
    <cellStyle name="Total 39 4 2 2" xfId="19462" xr:uid="{00000000-0005-0000-0000-0000C04B0000}"/>
    <cellStyle name="Total 39 4 3" xfId="19463" xr:uid="{00000000-0005-0000-0000-0000C14B0000}"/>
    <cellStyle name="Total 39 4 3 2" xfId="19464" xr:uid="{00000000-0005-0000-0000-0000C24B0000}"/>
    <cellStyle name="Total 39 4 4" xfId="19465" xr:uid="{00000000-0005-0000-0000-0000C34B0000}"/>
    <cellStyle name="Total 39 5" xfId="19466" xr:uid="{00000000-0005-0000-0000-0000C44B0000}"/>
    <cellStyle name="Total 39 5 2" xfId="19467" xr:uid="{00000000-0005-0000-0000-0000C54B0000}"/>
    <cellStyle name="Total 39 5 2 2" xfId="19468" xr:uid="{00000000-0005-0000-0000-0000C64B0000}"/>
    <cellStyle name="Total 39 5 3" xfId="19469" xr:uid="{00000000-0005-0000-0000-0000C74B0000}"/>
    <cellStyle name="Total 39 5 3 2" xfId="19470" xr:uid="{00000000-0005-0000-0000-0000C84B0000}"/>
    <cellStyle name="Total 39 5 4" xfId="19471" xr:uid="{00000000-0005-0000-0000-0000C94B0000}"/>
    <cellStyle name="Total 39 5 4 2" xfId="19472" xr:uid="{00000000-0005-0000-0000-0000CA4B0000}"/>
    <cellStyle name="Total 39 5 5" xfId="19473" xr:uid="{00000000-0005-0000-0000-0000CB4B0000}"/>
    <cellStyle name="Total 39 6" xfId="19474" xr:uid="{00000000-0005-0000-0000-0000CC4B0000}"/>
    <cellStyle name="Total 39 6 2" xfId="19475" xr:uid="{00000000-0005-0000-0000-0000CD4B0000}"/>
    <cellStyle name="Total 39 6 2 2" xfId="19476" xr:uid="{00000000-0005-0000-0000-0000CE4B0000}"/>
    <cellStyle name="Total 39 6 3" xfId="19477" xr:uid="{00000000-0005-0000-0000-0000CF4B0000}"/>
    <cellStyle name="Total 39 6 3 2" xfId="19478" xr:uid="{00000000-0005-0000-0000-0000D04B0000}"/>
    <cellStyle name="Total 39 6 4" xfId="19479" xr:uid="{00000000-0005-0000-0000-0000D14B0000}"/>
    <cellStyle name="Total 39 7" xfId="19480" xr:uid="{00000000-0005-0000-0000-0000D24B0000}"/>
    <cellStyle name="Total 39 7 2" xfId="19481" xr:uid="{00000000-0005-0000-0000-0000D34B0000}"/>
    <cellStyle name="Total 39 8" xfId="19482" xr:uid="{00000000-0005-0000-0000-0000D44B0000}"/>
    <cellStyle name="Total 39 8 2" xfId="19483" xr:uid="{00000000-0005-0000-0000-0000D54B0000}"/>
    <cellStyle name="Total 39 9" xfId="19484" xr:uid="{00000000-0005-0000-0000-0000D64B0000}"/>
    <cellStyle name="Total 39 9 2" xfId="19485" xr:uid="{00000000-0005-0000-0000-0000D74B0000}"/>
    <cellStyle name="Total 4" xfId="3329" xr:uid="{00000000-0005-0000-0000-0000D84B0000}"/>
    <cellStyle name="Total 4 10" xfId="19487" xr:uid="{00000000-0005-0000-0000-0000D94B0000}"/>
    <cellStyle name="Total 4 10 2" xfId="19488" xr:uid="{00000000-0005-0000-0000-0000DA4B0000}"/>
    <cellStyle name="Total 4 11" xfId="19489" xr:uid="{00000000-0005-0000-0000-0000DB4B0000}"/>
    <cellStyle name="Total 4 12" xfId="19490" xr:uid="{00000000-0005-0000-0000-0000DC4B0000}"/>
    <cellStyle name="Total 4 13" xfId="19486" xr:uid="{00000000-0005-0000-0000-0000DD4B0000}"/>
    <cellStyle name="Total 4 2" xfId="19491" xr:uid="{00000000-0005-0000-0000-0000DE4B0000}"/>
    <cellStyle name="Total 4 2 10" xfId="19492" xr:uid="{00000000-0005-0000-0000-0000DF4B0000}"/>
    <cellStyle name="Total 4 2 2" xfId="19493" xr:uid="{00000000-0005-0000-0000-0000E04B0000}"/>
    <cellStyle name="Total 4 2 2 2" xfId="19494" xr:uid="{00000000-0005-0000-0000-0000E14B0000}"/>
    <cellStyle name="Total 4 2 2 2 2" xfId="19495" xr:uid="{00000000-0005-0000-0000-0000E24B0000}"/>
    <cellStyle name="Total 4 2 2 3" xfId="19496" xr:uid="{00000000-0005-0000-0000-0000E34B0000}"/>
    <cellStyle name="Total 4 2 2 3 2" xfId="19497" xr:uid="{00000000-0005-0000-0000-0000E44B0000}"/>
    <cellStyle name="Total 4 2 2 4" xfId="19498" xr:uid="{00000000-0005-0000-0000-0000E54B0000}"/>
    <cellStyle name="Total 4 2 3" xfId="19499" xr:uid="{00000000-0005-0000-0000-0000E64B0000}"/>
    <cellStyle name="Total 4 2 3 2" xfId="19500" xr:uid="{00000000-0005-0000-0000-0000E74B0000}"/>
    <cellStyle name="Total 4 2 3 2 2" xfId="19501" xr:uid="{00000000-0005-0000-0000-0000E84B0000}"/>
    <cellStyle name="Total 4 2 3 3" xfId="19502" xr:uid="{00000000-0005-0000-0000-0000E94B0000}"/>
    <cellStyle name="Total 4 2 3 3 2" xfId="19503" xr:uid="{00000000-0005-0000-0000-0000EA4B0000}"/>
    <cellStyle name="Total 4 2 3 4" xfId="19504" xr:uid="{00000000-0005-0000-0000-0000EB4B0000}"/>
    <cellStyle name="Total 4 2 4" xfId="19505" xr:uid="{00000000-0005-0000-0000-0000EC4B0000}"/>
    <cellStyle name="Total 4 2 4 2" xfId="19506" xr:uid="{00000000-0005-0000-0000-0000ED4B0000}"/>
    <cellStyle name="Total 4 2 4 2 2" xfId="19507" xr:uid="{00000000-0005-0000-0000-0000EE4B0000}"/>
    <cellStyle name="Total 4 2 4 3" xfId="19508" xr:uid="{00000000-0005-0000-0000-0000EF4B0000}"/>
    <cellStyle name="Total 4 2 4 3 2" xfId="19509" xr:uid="{00000000-0005-0000-0000-0000F04B0000}"/>
    <cellStyle name="Total 4 2 4 4" xfId="19510" xr:uid="{00000000-0005-0000-0000-0000F14B0000}"/>
    <cellStyle name="Total 4 2 4 4 2" xfId="19511" xr:uid="{00000000-0005-0000-0000-0000F24B0000}"/>
    <cellStyle name="Total 4 2 4 5" xfId="19512" xr:uid="{00000000-0005-0000-0000-0000F34B0000}"/>
    <cellStyle name="Total 4 2 5" xfId="19513" xr:uid="{00000000-0005-0000-0000-0000F44B0000}"/>
    <cellStyle name="Total 4 2 5 2" xfId="19514" xr:uid="{00000000-0005-0000-0000-0000F54B0000}"/>
    <cellStyle name="Total 4 2 5 2 2" xfId="19515" xr:uid="{00000000-0005-0000-0000-0000F64B0000}"/>
    <cellStyle name="Total 4 2 5 3" xfId="19516" xr:uid="{00000000-0005-0000-0000-0000F74B0000}"/>
    <cellStyle name="Total 4 2 5 3 2" xfId="19517" xr:uid="{00000000-0005-0000-0000-0000F84B0000}"/>
    <cellStyle name="Total 4 2 5 4" xfId="19518" xr:uid="{00000000-0005-0000-0000-0000F94B0000}"/>
    <cellStyle name="Total 4 2 6" xfId="19519" xr:uid="{00000000-0005-0000-0000-0000FA4B0000}"/>
    <cellStyle name="Total 4 2 6 2" xfId="19520" xr:uid="{00000000-0005-0000-0000-0000FB4B0000}"/>
    <cellStyle name="Total 4 2 7" xfId="19521" xr:uid="{00000000-0005-0000-0000-0000FC4B0000}"/>
    <cellStyle name="Total 4 2 7 2" xfId="19522" xr:uid="{00000000-0005-0000-0000-0000FD4B0000}"/>
    <cellStyle name="Total 4 2 8" xfId="19523" xr:uid="{00000000-0005-0000-0000-0000FE4B0000}"/>
    <cellStyle name="Total 4 2 8 2" xfId="19524" xr:uid="{00000000-0005-0000-0000-0000FF4B0000}"/>
    <cellStyle name="Total 4 2 9" xfId="19525" xr:uid="{00000000-0005-0000-0000-0000004C0000}"/>
    <cellStyle name="Total 4 3" xfId="19526" xr:uid="{00000000-0005-0000-0000-0000014C0000}"/>
    <cellStyle name="Total 4 3 2" xfId="19527" xr:uid="{00000000-0005-0000-0000-0000024C0000}"/>
    <cellStyle name="Total 4 3 2 2" xfId="19528" xr:uid="{00000000-0005-0000-0000-0000034C0000}"/>
    <cellStyle name="Total 4 3 3" xfId="19529" xr:uid="{00000000-0005-0000-0000-0000044C0000}"/>
    <cellStyle name="Total 4 3 3 2" xfId="19530" xr:uid="{00000000-0005-0000-0000-0000054C0000}"/>
    <cellStyle name="Total 4 3 4" xfId="19531" xr:uid="{00000000-0005-0000-0000-0000064C0000}"/>
    <cellStyle name="Total 4 3 5" xfId="19532" xr:uid="{00000000-0005-0000-0000-0000074C0000}"/>
    <cellStyle name="Total 4 4" xfId="19533" xr:uid="{00000000-0005-0000-0000-0000084C0000}"/>
    <cellStyle name="Total 4 4 2" xfId="19534" xr:uid="{00000000-0005-0000-0000-0000094C0000}"/>
    <cellStyle name="Total 4 4 2 2" xfId="19535" xr:uid="{00000000-0005-0000-0000-00000A4C0000}"/>
    <cellStyle name="Total 4 4 3" xfId="19536" xr:uid="{00000000-0005-0000-0000-00000B4C0000}"/>
    <cellStyle name="Total 4 4 3 2" xfId="19537" xr:uid="{00000000-0005-0000-0000-00000C4C0000}"/>
    <cellStyle name="Total 4 4 4" xfId="19538" xr:uid="{00000000-0005-0000-0000-00000D4C0000}"/>
    <cellStyle name="Total 4 5" xfId="19539" xr:uid="{00000000-0005-0000-0000-00000E4C0000}"/>
    <cellStyle name="Total 4 5 2" xfId="19540" xr:uid="{00000000-0005-0000-0000-00000F4C0000}"/>
    <cellStyle name="Total 4 5 2 2" xfId="19541" xr:uid="{00000000-0005-0000-0000-0000104C0000}"/>
    <cellStyle name="Total 4 5 3" xfId="19542" xr:uid="{00000000-0005-0000-0000-0000114C0000}"/>
    <cellStyle name="Total 4 5 3 2" xfId="19543" xr:uid="{00000000-0005-0000-0000-0000124C0000}"/>
    <cellStyle name="Total 4 5 4" xfId="19544" xr:uid="{00000000-0005-0000-0000-0000134C0000}"/>
    <cellStyle name="Total 4 6" xfId="19545" xr:uid="{00000000-0005-0000-0000-0000144C0000}"/>
    <cellStyle name="Total 4 6 2" xfId="19546" xr:uid="{00000000-0005-0000-0000-0000154C0000}"/>
    <cellStyle name="Total 4 6 2 2" xfId="19547" xr:uid="{00000000-0005-0000-0000-0000164C0000}"/>
    <cellStyle name="Total 4 6 3" xfId="19548" xr:uid="{00000000-0005-0000-0000-0000174C0000}"/>
    <cellStyle name="Total 4 6 3 2" xfId="19549" xr:uid="{00000000-0005-0000-0000-0000184C0000}"/>
    <cellStyle name="Total 4 6 4" xfId="19550" xr:uid="{00000000-0005-0000-0000-0000194C0000}"/>
    <cellStyle name="Total 4 6 4 2" xfId="19551" xr:uid="{00000000-0005-0000-0000-00001A4C0000}"/>
    <cellStyle name="Total 4 6 5" xfId="19552" xr:uid="{00000000-0005-0000-0000-00001B4C0000}"/>
    <cellStyle name="Total 4 7" xfId="19553" xr:uid="{00000000-0005-0000-0000-00001C4C0000}"/>
    <cellStyle name="Total 4 7 2" xfId="19554" xr:uid="{00000000-0005-0000-0000-00001D4C0000}"/>
    <cellStyle name="Total 4 7 2 2" xfId="19555" xr:uid="{00000000-0005-0000-0000-00001E4C0000}"/>
    <cellStyle name="Total 4 7 3" xfId="19556" xr:uid="{00000000-0005-0000-0000-00001F4C0000}"/>
    <cellStyle name="Total 4 7 3 2" xfId="19557" xr:uid="{00000000-0005-0000-0000-0000204C0000}"/>
    <cellStyle name="Total 4 7 4" xfId="19558" xr:uid="{00000000-0005-0000-0000-0000214C0000}"/>
    <cellStyle name="Total 4 8" xfId="19559" xr:uid="{00000000-0005-0000-0000-0000224C0000}"/>
    <cellStyle name="Total 4 8 2" xfId="19560" xr:uid="{00000000-0005-0000-0000-0000234C0000}"/>
    <cellStyle name="Total 4 9" xfId="19561" xr:uid="{00000000-0005-0000-0000-0000244C0000}"/>
    <cellStyle name="Total 4 9 2" xfId="19562" xr:uid="{00000000-0005-0000-0000-0000254C0000}"/>
    <cellStyle name="Total 40" xfId="3330" xr:uid="{00000000-0005-0000-0000-0000264C0000}"/>
    <cellStyle name="Total 40 10" xfId="19564" xr:uid="{00000000-0005-0000-0000-0000274C0000}"/>
    <cellStyle name="Total 40 11" xfId="19565" xr:uid="{00000000-0005-0000-0000-0000284C0000}"/>
    <cellStyle name="Total 40 12" xfId="19563" xr:uid="{00000000-0005-0000-0000-0000294C0000}"/>
    <cellStyle name="Total 40 2" xfId="19566" xr:uid="{00000000-0005-0000-0000-00002A4C0000}"/>
    <cellStyle name="Total 40 2 2" xfId="19567" xr:uid="{00000000-0005-0000-0000-00002B4C0000}"/>
    <cellStyle name="Total 40 2 2 2" xfId="19568" xr:uid="{00000000-0005-0000-0000-00002C4C0000}"/>
    <cellStyle name="Total 40 2 3" xfId="19569" xr:uid="{00000000-0005-0000-0000-00002D4C0000}"/>
    <cellStyle name="Total 40 2 3 2" xfId="19570" xr:uid="{00000000-0005-0000-0000-00002E4C0000}"/>
    <cellStyle name="Total 40 2 4" xfId="19571" xr:uid="{00000000-0005-0000-0000-00002F4C0000}"/>
    <cellStyle name="Total 40 2 5" xfId="19572" xr:uid="{00000000-0005-0000-0000-0000304C0000}"/>
    <cellStyle name="Total 40 3" xfId="19573" xr:uid="{00000000-0005-0000-0000-0000314C0000}"/>
    <cellStyle name="Total 40 3 2" xfId="19574" xr:uid="{00000000-0005-0000-0000-0000324C0000}"/>
    <cellStyle name="Total 40 3 2 2" xfId="19575" xr:uid="{00000000-0005-0000-0000-0000334C0000}"/>
    <cellStyle name="Total 40 3 3" xfId="19576" xr:uid="{00000000-0005-0000-0000-0000344C0000}"/>
    <cellStyle name="Total 40 3 3 2" xfId="19577" xr:uid="{00000000-0005-0000-0000-0000354C0000}"/>
    <cellStyle name="Total 40 3 4" xfId="19578" xr:uid="{00000000-0005-0000-0000-0000364C0000}"/>
    <cellStyle name="Total 40 4" xfId="19579" xr:uid="{00000000-0005-0000-0000-0000374C0000}"/>
    <cellStyle name="Total 40 4 2" xfId="19580" xr:uid="{00000000-0005-0000-0000-0000384C0000}"/>
    <cellStyle name="Total 40 4 2 2" xfId="19581" xr:uid="{00000000-0005-0000-0000-0000394C0000}"/>
    <cellStyle name="Total 40 4 3" xfId="19582" xr:uid="{00000000-0005-0000-0000-00003A4C0000}"/>
    <cellStyle name="Total 40 4 3 2" xfId="19583" xr:uid="{00000000-0005-0000-0000-00003B4C0000}"/>
    <cellStyle name="Total 40 4 4" xfId="19584" xr:uid="{00000000-0005-0000-0000-00003C4C0000}"/>
    <cellStyle name="Total 40 5" xfId="19585" xr:uid="{00000000-0005-0000-0000-00003D4C0000}"/>
    <cellStyle name="Total 40 5 2" xfId="19586" xr:uid="{00000000-0005-0000-0000-00003E4C0000}"/>
    <cellStyle name="Total 40 5 2 2" xfId="19587" xr:uid="{00000000-0005-0000-0000-00003F4C0000}"/>
    <cellStyle name="Total 40 5 3" xfId="19588" xr:uid="{00000000-0005-0000-0000-0000404C0000}"/>
    <cellStyle name="Total 40 5 3 2" xfId="19589" xr:uid="{00000000-0005-0000-0000-0000414C0000}"/>
    <cellStyle name="Total 40 5 4" xfId="19590" xr:uid="{00000000-0005-0000-0000-0000424C0000}"/>
    <cellStyle name="Total 40 5 4 2" xfId="19591" xr:uid="{00000000-0005-0000-0000-0000434C0000}"/>
    <cellStyle name="Total 40 5 5" xfId="19592" xr:uid="{00000000-0005-0000-0000-0000444C0000}"/>
    <cellStyle name="Total 40 6" xfId="19593" xr:uid="{00000000-0005-0000-0000-0000454C0000}"/>
    <cellStyle name="Total 40 6 2" xfId="19594" xr:uid="{00000000-0005-0000-0000-0000464C0000}"/>
    <cellStyle name="Total 40 6 2 2" xfId="19595" xr:uid="{00000000-0005-0000-0000-0000474C0000}"/>
    <cellStyle name="Total 40 6 3" xfId="19596" xr:uid="{00000000-0005-0000-0000-0000484C0000}"/>
    <cellStyle name="Total 40 6 3 2" xfId="19597" xr:uid="{00000000-0005-0000-0000-0000494C0000}"/>
    <cellStyle name="Total 40 6 4" xfId="19598" xr:uid="{00000000-0005-0000-0000-00004A4C0000}"/>
    <cellStyle name="Total 40 7" xfId="19599" xr:uid="{00000000-0005-0000-0000-00004B4C0000}"/>
    <cellStyle name="Total 40 7 2" xfId="19600" xr:uid="{00000000-0005-0000-0000-00004C4C0000}"/>
    <cellStyle name="Total 40 8" xfId="19601" xr:uid="{00000000-0005-0000-0000-00004D4C0000}"/>
    <cellStyle name="Total 40 8 2" xfId="19602" xr:uid="{00000000-0005-0000-0000-00004E4C0000}"/>
    <cellStyle name="Total 40 9" xfId="19603" xr:uid="{00000000-0005-0000-0000-00004F4C0000}"/>
    <cellStyle name="Total 40 9 2" xfId="19604" xr:uid="{00000000-0005-0000-0000-0000504C0000}"/>
    <cellStyle name="Total 41" xfId="3331" xr:uid="{00000000-0005-0000-0000-0000514C0000}"/>
    <cellStyle name="Total 41 10" xfId="19606" xr:uid="{00000000-0005-0000-0000-0000524C0000}"/>
    <cellStyle name="Total 41 11" xfId="19607" xr:uid="{00000000-0005-0000-0000-0000534C0000}"/>
    <cellStyle name="Total 41 12" xfId="19605" xr:uid="{00000000-0005-0000-0000-0000544C0000}"/>
    <cellStyle name="Total 41 2" xfId="19608" xr:uid="{00000000-0005-0000-0000-0000554C0000}"/>
    <cellStyle name="Total 41 2 2" xfId="19609" xr:uid="{00000000-0005-0000-0000-0000564C0000}"/>
    <cellStyle name="Total 41 2 2 2" xfId="19610" xr:uid="{00000000-0005-0000-0000-0000574C0000}"/>
    <cellStyle name="Total 41 2 3" xfId="19611" xr:uid="{00000000-0005-0000-0000-0000584C0000}"/>
    <cellStyle name="Total 41 2 3 2" xfId="19612" xr:uid="{00000000-0005-0000-0000-0000594C0000}"/>
    <cellStyle name="Total 41 2 4" xfId="19613" xr:uid="{00000000-0005-0000-0000-00005A4C0000}"/>
    <cellStyle name="Total 41 2 5" xfId="19614" xr:uid="{00000000-0005-0000-0000-00005B4C0000}"/>
    <cellStyle name="Total 41 3" xfId="19615" xr:uid="{00000000-0005-0000-0000-00005C4C0000}"/>
    <cellStyle name="Total 41 3 2" xfId="19616" xr:uid="{00000000-0005-0000-0000-00005D4C0000}"/>
    <cellStyle name="Total 41 3 2 2" xfId="19617" xr:uid="{00000000-0005-0000-0000-00005E4C0000}"/>
    <cellStyle name="Total 41 3 3" xfId="19618" xr:uid="{00000000-0005-0000-0000-00005F4C0000}"/>
    <cellStyle name="Total 41 3 3 2" xfId="19619" xr:uid="{00000000-0005-0000-0000-0000604C0000}"/>
    <cellStyle name="Total 41 3 4" xfId="19620" xr:uid="{00000000-0005-0000-0000-0000614C0000}"/>
    <cellStyle name="Total 41 4" xfId="19621" xr:uid="{00000000-0005-0000-0000-0000624C0000}"/>
    <cellStyle name="Total 41 4 2" xfId="19622" xr:uid="{00000000-0005-0000-0000-0000634C0000}"/>
    <cellStyle name="Total 41 4 2 2" xfId="19623" xr:uid="{00000000-0005-0000-0000-0000644C0000}"/>
    <cellStyle name="Total 41 4 3" xfId="19624" xr:uid="{00000000-0005-0000-0000-0000654C0000}"/>
    <cellStyle name="Total 41 4 3 2" xfId="19625" xr:uid="{00000000-0005-0000-0000-0000664C0000}"/>
    <cellStyle name="Total 41 4 4" xfId="19626" xr:uid="{00000000-0005-0000-0000-0000674C0000}"/>
    <cellStyle name="Total 41 5" xfId="19627" xr:uid="{00000000-0005-0000-0000-0000684C0000}"/>
    <cellStyle name="Total 41 5 2" xfId="19628" xr:uid="{00000000-0005-0000-0000-0000694C0000}"/>
    <cellStyle name="Total 41 5 2 2" xfId="19629" xr:uid="{00000000-0005-0000-0000-00006A4C0000}"/>
    <cellStyle name="Total 41 5 3" xfId="19630" xr:uid="{00000000-0005-0000-0000-00006B4C0000}"/>
    <cellStyle name="Total 41 5 3 2" xfId="19631" xr:uid="{00000000-0005-0000-0000-00006C4C0000}"/>
    <cellStyle name="Total 41 5 4" xfId="19632" xr:uid="{00000000-0005-0000-0000-00006D4C0000}"/>
    <cellStyle name="Total 41 5 4 2" xfId="19633" xr:uid="{00000000-0005-0000-0000-00006E4C0000}"/>
    <cellStyle name="Total 41 5 5" xfId="19634" xr:uid="{00000000-0005-0000-0000-00006F4C0000}"/>
    <cellStyle name="Total 41 6" xfId="19635" xr:uid="{00000000-0005-0000-0000-0000704C0000}"/>
    <cellStyle name="Total 41 6 2" xfId="19636" xr:uid="{00000000-0005-0000-0000-0000714C0000}"/>
    <cellStyle name="Total 41 6 2 2" xfId="19637" xr:uid="{00000000-0005-0000-0000-0000724C0000}"/>
    <cellStyle name="Total 41 6 3" xfId="19638" xr:uid="{00000000-0005-0000-0000-0000734C0000}"/>
    <cellStyle name="Total 41 6 3 2" xfId="19639" xr:uid="{00000000-0005-0000-0000-0000744C0000}"/>
    <cellStyle name="Total 41 6 4" xfId="19640" xr:uid="{00000000-0005-0000-0000-0000754C0000}"/>
    <cellStyle name="Total 41 7" xfId="19641" xr:uid="{00000000-0005-0000-0000-0000764C0000}"/>
    <cellStyle name="Total 41 7 2" xfId="19642" xr:uid="{00000000-0005-0000-0000-0000774C0000}"/>
    <cellStyle name="Total 41 8" xfId="19643" xr:uid="{00000000-0005-0000-0000-0000784C0000}"/>
    <cellStyle name="Total 41 8 2" xfId="19644" xr:uid="{00000000-0005-0000-0000-0000794C0000}"/>
    <cellStyle name="Total 41 9" xfId="19645" xr:uid="{00000000-0005-0000-0000-00007A4C0000}"/>
    <cellStyle name="Total 41 9 2" xfId="19646" xr:uid="{00000000-0005-0000-0000-00007B4C0000}"/>
    <cellStyle name="Total 42" xfId="3332" xr:uid="{00000000-0005-0000-0000-00007C4C0000}"/>
    <cellStyle name="Total 42 10" xfId="19648" xr:uid="{00000000-0005-0000-0000-00007D4C0000}"/>
    <cellStyle name="Total 42 11" xfId="19649" xr:uid="{00000000-0005-0000-0000-00007E4C0000}"/>
    <cellStyle name="Total 42 12" xfId="19647" xr:uid="{00000000-0005-0000-0000-00007F4C0000}"/>
    <cellStyle name="Total 42 2" xfId="19650" xr:uid="{00000000-0005-0000-0000-0000804C0000}"/>
    <cellStyle name="Total 42 2 2" xfId="19651" xr:uid="{00000000-0005-0000-0000-0000814C0000}"/>
    <cellStyle name="Total 42 2 2 2" xfId="19652" xr:uid="{00000000-0005-0000-0000-0000824C0000}"/>
    <cellStyle name="Total 42 2 3" xfId="19653" xr:uid="{00000000-0005-0000-0000-0000834C0000}"/>
    <cellStyle name="Total 42 2 3 2" xfId="19654" xr:uid="{00000000-0005-0000-0000-0000844C0000}"/>
    <cellStyle name="Total 42 2 4" xfId="19655" xr:uid="{00000000-0005-0000-0000-0000854C0000}"/>
    <cellStyle name="Total 42 2 5" xfId="19656" xr:uid="{00000000-0005-0000-0000-0000864C0000}"/>
    <cellStyle name="Total 42 3" xfId="19657" xr:uid="{00000000-0005-0000-0000-0000874C0000}"/>
    <cellStyle name="Total 42 3 2" xfId="19658" xr:uid="{00000000-0005-0000-0000-0000884C0000}"/>
    <cellStyle name="Total 42 3 2 2" xfId="19659" xr:uid="{00000000-0005-0000-0000-0000894C0000}"/>
    <cellStyle name="Total 42 3 3" xfId="19660" xr:uid="{00000000-0005-0000-0000-00008A4C0000}"/>
    <cellStyle name="Total 42 3 3 2" xfId="19661" xr:uid="{00000000-0005-0000-0000-00008B4C0000}"/>
    <cellStyle name="Total 42 3 4" xfId="19662" xr:uid="{00000000-0005-0000-0000-00008C4C0000}"/>
    <cellStyle name="Total 42 4" xfId="19663" xr:uid="{00000000-0005-0000-0000-00008D4C0000}"/>
    <cellStyle name="Total 42 4 2" xfId="19664" xr:uid="{00000000-0005-0000-0000-00008E4C0000}"/>
    <cellStyle name="Total 42 4 2 2" xfId="19665" xr:uid="{00000000-0005-0000-0000-00008F4C0000}"/>
    <cellStyle name="Total 42 4 3" xfId="19666" xr:uid="{00000000-0005-0000-0000-0000904C0000}"/>
    <cellStyle name="Total 42 4 3 2" xfId="19667" xr:uid="{00000000-0005-0000-0000-0000914C0000}"/>
    <cellStyle name="Total 42 4 4" xfId="19668" xr:uid="{00000000-0005-0000-0000-0000924C0000}"/>
    <cellStyle name="Total 42 5" xfId="19669" xr:uid="{00000000-0005-0000-0000-0000934C0000}"/>
    <cellStyle name="Total 42 5 2" xfId="19670" xr:uid="{00000000-0005-0000-0000-0000944C0000}"/>
    <cellStyle name="Total 42 5 2 2" xfId="19671" xr:uid="{00000000-0005-0000-0000-0000954C0000}"/>
    <cellStyle name="Total 42 5 3" xfId="19672" xr:uid="{00000000-0005-0000-0000-0000964C0000}"/>
    <cellStyle name="Total 42 5 3 2" xfId="19673" xr:uid="{00000000-0005-0000-0000-0000974C0000}"/>
    <cellStyle name="Total 42 5 4" xfId="19674" xr:uid="{00000000-0005-0000-0000-0000984C0000}"/>
    <cellStyle name="Total 42 5 4 2" xfId="19675" xr:uid="{00000000-0005-0000-0000-0000994C0000}"/>
    <cellStyle name="Total 42 5 5" xfId="19676" xr:uid="{00000000-0005-0000-0000-00009A4C0000}"/>
    <cellStyle name="Total 42 6" xfId="19677" xr:uid="{00000000-0005-0000-0000-00009B4C0000}"/>
    <cellStyle name="Total 42 6 2" xfId="19678" xr:uid="{00000000-0005-0000-0000-00009C4C0000}"/>
    <cellStyle name="Total 42 6 2 2" xfId="19679" xr:uid="{00000000-0005-0000-0000-00009D4C0000}"/>
    <cellStyle name="Total 42 6 3" xfId="19680" xr:uid="{00000000-0005-0000-0000-00009E4C0000}"/>
    <cellStyle name="Total 42 6 3 2" xfId="19681" xr:uid="{00000000-0005-0000-0000-00009F4C0000}"/>
    <cellStyle name="Total 42 6 4" xfId="19682" xr:uid="{00000000-0005-0000-0000-0000A04C0000}"/>
    <cellStyle name="Total 42 7" xfId="19683" xr:uid="{00000000-0005-0000-0000-0000A14C0000}"/>
    <cellStyle name="Total 42 7 2" xfId="19684" xr:uid="{00000000-0005-0000-0000-0000A24C0000}"/>
    <cellStyle name="Total 42 8" xfId="19685" xr:uid="{00000000-0005-0000-0000-0000A34C0000}"/>
    <cellStyle name="Total 42 8 2" xfId="19686" xr:uid="{00000000-0005-0000-0000-0000A44C0000}"/>
    <cellStyle name="Total 42 9" xfId="19687" xr:uid="{00000000-0005-0000-0000-0000A54C0000}"/>
    <cellStyle name="Total 42 9 2" xfId="19688" xr:uid="{00000000-0005-0000-0000-0000A64C0000}"/>
    <cellStyle name="Total 5" xfId="3333" xr:uid="{00000000-0005-0000-0000-0000A74C0000}"/>
    <cellStyle name="Total 5 10" xfId="19690" xr:uid="{00000000-0005-0000-0000-0000A84C0000}"/>
    <cellStyle name="Total 5 10 2" xfId="19691" xr:uid="{00000000-0005-0000-0000-0000A94C0000}"/>
    <cellStyle name="Total 5 11" xfId="19692" xr:uid="{00000000-0005-0000-0000-0000AA4C0000}"/>
    <cellStyle name="Total 5 12" xfId="19693" xr:uid="{00000000-0005-0000-0000-0000AB4C0000}"/>
    <cellStyle name="Total 5 13" xfId="19689" xr:uid="{00000000-0005-0000-0000-0000AC4C0000}"/>
    <cellStyle name="Total 5 2" xfId="19694" xr:uid="{00000000-0005-0000-0000-0000AD4C0000}"/>
    <cellStyle name="Total 5 2 10" xfId="19695" xr:uid="{00000000-0005-0000-0000-0000AE4C0000}"/>
    <cellStyle name="Total 5 2 2" xfId="19696" xr:uid="{00000000-0005-0000-0000-0000AF4C0000}"/>
    <cellStyle name="Total 5 2 2 2" xfId="19697" xr:uid="{00000000-0005-0000-0000-0000B04C0000}"/>
    <cellStyle name="Total 5 2 2 2 2" xfId="19698" xr:uid="{00000000-0005-0000-0000-0000B14C0000}"/>
    <cellStyle name="Total 5 2 2 3" xfId="19699" xr:uid="{00000000-0005-0000-0000-0000B24C0000}"/>
    <cellStyle name="Total 5 2 2 3 2" xfId="19700" xr:uid="{00000000-0005-0000-0000-0000B34C0000}"/>
    <cellStyle name="Total 5 2 2 4" xfId="19701" xr:uid="{00000000-0005-0000-0000-0000B44C0000}"/>
    <cellStyle name="Total 5 2 3" xfId="19702" xr:uid="{00000000-0005-0000-0000-0000B54C0000}"/>
    <cellStyle name="Total 5 2 3 2" xfId="19703" xr:uid="{00000000-0005-0000-0000-0000B64C0000}"/>
    <cellStyle name="Total 5 2 3 2 2" xfId="19704" xr:uid="{00000000-0005-0000-0000-0000B74C0000}"/>
    <cellStyle name="Total 5 2 3 3" xfId="19705" xr:uid="{00000000-0005-0000-0000-0000B84C0000}"/>
    <cellStyle name="Total 5 2 3 3 2" xfId="19706" xr:uid="{00000000-0005-0000-0000-0000B94C0000}"/>
    <cellStyle name="Total 5 2 3 4" xfId="19707" xr:uid="{00000000-0005-0000-0000-0000BA4C0000}"/>
    <cellStyle name="Total 5 2 4" xfId="19708" xr:uid="{00000000-0005-0000-0000-0000BB4C0000}"/>
    <cellStyle name="Total 5 2 4 2" xfId="19709" xr:uid="{00000000-0005-0000-0000-0000BC4C0000}"/>
    <cellStyle name="Total 5 2 4 2 2" xfId="19710" xr:uid="{00000000-0005-0000-0000-0000BD4C0000}"/>
    <cellStyle name="Total 5 2 4 3" xfId="19711" xr:uid="{00000000-0005-0000-0000-0000BE4C0000}"/>
    <cellStyle name="Total 5 2 4 3 2" xfId="19712" xr:uid="{00000000-0005-0000-0000-0000BF4C0000}"/>
    <cellStyle name="Total 5 2 4 4" xfId="19713" xr:uid="{00000000-0005-0000-0000-0000C04C0000}"/>
    <cellStyle name="Total 5 2 4 4 2" xfId="19714" xr:uid="{00000000-0005-0000-0000-0000C14C0000}"/>
    <cellStyle name="Total 5 2 4 5" xfId="19715" xr:uid="{00000000-0005-0000-0000-0000C24C0000}"/>
    <cellStyle name="Total 5 2 5" xfId="19716" xr:uid="{00000000-0005-0000-0000-0000C34C0000}"/>
    <cellStyle name="Total 5 2 5 2" xfId="19717" xr:uid="{00000000-0005-0000-0000-0000C44C0000}"/>
    <cellStyle name="Total 5 2 5 2 2" xfId="19718" xr:uid="{00000000-0005-0000-0000-0000C54C0000}"/>
    <cellStyle name="Total 5 2 5 3" xfId="19719" xr:uid="{00000000-0005-0000-0000-0000C64C0000}"/>
    <cellStyle name="Total 5 2 5 3 2" xfId="19720" xr:uid="{00000000-0005-0000-0000-0000C74C0000}"/>
    <cellStyle name="Total 5 2 5 4" xfId="19721" xr:uid="{00000000-0005-0000-0000-0000C84C0000}"/>
    <cellStyle name="Total 5 2 6" xfId="19722" xr:uid="{00000000-0005-0000-0000-0000C94C0000}"/>
    <cellStyle name="Total 5 2 6 2" xfId="19723" xr:uid="{00000000-0005-0000-0000-0000CA4C0000}"/>
    <cellStyle name="Total 5 2 7" xfId="19724" xr:uid="{00000000-0005-0000-0000-0000CB4C0000}"/>
    <cellStyle name="Total 5 2 7 2" xfId="19725" xr:uid="{00000000-0005-0000-0000-0000CC4C0000}"/>
    <cellStyle name="Total 5 2 8" xfId="19726" xr:uid="{00000000-0005-0000-0000-0000CD4C0000}"/>
    <cellStyle name="Total 5 2 8 2" xfId="19727" xr:uid="{00000000-0005-0000-0000-0000CE4C0000}"/>
    <cellStyle name="Total 5 2 9" xfId="19728" xr:uid="{00000000-0005-0000-0000-0000CF4C0000}"/>
    <cellStyle name="Total 5 3" xfId="19729" xr:uid="{00000000-0005-0000-0000-0000D04C0000}"/>
    <cellStyle name="Total 5 3 2" xfId="19730" xr:uid="{00000000-0005-0000-0000-0000D14C0000}"/>
    <cellStyle name="Total 5 3 2 2" xfId="19731" xr:uid="{00000000-0005-0000-0000-0000D24C0000}"/>
    <cellStyle name="Total 5 3 3" xfId="19732" xr:uid="{00000000-0005-0000-0000-0000D34C0000}"/>
    <cellStyle name="Total 5 3 3 2" xfId="19733" xr:uid="{00000000-0005-0000-0000-0000D44C0000}"/>
    <cellStyle name="Total 5 3 4" xfId="19734" xr:uid="{00000000-0005-0000-0000-0000D54C0000}"/>
    <cellStyle name="Total 5 3 5" xfId="19735" xr:uid="{00000000-0005-0000-0000-0000D64C0000}"/>
    <cellStyle name="Total 5 4" xfId="19736" xr:uid="{00000000-0005-0000-0000-0000D74C0000}"/>
    <cellStyle name="Total 5 4 2" xfId="19737" xr:uid="{00000000-0005-0000-0000-0000D84C0000}"/>
    <cellStyle name="Total 5 4 2 2" xfId="19738" xr:uid="{00000000-0005-0000-0000-0000D94C0000}"/>
    <cellStyle name="Total 5 4 3" xfId="19739" xr:uid="{00000000-0005-0000-0000-0000DA4C0000}"/>
    <cellStyle name="Total 5 4 3 2" xfId="19740" xr:uid="{00000000-0005-0000-0000-0000DB4C0000}"/>
    <cellStyle name="Total 5 4 4" xfId="19741" xr:uid="{00000000-0005-0000-0000-0000DC4C0000}"/>
    <cellStyle name="Total 5 5" xfId="19742" xr:uid="{00000000-0005-0000-0000-0000DD4C0000}"/>
    <cellStyle name="Total 5 5 2" xfId="19743" xr:uid="{00000000-0005-0000-0000-0000DE4C0000}"/>
    <cellStyle name="Total 5 5 2 2" xfId="19744" xr:uid="{00000000-0005-0000-0000-0000DF4C0000}"/>
    <cellStyle name="Total 5 5 3" xfId="19745" xr:uid="{00000000-0005-0000-0000-0000E04C0000}"/>
    <cellStyle name="Total 5 5 3 2" xfId="19746" xr:uid="{00000000-0005-0000-0000-0000E14C0000}"/>
    <cellStyle name="Total 5 5 4" xfId="19747" xr:uid="{00000000-0005-0000-0000-0000E24C0000}"/>
    <cellStyle name="Total 5 6" xfId="19748" xr:uid="{00000000-0005-0000-0000-0000E34C0000}"/>
    <cellStyle name="Total 5 6 2" xfId="19749" xr:uid="{00000000-0005-0000-0000-0000E44C0000}"/>
    <cellStyle name="Total 5 6 2 2" xfId="19750" xr:uid="{00000000-0005-0000-0000-0000E54C0000}"/>
    <cellStyle name="Total 5 6 3" xfId="19751" xr:uid="{00000000-0005-0000-0000-0000E64C0000}"/>
    <cellStyle name="Total 5 6 3 2" xfId="19752" xr:uid="{00000000-0005-0000-0000-0000E74C0000}"/>
    <cellStyle name="Total 5 6 4" xfId="19753" xr:uid="{00000000-0005-0000-0000-0000E84C0000}"/>
    <cellStyle name="Total 5 6 4 2" xfId="19754" xr:uid="{00000000-0005-0000-0000-0000E94C0000}"/>
    <cellStyle name="Total 5 6 5" xfId="19755" xr:uid="{00000000-0005-0000-0000-0000EA4C0000}"/>
    <cellStyle name="Total 5 7" xfId="19756" xr:uid="{00000000-0005-0000-0000-0000EB4C0000}"/>
    <cellStyle name="Total 5 7 2" xfId="19757" xr:uid="{00000000-0005-0000-0000-0000EC4C0000}"/>
    <cellStyle name="Total 5 7 2 2" xfId="19758" xr:uid="{00000000-0005-0000-0000-0000ED4C0000}"/>
    <cellStyle name="Total 5 7 3" xfId="19759" xr:uid="{00000000-0005-0000-0000-0000EE4C0000}"/>
    <cellStyle name="Total 5 7 3 2" xfId="19760" xr:uid="{00000000-0005-0000-0000-0000EF4C0000}"/>
    <cellStyle name="Total 5 7 4" xfId="19761" xr:uid="{00000000-0005-0000-0000-0000F04C0000}"/>
    <cellStyle name="Total 5 8" xfId="19762" xr:uid="{00000000-0005-0000-0000-0000F14C0000}"/>
    <cellStyle name="Total 5 8 2" xfId="19763" xr:uid="{00000000-0005-0000-0000-0000F24C0000}"/>
    <cellStyle name="Total 5 9" xfId="19764" xr:uid="{00000000-0005-0000-0000-0000F34C0000}"/>
    <cellStyle name="Total 5 9 2" xfId="19765" xr:uid="{00000000-0005-0000-0000-0000F44C0000}"/>
    <cellStyle name="Total 6" xfId="3334" xr:uid="{00000000-0005-0000-0000-0000F54C0000}"/>
    <cellStyle name="Total 6 10" xfId="19767" xr:uid="{00000000-0005-0000-0000-0000F64C0000}"/>
    <cellStyle name="Total 6 10 2" xfId="19768" xr:uid="{00000000-0005-0000-0000-0000F74C0000}"/>
    <cellStyle name="Total 6 11" xfId="19769" xr:uid="{00000000-0005-0000-0000-0000F84C0000}"/>
    <cellStyle name="Total 6 12" xfId="19770" xr:uid="{00000000-0005-0000-0000-0000F94C0000}"/>
    <cellStyle name="Total 6 13" xfId="19766" xr:uid="{00000000-0005-0000-0000-0000FA4C0000}"/>
    <cellStyle name="Total 6 2" xfId="19771" xr:uid="{00000000-0005-0000-0000-0000FB4C0000}"/>
    <cellStyle name="Total 6 2 10" xfId="19772" xr:uid="{00000000-0005-0000-0000-0000FC4C0000}"/>
    <cellStyle name="Total 6 2 2" xfId="19773" xr:uid="{00000000-0005-0000-0000-0000FD4C0000}"/>
    <cellStyle name="Total 6 2 2 2" xfId="19774" xr:uid="{00000000-0005-0000-0000-0000FE4C0000}"/>
    <cellStyle name="Total 6 2 2 2 2" xfId="19775" xr:uid="{00000000-0005-0000-0000-0000FF4C0000}"/>
    <cellStyle name="Total 6 2 2 3" xfId="19776" xr:uid="{00000000-0005-0000-0000-0000004D0000}"/>
    <cellStyle name="Total 6 2 2 3 2" xfId="19777" xr:uid="{00000000-0005-0000-0000-0000014D0000}"/>
    <cellStyle name="Total 6 2 2 4" xfId="19778" xr:uid="{00000000-0005-0000-0000-0000024D0000}"/>
    <cellStyle name="Total 6 2 3" xfId="19779" xr:uid="{00000000-0005-0000-0000-0000034D0000}"/>
    <cellStyle name="Total 6 2 3 2" xfId="19780" xr:uid="{00000000-0005-0000-0000-0000044D0000}"/>
    <cellStyle name="Total 6 2 3 2 2" xfId="19781" xr:uid="{00000000-0005-0000-0000-0000054D0000}"/>
    <cellStyle name="Total 6 2 3 3" xfId="19782" xr:uid="{00000000-0005-0000-0000-0000064D0000}"/>
    <cellStyle name="Total 6 2 3 3 2" xfId="19783" xr:uid="{00000000-0005-0000-0000-0000074D0000}"/>
    <cellStyle name="Total 6 2 3 4" xfId="19784" xr:uid="{00000000-0005-0000-0000-0000084D0000}"/>
    <cellStyle name="Total 6 2 4" xfId="19785" xr:uid="{00000000-0005-0000-0000-0000094D0000}"/>
    <cellStyle name="Total 6 2 4 2" xfId="19786" xr:uid="{00000000-0005-0000-0000-00000A4D0000}"/>
    <cellStyle name="Total 6 2 4 2 2" xfId="19787" xr:uid="{00000000-0005-0000-0000-00000B4D0000}"/>
    <cellStyle name="Total 6 2 4 3" xfId="19788" xr:uid="{00000000-0005-0000-0000-00000C4D0000}"/>
    <cellStyle name="Total 6 2 4 3 2" xfId="19789" xr:uid="{00000000-0005-0000-0000-00000D4D0000}"/>
    <cellStyle name="Total 6 2 4 4" xfId="19790" xr:uid="{00000000-0005-0000-0000-00000E4D0000}"/>
    <cellStyle name="Total 6 2 4 4 2" xfId="19791" xr:uid="{00000000-0005-0000-0000-00000F4D0000}"/>
    <cellStyle name="Total 6 2 4 5" xfId="19792" xr:uid="{00000000-0005-0000-0000-0000104D0000}"/>
    <cellStyle name="Total 6 2 5" xfId="19793" xr:uid="{00000000-0005-0000-0000-0000114D0000}"/>
    <cellStyle name="Total 6 2 5 2" xfId="19794" xr:uid="{00000000-0005-0000-0000-0000124D0000}"/>
    <cellStyle name="Total 6 2 5 2 2" xfId="19795" xr:uid="{00000000-0005-0000-0000-0000134D0000}"/>
    <cellStyle name="Total 6 2 5 3" xfId="19796" xr:uid="{00000000-0005-0000-0000-0000144D0000}"/>
    <cellStyle name="Total 6 2 5 3 2" xfId="19797" xr:uid="{00000000-0005-0000-0000-0000154D0000}"/>
    <cellStyle name="Total 6 2 5 4" xfId="19798" xr:uid="{00000000-0005-0000-0000-0000164D0000}"/>
    <cellStyle name="Total 6 2 6" xfId="19799" xr:uid="{00000000-0005-0000-0000-0000174D0000}"/>
    <cellStyle name="Total 6 2 6 2" xfId="19800" xr:uid="{00000000-0005-0000-0000-0000184D0000}"/>
    <cellStyle name="Total 6 2 7" xfId="19801" xr:uid="{00000000-0005-0000-0000-0000194D0000}"/>
    <cellStyle name="Total 6 2 7 2" xfId="19802" xr:uid="{00000000-0005-0000-0000-00001A4D0000}"/>
    <cellStyle name="Total 6 2 8" xfId="19803" xr:uid="{00000000-0005-0000-0000-00001B4D0000}"/>
    <cellStyle name="Total 6 2 8 2" xfId="19804" xr:uid="{00000000-0005-0000-0000-00001C4D0000}"/>
    <cellStyle name="Total 6 2 9" xfId="19805" xr:uid="{00000000-0005-0000-0000-00001D4D0000}"/>
    <cellStyle name="Total 6 3" xfId="19806" xr:uid="{00000000-0005-0000-0000-00001E4D0000}"/>
    <cellStyle name="Total 6 3 2" xfId="19807" xr:uid="{00000000-0005-0000-0000-00001F4D0000}"/>
    <cellStyle name="Total 6 3 2 2" xfId="19808" xr:uid="{00000000-0005-0000-0000-0000204D0000}"/>
    <cellStyle name="Total 6 3 3" xfId="19809" xr:uid="{00000000-0005-0000-0000-0000214D0000}"/>
    <cellStyle name="Total 6 3 3 2" xfId="19810" xr:uid="{00000000-0005-0000-0000-0000224D0000}"/>
    <cellStyle name="Total 6 3 4" xfId="19811" xr:uid="{00000000-0005-0000-0000-0000234D0000}"/>
    <cellStyle name="Total 6 3 5" xfId="19812" xr:uid="{00000000-0005-0000-0000-0000244D0000}"/>
    <cellStyle name="Total 6 4" xfId="19813" xr:uid="{00000000-0005-0000-0000-0000254D0000}"/>
    <cellStyle name="Total 6 4 2" xfId="19814" xr:uid="{00000000-0005-0000-0000-0000264D0000}"/>
    <cellStyle name="Total 6 4 2 2" xfId="19815" xr:uid="{00000000-0005-0000-0000-0000274D0000}"/>
    <cellStyle name="Total 6 4 3" xfId="19816" xr:uid="{00000000-0005-0000-0000-0000284D0000}"/>
    <cellStyle name="Total 6 4 3 2" xfId="19817" xr:uid="{00000000-0005-0000-0000-0000294D0000}"/>
    <cellStyle name="Total 6 4 4" xfId="19818" xr:uid="{00000000-0005-0000-0000-00002A4D0000}"/>
    <cellStyle name="Total 6 5" xfId="19819" xr:uid="{00000000-0005-0000-0000-00002B4D0000}"/>
    <cellStyle name="Total 6 5 2" xfId="19820" xr:uid="{00000000-0005-0000-0000-00002C4D0000}"/>
    <cellStyle name="Total 6 5 2 2" xfId="19821" xr:uid="{00000000-0005-0000-0000-00002D4D0000}"/>
    <cellStyle name="Total 6 5 3" xfId="19822" xr:uid="{00000000-0005-0000-0000-00002E4D0000}"/>
    <cellStyle name="Total 6 5 3 2" xfId="19823" xr:uid="{00000000-0005-0000-0000-00002F4D0000}"/>
    <cellStyle name="Total 6 5 4" xfId="19824" xr:uid="{00000000-0005-0000-0000-0000304D0000}"/>
    <cellStyle name="Total 6 6" xfId="19825" xr:uid="{00000000-0005-0000-0000-0000314D0000}"/>
    <cellStyle name="Total 6 6 2" xfId="19826" xr:uid="{00000000-0005-0000-0000-0000324D0000}"/>
    <cellStyle name="Total 6 6 2 2" xfId="19827" xr:uid="{00000000-0005-0000-0000-0000334D0000}"/>
    <cellStyle name="Total 6 6 3" xfId="19828" xr:uid="{00000000-0005-0000-0000-0000344D0000}"/>
    <cellStyle name="Total 6 6 3 2" xfId="19829" xr:uid="{00000000-0005-0000-0000-0000354D0000}"/>
    <cellStyle name="Total 6 6 4" xfId="19830" xr:uid="{00000000-0005-0000-0000-0000364D0000}"/>
    <cellStyle name="Total 6 6 4 2" xfId="19831" xr:uid="{00000000-0005-0000-0000-0000374D0000}"/>
    <cellStyle name="Total 6 6 5" xfId="19832" xr:uid="{00000000-0005-0000-0000-0000384D0000}"/>
    <cellStyle name="Total 6 7" xfId="19833" xr:uid="{00000000-0005-0000-0000-0000394D0000}"/>
    <cellStyle name="Total 6 7 2" xfId="19834" xr:uid="{00000000-0005-0000-0000-00003A4D0000}"/>
    <cellStyle name="Total 6 7 2 2" xfId="19835" xr:uid="{00000000-0005-0000-0000-00003B4D0000}"/>
    <cellStyle name="Total 6 7 3" xfId="19836" xr:uid="{00000000-0005-0000-0000-00003C4D0000}"/>
    <cellStyle name="Total 6 7 3 2" xfId="19837" xr:uid="{00000000-0005-0000-0000-00003D4D0000}"/>
    <cellStyle name="Total 6 7 4" xfId="19838" xr:uid="{00000000-0005-0000-0000-00003E4D0000}"/>
    <cellStyle name="Total 6 8" xfId="19839" xr:uid="{00000000-0005-0000-0000-00003F4D0000}"/>
    <cellStyle name="Total 6 8 2" xfId="19840" xr:uid="{00000000-0005-0000-0000-0000404D0000}"/>
    <cellStyle name="Total 6 9" xfId="19841" xr:uid="{00000000-0005-0000-0000-0000414D0000}"/>
    <cellStyle name="Total 6 9 2" xfId="19842" xr:uid="{00000000-0005-0000-0000-0000424D0000}"/>
    <cellStyle name="Total 7" xfId="3335" xr:uid="{00000000-0005-0000-0000-0000434D0000}"/>
    <cellStyle name="Total 7 10" xfId="19844" xr:uid="{00000000-0005-0000-0000-0000444D0000}"/>
    <cellStyle name="Total 7 11" xfId="19845" xr:uid="{00000000-0005-0000-0000-0000454D0000}"/>
    <cellStyle name="Total 7 12" xfId="19843" xr:uid="{00000000-0005-0000-0000-0000464D0000}"/>
    <cellStyle name="Total 7 2" xfId="19846" xr:uid="{00000000-0005-0000-0000-0000474D0000}"/>
    <cellStyle name="Total 7 2 2" xfId="19847" xr:uid="{00000000-0005-0000-0000-0000484D0000}"/>
    <cellStyle name="Total 7 2 2 2" xfId="19848" xr:uid="{00000000-0005-0000-0000-0000494D0000}"/>
    <cellStyle name="Total 7 2 3" xfId="19849" xr:uid="{00000000-0005-0000-0000-00004A4D0000}"/>
    <cellStyle name="Total 7 2 3 2" xfId="19850" xr:uid="{00000000-0005-0000-0000-00004B4D0000}"/>
    <cellStyle name="Total 7 2 4" xfId="19851" xr:uid="{00000000-0005-0000-0000-00004C4D0000}"/>
    <cellStyle name="Total 7 2 5" xfId="19852" xr:uid="{00000000-0005-0000-0000-00004D4D0000}"/>
    <cellStyle name="Total 7 3" xfId="19853" xr:uid="{00000000-0005-0000-0000-00004E4D0000}"/>
    <cellStyle name="Total 7 3 2" xfId="19854" xr:uid="{00000000-0005-0000-0000-00004F4D0000}"/>
    <cellStyle name="Total 7 3 2 2" xfId="19855" xr:uid="{00000000-0005-0000-0000-0000504D0000}"/>
    <cellStyle name="Total 7 3 3" xfId="19856" xr:uid="{00000000-0005-0000-0000-0000514D0000}"/>
    <cellStyle name="Total 7 3 3 2" xfId="19857" xr:uid="{00000000-0005-0000-0000-0000524D0000}"/>
    <cellStyle name="Total 7 3 4" xfId="19858" xr:uid="{00000000-0005-0000-0000-0000534D0000}"/>
    <cellStyle name="Total 7 4" xfId="19859" xr:uid="{00000000-0005-0000-0000-0000544D0000}"/>
    <cellStyle name="Total 7 4 2" xfId="19860" xr:uid="{00000000-0005-0000-0000-0000554D0000}"/>
    <cellStyle name="Total 7 4 2 2" xfId="19861" xr:uid="{00000000-0005-0000-0000-0000564D0000}"/>
    <cellStyle name="Total 7 4 3" xfId="19862" xr:uid="{00000000-0005-0000-0000-0000574D0000}"/>
    <cellStyle name="Total 7 4 3 2" xfId="19863" xr:uid="{00000000-0005-0000-0000-0000584D0000}"/>
    <cellStyle name="Total 7 4 4" xfId="19864" xr:uid="{00000000-0005-0000-0000-0000594D0000}"/>
    <cellStyle name="Total 7 5" xfId="19865" xr:uid="{00000000-0005-0000-0000-00005A4D0000}"/>
    <cellStyle name="Total 7 5 2" xfId="19866" xr:uid="{00000000-0005-0000-0000-00005B4D0000}"/>
    <cellStyle name="Total 7 5 2 2" xfId="19867" xr:uid="{00000000-0005-0000-0000-00005C4D0000}"/>
    <cellStyle name="Total 7 5 3" xfId="19868" xr:uid="{00000000-0005-0000-0000-00005D4D0000}"/>
    <cellStyle name="Total 7 5 3 2" xfId="19869" xr:uid="{00000000-0005-0000-0000-00005E4D0000}"/>
    <cellStyle name="Total 7 5 4" xfId="19870" xr:uid="{00000000-0005-0000-0000-00005F4D0000}"/>
    <cellStyle name="Total 7 5 4 2" xfId="19871" xr:uid="{00000000-0005-0000-0000-0000604D0000}"/>
    <cellStyle name="Total 7 5 5" xfId="19872" xr:uid="{00000000-0005-0000-0000-0000614D0000}"/>
    <cellStyle name="Total 7 6" xfId="19873" xr:uid="{00000000-0005-0000-0000-0000624D0000}"/>
    <cellStyle name="Total 7 6 2" xfId="19874" xr:uid="{00000000-0005-0000-0000-0000634D0000}"/>
    <cellStyle name="Total 7 6 2 2" xfId="19875" xr:uid="{00000000-0005-0000-0000-0000644D0000}"/>
    <cellStyle name="Total 7 6 3" xfId="19876" xr:uid="{00000000-0005-0000-0000-0000654D0000}"/>
    <cellStyle name="Total 7 6 3 2" xfId="19877" xr:uid="{00000000-0005-0000-0000-0000664D0000}"/>
    <cellStyle name="Total 7 6 4" xfId="19878" xr:uid="{00000000-0005-0000-0000-0000674D0000}"/>
    <cellStyle name="Total 7 7" xfId="19879" xr:uid="{00000000-0005-0000-0000-0000684D0000}"/>
    <cellStyle name="Total 7 7 2" xfId="19880" xr:uid="{00000000-0005-0000-0000-0000694D0000}"/>
    <cellStyle name="Total 7 8" xfId="19881" xr:uid="{00000000-0005-0000-0000-00006A4D0000}"/>
    <cellStyle name="Total 7 8 2" xfId="19882" xr:uid="{00000000-0005-0000-0000-00006B4D0000}"/>
    <cellStyle name="Total 7 9" xfId="19883" xr:uid="{00000000-0005-0000-0000-00006C4D0000}"/>
    <cellStyle name="Total 7 9 2" xfId="19884" xr:uid="{00000000-0005-0000-0000-00006D4D0000}"/>
    <cellStyle name="Total 8" xfId="3336" xr:uid="{00000000-0005-0000-0000-00006E4D0000}"/>
    <cellStyle name="Total 8 10" xfId="19886" xr:uid="{00000000-0005-0000-0000-00006F4D0000}"/>
    <cellStyle name="Total 8 11" xfId="19887" xr:uid="{00000000-0005-0000-0000-0000704D0000}"/>
    <cellStyle name="Total 8 12" xfId="19885" xr:uid="{00000000-0005-0000-0000-0000714D0000}"/>
    <cellStyle name="Total 8 2" xfId="19888" xr:uid="{00000000-0005-0000-0000-0000724D0000}"/>
    <cellStyle name="Total 8 2 2" xfId="19889" xr:uid="{00000000-0005-0000-0000-0000734D0000}"/>
    <cellStyle name="Total 8 2 2 2" xfId="19890" xr:uid="{00000000-0005-0000-0000-0000744D0000}"/>
    <cellStyle name="Total 8 2 3" xfId="19891" xr:uid="{00000000-0005-0000-0000-0000754D0000}"/>
    <cellStyle name="Total 8 2 3 2" xfId="19892" xr:uid="{00000000-0005-0000-0000-0000764D0000}"/>
    <cellStyle name="Total 8 2 4" xfId="19893" xr:uid="{00000000-0005-0000-0000-0000774D0000}"/>
    <cellStyle name="Total 8 2 5" xfId="19894" xr:uid="{00000000-0005-0000-0000-0000784D0000}"/>
    <cellStyle name="Total 8 3" xfId="19895" xr:uid="{00000000-0005-0000-0000-0000794D0000}"/>
    <cellStyle name="Total 8 3 2" xfId="19896" xr:uid="{00000000-0005-0000-0000-00007A4D0000}"/>
    <cellStyle name="Total 8 3 2 2" xfId="19897" xr:uid="{00000000-0005-0000-0000-00007B4D0000}"/>
    <cellStyle name="Total 8 3 3" xfId="19898" xr:uid="{00000000-0005-0000-0000-00007C4D0000}"/>
    <cellStyle name="Total 8 3 3 2" xfId="19899" xr:uid="{00000000-0005-0000-0000-00007D4D0000}"/>
    <cellStyle name="Total 8 3 4" xfId="19900" xr:uid="{00000000-0005-0000-0000-00007E4D0000}"/>
    <cellStyle name="Total 8 4" xfId="19901" xr:uid="{00000000-0005-0000-0000-00007F4D0000}"/>
    <cellStyle name="Total 8 4 2" xfId="19902" xr:uid="{00000000-0005-0000-0000-0000804D0000}"/>
    <cellStyle name="Total 8 4 2 2" xfId="19903" xr:uid="{00000000-0005-0000-0000-0000814D0000}"/>
    <cellStyle name="Total 8 4 3" xfId="19904" xr:uid="{00000000-0005-0000-0000-0000824D0000}"/>
    <cellStyle name="Total 8 4 3 2" xfId="19905" xr:uid="{00000000-0005-0000-0000-0000834D0000}"/>
    <cellStyle name="Total 8 4 4" xfId="19906" xr:uid="{00000000-0005-0000-0000-0000844D0000}"/>
    <cellStyle name="Total 8 5" xfId="19907" xr:uid="{00000000-0005-0000-0000-0000854D0000}"/>
    <cellStyle name="Total 8 5 2" xfId="19908" xr:uid="{00000000-0005-0000-0000-0000864D0000}"/>
    <cellStyle name="Total 8 5 2 2" xfId="19909" xr:uid="{00000000-0005-0000-0000-0000874D0000}"/>
    <cellStyle name="Total 8 5 3" xfId="19910" xr:uid="{00000000-0005-0000-0000-0000884D0000}"/>
    <cellStyle name="Total 8 5 3 2" xfId="19911" xr:uid="{00000000-0005-0000-0000-0000894D0000}"/>
    <cellStyle name="Total 8 5 4" xfId="19912" xr:uid="{00000000-0005-0000-0000-00008A4D0000}"/>
    <cellStyle name="Total 8 5 4 2" xfId="19913" xr:uid="{00000000-0005-0000-0000-00008B4D0000}"/>
    <cellStyle name="Total 8 5 5" xfId="19914" xr:uid="{00000000-0005-0000-0000-00008C4D0000}"/>
    <cellStyle name="Total 8 6" xfId="19915" xr:uid="{00000000-0005-0000-0000-00008D4D0000}"/>
    <cellStyle name="Total 8 6 2" xfId="19916" xr:uid="{00000000-0005-0000-0000-00008E4D0000}"/>
    <cellStyle name="Total 8 6 2 2" xfId="19917" xr:uid="{00000000-0005-0000-0000-00008F4D0000}"/>
    <cellStyle name="Total 8 6 3" xfId="19918" xr:uid="{00000000-0005-0000-0000-0000904D0000}"/>
    <cellStyle name="Total 8 6 3 2" xfId="19919" xr:uid="{00000000-0005-0000-0000-0000914D0000}"/>
    <cellStyle name="Total 8 6 4" xfId="19920" xr:uid="{00000000-0005-0000-0000-0000924D0000}"/>
    <cellStyle name="Total 8 7" xfId="19921" xr:uid="{00000000-0005-0000-0000-0000934D0000}"/>
    <cellStyle name="Total 8 7 2" xfId="19922" xr:uid="{00000000-0005-0000-0000-0000944D0000}"/>
    <cellStyle name="Total 8 8" xfId="19923" xr:uid="{00000000-0005-0000-0000-0000954D0000}"/>
    <cellStyle name="Total 8 8 2" xfId="19924" xr:uid="{00000000-0005-0000-0000-0000964D0000}"/>
    <cellStyle name="Total 8 9" xfId="19925" xr:uid="{00000000-0005-0000-0000-0000974D0000}"/>
    <cellStyle name="Total 8 9 2" xfId="19926" xr:uid="{00000000-0005-0000-0000-0000984D0000}"/>
    <cellStyle name="Total 9" xfId="3337" xr:uid="{00000000-0005-0000-0000-0000994D0000}"/>
    <cellStyle name="Total 9 10" xfId="19928" xr:uid="{00000000-0005-0000-0000-00009A4D0000}"/>
    <cellStyle name="Total 9 11" xfId="19929" xr:uid="{00000000-0005-0000-0000-00009B4D0000}"/>
    <cellStyle name="Total 9 12" xfId="19927" xr:uid="{00000000-0005-0000-0000-00009C4D0000}"/>
    <cellStyle name="Total 9 2" xfId="19930" xr:uid="{00000000-0005-0000-0000-00009D4D0000}"/>
    <cellStyle name="Total 9 2 2" xfId="19931" xr:uid="{00000000-0005-0000-0000-00009E4D0000}"/>
    <cellStyle name="Total 9 2 2 2" xfId="19932" xr:uid="{00000000-0005-0000-0000-00009F4D0000}"/>
    <cellStyle name="Total 9 2 3" xfId="19933" xr:uid="{00000000-0005-0000-0000-0000A04D0000}"/>
    <cellStyle name="Total 9 2 3 2" xfId="19934" xr:uid="{00000000-0005-0000-0000-0000A14D0000}"/>
    <cellStyle name="Total 9 2 4" xfId="19935" xr:uid="{00000000-0005-0000-0000-0000A24D0000}"/>
    <cellStyle name="Total 9 2 5" xfId="19936" xr:uid="{00000000-0005-0000-0000-0000A34D0000}"/>
    <cellStyle name="Total 9 3" xfId="19937" xr:uid="{00000000-0005-0000-0000-0000A44D0000}"/>
    <cellStyle name="Total 9 3 2" xfId="19938" xr:uid="{00000000-0005-0000-0000-0000A54D0000}"/>
    <cellStyle name="Total 9 3 2 2" xfId="19939" xr:uid="{00000000-0005-0000-0000-0000A64D0000}"/>
    <cellStyle name="Total 9 3 3" xfId="19940" xr:uid="{00000000-0005-0000-0000-0000A74D0000}"/>
    <cellStyle name="Total 9 3 3 2" xfId="19941" xr:uid="{00000000-0005-0000-0000-0000A84D0000}"/>
    <cellStyle name="Total 9 3 4" xfId="19942" xr:uid="{00000000-0005-0000-0000-0000A94D0000}"/>
    <cellStyle name="Total 9 4" xfId="19943" xr:uid="{00000000-0005-0000-0000-0000AA4D0000}"/>
    <cellStyle name="Total 9 4 2" xfId="19944" xr:uid="{00000000-0005-0000-0000-0000AB4D0000}"/>
    <cellStyle name="Total 9 4 2 2" xfId="19945" xr:uid="{00000000-0005-0000-0000-0000AC4D0000}"/>
    <cellStyle name="Total 9 4 3" xfId="19946" xr:uid="{00000000-0005-0000-0000-0000AD4D0000}"/>
    <cellStyle name="Total 9 4 3 2" xfId="19947" xr:uid="{00000000-0005-0000-0000-0000AE4D0000}"/>
    <cellStyle name="Total 9 4 4" xfId="19948" xr:uid="{00000000-0005-0000-0000-0000AF4D0000}"/>
    <cellStyle name="Total 9 5" xfId="19949" xr:uid="{00000000-0005-0000-0000-0000B04D0000}"/>
    <cellStyle name="Total 9 5 2" xfId="19950" xr:uid="{00000000-0005-0000-0000-0000B14D0000}"/>
    <cellStyle name="Total 9 5 2 2" xfId="19951" xr:uid="{00000000-0005-0000-0000-0000B24D0000}"/>
    <cellStyle name="Total 9 5 3" xfId="19952" xr:uid="{00000000-0005-0000-0000-0000B34D0000}"/>
    <cellStyle name="Total 9 5 3 2" xfId="19953" xr:uid="{00000000-0005-0000-0000-0000B44D0000}"/>
    <cellStyle name="Total 9 5 4" xfId="19954" xr:uid="{00000000-0005-0000-0000-0000B54D0000}"/>
    <cellStyle name="Total 9 5 4 2" xfId="19955" xr:uid="{00000000-0005-0000-0000-0000B64D0000}"/>
    <cellStyle name="Total 9 5 5" xfId="19956" xr:uid="{00000000-0005-0000-0000-0000B74D0000}"/>
    <cellStyle name="Total 9 6" xfId="19957" xr:uid="{00000000-0005-0000-0000-0000B84D0000}"/>
    <cellStyle name="Total 9 6 2" xfId="19958" xr:uid="{00000000-0005-0000-0000-0000B94D0000}"/>
    <cellStyle name="Total 9 6 2 2" xfId="19959" xr:uid="{00000000-0005-0000-0000-0000BA4D0000}"/>
    <cellStyle name="Total 9 6 3" xfId="19960" xr:uid="{00000000-0005-0000-0000-0000BB4D0000}"/>
    <cellStyle name="Total 9 6 3 2" xfId="19961" xr:uid="{00000000-0005-0000-0000-0000BC4D0000}"/>
    <cellStyle name="Total 9 6 4" xfId="19962" xr:uid="{00000000-0005-0000-0000-0000BD4D0000}"/>
    <cellStyle name="Total 9 7" xfId="19963" xr:uid="{00000000-0005-0000-0000-0000BE4D0000}"/>
    <cellStyle name="Total 9 7 2" xfId="19964" xr:uid="{00000000-0005-0000-0000-0000BF4D0000}"/>
    <cellStyle name="Total 9 8" xfId="19965" xr:uid="{00000000-0005-0000-0000-0000C04D0000}"/>
    <cellStyle name="Total 9 8 2" xfId="19966" xr:uid="{00000000-0005-0000-0000-0000C14D0000}"/>
    <cellStyle name="Total 9 9" xfId="19967" xr:uid="{00000000-0005-0000-0000-0000C24D0000}"/>
    <cellStyle name="Total 9 9 2" xfId="19968" xr:uid="{00000000-0005-0000-0000-0000C34D0000}"/>
    <cellStyle name="Valuutta_Layo9704" xfId="310" xr:uid="{00000000-0005-0000-0000-0000C44D0000}"/>
    <cellStyle name="Verknüpfte Zelle" xfId="3343" xr:uid="{00000000-0005-0000-0000-0000C54D0000}"/>
    <cellStyle name="Verknüpfte Zelle 10" xfId="20180" xr:uid="{00000000-0005-0000-0000-0000C64D0000}"/>
    <cellStyle name="Verknüpfte Zelle 11" xfId="20181" xr:uid="{00000000-0005-0000-0000-0000C74D0000}"/>
    <cellStyle name="Verknüpfte Zelle 12" xfId="20179" xr:uid="{00000000-0005-0000-0000-0000C84D0000}"/>
    <cellStyle name="Verknüpfte Zelle 2" xfId="20182" xr:uid="{00000000-0005-0000-0000-0000C94D0000}"/>
    <cellStyle name="Verknüpfte Zelle 2 2" xfId="20183" xr:uid="{00000000-0005-0000-0000-0000CA4D0000}"/>
    <cellStyle name="Verknüpfte Zelle 2 2 2" xfId="20184" xr:uid="{00000000-0005-0000-0000-0000CB4D0000}"/>
    <cellStyle name="Verknüpfte Zelle 2 3" xfId="20185" xr:uid="{00000000-0005-0000-0000-0000CC4D0000}"/>
    <cellStyle name="Verknüpfte Zelle 2 3 2" xfId="20186" xr:uid="{00000000-0005-0000-0000-0000CD4D0000}"/>
    <cellStyle name="Verknüpfte Zelle 2 4" xfId="20187" xr:uid="{00000000-0005-0000-0000-0000CE4D0000}"/>
    <cellStyle name="Verknüpfte Zelle 2 5" xfId="20188" xr:uid="{00000000-0005-0000-0000-0000CF4D0000}"/>
    <cellStyle name="Verknüpfte Zelle 3" xfId="20189" xr:uid="{00000000-0005-0000-0000-0000D04D0000}"/>
    <cellStyle name="Verknüpfte Zelle 3 2" xfId="20190" xr:uid="{00000000-0005-0000-0000-0000D14D0000}"/>
    <cellStyle name="Verknüpfte Zelle 3 2 2" xfId="20191" xr:uid="{00000000-0005-0000-0000-0000D24D0000}"/>
    <cellStyle name="Verknüpfte Zelle 3 3" xfId="20192" xr:uid="{00000000-0005-0000-0000-0000D34D0000}"/>
    <cellStyle name="Verknüpfte Zelle 3 3 2" xfId="20193" xr:uid="{00000000-0005-0000-0000-0000D44D0000}"/>
    <cellStyle name="Verknüpfte Zelle 3 4" xfId="20194" xr:uid="{00000000-0005-0000-0000-0000D54D0000}"/>
    <cellStyle name="Verknüpfte Zelle 4" xfId="20195" xr:uid="{00000000-0005-0000-0000-0000D64D0000}"/>
    <cellStyle name="Verknüpfte Zelle 4 2" xfId="20196" xr:uid="{00000000-0005-0000-0000-0000D74D0000}"/>
    <cellStyle name="Verknüpfte Zelle 4 2 2" xfId="20197" xr:uid="{00000000-0005-0000-0000-0000D84D0000}"/>
    <cellStyle name="Verknüpfte Zelle 4 3" xfId="20198" xr:uid="{00000000-0005-0000-0000-0000D94D0000}"/>
    <cellStyle name="Verknüpfte Zelle 4 3 2" xfId="20199" xr:uid="{00000000-0005-0000-0000-0000DA4D0000}"/>
    <cellStyle name="Verknüpfte Zelle 4 4" xfId="20200" xr:uid="{00000000-0005-0000-0000-0000DB4D0000}"/>
    <cellStyle name="Verknüpfte Zelle 5" xfId="20201" xr:uid="{00000000-0005-0000-0000-0000DC4D0000}"/>
    <cellStyle name="Verknüpfte Zelle 5 2" xfId="20202" xr:uid="{00000000-0005-0000-0000-0000DD4D0000}"/>
    <cellStyle name="Verknüpfte Zelle 5 2 2" xfId="20203" xr:uid="{00000000-0005-0000-0000-0000DE4D0000}"/>
    <cellStyle name="Verknüpfte Zelle 5 3" xfId="20204" xr:uid="{00000000-0005-0000-0000-0000DF4D0000}"/>
    <cellStyle name="Verknüpfte Zelle 5 3 2" xfId="20205" xr:uid="{00000000-0005-0000-0000-0000E04D0000}"/>
    <cellStyle name="Verknüpfte Zelle 5 4" xfId="20206" xr:uid="{00000000-0005-0000-0000-0000E14D0000}"/>
    <cellStyle name="Verknüpfte Zelle 5 4 2" xfId="20207" xr:uid="{00000000-0005-0000-0000-0000E24D0000}"/>
    <cellStyle name="Verknüpfte Zelle 5 5" xfId="20208" xr:uid="{00000000-0005-0000-0000-0000E34D0000}"/>
    <cellStyle name="Verknüpfte Zelle 6" xfId="20209" xr:uid="{00000000-0005-0000-0000-0000E44D0000}"/>
    <cellStyle name="Verknüpfte Zelle 6 2" xfId="20210" xr:uid="{00000000-0005-0000-0000-0000E54D0000}"/>
    <cellStyle name="Verknüpfte Zelle 6 2 2" xfId="20211" xr:uid="{00000000-0005-0000-0000-0000E64D0000}"/>
    <cellStyle name="Verknüpfte Zelle 6 3" xfId="20212" xr:uid="{00000000-0005-0000-0000-0000E74D0000}"/>
    <cellStyle name="Verknüpfte Zelle 6 3 2" xfId="20213" xr:uid="{00000000-0005-0000-0000-0000E84D0000}"/>
    <cellStyle name="Verknüpfte Zelle 6 4" xfId="20214" xr:uid="{00000000-0005-0000-0000-0000E94D0000}"/>
    <cellStyle name="Verknüpfte Zelle 7" xfId="20215" xr:uid="{00000000-0005-0000-0000-0000EA4D0000}"/>
    <cellStyle name="Verknüpfte Zelle 7 2" xfId="20216" xr:uid="{00000000-0005-0000-0000-0000EB4D0000}"/>
    <cellStyle name="Verknüpfte Zelle 8" xfId="20217" xr:uid="{00000000-0005-0000-0000-0000EC4D0000}"/>
    <cellStyle name="Verknüpfte Zelle 8 2" xfId="20218" xr:uid="{00000000-0005-0000-0000-0000ED4D0000}"/>
    <cellStyle name="Verknüpfte Zelle 9" xfId="20219" xr:uid="{00000000-0005-0000-0000-0000EE4D0000}"/>
    <cellStyle name="Verknüpfte Zelle 9 2" xfId="20220" xr:uid="{00000000-0005-0000-0000-0000EF4D0000}"/>
    <cellStyle name="Warnender Text" xfId="3344" xr:uid="{00000000-0005-0000-0000-0000F04D0000}"/>
    <cellStyle name="Warnender Text 10" xfId="20222" xr:uid="{00000000-0005-0000-0000-0000F14D0000}"/>
    <cellStyle name="Warnender Text 11" xfId="20223" xr:uid="{00000000-0005-0000-0000-0000F24D0000}"/>
    <cellStyle name="Warnender Text 12" xfId="20221" xr:uid="{00000000-0005-0000-0000-0000F34D0000}"/>
    <cellStyle name="Warnender Text 2" xfId="20224" xr:uid="{00000000-0005-0000-0000-0000F44D0000}"/>
    <cellStyle name="Warnender Text 2 2" xfId="20225" xr:uid="{00000000-0005-0000-0000-0000F54D0000}"/>
    <cellStyle name="Warnender Text 2 2 2" xfId="20226" xr:uid="{00000000-0005-0000-0000-0000F64D0000}"/>
    <cellStyle name="Warnender Text 2 3" xfId="20227" xr:uid="{00000000-0005-0000-0000-0000F74D0000}"/>
    <cellStyle name="Warnender Text 2 3 2" xfId="20228" xr:uid="{00000000-0005-0000-0000-0000F84D0000}"/>
    <cellStyle name="Warnender Text 2 4" xfId="20229" xr:uid="{00000000-0005-0000-0000-0000F94D0000}"/>
    <cellStyle name="Warnender Text 2 5" xfId="20230" xr:uid="{00000000-0005-0000-0000-0000FA4D0000}"/>
    <cellStyle name="Warnender Text 3" xfId="20231" xr:uid="{00000000-0005-0000-0000-0000FB4D0000}"/>
    <cellStyle name="Warnender Text 3 2" xfId="20232" xr:uid="{00000000-0005-0000-0000-0000FC4D0000}"/>
    <cellStyle name="Warnender Text 3 2 2" xfId="20233" xr:uid="{00000000-0005-0000-0000-0000FD4D0000}"/>
    <cellStyle name="Warnender Text 3 3" xfId="20234" xr:uid="{00000000-0005-0000-0000-0000FE4D0000}"/>
    <cellStyle name="Warnender Text 3 3 2" xfId="20235" xr:uid="{00000000-0005-0000-0000-0000FF4D0000}"/>
    <cellStyle name="Warnender Text 3 4" xfId="20236" xr:uid="{00000000-0005-0000-0000-0000004E0000}"/>
    <cellStyle name="Warnender Text 4" xfId="20237" xr:uid="{00000000-0005-0000-0000-0000014E0000}"/>
    <cellStyle name="Warnender Text 4 2" xfId="20238" xr:uid="{00000000-0005-0000-0000-0000024E0000}"/>
    <cellStyle name="Warnender Text 4 2 2" xfId="20239" xr:uid="{00000000-0005-0000-0000-0000034E0000}"/>
    <cellStyle name="Warnender Text 4 3" xfId="20240" xr:uid="{00000000-0005-0000-0000-0000044E0000}"/>
    <cellStyle name="Warnender Text 4 3 2" xfId="20241" xr:uid="{00000000-0005-0000-0000-0000054E0000}"/>
    <cellStyle name="Warnender Text 4 4" xfId="20242" xr:uid="{00000000-0005-0000-0000-0000064E0000}"/>
    <cellStyle name="Warnender Text 5" xfId="20243" xr:uid="{00000000-0005-0000-0000-0000074E0000}"/>
    <cellStyle name="Warnender Text 5 2" xfId="20244" xr:uid="{00000000-0005-0000-0000-0000084E0000}"/>
    <cellStyle name="Warnender Text 5 2 2" xfId="20245" xr:uid="{00000000-0005-0000-0000-0000094E0000}"/>
    <cellStyle name="Warnender Text 5 3" xfId="20246" xr:uid="{00000000-0005-0000-0000-00000A4E0000}"/>
    <cellStyle name="Warnender Text 5 3 2" xfId="20247" xr:uid="{00000000-0005-0000-0000-00000B4E0000}"/>
    <cellStyle name="Warnender Text 5 4" xfId="20248" xr:uid="{00000000-0005-0000-0000-00000C4E0000}"/>
    <cellStyle name="Warnender Text 5 4 2" xfId="20249" xr:uid="{00000000-0005-0000-0000-00000D4E0000}"/>
    <cellStyle name="Warnender Text 5 5" xfId="20250" xr:uid="{00000000-0005-0000-0000-00000E4E0000}"/>
    <cellStyle name="Warnender Text 6" xfId="20251" xr:uid="{00000000-0005-0000-0000-00000F4E0000}"/>
    <cellStyle name="Warnender Text 6 2" xfId="20252" xr:uid="{00000000-0005-0000-0000-0000104E0000}"/>
    <cellStyle name="Warnender Text 6 2 2" xfId="20253" xr:uid="{00000000-0005-0000-0000-0000114E0000}"/>
    <cellStyle name="Warnender Text 6 3" xfId="20254" xr:uid="{00000000-0005-0000-0000-0000124E0000}"/>
    <cellStyle name="Warnender Text 6 3 2" xfId="20255" xr:uid="{00000000-0005-0000-0000-0000134E0000}"/>
    <cellStyle name="Warnender Text 6 4" xfId="20256" xr:uid="{00000000-0005-0000-0000-0000144E0000}"/>
    <cellStyle name="Warnender Text 7" xfId="20257" xr:uid="{00000000-0005-0000-0000-0000154E0000}"/>
    <cellStyle name="Warnender Text 7 2" xfId="20258" xr:uid="{00000000-0005-0000-0000-0000164E0000}"/>
    <cellStyle name="Warnender Text 8" xfId="20259" xr:uid="{00000000-0005-0000-0000-0000174E0000}"/>
    <cellStyle name="Warnender Text 8 2" xfId="20260" xr:uid="{00000000-0005-0000-0000-0000184E0000}"/>
    <cellStyle name="Warnender Text 9" xfId="20261" xr:uid="{00000000-0005-0000-0000-0000194E0000}"/>
    <cellStyle name="Warnender Text 9 2" xfId="20262" xr:uid="{00000000-0005-0000-0000-00001A4E0000}"/>
    <cellStyle name="Warning Text" xfId="14" builtinId="11" customBuiltin="1"/>
    <cellStyle name="Warning Text 10" xfId="3345" xr:uid="{00000000-0005-0000-0000-00001C4E0000}"/>
    <cellStyle name="Warning Text 10 10" xfId="20264" xr:uid="{00000000-0005-0000-0000-00001D4E0000}"/>
    <cellStyle name="Warning Text 10 11" xfId="20265" xr:uid="{00000000-0005-0000-0000-00001E4E0000}"/>
    <cellStyle name="Warning Text 10 12" xfId="20263" xr:uid="{00000000-0005-0000-0000-00001F4E0000}"/>
    <cellStyle name="Warning Text 10 2" xfId="20266" xr:uid="{00000000-0005-0000-0000-0000204E0000}"/>
    <cellStyle name="Warning Text 10 2 2" xfId="20267" xr:uid="{00000000-0005-0000-0000-0000214E0000}"/>
    <cellStyle name="Warning Text 10 2 2 2" xfId="20268" xr:uid="{00000000-0005-0000-0000-0000224E0000}"/>
    <cellStyle name="Warning Text 10 2 3" xfId="20269" xr:uid="{00000000-0005-0000-0000-0000234E0000}"/>
    <cellStyle name="Warning Text 10 2 3 2" xfId="20270" xr:uid="{00000000-0005-0000-0000-0000244E0000}"/>
    <cellStyle name="Warning Text 10 2 4" xfId="20271" xr:uid="{00000000-0005-0000-0000-0000254E0000}"/>
    <cellStyle name="Warning Text 10 2 5" xfId="20272" xr:uid="{00000000-0005-0000-0000-0000264E0000}"/>
    <cellStyle name="Warning Text 10 3" xfId="20273" xr:uid="{00000000-0005-0000-0000-0000274E0000}"/>
    <cellStyle name="Warning Text 10 3 2" xfId="20274" xr:uid="{00000000-0005-0000-0000-0000284E0000}"/>
    <cellStyle name="Warning Text 10 3 2 2" xfId="20275" xr:uid="{00000000-0005-0000-0000-0000294E0000}"/>
    <cellStyle name="Warning Text 10 3 3" xfId="20276" xr:uid="{00000000-0005-0000-0000-00002A4E0000}"/>
    <cellStyle name="Warning Text 10 3 3 2" xfId="20277" xr:uid="{00000000-0005-0000-0000-00002B4E0000}"/>
    <cellStyle name="Warning Text 10 3 4" xfId="20278" xr:uid="{00000000-0005-0000-0000-00002C4E0000}"/>
    <cellStyle name="Warning Text 10 4" xfId="20279" xr:uid="{00000000-0005-0000-0000-00002D4E0000}"/>
    <cellStyle name="Warning Text 10 4 2" xfId="20280" xr:uid="{00000000-0005-0000-0000-00002E4E0000}"/>
    <cellStyle name="Warning Text 10 4 2 2" xfId="20281" xr:uid="{00000000-0005-0000-0000-00002F4E0000}"/>
    <cellStyle name="Warning Text 10 4 3" xfId="20282" xr:uid="{00000000-0005-0000-0000-0000304E0000}"/>
    <cellStyle name="Warning Text 10 4 3 2" xfId="20283" xr:uid="{00000000-0005-0000-0000-0000314E0000}"/>
    <cellStyle name="Warning Text 10 4 4" xfId="20284" xr:uid="{00000000-0005-0000-0000-0000324E0000}"/>
    <cellStyle name="Warning Text 10 5" xfId="20285" xr:uid="{00000000-0005-0000-0000-0000334E0000}"/>
    <cellStyle name="Warning Text 10 5 2" xfId="20286" xr:uid="{00000000-0005-0000-0000-0000344E0000}"/>
    <cellStyle name="Warning Text 10 5 2 2" xfId="20287" xr:uid="{00000000-0005-0000-0000-0000354E0000}"/>
    <cellStyle name="Warning Text 10 5 3" xfId="20288" xr:uid="{00000000-0005-0000-0000-0000364E0000}"/>
    <cellStyle name="Warning Text 10 5 3 2" xfId="20289" xr:uid="{00000000-0005-0000-0000-0000374E0000}"/>
    <cellStyle name="Warning Text 10 5 4" xfId="20290" xr:uid="{00000000-0005-0000-0000-0000384E0000}"/>
    <cellStyle name="Warning Text 10 5 4 2" xfId="20291" xr:uid="{00000000-0005-0000-0000-0000394E0000}"/>
    <cellStyle name="Warning Text 10 5 5" xfId="20292" xr:uid="{00000000-0005-0000-0000-00003A4E0000}"/>
    <cellStyle name="Warning Text 10 6" xfId="20293" xr:uid="{00000000-0005-0000-0000-00003B4E0000}"/>
    <cellStyle name="Warning Text 10 6 2" xfId="20294" xr:uid="{00000000-0005-0000-0000-00003C4E0000}"/>
    <cellStyle name="Warning Text 10 6 2 2" xfId="20295" xr:uid="{00000000-0005-0000-0000-00003D4E0000}"/>
    <cellStyle name="Warning Text 10 6 3" xfId="20296" xr:uid="{00000000-0005-0000-0000-00003E4E0000}"/>
    <cellStyle name="Warning Text 10 6 3 2" xfId="20297" xr:uid="{00000000-0005-0000-0000-00003F4E0000}"/>
    <cellStyle name="Warning Text 10 6 4" xfId="20298" xr:uid="{00000000-0005-0000-0000-0000404E0000}"/>
    <cellStyle name="Warning Text 10 7" xfId="20299" xr:uid="{00000000-0005-0000-0000-0000414E0000}"/>
    <cellStyle name="Warning Text 10 7 2" xfId="20300" xr:uid="{00000000-0005-0000-0000-0000424E0000}"/>
    <cellStyle name="Warning Text 10 8" xfId="20301" xr:uid="{00000000-0005-0000-0000-0000434E0000}"/>
    <cellStyle name="Warning Text 10 8 2" xfId="20302" xr:uid="{00000000-0005-0000-0000-0000444E0000}"/>
    <cellStyle name="Warning Text 10 9" xfId="20303" xr:uid="{00000000-0005-0000-0000-0000454E0000}"/>
    <cellStyle name="Warning Text 10 9 2" xfId="20304" xr:uid="{00000000-0005-0000-0000-0000464E0000}"/>
    <cellStyle name="Warning Text 11" xfId="3346" xr:uid="{00000000-0005-0000-0000-0000474E0000}"/>
    <cellStyle name="Warning Text 11 10" xfId="20306" xr:uid="{00000000-0005-0000-0000-0000484E0000}"/>
    <cellStyle name="Warning Text 11 11" xfId="20307" xr:uid="{00000000-0005-0000-0000-0000494E0000}"/>
    <cellStyle name="Warning Text 11 12" xfId="20305" xr:uid="{00000000-0005-0000-0000-00004A4E0000}"/>
    <cellStyle name="Warning Text 11 2" xfId="20308" xr:uid="{00000000-0005-0000-0000-00004B4E0000}"/>
    <cellStyle name="Warning Text 11 2 2" xfId="20309" xr:uid="{00000000-0005-0000-0000-00004C4E0000}"/>
    <cellStyle name="Warning Text 11 2 2 2" xfId="20310" xr:uid="{00000000-0005-0000-0000-00004D4E0000}"/>
    <cellStyle name="Warning Text 11 2 3" xfId="20311" xr:uid="{00000000-0005-0000-0000-00004E4E0000}"/>
    <cellStyle name="Warning Text 11 2 3 2" xfId="20312" xr:uid="{00000000-0005-0000-0000-00004F4E0000}"/>
    <cellStyle name="Warning Text 11 2 4" xfId="20313" xr:uid="{00000000-0005-0000-0000-0000504E0000}"/>
    <cellStyle name="Warning Text 11 2 5" xfId="20314" xr:uid="{00000000-0005-0000-0000-0000514E0000}"/>
    <cellStyle name="Warning Text 11 3" xfId="20315" xr:uid="{00000000-0005-0000-0000-0000524E0000}"/>
    <cellStyle name="Warning Text 11 3 2" xfId="20316" xr:uid="{00000000-0005-0000-0000-0000534E0000}"/>
    <cellStyle name="Warning Text 11 3 2 2" xfId="20317" xr:uid="{00000000-0005-0000-0000-0000544E0000}"/>
    <cellStyle name="Warning Text 11 3 3" xfId="20318" xr:uid="{00000000-0005-0000-0000-0000554E0000}"/>
    <cellStyle name="Warning Text 11 3 3 2" xfId="20319" xr:uid="{00000000-0005-0000-0000-0000564E0000}"/>
    <cellStyle name="Warning Text 11 3 4" xfId="20320" xr:uid="{00000000-0005-0000-0000-0000574E0000}"/>
    <cellStyle name="Warning Text 11 4" xfId="20321" xr:uid="{00000000-0005-0000-0000-0000584E0000}"/>
    <cellStyle name="Warning Text 11 4 2" xfId="20322" xr:uid="{00000000-0005-0000-0000-0000594E0000}"/>
    <cellStyle name="Warning Text 11 4 2 2" xfId="20323" xr:uid="{00000000-0005-0000-0000-00005A4E0000}"/>
    <cellStyle name="Warning Text 11 4 3" xfId="20324" xr:uid="{00000000-0005-0000-0000-00005B4E0000}"/>
    <cellStyle name="Warning Text 11 4 3 2" xfId="20325" xr:uid="{00000000-0005-0000-0000-00005C4E0000}"/>
    <cellStyle name="Warning Text 11 4 4" xfId="20326" xr:uid="{00000000-0005-0000-0000-00005D4E0000}"/>
    <cellStyle name="Warning Text 11 5" xfId="20327" xr:uid="{00000000-0005-0000-0000-00005E4E0000}"/>
    <cellStyle name="Warning Text 11 5 2" xfId="20328" xr:uid="{00000000-0005-0000-0000-00005F4E0000}"/>
    <cellStyle name="Warning Text 11 5 2 2" xfId="20329" xr:uid="{00000000-0005-0000-0000-0000604E0000}"/>
    <cellStyle name="Warning Text 11 5 3" xfId="20330" xr:uid="{00000000-0005-0000-0000-0000614E0000}"/>
    <cellStyle name="Warning Text 11 5 3 2" xfId="20331" xr:uid="{00000000-0005-0000-0000-0000624E0000}"/>
    <cellStyle name="Warning Text 11 5 4" xfId="20332" xr:uid="{00000000-0005-0000-0000-0000634E0000}"/>
    <cellStyle name="Warning Text 11 5 4 2" xfId="20333" xr:uid="{00000000-0005-0000-0000-0000644E0000}"/>
    <cellStyle name="Warning Text 11 5 5" xfId="20334" xr:uid="{00000000-0005-0000-0000-0000654E0000}"/>
    <cellStyle name="Warning Text 11 6" xfId="20335" xr:uid="{00000000-0005-0000-0000-0000664E0000}"/>
    <cellStyle name="Warning Text 11 6 2" xfId="20336" xr:uid="{00000000-0005-0000-0000-0000674E0000}"/>
    <cellStyle name="Warning Text 11 6 2 2" xfId="20337" xr:uid="{00000000-0005-0000-0000-0000684E0000}"/>
    <cellStyle name="Warning Text 11 6 3" xfId="20338" xr:uid="{00000000-0005-0000-0000-0000694E0000}"/>
    <cellStyle name="Warning Text 11 6 3 2" xfId="20339" xr:uid="{00000000-0005-0000-0000-00006A4E0000}"/>
    <cellStyle name="Warning Text 11 6 4" xfId="20340" xr:uid="{00000000-0005-0000-0000-00006B4E0000}"/>
    <cellStyle name="Warning Text 11 7" xfId="20341" xr:uid="{00000000-0005-0000-0000-00006C4E0000}"/>
    <cellStyle name="Warning Text 11 7 2" xfId="20342" xr:uid="{00000000-0005-0000-0000-00006D4E0000}"/>
    <cellStyle name="Warning Text 11 8" xfId="20343" xr:uid="{00000000-0005-0000-0000-00006E4E0000}"/>
    <cellStyle name="Warning Text 11 8 2" xfId="20344" xr:uid="{00000000-0005-0000-0000-00006F4E0000}"/>
    <cellStyle name="Warning Text 11 9" xfId="20345" xr:uid="{00000000-0005-0000-0000-0000704E0000}"/>
    <cellStyle name="Warning Text 11 9 2" xfId="20346" xr:uid="{00000000-0005-0000-0000-0000714E0000}"/>
    <cellStyle name="Warning Text 12" xfId="3347" xr:uid="{00000000-0005-0000-0000-0000724E0000}"/>
    <cellStyle name="Warning Text 12 10" xfId="20348" xr:uid="{00000000-0005-0000-0000-0000734E0000}"/>
    <cellStyle name="Warning Text 12 11" xfId="20349" xr:uid="{00000000-0005-0000-0000-0000744E0000}"/>
    <cellStyle name="Warning Text 12 12" xfId="20347" xr:uid="{00000000-0005-0000-0000-0000754E0000}"/>
    <cellStyle name="Warning Text 12 2" xfId="20350" xr:uid="{00000000-0005-0000-0000-0000764E0000}"/>
    <cellStyle name="Warning Text 12 2 2" xfId="20351" xr:uid="{00000000-0005-0000-0000-0000774E0000}"/>
    <cellStyle name="Warning Text 12 2 2 2" xfId="20352" xr:uid="{00000000-0005-0000-0000-0000784E0000}"/>
    <cellStyle name="Warning Text 12 2 3" xfId="20353" xr:uid="{00000000-0005-0000-0000-0000794E0000}"/>
    <cellStyle name="Warning Text 12 2 3 2" xfId="20354" xr:uid="{00000000-0005-0000-0000-00007A4E0000}"/>
    <cellStyle name="Warning Text 12 2 4" xfId="20355" xr:uid="{00000000-0005-0000-0000-00007B4E0000}"/>
    <cellStyle name="Warning Text 12 2 5" xfId="20356" xr:uid="{00000000-0005-0000-0000-00007C4E0000}"/>
    <cellStyle name="Warning Text 12 3" xfId="20357" xr:uid="{00000000-0005-0000-0000-00007D4E0000}"/>
    <cellStyle name="Warning Text 12 3 2" xfId="20358" xr:uid="{00000000-0005-0000-0000-00007E4E0000}"/>
    <cellStyle name="Warning Text 12 3 2 2" xfId="20359" xr:uid="{00000000-0005-0000-0000-00007F4E0000}"/>
    <cellStyle name="Warning Text 12 3 3" xfId="20360" xr:uid="{00000000-0005-0000-0000-0000804E0000}"/>
    <cellStyle name="Warning Text 12 3 3 2" xfId="20361" xr:uid="{00000000-0005-0000-0000-0000814E0000}"/>
    <cellStyle name="Warning Text 12 3 4" xfId="20362" xr:uid="{00000000-0005-0000-0000-0000824E0000}"/>
    <cellStyle name="Warning Text 12 4" xfId="20363" xr:uid="{00000000-0005-0000-0000-0000834E0000}"/>
    <cellStyle name="Warning Text 12 4 2" xfId="20364" xr:uid="{00000000-0005-0000-0000-0000844E0000}"/>
    <cellStyle name="Warning Text 12 4 2 2" xfId="20365" xr:uid="{00000000-0005-0000-0000-0000854E0000}"/>
    <cellStyle name="Warning Text 12 4 3" xfId="20366" xr:uid="{00000000-0005-0000-0000-0000864E0000}"/>
    <cellStyle name="Warning Text 12 4 3 2" xfId="20367" xr:uid="{00000000-0005-0000-0000-0000874E0000}"/>
    <cellStyle name="Warning Text 12 4 4" xfId="20368" xr:uid="{00000000-0005-0000-0000-0000884E0000}"/>
    <cellStyle name="Warning Text 12 5" xfId="20369" xr:uid="{00000000-0005-0000-0000-0000894E0000}"/>
    <cellStyle name="Warning Text 12 5 2" xfId="20370" xr:uid="{00000000-0005-0000-0000-00008A4E0000}"/>
    <cellStyle name="Warning Text 12 5 2 2" xfId="20371" xr:uid="{00000000-0005-0000-0000-00008B4E0000}"/>
    <cellStyle name="Warning Text 12 5 3" xfId="20372" xr:uid="{00000000-0005-0000-0000-00008C4E0000}"/>
    <cellStyle name="Warning Text 12 5 3 2" xfId="20373" xr:uid="{00000000-0005-0000-0000-00008D4E0000}"/>
    <cellStyle name="Warning Text 12 5 4" xfId="20374" xr:uid="{00000000-0005-0000-0000-00008E4E0000}"/>
    <cellStyle name="Warning Text 12 5 4 2" xfId="20375" xr:uid="{00000000-0005-0000-0000-00008F4E0000}"/>
    <cellStyle name="Warning Text 12 5 5" xfId="20376" xr:uid="{00000000-0005-0000-0000-0000904E0000}"/>
    <cellStyle name="Warning Text 12 6" xfId="20377" xr:uid="{00000000-0005-0000-0000-0000914E0000}"/>
    <cellStyle name="Warning Text 12 6 2" xfId="20378" xr:uid="{00000000-0005-0000-0000-0000924E0000}"/>
    <cellStyle name="Warning Text 12 6 2 2" xfId="20379" xr:uid="{00000000-0005-0000-0000-0000934E0000}"/>
    <cellStyle name="Warning Text 12 6 3" xfId="20380" xr:uid="{00000000-0005-0000-0000-0000944E0000}"/>
    <cellStyle name="Warning Text 12 6 3 2" xfId="20381" xr:uid="{00000000-0005-0000-0000-0000954E0000}"/>
    <cellStyle name="Warning Text 12 6 4" xfId="20382" xr:uid="{00000000-0005-0000-0000-0000964E0000}"/>
    <cellStyle name="Warning Text 12 7" xfId="20383" xr:uid="{00000000-0005-0000-0000-0000974E0000}"/>
    <cellStyle name="Warning Text 12 7 2" xfId="20384" xr:uid="{00000000-0005-0000-0000-0000984E0000}"/>
    <cellStyle name="Warning Text 12 8" xfId="20385" xr:uid="{00000000-0005-0000-0000-0000994E0000}"/>
    <cellStyle name="Warning Text 12 8 2" xfId="20386" xr:uid="{00000000-0005-0000-0000-00009A4E0000}"/>
    <cellStyle name="Warning Text 12 9" xfId="20387" xr:uid="{00000000-0005-0000-0000-00009B4E0000}"/>
    <cellStyle name="Warning Text 12 9 2" xfId="20388" xr:uid="{00000000-0005-0000-0000-00009C4E0000}"/>
    <cellStyle name="Warning Text 13" xfId="3348" xr:uid="{00000000-0005-0000-0000-00009D4E0000}"/>
    <cellStyle name="Warning Text 13 10" xfId="20390" xr:uid="{00000000-0005-0000-0000-00009E4E0000}"/>
    <cellStyle name="Warning Text 13 11" xfId="20391" xr:uid="{00000000-0005-0000-0000-00009F4E0000}"/>
    <cellStyle name="Warning Text 13 12" xfId="20389" xr:uid="{00000000-0005-0000-0000-0000A04E0000}"/>
    <cellStyle name="Warning Text 13 2" xfId="20392" xr:uid="{00000000-0005-0000-0000-0000A14E0000}"/>
    <cellStyle name="Warning Text 13 2 2" xfId="20393" xr:uid="{00000000-0005-0000-0000-0000A24E0000}"/>
    <cellStyle name="Warning Text 13 2 2 2" xfId="20394" xr:uid="{00000000-0005-0000-0000-0000A34E0000}"/>
    <cellStyle name="Warning Text 13 2 3" xfId="20395" xr:uid="{00000000-0005-0000-0000-0000A44E0000}"/>
    <cellStyle name="Warning Text 13 2 3 2" xfId="20396" xr:uid="{00000000-0005-0000-0000-0000A54E0000}"/>
    <cellStyle name="Warning Text 13 2 4" xfId="20397" xr:uid="{00000000-0005-0000-0000-0000A64E0000}"/>
    <cellStyle name="Warning Text 13 2 5" xfId="20398" xr:uid="{00000000-0005-0000-0000-0000A74E0000}"/>
    <cellStyle name="Warning Text 13 3" xfId="20399" xr:uid="{00000000-0005-0000-0000-0000A84E0000}"/>
    <cellStyle name="Warning Text 13 3 2" xfId="20400" xr:uid="{00000000-0005-0000-0000-0000A94E0000}"/>
    <cellStyle name="Warning Text 13 3 2 2" xfId="20401" xr:uid="{00000000-0005-0000-0000-0000AA4E0000}"/>
    <cellStyle name="Warning Text 13 3 3" xfId="20402" xr:uid="{00000000-0005-0000-0000-0000AB4E0000}"/>
    <cellStyle name="Warning Text 13 3 3 2" xfId="20403" xr:uid="{00000000-0005-0000-0000-0000AC4E0000}"/>
    <cellStyle name="Warning Text 13 3 4" xfId="20404" xr:uid="{00000000-0005-0000-0000-0000AD4E0000}"/>
    <cellStyle name="Warning Text 13 4" xfId="20405" xr:uid="{00000000-0005-0000-0000-0000AE4E0000}"/>
    <cellStyle name="Warning Text 13 4 2" xfId="20406" xr:uid="{00000000-0005-0000-0000-0000AF4E0000}"/>
    <cellStyle name="Warning Text 13 4 2 2" xfId="20407" xr:uid="{00000000-0005-0000-0000-0000B04E0000}"/>
    <cellStyle name="Warning Text 13 4 3" xfId="20408" xr:uid="{00000000-0005-0000-0000-0000B14E0000}"/>
    <cellStyle name="Warning Text 13 4 3 2" xfId="20409" xr:uid="{00000000-0005-0000-0000-0000B24E0000}"/>
    <cellStyle name="Warning Text 13 4 4" xfId="20410" xr:uid="{00000000-0005-0000-0000-0000B34E0000}"/>
    <cellStyle name="Warning Text 13 5" xfId="20411" xr:uid="{00000000-0005-0000-0000-0000B44E0000}"/>
    <cellStyle name="Warning Text 13 5 2" xfId="20412" xr:uid="{00000000-0005-0000-0000-0000B54E0000}"/>
    <cellStyle name="Warning Text 13 5 2 2" xfId="20413" xr:uid="{00000000-0005-0000-0000-0000B64E0000}"/>
    <cellStyle name="Warning Text 13 5 3" xfId="20414" xr:uid="{00000000-0005-0000-0000-0000B74E0000}"/>
    <cellStyle name="Warning Text 13 5 3 2" xfId="20415" xr:uid="{00000000-0005-0000-0000-0000B84E0000}"/>
    <cellStyle name="Warning Text 13 5 4" xfId="20416" xr:uid="{00000000-0005-0000-0000-0000B94E0000}"/>
    <cellStyle name="Warning Text 13 5 4 2" xfId="20417" xr:uid="{00000000-0005-0000-0000-0000BA4E0000}"/>
    <cellStyle name="Warning Text 13 5 5" xfId="20418" xr:uid="{00000000-0005-0000-0000-0000BB4E0000}"/>
    <cellStyle name="Warning Text 13 6" xfId="20419" xr:uid="{00000000-0005-0000-0000-0000BC4E0000}"/>
    <cellStyle name="Warning Text 13 6 2" xfId="20420" xr:uid="{00000000-0005-0000-0000-0000BD4E0000}"/>
    <cellStyle name="Warning Text 13 6 2 2" xfId="20421" xr:uid="{00000000-0005-0000-0000-0000BE4E0000}"/>
    <cellStyle name="Warning Text 13 6 3" xfId="20422" xr:uid="{00000000-0005-0000-0000-0000BF4E0000}"/>
    <cellStyle name="Warning Text 13 6 3 2" xfId="20423" xr:uid="{00000000-0005-0000-0000-0000C04E0000}"/>
    <cellStyle name="Warning Text 13 6 4" xfId="20424" xr:uid="{00000000-0005-0000-0000-0000C14E0000}"/>
    <cellStyle name="Warning Text 13 7" xfId="20425" xr:uid="{00000000-0005-0000-0000-0000C24E0000}"/>
    <cellStyle name="Warning Text 13 7 2" xfId="20426" xr:uid="{00000000-0005-0000-0000-0000C34E0000}"/>
    <cellStyle name="Warning Text 13 8" xfId="20427" xr:uid="{00000000-0005-0000-0000-0000C44E0000}"/>
    <cellStyle name="Warning Text 13 8 2" xfId="20428" xr:uid="{00000000-0005-0000-0000-0000C54E0000}"/>
    <cellStyle name="Warning Text 13 9" xfId="20429" xr:uid="{00000000-0005-0000-0000-0000C64E0000}"/>
    <cellStyle name="Warning Text 13 9 2" xfId="20430" xr:uid="{00000000-0005-0000-0000-0000C74E0000}"/>
    <cellStyle name="Warning Text 14" xfId="3349" xr:uid="{00000000-0005-0000-0000-0000C84E0000}"/>
    <cellStyle name="Warning Text 14 10" xfId="20432" xr:uid="{00000000-0005-0000-0000-0000C94E0000}"/>
    <cellStyle name="Warning Text 14 11" xfId="20433" xr:uid="{00000000-0005-0000-0000-0000CA4E0000}"/>
    <cellStyle name="Warning Text 14 12" xfId="20431" xr:uid="{00000000-0005-0000-0000-0000CB4E0000}"/>
    <cellStyle name="Warning Text 14 2" xfId="20434" xr:uid="{00000000-0005-0000-0000-0000CC4E0000}"/>
    <cellStyle name="Warning Text 14 2 2" xfId="20435" xr:uid="{00000000-0005-0000-0000-0000CD4E0000}"/>
    <cellStyle name="Warning Text 14 2 2 2" xfId="20436" xr:uid="{00000000-0005-0000-0000-0000CE4E0000}"/>
    <cellStyle name="Warning Text 14 2 3" xfId="20437" xr:uid="{00000000-0005-0000-0000-0000CF4E0000}"/>
    <cellStyle name="Warning Text 14 2 3 2" xfId="20438" xr:uid="{00000000-0005-0000-0000-0000D04E0000}"/>
    <cellStyle name="Warning Text 14 2 4" xfId="20439" xr:uid="{00000000-0005-0000-0000-0000D14E0000}"/>
    <cellStyle name="Warning Text 14 2 5" xfId="20440" xr:uid="{00000000-0005-0000-0000-0000D24E0000}"/>
    <cellStyle name="Warning Text 14 3" xfId="20441" xr:uid="{00000000-0005-0000-0000-0000D34E0000}"/>
    <cellStyle name="Warning Text 14 3 2" xfId="20442" xr:uid="{00000000-0005-0000-0000-0000D44E0000}"/>
    <cellStyle name="Warning Text 14 3 2 2" xfId="20443" xr:uid="{00000000-0005-0000-0000-0000D54E0000}"/>
    <cellStyle name="Warning Text 14 3 3" xfId="20444" xr:uid="{00000000-0005-0000-0000-0000D64E0000}"/>
    <cellStyle name="Warning Text 14 3 3 2" xfId="20445" xr:uid="{00000000-0005-0000-0000-0000D74E0000}"/>
    <cellStyle name="Warning Text 14 3 4" xfId="20446" xr:uid="{00000000-0005-0000-0000-0000D84E0000}"/>
    <cellStyle name="Warning Text 14 4" xfId="20447" xr:uid="{00000000-0005-0000-0000-0000D94E0000}"/>
    <cellStyle name="Warning Text 14 4 2" xfId="20448" xr:uid="{00000000-0005-0000-0000-0000DA4E0000}"/>
    <cellStyle name="Warning Text 14 4 2 2" xfId="20449" xr:uid="{00000000-0005-0000-0000-0000DB4E0000}"/>
    <cellStyle name="Warning Text 14 4 3" xfId="20450" xr:uid="{00000000-0005-0000-0000-0000DC4E0000}"/>
    <cellStyle name="Warning Text 14 4 3 2" xfId="20451" xr:uid="{00000000-0005-0000-0000-0000DD4E0000}"/>
    <cellStyle name="Warning Text 14 4 4" xfId="20452" xr:uid="{00000000-0005-0000-0000-0000DE4E0000}"/>
    <cellStyle name="Warning Text 14 5" xfId="20453" xr:uid="{00000000-0005-0000-0000-0000DF4E0000}"/>
    <cellStyle name="Warning Text 14 5 2" xfId="20454" xr:uid="{00000000-0005-0000-0000-0000E04E0000}"/>
    <cellStyle name="Warning Text 14 5 2 2" xfId="20455" xr:uid="{00000000-0005-0000-0000-0000E14E0000}"/>
    <cellStyle name="Warning Text 14 5 3" xfId="20456" xr:uid="{00000000-0005-0000-0000-0000E24E0000}"/>
    <cellStyle name="Warning Text 14 5 3 2" xfId="20457" xr:uid="{00000000-0005-0000-0000-0000E34E0000}"/>
    <cellStyle name="Warning Text 14 5 4" xfId="20458" xr:uid="{00000000-0005-0000-0000-0000E44E0000}"/>
    <cellStyle name="Warning Text 14 5 4 2" xfId="20459" xr:uid="{00000000-0005-0000-0000-0000E54E0000}"/>
    <cellStyle name="Warning Text 14 5 5" xfId="20460" xr:uid="{00000000-0005-0000-0000-0000E64E0000}"/>
    <cellStyle name="Warning Text 14 6" xfId="20461" xr:uid="{00000000-0005-0000-0000-0000E74E0000}"/>
    <cellStyle name="Warning Text 14 6 2" xfId="20462" xr:uid="{00000000-0005-0000-0000-0000E84E0000}"/>
    <cellStyle name="Warning Text 14 6 2 2" xfId="20463" xr:uid="{00000000-0005-0000-0000-0000E94E0000}"/>
    <cellStyle name="Warning Text 14 6 3" xfId="20464" xr:uid="{00000000-0005-0000-0000-0000EA4E0000}"/>
    <cellStyle name="Warning Text 14 6 3 2" xfId="20465" xr:uid="{00000000-0005-0000-0000-0000EB4E0000}"/>
    <cellStyle name="Warning Text 14 6 4" xfId="20466" xr:uid="{00000000-0005-0000-0000-0000EC4E0000}"/>
    <cellStyle name="Warning Text 14 7" xfId="20467" xr:uid="{00000000-0005-0000-0000-0000ED4E0000}"/>
    <cellStyle name="Warning Text 14 7 2" xfId="20468" xr:uid="{00000000-0005-0000-0000-0000EE4E0000}"/>
    <cellStyle name="Warning Text 14 8" xfId="20469" xr:uid="{00000000-0005-0000-0000-0000EF4E0000}"/>
    <cellStyle name="Warning Text 14 8 2" xfId="20470" xr:uid="{00000000-0005-0000-0000-0000F04E0000}"/>
    <cellStyle name="Warning Text 14 9" xfId="20471" xr:uid="{00000000-0005-0000-0000-0000F14E0000}"/>
    <cellStyle name="Warning Text 14 9 2" xfId="20472" xr:uid="{00000000-0005-0000-0000-0000F24E0000}"/>
    <cellStyle name="Warning Text 15" xfId="3350" xr:uid="{00000000-0005-0000-0000-0000F34E0000}"/>
    <cellStyle name="Warning Text 15 10" xfId="20474" xr:uid="{00000000-0005-0000-0000-0000F44E0000}"/>
    <cellStyle name="Warning Text 15 11" xfId="20475" xr:uid="{00000000-0005-0000-0000-0000F54E0000}"/>
    <cellStyle name="Warning Text 15 12" xfId="20473" xr:uid="{00000000-0005-0000-0000-0000F64E0000}"/>
    <cellStyle name="Warning Text 15 2" xfId="20476" xr:uid="{00000000-0005-0000-0000-0000F74E0000}"/>
    <cellStyle name="Warning Text 15 2 2" xfId="20477" xr:uid="{00000000-0005-0000-0000-0000F84E0000}"/>
    <cellStyle name="Warning Text 15 2 2 2" xfId="20478" xr:uid="{00000000-0005-0000-0000-0000F94E0000}"/>
    <cellStyle name="Warning Text 15 2 3" xfId="20479" xr:uid="{00000000-0005-0000-0000-0000FA4E0000}"/>
    <cellStyle name="Warning Text 15 2 3 2" xfId="20480" xr:uid="{00000000-0005-0000-0000-0000FB4E0000}"/>
    <cellStyle name="Warning Text 15 2 4" xfId="20481" xr:uid="{00000000-0005-0000-0000-0000FC4E0000}"/>
    <cellStyle name="Warning Text 15 2 5" xfId="20482" xr:uid="{00000000-0005-0000-0000-0000FD4E0000}"/>
    <cellStyle name="Warning Text 15 3" xfId="20483" xr:uid="{00000000-0005-0000-0000-0000FE4E0000}"/>
    <cellStyle name="Warning Text 15 3 2" xfId="20484" xr:uid="{00000000-0005-0000-0000-0000FF4E0000}"/>
    <cellStyle name="Warning Text 15 3 2 2" xfId="20485" xr:uid="{00000000-0005-0000-0000-0000004F0000}"/>
    <cellStyle name="Warning Text 15 3 3" xfId="20486" xr:uid="{00000000-0005-0000-0000-0000014F0000}"/>
    <cellStyle name="Warning Text 15 3 3 2" xfId="20487" xr:uid="{00000000-0005-0000-0000-0000024F0000}"/>
    <cellStyle name="Warning Text 15 3 4" xfId="20488" xr:uid="{00000000-0005-0000-0000-0000034F0000}"/>
    <cellStyle name="Warning Text 15 4" xfId="20489" xr:uid="{00000000-0005-0000-0000-0000044F0000}"/>
    <cellStyle name="Warning Text 15 4 2" xfId="20490" xr:uid="{00000000-0005-0000-0000-0000054F0000}"/>
    <cellStyle name="Warning Text 15 4 2 2" xfId="20491" xr:uid="{00000000-0005-0000-0000-0000064F0000}"/>
    <cellStyle name="Warning Text 15 4 3" xfId="20492" xr:uid="{00000000-0005-0000-0000-0000074F0000}"/>
    <cellStyle name="Warning Text 15 4 3 2" xfId="20493" xr:uid="{00000000-0005-0000-0000-0000084F0000}"/>
    <cellStyle name="Warning Text 15 4 4" xfId="20494" xr:uid="{00000000-0005-0000-0000-0000094F0000}"/>
    <cellStyle name="Warning Text 15 5" xfId="20495" xr:uid="{00000000-0005-0000-0000-00000A4F0000}"/>
    <cellStyle name="Warning Text 15 5 2" xfId="20496" xr:uid="{00000000-0005-0000-0000-00000B4F0000}"/>
    <cellStyle name="Warning Text 15 5 2 2" xfId="20497" xr:uid="{00000000-0005-0000-0000-00000C4F0000}"/>
    <cellStyle name="Warning Text 15 5 3" xfId="20498" xr:uid="{00000000-0005-0000-0000-00000D4F0000}"/>
    <cellStyle name="Warning Text 15 5 3 2" xfId="20499" xr:uid="{00000000-0005-0000-0000-00000E4F0000}"/>
    <cellStyle name="Warning Text 15 5 4" xfId="20500" xr:uid="{00000000-0005-0000-0000-00000F4F0000}"/>
    <cellStyle name="Warning Text 15 5 4 2" xfId="20501" xr:uid="{00000000-0005-0000-0000-0000104F0000}"/>
    <cellStyle name="Warning Text 15 5 5" xfId="20502" xr:uid="{00000000-0005-0000-0000-0000114F0000}"/>
    <cellStyle name="Warning Text 15 6" xfId="20503" xr:uid="{00000000-0005-0000-0000-0000124F0000}"/>
    <cellStyle name="Warning Text 15 6 2" xfId="20504" xr:uid="{00000000-0005-0000-0000-0000134F0000}"/>
    <cellStyle name="Warning Text 15 6 2 2" xfId="20505" xr:uid="{00000000-0005-0000-0000-0000144F0000}"/>
    <cellStyle name="Warning Text 15 6 3" xfId="20506" xr:uid="{00000000-0005-0000-0000-0000154F0000}"/>
    <cellStyle name="Warning Text 15 6 3 2" xfId="20507" xr:uid="{00000000-0005-0000-0000-0000164F0000}"/>
    <cellStyle name="Warning Text 15 6 4" xfId="20508" xr:uid="{00000000-0005-0000-0000-0000174F0000}"/>
    <cellStyle name="Warning Text 15 7" xfId="20509" xr:uid="{00000000-0005-0000-0000-0000184F0000}"/>
    <cellStyle name="Warning Text 15 7 2" xfId="20510" xr:uid="{00000000-0005-0000-0000-0000194F0000}"/>
    <cellStyle name="Warning Text 15 8" xfId="20511" xr:uid="{00000000-0005-0000-0000-00001A4F0000}"/>
    <cellStyle name="Warning Text 15 8 2" xfId="20512" xr:uid="{00000000-0005-0000-0000-00001B4F0000}"/>
    <cellStyle name="Warning Text 15 9" xfId="20513" xr:uid="{00000000-0005-0000-0000-00001C4F0000}"/>
    <cellStyle name="Warning Text 15 9 2" xfId="20514" xr:uid="{00000000-0005-0000-0000-00001D4F0000}"/>
    <cellStyle name="Warning Text 16" xfId="3351" xr:uid="{00000000-0005-0000-0000-00001E4F0000}"/>
    <cellStyle name="Warning Text 16 10" xfId="20516" xr:uid="{00000000-0005-0000-0000-00001F4F0000}"/>
    <cellStyle name="Warning Text 16 11" xfId="20517" xr:uid="{00000000-0005-0000-0000-0000204F0000}"/>
    <cellStyle name="Warning Text 16 12" xfId="20515" xr:uid="{00000000-0005-0000-0000-0000214F0000}"/>
    <cellStyle name="Warning Text 16 2" xfId="20518" xr:uid="{00000000-0005-0000-0000-0000224F0000}"/>
    <cellStyle name="Warning Text 16 2 2" xfId="20519" xr:uid="{00000000-0005-0000-0000-0000234F0000}"/>
    <cellStyle name="Warning Text 16 2 2 2" xfId="20520" xr:uid="{00000000-0005-0000-0000-0000244F0000}"/>
    <cellStyle name="Warning Text 16 2 3" xfId="20521" xr:uid="{00000000-0005-0000-0000-0000254F0000}"/>
    <cellStyle name="Warning Text 16 2 3 2" xfId="20522" xr:uid="{00000000-0005-0000-0000-0000264F0000}"/>
    <cellStyle name="Warning Text 16 2 4" xfId="20523" xr:uid="{00000000-0005-0000-0000-0000274F0000}"/>
    <cellStyle name="Warning Text 16 2 5" xfId="20524" xr:uid="{00000000-0005-0000-0000-0000284F0000}"/>
    <cellStyle name="Warning Text 16 3" xfId="20525" xr:uid="{00000000-0005-0000-0000-0000294F0000}"/>
    <cellStyle name="Warning Text 16 3 2" xfId="20526" xr:uid="{00000000-0005-0000-0000-00002A4F0000}"/>
    <cellStyle name="Warning Text 16 3 2 2" xfId="20527" xr:uid="{00000000-0005-0000-0000-00002B4F0000}"/>
    <cellStyle name="Warning Text 16 3 3" xfId="20528" xr:uid="{00000000-0005-0000-0000-00002C4F0000}"/>
    <cellStyle name="Warning Text 16 3 3 2" xfId="20529" xr:uid="{00000000-0005-0000-0000-00002D4F0000}"/>
    <cellStyle name="Warning Text 16 3 4" xfId="20530" xr:uid="{00000000-0005-0000-0000-00002E4F0000}"/>
    <cellStyle name="Warning Text 16 4" xfId="20531" xr:uid="{00000000-0005-0000-0000-00002F4F0000}"/>
    <cellStyle name="Warning Text 16 4 2" xfId="20532" xr:uid="{00000000-0005-0000-0000-0000304F0000}"/>
    <cellStyle name="Warning Text 16 4 2 2" xfId="20533" xr:uid="{00000000-0005-0000-0000-0000314F0000}"/>
    <cellStyle name="Warning Text 16 4 3" xfId="20534" xr:uid="{00000000-0005-0000-0000-0000324F0000}"/>
    <cellStyle name="Warning Text 16 4 3 2" xfId="20535" xr:uid="{00000000-0005-0000-0000-0000334F0000}"/>
    <cellStyle name="Warning Text 16 4 4" xfId="20536" xr:uid="{00000000-0005-0000-0000-0000344F0000}"/>
    <cellStyle name="Warning Text 16 5" xfId="20537" xr:uid="{00000000-0005-0000-0000-0000354F0000}"/>
    <cellStyle name="Warning Text 16 5 2" xfId="20538" xr:uid="{00000000-0005-0000-0000-0000364F0000}"/>
    <cellStyle name="Warning Text 16 5 2 2" xfId="20539" xr:uid="{00000000-0005-0000-0000-0000374F0000}"/>
    <cellStyle name="Warning Text 16 5 3" xfId="20540" xr:uid="{00000000-0005-0000-0000-0000384F0000}"/>
    <cellStyle name="Warning Text 16 5 3 2" xfId="20541" xr:uid="{00000000-0005-0000-0000-0000394F0000}"/>
    <cellStyle name="Warning Text 16 5 4" xfId="20542" xr:uid="{00000000-0005-0000-0000-00003A4F0000}"/>
    <cellStyle name="Warning Text 16 5 4 2" xfId="20543" xr:uid="{00000000-0005-0000-0000-00003B4F0000}"/>
    <cellStyle name="Warning Text 16 5 5" xfId="20544" xr:uid="{00000000-0005-0000-0000-00003C4F0000}"/>
    <cellStyle name="Warning Text 16 6" xfId="20545" xr:uid="{00000000-0005-0000-0000-00003D4F0000}"/>
    <cellStyle name="Warning Text 16 6 2" xfId="20546" xr:uid="{00000000-0005-0000-0000-00003E4F0000}"/>
    <cellStyle name="Warning Text 16 6 2 2" xfId="20547" xr:uid="{00000000-0005-0000-0000-00003F4F0000}"/>
    <cellStyle name="Warning Text 16 6 3" xfId="20548" xr:uid="{00000000-0005-0000-0000-0000404F0000}"/>
    <cellStyle name="Warning Text 16 6 3 2" xfId="20549" xr:uid="{00000000-0005-0000-0000-0000414F0000}"/>
    <cellStyle name="Warning Text 16 6 4" xfId="20550" xr:uid="{00000000-0005-0000-0000-0000424F0000}"/>
    <cellStyle name="Warning Text 16 7" xfId="20551" xr:uid="{00000000-0005-0000-0000-0000434F0000}"/>
    <cellStyle name="Warning Text 16 7 2" xfId="20552" xr:uid="{00000000-0005-0000-0000-0000444F0000}"/>
    <cellStyle name="Warning Text 16 8" xfId="20553" xr:uid="{00000000-0005-0000-0000-0000454F0000}"/>
    <cellStyle name="Warning Text 16 8 2" xfId="20554" xr:uid="{00000000-0005-0000-0000-0000464F0000}"/>
    <cellStyle name="Warning Text 16 9" xfId="20555" xr:uid="{00000000-0005-0000-0000-0000474F0000}"/>
    <cellStyle name="Warning Text 16 9 2" xfId="20556" xr:uid="{00000000-0005-0000-0000-0000484F0000}"/>
    <cellStyle name="Warning Text 17" xfId="3352" xr:uid="{00000000-0005-0000-0000-0000494F0000}"/>
    <cellStyle name="Warning Text 17 10" xfId="20558" xr:uid="{00000000-0005-0000-0000-00004A4F0000}"/>
    <cellStyle name="Warning Text 17 11" xfId="20559" xr:uid="{00000000-0005-0000-0000-00004B4F0000}"/>
    <cellStyle name="Warning Text 17 12" xfId="20557" xr:uid="{00000000-0005-0000-0000-00004C4F0000}"/>
    <cellStyle name="Warning Text 17 2" xfId="20560" xr:uid="{00000000-0005-0000-0000-00004D4F0000}"/>
    <cellStyle name="Warning Text 17 2 2" xfId="20561" xr:uid="{00000000-0005-0000-0000-00004E4F0000}"/>
    <cellStyle name="Warning Text 17 2 2 2" xfId="20562" xr:uid="{00000000-0005-0000-0000-00004F4F0000}"/>
    <cellStyle name="Warning Text 17 2 3" xfId="20563" xr:uid="{00000000-0005-0000-0000-0000504F0000}"/>
    <cellStyle name="Warning Text 17 2 3 2" xfId="20564" xr:uid="{00000000-0005-0000-0000-0000514F0000}"/>
    <cellStyle name="Warning Text 17 2 4" xfId="20565" xr:uid="{00000000-0005-0000-0000-0000524F0000}"/>
    <cellStyle name="Warning Text 17 2 5" xfId="20566" xr:uid="{00000000-0005-0000-0000-0000534F0000}"/>
    <cellStyle name="Warning Text 17 3" xfId="20567" xr:uid="{00000000-0005-0000-0000-0000544F0000}"/>
    <cellStyle name="Warning Text 17 3 2" xfId="20568" xr:uid="{00000000-0005-0000-0000-0000554F0000}"/>
    <cellStyle name="Warning Text 17 3 2 2" xfId="20569" xr:uid="{00000000-0005-0000-0000-0000564F0000}"/>
    <cellStyle name="Warning Text 17 3 3" xfId="20570" xr:uid="{00000000-0005-0000-0000-0000574F0000}"/>
    <cellStyle name="Warning Text 17 3 3 2" xfId="20571" xr:uid="{00000000-0005-0000-0000-0000584F0000}"/>
    <cellStyle name="Warning Text 17 3 4" xfId="20572" xr:uid="{00000000-0005-0000-0000-0000594F0000}"/>
    <cellStyle name="Warning Text 17 4" xfId="20573" xr:uid="{00000000-0005-0000-0000-00005A4F0000}"/>
    <cellStyle name="Warning Text 17 4 2" xfId="20574" xr:uid="{00000000-0005-0000-0000-00005B4F0000}"/>
    <cellStyle name="Warning Text 17 4 2 2" xfId="20575" xr:uid="{00000000-0005-0000-0000-00005C4F0000}"/>
    <cellStyle name="Warning Text 17 4 3" xfId="20576" xr:uid="{00000000-0005-0000-0000-00005D4F0000}"/>
    <cellStyle name="Warning Text 17 4 3 2" xfId="20577" xr:uid="{00000000-0005-0000-0000-00005E4F0000}"/>
    <cellStyle name="Warning Text 17 4 4" xfId="20578" xr:uid="{00000000-0005-0000-0000-00005F4F0000}"/>
    <cellStyle name="Warning Text 17 5" xfId="20579" xr:uid="{00000000-0005-0000-0000-0000604F0000}"/>
    <cellStyle name="Warning Text 17 5 2" xfId="20580" xr:uid="{00000000-0005-0000-0000-0000614F0000}"/>
    <cellStyle name="Warning Text 17 5 2 2" xfId="20581" xr:uid="{00000000-0005-0000-0000-0000624F0000}"/>
    <cellStyle name="Warning Text 17 5 3" xfId="20582" xr:uid="{00000000-0005-0000-0000-0000634F0000}"/>
    <cellStyle name="Warning Text 17 5 3 2" xfId="20583" xr:uid="{00000000-0005-0000-0000-0000644F0000}"/>
    <cellStyle name="Warning Text 17 5 4" xfId="20584" xr:uid="{00000000-0005-0000-0000-0000654F0000}"/>
    <cellStyle name="Warning Text 17 5 4 2" xfId="20585" xr:uid="{00000000-0005-0000-0000-0000664F0000}"/>
    <cellStyle name="Warning Text 17 5 5" xfId="20586" xr:uid="{00000000-0005-0000-0000-0000674F0000}"/>
    <cellStyle name="Warning Text 17 6" xfId="20587" xr:uid="{00000000-0005-0000-0000-0000684F0000}"/>
    <cellStyle name="Warning Text 17 6 2" xfId="20588" xr:uid="{00000000-0005-0000-0000-0000694F0000}"/>
    <cellStyle name="Warning Text 17 6 2 2" xfId="20589" xr:uid="{00000000-0005-0000-0000-00006A4F0000}"/>
    <cellStyle name="Warning Text 17 6 3" xfId="20590" xr:uid="{00000000-0005-0000-0000-00006B4F0000}"/>
    <cellStyle name="Warning Text 17 6 3 2" xfId="20591" xr:uid="{00000000-0005-0000-0000-00006C4F0000}"/>
    <cellStyle name="Warning Text 17 6 4" xfId="20592" xr:uid="{00000000-0005-0000-0000-00006D4F0000}"/>
    <cellStyle name="Warning Text 17 7" xfId="20593" xr:uid="{00000000-0005-0000-0000-00006E4F0000}"/>
    <cellStyle name="Warning Text 17 7 2" xfId="20594" xr:uid="{00000000-0005-0000-0000-00006F4F0000}"/>
    <cellStyle name="Warning Text 17 8" xfId="20595" xr:uid="{00000000-0005-0000-0000-0000704F0000}"/>
    <cellStyle name="Warning Text 17 8 2" xfId="20596" xr:uid="{00000000-0005-0000-0000-0000714F0000}"/>
    <cellStyle name="Warning Text 17 9" xfId="20597" xr:uid="{00000000-0005-0000-0000-0000724F0000}"/>
    <cellStyle name="Warning Text 17 9 2" xfId="20598" xr:uid="{00000000-0005-0000-0000-0000734F0000}"/>
    <cellStyle name="Warning Text 18" xfId="3353" xr:uid="{00000000-0005-0000-0000-0000744F0000}"/>
    <cellStyle name="Warning Text 18 10" xfId="20600" xr:uid="{00000000-0005-0000-0000-0000754F0000}"/>
    <cellStyle name="Warning Text 18 11" xfId="20601" xr:uid="{00000000-0005-0000-0000-0000764F0000}"/>
    <cellStyle name="Warning Text 18 12" xfId="20599" xr:uid="{00000000-0005-0000-0000-0000774F0000}"/>
    <cellStyle name="Warning Text 18 2" xfId="20602" xr:uid="{00000000-0005-0000-0000-0000784F0000}"/>
    <cellStyle name="Warning Text 18 2 2" xfId="20603" xr:uid="{00000000-0005-0000-0000-0000794F0000}"/>
    <cellStyle name="Warning Text 18 2 2 2" xfId="20604" xr:uid="{00000000-0005-0000-0000-00007A4F0000}"/>
    <cellStyle name="Warning Text 18 2 3" xfId="20605" xr:uid="{00000000-0005-0000-0000-00007B4F0000}"/>
    <cellStyle name="Warning Text 18 2 3 2" xfId="20606" xr:uid="{00000000-0005-0000-0000-00007C4F0000}"/>
    <cellStyle name="Warning Text 18 2 4" xfId="20607" xr:uid="{00000000-0005-0000-0000-00007D4F0000}"/>
    <cellStyle name="Warning Text 18 2 5" xfId="20608" xr:uid="{00000000-0005-0000-0000-00007E4F0000}"/>
    <cellStyle name="Warning Text 18 3" xfId="20609" xr:uid="{00000000-0005-0000-0000-00007F4F0000}"/>
    <cellStyle name="Warning Text 18 3 2" xfId="20610" xr:uid="{00000000-0005-0000-0000-0000804F0000}"/>
    <cellStyle name="Warning Text 18 3 2 2" xfId="20611" xr:uid="{00000000-0005-0000-0000-0000814F0000}"/>
    <cellStyle name="Warning Text 18 3 3" xfId="20612" xr:uid="{00000000-0005-0000-0000-0000824F0000}"/>
    <cellStyle name="Warning Text 18 3 3 2" xfId="20613" xr:uid="{00000000-0005-0000-0000-0000834F0000}"/>
    <cellStyle name="Warning Text 18 3 4" xfId="20614" xr:uid="{00000000-0005-0000-0000-0000844F0000}"/>
    <cellStyle name="Warning Text 18 4" xfId="20615" xr:uid="{00000000-0005-0000-0000-0000854F0000}"/>
    <cellStyle name="Warning Text 18 4 2" xfId="20616" xr:uid="{00000000-0005-0000-0000-0000864F0000}"/>
    <cellStyle name="Warning Text 18 4 2 2" xfId="20617" xr:uid="{00000000-0005-0000-0000-0000874F0000}"/>
    <cellStyle name="Warning Text 18 4 3" xfId="20618" xr:uid="{00000000-0005-0000-0000-0000884F0000}"/>
    <cellStyle name="Warning Text 18 4 3 2" xfId="20619" xr:uid="{00000000-0005-0000-0000-0000894F0000}"/>
    <cellStyle name="Warning Text 18 4 4" xfId="20620" xr:uid="{00000000-0005-0000-0000-00008A4F0000}"/>
    <cellStyle name="Warning Text 18 5" xfId="20621" xr:uid="{00000000-0005-0000-0000-00008B4F0000}"/>
    <cellStyle name="Warning Text 18 5 2" xfId="20622" xr:uid="{00000000-0005-0000-0000-00008C4F0000}"/>
    <cellStyle name="Warning Text 18 5 2 2" xfId="20623" xr:uid="{00000000-0005-0000-0000-00008D4F0000}"/>
    <cellStyle name="Warning Text 18 5 3" xfId="20624" xr:uid="{00000000-0005-0000-0000-00008E4F0000}"/>
    <cellStyle name="Warning Text 18 5 3 2" xfId="20625" xr:uid="{00000000-0005-0000-0000-00008F4F0000}"/>
    <cellStyle name="Warning Text 18 5 4" xfId="20626" xr:uid="{00000000-0005-0000-0000-0000904F0000}"/>
    <cellStyle name="Warning Text 18 5 4 2" xfId="20627" xr:uid="{00000000-0005-0000-0000-0000914F0000}"/>
    <cellStyle name="Warning Text 18 5 5" xfId="20628" xr:uid="{00000000-0005-0000-0000-0000924F0000}"/>
    <cellStyle name="Warning Text 18 6" xfId="20629" xr:uid="{00000000-0005-0000-0000-0000934F0000}"/>
    <cellStyle name="Warning Text 18 6 2" xfId="20630" xr:uid="{00000000-0005-0000-0000-0000944F0000}"/>
    <cellStyle name="Warning Text 18 6 2 2" xfId="20631" xr:uid="{00000000-0005-0000-0000-0000954F0000}"/>
    <cellStyle name="Warning Text 18 6 3" xfId="20632" xr:uid="{00000000-0005-0000-0000-0000964F0000}"/>
    <cellStyle name="Warning Text 18 6 3 2" xfId="20633" xr:uid="{00000000-0005-0000-0000-0000974F0000}"/>
    <cellStyle name="Warning Text 18 6 4" xfId="20634" xr:uid="{00000000-0005-0000-0000-0000984F0000}"/>
    <cellStyle name="Warning Text 18 7" xfId="20635" xr:uid="{00000000-0005-0000-0000-0000994F0000}"/>
    <cellStyle name="Warning Text 18 7 2" xfId="20636" xr:uid="{00000000-0005-0000-0000-00009A4F0000}"/>
    <cellStyle name="Warning Text 18 8" xfId="20637" xr:uid="{00000000-0005-0000-0000-00009B4F0000}"/>
    <cellStyle name="Warning Text 18 8 2" xfId="20638" xr:uid="{00000000-0005-0000-0000-00009C4F0000}"/>
    <cellStyle name="Warning Text 18 9" xfId="20639" xr:uid="{00000000-0005-0000-0000-00009D4F0000}"/>
    <cellStyle name="Warning Text 18 9 2" xfId="20640" xr:uid="{00000000-0005-0000-0000-00009E4F0000}"/>
    <cellStyle name="Warning Text 19" xfId="3354" xr:uid="{00000000-0005-0000-0000-00009F4F0000}"/>
    <cellStyle name="Warning Text 19 10" xfId="20642" xr:uid="{00000000-0005-0000-0000-0000A04F0000}"/>
    <cellStyle name="Warning Text 19 11" xfId="20643" xr:uid="{00000000-0005-0000-0000-0000A14F0000}"/>
    <cellStyle name="Warning Text 19 12" xfId="20641" xr:uid="{00000000-0005-0000-0000-0000A24F0000}"/>
    <cellStyle name="Warning Text 19 2" xfId="20644" xr:uid="{00000000-0005-0000-0000-0000A34F0000}"/>
    <cellStyle name="Warning Text 19 2 2" xfId="20645" xr:uid="{00000000-0005-0000-0000-0000A44F0000}"/>
    <cellStyle name="Warning Text 19 2 2 2" xfId="20646" xr:uid="{00000000-0005-0000-0000-0000A54F0000}"/>
    <cellStyle name="Warning Text 19 2 3" xfId="20647" xr:uid="{00000000-0005-0000-0000-0000A64F0000}"/>
    <cellStyle name="Warning Text 19 2 3 2" xfId="20648" xr:uid="{00000000-0005-0000-0000-0000A74F0000}"/>
    <cellStyle name="Warning Text 19 2 4" xfId="20649" xr:uid="{00000000-0005-0000-0000-0000A84F0000}"/>
    <cellStyle name="Warning Text 19 2 5" xfId="20650" xr:uid="{00000000-0005-0000-0000-0000A94F0000}"/>
    <cellStyle name="Warning Text 19 3" xfId="20651" xr:uid="{00000000-0005-0000-0000-0000AA4F0000}"/>
    <cellStyle name="Warning Text 19 3 2" xfId="20652" xr:uid="{00000000-0005-0000-0000-0000AB4F0000}"/>
    <cellStyle name="Warning Text 19 3 2 2" xfId="20653" xr:uid="{00000000-0005-0000-0000-0000AC4F0000}"/>
    <cellStyle name="Warning Text 19 3 3" xfId="20654" xr:uid="{00000000-0005-0000-0000-0000AD4F0000}"/>
    <cellStyle name="Warning Text 19 3 3 2" xfId="20655" xr:uid="{00000000-0005-0000-0000-0000AE4F0000}"/>
    <cellStyle name="Warning Text 19 3 4" xfId="20656" xr:uid="{00000000-0005-0000-0000-0000AF4F0000}"/>
    <cellStyle name="Warning Text 19 4" xfId="20657" xr:uid="{00000000-0005-0000-0000-0000B04F0000}"/>
    <cellStyle name="Warning Text 19 4 2" xfId="20658" xr:uid="{00000000-0005-0000-0000-0000B14F0000}"/>
    <cellStyle name="Warning Text 19 4 2 2" xfId="20659" xr:uid="{00000000-0005-0000-0000-0000B24F0000}"/>
    <cellStyle name="Warning Text 19 4 3" xfId="20660" xr:uid="{00000000-0005-0000-0000-0000B34F0000}"/>
    <cellStyle name="Warning Text 19 4 3 2" xfId="20661" xr:uid="{00000000-0005-0000-0000-0000B44F0000}"/>
    <cellStyle name="Warning Text 19 4 4" xfId="20662" xr:uid="{00000000-0005-0000-0000-0000B54F0000}"/>
    <cellStyle name="Warning Text 19 5" xfId="20663" xr:uid="{00000000-0005-0000-0000-0000B64F0000}"/>
    <cellStyle name="Warning Text 19 5 2" xfId="20664" xr:uid="{00000000-0005-0000-0000-0000B74F0000}"/>
    <cellStyle name="Warning Text 19 5 2 2" xfId="20665" xr:uid="{00000000-0005-0000-0000-0000B84F0000}"/>
    <cellStyle name="Warning Text 19 5 3" xfId="20666" xr:uid="{00000000-0005-0000-0000-0000B94F0000}"/>
    <cellStyle name="Warning Text 19 5 3 2" xfId="20667" xr:uid="{00000000-0005-0000-0000-0000BA4F0000}"/>
    <cellStyle name="Warning Text 19 5 4" xfId="20668" xr:uid="{00000000-0005-0000-0000-0000BB4F0000}"/>
    <cellStyle name="Warning Text 19 5 4 2" xfId="20669" xr:uid="{00000000-0005-0000-0000-0000BC4F0000}"/>
    <cellStyle name="Warning Text 19 5 5" xfId="20670" xr:uid="{00000000-0005-0000-0000-0000BD4F0000}"/>
    <cellStyle name="Warning Text 19 6" xfId="20671" xr:uid="{00000000-0005-0000-0000-0000BE4F0000}"/>
    <cellStyle name="Warning Text 19 6 2" xfId="20672" xr:uid="{00000000-0005-0000-0000-0000BF4F0000}"/>
    <cellStyle name="Warning Text 19 6 2 2" xfId="20673" xr:uid="{00000000-0005-0000-0000-0000C04F0000}"/>
    <cellStyle name="Warning Text 19 6 3" xfId="20674" xr:uid="{00000000-0005-0000-0000-0000C14F0000}"/>
    <cellStyle name="Warning Text 19 6 3 2" xfId="20675" xr:uid="{00000000-0005-0000-0000-0000C24F0000}"/>
    <cellStyle name="Warning Text 19 6 4" xfId="20676" xr:uid="{00000000-0005-0000-0000-0000C34F0000}"/>
    <cellStyle name="Warning Text 19 7" xfId="20677" xr:uid="{00000000-0005-0000-0000-0000C44F0000}"/>
    <cellStyle name="Warning Text 19 7 2" xfId="20678" xr:uid="{00000000-0005-0000-0000-0000C54F0000}"/>
    <cellStyle name="Warning Text 19 8" xfId="20679" xr:uid="{00000000-0005-0000-0000-0000C64F0000}"/>
    <cellStyle name="Warning Text 19 8 2" xfId="20680" xr:uid="{00000000-0005-0000-0000-0000C74F0000}"/>
    <cellStyle name="Warning Text 19 9" xfId="20681" xr:uid="{00000000-0005-0000-0000-0000C84F0000}"/>
    <cellStyle name="Warning Text 19 9 2" xfId="20682" xr:uid="{00000000-0005-0000-0000-0000C94F0000}"/>
    <cellStyle name="Warning Text 2" xfId="311" xr:uid="{00000000-0005-0000-0000-0000CA4F0000}"/>
    <cellStyle name="Warning Text 2 10" xfId="4819" xr:uid="{00000000-0005-0000-0000-0000CB4F0000}"/>
    <cellStyle name="Warning Text 2 10 10" xfId="20685" xr:uid="{00000000-0005-0000-0000-0000CC4F0000}"/>
    <cellStyle name="Warning Text 2 10 11" xfId="20684" xr:uid="{00000000-0005-0000-0000-0000CD4F0000}"/>
    <cellStyle name="Warning Text 2 10 2" xfId="20686" xr:uid="{00000000-0005-0000-0000-0000CE4F0000}"/>
    <cellStyle name="Warning Text 2 10 2 2" xfId="20687" xr:uid="{00000000-0005-0000-0000-0000CF4F0000}"/>
    <cellStyle name="Warning Text 2 10 2 2 2" xfId="20688" xr:uid="{00000000-0005-0000-0000-0000D04F0000}"/>
    <cellStyle name="Warning Text 2 10 2 3" xfId="20689" xr:uid="{00000000-0005-0000-0000-0000D14F0000}"/>
    <cellStyle name="Warning Text 2 10 2 3 2" xfId="20690" xr:uid="{00000000-0005-0000-0000-0000D24F0000}"/>
    <cellStyle name="Warning Text 2 10 2 4" xfId="20691" xr:uid="{00000000-0005-0000-0000-0000D34F0000}"/>
    <cellStyle name="Warning Text 2 10 3" xfId="20692" xr:uid="{00000000-0005-0000-0000-0000D44F0000}"/>
    <cellStyle name="Warning Text 2 10 3 2" xfId="20693" xr:uid="{00000000-0005-0000-0000-0000D54F0000}"/>
    <cellStyle name="Warning Text 2 10 3 2 2" xfId="20694" xr:uid="{00000000-0005-0000-0000-0000D64F0000}"/>
    <cellStyle name="Warning Text 2 10 3 3" xfId="20695" xr:uid="{00000000-0005-0000-0000-0000D74F0000}"/>
    <cellStyle name="Warning Text 2 10 3 3 2" xfId="20696" xr:uid="{00000000-0005-0000-0000-0000D84F0000}"/>
    <cellStyle name="Warning Text 2 10 3 4" xfId="20697" xr:uid="{00000000-0005-0000-0000-0000D94F0000}"/>
    <cellStyle name="Warning Text 2 10 4" xfId="20698" xr:uid="{00000000-0005-0000-0000-0000DA4F0000}"/>
    <cellStyle name="Warning Text 2 10 4 2" xfId="20699" xr:uid="{00000000-0005-0000-0000-0000DB4F0000}"/>
    <cellStyle name="Warning Text 2 10 4 2 2" xfId="20700" xr:uid="{00000000-0005-0000-0000-0000DC4F0000}"/>
    <cellStyle name="Warning Text 2 10 4 3" xfId="20701" xr:uid="{00000000-0005-0000-0000-0000DD4F0000}"/>
    <cellStyle name="Warning Text 2 10 4 3 2" xfId="20702" xr:uid="{00000000-0005-0000-0000-0000DE4F0000}"/>
    <cellStyle name="Warning Text 2 10 4 4" xfId="20703" xr:uid="{00000000-0005-0000-0000-0000DF4F0000}"/>
    <cellStyle name="Warning Text 2 10 4 4 2" xfId="20704" xr:uid="{00000000-0005-0000-0000-0000E04F0000}"/>
    <cellStyle name="Warning Text 2 10 4 5" xfId="20705" xr:uid="{00000000-0005-0000-0000-0000E14F0000}"/>
    <cellStyle name="Warning Text 2 10 5" xfId="20706" xr:uid="{00000000-0005-0000-0000-0000E24F0000}"/>
    <cellStyle name="Warning Text 2 10 5 2" xfId="20707" xr:uid="{00000000-0005-0000-0000-0000E34F0000}"/>
    <cellStyle name="Warning Text 2 10 5 2 2" xfId="20708" xr:uid="{00000000-0005-0000-0000-0000E44F0000}"/>
    <cellStyle name="Warning Text 2 10 5 3" xfId="20709" xr:uid="{00000000-0005-0000-0000-0000E54F0000}"/>
    <cellStyle name="Warning Text 2 10 5 3 2" xfId="20710" xr:uid="{00000000-0005-0000-0000-0000E64F0000}"/>
    <cellStyle name="Warning Text 2 10 5 4" xfId="20711" xr:uid="{00000000-0005-0000-0000-0000E74F0000}"/>
    <cellStyle name="Warning Text 2 10 6" xfId="20712" xr:uid="{00000000-0005-0000-0000-0000E84F0000}"/>
    <cellStyle name="Warning Text 2 10 6 2" xfId="20713" xr:uid="{00000000-0005-0000-0000-0000E94F0000}"/>
    <cellStyle name="Warning Text 2 10 7" xfId="20714" xr:uid="{00000000-0005-0000-0000-0000EA4F0000}"/>
    <cellStyle name="Warning Text 2 10 7 2" xfId="20715" xr:uid="{00000000-0005-0000-0000-0000EB4F0000}"/>
    <cellStyle name="Warning Text 2 10 8" xfId="20716" xr:uid="{00000000-0005-0000-0000-0000EC4F0000}"/>
    <cellStyle name="Warning Text 2 10 8 2" xfId="20717" xr:uid="{00000000-0005-0000-0000-0000ED4F0000}"/>
    <cellStyle name="Warning Text 2 10 9" xfId="20718" xr:uid="{00000000-0005-0000-0000-0000EE4F0000}"/>
    <cellStyle name="Warning Text 2 11" xfId="20719" xr:uid="{00000000-0005-0000-0000-0000EF4F0000}"/>
    <cellStyle name="Warning Text 2 11 2" xfId="20720" xr:uid="{00000000-0005-0000-0000-0000F04F0000}"/>
    <cellStyle name="Warning Text 2 11 2 2" xfId="20721" xr:uid="{00000000-0005-0000-0000-0000F14F0000}"/>
    <cellStyle name="Warning Text 2 11 3" xfId="20722" xr:uid="{00000000-0005-0000-0000-0000F24F0000}"/>
    <cellStyle name="Warning Text 2 11 3 2" xfId="20723" xr:uid="{00000000-0005-0000-0000-0000F34F0000}"/>
    <cellStyle name="Warning Text 2 11 4" xfId="20724" xr:uid="{00000000-0005-0000-0000-0000F44F0000}"/>
    <cellStyle name="Warning Text 2 11 5" xfId="20725" xr:uid="{00000000-0005-0000-0000-0000F54F0000}"/>
    <cellStyle name="Warning Text 2 12" xfId="20726" xr:uid="{00000000-0005-0000-0000-0000F64F0000}"/>
    <cellStyle name="Warning Text 2 12 2" xfId="20727" xr:uid="{00000000-0005-0000-0000-0000F74F0000}"/>
    <cellStyle name="Warning Text 2 12 2 2" xfId="20728" xr:uid="{00000000-0005-0000-0000-0000F84F0000}"/>
    <cellStyle name="Warning Text 2 12 3" xfId="20729" xr:uid="{00000000-0005-0000-0000-0000F94F0000}"/>
    <cellStyle name="Warning Text 2 12 3 2" xfId="20730" xr:uid="{00000000-0005-0000-0000-0000FA4F0000}"/>
    <cellStyle name="Warning Text 2 12 4" xfId="20731" xr:uid="{00000000-0005-0000-0000-0000FB4F0000}"/>
    <cellStyle name="Warning Text 2 13" xfId="20732" xr:uid="{00000000-0005-0000-0000-0000FC4F0000}"/>
    <cellStyle name="Warning Text 2 13 2" xfId="20733" xr:uid="{00000000-0005-0000-0000-0000FD4F0000}"/>
    <cellStyle name="Warning Text 2 13 2 2" xfId="20734" xr:uid="{00000000-0005-0000-0000-0000FE4F0000}"/>
    <cellStyle name="Warning Text 2 13 3" xfId="20735" xr:uid="{00000000-0005-0000-0000-0000FF4F0000}"/>
    <cellStyle name="Warning Text 2 13 3 2" xfId="20736" xr:uid="{00000000-0005-0000-0000-000000500000}"/>
    <cellStyle name="Warning Text 2 13 4" xfId="20737" xr:uid="{00000000-0005-0000-0000-000001500000}"/>
    <cellStyle name="Warning Text 2 14" xfId="20738" xr:uid="{00000000-0005-0000-0000-000002500000}"/>
    <cellStyle name="Warning Text 2 14 2" xfId="20739" xr:uid="{00000000-0005-0000-0000-000003500000}"/>
    <cellStyle name="Warning Text 2 14 2 2" xfId="20740" xr:uid="{00000000-0005-0000-0000-000004500000}"/>
    <cellStyle name="Warning Text 2 14 3" xfId="20741" xr:uid="{00000000-0005-0000-0000-000005500000}"/>
    <cellStyle name="Warning Text 2 14 3 2" xfId="20742" xr:uid="{00000000-0005-0000-0000-000006500000}"/>
    <cellStyle name="Warning Text 2 14 4" xfId="20743" xr:uid="{00000000-0005-0000-0000-000007500000}"/>
    <cellStyle name="Warning Text 2 14 4 2" xfId="20744" xr:uid="{00000000-0005-0000-0000-000008500000}"/>
    <cellStyle name="Warning Text 2 14 5" xfId="20745" xr:uid="{00000000-0005-0000-0000-000009500000}"/>
    <cellStyle name="Warning Text 2 15" xfId="20746" xr:uid="{00000000-0005-0000-0000-00000A500000}"/>
    <cellStyle name="Warning Text 2 15 2" xfId="20747" xr:uid="{00000000-0005-0000-0000-00000B500000}"/>
    <cellStyle name="Warning Text 2 15 2 2" xfId="20748" xr:uid="{00000000-0005-0000-0000-00000C500000}"/>
    <cellStyle name="Warning Text 2 15 3" xfId="20749" xr:uid="{00000000-0005-0000-0000-00000D500000}"/>
    <cellStyle name="Warning Text 2 15 3 2" xfId="20750" xr:uid="{00000000-0005-0000-0000-00000E500000}"/>
    <cellStyle name="Warning Text 2 15 4" xfId="20751" xr:uid="{00000000-0005-0000-0000-00000F500000}"/>
    <cellStyle name="Warning Text 2 16" xfId="20752" xr:uid="{00000000-0005-0000-0000-000010500000}"/>
    <cellStyle name="Warning Text 2 16 2" xfId="20753" xr:uid="{00000000-0005-0000-0000-000011500000}"/>
    <cellStyle name="Warning Text 2 17" xfId="20754" xr:uid="{00000000-0005-0000-0000-000012500000}"/>
    <cellStyle name="Warning Text 2 17 2" xfId="20755" xr:uid="{00000000-0005-0000-0000-000013500000}"/>
    <cellStyle name="Warning Text 2 18" xfId="20756" xr:uid="{00000000-0005-0000-0000-000014500000}"/>
    <cellStyle name="Warning Text 2 18 2" xfId="20757" xr:uid="{00000000-0005-0000-0000-000015500000}"/>
    <cellStyle name="Warning Text 2 19" xfId="20758" xr:uid="{00000000-0005-0000-0000-000016500000}"/>
    <cellStyle name="Warning Text 2 2" xfId="4820" xr:uid="{00000000-0005-0000-0000-000017500000}"/>
    <cellStyle name="Warning Text 2 2 10" xfId="20760" xr:uid="{00000000-0005-0000-0000-000018500000}"/>
    <cellStyle name="Warning Text 2 2 11" xfId="20759" xr:uid="{00000000-0005-0000-0000-000019500000}"/>
    <cellStyle name="Warning Text 2 2 2" xfId="20761" xr:uid="{00000000-0005-0000-0000-00001A500000}"/>
    <cellStyle name="Warning Text 2 2 2 2" xfId="20762" xr:uid="{00000000-0005-0000-0000-00001B500000}"/>
    <cellStyle name="Warning Text 2 2 2 2 2" xfId="20763" xr:uid="{00000000-0005-0000-0000-00001C500000}"/>
    <cellStyle name="Warning Text 2 2 2 3" xfId="20764" xr:uid="{00000000-0005-0000-0000-00001D500000}"/>
    <cellStyle name="Warning Text 2 2 2 3 2" xfId="20765" xr:uid="{00000000-0005-0000-0000-00001E500000}"/>
    <cellStyle name="Warning Text 2 2 2 4" xfId="20766" xr:uid="{00000000-0005-0000-0000-00001F500000}"/>
    <cellStyle name="Warning Text 2 2 3" xfId="20767" xr:uid="{00000000-0005-0000-0000-000020500000}"/>
    <cellStyle name="Warning Text 2 2 3 2" xfId="20768" xr:uid="{00000000-0005-0000-0000-000021500000}"/>
    <cellStyle name="Warning Text 2 2 3 2 2" xfId="20769" xr:uid="{00000000-0005-0000-0000-000022500000}"/>
    <cellStyle name="Warning Text 2 2 3 3" xfId="20770" xr:uid="{00000000-0005-0000-0000-000023500000}"/>
    <cellStyle name="Warning Text 2 2 3 3 2" xfId="20771" xr:uid="{00000000-0005-0000-0000-000024500000}"/>
    <cellStyle name="Warning Text 2 2 3 4" xfId="20772" xr:uid="{00000000-0005-0000-0000-000025500000}"/>
    <cellStyle name="Warning Text 2 2 4" xfId="20773" xr:uid="{00000000-0005-0000-0000-000026500000}"/>
    <cellStyle name="Warning Text 2 2 4 2" xfId="20774" xr:uid="{00000000-0005-0000-0000-000027500000}"/>
    <cellStyle name="Warning Text 2 2 4 2 2" xfId="20775" xr:uid="{00000000-0005-0000-0000-000028500000}"/>
    <cellStyle name="Warning Text 2 2 4 3" xfId="20776" xr:uid="{00000000-0005-0000-0000-000029500000}"/>
    <cellStyle name="Warning Text 2 2 4 3 2" xfId="20777" xr:uid="{00000000-0005-0000-0000-00002A500000}"/>
    <cellStyle name="Warning Text 2 2 4 4" xfId="20778" xr:uid="{00000000-0005-0000-0000-00002B500000}"/>
    <cellStyle name="Warning Text 2 2 4 4 2" xfId="20779" xr:uid="{00000000-0005-0000-0000-00002C500000}"/>
    <cellStyle name="Warning Text 2 2 4 5" xfId="20780" xr:uid="{00000000-0005-0000-0000-00002D500000}"/>
    <cellStyle name="Warning Text 2 2 5" xfId="20781" xr:uid="{00000000-0005-0000-0000-00002E500000}"/>
    <cellStyle name="Warning Text 2 2 5 2" xfId="20782" xr:uid="{00000000-0005-0000-0000-00002F500000}"/>
    <cellStyle name="Warning Text 2 2 5 2 2" xfId="20783" xr:uid="{00000000-0005-0000-0000-000030500000}"/>
    <cellStyle name="Warning Text 2 2 5 3" xfId="20784" xr:uid="{00000000-0005-0000-0000-000031500000}"/>
    <cellStyle name="Warning Text 2 2 5 3 2" xfId="20785" xr:uid="{00000000-0005-0000-0000-000032500000}"/>
    <cellStyle name="Warning Text 2 2 5 4" xfId="20786" xr:uid="{00000000-0005-0000-0000-000033500000}"/>
    <cellStyle name="Warning Text 2 2 6" xfId="20787" xr:uid="{00000000-0005-0000-0000-000034500000}"/>
    <cellStyle name="Warning Text 2 2 6 2" xfId="20788" xr:uid="{00000000-0005-0000-0000-000035500000}"/>
    <cellStyle name="Warning Text 2 2 7" xfId="20789" xr:uid="{00000000-0005-0000-0000-000036500000}"/>
    <cellStyle name="Warning Text 2 2 7 2" xfId="20790" xr:uid="{00000000-0005-0000-0000-000037500000}"/>
    <cellStyle name="Warning Text 2 2 8" xfId="20791" xr:uid="{00000000-0005-0000-0000-000038500000}"/>
    <cellStyle name="Warning Text 2 2 8 2" xfId="20792" xr:uid="{00000000-0005-0000-0000-000039500000}"/>
    <cellStyle name="Warning Text 2 2 9" xfId="20793" xr:uid="{00000000-0005-0000-0000-00003A500000}"/>
    <cellStyle name="Warning Text 2 20" xfId="20794" xr:uid="{00000000-0005-0000-0000-00003B500000}"/>
    <cellStyle name="Warning Text 2 21" xfId="20683" xr:uid="{00000000-0005-0000-0000-00003C500000}"/>
    <cellStyle name="Warning Text 2 3" xfId="4821" xr:uid="{00000000-0005-0000-0000-00003D500000}"/>
    <cellStyle name="Warning Text 2 3 10" xfId="20796" xr:uid="{00000000-0005-0000-0000-00003E500000}"/>
    <cellStyle name="Warning Text 2 3 11" xfId="20795" xr:uid="{00000000-0005-0000-0000-00003F500000}"/>
    <cellStyle name="Warning Text 2 3 2" xfId="20797" xr:uid="{00000000-0005-0000-0000-000040500000}"/>
    <cellStyle name="Warning Text 2 3 2 2" xfId="20798" xr:uid="{00000000-0005-0000-0000-000041500000}"/>
    <cellStyle name="Warning Text 2 3 2 2 2" xfId="20799" xr:uid="{00000000-0005-0000-0000-000042500000}"/>
    <cellStyle name="Warning Text 2 3 2 3" xfId="20800" xr:uid="{00000000-0005-0000-0000-000043500000}"/>
    <cellStyle name="Warning Text 2 3 2 3 2" xfId="20801" xr:uid="{00000000-0005-0000-0000-000044500000}"/>
    <cellStyle name="Warning Text 2 3 2 4" xfId="20802" xr:uid="{00000000-0005-0000-0000-000045500000}"/>
    <cellStyle name="Warning Text 2 3 3" xfId="20803" xr:uid="{00000000-0005-0000-0000-000046500000}"/>
    <cellStyle name="Warning Text 2 3 3 2" xfId="20804" xr:uid="{00000000-0005-0000-0000-000047500000}"/>
    <cellStyle name="Warning Text 2 3 3 2 2" xfId="20805" xr:uid="{00000000-0005-0000-0000-000048500000}"/>
    <cellStyle name="Warning Text 2 3 3 3" xfId="20806" xr:uid="{00000000-0005-0000-0000-000049500000}"/>
    <cellStyle name="Warning Text 2 3 3 3 2" xfId="20807" xr:uid="{00000000-0005-0000-0000-00004A500000}"/>
    <cellStyle name="Warning Text 2 3 3 4" xfId="20808" xr:uid="{00000000-0005-0000-0000-00004B500000}"/>
    <cellStyle name="Warning Text 2 3 4" xfId="20809" xr:uid="{00000000-0005-0000-0000-00004C500000}"/>
    <cellStyle name="Warning Text 2 3 4 2" xfId="20810" xr:uid="{00000000-0005-0000-0000-00004D500000}"/>
    <cellStyle name="Warning Text 2 3 4 2 2" xfId="20811" xr:uid="{00000000-0005-0000-0000-00004E500000}"/>
    <cellStyle name="Warning Text 2 3 4 3" xfId="20812" xr:uid="{00000000-0005-0000-0000-00004F500000}"/>
    <cellStyle name="Warning Text 2 3 4 3 2" xfId="20813" xr:uid="{00000000-0005-0000-0000-000050500000}"/>
    <cellStyle name="Warning Text 2 3 4 4" xfId="20814" xr:uid="{00000000-0005-0000-0000-000051500000}"/>
    <cellStyle name="Warning Text 2 3 4 4 2" xfId="20815" xr:uid="{00000000-0005-0000-0000-000052500000}"/>
    <cellStyle name="Warning Text 2 3 4 5" xfId="20816" xr:uid="{00000000-0005-0000-0000-000053500000}"/>
    <cellStyle name="Warning Text 2 3 5" xfId="20817" xr:uid="{00000000-0005-0000-0000-000054500000}"/>
    <cellStyle name="Warning Text 2 3 5 2" xfId="20818" xr:uid="{00000000-0005-0000-0000-000055500000}"/>
    <cellStyle name="Warning Text 2 3 5 2 2" xfId="20819" xr:uid="{00000000-0005-0000-0000-000056500000}"/>
    <cellStyle name="Warning Text 2 3 5 3" xfId="20820" xr:uid="{00000000-0005-0000-0000-000057500000}"/>
    <cellStyle name="Warning Text 2 3 5 3 2" xfId="20821" xr:uid="{00000000-0005-0000-0000-000058500000}"/>
    <cellStyle name="Warning Text 2 3 5 4" xfId="20822" xr:uid="{00000000-0005-0000-0000-000059500000}"/>
    <cellStyle name="Warning Text 2 3 6" xfId="20823" xr:uid="{00000000-0005-0000-0000-00005A500000}"/>
    <cellStyle name="Warning Text 2 3 6 2" xfId="20824" xr:uid="{00000000-0005-0000-0000-00005B500000}"/>
    <cellStyle name="Warning Text 2 3 7" xfId="20825" xr:uid="{00000000-0005-0000-0000-00005C500000}"/>
    <cellStyle name="Warning Text 2 3 7 2" xfId="20826" xr:uid="{00000000-0005-0000-0000-00005D500000}"/>
    <cellStyle name="Warning Text 2 3 8" xfId="20827" xr:uid="{00000000-0005-0000-0000-00005E500000}"/>
    <cellStyle name="Warning Text 2 3 8 2" xfId="20828" xr:uid="{00000000-0005-0000-0000-00005F500000}"/>
    <cellStyle name="Warning Text 2 3 9" xfId="20829" xr:uid="{00000000-0005-0000-0000-000060500000}"/>
    <cellStyle name="Warning Text 2 4" xfId="4822" xr:uid="{00000000-0005-0000-0000-000061500000}"/>
    <cellStyle name="Warning Text 2 4 10" xfId="20831" xr:uid="{00000000-0005-0000-0000-000062500000}"/>
    <cellStyle name="Warning Text 2 4 11" xfId="20830" xr:uid="{00000000-0005-0000-0000-000063500000}"/>
    <cellStyle name="Warning Text 2 4 2" xfId="20832" xr:uid="{00000000-0005-0000-0000-000064500000}"/>
    <cellStyle name="Warning Text 2 4 2 2" xfId="20833" xr:uid="{00000000-0005-0000-0000-000065500000}"/>
    <cellStyle name="Warning Text 2 4 2 2 2" xfId="20834" xr:uid="{00000000-0005-0000-0000-000066500000}"/>
    <cellStyle name="Warning Text 2 4 2 3" xfId="20835" xr:uid="{00000000-0005-0000-0000-000067500000}"/>
    <cellStyle name="Warning Text 2 4 2 3 2" xfId="20836" xr:uid="{00000000-0005-0000-0000-000068500000}"/>
    <cellStyle name="Warning Text 2 4 2 4" xfId="20837" xr:uid="{00000000-0005-0000-0000-000069500000}"/>
    <cellStyle name="Warning Text 2 4 3" xfId="20838" xr:uid="{00000000-0005-0000-0000-00006A500000}"/>
    <cellStyle name="Warning Text 2 4 3 2" xfId="20839" xr:uid="{00000000-0005-0000-0000-00006B500000}"/>
    <cellStyle name="Warning Text 2 4 3 2 2" xfId="20840" xr:uid="{00000000-0005-0000-0000-00006C500000}"/>
    <cellStyle name="Warning Text 2 4 3 3" xfId="20841" xr:uid="{00000000-0005-0000-0000-00006D500000}"/>
    <cellStyle name="Warning Text 2 4 3 3 2" xfId="20842" xr:uid="{00000000-0005-0000-0000-00006E500000}"/>
    <cellStyle name="Warning Text 2 4 3 4" xfId="20843" xr:uid="{00000000-0005-0000-0000-00006F500000}"/>
    <cellStyle name="Warning Text 2 4 4" xfId="20844" xr:uid="{00000000-0005-0000-0000-000070500000}"/>
    <cellStyle name="Warning Text 2 4 4 2" xfId="20845" xr:uid="{00000000-0005-0000-0000-000071500000}"/>
    <cellStyle name="Warning Text 2 4 4 2 2" xfId="20846" xr:uid="{00000000-0005-0000-0000-000072500000}"/>
    <cellStyle name="Warning Text 2 4 4 3" xfId="20847" xr:uid="{00000000-0005-0000-0000-000073500000}"/>
    <cellStyle name="Warning Text 2 4 4 3 2" xfId="20848" xr:uid="{00000000-0005-0000-0000-000074500000}"/>
    <cellStyle name="Warning Text 2 4 4 4" xfId="20849" xr:uid="{00000000-0005-0000-0000-000075500000}"/>
    <cellStyle name="Warning Text 2 4 4 4 2" xfId="20850" xr:uid="{00000000-0005-0000-0000-000076500000}"/>
    <cellStyle name="Warning Text 2 4 4 5" xfId="20851" xr:uid="{00000000-0005-0000-0000-000077500000}"/>
    <cellStyle name="Warning Text 2 4 5" xfId="20852" xr:uid="{00000000-0005-0000-0000-000078500000}"/>
    <cellStyle name="Warning Text 2 4 5 2" xfId="20853" xr:uid="{00000000-0005-0000-0000-000079500000}"/>
    <cellStyle name="Warning Text 2 4 5 2 2" xfId="20854" xr:uid="{00000000-0005-0000-0000-00007A500000}"/>
    <cellStyle name="Warning Text 2 4 5 3" xfId="20855" xr:uid="{00000000-0005-0000-0000-00007B500000}"/>
    <cellStyle name="Warning Text 2 4 5 3 2" xfId="20856" xr:uid="{00000000-0005-0000-0000-00007C500000}"/>
    <cellStyle name="Warning Text 2 4 5 4" xfId="20857" xr:uid="{00000000-0005-0000-0000-00007D500000}"/>
    <cellStyle name="Warning Text 2 4 6" xfId="20858" xr:uid="{00000000-0005-0000-0000-00007E500000}"/>
    <cellStyle name="Warning Text 2 4 6 2" xfId="20859" xr:uid="{00000000-0005-0000-0000-00007F500000}"/>
    <cellStyle name="Warning Text 2 4 7" xfId="20860" xr:uid="{00000000-0005-0000-0000-000080500000}"/>
    <cellStyle name="Warning Text 2 4 7 2" xfId="20861" xr:uid="{00000000-0005-0000-0000-000081500000}"/>
    <cellStyle name="Warning Text 2 4 8" xfId="20862" xr:uid="{00000000-0005-0000-0000-000082500000}"/>
    <cellStyle name="Warning Text 2 4 8 2" xfId="20863" xr:uid="{00000000-0005-0000-0000-000083500000}"/>
    <cellStyle name="Warning Text 2 4 9" xfId="20864" xr:uid="{00000000-0005-0000-0000-000084500000}"/>
    <cellStyle name="Warning Text 2 5" xfId="4823" xr:uid="{00000000-0005-0000-0000-000085500000}"/>
    <cellStyle name="Warning Text 2 5 10" xfId="20866" xr:uid="{00000000-0005-0000-0000-000086500000}"/>
    <cellStyle name="Warning Text 2 5 11" xfId="20865" xr:uid="{00000000-0005-0000-0000-000087500000}"/>
    <cellStyle name="Warning Text 2 5 2" xfId="20867" xr:uid="{00000000-0005-0000-0000-000088500000}"/>
    <cellStyle name="Warning Text 2 5 2 2" xfId="20868" xr:uid="{00000000-0005-0000-0000-000089500000}"/>
    <cellStyle name="Warning Text 2 5 2 2 2" xfId="20869" xr:uid="{00000000-0005-0000-0000-00008A500000}"/>
    <cellStyle name="Warning Text 2 5 2 3" xfId="20870" xr:uid="{00000000-0005-0000-0000-00008B500000}"/>
    <cellStyle name="Warning Text 2 5 2 3 2" xfId="20871" xr:uid="{00000000-0005-0000-0000-00008C500000}"/>
    <cellStyle name="Warning Text 2 5 2 4" xfId="20872" xr:uid="{00000000-0005-0000-0000-00008D500000}"/>
    <cellStyle name="Warning Text 2 5 3" xfId="20873" xr:uid="{00000000-0005-0000-0000-00008E500000}"/>
    <cellStyle name="Warning Text 2 5 3 2" xfId="20874" xr:uid="{00000000-0005-0000-0000-00008F500000}"/>
    <cellStyle name="Warning Text 2 5 3 2 2" xfId="20875" xr:uid="{00000000-0005-0000-0000-000090500000}"/>
    <cellStyle name="Warning Text 2 5 3 3" xfId="20876" xr:uid="{00000000-0005-0000-0000-000091500000}"/>
    <cellStyle name="Warning Text 2 5 3 3 2" xfId="20877" xr:uid="{00000000-0005-0000-0000-000092500000}"/>
    <cellStyle name="Warning Text 2 5 3 4" xfId="20878" xr:uid="{00000000-0005-0000-0000-000093500000}"/>
    <cellStyle name="Warning Text 2 5 4" xfId="20879" xr:uid="{00000000-0005-0000-0000-000094500000}"/>
    <cellStyle name="Warning Text 2 5 4 2" xfId="20880" xr:uid="{00000000-0005-0000-0000-000095500000}"/>
    <cellStyle name="Warning Text 2 5 4 2 2" xfId="20881" xr:uid="{00000000-0005-0000-0000-000096500000}"/>
    <cellStyle name="Warning Text 2 5 4 3" xfId="20882" xr:uid="{00000000-0005-0000-0000-000097500000}"/>
    <cellStyle name="Warning Text 2 5 4 3 2" xfId="20883" xr:uid="{00000000-0005-0000-0000-000098500000}"/>
    <cellStyle name="Warning Text 2 5 4 4" xfId="20884" xr:uid="{00000000-0005-0000-0000-000099500000}"/>
    <cellStyle name="Warning Text 2 5 4 4 2" xfId="20885" xr:uid="{00000000-0005-0000-0000-00009A500000}"/>
    <cellStyle name="Warning Text 2 5 4 5" xfId="20886" xr:uid="{00000000-0005-0000-0000-00009B500000}"/>
    <cellStyle name="Warning Text 2 5 5" xfId="20887" xr:uid="{00000000-0005-0000-0000-00009C500000}"/>
    <cellStyle name="Warning Text 2 5 5 2" xfId="20888" xr:uid="{00000000-0005-0000-0000-00009D500000}"/>
    <cellStyle name="Warning Text 2 5 5 2 2" xfId="20889" xr:uid="{00000000-0005-0000-0000-00009E500000}"/>
    <cellStyle name="Warning Text 2 5 5 3" xfId="20890" xr:uid="{00000000-0005-0000-0000-00009F500000}"/>
    <cellStyle name="Warning Text 2 5 5 3 2" xfId="20891" xr:uid="{00000000-0005-0000-0000-0000A0500000}"/>
    <cellStyle name="Warning Text 2 5 5 4" xfId="20892" xr:uid="{00000000-0005-0000-0000-0000A1500000}"/>
    <cellStyle name="Warning Text 2 5 6" xfId="20893" xr:uid="{00000000-0005-0000-0000-0000A2500000}"/>
    <cellStyle name="Warning Text 2 5 6 2" xfId="20894" xr:uid="{00000000-0005-0000-0000-0000A3500000}"/>
    <cellStyle name="Warning Text 2 5 7" xfId="20895" xr:uid="{00000000-0005-0000-0000-0000A4500000}"/>
    <cellStyle name="Warning Text 2 5 7 2" xfId="20896" xr:uid="{00000000-0005-0000-0000-0000A5500000}"/>
    <cellStyle name="Warning Text 2 5 8" xfId="20897" xr:uid="{00000000-0005-0000-0000-0000A6500000}"/>
    <cellStyle name="Warning Text 2 5 8 2" xfId="20898" xr:uid="{00000000-0005-0000-0000-0000A7500000}"/>
    <cellStyle name="Warning Text 2 5 9" xfId="20899" xr:uid="{00000000-0005-0000-0000-0000A8500000}"/>
    <cellStyle name="Warning Text 2 6" xfId="4824" xr:uid="{00000000-0005-0000-0000-0000A9500000}"/>
    <cellStyle name="Warning Text 2 6 10" xfId="20901" xr:uid="{00000000-0005-0000-0000-0000AA500000}"/>
    <cellStyle name="Warning Text 2 6 11" xfId="20900" xr:uid="{00000000-0005-0000-0000-0000AB500000}"/>
    <cellStyle name="Warning Text 2 6 2" xfId="20902" xr:uid="{00000000-0005-0000-0000-0000AC500000}"/>
    <cellStyle name="Warning Text 2 6 2 2" xfId="20903" xr:uid="{00000000-0005-0000-0000-0000AD500000}"/>
    <cellStyle name="Warning Text 2 6 2 2 2" xfId="20904" xr:uid="{00000000-0005-0000-0000-0000AE500000}"/>
    <cellStyle name="Warning Text 2 6 2 3" xfId="20905" xr:uid="{00000000-0005-0000-0000-0000AF500000}"/>
    <cellStyle name="Warning Text 2 6 2 3 2" xfId="20906" xr:uid="{00000000-0005-0000-0000-0000B0500000}"/>
    <cellStyle name="Warning Text 2 6 2 4" xfId="20907" xr:uid="{00000000-0005-0000-0000-0000B1500000}"/>
    <cellStyle name="Warning Text 2 6 3" xfId="20908" xr:uid="{00000000-0005-0000-0000-0000B2500000}"/>
    <cellStyle name="Warning Text 2 6 3 2" xfId="20909" xr:uid="{00000000-0005-0000-0000-0000B3500000}"/>
    <cellStyle name="Warning Text 2 6 3 2 2" xfId="20910" xr:uid="{00000000-0005-0000-0000-0000B4500000}"/>
    <cellStyle name="Warning Text 2 6 3 3" xfId="20911" xr:uid="{00000000-0005-0000-0000-0000B5500000}"/>
    <cellStyle name="Warning Text 2 6 3 3 2" xfId="20912" xr:uid="{00000000-0005-0000-0000-0000B6500000}"/>
    <cellStyle name="Warning Text 2 6 3 4" xfId="20913" xr:uid="{00000000-0005-0000-0000-0000B7500000}"/>
    <cellStyle name="Warning Text 2 6 4" xfId="20914" xr:uid="{00000000-0005-0000-0000-0000B8500000}"/>
    <cellStyle name="Warning Text 2 6 4 2" xfId="20915" xr:uid="{00000000-0005-0000-0000-0000B9500000}"/>
    <cellStyle name="Warning Text 2 6 4 2 2" xfId="20916" xr:uid="{00000000-0005-0000-0000-0000BA500000}"/>
    <cellStyle name="Warning Text 2 6 4 3" xfId="20917" xr:uid="{00000000-0005-0000-0000-0000BB500000}"/>
    <cellStyle name="Warning Text 2 6 4 3 2" xfId="20918" xr:uid="{00000000-0005-0000-0000-0000BC500000}"/>
    <cellStyle name="Warning Text 2 6 4 4" xfId="20919" xr:uid="{00000000-0005-0000-0000-0000BD500000}"/>
    <cellStyle name="Warning Text 2 6 4 4 2" xfId="20920" xr:uid="{00000000-0005-0000-0000-0000BE500000}"/>
    <cellStyle name="Warning Text 2 6 4 5" xfId="20921" xr:uid="{00000000-0005-0000-0000-0000BF500000}"/>
    <cellStyle name="Warning Text 2 6 5" xfId="20922" xr:uid="{00000000-0005-0000-0000-0000C0500000}"/>
    <cellStyle name="Warning Text 2 6 5 2" xfId="20923" xr:uid="{00000000-0005-0000-0000-0000C1500000}"/>
    <cellStyle name="Warning Text 2 6 5 2 2" xfId="20924" xr:uid="{00000000-0005-0000-0000-0000C2500000}"/>
    <cellStyle name="Warning Text 2 6 5 3" xfId="20925" xr:uid="{00000000-0005-0000-0000-0000C3500000}"/>
    <cellStyle name="Warning Text 2 6 5 3 2" xfId="20926" xr:uid="{00000000-0005-0000-0000-0000C4500000}"/>
    <cellStyle name="Warning Text 2 6 5 4" xfId="20927" xr:uid="{00000000-0005-0000-0000-0000C5500000}"/>
    <cellStyle name="Warning Text 2 6 6" xfId="20928" xr:uid="{00000000-0005-0000-0000-0000C6500000}"/>
    <cellStyle name="Warning Text 2 6 6 2" xfId="20929" xr:uid="{00000000-0005-0000-0000-0000C7500000}"/>
    <cellStyle name="Warning Text 2 6 7" xfId="20930" xr:uid="{00000000-0005-0000-0000-0000C8500000}"/>
    <cellStyle name="Warning Text 2 6 7 2" xfId="20931" xr:uid="{00000000-0005-0000-0000-0000C9500000}"/>
    <cellStyle name="Warning Text 2 6 8" xfId="20932" xr:uid="{00000000-0005-0000-0000-0000CA500000}"/>
    <cellStyle name="Warning Text 2 6 8 2" xfId="20933" xr:uid="{00000000-0005-0000-0000-0000CB500000}"/>
    <cellStyle name="Warning Text 2 6 9" xfId="20934" xr:uid="{00000000-0005-0000-0000-0000CC500000}"/>
    <cellStyle name="Warning Text 2 7" xfId="4825" xr:uid="{00000000-0005-0000-0000-0000CD500000}"/>
    <cellStyle name="Warning Text 2 7 10" xfId="20936" xr:uid="{00000000-0005-0000-0000-0000CE500000}"/>
    <cellStyle name="Warning Text 2 7 11" xfId="20935" xr:uid="{00000000-0005-0000-0000-0000CF500000}"/>
    <cellStyle name="Warning Text 2 7 2" xfId="20937" xr:uid="{00000000-0005-0000-0000-0000D0500000}"/>
    <cellStyle name="Warning Text 2 7 2 2" xfId="20938" xr:uid="{00000000-0005-0000-0000-0000D1500000}"/>
    <cellStyle name="Warning Text 2 7 2 2 2" xfId="20939" xr:uid="{00000000-0005-0000-0000-0000D2500000}"/>
    <cellStyle name="Warning Text 2 7 2 3" xfId="20940" xr:uid="{00000000-0005-0000-0000-0000D3500000}"/>
    <cellStyle name="Warning Text 2 7 2 3 2" xfId="20941" xr:uid="{00000000-0005-0000-0000-0000D4500000}"/>
    <cellStyle name="Warning Text 2 7 2 4" xfId="20942" xr:uid="{00000000-0005-0000-0000-0000D5500000}"/>
    <cellStyle name="Warning Text 2 7 3" xfId="20943" xr:uid="{00000000-0005-0000-0000-0000D6500000}"/>
    <cellStyle name="Warning Text 2 7 3 2" xfId="20944" xr:uid="{00000000-0005-0000-0000-0000D7500000}"/>
    <cellStyle name="Warning Text 2 7 3 2 2" xfId="20945" xr:uid="{00000000-0005-0000-0000-0000D8500000}"/>
    <cellStyle name="Warning Text 2 7 3 3" xfId="20946" xr:uid="{00000000-0005-0000-0000-0000D9500000}"/>
    <cellStyle name="Warning Text 2 7 3 3 2" xfId="20947" xr:uid="{00000000-0005-0000-0000-0000DA500000}"/>
    <cellStyle name="Warning Text 2 7 3 4" xfId="20948" xr:uid="{00000000-0005-0000-0000-0000DB500000}"/>
    <cellStyle name="Warning Text 2 7 4" xfId="20949" xr:uid="{00000000-0005-0000-0000-0000DC500000}"/>
    <cellStyle name="Warning Text 2 7 4 2" xfId="20950" xr:uid="{00000000-0005-0000-0000-0000DD500000}"/>
    <cellStyle name="Warning Text 2 7 4 2 2" xfId="20951" xr:uid="{00000000-0005-0000-0000-0000DE500000}"/>
    <cellStyle name="Warning Text 2 7 4 3" xfId="20952" xr:uid="{00000000-0005-0000-0000-0000DF500000}"/>
    <cellStyle name="Warning Text 2 7 4 3 2" xfId="20953" xr:uid="{00000000-0005-0000-0000-0000E0500000}"/>
    <cellStyle name="Warning Text 2 7 4 4" xfId="20954" xr:uid="{00000000-0005-0000-0000-0000E1500000}"/>
    <cellStyle name="Warning Text 2 7 4 4 2" xfId="20955" xr:uid="{00000000-0005-0000-0000-0000E2500000}"/>
    <cellStyle name="Warning Text 2 7 4 5" xfId="20956" xr:uid="{00000000-0005-0000-0000-0000E3500000}"/>
    <cellStyle name="Warning Text 2 7 5" xfId="20957" xr:uid="{00000000-0005-0000-0000-0000E4500000}"/>
    <cellStyle name="Warning Text 2 7 5 2" xfId="20958" xr:uid="{00000000-0005-0000-0000-0000E5500000}"/>
    <cellStyle name="Warning Text 2 7 5 2 2" xfId="20959" xr:uid="{00000000-0005-0000-0000-0000E6500000}"/>
    <cellStyle name="Warning Text 2 7 5 3" xfId="20960" xr:uid="{00000000-0005-0000-0000-0000E7500000}"/>
    <cellStyle name="Warning Text 2 7 5 3 2" xfId="20961" xr:uid="{00000000-0005-0000-0000-0000E8500000}"/>
    <cellStyle name="Warning Text 2 7 5 4" xfId="20962" xr:uid="{00000000-0005-0000-0000-0000E9500000}"/>
    <cellStyle name="Warning Text 2 7 6" xfId="20963" xr:uid="{00000000-0005-0000-0000-0000EA500000}"/>
    <cellStyle name="Warning Text 2 7 6 2" xfId="20964" xr:uid="{00000000-0005-0000-0000-0000EB500000}"/>
    <cellStyle name="Warning Text 2 7 7" xfId="20965" xr:uid="{00000000-0005-0000-0000-0000EC500000}"/>
    <cellStyle name="Warning Text 2 7 7 2" xfId="20966" xr:uid="{00000000-0005-0000-0000-0000ED500000}"/>
    <cellStyle name="Warning Text 2 7 8" xfId="20967" xr:uid="{00000000-0005-0000-0000-0000EE500000}"/>
    <cellStyle name="Warning Text 2 7 8 2" xfId="20968" xr:uid="{00000000-0005-0000-0000-0000EF500000}"/>
    <cellStyle name="Warning Text 2 7 9" xfId="20969" xr:uid="{00000000-0005-0000-0000-0000F0500000}"/>
    <cellStyle name="Warning Text 2 8" xfId="4826" xr:uid="{00000000-0005-0000-0000-0000F1500000}"/>
    <cellStyle name="Warning Text 2 8 10" xfId="20971" xr:uid="{00000000-0005-0000-0000-0000F2500000}"/>
    <cellStyle name="Warning Text 2 8 11" xfId="20970" xr:uid="{00000000-0005-0000-0000-0000F3500000}"/>
    <cellStyle name="Warning Text 2 8 2" xfId="20972" xr:uid="{00000000-0005-0000-0000-0000F4500000}"/>
    <cellStyle name="Warning Text 2 8 2 2" xfId="20973" xr:uid="{00000000-0005-0000-0000-0000F5500000}"/>
    <cellStyle name="Warning Text 2 8 2 2 2" xfId="20974" xr:uid="{00000000-0005-0000-0000-0000F6500000}"/>
    <cellStyle name="Warning Text 2 8 2 3" xfId="20975" xr:uid="{00000000-0005-0000-0000-0000F7500000}"/>
    <cellStyle name="Warning Text 2 8 2 3 2" xfId="20976" xr:uid="{00000000-0005-0000-0000-0000F8500000}"/>
    <cellStyle name="Warning Text 2 8 2 4" xfId="20977" xr:uid="{00000000-0005-0000-0000-0000F9500000}"/>
    <cellStyle name="Warning Text 2 8 3" xfId="20978" xr:uid="{00000000-0005-0000-0000-0000FA500000}"/>
    <cellStyle name="Warning Text 2 8 3 2" xfId="20979" xr:uid="{00000000-0005-0000-0000-0000FB500000}"/>
    <cellStyle name="Warning Text 2 8 3 2 2" xfId="20980" xr:uid="{00000000-0005-0000-0000-0000FC500000}"/>
    <cellStyle name="Warning Text 2 8 3 3" xfId="20981" xr:uid="{00000000-0005-0000-0000-0000FD500000}"/>
    <cellStyle name="Warning Text 2 8 3 3 2" xfId="20982" xr:uid="{00000000-0005-0000-0000-0000FE500000}"/>
    <cellStyle name="Warning Text 2 8 3 4" xfId="20983" xr:uid="{00000000-0005-0000-0000-0000FF500000}"/>
    <cellStyle name="Warning Text 2 8 4" xfId="20984" xr:uid="{00000000-0005-0000-0000-000000510000}"/>
    <cellStyle name="Warning Text 2 8 4 2" xfId="20985" xr:uid="{00000000-0005-0000-0000-000001510000}"/>
    <cellStyle name="Warning Text 2 8 4 2 2" xfId="20986" xr:uid="{00000000-0005-0000-0000-000002510000}"/>
    <cellStyle name="Warning Text 2 8 4 3" xfId="20987" xr:uid="{00000000-0005-0000-0000-000003510000}"/>
    <cellStyle name="Warning Text 2 8 4 3 2" xfId="20988" xr:uid="{00000000-0005-0000-0000-000004510000}"/>
    <cellStyle name="Warning Text 2 8 4 4" xfId="20989" xr:uid="{00000000-0005-0000-0000-000005510000}"/>
    <cellStyle name="Warning Text 2 8 4 4 2" xfId="20990" xr:uid="{00000000-0005-0000-0000-000006510000}"/>
    <cellStyle name="Warning Text 2 8 4 5" xfId="20991" xr:uid="{00000000-0005-0000-0000-000007510000}"/>
    <cellStyle name="Warning Text 2 8 5" xfId="20992" xr:uid="{00000000-0005-0000-0000-000008510000}"/>
    <cellStyle name="Warning Text 2 8 5 2" xfId="20993" xr:uid="{00000000-0005-0000-0000-000009510000}"/>
    <cellStyle name="Warning Text 2 8 5 2 2" xfId="20994" xr:uid="{00000000-0005-0000-0000-00000A510000}"/>
    <cellStyle name="Warning Text 2 8 5 3" xfId="20995" xr:uid="{00000000-0005-0000-0000-00000B510000}"/>
    <cellStyle name="Warning Text 2 8 5 3 2" xfId="20996" xr:uid="{00000000-0005-0000-0000-00000C510000}"/>
    <cellStyle name="Warning Text 2 8 5 4" xfId="20997" xr:uid="{00000000-0005-0000-0000-00000D510000}"/>
    <cellStyle name="Warning Text 2 8 6" xfId="20998" xr:uid="{00000000-0005-0000-0000-00000E510000}"/>
    <cellStyle name="Warning Text 2 8 6 2" xfId="20999" xr:uid="{00000000-0005-0000-0000-00000F510000}"/>
    <cellStyle name="Warning Text 2 8 7" xfId="21000" xr:uid="{00000000-0005-0000-0000-000010510000}"/>
    <cellStyle name="Warning Text 2 8 7 2" xfId="21001" xr:uid="{00000000-0005-0000-0000-000011510000}"/>
    <cellStyle name="Warning Text 2 8 8" xfId="21002" xr:uid="{00000000-0005-0000-0000-000012510000}"/>
    <cellStyle name="Warning Text 2 8 8 2" xfId="21003" xr:uid="{00000000-0005-0000-0000-000013510000}"/>
    <cellStyle name="Warning Text 2 8 9" xfId="21004" xr:uid="{00000000-0005-0000-0000-000014510000}"/>
    <cellStyle name="Warning Text 2 9" xfId="4827" xr:uid="{00000000-0005-0000-0000-000015510000}"/>
    <cellStyle name="Warning Text 2 9 10" xfId="21006" xr:uid="{00000000-0005-0000-0000-000016510000}"/>
    <cellStyle name="Warning Text 2 9 11" xfId="21005" xr:uid="{00000000-0005-0000-0000-000017510000}"/>
    <cellStyle name="Warning Text 2 9 2" xfId="21007" xr:uid="{00000000-0005-0000-0000-000018510000}"/>
    <cellStyle name="Warning Text 2 9 2 2" xfId="21008" xr:uid="{00000000-0005-0000-0000-000019510000}"/>
    <cellStyle name="Warning Text 2 9 2 2 2" xfId="21009" xr:uid="{00000000-0005-0000-0000-00001A510000}"/>
    <cellStyle name="Warning Text 2 9 2 3" xfId="21010" xr:uid="{00000000-0005-0000-0000-00001B510000}"/>
    <cellStyle name="Warning Text 2 9 2 3 2" xfId="21011" xr:uid="{00000000-0005-0000-0000-00001C510000}"/>
    <cellStyle name="Warning Text 2 9 2 4" xfId="21012" xr:uid="{00000000-0005-0000-0000-00001D510000}"/>
    <cellStyle name="Warning Text 2 9 3" xfId="21013" xr:uid="{00000000-0005-0000-0000-00001E510000}"/>
    <cellStyle name="Warning Text 2 9 3 2" xfId="21014" xr:uid="{00000000-0005-0000-0000-00001F510000}"/>
    <cellStyle name="Warning Text 2 9 3 2 2" xfId="21015" xr:uid="{00000000-0005-0000-0000-000020510000}"/>
    <cellStyle name="Warning Text 2 9 3 3" xfId="21016" xr:uid="{00000000-0005-0000-0000-000021510000}"/>
    <cellStyle name="Warning Text 2 9 3 3 2" xfId="21017" xr:uid="{00000000-0005-0000-0000-000022510000}"/>
    <cellStyle name="Warning Text 2 9 3 4" xfId="21018" xr:uid="{00000000-0005-0000-0000-000023510000}"/>
    <cellStyle name="Warning Text 2 9 4" xfId="21019" xr:uid="{00000000-0005-0000-0000-000024510000}"/>
    <cellStyle name="Warning Text 2 9 4 2" xfId="21020" xr:uid="{00000000-0005-0000-0000-000025510000}"/>
    <cellStyle name="Warning Text 2 9 4 2 2" xfId="21021" xr:uid="{00000000-0005-0000-0000-000026510000}"/>
    <cellStyle name="Warning Text 2 9 4 3" xfId="21022" xr:uid="{00000000-0005-0000-0000-000027510000}"/>
    <cellStyle name="Warning Text 2 9 4 3 2" xfId="21023" xr:uid="{00000000-0005-0000-0000-000028510000}"/>
    <cellStyle name="Warning Text 2 9 4 4" xfId="21024" xr:uid="{00000000-0005-0000-0000-000029510000}"/>
    <cellStyle name="Warning Text 2 9 4 4 2" xfId="21025" xr:uid="{00000000-0005-0000-0000-00002A510000}"/>
    <cellStyle name="Warning Text 2 9 4 5" xfId="21026" xr:uid="{00000000-0005-0000-0000-00002B510000}"/>
    <cellStyle name="Warning Text 2 9 5" xfId="21027" xr:uid="{00000000-0005-0000-0000-00002C510000}"/>
    <cellStyle name="Warning Text 2 9 5 2" xfId="21028" xr:uid="{00000000-0005-0000-0000-00002D510000}"/>
    <cellStyle name="Warning Text 2 9 5 2 2" xfId="21029" xr:uid="{00000000-0005-0000-0000-00002E510000}"/>
    <cellStyle name="Warning Text 2 9 5 3" xfId="21030" xr:uid="{00000000-0005-0000-0000-00002F510000}"/>
    <cellStyle name="Warning Text 2 9 5 3 2" xfId="21031" xr:uid="{00000000-0005-0000-0000-000030510000}"/>
    <cellStyle name="Warning Text 2 9 5 4" xfId="21032" xr:uid="{00000000-0005-0000-0000-000031510000}"/>
    <cellStyle name="Warning Text 2 9 6" xfId="21033" xr:uid="{00000000-0005-0000-0000-000032510000}"/>
    <cellStyle name="Warning Text 2 9 6 2" xfId="21034" xr:uid="{00000000-0005-0000-0000-000033510000}"/>
    <cellStyle name="Warning Text 2 9 7" xfId="21035" xr:uid="{00000000-0005-0000-0000-000034510000}"/>
    <cellStyle name="Warning Text 2 9 7 2" xfId="21036" xr:uid="{00000000-0005-0000-0000-000035510000}"/>
    <cellStyle name="Warning Text 2 9 8" xfId="21037" xr:uid="{00000000-0005-0000-0000-000036510000}"/>
    <cellStyle name="Warning Text 2 9 8 2" xfId="21038" xr:uid="{00000000-0005-0000-0000-000037510000}"/>
    <cellStyle name="Warning Text 2 9 9" xfId="21039" xr:uid="{00000000-0005-0000-0000-000038510000}"/>
    <cellStyle name="Warning Text 20" xfId="3355" xr:uid="{00000000-0005-0000-0000-000039510000}"/>
    <cellStyle name="Warning Text 20 10" xfId="21041" xr:uid="{00000000-0005-0000-0000-00003A510000}"/>
    <cellStyle name="Warning Text 20 11" xfId="21042" xr:uid="{00000000-0005-0000-0000-00003B510000}"/>
    <cellStyle name="Warning Text 20 12" xfId="21040" xr:uid="{00000000-0005-0000-0000-00003C510000}"/>
    <cellStyle name="Warning Text 20 2" xfId="21043" xr:uid="{00000000-0005-0000-0000-00003D510000}"/>
    <cellStyle name="Warning Text 20 2 2" xfId="21044" xr:uid="{00000000-0005-0000-0000-00003E510000}"/>
    <cellStyle name="Warning Text 20 2 2 2" xfId="21045" xr:uid="{00000000-0005-0000-0000-00003F510000}"/>
    <cellStyle name="Warning Text 20 2 3" xfId="21046" xr:uid="{00000000-0005-0000-0000-000040510000}"/>
    <cellStyle name="Warning Text 20 2 3 2" xfId="21047" xr:uid="{00000000-0005-0000-0000-000041510000}"/>
    <cellStyle name="Warning Text 20 2 4" xfId="21048" xr:uid="{00000000-0005-0000-0000-000042510000}"/>
    <cellStyle name="Warning Text 20 2 5" xfId="21049" xr:uid="{00000000-0005-0000-0000-000043510000}"/>
    <cellStyle name="Warning Text 20 3" xfId="21050" xr:uid="{00000000-0005-0000-0000-000044510000}"/>
    <cellStyle name="Warning Text 20 3 2" xfId="21051" xr:uid="{00000000-0005-0000-0000-000045510000}"/>
    <cellStyle name="Warning Text 20 3 2 2" xfId="21052" xr:uid="{00000000-0005-0000-0000-000046510000}"/>
    <cellStyle name="Warning Text 20 3 3" xfId="21053" xr:uid="{00000000-0005-0000-0000-000047510000}"/>
    <cellStyle name="Warning Text 20 3 3 2" xfId="21054" xr:uid="{00000000-0005-0000-0000-000048510000}"/>
    <cellStyle name="Warning Text 20 3 4" xfId="21055" xr:uid="{00000000-0005-0000-0000-000049510000}"/>
    <cellStyle name="Warning Text 20 4" xfId="21056" xr:uid="{00000000-0005-0000-0000-00004A510000}"/>
    <cellStyle name="Warning Text 20 4 2" xfId="21057" xr:uid="{00000000-0005-0000-0000-00004B510000}"/>
    <cellStyle name="Warning Text 20 4 2 2" xfId="21058" xr:uid="{00000000-0005-0000-0000-00004C510000}"/>
    <cellStyle name="Warning Text 20 4 3" xfId="21059" xr:uid="{00000000-0005-0000-0000-00004D510000}"/>
    <cellStyle name="Warning Text 20 4 3 2" xfId="21060" xr:uid="{00000000-0005-0000-0000-00004E510000}"/>
    <cellStyle name="Warning Text 20 4 4" xfId="21061" xr:uid="{00000000-0005-0000-0000-00004F510000}"/>
    <cellStyle name="Warning Text 20 5" xfId="21062" xr:uid="{00000000-0005-0000-0000-000050510000}"/>
    <cellStyle name="Warning Text 20 5 2" xfId="21063" xr:uid="{00000000-0005-0000-0000-000051510000}"/>
    <cellStyle name="Warning Text 20 5 2 2" xfId="21064" xr:uid="{00000000-0005-0000-0000-000052510000}"/>
    <cellStyle name="Warning Text 20 5 3" xfId="21065" xr:uid="{00000000-0005-0000-0000-000053510000}"/>
    <cellStyle name="Warning Text 20 5 3 2" xfId="21066" xr:uid="{00000000-0005-0000-0000-000054510000}"/>
    <cellStyle name="Warning Text 20 5 4" xfId="21067" xr:uid="{00000000-0005-0000-0000-000055510000}"/>
    <cellStyle name="Warning Text 20 5 4 2" xfId="21068" xr:uid="{00000000-0005-0000-0000-000056510000}"/>
    <cellStyle name="Warning Text 20 5 5" xfId="21069" xr:uid="{00000000-0005-0000-0000-000057510000}"/>
    <cellStyle name="Warning Text 20 6" xfId="21070" xr:uid="{00000000-0005-0000-0000-000058510000}"/>
    <cellStyle name="Warning Text 20 6 2" xfId="21071" xr:uid="{00000000-0005-0000-0000-000059510000}"/>
    <cellStyle name="Warning Text 20 6 2 2" xfId="21072" xr:uid="{00000000-0005-0000-0000-00005A510000}"/>
    <cellStyle name="Warning Text 20 6 3" xfId="21073" xr:uid="{00000000-0005-0000-0000-00005B510000}"/>
    <cellStyle name="Warning Text 20 6 3 2" xfId="21074" xr:uid="{00000000-0005-0000-0000-00005C510000}"/>
    <cellStyle name="Warning Text 20 6 4" xfId="21075" xr:uid="{00000000-0005-0000-0000-00005D510000}"/>
    <cellStyle name="Warning Text 20 7" xfId="21076" xr:uid="{00000000-0005-0000-0000-00005E510000}"/>
    <cellStyle name="Warning Text 20 7 2" xfId="21077" xr:uid="{00000000-0005-0000-0000-00005F510000}"/>
    <cellStyle name="Warning Text 20 8" xfId="21078" xr:uid="{00000000-0005-0000-0000-000060510000}"/>
    <cellStyle name="Warning Text 20 8 2" xfId="21079" xr:uid="{00000000-0005-0000-0000-000061510000}"/>
    <cellStyle name="Warning Text 20 9" xfId="21080" xr:uid="{00000000-0005-0000-0000-000062510000}"/>
    <cellStyle name="Warning Text 20 9 2" xfId="21081" xr:uid="{00000000-0005-0000-0000-000063510000}"/>
    <cellStyle name="Warning Text 21" xfId="3356" xr:uid="{00000000-0005-0000-0000-000064510000}"/>
    <cellStyle name="Warning Text 21 10" xfId="21083" xr:uid="{00000000-0005-0000-0000-000065510000}"/>
    <cellStyle name="Warning Text 21 11" xfId="21084" xr:uid="{00000000-0005-0000-0000-000066510000}"/>
    <cellStyle name="Warning Text 21 12" xfId="21082" xr:uid="{00000000-0005-0000-0000-000067510000}"/>
    <cellStyle name="Warning Text 21 2" xfId="21085" xr:uid="{00000000-0005-0000-0000-000068510000}"/>
    <cellStyle name="Warning Text 21 2 2" xfId="21086" xr:uid="{00000000-0005-0000-0000-000069510000}"/>
    <cellStyle name="Warning Text 21 2 2 2" xfId="21087" xr:uid="{00000000-0005-0000-0000-00006A510000}"/>
    <cellStyle name="Warning Text 21 2 3" xfId="21088" xr:uid="{00000000-0005-0000-0000-00006B510000}"/>
    <cellStyle name="Warning Text 21 2 3 2" xfId="21089" xr:uid="{00000000-0005-0000-0000-00006C510000}"/>
    <cellStyle name="Warning Text 21 2 4" xfId="21090" xr:uid="{00000000-0005-0000-0000-00006D510000}"/>
    <cellStyle name="Warning Text 21 2 5" xfId="21091" xr:uid="{00000000-0005-0000-0000-00006E510000}"/>
    <cellStyle name="Warning Text 21 3" xfId="21092" xr:uid="{00000000-0005-0000-0000-00006F510000}"/>
    <cellStyle name="Warning Text 21 3 2" xfId="21093" xr:uid="{00000000-0005-0000-0000-000070510000}"/>
    <cellStyle name="Warning Text 21 3 2 2" xfId="21094" xr:uid="{00000000-0005-0000-0000-000071510000}"/>
    <cellStyle name="Warning Text 21 3 3" xfId="21095" xr:uid="{00000000-0005-0000-0000-000072510000}"/>
    <cellStyle name="Warning Text 21 3 3 2" xfId="21096" xr:uid="{00000000-0005-0000-0000-000073510000}"/>
    <cellStyle name="Warning Text 21 3 4" xfId="21097" xr:uid="{00000000-0005-0000-0000-000074510000}"/>
    <cellStyle name="Warning Text 21 4" xfId="21098" xr:uid="{00000000-0005-0000-0000-000075510000}"/>
    <cellStyle name="Warning Text 21 4 2" xfId="21099" xr:uid="{00000000-0005-0000-0000-000076510000}"/>
    <cellStyle name="Warning Text 21 4 2 2" xfId="21100" xr:uid="{00000000-0005-0000-0000-000077510000}"/>
    <cellStyle name="Warning Text 21 4 3" xfId="21101" xr:uid="{00000000-0005-0000-0000-000078510000}"/>
    <cellStyle name="Warning Text 21 4 3 2" xfId="21102" xr:uid="{00000000-0005-0000-0000-000079510000}"/>
    <cellStyle name="Warning Text 21 4 4" xfId="21103" xr:uid="{00000000-0005-0000-0000-00007A510000}"/>
    <cellStyle name="Warning Text 21 5" xfId="21104" xr:uid="{00000000-0005-0000-0000-00007B510000}"/>
    <cellStyle name="Warning Text 21 5 2" xfId="21105" xr:uid="{00000000-0005-0000-0000-00007C510000}"/>
    <cellStyle name="Warning Text 21 5 2 2" xfId="21106" xr:uid="{00000000-0005-0000-0000-00007D510000}"/>
    <cellStyle name="Warning Text 21 5 3" xfId="21107" xr:uid="{00000000-0005-0000-0000-00007E510000}"/>
    <cellStyle name="Warning Text 21 5 3 2" xfId="21108" xr:uid="{00000000-0005-0000-0000-00007F510000}"/>
    <cellStyle name="Warning Text 21 5 4" xfId="21109" xr:uid="{00000000-0005-0000-0000-000080510000}"/>
    <cellStyle name="Warning Text 21 5 4 2" xfId="21110" xr:uid="{00000000-0005-0000-0000-000081510000}"/>
    <cellStyle name="Warning Text 21 5 5" xfId="21111" xr:uid="{00000000-0005-0000-0000-000082510000}"/>
    <cellStyle name="Warning Text 21 6" xfId="21112" xr:uid="{00000000-0005-0000-0000-000083510000}"/>
    <cellStyle name="Warning Text 21 6 2" xfId="21113" xr:uid="{00000000-0005-0000-0000-000084510000}"/>
    <cellStyle name="Warning Text 21 6 2 2" xfId="21114" xr:uid="{00000000-0005-0000-0000-000085510000}"/>
    <cellStyle name="Warning Text 21 6 3" xfId="21115" xr:uid="{00000000-0005-0000-0000-000086510000}"/>
    <cellStyle name="Warning Text 21 6 3 2" xfId="21116" xr:uid="{00000000-0005-0000-0000-000087510000}"/>
    <cellStyle name="Warning Text 21 6 4" xfId="21117" xr:uid="{00000000-0005-0000-0000-000088510000}"/>
    <cellStyle name="Warning Text 21 7" xfId="21118" xr:uid="{00000000-0005-0000-0000-000089510000}"/>
    <cellStyle name="Warning Text 21 7 2" xfId="21119" xr:uid="{00000000-0005-0000-0000-00008A510000}"/>
    <cellStyle name="Warning Text 21 8" xfId="21120" xr:uid="{00000000-0005-0000-0000-00008B510000}"/>
    <cellStyle name="Warning Text 21 8 2" xfId="21121" xr:uid="{00000000-0005-0000-0000-00008C510000}"/>
    <cellStyle name="Warning Text 21 9" xfId="21122" xr:uid="{00000000-0005-0000-0000-00008D510000}"/>
    <cellStyle name="Warning Text 21 9 2" xfId="21123" xr:uid="{00000000-0005-0000-0000-00008E510000}"/>
    <cellStyle name="Warning Text 22" xfId="3357" xr:uid="{00000000-0005-0000-0000-00008F510000}"/>
    <cellStyle name="Warning Text 22 10" xfId="21125" xr:uid="{00000000-0005-0000-0000-000090510000}"/>
    <cellStyle name="Warning Text 22 11" xfId="21126" xr:uid="{00000000-0005-0000-0000-000091510000}"/>
    <cellStyle name="Warning Text 22 12" xfId="21124" xr:uid="{00000000-0005-0000-0000-000092510000}"/>
    <cellStyle name="Warning Text 22 2" xfId="21127" xr:uid="{00000000-0005-0000-0000-000093510000}"/>
    <cellStyle name="Warning Text 22 2 2" xfId="21128" xr:uid="{00000000-0005-0000-0000-000094510000}"/>
    <cellStyle name="Warning Text 22 2 2 2" xfId="21129" xr:uid="{00000000-0005-0000-0000-000095510000}"/>
    <cellStyle name="Warning Text 22 2 3" xfId="21130" xr:uid="{00000000-0005-0000-0000-000096510000}"/>
    <cellStyle name="Warning Text 22 2 3 2" xfId="21131" xr:uid="{00000000-0005-0000-0000-000097510000}"/>
    <cellStyle name="Warning Text 22 2 4" xfId="21132" xr:uid="{00000000-0005-0000-0000-000098510000}"/>
    <cellStyle name="Warning Text 22 2 5" xfId="21133" xr:uid="{00000000-0005-0000-0000-000099510000}"/>
    <cellStyle name="Warning Text 22 3" xfId="21134" xr:uid="{00000000-0005-0000-0000-00009A510000}"/>
    <cellStyle name="Warning Text 22 3 2" xfId="21135" xr:uid="{00000000-0005-0000-0000-00009B510000}"/>
    <cellStyle name="Warning Text 22 3 2 2" xfId="21136" xr:uid="{00000000-0005-0000-0000-00009C510000}"/>
    <cellStyle name="Warning Text 22 3 3" xfId="21137" xr:uid="{00000000-0005-0000-0000-00009D510000}"/>
    <cellStyle name="Warning Text 22 3 3 2" xfId="21138" xr:uid="{00000000-0005-0000-0000-00009E510000}"/>
    <cellStyle name="Warning Text 22 3 4" xfId="21139" xr:uid="{00000000-0005-0000-0000-00009F510000}"/>
    <cellStyle name="Warning Text 22 4" xfId="21140" xr:uid="{00000000-0005-0000-0000-0000A0510000}"/>
    <cellStyle name="Warning Text 22 4 2" xfId="21141" xr:uid="{00000000-0005-0000-0000-0000A1510000}"/>
    <cellStyle name="Warning Text 22 4 2 2" xfId="21142" xr:uid="{00000000-0005-0000-0000-0000A2510000}"/>
    <cellStyle name="Warning Text 22 4 3" xfId="21143" xr:uid="{00000000-0005-0000-0000-0000A3510000}"/>
    <cellStyle name="Warning Text 22 4 3 2" xfId="21144" xr:uid="{00000000-0005-0000-0000-0000A4510000}"/>
    <cellStyle name="Warning Text 22 4 4" xfId="21145" xr:uid="{00000000-0005-0000-0000-0000A5510000}"/>
    <cellStyle name="Warning Text 22 5" xfId="21146" xr:uid="{00000000-0005-0000-0000-0000A6510000}"/>
    <cellStyle name="Warning Text 22 5 2" xfId="21147" xr:uid="{00000000-0005-0000-0000-0000A7510000}"/>
    <cellStyle name="Warning Text 22 5 2 2" xfId="21148" xr:uid="{00000000-0005-0000-0000-0000A8510000}"/>
    <cellStyle name="Warning Text 22 5 3" xfId="21149" xr:uid="{00000000-0005-0000-0000-0000A9510000}"/>
    <cellStyle name="Warning Text 22 5 3 2" xfId="21150" xr:uid="{00000000-0005-0000-0000-0000AA510000}"/>
    <cellStyle name="Warning Text 22 5 4" xfId="21151" xr:uid="{00000000-0005-0000-0000-0000AB510000}"/>
    <cellStyle name="Warning Text 22 5 4 2" xfId="21152" xr:uid="{00000000-0005-0000-0000-0000AC510000}"/>
    <cellStyle name="Warning Text 22 5 5" xfId="21153" xr:uid="{00000000-0005-0000-0000-0000AD510000}"/>
    <cellStyle name="Warning Text 22 6" xfId="21154" xr:uid="{00000000-0005-0000-0000-0000AE510000}"/>
    <cellStyle name="Warning Text 22 6 2" xfId="21155" xr:uid="{00000000-0005-0000-0000-0000AF510000}"/>
    <cellStyle name="Warning Text 22 6 2 2" xfId="21156" xr:uid="{00000000-0005-0000-0000-0000B0510000}"/>
    <cellStyle name="Warning Text 22 6 3" xfId="21157" xr:uid="{00000000-0005-0000-0000-0000B1510000}"/>
    <cellStyle name="Warning Text 22 6 3 2" xfId="21158" xr:uid="{00000000-0005-0000-0000-0000B2510000}"/>
    <cellStyle name="Warning Text 22 6 4" xfId="21159" xr:uid="{00000000-0005-0000-0000-0000B3510000}"/>
    <cellStyle name="Warning Text 22 7" xfId="21160" xr:uid="{00000000-0005-0000-0000-0000B4510000}"/>
    <cellStyle name="Warning Text 22 7 2" xfId="21161" xr:uid="{00000000-0005-0000-0000-0000B5510000}"/>
    <cellStyle name="Warning Text 22 8" xfId="21162" xr:uid="{00000000-0005-0000-0000-0000B6510000}"/>
    <cellStyle name="Warning Text 22 8 2" xfId="21163" xr:uid="{00000000-0005-0000-0000-0000B7510000}"/>
    <cellStyle name="Warning Text 22 9" xfId="21164" xr:uid="{00000000-0005-0000-0000-0000B8510000}"/>
    <cellStyle name="Warning Text 22 9 2" xfId="21165" xr:uid="{00000000-0005-0000-0000-0000B9510000}"/>
    <cellStyle name="Warning Text 23" xfId="3358" xr:uid="{00000000-0005-0000-0000-0000BA510000}"/>
    <cellStyle name="Warning Text 23 10" xfId="21167" xr:uid="{00000000-0005-0000-0000-0000BB510000}"/>
    <cellStyle name="Warning Text 23 11" xfId="21168" xr:uid="{00000000-0005-0000-0000-0000BC510000}"/>
    <cellStyle name="Warning Text 23 12" xfId="21166" xr:uid="{00000000-0005-0000-0000-0000BD510000}"/>
    <cellStyle name="Warning Text 23 2" xfId="21169" xr:uid="{00000000-0005-0000-0000-0000BE510000}"/>
    <cellStyle name="Warning Text 23 2 2" xfId="21170" xr:uid="{00000000-0005-0000-0000-0000BF510000}"/>
    <cellStyle name="Warning Text 23 2 2 2" xfId="21171" xr:uid="{00000000-0005-0000-0000-0000C0510000}"/>
    <cellStyle name="Warning Text 23 2 3" xfId="21172" xr:uid="{00000000-0005-0000-0000-0000C1510000}"/>
    <cellStyle name="Warning Text 23 2 3 2" xfId="21173" xr:uid="{00000000-0005-0000-0000-0000C2510000}"/>
    <cellStyle name="Warning Text 23 2 4" xfId="21174" xr:uid="{00000000-0005-0000-0000-0000C3510000}"/>
    <cellStyle name="Warning Text 23 2 5" xfId="21175" xr:uid="{00000000-0005-0000-0000-0000C4510000}"/>
    <cellStyle name="Warning Text 23 3" xfId="21176" xr:uid="{00000000-0005-0000-0000-0000C5510000}"/>
    <cellStyle name="Warning Text 23 3 2" xfId="21177" xr:uid="{00000000-0005-0000-0000-0000C6510000}"/>
    <cellStyle name="Warning Text 23 3 2 2" xfId="21178" xr:uid="{00000000-0005-0000-0000-0000C7510000}"/>
    <cellStyle name="Warning Text 23 3 3" xfId="21179" xr:uid="{00000000-0005-0000-0000-0000C8510000}"/>
    <cellStyle name="Warning Text 23 3 3 2" xfId="21180" xr:uid="{00000000-0005-0000-0000-0000C9510000}"/>
    <cellStyle name="Warning Text 23 3 4" xfId="21181" xr:uid="{00000000-0005-0000-0000-0000CA510000}"/>
    <cellStyle name="Warning Text 23 4" xfId="21182" xr:uid="{00000000-0005-0000-0000-0000CB510000}"/>
    <cellStyle name="Warning Text 23 4 2" xfId="21183" xr:uid="{00000000-0005-0000-0000-0000CC510000}"/>
    <cellStyle name="Warning Text 23 4 2 2" xfId="21184" xr:uid="{00000000-0005-0000-0000-0000CD510000}"/>
    <cellStyle name="Warning Text 23 4 3" xfId="21185" xr:uid="{00000000-0005-0000-0000-0000CE510000}"/>
    <cellStyle name="Warning Text 23 4 3 2" xfId="21186" xr:uid="{00000000-0005-0000-0000-0000CF510000}"/>
    <cellStyle name="Warning Text 23 4 4" xfId="21187" xr:uid="{00000000-0005-0000-0000-0000D0510000}"/>
    <cellStyle name="Warning Text 23 5" xfId="21188" xr:uid="{00000000-0005-0000-0000-0000D1510000}"/>
    <cellStyle name="Warning Text 23 5 2" xfId="21189" xr:uid="{00000000-0005-0000-0000-0000D2510000}"/>
    <cellStyle name="Warning Text 23 5 2 2" xfId="21190" xr:uid="{00000000-0005-0000-0000-0000D3510000}"/>
    <cellStyle name="Warning Text 23 5 3" xfId="21191" xr:uid="{00000000-0005-0000-0000-0000D4510000}"/>
    <cellStyle name="Warning Text 23 5 3 2" xfId="21192" xr:uid="{00000000-0005-0000-0000-0000D5510000}"/>
    <cellStyle name="Warning Text 23 5 4" xfId="21193" xr:uid="{00000000-0005-0000-0000-0000D6510000}"/>
    <cellStyle name="Warning Text 23 5 4 2" xfId="21194" xr:uid="{00000000-0005-0000-0000-0000D7510000}"/>
    <cellStyle name="Warning Text 23 5 5" xfId="21195" xr:uid="{00000000-0005-0000-0000-0000D8510000}"/>
    <cellStyle name="Warning Text 23 6" xfId="21196" xr:uid="{00000000-0005-0000-0000-0000D9510000}"/>
    <cellStyle name="Warning Text 23 6 2" xfId="21197" xr:uid="{00000000-0005-0000-0000-0000DA510000}"/>
    <cellStyle name="Warning Text 23 6 2 2" xfId="21198" xr:uid="{00000000-0005-0000-0000-0000DB510000}"/>
    <cellStyle name="Warning Text 23 6 3" xfId="21199" xr:uid="{00000000-0005-0000-0000-0000DC510000}"/>
    <cellStyle name="Warning Text 23 6 3 2" xfId="21200" xr:uid="{00000000-0005-0000-0000-0000DD510000}"/>
    <cellStyle name="Warning Text 23 6 4" xfId="21201" xr:uid="{00000000-0005-0000-0000-0000DE510000}"/>
    <cellStyle name="Warning Text 23 7" xfId="21202" xr:uid="{00000000-0005-0000-0000-0000DF510000}"/>
    <cellStyle name="Warning Text 23 7 2" xfId="21203" xr:uid="{00000000-0005-0000-0000-0000E0510000}"/>
    <cellStyle name="Warning Text 23 8" xfId="21204" xr:uid="{00000000-0005-0000-0000-0000E1510000}"/>
    <cellStyle name="Warning Text 23 8 2" xfId="21205" xr:uid="{00000000-0005-0000-0000-0000E2510000}"/>
    <cellStyle name="Warning Text 23 9" xfId="21206" xr:uid="{00000000-0005-0000-0000-0000E3510000}"/>
    <cellStyle name="Warning Text 23 9 2" xfId="21207" xr:uid="{00000000-0005-0000-0000-0000E4510000}"/>
    <cellStyle name="Warning Text 24" xfId="3359" xr:uid="{00000000-0005-0000-0000-0000E5510000}"/>
    <cellStyle name="Warning Text 24 10" xfId="21209" xr:uid="{00000000-0005-0000-0000-0000E6510000}"/>
    <cellStyle name="Warning Text 24 11" xfId="21210" xr:uid="{00000000-0005-0000-0000-0000E7510000}"/>
    <cellStyle name="Warning Text 24 12" xfId="21208" xr:uid="{00000000-0005-0000-0000-0000E8510000}"/>
    <cellStyle name="Warning Text 24 2" xfId="21211" xr:uid="{00000000-0005-0000-0000-0000E9510000}"/>
    <cellStyle name="Warning Text 24 2 2" xfId="21212" xr:uid="{00000000-0005-0000-0000-0000EA510000}"/>
    <cellStyle name="Warning Text 24 2 2 2" xfId="21213" xr:uid="{00000000-0005-0000-0000-0000EB510000}"/>
    <cellStyle name="Warning Text 24 2 3" xfId="21214" xr:uid="{00000000-0005-0000-0000-0000EC510000}"/>
    <cellStyle name="Warning Text 24 2 3 2" xfId="21215" xr:uid="{00000000-0005-0000-0000-0000ED510000}"/>
    <cellStyle name="Warning Text 24 2 4" xfId="21216" xr:uid="{00000000-0005-0000-0000-0000EE510000}"/>
    <cellStyle name="Warning Text 24 2 5" xfId="21217" xr:uid="{00000000-0005-0000-0000-0000EF510000}"/>
    <cellStyle name="Warning Text 24 3" xfId="21218" xr:uid="{00000000-0005-0000-0000-0000F0510000}"/>
    <cellStyle name="Warning Text 24 3 2" xfId="21219" xr:uid="{00000000-0005-0000-0000-0000F1510000}"/>
    <cellStyle name="Warning Text 24 3 2 2" xfId="21220" xr:uid="{00000000-0005-0000-0000-0000F2510000}"/>
    <cellStyle name="Warning Text 24 3 3" xfId="21221" xr:uid="{00000000-0005-0000-0000-0000F3510000}"/>
    <cellStyle name="Warning Text 24 3 3 2" xfId="21222" xr:uid="{00000000-0005-0000-0000-0000F4510000}"/>
    <cellStyle name="Warning Text 24 3 4" xfId="21223" xr:uid="{00000000-0005-0000-0000-0000F5510000}"/>
    <cellStyle name="Warning Text 24 4" xfId="21224" xr:uid="{00000000-0005-0000-0000-0000F6510000}"/>
    <cellStyle name="Warning Text 24 4 2" xfId="21225" xr:uid="{00000000-0005-0000-0000-0000F7510000}"/>
    <cellStyle name="Warning Text 24 4 2 2" xfId="21226" xr:uid="{00000000-0005-0000-0000-0000F8510000}"/>
    <cellStyle name="Warning Text 24 4 3" xfId="21227" xr:uid="{00000000-0005-0000-0000-0000F9510000}"/>
    <cellStyle name="Warning Text 24 4 3 2" xfId="21228" xr:uid="{00000000-0005-0000-0000-0000FA510000}"/>
    <cellStyle name="Warning Text 24 4 4" xfId="21229" xr:uid="{00000000-0005-0000-0000-0000FB510000}"/>
    <cellStyle name="Warning Text 24 5" xfId="21230" xr:uid="{00000000-0005-0000-0000-0000FC510000}"/>
    <cellStyle name="Warning Text 24 5 2" xfId="21231" xr:uid="{00000000-0005-0000-0000-0000FD510000}"/>
    <cellStyle name="Warning Text 24 5 2 2" xfId="21232" xr:uid="{00000000-0005-0000-0000-0000FE510000}"/>
    <cellStyle name="Warning Text 24 5 3" xfId="21233" xr:uid="{00000000-0005-0000-0000-0000FF510000}"/>
    <cellStyle name="Warning Text 24 5 3 2" xfId="21234" xr:uid="{00000000-0005-0000-0000-000000520000}"/>
    <cellStyle name="Warning Text 24 5 4" xfId="21235" xr:uid="{00000000-0005-0000-0000-000001520000}"/>
    <cellStyle name="Warning Text 24 5 4 2" xfId="21236" xr:uid="{00000000-0005-0000-0000-000002520000}"/>
    <cellStyle name="Warning Text 24 5 5" xfId="21237" xr:uid="{00000000-0005-0000-0000-000003520000}"/>
    <cellStyle name="Warning Text 24 6" xfId="21238" xr:uid="{00000000-0005-0000-0000-000004520000}"/>
    <cellStyle name="Warning Text 24 6 2" xfId="21239" xr:uid="{00000000-0005-0000-0000-000005520000}"/>
    <cellStyle name="Warning Text 24 6 2 2" xfId="21240" xr:uid="{00000000-0005-0000-0000-000006520000}"/>
    <cellStyle name="Warning Text 24 6 3" xfId="21241" xr:uid="{00000000-0005-0000-0000-000007520000}"/>
    <cellStyle name="Warning Text 24 6 3 2" xfId="21242" xr:uid="{00000000-0005-0000-0000-000008520000}"/>
    <cellStyle name="Warning Text 24 6 4" xfId="21243" xr:uid="{00000000-0005-0000-0000-000009520000}"/>
    <cellStyle name="Warning Text 24 7" xfId="21244" xr:uid="{00000000-0005-0000-0000-00000A520000}"/>
    <cellStyle name="Warning Text 24 7 2" xfId="21245" xr:uid="{00000000-0005-0000-0000-00000B520000}"/>
    <cellStyle name="Warning Text 24 8" xfId="21246" xr:uid="{00000000-0005-0000-0000-00000C520000}"/>
    <cellStyle name="Warning Text 24 8 2" xfId="21247" xr:uid="{00000000-0005-0000-0000-00000D520000}"/>
    <cellStyle name="Warning Text 24 9" xfId="21248" xr:uid="{00000000-0005-0000-0000-00000E520000}"/>
    <cellStyle name="Warning Text 24 9 2" xfId="21249" xr:uid="{00000000-0005-0000-0000-00000F520000}"/>
    <cellStyle name="Warning Text 25" xfId="3360" xr:uid="{00000000-0005-0000-0000-000010520000}"/>
    <cellStyle name="Warning Text 25 10" xfId="21251" xr:uid="{00000000-0005-0000-0000-000011520000}"/>
    <cellStyle name="Warning Text 25 11" xfId="21252" xr:uid="{00000000-0005-0000-0000-000012520000}"/>
    <cellStyle name="Warning Text 25 12" xfId="21250" xr:uid="{00000000-0005-0000-0000-000013520000}"/>
    <cellStyle name="Warning Text 25 2" xfId="21253" xr:uid="{00000000-0005-0000-0000-000014520000}"/>
    <cellStyle name="Warning Text 25 2 2" xfId="21254" xr:uid="{00000000-0005-0000-0000-000015520000}"/>
    <cellStyle name="Warning Text 25 2 2 2" xfId="21255" xr:uid="{00000000-0005-0000-0000-000016520000}"/>
    <cellStyle name="Warning Text 25 2 3" xfId="21256" xr:uid="{00000000-0005-0000-0000-000017520000}"/>
    <cellStyle name="Warning Text 25 2 3 2" xfId="21257" xr:uid="{00000000-0005-0000-0000-000018520000}"/>
    <cellStyle name="Warning Text 25 2 4" xfId="21258" xr:uid="{00000000-0005-0000-0000-000019520000}"/>
    <cellStyle name="Warning Text 25 2 5" xfId="21259" xr:uid="{00000000-0005-0000-0000-00001A520000}"/>
    <cellStyle name="Warning Text 25 3" xfId="21260" xr:uid="{00000000-0005-0000-0000-00001B520000}"/>
    <cellStyle name="Warning Text 25 3 2" xfId="21261" xr:uid="{00000000-0005-0000-0000-00001C520000}"/>
    <cellStyle name="Warning Text 25 3 2 2" xfId="21262" xr:uid="{00000000-0005-0000-0000-00001D520000}"/>
    <cellStyle name="Warning Text 25 3 3" xfId="21263" xr:uid="{00000000-0005-0000-0000-00001E520000}"/>
    <cellStyle name="Warning Text 25 3 3 2" xfId="21264" xr:uid="{00000000-0005-0000-0000-00001F520000}"/>
    <cellStyle name="Warning Text 25 3 4" xfId="21265" xr:uid="{00000000-0005-0000-0000-000020520000}"/>
    <cellStyle name="Warning Text 25 4" xfId="21266" xr:uid="{00000000-0005-0000-0000-000021520000}"/>
    <cellStyle name="Warning Text 25 4 2" xfId="21267" xr:uid="{00000000-0005-0000-0000-000022520000}"/>
    <cellStyle name="Warning Text 25 4 2 2" xfId="21268" xr:uid="{00000000-0005-0000-0000-000023520000}"/>
    <cellStyle name="Warning Text 25 4 3" xfId="21269" xr:uid="{00000000-0005-0000-0000-000024520000}"/>
    <cellStyle name="Warning Text 25 4 3 2" xfId="21270" xr:uid="{00000000-0005-0000-0000-000025520000}"/>
    <cellStyle name="Warning Text 25 4 4" xfId="21271" xr:uid="{00000000-0005-0000-0000-000026520000}"/>
    <cellStyle name="Warning Text 25 5" xfId="21272" xr:uid="{00000000-0005-0000-0000-000027520000}"/>
    <cellStyle name="Warning Text 25 5 2" xfId="21273" xr:uid="{00000000-0005-0000-0000-000028520000}"/>
    <cellStyle name="Warning Text 25 5 2 2" xfId="21274" xr:uid="{00000000-0005-0000-0000-000029520000}"/>
    <cellStyle name="Warning Text 25 5 3" xfId="21275" xr:uid="{00000000-0005-0000-0000-00002A520000}"/>
    <cellStyle name="Warning Text 25 5 3 2" xfId="21276" xr:uid="{00000000-0005-0000-0000-00002B520000}"/>
    <cellStyle name="Warning Text 25 5 4" xfId="21277" xr:uid="{00000000-0005-0000-0000-00002C520000}"/>
    <cellStyle name="Warning Text 25 5 4 2" xfId="21278" xr:uid="{00000000-0005-0000-0000-00002D520000}"/>
    <cellStyle name="Warning Text 25 5 5" xfId="21279" xr:uid="{00000000-0005-0000-0000-00002E520000}"/>
    <cellStyle name="Warning Text 25 6" xfId="21280" xr:uid="{00000000-0005-0000-0000-00002F520000}"/>
    <cellStyle name="Warning Text 25 6 2" xfId="21281" xr:uid="{00000000-0005-0000-0000-000030520000}"/>
    <cellStyle name="Warning Text 25 6 2 2" xfId="21282" xr:uid="{00000000-0005-0000-0000-000031520000}"/>
    <cellStyle name="Warning Text 25 6 3" xfId="21283" xr:uid="{00000000-0005-0000-0000-000032520000}"/>
    <cellStyle name="Warning Text 25 6 3 2" xfId="21284" xr:uid="{00000000-0005-0000-0000-000033520000}"/>
    <cellStyle name="Warning Text 25 6 4" xfId="21285" xr:uid="{00000000-0005-0000-0000-000034520000}"/>
    <cellStyle name="Warning Text 25 7" xfId="21286" xr:uid="{00000000-0005-0000-0000-000035520000}"/>
    <cellStyle name="Warning Text 25 7 2" xfId="21287" xr:uid="{00000000-0005-0000-0000-000036520000}"/>
    <cellStyle name="Warning Text 25 8" xfId="21288" xr:uid="{00000000-0005-0000-0000-000037520000}"/>
    <cellStyle name="Warning Text 25 8 2" xfId="21289" xr:uid="{00000000-0005-0000-0000-000038520000}"/>
    <cellStyle name="Warning Text 25 9" xfId="21290" xr:uid="{00000000-0005-0000-0000-000039520000}"/>
    <cellStyle name="Warning Text 25 9 2" xfId="21291" xr:uid="{00000000-0005-0000-0000-00003A520000}"/>
    <cellStyle name="Warning Text 26" xfId="3361" xr:uid="{00000000-0005-0000-0000-00003B520000}"/>
    <cellStyle name="Warning Text 26 10" xfId="21293" xr:uid="{00000000-0005-0000-0000-00003C520000}"/>
    <cellStyle name="Warning Text 26 11" xfId="21294" xr:uid="{00000000-0005-0000-0000-00003D520000}"/>
    <cellStyle name="Warning Text 26 12" xfId="21292" xr:uid="{00000000-0005-0000-0000-00003E520000}"/>
    <cellStyle name="Warning Text 26 2" xfId="21295" xr:uid="{00000000-0005-0000-0000-00003F520000}"/>
    <cellStyle name="Warning Text 26 2 2" xfId="21296" xr:uid="{00000000-0005-0000-0000-000040520000}"/>
    <cellStyle name="Warning Text 26 2 2 2" xfId="21297" xr:uid="{00000000-0005-0000-0000-000041520000}"/>
    <cellStyle name="Warning Text 26 2 3" xfId="21298" xr:uid="{00000000-0005-0000-0000-000042520000}"/>
    <cellStyle name="Warning Text 26 2 3 2" xfId="21299" xr:uid="{00000000-0005-0000-0000-000043520000}"/>
    <cellStyle name="Warning Text 26 2 4" xfId="21300" xr:uid="{00000000-0005-0000-0000-000044520000}"/>
    <cellStyle name="Warning Text 26 2 5" xfId="21301" xr:uid="{00000000-0005-0000-0000-000045520000}"/>
    <cellStyle name="Warning Text 26 3" xfId="21302" xr:uid="{00000000-0005-0000-0000-000046520000}"/>
    <cellStyle name="Warning Text 26 3 2" xfId="21303" xr:uid="{00000000-0005-0000-0000-000047520000}"/>
    <cellStyle name="Warning Text 26 3 2 2" xfId="21304" xr:uid="{00000000-0005-0000-0000-000048520000}"/>
    <cellStyle name="Warning Text 26 3 3" xfId="21305" xr:uid="{00000000-0005-0000-0000-000049520000}"/>
    <cellStyle name="Warning Text 26 3 3 2" xfId="21306" xr:uid="{00000000-0005-0000-0000-00004A520000}"/>
    <cellStyle name="Warning Text 26 3 4" xfId="21307" xr:uid="{00000000-0005-0000-0000-00004B520000}"/>
    <cellStyle name="Warning Text 26 4" xfId="21308" xr:uid="{00000000-0005-0000-0000-00004C520000}"/>
    <cellStyle name="Warning Text 26 4 2" xfId="21309" xr:uid="{00000000-0005-0000-0000-00004D520000}"/>
    <cellStyle name="Warning Text 26 4 2 2" xfId="21310" xr:uid="{00000000-0005-0000-0000-00004E520000}"/>
    <cellStyle name="Warning Text 26 4 3" xfId="21311" xr:uid="{00000000-0005-0000-0000-00004F520000}"/>
    <cellStyle name="Warning Text 26 4 3 2" xfId="21312" xr:uid="{00000000-0005-0000-0000-000050520000}"/>
    <cellStyle name="Warning Text 26 4 4" xfId="21313" xr:uid="{00000000-0005-0000-0000-000051520000}"/>
    <cellStyle name="Warning Text 26 5" xfId="21314" xr:uid="{00000000-0005-0000-0000-000052520000}"/>
    <cellStyle name="Warning Text 26 5 2" xfId="21315" xr:uid="{00000000-0005-0000-0000-000053520000}"/>
    <cellStyle name="Warning Text 26 5 2 2" xfId="21316" xr:uid="{00000000-0005-0000-0000-000054520000}"/>
    <cellStyle name="Warning Text 26 5 3" xfId="21317" xr:uid="{00000000-0005-0000-0000-000055520000}"/>
    <cellStyle name="Warning Text 26 5 3 2" xfId="21318" xr:uid="{00000000-0005-0000-0000-000056520000}"/>
    <cellStyle name="Warning Text 26 5 4" xfId="21319" xr:uid="{00000000-0005-0000-0000-000057520000}"/>
    <cellStyle name="Warning Text 26 5 4 2" xfId="21320" xr:uid="{00000000-0005-0000-0000-000058520000}"/>
    <cellStyle name="Warning Text 26 5 5" xfId="21321" xr:uid="{00000000-0005-0000-0000-000059520000}"/>
    <cellStyle name="Warning Text 26 6" xfId="21322" xr:uid="{00000000-0005-0000-0000-00005A520000}"/>
    <cellStyle name="Warning Text 26 6 2" xfId="21323" xr:uid="{00000000-0005-0000-0000-00005B520000}"/>
    <cellStyle name="Warning Text 26 6 2 2" xfId="21324" xr:uid="{00000000-0005-0000-0000-00005C520000}"/>
    <cellStyle name="Warning Text 26 6 3" xfId="21325" xr:uid="{00000000-0005-0000-0000-00005D520000}"/>
    <cellStyle name="Warning Text 26 6 3 2" xfId="21326" xr:uid="{00000000-0005-0000-0000-00005E520000}"/>
    <cellStyle name="Warning Text 26 6 4" xfId="21327" xr:uid="{00000000-0005-0000-0000-00005F520000}"/>
    <cellStyle name="Warning Text 26 7" xfId="21328" xr:uid="{00000000-0005-0000-0000-000060520000}"/>
    <cellStyle name="Warning Text 26 7 2" xfId="21329" xr:uid="{00000000-0005-0000-0000-000061520000}"/>
    <cellStyle name="Warning Text 26 8" xfId="21330" xr:uid="{00000000-0005-0000-0000-000062520000}"/>
    <cellStyle name="Warning Text 26 8 2" xfId="21331" xr:uid="{00000000-0005-0000-0000-000063520000}"/>
    <cellStyle name="Warning Text 26 9" xfId="21332" xr:uid="{00000000-0005-0000-0000-000064520000}"/>
    <cellStyle name="Warning Text 26 9 2" xfId="21333" xr:uid="{00000000-0005-0000-0000-000065520000}"/>
    <cellStyle name="Warning Text 27" xfId="3362" xr:uid="{00000000-0005-0000-0000-000066520000}"/>
    <cellStyle name="Warning Text 27 10" xfId="21335" xr:uid="{00000000-0005-0000-0000-000067520000}"/>
    <cellStyle name="Warning Text 27 11" xfId="21336" xr:uid="{00000000-0005-0000-0000-000068520000}"/>
    <cellStyle name="Warning Text 27 12" xfId="21334" xr:uid="{00000000-0005-0000-0000-000069520000}"/>
    <cellStyle name="Warning Text 27 2" xfId="21337" xr:uid="{00000000-0005-0000-0000-00006A520000}"/>
    <cellStyle name="Warning Text 27 2 2" xfId="21338" xr:uid="{00000000-0005-0000-0000-00006B520000}"/>
    <cellStyle name="Warning Text 27 2 2 2" xfId="21339" xr:uid="{00000000-0005-0000-0000-00006C520000}"/>
    <cellStyle name="Warning Text 27 2 3" xfId="21340" xr:uid="{00000000-0005-0000-0000-00006D520000}"/>
    <cellStyle name="Warning Text 27 2 3 2" xfId="21341" xr:uid="{00000000-0005-0000-0000-00006E520000}"/>
    <cellStyle name="Warning Text 27 2 4" xfId="21342" xr:uid="{00000000-0005-0000-0000-00006F520000}"/>
    <cellStyle name="Warning Text 27 2 5" xfId="21343" xr:uid="{00000000-0005-0000-0000-000070520000}"/>
    <cellStyle name="Warning Text 27 3" xfId="21344" xr:uid="{00000000-0005-0000-0000-000071520000}"/>
    <cellStyle name="Warning Text 27 3 2" xfId="21345" xr:uid="{00000000-0005-0000-0000-000072520000}"/>
    <cellStyle name="Warning Text 27 3 2 2" xfId="21346" xr:uid="{00000000-0005-0000-0000-000073520000}"/>
    <cellStyle name="Warning Text 27 3 3" xfId="21347" xr:uid="{00000000-0005-0000-0000-000074520000}"/>
    <cellStyle name="Warning Text 27 3 3 2" xfId="21348" xr:uid="{00000000-0005-0000-0000-000075520000}"/>
    <cellStyle name="Warning Text 27 3 4" xfId="21349" xr:uid="{00000000-0005-0000-0000-000076520000}"/>
    <cellStyle name="Warning Text 27 4" xfId="21350" xr:uid="{00000000-0005-0000-0000-000077520000}"/>
    <cellStyle name="Warning Text 27 4 2" xfId="21351" xr:uid="{00000000-0005-0000-0000-000078520000}"/>
    <cellStyle name="Warning Text 27 4 2 2" xfId="21352" xr:uid="{00000000-0005-0000-0000-000079520000}"/>
    <cellStyle name="Warning Text 27 4 3" xfId="21353" xr:uid="{00000000-0005-0000-0000-00007A520000}"/>
    <cellStyle name="Warning Text 27 4 3 2" xfId="21354" xr:uid="{00000000-0005-0000-0000-00007B520000}"/>
    <cellStyle name="Warning Text 27 4 4" xfId="21355" xr:uid="{00000000-0005-0000-0000-00007C520000}"/>
    <cellStyle name="Warning Text 27 5" xfId="21356" xr:uid="{00000000-0005-0000-0000-00007D520000}"/>
    <cellStyle name="Warning Text 27 5 2" xfId="21357" xr:uid="{00000000-0005-0000-0000-00007E520000}"/>
    <cellStyle name="Warning Text 27 5 2 2" xfId="21358" xr:uid="{00000000-0005-0000-0000-00007F520000}"/>
    <cellStyle name="Warning Text 27 5 3" xfId="21359" xr:uid="{00000000-0005-0000-0000-000080520000}"/>
    <cellStyle name="Warning Text 27 5 3 2" xfId="21360" xr:uid="{00000000-0005-0000-0000-000081520000}"/>
    <cellStyle name="Warning Text 27 5 4" xfId="21361" xr:uid="{00000000-0005-0000-0000-000082520000}"/>
    <cellStyle name="Warning Text 27 5 4 2" xfId="21362" xr:uid="{00000000-0005-0000-0000-000083520000}"/>
    <cellStyle name="Warning Text 27 5 5" xfId="21363" xr:uid="{00000000-0005-0000-0000-000084520000}"/>
    <cellStyle name="Warning Text 27 6" xfId="21364" xr:uid="{00000000-0005-0000-0000-000085520000}"/>
    <cellStyle name="Warning Text 27 6 2" xfId="21365" xr:uid="{00000000-0005-0000-0000-000086520000}"/>
    <cellStyle name="Warning Text 27 6 2 2" xfId="21366" xr:uid="{00000000-0005-0000-0000-000087520000}"/>
    <cellStyle name="Warning Text 27 6 3" xfId="21367" xr:uid="{00000000-0005-0000-0000-000088520000}"/>
    <cellStyle name="Warning Text 27 6 3 2" xfId="21368" xr:uid="{00000000-0005-0000-0000-000089520000}"/>
    <cellStyle name="Warning Text 27 6 4" xfId="21369" xr:uid="{00000000-0005-0000-0000-00008A520000}"/>
    <cellStyle name="Warning Text 27 7" xfId="21370" xr:uid="{00000000-0005-0000-0000-00008B520000}"/>
    <cellStyle name="Warning Text 27 7 2" xfId="21371" xr:uid="{00000000-0005-0000-0000-00008C520000}"/>
    <cellStyle name="Warning Text 27 8" xfId="21372" xr:uid="{00000000-0005-0000-0000-00008D520000}"/>
    <cellStyle name="Warning Text 27 8 2" xfId="21373" xr:uid="{00000000-0005-0000-0000-00008E520000}"/>
    <cellStyle name="Warning Text 27 9" xfId="21374" xr:uid="{00000000-0005-0000-0000-00008F520000}"/>
    <cellStyle name="Warning Text 27 9 2" xfId="21375" xr:uid="{00000000-0005-0000-0000-000090520000}"/>
    <cellStyle name="Warning Text 28" xfId="3363" xr:uid="{00000000-0005-0000-0000-000091520000}"/>
    <cellStyle name="Warning Text 28 10" xfId="21377" xr:uid="{00000000-0005-0000-0000-000092520000}"/>
    <cellStyle name="Warning Text 28 11" xfId="21378" xr:uid="{00000000-0005-0000-0000-000093520000}"/>
    <cellStyle name="Warning Text 28 12" xfId="21376" xr:uid="{00000000-0005-0000-0000-000094520000}"/>
    <cellStyle name="Warning Text 28 2" xfId="21379" xr:uid="{00000000-0005-0000-0000-000095520000}"/>
    <cellStyle name="Warning Text 28 2 2" xfId="21380" xr:uid="{00000000-0005-0000-0000-000096520000}"/>
    <cellStyle name="Warning Text 28 2 2 2" xfId="21381" xr:uid="{00000000-0005-0000-0000-000097520000}"/>
    <cellStyle name="Warning Text 28 2 3" xfId="21382" xr:uid="{00000000-0005-0000-0000-000098520000}"/>
    <cellStyle name="Warning Text 28 2 3 2" xfId="21383" xr:uid="{00000000-0005-0000-0000-000099520000}"/>
    <cellStyle name="Warning Text 28 2 4" xfId="21384" xr:uid="{00000000-0005-0000-0000-00009A520000}"/>
    <cellStyle name="Warning Text 28 2 5" xfId="21385" xr:uid="{00000000-0005-0000-0000-00009B520000}"/>
    <cellStyle name="Warning Text 28 3" xfId="21386" xr:uid="{00000000-0005-0000-0000-00009C520000}"/>
    <cellStyle name="Warning Text 28 3 2" xfId="21387" xr:uid="{00000000-0005-0000-0000-00009D520000}"/>
    <cellStyle name="Warning Text 28 3 2 2" xfId="21388" xr:uid="{00000000-0005-0000-0000-00009E520000}"/>
    <cellStyle name="Warning Text 28 3 3" xfId="21389" xr:uid="{00000000-0005-0000-0000-00009F520000}"/>
    <cellStyle name="Warning Text 28 3 3 2" xfId="21390" xr:uid="{00000000-0005-0000-0000-0000A0520000}"/>
    <cellStyle name="Warning Text 28 3 4" xfId="21391" xr:uid="{00000000-0005-0000-0000-0000A1520000}"/>
    <cellStyle name="Warning Text 28 4" xfId="21392" xr:uid="{00000000-0005-0000-0000-0000A2520000}"/>
    <cellStyle name="Warning Text 28 4 2" xfId="21393" xr:uid="{00000000-0005-0000-0000-0000A3520000}"/>
    <cellStyle name="Warning Text 28 4 2 2" xfId="21394" xr:uid="{00000000-0005-0000-0000-0000A4520000}"/>
    <cellStyle name="Warning Text 28 4 3" xfId="21395" xr:uid="{00000000-0005-0000-0000-0000A5520000}"/>
    <cellStyle name="Warning Text 28 4 3 2" xfId="21396" xr:uid="{00000000-0005-0000-0000-0000A6520000}"/>
    <cellStyle name="Warning Text 28 4 4" xfId="21397" xr:uid="{00000000-0005-0000-0000-0000A7520000}"/>
    <cellStyle name="Warning Text 28 5" xfId="21398" xr:uid="{00000000-0005-0000-0000-0000A8520000}"/>
    <cellStyle name="Warning Text 28 5 2" xfId="21399" xr:uid="{00000000-0005-0000-0000-0000A9520000}"/>
    <cellStyle name="Warning Text 28 5 2 2" xfId="21400" xr:uid="{00000000-0005-0000-0000-0000AA520000}"/>
    <cellStyle name="Warning Text 28 5 3" xfId="21401" xr:uid="{00000000-0005-0000-0000-0000AB520000}"/>
    <cellStyle name="Warning Text 28 5 3 2" xfId="21402" xr:uid="{00000000-0005-0000-0000-0000AC520000}"/>
    <cellStyle name="Warning Text 28 5 4" xfId="21403" xr:uid="{00000000-0005-0000-0000-0000AD520000}"/>
    <cellStyle name="Warning Text 28 5 4 2" xfId="21404" xr:uid="{00000000-0005-0000-0000-0000AE520000}"/>
    <cellStyle name="Warning Text 28 5 5" xfId="21405" xr:uid="{00000000-0005-0000-0000-0000AF520000}"/>
    <cellStyle name="Warning Text 28 6" xfId="21406" xr:uid="{00000000-0005-0000-0000-0000B0520000}"/>
    <cellStyle name="Warning Text 28 6 2" xfId="21407" xr:uid="{00000000-0005-0000-0000-0000B1520000}"/>
    <cellStyle name="Warning Text 28 6 2 2" xfId="21408" xr:uid="{00000000-0005-0000-0000-0000B2520000}"/>
    <cellStyle name="Warning Text 28 6 3" xfId="21409" xr:uid="{00000000-0005-0000-0000-0000B3520000}"/>
    <cellStyle name="Warning Text 28 6 3 2" xfId="21410" xr:uid="{00000000-0005-0000-0000-0000B4520000}"/>
    <cellStyle name="Warning Text 28 6 4" xfId="21411" xr:uid="{00000000-0005-0000-0000-0000B5520000}"/>
    <cellStyle name="Warning Text 28 7" xfId="21412" xr:uid="{00000000-0005-0000-0000-0000B6520000}"/>
    <cellStyle name="Warning Text 28 7 2" xfId="21413" xr:uid="{00000000-0005-0000-0000-0000B7520000}"/>
    <cellStyle name="Warning Text 28 8" xfId="21414" xr:uid="{00000000-0005-0000-0000-0000B8520000}"/>
    <cellStyle name="Warning Text 28 8 2" xfId="21415" xr:uid="{00000000-0005-0000-0000-0000B9520000}"/>
    <cellStyle name="Warning Text 28 9" xfId="21416" xr:uid="{00000000-0005-0000-0000-0000BA520000}"/>
    <cellStyle name="Warning Text 28 9 2" xfId="21417" xr:uid="{00000000-0005-0000-0000-0000BB520000}"/>
    <cellStyle name="Warning Text 29" xfId="3364" xr:uid="{00000000-0005-0000-0000-0000BC520000}"/>
    <cellStyle name="Warning Text 29 10" xfId="21419" xr:uid="{00000000-0005-0000-0000-0000BD520000}"/>
    <cellStyle name="Warning Text 29 11" xfId="21420" xr:uid="{00000000-0005-0000-0000-0000BE520000}"/>
    <cellStyle name="Warning Text 29 12" xfId="21418" xr:uid="{00000000-0005-0000-0000-0000BF520000}"/>
    <cellStyle name="Warning Text 29 2" xfId="21421" xr:uid="{00000000-0005-0000-0000-0000C0520000}"/>
    <cellStyle name="Warning Text 29 2 2" xfId="21422" xr:uid="{00000000-0005-0000-0000-0000C1520000}"/>
    <cellStyle name="Warning Text 29 2 2 2" xfId="21423" xr:uid="{00000000-0005-0000-0000-0000C2520000}"/>
    <cellStyle name="Warning Text 29 2 3" xfId="21424" xr:uid="{00000000-0005-0000-0000-0000C3520000}"/>
    <cellStyle name="Warning Text 29 2 3 2" xfId="21425" xr:uid="{00000000-0005-0000-0000-0000C4520000}"/>
    <cellStyle name="Warning Text 29 2 4" xfId="21426" xr:uid="{00000000-0005-0000-0000-0000C5520000}"/>
    <cellStyle name="Warning Text 29 2 5" xfId="21427" xr:uid="{00000000-0005-0000-0000-0000C6520000}"/>
    <cellStyle name="Warning Text 29 3" xfId="21428" xr:uid="{00000000-0005-0000-0000-0000C7520000}"/>
    <cellStyle name="Warning Text 29 3 2" xfId="21429" xr:uid="{00000000-0005-0000-0000-0000C8520000}"/>
    <cellStyle name="Warning Text 29 3 2 2" xfId="21430" xr:uid="{00000000-0005-0000-0000-0000C9520000}"/>
    <cellStyle name="Warning Text 29 3 3" xfId="21431" xr:uid="{00000000-0005-0000-0000-0000CA520000}"/>
    <cellStyle name="Warning Text 29 3 3 2" xfId="21432" xr:uid="{00000000-0005-0000-0000-0000CB520000}"/>
    <cellStyle name="Warning Text 29 3 4" xfId="21433" xr:uid="{00000000-0005-0000-0000-0000CC520000}"/>
    <cellStyle name="Warning Text 29 4" xfId="21434" xr:uid="{00000000-0005-0000-0000-0000CD520000}"/>
    <cellStyle name="Warning Text 29 4 2" xfId="21435" xr:uid="{00000000-0005-0000-0000-0000CE520000}"/>
    <cellStyle name="Warning Text 29 4 2 2" xfId="21436" xr:uid="{00000000-0005-0000-0000-0000CF520000}"/>
    <cellStyle name="Warning Text 29 4 3" xfId="21437" xr:uid="{00000000-0005-0000-0000-0000D0520000}"/>
    <cellStyle name="Warning Text 29 4 3 2" xfId="21438" xr:uid="{00000000-0005-0000-0000-0000D1520000}"/>
    <cellStyle name="Warning Text 29 4 4" xfId="21439" xr:uid="{00000000-0005-0000-0000-0000D2520000}"/>
    <cellStyle name="Warning Text 29 5" xfId="21440" xr:uid="{00000000-0005-0000-0000-0000D3520000}"/>
    <cellStyle name="Warning Text 29 5 2" xfId="21441" xr:uid="{00000000-0005-0000-0000-0000D4520000}"/>
    <cellStyle name="Warning Text 29 5 2 2" xfId="21442" xr:uid="{00000000-0005-0000-0000-0000D5520000}"/>
    <cellStyle name="Warning Text 29 5 3" xfId="21443" xr:uid="{00000000-0005-0000-0000-0000D6520000}"/>
    <cellStyle name="Warning Text 29 5 3 2" xfId="21444" xr:uid="{00000000-0005-0000-0000-0000D7520000}"/>
    <cellStyle name="Warning Text 29 5 4" xfId="21445" xr:uid="{00000000-0005-0000-0000-0000D8520000}"/>
    <cellStyle name="Warning Text 29 5 4 2" xfId="21446" xr:uid="{00000000-0005-0000-0000-0000D9520000}"/>
    <cellStyle name="Warning Text 29 5 5" xfId="21447" xr:uid="{00000000-0005-0000-0000-0000DA520000}"/>
    <cellStyle name="Warning Text 29 6" xfId="21448" xr:uid="{00000000-0005-0000-0000-0000DB520000}"/>
    <cellStyle name="Warning Text 29 6 2" xfId="21449" xr:uid="{00000000-0005-0000-0000-0000DC520000}"/>
    <cellStyle name="Warning Text 29 6 2 2" xfId="21450" xr:uid="{00000000-0005-0000-0000-0000DD520000}"/>
    <cellStyle name="Warning Text 29 6 3" xfId="21451" xr:uid="{00000000-0005-0000-0000-0000DE520000}"/>
    <cellStyle name="Warning Text 29 6 3 2" xfId="21452" xr:uid="{00000000-0005-0000-0000-0000DF520000}"/>
    <cellStyle name="Warning Text 29 6 4" xfId="21453" xr:uid="{00000000-0005-0000-0000-0000E0520000}"/>
    <cellStyle name="Warning Text 29 7" xfId="21454" xr:uid="{00000000-0005-0000-0000-0000E1520000}"/>
    <cellStyle name="Warning Text 29 7 2" xfId="21455" xr:uid="{00000000-0005-0000-0000-0000E2520000}"/>
    <cellStyle name="Warning Text 29 8" xfId="21456" xr:uid="{00000000-0005-0000-0000-0000E3520000}"/>
    <cellStyle name="Warning Text 29 8 2" xfId="21457" xr:uid="{00000000-0005-0000-0000-0000E4520000}"/>
    <cellStyle name="Warning Text 29 9" xfId="21458" xr:uid="{00000000-0005-0000-0000-0000E5520000}"/>
    <cellStyle name="Warning Text 29 9 2" xfId="21459" xr:uid="{00000000-0005-0000-0000-0000E6520000}"/>
    <cellStyle name="Warning Text 3" xfId="312" xr:uid="{00000000-0005-0000-0000-0000E7520000}"/>
    <cellStyle name="Warning Text 3 10" xfId="21461" xr:uid="{00000000-0005-0000-0000-0000E8520000}"/>
    <cellStyle name="Warning Text 3 11" xfId="21462" xr:uid="{00000000-0005-0000-0000-0000E9520000}"/>
    <cellStyle name="Warning Text 3 12" xfId="21460" xr:uid="{00000000-0005-0000-0000-0000EA520000}"/>
    <cellStyle name="Warning Text 3 2" xfId="3365" xr:uid="{00000000-0005-0000-0000-0000EB520000}"/>
    <cellStyle name="Warning Text 3 2 2" xfId="21464" xr:uid="{00000000-0005-0000-0000-0000EC520000}"/>
    <cellStyle name="Warning Text 3 2 2 2" xfId="21465" xr:uid="{00000000-0005-0000-0000-0000ED520000}"/>
    <cellStyle name="Warning Text 3 2 3" xfId="21466" xr:uid="{00000000-0005-0000-0000-0000EE520000}"/>
    <cellStyle name="Warning Text 3 2 3 2" xfId="21467" xr:uid="{00000000-0005-0000-0000-0000EF520000}"/>
    <cellStyle name="Warning Text 3 2 4" xfId="21468" xr:uid="{00000000-0005-0000-0000-0000F0520000}"/>
    <cellStyle name="Warning Text 3 2 5" xfId="21469" xr:uid="{00000000-0005-0000-0000-0000F1520000}"/>
    <cellStyle name="Warning Text 3 2 6" xfId="21463" xr:uid="{00000000-0005-0000-0000-0000F2520000}"/>
    <cellStyle name="Warning Text 3 3" xfId="21470" xr:uid="{00000000-0005-0000-0000-0000F3520000}"/>
    <cellStyle name="Warning Text 3 3 2" xfId="21471" xr:uid="{00000000-0005-0000-0000-0000F4520000}"/>
    <cellStyle name="Warning Text 3 3 2 2" xfId="21472" xr:uid="{00000000-0005-0000-0000-0000F5520000}"/>
    <cellStyle name="Warning Text 3 3 3" xfId="21473" xr:uid="{00000000-0005-0000-0000-0000F6520000}"/>
    <cellStyle name="Warning Text 3 3 3 2" xfId="21474" xr:uid="{00000000-0005-0000-0000-0000F7520000}"/>
    <cellStyle name="Warning Text 3 3 4" xfId="21475" xr:uid="{00000000-0005-0000-0000-0000F8520000}"/>
    <cellStyle name="Warning Text 3 4" xfId="21476" xr:uid="{00000000-0005-0000-0000-0000F9520000}"/>
    <cellStyle name="Warning Text 3 4 2" xfId="21477" xr:uid="{00000000-0005-0000-0000-0000FA520000}"/>
    <cellStyle name="Warning Text 3 4 2 2" xfId="21478" xr:uid="{00000000-0005-0000-0000-0000FB520000}"/>
    <cellStyle name="Warning Text 3 4 3" xfId="21479" xr:uid="{00000000-0005-0000-0000-0000FC520000}"/>
    <cellStyle name="Warning Text 3 4 3 2" xfId="21480" xr:uid="{00000000-0005-0000-0000-0000FD520000}"/>
    <cellStyle name="Warning Text 3 4 4" xfId="21481" xr:uid="{00000000-0005-0000-0000-0000FE520000}"/>
    <cellStyle name="Warning Text 3 5" xfId="21482" xr:uid="{00000000-0005-0000-0000-0000FF520000}"/>
    <cellStyle name="Warning Text 3 5 2" xfId="21483" xr:uid="{00000000-0005-0000-0000-000000530000}"/>
    <cellStyle name="Warning Text 3 5 2 2" xfId="21484" xr:uid="{00000000-0005-0000-0000-000001530000}"/>
    <cellStyle name="Warning Text 3 5 3" xfId="21485" xr:uid="{00000000-0005-0000-0000-000002530000}"/>
    <cellStyle name="Warning Text 3 5 3 2" xfId="21486" xr:uid="{00000000-0005-0000-0000-000003530000}"/>
    <cellStyle name="Warning Text 3 5 4" xfId="21487" xr:uid="{00000000-0005-0000-0000-000004530000}"/>
    <cellStyle name="Warning Text 3 5 4 2" xfId="21488" xr:uid="{00000000-0005-0000-0000-000005530000}"/>
    <cellStyle name="Warning Text 3 5 5" xfId="21489" xr:uid="{00000000-0005-0000-0000-000006530000}"/>
    <cellStyle name="Warning Text 3 6" xfId="21490" xr:uid="{00000000-0005-0000-0000-000007530000}"/>
    <cellStyle name="Warning Text 3 6 2" xfId="21491" xr:uid="{00000000-0005-0000-0000-000008530000}"/>
    <cellStyle name="Warning Text 3 6 2 2" xfId="21492" xr:uid="{00000000-0005-0000-0000-000009530000}"/>
    <cellStyle name="Warning Text 3 6 3" xfId="21493" xr:uid="{00000000-0005-0000-0000-00000A530000}"/>
    <cellStyle name="Warning Text 3 6 3 2" xfId="21494" xr:uid="{00000000-0005-0000-0000-00000B530000}"/>
    <cellStyle name="Warning Text 3 6 4" xfId="21495" xr:uid="{00000000-0005-0000-0000-00000C530000}"/>
    <cellStyle name="Warning Text 3 7" xfId="21496" xr:uid="{00000000-0005-0000-0000-00000D530000}"/>
    <cellStyle name="Warning Text 3 7 2" xfId="21497" xr:uid="{00000000-0005-0000-0000-00000E530000}"/>
    <cellStyle name="Warning Text 3 8" xfId="21498" xr:uid="{00000000-0005-0000-0000-00000F530000}"/>
    <cellStyle name="Warning Text 3 8 2" xfId="21499" xr:uid="{00000000-0005-0000-0000-000010530000}"/>
    <cellStyle name="Warning Text 3 9" xfId="21500" xr:uid="{00000000-0005-0000-0000-000011530000}"/>
    <cellStyle name="Warning Text 3 9 2" xfId="21501" xr:uid="{00000000-0005-0000-0000-000012530000}"/>
    <cellStyle name="Warning Text 30" xfId="3366" xr:uid="{00000000-0005-0000-0000-000013530000}"/>
    <cellStyle name="Warning Text 30 10" xfId="21503" xr:uid="{00000000-0005-0000-0000-000014530000}"/>
    <cellStyle name="Warning Text 30 11" xfId="21504" xr:uid="{00000000-0005-0000-0000-000015530000}"/>
    <cellStyle name="Warning Text 30 12" xfId="21502" xr:uid="{00000000-0005-0000-0000-000016530000}"/>
    <cellStyle name="Warning Text 30 2" xfId="21505" xr:uid="{00000000-0005-0000-0000-000017530000}"/>
    <cellStyle name="Warning Text 30 2 2" xfId="21506" xr:uid="{00000000-0005-0000-0000-000018530000}"/>
    <cellStyle name="Warning Text 30 2 2 2" xfId="21507" xr:uid="{00000000-0005-0000-0000-000019530000}"/>
    <cellStyle name="Warning Text 30 2 3" xfId="21508" xr:uid="{00000000-0005-0000-0000-00001A530000}"/>
    <cellStyle name="Warning Text 30 2 3 2" xfId="21509" xr:uid="{00000000-0005-0000-0000-00001B530000}"/>
    <cellStyle name="Warning Text 30 2 4" xfId="21510" xr:uid="{00000000-0005-0000-0000-00001C530000}"/>
    <cellStyle name="Warning Text 30 2 5" xfId="21511" xr:uid="{00000000-0005-0000-0000-00001D530000}"/>
    <cellStyle name="Warning Text 30 3" xfId="21512" xr:uid="{00000000-0005-0000-0000-00001E530000}"/>
    <cellStyle name="Warning Text 30 3 2" xfId="21513" xr:uid="{00000000-0005-0000-0000-00001F530000}"/>
    <cellStyle name="Warning Text 30 3 2 2" xfId="21514" xr:uid="{00000000-0005-0000-0000-000020530000}"/>
    <cellStyle name="Warning Text 30 3 3" xfId="21515" xr:uid="{00000000-0005-0000-0000-000021530000}"/>
    <cellStyle name="Warning Text 30 3 3 2" xfId="21516" xr:uid="{00000000-0005-0000-0000-000022530000}"/>
    <cellStyle name="Warning Text 30 3 4" xfId="21517" xr:uid="{00000000-0005-0000-0000-000023530000}"/>
    <cellStyle name="Warning Text 30 4" xfId="21518" xr:uid="{00000000-0005-0000-0000-000024530000}"/>
    <cellStyle name="Warning Text 30 4 2" xfId="21519" xr:uid="{00000000-0005-0000-0000-000025530000}"/>
    <cellStyle name="Warning Text 30 4 2 2" xfId="21520" xr:uid="{00000000-0005-0000-0000-000026530000}"/>
    <cellStyle name="Warning Text 30 4 3" xfId="21521" xr:uid="{00000000-0005-0000-0000-000027530000}"/>
    <cellStyle name="Warning Text 30 4 3 2" xfId="21522" xr:uid="{00000000-0005-0000-0000-000028530000}"/>
    <cellStyle name="Warning Text 30 4 4" xfId="21523" xr:uid="{00000000-0005-0000-0000-000029530000}"/>
    <cellStyle name="Warning Text 30 5" xfId="21524" xr:uid="{00000000-0005-0000-0000-00002A530000}"/>
    <cellStyle name="Warning Text 30 5 2" xfId="21525" xr:uid="{00000000-0005-0000-0000-00002B530000}"/>
    <cellStyle name="Warning Text 30 5 2 2" xfId="21526" xr:uid="{00000000-0005-0000-0000-00002C530000}"/>
    <cellStyle name="Warning Text 30 5 3" xfId="21527" xr:uid="{00000000-0005-0000-0000-00002D530000}"/>
    <cellStyle name="Warning Text 30 5 3 2" xfId="21528" xr:uid="{00000000-0005-0000-0000-00002E530000}"/>
    <cellStyle name="Warning Text 30 5 4" xfId="21529" xr:uid="{00000000-0005-0000-0000-00002F530000}"/>
    <cellStyle name="Warning Text 30 5 4 2" xfId="21530" xr:uid="{00000000-0005-0000-0000-000030530000}"/>
    <cellStyle name="Warning Text 30 5 5" xfId="21531" xr:uid="{00000000-0005-0000-0000-000031530000}"/>
    <cellStyle name="Warning Text 30 6" xfId="21532" xr:uid="{00000000-0005-0000-0000-000032530000}"/>
    <cellStyle name="Warning Text 30 6 2" xfId="21533" xr:uid="{00000000-0005-0000-0000-000033530000}"/>
    <cellStyle name="Warning Text 30 6 2 2" xfId="21534" xr:uid="{00000000-0005-0000-0000-000034530000}"/>
    <cellStyle name="Warning Text 30 6 3" xfId="21535" xr:uid="{00000000-0005-0000-0000-000035530000}"/>
    <cellStyle name="Warning Text 30 6 3 2" xfId="21536" xr:uid="{00000000-0005-0000-0000-000036530000}"/>
    <cellStyle name="Warning Text 30 6 4" xfId="21537" xr:uid="{00000000-0005-0000-0000-000037530000}"/>
    <cellStyle name="Warning Text 30 7" xfId="21538" xr:uid="{00000000-0005-0000-0000-000038530000}"/>
    <cellStyle name="Warning Text 30 7 2" xfId="21539" xr:uid="{00000000-0005-0000-0000-000039530000}"/>
    <cellStyle name="Warning Text 30 8" xfId="21540" xr:uid="{00000000-0005-0000-0000-00003A530000}"/>
    <cellStyle name="Warning Text 30 8 2" xfId="21541" xr:uid="{00000000-0005-0000-0000-00003B530000}"/>
    <cellStyle name="Warning Text 30 9" xfId="21542" xr:uid="{00000000-0005-0000-0000-00003C530000}"/>
    <cellStyle name="Warning Text 30 9 2" xfId="21543" xr:uid="{00000000-0005-0000-0000-00003D530000}"/>
    <cellStyle name="Warning Text 31" xfId="3367" xr:uid="{00000000-0005-0000-0000-00003E530000}"/>
    <cellStyle name="Warning Text 31 10" xfId="21545" xr:uid="{00000000-0005-0000-0000-00003F530000}"/>
    <cellStyle name="Warning Text 31 11" xfId="21546" xr:uid="{00000000-0005-0000-0000-000040530000}"/>
    <cellStyle name="Warning Text 31 12" xfId="21544" xr:uid="{00000000-0005-0000-0000-000041530000}"/>
    <cellStyle name="Warning Text 31 2" xfId="21547" xr:uid="{00000000-0005-0000-0000-000042530000}"/>
    <cellStyle name="Warning Text 31 2 2" xfId="21548" xr:uid="{00000000-0005-0000-0000-000043530000}"/>
    <cellStyle name="Warning Text 31 2 2 2" xfId="21549" xr:uid="{00000000-0005-0000-0000-000044530000}"/>
    <cellStyle name="Warning Text 31 2 3" xfId="21550" xr:uid="{00000000-0005-0000-0000-000045530000}"/>
    <cellStyle name="Warning Text 31 2 3 2" xfId="21551" xr:uid="{00000000-0005-0000-0000-000046530000}"/>
    <cellStyle name="Warning Text 31 2 4" xfId="21552" xr:uid="{00000000-0005-0000-0000-000047530000}"/>
    <cellStyle name="Warning Text 31 2 5" xfId="21553" xr:uid="{00000000-0005-0000-0000-000048530000}"/>
    <cellStyle name="Warning Text 31 3" xfId="21554" xr:uid="{00000000-0005-0000-0000-000049530000}"/>
    <cellStyle name="Warning Text 31 3 2" xfId="21555" xr:uid="{00000000-0005-0000-0000-00004A530000}"/>
    <cellStyle name="Warning Text 31 3 2 2" xfId="21556" xr:uid="{00000000-0005-0000-0000-00004B530000}"/>
    <cellStyle name="Warning Text 31 3 3" xfId="21557" xr:uid="{00000000-0005-0000-0000-00004C530000}"/>
    <cellStyle name="Warning Text 31 3 3 2" xfId="21558" xr:uid="{00000000-0005-0000-0000-00004D530000}"/>
    <cellStyle name="Warning Text 31 3 4" xfId="21559" xr:uid="{00000000-0005-0000-0000-00004E530000}"/>
    <cellStyle name="Warning Text 31 4" xfId="21560" xr:uid="{00000000-0005-0000-0000-00004F530000}"/>
    <cellStyle name="Warning Text 31 4 2" xfId="21561" xr:uid="{00000000-0005-0000-0000-000050530000}"/>
    <cellStyle name="Warning Text 31 4 2 2" xfId="21562" xr:uid="{00000000-0005-0000-0000-000051530000}"/>
    <cellStyle name="Warning Text 31 4 3" xfId="21563" xr:uid="{00000000-0005-0000-0000-000052530000}"/>
    <cellStyle name="Warning Text 31 4 3 2" xfId="21564" xr:uid="{00000000-0005-0000-0000-000053530000}"/>
    <cellStyle name="Warning Text 31 4 4" xfId="21565" xr:uid="{00000000-0005-0000-0000-000054530000}"/>
    <cellStyle name="Warning Text 31 5" xfId="21566" xr:uid="{00000000-0005-0000-0000-000055530000}"/>
    <cellStyle name="Warning Text 31 5 2" xfId="21567" xr:uid="{00000000-0005-0000-0000-000056530000}"/>
    <cellStyle name="Warning Text 31 5 2 2" xfId="21568" xr:uid="{00000000-0005-0000-0000-000057530000}"/>
    <cellStyle name="Warning Text 31 5 3" xfId="21569" xr:uid="{00000000-0005-0000-0000-000058530000}"/>
    <cellStyle name="Warning Text 31 5 3 2" xfId="21570" xr:uid="{00000000-0005-0000-0000-000059530000}"/>
    <cellStyle name="Warning Text 31 5 4" xfId="21571" xr:uid="{00000000-0005-0000-0000-00005A530000}"/>
    <cellStyle name="Warning Text 31 5 4 2" xfId="21572" xr:uid="{00000000-0005-0000-0000-00005B530000}"/>
    <cellStyle name="Warning Text 31 5 5" xfId="21573" xr:uid="{00000000-0005-0000-0000-00005C530000}"/>
    <cellStyle name="Warning Text 31 6" xfId="21574" xr:uid="{00000000-0005-0000-0000-00005D530000}"/>
    <cellStyle name="Warning Text 31 6 2" xfId="21575" xr:uid="{00000000-0005-0000-0000-00005E530000}"/>
    <cellStyle name="Warning Text 31 6 2 2" xfId="21576" xr:uid="{00000000-0005-0000-0000-00005F530000}"/>
    <cellStyle name="Warning Text 31 6 3" xfId="21577" xr:uid="{00000000-0005-0000-0000-000060530000}"/>
    <cellStyle name="Warning Text 31 6 3 2" xfId="21578" xr:uid="{00000000-0005-0000-0000-000061530000}"/>
    <cellStyle name="Warning Text 31 6 4" xfId="21579" xr:uid="{00000000-0005-0000-0000-000062530000}"/>
    <cellStyle name="Warning Text 31 7" xfId="21580" xr:uid="{00000000-0005-0000-0000-000063530000}"/>
    <cellStyle name="Warning Text 31 7 2" xfId="21581" xr:uid="{00000000-0005-0000-0000-000064530000}"/>
    <cellStyle name="Warning Text 31 8" xfId="21582" xr:uid="{00000000-0005-0000-0000-000065530000}"/>
    <cellStyle name="Warning Text 31 8 2" xfId="21583" xr:uid="{00000000-0005-0000-0000-000066530000}"/>
    <cellStyle name="Warning Text 31 9" xfId="21584" xr:uid="{00000000-0005-0000-0000-000067530000}"/>
    <cellStyle name="Warning Text 31 9 2" xfId="21585" xr:uid="{00000000-0005-0000-0000-000068530000}"/>
    <cellStyle name="Warning Text 32" xfId="3368" xr:uid="{00000000-0005-0000-0000-000069530000}"/>
    <cellStyle name="Warning Text 32 10" xfId="21587" xr:uid="{00000000-0005-0000-0000-00006A530000}"/>
    <cellStyle name="Warning Text 32 11" xfId="21588" xr:uid="{00000000-0005-0000-0000-00006B530000}"/>
    <cellStyle name="Warning Text 32 12" xfId="21586" xr:uid="{00000000-0005-0000-0000-00006C530000}"/>
    <cellStyle name="Warning Text 32 2" xfId="21589" xr:uid="{00000000-0005-0000-0000-00006D530000}"/>
    <cellStyle name="Warning Text 32 2 2" xfId="21590" xr:uid="{00000000-0005-0000-0000-00006E530000}"/>
    <cellStyle name="Warning Text 32 2 2 2" xfId="21591" xr:uid="{00000000-0005-0000-0000-00006F530000}"/>
    <cellStyle name="Warning Text 32 2 3" xfId="21592" xr:uid="{00000000-0005-0000-0000-000070530000}"/>
    <cellStyle name="Warning Text 32 2 3 2" xfId="21593" xr:uid="{00000000-0005-0000-0000-000071530000}"/>
    <cellStyle name="Warning Text 32 2 4" xfId="21594" xr:uid="{00000000-0005-0000-0000-000072530000}"/>
    <cellStyle name="Warning Text 32 2 5" xfId="21595" xr:uid="{00000000-0005-0000-0000-000073530000}"/>
    <cellStyle name="Warning Text 32 3" xfId="21596" xr:uid="{00000000-0005-0000-0000-000074530000}"/>
    <cellStyle name="Warning Text 32 3 2" xfId="21597" xr:uid="{00000000-0005-0000-0000-000075530000}"/>
    <cellStyle name="Warning Text 32 3 2 2" xfId="21598" xr:uid="{00000000-0005-0000-0000-000076530000}"/>
    <cellStyle name="Warning Text 32 3 3" xfId="21599" xr:uid="{00000000-0005-0000-0000-000077530000}"/>
    <cellStyle name="Warning Text 32 3 3 2" xfId="21600" xr:uid="{00000000-0005-0000-0000-000078530000}"/>
    <cellStyle name="Warning Text 32 3 4" xfId="21601" xr:uid="{00000000-0005-0000-0000-000079530000}"/>
    <cellStyle name="Warning Text 32 4" xfId="21602" xr:uid="{00000000-0005-0000-0000-00007A530000}"/>
    <cellStyle name="Warning Text 32 4 2" xfId="21603" xr:uid="{00000000-0005-0000-0000-00007B530000}"/>
    <cellStyle name="Warning Text 32 4 2 2" xfId="21604" xr:uid="{00000000-0005-0000-0000-00007C530000}"/>
    <cellStyle name="Warning Text 32 4 3" xfId="21605" xr:uid="{00000000-0005-0000-0000-00007D530000}"/>
    <cellStyle name="Warning Text 32 4 3 2" xfId="21606" xr:uid="{00000000-0005-0000-0000-00007E530000}"/>
    <cellStyle name="Warning Text 32 4 4" xfId="21607" xr:uid="{00000000-0005-0000-0000-00007F530000}"/>
    <cellStyle name="Warning Text 32 5" xfId="21608" xr:uid="{00000000-0005-0000-0000-000080530000}"/>
    <cellStyle name="Warning Text 32 5 2" xfId="21609" xr:uid="{00000000-0005-0000-0000-000081530000}"/>
    <cellStyle name="Warning Text 32 5 2 2" xfId="21610" xr:uid="{00000000-0005-0000-0000-000082530000}"/>
    <cellStyle name="Warning Text 32 5 3" xfId="21611" xr:uid="{00000000-0005-0000-0000-000083530000}"/>
    <cellStyle name="Warning Text 32 5 3 2" xfId="21612" xr:uid="{00000000-0005-0000-0000-000084530000}"/>
    <cellStyle name="Warning Text 32 5 4" xfId="21613" xr:uid="{00000000-0005-0000-0000-000085530000}"/>
    <cellStyle name="Warning Text 32 5 4 2" xfId="21614" xr:uid="{00000000-0005-0000-0000-000086530000}"/>
    <cellStyle name="Warning Text 32 5 5" xfId="21615" xr:uid="{00000000-0005-0000-0000-000087530000}"/>
    <cellStyle name="Warning Text 32 6" xfId="21616" xr:uid="{00000000-0005-0000-0000-000088530000}"/>
    <cellStyle name="Warning Text 32 6 2" xfId="21617" xr:uid="{00000000-0005-0000-0000-000089530000}"/>
    <cellStyle name="Warning Text 32 6 2 2" xfId="21618" xr:uid="{00000000-0005-0000-0000-00008A530000}"/>
    <cellStyle name="Warning Text 32 6 3" xfId="21619" xr:uid="{00000000-0005-0000-0000-00008B530000}"/>
    <cellStyle name="Warning Text 32 6 3 2" xfId="21620" xr:uid="{00000000-0005-0000-0000-00008C530000}"/>
    <cellStyle name="Warning Text 32 6 4" xfId="21621" xr:uid="{00000000-0005-0000-0000-00008D530000}"/>
    <cellStyle name="Warning Text 32 7" xfId="21622" xr:uid="{00000000-0005-0000-0000-00008E530000}"/>
    <cellStyle name="Warning Text 32 7 2" xfId="21623" xr:uid="{00000000-0005-0000-0000-00008F530000}"/>
    <cellStyle name="Warning Text 32 8" xfId="21624" xr:uid="{00000000-0005-0000-0000-000090530000}"/>
    <cellStyle name="Warning Text 32 8 2" xfId="21625" xr:uid="{00000000-0005-0000-0000-000091530000}"/>
    <cellStyle name="Warning Text 32 9" xfId="21626" xr:uid="{00000000-0005-0000-0000-000092530000}"/>
    <cellStyle name="Warning Text 32 9 2" xfId="21627" xr:uid="{00000000-0005-0000-0000-000093530000}"/>
    <cellStyle name="Warning Text 33" xfId="3369" xr:uid="{00000000-0005-0000-0000-000094530000}"/>
    <cellStyle name="Warning Text 33 10" xfId="21629" xr:uid="{00000000-0005-0000-0000-000095530000}"/>
    <cellStyle name="Warning Text 33 11" xfId="21630" xr:uid="{00000000-0005-0000-0000-000096530000}"/>
    <cellStyle name="Warning Text 33 12" xfId="21628" xr:uid="{00000000-0005-0000-0000-000097530000}"/>
    <cellStyle name="Warning Text 33 2" xfId="21631" xr:uid="{00000000-0005-0000-0000-000098530000}"/>
    <cellStyle name="Warning Text 33 2 2" xfId="21632" xr:uid="{00000000-0005-0000-0000-000099530000}"/>
    <cellStyle name="Warning Text 33 2 2 2" xfId="21633" xr:uid="{00000000-0005-0000-0000-00009A530000}"/>
    <cellStyle name="Warning Text 33 2 3" xfId="21634" xr:uid="{00000000-0005-0000-0000-00009B530000}"/>
    <cellStyle name="Warning Text 33 2 3 2" xfId="21635" xr:uid="{00000000-0005-0000-0000-00009C530000}"/>
    <cellStyle name="Warning Text 33 2 4" xfId="21636" xr:uid="{00000000-0005-0000-0000-00009D530000}"/>
    <cellStyle name="Warning Text 33 2 5" xfId="21637" xr:uid="{00000000-0005-0000-0000-00009E530000}"/>
    <cellStyle name="Warning Text 33 3" xfId="21638" xr:uid="{00000000-0005-0000-0000-00009F530000}"/>
    <cellStyle name="Warning Text 33 3 2" xfId="21639" xr:uid="{00000000-0005-0000-0000-0000A0530000}"/>
    <cellStyle name="Warning Text 33 3 2 2" xfId="21640" xr:uid="{00000000-0005-0000-0000-0000A1530000}"/>
    <cellStyle name="Warning Text 33 3 3" xfId="21641" xr:uid="{00000000-0005-0000-0000-0000A2530000}"/>
    <cellStyle name="Warning Text 33 3 3 2" xfId="21642" xr:uid="{00000000-0005-0000-0000-0000A3530000}"/>
    <cellStyle name="Warning Text 33 3 4" xfId="21643" xr:uid="{00000000-0005-0000-0000-0000A4530000}"/>
    <cellStyle name="Warning Text 33 4" xfId="21644" xr:uid="{00000000-0005-0000-0000-0000A5530000}"/>
    <cellStyle name="Warning Text 33 4 2" xfId="21645" xr:uid="{00000000-0005-0000-0000-0000A6530000}"/>
    <cellStyle name="Warning Text 33 4 2 2" xfId="21646" xr:uid="{00000000-0005-0000-0000-0000A7530000}"/>
    <cellStyle name="Warning Text 33 4 3" xfId="21647" xr:uid="{00000000-0005-0000-0000-0000A8530000}"/>
    <cellStyle name="Warning Text 33 4 3 2" xfId="21648" xr:uid="{00000000-0005-0000-0000-0000A9530000}"/>
    <cellStyle name="Warning Text 33 4 4" xfId="21649" xr:uid="{00000000-0005-0000-0000-0000AA530000}"/>
    <cellStyle name="Warning Text 33 5" xfId="21650" xr:uid="{00000000-0005-0000-0000-0000AB530000}"/>
    <cellStyle name="Warning Text 33 5 2" xfId="21651" xr:uid="{00000000-0005-0000-0000-0000AC530000}"/>
    <cellStyle name="Warning Text 33 5 2 2" xfId="21652" xr:uid="{00000000-0005-0000-0000-0000AD530000}"/>
    <cellStyle name="Warning Text 33 5 3" xfId="21653" xr:uid="{00000000-0005-0000-0000-0000AE530000}"/>
    <cellStyle name="Warning Text 33 5 3 2" xfId="21654" xr:uid="{00000000-0005-0000-0000-0000AF530000}"/>
    <cellStyle name="Warning Text 33 5 4" xfId="21655" xr:uid="{00000000-0005-0000-0000-0000B0530000}"/>
    <cellStyle name="Warning Text 33 5 4 2" xfId="21656" xr:uid="{00000000-0005-0000-0000-0000B1530000}"/>
    <cellStyle name="Warning Text 33 5 5" xfId="21657" xr:uid="{00000000-0005-0000-0000-0000B2530000}"/>
    <cellStyle name="Warning Text 33 6" xfId="21658" xr:uid="{00000000-0005-0000-0000-0000B3530000}"/>
    <cellStyle name="Warning Text 33 6 2" xfId="21659" xr:uid="{00000000-0005-0000-0000-0000B4530000}"/>
    <cellStyle name="Warning Text 33 6 2 2" xfId="21660" xr:uid="{00000000-0005-0000-0000-0000B5530000}"/>
    <cellStyle name="Warning Text 33 6 3" xfId="21661" xr:uid="{00000000-0005-0000-0000-0000B6530000}"/>
    <cellStyle name="Warning Text 33 6 3 2" xfId="21662" xr:uid="{00000000-0005-0000-0000-0000B7530000}"/>
    <cellStyle name="Warning Text 33 6 4" xfId="21663" xr:uid="{00000000-0005-0000-0000-0000B8530000}"/>
    <cellStyle name="Warning Text 33 7" xfId="21664" xr:uid="{00000000-0005-0000-0000-0000B9530000}"/>
    <cellStyle name="Warning Text 33 7 2" xfId="21665" xr:uid="{00000000-0005-0000-0000-0000BA530000}"/>
    <cellStyle name="Warning Text 33 8" xfId="21666" xr:uid="{00000000-0005-0000-0000-0000BB530000}"/>
    <cellStyle name="Warning Text 33 8 2" xfId="21667" xr:uid="{00000000-0005-0000-0000-0000BC530000}"/>
    <cellStyle name="Warning Text 33 9" xfId="21668" xr:uid="{00000000-0005-0000-0000-0000BD530000}"/>
    <cellStyle name="Warning Text 33 9 2" xfId="21669" xr:uid="{00000000-0005-0000-0000-0000BE530000}"/>
    <cellStyle name="Warning Text 34" xfId="3370" xr:uid="{00000000-0005-0000-0000-0000BF530000}"/>
    <cellStyle name="Warning Text 34 10" xfId="21671" xr:uid="{00000000-0005-0000-0000-0000C0530000}"/>
    <cellStyle name="Warning Text 34 11" xfId="21672" xr:uid="{00000000-0005-0000-0000-0000C1530000}"/>
    <cellStyle name="Warning Text 34 12" xfId="21670" xr:uid="{00000000-0005-0000-0000-0000C2530000}"/>
    <cellStyle name="Warning Text 34 2" xfId="21673" xr:uid="{00000000-0005-0000-0000-0000C3530000}"/>
    <cellStyle name="Warning Text 34 2 2" xfId="21674" xr:uid="{00000000-0005-0000-0000-0000C4530000}"/>
    <cellStyle name="Warning Text 34 2 2 2" xfId="21675" xr:uid="{00000000-0005-0000-0000-0000C5530000}"/>
    <cellStyle name="Warning Text 34 2 3" xfId="21676" xr:uid="{00000000-0005-0000-0000-0000C6530000}"/>
    <cellStyle name="Warning Text 34 2 3 2" xfId="21677" xr:uid="{00000000-0005-0000-0000-0000C7530000}"/>
    <cellStyle name="Warning Text 34 2 4" xfId="21678" xr:uid="{00000000-0005-0000-0000-0000C8530000}"/>
    <cellStyle name="Warning Text 34 2 5" xfId="21679" xr:uid="{00000000-0005-0000-0000-0000C9530000}"/>
    <cellStyle name="Warning Text 34 3" xfId="21680" xr:uid="{00000000-0005-0000-0000-0000CA530000}"/>
    <cellStyle name="Warning Text 34 3 2" xfId="21681" xr:uid="{00000000-0005-0000-0000-0000CB530000}"/>
    <cellStyle name="Warning Text 34 3 2 2" xfId="21682" xr:uid="{00000000-0005-0000-0000-0000CC530000}"/>
    <cellStyle name="Warning Text 34 3 3" xfId="21683" xr:uid="{00000000-0005-0000-0000-0000CD530000}"/>
    <cellStyle name="Warning Text 34 3 3 2" xfId="21684" xr:uid="{00000000-0005-0000-0000-0000CE530000}"/>
    <cellStyle name="Warning Text 34 3 4" xfId="21685" xr:uid="{00000000-0005-0000-0000-0000CF530000}"/>
    <cellStyle name="Warning Text 34 4" xfId="21686" xr:uid="{00000000-0005-0000-0000-0000D0530000}"/>
    <cellStyle name="Warning Text 34 4 2" xfId="21687" xr:uid="{00000000-0005-0000-0000-0000D1530000}"/>
    <cellStyle name="Warning Text 34 4 2 2" xfId="21688" xr:uid="{00000000-0005-0000-0000-0000D2530000}"/>
    <cellStyle name="Warning Text 34 4 3" xfId="21689" xr:uid="{00000000-0005-0000-0000-0000D3530000}"/>
    <cellStyle name="Warning Text 34 4 3 2" xfId="21690" xr:uid="{00000000-0005-0000-0000-0000D4530000}"/>
    <cellStyle name="Warning Text 34 4 4" xfId="21691" xr:uid="{00000000-0005-0000-0000-0000D5530000}"/>
    <cellStyle name="Warning Text 34 5" xfId="21692" xr:uid="{00000000-0005-0000-0000-0000D6530000}"/>
    <cellStyle name="Warning Text 34 5 2" xfId="21693" xr:uid="{00000000-0005-0000-0000-0000D7530000}"/>
    <cellStyle name="Warning Text 34 5 2 2" xfId="21694" xr:uid="{00000000-0005-0000-0000-0000D8530000}"/>
    <cellStyle name="Warning Text 34 5 3" xfId="21695" xr:uid="{00000000-0005-0000-0000-0000D9530000}"/>
    <cellStyle name="Warning Text 34 5 3 2" xfId="21696" xr:uid="{00000000-0005-0000-0000-0000DA530000}"/>
    <cellStyle name="Warning Text 34 5 4" xfId="21697" xr:uid="{00000000-0005-0000-0000-0000DB530000}"/>
    <cellStyle name="Warning Text 34 5 4 2" xfId="21698" xr:uid="{00000000-0005-0000-0000-0000DC530000}"/>
    <cellStyle name="Warning Text 34 5 5" xfId="21699" xr:uid="{00000000-0005-0000-0000-0000DD530000}"/>
    <cellStyle name="Warning Text 34 6" xfId="21700" xr:uid="{00000000-0005-0000-0000-0000DE530000}"/>
    <cellStyle name="Warning Text 34 6 2" xfId="21701" xr:uid="{00000000-0005-0000-0000-0000DF530000}"/>
    <cellStyle name="Warning Text 34 6 2 2" xfId="21702" xr:uid="{00000000-0005-0000-0000-0000E0530000}"/>
    <cellStyle name="Warning Text 34 6 3" xfId="21703" xr:uid="{00000000-0005-0000-0000-0000E1530000}"/>
    <cellStyle name="Warning Text 34 6 3 2" xfId="21704" xr:uid="{00000000-0005-0000-0000-0000E2530000}"/>
    <cellStyle name="Warning Text 34 6 4" xfId="21705" xr:uid="{00000000-0005-0000-0000-0000E3530000}"/>
    <cellStyle name="Warning Text 34 7" xfId="21706" xr:uid="{00000000-0005-0000-0000-0000E4530000}"/>
    <cellStyle name="Warning Text 34 7 2" xfId="21707" xr:uid="{00000000-0005-0000-0000-0000E5530000}"/>
    <cellStyle name="Warning Text 34 8" xfId="21708" xr:uid="{00000000-0005-0000-0000-0000E6530000}"/>
    <cellStyle name="Warning Text 34 8 2" xfId="21709" xr:uid="{00000000-0005-0000-0000-0000E7530000}"/>
    <cellStyle name="Warning Text 34 9" xfId="21710" xr:uid="{00000000-0005-0000-0000-0000E8530000}"/>
    <cellStyle name="Warning Text 34 9 2" xfId="21711" xr:uid="{00000000-0005-0000-0000-0000E9530000}"/>
    <cellStyle name="Warning Text 35" xfId="3371" xr:uid="{00000000-0005-0000-0000-0000EA530000}"/>
    <cellStyle name="Warning Text 35 10" xfId="21713" xr:uid="{00000000-0005-0000-0000-0000EB530000}"/>
    <cellStyle name="Warning Text 35 11" xfId="21714" xr:uid="{00000000-0005-0000-0000-0000EC530000}"/>
    <cellStyle name="Warning Text 35 12" xfId="21712" xr:uid="{00000000-0005-0000-0000-0000ED530000}"/>
    <cellStyle name="Warning Text 35 2" xfId="21715" xr:uid="{00000000-0005-0000-0000-0000EE530000}"/>
    <cellStyle name="Warning Text 35 2 2" xfId="21716" xr:uid="{00000000-0005-0000-0000-0000EF530000}"/>
    <cellStyle name="Warning Text 35 2 2 2" xfId="21717" xr:uid="{00000000-0005-0000-0000-0000F0530000}"/>
    <cellStyle name="Warning Text 35 2 3" xfId="21718" xr:uid="{00000000-0005-0000-0000-0000F1530000}"/>
    <cellStyle name="Warning Text 35 2 3 2" xfId="21719" xr:uid="{00000000-0005-0000-0000-0000F2530000}"/>
    <cellStyle name="Warning Text 35 2 4" xfId="21720" xr:uid="{00000000-0005-0000-0000-0000F3530000}"/>
    <cellStyle name="Warning Text 35 2 5" xfId="21721" xr:uid="{00000000-0005-0000-0000-0000F4530000}"/>
    <cellStyle name="Warning Text 35 3" xfId="21722" xr:uid="{00000000-0005-0000-0000-0000F5530000}"/>
    <cellStyle name="Warning Text 35 3 2" xfId="21723" xr:uid="{00000000-0005-0000-0000-0000F6530000}"/>
    <cellStyle name="Warning Text 35 3 2 2" xfId="21724" xr:uid="{00000000-0005-0000-0000-0000F7530000}"/>
    <cellStyle name="Warning Text 35 3 3" xfId="21725" xr:uid="{00000000-0005-0000-0000-0000F8530000}"/>
    <cellStyle name="Warning Text 35 3 3 2" xfId="21726" xr:uid="{00000000-0005-0000-0000-0000F9530000}"/>
    <cellStyle name="Warning Text 35 3 4" xfId="21727" xr:uid="{00000000-0005-0000-0000-0000FA530000}"/>
    <cellStyle name="Warning Text 35 4" xfId="21728" xr:uid="{00000000-0005-0000-0000-0000FB530000}"/>
    <cellStyle name="Warning Text 35 4 2" xfId="21729" xr:uid="{00000000-0005-0000-0000-0000FC530000}"/>
    <cellStyle name="Warning Text 35 4 2 2" xfId="21730" xr:uid="{00000000-0005-0000-0000-0000FD530000}"/>
    <cellStyle name="Warning Text 35 4 3" xfId="21731" xr:uid="{00000000-0005-0000-0000-0000FE530000}"/>
    <cellStyle name="Warning Text 35 4 3 2" xfId="21732" xr:uid="{00000000-0005-0000-0000-0000FF530000}"/>
    <cellStyle name="Warning Text 35 4 4" xfId="21733" xr:uid="{00000000-0005-0000-0000-000000540000}"/>
    <cellStyle name="Warning Text 35 5" xfId="21734" xr:uid="{00000000-0005-0000-0000-000001540000}"/>
    <cellStyle name="Warning Text 35 5 2" xfId="21735" xr:uid="{00000000-0005-0000-0000-000002540000}"/>
    <cellStyle name="Warning Text 35 5 2 2" xfId="21736" xr:uid="{00000000-0005-0000-0000-000003540000}"/>
    <cellStyle name="Warning Text 35 5 3" xfId="21737" xr:uid="{00000000-0005-0000-0000-000004540000}"/>
    <cellStyle name="Warning Text 35 5 3 2" xfId="21738" xr:uid="{00000000-0005-0000-0000-000005540000}"/>
    <cellStyle name="Warning Text 35 5 4" xfId="21739" xr:uid="{00000000-0005-0000-0000-000006540000}"/>
    <cellStyle name="Warning Text 35 5 4 2" xfId="21740" xr:uid="{00000000-0005-0000-0000-000007540000}"/>
    <cellStyle name="Warning Text 35 5 5" xfId="21741" xr:uid="{00000000-0005-0000-0000-000008540000}"/>
    <cellStyle name="Warning Text 35 6" xfId="21742" xr:uid="{00000000-0005-0000-0000-000009540000}"/>
    <cellStyle name="Warning Text 35 6 2" xfId="21743" xr:uid="{00000000-0005-0000-0000-00000A540000}"/>
    <cellStyle name="Warning Text 35 6 2 2" xfId="21744" xr:uid="{00000000-0005-0000-0000-00000B540000}"/>
    <cellStyle name="Warning Text 35 6 3" xfId="21745" xr:uid="{00000000-0005-0000-0000-00000C540000}"/>
    <cellStyle name="Warning Text 35 6 3 2" xfId="21746" xr:uid="{00000000-0005-0000-0000-00000D540000}"/>
    <cellStyle name="Warning Text 35 6 4" xfId="21747" xr:uid="{00000000-0005-0000-0000-00000E540000}"/>
    <cellStyle name="Warning Text 35 7" xfId="21748" xr:uid="{00000000-0005-0000-0000-00000F540000}"/>
    <cellStyle name="Warning Text 35 7 2" xfId="21749" xr:uid="{00000000-0005-0000-0000-000010540000}"/>
    <cellStyle name="Warning Text 35 8" xfId="21750" xr:uid="{00000000-0005-0000-0000-000011540000}"/>
    <cellStyle name="Warning Text 35 8 2" xfId="21751" xr:uid="{00000000-0005-0000-0000-000012540000}"/>
    <cellStyle name="Warning Text 35 9" xfId="21752" xr:uid="{00000000-0005-0000-0000-000013540000}"/>
    <cellStyle name="Warning Text 35 9 2" xfId="21753" xr:uid="{00000000-0005-0000-0000-000014540000}"/>
    <cellStyle name="Warning Text 36" xfId="3372" xr:uid="{00000000-0005-0000-0000-000015540000}"/>
    <cellStyle name="Warning Text 36 10" xfId="21755" xr:uid="{00000000-0005-0000-0000-000016540000}"/>
    <cellStyle name="Warning Text 36 11" xfId="21756" xr:uid="{00000000-0005-0000-0000-000017540000}"/>
    <cellStyle name="Warning Text 36 12" xfId="21754" xr:uid="{00000000-0005-0000-0000-000018540000}"/>
    <cellStyle name="Warning Text 36 2" xfId="21757" xr:uid="{00000000-0005-0000-0000-000019540000}"/>
    <cellStyle name="Warning Text 36 2 2" xfId="21758" xr:uid="{00000000-0005-0000-0000-00001A540000}"/>
    <cellStyle name="Warning Text 36 2 2 2" xfId="21759" xr:uid="{00000000-0005-0000-0000-00001B540000}"/>
    <cellStyle name="Warning Text 36 2 3" xfId="21760" xr:uid="{00000000-0005-0000-0000-00001C540000}"/>
    <cellStyle name="Warning Text 36 2 3 2" xfId="21761" xr:uid="{00000000-0005-0000-0000-00001D540000}"/>
    <cellStyle name="Warning Text 36 2 4" xfId="21762" xr:uid="{00000000-0005-0000-0000-00001E540000}"/>
    <cellStyle name="Warning Text 36 2 5" xfId="21763" xr:uid="{00000000-0005-0000-0000-00001F540000}"/>
    <cellStyle name="Warning Text 36 3" xfId="21764" xr:uid="{00000000-0005-0000-0000-000020540000}"/>
    <cellStyle name="Warning Text 36 3 2" xfId="21765" xr:uid="{00000000-0005-0000-0000-000021540000}"/>
    <cellStyle name="Warning Text 36 3 2 2" xfId="21766" xr:uid="{00000000-0005-0000-0000-000022540000}"/>
    <cellStyle name="Warning Text 36 3 3" xfId="21767" xr:uid="{00000000-0005-0000-0000-000023540000}"/>
    <cellStyle name="Warning Text 36 3 3 2" xfId="21768" xr:uid="{00000000-0005-0000-0000-000024540000}"/>
    <cellStyle name="Warning Text 36 3 4" xfId="21769" xr:uid="{00000000-0005-0000-0000-000025540000}"/>
    <cellStyle name="Warning Text 36 4" xfId="21770" xr:uid="{00000000-0005-0000-0000-000026540000}"/>
    <cellStyle name="Warning Text 36 4 2" xfId="21771" xr:uid="{00000000-0005-0000-0000-000027540000}"/>
    <cellStyle name="Warning Text 36 4 2 2" xfId="21772" xr:uid="{00000000-0005-0000-0000-000028540000}"/>
    <cellStyle name="Warning Text 36 4 3" xfId="21773" xr:uid="{00000000-0005-0000-0000-000029540000}"/>
    <cellStyle name="Warning Text 36 4 3 2" xfId="21774" xr:uid="{00000000-0005-0000-0000-00002A540000}"/>
    <cellStyle name="Warning Text 36 4 4" xfId="21775" xr:uid="{00000000-0005-0000-0000-00002B540000}"/>
    <cellStyle name="Warning Text 36 5" xfId="21776" xr:uid="{00000000-0005-0000-0000-00002C540000}"/>
    <cellStyle name="Warning Text 36 5 2" xfId="21777" xr:uid="{00000000-0005-0000-0000-00002D540000}"/>
    <cellStyle name="Warning Text 36 5 2 2" xfId="21778" xr:uid="{00000000-0005-0000-0000-00002E540000}"/>
    <cellStyle name="Warning Text 36 5 3" xfId="21779" xr:uid="{00000000-0005-0000-0000-00002F540000}"/>
    <cellStyle name="Warning Text 36 5 3 2" xfId="21780" xr:uid="{00000000-0005-0000-0000-000030540000}"/>
    <cellStyle name="Warning Text 36 5 4" xfId="21781" xr:uid="{00000000-0005-0000-0000-000031540000}"/>
    <cellStyle name="Warning Text 36 5 4 2" xfId="21782" xr:uid="{00000000-0005-0000-0000-000032540000}"/>
    <cellStyle name="Warning Text 36 5 5" xfId="21783" xr:uid="{00000000-0005-0000-0000-000033540000}"/>
    <cellStyle name="Warning Text 36 6" xfId="21784" xr:uid="{00000000-0005-0000-0000-000034540000}"/>
    <cellStyle name="Warning Text 36 6 2" xfId="21785" xr:uid="{00000000-0005-0000-0000-000035540000}"/>
    <cellStyle name="Warning Text 36 6 2 2" xfId="21786" xr:uid="{00000000-0005-0000-0000-000036540000}"/>
    <cellStyle name="Warning Text 36 6 3" xfId="21787" xr:uid="{00000000-0005-0000-0000-000037540000}"/>
    <cellStyle name="Warning Text 36 6 3 2" xfId="21788" xr:uid="{00000000-0005-0000-0000-000038540000}"/>
    <cellStyle name="Warning Text 36 6 4" xfId="21789" xr:uid="{00000000-0005-0000-0000-000039540000}"/>
    <cellStyle name="Warning Text 36 7" xfId="21790" xr:uid="{00000000-0005-0000-0000-00003A540000}"/>
    <cellStyle name="Warning Text 36 7 2" xfId="21791" xr:uid="{00000000-0005-0000-0000-00003B540000}"/>
    <cellStyle name="Warning Text 36 8" xfId="21792" xr:uid="{00000000-0005-0000-0000-00003C540000}"/>
    <cellStyle name="Warning Text 36 8 2" xfId="21793" xr:uid="{00000000-0005-0000-0000-00003D540000}"/>
    <cellStyle name="Warning Text 36 9" xfId="21794" xr:uid="{00000000-0005-0000-0000-00003E540000}"/>
    <cellStyle name="Warning Text 36 9 2" xfId="21795" xr:uid="{00000000-0005-0000-0000-00003F540000}"/>
    <cellStyle name="Warning Text 37" xfId="3373" xr:uid="{00000000-0005-0000-0000-000040540000}"/>
    <cellStyle name="Warning Text 37 10" xfId="21797" xr:uid="{00000000-0005-0000-0000-000041540000}"/>
    <cellStyle name="Warning Text 37 11" xfId="21798" xr:uid="{00000000-0005-0000-0000-000042540000}"/>
    <cellStyle name="Warning Text 37 12" xfId="21796" xr:uid="{00000000-0005-0000-0000-000043540000}"/>
    <cellStyle name="Warning Text 37 2" xfId="21799" xr:uid="{00000000-0005-0000-0000-000044540000}"/>
    <cellStyle name="Warning Text 37 2 2" xfId="21800" xr:uid="{00000000-0005-0000-0000-000045540000}"/>
    <cellStyle name="Warning Text 37 2 2 2" xfId="21801" xr:uid="{00000000-0005-0000-0000-000046540000}"/>
    <cellStyle name="Warning Text 37 2 3" xfId="21802" xr:uid="{00000000-0005-0000-0000-000047540000}"/>
    <cellStyle name="Warning Text 37 2 3 2" xfId="21803" xr:uid="{00000000-0005-0000-0000-000048540000}"/>
    <cellStyle name="Warning Text 37 2 4" xfId="21804" xr:uid="{00000000-0005-0000-0000-000049540000}"/>
    <cellStyle name="Warning Text 37 2 5" xfId="21805" xr:uid="{00000000-0005-0000-0000-00004A540000}"/>
    <cellStyle name="Warning Text 37 3" xfId="21806" xr:uid="{00000000-0005-0000-0000-00004B540000}"/>
    <cellStyle name="Warning Text 37 3 2" xfId="21807" xr:uid="{00000000-0005-0000-0000-00004C540000}"/>
    <cellStyle name="Warning Text 37 3 2 2" xfId="21808" xr:uid="{00000000-0005-0000-0000-00004D540000}"/>
    <cellStyle name="Warning Text 37 3 3" xfId="21809" xr:uid="{00000000-0005-0000-0000-00004E540000}"/>
    <cellStyle name="Warning Text 37 3 3 2" xfId="21810" xr:uid="{00000000-0005-0000-0000-00004F540000}"/>
    <cellStyle name="Warning Text 37 3 4" xfId="21811" xr:uid="{00000000-0005-0000-0000-000050540000}"/>
    <cellStyle name="Warning Text 37 4" xfId="21812" xr:uid="{00000000-0005-0000-0000-000051540000}"/>
    <cellStyle name="Warning Text 37 4 2" xfId="21813" xr:uid="{00000000-0005-0000-0000-000052540000}"/>
    <cellStyle name="Warning Text 37 4 2 2" xfId="21814" xr:uid="{00000000-0005-0000-0000-000053540000}"/>
    <cellStyle name="Warning Text 37 4 3" xfId="21815" xr:uid="{00000000-0005-0000-0000-000054540000}"/>
    <cellStyle name="Warning Text 37 4 3 2" xfId="21816" xr:uid="{00000000-0005-0000-0000-000055540000}"/>
    <cellStyle name="Warning Text 37 4 4" xfId="21817" xr:uid="{00000000-0005-0000-0000-000056540000}"/>
    <cellStyle name="Warning Text 37 5" xfId="21818" xr:uid="{00000000-0005-0000-0000-000057540000}"/>
    <cellStyle name="Warning Text 37 5 2" xfId="21819" xr:uid="{00000000-0005-0000-0000-000058540000}"/>
    <cellStyle name="Warning Text 37 5 2 2" xfId="21820" xr:uid="{00000000-0005-0000-0000-000059540000}"/>
    <cellStyle name="Warning Text 37 5 3" xfId="21821" xr:uid="{00000000-0005-0000-0000-00005A540000}"/>
    <cellStyle name="Warning Text 37 5 3 2" xfId="21822" xr:uid="{00000000-0005-0000-0000-00005B540000}"/>
    <cellStyle name="Warning Text 37 5 4" xfId="21823" xr:uid="{00000000-0005-0000-0000-00005C540000}"/>
    <cellStyle name="Warning Text 37 5 4 2" xfId="21824" xr:uid="{00000000-0005-0000-0000-00005D540000}"/>
    <cellStyle name="Warning Text 37 5 5" xfId="21825" xr:uid="{00000000-0005-0000-0000-00005E540000}"/>
    <cellStyle name="Warning Text 37 6" xfId="21826" xr:uid="{00000000-0005-0000-0000-00005F540000}"/>
    <cellStyle name="Warning Text 37 6 2" xfId="21827" xr:uid="{00000000-0005-0000-0000-000060540000}"/>
    <cellStyle name="Warning Text 37 6 2 2" xfId="21828" xr:uid="{00000000-0005-0000-0000-000061540000}"/>
    <cellStyle name="Warning Text 37 6 3" xfId="21829" xr:uid="{00000000-0005-0000-0000-000062540000}"/>
    <cellStyle name="Warning Text 37 6 3 2" xfId="21830" xr:uid="{00000000-0005-0000-0000-000063540000}"/>
    <cellStyle name="Warning Text 37 6 4" xfId="21831" xr:uid="{00000000-0005-0000-0000-000064540000}"/>
    <cellStyle name="Warning Text 37 7" xfId="21832" xr:uid="{00000000-0005-0000-0000-000065540000}"/>
    <cellStyle name="Warning Text 37 7 2" xfId="21833" xr:uid="{00000000-0005-0000-0000-000066540000}"/>
    <cellStyle name="Warning Text 37 8" xfId="21834" xr:uid="{00000000-0005-0000-0000-000067540000}"/>
    <cellStyle name="Warning Text 37 8 2" xfId="21835" xr:uid="{00000000-0005-0000-0000-000068540000}"/>
    <cellStyle name="Warning Text 37 9" xfId="21836" xr:uid="{00000000-0005-0000-0000-000069540000}"/>
    <cellStyle name="Warning Text 37 9 2" xfId="21837" xr:uid="{00000000-0005-0000-0000-00006A540000}"/>
    <cellStyle name="Warning Text 38" xfId="3374" xr:uid="{00000000-0005-0000-0000-00006B540000}"/>
    <cellStyle name="Warning Text 38 10" xfId="21839" xr:uid="{00000000-0005-0000-0000-00006C540000}"/>
    <cellStyle name="Warning Text 38 11" xfId="21840" xr:uid="{00000000-0005-0000-0000-00006D540000}"/>
    <cellStyle name="Warning Text 38 12" xfId="21838" xr:uid="{00000000-0005-0000-0000-00006E540000}"/>
    <cellStyle name="Warning Text 38 2" xfId="21841" xr:uid="{00000000-0005-0000-0000-00006F540000}"/>
    <cellStyle name="Warning Text 38 2 2" xfId="21842" xr:uid="{00000000-0005-0000-0000-000070540000}"/>
    <cellStyle name="Warning Text 38 2 2 2" xfId="21843" xr:uid="{00000000-0005-0000-0000-000071540000}"/>
    <cellStyle name="Warning Text 38 2 3" xfId="21844" xr:uid="{00000000-0005-0000-0000-000072540000}"/>
    <cellStyle name="Warning Text 38 2 3 2" xfId="21845" xr:uid="{00000000-0005-0000-0000-000073540000}"/>
    <cellStyle name="Warning Text 38 2 4" xfId="21846" xr:uid="{00000000-0005-0000-0000-000074540000}"/>
    <cellStyle name="Warning Text 38 2 5" xfId="21847" xr:uid="{00000000-0005-0000-0000-000075540000}"/>
    <cellStyle name="Warning Text 38 3" xfId="21848" xr:uid="{00000000-0005-0000-0000-000076540000}"/>
    <cellStyle name="Warning Text 38 3 2" xfId="21849" xr:uid="{00000000-0005-0000-0000-000077540000}"/>
    <cellStyle name="Warning Text 38 3 2 2" xfId="21850" xr:uid="{00000000-0005-0000-0000-000078540000}"/>
    <cellStyle name="Warning Text 38 3 3" xfId="21851" xr:uid="{00000000-0005-0000-0000-000079540000}"/>
    <cellStyle name="Warning Text 38 3 3 2" xfId="21852" xr:uid="{00000000-0005-0000-0000-00007A540000}"/>
    <cellStyle name="Warning Text 38 3 4" xfId="21853" xr:uid="{00000000-0005-0000-0000-00007B540000}"/>
    <cellStyle name="Warning Text 38 4" xfId="21854" xr:uid="{00000000-0005-0000-0000-00007C540000}"/>
    <cellStyle name="Warning Text 38 4 2" xfId="21855" xr:uid="{00000000-0005-0000-0000-00007D540000}"/>
    <cellStyle name="Warning Text 38 4 2 2" xfId="21856" xr:uid="{00000000-0005-0000-0000-00007E540000}"/>
    <cellStyle name="Warning Text 38 4 3" xfId="21857" xr:uid="{00000000-0005-0000-0000-00007F540000}"/>
    <cellStyle name="Warning Text 38 4 3 2" xfId="21858" xr:uid="{00000000-0005-0000-0000-000080540000}"/>
    <cellStyle name="Warning Text 38 4 4" xfId="21859" xr:uid="{00000000-0005-0000-0000-000081540000}"/>
    <cellStyle name="Warning Text 38 5" xfId="21860" xr:uid="{00000000-0005-0000-0000-000082540000}"/>
    <cellStyle name="Warning Text 38 5 2" xfId="21861" xr:uid="{00000000-0005-0000-0000-000083540000}"/>
    <cellStyle name="Warning Text 38 5 2 2" xfId="21862" xr:uid="{00000000-0005-0000-0000-000084540000}"/>
    <cellStyle name="Warning Text 38 5 3" xfId="21863" xr:uid="{00000000-0005-0000-0000-000085540000}"/>
    <cellStyle name="Warning Text 38 5 3 2" xfId="21864" xr:uid="{00000000-0005-0000-0000-000086540000}"/>
    <cellStyle name="Warning Text 38 5 4" xfId="21865" xr:uid="{00000000-0005-0000-0000-000087540000}"/>
    <cellStyle name="Warning Text 38 5 4 2" xfId="21866" xr:uid="{00000000-0005-0000-0000-000088540000}"/>
    <cellStyle name="Warning Text 38 5 5" xfId="21867" xr:uid="{00000000-0005-0000-0000-000089540000}"/>
    <cellStyle name="Warning Text 38 6" xfId="21868" xr:uid="{00000000-0005-0000-0000-00008A540000}"/>
    <cellStyle name="Warning Text 38 6 2" xfId="21869" xr:uid="{00000000-0005-0000-0000-00008B540000}"/>
    <cellStyle name="Warning Text 38 6 2 2" xfId="21870" xr:uid="{00000000-0005-0000-0000-00008C540000}"/>
    <cellStyle name="Warning Text 38 6 3" xfId="21871" xr:uid="{00000000-0005-0000-0000-00008D540000}"/>
    <cellStyle name="Warning Text 38 6 3 2" xfId="21872" xr:uid="{00000000-0005-0000-0000-00008E540000}"/>
    <cellStyle name="Warning Text 38 6 4" xfId="21873" xr:uid="{00000000-0005-0000-0000-00008F540000}"/>
    <cellStyle name="Warning Text 38 7" xfId="21874" xr:uid="{00000000-0005-0000-0000-000090540000}"/>
    <cellStyle name="Warning Text 38 7 2" xfId="21875" xr:uid="{00000000-0005-0000-0000-000091540000}"/>
    <cellStyle name="Warning Text 38 8" xfId="21876" xr:uid="{00000000-0005-0000-0000-000092540000}"/>
    <cellStyle name="Warning Text 38 8 2" xfId="21877" xr:uid="{00000000-0005-0000-0000-000093540000}"/>
    <cellStyle name="Warning Text 38 9" xfId="21878" xr:uid="{00000000-0005-0000-0000-000094540000}"/>
    <cellStyle name="Warning Text 38 9 2" xfId="21879" xr:uid="{00000000-0005-0000-0000-000095540000}"/>
    <cellStyle name="Warning Text 39" xfId="3375" xr:uid="{00000000-0005-0000-0000-000096540000}"/>
    <cellStyle name="Warning Text 39 10" xfId="21881" xr:uid="{00000000-0005-0000-0000-000097540000}"/>
    <cellStyle name="Warning Text 39 11" xfId="21882" xr:uid="{00000000-0005-0000-0000-000098540000}"/>
    <cellStyle name="Warning Text 39 12" xfId="21880" xr:uid="{00000000-0005-0000-0000-000099540000}"/>
    <cellStyle name="Warning Text 39 2" xfId="21883" xr:uid="{00000000-0005-0000-0000-00009A540000}"/>
    <cellStyle name="Warning Text 39 2 2" xfId="21884" xr:uid="{00000000-0005-0000-0000-00009B540000}"/>
    <cellStyle name="Warning Text 39 2 2 2" xfId="21885" xr:uid="{00000000-0005-0000-0000-00009C540000}"/>
    <cellStyle name="Warning Text 39 2 3" xfId="21886" xr:uid="{00000000-0005-0000-0000-00009D540000}"/>
    <cellStyle name="Warning Text 39 2 3 2" xfId="21887" xr:uid="{00000000-0005-0000-0000-00009E540000}"/>
    <cellStyle name="Warning Text 39 2 4" xfId="21888" xr:uid="{00000000-0005-0000-0000-00009F540000}"/>
    <cellStyle name="Warning Text 39 2 5" xfId="21889" xr:uid="{00000000-0005-0000-0000-0000A0540000}"/>
    <cellStyle name="Warning Text 39 3" xfId="21890" xr:uid="{00000000-0005-0000-0000-0000A1540000}"/>
    <cellStyle name="Warning Text 39 3 2" xfId="21891" xr:uid="{00000000-0005-0000-0000-0000A2540000}"/>
    <cellStyle name="Warning Text 39 3 2 2" xfId="21892" xr:uid="{00000000-0005-0000-0000-0000A3540000}"/>
    <cellStyle name="Warning Text 39 3 3" xfId="21893" xr:uid="{00000000-0005-0000-0000-0000A4540000}"/>
    <cellStyle name="Warning Text 39 3 3 2" xfId="21894" xr:uid="{00000000-0005-0000-0000-0000A5540000}"/>
    <cellStyle name="Warning Text 39 3 4" xfId="21895" xr:uid="{00000000-0005-0000-0000-0000A6540000}"/>
    <cellStyle name="Warning Text 39 4" xfId="21896" xr:uid="{00000000-0005-0000-0000-0000A7540000}"/>
    <cellStyle name="Warning Text 39 4 2" xfId="21897" xr:uid="{00000000-0005-0000-0000-0000A8540000}"/>
    <cellStyle name="Warning Text 39 4 2 2" xfId="21898" xr:uid="{00000000-0005-0000-0000-0000A9540000}"/>
    <cellStyle name="Warning Text 39 4 3" xfId="21899" xr:uid="{00000000-0005-0000-0000-0000AA540000}"/>
    <cellStyle name="Warning Text 39 4 3 2" xfId="21900" xr:uid="{00000000-0005-0000-0000-0000AB540000}"/>
    <cellStyle name="Warning Text 39 4 4" xfId="21901" xr:uid="{00000000-0005-0000-0000-0000AC540000}"/>
    <cellStyle name="Warning Text 39 5" xfId="21902" xr:uid="{00000000-0005-0000-0000-0000AD540000}"/>
    <cellStyle name="Warning Text 39 5 2" xfId="21903" xr:uid="{00000000-0005-0000-0000-0000AE540000}"/>
    <cellStyle name="Warning Text 39 5 2 2" xfId="21904" xr:uid="{00000000-0005-0000-0000-0000AF540000}"/>
    <cellStyle name="Warning Text 39 5 3" xfId="21905" xr:uid="{00000000-0005-0000-0000-0000B0540000}"/>
    <cellStyle name="Warning Text 39 5 3 2" xfId="21906" xr:uid="{00000000-0005-0000-0000-0000B1540000}"/>
    <cellStyle name="Warning Text 39 5 4" xfId="21907" xr:uid="{00000000-0005-0000-0000-0000B2540000}"/>
    <cellStyle name="Warning Text 39 5 4 2" xfId="21908" xr:uid="{00000000-0005-0000-0000-0000B3540000}"/>
    <cellStyle name="Warning Text 39 5 5" xfId="21909" xr:uid="{00000000-0005-0000-0000-0000B4540000}"/>
    <cellStyle name="Warning Text 39 6" xfId="21910" xr:uid="{00000000-0005-0000-0000-0000B5540000}"/>
    <cellStyle name="Warning Text 39 6 2" xfId="21911" xr:uid="{00000000-0005-0000-0000-0000B6540000}"/>
    <cellStyle name="Warning Text 39 6 2 2" xfId="21912" xr:uid="{00000000-0005-0000-0000-0000B7540000}"/>
    <cellStyle name="Warning Text 39 6 3" xfId="21913" xr:uid="{00000000-0005-0000-0000-0000B8540000}"/>
    <cellStyle name="Warning Text 39 6 3 2" xfId="21914" xr:uid="{00000000-0005-0000-0000-0000B9540000}"/>
    <cellStyle name="Warning Text 39 6 4" xfId="21915" xr:uid="{00000000-0005-0000-0000-0000BA540000}"/>
    <cellStyle name="Warning Text 39 7" xfId="21916" xr:uid="{00000000-0005-0000-0000-0000BB540000}"/>
    <cellStyle name="Warning Text 39 7 2" xfId="21917" xr:uid="{00000000-0005-0000-0000-0000BC540000}"/>
    <cellStyle name="Warning Text 39 8" xfId="21918" xr:uid="{00000000-0005-0000-0000-0000BD540000}"/>
    <cellStyle name="Warning Text 39 8 2" xfId="21919" xr:uid="{00000000-0005-0000-0000-0000BE540000}"/>
    <cellStyle name="Warning Text 39 9" xfId="21920" xr:uid="{00000000-0005-0000-0000-0000BF540000}"/>
    <cellStyle name="Warning Text 39 9 2" xfId="21921" xr:uid="{00000000-0005-0000-0000-0000C0540000}"/>
    <cellStyle name="Warning Text 4" xfId="3376" xr:uid="{00000000-0005-0000-0000-0000C1540000}"/>
    <cellStyle name="Warning Text 4 10" xfId="21923" xr:uid="{00000000-0005-0000-0000-0000C2540000}"/>
    <cellStyle name="Warning Text 4 10 2" xfId="21924" xr:uid="{00000000-0005-0000-0000-0000C3540000}"/>
    <cellStyle name="Warning Text 4 11" xfId="21925" xr:uid="{00000000-0005-0000-0000-0000C4540000}"/>
    <cellStyle name="Warning Text 4 12" xfId="21926" xr:uid="{00000000-0005-0000-0000-0000C5540000}"/>
    <cellStyle name="Warning Text 4 13" xfId="21922" xr:uid="{00000000-0005-0000-0000-0000C6540000}"/>
    <cellStyle name="Warning Text 4 2" xfId="21927" xr:uid="{00000000-0005-0000-0000-0000C7540000}"/>
    <cellStyle name="Warning Text 4 2 10" xfId="21928" xr:uid="{00000000-0005-0000-0000-0000C8540000}"/>
    <cellStyle name="Warning Text 4 2 2" xfId="21929" xr:uid="{00000000-0005-0000-0000-0000C9540000}"/>
    <cellStyle name="Warning Text 4 2 2 2" xfId="21930" xr:uid="{00000000-0005-0000-0000-0000CA540000}"/>
    <cellStyle name="Warning Text 4 2 2 2 2" xfId="21931" xr:uid="{00000000-0005-0000-0000-0000CB540000}"/>
    <cellStyle name="Warning Text 4 2 2 3" xfId="21932" xr:uid="{00000000-0005-0000-0000-0000CC540000}"/>
    <cellStyle name="Warning Text 4 2 2 3 2" xfId="21933" xr:uid="{00000000-0005-0000-0000-0000CD540000}"/>
    <cellStyle name="Warning Text 4 2 2 4" xfId="21934" xr:uid="{00000000-0005-0000-0000-0000CE540000}"/>
    <cellStyle name="Warning Text 4 2 3" xfId="21935" xr:uid="{00000000-0005-0000-0000-0000CF540000}"/>
    <cellStyle name="Warning Text 4 2 3 2" xfId="21936" xr:uid="{00000000-0005-0000-0000-0000D0540000}"/>
    <cellStyle name="Warning Text 4 2 3 2 2" xfId="21937" xr:uid="{00000000-0005-0000-0000-0000D1540000}"/>
    <cellStyle name="Warning Text 4 2 3 3" xfId="21938" xr:uid="{00000000-0005-0000-0000-0000D2540000}"/>
    <cellStyle name="Warning Text 4 2 3 3 2" xfId="21939" xr:uid="{00000000-0005-0000-0000-0000D3540000}"/>
    <cellStyle name="Warning Text 4 2 3 4" xfId="21940" xr:uid="{00000000-0005-0000-0000-0000D4540000}"/>
    <cellStyle name="Warning Text 4 2 4" xfId="21941" xr:uid="{00000000-0005-0000-0000-0000D5540000}"/>
    <cellStyle name="Warning Text 4 2 4 2" xfId="21942" xr:uid="{00000000-0005-0000-0000-0000D6540000}"/>
    <cellStyle name="Warning Text 4 2 4 2 2" xfId="21943" xr:uid="{00000000-0005-0000-0000-0000D7540000}"/>
    <cellStyle name="Warning Text 4 2 4 3" xfId="21944" xr:uid="{00000000-0005-0000-0000-0000D8540000}"/>
    <cellStyle name="Warning Text 4 2 4 3 2" xfId="21945" xr:uid="{00000000-0005-0000-0000-0000D9540000}"/>
    <cellStyle name="Warning Text 4 2 4 4" xfId="21946" xr:uid="{00000000-0005-0000-0000-0000DA540000}"/>
    <cellStyle name="Warning Text 4 2 4 4 2" xfId="21947" xr:uid="{00000000-0005-0000-0000-0000DB540000}"/>
    <cellStyle name="Warning Text 4 2 4 5" xfId="21948" xr:uid="{00000000-0005-0000-0000-0000DC540000}"/>
    <cellStyle name="Warning Text 4 2 5" xfId="21949" xr:uid="{00000000-0005-0000-0000-0000DD540000}"/>
    <cellStyle name="Warning Text 4 2 5 2" xfId="21950" xr:uid="{00000000-0005-0000-0000-0000DE540000}"/>
    <cellStyle name="Warning Text 4 2 5 2 2" xfId="21951" xr:uid="{00000000-0005-0000-0000-0000DF540000}"/>
    <cellStyle name="Warning Text 4 2 5 3" xfId="21952" xr:uid="{00000000-0005-0000-0000-0000E0540000}"/>
    <cellStyle name="Warning Text 4 2 5 3 2" xfId="21953" xr:uid="{00000000-0005-0000-0000-0000E1540000}"/>
    <cellStyle name="Warning Text 4 2 5 4" xfId="21954" xr:uid="{00000000-0005-0000-0000-0000E2540000}"/>
    <cellStyle name="Warning Text 4 2 6" xfId="21955" xr:uid="{00000000-0005-0000-0000-0000E3540000}"/>
    <cellStyle name="Warning Text 4 2 6 2" xfId="21956" xr:uid="{00000000-0005-0000-0000-0000E4540000}"/>
    <cellStyle name="Warning Text 4 2 7" xfId="21957" xr:uid="{00000000-0005-0000-0000-0000E5540000}"/>
    <cellStyle name="Warning Text 4 2 7 2" xfId="21958" xr:uid="{00000000-0005-0000-0000-0000E6540000}"/>
    <cellStyle name="Warning Text 4 2 8" xfId="21959" xr:uid="{00000000-0005-0000-0000-0000E7540000}"/>
    <cellStyle name="Warning Text 4 2 8 2" xfId="21960" xr:uid="{00000000-0005-0000-0000-0000E8540000}"/>
    <cellStyle name="Warning Text 4 2 9" xfId="21961" xr:uid="{00000000-0005-0000-0000-0000E9540000}"/>
    <cellStyle name="Warning Text 4 3" xfId="21962" xr:uid="{00000000-0005-0000-0000-0000EA540000}"/>
    <cellStyle name="Warning Text 4 3 2" xfId="21963" xr:uid="{00000000-0005-0000-0000-0000EB540000}"/>
    <cellStyle name="Warning Text 4 3 2 2" xfId="21964" xr:uid="{00000000-0005-0000-0000-0000EC540000}"/>
    <cellStyle name="Warning Text 4 3 3" xfId="21965" xr:uid="{00000000-0005-0000-0000-0000ED540000}"/>
    <cellStyle name="Warning Text 4 3 3 2" xfId="21966" xr:uid="{00000000-0005-0000-0000-0000EE540000}"/>
    <cellStyle name="Warning Text 4 3 4" xfId="21967" xr:uid="{00000000-0005-0000-0000-0000EF540000}"/>
    <cellStyle name="Warning Text 4 3 5" xfId="21968" xr:uid="{00000000-0005-0000-0000-0000F0540000}"/>
    <cellStyle name="Warning Text 4 4" xfId="21969" xr:uid="{00000000-0005-0000-0000-0000F1540000}"/>
    <cellStyle name="Warning Text 4 4 2" xfId="21970" xr:uid="{00000000-0005-0000-0000-0000F2540000}"/>
    <cellStyle name="Warning Text 4 4 2 2" xfId="21971" xr:uid="{00000000-0005-0000-0000-0000F3540000}"/>
    <cellStyle name="Warning Text 4 4 3" xfId="21972" xr:uid="{00000000-0005-0000-0000-0000F4540000}"/>
    <cellStyle name="Warning Text 4 4 3 2" xfId="21973" xr:uid="{00000000-0005-0000-0000-0000F5540000}"/>
    <cellStyle name="Warning Text 4 4 4" xfId="21974" xr:uid="{00000000-0005-0000-0000-0000F6540000}"/>
    <cellStyle name="Warning Text 4 5" xfId="21975" xr:uid="{00000000-0005-0000-0000-0000F7540000}"/>
    <cellStyle name="Warning Text 4 5 2" xfId="21976" xr:uid="{00000000-0005-0000-0000-0000F8540000}"/>
    <cellStyle name="Warning Text 4 5 2 2" xfId="21977" xr:uid="{00000000-0005-0000-0000-0000F9540000}"/>
    <cellStyle name="Warning Text 4 5 3" xfId="21978" xr:uid="{00000000-0005-0000-0000-0000FA540000}"/>
    <cellStyle name="Warning Text 4 5 3 2" xfId="21979" xr:uid="{00000000-0005-0000-0000-0000FB540000}"/>
    <cellStyle name="Warning Text 4 5 4" xfId="21980" xr:uid="{00000000-0005-0000-0000-0000FC540000}"/>
    <cellStyle name="Warning Text 4 6" xfId="21981" xr:uid="{00000000-0005-0000-0000-0000FD540000}"/>
    <cellStyle name="Warning Text 4 6 2" xfId="21982" xr:uid="{00000000-0005-0000-0000-0000FE540000}"/>
    <cellStyle name="Warning Text 4 6 2 2" xfId="21983" xr:uid="{00000000-0005-0000-0000-0000FF540000}"/>
    <cellStyle name="Warning Text 4 6 3" xfId="21984" xr:uid="{00000000-0005-0000-0000-000000550000}"/>
    <cellStyle name="Warning Text 4 6 3 2" xfId="21985" xr:uid="{00000000-0005-0000-0000-000001550000}"/>
    <cellStyle name="Warning Text 4 6 4" xfId="21986" xr:uid="{00000000-0005-0000-0000-000002550000}"/>
    <cellStyle name="Warning Text 4 6 4 2" xfId="21987" xr:uid="{00000000-0005-0000-0000-000003550000}"/>
    <cellStyle name="Warning Text 4 6 5" xfId="21988" xr:uid="{00000000-0005-0000-0000-000004550000}"/>
    <cellStyle name="Warning Text 4 7" xfId="21989" xr:uid="{00000000-0005-0000-0000-000005550000}"/>
    <cellStyle name="Warning Text 4 7 2" xfId="21990" xr:uid="{00000000-0005-0000-0000-000006550000}"/>
    <cellStyle name="Warning Text 4 7 2 2" xfId="21991" xr:uid="{00000000-0005-0000-0000-000007550000}"/>
    <cellStyle name="Warning Text 4 7 3" xfId="21992" xr:uid="{00000000-0005-0000-0000-000008550000}"/>
    <cellStyle name="Warning Text 4 7 3 2" xfId="21993" xr:uid="{00000000-0005-0000-0000-000009550000}"/>
    <cellStyle name="Warning Text 4 7 4" xfId="21994" xr:uid="{00000000-0005-0000-0000-00000A550000}"/>
    <cellStyle name="Warning Text 4 8" xfId="21995" xr:uid="{00000000-0005-0000-0000-00000B550000}"/>
    <cellStyle name="Warning Text 4 8 2" xfId="21996" xr:uid="{00000000-0005-0000-0000-00000C550000}"/>
    <cellStyle name="Warning Text 4 9" xfId="21997" xr:uid="{00000000-0005-0000-0000-00000D550000}"/>
    <cellStyle name="Warning Text 4 9 2" xfId="21998" xr:uid="{00000000-0005-0000-0000-00000E550000}"/>
    <cellStyle name="Warning Text 40" xfId="3377" xr:uid="{00000000-0005-0000-0000-00000F550000}"/>
    <cellStyle name="Warning Text 40 10" xfId="22000" xr:uid="{00000000-0005-0000-0000-000010550000}"/>
    <cellStyle name="Warning Text 40 11" xfId="22001" xr:uid="{00000000-0005-0000-0000-000011550000}"/>
    <cellStyle name="Warning Text 40 12" xfId="21999" xr:uid="{00000000-0005-0000-0000-000012550000}"/>
    <cellStyle name="Warning Text 40 2" xfId="22002" xr:uid="{00000000-0005-0000-0000-000013550000}"/>
    <cellStyle name="Warning Text 40 2 2" xfId="22003" xr:uid="{00000000-0005-0000-0000-000014550000}"/>
    <cellStyle name="Warning Text 40 2 2 2" xfId="22004" xr:uid="{00000000-0005-0000-0000-000015550000}"/>
    <cellStyle name="Warning Text 40 2 3" xfId="22005" xr:uid="{00000000-0005-0000-0000-000016550000}"/>
    <cellStyle name="Warning Text 40 2 3 2" xfId="22006" xr:uid="{00000000-0005-0000-0000-000017550000}"/>
    <cellStyle name="Warning Text 40 2 4" xfId="22007" xr:uid="{00000000-0005-0000-0000-000018550000}"/>
    <cellStyle name="Warning Text 40 2 5" xfId="22008" xr:uid="{00000000-0005-0000-0000-000019550000}"/>
    <cellStyle name="Warning Text 40 3" xfId="22009" xr:uid="{00000000-0005-0000-0000-00001A550000}"/>
    <cellStyle name="Warning Text 40 3 2" xfId="22010" xr:uid="{00000000-0005-0000-0000-00001B550000}"/>
    <cellStyle name="Warning Text 40 3 2 2" xfId="22011" xr:uid="{00000000-0005-0000-0000-00001C550000}"/>
    <cellStyle name="Warning Text 40 3 3" xfId="22012" xr:uid="{00000000-0005-0000-0000-00001D550000}"/>
    <cellStyle name="Warning Text 40 3 3 2" xfId="22013" xr:uid="{00000000-0005-0000-0000-00001E550000}"/>
    <cellStyle name="Warning Text 40 3 4" xfId="22014" xr:uid="{00000000-0005-0000-0000-00001F550000}"/>
    <cellStyle name="Warning Text 40 4" xfId="22015" xr:uid="{00000000-0005-0000-0000-000020550000}"/>
    <cellStyle name="Warning Text 40 4 2" xfId="22016" xr:uid="{00000000-0005-0000-0000-000021550000}"/>
    <cellStyle name="Warning Text 40 4 2 2" xfId="22017" xr:uid="{00000000-0005-0000-0000-000022550000}"/>
    <cellStyle name="Warning Text 40 4 3" xfId="22018" xr:uid="{00000000-0005-0000-0000-000023550000}"/>
    <cellStyle name="Warning Text 40 4 3 2" xfId="22019" xr:uid="{00000000-0005-0000-0000-000024550000}"/>
    <cellStyle name="Warning Text 40 4 4" xfId="22020" xr:uid="{00000000-0005-0000-0000-000025550000}"/>
    <cellStyle name="Warning Text 40 5" xfId="22021" xr:uid="{00000000-0005-0000-0000-000026550000}"/>
    <cellStyle name="Warning Text 40 5 2" xfId="22022" xr:uid="{00000000-0005-0000-0000-000027550000}"/>
    <cellStyle name="Warning Text 40 5 2 2" xfId="22023" xr:uid="{00000000-0005-0000-0000-000028550000}"/>
    <cellStyle name="Warning Text 40 5 3" xfId="22024" xr:uid="{00000000-0005-0000-0000-000029550000}"/>
    <cellStyle name="Warning Text 40 5 3 2" xfId="22025" xr:uid="{00000000-0005-0000-0000-00002A550000}"/>
    <cellStyle name="Warning Text 40 5 4" xfId="22026" xr:uid="{00000000-0005-0000-0000-00002B550000}"/>
    <cellStyle name="Warning Text 40 5 4 2" xfId="22027" xr:uid="{00000000-0005-0000-0000-00002C550000}"/>
    <cellStyle name="Warning Text 40 5 5" xfId="22028" xr:uid="{00000000-0005-0000-0000-00002D550000}"/>
    <cellStyle name="Warning Text 40 6" xfId="22029" xr:uid="{00000000-0005-0000-0000-00002E550000}"/>
    <cellStyle name="Warning Text 40 6 2" xfId="22030" xr:uid="{00000000-0005-0000-0000-00002F550000}"/>
    <cellStyle name="Warning Text 40 6 2 2" xfId="22031" xr:uid="{00000000-0005-0000-0000-000030550000}"/>
    <cellStyle name="Warning Text 40 6 3" xfId="22032" xr:uid="{00000000-0005-0000-0000-000031550000}"/>
    <cellStyle name="Warning Text 40 6 3 2" xfId="22033" xr:uid="{00000000-0005-0000-0000-000032550000}"/>
    <cellStyle name="Warning Text 40 6 4" xfId="22034" xr:uid="{00000000-0005-0000-0000-000033550000}"/>
    <cellStyle name="Warning Text 40 7" xfId="22035" xr:uid="{00000000-0005-0000-0000-000034550000}"/>
    <cellStyle name="Warning Text 40 7 2" xfId="22036" xr:uid="{00000000-0005-0000-0000-000035550000}"/>
    <cellStyle name="Warning Text 40 8" xfId="22037" xr:uid="{00000000-0005-0000-0000-000036550000}"/>
    <cellStyle name="Warning Text 40 8 2" xfId="22038" xr:uid="{00000000-0005-0000-0000-000037550000}"/>
    <cellStyle name="Warning Text 40 9" xfId="22039" xr:uid="{00000000-0005-0000-0000-000038550000}"/>
    <cellStyle name="Warning Text 40 9 2" xfId="22040" xr:uid="{00000000-0005-0000-0000-000039550000}"/>
    <cellStyle name="Warning Text 41" xfId="3378" xr:uid="{00000000-0005-0000-0000-00003A550000}"/>
    <cellStyle name="Warning Text 41 10" xfId="22042" xr:uid="{00000000-0005-0000-0000-00003B550000}"/>
    <cellStyle name="Warning Text 41 11" xfId="22043" xr:uid="{00000000-0005-0000-0000-00003C550000}"/>
    <cellStyle name="Warning Text 41 12" xfId="22041" xr:uid="{00000000-0005-0000-0000-00003D550000}"/>
    <cellStyle name="Warning Text 41 2" xfId="22044" xr:uid="{00000000-0005-0000-0000-00003E550000}"/>
    <cellStyle name="Warning Text 41 2 2" xfId="22045" xr:uid="{00000000-0005-0000-0000-00003F550000}"/>
    <cellStyle name="Warning Text 41 2 2 2" xfId="22046" xr:uid="{00000000-0005-0000-0000-000040550000}"/>
    <cellStyle name="Warning Text 41 2 3" xfId="22047" xr:uid="{00000000-0005-0000-0000-000041550000}"/>
    <cellStyle name="Warning Text 41 2 3 2" xfId="22048" xr:uid="{00000000-0005-0000-0000-000042550000}"/>
    <cellStyle name="Warning Text 41 2 4" xfId="22049" xr:uid="{00000000-0005-0000-0000-000043550000}"/>
    <cellStyle name="Warning Text 41 2 5" xfId="22050" xr:uid="{00000000-0005-0000-0000-000044550000}"/>
    <cellStyle name="Warning Text 41 3" xfId="22051" xr:uid="{00000000-0005-0000-0000-000045550000}"/>
    <cellStyle name="Warning Text 41 3 2" xfId="22052" xr:uid="{00000000-0005-0000-0000-000046550000}"/>
    <cellStyle name="Warning Text 41 3 2 2" xfId="22053" xr:uid="{00000000-0005-0000-0000-000047550000}"/>
    <cellStyle name="Warning Text 41 3 3" xfId="22054" xr:uid="{00000000-0005-0000-0000-000048550000}"/>
    <cellStyle name="Warning Text 41 3 3 2" xfId="22055" xr:uid="{00000000-0005-0000-0000-000049550000}"/>
    <cellStyle name="Warning Text 41 3 4" xfId="22056" xr:uid="{00000000-0005-0000-0000-00004A550000}"/>
    <cellStyle name="Warning Text 41 4" xfId="22057" xr:uid="{00000000-0005-0000-0000-00004B550000}"/>
    <cellStyle name="Warning Text 41 4 2" xfId="22058" xr:uid="{00000000-0005-0000-0000-00004C550000}"/>
    <cellStyle name="Warning Text 41 4 2 2" xfId="22059" xr:uid="{00000000-0005-0000-0000-00004D550000}"/>
    <cellStyle name="Warning Text 41 4 3" xfId="22060" xr:uid="{00000000-0005-0000-0000-00004E550000}"/>
    <cellStyle name="Warning Text 41 4 3 2" xfId="22061" xr:uid="{00000000-0005-0000-0000-00004F550000}"/>
    <cellStyle name="Warning Text 41 4 4" xfId="22062" xr:uid="{00000000-0005-0000-0000-000050550000}"/>
    <cellStyle name="Warning Text 41 5" xfId="22063" xr:uid="{00000000-0005-0000-0000-000051550000}"/>
    <cellStyle name="Warning Text 41 5 2" xfId="22064" xr:uid="{00000000-0005-0000-0000-000052550000}"/>
    <cellStyle name="Warning Text 41 5 2 2" xfId="22065" xr:uid="{00000000-0005-0000-0000-000053550000}"/>
    <cellStyle name="Warning Text 41 5 3" xfId="22066" xr:uid="{00000000-0005-0000-0000-000054550000}"/>
    <cellStyle name="Warning Text 41 5 3 2" xfId="22067" xr:uid="{00000000-0005-0000-0000-000055550000}"/>
    <cellStyle name="Warning Text 41 5 4" xfId="22068" xr:uid="{00000000-0005-0000-0000-000056550000}"/>
    <cellStyle name="Warning Text 41 5 4 2" xfId="22069" xr:uid="{00000000-0005-0000-0000-000057550000}"/>
    <cellStyle name="Warning Text 41 5 5" xfId="22070" xr:uid="{00000000-0005-0000-0000-000058550000}"/>
    <cellStyle name="Warning Text 41 6" xfId="22071" xr:uid="{00000000-0005-0000-0000-000059550000}"/>
    <cellStyle name="Warning Text 41 6 2" xfId="22072" xr:uid="{00000000-0005-0000-0000-00005A550000}"/>
    <cellStyle name="Warning Text 41 6 2 2" xfId="22073" xr:uid="{00000000-0005-0000-0000-00005B550000}"/>
    <cellStyle name="Warning Text 41 6 3" xfId="22074" xr:uid="{00000000-0005-0000-0000-00005C550000}"/>
    <cellStyle name="Warning Text 41 6 3 2" xfId="22075" xr:uid="{00000000-0005-0000-0000-00005D550000}"/>
    <cellStyle name="Warning Text 41 6 4" xfId="22076" xr:uid="{00000000-0005-0000-0000-00005E550000}"/>
    <cellStyle name="Warning Text 41 7" xfId="22077" xr:uid="{00000000-0005-0000-0000-00005F550000}"/>
    <cellStyle name="Warning Text 41 7 2" xfId="22078" xr:uid="{00000000-0005-0000-0000-000060550000}"/>
    <cellStyle name="Warning Text 41 8" xfId="22079" xr:uid="{00000000-0005-0000-0000-000061550000}"/>
    <cellStyle name="Warning Text 41 8 2" xfId="22080" xr:uid="{00000000-0005-0000-0000-000062550000}"/>
    <cellStyle name="Warning Text 41 9" xfId="22081" xr:uid="{00000000-0005-0000-0000-000063550000}"/>
    <cellStyle name="Warning Text 41 9 2" xfId="22082" xr:uid="{00000000-0005-0000-0000-000064550000}"/>
    <cellStyle name="Warning Text 5" xfId="3379" xr:uid="{00000000-0005-0000-0000-000065550000}"/>
    <cellStyle name="Warning Text 5 10" xfId="22084" xr:uid="{00000000-0005-0000-0000-000066550000}"/>
    <cellStyle name="Warning Text 5 10 2" xfId="22085" xr:uid="{00000000-0005-0000-0000-000067550000}"/>
    <cellStyle name="Warning Text 5 11" xfId="22086" xr:uid="{00000000-0005-0000-0000-000068550000}"/>
    <cellStyle name="Warning Text 5 12" xfId="22087" xr:uid="{00000000-0005-0000-0000-000069550000}"/>
    <cellStyle name="Warning Text 5 13" xfId="22083" xr:uid="{00000000-0005-0000-0000-00006A550000}"/>
    <cellStyle name="Warning Text 5 2" xfId="22088" xr:uid="{00000000-0005-0000-0000-00006B550000}"/>
    <cellStyle name="Warning Text 5 2 10" xfId="22089" xr:uid="{00000000-0005-0000-0000-00006C550000}"/>
    <cellStyle name="Warning Text 5 2 2" xfId="22090" xr:uid="{00000000-0005-0000-0000-00006D550000}"/>
    <cellStyle name="Warning Text 5 2 2 2" xfId="22091" xr:uid="{00000000-0005-0000-0000-00006E550000}"/>
    <cellStyle name="Warning Text 5 2 2 2 2" xfId="22092" xr:uid="{00000000-0005-0000-0000-00006F550000}"/>
    <cellStyle name="Warning Text 5 2 2 3" xfId="22093" xr:uid="{00000000-0005-0000-0000-000070550000}"/>
    <cellStyle name="Warning Text 5 2 2 3 2" xfId="22094" xr:uid="{00000000-0005-0000-0000-000071550000}"/>
    <cellStyle name="Warning Text 5 2 2 4" xfId="22095" xr:uid="{00000000-0005-0000-0000-000072550000}"/>
    <cellStyle name="Warning Text 5 2 3" xfId="22096" xr:uid="{00000000-0005-0000-0000-000073550000}"/>
    <cellStyle name="Warning Text 5 2 3 2" xfId="22097" xr:uid="{00000000-0005-0000-0000-000074550000}"/>
    <cellStyle name="Warning Text 5 2 3 2 2" xfId="22098" xr:uid="{00000000-0005-0000-0000-000075550000}"/>
    <cellStyle name="Warning Text 5 2 3 3" xfId="22099" xr:uid="{00000000-0005-0000-0000-000076550000}"/>
    <cellStyle name="Warning Text 5 2 3 3 2" xfId="22100" xr:uid="{00000000-0005-0000-0000-000077550000}"/>
    <cellStyle name="Warning Text 5 2 3 4" xfId="22101" xr:uid="{00000000-0005-0000-0000-000078550000}"/>
    <cellStyle name="Warning Text 5 2 4" xfId="22102" xr:uid="{00000000-0005-0000-0000-000079550000}"/>
    <cellStyle name="Warning Text 5 2 4 2" xfId="22103" xr:uid="{00000000-0005-0000-0000-00007A550000}"/>
    <cellStyle name="Warning Text 5 2 4 2 2" xfId="22104" xr:uid="{00000000-0005-0000-0000-00007B550000}"/>
    <cellStyle name="Warning Text 5 2 4 3" xfId="22105" xr:uid="{00000000-0005-0000-0000-00007C550000}"/>
    <cellStyle name="Warning Text 5 2 4 3 2" xfId="22106" xr:uid="{00000000-0005-0000-0000-00007D550000}"/>
    <cellStyle name="Warning Text 5 2 4 4" xfId="22107" xr:uid="{00000000-0005-0000-0000-00007E550000}"/>
    <cellStyle name="Warning Text 5 2 4 4 2" xfId="22108" xr:uid="{00000000-0005-0000-0000-00007F550000}"/>
    <cellStyle name="Warning Text 5 2 4 5" xfId="22109" xr:uid="{00000000-0005-0000-0000-000080550000}"/>
    <cellStyle name="Warning Text 5 2 5" xfId="22110" xr:uid="{00000000-0005-0000-0000-000081550000}"/>
    <cellStyle name="Warning Text 5 2 5 2" xfId="22111" xr:uid="{00000000-0005-0000-0000-000082550000}"/>
    <cellStyle name="Warning Text 5 2 5 2 2" xfId="22112" xr:uid="{00000000-0005-0000-0000-000083550000}"/>
    <cellStyle name="Warning Text 5 2 5 3" xfId="22113" xr:uid="{00000000-0005-0000-0000-000084550000}"/>
    <cellStyle name="Warning Text 5 2 5 3 2" xfId="22114" xr:uid="{00000000-0005-0000-0000-000085550000}"/>
    <cellStyle name="Warning Text 5 2 5 4" xfId="22115" xr:uid="{00000000-0005-0000-0000-000086550000}"/>
    <cellStyle name="Warning Text 5 2 6" xfId="22116" xr:uid="{00000000-0005-0000-0000-000087550000}"/>
    <cellStyle name="Warning Text 5 2 6 2" xfId="22117" xr:uid="{00000000-0005-0000-0000-000088550000}"/>
    <cellStyle name="Warning Text 5 2 7" xfId="22118" xr:uid="{00000000-0005-0000-0000-000089550000}"/>
    <cellStyle name="Warning Text 5 2 7 2" xfId="22119" xr:uid="{00000000-0005-0000-0000-00008A550000}"/>
    <cellStyle name="Warning Text 5 2 8" xfId="22120" xr:uid="{00000000-0005-0000-0000-00008B550000}"/>
    <cellStyle name="Warning Text 5 2 8 2" xfId="22121" xr:uid="{00000000-0005-0000-0000-00008C550000}"/>
    <cellStyle name="Warning Text 5 2 9" xfId="22122" xr:uid="{00000000-0005-0000-0000-00008D550000}"/>
    <cellStyle name="Warning Text 5 3" xfId="22123" xr:uid="{00000000-0005-0000-0000-00008E550000}"/>
    <cellStyle name="Warning Text 5 3 2" xfId="22124" xr:uid="{00000000-0005-0000-0000-00008F550000}"/>
    <cellStyle name="Warning Text 5 3 2 2" xfId="22125" xr:uid="{00000000-0005-0000-0000-000090550000}"/>
    <cellStyle name="Warning Text 5 3 3" xfId="22126" xr:uid="{00000000-0005-0000-0000-000091550000}"/>
    <cellStyle name="Warning Text 5 3 3 2" xfId="22127" xr:uid="{00000000-0005-0000-0000-000092550000}"/>
    <cellStyle name="Warning Text 5 3 4" xfId="22128" xr:uid="{00000000-0005-0000-0000-000093550000}"/>
    <cellStyle name="Warning Text 5 3 5" xfId="22129" xr:uid="{00000000-0005-0000-0000-000094550000}"/>
    <cellStyle name="Warning Text 5 4" xfId="22130" xr:uid="{00000000-0005-0000-0000-000095550000}"/>
    <cellStyle name="Warning Text 5 4 2" xfId="22131" xr:uid="{00000000-0005-0000-0000-000096550000}"/>
    <cellStyle name="Warning Text 5 4 2 2" xfId="22132" xr:uid="{00000000-0005-0000-0000-000097550000}"/>
    <cellStyle name="Warning Text 5 4 3" xfId="22133" xr:uid="{00000000-0005-0000-0000-000098550000}"/>
    <cellStyle name="Warning Text 5 4 3 2" xfId="22134" xr:uid="{00000000-0005-0000-0000-000099550000}"/>
    <cellStyle name="Warning Text 5 4 4" xfId="22135" xr:uid="{00000000-0005-0000-0000-00009A550000}"/>
    <cellStyle name="Warning Text 5 5" xfId="22136" xr:uid="{00000000-0005-0000-0000-00009B550000}"/>
    <cellStyle name="Warning Text 5 5 2" xfId="22137" xr:uid="{00000000-0005-0000-0000-00009C550000}"/>
    <cellStyle name="Warning Text 5 5 2 2" xfId="22138" xr:uid="{00000000-0005-0000-0000-00009D550000}"/>
    <cellStyle name="Warning Text 5 5 3" xfId="22139" xr:uid="{00000000-0005-0000-0000-00009E550000}"/>
    <cellStyle name="Warning Text 5 5 3 2" xfId="22140" xr:uid="{00000000-0005-0000-0000-00009F550000}"/>
    <cellStyle name="Warning Text 5 5 4" xfId="22141" xr:uid="{00000000-0005-0000-0000-0000A0550000}"/>
    <cellStyle name="Warning Text 5 6" xfId="22142" xr:uid="{00000000-0005-0000-0000-0000A1550000}"/>
    <cellStyle name="Warning Text 5 6 2" xfId="22143" xr:uid="{00000000-0005-0000-0000-0000A2550000}"/>
    <cellStyle name="Warning Text 5 6 2 2" xfId="22144" xr:uid="{00000000-0005-0000-0000-0000A3550000}"/>
    <cellStyle name="Warning Text 5 6 3" xfId="22145" xr:uid="{00000000-0005-0000-0000-0000A4550000}"/>
    <cellStyle name="Warning Text 5 6 3 2" xfId="22146" xr:uid="{00000000-0005-0000-0000-0000A5550000}"/>
    <cellStyle name="Warning Text 5 6 4" xfId="22147" xr:uid="{00000000-0005-0000-0000-0000A6550000}"/>
    <cellStyle name="Warning Text 5 6 4 2" xfId="22148" xr:uid="{00000000-0005-0000-0000-0000A7550000}"/>
    <cellStyle name="Warning Text 5 6 5" xfId="22149" xr:uid="{00000000-0005-0000-0000-0000A8550000}"/>
    <cellStyle name="Warning Text 5 7" xfId="22150" xr:uid="{00000000-0005-0000-0000-0000A9550000}"/>
    <cellStyle name="Warning Text 5 7 2" xfId="22151" xr:uid="{00000000-0005-0000-0000-0000AA550000}"/>
    <cellStyle name="Warning Text 5 7 2 2" xfId="22152" xr:uid="{00000000-0005-0000-0000-0000AB550000}"/>
    <cellStyle name="Warning Text 5 7 3" xfId="22153" xr:uid="{00000000-0005-0000-0000-0000AC550000}"/>
    <cellStyle name="Warning Text 5 7 3 2" xfId="22154" xr:uid="{00000000-0005-0000-0000-0000AD550000}"/>
    <cellStyle name="Warning Text 5 7 4" xfId="22155" xr:uid="{00000000-0005-0000-0000-0000AE550000}"/>
    <cellStyle name="Warning Text 5 8" xfId="22156" xr:uid="{00000000-0005-0000-0000-0000AF550000}"/>
    <cellStyle name="Warning Text 5 8 2" xfId="22157" xr:uid="{00000000-0005-0000-0000-0000B0550000}"/>
    <cellStyle name="Warning Text 5 9" xfId="22158" xr:uid="{00000000-0005-0000-0000-0000B1550000}"/>
    <cellStyle name="Warning Text 5 9 2" xfId="22159" xr:uid="{00000000-0005-0000-0000-0000B2550000}"/>
    <cellStyle name="Warning Text 6" xfId="3380" xr:uid="{00000000-0005-0000-0000-0000B3550000}"/>
    <cellStyle name="Warning Text 6 10" xfId="22161" xr:uid="{00000000-0005-0000-0000-0000B4550000}"/>
    <cellStyle name="Warning Text 6 10 2" xfId="22162" xr:uid="{00000000-0005-0000-0000-0000B5550000}"/>
    <cellStyle name="Warning Text 6 11" xfId="22163" xr:uid="{00000000-0005-0000-0000-0000B6550000}"/>
    <cellStyle name="Warning Text 6 12" xfId="22164" xr:uid="{00000000-0005-0000-0000-0000B7550000}"/>
    <cellStyle name="Warning Text 6 13" xfId="22160" xr:uid="{00000000-0005-0000-0000-0000B8550000}"/>
    <cellStyle name="Warning Text 6 2" xfId="22165" xr:uid="{00000000-0005-0000-0000-0000B9550000}"/>
    <cellStyle name="Warning Text 6 2 10" xfId="22166" xr:uid="{00000000-0005-0000-0000-0000BA550000}"/>
    <cellStyle name="Warning Text 6 2 2" xfId="22167" xr:uid="{00000000-0005-0000-0000-0000BB550000}"/>
    <cellStyle name="Warning Text 6 2 2 2" xfId="22168" xr:uid="{00000000-0005-0000-0000-0000BC550000}"/>
    <cellStyle name="Warning Text 6 2 2 2 2" xfId="22169" xr:uid="{00000000-0005-0000-0000-0000BD550000}"/>
    <cellStyle name="Warning Text 6 2 2 3" xfId="22170" xr:uid="{00000000-0005-0000-0000-0000BE550000}"/>
    <cellStyle name="Warning Text 6 2 2 3 2" xfId="22171" xr:uid="{00000000-0005-0000-0000-0000BF550000}"/>
    <cellStyle name="Warning Text 6 2 2 4" xfId="22172" xr:uid="{00000000-0005-0000-0000-0000C0550000}"/>
    <cellStyle name="Warning Text 6 2 3" xfId="22173" xr:uid="{00000000-0005-0000-0000-0000C1550000}"/>
    <cellStyle name="Warning Text 6 2 3 2" xfId="22174" xr:uid="{00000000-0005-0000-0000-0000C2550000}"/>
    <cellStyle name="Warning Text 6 2 3 2 2" xfId="22175" xr:uid="{00000000-0005-0000-0000-0000C3550000}"/>
    <cellStyle name="Warning Text 6 2 3 3" xfId="22176" xr:uid="{00000000-0005-0000-0000-0000C4550000}"/>
    <cellStyle name="Warning Text 6 2 3 3 2" xfId="22177" xr:uid="{00000000-0005-0000-0000-0000C5550000}"/>
    <cellStyle name="Warning Text 6 2 3 4" xfId="22178" xr:uid="{00000000-0005-0000-0000-0000C6550000}"/>
    <cellStyle name="Warning Text 6 2 4" xfId="22179" xr:uid="{00000000-0005-0000-0000-0000C7550000}"/>
    <cellStyle name="Warning Text 6 2 4 2" xfId="22180" xr:uid="{00000000-0005-0000-0000-0000C8550000}"/>
    <cellStyle name="Warning Text 6 2 4 2 2" xfId="22181" xr:uid="{00000000-0005-0000-0000-0000C9550000}"/>
    <cellStyle name="Warning Text 6 2 4 3" xfId="22182" xr:uid="{00000000-0005-0000-0000-0000CA550000}"/>
    <cellStyle name="Warning Text 6 2 4 3 2" xfId="22183" xr:uid="{00000000-0005-0000-0000-0000CB550000}"/>
    <cellStyle name="Warning Text 6 2 4 4" xfId="22184" xr:uid="{00000000-0005-0000-0000-0000CC550000}"/>
    <cellStyle name="Warning Text 6 2 4 4 2" xfId="22185" xr:uid="{00000000-0005-0000-0000-0000CD550000}"/>
    <cellStyle name="Warning Text 6 2 4 5" xfId="22186" xr:uid="{00000000-0005-0000-0000-0000CE550000}"/>
    <cellStyle name="Warning Text 6 2 5" xfId="22187" xr:uid="{00000000-0005-0000-0000-0000CF550000}"/>
    <cellStyle name="Warning Text 6 2 5 2" xfId="22188" xr:uid="{00000000-0005-0000-0000-0000D0550000}"/>
    <cellStyle name="Warning Text 6 2 5 2 2" xfId="22189" xr:uid="{00000000-0005-0000-0000-0000D1550000}"/>
    <cellStyle name="Warning Text 6 2 5 3" xfId="22190" xr:uid="{00000000-0005-0000-0000-0000D2550000}"/>
    <cellStyle name="Warning Text 6 2 5 3 2" xfId="22191" xr:uid="{00000000-0005-0000-0000-0000D3550000}"/>
    <cellStyle name="Warning Text 6 2 5 4" xfId="22192" xr:uid="{00000000-0005-0000-0000-0000D4550000}"/>
    <cellStyle name="Warning Text 6 2 6" xfId="22193" xr:uid="{00000000-0005-0000-0000-0000D5550000}"/>
    <cellStyle name="Warning Text 6 2 6 2" xfId="22194" xr:uid="{00000000-0005-0000-0000-0000D6550000}"/>
    <cellStyle name="Warning Text 6 2 7" xfId="22195" xr:uid="{00000000-0005-0000-0000-0000D7550000}"/>
    <cellStyle name="Warning Text 6 2 7 2" xfId="22196" xr:uid="{00000000-0005-0000-0000-0000D8550000}"/>
    <cellStyle name="Warning Text 6 2 8" xfId="22197" xr:uid="{00000000-0005-0000-0000-0000D9550000}"/>
    <cellStyle name="Warning Text 6 2 8 2" xfId="22198" xr:uid="{00000000-0005-0000-0000-0000DA550000}"/>
    <cellStyle name="Warning Text 6 2 9" xfId="22199" xr:uid="{00000000-0005-0000-0000-0000DB550000}"/>
    <cellStyle name="Warning Text 6 3" xfId="22200" xr:uid="{00000000-0005-0000-0000-0000DC550000}"/>
    <cellStyle name="Warning Text 6 3 2" xfId="22201" xr:uid="{00000000-0005-0000-0000-0000DD550000}"/>
    <cellStyle name="Warning Text 6 3 2 2" xfId="22202" xr:uid="{00000000-0005-0000-0000-0000DE550000}"/>
    <cellStyle name="Warning Text 6 3 3" xfId="22203" xr:uid="{00000000-0005-0000-0000-0000DF550000}"/>
    <cellStyle name="Warning Text 6 3 3 2" xfId="22204" xr:uid="{00000000-0005-0000-0000-0000E0550000}"/>
    <cellStyle name="Warning Text 6 3 4" xfId="22205" xr:uid="{00000000-0005-0000-0000-0000E1550000}"/>
    <cellStyle name="Warning Text 6 3 5" xfId="22206" xr:uid="{00000000-0005-0000-0000-0000E2550000}"/>
    <cellStyle name="Warning Text 6 4" xfId="22207" xr:uid="{00000000-0005-0000-0000-0000E3550000}"/>
    <cellStyle name="Warning Text 6 4 2" xfId="22208" xr:uid="{00000000-0005-0000-0000-0000E4550000}"/>
    <cellStyle name="Warning Text 6 4 2 2" xfId="22209" xr:uid="{00000000-0005-0000-0000-0000E5550000}"/>
    <cellStyle name="Warning Text 6 4 3" xfId="22210" xr:uid="{00000000-0005-0000-0000-0000E6550000}"/>
    <cellStyle name="Warning Text 6 4 3 2" xfId="22211" xr:uid="{00000000-0005-0000-0000-0000E7550000}"/>
    <cellStyle name="Warning Text 6 4 4" xfId="22212" xr:uid="{00000000-0005-0000-0000-0000E8550000}"/>
    <cellStyle name="Warning Text 6 5" xfId="22213" xr:uid="{00000000-0005-0000-0000-0000E9550000}"/>
    <cellStyle name="Warning Text 6 5 2" xfId="22214" xr:uid="{00000000-0005-0000-0000-0000EA550000}"/>
    <cellStyle name="Warning Text 6 5 2 2" xfId="22215" xr:uid="{00000000-0005-0000-0000-0000EB550000}"/>
    <cellStyle name="Warning Text 6 5 3" xfId="22216" xr:uid="{00000000-0005-0000-0000-0000EC550000}"/>
    <cellStyle name="Warning Text 6 5 3 2" xfId="22217" xr:uid="{00000000-0005-0000-0000-0000ED550000}"/>
    <cellStyle name="Warning Text 6 5 4" xfId="22218" xr:uid="{00000000-0005-0000-0000-0000EE550000}"/>
    <cellStyle name="Warning Text 6 6" xfId="22219" xr:uid="{00000000-0005-0000-0000-0000EF550000}"/>
    <cellStyle name="Warning Text 6 6 2" xfId="22220" xr:uid="{00000000-0005-0000-0000-0000F0550000}"/>
    <cellStyle name="Warning Text 6 6 2 2" xfId="22221" xr:uid="{00000000-0005-0000-0000-0000F1550000}"/>
    <cellStyle name="Warning Text 6 6 3" xfId="22222" xr:uid="{00000000-0005-0000-0000-0000F2550000}"/>
    <cellStyle name="Warning Text 6 6 3 2" xfId="22223" xr:uid="{00000000-0005-0000-0000-0000F3550000}"/>
    <cellStyle name="Warning Text 6 6 4" xfId="22224" xr:uid="{00000000-0005-0000-0000-0000F4550000}"/>
    <cellStyle name="Warning Text 6 6 4 2" xfId="22225" xr:uid="{00000000-0005-0000-0000-0000F5550000}"/>
    <cellStyle name="Warning Text 6 6 5" xfId="22226" xr:uid="{00000000-0005-0000-0000-0000F6550000}"/>
    <cellStyle name="Warning Text 6 7" xfId="22227" xr:uid="{00000000-0005-0000-0000-0000F7550000}"/>
    <cellStyle name="Warning Text 6 7 2" xfId="22228" xr:uid="{00000000-0005-0000-0000-0000F8550000}"/>
    <cellStyle name="Warning Text 6 7 2 2" xfId="22229" xr:uid="{00000000-0005-0000-0000-0000F9550000}"/>
    <cellStyle name="Warning Text 6 7 3" xfId="22230" xr:uid="{00000000-0005-0000-0000-0000FA550000}"/>
    <cellStyle name="Warning Text 6 7 3 2" xfId="22231" xr:uid="{00000000-0005-0000-0000-0000FB550000}"/>
    <cellStyle name="Warning Text 6 7 4" xfId="22232" xr:uid="{00000000-0005-0000-0000-0000FC550000}"/>
    <cellStyle name="Warning Text 6 8" xfId="22233" xr:uid="{00000000-0005-0000-0000-0000FD550000}"/>
    <cellStyle name="Warning Text 6 8 2" xfId="22234" xr:uid="{00000000-0005-0000-0000-0000FE550000}"/>
    <cellStyle name="Warning Text 6 9" xfId="22235" xr:uid="{00000000-0005-0000-0000-0000FF550000}"/>
    <cellStyle name="Warning Text 6 9 2" xfId="22236" xr:uid="{00000000-0005-0000-0000-000000560000}"/>
    <cellStyle name="Warning Text 7" xfId="3381" xr:uid="{00000000-0005-0000-0000-000001560000}"/>
    <cellStyle name="Warning Text 7 10" xfId="22238" xr:uid="{00000000-0005-0000-0000-000002560000}"/>
    <cellStyle name="Warning Text 7 11" xfId="22239" xr:uid="{00000000-0005-0000-0000-000003560000}"/>
    <cellStyle name="Warning Text 7 12" xfId="22237" xr:uid="{00000000-0005-0000-0000-000004560000}"/>
    <cellStyle name="Warning Text 7 2" xfId="22240" xr:uid="{00000000-0005-0000-0000-000005560000}"/>
    <cellStyle name="Warning Text 7 2 2" xfId="22241" xr:uid="{00000000-0005-0000-0000-000006560000}"/>
    <cellStyle name="Warning Text 7 2 2 2" xfId="22242" xr:uid="{00000000-0005-0000-0000-000007560000}"/>
    <cellStyle name="Warning Text 7 2 3" xfId="22243" xr:uid="{00000000-0005-0000-0000-000008560000}"/>
    <cellStyle name="Warning Text 7 2 3 2" xfId="22244" xr:uid="{00000000-0005-0000-0000-000009560000}"/>
    <cellStyle name="Warning Text 7 2 4" xfId="22245" xr:uid="{00000000-0005-0000-0000-00000A560000}"/>
    <cellStyle name="Warning Text 7 2 5" xfId="22246" xr:uid="{00000000-0005-0000-0000-00000B560000}"/>
    <cellStyle name="Warning Text 7 3" xfId="22247" xr:uid="{00000000-0005-0000-0000-00000C560000}"/>
    <cellStyle name="Warning Text 7 3 2" xfId="22248" xr:uid="{00000000-0005-0000-0000-00000D560000}"/>
    <cellStyle name="Warning Text 7 3 2 2" xfId="22249" xr:uid="{00000000-0005-0000-0000-00000E560000}"/>
    <cellStyle name="Warning Text 7 3 3" xfId="22250" xr:uid="{00000000-0005-0000-0000-00000F560000}"/>
    <cellStyle name="Warning Text 7 3 3 2" xfId="22251" xr:uid="{00000000-0005-0000-0000-000010560000}"/>
    <cellStyle name="Warning Text 7 3 4" xfId="22252" xr:uid="{00000000-0005-0000-0000-000011560000}"/>
    <cellStyle name="Warning Text 7 4" xfId="22253" xr:uid="{00000000-0005-0000-0000-000012560000}"/>
    <cellStyle name="Warning Text 7 4 2" xfId="22254" xr:uid="{00000000-0005-0000-0000-000013560000}"/>
    <cellStyle name="Warning Text 7 4 2 2" xfId="22255" xr:uid="{00000000-0005-0000-0000-000014560000}"/>
    <cellStyle name="Warning Text 7 4 3" xfId="22256" xr:uid="{00000000-0005-0000-0000-000015560000}"/>
    <cellStyle name="Warning Text 7 4 3 2" xfId="22257" xr:uid="{00000000-0005-0000-0000-000016560000}"/>
    <cellStyle name="Warning Text 7 4 4" xfId="22258" xr:uid="{00000000-0005-0000-0000-000017560000}"/>
    <cellStyle name="Warning Text 7 5" xfId="22259" xr:uid="{00000000-0005-0000-0000-000018560000}"/>
    <cellStyle name="Warning Text 7 5 2" xfId="22260" xr:uid="{00000000-0005-0000-0000-000019560000}"/>
    <cellStyle name="Warning Text 7 5 2 2" xfId="22261" xr:uid="{00000000-0005-0000-0000-00001A560000}"/>
    <cellStyle name="Warning Text 7 5 3" xfId="22262" xr:uid="{00000000-0005-0000-0000-00001B560000}"/>
    <cellStyle name="Warning Text 7 5 3 2" xfId="22263" xr:uid="{00000000-0005-0000-0000-00001C560000}"/>
    <cellStyle name="Warning Text 7 5 4" xfId="22264" xr:uid="{00000000-0005-0000-0000-00001D560000}"/>
    <cellStyle name="Warning Text 7 5 4 2" xfId="22265" xr:uid="{00000000-0005-0000-0000-00001E560000}"/>
    <cellStyle name="Warning Text 7 5 5" xfId="22266" xr:uid="{00000000-0005-0000-0000-00001F560000}"/>
    <cellStyle name="Warning Text 7 6" xfId="22267" xr:uid="{00000000-0005-0000-0000-000020560000}"/>
    <cellStyle name="Warning Text 7 6 2" xfId="22268" xr:uid="{00000000-0005-0000-0000-000021560000}"/>
    <cellStyle name="Warning Text 7 6 2 2" xfId="22269" xr:uid="{00000000-0005-0000-0000-000022560000}"/>
    <cellStyle name="Warning Text 7 6 3" xfId="22270" xr:uid="{00000000-0005-0000-0000-000023560000}"/>
    <cellStyle name="Warning Text 7 6 3 2" xfId="22271" xr:uid="{00000000-0005-0000-0000-000024560000}"/>
    <cellStyle name="Warning Text 7 6 4" xfId="22272" xr:uid="{00000000-0005-0000-0000-000025560000}"/>
    <cellStyle name="Warning Text 7 7" xfId="22273" xr:uid="{00000000-0005-0000-0000-000026560000}"/>
    <cellStyle name="Warning Text 7 7 2" xfId="22274" xr:uid="{00000000-0005-0000-0000-000027560000}"/>
    <cellStyle name="Warning Text 7 8" xfId="22275" xr:uid="{00000000-0005-0000-0000-000028560000}"/>
    <cellStyle name="Warning Text 7 8 2" xfId="22276" xr:uid="{00000000-0005-0000-0000-000029560000}"/>
    <cellStyle name="Warning Text 7 9" xfId="22277" xr:uid="{00000000-0005-0000-0000-00002A560000}"/>
    <cellStyle name="Warning Text 7 9 2" xfId="22278" xr:uid="{00000000-0005-0000-0000-00002B560000}"/>
    <cellStyle name="Warning Text 8" xfId="3382" xr:uid="{00000000-0005-0000-0000-00002C560000}"/>
    <cellStyle name="Warning Text 8 10" xfId="22280" xr:uid="{00000000-0005-0000-0000-00002D560000}"/>
    <cellStyle name="Warning Text 8 11" xfId="22281" xr:uid="{00000000-0005-0000-0000-00002E560000}"/>
    <cellStyle name="Warning Text 8 12" xfId="22279" xr:uid="{00000000-0005-0000-0000-00002F560000}"/>
    <cellStyle name="Warning Text 8 2" xfId="22282" xr:uid="{00000000-0005-0000-0000-000030560000}"/>
    <cellStyle name="Warning Text 8 2 2" xfId="22283" xr:uid="{00000000-0005-0000-0000-000031560000}"/>
    <cellStyle name="Warning Text 8 2 2 2" xfId="22284" xr:uid="{00000000-0005-0000-0000-000032560000}"/>
    <cellStyle name="Warning Text 8 2 3" xfId="22285" xr:uid="{00000000-0005-0000-0000-000033560000}"/>
    <cellStyle name="Warning Text 8 2 3 2" xfId="22286" xr:uid="{00000000-0005-0000-0000-000034560000}"/>
    <cellStyle name="Warning Text 8 2 4" xfId="22287" xr:uid="{00000000-0005-0000-0000-000035560000}"/>
    <cellStyle name="Warning Text 8 2 5" xfId="22288" xr:uid="{00000000-0005-0000-0000-000036560000}"/>
    <cellStyle name="Warning Text 8 3" xfId="22289" xr:uid="{00000000-0005-0000-0000-000037560000}"/>
    <cellStyle name="Warning Text 8 3 2" xfId="22290" xr:uid="{00000000-0005-0000-0000-000038560000}"/>
    <cellStyle name="Warning Text 8 3 2 2" xfId="22291" xr:uid="{00000000-0005-0000-0000-000039560000}"/>
    <cellStyle name="Warning Text 8 3 3" xfId="22292" xr:uid="{00000000-0005-0000-0000-00003A560000}"/>
    <cellStyle name="Warning Text 8 3 3 2" xfId="22293" xr:uid="{00000000-0005-0000-0000-00003B560000}"/>
    <cellStyle name="Warning Text 8 3 4" xfId="22294" xr:uid="{00000000-0005-0000-0000-00003C560000}"/>
    <cellStyle name="Warning Text 8 4" xfId="22295" xr:uid="{00000000-0005-0000-0000-00003D560000}"/>
    <cellStyle name="Warning Text 8 4 2" xfId="22296" xr:uid="{00000000-0005-0000-0000-00003E560000}"/>
    <cellStyle name="Warning Text 8 4 2 2" xfId="22297" xr:uid="{00000000-0005-0000-0000-00003F560000}"/>
    <cellStyle name="Warning Text 8 4 3" xfId="22298" xr:uid="{00000000-0005-0000-0000-000040560000}"/>
    <cellStyle name="Warning Text 8 4 3 2" xfId="22299" xr:uid="{00000000-0005-0000-0000-000041560000}"/>
    <cellStyle name="Warning Text 8 4 4" xfId="22300" xr:uid="{00000000-0005-0000-0000-000042560000}"/>
    <cellStyle name="Warning Text 8 5" xfId="22301" xr:uid="{00000000-0005-0000-0000-000043560000}"/>
    <cellStyle name="Warning Text 8 5 2" xfId="22302" xr:uid="{00000000-0005-0000-0000-000044560000}"/>
    <cellStyle name="Warning Text 8 5 2 2" xfId="22303" xr:uid="{00000000-0005-0000-0000-000045560000}"/>
    <cellStyle name="Warning Text 8 5 3" xfId="22304" xr:uid="{00000000-0005-0000-0000-000046560000}"/>
    <cellStyle name="Warning Text 8 5 3 2" xfId="22305" xr:uid="{00000000-0005-0000-0000-000047560000}"/>
    <cellStyle name="Warning Text 8 5 4" xfId="22306" xr:uid="{00000000-0005-0000-0000-000048560000}"/>
    <cellStyle name="Warning Text 8 5 4 2" xfId="22307" xr:uid="{00000000-0005-0000-0000-000049560000}"/>
    <cellStyle name="Warning Text 8 5 5" xfId="22308" xr:uid="{00000000-0005-0000-0000-00004A560000}"/>
    <cellStyle name="Warning Text 8 6" xfId="22309" xr:uid="{00000000-0005-0000-0000-00004B560000}"/>
    <cellStyle name="Warning Text 8 6 2" xfId="22310" xr:uid="{00000000-0005-0000-0000-00004C560000}"/>
    <cellStyle name="Warning Text 8 6 2 2" xfId="22311" xr:uid="{00000000-0005-0000-0000-00004D560000}"/>
    <cellStyle name="Warning Text 8 6 3" xfId="22312" xr:uid="{00000000-0005-0000-0000-00004E560000}"/>
    <cellStyle name="Warning Text 8 6 3 2" xfId="22313" xr:uid="{00000000-0005-0000-0000-00004F560000}"/>
    <cellStyle name="Warning Text 8 6 4" xfId="22314" xr:uid="{00000000-0005-0000-0000-000050560000}"/>
    <cellStyle name="Warning Text 8 7" xfId="22315" xr:uid="{00000000-0005-0000-0000-000051560000}"/>
    <cellStyle name="Warning Text 8 7 2" xfId="22316" xr:uid="{00000000-0005-0000-0000-000052560000}"/>
    <cellStyle name="Warning Text 8 8" xfId="22317" xr:uid="{00000000-0005-0000-0000-000053560000}"/>
    <cellStyle name="Warning Text 8 8 2" xfId="22318" xr:uid="{00000000-0005-0000-0000-000054560000}"/>
    <cellStyle name="Warning Text 8 9" xfId="22319" xr:uid="{00000000-0005-0000-0000-000055560000}"/>
    <cellStyle name="Warning Text 8 9 2" xfId="22320" xr:uid="{00000000-0005-0000-0000-000056560000}"/>
    <cellStyle name="Warning Text 9" xfId="3383" xr:uid="{00000000-0005-0000-0000-000057560000}"/>
    <cellStyle name="Warning Text 9 10" xfId="22322" xr:uid="{00000000-0005-0000-0000-000058560000}"/>
    <cellStyle name="Warning Text 9 11" xfId="22323" xr:uid="{00000000-0005-0000-0000-000059560000}"/>
    <cellStyle name="Warning Text 9 12" xfId="22321" xr:uid="{00000000-0005-0000-0000-00005A560000}"/>
    <cellStyle name="Warning Text 9 2" xfId="22324" xr:uid="{00000000-0005-0000-0000-00005B560000}"/>
    <cellStyle name="Warning Text 9 2 2" xfId="22325" xr:uid="{00000000-0005-0000-0000-00005C560000}"/>
    <cellStyle name="Warning Text 9 2 2 2" xfId="22326" xr:uid="{00000000-0005-0000-0000-00005D560000}"/>
    <cellStyle name="Warning Text 9 2 3" xfId="22327" xr:uid="{00000000-0005-0000-0000-00005E560000}"/>
    <cellStyle name="Warning Text 9 2 3 2" xfId="22328" xr:uid="{00000000-0005-0000-0000-00005F560000}"/>
    <cellStyle name="Warning Text 9 2 4" xfId="22329" xr:uid="{00000000-0005-0000-0000-000060560000}"/>
    <cellStyle name="Warning Text 9 2 5" xfId="22330" xr:uid="{00000000-0005-0000-0000-000061560000}"/>
    <cellStyle name="Warning Text 9 3" xfId="22331" xr:uid="{00000000-0005-0000-0000-000062560000}"/>
    <cellStyle name="Warning Text 9 3 2" xfId="22332" xr:uid="{00000000-0005-0000-0000-000063560000}"/>
    <cellStyle name="Warning Text 9 3 2 2" xfId="22333" xr:uid="{00000000-0005-0000-0000-000064560000}"/>
    <cellStyle name="Warning Text 9 3 3" xfId="22334" xr:uid="{00000000-0005-0000-0000-000065560000}"/>
    <cellStyle name="Warning Text 9 3 3 2" xfId="22335" xr:uid="{00000000-0005-0000-0000-000066560000}"/>
    <cellStyle name="Warning Text 9 3 4" xfId="22336" xr:uid="{00000000-0005-0000-0000-000067560000}"/>
    <cellStyle name="Warning Text 9 4" xfId="22337" xr:uid="{00000000-0005-0000-0000-000068560000}"/>
    <cellStyle name="Warning Text 9 4 2" xfId="22338" xr:uid="{00000000-0005-0000-0000-000069560000}"/>
    <cellStyle name="Warning Text 9 4 2 2" xfId="22339" xr:uid="{00000000-0005-0000-0000-00006A560000}"/>
    <cellStyle name="Warning Text 9 4 3" xfId="22340" xr:uid="{00000000-0005-0000-0000-00006B560000}"/>
    <cellStyle name="Warning Text 9 4 3 2" xfId="22341" xr:uid="{00000000-0005-0000-0000-00006C560000}"/>
    <cellStyle name="Warning Text 9 4 4" xfId="22342" xr:uid="{00000000-0005-0000-0000-00006D560000}"/>
    <cellStyle name="Warning Text 9 5" xfId="22343" xr:uid="{00000000-0005-0000-0000-00006E560000}"/>
    <cellStyle name="Warning Text 9 5 2" xfId="22344" xr:uid="{00000000-0005-0000-0000-00006F560000}"/>
    <cellStyle name="Warning Text 9 5 2 2" xfId="22345" xr:uid="{00000000-0005-0000-0000-000070560000}"/>
    <cellStyle name="Warning Text 9 5 3" xfId="22346" xr:uid="{00000000-0005-0000-0000-000071560000}"/>
    <cellStyle name="Warning Text 9 5 3 2" xfId="22347" xr:uid="{00000000-0005-0000-0000-000072560000}"/>
    <cellStyle name="Warning Text 9 5 4" xfId="22348" xr:uid="{00000000-0005-0000-0000-000073560000}"/>
    <cellStyle name="Warning Text 9 5 4 2" xfId="22349" xr:uid="{00000000-0005-0000-0000-000074560000}"/>
    <cellStyle name="Warning Text 9 5 5" xfId="22350" xr:uid="{00000000-0005-0000-0000-000075560000}"/>
    <cellStyle name="Warning Text 9 6" xfId="22351" xr:uid="{00000000-0005-0000-0000-000076560000}"/>
    <cellStyle name="Warning Text 9 6 2" xfId="22352" xr:uid="{00000000-0005-0000-0000-000077560000}"/>
    <cellStyle name="Warning Text 9 6 2 2" xfId="22353" xr:uid="{00000000-0005-0000-0000-000078560000}"/>
    <cellStyle name="Warning Text 9 6 3" xfId="22354" xr:uid="{00000000-0005-0000-0000-000079560000}"/>
    <cellStyle name="Warning Text 9 6 3 2" xfId="22355" xr:uid="{00000000-0005-0000-0000-00007A560000}"/>
    <cellStyle name="Warning Text 9 6 4" xfId="22356" xr:uid="{00000000-0005-0000-0000-00007B560000}"/>
    <cellStyle name="Warning Text 9 7" xfId="22357" xr:uid="{00000000-0005-0000-0000-00007C560000}"/>
    <cellStyle name="Warning Text 9 7 2" xfId="22358" xr:uid="{00000000-0005-0000-0000-00007D560000}"/>
    <cellStyle name="Warning Text 9 8" xfId="22359" xr:uid="{00000000-0005-0000-0000-00007E560000}"/>
    <cellStyle name="Warning Text 9 8 2" xfId="22360" xr:uid="{00000000-0005-0000-0000-00007F560000}"/>
    <cellStyle name="Warning Text 9 9" xfId="22361" xr:uid="{00000000-0005-0000-0000-000080560000}"/>
    <cellStyle name="Warning Text 9 9 2" xfId="22362" xr:uid="{00000000-0005-0000-0000-000081560000}"/>
    <cellStyle name="Überschrift" xfId="3338" xr:uid="{00000000-0005-0000-0000-000082560000}"/>
    <cellStyle name="Überschrift 1" xfId="3339" xr:uid="{00000000-0005-0000-0000-000083560000}"/>
    <cellStyle name="Überschrift 1 10" xfId="19971" xr:uid="{00000000-0005-0000-0000-000084560000}"/>
    <cellStyle name="Überschrift 1 11" xfId="19972" xr:uid="{00000000-0005-0000-0000-000085560000}"/>
    <cellStyle name="Überschrift 1 12" xfId="19970" xr:uid="{00000000-0005-0000-0000-000086560000}"/>
    <cellStyle name="Überschrift 1 2" xfId="19973" xr:uid="{00000000-0005-0000-0000-000087560000}"/>
    <cellStyle name="Überschrift 1 2 2" xfId="19974" xr:uid="{00000000-0005-0000-0000-000088560000}"/>
    <cellStyle name="Überschrift 1 2 2 2" xfId="19975" xr:uid="{00000000-0005-0000-0000-000089560000}"/>
    <cellStyle name="Überschrift 1 2 3" xfId="19976" xr:uid="{00000000-0005-0000-0000-00008A560000}"/>
    <cellStyle name="Überschrift 1 2 3 2" xfId="19977" xr:uid="{00000000-0005-0000-0000-00008B560000}"/>
    <cellStyle name="Überschrift 1 2 4" xfId="19978" xr:uid="{00000000-0005-0000-0000-00008C560000}"/>
    <cellStyle name="Überschrift 1 2 5" xfId="19979" xr:uid="{00000000-0005-0000-0000-00008D560000}"/>
    <cellStyle name="Überschrift 1 3" xfId="19980" xr:uid="{00000000-0005-0000-0000-00008E560000}"/>
    <cellStyle name="Überschrift 1 3 2" xfId="19981" xr:uid="{00000000-0005-0000-0000-00008F560000}"/>
    <cellStyle name="Überschrift 1 3 2 2" xfId="19982" xr:uid="{00000000-0005-0000-0000-000090560000}"/>
    <cellStyle name="Überschrift 1 3 3" xfId="19983" xr:uid="{00000000-0005-0000-0000-000091560000}"/>
    <cellStyle name="Überschrift 1 3 3 2" xfId="19984" xr:uid="{00000000-0005-0000-0000-000092560000}"/>
    <cellStyle name="Überschrift 1 3 4" xfId="19985" xr:uid="{00000000-0005-0000-0000-000093560000}"/>
    <cellStyle name="Überschrift 1 4" xfId="19986" xr:uid="{00000000-0005-0000-0000-000094560000}"/>
    <cellStyle name="Überschrift 1 4 2" xfId="19987" xr:uid="{00000000-0005-0000-0000-000095560000}"/>
    <cellStyle name="Überschrift 1 4 2 2" xfId="19988" xr:uid="{00000000-0005-0000-0000-000096560000}"/>
    <cellStyle name="Überschrift 1 4 3" xfId="19989" xr:uid="{00000000-0005-0000-0000-000097560000}"/>
    <cellStyle name="Überschrift 1 4 3 2" xfId="19990" xr:uid="{00000000-0005-0000-0000-000098560000}"/>
    <cellStyle name="Überschrift 1 4 4" xfId="19991" xr:uid="{00000000-0005-0000-0000-000099560000}"/>
    <cellStyle name="Überschrift 1 5" xfId="19992" xr:uid="{00000000-0005-0000-0000-00009A560000}"/>
    <cellStyle name="Überschrift 1 5 2" xfId="19993" xr:uid="{00000000-0005-0000-0000-00009B560000}"/>
    <cellStyle name="Überschrift 1 5 2 2" xfId="19994" xr:uid="{00000000-0005-0000-0000-00009C560000}"/>
    <cellStyle name="Überschrift 1 5 3" xfId="19995" xr:uid="{00000000-0005-0000-0000-00009D560000}"/>
    <cellStyle name="Überschrift 1 5 3 2" xfId="19996" xr:uid="{00000000-0005-0000-0000-00009E560000}"/>
    <cellStyle name="Überschrift 1 5 4" xfId="19997" xr:uid="{00000000-0005-0000-0000-00009F560000}"/>
    <cellStyle name="Überschrift 1 5 4 2" xfId="19998" xr:uid="{00000000-0005-0000-0000-0000A0560000}"/>
    <cellStyle name="Überschrift 1 5 5" xfId="19999" xr:uid="{00000000-0005-0000-0000-0000A1560000}"/>
    <cellStyle name="Überschrift 1 6" xfId="20000" xr:uid="{00000000-0005-0000-0000-0000A2560000}"/>
    <cellStyle name="Überschrift 1 6 2" xfId="20001" xr:uid="{00000000-0005-0000-0000-0000A3560000}"/>
    <cellStyle name="Überschrift 1 6 2 2" xfId="20002" xr:uid="{00000000-0005-0000-0000-0000A4560000}"/>
    <cellStyle name="Überschrift 1 6 3" xfId="20003" xr:uid="{00000000-0005-0000-0000-0000A5560000}"/>
    <cellStyle name="Überschrift 1 6 3 2" xfId="20004" xr:uid="{00000000-0005-0000-0000-0000A6560000}"/>
    <cellStyle name="Überschrift 1 6 4" xfId="20005" xr:uid="{00000000-0005-0000-0000-0000A7560000}"/>
    <cellStyle name="Überschrift 1 7" xfId="20006" xr:uid="{00000000-0005-0000-0000-0000A8560000}"/>
    <cellStyle name="Überschrift 1 7 2" xfId="20007" xr:uid="{00000000-0005-0000-0000-0000A9560000}"/>
    <cellStyle name="Überschrift 1 8" xfId="20008" xr:uid="{00000000-0005-0000-0000-0000AA560000}"/>
    <cellStyle name="Überschrift 1 8 2" xfId="20009" xr:uid="{00000000-0005-0000-0000-0000AB560000}"/>
    <cellStyle name="Überschrift 1 9" xfId="20010" xr:uid="{00000000-0005-0000-0000-0000AC560000}"/>
    <cellStyle name="Überschrift 1 9 2" xfId="20011" xr:uid="{00000000-0005-0000-0000-0000AD560000}"/>
    <cellStyle name="Überschrift 10" xfId="20012" xr:uid="{00000000-0005-0000-0000-0000AE560000}"/>
    <cellStyle name="Überschrift 10 2" xfId="20013" xr:uid="{00000000-0005-0000-0000-0000AF560000}"/>
    <cellStyle name="Überschrift 11" xfId="20014" xr:uid="{00000000-0005-0000-0000-0000B0560000}"/>
    <cellStyle name="Überschrift 11 2" xfId="20015" xr:uid="{00000000-0005-0000-0000-0000B1560000}"/>
    <cellStyle name="Überschrift 12" xfId="20016" xr:uid="{00000000-0005-0000-0000-0000B2560000}"/>
    <cellStyle name="Überschrift 12 2" xfId="20017" xr:uid="{00000000-0005-0000-0000-0000B3560000}"/>
    <cellStyle name="Überschrift 13" xfId="20018" xr:uid="{00000000-0005-0000-0000-0000B4560000}"/>
    <cellStyle name="Überschrift 14" xfId="20019" xr:uid="{00000000-0005-0000-0000-0000B5560000}"/>
    <cellStyle name="Überschrift 15" xfId="19969" xr:uid="{00000000-0005-0000-0000-0000B6560000}"/>
    <cellStyle name="Überschrift 2" xfId="3340" xr:uid="{00000000-0005-0000-0000-0000B7560000}"/>
    <cellStyle name="Überschrift 2 10" xfId="20021" xr:uid="{00000000-0005-0000-0000-0000B8560000}"/>
    <cellStyle name="Überschrift 2 11" xfId="20022" xr:uid="{00000000-0005-0000-0000-0000B9560000}"/>
    <cellStyle name="Überschrift 2 12" xfId="20020" xr:uid="{00000000-0005-0000-0000-0000BA560000}"/>
    <cellStyle name="Überschrift 2 2" xfId="20023" xr:uid="{00000000-0005-0000-0000-0000BB560000}"/>
    <cellStyle name="Überschrift 2 2 2" xfId="20024" xr:uid="{00000000-0005-0000-0000-0000BC560000}"/>
    <cellStyle name="Überschrift 2 2 2 2" xfId="20025" xr:uid="{00000000-0005-0000-0000-0000BD560000}"/>
    <cellStyle name="Überschrift 2 2 3" xfId="20026" xr:uid="{00000000-0005-0000-0000-0000BE560000}"/>
    <cellStyle name="Überschrift 2 2 3 2" xfId="20027" xr:uid="{00000000-0005-0000-0000-0000BF560000}"/>
    <cellStyle name="Überschrift 2 2 4" xfId="20028" xr:uid="{00000000-0005-0000-0000-0000C0560000}"/>
    <cellStyle name="Überschrift 2 2 5" xfId="20029" xr:uid="{00000000-0005-0000-0000-0000C1560000}"/>
    <cellStyle name="Überschrift 2 3" xfId="20030" xr:uid="{00000000-0005-0000-0000-0000C2560000}"/>
    <cellStyle name="Überschrift 2 3 2" xfId="20031" xr:uid="{00000000-0005-0000-0000-0000C3560000}"/>
    <cellStyle name="Überschrift 2 3 2 2" xfId="20032" xr:uid="{00000000-0005-0000-0000-0000C4560000}"/>
    <cellStyle name="Überschrift 2 3 3" xfId="20033" xr:uid="{00000000-0005-0000-0000-0000C5560000}"/>
    <cellStyle name="Überschrift 2 3 3 2" xfId="20034" xr:uid="{00000000-0005-0000-0000-0000C6560000}"/>
    <cellStyle name="Überschrift 2 3 4" xfId="20035" xr:uid="{00000000-0005-0000-0000-0000C7560000}"/>
    <cellStyle name="Überschrift 2 4" xfId="20036" xr:uid="{00000000-0005-0000-0000-0000C8560000}"/>
    <cellStyle name="Überschrift 2 4 2" xfId="20037" xr:uid="{00000000-0005-0000-0000-0000C9560000}"/>
    <cellStyle name="Überschrift 2 4 2 2" xfId="20038" xr:uid="{00000000-0005-0000-0000-0000CA560000}"/>
    <cellStyle name="Überschrift 2 4 3" xfId="20039" xr:uid="{00000000-0005-0000-0000-0000CB560000}"/>
    <cellStyle name="Überschrift 2 4 3 2" xfId="20040" xr:uid="{00000000-0005-0000-0000-0000CC560000}"/>
    <cellStyle name="Überschrift 2 4 4" xfId="20041" xr:uid="{00000000-0005-0000-0000-0000CD560000}"/>
    <cellStyle name="Überschrift 2 5" xfId="20042" xr:uid="{00000000-0005-0000-0000-0000CE560000}"/>
    <cellStyle name="Überschrift 2 5 2" xfId="20043" xr:uid="{00000000-0005-0000-0000-0000CF560000}"/>
    <cellStyle name="Überschrift 2 5 2 2" xfId="20044" xr:uid="{00000000-0005-0000-0000-0000D0560000}"/>
    <cellStyle name="Überschrift 2 5 3" xfId="20045" xr:uid="{00000000-0005-0000-0000-0000D1560000}"/>
    <cellStyle name="Überschrift 2 5 3 2" xfId="20046" xr:uid="{00000000-0005-0000-0000-0000D2560000}"/>
    <cellStyle name="Überschrift 2 5 4" xfId="20047" xr:uid="{00000000-0005-0000-0000-0000D3560000}"/>
    <cellStyle name="Überschrift 2 5 4 2" xfId="20048" xr:uid="{00000000-0005-0000-0000-0000D4560000}"/>
    <cellStyle name="Überschrift 2 5 5" xfId="20049" xr:uid="{00000000-0005-0000-0000-0000D5560000}"/>
    <cellStyle name="Überschrift 2 6" xfId="20050" xr:uid="{00000000-0005-0000-0000-0000D6560000}"/>
    <cellStyle name="Überschrift 2 6 2" xfId="20051" xr:uid="{00000000-0005-0000-0000-0000D7560000}"/>
    <cellStyle name="Überschrift 2 6 2 2" xfId="20052" xr:uid="{00000000-0005-0000-0000-0000D8560000}"/>
    <cellStyle name="Überschrift 2 6 3" xfId="20053" xr:uid="{00000000-0005-0000-0000-0000D9560000}"/>
    <cellStyle name="Überschrift 2 6 3 2" xfId="20054" xr:uid="{00000000-0005-0000-0000-0000DA560000}"/>
    <cellStyle name="Überschrift 2 6 4" xfId="20055" xr:uid="{00000000-0005-0000-0000-0000DB560000}"/>
    <cellStyle name="Überschrift 2 7" xfId="20056" xr:uid="{00000000-0005-0000-0000-0000DC560000}"/>
    <cellStyle name="Überschrift 2 7 2" xfId="20057" xr:uid="{00000000-0005-0000-0000-0000DD560000}"/>
    <cellStyle name="Überschrift 2 8" xfId="20058" xr:uid="{00000000-0005-0000-0000-0000DE560000}"/>
    <cellStyle name="Überschrift 2 8 2" xfId="20059" xr:uid="{00000000-0005-0000-0000-0000DF560000}"/>
    <cellStyle name="Überschrift 2 9" xfId="20060" xr:uid="{00000000-0005-0000-0000-0000E0560000}"/>
    <cellStyle name="Überschrift 2 9 2" xfId="20061" xr:uid="{00000000-0005-0000-0000-0000E1560000}"/>
    <cellStyle name="Überschrift 3" xfId="3341" xr:uid="{00000000-0005-0000-0000-0000E2560000}"/>
    <cellStyle name="Überschrift 3 10" xfId="20063" xr:uid="{00000000-0005-0000-0000-0000E3560000}"/>
    <cellStyle name="Überschrift 3 11" xfId="20064" xr:uid="{00000000-0005-0000-0000-0000E4560000}"/>
    <cellStyle name="Überschrift 3 12" xfId="20062" xr:uid="{00000000-0005-0000-0000-0000E5560000}"/>
    <cellStyle name="Überschrift 3 2" xfId="20065" xr:uid="{00000000-0005-0000-0000-0000E6560000}"/>
    <cellStyle name="Überschrift 3 2 2" xfId="20066" xr:uid="{00000000-0005-0000-0000-0000E7560000}"/>
    <cellStyle name="Überschrift 3 2 2 2" xfId="20067" xr:uid="{00000000-0005-0000-0000-0000E8560000}"/>
    <cellStyle name="Überschrift 3 2 3" xfId="20068" xr:uid="{00000000-0005-0000-0000-0000E9560000}"/>
    <cellStyle name="Überschrift 3 2 3 2" xfId="20069" xr:uid="{00000000-0005-0000-0000-0000EA560000}"/>
    <cellStyle name="Überschrift 3 2 4" xfId="20070" xr:uid="{00000000-0005-0000-0000-0000EB560000}"/>
    <cellStyle name="Überschrift 3 2 5" xfId="20071" xr:uid="{00000000-0005-0000-0000-0000EC560000}"/>
    <cellStyle name="Überschrift 3 3" xfId="20072" xr:uid="{00000000-0005-0000-0000-0000ED560000}"/>
    <cellStyle name="Überschrift 3 3 2" xfId="20073" xr:uid="{00000000-0005-0000-0000-0000EE560000}"/>
    <cellStyle name="Überschrift 3 3 2 2" xfId="20074" xr:uid="{00000000-0005-0000-0000-0000EF560000}"/>
    <cellStyle name="Überschrift 3 3 3" xfId="20075" xr:uid="{00000000-0005-0000-0000-0000F0560000}"/>
    <cellStyle name="Überschrift 3 3 3 2" xfId="20076" xr:uid="{00000000-0005-0000-0000-0000F1560000}"/>
    <cellStyle name="Überschrift 3 3 4" xfId="20077" xr:uid="{00000000-0005-0000-0000-0000F2560000}"/>
    <cellStyle name="Überschrift 3 4" xfId="20078" xr:uid="{00000000-0005-0000-0000-0000F3560000}"/>
    <cellStyle name="Überschrift 3 4 2" xfId="20079" xr:uid="{00000000-0005-0000-0000-0000F4560000}"/>
    <cellStyle name="Überschrift 3 4 2 2" xfId="20080" xr:uid="{00000000-0005-0000-0000-0000F5560000}"/>
    <cellStyle name="Überschrift 3 4 3" xfId="20081" xr:uid="{00000000-0005-0000-0000-0000F6560000}"/>
    <cellStyle name="Überschrift 3 4 3 2" xfId="20082" xr:uid="{00000000-0005-0000-0000-0000F7560000}"/>
    <cellStyle name="Überschrift 3 4 4" xfId="20083" xr:uid="{00000000-0005-0000-0000-0000F8560000}"/>
    <cellStyle name="Überschrift 3 5" xfId="20084" xr:uid="{00000000-0005-0000-0000-0000F9560000}"/>
    <cellStyle name="Überschrift 3 5 2" xfId="20085" xr:uid="{00000000-0005-0000-0000-0000FA560000}"/>
    <cellStyle name="Überschrift 3 5 2 2" xfId="20086" xr:uid="{00000000-0005-0000-0000-0000FB560000}"/>
    <cellStyle name="Überschrift 3 5 3" xfId="20087" xr:uid="{00000000-0005-0000-0000-0000FC560000}"/>
    <cellStyle name="Überschrift 3 5 3 2" xfId="20088" xr:uid="{00000000-0005-0000-0000-0000FD560000}"/>
    <cellStyle name="Überschrift 3 5 4" xfId="20089" xr:uid="{00000000-0005-0000-0000-0000FE560000}"/>
    <cellStyle name="Überschrift 3 5 4 2" xfId="20090" xr:uid="{00000000-0005-0000-0000-0000FF560000}"/>
    <cellStyle name="Überschrift 3 5 5" xfId="20091" xr:uid="{00000000-0005-0000-0000-000000570000}"/>
    <cellStyle name="Überschrift 3 6" xfId="20092" xr:uid="{00000000-0005-0000-0000-000001570000}"/>
    <cellStyle name="Überschrift 3 6 2" xfId="20093" xr:uid="{00000000-0005-0000-0000-000002570000}"/>
    <cellStyle name="Überschrift 3 6 2 2" xfId="20094" xr:uid="{00000000-0005-0000-0000-000003570000}"/>
    <cellStyle name="Überschrift 3 6 3" xfId="20095" xr:uid="{00000000-0005-0000-0000-000004570000}"/>
    <cellStyle name="Überschrift 3 6 3 2" xfId="20096" xr:uid="{00000000-0005-0000-0000-000005570000}"/>
    <cellStyle name="Überschrift 3 6 4" xfId="20097" xr:uid="{00000000-0005-0000-0000-000006570000}"/>
    <cellStyle name="Überschrift 3 7" xfId="20098" xr:uid="{00000000-0005-0000-0000-000007570000}"/>
    <cellStyle name="Überschrift 3 7 2" xfId="20099" xr:uid="{00000000-0005-0000-0000-000008570000}"/>
    <cellStyle name="Überschrift 3 8" xfId="20100" xr:uid="{00000000-0005-0000-0000-000009570000}"/>
    <cellStyle name="Überschrift 3 8 2" xfId="20101" xr:uid="{00000000-0005-0000-0000-00000A570000}"/>
    <cellStyle name="Überschrift 3 9" xfId="20102" xr:uid="{00000000-0005-0000-0000-00000B570000}"/>
    <cellStyle name="Überschrift 3 9 2" xfId="20103" xr:uid="{00000000-0005-0000-0000-00000C570000}"/>
    <cellStyle name="Überschrift 4" xfId="3342" xr:uid="{00000000-0005-0000-0000-00000D570000}"/>
    <cellStyle name="Überschrift 4 10" xfId="20105" xr:uid="{00000000-0005-0000-0000-00000E570000}"/>
    <cellStyle name="Überschrift 4 11" xfId="20106" xr:uid="{00000000-0005-0000-0000-00000F570000}"/>
    <cellStyle name="Überschrift 4 12" xfId="20104" xr:uid="{00000000-0005-0000-0000-000010570000}"/>
    <cellStyle name="Überschrift 4 2" xfId="20107" xr:uid="{00000000-0005-0000-0000-000011570000}"/>
    <cellStyle name="Überschrift 4 2 2" xfId="20108" xr:uid="{00000000-0005-0000-0000-000012570000}"/>
    <cellStyle name="Überschrift 4 2 2 2" xfId="20109" xr:uid="{00000000-0005-0000-0000-000013570000}"/>
    <cellStyle name="Überschrift 4 2 3" xfId="20110" xr:uid="{00000000-0005-0000-0000-000014570000}"/>
    <cellStyle name="Überschrift 4 2 3 2" xfId="20111" xr:uid="{00000000-0005-0000-0000-000015570000}"/>
    <cellStyle name="Überschrift 4 2 4" xfId="20112" xr:uid="{00000000-0005-0000-0000-000016570000}"/>
    <cellStyle name="Überschrift 4 2 5" xfId="20113" xr:uid="{00000000-0005-0000-0000-000017570000}"/>
    <cellStyle name="Überschrift 4 3" xfId="20114" xr:uid="{00000000-0005-0000-0000-000018570000}"/>
    <cellStyle name="Überschrift 4 3 2" xfId="20115" xr:uid="{00000000-0005-0000-0000-000019570000}"/>
    <cellStyle name="Überschrift 4 3 2 2" xfId="20116" xr:uid="{00000000-0005-0000-0000-00001A570000}"/>
    <cellStyle name="Überschrift 4 3 3" xfId="20117" xr:uid="{00000000-0005-0000-0000-00001B570000}"/>
    <cellStyle name="Überschrift 4 3 3 2" xfId="20118" xr:uid="{00000000-0005-0000-0000-00001C570000}"/>
    <cellStyle name="Überschrift 4 3 4" xfId="20119" xr:uid="{00000000-0005-0000-0000-00001D570000}"/>
    <cellStyle name="Überschrift 4 4" xfId="20120" xr:uid="{00000000-0005-0000-0000-00001E570000}"/>
    <cellStyle name="Überschrift 4 4 2" xfId="20121" xr:uid="{00000000-0005-0000-0000-00001F570000}"/>
    <cellStyle name="Überschrift 4 4 2 2" xfId="20122" xr:uid="{00000000-0005-0000-0000-000020570000}"/>
    <cellStyle name="Überschrift 4 4 3" xfId="20123" xr:uid="{00000000-0005-0000-0000-000021570000}"/>
    <cellStyle name="Überschrift 4 4 3 2" xfId="20124" xr:uid="{00000000-0005-0000-0000-000022570000}"/>
    <cellStyle name="Überschrift 4 4 4" xfId="20125" xr:uid="{00000000-0005-0000-0000-000023570000}"/>
    <cellStyle name="Überschrift 4 5" xfId="20126" xr:uid="{00000000-0005-0000-0000-000024570000}"/>
    <cellStyle name="Überschrift 4 5 2" xfId="20127" xr:uid="{00000000-0005-0000-0000-000025570000}"/>
    <cellStyle name="Überschrift 4 5 2 2" xfId="20128" xr:uid="{00000000-0005-0000-0000-000026570000}"/>
    <cellStyle name="Überschrift 4 5 3" xfId="20129" xr:uid="{00000000-0005-0000-0000-000027570000}"/>
    <cellStyle name="Überschrift 4 5 3 2" xfId="20130" xr:uid="{00000000-0005-0000-0000-000028570000}"/>
    <cellStyle name="Überschrift 4 5 4" xfId="20131" xr:uid="{00000000-0005-0000-0000-000029570000}"/>
    <cellStyle name="Überschrift 4 5 4 2" xfId="20132" xr:uid="{00000000-0005-0000-0000-00002A570000}"/>
    <cellStyle name="Überschrift 4 5 5" xfId="20133" xr:uid="{00000000-0005-0000-0000-00002B570000}"/>
    <cellStyle name="Überschrift 4 6" xfId="20134" xr:uid="{00000000-0005-0000-0000-00002C570000}"/>
    <cellStyle name="Überschrift 4 6 2" xfId="20135" xr:uid="{00000000-0005-0000-0000-00002D570000}"/>
    <cellStyle name="Überschrift 4 6 2 2" xfId="20136" xr:uid="{00000000-0005-0000-0000-00002E570000}"/>
    <cellStyle name="Überschrift 4 6 3" xfId="20137" xr:uid="{00000000-0005-0000-0000-00002F570000}"/>
    <cellStyle name="Überschrift 4 6 3 2" xfId="20138" xr:uid="{00000000-0005-0000-0000-000030570000}"/>
    <cellStyle name="Überschrift 4 6 4" xfId="20139" xr:uid="{00000000-0005-0000-0000-000031570000}"/>
    <cellStyle name="Überschrift 4 7" xfId="20140" xr:uid="{00000000-0005-0000-0000-000032570000}"/>
    <cellStyle name="Überschrift 4 7 2" xfId="20141" xr:uid="{00000000-0005-0000-0000-000033570000}"/>
    <cellStyle name="Überschrift 4 8" xfId="20142" xr:uid="{00000000-0005-0000-0000-000034570000}"/>
    <cellStyle name="Überschrift 4 8 2" xfId="20143" xr:uid="{00000000-0005-0000-0000-000035570000}"/>
    <cellStyle name="Überschrift 4 9" xfId="20144" xr:uid="{00000000-0005-0000-0000-000036570000}"/>
    <cellStyle name="Überschrift 4 9 2" xfId="20145" xr:uid="{00000000-0005-0000-0000-000037570000}"/>
    <cellStyle name="Überschrift 5" xfId="20146" xr:uid="{00000000-0005-0000-0000-000038570000}"/>
    <cellStyle name="Überschrift 5 2" xfId="20147" xr:uid="{00000000-0005-0000-0000-000039570000}"/>
    <cellStyle name="Überschrift 5 2 2" xfId="20148" xr:uid="{00000000-0005-0000-0000-00003A570000}"/>
    <cellStyle name="Überschrift 5 3" xfId="20149" xr:uid="{00000000-0005-0000-0000-00003B570000}"/>
    <cellStyle name="Überschrift 5 3 2" xfId="20150" xr:uid="{00000000-0005-0000-0000-00003C570000}"/>
    <cellStyle name="Überschrift 5 4" xfId="20151" xr:uid="{00000000-0005-0000-0000-00003D570000}"/>
    <cellStyle name="Überschrift 5 5" xfId="20152" xr:uid="{00000000-0005-0000-0000-00003E570000}"/>
    <cellStyle name="Überschrift 6" xfId="20153" xr:uid="{00000000-0005-0000-0000-00003F570000}"/>
    <cellStyle name="Überschrift 6 2" xfId="20154" xr:uid="{00000000-0005-0000-0000-000040570000}"/>
    <cellStyle name="Überschrift 6 2 2" xfId="20155" xr:uid="{00000000-0005-0000-0000-000041570000}"/>
    <cellStyle name="Überschrift 6 3" xfId="20156" xr:uid="{00000000-0005-0000-0000-000042570000}"/>
    <cellStyle name="Überschrift 6 3 2" xfId="20157" xr:uid="{00000000-0005-0000-0000-000043570000}"/>
    <cellStyle name="Überschrift 6 4" xfId="20158" xr:uid="{00000000-0005-0000-0000-000044570000}"/>
    <cellStyle name="Überschrift 7" xfId="20159" xr:uid="{00000000-0005-0000-0000-000045570000}"/>
    <cellStyle name="Überschrift 7 2" xfId="20160" xr:uid="{00000000-0005-0000-0000-000046570000}"/>
    <cellStyle name="Überschrift 7 2 2" xfId="20161" xr:uid="{00000000-0005-0000-0000-000047570000}"/>
    <cellStyle name="Überschrift 7 3" xfId="20162" xr:uid="{00000000-0005-0000-0000-000048570000}"/>
    <cellStyle name="Überschrift 7 3 2" xfId="20163" xr:uid="{00000000-0005-0000-0000-000049570000}"/>
    <cellStyle name="Überschrift 7 4" xfId="20164" xr:uid="{00000000-0005-0000-0000-00004A570000}"/>
    <cellStyle name="Überschrift 8" xfId="20165" xr:uid="{00000000-0005-0000-0000-00004B570000}"/>
    <cellStyle name="Überschrift 8 2" xfId="20166" xr:uid="{00000000-0005-0000-0000-00004C570000}"/>
    <cellStyle name="Überschrift 8 2 2" xfId="20167" xr:uid="{00000000-0005-0000-0000-00004D570000}"/>
    <cellStyle name="Überschrift 8 3" xfId="20168" xr:uid="{00000000-0005-0000-0000-00004E570000}"/>
    <cellStyle name="Überschrift 8 3 2" xfId="20169" xr:uid="{00000000-0005-0000-0000-00004F570000}"/>
    <cellStyle name="Überschrift 8 4" xfId="20170" xr:uid="{00000000-0005-0000-0000-000050570000}"/>
    <cellStyle name="Überschrift 8 4 2" xfId="20171" xr:uid="{00000000-0005-0000-0000-000051570000}"/>
    <cellStyle name="Überschrift 8 5" xfId="20172" xr:uid="{00000000-0005-0000-0000-000052570000}"/>
    <cellStyle name="Überschrift 9" xfId="20173" xr:uid="{00000000-0005-0000-0000-000053570000}"/>
    <cellStyle name="Überschrift 9 2" xfId="20174" xr:uid="{00000000-0005-0000-0000-000054570000}"/>
    <cellStyle name="Überschrift 9 2 2" xfId="20175" xr:uid="{00000000-0005-0000-0000-000055570000}"/>
    <cellStyle name="Überschrift 9 3" xfId="20176" xr:uid="{00000000-0005-0000-0000-000056570000}"/>
    <cellStyle name="Überschrift 9 3 2" xfId="20177" xr:uid="{00000000-0005-0000-0000-000057570000}"/>
    <cellStyle name="Überschrift 9 4" xfId="20178" xr:uid="{00000000-0005-0000-0000-000058570000}"/>
    <cellStyle name="Zelle überprüfen" xfId="3384" xr:uid="{00000000-0005-0000-0000-000059570000}"/>
    <cellStyle name="Zelle überprüfen 10" xfId="22364" xr:uid="{00000000-0005-0000-0000-00005A570000}"/>
    <cellStyle name="Zelle überprüfen 11" xfId="22365" xr:uid="{00000000-0005-0000-0000-00005B570000}"/>
    <cellStyle name="Zelle überprüfen 12" xfId="22363" xr:uid="{00000000-0005-0000-0000-00005C570000}"/>
    <cellStyle name="Zelle überprüfen 2" xfId="22366" xr:uid="{00000000-0005-0000-0000-00005D570000}"/>
    <cellStyle name="Zelle überprüfen 2 2" xfId="22367" xr:uid="{00000000-0005-0000-0000-00005E570000}"/>
    <cellStyle name="Zelle überprüfen 2 2 2" xfId="22368" xr:uid="{00000000-0005-0000-0000-00005F570000}"/>
    <cellStyle name="Zelle überprüfen 2 3" xfId="22369" xr:uid="{00000000-0005-0000-0000-000060570000}"/>
    <cellStyle name="Zelle überprüfen 2 3 2" xfId="22370" xr:uid="{00000000-0005-0000-0000-000061570000}"/>
    <cellStyle name="Zelle überprüfen 2 4" xfId="22371" xr:uid="{00000000-0005-0000-0000-000062570000}"/>
    <cellStyle name="Zelle überprüfen 2 5" xfId="22372" xr:uid="{00000000-0005-0000-0000-000063570000}"/>
    <cellStyle name="Zelle überprüfen 3" xfId="22373" xr:uid="{00000000-0005-0000-0000-000064570000}"/>
    <cellStyle name="Zelle überprüfen 3 2" xfId="22374" xr:uid="{00000000-0005-0000-0000-000065570000}"/>
    <cellStyle name="Zelle überprüfen 3 2 2" xfId="22375" xr:uid="{00000000-0005-0000-0000-000066570000}"/>
    <cellStyle name="Zelle überprüfen 3 3" xfId="22376" xr:uid="{00000000-0005-0000-0000-000067570000}"/>
    <cellStyle name="Zelle überprüfen 3 3 2" xfId="22377" xr:uid="{00000000-0005-0000-0000-000068570000}"/>
    <cellStyle name="Zelle überprüfen 3 4" xfId="22378" xr:uid="{00000000-0005-0000-0000-000069570000}"/>
    <cellStyle name="Zelle überprüfen 4" xfId="22379" xr:uid="{00000000-0005-0000-0000-00006A570000}"/>
    <cellStyle name="Zelle überprüfen 4 2" xfId="22380" xr:uid="{00000000-0005-0000-0000-00006B570000}"/>
    <cellStyle name="Zelle überprüfen 4 2 2" xfId="22381" xr:uid="{00000000-0005-0000-0000-00006C570000}"/>
    <cellStyle name="Zelle überprüfen 4 3" xfId="22382" xr:uid="{00000000-0005-0000-0000-00006D570000}"/>
    <cellStyle name="Zelle überprüfen 4 3 2" xfId="22383" xr:uid="{00000000-0005-0000-0000-00006E570000}"/>
    <cellStyle name="Zelle überprüfen 4 4" xfId="22384" xr:uid="{00000000-0005-0000-0000-00006F570000}"/>
    <cellStyle name="Zelle überprüfen 5" xfId="22385" xr:uid="{00000000-0005-0000-0000-000070570000}"/>
    <cellStyle name="Zelle überprüfen 5 2" xfId="22386" xr:uid="{00000000-0005-0000-0000-000071570000}"/>
    <cellStyle name="Zelle überprüfen 5 2 2" xfId="22387" xr:uid="{00000000-0005-0000-0000-000072570000}"/>
    <cellStyle name="Zelle überprüfen 5 3" xfId="22388" xr:uid="{00000000-0005-0000-0000-000073570000}"/>
    <cellStyle name="Zelle überprüfen 5 3 2" xfId="22389" xr:uid="{00000000-0005-0000-0000-000074570000}"/>
    <cellStyle name="Zelle überprüfen 5 4" xfId="22390" xr:uid="{00000000-0005-0000-0000-000075570000}"/>
    <cellStyle name="Zelle überprüfen 5 4 2" xfId="22391" xr:uid="{00000000-0005-0000-0000-000076570000}"/>
    <cellStyle name="Zelle überprüfen 5 5" xfId="22392" xr:uid="{00000000-0005-0000-0000-000077570000}"/>
    <cellStyle name="Zelle überprüfen 6" xfId="22393" xr:uid="{00000000-0005-0000-0000-000078570000}"/>
    <cellStyle name="Zelle überprüfen 6 2" xfId="22394" xr:uid="{00000000-0005-0000-0000-000079570000}"/>
    <cellStyle name="Zelle überprüfen 6 2 2" xfId="22395" xr:uid="{00000000-0005-0000-0000-00007A570000}"/>
    <cellStyle name="Zelle überprüfen 6 3" xfId="22396" xr:uid="{00000000-0005-0000-0000-00007B570000}"/>
    <cellStyle name="Zelle überprüfen 6 3 2" xfId="22397" xr:uid="{00000000-0005-0000-0000-00007C570000}"/>
    <cellStyle name="Zelle überprüfen 6 4" xfId="22398" xr:uid="{00000000-0005-0000-0000-00007D570000}"/>
    <cellStyle name="Zelle überprüfen 7" xfId="22399" xr:uid="{00000000-0005-0000-0000-00007E570000}"/>
    <cellStyle name="Zelle überprüfen 7 2" xfId="22400" xr:uid="{00000000-0005-0000-0000-00007F570000}"/>
    <cellStyle name="Zelle überprüfen 8" xfId="22401" xr:uid="{00000000-0005-0000-0000-000080570000}"/>
    <cellStyle name="Zelle überprüfen 8 2" xfId="22402" xr:uid="{00000000-0005-0000-0000-000081570000}"/>
    <cellStyle name="Zelle überprüfen 9" xfId="22403" xr:uid="{00000000-0005-0000-0000-000082570000}"/>
    <cellStyle name="Zelle überprüfen 9 2" xfId="22404" xr:uid="{00000000-0005-0000-0000-000083570000}"/>
    <cellStyle name="Гиперссылка" xfId="3385" xr:uid="{00000000-0005-0000-0000-000084570000}"/>
    <cellStyle name="Гиперссылка 10" xfId="22406" xr:uid="{00000000-0005-0000-0000-000085570000}"/>
    <cellStyle name="Гиперссылка 11" xfId="22407" xr:uid="{00000000-0005-0000-0000-000086570000}"/>
    <cellStyle name="Гиперссылка 12" xfId="22405" xr:uid="{00000000-0005-0000-0000-000087570000}"/>
    <cellStyle name="Гиперссылка 2" xfId="22408" xr:uid="{00000000-0005-0000-0000-000088570000}"/>
    <cellStyle name="Гиперссылка 2 2" xfId="22409" xr:uid="{00000000-0005-0000-0000-000089570000}"/>
    <cellStyle name="Гиперссылка 2 2 2" xfId="22410" xr:uid="{00000000-0005-0000-0000-00008A570000}"/>
    <cellStyle name="Гиперссылка 2 3" xfId="22411" xr:uid="{00000000-0005-0000-0000-00008B570000}"/>
    <cellStyle name="Гиперссылка 2 3 2" xfId="22412" xr:uid="{00000000-0005-0000-0000-00008C570000}"/>
    <cellStyle name="Гиперссылка 2 4" xfId="22413" xr:uid="{00000000-0005-0000-0000-00008D570000}"/>
    <cellStyle name="Гиперссылка 2 5" xfId="22414" xr:uid="{00000000-0005-0000-0000-00008E570000}"/>
    <cellStyle name="Гиперссылка 3" xfId="22415" xr:uid="{00000000-0005-0000-0000-00008F570000}"/>
    <cellStyle name="Гиперссылка 3 2" xfId="22416" xr:uid="{00000000-0005-0000-0000-000090570000}"/>
    <cellStyle name="Гиперссылка 3 2 2" xfId="22417" xr:uid="{00000000-0005-0000-0000-000091570000}"/>
    <cellStyle name="Гиперссылка 3 3" xfId="22418" xr:uid="{00000000-0005-0000-0000-000092570000}"/>
    <cellStyle name="Гиперссылка 3 3 2" xfId="22419" xr:uid="{00000000-0005-0000-0000-000093570000}"/>
    <cellStyle name="Гиперссылка 3 4" xfId="22420" xr:uid="{00000000-0005-0000-0000-000094570000}"/>
    <cellStyle name="Гиперссылка 4" xfId="22421" xr:uid="{00000000-0005-0000-0000-000095570000}"/>
    <cellStyle name="Гиперссылка 4 2" xfId="22422" xr:uid="{00000000-0005-0000-0000-000096570000}"/>
    <cellStyle name="Гиперссылка 4 2 2" xfId="22423" xr:uid="{00000000-0005-0000-0000-000097570000}"/>
    <cellStyle name="Гиперссылка 4 3" xfId="22424" xr:uid="{00000000-0005-0000-0000-000098570000}"/>
    <cellStyle name="Гиперссылка 4 3 2" xfId="22425" xr:uid="{00000000-0005-0000-0000-000099570000}"/>
    <cellStyle name="Гиперссылка 4 4" xfId="22426" xr:uid="{00000000-0005-0000-0000-00009A570000}"/>
    <cellStyle name="Гиперссылка 5" xfId="22427" xr:uid="{00000000-0005-0000-0000-00009B570000}"/>
    <cellStyle name="Гиперссылка 5 2" xfId="22428" xr:uid="{00000000-0005-0000-0000-00009C570000}"/>
    <cellStyle name="Гиперссылка 5 2 2" xfId="22429" xr:uid="{00000000-0005-0000-0000-00009D570000}"/>
    <cellStyle name="Гиперссылка 5 3" xfId="22430" xr:uid="{00000000-0005-0000-0000-00009E570000}"/>
    <cellStyle name="Гиперссылка 5 3 2" xfId="22431" xr:uid="{00000000-0005-0000-0000-00009F570000}"/>
    <cellStyle name="Гиперссылка 5 4" xfId="22432" xr:uid="{00000000-0005-0000-0000-0000A0570000}"/>
    <cellStyle name="Гиперссылка 5 4 2" xfId="22433" xr:uid="{00000000-0005-0000-0000-0000A1570000}"/>
    <cellStyle name="Гиперссылка 5 5" xfId="22434" xr:uid="{00000000-0005-0000-0000-0000A2570000}"/>
    <cellStyle name="Гиперссылка 6" xfId="22435" xr:uid="{00000000-0005-0000-0000-0000A3570000}"/>
    <cellStyle name="Гиперссылка 6 2" xfId="22436" xr:uid="{00000000-0005-0000-0000-0000A4570000}"/>
    <cellStyle name="Гиперссылка 6 2 2" xfId="22437" xr:uid="{00000000-0005-0000-0000-0000A5570000}"/>
    <cellStyle name="Гиперссылка 6 3" xfId="22438" xr:uid="{00000000-0005-0000-0000-0000A6570000}"/>
    <cellStyle name="Гиперссылка 6 3 2" xfId="22439" xr:uid="{00000000-0005-0000-0000-0000A7570000}"/>
    <cellStyle name="Гиперссылка 6 4" xfId="22440" xr:uid="{00000000-0005-0000-0000-0000A8570000}"/>
    <cellStyle name="Гиперссылка 7" xfId="22441" xr:uid="{00000000-0005-0000-0000-0000A9570000}"/>
    <cellStyle name="Гиперссылка 7 2" xfId="22442" xr:uid="{00000000-0005-0000-0000-0000AA570000}"/>
    <cellStyle name="Гиперссылка 8" xfId="22443" xr:uid="{00000000-0005-0000-0000-0000AB570000}"/>
    <cellStyle name="Гиперссылка 8 2" xfId="22444" xr:uid="{00000000-0005-0000-0000-0000AC570000}"/>
    <cellStyle name="Гиперссылка 9" xfId="22445" xr:uid="{00000000-0005-0000-0000-0000AD570000}"/>
    <cellStyle name="Гиперссылка 9 2" xfId="22446" xr:uid="{00000000-0005-0000-0000-0000AE570000}"/>
    <cellStyle name="Обычный_2++" xfId="3386" xr:uid="{00000000-0005-0000-0000-0000AF570000}"/>
    <cellStyle name="已访问的超链接" xfId="333" xr:uid="{00000000-0005-0000-0000-0000B0570000}"/>
    <cellStyle name="已访问的超链接 10" xfId="22448" xr:uid="{00000000-0005-0000-0000-0000B1570000}"/>
    <cellStyle name="已访问的超链接 11" xfId="22449" xr:uid="{00000000-0005-0000-0000-0000B2570000}"/>
    <cellStyle name="已访问的超链接 12" xfId="22447" xr:uid="{00000000-0005-0000-0000-0000B3570000}"/>
    <cellStyle name="已访问的超链接 2" xfId="22450" xr:uid="{00000000-0005-0000-0000-0000B4570000}"/>
    <cellStyle name="已访问的超链接 2 2" xfId="22451" xr:uid="{00000000-0005-0000-0000-0000B5570000}"/>
    <cellStyle name="已访问的超链接 2 2 2" xfId="22452" xr:uid="{00000000-0005-0000-0000-0000B6570000}"/>
    <cellStyle name="已访问的超链接 2 3" xfId="22453" xr:uid="{00000000-0005-0000-0000-0000B7570000}"/>
    <cellStyle name="已访问的超链接 2 3 2" xfId="22454" xr:uid="{00000000-0005-0000-0000-0000B8570000}"/>
    <cellStyle name="已访问的超链接 2 4" xfId="22455" xr:uid="{00000000-0005-0000-0000-0000B9570000}"/>
    <cellStyle name="已访问的超链接 2 5" xfId="22456" xr:uid="{00000000-0005-0000-0000-0000BA570000}"/>
    <cellStyle name="已访问的超链接 3" xfId="22457" xr:uid="{00000000-0005-0000-0000-0000BB570000}"/>
    <cellStyle name="已访问的超链接 3 2" xfId="22458" xr:uid="{00000000-0005-0000-0000-0000BC570000}"/>
    <cellStyle name="已访问的超链接 3 2 2" xfId="22459" xr:uid="{00000000-0005-0000-0000-0000BD570000}"/>
    <cellStyle name="已访问的超链接 3 3" xfId="22460" xr:uid="{00000000-0005-0000-0000-0000BE570000}"/>
    <cellStyle name="已访问的超链接 3 3 2" xfId="22461" xr:uid="{00000000-0005-0000-0000-0000BF570000}"/>
    <cellStyle name="已访问的超链接 3 4" xfId="22462" xr:uid="{00000000-0005-0000-0000-0000C0570000}"/>
    <cellStyle name="已访问的超链接 4" xfId="22463" xr:uid="{00000000-0005-0000-0000-0000C1570000}"/>
    <cellStyle name="已访问的超链接 4 2" xfId="22464" xr:uid="{00000000-0005-0000-0000-0000C2570000}"/>
    <cellStyle name="已访问的超链接 4 2 2" xfId="22465" xr:uid="{00000000-0005-0000-0000-0000C3570000}"/>
    <cellStyle name="已访问的超链接 4 3" xfId="22466" xr:uid="{00000000-0005-0000-0000-0000C4570000}"/>
    <cellStyle name="已访问的超链接 4 3 2" xfId="22467" xr:uid="{00000000-0005-0000-0000-0000C5570000}"/>
    <cellStyle name="已访问的超链接 4 4" xfId="22468" xr:uid="{00000000-0005-0000-0000-0000C6570000}"/>
    <cellStyle name="已访问的超链接 5" xfId="22469" xr:uid="{00000000-0005-0000-0000-0000C7570000}"/>
    <cellStyle name="已访问的超链接 5 2" xfId="22470" xr:uid="{00000000-0005-0000-0000-0000C8570000}"/>
    <cellStyle name="已访问的超链接 5 2 2" xfId="22471" xr:uid="{00000000-0005-0000-0000-0000C9570000}"/>
    <cellStyle name="已访问的超链接 5 3" xfId="22472" xr:uid="{00000000-0005-0000-0000-0000CA570000}"/>
    <cellStyle name="已访问的超链接 5 3 2" xfId="22473" xr:uid="{00000000-0005-0000-0000-0000CB570000}"/>
    <cellStyle name="已访问的超链接 5 4" xfId="22474" xr:uid="{00000000-0005-0000-0000-0000CC570000}"/>
    <cellStyle name="已访问的超链接 5 4 2" xfId="22475" xr:uid="{00000000-0005-0000-0000-0000CD570000}"/>
    <cellStyle name="已访问的超链接 5 5" xfId="22476" xr:uid="{00000000-0005-0000-0000-0000CE570000}"/>
    <cellStyle name="已访问的超链接 6" xfId="22477" xr:uid="{00000000-0005-0000-0000-0000CF570000}"/>
    <cellStyle name="已访问的超链接 6 2" xfId="22478" xr:uid="{00000000-0005-0000-0000-0000D0570000}"/>
    <cellStyle name="已访问的超链接 6 2 2" xfId="22479" xr:uid="{00000000-0005-0000-0000-0000D1570000}"/>
    <cellStyle name="已访问的超链接 6 3" xfId="22480" xr:uid="{00000000-0005-0000-0000-0000D2570000}"/>
    <cellStyle name="已访问的超链接 6 3 2" xfId="22481" xr:uid="{00000000-0005-0000-0000-0000D3570000}"/>
    <cellStyle name="已访问的超链接 6 4" xfId="22482" xr:uid="{00000000-0005-0000-0000-0000D4570000}"/>
    <cellStyle name="已访问的超链接 7" xfId="22483" xr:uid="{00000000-0005-0000-0000-0000D5570000}"/>
    <cellStyle name="已访问的超链接 7 2" xfId="22484" xr:uid="{00000000-0005-0000-0000-0000D6570000}"/>
    <cellStyle name="已访问的超链接 8" xfId="22485" xr:uid="{00000000-0005-0000-0000-0000D7570000}"/>
    <cellStyle name="已访问的超链接 8 2" xfId="22486" xr:uid="{00000000-0005-0000-0000-0000D8570000}"/>
    <cellStyle name="已访问的超链接 9" xfId="22487" xr:uid="{00000000-0005-0000-0000-0000D9570000}"/>
    <cellStyle name="已访问的超链接 9 2" xfId="22488" xr:uid="{00000000-0005-0000-0000-0000DA570000}"/>
  </cellStyles>
  <dxfs count="0"/>
  <tableStyles count="0" defaultTableStyle="TableStyleMedium2" defaultPivotStyle="PivotStyleLight16"/>
  <colors>
    <mruColors>
      <color rgb="FFCCECFF"/>
      <color rgb="FFFF99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'HP-Stock'!$L$4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'HP-Stock'!$B$5:$B$25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'HP-Stock'!$L$5:$L$25</c:f>
              <c:numCache>
                <c:formatCode>0</c:formatCode>
                <c:ptCount val="21"/>
                <c:pt idx="0">
                  <c:v>302</c:v>
                </c:pt>
                <c:pt idx="1">
                  <c:v>164</c:v>
                </c:pt>
                <c:pt idx="2">
                  <c:v>650</c:v>
                </c:pt>
                <c:pt idx="3">
                  <c:v>927</c:v>
                </c:pt>
                <c:pt idx="4">
                  <c:v>2879</c:v>
                </c:pt>
                <c:pt idx="5">
                  <c:v>9724</c:v>
                </c:pt>
                <c:pt idx="6">
                  <c:v>1200</c:v>
                </c:pt>
                <c:pt idx="7">
                  <c:v>9070.2649889999993</c:v>
                </c:pt>
                <c:pt idx="8">
                  <c:v>1520</c:v>
                </c:pt>
                <c:pt idx="9">
                  <c:v>0</c:v>
                </c:pt>
                <c:pt idx="10">
                  <c:v>25245</c:v>
                </c:pt>
                <c:pt idx="11">
                  <c:v>4226</c:v>
                </c:pt>
                <c:pt idx="12">
                  <c:v>59579</c:v>
                </c:pt>
                <c:pt idx="13">
                  <c:v>21063</c:v>
                </c:pt>
                <c:pt idx="14">
                  <c:v>0</c:v>
                </c:pt>
                <c:pt idx="15">
                  <c:v>6326</c:v>
                </c:pt>
                <c:pt idx="16">
                  <c:v>130781</c:v>
                </c:pt>
                <c:pt idx="17">
                  <c:v>20941</c:v>
                </c:pt>
                <c:pt idx="18">
                  <c:v>1240</c:v>
                </c:pt>
                <c:pt idx="19">
                  <c:v>366053</c:v>
                </c:pt>
                <c:pt idx="20">
                  <c:v>96565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E-4600-9FB5-8B2D4260B9E4}"/>
            </c:ext>
          </c:extLst>
        </c:ser>
        <c:ser>
          <c:idx val="1"/>
          <c:order val="1"/>
          <c:tx>
            <c:strRef>
              <c:f>'HP-Stock'!$M$4</c:f>
              <c:strCache>
                <c:ptCount val="1"/>
                <c:pt idx="0">
                  <c:v>AIR REVERSIBLE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'HP-Stock'!$B$5:$B$25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'HP-Stock'!$M$5:$M$25</c:f>
              <c:numCache>
                <c:formatCode>0</c:formatCode>
                <c:ptCount val="21"/>
                <c:pt idx="0">
                  <c:v>0</c:v>
                </c:pt>
                <c:pt idx="1">
                  <c:v>268.02</c:v>
                </c:pt>
                <c:pt idx="2">
                  <c:v>58.5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130.5</c:v>
                </c:pt>
                <c:pt idx="8">
                  <c:v>34320</c:v>
                </c:pt>
                <c:pt idx="9">
                  <c:v>49669.254999999997</c:v>
                </c:pt>
                <c:pt idx="10">
                  <c:v>0</c:v>
                </c:pt>
                <c:pt idx="11">
                  <c:v>42163</c:v>
                </c:pt>
                <c:pt idx="12">
                  <c:v>0</c:v>
                </c:pt>
                <c:pt idx="13">
                  <c:v>0</c:v>
                </c:pt>
                <c:pt idx="14">
                  <c:v>67229.95</c:v>
                </c:pt>
                <c:pt idx="15">
                  <c:v>297948</c:v>
                </c:pt>
                <c:pt idx="16">
                  <c:v>1371.6</c:v>
                </c:pt>
                <c:pt idx="17">
                  <c:v>504182</c:v>
                </c:pt>
                <c:pt idx="18">
                  <c:v>715200.73</c:v>
                </c:pt>
                <c:pt idx="19">
                  <c:v>217550.715</c:v>
                </c:pt>
                <c:pt idx="20">
                  <c:v>402543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3E-4600-9FB5-8B2D4260B9E4}"/>
            </c:ext>
          </c:extLst>
        </c:ser>
        <c:ser>
          <c:idx val="2"/>
          <c:order val="2"/>
          <c:tx>
            <c:strRef>
              <c:f>'HP-Stock'!$N$4</c:f>
              <c:strCache>
                <c:ptCount val="1"/>
                <c:pt idx="0">
                  <c:v>AIR Sanitary Hot Water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'HP-Stock'!$B$5:$B$25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'HP-Stock'!$N$5:$N$25</c:f>
              <c:numCache>
                <c:formatCode>0</c:formatCode>
                <c:ptCount val="21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3</c:v>
                </c:pt>
                <c:pt idx="4">
                  <c:v>1611</c:v>
                </c:pt>
                <c:pt idx="5">
                  <c:v>10</c:v>
                </c:pt>
                <c:pt idx="6">
                  <c:v>2060</c:v>
                </c:pt>
                <c:pt idx="7">
                  <c:v>5901</c:v>
                </c:pt>
                <c:pt idx="8">
                  <c:v>0</c:v>
                </c:pt>
                <c:pt idx="9">
                  <c:v>427</c:v>
                </c:pt>
                <c:pt idx="10">
                  <c:v>0</c:v>
                </c:pt>
                <c:pt idx="11">
                  <c:v>6580</c:v>
                </c:pt>
                <c:pt idx="12">
                  <c:v>1487</c:v>
                </c:pt>
                <c:pt idx="13">
                  <c:v>80685</c:v>
                </c:pt>
                <c:pt idx="14">
                  <c:v>0</c:v>
                </c:pt>
                <c:pt idx="15">
                  <c:v>0</c:v>
                </c:pt>
                <c:pt idx="16">
                  <c:v>102515</c:v>
                </c:pt>
                <c:pt idx="17">
                  <c:v>0</c:v>
                </c:pt>
                <c:pt idx="18">
                  <c:v>0</c:v>
                </c:pt>
                <c:pt idx="19">
                  <c:v>29000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3E-4600-9FB5-8B2D4260B9E4}"/>
            </c:ext>
          </c:extLst>
        </c:ser>
        <c:ser>
          <c:idx val="3"/>
          <c:order val="3"/>
          <c:tx>
            <c:strRef>
              <c:f>'HP-Stock'!$O$4</c:f>
              <c:strCache>
                <c:ptCount val="1"/>
                <c:pt idx="0">
                  <c:v>GROUND</c:v>
                </c:pt>
              </c:strCache>
            </c:strRef>
          </c:tx>
          <c:invertIfNegative val="0"/>
          <c:cat>
            <c:strRef>
              <c:f>'HP-Stock'!$B$5:$B$25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'HP-Stock'!$O$5:$O$25</c:f>
              <c:numCache>
                <c:formatCode>0</c:formatCode>
                <c:ptCount val="21"/>
                <c:pt idx="0">
                  <c:v>769</c:v>
                </c:pt>
                <c:pt idx="1">
                  <c:v>520</c:v>
                </c:pt>
                <c:pt idx="2">
                  <c:v>500</c:v>
                </c:pt>
                <c:pt idx="3">
                  <c:v>1279</c:v>
                </c:pt>
                <c:pt idx="4">
                  <c:v>1954</c:v>
                </c:pt>
                <c:pt idx="5">
                  <c:v>8747</c:v>
                </c:pt>
                <c:pt idx="6">
                  <c:v>4120</c:v>
                </c:pt>
                <c:pt idx="7">
                  <c:v>18652.7350114</c:v>
                </c:pt>
                <c:pt idx="8">
                  <c:v>3735</c:v>
                </c:pt>
                <c:pt idx="9">
                  <c:v>0</c:v>
                </c:pt>
                <c:pt idx="10">
                  <c:v>16160</c:v>
                </c:pt>
                <c:pt idx="11">
                  <c:v>13528</c:v>
                </c:pt>
                <c:pt idx="12">
                  <c:v>45733</c:v>
                </c:pt>
                <c:pt idx="13">
                  <c:v>69213</c:v>
                </c:pt>
                <c:pt idx="14">
                  <c:v>0</c:v>
                </c:pt>
                <c:pt idx="15">
                  <c:v>34934</c:v>
                </c:pt>
                <c:pt idx="16">
                  <c:v>216821</c:v>
                </c:pt>
                <c:pt idx="17">
                  <c:v>25248</c:v>
                </c:pt>
                <c:pt idx="18">
                  <c:v>357</c:v>
                </c:pt>
                <c:pt idx="19">
                  <c:v>84737</c:v>
                </c:pt>
                <c:pt idx="20">
                  <c:v>372685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3E-4600-9FB5-8B2D4260B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"/>
        <c:overlap val="100"/>
        <c:axId val="165337104"/>
        <c:axId val="165337888"/>
      </c:barChart>
      <c:catAx>
        <c:axId val="16533710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165337888"/>
        <c:crosses val="autoZero"/>
        <c:auto val="1"/>
        <c:lblAlgn val="ctr"/>
        <c:lblOffset val="100"/>
        <c:noMultiLvlLbl val="0"/>
      </c:catAx>
      <c:valAx>
        <c:axId val="165337888"/>
        <c:scaling>
          <c:orientation val="minMax"/>
        </c:scaling>
        <c:delete val="0"/>
        <c:axPos val="b"/>
        <c:majorGridlines/>
        <c:numFmt formatCode="0" sourceLinked="1"/>
        <c:majorTickMark val="out"/>
        <c:minorTickMark val="none"/>
        <c:tickLblPos val="nextTo"/>
        <c:crossAx val="165337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1600"/>
      </a:pPr>
      <a:endParaRPr lang="fi-FI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279538</xdr:colOff>
      <xdr:row>37</xdr:row>
      <xdr:rowOff>11388</xdr:rowOff>
    </xdr:from>
    <xdr:to>
      <xdr:col>30</xdr:col>
      <xdr:colOff>50938</xdr:colOff>
      <xdr:row>68</xdr:row>
      <xdr:rowOff>139976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E26196-0BE8-43DD-85EF-8F5A971FE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</sheetPr>
  <dimension ref="A3:N10"/>
  <sheetViews>
    <sheetView zoomScaleNormal="100" workbookViewId="0">
      <selection activeCell="A7" sqref="A7"/>
    </sheetView>
  </sheetViews>
  <sheetFormatPr defaultRowHeight="14.4"/>
  <cols>
    <col min="1" max="1" width="19.88671875" bestFit="1" customWidth="1"/>
  </cols>
  <sheetData>
    <row r="3" spans="1:14">
      <c r="A3" s="137" t="s">
        <v>674</v>
      </c>
      <c r="B3" s="567"/>
      <c r="C3" s="567"/>
      <c r="D3" s="567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>
      <c r="A4" s="568"/>
      <c r="B4" s="569" t="s">
        <v>675</v>
      </c>
      <c r="C4" s="569"/>
      <c r="D4" s="569"/>
      <c r="E4" s="475"/>
      <c r="F4" s="475"/>
      <c r="G4" s="475"/>
      <c r="H4" s="475"/>
      <c r="I4" s="475"/>
      <c r="J4" s="475"/>
      <c r="K4" s="475"/>
      <c r="L4" s="475"/>
      <c r="M4" s="475"/>
      <c r="N4" s="476"/>
    </row>
    <row r="5" spans="1:14">
      <c r="A5" s="570"/>
      <c r="B5" s="567" t="s">
        <v>676</v>
      </c>
      <c r="C5" s="567"/>
      <c r="D5" s="567"/>
      <c r="E5" s="5"/>
      <c r="F5" s="5"/>
      <c r="G5" s="5"/>
      <c r="H5" s="5"/>
      <c r="I5" s="5"/>
      <c r="J5" s="5"/>
      <c r="K5" s="5"/>
      <c r="L5" s="5"/>
      <c r="M5" s="5"/>
      <c r="N5" s="426"/>
    </row>
    <row r="6" spans="1:14">
      <c r="A6" s="571"/>
      <c r="B6" s="567" t="s">
        <v>677</v>
      </c>
      <c r="C6" s="567"/>
      <c r="D6" s="567"/>
      <c r="E6" s="5"/>
      <c r="F6" s="5"/>
      <c r="G6" s="5"/>
      <c r="H6" s="5"/>
      <c r="I6" s="5"/>
      <c r="J6" s="5"/>
      <c r="K6" s="5"/>
      <c r="L6" s="5"/>
      <c r="M6" s="5"/>
      <c r="N6" s="426"/>
    </row>
    <row r="7" spans="1:14">
      <c r="A7" s="572" t="s">
        <v>196</v>
      </c>
      <c r="B7" s="567" t="s">
        <v>197</v>
      </c>
      <c r="C7" s="567"/>
      <c r="D7" s="567"/>
      <c r="E7" s="5"/>
      <c r="F7" s="5"/>
      <c r="G7" s="5"/>
      <c r="H7" s="5"/>
      <c r="I7" s="5"/>
      <c r="J7" s="5"/>
      <c r="K7" s="5"/>
      <c r="L7" s="5"/>
      <c r="M7" s="5"/>
      <c r="N7" s="426"/>
    </row>
    <row r="8" spans="1:14">
      <c r="A8" s="584"/>
      <c r="B8" s="567" t="s">
        <v>682</v>
      </c>
      <c r="C8" s="567"/>
      <c r="D8" s="567"/>
      <c r="E8" s="5"/>
      <c r="F8" s="5"/>
      <c r="G8" s="5"/>
      <c r="H8" s="5"/>
      <c r="I8" s="5"/>
      <c r="J8" s="5"/>
      <c r="K8" s="5"/>
      <c r="L8" s="5"/>
      <c r="M8" s="5"/>
      <c r="N8" s="426"/>
    </row>
    <row r="9" spans="1:14">
      <c r="A9" s="573"/>
      <c r="B9" s="574" t="s">
        <v>683</v>
      </c>
      <c r="C9" s="575"/>
      <c r="D9" s="575"/>
      <c r="E9" s="575"/>
      <c r="F9" s="575"/>
      <c r="G9" s="575"/>
      <c r="H9" s="575"/>
      <c r="I9" s="575"/>
      <c r="J9" s="575"/>
      <c r="K9" s="575"/>
      <c r="L9" s="575"/>
      <c r="M9" s="575"/>
      <c r="N9" s="576"/>
    </row>
    <row r="10" spans="1:14">
      <c r="A10" s="1"/>
      <c r="B1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8"/>
  </sheetPr>
  <dimension ref="B1:Z120"/>
  <sheetViews>
    <sheetView topLeftCell="D80" zoomScale="85" zoomScaleNormal="85" workbookViewId="0">
      <selection activeCell="J98" sqref="J98"/>
    </sheetView>
  </sheetViews>
  <sheetFormatPr defaultRowHeight="14.4"/>
  <cols>
    <col min="1" max="1" width="2" bestFit="1" customWidth="1"/>
    <col min="2" max="2" width="6.109375" customWidth="1"/>
    <col min="3" max="3" width="22" customWidth="1"/>
    <col min="4" max="4" width="63.88671875" bestFit="1" customWidth="1"/>
    <col min="5" max="6" width="8.44140625" bestFit="1" customWidth="1"/>
    <col min="7" max="7" width="6.5546875" bestFit="1" customWidth="1"/>
    <col min="8" max="8" width="7.33203125" bestFit="1" customWidth="1"/>
    <col min="9" max="9" width="6.109375" bestFit="1" customWidth="1"/>
    <col min="10" max="10" width="2" bestFit="1" customWidth="1"/>
    <col min="11" max="11" width="6.109375" customWidth="1"/>
    <col min="12" max="12" width="23.109375" bestFit="1" customWidth="1"/>
    <col min="13" max="13" width="83.5546875" bestFit="1" customWidth="1"/>
    <col min="14" max="14" width="13.6640625" bestFit="1" customWidth="1"/>
    <col min="15" max="15" width="15.33203125" bestFit="1" customWidth="1"/>
    <col min="16" max="16" width="5" bestFit="1" customWidth="1"/>
    <col min="17" max="17" width="5" customWidth="1"/>
    <col min="18" max="18" width="10.33203125" bestFit="1" customWidth="1"/>
    <col min="19" max="19" width="2" bestFit="1" customWidth="1"/>
    <col min="20" max="20" width="26.88671875" customWidth="1"/>
    <col min="21" max="21" width="9.6640625" bestFit="1" customWidth="1"/>
    <col min="22" max="22" width="5" bestFit="1" customWidth="1"/>
  </cols>
  <sheetData>
    <row r="1" spans="2:26">
      <c r="T1" t="s">
        <v>550</v>
      </c>
    </row>
    <row r="2" spans="2:26" ht="21">
      <c r="B2" s="886" t="s">
        <v>856</v>
      </c>
      <c r="C2" s="886"/>
      <c r="D2" s="528"/>
      <c r="E2" s="528"/>
      <c r="F2" s="528"/>
      <c r="G2" s="528"/>
      <c r="H2" s="528"/>
      <c r="I2" s="528"/>
      <c r="K2" s="887" t="s">
        <v>558</v>
      </c>
      <c r="L2" s="887"/>
      <c r="M2" s="528"/>
      <c r="N2" s="528"/>
      <c r="O2" s="528"/>
      <c r="P2" s="528"/>
      <c r="Q2" s="528"/>
      <c r="R2" s="528"/>
      <c r="T2">
        <v>1</v>
      </c>
      <c r="U2" s="526" t="s">
        <v>2</v>
      </c>
      <c r="V2" s="523">
        <v>1940</v>
      </c>
      <c r="Y2">
        <v>12</v>
      </c>
      <c r="Z2" t="s">
        <v>593</v>
      </c>
    </row>
    <row r="3" spans="2:26" ht="15" thickBot="1">
      <c r="B3" s="882" t="s">
        <v>551</v>
      </c>
      <c r="C3" s="882" t="s">
        <v>552</v>
      </c>
      <c r="D3" s="882" t="s">
        <v>553</v>
      </c>
      <c r="E3" s="882" t="s">
        <v>1</v>
      </c>
      <c r="F3" s="882" t="s">
        <v>554</v>
      </c>
      <c r="G3" s="882" t="s">
        <v>555</v>
      </c>
      <c r="H3" s="882" t="s">
        <v>556</v>
      </c>
      <c r="I3" s="882" t="s">
        <v>557</v>
      </c>
      <c r="K3" s="888" t="s">
        <v>559</v>
      </c>
      <c r="L3" s="888" t="s">
        <v>545</v>
      </c>
      <c r="M3" s="888" t="s">
        <v>560</v>
      </c>
      <c r="N3" s="888" t="s">
        <v>561</v>
      </c>
      <c r="O3" s="888" t="s">
        <v>562</v>
      </c>
      <c r="P3" s="888" t="s">
        <v>563</v>
      </c>
      <c r="Q3" s="888" t="s">
        <v>564</v>
      </c>
      <c r="R3" s="888" t="s">
        <v>572</v>
      </c>
      <c r="T3">
        <v>2</v>
      </c>
      <c r="U3" s="526" t="s">
        <v>3</v>
      </c>
      <c r="V3" s="523">
        <v>1957</v>
      </c>
      <c r="Y3">
        <v>0.25</v>
      </c>
      <c r="Z3" t="s">
        <v>594</v>
      </c>
    </row>
    <row r="4" spans="2:26">
      <c r="B4" s="883" t="s">
        <v>574</v>
      </c>
      <c r="C4" s="883" t="str">
        <f>"R_"&amp;U11</f>
        <v>R_Flat</v>
      </c>
      <c r="D4" s="883" t="str">
        <f>M4 &amp; " (DEM)"</f>
        <v>Residential Dwelling - Flat (DEM)</v>
      </c>
      <c r="E4" s="883" t="str">
        <f>O4</f>
        <v>000units</v>
      </c>
      <c r="F4" s="883"/>
      <c r="G4" s="883"/>
      <c r="H4" s="883"/>
      <c r="I4" s="883"/>
      <c r="K4" t="s">
        <v>570</v>
      </c>
      <c r="L4" t="str">
        <f>"Rdw_"&amp;U11</f>
        <v>Rdw_Flat</v>
      </c>
      <c r="M4" t="str">
        <f>"Residential Dwelling - "&amp;T11</f>
        <v>Residential Dwelling - Flat</v>
      </c>
      <c r="N4" t="s">
        <v>571</v>
      </c>
      <c r="O4" t="s">
        <v>571</v>
      </c>
      <c r="R4" t="s">
        <v>573</v>
      </c>
      <c r="T4">
        <v>3</v>
      </c>
      <c r="U4" s="526" t="s">
        <v>4</v>
      </c>
      <c r="V4" s="523">
        <v>1975</v>
      </c>
      <c r="Y4">
        <f>Y2*8.76*Y3*3.6</f>
        <v>94.608000000000004</v>
      </c>
      <c r="Z4" t="s">
        <v>595</v>
      </c>
    </row>
    <row r="5" spans="2:26">
      <c r="B5" s="883"/>
      <c r="C5" s="883" t="str">
        <f>"R_"&amp;U13</f>
        <v>R_DetH</v>
      </c>
      <c r="D5" s="883" t="str">
        <f t="shared" ref="D5" si="0">M5 &amp; " (DEM)"</f>
        <v>Residential Dwelling - Detached house 1945 to 1969 (DEM)</v>
      </c>
      <c r="E5" s="883" t="str">
        <f>O5</f>
        <v>000units</v>
      </c>
      <c r="F5" s="883"/>
      <c r="G5" s="883"/>
      <c r="H5" s="883"/>
      <c r="I5" s="883"/>
      <c r="L5" t="str">
        <f>"Rdw_"&amp;U13</f>
        <v>Rdw_DetH</v>
      </c>
      <c r="M5" t="str">
        <f>"Residential Dwelling - "&amp;T13</f>
        <v>Residential Dwelling - Detached house 1945 to 1969</v>
      </c>
      <c r="N5" t="s">
        <v>571</v>
      </c>
      <c r="O5" t="s">
        <v>571</v>
      </c>
      <c r="R5" t="s">
        <v>573</v>
      </c>
      <c r="T5">
        <v>4</v>
      </c>
      <c r="U5" s="526" t="s">
        <v>5</v>
      </c>
      <c r="V5" s="523">
        <v>1985</v>
      </c>
    </row>
    <row r="6" spans="2:26">
      <c r="B6" s="883"/>
      <c r="C6" s="883" t="str">
        <f>"R_"&amp;U15</f>
        <v>R_SDetH</v>
      </c>
      <c r="D6" s="883" t="str">
        <f>M7 &amp; " (DEM)"</f>
        <v>Residential Dwelling - Semi-detached house (DEM)</v>
      </c>
      <c r="E6" s="883" t="str">
        <f>O7</f>
        <v>000units</v>
      </c>
      <c r="F6" s="883"/>
      <c r="G6" s="883"/>
      <c r="H6" s="883"/>
      <c r="I6" s="883"/>
      <c r="L6" t="str">
        <f>"Rdw_"&amp;U14</f>
        <v>Rdw_DetH-70</v>
      </c>
      <c r="M6" t="str">
        <f>"Residential Dwelling - "&amp;T14</f>
        <v>Residential Dwelling - Detached house 1970 to 2010</v>
      </c>
      <c r="N6" t="s">
        <v>571</v>
      </c>
      <c r="O6" t="s">
        <v>571</v>
      </c>
      <c r="R6" t="s">
        <v>573</v>
      </c>
      <c r="T6">
        <v>5</v>
      </c>
      <c r="U6" s="526" t="s">
        <v>6</v>
      </c>
      <c r="V6" s="523">
        <v>1995</v>
      </c>
    </row>
    <row r="7" spans="2:26">
      <c r="B7" s="883"/>
      <c r="C7" s="883" t="str">
        <f>'TechELC-RES'!E4</f>
        <v>RLIG</v>
      </c>
      <c r="D7" s="883" t="str">
        <f>"Residential - "&amp;X15&amp; " (DEM)"</f>
        <v>Residential - Lighting (DEM)</v>
      </c>
      <c r="E7" s="883" t="str">
        <f t="shared" ref="E7:E12" si="1">N90</f>
        <v>M_appliances</v>
      </c>
      <c r="F7" s="883"/>
      <c r="G7" s="883"/>
      <c r="H7" s="883"/>
      <c r="I7" s="883"/>
      <c r="L7" t="str">
        <f>"Rdw_"&amp;U15</f>
        <v>Rdw_SDetH</v>
      </c>
      <c r="M7" t="str">
        <f>"Residential Dwelling - "&amp;T15</f>
        <v>Residential Dwelling - Semi-detached house</v>
      </c>
      <c r="N7" t="s">
        <v>571</v>
      </c>
      <c r="O7" t="s">
        <v>571</v>
      </c>
      <c r="R7" t="s">
        <v>573</v>
      </c>
      <c r="T7">
        <v>6</v>
      </c>
      <c r="U7" s="526" t="s">
        <v>7</v>
      </c>
      <c r="V7" s="523">
        <v>2004</v>
      </c>
    </row>
    <row r="8" spans="2:26">
      <c r="B8" s="883"/>
      <c r="C8" s="883" t="str">
        <f>'TechELC-RES'!E21</f>
        <v>RREF</v>
      </c>
      <c r="D8" s="883" t="str">
        <f t="shared" ref="D8:D12" si="2">"Residential - "&amp;X16&amp; " (DEM)"</f>
        <v>Residential - Refrigerators and freezers (DEM)</v>
      </c>
      <c r="E8" s="883" t="str">
        <f t="shared" si="1"/>
        <v>M_appliances</v>
      </c>
      <c r="F8" s="883"/>
      <c r="G8" s="883"/>
      <c r="H8" s="883"/>
      <c r="I8" s="883"/>
      <c r="K8" t="s">
        <v>597</v>
      </c>
      <c r="L8" t="str">
        <f>"R_ES-SH-FL_"&amp;RIGHT(U23,3)&amp;"-R"</f>
        <v>R_ES-SH-FL_ELC-R</v>
      </c>
      <c r="M8" t="str">
        <f>"Residential boiler for sp heat - "&amp;$T$11&amp;" : "&amp;T23&amp;" Resistance"</f>
        <v>Residential boiler for sp heat - Flat : Electricity Resistance</v>
      </c>
      <c r="N8" t="s">
        <v>511</v>
      </c>
      <c r="O8" t="s">
        <v>694</v>
      </c>
      <c r="R8" t="s">
        <v>573</v>
      </c>
    </row>
    <row r="9" spans="2:26">
      <c r="B9" s="883"/>
      <c r="C9" s="883" t="str">
        <f>'TechELC-RES'!E38</f>
        <v>RCWA</v>
      </c>
      <c r="D9" s="883" t="str">
        <f t="shared" si="2"/>
        <v>Residential - Washing machine (DEM)</v>
      </c>
      <c r="E9" s="883" t="str">
        <f t="shared" si="1"/>
        <v>M_appliances</v>
      </c>
      <c r="F9" s="883"/>
      <c r="G9" s="883"/>
      <c r="H9" s="883"/>
      <c r="I9" s="883"/>
      <c r="L9" t="str">
        <f>"R_ES-SH-FL_"&amp;RIGHT(U23,3)&amp;"-HPA"</f>
        <v>R_ES-SH-FL_ELC-HPA</v>
      </c>
      <c r="M9" t="str">
        <f>"Residential boiler for sp heat - "&amp;$T$11&amp;" : "&amp;T23&amp;" Heat Pump Air"</f>
        <v>Residential boiler for sp heat - Flat : Electricity Heat Pump Air</v>
      </c>
      <c r="N9" t="s">
        <v>511</v>
      </c>
      <c r="O9" t="s">
        <v>694</v>
      </c>
      <c r="R9" t="s">
        <v>573</v>
      </c>
    </row>
    <row r="10" spans="2:26">
      <c r="B10" s="883"/>
      <c r="C10" s="883" t="str">
        <f>'TechELC-RES'!E55</f>
        <v>RCDR</v>
      </c>
      <c r="D10" s="883" t="str">
        <f t="shared" si="2"/>
        <v>Residential - Clothes dryer (DEM)</v>
      </c>
      <c r="E10" s="883" t="str">
        <f t="shared" si="1"/>
        <v>M_appliances</v>
      </c>
      <c r="F10" s="883"/>
      <c r="G10" s="883"/>
      <c r="H10" s="883"/>
      <c r="I10" s="883"/>
      <c r="L10" t="str">
        <f>"R_ES-SH-FL_"&amp;RIGHT(U23,3)&amp;"-HPG"</f>
        <v>R_ES-SH-FL_ELC-HPG</v>
      </c>
      <c r="M10" t="str">
        <f>"Residential boiler for sp heat - "&amp;$T$11&amp;" : "&amp;T23&amp;" Heat Pump Ground"</f>
        <v>Residential boiler for sp heat - Flat : Electricity Heat Pump Ground</v>
      </c>
      <c r="N10" t="s">
        <v>511</v>
      </c>
      <c r="O10" t="s">
        <v>694</v>
      </c>
      <c r="R10" t="s">
        <v>573</v>
      </c>
    </row>
    <row r="11" spans="2:26">
      <c r="B11" s="883"/>
      <c r="C11" s="883" t="str">
        <f>'TechELC-RES'!E72</f>
        <v>RDWA</v>
      </c>
      <c r="D11" s="883" t="str">
        <f t="shared" si="2"/>
        <v>Residential - Dishwasher (DEM)</v>
      </c>
      <c r="E11" s="883" t="str">
        <f t="shared" si="1"/>
        <v>M_appliances</v>
      </c>
      <c r="F11" s="883"/>
      <c r="G11" s="883"/>
      <c r="H11" s="883"/>
      <c r="I11" s="883"/>
      <c r="L11" t="str">
        <f t="shared" ref="L11:L16" si="3">"R_ES-SH-FL_"&amp;RIGHT(U24,3)</f>
        <v>R_ES-SH-FL_GAS</v>
      </c>
      <c r="M11" t="str">
        <f t="shared" ref="M11:M16" si="4">"Residential boiler for sp heat - "&amp;$T$11&amp;" : "&amp;T24</f>
        <v>Residential boiler for sp heat - Flat : Gases</v>
      </c>
      <c r="N11" t="s">
        <v>511</v>
      </c>
      <c r="O11" t="s">
        <v>694</v>
      </c>
      <c r="R11" t="s">
        <v>573</v>
      </c>
      <c r="T11" t="s">
        <v>58</v>
      </c>
      <c r="U11" t="s">
        <v>58</v>
      </c>
      <c r="V11" t="s">
        <v>567</v>
      </c>
    </row>
    <row r="12" spans="2:26">
      <c r="B12" s="883"/>
      <c r="C12" s="883" t="str">
        <f>'TechELC-RES'!E89</f>
        <v>ROEL</v>
      </c>
      <c r="D12" s="883" t="str">
        <f t="shared" si="2"/>
        <v>Residential - Other ELC (DEM)</v>
      </c>
      <c r="E12" s="883" t="str">
        <f t="shared" si="1"/>
        <v>M_appliances</v>
      </c>
      <c r="F12" s="883"/>
      <c r="G12" s="883"/>
      <c r="H12" s="883"/>
      <c r="I12" s="883"/>
      <c r="L12" t="str">
        <f t="shared" si="3"/>
        <v>R_ES-SH-FL_HET</v>
      </c>
      <c r="M12" t="str">
        <f t="shared" si="4"/>
        <v>Residential boiler for sp heat - Flat : Derived heat</v>
      </c>
      <c r="N12" t="s">
        <v>511</v>
      </c>
      <c r="O12" t="s">
        <v>694</v>
      </c>
      <c r="R12" t="s">
        <v>573</v>
      </c>
      <c r="T12" t="s">
        <v>59</v>
      </c>
    </row>
    <row r="13" spans="2:26">
      <c r="B13" s="883" t="s">
        <v>583</v>
      </c>
      <c r="C13" s="883" t="str">
        <f>"R_ES-"&amp;V11&amp;"-"&amp;$U$18</f>
        <v>R_ES-FL-Cook</v>
      </c>
      <c r="D13" s="883" t="str">
        <f>"Residential Energy Service for - "&amp;T11&amp;" - "&amp;$T$18</f>
        <v>Residential Energy Service for - Flat - Cooking</v>
      </c>
      <c r="E13" s="883" t="s">
        <v>511</v>
      </c>
      <c r="F13" s="883"/>
      <c r="G13" s="883"/>
      <c r="H13" s="883"/>
      <c r="I13" s="883"/>
      <c r="L13" t="str">
        <f t="shared" si="3"/>
        <v>R_ES-SH-FL_OIL</v>
      </c>
      <c r="M13" t="str">
        <f t="shared" si="4"/>
        <v>Residential boiler for sp heat - Flat : GDO and other liquids (incl. liq. bio.)</v>
      </c>
      <c r="N13" t="s">
        <v>511</v>
      </c>
      <c r="O13" t="s">
        <v>694</v>
      </c>
      <c r="R13" t="s">
        <v>573</v>
      </c>
      <c r="T13" t="s">
        <v>892</v>
      </c>
      <c r="U13" t="s">
        <v>565</v>
      </c>
      <c r="V13" t="s">
        <v>568</v>
      </c>
    </row>
    <row r="14" spans="2:26">
      <c r="B14" s="883"/>
      <c r="C14" s="883" t="str">
        <f>"R_ES-"&amp;V13&amp;"-"&amp;$U$18</f>
        <v>R_ES-DH-Cook</v>
      </c>
      <c r="D14" s="883" t="str">
        <f>"Residential Energy Service for - "&amp;T12&amp;" - "&amp;$T$18</f>
        <v>Residential Energy Service for - Detached house - Cooking</v>
      </c>
      <c r="E14" s="883" t="s">
        <v>511</v>
      </c>
      <c r="F14" s="883"/>
      <c r="G14" s="883"/>
      <c r="H14" s="883"/>
      <c r="I14" s="883"/>
      <c r="L14" t="str">
        <f t="shared" si="3"/>
        <v>R_ES-SH-FL_BIO</v>
      </c>
      <c r="M14" t="str">
        <f t="shared" si="4"/>
        <v>Residential boiler for sp heat - Flat : Biomass and wastes</v>
      </c>
      <c r="N14" t="s">
        <v>511</v>
      </c>
      <c r="O14" t="s">
        <v>694</v>
      </c>
      <c r="R14" t="s">
        <v>573</v>
      </c>
      <c r="T14" t="s">
        <v>893</v>
      </c>
      <c r="U14" t="s">
        <v>894</v>
      </c>
      <c r="V14" t="s">
        <v>891</v>
      </c>
    </row>
    <row r="15" spans="2:26">
      <c r="B15" s="883"/>
      <c r="C15" s="883" t="str">
        <f>"R_ES-"&amp;V15&amp;"-"&amp;$U$18</f>
        <v>R_ES-SD-Cook</v>
      </c>
      <c r="D15" s="883" t="str">
        <f>"Residential Energy Service for - "&amp;T15&amp;" - "&amp;$T$18</f>
        <v>Residential Energy Service for - Semi-detached house - Cooking</v>
      </c>
      <c r="E15" s="883" t="s">
        <v>511</v>
      </c>
      <c r="F15" s="883"/>
      <c r="G15" s="883"/>
      <c r="H15" s="883"/>
      <c r="I15" s="883"/>
      <c r="L15" t="str">
        <f t="shared" si="3"/>
        <v>R_ES-SH-FL_COA</v>
      </c>
      <c r="M15" t="str">
        <f t="shared" si="4"/>
        <v>Residential boiler for sp heat - Flat : Solids</v>
      </c>
      <c r="N15" t="s">
        <v>511</v>
      </c>
      <c r="O15" t="s">
        <v>694</v>
      </c>
      <c r="R15" t="s">
        <v>573</v>
      </c>
      <c r="T15" t="s">
        <v>60</v>
      </c>
      <c r="U15" t="s">
        <v>566</v>
      </c>
      <c r="V15" t="s">
        <v>569</v>
      </c>
      <c r="X15" t="str">
        <f>'TechELC-RES'!A3</f>
        <v>Lighting</v>
      </c>
    </row>
    <row r="16" spans="2:26">
      <c r="B16" s="883"/>
      <c r="C16" s="883" t="str">
        <f>"R_ES-"&amp;V11&amp;"-"&amp;$U$19</f>
        <v>R_ES-FL-SpCool</v>
      </c>
      <c r="D16" s="883" t="str">
        <f>"Residential Energy Service for - "&amp;T11&amp;" - "&amp;$T$19</f>
        <v>Residential Energy Service for - Flat - Cooling</v>
      </c>
      <c r="E16" s="883" t="s">
        <v>511</v>
      </c>
      <c r="F16" s="883"/>
      <c r="G16" s="883"/>
      <c r="H16" s="883"/>
      <c r="I16" s="883"/>
      <c r="L16" t="str">
        <f t="shared" si="3"/>
        <v>R_ES-SH-FL_LPG</v>
      </c>
      <c r="M16" t="str">
        <f t="shared" si="4"/>
        <v>Residential boiler for sp heat - Flat : LPG</v>
      </c>
      <c r="N16" t="s">
        <v>511</v>
      </c>
      <c r="O16" t="s">
        <v>694</v>
      </c>
      <c r="R16" t="s">
        <v>573</v>
      </c>
      <c r="X16" t="str">
        <f>'TechELC-RES'!A20</f>
        <v>Refrigerators and freezers</v>
      </c>
    </row>
    <row r="17" spans="2:24">
      <c r="B17" s="883"/>
      <c r="C17" s="883" t="str">
        <f>"R_ES-"&amp;V13&amp;"-"&amp;$U$19</f>
        <v>R_ES-DH-SpCool</v>
      </c>
      <c r="D17" s="883" t="str">
        <f>"Residential Energy Service for - "&amp;T12&amp;" - "&amp;$T$19</f>
        <v>Residential Energy Service for - Detached house - Cooling</v>
      </c>
      <c r="E17" s="883" t="s">
        <v>511</v>
      </c>
      <c r="F17" s="883"/>
      <c r="G17" s="883"/>
      <c r="H17" s="883"/>
      <c r="I17" s="883"/>
      <c r="L17" t="str">
        <f>"R_ES-SH-FL_"&amp;RIGHT(U31,3)</f>
        <v>R_ES-SH-FL_GEO</v>
      </c>
      <c r="M17" t="str">
        <f>"Residential boiler for sp heat - "&amp;$T$11&amp;" : "&amp;T31</f>
        <v>Residential boiler for sp heat - Flat : Geothermal Energy</v>
      </c>
      <c r="N17" t="s">
        <v>511</v>
      </c>
      <c r="O17" t="s">
        <v>694</v>
      </c>
      <c r="R17" t="s">
        <v>573</v>
      </c>
      <c r="X17" t="str">
        <f>'TechELC-RES'!A37</f>
        <v>Washing machine</v>
      </c>
    </row>
    <row r="18" spans="2:24">
      <c r="B18" s="883"/>
      <c r="C18" s="883" t="str">
        <f>"R_ES-"&amp;V15&amp;"-"&amp;$U$19</f>
        <v>R_ES-SD-SpCool</v>
      </c>
      <c r="D18" s="883" t="str">
        <f>"Residential Energy Service for - "&amp;T15&amp;" - "&amp;$T$19</f>
        <v>Residential Energy Service for - Semi-detached house - Cooling</v>
      </c>
      <c r="E18" s="883" t="s">
        <v>511</v>
      </c>
      <c r="F18" s="883"/>
      <c r="G18" s="883"/>
      <c r="H18" s="883"/>
      <c r="I18" s="883"/>
      <c r="L18" t="str">
        <f>"R_ES-SH-DH_"&amp;RIGHT(U23,3)&amp;"-R"</f>
        <v>R_ES-SH-DH_ELC-R</v>
      </c>
      <c r="M18" t="str">
        <f>"Residential boiler for sp heat - "&amp;$T$13&amp;" : "&amp;T23&amp;" Resistance"</f>
        <v>Residential boiler for sp heat - Detached house 1945 to 1969 : Electricity Resistance</v>
      </c>
      <c r="N18" t="s">
        <v>511</v>
      </c>
      <c r="O18" t="s">
        <v>694</v>
      </c>
      <c r="R18" t="s">
        <v>573</v>
      </c>
      <c r="T18" t="s">
        <v>524</v>
      </c>
      <c r="U18" t="s">
        <v>575</v>
      </c>
      <c r="V18" t="s">
        <v>579</v>
      </c>
      <c r="X18" t="str">
        <f>'TechELC-RES'!A54</f>
        <v>Clothes dryer</v>
      </c>
    </row>
    <row r="19" spans="2:24">
      <c r="B19" s="883"/>
      <c r="C19" s="883" t="str">
        <f>"R_ES-"&amp;V11&amp;"-"&amp;$U$21</f>
        <v>R_ES-FL-WatHeat</v>
      </c>
      <c r="D19" s="883" t="str">
        <f>"Residential Energy Service for - "&amp;T11&amp;" - "&amp;$T$21</f>
        <v>Residential Energy Service for - Flat - Water heating</v>
      </c>
      <c r="E19" s="883" t="s">
        <v>511</v>
      </c>
      <c r="F19" s="883"/>
      <c r="G19" s="883"/>
      <c r="H19" s="883"/>
      <c r="I19" s="883"/>
      <c r="L19" t="str">
        <f>"R_ES-SH-DH_"&amp;RIGHT(U23,3)&amp;"-HPA"</f>
        <v>R_ES-SH-DH_ELC-HPA</v>
      </c>
      <c r="M19" t="str">
        <f>"Residential boiler for sp heat - "&amp;$T$13&amp;" : "&amp;T23&amp;" Heat Pump Air"</f>
        <v>Residential boiler for sp heat - Detached house 1945 to 1969 : Electricity Heat Pump Air</v>
      </c>
      <c r="N19" t="s">
        <v>511</v>
      </c>
      <c r="O19" t="s">
        <v>694</v>
      </c>
      <c r="R19" t="s">
        <v>573</v>
      </c>
      <c r="T19" t="s">
        <v>530</v>
      </c>
      <c r="U19" t="s">
        <v>576</v>
      </c>
      <c r="V19" t="s">
        <v>580</v>
      </c>
      <c r="X19" t="str">
        <f>'TechELC-RES'!A71</f>
        <v>Dishwasher</v>
      </c>
    </row>
    <row r="20" spans="2:24">
      <c r="B20" s="883"/>
      <c r="C20" s="883" t="str">
        <f>"R_ES-"&amp;V13&amp;"-"&amp;$U$21</f>
        <v>R_ES-DH-WatHeat</v>
      </c>
      <c r="D20" s="883" t="str">
        <f>"Residential Energy Service for - "&amp;T12&amp;" - "&amp;$T$21</f>
        <v>Residential Energy Service for - Detached house - Water heating</v>
      </c>
      <c r="E20" s="883" t="s">
        <v>511</v>
      </c>
      <c r="F20" s="883"/>
      <c r="G20" s="883"/>
      <c r="H20" s="883"/>
      <c r="I20" s="883"/>
      <c r="L20" t="str">
        <f>"R_ES-SH-DH_"&amp;RIGHT(U23,3)&amp;"-HPG"</f>
        <v>R_ES-SH-DH_ELC-HPG</v>
      </c>
      <c r="M20" t="str">
        <f>"Residential boiler for sp heat - "&amp;$T$13&amp;" : "&amp;T23&amp;" Heat Pump Ground"</f>
        <v>Residential boiler for sp heat - Detached house 1945 to 1969 : Electricity Heat Pump Ground</v>
      </c>
      <c r="N20" t="s">
        <v>511</v>
      </c>
      <c r="O20" t="s">
        <v>694</v>
      </c>
      <c r="R20" t="s">
        <v>573</v>
      </c>
      <c r="T20" t="s">
        <v>531</v>
      </c>
      <c r="U20" t="s">
        <v>577</v>
      </c>
      <c r="V20" t="s">
        <v>581</v>
      </c>
      <c r="X20" t="str">
        <f>'TechELC-RES'!A88</f>
        <v>Other ELC</v>
      </c>
    </row>
    <row r="21" spans="2:24">
      <c r="B21" s="883"/>
      <c r="C21" s="883" t="str">
        <f>"R_ES-"&amp;V15&amp;"-"&amp;$U$21</f>
        <v>R_ES-SD-WatHeat</v>
      </c>
      <c r="D21" s="883" t="str">
        <f>"Residential Energy Service for - "&amp;T15&amp;" - "&amp;$T$21</f>
        <v>Residential Energy Service for - Semi-detached house - Water heating</v>
      </c>
      <c r="E21" s="883" t="s">
        <v>511</v>
      </c>
      <c r="F21" s="883"/>
      <c r="G21" s="883"/>
      <c r="H21" s="883"/>
      <c r="I21" s="883"/>
      <c r="L21" t="str">
        <f t="shared" ref="L21:L26" si="5">"R_ES-SH-DH_"&amp;RIGHT(U24,3)</f>
        <v>R_ES-SH-DH_GAS</v>
      </c>
      <c r="M21" t="str">
        <f t="shared" ref="M21:M26" si="6">"Residential boiler for sp heat - "&amp;$T$13&amp;" : "&amp;T24</f>
        <v>Residential boiler for sp heat - Detached house 1945 to 1969 : Gases</v>
      </c>
      <c r="N21" t="s">
        <v>511</v>
      </c>
      <c r="O21" t="s">
        <v>694</v>
      </c>
      <c r="R21" t="s">
        <v>573</v>
      </c>
      <c r="T21" t="s">
        <v>535</v>
      </c>
      <c r="U21" t="s">
        <v>578</v>
      </c>
      <c r="V21" t="s">
        <v>582</v>
      </c>
    </row>
    <row r="22" spans="2:24">
      <c r="B22" s="883"/>
      <c r="C22" s="883" t="str">
        <f>"R_ES-"&amp;V11&amp;"-"&amp;$U$20</f>
        <v>R_ES-FL-SpHeat</v>
      </c>
      <c r="D22" s="883" t="str">
        <f>"Residential Energy Service for - "&amp;T11&amp;" - "&amp;$T$20</f>
        <v>Residential Energy Service for - Flat - Space heating</v>
      </c>
      <c r="E22" s="883" t="s">
        <v>511</v>
      </c>
      <c r="F22" s="883"/>
      <c r="G22" s="883"/>
      <c r="H22" s="883"/>
      <c r="I22" s="883"/>
      <c r="L22" t="str">
        <f t="shared" si="5"/>
        <v>R_ES-SH-DH_HET</v>
      </c>
      <c r="M22" t="str">
        <f t="shared" si="6"/>
        <v>Residential boiler for sp heat - Detached house 1945 to 1969 : Derived heat</v>
      </c>
      <c r="N22" t="s">
        <v>511</v>
      </c>
      <c r="O22" t="s">
        <v>694</v>
      </c>
      <c r="R22" t="s">
        <v>573</v>
      </c>
    </row>
    <row r="23" spans="2:24">
      <c r="B23" s="883"/>
      <c r="C23" s="883" t="str">
        <f>"R_ES-"&amp;V13&amp;"-"&amp;$U$20</f>
        <v>R_ES-DH-SpHeat</v>
      </c>
      <c r="D23" s="883" t="str">
        <f>"Residential Energy Service for - "&amp;T12&amp;" - "&amp;$T$20</f>
        <v>Residential Energy Service for - Detached house - Space heating</v>
      </c>
      <c r="E23" s="883" t="s">
        <v>511</v>
      </c>
      <c r="F23" s="883"/>
      <c r="G23" s="883"/>
      <c r="H23" s="883"/>
      <c r="I23" s="883"/>
      <c r="L23" t="str">
        <f t="shared" si="5"/>
        <v>R_ES-SH-DH_OIL</v>
      </c>
      <c r="M23" t="str">
        <f t="shared" si="6"/>
        <v>Residential boiler for sp heat - Detached house 1945 to 1969 : GDO and other liquids (incl. liq. bio.)</v>
      </c>
      <c r="N23" t="s">
        <v>511</v>
      </c>
      <c r="O23" t="s">
        <v>694</v>
      </c>
      <c r="R23" t="s">
        <v>573</v>
      </c>
      <c r="T23" t="s">
        <v>510</v>
      </c>
      <c r="U23" t="s">
        <v>586</v>
      </c>
    </row>
    <row r="24" spans="2:24">
      <c r="B24" s="883"/>
      <c r="C24" s="883" t="str">
        <f>"R_ES-"&amp;V15&amp;"-"&amp;$U$20</f>
        <v>R_ES-SD-SpHeat</v>
      </c>
      <c r="D24" s="883" t="str">
        <f>"Residential Energy Service for - "&amp;T15&amp;" - "&amp;$T$20</f>
        <v>Residential Energy Service for - Semi-detached house - Space heating</v>
      </c>
      <c r="E24" s="883" t="s">
        <v>511</v>
      </c>
      <c r="F24" s="883"/>
      <c r="G24" s="883"/>
      <c r="H24" s="883"/>
      <c r="I24" s="883"/>
      <c r="L24" t="str">
        <f t="shared" si="5"/>
        <v>R_ES-SH-DH_BIO</v>
      </c>
      <c r="M24" t="str">
        <f t="shared" si="6"/>
        <v>Residential boiler for sp heat - Detached house 1945 to 1969 : Biomass and wastes</v>
      </c>
      <c r="N24" t="s">
        <v>511</v>
      </c>
      <c r="O24" t="s">
        <v>694</v>
      </c>
      <c r="R24" t="s">
        <v>573</v>
      </c>
      <c r="T24" t="s">
        <v>527</v>
      </c>
      <c r="U24" t="s">
        <v>587</v>
      </c>
    </row>
    <row r="25" spans="2:24">
      <c r="B25" s="883"/>
      <c r="C25" s="883" t="str">
        <f t="shared" ref="C25:C32" si="7">U23</f>
        <v>RSDELC</v>
      </c>
      <c r="D25" s="883" t="str">
        <f t="shared" ref="D25:D32" si="8">"Residential Fuel - "&amp;T23</f>
        <v>Residential Fuel - Electricity</v>
      </c>
      <c r="E25" s="883" t="s">
        <v>511</v>
      </c>
      <c r="F25" s="883"/>
      <c r="G25" s="883" t="s">
        <v>848</v>
      </c>
      <c r="H25" s="883"/>
      <c r="I25" s="883" t="s">
        <v>967</v>
      </c>
      <c r="L25" t="str">
        <f t="shared" si="5"/>
        <v>R_ES-SH-DH_COA</v>
      </c>
      <c r="M25" t="str">
        <f t="shared" si="6"/>
        <v>Residential boiler for sp heat - Detached house 1945 to 1969 : Solids</v>
      </c>
      <c r="N25" t="s">
        <v>511</v>
      </c>
      <c r="O25" t="s">
        <v>694</v>
      </c>
      <c r="R25" t="s">
        <v>573</v>
      </c>
      <c r="T25" t="s">
        <v>532</v>
      </c>
      <c r="U25" t="s">
        <v>588</v>
      </c>
    </row>
    <row r="26" spans="2:24">
      <c r="B26" s="883"/>
      <c r="C26" s="883" t="str">
        <f t="shared" si="7"/>
        <v>RSDGAS</v>
      </c>
      <c r="D26" s="883" t="str">
        <f t="shared" si="8"/>
        <v>Residential Fuel - Gases</v>
      </c>
      <c r="E26" s="883" t="s">
        <v>511</v>
      </c>
      <c r="F26" s="883"/>
      <c r="G26" s="883" t="s">
        <v>847</v>
      </c>
      <c r="H26" s="883"/>
      <c r="I26" s="883"/>
      <c r="L26" t="str">
        <f t="shared" si="5"/>
        <v>R_ES-SH-DH_LPG</v>
      </c>
      <c r="M26" t="str">
        <f t="shared" si="6"/>
        <v>Residential boiler for sp heat - Detached house 1945 to 1969 : LPG</v>
      </c>
      <c r="N26" t="s">
        <v>511</v>
      </c>
      <c r="O26" t="s">
        <v>694</v>
      </c>
      <c r="R26" t="s">
        <v>573</v>
      </c>
      <c r="T26" t="s">
        <v>533</v>
      </c>
      <c r="U26" t="s">
        <v>589</v>
      </c>
    </row>
    <row r="27" spans="2:24">
      <c r="B27" s="883"/>
      <c r="C27" s="883" t="str">
        <f t="shared" si="7"/>
        <v>RSDHET</v>
      </c>
      <c r="D27" s="883" t="str">
        <f t="shared" si="8"/>
        <v>Residential Fuel - Derived heat</v>
      </c>
      <c r="E27" s="883" t="s">
        <v>511</v>
      </c>
      <c r="F27" s="883"/>
      <c r="G27" s="883" t="s">
        <v>847</v>
      </c>
      <c r="H27" s="883"/>
      <c r="I27" s="883"/>
      <c r="L27" t="str">
        <f>"R_ES-SH-DH_"&amp;RIGHT(U31,3)</f>
        <v>R_ES-SH-DH_GEO</v>
      </c>
      <c r="M27" t="str">
        <f>"Residential boiler for sp heat - "&amp;$T$13&amp;" : "&amp;T31</f>
        <v>Residential boiler for sp heat - Detached house 1945 to 1969 : Geothermal Energy</v>
      </c>
      <c r="N27" t="s">
        <v>511</v>
      </c>
      <c r="O27" t="s">
        <v>694</v>
      </c>
      <c r="R27" t="s">
        <v>573</v>
      </c>
      <c r="T27" t="s">
        <v>526</v>
      </c>
      <c r="U27" t="s">
        <v>590</v>
      </c>
    </row>
    <row r="28" spans="2:24">
      <c r="B28" s="883"/>
      <c r="C28" s="883" t="str">
        <f t="shared" si="7"/>
        <v>RSDOIL</v>
      </c>
      <c r="D28" s="883" t="str">
        <f t="shared" si="8"/>
        <v>Residential Fuel - GDO and other liquids (incl. liq. bio.)</v>
      </c>
      <c r="E28" s="883" t="s">
        <v>511</v>
      </c>
      <c r="F28" s="883"/>
      <c r="G28" s="883"/>
      <c r="H28" s="883"/>
      <c r="I28" s="883"/>
      <c r="L28" t="str">
        <f>"R_ES-SH-DH-70_"&amp;RIGHT(U23,3)&amp;"-R"</f>
        <v>R_ES-SH-DH-70_ELC-R</v>
      </c>
      <c r="M28" t="str">
        <f>"Residential boiler for sp heat - "&amp;$T$14&amp;" : "&amp;T23&amp;" Resistance"</f>
        <v>Residential boiler for sp heat - Detached house 1970 to 2010 : Electricity Resistance</v>
      </c>
      <c r="N28" t="s">
        <v>511</v>
      </c>
      <c r="O28" t="s">
        <v>694</v>
      </c>
      <c r="R28" t="s">
        <v>573</v>
      </c>
      <c r="T28" t="s">
        <v>529</v>
      </c>
      <c r="U28" t="s">
        <v>591</v>
      </c>
    </row>
    <row r="29" spans="2:24">
      <c r="B29" s="883"/>
      <c r="C29" s="883" t="str">
        <f t="shared" si="7"/>
        <v>RSDBIO</v>
      </c>
      <c r="D29" s="883" t="str">
        <f t="shared" si="8"/>
        <v>Residential Fuel - Biomass and wastes</v>
      </c>
      <c r="E29" s="883" t="s">
        <v>511</v>
      </c>
      <c r="F29" s="883"/>
      <c r="G29" s="883"/>
      <c r="H29" s="883"/>
      <c r="I29" s="883"/>
      <c r="L29" t="str">
        <f>"R_ES-SH-DH-70_"&amp;RIGHT(U23,3)&amp;"-HPA"</f>
        <v>R_ES-SH-DH-70_ELC-HPA</v>
      </c>
      <c r="M29" t="str">
        <f>"Residential boiler for sp heat - "&amp;$T$14&amp;" : "&amp;T23&amp;" Heat Pump Air"</f>
        <v>Residential boiler for sp heat - Detached house 1970 to 2010 : Electricity Heat Pump Air</v>
      </c>
      <c r="N29" t="s">
        <v>511</v>
      </c>
      <c r="O29" t="s">
        <v>694</v>
      </c>
      <c r="R29" t="s">
        <v>573</v>
      </c>
      <c r="T29" t="s">
        <v>528</v>
      </c>
      <c r="U29" t="s">
        <v>600</v>
      </c>
    </row>
    <row r="30" spans="2:24">
      <c r="B30" s="883"/>
      <c r="C30" s="883" t="str">
        <f t="shared" si="7"/>
        <v>RSDCOA</v>
      </c>
      <c r="D30" s="883" t="str">
        <f t="shared" si="8"/>
        <v>Residential Fuel - Solids</v>
      </c>
      <c r="E30" s="883" t="s">
        <v>511</v>
      </c>
      <c r="F30" s="883"/>
      <c r="G30" s="883"/>
      <c r="H30" s="883"/>
      <c r="I30" s="883"/>
      <c r="L30" t="str">
        <f>"R_ES-SH-DH-70_"&amp;RIGHT(U23,3)&amp;"-HPG"</f>
        <v>R_ES-SH-DH-70_ELC-HPG</v>
      </c>
      <c r="M30" t="str">
        <f>"Residential boiler for sp heat - "&amp;$T$14&amp;" : "&amp;T23&amp;" Heat Pump Ground"</f>
        <v>Residential boiler for sp heat - Detached house 1970 to 2010 : Electricity Heat Pump Ground</v>
      </c>
      <c r="N30" t="s">
        <v>511</v>
      </c>
      <c r="O30" t="s">
        <v>694</v>
      </c>
      <c r="R30" t="s">
        <v>573</v>
      </c>
      <c r="T30" t="s">
        <v>536</v>
      </c>
      <c r="U30" t="s">
        <v>778</v>
      </c>
    </row>
    <row r="31" spans="2:24">
      <c r="B31" s="883"/>
      <c r="C31" s="883" t="str">
        <f t="shared" si="7"/>
        <v>RSDLPG</v>
      </c>
      <c r="D31" s="883" t="str">
        <f t="shared" si="8"/>
        <v>Residential Fuel - LPG</v>
      </c>
      <c r="E31" s="883" t="s">
        <v>511</v>
      </c>
      <c r="F31" s="883"/>
      <c r="G31" s="883"/>
      <c r="H31" s="883"/>
      <c r="I31" s="883"/>
      <c r="L31" t="str">
        <f t="shared" ref="L31:L36" si="9">"R_ES-SH-DH-70_"&amp;RIGHT(U24,3)</f>
        <v>R_ES-SH-DH-70_GAS</v>
      </c>
      <c r="M31" t="str">
        <f t="shared" ref="M31:M36" si="10">"Residential boiler for sp heat - "&amp;$T$14&amp;" : "&amp;T24</f>
        <v>Residential boiler for sp heat - Detached house 1970 to 2010 : Gases</v>
      </c>
      <c r="N31" t="s">
        <v>511</v>
      </c>
      <c r="O31" t="s">
        <v>694</v>
      </c>
      <c r="R31" t="s">
        <v>573</v>
      </c>
      <c r="T31" t="s">
        <v>534</v>
      </c>
      <c r="U31" t="s">
        <v>599</v>
      </c>
    </row>
    <row r="32" spans="2:24">
      <c r="B32" s="883"/>
      <c r="C32" s="883" t="str">
        <f t="shared" si="7"/>
        <v>RSDSOL</v>
      </c>
      <c r="D32" s="883" t="str">
        <f t="shared" si="8"/>
        <v>Residential Fuel - Solar</v>
      </c>
      <c r="E32" s="883" t="s">
        <v>511</v>
      </c>
      <c r="F32" s="883"/>
      <c r="G32" s="883"/>
      <c r="H32" s="883"/>
      <c r="I32" s="883"/>
      <c r="L32" t="str">
        <f t="shared" si="9"/>
        <v>R_ES-SH-DH-70_HET</v>
      </c>
      <c r="M32" t="str">
        <f t="shared" si="10"/>
        <v>Residential boiler for sp heat - Detached house 1970 to 2010 : Derived heat</v>
      </c>
      <c r="N32" t="s">
        <v>511</v>
      </c>
      <c r="O32" t="s">
        <v>694</v>
      </c>
      <c r="R32" t="s">
        <v>573</v>
      </c>
    </row>
    <row r="33" spans="2:18">
      <c r="B33" s="883" t="s">
        <v>828</v>
      </c>
      <c r="C33" s="883" t="s">
        <v>816</v>
      </c>
      <c r="D33" s="883" t="s">
        <v>831</v>
      </c>
      <c r="E33" s="883" t="s">
        <v>829</v>
      </c>
      <c r="F33" s="883"/>
      <c r="G33" s="883"/>
      <c r="H33" s="883"/>
      <c r="I33" s="883"/>
      <c r="L33" t="str">
        <f t="shared" si="9"/>
        <v>R_ES-SH-DH-70_OIL</v>
      </c>
      <c r="M33" t="str">
        <f t="shared" si="10"/>
        <v>Residential boiler for sp heat - Detached house 1970 to 2010 : GDO and other liquids (incl. liq. bio.)</v>
      </c>
      <c r="N33" t="s">
        <v>511</v>
      </c>
      <c r="O33" t="s">
        <v>694</v>
      </c>
      <c r="R33" t="s">
        <v>573</v>
      </c>
    </row>
    <row r="34" spans="2:18">
      <c r="B34" s="883"/>
      <c r="C34" s="883" t="s">
        <v>817</v>
      </c>
      <c r="D34" s="883" t="s">
        <v>832</v>
      </c>
      <c r="E34" s="883" t="s">
        <v>829</v>
      </c>
      <c r="F34" s="883"/>
      <c r="G34" s="883"/>
      <c r="H34" s="883"/>
      <c r="I34" s="883"/>
      <c r="L34" t="str">
        <f t="shared" si="9"/>
        <v>R_ES-SH-DH-70_BIO</v>
      </c>
      <c r="M34" t="str">
        <f t="shared" si="10"/>
        <v>Residential boiler for sp heat - Detached house 1970 to 2010 : Biomass and wastes</v>
      </c>
      <c r="N34" t="s">
        <v>511</v>
      </c>
      <c r="O34" t="s">
        <v>694</v>
      </c>
      <c r="R34" t="s">
        <v>573</v>
      </c>
    </row>
    <row r="35" spans="2:18">
      <c r="B35" s="883"/>
      <c r="C35" s="883" t="s">
        <v>818</v>
      </c>
      <c r="D35" s="883" t="s">
        <v>833</v>
      </c>
      <c r="E35" s="883" t="s">
        <v>829</v>
      </c>
      <c r="F35" s="883"/>
      <c r="G35" s="883"/>
      <c r="H35" s="883"/>
      <c r="I35" s="883"/>
      <c r="L35" t="str">
        <f t="shared" si="9"/>
        <v>R_ES-SH-DH-70_COA</v>
      </c>
      <c r="M35" t="str">
        <f t="shared" si="10"/>
        <v>Residential boiler for sp heat - Detached house 1970 to 2010 : Solids</v>
      </c>
      <c r="N35" t="s">
        <v>511</v>
      </c>
      <c r="O35" t="s">
        <v>694</v>
      </c>
      <c r="R35" t="s">
        <v>573</v>
      </c>
    </row>
    <row r="36" spans="2:18">
      <c r="B36" s="883"/>
      <c r="C36" s="883" t="s">
        <v>819</v>
      </c>
      <c r="D36" s="883" t="s">
        <v>834</v>
      </c>
      <c r="E36" s="883" t="s">
        <v>829</v>
      </c>
      <c r="F36" s="883"/>
      <c r="G36" s="883"/>
      <c r="H36" s="883"/>
      <c r="I36" s="883"/>
      <c r="L36" t="str">
        <f t="shared" si="9"/>
        <v>R_ES-SH-DH-70_LPG</v>
      </c>
      <c r="M36" t="str">
        <f t="shared" si="10"/>
        <v>Residential boiler for sp heat - Detached house 1970 to 2010 : LPG</v>
      </c>
      <c r="N36" t="s">
        <v>511</v>
      </c>
      <c r="O36" t="s">
        <v>694</v>
      </c>
      <c r="R36" t="s">
        <v>573</v>
      </c>
    </row>
    <row r="37" spans="2:18">
      <c r="B37" s="883"/>
      <c r="C37" s="883" t="s">
        <v>820</v>
      </c>
      <c r="D37" s="883" t="s">
        <v>835</v>
      </c>
      <c r="E37" s="883" t="s">
        <v>829</v>
      </c>
      <c r="F37" s="883"/>
      <c r="G37" s="883"/>
      <c r="H37" s="883"/>
      <c r="I37" s="883"/>
      <c r="L37" t="str">
        <f>"R_ES-SH-DH-70_"&amp;RIGHT(U31,3)</f>
        <v>R_ES-SH-DH-70_GEO</v>
      </c>
      <c r="M37" t="str">
        <f>"Residential boiler for sp heat - "&amp;$T$14&amp;" : "&amp;T31</f>
        <v>Residential boiler for sp heat - Detached house 1970 to 2010 : Geothermal Energy</v>
      </c>
      <c r="N37" t="s">
        <v>511</v>
      </c>
      <c r="O37" t="s">
        <v>694</v>
      </c>
      <c r="R37" t="s">
        <v>573</v>
      </c>
    </row>
    <row r="38" spans="2:18">
      <c r="B38" s="883"/>
      <c r="C38" s="883" t="s">
        <v>821</v>
      </c>
      <c r="D38" s="883" t="s">
        <v>836</v>
      </c>
      <c r="E38" s="883" t="s">
        <v>829</v>
      </c>
      <c r="F38" s="883"/>
      <c r="G38" s="883"/>
      <c r="H38" s="883"/>
      <c r="I38" s="883"/>
      <c r="L38" t="str">
        <f>"R_ES-SH-SD_"&amp;RIGHT(U23,3)&amp;"-R"</f>
        <v>R_ES-SH-SD_ELC-R</v>
      </c>
      <c r="M38" t="str">
        <f>"Residential boiler for sp heat - "&amp;$T$15&amp;" : "&amp;T23&amp;" Resistance"</f>
        <v>Residential boiler for sp heat - Semi-detached house : Electricity Resistance</v>
      </c>
      <c r="N38" t="s">
        <v>511</v>
      </c>
      <c r="O38" t="s">
        <v>694</v>
      </c>
      <c r="R38" t="s">
        <v>573</v>
      </c>
    </row>
    <row r="39" spans="2:18">
      <c r="B39" s="883"/>
      <c r="C39" s="883" t="s">
        <v>822</v>
      </c>
      <c r="D39" s="883" t="s">
        <v>837</v>
      </c>
      <c r="E39" s="883" t="s">
        <v>829</v>
      </c>
      <c r="F39" s="883"/>
      <c r="G39" s="883"/>
      <c r="H39" s="883"/>
      <c r="I39" s="883"/>
      <c r="L39" t="str">
        <f>"R_ES-SH-SD_"&amp;RIGHT(U23,3)&amp;"-HPA"</f>
        <v>R_ES-SH-SD_ELC-HPA</v>
      </c>
      <c r="M39" t="str">
        <f>"Residential boiler for sp heat - "&amp;$T$15&amp;" : "&amp;T23&amp;" Heat Pump Air"</f>
        <v>Residential boiler for sp heat - Semi-detached house : Electricity Heat Pump Air</v>
      </c>
      <c r="N39" t="s">
        <v>511</v>
      </c>
      <c r="O39" t="s">
        <v>694</v>
      </c>
      <c r="R39" t="s">
        <v>573</v>
      </c>
    </row>
    <row r="40" spans="2:18">
      <c r="B40" s="883"/>
      <c r="C40" s="883" t="s">
        <v>823</v>
      </c>
      <c r="D40" s="883" t="s">
        <v>838</v>
      </c>
      <c r="E40" s="883" t="s">
        <v>829</v>
      </c>
      <c r="F40" s="883"/>
      <c r="G40" s="883"/>
      <c r="H40" s="883"/>
      <c r="I40" s="883"/>
      <c r="L40" t="str">
        <f>"R_ES-SH-SD_"&amp;RIGHT(U23,3)&amp;"-HPG"</f>
        <v>R_ES-SH-SD_ELC-HPG</v>
      </c>
      <c r="M40" t="str">
        <f>"Residential boiler for sp heat - "&amp;$T$15&amp;" : "&amp;T23&amp;" Heat Pump Ground"</f>
        <v>Residential boiler for sp heat - Semi-detached house : Electricity Heat Pump Ground</v>
      </c>
      <c r="N40" t="s">
        <v>511</v>
      </c>
      <c r="O40" t="s">
        <v>694</v>
      </c>
      <c r="R40" t="s">
        <v>573</v>
      </c>
    </row>
    <row r="41" spans="2:18">
      <c r="B41" s="883"/>
      <c r="C41" s="883" t="s">
        <v>824</v>
      </c>
      <c r="D41" s="883" t="s">
        <v>839</v>
      </c>
      <c r="E41" s="883" t="s">
        <v>829</v>
      </c>
      <c r="F41" s="883"/>
      <c r="G41" s="883"/>
      <c r="H41" s="883"/>
      <c r="I41" s="883"/>
      <c r="L41" t="str">
        <f t="shared" ref="L41:L46" si="11">"R_ES-SH-SD_"&amp;RIGHT(U24,3)</f>
        <v>R_ES-SH-SD_GAS</v>
      </c>
      <c r="M41" t="str">
        <f t="shared" ref="M41:M46" si="12">"Residential boiler for sp heat - "&amp;$T$15&amp;" : "&amp;T24</f>
        <v>Residential boiler for sp heat - Semi-detached house : Gases</v>
      </c>
      <c r="N41" t="s">
        <v>511</v>
      </c>
      <c r="O41" t="s">
        <v>694</v>
      </c>
      <c r="R41" t="s">
        <v>573</v>
      </c>
    </row>
    <row r="42" spans="2:18">
      <c r="B42" s="883"/>
      <c r="C42" s="883" t="s">
        <v>825</v>
      </c>
      <c r="D42" s="883" t="s">
        <v>840</v>
      </c>
      <c r="E42" s="883" t="s">
        <v>830</v>
      </c>
      <c r="F42" s="883"/>
      <c r="G42" s="883"/>
      <c r="H42" s="883"/>
      <c r="I42" s="883"/>
      <c r="L42" t="str">
        <f t="shared" si="11"/>
        <v>R_ES-SH-SD_HET</v>
      </c>
      <c r="M42" t="str">
        <f t="shared" si="12"/>
        <v>Residential boiler for sp heat - Semi-detached house : Derived heat</v>
      </c>
      <c r="N42" t="s">
        <v>511</v>
      </c>
      <c r="O42" t="s">
        <v>694</v>
      </c>
      <c r="R42" t="s">
        <v>573</v>
      </c>
    </row>
    <row r="43" spans="2:18">
      <c r="B43" s="883"/>
      <c r="C43" s="883" t="s">
        <v>826</v>
      </c>
      <c r="D43" s="883" t="s">
        <v>841</v>
      </c>
      <c r="E43" s="883" t="s">
        <v>830</v>
      </c>
      <c r="F43" s="883"/>
      <c r="G43" s="883"/>
      <c r="H43" s="883"/>
      <c r="I43" s="883"/>
      <c r="L43" t="str">
        <f t="shared" si="11"/>
        <v>R_ES-SH-SD_OIL</v>
      </c>
      <c r="M43" t="str">
        <f t="shared" si="12"/>
        <v>Residential boiler for sp heat - Semi-detached house : GDO and other liquids (incl. liq. bio.)</v>
      </c>
      <c r="N43" t="s">
        <v>511</v>
      </c>
      <c r="O43" t="s">
        <v>694</v>
      </c>
      <c r="R43" t="s">
        <v>573</v>
      </c>
    </row>
    <row r="44" spans="2:18">
      <c r="B44" s="883" t="s">
        <v>583</v>
      </c>
      <c r="C44" s="883" t="s">
        <v>744</v>
      </c>
      <c r="D44" s="883" t="s">
        <v>842</v>
      </c>
      <c r="E44" s="883" t="s">
        <v>511</v>
      </c>
      <c r="F44" s="883"/>
      <c r="G44" s="883"/>
      <c r="H44" s="883"/>
      <c r="I44" s="883"/>
      <c r="L44" t="str">
        <f t="shared" si="11"/>
        <v>R_ES-SH-SD_BIO</v>
      </c>
      <c r="M44" t="str">
        <f t="shared" si="12"/>
        <v>Residential boiler for sp heat - Semi-detached house : Biomass and wastes</v>
      </c>
      <c r="N44" t="s">
        <v>511</v>
      </c>
      <c r="O44" t="s">
        <v>694</v>
      </c>
      <c r="R44" t="s">
        <v>573</v>
      </c>
    </row>
    <row r="45" spans="2:18">
      <c r="B45" s="883"/>
      <c r="C45" s="883" t="s">
        <v>799</v>
      </c>
      <c r="D45" s="883" t="s">
        <v>843</v>
      </c>
      <c r="E45" s="883" t="s">
        <v>511</v>
      </c>
      <c r="F45" s="883"/>
      <c r="G45" s="884" t="s">
        <v>848</v>
      </c>
      <c r="H45" s="883"/>
      <c r="I45" s="883"/>
      <c r="L45" t="str">
        <f t="shared" si="11"/>
        <v>R_ES-SH-SD_COA</v>
      </c>
      <c r="M45" t="str">
        <f t="shared" si="12"/>
        <v>Residential boiler for sp heat - Semi-detached house : Solids</v>
      </c>
      <c r="N45" t="s">
        <v>511</v>
      </c>
      <c r="O45" t="s">
        <v>694</v>
      </c>
      <c r="R45" t="s">
        <v>573</v>
      </c>
    </row>
    <row r="46" spans="2:18">
      <c r="B46" s="883"/>
      <c r="C46" s="885" t="str">
        <f>'TechHeat-RES'!E307</f>
        <v>R_ES-FL-SpHeat-I</v>
      </c>
      <c r="D46" s="885" t="str">
        <f>CONCATENATE(D22,"-Input to dwelling")</f>
        <v>Residential Energy Service for - Flat - Space heating-Input to dwelling</v>
      </c>
      <c r="E46" s="885" t="str">
        <f>E22</f>
        <v>PJ</v>
      </c>
      <c r="F46" s="883"/>
      <c r="G46" s="883"/>
      <c r="H46" s="883"/>
      <c r="I46" s="883"/>
      <c r="L46" t="str">
        <f t="shared" si="11"/>
        <v>R_ES-SH-SD_LPG</v>
      </c>
      <c r="M46" t="str">
        <f t="shared" si="12"/>
        <v>Residential boiler for sp heat - Semi-detached house : LPG</v>
      </c>
      <c r="N46" t="s">
        <v>511</v>
      </c>
      <c r="O46" t="s">
        <v>694</v>
      </c>
      <c r="R46" t="s">
        <v>573</v>
      </c>
    </row>
    <row r="47" spans="2:18">
      <c r="B47" s="883"/>
      <c r="C47" s="885" t="str">
        <f>'TechHeat-RES'!E308</f>
        <v>R_ES-DH-SpHeat-I</v>
      </c>
      <c r="D47" s="885" t="str">
        <f>CONCATENATE(D23,"-Input to dwelling")</f>
        <v>Residential Energy Service for - Detached house - Space heating-Input to dwelling</v>
      </c>
      <c r="E47" s="885" t="str">
        <f>E23</f>
        <v>PJ</v>
      </c>
      <c r="F47" s="883"/>
      <c r="G47" s="883"/>
      <c r="H47" s="883"/>
      <c r="I47" s="883"/>
      <c r="L47" t="str">
        <f>"R_ES-SH-SD_"&amp;RIGHT(U31,3)</f>
        <v>R_ES-SH-SD_GEO</v>
      </c>
      <c r="M47" t="str">
        <f>"Residential boiler for sp heat - "&amp;$T$15&amp;" : "&amp;T31</f>
        <v>Residential boiler for sp heat - Semi-detached house : Geothermal Energy</v>
      </c>
      <c r="N47" t="s">
        <v>511</v>
      </c>
      <c r="O47" t="s">
        <v>694</v>
      </c>
      <c r="R47" t="s">
        <v>573</v>
      </c>
    </row>
    <row r="48" spans="2:18">
      <c r="B48" s="883"/>
      <c r="C48" s="885" t="str">
        <f>'TechHeat-RES'!E309</f>
        <v>R_ES-SD-SpHeat-I</v>
      </c>
      <c r="D48" s="885" t="str">
        <f>CONCATENATE(D24,"-Input to dwelling")</f>
        <v>Residential Energy Service for - Semi-detached house - Space heating-Input to dwelling</v>
      </c>
      <c r="E48" s="885" t="str">
        <f>E24</f>
        <v>PJ</v>
      </c>
      <c r="F48" s="883"/>
      <c r="G48" s="883"/>
      <c r="H48" s="883"/>
      <c r="I48" s="883"/>
      <c r="L48" t="str">
        <f t="shared" ref="L48:L55" si="13">"R_ES-WH-FL_"&amp;RIGHT(U23,3)</f>
        <v>R_ES-WH-FL_ELC</v>
      </c>
      <c r="M48" t="str">
        <f t="shared" ref="M48:M55" si="14">"Residential boiler for water heat - "&amp;$T$11&amp;" : "&amp;T23</f>
        <v>Residential boiler for water heat - Flat : Electricity</v>
      </c>
      <c r="N48" t="s">
        <v>511</v>
      </c>
      <c r="O48" t="s">
        <v>694</v>
      </c>
      <c r="R48" t="s">
        <v>573</v>
      </c>
    </row>
    <row r="49" spans="12:18">
      <c r="L49" t="str">
        <f t="shared" si="13"/>
        <v>R_ES-WH-FL_GAS</v>
      </c>
      <c r="M49" t="str">
        <f t="shared" si="14"/>
        <v>Residential boiler for water heat - Flat : Gases</v>
      </c>
      <c r="N49" t="s">
        <v>511</v>
      </c>
      <c r="O49" t="s">
        <v>694</v>
      </c>
      <c r="R49" t="s">
        <v>573</v>
      </c>
    </row>
    <row r="50" spans="12:18">
      <c r="L50" t="str">
        <f t="shared" si="13"/>
        <v>R_ES-WH-FL_HET</v>
      </c>
      <c r="M50" t="str">
        <f t="shared" si="14"/>
        <v>Residential boiler for water heat - Flat : Derived heat</v>
      </c>
      <c r="N50" t="s">
        <v>511</v>
      </c>
      <c r="O50" t="s">
        <v>694</v>
      </c>
      <c r="R50" t="s">
        <v>573</v>
      </c>
    </row>
    <row r="51" spans="12:18">
      <c r="L51" t="str">
        <f t="shared" si="13"/>
        <v>R_ES-WH-FL_OIL</v>
      </c>
      <c r="M51" t="str">
        <f t="shared" si="14"/>
        <v>Residential boiler for water heat - Flat : GDO and other liquids (incl. liq. bio.)</v>
      </c>
      <c r="N51" t="s">
        <v>511</v>
      </c>
      <c r="O51" t="s">
        <v>694</v>
      </c>
      <c r="R51" t="s">
        <v>573</v>
      </c>
    </row>
    <row r="52" spans="12:18">
      <c r="L52" t="str">
        <f t="shared" si="13"/>
        <v>R_ES-WH-FL_BIO</v>
      </c>
      <c r="M52" t="str">
        <f t="shared" si="14"/>
        <v>Residential boiler for water heat - Flat : Biomass and wastes</v>
      </c>
      <c r="N52" t="s">
        <v>511</v>
      </c>
      <c r="O52" t="s">
        <v>694</v>
      </c>
      <c r="R52" t="s">
        <v>573</v>
      </c>
    </row>
    <row r="53" spans="12:18">
      <c r="L53" t="str">
        <f t="shared" si="13"/>
        <v>R_ES-WH-FL_COA</v>
      </c>
      <c r="M53" t="str">
        <f t="shared" si="14"/>
        <v>Residential boiler for water heat - Flat : Solids</v>
      </c>
      <c r="N53" t="s">
        <v>511</v>
      </c>
      <c r="O53" t="s">
        <v>694</v>
      </c>
      <c r="R53" t="s">
        <v>573</v>
      </c>
    </row>
    <row r="54" spans="12:18">
      <c r="L54" t="str">
        <f t="shared" si="13"/>
        <v>R_ES-WH-FL_LPG</v>
      </c>
      <c r="M54" t="str">
        <f t="shared" si="14"/>
        <v>Residential boiler for water heat - Flat : LPG</v>
      </c>
      <c r="N54" t="s">
        <v>511</v>
      </c>
      <c r="O54" t="s">
        <v>694</v>
      </c>
      <c r="R54" t="s">
        <v>573</v>
      </c>
    </row>
    <row r="55" spans="12:18">
      <c r="L55" t="str">
        <f t="shared" si="13"/>
        <v>R_ES-WH-FL_SOL</v>
      </c>
      <c r="M55" t="str">
        <f t="shared" si="14"/>
        <v>Residential boiler for water heat - Flat : Solar</v>
      </c>
      <c r="N55" t="s">
        <v>511</v>
      </c>
      <c r="O55" t="s">
        <v>694</v>
      </c>
      <c r="R55" t="s">
        <v>573</v>
      </c>
    </row>
    <row r="56" spans="12:18">
      <c r="L56" t="str">
        <f t="shared" ref="L56:L63" si="15">"R_ES-WH-DH_"&amp;RIGHT(U23,3)</f>
        <v>R_ES-WH-DH_ELC</v>
      </c>
      <c r="M56" t="str">
        <f t="shared" ref="M56:M63" si="16">"Residential boiler for water heat - "&amp;$T$12&amp;" : "&amp;T23</f>
        <v>Residential boiler for water heat - Detached house : Electricity</v>
      </c>
      <c r="N56" t="s">
        <v>511</v>
      </c>
      <c r="O56" t="s">
        <v>694</v>
      </c>
      <c r="R56" t="s">
        <v>573</v>
      </c>
    </row>
    <row r="57" spans="12:18">
      <c r="L57" t="str">
        <f t="shared" si="15"/>
        <v>R_ES-WH-DH_GAS</v>
      </c>
      <c r="M57" t="str">
        <f t="shared" si="16"/>
        <v>Residential boiler for water heat - Detached house : Gases</v>
      </c>
      <c r="N57" t="s">
        <v>511</v>
      </c>
      <c r="O57" t="s">
        <v>694</v>
      </c>
      <c r="R57" t="s">
        <v>573</v>
      </c>
    </row>
    <row r="58" spans="12:18">
      <c r="L58" t="str">
        <f t="shared" si="15"/>
        <v>R_ES-WH-DH_HET</v>
      </c>
      <c r="M58" t="str">
        <f t="shared" si="16"/>
        <v>Residential boiler for water heat - Detached house : Derived heat</v>
      </c>
      <c r="N58" t="s">
        <v>511</v>
      </c>
      <c r="O58" t="s">
        <v>694</v>
      </c>
      <c r="R58" t="s">
        <v>573</v>
      </c>
    </row>
    <row r="59" spans="12:18">
      <c r="L59" t="str">
        <f t="shared" si="15"/>
        <v>R_ES-WH-DH_OIL</v>
      </c>
      <c r="M59" t="str">
        <f t="shared" si="16"/>
        <v>Residential boiler for water heat - Detached house : GDO and other liquids (incl. liq. bio.)</v>
      </c>
      <c r="N59" t="s">
        <v>511</v>
      </c>
      <c r="O59" t="s">
        <v>694</v>
      </c>
      <c r="R59" t="s">
        <v>573</v>
      </c>
    </row>
    <row r="60" spans="12:18">
      <c r="L60" t="str">
        <f t="shared" si="15"/>
        <v>R_ES-WH-DH_BIO</v>
      </c>
      <c r="M60" t="str">
        <f t="shared" si="16"/>
        <v>Residential boiler for water heat - Detached house : Biomass and wastes</v>
      </c>
      <c r="N60" t="s">
        <v>511</v>
      </c>
      <c r="O60" t="s">
        <v>694</v>
      </c>
      <c r="R60" t="s">
        <v>573</v>
      </c>
    </row>
    <row r="61" spans="12:18">
      <c r="L61" t="str">
        <f t="shared" si="15"/>
        <v>R_ES-WH-DH_COA</v>
      </c>
      <c r="M61" t="str">
        <f t="shared" si="16"/>
        <v>Residential boiler for water heat - Detached house : Solids</v>
      </c>
      <c r="N61" t="s">
        <v>511</v>
      </c>
      <c r="O61" t="s">
        <v>694</v>
      </c>
      <c r="R61" t="s">
        <v>573</v>
      </c>
    </row>
    <row r="62" spans="12:18">
      <c r="L62" t="str">
        <f t="shared" si="15"/>
        <v>R_ES-WH-DH_LPG</v>
      </c>
      <c r="M62" t="str">
        <f t="shared" si="16"/>
        <v>Residential boiler for water heat - Detached house : LPG</v>
      </c>
      <c r="N62" t="s">
        <v>511</v>
      </c>
      <c r="O62" t="s">
        <v>694</v>
      </c>
      <c r="R62" t="s">
        <v>573</v>
      </c>
    </row>
    <row r="63" spans="12:18">
      <c r="L63" t="str">
        <f t="shared" si="15"/>
        <v>R_ES-WH-DH_SOL</v>
      </c>
      <c r="M63" t="str">
        <f t="shared" si="16"/>
        <v>Residential boiler for water heat - Detached house : Solar</v>
      </c>
      <c r="N63" t="s">
        <v>511</v>
      </c>
      <c r="O63" t="s">
        <v>694</v>
      </c>
      <c r="R63" t="s">
        <v>573</v>
      </c>
    </row>
    <row r="64" spans="12:18">
      <c r="L64" t="str">
        <f t="shared" ref="L64:L71" si="17">"R_ES-WH-SD_"&amp;RIGHT(U23,3)</f>
        <v>R_ES-WH-SD_ELC</v>
      </c>
      <c r="M64" t="str">
        <f t="shared" ref="M64:M71" si="18">"Residential boiler for water heat - "&amp;$T$15&amp;" : "&amp;T23</f>
        <v>Residential boiler for water heat - Semi-detached house : Electricity</v>
      </c>
      <c r="N64" t="s">
        <v>511</v>
      </c>
      <c r="O64" t="s">
        <v>694</v>
      </c>
      <c r="R64" t="s">
        <v>573</v>
      </c>
    </row>
    <row r="65" spans="12:18">
      <c r="L65" t="str">
        <f t="shared" si="17"/>
        <v>R_ES-WH-SD_GAS</v>
      </c>
      <c r="M65" t="str">
        <f t="shared" si="18"/>
        <v>Residential boiler for water heat - Semi-detached house : Gases</v>
      </c>
      <c r="N65" t="s">
        <v>511</v>
      </c>
      <c r="O65" t="s">
        <v>694</v>
      </c>
      <c r="R65" t="s">
        <v>573</v>
      </c>
    </row>
    <row r="66" spans="12:18">
      <c r="L66" t="str">
        <f t="shared" si="17"/>
        <v>R_ES-WH-SD_HET</v>
      </c>
      <c r="M66" t="str">
        <f t="shared" si="18"/>
        <v>Residential boiler for water heat - Semi-detached house : Derived heat</v>
      </c>
      <c r="N66" t="s">
        <v>511</v>
      </c>
      <c r="O66" t="s">
        <v>694</v>
      </c>
      <c r="R66" t="s">
        <v>573</v>
      </c>
    </row>
    <row r="67" spans="12:18">
      <c r="L67" t="str">
        <f t="shared" si="17"/>
        <v>R_ES-WH-SD_OIL</v>
      </c>
      <c r="M67" t="str">
        <f t="shared" si="18"/>
        <v>Residential boiler for water heat - Semi-detached house : GDO and other liquids (incl. liq. bio.)</v>
      </c>
      <c r="N67" t="s">
        <v>511</v>
      </c>
      <c r="O67" t="s">
        <v>694</v>
      </c>
      <c r="R67" t="s">
        <v>573</v>
      </c>
    </row>
    <row r="68" spans="12:18">
      <c r="L68" t="str">
        <f t="shared" si="17"/>
        <v>R_ES-WH-SD_BIO</v>
      </c>
      <c r="M68" t="str">
        <f t="shared" si="18"/>
        <v>Residential boiler for water heat - Semi-detached house : Biomass and wastes</v>
      </c>
      <c r="N68" t="s">
        <v>511</v>
      </c>
      <c r="O68" t="s">
        <v>694</v>
      </c>
      <c r="R68" t="s">
        <v>573</v>
      </c>
    </row>
    <row r="69" spans="12:18">
      <c r="L69" t="str">
        <f t="shared" si="17"/>
        <v>R_ES-WH-SD_COA</v>
      </c>
      <c r="M69" t="str">
        <f t="shared" si="18"/>
        <v>Residential boiler for water heat - Semi-detached house : Solids</v>
      </c>
      <c r="N69" t="s">
        <v>511</v>
      </c>
      <c r="O69" t="s">
        <v>694</v>
      </c>
      <c r="R69" t="s">
        <v>573</v>
      </c>
    </row>
    <row r="70" spans="12:18">
      <c r="L70" t="str">
        <f t="shared" si="17"/>
        <v>R_ES-WH-SD_LPG</v>
      </c>
      <c r="M70" t="str">
        <f t="shared" si="18"/>
        <v>Residential boiler for water heat - Semi-detached house : LPG</v>
      </c>
      <c r="N70" t="s">
        <v>511</v>
      </c>
      <c r="O70" t="s">
        <v>694</v>
      </c>
      <c r="R70" t="s">
        <v>573</v>
      </c>
    </row>
    <row r="71" spans="12:18">
      <c r="L71" t="str">
        <f t="shared" si="17"/>
        <v>R_ES-WH-SD_SOL</v>
      </c>
      <c r="M71" t="str">
        <f t="shared" si="18"/>
        <v>Residential boiler for water heat - Semi-detached house : Solar</v>
      </c>
      <c r="N71" t="s">
        <v>511</v>
      </c>
      <c r="O71" t="s">
        <v>694</v>
      </c>
      <c r="R71" t="s">
        <v>573</v>
      </c>
    </row>
    <row r="72" spans="12:18">
      <c r="L72" t="str">
        <f>"R_ES-SC-FL_"&amp;RIGHT(U23,3)</f>
        <v>R_ES-SC-FL_ELC</v>
      </c>
      <c r="M72" t="str">
        <f>"Residential boiler for sp cooling - "&amp;$T$11&amp;" : "&amp;T23</f>
        <v>Residential boiler for sp cooling - Flat : Electricity</v>
      </c>
      <c r="N72" t="s">
        <v>511</v>
      </c>
      <c r="O72" t="s">
        <v>694</v>
      </c>
      <c r="R72" t="s">
        <v>573</v>
      </c>
    </row>
    <row r="73" spans="12:18">
      <c r="L73" t="str">
        <f>"R_ES-SC-DH_"&amp;RIGHT(U23,3)</f>
        <v>R_ES-SC-DH_ELC</v>
      </c>
      <c r="M73" t="str">
        <f>"Residential boiler for sp cooling - "&amp;$T$12&amp;" : "&amp;T23</f>
        <v>Residential boiler for sp cooling - Detached house : Electricity</v>
      </c>
      <c r="N73" t="s">
        <v>511</v>
      </c>
      <c r="O73" t="s">
        <v>694</v>
      </c>
      <c r="R73" t="s">
        <v>573</v>
      </c>
    </row>
    <row r="74" spans="12:18">
      <c r="L74" t="str">
        <f>"R_ES-SC-SD_"&amp;RIGHT(U23,3)</f>
        <v>R_ES-SC-SD_ELC</v>
      </c>
      <c r="M74" t="str">
        <f>"Residential boiler for sp cooling - "&amp;$T$15&amp;" : "&amp;T23</f>
        <v>Residential boiler for sp cooling - Semi-detached house : Electricity</v>
      </c>
      <c r="N74" t="s">
        <v>511</v>
      </c>
      <c r="O74" t="s">
        <v>694</v>
      </c>
      <c r="R74" t="s">
        <v>573</v>
      </c>
    </row>
    <row r="75" spans="12:18">
      <c r="L75" t="str">
        <f>"R_ES-CK-FL_"&amp;RIGHT(U23,3)</f>
        <v>R_ES-CK-FL_ELC</v>
      </c>
      <c r="M75" t="str">
        <f>"Residential boiler for cooking - "&amp;$T$11&amp;" : "&amp;T23</f>
        <v>Residential boiler for cooking - Flat : Electricity</v>
      </c>
      <c r="N75" t="s">
        <v>511</v>
      </c>
      <c r="O75" t="s">
        <v>694</v>
      </c>
      <c r="R75" t="s">
        <v>573</v>
      </c>
    </row>
    <row r="76" spans="12:18">
      <c r="L76" t="str">
        <f>"R_ES-CK-FL_"&amp;RIGHT(U24,3)</f>
        <v>R_ES-CK-FL_GAS</v>
      </c>
      <c r="M76" t="str">
        <f>"Residential boiler for cooking - "&amp;$T$11&amp;" : "&amp;T24</f>
        <v>Residential boiler for cooking - Flat : Gases</v>
      </c>
      <c r="N76" t="s">
        <v>511</v>
      </c>
      <c r="O76" t="s">
        <v>694</v>
      </c>
      <c r="R76" t="s">
        <v>573</v>
      </c>
    </row>
    <row r="77" spans="12:18">
      <c r="L77" t="str">
        <f>"R_ES-CK-FL_"&amp;RIGHT(U27,3)</f>
        <v>R_ES-CK-FL_BIO</v>
      </c>
      <c r="M77" t="str">
        <f>"Residential boiler for cooking - "&amp;$T$11&amp;" : "&amp;T27</f>
        <v>Residential boiler for cooking - Flat : Biomass and wastes</v>
      </c>
      <c r="N77" t="s">
        <v>511</v>
      </c>
      <c r="O77" t="s">
        <v>694</v>
      </c>
      <c r="R77" t="s">
        <v>573</v>
      </c>
    </row>
    <row r="78" spans="12:18">
      <c r="L78" t="str">
        <f>"R_ES-CK-FL_"&amp;RIGHT(U28,3)</f>
        <v>R_ES-CK-FL_COA</v>
      </c>
      <c r="M78" t="str">
        <f>"Residential boiler for cooking - "&amp;$T$11&amp;" : "&amp;T28</f>
        <v>Residential boiler for cooking - Flat : Solids</v>
      </c>
      <c r="N78" t="s">
        <v>511</v>
      </c>
      <c r="O78" t="s">
        <v>694</v>
      </c>
      <c r="R78" t="s">
        <v>573</v>
      </c>
    </row>
    <row r="79" spans="12:18">
      <c r="L79" t="str">
        <f>"R_ES-CK-FL_"&amp;RIGHT(U29,3)</f>
        <v>R_ES-CK-FL_LPG</v>
      </c>
      <c r="M79" t="str">
        <f>"Residential boiler for cooking - "&amp;$T$11&amp;" : "&amp;T29</f>
        <v>Residential boiler for cooking - Flat : LPG</v>
      </c>
      <c r="N79" t="s">
        <v>511</v>
      </c>
      <c r="O79" t="s">
        <v>694</v>
      </c>
      <c r="R79" t="s">
        <v>573</v>
      </c>
    </row>
    <row r="80" spans="12:18">
      <c r="L80" t="str">
        <f>"R_ES-CK-DH_"&amp;RIGHT(U23,3)</f>
        <v>R_ES-CK-DH_ELC</v>
      </c>
      <c r="M80" t="str">
        <f>"Residential boiler for cooking - "&amp;$T$12&amp;" : "&amp;T23</f>
        <v>Residential boiler for cooking - Detached house : Electricity</v>
      </c>
      <c r="N80" t="s">
        <v>511</v>
      </c>
      <c r="O80" t="s">
        <v>571</v>
      </c>
      <c r="R80" t="s">
        <v>573</v>
      </c>
    </row>
    <row r="81" spans="11:18">
      <c r="L81" t="str">
        <f>"R_ES-CK-DH_"&amp;RIGHT(U24,3)</f>
        <v>R_ES-CK-DH_GAS</v>
      </c>
      <c r="M81" t="str">
        <f>"Residential boiler for cooking - "&amp;$T$12&amp;" : "&amp;T24</f>
        <v>Residential boiler for cooking - Detached house : Gases</v>
      </c>
      <c r="N81" t="s">
        <v>511</v>
      </c>
      <c r="O81" t="s">
        <v>571</v>
      </c>
      <c r="R81" t="s">
        <v>573</v>
      </c>
    </row>
    <row r="82" spans="11:18">
      <c r="L82" t="str">
        <f>"R_ES-CK-DH_"&amp;RIGHT(U27,3)</f>
        <v>R_ES-CK-DH_BIO</v>
      </c>
      <c r="M82" t="str">
        <f>"Residential boiler for cooking - "&amp;$T$12&amp;" : "&amp;T27</f>
        <v>Residential boiler for cooking - Detached house : Biomass and wastes</v>
      </c>
      <c r="N82" t="s">
        <v>511</v>
      </c>
      <c r="O82" t="s">
        <v>571</v>
      </c>
      <c r="R82" t="s">
        <v>573</v>
      </c>
    </row>
    <row r="83" spans="11:18">
      <c r="L83" t="str">
        <f>"R_ES-CK-DH_"&amp;RIGHT(U28,3)</f>
        <v>R_ES-CK-DH_COA</v>
      </c>
      <c r="M83" t="str">
        <f>"Residential boiler for cooking - "&amp;$T$12&amp;" : "&amp;T28</f>
        <v>Residential boiler for cooking - Detached house : Solids</v>
      </c>
      <c r="N83" t="s">
        <v>511</v>
      </c>
      <c r="O83" t="s">
        <v>571</v>
      </c>
      <c r="R83" t="s">
        <v>573</v>
      </c>
    </row>
    <row r="84" spans="11:18">
      <c r="L84" t="str">
        <f>"R_ES-CK-DH_"&amp;RIGHT(U29,3)</f>
        <v>R_ES-CK-DH_LPG</v>
      </c>
      <c r="M84" t="str">
        <f>"Residential boiler for cooking - "&amp;$T$12&amp;" : "&amp;T29</f>
        <v>Residential boiler for cooking - Detached house : LPG</v>
      </c>
      <c r="N84" t="s">
        <v>511</v>
      </c>
      <c r="O84" t="s">
        <v>571</v>
      </c>
      <c r="R84" t="s">
        <v>573</v>
      </c>
    </row>
    <row r="85" spans="11:18">
      <c r="L85" t="str">
        <f>"R_ES-CK-SD_"&amp;RIGHT(U23,3)</f>
        <v>R_ES-CK-SD_ELC</v>
      </c>
      <c r="M85" t="str">
        <f>"Residential boiler for cooking - "&amp;$T$15&amp;" : "&amp;T23</f>
        <v>Residential boiler for cooking - Semi-detached house : Electricity</v>
      </c>
      <c r="N85" t="s">
        <v>511</v>
      </c>
      <c r="O85" t="s">
        <v>571</v>
      </c>
      <c r="R85" t="s">
        <v>573</v>
      </c>
    </row>
    <row r="86" spans="11:18">
      <c r="L86" t="str">
        <f>"R_ES-CK-SD_"&amp;RIGHT(U24,3)</f>
        <v>R_ES-CK-SD_GAS</v>
      </c>
      <c r="M86" t="str">
        <f>"Residential boiler for cooking - "&amp;$T$15&amp;" : "&amp;T24</f>
        <v>Residential boiler for cooking - Semi-detached house : Gases</v>
      </c>
      <c r="N86" t="s">
        <v>511</v>
      </c>
      <c r="O86" t="s">
        <v>571</v>
      </c>
      <c r="R86" t="s">
        <v>573</v>
      </c>
    </row>
    <row r="87" spans="11:18">
      <c r="L87" t="str">
        <f>"R_ES-CK-SD_"&amp;RIGHT(U27,3)</f>
        <v>R_ES-CK-SD_BIO</v>
      </c>
      <c r="M87" t="str">
        <f>"Residential boiler for cooking - "&amp;$T$15&amp;" : "&amp;T27</f>
        <v>Residential boiler for cooking - Semi-detached house : Biomass and wastes</v>
      </c>
      <c r="N87" t="s">
        <v>511</v>
      </c>
      <c r="O87" t="s">
        <v>571</v>
      </c>
      <c r="R87" t="s">
        <v>573</v>
      </c>
    </row>
    <row r="88" spans="11:18">
      <c r="L88" t="str">
        <f>"R_ES-CK-SD_"&amp;RIGHT(U28,3)</f>
        <v>R_ES-CK-SD_COA</v>
      </c>
      <c r="M88" t="str">
        <f>"Residential boiler for cooking - "&amp;$T$15&amp;" : "&amp;T28</f>
        <v>Residential boiler for cooking - Semi-detached house : Solids</v>
      </c>
      <c r="N88" t="s">
        <v>511</v>
      </c>
      <c r="O88" t="s">
        <v>571</v>
      </c>
      <c r="R88" t="s">
        <v>573</v>
      </c>
    </row>
    <row r="89" spans="11:18">
      <c r="L89" t="str">
        <f>"R_ES-CK-SD_"&amp;RIGHT(U29,3)</f>
        <v>R_ES-CK-SD_LPG</v>
      </c>
      <c r="M89" t="str">
        <f>"Residential boiler for cooking - "&amp;$T$15&amp;" : "&amp;T29</f>
        <v>Residential boiler for cooking - Semi-detached house : LPG</v>
      </c>
      <c r="N89" t="s">
        <v>511</v>
      </c>
      <c r="O89" t="s">
        <v>571</v>
      </c>
      <c r="R89" t="s">
        <v>573</v>
      </c>
    </row>
    <row r="90" spans="11:18">
      <c r="L90" t="str">
        <f>'TechELC-RES'!C4</f>
        <v>RLIGELC00</v>
      </c>
      <c r="M90" t="str">
        <f t="shared" ref="M90:M95" si="19">"Residential techs- "&amp;X15</f>
        <v>Residential techs- Lighting</v>
      </c>
      <c r="N90" t="s">
        <v>882</v>
      </c>
      <c r="O90" t="str">
        <f>N90&amp;"-y"</f>
        <v>M_appliances-y</v>
      </c>
    </row>
    <row r="91" spans="11:18">
      <c r="L91" t="str">
        <f>'TechELC-RES'!C21</f>
        <v>RREFELC00</v>
      </c>
      <c r="M91" t="str">
        <f t="shared" si="19"/>
        <v>Residential techs- Refrigerators and freezers</v>
      </c>
      <c r="N91" t="s">
        <v>882</v>
      </c>
      <c r="O91" t="str">
        <f t="shared" ref="O91:O95" si="20">N91&amp;"-y"</f>
        <v>M_appliances-y</v>
      </c>
    </row>
    <row r="92" spans="11:18">
      <c r="K92" t="s">
        <v>570</v>
      </c>
      <c r="L92" t="str">
        <f>'TechELC-RES'!C38</f>
        <v>RCWAELC00</v>
      </c>
      <c r="M92" t="str">
        <f t="shared" si="19"/>
        <v>Residential techs- Washing machine</v>
      </c>
      <c r="N92" t="s">
        <v>882</v>
      </c>
      <c r="O92" t="str">
        <f t="shared" si="20"/>
        <v>M_appliances-y</v>
      </c>
    </row>
    <row r="93" spans="11:18">
      <c r="L93" t="str">
        <f>'TechELC-RES'!C55</f>
        <v>RCDRELC00</v>
      </c>
      <c r="M93" t="str">
        <f t="shared" si="19"/>
        <v>Residential techs- Clothes dryer</v>
      </c>
      <c r="N93" t="s">
        <v>882</v>
      </c>
      <c r="O93" t="str">
        <f t="shared" si="20"/>
        <v>M_appliances-y</v>
      </c>
    </row>
    <row r="94" spans="11:18">
      <c r="L94" t="str">
        <f>'TechELC-RES'!C72</f>
        <v>RDWAELC00</v>
      </c>
      <c r="M94" t="str">
        <f t="shared" si="19"/>
        <v>Residential techs- Dishwasher</v>
      </c>
      <c r="N94" t="s">
        <v>882</v>
      </c>
      <c r="O94" t="str">
        <f t="shared" si="20"/>
        <v>M_appliances-y</v>
      </c>
    </row>
    <row r="95" spans="11:18">
      <c r="L95" t="str">
        <f>'TechELC-RES'!C89</f>
        <v>ROELELC00</v>
      </c>
      <c r="M95" t="str">
        <f t="shared" si="19"/>
        <v>Residential techs- Other ELC</v>
      </c>
      <c r="N95" t="s">
        <v>882</v>
      </c>
      <c r="O95" t="str">
        <f t="shared" si="20"/>
        <v>M_appliances-y</v>
      </c>
    </row>
    <row r="96" spans="11:18">
      <c r="L96" s="690" t="str">
        <f>RES_Fuel!F6</f>
        <v>RSDCOA00</v>
      </c>
      <c r="M96" s="690" t="s">
        <v>764</v>
      </c>
      <c r="N96" t="s">
        <v>511</v>
      </c>
      <c r="O96" t="s">
        <v>846</v>
      </c>
    </row>
    <row r="97" spans="11:16">
      <c r="L97" s="690" t="str">
        <f>RES_Fuel!F7</f>
        <v>RSDLPG00</v>
      </c>
      <c r="M97" s="690" t="s">
        <v>766</v>
      </c>
      <c r="N97" t="s">
        <v>511</v>
      </c>
      <c r="O97" t="s">
        <v>846</v>
      </c>
    </row>
    <row r="98" spans="11:16">
      <c r="K98" t="s">
        <v>597</v>
      </c>
      <c r="L98" s="690" t="str">
        <f>RES_Fuel!F8</f>
        <v>RSDOIL00</v>
      </c>
      <c r="M98" s="690" t="s">
        <v>768</v>
      </c>
      <c r="N98" t="s">
        <v>511</v>
      </c>
      <c r="O98" t="s">
        <v>846</v>
      </c>
    </row>
    <row r="99" spans="11:16">
      <c r="L99" s="690" t="str">
        <f>RES_Fuel!F9</f>
        <v>RSDGAS00</v>
      </c>
      <c r="M99" s="690" t="s">
        <v>770</v>
      </c>
      <c r="N99" t="s">
        <v>511</v>
      </c>
      <c r="O99" t="s">
        <v>846</v>
      </c>
      <c r="P99" t="s">
        <v>847</v>
      </c>
    </row>
    <row r="100" spans="11:16">
      <c r="L100" s="690" t="str">
        <f>RES_Fuel!F10</f>
        <v>RSDBIO00</v>
      </c>
      <c r="M100" s="690" t="s">
        <v>772</v>
      </c>
      <c r="N100" t="s">
        <v>511</v>
      </c>
      <c r="O100" t="s">
        <v>846</v>
      </c>
    </row>
    <row r="101" spans="11:16">
      <c r="L101" s="690" t="str">
        <f>RES_Fuel!F11</f>
        <v>RSDSOL00</v>
      </c>
      <c r="M101" s="690" t="s">
        <v>774</v>
      </c>
      <c r="N101" t="s">
        <v>511</v>
      </c>
      <c r="O101" t="s">
        <v>846</v>
      </c>
    </row>
    <row r="102" spans="11:16">
      <c r="L102" s="690" t="str">
        <f>RES_Fuel!F12</f>
        <v>RSDGEO00</v>
      </c>
      <c r="M102" s="690" t="s">
        <v>776</v>
      </c>
      <c r="N102" t="s">
        <v>511</v>
      </c>
      <c r="O102" t="s">
        <v>846</v>
      </c>
    </row>
    <row r="103" spans="11:16">
      <c r="L103" s="690" t="str">
        <f>RES_Fuel!F72</f>
        <v>RSDCOA01</v>
      </c>
      <c r="M103" s="690" t="s">
        <v>779</v>
      </c>
      <c r="N103" t="s">
        <v>511</v>
      </c>
      <c r="O103" t="s">
        <v>846</v>
      </c>
    </row>
    <row r="104" spans="11:16">
      <c r="L104" s="690" t="str">
        <f>RES_Fuel!F73</f>
        <v>RSDLPG01</v>
      </c>
      <c r="M104" s="690" t="s">
        <v>780</v>
      </c>
      <c r="N104" t="s">
        <v>511</v>
      </c>
      <c r="O104" t="s">
        <v>846</v>
      </c>
    </row>
    <row r="105" spans="11:16">
      <c r="L105" s="690" t="str">
        <f>RES_Fuel!F74</f>
        <v>RSDOIL01</v>
      </c>
      <c r="M105" s="690" t="s">
        <v>782</v>
      </c>
      <c r="N105" t="s">
        <v>511</v>
      </c>
      <c r="O105" t="s">
        <v>846</v>
      </c>
    </row>
    <row r="106" spans="11:16">
      <c r="L106" s="690" t="str">
        <f>RES_Fuel!F75</f>
        <v>RSDGAS01</v>
      </c>
      <c r="M106" s="690" t="s">
        <v>784</v>
      </c>
      <c r="N106" t="s">
        <v>511</v>
      </c>
      <c r="O106" t="s">
        <v>846</v>
      </c>
      <c r="P106" t="s">
        <v>847</v>
      </c>
    </row>
    <row r="107" spans="11:16">
      <c r="L107" s="690" t="str">
        <f>RES_Fuel!F76</f>
        <v>RSDBIO01</v>
      </c>
      <c r="M107" s="690" t="s">
        <v>786</v>
      </c>
      <c r="N107" t="s">
        <v>511</v>
      </c>
      <c r="O107" t="s">
        <v>846</v>
      </c>
    </row>
    <row r="108" spans="11:16">
      <c r="L108" s="690" t="str">
        <f>RES_Fuel!F77</f>
        <v>RSDSOL01</v>
      </c>
      <c r="M108" s="690" t="s">
        <v>788</v>
      </c>
      <c r="N108" t="s">
        <v>511</v>
      </c>
      <c r="O108" t="s">
        <v>846</v>
      </c>
    </row>
    <row r="109" spans="11:16">
      <c r="L109" s="690" t="str">
        <f>RES_Fuel!F78</f>
        <v>RSDGEO01</v>
      </c>
      <c r="M109" s="690" t="s">
        <v>790</v>
      </c>
      <c r="N109" t="s">
        <v>511</v>
      </c>
      <c r="O109" t="s">
        <v>846</v>
      </c>
    </row>
    <row r="110" spans="11:16">
      <c r="L110" t="str">
        <f>RES_Fuel!F139</f>
        <v>RSDELC00</v>
      </c>
      <c r="M110" s="690" t="s">
        <v>851</v>
      </c>
      <c r="N110" t="s">
        <v>511</v>
      </c>
      <c r="O110" s="207" t="s">
        <v>694</v>
      </c>
      <c r="P110" t="s">
        <v>848</v>
      </c>
    </row>
    <row r="111" spans="11:16">
      <c r="L111" t="str">
        <f>RES_Fuel!F163</f>
        <v>RSDHET00</v>
      </c>
      <c r="M111" s="690" t="s">
        <v>852</v>
      </c>
      <c r="N111" t="s">
        <v>511</v>
      </c>
      <c r="O111" s="207" t="s">
        <v>694</v>
      </c>
      <c r="P111" t="s">
        <v>847</v>
      </c>
    </row>
    <row r="112" spans="11:16">
      <c r="L112" t="str">
        <f>RES_Fuel!F216</f>
        <v>RSDHTH01</v>
      </c>
      <c r="M112" s="690" t="s">
        <v>865</v>
      </c>
      <c r="N112" t="s">
        <v>511</v>
      </c>
      <c r="O112" s="207" t="s">
        <v>694</v>
      </c>
      <c r="P112" t="s">
        <v>847</v>
      </c>
    </row>
    <row r="113" spans="12:16">
      <c r="L113" t="str">
        <f>RES_Fuel!F290</f>
        <v>RSDCOO100</v>
      </c>
      <c r="M113" t="s">
        <v>866</v>
      </c>
      <c r="N113" t="s">
        <v>511</v>
      </c>
      <c r="O113" s="207" t="s">
        <v>694</v>
      </c>
    </row>
    <row r="114" spans="12:16">
      <c r="L114" t="str">
        <f>RES_Fuel!F353</f>
        <v>RSDCOO200</v>
      </c>
      <c r="M114" t="s">
        <v>867</v>
      </c>
      <c r="N114" t="s">
        <v>511</v>
      </c>
      <c r="O114" s="207" t="s">
        <v>694</v>
      </c>
    </row>
    <row r="115" spans="12:16">
      <c r="L115" s="207" t="str">
        <f>'TechHeat-RES'!C307</f>
        <v>Adj_FL-SpHeat</v>
      </c>
      <c r="M115" s="207" t="str">
        <f>CONCATENATE("Adjustment of HDD_",RIGHT(L115,9))</f>
        <v>Adjustment of HDD_FL-SpHeat</v>
      </c>
      <c r="N115" s="207" t="s">
        <v>511</v>
      </c>
      <c r="O115" s="207" t="s">
        <v>846</v>
      </c>
      <c r="P115" s="207"/>
    </row>
    <row r="116" spans="12:16">
      <c r="L116" s="207" t="str">
        <f>'TechHeat-RES'!C308</f>
        <v>Adj_DH-SpHeat</v>
      </c>
      <c r="M116" s="207" t="str">
        <f>CONCATENATE("Adjustment of HDD_",RIGHT(L116,9))</f>
        <v>Adjustment of HDD_DH-SpHeat</v>
      </c>
      <c r="N116" s="207" t="s">
        <v>511</v>
      </c>
      <c r="O116" s="207" t="s">
        <v>846</v>
      </c>
      <c r="P116" s="207"/>
    </row>
    <row r="117" spans="12:16">
      <c r="L117" s="207" t="str">
        <f>'TechHeat-RES'!C309</f>
        <v>Adj_SD-SpHeat</v>
      </c>
      <c r="M117" s="207" t="str">
        <f>CONCATENATE("Adjustment of HDD_",RIGHT(L117,9))</f>
        <v>Adjustment of HDD_SD-SpHeat</v>
      </c>
      <c r="N117" s="207" t="s">
        <v>511</v>
      </c>
      <c r="O117" s="207" t="s">
        <v>846</v>
      </c>
      <c r="P117" s="207"/>
    </row>
    <row r="118" spans="12:16">
      <c r="L118" s="207" t="s">
        <v>895</v>
      </c>
      <c r="M118" s="207" t="s">
        <v>896</v>
      </c>
      <c r="N118" s="207" t="s">
        <v>511</v>
      </c>
      <c r="O118" s="207" t="s">
        <v>846</v>
      </c>
    </row>
    <row r="119" spans="12:16">
      <c r="L119" s="207"/>
      <c r="M119" s="207"/>
      <c r="N119" s="207"/>
      <c r="O119" s="207"/>
    </row>
    <row r="120" spans="12:16">
      <c r="L120" s="207"/>
      <c r="M120" s="207"/>
      <c r="N120" s="207"/>
      <c r="O120" s="207"/>
    </row>
  </sheetData>
  <sortState xmlns:xlrd2="http://schemas.microsoft.com/office/spreadsheetml/2017/richdata2" ref="T15:T36">
    <sortCondition ref="T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8"/>
  </sheetPr>
  <dimension ref="A1:AV144"/>
  <sheetViews>
    <sheetView topLeftCell="C1" zoomScale="85" zoomScaleNormal="85" workbookViewId="0">
      <selection activeCell="H57" sqref="H57"/>
    </sheetView>
  </sheetViews>
  <sheetFormatPr defaultColWidth="13.5546875" defaultRowHeight="14.4"/>
  <cols>
    <col min="1" max="1" width="5.44140625" style="2" customWidth="1"/>
    <col min="2" max="2" width="13.5546875" style="2"/>
    <col min="3" max="3" width="17.6640625" style="2" bestFit="1" customWidth="1"/>
    <col min="4" max="4" width="13.88671875" style="2" customWidth="1"/>
    <col min="5" max="5" width="11.109375" style="2" bestFit="1" customWidth="1"/>
    <col min="6" max="6" width="9.6640625" style="2" bestFit="1" customWidth="1"/>
    <col min="7" max="44" width="9.5546875" style="2" customWidth="1"/>
    <col min="45" max="45" width="8.44140625" style="2" bestFit="1" customWidth="1"/>
    <col min="46" max="16384" width="13.5546875" style="2"/>
  </cols>
  <sheetData>
    <row r="1" spans="1:40" ht="21">
      <c r="A1" s="3" t="s">
        <v>166</v>
      </c>
      <c r="B1" s="3"/>
      <c r="C1" s="3"/>
      <c r="M1" s="3" t="s">
        <v>430</v>
      </c>
    </row>
    <row r="2" spans="1:40">
      <c r="A2" s="2" t="s">
        <v>167</v>
      </c>
      <c r="O2" s="889" t="str">
        <f>E3</f>
        <v>&lt; 1945</v>
      </c>
      <c r="P2" s="889"/>
      <c r="Q2" s="889"/>
      <c r="R2" s="889" t="str">
        <f>F3</f>
        <v>1945-1969</v>
      </c>
      <c r="S2" s="889"/>
      <c r="T2" s="889"/>
      <c r="U2" s="889" t="str">
        <f>G3</f>
        <v>1970-1979</v>
      </c>
      <c r="V2" s="889"/>
      <c r="W2" s="889"/>
      <c r="X2" s="889" t="str">
        <f>H3</f>
        <v>1980-1989</v>
      </c>
      <c r="Y2" s="889"/>
      <c r="Z2" s="889"/>
      <c r="AA2" s="889" t="str">
        <f>I3</f>
        <v>1990-1999</v>
      </c>
      <c r="AB2" s="889"/>
      <c r="AC2" s="889"/>
      <c r="AD2" s="889" t="str">
        <f>J3</f>
        <v>2000-2008</v>
      </c>
      <c r="AE2" s="889"/>
      <c r="AF2" s="889"/>
      <c r="AG2" s="163"/>
      <c r="AI2" s="2" t="s">
        <v>525</v>
      </c>
    </row>
    <row r="3" spans="1:40" ht="45" customHeight="1">
      <c r="A3" s="85" t="s">
        <v>192</v>
      </c>
      <c r="B3" s="85" t="s">
        <v>165</v>
      </c>
      <c r="C3" s="85" t="s">
        <v>0</v>
      </c>
      <c r="D3" s="85" t="s">
        <v>1</v>
      </c>
      <c r="E3" s="38" t="s">
        <v>2</v>
      </c>
      <c r="F3" s="39" t="s">
        <v>3</v>
      </c>
      <c r="G3" s="39" t="s">
        <v>4</v>
      </c>
      <c r="H3" s="39" t="s">
        <v>5</v>
      </c>
      <c r="I3" s="39" t="s">
        <v>6</v>
      </c>
      <c r="J3" s="40" t="s">
        <v>7</v>
      </c>
      <c r="K3" s="37" t="s">
        <v>163</v>
      </c>
      <c r="M3" s="473" t="s">
        <v>165</v>
      </c>
      <c r="N3" s="330" t="s">
        <v>1</v>
      </c>
      <c r="O3" s="36" t="str">
        <f>'Data by dwelling type'!H3</f>
        <v>Flat</v>
      </c>
      <c r="P3" s="36" t="str">
        <f>'Data by dwelling type'!I3</f>
        <v>Detached house</v>
      </c>
      <c r="Q3" s="36" t="str">
        <f>'Data by dwelling type'!J3</f>
        <v>Semi-detached house</v>
      </c>
      <c r="R3" s="36" t="str">
        <f t="shared" ref="R3:AF3" si="0">O3</f>
        <v>Flat</v>
      </c>
      <c r="S3" s="36" t="str">
        <f t="shared" si="0"/>
        <v>Detached house</v>
      </c>
      <c r="T3" s="36" t="str">
        <f t="shared" si="0"/>
        <v>Semi-detached house</v>
      </c>
      <c r="U3" s="36" t="str">
        <f t="shared" si="0"/>
        <v>Flat</v>
      </c>
      <c r="V3" s="36" t="str">
        <f t="shared" si="0"/>
        <v>Detached house</v>
      </c>
      <c r="W3" s="36" t="str">
        <f t="shared" si="0"/>
        <v>Semi-detached house</v>
      </c>
      <c r="X3" s="36" t="str">
        <f t="shared" si="0"/>
        <v>Flat</v>
      </c>
      <c r="Y3" s="36" t="str">
        <f t="shared" si="0"/>
        <v>Detached house</v>
      </c>
      <c r="Z3" s="36" t="str">
        <f t="shared" si="0"/>
        <v>Semi-detached house</v>
      </c>
      <c r="AA3" s="36" t="str">
        <f t="shared" si="0"/>
        <v>Flat</v>
      </c>
      <c r="AB3" s="36" t="str">
        <f t="shared" si="0"/>
        <v>Detached house</v>
      </c>
      <c r="AC3" s="36" t="str">
        <f t="shared" si="0"/>
        <v>Semi-detached house</v>
      </c>
      <c r="AD3" s="36" t="str">
        <f t="shared" si="0"/>
        <v>Flat</v>
      </c>
      <c r="AE3" s="36" t="str">
        <f t="shared" si="0"/>
        <v>Detached house</v>
      </c>
      <c r="AF3" s="36" t="str">
        <f t="shared" si="0"/>
        <v>Semi-detached house</v>
      </c>
      <c r="AG3" s="163"/>
      <c r="AI3" s="36" t="s">
        <v>58</v>
      </c>
      <c r="AJ3" s="36" t="s">
        <v>59</v>
      </c>
      <c r="AK3" s="36" t="s">
        <v>60</v>
      </c>
      <c r="AL3" s="2" t="s">
        <v>872</v>
      </c>
    </row>
    <row r="4" spans="1:40">
      <c r="A4" s="94" t="s">
        <v>116</v>
      </c>
      <c r="B4" s="94" t="s">
        <v>200</v>
      </c>
      <c r="C4" s="94" t="s">
        <v>505</v>
      </c>
      <c r="D4" s="94" t="s">
        <v>164</v>
      </c>
      <c r="E4" s="208">
        <f>$K$4*(E15/$K$15)</f>
        <v>88.574382303547154</v>
      </c>
      <c r="F4" s="209">
        <f t="shared" ref="F4:J4" si="1">$K$4*(F15/$K$15)</f>
        <v>322.35404257049822</v>
      </c>
      <c r="G4" s="209">
        <f t="shared" si="1"/>
        <v>256.85699944073349</v>
      </c>
      <c r="H4" s="209">
        <f t="shared" si="1"/>
        <v>196.62105138558891</v>
      </c>
      <c r="I4" s="209">
        <f t="shared" si="1"/>
        <v>132.27652330489556</v>
      </c>
      <c r="J4" s="210">
        <f t="shared" si="1"/>
        <v>67.363711120489029</v>
      </c>
      <c r="K4" s="213">
        <f>Population!E48/(Population!$E$49/'Dwelling stock'!$K$36)</f>
        <v>1064.0467101257525</v>
      </c>
      <c r="L4" s="472"/>
      <c r="M4" s="100" t="s">
        <v>200</v>
      </c>
      <c r="N4" s="100" t="s">
        <v>164</v>
      </c>
      <c r="O4" s="781">
        <f>E4*'Data by dwelling type'!AA4</f>
        <v>52.739168560647769</v>
      </c>
      <c r="P4" s="782">
        <f>E4*'Data by dwelling type'!AB4</f>
        <v>22.891748480538716</v>
      </c>
      <c r="Q4" s="783">
        <f>E4*'Data by dwelling type'!AC4</f>
        <v>12.943465262360681</v>
      </c>
      <c r="R4" s="781">
        <f>F4*'Data by dwelling type'!AA4</f>
        <v>191.93680774504145</v>
      </c>
      <c r="S4" s="782">
        <f>F4*'Data by dwelling type'!AB4</f>
        <v>83.311308216858961</v>
      </c>
      <c r="T4" s="783">
        <f>F4*'Data by dwelling type'!AC4</f>
        <v>47.105926608597841</v>
      </c>
      <c r="U4" s="781">
        <f>G4*'Data by dwelling type'!AA4</f>
        <v>152.9384031498299</v>
      </c>
      <c r="V4" s="782">
        <f>G4*'Data by dwelling type'!AB4</f>
        <v>66.383819720159323</v>
      </c>
      <c r="W4" s="783">
        <f>G4*'Data by dwelling type'!AC4</f>
        <v>37.534776570744306</v>
      </c>
      <c r="X4" s="781">
        <f>H4*'Data by dwelling type'!AA4</f>
        <v>117.07257224847828</v>
      </c>
      <c r="Y4" s="782">
        <f>H4*'Data by dwelling type'!AB4</f>
        <v>50.816043389079638</v>
      </c>
      <c r="Z4" s="783">
        <f>H4*'Data by dwelling type'!AC4</f>
        <v>28.732435748031019</v>
      </c>
      <c r="AA4" s="782">
        <f>I4*'Data by dwelling type'!AA4</f>
        <v>78.760400894311005</v>
      </c>
      <c r="AB4" s="782">
        <f>I4*'Data by dwelling type'!AB4</f>
        <v>34.186418495119696</v>
      </c>
      <c r="AC4" s="783">
        <f>I4*'Data by dwelling type'!AC4</f>
        <v>19.329703915464879</v>
      </c>
      <c r="AD4" s="782">
        <f>J4*'Data by dwelling type'!AA4</f>
        <v>40.109860472738262</v>
      </c>
      <c r="AE4" s="782">
        <f>J4*'Data by dwelling type'!AB4</f>
        <v>17.409922503339299</v>
      </c>
      <c r="AF4" s="783">
        <f>J4*'Data by dwelling type'!AC4</f>
        <v>9.8439281444114766</v>
      </c>
      <c r="AI4" s="480">
        <f>O4+R4+U4+X4+AA4+AD4</f>
        <v>633.55721307104682</v>
      </c>
      <c r="AJ4" s="480">
        <f t="shared" ref="AJ4:AK4" si="2">P4+S4+V4+Y4+AB4+AE4</f>
        <v>274.99926080509567</v>
      </c>
      <c r="AK4" s="480">
        <f t="shared" si="2"/>
        <v>155.49023624961021</v>
      </c>
      <c r="AL4" s="480">
        <f>AI4-'Data by dwelling type'!W4</f>
        <v>0</v>
      </c>
      <c r="AM4" s="480">
        <f>AJ4-'Data by dwelling type'!Y4</f>
        <v>0</v>
      </c>
      <c r="AN4" s="480">
        <f>AK4-'Data by dwelling type'!Z4</f>
        <v>0</v>
      </c>
    </row>
    <row r="5" spans="1:40">
      <c r="A5" s="48" t="s">
        <v>88</v>
      </c>
      <c r="B5" s="48" t="s">
        <v>8</v>
      </c>
      <c r="C5" s="48" t="s">
        <v>57</v>
      </c>
      <c r="D5" s="48" t="s">
        <v>164</v>
      </c>
      <c r="E5" s="211">
        <v>858.82292900000004</v>
      </c>
      <c r="F5" s="212">
        <v>1036.1924670000001</v>
      </c>
      <c r="G5" s="212">
        <v>533.14751799999999</v>
      </c>
      <c r="H5" s="212">
        <v>423.02084500000001</v>
      </c>
      <c r="I5" s="212">
        <v>504.88341100000002</v>
      </c>
      <c r="J5" s="101">
        <v>206.42194699999999</v>
      </c>
      <c r="K5" s="101">
        <f>SUM(E5:J5)</f>
        <v>3562.4891170000001</v>
      </c>
      <c r="L5" s="472"/>
      <c r="M5" s="44" t="s">
        <v>8</v>
      </c>
      <c r="N5" s="44" t="s">
        <v>164</v>
      </c>
      <c r="O5" s="109">
        <f>E5*'Data by dwelling type'!AA5</f>
        <v>426.88055213555992</v>
      </c>
      <c r="P5" s="480">
        <f>E5*'Data by dwelling type'!AB5</f>
        <v>295.16062419070067</v>
      </c>
      <c r="Q5" s="110">
        <f>E5*'Data by dwelling type'!AC5</f>
        <v>136.78175267373942</v>
      </c>
      <c r="R5" s="109">
        <f>F5*'Data by dwelling type'!AA5</f>
        <v>515.04262112180743</v>
      </c>
      <c r="S5" s="480">
        <f>F5*'Data by dwelling type'!AB5</f>
        <v>356.11906135009821</v>
      </c>
      <c r="T5" s="110">
        <f>F5*'Data by dwelling type'!AC5</f>
        <v>165.03078452809439</v>
      </c>
      <c r="U5" s="109">
        <f>G5*'Data by dwelling type'!AA5</f>
        <v>265.00259735559922</v>
      </c>
      <c r="V5" s="480">
        <f>G5*'Data by dwelling type'!AB5</f>
        <v>183.23236244034049</v>
      </c>
      <c r="W5" s="110">
        <f>G5*'Data by dwelling type'!AC5</f>
        <v>84.912558204060275</v>
      </c>
      <c r="X5" s="109">
        <f>H5*'Data by dwelling type'!AA5</f>
        <v>210.26379918467583</v>
      </c>
      <c r="Y5" s="480">
        <f>H5*'Data by dwelling type'!AB5</f>
        <v>145.38398130713816</v>
      </c>
      <c r="Z5" s="110">
        <f>H5*'Data by dwelling type'!AC5</f>
        <v>67.373064508186019</v>
      </c>
      <c r="AA5" s="480">
        <f>I5*'Data by dwelling type'!AA5</f>
        <v>250.95383690176817</v>
      </c>
      <c r="AB5" s="480">
        <f>I5*'Data by dwelling type'!AB5</f>
        <v>173.51854230045839</v>
      </c>
      <c r="AC5" s="110">
        <f>I5*'Data by dwelling type'!AC5</f>
        <v>80.411031797773447</v>
      </c>
      <c r="AD5" s="480">
        <f>J5*'Data by dwelling type'!AA5</f>
        <v>102.6026573497053</v>
      </c>
      <c r="AE5" s="480">
        <f>J5*'Data by dwelling type'!AB5</f>
        <v>70.943181261034695</v>
      </c>
      <c r="AF5" s="110">
        <f>J5*'Data by dwelling type'!AC5</f>
        <v>32.876108389259997</v>
      </c>
      <c r="AI5" s="480">
        <f t="shared" ref="AI5:AI40" si="3">O5+R5+U5+X5+AA5+AD5</f>
        <v>1770.7460640491161</v>
      </c>
      <c r="AJ5" s="480">
        <f t="shared" ref="AJ5:AJ40" si="4">P5+S5+V5+Y5+AB5+AE5</f>
        <v>1224.3577528497706</v>
      </c>
      <c r="AK5" s="480">
        <f t="shared" ref="AK5:AK40" si="5">Q5+T5+W5+Z5+AC5+AF5</f>
        <v>567.38530010111356</v>
      </c>
      <c r="AL5" s="480">
        <f>AI5-'Data by dwelling type'!W5</f>
        <v>-0.2539359508839425</v>
      </c>
      <c r="AM5" s="480">
        <f>AJ5-'Data by dwelling type'!Y5</f>
        <v>-0.17558048356249856</v>
      </c>
      <c r="AN5" s="480">
        <f>AK5-'Data by dwelling type'!Z5</f>
        <v>-8.1366565553366854E-2</v>
      </c>
    </row>
    <row r="6" spans="1:40">
      <c r="A6" s="48" t="s">
        <v>117</v>
      </c>
      <c r="B6" s="48" t="s">
        <v>202</v>
      </c>
      <c r="C6" s="48" t="s">
        <v>505</v>
      </c>
      <c r="D6" s="48" t="s">
        <v>164</v>
      </c>
      <c r="E6" s="208">
        <f>$K$6*(E36/$K$36)</f>
        <v>168.33106061323031</v>
      </c>
      <c r="F6" s="209">
        <f t="shared" ref="F6:J6" si="6">$K$6*(F36/$K$36)</f>
        <v>384.3183296633951</v>
      </c>
      <c r="G6" s="209">
        <f t="shared" si="6"/>
        <v>286.934876313453</v>
      </c>
      <c r="H6" s="209">
        <f t="shared" si="6"/>
        <v>242.50514024317593</v>
      </c>
      <c r="I6" s="209">
        <f>$K$6*(I36/$K$36)</f>
        <v>118.86080230241015</v>
      </c>
      <c r="J6" s="210">
        <f t="shared" si="6"/>
        <v>89.260257743417242</v>
      </c>
      <c r="K6" s="213">
        <f>Population!E53/(Population!$E$49/'Dwelling stock'!$K$36)</f>
        <v>1290.2104668790817</v>
      </c>
      <c r="L6" s="472"/>
      <c r="M6" s="44" t="s">
        <v>202</v>
      </c>
      <c r="N6" s="44" t="s">
        <v>164</v>
      </c>
      <c r="O6" s="109">
        <f>E6*'Data by dwelling type'!AA6</f>
        <v>79.510185717506019</v>
      </c>
      <c r="P6" s="480">
        <f>E6*'Data by dwelling type'!AB6</f>
        <v>65.411590087141235</v>
      </c>
      <c r="Q6" s="110">
        <f>E6*'Data by dwelling type'!AC6</f>
        <v>23.409284808583056</v>
      </c>
      <c r="R6" s="109">
        <f>F6*'Data by dwelling type'!AA6</f>
        <v>181.53050099523071</v>
      </c>
      <c r="S6" s="480">
        <f>F6*'Data by dwelling type'!AB6</f>
        <v>149.34185616924091</v>
      </c>
      <c r="T6" s="110">
        <f>F6*'Data by dwelling type'!AC6</f>
        <v>53.445972498923489</v>
      </c>
      <c r="U6" s="109">
        <f>G6*'Data by dwelling type'!AA6</f>
        <v>135.53199998502913</v>
      </c>
      <c r="V6" s="480">
        <f>G6*'Data by dwelling type'!AB6</f>
        <v>111.49972228978508</v>
      </c>
      <c r="W6" s="110">
        <f>G6*'Data by dwelling type'!AC6</f>
        <v>39.903154038638803</v>
      </c>
      <c r="X6" s="109">
        <f>H6*'Data by dwelling type'!AA6</f>
        <v>114.54587565682624</v>
      </c>
      <c r="Y6" s="480">
        <f>H6*'Data by dwelling type'!AB6</f>
        <v>94.234817803818714</v>
      </c>
      <c r="Z6" s="110">
        <f>H6*'Data by dwelling type'!AC6</f>
        <v>33.724446782530975</v>
      </c>
      <c r="AA6" s="480">
        <f>I6*'Data by dwelling type'!AA6</f>
        <v>56.143200376494306</v>
      </c>
      <c r="AB6" s="480">
        <f>I6*'Data by dwelling type'!AB6</f>
        <v>46.18799435653829</v>
      </c>
      <c r="AC6" s="110">
        <f>I6*'Data by dwelling type'!AC6</f>
        <v>16.529607569377557</v>
      </c>
      <c r="AD6" s="480">
        <f>J6*'Data by dwelling type'!AA6</f>
        <v>42.161557376973775</v>
      </c>
      <c r="AE6" s="480">
        <f>J6*'Data by dwelling type'!AB6</f>
        <v>34.685549828503149</v>
      </c>
      <c r="AF6" s="110">
        <f>J6*'Data by dwelling type'!AC6</f>
        <v>12.413150537940327</v>
      </c>
      <c r="AI6" s="480">
        <f t="shared" si="3"/>
        <v>609.42332010806012</v>
      </c>
      <c r="AJ6" s="480">
        <f t="shared" si="4"/>
        <v>501.36153053502738</v>
      </c>
      <c r="AK6" s="480">
        <f t="shared" si="5"/>
        <v>179.42561623599423</v>
      </c>
      <c r="AL6" s="480">
        <f>AI6-'Data by dwelling type'!W6</f>
        <v>0</v>
      </c>
      <c r="AM6" s="480">
        <f>AJ6-'Data by dwelling type'!Y6</f>
        <v>0</v>
      </c>
      <c r="AN6" s="480">
        <f>AK6-'Data by dwelling type'!Z6</f>
        <v>0</v>
      </c>
    </row>
    <row r="7" spans="1:40">
      <c r="A7" s="48" t="s">
        <v>89</v>
      </c>
      <c r="B7" s="48" t="s">
        <v>11</v>
      </c>
      <c r="C7" s="48" t="s">
        <v>57</v>
      </c>
      <c r="D7" s="48" t="s">
        <v>164</v>
      </c>
      <c r="E7" s="211">
        <v>1789.7142859999999</v>
      </c>
      <c r="F7" s="212">
        <v>994.28571399999998</v>
      </c>
      <c r="G7" s="212">
        <v>538.09523799999999</v>
      </c>
      <c r="H7" s="212">
        <v>538.09523799999999</v>
      </c>
      <c r="I7" s="212">
        <v>396.37202400000001</v>
      </c>
      <c r="J7" s="101">
        <v>266.4375</v>
      </c>
      <c r="K7" s="101">
        <f>SUM(E7:J7)</f>
        <v>4523</v>
      </c>
      <c r="L7" s="472"/>
      <c r="M7" s="44" t="s">
        <v>11</v>
      </c>
      <c r="N7" s="44" t="s">
        <v>164</v>
      </c>
      <c r="O7" s="109">
        <f>E7*'Data by dwelling type'!AA7</f>
        <v>470.89406639831816</v>
      </c>
      <c r="P7" s="480">
        <f>E7*'Data by dwelling type'!AB7</f>
        <v>494.22454694164037</v>
      </c>
      <c r="Q7" s="110">
        <f>E7*'Data by dwelling type'!AC7</f>
        <v>824.59567266004137</v>
      </c>
      <c r="R7" s="109">
        <f>F7*'Data by dwelling type'!AA7</f>
        <v>261.60781454879395</v>
      </c>
      <c r="S7" s="480">
        <f>F7*'Data by dwelling type'!AB7</f>
        <v>274.56919262262369</v>
      </c>
      <c r="T7" s="110">
        <f>F7*'Data by dwelling type'!AC7</f>
        <v>458.10870682858234</v>
      </c>
      <c r="U7" s="109">
        <f>G7*'Data by dwelling type'!AA7</f>
        <v>141.57894179730027</v>
      </c>
      <c r="V7" s="480">
        <f>G7*'Data by dwelling type'!AB7</f>
        <v>148.59348069818344</v>
      </c>
      <c r="W7" s="110">
        <f>G7*'Data by dwelling type'!AC7</f>
        <v>247.92281550451628</v>
      </c>
      <c r="X7" s="109">
        <f>H7*'Data by dwelling type'!AA7</f>
        <v>141.57894179730027</v>
      </c>
      <c r="Y7" s="480">
        <f>H7*'Data by dwelling type'!AB7</f>
        <v>148.59348069818344</v>
      </c>
      <c r="Z7" s="110">
        <f>H7*'Data by dwelling type'!AC7</f>
        <v>247.92281550451628</v>
      </c>
      <c r="AA7" s="480">
        <f>I7*'Data by dwelling type'!AA7</f>
        <v>104.28996161451649</v>
      </c>
      <c r="AB7" s="480">
        <f>I7*'Data by dwelling type'!AB7</f>
        <v>109.45701529799435</v>
      </c>
      <c r="AC7" s="110">
        <f>I7*'Data by dwelling type'!AC7</f>
        <v>182.62504708748918</v>
      </c>
      <c r="AD7" s="480">
        <f>J7*'Data by dwelling type'!AA7</f>
        <v>70.102719075016594</v>
      </c>
      <c r="AE7" s="480">
        <f>J7*'Data by dwelling type'!AB7</f>
        <v>73.57596335673621</v>
      </c>
      <c r="AF7" s="110">
        <f>J7*'Data by dwelling type'!AC7</f>
        <v>122.7588175682472</v>
      </c>
      <c r="AI7" s="480">
        <f t="shared" si="3"/>
        <v>1190.0524452312459</v>
      </c>
      <c r="AJ7" s="480">
        <f t="shared" si="4"/>
        <v>1249.0136796153613</v>
      </c>
      <c r="AK7" s="480">
        <f t="shared" si="5"/>
        <v>2083.9338751533928</v>
      </c>
      <c r="AL7" s="480">
        <f>AI7-'Data by dwelling type'!W7</f>
        <v>1.0524452312458834</v>
      </c>
      <c r="AM7" s="480">
        <f>AJ7-'Data by dwelling type'!Y7</f>
        <v>1.1045887062703059</v>
      </c>
      <c r="AN7" s="480">
        <f>AK7-'Data by dwelling type'!Z7</f>
        <v>1.8429660624838107</v>
      </c>
    </row>
    <row r="8" spans="1:40">
      <c r="A8" s="48" t="s">
        <v>90</v>
      </c>
      <c r="B8" s="48" t="s">
        <v>13</v>
      </c>
      <c r="C8" s="48" t="s">
        <v>57</v>
      </c>
      <c r="D8" s="48" t="s">
        <v>164</v>
      </c>
      <c r="E8" s="211">
        <v>435.86830700000002</v>
      </c>
      <c r="F8" s="212">
        <v>902.31450800000005</v>
      </c>
      <c r="G8" s="212">
        <v>523.15294700000004</v>
      </c>
      <c r="H8" s="212">
        <v>492.98587600000002</v>
      </c>
      <c r="I8" s="212">
        <v>284.70819</v>
      </c>
      <c r="J8" s="101">
        <v>442.97017199999999</v>
      </c>
      <c r="K8" s="101">
        <f>SUM(E8:J8)</f>
        <v>3082</v>
      </c>
      <c r="L8" s="472"/>
      <c r="M8" s="44" t="s">
        <v>13</v>
      </c>
      <c r="N8" s="44" t="s">
        <v>164</v>
      </c>
      <c r="O8" s="109">
        <f>E8*'Data by dwelling type'!AA8</f>
        <v>195.8671606411277</v>
      </c>
      <c r="P8" s="480">
        <f>E8*'Data by dwelling type'!AB8</f>
        <v>155.49370045786091</v>
      </c>
      <c r="Q8" s="110">
        <f>E8*'Data by dwelling type'!AC8</f>
        <v>84.507445901011394</v>
      </c>
      <c r="R8" s="109">
        <f>F8*'Data by dwelling type'!AA8</f>
        <v>405.47518103273359</v>
      </c>
      <c r="S8" s="480">
        <f>F8*'Data by dwelling type'!AB8</f>
        <v>321.89590197879232</v>
      </c>
      <c r="T8" s="110">
        <f>F8*'Data by dwelling type'!AC8</f>
        <v>174.94342498847413</v>
      </c>
      <c r="U8" s="109">
        <f>G8*'Data by dwelling type'!AA8</f>
        <v>235.09046348242146</v>
      </c>
      <c r="V8" s="480">
        <f>G8*'Data by dwelling type'!AB8</f>
        <v>186.6320315747692</v>
      </c>
      <c r="W8" s="110">
        <f>G8*'Data by dwelling type'!AC8</f>
        <v>101.43045194280938</v>
      </c>
      <c r="X8" s="109">
        <f>H8*'Data by dwelling type'!AA8</f>
        <v>221.53421622439518</v>
      </c>
      <c r="Y8" s="480">
        <f>H8*'Data by dwelling type'!AB8</f>
        <v>175.87008943208198</v>
      </c>
      <c r="Z8" s="110">
        <f>H8*'Data by dwelling type'!AC8</f>
        <v>95.581570343522856</v>
      </c>
      <c r="AA8" s="480">
        <f>I8*'Data by dwelling type'!AA8</f>
        <v>127.93998529141672</v>
      </c>
      <c r="AB8" s="480">
        <f>I8*'Data by dwelling type'!AB8</f>
        <v>101.56813262809619</v>
      </c>
      <c r="AC8" s="110">
        <f>I8*'Data by dwelling type'!AC8</f>
        <v>55.200072080487089</v>
      </c>
      <c r="AD8" s="480">
        <f>J8*'Data by dwelling type'!AA8</f>
        <v>199.0585423279054</v>
      </c>
      <c r="AE8" s="480">
        <f>J8*'Data by dwelling type'!AB8</f>
        <v>158.02725302699085</v>
      </c>
      <c r="AF8" s="110">
        <f>J8*'Data by dwelling type'!AC8</f>
        <v>85.884376645103757</v>
      </c>
      <c r="AI8" s="480">
        <f t="shared" si="3"/>
        <v>1384.9655489999998</v>
      </c>
      <c r="AJ8" s="480">
        <f t="shared" si="4"/>
        <v>1099.4871090985916</v>
      </c>
      <c r="AK8" s="480">
        <f t="shared" si="5"/>
        <v>597.54734190140857</v>
      </c>
      <c r="AL8" s="480">
        <f>AI8-'Data by dwelling type'!W8</f>
        <v>0</v>
      </c>
      <c r="AM8" s="480">
        <f>AJ8-'Data by dwelling type'!Y8</f>
        <v>0</v>
      </c>
      <c r="AN8" s="480">
        <f>AK8-'Data by dwelling type'!Z8</f>
        <v>0</v>
      </c>
    </row>
    <row r="9" spans="1:40">
      <c r="A9" s="93" t="s">
        <v>91</v>
      </c>
      <c r="B9" s="28" t="s">
        <v>62</v>
      </c>
      <c r="C9" s="93" t="s">
        <v>131</v>
      </c>
      <c r="D9" s="93" t="s">
        <v>164</v>
      </c>
      <c r="E9" s="208">
        <f>$K$9*(E5/$K$5)</f>
        <v>933.00397296787025</v>
      </c>
      <c r="F9" s="209">
        <f t="shared" ref="F9:J9" si="7">$K$9*(F5/$K$5)</f>
        <v>1125.6938489009285</v>
      </c>
      <c r="G9" s="209">
        <f t="shared" si="7"/>
        <v>579.1982673904123</v>
      </c>
      <c r="H9" s="209">
        <f t="shared" si="7"/>
        <v>459.55937563612207</v>
      </c>
      <c r="I9" s="209">
        <f t="shared" si="7"/>
        <v>548.49284112274802</v>
      </c>
      <c r="J9" s="210">
        <f t="shared" si="7"/>
        <v>224.25169398191872</v>
      </c>
      <c r="K9" s="213">
        <v>3870.2</v>
      </c>
      <c r="L9" s="472"/>
      <c r="M9" s="346" t="s">
        <v>62</v>
      </c>
      <c r="N9" s="346" t="s">
        <v>164</v>
      </c>
      <c r="O9" s="109">
        <f>E9*'Data by dwelling type'!AA9</f>
        <v>447.84190702457772</v>
      </c>
      <c r="P9" s="480">
        <f>E9*'Data by dwelling type'!AB9</f>
        <v>228.650637018819</v>
      </c>
      <c r="Q9" s="110">
        <f>E9*'Data by dwelling type'!AC9</f>
        <v>256.51142892447353</v>
      </c>
      <c r="R9" s="109">
        <f>F9*'Data by dwelling type'!AA9</f>
        <v>540.33304747244563</v>
      </c>
      <c r="S9" s="480">
        <f>F9*'Data by dwelling type'!AB9</f>
        <v>275.8730113662948</v>
      </c>
      <c r="T9" s="110">
        <f>F9*'Data by dwelling type'!AC9</f>
        <v>309.48779006218803</v>
      </c>
      <c r="U9" s="109">
        <f>G9*'Data by dwelling type'!AA9</f>
        <v>278.01516834739789</v>
      </c>
      <c r="V9" s="480">
        <f>G9*'Data by dwelling type'!AB9</f>
        <v>141.94371796482656</v>
      </c>
      <c r="W9" s="110">
        <f>G9*'Data by dwelling type'!AC9</f>
        <v>159.23938107818785</v>
      </c>
      <c r="X9" s="109">
        <f>H9*'Data by dwelling type'!AA9</f>
        <v>220.58850030533858</v>
      </c>
      <c r="Y9" s="480">
        <f>H9*'Data by dwelling type'!AB9</f>
        <v>112.62389768064644</v>
      </c>
      <c r="Z9" s="110">
        <f>H9*'Data by dwelling type'!AC9</f>
        <v>126.34697765013705</v>
      </c>
      <c r="AA9" s="480">
        <f>I9*'Data by dwelling type'!AA9</f>
        <v>263.27656373891904</v>
      </c>
      <c r="AB9" s="480">
        <f>I9*'Data by dwelling type'!AB9</f>
        <v>134.41876043039858</v>
      </c>
      <c r="AC9" s="110">
        <f>I9*'Data by dwelling type'!AC9</f>
        <v>150.7975169534304</v>
      </c>
      <c r="AD9" s="480">
        <f>J9*'Data by dwelling type'!AA9</f>
        <v>107.64081311132098</v>
      </c>
      <c r="AE9" s="480">
        <f>J9*'Data by dwelling type'!AB9</f>
        <v>54.957207222182682</v>
      </c>
      <c r="AF9" s="110">
        <f>J9*'Data by dwelling type'!AC9</f>
        <v>61.653673648415058</v>
      </c>
      <c r="AI9" s="480">
        <f t="shared" si="3"/>
        <v>1857.6959999999999</v>
      </c>
      <c r="AJ9" s="480">
        <f t="shared" si="4"/>
        <v>948.46723168316805</v>
      </c>
      <c r="AK9" s="480">
        <f t="shared" si="5"/>
        <v>1064.036768316832</v>
      </c>
      <c r="AL9" s="480">
        <f>AI9-'Data by dwelling type'!W9</f>
        <v>0</v>
      </c>
      <c r="AM9" s="480">
        <f>AJ9-'Data by dwelling type'!Y9</f>
        <v>0</v>
      </c>
      <c r="AN9" s="480">
        <f>AK9-'Data by dwelling type'!Z9</f>
        <v>0</v>
      </c>
    </row>
    <row r="10" spans="1:40">
      <c r="A10" s="48" t="s">
        <v>92</v>
      </c>
      <c r="B10" s="48" t="s">
        <v>15</v>
      </c>
      <c r="C10" s="48" t="s">
        <v>57</v>
      </c>
      <c r="D10" s="48" t="s">
        <v>164</v>
      </c>
      <c r="E10" s="335">
        <v>9.0544030000000006</v>
      </c>
      <c r="F10" s="336">
        <v>30.167847999999999</v>
      </c>
      <c r="G10" s="336">
        <v>40.839056999999997</v>
      </c>
      <c r="H10" s="336">
        <v>58.956254000000001</v>
      </c>
      <c r="I10" s="212">
        <v>50.836032000000003</v>
      </c>
      <c r="J10" s="101">
        <v>109.303405</v>
      </c>
      <c r="K10" s="101">
        <f t="shared" ref="K10:K27" si="8">SUM(E10:J10)</f>
        <v>299.15699899999998</v>
      </c>
      <c r="L10" s="472"/>
      <c r="M10" s="44" t="s">
        <v>15</v>
      </c>
      <c r="N10" s="44" t="s">
        <v>164</v>
      </c>
      <c r="O10" s="109">
        <f>E10*'Data by dwelling type'!AA10</f>
        <v>2.5426748009718181</v>
      </c>
      <c r="P10" s="480">
        <f>E10*'Data by dwelling type'!AB10</f>
        <v>3.2215918458349959</v>
      </c>
      <c r="Q10" s="110">
        <f>E10*'Data by dwelling type'!AC10</f>
        <v>3.2901363531931875</v>
      </c>
      <c r="R10" s="109">
        <f>F10*'Data by dwelling type'!AA10</f>
        <v>8.4717928845389423</v>
      </c>
      <c r="S10" s="480">
        <f>F10*'Data by dwelling type'!AB10</f>
        <v>10.733837793964945</v>
      </c>
      <c r="T10" s="110">
        <f>F10*'Data by dwelling type'!AC10</f>
        <v>10.962217321496114</v>
      </c>
      <c r="U10" s="109">
        <f>G10*'Data by dwelling type'!AA10</f>
        <v>11.468502244637412</v>
      </c>
      <c r="V10" s="480">
        <f>G10*'Data by dwelling type'!AB10</f>
        <v>14.530695510547806</v>
      </c>
      <c r="W10" s="110">
        <f>G10*'Data by dwelling type'!AC10</f>
        <v>14.839859244814781</v>
      </c>
      <c r="X10" s="109">
        <f>H10*'Data by dwelling type'!AA10</f>
        <v>16.556208223280315</v>
      </c>
      <c r="Y10" s="480">
        <f>H10*'Data by dwelling type'!AB10</f>
        <v>20.976864752692897</v>
      </c>
      <c r="Z10" s="110">
        <f>H10*'Data by dwelling type'!AC10</f>
        <v>21.423181024026793</v>
      </c>
      <c r="AA10" s="480">
        <f>I10*'Data by dwelling type'!AA10</f>
        <v>14.275871920854083</v>
      </c>
      <c r="AB10" s="480">
        <f>I10*'Data by dwelling type'!AB10</f>
        <v>18.08765814441956</v>
      </c>
      <c r="AC10" s="110">
        <f>I10*'Data by dwelling type'!AC10</f>
        <v>18.472501934726363</v>
      </c>
      <c r="AD10" s="480">
        <f>J10*'Data by dwelling type'!AA10</f>
        <v>30.694791644895528</v>
      </c>
      <c r="AE10" s="480">
        <f>J10*'Data by dwelling type'!AB10</f>
        <v>38.890577133578006</v>
      </c>
      <c r="AF10" s="110">
        <f>J10*'Data by dwelling type'!AC10</f>
        <v>39.718036221526475</v>
      </c>
      <c r="AI10" s="480">
        <f t="shared" si="3"/>
        <v>84.009841719178098</v>
      </c>
      <c r="AJ10" s="480">
        <f t="shared" si="4"/>
        <v>106.44122518103821</v>
      </c>
      <c r="AK10" s="480">
        <f t="shared" si="5"/>
        <v>108.70593209978371</v>
      </c>
      <c r="AL10" s="480">
        <f>AI10-'Data by dwelling type'!W10</f>
        <v>-2.8082190794975759E-7</v>
      </c>
      <c r="AM10" s="480">
        <f>AJ10-'Data by dwelling type'!Y10</f>
        <v>-3.5580389123879286E-7</v>
      </c>
      <c r="AN10" s="480">
        <f>AK10-'Data by dwelling type'!Z10</f>
        <v>-3.6337418407583755E-7</v>
      </c>
    </row>
    <row r="11" spans="1:40">
      <c r="A11" s="48" t="s">
        <v>93</v>
      </c>
      <c r="B11" s="48" t="s">
        <v>18</v>
      </c>
      <c r="C11" s="48" t="s">
        <v>57</v>
      </c>
      <c r="D11" s="48" t="s">
        <v>164</v>
      </c>
      <c r="E11" s="211">
        <v>963.51411199999995</v>
      </c>
      <c r="F11" s="212">
        <v>1308.6010510000001</v>
      </c>
      <c r="G11" s="212">
        <v>536.20285699999999</v>
      </c>
      <c r="H11" s="212">
        <v>621.51030900000001</v>
      </c>
      <c r="I11" s="212">
        <v>320.81902700000001</v>
      </c>
      <c r="J11" s="101">
        <v>242.352644</v>
      </c>
      <c r="K11" s="101">
        <f t="shared" si="8"/>
        <v>3993</v>
      </c>
      <c r="L11" s="472"/>
      <c r="M11" s="44" t="s">
        <v>18</v>
      </c>
      <c r="N11" s="44" t="s">
        <v>164</v>
      </c>
      <c r="O11" s="109">
        <f>E11*'Data by dwelling type'!AA11</f>
        <v>553.47062423293596</v>
      </c>
      <c r="P11" s="480">
        <f>E11*'Data by dwelling type'!AB11</f>
        <v>257.44502523096679</v>
      </c>
      <c r="Q11" s="110">
        <f>E11*'Data by dwelling type'!AC11</f>
        <v>152.5984625360972</v>
      </c>
      <c r="R11" s="109">
        <f>F11*'Data by dwelling type'!AA11</f>
        <v>751.69863269096174</v>
      </c>
      <c r="S11" s="480">
        <f>F11*'Data by dwelling type'!AB11</f>
        <v>349.65012592567479</v>
      </c>
      <c r="T11" s="110">
        <f>F11*'Data by dwelling type'!AC11</f>
        <v>207.2522923833636</v>
      </c>
      <c r="U11" s="109">
        <f>G11*'Data by dwelling type'!AA11</f>
        <v>308.0105691065101</v>
      </c>
      <c r="V11" s="480">
        <f>G11*'Data by dwelling type'!AB11</f>
        <v>143.27009467743164</v>
      </c>
      <c r="W11" s="110">
        <f>G11*'Data by dwelling type'!AC11</f>
        <v>84.922193216058247</v>
      </c>
      <c r="X11" s="109">
        <f>H11*'Data by dwelling type'!AA11</f>
        <v>357.01365906868517</v>
      </c>
      <c r="Y11" s="480">
        <f>H11*'Data by dwelling type'!AB11</f>
        <v>166.06371945054707</v>
      </c>
      <c r="Z11" s="110">
        <f>H11*'Data by dwelling type'!AC11</f>
        <v>98.43293048076778</v>
      </c>
      <c r="AA11" s="480">
        <f>I11*'Data by dwelling type'!AA11</f>
        <v>184.28781159304199</v>
      </c>
      <c r="AB11" s="480">
        <f>I11*'Data by dwelling type'!AB11</f>
        <v>85.72086435677366</v>
      </c>
      <c r="AC11" s="110">
        <f>I11*'Data by dwelling type'!AC11</f>
        <v>50.810351050184373</v>
      </c>
      <c r="AD11" s="480">
        <f>J11*'Data by dwelling type'!AA11</f>
        <v>139.21443130786497</v>
      </c>
      <c r="AE11" s="480">
        <f>J11*'Data by dwelling type'!AB11</f>
        <v>64.755131006707572</v>
      </c>
      <c r="AF11" s="110">
        <f>J11*'Data by dwelling type'!AC11</f>
        <v>38.383081685427463</v>
      </c>
      <c r="AI11" s="480">
        <f t="shared" si="3"/>
        <v>2293.6957279999997</v>
      </c>
      <c r="AJ11" s="480">
        <f t="shared" si="4"/>
        <v>1066.9049606481015</v>
      </c>
      <c r="AK11" s="480">
        <f t="shared" si="5"/>
        <v>632.39931135189863</v>
      </c>
      <c r="AL11" s="480">
        <f>AI11-'Data by dwelling type'!W11</f>
        <v>0</v>
      </c>
      <c r="AM11" s="480">
        <f>AJ11-'Data by dwelling type'!Y11</f>
        <v>0</v>
      </c>
      <c r="AN11" s="480">
        <f>AK11-'Data by dwelling type'!Z11</f>
        <v>0</v>
      </c>
    </row>
    <row r="12" spans="1:40">
      <c r="A12" s="48" t="s">
        <v>94</v>
      </c>
      <c r="B12" s="48" t="s">
        <v>26</v>
      </c>
      <c r="C12" s="48" t="s">
        <v>57</v>
      </c>
      <c r="D12" s="48" t="s">
        <v>164</v>
      </c>
      <c r="E12" s="211">
        <v>8480.6087349999998</v>
      </c>
      <c r="F12" s="212">
        <v>12872.75813</v>
      </c>
      <c r="G12" s="212">
        <v>6635.2385830000003</v>
      </c>
      <c r="H12" s="212">
        <v>4624.6153990000003</v>
      </c>
      <c r="I12" s="212">
        <v>4256.3213569999998</v>
      </c>
      <c r="J12" s="101">
        <v>2340.5294960000001</v>
      </c>
      <c r="K12" s="101">
        <f t="shared" si="8"/>
        <v>39210.071700000008</v>
      </c>
      <c r="L12" s="472"/>
      <c r="M12" s="44" t="s">
        <v>26</v>
      </c>
      <c r="N12" s="44" t="s">
        <v>164</v>
      </c>
      <c r="O12" s="109">
        <f>E12*'Data by dwelling type'!AA12</f>
        <v>4572.4327834387923</v>
      </c>
      <c r="P12" s="480">
        <f>E12*'Data by dwelling type'!AB12</f>
        <v>1910.6637985410352</v>
      </c>
      <c r="Q12" s="110">
        <f>E12*'Data by dwelling type'!AC12</f>
        <v>1997.5121530201732</v>
      </c>
      <c r="R12" s="109">
        <f>F12*'Data by dwelling type'!AA12</f>
        <v>6940.5184375470717</v>
      </c>
      <c r="S12" s="480">
        <f>F12*'Data by dwelling type'!AB12</f>
        <v>2900.2060718658772</v>
      </c>
      <c r="T12" s="110">
        <f>F12*'Data by dwelling type'!AC12</f>
        <v>3032.0336205870531</v>
      </c>
      <c r="U12" s="109">
        <f>G12*'Data by dwelling type'!AA12</f>
        <v>3577.4769678543789</v>
      </c>
      <c r="V12" s="480">
        <f>G12*'Data by dwelling type'!AB12</f>
        <v>1494.9056785156374</v>
      </c>
      <c r="W12" s="110">
        <f>G12*'Data by dwelling type'!AC12</f>
        <v>1562.8559366299846</v>
      </c>
      <c r="X12" s="109">
        <f>H12*'Data by dwelling type'!AA12</f>
        <v>2493.4227862575094</v>
      </c>
      <c r="Y12" s="480">
        <f>H12*'Data by dwelling type'!AB12</f>
        <v>1041.9163884518846</v>
      </c>
      <c r="Z12" s="110">
        <f>H12*'Data by dwelling type'!AC12</f>
        <v>1089.2762242906067</v>
      </c>
      <c r="AA12" s="480">
        <f>I12*'Data by dwelling type'!AA12</f>
        <v>2294.8521642411897</v>
      </c>
      <c r="AB12" s="480">
        <f>I12*'Data by dwelling type'!AB12</f>
        <v>958.94049423764079</v>
      </c>
      <c r="AC12" s="110">
        <f>I12*'Data by dwelling type'!AC12</f>
        <v>1002.5286985211699</v>
      </c>
      <c r="AD12" s="480">
        <f>J12*'Data by dwelling type'!AA12</f>
        <v>1261.9275493689988</v>
      </c>
      <c r="AE12" s="480">
        <f>J12*'Data by dwelling type'!AB12</f>
        <v>527.31650724182305</v>
      </c>
      <c r="AF12" s="110">
        <f>J12*'Data by dwelling type'!AC12</f>
        <v>551.28543938917858</v>
      </c>
      <c r="AI12" s="480">
        <f t="shared" si="3"/>
        <v>21140.630688707945</v>
      </c>
      <c r="AJ12" s="480">
        <f t="shared" si="4"/>
        <v>8833.9489388538987</v>
      </c>
      <c r="AK12" s="480">
        <f t="shared" si="5"/>
        <v>9235.4920724381664</v>
      </c>
      <c r="AL12" s="480">
        <f>AI12-'Data by dwelling type'!W12</f>
        <v>86.395749707942741</v>
      </c>
      <c r="AM12" s="480">
        <f>AJ12-'Data by dwelling type'!Y12</f>
        <v>36.101838809454421</v>
      </c>
      <c r="AN12" s="480">
        <f>AK12-'Data by dwelling type'!Z12</f>
        <v>37.7428314826102</v>
      </c>
    </row>
    <row r="13" spans="1:40">
      <c r="A13" s="48" t="s">
        <v>95</v>
      </c>
      <c r="B13" s="48" t="s">
        <v>20</v>
      </c>
      <c r="C13" s="48" t="s">
        <v>57</v>
      </c>
      <c r="D13" s="48" t="s">
        <v>164</v>
      </c>
      <c r="E13" s="211">
        <v>958.79184899999996</v>
      </c>
      <c r="F13" s="212">
        <v>696.21999600000004</v>
      </c>
      <c r="G13" s="212">
        <v>430.06494199999997</v>
      </c>
      <c r="H13" s="212">
        <v>176.15120300000001</v>
      </c>
      <c r="I13" s="212">
        <v>176.29083800000001</v>
      </c>
      <c r="J13" s="101">
        <v>233.171289</v>
      </c>
      <c r="K13" s="101">
        <f t="shared" si="8"/>
        <v>2670.6901169999996</v>
      </c>
      <c r="L13" s="472"/>
      <c r="M13" s="44" t="s">
        <v>20</v>
      </c>
      <c r="N13" s="44" t="s">
        <v>164</v>
      </c>
      <c r="O13" s="109">
        <f>E13*'Data by dwelling type'!AA13</f>
        <v>394.10243103245057</v>
      </c>
      <c r="P13" s="480">
        <f>E13*'Data by dwelling type'!AB13</f>
        <v>368.50018018225222</v>
      </c>
      <c r="Q13" s="110">
        <f>E13*'Data by dwelling type'!AC13</f>
        <v>196.18923778529717</v>
      </c>
      <c r="R13" s="109">
        <f>F13*'Data by dwelling type'!AA13</f>
        <v>286.17472420440134</v>
      </c>
      <c r="S13" s="480">
        <f>F13*'Data by dwelling type'!AB13</f>
        <v>267.58382879461351</v>
      </c>
      <c r="T13" s="110">
        <f>F13*'Data by dwelling type'!AC13</f>
        <v>142.46144300098516</v>
      </c>
      <c r="U13" s="109">
        <f>G13*'Data by dwelling type'!AA13</f>
        <v>176.77417608504288</v>
      </c>
      <c r="V13" s="480">
        <f>G13*'Data by dwelling type'!AB13</f>
        <v>165.29031695707485</v>
      </c>
      <c r="W13" s="110">
        <f>G13*'Data by dwelling type'!AC13</f>
        <v>88.000448957882242</v>
      </c>
      <c r="X13" s="109">
        <f>H13*'Data by dwelling type'!AA13</f>
        <v>72.405306119358457</v>
      </c>
      <c r="Y13" s="480">
        <f>H13*'Data by dwelling type'!AB13</f>
        <v>67.701608135824372</v>
      </c>
      <c r="Z13" s="110">
        <f>H13*'Data by dwelling type'!AC13</f>
        <v>36.04428874481718</v>
      </c>
      <c r="AA13" s="480">
        <f>I13*'Data by dwelling type'!AA13</f>
        <v>72.46270178142484</v>
      </c>
      <c r="AB13" s="480">
        <f>I13*'Data by dwelling type'!AB13</f>
        <v>67.75527517806448</v>
      </c>
      <c r="AC13" s="110">
        <f>I13*'Data by dwelling type'!AC13</f>
        <v>36.072861040510688</v>
      </c>
      <c r="AD13" s="480">
        <f>J13*'Data by dwelling type'!AA13</f>
        <v>95.842879700857893</v>
      </c>
      <c r="AE13" s="480">
        <f>J13*'Data by dwelling type'!AB13</f>
        <v>89.616596239783021</v>
      </c>
      <c r="AF13" s="110">
        <f>J13*'Data by dwelling type'!AC13</f>
        <v>47.711813059359088</v>
      </c>
      <c r="AI13" s="480">
        <f t="shared" si="3"/>
        <v>1097.762218923536</v>
      </c>
      <c r="AJ13" s="480">
        <f t="shared" si="4"/>
        <v>1026.4478054876126</v>
      </c>
      <c r="AK13" s="480">
        <f t="shared" si="5"/>
        <v>546.48009258885156</v>
      </c>
      <c r="AL13" s="480">
        <f>AI13-'Data by dwelling type'!W13</f>
        <v>-4.2377810764639889</v>
      </c>
      <c r="AM13" s="480">
        <f>AJ13-'Data by dwelling type'!Y13</f>
        <v>-3.9624802266730512</v>
      </c>
      <c r="AN13" s="480">
        <f>AK13-'Data by dwelling type'!Z13</f>
        <v>-2.1096216968627459</v>
      </c>
    </row>
    <row r="14" spans="1:40">
      <c r="A14" s="48" t="s">
        <v>96</v>
      </c>
      <c r="B14" s="48" t="s">
        <v>22</v>
      </c>
      <c r="C14" s="48" t="s">
        <v>57</v>
      </c>
      <c r="D14" s="48" t="s">
        <v>164</v>
      </c>
      <c r="E14" s="211">
        <v>122.19269</v>
      </c>
      <c r="F14" s="212">
        <v>180.638452</v>
      </c>
      <c r="G14" s="212">
        <v>140.31282400000001</v>
      </c>
      <c r="H14" s="212">
        <v>131.956715</v>
      </c>
      <c r="I14" s="212">
        <v>42.814177000000001</v>
      </c>
      <c r="J14" s="101">
        <v>33.705142000000002</v>
      </c>
      <c r="K14" s="101">
        <f t="shared" si="8"/>
        <v>651.62</v>
      </c>
      <c r="L14" s="472"/>
      <c r="M14" s="44" t="s">
        <v>22</v>
      </c>
      <c r="N14" s="44" t="s">
        <v>164</v>
      </c>
      <c r="O14" s="109">
        <f>E14*'Data by dwelling type'!AA14</f>
        <v>91.537888851347205</v>
      </c>
      <c r="P14" s="480">
        <f>E14*'Data by dwelling type'!AB14</f>
        <v>20.940127776042473</v>
      </c>
      <c r="Q14" s="110">
        <f>E14*'Data by dwelling type'!AC14</f>
        <v>9.7146733726103118</v>
      </c>
      <c r="R14" s="109">
        <f>F14*'Data by dwelling type'!AA14</f>
        <v>135.32120899748926</v>
      </c>
      <c r="S14" s="480">
        <f>F14*'Data by dwelling type'!AB14</f>
        <v>30.955961982230814</v>
      </c>
      <c r="T14" s="110">
        <f>F14*'Data by dwelling type'!AC14</f>
        <v>14.361281020279904</v>
      </c>
      <c r="U14" s="109">
        <f>G14*'Data by dwelling type'!AA14</f>
        <v>105.1121772319657</v>
      </c>
      <c r="V14" s="480">
        <f>G14*'Data by dwelling type'!AB14</f>
        <v>24.045370170485317</v>
      </c>
      <c r="W14" s="110">
        <f>G14*'Data by dwelling type'!AC14</f>
        <v>11.15527659754898</v>
      </c>
      <c r="X14" s="109">
        <f>H14*'Data by dwelling type'!AA14</f>
        <v>98.852387248851798</v>
      </c>
      <c r="Y14" s="480">
        <f>H14*'Data by dwelling type'!AB14</f>
        <v>22.613386062675442</v>
      </c>
      <c r="Z14" s="110">
        <f>H14*'Data by dwelling type'!AC14</f>
        <v>10.490941688472754</v>
      </c>
      <c r="AA14" s="480">
        <f>I14*'Data by dwelling type'!AA14</f>
        <v>32.07327194030924</v>
      </c>
      <c r="AB14" s="480">
        <f>I14*'Data by dwelling type'!AB14</f>
        <v>7.3370537714334541</v>
      </c>
      <c r="AC14" s="110">
        <f>I14*'Data by dwelling type'!AC14</f>
        <v>3.4038512882572998</v>
      </c>
      <c r="AD14" s="480">
        <f>J14*'Data by dwelling type'!AA14</f>
        <v>25.249444480802204</v>
      </c>
      <c r="AE14" s="480">
        <f>J14*'Data by dwelling type'!AB14</f>
        <v>5.7760409414806713</v>
      </c>
      <c r="AF14" s="110">
        <f>J14*'Data by dwelling type'!AC14</f>
        <v>2.6796565777171244</v>
      </c>
      <c r="AI14" s="480">
        <f t="shared" si="3"/>
        <v>488.14637875076545</v>
      </c>
      <c r="AJ14" s="480">
        <f t="shared" si="4"/>
        <v>111.66794070434818</v>
      </c>
      <c r="AK14" s="480">
        <f t="shared" si="5"/>
        <v>51.805680544886378</v>
      </c>
      <c r="AL14" s="480">
        <f>AI14-'Data by dwelling type'!W14</f>
        <v>-1.1836212492345339</v>
      </c>
      <c r="AM14" s="480">
        <f>AJ14-'Data by dwelling type'!Y14</f>
        <v>-0.27076416671198444</v>
      </c>
      <c r="AN14" s="480">
        <f>AK14-'Data by dwelling type'!Z14</f>
        <v>-0.1256145840534586</v>
      </c>
    </row>
    <row r="15" spans="1:40">
      <c r="A15" s="48" t="s">
        <v>205</v>
      </c>
      <c r="B15" s="48" t="s">
        <v>28</v>
      </c>
      <c r="C15" s="48" t="s">
        <v>57</v>
      </c>
      <c r="D15" s="48" t="s">
        <v>164</v>
      </c>
      <c r="E15" s="211">
        <v>320.25842</v>
      </c>
      <c r="F15" s="212">
        <v>1165.5356059999999</v>
      </c>
      <c r="G15" s="212">
        <v>928.71792800000003</v>
      </c>
      <c r="H15" s="212">
        <v>710.92279299999996</v>
      </c>
      <c r="I15" s="212">
        <v>478.27226400000001</v>
      </c>
      <c r="J15" s="101">
        <v>243.56699</v>
      </c>
      <c r="K15" s="101">
        <f t="shared" si="8"/>
        <v>3847.2740010000002</v>
      </c>
      <c r="L15" s="472"/>
      <c r="M15" s="44" t="s">
        <v>28</v>
      </c>
      <c r="N15" s="44" t="s">
        <v>164</v>
      </c>
      <c r="O15" s="109">
        <f>E15*'Data by dwelling type'!AA15</f>
        <v>190.68902718918901</v>
      </c>
      <c r="P15" s="480">
        <f>E15*'Data by dwelling type'!AB15</f>
        <v>82.769701676159826</v>
      </c>
      <c r="Q15" s="110">
        <f>E15*'Data by dwelling type'!AC15</f>
        <v>46.799691134651134</v>
      </c>
      <c r="R15" s="109">
        <f>F15*'Data by dwelling type'!AA15</f>
        <v>693.98597189888676</v>
      </c>
      <c r="S15" s="480">
        <f>F15*'Data by dwelling type'!AB15</f>
        <v>301.22872148548709</v>
      </c>
      <c r="T15" s="110">
        <f>F15*'Data by dwelling type'!AC15</f>
        <v>170.32091261562596</v>
      </c>
      <c r="U15" s="109">
        <f>G15*'Data by dwelling type'!AA15</f>
        <v>552.97942899824238</v>
      </c>
      <c r="V15" s="480">
        <f>G15*'Data by dwelling type'!AB15</f>
        <v>240.02399637724213</v>
      </c>
      <c r="W15" s="110">
        <f>G15*'Data by dwelling type'!AC15</f>
        <v>135.71450262451546</v>
      </c>
      <c r="X15" s="109">
        <f>H15*'Data by dwelling type'!AA15</f>
        <v>423.29933371866127</v>
      </c>
      <c r="Y15" s="480">
        <f>H15*'Data by dwelling type'!AB15</f>
        <v>183.73558294389989</v>
      </c>
      <c r="Z15" s="110">
        <f>H15*'Data by dwelling type'!AC15</f>
        <v>103.88787633743875</v>
      </c>
      <c r="AA15" s="480">
        <f>I15*'Data by dwelling type'!AA15</f>
        <v>284.77400454836123</v>
      </c>
      <c r="AB15" s="480">
        <f>I15*'Data by dwelling type'!AB15</f>
        <v>123.60784335119607</v>
      </c>
      <c r="AC15" s="110">
        <f>I15*'Data by dwelling type'!AC15</f>
        <v>69.890416100442664</v>
      </c>
      <c r="AD15" s="480">
        <f>J15*'Data by dwelling type'!AA15</f>
        <v>145.02523424208152</v>
      </c>
      <c r="AE15" s="480">
        <f>J15*'Data by dwelling type'!AB15</f>
        <v>62.949061887147899</v>
      </c>
      <c r="AF15" s="110">
        <f>J15*'Data by dwelling type'!AC15</f>
        <v>35.592693870770553</v>
      </c>
      <c r="AI15" s="480">
        <f t="shared" si="3"/>
        <v>2290.7530005954222</v>
      </c>
      <c r="AJ15" s="480">
        <f t="shared" si="4"/>
        <v>994.31490772113284</v>
      </c>
      <c r="AK15" s="480">
        <f t="shared" si="5"/>
        <v>562.20609268344447</v>
      </c>
      <c r="AL15" s="480">
        <f>AI15-'Data by dwelling type'!W15</f>
        <v>5.9542207964113913E-7</v>
      </c>
      <c r="AM15" s="480">
        <f>AJ15-'Data by dwelling type'!Y15</f>
        <v>2.5844644824246643E-7</v>
      </c>
      <c r="AN15" s="480">
        <f>AK15-'Data by dwelling type'!Z15</f>
        <v>1.4613090115744853E-7</v>
      </c>
    </row>
    <row r="16" spans="1:40">
      <c r="A16" s="48" t="s">
        <v>97</v>
      </c>
      <c r="B16" s="48" t="s">
        <v>49</v>
      </c>
      <c r="C16" s="48" t="s">
        <v>57</v>
      </c>
      <c r="D16" s="48" t="s">
        <v>164</v>
      </c>
      <c r="E16" s="335">
        <v>2185.8744839999999</v>
      </c>
      <c r="F16" s="336">
        <v>3885.68622</v>
      </c>
      <c r="G16" s="212">
        <v>3208.2017019999998</v>
      </c>
      <c r="H16" s="212">
        <v>2032.682669</v>
      </c>
      <c r="I16" s="212">
        <v>2012.6952839999999</v>
      </c>
      <c r="J16" s="101">
        <v>3416.2386409999999</v>
      </c>
      <c r="K16" s="101">
        <f t="shared" si="8"/>
        <v>16741.379000000001</v>
      </c>
      <c r="L16" s="472"/>
      <c r="M16" s="44" t="s">
        <v>49</v>
      </c>
      <c r="N16" s="44" t="s">
        <v>164</v>
      </c>
      <c r="O16" s="109">
        <f>E16*'Data by dwelling type'!AA16</f>
        <v>1538.1678329068884</v>
      </c>
      <c r="P16" s="480">
        <f>E16*'Data by dwelling type'!AB16</f>
        <v>201.34423896837302</v>
      </c>
      <c r="Q16" s="110">
        <f>E16*'Data by dwelling type'!AC16</f>
        <v>446.36241212473851</v>
      </c>
      <c r="R16" s="109">
        <f>F16*'Data by dwelling type'!AA16</f>
        <v>2734.3004349620101</v>
      </c>
      <c r="S16" s="480">
        <f>F16*'Data by dwelling type'!AB16</f>
        <v>357.91649546323816</v>
      </c>
      <c r="T16" s="110">
        <f>F16*'Data by dwelling type'!AC16</f>
        <v>793.46928957475188</v>
      </c>
      <c r="U16" s="109">
        <f>G16*'Data by dwelling type'!AA16</f>
        <v>2257.564510503491</v>
      </c>
      <c r="V16" s="480">
        <f>G16*'Data by dwelling type'!AB16</f>
        <v>295.51236124234345</v>
      </c>
      <c r="W16" s="110">
        <f>G16*'Data by dwelling type'!AC16</f>
        <v>655.12483025416543</v>
      </c>
      <c r="X16" s="109">
        <f>H16*'Data by dwelling type'!AA16</f>
        <v>1430.3689982425908</v>
      </c>
      <c r="Y16" s="480">
        <f>H16*'Data by dwelling type'!AB16</f>
        <v>187.23350679544612</v>
      </c>
      <c r="Z16" s="110">
        <f>H16*'Data by dwelling type'!AC16</f>
        <v>415.08016396196308</v>
      </c>
      <c r="AA16" s="480">
        <f>I16*'Data by dwelling type'!AA16</f>
        <v>1416.3041684017362</v>
      </c>
      <c r="AB16" s="480">
        <f>I16*'Data by dwelling type'!AB16</f>
        <v>185.39243822026032</v>
      </c>
      <c r="AC16" s="110">
        <f>I16*'Data by dwelling type'!AC16</f>
        <v>410.99867737800338</v>
      </c>
      <c r="AD16" s="480">
        <f>J16*'Data by dwelling type'!AA16</f>
        <v>2403.9570549832829</v>
      </c>
      <c r="AE16" s="480">
        <f>J16*'Data by dwelling type'!AB16</f>
        <v>314.67496159605378</v>
      </c>
      <c r="AF16" s="110">
        <f>J16*'Data by dwelling type'!AC16</f>
        <v>697.60662442066302</v>
      </c>
      <c r="AI16" s="480">
        <f t="shared" si="3"/>
        <v>11780.663</v>
      </c>
      <c r="AJ16" s="480">
        <f t="shared" si="4"/>
        <v>1542.0740022857149</v>
      </c>
      <c r="AK16" s="480">
        <f t="shared" si="5"/>
        <v>3418.6419977142855</v>
      </c>
      <c r="AL16" s="480">
        <f>AI16-'Data by dwelling type'!W16</f>
        <v>0</v>
      </c>
      <c r="AM16" s="480">
        <f>AJ16-'Data by dwelling type'!Y16</f>
        <v>0</v>
      </c>
      <c r="AN16" s="480">
        <f>AK16-'Data by dwelling type'!Z16</f>
        <v>0</v>
      </c>
    </row>
    <row r="17" spans="1:40">
      <c r="A17" s="48" t="s">
        <v>98</v>
      </c>
      <c r="B17" s="48" t="s">
        <v>24</v>
      </c>
      <c r="C17" s="48" t="s">
        <v>57</v>
      </c>
      <c r="D17" s="48" t="s">
        <v>164</v>
      </c>
      <c r="E17" s="335">
        <v>352.236289</v>
      </c>
      <c r="F17" s="336">
        <v>644.24645099999998</v>
      </c>
      <c r="G17" s="212">
        <v>511.75318499999997</v>
      </c>
      <c r="H17" s="212">
        <v>405.49669599999999</v>
      </c>
      <c r="I17" s="212">
        <v>296.07562300000001</v>
      </c>
      <c r="J17" s="101">
        <v>289.191756</v>
      </c>
      <c r="K17" s="101">
        <f t="shared" si="8"/>
        <v>2499</v>
      </c>
      <c r="L17" s="472"/>
      <c r="M17" s="44" t="s">
        <v>24</v>
      </c>
      <c r="N17" s="44" t="s">
        <v>164</v>
      </c>
      <c r="O17" s="109">
        <f>E17*'Data by dwelling type'!AA17</f>
        <v>156.1978807080441</v>
      </c>
      <c r="P17" s="480">
        <f>E17*'Data by dwelling type'!AB17</f>
        <v>111.65023072555439</v>
      </c>
      <c r="Q17" s="110">
        <f>E17*'Data by dwelling type'!AC17</f>
        <v>84.388177566401509</v>
      </c>
      <c r="R17" s="109">
        <f>F17*'Data by dwelling type'!AA17</f>
        <v>285.688707956717</v>
      </c>
      <c r="S17" s="480">
        <f>F17*'Data by dwelling type'!AB17</f>
        <v>204.21026210127249</v>
      </c>
      <c r="T17" s="110">
        <f>F17*'Data by dwelling type'!AC17</f>
        <v>154.34748094201046</v>
      </c>
      <c r="U17" s="109">
        <f>G17*'Data by dwelling type'!AA17</f>
        <v>226.93505876276029</v>
      </c>
      <c r="V17" s="480">
        <f>G17*'Data by dwelling type'!AB17</f>
        <v>162.21315907568888</v>
      </c>
      <c r="W17" s="110">
        <f>G17*'Data by dwelling type'!AC17</f>
        <v>122.6049671615508</v>
      </c>
      <c r="X17" s="109">
        <f>H17*'Data by dwelling type'!AA17</f>
        <v>179.81601137443855</v>
      </c>
      <c r="Y17" s="480">
        <f>H17*'Data by dwelling type'!AB17</f>
        <v>128.5324683478311</v>
      </c>
      <c r="Z17" s="110">
        <f>H17*'Data by dwelling type'!AC17</f>
        <v>97.148216277730356</v>
      </c>
      <c r="AA17" s="480">
        <f>I17*'Data by dwelling type'!AA17</f>
        <v>131.29364090567577</v>
      </c>
      <c r="AB17" s="480">
        <f>I17*'Data by dwelling type'!AB17</f>
        <v>93.84868241148844</v>
      </c>
      <c r="AC17" s="110">
        <f>I17*'Data by dwelling type'!AC17</f>
        <v>70.933299682835781</v>
      </c>
      <c r="AD17" s="480">
        <f>J17*'Data by dwelling type'!AA17</f>
        <v>128.24101552307064</v>
      </c>
      <c r="AE17" s="480">
        <f>J17*'Data by dwelling type'!AB17</f>
        <v>91.666666069515145</v>
      </c>
      <c r="AF17" s="110">
        <f>J17*'Data by dwelling type'!AC17</f>
        <v>69.284074407414224</v>
      </c>
      <c r="AI17" s="480">
        <f t="shared" si="3"/>
        <v>1108.1723152307063</v>
      </c>
      <c r="AJ17" s="480">
        <f t="shared" si="4"/>
        <v>792.12146873135043</v>
      </c>
      <c r="AK17" s="480">
        <f t="shared" si="5"/>
        <v>598.70621603794314</v>
      </c>
      <c r="AL17" s="480">
        <f>AI17-'Data by dwelling type'!W17</f>
        <v>22.172315230706317</v>
      </c>
      <c r="AM17" s="480">
        <f>AJ17-'Data by dwelling type'!Y17</f>
        <v>15.848768882179911</v>
      </c>
      <c r="AN17" s="480">
        <f>AK17-'Data by dwelling type'!Z17</f>
        <v>11.978915887113658</v>
      </c>
    </row>
    <row r="18" spans="1:40">
      <c r="A18" s="48" t="s">
        <v>99</v>
      </c>
      <c r="B18" s="48" t="s">
        <v>25</v>
      </c>
      <c r="C18" s="48" t="s">
        <v>57</v>
      </c>
      <c r="D18" s="48" t="s">
        <v>164</v>
      </c>
      <c r="E18" s="335">
        <v>7195.8683760000004</v>
      </c>
      <c r="F18" s="336">
        <v>4866.9480000000003</v>
      </c>
      <c r="G18" s="212">
        <v>5375.945052</v>
      </c>
      <c r="H18" s="212">
        <v>3961.7485160000001</v>
      </c>
      <c r="I18" s="212">
        <v>2386.508527</v>
      </c>
      <c r="J18" s="101">
        <v>3251.581529</v>
      </c>
      <c r="K18" s="101">
        <f t="shared" si="8"/>
        <v>27038.600000000002</v>
      </c>
      <c r="L18" s="472"/>
      <c r="M18" s="44" t="s">
        <v>25</v>
      </c>
      <c r="N18" s="44" t="s">
        <v>164</v>
      </c>
      <c r="O18" s="109">
        <f>E18*'Data by dwelling type'!AA18</f>
        <v>3136.7254014648984</v>
      </c>
      <c r="P18" s="480">
        <f>E18*'Data by dwelling type'!AB18</f>
        <v>2148.6720895143894</v>
      </c>
      <c r="Q18" s="110">
        <f>E18*'Data by dwelling type'!AC18</f>
        <v>1910.4708850207126</v>
      </c>
      <c r="R18" s="109">
        <f>F18*'Data by dwelling type'!AA18</f>
        <v>2121.5340000000001</v>
      </c>
      <c r="S18" s="480">
        <f>F18*'Data by dwelling type'!AB18</f>
        <v>1453.261063473054</v>
      </c>
      <c r="T18" s="110">
        <f>F18*'Data by dwelling type'!AC18</f>
        <v>1292.1529365269462</v>
      </c>
      <c r="U18" s="109">
        <f>G18*'Data by dwelling type'!AA18</f>
        <v>2343.409095381699</v>
      </c>
      <c r="V18" s="480">
        <f>G18*'Data by dwelling type'!AB18</f>
        <v>1605.2465782338793</v>
      </c>
      <c r="W18" s="110">
        <f>G18*'Data by dwelling type'!AC18</f>
        <v>1427.289378384422</v>
      </c>
      <c r="X18" s="109">
        <f>H18*'Data by dwelling type'!AA18</f>
        <v>1726.9517110401723</v>
      </c>
      <c r="Y18" s="480">
        <f>H18*'Data by dwelling type'!AB18</f>
        <v>1182.9702847811304</v>
      </c>
      <c r="Z18" s="110">
        <f>H18*'Data by dwelling type'!AC18</f>
        <v>1051.8265201786974</v>
      </c>
      <c r="AA18" s="480">
        <f>I18*'Data by dwelling type'!AA18</f>
        <v>1040.2944476333871</v>
      </c>
      <c r="AB18" s="480">
        <f>I18*'Data by dwelling type'!AB18</f>
        <v>712.60673422759623</v>
      </c>
      <c r="AC18" s="110">
        <f>I18*'Data by dwelling type'!AC18</f>
        <v>633.60734513901662</v>
      </c>
      <c r="AD18" s="480">
        <f>J18*'Data by dwelling type'!AA18</f>
        <v>1417.3853444798438</v>
      </c>
      <c r="AE18" s="480">
        <f>J18*'Data by dwelling type'!AB18</f>
        <v>970.91582462025042</v>
      </c>
      <c r="AF18" s="110">
        <f>J18*'Data by dwelling type'!AC18</f>
        <v>863.28035989990587</v>
      </c>
      <c r="AI18" s="480">
        <f t="shared" si="3"/>
        <v>11786.300000000001</v>
      </c>
      <c r="AJ18" s="480">
        <f t="shared" si="4"/>
        <v>8073.6725748503004</v>
      </c>
      <c r="AK18" s="480">
        <f t="shared" si="5"/>
        <v>7178.6274251497007</v>
      </c>
      <c r="AL18" s="480">
        <f>AI18-'Data by dwelling type'!W18</f>
        <v>0</v>
      </c>
      <c r="AM18" s="480">
        <f>AJ18-'Data by dwelling type'!Y18</f>
        <v>0</v>
      </c>
      <c r="AN18" s="480">
        <f>AK18-'Data by dwelling type'!Z18</f>
        <v>0</v>
      </c>
    </row>
    <row r="19" spans="1:40">
      <c r="A19" s="48" t="s">
        <v>118</v>
      </c>
      <c r="B19" s="48" t="s">
        <v>55</v>
      </c>
      <c r="C19" s="48" t="s">
        <v>57</v>
      </c>
      <c r="D19" s="48" t="s">
        <v>164</v>
      </c>
      <c r="E19" s="211">
        <v>220</v>
      </c>
      <c r="F19" s="212">
        <v>399.72727300000003</v>
      </c>
      <c r="G19" s="212">
        <v>308.77272699999997</v>
      </c>
      <c r="H19" s="212">
        <v>244.8</v>
      </c>
      <c r="I19" s="212">
        <v>131.033333</v>
      </c>
      <c r="J19" s="101">
        <v>179.66666699999999</v>
      </c>
      <c r="K19" s="101">
        <f t="shared" si="8"/>
        <v>1484</v>
      </c>
      <c r="L19" s="472"/>
      <c r="M19" s="44" t="s">
        <v>55</v>
      </c>
      <c r="N19" s="44" t="s">
        <v>164</v>
      </c>
      <c r="O19" s="109">
        <f>E19*'Data by dwelling type'!AA19</f>
        <v>81.173032345013482</v>
      </c>
      <c r="P19" s="480">
        <f>E19*'Data by dwelling type'!AB19</f>
        <v>102.23827126167988</v>
      </c>
      <c r="Q19" s="110">
        <f>E19*'Data by dwelling type'!AC19</f>
        <v>36.588696393306648</v>
      </c>
      <c r="R19" s="109">
        <f>F19*'Data by dwelling type'!AA19</f>
        <v>147.48670391096834</v>
      </c>
      <c r="S19" s="480">
        <f>F19*'Data by dwelling type'!AB19</f>
        <v>185.76102439847986</v>
      </c>
      <c r="T19" s="110">
        <f>F19*'Data by dwelling type'!AC19</f>
        <v>66.479544690551833</v>
      </c>
      <c r="U19" s="109">
        <f>G19*'Data by dwelling type'!AA19</f>
        <v>113.92735707285915</v>
      </c>
      <c r="V19" s="480">
        <f>G19*'Data by dwelling type'!AB19</f>
        <v>143.49268100561193</v>
      </c>
      <c r="W19" s="110">
        <f>G19*'Data by dwelling type'!AC19</f>
        <v>51.352688921528895</v>
      </c>
      <c r="X19" s="109">
        <f>H19*'Data by dwelling type'!AA19</f>
        <v>90.323446900269545</v>
      </c>
      <c r="Y19" s="480">
        <f>H19*'Data by dwelling type'!AB19</f>
        <v>113.76331274936017</v>
      </c>
      <c r="Z19" s="110">
        <f>H19*'Data by dwelling type'!AC19</f>
        <v>40.713240350370306</v>
      </c>
      <c r="AA19" s="480">
        <f>I19*'Data by dwelling type'!AA19</f>
        <v>48.34714989947237</v>
      </c>
      <c r="AB19" s="480">
        <f>I19*'Data by dwelling type'!AB19</f>
        <v>60.893733834436496</v>
      </c>
      <c r="AC19" s="110">
        <f>I19*'Data by dwelling type'!AC19</f>
        <v>21.792449266091133</v>
      </c>
      <c r="AD19" s="480">
        <f>J19*'Data by dwelling type'!AA19</f>
        <v>66.291309871417113</v>
      </c>
      <c r="AE19" s="480">
        <f>J19*'Data by dwelling type'!AB19</f>
        <v>83.49458835194504</v>
      </c>
      <c r="AF19" s="110">
        <f>J19*'Data by dwelling type'!AC19</f>
        <v>29.880768776637847</v>
      </c>
      <c r="AI19" s="480">
        <f t="shared" si="3"/>
        <v>547.54899999999998</v>
      </c>
      <c r="AJ19" s="480">
        <f t="shared" si="4"/>
        <v>689.64361160151338</v>
      </c>
      <c r="AK19" s="480">
        <f t="shared" si="5"/>
        <v>246.80738839848667</v>
      </c>
      <c r="AL19" s="480">
        <f>AI19-'Data by dwelling type'!W19</f>
        <v>0</v>
      </c>
      <c r="AM19" s="480">
        <f>AJ19-'Data by dwelling type'!Y19</f>
        <v>0</v>
      </c>
      <c r="AN19" s="480">
        <f>AK19-'Data by dwelling type'!Z19</f>
        <v>0</v>
      </c>
    </row>
    <row r="20" spans="1:40">
      <c r="A20" s="48" t="s">
        <v>100</v>
      </c>
      <c r="B20" s="48" t="s">
        <v>30</v>
      </c>
      <c r="C20" s="48" t="s">
        <v>57</v>
      </c>
      <c r="D20" s="48" t="s">
        <v>164</v>
      </c>
      <c r="E20" s="211">
        <v>768.510131</v>
      </c>
      <c r="F20" s="212">
        <v>1035.430433</v>
      </c>
      <c r="G20" s="212">
        <v>620.99764700000003</v>
      </c>
      <c r="H20" s="212">
        <v>844.19135100000005</v>
      </c>
      <c r="I20" s="212">
        <v>348.18950699999999</v>
      </c>
      <c r="J20" s="101">
        <v>410.68093099999999</v>
      </c>
      <c r="K20" s="101">
        <f t="shared" si="8"/>
        <v>4028</v>
      </c>
      <c r="L20" s="472"/>
      <c r="M20" s="44" t="s">
        <v>30</v>
      </c>
      <c r="N20" s="44" t="s">
        <v>164</v>
      </c>
      <c r="O20" s="109">
        <f>E20*'Data by dwelling type'!AA20</f>
        <v>295.53679069488578</v>
      </c>
      <c r="P20" s="480">
        <f>E20*'Data by dwelling type'!AB20</f>
        <v>345.4056736628205</v>
      </c>
      <c r="Q20" s="110">
        <f>E20*'Data by dwelling type'!AC20</f>
        <v>127.56766664229369</v>
      </c>
      <c r="R20" s="109">
        <f>F20*'Data by dwelling type'!AA20</f>
        <v>398.1831531074975</v>
      </c>
      <c r="S20" s="480">
        <f>F20*'Data by dwelling type'!AB20</f>
        <v>465.37258497292464</v>
      </c>
      <c r="T20" s="110">
        <f>F20*'Data by dwelling type'!AC20</f>
        <v>171.87469491957785</v>
      </c>
      <c r="U20" s="109">
        <f>G20*'Data by dwelling type'!AA20</f>
        <v>238.80967110302882</v>
      </c>
      <c r="V20" s="480">
        <f>G20*'Data by dwelling type'!AB20</f>
        <v>279.10641896933095</v>
      </c>
      <c r="W20" s="110">
        <f>G20*'Data by dwelling type'!AC20</f>
        <v>103.08155692764026</v>
      </c>
      <c r="X20" s="109">
        <f>H20*'Data by dwelling type'!AA20</f>
        <v>324.64061636022842</v>
      </c>
      <c r="Y20" s="480">
        <f>H20*'Data by dwelling type'!AB20</f>
        <v>379.42047935407322</v>
      </c>
      <c r="Z20" s="110">
        <f>H20*'Data by dwelling type'!AC20</f>
        <v>140.13025528569844</v>
      </c>
      <c r="AA20" s="480">
        <f>I20*'Data by dwelling type'!AA20</f>
        <v>133.89909293520358</v>
      </c>
      <c r="AB20" s="480">
        <f>I20*'Data by dwelling type'!AB20</f>
        <v>156.49322809989133</v>
      </c>
      <c r="AC20" s="110">
        <f>I20*'Data by dwelling type'!AC20</f>
        <v>57.797185964905104</v>
      </c>
      <c r="AD20" s="480">
        <f>J20*'Data by dwelling type'!AA20</f>
        <v>157.93067579915589</v>
      </c>
      <c r="AE20" s="480">
        <f>J20*'Data by dwelling type'!AB20</f>
        <v>184.57990065524498</v>
      </c>
      <c r="AF20" s="110">
        <f>J20*'Data by dwelling type'!AC20</f>
        <v>68.17035454559911</v>
      </c>
      <c r="AI20" s="480">
        <f t="shared" si="3"/>
        <v>1549</v>
      </c>
      <c r="AJ20" s="480">
        <f t="shared" si="4"/>
        <v>1810.3782857142858</v>
      </c>
      <c r="AK20" s="480">
        <f t="shared" si="5"/>
        <v>668.62171428571446</v>
      </c>
      <c r="AL20" s="480">
        <f>AI20-'Data by dwelling type'!W20</f>
        <v>0</v>
      </c>
      <c r="AM20" s="480">
        <f>AJ20-'Data by dwelling type'!Y20</f>
        <v>0</v>
      </c>
      <c r="AN20" s="480">
        <f>AK20-'Data by dwelling type'!Z20</f>
        <v>0</v>
      </c>
    </row>
    <row r="21" spans="1:40">
      <c r="A21" s="48" t="s">
        <v>101</v>
      </c>
      <c r="B21" s="48" t="s">
        <v>31</v>
      </c>
      <c r="C21" s="48" t="s">
        <v>57</v>
      </c>
      <c r="D21" s="48" t="s">
        <v>164</v>
      </c>
      <c r="E21" s="211">
        <v>277.86701599999998</v>
      </c>
      <c r="F21" s="212">
        <v>252.13665</v>
      </c>
      <c r="G21" s="212">
        <v>213.07385600000001</v>
      </c>
      <c r="H21" s="212">
        <v>185.43695600000001</v>
      </c>
      <c r="I21" s="212">
        <v>240.938456</v>
      </c>
      <c r="J21" s="101">
        <v>479.95506699999999</v>
      </c>
      <c r="K21" s="101">
        <f t="shared" si="8"/>
        <v>1649.4080009999998</v>
      </c>
      <c r="L21" s="472"/>
      <c r="M21" s="44" t="s">
        <v>31</v>
      </c>
      <c r="N21" s="44" t="s">
        <v>164</v>
      </c>
      <c r="O21" s="109">
        <f>E21*'Data by dwelling type'!AA21</f>
        <v>31.327020862816234</v>
      </c>
      <c r="P21" s="480">
        <f>E21*'Data by dwelling type'!AB21</f>
        <v>98.451963737097685</v>
      </c>
      <c r="Q21" s="110">
        <f>E21*'Data by dwelling type'!AC21</f>
        <v>148.08803140008607</v>
      </c>
      <c r="R21" s="109">
        <f>F21*'Data by dwelling type'!AA21</f>
        <v>28.426152223949444</v>
      </c>
      <c r="S21" s="480">
        <f>F21*'Data by dwelling type'!AB21</f>
        <v>89.335354299818349</v>
      </c>
      <c r="T21" s="110">
        <f>F21*'Data by dwelling type'!AC21</f>
        <v>134.37514347623221</v>
      </c>
      <c r="U21" s="109">
        <f>G21*'Data by dwelling type'!AA21</f>
        <v>24.022171570852088</v>
      </c>
      <c r="V21" s="480">
        <f>G21*'Data by dwelling type'!AB21</f>
        <v>75.494889052378838</v>
      </c>
      <c r="W21" s="110">
        <f>G21*'Data by dwelling type'!AC21</f>
        <v>113.55679537676909</v>
      </c>
      <c r="X21" s="109">
        <f>H21*'Data by dwelling type'!AA21</f>
        <v>20.906358275172671</v>
      </c>
      <c r="Y21" s="480">
        <f>H21*'Data by dwelling type'!AB21</f>
        <v>65.702769369466225</v>
      </c>
      <c r="Z21" s="110">
        <f>H21*'Data by dwelling type'!AC21</f>
        <v>98.82782835536112</v>
      </c>
      <c r="AA21" s="480">
        <f>I21*'Data by dwelling type'!AA21</f>
        <v>27.163656005024833</v>
      </c>
      <c r="AB21" s="480">
        <f>I21*'Data by dwelling type'!AB21</f>
        <v>85.367685860866288</v>
      </c>
      <c r="AC21" s="110">
        <f>I21*'Data by dwelling type'!AC21</f>
        <v>128.40711413410889</v>
      </c>
      <c r="AD21" s="480">
        <f>J21*'Data by dwelling type'!AA21</f>
        <v>54.110641174925789</v>
      </c>
      <c r="AE21" s="480">
        <f>J21*'Data by dwelling type'!AB21</f>
        <v>170.05443658602607</v>
      </c>
      <c r="AF21" s="110">
        <f>J21*'Data by dwelling type'!AC21</f>
        <v>255.78998923904814</v>
      </c>
      <c r="AI21" s="480">
        <f t="shared" si="3"/>
        <v>185.95600011274104</v>
      </c>
      <c r="AJ21" s="480">
        <f t="shared" si="4"/>
        <v>584.40709890565347</v>
      </c>
      <c r="AK21" s="480">
        <f t="shared" si="5"/>
        <v>879.04490198160545</v>
      </c>
      <c r="AL21" s="480">
        <f>AI21-'Data by dwelling type'!W21</f>
        <v>1.1274104849690048E-7</v>
      </c>
      <c r="AM21" s="480">
        <f>AJ21-'Data by dwelling type'!Y21</f>
        <v>3.5431332889857003E-7</v>
      </c>
      <c r="AN21" s="480">
        <f>AK21-'Data by dwelling type'!Z21</f>
        <v>5.3294559165806277E-7</v>
      </c>
    </row>
    <row r="22" spans="1:40">
      <c r="A22" s="93" t="s">
        <v>102</v>
      </c>
      <c r="B22" s="28" t="s">
        <v>63</v>
      </c>
      <c r="C22" s="48" t="s">
        <v>505</v>
      </c>
      <c r="D22" s="93" t="s">
        <v>164</v>
      </c>
      <c r="E22" s="208">
        <f>$K$22*(E17/$K$17)</f>
        <v>21.347709864728461</v>
      </c>
      <c r="F22" s="209">
        <f t="shared" ref="F22:J22" si="9">$K$22*(F17/$K$17)</f>
        <v>39.045341853828695</v>
      </c>
      <c r="G22" s="209">
        <f t="shared" si="9"/>
        <v>31.015425885692057</v>
      </c>
      <c r="H22" s="209">
        <f t="shared" si="9"/>
        <v>24.575621784710535</v>
      </c>
      <c r="I22" s="209">
        <f t="shared" si="9"/>
        <v>17.944024211039551</v>
      </c>
      <c r="J22" s="210">
        <f t="shared" si="9"/>
        <v>17.52681905628226</v>
      </c>
      <c r="K22" s="213">
        <f>Population!E42/(Population!$E$44/'Dwelling stock'!$K$32)</f>
        <v>151.45494265628156</v>
      </c>
      <c r="L22" s="472"/>
      <c r="M22" s="346" t="s">
        <v>63</v>
      </c>
      <c r="N22" s="346" t="s">
        <v>164</v>
      </c>
      <c r="O22" s="109">
        <f>E22*'Data by dwelling type'!AA22</f>
        <v>9.4665630514884089</v>
      </c>
      <c r="P22" s="480">
        <f>E22*'Data by dwelling type'!AB22</f>
        <v>6.1429929449196727</v>
      </c>
      <c r="Q22" s="110">
        <f>E22*'Data by dwelling type'!AC22</f>
        <v>5.7381538683203814</v>
      </c>
      <c r="R22" s="109">
        <f>F22*'Data by dwelling type'!AA22</f>
        <v>17.314512557475691</v>
      </c>
      <c r="S22" s="480">
        <f>F22*'Data by dwelling type'!AB22</f>
        <v>11.235643591743999</v>
      </c>
      <c r="T22" s="110">
        <f>F22*'Data by dwelling type'!AC22</f>
        <v>10.495185704609007</v>
      </c>
      <c r="U22" s="109">
        <f>G22*'Data by dwelling type'!AA22</f>
        <v>13.753675995043519</v>
      </c>
      <c r="V22" s="480">
        <f>G22*'Data by dwelling type'!AB22</f>
        <v>8.92496401753532</v>
      </c>
      <c r="W22" s="110">
        <f>G22*'Data by dwelling type'!AC22</f>
        <v>8.3367858731132198</v>
      </c>
      <c r="X22" s="109">
        <f>H22*'Data by dwelling type'!AA22</f>
        <v>10.897968664024354</v>
      </c>
      <c r="Y22" s="480">
        <f>H22*'Data by dwelling type'!AB22</f>
        <v>7.0718532431399668</v>
      </c>
      <c r="Z22" s="110">
        <f>H22*'Data by dwelling type'!AC22</f>
        <v>6.6057998775462146</v>
      </c>
      <c r="AA22" s="480">
        <f>I22*'Data by dwelling type'!AA22</f>
        <v>7.9572112262919372</v>
      </c>
      <c r="AB22" s="480">
        <f>I22*'Data by dwelling type'!AB22</f>
        <v>5.1635521950769148</v>
      </c>
      <c r="AC22" s="110">
        <f>I22*'Data by dwelling type'!AC22</f>
        <v>4.8232607896706998</v>
      </c>
      <c r="AD22" s="480">
        <f>J22*'Data by dwelling type'!AA22</f>
        <v>7.7722031421488511</v>
      </c>
      <c r="AE22" s="480">
        <f>J22*'Data by dwelling type'!AB22</f>
        <v>5.043497709677867</v>
      </c>
      <c r="AF22" s="110">
        <f>J22*'Data by dwelling type'!AC22</f>
        <v>4.7111182044555431</v>
      </c>
      <c r="AI22" s="480">
        <f t="shared" si="3"/>
        <v>67.162134636472771</v>
      </c>
      <c r="AJ22" s="480">
        <f t="shared" si="4"/>
        <v>43.582503702093739</v>
      </c>
      <c r="AK22" s="480">
        <f t="shared" si="5"/>
        <v>40.710304317715071</v>
      </c>
      <c r="AL22" s="480">
        <f>AI22-'Data by dwelling type'!W22</f>
        <v>0</v>
      </c>
      <c r="AM22" s="480">
        <f>AJ22-'Data by dwelling type'!Y22</f>
        <v>0</v>
      </c>
      <c r="AN22" s="480">
        <f>AK22-'Data by dwelling type'!Z22</f>
        <v>0</v>
      </c>
    </row>
    <row r="23" spans="1:40">
      <c r="A23" s="48" t="s">
        <v>103</v>
      </c>
      <c r="B23" s="48" t="s">
        <v>33</v>
      </c>
      <c r="C23" s="48" t="s">
        <v>57</v>
      </c>
      <c r="D23" s="48" t="s">
        <v>164</v>
      </c>
      <c r="E23" s="211">
        <v>6492</v>
      </c>
      <c r="F23" s="212">
        <v>9106.363636</v>
      </c>
      <c r="G23" s="212">
        <v>5152.0363639999996</v>
      </c>
      <c r="H23" s="212">
        <v>3732.2</v>
      </c>
      <c r="I23" s="212">
        <v>1380.9</v>
      </c>
      <c r="J23" s="101">
        <v>1080.5</v>
      </c>
      <c r="K23" s="101">
        <f>SUM(E23:J23)</f>
        <v>26944.000000000004</v>
      </c>
      <c r="L23" s="472"/>
      <c r="M23" s="44" t="s">
        <v>33</v>
      </c>
      <c r="N23" s="44" t="s">
        <v>164</v>
      </c>
      <c r="O23" s="109">
        <f>E23*'Data by dwelling type'!AA23</f>
        <v>4829.7260985748217</v>
      </c>
      <c r="P23" s="480">
        <f>E23*'Data by dwelling type'!AB23</f>
        <v>598.28263118779432</v>
      </c>
      <c r="Q23" s="110">
        <f>E23*'Data by dwelling type'!AC23</f>
        <v>1063.9912702373838</v>
      </c>
      <c r="R23" s="109">
        <f>F23*'Data by dwelling type'!AA23</f>
        <v>6774.6830123077498</v>
      </c>
      <c r="S23" s="480">
        <f>F23*'Data by dwelling type'!AB23</f>
        <v>839.21429400784496</v>
      </c>
      <c r="T23" s="110">
        <f>F23*'Data by dwelling type'!AC23</f>
        <v>1492.4663296844055</v>
      </c>
      <c r="U23" s="109">
        <f>G23*'Data by dwelling type'!AA23</f>
        <v>3832.8595945806114</v>
      </c>
      <c r="V23" s="480">
        <f>G23*'Data by dwelling type'!AB23</f>
        <v>474.79572887078194</v>
      </c>
      <c r="W23" s="110">
        <f>G23*'Data by dwelling type'!AC23</f>
        <v>844.38104054860628</v>
      </c>
      <c r="X23" s="109">
        <f>H23*'Data by dwelling type'!AA23</f>
        <v>2776.5717413895486</v>
      </c>
      <c r="Y23" s="480">
        <f>H23*'Data by dwelling type'!AB23</f>
        <v>343.94800309905816</v>
      </c>
      <c r="Z23" s="110">
        <f>H23*'Data by dwelling type'!AC23</f>
        <v>611.68025551139306</v>
      </c>
      <c r="AA23" s="480">
        <f>I23*'Data by dwelling type'!AA23</f>
        <v>1027.3211290083136</v>
      </c>
      <c r="AB23" s="480">
        <f>I23*'Data by dwelling type'!AB23</f>
        <v>127.25947094997306</v>
      </c>
      <c r="AC23" s="110">
        <f>I23*'Data by dwelling type'!AC23</f>
        <v>226.31940004171341</v>
      </c>
      <c r="AD23" s="480">
        <f>J23*'Data by dwelling type'!AA23</f>
        <v>803.83842413895491</v>
      </c>
      <c r="AE23" s="480">
        <f>J23*'Data by dwelling type'!AB23</f>
        <v>99.57553650622485</v>
      </c>
      <c r="AF23" s="110">
        <f>J23*'Data by dwelling type'!AC23</f>
        <v>177.08603935482026</v>
      </c>
      <c r="AI23" s="480">
        <f t="shared" si="3"/>
        <v>20044.999999999996</v>
      </c>
      <c r="AJ23" s="480">
        <f t="shared" si="4"/>
        <v>2483.0756646216773</v>
      </c>
      <c r="AK23" s="480">
        <f t="shared" si="5"/>
        <v>4415.9243353783231</v>
      </c>
      <c r="AL23" s="480">
        <f>AI23-'Data by dwelling type'!W23</f>
        <v>0</v>
      </c>
      <c r="AM23" s="480">
        <f>AJ23-'Data by dwelling type'!Y23</f>
        <v>0</v>
      </c>
      <c r="AN23" s="480">
        <f>AK23-'Data by dwelling type'!Z23</f>
        <v>0</v>
      </c>
    </row>
    <row r="24" spans="1:40">
      <c r="A24" s="48" t="s">
        <v>122</v>
      </c>
      <c r="B24" s="48" t="s">
        <v>201</v>
      </c>
      <c r="C24" s="48" t="s">
        <v>504</v>
      </c>
      <c r="D24" s="48" t="s">
        <v>164</v>
      </c>
      <c r="E24" s="208">
        <f>$K$24*(E36/$K$36)</f>
        <v>94.29102298003356</v>
      </c>
      <c r="F24" s="209">
        <f t="shared" ref="F24:J24" si="10">$K$24*(F36/$K$36)</f>
        <v>215.27677852159346</v>
      </c>
      <c r="G24" s="209">
        <f t="shared" si="10"/>
        <v>160.7272176488527</v>
      </c>
      <c r="H24" s="209">
        <f t="shared" si="10"/>
        <v>135.83980085519858</v>
      </c>
      <c r="I24" s="209">
        <f>$K$24*(I36/$K$36)</f>
        <v>66.580146293220139</v>
      </c>
      <c r="J24" s="210">
        <f t="shared" si="10"/>
        <v>49.999334546025949</v>
      </c>
      <c r="K24" s="213">
        <f>Population!E54/(Population!$E$49/'Dwelling stock'!$K$36)</f>
        <v>722.71430084492431</v>
      </c>
      <c r="L24" s="472"/>
      <c r="M24" s="44" t="s">
        <v>201</v>
      </c>
      <c r="N24" s="44" t="s">
        <v>164</v>
      </c>
      <c r="O24" s="109">
        <f>E24*'Data by dwelling type'!AA24</f>
        <v>44.537809726405577</v>
      </c>
      <c r="P24" s="480">
        <f>E24*'Data by dwelling type'!AB24</f>
        <v>36.640449609229186</v>
      </c>
      <c r="Q24" s="110">
        <f>E24*'Data by dwelling type'!AC24</f>
        <v>13.112763644398795</v>
      </c>
      <c r="R24" s="109">
        <f>F24*'Data by dwelling type'!AA24</f>
        <v>101.68471925836</v>
      </c>
      <c r="S24" s="480">
        <f>F24*'Data by dwelling type'!AB24</f>
        <v>83.654177313654912</v>
      </c>
      <c r="T24" s="110">
        <f>F24*'Data by dwelling type'!AC24</f>
        <v>29.937881949578543</v>
      </c>
      <c r="U24" s="109">
        <f>G24*'Data by dwelling type'!AA24</f>
        <v>75.918555247990057</v>
      </c>
      <c r="V24" s="480">
        <f>G24*'Data by dwelling type'!AB24</f>
        <v>62.456820734052698</v>
      </c>
      <c r="W24" s="110">
        <f>G24*'Data by dwelling type'!AC24</f>
        <v>22.351841666809946</v>
      </c>
      <c r="X24" s="109">
        <f>H24*'Data by dwelling type'!AA24</f>
        <v>64.163130407894386</v>
      </c>
      <c r="Y24" s="480">
        <f>H24*'Data by dwelling type'!AB24</f>
        <v>52.785845575316081</v>
      </c>
      <c r="Z24" s="110">
        <f>H24*'Data by dwelling type'!AC24</f>
        <v>18.890824871988109</v>
      </c>
      <c r="AA24" s="480">
        <f>I24*'Data by dwelling type'!AA24</f>
        <v>31.448740224099652</v>
      </c>
      <c r="AB24" s="480">
        <f>I24*'Data by dwelling type'!AB24</f>
        <v>25.872309135392644</v>
      </c>
      <c r="AC24" s="110">
        <f>I24*'Data by dwelling type'!AC24</f>
        <v>9.259096933727843</v>
      </c>
      <c r="AD24" s="480">
        <f>J24*'Data by dwelling type'!AA24</f>
        <v>23.61689138667364</v>
      </c>
      <c r="AE24" s="480">
        <f>J24*'Data by dwelling type'!AB24</f>
        <v>19.429188909283418</v>
      </c>
      <c r="AF24" s="110">
        <f>J24*'Data by dwelling type'!AC24</f>
        <v>6.9532542500688912</v>
      </c>
      <c r="AI24" s="480">
        <f t="shared" si="3"/>
        <v>341.36984625142327</v>
      </c>
      <c r="AJ24" s="480">
        <f t="shared" si="4"/>
        <v>280.83879127692899</v>
      </c>
      <c r="AK24" s="480">
        <f t="shared" si="5"/>
        <v>100.50566331657213</v>
      </c>
      <c r="AL24" s="480">
        <f>AI24-'Data by dwelling type'!W24</f>
        <v>0</v>
      </c>
      <c r="AM24" s="480">
        <f>AJ24-'Data by dwelling type'!Y24</f>
        <v>0</v>
      </c>
      <c r="AN24" s="480">
        <f>AK24-'Data by dwelling type'!Z24</f>
        <v>0</v>
      </c>
    </row>
    <row r="25" spans="1:40">
      <c r="A25" s="48" t="s">
        <v>104</v>
      </c>
      <c r="B25" s="48" t="s">
        <v>36</v>
      </c>
      <c r="C25" s="48" t="s">
        <v>57</v>
      </c>
      <c r="D25" s="48" t="s">
        <v>164</v>
      </c>
      <c r="E25" s="211">
        <v>395.49377600000003</v>
      </c>
      <c r="F25" s="212">
        <v>422.65282100000002</v>
      </c>
      <c r="G25" s="212">
        <v>278.21590800000001</v>
      </c>
      <c r="H25" s="212">
        <v>278.21590800000001</v>
      </c>
      <c r="I25" s="212">
        <v>86.516165000000001</v>
      </c>
      <c r="J25" s="101">
        <v>75.823213999999993</v>
      </c>
      <c r="K25" s="101">
        <f t="shared" si="8"/>
        <v>1536.9177920000002</v>
      </c>
      <c r="L25" s="472"/>
      <c r="M25" s="44" t="s">
        <v>36</v>
      </c>
      <c r="N25" s="44" t="s">
        <v>164</v>
      </c>
      <c r="O25" s="109">
        <f>E25*'Data by dwelling type'!AA25</f>
        <v>256.67024104732417</v>
      </c>
      <c r="P25" s="480">
        <f>E25*'Data by dwelling type'!AB25</f>
        <v>92.199781704418712</v>
      </c>
      <c r="Q25" s="110">
        <f>E25*'Data by dwelling type'!AC25</f>
        <v>46.623753248257195</v>
      </c>
      <c r="R25" s="109">
        <f>F25*'Data by dwelling type'!AA25</f>
        <v>274.29610281756123</v>
      </c>
      <c r="S25" s="480">
        <f>F25*'Data by dwelling type'!AB25</f>
        <v>98.531254340034806</v>
      </c>
      <c r="T25" s="110">
        <f>F25*'Data by dwelling type'!AC25</f>
        <v>49.82546384240397</v>
      </c>
      <c r="U25" s="109">
        <f>G25*'Data by dwelling type'!AA25</f>
        <v>180.5584525040924</v>
      </c>
      <c r="V25" s="480">
        <f>G25*'Data by dwelling type'!AB25</f>
        <v>64.859291197282047</v>
      </c>
      <c r="W25" s="110">
        <f>G25*'Data by dwelling type'!AC25</f>
        <v>32.798164298625586</v>
      </c>
      <c r="X25" s="109">
        <f>H25*'Data by dwelling type'!AA25</f>
        <v>180.5584525040924</v>
      </c>
      <c r="Y25" s="480">
        <f>H25*'Data by dwelling type'!AB25</f>
        <v>64.859291197282047</v>
      </c>
      <c r="Z25" s="110">
        <f>H25*'Data by dwelling type'!AC25</f>
        <v>32.798164298625586</v>
      </c>
      <c r="AA25" s="480">
        <f>I25*'Data by dwelling type'!AA25</f>
        <v>56.147849277506879</v>
      </c>
      <c r="AB25" s="480">
        <f>I25*'Data by dwelling type'!AB25</f>
        <v>20.169145536448266</v>
      </c>
      <c r="AC25" s="110">
        <f>I25*'Data by dwelling type'!AC25</f>
        <v>10.199170186044862</v>
      </c>
      <c r="AD25" s="480">
        <f>J25*'Data by dwelling type'!AA25</f>
        <v>49.208265200013763</v>
      </c>
      <c r="AE25" s="480">
        <f>J25*'Data by dwelling type'!AB25</f>
        <v>17.676343353953119</v>
      </c>
      <c r="AF25" s="110">
        <f>J25*'Data by dwelling type'!AC25</f>
        <v>8.9386054460331117</v>
      </c>
      <c r="AI25" s="480">
        <f t="shared" si="3"/>
        <v>997.43936335059095</v>
      </c>
      <c r="AJ25" s="480">
        <f t="shared" si="4"/>
        <v>358.29510732941901</v>
      </c>
      <c r="AK25" s="480">
        <f t="shared" si="5"/>
        <v>181.18332131999028</v>
      </c>
      <c r="AL25" s="480">
        <f>AI25-'Data by dwelling type'!W25</f>
        <v>-4.7615006494090721</v>
      </c>
      <c r="AM25" s="480">
        <f>AJ25-'Data by dwelling type'!Y25</f>
        <v>-1.7104021045432773</v>
      </c>
      <c r="AN25" s="480">
        <f>AK25-'Data by dwelling type'!Z25</f>
        <v>-0.86491924604746373</v>
      </c>
    </row>
    <row r="26" spans="1:40">
      <c r="A26" s="48" t="s">
        <v>105</v>
      </c>
      <c r="B26" s="48" t="s">
        <v>38</v>
      </c>
      <c r="C26" s="48" t="s">
        <v>57</v>
      </c>
      <c r="D26" s="48" t="s">
        <v>164</v>
      </c>
      <c r="E26" s="211">
        <v>53.226568</v>
      </c>
      <c r="F26" s="212">
        <v>48.955233</v>
      </c>
      <c r="G26" s="212">
        <v>26.436616999999998</v>
      </c>
      <c r="H26" s="212">
        <v>20.547526000000001</v>
      </c>
      <c r="I26" s="212">
        <v>16.347989999999999</v>
      </c>
      <c r="J26" s="101">
        <v>22.486065</v>
      </c>
      <c r="K26" s="101">
        <f t="shared" si="8"/>
        <v>187.99999900000003</v>
      </c>
      <c r="L26" s="472"/>
      <c r="M26" s="44" t="s">
        <v>38</v>
      </c>
      <c r="N26" s="44" t="s">
        <v>164</v>
      </c>
      <c r="O26" s="109">
        <f>E26*'Data by dwelling type'!AA26</f>
        <v>19.252162893617022</v>
      </c>
      <c r="P26" s="480">
        <f>E26*'Data by dwelling type'!AB26</f>
        <v>14.810399351764557</v>
      </c>
      <c r="Q26" s="110">
        <f>E26*'Data by dwelling type'!AC26</f>
        <v>19.164005754618422</v>
      </c>
      <c r="R26" s="109">
        <f>F26*'Data by dwelling type'!AA26</f>
        <v>17.707211936170214</v>
      </c>
      <c r="S26" s="480">
        <f>F26*'Data by dwelling type'!AB26</f>
        <v>13.621891817046759</v>
      </c>
      <c r="T26" s="110">
        <f>F26*'Data by dwelling type'!AC26</f>
        <v>17.626129246783027</v>
      </c>
      <c r="U26" s="109">
        <f>G26*'Data by dwelling type'!AA26</f>
        <v>9.5621806170212764</v>
      </c>
      <c r="V26" s="480">
        <f>G26*'Data by dwelling type'!AB26</f>
        <v>7.3560417286278508</v>
      </c>
      <c r="W26" s="110">
        <f>G26*'Data by dwelling type'!AC26</f>
        <v>9.5183946543508711</v>
      </c>
      <c r="X26" s="109">
        <f>H26*'Data by dwelling type'!AA26</f>
        <v>7.4320838723404261</v>
      </c>
      <c r="Y26" s="480">
        <f>H26*'Data by dwelling type'!AB26</f>
        <v>5.7173903406803417</v>
      </c>
      <c r="Z26" s="110">
        <f>H26*'Data by dwelling type'!AC26</f>
        <v>7.3980517869792326</v>
      </c>
      <c r="AA26" s="480">
        <f>I26*'Data by dwelling type'!AA26</f>
        <v>5.9131027659574471</v>
      </c>
      <c r="AB26" s="480">
        <f>I26*'Data by dwelling type'!AB26</f>
        <v>4.5488610217862151</v>
      </c>
      <c r="AC26" s="110">
        <f>I26*'Data by dwelling type'!AC26</f>
        <v>5.886026212256338</v>
      </c>
      <c r="AD26" s="480">
        <f>J26*'Data by dwelling type'!AA26</f>
        <v>8.1332575531914895</v>
      </c>
      <c r="AE26" s="480">
        <f>J26*'Data by dwelling type'!AB26</f>
        <v>6.2567927073512548</v>
      </c>
      <c r="AF26" s="110">
        <f>J26*'Data by dwelling type'!AC26</f>
        <v>8.0960147394572548</v>
      </c>
      <c r="AI26" s="480">
        <f t="shared" si="3"/>
        <v>67.999999638297879</v>
      </c>
      <c r="AJ26" s="480">
        <f t="shared" si="4"/>
        <v>52.311376967256976</v>
      </c>
      <c r="AK26" s="480">
        <f t="shared" si="5"/>
        <v>67.688622394445147</v>
      </c>
      <c r="AL26" s="480">
        <f>AI26-'Data by dwelling type'!W26</f>
        <v>-3.6170212069919216E-7</v>
      </c>
      <c r="AM26" s="480">
        <f>AJ26-'Data by dwelling type'!Y26</f>
        <v>-2.782520098776331E-7</v>
      </c>
      <c r="AN26" s="480">
        <f>AK26-'Data by dwelling type'!Z26</f>
        <v>-3.6004585979299009E-7</v>
      </c>
    </row>
    <row r="27" spans="1:40">
      <c r="A27" s="48" t="s">
        <v>106</v>
      </c>
      <c r="B27" s="48" t="s">
        <v>35</v>
      </c>
      <c r="C27" s="48" t="s">
        <v>57</v>
      </c>
      <c r="D27" s="48" t="s">
        <v>164</v>
      </c>
      <c r="E27" s="211">
        <v>206.752848</v>
      </c>
      <c r="F27" s="212">
        <v>250.74518599999999</v>
      </c>
      <c r="G27" s="212">
        <v>202.71631099999999</v>
      </c>
      <c r="H27" s="212">
        <v>195.680711</v>
      </c>
      <c r="I27" s="214">
        <v>61.251311000000001</v>
      </c>
      <c r="J27" s="213">
        <v>71.061633</v>
      </c>
      <c r="K27" s="101">
        <f t="shared" si="8"/>
        <v>988.20799999999997</v>
      </c>
      <c r="L27" s="472"/>
      <c r="M27" s="44" t="s">
        <v>35</v>
      </c>
      <c r="N27" s="44" t="s">
        <v>164</v>
      </c>
      <c r="O27" s="109">
        <f>E27*'Data by dwelling type'!AA27</f>
        <v>142.81512059319493</v>
      </c>
      <c r="P27" s="480">
        <f>E27*'Data by dwelling type'!AB27</f>
        <v>45.690331045761816</v>
      </c>
      <c r="Q27" s="110">
        <f>E27*'Data by dwelling type'!AC27</f>
        <v>18.247396361043236</v>
      </c>
      <c r="R27" s="109">
        <f>F27*'Data by dwelling type'!AA27</f>
        <v>173.20295378351014</v>
      </c>
      <c r="S27" s="480">
        <f>F27*'Data by dwelling type'!AB27</f>
        <v>55.412201898525339</v>
      </c>
      <c r="T27" s="110">
        <f>F27*'Data by dwelling type'!AC27</f>
        <v>22.130030317964515</v>
      </c>
      <c r="U27" s="109">
        <f>G27*'Data by dwelling type'!AA27</f>
        <v>140.02687112524131</v>
      </c>
      <c r="V27" s="480">
        <f>G27*'Data by dwelling type'!AB27</f>
        <v>44.798296359939897</v>
      </c>
      <c r="W27" s="110">
        <f>G27*'Data by dwelling type'!AC27</f>
        <v>17.891143514818761</v>
      </c>
      <c r="X27" s="109">
        <f>H27*'Data by dwelling type'!AA27</f>
        <v>135.16701031962145</v>
      </c>
      <c r="Y27" s="480">
        <f>H27*'Data by dwelling type'!AB27</f>
        <v>43.243498463731179</v>
      </c>
      <c r="Z27" s="110">
        <f>H27*'Data by dwelling type'!AC27</f>
        <v>17.270202216647352</v>
      </c>
      <c r="AA27" s="480">
        <f>I27*'Data by dwelling type'!AA27</f>
        <v>42.309518110997381</v>
      </c>
      <c r="AB27" s="480">
        <f>I27*'Data by dwelling type'!AB27</f>
        <v>13.535932895961425</v>
      </c>
      <c r="AC27" s="110">
        <f>I27*'Data by dwelling type'!AC27</f>
        <v>5.4058599930411964</v>
      </c>
      <c r="AD27" s="480">
        <f>J27*'Data by dwelling type'!AA27</f>
        <v>49.086026067434688</v>
      </c>
      <c r="AE27" s="480">
        <f>J27*'Data by dwelling type'!AB27</f>
        <v>15.703916864170269</v>
      </c>
      <c r="AF27" s="110">
        <f>J27*'Data by dwelling type'!AC27</f>
        <v>6.2716900683950429</v>
      </c>
      <c r="AI27" s="480">
        <f t="shared" si="3"/>
        <v>682.60749999999985</v>
      </c>
      <c r="AJ27" s="480">
        <f t="shared" si="4"/>
        <v>218.38417752808994</v>
      </c>
      <c r="AK27" s="480">
        <f t="shared" si="5"/>
        <v>87.216322471910104</v>
      </c>
      <c r="AL27" s="480">
        <f>AI27-'Data by dwelling type'!W27</f>
        <v>0</v>
      </c>
      <c r="AM27" s="480">
        <f>AJ27-'Data by dwelling type'!Y27</f>
        <v>0</v>
      </c>
      <c r="AN27" s="480">
        <f>AK27-'Data by dwelling type'!Z27</f>
        <v>0</v>
      </c>
    </row>
    <row r="28" spans="1:40">
      <c r="A28" s="48" t="s">
        <v>119</v>
      </c>
      <c r="B28" s="48" t="s">
        <v>204</v>
      </c>
      <c r="C28" s="48" t="s">
        <v>505</v>
      </c>
      <c r="D28" s="48" t="s">
        <v>164</v>
      </c>
      <c r="E28" s="208">
        <f>$K$28*(E36/$K$36)</f>
        <v>26.956076295213084</v>
      </c>
      <c r="F28" s="209">
        <f t="shared" ref="F28:J28" si="11">$K$28*(F36/$K$36)</f>
        <v>61.54368764929584</v>
      </c>
      <c r="G28" s="209">
        <f t="shared" si="11"/>
        <v>45.948967406761824</v>
      </c>
      <c r="H28" s="209">
        <f t="shared" si="11"/>
        <v>38.83411082044006</v>
      </c>
      <c r="I28" s="209">
        <f t="shared" si="11"/>
        <v>19.034044244132687</v>
      </c>
      <c r="J28" s="210">
        <f t="shared" si="11"/>
        <v>14.293893884447057</v>
      </c>
      <c r="K28" s="213">
        <f>Population!E46/(Population!$E$49/'Dwelling stock'!$K$36)</f>
        <v>206.61078030029054</v>
      </c>
      <c r="L28" s="472"/>
      <c r="M28" s="44" t="s">
        <v>204</v>
      </c>
      <c r="N28" s="44" t="s">
        <v>164</v>
      </c>
      <c r="O28" s="109">
        <f>E28*'Data by dwelling type'!AA28</f>
        <v>16.050250811740536</v>
      </c>
      <c r="P28" s="480">
        <f>E28*'Data by dwelling type'!AB28</f>
        <v>6.966706428248135</v>
      </c>
      <c r="Q28" s="110">
        <f>E28*'Data by dwelling type'!AC28</f>
        <v>3.9391190552244133</v>
      </c>
      <c r="R28" s="109">
        <f>F28*'Data by dwelling type'!AA28</f>
        <v>36.644488308783671</v>
      </c>
      <c r="S28" s="480">
        <f>F28*'Data by dwelling type'!AB28</f>
        <v>15.905757190655534</v>
      </c>
      <c r="T28" s="110">
        <f>F28*'Data by dwelling type'!AC28</f>
        <v>8.9934421498566355</v>
      </c>
      <c r="U28" s="109">
        <f>G28*'Data by dwelling type'!AA28</f>
        <v>27.359043035131332</v>
      </c>
      <c r="V28" s="480">
        <f>G28*'Data by dwelling type'!AB28</f>
        <v>11.87535467322067</v>
      </c>
      <c r="W28" s="110">
        <f>G28*'Data by dwelling type'!AC28</f>
        <v>6.7145696984098198</v>
      </c>
      <c r="X28" s="109">
        <f>H28*'Data by dwelling type'!AA28</f>
        <v>23.122698270062266</v>
      </c>
      <c r="Y28" s="480">
        <f>H28*'Data by dwelling type'!AB28</f>
        <v>10.036544136659248</v>
      </c>
      <c r="Z28" s="110">
        <f>H28*'Data by dwelling type'!AC28</f>
        <v>5.6748684137185474</v>
      </c>
      <c r="AA28" s="480">
        <f>I28*'Data by dwelling type'!AA28</f>
        <v>11.333295719093488</v>
      </c>
      <c r="AB28" s="480">
        <f>I28*'Data by dwelling type'!AB28</f>
        <v>4.9192841324130994</v>
      </c>
      <c r="AC28" s="110">
        <f>I28*'Data by dwelling type'!AC28</f>
        <v>2.7814643926260985</v>
      </c>
      <c r="AD28" s="480">
        <f>J28*'Data by dwelling type'!AA28</f>
        <v>8.5109041616164447</v>
      </c>
      <c r="AE28" s="480">
        <f>J28*'Data by dwelling type'!AB28</f>
        <v>3.6942083602559723</v>
      </c>
      <c r="AF28" s="110">
        <f>J28*'Data by dwelling type'!AC28</f>
        <v>2.0887813625746388</v>
      </c>
      <c r="AI28" s="480">
        <f t="shared" si="3"/>
        <v>123.02068030642775</v>
      </c>
      <c r="AJ28" s="480">
        <f t="shared" si="4"/>
        <v>53.397854921452648</v>
      </c>
      <c r="AK28" s="480">
        <f t="shared" si="5"/>
        <v>30.192245072410156</v>
      </c>
      <c r="AL28" s="480">
        <f>AI28-'Data by dwelling type'!W28</f>
        <v>0</v>
      </c>
      <c r="AM28" s="480">
        <f>AJ28-'Data by dwelling type'!Y28</f>
        <v>0</v>
      </c>
      <c r="AN28" s="480">
        <f>AK28-'Data by dwelling type'!Z28</f>
        <v>0</v>
      </c>
    </row>
    <row r="29" spans="1:40">
      <c r="A29" s="48" t="s">
        <v>120</v>
      </c>
      <c r="B29" s="48" t="s">
        <v>203</v>
      </c>
      <c r="C29" s="48" t="s">
        <v>505</v>
      </c>
      <c r="D29" s="48" t="s">
        <v>164</v>
      </c>
      <c r="E29" s="208">
        <f>$K$29*(E8/$K$8)</f>
        <v>97.084106564339336</v>
      </c>
      <c r="F29" s="209">
        <f>$K$29*(F8/$K$8)</f>
        <v>200.97904904386965</v>
      </c>
      <c r="G29" s="209">
        <f t="shared" ref="G29:J29" si="12">$K$29*(G8/$K$8)</f>
        <v>116.5256469449984</v>
      </c>
      <c r="H29" s="209">
        <f t="shared" si="12"/>
        <v>109.80631661365135</v>
      </c>
      <c r="I29" s="209">
        <f t="shared" si="12"/>
        <v>63.415118313936446</v>
      </c>
      <c r="J29" s="210">
        <f t="shared" si="12"/>
        <v>98.665956419886541</v>
      </c>
      <c r="K29" s="213">
        <f>Population!E47/(Population!$E$49/'Dwelling stock'!$K$36)</f>
        <v>686.47619390068166</v>
      </c>
      <c r="L29" s="472"/>
      <c r="M29" s="44" t="s">
        <v>203</v>
      </c>
      <c r="N29" s="44" t="s">
        <v>164</v>
      </c>
      <c r="O29" s="109">
        <f>E29*'Data by dwelling type'!AA29</f>
        <v>45.857106317917776</v>
      </c>
      <c r="P29" s="480">
        <f>E29*'Data by dwelling type'!AB29</f>
        <v>33.189324103315371</v>
      </c>
      <c r="Q29" s="110">
        <f>E29*'Data by dwelling type'!AC29</f>
        <v>18.037676143106179</v>
      </c>
      <c r="R29" s="109">
        <f>F29*'Data by dwelling type'!AA29</f>
        <v>94.931270893150014</v>
      </c>
      <c r="S29" s="480">
        <f>F29*'Data by dwelling type'!AB29</f>
        <v>68.70701119624087</v>
      </c>
      <c r="T29" s="110">
        <f>F29*'Data by dwelling type'!AC29</f>
        <v>37.340766954478738</v>
      </c>
      <c r="U29" s="109">
        <f>G29*'Data by dwelling type'!AA29</f>
        <v>55.040203487680984</v>
      </c>
      <c r="V29" s="480">
        <f>G29*'Data by dwelling type'!AB29</f>
        <v>39.835639423050715</v>
      </c>
      <c r="W29" s="110">
        <f>G29*'Data by dwelling type'!AC29</f>
        <v>21.64980403426669</v>
      </c>
      <c r="X29" s="109">
        <f>H29*'Data by dwelling type'!AA29</f>
        <v>51.866367354311528</v>
      </c>
      <c r="Y29" s="480">
        <f>H29*'Data by dwelling type'!AB29</f>
        <v>37.538558675065232</v>
      </c>
      <c r="Z29" s="110">
        <f>H29*'Data by dwelling type'!AC29</f>
        <v>20.401390584274584</v>
      </c>
      <c r="AA29" s="480">
        <f>I29*'Data by dwelling type'!AA29</f>
        <v>29.953757886810376</v>
      </c>
      <c r="AB29" s="480">
        <f>I29*'Data by dwelling type'!AB29</f>
        <v>21.679191262645055</v>
      </c>
      <c r="AC29" s="110">
        <f>I29*'Data by dwelling type'!AC29</f>
        <v>11.78216916448101</v>
      </c>
      <c r="AD29" s="480">
        <f>J29*'Data by dwelling type'!AA29</f>
        <v>46.60428378673177</v>
      </c>
      <c r="AE29" s="480">
        <f>J29*'Data by dwelling type'!AB29</f>
        <v>33.73009776232562</v>
      </c>
      <c r="AF29" s="110">
        <f>J29*'Data by dwelling type'!AC29</f>
        <v>18.33157487082914</v>
      </c>
      <c r="AI29" s="480">
        <f t="shared" si="3"/>
        <v>324.25298972660244</v>
      </c>
      <c r="AJ29" s="480">
        <f t="shared" si="4"/>
        <v>234.67982242264284</v>
      </c>
      <c r="AK29" s="480">
        <f t="shared" si="5"/>
        <v>127.54338175143634</v>
      </c>
      <c r="AL29" s="480">
        <f>AI29-'Data by dwelling type'!W29</f>
        <v>0</v>
      </c>
      <c r="AM29" s="480">
        <f>AJ29-'Data by dwelling type'!Y29</f>
        <v>0</v>
      </c>
      <c r="AN29" s="480">
        <f>AK29-'Data by dwelling type'!Z29</f>
        <v>0</v>
      </c>
    </row>
    <row r="30" spans="1:40">
      <c r="A30" s="48" t="s">
        <v>107</v>
      </c>
      <c r="B30" s="48" t="s">
        <v>39</v>
      </c>
      <c r="C30" s="48" t="s">
        <v>57</v>
      </c>
      <c r="D30" s="48" t="s">
        <v>164</v>
      </c>
      <c r="E30" s="211">
        <v>30.9648</v>
      </c>
      <c r="F30" s="212">
        <v>32.463679999999997</v>
      </c>
      <c r="G30" s="212">
        <v>21.331199999999999</v>
      </c>
      <c r="H30" s="212">
        <v>24.502199999999998</v>
      </c>
      <c r="I30" s="212">
        <v>23.729199999999999</v>
      </c>
      <c r="J30" s="101">
        <v>8.8489199999999997</v>
      </c>
      <c r="K30" s="101">
        <f>SUM(E30:J30)</f>
        <v>141.83999999999997</v>
      </c>
      <c r="L30" s="472"/>
      <c r="M30" s="44" t="s">
        <v>39</v>
      </c>
      <c r="N30" s="44" t="s">
        <v>164</v>
      </c>
      <c r="O30" s="109">
        <f>E30*'Data by dwelling type'!AA30</f>
        <v>7.7229494551607436</v>
      </c>
      <c r="P30" s="480">
        <f>E30*'Data by dwelling type'!AB30</f>
        <v>1.6869085072867203</v>
      </c>
      <c r="Q30" s="110">
        <f>E30*'Data by dwelling type'!AC30</f>
        <v>21.554942037552536</v>
      </c>
      <c r="R30" s="109">
        <f>F30*'Data by dwelling type'!AA30</f>
        <v>8.0967860205301729</v>
      </c>
      <c r="S30" s="480">
        <f>F30*'Data by dwelling type'!AB30</f>
        <v>1.7685648856066809</v>
      </c>
      <c r="T30" s="110">
        <f>F30*'Data by dwelling type'!AC30</f>
        <v>22.598329093863143</v>
      </c>
      <c r="U30" s="109">
        <f>G30*'Data by dwelling type'!AA30</f>
        <v>5.3202274653130281</v>
      </c>
      <c r="V30" s="480">
        <f>G30*'Data by dwelling type'!AB30</f>
        <v>1.1620867162272803</v>
      </c>
      <c r="W30" s="110">
        <f>G30*'Data by dwelling type'!AC30</f>
        <v>14.84888581845969</v>
      </c>
      <c r="X30" s="109">
        <f>H30*'Data by dwelling type'!AA30</f>
        <v>6.1111084890016913</v>
      </c>
      <c r="Y30" s="480">
        <f>H30*'Data by dwelling type'!AB30</f>
        <v>1.334837287088587</v>
      </c>
      <c r="Z30" s="110">
        <f>H30*'Data by dwelling type'!AC30</f>
        <v>17.056254223909722</v>
      </c>
      <c r="AA30" s="480">
        <f>I30*'Data by dwelling type'!AA30</f>
        <v>5.9183140924985889</v>
      </c>
      <c r="AB30" s="480">
        <f>I30*'Data by dwelling type'!AB30</f>
        <v>1.2927255900605863</v>
      </c>
      <c r="AC30" s="110">
        <f>I30*'Data by dwelling type'!AC30</f>
        <v>16.518160317440824</v>
      </c>
      <c r="AD30" s="480">
        <f>J30*'Data by dwelling type'!AA30</f>
        <v>2.2070144774957696</v>
      </c>
      <c r="AE30" s="480">
        <f>J30*'Data by dwelling type'!AB30</f>
        <v>0.48207378792369415</v>
      </c>
      <c r="AF30" s="110">
        <f>J30*'Data by dwelling type'!AC30</f>
        <v>6.1598317345805356</v>
      </c>
      <c r="AI30" s="480">
        <f t="shared" si="3"/>
        <v>35.37639999999999</v>
      </c>
      <c r="AJ30" s="480">
        <f t="shared" si="4"/>
        <v>7.7271967741935486</v>
      </c>
      <c r="AK30" s="480">
        <f t="shared" si="5"/>
        <v>98.736403225806441</v>
      </c>
      <c r="AL30" s="480">
        <f>AI30-'Data by dwelling type'!W30</f>
        <v>0</v>
      </c>
      <c r="AM30" s="480">
        <f>AJ30-'Data by dwelling type'!Y30</f>
        <v>0</v>
      </c>
      <c r="AN30" s="480">
        <f>AK30-'Data by dwelling type'!Z30</f>
        <v>0</v>
      </c>
    </row>
    <row r="31" spans="1:40">
      <c r="A31" s="48" t="s">
        <v>108</v>
      </c>
      <c r="B31" s="48" t="s">
        <v>41</v>
      </c>
      <c r="C31" s="48" t="s">
        <v>57</v>
      </c>
      <c r="D31" s="48" t="s">
        <v>164</v>
      </c>
      <c r="E31" s="211">
        <v>1588.715551</v>
      </c>
      <c r="F31" s="212">
        <v>1788.1028240000001</v>
      </c>
      <c r="G31" s="212">
        <v>1101.683276</v>
      </c>
      <c r="H31" s="212">
        <v>1071.5751660000001</v>
      </c>
      <c r="I31" s="212">
        <v>945.31409699999995</v>
      </c>
      <c r="J31" s="101">
        <v>491.43181700000002</v>
      </c>
      <c r="K31" s="101">
        <f>SUM(E31:J31)</f>
        <v>6986.8227309999993</v>
      </c>
      <c r="L31" s="472"/>
      <c r="M31" s="44" t="s">
        <v>41</v>
      </c>
      <c r="N31" s="44" t="s">
        <v>164</v>
      </c>
      <c r="O31" s="109">
        <f>E31*'Data by dwelling type'!AA31</f>
        <v>479.97393801218868</v>
      </c>
      <c r="P31" s="480">
        <f>E31*'Data by dwelling type'!AB31</f>
        <v>176.5269202005164</v>
      </c>
      <c r="Q31" s="110">
        <f>E31*'Data by dwelling type'!AC31</f>
        <v>932.21469278729489</v>
      </c>
      <c r="R31" s="109">
        <f>F31*'Data by dwelling type'!AA31</f>
        <v>540.21171597759201</v>
      </c>
      <c r="S31" s="480">
        <f>F31*'Data by dwelling type'!AB31</f>
        <v>198.68143439767087</v>
      </c>
      <c r="T31" s="110">
        <f>F31*'Data by dwelling type'!AC31</f>
        <v>1049.2096736247372</v>
      </c>
      <c r="U31" s="109">
        <f>G31*'Data by dwelling type'!AA31</f>
        <v>332.83444609770106</v>
      </c>
      <c r="V31" s="480">
        <f>G31*'Data by dwelling type'!AB31</f>
        <v>122.41131247584514</v>
      </c>
      <c r="W31" s="110">
        <f>G31*'Data by dwelling type'!AC31</f>
        <v>646.43751742645384</v>
      </c>
      <c r="X31" s="109">
        <f>H31*'Data by dwelling type'!AA31</f>
        <v>323.73835075595912</v>
      </c>
      <c r="Y31" s="480">
        <f>H31*'Data by dwelling type'!AB31</f>
        <v>119.06591063344928</v>
      </c>
      <c r="Z31" s="110">
        <f>H31*'Data by dwelling type'!AC31</f>
        <v>628.77090461059174</v>
      </c>
      <c r="AA31" s="480">
        <f>I31*'Data by dwelling type'!AA31</f>
        <v>285.59305629628477</v>
      </c>
      <c r="AB31" s="480">
        <f>I31*'Data by dwelling type'!AB31</f>
        <v>105.03666692285195</v>
      </c>
      <c r="AC31" s="110">
        <f>I31*'Data by dwelling type'!AC31</f>
        <v>554.68437378086321</v>
      </c>
      <c r="AD31" s="480">
        <f>J31*'Data by dwelling type'!AA31</f>
        <v>148.46865716238921</v>
      </c>
      <c r="AE31" s="480">
        <f>J31*'Data by dwelling type'!AB31</f>
        <v>54.60445394957538</v>
      </c>
      <c r="AF31" s="110">
        <f>J31*'Data by dwelling type'!AC31</f>
        <v>288.35870588803544</v>
      </c>
      <c r="AI31" s="480">
        <f t="shared" si="3"/>
        <v>2110.8201643021148</v>
      </c>
      <c r="AJ31" s="480">
        <f t="shared" si="4"/>
        <v>776.32669857990902</v>
      </c>
      <c r="AK31" s="480">
        <f t="shared" si="5"/>
        <v>4099.6758681179763</v>
      </c>
      <c r="AL31" s="480">
        <f>AI31-'Data by dwelling type'!W31</f>
        <v>3.0211458579287864E-7</v>
      </c>
      <c r="AM31" s="480">
        <f>AJ31-'Data by dwelling type'!Y31</f>
        <v>1.1111308140243636E-7</v>
      </c>
      <c r="AN31" s="480">
        <f>AK31-'Data by dwelling type'!Z31</f>
        <v>5.867723302799277E-7</v>
      </c>
    </row>
    <row r="32" spans="1:40">
      <c r="A32" s="93" t="s">
        <v>109</v>
      </c>
      <c r="B32" s="48" t="s">
        <v>64</v>
      </c>
      <c r="C32" s="93" t="s">
        <v>243</v>
      </c>
      <c r="D32" s="93" t="s">
        <v>164</v>
      </c>
      <c r="E32" s="208">
        <f>$K$32*(54588886.2631579/286723521.350877)</f>
        <v>433.01256888273974</v>
      </c>
      <c r="F32" s="209">
        <f>$K$32*(72624823.8947368/286723521.350877)</f>
        <v>576.07809413288021</v>
      </c>
      <c r="G32" s="209">
        <f>$K$32*(46618636.8421053/286723521.350877)</f>
        <v>369.79057604323049</v>
      </c>
      <c r="H32" s="209">
        <f>$K$32*(39211256.5263158/286723521.350877)</f>
        <v>311.03340038353599</v>
      </c>
      <c r="I32" s="209">
        <f>$K$32*(43186741.0526316/286723521.350877)</f>
        <v>342.5679284740163</v>
      </c>
      <c r="J32" s="210">
        <f>$K$32*(30493176.7719298/286723521.350877)</f>
        <v>241.87943208359903</v>
      </c>
      <c r="K32" s="213">
        <v>2274.3620000000001</v>
      </c>
      <c r="L32" s="472"/>
      <c r="M32" s="44" t="s">
        <v>64</v>
      </c>
      <c r="N32" s="44" t="s">
        <v>164</v>
      </c>
      <c r="O32" s="109">
        <f>E32*'Data by dwelling type'!AA32</f>
        <v>251.93643930050624</v>
      </c>
      <c r="P32" s="480">
        <f>E32*'Data by dwelling type'!AB32</f>
        <v>101.41934085943784</v>
      </c>
      <c r="Q32" s="110">
        <f>E32*'Data by dwelling type'!AC32</f>
        <v>79.656788722795696</v>
      </c>
      <c r="R32" s="109">
        <f>F32*'Data by dwelling type'!AA32</f>
        <v>335.17517555977088</v>
      </c>
      <c r="S32" s="480">
        <f>F32*'Data by dwelling type'!AB32</f>
        <v>134.92786304394681</v>
      </c>
      <c r="T32" s="110">
        <f>F32*'Data by dwelling type'!AC32</f>
        <v>105.97505552916252</v>
      </c>
      <c r="U32" s="109">
        <f>G32*'Data by dwelling type'!AA32</f>
        <v>215.15246371622854</v>
      </c>
      <c r="V32" s="480">
        <f>G32*'Data by dwelling type'!AB32</f>
        <v>86.6116117024131</v>
      </c>
      <c r="W32" s="110">
        <f>G32*'Data by dwelling type'!AC32</f>
        <v>68.026500624588877</v>
      </c>
      <c r="X32" s="109">
        <f>H32*'Data by dwelling type'!AA32</f>
        <v>180.96621905997586</v>
      </c>
      <c r="Y32" s="480">
        <f>H32*'Data by dwelling type'!AB32</f>
        <v>72.84962312655226</v>
      </c>
      <c r="Z32" s="110">
        <f>H32*'Data by dwelling type'!AC32</f>
        <v>57.217558197007889</v>
      </c>
      <c r="AA32" s="480">
        <f>I32*'Data by dwelling type'!AA32</f>
        <v>199.31371586044133</v>
      </c>
      <c r="AB32" s="480">
        <f>I32*'Data by dwelling type'!AB32</f>
        <v>80.235577445388714</v>
      </c>
      <c r="AC32" s="110">
        <f>I32*'Data by dwelling type'!AC32</f>
        <v>63.018635168186279</v>
      </c>
      <c r="AD32" s="480">
        <f>J32*'Data by dwelling type'!AA32</f>
        <v>140.73088690336078</v>
      </c>
      <c r="AE32" s="480">
        <f>J32*'Data by dwelling type'!AB32</f>
        <v>56.652518500027334</v>
      </c>
      <c r="AF32" s="110">
        <f>J32*'Data by dwelling type'!AC32</f>
        <v>44.496026680210925</v>
      </c>
      <c r="AI32" s="480">
        <f t="shared" si="3"/>
        <v>1323.2749004002835</v>
      </c>
      <c r="AJ32" s="480">
        <f t="shared" si="4"/>
        <v>532.69653467776607</v>
      </c>
      <c r="AK32" s="480">
        <f t="shared" si="5"/>
        <v>418.39056492195226</v>
      </c>
      <c r="AL32" s="480">
        <f>AI32-'Data by dwelling type'!W32</f>
        <v>0</v>
      </c>
      <c r="AM32" s="480">
        <f>AJ32-'Data by dwelling type'!Y32</f>
        <v>0</v>
      </c>
      <c r="AN32" s="480">
        <f>AK32-'Data by dwelling type'!Z32</f>
        <v>0</v>
      </c>
    </row>
    <row r="33" spans="1:48">
      <c r="A33" s="48" t="s">
        <v>110</v>
      </c>
      <c r="B33" s="48" t="s">
        <v>42</v>
      </c>
      <c r="C33" s="48" t="s">
        <v>57</v>
      </c>
      <c r="D33" s="48" t="s">
        <v>164</v>
      </c>
      <c r="E33" s="335">
        <v>2747</v>
      </c>
      <c r="F33" s="336">
        <v>3048.0769230000001</v>
      </c>
      <c r="G33" s="336">
        <v>1751.7668269999999</v>
      </c>
      <c r="H33" s="212">
        <v>1810.9375</v>
      </c>
      <c r="I33" s="212">
        <v>1810.9375</v>
      </c>
      <c r="J33" s="101">
        <v>2253.28125</v>
      </c>
      <c r="K33" s="101">
        <f t="shared" ref="K33:K40" si="13">SUM(E33:J33)</f>
        <v>13422</v>
      </c>
      <c r="L33" s="472"/>
      <c r="M33" s="44" t="s">
        <v>42</v>
      </c>
      <c r="N33" s="44" t="s">
        <v>164</v>
      </c>
      <c r="O33" s="109">
        <f>E33*'Data by dwelling type'!AA33</f>
        <v>1636.0838921174191</v>
      </c>
      <c r="P33" s="480">
        <f>E33*'Data by dwelling type'!AB33</f>
        <v>807.78881301796559</v>
      </c>
      <c r="Q33" s="110">
        <f>E33*'Data by dwelling type'!AC33</f>
        <v>303.12729486461518</v>
      </c>
      <c r="R33" s="109">
        <f>F33*'Data by dwelling type'!AA33</f>
        <v>1815.4020952512292</v>
      </c>
      <c r="S33" s="480">
        <f>F33*'Data by dwelling type'!AB33</f>
        <v>896.32414984260026</v>
      </c>
      <c r="T33" s="110">
        <f>F33*'Data by dwelling type'!AC33</f>
        <v>336.35067790617035</v>
      </c>
      <c r="U33" s="109">
        <f>G33*'Data by dwelling type'!AA33</f>
        <v>1043.3336324719116</v>
      </c>
      <c r="V33" s="480">
        <f>G33*'Data by dwelling type'!AB33</f>
        <v>515.12837490592563</v>
      </c>
      <c r="W33" s="110">
        <f>G33*'Data by dwelling type'!AC33</f>
        <v>193.30481962216246</v>
      </c>
      <c r="X33" s="109">
        <f>H33*'Data by dwelling type'!AA33</f>
        <v>1078.5750540157949</v>
      </c>
      <c r="Y33" s="480">
        <f>H33*'Data by dwelling type'!AB33</f>
        <v>532.52823209855194</v>
      </c>
      <c r="Z33" s="110">
        <f>H33*'Data by dwelling type'!AC33</f>
        <v>199.8342138856531</v>
      </c>
      <c r="AA33" s="480">
        <f>I33*'Data by dwelling type'!AA33</f>
        <v>1078.5750540157949</v>
      </c>
      <c r="AB33" s="480">
        <f>I33*'Data by dwelling type'!AB33</f>
        <v>532.52823209855194</v>
      </c>
      <c r="AC33" s="110">
        <f>I33*'Data by dwelling type'!AC33</f>
        <v>199.8342138856531</v>
      </c>
      <c r="AD33" s="480">
        <f>J33*'Data by dwelling type'!AA33</f>
        <v>1342.0302721278497</v>
      </c>
      <c r="AE33" s="480">
        <f>J33*'Data by dwelling type'!AB33</f>
        <v>662.60480026688674</v>
      </c>
      <c r="AF33" s="110">
        <f>J33*'Data by dwelling type'!AC33</f>
        <v>248.64617760526343</v>
      </c>
      <c r="AI33" s="480">
        <f t="shared" si="3"/>
        <v>7994</v>
      </c>
      <c r="AJ33" s="480">
        <f t="shared" si="4"/>
        <v>3946.9026022304824</v>
      </c>
      <c r="AK33" s="480">
        <f t="shared" si="5"/>
        <v>1481.0973977695176</v>
      </c>
      <c r="AL33" s="480">
        <f>AI33-'Data by dwelling type'!W33</f>
        <v>0</v>
      </c>
      <c r="AM33" s="480">
        <f>AJ33-'Data by dwelling type'!Y33</f>
        <v>0</v>
      </c>
      <c r="AN33" s="480">
        <f>AK33-'Data by dwelling type'!Z33</f>
        <v>0</v>
      </c>
    </row>
    <row r="34" spans="1:48">
      <c r="A34" s="48" t="s">
        <v>111</v>
      </c>
      <c r="B34" s="48" t="s">
        <v>43</v>
      </c>
      <c r="C34" s="48" t="s">
        <v>57</v>
      </c>
      <c r="D34" s="48" t="s">
        <v>164</v>
      </c>
      <c r="E34" s="211">
        <v>514.25646900000004</v>
      </c>
      <c r="F34" s="212">
        <v>695.660123</v>
      </c>
      <c r="G34" s="212">
        <v>779.63405899999998</v>
      </c>
      <c r="H34" s="212">
        <v>666.34973500000001</v>
      </c>
      <c r="I34" s="212">
        <v>725.69857999999999</v>
      </c>
      <c r="J34" s="101">
        <v>412.12077599999998</v>
      </c>
      <c r="K34" s="101">
        <f t="shared" si="13"/>
        <v>3793.7197420000002</v>
      </c>
      <c r="L34" s="472"/>
      <c r="M34" s="44" t="s">
        <v>43</v>
      </c>
      <c r="N34" s="44" t="s">
        <v>164</v>
      </c>
      <c r="O34" s="109">
        <f>E34*'Data by dwelling type'!AA34</f>
        <v>210.84515230491107</v>
      </c>
      <c r="P34" s="480">
        <f>E34*'Data by dwelling type'!AB34</f>
        <v>167.8841493399743</v>
      </c>
      <c r="Q34" s="110">
        <f>E34*'Data by dwelling type'!AC34</f>
        <v>135.52716735511473</v>
      </c>
      <c r="R34" s="109">
        <f>F34*'Data by dwelling type'!AA34</f>
        <v>285.22065045017092</v>
      </c>
      <c r="S34" s="480">
        <f>F34*'Data by dwelling type'!AB34</f>
        <v>227.10518004120016</v>
      </c>
      <c r="T34" s="110">
        <f>F34*'Data by dwelling type'!AC34</f>
        <v>183.33429250862898</v>
      </c>
      <c r="U34" s="109">
        <f>G34*'Data by dwelling type'!AA34</f>
        <v>319.64996421260577</v>
      </c>
      <c r="V34" s="480">
        <f>G34*'Data by dwelling type'!AB34</f>
        <v>254.51930832529072</v>
      </c>
      <c r="W34" s="110">
        <f>G34*'Data by dwelling type'!AC34</f>
        <v>205.46478646210355</v>
      </c>
      <c r="X34" s="109">
        <f>H34*'Data by dwelling type'!AA34</f>
        <v>273.20339136932103</v>
      </c>
      <c r="Y34" s="480">
        <f>H34*'Data by dwelling type'!AB34</f>
        <v>217.53651177384077</v>
      </c>
      <c r="Z34" s="110">
        <f>H34*'Data by dwelling type'!AC34</f>
        <v>175.60983185683824</v>
      </c>
      <c r="AA34" s="480">
        <f>I34*'Data by dwelling type'!AA34</f>
        <v>297.53641782104188</v>
      </c>
      <c r="AB34" s="480">
        <f>I34*'Data by dwelling type'!AB34</f>
        <v>236.91153368948144</v>
      </c>
      <c r="AC34" s="110">
        <f>I34*'Data by dwelling type'!AC34</f>
        <v>191.25062848947672</v>
      </c>
      <c r="AD34" s="480">
        <f>J34*'Data by dwelling type'!AA34</f>
        <v>168.96951817194957</v>
      </c>
      <c r="AE34" s="480">
        <f>J34*'Data by dwelling type'!AB34</f>
        <v>134.5409344847543</v>
      </c>
      <c r="AF34" s="110">
        <f>J34*'Data by dwelling type'!AC34</f>
        <v>108.61032334329613</v>
      </c>
      <c r="AI34" s="480">
        <f t="shared" si="3"/>
        <v>1555.4250943300003</v>
      </c>
      <c r="AJ34" s="480">
        <f t="shared" si="4"/>
        <v>1238.4976176545415</v>
      </c>
      <c r="AK34" s="480">
        <f t="shared" si="5"/>
        <v>999.7970300154584</v>
      </c>
      <c r="AL34" s="480">
        <f>AI34-'Data by dwelling type'!W34</f>
        <v>3.3333000033053395E-4</v>
      </c>
      <c r="AM34" s="480">
        <f>AJ34-'Data by dwelling type'!Y34</f>
        <v>2.6541195211393642E-4</v>
      </c>
      <c r="AN34" s="480">
        <f>AK34-'Data by dwelling type'!Z34</f>
        <v>2.1425804789032554E-4</v>
      </c>
    </row>
    <row r="35" spans="1:48">
      <c r="A35" s="48" t="s">
        <v>112</v>
      </c>
      <c r="B35" s="48" t="s">
        <v>44</v>
      </c>
      <c r="C35" s="48" t="s">
        <v>57</v>
      </c>
      <c r="D35" s="48" t="s">
        <v>164</v>
      </c>
      <c r="E35" s="211">
        <v>764.54369999999994</v>
      </c>
      <c r="F35" s="212">
        <v>2215.292727</v>
      </c>
      <c r="G35" s="212">
        <v>1598.2232730000001</v>
      </c>
      <c r="H35" s="212">
        <v>2186.5140000000001</v>
      </c>
      <c r="I35" s="212">
        <v>301.10579999999999</v>
      </c>
      <c r="J35" s="101">
        <v>295.95240000000001</v>
      </c>
      <c r="K35" s="101">
        <f t="shared" si="13"/>
        <v>7361.6319000000003</v>
      </c>
      <c r="L35" s="472"/>
      <c r="M35" s="44" t="s">
        <v>44</v>
      </c>
      <c r="N35" s="44" t="s">
        <v>164</v>
      </c>
      <c r="O35" s="109">
        <f>E35*'Data by dwelling type'!AA35</f>
        <v>329.51833469999997</v>
      </c>
      <c r="P35" s="480">
        <f>E35*'Data by dwelling type'!AB35</f>
        <v>337.96513130850724</v>
      </c>
      <c r="Q35" s="110">
        <f>E35*'Data by dwelling type'!AC35</f>
        <v>97.060233991492765</v>
      </c>
      <c r="R35" s="109">
        <f>F35*'Data by dwelling type'!AA35</f>
        <v>954.79116533699994</v>
      </c>
      <c r="S35" s="480">
        <f>F35*'Data by dwelling type'!AB35</f>
        <v>979.2660607462152</v>
      </c>
      <c r="T35" s="110">
        <f>F35*'Data by dwelling type'!AC35</f>
        <v>281.23550091678493</v>
      </c>
      <c r="U35" s="109">
        <f>G35*'Data by dwelling type'!AA35</f>
        <v>688.83423066299997</v>
      </c>
      <c r="V35" s="480">
        <f>G35*'Data by dwelling type'!AB35</f>
        <v>706.49164765827936</v>
      </c>
      <c r="W35" s="110">
        <f>G35*'Data by dwelling type'!AC35</f>
        <v>202.89739467872073</v>
      </c>
      <c r="X35" s="109">
        <f>H35*'Data by dwelling type'!AA35</f>
        <v>942.38753400000007</v>
      </c>
      <c r="Y35" s="480">
        <f>H35*'Data by dwelling type'!AB35</f>
        <v>966.54447759871596</v>
      </c>
      <c r="Z35" s="110">
        <f>H35*'Data by dwelling type'!AC35</f>
        <v>277.58198840128415</v>
      </c>
      <c r="AA35" s="480">
        <f>I35*'Data by dwelling type'!AA35</f>
        <v>129.77659979999999</v>
      </c>
      <c r="AB35" s="480">
        <f>I35*'Data by dwelling type'!AB35</f>
        <v>133.10326307672554</v>
      </c>
      <c r="AC35" s="110">
        <f>I35*'Data by dwelling type'!AC35</f>
        <v>38.225937123274477</v>
      </c>
      <c r="AD35" s="480">
        <f>J35*'Data by dwelling type'!AA35</f>
        <v>127.5554844</v>
      </c>
      <c r="AE35" s="480">
        <f>J35*'Data by dwelling type'!AB35</f>
        <v>130.82521211942216</v>
      </c>
      <c r="AF35" s="110">
        <f>J35*'Data by dwelling type'!AC35</f>
        <v>37.571703480577852</v>
      </c>
      <c r="AI35" s="480">
        <f t="shared" si="3"/>
        <v>3172.8633488999999</v>
      </c>
      <c r="AJ35" s="480">
        <f t="shared" si="4"/>
        <v>3254.1957925078655</v>
      </c>
      <c r="AK35" s="480">
        <f t="shared" si="5"/>
        <v>934.57275859213485</v>
      </c>
      <c r="AL35" s="480">
        <f>AI35-'Data by dwelling type'!W35</f>
        <v>-0.15865110000004279</v>
      </c>
      <c r="AM35" s="480">
        <f>AJ35-'Data by dwelling type'!Y35</f>
        <v>-0.16271792552151965</v>
      </c>
      <c r="AN35" s="480">
        <f>AK35-'Data by dwelling type'!Z35</f>
        <v>-4.6730974478236931E-2</v>
      </c>
    </row>
    <row r="36" spans="1:48">
      <c r="A36" s="48" t="s">
        <v>121</v>
      </c>
      <c r="B36" s="48" t="s">
        <v>53</v>
      </c>
      <c r="C36" s="48" t="s">
        <v>57</v>
      </c>
      <c r="D36" s="48" t="s">
        <v>164</v>
      </c>
      <c r="E36" s="211">
        <v>322.55288200000001</v>
      </c>
      <c r="F36" s="212">
        <v>736.42371400000002</v>
      </c>
      <c r="G36" s="212">
        <v>549.81933200000003</v>
      </c>
      <c r="H36" s="212">
        <v>464.68388900000002</v>
      </c>
      <c r="I36" s="212">
        <v>227.758883</v>
      </c>
      <c r="J36" s="101">
        <v>171.03886399999999</v>
      </c>
      <c r="K36" s="101">
        <f t="shared" si="13"/>
        <v>2472.277564</v>
      </c>
      <c r="L36" s="393"/>
      <c r="M36" s="44" t="s">
        <v>53</v>
      </c>
      <c r="N36" s="44" t="s">
        <v>164</v>
      </c>
      <c r="O36" s="109">
        <f>E36*'Data by dwelling type'!AA36</f>
        <v>152.35595533057008</v>
      </c>
      <c r="P36" s="480">
        <f>E36*'Data by dwelling type'!AB36</f>
        <v>125.3404857187227</v>
      </c>
      <c r="Q36" s="110">
        <f>E36*'Data by dwelling type'!AC36</f>
        <v>44.856440950707238</v>
      </c>
      <c r="R36" s="109">
        <f>F36*'Data by dwelling type'!AA36</f>
        <v>347.84540686434332</v>
      </c>
      <c r="S36" s="480">
        <f>F36*'Data by dwelling type'!AB36</f>
        <v>286.16611773924791</v>
      </c>
      <c r="T36" s="110">
        <f>F36*'Data by dwelling type'!AC36</f>
        <v>102.41218939640885</v>
      </c>
      <c r="U36" s="109">
        <f>G36*'Data by dwelling type'!AA36</f>
        <v>259.70392534293302</v>
      </c>
      <c r="V36" s="480">
        <f>G36*'Data by dwelling type'!AB36</f>
        <v>213.6537168823798</v>
      </c>
      <c r="W36" s="110">
        <f>G36*'Data by dwelling type'!AC36</f>
        <v>76.461689774687244</v>
      </c>
      <c r="X36" s="109">
        <f>H36*'Data by dwelling type'!AA36</f>
        <v>219.49069993217293</v>
      </c>
      <c r="Y36" s="480">
        <f>H36*'Data by dwelling type'!AB36</f>
        <v>180.57102448374658</v>
      </c>
      <c r="Z36" s="110">
        <f>H36*'Data by dwelling type'!AC36</f>
        <v>64.622164584080508</v>
      </c>
      <c r="AA36" s="480">
        <f>I36*'Data by dwelling type'!AA36</f>
        <v>107.58056784155019</v>
      </c>
      <c r="AB36" s="480">
        <f>I36*'Data by dwelling type'!AB36</f>
        <v>88.50458518604627</v>
      </c>
      <c r="AC36" s="110">
        <f>I36*'Data by dwelling type'!AC36</f>
        <v>31.673729972403528</v>
      </c>
      <c r="AD36" s="480">
        <f>J36*'Data by dwelling type'!AA36</f>
        <v>80.789200709654324</v>
      </c>
      <c r="AE36" s="480">
        <f>J36*'Data by dwelling type'!AB36</f>
        <v>66.463812561868693</v>
      </c>
      <c r="AF36" s="110">
        <f>J36*'Data by dwelling type'!AC36</f>
        <v>23.785850728476969</v>
      </c>
      <c r="AI36" s="480">
        <f t="shared" si="3"/>
        <v>1167.7657560212238</v>
      </c>
      <c r="AJ36" s="480">
        <f t="shared" si="4"/>
        <v>960.69974257201193</v>
      </c>
      <c r="AK36" s="480">
        <f t="shared" si="5"/>
        <v>343.81206540676436</v>
      </c>
      <c r="AL36" s="480">
        <f>AI36-'Data by dwelling type'!W36</f>
        <v>1.6276260212237048</v>
      </c>
      <c r="AM36" s="480">
        <f>AJ36-'Data by dwelling type'!Y36</f>
        <v>1.3390184559965519</v>
      </c>
      <c r="AN36" s="480">
        <f>AK36-'Data by dwelling type'!Z36</f>
        <v>0.47920352277964184</v>
      </c>
    </row>
    <row r="37" spans="1:48">
      <c r="A37" s="48" t="s">
        <v>113</v>
      </c>
      <c r="B37" s="48" t="s">
        <v>51</v>
      </c>
      <c r="C37" s="48" t="s">
        <v>57</v>
      </c>
      <c r="D37" s="48" t="s">
        <v>164</v>
      </c>
      <c r="E37" s="211">
        <v>1347.0281030000001</v>
      </c>
      <c r="F37" s="212">
        <v>1221.648087</v>
      </c>
      <c r="G37" s="212">
        <v>664.784762</v>
      </c>
      <c r="H37" s="212">
        <v>457.95682499999998</v>
      </c>
      <c r="I37" s="212">
        <v>374.96888899999999</v>
      </c>
      <c r="J37" s="101">
        <v>104.613333</v>
      </c>
      <c r="K37" s="101">
        <f t="shared" si="13"/>
        <v>4170.9999990000006</v>
      </c>
      <c r="L37" s="472"/>
      <c r="M37" s="44" t="s">
        <v>51</v>
      </c>
      <c r="N37" s="44" t="s">
        <v>164</v>
      </c>
      <c r="O37" s="109">
        <f>E37*'Data by dwelling type'!AA37</f>
        <v>783.73120850317878</v>
      </c>
      <c r="P37" s="480">
        <f>E37*'Data by dwelling type'!AB37</f>
        <v>380.67209163992203</v>
      </c>
      <c r="Q37" s="110">
        <f>E37*'Data by dwelling type'!AC37</f>
        <v>182.62480285689929</v>
      </c>
      <c r="R37" s="109">
        <f>F37*'Data by dwelling type'!AA37</f>
        <v>710.7822987937368</v>
      </c>
      <c r="S37" s="480">
        <f>F37*'Data by dwelling type'!AB37</f>
        <v>345.2395176392244</v>
      </c>
      <c r="T37" s="110">
        <f>F37*'Data by dwelling type'!AC37</f>
        <v>165.62627056703889</v>
      </c>
      <c r="U37" s="109">
        <f>G37*'Data by dwelling type'!AA37</f>
        <v>386.78670753520134</v>
      </c>
      <c r="V37" s="480">
        <f>G37*'Data by dwelling type'!AB37</f>
        <v>187.86913597220456</v>
      </c>
      <c r="W37" s="110">
        <f>G37*'Data by dwelling type'!AC37</f>
        <v>90.128918492594138</v>
      </c>
      <c r="X37" s="109">
        <f>H37*'Data by dwelling type'!AA37</f>
        <v>266.44956783023309</v>
      </c>
      <c r="Y37" s="480">
        <f>H37*'Data by dwelling type'!AB37</f>
        <v>129.419261606547</v>
      </c>
      <c r="Z37" s="110">
        <f>H37*'Data by dwelling type'!AC37</f>
        <v>62.087995563219899</v>
      </c>
      <c r="AA37" s="480">
        <f>I37*'Data by dwelling type'!AA37</f>
        <v>218.16532251448081</v>
      </c>
      <c r="AB37" s="480">
        <f>I37*'Data by dwelling type'!AB37</f>
        <v>105.96675077351949</v>
      </c>
      <c r="AC37" s="110">
        <f>I37*'Data by dwelling type'!AC37</f>
        <v>50.836815711999698</v>
      </c>
      <c r="AD37" s="480">
        <f>J37*'Data by dwelling type'!AA37</f>
        <v>60.866387059806925</v>
      </c>
      <c r="AE37" s="480">
        <f>J37*'Data by dwelling type'!AB37</f>
        <v>29.563879326527815</v>
      </c>
      <c r="AF37" s="110">
        <f>J37*'Data by dwelling type'!AC37</f>
        <v>14.183066613665265</v>
      </c>
      <c r="AI37" s="480">
        <f t="shared" si="3"/>
        <v>2426.7814922366383</v>
      </c>
      <c r="AJ37" s="480">
        <f t="shared" si="4"/>
        <v>1178.7306369579453</v>
      </c>
      <c r="AK37" s="480">
        <f t="shared" si="5"/>
        <v>565.48786980541718</v>
      </c>
      <c r="AL37" s="480">
        <f>AI37-'Data by dwelling type'!W37</f>
        <v>-44.218507763361686</v>
      </c>
      <c r="AM37" s="480">
        <f>AJ37-'Data by dwelling type'!Y37</f>
        <v>-21.477710287463879</v>
      </c>
      <c r="AN37" s="480">
        <f>AK37-'Data by dwelling type'!Z37</f>
        <v>-10.303782949173637</v>
      </c>
    </row>
    <row r="38" spans="1:48">
      <c r="A38" s="48" t="s">
        <v>114</v>
      </c>
      <c r="B38" s="48" t="s">
        <v>47</v>
      </c>
      <c r="C38" s="48" t="s">
        <v>57</v>
      </c>
      <c r="D38" s="48" t="s">
        <v>164</v>
      </c>
      <c r="E38" s="211">
        <v>243.506946</v>
      </c>
      <c r="F38" s="212">
        <v>162.767368</v>
      </c>
      <c r="G38" s="212">
        <v>140.12268399999999</v>
      </c>
      <c r="H38" s="212">
        <v>76.121637000000007</v>
      </c>
      <c r="I38" s="212">
        <v>76.121637000000007</v>
      </c>
      <c r="J38" s="101">
        <v>66.559113999999994</v>
      </c>
      <c r="K38" s="101">
        <f t="shared" si="13"/>
        <v>765.19938599999989</v>
      </c>
      <c r="L38" s="472"/>
      <c r="M38" s="44" t="s">
        <v>47</v>
      </c>
      <c r="N38" s="44" t="s">
        <v>164</v>
      </c>
      <c r="O38" s="109">
        <f>E38*'Data by dwelling type'!AA38</f>
        <v>155.75980789926879</v>
      </c>
      <c r="P38" s="480">
        <f>E38*'Data by dwelling type'!AB38</f>
        <v>65.847429831083915</v>
      </c>
      <c r="Q38" s="110">
        <f>E38*'Data by dwelling type'!AC38</f>
        <v>21.899708269647281</v>
      </c>
      <c r="R38" s="109">
        <f>F38*'Data by dwelling type'!AA38</f>
        <v>104.11454124166788</v>
      </c>
      <c r="S38" s="480">
        <f>F38*'Data by dwelling type'!AB38</f>
        <v>44.014402953294862</v>
      </c>
      <c r="T38" s="110">
        <f>F38*'Data by dwelling type'!AC38</f>
        <v>14.638423805037259</v>
      </c>
      <c r="U38" s="109">
        <f>G38*'Data by dwelling type'!AA38</f>
        <v>89.629814264805177</v>
      </c>
      <c r="V38" s="480">
        <f>G38*'Data by dwelling type'!AB38</f>
        <v>37.890987316777171</v>
      </c>
      <c r="W38" s="110">
        <f>G38*'Data by dwelling type'!AC38</f>
        <v>12.601882418417636</v>
      </c>
      <c r="X38" s="109">
        <f>H38*'Data by dwelling type'!AA38</f>
        <v>48.691389510087625</v>
      </c>
      <c r="Y38" s="480">
        <f>H38*'Data by dwelling type'!AB38</f>
        <v>20.584275862852557</v>
      </c>
      <c r="Z38" s="110">
        <f>H38*'Data by dwelling type'!AC38</f>
        <v>6.8459716270598241</v>
      </c>
      <c r="AA38" s="480">
        <f>I38*'Data by dwelling type'!AA38</f>
        <v>48.691389510087625</v>
      </c>
      <c r="AB38" s="480">
        <f>I38*'Data by dwelling type'!AB38</f>
        <v>20.584275862852557</v>
      </c>
      <c r="AC38" s="110">
        <f>I38*'Data by dwelling type'!AC38</f>
        <v>6.8459716270598241</v>
      </c>
      <c r="AD38" s="480">
        <f>J38*'Data by dwelling type'!AA38</f>
        <v>42.574698508130162</v>
      </c>
      <c r="AE38" s="480">
        <f>J38*'Data by dwelling type'!AB38</f>
        <v>17.99844587896936</v>
      </c>
      <c r="AF38" s="110">
        <f>J38*'Data by dwelling type'!AC38</f>
        <v>5.9859696129004716</v>
      </c>
      <c r="AI38" s="480">
        <f t="shared" si="3"/>
        <v>489.46164093404724</v>
      </c>
      <c r="AJ38" s="480">
        <f t="shared" si="4"/>
        <v>206.91981770583044</v>
      </c>
      <c r="AK38" s="480">
        <f t="shared" si="5"/>
        <v>68.817927360122297</v>
      </c>
      <c r="AL38" s="480">
        <f>AI38-'Data by dwelling type'!W38</f>
        <v>-4.6263590659527836</v>
      </c>
      <c r="AM38" s="480">
        <f>AJ38-'Data by dwelling type'!Y38</f>
        <v>-1.9557924350146152</v>
      </c>
      <c r="AN38" s="480">
        <f>AK38-'Data by dwelling type'!Z38</f>
        <v>-0.65046249903264197</v>
      </c>
    </row>
    <row r="39" spans="1:48">
      <c r="A39" s="48" t="s">
        <v>115</v>
      </c>
      <c r="B39" s="48" t="s">
        <v>45</v>
      </c>
      <c r="C39" s="48" t="s">
        <v>57</v>
      </c>
      <c r="D39" s="48" t="s">
        <v>164</v>
      </c>
      <c r="E39" s="211">
        <v>416.97972199999998</v>
      </c>
      <c r="F39" s="212">
        <v>535.75490500000001</v>
      </c>
      <c r="G39" s="212">
        <v>219.29487599999999</v>
      </c>
      <c r="H39" s="212">
        <v>254.37871699999999</v>
      </c>
      <c r="I39" s="212">
        <v>135.342646</v>
      </c>
      <c r="J39" s="101">
        <v>167.249134</v>
      </c>
      <c r="K39" s="101">
        <f t="shared" si="13"/>
        <v>1729</v>
      </c>
      <c r="L39" s="472"/>
      <c r="M39" s="44" t="s">
        <v>45</v>
      </c>
      <c r="N39" s="44" t="s">
        <v>164</v>
      </c>
      <c r="O39" s="109">
        <f>E39*'Data by dwelling type'!AA39</f>
        <v>212.22796724117987</v>
      </c>
      <c r="P39" s="480">
        <f>E39*'Data by dwelling type'!AB39</f>
        <v>157.79324420795558</v>
      </c>
      <c r="Q39" s="110">
        <f>E39*'Data by dwelling type'!AC39</f>
        <v>46.958510550864531</v>
      </c>
      <c r="R39" s="109">
        <f>F39*'Data by dwelling type'!AA39</f>
        <v>272.68034493927127</v>
      </c>
      <c r="S39" s="480">
        <f>F39*'Data by dwelling type'!AB39</f>
        <v>202.74008566842264</v>
      </c>
      <c r="T39" s="110">
        <f>F39*'Data by dwelling type'!AC39</f>
        <v>60.33447439230612</v>
      </c>
      <c r="U39" s="109">
        <f>G39*'Data by dwelling type'!AA39</f>
        <v>111.61335504916136</v>
      </c>
      <c r="V39" s="480">
        <f>G39*'Data by dwelling type'!AB39</f>
        <v>82.985450122731237</v>
      </c>
      <c r="W39" s="110">
        <f>G39*'Data by dwelling type'!AC39</f>
        <v>24.696070828107388</v>
      </c>
      <c r="X39" s="109">
        <f>H39*'Data by dwelling type'!AA39</f>
        <v>129.46979234239444</v>
      </c>
      <c r="Y39" s="480">
        <f>H39*'Data by dwelling type'!AB39</f>
        <v>96.261858539220341</v>
      </c>
      <c r="Z39" s="110">
        <f>H39*'Data by dwelling type'!AC39</f>
        <v>28.647066118385208</v>
      </c>
      <c r="AA39" s="480">
        <f>I39*'Data by dwelling type'!AA39</f>
        <v>68.884631856564482</v>
      </c>
      <c r="AB39" s="480">
        <f>I39*'Data by dwelling type'!AB39</f>
        <v>51.216291980809764</v>
      </c>
      <c r="AC39" s="110">
        <f>I39*'Data by dwelling type'!AC39</f>
        <v>15.241722162625749</v>
      </c>
      <c r="AD39" s="480">
        <f>J39*'Data by dwelling type'!AA39</f>
        <v>85.123908571428572</v>
      </c>
      <c r="AE39" s="480">
        <f>J39*'Data by dwelling type'!AB39</f>
        <v>63.290328168119139</v>
      </c>
      <c r="AF39" s="110">
        <f>J39*'Data by dwelling type'!AC39</f>
        <v>18.834897260452287</v>
      </c>
      <c r="AI39" s="480">
        <f t="shared" si="3"/>
        <v>880.00000000000011</v>
      </c>
      <c r="AJ39" s="480">
        <f t="shared" si="4"/>
        <v>654.28725868725871</v>
      </c>
      <c r="AK39" s="480">
        <f t="shared" si="5"/>
        <v>194.71274131274129</v>
      </c>
      <c r="AL39" s="480">
        <f>AI39-'Data by dwelling type'!W39</f>
        <v>0</v>
      </c>
      <c r="AM39" s="480">
        <f>AJ39-'Data by dwelling type'!Y39</f>
        <v>0</v>
      </c>
      <c r="AN39" s="480">
        <f>AK39-'Data by dwelling type'!Z39</f>
        <v>0</v>
      </c>
    </row>
    <row r="40" spans="1:48">
      <c r="A40" s="49" t="s">
        <v>52</v>
      </c>
      <c r="B40" s="49" t="s">
        <v>52</v>
      </c>
      <c r="C40" s="49" t="s">
        <v>57</v>
      </c>
      <c r="D40" s="49" t="s">
        <v>164</v>
      </c>
      <c r="E40" s="215">
        <v>10370.563678</v>
      </c>
      <c r="F40" s="216">
        <v>6525.5089079999998</v>
      </c>
      <c r="G40" s="216">
        <v>2866.8247249999999</v>
      </c>
      <c r="H40" s="216">
        <v>2035.424111</v>
      </c>
      <c r="I40" s="216">
        <v>2035.424111</v>
      </c>
      <c r="J40" s="102">
        <v>1683.2184669999999</v>
      </c>
      <c r="K40" s="102">
        <f t="shared" si="13"/>
        <v>25516.964</v>
      </c>
      <c r="L40" s="472"/>
      <c r="M40" s="390" t="s">
        <v>52</v>
      </c>
      <c r="N40" s="390" t="s">
        <v>164</v>
      </c>
      <c r="O40" s="784">
        <f>E40*'Data by dwelling type'!AA40</f>
        <v>1942.6772105200455</v>
      </c>
      <c r="P40" s="785">
        <f>E40*'Data by dwelling type'!AB40</f>
        <v>1884.6922720259267</v>
      </c>
      <c r="Q40" s="786">
        <f>E40*'Data by dwelling type'!AC40</f>
        <v>6543.194195454028</v>
      </c>
      <c r="R40" s="784">
        <f>F40*'Data by dwelling type'!AA40</f>
        <v>1222.398110288827</v>
      </c>
      <c r="S40" s="785">
        <f>F40*'Data by dwelling type'!AB40</f>
        <v>1185.9120286811417</v>
      </c>
      <c r="T40" s="786">
        <f>F40*'Data by dwelling type'!AC40</f>
        <v>4117.1987690300311</v>
      </c>
      <c r="U40" s="784">
        <f>G40*'Data by dwelling type'!AA40</f>
        <v>537.03108459066505</v>
      </c>
      <c r="V40" s="785">
        <f>G40*'Data by dwelling type'!AB40</f>
        <v>521.00180590206412</v>
      </c>
      <c r="W40" s="786">
        <f>G40*'Data by dwelling type'!AC40</f>
        <v>1808.7918345072708</v>
      </c>
      <c r="X40" s="784">
        <f>H40*'Data by dwelling type'!AA40</f>
        <v>381.28805308539404</v>
      </c>
      <c r="Y40" s="785">
        <f>H40*'Data by dwelling type'!AB40</f>
        <v>369.90738511493879</v>
      </c>
      <c r="Z40" s="786">
        <f>H40*'Data by dwelling type'!AC40</f>
        <v>1284.228672799667</v>
      </c>
      <c r="AA40" s="785">
        <f>I40*'Data by dwelling type'!AA40</f>
        <v>381.28805308539404</v>
      </c>
      <c r="AB40" s="785">
        <f>I40*'Data by dwelling type'!AB40</f>
        <v>369.90738511493879</v>
      </c>
      <c r="AC40" s="786">
        <f>I40*'Data by dwelling type'!AC40</f>
        <v>1284.228672799667</v>
      </c>
      <c r="AD40" s="785">
        <f>J40*'Data by dwelling type'!AA40</f>
        <v>315.31074469020649</v>
      </c>
      <c r="AE40" s="785">
        <f>J40*'Data by dwelling type'!AB40</f>
        <v>305.89936433407308</v>
      </c>
      <c r="AF40" s="786">
        <f>J40*'Data by dwelling type'!AC40</f>
        <v>1062.0083579757202</v>
      </c>
      <c r="AI40" s="480">
        <f t="shared" si="3"/>
        <v>4779.9932562605327</v>
      </c>
      <c r="AJ40" s="480">
        <f t="shared" si="4"/>
        <v>4637.3202411730826</v>
      </c>
      <c r="AK40" s="480">
        <f t="shared" si="5"/>
        <v>16099.650502566383</v>
      </c>
      <c r="AL40" s="480">
        <f>AI40-'Data by dwelling type'!W40</f>
        <v>-6.743739467310661E-3</v>
      </c>
      <c r="AM40" s="480">
        <f>AJ40-'Data by dwelling type'!Y40</f>
        <v>-6.5424526483184309E-3</v>
      </c>
      <c r="AN40" s="480">
        <f>AK40-'Data by dwelling type'!Z40</f>
        <v>-2.2713807886248105E-2</v>
      </c>
    </row>
    <row r="42" spans="1:48">
      <c r="A42" t="s">
        <v>234</v>
      </c>
      <c r="E42" s="2">
        <v>8</v>
      </c>
      <c r="F42" s="2">
        <v>5</v>
      </c>
      <c r="G42" s="2">
        <v>3</v>
      </c>
      <c r="H42" s="2">
        <v>1</v>
      </c>
      <c r="I42" s="2">
        <v>1</v>
      </c>
      <c r="J42" s="2">
        <v>1</v>
      </c>
      <c r="K42" s="779">
        <f>SUMPRODUCT(E18:J18,E42:J42)/K18</f>
        <v>3.9805818620786582</v>
      </c>
      <c r="P42" s="2">
        <v>8</v>
      </c>
      <c r="S42" s="2">
        <v>5</v>
      </c>
      <c r="V42" s="2">
        <v>3</v>
      </c>
      <c r="Y42" s="2">
        <v>1</v>
      </c>
      <c r="AB42" s="2">
        <v>1</v>
      </c>
      <c r="AE42" s="2">
        <v>1</v>
      </c>
    </row>
    <row r="43" spans="1:48">
      <c r="A43" s="207" t="s">
        <v>235</v>
      </c>
      <c r="O43" s="2">
        <f>SUMPRODUCT(O18:AF18,O42:AF42)</f>
        <v>32137.914611811</v>
      </c>
      <c r="P43" s="2">
        <f>O43/SUM(P18,S18,V18,Y18,AB18,AE18)</f>
        <v>3.9805818620786577</v>
      </c>
    </row>
    <row r="44" spans="1:48">
      <c r="F44" s="534" t="s">
        <v>544</v>
      </c>
      <c r="G44" s="534"/>
    </row>
    <row r="45" spans="1:48" ht="15" thickBot="1">
      <c r="D45" s="539" t="s">
        <v>545</v>
      </c>
      <c r="E45" s="539" t="s">
        <v>592</v>
      </c>
      <c r="F45" s="539" t="s">
        <v>546</v>
      </c>
      <c r="G45" s="540" t="str">
        <f>'All Stock'!D2</f>
        <v>AT</v>
      </c>
      <c r="H45" s="540" t="str">
        <f>'All Stock'!E2</f>
        <v>BE</v>
      </c>
      <c r="I45" s="540" t="str">
        <f>'All Stock'!F2</f>
        <v>BG</v>
      </c>
      <c r="J45" s="540" t="str">
        <f>'All Stock'!G2</f>
        <v>CH</v>
      </c>
      <c r="K45" s="540" t="str">
        <f>'All Stock'!H2</f>
        <v>CY</v>
      </c>
      <c r="L45" s="540" t="str">
        <f>'All Stock'!I2</f>
        <v>CZ</v>
      </c>
      <c r="M45" s="540" t="str">
        <f>'All Stock'!J2</f>
        <v>DE</v>
      </c>
      <c r="N45" s="540" t="str">
        <f>'All Stock'!K2</f>
        <v>DK</v>
      </c>
      <c r="O45" s="540" t="str">
        <f>'All Stock'!L2</f>
        <v>EE</v>
      </c>
      <c r="P45" s="540" t="str">
        <f>'All Stock'!M2</f>
        <v>ES</v>
      </c>
      <c r="Q45" s="540" t="str">
        <f>'All Stock'!N2</f>
        <v>FI</v>
      </c>
      <c r="R45" s="540" t="str">
        <f>'All Stock'!O2</f>
        <v>FR</v>
      </c>
      <c r="S45" s="540" t="str">
        <f>'All Stock'!P2</f>
        <v>EL</v>
      </c>
      <c r="T45" s="540" t="str">
        <f>'All Stock'!Q2</f>
        <v>HR</v>
      </c>
      <c r="U45" s="540" t="str">
        <f>'All Stock'!R2</f>
        <v>HU</v>
      </c>
      <c r="V45" s="540" t="str">
        <f>'All Stock'!S2</f>
        <v>IE</v>
      </c>
      <c r="W45" s="540" t="str">
        <f>'All Stock'!T2</f>
        <v>IS</v>
      </c>
      <c r="X45" s="540" t="str">
        <f>'All Stock'!U2</f>
        <v>IT</v>
      </c>
      <c r="Y45" s="540" t="str">
        <f>'All Stock'!V2</f>
        <v>LT</v>
      </c>
      <c r="Z45" s="540" t="str">
        <f>'All Stock'!W2</f>
        <v>LU</v>
      </c>
      <c r="AA45" s="540" t="str">
        <f>'All Stock'!X2</f>
        <v>LV</v>
      </c>
      <c r="AB45" s="540" t="str">
        <f>'All Stock'!Y2</f>
        <v>MT</v>
      </c>
      <c r="AC45" s="540" t="str">
        <f>'All Stock'!Z2</f>
        <v>NL</v>
      </c>
      <c r="AD45" s="540" t="str">
        <f>'All Stock'!AA2</f>
        <v>NO</v>
      </c>
      <c r="AE45" s="540" t="str">
        <f>'All Stock'!AB2</f>
        <v>PL</v>
      </c>
      <c r="AF45" s="540" t="str">
        <f>'All Stock'!AC2</f>
        <v>PT</v>
      </c>
      <c r="AG45" s="540" t="str">
        <f>'All Stock'!AD2</f>
        <v>RO</v>
      </c>
      <c r="AH45" s="540" t="str">
        <f>'All Stock'!AE2</f>
        <v>SE</v>
      </c>
      <c r="AI45" s="540" t="str">
        <f>'All Stock'!AF2</f>
        <v>SI</v>
      </c>
      <c r="AJ45" s="540" t="str">
        <f>'All Stock'!AG2</f>
        <v>SK</v>
      </c>
      <c r="AK45" s="540" t="str">
        <f>'All Stock'!AH2</f>
        <v>UK</v>
      </c>
      <c r="AL45" s="540" t="str">
        <f>'All Stock'!AI2</f>
        <v>AL</v>
      </c>
      <c r="AM45" s="540" t="str">
        <f>'All Stock'!AJ2</f>
        <v>BA</v>
      </c>
      <c r="AN45" s="540" t="str">
        <f>'All Stock'!AK2</f>
        <v>ME</v>
      </c>
      <c r="AO45" s="540" t="str">
        <f>'All Stock'!AL2</f>
        <v>MK</v>
      </c>
      <c r="AP45" s="540" t="str">
        <f>'All Stock'!AM2</f>
        <v>RS</v>
      </c>
      <c r="AQ45" s="540" t="str">
        <f>'All Stock'!AN2</f>
        <v>KS</v>
      </c>
      <c r="AR45" s="769" t="s">
        <v>844</v>
      </c>
      <c r="AS45" s="769" t="s">
        <v>845</v>
      </c>
      <c r="AT45" s="769" t="s">
        <v>668</v>
      </c>
    </row>
    <row r="46" spans="1:48">
      <c r="A46" s="2">
        <v>1</v>
      </c>
      <c r="B46" s="2" t="s">
        <v>541</v>
      </c>
      <c r="C46" s="2" t="s">
        <v>2</v>
      </c>
      <c r="D46" s="2" t="s">
        <v>549</v>
      </c>
      <c r="E46" s="2" t="str">
        <f>TechComm!C4</f>
        <v>R_Flat</v>
      </c>
      <c r="F46" s="2">
        <f>VLOOKUP(C46,TechComm!$U$2:$V$7,2,FALSE)</f>
        <v>1940</v>
      </c>
      <c r="G46" s="480">
        <f ca="1">OFFSET($N$3,MATCH(G$45,$A$4:$A$40,0),$A46)*G$67</f>
        <v>353.94295821763427</v>
      </c>
      <c r="H46" s="480">
        <f t="shared" ref="G46:P55" ca="1" si="14">OFFSET($N$3,MATCH(H$45,$A$4:$A$40,0),$A46)*H$67</f>
        <v>358.30808649014534</v>
      </c>
      <c r="I46" s="480">
        <f t="shared" ca="1" si="14"/>
        <v>109.91712060047644</v>
      </c>
      <c r="J46" s="480">
        <f t="shared" ca="1" si="14"/>
        <v>397.35844425136804</v>
      </c>
      <c r="K46" s="480">
        <f t="shared" ca="1" si="14"/>
        <v>2.528601896420859</v>
      </c>
      <c r="L46" s="480">
        <f t="shared" ca="1" si="14"/>
        <v>532.79970810153509</v>
      </c>
      <c r="M46" s="480">
        <f t="shared" ca="1" si="14"/>
        <v>4002.9176360012634</v>
      </c>
      <c r="N46" s="480">
        <f t="shared" ca="1" si="14"/>
        <v>382.94240472377481</v>
      </c>
      <c r="O46" s="480">
        <f t="shared" ca="1" si="14"/>
        <v>91.537888851347205</v>
      </c>
      <c r="P46" s="480">
        <f t="shared" ca="1" si="14"/>
        <v>970.51998456202728</v>
      </c>
      <c r="Q46" s="480">
        <f t="shared" ref="Q46:Z55" ca="1" si="15">OFFSET($N$3,MATCH(Q$45,$A$4:$A$40,0),$A46)*Q$67</f>
        <v>156.1978807080441</v>
      </c>
      <c r="R46" s="480">
        <f t="shared" ca="1" si="15"/>
        <v>2447.1883783546145</v>
      </c>
      <c r="S46" s="480">
        <f t="shared" ca="1" si="15"/>
        <v>139.77117477350572</v>
      </c>
      <c r="T46" s="480">
        <f t="shared" ca="1" si="15"/>
        <v>74.868894817319386</v>
      </c>
      <c r="U46" s="480">
        <f t="shared" ca="1" si="15"/>
        <v>250.85374674512386</v>
      </c>
      <c r="V46" s="480">
        <f t="shared" ca="1" si="15"/>
        <v>24.952699163763199</v>
      </c>
      <c r="W46" s="480">
        <f t="shared" ca="1" si="15"/>
        <v>9.4665630514884089</v>
      </c>
      <c r="X46" s="480">
        <f t="shared" ca="1" si="15"/>
        <v>4107.5884773512907</v>
      </c>
      <c r="Y46" s="480">
        <f t="shared" ca="1" si="15"/>
        <v>186.70349613573057</v>
      </c>
      <c r="Z46" s="480">
        <f t="shared" ca="1" si="15"/>
        <v>19.252162893617022</v>
      </c>
      <c r="AA46" s="480">
        <f t="shared" ref="AA46:AJ55" ca="1" si="16">OFFSET($N$3,MATCH(AA$45,$A$4:$A$40,0),$A46)*AA$67</f>
        <v>120.54421417464161</v>
      </c>
      <c r="AB46" s="480">
        <f t="shared" ca="1" si="16"/>
        <v>3.5661613679711177</v>
      </c>
      <c r="AC46" s="480">
        <f t="shared" ca="1" si="16"/>
        <v>393.08475119009148</v>
      </c>
      <c r="AD46" s="480">
        <f t="shared" ca="1" si="16"/>
        <v>219.26345602994581</v>
      </c>
      <c r="AE46" s="480">
        <f t="shared" ca="1" si="16"/>
        <v>1378.2357576796837</v>
      </c>
      <c r="AF46" s="480">
        <f t="shared" ca="1" si="16"/>
        <v>69.768064690982214</v>
      </c>
      <c r="AG46" s="480">
        <f t="shared" ca="1" si="16"/>
        <v>212.99737746834651</v>
      </c>
      <c r="AH46" s="480">
        <f t="shared" ca="1" si="16"/>
        <v>783.73120850317878</v>
      </c>
      <c r="AI46" s="480">
        <f t="shared" ca="1" si="16"/>
        <v>146.8358600315004</v>
      </c>
      <c r="AJ46" s="480">
        <f t="shared" ca="1" si="16"/>
        <v>139.96452575991765</v>
      </c>
      <c r="AK46" s="480">
        <f t="shared" ref="AK46:AQ55" ca="1" si="17">OFFSET($N$3,MATCH(AK$45,$A$4:$A$40,0),$A46)*AK$67</f>
        <v>1596.5037647952445</v>
      </c>
      <c r="AL46" s="480">
        <f t="shared" ca="1" si="17"/>
        <v>16.371367137160401</v>
      </c>
      <c r="AM46" s="480">
        <f t="shared" ca="1" si="17"/>
        <v>35.381252957228007</v>
      </c>
      <c r="AN46" s="480">
        <f t="shared" ca="1" si="17"/>
        <v>12.85790790942567</v>
      </c>
      <c r="AO46" s="480">
        <f t="shared" ca="1" si="17"/>
        <v>22.754685433208174</v>
      </c>
      <c r="AP46" s="480">
        <f t="shared" ca="1" si="17"/>
        <v>104.54100236348431</v>
      </c>
      <c r="AQ46" s="480">
        <f t="shared" ca="1" si="17"/>
        <v>20.82715088552856</v>
      </c>
      <c r="AR46" s="2">
        <v>1</v>
      </c>
      <c r="AS46" s="2">
        <v>3</v>
      </c>
      <c r="AT46" s="2">
        <v>200</v>
      </c>
      <c r="AV46" s="526" t="str">
        <f>D46&amp;F46</f>
        <v>Rdw_Flat1940</v>
      </c>
    </row>
    <row r="47" spans="1:48">
      <c r="A47" s="2">
        <v>2</v>
      </c>
      <c r="B47" s="2" t="s">
        <v>542</v>
      </c>
      <c r="C47" s="2" t="s">
        <v>2</v>
      </c>
      <c r="D47" s="2" t="s">
        <v>547</v>
      </c>
      <c r="E47" s="2" t="str">
        <f>TechComm!C5</f>
        <v>R_DetH</v>
      </c>
      <c r="F47" s="2">
        <f>VLOOKUP(C47,TechComm!$U$2:$V$7,2,FALSE)</f>
        <v>1940</v>
      </c>
      <c r="G47" s="480">
        <f t="shared" ca="1" si="14"/>
        <v>244.72893869909677</v>
      </c>
      <c r="H47" s="480">
        <f t="shared" ca="1" si="14"/>
        <v>376.0604865242164</v>
      </c>
      <c r="I47" s="480">
        <f t="shared" ca="1" si="14"/>
        <v>87.260262363001971</v>
      </c>
      <c r="J47" s="480">
        <f t="shared" ca="1" si="14"/>
        <v>202.87574694946082</v>
      </c>
      <c r="K47" s="480">
        <f t="shared" ca="1" si="14"/>
        <v>3.2037613491740564</v>
      </c>
      <c r="L47" s="480">
        <f t="shared" ca="1" si="14"/>
        <v>247.83001714924424</v>
      </c>
      <c r="M47" s="480">
        <f t="shared" ca="1" si="14"/>
        <v>1672.6828316319318</v>
      </c>
      <c r="N47" s="480">
        <f t="shared" ca="1" si="14"/>
        <v>358.06514760756846</v>
      </c>
      <c r="O47" s="480">
        <f t="shared" ca="1" si="14"/>
        <v>20.940127776042473</v>
      </c>
      <c r="P47" s="480">
        <f t="shared" ca="1" si="14"/>
        <v>127.03984800276824</v>
      </c>
      <c r="Q47" s="480">
        <f t="shared" ca="1" si="15"/>
        <v>111.65023072555439</v>
      </c>
      <c r="R47" s="480">
        <f t="shared" ca="1" si="15"/>
        <v>1676.3358896187974</v>
      </c>
      <c r="S47" s="480">
        <f t="shared" ca="1" si="15"/>
        <v>60.668506255746173</v>
      </c>
      <c r="T47" s="480">
        <f t="shared" ca="1" si="15"/>
        <v>94.298145039859392</v>
      </c>
      <c r="U47" s="480">
        <f t="shared" ca="1" si="15"/>
        <v>293.18281213521169</v>
      </c>
      <c r="V47" s="480">
        <f t="shared" ca="1" si="15"/>
        <v>78.419274018151086</v>
      </c>
      <c r="W47" s="480">
        <f t="shared" ca="1" si="15"/>
        <v>6.1429929449196727</v>
      </c>
      <c r="X47" s="480">
        <f t="shared" ca="1" si="15"/>
        <v>508.82778689904717</v>
      </c>
      <c r="Y47" s="480">
        <f t="shared" ca="1" si="15"/>
        <v>67.066682592129041</v>
      </c>
      <c r="Z47" s="480">
        <f t="shared" ca="1" si="15"/>
        <v>14.810399351764557</v>
      </c>
      <c r="AA47" s="480">
        <f t="shared" ca="1" si="16"/>
        <v>38.565279561532847</v>
      </c>
      <c r="AB47" s="480">
        <f t="shared" ca="1" si="16"/>
        <v>0.77894954316550236</v>
      </c>
      <c r="AC47" s="480">
        <f t="shared" ca="1" si="16"/>
        <v>144.57043395470984</v>
      </c>
      <c r="AD47" s="480">
        <f t="shared" ca="1" si="16"/>
        <v>88.266529632876143</v>
      </c>
      <c r="AE47" s="480">
        <f t="shared" ca="1" si="16"/>
        <v>680.48064779497668</v>
      </c>
      <c r="AF47" s="480">
        <f t="shared" ca="1" si="16"/>
        <v>55.552390290687384</v>
      </c>
      <c r="AG47" s="480">
        <f t="shared" ca="1" si="16"/>
        <v>218.45730286903341</v>
      </c>
      <c r="AH47" s="480">
        <f t="shared" ca="1" si="16"/>
        <v>380.67209163992203</v>
      </c>
      <c r="AI47" s="480">
        <f t="shared" ca="1" si="16"/>
        <v>62.07483252909477</v>
      </c>
      <c r="AJ47" s="480">
        <f t="shared" ca="1" si="16"/>
        <v>104.06477940104399</v>
      </c>
      <c r="AK47" s="480">
        <f t="shared" ca="1" si="17"/>
        <v>1548.8513951138707</v>
      </c>
      <c r="AL47" s="480">
        <f t="shared" ca="1" si="17"/>
        <v>7.1060888712241397</v>
      </c>
      <c r="AM47" s="480">
        <f t="shared" ca="1" si="17"/>
        <v>29.107516154349707</v>
      </c>
      <c r="AN47" s="480">
        <f t="shared" ca="1" si="17"/>
        <v>5.5810510836935849</v>
      </c>
      <c r="AO47" s="480">
        <f t="shared" ca="1" si="17"/>
        <v>16.468824362270119</v>
      </c>
      <c r="AP47" s="480">
        <f t="shared" ca="1" si="17"/>
        <v>86.00398970510156</v>
      </c>
      <c r="AQ47" s="480">
        <f t="shared" ca="1" si="17"/>
        <v>17.134119913233764</v>
      </c>
      <c r="AR47" s="2">
        <v>1</v>
      </c>
      <c r="AS47" s="2">
        <v>3</v>
      </c>
      <c r="AT47" s="2">
        <v>200</v>
      </c>
      <c r="AV47" s="526" t="str">
        <f t="shared" ref="AV47:AV63" si="18">D47&amp;F47</f>
        <v>Rdw_DetH1940</v>
      </c>
    </row>
    <row r="48" spans="1:48">
      <c r="A48" s="2">
        <v>3</v>
      </c>
      <c r="B48" s="2" t="s">
        <v>543</v>
      </c>
      <c r="C48" s="2" t="s">
        <v>2</v>
      </c>
      <c r="D48" s="2" t="s">
        <v>548</v>
      </c>
      <c r="E48" s="2" t="str">
        <f>TechComm!C6</f>
        <v>R_SDetH</v>
      </c>
      <c r="F48" s="2">
        <f>VLOOKUP(C48,TechComm!$U$2:$V$7,2,FALSE)</f>
        <v>1940</v>
      </c>
      <c r="G48" s="480">
        <f ca="1">OFFSET($N$3,MATCH(G$45,$A$4:$A$40,0),$A48)*G$67</f>
        <v>113.41097159226442</v>
      </c>
      <c r="H48" s="480">
        <f t="shared" ca="1" si="14"/>
        <v>627.44323762396198</v>
      </c>
      <c r="I48" s="480">
        <f t="shared" ca="1" si="14"/>
        <v>47.424055632066306</v>
      </c>
      <c r="J48" s="480">
        <f t="shared" ca="1" si="14"/>
        <v>227.59590098952125</v>
      </c>
      <c r="K48" s="480">
        <f t="shared" ca="1" si="14"/>
        <v>3.2719264842628664</v>
      </c>
      <c r="L48" s="480">
        <f t="shared" ca="1" si="14"/>
        <v>146.89924403604391</v>
      </c>
      <c r="M48" s="480">
        <f t="shared" ca="1" si="14"/>
        <v>1748.7138694333833</v>
      </c>
      <c r="N48" s="480">
        <f t="shared" ca="1" si="14"/>
        <v>190.63363375254082</v>
      </c>
      <c r="O48" s="480">
        <f t="shared" ca="1" si="14"/>
        <v>9.7146733726103118</v>
      </c>
      <c r="P48" s="480">
        <f t="shared" ca="1" si="14"/>
        <v>281.63613362378385</v>
      </c>
      <c r="Q48" s="480">
        <f t="shared" ca="1" si="15"/>
        <v>84.388177566401509</v>
      </c>
      <c r="R48" s="480">
        <f t="shared" ca="1" si="15"/>
        <v>1490.4977480094735</v>
      </c>
      <c r="S48" s="480">
        <f t="shared" ca="1" si="15"/>
        <v>34.303220826847145</v>
      </c>
      <c r="T48" s="480">
        <f t="shared" ca="1" si="15"/>
        <v>33.747110125566095</v>
      </c>
      <c r="U48" s="480">
        <f t="shared" ca="1" si="15"/>
        <v>108.28035002176836</v>
      </c>
      <c r="V48" s="480">
        <f t="shared" ca="1" si="15"/>
        <v>117.95555387988705</v>
      </c>
      <c r="W48" s="480">
        <f t="shared" ca="1" si="15"/>
        <v>5.7381538683203814</v>
      </c>
      <c r="X48" s="480">
        <f t="shared" ca="1" si="15"/>
        <v>904.90396192841865</v>
      </c>
      <c r="Y48" s="480">
        <f t="shared" ca="1" si="15"/>
        <v>33.914401992610713</v>
      </c>
      <c r="Z48" s="480">
        <f t="shared" ca="1" si="15"/>
        <v>19.164005754618422</v>
      </c>
      <c r="AA48" s="480">
        <f t="shared" ca="1" si="16"/>
        <v>15.401856931807139</v>
      </c>
      <c r="AB48" s="480">
        <f t="shared" ca="1" si="16"/>
        <v>9.9532441626703072</v>
      </c>
      <c r="AC48" s="480">
        <f t="shared" ca="1" si="16"/>
        <v>763.45682869292762</v>
      </c>
      <c r="AD48" s="480">
        <f t="shared" ca="1" si="16"/>
        <v>69.326306429116471</v>
      </c>
      <c r="AE48" s="480">
        <f t="shared" ca="1" si="16"/>
        <v>255.35418991897413</v>
      </c>
      <c r="AF48" s="480">
        <f t="shared" ca="1" si="16"/>
        <v>44.845556447716234</v>
      </c>
      <c r="AG48" s="480">
        <f t="shared" ca="1" si="16"/>
        <v>62.738770865280244</v>
      </c>
      <c r="AH48" s="480">
        <f t="shared" ca="1" si="16"/>
        <v>182.62480285689929</v>
      </c>
      <c r="AI48" s="480">
        <f t="shared" ca="1" si="16"/>
        <v>20.645008115907647</v>
      </c>
      <c r="AJ48" s="480">
        <f t="shared" ca="1" si="16"/>
        <v>30.969177837785633</v>
      </c>
      <c r="AK48" s="480">
        <f t="shared" ca="1" si="17"/>
        <v>5377.2361719486789</v>
      </c>
      <c r="AL48" s="480">
        <f t="shared" ca="1" si="17"/>
        <v>4.0179287542902857</v>
      </c>
      <c r="AM48" s="480">
        <f t="shared" ca="1" si="17"/>
        <v>10.416902185375141</v>
      </c>
      <c r="AN48" s="480">
        <f t="shared" ca="1" si="17"/>
        <v>3.1556410333033824</v>
      </c>
      <c r="AO48" s="480">
        <f t="shared" ca="1" si="17"/>
        <v>8.9504480229728891</v>
      </c>
      <c r="AP48" s="480">
        <f t="shared" ca="1" si="17"/>
        <v>30.778825082818859</v>
      </c>
      <c r="AQ48" s="480">
        <f t="shared" ca="1" si="17"/>
        <v>6.1319025031949579</v>
      </c>
      <c r="AR48" s="2">
        <v>1</v>
      </c>
      <c r="AS48" s="2">
        <v>3</v>
      </c>
      <c r="AT48" s="2">
        <v>200</v>
      </c>
      <c r="AV48" s="526" t="str">
        <f t="shared" si="18"/>
        <v>Rdw_SDetH1940</v>
      </c>
    </row>
    <row r="49" spans="1:48">
      <c r="A49" s="2">
        <v>4</v>
      </c>
      <c r="B49" s="2" t="s">
        <v>541</v>
      </c>
      <c r="C49" s="2" t="s">
        <v>3</v>
      </c>
      <c r="D49" s="2" t="str">
        <f>D46</f>
        <v>Rdw_Flat</v>
      </c>
      <c r="F49" s="2">
        <f>VLOOKUP(C49,TechComm!$U$2:$V$7,2,FALSE)</f>
        <v>1957</v>
      </c>
      <c r="G49" s="480">
        <f t="shared" ca="1" si="14"/>
        <v>427.0414944322107</v>
      </c>
      <c r="H49" s="480">
        <f t="shared" ca="1" si="14"/>
        <v>199.06004796110116</v>
      </c>
      <c r="I49" s="480">
        <f t="shared" ca="1" si="14"/>
        <v>227.5453640528068</v>
      </c>
      <c r="J49" s="480">
        <f t="shared" ca="1" si="14"/>
        <v>479.423420974019</v>
      </c>
      <c r="K49" s="480">
        <f t="shared" ca="1" si="14"/>
        <v>8.4249041779713387</v>
      </c>
      <c r="L49" s="480">
        <f t="shared" ca="1" si="14"/>
        <v>723.62433441365317</v>
      </c>
      <c r="M49" s="480">
        <f t="shared" ca="1" si="14"/>
        <v>6076.0485659353617</v>
      </c>
      <c r="N49" s="480">
        <f t="shared" ca="1" si="14"/>
        <v>278.07094914614453</v>
      </c>
      <c r="O49" s="480">
        <f t="shared" ca="1" si="14"/>
        <v>135.32120899748926</v>
      </c>
      <c r="P49" s="480">
        <f t="shared" ca="1" si="14"/>
        <v>1725.2299516056212</v>
      </c>
      <c r="Q49" s="480">
        <f t="shared" ca="1" si="15"/>
        <v>285.688707956717</v>
      </c>
      <c r="R49" s="480">
        <f t="shared" ca="1" si="15"/>
        <v>1655.1634856718833</v>
      </c>
      <c r="S49" s="480">
        <f t="shared" ca="1" si="15"/>
        <v>508.67758883894419</v>
      </c>
      <c r="T49" s="480">
        <f t="shared" ca="1" si="15"/>
        <v>136.03245071750416</v>
      </c>
      <c r="U49" s="480">
        <f t="shared" ca="1" si="15"/>
        <v>337.98071506747118</v>
      </c>
      <c r="V49" s="480">
        <f t="shared" ca="1" si="15"/>
        <v>22.642089968710266</v>
      </c>
      <c r="W49" s="480">
        <f t="shared" ca="1" si="15"/>
        <v>17.314512557475691</v>
      </c>
      <c r="X49" s="480">
        <f t="shared" ca="1" si="15"/>
        <v>5761.7366515410358</v>
      </c>
      <c r="Y49" s="480">
        <f t="shared" ca="1" si="15"/>
        <v>199.52465530665927</v>
      </c>
      <c r="Z49" s="480">
        <f t="shared" ca="1" si="15"/>
        <v>17.707211936170214</v>
      </c>
      <c r="AA49" s="480">
        <f t="shared" ca="1" si="16"/>
        <v>146.19330131038558</v>
      </c>
      <c r="AB49" s="480">
        <f t="shared" ca="1" si="16"/>
        <v>3.7387847322823529</v>
      </c>
      <c r="AC49" s="480">
        <f t="shared" ca="1" si="16"/>
        <v>442.4177463561191</v>
      </c>
      <c r="AD49" s="480">
        <f t="shared" ca="1" si="16"/>
        <v>291.70717651137142</v>
      </c>
      <c r="AE49" s="480">
        <f t="shared" ca="1" si="16"/>
        <v>1529.2932680876825</v>
      </c>
      <c r="AF49" s="480">
        <f t="shared" ca="1" si="16"/>
        <v>94.378706715696438</v>
      </c>
      <c r="AG49" s="480">
        <f t="shared" ca="1" si="16"/>
        <v>617.16752250486365</v>
      </c>
      <c r="AH49" s="480">
        <f t="shared" ca="1" si="16"/>
        <v>710.7822987937368</v>
      </c>
      <c r="AI49" s="480">
        <f t="shared" ca="1" si="16"/>
        <v>98.149506032340128</v>
      </c>
      <c r="AJ49" s="480">
        <f t="shared" ca="1" si="16"/>
        <v>179.8329205127983</v>
      </c>
      <c r="AK49" s="480">
        <f t="shared" ca="1" si="17"/>
        <v>1004.574087031309</v>
      </c>
      <c r="AL49" s="480">
        <f t="shared" ca="1" si="17"/>
        <v>59.58129474709434</v>
      </c>
      <c r="AM49" s="480">
        <f t="shared" ca="1" si="17"/>
        <v>80.779292831540502</v>
      </c>
      <c r="AN49" s="480">
        <f t="shared" ca="1" si="17"/>
        <v>29.356018269677797</v>
      </c>
      <c r="AO49" s="480">
        <f t="shared" ca="1" si="17"/>
        <v>47.105702483112637</v>
      </c>
      <c r="AP49" s="480">
        <f t="shared" ca="1" si="17"/>
        <v>238.67860906541179</v>
      </c>
      <c r="AQ49" s="480">
        <f t="shared" ca="1" si="17"/>
        <v>47.550676689223735</v>
      </c>
      <c r="AR49" s="2">
        <v>1</v>
      </c>
      <c r="AS49" s="2">
        <v>3</v>
      </c>
      <c r="AT49" s="2">
        <v>200</v>
      </c>
      <c r="AV49" s="526" t="str">
        <f t="shared" si="18"/>
        <v>Rdw_Flat1957</v>
      </c>
    </row>
    <row r="50" spans="1:48">
      <c r="A50" s="2">
        <v>5</v>
      </c>
      <c r="B50" s="2" t="s">
        <v>542</v>
      </c>
      <c r="C50" s="2" t="s">
        <v>3</v>
      </c>
      <c r="D50" s="2" t="str">
        <f>D47</f>
        <v>Rdw_DetH</v>
      </c>
      <c r="F50" s="2">
        <f>VLOOKUP(C50,TechComm!$U$2:$V$7,2,FALSE)</f>
        <v>1957</v>
      </c>
      <c r="G50" s="480">
        <f t="shared" ca="1" si="14"/>
        <v>295.27190550464314</v>
      </c>
      <c r="H50" s="480">
        <f t="shared" ca="1" si="14"/>
        <v>208.92249242006545</v>
      </c>
      <c r="I50" s="480">
        <f t="shared" ca="1" si="14"/>
        <v>180.64217892773527</v>
      </c>
      <c r="J50" s="480">
        <f t="shared" ca="1" si="14"/>
        <v>244.77492813425982</v>
      </c>
      <c r="K50" s="480">
        <f t="shared" ca="1" si="14"/>
        <v>10.67442938094956</v>
      </c>
      <c r="L50" s="480">
        <f t="shared" ca="1" si="14"/>
        <v>336.59145919271094</v>
      </c>
      <c r="M50" s="480">
        <f t="shared" ca="1" si="14"/>
        <v>2538.9735799197174</v>
      </c>
      <c r="N50" s="480">
        <f t="shared" ca="1" si="14"/>
        <v>260.00650286617184</v>
      </c>
      <c r="O50" s="480">
        <f t="shared" ca="1" si="14"/>
        <v>30.955961982230814</v>
      </c>
      <c r="P50" s="480">
        <f t="shared" ca="1" si="14"/>
        <v>225.83043554812411</v>
      </c>
      <c r="Q50" s="480">
        <f t="shared" ca="1" si="15"/>
        <v>204.21026210127249</v>
      </c>
      <c r="R50" s="480">
        <f t="shared" ca="1" si="15"/>
        <v>1133.7950027712438</v>
      </c>
      <c r="S50" s="480">
        <f t="shared" ca="1" si="15"/>
        <v>220.79452026243649</v>
      </c>
      <c r="T50" s="480">
        <f t="shared" ca="1" si="15"/>
        <v>171.33427438973396</v>
      </c>
      <c r="U50" s="480">
        <f t="shared" ca="1" si="15"/>
        <v>395.01158653862939</v>
      </c>
      <c r="V50" s="480">
        <f t="shared" ca="1" si="15"/>
        <v>71.15768302045845</v>
      </c>
      <c r="W50" s="480">
        <f t="shared" ca="1" si="15"/>
        <v>11.235643591743999</v>
      </c>
      <c r="X50" s="480">
        <f t="shared" ca="1" si="15"/>
        <v>713.73549839861982</v>
      </c>
      <c r="Y50" s="480">
        <f t="shared" ca="1" si="15"/>
        <v>71.672234337955629</v>
      </c>
      <c r="Z50" s="480">
        <f t="shared" ca="1" si="15"/>
        <v>13.621891817046759</v>
      </c>
      <c r="AA50" s="480">
        <f t="shared" ca="1" si="16"/>
        <v>46.77110032747192</v>
      </c>
      <c r="AB50" s="480">
        <f t="shared" ca="1" si="16"/>
        <v>0.81665532170306465</v>
      </c>
      <c r="AC50" s="480">
        <f t="shared" ca="1" si="16"/>
        <v>162.71433930297204</v>
      </c>
      <c r="AD50" s="480">
        <f t="shared" ca="1" si="16"/>
        <v>117.42941849893619</v>
      </c>
      <c r="AE50" s="480">
        <f t="shared" ca="1" si="16"/>
        <v>755.06274448196552</v>
      </c>
      <c r="AF50" s="480">
        <f t="shared" ca="1" si="16"/>
        <v>75.148461890449425</v>
      </c>
      <c r="AG50" s="480">
        <f t="shared" ca="1" si="16"/>
        <v>632.98785171574366</v>
      </c>
      <c r="AH50" s="480">
        <f t="shared" ca="1" si="16"/>
        <v>345.2395176392244</v>
      </c>
      <c r="AI50" s="480">
        <f t="shared" ca="1" si="16"/>
        <v>41.492685427550548</v>
      </c>
      <c r="AJ50" s="480">
        <f t="shared" ca="1" si="16"/>
        <v>133.70725975459376</v>
      </c>
      <c r="AK50" s="480">
        <f t="shared" ca="1" si="17"/>
        <v>974.58960667921656</v>
      </c>
      <c r="AL50" s="480">
        <f t="shared" ca="1" si="17"/>
        <v>25.861613876731429</v>
      </c>
      <c r="AM50" s="480">
        <f t="shared" ca="1" si="17"/>
        <v>66.455661529947861</v>
      </c>
      <c r="AN50" s="480">
        <f t="shared" ca="1" si="17"/>
        <v>12.742153601583242</v>
      </c>
      <c r="AO50" s="480">
        <f t="shared" ca="1" si="17"/>
        <v>34.09300220532019</v>
      </c>
      <c r="AP50" s="480">
        <f t="shared" ca="1" si="17"/>
        <v>196.35656988936361</v>
      </c>
      <c r="AQ50" s="480">
        <f t="shared" ca="1" si="17"/>
        <v>39.119080705113554</v>
      </c>
      <c r="AR50" s="2">
        <v>1</v>
      </c>
      <c r="AS50" s="2">
        <v>3</v>
      </c>
      <c r="AT50" s="2">
        <v>200</v>
      </c>
      <c r="AV50" s="526" t="str">
        <f t="shared" si="18"/>
        <v>Rdw_DetH1957</v>
      </c>
    </row>
    <row r="51" spans="1:48">
      <c r="A51" s="2">
        <v>6</v>
      </c>
      <c r="B51" s="2" t="s">
        <v>543</v>
      </c>
      <c r="C51" s="2" t="s">
        <v>3</v>
      </c>
      <c r="D51" s="2" t="str">
        <f t="shared" ref="D51:D63" si="19">D48</f>
        <v>Rdw_SDetH</v>
      </c>
      <c r="F51" s="2">
        <f>VLOOKUP(C51,TechComm!$U$2:$V$7,2,FALSE)</f>
        <v>1957</v>
      </c>
      <c r="G51" s="480">
        <f t="shared" ca="1" si="14"/>
        <v>136.83332206312741</v>
      </c>
      <c r="H51" s="480">
        <f t="shared" ca="1" si="14"/>
        <v>348.5795763019421</v>
      </c>
      <c r="I51" s="480">
        <f t="shared" ca="1" si="14"/>
        <v>98.17509724333442</v>
      </c>
      <c r="J51" s="480">
        <f t="shared" ca="1" si="14"/>
        <v>274.60044458759415</v>
      </c>
      <c r="K51" s="480">
        <f t="shared" ca="1" si="14"/>
        <v>10.901544899693169</v>
      </c>
      <c r="L51" s="480">
        <f t="shared" ca="1" si="14"/>
        <v>199.51187298922775</v>
      </c>
      <c r="M51" s="480">
        <f t="shared" ca="1" si="14"/>
        <v>2654.3814699160675</v>
      </c>
      <c r="N51" s="480">
        <f t="shared" ca="1" si="14"/>
        <v>138.42727998479205</v>
      </c>
      <c r="O51" s="480">
        <f t="shared" ca="1" si="14"/>
        <v>14.361281020279904</v>
      </c>
      <c r="P51" s="480">
        <f t="shared" ca="1" si="14"/>
        <v>500.64614939528963</v>
      </c>
      <c r="Q51" s="480">
        <f t="shared" ca="1" si="15"/>
        <v>154.34748094201046</v>
      </c>
      <c r="R51" s="480">
        <f t="shared" ca="1" si="15"/>
        <v>1008.1027965816716</v>
      </c>
      <c r="S51" s="480">
        <f t="shared" ca="1" si="15"/>
        <v>124.84176145679827</v>
      </c>
      <c r="T51" s="480">
        <f t="shared" ca="1" si="15"/>
        <v>61.316546827832845</v>
      </c>
      <c r="U51" s="480">
        <f t="shared" ca="1" si="15"/>
        <v>145.88847327561277</v>
      </c>
      <c r="V51" s="480">
        <f t="shared" ca="1" si="15"/>
        <v>107.03292039588183</v>
      </c>
      <c r="W51" s="480">
        <f t="shared" ca="1" si="15"/>
        <v>10.495185704609007</v>
      </c>
      <c r="X51" s="480">
        <f t="shared" ca="1" si="15"/>
        <v>1269.3136988566359</v>
      </c>
      <c r="Y51" s="480">
        <f t="shared" ca="1" si="15"/>
        <v>36.243345773170745</v>
      </c>
      <c r="Z51" s="480">
        <f t="shared" ca="1" si="15"/>
        <v>17.626129246783027</v>
      </c>
      <c r="AA51" s="480">
        <f t="shared" ca="1" si="16"/>
        <v>18.679024344619283</v>
      </c>
      <c r="AB51" s="480">
        <f t="shared" ca="1" si="16"/>
        <v>10.43504022176138</v>
      </c>
      <c r="AC51" s="480">
        <f t="shared" ca="1" si="16"/>
        <v>859.27232884995419</v>
      </c>
      <c r="AD51" s="480">
        <f t="shared" ca="1" si="16"/>
        <v>92.231425484955238</v>
      </c>
      <c r="AE51" s="480">
        <f t="shared" ca="1" si="16"/>
        <v>283.34154112973579</v>
      </c>
      <c r="AF51" s="480">
        <f t="shared" ca="1" si="16"/>
        <v>60.66479897683449</v>
      </c>
      <c r="AG51" s="480">
        <f t="shared" ca="1" si="16"/>
        <v>181.78783344729001</v>
      </c>
      <c r="AH51" s="480">
        <f t="shared" ca="1" si="16"/>
        <v>165.62627056703889</v>
      </c>
      <c r="AI51" s="480">
        <f t="shared" ca="1" si="16"/>
        <v>13.799744477781456</v>
      </c>
      <c r="AJ51" s="480">
        <f t="shared" ca="1" si="16"/>
        <v>39.790637421958252</v>
      </c>
      <c r="AK51" s="480">
        <f t="shared" ca="1" si="17"/>
        <v>3383.5386031049375</v>
      </c>
      <c r="AL51" s="480">
        <f t="shared" ca="1" si="17"/>
        <v>14.622688220021047</v>
      </c>
      <c r="AM51" s="480">
        <f t="shared" ca="1" si="17"/>
        <v>23.78293366397104</v>
      </c>
      <c r="AN51" s="480">
        <f t="shared" ca="1" si="17"/>
        <v>7.2046756345400587</v>
      </c>
      <c r="AO51" s="480">
        <f t="shared" ca="1" si="17"/>
        <v>18.528805546369668</v>
      </c>
      <c r="AP51" s="480">
        <f t="shared" ca="1" si="17"/>
        <v>70.27144367615918</v>
      </c>
      <c r="AQ51" s="480">
        <f t="shared" ca="1" si="17"/>
        <v>13.999807992069742</v>
      </c>
      <c r="AR51" s="2">
        <v>1</v>
      </c>
      <c r="AS51" s="2">
        <v>3</v>
      </c>
      <c r="AT51" s="2">
        <v>200</v>
      </c>
      <c r="AV51" s="526" t="str">
        <f t="shared" si="18"/>
        <v>Rdw_SDetH1957</v>
      </c>
    </row>
    <row r="52" spans="1:48">
      <c r="A52" s="2">
        <v>7</v>
      </c>
      <c r="B52" s="2" t="s">
        <v>541</v>
      </c>
      <c r="C52" s="2" t="s">
        <v>4</v>
      </c>
      <c r="D52" s="2" t="str">
        <f t="shared" si="19"/>
        <v>Rdw_Flat</v>
      </c>
      <c r="F52" s="2">
        <f>VLOOKUP(C52,TechComm!$U$2:$V$7,2,FALSE)</f>
        <v>1975</v>
      </c>
      <c r="G52" s="480">
        <f t="shared" ca="1" si="14"/>
        <v>219.72376763046276</v>
      </c>
      <c r="H52" s="480">
        <f t="shared" ca="1" si="14"/>
        <v>107.72885738547396</v>
      </c>
      <c r="I52" s="480">
        <f t="shared" ca="1" si="14"/>
        <v>131.92853126596714</v>
      </c>
      <c r="J52" s="480">
        <f t="shared" ca="1" si="14"/>
        <v>246.67560815549467</v>
      </c>
      <c r="K52" s="480">
        <f t="shared" ca="1" si="14"/>
        <v>11.405027695171018</v>
      </c>
      <c r="L52" s="480">
        <f t="shared" ca="1" si="14"/>
        <v>296.5070486614826</v>
      </c>
      <c r="M52" s="480">
        <f t="shared" ca="1" si="14"/>
        <v>3131.887624216251</v>
      </c>
      <c r="N52" s="480">
        <f t="shared" ca="1" si="14"/>
        <v>171.76835957527078</v>
      </c>
      <c r="O52" s="480">
        <f t="shared" ca="1" si="14"/>
        <v>105.1121772319657</v>
      </c>
      <c r="P52" s="480">
        <f t="shared" ca="1" si="14"/>
        <v>1424.4293938594278</v>
      </c>
      <c r="Q52" s="480">
        <f t="shared" ca="1" si="15"/>
        <v>226.93505876276029</v>
      </c>
      <c r="R52" s="480">
        <f t="shared" ca="1" si="15"/>
        <v>1828.2644382164829</v>
      </c>
      <c r="S52" s="480">
        <f t="shared" ca="1" si="15"/>
        <v>405.32266358453938</v>
      </c>
      <c r="T52" s="480">
        <f t="shared" ca="1" si="15"/>
        <v>105.07942191009033</v>
      </c>
      <c r="U52" s="480">
        <f t="shared" ca="1" si="15"/>
        <v>202.70336093963067</v>
      </c>
      <c r="V52" s="480">
        <f t="shared" ca="1" si="15"/>
        <v>19.134217169665796</v>
      </c>
      <c r="W52" s="480">
        <f t="shared" ca="1" si="15"/>
        <v>13.753675995043519</v>
      </c>
      <c r="X52" s="480">
        <f t="shared" ca="1" si="15"/>
        <v>3259.77282866008</v>
      </c>
      <c r="Y52" s="480">
        <f t="shared" ca="1" si="15"/>
        <v>131.33931772462779</v>
      </c>
      <c r="Z52" s="480">
        <f t="shared" ca="1" si="15"/>
        <v>9.5621806170212764</v>
      </c>
      <c r="AA52" s="480">
        <f t="shared" ca="1" si="16"/>
        <v>118.19077050816371</v>
      </c>
      <c r="AB52" s="480">
        <f t="shared" ca="1" si="16"/>
        <v>2.4566766577683534</v>
      </c>
      <c r="AC52" s="480">
        <f t="shared" ca="1" si="16"/>
        <v>272.58176969701287</v>
      </c>
      <c r="AD52" s="480">
        <f t="shared" ca="1" si="16"/>
        <v>187.24989881875732</v>
      </c>
      <c r="AE52" s="480">
        <f t="shared" ca="1" si="16"/>
        <v>878.90341466635607</v>
      </c>
      <c r="AF52" s="480">
        <f t="shared" ca="1" si="16"/>
        <v>105.77126928393589</v>
      </c>
      <c r="AG52" s="480">
        <f t="shared" ca="1" si="16"/>
        <v>445.2556024696525</v>
      </c>
      <c r="AH52" s="480">
        <f t="shared" ca="1" si="16"/>
        <v>386.78670753520134</v>
      </c>
      <c r="AI52" s="480">
        <f t="shared" ca="1" si="16"/>
        <v>84.494652629178645</v>
      </c>
      <c r="AJ52" s="480">
        <f t="shared" ca="1" si="16"/>
        <v>73.609103036717798</v>
      </c>
      <c r="AK52" s="480">
        <f t="shared" ca="1" si="17"/>
        <v>441.33536118002627</v>
      </c>
      <c r="AL52" s="480">
        <f t="shared" ca="1" si="17"/>
        <v>47.475354952887429</v>
      </c>
      <c r="AM52" s="480">
        <f t="shared" ca="1" si="17"/>
        <v>60.310410949191663</v>
      </c>
      <c r="AN52" s="480">
        <f t="shared" ca="1" si="17"/>
        <v>21.917417986914586</v>
      </c>
      <c r="AO52" s="480">
        <f t="shared" ca="1" si="17"/>
        <v>27.311416203612229</v>
      </c>
      <c r="AP52" s="480">
        <f t="shared" ca="1" si="17"/>
        <v>178.19919552323631</v>
      </c>
      <c r="AQ52" s="480">
        <f t="shared" ca="1" si="17"/>
        <v>35.501683061522058</v>
      </c>
      <c r="AR52" s="2">
        <v>1</v>
      </c>
      <c r="AS52" s="2">
        <v>3</v>
      </c>
      <c r="AT52" s="2">
        <v>200</v>
      </c>
      <c r="AV52" s="526" t="str">
        <f t="shared" si="18"/>
        <v>Rdw_Flat1975</v>
      </c>
    </row>
    <row r="53" spans="1:48">
      <c r="A53" s="2">
        <v>8</v>
      </c>
      <c r="B53" s="2" t="s">
        <v>542</v>
      </c>
      <c r="C53" s="2" t="s">
        <v>4</v>
      </c>
      <c r="D53" s="2" t="s">
        <v>897</v>
      </c>
      <c r="E53" s="2" t="str">
        <f>E47</f>
        <v>R_DetH</v>
      </c>
      <c r="F53" s="2">
        <f>VLOOKUP(C53,TechComm!$U$2:$V$7,2,FALSE)</f>
        <v>1975</v>
      </c>
      <c r="G53" s="480">
        <f t="shared" ca="1" si="14"/>
        <v>151.9249449966625</v>
      </c>
      <c r="H53" s="480">
        <f t="shared" ca="1" si="14"/>
        <v>113.06629140839524</v>
      </c>
      <c r="I53" s="480">
        <f t="shared" ca="1" si="14"/>
        <v>104.7345326055048</v>
      </c>
      <c r="J53" s="480">
        <f t="shared" ca="1" si="14"/>
        <v>125.9429590153631</v>
      </c>
      <c r="K53" s="480">
        <f t="shared" ca="1" si="14"/>
        <v>14.450272685379275</v>
      </c>
      <c r="L53" s="480">
        <f t="shared" ca="1" si="14"/>
        <v>137.91927029480161</v>
      </c>
      <c r="M53" s="480">
        <f t="shared" ca="1" si="14"/>
        <v>1308.7090807244849</v>
      </c>
      <c r="N53" s="480">
        <f t="shared" ca="1" si="14"/>
        <v>160.60969552325673</v>
      </c>
      <c r="O53" s="480">
        <f t="shared" ca="1" si="14"/>
        <v>24.045370170485317</v>
      </c>
      <c r="P53" s="480">
        <f t="shared" ca="1" si="14"/>
        <v>186.45602003573339</v>
      </c>
      <c r="Q53" s="480">
        <f t="shared" ca="1" si="15"/>
        <v>162.21315907568888</v>
      </c>
      <c r="R53" s="480">
        <f t="shared" ca="1" si="15"/>
        <v>1252.3699935011416</v>
      </c>
      <c r="S53" s="480">
        <f t="shared" ca="1" si="15"/>
        <v>175.93270279885732</v>
      </c>
      <c r="T53" s="480">
        <f t="shared" ca="1" si="15"/>
        <v>132.34861543181322</v>
      </c>
      <c r="U53" s="480">
        <f t="shared" ca="1" si="15"/>
        <v>236.90752942957562</v>
      </c>
      <c r="V53" s="480">
        <f t="shared" ca="1" si="15"/>
        <v>60.133431237365961</v>
      </c>
      <c r="W53" s="480">
        <f t="shared" ca="1" si="15"/>
        <v>8.92496401753532</v>
      </c>
      <c r="X53" s="480">
        <f t="shared" ca="1" si="15"/>
        <v>403.80456887207845</v>
      </c>
      <c r="Y53" s="480">
        <f t="shared" ca="1" si="15"/>
        <v>47.179043328148289</v>
      </c>
      <c r="Z53" s="480">
        <f t="shared" ca="1" si="15"/>
        <v>7.3560417286278508</v>
      </c>
      <c r="AA53" s="480">
        <f t="shared" ca="1" si="16"/>
        <v>37.812350741585121</v>
      </c>
      <c r="AB53" s="480">
        <f t="shared" ca="1" si="16"/>
        <v>0.53660700198845024</v>
      </c>
      <c r="AC53" s="480">
        <f t="shared" ca="1" si="16"/>
        <v>100.25131886681355</v>
      </c>
      <c r="AD53" s="480">
        <f t="shared" ca="1" si="16"/>
        <v>75.379176457848089</v>
      </c>
      <c r="AE53" s="480">
        <f t="shared" ca="1" si="16"/>
        <v>433.94372960419031</v>
      </c>
      <c r="AF53" s="480">
        <f t="shared" ca="1" si="16"/>
        <v>84.219719420740603</v>
      </c>
      <c r="AG53" s="480">
        <f t="shared" ca="1" si="16"/>
        <v>456.66918137197246</v>
      </c>
      <c r="AH53" s="480">
        <f t="shared" ca="1" si="16"/>
        <v>187.86913597220456</v>
      </c>
      <c r="AI53" s="480">
        <f t="shared" ca="1" si="16"/>
        <v>35.720098690027783</v>
      </c>
      <c r="AJ53" s="480">
        <f t="shared" ca="1" si="16"/>
        <v>54.728975273093248</v>
      </c>
      <c r="AK53" s="480">
        <f t="shared" ca="1" si="17"/>
        <v>428.16240396679319</v>
      </c>
      <c r="AL53" s="480">
        <f t="shared" ca="1" si="17"/>
        <v>20.606959007251525</v>
      </c>
      <c r="AM53" s="480">
        <f t="shared" ca="1" si="17"/>
        <v>49.616283038400404</v>
      </c>
      <c r="AN53" s="480">
        <f t="shared" ca="1" si="17"/>
        <v>9.5133850910508464</v>
      </c>
      <c r="AO53" s="480">
        <f t="shared" ca="1" si="17"/>
        <v>19.766782444099587</v>
      </c>
      <c r="AP53" s="480">
        <f t="shared" ca="1" si="17"/>
        <v>146.60125147787028</v>
      </c>
      <c r="AQ53" s="480">
        <f t="shared" ca="1" si="17"/>
        <v>29.206591820506777</v>
      </c>
      <c r="AR53" s="2">
        <v>1</v>
      </c>
      <c r="AS53" s="2">
        <v>3</v>
      </c>
      <c r="AT53" s="2">
        <v>200</v>
      </c>
      <c r="AV53" s="526" t="str">
        <f t="shared" si="18"/>
        <v>Rdw_DetH-701975</v>
      </c>
    </row>
    <row r="54" spans="1:48">
      <c r="A54" s="2">
        <v>9</v>
      </c>
      <c r="B54" s="2" t="s">
        <v>543</v>
      </c>
      <c r="C54" s="2" t="s">
        <v>4</v>
      </c>
      <c r="D54" s="2" t="str">
        <f t="shared" si="19"/>
        <v>Rdw_SDetH</v>
      </c>
      <c r="F54" s="2">
        <f>VLOOKUP(C54,TechComm!$U$2:$V$7,2,FALSE)</f>
        <v>1975</v>
      </c>
      <c r="G54" s="480">
        <f t="shared" ca="1" si="14"/>
        <v>70.404242803331442</v>
      </c>
      <c r="H54" s="480">
        <f t="shared" ca="1" si="14"/>
        <v>188.6469929428481</v>
      </c>
      <c r="I54" s="480">
        <f t="shared" ca="1" si="14"/>
        <v>56.920941633426537</v>
      </c>
      <c r="J54" s="480">
        <f t="shared" ca="1" si="14"/>
        <v>141.28894981975614</v>
      </c>
      <c r="K54" s="480">
        <f t="shared" ca="1" si="14"/>
        <v>14.757725295706493</v>
      </c>
      <c r="L54" s="480">
        <f t="shared" ca="1" si="14"/>
        <v>81.750535215063834</v>
      </c>
      <c r="M54" s="480">
        <f t="shared" ca="1" si="14"/>
        <v>1368.1958571210525</v>
      </c>
      <c r="N54" s="480">
        <f t="shared" ca="1" si="14"/>
        <v>85.50848938541165</v>
      </c>
      <c r="O54" s="480">
        <f t="shared" ca="1" si="14"/>
        <v>11.15527659754898</v>
      </c>
      <c r="P54" s="480">
        <f t="shared" ca="1" si="14"/>
        <v>413.35654441745282</v>
      </c>
      <c r="Q54" s="480">
        <f t="shared" ca="1" si="15"/>
        <v>122.6049671615508</v>
      </c>
      <c r="R54" s="480">
        <f t="shared" ca="1" si="15"/>
        <v>1113.5325960315579</v>
      </c>
      <c r="S54" s="480">
        <f t="shared" ca="1" si="15"/>
        <v>99.475967470381988</v>
      </c>
      <c r="T54" s="480">
        <f t="shared" ca="1" si="15"/>
        <v>47.364487372001612</v>
      </c>
      <c r="U54" s="480">
        <f t="shared" ca="1" si="15"/>
        <v>87.496364546760347</v>
      </c>
      <c r="V54" s="480">
        <f t="shared" ca="1" si="15"/>
        <v>90.450622976435952</v>
      </c>
      <c r="W54" s="480">
        <f t="shared" ca="1" si="15"/>
        <v>8.3367858731132198</v>
      </c>
      <c r="X54" s="480">
        <f t="shared" ca="1" si="15"/>
        <v>718.12971623273017</v>
      </c>
      <c r="Y54" s="480">
        <f t="shared" ca="1" si="15"/>
        <v>23.857584410256809</v>
      </c>
      <c r="Z54" s="480">
        <f t="shared" ca="1" si="15"/>
        <v>9.5183946543508711</v>
      </c>
      <c r="AA54" s="480">
        <f t="shared" ca="1" si="16"/>
        <v>15.101158943966382</v>
      </c>
      <c r="AB54" s="480">
        <f t="shared" ca="1" si="16"/>
        <v>6.8566450254079747</v>
      </c>
      <c r="AC54" s="480">
        <f t="shared" ca="1" si="16"/>
        <v>529.41360055900611</v>
      </c>
      <c r="AD54" s="480">
        <f t="shared" ca="1" si="16"/>
        <v>59.204320224512486</v>
      </c>
      <c r="AE54" s="480">
        <f t="shared" ca="1" si="16"/>
        <v>162.83982491282003</v>
      </c>
      <c r="AF54" s="480">
        <f t="shared" ca="1" si="16"/>
        <v>67.987716847654525</v>
      </c>
      <c r="AG54" s="480">
        <f t="shared" ca="1" si="16"/>
        <v>131.15085993947142</v>
      </c>
      <c r="AH54" s="480">
        <f t="shared" ca="1" si="16"/>
        <v>90.128918492594138</v>
      </c>
      <c r="AI54" s="480">
        <f t="shared" ca="1" si="16"/>
        <v>11.879882672434169</v>
      </c>
      <c r="AJ54" s="480">
        <f t="shared" ca="1" si="16"/>
        <v>16.287079815740171</v>
      </c>
      <c r="AK54" s="480">
        <f t="shared" ca="1" si="17"/>
        <v>1486.475961052078</v>
      </c>
      <c r="AL54" s="480">
        <f t="shared" ca="1" si="17"/>
        <v>11.651598317184279</v>
      </c>
      <c r="AM54" s="480">
        <f t="shared" ca="1" si="17"/>
        <v>17.756512251756291</v>
      </c>
      <c r="AN54" s="480">
        <f t="shared" ca="1" si="17"/>
        <v>5.3790635327904326</v>
      </c>
      <c r="AO54" s="480">
        <f t="shared" ca="1" si="17"/>
        <v>10.742816545706296</v>
      </c>
      <c r="AP54" s="480">
        <f t="shared" ca="1" si="17"/>
        <v>52.465173902182997</v>
      </c>
      <c r="AQ54" s="480">
        <f t="shared" ca="1" si="17"/>
        <v>10.452359059051222</v>
      </c>
      <c r="AR54" s="2">
        <v>1</v>
      </c>
      <c r="AS54" s="2">
        <v>3</v>
      </c>
      <c r="AT54" s="2">
        <v>200</v>
      </c>
      <c r="AV54" s="526" t="str">
        <f t="shared" si="18"/>
        <v>Rdw_SDetH1975</v>
      </c>
    </row>
    <row r="55" spans="1:48">
      <c r="A55" s="2">
        <v>10</v>
      </c>
      <c r="B55" s="2" t="s">
        <v>541</v>
      </c>
      <c r="C55" t="s">
        <v>5</v>
      </c>
      <c r="D55" s="2" t="str">
        <f t="shared" si="19"/>
        <v>Rdw_Flat</v>
      </c>
      <c r="F55" s="2">
        <f>VLOOKUP(C55,TechComm!$U$2:$V$7,2,FALSE)</f>
        <v>1985</v>
      </c>
      <c r="G55" s="480">
        <f t="shared" ca="1" si="14"/>
        <v>174.33774089073412</v>
      </c>
      <c r="H55" s="480">
        <f t="shared" ca="1" si="14"/>
        <v>107.72885738547396</v>
      </c>
      <c r="I55" s="480">
        <f t="shared" ca="1" si="14"/>
        <v>124.32100961775944</v>
      </c>
      <c r="J55" s="480">
        <f t="shared" ca="1" si="14"/>
        <v>195.7224233065383</v>
      </c>
      <c r="K55" s="480">
        <f t="shared" ca="1" si="14"/>
        <v>16.464574822908794</v>
      </c>
      <c r="L55" s="480">
        <f t="shared" ca="1" si="14"/>
        <v>343.67998049341998</v>
      </c>
      <c r="M55" s="480">
        <f t="shared" ca="1" si="14"/>
        <v>2182.8568112074468</v>
      </c>
      <c r="N55" s="480">
        <f t="shared" ca="1" si="14"/>
        <v>70.354963219765366</v>
      </c>
      <c r="O55" s="480">
        <f t="shared" ca="1" si="14"/>
        <v>98.852387248851798</v>
      </c>
      <c r="P55" s="480">
        <f t="shared" ca="1" si="14"/>
        <v>902.50339943003814</v>
      </c>
      <c r="Q55" s="480">
        <f t="shared" ca="1" si="15"/>
        <v>179.81601137443855</v>
      </c>
      <c r="R55" s="480">
        <f t="shared" ca="1" si="15"/>
        <v>1347.3210486526609</v>
      </c>
      <c r="S55" s="480">
        <f t="shared" ca="1" si="15"/>
        <v>310.26979384608165</v>
      </c>
      <c r="T55" s="480">
        <f t="shared" ca="1" si="15"/>
        <v>83.308661142180853</v>
      </c>
      <c r="U55" s="480">
        <f t="shared" ca="1" si="15"/>
        <v>275.55728262504584</v>
      </c>
      <c r="V55" s="480">
        <f t="shared" ca="1" si="15"/>
        <v>16.652399566964053</v>
      </c>
      <c r="W55" s="480">
        <f t="shared" ca="1" si="15"/>
        <v>10.897968664024354</v>
      </c>
      <c r="X55" s="480">
        <f t="shared" ca="1" si="15"/>
        <v>2361.4204736861502</v>
      </c>
      <c r="Y55" s="480">
        <f t="shared" ca="1" si="15"/>
        <v>131.33931772462779</v>
      </c>
      <c r="Z55" s="480">
        <f t="shared" ca="1" si="15"/>
        <v>7.4320838723404261</v>
      </c>
      <c r="AA55" s="480">
        <f t="shared" ca="1" si="16"/>
        <v>114.08876716721285</v>
      </c>
      <c r="AB55" s="480">
        <f t="shared" ca="1" si="16"/>
        <v>2.8218751314493207</v>
      </c>
      <c r="AC55" s="480">
        <f t="shared" ca="1" si="16"/>
        <v>265.13233111078864</v>
      </c>
      <c r="AD55" s="480">
        <f t="shared" ca="1" si="16"/>
        <v>157.49717955025025</v>
      </c>
      <c r="AE55" s="480">
        <f t="shared" ca="1" si="16"/>
        <v>908.59075989190103</v>
      </c>
      <c r="AF55" s="480">
        <f t="shared" ca="1" si="16"/>
        <v>90.40222966703962</v>
      </c>
      <c r="AG55" s="480">
        <f t="shared" ca="1" si="16"/>
        <v>609.14993845063964</v>
      </c>
      <c r="AH55" s="480">
        <f t="shared" ca="1" si="16"/>
        <v>266.44956783023309</v>
      </c>
      <c r="AI55" s="480">
        <f t="shared" ca="1" si="16"/>
        <v>45.901713357698981</v>
      </c>
      <c r="AJ55" s="480">
        <f t="shared" ca="1" si="16"/>
        <v>85.385438691239997</v>
      </c>
      <c r="AK55" s="480">
        <f t="shared" ca="1" si="17"/>
        <v>313.34480526454888</v>
      </c>
      <c r="AL55" s="480">
        <f t="shared" ca="1" si="17"/>
        <v>36.341833105835242</v>
      </c>
      <c r="AM55" s="480">
        <f t="shared" ca="1" si="17"/>
        <v>50.971791415763747</v>
      </c>
      <c r="AN55" s="480">
        <f t="shared" ca="1" si="17"/>
        <v>18.523668474789133</v>
      </c>
      <c r="AO55" s="480">
        <f t="shared" ca="1" si="17"/>
        <v>25.736531771727496</v>
      </c>
      <c r="AP55" s="480">
        <f t="shared" ca="1" si="17"/>
        <v>150.60637262643363</v>
      </c>
      <c r="AQ55" s="480">
        <f t="shared" ca="1" si="17"/>
        <v>30.004510920095285</v>
      </c>
      <c r="AR55" s="2">
        <v>1</v>
      </c>
      <c r="AS55" s="2">
        <v>3</v>
      </c>
      <c r="AT55" s="2">
        <v>200</v>
      </c>
      <c r="AV55" s="526" t="str">
        <f t="shared" si="18"/>
        <v>Rdw_Flat1985</v>
      </c>
    </row>
    <row r="56" spans="1:48">
      <c r="A56" s="2">
        <v>11</v>
      </c>
      <c r="B56" t="s">
        <v>542</v>
      </c>
      <c r="C56" s="488" t="s">
        <v>5</v>
      </c>
      <c r="D56" s="2" t="str">
        <f t="shared" si="19"/>
        <v>Rdw_DetH-70</v>
      </c>
      <c r="F56" s="2">
        <f>VLOOKUP(C56,TechComm!$U$2:$V$7,2,FALSE)</f>
        <v>1985</v>
      </c>
      <c r="G56" s="480">
        <f t="shared" ref="G56:P63" ca="1" si="20">OFFSET($N$3,MATCH(G$45,$A$4:$A$40,0),$A56)*G$67</f>
        <v>120.54340766726911</v>
      </c>
      <c r="H56" s="480">
        <f t="shared" ca="1" si="20"/>
        <v>113.06629140839524</v>
      </c>
      <c r="I56" s="480">
        <f t="shared" ca="1" si="20"/>
        <v>98.695124628582732</v>
      </c>
      <c r="J56" s="480">
        <f t="shared" ca="1" si="20"/>
        <v>99.928247146935533</v>
      </c>
      <c r="K56" s="480">
        <f t="shared" ca="1" si="20"/>
        <v>20.860764410120503</v>
      </c>
      <c r="L56" s="480">
        <f t="shared" ca="1" si="20"/>
        <v>159.86160308350742</v>
      </c>
      <c r="M56" s="480">
        <f t="shared" ca="1" si="20"/>
        <v>912.1414538184041</v>
      </c>
      <c r="N56" s="480">
        <f t="shared" ca="1" si="20"/>
        <v>65.784462570504971</v>
      </c>
      <c r="O56" s="480">
        <f t="shared" ca="1" si="20"/>
        <v>22.613386062675442</v>
      </c>
      <c r="P56" s="480">
        <f t="shared" ca="1" si="20"/>
        <v>118.13656236797047</v>
      </c>
      <c r="Q56" s="480">
        <f t="shared" ref="Q56:Z63" ca="1" si="21">OFFSET($N$3,MATCH(Q$45,$A$4:$A$40,0),$A56)*Q$67</f>
        <v>128.5324683478311</v>
      </c>
      <c r="R56" s="480">
        <f t="shared" ca="1" si="21"/>
        <v>922.92144269410539</v>
      </c>
      <c r="S56" s="480">
        <f t="shared" ca="1" si="21"/>
        <v>134.67444170389973</v>
      </c>
      <c r="T56" s="480">
        <f t="shared" ca="1" si="21"/>
        <v>104.92811775344354</v>
      </c>
      <c r="U56" s="480">
        <f t="shared" ca="1" si="21"/>
        <v>322.05482306960454</v>
      </c>
      <c r="V56" s="480">
        <f t="shared" ca="1" si="21"/>
        <v>52.333780651589926</v>
      </c>
      <c r="W56" s="480">
        <f t="shared" ca="1" si="21"/>
        <v>7.0718532431399668</v>
      </c>
      <c r="X56" s="480">
        <f t="shared" ca="1" si="21"/>
        <v>292.52111310299188</v>
      </c>
      <c r="Y56" s="480">
        <f t="shared" ca="1" si="21"/>
        <v>47.179043328148289</v>
      </c>
      <c r="Z56" s="480">
        <f t="shared" ca="1" si="21"/>
        <v>5.7173903406803417</v>
      </c>
      <c r="AA56" s="480">
        <f t="shared" ref="AA56:AJ63" ca="1" si="22">OFFSET($N$3,MATCH(AA$45,$A$4:$A$40,0),$A56)*AA$67</f>
        <v>36.500011475123749</v>
      </c>
      <c r="AB56" s="480">
        <f t="shared" ca="1" si="22"/>
        <v>0.616376579101101</v>
      </c>
      <c r="AC56" s="480">
        <f t="shared" ca="1" si="22"/>
        <v>97.511531668585178</v>
      </c>
      <c r="AD56" s="480">
        <f t="shared" ca="1" si="22"/>
        <v>63.401944480743552</v>
      </c>
      <c r="AE56" s="480">
        <f t="shared" ca="1" si="22"/>
        <v>448.6013553389937</v>
      </c>
      <c r="AF56" s="480">
        <f t="shared" ca="1" si="22"/>
        <v>71.982216618097823</v>
      </c>
      <c r="AG56" s="480">
        <f t="shared" ca="1" si="22"/>
        <v>624.76474677037004</v>
      </c>
      <c r="AH56" s="480">
        <f t="shared" ca="1" si="22"/>
        <v>129.419261606547</v>
      </c>
      <c r="AI56" s="480">
        <f t="shared" ca="1" si="22"/>
        <v>19.404940788077329</v>
      </c>
      <c r="AJ56" s="480">
        <f t="shared" ca="1" si="22"/>
        <v>63.484777969432294</v>
      </c>
      <c r="AK56" s="480">
        <f t="shared" ref="AK56:AQ63" ca="1" si="23">OFFSET($N$3,MATCH(AK$45,$A$4:$A$40,0),$A56)*AK$67</f>
        <v>303.99210417641871</v>
      </c>
      <c r="AL56" s="480">
        <f t="shared" ca="1" si="23"/>
        <v>15.774387907230924</v>
      </c>
      <c r="AM56" s="480">
        <f t="shared" ca="1" si="23"/>
        <v>41.933569844009476</v>
      </c>
      <c r="AN56" s="480">
        <f t="shared" ca="1" si="23"/>
        <v>8.0403080146045607</v>
      </c>
      <c r="AO56" s="480">
        <f t="shared" ca="1" si="23"/>
        <v>18.62695147716688</v>
      </c>
      <c r="AP56" s="480">
        <f t="shared" ca="1" si="23"/>
        <v>123.90113570798152</v>
      </c>
      <c r="AQ56" s="480">
        <f t="shared" ca="1" si="23"/>
        <v>24.684167837861111</v>
      </c>
      <c r="AR56" s="2">
        <v>1</v>
      </c>
      <c r="AS56" s="2">
        <v>3</v>
      </c>
      <c r="AT56" s="2">
        <v>200</v>
      </c>
      <c r="AV56" s="526" t="str">
        <f t="shared" si="18"/>
        <v>Rdw_DetH-701985</v>
      </c>
    </row>
    <row r="57" spans="1:48">
      <c r="A57" s="2">
        <v>12</v>
      </c>
      <c r="B57" t="s">
        <v>543</v>
      </c>
      <c r="C57" s="488" t="s">
        <v>5</v>
      </c>
      <c r="D57" s="2" t="str">
        <f t="shared" si="19"/>
        <v>Rdw_SDetH</v>
      </c>
      <c r="F57" s="2">
        <f>VLOOKUP(C57,TechComm!$U$2:$V$7,2,FALSE)</f>
        <v>1985</v>
      </c>
      <c r="G57" s="480">
        <f t="shared" ca="1" si="20"/>
        <v>55.861579162880844</v>
      </c>
      <c r="H57" s="480">
        <f t="shared" ca="1" si="20"/>
        <v>188.6469929428481</v>
      </c>
      <c r="I57" s="480">
        <f t="shared" ca="1" si="20"/>
        <v>53.638654689447158</v>
      </c>
      <c r="J57" s="480">
        <f t="shared" ca="1" si="20"/>
        <v>112.10437810181431</v>
      </c>
      <c r="K57" s="480">
        <f t="shared" ca="1" si="20"/>
        <v>21.304610461399665</v>
      </c>
      <c r="L57" s="480">
        <f t="shared" ca="1" si="20"/>
        <v>94.756676021272497</v>
      </c>
      <c r="M57" s="480">
        <f t="shared" ca="1" si="20"/>
        <v>953.60242899196794</v>
      </c>
      <c r="N57" s="480">
        <f t="shared" ca="1" si="20"/>
        <v>35.023601788850286</v>
      </c>
      <c r="O57" s="480">
        <f t="shared" ca="1" si="20"/>
        <v>10.490941688472754</v>
      </c>
      <c r="P57" s="480">
        <f t="shared" ca="1" si="20"/>
        <v>261.89833495546384</v>
      </c>
      <c r="Q57" s="480">
        <f t="shared" ca="1" si="21"/>
        <v>97.148216277730356</v>
      </c>
      <c r="R57" s="480">
        <f t="shared" ca="1" si="21"/>
        <v>820.60662212394436</v>
      </c>
      <c r="S57" s="480">
        <f t="shared" ca="1" si="21"/>
        <v>76.147698346597551</v>
      </c>
      <c r="T57" s="480">
        <f t="shared" ca="1" si="21"/>
        <v>37.551329812448095</v>
      </c>
      <c r="U57" s="480">
        <f t="shared" ca="1" si="21"/>
        <v>118.9435653277413</v>
      </c>
      <c r="V57" s="480">
        <f t="shared" ca="1" si="21"/>
        <v>78.718658909772316</v>
      </c>
      <c r="W57" s="480">
        <f t="shared" ca="1" si="21"/>
        <v>6.6057998775462146</v>
      </c>
      <c r="X57" s="480">
        <f t="shared" ca="1" si="21"/>
        <v>520.22220682520708</v>
      </c>
      <c r="Y57" s="480">
        <f t="shared" ca="1" si="21"/>
        <v>23.857584410256809</v>
      </c>
      <c r="Z57" s="480">
        <f t="shared" ca="1" si="21"/>
        <v>7.3980517869792326</v>
      </c>
      <c r="AA57" s="480">
        <f t="shared" ca="1" si="22"/>
        <v>14.577048607989667</v>
      </c>
      <c r="AB57" s="480">
        <f t="shared" ca="1" si="22"/>
        <v>7.8759229551807346</v>
      </c>
      <c r="AC57" s="480">
        <f t="shared" ca="1" si="22"/>
        <v>514.94515643502859</v>
      </c>
      <c r="AD57" s="480">
        <f t="shared" ca="1" si="22"/>
        <v>49.797161501144132</v>
      </c>
      <c r="AE57" s="480">
        <f t="shared" ca="1" si="22"/>
        <v>168.34018140021558</v>
      </c>
      <c r="AF57" s="480">
        <f t="shared" ca="1" si="22"/>
        <v>58.108796789609769</v>
      </c>
      <c r="AG57" s="480">
        <f t="shared" ca="1" si="22"/>
        <v>179.42623925843273</v>
      </c>
      <c r="AH57" s="480">
        <f t="shared" ca="1" si="22"/>
        <v>62.087995563219899</v>
      </c>
      <c r="AI57" s="480">
        <f t="shared" ca="1" si="22"/>
        <v>6.4537453221608558</v>
      </c>
      <c r="AJ57" s="480">
        <f t="shared" ca="1" si="22"/>
        <v>18.892764586093577</v>
      </c>
      <c r="AK57" s="480">
        <f t="shared" ca="1" si="23"/>
        <v>1055.3868135580894</v>
      </c>
      <c r="AL57" s="480">
        <f t="shared" ca="1" si="23"/>
        <v>8.9191632559576757</v>
      </c>
      <c r="AM57" s="480">
        <f t="shared" ca="1" si="23"/>
        <v>15.007048111982826</v>
      </c>
      <c r="AN57" s="480">
        <f t="shared" ca="1" si="23"/>
        <v>4.5461554662016441</v>
      </c>
      <c r="AO57" s="480">
        <f t="shared" ca="1" si="23"/>
        <v>10.123343194112435</v>
      </c>
      <c r="AP57" s="480">
        <f t="shared" ca="1" si="23"/>
        <v>44.341331100972816</v>
      </c>
      <c r="AQ57" s="480">
        <f t="shared" ca="1" si="23"/>
        <v>8.833888832385222</v>
      </c>
      <c r="AR57" s="2">
        <v>1</v>
      </c>
      <c r="AS57" s="2">
        <v>3</v>
      </c>
      <c r="AT57" s="2">
        <v>200</v>
      </c>
      <c r="AV57" s="526" t="str">
        <f t="shared" si="18"/>
        <v>Rdw_SDetH1985</v>
      </c>
    </row>
    <row r="58" spans="1:48">
      <c r="A58" s="2">
        <v>13</v>
      </c>
      <c r="B58" t="s">
        <v>541</v>
      </c>
      <c r="C58" s="488" t="s">
        <v>6</v>
      </c>
      <c r="D58" s="2" t="str">
        <f t="shared" si="19"/>
        <v>Rdw_Flat</v>
      </c>
      <c r="F58" s="2">
        <f>VLOOKUP(C58,TechComm!$U$2:$V$7,2,FALSE)</f>
        <v>1995</v>
      </c>
      <c r="G58" s="480">
        <f t="shared" ca="1" si="20"/>
        <v>208.07540414928729</v>
      </c>
      <c r="H58" s="480">
        <f t="shared" ca="1" si="20"/>
        <v>79.355292947393949</v>
      </c>
      <c r="I58" s="480">
        <f t="shared" ca="1" si="20"/>
        <v>71.797613989340505</v>
      </c>
      <c r="J58" s="480">
        <f t="shared" ca="1" si="20"/>
        <v>233.59842867362946</v>
      </c>
      <c r="K58" s="480">
        <f t="shared" ca="1" si="20"/>
        <v>14.196859464032194</v>
      </c>
      <c r="L58" s="480">
        <f t="shared" ca="1" si="20"/>
        <v>177.40506528151246</v>
      </c>
      <c r="M58" s="480">
        <f t="shared" ca="1" si="20"/>
        <v>2009.0189698421607</v>
      </c>
      <c r="N58" s="480">
        <f t="shared" ca="1" si="20"/>
        <v>70.410733575697535</v>
      </c>
      <c r="O58" s="480">
        <f t="shared" ca="1" si="20"/>
        <v>32.07327194030924</v>
      </c>
      <c r="P58" s="480">
        <f t="shared" ca="1" si="20"/>
        <v>893.62907625932337</v>
      </c>
      <c r="Q58" s="480">
        <f t="shared" ca="1" si="21"/>
        <v>131.29364090567577</v>
      </c>
      <c r="R58" s="480">
        <f t="shared" ca="1" si="21"/>
        <v>811.60961081461971</v>
      </c>
      <c r="S58" s="480">
        <f t="shared" ca="1" si="21"/>
        <v>208.73354774205239</v>
      </c>
      <c r="T58" s="480">
        <f t="shared" ca="1" si="21"/>
        <v>44.592367390635388</v>
      </c>
      <c r="U58" s="480">
        <f t="shared" ca="1" si="21"/>
        <v>113.65451005132884</v>
      </c>
      <c r="V58" s="480">
        <f t="shared" ca="1" si="21"/>
        <v>21.636482429960655</v>
      </c>
      <c r="W58" s="480">
        <f t="shared" ca="1" si="21"/>
        <v>7.9572112262919372</v>
      </c>
      <c r="X58" s="480">
        <f t="shared" ca="1" si="21"/>
        <v>873.71671724805879</v>
      </c>
      <c r="Y58" s="480">
        <f t="shared" ca="1" si="21"/>
        <v>40.842287434014452</v>
      </c>
      <c r="Z58" s="480">
        <f t="shared" ca="1" si="21"/>
        <v>5.9131027659574471</v>
      </c>
      <c r="AA58" s="480">
        <f t="shared" ca="1" si="22"/>
        <v>35.711678088524238</v>
      </c>
      <c r="AB58" s="480">
        <f t="shared" ca="1" si="22"/>
        <v>2.7328500856734177</v>
      </c>
      <c r="AC58" s="480">
        <f t="shared" ca="1" si="22"/>
        <v>233.8924399536711</v>
      </c>
      <c r="AD58" s="480">
        <f t="shared" ca="1" si="22"/>
        <v>173.46523708546823</v>
      </c>
      <c r="AE58" s="480">
        <f t="shared" ca="1" si="22"/>
        <v>908.59075989190103</v>
      </c>
      <c r="AF58" s="480">
        <f t="shared" ca="1" si="22"/>
        <v>98.453959313429507</v>
      </c>
      <c r="AG58" s="480">
        <f t="shared" ca="1" si="22"/>
        <v>83.886304655323769</v>
      </c>
      <c r="AH58" s="480">
        <f t="shared" ca="1" si="22"/>
        <v>218.16532251448081</v>
      </c>
      <c r="AI58" s="480">
        <f t="shared" ca="1" si="22"/>
        <v>45.901713357698981</v>
      </c>
      <c r="AJ58" s="480">
        <f t="shared" ca="1" si="22"/>
        <v>45.429473576373127</v>
      </c>
      <c r="AK58" s="480">
        <f t="shared" ca="1" si="23"/>
        <v>313.34480526454888</v>
      </c>
      <c r="AL58" s="480">
        <f t="shared" ca="1" si="23"/>
        <v>24.448914802817374</v>
      </c>
      <c r="AM58" s="480">
        <f t="shared" ca="1" si="23"/>
        <v>24.983173620128113</v>
      </c>
      <c r="AN58" s="480">
        <f t="shared" ca="1" si="23"/>
        <v>9.0791399072591616</v>
      </c>
      <c r="AO58" s="480">
        <f t="shared" ca="1" si="23"/>
        <v>14.863308939110514</v>
      </c>
      <c r="AP58" s="480">
        <f t="shared" ca="1" si="23"/>
        <v>73.817793158045774</v>
      </c>
      <c r="AQ58" s="480">
        <f t="shared" ca="1" si="23"/>
        <v>14.706328439379579</v>
      </c>
      <c r="AR58" s="2">
        <v>1</v>
      </c>
      <c r="AS58" s="2">
        <v>3</v>
      </c>
      <c r="AT58" s="2">
        <v>200</v>
      </c>
      <c r="AV58" s="526" t="str">
        <f t="shared" si="18"/>
        <v>Rdw_Flat1995</v>
      </c>
    </row>
    <row r="59" spans="1:48">
      <c r="A59" s="2">
        <v>14</v>
      </c>
      <c r="B59" t="s">
        <v>542</v>
      </c>
      <c r="C59" s="488" t="s">
        <v>6</v>
      </c>
      <c r="D59" s="2" t="str">
        <f t="shared" si="19"/>
        <v>Rdw_DetH-70</v>
      </c>
      <c r="F59" s="2">
        <f>VLOOKUP(C59,TechComm!$U$2:$V$7,2,FALSE)</f>
        <v>1995</v>
      </c>
      <c r="G59" s="480">
        <f t="shared" ca="1" si="20"/>
        <v>143.87084597832143</v>
      </c>
      <c r="H59" s="480">
        <f t="shared" ca="1" si="20"/>
        <v>83.286956670148854</v>
      </c>
      <c r="I59" s="480">
        <f t="shared" ca="1" si="20"/>
        <v>56.998205552704739</v>
      </c>
      <c r="J59" s="480">
        <f t="shared" ca="1" si="20"/>
        <v>119.26626044821937</v>
      </c>
      <c r="K59" s="480">
        <f t="shared" ca="1" si="20"/>
        <v>17.987548650858095</v>
      </c>
      <c r="L59" s="480">
        <f t="shared" ca="1" si="20"/>
        <v>82.519377737161633</v>
      </c>
      <c r="M59" s="480">
        <f t="shared" ca="1" si="20"/>
        <v>839.50054556575731</v>
      </c>
      <c r="N59" s="480">
        <f t="shared" ca="1" si="20"/>
        <v>65.836609892093421</v>
      </c>
      <c r="O59" s="480">
        <f t="shared" ca="1" si="20"/>
        <v>7.3370537714334541</v>
      </c>
      <c r="P59" s="480">
        <f t="shared" ca="1" si="20"/>
        <v>116.9749246019601</v>
      </c>
      <c r="Q59" s="480">
        <f t="shared" ca="1" si="21"/>
        <v>93.84868241148844</v>
      </c>
      <c r="R59" s="480">
        <f t="shared" ca="1" si="21"/>
        <v>555.95651360638362</v>
      </c>
      <c r="S59" s="480">
        <f t="shared" ca="1" si="21"/>
        <v>90.602032697325754</v>
      </c>
      <c r="T59" s="480">
        <f t="shared" ca="1" si="21"/>
        <v>56.164546546773607</v>
      </c>
      <c r="U59" s="480">
        <f t="shared" ca="1" si="21"/>
        <v>132.83257396411992</v>
      </c>
      <c r="V59" s="480">
        <f t="shared" ca="1" si="21"/>
        <v>67.99734302604034</v>
      </c>
      <c r="W59" s="480">
        <f t="shared" ca="1" si="21"/>
        <v>5.1635521950769148</v>
      </c>
      <c r="X59" s="480">
        <f t="shared" ca="1" si="21"/>
        <v>108.23171456082781</v>
      </c>
      <c r="Y59" s="480">
        <f t="shared" ca="1" si="21"/>
        <v>14.671159267859791</v>
      </c>
      <c r="Z59" s="480">
        <f t="shared" ca="1" si="21"/>
        <v>4.5488610217862151</v>
      </c>
      <c r="AA59" s="480">
        <f t="shared" ca="1" si="22"/>
        <v>11.425109521226</v>
      </c>
      <c r="AB59" s="480">
        <f t="shared" ca="1" si="22"/>
        <v>0.59693101520703629</v>
      </c>
      <c r="AC59" s="480">
        <f t="shared" ca="1" si="22"/>
        <v>86.021987473322511</v>
      </c>
      <c r="AD59" s="480">
        <f t="shared" ca="1" si="22"/>
        <v>69.830033543698448</v>
      </c>
      <c r="AE59" s="480">
        <f t="shared" ca="1" si="22"/>
        <v>448.6013553389937</v>
      </c>
      <c r="AF59" s="480">
        <f t="shared" ca="1" si="22"/>
        <v>78.393356583245279</v>
      </c>
      <c r="AG59" s="480">
        <f t="shared" ca="1" si="22"/>
        <v>86.036626743798436</v>
      </c>
      <c r="AH59" s="480">
        <f t="shared" ca="1" si="22"/>
        <v>105.96675077351949</v>
      </c>
      <c r="AI59" s="480">
        <f t="shared" ca="1" si="22"/>
        <v>19.404940788077329</v>
      </c>
      <c r="AJ59" s="480">
        <f t="shared" ca="1" si="22"/>
        <v>33.777188329420945</v>
      </c>
      <c r="AK59" s="480">
        <f t="shared" ca="1" si="23"/>
        <v>303.99210417641871</v>
      </c>
      <c r="AL59" s="480">
        <f t="shared" ca="1" si="23"/>
        <v>10.612196277698409</v>
      </c>
      <c r="AM59" s="480">
        <f t="shared" ca="1" si="23"/>
        <v>20.553204563272651</v>
      </c>
      <c r="AN59" s="480">
        <f t="shared" ca="1" si="23"/>
        <v>3.9408544512337991</v>
      </c>
      <c r="AO59" s="480">
        <f t="shared" ca="1" si="23"/>
        <v>10.75739873789408</v>
      </c>
      <c r="AP59" s="480">
        <f t="shared" ca="1" si="23"/>
        <v>60.728561801464316</v>
      </c>
      <c r="AQ59" s="480">
        <f t="shared" ca="1" si="23"/>
        <v>12.098630117421116</v>
      </c>
      <c r="AR59" s="2">
        <v>1</v>
      </c>
      <c r="AS59" s="2">
        <v>3</v>
      </c>
      <c r="AT59" s="2">
        <v>200</v>
      </c>
      <c r="AV59" s="526" t="str">
        <f t="shared" si="18"/>
        <v>Rdw_DetH-701995</v>
      </c>
    </row>
    <row r="60" spans="1:48">
      <c r="A60" s="2">
        <v>15</v>
      </c>
      <c r="B60" t="s">
        <v>543</v>
      </c>
      <c r="C60" s="488" t="s">
        <v>6</v>
      </c>
      <c r="D60" s="2" t="str">
        <f t="shared" si="19"/>
        <v>Rdw_SDetH</v>
      </c>
      <c r="F60" s="2">
        <f>VLOOKUP(C60,TechComm!$U$2:$V$7,2,FALSE)</f>
        <v>1995</v>
      </c>
      <c r="G60" s="480">
        <f t="shared" ca="1" si="20"/>
        <v>66.671855453368508</v>
      </c>
      <c r="H60" s="480">
        <f t="shared" ca="1" si="20"/>
        <v>138.96125654669038</v>
      </c>
      <c r="I60" s="480">
        <f t="shared" ca="1" si="20"/>
        <v>30.977285626469982</v>
      </c>
      <c r="J60" s="480">
        <f t="shared" ca="1" si="20"/>
        <v>133.79870394821256</v>
      </c>
      <c r="K60" s="480">
        <f t="shared" ca="1" si="20"/>
        <v>18.370262451940185</v>
      </c>
      <c r="L60" s="480">
        <f t="shared" ca="1" si="20"/>
        <v>48.912695674849829</v>
      </c>
      <c r="M60" s="480">
        <f t="shared" ca="1" si="20"/>
        <v>877.6596612732917</v>
      </c>
      <c r="N60" s="480">
        <f t="shared" ca="1" si="20"/>
        <v>35.051364986333454</v>
      </c>
      <c r="O60" s="480">
        <f t="shared" ca="1" si="20"/>
        <v>3.4038512882572998</v>
      </c>
      <c r="P60" s="480">
        <f t="shared" ca="1" si="20"/>
        <v>259.32308652566877</v>
      </c>
      <c r="Q60" s="480">
        <f t="shared" ca="1" si="21"/>
        <v>70.933299682835781</v>
      </c>
      <c r="R60" s="480">
        <f t="shared" ca="1" si="21"/>
        <v>494.32332544639996</v>
      </c>
      <c r="S60" s="480">
        <f t="shared" ca="1" si="21"/>
        <v>51.228252132600097</v>
      </c>
      <c r="T60" s="480">
        <f t="shared" ca="1" si="21"/>
        <v>20.099983267595338</v>
      </c>
      <c r="U60" s="480">
        <f t="shared" ca="1" si="21"/>
        <v>49.058665814604545</v>
      </c>
      <c r="V60" s="480">
        <f t="shared" ca="1" si="21"/>
        <v>102.27924651713538</v>
      </c>
      <c r="W60" s="480">
        <f t="shared" ca="1" si="21"/>
        <v>4.8232607896706998</v>
      </c>
      <c r="X60" s="480">
        <f t="shared" ca="1" si="21"/>
        <v>192.48026509965396</v>
      </c>
      <c r="Y60" s="480">
        <f t="shared" ca="1" si="21"/>
        <v>7.4189384934063716</v>
      </c>
      <c r="Z60" s="480">
        <f t="shared" ca="1" si="21"/>
        <v>5.886026212256338</v>
      </c>
      <c r="AA60" s="480">
        <f t="shared" ca="1" si="22"/>
        <v>4.5628582050179292</v>
      </c>
      <c r="AB60" s="480">
        <f t="shared" ca="1" si="22"/>
        <v>7.6274518609787973</v>
      </c>
      <c r="AC60" s="480">
        <f t="shared" ca="1" si="22"/>
        <v>454.27043384831734</v>
      </c>
      <c r="AD60" s="480">
        <f t="shared" ca="1" si="22"/>
        <v>54.845911848366129</v>
      </c>
      <c r="AE60" s="480">
        <f t="shared" ca="1" si="22"/>
        <v>168.34018140021558</v>
      </c>
      <c r="AF60" s="480">
        <f t="shared" ca="1" si="22"/>
        <v>63.284292167878426</v>
      </c>
      <c r="AG60" s="480">
        <f t="shared" ca="1" si="22"/>
        <v>24.708865945016488</v>
      </c>
      <c r="AH60" s="480">
        <f t="shared" ca="1" si="22"/>
        <v>50.836815711999698</v>
      </c>
      <c r="AI60" s="480">
        <f t="shared" ca="1" si="22"/>
        <v>6.4537453221608558</v>
      </c>
      <c r="AJ60" s="480">
        <f t="shared" ca="1" si="22"/>
        <v>10.051928791420861</v>
      </c>
      <c r="AK60" s="480">
        <f t="shared" ca="1" si="23"/>
        <v>1055.3868135580894</v>
      </c>
      <c r="AL60" s="480">
        <f t="shared" ca="1" si="23"/>
        <v>6.0003539701005035</v>
      </c>
      <c r="AM60" s="480">
        <f t="shared" ca="1" si="23"/>
        <v>7.3555132769246239</v>
      </c>
      <c r="AN60" s="480">
        <f t="shared" ca="1" si="23"/>
        <v>2.2282401336415409</v>
      </c>
      <c r="AO60" s="480">
        <f t="shared" ca="1" si="23"/>
        <v>5.8464123575511318</v>
      </c>
      <c r="AP60" s="480">
        <f t="shared" ca="1" si="23"/>
        <v>21.733338041962387</v>
      </c>
      <c r="AQ60" s="480">
        <f t="shared" ca="1" si="23"/>
        <v>4.3298179701044726</v>
      </c>
      <c r="AR60" s="2">
        <v>1</v>
      </c>
      <c r="AS60" s="2">
        <v>3</v>
      </c>
      <c r="AT60" s="2">
        <v>200</v>
      </c>
      <c r="AV60" s="526" t="str">
        <f t="shared" si="18"/>
        <v>Rdw_SDetH1995</v>
      </c>
    </row>
    <row r="61" spans="1:48">
      <c r="A61" s="2">
        <v>16</v>
      </c>
      <c r="B61" t="s">
        <v>541</v>
      </c>
      <c r="C61" s="488" t="s">
        <v>7</v>
      </c>
      <c r="D61" s="2" t="str">
        <f t="shared" si="19"/>
        <v>Rdw_Flat</v>
      </c>
      <c r="F61" s="2">
        <f>VLOOKUP(C61,TechComm!$U$2:$V$7,2,FALSE)</f>
        <v>2004</v>
      </c>
      <c r="G61" s="480">
        <f t="shared" ca="1" si="20"/>
        <v>85.07177917023651</v>
      </c>
      <c r="H61" s="480">
        <f t="shared" ca="1" si="20"/>
        <v>53.341872242404456</v>
      </c>
      <c r="I61" s="480">
        <f t="shared" ca="1" si="20"/>
        <v>111.70806648747185</v>
      </c>
      <c r="J61" s="480">
        <f t="shared" ca="1" si="20"/>
        <v>95.506886168916353</v>
      </c>
      <c r="K61" s="480">
        <f t="shared" ca="1" si="20"/>
        <v>30.524905636324913</v>
      </c>
      <c r="L61" s="480">
        <f t="shared" ca="1" si="20"/>
        <v>134.01507707324089</v>
      </c>
      <c r="M61" s="480">
        <f t="shared" ca="1" si="20"/>
        <v>1104.7493275398172</v>
      </c>
      <c r="N61" s="480">
        <f t="shared" ca="1" si="20"/>
        <v>93.12884148455278</v>
      </c>
      <c r="O61" s="480">
        <f t="shared" ca="1" si="20"/>
        <v>25.249444480802204</v>
      </c>
      <c r="P61" s="480">
        <f t="shared" ca="1" si="20"/>
        <v>1516.7970061374854</v>
      </c>
      <c r="Q61" s="480">
        <f t="shared" ca="1" si="21"/>
        <v>128.24101552307064</v>
      </c>
      <c r="R61" s="480">
        <f t="shared" ca="1" si="21"/>
        <v>1105.8057364668684</v>
      </c>
      <c r="S61" s="480">
        <f t="shared" ca="1" si="21"/>
        <v>106.30054419286375</v>
      </c>
      <c r="T61" s="480">
        <f t="shared" ca="1" si="21"/>
        <v>61.142930880915216</v>
      </c>
      <c r="U61" s="480">
        <f t="shared" ca="1" si="21"/>
        <v>134.05268987680486</v>
      </c>
      <c r="V61" s="480">
        <f t="shared" ca="1" si="21"/>
        <v>43.100381511185944</v>
      </c>
      <c r="W61" s="480">
        <f t="shared" ca="1" si="21"/>
        <v>7.7722031421488511</v>
      </c>
      <c r="X61" s="480">
        <f t="shared" ca="1" si="21"/>
        <v>683.64900643531575</v>
      </c>
      <c r="Y61" s="480">
        <f t="shared" ca="1" si="21"/>
        <v>35.794391722735142</v>
      </c>
      <c r="Z61" s="480">
        <f t="shared" ca="1" si="21"/>
        <v>8.1332575531914895</v>
      </c>
      <c r="AA61" s="480">
        <f t="shared" ca="1" si="22"/>
        <v>41.43144237583504</v>
      </c>
      <c r="AB61" s="480">
        <f t="shared" ca="1" si="22"/>
        <v>1.0191144994402348</v>
      </c>
      <c r="AC61" s="480">
        <f t="shared" ca="1" si="22"/>
        <v>121.59152932741677</v>
      </c>
      <c r="AD61" s="480">
        <f t="shared" ca="1" si="22"/>
        <v>122.47986324750887</v>
      </c>
      <c r="AE61" s="480">
        <f t="shared" ca="1" si="22"/>
        <v>1130.5252241933654</v>
      </c>
      <c r="AF61" s="480">
        <f t="shared" ca="1" si="22"/>
        <v>55.911535768091198</v>
      </c>
      <c r="AG61" s="480">
        <f t="shared" ca="1" si="22"/>
        <v>82.450597729682528</v>
      </c>
      <c r="AH61" s="480">
        <f t="shared" ca="1" si="22"/>
        <v>60.866387059806925</v>
      </c>
      <c r="AI61" s="480">
        <f t="shared" ca="1" si="22"/>
        <v>40.135465980197047</v>
      </c>
      <c r="AJ61" s="480">
        <f t="shared" ca="1" si="22"/>
        <v>56.139290447478686</v>
      </c>
      <c r="AK61" s="480">
        <f t="shared" ca="1" si="23"/>
        <v>259.12425813836074</v>
      </c>
      <c r="AL61" s="480">
        <f t="shared" ca="1" si="23"/>
        <v>12.450959496343847</v>
      </c>
      <c r="AM61" s="480">
        <f t="shared" ca="1" si="23"/>
        <v>18.761479591123038</v>
      </c>
      <c r="AN61" s="480">
        <f t="shared" ca="1" si="23"/>
        <v>6.8181128892991278</v>
      </c>
      <c r="AO61" s="480">
        <f t="shared" ca="1" si="23"/>
        <v>23.125441235978922</v>
      </c>
      <c r="AP61" s="480">
        <f t="shared" ca="1" si="23"/>
        <v>55.434551304587842</v>
      </c>
      <c r="AQ61" s="480">
        <f t="shared" ca="1" si="23"/>
        <v>11.043932411112044</v>
      </c>
      <c r="AR61" s="2">
        <v>1</v>
      </c>
      <c r="AS61" s="2">
        <v>3</v>
      </c>
      <c r="AT61" s="2">
        <v>200</v>
      </c>
      <c r="AV61" s="526" t="str">
        <f t="shared" si="18"/>
        <v>Rdw_Flat2004</v>
      </c>
    </row>
    <row r="62" spans="1:48">
      <c r="A62" s="2">
        <v>17</v>
      </c>
      <c r="B62" t="s">
        <v>542</v>
      </c>
      <c r="C62" s="488" t="s">
        <v>7</v>
      </c>
      <c r="D62" s="2" t="str">
        <f t="shared" si="19"/>
        <v>Rdw_DetH-70</v>
      </c>
      <c r="F62" s="2">
        <f>VLOOKUP(C62,TechComm!$U$2:$V$7,2,FALSE)</f>
        <v>2004</v>
      </c>
      <c r="G62" s="480">
        <f t="shared" ca="1" si="20"/>
        <v>58.821699220737969</v>
      </c>
      <c r="H62" s="480">
        <f t="shared" ca="1" si="20"/>
        <v>55.984699156776976</v>
      </c>
      <c r="I62" s="480">
        <f t="shared" ca="1" si="20"/>
        <v>88.682046404681842</v>
      </c>
      <c r="J62" s="480">
        <f t="shared" ca="1" si="20"/>
        <v>48.762096667760254</v>
      </c>
      <c r="K62" s="480">
        <f t="shared" ca="1" si="20"/>
        <v>38.67533003248456</v>
      </c>
      <c r="L62" s="480">
        <f t="shared" ca="1" si="20"/>
        <v>62.336668628559416</v>
      </c>
      <c r="M62" s="480">
        <f t="shared" ca="1" si="20"/>
        <v>461.63708611270329</v>
      </c>
      <c r="N62" s="480">
        <f t="shared" ca="1" si="20"/>
        <v>87.078871290688255</v>
      </c>
      <c r="O62" s="480">
        <f t="shared" ca="1" si="20"/>
        <v>5.7760409414806713</v>
      </c>
      <c r="P62" s="480">
        <f t="shared" ca="1" si="20"/>
        <v>198.54682456406931</v>
      </c>
      <c r="Q62" s="480">
        <f t="shared" ca="1" si="21"/>
        <v>91.666666069515145</v>
      </c>
      <c r="R62" s="480">
        <f t="shared" ca="1" si="21"/>
        <v>757.48228431523819</v>
      </c>
      <c r="S62" s="480">
        <f t="shared" ca="1" si="21"/>
        <v>46.140380810310205</v>
      </c>
      <c r="T62" s="480">
        <f t="shared" ca="1" si="21"/>
        <v>77.010151925427806</v>
      </c>
      <c r="U62" s="480">
        <f t="shared" ca="1" si="21"/>
        <v>156.67274299196822</v>
      </c>
      <c r="V62" s="480">
        <f t="shared" ca="1" si="21"/>
        <v>135.45230541315155</v>
      </c>
      <c r="W62" s="480">
        <f t="shared" ca="1" si="21"/>
        <v>5.043497709677867</v>
      </c>
      <c r="X62" s="480">
        <f t="shared" ca="1" si="21"/>
        <v>84.687064655640853</v>
      </c>
      <c r="Y62" s="480">
        <f t="shared" ca="1" si="21"/>
        <v>12.857879782292892</v>
      </c>
      <c r="Z62" s="480">
        <f t="shared" ca="1" si="21"/>
        <v>6.2567927073512548</v>
      </c>
      <c r="AA62" s="480">
        <f t="shared" ca="1" si="22"/>
        <v>13.255013264649433</v>
      </c>
      <c r="AB62" s="480">
        <f t="shared" ca="1" si="22"/>
        <v>0.22260315556722721</v>
      </c>
      <c r="AC62" s="480">
        <f t="shared" ca="1" si="22"/>
        <v>44.719465985035576</v>
      </c>
      <c r="AD62" s="480">
        <f t="shared" ca="1" si="22"/>
        <v>49.305400336708949</v>
      </c>
      <c r="AE62" s="480">
        <f t="shared" ca="1" si="22"/>
        <v>558.1777519709774</v>
      </c>
      <c r="AF62" s="480">
        <f t="shared" ca="1" si="22"/>
        <v>44.519214779684077</v>
      </c>
      <c r="AG62" s="480">
        <f t="shared" ca="1" si="22"/>
        <v>84.564117239625844</v>
      </c>
      <c r="AH62" s="480">
        <f t="shared" ca="1" si="22"/>
        <v>29.563879326527815</v>
      </c>
      <c r="AI62" s="480">
        <f t="shared" ca="1" si="22"/>
        <v>16.967260781279425</v>
      </c>
      <c r="AJ62" s="480">
        <f t="shared" ca="1" si="22"/>
        <v>41.740025513100726</v>
      </c>
      <c r="AK62" s="480">
        <f t="shared" ca="1" si="23"/>
        <v>251.38992940421926</v>
      </c>
      <c r="AL62" s="480">
        <f t="shared" ca="1" si="23"/>
        <v>5.4044127146963419</v>
      </c>
      <c r="AM62" s="480">
        <f t="shared" ca="1" si="23"/>
        <v>15.434729542740907</v>
      </c>
      <c r="AN62" s="480">
        <f t="shared" ca="1" si="23"/>
        <v>2.9594422823384332</v>
      </c>
      <c r="AO62" s="480">
        <f t="shared" ca="1" si="23"/>
        <v>16.73716084246654</v>
      </c>
      <c r="AP62" s="480">
        <f t="shared" ca="1" si="23"/>
        <v>45.605001596694031</v>
      </c>
      <c r="AQ62" s="480">
        <f t="shared" ca="1" si="23"/>
        <v>9.085643220510061</v>
      </c>
      <c r="AR62" s="2">
        <v>1</v>
      </c>
      <c r="AS62" s="2">
        <v>3</v>
      </c>
      <c r="AT62" s="2">
        <v>200</v>
      </c>
      <c r="AV62" s="526" t="str">
        <f t="shared" si="18"/>
        <v>Rdw_DetH-702004</v>
      </c>
    </row>
    <row r="63" spans="1:48">
      <c r="A63" s="2">
        <v>18</v>
      </c>
      <c r="B63" t="s">
        <v>543</v>
      </c>
      <c r="C63" s="488" t="s">
        <v>7</v>
      </c>
      <c r="D63" s="2" t="str">
        <f t="shared" si="19"/>
        <v>Rdw_SDetH</v>
      </c>
      <c r="F63" s="2">
        <f>VLOOKUP(C63,TechComm!$U$2:$V$7,2,FALSE)</f>
        <v>2004</v>
      </c>
      <c r="G63" s="480">
        <f t="shared" ca="1" si="20"/>
        <v>27.258836224244437</v>
      </c>
      <c r="H63" s="480">
        <f t="shared" ca="1" si="20"/>
        <v>93.408433364002548</v>
      </c>
      <c r="I63" s="480">
        <f t="shared" ca="1" si="20"/>
        <v>48.196764350370586</v>
      </c>
      <c r="J63" s="480">
        <f t="shared" ca="1" si="20"/>
        <v>54.703696681899139</v>
      </c>
      <c r="K63" s="480">
        <f t="shared" ca="1" si="20"/>
        <v>39.498209394877847</v>
      </c>
      <c r="L63" s="480">
        <f t="shared" ca="1" si="20"/>
        <v>36.949557614509004</v>
      </c>
      <c r="M63" s="480">
        <f t="shared" ca="1" si="20"/>
        <v>482.62059002691706</v>
      </c>
      <c r="N63" s="480">
        <f t="shared" ca="1" si="20"/>
        <v>46.360730074201804</v>
      </c>
      <c r="O63" s="480">
        <f t="shared" ca="1" si="20"/>
        <v>2.6796565777171244</v>
      </c>
      <c r="P63" s="480">
        <f t="shared" ca="1" si="20"/>
        <v>440.16079122107993</v>
      </c>
      <c r="Q63" s="480">
        <f t="shared" ca="1" si="21"/>
        <v>69.284074407414224</v>
      </c>
      <c r="R63" s="480">
        <f t="shared" ca="1" si="21"/>
        <v>673.50800392734982</v>
      </c>
      <c r="S63" s="480">
        <f t="shared" ca="1" si="21"/>
        <v>26.088719990876339</v>
      </c>
      <c r="T63" s="480">
        <f t="shared" ca="1" si="21"/>
        <v>27.560139987010963</v>
      </c>
      <c r="U63" s="480">
        <f t="shared" ca="1" si="21"/>
        <v>57.863485674654953</v>
      </c>
      <c r="V63" s="480">
        <f t="shared" ca="1" si="21"/>
        <v>203.7426628767025</v>
      </c>
      <c r="W63" s="480">
        <f t="shared" ca="1" si="21"/>
        <v>4.7111182044555431</v>
      </c>
      <c r="X63" s="480">
        <f t="shared" ca="1" si="21"/>
        <v>150.6082456659976</v>
      </c>
      <c r="Y63" s="480">
        <f t="shared" ca="1" si="21"/>
        <v>6.5019960262731109</v>
      </c>
      <c r="Z63" s="480">
        <f t="shared" ca="1" si="21"/>
        <v>8.0960147394572548</v>
      </c>
      <c r="AA63" s="480">
        <f t="shared" ca="1" si="22"/>
        <v>5.2936688195298034</v>
      </c>
      <c r="AB63" s="480">
        <f t="shared" ca="1" si="22"/>
        <v>2.8443736544701252</v>
      </c>
      <c r="AC63" s="480">
        <f t="shared" ca="1" si="22"/>
        <v>236.1574268530737</v>
      </c>
      <c r="AD63" s="480">
        <f t="shared" ca="1" si="22"/>
        <v>38.725452406138373</v>
      </c>
      <c r="AE63" s="480">
        <f t="shared" ca="1" si="22"/>
        <v>209.45934046354691</v>
      </c>
      <c r="AF63" s="480">
        <f t="shared" ca="1" si="22"/>
        <v>35.938848876949407</v>
      </c>
      <c r="AG63" s="480">
        <f t="shared" ca="1" si="22"/>
        <v>24.285975818818166</v>
      </c>
      <c r="AH63" s="480">
        <f t="shared" ca="1" si="22"/>
        <v>14.183066613665265</v>
      </c>
      <c r="AI63" s="480">
        <f t="shared" ca="1" si="22"/>
        <v>5.6430154099900802</v>
      </c>
      <c r="AJ63" s="480">
        <f t="shared" ca="1" si="22"/>
        <v>12.421630839069053</v>
      </c>
      <c r="AK63" s="480">
        <f t="shared" ca="1" si="23"/>
        <v>872.76482813033851</v>
      </c>
      <c r="AL63" s="480">
        <f t="shared" ca="1" si="23"/>
        <v>3.0557660676554095</v>
      </c>
      <c r="AM63" s="480">
        <f t="shared" ca="1" si="23"/>
        <v>5.5237302644398056</v>
      </c>
      <c r="AN63" s="480">
        <f t="shared" ca="1" si="23"/>
        <v>1.6733295147801424</v>
      </c>
      <c r="AO63" s="480">
        <f t="shared" ca="1" si="23"/>
        <v>9.096283066557902</v>
      </c>
      <c r="AP63" s="480">
        <f t="shared" ca="1" si="23"/>
        <v>16.320968037173028</v>
      </c>
      <c r="AQ63" s="480">
        <f t="shared" ca="1" si="23"/>
        <v>3.2515401251482907</v>
      </c>
      <c r="AR63" s="2">
        <v>1</v>
      </c>
      <c r="AS63" s="2">
        <v>3</v>
      </c>
      <c r="AT63" s="2">
        <v>200</v>
      </c>
      <c r="AV63" s="526" t="str">
        <f t="shared" si="18"/>
        <v>Rdw_SDetH2004</v>
      </c>
    </row>
    <row r="64" spans="1:48">
      <c r="B64"/>
      <c r="C64" s="488"/>
      <c r="D64" s="488"/>
      <c r="E64"/>
    </row>
    <row r="65" spans="1:43">
      <c r="C65" s="488"/>
      <c r="D65" s="488"/>
      <c r="E65"/>
      <c r="G65" s="480">
        <f t="shared" ref="G65:AQ65" ca="1" si="24">SUM(G46:G63)</f>
        <v>2953.7956938565144</v>
      </c>
      <c r="H65" s="480">
        <f ca="1">SUM(H46:H63)</f>
        <v>3441.5967217222837</v>
      </c>
      <c r="I65" s="480">
        <f t="shared" ca="1" si="24"/>
        <v>1729.5628556711488</v>
      </c>
      <c r="J65" s="480">
        <f t="shared" ca="1" si="24"/>
        <v>3433.9275240207621</v>
      </c>
      <c r="K65" s="480">
        <f t="shared" ca="1" si="24"/>
        <v>297.50125918967541</v>
      </c>
      <c r="L65" s="480">
        <f t="shared" ca="1" si="24"/>
        <v>3843.8701916617961</v>
      </c>
      <c r="M65" s="480">
        <f t="shared" ca="1" si="24"/>
        <v>34326.297389277977</v>
      </c>
      <c r="N65" s="480">
        <f t="shared" ca="1" si="24"/>
        <v>2595.0626414476192</v>
      </c>
      <c r="O65" s="480">
        <f t="shared" ca="1" si="24"/>
        <v>651.62000000000012</v>
      </c>
      <c r="P65" s="480">
        <f t="shared" ca="1" si="24"/>
        <v>10563.114467113288</v>
      </c>
      <c r="Q65" s="480">
        <f t="shared" ca="1" si="24"/>
        <v>2499</v>
      </c>
      <c r="R65" s="480">
        <f t="shared" ca="1" si="24"/>
        <v>21094.784916804434</v>
      </c>
      <c r="S65" s="480">
        <f t="shared" ca="1" si="24"/>
        <v>2819.9735177306638</v>
      </c>
      <c r="T65" s="480">
        <f t="shared" ca="1" si="24"/>
        <v>1368.7481753381519</v>
      </c>
      <c r="U65" s="480">
        <f t="shared" ca="1" si="24"/>
        <v>3418.9952780956573</v>
      </c>
      <c r="V65" s="480">
        <f t="shared" ca="1" si="24"/>
        <v>1313.7917527328223</v>
      </c>
      <c r="W65" s="480">
        <f t="shared" ca="1" si="24"/>
        <v>151.45494265628156</v>
      </c>
      <c r="X65" s="480">
        <f t="shared" ca="1" si="24"/>
        <v>22915.349996019784</v>
      </c>
      <c r="Y65" s="480">
        <f t="shared" ca="1" si="24"/>
        <v>1117.9633597909035</v>
      </c>
      <c r="Z65" s="480">
        <f t="shared" ca="1" si="24"/>
        <v>187.99999899999995</v>
      </c>
      <c r="AA65" s="480">
        <f t="shared" ca="1" si="24"/>
        <v>834.10465436928223</v>
      </c>
      <c r="AB65" s="480">
        <f t="shared" ca="1" si="24"/>
        <v>65.496262971786493</v>
      </c>
      <c r="AC65" s="480">
        <f t="shared" ca="1" si="24"/>
        <v>5722.0054201248468</v>
      </c>
      <c r="AD65" s="480">
        <f t="shared" ca="1" si="24"/>
        <v>1979.405892088346</v>
      </c>
      <c r="AE65" s="480">
        <f t="shared" ca="1" si="24"/>
        <v>11306.682028166495</v>
      </c>
      <c r="AF65" s="480">
        <f t="shared" ca="1" si="24"/>
        <v>1255.3311351287223</v>
      </c>
      <c r="AG65" s="480">
        <f t="shared" ca="1" si="24"/>
        <v>4758.4857152633604</v>
      </c>
      <c r="AH65" s="480">
        <f t="shared" ca="1" si="24"/>
        <v>4170.9999990000006</v>
      </c>
      <c r="AI65" s="480">
        <f t="shared" ca="1" si="24"/>
        <v>721.35881171315646</v>
      </c>
      <c r="AJ65" s="480">
        <f t="shared" ca="1" si="24"/>
        <v>1140.2769775572783</v>
      </c>
      <c r="AK65" s="480">
        <f t="shared" ca="1" si="24"/>
        <v>20969.993816543181</v>
      </c>
      <c r="AL65" s="480">
        <f t="shared" ca="1" si="24"/>
        <v>330.30288148218051</v>
      </c>
      <c r="AM65" s="480">
        <f t="shared" ca="1" si="24"/>
        <v>574.13100579214574</v>
      </c>
      <c r="AN65" s="480">
        <f t="shared" ca="1" si="24"/>
        <v>165.51656527712714</v>
      </c>
      <c r="AO65" s="480">
        <f t="shared" ca="1" si="24"/>
        <v>340.63531486923773</v>
      </c>
      <c r="AP65" s="480">
        <f t="shared" ca="1" si="24"/>
        <v>1696.3851140609445</v>
      </c>
      <c r="AQ65" s="480">
        <f t="shared" ca="1" si="24"/>
        <v>337.96183250346166</v>
      </c>
    </row>
    <row r="66" spans="1:43">
      <c r="C66" s="488"/>
      <c r="D66" s="488" t="s">
        <v>876</v>
      </c>
      <c r="E66"/>
      <c r="G66" s="480">
        <f ca="1">SUM('TechHeat-RES'!F5:F44)-'Dwelling stock'!G65</f>
        <v>0</v>
      </c>
      <c r="H66" s="480">
        <f ca="1">SUM('TechHeat-RES'!G5:G44)-'Dwelling stock'!H65</f>
        <v>0</v>
      </c>
      <c r="I66" s="480">
        <f ca="1">SUM('TechHeat-RES'!H5:H44)-'Dwelling stock'!I65</f>
        <v>0</v>
      </c>
      <c r="J66" s="480">
        <f ca="1">SUM('TechHeat-RES'!I5:I44)-'Dwelling stock'!J65</f>
        <v>0</v>
      </c>
      <c r="K66" s="480">
        <f ca="1">SUM('TechHeat-RES'!J5:J44)-'Dwelling stock'!K65</f>
        <v>0</v>
      </c>
      <c r="L66" s="480">
        <f ca="1">SUM('TechHeat-RES'!K5:K44)-'Dwelling stock'!L65</f>
        <v>0</v>
      </c>
      <c r="M66" s="480">
        <f ca="1">SUM('TechHeat-RES'!L5:L44)-'Dwelling stock'!M65</f>
        <v>0</v>
      </c>
      <c r="N66" s="480">
        <f ca="1">SUM('TechHeat-RES'!M5:M44)-'Dwelling stock'!N65</f>
        <v>0</v>
      </c>
      <c r="O66" s="480">
        <f ca="1">SUM('TechHeat-RES'!N5:N44)-'Dwelling stock'!O65</f>
        <v>0</v>
      </c>
      <c r="P66" s="480">
        <f ca="1">SUM('TechHeat-RES'!O5:O44)-'Dwelling stock'!P65</f>
        <v>0</v>
      </c>
      <c r="Q66" s="480">
        <f ca="1">SUM('TechHeat-RES'!P5:P44)-'Dwelling stock'!Q65</f>
        <v>0</v>
      </c>
      <c r="R66" s="480">
        <f ca="1">SUM('TechHeat-RES'!Q5:Q44)-'Dwelling stock'!R65</f>
        <v>0</v>
      </c>
      <c r="S66" s="480">
        <f ca="1">SUM('TechHeat-RES'!R5:R44)-'Dwelling stock'!S65</f>
        <v>0</v>
      </c>
      <c r="T66" s="480">
        <f ca="1">SUM('TechHeat-RES'!S5:S44)-'Dwelling stock'!T65</f>
        <v>0</v>
      </c>
      <c r="U66" s="480">
        <f ca="1">SUM('TechHeat-RES'!T5:T44)-'Dwelling stock'!U65</f>
        <v>0</v>
      </c>
      <c r="V66" s="480">
        <f ca="1">SUM('TechHeat-RES'!U5:U44)-'Dwelling stock'!V65</f>
        <v>0</v>
      </c>
      <c r="W66" s="480">
        <f ca="1">SUM('TechHeat-RES'!V5:V44)-'Dwelling stock'!W65</f>
        <v>0</v>
      </c>
      <c r="X66" s="480">
        <f ca="1">SUM('TechHeat-RES'!W5:W44)-'Dwelling stock'!X65</f>
        <v>0</v>
      </c>
      <c r="Y66" s="480">
        <f ca="1">SUM('TechHeat-RES'!X5:X44)-'Dwelling stock'!Y65</f>
        <v>0</v>
      </c>
      <c r="Z66" s="480">
        <f ca="1">SUM('TechHeat-RES'!Y5:Y44)-'Dwelling stock'!Z65</f>
        <v>0</v>
      </c>
      <c r="AA66" s="480">
        <f ca="1">SUM('TechHeat-RES'!Z5:Z44)-'Dwelling stock'!AA65</f>
        <v>0</v>
      </c>
      <c r="AB66" s="480">
        <f ca="1">SUM('TechHeat-RES'!AA5:AA44)-'Dwelling stock'!AB65</f>
        <v>0</v>
      </c>
      <c r="AC66" s="480">
        <f ca="1">SUM('TechHeat-RES'!AB5:AB44)-'Dwelling stock'!AC65</f>
        <v>0</v>
      </c>
      <c r="AD66" s="480">
        <f ca="1">SUM('TechHeat-RES'!AC5:AC44)-'Dwelling stock'!AD65</f>
        <v>0</v>
      </c>
      <c r="AE66" s="480">
        <f ca="1">SUM('TechHeat-RES'!AD5:AD44)-'Dwelling stock'!AE65</f>
        <v>0</v>
      </c>
      <c r="AF66" s="480">
        <f ca="1">SUM('TechHeat-RES'!AE5:AE44)-'Dwelling stock'!AF65</f>
        <v>0</v>
      </c>
      <c r="AG66" s="480">
        <f ca="1">SUM('TechHeat-RES'!AF5:AF44)-'Dwelling stock'!AG65</f>
        <v>0</v>
      </c>
      <c r="AH66" s="480">
        <f ca="1">SUM('TechHeat-RES'!AG5:AG44)-'Dwelling stock'!AH65</f>
        <v>0</v>
      </c>
      <c r="AI66" s="480">
        <f ca="1">SUM('TechHeat-RES'!AH5:AH44)-'Dwelling stock'!AI65</f>
        <v>0</v>
      </c>
      <c r="AJ66" s="480">
        <f ca="1">SUM('TechHeat-RES'!AI5:AI44)-'Dwelling stock'!AJ65</f>
        <v>0</v>
      </c>
      <c r="AK66" s="480">
        <f ca="1">SUM('TechHeat-RES'!AJ5:AJ44)-'Dwelling stock'!AK65</f>
        <v>0</v>
      </c>
      <c r="AL66" s="480">
        <f ca="1">SUM('TechHeat-RES'!AK5:AK44)-'Dwelling stock'!AL65</f>
        <v>0</v>
      </c>
      <c r="AM66" s="480">
        <f ca="1">SUM('TechHeat-RES'!AL5:AL44)-'Dwelling stock'!AM65</f>
        <v>0</v>
      </c>
      <c r="AN66" s="480">
        <f ca="1">SUM('TechHeat-RES'!AM5:AM44)-'Dwelling stock'!AN65</f>
        <v>0</v>
      </c>
      <c r="AO66" s="480">
        <f ca="1">SUM('TechHeat-RES'!AN5:AN44)-'Dwelling stock'!AO65</f>
        <v>0</v>
      </c>
      <c r="AP66" s="480">
        <f ca="1">SUM('TechHeat-RES'!AO5:AO44)-'Dwelling stock'!AP65</f>
        <v>0</v>
      </c>
      <c r="AQ66" s="480">
        <f ca="1">SUM('TechHeat-RES'!AP5:AP44)-'Dwelling stock'!AQ65</f>
        <v>0</v>
      </c>
    </row>
    <row r="67" spans="1:43">
      <c r="C67" s="488"/>
      <c r="D67" s="536" t="s">
        <v>611</v>
      </c>
      <c r="E67" s="522"/>
      <c r="F67" s="537"/>
      <c r="G67" s="538">
        <f ca="1">IF(INDEX('All Stock'!$D$23:$AN$23,1,MATCH(G$45,'All Stock'!$D$19:$AN$19,0))=0,1,INDEX('All Stock'!$D$23:$AN$23,1,MATCH(G$45,'All Stock'!$D$19:$AN$19,0)))</f>
        <v>0.82913816627850589</v>
      </c>
      <c r="H67" s="538">
        <f ca="1">IF(INDEX('All Stock'!$D$23:$AN$23,1,MATCH(H$45,'All Stock'!$D$19:$AN$19,0))=0,1,INDEX('All Stock'!$D$23:$AN$23,1,MATCH(H$45,'All Stock'!$D$19:$AN$19,0)))</f>
        <v>0.76091017504361802</v>
      </c>
      <c r="I67" s="538">
        <f ca="1">IF(INDEX('All Stock'!$D$23:$AN$23,1,MATCH(I$45,'All Stock'!$D$19:$AN$19,0))=0,1,INDEX('All Stock'!$D$23:$AN$23,1,MATCH(I$45,'All Stock'!$D$19:$AN$19,0)))</f>
        <v>0.56118197782970425</v>
      </c>
      <c r="J67" s="538">
        <f ca="1">IF(INDEX('All Stock'!$D$23:$AN$23,1,MATCH(J$45,'All Stock'!$D$19:$AN$19,0))=0,1,INDEX('All Stock'!$D$23:$AN$23,1,MATCH(J$45,'All Stock'!$D$19:$AN$19,0)))</f>
        <v>0.88727391969943736</v>
      </c>
      <c r="K67" s="538">
        <f ca="1">IF(INDEX('All Stock'!$D$23:$AN$23,1,MATCH(K$45,'All Stock'!$D$19:$AN$19,0))=0,1,INDEX('All Stock'!$D$23:$AN$23,1,MATCH(K$45,'All Stock'!$D$19:$AN$19,0)))</f>
        <v>0.99446531481509937</v>
      </c>
      <c r="L67" s="538">
        <f ca="1">IF(INDEX('All Stock'!$D$23:$AN$23,1,MATCH(L$45,'All Stock'!$D$19:$AN$19,0))=0,1,INDEX('All Stock'!$D$23:$AN$23,1,MATCH(L$45,'All Stock'!$D$19:$AN$19,0)))</f>
        <v>0.96265218924663065</v>
      </c>
      <c r="M67" s="776">
        <f ca="1">IF(INDEX('All Stock'!$D$23:$AN$23,1,MATCH(M$45,'All Stock'!$D$19:$AN$19,0))=0,1,INDEX('All Stock'!$D$23:$AN$23,1,MATCH(M$45,'All Stock'!$D$19:$AN$19,0)))</f>
        <v>0.87544592246379327</v>
      </c>
      <c r="N67" s="538">
        <f ca="1">IF(INDEX('All Stock'!$D$23:$AN$23,1,MATCH(N$45,'All Stock'!$D$19:$AN$19,0))=0,1,INDEX('All Stock'!$D$23:$AN$23,1,MATCH(N$45,'All Stock'!$D$19:$AN$19,0)))</f>
        <v>0.97168242205601407</v>
      </c>
      <c r="O67" s="538">
        <f ca="1">IF(INDEX('All Stock'!$D$23:$AN$23,1,MATCH(O$45,'All Stock'!$D$19:$AN$19,0))=0,1,INDEX('All Stock'!$D$23:$AN$23,1,MATCH(O$45,'All Stock'!$D$19:$AN$19,0)))</f>
        <v>1</v>
      </c>
      <c r="P67" s="538">
        <f ca="1">IF(INDEX('All Stock'!$D$23:$AN$23,1,MATCH(P$45,'All Stock'!$D$19:$AN$19,0))=0,1,INDEX('All Stock'!$D$23:$AN$23,1,MATCH(P$45,'All Stock'!$D$19:$AN$19,0)))</f>
        <v>0.6309584453654199</v>
      </c>
      <c r="Q67" s="538">
        <f ca="1">IF(INDEX('All Stock'!$D$23:$AN$23,1,MATCH(Q$45,'All Stock'!$D$19:$AN$19,0))=0,1,INDEX('All Stock'!$D$23:$AN$23,1,MATCH(Q$45,'All Stock'!$D$19:$AN$19,0)))</f>
        <v>1</v>
      </c>
      <c r="R67" s="538">
        <f ca="1">IF(INDEX('All Stock'!$D$23:$AN$23,1,MATCH(R$45,'All Stock'!$D$19:$AN$19,0))=0,1,INDEX('All Stock'!$D$23:$AN$23,1,MATCH(R$45,'All Stock'!$D$19:$AN$19,0)))</f>
        <v>0.78017297185521572</v>
      </c>
      <c r="S67" s="538">
        <f ca="1">IF(INDEX('All Stock'!$D$23:$AN$23,1,MATCH(S$45,'All Stock'!$D$19:$AN$19,0))=0,1,INDEX('All Stock'!$D$23:$AN$23,1,MATCH(S$45,'All Stock'!$D$19:$AN$19,0)))</f>
        <v>0.73297964142862837</v>
      </c>
      <c r="T67" s="538">
        <f ca="1">IF(INDEX('All Stock'!$D$23:$AN$23,1,MATCH(T$45,'All Stock'!$D$19:$AN$19,0))=0,1,INDEX('All Stock'!$D$23:$AN$23,1,MATCH(T$45,'All Stock'!$D$19:$AN$19,0)))</f>
        <v>0.92233704537611305</v>
      </c>
      <c r="U67" s="538">
        <f ca="1">IF(INDEX('All Stock'!$D$23:$AN$23,1,MATCH(U$45,'All Stock'!$D$19:$AN$19,0))=0,1,INDEX('All Stock'!$D$23:$AN$23,1,MATCH(U$45,'All Stock'!$D$19:$AN$19,0)))</f>
        <v>0.84880716933854439</v>
      </c>
      <c r="V67" s="538">
        <f ca="1">IF(INDEX('All Stock'!$D$23:$AN$23,1,MATCH(V$45,'All Stock'!$D$19:$AN$19,0))=0,1,INDEX('All Stock'!$D$23:$AN$23,1,MATCH(V$45,'All Stock'!$D$19:$AN$19,0)))</f>
        <v>0.79652320828824585</v>
      </c>
      <c r="W67" s="538">
        <f ca="1">IF(INDEX('All Stock'!$D$23:$AN$23,1,MATCH(W$45,'All Stock'!$D$19:$AN$19,0))=0,1,INDEX('All Stock'!$D$23:$AN$23,1,MATCH(W$45,'All Stock'!$D$19:$AN$19,0)))</f>
        <v>1</v>
      </c>
      <c r="X67" s="538">
        <f ca="1">IF(INDEX('All Stock'!$D$23:$AN$23,1,MATCH(X$45,'All Stock'!$D$19:$AN$19,0))=0,1,INDEX('All Stock'!$D$23:$AN$23,1,MATCH(X$45,'All Stock'!$D$19:$AN$19,0)))</f>
        <v>0.85048062633683863</v>
      </c>
      <c r="Y67" s="538">
        <f ca="1">IF(INDEX('All Stock'!$D$23:$AN$23,1,MATCH(Y$45,'All Stock'!$D$19:$AN$19,0))=0,1,INDEX('All Stock'!$D$23:$AN$23,1,MATCH(Y$45,'All Stock'!$D$19:$AN$19,0)))</f>
        <v>0.72740608873822143</v>
      </c>
      <c r="Z67" s="538">
        <f ca="1">IF(INDEX('All Stock'!$D$23:$AN$23,1,MATCH(Z$45,'All Stock'!$D$19:$AN$19,0))=0,1,INDEX('All Stock'!$D$23:$AN$23,1,MATCH(Z$45,'All Stock'!$D$19:$AN$19,0)))</f>
        <v>1</v>
      </c>
      <c r="AA67" s="538">
        <f ca="1">IF(INDEX('All Stock'!$D$23:$AN$23,1,MATCH(AA$45,'All Stock'!$D$19:$AN$19,0))=0,1,INDEX('All Stock'!$D$23:$AN$23,1,MATCH(AA$45,'All Stock'!$D$19:$AN$19,0)))</f>
        <v>0.84405778375532514</v>
      </c>
      <c r="AB67" s="538">
        <f ca="1">IF(INDEX('All Stock'!$D$23:$AN$23,1,MATCH(AB$45,'All Stock'!$D$19:$AN$19,0))=0,1,INDEX('All Stock'!$D$23:$AN$23,1,MATCH(AB$45,'All Stock'!$D$19:$AN$19,0)))</f>
        <v>0.46176158327542655</v>
      </c>
      <c r="AC67" s="538">
        <f ca="1">IF(INDEX('All Stock'!$D$23:$AN$23,1,MATCH(AC$45,'All Stock'!$D$19:$AN$19,0))=0,1,INDEX('All Stock'!$D$23:$AN$23,1,MATCH(AC$45,'All Stock'!$D$19:$AN$19,0)))</f>
        <v>0.81897103167320162</v>
      </c>
      <c r="AD67" s="538">
        <f ca="1">IF(INDEX('All Stock'!$D$23:$AN$23,1,MATCH(AD$45,'All Stock'!$D$19:$AN$19,0))=0,1,INDEX('All Stock'!$D$23:$AN$23,1,MATCH(AD$45,'All Stock'!$D$19:$AN$19,0)))</f>
        <v>0.87031259407620443</v>
      </c>
      <c r="AE67" s="538">
        <f ca="1">IF(INDEX('All Stock'!$D$23:$AN$23,1,MATCH(AE$45,'All Stock'!$D$19:$AN$19,0))=0,1,INDEX('All Stock'!$D$23:$AN$23,1,MATCH(AE$45,'All Stock'!$D$19:$AN$19,0)))</f>
        <v>0.84239919744944836</v>
      </c>
      <c r="AF67" s="538">
        <f ca="1">IF(INDEX('All Stock'!$D$23:$AN$23,1,MATCH(AF$45,'All Stock'!$D$19:$AN$19,0))=0,1,INDEX('All Stock'!$D$23:$AN$23,1,MATCH(AF$45,'All Stock'!$D$19:$AN$19,0)))</f>
        <v>0.33089717230058957</v>
      </c>
      <c r="AG67" s="538">
        <f ca="1">IF(INDEX('All Stock'!$D$23:$AN$23,1,MATCH(AG$45,'All Stock'!$D$19:$AN$19,0))=0,1,INDEX('All Stock'!$D$23:$AN$23,1,MATCH(AG$45,'All Stock'!$D$19:$AN$19,0)))</f>
        <v>0.64639006403775245</v>
      </c>
      <c r="AH67" s="538">
        <f ca="1">IF(INDEX('All Stock'!$D$23:$AN$23,1,MATCH(AH$45,'All Stock'!$D$19:$AN$19,0))=0,1,INDEX('All Stock'!$D$23:$AN$23,1,MATCH(AH$45,'All Stock'!$D$19:$AN$19,0)))</f>
        <v>1</v>
      </c>
      <c r="AI67" s="538">
        <f ca="1">IF(INDEX('All Stock'!$D$23:$AN$23,1,MATCH(AI$45,'All Stock'!$D$19:$AN$19,0))=0,1,INDEX('All Stock'!$D$23:$AN$23,1,MATCH(AI$45,'All Stock'!$D$19:$AN$19,0)))</f>
        <v>0.94270699233566357</v>
      </c>
      <c r="AJ67" s="538">
        <f ca="1">IF(INDEX('All Stock'!$D$23:$AN$23,1,MATCH(AJ$45,'All Stock'!$D$19:$AN$19,0))=0,1,INDEX('All Stock'!$D$23:$AN$23,1,MATCH(AJ$45,'All Stock'!$D$19:$AN$19,0)))</f>
        <v>0.65950085457332452</v>
      </c>
      <c r="AK67" s="538">
        <f ca="1">IF(INDEX('All Stock'!$D$23:$AN$23,1,MATCH(AK$45,'All Stock'!$D$19:$AN$19,0))=0,1,INDEX('All Stock'!$D$23:$AN$23,1,MATCH(AK$45,'All Stock'!$D$19:$AN$19,0)))</f>
        <v>0.82180598822584017</v>
      </c>
      <c r="AL67" s="538">
        <f ca="1">IF(INDEX('All Stock'!$D$23:$AN$23,1,MATCH(AL$45,'All Stock'!$D$19:$AN$19,0))=0,1,INDEX('All Stock'!$D$23:$AN$23,1,MATCH(AL$45,'All Stock'!$D$19:$AN$19,0)))</f>
        <v>0.3104214113336663</v>
      </c>
      <c r="AM67" s="538">
        <f ca="1">IF(INDEX('All Stock'!$D$23:$AN$23,1,MATCH(AM$45,'All Stock'!$D$19:$AN$19,0))=0,1,INDEX('All Stock'!$D$23:$AN$23,1,MATCH(AM$45,'All Stock'!$D$19:$AN$19,0)))</f>
        <v>0.44499019387195315</v>
      </c>
      <c r="AN67" s="538">
        <f ca="1">IF(INDEX('All Stock'!$D$23:$AN$23,1,MATCH(AN$45,'All Stock'!$D$19:$AN$19,0))=0,1,INDEX('All Stock'!$D$23:$AN$23,1,MATCH(AN$45,'All Stock'!$D$19:$AN$19,0)))</f>
        <v>0.80110323883663481</v>
      </c>
      <c r="AO67" s="538">
        <f ca="1">IF(INDEX('All Stock'!$D$23:$AN$23,1,MATCH(AO$45,'All Stock'!$D$19:$AN$19,0))=0,1,INDEX('All Stock'!$D$23:$AN$23,1,MATCH(AO$45,'All Stock'!$D$19:$AN$19,0)))</f>
        <v>0.49620848894072545</v>
      </c>
      <c r="AP67" s="538">
        <f ca="1">IF(INDEX('All Stock'!$D$23:$AN$23,1,MATCH(AP$45,'All Stock'!$D$19:$AN$19,0))=0,1,INDEX('All Stock'!$D$23:$AN$23,1,MATCH(AP$45,'All Stock'!$D$19:$AN$19,0)))</f>
        <v>0.68616288832726879</v>
      </c>
      <c r="AQ67" s="538">
        <f ca="1">IF(INDEX('All Stock'!$D$23:$AN$23,1,MATCH(AQ$45,'All Stock'!$D$19:$AN$19,0))=0,1,INDEX('All Stock'!$D$23:$AN$23,1,MATCH(AQ$45,'All Stock'!$D$19:$AN$19,0)))</f>
        <v>0.46762853884079891</v>
      </c>
    </row>
    <row r="68" spans="1:43">
      <c r="C68" s="488"/>
      <c r="D68" s="488"/>
      <c r="E68"/>
      <c r="R68" s="480"/>
    </row>
    <row r="69" spans="1:43">
      <c r="C69" s="488"/>
      <c r="D69" s="488"/>
      <c r="E69"/>
      <c r="M69" s="777"/>
      <c r="R69" s="480"/>
      <c r="S69" s="480"/>
    </row>
    <row r="70" spans="1:43">
      <c r="C70" s="488"/>
      <c r="D70" s="488"/>
      <c r="E70"/>
      <c r="G70" s="393">
        <f ca="1">G46*'All Stock'!D112</f>
        <v>7.9996663957550798</v>
      </c>
      <c r="H70" s="393">
        <f ca="1">H46*'All Stock'!E112</f>
        <v>7.3845970979531197</v>
      </c>
      <c r="I70" s="393">
        <f ca="1">I46*'All Stock'!F112</f>
        <v>0.9754589480072231</v>
      </c>
      <c r="J70" s="393">
        <f ca="1">J46*'All Stock'!G112</f>
        <v>9.3632382579033369</v>
      </c>
      <c r="K70" s="393">
        <f ca="1">K46*'All Stock'!H112</f>
        <v>2.2713130913255452E-2</v>
      </c>
      <c r="L70" s="393">
        <f ca="1">L46*'All Stock'!I112</f>
        <v>9.7760726607318382</v>
      </c>
      <c r="M70" s="393">
        <f ca="1">M46*'All Stock'!J112</f>
        <v>94.765580938749579</v>
      </c>
      <c r="N70" s="393">
        <f ca="1">N46*'All Stock'!K112</f>
        <v>5.9927223916563266</v>
      </c>
      <c r="O70" s="393">
        <f ca="1">O46*'All Stock'!L112</f>
        <v>1.7696011525454014</v>
      </c>
      <c r="P70" s="393">
        <f ca="1">P46*'All Stock'!M112</f>
        <v>19.152561829566686</v>
      </c>
      <c r="Q70" s="393">
        <f ca="1">Q46*'All Stock'!N112</f>
        <v>3.8911225829877449</v>
      </c>
      <c r="R70" s="393">
        <f ca="1">R46*'All Stock'!O112</f>
        <v>53.915302261797102</v>
      </c>
      <c r="S70" s="393">
        <f ca="1">S46*'All Stock'!P112</f>
        <v>2.5226079407380637</v>
      </c>
      <c r="T70" s="393">
        <f ca="1">T46*'All Stock'!Q112</f>
        <v>1.2620096258580826</v>
      </c>
      <c r="U70" s="393">
        <f ca="1">U46*'All Stock'!R112</f>
        <v>3.792963427384727</v>
      </c>
      <c r="V70" s="393">
        <f ca="1">V46*'All Stock'!S112</f>
        <v>0.34585886131709742</v>
      </c>
      <c r="W70" s="393">
        <f ca="1">W46*'All Stock'!T112</f>
        <v>0.42490233084547963</v>
      </c>
      <c r="X70" s="393">
        <f ca="1">X46*'All Stock'!U112</f>
        <v>80.835923713260243</v>
      </c>
      <c r="Y70" s="393">
        <f ca="1">Y46*'All Stock'!V112</f>
        <v>2.6240259507014057</v>
      </c>
      <c r="Z70" s="393">
        <f ca="1">Z46*'All Stock'!W112</f>
        <v>0.68971720302696349</v>
      </c>
      <c r="AA70" s="393">
        <f ca="1">AA46*'All Stock'!X112</f>
        <v>2.1943021583578242</v>
      </c>
      <c r="AB70" s="393">
        <f ca="1">AB46*'All Stock'!Y112</f>
        <v>1.3753718178405677E-2</v>
      </c>
      <c r="AC70" s="393">
        <f ca="1">AC46*'All Stock'!Z112</f>
        <v>9.2505016115659959</v>
      </c>
      <c r="AD70" s="393">
        <f ca="1">AD46*'All Stock'!AA112</f>
        <v>3.7446372862373671</v>
      </c>
      <c r="AE70" s="393">
        <f ca="1">AE46*'All Stock'!AB112</f>
        <v>27.568023117026669</v>
      </c>
      <c r="AF70" s="393">
        <f ca="1">AF46*'All Stock'!AC112</f>
        <v>0.38710596028269295</v>
      </c>
      <c r="AG70" s="393">
        <f ca="1">AG46*'All Stock'!AD112</f>
        <v>1.9889160609211147</v>
      </c>
      <c r="AH70" s="393">
        <f ca="1">AH46*'All Stock'!AE112</f>
        <v>17.297187528812788</v>
      </c>
      <c r="AI70" s="393">
        <f ca="1">AI46*'All Stock'!AF112</f>
        <v>2.5281314276604241</v>
      </c>
      <c r="AJ70" s="393">
        <f ca="1">AJ46*'All Stock'!AG112</f>
        <v>2.5757924269626948</v>
      </c>
      <c r="AK70" s="393">
        <f ca="1">AK46*'All Stock'!AH112</f>
        <v>20.38284989098192</v>
      </c>
      <c r="AL70" s="393">
        <f ca="1">AL46*'All Stock'!AI112</f>
        <v>9.9670484144257498E-2</v>
      </c>
      <c r="AM70" s="393">
        <f ca="1">AM46*'All Stock'!AJ112</f>
        <v>0.32212299242699144</v>
      </c>
      <c r="AN70" s="393">
        <f ca="1">AN46*'All Stock'!AK112</f>
        <v>0.20226641358253897</v>
      </c>
      <c r="AO70" s="393">
        <f ca="1">AO46*'All Stock'!AL112</f>
        <v>0.22426150001893325</v>
      </c>
      <c r="AP70" s="393">
        <f ca="1">AP46*'All Stock'!AM112</f>
        <v>1.3495824301124115</v>
      </c>
      <c r="AQ70" s="393">
        <f ca="1">AQ46*'All Stock'!AN112</f>
        <v>0.18323836234788338</v>
      </c>
    </row>
    <row r="71" spans="1:43">
      <c r="A71"/>
      <c r="B71"/>
      <c r="C71" s="488"/>
      <c r="D71" s="488"/>
      <c r="E71"/>
      <c r="G71" s="393">
        <f ca="1">G49*'All Stock'!D113</f>
        <v>8.7185475230193159</v>
      </c>
      <c r="H71" s="393">
        <f ca="1">H49*'All Stock'!E113</f>
        <v>4.1025539414734524</v>
      </c>
      <c r="I71" s="393">
        <f ca="1">I49*'All Stock'!F113</f>
        <v>2.0193502179669491</v>
      </c>
      <c r="J71" s="393">
        <f ca="1">J49*'All Stock'!G113</f>
        <v>10.204655254649214</v>
      </c>
      <c r="K71" s="393">
        <f ca="1">K49*'All Stock'!H113</f>
        <v>6.948794068322553E-2</v>
      </c>
      <c r="L71" s="393">
        <f ca="1">L49*'All Stock'!I113</f>
        <v>11.966701481478582</v>
      </c>
      <c r="M71" s="393">
        <f ca="1">M49*'All Stock'!J113</f>
        <v>118.72567813080981</v>
      </c>
      <c r="N71" s="393">
        <f ca="1">N49*'All Stock'!K113</f>
        <v>4.2740896217597921</v>
      </c>
      <c r="O71" s="393">
        <f ca="1">O49*'All Stock'!L113</f>
        <v>2.6160158422997086</v>
      </c>
      <c r="P71" s="393">
        <f ca="1">P49*'All Stock'!M113</f>
        <v>30.591947309097137</v>
      </c>
      <c r="Q71" s="393">
        <f ca="1">Q49*'All Stock'!N113</f>
        <v>6.6871285462831658</v>
      </c>
      <c r="R71" s="393">
        <f ca="1">R49*'All Stock'!O113</f>
        <v>36.465782696585677</v>
      </c>
      <c r="S71" s="393">
        <f ca="1">S49*'All Stock'!P113</f>
        <v>9.1806778254528041</v>
      </c>
      <c r="T71" s="393">
        <f ca="1">T49*'All Stock'!Q113</f>
        <v>2.4465125130809855</v>
      </c>
      <c r="U71" s="393">
        <f ca="1">U49*'All Stock'!R113</f>
        <v>5.1103422135239649</v>
      </c>
      <c r="V71" s="393">
        <f ca="1">V49*'All Stock'!S113</f>
        <v>0.31708488293232828</v>
      </c>
      <c r="W71" s="393">
        <f ca="1">W49*'All Stock'!T113</f>
        <v>0.73091974962700235</v>
      </c>
      <c r="X71" s="393">
        <f ca="1">X49*'All Stock'!U113</f>
        <v>106.82656674145296</v>
      </c>
      <c r="Y71" s="393">
        <f ca="1">Y49*'All Stock'!V113</f>
        <v>2.8042210465561306</v>
      </c>
      <c r="Z71" s="393">
        <f ca="1">Z49*'All Stock'!W113</f>
        <v>0.70570548789490184</v>
      </c>
      <c r="AA71" s="393">
        <f ca="1">AA49*'All Stock'!X113</f>
        <v>2.6223287799987092</v>
      </c>
      <c r="AB71" s="393">
        <f ca="1">AB49*'All Stock'!Y113</f>
        <v>1.4407904130762731E-2</v>
      </c>
      <c r="AC71" s="393">
        <f ca="1">AC49*'All Stock'!Z113</f>
        <v>8.7619520584061785</v>
      </c>
      <c r="AD71" s="393">
        <f ca="1">AD49*'All Stock'!AA113</f>
        <v>4.9592027493168702</v>
      </c>
      <c r="AE71" s="393">
        <f ca="1">AE49*'All Stock'!AB113</f>
        <v>22.717926127616408</v>
      </c>
      <c r="AF71" s="393">
        <f ca="1">AF49*'All Stock'!AC113</f>
        <v>0.46166941983335108</v>
      </c>
      <c r="AG71" s="393">
        <f ca="1">AG49*'All Stock'!AD113</f>
        <v>5.2918684406539569</v>
      </c>
      <c r="AH71" s="393">
        <f ca="1">AH49*'All Stock'!AE113</f>
        <v>15.615870719752635</v>
      </c>
      <c r="AI71" s="393">
        <f ca="1">AI49*'All Stock'!AF113</f>
        <v>1.6898790987193018</v>
      </c>
      <c r="AJ71" s="393">
        <f ca="1">AJ49*'All Stock'!AG113</f>
        <v>2.8517691569064127</v>
      </c>
      <c r="AK71" s="393">
        <f ca="1">AK49*'All Stock'!AH113</f>
        <v>13.378906443615657</v>
      </c>
      <c r="AL71" s="393">
        <f ca="1">AL49*'All Stock'!AI113</f>
        <v>0.3627367490834138</v>
      </c>
      <c r="AM71" s="393">
        <f ca="1">AM49*'All Stock'!AJ113</f>
        <v>0.735442228812201</v>
      </c>
      <c r="AN71" s="393">
        <f ca="1">AN49*'All Stock'!AK113</f>
        <v>0.46179647375748262</v>
      </c>
      <c r="AO71" s="393">
        <f ca="1">AO49*'All Stock'!AL113</f>
        <v>0.46425583554283462</v>
      </c>
      <c r="AP71" s="393">
        <f ca="1">AP49*'All Stock'!AM113</f>
        <v>3.0812451569802675</v>
      </c>
      <c r="AQ71" s="393">
        <f ca="1">AQ49*'All Stock'!AN113</f>
        <v>0.4183533394921149</v>
      </c>
    </row>
    <row r="72" spans="1:43">
      <c r="A72"/>
      <c r="B72"/>
      <c r="C72" s="488"/>
      <c r="D72" s="488"/>
      <c r="E72"/>
      <c r="G72" s="393">
        <f ca="1">G52*'All Stock'!D114</f>
        <v>3.662511484568534</v>
      </c>
      <c r="H72" s="393">
        <f ca="1">H52*'All Stock'!E114</f>
        <v>2.2202518938585447</v>
      </c>
      <c r="I72" s="393">
        <f ca="1">I52*'All Stock'!F114</f>
        <v>1.1091771120371461</v>
      </c>
      <c r="J72" s="393">
        <f ca="1">J52*'All Stock'!G114</f>
        <v>4.2867997183631976</v>
      </c>
      <c r="K72" s="393">
        <f ca="1">K52*'All Stock'!H114</f>
        <v>9.4833395097470588E-2</v>
      </c>
      <c r="L72" s="393">
        <f ca="1">L52*'All Stock'!I114</f>
        <v>4.9033886365378967</v>
      </c>
      <c r="M72" s="393">
        <f ca="1">M52*'All Stock'!J114</f>
        <v>41.684123945752241</v>
      </c>
      <c r="N72" s="393">
        <f ca="1">N52*'All Stock'!K114</f>
        <v>1.9007671704852798</v>
      </c>
      <c r="O72" s="393">
        <f ca="1">O52*'All Stock'!L114</f>
        <v>1.6849357908300389</v>
      </c>
      <c r="P72" s="393">
        <f ca="1">P52*'All Stock'!M114</f>
        <v>25.258122212590742</v>
      </c>
      <c r="Q72" s="393">
        <f ca="1">Q52*'All Stock'!N114</f>
        <v>4.4954306071497365</v>
      </c>
      <c r="R72" s="393">
        <f ca="1">R52*'All Stock'!O114</f>
        <v>20.432303213755358</v>
      </c>
      <c r="S72" s="393">
        <f ca="1">S52*'All Stock'!P114</f>
        <v>7.3153149880605843</v>
      </c>
      <c r="T72" s="393">
        <f ca="1">T52*'All Stock'!Q114</f>
        <v>1.64748212776394</v>
      </c>
      <c r="U72" s="393">
        <f ca="1">U52*'All Stock'!R114</f>
        <v>2.6795858144767646</v>
      </c>
      <c r="V72" s="393">
        <f ca="1">V52*'All Stock'!S114</f>
        <v>0.24071631951438696</v>
      </c>
      <c r="W72" s="393">
        <f ca="1">W52*'All Stock'!T114</f>
        <v>0.48058316409264623</v>
      </c>
      <c r="X72" s="393">
        <f ca="1">X52*'All Stock'!U114</f>
        <v>57.6939193084606</v>
      </c>
      <c r="Y72" s="393">
        <f ca="1">Y52*'All Stock'!V114</f>
        <v>1.2193892012913135</v>
      </c>
      <c r="Z72" s="393">
        <f ca="1">Z52*'All Stock'!W114</f>
        <v>0.20905229848482346</v>
      </c>
      <c r="AA72" s="393">
        <f ca="1">AA52*'All Stock'!X114</f>
        <v>1.9821085298140193</v>
      </c>
      <c r="AB72" s="393">
        <f ca="1">AB52*'All Stock'!Y114</f>
        <v>7.5836067455748698E-3</v>
      </c>
      <c r="AC72" s="393">
        <f ca="1">AC52*'All Stock'!Z114</f>
        <v>5.306684648861725</v>
      </c>
      <c r="AD72" s="393">
        <f ca="1">AD52*'All Stock'!AA114</f>
        <v>2.3301544636396274</v>
      </c>
      <c r="AE72" s="393">
        <f ca="1">AE52*'All Stock'!AB114</f>
        <v>9.4581902677750485</v>
      </c>
      <c r="AF72" s="393">
        <f ca="1">AF52*'All Stock'!AC114</f>
        <v>0.5112088225385828</v>
      </c>
      <c r="AG72" s="393">
        <f ca="1">AG52*'All Stock'!AD114</f>
        <v>3.8178192870071994</v>
      </c>
      <c r="AH72" s="393">
        <f ca="1">AH52*'All Stock'!AE114</f>
        <v>6.2201307028222468</v>
      </c>
      <c r="AI72" s="393">
        <f ca="1">AI52*'All Stock'!AF114</f>
        <v>1.381705850368754</v>
      </c>
      <c r="AJ72" s="393">
        <f ca="1">AJ52*'All Stock'!AG114</f>
        <v>1.1672844388506649</v>
      </c>
      <c r="AK72" s="393">
        <f ca="1">AK52*'All Stock'!AH114</f>
        <v>4.9304126875573235</v>
      </c>
      <c r="AL72" s="393">
        <f ca="1">AL52*'All Stock'!AI114</f>
        <v>0.2890346037341085</v>
      </c>
      <c r="AM72" s="393">
        <f ca="1">AM52*'All Stock'!AJ114</f>
        <v>0.54908654797897438</v>
      </c>
      <c r="AN72" s="393">
        <f ca="1">AN52*'All Stock'!AK114</f>
        <v>0.34478062546651589</v>
      </c>
      <c r="AO72" s="393">
        <f ca="1">AO52*'All Stock'!AL114</f>
        <v>0.25444787078945641</v>
      </c>
      <c r="AP72" s="393">
        <f ca="1">AP52*'All Stock'!AM114</f>
        <v>2.3004801742969478</v>
      </c>
      <c r="AQ72" s="393">
        <f ca="1">AQ52*'All Stock'!AN114</f>
        <v>0.3123456636263669</v>
      </c>
    </row>
    <row r="73" spans="1:43">
      <c r="A73"/>
      <c r="B73"/>
      <c r="C73" s="488"/>
      <c r="D73" s="488"/>
      <c r="E73"/>
      <c r="G73" s="393">
        <f ca="1">G55*'All Stock'!D115</f>
        <v>2.0538410363832571</v>
      </c>
      <c r="H73" s="393">
        <f ca="1">H55*'All Stock'!E115</f>
        <v>1.9143597241865462</v>
      </c>
      <c r="I73" s="393">
        <f ca="1">I55*'All Stock'!F115</f>
        <v>0.90949050413186383</v>
      </c>
      <c r="J73" s="393">
        <f ca="1">J55*'All Stock'!G115</f>
        <v>2.4039256159131859</v>
      </c>
      <c r="K73" s="393">
        <f ca="1">K55*'All Stock'!H115</f>
        <v>0.13429297611551477</v>
      </c>
      <c r="L73" s="393">
        <f ca="1">L55*'All Stock'!I115</f>
        <v>5.182658140936768</v>
      </c>
      <c r="M73" s="393">
        <f ca="1">M55*'All Stock'!J115</f>
        <v>24.847084498207952</v>
      </c>
      <c r="N73" s="393">
        <f ca="1">N55*'All Stock'!K115</f>
        <v>0.66061271775278352</v>
      </c>
      <c r="O73" s="393">
        <f ca="1">O55*'All Stock'!L115</f>
        <v>1.1918501132529249</v>
      </c>
      <c r="P73" s="393">
        <f ca="1">P55*'All Stock'!M115</f>
        <v>11.267034955892546</v>
      </c>
      <c r="Q73" s="393">
        <f ca="1">Q55*'All Stock'!N115</f>
        <v>2.9401146303580088</v>
      </c>
      <c r="R73" s="393">
        <f ca="1">R55*'All Stock'!O115</f>
        <v>12.993139461336815</v>
      </c>
      <c r="S73" s="393">
        <f ca="1">S55*'All Stock'!P115</f>
        <v>5.4985802970448452</v>
      </c>
      <c r="T73" s="393">
        <f ca="1">T55*'All Stock'!Q115</f>
        <v>1.3061504129430854</v>
      </c>
      <c r="U73" s="393">
        <f ca="1">U55*'All Stock'!R115</f>
        <v>2.7349118056673984</v>
      </c>
      <c r="V73" s="393">
        <f ca="1">V55*'All Stock'!S115</f>
        <v>0.14679900011705951</v>
      </c>
      <c r="W73" s="393">
        <f ca="1">W55*'All Stock'!T115</f>
        <v>0.30818169343750912</v>
      </c>
      <c r="X73" s="393">
        <f ca="1">X55*'All Stock'!U115</f>
        <v>31.01385813405097</v>
      </c>
      <c r="Y73" s="393">
        <f ca="1">Y55*'All Stock'!V115</f>
        <v>1.2193892012913135</v>
      </c>
      <c r="Z73" s="393">
        <f ca="1">Z55*'All Stock'!W115</f>
        <v>0.13777306863345967</v>
      </c>
      <c r="AA73" s="393">
        <f ca="1">AA55*'All Stock'!X115</f>
        <v>1.190870354807505</v>
      </c>
      <c r="AB73" s="393">
        <f ca="1">AB55*'All Stock'!Y115</f>
        <v>8.2768532415850634E-3</v>
      </c>
      <c r="AC73" s="393">
        <f ca="1">AC55*'All Stock'!Z115</f>
        <v>3.1231897195228622</v>
      </c>
      <c r="AD73" s="393">
        <f ca="1">AD55*'All Stock'!AA115</f>
        <v>1.9295556718875693</v>
      </c>
      <c r="AE73" s="393">
        <f ca="1">AE55*'All Stock'!AB115</f>
        <v>9.7776662818657645</v>
      </c>
      <c r="AF73" s="393">
        <f ca="1">AF55*'All Stock'!AC115</f>
        <v>0.42324118367277663</v>
      </c>
      <c r="AG73" s="393">
        <f ca="1">AG55*'All Stock'!AD115</f>
        <v>4.530174330013585</v>
      </c>
      <c r="AH73" s="393">
        <f ca="1">AH55*'All Stock'!AE115</f>
        <v>4.2185616816456921</v>
      </c>
      <c r="AI73" s="393">
        <f ca="1">AI55*'All Stock'!AF115</f>
        <v>0.55475624351538222</v>
      </c>
      <c r="AJ73" s="393">
        <f ca="1">AJ55*'All Stock'!AG115</f>
        <v>1.1517497034107569</v>
      </c>
      <c r="AK73" s="393">
        <f ca="1">AK55*'All Stock'!AH115</f>
        <v>2.2753850048163295</v>
      </c>
      <c r="AL73" s="393">
        <f ca="1">AL55*'All Stock'!AI115</f>
        <v>0.21749872701323711</v>
      </c>
      <c r="AM73" s="393">
        <f ca="1">AM55*'All Stock'!AJ115</f>
        <v>0.40585480241414967</v>
      </c>
      <c r="AN73" s="393">
        <f ca="1">AN55*'All Stock'!AK115</f>
        <v>0.25417331874026244</v>
      </c>
      <c r="AO73" s="393">
        <f ca="1">AO55*'All Stock'!AL115</f>
        <v>0.206901347789123</v>
      </c>
      <c r="AP73" s="393">
        <f ca="1">AP55*'All Stock'!AM115</f>
        <v>1.7003893649070208</v>
      </c>
      <c r="AQ73" s="393">
        <f ca="1">AQ55*'All Stock'!AN115</f>
        <v>0.23086886404809498</v>
      </c>
    </row>
    <row r="74" spans="1:43">
      <c r="A74"/>
      <c r="B74"/>
      <c r="C74" s="488"/>
      <c r="D74" s="488"/>
      <c r="E74"/>
      <c r="G74" s="393">
        <f ca="1">G58*'All Stock'!D116</f>
        <v>2.06340935647358</v>
      </c>
      <c r="H74" s="393">
        <f ca="1">H58*'All Stock'!E116</f>
        <v>1.410156762137901</v>
      </c>
      <c r="I74" s="393">
        <f ca="1">I58*'All Stock'!F116</f>
        <v>0.42962930724784948</v>
      </c>
      <c r="J74" s="393">
        <f ca="1">J58*'All Stock'!G116</f>
        <v>2.4151248905205764</v>
      </c>
      <c r="K74" s="393">
        <f ca="1">K58*'All Stock'!H116</f>
        <v>0.10001215501740132</v>
      </c>
      <c r="L74" s="393">
        <f ca="1">L58*'All Stock'!I116</f>
        <v>2.0329333629405029</v>
      </c>
      <c r="M74" s="393">
        <f ca="1">M58*'All Stock'!J116</f>
        <v>13.053819075656468</v>
      </c>
      <c r="N74" s="393">
        <f ca="1">N58*'All Stock'!K116</f>
        <v>0.66113638523431295</v>
      </c>
      <c r="O74" s="393">
        <f ca="1">O58*'All Stock'!L116</f>
        <v>0.34670065413685031</v>
      </c>
      <c r="P74" s="393">
        <f ca="1">P58*'All Stock'!M116</f>
        <v>11.156246110734205</v>
      </c>
      <c r="Q74" s="393">
        <f ca="1">Q58*'All Stock'!N116</f>
        <v>2.1274948499263604</v>
      </c>
      <c r="R74" s="393">
        <f ca="1">R58*'All Stock'!O116</f>
        <v>4.5822507906263956</v>
      </c>
      <c r="S74" s="393">
        <f ca="1">S58*'All Stock'!P116</f>
        <v>3.6991618124324654</v>
      </c>
      <c r="T74" s="393">
        <f ca="1">T58*'All Stock'!Q116</f>
        <v>0.50375448073477203</v>
      </c>
      <c r="U74" s="393">
        <f ca="1">U58*'All Stock'!R116</f>
        <v>1.128023394430407</v>
      </c>
      <c r="V74" s="393">
        <f ca="1">V58*'All Stock'!S116</f>
        <v>0.16792557113682702</v>
      </c>
      <c r="W74" s="393">
        <f ca="1">W58*'All Stock'!T116</f>
        <v>0.2227669470541993</v>
      </c>
      <c r="X74" s="393">
        <f ca="1">X58*'All Stock'!U116</f>
        <v>10.539493422243533</v>
      </c>
      <c r="Y74" s="393">
        <f ca="1">Y58*'All Stock'!V116</f>
        <v>0.37919067279983676</v>
      </c>
      <c r="Z74" s="393">
        <f ca="1">Z58*'All Stock'!W116</f>
        <v>9.4001263279995861E-2</v>
      </c>
      <c r="AA74" s="393">
        <f ca="1">AA58*'All Stock'!X116</f>
        <v>0.36993254892890909</v>
      </c>
      <c r="AB74" s="393">
        <f ca="1">AB58*'All Stock'!Y116</f>
        <v>7.9353865261682661E-3</v>
      </c>
      <c r="AC74" s="393">
        <f ca="1">AC58*'All Stock'!Z116</f>
        <v>2.4681029814636686</v>
      </c>
      <c r="AD74" s="393">
        <f ca="1">AD58*'All Stock'!AA116</f>
        <v>1.9092001619972054</v>
      </c>
      <c r="AE74" s="393">
        <f ca="1">AE58*'All Stock'!AB116</f>
        <v>9.7776662818657645</v>
      </c>
      <c r="AF74" s="393">
        <f ca="1">AF58*'All Stock'!AC116</f>
        <v>0.42351529073501698</v>
      </c>
      <c r="AG74" s="393">
        <f ca="1">AG58*'All Stock'!AD116</f>
        <v>0.62385228989075969</v>
      </c>
      <c r="AH74" s="393">
        <f ca="1">AH58*'All Stock'!AE116</f>
        <v>3.1030557605004945</v>
      </c>
      <c r="AI74" s="393">
        <f ca="1">AI58*'All Stock'!AF116</f>
        <v>0.41649023197723145</v>
      </c>
      <c r="AJ74" s="393">
        <f ca="1">AJ58*'All Stock'!AG116</f>
        <v>0.58366742030103602</v>
      </c>
      <c r="AK74" s="393">
        <f ca="1">AK58*'All Stock'!AH116</f>
        <v>1.6258316172060006</v>
      </c>
      <c r="AL74" s="393">
        <f ca="1">AL58*'All Stock'!AI116</f>
        <v>0.14632194889514377</v>
      </c>
      <c r="AM74" s="393">
        <f ca="1">AM58*'All Stock'!AJ116</f>
        <v>0.18890956436493661</v>
      </c>
      <c r="AN74" s="393">
        <f ca="1">AN58*'All Stock'!AK116</f>
        <v>0.11811814790310012</v>
      </c>
      <c r="AO74" s="393">
        <f ca="1">AO58*'All Stock'!AL116</f>
        <v>9.7661083982769945E-2</v>
      </c>
      <c r="AP74" s="393">
        <f ca="1">AP58*'All Stock'!AM116</f>
        <v>0.79146485951291412</v>
      </c>
      <c r="AQ74" s="393">
        <f ca="1">AQ58*'All Stock'!AN116</f>
        <v>0.10746044219097026</v>
      </c>
    </row>
    <row r="75" spans="1:43">
      <c r="A75"/>
      <c r="B75"/>
      <c r="C75" s="488"/>
      <c r="D75" s="488"/>
      <c r="E75"/>
      <c r="G75" s="393">
        <f ca="1">G61*'All Stock'!D117</f>
        <v>0.7626496296765698</v>
      </c>
      <c r="H75" s="393">
        <f ca="1">H61*'All Stock'!E117</f>
        <v>0.56585955043111269</v>
      </c>
      <c r="I75" s="393">
        <f ca="1">I61*'All Stock'!F117</f>
        <v>0.45053247790003836</v>
      </c>
      <c r="J75" s="393">
        <f ca="1">J61*'All Stock'!G117</f>
        <v>0.89264599755718299</v>
      </c>
      <c r="K75" s="393">
        <f ca="1">K61*'All Stock'!H117</f>
        <v>0.19872314478327907</v>
      </c>
      <c r="L75" s="393">
        <f ca="1">L61*'All Stock'!I117</f>
        <v>1.2336706008052063</v>
      </c>
      <c r="M75" s="393">
        <f ca="1">M61*'All Stock'!J117</f>
        <v>7.8982345488354841</v>
      </c>
      <c r="N75" s="393">
        <f ca="1">N61*'All Stock'!K117</f>
        <v>0.64601816437067627</v>
      </c>
      <c r="O75" s="393">
        <f ca="1">O61*'All Stock'!L117</f>
        <v>0.272937508040279</v>
      </c>
      <c r="P75" s="393">
        <f ca="1">P61*'All Stock'!M117</f>
        <v>12.153868192005366</v>
      </c>
      <c r="Q75" s="393">
        <f ca="1">Q61*'All Stock'!N117</f>
        <v>1.862608165300083</v>
      </c>
      <c r="R75" s="393">
        <f ca="1">R61*'All Stock'!O117</f>
        <v>6.0372878231639788</v>
      </c>
      <c r="S75" s="393">
        <f ca="1">S61*'All Stock'!P117</f>
        <v>0.72390378507964304</v>
      </c>
      <c r="T75" s="393">
        <f ca="1">T61*'All Stock'!Q117</f>
        <v>0.41097609077527131</v>
      </c>
      <c r="U75" s="393">
        <f ca="1">U61*'All Stock'!R117</f>
        <v>0.8284969034602705</v>
      </c>
      <c r="V75" s="393">
        <f ca="1">V61*'All Stock'!S117</f>
        <v>0.22333121979227086</v>
      </c>
      <c r="W75" s="393">
        <f ca="1">W61*'All Stock'!T117</f>
        <v>0.19673660043039054</v>
      </c>
      <c r="X75" s="393">
        <f ca="1">X61*'All Stock'!U117</f>
        <v>7.8192048909035838</v>
      </c>
      <c r="Y75" s="393">
        <f ca="1">Y61*'All Stock'!V117</f>
        <v>0.19465889186833835</v>
      </c>
      <c r="Z75" s="393">
        <f ca="1">Z61*'All Stock'!W117</f>
        <v>0.10333516731188964</v>
      </c>
      <c r="AA75" s="393">
        <f ca="1">AA61*'All Stock'!X117</f>
        <v>0.26504407983236072</v>
      </c>
      <c r="AB75" s="393">
        <f ca="1">AB61*'All Stock'!Y117</f>
        <v>2.8060753645934573E-3</v>
      </c>
      <c r="AC75" s="393">
        <f ca="1">AC61*'All Stock'!Z117</f>
        <v>0.94988619464218182</v>
      </c>
      <c r="AD75" s="393">
        <f ca="1">AD61*'All Stock'!AA117</f>
        <v>1.1661572455427336</v>
      </c>
      <c r="AE75" s="393">
        <f ca="1">AE61*'All Stock'!AB117</f>
        <v>9.6204222936504493</v>
      </c>
      <c r="AF75" s="393">
        <f ca="1">AF61*'All Stock'!AC117</f>
        <v>0.16546004285490737</v>
      </c>
      <c r="AG75" s="393">
        <f ca="1">AG61*'All Stock'!AD117</f>
        <v>0.46742622413273732</v>
      </c>
      <c r="AH75" s="393">
        <f ca="1">AH61*'All Stock'!AE117</f>
        <v>0.7489189097748562</v>
      </c>
      <c r="AI75" s="393">
        <f ca="1">AI61*'All Stock'!AF117</f>
        <v>0.21834294827733772</v>
      </c>
      <c r="AJ75" s="393">
        <f ca="1">AJ61*'All Stock'!AG117</f>
        <v>0.41760206767057184</v>
      </c>
      <c r="AK75" s="393">
        <f ca="1">AK61*'All Stock'!AH117</f>
        <v>1.1312833213244129</v>
      </c>
      <c r="AL75" s="393">
        <f ca="1">AL61*'All Stock'!AI117</f>
        <v>2.9849889155095257E-2</v>
      </c>
      <c r="AM75" s="393">
        <f ca="1">AM61*'All Stock'!AJ117</f>
        <v>0.12195834393359906</v>
      </c>
      <c r="AN75" s="393">
        <f ca="1">AN61*'All Stock'!AK117</f>
        <v>7.6297768711818217E-2</v>
      </c>
      <c r="AO75" s="393">
        <f ca="1">AO61*'All Stock'!AL117</f>
        <v>9.7816009334499632E-2</v>
      </c>
      <c r="AP75" s="393">
        <f ca="1">AP61*'All Stock'!AM117</f>
        <v>0.51096271314968789</v>
      </c>
      <c r="AQ75" s="393">
        <f ca="1">AQ61*'All Stock'!AN117</f>
        <v>6.9375511039056356E-2</v>
      </c>
    </row>
    <row r="76" spans="1:43">
      <c r="A76"/>
      <c r="B76"/>
      <c r="C76" s="488"/>
      <c r="D76" s="488"/>
      <c r="E76"/>
      <c r="G76" s="393"/>
      <c r="H76" s="393"/>
      <c r="I76" s="393"/>
      <c r="J76" s="393"/>
      <c r="K76" s="393"/>
      <c r="L76" s="393"/>
      <c r="M76" s="393"/>
      <c r="N76" s="393"/>
      <c r="O76" s="393"/>
      <c r="P76" s="393"/>
      <c r="Q76" s="393"/>
      <c r="R76" s="777"/>
      <c r="S76" s="393"/>
      <c r="T76" s="393"/>
      <c r="U76" s="393"/>
      <c r="V76" s="393"/>
      <c r="W76" s="393"/>
      <c r="X76" s="393"/>
      <c r="Y76" s="393"/>
      <c r="Z76" s="393"/>
      <c r="AA76" s="393"/>
      <c r="AB76" s="393"/>
      <c r="AC76" s="393"/>
      <c r="AD76" s="393"/>
      <c r="AE76" s="393"/>
      <c r="AF76" s="393"/>
      <c r="AG76" s="393"/>
      <c r="AH76" s="393"/>
      <c r="AI76" s="393"/>
      <c r="AJ76" s="393"/>
      <c r="AK76" s="393"/>
      <c r="AL76" s="393"/>
      <c r="AM76" s="393"/>
      <c r="AN76" s="393"/>
      <c r="AO76" s="393"/>
      <c r="AP76" s="393"/>
      <c r="AQ76" s="393"/>
    </row>
    <row r="77" spans="1:43">
      <c r="A77"/>
      <c r="B77"/>
      <c r="C77" s="488"/>
      <c r="D77" s="488"/>
      <c r="E77" s="542" t="s">
        <v>58</v>
      </c>
      <c r="G77" s="767">
        <f ca="1">SUM(G70:G75)</f>
        <v>25.260625425876338</v>
      </c>
      <c r="H77" s="767">
        <f t="shared" ref="H77:W77" ca="1" si="25">SUM(H70:H75)</f>
        <v>17.597778970040679</v>
      </c>
      <c r="I77" s="767">
        <f t="shared" ca="1" si="25"/>
        <v>5.8936385672910703</v>
      </c>
      <c r="J77" s="767">
        <f t="shared" ca="1" si="25"/>
        <v>29.566389734906693</v>
      </c>
      <c r="K77" s="767">
        <f t="shared" ca="1" si="25"/>
        <v>0.62006274261014682</v>
      </c>
      <c r="L77" s="767">
        <f t="shared" ca="1" si="25"/>
        <v>35.095424883430795</v>
      </c>
      <c r="M77" s="767">
        <f ca="1">SUM(M70:M75)</f>
        <v>300.97452113801154</v>
      </c>
      <c r="N77" s="767">
        <f t="shared" ca="1" si="25"/>
        <v>14.135346451259171</v>
      </c>
      <c r="O77" s="767">
        <f t="shared" ca="1" si="25"/>
        <v>7.8820410611052036</v>
      </c>
      <c r="P77" s="767">
        <f t="shared" ca="1" si="25"/>
        <v>109.57978060988667</v>
      </c>
      <c r="Q77" s="767">
        <f t="shared" ca="1" si="25"/>
        <v>22.003899382005102</v>
      </c>
      <c r="R77" s="767">
        <f ca="1">SUM(R70:R75)</f>
        <v>134.42606624726534</v>
      </c>
      <c r="S77" s="767">
        <f t="shared" ca="1" si="25"/>
        <v>28.940246648808404</v>
      </c>
      <c r="T77" s="767">
        <f t="shared" ca="1" si="25"/>
        <v>7.5768852511561375</v>
      </c>
      <c r="U77" s="767">
        <f t="shared" ca="1" si="25"/>
        <v>16.274323558943532</v>
      </c>
      <c r="V77" s="767">
        <f t="shared" ca="1" si="25"/>
        <v>1.44171585480997</v>
      </c>
      <c r="W77" s="767">
        <f t="shared" ca="1" si="25"/>
        <v>2.3640904854872264</v>
      </c>
      <c r="X77" s="767">
        <f ca="1">SUM(X70:X75)</f>
        <v>294.72896621037188</v>
      </c>
      <c r="Y77" s="767">
        <f t="shared" ref="Y77:AQ77" ca="1" si="26">SUM(Y70:Y75)</f>
        <v>8.440874964508339</v>
      </c>
      <c r="Z77" s="767">
        <f t="shared" ca="1" si="26"/>
        <v>1.9395844886320341</v>
      </c>
      <c r="AA77" s="767">
        <f t="shared" ca="1" si="26"/>
        <v>8.6245864517393294</v>
      </c>
      <c r="AB77" s="775">
        <f t="shared" ca="1" si="26"/>
        <v>5.476354418709007E-2</v>
      </c>
      <c r="AC77" s="767">
        <f t="shared" ca="1" si="26"/>
        <v>29.860317214462615</v>
      </c>
      <c r="AD77" s="767">
        <f t="shared" ca="1" si="26"/>
        <v>16.038907578621373</v>
      </c>
      <c r="AE77" s="767">
        <f t="shared" ca="1" si="26"/>
        <v>88.919894369800105</v>
      </c>
      <c r="AF77" s="767">
        <f t="shared" ca="1" si="26"/>
        <v>2.3722007199173278</v>
      </c>
      <c r="AG77" s="767">
        <f t="shared" ca="1" si="26"/>
        <v>16.720056632619354</v>
      </c>
      <c r="AH77" s="767">
        <f t="shared" ca="1" si="26"/>
        <v>47.203725303308715</v>
      </c>
      <c r="AI77" s="767">
        <f t="shared" ca="1" si="26"/>
        <v>6.7893058005184317</v>
      </c>
      <c r="AJ77" s="767">
        <f t="shared" ca="1" si="26"/>
        <v>8.7478652141021378</v>
      </c>
      <c r="AK77" s="767">
        <f t="shared" ca="1" si="26"/>
        <v>43.724668965501643</v>
      </c>
      <c r="AL77" s="767">
        <f t="shared" ca="1" si="26"/>
        <v>1.1451124020252561</v>
      </c>
      <c r="AM77" s="767">
        <f t="shared" ca="1" si="26"/>
        <v>2.3233744799308522</v>
      </c>
      <c r="AN77" s="767">
        <f t="shared" ca="1" si="26"/>
        <v>1.4574327481617182</v>
      </c>
      <c r="AO77" s="767">
        <f t="shared" ca="1" si="26"/>
        <v>1.3453436474576166</v>
      </c>
      <c r="AP77" s="767">
        <f t="shared" ca="1" si="26"/>
        <v>9.7341246989592491</v>
      </c>
      <c r="AQ77" s="767">
        <f t="shared" ca="1" si="26"/>
        <v>1.3216421827444866</v>
      </c>
    </row>
    <row r="78" spans="1:43">
      <c r="A78"/>
      <c r="B78"/>
      <c r="C78" s="488"/>
      <c r="D78" s="488"/>
      <c r="E78" s="542" t="s">
        <v>67</v>
      </c>
      <c r="G78" s="767">
        <f ca="1">SUMPRODUCT('TechHeat-RES'!F5:F14,'TechHeat-RES'!F93:F102,'TechHeat-RES'!F137:F146,'TechHeat-RES'!F182:F191)</f>
        <v>29.049719239757785</v>
      </c>
      <c r="H78" s="767">
        <f ca="1">SUMPRODUCT('TechHeat-RES'!G5:G14,'TechHeat-RES'!G93:G102,'TechHeat-RES'!G137:G146,'TechHeat-RES'!G182:G191)</f>
        <v>20.237445815546785</v>
      </c>
      <c r="I78" s="767">
        <f ca="1">SUMPRODUCT('TechHeat-RES'!H5:H14,'TechHeat-RES'!H93:H102,'TechHeat-RES'!H137:H146,'TechHeat-RES'!H182:H191)</f>
        <v>6.7776843523847301</v>
      </c>
      <c r="J78" s="767">
        <f ca="1">SUMPRODUCT('TechHeat-RES'!I5:I14,'TechHeat-RES'!I93:I102,'TechHeat-RES'!I137:I146,'TechHeat-RES'!I182:I191)</f>
        <v>34.00134819514269</v>
      </c>
      <c r="K78" s="767">
        <f ca="1">SUMPRODUCT('TechHeat-RES'!J5:J14,'TechHeat-RES'!J93:J102,'TechHeat-RES'!J137:J146,'TechHeat-RES'!J182:J191)</f>
        <v>0.7130721540016689</v>
      </c>
      <c r="L78" s="767">
        <f ca="1">SUMPRODUCT('TechHeat-RES'!K5:K14,'TechHeat-RES'!K93:K102,'TechHeat-RES'!K137:K146,'TechHeat-RES'!K182:K191)</f>
        <v>40.359738615945403</v>
      </c>
      <c r="M78" s="767">
        <f ca="1">SUMPRODUCT('TechHeat-RES'!L5:L14,'TechHeat-RES'!L93:L102,'TechHeat-RES'!L137:L146,'TechHeat-RES'!L182:L191)</f>
        <v>346.12069930871337</v>
      </c>
      <c r="N78" s="767">
        <f ca="1">SUMPRODUCT('TechHeat-RES'!M5:M14,'TechHeat-RES'!M93:M102,'TechHeat-RES'!M137:M146,'TechHeat-RES'!M182:M191)</f>
        <v>16.255648418948049</v>
      </c>
      <c r="O78" s="767">
        <f ca="1">SUMPRODUCT('TechHeat-RES'!N5:N14,'TechHeat-RES'!N93:N102,'TechHeat-RES'!N137:N146,'TechHeat-RES'!N182:N191)</f>
        <v>9.0643472202709834</v>
      </c>
      <c r="P78" s="767">
        <f ca="1">SUMPRODUCT('TechHeat-RES'!O5:O14,'TechHeat-RES'!O93:O102,'TechHeat-RES'!O137:O146,'TechHeat-RES'!O182:O191)</f>
        <v>126.01674770136967</v>
      </c>
      <c r="Q78" s="767">
        <f ca="1">SUMPRODUCT('TechHeat-RES'!P5:P14,'TechHeat-RES'!P93:P102,'TechHeat-RES'!P137:P146,'TechHeat-RES'!P182:P191)</f>
        <v>25.304484289305865</v>
      </c>
      <c r="R78" s="767">
        <f ca="1">SUMPRODUCT('TechHeat-RES'!Q5:Q14,'TechHeat-RES'!Q93:Q102,'TechHeat-RES'!Q137:Q146,'TechHeat-RES'!Q182:Q191)</f>
        <v>154.58997618435512</v>
      </c>
      <c r="S78" s="767">
        <f ca="1">SUMPRODUCT('TechHeat-RES'!R5:R14,'TechHeat-RES'!R93:R102,'TechHeat-RES'!R137:R146,'TechHeat-RES'!R182:R191)</f>
        <v>33.281283646129665</v>
      </c>
      <c r="T78" s="767">
        <f ca="1">SUMPRODUCT('TechHeat-RES'!S5:S14,'TechHeat-RES'!S93:S102,'TechHeat-RES'!S137:S146,'TechHeat-RES'!S182:S191)</f>
        <v>8.7134180388295572</v>
      </c>
      <c r="U78" s="767">
        <f ca="1">SUMPRODUCT('TechHeat-RES'!T5:T14,'TechHeat-RES'!T93:T102,'TechHeat-RES'!T137:T146,'TechHeat-RES'!T182:T191)</f>
        <v>18.715472092785063</v>
      </c>
      <c r="V78" s="767">
        <f ca="1">SUMPRODUCT('TechHeat-RES'!U5:U14,'TechHeat-RES'!U93:U102,'TechHeat-RES'!U137:U146,'TechHeat-RES'!U182:U191)</f>
        <v>1.6579732330314656</v>
      </c>
      <c r="W78" s="767">
        <f ca="1">SUMPRODUCT('TechHeat-RES'!V5:V14,'TechHeat-RES'!V93:V102,'TechHeat-RES'!V137:V146,'TechHeat-RES'!V182:V191)</f>
        <v>2.7187040583103101</v>
      </c>
      <c r="X78" s="767">
        <f ca="1">SUMPRODUCT('TechHeat-RES'!W5:W14,'TechHeat-RES'!W93:W102,'TechHeat-RES'!W137:W146,'TechHeat-RES'!W182:W191)</f>
        <v>338.93831114192767</v>
      </c>
      <c r="Y78" s="767">
        <f ca="1">SUMPRODUCT('TechHeat-RES'!X5:X14,'TechHeat-RES'!X93:X102,'TechHeat-RES'!X137:X146,'TechHeat-RES'!X182:X191)</f>
        <v>9.7070062091845877</v>
      </c>
      <c r="Z78" s="767">
        <f ca="1">SUMPRODUCT('TechHeat-RES'!Y5:Y14,'TechHeat-RES'!Y93:Y102,'TechHeat-RES'!Y137:Y146,'TechHeat-RES'!Y182:Y191)</f>
        <v>2.2305221619268396</v>
      </c>
      <c r="AA78" s="767">
        <f ca="1">SUMPRODUCT('TechHeat-RES'!Z5:Z14,'TechHeat-RES'!Z93:Z102,'TechHeat-RES'!Z137:Z146,'TechHeat-RES'!Z182:Z191)</f>
        <v>9.9182744195002268</v>
      </c>
      <c r="AB78" s="767">
        <f ca="1">SUMPRODUCT('TechHeat-RES'!AA5:AA14,'TechHeat-RES'!AA93:AA102,'TechHeat-RES'!AA137:AA146,'TechHeat-RES'!AA182:AA191)</f>
        <v>6.2978075815153564E-2</v>
      </c>
      <c r="AC78" s="767">
        <f ca="1">SUMPRODUCT('TechHeat-RES'!AB5:AB14,'TechHeat-RES'!AB93:AB102,'TechHeat-RES'!AB137:AB146,'TechHeat-RES'!AB182:AB191)</f>
        <v>34.33936479663199</v>
      </c>
      <c r="AD78" s="767">
        <f ca="1">SUMPRODUCT('TechHeat-RES'!AC5:AC14,'TechHeat-RES'!AC93:AC102,'TechHeat-RES'!AC137:AC146,'TechHeat-RES'!AC182:AC191)</f>
        <v>18.444743715414575</v>
      </c>
      <c r="AE78" s="767">
        <f ca="1">SUMPRODUCT('TechHeat-RES'!AD5:AD14,'TechHeat-RES'!AD93:AD102,'TechHeat-RES'!AD137:AD146,'TechHeat-RES'!AD182:AD191)</f>
        <v>102.25787852527012</v>
      </c>
      <c r="AF78" s="767">
        <f ca="1">SUMPRODUCT('TechHeat-RES'!AE5:AE14,'TechHeat-RES'!AE93:AE102,'TechHeat-RES'!AE137:AE146,'TechHeat-RES'!AE182:AE191)</f>
        <v>2.7280308279049263</v>
      </c>
      <c r="AG78" s="767">
        <f ca="1">SUMPRODUCT('TechHeat-RES'!AF5:AF14,'TechHeat-RES'!AF93:AF102,'TechHeat-RES'!AF137:AF146,'TechHeat-RES'!AF182:AF191)</f>
        <v>19.228065127512252</v>
      </c>
      <c r="AH78" s="767">
        <f ca="1">SUMPRODUCT('TechHeat-RES'!AG5:AG14,'TechHeat-RES'!AG93:AG102,'TechHeat-RES'!AG137:AG146,'TechHeat-RES'!AG182:AG191)</f>
        <v>54.284284098805024</v>
      </c>
      <c r="AI78" s="767">
        <f ca="1">SUMPRODUCT('TechHeat-RES'!AH5:AH14,'TechHeat-RES'!AH93:AH102,'TechHeat-RES'!AH137:AH146,'TechHeat-RES'!AH182:AH191)</f>
        <v>7.807701670596197</v>
      </c>
      <c r="AJ78" s="767">
        <f ca="1">SUMPRODUCT('TechHeat-RES'!AI5:AI14,'TechHeat-RES'!AI93:AI102,'TechHeat-RES'!AI137:AI146,'TechHeat-RES'!AI182:AI191)</f>
        <v>10.060044996217457</v>
      </c>
      <c r="AK78" s="767">
        <f ca="1">SUMPRODUCT('TechHeat-RES'!AJ5:AJ14,'TechHeat-RES'!AJ93:AJ102,'TechHeat-RES'!AJ137:AJ146,'TechHeat-RES'!AJ182:AJ191)</f>
        <v>50.283369310326897</v>
      </c>
      <c r="AL78" s="767">
        <f ca="1">SUMPRODUCT('TechHeat-RES'!AK5:AK14,'TechHeat-RES'!AK93:AK102,'TechHeat-RES'!AK137:AK146,'TechHeat-RES'!AK182:AK191)</f>
        <v>1.3168792623290444</v>
      </c>
      <c r="AM78" s="767">
        <f ca="1">SUMPRODUCT('TechHeat-RES'!AL5:AL14,'TechHeat-RES'!AL93:AL102,'TechHeat-RES'!AL137:AL146,'TechHeat-RES'!AL182:AL191)</f>
        <v>2.6718806519204796</v>
      </c>
      <c r="AN78" s="767">
        <f ca="1">SUMPRODUCT('TechHeat-RES'!AM5:AM14,'TechHeat-RES'!AM93:AM102,'TechHeat-RES'!AM137:AM146,'TechHeat-RES'!AM182:AM191)</f>
        <v>1.676047660385976</v>
      </c>
      <c r="AO78" s="767">
        <f ca="1">SUMPRODUCT('TechHeat-RES'!AN5:AN14,'TechHeat-RES'!AN93:AN102,'TechHeat-RES'!AN137:AN146,'TechHeat-RES'!AN182:AN191)</f>
        <v>1.5471451945762591</v>
      </c>
      <c r="AP78" s="767">
        <f ca="1">SUMPRODUCT('TechHeat-RES'!AO5:AO14,'TechHeat-RES'!AO93:AO102,'TechHeat-RES'!AO137:AO146,'TechHeat-RES'!AO182:AO191)</f>
        <v>11.194243403803137</v>
      </c>
      <c r="AQ78" s="767">
        <f ca="1">SUMPRODUCT('TechHeat-RES'!AP5:AP14,'TechHeat-RES'!AP93:AP102,'TechHeat-RES'!AP137:AP146,'TechHeat-RES'!AP182:AP191)</f>
        <v>1.5198885101561597</v>
      </c>
    </row>
    <row r="79" spans="1:43">
      <c r="A79"/>
      <c r="B79"/>
      <c r="C79" s="488"/>
      <c r="D79" s="488"/>
      <c r="E79"/>
      <c r="G79" s="393"/>
      <c r="H79" s="393"/>
      <c r="I79" s="393"/>
      <c r="J79" s="393"/>
      <c r="K79" s="393"/>
      <c r="L79" s="393"/>
      <c r="M79" s="393"/>
      <c r="N79" s="393"/>
      <c r="O79" s="393"/>
      <c r="P79" s="393"/>
      <c r="Q79" s="393"/>
      <c r="R79" s="393"/>
      <c r="S79" s="393"/>
      <c r="T79" s="393"/>
      <c r="U79" s="393"/>
      <c r="V79" s="393"/>
      <c r="W79" s="393"/>
      <c r="X79" s="393"/>
      <c r="Y79" s="393"/>
      <c r="Z79" s="393"/>
      <c r="AA79" s="393"/>
      <c r="AB79" s="393"/>
      <c r="AC79" s="393"/>
      <c r="AD79" s="393"/>
      <c r="AE79" s="393"/>
      <c r="AF79" s="393"/>
      <c r="AG79" s="393"/>
      <c r="AH79" s="393"/>
      <c r="AI79" s="393"/>
      <c r="AJ79" s="393"/>
      <c r="AK79" s="393"/>
      <c r="AL79" s="393"/>
      <c r="AM79" s="393"/>
      <c r="AN79" s="393"/>
      <c r="AO79" s="393"/>
      <c r="AP79" s="393"/>
      <c r="AQ79" s="393"/>
    </row>
    <row r="80" spans="1:43">
      <c r="A80"/>
      <c r="B80"/>
      <c r="C80" s="488"/>
      <c r="D80" s="488"/>
      <c r="E80"/>
      <c r="G80" s="393">
        <f ca="1">G47*'All Stock'!D100</f>
        <v>23.521383467498872</v>
      </c>
      <c r="H80" s="393">
        <f ca="1">H47*'All Stock'!E100</f>
        <v>31.955517561698446</v>
      </c>
      <c r="I80" s="393">
        <f ca="1">I47*'All Stock'!F100</f>
        <v>2.8965089187419735</v>
      </c>
      <c r="J80" s="393">
        <f ca="1">J47*'All Stock'!G100</f>
        <v>20.328844567002321</v>
      </c>
      <c r="K80" s="393">
        <f ca="1">K47*'All Stock'!H100</f>
        <v>0.10990531934309543</v>
      </c>
      <c r="L80" s="393">
        <f ca="1">L47*'All Stock'!I100</f>
        <v>20.586738919677671</v>
      </c>
      <c r="M80" s="393">
        <f ca="1">M47*'All Stock'!J100</f>
        <v>173.10305632307046</v>
      </c>
      <c r="N80" s="393">
        <f ca="1">N47*'All Stock'!K100</f>
        <v>28.021060557689555</v>
      </c>
      <c r="O80" s="393">
        <f ca="1">O47*'All Stock'!L100</f>
        <v>1.7842813269319848</v>
      </c>
      <c r="P80" s="393">
        <f ca="1">P47*'All Stock'!M100</f>
        <v>7.5238302636881293</v>
      </c>
      <c r="Q80" s="393">
        <f ca="1">Q47*'All Stock'!N100</f>
        <v>15.814830826921868</v>
      </c>
      <c r="R80" s="393">
        <f ca="1">R47*'All Stock'!O100</f>
        <v>162.06887689400315</v>
      </c>
      <c r="S80" s="393">
        <f ca="1">S47*'All Stock'!P100</f>
        <v>3.2921810281708725</v>
      </c>
      <c r="T80" s="393">
        <f ca="1">T47*'All Stock'!Q100</f>
        <v>5.2349733164755401</v>
      </c>
      <c r="U80" s="393">
        <f ca="1">U47*'All Stock'!R100</f>
        <v>20.20354710362458</v>
      </c>
      <c r="V80" s="393">
        <f ca="1">V47*'All Stock'!S100</f>
        <v>7.2105519691562909</v>
      </c>
      <c r="W80" s="393">
        <f ca="1">W47*'All Stock'!T100</f>
        <v>1.201290069895613</v>
      </c>
      <c r="X80" s="393">
        <f ca="1">X47*'All Stock'!U100</f>
        <v>37.006335048774254</v>
      </c>
      <c r="Y80" s="393">
        <f ca="1">Y47*'All Stock'!V100</f>
        <v>4.3139396592874837</v>
      </c>
      <c r="Z80" s="393">
        <f ca="1">Z47*'All Stock'!W100</f>
        <v>1.8341450819161067</v>
      </c>
      <c r="AA80" s="393">
        <f ca="1">AA47*'All Stock'!X100</f>
        <v>3.2551689190704596</v>
      </c>
      <c r="AB80" s="393">
        <f ca="1">AB47*'All Stock'!Y100</f>
        <v>1.0439703015096989E-2</v>
      </c>
      <c r="AC80" s="393">
        <f ca="1">AC47*'All Stock'!Z100</f>
        <v>14.186945250109448</v>
      </c>
      <c r="AD80" s="393">
        <f ca="1">AD47*'All Stock'!AA100</f>
        <v>6.8195080726885067</v>
      </c>
      <c r="AE80" s="393">
        <f ca="1">AE47*'All Stock'!AB100</f>
        <v>70.730506832773429</v>
      </c>
      <c r="AF80" s="393">
        <f ca="1">AF47*'All Stock'!AC100</f>
        <v>1.1504714983481956</v>
      </c>
      <c r="AG80" s="393">
        <f ca="1">AG47*'All Stock'!AD100</f>
        <v>12.265758801535046</v>
      </c>
      <c r="AH80" s="393">
        <f ca="1">AH47*'All Stock'!AE100</f>
        <v>38.007813395822403</v>
      </c>
      <c r="AI80" s="393">
        <f ca="1">AI47*'All Stock'!AF100</f>
        <v>4.7919549148546441</v>
      </c>
      <c r="AJ80" s="393">
        <f ca="1">AJ47*'All Stock'!AG100</f>
        <v>8.3277645688609105</v>
      </c>
      <c r="AK80" s="393">
        <f ca="1">AK47*'All Stock'!AH100</f>
        <v>124.2090449271027</v>
      </c>
      <c r="AL80" s="393">
        <f ca="1">AL47*'All Stock'!AI100</f>
        <v>0.16330925486089001</v>
      </c>
      <c r="AM80" s="393">
        <f ca="1">AM47*'All Stock'!AJ100</f>
        <v>0.84077020967551719</v>
      </c>
      <c r="AN80" s="393">
        <f ca="1">AN47*'All Stock'!AK100</f>
        <v>0.30993257353068326</v>
      </c>
      <c r="AO80" s="393">
        <f ca="1">AO47*'All Stock'!AL100</f>
        <v>0.50869743462747863</v>
      </c>
      <c r="AP80" s="393">
        <f ca="1">AP47*'All Stock'!AM100</f>
        <v>3.5225324780167053</v>
      </c>
      <c r="AQ80" s="393">
        <f ca="1">AQ47*'All Stock'!AN100</f>
        <v>0.47826873571201534</v>
      </c>
    </row>
    <row r="81" spans="1:43">
      <c r="A81"/>
      <c r="B81"/>
      <c r="C81" s="488"/>
      <c r="D81" s="488"/>
      <c r="E81"/>
      <c r="G81" s="393">
        <f ca="1">G50*'All Stock'!D101</f>
        <v>26.430331705598444</v>
      </c>
      <c r="H81" s="393">
        <f ca="1">H50*'All Stock'!E101</f>
        <v>17.753065304119094</v>
      </c>
      <c r="I81" s="393">
        <f ca="1">I50*'All Stock'!F101</f>
        <v>5.9962194496795016</v>
      </c>
      <c r="J81" s="393">
        <f ca="1">J50*'All Stock'!G101</f>
        <v>22.842963545909026</v>
      </c>
      <c r="K81" s="393">
        <f ca="1">K50*'All Stock'!H101</f>
        <v>0.3451473151560957</v>
      </c>
      <c r="L81" s="393">
        <f ca="1">L50*'All Stock'!I101</f>
        <v>23.989491246794174</v>
      </c>
      <c r="M81" s="393">
        <f ca="1">M50*'All Stock'!J101</f>
        <v>226.9661826523367</v>
      </c>
      <c r="N81" s="393">
        <f ca="1">N50*'All Stock'!K101</f>
        <v>19.770961685153157</v>
      </c>
      <c r="O81" s="393">
        <f ca="1">O50*'All Stock'!L101</f>
        <v>2.6377176640394748</v>
      </c>
      <c r="P81" s="393">
        <f ca="1">P50*'All Stock'!M101</f>
        <v>12.198484474379248</v>
      </c>
      <c r="Q81" s="393">
        <f ca="1">Q50*'All Stock'!N101</f>
        <v>26.738519441822529</v>
      </c>
      <c r="R81" s="393">
        <f ca="1">R50*'All Stock'!O101</f>
        <v>109.61578992916181</v>
      </c>
      <c r="S81" s="393">
        <f ca="1">S50*'All Stock'!P101</f>
        <v>11.981431150915066</v>
      </c>
      <c r="T81" s="393">
        <f ca="1">T50*'All Stock'!Q101</f>
        <v>9.9809629213344522</v>
      </c>
      <c r="U81" s="393">
        <f ca="1">U50*'All Stock'!R101</f>
        <v>27.220678923804449</v>
      </c>
      <c r="V81" s="393">
        <f ca="1">V50*'All Stock'!S101</f>
        <v>6.6273373632590218</v>
      </c>
      <c r="W81" s="393">
        <f ca="1">W50*'All Stock'!T101</f>
        <v>2.0310503628336343</v>
      </c>
      <c r="X81" s="393">
        <f ca="1">X50*'All Stock'!U101</f>
        <v>49.514322709813001</v>
      </c>
      <c r="Y81" s="393">
        <f ca="1">Y50*'All Stock'!V101</f>
        <v>4.6101832121414565</v>
      </c>
      <c r="Z81" s="393">
        <f ca="1">Z50*'All Stock'!W101</f>
        <v>1.7147753622483606</v>
      </c>
      <c r="AA81" s="393">
        <f ca="1">AA50*'All Stock'!X101</f>
        <v>3.8938334311563785</v>
      </c>
      <c r="AB81" s="393">
        <f ca="1">AB50*'All Stock'!Y101</f>
        <v>1.0931714230329993E-2</v>
      </c>
      <c r="AC81" s="393">
        <f ca="1">AC50*'All Stock'!Z101</f>
        <v>13.098603890028</v>
      </c>
      <c r="AD81" s="393">
        <f ca="1">AD50*'All Stock'!AA101</f>
        <v>9.0322518744239346</v>
      </c>
      <c r="AE81" s="393">
        <f ca="1">AE50*'All Stock'!AB101</f>
        <v>57.712341544030338</v>
      </c>
      <c r="AF81" s="393">
        <f ca="1">AF50*'All Stock'!AC101</f>
        <v>1.4261348259269926</v>
      </c>
      <c r="AG81" s="393">
        <f ca="1">AG50*'All Stock'!AD101</f>
        <v>32.478701257696571</v>
      </c>
      <c r="AH81" s="393">
        <f ca="1">AH50*'All Stock'!AE101</f>
        <v>34.316618094174324</v>
      </c>
      <c r="AI81" s="393">
        <f ca="1">AI50*'All Stock'!AF101</f>
        <v>3.2030868189918262</v>
      </c>
      <c r="AJ81" s="393">
        <f ca="1">AJ50*'All Stock'!AG101</f>
        <v>9.2158798108549718</v>
      </c>
      <c r="AK81" s="393">
        <f ca="1">AK50*'All Stock'!AH101</f>
        <v>81.632405374602499</v>
      </c>
      <c r="AL81" s="393">
        <f ca="1">AL50*'All Stock'!AI101</f>
        <v>0.59434113029626467</v>
      </c>
      <c r="AM81" s="393">
        <f ca="1">AM50*'All Stock'!AJ101</f>
        <v>1.9195708827360694</v>
      </c>
      <c r="AN81" s="393">
        <f ca="1">AN50*'All Stock'!AK101</f>
        <v>0.70761016139066413</v>
      </c>
      <c r="AO81" s="393">
        <f ca="1">AO50*'All Stock'!AL101</f>
        <v>1.0530820160015799</v>
      </c>
      <c r="AP81" s="393">
        <f ca="1">AP50*'All Stock'!AM101</f>
        <v>8.0423291649481694</v>
      </c>
      <c r="AQ81" s="393">
        <f ca="1">AQ50*'All Stock'!AN101</f>
        <v>1.0919401384952649</v>
      </c>
    </row>
    <row r="82" spans="1:43">
      <c r="A82"/>
      <c r="B82"/>
      <c r="C82" s="488"/>
      <c r="D82" s="488"/>
      <c r="E82"/>
      <c r="G82" s="393"/>
      <c r="H82" s="393"/>
      <c r="I82" s="393"/>
      <c r="J82" s="393"/>
      <c r="K82" s="393"/>
      <c r="L82" s="393"/>
      <c r="M82" s="393"/>
      <c r="N82" s="393"/>
      <c r="O82" s="393"/>
      <c r="P82" s="393"/>
      <c r="Q82" s="393"/>
      <c r="R82" s="393"/>
      <c r="S82" s="393"/>
      <c r="T82" s="393"/>
      <c r="U82" s="393"/>
      <c r="V82" s="393"/>
      <c r="W82" s="393"/>
      <c r="X82" s="393"/>
      <c r="Y82" s="393"/>
      <c r="Z82" s="393"/>
      <c r="AA82" s="393"/>
      <c r="AB82" s="393"/>
      <c r="AC82" s="393"/>
      <c r="AD82" s="393"/>
      <c r="AE82" s="393"/>
      <c r="AF82" s="393"/>
      <c r="AG82" s="393"/>
      <c r="AH82" s="393"/>
      <c r="AI82" s="393"/>
      <c r="AJ82" s="393"/>
      <c r="AK82" s="393"/>
      <c r="AL82" s="393"/>
      <c r="AM82" s="393"/>
      <c r="AN82" s="393"/>
      <c r="AO82" s="393"/>
      <c r="AP82" s="393"/>
      <c r="AQ82" s="393"/>
    </row>
    <row r="83" spans="1:43">
      <c r="A83"/>
      <c r="B83"/>
      <c r="C83" s="488"/>
      <c r="E83" s="542" t="s">
        <v>904</v>
      </c>
      <c r="G83" s="767">
        <f ca="1">SUM(G80:G81)</f>
        <v>49.951715173097313</v>
      </c>
      <c r="H83" s="767">
        <f t="shared" ref="H83:AQ83" ca="1" si="27">SUM(H80:H81)</f>
        <v>49.70858286581754</v>
      </c>
      <c r="I83" s="767">
        <f t="shared" ca="1" si="27"/>
        <v>8.8927283684214746</v>
      </c>
      <c r="J83" s="767">
        <f t="shared" ca="1" si="27"/>
        <v>43.17180811291135</v>
      </c>
      <c r="K83" s="767">
        <f t="shared" ca="1" si="27"/>
        <v>0.45505263449919114</v>
      </c>
      <c r="L83" s="767">
        <f t="shared" ca="1" si="27"/>
        <v>44.576230166471845</v>
      </c>
      <c r="M83" s="767">
        <f t="shared" ca="1" si="27"/>
        <v>400.06923897540719</v>
      </c>
      <c r="N83" s="767">
        <f t="shared" ca="1" si="27"/>
        <v>47.792022242842712</v>
      </c>
      <c r="O83" s="767">
        <f t="shared" ca="1" si="27"/>
        <v>4.4219989909714599</v>
      </c>
      <c r="P83" s="767">
        <f t="shared" ca="1" si="27"/>
        <v>19.722314738067375</v>
      </c>
      <c r="Q83" s="767">
        <f t="shared" ca="1" si="27"/>
        <v>42.553350268744396</v>
      </c>
      <c r="R83" s="767">
        <f t="shared" ca="1" si="27"/>
        <v>271.68466682316495</v>
      </c>
      <c r="S83" s="767">
        <f t="shared" ca="1" si="27"/>
        <v>15.273612179085939</v>
      </c>
      <c r="T83" s="767">
        <f t="shared" ca="1" si="27"/>
        <v>15.215936237809991</v>
      </c>
      <c r="U83" s="767">
        <f t="shared" ca="1" si="27"/>
        <v>47.424226027429029</v>
      </c>
      <c r="V83" s="767">
        <f t="shared" ca="1" si="27"/>
        <v>13.837889332415312</v>
      </c>
      <c r="W83" s="767">
        <f t="shared" ca="1" si="27"/>
        <v>3.2323404327292473</v>
      </c>
      <c r="X83" s="767">
        <f t="shared" ca="1" si="27"/>
        <v>86.520657758587248</v>
      </c>
      <c r="Y83" s="767">
        <f t="shared" ca="1" si="27"/>
        <v>8.9241228714289402</v>
      </c>
      <c r="Z83" s="767">
        <f t="shared" ca="1" si="27"/>
        <v>3.5489204441644673</v>
      </c>
      <c r="AA83" s="767">
        <f t="shared" ca="1" si="27"/>
        <v>7.1490023502268381</v>
      </c>
      <c r="AB83" s="767">
        <f t="shared" ca="1" si="27"/>
        <v>2.1371417245426981E-2</v>
      </c>
      <c r="AC83" s="767">
        <f t="shared" ca="1" si="27"/>
        <v>27.285549140137448</v>
      </c>
      <c r="AD83" s="767">
        <f t="shared" ca="1" si="27"/>
        <v>15.851759947112441</v>
      </c>
      <c r="AE83" s="767">
        <f t="shared" ca="1" si="27"/>
        <v>128.44284837680377</v>
      </c>
      <c r="AF83" s="767">
        <f t="shared" ca="1" si="27"/>
        <v>2.576606324275188</v>
      </c>
      <c r="AG83" s="767">
        <f t="shared" ca="1" si="27"/>
        <v>44.744460059231614</v>
      </c>
      <c r="AH83" s="767">
        <f t="shared" ca="1" si="27"/>
        <v>72.324431489996726</v>
      </c>
      <c r="AI83" s="767">
        <f t="shared" ca="1" si="27"/>
        <v>7.9950417338464703</v>
      </c>
      <c r="AJ83" s="767">
        <f t="shared" ca="1" si="27"/>
        <v>17.543644379715882</v>
      </c>
      <c r="AK83" s="767">
        <f t="shared" ca="1" si="27"/>
        <v>205.84145030170521</v>
      </c>
      <c r="AL83" s="767">
        <f t="shared" ca="1" si="27"/>
        <v>0.75765038515715466</v>
      </c>
      <c r="AM83" s="767">
        <f t="shared" ca="1" si="27"/>
        <v>2.7603410924115863</v>
      </c>
      <c r="AN83" s="767">
        <f t="shared" ca="1" si="27"/>
        <v>1.0175427349213475</v>
      </c>
      <c r="AO83" s="767">
        <f t="shared" ca="1" si="27"/>
        <v>1.5617794506290585</v>
      </c>
      <c r="AP83" s="767">
        <f t="shared" ca="1" si="27"/>
        <v>11.564861642964875</v>
      </c>
      <c r="AQ83" s="767">
        <f t="shared" ca="1" si="27"/>
        <v>1.5702088742072804</v>
      </c>
    </row>
    <row r="84" spans="1:43">
      <c r="A84"/>
      <c r="B84"/>
      <c r="C84" s="488"/>
      <c r="E84" s="542" t="s">
        <v>67</v>
      </c>
      <c r="G84" s="767">
        <f ca="1">SUMPRODUCT('TechHeat-RES'!F15:F24,'TechHeat-RES'!F103:F112,'TechHeat-RES'!F147:F156,'TechHeat-RES'!F192:F201)</f>
        <v>57.444472449061912</v>
      </c>
      <c r="H84" s="767">
        <f ca="1">SUMPRODUCT('TechHeat-RES'!G15:G24,'TechHeat-RES'!G103:G112,'TechHeat-RES'!G147:G156,'TechHeat-RES'!G192:G201)</f>
        <v>57.164870295690172</v>
      </c>
      <c r="I84" s="767">
        <f ca="1">SUMPRODUCT('TechHeat-RES'!H15:H24,'TechHeat-RES'!H103:H112,'TechHeat-RES'!H147:H156,'TechHeat-RES'!H192:H201)</f>
        <v>10.226637623684693</v>
      </c>
      <c r="J84" s="767">
        <f ca="1">SUMPRODUCT('TechHeat-RES'!I15:I24,'TechHeat-RES'!I103:I112,'TechHeat-RES'!I147:I156,'TechHeat-RES'!I192:I201)</f>
        <v>49.64757932984805</v>
      </c>
      <c r="K84" s="767">
        <f ca="1">SUMPRODUCT('TechHeat-RES'!J15:J24,'TechHeat-RES'!J103:J112,'TechHeat-RES'!J147:J156,'TechHeat-RES'!J192:J201)</f>
        <v>0.52331052967406977</v>
      </c>
      <c r="L84" s="767">
        <f ca="1">SUMPRODUCT('TechHeat-RES'!K15:K24,'TechHeat-RES'!K103:K112,'TechHeat-RES'!K147:K156,'TechHeat-RES'!K192:K201)</f>
        <v>51.262664691442616</v>
      </c>
      <c r="M84" s="767">
        <f ca="1">SUMPRODUCT('TechHeat-RES'!L15:L24,'TechHeat-RES'!L103:L112,'TechHeat-RES'!L147:L156,'TechHeat-RES'!L192:L201)</f>
        <v>460.0796248217182</v>
      </c>
      <c r="N84" s="767">
        <f ca="1">SUMPRODUCT('TechHeat-RES'!M15:M24,'TechHeat-RES'!M103:M112,'TechHeat-RES'!M147:M156,'TechHeat-RES'!M192:M201)</f>
        <v>54.96082557926912</v>
      </c>
      <c r="O84" s="767">
        <f ca="1">SUMPRODUCT('TechHeat-RES'!N15:N24,'TechHeat-RES'!N103:N112,'TechHeat-RES'!N147:N156,'TechHeat-RES'!N192:N201)</f>
        <v>5.0852988396171792</v>
      </c>
      <c r="P84" s="767">
        <f ca="1">SUMPRODUCT('TechHeat-RES'!O15:O24,'TechHeat-RES'!O103:O112,'TechHeat-RES'!O147:O156,'TechHeat-RES'!O192:O201)</f>
        <v>22.680661948777477</v>
      </c>
      <c r="Q84" s="767">
        <f ca="1">SUMPRODUCT('TechHeat-RES'!P15:P24,'TechHeat-RES'!P103:P112,'TechHeat-RES'!P147:P156,'TechHeat-RES'!P192:P201)</f>
        <v>48.936352809056054</v>
      </c>
      <c r="R84" s="767">
        <f ca="1">SUMPRODUCT('TechHeat-RES'!Q15:Q24,'TechHeat-RES'!Q103:Q112,'TechHeat-RES'!Q147:Q156,'TechHeat-RES'!Q192:Q201)</f>
        <v>312.43736684663963</v>
      </c>
      <c r="S84" s="767">
        <f ca="1">SUMPRODUCT('TechHeat-RES'!R15:R24,'TechHeat-RES'!R103:R112,'TechHeat-RES'!R147:R156,'TechHeat-RES'!R192:R201)</f>
        <v>17.564654005948828</v>
      </c>
      <c r="T84" s="767">
        <f ca="1">SUMPRODUCT('TechHeat-RES'!S15:S24,'TechHeat-RES'!S103:S112,'TechHeat-RES'!S147:S156,'TechHeat-RES'!S192:S201)</f>
        <v>17.498326673481497</v>
      </c>
      <c r="U84" s="767">
        <f ca="1">SUMPRODUCT('TechHeat-RES'!T15:T24,'TechHeat-RES'!T103:T112,'TechHeat-RES'!T147:T156,'TechHeat-RES'!T192:T201)</f>
        <v>54.537859931543373</v>
      </c>
      <c r="V84" s="767">
        <f ca="1">SUMPRODUCT('TechHeat-RES'!U15:U24,'TechHeat-RES'!U103:U112,'TechHeat-RES'!U147:U156,'TechHeat-RES'!U192:U201)</f>
        <v>15.913572732277604</v>
      </c>
      <c r="W84" s="767">
        <f ca="1">SUMPRODUCT('TechHeat-RES'!V15:V24,'TechHeat-RES'!V103:V112,'TechHeat-RES'!V147:V156,'TechHeat-RES'!V192:V201)</f>
        <v>3.7171914976386344</v>
      </c>
      <c r="X84" s="767">
        <f ca="1">SUMPRODUCT('TechHeat-RES'!W15:W24,'TechHeat-RES'!W103:W112,'TechHeat-RES'!W147:W156,'TechHeat-RES'!W192:W201)</f>
        <v>99.498756422375308</v>
      </c>
      <c r="Y84" s="767">
        <f ca="1">SUMPRODUCT('TechHeat-RES'!X15:X24,'TechHeat-RES'!X103:X112,'TechHeat-RES'!X147:X156,'TechHeat-RES'!X192:X201)</f>
        <v>10.262741302143279</v>
      </c>
      <c r="Z84" s="767">
        <f ca="1">SUMPRODUCT('TechHeat-RES'!Y15:Y24,'TechHeat-RES'!Y103:Y112,'TechHeat-RES'!Y147:Y156,'TechHeat-RES'!Y192:Y201)</f>
        <v>4.0812585107891373</v>
      </c>
      <c r="AA84" s="767">
        <f ca="1">SUMPRODUCT('TechHeat-RES'!Z15:Z24,'TechHeat-RES'!Z103:Z112,'TechHeat-RES'!Z147:Z156,'TechHeat-RES'!Z192:Z201)</f>
        <v>8.2213527027608624</v>
      </c>
      <c r="AB84" s="767">
        <f ca="1">SUMPRODUCT('TechHeat-RES'!AA15:AA24,'TechHeat-RES'!AA103:AA112,'TechHeat-RES'!AA147:AA156,'TechHeat-RES'!AA192:AA201)</f>
        <v>2.4577129832241029E-2</v>
      </c>
      <c r="AC84" s="767">
        <f ca="1">SUMPRODUCT('TechHeat-RES'!AB15:AB24,'TechHeat-RES'!AB103:AB112,'TechHeat-RES'!AB147:AB156,'TechHeat-RES'!AB192:AB201)</f>
        <v>31.378381511158057</v>
      </c>
      <c r="AD84" s="767">
        <f ca="1">SUMPRODUCT('TechHeat-RES'!AC15:AC24,'TechHeat-RES'!AC103:AC112,'TechHeat-RES'!AC147:AC156,'TechHeat-RES'!AC192:AC201)</f>
        <v>18.229523939179309</v>
      </c>
      <c r="AE84" s="767">
        <f ca="1">SUMPRODUCT('TechHeat-RES'!AD15:AD24,'TechHeat-RES'!AD103:AD112,'TechHeat-RES'!AD147:AD156,'TechHeat-RES'!AD192:AD201)</f>
        <v>147.7092756333243</v>
      </c>
      <c r="AF84" s="767">
        <f ca="1">SUMPRODUCT('TechHeat-RES'!AE15:AE24,'TechHeat-RES'!AE103:AE112,'TechHeat-RES'!AE147:AE156,'TechHeat-RES'!AE192:AE201)</f>
        <v>2.9630972729164657</v>
      </c>
      <c r="AG84" s="767">
        <f ca="1">SUMPRODUCT('TechHeat-RES'!AF15:AF24,'TechHeat-RES'!AF103:AF112,'TechHeat-RES'!AF147:AF156,'TechHeat-RES'!AF192:AF201)</f>
        <v>51.456129068116354</v>
      </c>
      <c r="AH84" s="767">
        <f ca="1">SUMPRODUCT('TechHeat-RES'!AG15:AG24,'TechHeat-RES'!AG103:AG112,'TechHeat-RES'!AG147:AG156,'TechHeat-RES'!AG192:AG201)</f>
        <v>83.173096213496223</v>
      </c>
      <c r="AI84" s="767">
        <f ca="1">SUMPRODUCT('TechHeat-RES'!AH15:AH24,'TechHeat-RES'!AH103:AH112,'TechHeat-RES'!AH147:AH156,'TechHeat-RES'!AH192:AH201)</f>
        <v>9.1942979939234402</v>
      </c>
      <c r="AJ84" s="767">
        <f ca="1">SUMPRODUCT('TechHeat-RES'!AI15:AI24,'TechHeat-RES'!AI103:AI112,'TechHeat-RES'!AI147:AI156,'TechHeat-RES'!AI192:AI201)</f>
        <v>20.175191036673262</v>
      </c>
      <c r="AK84" s="767">
        <f ca="1">SUMPRODUCT('TechHeat-RES'!AJ15:AJ24,'TechHeat-RES'!AJ103:AJ112,'TechHeat-RES'!AJ147:AJ156,'TechHeat-RES'!AJ192:AJ201)</f>
        <v>236.71766784696104</v>
      </c>
      <c r="AL84" s="767">
        <f ca="1">SUMPRODUCT('TechHeat-RES'!AK15:AK24,'TechHeat-RES'!AK103:AK112,'TechHeat-RES'!AK147:AK156,'TechHeat-RES'!AK192:AK201)</f>
        <v>0.87129794293072782</v>
      </c>
      <c r="AM84" s="767">
        <f ca="1">SUMPRODUCT('TechHeat-RES'!AL15:AL24,'TechHeat-RES'!AL103:AL112,'TechHeat-RES'!AL147:AL156,'TechHeat-RES'!AL192:AL201)</f>
        <v>3.1743922562733231</v>
      </c>
      <c r="AN84" s="767">
        <f ca="1">SUMPRODUCT('TechHeat-RES'!AM15:AM24,'TechHeat-RES'!AM103:AM112,'TechHeat-RES'!AM147:AM156,'TechHeat-RES'!AM192:AM201)</f>
        <v>1.1701741451595493</v>
      </c>
      <c r="AO84" s="767">
        <f ca="1">SUMPRODUCT('TechHeat-RES'!AN15:AN24,'TechHeat-RES'!AN103:AN112,'TechHeat-RES'!AN147:AN156,'TechHeat-RES'!AN192:AN201)</f>
        <v>1.7960463682234171</v>
      </c>
      <c r="AP84" s="767">
        <f ca="1">SUMPRODUCT('TechHeat-RES'!AO15:AO24,'TechHeat-RES'!AO103:AO112,'TechHeat-RES'!AO147:AO156,'TechHeat-RES'!AO192:AO201)</f>
        <v>13.2995908894096</v>
      </c>
      <c r="AQ84" s="767">
        <f ca="1">SUMPRODUCT('TechHeat-RES'!AP15:AP24,'TechHeat-RES'!AP103:AP112,'TechHeat-RES'!AP147:AP156,'TechHeat-RES'!AP192:AP201)</f>
        <v>1.8057402053383727</v>
      </c>
    </row>
    <row r="85" spans="1:43">
      <c r="A85"/>
      <c r="B85"/>
      <c r="C85" s="488"/>
      <c r="D85" s="488"/>
      <c r="E85"/>
      <c r="G85" s="393"/>
      <c r="H85" s="393"/>
      <c r="I85" s="393"/>
      <c r="J85" s="393"/>
      <c r="K85" s="393"/>
      <c r="L85" s="393"/>
      <c r="M85" s="393"/>
      <c r="N85" s="393"/>
      <c r="O85" s="393"/>
      <c r="P85" s="393"/>
      <c r="Q85" s="393"/>
      <c r="R85" s="393"/>
      <c r="S85" s="393"/>
      <c r="T85" s="393"/>
      <c r="U85" s="393"/>
      <c r="V85" s="393"/>
      <c r="W85" s="393"/>
      <c r="X85" s="393"/>
      <c r="Y85" s="393"/>
      <c r="Z85" s="393"/>
      <c r="AA85" s="393"/>
      <c r="AB85" s="393"/>
      <c r="AC85" s="393"/>
      <c r="AD85" s="393"/>
      <c r="AE85" s="393"/>
      <c r="AF85" s="393"/>
      <c r="AG85" s="393"/>
      <c r="AH85" s="393"/>
      <c r="AI85" s="393"/>
      <c r="AJ85" s="393"/>
      <c r="AK85" s="393"/>
      <c r="AL85" s="393"/>
      <c r="AM85" s="393"/>
      <c r="AN85" s="393"/>
      <c r="AO85" s="393"/>
      <c r="AP85" s="393"/>
      <c r="AQ85" s="393"/>
    </row>
    <row r="86" spans="1:43">
      <c r="A86"/>
      <c r="B86"/>
      <c r="C86" s="488"/>
      <c r="D86" s="488"/>
      <c r="E86"/>
      <c r="G86" s="393">
        <f ca="1">G53*'All Stock'!D102</f>
        <v>10.921985329462652</v>
      </c>
      <c r="H86" s="393">
        <f ca="1">H53*'All Stock'!E102</f>
        <v>9.6077412815462697</v>
      </c>
      <c r="I86" s="393">
        <f ca="1">I53*'All Stock'!F102</f>
        <v>3.2983616622982002</v>
      </c>
      <c r="J86" s="393">
        <f ca="1">J53*'All Stock'!G102</f>
        <v>9.4395528406108404</v>
      </c>
      <c r="K86" s="393">
        <f ca="1">K53*'All Stock'!H102</f>
        <v>0.48803696900180416</v>
      </c>
      <c r="L86" s="393">
        <f ca="1">L53*'All Stock'!I102</f>
        <v>9.829759600664973</v>
      </c>
      <c r="M86" s="393">
        <f ca="1">M53*'All Stock'!J102</f>
        <v>77.976472857288911</v>
      </c>
      <c r="N86" s="393">
        <f ca="1">N53*'All Stock'!K102</f>
        <v>8.6460369851735823</v>
      </c>
      <c r="O86" s="393">
        <f ca="1">O53*'All Stock'!L102</f>
        <v>1.7132995589705402</v>
      </c>
      <c r="P86" s="393">
        <f ca="1">P53*'All Stock'!M102</f>
        <v>10.071631222071266</v>
      </c>
      <c r="Q86" s="393">
        <f ca="1">Q53*'All Stock'!N102</f>
        <v>17.761233142990736</v>
      </c>
      <c r="R86" s="393">
        <f ca="1">R53*'All Stock'!O102</f>
        <v>59.922377632658979</v>
      </c>
      <c r="S86" s="393">
        <f ca="1">S53*'All Stock'!P102</f>
        <v>9.5470012719221007</v>
      </c>
      <c r="T86" s="393">
        <f ca="1">T53*'All Stock'!Q102</f>
        <v>6.6885237897054299</v>
      </c>
      <c r="U86" s="393">
        <f ca="1">U53*'All Stock'!R102</f>
        <v>14.362866820410884</v>
      </c>
      <c r="V86" s="393">
        <f ca="1">V53*'All Stock'!S102</f>
        <v>4.8912985927476411</v>
      </c>
      <c r="W86" s="393">
        <f ca="1">W53*'All Stock'!T102</f>
        <v>1.3491382384852515</v>
      </c>
      <c r="X86" s="393">
        <f ca="1">X53*'All Stock'!U102</f>
        <v>26.368707109206401</v>
      </c>
      <c r="Y86" s="393">
        <f ca="1">Y53*'All Stock'!V102</f>
        <v>2.0121265641623536</v>
      </c>
      <c r="Z86" s="393">
        <f ca="1">Z53*'All Stock'!W102</f>
        <v>0.53828401428137629</v>
      </c>
      <c r="AA86" s="393">
        <f ca="1">AA53*'All Stock'!X102</f>
        <v>2.9414360044870644</v>
      </c>
      <c r="AB86" s="393">
        <f ca="1">AB53*'All Stock'!Y102</f>
        <v>6.1109337992923379E-3</v>
      </c>
      <c r="AC86" s="393">
        <f ca="1">AC53*'All Stock'!Z102</f>
        <v>7.8355517336022951</v>
      </c>
      <c r="AD86" s="393">
        <f ca="1">AD53*'All Stock'!AA102</f>
        <v>4.2459270886601157</v>
      </c>
      <c r="AE86" s="393">
        <f ca="1">AE53*'All Stock'!AB102</f>
        <v>24.205706750696002</v>
      </c>
      <c r="AF86" s="393">
        <f ca="1">AF53*'All Stock'!AC102</f>
        <v>1.5716290421567105</v>
      </c>
      <c r="AG86" s="393">
        <f ca="1">AG53*'All Stock'!AD102</f>
        <v>23.431763935396617</v>
      </c>
      <c r="AH86" s="393">
        <f ca="1">AH53*'All Stock'!AE102</f>
        <v>13.675443911455254</v>
      </c>
      <c r="AI86" s="393">
        <f ca="1">AI53*'All Stock'!AF102</f>
        <v>2.5403921858056266</v>
      </c>
      <c r="AJ86" s="393">
        <f ca="1">AJ53*'All Stock'!AG102</f>
        <v>3.7722383901503314</v>
      </c>
      <c r="AK86" s="393">
        <f ca="1">AK53*'All Stock'!AH102</f>
        <v>28.701271427631593</v>
      </c>
      <c r="AL86" s="393">
        <f ca="1">AL53*'All Stock'!AI102</f>
        <v>0.47358078141280319</v>
      </c>
      <c r="AM86" s="393">
        <f ca="1">AM53*'All Stock'!AJ102</f>
        <v>1.4331656632021439</v>
      </c>
      <c r="AN86" s="393">
        <f ca="1">AN53*'All Stock'!AK102</f>
        <v>0.52830692284337166</v>
      </c>
      <c r="AO86" s="393">
        <f ca="1">AO53*'All Stock'!AL102</f>
        <v>0.57886370889681049</v>
      </c>
      <c r="AP86" s="393">
        <f ca="1">AP53*'All Stock'!AM102</f>
        <v>6.0044617862426959</v>
      </c>
      <c r="AQ86" s="393">
        <f ca="1">AQ53*'All Stock'!AN102</f>
        <v>0.81525049522163273</v>
      </c>
    </row>
    <row r="87" spans="1:43">
      <c r="A87"/>
      <c r="B87"/>
      <c r="C87" s="488"/>
      <c r="D87" s="488"/>
      <c r="E87"/>
      <c r="G87" s="393">
        <f ca="1">G56*'All Stock'!D103</f>
        <v>6.0495310653241665</v>
      </c>
      <c r="H87" s="393">
        <f ca="1">H56*'All Stock'!E103</f>
        <v>8.2089172337961411</v>
      </c>
      <c r="I87" s="393">
        <f ca="1">I56*'All Stock'!F103</f>
        <v>2.7203452309298313</v>
      </c>
      <c r="J87" s="393">
        <f ca="1">J56*'All Stock'!G103</f>
        <v>5.2284329661202475</v>
      </c>
      <c r="K87" s="393">
        <f ca="1">K56*'All Stock'!H103</f>
        <v>0.68617996806958859</v>
      </c>
      <c r="L87" s="393">
        <f ca="1">L56*'All Stock'!I103</f>
        <v>10.306502367196822</v>
      </c>
      <c r="M87" s="393">
        <f ca="1">M56*'All Stock'!J103</f>
        <v>44.040128209829319</v>
      </c>
      <c r="N87" s="393">
        <f ca="1">N56*'All Stock'!K103</f>
        <v>3.0125285314583827</v>
      </c>
      <c r="O87" s="393">
        <f ca="1">O56*'All Stock'!L103</f>
        <v>1.2006790082525054</v>
      </c>
      <c r="P87" s="393">
        <f ca="1">P56*'All Stock'!M103</f>
        <v>4.2640915127450203</v>
      </c>
      <c r="Q87" s="393">
        <f ca="1">Q56*'All Stock'!N103</f>
        <v>11.58730622364885</v>
      </c>
      <c r="R87" s="393">
        <f ca="1">R56*'All Stock'!O103</f>
        <v>37.882898619181702</v>
      </c>
      <c r="S87" s="393">
        <f ca="1">S56*'All Stock'!P103</f>
        <v>7.1231989603269179</v>
      </c>
      <c r="T87" s="393">
        <f ca="1">T56*'All Stock'!Q103</f>
        <v>5.3027695795162941</v>
      </c>
      <c r="U87" s="393">
        <f ca="1">U56*'All Stock'!R103</f>
        <v>14.911066596335729</v>
      </c>
      <c r="V87" s="393">
        <f ca="1">V56*'All Stock'!S103</f>
        <v>2.8858909691954517</v>
      </c>
      <c r="W87" s="393">
        <f ca="1">W56*'All Stock'!T103</f>
        <v>0.88016849852185652</v>
      </c>
      <c r="X87" s="393">
        <f ca="1">X56*'All Stock'!U103</f>
        <v>14.736795062757789</v>
      </c>
      <c r="Y87" s="393">
        <f ca="1">Y56*'All Stock'!V103</f>
        <v>2.0121265641623536</v>
      </c>
      <c r="Z87" s="393">
        <f ca="1">Z56*'All Stock'!W103</f>
        <v>0.34490163180389966</v>
      </c>
      <c r="AA87" s="393">
        <f ca="1">AA56*'All Stock'!X103</f>
        <v>1.7034567420540572</v>
      </c>
      <c r="AB87" s="393">
        <f ca="1">AB56*'All Stock'!Y103</f>
        <v>6.5240441667398447E-3</v>
      </c>
      <c r="AC87" s="393">
        <f ca="1">AC56*'All Stock'!Z103</f>
        <v>5.0147582668896211</v>
      </c>
      <c r="AD87" s="393">
        <f ca="1">AD56*'All Stock'!AA103</f>
        <v>3.517147568198729</v>
      </c>
      <c r="AE87" s="393">
        <f ca="1">AE56*'All Stock'!AB103</f>
        <v>25.023320109279901</v>
      </c>
      <c r="AF87" s="393">
        <f ca="1">AF56*'All Stock'!AC103</f>
        <v>1.3101432986508823</v>
      </c>
      <c r="AG87" s="393">
        <f ca="1">AG56*'All Stock'!AD103</f>
        <v>27.587974227439812</v>
      </c>
      <c r="AH87" s="393">
        <f ca="1">AH56*'All Stock'!AE103</f>
        <v>9.2779447343181563</v>
      </c>
      <c r="AI87" s="393">
        <f ca="1">AI56*'All Stock'!AF103</f>
        <v>1.0624926056086192</v>
      </c>
      <c r="AJ87" s="393">
        <f ca="1">AJ56*'All Stock'!AG103</f>
        <v>3.7286728910330438</v>
      </c>
      <c r="AK87" s="393">
        <f ca="1">AK56*'All Stock'!AH103</f>
        <v>12.820893979064863</v>
      </c>
      <c r="AL87" s="393">
        <f ca="1">AL56*'All Stock'!AI103</f>
        <v>0.35334761499527051</v>
      </c>
      <c r="AM87" s="393">
        <f ca="1">AM56*'All Stock'!AJ103</f>
        <v>1.067016801935875</v>
      </c>
      <c r="AN87" s="393">
        <f ca="1">AN56*'All Stock'!AK103</f>
        <v>0.3903922543393209</v>
      </c>
      <c r="AO87" s="393">
        <f ca="1">AO56*'All Stock'!AL103</f>
        <v>0.47655341726385847</v>
      </c>
      <c r="AP87" s="393">
        <f ca="1">AP56*'All Stock'!AM103</f>
        <v>4.4704263973139753</v>
      </c>
      <c r="AQ87" s="393">
        <f ca="1">AQ56*'All Stock'!AN103</f>
        <v>0.60696819531974111</v>
      </c>
    </row>
    <row r="88" spans="1:43">
      <c r="B88"/>
      <c r="C88" s="488"/>
      <c r="D88" s="488"/>
      <c r="E88"/>
      <c r="G88" s="393">
        <f ca="1">G59*'All Stock'!D104</f>
        <v>6.1826900345999292</v>
      </c>
      <c r="H88" s="393">
        <f ca="1">H59*'All Stock'!E104</f>
        <v>6.0468573386785067</v>
      </c>
      <c r="I88" s="393">
        <f ca="1">I59*'All Stock'!F104</f>
        <v>1.2836618392719006</v>
      </c>
      <c r="J88" s="393">
        <f ca="1">J59*'All Stock'!G104</f>
        <v>5.3435183731010749</v>
      </c>
      <c r="K88" s="393">
        <f ca="1">K59*'All Stock'!H104</f>
        <v>0.50720921220341086</v>
      </c>
      <c r="L88" s="393">
        <f ca="1">L59*'All Stock'!I104</f>
        <v>4.1011612778063853</v>
      </c>
      <c r="M88" s="393">
        <f ca="1">M59*'All Stock'!J104</f>
        <v>24.163144504245079</v>
      </c>
      <c r="N88" s="393">
        <f ca="1">N59*'All Stock'!K104</f>
        <v>3.0149165618227864</v>
      </c>
      <c r="O88" s="393">
        <f ca="1">O59*'All Stock'!L104</f>
        <v>0.3419395591897732</v>
      </c>
      <c r="P88" s="393">
        <f ca="1">P59*'All Stock'!M104</f>
        <v>4.222162666673638</v>
      </c>
      <c r="Q88" s="393">
        <f ca="1">Q59*'All Stock'!N104</f>
        <v>8.3671781983172124</v>
      </c>
      <c r="R88" s="393">
        <f ca="1">R59*'All Stock'!O104</f>
        <v>13.573747538878232</v>
      </c>
      <c r="S88" s="393">
        <f ca="1">S59*'All Stock'!P104</f>
        <v>4.7921216301163119</v>
      </c>
      <c r="T88" s="393">
        <f ca="1">T59*'All Stock'!Q104</f>
        <v>2.0674937360588013</v>
      </c>
      <c r="U88" s="393">
        <f ca="1">U59*'All Stock'!R104</f>
        <v>6.1501185967757026</v>
      </c>
      <c r="V88" s="393">
        <f ca="1">V59*'All Stock'!S104</f>
        <v>3.2456172046156038</v>
      </c>
      <c r="W88" s="393">
        <f ca="1">W59*'All Stock'!T104</f>
        <v>0.63556848585283865</v>
      </c>
      <c r="X88" s="393">
        <f ca="1">X59*'All Stock'!U104</f>
        <v>5.074020697962232</v>
      </c>
      <c r="Y88" s="393">
        <f ca="1">Y59*'All Stock'!V104</f>
        <v>0.62570639859297084</v>
      </c>
      <c r="Z88" s="393">
        <f ca="1">Z59*'All Stock'!W104</f>
        <v>0.23465511605935604</v>
      </c>
      <c r="AA88" s="393">
        <f ca="1">AA59*'All Stock'!X104</f>
        <v>0.52546236519357359</v>
      </c>
      <c r="AB88" s="393">
        <f ca="1">AB59*'All Stock'!Y104</f>
        <v>6.2263080273089223E-3</v>
      </c>
      <c r="AC88" s="393">
        <f ca="1">AC59*'All Stock'!Z104</f>
        <v>3.9619954682560126</v>
      </c>
      <c r="AD88" s="393">
        <f ca="1">AD59*'All Stock'!AA104</f>
        <v>3.5350246934560574</v>
      </c>
      <c r="AE88" s="393">
        <f ca="1">AE59*'All Stock'!AB104</f>
        <v>25.023320109279901</v>
      </c>
      <c r="AF88" s="393">
        <f ca="1">AF59*'All Stock'!AC104</f>
        <v>1.3265946108829896</v>
      </c>
      <c r="AG88" s="393">
        <f ca="1">AG59*'All Stock'!AD104</f>
        <v>3.7991520064050115</v>
      </c>
      <c r="AH88" s="393">
        <f ca="1">AH59*'All Stock'!AE104</f>
        <v>6.9324168611110251</v>
      </c>
      <c r="AI88" s="393">
        <f ca="1">AI59*'All Stock'!AF104</f>
        <v>0.78441476422485112</v>
      </c>
      <c r="AJ88" s="393">
        <f ca="1">AJ59*'All Stock'!AG104</f>
        <v>1.8300778986283086</v>
      </c>
      <c r="AK88" s="393">
        <f ca="1">AK59*'All Stock'!AH104</f>
        <v>9.4546168299794733</v>
      </c>
      <c r="AL88" s="393">
        <f ca="1">AL59*'All Stock'!AI104</f>
        <v>0.23771408859975657</v>
      </c>
      <c r="AM88" s="393">
        <f ca="1">AM59*'All Stock'!AJ104</f>
        <v>0.50003707873682679</v>
      </c>
      <c r="AN88" s="393">
        <f ca="1">AN59*'All Stock'!AK104</f>
        <v>0.18213396457004588</v>
      </c>
      <c r="AO88" s="393">
        <f ca="1">AO59*'All Stock'!AL104</f>
        <v>0.22382483841888004</v>
      </c>
      <c r="AP88" s="393">
        <f ca="1">AP59*'All Stock'!AM104</f>
        <v>2.094980090627681</v>
      </c>
      <c r="AQ88" s="393">
        <f ca="1">AQ59*'All Stock'!AN104</f>
        <v>0.28444407128659921</v>
      </c>
    </row>
    <row r="89" spans="1:43">
      <c r="B89"/>
      <c r="C89" s="488"/>
      <c r="D89" s="488"/>
      <c r="E89"/>
      <c r="G89" s="393">
        <f ca="1">G62*'All Stock'!D105</f>
        <v>2.2479625613096652</v>
      </c>
      <c r="H89" s="393">
        <f ca="1">H62*'All Stock'!E105</f>
        <v>2.4391900072552333</v>
      </c>
      <c r="I89" s="393">
        <f ca="1">I62*'All Stock'!F105</f>
        <v>1.3906979630787477</v>
      </c>
      <c r="J89" s="393">
        <f ca="1">J62*'All Stock'!G105</f>
        <v>1.9428483687810858</v>
      </c>
      <c r="K89" s="393">
        <f ca="1">K62*'All Stock'!H105</f>
        <v>0.95960881873939585</v>
      </c>
      <c r="L89" s="393">
        <f ca="1">L62*'All Stock'!I105</f>
        <v>2.4375515442485773</v>
      </c>
      <c r="M89" s="393">
        <f ca="1">M62*'All Stock'!J105</f>
        <v>14.314459675098224</v>
      </c>
      <c r="N89" s="393">
        <f ca="1">N62*'All Stock'!K105</f>
        <v>2.9113579315674665</v>
      </c>
      <c r="O89" s="393">
        <f ca="1">O62*'All Stock'!L105</f>
        <v>0.26918937149974204</v>
      </c>
      <c r="P89" s="393">
        <f ca="1">P62*'All Stock'!M105</f>
        <v>4.9002080246845949</v>
      </c>
      <c r="Q89" s="393">
        <f ca="1">Q62*'All Stock'!N105</f>
        <v>7.3216502116585582</v>
      </c>
      <c r="R89" s="393">
        <f ca="1">R62*'All Stock'!O105</f>
        <v>17.887242945941281</v>
      </c>
      <c r="S89" s="393">
        <f ca="1">S62*'All Stock'!P105</f>
        <v>0.98842931422855485</v>
      </c>
      <c r="T89" s="393">
        <f ca="1">T62*'All Stock'!Q105</f>
        <v>1.8111809618021717</v>
      </c>
      <c r="U89" s="393">
        <f ca="1">U62*'All Stock'!R105</f>
        <v>4.4860595964566778</v>
      </c>
      <c r="V89" s="393">
        <f ca="1">V62*'All Stock'!S105</f>
        <v>4.172382657146656</v>
      </c>
      <c r="W89" s="393">
        <f ca="1">W62*'All Stock'!T105</f>
        <v>0.55615047614305979</v>
      </c>
      <c r="X89" s="393">
        <f ca="1">X62*'All Stock'!U105</f>
        <v>3.7436291474621655</v>
      </c>
      <c r="Y89" s="393">
        <f ca="1">Y62*'All Stock'!V105</f>
        <v>0.33373422470380765</v>
      </c>
      <c r="Z89" s="393">
        <f ca="1">Z62*'All Stock'!W105</f>
        <v>0.26131309911669703</v>
      </c>
      <c r="AA89" s="393">
        <f ca="1">AA62*'All Stock'!X105</f>
        <v>0.39500654558816267</v>
      </c>
      <c r="AB89" s="393">
        <f ca="1">AB62*'All Stock'!Y105</f>
        <v>2.2321770628474518E-3</v>
      </c>
      <c r="AC89" s="393">
        <f ca="1">AC62*'All Stock'!Z105</f>
        <v>1.4700683780015318</v>
      </c>
      <c r="AD89" s="393">
        <f ca="1">AD62*'All Stock'!AA105</f>
        <v>2.1727928263256735</v>
      </c>
      <c r="AE89" s="393">
        <f ca="1">AE62*'All Stock'!AB105</f>
        <v>24.947751295863924</v>
      </c>
      <c r="AF89" s="393">
        <f ca="1">AF62*'All Stock'!AC105</f>
        <v>0.51440916251902302</v>
      </c>
      <c r="AG89" s="393">
        <f ca="1">AG62*'All Stock'!AD105</f>
        <v>2.9066922718270027</v>
      </c>
      <c r="AH89" s="393">
        <f ca="1">AH62*'All Stock'!AE105</f>
        <v>1.6836433566326465</v>
      </c>
      <c r="AI89" s="393">
        <f ca="1">AI62*'All Stock'!AF105</f>
        <v>0.40608462986559279</v>
      </c>
      <c r="AJ89" s="393">
        <f ca="1">AJ62*'All Stock'!AG105</f>
        <v>1.3589656381134581</v>
      </c>
      <c r="AK89" s="393">
        <f ca="1">AK62*'All Stock'!AH105</f>
        <v>6.5627492564752572</v>
      </c>
      <c r="AL89" s="393">
        <f ca="1">AL62*'All Stock'!AI105</f>
        <v>4.9031220764615781E-2</v>
      </c>
      <c r="AM89" s="393">
        <f ca="1">AM62*'All Stock'!AJ105</f>
        <v>0.32530615373311772</v>
      </c>
      <c r="AN89" s="393">
        <f ca="1">AN62*'All Stock'!AK105</f>
        <v>0.1186988301750642</v>
      </c>
      <c r="AO89" s="393">
        <f ca="1">AO62*'All Stock'!AL105</f>
        <v>0.24181645967304491</v>
      </c>
      <c r="AP89" s="393">
        <f ca="1">AP62*'All Stock'!AM105</f>
        <v>1.3629187602470432</v>
      </c>
      <c r="AQ89" s="393">
        <f ca="1">AQ62*'All Stock'!AN105</f>
        <v>0.18504909079178961</v>
      </c>
    </row>
    <row r="90" spans="1:43">
      <c r="B90"/>
      <c r="C90" s="488"/>
      <c r="D90" s="488"/>
      <c r="E90"/>
      <c r="G90" s="393"/>
      <c r="H90" s="393"/>
      <c r="I90" s="393"/>
      <c r="J90" s="393"/>
      <c r="K90" s="393"/>
      <c r="L90" s="393"/>
      <c r="M90" s="393"/>
      <c r="N90" s="393"/>
      <c r="O90" s="393"/>
      <c r="P90" s="393"/>
      <c r="Q90" s="393"/>
      <c r="R90" s="777"/>
      <c r="S90" s="393"/>
      <c r="T90" s="393"/>
      <c r="U90" s="393"/>
      <c r="V90" s="393"/>
      <c r="W90" s="393"/>
      <c r="X90" s="393"/>
      <c r="Y90" s="393"/>
      <c r="Z90" s="393"/>
      <c r="AA90" s="393"/>
      <c r="AB90" s="393"/>
      <c r="AC90" s="393"/>
      <c r="AD90" s="393"/>
      <c r="AE90" s="393"/>
      <c r="AF90" s="393"/>
      <c r="AG90" s="393"/>
      <c r="AH90" s="393"/>
      <c r="AI90" s="393"/>
      <c r="AJ90" s="393"/>
      <c r="AK90" s="393"/>
      <c r="AL90" s="393"/>
      <c r="AM90" s="393"/>
      <c r="AN90" s="393"/>
      <c r="AO90" s="393"/>
      <c r="AP90" s="393"/>
      <c r="AQ90" s="393"/>
    </row>
    <row r="91" spans="1:43">
      <c r="B91"/>
      <c r="C91" s="488"/>
      <c r="D91" s="488"/>
      <c r="E91" s="542" t="s">
        <v>903</v>
      </c>
      <c r="G91" s="767">
        <f ca="1">SUM(G86:G89)</f>
        <v>25.402168990696413</v>
      </c>
      <c r="H91" s="767">
        <f t="shared" ref="H91:AQ91" ca="1" si="28">SUM(H86:H89)</f>
        <v>26.302705861276152</v>
      </c>
      <c r="I91" s="767">
        <f t="shared" ca="1" si="28"/>
        <v>8.6930666955786791</v>
      </c>
      <c r="J91" s="767">
        <f t="shared" ca="1" si="28"/>
        <v>21.954352548613251</v>
      </c>
      <c r="K91" s="767">
        <f t="shared" ca="1" si="28"/>
        <v>2.6410349680141998</v>
      </c>
      <c r="L91" s="767">
        <f t="shared" ca="1" si="28"/>
        <v>26.67497478991676</v>
      </c>
      <c r="M91" s="767">
        <f t="shared" ca="1" si="28"/>
        <v>160.49420524646152</v>
      </c>
      <c r="N91" s="767">
        <f t="shared" ca="1" si="28"/>
        <v>17.584840010022219</v>
      </c>
      <c r="O91" s="767">
        <f t="shared" ca="1" si="28"/>
        <v>3.5251074979125607</v>
      </c>
      <c r="P91" s="767">
        <f t="shared" ca="1" si="28"/>
        <v>23.458093426174521</v>
      </c>
      <c r="Q91" s="767">
        <f t="shared" ca="1" si="28"/>
        <v>45.037367776615355</v>
      </c>
      <c r="R91" s="767">
        <f t="shared" ca="1" si="28"/>
        <v>129.26626673666021</v>
      </c>
      <c r="S91" s="767">
        <f t="shared" ca="1" si="28"/>
        <v>22.450751176593887</v>
      </c>
      <c r="T91" s="767">
        <f t="shared" ca="1" si="28"/>
        <v>15.869968067082699</v>
      </c>
      <c r="U91" s="767">
        <f t="shared" ca="1" si="28"/>
        <v>39.910111609978998</v>
      </c>
      <c r="V91" s="767">
        <f t="shared" ca="1" si="28"/>
        <v>15.195189423705353</v>
      </c>
      <c r="W91" s="767">
        <f t="shared" ca="1" si="28"/>
        <v>3.4210256990030063</v>
      </c>
      <c r="X91" s="767">
        <f t="shared" ca="1" si="28"/>
        <v>49.923152017388588</v>
      </c>
      <c r="Y91" s="767">
        <f t="shared" ca="1" si="28"/>
        <v>4.9836937516214856</v>
      </c>
      <c r="Z91" s="767">
        <f t="shared" ca="1" si="28"/>
        <v>1.379153861261329</v>
      </c>
      <c r="AA91" s="767">
        <f t="shared" ca="1" si="28"/>
        <v>5.5653616573228577</v>
      </c>
      <c r="AB91" s="767">
        <f t="shared" ca="1" si="28"/>
        <v>2.1093463056188557E-2</v>
      </c>
      <c r="AC91" s="767">
        <f t="shared" ca="1" si="28"/>
        <v>18.282373846749461</v>
      </c>
      <c r="AD91" s="767">
        <f t="shared" ca="1" si="28"/>
        <v>13.470892176640575</v>
      </c>
      <c r="AE91" s="767">
        <f t="shared" ca="1" si="28"/>
        <v>99.200098265119721</v>
      </c>
      <c r="AF91" s="767">
        <f t="shared" ca="1" si="28"/>
        <v>4.722776114209605</v>
      </c>
      <c r="AG91" s="767">
        <f t="shared" ca="1" si="28"/>
        <v>57.725582441068447</v>
      </c>
      <c r="AH91" s="767">
        <f t="shared" ca="1" si="28"/>
        <v>31.569448863517081</v>
      </c>
      <c r="AI91" s="767">
        <f t="shared" ca="1" si="28"/>
        <v>4.7933841855046895</v>
      </c>
      <c r="AJ91" s="767">
        <f t="shared" ca="1" si="28"/>
        <v>10.689954817925143</v>
      </c>
      <c r="AK91" s="767">
        <f t="shared" ca="1" si="28"/>
        <v>57.539531493151188</v>
      </c>
      <c r="AL91" s="767">
        <f t="shared" ca="1" si="28"/>
        <v>1.113673705772446</v>
      </c>
      <c r="AM91" s="767">
        <f t="shared" ca="1" si="28"/>
        <v>3.3255256976079632</v>
      </c>
      <c r="AN91" s="767">
        <f t="shared" ca="1" si="28"/>
        <v>1.2195319719278026</v>
      </c>
      <c r="AO91" s="767">
        <f t="shared" ca="1" si="28"/>
        <v>1.521058424252594</v>
      </c>
      <c r="AP91" s="767">
        <f t="shared" ca="1" si="28"/>
        <v>13.932787034431396</v>
      </c>
      <c r="AQ91" s="767">
        <f t="shared" ca="1" si="28"/>
        <v>1.8917118526197627</v>
      </c>
    </row>
    <row r="92" spans="1:43">
      <c r="B92"/>
      <c r="C92" s="488"/>
      <c r="D92" s="488"/>
      <c r="E92" t="s">
        <v>67</v>
      </c>
      <c r="G92" s="767">
        <f ca="1">SUMPRODUCT('TechHeat-RES'!F25:F34,'TechHeat-RES'!F113:F122,'TechHeat-RES'!F157:F166,'TechHeat-RES'!F202:F211)</f>
        <v>29.212494339300871</v>
      </c>
      <c r="H92" s="767">
        <f ca="1">SUMPRODUCT('TechHeat-RES'!G25:G34,'TechHeat-RES'!G113:G122,'TechHeat-RES'!G157:G166,'TechHeat-RES'!G202:G211)</f>
        <v>30.248111740467575</v>
      </c>
      <c r="I92" s="767">
        <f ca="1">SUMPRODUCT('TechHeat-RES'!H25:H34,'TechHeat-RES'!H113:H122,'TechHeat-RES'!H157:H166,'TechHeat-RES'!H202:H211)</f>
        <v>9.9970266999154802</v>
      </c>
      <c r="J92" s="767">
        <f ca="1">SUMPRODUCT('TechHeat-RES'!I25:I34,'TechHeat-RES'!I113:I122,'TechHeat-RES'!I157:I166,'TechHeat-RES'!I202:I211)</f>
        <v>25.247505430905232</v>
      </c>
      <c r="K92" s="767">
        <f ca="1">SUMPRODUCT('TechHeat-RES'!J25:J34,'TechHeat-RES'!J113:J122,'TechHeat-RES'!J157:J166,'TechHeat-RES'!J202:J211)</f>
        <v>3.0371902132163289</v>
      </c>
      <c r="L92" s="767">
        <f ca="1">SUMPRODUCT('TechHeat-RES'!K25:K34,'TechHeat-RES'!K113:K122,'TechHeat-RES'!K157:K166,'TechHeat-RES'!K202:K211)</f>
        <v>30.676221008404273</v>
      </c>
      <c r="M92" s="767">
        <f ca="1">SUMPRODUCT('TechHeat-RES'!L25:L34,'TechHeat-RES'!L113:L122,'TechHeat-RES'!L157:L166,'TechHeat-RES'!L202:L211)</f>
        <v>184.56833603343065</v>
      </c>
      <c r="N92" s="767">
        <f ca="1">SUMPRODUCT('TechHeat-RES'!M25:M34,'TechHeat-RES'!M113:M122,'TechHeat-RES'!M157:M166,'TechHeat-RES'!M202:M211)</f>
        <v>20.222566011525554</v>
      </c>
      <c r="O92" s="767">
        <f ca="1">SUMPRODUCT('TechHeat-RES'!N25:N34,'TechHeat-RES'!N113:N122,'TechHeat-RES'!N157:N166,'TechHeat-RES'!N202:N211)</f>
        <v>4.0538736225994452</v>
      </c>
      <c r="P92" s="767">
        <f ca="1">SUMPRODUCT('TechHeat-RES'!O25:O34,'TechHeat-RES'!O113:O122,'TechHeat-RES'!O157:O166,'TechHeat-RES'!O202:O211)</f>
        <v>26.9768074401007</v>
      </c>
      <c r="Q92" s="767">
        <f ca="1">SUMPRODUCT('TechHeat-RES'!P25:P34,'TechHeat-RES'!P113:P122,'TechHeat-RES'!P157:P166,'TechHeat-RES'!P202:P211)</f>
        <v>51.792972943107657</v>
      </c>
      <c r="R92" s="767">
        <f ca="1">SUMPRODUCT('TechHeat-RES'!Q25:Q34,'TechHeat-RES'!Q113:Q122,'TechHeat-RES'!Q157:Q166,'TechHeat-RES'!Q202:Q211)</f>
        <v>148.65620674715922</v>
      </c>
      <c r="S92" s="767">
        <f ca="1">SUMPRODUCT('TechHeat-RES'!R25:R34,'TechHeat-RES'!R113:R122,'TechHeat-RES'!R157:R166,'TechHeat-RES'!R202:R211)</f>
        <v>25.818363853082971</v>
      </c>
      <c r="T92" s="767">
        <f ca="1">SUMPRODUCT('TechHeat-RES'!S25:S34,'TechHeat-RES'!S113:S122,'TechHeat-RES'!S157:S166,'TechHeat-RES'!S202:S211)</f>
        <v>18.250463277145101</v>
      </c>
      <c r="U92" s="767">
        <f ca="1">SUMPRODUCT('TechHeat-RES'!T25:T34,'TechHeat-RES'!T113:T122,'TechHeat-RES'!T157:T166,'TechHeat-RES'!T202:T211)</f>
        <v>45.896628351475847</v>
      </c>
      <c r="V92" s="767">
        <f ca="1">SUMPRODUCT('TechHeat-RES'!U25:U34,'TechHeat-RES'!U113:U122,'TechHeat-RES'!U157:U166,'TechHeat-RES'!U202:U211)</f>
        <v>17.474467837261152</v>
      </c>
      <c r="W92" s="767">
        <f ca="1">SUMPRODUCT('TechHeat-RES'!V25:V34,'TechHeat-RES'!V113:V122,'TechHeat-RES'!V157:V166,'TechHeat-RES'!V202:V211)</f>
        <v>3.9341795538534567</v>
      </c>
      <c r="X92" s="767">
        <f ca="1">SUMPRODUCT('TechHeat-RES'!W25:W34,'TechHeat-RES'!W113:W122,'TechHeat-RES'!W157:W166,'TechHeat-RES'!W202:W211)</f>
        <v>57.41162481999686</v>
      </c>
      <c r="Y92" s="767">
        <f ca="1">SUMPRODUCT('TechHeat-RES'!X25:X34,'TechHeat-RES'!X113:X122,'TechHeat-RES'!X157:X166,'TechHeat-RES'!X202:X211)</f>
        <v>5.731247814364707</v>
      </c>
      <c r="Z92" s="767">
        <f ca="1">SUMPRODUCT('TechHeat-RES'!Y25:Y34,'TechHeat-RES'!Y113:Y122,'TechHeat-RES'!Y157:Y166,'TechHeat-RES'!Y202:Y211)</f>
        <v>1.5860269404505285</v>
      </c>
      <c r="AA92" s="767">
        <f ca="1">SUMPRODUCT('TechHeat-RES'!Z25:Z34,'TechHeat-RES'!Z113:Z122,'TechHeat-RES'!Z157:Z166,'TechHeat-RES'!Z202:Z211)</f>
        <v>6.4001659059212876</v>
      </c>
      <c r="AB92" s="767">
        <f ca="1">SUMPRODUCT('TechHeat-RES'!AA25:AA34,'TechHeat-RES'!AA113:AA122,'TechHeat-RES'!AA157:AA166,'TechHeat-RES'!AA202:AA211)</f>
        <v>2.4257482514616846E-2</v>
      </c>
      <c r="AC92" s="767">
        <f ca="1">SUMPRODUCT('TechHeat-RES'!AB25:AB34,'TechHeat-RES'!AB113:AB122,'TechHeat-RES'!AB157:AB166,'TechHeat-RES'!AB202:AB211)</f>
        <v>21.024729923761878</v>
      </c>
      <c r="AD92" s="767">
        <f ca="1">SUMPRODUCT('TechHeat-RES'!AC25:AC34,'TechHeat-RES'!AC113:AC122,'TechHeat-RES'!AC157:AC166,'TechHeat-RES'!AC202:AC211)</f>
        <v>15.491526003136659</v>
      </c>
      <c r="AE92" s="767">
        <f ca="1">SUMPRODUCT('TechHeat-RES'!AD25:AD34,'TechHeat-RES'!AD113:AD122,'TechHeat-RES'!AD157:AD166,'TechHeat-RES'!AD202:AD211)</f>
        <v>114.08011300488765</v>
      </c>
      <c r="AF92" s="767">
        <f ca="1">SUMPRODUCT('TechHeat-RES'!AE25:AE34,'TechHeat-RES'!AE113:AE122,'TechHeat-RES'!AE157:AE166,'TechHeat-RES'!AE202:AE211)</f>
        <v>5.4311925313410461</v>
      </c>
      <c r="AG92" s="767">
        <f ca="1">SUMPRODUCT('TechHeat-RES'!AF25:AF34,'TechHeat-RES'!AF113:AF122,'TechHeat-RES'!AF157:AF166,'TechHeat-RES'!AF202:AF211)</f>
        <v>66.384419807228696</v>
      </c>
      <c r="AH92" s="767">
        <f ca="1">SUMPRODUCT('TechHeat-RES'!AG25:AG34,'TechHeat-RES'!AG113:AG122,'TechHeat-RES'!AG157:AG166,'TechHeat-RES'!AG202:AG211)</f>
        <v>36.304866193044631</v>
      </c>
      <c r="AI92" s="767">
        <f ca="1">SUMPRODUCT('TechHeat-RES'!AH25:AH34,'TechHeat-RES'!AH113:AH122,'TechHeat-RES'!AH157:AH166,'TechHeat-RES'!AH202:AH211)</f>
        <v>5.5123918133303924</v>
      </c>
      <c r="AJ92" s="767">
        <f ca="1">SUMPRODUCT('TechHeat-RES'!AI25:AI34,'TechHeat-RES'!AI113:AI122,'TechHeat-RES'!AI157:AI166,'TechHeat-RES'!AI202:AI211)</f>
        <v>12.293448040613914</v>
      </c>
      <c r="AK92" s="767">
        <f ca="1">SUMPRODUCT('TechHeat-RES'!AJ25:AJ34,'TechHeat-RES'!AJ113:AJ122,'TechHeat-RES'!AJ157:AJ166,'TechHeat-RES'!AJ202:AJ211)</f>
        <v>66.170461217123872</v>
      </c>
      <c r="AL92" s="767">
        <f ca="1">SUMPRODUCT('TechHeat-RES'!AK25:AK34,'TechHeat-RES'!AK113:AK122,'TechHeat-RES'!AK157:AK166,'TechHeat-RES'!AK202:AK211)</f>
        <v>1.2807247616383126</v>
      </c>
      <c r="AM92" s="767">
        <f ca="1">SUMPRODUCT('TechHeat-RES'!AL25:AL34,'TechHeat-RES'!AL113:AL122,'TechHeat-RES'!AL157:AL166,'TechHeat-RES'!AL202:AL211)</f>
        <v>3.8243545522491571</v>
      </c>
      <c r="AN92" s="767">
        <f ca="1">SUMPRODUCT('TechHeat-RES'!AM25:AM34,'TechHeat-RES'!AM113:AM122,'TechHeat-RES'!AM157:AM166,'TechHeat-RES'!AM202:AM211)</f>
        <v>1.4024617677169731</v>
      </c>
      <c r="AO92" s="767">
        <f ca="1">SUMPRODUCT('TechHeat-RES'!AN25:AN34,'TechHeat-RES'!AN113:AN122,'TechHeat-RES'!AN157:AN166,'TechHeat-RES'!AN202:AN211)</f>
        <v>1.749217187890483</v>
      </c>
      <c r="AP92" s="767">
        <f ca="1">SUMPRODUCT('TechHeat-RES'!AO25:AO34,'TechHeat-RES'!AO113:AO122,'TechHeat-RES'!AO157:AO166,'TechHeat-RES'!AO202:AO211)</f>
        <v>16.022705089596105</v>
      </c>
      <c r="AQ92" s="767">
        <f ca="1">SUMPRODUCT('TechHeat-RES'!AP25:AP34,'TechHeat-RES'!AP113:AP122,'TechHeat-RES'!AP157:AP166,'TechHeat-RES'!AP202:AP211)</f>
        <v>2.1754686305127269</v>
      </c>
    </row>
    <row r="93" spans="1:43">
      <c r="B93"/>
      <c r="C93" s="488"/>
      <c r="D93" s="488"/>
      <c r="E93"/>
      <c r="G93" s="393"/>
      <c r="H93" s="393"/>
      <c r="I93" s="393"/>
      <c r="J93" s="393"/>
      <c r="K93" s="393"/>
      <c r="L93" s="393"/>
      <c r="M93" s="393"/>
      <c r="N93" s="393"/>
      <c r="O93" s="393"/>
      <c r="P93" s="393"/>
      <c r="Q93" s="393"/>
      <c r="R93" s="393"/>
      <c r="S93" s="393"/>
      <c r="T93" s="393"/>
      <c r="U93" s="393"/>
      <c r="V93" s="393"/>
      <c r="W93" s="393"/>
      <c r="X93" s="393"/>
      <c r="Y93" s="393"/>
      <c r="Z93" s="393"/>
      <c r="AA93" s="393"/>
      <c r="AB93" s="393"/>
      <c r="AC93" s="393"/>
      <c r="AD93" s="393"/>
      <c r="AE93" s="393"/>
      <c r="AF93" s="393"/>
      <c r="AG93" s="393"/>
      <c r="AH93" s="393"/>
      <c r="AI93" s="393"/>
      <c r="AJ93" s="393"/>
      <c r="AK93" s="393"/>
      <c r="AL93" s="393"/>
      <c r="AM93" s="393"/>
      <c r="AN93" s="393"/>
      <c r="AO93" s="393"/>
      <c r="AP93" s="393"/>
      <c r="AQ93" s="393"/>
    </row>
    <row r="94" spans="1:43">
      <c r="B94"/>
      <c r="C94" s="488"/>
      <c r="D94" s="488"/>
      <c r="E94"/>
      <c r="G94" s="393">
        <f ca="1">G48*'All Stock'!D106</f>
        <v>5.8005170821561904</v>
      </c>
      <c r="H94" s="393">
        <f ca="1">H48*'All Stock'!E106</f>
        <v>29.545375054857342</v>
      </c>
      <c r="I94" s="393">
        <f ca="1">I48*'All Stock'!F106</f>
        <v>0.83189981432381077</v>
      </c>
      <c r="J94" s="393">
        <f ca="1">J48*'All Stock'!G106</f>
        <v>12.545538911531887</v>
      </c>
      <c r="K94" s="393">
        <f ca="1">K48*'All Stock'!H106</f>
        <v>6.6533402402369907E-2</v>
      </c>
      <c r="L94" s="393">
        <f ca="1">L48*'All Stock'!I106</f>
        <v>6.6384042802084284</v>
      </c>
      <c r="M94" s="393">
        <f ca="1">M48*'All Stock'!J106</f>
        <v>99.57653945171144</v>
      </c>
      <c r="N94" s="393">
        <f ca="1">N48*'All Stock'!K106</f>
        <v>7.6651812798049628</v>
      </c>
      <c r="O94" s="393">
        <f ca="1">O48*'All Stock'!L106</f>
        <v>0.42030499279305494</v>
      </c>
      <c r="P94" s="393">
        <f ca="1">P48*'All Stock'!M106</f>
        <v>9.3434653503682465</v>
      </c>
      <c r="Q94" s="393">
        <f ca="1">Q48*'All Stock'!N106</f>
        <v>6.1488300066156754</v>
      </c>
      <c r="R94" s="393">
        <f ca="1">R48*'All Stock'!O106</f>
        <v>80.022805624379004</v>
      </c>
      <c r="S94" s="393">
        <f ca="1">S48*'All Stock'!P106</f>
        <v>1.0948131309735096</v>
      </c>
      <c r="T94" s="393">
        <f ca="1">T48*'All Stock'!Q106</f>
        <v>0.92434094399746514</v>
      </c>
      <c r="U94" s="393">
        <f ca="1">U48*'All Stock'!R106</f>
        <v>3.9265187653772506</v>
      </c>
      <c r="V94" s="393">
        <f ca="1">V48*'All Stock'!S106</f>
        <v>6.0273816815260775</v>
      </c>
      <c r="W94" s="393">
        <f ca="1">W48*'All Stock'!T106</f>
        <v>0.58171438396023911</v>
      </c>
      <c r="X94" s="393">
        <f ca="1">X48*'All Stock'!U106</f>
        <v>36.544116887583655</v>
      </c>
      <c r="Y94" s="393">
        <f ca="1">Y48*'All Stock'!V106</f>
        <v>1.1628084623313295</v>
      </c>
      <c r="Z94" s="393">
        <f ca="1">Z48*'All Stock'!W106</f>
        <v>1.3319265884710798</v>
      </c>
      <c r="AA94" s="393">
        <f ca="1">AA48*'All Stock'!X106</f>
        <v>0.68517154376049461</v>
      </c>
      <c r="AB94" s="393">
        <f ca="1">AB48*'All Stock'!Y106</f>
        <v>7.8612412926333461E-2</v>
      </c>
      <c r="AC94" s="393">
        <f ca="1">AC48*'All Stock'!Z106</f>
        <v>44.174646072297726</v>
      </c>
      <c r="AD94" s="393">
        <f ca="1">AD48*'All Stock'!AA106</f>
        <v>2.6296687674277446</v>
      </c>
      <c r="AE94" s="393">
        <f ca="1">AE48*'All Stock'!AB106</f>
        <v>14.061315719520808</v>
      </c>
      <c r="AF94" s="393">
        <f ca="1">AF48*'All Stock'!AC106</f>
        <v>0.52437648200864062</v>
      </c>
      <c r="AG94" s="393">
        <f ca="1">AG48*'All Stock'!AD106</f>
        <v>1.8743666856259666</v>
      </c>
      <c r="AH94" s="393">
        <f ca="1">AH48*'All Stock'!AE106</f>
        <v>8.8117229058374527</v>
      </c>
      <c r="AI94" s="393">
        <f ca="1">AI48*'All Stock'!AF106</f>
        <v>0.84401516405352228</v>
      </c>
      <c r="AJ94" s="393">
        <f ca="1">AJ48*'All Stock'!AG106</f>
        <v>1.3344649266144859</v>
      </c>
      <c r="AK94" s="393">
        <f ca="1">AK48*'All Stock'!AH106</f>
        <v>243.8730268257689</v>
      </c>
      <c r="AL94" s="393">
        <f ca="1">AL48*'All Stock'!AI106</f>
        <v>5.2690184033255594E-2</v>
      </c>
      <c r="AM94" s="393">
        <f ca="1">AM48*'All Stock'!AJ106</f>
        <v>0.15454690215638062</v>
      </c>
      <c r="AN94" s="393">
        <f ca="1">AN48*'All Stock'!AK106</f>
        <v>9.201130616709928E-2</v>
      </c>
      <c r="AO94" s="393">
        <f ca="1">AO48*'All Stock'!AL106</f>
        <v>0.14631981726348203</v>
      </c>
      <c r="AP94" s="393">
        <f ca="1">AP48*'All Stock'!AM106</f>
        <v>0.6474973494039743</v>
      </c>
      <c r="AQ94" s="393">
        <f ca="1">AQ48*'All Stock'!AN106</f>
        <v>8.7913380673974098E-2</v>
      </c>
    </row>
    <row r="95" spans="1:43">
      <c r="B95"/>
      <c r="C95" s="488"/>
      <c r="D95" s="488"/>
      <c r="E95"/>
      <c r="G95" s="393">
        <f ca="1">G51*'All Stock'!D107</f>
        <v>6.5771334624945412</v>
      </c>
      <c r="H95" s="393">
        <f ca="1">H51*'All Stock'!E107</f>
        <v>16.414097245361447</v>
      </c>
      <c r="I95" s="393">
        <f ca="1">I51*'All Stock'!F107</f>
        <v>1.7221607068276261</v>
      </c>
      <c r="J95" s="393">
        <f ca="1">J51*'All Stock'!G107</f>
        <v>14.236084019348601</v>
      </c>
      <c r="K95" s="393">
        <f ca="1">K51*'All Stock'!H107</f>
        <v>0.2106772187949886</v>
      </c>
      <c r="L95" s="393">
        <f ca="1">L51*'All Stock'!I107</f>
        <v>7.3970119696929677</v>
      </c>
      <c r="M95" s="393">
        <f ca="1">M51*'All Stock'!J107</f>
        <v>134.53139070804494</v>
      </c>
      <c r="N95" s="393">
        <f ca="1">N51*'All Stock'!K107</f>
        <v>5.357863635084966</v>
      </c>
      <c r="O95" s="393">
        <f ca="1">O51*'All Stock'!L107</f>
        <v>0.62134030493975212</v>
      </c>
      <c r="P95" s="393">
        <f ca="1">P51*'All Stock'!M107</f>
        <v>15.0596600664717</v>
      </c>
      <c r="Q95" s="393">
        <f ca="1">Q51*'All Stock'!N107</f>
        <v>10.151605163423824</v>
      </c>
      <c r="R95" s="393">
        <f ca="1">R51*'All Stock'!O107</f>
        <v>54.12367395253203</v>
      </c>
      <c r="S95" s="393">
        <f ca="1">S51*'All Stock'!P107</f>
        <v>3.9844188517072148</v>
      </c>
      <c r="T95" s="393">
        <f ca="1">T51*'All Stock'!Q107</f>
        <v>1.7674849231458492</v>
      </c>
      <c r="U95" s="393">
        <f ca="1">U51*'All Stock'!R107</f>
        <v>5.290284228428983</v>
      </c>
      <c r="V95" s="393">
        <f ca="1">V51*'All Stock'!S107</f>
        <v>5.5633144968905084</v>
      </c>
      <c r="W95" s="393">
        <f ca="1">W51*'All Stock'!T107</f>
        <v>0.96010320936246962</v>
      </c>
      <c r="X95" s="393">
        <f ca="1">X51*'All Stock'!U107</f>
        <v>48.865036720809869</v>
      </c>
      <c r="Y95" s="393">
        <f ca="1">Y51*'All Stock'!V107</f>
        <v>1.2426599524716886</v>
      </c>
      <c r="Z95" s="393">
        <f ca="1">Z51*'All Stock'!W107</f>
        <v>1.2321617907682483</v>
      </c>
      <c r="AA95" s="393">
        <f ca="1">AA51*'All Stock'!X107</f>
        <v>0.8246333159022049</v>
      </c>
      <c r="AB95" s="393">
        <f ca="1">AB51*'All Stock'!Y107</f>
        <v>8.2280438252099561E-2</v>
      </c>
      <c r="AC95" s="393">
        <f ca="1">AC51*'All Stock'!Z107</f>
        <v>39.664244666039501</v>
      </c>
      <c r="AD95" s="393">
        <f ca="1">AD51*'All Stock'!AA107</f>
        <v>3.489103633841411</v>
      </c>
      <c r="AE95" s="393">
        <f ca="1">AE51*'All Stock'!AB107</f>
        <v>11.337519735048485</v>
      </c>
      <c r="AF95" s="393">
        <f ca="1">AF51*'All Stock'!AC107</f>
        <v>0.65574450129559292</v>
      </c>
      <c r="AG95" s="393">
        <f ca="1">AG51*'All Stock'!AD107</f>
        <v>4.9302848452749313</v>
      </c>
      <c r="AH95" s="393">
        <f ca="1">AH51*'All Stock'!AE107</f>
        <v>7.9697476867738732</v>
      </c>
      <c r="AI95" s="393">
        <f ca="1">AI51*'All Stock'!AF107</f>
        <v>0.56416512572532551</v>
      </c>
      <c r="AJ95" s="393">
        <f ca="1">AJ51*'All Stock'!AG107</f>
        <v>1.4515409399296451</v>
      </c>
      <c r="AK95" s="393">
        <f ca="1">AK51*'All Stock'!AH107</f>
        <v>160.95173840468615</v>
      </c>
      <c r="AL95" s="393">
        <f ca="1">AL51*'All Stock'!AI107</f>
        <v>0.19175853542727175</v>
      </c>
      <c r="AM95" s="393">
        <f ca="1">AM51*'All Stock'!AJ107</f>
        <v>0.35284757949611628</v>
      </c>
      <c r="AN95" s="393">
        <f ca="1">AN51*'All Stock'!AK107</f>
        <v>0.21007193424353393</v>
      </c>
      <c r="AO95" s="393">
        <f ca="1">AO51*'All Stock'!AL107</f>
        <v>0.30290455122434201</v>
      </c>
      <c r="AP95" s="393">
        <f ca="1">AP51*'All Stock'!AM107</f>
        <v>1.4783076805781892</v>
      </c>
      <c r="AQ95" s="393">
        <f ca="1">AQ51*'All Stock'!AN107</f>
        <v>0.2007159195254806</v>
      </c>
    </row>
    <row r="96" spans="1:43">
      <c r="B96"/>
      <c r="C96" s="488"/>
      <c r="D96" s="488"/>
      <c r="E96"/>
      <c r="G96" s="393">
        <f ca="1">G54*'All Stock'!D108</f>
        <v>2.6584495166867512</v>
      </c>
      <c r="H96" s="393">
        <f ca="1">H54*'All Stock'!E108</f>
        <v>8.8831081845332758</v>
      </c>
      <c r="I96" s="393">
        <f ca="1">I54*'All Stock'!F108</f>
        <v>0.94076664205351257</v>
      </c>
      <c r="J96" s="393">
        <f ca="1">J54*'All Stock'!G108</f>
        <v>5.7478988187762479</v>
      </c>
      <c r="K96" s="393">
        <f ca="1">K54*'All Stock'!H108</f>
        <v>0.2848752579953146</v>
      </c>
      <c r="L96" s="393">
        <f ca="1">L54*'All Stock'!I108</f>
        <v>3.030945870310604</v>
      </c>
      <c r="M96" s="393">
        <f ca="1">M54*'All Stock'!J108</f>
        <v>43.402847145903813</v>
      </c>
      <c r="N96" s="393">
        <f ca="1">N54*'All Stock'!K108</f>
        <v>2.2143192212768779</v>
      </c>
      <c r="O96" s="393">
        <f ca="1">O54*'All Stock'!L108</f>
        <v>0.39117934643832253</v>
      </c>
      <c r="P96" s="393">
        <f ca="1">P54*'All Stock'!M108</f>
        <v>12.433949712181324</v>
      </c>
      <c r="Q96" s="393">
        <f ca="1">Q54*'All Stock'!N108</f>
        <v>6.610852469891678</v>
      </c>
      <c r="R96" s="393">
        <f ca="1">R54*'All Stock'!O108</f>
        <v>27.390260533841509</v>
      </c>
      <c r="S96" s="393">
        <f ca="1">S54*'All Stock'!P108</f>
        <v>3.1748504303022247</v>
      </c>
      <c r="T96" s="393">
        <f ca="1">T54*'All Stock'!Q108</f>
        <v>1.2286391802162309</v>
      </c>
      <c r="U96" s="393">
        <f ca="1">U54*'All Stock'!R108</f>
        <v>2.7673229201226239</v>
      </c>
      <c r="V96" s="393">
        <f ca="1">V54*'All Stock'!S108</f>
        <v>3.9084524177623181</v>
      </c>
      <c r="W96" s="393">
        <f ca="1">W54*'All Stock'!T108</f>
        <v>0.62512412312669474</v>
      </c>
      <c r="X96" s="393">
        <f ca="1">X54*'All Stock'!U108</f>
        <v>26.104387642070186</v>
      </c>
      <c r="Y96" s="393">
        <f ca="1">Y54*'All Stock'!V108</f>
        <v>0.5265171729249668</v>
      </c>
      <c r="Z96" s="393">
        <f ca="1">Z54*'All Stock'!W108</f>
        <v>0.36622602069957094</v>
      </c>
      <c r="AA96" s="393">
        <f ca="1">AA54*'All Stock'!X108</f>
        <v>0.61800568294461</v>
      </c>
      <c r="AB96" s="393">
        <f ca="1">AB54*'All Stock'!Y108</f>
        <v>4.6588257846605821E-2</v>
      </c>
      <c r="AC96" s="393">
        <f ca="1">AC54*'All Stock'!Z108</f>
        <v>23.462324475943777</v>
      </c>
      <c r="AD96" s="393">
        <f ca="1">AD54*'All Stock'!AA108</f>
        <v>1.5186491333246237</v>
      </c>
      <c r="AE96" s="393">
        <f ca="1">AE54*'All Stock'!AB108</f>
        <v>4.6920320299068665</v>
      </c>
      <c r="AF96" s="393">
        <f ca="1">AF54*'All Stock'!AC108</f>
        <v>0.71964112150354176</v>
      </c>
      <c r="AG96" s="393">
        <f ca="1">AG54*'All Stock'!AD108</f>
        <v>3.5569547474244918</v>
      </c>
      <c r="AH96" s="393">
        <f ca="1">AH54*'All Stock'!AE108</f>
        <v>2.9460078582444029</v>
      </c>
      <c r="AI96" s="393">
        <f ca="1">AI54*'All Stock'!AF108</f>
        <v>0.44222015632012673</v>
      </c>
      <c r="AJ96" s="393">
        <f ca="1">AJ54*'All Stock'!AG108</f>
        <v>0.59414386589852108</v>
      </c>
      <c r="AK96" s="393">
        <f ca="1">AK54*'All Stock'!AH108</f>
        <v>54.407473354993748</v>
      </c>
      <c r="AL96" s="393">
        <f ca="1">AL54*'All Stock'!AI108</f>
        <v>0.15279635283688664</v>
      </c>
      <c r="AM96" s="393">
        <f ca="1">AM54*'All Stock'!AJ108</f>
        <v>0.26343858402198544</v>
      </c>
      <c r="AN96" s="393">
        <f ca="1">AN54*'All Stock'!AK108</f>
        <v>0.15684124283608791</v>
      </c>
      <c r="AO96" s="393">
        <f ca="1">AO54*'All Stock'!AL108</f>
        <v>0.16538873310679936</v>
      </c>
      <c r="AP96" s="393">
        <f ca="1">AP54*'All Stock'!AM108</f>
        <v>1.1037153285180188</v>
      </c>
      <c r="AQ96" s="393">
        <f ca="1">AQ54*'All Stock'!AN108</f>
        <v>0.14985597380595145</v>
      </c>
    </row>
    <row r="97" spans="2:43">
      <c r="B97"/>
      <c r="C97" s="488"/>
      <c r="D97" s="488"/>
      <c r="E97"/>
      <c r="G97" s="393">
        <f ca="1">G57*'All Stock'!D109</f>
        <v>1.4373045428766087</v>
      </c>
      <c r="H97" s="393">
        <f ca="1">H57*'All Stock'!E109</f>
        <v>7.4801618067083719</v>
      </c>
      <c r="I97" s="393">
        <f ca="1">I57*'All Stock'!F109</f>
        <v>0.76228967460760333</v>
      </c>
      <c r="J97" s="393">
        <f ca="1">J57*'All Stock'!G109</f>
        <v>3.104036913144729</v>
      </c>
      <c r="K97" s="393">
        <f ca="1">K57*'All Stock'!H109</f>
        <v>0.39763395826640247</v>
      </c>
      <c r="L97" s="393">
        <f ca="1">L57*'All Stock'!I109</f>
        <v>3.1116318287261251</v>
      </c>
      <c r="M97" s="393">
        <f ca="1">M57*'All Stock'!J109</f>
        <v>23.232733741333337</v>
      </c>
      <c r="N97" s="393">
        <f ca="1">N57*'All Stock'!K109</f>
        <v>0.75523785982795066</v>
      </c>
      <c r="O97" s="393">
        <f ca="1">O57*'All Stock'!L109</f>
        <v>0.27720565281238685</v>
      </c>
      <c r="P97" s="393">
        <f ca="1">P57*'All Stock'!M109</f>
        <v>5.137211928418246</v>
      </c>
      <c r="Q97" s="393">
        <f ca="1">Q57*'All Stock'!N109</f>
        <v>4.2900604151923112</v>
      </c>
      <c r="R97" s="393">
        <f ca="1">R57*'All Stock'!O109</f>
        <v>17.157461257311276</v>
      </c>
      <c r="S97" s="393">
        <f ca="1">S57*'All Stock'!P109</f>
        <v>2.3569802243596785</v>
      </c>
      <c r="T97" s="393">
        <f ca="1">T57*'All Stock'!Q109</f>
        <v>0.97408496611468331</v>
      </c>
      <c r="U97" s="393">
        <f ca="1">U57*'All Stock'!R109</f>
        <v>2.8058713712001033</v>
      </c>
      <c r="V97" s="393">
        <f ca="1">V57*'All Stock'!S109</f>
        <v>2.1995296332123364</v>
      </c>
      <c r="W97" s="393">
        <f ca="1">W57*'All Stock'!T109</f>
        <v>0.40567280856511173</v>
      </c>
      <c r="X97" s="393">
        <f ca="1">X57*'All Stock'!U109</f>
        <v>15.034107787990207</v>
      </c>
      <c r="Y97" s="393">
        <f ca="1">Y57*'All Stock'!V109</f>
        <v>0.5265171729249668</v>
      </c>
      <c r="Z97" s="393">
        <f ca="1">Z57*'All Stock'!W109</f>
        <v>0.24085785865552736</v>
      </c>
      <c r="AA97" s="393">
        <f ca="1">AA57*'All Stock'!X109</f>
        <v>0.34024272228162505</v>
      </c>
      <c r="AB97" s="393">
        <f ca="1">AB57*'All Stock'!Y109</f>
        <v>4.8413188257274975E-2</v>
      </c>
      <c r="AC97" s="393">
        <f ca="1">AC57*'All Stock'!Z109</f>
        <v>14.767419369471218</v>
      </c>
      <c r="AD97" s="393">
        <f ca="1">AD57*'All Stock'!AA109</f>
        <v>1.2645762439750909</v>
      </c>
      <c r="AE97" s="393">
        <f ca="1">AE57*'All Stock'!AB109</f>
        <v>4.850518130150359</v>
      </c>
      <c r="AF97" s="393">
        <f ca="1">AF57*'All Stock'!AC109</f>
        <v>0.59894940261104779</v>
      </c>
      <c r="AG97" s="393">
        <f ca="1">AG57*'All Stock'!AD109</f>
        <v>4.1735912592228281</v>
      </c>
      <c r="AH97" s="393">
        <f ca="1">AH57*'All Stock'!AE109</f>
        <v>2.0088928363300544</v>
      </c>
      <c r="AI97" s="393">
        <f ca="1">AI57*'All Stock'!AF109</f>
        <v>0.18797658099043785</v>
      </c>
      <c r="AJ97" s="393">
        <f ca="1">AJ57*'All Stock'!AG109</f>
        <v>0.59095430401610127</v>
      </c>
      <c r="AK97" s="393">
        <f ca="1">AK57*'All Stock'!AH109</f>
        <v>22.730021676767389</v>
      </c>
      <c r="AL97" s="393">
        <f ca="1">AL57*'All Stock'!AI109</f>
        <v>0.11333073855073827</v>
      </c>
      <c r="AM97" s="393">
        <f ca="1">AM57*'All Stock'!AJ109</f>
        <v>0.19206278911200242</v>
      </c>
      <c r="AN97" s="393">
        <f ca="1">AN57*'All Stock'!AK109</f>
        <v>0.1136657195412575</v>
      </c>
      <c r="AO97" s="393">
        <f ca="1">AO57*'All Stock'!AL109</f>
        <v>0.1338615505497171</v>
      </c>
      <c r="AP97" s="393">
        <f ca="1">AP57*'All Stock'!AM109</f>
        <v>0.80467576595822277</v>
      </c>
      <c r="AQ97" s="393">
        <f ca="1">AQ57*'All Stock'!AN109</f>
        <v>0.10925414134424676</v>
      </c>
    </row>
    <row r="98" spans="2:43">
      <c r="B98"/>
      <c r="C98" s="488"/>
      <c r="D98" s="488"/>
      <c r="E98"/>
      <c r="G98" s="393">
        <f ca="1">G60*'All Stock'!D110</f>
        <v>1.4708771068222077</v>
      </c>
      <c r="H98" s="393">
        <f ca="1">H60*'All Stock'!E110</f>
        <v>5.5100410964285365</v>
      </c>
      <c r="I98" s="393">
        <f ca="1">I60*'All Stock'!F110</f>
        <v>0.34198485351026681</v>
      </c>
      <c r="J98" s="393">
        <f ca="1">J60*'All Stock'!G110</f>
        <v>3.177484126579937</v>
      </c>
      <c r="K98" s="393">
        <f ca="1">K60*'All Stock'!H110</f>
        <v>0.3178312580517309</v>
      </c>
      <c r="L98" s="393">
        <f ca="1">L60*'All Stock'!I110</f>
        <v>1.2153465429839481</v>
      </c>
      <c r="M98" s="393">
        <f ca="1">M60*'All Stock'!J110</f>
        <v>12.741065934153701</v>
      </c>
      <c r="N98" s="393">
        <f ca="1">N60*'All Stock'!K110</f>
        <v>0.75583653662811467</v>
      </c>
      <c r="O98" s="393">
        <f ca="1">O60*'All Stock'!L110</f>
        <v>7.671222070757637E-2</v>
      </c>
      <c r="P98" s="393">
        <f ca="1">P60*'All Stock'!M110</f>
        <v>5.0866976822912777</v>
      </c>
      <c r="Q98" s="393">
        <f ca="1">Q60*'All Stock'!N110</f>
        <v>3.0874210249480538</v>
      </c>
      <c r="R98" s="393">
        <f ca="1">R60*'All Stock'!O110</f>
        <v>6.0563157774663026</v>
      </c>
      <c r="S98" s="393">
        <f ca="1">S60*'All Stock'!P110</f>
        <v>1.5856549813950491</v>
      </c>
      <c r="T98" s="393">
        <f ca="1">T60*'All Stock'!Q110</f>
        <v>0.3717998730716629</v>
      </c>
      <c r="U98" s="393">
        <f ca="1">U60*'All Stock'!R110</f>
        <v>1.1572909012705317</v>
      </c>
      <c r="V98" s="393">
        <f ca="1">V60*'All Stock'!S110</f>
        <v>2.4593139271825581</v>
      </c>
      <c r="W98" s="393">
        <f ca="1">W60*'All Stock'!T110</f>
        <v>0.2919382331631909</v>
      </c>
      <c r="X98" s="393">
        <f ca="1">X60*'All Stock'!U110</f>
        <v>5.1576092510196831</v>
      </c>
      <c r="Y98" s="393">
        <f ca="1">Y60*'All Stock'!V110</f>
        <v>0.16372984181806727</v>
      </c>
      <c r="Z98" s="393">
        <f ca="1">Z60*'All Stock'!W110</f>
        <v>0.16485749925331147</v>
      </c>
      <c r="AA98" s="393">
        <f ca="1">AA60*'All Stock'!X110</f>
        <v>0.10432424278986548</v>
      </c>
      <c r="AB98" s="393">
        <f ca="1">AB60*'All Stock'!Y110</f>
        <v>4.593628346254356E-2</v>
      </c>
      <c r="AC98" s="393">
        <f ca="1">AC60*'All Stock'!Z110</f>
        <v>11.715453706540082</v>
      </c>
      <c r="AD98" s="393">
        <f ca="1">AD60*'All Stock'!AA110</f>
        <v>1.2448615931980305</v>
      </c>
      <c r="AE98" s="393">
        <f ca="1">AE60*'All Stock'!AB110</f>
        <v>4.850518130150359</v>
      </c>
      <c r="AF98" s="393">
        <f ca="1">AF60*'All Stock'!AC110</f>
        <v>0.60617158317971254</v>
      </c>
      <c r="AG98" s="393">
        <f ca="1">AG60*'All Stock'!AD110</f>
        <v>0.57474707913203249</v>
      </c>
      <c r="AH98" s="393">
        <f ca="1">AH60*'All Stock'!AE110</f>
        <v>1.4707024139743359</v>
      </c>
      <c r="AI98" s="393">
        <f ca="1">AI60*'All Stock'!AF110</f>
        <v>0.13333057450106869</v>
      </c>
      <c r="AJ98" s="393">
        <f ca="1">AJ60*'All Stock'!AG110</f>
        <v>0.28297872265016716</v>
      </c>
      <c r="AK98" s="393">
        <f ca="1">AK60*'All Stock'!AH110</f>
        <v>17.391664205376799</v>
      </c>
      <c r="AL98" s="393">
        <f ca="1">AL60*'All Stock'!AI110</f>
        <v>7.6243087774305843E-2</v>
      </c>
      <c r="AM98" s="393">
        <f ca="1">AM60*'All Stock'!AJ110</f>
        <v>8.8883575315754096E-2</v>
      </c>
      <c r="AN98" s="393">
        <f ca="1">AN60*'All Stock'!AK110</f>
        <v>5.2424405138948492E-2</v>
      </c>
      <c r="AO98" s="393">
        <f ca="1">AO60*'All Stock'!AL110</f>
        <v>5.9793507283869188E-2</v>
      </c>
      <c r="AP98" s="393">
        <f ca="1">AP60*'All Stock'!AM110</f>
        <v>0.37239102576293981</v>
      </c>
      <c r="AQ98" s="393">
        <f ca="1">AQ60*'All Stock'!AN110</f>
        <v>5.0561062585977729E-2</v>
      </c>
    </row>
    <row r="99" spans="2:43">
      <c r="B99"/>
      <c r="C99" s="488"/>
      <c r="D99" s="488"/>
      <c r="E99"/>
      <c r="G99" s="393">
        <f ca="1">G63*'All Stock'!D111</f>
        <v>0.52542606935190828</v>
      </c>
      <c r="H99" s="393">
        <f ca="1">H63*'All Stock'!E111</f>
        <v>2.1682884268456268</v>
      </c>
      <c r="I99" s="393">
        <f ca="1">I63*'All Stock'!F111</f>
        <v>0.36170187897404016</v>
      </c>
      <c r="J99" s="393">
        <f ca="1">J63*'All Stock'!G111</f>
        <v>1.1339577049337086</v>
      </c>
      <c r="K99" s="393">
        <f ca="1">K63*'All Stock'!H111</f>
        <v>0.56561595054289049</v>
      </c>
      <c r="L99" s="393">
        <f ca="1">L63*'All Stock'!I111</f>
        <v>0.7220467912420897</v>
      </c>
      <c r="M99" s="393">
        <f ca="1">M63*'All Stock'!J111</f>
        <v>7.5800764532769707</v>
      </c>
      <c r="N99" s="393">
        <f ca="1">N63*'All Stock'!K111</f>
        <v>0.71733423323162915</v>
      </c>
      <c r="O99" s="393">
        <f ca="1">O63*'All Stock'!L111</f>
        <v>6.0391124465249024E-2</v>
      </c>
      <c r="P99" s="393">
        <f ca="1">P63*'All Stock'!M111</f>
        <v>5.7488955438411296</v>
      </c>
      <c r="Q99" s="393">
        <f ca="1">Q63*'All Stock'!N111</f>
        <v>2.7011151071805295</v>
      </c>
      <c r="R99" s="393">
        <f ca="1">R63*'All Stock'!O111</f>
        <v>7.9844302515425074</v>
      </c>
      <c r="S99" s="393">
        <f ca="1">S63*'All Stock'!P111</f>
        <v>0.28785951859806519</v>
      </c>
      <c r="T99" s="393">
        <f ca="1">T63*'All Stock'!Q111</f>
        <v>0.32056324433126837</v>
      </c>
      <c r="U99" s="393">
        <f ca="1">U63*'All Stock'!R111</f>
        <v>0.83513148801760173</v>
      </c>
      <c r="V99" s="393">
        <f ca="1">V63*'All Stock'!S111</f>
        <v>3.0912282788576606</v>
      </c>
      <c r="W99" s="393">
        <f ca="1">W63*'All Stock'!T111</f>
        <v>0.25540069673921029</v>
      </c>
      <c r="X99" s="393">
        <f ca="1">X63*'All Stock'!U111</f>
        <v>3.918611744949537</v>
      </c>
      <c r="Y99" s="393">
        <f ca="1">Y63*'All Stock'!V111</f>
        <v>8.2263227666217464E-2</v>
      </c>
      <c r="Z99" s="393">
        <f ca="1">Z63*'All Stock'!W111</f>
        <v>0.18314884059968162</v>
      </c>
      <c r="AA99" s="393">
        <f ca="1">AA63*'All Stock'!X111</f>
        <v>7.4567794603954421E-2</v>
      </c>
      <c r="AB99" s="393">
        <f ca="1">AB63*'All Stock'!Y111</f>
        <v>1.6483559993630537E-2</v>
      </c>
      <c r="AC99" s="393">
        <f ca="1">AC63*'All Stock'!Z111</f>
        <v>4.2209247310042546</v>
      </c>
      <c r="AD99" s="393">
        <f ca="1">AD63*'All Stock'!AA111</f>
        <v>0.80279110679081955</v>
      </c>
      <c r="AE99" s="393">
        <f ca="1">AE63*'All Stock'!AB111</f>
        <v>4.747220878289804</v>
      </c>
      <c r="AF99" s="393">
        <f ca="1">AF63*'All Stock'!AC111</f>
        <v>0.22980830377034686</v>
      </c>
      <c r="AG99" s="393">
        <f ca="1">AG63*'All Stock'!AD111</f>
        <v>0.45577643945175328</v>
      </c>
      <c r="AH99" s="393">
        <f ca="1">AH63*'All Stock'!AE111</f>
        <v>0.37429821456353118</v>
      </c>
      <c r="AI99" s="393">
        <f ca="1">AI63*'All Stock'!AF111</f>
        <v>6.4694209271459246E-2</v>
      </c>
      <c r="AJ99" s="393">
        <f ca="1">AJ63*'All Stock'!AG111</f>
        <v>0.21193497781400117</v>
      </c>
      <c r="AK99" s="393">
        <f ca="1">AK63*'All Stock'!AH111</f>
        <v>11.973283991275743</v>
      </c>
      <c r="AL99" s="393">
        <f ca="1">AL63*'All Stock'!AI111</f>
        <v>1.3865538697676479E-2</v>
      </c>
      <c r="AM99" s="393">
        <f ca="1">AM63*'All Stock'!AJ111</f>
        <v>5.813613444824077E-2</v>
      </c>
      <c r="AN99" s="393">
        <f ca="1">AN63*'All Stock'!AK111</f>
        <v>3.4378518075326991E-2</v>
      </c>
      <c r="AO99" s="393">
        <f ca="1">AO63*'All Stock'!AL111</f>
        <v>6.3227331010127313E-2</v>
      </c>
      <c r="AP99" s="393">
        <f ca="1">AP63*'All Stock'!AM111</f>
        <v>0.24357002589245916</v>
      </c>
      <c r="AQ99" s="393">
        <f ca="1">AQ63*'All Stock'!AN111</f>
        <v>3.3070505117533476E-2</v>
      </c>
    </row>
    <row r="100" spans="2:43">
      <c r="B100"/>
      <c r="C100" s="488"/>
      <c r="D100" s="488"/>
      <c r="E100"/>
      <c r="G100" s="393"/>
      <c r="H100" s="393"/>
      <c r="I100" s="393"/>
      <c r="J100" s="393"/>
      <c r="K100" s="393"/>
      <c r="L100" s="393"/>
      <c r="M100" s="393"/>
      <c r="N100" s="393"/>
      <c r="O100" s="393"/>
      <c r="P100" s="393"/>
      <c r="Q100" s="393"/>
      <c r="R100" s="393"/>
      <c r="S100" s="393"/>
      <c r="T100" s="393"/>
      <c r="U100" s="393"/>
      <c r="V100" s="393"/>
      <c r="W100" s="393"/>
      <c r="X100" s="393"/>
      <c r="Y100" s="393"/>
      <c r="Z100" s="393"/>
      <c r="AA100" s="393"/>
      <c r="AB100" s="393"/>
      <c r="AC100" s="393"/>
      <c r="AD100" s="393"/>
      <c r="AE100" s="393"/>
      <c r="AF100" s="393"/>
      <c r="AG100" s="393"/>
      <c r="AH100" s="393"/>
      <c r="AI100" s="393"/>
      <c r="AJ100" s="393"/>
      <c r="AK100" s="393"/>
      <c r="AL100" s="393"/>
      <c r="AM100" s="393"/>
      <c r="AN100" s="393"/>
      <c r="AO100" s="393"/>
      <c r="AP100" s="393"/>
      <c r="AQ100" s="393"/>
    </row>
    <row r="101" spans="2:43">
      <c r="B101"/>
      <c r="C101" s="489"/>
      <c r="D101" s="488"/>
      <c r="E101" s="542" t="s">
        <v>515</v>
      </c>
      <c r="G101" s="767">
        <f t="shared" ref="G101:AQ101" ca="1" si="29">SUM(G94:G99)</f>
        <v>18.469707780388205</v>
      </c>
      <c r="H101" s="767">
        <f t="shared" ca="1" si="29"/>
        <v>70.001071814734601</v>
      </c>
      <c r="I101" s="767">
        <f t="shared" ca="1" si="29"/>
        <v>4.9608035702968598</v>
      </c>
      <c r="J101" s="767">
        <f t="shared" ca="1" si="29"/>
        <v>39.94500049431511</v>
      </c>
      <c r="K101" s="767">
        <f t="shared" ca="1" si="29"/>
        <v>1.8431670460536971</v>
      </c>
      <c r="L101" s="767">
        <f t="shared" ca="1" si="29"/>
        <v>22.115387283164161</v>
      </c>
      <c r="M101" s="767">
        <f t="shared" ca="1" si="29"/>
        <v>321.0646534344242</v>
      </c>
      <c r="N101" s="767">
        <f t="shared" ca="1" si="29"/>
        <v>17.465772765854499</v>
      </c>
      <c r="O101" s="767">
        <f t="shared" ca="1" si="29"/>
        <v>1.8471336421563416</v>
      </c>
      <c r="P101" s="767">
        <f t="shared" ca="1" si="29"/>
        <v>52.809880283571928</v>
      </c>
      <c r="Q101" s="767">
        <f t="shared" ca="1" si="29"/>
        <v>32.989884187252073</v>
      </c>
      <c r="R101" s="767">
        <f t="shared" ca="1" si="29"/>
        <v>192.7349473970726</v>
      </c>
      <c r="S101" s="767">
        <f t="shared" ca="1" si="29"/>
        <v>12.484577137335741</v>
      </c>
      <c r="T101" s="767">
        <f t="shared" ca="1" si="29"/>
        <v>5.5869131308771598</v>
      </c>
      <c r="U101" s="767">
        <f t="shared" ca="1" si="29"/>
        <v>16.782419674417092</v>
      </c>
      <c r="V101" s="767">
        <f t="shared" ca="1" si="29"/>
        <v>23.249220435431457</v>
      </c>
      <c r="W101" s="775">
        <f t="shared" ca="1" si="29"/>
        <v>3.1199534549169163</v>
      </c>
      <c r="X101" s="767">
        <f t="shared" ca="1" si="29"/>
        <v>135.62387003442313</v>
      </c>
      <c r="Y101" s="767">
        <f t="shared" ca="1" si="29"/>
        <v>3.7044958301372368</v>
      </c>
      <c r="Z101" s="767">
        <f t="shared" ca="1" si="29"/>
        <v>3.5191785984474193</v>
      </c>
      <c r="AA101" s="767">
        <f t="shared" ca="1" si="29"/>
        <v>2.6469453022827545</v>
      </c>
      <c r="AB101" s="775">
        <f t="shared" ca="1" si="29"/>
        <v>0.31831414073848796</v>
      </c>
      <c r="AC101" s="767">
        <f t="shared" ca="1" si="29"/>
        <v>138.00501302129655</v>
      </c>
      <c r="AD101" s="767">
        <f t="shared" ca="1" si="29"/>
        <v>10.94965047855772</v>
      </c>
      <c r="AE101" s="767">
        <f t="shared" ca="1" si="29"/>
        <v>44.539124623066677</v>
      </c>
      <c r="AF101" s="767">
        <f t="shared" ca="1" si="29"/>
        <v>3.3346913943688827</v>
      </c>
      <c r="AG101" s="767">
        <f t="shared" ca="1" si="29"/>
        <v>15.565721056132004</v>
      </c>
      <c r="AH101" s="767">
        <f t="shared" ca="1" si="29"/>
        <v>23.581371915723654</v>
      </c>
      <c r="AI101" s="767">
        <f t="shared" ca="1" si="29"/>
        <v>2.2364018108619401</v>
      </c>
      <c r="AJ101" s="767">
        <f t="shared" ca="1" si="29"/>
        <v>4.4660177369229217</v>
      </c>
      <c r="AK101" s="767">
        <f t="shared" ca="1" si="29"/>
        <v>511.32720845886871</v>
      </c>
      <c r="AL101" s="767">
        <f t="shared" ca="1" si="29"/>
        <v>0.60068443732013466</v>
      </c>
      <c r="AM101" s="767">
        <f t="shared" ca="1" si="29"/>
        <v>1.1099155645504797</v>
      </c>
      <c r="AN101" s="767">
        <f t="shared" ca="1" si="29"/>
        <v>0.65939312600225419</v>
      </c>
      <c r="AO101" s="767">
        <f t="shared" ca="1" si="29"/>
        <v>0.87149549043833718</v>
      </c>
      <c r="AP101" s="767">
        <f t="shared" ca="1" si="29"/>
        <v>4.6501571761138036</v>
      </c>
      <c r="AQ101" s="767">
        <f t="shared" ca="1" si="29"/>
        <v>0.63137098305316408</v>
      </c>
    </row>
    <row r="102" spans="2:43">
      <c r="B102"/>
      <c r="C102" s="489"/>
      <c r="D102" s="488"/>
      <c r="E102" s="542" t="s">
        <v>67</v>
      </c>
      <c r="G102" s="767">
        <f ca="1">SUMPRODUCT('TechHeat-RES'!F35:F44,'TechHeat-RES'!F123:F132,'TechHeat-RES'!F167:F176,'TechHeat-RES'!F212:F221)</f>
        <v>21.240163947446433</v>
      </c>
      <c r="H102" s="767">
        <f ca="1">SUMPRODUCT('TechHeat-RES'!G35:G44,'TechHeat-RES'!G123:G132,'TechHeat-RES'!G167:G176,'TechHeat-RES'!G212:G221)</f>
        <v>80.501232586944795</v>
      </c>
      <c r="I102" s="767">
        <f ca="1">SUMPRODUCT('TechHeat-RES'!H35:H44,'TechHeat-RES'!H123:H132,'TechHeat-RES'!H167:H176,'TechHeat-RES'!H212:H221)</f>
        <v>5.7049241058413882</v>
      </c>
      <c r="J102" s="767">
        <f ca="1">SUMPRODUCT('TechHeat-RES'!I35:I44,'TechHeat-RES'!I123:I132,'TechHeat-RES'!I167:I176,'TechHeat-RES'!I212:I221)</f>
        <v>45.936750568462386</v>
      </c>
      <c r="K102" s="767">
        <f ca="1">SUMPRODUCT('TechHeat-RES'!J35:J44,'TechHeat-RES'!J123:J132,'TechHeat-RES'!J167:J176,'TechHeat-RES'!J212:J221)</f>
        <v>2.1196421029617514</v>
      </c>
      <c r="L102" s="767">
        <f ca="1">SUMPRODUCT('TechHeat-RES'!K35:K44,'TechHeat-RES'!K123:K132,'TechHeat-RES'!K167:K176,'TechHeat-RES'!K212:K221)</f>
        <v>25.432695375638787</v>
      </c>
      <c r="M102" s="767">
        <f ca="1">SUMPRODUCT('TechHeat-RES'!L35:L44,'TechHeat-RES'!L123:L132,'TechHeat-RES'!L167:L176,'TechHeat-RES'!L212:L221)</f>
        <v>369.22435144958786</v>
      </c>
      <c r="N102" s="767">
        <f ca="1">SUMPRODUCT('TechHeat-RES'!M35:M44,'TechHeat-RES'!M123:M132,'TechHeat-RES'!M167:M176,'TechHeat-RES'!M212:M221)</f>
        <v>20.085638680732671</v>
      </c>
      <c r="O102" s="767">
        <f ca="1">SUMPRODUCT('TechHeat-RES'!N35:N44,'TechHeat-RES'!N123:N132,'TechHeat-RES'!N167:N176,'TechHeat-RES'!N212:N221)</f>
        <v>2.1242036884797932</v>
      </c>
      <c r="P102" s="767">
        <f ca="1">SUMPRODUCT('TechHeat-RES'!O35:O44,'TechHeat-RES'!O123:O132,'TechHeat-RES'!O167:O176,'TechHeat-RES'!O212:O221)</f>
        <v>60.731362326107707</v>
      </c>
      <c r="Q102" s="767">
        <f ca="1">SUMPRODUCT('TechHeat-RES'!P35:P44,'TechHeat-RES'!P123:P132,'TechHeat-RES'!P167:P176,'TechHeat-RES'!P212:P221)</f>
        <v>37.938366815339876</v>
      </c>
      <c r="R102" s="767">
        <f ca="1">SUMPRODUCT('TechHeat-RES'!Q35:Q44,'TechHeat-RES'!Q123:Q132,'TechHeat-RES'!Q167:Q176,'TechHeat-RES'!Q212:Q221)</f>
        <v>221.64518950663356</v>
      </c>
      <c r="S102" s="767">
        <f ca="1">SUMPRODUCT('TechHeat-RES'!R35:R44,'TechHeat-RES'!R123:R132,'TechHeat-RES'!R167:R176,'TechHeat-RES'!R212:R221)</f>
        <v>14.357263707936101</v>
      </c>
      <c r="T102" s="767">
        <f ca="1">SUMPRODUCT('TechHeat-RES'!S35:S44,'TechHeat-RES'!S123:S132,'TechHeat-RES'!S167:S176,'TechHeat-RES'!S212:S221)</f>
        <v>6.4249501005087328</v>
      </c>
      <c r="U102" s="767">
        <f ca="1">SUMPRODUCT('TechHeat-RES'!T35:T44,'TechHeat-RES'!T123:T132,'TechHeat-RES'!T167:T176,'TechHeat-RES'!T212:T221)</f>
        <v>19.299782625579656</v>
      </c>
      <c r="V102" s="767">
        <f ca="1">SUMPRODUCT('TechHeat-RES'!U35:U44,'TechHeat-RES'!U123:U132,'TechHeat-RES'!U167:U176,'TechHeat-RES'!U212:U221)</f>
        <v>26.736603500746174</v>
      </c>
      <c r="W102" s="767">
        <f ca="1">SUMPRODUCT('TechHeat-RES'!V35:V44,'TechHeat-RES'!V123:V132,'TechHeat-RES'!V167:V176,'TechHeat-RES'!V212:V221)</f>
        <v>3.587946473154453</v>
      </c>
      <c r="X102" s="767">
        <f ca="1">SUMPRODUCT('TechHeat-RES'!W35:W44,'TechHeat-RES'!W123:W132,'TechHeat-RES'!W167:W176,'TechHeat-RES'!W212:W221)</f>
        <v>155.96745053958657</v>
      </c>
      <c r="Y102" s="767">
        <f ca="1">SUMPRODUCT('TechHeat-RES'!X35:X44,'TechHeat-RES'!X123:X132,'TechHeat-RES'!X167:X176,'TechHeat-RES'!X212:X221)</f>
        <v>4.2601702046578218</v>
      </c>
      <c r="Z102" s="767">
        <f ca="1">SUMPRODUCT('TechHeat-RES'!Y35:Y44,'TechHeat-RES'!Y123:Y132,'TechHeat-RES'!Y167:Y176,'TechHeat-RES'!Y212:Y221)</f>
        <v>4.0470553882145328</v>
      </c>
      <c r="AA102" s="767">
        <f ca="1">SUMPRODUCT('TechHeat-RES'!Z35:Z44,'TechHeat-RES'!Z123:Z132,'TechHeat-RES'!Z167:Z176,'TechHeat-RES'!Z212:Z221)</f>
        <v>3.0439870976251671</v>
      </c>
      <c r="AB102" s="767">
        <f ca="1">SUMPRODUCT('TechHeat-RES'!AA35:AA44,'TechHeat-RES'!AA123:AA132,'TechHeat-RES'!AA167:AA176,'TechHeat-RES'!AA212:AA221)</f>
        <v>0.36606126184926113</v>
      </c>
      <c r="AC102" s="767">
        <f ca="1">SUMPRODUCT('TechHeat-RES'!AB35:AB44,'TechHeat-RES'!AB123:AB132,'TechHeat-RES'!AB167:AB176,'TechHeat-RES'!AB212:AB221)</f>
        <v>158.70576497449107</v>
      </c>
      <c r="AD102" s="767">
        <f ca="1">SUMPRODUCT('TechHeat-RES'!AC35:AC44,'TechHeat-RES'!AC123:AC132,'TechHeat-RES'!AC167:AC176,'TechHeat-RES'!AC212:AC221)</f>
        <v>12.592098050341376</v>
      </c>
      <c r="AE102" s="767">
        <f ca="1">SUMPRODUCT('TechHeat-RES'!AD35:AD44,'TechHeat-RES'!AD123:AD132,'TechHeat-RES'!AD167:AD176,'TechHeat-RES'!AD212:AD221)</f>
        <v>51.219993316526669</v>
      </c>
      <c r="AF102" s="767">
        <f ca="1">SUMPRODUCT('TechHeat-RES'!AE35:AE44,'TechHeat-RES'!AE123:AE132,'TechHeat-RES'!AE167:AE176,'TechHeat-RES'!AE212:AE221)</f>
        <v>3.8348951035242145</v>
      </c>
      <c r="AG102" s="767">
        <f ca="1">SUMPRODUCT('TechHeat-RES'!AF35:AF44,'TechHeat-RES'!AF123:AF132,'TechHeat-RES'!AF167:AF176,'TechHeat-RES'!AF212:AF221)</f>
        <v>17.900579214551808</v>
      </c>
      <c r="AH102" s="767">
        <f ca="1">SUMPRODUCT('TechHeat-RES'!AG35:AG44,'TechHeat-RES'!AG123:AG132,'TechHeat-RES'!AG167:AG176,'TechHeat-RES'!AG212:AG221)</f>
        <v>27.118577703082202</v>
      </c>
      <c r="AI102" s="767">
        <f ca="1">SUMPRODUCT('TechHeat-RES'!AH35:AH44,'TechHeat-RES'!AH123:AH132,'TechHeat-RES'!AH167:AH176,'TechHeat-RES'!AH212:AH221)</f>
        <v>2.5718620824912302</v>
      </c>
      <c r="AJ102" s="767">
        <f ca="1">SUMPRODUCT('TechHeat-RES'!AI35:AI44,'TechHeat-RES'!AI123:AI132,'TechHeat-RES'!AI167:AI176,'TechHeat-RES'!AI212:AI221)</f>
        <v>5.1359203974613585</v>
      </c>
      <c r="AK102" s="767">
        <f ca="1">SUMPRODUCT('TechHeat-RES'!AJ35:AJ44,'TechHeat-RES'!AJ123:AJ132,'TechHeat-RES'!AJ167:AJ176,'TechHeat-RES'!AJ212:AJ221)</f>
        <v>588.02628972769924</v>
      </c>
      <c r="AL102" s="767">
        <f ca="1">SUMPRODUCT('TechHeat-RES'!AK35:AK44,'TechHeat-RES'!AK123:AK132,'TechHeat-RES'!AK167:AK176,'TechHeat-RES'!AK212:AK221)</f>
        <v>0.69078710291815471</v>
      </c>
      <c r="AM102" s="767">
        <f ca="1">SUMPRODUCT('TechHeat-RES'!AL35:AL44,'TechHeat-RES'!AL123:AL132,'TechHeat-RES'!AL167:AL176,'TechHeat-RES'!AL212:AL221)</f>
        <v>1.2764028992330516</v>
      </c>
      <c r="AN102" s="767">
        <f ca="1">SUMPRODUCT('TechHeat-RES'!AM35:AM44,'TechHeat-RES'!AM123:AM132,'TechHeat-RES'!AM167:AM176,'TechHeat-RES'!AM212:AM221)</f>
        <v>0.75830209490259237</v>
      </c>
      <c r="AO102" s="767">
        <f ca="1">SUMPRODUCT('TechHeat-RES'!AN35:AN44,'TechHeat-RES'!AN123:AN132,'TechHeat-RES'!AN167:AN176,'TechHeat-RES'!AN212:AN221)</f>
        <v>1.0022198140040879</v>
      </c>
      <c r="AP102" s="767">
        <f ca="1">SUMPRODUCT('TechHeat-RES'!AO35:AO44,'TechHeat-RES'!AO123:AO132,'TechHeat-RES'!AO167:AO176,'TechHeat-RES'!AO212:AO221)</f>
        <v>5.3476807525308745</v>
      </c>
      <c r="AQ102" s="767">
        <f ca="1">SUMPRODUCT('TechHeat-RES'!AP35:AP44,'TechHeat-RES'!AP123:AP132,'TechHeat-RES'!AP167:AP176,'TechHeat-RES'!AP212:AP221)</f>
        <v>0.72607663051113869</v>
      </c>
    </row>
    <row r="103" spans="2:43">
      <c r="B103"/>
      <c r="C103" s="488"/>
      <c r="D103" s="488"/>
      <c r="E103"/>
      <c r="G103" s="393"/>
      <c r="H103" s="393"/>
      <c r="I103" s="393"/>
    </row>
    <row r="104" spans="2:43">
      <c r="B104"/>
      <c r="C104" s="488"/>
      <c r="D104" s="488"/>
      <c r="E104"/>
    </row>
    <row r="105" spans="2:43">
      <c r="B105"/>
      <c r="C105" s="488"/>
      <c r="D105" s="488"/>
      <c r="E105" t="s">
        <v>172</v>
      </c>
      <c r="G105" s="393">
        <f ca="1">G77+G83+G91+G101</f>
        <v>119.08421737005827</v>
      </c>
      <c r="H105" s="393">
        <f t="shared" ref="H105:AQ105" ca="1" si="30">H77+H83+H91+H101</f>
        <v>163.61013951186897</v>
      </c>
      <c r="I105" s="393">
        <f t="shared" ca="1" si="30"/>
        <v>28.440237201588083</v>
      </c>
      <c r="J105" s="393">
        <f t="shared" ca="1" si="30"/>
        <v>134.63755089074641</v>
      </c>
      <c r="K105" s="393">
        <f t="shared" ca="1" si="30"/>
        <v>5.5593173911772347</v>
      </c>
      <c r="L105" s="393">
        <f t="shared" ca="1" si="30"/>
        <v>128.46201712298355</v>
      </c>
      <c r="M105" s="393">
        <f t="shared" ca="1" si="30"/>
        <v>1182.6026187943046</v>
      </c>
      <c r="N105" s="393">
        <f t="shared" ca="1" si="30"/>
        <v>96.977981469978602</v>
      </c>
      <c r="O105" s="393">
        <f t="shared" ca="1" si="30"/>
        <v>17.676281192145566</v>
      </c>
      <c r="P105" s="393">
        <f t="shared" ca="1" si="30"/>
        <v>205.57006905770049</v>
      </c>
      <c r="Q105" s="393">
        <f t="shared" ca="1" si="30"/>
        <v>142.58450161461693</v>
      </c>
      <c r="R105" s="393">
        <f t="shared" ca="1" si="30"/>
        <v>728.11194720416302</v>
      </c>
      <c r="S105" s="393">
        <f t="shared" ca="1" si="30"/>
        <v>79.149187141823973</v>
      </c>
      <c r="T105" s="393">
        <f t="shared" ca="1" si="30"/>
        <v>44.249702686925986</v>
      </c>
      <c r="U105" s="393">
        <f t="shared" ca="1" si="30"/>
        <v>120.39108087076866</v>
      </c>
      <c r="V105" s="393">
        <f t="shared" ca="1" si="30"/>
        <v>53.724015046362098</v>
      </c>
      <c r="W105" s="393">
        <f t="shared" ca="1" si="30"/>
        <v>12.137410072136397</v>
      </c>
      <c r="X105" s="393">
        <f t="shared" ca="1" si="30"/>
        <v>566.79664602077082</v>
      </c>
      <c r="Y105" s="393">
        <f t="shared" ca="1" si="30"/>
        <v>26.053187417696005</v>
      </c>
      <c r="Z105" s="393">
        <f t="shared" ca="1" si="30"/>
        <v>10.38683739250525</v>
      </c>
      <c r="AA105" s="393">
        <f t="shared" ca="1" si="30"/>
        <v>23.985895761571779</v>
      </c>
      <c r="AB105" s="393">
        <f t="shared" ca="1" si="30"/>
        <v>0.41554256522719357</v>
      </c>
      <c r="AC105" s="393">
        <f t="shared" ca="1" si="30"/>
        <v>213.43325322264607</v>
      </c>
      <c r="AD105" s="393">
        <f t="shared" ca="1" si="30"/>
        <v>56.311210180932115</v>
      </c>
      <c r="AE105" s="393">
        <f t="shared" ca="1" si="30"/>
        <v>361.1019656347903</v>
      </c>
      <c r="AF105" s="393">
        <f t="shared" ca="1" si="30"/>
        <v>13.006274552771004</v>
      </c>
      <c r="AG105" s="393">
        <f t="shared" ca="1" si="30"/>
        <v>134.75582018905141</v>
      </c>
      <c r="AH105" s="393">
        <f t="shared" ca="1" si="30"/>
        <v>174.67897757254616</v>
      </c>
      <c r="AI105" s="393">
        <f t="shared" ca="1" si="30"/>
        <v>21.814133530731532</v>
      </c>
      <c r="AJ105" s="393">
        <f t="shared" ca="1" si="30"/>
        <v>41.447482148666083</v>
      </c>
      <c r="AK105" s="393">
        <f t="shared" ca="1" si="30"/>
        <v>818.43285921922677</v>
      </c>
      <c r="AL105" s="393">
        <f t="shared" ca="1" si="30"/>
        <v>3.6171209302749916</v>
      </c>
      <c r="AM105" s="393">
        <f t="shared" ca="1" si="30"/>
        <v>9.5191568345008815</v>
      </c>
      <c r="AN105" s="393">
        <f t="shared" ca="1" si="30"/>
        <v>4.3539005810131224</v>
      </c>
      <c r="AO105" s="393">
        <f t="shared" ca="1" si="30"/>
        <v>5.2996770127776065</v>
      </c>
      <c r="AP105" s="393">
        <f t="shared" ca="1" si="30"/>
        <v>39.881930552469321</v>
      </c>
      <c r="AQ105" s="393">
        <f t="shared" ca="1" si="30"/>
        <v>5.4149338926246928</v>
      </c>
    </row>
    <row r="106" spans="2:43">
      <c r="B106"/>
      <c r="C106" s="488"/>
      <c r="D106" s="488"/>
      <c r="E106"/>
      <c r="G106" s="393">
        <f ca="1">G78+G84+G91+G102</f>
        <v>133.13652462696254</v>
      </c>
      <c r="H106" s="393">
        <f t="shared" ref="H106:AQ106" ca="1" si="31">H78+H84+H91+H102</f>
        <v>184.2062545594579</v>
      </c>
      <c r="I106" s="393">
        <f t="shared" ca="1" si="31"/>
        <v>31.402312777489492</v>
      </c>
      <c r="J106" s="393">
        <f t="shared" ca="1" si="31"/>
        <v>151.54003064206637</v>
      </c>
      <c r="K106" s="393">
        <f t="shared" ca="1" si="31"/>
        <v>5.9970597546516897</v>
      </c>
      <c r="L106" s="393">
        <f t="shared" ca="1" si="31"/>
        <v>143.73007347294356</v>
      </c>
      <c r="M106" s="393">
        <f t="shared" ca="1" si="31"/>
        <v>1335.918880826481</v>
      </c>
      <c r="N106" s="393">
        <f t="shared" ca="1" si="31"/>
        <v>108.88695268897206</v>
      </c>
      <c r="O106" s="393">
        <f t="shared" ca="1" si="31"/>
        <v>19.798957246280516</v>
      </c>
      <c r="P106" s="393">
        <f t="shared" ca="1" si="31"/>
        <v>232.88686540242935</v>
      </c>
      <c r="Q106" s="393">
        <f t="shared" ca="1" si="31"/>
        <v>157.21657169031715</v>
      </c>
      <c r="R106" s="393">
        <f t="shared" ca="1" si="31"/>
        <v>817.9387992742885</v>
      </c>
      <c r="S106" s="393">
        <f t="shared" ca="1" si="31"/>
        <v>87.653952536608472</v>
      </c>
      <c r="T106" s="393">
        <f t="shared" ca="1" si="31"/>
        <v>48.506662879902485</v>
      </c>
      <c r="U106" s="393">
        <f t="shared" ca="1" si="31"/>
        <v>132.46322625988711</v>
      </c>
      <c r="V106" s="393">
        <f t="shared" ca="1" si="31"/>
        <v>59.503338889760599</v>
      </c>
      <c r="W106" s="393">
        <f t="shared" ca="1" si="31"/>
        <v>13.444867728106404</v>
      </c>
      <c r="X106" s="393">
        <f t="shared" ca="1" si="31"/>
        <v>644.32767012127817</v>
      </c>
      <c r="Y106" s="393">
        <f t="shared" ca="1" si="31"/>
        <v>29.213611467607176</v>
      </c>
      <c r="Z106" s="393">
        <f t="shared" ca="1" si="31"/>
        <v>11.737989922191838</v>
      </c>
      <c r="AA106" s="393">
        <f t="shared" ca="1" si="31"/>
        <v>26.748975877209112</v>
      </c>
      <c r="AB106" s="393">
        <f t="shared" ca="1" si="31"/>
        <v>0.47470993055284427</v>
      </c>
      <c r="AC106" s="393">
        <f t="shared" ca="1" si="31"/>
        <v>242.70588512903061</v>
      </c>
      <c r="AD106" s="393">
        <f t="shared" ca="1" si="31"/>
        <v>62.737257881575836</v>
      </c>
      <c r="AE106" s="393">
        <f t="shared" ca="1" si="31"/>
        <v>400.38724574024076</v>
      </c>
      <c r="AF106" s="393">
        <f t="shared" ca="1" si="31"/>
        <v>14.248799318555211</v>
      </c>
      <c r="AG106" s="393">
        <f t="shared" ca="1" si="31"/>
        <v>146.31035585124886</v>
      </c>
      <c r="AH106" s="393">
        <f t="shared" ca="1" si="31"/>
        <v>196.1454068789005</v>
      </c>
      <c r="AI106" s="393">
        <f t="shared" ca="1" si="31"/>
        <v>24.367245932515555</v>
      </c>
      <c r="AJ106" s="393">
        <f t="shared" ca="1" si="31"/>
        <v>46.061111248277214</v>
      </c>
      <c r="AK106" s="393">
        <f t="shared" ca="1" si="31"/>
        <v>932.56685837813836</v>
      </c>
      <c r="AL106" s="393">
        <f t="shared" ca="1" si="31"/>
        <v>3.9926380139503732</v>
      </c>
      <c r="AM106" s="393">
        <f t="shared" ca="1" si="31"/>
        <v>10.448201505034817</v>
      </c>
      <c r="AN106" s="393">
        <f t="shared" ca="1" si="31"/>
        <v>4.8240558723759195</v>
      </c>
      <c r="AO106" s="393">
        <f t="shared" ca="1" si="31"/>
        <v>5.8664698010563576</v>
      </c>
      <c r="AP106" s="393">
        <f t="shared" ca="1" si="31"/>
        <v>43.774302080175005</v>
      </c>
      <c r="AQ106" s="393">
        <f t="shared" ca="1" si="31"/>
        <v>5.9434171986254336</v>
      </c>
    </row>
    <row r="107" spans="2:43">
      <c r="B107"/>
      <c r="C107" s="488"/>
      <c r="D107" s="488"/>
      <c r="E107" t="s">
        <v>873</v>
      </c>
      <c r="G107" s="393">
        <f>'IDEES okt 2017 template'!D110*'TechHeat-RES'!F307</f>
        <v>119.08421737005827</v>
      </c>
      <c r="H107" s="393">
        <f>'IDEES okt 2017 template'!E110*'TechHeat-RES'!G307</f>
        <v>163.61013951186897</v>
      </c>
      <c r="I107" s="393">
        <f>'IDEES okt 2017 template'!F110*'TechHeat-RES'!H307</f>
        <v>28.440237201588086</v>
      </c>
      <c r="J107" s="393">
        <f>'IDEES okt 2017 template'!G110*'TechHeat-RES'!I307</f>
        <v>134.63755089074641</v>
      </c>
      <c r="K107" s="393">
        <f>'IDEES okt 2017 template'!H110*'TechHeat-RES'!J307</f>
        <v>5.5593173911772338</v>
      </c>
      <c r="L107" s="393">
        <f>'IDEES okt 2017 template'!I110*'TechHeat-RES'!K307</f>
        <v>128.46201712298358</v>
      </c>
      <c r="M107" s="393">
        <f>'IDEES okt 2017 template'!J110*'TechHeat-RES'!L307</f>
        <v>1182.6026187943046</v>
      </c>
      <c r="N107" s="393">
        <f>'IDEES okt 2017 template'!K110*'TechHeat-RES'!M307</f>
        <v>96.977981469978602</v>
      </c>
      <c r="O107" s="393">
        <f>'IDEES okt 2017 template'!L110*'TechHeat-RES'!N307</f>
        <v>17.676281192145563</v>
      </c>
      <c r="P107" s="393">
        <f>'IDEES okt 2017 template'!M110*'TechHeat-RES'!O307</f>
        <v>205.57006905770058</v>
      </c>
      <c r="Q107" s="393">
        <f>'IDEES okt 2017 template'!N110*'TechHeat-RES'!P307</f>
        <v>142.5845016146169</v>
      </c>
      <c r="R107" s="393">
        <f>'IDEES okt 2017 template'!O110*'TechHeat-RES'!Q307</f>
        <v>728.11194720416324</v>
      </c>
      <c r="S107" s="393">
        <f>'IDEES okt 2017 template'!P110*'TechHeat-RES'!R307</f>
        <v>79.149187141823973</v>
      </c>
      <c r="T107" s="393">
        <f>'IDEES okt 2017 template'!Q110*'TechHeat-RES'!S307</f>
        <v>44.249702686925971</v>
      </c>
      <c r="U107" s="393">
        <f>'IDEES okt 2017 template'!R110*'TechHeat-RES'!T307</f>
        <v>120.39108087076865</v>
      </c>
      <c r="V107" s="393">
        <f>'IDEES okt 2017 template'!S110*'TechHeat-RES'!U307</f>
        <v>53.724015046362119</v>
      </c>
      <c r="W107" s="393">
        <f>'IDEES okt 2017 template'!T110*'TechHeat-RES'!V307</f>
        <v>12.137410072136396</v>
      </c>
      <c r="X107" s="393">
        <f>'IDEES okt 2017 template'!U110*'TechHeat-RES'!W307</f>
        <v>566.79664602077082</v>
      </c>
      <c r="Y107" s="393">
        <f>'IDEES okt 2017 template'!V110*'TechHeat-RES'!X307</f>
        <v>26.053187417695995</v>
      </c>
      <c r="Z107" s="393">
        <f>'IDEES okt 2017 template'!W110*'TechHeat-RES'!Y307</f>
        <v>10.38683739250525</v>
      </c>
      <c r="AA107" s="393">
        <f>'IDEES okt 2017 template'!X110*'TechHeat-RES'!Z307</f>
        <v>23.985895761571776</v>
      </c>
      <c r="AB107" s="393">
        <f>'IDEES okt 2017 template'!Y110*'TechHeat-RES'!AA307</f>
        <v>0.41554256522719352</v>
      </c>
      <c r="AC107" s="393">
        <f>'IDEES okt 2017 template'!Z110*'TechHeat-RES'!AB307</f>
        <v>213.43325322264604</v>
      </c>
      <c r="AD107" s="393">
        <f>'IDEES okt 2017 template'!AA110*'TechHeat-RES'!AC307</f>
        <v>56.311210180932115</v>
      </c>
      <c r="AE107" s="393">
        <f>'IDEES okt 2017 template'!AB110*'TechHeat-RES'!AD307</f>
        <v>361.1019656347903</v>
      </c>
      <c r="AF107" s="393">
        <f>'IDEES okt 2017 template'!AC110*'TechHeat-RES'!AE307</f>
        <v>13.006274552771004</v>
      </c>
      <c r="AG107" s="393">
        <f>'IDEES okt 2017 template'!AD110*'TechHeat-RES'!AF307</f>
        <v>134.75582018905138</v>
      </c>
      <c r="AH107" s="393">
        <f>'IDEES okt 2017 template'!AE110*'TechHeat-RES'!AG307</f>
        <v>174.67897757254616</v>
      </c>
      <c r="AI107" s="393">
        <f>'IDEES okt 2017 template'!AF110*'TechHeat-RES'!AH307</f>
        <v>21.814133530731532</v>
      </c>
      <c r="AJ107" s="393">
        <f>'IDEES okt 2017 template'!AG110*'TechHeat-RES'!AI307</f>
        <v>41.447482148666083</v>
      </c>
      <c r="AK107" s="393">
        <f>'IDEES okt 2017 template'!AH110*'TechHeat-RES'!AJ307</f>
        <v>818.43285921922654</v>
      </c>
      <c r="AL107" s="393">
        <f>'IDEES okt 2017 template'!AI110*'TechHeat-RES'!AK307</f>
        <v>3.6171209302749903</v>
      </c>
      <c r="AM107" s="393">
        <f>'IDEES okt 2017 template'!AJ110*'TechHeat-RES'!AL307</f>
        <v>9.5191568345008797</v>
      </c>
      <c r="AN107" s="393">
        <f>'IDEES okt 2017 template'!AK110*'TechHeat-RES'!AM307</f>
        <v>4.3539005810131233</v>
      </c>
      <c r="AO107" s="393">
        <f>'IDEES okt 2017 template'!AL110*'TechHeat-RES'!AN307</f>
        <v>5.2996770127776074</v>
      </c>
      <c r="AP107" s="393">
        <f>'IDEES okt 2017 template'!AM110*'TechHeat-RES'!AO307</f>
        <v>39.881930552469328</v>
      </c>
      <c r="AQ107" s="393">
        <f>'IDEES okt 2017 template'!AN110*'TechHeat-RES'!AP307</f>
        <v>5.4149338926246928</v>
      </c>
    </row>
    <row r="108" spans="2:43">
      <c r="B108"/>
      <c r="C108" s="488"/>
      <c r="D108" s="488"/>
      <c r="E108"/>
      <c r="G108" s="480"/>
    </row>
    <row r="109" spans="2:43">
      <c r="B109"/>
      <c r="C109" t="s">
        <v>880</v>
      </c>
      <c r="D109" s="488"/>
      <c r="F109" s="516" t="s">
        <v>606</v>
      </c>
      <c r="G109" s="789">
        <f t="shared" ref="G109:AQ109" ca="1" si="32">G105/G65</f>
        <v>4.0315658126842333E-2</v>
      </c>
      <c r="H109" s="789">
        <f t="shared" ca="1" si="32"/>
        <v>4.7539021198856002E-2</v>
      </c>
      <c r="I109" s="789">
        <f t="shared" ca="1" si="32"/>
        <v>1.6443598512961809E-2</v>
      </c>
      <c r="J109" s="789">
        <f t="shared" ca="1" si="32"/>
        <v>3.9208035099442116E-2</v>
      </c>
      <c r="K109" s="789">
        <f t="shared" ca="1" si="32"/>
        <v>1.8686702054033416E-2</v>
      </c>
      <c r="L109" s="789">
        <f t="shared" ca="1" si="32"/>
        <v>3.3419967563328767E-2</v>
      </c>
      <c r="M109" s="789">
        <f t="shared" ca="1" si="32"/>
        <v>3.4451796690536669E-2</v>
      </c>
      <c r="N109" s="789">
        <f t="shared" ca="1" si="32"/>
        <v>3.7370189035545127E-2</v>
      </c>
      <c r="O109" s="789">
        <f t="shared" ca="1" si="32"/>
        <v>2.7126670746977631E-2</v>
      </c>
      <c r="P109" s="789">
        <f t="shared" ca="1" si="32"/>
        <v>1.9461122919543553E-2</v>
      </c>
      <c r="Q109" s="789">
        <f t="shared" ca="1" si="32"/>
        <v>5.7056623295164838E-2</v>
      </c>
      <c r="R109" s="789">
        <f t="shared" ca="1" si="32"/>
        <v>3.4516206260256185E-2</v>
      </c>
      <c r="S109" s="789">
        <f t="shared" ca="1" si="32"/>
        <v>2.8067351215949797E-2</v>
      </c>
      <c r="T109" s="789">
        <f t="shared" ca="1" si="32"/>
        <v>3.2328593005060267E-2</v>
      </c>
      <c r="U109" s="789">
        <f t="shared" ca="1" si="32"/>
        <v>3.5212415074707321E-2</v>
      </c>
      <c r="V109" s="789">
        <f t="shared" ca="1" si="32"/>
        <v>4.0892336958738409E-2</v>
      </c>
      <c r="W109" s="789">
        <f t="shared" ca="1" si="32"/>
        <v>8.0138751890597354E-2</v>
      </c>
      <c r="X109" s="789">
        <f t="shared" ca="1" si="32"/>
        <v>2.4734365659665636E-2</v>
      </c>
      <c r="Y109" s="789">
        <f t="shared" ca="1" si="32"/>
        <v>2.3304151419210037E-2</v>
      </c>
      <c r="Z109" s="789">
        <f t="shared" ca="1" si="32"/>
        <v>5.5249135360395683E-2</v>
      </c>
      <c r="AA109" s="789">
        <f t="shared" ca="1" si="32"/>
        <v>2.8756458360382833E-2</v>
      </c>
      <c r="AB109" s="789">
        <f t="shared" ca="1" si="32"/>
        <v>6.3445232807587022E-3</v>
      </c>
      <c r="AC109" s="789">
        <f t="shared" ca="1" si="32"/>
        <v>3.7300428355412016E-2</v>
      </c>
      <c r="AD109" s="789">
        <f t="shared" ca="1" si="32"/>
        <v>2.8448541254730588E-2</v>
      </c>
      <c r="AE109" s="789">
        <f t="shared" ca="1" si="32"/>
        <v>3.1937040834369962E-2</v>
      </c>
      <c r="AF109" s="789">
        <f t="shared" ca="1" si="32"/>
        <v>1.0360831647370344E-2</v>
      </c>
      <c r="AG109" s="789">
        <f t="shared" ca="1" si="32"/>
        <v>2.8319055315603334E-2</v>
      </c>
      <c r="AH109" s="789">
        <f t="shared" ca="1" si="32"/>
        <v>4.1879400051408666E-2</v>
      </c>
      <c r="AI109" s="789">
        <f t="shared" ca="1" si="32"/>
        <v>3.0240336953706995E-2</v>
      </c>
      <c r="AJ109" s="789">
        <f t="shared" ca="1" si="32"/>
        <v>3.634860912254461E-2</v>
      </c>
      <c r="AK109" s="789">
        <f t="shared" ca="1" si="32"/>
        <v>3.9028760159841677E-2</v>
      </c>
      <c r="AL109" s="789">
        <f t="shared" ca="1" si="32"/>
        <v>1.0950921511927928E-2</v>
      </c>
      <c r="AM109" s="789">
        <f t="shared" ca="1" si="32"/>
        <v>1.6580112793885805E-2</v>
      </c>
      <c r="AN109" s="789">
        <f t="shared" ca="1" si="32"/>
        <v>2.6304923460218704E-2</v>
      </c>
      <c r="AO109" s="789">
        <f t="shared" ca="1" si="32"/>
        <v>1.5558213671451047E-2</v>
      </c>
      <c r="AP109" s="789">
        <f t="shared" ca="1" si="32"/>
        <v>2.3509950790004702E-2</v>
      </c>
      <c r="AQ109" s="789">
        <f t="shared" ca="1" si="32"/>
        <v>1.6022323741451572E-2</v>
      </c>
    </row>
    <row r="110" spans="2:43">
      <c r="B110" s="490"/>
      <c r="C110" s="489"/>
      <c r="D110" s="489"/>
      <c r="E110" s="490"/>
    </row>
    <row r="111" spans="2:43">
      <c r="B111"/>
      <c r="C111" s="488"/>
      <c r="D111" s="488"/>
      <c r="E111"/>
    </row>
    <row r="112" spans="2:43">
      <c r="B112"/>
      <c r="C112" s="489"/>
      <c r="D112" s="488"/>
      <c r="E112"/>
      <c r="R112" s="480"/>
    </row>
    <row r="113" spans="1:43">
      <c r="B113"/>
      <c r="C113" s="488"/>
      <c r="D113" s="488"/>
      <c r="E113"/>
    </row>
    <row r="114" spans="1:43">
      <c r="B114"/>
      <c r="C114" s="488"/>
      <c r="D114" s="488"/>
      <c r="E114"/>
    </row>
    <row r="115" spans="1:43">
      <c r="B115"/>
      <c r="C115" s="488"/>
      <c r="D115" s="488"/>
      <c r="E115"/>
    </row>
    <row r="116" spans="1:43">
      <c r="B116"/>
      <c r="C116" s="488"/>
      <c r="D116" s="488"/>
      <c r="E116"/>
    </row>
    <row r="121" spans="1:43" ht="15" thickBot="1">
      <c r="G121" s="540" t="str">
        <f t="shared" ref="G121:AQ121" si="33">G45</f>
        <v>AT</v>
      </c>
      <c r="H121" s="540" t="str">
        <f t="shared" si="33"/>
        <v>BE</v>
      </c>
      <c r="I121" s="540" t="str">
        <f t="shared" si="33"/>
        <v>BG</v>
      </c>
      <c r="J121" s="540" t="str">
        <f t="shared" si="33"/>
        <v>CH</v>
      </c>
      <c r="K121" s="540" t="str">
        <f t="shared" si="33"/>
        <v>CY</v>
      </c>
      <c r="L121" s="540" t="str">
        <f t="shared" si="33"/>
        <v>CZ</v>
      </c>
      <c r="M121" s="540" t="str">
        <f t="shared" si="33"/>
        <v>DE</v>
      </c>
      <c r="N121" s="540" t="str">
        <f t="shared" si="33"/>
        <v>DK</v>
      </c>
      <c r="O121" s="540" t="str">
        <f t="shared" si="33"/>
        <v>EE</v>
      </c>
      <c r="P121" s="540" t="str">
        <f t="shared" si="33"/>
        <v>ES</v>
      </c>
      <c r="Q121" s="540" t="str">
        <f t="shared" si="33"/>
        <v>FI</v>
      </c>
      <c r="R121" s="540" t="str">
        <f t="shared" si="33"/>
        <v>FR</v>
      </c>
      <c r="S121" s="540" t="str">
        <f t="shared" si="33"/>
        <v>EL</v>
      </c>
      <c r="T121" s="540" t="str">
        <f t="shared" si="33"/>
        <v>HR</v>
      </c>
      <c r="U121" s="540" t="str">
        <f t="shared" si="33"/>
        <v>HU</v>
      </c>
      <c r="V121" s="540" t="str">
        <f t="shared" si="33"/>
        <v>IE</v>
      </c>
      <c r="W121" s="540" t="str">
        <f t="shared" si="33"/>
        <v>IS</v>
      </c>
      <c r="X121" s="540" t="str">
        <f t="shared" si="33"/>
        <v>IT</v>
      </c>
      <c r="Y121" s="540" t="str">
        <f t="shared" si="33"/>
        <v>LT</v>
      </c>
      <c r="Z121" s="540" t="str">
        <f t="shared" si="33"/>
        <v>LU</v>
      </c>
      <c r="AA121" s="540" t="str">
        <f t="shared" si="33"/>
        <v>LV</v>
      </c>
      <c r="AB121" s="540" t="str">
        <f t="shared" si="33"/>
        <v>MT</v>
      </c>
      <c r="AC121" s="540" t="str">
        <f t="shared" si="33"/>
        <v>NL</v>
      </c>
      <c r="AD121" s="540" t="str">
        <f t="shared" si="33"/>
        <v>NO</v>
      </c>
      <c r="AE121" s="540" t="str">
        <f t="shared" si="33"/>
        <v>PL</v>
      </c>
      <c r="AF121" s="540" t="str">
        <f t="shared" si="33"/>
        <v>PT</v>
      </c>
      <c r="AG121" s="540" t="str">
        <f t="shared" si="33"/>
        <v>RO</v>
      </c>
      <c r="AH121" s="540" t="str">
        <f t="shared" si="33"/>
        <v>SE</v>
      </c>
      <c r="AI121" s="540" t="str">
        <f t="shared" si="33"/>
        <v>SI</v>
      </c>
      <c r="AJ121" s="540" t="str">
        <f t="shared" si="33"/>
        <v>SK</v>
      </c>
      <c r="AK121" s="540" t="str">
        <f t="shared" si="33"/>
        <v>UK</v>
      </c>
      <c r="AL121" s="540" t="str">
        <f t="shared" si="33"/>
        <v>AL</v>
      </c>
      <c r="AM121" s="540" t="str">
        <f t="shared" si="33"/>
        <v>BA</v>
      </c>
      <c r="AN121" s="540" t="str">
        <f t="shared" si="33"/>
        <v>ME</v>
      </c>
      <c r="AO121" s="540" t="str">
        <f t="shared" si="33"/>
        <v>MK</v>
      </c>
      <c r="AP121" s="540" t="str">
        <f t="shared" si="33"/>
        <v>RS</v>
      </c>
      <c r="AQ121" s="540" t="str">
        <f t="shared" si="33"/>
        <v>KS</v>
      </c>
    </row>
    <row r="122" spans="1:43">
      <c r="A122" s="2">
        <v>1</v>
      </c>
      <c r="B122" s="2" t="s">
        <v>541</v>
      </c>
      <c r="C122" s="2" t="s">
        <v>2</v>
      </c>
      <c r="D122" s="2" t="s">
        <v>549</v>
      </c>
      <c r="F122" s="2">
        <f>VLOOKUP(C122,TechComm!$U$2:$V$7,2,FALSE)</f>
        <v>1940</v>
      </c>
      <c r="G122" s="480">
        <f t="shared" ref="G122:P131" ca="1" si="34">OFFSET($N$3,MATCH(G$121,$A$4:$A$40,0),$A122)</f>
        <v>426.88055213555992</v>
      </c>
      <c r="H122" s="480">
        <f t="shared" ca="1" si="34"/>
        <v>470.89406639831816</v>
      </c>
      <c r="I122" s="480">
        <f t="shared" ca="1" si="34"/>
        <v>195.8671606411277</v>
      </c>
      <c r="J122" s="480">
        <f t="shared" ca="1" si="34"/>
        <v>447.84190702457772</v>
      </c>
      <c r="K122" s="480">
        <f t="shared" ca="1" si="34"/>
        <v>2.5426748009718181</v>
      </c>
      <c r="L122" s="480">
        <f t="shared" ca="1" si="34"/>
        <v>553.47062423293596</v>
      </c>
      <c r="M122" s="480">
        <f t="shared" ca="1" si="34"/>
        <v>4572.4327834387923</v>
      </c>
      <c r="N122" s="480">
        <f t="shared" ca="1" si="34"/>
        <v>394.10243103245057</v>
      </c>
      <c r="O122" s="480">
        <f t="shared" ca="1" si="34"/>
        <v>91.537888851347205</v>
      </c>
      <c r="P122" s="480">
        <f t="shared" ca="1" si="34"/>
        <v>1538.1678329068884</v>
      </c>
      <c r="Q122" s="480">
        <f t="shared" ref="Q122:Z131" ca="1" si="35">OFFSET($N$3,MATCH(Q$121,$A$4:$A$40,0),$A122)</f>
        <v>156.1978807080441</v>
      </c>
      <c r="R122" s="480">
        <f t="shared" ca="1" si="35"/>
        <v>3136.7254014648984</v>
      </c>
      <c r="S122" s="480">
        <f t="shared" ca="1" si="35"/>
        <v>190.68902718918901</v>
      </c>
      <c r="T122" s="480">
        <f t="shared" ca="1" si="35"/>
        <v>81.173032345013482</v>
      </c>
      <c r="U122" s="480">
        <f t="shared" ca="1" si="35"/>
        <v>295.53679069488578</v>
      </c>
      <c r="V122" s="480">
        <f t="shared" ca="1" si="35"/>
        <v>31.327020862816234</v>
      </c>
      <c r="W122" s="480">
        <f t="shared" ca="1" si="35"/>
        <v>9.4665630514884089</v>
      </c>
      <c r="X122" s="480">
        <f t="shared" ca="1" si="35"/>
        <v>4829.7260985748217</v>
      </c>
      <c r="Y122" s="480">
        <f t="shared" ca="1" si="35"/>
        <v>256.67024104732417</v>
      </c>
      <c r="Z122" s="480">
        <f t="shared" ca="1" si="35"/>
        <v>19.252162893617022</v>
      </c>
      <c r="AA122" s="480">
        <f t="shared" ref="AA122:AJ131" ca="1" si="36">OFFSET($N$3,MATCH(AA$121,$A$4:$A$40,0),$A122)</f>
        <v>142.81512059319493</v>
      </c>
      <c r="AB122" s="480">
        <f t="shared" ca="1" si="36"/>
        <v>7.7229494551607436</v>
      </c>
      <c r="AC122" s="480">
        <f t="shared" ca="1" si="36"/>
        <v>479.97393801218868</v>
      </c>
      <c r="AD122" s="480">
        <f t="shared" ca="1" si="36"/>
        <v>251.93643930050624</v>
      </c>
      <c r="AE122" s="480">
        <f t="shared" ca="1" si="36"/>
        <v>1636.0838921174191</v>
      </c>
      <c r="AF122" s="480">
        <f t="shared" ca="1" si="36"/>
        <v>210.84515230491107</v>
      </c>
      <c r="AG122" s="480">
        <f t="shared" ca="1" si="36"/>
        <v>329.51833469999997</v>
      </c>
      <c r="AH122" s="480">
        <f t="shared" ca="1" si="36"/>
        <v>783.73120850317878</v>
      </c>
      <c r="AI122" s="480">
        <f t="shared" ca="1" si="36"/>
        <v>155.75980789926879</v>
      </c>
      <c r="AJ122" s="480">
        <f t="shared" ca="1" si="36"/>
        <v>212.22796724117987</v>
      </c>
      <c r="AK122" s="480">
        <f t="shared" ref="AK122:AQ131" ca="1" si="37">OFFSET($N$3,MATCH(AK$121,$A$4:$A$40,0),$A122)</f>
        <v>1942.6772105200455</v>
      </c>
      <c r="AL122" s="480">
        <f t="shared" ca="1" si="37"/>
        <v>52.739168560647769</v>
      </c>
      <c r="AM122" s="480">
        <f t="shared" ca="1" si="37"/>
        <v>79.510185717506019</v>
      </c>
      <c r="AN122" s="480">
        <f t="shared" ca="1" si="37"/>
        <v>16.050250811740536</v>
      </c>
      <c r="AO122" s="480">
        <f t="shared" ca="1" si="37"/>
        <v>45.857106317917776</v>
      </c>
      <c r="AP122" s="480">
        <f t="shared" ca="1" si="37"/>
        <v>152.35595533057008</v>
      </c>
      <c r="AQ122" s="480">
        <f t="shared" ca="1" si="37"/>
        <v>44.537809726405577</v>
      </c>
    </row>
    <row r="123" spans="1:43">
      <c r="A123" s="2">
        <v>2</v>
      </c>
      <c r="B123" s="2" t="s">
        <v>542</v>
      </c>
      <c r="C123" s="2" t="s">
        <v>2</v>
      </c>
      <c r="D123" s="2" t="s">
        <v>547</v>
      </c>
      <c r="F123" s="2">
        <f>VLOOKUP(C123,TechComm!$U$2:$V$7,2,FALSE)</f>
        <v>1940</v>
      </c>
      <c r="G123" s="480">
        <f t="shared" ca="1" si="34"/>
        <v>295.16062419070067</v>
      </c>
      <c r="H123" s="480">
        <f t="shared" ca="1" si="34"/>
        <v>494.22454694164037</v>
      </c>
      <c r="I123" s="480">
        <f t="shared" ca="1" si="34"/>
        <v>155.49370045786091</v>
      </c>
      <c r="J123" s="480">
        <f t="shared" ca="1" si="34"/>
        <v>228.650637018819</v>
      </c>
      <c r="K123" s="480">
        <f t="shared" ca="1" si="34"/>
        <v>3.2215918458349959</v>
      </c>
      <c r="L123" s="480">
        <f t="shared" ca="1" si="34"/>
        <v>257.44502523096679</v>
      </c>
      <c r="M123" s="480">
        <f t="shared" ca="1" si="34"/>
        <v>1910.6637985410352</v>
      </c>
      <c r="N123" s="480">
        <f t="shared" ca="1" si="34"/>
        <v>368.50018018225222</v>
      </c>
      <c r="O123" s="480">
        <f t="shared" ca="1" si="34"/>
        <v>20.940127776042473</v>
      </c>
      <c r="P123" s="480">
        <f t="shared" ca="1" si="34"/>
        <v>201.34423896837302</v>
      </c>
      <c r="Q123" s="480">
        <f t="shared" ca="1" si="35"/>
        <v>111.65023072555439</v>
      </c>
      <c r="R123" s="480">
        <f t="shared" ca="1" si="35"/>
        <v>2148.6720895143894</v>
      </c>
      <c r="S123" s="480">
        <f t="shared" ca="1" si="35"/>
        <v>82.769701676159826</v>
      </c>
      <c r="T123" s="480">
        <f t="shared" ca="1" si="35"/>
        <v>102.23827126167988</v>
      </c>
      <c r="U123" s="480">
        <f t="shared" ca="1" si="35"/>
        <v>345.4056736628205</v>
      </c>
      <c r="V123" s="480">
        <f t="shared" ca="1" si="35"/>
        <v>98.451963737097685</v>
      </c>
      <c r="W123" s="480">
        <f t="shared" ca="1" si="35"/>
        <v>6.1429929449196727</v>
      </c>
      <c r="X123" s="480">
        <f t="shared" ca="1" si="35"/>
        <v>598.28263118779432</v>
      </c>
      <c r="Y123" s="480">
        <f t="shared" ca="1" si="35"/>
        <v>92.199781704418712</v>
      </c>
      <c r="Z123" s="480">
        <f t="shared" ca="1" si="35"/>
        <v>14.810399351764557</v>
      </c>
      <c r="AA123" s="480">
        <f t="shared" ca="1" si="36"/>
        <v>45.690331045761816</v>
      </c>
      <c r="AB123" s="480">
        <f t="shared" ca="1" si="36"/>
        <v>1.6869085072867203</v>
      </c>
      <c r="AC123" s="480">
        <f t="shared" ca="1" si="36"/>
        <v>176.5269202005164</v>
      </c>
      <c r="AD123" s="480">
        <f t="shared" ca="1" si="36"/>
        <v>101.41934085943784</v>
      </c>
      <c r="AE123" s="480">
        <f t="shared" ca="1" si="36"/>
        <v>807.78881301796559</v>
      </c>
      <c r="AF123" s="480">
        <f t="shared" ca="1" si="36"/>
        <v>167.8841493399743</v>
      </c>
      <c r="AG123" s="480">
        <f t="shared" ca="1" si="36"/>
        <v>337.96513130850724</v>
      </c>
      <c r="AH123" s="480">
        <f t="shared" ca="1" si="36"/>
        <v>380.67209163992203</v>
      </c>
      <c r="AI123" s="480">
        <f t="shared" ca="1" si="36"/>
        <v>65.847429831083915</v>
      </c>
      <c r="AJ123" s="480">
        <f t="shared" ca="1" si="36"/>
        <v>157.79324420795558</v>
      </c>
      <c r="AK123" s="480">
        <f t="shared" ca="1" si="37"/>
        <v>1884.6922720259267</v>
      </c>
      <c r="AL123" s="480">
        <f t="shared" ca="1" si="37"/>
        <v>22.891748480538716</v>
      </c>
      <c r="AM123" s="480">
        <f t="shared" ca="1" si="37"/>
        <v>65.411590087141235</v>
      </c>
      <c r="AN123" s="480">
        <f t="shared" ca="1" si="37"/>
        <v>6.966706428248135</v>
      </c>
      <c r="AO123" s="480">
        <f t="shared" ca="1" si="37"/>
        <v>33.189324103315371</v>
      </c>
      <c r="AP123" s="480">
        <f t="shared" ca="1" si="37"/>
        <v>125.3404857187227</v>
      </c>
      <c r="AQ123" s="480">
        <f t="shared" ca="1" si="37"/>
        <v>36.640449609229186</v>
      </c>
    </row>
    <row r="124" spans="1:43">
      <c r="A124" s="2">
        <v>3</v>
      </c>
      <c r="B124" s="2" t="s">
        <v>543</v>
      </c>
      <c r="C124" s="2" t="s">
        <v>2</v>
      </c>
      <c r="D124" s="2" t="s">
        <v>548</v>
      </c>
      <c r="F124" s="2">
        <f>VLOOKUP(C124,TechComm!$U$2:$V$7,2,FALSE)</f>
        <v>1940</v>
      </c>
      <c r="G124" s="480">
        <f t="shared" ca="1" si="34"/>
        <v>136.78175267373942</v>
      </c>
      <c r="H124" s="480">
        <f t="shared" ca="1" si="34"/>
        <v>824.59567266004137</v>
      </c>
      <c r="I124" s="480">
        <f t="shared" ca="1" si="34"/>
        <v>84.507445901011394</v>
      </c>
      <c r="J124" s="480">
        <f t="shared" ca="1" si="34"/>
        <v>256.51142892447353</v>
      </c>
      <c r="K124" s="480">
        <f t="shared" ca="1" si="34"/>
        <v>3.2901363531931875</v>
      </c>
      <c r="L124" s="480">
        <f t="shared" ca="1" si="34"/>
        <v>152.5984625360972</v>
      </c>
      <c r="M124" s="480">
        <f t="shared" ca="1" si="34"/>
        <v>1997.5121530201732</v>
      </c>
      <c r="N124" s="480">
        <f t="shared" ca="1" si="34"/>
        <v>196.18923778529717</v>
      </c>
      <c r="O124" s="480">
        <f t="shared" ca="1" si="34"/>
        <v>9.7146733726103118</v>
      </c>
      <c r="P124" s="480">
        <f t="shared" ca="1" si="34"/>
        <v>446.36241212473851</v>
      </c>
      <c r="Q124" s="480">
        <f t="shared" ca="1" si="35"/>
        <v>84.388177566401509</v>
      </c>
      <c r="R124" s="480">
        <f t="shared" ca="1" si="35"/>
        <v>1910.4708850207126</v>
      </c>
      <c r="S124" s="480">
        <f t="shared" ca="1" si="35"/>
        <v>46.799691134651134</v>
      </c>
      <c r="T124" s="480">
        <f t="shared" ca="1" si="35"/>
        <v>36.588696393306648</v>
      </c>
      <c r="U124" s="480">
        <f t="shared" ca="1" si="35"/>
        <v>127.56766664229369</v>
      </c>
      <c r="V124" s="480">
        <f t="shared" ca="1" si="35"/>
        <v>148.08803140008607</v>
      </c>
      <c r="W124" s="480">
        <f t="shared" ca="1" si="35"/>
        <v>5.7381538683203814</v>
      </c>
      <c r="X124" s="480">
        <f t="shared" ca="1" si="35"/>
        <v>1063.9912702373838</v>
      </c>
      <c r="Y124" s="480">
        <f t="shared" ca="1" si="35"/>
        <v>46.623753248257195</v>
      </c>
      <c r="Z124" s="480">
        <f t="shared" ca="1" si="35"/>
        <v>19.164005754618422</v>
      </c>
      <c r="AA124" s="480">
        <f t="shared" ca="1" si="36"/>
        <v>18.247396361043236</v>
      </c>
      <c r="AB124" s="480">
        <f t="shared" ca="1" si="36"/>
        <v>21.554942037552536</v>
      </c>
      <c r="AC124" s="480">
        <f t="shared" ca="1" si="36"/>
        <v>932.21469278729489</v>
      </c>
      <c r="AD124" s="480">
        <f t="shared" ca="1" si="36"/>
        <v>79.656788722795696</v>
      </c>
      <c r="AE124" s="480">
        <f t="shared" ca="1" si="36"/>
        <v>303.12729486461518</v>
      </c>
      <c r="AF124" s="480">
        <f t="shared" ca="1" si="36"/>
        <v>135.52716735511473</v>
      </c>
      <c r="AG124" s="480">
        <f t="shared" ca="1" si="36"/>
        <v>97.060233991492765</v>
      </c>
      <c r="AH124" s="480">
        <f t="shared" ca="1" si="36"/>
        <v>182.62480285689929</v>
      </c>
      <c r="AI124" s="480">
        <f t="shared" ca="1" si="36"/>
        <v>21.899708269647281</v>
      </c>
      <c r="AJ124" s="480">
        <f t="shared" ca="1" si="36"/>
        <v>46.958510550864531</v>
      </c>
      <c r="AK124" s="480">
        <f t="shared" ca="1" si="37"/>
        <v>6543.194195454028</v>
      </c>
      <c r="AL124" s="480">
        <f t="shared" ca="1" si="37"/>
        <v>12.943465262360681</v>
      </c>
      <c r="AM124" s="480">
        <f t="shared" ca="1" si="37"/>
        <v>23.409284808583056</v>
      </c>
      <c r="AN124" s="480">
        <f t="shared" ca="1" si="37"/>
        <v>3.9391190552244133</v>
      </c>
      <c r="AO124" s="480">
        <f t="shared" ca="1" si="37"/>
        <v>18.037676143106179</v>
      </c>
      <c r="AP124" s="480">
        <f t="shared" ca="1" si="37"/>
        <v>44.856440950707238</v>
      </c>
      <c r="AQ124" s="480">
        <f t="shared" ca="1" si="37"/>
        <v>13.112763644398795</v>
      </c>
    </row>
    <row r="125" spans="1:43">
      <c r="A125" s="2">
        <v>4</v>
      </c>
      <c r="B125" s="2" t="s">
        <v>541</v>
      </c>
      <c r="C125" s="2" t="s">
        <v>3</v>
      </c>
      <c r="D125" s="2" t="str">
        <f>D122</f>
        <v>Rdw_Flat</v>
      </c>
      <c r="F125" s="2">
        <f>VLOOKUP(C125,TechComm!$U$2:$V$7,2,FALSE)</f>
        <v>1957</v>
      </c>
      <c r="G125" s="480">
        <f t="shared" ca="1" si="34"/>
        <v>515.04262112180743</v>
      </c>
      <c r="H125" s="480">
        <f t="shared" ca="1" si="34"/>
        <v>261.60781454879395</v>
      </c>
      <c r="I125" s="480">
        <f t="shared" ca="1" si="34"/>
        <v>405.47518103273359</v>
      </c>
      <c r="J125" s="480">
        <f t="shared" ca="1" si="34"/>
        <v>540.33304747244563</v>
      </c>
      <c r="K125" s="480">
        <f t="shared" ca="1" si="34"/>
        <v>8.4717928845389423</v>
      </c>
      <c r="L125" s="480">
        <f t="shared" ca="1" si="34"/>
        <v>751.69863269096174</v>
      </c>
      <c r="M125" s="480">
        <f t="shared" ca="1" si="34"/>
        <v>6940.5184375470717</v>
      </c>
      <c r="N125" s="480">
        <f t="shared" ca="1" si="34"/>
        <v>286.17472420440134</v>
      </c>
      <c r="O125" s="480">
        <f t="shared" ca="1" si="34"/>
        <v>135.32120899748926</v>
      </c>
      <c r="P125" s="480">
        <f t="shared" ca="1" si="34"/>
        <v>2734.3004349620101</v>
      </c>
      <c r="Q125" s="480">
        <f t="shared" ca="1" si="35"/>
        <v>285.688707956717</v>
      </c>
      <c r="R125" s="480">
        <f t="shared" ca="1" si="35"/>
        <v>2121.5340000000001</v>
      </c>
      <c r="S125" s="480">
        <f t="shared" ca="1" si="35"/>
        <v>693.98597189888676</v>
      </c>
      <c r="T125" s="480">
        <f t="shared" ca="1" si="35"/>
        <v>147.48670391096834</v>
      </c>
      <c r="U125" s="480">
        <f t="shared" ca="1" si="35"/>
        <v>398.1831531074975</v>
      </c>
      <c r="V125" s="480">
        <f t="shared" ca="1" si="35"/>
        <v>28.426152223949444</v>
      </c>
      <c r="W125" s="480">
        <f t="shared" ca="1" si="35"/>
        <v>17.314512557475691</v>
      </c>
      <c r="X125" s="480">
        <f t="shared" ca="1" si="35"/>
        <v>6774.6830123077498</v>
      </c>
      <c r="Y125" s="480">
        <f t="shared" ca="1" si="35"/>
        <v>274.29610281756123</v>
      </c>
      <c r="Z125" s="480">
        <f t="shared" ca="1" si="35"/>
        <v>17.707211936170214</v>
      </c>
      <c r="AA125" s="480">
        <f t="shared" ca="1" si="36"/>
        <v>173.20295378351014</v>
      </c>
      <c r="AB125" s="480">
        <f t="shared" ca="1" si="36"/>
        <v>8.0967860205301729</v>
      </c>
      <c r="AC125" s="480">
        <f t="shared" ca="1" si="36"/>
        <v>540.21171597759201</v>
      </c>
      <c r="AD125" s="480">
        <f t="shared" ca="1" si="36"/>
        <v>335.17517555977088</v>
      </c>
      <c r="AE125" s="480">
        <f t="shared" ca="1" si="36"/>
        <v>1815.4020952512292</v>
      </c>
      <c r="AF125" s="480">
        <f t="shared" ca="1" si="36"/>
        <v>285.22065045017092</v>
      </c>
      <c r="AG125" s="480">
        <f t="shared" ca="1" si="36"/>
        <v>954.79116533699994</v>
      </c>
      <c r="AH125" s="480">
        <f t="shared" ca="1" si="36"/>
        <v>710.7822987937368</v>
      </c>
      <c r="AI125" s="480">
        <f t="shared" ca="1" si="36"/>
        <v>104.11454124166788</v>
      </c>
      <c r="AJ125" s="480">
        <f t="shared" ca="1" si="36"/>
        <v>272.68034493927127</v>
      </c>
      <c r="AK125" s="480">
        <f t="shared" ca="1" si="37"/>
        <v>1222.398110288827</v>
      </c>
      <c r="AL125" s="480">
        <f t="shared" ca="1" si="37"/>
        <v>191.93680774504145</v>
      </c>
      <c r="AM125" s="480">
        <f t="shared" ca="1" si="37"/>
        <v>181.53050099523071</v>
      </c>
      <c r="AN125" s="480">
        <f t="shared" ca="1" si="37"/>
        <v>36.644488308783671</v>
      </c>
      <c r="AO125" s="480">
        <f t="shared" ca="1" si="37"/>
        <v>94.931270893150014</v>
      </c>
      <c r="AP125" s="480">
        <f t="shared" ca="1" si="37"/>
        <v>347.84540686434332</v>
      </c>
      <c r="AQ125" s="480">
        <f t="shared" ca="1" si="37"/>
        <v>101.68471925836</v>
      </c>
    </row>
    <row r="126" spans="1:43">
      <c r="A126" s="2">
        <v>5</v>
      </c>
      <c r="B126" s="2" t="s">
        <v>542</v>
      </c>
      <c r="C126" s="2" t="s">
        <v>3</v>
      </c>
      <c r="D126" s="2" t="str">
        <f t="shared" ref="D126:D139" si="38">D123</f>
        <v>Rdw_DetH</v>
      </c>
      <c r="F126" s="2">
        <f>VLOOKUP(C126,TechComm!$U$2:$V$7,2,FALSE)</f>
        <v>1957</v>
      </c>
      <c r="G126" s="480">
        <f t="shared" ca="1" si="34"/>
        <v>356.11906135009821</v>
      </c>
      <c r="H126" s="480">
        <f t="shared" ca="1" si="34"/>
        <v>274.56919262262369</v>
      </c>
      <c r="I126" s="480">
        <f t="shared" ca="1" si="34"/>
        <v>321.89590197879232</v>
      </c>
      <c r="J126" s="480">
        <f t="shared" ca="1" si="34"/>
        <v>275.8730113662948</v>
      </c>
      <c r="K126" s="480">
        <f t="shared" ca="1" si="34"/>
        <v>10.733837793964945</v>
      </c>
      <c r="L126" s="480">
        <f t="shared" ca="1" si="34"/>
        <v>349.65012592567479</v>
      </c>
      <c r="M126" s="480">
        <f t="shared" ca="1" si="34"/>
        <v>2900.2060718658772</v>
      </c>
      <c r="N126" s="480">
        <f t="shared" ca="1" si="34"/>
        <v>267.58382879461351</v>
      </c>
      <c r="O126" s="480">
        <f t="shared" ca="1" si="34"/>
        <v>30.955961982230814</v>
      </c>
      <c r="P126" s="480">
        <f t="shared" ca="1" si="34"/>
        <v>357.91649546323816</v>
      </c>
      <c r="Q126" s="480">
        <f t="shared" ca="1" si="35"/>
        <v>204.21026210127249</v>
      </c>
      <c r="R126" s="480">
        <f t="shared" ca="1" si="35"/>
        <v>1453.261063473054</v>
      </c>
      <c r="S126" s="480">
        <f t="shared" ca="1" si="35"/>
        <v>301.22872148548709</v>
      </c>
      <c r="T126" s="480">
        <f t="shared" ca="1" si="35"/>
        <v>185.76102439847986</v>
      </c>
      <c r="U126" s="480">
        <f t="shared" ca="1" si="35"/>
        <v>465.37258497292464</v>
      </c>
      <c r="V126" s="480">
        <f t="shared" ca="1" si="35"/>
        <v>89.335354299818349</v>
      </c>
      <c r="W126" s="480">
        <f t="shared" ca="1" si="35"/>
        <v>11.235643591743999</v>
      </c>
      <c r="X126" s="480">
        <f t="shared" ca="1" si="35"/>
        <v>839.21429400784496</v>
      </c>
      <c r="Y126" s="480">
        <f t="shared" ca="1" si="35"/>
        <v>98.531254340034806</v>
      </c>
      <c r="Z126" s="480">
        <f t="shared" ca="1" si="35"/>
        <v>13.621891817046759</v>
      </c>
      <c r="AA126" s="480">
        <f t="shared" ca="1" si="36"/>
        <v>55.412201898525339</v>
      </c>
      <c r="AB126" s="480">
        <f t="shared" ca="1" si="36"/>
        <v>1.7685648856066809</v>
      </c>
      <c r="AC126" s="480">
        <f t="shared" ca="1" si="36"/>
        <v>198.68143439767087</v>
      </c>
      <c r="AD126" s="480">
        <f t="shared" ca="1" si="36"/>
        <v>134.92786304394681</v>
      </c>
      <c r="AE126" s="480">
        <f t="shared" ca="1" si="36"/>
        <v>896.32414984260026</v>
      </c>
      <c r="AF126" s="480">
        <f t="shared" ca="1" si="36"/>
        <v>227.10518004120016</v>
      </c>
      <c r="AG126" s="480">
        <f t="shared" ca="1" si="36"/>
        <v>979.2660607462152</v>
      </c>
      <c r="AH126" s="480">
        <f t="shared" ca="1" si="36"/>
        <v>345.2395176392244</v>
      </c>
      <c r="AI126" s="480">
        <f t="shared" ca="1" si="36"/>
        <v>44.014402953294862</v>
      </c>
      <c r="AJ126" s="480">
        <f t="shared" ca="1" si="36"/>
        <v>202.74008566842264</v>
      </c>
      <c r="AK126" s="480">
        <f t="shared" ca="1" si="37"/>
        <v>1185.9120286811417</v>
      </c>
      <c r="AL126" s="480">
        <f t="shared" ca="1" si="37"/>
        <v>83.311308216858961</v>
      </c>
      <c r="AM126" s="480">
        <f t="shared" ca="1" si="37"/>
        <v>149.34185616924091</v>
      </c>
      <c r="AN126" s="480">
        <f t="shared" ca="1" si="37"/>
        <v>15.905757190655534</v>
      </c>
      <c r="AO126" s="480">
        <f t="shared" ca="1" si="37"/>
        <v>68.70701119624087</v>
      </c>
      <c r="AP126" s="480">
        <f t="shared" ca="1" si="37"/>
        <v>286.16611773924791</v>
      </c>
      <c r="AQ126" s="480">
        <f t="shared" ca="1" si="37"/>
        <v>83.654177313654912</v>
      </c>
    </row>
    <row r="127" spans="1:43">
      <c r="A127" s="2">
        <v>6</v>
      </c>
      <c r="B127" s="2" t="s">
        <v>543</v>
      </c>
      <c r="C127" s="2" t="s">
        <v>3</v>
      </c>
      <c r="D127" s="2" t="str">
        <f t="shared" si="38"/>
        <v>Rdw_SDetH</v>
      </c>
      <c r="F127" s="2">
        <f>VLOOKUP(C127,TechComm!$U$2:$V$7,2,FALSE)</f>
        <v>1957</v>
      </c>
      <c r="G127" s="480">
        <f t="shared" ca="1" si="34"/>
        <v>165.03078452809439</v>
      </c>
      <c r="H127" s="480">
        <f t="shared" ca="1" si="34"/>
        <v>458.10870682858234</v>
      </c>
      <c r="I127" s="480">
        <f t="shared" ca="1" si="34"/>
        <v>174.94342498847413</v>
      </c>
      <c r="J127" s="480">
        <f t="shared" ca="1" si="34"/>
        <v>309.48779006218803</v>
      </c>
      <c r="K127" s="480">
        <f t="shared" ca="1" si="34"/>
        <v>10.962217321496114</v>
      </c>
      <c r="L127" s="480">
        <f t="shared" ca="1" si="34"/>
        <v>207.2522923833636</v>
      </c>
      <c r="M127" s="480">
        <f t="shared" ca="1" si="34"/>
        <v>3032.0336205870531</v>
      </c>
      <c r="N127" s="480">
        <f t="shared" ca="1" si="34"/>
        <v>142.46144300098516</v>
      </c>
      <c r="O127" s="480">
        <f t="shared" ca="1" si="34"/>
        <v>14.361281020279904</v>
      </c>
      <c r="P127" s="480">
        <f t="shared" ca="1" si="34"/>
        <v>793.46928957475188</v>
      </c>
      <c r="Q127" s="480">
        <f t="shared" ca="1" si="35"/>
        <v>154.34748094201046</v>
      </c>
      <c r="R127" s="480">
        <f t="shared" ca="1" si="35"/>
        <v>1292.1529365269462</v>
      </c>
      <c r="S127" s="480">
        <f t="shared" ca="1" si="35"/>
        <v>170.32091261562596</v>
      </c>
      <c r="T127" s="480">
        <f t="shared" ca="1" si="35"/>
        <v>66.479544690551833</v>
      </c>
      <c r="U127" s="480">
        <f t="shared" ca="1" si="35"/>
        <v>171.87469491957785</v>
      </c>
      <c r="V127" s="480">
        <f t="shared" ca="1" si="35"/>
        <v>134.37514347623221</v>
      </c>
      <c r="W127" s="480">
        <f t="shared" ca="1" si="35"/>
        <v>10.495185704609007</v>
      </c>
      <c r="X127" s="480">
        <f t="shared" ca="1" si="35"/>
        <v>1492.4663296844055</v>
      </c>
      <c r="Y127" s="480">
        <f t="shared" ca="1" si="35"/>
        <v>49.82546384240397</v>
      </c>
      <c r="Z127" s="480">
        <f t="shared" ca="1" si="35"/>
        <v>17.626129246783027</v>
      </c>
      <c r="AA127" s="480">
        <f t="shared" ca="1" si="36"/>
        <v>22.130030317964515</v>
      </c>
      <c r="AB127" s="480">
        <f t="shared" ca="1" si="36"/>
        <v>22.598329093863143</v>
      </c>
      <c r="AC127" s="480">
        <f t="shared" ca="1" si="36"/>
        <v>1049.2096736247372</v>
      </c>
      <c r="AD127" s="480">
        <f t="shared" ca="1" si="36"/>
        <v>105.97505552916252</v>
      </c>
      <c r="AE127" s="480">
        <f t="shared" ca="1" si="36"/>
        <v>336.35067790617035</v>
      </c>
      <c r="AF127" s="480">
        <f t="shared" ca="1" si="36"/>
        <v>183.33429250862898</v>
      </c>
      <c r="AG127" s="480">
        <f t="shared" ca="1" si="36"/>
        <v>281.23550091678493</v>
      </c>
      <c r="AH127" s="480">
        <f t="shared" ca="1" si="36"/>
        <v>165.62627056703889</v>
      </c>
      <c r="AI127" s="480">
        <f t="shared" ca="1" si="36"/>
        <v>14.638423805037259</v>
      </c>
      <c r="AJ127" s="480">
        <f t="shared" ca="1" si="36"/>
        <v>60.33447439230612</v>
      </c>
      <c r="AK127" s="480">
        <f t="shared" ca="1" si="37"/>
        <v>4117.1987690300311</v>
      </c>
      <c r="AL127" s="480">
        <f t="shared" ca="1" si="37"/>
        <v>47.105926608597841</v>
      </c>
      <c r="AM127" s="480">
        <f t="shared" ca="1" si="37"/>
        <v>53.445972498923489</v>
      </c>
      <c r="AN127" s="480">
        <f t="shared" ca="1" si="37"/>
        <v>8.9934421498566355</v>
      </c>
      <c r="AO127" s="480">
        <f t="shared" ca="1" si="37"/>
        <v>37.340766954478738</v>
      </c>
      <c r="AP127" s="480">
        <f t="shared" ca="1" si="37"/>
        <v>102.41218939640885</v>
      </c>
      <c r="AQ127" s="480">
        <f t="shared" ca="1" si="37"/>
        <v>29.937881949578543</v>
      </c>
    </row>
    <row r="128" spans="1:43">
      <c r="A128" s="2">
        <v>7</v>
      </c>
      <c r="B128" s="2" t="s">
        <v>541</v>
      </c>
      <c r="C128" s="2" t="s">
        <v>4</v>
      </c>
      <c r="D128" s="2" t="str">
        <f t="shared" si="38"/>
        <v>Rdw_Flat</v>
      </c>
      <c r="F128" s="2">
        <f>VLOOKUP(C128,TechComm!$U$2:$V$7,2,FALSE)</f>
        <v>1975</v>
      </c>
      <c r="G128" s="480">
        <f t="shared" ca="1" si="34"/>
        <v>265.00259735559922</v>
      </c>
      <c r="H128" s="480">
        <f t="shared" ca="1" si="34"/>
        <v>141.57894179730027</v>
      </c>
      <c r="I128" s="480">
        <f t="shared" ca="1" si="34"/>
        <v>235.09046348242146</v>
      </c>
      <c r="J128" s="480">
        <f t="shared" ca="1" si="34"/>
        <v>278.01516834739789</v>
      </c>
      <c r="K128" s="480">
        <f t="shared" ca="1" si="34"/>
        <v>11.468502244637412</v>
      </c>
      <c r="L128" s="480">
        <f t="shared" ca="1" si="34"/>
        <v>308.0105691065101</v>
      </c>
      <c r="M128" s="480">
        <f t="shared" ca="1" si="34"/>
        <v>3577.4769678543789</v>
      </c>
      <c r="N128" s="480">
        <f t="shared" ca="1" si="34"/>
        <v>176.77417608504288</v>
      </c>
      <c r="O128" s="480">
        <f t="shared" ca="1" si="34"/>
        <v>105.1121772319657</v>
      </c>
      <c r="P128" s="480">
        <f t="shared" ca="1" si="34"/>
        <v>2257.564510503491</v>
      </c>
      <c r="Q128" s="480">
        <f t="shared" ca="1" si="35"/>
        <v>226.93505876276029</v>
      </c>
      <c r="R128" s="480">
        <f t="shared" ca="1" si="35"/>
        <v>2343.409095381699</v>
      </c>
      <c r="S128" s="480">
        <f t="shared" ca="1" si="35"/>
        <v>552.97942899824238</v>
      </c>
      <c r="T128" s="480">
        <f t="shared" ca="1" si="35"/>
        <v>113.92735707285915</v>
      </c>
      <c r="U128" s="480">
        <f t="shared" ca="1" si="35"/>
        <v>238.80967110302882</v>
      </c>
      <c r="V128" s="480">
        <f t="shared" ca="1" si="35"/>
        <v>24.022171570852088</v>
      </c>
      <c r="W128" s="480">
        <f t="shared" ca="1" si="35"/>
        <v>13.753675995043519</v>
      </c>
      <c r="X128" s="480">
        <f t="shared" ca="1" si="35"/>
        <v>3832.8595945806114</v>
      </c>
      <c r="Y128" s="480">
        <f t="shared" ca="1" si="35"/>
        <v>180.5584525040924</v>
      </c>
      <c r="Z128" s="480">
        <f t="shared" ca="1" si="35"/>
        <v>9.5621806170212764</v>
      </c>
      <c r="AA128" s="480">
        <f t="shared" ca="1" si="36"/>
        <v>140.02687112524131</v>
      </c>
      <c r="AB128" s="480">
        <f t="shared" ca="1" si="36"/>
        <v>5.3202274653130281</v>
      </c>
      <c r="AC128" s="480">
        <f t="shared" ca="1" si="36"/>
        <v>332.83444609770106</v>
      </c>
      <c r="AD128" s="480">
        <f t="shared" ca="1" si="36"/>
        <v>215.15246371622854</v>
      </c>
      <c r="AE128" s="480">
        <f t="shared" ca="1" si="36"/>
        <v>1043.3336324719116</v>
      </c>
      <c r="AF128" s="480">
        <f t="shared" ca="1" si="36"/>
        <v>319.64996421260577</v>
      </c>
      <c r="AG128" s="480">
        <f t="shared" ca="1" si="36"/>
        <v>688.83423066299997</v>
      </c>
      <c r="AH128" s="480">
        <f t="shared" ca="1" si="36"/>
        <v>386.78670753520134</v>
      </c>
      <c r="AI128" s="480">
        <f t="shared" ca="1" si="36"/>
        <v>89.629814264805177</v>
      </c>
      <c r="AJ128" s="480">
        <f t="shared" ca="1" si="36"/>
        <v>111.61335504916136</v>
      </c>
      <c r="AK128" s="480">
        <f t="shared" ca="1" si="37"/>
        <v>537.03108459066505</v>
      </c>
      <c r="AL128" s="480">
        <f t="shared" ca="1" si="37"/>
        <v>152.9384031498299</v>
      </c>
      <c r="AM128" s="480">
        <f t="shared" ca="1" si="37"/>
        <v>135.53199998502913</v>
      </c>
      <c r="AN128" s="480">
        <f t="shared" ca="1" si="37"/>
        <v>27.359043035131332</v>
      </c>
      <c r="AO128" s="480">
        <f t="shared" ca="1" si="37"/>
        <v>55.040203487680984</v>
      </c>
      <c r="AP128" s="480">
        <f t="shared" ca="1" si="37"/>
        <v>259.70392534293302</v>
      </c>
      <c r="AQ128" s="480">
        <f t="shared" ca="1" si="37"/>
        <v>75.918555247990057</v>
      </c>
    </row>
    <row r="129" spans="1:43">
      <c r="A129" s="2">
        <v>8</v>
      </c>
      <c r="B129" s="2" t="s">
        <v>542</v>
      </c>
      <c r="C129" s="2" t="s">
        <v>4</v>
      </c>
      <c r="D129" s="2" t="str">
        <f t="shared" si="38"/>
        <v>Rdw_DetH</v>
      </c>
      <c r="F129" s="2">
        <f>VLOOKUP(C129,TechComm!$U$2:$V$7,2,FALSE)</f>
        <v>1975</v>
      </c>
      <c r="G129" s="480">
        <f t="shared" ca="1" si="34"/>
        <v>183.23236244034049</v>
      </c>
      <c r="H129" s="480">
        <f t="shared" ca="1" si="34"/>
        <v>148.59348069818344</v>
      </c>
      <c r="I129" s="480">
        <f t="shared" ca="1" si="34"/>
        <v>186.6320315747692</v>
      </c>
      <c r="J129" s="480">
        <f t="shared" ca="1" si="34"/>
        <v>141.94371796482656</v>
      </c>
      <c r="K129" s="480">
        <f t="shared" ca="1" si="34"/>
        <v>14.530695510547806</v>
      </c>
      <c r="L129" s="480">
        <f t="shared" ca="1" si="34"/>
        <v>143.27009467743164</v>
      </c>
      <c r="M129" s="480">
        <f t="shared" ca="1" si="34"/>
        <v>1494.9056785156374</v>
      </c>
      <c r="N129" s="480">
        <f t="shared" ca="1" si="34"/>
        <v>165.29031695707485</v>
      </c>
      <c r="O129" s="480">
        <f t="shared" ca="1" si="34"/>
        <v>24.045370170485317</v>
      </c>
      <c r="P129" s="480">
        <f t="shared" ca="1" si="34"/>
        <v>295.51236124234345</v>
      </c>
      <c r="Q129" s="480">
        <f t="shared" ca="1" si="35"/>
        <v>162.21315907568888</v>
      </c>
      <c r="R129" s="480">
        <f t="shared" ca="1" si="35"/>
        <v>1605.2465782338793</v>
      </c>
      <c r="S129" s="480">
        <f t="shared" ca="1" si="35"/>
        <v>240.02399637724213</v>
      </c>
      <c r="T129" s="480">
        <f t="shared" ca="1" si="35"/>
        <v>143.49268100561193</v>
      </c>
      <c r="U129" s="480">
        <f t="shared" ca="1" si="35"/>
        <v>279.10641896933095</v>
      </c>
      <c r="V129" s="480">
        <f t="shared" ca="1" si="35"/>
        <v>75.494889052378838</v>
      </c>
      <c r="W129" s="480">
        <f t="shared" ca="1" si="35"/>
        <v>8.92496401753532</v>
      </c>
      <c r="X129" s="480">
        <f t="shared" ca="1" si="35"/>
        <v>474.79572887078194</v>
      </c>
      <c r="Y129" s="480">
        <f t="shared" ca="1" si="35"/>
        <v>64.859291197282047</v>
      </c>
      <c r="Z129" s="480">
        <f t="shared" ca="1" si="35"/>
        <v>7.3560417286278508</v>
      </c>
      <c r="AA129" s="480">
        <f t="shared" ca="1" si="36"/>
        <v>44.798296359939897</v>
      </c>
      <c r="AB129" s="480">
        <f t="shared" ca="1" si="36"/>
        <v>1.1620867162272803</v>
      </c>
      <c r="AC129" s="480">
        <f t="shared" ca="1" si="36"/>
        <v>122.41131247584514</v>
      </c>
      <c r="AD129" s="480">
        <f t="shared" ca="1" si="36"/>
        <v>86.6116117024131</v>
      </c>
      <c r="AE129" s="480">
        <f t="shared" ca="1" si="36"/>
        <v>515.12837490592563</v>
      </c>
      <c r="AF129" s="480">
        <f t="shared" ca="1" si="36"/>
        <v>254.51930832529072</v>
      </c>
      <c r="AG129" s="480">
        <f t="shared" ca="1" si="36"/>
        <v>706.49164765827936</v>
      </c>
      <c r="AH129" s="480">
        <f t="shared" ca="1" si="36"/>
        <v>187.86913597220456</v>
      </c>
      <c r="AI129" s="480">
        <f t="shared" ca="1" si="36"/>
        <v>37.890987316777171</v>
      </c>
      <c r="AJ129" s="480">
        <f t="shared" ca="1" si="36"/>
        <v>82.985450122731237</v>
      </c>
      <c r="AK129" s="480">
        <f t="shared" ca="1" si="37"/>
        <v>521.00180590206412</v>
      </c>
      <c r="AL129" s="480">
        <f t="shared" ca="1" si="37"/>
        <v>66.383819720159323</v>
      </c>
      <c r="AM129" s="480">
        <f t="shared" ca="1" si="37"/>
        <v>111.49972228978508</v>
      </c>
      <c r="AN129" s="480">
        <f t="shared" ca="1" si="37"/>
        <v>11.87535467322067</v>
      </c>
      <c r="AO129" s="480">
        <f t="shared" ca="1" si="37"/>
        <v>39.835639423050715</v>
      </c>
      <c r="AP129" s="480">
        <f t="shared" ca="1" si="37"/>
        <v>213.6537168823798</v>
      </c>
      <c r="AQ129" s="480">
        <f t="shared" ca="1" si="37"/>
        <v>62.456820734052698</v>
      </c>
    </row>
    <row r="130" spans="1:43">
      <c r="A130" s="2">
        <v>9</v>
      </c>
      <c r="B130" s="2" t="s">
        <v>543</v>
      </c>
      <c r="C130" s="2" t="s">
        <v>4</v>
      </c>
      <c r="D130" s="2" t="str">
        <f t="shared" si="38"/>
        <v>Rdw_SDetH</v>
      </c>
      <c r="F130" s="2">
        <f>VLOOKUP(C130,TechComm!$U$2:$V$7,2,FALSE)</f>
        <v>1975</v>
      </c>
      <c r="G130" s="480">
        <f t="shared" ca="1" si="34"/>
        <v>84.912558204060275</v>
      </c>
      <c r="H130" s="480">
        <f t="shared" ca="1" si="34"/>
        <v>247.92281550451628</v>
      </c>
      <c r="I130" s="480">
        <f t="shared" ca="1" si="34"/>
        <v>101.43045194280938</v>
      </c>
      <c r="J130" s="480">
        <f t="shared" ca="1" si="34"/>
        <v>159.23938107818785</v>
      </c>
      <c r="K130" s="480">
        <f t="shared" ca="1" si="34"/>
        <v>14.839859244814781</v>
      </c>
      <c r="L130" s="480">
        <f t="shared" ca="1" si="34"/>
        <v>84.922193216058247</v>
      </c>
      <c r="M130" s="480">
        <f t="shared" ca="1" si="34"/>
        <v>1562.8559366299846</v>
      </c>
      <c r="N130" s="480">
        <f t="shared" ca="1" si="34"/>
        <v>88.000448957882242</v>
      </c>
      <c r="O130" s="480">
        <f t="shared" ca="1" si="34"/>
        <v>11.15527659754898</v>
      </c>
      <c r="P130" s="480">
        <f t="shared" ca="1" si="34"/>
        <v>655.12483025416543</v>
      </c>
      <c r="Q130" s="480">
        <f t="shared" ca="1" si="35"/>
        <v>122.6049671615508</v>
      </c>
      <c r="R130" s="480">
        <f t="shared" ca="1" si="35"/>
        <v>1427.289378384422</v>
      </c>
      <c r="S130" s="480">
        <f t="shared" ca="1" si="35"/>
        <v>135.71450262451546</v>
      </c>
      <c r="T130" s="480">
        <f t="shared" ca="1" si="35"/>
        <v>51.352688921528895</v>
      </c>
      <c r="U130" s="480">
        <f t="shared" ca="1" si="35"/>
        <v>103.08155692764026</v>
      </c>
      <c r="V130" s="480">
        <f t="shared" ca="1" si="35"/>
        <v>113.55679537676909</v>
      </c>
      <c r="W130" s="480">
        <f t="shared" ca="1" si="35"/>
        <v>8.3367858731132198</v>
      </c>
      <c r="X130" s="480">
        <f t="shared" ca="1" si="35"/>
        <v>844.38104054860628</v>
      </c>
      <c r="Y130" s="480">
        <f t="shared" ca="1" si="35"/>
        <v>32.798164298625586</v>
      </c>
      <c r="Z130" s="480">
        <f t="shared" ca="1" si="35"/>
        <v>9.5183946543508711</v>
      </c>
      <c r="AA130" s="480">
        <f t="shared" ca="1" si="36"/>
        <v>17.891143514818761</v>
      </c>
      <c r="AB130" s="480">
        <f t="shared" ca="1" si="36"/>
        <v>14.84888581845969</v>
      </c>
      <c r="AC130" s="480">
        <f t="shared" ca="1" si="36"/>
        <v>646.43751742645384</v>
      </c>
      <c r="AD130" s="480">
        <f t="shared" ca="1" si="36"/>
        <v>68.026500624588877</v>
      </c>
      <c r="AE130" s="480">
        <f t="shared" ca="1" si="36"/>
        <v>193.30481962216246</v>
      </c>
      <c r="AF130" s="480">
        <f t="shared" ca="1" si="36"/>
        <v>205.46478646210355</v>
      </c>
      <c r="AG130" s="480">
        <f t="shared" ca="1" si="36"/>
        <v>202.89739467872073</v>
      </c>
      <c r="AH130" s="480">
        <f t="shared" ca="1" si="36"/>
        <v>90.128918492594138</v>
      </c>
      <c r="AI130" s="480">
        <f t="shared" ca="1" si="36"/>
        <v>12.601882418417636</v>
      </c>
      <c r="AJ130" s="480">
        <f t="shared" ca="1" si="36"/>
        <v>24.696070828107388</v>
      </c>
      <c r="AK130" s="480">
        <f t="shared" ca="1" si="37"/>
        <v>1808.7918345072708</v>
      </c>
      <c r="AL130" s="480">
        <f t="shared" ca="1" si="37"/>
        <v>37.534776570744306</v>
      </c>
      <c r="AM130" s="480">
        <f t="shared" ca="1" si="37"/>
        <v>39.903154038638803</v>
      </c>
      <c r="AN130" s="480">
        <f t="shared" ca="1" si="37"/>
        <v>6.7145696984098198</v>
      </c>
      <c r="AO130" s="480">
        <f t="shared" ca="1" si="37"/>
        <v>21.64980403426669</v>
      </c>
      <c r="AP130" s="480">
        <f t="shared" ca="1" si="37"/>
        <v>76.461689774687244</v>
      </c>
      <c r="AQ130" s="480">
        <f t="shared" ca="1" si="37"/>
        <v>22.351841666809946</v>
      </c>
    </row>
    <row r="131" spans="1:43">
      <c r="A131" s="2">
        <v>10</v>
      </c>
      <c r="B131" s="2" t="s">
        <v>541</v>
      </c>
      <c r="C131" t="s">
        <v>5</v>
      </c>
      <c r="D131" s="2" t="str">
        <f t="shared" si="38"/>
        <v>Rdw_Flat</v>
      </c>
      <c r="F131" s="2">
        <f>VLOOKUP(C131,TechComm!$U$2:$V$7,2,FALSE)</f>
        <v>1985</v>
      </c>
      <c r="G131" s="480">
        <f t="shared" ca="1" si="34"/>
        <v>210.26379918467583</v>
      </c>
      <c r="H131" s="480">
        <f t="shared" ca="1" si="34"/>
        <v>141.57894179730027</v>
      </c>
      <c r="I131" s="480">
        <f t="shared" ca="1" si="34"/>
        <v>221.53421622439518</v>
      </c>
      <c r="J131" s="480">
        <f t="shared" ca="1" si="34"/>
        <v>220.58850030533858</v>
      </c>
      <c r="K131" s="480">
        <f t="shared" ca="1" si="34"/>
        <v>16.556208223280315</v>
      </c>
      <c r="L131" s="480">
        <f t="shared" ca="1" si="34"/>
        <v>357.01365906868517</v>
      </c>
      <c r="M131" s="480">
        <f t="shared" ca="1" si="34"/>
        <v>2493.4227862575094</v>
      </c>
      <c r="N131" s="480">
        <f t="shared" ca="1" si="34"/>
        <v>72.405306119358457</v>
      </c>
      <c r="O131" s="480">
        <f t="shared" ca="1" si="34"/>
        <v>98.852387248851798</v>
      </c>
      <c r="P131" s="480">
        <f t="shared" ca="1" si="34"/>
        <v>1430.3689982425908</v>
      </c>
      <c r="Q131" s="480">
        <f t="shared" ca="1" si="35"/>
        <v>179.81601137443855</v>
      </c>
      <c r="R131" s="480">
        <f t="shared" ca="1" si="35"/>
        <v>1726.9517110401723</v>
      </c>
      <c r="S131" s="480">
        <f t="shared" ca="1" si="35"/>
        <v>423.29933371866127</v>
      </c>
      <c r="T131" s="480">
        <f t="shared" ca="1" si="35"/>
        <v>90.323446900269545</v>
      </c>
      <c r="U131" s="480">
        <f t="shared" ca="1" si="35"/>
        <v>324.64061636022842</v>
      </c>
      <c r="V131" s="480">
        <f t="shared" ca="1" si="35"/>
        <v>20.906358275172671</v>
      </c>
      <c r="W131" s="480">
        <f t="shared" ca="1" si="35"/>
        <v>10.897968664024354</v>
      </c>
      <c r="X131" s="480">
        <f t="shared" ca="1" si="35"/>
        <v>2776.5717413895486</v>
      </c>
      <c r="Y131" s="480">
        <f t="shared" ca="1" si="35"/>
        <v>180.5584525040924</v>
      </c>
      <c r="Z131" s="480">
        <f t="shared" ca="1" si="35"/>
        <v>7.4320838723404261</v>
      </c>
      <c r="AA131" s="480">
        <f t="shared" ca="1" si="36"/>
        <v>135.16701031962145</v>
      </c>
      <c r="AB131" s="480">
        <f t="shared" ca="1" si="36"/>
        <v>6.1111084890016913</v>
      </c>
      <c r="AC131" s="480">
        <f t="shared" ca="1" si="36"/>
        <v>323.73835075595912</v>
      </c>
      <c r="AD131" s="480">
        <f t="shared" ca="1" si="36"/>
        <v>180.96621905997586</v>
      </c>
      <c r="AE131" s="480">
        <f t="shared" ca="1" si="36"/>
        <v>1078.5750540157949</v>
      </c>
      <c r="AF131" s="480">
        <f t="shared" ca="1" si="36"/>
        <v>273.20339136932103</v>
      </c>
      <c r="AG131" s="480">
        <f t="shared" ca="1" si="36"/>
        <v>942.38753400000007</v>
      </c>
      <c r="AH131" s="480">
        <f t="shared" ca="1" si="36"/>
        <v>266.44956783023309</v>
      </c>
      <c r="AI131" s="480">
        <f t="shared" ca="1" si="36"/>
        <v>48.691389510087625</v>
      </c>
      <c r="AJ131" s="480">
        <f t="shared" ca="1" si="36"/>
        <v>129.46979234239444</v>
      </c>
      <c r="AK131" s="480">
        <f t="shared" ca="1" si="37"/>
        <v>381.28805308539404</v>
      </c>
      <c r="AL131" s="480">
        <f t="shared" ca="1" si="37"/>
        <v>117.07257224847828</v>
      </c>
      <c r="AM131" s="480">
        <f t="shared" ca="1" si="37"/>
        <v>114.54587565682624</v>
      </c>
      <c r="AN131" s="480">
        <f t="shared" ca="1" si="37"/>
        <v>23.122698270062266</v>
      </c>
      <c r="AO131" s="480">
        <f t="shared" ca="1" si="37"/>
        <v>51.866367354311528</v>
      </c>
      <c r="AP131" s="480">
        <f t="shared" ca="1" si="37"/>
        <v>219.49069993217293</v>
      </c>
      <c r="AQ131" s="480">
        <f t="shared" ca="1" si="37"/>
        <v>64.163130407894386</v>
      </c>
    </row>
    <row r="132" spans="1:43">
      <c r="A132" s="2">
        <v>11</v>
      </c>
      <c r="B132" t="s">
        <v>542</v>
      </c>
      <c r="C132" s="488" t="s">
        <v>5</v>
      </c>
      <c r="D132" s="2" t="str">
        <f t="shared" si="38"/>
        <v>Rdw_DetH</v>
      </c>
      <c r="F132" s="2">
        <f>VLOOKUP(C132,TechComm!$U$2:$V$7,2,FALSE)</f>
        <v>1985</v>
      </c>
      <c r="G132" s="480">
        <f t="shared" ref="G132:P139" ca="1" si="39">OFFSET($N$3,MATCH(G$121,$A$4:$A$40,0),$A132)</f>
        <v>145.38398130713816</v>
      </c>
      <c r="H132" s="480">
        <f t="shared" ca="1" si="39"/>
        <v>148.59348069818344</v>
      </c>
      <c r="I132" s="480">
        <f t="shared" ca="1" si="39"/>
        <v>175.87008943208198</v>
      </c>
      <c r="J132" s="480">
        <f t="shared" ca="1" si="39"/>
        <v>112.62389768064644</v>
      </c>
      <c r="K132" s="480">
        <f t="shared" ca="1" si="39"/>
        <v>20.976864752692897</v>
      </c>
      <c r="L132" s="480">
        <f t="shared" ca="1" si="39"/>
        <v>166.06371945054707</v>
      </c>
      <c r="M132" s="480">
        <f t="shared" ca="1" si="39"/>
        <v>1041.9163884518846</v>
      </c>
      <c r="N132" s="480">
        <f t="shared" ca="1" si="39"/>
        <v>67.701608135824372</v>
      </c>
      <c r="O132" s="480">
        <f t="shared" ca="1" si="39"/>
        <v>22.613386062675442</v>
      </c>
      <c r="P132" s="480">
        <f t="shared" ca="1" si="39"/>
        <v>187.23350679544612</v>
      </c>
      <c r="Q132" s="480">
        <f t="shared" ref="Q132:Z139" ca="1" si="40">OFFSET($N$3,MATCH(Q$121,$A$4:$A$40,0),$A132)</f>
        <v>128.5324683478311</v>
      </c>
      <c r="R132" s="480">
        <f t="shared" ca="1" si="40"/>
        <v>1182.9702847811304</v>
      </c>
      <c r="S132" s="480">
        <f t="shared" ca="1" si="40"/>
        <v>183.73558294389989</v>
      </c>
      <c r="T132" s="480">
        <f t="shared" ca="1" si="40"/>
        <v>113.76331274936017</v>
      </c>
      <c r="U132" s="480">
        <f t="shared" ca="1" si="40"/>
        <v>379.42047935407322</v>
      </c>
      <c r="V132" s="480">
        <f t="shared" ca="1" si="40"/>
        <v>65.702769369466225</v>
      </c>
      <c r="W132" s="480">
        <f t="shared" ca="1" si="40"/>
        <v>7.0718532431399668</v>
      </c>
      <c r="X132" s="480">
        <f t="shared" ca="1" si="40"/>
        <v>343.94800309905816</v>
      </c>
      <c r="Y132" s="480">
        <f t="shared" ca="1" si="40"/>
        <v>64.859291197282047</v>
      </c>
      <c r="Z132" s="480">
        <f t="shared" ca="1" si="40"/>
        <v>5.7173903406803417</v>
      </c>
      <c r="AA132" s="480">
        <f t="shared" ref="AA132:AJ139" ca="1" si="41">OFFSET($N$3,MATCH(AA$121,$A$4:$A$40,0),$A132)</f>
        <v>43.243498463731179</v>
      </c>
      <c r="AB132" s="480">
        <f t="shared" ca="1" si="41"/>
        <v>1.334837287088587</v>
      </c>
      <c r="AC132" s="480">
        <f t="shared" ca="1" si="41"/>
        <v>119.06591063344928</v>
      </c>
      <c r="AD132" s="480">
        <f t="shared" ca="1" si="41"/>
        <v>72.84962312655226</v>
      </c>
      <c r="AE132" s="480">
        <f t="shared" ca="1" si="41"/>
        <v>532.52823209855194</v>
      </c>
      <c r="AF132" s="480">
        <f t="shared" ca="1" si="41"/>
        <v>217.53651177384077</v>
      </c>
      <c r="AG132" s="480">
        <f t="shared" ca="1" si="41"/>
        <v>966.54447759871596</v>
      </c>
      <c r="AH132" s="480">
        <f t="shared" ca="1" si="41"/>
        <v>129.419261606547</v>
      </c>
      <c r="AI132" s="480">
        <f t="shared" ca="1" si="41"/>
        <v>20.584275862852557</v>
      </c>
      <c r="AJ132" s="480">
        <f t="shared" ca="1" si="41"/>
        <v>96.261858539220341</v>
      </c>
      <c r="AK132" s="480">
        <f t="shared" ref="AK132:AQ139" ca="1" si="42">OFFSET($N$3,MATCH(AK$121,$A$4:$A$40,0),$A132)</f>
        <v>369.90738511493879</v>
      </c>
      <c r="AL132" s="480">
        <f t="shared" ca="1" si="42"/>
        <v>50.816043389079638</v>
      </c>
      <c r="AM132" s="480">
        <f t="shared" ca="1" si="42"/>
        <v>94.234817803818714</v>
      </c>
      <c r="AN132" s="480">
        <f t="shared" ca="1" si="42"/>
        <v>10.036544136659248</v>
      </c>
      <c r="AO132" s="480">
        <f t="shared" ca="1" si="42"/>
        <v>37.538558675065232</v>
      </c>
      <c r="AP132" s="480">
        <f t="shared" ca="1" si="42"/>
        <v>180.57102448374658</v>
      </c>
      <c r="AQ132" s="480">
        <f t="shared" ca="1" si="42"/>
        <v>52.785845575316081</v>
      </c>
    </row>
    <row r="133" spans="1:43">
      <c r="A133" s="2">
        <v>12</v>
      </c>
      <c r="B133" t="s">
        <v>543</v>
      </c>
      <c r="C133" s="488" t="s">
        <v>5</v>
      </c>
      <c r="D133" s="2" t="str">
        <f t="shared" si="38"/>
        <v>Rdw_SDetH</v>
      </c>
      <c r="F133" s="2">
        <f>VLOOKUP(C133,TechComm!$U$2:$V$7,2,FALSE)</f>
        <v>1985</v>
      </c>
      <c r="G133" s="480">
        <f t="shared" ca="1" si="39"/>
        <v>67.373064508186019</v>
      </c>
      <c r="H133" s="480">
        <f t="shared" ca="1" si="39"/>
        <v>247.92281550451628</v>
      </c>
      <c r="I133" s="480">
        <f t="shared" ca="1" si="39"/>
        <v>95.581570343522856</v>
      </c>
      <c r="J133" s="480">
        <f t="shared" ca="1" si="39"/>
        <v>126.34697765013705</v>
      </c>
      <c r="K133" s="480">
        <f t="shared" ca="1" si="39"/>
        <v>21.423181024026793</v>
      </c>
      <c r="L133" s="480">
        <f t="shared" ca="1" si="39"/>
        <v>98.43293048076778</v>
      </c>
      <c r="M133" s="480">
        <f t="shared" ca="1" si="39"/>
        <v>1089.2762242906067</v>
      </c>
      <c r="N133" s="480">
        <f t="shared" ca="1" si="39"/>
        <v>36.04428874481718</v>
      </c>
      <c r="O133" s="480">
        <f t="shared" ca="1" si="39"/>
        <v>10.490941688472754</v>
      </c>
      <c r="P133" s="480">
        <f t="shared" ca="1" si="39"/>
        <v>415.08016396196308</v>
      </c>
      <c r="Q133" s="480">
        <f t="shared" ca="1" si="40"/>
        <v>97.148216277730356</v>
      </c>
      <c r="R133" s="480">
        <f t="shared" ca="1" si="40"/>
        <v>1051.8265201786974</v>
      </c>
      <c r="S133" s="480">
        <f t="shared" ca="1" si="40"/>
        <v>103.88787633743875</v>
      </c>
      <c r="T133" s="480">
        <f t="shared" ca="1" si="40"/>
        <v>40.713240350370306</v>
      </c>
      <c r="U133" s="480">
        <f t="shared" ca="1" si="40"/>
        <v>140.13025528569844</v>
      </c>
      <c r="V133" s="480">
        <f t="shared" ca="1" si="40"/>
        <v>98.82782835536112</v>
      </c>
      <c r="W133" s="480">
        <f t="shared" ca="1" si="40"/>
        <v>6.6057998775462146</v>
      </c>
      <c r="X133" s="480">
        <f t="shared" ca="1" si="40"/>
        <v>611.68025551139306</v>
      </c>
      <c r="Y133" s="480">
        <f t="shared" ca="1" si="40"/>
        <v>32.798164298625586</v>
      </c>
      <c r="Z133" s="480">
        <f t="shared" ca="1" si="40"/>
        <v>7.3980517869792326</v>
      </c>
      <c r="AA133" s="480">
        <f t="shared" ca="1" si="41"/>
        <v>17.270202216647352</v>
      </c>
      <c r="AB133" s="480">
        <f t="shared" ca="1" si="41"/>
        <v>17.056254223909722</v>
      </c>
      <c r="AC133" s="480">
        <f t="shared" ca="1" si="41"/>
        <v>628.77090461059174</v>
      </c>
      <c r="AD133" s="480">
        <f t="shared" ca="1" si="41"/>
        <v>57.217558197007889</v>
      </c>
      <c r="AE133" s="480">
        <f t="shared" ca="1" si="41"/>
        <v>199.8342138856531</v>
      </c>
      <c r="AF133" s="480">
        <f t="shared" ca="1" si="41"/>
        <v>175.60983185683824</v>
      </c>
      <c r="AG133" s="480">
        <f t="shared" ca="1" si="41"/>
        <v>277.58198840128415</v>
      </c>
      <c r="AH133" s="480">
        <f t="shared" ca="1" si="41"/>
        <v>62.087995563219899</v>
      </c>
      <c r="AI133" s="480">
        <f t="shared" ca="1" si="41"/>
        <v>6.8459716270598241</v>
      </c>
      <c r="AJ133" s="480">
        <f t="shared" ca="1" si="41"/>
        <v>28.647066118385208</v>
      </c>
      <c r="AK133" s="480">
        <f t="shared" ca="1" si="42"/>
        <v>1284.228672799667</v>
      </c>
      <c r="AL133" s="480">
        <f t="shared" ca="1" si="42"/>
        <v>28.732435748031019</v>
      </c>
      <c r="AM133" s="480">
        <f t="shared" ca="1" si="42"/>
        <v>33.724446782530975</v>
      </c>
      <c r="AN133" s="480">
        <f t="shared" ca="1" si="42"/>
        <v>5.6748684137185474</v>
      </c>
      <c r="AO133" s="480">
        <f t="shared" ca="1" si="42"/>
        <v>20.401390584274584</v>
      </c>
      <c r="AP133" s="480">
        <f t="shared" ca="1" si="42"/>
        <v>64.622164584080508</v>
      </c>
      <c r="AQ133" s="480">
        <f t="shared" ca="1" si="42"/>
        <v>18.890824871988109</v>
      </c>
    </row>
    <row r="134" spans="1:43">
      <c r="A134" s="2">
        <v>13</v>
      </c>
      <c r="B134" t="s">
        <v>541</v>
      </c>
      <c r="C134" s="488" t="s">
        <v>6</v>
      </c>
      <c r="D134" s="2" t="str">
        <f t="shared" si="38"/>
        <v>Rdw_Flat</v>
      </c>
      <c r="F134" s="2">
        <f>VLOOKUP(C134,TechComm!$U$2:$V$7,2,FALSE)</f>
        <v>1995</v>
      </c>
      <c r="G134" s="480">
        <f t="shared" ca="1" si="39"/>
        <v>250.95383690176817</v>
      </c>
      <c r="H134" s="480">
        <f t="shared" ca="1" si="39"/>
        <v>104.28996161451649</v>
      </c>
      <c r="I134" s="480">
        <f t="shared" ca="1" si="39"/>
        <v>127.93998529141672</v>
      </c>
      <c r="J134" s="480">
        <f t="shared" ca="1" si="39"/>
        <v>263.27656373891904</v>
      </c>
      <c r="K134" s="480">
        <f t="shared" ca="1" si="39"/>
        <v>14.275871920854083</v>
      </c>
      <c r="L134" s="480">
        <f t="shared" ca="1" si="39"/>
        <v>184.28781159304199</v>
      </c>
      <c r="M134" s="480">
        <f t="shared" ca="1" si="39"/>
        <v>2294.8521642411897</v>
      </c>
      <c r="N134" s="480">
        <f t="shared" ca="1" si="39"/>
        <v>72.46270178142484</v>
      </c>
      <c r="O134" s="480">
        <f t="shared" ca="1" si="39"/>
        <v>32.07327194030924</v>
      </c>
      <c r="P134" s="480">
        <f t="shared" ca="1" si="39"/>
        <v>1416.3041684017362</v>
      </c>
      <c r="Q134" s="480">
        <f t="shared" ca="1" si="40"/>
        <v>131.29364090567577</v>
      </c>
      <c r="R134" s="480">
        <f t="shared" ca="1" si="40"/>
        <v>1040.2944476333871</v>
      </c>
      <c r="S134" s="480">
        <f t="shared" ca="1" si="40"/>
        <v>284.77400454836123</v>
      </c>
      <c r="T134" s="480">
        <f t="shared" ca="1" si="40"/>
        <v>48.34714989947237</v>
      </c>
      <c r="U134" s="480">
        <f t="shared" ca="1" si="40"/>
        <v>133.89909293520358</v>
      </c>
      <c r="V134" s="480">
        <f t="shared" ca="1" si="40"/>
        <v>27.163656005024833</v>
      </c>
      <c r="W134" s="480">
        <f t="shared" ca="1" si="40"/>
        <v>7.9572112262919372</v>
      </c>
      <c r="X134" s="480">
        <f t="shared" ca="1" si="40"/>
        <v>1027.3211290083136</v>
      </c>
      <c r="Y134" s="480">
        <f t="shared" ca="1" si="40"/>
        <v>56.147849277506879</v>
      </c>
      <c r="Z134" s="480">
        <f t="shared" ca="1" si="40"/>
        <v>5.9131027659574471</v>
      </c>
      <c r="AA134" s="480">
        <f t="shared" ca="1" si="41"/>
        <v>42.309518110997381</v>
      </c>
      <c r="AB134" s="480">
        <f t="shared" ca="1" si="41"/>
        <v>5.9183140924985889</v>
      </c>
      <c r="AC134" s="480">
        <f t="shared" ca="1" si="41"/>
        <v>285.59305629628477</v>
      </c>
      <c r="AD134" s="480">
        <f t="shared" ca="1" si="41"/>
        <v>199.31371586044133</v>
      </c>
      <c r="AE134" s="480">
        <f t="shared" ca="1" si="41"/>
        <v>1078.5750540157949</v>
      </c>
      <c r="AF134" s="480">
        <f t="shared" ca="1" si="41"/>
        <v>297.53641782104188</v>
      </c>
      <c r="AG134" s="480">
        <f t="shared" ca="1" si="41"/>
        <v>129.77659979999999</v>
      </c>
      <c r="AH134" s="480">
        <f t="shared" ca="1" si="41"/>
        <v>218.16532251448081</v>
      </c>
      <c r="AI134" s="480">
        <f t="shared" ca="1" si="41"/>
        <v>48.691389510087625</v>
      </c>
      <c r="AJ134" s="480">
        <f t="shared" ca="1" si="41"/>
        <v>68.884631856564482</v>
      </c>
      <c r="AK134" s="480">
        <f t="shared" ca="1" si="42"/>
        <v>381.28805308539404</v>
      </c>
      <c r="AL134" s="480">
        <f t="shared" ca="1" si="42"/>
        <v>78.760400894311005</v>
      </c>
      <c r="AM134" s="480">
        <f t="shared" ca="1" si="42"/>
        <v>56.143200376494306</v>
      </c>
      <c r="AN134" s="480">
        <f t="shared" ca="1" si="42"/>
        <v>11.333295719093488</v>
      </c>
      <c r="AO134" s="480">
        <f t="shared" ca="1" si="42"/>
        <v>29.953757886810376</v>
      </c>
      <c r="AP134" s="480">
        <f t="shared" ca="1" si="42"/>
        <v>107.58056784155019</v>
      </c>
      <c r="AQ134" s="480">
        <f t="shared" ca="1" si="42"/>
        <v>31.448740224099652</v>
      </c>
    </row>
    <row r="135" spans="1:43">
      <c r="A135" s="2">
        <v>14</v>
      </c>
      <c r="B135" t="s">
        <v>542</v>
      </c>
      <c r="C135" s="488" t="s">
        <v>6</v>
      </c>
      <c r="D135" s="2" t="str">
        <f t="shared" si="38"/>
        <v>Rdw_DetH</v>
      </c>
      <c r="F135" s="2">
        <f>VLOOKUP(C135,TechComm!$U$2:$V$7,2,FALSE)</f>
        <v>1995</v>
      </c>
      <c r="G135" s="480">
        <f t="shared" ca="1" si="39"/>
        <v>173.51854230045839</v>
      </c>
      <c r="H135" s="480">
        <f t="shared" ca="1" si="39"/>
        <v>109.45701529799435</v>
      </c>
      <c r="I135" s="480">
        <f t="shared" ca="1" si="39"/>
        <v>101.56813262809619</v>
      </c>
      <c r="J135" s="480">
        <f t="shared" ca="1" si="39"/>
        <v>134.41876043039858</v>
      </c>
      <c r="K135" s="480">
        <f t="shared" ca="1" si="39"/>
        <v>18.08765814441956</v>
      </c>
      <c r="L135" s="480">
        <f t="shared" ca="1" si="39"/>
        <v>85.72086435677366</v>
      </c>
      <c r="M135" s="480">
        <f t="shared" ca="1" si="39"/>
        <v>958.94049423764079</v>
      </c>
      <c r="N135" s="480">
        <f t="shared" ca="1" si="39"/>
        <v>67.75527517806448</v>
      </c>
      <c r="O135" s="480">
        <f t="shared" ca="1" si="39"/>
        <v>7.3370537714334541</v>
      </c>
      <c r="P135" s="480">
        <f t="shared" ca="1" si="39"/>
        <v>185.39243822026032</v>
      </c>
      <c r="Q135" s="480">
        <f t="shared" ca="1" si="40"/>
        <v>93.84868241148844</v>
      </c>
      <c r="R135" s="480">
        <f t="shared" ca="1" si="40"/>
        <v>712.60673422759623</v>
      </c>
      <c r="S135" s="480">
        <f t="shared" ca="1" si="40"/>
        <v>123.60784335119607</v>
      </c>
      <c r="T135" s="480">
        <f t="shared" ca="1" si="40"/>
        <v>60.893733834436496</v>
      </c>
      <c r="U135" s="480">
        <f t="shared" ca="1" si="40"/>
        <v>156.49322809989133</v>
      </c>
      <c r="V135" s="480">
        <f t="shared" ca="1" si="40"/>
        <v>85.367685860866288</v>
      </c>
      <c r="W135" s="480">
        <f t="shared" ca="1" si="40"/>
        <v>5.1635521950769148</v>
      </c>
      <c r="X135" s="480">
        <f t="shared" ca="1" si="40"/>
        <v>127.25947094997306</v>
      </c>
      <c r="Y135" s="480">
        <f t="shared" ca="1" si="40"/>
        <v>20.169145536448266</v>
      </c>
      <c r="Z135" s="480">
        <f t="shared" ca="1" si="40"/>
        <v>4.5488610217862151</v>
      </c>
      <c r="AA135" s="480">
        <f t="shared" ca="1" si="41"/>
        <v>13.535932895961425</v>
      </c>
      <c r="AB135" s="480">
        <f t="shared" ca="1" si="41"/>
        <v>1.2927255900605863</v>
      </c>
      <c r="AC135" s="480">
        <f t="shared" ca="1" si="41"/>
        <v>105.03666692285195</v>
      </c>
      <c r="AD135" s="480">
        <f t="shared" ca="1" si="41"/>
        <v>80.235577445388714</v>
      </c>
      <c r="AE135" s="480">
        <f t="shared" ca="1" si="41"/>
        <v>532.52823209855194</v>
      </c>
      <c r="AF135" s="480">
        <f t="shared" ca="1" si="41"/>
        <v>236.91153368948144</v>
      </c>
      <c r="AG135" s="480">
        <f t="shared" ca="1" si="41"/>
        <v>133.10326307672554</v>
      </c>
      <c r="AH135" s="480">
        <f t="shared" ca="1" si="41"/>
        <v>105.96675077351949</v>
      </c>
      <c r="AI135" s="480">
        <f t="shared" ca="1" si="41"/>
        <v>20.584275862852557</v>
      </c>
      <c r="AJ135" s="480">
        <f t="shared" ca="1" si="41"/>
        <v>51.216291980809764</v>
      </c>
      <c r="AK135" s="480">
        <f t="shared" ca="1" si="42"/>
        <v>369.90738511493879</v>
      </c>
      <c r="AL135" s="480">
        <f t="shared" ca="1" si="42"/>
        <v>34.186418495119696</v>
      </c>
      <c r="AM135" s="480">
        <f t="shared" ca="1" si="42"/>
        <v>46.18799435653829</v>
      </c>
      <c r="AN135" s="480">
        <f t="shared" ca="1" si="42"/>
        <v>4.9192841324130994</v>
      </c>
      <c r="AO135" s="480">
        <f t="shared" ca="1" si="42"/>
        <v>21.679191262645055</v>
      </c>
      <c r="AP135" s="480">
        <f t="shared" ca="1" si="42"/>
        <v>88.50458518604627</v>
      </c>
      <c r="AQ135" s="480">
        <f t="shared" ca="1" si="42"/>
        <v>25.872309135392644</v>
      </c>
    </row>
    <row r="136" spans="1:43">
      <c r="A136" s="2">
        <v>15</v>
      </c>
      <c r="B136" t="s">
        <v>543</v>
      </c>
      <c r="C136" s="488" t="s">
        <v>6</v>
      </c>
      <c r="D136" s="2" t="str">
        <f t="shared" si="38"/>
        <v>Rdw_SDetH</v>
      </c>
      <c r="F136" s="2">
        <f>VLOOKUP(C136,TechComm!$U$2:$V$7,2,FALSE)</f>
        <v>1995</v>
      </c>
      <c r="G136" s="480">
        <f t="shared" ca="1" si="39"/>
        <v>80.411031797773447</v>
      </c>
      <c r="H136" s="480">
        <f t="shared" ca="1" si="39"/>
        <v>182.62504708748918</v>
      </c>
      <c r="I136" s="480">
        <f t="shared" ca="1" si="39"/>
        <v>55.200072080487089</v>
      </c>
      <c r="J136" s="480">
        <f t="shared" ca="1" si="39"/>
        <v>150.7975169534304</v>
      </c>
      <c r="K136" s="480">
        <f t="shared" ca="1" si="39"/>
        <v>18.472501934726363</v>
      </c>
      <c r="L136" s="480">
        <f t="shared" ca="1" si="39"/>
        <v>50.810351050184373</v>
      </c>
      <c r="M136" s="480">
        <f t="shared" ca="1" si="39"/>
        <v>1002.5286985211699</v>
      </c>
      <c r="N136" s="480">
        <f t="shared" ca="1" si="39"/>
        <v>36.072861040510688</v>
      </c>
      <c r="O136" s="480">
        <f t="shared" ca="1" si="39"/>
        <v>3.4038512882572998</v>
      </c>
      <c r="P136" s="480">
        <f t="shared" ca="1" si="39"/>
        <v>410.99867737800338</v>
      </c>
      <c r="Q136" s="480">
        <f t="shared" ca="1" si="40"/>
        <v>70.933299682835781</v>
      </c>
      <c r="R136" s="480">
        <f t="shared" ca="1" si="40"/>
        <v>633.60734513901662</v>
      </c>
      <c r="S136" s="480">
        <f t="shared" ca="1" si="40"/>
        <v>69.890416100442664</v>
      </c>
      <c r="T136" s="480">
        <f t="shared" ca="1" si="40"/>
        <v>21.792449266091133</v>
      </c>
      <c r="U136" s="480">
        <f t="shared" ca="1" si="40"/>
        <v>57.797185964905104</v>
      </c>
      <c r="V136" s="480">
        <f t="shared" ca="1" si="40"/>
        <v>128.40711413410889</v>
      </c>
      <c r="W136" s="480">
        <f t="shared" ca="1" si="40"/>
        <v>4.8232607896706998</v>
      </c>
      <c r="X136" s="480">
        <f t="shared" ca="1" si="40"/>
        <v>226.31940004171341</v>
      </c>
      <c r="Y136" s="480">
        <f t="shared" ca="1" si="40"/>
        <v>10.199170186044862</v>
      </c>
      <c r="Z136" s="480">
        <f t="shared" ca="1" si="40"/>
        <v>5.886026212256338</v>
      </c>
      <c r="AA136" s="480">
        <f t="shared" ca="1" si="41"/>
        <v>5.4058599930411964</v>
      </c>
      <c r="AB136" s="480">
        <f t="shared" ca="1" si="41"/>
        <v>16.518160317440824</v>
      </c>
      <c r="AC136" s="480">
        <f t="shared" ca="1" si="41"/>
        <v>554.68437378086321</v>
      </c>
      <c r="AD136" s="480">
        <f t="shared" ca="1" si="41"/>
        <v>63.018635168186279</v>
      </c>
      <c r="AE136" s="480">
        <f t="shared" ca="1" si="41"/>
        <v>199.8342138856531</v>
      </c>
      <c r="AF136" s="480">
        <f t="shared" ca="1" si="41"/>
        <v>191.25062848947672</v>
      </c>
      <c r="AG136" s="480">
        <f t="shared" ca="1" si="41"/>
        <v>38.225937123274477</v>
      </c>
      <c r="AH136" s="480">
        <f t="shared" ca="1" si="41"/>
        <v>50.836815711999698</v>
      </c>
      <c r="AI136" s="480">
        <f t="shared" ca="1" si="41"/>
        <v>6.8459716270598241</v>
      </c>
      <c r="AJ136" s="480">
        <f t="shared" ca="1" si="41"/>
        <v>15.241722162625749</v>
      </c>
      <c r="AK136" s="480">
        <f t="shared" ca="1" si="42"/>
        <v>1284.228672799667</v>
      </c>
      <c r="AL136" s="480">
        <f t="shared" ca="1" si="42"/>
        <v>19.329703915464879</v>
      </c>
      <c r="AM136" s="480">
        <f t="shared" ca="1" si="42"/>
        <v>16.529607569377557</v>
      </c>
      <c r="AN136" s="480">
        <f t="shared" ca="1" si="42"/>
        <v>2.7814643926260985</v>
      </c>
      <c r="AO136" s="480">
        <f t="shared" ca="1" si="42"/>
        <v>11.78216916448101</v>
      </c>
      <c r="AP136" s="480">
        <f t="shared" ca="1" si="42"/>
        <v>31.673729972403528</v>
      </c>
      <c r="AQ136" s="480">
        <f t="shared" ca="1" si="42"/>
        <v>9.259096933727843</v>
      </c>
    </row>
    <row r="137" spans="1:43">
      <c r="A137" s="2">
        <v>16</v>
      </c>
      <c r="B137" t="s">
        <v>541</v>
      </c>
      <c r="C137" s="488" t="s">
        <v>7</v>
      </c>
      <c r="D137" s="2" t="str">
        <f t="shared" si="38"/>
        <v>Rdw_Flat</v>
      </c>
      <c r="F137" s="2">
        <f>VLOOKUP(C137,TechComm!$U$2:$V$7,2,FALSE)</f>
        <v>2004</v>
      </c>
      <c r="G137" s="480">
        <f t="shared" ca="1" si="39"/>
        <v>102.6026573497053</v>
      </c>
      <c r="H137" s="480">
        <f t="shared" ca="1" si="39"/>
        <v>70.102719075016594</v>
      </c>
      <c r="I137" s="480">
        <f t="shared" ca="1" si="39"/>
        <v>199.0585423279054</v>
      </c>
      <c r="J137" s="480">
        <f t="shared" ca="1" si="39"/>
        <v>107.64081311132098</v>
      </c>
      <c r="K137" s="480">
        <f t="shared" ca="1" si="39"/>
        <v>30.694791644895528</v>
      </c>
      <c r="L137" s="480">
        <f t="shared" ca="1" si="39"/>
        <v>139.21443130786497</v>
      </c>
      <c r="M137" s="480">
        <f t="shared" ca="1" si="39"/>
        <v>1261.9275493689988</v>
      </c>
      <c r="N137" s="480">
        <f t="shared" ca="1" si="39"/>
        <v>95.842879700857893</v>
      </c>
      <c r="O137" s="480">
        <f t="shared" ca="1" si="39"/>
        <v>25.249444480802204</v>
      </c>
      <c r="P137" s="480">
        <f t="shared" ca="1" si="39"/>
        <v>2403.9570549832829</v>
      </c>
      <c r="Q137" s="480">
        <f t="shared" ca="1" si="40"/>
        <v>128.24101552307064</v>
      </c>
      <c r="R137" s="480">
        <f t="shared" ca="1" si="40"/>
        <v>1417.3853444798438</v>
      </c>
      <c r="S137" s="480">
        <f t="shared" ca="1" si="40"/>
        <v>145.02523424208152</v>
      </c>
      <c r="T137" s="480">
        <f t="shared" ca="1" si="40"/>
        <v>66.291309871417113</v>
      </c>
      <c r="U137" s="480">
        <f t="shared" ca="1" si="40"/>
        <v>157.93067579915589</v>
      </c>
      <c r="V137" s="480">
        <f t="shared" ca="1" si="40"/>
        <v>54.110641174925789</v>
      </c>
      <c r="W137" s="480">
        <f t="shared" ca="1" si="40"/>
        <v>7.7722031421488511</v>
      </c>
      <c r="X137" s="480">
        <f t="shared" ca="1" si="40"/>
        <v>803.83842413895491</v>
      </c>
      <c r="Y137" s="480">
        <f t="shared" ca="1" si="40"/>
        <v>49.208265200013763</v>
      </c>
      <c r="Z137" s="480">
        <f t="shared" ca="1" si="40"/>
        <v>8.1332575531914895</v>
      </c>
      <c r="AA137" s="480">
        <f t="shared" ca="1" si="41"/>
        <v>49.086026067434688</v>
      </c>
      <c r="AB137" s="480">
        <f t="shared" ca="1" si="41"/>
        <v>2.2070144774957696</v>
      </c>
      <c r="AC137" s="480">
        <f t="shared" ca="1" si="41"/>
        <v>148.46865716238921</v>
      </c>
      <c r="AD137" s="480">
        <f t="shared" ca="1" si="41"/>
        <v>140.73088690336078</v>
      </c>
      <c r="AE137" s="480">
        <f t="shared" ca="1" si="41"/>
        <v>1342.0302721278497</v>
      </c>
      <c r="AF137" s="480">
        <f t="shared" ca="1" si="41"/>
        <v>168.96951817194957</v>
      </c>
      <c r="AG137" s="480">
        <f t="shared" ca="1" si="41"/>
        <v>127.5554844</v>
      </c>
      <c r="AH137" s="480">
        <f t="shared" ca="1" si="41"/>
        <v>60.866387059806925</v>
      </c>
      <c r="AI137" s="480">
        <f t="shared" ca="1" si="41"/>
        <v>42.574698508130162</v>
      </c>
      <c r="AJ137" s="480">
        <f t="shared" ca="1" si="41"/>
        <v>85.123908571428572</v>
      </c>
      <c r="AK137" s="480">
        <f t="shared" ca="1" si="42"/>
        <v>315.31074469020649</v>
      </c>
      <c r="AL137" s="480">
        <f t="shared" ca="1" si="42"/>
        <v>40.109860472738262</v>
      </c>
      <c r="AM137" s="480">
        <f t="shared" ca="1" si="42"/>
        <v>42.161557376973775</v>
      </c>
      <c r="AN137" s="480">
        <f t="shared" ca="1" si="42"/>
        <v>8.5109041616164447</v>
      </c>
      <c r="AO137" s="480">
        <f t="shared" ca="1" si="42"/>
        <v>46.60428378673177</v>
      </c>
      <c r="AP137" s="480">
        <f t="shared" ca="1" si="42"/>
        <v>80.789200709654324</v>
      </c>
      <c r="AQ137" s="480">
        <f t="shared" ca="1" si="42"/>
        <v>23.61689138667364</v>
      </c>
    </row>
    <row r="138" spans="1:43">
      <c r="A138" s="2">
        <v>17</v>
      </c>
      <c r="B138" t="s">
        <v>542</v>
      </c>
      <c r="C138" s="488" t="s">
        <v>7</v>
      </c>
      <c r="D138" s="2" t="str">
        <f t="shared" si="38"/>
        <v>Rdw_DetH</v>
      </c>
      <c r="F138" s="2">
        <f>VLOOKUP(C138,TechComm!$U$2:$V$7,2,FALSE)</f>
        <v>2004</v>
      </c>
      <c r="G138" s="480">
        <f t="shared" ca="1" si="39"/>
        <v>70.943181261034695</v>
      </c>
      <c r="H138" s="480">
        <f t="shared" ca="1" si="39"/>
        <v>73.57596335673621</v>
      </c>
      <c r="I138" s="480">
        <f t="shared" ca="1" si="39"/>
        <v>158.02725302699085</v>
      </c>
      <c r="J138" s="480">
        <f t="shared" ca="1" si="39"/>
        <v>54.957207222182682</v>
      </c>
      <c r="K138" s="480">
        <f t="shared" ca="1" si="39"/>
        <v>38.890577133578006</v>
      </c>
      <c r="L138" s="480">
        <f t="shared" ca="1" si="39"/>
        <v>64.755131006707572</v>
      </c>
      <c r="M138" s="480">
        <f t="shared" ca="1" si="39"/>
        <v>527.31650724182305</v>
      </c>
      <c r="N138" s="480">
        <f t="shared" ca="1" si="39"/>
        <v>89.616596239783021</v>
      </c>
      <c r="O138" s="480">
        <f t="shared" ca="1" si="39"/>
        <v>5.7760409414806713</v>
      </c>
      <c r="P138" s="480">
        <f t="shared" ca="1" si="39"/>
        <v>314.67496159605378</v>
      </c>
      <c r="Q138" s="480">
        <f t="shared" ca="1" si="40"/>
        <v>91.666666069515145</v>
      </c>
      <c r="R138" s="480">
        <f t="shared" ca="1" si="40"/>
        <v>970.91582462025042</v>
      </c>
      <c r="S138" s="480">
        <f t="shared" ca="1" si="40"/>
        <v>62.949061887147899</v>
      </c>
      <c r="T138" s="480">
        <f t="shared" ca="1" si="40"/>
        <v>83.49458835194504</v>
      </c>
      <c r="U138" s="480">
        <f t="shared" ca="1" si="40"/>
        <v>184.57990065524498</v>
      </c>
      <c r="V138" s="480">
        <f t="shared" ca="1" si="40"/>
        <v>170.05443658602607</v>
      </c>
      <c r="W138" s="480">
        <f t="shared" ca="1" si="40"/>
        <v>5.043497709677867</v>
      </c>
      <c r="X138" s="480">
        <f t="shared" ca="1" si="40"/>
        <v>99.57553650622485</v>
      </c>
      <c r="Y138" s="480">
        <f t="shared" ca="1" si="40"/>
        <v>17.676343353953119</v>
      </c>
      <c r="Z138" s="480">
        <f t="shared" ca="1" si="40"/>
        <v>6.2567927073512548</v>
      </c>
      <c r="AA138" s="480">
        <f t="shared" ca="1" si="41"/>
        <v>15.703916864170269</v>
      </c>
      <c r="AB138" s="480">
        <f t="shared" ca="1" si="41"/>
        <v>0.48207378792369415</v>
      </c>
      <c r="AC138" s="480">
        <f t="shared" ca="1" si="41"/>
        <v>54.60445394957538</v>
      </c>
      <c r="AD138" s="480">
        <f t="shared" ca="1" si="41"/>
        <v>56.652518500027334</v>
      </c>
      <c r="AE138" s="480">
        <f t="shared" ca="1" si="41"/>
        <v>662.60480026688674</v>
      </c>
      <c r="AF138" s="480">
        <f t="shared" ca="1" si="41"/>
        <v>134.5409344847543</v>
      </c>
      <c r="AG138" s="480">
        <f t="shared" ca="1" si="41"/>
        <v>130.82521211942216</v>
      </c>
      <c r="AH138" s="480">
        <f t="shared" ca="1" si="41"/>
        <v>29.563879326527815</v>
      </c>
      <c r="AI138" s="480">
        <f t="shared" ca="1" si="41"/>
        <v>17.99844587896936</v>
      </c>
      <c r="AJ138" s="480">
        <f t="shared" ca="1" si="41"/>
        <v>63.290328168119139</v>
      </c>
      <c r="AK138" s="480">
        <f t="shared" ca="1" si="42"/>
        <v>305.89936433407308</v>
      </c>
      <c r="AL138" s="480">
        <f t="shared" ca="1" si="42"/>
        <v>17.409922503339299</v>
      </c>
      <c r="AM138" s="480">
        <f t="shared" ca="1" si="42"/>
        <v>34.685549828503149</v>
      </c>
      <c r="AN138" s="480">
        <f t="shared" ca="1" si="42"/>
        <v>3.6942083602559723</v>
      </c>
      <c r="AO138" s="480">
        <f t="shared" ca="1" si="42"/>
        <v>33.73009776232562</v>
      </c>
      <c r="AP138" s="480">
        <f t="shared" ca="1" si="42"/>
        <v>66.463812561868693</v>
      </c>
      <c r="AQ138" s="480">
        <f t="shared" ca="1" si="42"/>
        <v>19.429188909283418</v>
      </c>
    </row>
    <row r="139" spans="1:43">
      <c r="A139" s="2">
        <v>18</v>
      </c>
      <c r="B139" t="s">
        <v>543</v>
      </c>
      <c r="C139" s="488" t="s">
        <v>7</v>
      </c>
      <c r="D139" s="2" t="str">
        <f t="shared" si="38"/>
        <v>Rdw_SDetH</v>
      </c>
      <c r="F139" s="2">
        <f>VLOOKUP(C139,TechComm!$U$2:$V$7,2,FALSE)</f>
        <v>2004</v>
      </c>
      <c r="G139" s="480">
        <f t="shared" ca="1" si="39"/>
        <v>32.876108389259997</v>
      </c>
      <c r="H139" s="480">
        <f t="shared" ca="1" si="39"/>
        <v>122.7588175682472</v>
      </c>
      <c r="I139" s="480">
        <f t="shared" ca="1" si="39"/>
        <v>85.884376645103757</v>
      </c>
      <c r="J139" s="480">
        <f t="shared" ca="1" si="39"/>
        <v>61.653673648415058</v>
      </c>
      <c r="K139" s="480">
        <f t="shared" ca="1" si="39"/>
        <v>39.718036221526475</v>
      </c>
      <c r="L139" s="480">
        <f t="shared" ca="1" si="39"/>
        <v>38.383081685427463</v>
      </c>
      <c r="M139" s="480">
        <f t="shared" ca="1" si="39"/>
        <v>551.28543938917858</v>
      </c>
      <c r="N139" s="480">
        <f t="shared" ca="1" si="39"/>
        <v>47.711813059359088</v>
      </c>
      <c r="O139" s="480">
        <f t="shared" ca="1" si="39"/>
        <v>2.6796565777171244</v>
      </c>
      <c r="P139" s="480">
        <f t="shared" ca="1" si="39"/>
        <v>697.60662442066302</v>
      </c>
      <c r="Q139" s="480">
        <f t="shared" ca="1" si="40"/>
        <v>69.284074407414224</v>
      </c>
      <c r="R139" s="480">
        <f t="shared" ca="1" si="40"/>
        <v>863.28035989990587</v>
      </c>
      <c r="S139" s="480">
        <f t="shared" ca="1" si="40"/>
        <v>35.592693870770553</v>
      </c>
      <c r="T139" s="480">
        <f t="shared" ca="1" si="40"/>
        <v>29.880768776637847</v>
      </c>
      <c r="U139" s="480">
        <f t="shared" ca="1" si="40"/>
        <v>68.17035454559911</v>
      </c>
      <c r="V139" s="480">
        <f t="shared" ca="1" si="40"/>
        <v>255.78998923904814</v>
      </c>
      <c r="W139" s="480">
        <f t="shared" ca="1" si="40"/>
        <v>4.7111182044555431</v>
      </c>
      <c r="X139" s="480">
        <f t="shared" ca="1" si="40"/>
        <v>177.08603935482026</v>
      </c>
      <c r="Y139" s="480">
        <f t="shared" ca="1" si="40"/>
        <v>8.9386054460331117</v>
      </c>
      <c r="Z139" s="480">
        <f t="shared" ca="1" si="40"/>
        <v>8.0960147394572548</v>
      </c>
      <c r="AA139" s="480">
        <f t="shared" ca="1" si="41"/>
        <v>6.2716900683950429</v>
      </c>
      <c r="AB139" s="480">
        <f t="shared" ca="1" si="41"/>
        <v>6.1598317345805356</v>
      </c>
      <c r="AC139" s="480">
        <f t="shared" ca="1" si="41"/>
        <v>288.35870588803544</v>
      </c>
      <c r="AD139" s="480">
        <f t="shared" ca="1" si="41"/>
        <v>44.496026680210925</v>
      </c>
      <c r="AE139" s="480">
        <f t="shared" ca="1" si="41"/>
        <v>248.64617760526343</v>
      </c>
      <c r="AF139" s="480">
        <f t="shared" ca="1" si="41"/>
        <v>108.61032334329613</v>
      </c>
      <c r="AG139" s="480">
        <f t="shared" ca="1" si="41"/>
        <v>37.571703480577852</v>
      </c>
      <c r="AH139" s="480">
        <f t="shared" ca="1" si="41"/>
        <v>14.183066613665265</v>
      </c>
      <c r="AI139" s="480">
        <f t="shared" ca="1" si="41"/>
        <v>5.9859696129004716</v>
      </c>
      <c r="AJ139" s="480">
        <f t="shared" ca="1" si="41"/>
        <v>18.834897260452287</v>
      </c>
      <c r="AK139" s="480">
        <f t="shared" ca="1" si="42"/>
        <v>1062.0083579757202</v>
      </c>
      <c r="AL139" s="480">
        <f t="shared" ca="1" si="42"/>
        <v>9.8439281444114766</v>
      </c>
      <c r="AM139" s="480">
        <f t="shared" ca="1" si="42"/>
        <v>12.413150537940327</v>
      </c>
      <c r="AN139" s="480">
        <f t="shared" ca="1" si="42"/>
        <v>2.0887813625746388</v>
      </c>
      <c r="AO139" s="480">
        <f t="shared" ca="1" si="42"/>
        <v>18.33157487082914</v>
      </c>
      <c r="AP139" s="480">
        <f t="shared" ca="1" si="42"/>
        <v>23.785850728476969</v>
      </c>
      <c r="AQ139" s="480">
        <f t="shared" ca="1" si="42"/>
        <v>6.9532542500688912</v>
      </c>
    </row>
    <row r="140" spans="1:43" ht="15" thickBot="1">
      <c r="G140" s="540" t="str">
        <f>G121</f>
        <v>AT</v>
      </c>
      <c r="H140" s="540" t="str">
        <f t="shared" ref="H140:AQ140" si="43">H121</f>
        <v>BE</v>
      </c>
      <c r="I140" s="540" t="str">
        <f t="shared" si="43"/>
        <v>BG</v>
      </c>
      <c r="J140" s="540" t="str">
        <f t="shared" si="43"/>
        <v>CH</v>
      </c>
      <c r="K140" s="540" t="str">
        <f t="shared" si="43"/>
        <v>CY</v>
      </c>
      <c r="L140" s="540" t="str">
        <f t="shared" si="43"/>
        <v>CZ</v>
      </c>
      <c r="M140" s="540" t="str">
        <f t="shared" si="43"/>
        <v>DE</v>
      </c>
      <c r="N140" s="540" t="str">
        <f t="shared" si="43"/>
        <v>DK</v>
      </c>
      <c r="O140" s="540" t="str">
        <f t="shared" si="43"/>
        <v>EE</v>
      </c>
      <c r="P140" s="540" t="str">
        <f t="shared" si="43"/>
        <v>ES</v>
      </c>
      <c r="Q140" s="540" t="str">
        <f t="shared" si="43"/>
        <v>FI</v>
      </c>
      <c r="R140" s="540" t="str">
        <f t="shared" si="43"/>
        <v>FR</v>
      </c>
      <c r="S140" s="540" t="str">
        <f t="shared" si="43"/>
        <v>EL</v>
      </c>
      <c r="T140" s="540" t="str">
        <f t="shared" si="43"/>
        <v>HR</v>
      </c>
      <c r="U140" s="540" t="str">
        <f t="shared" si="43"/>
        <v>HU</v>
      </c>
      <c r="V140" s="540" t="str">
        <f t="shared" si="43"/>
        <v>IE</v>
      </c>
      <c r="W140" s="540" t="str">
        <f t="shared" si="43"/>
        <v>IS</v>
      </c>
      <c r="X140" s="540" t="str">
        <f t="shared" si="43"/>
        <v>IT</v>
      </c>
      <c r="Y140" s="540" t="str">
        <f t="shared" si="43"/>
        <v>LT</v>
      </c>
      <c r="Z140" s="540" t="str">
        <f t="shared" si="43"/>
        <v>LU</v>
      </c>
      <c r="AA140" s="540" t="str">
        <f t="shared" si="43"/>
        <v>LV</v>
      </c>
      <c r="AB140" s="540" t="str">
        <f t="shared" si="43"/>
        <v>MT</v>
      </c>
      <c r="AC140" s="540" t="str">
        <f t="shared" si="43"/>
        <v>NL</v>
      </c>
      <c r="AD140" s="540" t="str">
        <f t="shared" si="43"/>
        <v>NO</v>
      </c>
      <c r="AE140" s="540" t="str">
        <f t="shared" si="43"/>
        <v>PL</v>
      </c>
      <c r="AF140" s="540" t="str">
        <f t="shared" si="43"/>
        <v>PT</v>
      </c>
      <c r="AG140" s="540" t="str">
        <f t="shared" si="43"/>
        <v>RO</v>
      </c>
      <c r="AH140" s="540" t="str">
        <f t="shared" si="43"/>
        <v>SE</v>
      </c>
      <c r="AI140" s="540" t="str">
        <f t="shared" si="43"/>
        <v>SI</v>
      </c>
      <c r="AJ140" s="540" t="str">
        <f t="shared" si="43"/>
        <v>SK</v>
      </c>
      <c r="AK140" s="540" t="str">
        <f t="shared" si="43"/>
        <v>UK</v>
      </c>
      <c r="AL140" s="540" t="str">
        <f t="shared" si="43"/>
        <v>AL</v>
      </c>
      <c r="AM140" s="540" t="str">
        <f t="shared" si="43"/>
        <v>BA</v>
      </c>
      <c r="AN140" s="540" t="str">
        <f t="shared" si="43"/>
        <v>ME</v>
      </c>
      <c r="AO140" s="540" t="str">
        <f t="shared" si="43"/>
        <v>MK</v>
      </c>
      <c r="AP140" s="540" t="str">
        <f t="shared" si="43"/>
        <v>RS</v>
      </c>
      <c r="AQ140" s="540" t="str">
        <f t="shared" si="43"/>
        <v>KS</v>
      </c>
    </row>
    <row r="141" spans="1:43">
      <c r="B141" s="2" t="s">
        <v>541</v>
      </c>
      <c r="G141" s="480">
        <f ca="1">SUM(G122,G125,G128,G131,G134,G137)</f>
        <v>1770.7460640491161</v>
      </c>
      <c r="H141" s="480">
        <f t="shared" ref="H141:AQ143" ca="1" si="44">SUM(H122,H125,H128,H131,H134,H137)</f>
        <v>1190.0524452312459</v>
      </c>
      <c r="I141" s="480">
        <f t="shared" ca="1" si="44"/>
        <v>1384.9655489999998</v>
      </c>
      <c r="J141" s="480">
        <f t="shared" ca="1" si="44"/>
        <v>1857.6959999999999</v>
      </c>
      <c r="K141" s="480">
        <f t="shared" ca="1" si="44"/>
        <v>84.009841719178098</v>
      </c>
      <c r="L141" s="480">
        <f t="shared" ca="1" si="44"/>
        <v>2293.6957279999997</v>
      </c>
      <c r="M141" s="480">
        <f t="shared" ca="1" si="44"/>
        <v>21140.630688707945</v>
      </c>
      <c r="N141" s="480">
        <f t="shared" ca="1" si="44"/>
        <v>1097.762218923536</v>
      </c>
      <c r="O141" s="480">
        <f t="shared" ca="1" si="44"/>
        <v>488.14637875076545</v>
      </c>
      <c r="P141" s="480">
        <f t="shared" ca="1" si="44"/>
        <v>11780.663</v>
      </c>
      <c r="Q141" s="480">
        <f t="shared" ca="1" si="44"/>
        <v>1108.1723152307063</v>
      </c>
      <c r="R141" s="480">
        <f t="shared" ca="1" si="44"/>
        <v>11786.300000000001</v>
      </c>
      <c r="S141" s="480">
        <f t="shared" ca="1" si="44"/>
        <v>2290.7530005954222</v>
      </c>
      <c r="T141" s="480">
        <f t="shared" ca="1" si="44"/>
        <v>547.54899999999998</v>
      </c>
      <c r="U141" s="480">
        <f t="shared" ca="1" si="44"/>
        <v>1549</v>
      </c>
      <c r="V141" s="480">
        <f t="shared" ca="1" si="44"/>
        <v>185.95600011274104</v>
      </c>
      <c r="W141" s="480">
        <f t="shared" ca="1" si="44"/>
        <v>67.162134636472771</v>
      </c>
      <c r="X141" s="480">
        <f t="shared" ca="1" si="44"/>
        <v>20044.999999999996</v>
      </c>
      <c r="Y141" s="480">
        <f t="shared" ca="1" si="44"/>
        <v>997.43936335059095</v>
      </c>
      <c r="Z141" s="480">
        <f t="shared" ca="1" si="44"/>
        <v>67.999999638297879</v>
      </c>
      <c r="AA141" s="480">
        <f t="shared" ca="1" si="44"/>
        <v>682.60749999999985</v>
      </c>
      <c r="AB141" s="480">
        <f t="shared" ca="1" si="44"/>
        <v>35.37639999999999</v>
      </c>
      <c r="AC141" s="480">
        <f t="shared" ca="1" si="44"/>
        <v>2110.8201643021148</v>
      </c>
      <c r="AD141" s="480">
        <f t="shared" ca="1" si="44"/>
        <v>1323.2749004002835</v>
      </c>
      <c r="AE141" s="480">
        <f t="shared" ca="1" si="44"/>
        <v>7994</v>
      </c>
      <c r="AF141" s="480">
        <f t="shared" ca="1" si="44"/>
        <v>1555.4250943300003</v>
      </c>
      <c r="AG141" s="480">
        <f t="shared" ca="1" si="44"/>
        <v>3172.8633488999999</v>
      </c>
      <c r="AH141" s="480">
        <f t="shared" ca="1" si="44"/>
        <v>2426.7814922366383</v>
      </c>
      <c r="AI141" s="480">
        <f t="shared" ca="1" si="44"/>
        <v>489.46164093404724</v>
      </c>
      <c r="AJ141" s="480">
        <f t="shared" ca="1" si="44"/>
        <v>880.00000000000011</v>
      </c>
      <c r="AK141" s="480">
        <f t="shared" ca="1" si="44"/>
        <v>4779.9932562605327</v>
      </c>
      <c r="AL141" s="480">
        <f t="shared" ca="1" si="44"/>
        <v>633.55721307104682</v>
      </c>
      <c r="AM141" s="480">
        <f t="shared" ca="1" si="44"/>
        <v>609.42332010806012</v>
      </c>
      <c r="AN141" s="480">
        <f t="shared" ca="1" si="44"/>
        <v>123.02068030642775</v>
      </c>
      <c r="AO141" s="480">
        <f t="shared" ca="1" si="44"/>
        <v>324.25298972660244</v>
      </c>
      <c r="AP141" s="480">
        <f t="shared" ca="1" si="44"/>
        <v>1167.7657560212238</v>
      </c>
      <c r="AQ141" s="480">
        <f t="shared" ca="1" si="44"/>
        <v>341.36984625142327</v>
      </c>
    </row>
    <row r="142" spans="1:43">
      <c r="B142" s="2" t="s">
        <v>542</v>
      </c>
      <c r="G142" s="480">
        <f t="shared" ref="G142:V143" ca="1" si="45">SUM(G123,G126,G129,G132,G135,G138)</f>
        <v>1224.3577528497706</v>
      </c>
      <c r="H142" s="480">
        <f t="shared" ca="1" si="45"/>
        <v>1249.0136796153613</v>
      </c>
      <c r="I142" s="480">
        <f t="shared" ca="1" si="45"/>
        <v>1099.4871090985916</v>
      </c>
      <c r="J142" s="480">
        <f t="shared" ca="1" si="45"/>
        <v>948.46723168316805</v>
      </c>
      <c r="K142" s="480">
        <f t="shared" ca="1" si="45"/>
        <v>106.44122518103821</v>
      </c>
      <c r="L142" s="480">
        <f t="shared" ca="1" si="45"/>
        <v>1066.9049606481015</v>
      </c>
      <c r="M142" s="480">
        <f t="shared" ca="1" si="45"/>
        <v>8833.9489388538987</v>
      </c>
      <c r="N142" s="480">
        <f t="shared" ca="1" si="45"/>
        <v>1026.4478054876126</v>
      </c>
      <c r="O142" s="480">
        <f t="shared" ca="1" si="45"/>
        <v>111.66794070434818</v>
      </c>
      <c r="P142" s="480">
        <f t="shared" ca="1" si="45"/>
        <v>1542.0740022857149</v>
      </c>
      <c r="Q142" s="480">
        <f t="shared" ca="1" si="45"/>
        <v>792.12146873135043</v>
      </c>
      <c r="R142" s="480">
        <f t="shared" ca="1" si="45"/>
        <v>8073.6725748503004</v>
      </c>
      <c r="S142" s="480">
        <f t="shared" ca="1" si="45"/>
        <v>994.31490772113284</v>
      </c>
      <c r="T142" s="480">
        <f t="shared" ca="1" si="45"/>
        <v>689.64361160151338</v>
      </c>
      <c r="U142" s="480">
        <f t="shared" ca="1" si="45"/>
        <v>1810.3782857142858</v>
      </c>
      <c r="V142" s="480">
        <f t="shared" ca="1" si="45"/>
        <v>584.40709890565347</v>
      </c>
      <c r="W142" s="480">
        <f t="shared" ca="1" si="44"/>
        <v>43.582503702093739</v>
      </c>
      <c r="X142" s="480">
        <f t="shared" ca="1" si="44"/>
        <v>2483.0756646216773</v>
      </c>
      <c r="Y142" s="480">
        <f t="shared" ca="1" si="44"/>
        <v>358.29510732941901</v>
      </c>
      <c r="Z142" s="480">
        <f t="shared" ca="1" si="44"/>
        <v>52.311376967256976</v>
      </c>
      <c r="AA142" s="480">
        <f t="shared" ca="1" si="44"/>
        <v>218.38417752808994</v>
      </c>
      <c r="AB142" s="480">
        <f t="shared" ca="1" si="44"/>
        <v>7.7271967741935486</v>
      </c>
      <c r="AC142" s="480">
        <f t="shared" ca="1" si="44"/>
        <v>776.32669857990902</v>
      </c>
      <c r="AD142" s="480">
        <f t="shared" ca="1" si="44"/>
        <v>532.69653467776607</v>
      </c>
      <c r="AE142" s="480">
        <f t="shared" ca="1" si="44"/>
        <v>3946.9026022304824</v>
      </c>
      <c r="AF142" s="480">
        <f t="shared" ca="1" si="44"/>
        <v>1238.4976176545415</v>
      </c>
      <c r="AG142" s="480">
        <f t="shared" ca="1" si="44"/>
        <v>3254.1957925078655</v>
      </c>
      <c r="AH142" s="480">
        <f t="shared" ca="1" si="44"/>
        <v>1178.7306369579453</v>
      </c>
      <c r="AI142" s="480">
        <f t="shared" ca="1" si="44"/>
        <v>206.91981770583044</v>
      </c>
      <c r="AJ142" s="480">
        <f t="shared" ca="1" si="44"/>
        <v>654.28725868725871</v>
      </c>
      <c r="AK142" s="480">
        <f t="shared" ca="1" si="44"/>
        <v>4637.3202411730826</v>
      </c>
      <c r="AL142" s="480">
        <f t="shared" ca="1" si="44"/>
        <v>274.99926080509567</v>
      </c>
      <c r="AM142" s="480">
        <f t="shared" ca="1" si="44"/>
        <v>501.36153053502738</v>
      </c>
      <c r="AN142" s="480">
        <f t="shared" ca="1" si="44"/>
        <v>53.397854921452648</v>
      </c>
      <c r="AO142" s="480">
        <f t="shared" ca="1" si="44"/>
        <v>234.67982242264284</v>
      </c>
      <c r="AP142" s="480">
        <f t="shared" ca="1" si="44"/>
        <v>960.69974257201193</v>
      </c>
      <c r="AQ142" s="480">
        <f t="shared" ca="1" si="44"/>
        <v>280.83879127692899</v>
      </c>
    </row>
    <row r="143" spans="1:43">
      <c r="B143" s="2" t="s">
        <v>543</v>
      </c>
      <c r="G143" s="480">
        <f t="shared" ca="1" si="45"/>
        <v>567.38530010111356</v>
      </c>
      <c r="H143" s="480">
        <f t="shared" ca="1" si="44"/>
        <v>2083.9338751533928</v>
      </c>
      <c r="I143" s="480">
        <f t="shared" ca="1" si="44"/>
        <v>597.54734190140857</v>
      </c>
      <c r="J143" s="480">
        <f t="shared" ca="1" si="44"/>
        <v>1064.036768316832</v>
      </c>
      <c r="K143" s="480">
        <f t="shared" ca="1" si="44"/>
        <v>108.70593209978371</v>
      </c>
      <c r="L143" s="480">
        <f t="shared" ca="1" si="44"/>
        <v>632.39931135189863</v>
      </c>
      <c r="M143" s="480">
        <f t="shared" ca="1" si="44"/>
        <v>9235.4920724381664</v>
      </c>
      <c r="N143" s="480">
        <f t="shared" ca="1" si="44"/>
        <v>546.48009258885156</v>
      </c>
      <c r="O143" s="480">
        <f t="shared" ca="1" si="44"/>
        <v>51.805680544886378</v>
      </c>
      <c r="P143" s="480">
        <f t="shared" ca="1" si="44"/>
        <v>3418.6419977142855</v>
      </c>
      <c r="Q143" s="480">
        <f t="shared" ca="1" si="44"/>
        <v>598.70621603794314</v>
      </c>
      <c r="R143" s="480">
        <f t="shared" ca="1" si="44"/>
        <v>7178.6274251497007</v>
      </c>
      <c r="S143" s="480">
        <f t="shared" ca="1" si="44"/>
        <v>562.20609268344447</v>
      </c>
      <c r="T143" s="480">
        <f t="shared" ca="1" si="44"/>
        <v>246.80738839848667</v>
      </c>
      <c r="U143" s="480">
        <f t="shared" ca="1" si="44"/>
        <v>668.62171428571446</v>
      </c>
      <c r="V143" s="480">
        <f t="shared" ca="1" si="44"/>
        <v>879.04490198160545</v>
      </c>
      <c r="W143" s="480">
        <f t="shared" ca="1" si="44"/>
        <v>40.710304317715071</v>
      </c>
      <c r="X143" s="480">
        <f t="shared" ca="1" si="44"/>
        <v>4415.9243353783231</v>
      </c>
      <c r="Y143" s="480">
        <f t="shared" ca="1" si="44"/>
        <v>181.18332131999028</v>
      </c>
      <c r="Z143" s="480">
        <f t="shared" ca="1" si="44"/>
        <v>67.688622394445147</v>
      </c>
      <c r="AA143" s="480">
        <f t="shared" ca="1" si="44"/>
        <v>87.216322471910104</v>
      </c>
      <c r="AB143" s="480">
        <f t="shared" ca="1" si="44"/>
        <v>98.736403225806441</v>
      </c>
      <c r="AC143" s="480">
        <f t="shared" ca="1" si="44"/>
        <v>4099.6758681179763</v>
      </c>
      <c r="AD143" s="480">
        <f t="shared" ca="1" si="44"/>
        <v>418.39056492195226</v>
      </c>
      <c r="AE143" s="480">
        <f t="shared" ca="1" si="44"/>
        <v>1481.0973977695176</v>
      </c>
      <c r="AF143" s="480">
        <f t="shared" ca="1" si="44"/>
        <v>999.7970300154584</v>
      </c>
      <c r="AG143" s="480">
        <f t="shared" ca="1" si="44"/>
        <v>934.57275859213485</v>
      </c>
      <c r="AH143" s="480">
        <f t="shared" ca="1" si="44"/>
        <v>565.48786980541718</v>
      </c>
      <c r="AI143" s="480">
        <f t="shared" ca="1" si="44"/>
        <v>68.817927360122297</v>
      </c>
      <c r="AJ143" s="480">
        <f t="shared" ca="1" si="44"/>
        <v>194.71274131274129</v>
      </c>
      <c r="AK143" s="480">
        <f t="shared" ca="1" si="44"/>
        <v>16099.650502566383</v>
      </c>
      <c r="AL143" s="480">
        <f t="shared" ca="1" si="44"/>
        <v>155.49023624961021</v>
      </c>
      <c r="AM143" s="480">
        <f t="shared" ca="1" si="44"/>
        <v>179.42561623599423</v>
      </c>
      <c r="AN143" s="480">
        <f t="shared" ca="1" si="44"/>
        <v>30.192245072410156</v>
      </c>
      <c r="AO143" s="480">
        <f t="shared" ca="1" si="44"/>
        <v>127.54338175143634</v>
      </c>
      <c r="AP143" s="480">
        <f t="shared" ca="1" si="44"/>
        <v>343.81206540676436</v>
      </c>
      <c r="AQ143" s="480">
        <f t="shared" ca="1" si="44"/>
        <v>100.50566331657213</v>
      </c>
    </row>
    <row r="144" spans="1:43">
      <c r="B144" s="2" t="s">
        <v>525</v>
      </c>
      <c r="G144" s="480">
        <f ca="1">SUM(G141:G143)</f>
        <v>3562.4891170000001</v>
      </c>
      <c r="H144" s="480">
        <f t="shared" ref="H144:AQ144" ca="1" si="46">SUM(H141:H143)</f>
        <v>4523</v>
      </c>
      <c r="I144" s="480">
        <f t="shared" ca="1" si="46"/>
        <v>3082</v>
      </c>
      <c r="J144" s="480">
        <f t="shared" ca="1" si="46"/>
        <v>3870.2</v>
      </c>
      <c r="K144" s="480">
        <f t="shared" ca="1" si="46"/>
        <v>299.15699899999998</v>
      </c>
      <c r="L144" s="480">
        <f t="shared" ca="1" si="46"/>
        <v>3992.9999999999995</v>
      </c>
      <c r="M144" s="480">
        <f t="shared" ca="1" si="46"/>
        <v>39210.071700000008</v>
      </c>
      <c r="N144" s="480">
        <f t="shared" ca="1" si="46"/>
        <v>2670.6901170000006</v>
      </c>
      <c r="O144" s="480">
        <f t="shared" ca="1" si="46"/>
        <v>651.62</v>
      </c>
      <c r="P144" s="480">
        <f t="shared" ca="1" si="46"/>
        <v>16741.379000000001</v>
      </c>
      <c r="Q144" s="480">
        <f t="shared" ca="1" si="46"/>
        <v>2499</v>
      </c>
      <c r="R144" s="480">
        <f t="shared" ca="1" si="46"/>
        <v>27038.600000000002</v>
      </c>
      <c r="S144" s="480">
        <f t="shared" ca="1" si="46"/>
        <v>3847.2740009999998</v>
      </c>
      <c r="T144" s="480">
        <f t="shared" ca="1" si="46"/>
        <v>1484</v>
      </c>
      <c r="U144" s="480">
        <f t="shared" ca="1" si="46"/>
        <v>4028.0000000000005</v>
      </c>
      <c r="V144" s="480">
        <f t="shared" ca="1" si="46"/>
        <v>1649.4080009999998</v>
      </c>
      <c r="W144" s="480">
        <f t="shared" ca="1" si="46"/>
        <v>151.45494265628159</v>
      </c>
      <c r="X144" s="480">
        <f t="shared" ca="1" si="46"/>
        <v>26943.999999999996</v>
      </c>
      <c r="Y144" s="480">
        <f t="shared" ca="1" si="46"/>
        <v>1536.9177920000002</v>
      </c>
      <c r="Z144" s="480">
        <f t="shared" ca="1" si="46"/>
        <v>187.999999</v>
      </c>
      <c r="AA144" s="480">
        <f t="shared" ca="1" si="46"/>
        <v>988.20799999999986</v>
      </c>
      <c r="AB144" s="480">
        <f t="shared" ca="1" si="46"/>
        <v>141.83999999999997</v>
      </c>
      <c r="AC144" s="480">
        <f t="shared" ca="1" si="46"/>
        <v>6986.8227310000002</v>
      </c>
      <c r="AD144" s="480">
        <f t="shared" ca="1" si="46"/>
        <v>2274.3620000000019</v>
      </c>
      <c r="AE144" s="480">
        <f t="shared" ca="1" si="46"/>
        <v>13422</v>
      </c>
      <c r="AF144" s="480">
        <f t="shared" ca="1" si="46"/>
        <v>3793.7197420000002</v>
      </c>
      <c r="AG144" s="480">
        <f t="shared" ca="1" si="46"/>
        <v>7361.6319000000003</v>
      </c>
      <c r="AH144" s="480">
        <f t="shared" ca="1" si="46"/>
        <v>4170.9999990000006</v>
      </c>
      <c r="AI144" s="480">
        <f t="shared" ca="1" si="46"/>
        <v>765.199386</v>
      </c>
      <c r="AJ144" s="480">
        <f t="shared" ca="1" si="46"/>
        <v>1729</v>
      </c>
      <c r="AK144" s="480">
        <f t="shared" ca="1" si="46"/>
        <v>25516.964</v>
      </c>
      <c r="AL144" s="480">
        <f t="shared" ca="1" si="46"/>
        <v>1064.0467101257527</v>
      </c>
      <c r="AM144" s="480">
        <f t="shared" ca="1" si="46"/>
        <v>1290.2104668790819</v>
      </c>
      <c r="AN144" s="480">
        <f t="shared" ca="1" si="46"/>
        <v>206.61078030029054</v>
      </c>
      <c r="AO144" s="480">
        <f t="shared" ca="1" si="46"/>
        <v>686.47619390068155</v>
      </c>
      <c r="AP144" s="480">
        <f t="shared" ca="1" si="46"/>
        <v>2472.277564</v>
      </c>
      <c r="AQ144" s="480">
        <f t="shared" ca="1" si="46"/>
        <v>722.71430084492442</v>
      </c>
    </row>
  </sheetData>
  <sortState xmlns:xlrd2="http://schemas.microsoft.com/office/spreadsheetml/2017/richdata2" ref="A4:K40">
    <sortCondition ref="A4:A40"/>
  </sortState>
  <mergeCells count="6">
    <mergeCell ref="AD2:AF2"/>
    <mergeCell ref="O2:Q2"/>
    <mergeCell ref="R2:T2"/>
    <mergeCell ref="U2:W2"/>
    <mergeCell ref="X2:Z2"/>
    <mergeCell ref="AA2:AC2"/>
  </mergeCells>
  <conditionalFormatting sqref="K4:K30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{B90B1ABD-DB94-4786-B08C-23804FF28953}</x14:id>
        </ext>
      </extLst>
    </cfRule>
  </conditionalFormatting>
  <conditionalFormatting sqref="K4:K33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{97FA0AAA-0886-43CC-9486-3E3DDFD7D266}</x14:id>
        </ext>
      </extLst>
    </cfRule>
  </conditionalFormatting>
  <conditionalFormatting sqref="K4:K4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{5E24F0FB-A706-4814-AD7C-EEF22BA2769D}</x14:id>
        </ext>
      </extLst>
    </cfRule>
  </conditionalFormatting>
  <conditionalFormatting sqref="K31:K33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{A4EDA810-ED50-42FD-9D8A-4EB5A93FC99E}</x14:id>
        </ext>
      </extLst>
    </cfRule>
  </conditionalFormatting>
  <conditionalFormatting sqref="K34:K40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{ACAC144F-99E9-4701-BF8F-3B02BD3E4F8C}</x14:id>
        </ext>
      </extLst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B1ABD-DB94-4786-B08C-23804FF289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K4:K30</xm:sqref>
        </x14:conditionalFormatting>
        <x14:conditionalFormatting xmlns:xm="http://schemas.microsoft.com/office/excel/2006/main">
          <x14:cfRule type="dataBar" id="{97FA0AAA-0886-43CC-9486-3E3DDFD7D2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K4:K33</xm:sqref>
        </x14:conditionalFormatting>
        <x14:conditionalFormatting xmlns:xm="http://schemas.microsoft.com/office/excel/2006/main">
          <x14:cfRule type="dataBar" id="{5E24F0FB-A706-4814-AD7C-EEF22BA276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K4:K40</xm:sqref>
        </x14:conditionalFormatting>
        <x14:conditionalFormatting xmlns:xm="http://schemas.microsoft.com/office/excel/2006/main">
          <x14:cfRule type="dataBar" id="{A4EDA810-ED50-42FD-9D8A-4EB5A93FC9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K31:K33</xm:sqref>
        </x14:conditionalFormatting>
        <x14:conditionalFormatting xmlns:xm="http://schemas.microsoft.com/office/excel/2006/main">
          <x14:cfRule type="dataBar" id="{ACAC144F-99E9-4701-BF8F-3B02BD3E4F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K34:K40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8"/>
  </sheetPr>
  <dimension ref="A1:AP143"/>
  <sheetViews>
    <sheetView zoomScale="115" zoomScaleNormal="115" workbookViewId="0">
      <pane ySplit="2" topLeftCell="A93" activePane="bottomLeft" state="frozen"/>
      <selection pane="bottomLeft" activeCell="AO90" sqref="AO90"/>
    </sheetView>
  </sheetViews>
  <sheetFormatPr defaultColWidth="8.88671875" defaultRowHeight="14.4"/>
  <cols>
    <col min="1" max="1" width="41.5546875" bestFit="1" customWidth="1"/>
    <col min="2" max="2" width="22" customWidth="1"/>
    <col min="3" max="3" width="16.109375" customWidth="1"/>
    <col min="4" max="40" width="8.33203125" customWidth="1"/>
  </cols>
  <sheetData>
    <row r="1" spans="1:40" ht="21">
      <c r="A1" s="3" t="s">
        <v>124</v>
      </c>
      <c r="B1" s="3" t="s">
        <v>188</v>
      </c>
      <c r="C1" s="3"/>
      <c r="D1" s="2" t="s">
        <v>236</v>
      </c>
      <c r="E1" s="2"/>
      <c r="F1" s="2"/>
      <c r="G1" s="855">
        <v>1.0000000000000001E-5</v>
      </c>
      <c r="H1" s="856" t="s">
        <v>968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U1" s="2"/>
      <c r="V1" s="2"/>
      <c r="W1" s="2"/>
      <c r="X1" s="2"/>
      <c r="Y1" s="2"/>
      <c r="Z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05" t="s">
        <v>253</v>
      </c>
      <c r="B2" s="406"/>
      <c r="C2" s="285" t="s">
        <v>1</v>
      </c>
      <c r="D2" s="165" t="s">
        <v>88</v>
      </c>
      <c r="E2" s="165" t="s">
        <v>89</v>
      </c>
      <c r="F2" s="165" t="s">
        <v>90</v>
      </c>
      <c r="G2" s="165" t="s">
        <v>91</v>
      </c>
      <c r="H2" s="165" t="s">
        <v>92</v>
      </c>
      <c r="I2" s="165" t="s">
        <v>93</v>
      </c>
      <c r="J2" s="165" t="s">
        <v>94</v>
      </c>
      <c r="K2" s="165" t="s">
        <v>95</v>
      </c>
      <c r="L2" s="165" t="s">
        <v>96</v>
      </c>
      <c r="M2" s="165" t="s">
        <v>97</v>
      </c>
      <c r="N2" s="165" t="s">
        <v>98</v>
      </c>
      <c r="O2" s="165" t="s">
        <v>99</v>
      </c>
      <c r="P2" s="165" t="s">
        <v>205</v>
      </c>
      <c r="Q2" s="165" t="s">
        <v>118</v>
      </c>
      <c r="R2" s="165" t="s">
        <v>100</v>
      </c>
      <c r="S2" s="165" t="s">
        <v>101</v>
      </c>
      <c r="T2" s="165" t="s">
        <v>102</v>
      </c>
      <c r="U2" s="165" t="s">
        <v>103</v>
      </c>
      <c r="V2" s="165" t="s">
        <v>104</v>
      </c>
      <c r="W2" s="165" t="s">
        <v>105</v>
      </c>
      <c r="X2" s="165" t="s">
        <v>106</v>
      </c>
      <c r="Y2" s="165" t="s">
        <v>107</v>
      </c>
      <c r="Z2" s="165" t="s">
        <v>108</v>
      </c>
      <c r="AA2" s="165" t="s">
        <v>109</v>
      </c>
      <c r="AB2" s="165" t="s">
        <v>110</v>
      </c>
      <c r="AC2" s="165" t="s">
        <v>111</v>
      </c>
      <c r="AD2" s="165" t="s">
        <v>112</v>
      </c>
      <c r="AE2" s="165" t="s">
        <v>113</v>
      </c>
      <c r="AF2" s="165" t="s">
        <v>114</v>
      </c>
      <c r="AG2" s="165" t="s">
        <v>115</v>
      </c>
      <c r="AH2" s="165" t="s">
        <v>52</v>
      </c>
      <c r="AI2" s="165" t="s">
        <v>116</v>
      </c>
      <c r="AJ2" s="165" t="s">
        <v>117</v>
      </c>
      <c r="AK2" s="165" t="s">
        <v>119</v>
      </c>
      <c r="AL2" s="165" t="s">
        <v>120</v>
      </c>
      <c r="AM2" s="165" t="s">
        <v>121</v>
      </c>
      <c r="AN2" s="166" t="s">
        <v>122</v>
      </c>
    </row>
    <row r="3" spans="1:40">
      <c r="A3" s="334" t="s">
        <v>262</v>
      </c>
      <c r="B3" s="359" t="s">
        <v>2</v>
      </c>
      <c r="C3" s="366" t="s">
        <v>190</v>
      </c>
      <c r="D3" s="376">
        <f>(Detached!D47*LOOKUP(Detached!D$2,'Data by dwelling type'!$A$4:$A$40,'Data by dwelling type'!$P$4:$P$40)+Semidetached!D48*LOOKUP(Semidetached!D$2,'Data by dwelling type'!$A$4:$A$40,'Data by dwelling type'!$Q$4:$Q$40)+Flat!D48*LOOKUP(Flat!D$2,'Data by dwelling type'!$A$4:$A$40,'Data by dwelling type'!$N$4:$N$40))/LOOKUP(Detached!D$2,'Data by dwelling type'!$A$4:$A$40,'Data by dwelling type'!$R$4:$R$40)</f>
        <v>170.08726045595967</v>
      </c>
      <c r="E3" s="376">
        <f>(Detached!E47*LOOKUP(Detached!E$2,'Data by dwelling type'!$A$4:$A$40,'Data by dwelling type'!$P$4:$P$40)+Semidetached!E48*LOOKUP(Semidetached!E$2,'Data by dwelling type'!$A$4:$A$40,'Data by dwelling type'!$Q$4:$Q$40)+Flat!E48*LOOKUP(Flat!E$2,'Data by dwelling type'!$A$4:$A$40,'Data by dwelling type'!$N$4:$N$40))/LOOKUP(Detached!E$2,'Data by dwelling type'!$A$4:$A$40,'Data by dwelling type'!$R$4:$R$40)</f>
        <v>173.52807238167634</v>
      </c>
      <c r="F3" s="376">
        <f>(Detached!F47*LOOKUP(Detached!F$2,'Data by dwelling type'!$A$4:$A$40,'Data by dwelling type'!$P$4:$P$40)+Semidetached!F48*LOOKUP(Semidetached!F$2,'Data by dwelling type'!$A$4:$A$40,'Data by dwelling type'!$Q$4:$Q$40)+Flat!F48*LOOKUP(Flat!F$2,'Data by dwelling type'!$A$4:$A$40,'Data by dwelling type'!$N$4:$N$40))/LOOKUP(Detached!F$2,'Data by dwelling type'!$A$4:$A$40,'Data by dwelling type'!$R$4:$R$40)</f>
        <v>138.9346193226952</v>
      </c>
      <c r="G3" s="376">
        <f>(Detached!G47*LOOKUP(Detached!G$2,'Data by dwelling type'!$A$4:$A$40,'Data by dwelling type'!$P$4:$P$40)+Semidetached!G48*LOOKUP(Semidetached!G$2,'Data by dwelling type'!$A$4:$A$40,'Data by dwelling type'!$Q$4:$Q$40)+Flat!G48*LOOKUP(Flat!G$2,'Data by dwelling type'!$A$4:$A$40,'Data by dwelling type'!$N$4:$N$40))/LOOKUP(Detached!G$2,'Data by dwelling type'!$A$4:$A$40,'Data by dwelling type'!$R$4:$R$40)</f>
        <v>158.80186798032841</v>
      </c>
      <c r="H3" s="376">
        <f>(Detached!H47*LOOKUP(Detached!H$2,'Data by dwelling type'!$A$4:$A$40,'Data by dwelling type'!$P$4:$P$40)+Semidetached!H48*LOOKUP(Semidetached!H$2,'Data by dwelling type'!$A$4:$A$40,'Data by dwelling type'!$Q$4:$Q$40)+Flat!H48*LOOKUP(Flat!H$2,'Data by dwelling type'!$A$4:$A$40,'Data by dwelling type'!$N$4:$N$40))/LOOKUP(Detached!H$2,'Data by dwelling type'!$A$4:$A$40,'Data by dwelling type'!$R$4:$R$40)</f>
        <v>67.96053011473137</v>
      </c>
      <c r="I3" s="376">
        <f>(Detached!I47*LOOKUP(Detached!I$2,'Data by dwelling type'!$A$4:$A$40,'Data by dwelling type'!$P$4:$P$40)+Semidetached!I48*LOOKUP(Semidetached!I$2,'Data by dwelling type'!$A$4:$A$40,'Data by dwelling type'!$Q$4:$Q$40)+Flat!I48*LOOKUP(Flat!I$2,'Data by dwelling type'!$A$4:$A$40,'Data by dwelling type'!$N$4:$N$40))/LOOKUP(Detached!I$2,'Data by dwelling type'!$A$4:$A$40,'Data by dwelling type'!$R$4:$R$40)</f>
        <v>139.65980649887624</v>
      </c>
      <c r="J3" s="376">
        <f>(Detached!J47*LOOKUP(Detached!J$2,'Data by dwelling type'!$A$4:$A$40,'Data by dwelling type'!$P$4:$P$40)+Semidetached!J48*LOOKUP(Semidetached!J$2,'Data by dwelling type'!$A$4:$A$40,'Data by dwelling type'!$Q$4:$Q$40)+Flat!J48*LOOKUP(Flat!J$2,'Data by dwelling type'!$A$4:$A$40,'Data by dwelling type'!$N$4:$N$40))/LOOKUP(Detached!J$2,'Data by dwelling type'!$A$4:$A$40,'Data by dwelling type'!$R$4:$R$40)</f>
        <v>181.07982887453983</v>
      </c>
      <c r="K3" s="376">
        <f>(Detached!K47*LOOKUP(Detached!K$2,'Data by dwelling type'!$A$4:$A$40,'Data by dwelling type'!$P$4:$P$40)+Semidetached!K48*LOOKUP(Semidetached!K$2,'Data by dwelling type'!$A$4:$A$40,'Data by dwelling type'!$Q$4:$Q$40)+Flat!K48*LOOKUP(Flat!K$2,'Data by dwelling type'!$A$4:$A$40,'Data by dwelling type'!$N$4:$N$40))/LOOKUP(Detached!K$2,'Data by dwelling type'!$A$4:$A$40,'Data by dwelling type'!$R$4:$R$40)</f>
        <v>107.1305537340774</v>
      </c>
      <c r="L3" s="376">
        <f>(Detached!L47*LOOKUP(Detached!L$2,'Data by dwelling type'!$A$4:$A$40,'Data by dwelling type'!$P$4:$P$40)+Semidetached!L48*LOOKUP(Semidetached!L$2,'Data by dwelling type'!$A$4:$A$40,'Data by dwelling type'!$Q$4:$Q$40)+Flat!L48*LOOKUP(Flat!L$2,'Data by dwelling type'!$A$4:$A$40,'Data by dwelling type'!$N$4:$N$40))/LOOKUP(Detached!L$2,'Data by dwelling type'!$A$4:$A$40,'Data by dwelling type'!$R$4:$R$40)</f>
        <v>94.839379155361669</v>
      </c>
      <c r="M3" s="376">
        <f>(Detached!M47*LOOKUP(Detached!M$2,'Data by dwelling type'!$A$4:$A$40,'Data by dwelling type'!$P$4:$P$40)+Semidetached!M48*LOOKUP(Semidetached!M$2,'Data by dwelling type'!$A$4:$A$40,'Data by dwelling type'!$Q$4:$Q$40)+Flat!M48*LOOKUP(Flat!M$2,'Data by dwelling type'!$A$4:$A$40,'Data by dwelling type'!$N$4:$N$40))/LOOKUP(Detached!M$2,'Data by dwelling type'!$A$4:$A$40,'Data by dwelling type'!$R$4:$R$40)</f>
        <v>121.36701056046628</v>
      </c>
      <c r="N3" s="376">
        <f>(Detached!N47*LOOKUP(Detached!N$2,'Data by dwelling type'!$A$4:$A$40,'Data by dwelling type'!$P$4:$P$40)+Semidetached!N48*LOOKUP(Semidetached!N$2,'Data by dwelling type'!$A$4:$A$40,'Data by dwelling type'!$Q$4:$Q$40)+Flat!N48*LOOKUP(Flat!N$2,'Data by dwelling type'!$A$4:$A$40,'Data by dwelling type'!$N$4:$N$40))/LOOKUP(Detached!N$2,'Data by dwelling type'!$A$4:$A$40,'Data by dwelling type'!$R$4:$R$40)</f>
        <v>157.39771066167853</v>
      </c>
      <c r="O3" s="376">
        <f>(Detached!O47*LOOKUP(Detached!O$2,'Data by dwelling type'!$A$4:$A$40,'Data by dwelling type'!$P$4:$P$40)+Semidetached!O48*LOOKUP(Semidetached!O$2,'Data by dwelling type'!$A$4:$A$40,'Data by dwelling type'!$Q$4:$Q$40)+Flat!O48*LOOKUP(Flat!O$2,'Data by dwelling type'!$A$4:$A$40,'Data by dwelling type'!$N$4:$N$40))/LOOKUP(Detached!O$2,'Data by dwelling type'!$A$4:$A$40,'Data by dwelling type'!$R$4:$R$40)</f>
        <v>194.41798377171995</v>
      </c>
      <c r="P3" s="376">
        <f>(Detached!P47*LOOKUP(Detached!P$2,'Data by dwelling type'!$A$4:$A$40,'Data by dwelling type'!$P$4:$P$40)+Semidetached!P48*LOOKUP(Semidetached!P$2,'Data by dwelling type'!$A$4:$A$40,'Data by dwelling type'!$Q$4:$Q$40)+Flat!P48*LOOKUP(Flat!P$2,'Data by dwelling type'!$A$4:$A$40,'Data by dwelling type'!$N$4:$N$40))/LOOKUP(Detached!P$2,'Data by dwelling type'!$A$4:$A$40,'Data by dwelling type'!$R$4:$R$40)</f>
        <v>130.84126359052186</v>
      </c>
      <c r="Q3" s="376">
        <f>(Detached!Q47*LOOKUP(Detached!Q$2,'Data by dwelling type'!$A$4:$A$40,'Data by dwelling type'!$P$4:$P$40)+Semidetached!Q48*LOOKUP(Semidetached!Q$2,'Data by dwelling type'!$A$4:$A$40,'Data by dwelling type'!$Q$4:$Q$40)+Flat!Q48*LOOKUP(Flat!Q$2,'Data by dwelling type'!$A$4:$A$40,'Data by dwelling type'!$N$4:$N$40))/LOOKUP(Detached!Q$2,'Data by dwelling type'!$A$4:$A$40,'Data by dwelling type'!$R$4:$R$40)</f>
        <v>151.54602320603044</v>
      </c>
      <c r="R3" s="376">
        <f>(Detached!R47*LOOKUP(Detached!R$2,'Data by dwelling type'!$A$4:$A$40,'Data by dwelling type'!$P$4:$P$40)+Semidetached!R48*LOOKUP(Semidetached!R$2,'Data by dwelling type'!$A$4:$A$40,'Data by dwelling type'!$Q$4:$Q$40)+Flat!R48*LOOKUP(Flat!R$2,'Data by dwelling type'!$A$4:$A$40,'Data by dwelling type'!$N$4:$N$40))/LOOKUP(Detached!R$2,'Data by dwelling type'!$A$4:$A$40,'Data by dwelling type'!$R$4:$R$40)</f>
        <v>169.87122119294045</v>
      </c>
      <c r="S3" s="376">
        <f>(Detached!S47*LOOKUP(Detached!S$2,'Data by dwelling type'!$A$4:$A$40,'Data by dwelling type'!$P$4:$P$40)+Semidetached!S48*LOOKUP(Semidetached!S$2,'Data by dwelling type'!$A$4:$A$40,'Data by dwelling type'!$Q$4:$Q$40)+Flat!S48*LOOKUP(Flat!S$2,'Data by dwelling type'!$A$4:$A$40,'Data by dwelling type'!$N$4:$N$40))/LOOKUP(Detached!S$2,'Data by dwelling type'!$A$4:$A$40,'Data by dwelling type'!$R$4:$R$40)</f>
        <v>184.17842870353144</v>
      </c>
      <c r="T3" s="376">
        <f>(Detached!T47*LOOKUP(Detached!T$2,'Data by dwelling type'!$A$4:$A$40,'Data by dwelling type'!$P$4:$P$40)+Semidetached!T48*LOOKUP(Semidetached!T$2,'Data by dwelling type'!$A$4:$A$40,'Data by dwelling type'!$Q$4:$Q$40)+Flat!T48*LOOKUP(Flat!T$2,'Data by dwelling type'!$A$4:$A$40,'Data by dwelling type'!$N$4:$N$40))/LOOKUP(Detached!T$2,'Data by dwelling type'!$A$4:$A$40,'Data by dwelling type'!$R$4:$R$40)</f>
        <v>138.15095148129865</v>
      </c>
      <c r="U3" s="376">
        <f>(Detached!U47*LOOKUP(Detached!U$2,'Data by dwelling type'!$A$4:$A$40,'Data by dwelling type'!$P$4:$P$40)+Semidetached!U48*LOOKUP(Semidetached!U$2,'Data by dwelling type'!$A$4:$A$40,'Data by dwelling type'!$Q$4:$Q$40)+Flat!U48*LOOKUP(Flat!U$2,'Data by dwelling type'!$A$4:$A$40,'Data by dwelling type'!$N$4:$N$40))/LOOKUP(Detached!U$2,'Data by dwelling type'!$A$4:$A$40,'Data by dwelling type'!$R$4:$R$40)</f>
        <v>94.061494649573277</v>
      </c>
      <c r="V3" s="376">
        <f>(Detached!V47*LOOKUP(Detached!V$2,'Data by dwelling type'!$A$4:$A$40,'Data by dwelling type'!$P$4:$P$40)+Semidetached!V48*LOOKUP(Semidetached!V$2,'Data by dwelling type'!$A$4:$A$40,'Data by dwelling type'!$Q$4:$Q$40)+Flat!V48*LOOKUP(Flat!V$2,'Data by dwelling type'!$A$4:$A$40,'Data by dwelling type'!$N$4:$N$40))/LOOKUP(Detached!V$2,'Data by dwelling type'!$A$4:$A$40,'Data by dwelling type'!$R$4:$R$40)</f>
        <v>150.21234039660516</v>
      </c>
      <c r="W3" s="376">
        <f>(Detached!W47*LOOKUP(Detached!W$2,'Data by dwelling type'!$A$4:$A$40,'Data by dwelling type'!$P$4:$P$40)+Semidetached!W48*LOOKUP(Semidetached!W$2,'Data by dwelling type'!$A$4:$A$40,'Data by dwelling type'!$Q$4:$Q$40)+Flat!W48*LOOKUP(Flat!W$2,'Data by dwelling type'!$A$4:$A$40,'Data by dwelling type'!$N$4:$N$40))/LOOKUP(Detached!W$2,'Data by dwelling type'!$A$4:$A$40,'Data by dwelling type'!$R$4:$R$40)</f>
        <v>162.69372324496371</v>
      </c>
      <c r="X3" s="376">
        <f>(Detached!X47*LOOKUP(Detached!X$2,'Data by dwelling type'!$A$4:$A$40,'Data by dwelling type'!$P$4:$P$40)+Semidetached!X48*LOOKUP(Semidetached!X$2,'Data by dwelling type'!$A$4:$A$40,'Data by dwelling type'!$Q$4:$Q$40)+Flat!X48*LOOKUP(Flat!X$2,'Data by dwelling type'!$A$4:$A$40,'Data by dwelling type'!$N$4:$N$40))/LOOKUP(Detached!X$2,'Data by dwelling type'!$A$4:$A$40,'Data by dwelling type'!$R$4:$R$40)</f>
        <v>166.19850031514466</v>
      </c>
      <c r="Y3" s="376">
        <f>(Detached!Y47*LOOKUP(Detached!Y$2,'Data by dwelling type'!$A$4:$A$40,'Data by dwelling type'!$P$4:$P$40)+Semidetached!Y48*LOOKUP(Semidetached!Y$2,'Data by dwelling type'!$A$4:$A$40,'Data by dwelling type'!$Q$4:$Q$40)+Flat!Y48*LOOKUP(Flat!Y$2,'Data by dwelling type'!$A$4:$A$40,'Data by dwelling type'!$N$4:$N$40))/LOOKUP(Detached!Y$2,'Data by dwelling type'!$A$4:$A$40,'Data by dwelling type'!$R$4:$R$40)</f>
        <v>45.273442941646572</v>
      </c>
      <c r="Z3" s="376">
        <f>(Detached!Z47*LOOKUP(Detached!Z$2,'Data by dwelling type'!$A$4:$A$40,'Data by dwelling type'!$P$4:$P$40)+Semidetached!Z48*LOOKUP(Semidetached!Z$2,'Data by dwelling type'!$A$4:$A$40,'Data by dwelling type'!$Q$4:$Q$40)+Flat!Z48*LOOKUP(Flat!Z$2,'Data by dwelling type'!$A$4:$A$40,'Data by dwelling type'!$N$4:$N$40))/LOOKUP(Detached!Z$2,'Data by dwelling type'!$A$4:$A$40,'Data by dwelling type'!$R$4:$R$40)</f>
        <v>170.23377100550709</v>
      </c>
      <c r="AA3" s="376">
        <f>(Detached!AA47*LOOKUP(Detached!AA$2,'Data by dwelling type'!$A$4:$A$40,'Data by dwelling type'!$P$4:$P$40)+Semidetached!AA48*LOOKUP(Semidetached!AA$2,'Data by dwelling type'!$A$4:$A$40,'Data by dwelling type'!$Q$4:$Q$40)+Flat!AA48*LOOKUP(Flat!AA$2,'Data by dwelling type'!$A$4:$A$40,'Data by dwelling type'!$N$4:$N$40))/LOOKUP(Detached!AA$2,'Data by dwelling type'!$A$4:$A$40,'Data by dwelling type'!$R$4:$R$40)</f>
        <v>117.32344308266379</v>
      </c>
      <c r="AB3" s="376">
        <f>(Detached!AB47*LOOKUP(Detached!AB$2,'Data by dwelling type'!$A$4:$A$40,'Data by dwelling type'!$P$4:$P$40)+Semidetached!AB48*LOOKUP(Semidetached!AB$2,'Data by dwelling type'!$A$4:$A$40,'Data by dwelling type'!$Q$4:$Q$40)+Flat!AB48*LOOKUP(Flat!AB$2,'Data by dwelling type'!$A$4:$A$40,'Data by dwelling type'!$N$4:$N$40))/LOOKUP(Detached!AB$2,'Data by dwelling type'!$A$4:$A$40,'Data by dwelling type'!$R$4:$R$40)</f>
        <v>210.81472883887747</v>
      </c>
      <c r="AC3" s="376">
        <f>(Detached!AC47*LOOKUP(Detached!AC$2,'Data by dwelling type'!$A$4:$A$40,'Data by dwelling type'!$P$4:$P$40)+Semidetached!AC48*LOOKUP(Semidetached!AC$2,'Data by dwelling type'!$A$4:$A$40,'Data by dwelling type'!$Q$4:$Q$40)+Flat!AC48*LOOKUP(Flat!AC$2,'Data by dwelling type'!$A$4:$A$40,'Data by dwelling type'!$N$4:$N$40))/LOOKUP(Detached!AC$2,'Data by dwelling type'!$A$4:$A$40,'Data by dwelling type'!$R$4:$R$40)</f>
        <v>88.97114693361479</v>
      </c>
      <c r="AD3" s="376">
        <f>(Detached!AD47*LOOKUP(Detached!AD$2,'Data by dwelling type'!$A$4:$A$40,'Data by dwelling type'!$P$4:$P$40)+Semidetached!AD48*LOOKUP(Semidetached!AD$2,'Data by dwelling type'!$A$4:$A$40,'Data by dwelling type'!$Q$4:$Q$40)+Flat!AD48*LOOKUP(Flat!AD$2,'Data by dwelling type'!$A$4:$A$40,'Data by dwelling type'!$N$4:$N$40))/LOOKUP(Detached!AD$2,'Data by dwelling type'!$A$4:$A$40,'Data by dwelling type'!$R$4:$R$40)</f>
        <v>203.99248403822435</v>
      </c>
      <c r="AE3" s="376">
        <f>(Detached!AE47*LOOKUP(Detached!AE$2,'Data by dwelling type'!$A$4:$A$40,'Data by dwelling type'!$P$4:$P$40)+Semidetached!AE48*LOOKUP(Semidetached!AE$2,'Data by dwelling type'!$A$4:$A$40,'Data by dwelling type'!$Q$4:$Q$40)+Flat!AE48*LOOKUP(Flat!AE$2,'Data by dwelling type'!$A$4:$A$40,'Data by dwelling type'!$N$4:$N$40))/LOOKUP(Detached!AE$2,'Data by dwelling type'!$A$4:$A$40,'Data by dwelling type'!$R$4:$R$40)</f>
        <v>117.01076784133328</v>
      </c>
      <c r="AF3" s="376">
        <f>(Detached!AF47*LOOKUP(Detached!AF$2,'Data by dwelling type'!$A$4:$A$40,'Data by dwelling type'!$P$4:$P$40)+Semidetached!AF48*LOOKUP(Semidetached!AF$2,'Data by dwelling type'!$A$4:$A$40,'Data by dwelling type'!$Q$4:$Q$40)+Flat!AF48*LOOKUP(Flat!AF$2,'Data by dwelling type'!$A$4:$A$40,'Data by dwelling type'!$N$4:$N$40))/LOOKUP(Detached!AF$2,'Data by dwelling type'!$A$4:$A$40,'Data by dwelling type'!$R$4:$R$40)</f>
        <v>144.15877625562555</v>
      </c>
      <c r="AG3" s="376">
        <f>(Detached!AG47*LOOKUP(Detached!AG$2,'Data by dwelling type'!$A$4:$A$40,'Data by dwelling type'!$P$4:$P$40)+Semidetached!AG48*LOOKUP(Semidetached!AG$2,'Data by dwelling type'!$A$4:$A$40,'Data by dwelling type'!$Q$4:$Q$40)+Flat!AG48*LOOKUP(Flat!AG$2,'Data by dwelling type'!$A$4:$A$40,'Data by dwelling type'!$N$4:$N$40))/LOOKUP(Detached!AG$2,'Data by dwelling type'!$A$4:$A$40,'Data by dwelling type'!$R$4:$R$40)</f>
        <v>218.00871305160561</v>
      </c>
      <c r="AH3" s="376">
        <f>(Detached!AH47*LOOKUP(Detached!AH$2,'Data by dwelling type'!$A$4:$A$40,'Data by dwelling type'!$P$4:$P$40)+Semidetached!AH48*LOOKUP(Semidetached!AH$2,'Data by dwelling type'!$A$4:$A$40,'Data by dwelling type'!$Q$4:$Q$40)+Flat!AH48*LOOKUP(Flat!AH$2,'Data by dwelling type'!$A$4:$A$40,'Data by dwelling type'!$N$4:$N$40))/LOOKUP(Detached!AH$2,'Data by dwelling type'!$A$4:$A$40,'Data by dwelling type'!$R$4:$R$40)</f>
        <v>201.6444699031882</v>
      </c>
      <c r="AI3" s="376">
        <f>(Detached!AI47*LOOKUP(Detached!AI$2,'Data by dwelling type'!$A$4:$A$40,'Data by dwelling type'!$P$4:$P$40)+Semidetached!AI48*LOOKUP(Semidetached!AI$2,'Data by dwelling type'!$A$4:$A$40,'Data by dwelling type'!$Q$4:$Q$40)+Flat!AI48*LOOKUP(Flat!AI$2,'Data by dwelling type'!$A$4:$A$40,'Data by dwelling type'!$N$4:$N$40))/LOOKUP(Detached!AI$2,'Data by dwelling type'!$A$4:$A$40,'Data by dwelling type'!$R$4:$R$40)</f>
        <v>120.12139727743329</v>
      </c>
      <c r="AJ3" s="376">
        <f>(Detached!AJ47*LOOKUP(Detached!AJ$2,'Data by dwelling type'!$A$4:$A$40,'Data by dwelling type'!$P$4:$P$40)+Semidetached!AJ48*LOOKUP(Semidetached!AJ$2,'Data by dwelling type'!$A$4:$A$40,'Data by dwelling type'!$Q$4:$Q$40)+Flat!AJ48*LOOKUP(Flat!AJ$2,'Data by dwelling type'!$A$4:$A$40,'Data by dwelling type'!$N$4:$N$40))/LOOKUP(Detached!AJ$2,'Data by dwelling type'!$A$4:$A$40,'Data by dwelling type'!$R$4:$R$40)</f>
        <v>153.03668126018445</v>
      </c>
      <c r="AK3" s="376">
        <f>(Detached!AK47*LOOKUP(Detached!AK$2,'Data by dwelling type'!$A$4:$A$40,'Data by dwelling type'!$P$4:$P$40)+Semidetached!AK48*LOOKUP(Semidetached!AK$2,'Data by dwelling type'!$A$4:$A$40,'Data by dwelling type'!$Q$4:$Q$40)+Flat!AK48*LOOKUP(Flat!AK$2,'Data by dwelling type'!$A$4:$A$40,'Data by dwelling type'!$N$4:$N$40))/LOOKUP(Detached!AK$2,'Data by dwelling type'!$A$4:$A$40,'Data by dwelling type'!$R$4:$R$40)</f>
        <v>114.05927557625546</v>
      </c>
      <c r="AL3" s="376">
        <f>(Detached!AL47*LOOKUP(Detached!AL$2,'Data by dwelling type'!$A$4:$A$40,'Data by dwelling type'!$P$4:$P$40)+Semidetached!AL48*LOOKUP(Semidetached!AL$2,'Data by dwelling type'!$A$4:$A$40,'Data by dwelling type'!$Q$4:$Q$40)+Flat!AL48*LOOKUP(Flat!AL$2,'Data by dwelling type'!$A$4:$A$40,'Data by dwelling type'!$N$4:$N$40))/LOOKUP(Detached!AL$2,'Data by dwelling type'!$A$4:$A$40,'Data by dwelling type'!$R$4:$R$40)</f>
        <v>144.49387943192772</v>
      </c>
      <c r="AM3" s="376">
        <f>(Detached!AM47*LOOKUP(Detached!AM$2,'Data by dwelling type'!$A$4:$A$40,'Data by dwelling type'!$P$4:$P$40)+Semidetached!AM48*LOOKUP(Semidetached!AM$2,'Data by dwelling type'!$A$4:$A$40,'Data by dwelling type'!$Q$4:$Q$40)+Flat!AM48*LOOKUP(Flat!AM$2,'Data by dwelling type'!$A$4:$A$40,'Data by dwelling type'!$N$4:$N$40))/LOOKUP(Detached!AM$2,'Data by dwelling type'!$A$4:$A$40,'Data by dwelling type'!$R$4:$R$40)</f>
        <v>140.72880306164123</v>
      </c>
      <c r="AN3" s="377">
        <f>(Detached!AN47*LOOKUP(Detached!AN$2,'Data by dwelling type'!$A$4:$A$40,'Data by dwelling type'!$P$4:$P$40)+Semidetached!AN48*LOOKUP(Semidetached!AN$2,'Data by dwelling type'!$A$4:$A$40,'Data by dwelling type'!$Q$4:$Q$40)+Flat!AN48*LOOKUP(Flat!AN$2,'Data by dwelling type'!$A$4:$A$40,'Data by dwelling type'!$N$4:$N$40))/LOOKUP(Detached!AN$2,'Data by dwelling type'!$A$4:$A$40,'Data by dwelling type'!$R$4:$R$40)</f>
        <v>140.7288030616412</v>
      </c>
    </row>
    <row r="4" spans="1:40">
      <c r="A4" s="407"/>
      <c r="B4" s="347" t="s">
        <v>3</v>
      </c>
      <c r="C4" s="367" t="s">
        <v>190</v>
      </c>
      <c r="D4" s="370">
        <f>(Detached!D48*LOOKUP(Detached!D$2,'Data by dwelling type'!$A$4:$A$40,'Data by dwelling type'!$P$4:$P$40)+Semidetached!D49*LOOKUP(Semidetached!D$2,'Data by dwelling type'!$A$4:$A$40,'Data by dwelling type'!$Q$4:$Q$40)+Flat!D49*LOOKUP(Flat!D$2,'Data by dwelling type'!$A$4:$A$40,'Data by dwelling type'!$N$4:$N$40))/LOOKUP(Detached!D$2,'Data by dwelling type'!$A$4:$A$40,'Data by dwelling type'!$R$4:$R$40)</f>
        <v>157.43672961401265</v>
      </c>
      <c r="E4" s="370">
        <f>(Detached!E48*LOOKUP(Detached!E$2,'Data by dwelling type'!$A$4:$A$40,'Data by dwelling type'!$P$4:$P$40)+Semidetached!E49*LOOKUP(Semidetached!E$2,'Data by dwelling type'!$A$4:$A$40,'Data by dwelling type'!$Q$4:$Q$40)+Flat!E49*LOOKUP(Flat!E$2,'Data by dwelling type'!$A$4:$A$40,'Data by dwelling type'!$N$4:$N$40))/LOOKUP(Detached!E$2,'Data by dwelling type'!$A$4:$A$40,'Data by dwelling type'!$R$4:$R$40)</f>
        <v>173.52807238167634</v>
      </c>
      <c r="F4" s="370">
        <f>(Detached!F48*LOOKUP(Detached!F$2,'Data by dwelling type'!$A$4:$A$40,'Data by dwelling type'!$P$4:$P$40)+Semidetached!F49*LOOKUP(Semidetached!F$2,'Data by dwelling type'!$A$4:$A$40,'Data by dwelling type'!$Q$4:$Q$40)+Flat!F49*LOOKUP(Flat!F$2,'Data by dwelling type'!$A$4:$A$40,'Data by dwelling type'!$N$4:$N$40))/LOOKUP(Detached!F$2,'Data by dwelling type'!$A$4:$A$40,'Data by dwelling type'!$R$4:$R$40)</f>
        <v>138.9346193226952</v>
      </c>
      <c r="G4" s="370">
        <f>(Detached!G48*LOOKUP(Detached!G$2,'Data by dwelling type'!$A$4:$A$40,'Data by dwelling type'!$P$4:$P$40)+Semidetached!G49*LOOKUP(Semidetached!G$2,'Data by dwelling type'!$A$4:$A$40,'Data by dwelling type'!$Q$4:$Q$40)+Flat!G49*LOOKUP(Flat!G$2,'Data by dwelling type'!$A$4:$A$40,'Data by dwelling type'!$N$4:$N$40))/LOOKUP(Detached!G$2,'Data by dwelling type'!$A$4:$A$40,'Data by dwelling type'!$R$4:$R$40)</f>
        <v>147.26182473831048</v>
      </c>
      <c r="H4" s="370">
        <f>(Detached!H48*LOOKUP(Detached!H$2,'Data by dwelling type'!$A$4:$A$40,'Data by dwelling type'!$P$4:$P$40)+Semidetached!H49*LOOKUP(Semidetached!H$2,'Data by dwelling type'!$A$4:$A$40,'Data by dwelling type'!$Q$4:$Q$40)+Flat!H49*LOOKUP(Flat!H$2,'Data by dwelling type'!$A$4:$A$40,'Data by dwelling type'!$N$4:$N$40))/LOOKUP(Detached!H$2,'Data by dwelling type'!$A$4:$A$40,'Data by dwelling type'!$R$4:$R$40)</f>
        <v>64.016051249650161</v>
      </c>
      <c r="I4" s="370">
        <f>(Detached!I48*LOOKUP(Detached!I$2,'Data by dwelling type'!$A$4:$A$40,'Data by dwelling type'!$P$4:$P$40)+Semidetached!I49*LOOKUP(Semidetached!I$2,'Data by dwelling type'!$A$4:$A$40,'Data by dwelling type'!$Q$4:$Q$40)+Flat!I49*LOOKUP(Flat!I$2,'Data by dwelling type'!$A$4:$A$40,'Data by dwelling type'!$N$4:$N$40))/LOOKUP(Detached!I$2,'Data by dwelling type'!$A$4:$A$40,'Data by dwelling type'!$R$4:$R$40)</f>
        <v>120.85608773181531</v>
      </c>
      <c r="J4" s="370">
        <f>(Detached!J48*LOOKUP(Detached!J$2,'Data by dwelling type'!$A$4:$A$40,'Data by dwelling type'!$P$4:$P$40)+Semidetached!J49*LOOKUP(Semidetached!J$2,'Data by dwelling type'!$A$4:$A$40,'Data by dwelling type'!$Q$4:$Q$40)+Flat!J49*LOOKUP(Flat!J$2,'Data by dwelling type'!$A$4:$A$40,'Data by dwelling type'!$N$4:$N$40))/LOOKUP(Detached!J$2,'Data by dwelling type'!$A$4:$A$40,'Data by dwelling type'!$R$4:$R$40)</f>
        <v>155.69378732633308</v>
      </c>
      <c r="K4" s="370">
        <f>(Detached!K48*LOOKUP(Detached!K$2,'Data by dwelling type'!$A$4:$A$40,'Data by dwelling type'!$P$4:$P$40)+Semidetached!K49*LOOKUP(Semidetached!K$2,'Data by dwelling type'!$A$4:$A$40,'Data by dwelling type'!$Q$4:$Q$40)+Flat!K49*LOOKUP(Flat!K$2,'Data by dwelling type'!$A$4:$A$40,'Data by dwelling type'!$N$4:$N$40))/LOOKUP(Detached!K$2,'Data by dwelling type'!$A$4:$A$40,'Data by dwelling type'!$R$4:$R$40)</f>
        <v>104.1517601072522</v>
      </c>
      <c r="L4" s="370">
        <f>(Detached!L48*LOOKUP(Detached!L$2,'Data by dwelling type'!$A$4:$A$40,'Data by dwelling type'!$P$4:$P$40)+Semidetached!L49*LOOKUP(Semidetached!L$2,'Data by dwelling type'!$A$4:$A$40,'Data by dwelling type'!$Q$4:$Q$40)+Flat!L49*LOOKUP(Flat!L$2,'Data by dwelling type'!$A$4:$A$40,'Data by dwelling type'!$N$4:$N$40))/LOOKUP(Detached!L$2,'Data by dwelling type'!$A$4:$A$40,'Data by dwelling type'!$R$4:$R$40)</f>
        <v>94.839379155361669</v>
      </c>
      <c r="M4" s="370">
        <f>(Detached!M48*LOOKUP(Detached!M$2,'Data by dwelling type'!$A$4:$A$40,'Data by dwelling type'!$P$4:$P$40)+Semidetached!M49*LOOKUP(Semidetached!M$2,'Data by dwelling type'!$A$4:$A$40,'Data by dwelling type'!$Q$4:$Q$40)+Flat!M49*LOOKUP(Flat!M$2,'Data by dwelling type'!$A$4:$A$40,'Data by dwelling type'!$N$4:$N$40))/LOOKUP(Detached!M$2,'Data by dwelling type'!$A$4:$A$40,'Data by dwelling type'!$R$4:$R$40)</f>
        <v>109.64842924100385</v>
      </c>
      <c r="N4" s="370">
        <f>(Detached!N48*LOOKUP(Detached!N$2,'Data by dwelling type'!$A$4:$A$40,'Data by dwelling type'!$P$4:$P$40)+Semidetached!N49*LOOKUP(Semidetached!N$2,'Data by dwelling type'!$A$4:$A$40,'Data by dwelling type'!$Q$4:$Q$40)+Flat!N49*LOOKUP(Flat!N$2,'Data by dwelling type'!$A$4:$A$40,'Data by dwelling type'!$N$4:$N$40))/LOOKUP(Detached!N$2,'Data by dwelling type'!$A$4:$A$40,'Data by dwelling type'!$R$4:$R$40)</f>
        <v>145.21991073538516</v>
      </c>
      <c r="O4" s="370">
        <f>(Detached!O48*LOOKUP(Detached!O$2,'Data by dwelling type'!$A$4:$A$40,'Data by dwelling type'!$P$4:$P$40)+Semidetached!O49*LOOKUP(Semidetached!O$2,'Data by dwelling type'!$A$4:$A$40,'Data by dwelling type'!$Q$4:$Q$40)+Flat!O49*LOOKUP(Flat!O$2,'Data by dwelling type'!$A$4:$A$40,'Data by dwelling type'!$N$4:$N$40))/LOOKUP(Detached!O$2,'Data by dwelling type'!$A$4:$A$40,'Data by dwelling type'!$R$4:$R$40)</f>
        <v>194.41798377171995</v>
      </c>
      <c r="P4" s="370">
        <f>(Detached!P48*LOOKUP(Detached!P$2,'Data by dwelling type'!$A$4:$A$40,'Data by dwelling type'!$P$4:$P$40)+Semidetached!P49*LOOKUP(Semidetached!P$2,'Data by dwelling type'!$A$4:$A$40,'Data by dwelling type'!$Q$4:$Q$40)+Flat!P49*LOOKUP(Flat!P$2,'Data by dwelling type'!$A$4:$A$40,'Data by dwelling type'!$N$4:$N$40))/LOOKUP(Detached!P$2,'Data by dwelling type'!$A$4:$A$40,'Data by dwelling type'!$R$4:$R$40)</f>
        <v>130.84126359052186</v>
      </c>
      <c r="Q4" s="370">
        <f>(Detached!Q48*LOOKUP(Detached!Q$2,'Data by dwelling type'!$A$4:$A$40,'Data by dwelling type'!$P$4:$P$40)+Semidetached!Q49*LOOKUP(Semidetached!Q$2,'Data by dwelling type'!$A$4:$A$40,'Data by dwelling type'!$Q$4:$Q$40)+Flat!Q49*LOOKUP(Flat!Q$2,'Data by dwelling type'!$A$4:$A$40,'Data by dwelling type'!$N$4:$N$40))/LOOKUP(Detached!Q$2,'Data by dwelling type'!$A$4:$A$40,'Data by dwelling type'!$R$4:$R$40)</f>
        <v>159.53923171503087</v>
      </c>
      <c r="R4" s="370">
        <f>(Detached!R48*LOOKUP(Detached!R$2,'Data by dwelling type'!$A$4:$A$40,'Data by dwelling type'!$P$4:$P$40)+Semidetached!R49*LOOKUP(Semidetached!R$2,'Data by dwelling type'!$A$4:$A$40,'Data by dwelling type'!$Q$4:$Q$40)+Flat!R49*LOOKUP(Flat!R$2,'Data by dwelling type'!$A$4:$A$40,'Data by dwelling type'!$N$4:$N$40))/LOOKUP(Detached!R$2,'Data by dwelling type'!$A$4:$A$40,'Data by dwelling type'!$R$4:$R$40)</f>
        <v>169.87122119294045</v>
      </c>
      <c r="S4" s="370">
        <f>(Detached!S48*LOOKUP(Detached!S$2,'Data by dwelling type'!$A$4:$A$40,'Data by dwelling type'!$P$4:$P$40)+Semidetached!S49*LOOKUP(Semidetached!S$2,'Data by dwelling type'!$A$4:$A$40,'Data by dwelling type'!$Q$4:$Q$40)+Flat!S49*LOOKUP(Flat!S$2,'Data by dwelling type'!$A$4:$A$40,'Data by dwelling type'!$N$4:$N$40))/LOOKUP(Detached!S$2,'Data by dwelling type'!$A$4:$A$40,'Data by dwelling type'!$R$4:$R$40)</f>
        <v>186.87766548309864</v>
      </c>
      <c r="T4" s="370">
        <f>(Detached!T48*LOOKUP(Detached!T$2,'Data by dwelling type'!$A$4:$A$40,'Data by dwelling type'!$P$4:$P$40)+Semidetached!T49*LOOKUP(Semidetached!T$2,'Data by dwelling type'!$A$4:$A$40,'Data by dwelling type'!$Q$4:$Q$40)+Flat!T49*LOOKUP(Flat!T$2,'Data by dwelling type'!$A$4:$A$40,'Data by dwelling type'!$N$4:$N$40))/LOOKUP(Detached!T$2,'Data by dwelling type'!$A$4:$A$40,'Data by dwelling type'!$R$4:$R$40)</f>
        <v>127.46014374657932</v>
      </c>
      <c r="U4" s="370">
        <f>(Detached!U48*LOOKUP(Detached!U$2,'Data by dwelling type'!$A$4:$A$40,'Data by dwelling type'!$P$4:$P$40)+Semidetached!U49*LOOKUP(Semidetached!U$2,'Data by dwelling type'!$A$4:$A$40,'Data by dwelling type'!$Q$4:$Q$40)+Flat!U49*LOOKUP(Flat!U$2,'Data by dwelling type'!$A$4:$A$40,'Data by dwelling type'!$N$4:$N$40))/LOOKUP(Detached!U$2,'Data by dwelling type'!$A$4:$A$40,'Data by dwelling type'!$R$4:$R$40)</f>
        <v>89.122362958576531</v>
      </c>
      <c r="V4" s="370">
        <f>(Detached!V48*LOOKUP(Detached!V$2,'Data by dwelling type'!$A$4:$A$40,'Data by dwelling type'!$P$4:$P$40)+Semidetached!V49*LOOKUP(Semidetached!V$2,'Data by dwelling type'!$A$4:$A$40,'Data by dwelling type'!$Q$4:$Q$40)+Flat!V49*LOOKUP(Flat!V$2,'Data by dwelling type'!$A$4:$A$40,'Data by dwelling type'!$N$4:$N$40))/LOOKUP(Detached!V$2,'Data by dwelling type'!$A$4:$A$40,'Data by dwelling type'!$R$4:$R$40)</f>
        <v>150.21234039660516</v>
      </c>
      <c r="W4" s="370">
        <f>(Detached!W48*LOOKUP(Detached!W$2,'Data by dwelling type'!$A$4:$A$40,'Data by dwelling type'!$P$4:$P$40)+Semidetached!W49*LOOKUP(Semidetached!W$2,'Data by dwelling type'!$A$4:$A$40,'Data by dwelling type'!$Q$4:$Q$40)+Flat!W49*LOOKUP(Flat!W$2,'Data by dwelling type'!$A$4:$A$40,'Data by dwelling type'!$N$4:$N$40))/LOOKUP(Detached!W$2,'Data by dwelling type'!$A$4:$A$40,'Data by dwelling type'!$R$4:$R$40)</f>
        <v>167.71746763145418</v>
      </c>
      <c r="X4" s="370">
        <f>(Detached!X48*LOOKUP(Detached!X$2,'Data by dwelling type'!$A$4:$A$40,'Data by dwelling type'!$P$4:$P$40)+Semidetached!X49*LOOKUP(Semidetached!X$2,'Data by dwelling type'!$A$4:$A$40,'Data by dwelling type'!$Q$4:$Q$40)+Flat!X49*LOOKUP(Flat!X$2,'Data by dwelling type'!$A$4:$A$40,'Data by dwelling type'!$N$4:$N$40))/LOOKUP(Detached!X$2,'Data by dwelling type'!$A$4:$A$40,'Data by dwelling type'!$R$4:$R$40)</f>
        <v>163.92013263240716</v>
      </c>
      <c r="Y4" s="370">
        <f>(Detached!Y48*LOOKUP(Detached!Y$2,'Data by dwelling type'!$A$4:$A$40,'Data by dwelling type'!$P$4:$P$40)+Semidetached!Y49*LOOKUP(Semidetached!Y$2,'Data by dwelling type'!$A$4:$A$40,'Data by dwelling type'!$Q$4:$Q$40)+Flat!Y49*LOOKUP(Flat!Y$2,'Data by dwelling type'!$A$4:$A$40,'Data by dwelling type'!$N$4:$N$40))/LOOKUP(Detached!Y$2,'Data by dwelling type'!$A$4:$A$40,'Data by dwelling type'!$R$4:$R$40)</f>
        <v>45.205325790559307</v>
      </c>
      <c r="Z4" s="370">
        <f>(Detached!Z48*LOOKUP(Detached!Z$2,'Data by dwelling type'!$A$4:$A$40,'Data by dwelling type'!$P$4:$P$40)+Semidetached!Z49*LOOKUP(Semidetached!Z$2,'Data by dwelling type'!$A$4:$A$40,'Data by dwelling type'!$Q$4:$Q$40)+Flat!Z49*LOOKUP(Flat!Z$2,'Data by dwelling type'!$A$4:$A$40,'Data by dwelling type'!$N$4:$N$40))/LOOKUP(Detached!Z$2,'Data by dwelling type'!$A$4:$A$40,'Data by dwelling type'!$R$4:$R$40)</f>
        <v>137.64514398798832</v>
      </c>
      <c r="AA4" s="370">
        <f>(Detached!AA48*LOOKUP(Detached!AA$2,'Data by dwelling type'!$A$4:$A$40,'Data by dwelling type'!$P$4:$P$40)+Semidetached!AA49*LOOKUP(Semidetached!AA$2,'Data by dwelling type'!$A$4:$A$40,'Data by dwelling type'!$Q$4:$Q$40)+Flat!AA49*LOOKUP(Flat!AA$2,'Data by dwelling type'!$A$4:$A$40,'Data by dwelling type'!$N$4:$N$40))/LOOKUP(Detached!AA$2,'Data by dwelling type'!$A$4:$A$40,'Data by dwelling type'!$R$4:$R$40)</f>
        <v>116.83142436699006</v>
      </c>
      <c r="AB4" s="370">
        <f>(Detached!AB48*LOOKUP(Detached!AB$2,'Data by dwelling type'!$A$4:$A$40,'Data by dwelling type'!$P$4:$P$40)+Semidetached!AB49*LOOKUP(Semidetached!AB$2,'Data by dwelling type'!$A$4:$A$40,'Data by dwelling type'!$Q$4:$Q$40)+Flat!AB49*LOOKUP(Flat!AB$2,'Data by dwelling type'!$A$4:$A$40,'Data by dwelling type'!$N$4:$N$40))/LOOKUP(Detached!AB$2,'Data by dwelling type'!$A$4:$A$40,'Data by dwelling type'!$R$4:$R$40)</f>
        <v>155.33443439729476</v>
      </c>
      <c r="AC4" s="370">
        <f>(Detached!AC48*LOOKUP(Detached!AC$2,'Data by dwelling type'!$A$4:$A$40,'Data by dwelling type'!$P$4:$P$40)+Semidetached!AC49*LOOKUP(Semidetached!AC$2,'Data by dwelling type'!$A$4:$A$40,'Data by dwelling type'!$Q$4:$Q$40)+Flat!AC49*LOOKUP(Flat!AC$2,'Data by dwelling type'!$A$4:$A$40,'Data by dwelling type'!$N$4:$N$40))/LOOKUP(Detached!AC$2,'Data by dwelling type'!$A$4:$A$40,'Data by dwelling type'!$R$4:$R$40)</f>
        <v>81.067880625854272</v>
      </c>
      <c r="AD4" s="370">
        <f>(Detached!AD48*LOOKUP(Detached!AD$2,'Data by dwelling type'!$A$4:$A$40,'Data by dwelling type'!$P$4:$P$40)+Semidetached!AD49*LOOKUP(Semidetached!AD$2,'Data by dwelling type'!$A$4:$A$40,'Data by dwelling type'!$Q$4:$Q$40)+Flat!AD49*LOOKUP(Flat!AD$2,'Data by dwelling type'!$A$4:$A$40,'Data by dwelling type'!$N$4:$N$40))/LOOKUP(Detached!AD$2,'Data by dwelling type'!$A$4:$A$40,'Data by dwelling type'!$R$4:$R$40)</f>
        <v>186.51701381831805</v>
      </c>
      <c r="AE4" s="370">
        <f>(Detached!AE48*LOOKUP(Detached!AE$2,'Data by dwelling type'!$A$4:$A$40,'Data by dwelling type'!$P$4:$P$40)+Semidetached!AE49*LOOKUP(Semidetached!AE$2,'Data by dwelling type'!$A$4:$A$40,'Data by dwelling type'!$Q$4:$Q$40)+Flat!AE49*LOOKUP(Flat!AE$2,'Data by dwelling type'!$A$4:$A$40,'Data by dwelling type'!$N$4:$N$40))/LOOKUP(Detached!AE$2,'Data by dwelling type'!$A$4:$A$40,'Data by dwelling type'!$R$4:$R$40)</f>
        <v>116.50320297479369</v>
      </c>
      <c r="AF4" s="370">
        <f>(Detached!AF48*LOOKUP(Detached!AF$2,'Data by dwelling type'!$A$4:$A$40,'Data by dwelling type'!$P$4:$P$40)+Semidetached!AF49*LOOKUP(Semidetached!AF$2,'Data by dwelling type'!$A$4:$A$40,'Data by dwelling type'!$Q$4:$Q$40)+Flat!AF49*LOOKUP(Flat!AF$2,'Data by dwelling type'!$A$4:$A$40,'Data by dwelling type'!$N$4:$N$40))/LOOKUP(Detached!AF$2,'Data by dwelling type'!$A$4:$A$40,'Data by dwelling type'!$R$4:$R$40)</f>
        <v>144.15877625562555</v>
      </c>
      <c r="AG4" s="370">
        <f>(Detached!AG48*LOOKUP(Detached!AG$2,'Data by dwelling type'!$A$4:$A$40,'Data by dwelling type'!$P$4:$P$40)+Semidetached!AG49*LOOKUP(Semidetached!AG$2,'Data by dwelling type'!$A$4:$A$40,'Data by dwelling type'!$Q$4:$Q$40)+Flat!AG49*LOOKUP(Flat!AG$2,'Data by dwelling type'!$A$4:$A$40,'Data by dwelling type'!$N$4:$N$40))/LOOKUP(Detached!AG$2,'Data by dwelling type'!$A$4:$A$40,'Data by dwelling type'!$R$4:$R$40)</f>
        <v>187.71834563925725</v>
      </c>
      <c r="AH4" s="370">
        <f>(Detached!AH48*LOOKUP(Detached!AH$2,'Data by dwelling type'!$A$4:$A$40,'Data by dwelling type'!$P$4:$P$40)+Semidetached!AH49*LOOKUP(Semidetached!AH$2,'Data by dwelling type'!$A$4:$A$40,'Data by dwelling type'!$Q$4:$Q$40)+Flat!AH49*LOOKUP(Flat!AH$2,'Data by dwelling type'!$A$4:$A$40,'Data by dwelling type'!$N$4:$N$40))/LOOKUP(Detached!AH$2,'Data by dwelling type'!$A$4:$A$40,'Data by dwelling type'!$R$4:$R$40)</f>
        <v>211.14981810819447</v>
      </c>
      <c r="AI4" s="370">
        <f>(Detached!AI48*LOOKUP(Detached!AI$2,'Data by dwelling type'!$A$4:$A$40,'Data by dwelling type'!$P$4:$P$40)+Semidetached!AI49*LOOKUP(Semidetached!AI$2,'Data by dwelling type'!$A$4:$A$40,'Data by dwelling type'!$Q$4:$Q$40)+Flat!AI49*LOOKUP(Flat!AI$2,'Data by dwelling type'!$A$4:$A$40,'Data by dwelling type'!$N$4:$N$40))/LOOKUP(Detached!AI$2,'Data by dwelling type'!$A$4:$A$40,'Data by dwelling type'!$R$4:$R$40)</f>
        <v>120.12139727743329</v>
      </c>
      <c r="AJ4" s="370">
        <f>(Detached!AJ48*LOOKUP(Detached!AJ$2,'Data by dwelling type'!$A$4:$A$40,'Data by dwelling type'!$P$4:$P$40)+Semidetached!AJ49*LOOKUP(Semidetached!AJ$2,'Data by dwelling type'!$A$4:$A$40,'Data by dwelling type'!$Q$4:$Q$40)+Flat!AJ49*LOOKUP(Flat!AJ$2,'Data by dwelling type'!$A$4:$A$40,'Data by dwelling type'!$N$4:$N$40))/LOOKUP(Detached!AJ$2,'Data by dwelling type'!$A$4:$A$40,'Data by dwelling type'!$R$4:$R$40)</f>
        <v>153.03668126018445</v>
      </c>
      <c r="AK4" s="370">
        <f>(Detached!AK48*LOOKUP(Detached!AK$2,'Data by dwelling type'!$A$4:$A$40,'Data by dwelling type'!$P$4:$P$40)+Semidetached!AK49*LOOKUP(Semidetached!AK$2,'Data by dwelling type'!$A$4:$A$40,'Data by dwelling type'!$Q$4:$Q$40)+Flat!AK49*LOOKUP(Flat!AK$2,'Data by dwelling type'!$A$4:$A$40,'Data by dwelling type'!$N$4:$N$40))/LOOKUP(Detached!AK$2,'Data by dwelling type'!$A$4:$A$40,'Data by dwelling type'!$R$4:$R$40)</f>
        <v>114.05927557625546</v>
      </c>
      <c r="AL4" s="370">
        <f>(Detached!AL48*LOOKUP(Detached!AL$2,'Data by dwelling type'!$A$4:$A$40,'Data by dwelling type'!$P$4:$P$40)+Semidetached!AL49*LOOKUP(Semidetached!AL$2,'Data by dwelling type'!$A$4:$A$40,'Data by dwelling type'!$Q$4:$Q$40)+Flat!AL49*LOOKUP(Flat!AL$2,'Data by dwelling type'!$A$4:$A$40,'Data by dwelling type'!$N$4:$N$40))/LOOKUP(Detached!AL$2,'Data by dwelling type'!$A$4:$A$40,'Data by dwelling type'!$R$4:$R$40)</f>
        <v>144.49387943192772</v>
      </c>
      <c r="AM4" s="370">
        <f>(Detached!AM48*LOOKUP(Detached!AM$2,'Data by dwelling type'!$A$4:$A$40,'Data by dwelling type'!$P$4:$P$40)+Semidetached!AM49*LOOKUP(Semidetached!AM$2,'Data by dwelling type'!$A$4:$A$40,'Data by dwelling type'!$Q$4:$Q$40)+Flat!AM49*LOOKUP(Flat!AM$2,'Data by dwelling type'!$A$4:$A$40,'Data by dwelling type'!$N$4:$N$40))/LOOKUP(Detached!AM$2,'Data by dwelling type'!$A$4:$A$40,'Data by dwelling type'!$R$4:$R$40)</f>
        <v>140.72880306164123</v>
      </c>
      <c r="AN4" s="371">
        <f>(Detached!AN48*LOOKUP(Detached!AN$2,'Data by dwelling type'!$A$4:$A$40,'Data by dwelling type'!$P$4:$P$40)+Semidetached!AN49*LOOKUP(Semidetached!AN$2,'Data by dwelling type'!$A$4:$A$40,'Data by dwelling type'!$Q$4:$Q$40)+Flat!AN49*LOOKUP(Flat!AN$2,'Data by dwelling type'!$A$4:$A$40,'Data by dwelling type'!$N$4:$N$40))/LOOKUP(Detached!AN$2,'Data by dwelling type'!$A$4:$A$40,'Data by dwelling type'!$R$4:$R$40)</f>
        <v>140.7288030616412</v>
      </c>
    </row>
    <row r="5" spans="1:40">
      <c r="A5" s="407"/>
      <c r="B5" s="347" t="s">
        <v>4</v>
      </c>
      <c r="C5" s="367" t="s">
        <v>190</v>
      </c>
      <c r="D5" s="370">
        <f>(Detached!D49*LOOKUP(Detached!D$2,'Data by dwelling type'!$A$4:$A$40,'Data by dwelling type'!$P$4:$P$40)+Semidetached!D50*LOOKUP(Semidetached!D$2,'Data by dwelling type'!$A$4:$A$40,'Data by dwelling type'!$Q$4:$Q$40)+Flat!D50*LOOKUP(Flat!D$2,'Data by dwelling type'!$A$4:$A$40,'Data by dwelling type'!$N$4:$N$40))/LOOKUP(Detached!D$2,'Data by dwelling type'!$A$4:$A$40,'Data by dwelling type'!$R$4:$R$40)</f>
        <v>126.66239330382236</v>
      </c>
      <c r="E5" s="370">
        <f>(Detached!E49*LOOKUP(Detached!E$2,'Data by dwelling type'!$A$4:$A$40,'Data by dwelling type'!$P$4:$P$40)+Semidetached!E50*LOOKUP(Semidetached!E$2,'Data by dwelling type'!$A$4:$A$40,'Data by dwelling type'!$Q$4:$Q$40)+Flat!E50*LOOKUP(Flat!E$2,'Data by dwelling type'!$A$4:$A$40,'Data by dwelling type'!$N$4:$N$40))/LOOKUP(Detached!E$2,'Data by dwelling type'!$A$4:$A$40,'Data by dwelling type'!$R$4:$R$40)</f>
        <v>173.52807238167634</v>
      </c>
      <c r="F5" s="370">
        <f>(Detached!F49*LOOKUP(Detached!F$2,'Data by dwelling type'!$A$4:$A$40,'Data by dwelling type'!$P$4:$P$40)+Semidetached!F50*LOOKUP(Semidetached!F$2,'Data by dwelling type'!$A$4:$A$40,'Data by dwelling type'!$Q$4:$Q$40)+Flat!F50*LOOKUP(Flat!F$2,'Data by dwelling type'!$A$4:$A$40,'Data by dwelling type'!$N$4:$N$40))/LOOKUP(Detached!F$2,'Data by dwelling type'!$A$4:$A$40,'Data by dwelling type'!$R$4:$R$40)</f>
        <v>131.66291903355091</v>
      </c>
      <c r="G5" s="370">
        <f>(Detached!G49*LOOKUP(Detached!G$2,'Data by dwelling type'!$A$4:$A$40,'Data by dwelling type'!$P$4:$P$40)+Semidetached!G50*LOOKUP(Semidetached!G$2,'Data by dwelling type'!$A$4:$A$40,'Data by dwelling type'!$Q$4:$Q$40)+Flat!G50*LOOKUP(Flat!G$2,'Data by dwelling type'!$A$4:$A$40,'Data by dwelling type'!$N$4:$N$40))/LOOKUP(Detached!G$2,'Data by dwelling type'!$A$4:$A$40,'Data by dwelling type'!$R$4:$R$40)</f>
        <v>117.97338350888391</v>
      </c>
      <c r="H5" s="370">
        <f>(Detached!H49*LOOKUP(Detached!H$2,'Data by dwelling type'!$A$4:$A$40,'Data by dwelling type'!$P$4:$P$40)+Semidetached!H50*LOOKUP(Semidetached!H$2,'Data by dwelling type'!$A$4:$A$40,'Data by dwelling type'!$Q$4:$Q$40)+Flat!H50*LOOKUP(Flat!H$2,'Data by dwelling type'!$A$4:$A$40,'Data by dwelling type'!$N$4:$N$40))/LOOKUP(Detached!H$2,'Data by dwelling type'!$A$4:$A$40,'Data by dwelling type'!$R$4:$R$40)</f>
        <v>65.712763254570575</v>
      </c>
      <c r="I5" s="370">
        <f>(Detached!I49*LOOKUP(Detached!I$2,'Data by dwelling type'!$A$4:$A$40,'Data by dwelling type'!$P$4:$P$40)+Semidetached!I50*LOOKUP(Semidetached!I$2,'Data by dwelling type'!$A$4:$A$40,'Data by dwelling type'!$Q$4:$Q$40)+Flat!I50*LOOKUP(Flat!I$2,'Data by dwelling type'!$A$4:$A$40,'Data by dwelling type'!$N$4:$N$40))/LOOKUP(Detached!I$2,'Data by dwelling type'!$A$4:$A$40,'Data by dwelling type'!$R$4:$R$40)</f>
        <v>120.85608773181531</v>
      </c>
      <c r="J5" s="370">
        <f>(Detached!J49*LOOKUP(Detached!J$2,'Data by dwelling type'!$A$4:$A$40,'Data by dwelling type'!$P$4:$P$40)+Semidetached!J50*LOOKUP(Semidetached!J$2,'Data by dwelling type'!$A$4:$A$40,'Data by dwelling type'!$Q$4:$Q$40)+Flat!J50*LOOKUP(Flat!J$2,'Data by dwelling type'!$A$4:$A$40,'Data by dwelling type'!$N$4:$N$40))/LOOKUP(Detached!J$2,'Data by dwelling type'!$A$4:$A$40,'Data by dwelling type'!$R$4:$R$40)</f>
        <v>102.78349503891299</v>
      </c>
      <c r="K5" s="370">
        <f>(Detached!K49*LOOKUP(Detached!K$2,'Data by dwelling type'!$A$4:$A$40,'Data by dwelling type'!$P$4:$P$40)+Semidetached!K50*LOOKUP(Semidetached!K$2,'Data by dwelling type'!$A$4:$A$40,'Data by dwelling type'!$Q$4:$Q$40)+Flat!K50*LOOKUP(Flat!K$2,'Data by dwelling type'!$A$4:$A$40,'Data by dwelling type'!$N$4:$N$40))/LOOKUP(Detached!K$2,'Data by dwelling type'!$A$4:$A$40,'Data by dwelling type'!$R$4:$R$40)</f>
        <v>73.439703549699786</v>
      </c>
      <c r="L5" s="370">
        <f>(Detached!L49*LOOKUP(Detached!L$2,'Data by dwelling type'!$A$4:$A$40,'Data by dwelling type'!$P$4:$P$40)+Semidetached!L50*LOOKUP(Semidetached!L$2,'Data by dwelling type'!$A$4:$A$40,'Data by dwelling type'!$Q$4:$Q$40)+Flat!L50*LOOKUP(Flat!L$2,'Data by dwelling type'!$A$4:$A$40,'Data by dwelling type'!$N$4:$N$40))/LOOKUP(Detached!L$2,'Data by dwelling type'!$A$4:$A$40,'Data by dwelling type'!$R$4:$R$40)</f>
        <v>78.848112137410709</v>
      </c>
      <c r="M5" s="370">
        <f>(Detached!M49*LOOKUP(Detached!M$2,'Data by dwelling type'!$A$4:$A$40,'Data by dwelling type'!$P$4:$P$40)+Semidetached!M50*LOOKUP(Semidetached!M$2,'Data by dwelling type'!$A$4:$A$40,'Data by dwelling type'!$Q$4:$Q$40)+Flat!M50*LOOKUP(Flat!M$2,'Data by dwelling type'!$A$4:$A$40,'Data by dwelling type'!$N$4:$N$40))/LOOKUP(Detached!M$2,'Data by dwelling type'!$A$4:$A$40,'Data by dwelling type'!$R$4:$R$40)</f>
        <v>109.64842924100385</v>
      </c>
      <c r="N5" s="370">
        <f>(Detached!N49*LOOKUP(Detached!N$2,'Data by dwelling type'!$A$4:$A$40,'Data by dwelling type'!$P$4:$P$40)+Semidetached!N50*LOOKUP(Semidetached!N$2,'Data by dwelling type'!$A$4:$A$40,'Data by dwelling type'!$Q$4:$Q$40)+Flat!N50*LOOKUP(Flat!N$2,'Data by dwelling type'!$A$4:$A$40,'Data by dwelling type'!$N$4:$N$40))/LOOKUP(Detached!N$2,'Data by dwelling type'!$A$4:$A$40,'Data by dwelling type'!$R$4:$R$40)</f>
        <v>121.22561237033831</v>
      </c>
      <c r="O5" s="370">
        <f>(Detached!O49*LOOKUP(Detached!O$2,'Data by dwelling type'!$A$4:$A$40,'Data by dwelling type'!$P$4:$P$40)+Semidetached!O50*LOOKUP(Semidetached!O$2,'Data by dwelling type'!$A$4:$A$40,'Data by dwelling type'!$Q$4:$Q$40)+Flat!O50*LOOKUP(Flat!O$2,'Data by dwelling type'!$A$4:$A$40,'Data by dwelling type'!$N$4:$N$40))/LOOKUP(Detached!O$2,'Data by dwelling type'!$A$4:$A$40,'Data by dwelling type'!$R$4:$R$40)</f>
        <v>95.023195271952645</v>
      </c>
      <c r="P5" s="370">
        <f>(Detached!P49*LOOKUP(Detached!P$2,'Data by dwelling type'!$A$4:$A$40,'Data by dwelling type'!$P$4:$P$40)+Semidetached!P50*LOOKUP(Semidetached!P$2,'Data by dwelling type'!$A$4:$A$40,'Data by dwelling type'!$Q$4:$Q$40)+Flat!P50*LOOKUP(Flat!P$2,'Data by dwelling type'!$A$4:$A$40,'Data by dwelling type'!$N$4:$N$40))/LOOKUP(Detached!P$2,'Data by dwelling type'!$A$4:$A$40,'Data by dwelling type'!$R$4:$R$40)</f>
        <v>130.84126359052186</v>
      </c>
      <c r="Q5" s="370">
        <f>(Detached!Q49*LOOKUP(Detached!Q$2,'Data by dwelling type'!$A$4:$A$40,'Data by dwelling type'!$P$4:$P$40)+Semidetached!Q50*LOOKUP(Semidetached!Q$2,'Data by dwelling type'!$A$4:$A$40,'Data by dwelling type'!$Q$4:$Q$40)+Flat!Q50*LOOKUP(Flat!Q$2,'Data by dwelling type'!$A$4:$A$40,'Data by dwelling type'!$N$4:$N$40))/LOOKUP(Detached!Q$2,'Data by dwelling type'!$A$4:$A$40,'Data by dwelling type'!$R$4:$R$40)</f>
        <v>138.78061614445579</v>
      </c>
      <c r="R5" s="370">
        <f>(Detached!R49*LOOKUP(Detached!R$2,'Data by dwelling type'!$A$4:$A$40,'Data by dwelling type'!$P$4:$P$40)+Semidetached!R50*LOOKUP(Semidetached!R$2,'Data by dwelling type'!$A$4:$A$40,'Data by dwelling type'!$Q$4:$Q$40)+Flat!R50*LOOKUP(Flat!R$2,'Data by dwelling type'!$A$4:$A$40,'Data by dwelling type'!$N$4:$N$40))/LOOKUP(Detached!R$2,'Data by dwelling type'!$A$4:$A$40,'Data by dwelling type'!$R$4:$R$40)</f>
        <v>149.23411424972306</v>
      </c>
      <c r="S5" s="370">
        <f>(Detached!S49*LOOKUP(Detached!S$2,'Data by dwelling type'!$A$4:$A$40,'Data by dwelling type'!$P$4:$P$40)+Semidetached!S50*LOOKUP(Semidetached!S$2,'Data by dwelling type'!$A$4:$A$40,'Data by dwelling type'!$Q$4:$Q$40)+Flat!S50*LOOKUP(Flat!S$2,'Data by dwelling type'!$A$4:$A$40,'Data by dwelling type'!$N$4:$N$40))/LOOKUP(Detached!S$2,'Data by dwelling type'!$A$4:$A$40,'Data by dwelling type'!$R$4:$R$40)</f>
        <v>160.00785655652169</v>
      </c>
      <c r="T5" s="370">
        <f>(Detached!T49*LOOKUP(Detached!T$2,'Data by dwelling type'!$A$4:$A$40,'Data by dwelling type'!$P$4:$P$40)+Semidetached!T50*LOOKUP(Semidetached!T$2,'Data by dwelling type'!$A$4:$A$40,'Data by dwelling type'!$Q$4:$Q$40)+Flat!T50*LOOKUP(Flat!T$2,'Data by dwelling type'!$A$4:$A$40,'Data by dwelling type'!$N$4:$N$40))/LOOKUP(Detached!T$2,'Data by dwelling type'!$A$4:$A$40,'Data by dwelling type'!$R$4:$R$40)</f>
        <v>105.89232521961155</v>
      </c>
      <c r="U5" s="370">
        <f>(Detached!U49*LOOKUP(Detached!U$2,'Data by dwelling type'!$A$4:$A$40,'Data by dwelling type'!$P$4:$P$40)+Semidetached!U50*LOOKUP(Semidetached!U$2,'Data by dwelling type'!$A$4:$A$40,'Data by dwelling type'!$Q$4:$Q$40)+Flat!U50*LOOKUP(Flat!U$2,'Data by dwelling type'!$A$4:$A$40,'Data by dwelling type'!$N$4:$N$40))/LOOKUP(Detached!U$2,'Data by dwelling type'!$A$4:$A$40,'Data by dwelling type'!$R$4:$R$40)</f>
        <v>84.576007268204464</v>
      </c>
      <c r="V5" s="370">
        <f>(Detached!V49*LOOKUP(Detached!V$2,'Data by dwelling type'!$A$4:$A$40,'Data by dwelling type'!$P$4:$P$40)+Semidetached!V50*LOOKUP(Semidetached!V$2,'Data by dwelling type'!$A$4:$A$40,'Data by dwelling type'!$Q$4:$Q$40)+Flat!V50*LOOKUP(Flat!V$2,'Data by dwelling type'!$A$4:$A$40,'Data by dwelling type'!$N$4:$N$40))/LOOKUP(Detached!V$2,'Data by dwelling type'!$A$4:$A$40,'Data by dwelling type'!$R$4:$R$40)</f>
        <v>99.208330456047221</v>
      </c>
      <c r="W5" s="370">
        <f>(Detached!W49*LOOKUP(Detached!W$2,'Data by dwelling type'!$A$4:$A$40,'Data by dwelling type'!$P$4:$P$40)+Semidetached!W50*LOOKUP(Semidetached!W$2,'Data by dwelling type'!$A$4:$A$40,'Data by dwelling type'!$Q$4:$Q$40)+Flat!W50*LOOKUP(Flat!W$2,'Data by dwelling type'!$A$4:$A$40,'Data by dwelling type'!$N$4:$N$40))/LOOKUP(Detached!W$2,'Data by dwelling type'!$A$4:$A$40,'Data by dwelling type'!$R$4:$R$40)</f>
        <v>94.771900380162677</v>
      </c>
      <c r="X5" s="370">
        <f>(Detached!X49*LOOKUP(Detached!X$2,'Data by dwelling type'!$A$4:$A$40,'Data by dwelling type'!$P$4:$P$40)+Semidetached!X50*LOOKUP(Semidetached!X$2,'Data by dwelling type'!$A$4:$A$40,'Data by dwelling type'!$Q$4:$Q$40)+Flat!X50*LOOKUP(Flat!X$2,'Data by dwelling type'!$A$4:$A$40,'Data by dwelling type'!$N$4:$N$40))/LOOKUP(Detached!X$2,'Data by dwelling type'!$A$4:$A$40,'Data by dwelling type'!$R$4:$R$40)</f>
        <v>153.13522464655142</v>
      </c>
      <c r="Y5" s="370">
        <f>(Detached!Y49*LOOKUP(Detached!Y$2,'Data by dwelling type'!$A$4:$A$40,'Data by dwelling type'!$P$4:$P$40)+Semidetached!Y50*LOOKUP(Semidetached!Y$2,'Data by dwelling type'!$A$4:$A$40,'Data by dwelling type'!$Q$4:$Q$40)+Flat!Y50*LOOKUP(Flat!Y$2,'Data by dwelling type'!$A$4:$A$40,'Data by dwelling type'!$N$4:$N$40))/LOOKUP(Detached!Y$2,'Data by dwelling type'!$A$4:$A$40,'Data by dwelling type'!$R$4:$R$40)</f>
        <v>38.535931297929203</v>
      </c>
      <c r="Z5" s="370">
        <f>(Detached!Z49*LOOKUP(Detached!Z$2,'Data by dwelling type'!$A$4:$A$40,'Data by dwelling type'!$P$4:$P$40)+Semidetached!Z50*LOOKUP(Semidetached!Z$2,'Data by dwelling type'!$A$4:$A$40,'Data by dwelling type'!$Q$4:$Q$40)+Flat!Z50*LOOKUP(Flat!Z$2,'Data by dwelling type'!$A$4:$A$40,'Data by dwelling type'!$N$4:$N$40))/LOOKUP(Detached!Z$2,'Data by dwelling type'!$A$4:$A$40,'Data by dwelling type'!$R$4:$R$40)</f>
        <v>132.92201808896348</v>
      </c>
      <c r="AA5" s="370">
        <f>(Detached!AA49*LOOKUP(Detached!AA$2,'Data by dwelling type'!$A$4:$A$40,'Data by dwelling type'!$P$4:$P$40)+Semidetached!AA50*LOOKUP(Semidetached!AA$2,'Data by dwelling type'!$A$4:$A$40,'Data by dwelling type'!$Q$4:$Q$40)+Flat!AA50*LOOKUP(Flat!AA$2,'Data by dwelling type'!$A$4:$A$40,'Data by dwelling type'!$N$4:$N$40))/LOOKUP(Detached!AA$2,'Data by dwelling type'!$A$4:$A$40,'Data by dwelling type'!$R$4:$R$40)</f>
        <v>84.517176782016421</v>
      </c>
      <c r="AB5" s="370">
        <f>(Detached!AB49*LOOKUP(Detached!AB$2,'Data by dwelling type'!$A$4:$A$40,'Data by dwelling type'!$P$4:$P$40)+Semidetached!AB50*LOOKUP(Semidetached!AB$2,'Data by dwelling type'!$A$4:$A$40,'Data by dwelling type'!$Q$4:$Q$40)+Flat!AB50*LOOKUP(Flat!AB$2,'Data by dwelling type'!$A$4:$A$40,'Data by dwelling type'!$N$4:$N$40))/LOOKUP(Detached!AB$2,'Data by dwelling type'!$A$4:$A$40,'Data by dwelling type'!$R$4:$R$40)</f>
        <v>113.05906907536878</v>
      </c>
      <c r="AC5" s="370">
        <f>(Detached!AC49*LOOKUP(Detached!AC$2,'Data by dwelling type'!$A$4:$A$40,'Data by dwelling type'!$P$4:$P$40)+Semidetached!AC50*LOOKUP(Semidetached!AC$2,'Data by dwelling type'!$A$4:$A$40,'Data by dwelling type'!$Q$4:$Q$40)+Flat!AC50*LOOKUP(Flat!AC$2,'Data by dwelling type'!$A$4:$A$40,'Data by dwelling type'!$N$4:$N$40))/LOOKUP(Detached!AC$2,'Data by dwelling type'!$A$4:$A$40,'Data by dwelling type'!$R$4:$R$40)</f>
        <v>79.71825866484734</v>
      </c>
      <c r="AD5" s="370">
        <f>(Detached!AD49*LOOKUP(Detached!AD$2,'Data by dwelling type'!$A$4:$A$40,'Data by dwelling type'!$P$4:$P$40)+Semidetached!AD50*LOOKUP(Semidetached!AD$2,'Data by dwelling type'!$A$4:$A$40,'Data by dwelling type'!$Q$4:$Q$40)+Flat!AD50*LOOKUP(Flat!AD$2,'Data by dwelling type'!$A$4:$A$40,'Data by dwelling type'!$N$4:$N$40))/LOOKUP(Detached!AD$2,'Data by dwelling type'!$A$4:$A$40,'Data by dwelling type'!$R$4:$R$40)</f>
        <v>186.51701381831805</v>
      </c>
      <c r="AE5" s="370">
        <f>(Detached!AE49*LOOKUP(Detached!AE$2,'Data by dwelling type'!$A$4:$A$40,'Data by dwelling type'!$P$4:$P$40)+Semidetached!AE50*LOOKUP(Semidetached!AE$2,'Data by dwelling type'!$A$4:$A$40,'Data by dwelling type'!$Q$4:$Q$40)+Flat!AE50*LOOKUP(Flat!AE$2,'Data by dwelling type'!$A$4:$A$40,'Data by dwelling type'!$N$4:$N$40))/LOOKUP(Detached!AE$2,'Data by dwelling type'!$A$4:$A$40,'Data by dwelling type'!$R$4:$R$40)</f>
        <v>84.799595150242482</v>
      </c>
      <c r="AF5" s="370">
        <f>(Detached!AF49*LOOKUP(Detached!AF$2,'Data by dwelling type'!$A$4:$A$40,'Data by dwelling type'!$P$4:$P$40)+Semidetached!AF50*LOOKUP(Semidetached!AF$2,'Data by dwelling type'!$A$4:$A$40,'Data by dwelling type'!$Q$4:$Q$40)+Flat!AF50*LOOKUP(Flat!AF$2,'Data by dwelling type'!$A$4:$A$40,'Data by dwelling type'!$N$4:$N$40))/LOOKUP(Detached!AF$2,'Data by dwelling type'!$A$4:$A$40,'Data by dwelling type'!$R$4:$R$40)</f>
        <v>134.13133267240912</v>
      </c>
      <c r="AG5" s="370">
        <f>(Detached!AG49*LOOKUP(Detached!AG$2,'Data by dwelling type'!$A$4:$A$40,'Data by dwelling type'!$P$4:$P$40)+Semidetached!AG50*LOOKUP(Semidetached!AG$2,'Data by dwelling type'!$A$4:$A$40,'Data by dwelling type'!$Q$4:$Q$40)+Flat!AG50*LOOKUP(Flat!AG$2,'Data by dwelling type'!$A$4:$A$40,'Data by dwelling type'!$N$4:$N$40))/LOOKUP(Detached!AG$2,'Data by dwelling type'!$A$4:$A$40,'Data by dwelling type'!$R$4:$R$40)</f>
        <v>187.71834563925725</v>
      </c>
      <c r="AH5" s="370">
        <f>(Detached!AH49*LOOKUP(Detached!AH$2,'Data by dwelling type'!$A$4:$A$40,'Data by dwelling type'!$P$4:$P$40)+Semidetached!AH50*LOOKUP(Semidetached!AH$2,'Data by dwelling type'!$A$4:$A$40,'Data by dwelling type'!$Q$4:$Q$40)+Flat!AH50*LOOKUP(Flat!AH$2,'Data by dwelling type'!$A$4:$A$40,'Data by dwelling type'!$N$4:$N$40))/LOOKUP(Detached!AH$2,'Data by dwelling type'!$A$4:$A$40,'Data by dwelling type'!$R$4:$R$40)</f>
        <v>165.34776106783085</v>
      </c>
      <c r="AI5" s="370">
        <f>(Detached!AI49*LOOKUP(Detached!AI$2,'Data by dwelling type'!$A$4:$A$40,'Data by dwelling type'!$P$4:$P$40)+Semidetached!AI50*LOOKUP(Semidetached!AI$2,'Data by dwelling type'!$A$4:$A$40,'Data by dwelling type'!$Q$4:$Q$40)+Flat!AI50*LOOKUP(Flat!AI$2,'Data by dwelling type'!$A$4:$A$40,'Data by dwelling type'!$N$4:$N$40))/LOOKUP(Detached!AI$2,'Data by dwelling type'!$A$4:$A$40,'Data by dwelling type'!$R$4:$R$40)</f>
        <v>120.12139727743329</v>
      </c>
      <c r="AJ5" s="370">
        <f>(Detached!AJ49*LOOKUP(Detached!AJ$2,'Data by dwelling type'!$A$4:$A$40,'Data by dwelling type'!$P$4:$P$40)+Semidetached!AJ50*LOOKUP(Semidetached!AJ$2,'Data by dwelling type'!$A$4:$A$40,'Data by dwelling type'!$Q$4:$Q$40)+Flat!AJ50*LOOKUP(Flat!AJ$2,'Data by dwelling type'!$A$4:$A$40,'Data by dwelling type'!$N$4:$N$40))/LOOKUP(Detached!AJ$2,'Data by dwelling type'!$A$4:$A$40,'Data by dwelling type'!$R$4:$R$40)</f>
        <v>153.03668126018445</v>
      </c>
      <c r="AK5" s="370">
        <f>(Detached!AK49*LOOKUP(Detached!AK$2,'Data by dwelling type'!$A$4:$A$40,'Data by dwelling type'!$P$4:$P$40)+Semidetached!AK50*LOOKUP(Semidetached!AK$2,'Data by dwelling type'!$A$4:$A$40,'Data by dwelling type'!$Q$4:$Q$40)+Flat!AK50*LOOKUP(Flat!AK$2,'Data by dwelling type'!$A$4:$A$40,'Data by dwelling type'!$N$4:$N$40))/LOOKUP(Detached!AK$2,'Data by dwelling type'!$A$4:$A$40,'Data by dwelling type'!$R$4:$R$40)</f>
        <v>114.05927557625546</v>
      </c>
      <c r="AL5" s="370">
        <f>(Detached!AL49*LOOKUP(Detached!AL$2,'Data by dwelling type'!$A$4:$A$40,'Data by dwelling type'!$P$4:$P$40)+Semidetached!AL50*LOOKUP(Semidetached!AL$2,'Data by dwelling type'!$A$4:$A$40,'Data by dwelling type'!$Q$4:$Q$40)+Flat!AL50*LOOKUP(Flat!AL$2,'Data by dwelling type'!$A$4:$A$40,'Data by dwelling type'!$N$4:$N$40))/LOOKUP(Detached!AL$2,'Data by dwelling type'!$A$4:$A$40,'Data by dwelling type'!$R$4:$R$40)</f>
        <v>136.78028072505785</v>
      </c>
      <c r="AM5" s="370">
        <f>(Detached!AM49*LOOKUP(Detached!AM$2,'Data by dwelling type'!$A$4:$A$40,'Data by dwelling type'!$P$4:$P$40)+Semidetached!AM50*LOOKUP(Semidetached!AM$2,'Data by dwelling type'!$A$4:$A$40,'Data by dwelling type'!$Q$4:$Q$40)+Flat!AM50*LOOKUP(Flat!AM$2,'Data by dwelling type'!$A$4:$A$40,'Data by dwelling type'!$N$4:$N$40))/LOOKUP(Detached!AM$2,'Data by dwelling type'!$A$4:$A$40,'Data by dwelling type'!$R$4:$R$40)</f>
        <v>140.72880306164123</v>
      </c>
      <c r="AN5" s="371">
        <f>(Detached!AN49*LOOKUP(Detached!AN$2,'Data by dwelling type'!$A$4:$A$40,'Data by dwelling type'!$P$4:$P$40)+Semidetached!AN50*LOOKUP(Semidetached!AN$2,'Data by dwelling type'!$A$4:$A$40,'Data by dwelling type'!$Q$4:$Q$40)+Flat!AN50*LOOKUP(Flat!AN$2,'Data by dwelling type'!$A$4:$A$40,'Data by dwelling type'!$N$4:$N$40))/LOOKUP(Detached!AN$2,'Data by dwelling type'!$A$4:$A$40,'Data by dwelling type'!$R$4:$R$40)</f>
        <v>140.7288030616412</v>
      </c>
    </row>
    <row r="6" spans="1:40">
      <c r="A6" s="407"/>
      <c r="B6" s="347" t="s">
        <v>5</v>
      </c>
      <c r="C6" s="367" t="s">
        <v>190</v>
      </c>
      <c r="D6" s="370">
        <f>(Detached!D50*LOOKUP(Detached!D$2,'Data by dwelling type'!$A$4:$A$40,'Data by dwelling type'!$P$4:$P$40)+Semidetached!D51*LOOKUP(Semidetached!D$2,'Data by dwelling type'!$A$4:$A$40,'Data by dwelling type'!$Q$4:$Q$40)+Flat!D51*LOOKUP(Flat!D$2,'Data by dwelling type'!$A$4:$A$40,'Data by dwelling type'!$N$4:$N$40))/LOOKUP(Detached!D$2,'Data by dwelling type'!$A$4:$A$40,'Data by dwelling type'!$R$4:$R$40)</f>
        <v>88.483017724076646</v>
      </c>
      <c r="E6" s="370">
        <f>(Detached!E50*LOOKUP(Detached!E$2,'Data by dwelling type'!$A$4:$A$40,'Data by dwelling type'!$P$4:$P$40)+Semidetached!E51*LOOKUP(Semidetached!E$2,'Data by dwelling type'!$A$4:$A$40,'Data by dwelling type'!$Q$4:$Q$40)+Flat!E51*LOOKUP(Flat!E$2,'Data by dwelling type'!$A$4:$A$40,'Data by dwelling type'!$N$4:$N$40))/LOOKUP(Detached!E$2,'Data by dwelling type'!$A$4:$A$40,'Data by dwelling type'!$R$4:$R$40)</f>
        <v>147.53298017756876</v>
      </c>
      <c r="F6" s="370">
        <f>(Detached!F50*LOOKUP(Detached!F$2,'Data by dwelling type'!$A$4:$A$40,'Data by dwelling type'!$P$4:$P$40)+Semidetached!F51*LOOKUP(Semidetached!F$2,'Data by dwelling type'!$A$4:$A$40,'Data by dwelling type'!$Q$4:$Q$40)+Flat!F51*LOOKUP(Flat!F$2,'Data by dwelling type'!$A$4:$A$40,'Data by dwelling type'!$N$4:$N$40))/LOOKUP(Detached!F$2,'Data by dwelling type'!$A$4:$A$40,'Data by dwelling type'!$R$4:$R$40)</f>
        <v>114.84747449819699</v>
      </c>
      <c r="G6" s="370">
        <f>(Detached!G50*LOOKUP(Detached!G$2,'Data by dwelling type'!$A$4:$A$40,'Data by dwelling type'!$P$4:$P$40)+Semidetached!G51*LOOKUP(Semidetached!G$2,'Data by dwelling type'!$A$4:$A$40,'Data by dwelling type'!$Q$4:$Q$40)+Flat!G51*LOOKUP(Flat!G$2,'Data by dwelling type'!$A$4:$A$40,'Data by dwelling type'!$N$4:$N$40))/LOOKUP(Detached!G$2,'Data by dwelling type'!$A$4:$A$40,'Data by dwelling type'!$R$4:$R$40)</f>
        <v>82.039972442285787</v>
      </c>
      <c r="H6" s="370">
        <f>(Detached!H50*LOOKUP(Detached!H$2,'Data by dwelling type'!$A$4:$A$40,'Data by dwelling type'!$P$4:$P$40)+Semidetached!H51*LOOKUP(Semidetached!H$2,'Data by dwelling type'!$A$4:$A$40,'Data by dwelling type'!$Q$4:$Q$40)+Flat!H51*LOOKUP(Flat!H$2,'Data by dwelling type'!$A$4:$A$40,'Data by dwelling type'!$N$4:$N$40))/LOOKUP(Detached!H$2,'Data by dwelling type'!$A$4:$A$40,'Data by dwelling type'!$R$4:$R$40)</f>
        <v>63.917093293797251</v>
      </c>
      <c r="I6" s="370">
        <f>(Detached!I50*LOOKUP(Detached!I$2,'Data by dwelling type'!$A$4:$A$40,'Data by dwelling type'!$P$4:$P$40)+Semidetached!I51*LOOKUP(Semidetached!I$2,'Data by dwelling type'!$A$4:$A$40,'Data by dwelling type'!$Q$4:$Q$40)+Flat!I51*LOOKUP(Flat!I$2,'Data by dwelling type'!$A$4:$A$40,'Data by dwelling type'!$N$4:$N$40))/LOOKUP(Detached!I$2,'Data by dwelling type'!$A$4:$A$40,'Data by dwelling type'!$R$4:$R$40)</f>
        <v>109.30646380094733</v>
      </c>
      <c r="J6" s="370">
        <f>(Detached!J50*LOOKUP(Detached!J$2,'Data by dwelling type'!$A$4:$A$40,'Data by dwelling type'!$P$4:$P$40)+Semidetached!J51*LOOKUP(Semidetached!J$2,'Data by dwelling type'!$A$4:$A$40,'Data by dwelling type'!$Q$4:$Q$40)+Flat!J51*LOOKUP(Flat!J$2,'Data by dwelling type'!$A$4:$A$40,'Data by dwelling type'!$N$4:$N$40))/LOOKUP(Detached!J$2,'Data by dwelling type'!$A$4:$A$40,'Data by dwelling type'!$R$4:$R$40)</f>
        <v>83.487783676771514</v>
      </c>
      <c r="K6" s="370">
        <f>(Detached!K50*LOOKUP(Detached!K$2,'Data by dwelling type'!$A$4:$A$40,'Data by dwelling type'!$P$4:$P$40)+Semidetached!K51*LOOKUP(Semidetached!K$2,'Data by dwelling type'!$A$4:$A$40,'Data by dwelling type'!$Q$4:$Q$40)+Flat!K51*LOOKUP(Flat!K$2,'Data by dwelling type'!$A$4:$A$40,'Data by dwelling type'!$N$4:$N$40))/LOOKUP(Detached!K$2,'Data by dwelling type'!$A$4:$A$40,'Data by dwelling type'!$R$4:$R$40)</f>
        <v>62.296717390061048</v>
      </c>
      <c r="L6" s="370">
        <f>(Detached!L50*LOOKUP(Detached!L$2,'Data by dwelling type'!$A$4:$A$40,'Data by dwelling type'!$P$4:$P$40)+Semidetached!L51*LOOKUP(Semidetached!L$2,'Data by dwelling type'!$A$4:$A$40,'Data by dwelling type'!$Q$4:$Q$40)+Flat!L51*LOOKUP(Flat!L$2,'Data by dwelling type'!$A$4:$A$40,'Data by dwelling type'!$N$4:$N$40))/LOOKUP(Detached!L$2,'Data by dwelling type'!$A$4:$A$40,'Data by dwelling type'!$R$4:$R$40)</f>
        <v>59.050909565526517</v>
      </c>
      <c r="M6" s="370">
        <f>(Detached!M50*LOOKUP(Detached!M$2,'Data by dwelling type'!$A$4:$A$40,'Data by dwelling type'!$P$4:$P$40)+Semidetached!M51*LOOKUP(Semidetached!M$2,'Data by dwelling type'!$A$4:$A$40,'Data by dwelling type'!$Q$4:$Q$40)+Flat!M51*LOOKUP(Flat!M$2,'Data by dwelling type'!$A$4:$A$40,'Data by dwelling type'!$N$4:$N$40))/LOOKUP(Detached!M$2,'Data by dwelling type'!$A$4:$A$40,'Data by dwelling type'!$R$4:$R$40)</f>
        <v>74.925307217244125</v>
      </c>
      <c r="N6" s="370">
        <f>(Detached!N50*LOOKUP(Detached!N$2,'Data by dwelling type'!$A$4:$A$40,'Data by dwelling type'!$P$4:$P$40)+Semidetached!N51*LOOKUP(Semidetached!N$2,'Data by dwelling type'!$A$4:$A$40,'Data by dwelling type'!$Q$4:$Q$40)+Flat!N51*LOOKUP(Flat!N$2,'Data by dwelling type'!$A$4:$A$40,'Data by dwelling type'!$N$4:$N$40))/LOOKUP(Detached!N$2,'Data by dwelling type'!$A$4:$A$40,'Data by dwelling type'!$R$4:$R$40)</f>
        <v>99.754009489930851</v>
      </c>
      <c r="O6" s="370">
        <f>(Detached!O50*LOOKUP(Detached!O$2,'Data by dwelling type'!$A$4:$A$40,'Data by dwelling type'!$P$4:$P$40)+Semidetached!O51*LOOKUP(Semidetached!O$2,'Data by dwelling type'!$A$4:$A$40,'Data by dwelling type'!$Q$4:$Q$40)+Flat!O51*LOOKUP(Flat!O$2,'Data by dwelling type'!$A$4:$A$40,'Data by dwelling type'!$N$4:$N$40))/LOOKUP(Detached!O$2,'Data by dwelling type'!$A$4:$A$40,'Data by dwelling type'!$R$4:$R$40)</f>
        <v>81.450726354057124</v>
      </c>
      <c r="P6" s="370">
        <f>(Detached!P50*LOOKUP(Detached!P$2,'Data by dwelling type'!$A$4:$A$40,'Data by dwelling type'!$P$4:$P$40)+Semidetached!P51*LOOKUP(Semidetached!P$2,'Data by dwelling type'!$A$4:$A$40,'Data by dwelling type'!$Q$4:$Q$40)+Flat!P51*LOOKUP(Flat!P$2,'Data by dwelling type'!$A$4:$A$40,'Data by dwelling type'!$N$4:$N$40))/LOOKUP(Detached!P$2,'Data by dwelling type'!$A$4:$A$40,'Data by dwelling type'!$R$4:$R$40)</f>
        <v>127.82717208481471</v>
      </c>
      <c r="Q6" s="370">
        <f>(Detached!Q50*LOOKUP(Detached!Q$2,'Data by dwelling type'!$A$4:$A$40,'Data by dwelling type'!$P$4:$P$40)+Semidetached!Q51*LOOKUP(Semidetached!Q$2,'Data by dwelling type'!$A$4:$A$40,'Data by dwelling type'!$Q$4:$Q$40)+Flat!Q51*LOOKUP(Flat!Q$2,'Data by dwelling type'!$A$4:$A$40,'Data by dwelling type'!$N$4:$N$40))/LOOKUP(Detached!Q$2,'Data by dwelling type'!$A$4:$A$40,'Data by dwelling type'!$R$4:$R$40)</f>
        <v>138.78061614445579</v>
      </c>
      <c r="R6" s="370">
        <f>(Detached!R50*LOOKUP(Detached!R$2,'Data by dwelling type'!$A$4:$A$40,'Data by dwelling type'!$P$4:$P$40)+Semidetached!R51*LOOKUP(Semidetached!R$2,'Data by dwelling type'!$A$4:$A$40,'Data by dwelling type'!$Q$4:$Q$40)+Flat!R51*LOOKUP(Flat!R$2,'Data by dwelling type'!$A$4:$A$40,'Data by dwelling type'!$N$4:$N$40))/LOOKUP(Detached!R$2,'Data by dwelling type'!$A$4:$A$40,'Data by dwelling type'!$R$4:$R$40)</f>
        <v>113.52829157950221</v>
      </c>
      <c r="S6" s="370">
        <f>(Detached!S50*LOOKUP(Detached!S$2,'Data by dwelling type'!$A$4:$A$40,'Data by dwelling type'!$P$4:$P$40)+Semidetached!S51*LOOKUP(Semidetached!S$2,'Data by dwelling type'!$A$4:$A$40,'Data by dwelling type'!$Q$4:$Q$40)+Flat!S51*LOOKUP(Flat!S$2,'Data by dwelling type'!$A$4:$A$40,'Data by dwelling type'!$N$4:$N$40))/LOOKUP(Detached!S$2,'Data by dwelling type'!$A$4:$A$40,'Data by dwelling type'!$R$4:$R$40)</f>
        <v>106.51640641125753</v>
      </c>
      <c r="T6" s="370">
        <f>(Detached!T50*LOOKUP(Detached!T$2,'Data by dwelling type'!$A$4:$A$40,'Data by dwelling type'!$P$4:$P$40)+Semidetached!T51*LOOKUP(Semidetached!T$2,'Data by dwelling type'!$A$4:$A$40,'Data by dwelling type'!$Q$4:$Q$40)+Flat!T51*LOOKUP(Flat!T$2,'Data by dwelling type'!$A$4:$A$40,'Data by dwelling type'!$N$4:$N$40))/LOOKUP(Detached!T$2,'Data by dwelling type'!$A$4:$A$40,'Data by dwelling type'!$R$4:$R$40)</f>
        <v>86.780099942611216</v>
      </c>
      <c r="U6" s="370">
        <f>(Detached!U50*LOOKUP(Detached!U$2,'Data by dwelling type'!$A$4:$A$40,'Data by dwelling type'!$P$4:$P$40)+Semidetached!U51*LOOKUP(Semidetached!U$2,'Data by dwelling type'!$A$4:$A$40,'Data by dwelling type'!$Q$4:$Q$40)+Flat!U51*LOOKUP(Flat!U$2,'Data by dwelling type'!$A$4:$A$40,'Data by dwelling type'!$N$4:$N$40))/LOOKUP(Detached!U$2,'Data by dwelling type'!$A$4:$A$40,'Data by dwelling type'!$R$4:$R$40)</f>
        <v>64.374633277194292</v>
      </c>
      <c r="V6" s="370">
        <f>(Detached!V50*LOOKUP(Detached!V$2,'Data by dwelling type'!$A$4:$A$40,'Data by dwelling type'!$P$4:$P$40)+Semidetached!V51*LOOKUP(Semidetached!V$2,'Data by dwelling type'!$A$4:$A$40,'Data by dwelling type'!$Q$4:$Q$40)+Flat!V51*LOOKUP(Flat!V$2,'Data by dwelling type'!$A$4:$A$40,'Data by dwelling type'!$N$4:$N$40))/LOOKUP(Detached!V$2,'Data by dwelling type'!$A$4:$A$40,'Data by dwelling type'!$R$4:$R$40)</f>
        <v>99.208330456047221</v>
      </c>
      <c r="W6" s="370">
        <f>(Detached!W50*LOOKUP(Detached!W$2,'Data by dwelling type'!$A$4:$A$40,'Data by dwelling type'!$P$4:$P$40)+Semidetached!W51*LOOKUP(Semidetached!W$2,'Data by dwelling type'!$A$4:$A$40,'Data by dwelling type'!$Q$4:$Q$40)+Flat!W51*LOOKUP(Flat!W$2,'Data by dwelling type'!$A$4:$A$40,'Data by dwelling type'!$N$4:$N$40))/LOOKUP(Detached!W$2,'Data by dwelling type'!$A$4:$A$40,'Data by dwelling type'!$R$4:$R$40)</f>
        <v>79.19164042440967</v>
      </c>
      <c r="X6" s="370">
        <f>(Detached!X50*LOOKUP(Detached!X$2,'Data by dwelling type'!$A$4:$A$40,'Data by dwelling type'!$P$4:$P$40)+Semidetached!X51*LOOKUP(Semidetached!X$2,'Data by dwelling type'!$A$4:$A$40,'Data by dwelling type'!$Q$4:$Q$40)+Flat!X51*LOOKUP(Flat!X$2,'Data by dwelling type'!$A$4:$A$40,'Data by dwelling type'!$N$4:$N$40))/LOOKUP(Detached!X$2,'Data by dwelling type'!$A$4:$A$40,'Data by dwelling type'!$R$4:$R$40)</f>
        <v>92.947575681775163</v>
      </c>
      <c r="Y6" s="370">
        <f>(Detached!Y50*LOOKUP(Detached!Y$2,'Data by dwelling type'!$A$4:$A$40,'Data by dwelling type'!$P$4:$P$40)+Semidetached!Y51*LOOKUP(Semidetached!Y$2,'Data by dwelling type'!$A$4:$A$40,'Data by dwelling type'!$Q$4:$Q$40)+Flat!Y51*LOOKUP(Flat!Y$2,'Data by dwelling type'!$A$4:$A$40,'Data by dwelling type'!$N$4:$N$40))/LOOKUP(Detached!Y$2,'Data by dwelling type'!$A$4:$A$40,'Data by dwelling type'!$R$4:$R$40)</f>
        <v>35.180491372022374</v>
      </c>
      <c r="Z6" s="370">
        <f>(Detached!Z50*LOOKUP(Detached!Z$2,'Data by dwelling type'!$A$4:$A$40,'Data by dwelling type'!$P$4:$P$40)+Semidetached!Z51*LOOKUP(Semidetached!Z$2,'Data by dwelling type'!$A$4:$A$40,'Data by dwelling type'!$Q$4:$Q$40)+Flat!Z51*LOOKUP(Flat!Z$2,'Data by dwelling type'!$A$4:$A$40,'Data by dwelling type'!$N$4:$N$40))/LOOKUP(Detached!Z$2,'Data by dwelling type'!$A$4:$A$40,'Data by dwelling type'!$R$4:$R$40)</f>
        <v>85.510151813619416</v>
      </c>
      <c r="AA6" s="370">
        <f>(Detached!AA50*LOOKUP(Detached!AA$2,'Data by dwelling type'!$A$4:$A$40,'Data by dwelling type'!$P$4:$P$40)+Semidetached!AA51*LOOKUP(Semidetached!AA$2,'Data by dwelling type'!$A$4:$A$40,'Data by dwelling type'!$Q$4:$Q$40)+Flat!AA51*LOOKUP(Flat!AA$2,'Data by dwelling type'!$A$4:$A$40,'Data by dwelling type'!$N$4:$N$40))/LOOKUP(Detached!AA$2,'Data by dwelling type'!$A$4:$A$40,'Data by dwelling type'!$R$4:$R$40)</f>
        <v>83.294110432799798</v>
      </c>
      <c r="AB6" s="370">
        <f>(Detached!AB50*LOOKUP(Detached!AB$2,'Data by dwelling type'!$A$4:$A$40,'Data by dwelling type'!$P$4:$P$40)+Semidetached!AB51*LOOKUP(Semidetached!AB$2,'Data by dwelling type'!$A$4:$A$40,'Data by dwelling type'!$Q$4:$Q$40)+Flat!AB51*LOOKUP(Flat!AB$2,'Data by dwelling type'!$A$4:$A$40,'Data by dwelling type'!$N$4:$N$40))/LOOKUP(Detached!AB$2,'Data by dwelling type'!$A$4:$A$40,'Data by dwelling type'!$R$4:$R$40)</f>
        <v>113.05906907536878</v>
      </c>
      <c r="AC6" s="370">
        <f>(Detached!AC50*LOOKUP(Detached!AC$2,'Data by dwelling type'!$A$4:$A$40,'Data by dwelling type'!$P$4:$P$40)+Semidetached!AC51*LOOKUP(Semidetached!AC$2,'Data by dwelling type'!$A$4:$A$40,'Data by dwelling type'!$Q$4:$Q$40)+Flat!AC51*LOOKUP(Flat!AC$2,'Data by dwelling type'!$A$4:$A$40,'Data by dwelling type'!$N$4:$N$40))/LOOKUP(Detached!AC$2,'Data by dwelling type'!$A$4:$A$40,'Data by dwelling type'!$R$4:$R$40)</f>
        <v>77.62350207958157</v>
      </c>
      <c r="AD6" s="370">
        <f>(Detached!AD50*LOOKUP(Detached!AD$2,'Data by dwelling type'!$A$4:$A$40,'Data by dwelling type'!$P$4:$P$40)+Semidetached!AD51*LOOKUP(Semidetached!AD$2,'Data by dwelling type'!$A$4:$A$40,'Data by dwelling type'!$Q$4:$Q$40)+Flat!AD51*LOOKUP(Flat!AD$2,'Data by dwelling type'!$A$4:$A$40,'Data by dwelling type'!$N$4:$N$40))/LOOKUP(Detached!AD$2,'Data by dwelling type'!$A$4:$A$40,'Data by dwelling type'!$R$4:$R$40)</f>
        <v>160.67769816789601</v>
      </c>
      <c r="AE6" s="370">
        <f>(Detached!AE50*LOOKUP(Detached!AE$2,'Data by dwelling type'!$A$4:$A$40,'Data by dwelling type'!$P$4:$P$40)+Semidetached!AE51*LOOKUP(Semidetached!AE$2,'Data by dwelling type'!$A$4:$A$40,'Data by dwelling type'!$Q$4:$Q$40)+Flat!AE51*LOOKUP(Flat!AE$2,'Data by dwelling type'!$A$4:$A$40,'Data by dwelling type'!$N$4:$N$40))/LOOKUP(Detached!AE$2,'Data by dwelling type'!$A$4:$A$40,'Data by dwelling type'!$R$4:$R$40)</f>
        <v>83.538838626489152</v>
      </c>
      <c r="AF6" s="370">
        <f>(Detached!AF50*LOOKUP(Detached!AF$2,'Data by dwelling type'!$A$4:$A$40,'Data by dwelling type'!$P$4:$P$40)+Semidetached!AF51*LOOKUP(Semidetached!AF$2,'Data by dwelling type'!$A$4:$A$40,'Data by dwelling type'!$Q$4:$Q$40)+Flat!AF51*LOOKUP(Flat!AF$2,'Data by dwelling type'!$A$4:$A$40,'Data by dwelling type'!$N$4:$N$40))/LOOKUP(Detached!AF$2,'Data by dwelling type'!$A$4:$A$40,'Data by dwelling type'!$R$4:$R$40)</f>
        <v>101.91081449832093</v>
      </c>
      <c r="AG6" s="370">
        <f>(Detached!AG50*LOOKUP(Detached!AG$2,'Data by dwelling type'!$A$4:$A$40,'Data by dwelling type'!$P$4:$P$40)+Semidetached!AG51*LOOKUP(Semidetached!AG$2,'Data by dwelling type'!$A$4:$A$40,'Data by dwelling type'!$Q$4:$Q$40)+Flat!AG51*LOOKUP(Flat!AG$2,'Data by dwelling type'!$A$4:$A$40,'Data by dwelling type'!$N$4:$N$40))/LOOKUP(Detached!AG$2,'Data by dwelling type'!$A$4:$A$40,'Data by dwelling type'!$R$4:$R$40)</f>
        <v>159.91598947532393</v>
      </c>
      <c r="AH6" s="370">
        <f>(Detached!AH50*LOOKUP(Detached!AH$2,'Data by dwelling type'!$A$4:$A$40,'Data by dwelling type'!$P$4:$P$40)+Semidetached!AH51*LOOKUP(Semidetached!AH$2,'Data by dwelling type'!$A$4:$A$40,'Data by dwelling type'!$Q$4:$Q$40)+Flat!AH51*LOOKUP(Flat!AH$2,'Data by dwelling type'!$A$4:$A$40,'Data by dwelling type'!$N$4:$N$40))/LOOKUP(Detached!AH$2,'Data by dwelling type'!$A$4:$A$40,'Data by dwelling type'!$R$4:$R$40)</f>
        <v>100.09531761353149</v>
      </c>
      <c r="AI6" s="370">
        <f>(Detached!AI50*LOOKUP(Detached!AI$2,'Data by dwelling type'!$A$4:$A$40,'Data by dwelling type'!$P$4:$P$40)+Semidetached!AI51*LOOKUP(Semidetached!AI$2,'Data by dwelling type'!$A$4:$A$40,'Data by dwelling type'!$Q$4:$Q$40)+Flat!AI51*LOOKUP(Flat!AI$2,'Data by dwelling type'!$A$4:$A$40,'Data by dwelling type'!$N$4:$N$40))/LOOKUP(Detached!AI$2,'Data by dwelling type'!$A$4:$A$40,'Data by dwelling type'!$R$4:$R$40)</f>
        <v>117.33854666652466</v>
      </c>
      <c r="AJ6" s="370">
        <f>(Detached!AJ50*LOOKUP(Detached!AJ$2,'Data by dwelling type'!$A$4:$A$40,'Data by dwelling type'!$P$4:$P$40)+Semidetached!AJ51*LOOKUP(Semidetached!AJ$2,'Data by dwelling type'!$A$4:$A$40,'Data by dwelling type'!$Q$4:$Q$40)+Flat!AJ51*LOOKUP(Flat!AJ$2,'Data by dwelling type'!$A$4:$A$40,'Data by dwelling type'!$N$4:$N$40))/LOOKUP(Detached!AJ$2,'Data by dwelling type'!$A$4:$A$40,'Data by dwelling type'!$R$4:$R$40)</f>
        <v>134.42932054039619</v>
      </c>
      <c r="AK6" s="370">
        <f>(Detached!AK50*LOOKUP(Detached!AK$2,'Data by dwelling type'!$A$4:$A$40,'Data by dwelling type'!$P$4:$P$40)+Semidetached!AK51*LOOKUP(Semidetached!AK$2,'Data by dwelling type'!$A$4:$A$40,'Data by dwelling type'!$Q$4:$Q$40)+Flat!AK51*LOOKUP(Flat!AK$2,'Data by dwelling type'!$A$4:$A$40,'Data by dwelling type'!$N$4:$N$40))/LOOKUP(Detached!AK$2,'Data by dwelling type'!$A$4:$A$40,'Data by dwelling type'!$R$4:$R$40)</f>
        <v>99.442518582733072</v>
      </c>
      <c r="AL6" s="370">
        <f>(Detached!AL50*LOOKUP(Detached!AL$2,'Data by dwelling type'!$A$4:$A$40,'Data by dwelling type'!$P$4:$P$40)+Semidetached!AL51*LOOKUP(Semidetached!AL$2,'Data by dwelling type'!$A$4:$A$40,'Data by dwelling type'!$Q$4:$Q$40)+Flat!AL51*LOOKUP(Flat!AL$2,'Data by dwelling type'!$A$4:$A$40,'Data by dwelling type'!$N$4:$N$40))/LOOKUP(Detached!AL$2,'Data by dwelling type'!$A$4:$A$40,'Data by dwelling type'!$R$4:$R$40)</f>
        <v>118.87396481014318</v>
      </c>
      <c r="AM6" s="370">
        <f>(Detached!AM50*LOOKUP(Detached!AM$2,'Data by dwelling type'!$A$4:$A$40,'Data by dwelling type'!$P$4:$P$40)+Semidetached!AM51*LOOKUP(Semidetached!AM$2,'Data by dwelling type'!$A$4:$A$40,'Data by dwelling type'!$Q$4:$Q$40)+Flat!AM51*LOOKUP(Flat!AM$2,'Data by dwelling type'!$A$4:$A$40,'Data by dwelling type'!$N$4:$N$40))/LOOKUP(Detached!AM$2,'Data by dwelling type'!$A$4:$A$40,'Data by dwelling type'!$R$4:$R$40)</f>
        <v>123.61792754690096</v>
      </c>
      <c r="AN6" s="371">
        <f>(Detached!AN50*LOOKUP(Detached!AN$2,'Data by dwelling type'!$A$4:$A$40,'Data by dwelling type'!$P$4:$P$40)+Semidetached!AN51*LOOKUP(Semidetached!AN$2,'Data by dwelling type'!$A$4:$A$40,'Data by dwelling type'!$Q$4:$Q$40)+Flat!AN51*LOOKUP(Flat!AN$2,'Data by dwelling type'!$A$4:$A$40,'Data by dwelling type'!$N$4:$N$40))/LOOKUP(Detached!AN$2,'Data by dwelling type'!$A$4:$A$40,'Data by dwelling type'!$R$4:$R$40)</f>
        <v>123.61792754690094</v>
      </c>
    </row>
    <row r="7" spans="1:40">
      <c r="A7" s="407"/>
      <c r="B7" s="347" t="s">
        <v>6</v>
      </c>
      <c r="C7" s="367" t="s">
        <v>190</v>
      </c>
      <c r="D7" s="370">
        <f>(Detached!D51*LOOKUP(Detached!D$2,'Data by dwelling type'!$A$4:$A$40,'Data by dwelling type'!$P$4:$P$40)+Semidetached!D52*LOOKUP(Semidetached!D$2,'Data by dwelling type'!$A$4:$A$40,'Data by dwelling type'!$Q$4:$Q$40)+Flat!D52*LOOKUP(Flat!D$2,'Data by dwelling type'!$A$4:$A$40,'Data by dwelling type'!$N$4:$N$40))/LOOKUP(Detached!D$2,'Data by dwelling type'!$A$4:$A$40,'Data by dwelling type'!$R$4:$R$40)</f>
        <v>75.479207728146449</v>
      </c>
      <c r="E7" s="370">
        <f>(Detached!E51*LOOKUP(Detached!E$2,'Data by dwelling type'!$A$4:$A$40,'Data by dwelling type'!$P$4:$P$40)+Semidetached!E52*LOOKUP(Semidetached!E$2,'Data by dwelling type'!$A$4:$A$40,'Data by dwelling type'!$Q$4:$Q$40)+Flat!E52*LOOKUP(Flat!E$2,'Data by dwelling type'!$A$4:$A$40,'Data by dwelling type'!$N$4:$N$40))/LOOKUP(Detached!E$2,'Data by dwelling type'!$A$4:$A$40,'Data by dwelling type'!$R$4:$R$40)</f>
        <v>147.53298017756876</v>
      </c>
      <c r="F7" s="370">
        <f>(Detached!F51*LOOKUP(Detached!F$2,'Data by dwelling type'!$A$4:$A$40,'Data by dwelling type'!$P$4:$P$40)+Semidetached!F52*LOOKUP(Semidetached!F$2,'Data by dwelling type'!$A$4:$A$40,'Data by dwelling type'!$Q$4:$Q$40)+Flat!F52*LOOKUP(Flat!F$2,'Data by dwelling type'!$A$4:$A$40,'Data by dwelling type'!$N$4:$N$40))/LOOKUP(Detached!F$2,'Data by dwelling type'!$A$4:$A$40,'Data by dwelling type'!$R$4:$R$40)</f>
        <v>93.323047720067876</v>
      </c>
      <c r="G7" s="370">
        <f>(Detached!G51*LOOKUP(Detached!G$2,'Data by dwelling type'!$A$4:$A$40,'Data by dwelling type'!$P$4:$P$40)+Semidetached!G52*LOOKUP(Semidetached!G$2,'Data by dwelling type'!$A$4:$A$40,'Data by dwelling type'!$Q$4:$Q$40)+Flat!G52*LOOKUP(Flat!G$2,'Data by dwelling type'!$A$4:$A$40,'Data by dwelling type'!$N$4:$N$40))/LOOKUP(Detached!G$2,'Data by dwelling type'!$A$4:$A$40,'Data by dwelling type'!$R$4:$R$40)</f>
        <v>70.002916338514453</v>
      </c>
      <c r="H7" s="370">
        <f>(Detached!H51*LOOKUP(Detached!H$2,'Data by dwelling type'!$A$4:$A$40,'Data by dwelling type'!$P$4:$P$40)+Semidetached!H52*LOOKUP(Semidetached!H$2,'Data by dwelling type'!$A$4:$A$40,'Data by dwelling type'!$Q$4:$Q$40)+Flat!H52*LOOKUP(Flat!H$2,'Data by dwelling type'!$A$4:$A$40,'Data by dwelling type'!$N$4:$N$40))/LOOKUP(Detached!H$2,'Data by dwelling type'!$A$4:$A$40,'Data by dwelling type'!$R$4:$R$40)</f>
        <v>56.139534639844385</v>
      </c>
      <c r="I7" s="370">
        <f>(Detached!I51*LOOKUP(Detached!I$2,'Data by dwelling type'!$A$4:$A$40,'Data by dwelling type'!$P$4:$P$40)+Semidetached!I52*LOOKUP(Semidetached!I$2,'Data by dwelling type'!$A$4:$A$40,'Data by dwelling type'!$Q$4:$Q$40)+Flat!I52*LOOKUP(Flat!I$2,'Data by dwelling type'!$A$4:$A$40,'Data by dwelling type'!$N$4:$N$40))/LOOKUP(Detached!I$2,'Data by dwelling type'!$A$4:$A$40,'Data by dwelling type'!$R$4:$R$40)</f>
        <v>83.72379137465856</v>
      </c>
      <c r="J7" s="370">
        <f>(Detached!J51*LOOKUP(Detached!J$2,'Data by dwelling type'!$A$4:$A$40,'Data by dwelling type'!$P$4:$P$40)+Semidetached!J52*LOOKUP(Semidetached!J$2,'Data by dwelling type'!$A$4:$A$40,'Data by dwelling type'!$Q$4:$Q$40)+Flat!J52*LOOKUP(Flat!J$2,'Data by dwelling type'!$A$4:$A$40,'Data by dwelling type'!$N$4:$N$40))/LOOKUP(Detached!J$2,'Data by dwelling type'!$A$4:$A$40,'Data by dwelling type'!$R$4:$R$40)</f>
        <v>49.17325408324001</v>
      </c>
      <c r="K7" s="370">
        <f>(Detached!K51*LOOKUP(Detached!K$2,'Data by dwelling type'!$A$4:$A$40,'Data by dwelling type'!$P$4:$P$40)+Semidetached!K52*LOOKUP(Semidetached!K$2,'Data by dwelling type'!$A$4:$A$40,'Data by dwelling type'!$Q$4:$Q$40)+Flat!K52*LOOKUP(Flat!K$2,'Data by dwelling type'!$A$4:$A$40,'Data by dwelling type'!$N$4:$N$40))/LOOKUP(Detached!K$2,'Data by dwelling type'!$A$4:$A$40,'Data by dwelling type'!$R$4:$R$40)</f>
        <v>62.296717390061048</v>
      </c>
      <c r="L7" s="370">
        <f>(Detached!L51*LOOKUP(Detached!L$2,'Data by dwelling type'!$A$4:$A$40,'Data by dwelling type'!$P$4:$P$40)+Semidetached!L52*LOOKUP(Semidetached!L$2,'Data by dwelling type'!$A$4:$A$40,'Data by dwelling type'!$Q$4:$Q$40)+Flat!L52*LOOKUP(Flat!L$2,'Data by dwelling type'!$A$4:$A$40,'Data by dwelling type'!$N$4:$N$40))/LOOKUP(Detached!L$2,'Data by dwelling type'!$A$4:$A$40,'Data by dwelling type'!$R$4:$R$40)</f>
        <v>52.265964523789847</v>
      </c>
      <c r="M7" s="370">
        <f>(Detached!M51*LOOKUP(Detached!M$2,'Data by dwelling type'!$A$4:$A$40,'Data by dwelling type'!$P$4:$P$40)+Semidetached!M52*LOOKUP(Semidetached!M$2,'Data by dwelling type'!$A$4:$A$40,'Data by dwelling type'!$Q$4:$Q$40)+Flat!M52*LOOKUP(Flat!M$2,'Data by dwelling type'!$A$4:$A$40,'Data by dwelling type'!$N$4:$N$40))/LOOKUP(Detached!M$2,'Data by dwelling type'!$A$4:$A$40,'Data by dwelling type'!$R$4:$R$40)</f>
        <v>74.925307217244125</v>
      </c>
      <c r="N7" s="370">
        <f>(Detached!N51*LOOKUP(Detached!N$2,'Data by dwelling type'!$A$4:$A$40,'Data by dwelling type'!$P$4:$P$40)+Semidetached!N52*LOOKUP(Semidetached!N$2,'Data by dwelling type'!$A$4:$A$40,'Data by dwelling type'!$Q$4:$Q$40)+Flat!N52*LOOKUP(Flat!N$2,'Data by dwelling type'!$A$4:$A$40,'Data by dwelling type'!$N$4:$N$40))/LOOKUP(Detached!N$2,'Data by dwelling type'!$A$4:$A$40,'Data by dwelling type'!$R$4:$R$40)</f>
        <v>98.62621452041337</v>
      </c>
      <c r="O7" s="370">
        <f>(Detached!O51*LOOKUP(Detached!O$2,'Data by dwelling type'!$A$4:$A$40,'Data by dwelling type'!$P$4:$P$40)+Semidetached!O52*LOOKUP(Semidetached!O$2,'Data by dwelling type'!$A$4:$A$40,'Data by dwelling type'!$Q$4:$Q$40)+Flat!O52*LOOKUP(Flat!O$2,'Data by dwelling type'!$A$4:$A$40,'Data by dwelling type'!$N$4:$N$40))/LOOKUP(Detached!O$2,'Data by dwelling type'!$A$4:$A$40,'Data by dwelling type'!$R$4:$R$40)</f>
        <v>48.140075729472692</v>
      </c>
      <c r="P7" s="370">
        <f>(Detached!P51*LOOKUP(Detached!P$2,'Data by dwelling type'!$A$4:$A$40,'Data by dwelling type'!$P$4:$P$40)+Semidetached!P52*LOOKUP(Semidetached!P$2,'Data by dwelling type'!$A$4:$A$40,'Data by dwelling type'!$Q$4:$Q$40)+Flat!P52*LOOKUP(Flat!P$2,'Data by dwelling type'!$A$4:$A$40,'Data by dwelling type'!$N$4:$N$40))/LOOKUP(Detached!P$2,'Data by dwelling type'!$A$4:$A$40,'Data by dwelling type'!$R$4:$R$40)</f>
        <v>127.82717208481471</v>
      </c>
      <c r="Q7" s="370">
        <f>(Detached!Q51*LOOKUP(Detached!Q$2,'Data by dwelling type'!$A$4:$A$40,'Data by dwelling type'!$P$4:$P$40)+Semidetached!Q52*LOOKUP(Semidetached!Q$2,'Data by dwelling type'!$A$4:$A$40,'Data by dwelling type'!$Q$4:$Q$40)+Flat!Q52*LOOKUP(Flat!Q$2,'Data by dwelling type'!$A$4:$A$40,'Data by dwelling type'!$N$4:$N$40))/LOOKUP(Detached!Q$2,'Data by dwelling type'!$A$4:$A$40,'Data by dwelling type'!$R$4:$R$40)</f>
        <v>100.77685737413948</v>
      </c>
      <c r="R7" s="370">
        <f>(Detached!R51*LOOKUP(Detached!R$2,'Data by dwelling type'!$A$4:$A$40,'Data by dwelling type'!$P$4:$P$40)+Semidetached!R52*LOOKUP(Semidetached!R$2,'Data by dwelling type'!$A$4:$A$40,'Data by dwelling type'!$Q$4:$Q$40)+Flat!R52*LOOKUP(Flat!R$2,'Data by dwelling type'!$A$4:$A$40,'Data by dwelling type'!$N$4:$N$40))/LOOKUP(Detached!R$2,'Data by dwelling type'!$A$4:$A$40,'Data by dwelling type'!$R$4:$R$40)</f>
        <v>113.52829157950221</v>
      </c>
      <c r="S7" s="370">
        <f>(Detached!S51*LOOKUP(Detached!S$2,'Data by dwelling type'!$A$4:$A$40,'Data by dwelling type'!$P$4:$P$40)+Semidetached!S52*LOOKUP(Semidetached!S$2,'Data by dwelling type'!$A$4:$A$40,'Data by dwelling type'!$Q$4:$Q$40)+Flat!S52*LOOKUP(Flat!S$2,'Data by dwelling type'!$A$4:$A$40,'Data by dwelling type'!$N$4:$N$40))/LOOKUP(Detached!S$2,'Data by dwelling type'!$A$4:$A$40,'Data by dwelling type'!$R$4:$R$40)</f>
        <v>92.030265834152388</v>
      </c>
      <c r="T7" s="370">
        <f>(Detached!T51*LOOKUP(Detached!T$2,'Data by dwelling type'!$A$4:$A$40,'Data by dwelling type'!$P$4:$P$40)+Semidetached!T52*LOOKUP(Semidetached!T$2,'Data by dwelling type'!$A$4:$A$40,'Data by dwelling type'!$Q$4:$Q$40)+Flat!T52*LOOKUP(Flat!T$2,'Data by dwelling type'!$A$4:$A$40,'Data by dwelling type'!$N$4:$N$40))/LOOKUP(Detached!T$2,'Data by dwelling type'!$A$4:$A$40,'Data by dwelling type'!$R$4:$R$40)</f>
        <v>85.776080275372721</v>
      </c>
      <c r="U7" s="370">
        <f>(Detached!U51*LOOKUP(Detached!U$2,'Data by dwelling type'!$A$4:$A$40,'Data by dwelling type'!$P$4:$P$40)+Semidetached!U52*LOOKUP(Semidetached!U$2,'Data by dwelling type'!$A$4:$A$40,'Data by dwelling type'!$Q$4:$Q$40)+Flat!U52*LOOKUP(Flat!U$2,'Data by dwelling type'!$A$4:$A$40,'Data by dwelling type'!$N$4:$N$40))/LOOKUP(Detached!U$2,'Data by dwelling type'!$A$4:$A$40,'Data by dwelling type'!$R$4:$R$40)</f>
        <v>59.450506975386588</v>
      </c>
      <c r="V7" s="370">
        <f>(Detached!V51*LOOKUP(Detached!V$2,'Data by dwelling type'!$A$4:$A$40,'Data by dwelling type'!$P$4:$P$40)+Semidetached!V52*LOOKUP(Semidetached!V$2,'Data by dwelling type'!$A$4:$A$40,'Data by dwelling type'!$Q$4:$Q$40)+Flat!V52*LOOKUP(Flat!V$2,'Data by dwelling type'!$A$4:$A$40,'Data by dwelling type'!$N$4:$N$40))/LOOKUP(Detached!V$2,'Data by dwelling type'!$A$4:$A$40,'Data by dwelling type'!$R$4:$R$40)</f>
        <v>99.208330456047221</v>
      </c>
      <c r="W7" s="370">
        <f>(Detached!W51*LOOKUP(Detached!W$2,'Data by dwelling type'!$A$4:$A$40,'Data by dwelling type'!$P$4:$P$40)+Semidetached!W52*LOOKUP(Semidetached!W$2,'Data by dwelling type'!$A$4:$A$40,'Data by dwelling type'!$Q$4:$Q$40)+Flat!W52*LOOKUP(Flat!W$2,'Data by dwelling type'!$A$4:$A$40,'Data by dwelling type'!$N$4:$N$40))/LOOKUP(Detached!W$2,'Data by dwelling type'!$A$4:$A$40,'Data by dwelling type'!$R$4:$R$40)</f>
        <v>67.882993916320899</v>
      </c>
      <c r="X7" s="370">
        <f>(Detached!X51*LOOKUP(Detached!X$2,'Data by dwelling type'!$A$4:$A$40,'Data by dwelling type'!$P$4:$P$40)+Semidetached!X52*LOOKUP(Semidetached!X$2,'Data by dwelling type'!$A$4:$A$40,'Data by dwelling type'!$Q$4:$Q$40)+Flat!X52*LOOKUP(Flat!X$2,'Data by dwelling type'!$A$4:$A$40,'Data by dwelling type'!$N$4:$N$40))/LOOKUP(Detached!X$2,'Data by dwelling type'!$A$4:$A$40,'Data by dwelling type'!$R$4:$R$40)</f>
        <v>91.822225102470654</v>
      </c>
      <c r="Y7" s="370">
        <f>(Detached!Y51*LOOKUP(Detached!Y$2,'Data by dwelling type'!$A$4:$A$40,'Data by dwelling type'!$P$4:$P$40)+Semidetached!Y52*LOOKUP(Semidetached!Y$2,'Data by dwelling type'!$A$4:$A$40,'Data by dwelling type'!$Q$4:$Q$40)+Flat!Y52*LOOKUP(Flat!Y$2,'Data by dwelling type'!$A$4:$A$40,'Data by dwelling type'!$N$4:$N$40))/LOOKUP(Detached!Y$2,'Data by dwelling type'!$A$4:$A$40,'Data by dwelling type'!$R$4:$R$40)</f>
        <v>34.535921283586426</v>
      </c>
      <c r="Z7" s="370">
        <f>(Detached!Z51*LOOKUP(Detached!Z$2,'Data by dwelling type'!$A$4:$A$40,'Data by dwelling type'!$P$4:$P$40)+Semidetached!Z52*LOOKUP(Semidetached!Z$2,'Data by dwelling type'!$A$4:$A$40,'Data by dwelling type'!$Q$4:$Q$40)+Flat!Z52*LOOKUP(Flat!Z$2,'Data by dwelling type'!$A$4:$A$40,'Data by dwelling type'!$N$4:$N$40))/LOOKUP(Detached!Z$2,'Data by dwelling type'!$A$4:$A$40,'Data by dwelling type'!$R$4:$R$40)</f>
        <v>76.787991563121793</v>
      </c>
      <c r="AA7" s="370">
        <f>(Detached!AA51*LOOKUP(Detached!AA$2,'Data by dwelling type'!$A$4:$A$40,'Data by dwelling type'!$P$4:$P$40)+Semidetached!AA52*LOOKUP(Semidetached!AA$2,'Data by dwelling type'!$A$4:$A$40,'Data by dwelling type'!$Q$4:$Q$40)+Flat!AA52*LOOKUP(Flat!AA$2,'Data by dwelling type'!$A$4:$A$40,'Data by dwelling type'!$N$4:$N$40))/LOOKUP(Detached!AA$2,'Data by dwelling type'!$A$4:$A$40,'Data by dwelling type'!$R$4:$R$40)</f>
        <v>75.417239341853701</v>
      </c>
      <c r="AB7" s="370">
        <f>(Detached!AB51*LOOKUP(Detached!AB$2,'Data by dwelling type'!$A$4:$A$40,'Data by dwelling type'!$P$4:$P$40)+Semidetached!AB52*LOOKUP(Semidetached!AB$2,'Data by dwelling type'!$A$4:$A$40,'Data by dwelling type'!$Q$4:$Q$40)+Flat!AB52*LOOKUP(Flat!AB$2,'Data by dwelling type'!$A$4:$A$40,'Data by dwelling type'!$N$4:$N$40))/LOOKUP(Detached!AB$2,'Data by dwelling type'!$A$4:$A$40,'Data by dwelling type'!$R$4:$R$40)</f>
        <v>113.05906907536878</v>
      </c>
      <c r="AC7" s="370">
        <f>(Detached!AC51*LOOKUP(Detached!AC$2,'Data by dwelling type'!$A$4:$A$40,'Data by dwelling type'!$P$4:$P$40)+Semidetached!AC52*LOOKUP(Semidetached!AC$2,'Data by dwelling type'!$A$4:$A$40,'Data by dwelling type'!$Q$4:$Q$40)+Flat!AC52*LOOKUP(Flat!AC$2,'Data by dwelling type'!$A$4:$A$40,'Data by dwelling type'!$N$4:$N$40))/LOOKUP(Detached!AC$2,'Data by dwelling type'!$A$4:$A$40,'Data by dwelling type'!$R$4:$R$40)</f>
        <v>71.999724435787542</v>
      </c>
      <c r="AD7" s="370">
        <f>(Detached!AD51*LOOKUP(Detached!AD$2,'Data by dwelling type'!$A$4:$A$40,'Data by dwelling type'!$P$4:$P$40)+Semidetached!AD52*LOOKUP(Semidetached!AD$2,'Data by dwelling type'!$A$4:$A$40,'Data by dwelling type'!$Q$4:$Q$40)+Flat!AD52*LOOKUP(Flat!AD$2,'Data by dwelling type'!$A$4:$A$40,'Data by dwelling type'!$N$4:$N$40))/LOOKUP(Detached!AD$2,'Data by dwelling type'!$A$4:$A$40,'Data by dwelling type'!$R$4:$R$40)</f>
        <v>160.67769816789601</v>
      </c>
      <c r="AE7" s="370">
        <f>(Detached!AE51*LOOKUP(Detached!AE$2,'Data by dwelling type'!$A$4:$A$40,'Data by dwelling type'!$P$4:$P$40)+Semidetached!AE52*LOOKUP(Semidetached!AE$2,'Data by dwelling type'!$A$4:$A$40,'Data by dwelling type'!$Q$4:$Q$40)+Flat!AE52*LOOKUP(Flat!AE$2,'Data by dwelling type'!$A$4:$A$40,'Data by dwelling type'!$N$4:$N$40))/LOOKUP(Detached!AE$2,'Data by dwelling type'!$A$4:$A$40,'Data by dwelling type'!$R$4:$R$40)</f>
        <v>75.773762826211225</v>
      </c>
      <c r="AF7" s="370">
        <f>(Detached!AF51*LOOKUP(Detached!AF$2,'Data by dwelling type'!$A$4:$A$40,'Data by dwelling type'!$P$4:$P$40)+Semidetached!AF52*LOOKUP(Semidetached!AF$2,'Data by dwelling type'!$A$4:$A$40,'Data by dwelling type'!$Q$4:$Q$40)+Flat!AF52*LOOKUP(Flat!AF$2,'Data by dwelling type'!$A$4:$A$40,'Data by dwelling type'!$N$4:$N$40))/LOOKUP(Detached!AF$2,'Data by dwelling type'!$A$4:$A$40,'Data by dwelling type'!$R$4:$R$40)</f>
        <v>75.562585075658774</v>
      </c>
      <c r="AG7" s="370">
        <f>(Detached!AG51*LOOKUP(Detached!AG$2,'Data by dwelling type'!$A$4:$A$40,'Data by dwelling type'!$P$4:$P$40)+Semidetached!AG52*LOOKUP(Semidetached!AG$2,'Data by dwelling type'!$A$4:$A$40,'Data by dwelling type'!$Q$4:$Q$40)+Flat!AG52*LOOKUP(Flat!AG$2,'Data by dwelling type'!$A$4:$A$40,'Data by dwelling type'!$N$4:$N$40))/LOOKUP(Detached!AG$2,'Data by dwelling type'!$A$4:$A$40,'Data by dwelling type'!$R$4:$R$40)</f>
        <v>148.54571938015701</v>
      </c>
      <c r="AH7" s="370">
        <f>(Detached!AH51*LOOKUP(Detached!AH$2,'Data by dwelling type'!$A$4:$A$40,'Data by dwelling type'!$P$4:$P$40)+Semidetached!AH52*LOOKUP(Semidetached!AH$2,'Data by dwelling type'!$A$4:$A$40,'Data by dwelling type'!$Q$4:$Q$40)+Flat!AH52*LOOKUP(Flat!AH$2,'Data by dwelling type'!$A$4:$A$40,'Data by dwelling type'!$N$4:$N$40))/LOOKUP(Detached!AH$2,'Data by dwelling type'!$A$4:$A$40,'Data by dwelling type'!$R$4:$R$40)</f>
        <v>75.327185132734314</v>
      </c>
      <c r="AI7" s="370">
        <f>(Detached!AI51*LOOKUP(Detached!AI$2,'Data by dwelling type'!$A$4:$A$40,'Data by dwelling type'!$P$4:$P$40)+Semidetached!AI52*LOOKUP(Semidetached!AI$2,'Data by dwelling type'!$A$4:$A$40,'Data by dwelling type'!$Q$4:$Q$40)+Flat!AI52*LOOKUP(Flat!AI$2,'Data by dwelling type'!$A$4:$A$40,'Data by dwelling type'!$N$4:$N$40))/LOOKUP(Detached!AI$2,'Data by dwelling type'!$A$4:$A$40,'Data by dwelling type'!$R$4:$R$40)</f>
        <v>117.33854666652466</v>
      </c>
      <c r="AJ7" s="370">
        <f>(Detached!AJ51*LOOKUP(Detached!AJ$2,'Data by dwelling type'!$A$4:$A$40,'Data by dwelling type'!$P$4:$P$40)+Semidetached!AJ52*LOOKUP(Semidetached!AJ$2,'Data by dwelling type'!$A$4:$A$40,'Data by dwelling type'!$Q$4:$Q$40)+Flat!AJ52*LOOKUP(Flat!AJ$2,'Data by dwelling type'!$A$4:$A$40,'Data by dwelling type'!$N$4:$N$40))/LOOKUP(Detached!AJ$2,'Data by dwelling type'!$A$4:$A$40,'Data by dwelling type'!$R$4:$R$40)</f>
        <v>128.23057133680652</v>
      </c>
      <c r="AK7" s="370">
        <f>(Detached!AK51*LOOKUP(Detached!AK$2,'Data by dwelling type'!$A$4:$A$40,'Data by dwelling type'!$P$4:$P$40)+Semidetached!AK52*LOOKUP(Semidetached!AK$2,'Data by dwelling type'!$A$4:$A$40,'Data by dwelling type'!$Q$4:$Q$40)+Flat!AK52*LOOKUP(Flat!AK$2,'Data by dwelling type'!$A$4:$A$40,'Data by dwelling type'!$N$4:$N$40))/LOOKUP(Detached!AK$2,'Data by dwelling type'!$A$4:$A$40,'Data by dwelling type'!$R$4:$R$40)</f>
        <v>94.41336494131302</v>
      </c>
      <c r="AL7" s="370">
        <f>(Detached!AL51*LOOKUP(Detached!AL$2,'Data by dwelling type'!$A$4:$A$40,'Data by dwelling type'!$P$4:$P$40)+Semidetached!AL52*LOOKUP(Semidetached!AL$2,'Data by dwelling type'!$A$4:$A$40,'Data by dwelling type'!$Q$4:$Q$40)+Flat!AL52*LOOKUP(Flat!AL$2,'Data by dwelling type'!$A$4:$A$40,'Data by dwelling type'!$N$4:$N$40))/LOOKUP(Detached!AL$2,'Data by dwelling type'!$A$4:$A$40,'Data by dwelling type'!$R$4:$R$40)</f>
        <v>96.287916262750628</v>
      </c>
      <c r="AM7" s="370">
        <f>(Detached!AM51*LOOKUP(Detached!AM$2,'Data by dwelling type'!$A$4:$A$40,'Data by dwelling type'!$P$4:$P$40)+Semidetached!AM52*LOOKUP(Semidetached!AM$2,'Data by dwelling type'!$A$4:$A$40,'Data by dwelling type'!$Q$4:$Q$40)+Flat!AM52*LOOKUP(Flat!AM$2,'Data by dwelling type'!$A$4:$A$40,'Data by dwelling type'!$N$4:$N$40))/LOOKUP(Detached!AM$2,'Data by dwelling type'!$A$4:$A$40,'Data by dwelling type'!$R$4:$R$40)</f>
        <v>117.91770882340832</v>
      </c>
      <c r="AN7" s="371">
        <f>(Detached!AN51*LOOKUP(Detached!AN$2,'Data by dwelling type'!$A$4:$A$40,'Data by dwelling type'!$P$4:$P$40)+Semidetached!AN52*LOOKUP(Semidetached!AN$2,'Data by dwelling type'!$A$4:$A$40,'Data by dwelling type'!$Q$4:$Q$40)+Flat!AN52*LOOKUP(Flat!AN$2,'Data by dwelling type'!$A$4:$A$40,'Data by dwelling type'!$N$4:$N$40))/LOOKUP(Detached!AN$2,'Data by dwelling type'!$A$4:$A$40,'Data by dwelling type'!$R$4:$R$40)</f>
        <v>117.91770882340832</v>
      </c>
    </row>
    <row r="8" spans="1:40">
      <c r="A8" s="407"/>
      <c r="B8" s="347" t="s">
        <v>7</v>
      </c>
      <c r="C8" s="367" t="s">
        <v>190</v>
      </c>
      <c r="D8" s="370">
        <f>(Detached!D52*LOOKUP(Detached!D$2,'Data by dwelling type'!$A$4:$A$40,'Data by dwelling type'!$P$4:$P$40)+Semidetached!D53*LOOKUP(Semidetached!D$2,'Data by dwelling type'!$A$4:$A$40,'Data by dwelling type'!$Q$4:$Q$40)+Flat!D53*LOOKUP(Flat!D$2,'Data by dwelling type'!$A$4:$A$40,'Data by dwelling type'!$N$4:$N$40))/LOOKUP(Detached!D$2,'Data by dwelling type'!$A$4:$A$40,'Data by dwelling type'!$R$4:$R$40)</f>
        <v>67.273813500116091</v>
      </c>
      <c r="E8" s="370">
        <f>(Detached!E52*LOOKUP(Detached!E$2,'Data by dwelling type'!$A$4:$A$40,'Data by dwelling type'!$P$4:$P$40)+Semidetached!E53*LOOKUP(Semidetached!E$2,'Data by dwelling type'!$A$4:$A$40,'Data by dwelling type'!$Q$4:$Q$40)+Flat!E53*LOOKUP(Flat!E$2,'Data by dwelling type'!$A$4:$A$40,'Data by dwelling type'!$N$4:$N$40))/LOOKUP(Detached!E$2,'Data by dwelling type'!$A$4:$A$40,'Data by dwelling type'!$R$4:$R$40)</f>
        <v>87.600867621935905</v>
      </c>
      <c r="F8" s="370">
        <f>(Detached!F52*LOOKUP(Detached!F$2,'Data by dwelling type'!$A$4:$A$40,'Data by dwelling type'!$P$4:$P$40)+Semidetached!F53*LOOKUP(Semidetached!F$2,'Data by dwelling type'!$A$4:$A$40,'Data by dwelling type'!$Q$4:$Q$40)+Flat!F53*LOOKUP(Flat!F$2,'Data by dwelling type'!$A$4:$A$40,'Data by dwelling type'!$N$4:$N$40))/LOOKUP(Detached!F$2,'Data by dwelling type'!$A$4:$A$40,'Data by dwelling type'!$R$4:$R$40)</f>
        <v>64.346529137576994</v>
      </c>
      <c r="G8" s="370">
        <f>(Detached!G52*LOOKUP(Detached!G$2,'Data by dwelling type'!$A$4:$A$40,'Data by dwelling type'!$P$4:$P$40)+Semidetached!G53*LOOKUP(Semidetached!G$2,'Data by dwelling type'!$A$4:$A$40,'Data by dwelling type'!$Q$4:$Q$40)+Flat!G53*LOOKUP(Flat!G$2,'Data by dwelling type'!$A$4:$A$40,'Data by dwelling type'!$N$4:$N$40))/LOOKUP(Detached!G$2,'Data by dwelling type'!$A$4:$A$40,'Data by dwelling type'!$R$4:$R$40)</f>
        <v>62.188120061324824</v>
      </c>
      <c r="H8" s="370">
        <f>(Detached!H52*LOOKUP(Detached!H$2,'Data by dwelling type'!$A$4:$A$40,'Data by dwelling type'!$P$4:$P$40)+Semidetached!H53*LOOKUP(Semidetached!H$2,'Data by dwelling type'!$A$4:$A$40,'Data by dwelling type'!$Q$4:$Q$40)+Flat!H53*LOOKUP(Flat!H$2,'Data by dwelling type'!$A$4:$A$40,'Data by dwelling type'!$N$4:$N$40))/LOOKUP(Detached!H$2,'Data by dwelling type'!$A$4:$A$40,'Data by dwelling type'!$R$4:$R$40)</f>
        <v>48.779494633091275</v>
      </c>
      <c r="I8" s="370">
        <f>(Detached!I52*LOOKUP(Detached!I$2,'Data by dwelling type'!$A$4:$A$40,'Data by dwelling type'!$P$4:$P$40)+Semidetached!I53*LOOKUP(Semidetached!I$2,'Data by dwelling type'!$A$4:$A$40,'Data by dwelling type'!$Q$4:$Q$40)+Flat!I53*LOOKUP(Flat!I$2,'Data by dwelling type'!$A$4:$A$40,'Data by dwelling type'!$N$4:$N$40))/LOOKUP(Detached!I$2,'Data by dwelling type'!$A$4:$A$40,'Data by dwelling type'!$R$4:$R$40)</f>
        <v>66.274845402773622</v>
      </c>
      <c r="J8" s="370">
        <f>(Detached!J52*LOOKUP(Detached!J$2,'Data by dwelling type'!$A$4:$A$40,'Data by dwelling type'!$P$4:$P$40)+Semidetached!J53*LOOKUP(Semidetached!J$2,'Data by dwelling type'!$A$4:$A$40,'Data by dwelling type'!$Q$4:$Q$40)+Flat!J53*LOOKUP(Flat!J$2,'Data by dwelling type'!$A$4:$A$40,'Data by dwelling type'!$N$4:$N$40))/LOOKUP(Detached!J$2,'Data by dwelling type'!$A$4:$A$40,'Data by dwelling type'!$R$4:$R$40)</f>
        <v>53.332870500037153</v>
      </c>
      <c r="K8" s="370">
        <f>(Detached!K52*LOOKUP(Detached!K$2,'Data by dwelling type'!$A$4:$A$40,'Data by dwelling type'!$P$4:$P$40)+Semidetached!K53*LOOKUP(Semidetached!K$2,'Data by dwelling type'!$A$4:$A$40,'Data by dwelling type'!$Q$4:$Q$40)+Flat!K53*LOOKUP(Flat!K$2,'Data by dwelling type'!$A$4:$A$40,'Data by dwelling type'!$N$4:$N$40))/LOOKUP(Detached!K$2,'Data by dwelling type'!$A$4:$A$40,'Data by dwelling type'!$R$4:$R$40)</f>
        <v>45.48040223272276</v>
      </c>
      <c r="L8" s="370">
        <f>(Detached!L52*LOOKUP(Detached!L$2,'Data by dwelling type'!$A$4:$A$40,'Data by dwelling type'!$P$4:$P$40)+Semidetached!L53*LOOKUP(Semidetached!L$2,'Data by dwelling type'!$A$4:$A$40,'Data by dwelling type'!$Q$4:$Q$40)+Flat!L53*LOOKUP(Flat!L$2,'Data by dwelling type'!$A$4:$A$40,'Data by dwelling type'!$N$4:$N$40))/LOOKUP(Detached!L$2,'Data by dwelling type'!$A$4:$A$40,'Data by dwelling type'!$R$4:$R$40)</f>
        <v>52.265964523789847</v>
      </c>
      <c r="M8" s="370">
        <f>(Detached!M52*LOOKUP(Detached!M$2,'Data by dwelling type'!$A$4:$A$40,'Data by dwelling type'!$P$4:$P$40)+Semidetached!M53*LOOKUP(Semidetached!M$2,'Data by dwelling type'!$A$4:$A$40,'Data by dwelling type'!$Q$4:$Q$40)+Flat!M53*LOOKUP(Flat!M$2,'Data by dwelling type'!$A$4:$A$40,'Data by dwelling type'!$N$4:$N$40))/LOOKUP(Detached!M$2,'Data by dwelling type'!$A$4:$A$40,'Data by dwelling type'!$R$4:$R$40)</f>
        <v>49.177603364211869</v>
      </c>
      <c r="N8" s="370">
        <f>(Detached!N52*LOOKUP(Detached!N$2,'Data by dwelling type'!$A$4:$A$40,'Data by dwelling type'!$P$4:$P$40)+Semidetached!N53*LOOKUP(Semidetached!N$2,'Data by dwelling type'!$A$4:$A$40,'Data by dwelling type'!$Q$4:$Q$40)+Flat!N53*LOOKUP(Flat!N$2,'Data by dwelling type'!$A$4:$A$40,'Data by dwelling type'!$N$4:$N$40))/LOOKUP(Detached!N$2,'Data by dwelling type'!$A$4:$A$40,'Data by dwelling type'!$R$4:$R$40)</f>
        <v>88.36103568817704</v>
      </c>
      <c r="O8" s="370">
        <f>(Detached!O52*LOOKUP(Detached!O$2,'Data by dwelling type'!$A$4:$A$40,'Data by dwelling type'!$P$4:$P$40)+Semidetached!O53*LOOKUP(Semidetached!O$2,'Data by dwelling type'!$A$4:$A$40,'Data by dwelling type'!$Q$4:$Q$40)+Flat!O53*LOOKUP(Flat!O$2,'Data by dwelling type'!$A$4:$A$40,'Data by dwelling type'!$N$4:$N$40))/LOOKUP(Detached!O$2,'Data by dwelling type'!$A$4:$A$40,'Data by dwelling type'!$R$4:$R$40)</f>
        <v>46.56329566132581</v>
      </c>
      <c r="P8" s="370">
        <f>(Detached!P52*LOOKUP(Detached!P$2,'Data by dwelling type'!$A$4:$A$40,'Data by dwelling type'!$P$4:$P$40)+Semidetached!P53*LOOKUP(Semidetached!P$2,'Data by dwelling type'!$A$4:$A$40,'Data by dwelling type'!$Q$4:$Q$40)+Flat!P53*LOOKUP(Flat!P$2,'Data by dwelling type'!$A$4:$A$40,'Data by dwelling type'!$N$4:$N$40))/LOOKUP(Detached!P$2,'Data by dwelling type'!$A$4:$A$40,'Data by dwelling type'!$R$4:$R$40)</f>
        <v>50.072529061416233</v>
      </c>
      <c r="Q8" s="370">
        <f>(Detached!Q52*LOOKUP(Detached!Q$2,'Data by dwelling type'!$A$4:$A$40,'Data by dwelling type'!$P$4:$P$40)+Semidetached!Q53*LOOKUP(Semidetached!Q$2,'Data by dwelling type'!$A$4:$A$40,'Data by dwelling type'!$Q$4:$Q$40)+Flat!Q53*LOOKUP(Flat!Q$2,'Data by dwelling type'!$A$4:$A$40,'Data by dwelling type'!$N$4:$N$40))/LOOKUP(Detached!Q$2,'Data by dwelling type'!$A$4:$A$40,'Data by dwelling type'!$R$4:$R$40)</f>
        <v>63.511961095097924</v>
      </c>
      <c r="R8" s="370">
        <f>(Detached!R52*LOOKUP(Detached!R$2,'Data by dwelling type'!$A$4:$A$40,'Data by dwelling type'!$P$4:$P$40)+Semidetached!R53*LOOKUP(Semidetached!R$2,'Data by dwelling type'!$A$4:$A$40,'Data by dwelling type'!$Q$4:$Q$40)+Flat!R53*LOOKUP(Flat!R$2,'Data by dwelling type'!$A$4:$A$40,'Data by dwelling type'!$N$4:$N$40))/LOOKUP(Detached!R$2,'Data by dwelling type'!$A$4:$A$40,'Data by dwelling type'!$R$4:$R$40)</f>
        <v>70.237544844530717</v>
      </c>
      <c r="S8" s="370">
        <f>(Detached!S52*LOOKUP(Detached!S$2,'Data by dwelling type'!$A$4:$A$40,'Data by dwelling type'!$P$4:$P$40)+Semidetached!S53*LOOKUP(Semidetached!S$2,'Data by dwelling type'!$A$4:$A$40,'Data by dwelling type'!$Q$4:$Q$40)+Flat!S53*LOOKUP(Flat!S$2,'Data by dwelling type'!$A$4:$A$40,'Data by dwelling type'!$N$4:$N$40))/LOOKUP(Detached!S$2,'Data by dwelling type'!$A$4:$A$40,'Data by dwelling type'!$R$4:$R$40)</f>
        <v>58.926494209361415</v>
      </c>
      <c r="T8" s="370">
        <f>(Detached!T52*LOOKUP(Detached!T$2,'Data by dwelling type'!$A$4:$A$40,'Data by dwelling type'!$P$4:$P$40)+Semidetached!T53*LOOKUP(Semidetached!T$2,'Data by dwelling type'!$A$4:$A$40,'Data by dwelling type'!$Q$4:$Q$40)+Flat!T53*LOOKUP(Flat!T$2,'Data by dwelling type'!$A$4:$A$40,'Data by dwelling type'!$N$4:$N$40))/LOOKUP(Detached!T$2,'Data by dwelling type'!$A$4:$A$40,'Data by dwelling type'!$R$4:$R$40)</f>
        <v>76.984865254844223</v>
      </c>
      <c r="U8" s="370">
        <f>(Detached!U52*LOOKUP(Detached!U$2,'Data by dwelling type'!$A$4:$A$40,'Data by dwelling type'!$P$4:$P$40)+Semidetached!U53*LOOKUP(Semidetached!U$2,'Data by dwelling type'!$A$4:$A$40,'Data by dwelling type'!$Q$4:$Q$40)+Flat!U53*LOOKUP(Flat!U$2,'Data by dwelling type'!$A$4:$A$40,'Data by dwelling type'!$N$4:$N$40))/LOOKUP(Detached!U$2,'Data by dwelling type'!$A$4:$A$40,'Data by dwelling type'!$R$4:$R$40)</f>
        <v>56.612236193349247</v>
      </c>
      <c r="V8" s="370">
        <f>(Detached!V52*LOOKUP(Detached!V$2,'Data by dwelling type'!$A$4:$A$40,'Data by dwelling type'!$P$4:$P$40)+Semidetached!V53*LOOKUP(Semidetached!V$2,'Data by dwelling type'!$A$4:$A$40,'Data by dwelling type'!$Q$4:$Q$40)+Flat!V53*LOOKUP(Flat!V$2,'Data by dwelling type'!$A$4:$A$40,'Data by dwelling type'!$N$4:$N$40))/LOOKUP(Detached!V$2,'Data by dwelling type'!$A$4:$A$40,'Data by dwelling type'!$R$4:$R$40)</f>
        <v>59.29016944643778</v>
      </c>
      <c r="W8" s="370">
        <f>(Detached!W52*LOOKUP(Detached!W$2,'Data by dwelling type'!$A$4:$A$40,'Data by dwelling type'!$P$4:$P$40)+Semidetached!W53*LOOKUP(Semidetached!W$2,'Data by dwelling type'!$A$4:$A$40,'Data by dwelling type'!$Q$4:$Q$40)+Flat!W53*LOOKUP(Flat!W$2,'Data by dwelling type'!$A$4:$A$40,'Data by dwelling type'!$N$4:$N$40))/LOOKUP(Detached!W$2,'Data by dwelling type'!$A$4:$A$40,'Data by dwelling type'!$R$4:$R$40)</f>
        <v>54.779564473753439</v>
      </c>
      <c r="X8" s="370">
        <f>(Detached!X52*LOOKUP(Detached!X$2,'Data by dwelling type'!$A$4:$A$40,'Data by dwelling type'!$P$4:$P$40)+Semidetached!X53*LOOKUP(Semidetached!X$2,'Data by dwelling type'!$A$4:$A$40,'Data by dwelling type'!$Q$4:$Q$40)+Flat!X53*LOOKUP(Flat!X$2,'Data by dwelling type'!$A$4:$A$40,'Data by dwelling type'!$N$4:$N$40))/LOOKUP(Detached!X$2,'Data by dwelling type'!$A$4:$A$40,'Data by dwelling type'!$R$4:$R$40)</f>
        <v>58.256674260208683</v>
      </c>
      <c r="Y8" s="370">
        <f>(Detached!Y52*LOOKUP(Detached!Y$2,'Data by dwelling type'!$A$4:$A$40,'Data by dwelling type'!$P$4:$P$40)+Semidetached!Y53*LOOKUP(Semidetached!Y$2,'Data by dwelling type'!$A$4:$A$40,'Data by dwelling type'!$Q$4:$Q$40)+Flat!Y53*LOOKUP(Flat!Y$2,'Data by dwelling type'!$A$4:$A$40,'Data by dwelling type'!$N$4:$N$40))/LOOKUP(Detached!Y$2,'Data by dwelling type'!$A$4:$A$40,'Data by dwelling type'!$R$4:$R$40)</f>
        <v>33.165126909291523</v>
      </c>
      <c r="Z8" s="370">
        <f>(Detached!Z52*LOOKUP(Detached!Z$2,'Data by dwelling type'!$A$4:$A$40,'Data by dwelling type'!$P$4:$P$40)+Semidetached!Z53*LOOKUP(Semidetached!Z$2,'Data by dwelling type'!$A$4:$A$40,'Data by dwelling type'!$Q$4:$Q$40)+Flat!Z53*LOOKUP(Flat!Z$2,'Data by dwelling type'!$A$4:$A$40,'Data by dwelling type'!$N$4:$N$40))/LOOKUP(Detached!Z$2,'Data by dwelling type'!$A$4:$A$40,'Data by dwelling type'!$R$4:$R$40)</f>
        <v>54.063343895665824</v>
      </c>
      <c r="AA8" s="370">
        <f>(Detached!AA52*LOOKUP(Detached!AA$2,'Data by dwelling type'!$A$4:$A$40,'Data by dwelling type'!$P$4:$P$40)+Semidetached!AA53*LOOKUP(Semidetached!AA$2,'Data by dwelling type'!$A$4:$A$40,'Data by dwelling type'!$Q$4:$Q$40)+Flat!AA53*LOOKUP(Flat!AA$2,'Data by dwelling type'!$A$4:$A$40,'Data by dwelling type'!$N$4:$N$40))/LOOKUP(Detached!AA$2,'Data by dwelling type'!$A$4:$A$40,'Data by dwelling type'!$R$4:$R$40)</f>
        <v>66.016691138944751</v>
      </c>
      <c r="AB8" s="370">
        <f>(Detached!AB52*LOOKUP(Detached!AB$2,'Data by dwelling type'!$A$4:$A$40,'Data by dwelling type'!$P$4:$P$40)+Semidetached!AB53*LOOKUP(Semidetached!AB$2,'Data by dwelling type'!$A$4:$A$40,'Data by dwelling type'!$Q$4:$Q$40)+Flat!AB53*LOOKUP(Flat!AB$2,'Data by dwelling type'!$A$4:$A$40,'Data by dwelling type'!$N$4:$N$40))/LOOKUP(Detached!AB$2,'Data by dwelling type'!$A$4:$A$40,'Data by dwelling type'!$R$4:$R$40)</f>
        <v>90.187303951735856</v>
      </c>
      <c r="AC8" s="370">
        <f>(Detached!AC52*LOOKUP(Detached!AC$2,'Data by dwelling type'!$A$4:$A$40,'Data by dwelling type'!$P$4:$P$40)+Semidetached!AC53*LOOKUP(Semidetached!AC$2,'Data by dwelling type'!$A$4:$A$40,'Data by dwelling type'!$Q$4:$Q$40)+Flat!AC53*LOOKUP(Flat!AC$2,'Data by dwelling type'!$A$4:$A$40,'Data by dwelling type'!$N$4:$N$40))/LOOKUP(Detached!AC$2,'Data by dwelling type'!$A$4:$A$40,'Data by dwelling type'!$R$4:$R$40)</f>
        <v>48.998030232162634</v>
      </c>
      <c r="AD8" s="370">
        <f>(Detached!AD52*LOOKUP(Detached!AD$2,'Data by dwelling type'!$A$4:$A$40,'Data by dwelling type'!$P$4:$P$40)+Semidetached!AD53*LOOKUP(Semidetached!AD$2,'Data by dwelling type'!$A$4:$A$40,'Data by dwelling type'!$Q$4:$Q$40)+Flat!AD53*LOOKUP(Flat!AD$2,'Data by dwelling type'!$A$4:$A$40,'Data by dwelling type'!$N$4:$N$40))/LOOKUP(Detached!AD$2,'Data by dwelling type'!$A$4:$A$40,'Data by dwelling type'!$R$4:$R$40)</f>
        <v>124.80551963805702</v>
      </c>
      <c r="AE8" s="370">
        <f>(Detached!AE52*LOOKUP(Detached!AE$2,'Data by dwelling type'!$A$4:$A$40,'Data by dwelling type'!$P$4:$P$40)+Semidetached!AE53*LOOKUP(Semidetached!AE$2,'Data by dwelling type'!$A$4:$A$40,'Data by dwelling type'!$Q$4:$Q$40)+Flat!AE53*LOOKUP(Flat!AE$2,'Data by dwelling type'!$A$4:$A$40,'Data by dwelling type'!$N$4:$N$40))/LOOKUP(Detached!AE$2,'Data by dwelling type'!$A$4:$A$40,'Data by dwelling type'!$R$4:$R$40)</f>
        <v>66.083747280668533</v>
      </c>
      <c r="AF8" s="370">
        <f>(Detached!AF52*LOOKUP(Detached!AF$2,'Data by dwelling type'!$A$4:$A$40,'Data by dwelling type'!$P$4:$P$40)+Semidetached!AF53*LOOKUP(Semidetached!AF$2,'Data by dwelling type'!$A$4:$A$40,'Data by dwelling type'!$Q$4:$Q$40)+Flat!AF53*LOOKUP(Flat!AF$2,'Data by dwelling type'!$A$4:$A$40,'Data by dwelling type'!$N$4:$N$40))/LOOKUP(Detached!AF$2,'Data by dwelling type'!$A$4:$A$40,'Data by dwelling type'!$R$4:$R$40)</f>
        <v>44.839396658701403</v>
      </c>
      <c r="AG8" s="370">
        <f>(Detached!AG52*LOOKUP(Detached!AG$2,'Data by dwelling type'!$A$4:$A$40,'Data by dwelling type'!$P$4:$P$40)+Semidetached!AG53*LOOKUP(Semidetached!AG$2,'Data by dwelling type'!$A$4:$A$40,'Data by dwelling type'!$Q$4:$Q$40)+Flat!AG53*LOOKUP(Flat!AG$2,'Data by dwelling type'!$A$4:$A$40,'Data by dwelling type'!$N$4:$N$40))/LOOKUP(Detached!AG$2,'Data by dwelling type'!$A$4:$A$40,'Data by dwelling type'!$R$4:$R$40)</f>
        <v>88.509113291391429</v>
      </c>
      <c r="AH8" s="370">
        <f>(Detached!AH52*LOOKUP(Detached!AH$2,'Data by dwelling type'!$A$4:$A$40,'Data by dwelling type'!$P$4:$P$40)+Semidetached!AH53*LOOKUP(Semidetached!AH$2,'Data by dwelling type'!$A$4:$A$40,'Data by dwelling type'!$Q$4:$Q$40)+Flat!AH53*LOOKUP(Flat!AH$2,'Data by dwelling type'!$A$4:$A$40,'Data by dwelling type'!$N$4:$N$40))/LOOKUP(Detached!AH$2,'Data by dwelling type'!$A$4:$A$40,'Data by dwelling type'!$R$4:$R$40)</f>
        <v>62.923032059590675</v>
      </c>
      <c r="AI8" s="370">
        <f>(Detached!AI52*LOOKUP(Detached!AI$2,'Data by dwelling type'!$A$4:$A$40,'Data by dwelling type'!$P$4:$P$40)+Semidetached!AI53*LOOKUP(Semidetached!AI$2,'Data by dwelling type'!$A$4:$A$40,'Data by dwelling type'!$Q$4:$Q$40)+Flat!AI53*LOOKUP(Flat!AI$2,'Data by dwelling type'!$A$4:$A$40,'Data by dwelling type'!$N$4:$N$40))/LOOKUP(Detached!AI$2,'Data by dwelling type'!$A$4:$A$40,'Data by dwelling type'!$R$4:$R$40)</f>
        <v>46.708508618895522</v>
      </c>
      <c r="AJ8" s="370">
        <f>(Detached!AJ52*LOOKUP(Detached!AJ$2,'Data by dwelling type'!$A$4:$A$40,'Data by dwelling type'!$P$4:$P$40)+Semidetached!AJ53*LOOKUP(Semidetached!AJ$2,'Data by dwelling type'!$A$4:$A$40,'Data by dwelling type'!$Q$4:$Q$40)+Flat!AJ53*LOOKUP(Flat!AJ$2,'Data by dwelling type'!$A$4:$A$40,'Data by dwelling type'!$N$4:$N$40))/LOOKUP(Detached!AJ$2,'Data by dwelling type'!$A$4:$A$40,'Data by dwelling type'!$R$4:$R$40)</f>
        <v>110.8904982419037</v>
      </c>
      <c r="AK8" s="370">
        <f>(Detached!AK52*LOOKUP(Detached!AK$2,'Data by dwelling type'!$A$4:$A$40,'Data by dwelling type'!$P$4:$P$40)+Semidetached!AK53*LOOKUP(Semidetached!AK$2,'Data by dwelling type'!$A$4:$A$40,'Data by dwelling type'!$Q$4:$Q$40)+Flat!AK53*LOOKUP(Flat!AK$2,'Data by dwelling type'!$A$4:$A$40,'Data by dwelling type'!$N$4:$N$40))/LOOKUP(Detached!AK$2,'Data by dwelling type'!$A$4:$A$40,'Data by dwelling type'!$R$4:$R$40)</f>
        <v>81.730543122878771</v>
      </c>
      <c r="AL8" s="370">
        <f>(Detached!AL52*LOOKUP(Detached!AL$2,'Data by dwelling type'!$A$4:$A$40,'Data by dwelling type'!$P$4:$P$40)+Semidetached!AL53*LOOKUP(Semidetached!AL$2,'Data by dwelling type'!$A$4:$A$40,'Data by dwelling type'!$Q$4:$Q$40)+Flat!AL53*LOOKUP(Flat!AL$2,'Data by dwelling type'!$A$4:$A$40,'Data by dwelling type'!$N$4:$N$40))/LOOKUP(Detached!AL$2,'Data by dwelling type'!$A$4:$A$40,'Data by dwelling type'!$R$4:$R$40)</f>
        <v>65.38629079503086</v>
      </c>
      <c r="AM8" s="370">
        <f>(Detached!AM52*LOOKUP(Detached!AM$2,'Data by dwelling type'!$A$4:$A$40,'Data by dwelling type'!$P$4:$P$40)+Semidetached!AM53*LOOKUP(Semidetached!AM$2,'Data by dwelling type'!$A$4:$A$40,'Data by dwelling type'!$Q$4:$Q$40)+Flat!AM53*LOOKUP(Flat!AM$2,'Data by dwelling type'!$A$4:$A$40,'Data by dwelling type'!$N$4:$N$40))/LOOKUP(Detached!AM$2,'Data by dwelling type'!$A$4:$A$40,'Data by dwelling type'!$R$4:$R$40)</f>
        <v>101.97220012867734</v>
      </c>
      <c r="AN8" s="371">
        <f>(Detached!AN52*LOOKUP(Detached!AN$2,'Data by dwelling type'!$A$4:$A$40,'Data by dwelling type'!$P$4:$P$40)+Semidetached!AN53*LOOKUP(Semidetached!AN$2,'Data by dwelling type'!$A$4:$A$40,'Data by dwelling type'!$Q$4:$Q$40)+Flat!AN53*LOOKUP(Flat!AN$2,'Data by dwelling type'!$A$4:$A$40,'Data by dwelling type'!$N$4:$N$40))/LOOKUP(Detached!AN$2,'Data by dwelling type'!$A$4:$A$40,'Data by dwelling type'!$R$4:$R$40)</f>
        <v>101.97220012867734</v>
      </c>
    </row>
    <row r="9" spans="1:40">
      <c r="A9" s="404"/>
      <c r="B9" s="156" t="s">
        <v>259</v>
      </c>
      <c r="C9" s="157" t="s">
        <v>190</v>
      </c>
      <c r="D9" s="340">
        <f>(Detached!D53*LOOKUP(Detached!D$2,'Data by dwelling type'!$A$4:$A$40,'Data by dwelling type'!$P$4:$P$40)+Semidetached!D54*LOOKUP(Semidetached!D$2,'Data by dwelling type'!$A$4:$A$40,'Data by dwelling type'!$Q$4:$Q$40)+Flat!D54*LOOKUP(Flat!D$2,'Data by dwelling type'!$A$4:$A$40,'Data by dwelling type'!$N$4:$N$40))/LOOKUP(Detached!D$2,'Data by dwelling type'!$A$4:$A$40,'Data by dwelling type'!$R$4:$R$40)</f>
        <v>130.85358863353503</v>
      </c>
      <c r="E9" s="340">
        <f>(Detached!E53*LOOKUP(Detached!E$2,'Data by dwelling type'!$A$4:$A$40,'Data by dwelling type'!$P$4:$P$40)+Semidetached!E54*LOOKUP(Semidetached!E$2,'Data by dwelling type'!$A$4:$A$40,'Data by dwelling type'!$Q$4:$Q$40)+Flat!E54*LOOKUP(Flat!E$2,'Data by dwelling type'!$A$4:$A$40,'Data by dwelling type'!$N$4:$N$40))/LOOKUP(Detached!E$2,'Data by dwelling type'!$A$4:$A$40,'Data by dwelling type'!$R$4:$R$40)</f>
        <v>163.09566197805415</v>
      </c>
      <c r="F9" s="340">
        <f>(Detached!F53*LOOKUP(Detached!F$2,'Data by dwelling type'!$A$4:$A$40,'Data by dwelling type'!$P$4:$P$40)+Semidetached!F54*LOOKUP(Semidetached!F$2,'Data by dwelling type'!$A$4:$A$40,'Data by dwelling type'!$Q$4:$Q$40)+Flat!F54*LOOKUP(Flat!F$2,'Data by dwelling type'!$A$4:$A$40,'Data by dwelling type'!$N$4:$N$40))/LOOKUP(Detached!F$2,'Data by dwelling type'!$A$4:$A$40,'Data by dwelling type'!$R$4:$R$40)</f>
        <v>118.91348993914443</v>
      </c>
      <c r="G9" s="340">
        <f>(Detached!G53*LOOKUP(Detached!G$2,'Data by dwelling type'!$A$4:$A$40,'Data by dwelling type'!$P$4:$P$40)+Semidetached!G54*LOOKUP(Semidetached!G$2,'Data by dwelling type'!$A$4:$A$40,'Data by dwelling type'!$Q$4:$Q$40)+Flat!G54*LOOKUP(Flat!G$2,'Data by dwelling type'!$A$4:$A$40,'Data by dwelling type'!$N$4:$N$40))/LOOKUP(Detached!G$2,'Data by dwelling type'!$A$4:$A$40,'Data by dwelling type'!$R$4:$R$40)</f>
        <v>122.0372620547292</v>
      </c>
      <c r="H9" s="340">
        <f>(Detached!H53*LOOKUP(Detached!H$2,'Data by dwelling type'!$A$4:$A$40,'Data by dwelling type'!$P$4:$P$40)+Semidetached!H54*LOOKUP(Semidetached!H$2,'Data by dwelling type'!$A$4:$A$40,'Data by dwelling type'!$Q$4:$Q$40)+Flat!H54*LOOKUP(Flat!H$2,'Data by dwelling type'!$A$4:$A$40,'Data by dwelling type'!$N$4:$N$40))/LOOKUP(Detached!H$2,'Data by dwelling type'!$A$4:$A$40,'Data by dwelling type'!$R$4:$R$40)</f>
        <v>57.442093272757191</v>
      </c>
      <c r="I9" s="340">
        <f>(Detached!I53*LOOKUP(Detached!I$2,'Data by dwelling type'!$A$4:$A$40,'Data by dwelling type'!$P$4:$P$40)+Semidetached!I54*LOOKUP(Semidetached!I$2,'Data by dwelling type'!$A$4:$A$40,'Data by dwelling type'!$Q$4:$Q$40)+Flat!I54*LOOKUP(Flat!I$2,'Data by dwelling type'!$A$4:$A$40,'Data by dwelling type'!$N$4:$N$40))/LOOKUP(Detached!I$2,'Data by dwelling type'!$A$4:$A$40,'Data by dwelling type'!$R$4:$R$40)</f>
        <v>117.29955942558146</v>
      </c>
      <c r="J9" s="340">
        <f>(Detached!J53*LOOKUP(Detached!J$2,'Data by dwelling type'!$A$4:$A$40,'Data by dwelling type'!$P$4:$P$40)+Semidetached!J54*LOOKUP(Semidetached!J$2,'Data by dwelling type'!$A$4:$A$40,'Data by dwelling type'!$Q$4:$Q$40)+Flat!J54*LOOKUP(Flat!J$2,'Data by dwelling type'!$A$4:$A$40,'Data by dwelling type'!$N$4:$N$40))/LOOKUP(Detached!J$2,'Data by dwelling type'!$A$4:$A$40,'Data by dwelling type'!$R$4:$R$40)</f>
        <v>126.04138836957041</v>
      </c>
      <c r="K9" s="340">
        <f>(Detached!K53*LOOKUP(Detached!K$2,'Data by dwelling type'!$A$4:$A$40,'Data by dwelling type'!$P$4:$P$40)+Semidetached!K54*LOOKUP(Semidetached!K$2,'Data by dwelling type'!$A$4:$A$40,'Data by dwelling type'!$Q$4:$Q$40)+Flat!K54*LOOKUP(Flat!K$2,'Data by dwelling type'!$A$4:$A$40,'Data by dwelling type'!$N$4:$N$40))/LOOKUP(Detached!K$2,'Data by dwelling type'!$A$4:$A$40,'Data by dwelling type'!$R$4:$R$40)</f>
        <v>89.629637772516105</v>
      </c>
      <c r="L9" s="340">
        <f>(Detached!L53*LOOKUP(Detached!L$2,'Data by dwelling type'!$A$4:$A$40,'Data by dwelling type'!$P$4:$P$40)+Semidetached!L54*LOOKUP(Semidetached!L$2,'Data by dwelling type'!$A$4:$A$40,'Data by dwelling type'!$Q$4:$Q$40)+Flat!L54*LOOKUP(Flat!L$2,'Data by dwelling type'!$A$4:$A$40,'Data by dwelling type'!$N$4:$N$40))/LOOKUP(Detached!L$2,'Data by dwelling type'!$A$4:$A$40,'Data by dwelling type'!$R$4:$R$40)</f>
        <v>79.149256980334314</v>
      </c>
      <c r="M9" s="340">
        <f>(Detached!M53*LOOKUP(Detached!M$2,'Data by dwelling type'!$A$4:$A$40,'Data by dwelling type'!$P$4:$P$40)+Semidetached!M54*LOOKUP(Semidetached!M$2,'Data by dwelling type'!$A$4:$A$40,'Data by dwelling type'!$Q$4:$Q$40)+Flat!M54*LOOKUP(Flat!M$2,'Data by dwelling type'!$A$4:$A$40,'Data by dwelling type'!$N$4:$N$40))/LOOKUP(Detached!M$2,'Data by dwelling type'!$A$4:$A$40,'Data by dwelling type'!$R$4:$R$40)</f>
        <v>90.448363558670636</v>
      </c>
      <c r="N9" s="340">
        <f>(Detached!N53*LOOKUP(Detached!N$2,'Data by dwelling type'!$A$4:$A$40,'Data by dwelling type'!$P$4:$P$40)+Semidetached!N54*LOOKUP(Semidetached!N$2,'Data by dwelling type'!$A$4:$A$40,'Data by dwelling type'!$Q$4:$Q$40)+Flat!N54*LOOKUP(Flat!N$2,'Data by dwelling type'!$A$4:$A$40,'Data by dwelling type'!$N$4:$N$40))/LOOKUP(Detached!N$2,'Data by dwelling type'!$A$4:$A$40,'Data by dwelling type'!$R$4:$R$40)</f>
        <v>122.54510327422783</v>
      </c>
      <c r="O9" s="340">
        <f>(Detached!O53*LOOKUP(Detached!O$2,'Data by dwelling type'!$A$4:$A$40,'Data by dwelling type'!$P$4:$P$40)+Semidetached!O54*LOOKUP(Semidetached!O$2,'Data by dwelling type'!$A$4:$A$40,'Data by dwelling type'!$Q$4:$Q$40)+Flat!O54*LOOKUP(Flat!O$2,'Data by dwelling type'!$A$4:$A$40,'Data by dwelling type'!$N$4:$N$40))/LOOKUP(Detached!O$2,'Data by dwelling type'!$A$4:$A$40,'Data by dwelling type'!$R$4:$R$40)</f>
        <v>127.41215382670488</v>
      </c>
      <c r="P9" s="340">
        <f>(Detached!P53*LOOKUP(Detached!P$2,'Data by dwelling type'!$A$4:$A$40,'Data by dwelling type'!$P$4:$P$40)+Semidetached!P54*LOOKUP(Semidetached!P$2,'Data by dwelling type'!$A$4:$A$40,'Data by dwelling type'!$Q$4:$Q$40)+Flat!P54*LOOKUP(Flat!P$2,'Data by dwelling type'!$A$4:$A$40,'Data by dwelling type'!$N$4:$N$40))/LOOKUP(Detached!P$2,'Data by dwelling type'!$A$4:$A$40,'Data by dwelling type'!$R$4:$R$40)</f>
        <v>124.79621967910541</v>
      </c>
      <c r="Q9" s="340">
        <f>(Detached!Q53*LOOKUP(Detached!Q$2,'Data by dwelling type'!$A$4:$A$40,'Data by dwelling type'!$P$4:$P$40)+Semidetached!Q54*LOOKUP(Semidetached!Q$2,'Data by dwelling type'!$A$4:$A$40,'Data by dwelling type'!$Q$4:$Q$40)+Flat!Q54*LOOKUP(Flat!Q$2,'Data by dwelling type'!$A$4:$A$40,'Data by dwelling type'!$N$4:$N$40))/LOOKUP(Detached!Q$2,'Data by dwelling type'!$A$4:$A$40,'Data by dwelling type'!$R$4:$R$40)</f>
        <v>133.7962137093711</v>
      </c>
      <c r="R9" s="340">
        <f>(Detached!R53*LOOKUP(Detached!R$2,'Data by dwelling type'!$A$4:$A$40,'Data by dwelling type'!$P$4:$P$40)+Semidetached!R54*LOOKUP(Semidetached!R$2,'Data by dwelling type'!$A$4:$A$40,'Data by dwelling type'!$Q$4:$Q$40)+Flat!R54*LOOKUP(Flat!R$2,'Data by dwelling type'!$A$4:$A$40,'Data by dwelling type'!$N$4:$N$40))/LOOKUP(Detached!R$2,'Data by dwelling type'!$A$4:$A$40,'Data by dwelling type'!$R$4:$R$40)</f>
        <v>139.85248321651346</v>
      </c>
      <c r="S9" s="340">
        <f>(Detached!S53*LOOKUP(Detached!S$2,'Data by dwelling type'!$A$4:$A$40,'Data by dwelling type'!$P$4:$P$40)+Semidetached!S54*LOOKUP(Semidetached!S$2,'Data by dwelling type'!$A$4:$A$40,'Data by dwelling type'!$Q$4:$Q$40)+Flat!S54*LOOKUP(Flat!S$2,'Data by dwelling type'!$A$4:$A$40,'Data by dwelling type'!$N$4:$N$40))/LOOKUP(Detached!S$2,'Data by dwelling type'!$A$4:$A$40,'Data by dwelling type'!$R$4:$R$40)</f>
        <v>122.83018367484142</v>
      </c>
      <c r="T9" s="340">
        <f>(Detached!T53*LOOKUP(Detached!T$2,'Data by dwelling type'!$A$4:$A$40,'Data by dwelling type'!$P$4:$P$40)+Semidetached!T54*LOOKUP(Semidetached!T$2,'Data by dwelling type'!$A$4:$A$40,'Data by dwelling type'!$Q$4:$Q$40)+Flat!T54*LOOKUP(Flat!T$2,'Data by dwelling type'!$A$4:$A$40,'Data by dwelling type'!$N$4:$N$40))/LOOKUP(Detached!T$2,'Data by dwelling type'!$A$4:$A$40,'Data by dwelling type'!$R$4:$R$40)</f>
        <v>107.1696266515593</v>
      </c>
      <c r="U9" s="340">
        <f>(Detached!U53*LOOKUP(Detached!U$2,'Data by dwelling type'!$A$4:$A$40,'Data by dwelling type'!$P$4:$P$40)+Semidetached!U54*LOOKUP(Semidetached!U$2,'Data by dwelling type'!$A$4:$A$40,'Data by dwelling type'!$Q$4:$Q$40)+Flat!U54*LOOKUP(Flat!U$2,'Data by dwelling type'!$A$4:$A$40,'Data by dwelling type'!$N$4:$N$40))/LOOKUP(Detached!U$2,'Data by dwelling type'!$A$4:$A$40,'Data by dwelling type'!$R$4:$R$40)</f>
        <v>83.190701679019114</v>
      </c>
      <c r="V9" s="340">
        <f>(Detached!V53*LOOKUP(Detached!V$2,'Data by dwelling type'!$A$4:$A$40,'Data by dwelling type'!$P$4:$P$40)+Semidetached!V54*LOOKUP(Semidetached!V$2,'Data by dwelling type'!$A$4:$A$40,'Data by dwelling type'!$Q$4:$Q$40)+Flat!V54*LOOKUP(Flat!V$2,'Data by dwelling type'!$A$4:$A$40,'Data by dwelling type'!$N$4:$N$40))/LOOKUP(Detached!V$2,'Data by dwelling type'!$A$4:$A$40,'Data by dwelling type'!$R$4:$R$40)</f>
        <v>124.38992058595285</v>
      </c>
      <c r="W9" s="340">
        <f>(Detached!W53*LOOKUP(Detached!W$2,'Data by dwelling type'!$A$4:$A$40,'Data by dwelling type'!$P$4:$P$40)+Semidetached!W54*LOOKUP(Semidetached!W$2,'Data by dwelling type'!$A$4:$A$40,'Data by dwelling type'!$Q$4:$Q$40)+Flat!W54*LOOKUP(Flat!W$2,'Data by dwelling type'!$A$4:$A$40,'Data by dwelling type'!$N$4:$N$40))/LOOKUP(Detached!W$2,'Data by dwelling type'!$A$4:$A$40,'Data by dwelling type'!$R$4:$R$40)</f>
        <v>124.17257675622299</v>
      </c>
      <c r="X9" s="340">
        <f>(Detached!X53*LOOKUP(Detached!X$2,'Data by dwelling type'!$A$4:$A$40,'Data by dwelling type'!$P$4:$P$40)+Semidetached!X54*LOOKUP(Semidetached!X$2,'Data by dwelling type'!$A$4:$A$40,'Data by dwelling type'!$Q$4:$Q$40)+Flat!X54*LOOKUP(Flat!X$2,'Data by dwelling type'!$A$4:$A$40,'Data by dwelling type'!$N$4:$N$40))/LOOKUP(Detached!X$2,'Data by dwelling type'!$A$4:$A$40,'Data by dwelling type'!$R$4:$R$40)</f>
        <v>136.06376290388948</v>
      </c>
      <c r="Y9" s="340">
        <f>(Detached!Y53*LOOKUP(Detached!Y$2,'Data by dwelling type'!$A$4:$A$40,'Data by dwelling type'!$P$4:$P$40)+Semidetached!Y54*LOOKUP(Semidetached!Y$2,'Data by dwelling type'!$A$4:$A$40,'Data by dwelling type'!$Q$4:$Q$40)+Flat!Y54*LOOKUP(Flat!Y$2,'Data by dwelling type'!$A$4:$A$40,'Data by dwelling type'!$N$4:$N$40))/LOOKUP(Detached!Y$2,'Data by dwelling type'!$A$4:$A$40,'Data by dwelling type'!$R$4:$R$40)</f>
        <v>39.949356798438835</v>
      </c>
      <c r="Z9" s="340">
        <f>(Detached!Z53*LOOKUP(Detached!Z$2,'Data by dwelling type'!$A$4:$A$40,'Data by dwelling type'!$P$4:$P$40)+Semidetached!Z54*LOOKUP(Semidetached!Z$2,'Data by dwelling type'!$A$4:$A$40,'Data by dwelling type'!$Q$4:$Q$40)+Flat!Z54*LOOKUP(Flat!Z$2,'Data by dwelling type'!$A$4:$A$40,'Data by dwelling type'!$N$4:$N$40))/LOOKUP(Detached!Z$2,'Data by dwelling type'!$A$4:$A$40,'Data by dwelling type'!$R$4:$R$40)</f>
        <v>122.20181913048948</v>
      </c>
      <c r="AA9" s="340">
        <f>(Detached!AA53*LOOKUP(Detached!AA$2,'Data by dwelling type'!$A$4:$A$40,'Data by dwelling type'!$P$4:$P$40)+Semidetached!AA54*LOOKUP(Semidetached!AA$2,'Data by dwelling type'!$A$4:$A$40,'Data by dwelling type'!$Q$4:$Q$40)+Flat!AA54*LOOKUP(Flat!AA$2,'Data by dwelling type'!$A$4:$A$40,'Data by dwelling type'!$N$4:$N$40))/LOOKUP(Detached!AA$2,'Data by dwelling type'!$A$4:$A$40,'Data by dwelling type'!$R$4:$R$40)</f>
        <v>95.442617694305767</v>
      </c>
      <c r="AB9" s="340">
        <f>(Detached!AB53*LOOKUP(Detached!AB$2,'Data by dwelling type'!$A$4:$A$40,'Data by dwelling type'!$P$4:$P$40)+Semidetached!AB54*LOOKUP(Semidetached!AB$2,'Data by dwelling type'!$A$4:$A$40,'Data by dwelling type'!$Q$4:$Q$40)+Flat!AB54*LOOKUP(Flat!AB$2,'Data by dwelling type'!$A$4:$A$40,'Data by dwelling type'!$N$4:$N$40))/LOOKUP(Detached!AB$2,'Data by dwelling type'!$A$4:$A$40,'Data by dwelling type'!$R$4:$R$40)</f>
        <v>138.82697574442176</v>
      </c>
      <c r="AC9" s="340">
        <f>(Detached!AC53*LOOKUP(Detached!AC$2,'Data by dwelling type'!$A$4:$A$40,'Data by dwelling type'!$P$4:$P$40)+Semidetached!AC54*LOOKUP(Semidetached!AC$2,'Data by dwelling type'!$A$4:$A$40,'Data by dwelling type'!$Q$4:$Q$40)+Flat!AC54*LOOKUP(Flat!AC$2,'Data by dwelling type'!$A$4:$A$40,'Data by dwelling type'!$N$4:$N$40))/LOOKUP(Detached!AC$2,'Data by dwelling type'!$A$4:$A$40,'Data by dwelling type'!$R$4:$R$40)</f>
        <v>76.038393169600823</v>
      </c>
      <c r="AD9" s="340">
        <f>(Detached!AD53*LOOKUP(Detached!AD$2,'Data by dwelling type'!$A$4:$A$40,'Data by dwelling type'!$P$4:$P$40)+Semidetached!AD54*LOOKUP(Semidetached!AD$2,'Data by dwelling type'!$A$4:$A$40,'Data by dwelling type'!$Q$4:$Q$40)+Flat!AD54*LOOKUP(Flat!AD$2,'Data by dwelling type'!$A$4:$A$40,'Data by dwelling type'!$N$4:$N$40))/LOOKUP(Detached!AD$2,'Data by dwelling type'!$A$4:$A$40,'Data by dwelling type'!$R$4:$R$40)</f>
        <v>177.11946469887522</v>
      </c>
      <c r="AE9" s="340">
        <f>(Detached!AE53*LOOKUP(Detached!AE$2,'Data by dwelling type'!$A$4:$A$40,'Data by dwelling type'!$P$4:$P$40)+Semidetached!AE54*LOOKUP(Semidetached!AE$2,'Data by dwelling type'!$A$4:$A$40,'Data by dwelling type'!$Q$4:$Q$40)+Flat!AE54*LOOKUP(Flat!AE$2,'Data by dwelling type'!$A$4:$A$40,'Data by dwelling type'!$N$4:$N$40))/LOOKUP(Detached!AE$2,'Data by dwelling type'!$A$4:$A$40,'Data by dwelling type'!$R$4:$R$40)</f>
        <v>103.06866758239309</v>
      </c>
      <c r="AF9" s="340">
        <f>(Detached!AF53*LOOKUP(Detached!AF$2,'Data by dwelling type'!$A$4:$A$40,'Data by dwelling type'!$P$4:$P$40)+Semidetached!AF54*LOOKUP(Semidetached!AF$2,'Data by dwelling type'!$A$4:$A$40,'Data by dwelling type'!$Q$4:$Q$40)+Flat!AF54*LOOKUP(Flat!AF$2,'Data by dwelling type'!$A$4:$A$40,'Data by dwelling type'!$N$4:$N$40))/LOOKUP(Detached!AF$2,'Data by dwelling type'!$A$4:$A$40,'Data by dwelling type'!$R$4:$R$40)</f>
        <v>122.65677182118493</v>
      </c>
      <c r="AG9" s="340">
        <f>(Detached!AG53*LOOKUP(Detached!AG$2,'Data by dwelling type'!$A$4:$A$40,'Data by dwelling type'!$P$4:$P$40)+Semidetached!AG54*LOOKUP(Semidetached!AG$2,'Data by dwelling type'!$A$4:$A$40,'Data by dwelling type'!$Q$4:$Q$40)+Flat!AG54*LOOKUP(Flat!AG$2,'Data by dwelling type'!$A$4:$A$40,'Data by dwelling type'!$N$4:$N$40))/LOOKUP(Detached!AG$2,'Data by dwelling type'!$A$4:$A$40,'Data by dwelling type'!$R$4:$R$40)</f>
        <v>178.26996866335176</v>
      </c>
      <c r="AH9" s="340">
        <f>(Detached!AH53*LOOKUP(Detached!AH$2,'Data by dwelling type'!$A$4:$A$40,'Data by dwelling type'!$P$4:$P$40)+Semidetached!AH54*LOOKUP(Semidetached!AH$2,'Data by dwelling type'!$A$4:$A$40,'Data by dwelling type'!$Q$4:$Q$40)+Flat!AH54*LOOKUP(Flat!AH$2,'Data by dwelling type'!$A$4:$A$40,'Data by dwelling type'!$N$4:$N$40))/LOOKUP(Detached!AH$2,'Data by dwelling type'!$A$4:$A$40,'Data by dwelling type'!$R$4:$R$40)</f>
        <v>172.67031788546117</v>
      </c>
      <c r="AI9" s="340">
        <f>(Detached!AI53*LOOKUP(Detached!AI$2,'Data by dwelling type'!$A$4:$A$40,'Data by dwelling type'!$P$4:$P$40)+Semidetached!AI54*LOOKUP(Semidetached!AI$2,'Data by dwelling type'!$A$4:$A$40,'Data by dwelling type'!$Q$4:$Q$40)+Flat!AI54*LOOKUP(Flat!AI$2,'Data by dwelling type'!$A$4:$A$40,'Data by dwelling type'!$N$4:$N$40))/LOOKUP(Detached!AI$2,'Data by dwelling type'!$A$4:$A$40,'Data by dwelling type'!$R$4:$R$40)</f>
        <v>114.61352118045671</v>
      </c>
      <c r="AJ9" s="340">
        <f>(Detached!AJ53*LOOKUP(Detached!AJ$2,'Data by dwelling type'!$A$4:$A$40,'Data by dwelling type'!$P$4:$P$40)+Semidetached!AJ54*LOOKUP(Semidetached!AJ$2,'Data by dwelling type'!$A$4:$A$40,'Data by dwelling type'!$Q$4:$Q$40)+Flat!AJ54*LOOKUP(Flat!AJ$2,'Data by dwelling type'!$A$4:$A$40,'Data by dwelling type'!$N$4:$N$40))/LOOKUP(Detached!AJ$2,'Data by dwelling type'!$A$4:$A$40,'Data by dwelling type'!$R$4:$R$40)</f>
        <v>144.33822918928922</v>
      </c>
      <c r="AK9" s="340">
        <f>(Detached!AK53*LOOKUP(Detached!AK$2,'Data by dwelling type'!$A$4:$A$40,'Data by dwelling type'!$P$4:$P$40)+Semidetached!AK54*LOOKUP(Semidetached!AK$2,'Data by dwelling type'!$A$4:$A$40,'Data by dwelling type'!$Q$4:$Q$40)+Flat!AK54*LOOKUP(Flat!AK$2,'Data by dwelling type'!$A$4:$A$40,'Data by dwelling type'!$N$4:$N$40))/LOOKUP(Detached!AK$2,'Data by dwelling type'!$A$4:$A$40,'Data by dwelling type'!$R$4:$R$40)</f>
        <v>107.26547051811285</v>
      </c>
      <c r="AL9" s="340">
        <f>(Detached!AL53*LOOKUP(Detached!AL$2,'Data by dwelling type'!$A$4:$A$40,'Data by dwelling type'!$P$4:$P$40)+Semidetached!AL54*LOOKUP(Semidetached!AL$2,'Data by dwelling type'!$A$4:$A$40,'Data by dwelling type'!$Q$4:$Q$40)+Flat!AL54*LOOKUP(Flat!AL$2,'Data by dwelling type'!$A$4:$A$40,'Data by dwelling type'!$N$4:$N$40))/LOOKUP(Detached!AL$2,'Data by dwelling type'!$A$4:$A$40,'Data by dwelling type'!$R$4:$R$40)</f>
        <v>123.26332050446679</v>
      </c>
      <c r="AM9" s="340">
        <f>(Detached!AM53*LOOKUP(Detached!AM$2,'Data by dwelling type'!$A$4:$A$40,'Data by dwelling type'!$P$4:$P$40)+Semidetached!AM54*LOOKUP(Semidetached!AM$2,'Data by dwelling type'!$A$4:$A$40,'Data by dwelling type'!$Q$4:$Q$40)+Flat!AM54*LOOKUP(Flat!AM$2,'Data by dwelling type'!$A$4:$A$40,'Data by dwelling type'!$N$4:$N$40))/LOOKUP(Detached!AM$2,'Data by dwelling type'!$A$4:$A$40,'Data by dwelling type'!$R$4:$R$40)</f>
        <v>132.72991849131421</v>
      </c>
      <c r="AN9" s="341">
        <f>(Detached!AN53*LOOKUP(Detached!AN$2,'Data by dwelling type'!$A$4:$A$40,'Data by dwelling type'!$P$4:$P$40)+Semidetached!AN54*LOOKUP(Semidetached!AN$2,'Data by dwelling type'!$A$4:$A$40,'Data by dwelling type'!$Q$4:$Q$40)+Flat!AN54*LOOKUP(Flat!AN$2,'Data by dwelling type'!$A$4:$A$40,'Data by dwelling type'!$N$4:$N$40))/LOOKUP(Detached!AN$2,'Data by dwelling type'!$A$4:$A$40,'Data by dwelling type'!$R$4:$R$40)</f>
        <v>132.72991849131421</v>
      </c>
    </row>
    <row r="10" spans="1:40">
      <c r="D10" s="509"/>
      <c r="E10" s="509"/>
      <c r="F10" s="509"/>
      <c r="G10" s="509"/>
      <c r="H10" s="509"/>
      <c r="I10" s="509"/>
      <c r="J10" s="509"/>
      <c r="K10" s="509"/>
      <c r="L10" s="509"/>
      <c r="M10" s="509"/>
      <c r="N10" s="509"/>
      <c r="O10" s="509"/>
      <c r="P10" s="509"/>
      <c r="Q10" s="509"/>
      <c r="R10" s="509"/>
      <c r="S10" s="509"/>
      <c r="T10" s="509"/>
      <c r="U10" s="509"/>
      <c r="V10" s="509"/>
      <c r="W10" s="509"/>
      <c r="X10" s="509"/>
      <c r="Y10" s="509"/>
      <c r="Z10" s="509"/>
      <c r="AA10" s="509"/>
      <c r="AB10" s="509"/>
      <c r="AC10" s="509"/>
      <c r="AD10" s="509"/>
      <c r="AE10" s="509"/>
      <c r="AF10" s="509"/>
      <c r="AG10" s="509"/>
      <c r="AH10" s="509"/>
      <c r="AI10" s="509"/>
      <c r="AJ10" s="509"/>
      <c r="AK10" s="509"/>
      <c r="AL10" s="509"/>
      <c r="AM10" s="509"/>
      <c r="AN10" s="509"/>
    </row>
    <row r="11" spans="1:40">
      <c r="B11" t="s">
        <v>512</v>
      </c>
      <c r="C11" t="s">
        <v>517</v>
      </c>
      <c r="D11" s="509">
        <f>LOOKUP(D2,'Dwelling stock'!$A$4:$A$40,'Dwelling stock'!$K$4:$K$40)</f>
        <v>3562.4891170000001</v>
      </c>
      <c r="E11" s="509">
        <f>LOOKUP(E2,'Dwelling stock'!$A$4:$A$40,'Dwelling stock'!$K$4:$K$40)</f>
        <v>4523</v>
      </c>
      <c r="F11" s="509">
        <f>LOOKUP(F2,'Dwelling stock'!$A$4:$A$40,'Dwelling stock'!$K$4:$K$40)</f>
        <v>3082</v>
      </c>
      <c r="G11" s="509">
        <f>LOOKUP(G2,'Dwelling stock'!$A$4:$A$40,'Dwelling stock'!$K$4:$K$40)</f>
        <v>3870.2</v>
      </c>
      <c r="H11" s="509">
        <f>LOOKUP(H2,'Dwelling stock'!$A$4:$A$40,'Dwelling stock'!$K$4:$K$40)</f>
        <v>299.15699899999998</v>
      </c>
      <c r="I11" s="509">
        <f>LOOKUP(I2,'Dwelling stock'!$A$4:$A$40,'Dwelling stock'!$K$4:$K$40)</f>
        <v>3993</v>
      </c>
      <c r="J11" s="509">
        <f>LOOKUP(J2,'Dwelling stock'!$A$4:$A$40,'Dwelling stock'!$K$4:$K$40)</f>
        <v>39210.071700000008</v>
      </c>
      <c r="K11" s="509">
        <f>LOOKUP(K2,'Dwelling stock'!$A$4:$A$40,'Dwelling stock'!$K$4:$K$40)</f>
        <v>2670.6901169999996</v>
      </c>
      <c r="L11" s="509">
        <f>LOOKUP(L2,'Dwelling stock'!$A$4:$A$40,'Dwelling stock'!$K$4:$K$40)</f>
        <v>651.62</v>
      </c>
      <c r="M11" s="509">
        <f>LOOKUP(M2,'Dwelling stock'!$A$4:$A$40,'Dwelling stock'!$K$4:$K$40)</f>
        <v>16741.379000000001</v>
      </c>
      <c r="N11" s="509">
        <f>LOOKUP(N2,'Dwelling stock'!$A$4:$A$40,'Dwelling stock'!$K$4:$K$40)</f>
        <v>2499</v>
      </c>
      <c r="O11" s="509">
        <f>LOOKUP(O2,'Dwelling stock'!$A$4:$A$40,'Dwelling stock'!$K$4:$K$40)</f>
        <v>27038.600000000002</v>
      </c>
      <c r="P11" s="509">
        <f>LOOKUP(P2,'Dwelling stock'!$A$4:$A$40,'Dwelling stock'!$K$4:$K$40)</f>
        <v>3847.2740010000002</v>
      </c>
      <c r="Q11" s="509">
        <f>LOOKUP(Q2,'Dwelling stock'!$A$4:$A$40,'Dwelling stock'!$K$4:$K$40)</f>
        <v>1484</v>
      </c>
      <c r="R11" s="509">
        <f>LOOKUP(R2,'Dwelling stock'!$A$4:$A$40,'Dwelling stock'!$K$4:$K$40)</f>
        <v>4028</v>
      </c>
      <c r="S11" s="509">
        <f>LOOKUP(S2,'Dwelling stock'!$A$4:$A$40,'Dwelling stock'!$K$4:$K$40)</f>
        <v>1649.4080009999998</v>
      </c>
      <c r="T11" s="509">
        <f>LOOKUP(T2,'Dwelling stock'!$A$4:$A$40,'Dwelling stock'!$K$4:$K$40)</f>
        <v>151.45494265628156</v>
      </c>
      <c r="U11" s="509">
        <f>LOOKUP(U2,'Dwelling stock'!$A$4:$A$40,'Dwelling stock'!$K$4:$K$40)</f>
        <v>26944.000000000004</v>
      </c>
      <c r="V11" s="509">
        <f>LOOKUP(V2,'Dwelling stock'!$A$4:$A$40,'Dwelling stock'!$K$4:$K$40)</f>
        <v>1536.9177920000002</v>
      </c>
      <c r="W11" s="509">
        <f>LOOKUP(W2,'Dwelling stock'!$A$4:$A$40,'Dwelling stock'!$K$4:$K$40)</f>
        <v>187.99999900000003</v>
      </c>
      <c r="X11" s="509">
        <f>LOOKUP(X2,'Dwelling stock'!$A$4:$A$40,'Dwelling stock'!$K$4:$K$40)</f>
        <v>988.20799999999997</v>
      </c>
      <c r="Y11" s="509">
        <f>LOOKUP(Y2,'Dwelling stock'!$A$4:$A$40,'Dwelling stock'!$K$4:$K$40)</f>
        <v>141.83999999999997</v>
      </c>
      <c r="Z11" s="509">
        <f>LOOKUP(Z2,'Dwelling stock'!$A$4:$A$40,'Dwelling stock'!$K$4:$K$40)</f>
        <v>6986.8227309999993</v>
      </c>
      <c r="AA11" s="509">
        <f>LOOKUP(AA2,'Dwelling stock'!$A$4:$A$40,'Dwelling stock'!$K$4:$K$40)</f>
        <v>2274.3620000000001</v>
      </c>
      <c r="AB11" s="509">
        <f>LOOKUP(AB2,'Dwelling stock'!$A$4:$A$40,'Dwelling stock'!$K$4:$K$40)</f>
        <v>13422</v>
      </c>
      <c r="AC11" s="509">
        <f>LOOKUP(AC2,'Dwelling stock'!$A$4:$A$40,'Dwelling stock'!$K$4:$K$40)</f>
        <v>3793.7197420000002</v>
      </c>
      <c r="AD11" s="509">
        <f>LOOKUP(AD2,'Dwelling stock'!$A$4:$A$40,'Dwelling stock'!$K$4:$K$40)</f>
        <v>7361.6319000000003</v>
      </c>
      <c r="AE11" s="509">
        <f>LOOKUP(AE2,'Dwelling stock'!$A$4:$A$40,'Dwelling stock'!$K$4:$K$40)</f>
        <v>4170.9999990000006</v>
      </c>
      <c r="AF11" s="509">
        <f>LOOKUP(AF2,'Dwelling stock'!$A$4:$A$40,'Dwelling stock'!$K$4:$K$40)</f>
        <v>765.19938599999989</v>
      </c>
      <c r="AG11" s="509">
        <f>LOOKUP(AG2,'Dwelling stock'!$A$4:$A$40,'Dwelling stock'!$K$4:$K$40)</f>
        <v>1729</v>
      </c>
      <c r="AH11" s="509">
        <f>LOOKUP(AH2,'Dwelling stock'!$A$4:$A$40,'Dwelling stock'!$K$4:$K$40)</f>
        <v>25516.964</v>
      </c>
      <c r="AI11" s="509">
        <f>LOOKUP(AI2,'Dwelling stock'!$A$4:$A$40,'Dwelling stock'!$K$4:$K$40)</f>
        <v>1064.0467101257525</v>
      </c>
      <c r="AJ11" s="509">
        <f>LOOKUP(AJ2,'Dwelling stock'!$A$4:$A$40,'Dwelling stock'!$K$4:$K$40)</f>
        <v>1290.2104668790817</v>
      </c>
      <c r="AK11" s="509">
        <f>LOOKUP(AK2,'Dwelling stock'!$A$4:$A$40,'Dwelling stock'!$K$4:$K$40)</f>
        <v>206.61078030029054</v>
      </c>
      <c r="AL11" s="509">
        <f>LOOKUP(AL2,'Dwelling stock'!$A$4:$A$40,'Dwelling stock'!$K$4:$K$40)</f>
        <v>686.47619390068166</v>
      </c>
      <c r="AM11" s="509">
        <f>LOOKUP(AM2,'Dwelling stock'!$A$4:$A$40,'Dwelling stock'!$K$4:$K$40)</f>
        <v>2472.277564</v>
      </c>
      <c r="AN11" s="509">
        <f>LOOKUP(AN2,'Dwelling stock'!$A$4:$A$40,'Dwelling stock'!$K$4:$K$40)</f>
        <v>722.71430084492431</v>
      </c>
    </row>
    <row r="12" spans="1:40">
      <c r="A12" t="s">
        <v>542</v>
      </c>
      <c r="B12" t="s">
        <v>512</v>
      </c>
      <c r="C12" s="510" t="s">
        <v>514</v>
      </c>
      <c r="D12" s="509">
        <f ca="1">SUMIF('Dwelling stock'!$B$46:$B$63,"="&amp;'All Stock'!$A12,'Dwelling stock'!G$46:G$63)</f>
        <v>1015.1617420667309</v>
      </c>
      <c r="E12" s="509">
        <f ca="1">SUMIF('Dwelling stock'!$B$46:$B$63,"="&amp;'All Stock'!$A12,'Dwelling stock'!H$46:H$63)</f>
        <v>950.38721758799818</v>
      </c>
      <c r="F12" s="509">
        <f ca="1">SUMIF('Dwelling stock'!$B$46:$B$63,"="&amp;'All Stock'!$A12,'Dwelling stock'!I$46:I$63)</f>
        <v>617.01235048221133</v>
      </c>
      <c r="G12" s="509">
        <f ca="1">SUMIF('Dwelling stock'!$B$46:$B$63,"="&amp;'All Stock'!$A12,'Dwelling stock'!J$46:J$63)</f>
        <v>841.55023836199894</v>
      </c>
      <c r="H12" s="509">
        <f ca="1">SUMIF('Dwelling stock'!$B$46:$B$63,"="&amp;'All Stock'!$A12,'Dwelling stock'!K$46:K$63)</f>
        <v>105.85210650896605</v>
      </c>
      <c r="I12" s="509">
        <f ca="1">SUMIF('Dwelling stock'!$B$46:$B$63,"="&amp;'All Stock'!$A12,'Dwelling stock'!L$46:L$63)</f>
        <v>1027.0583960859854</v>
      </c>
      <c r="J12" s="509">
        <f ca="1">SUMIF('Dwelling stock'!$B$46:$B$63,"="&amp;'All Stock'!$A12,'Dwelling stock'!M$46:M$63)</f>
        <v>7733.6445777729996</v>
      </c>
      <c r="K12" s="509">
        <f ca="1">SUMIF('Dwelling stock'!$B$46:$B$63,"="&amp;'All Stock'!$A12,'Dwelling stock'!N$46:N$63)</f>
        <v>997.38128975028371</v>
      </c>
      <c r="L12" s="509">
        <f ca="1">SUMIF('Dwelling stock'!$B$46:$B$63,"="&amp;'All Stock'!$A12,'Dwelling stock'!O$46:O$63)</f>
        <v>111.66794070434818</v>
      </c>
      <c r="M12" s="509">
        <f ca="1">SUMIF('Dwelling stock'!$B$46:$B$63,"="&amp;'All Stock'!$A12,'Dwelling stock'!P$46:P$63)</f>
        <v>972.98461512062556</v>
      </c>
      <c r="N12" s="509">
        <f ca="1">SUMIF('Dwelling stock'!$B$46:$B$63,"="&amp;'All Stock'!$A12,'Dwelling stock'!Q$46:Q$63)</f>
        <v>792.12146873135043</v>
      </c>
      <c r="O12" s="509">
        <f ca="1">SUMIF('Dwelling stock'!$B$46:$B$63,"="&amp;'All Stock'!$A12,'Dwelling stock'!R$46:R$63)</f>
        <v>6298.8611265069103</v>
      </c>
      <c r="P12" s="509">
        <f ca="1">SUMIF('Dwelling stock'!$B$46:$B$63,"="&amp;'All Stock'!$A12,'Dwelling stock'!S$46:S$63)</f>
        <v>728.81258452857583</v>
      </c>
      <c r="Q12" s="509">
        <f ca="1">SUMIF('Dwelling stock'!$B$46:$B$63,"="&amp;'All Stock'!$A12,'Dwelling stock'!T$46:T$63)</f>
        <v>636.08385108705147</v>
      </c>
      <c r="R12" s="509">
        <f ca="1">SUMIF('Dwelling stock'!$B$46:$B$63,"="&amp;'All Stock'!$A12,'Dwelling stock'!U$46:U$63)</f>
        <v>1536.6620681291092</v>
      </c>
      <c r="S12" s="509">
        <f ca="1">SUMIF('Dwelling stock'!$B$46:$B$63,"="&amp;'All Stock'!$A12,'Dwelling stock'!V$46:V$63)</f>
        <v>465.4938173667573</v>
      </c>
      <c r="T12" s="509">
        <f ca="1">SUMIF('Dwelling stock'!$B$46:$B$63,"="&amp;'All Stock'!$A12,'Dwelling stock'!W$46:W$63)</f>
        <v>43.582503702093739</v>
      </c>
      <c r="U12" s="509">
        <f ca="1">SUMIF('Dwelling stock'!$B$46:$B$63,"="&amp;'All Stock'!$A12,'Dwelling stock'!X$46:X$63)</f>
        <v>2111.8077464892062</v>
      </c>
      <c r="V12" s="509">
        <f ca="1">SUMIF('Dwelling stock'!$B$46:$B$63,"="&amp;'All Stock'!$A12,'Dwelling stock'!Y$46:Y$63)</f>
        <v>260.6260426365339</v>
      </c>
      <c r="W12" s="509">
        <f ca="1">SUMIF('Dwelling stock'!$B$46:$B$63,"="&amp;'All Stock'!$A12,'Dwelling stock'!Z$46:Z$63)</f>
        <v>52.311376967256976</v>
      </c>
      <c r="X12" s="509">
        <f ca="1">SUMIF('Dwelling stock'!$B$46:$B$63,"="&amp;'All Stock'!$A12,'Dwelling stock'!AA$46:AA$63)</f>
        <v>184.32886489158906</v>
      </c>
      <c r="Y12" s="509">
        <f ca="1">SUMIF('Dwelling stock'!$B$46:$B$63,"="&amp;'All Stock'!$A12,'Dwelling stock'!AB$46:AB$63)</f>
        <v>3.5681226167323814</v>
      </c>
      <c r="Z12" s="509">
        <f ca="1">SUMIF('Dwelling stock'!$B$46:$B$63,"="&amp;'All Stock'!$A12,'Dwelling stock'!AC$46:AC$63)</f>
        <v>635.7890772514387</v>
      </c>
      <c r="AA12" s="509">
        <f ca="1">SUMIF('Dwelling stock'!$B$46:$B$63,"="&amp;'All Stock'!$A12,'Dwelling stock'!AD$46:AD$63)</f>
        <v>463.61250295081135</v>
      </c>
      <c r="AB12" s="509">
        <f ca="1">SUMIF('Dwelling stock'!$B$46:$B$63,"="&amp;'All Stock'!$A12,'Dwelling stock'!AE$46:AE$63)</f>
        <v>3324.8675845300977</v>
      </c>
      <c r="AC12" s="509">
        <f ca="1">SUMIF('Dwelling stock'!$B$46:$B$63,"="&amp;'All Stock'!$A12,'Dwelling stock'!AF$46:AF$63)</f>
        <v>409.81535958290465</v>
      </c>
      <c r="AD12" s="509">
        <f ca="1">SUMIF('Dwelling stock'!$B$46:$B$63,"="&amp;'All Stock'!$A12,'Dwelling stock'!AG$46:AG$63)</f>
        <v>2103.4798267105439</v>
      </c>
      <c r="AE12" s="509">
        <f ca="1">SUMIF('Dwelling stock'!$B$46:$B$63,"="&amp;'All Stock'!$A12,'Dwelling stock'!AH$46:AH$63)</f>
        <v>1178.7306369579453</v>
      </c>
      <c r="AF12" s="509">
        <f ca="1">SUMIF('Dwelling stock'!$B$46:$B$63,"="&amp;'All Stock'!$A12,'Dwelling stock'!AI$46:AI$63)</f>
        <v>195.0647590041072</v>
      </c>
      <c r="AG12" s="509">
        <f ca="1">SUMIF('Dwelling stock'!$B$46:$B$63,"="&amp;'All Stock'!$A12,'Dwelling stock'!AJ$46:AJ$63)</f>
        <v>431.5030062406849</v>
      </c>
      <c r="AH12" s="509">
        <f ca="1">SUMIF('Dwelling stock'!$B$46:$B$63,"="&amp;'All Stock'!$A12,'Dwelling stock'!AK$46:AK$63)</f>
        <v>3810.9775435169372</v>
      </c>
      <c r="AI12" s="509">
        <f ca="1">SUMIF('Dwelling stock'!$B$46:$B$63,"="&amp;'All Stock'!$A12,'Dwelling stock'!AL$46:AL$63)</f>
        <v>85.365658654832771</v>
      </c>
      <c r="AJ12" s="509">
        <f ca="1">SUMIF('Dwelling stock'!$B$46:$B$63,"="&amp;'All Stock'!$A12,'Dwelling stock'!AM$46:AM$63)</f>
        <v>223.10096467272101</v>
      </c>
      <c r="AK12" s="509">
        <f ca="1">SUMIF('Dwelling stock'!$B$46:$B$63,"="&amp;'All Stock'!$A12,'Dwelling stock'!AN$46:AN$63)</f>
        <v>42.777194524504466</v>
      </c>
      <c r="AL12" s="509">
        <f ca="1">SUMIF('Dwelling stock'!$B$46:$B$63,"="&amp;'All Stock'!$A12,'Dwelling stock'!AO$46:AO$63)</f>
        <v>116.45012006921739</v>
      </c>
      <c r="AM12" s="509">
        <f ca="1">SUMIF('Dwelling stock'!$B$46:$B$63,"="&amp;'All Stock'!$A12,'Dwelling stock'!AP$46:AP$63)</f>
        <v>659.19651017847536</v>
      </c>
      <c r="AN12" s="509">
        <f ca="1">SUMIF('Dwelling stock'!$B$46:$B$63,"="&amp;'All Stock'!$A12,'Dwelling stock'!AQ$46:AQ$63)</f>
        <v>131.32823361464639</v>
      </c>
    </row>
    <row r="13" spans="1:40" s="665" customFormat="1">
      <c r="A13" s="665" t="s">
        <v>900</v>
      </c>
      <c r="B13" s="665" t="s">
        <v>512</v>
      </c>
      <c r="C13" s="839" t="s">
        <v>962</v>
      </c>
      <c r="D13" s="840">
        <f ca="1">SUMIF('Dwelling stock'!$B$46:$B$51,"="&amp;'All Stock'!$A12,'Dwelling stock'!G$46:G$51)</f>
        <v>540.00084420373992</v>
      </c>
      <c r="E13" s="840">
        <f ca="1">SUMIF('Dwelling stock'!$B$46:$B$51,"="&amp;'All Stock'!$A12,'Dwelling stock'!H$46:H$51)</f>
        <v>584.98297894428185</v>
      </c>
      <c r="F13" s="840">
        <f ca="1">SUMIF('Dwelling stock'!$B$46:$B$51,"="&amp;'All Stock'!$A12,'Dwelling stock'!I$46:I$51)</f>
        <v>267.90244129073722</v>
      </c>
      <c r="G13" s="840">
        <f ca="1">SUMIF('Dwelling stock'!$B$46:$B$51,"="&amp;'All Stock'!$A12,'Dwelling stock'!J$46:J$51)</f>
        <v>447.65067508372067</v>
      </c>
      <c r="H13" s="840">
        <f ca="1">SUMIF('Dwelling stock'!$B$46:$B$51,"="&amp;'All Stock'!$A12,'Dwelling stock'!K$46:K$51)</f>
        <v>13.878190730123617</v>
      </c>
      <c r="I13" s="840">
        <f ca="1">SUMIF('Dwelling stock'!$B$46:$B$51,"="&amp;'All Stock'!$A12,'Dwelling stock'!L$46:L$51)</f>
        <v>584.42147634195521</v>
      </c>
      <c r="J13" s="840">
        <f ca="1">SUMIF('Dwelling stock'!$B$46:$B$51,"="&amp;'All Stock'!$A12,'Dwelling stock'!M$46:M$51)</f>
        <v>4211.6564115516494</v>
      </c>
      <c r="K13" s="840">
        <f ca="1">SUMIF('Dwelling stock'!$B$46:$B$51,"="&amp;'All Stock'!$A12,'Dwelling stock'!N$46:N$51)</f>
        <v>618.07165047374031</v>
      </c>
      <c r="L13" s="840">
        <f ca="1">SUMIF('Dwelling stock'!$B$46:$B$51,"="&amp;'All Stock'!$A12,'Dwelling stock'!O$46:O$51)</f>
        <v>51.896089758273291</v>
      </c>
      <c r="M13" s="840">
        <f ca="1">SUMIF('Dwelling stock'!$B$46:$B$51,"="&amp;'All Stock'!$A12,'Dwelling stock'!P$46:P$51)</f>
        <v>352.87028355089234</v>
      </c>
      <c r="N13" s="840">
        <f ca="1">SUMIF('Dwelling stock'!$B$46:$B$51,"="&amp;'All Stock'!$A12,'Dwelling stock'!Q$46:Q$51)</f>
        <v>315.86049282682688</v>
      </c>
      <c r="O13" s="840">
        <f ca="1">SUMIF('Dwelling stock'!$B$46:$B$51,"="&amp;'All Stock'!$A12,'Dwelling stock'!R$46:R$51)</f>
        <v>2810.1308923900415</v>
      </c>
      <c r="P13" s="840">
        <f ca="1">SUMIF('Dwelling stock'!$B$46:$B$51,"="&amp;'All Stock'!$A12,'Dwelling stock'!S$46:S$51)</f>
        <v>281.46302651818269</v>
      </c>
      <c r="Q13" s="840">
        <f ca="1">SUMIF('Dwelling stock'!$B$46:$B$51,"="&amp;'All Stock'!$A12,'Dwelling stock'!T$46:T$51)</f>
        <v>265.63241942959337</v>
      </c>
      <c r="R13" s="840">
        <f ca="1">SUMIF('Dwelling stock'!$B$46:$B$51,"="&amp;'All Stock'!$A12,'Dwelling stock'!U$46:U$51)</f>
        <v>688.19439867384108</v>
      </c>
      <c r="S13" s="840">
        <f ca="1">SUMIF('Dwelling stock'!$B$46:$B$51,"="&amp;'All Stock'!$A12,'Dwelling stock'!V$46:V$51)</f>
        <v>149.57695703860952</v>
      </c>
      <c r="T13" s="840">
        <f ca="1">SUMIF('Dwelling stock'!$B$46:$B$51,"="&amp;'All Stock'!$A12,'Dwelling stock'!W$46:W$51)</f>
        <v>17.37863653666367</v>
      </c>
      <c r="U13" s="840">
        <f ca="1">SUMIF('Dwelling stock'!$B$46:$B$51,"="&amp;'All Stock'!$A12,'Dwelling stock'!X$46:X$51)</f>
        <v>1222.5632852976669</v>
      </c>
      <c r="V13" s="840">
        <f ca="1">SUMIF('Dwelling stock'!$B$46:$B$51,"="&amp;'All Stock'!$A12,'Dwelling stock'!Y$46:Y$51)</f>
        <v>138.73891693008466</v>
      </c>
      <c r="W13" s="840">
        <f ca="1">SUMIF('Dwelling stock'!$B$46:$B$51,"="&amp;'All Stock'!$A12,'Dwelling stock'!Z$46:Z$51)</f>
        <v>28.432291168811318</v>
      </c>
      <c r="X13" s="840">
        <f ca="1">SUMIF('Dwelling stock'!$B$46:$B$51,"="&amp;'All Stock'!$A12,'Dwelling stock'!AA$46:AA$51)</f>
        <v>85.336379889004775</v>
      </c>
      <c r="Y13" s="840">
        <f ca="1">SUMIF('Dwelling stock'!$B$46:$B$51,"="&amp;'All Stock'!$A12,'Dwelling stock'!AB$46:AB$51)</f>
        <v>1.595604864868567</v>
      </c>
      <c r="Z13" s="840">
        <f ca="1">SUMIF('Dwelling stock'!$B$46:$B$51,"="&amp;'All Stock'!$A12,'Dwelling stock'!AC$46:AC$51)</f>
        <v>307.28477325768188</v>
      </c>
      <c r="AA13" s="840">
        <f ca="1">SUMIF('Dwelling stock'!$B$46:$B$51,"="&amp;'All Stock'!$A12,'Dwelling stock'!AD$46:AD$51)</f>
        <v>205.69594813181232</v>
      </c>
      <c r="AB13" s="840">
        <f ca="1">SUMIF('Dwelling stock'!$B$46:$B$51,"="&amp;'All Stock'!$A12,'Dwelling stock'!AE$46:AE$51)</f>
        <v>1435.5433922769421</v>
      </c>
      <c r="AC13" s="840">
        <f ca="1">SUMIF('Dwelling stock'!$B$46:$B$51,"="&amp;'All Stock'!$A12,'Dwelling stock'!AF$46:AF$51)</f>
        <v>130.70085218113681</v>
      </c>
      <c r="AD13" s="840">
        <f ca="1">SUMIF('Dwelling stock'!$B$46:$B$51,"="&amp;'All Stock'!$A12,'Dwelling stock'!AG$46:AG$51)</f>
        <v>851.44515458477713</v>
      </c>
      <c r="AE13" s="840">
        <f ca="1">SUMIF('Dwelling stock'!$B$46:$B$51,"="&amp;'All Stock'!$A12,'Dwelling stock'!AH$46:AH$51)</f>
        <v>725.91160927914643</v>
      </c>
      <c r="AF13" s="840">
        <f ca="1">SUMIF('Dwelling stock'!$B$46:$B$51,"="&amp;'All Stock'!$A12,'Dwelling stock'!AI$46:AI$51)</f>
        <v>103.56751795664532</v>
      </c>
      <c r="AG13" s="840">
        <f ca="1">SUMIF('Dwelling stock'!$B$46:$B$51,"="&amp;'All Stock'!$A12,'Dwelling stock'!AJ$46:AJ$51)</f>
        <v>237.77203915563774</v>
      </c>
      <c r="AH13" s="840">
        <f ca="1">SUMIF('Dwelling stock'!$B$46:$B$51,"="&amp;'All Stock'!$A12,'Dwelling stock'!AK$46:AK$51)</f>
        <v>2523.4410017930873</v>
      </c>
      <c r="AI13" s="840">
        <f ca="1">SUMIF('Dwelling stock'!$B$46:$B$51,"="&amp;'All Stock'!$A12,'Dwelling stock'!AL$46:AL$51)</f>
        <v>32.96770274795557</v>
      </c>
      <c r="AJ13" s="840">
        <f ca="1">SUMIF('Dwelling stock'!$B$46:$B$51,"="&amp;'All Stock'!$A12,'Dwelling stock'!AM$46:AM$51)</f>
        <v>95.563177684297571</v>
      </c>
      <c r="AK13" s="840">
        <f ca="1">SUMIF('Dwelling stock'!$B$46:$B$51,"="&amp;'All Stock'!$A12,'Dwelling stock'!AN$46:AN$51)</f>
        <v>18.323204685276828</v>
      </c>
      <c r="AL13" s="840">
        <f ca="1">SUMIF('Dwelling stock'!$B$46:$B$51,"="&amp;'All Stock'!$A12,'Dwelling stock'!AO$46:AO$51)</f>
        <v>50.561826567590309</v>
      </c>
      <c r="AM13" s="840">
        <f ca="1">SUMIF('Dwelling stock'!$B$46:$B$51,"="&amp;'All Stock'!$A12,'Dwelling stock'!AP$46:AP$51)</f>
        <v>282.36055959446514</v>
      </c>
      <c r="AN13" s="840">
        <f ca="1">SUMIF('Dwelling stock'!$B$46:$B$51,"="&amp;'All Stock'!$A12,'Dwelling stock'!AQ$46:AQ$51)</f>
        <v>56.253200618347321</v>
      </c>
    </row>
    <row r="14" spans="1:40">
      <c r="A14" t="s">
        <v>901</v>
      </c>
      <c r="B14" t="s">
        <v>512</v>
      </c>
      <c r="C14" s="510" t="s">
        <v>962</v>
      </c>
      <c r="D14" s="509">
        <f ca="1">SUMIF('Dwelling stock'!$B$52:$B$63,"="&amp;'All Stock'!$A12,'Dwelling stock'!G$52:G$63)</f>
        <v>475.16089786299102</v>
      </c>
      <c r="E14" s="509">
        <f ca="1">SUMIF('Dwelling stock'!$B$52:$B$63,"="&amp;'All Stock'!$A12,'Dwelling stock'!H$52:H$63)</f>
        <v>365.40423864371633</v>
      </c>
      <c r="F14" s="509">
        <f ca="1">SUMIF('Dwelling stock'!$B$52:$B$63,"="&amp;'All Stock'!$A12,'Dwelling stock'!I$52:I$63)</f>
        <v>349.10990919147412</v>
      </c>
      <c r="G14" s="509">
        <f ca="1">SUMIF('Dwelling stock'!$B$52:$B$63,"="&amp;'All Stock'!$A12,'Dwelling stock'!J$52:J$63)</f>
        <v>393.89956327827826</v>
      </c>
      <c r="H14" s="509">
        <f ca="1">SUMIF('Dwelling stock'!$B$52:$B$63,"="&amp;'All Stock'!$A12,'Dwelling stock'!K$52:K$63)</f>
        <v>91.973915778842439</v>
      </c>
      <c r="I14" s="509">
        <f ca="1">SUMIF('Dwelling stock'!$B$52:$B$63,"="&amp;'All Stock'!$A12,'Dwelling stock'!L$52:L$63)</f>
        <v>442.63691974403008</v>
      </c>
      <c r="J14" s="509">
        <f ca="1">SUMIF('Dwelling stock'!$B$52:$B$63,"="&amp;'All Stock'!$A12,'Dwelling stock'!M$52:M$63)</f>
        <v>3521.9881662213497</v>
      </c>
      <c r="K14" s="509">
        <f ca="1">SUMIF('Dwelling stock'!$B$52:$B$63,"="&amp;'All Stock'!$A12,'Dwelling stock'!N$52:N$63)</f>
        <v>379.30963927654335</v>
      </c>
      <c r="L14" s="509">
        <f ca="1">SUMIF('Dwelling stock'!$B$52:$B$63,"="&amp;'All Stock'!$A12,'Dwelling stock'!O$52:O$63)</f>
        <v>59.771850946074885</v>
      </c>
      <c r="M14" s="509">
        <f ca="1">SUMIF('Dwelling stock'!$B$52:$B$63,"="&amp;'All Stock'!$A12,'Dwelling stock'!P$52:P$63)</f>
        <v>620.11433156973328</v>
      </c>
      <c r="N14" s="509">
        <f ca="1">SUMIF('Dwelling stock'!$B$52:$B$63,"="&amp;'All Stock'!$A12,'Dwelling stock'!Q$52:Q$63)</f>
        <v>476.26097590452355</v>
      </c>
      <c r="O14" s="509">
        <f ca="1">SUMIF('Dwelling stock'!$B$52:$B$63,"="&amp;'All Stock'!$A12,'Dwelling stock'!R$52:R$63)</f>
        <v>3488.7302341168693</v>
      </c>
      <c r="P14" s="509">
        <f ca="1">SUMIF('Dwelling stock'!$B$52:$B$63,"="&amp;'All Stock'!$A12,'Dwelling stock'!S$52:S$63)</f>
        <v>447.34955801039297</v>
      </c>
      <c r="Q14" s="509">
        <f ca="1">SUMIF('Dwelling stock'!$B$52:$B$63,"="&amp;'All Stock'!$A12,'Dwelling stock'!T$52:T$63)</f>
        <v>370.45143165745816</v>
      </c>
      <c r="R14" s="509">
        <f ca="1">SUMIF('Dwelling stock'!$B$52:$B$63,"="&amp;'All Stock'!$A12,'Dwelling stock'!U$52:U$63)</f>
        <v>848.46766945526826</v>
      </c>
      <c r="S14" s="509">
        <f ca="1">SUMIF('Dwelling stock'!$B$52:$B$63,"="&amp;'All Stock'!$A12,'Dwelling stock'!V$52:V$63)</f>
        <v>315.91686032814778</v>
      </c>
      <c r="T14" s="509">
        <f ca="1">SUMIF('Dwelling stock'!$B$52:$B$63,"="&amp;'All Stock'!$A12,'Dwelling stock'!W$52:W$63)</f>
        <v>26.203867165430069</v>
      </c>
      <c r="U14" s="509">
        <f ca="1">SUMIF('Dwelling stock'!$B$52:$B$63,"="&amp;'All Stock'!$A12,'Dwelling stock'!X$52:X$63)</f>
        <v>889.2444611915389</v>
      </c>
      <c r="V14" s="509">
        <f ca="1">SUMIF('Dwelling stock'!$B$52:$B$63,"="&amp;'All Stock'!$A12,'Dwelling stock'!Y$52:Y$63)</f>
        <v>121.88712570644927</v>
      </c>
      <c r="W14" s="509">
        <f ca="1">SUMIF('Dwelling stock'!$B$52:$B$63,"="&amp;'All Stock'!$A12,'Dwelling stock'!Z$52:Z$63)</f>
        <v>23.879085798445665</v>
      </c>
      <c r="X14" s="509">
        <f ca="1">SUMIF('Dwelling stock'!$B$52:$B$63,"="&amp;'All Stock'!$A12,'Dwelling stock'!AA$52:AA$63)</f>
        <v>98.992485002584303</v>
      </c>
      <c r="Y14" s="509">
        <f ca="1">SUMIF('Dwelling stock'!$B$52:$B$63,"="&amp;'All Stock'!$A12,'Dwelling stock'!AB$52:AB$63)</f>
        <v>1.9725177518638148</v>
      </c>
      <c r="Z14" s="509">
        <f ca="1">SUMIF('Dwelling stock'!$B$52:$B$63,"="&amp;'All Stock'!$A12,'Dwelling stock'!AC$52:AC$63)</f>
        <v>328.50430399375682</v>
      </c>
      <c r="AA14" s="509">
        <f ca="1">SUMIF('Dwelling stock'!$B$52:$B$63,"="&amp;'All Stock'!$A12,'Dwelling stock'!AD$52:AD$63)</f>
        <v>257.91655481899903</v>
      </c>
      <c r="AB14" s="509">
        <f ca="1">SUMIF('Dwelling stock'!$B$52:$B$63,"="&amp;'All Stock'!$A12,'Dwelling stock'!AE$52:AE$63)</f>
        <v>1889.3241922531552</v>
      </c>
      <c r="AC14" s="509">
        <f ca="1">SUMIF('Dwelling stock'!$B$52:$B$63,"="&amp;'All Stock'!$A12,'Dwelling stock'!AF$52:AF$63)</f>
        <v>279.11450740176781</v>
      </c>
      <c r="AD14" s="509">
        <f ca="1">SUMIF('Dwelling stock'!$B$52:$B$63,"="&amp;'All Stock'!$A12,'Dwelling stock'!AG$52:AG$63)</f>
        <v>1252.0346721257667</v>
      </c>
      <c r="AE14" s="509">
        <f ca="1">SUMIF('Dwelling stock'!$B$52:$B$63,"="&amp;'All Stock'!$A12,'Dwelling stock'!AH$52:AH$63)</f>
        <v>452.81902767879882</v>
      </c>
      <c r="AF14" s="509">
        <f ca="1">SUMIF('Dwelling stock'!$B$52:$B$63,"="&amp;'All Stock'!$A12,'Dwelling stock'!AI$52:AI$63)</f>
        <v>91.497241047461856</v>
      </c>
      <c r="AG14" s="509">
        <f ca="1">SUMIF('Dwelling stock'!$B$52:$B$63,"="&amp;'All Stock'!$A12,'Dwelling stock'!AJ$52:AJ$63)</f>
        <v>193.73096708504721</v>
      </c>
      <c r="AH14" s="509">
        <f ca="1">SUMIF('Dwelling stock'!$B$52:$B$63,"="&amp;'All Stock'!$A12,'Dwelling stock'!AK$52:AK$63)</f>
        <v>1287.5365417238497</v>
      </c>
      <c r="AI14" s="509">
        <f ca="1">SUMIF('Dwelling stock'!$B$52:$B$63,"="&amp;'All Stock'!$A12,'Dwelling stock'!AL$52:AL$63)</f>
        <v>52.397955906877201</v>
      </c>
      <c r="AJ14" s="509">
        <f ca="1">SUMIF('Dwelling stock'!$B$52:$B$63,"="&amp;'All Stock'!$A12,'Dwelling stock'!AM$52:AM$63)</f>
        <v>127.53778698842345</v>
      </c>
      <c r="AK14" s="509">
        <f ca="1">SUMIF('Dwelling stock'!$B$52:$B$63,"="&amp;'All Stock'!$A12,'Dwelling stock'!AN$52:AN$63)</f>
        <v>24.453989839227638</v>
      </c>
      <c r="AL14" s="509">
        <f ca="1">SUMIF('Dwelling stock'!$B$52:$B$63,"="&amp;'All Stock'!$A12,'Dwelling stock'!AO$52:AO$63)</f>
        <v>65.888293501627089</v>
      </c>
      <c r="AM14" s="509">
        <f ca="1">SUMIF('Dwelling stock'!$B$52:$B$63,"="&amp;'All Stock'!$A12,'Dwelling stock'!AP$52:AP$63)</f>
        <v>376.83595058401016</v>
      </c>
      <c r="AN14" s="509">
        <f ca="1">SUMIF('Dwelling stock'!$B$52:$B$63,"="&amp;'All Stock'!$A12,'Dwelling stock'!AQ$52:AQ$63)</f>
        <v>75.075032996299058</v>
      </c>
    </row>
    <row r="15" spans="1:40">
      <c r="A15" t="s">
        <v>543</v>
      </c>
      <c r="B15" t="s">
        <v>512</v>
      </c>
      <c r="C15" s="510" t="s">
        <v>962</v>
      </c>
      <c r="D15" s="509">
        <f ca="1">SUMIF('Dwelling stock'!$B$46:$B$63,"="&amp;'All Stock'!$A15,'Dwelling stock'!G$46:G$63)</f>
        <v>470.440807299217</v>
      </c>
      <c r="E15" s="509">
        <f ca="1">SUMIF('Dwelling stock'!$B$46:$B$63,"="&amp;'All Stock'!$A15,'Dwelling stock'!H$46:H$63)</f>
        <v>1585.6864897222931</v>
      </c>
      <c r="F15" s="509">
        <f ca="1">SUMIF('Dwelling stock'!$B$46:$B$63,"="&amp;'All Stock'!$A15,'Dwelling stock'!I$46:I$63)</f>
        <v>335.33279917511504</v>
      </c>
      <c r="G15" s="509">
        <f ca="1">SUMIF('Dwelling stock'!$B$46:$B$63,"="&amp;'All Stock'!$A15,'Dwelling stock'!J$46:J$63)</f>
        <v>944.09207412879755</v>
      </c>
      <c r="H15" s="509">
        <f ca="1">SUMIF('Dwelling stock'!$B$46:$B$63,"="&amp;'All Stock'!$A15,'Dwelling stock'!K$46:K$63)</f>
        <v>108.10427898788024</v>
      </c>
      <c r="I15" s="509">
        <f ca="1">SUMIF('Dwelling stock'!$B$46:$B$63,"="&amp;'All Stock'!$A15,'Dwelling stock'!L$46:L$63)</f>
        <v>608.78058155096687</v>
      </c>
      <c r="J15" s="509">
        <f ca="1">SUMIF('Dwelling stock'!$B$46:$B$63,"="&amp;'All Stock'!$A15,'Dwelling stock'!M$46:M$63)</f>
        <v>8085.1738767626803</v>
      </c>
      <c r="K15" s="509">
        <f ca="1">SUMIF('Dwelling stock'!$B$46:$B$63,"="&amp;'All Stock'!$A15,'Dwelling stock'!N$46:N$63)</f>
        <v>531.00509997212998</v>
      </c>
      <c r="L15" s="509">
        <f ca="1">SUMIF('Dwelling stock'!$B$46:$B$63,"="&amp;'All Stock'!$A15,'Dwelling stock'!O$46:O$63)</f>
        <v>51.805680544886378</v>
      </c>
      <c r="M15" s="509">
        <f ca="1">SUMIF('Dwelling stock'!$B$46:$B$63,"="&amp;'All Stock'!$A15,'Dwelling stock'!P$46:P$63)</f>
        <v>2157.0210401387385</v>
      </c>
      <c r="N15" s="509">
        <f ca="1">SUMIF('Dwelling stock'!$B$46:$B$63,"="&amp;'All Stock'!$A15,'Dwelling stock'!Q$46:Q$63)</f>
        <v>598.70621603794314</v>
      </c>
      <c r="O15" s="509">
        <f ca="1">SUMIF('Dwelling stock'!$B$46:$B$63,"="&amp;'All Stock'!$A15,'Dwelling stock'!R$46:R$63)</f>
        <v>5600.5710921203972</v>
      </c>
      <c r="P15" s="509">
        <f ca="1">SUMIF('Dwelling stock'!$B$46:$B$63,"="&amp;'All Stock'!$A15,'Dwelling stock'!S$46:S$63)</f>
        <v>412.08562022410138</v>
      </c>
      <c r="Q15" s="509">
        <f ca="1">SUMIF('Dwelling stock'!$B$46:$B$63,"="&amp;'All Stock'!$A15,'Dwelling stock'!T$46:T$63)</f>
        <v>227.63959739245496</v>
      </c>
      <c r="R15" s="509">
        <f ca="1">SUMIF('Dwelling stock'!$B$46:$B$63,"="&amp;'All Stock'!$A15,'Dwelling stock'!U$46:U$63)</f>
        <v>567.53090466114224</v>
      </c>
      <c r="S15" s="509">
        <f ca="1">SUMIF('Dwelling stock'!$B$46:$B$63,"="&amp;'All Stock'!$A15,'Dwelling stock'!V$46:V$63)</f>
        <v>700.17966555581506</v>
      </c>
      <c r="T15" s="509">
        <f ca="1">SUMIF('Dwelling stock'!$B$46:$B$63,"="&amp;'All Stock'!$A15,'Dwelling stock'!W$46:W$63)</f>
        <v>40.710304317715071</v>
      </c>
      <c r="U15" s="509">
        <f ca="1">SUMIF('Dwelling stock'!$B$46:$B$63,"="&amp;'All Stock'!$A15,'Dwelling stock'!X$46:X$63)</f>
        <v>3755.6580946086433</v>
      </c>
      <c r="V15" s="509">
        <f ca="1">SUMIF('Dwelling stock'!$B$46:$B$63,"="&amp;'All Stock'!$A15,'Dwelling stock'!Y$46:Y$63)</f>
        <v>131.79385110597457</v>
      </c>
      <c r="W15" s="509">
        <f ca="1">SUMIF('Dwelling stock'!$B$46:$B$63,"="&amp;'All Stock'!$A15,'Dwelling stock'!Z$46:Z$63)</f>
        <v>67.688622394445147</v>
      </c>
      <c r="X15" s="509">
        <f ca="1">SUMIF('Dwelling stock'!$B$46:$B$63,"="&amp;'All Stock'!$A15,'Dwelling stock'!AA$46:AA$63)</f>
        <v>73.615615852930205</v>
      </c>
      <c r="Y15" s="509">
        <f ca="1">SUMIF('Dwelling stock'!$B$46:$B$63,"="&amp;'All Stock'!$A15,'Dwelling stock'!AB$46:AB$63)</f>
        <v>45.592677880469317</v>
      </c>
      <c r="Z15" s="509">
        <f ca="1">SUMIF('Dwelling stock'!$B$46:$B$63,"="&amp;'All Stock'!$A15,'Dwelling stock'!AC$46:AC$63)</f>
        <v>3357.515775238307</v>
      </c>
      <c r="AA15" s="509">
        <f ca="1">SUMIF('Dwelling stock'!$B$46:$B$63,"="&amp;'All Stock'!$A15,'Dwelling stock'!AD$46:AD$63)</f>
        <v>364.13057789423283</v>
      </c>
      <c r="AB15" s="509">
        <f ca="1">SUMIF('Dwelling stock'!$B$46:$B$63,"="&amp;'All Stock'!$A15,'Dwelling stock'!AE$46:AE$63)</f>
        <v>1247.6752592255079</v>
      </c>
      <c r="AC15" s="509">
        <f ca="1">SUMIF('Dwelling stock'!$B$46:$B$63,"="&amp;'All Stock'!$A15,'Dwelling stock'!AF$46:AF$63)</f>
        <v>330.83001010664287</v>
      </c>
      <c r="AD15" s="509">
        <f ca="1">SUMIF('Dwelling stock'!$B$46:$B$63,"="&amp;'All Stock'!$A15,'Dwelling stock'!AG$46:AG$63)</f>
        <v>604.098545274309</v>
      </c>
      <c r="AE15" s="509">
        <f ca="1">SUMIF('Dwelling stock'!$B$46:$B$63,"="&amp;'All Stock'!$A15,'Dwelling stock'!AH$46:AH$63)</f>
        <v>565.48786980541718</v>
      </c>
      <c r="AF15" s="509">
        <f ca="1">SUMIF('Dwelling stock'!$B$46:$B$63,"="&amp;'All Stock'!$A15,'Dwelling stock'!AI$46:AI$63)</f>
        <v>64.875141320435063</v>
      </c>
      <c r="AG15" s="509">
        <f ca="1">SUMIF('Dwelling stock'!$B$46:$B$63,"="&amp;'All Stock'!$A15,'Dwelling stock'!AJ$46:AJ$63)</f>
        <v>128.41321929206754</v>
      </c>
      <c r="AH15" s="509">
        <f ca="1">SUMIF('Dwelling stock'!$B$46:$B$63,"="&amp;'All Stock'!$A15,'Dwelling stock'!AK$46:AK$63)</f>
        <v>13230.789191352211</v>
      </c>
      <c r="AI15" s="509">
        <f ca="1">SUMIF('Dwelling stock'!$B$46:$B$63,"="&amp;'All Stock'!$A15,'Dwelling stock'!AL$46:AL$63)</f>
        <v>48.267498585209204</v>
      </c>
      <c r="AJ15" s="509">
        <f ca="1">SUMIF('Dwelling stock'!$B$46:$B$63,"="&amp;'All Stock'!$A15,'Dwelling stock'!AM$46:AM$63)</f>
        <v>79.842639754449735</v>
      </c>
      <c r="AK15" s="509">
        <f ca="1">SUMIF('Dwelling stock'!$B$46:$B$63,"="&amp;'All Stock'!$A15,'Dwelling stock'!AN$46:AN$63)</f>
        <v>24.187105315257202</v>
      </c>
      <c r="AL15" s="509">
        <f ca="1">SUMIF('Dwelling stock'!$B$46:$B$63,"="&amp;'All Stock'!$A15,'Dwelling stock'!AO$46:AO$63)</f>
        <v>63.28810873327032</v>
      </c>
      <c r="AM15" s="509">
        <f ca="1">SUMIF('Dwelling stock'!$B$46:$B$63,"="&amp;'All Stock'!$A15,'Dwelling stock'!AP$46:AP$63)</f>
        <v>235.91107984126927</v>
      </c>
      <c r="AN15" s="509">
        <f ca="1">SUMIF('Dwelling stock'!$B$46:$B$63,"="&amp;'All Stock'!$A15,'Dwelling stock'!AQ$46:AQ$63)</f>
        <v>46.999316481953905</v>
      </c>
    </row>
    <row r="16" spans="1:40" s="575" customFormat="1">
      <c r="A16" s="575" t="s">
        <v>541</v>
      </c>
      <c r="B16" s="575" t="s">
        <v>512</v>
      </c>
      <c r="C16" s="841" t="s">
        <v>962</v>
      </c>
      <c r="D16" s="815">
        <f ca="1">SUMIF('Dwelling stock'!$B$46:$B$63,"="&amp;'All Stock'!$A16,'Dwelling stock'!G$46:G$63)</f>
        <v>1468.1931444905658</v>
      </c>
      <c r="E16" s="815">
        <f ca="1">SUMIF('Dwelling stock'!$B$46:$B$63,"="&amp;'All Stock'!$A16,'Dwelling stock'!H$46:H$63)</f>
        <v>905.52301441199279</v>
      </c>
      <c r="F16" s="815">
        <f ca="1">SUMIF('Dwelling stock'!$B$46:$B$63,"="&amp;'All Stock'!$A16,'Dwelling stock'!I$46:I$63)</f>
        <v>777.21770601382218</v>
      </c>
      <c r="G16" s="815">
        <f ca="1">SUMIF('Dwelling stock'!$B$46:$B$63,"="&amp;'All Stock'!$A16,'Dwelling stock'!J$46:J$63)</f>
        <v>1648.2852115299659</v>
      </c>
      <c r="H16" s="815">
        <f ca="1">SUMIF('Dwelling stock'!$B$46:$B$63,"="&amp;'All Stock'!$A16,'Dwelling stock'!K$46:K$63)</f>
        <v>83.544873692829114</v>
      </c>
      <c r="I16" s="815">
        <f ca="1">SUMIF('Dwelling stock'!$B$46:$B$63,"="&amp;'All Stock'!$A16,'Dwelling stock'!L$46:L$63)</f>
        <v>2208.0312140248443</v>
      </c>
      <c r="J16" s="815">
        <f ca="1">SUMIF('Dwelling stock'!$B$46:$B$63,"="&amp;'All Stock'!$A16,'Dwelling stock'!M$46:M$63)</f>
        <v>18507.478934742299</v>
      </c>
      <c r="K16" s="815">
        <f ca="1">SUMIF('Dwelling stock'!$B$46:$B$63,"="&amp;'All Stock'!$A16,'Dwelling stock'!N$46:N$63)</f>
        <v>1066.6762517252059</v>
      </c>
      <c r="L16" s="815">
        <f ca="1">SUMIF('Dwelling stock'!$B$46:$B$63,"="&amp;'All Stock'!$A16,'Dwelling stock'!O$46:O$63)</f>
        <v>488.14637875076545</v>
      </c>
      <c r="M16" s="815">
        <f ca="1">SUMIF('Dwelling stock'!$B$46:$B$63,"="&amp;'All Stock'!$A16,'Dwelling stock'!P$46:P$63)</f>
        <v>7433.1088118539237</v>
      </c>
      <c r="N16" s="815">
        <f ca="1">SUMIF('Dwelling stock'!$B$46:$B$63,"="&amp;'All Stock'!$A16,'Dwelling stock'!Q$46:Q$63)</f>
        <v>1108.1723152307063</v>
      </c>
      <c r="O16" s="815">
        <f ca="1">SUMIF('Dwelling stock'!$B$46:$B$63,"="&amp;'All Stock'!$A16,'Dwelling stock'!R$46:R$63)</f>
        <v>9195.3526981771283</v>
      </c>
      <c r="P16" s="815">
        <f ca="1">SUMIF('Dwelling stock'!$B$46:$B$63,"="&amp;'All Stock'!$A16,'Dwelling stock'!S$46:S$63)</f>
        <v>1679.0753129779873</v>
      </c>
      <c r="Q16" s="815">
        <f ca="1">SUMIF('Dwelling stock'!$B$46:$B$63,"="&amp;'All Stock'!$A16,'Dwelling stock'!T$46:T$63)</f>
        <v>505.02472685864541</v>
      </c>
      <c r="R16" s="815">
        <f ca="1">SUMIF('Dwelling stock'!$B$46:$B$63,"="&amp;'All Stock'!$A16,'Dwelling stock'!U$46:U$63)</f>
        <v>1314.8023053054051</v>
      </c>
      <c r="S16" s="815">
        <f ca="1">SUMIF('Dwelling stock'!$B$46:$B$63,"="&amp;'All Stock'!$A16,'Dwelling stock'!V$46:V$63)</f>
        <v>148.1182698102499</v>
      </c>
      <c r="T16" s="815">
        <f ca="1">SUMIF('Dwelling stock'!$B$46:$B$63,"="&amp;'All Stock'!$A16,'Dwelling stock'!W$46:W$63)</f>
        <v>67.162134636472771</v>
      </c>
      <c r="U16" s="815">
        <f ca="1">SUMIF('Dwelling stock'!$B$46:$B$63,"="&amp;'All Stock'!$A16,'Dwelling stock'!X$46:X$63)</f>
        <v>17047.884154921932</v>
      </c>
      <c r="V16" s="815">
        <f ca="1">SUMIF('Dwelling stock'!$B$46:$B$63,"="&amp;'All Stock'!$A16,'Dwelling stock'!Y$46:Y$63)</f>
        <v>725.54346604839498</v>
      </c>
      <c r="W16" s="815">
        <f ca="1">SUMIF('Dwelling stock'!$B$46:$B$63,"="&amp;'All Stock'!$A16,'Dwelling stock'!Z$46:Z$63)</f>
        <v>67.999999638297879</v>
      </c>
      <c r="X16" s="815">
        <f ca="1">SUMIF('Dwelling stock'!$B$46:$B$63,"="&amp;'All Stock'!$A16,'Dwelling stock'!AA$46:AA$63)</f>
        <v>576.16017362476293</v>
      </c>
      <c r="Y16" s="815">
        <f ca="1">SUMIF('Dwelling stock'!$B$46:$B$63,"="&amp;'All Stock'!$A16,'Dwelling stock'!AB$46:AB$63)</f>
        <v>16.335462474584798</v>
      </c>
      <c r="Z16" s="815">
        <f ca="1">SUMIF('Dwelling stock'!$B$46:$B$63,"="&amp;'All Stock'!$A16,'Dwelling stock'!AC$46:AC$63)</f>
        <v>1728.7005676351</v>
      </c>
      <c r="AA16" s="815">
        <f ca="1">SUMIF('Dwelling stock'!$B$46:$B$63,"="&amp;'All Stock'!$A16,'Dwelling stock'!AD$46:AD$63)</f>
        <v>1151.6628112433018</v>
      </c>
      <c r="AB16" s="815">
        <f ca="1">SUMIF('Dwelling stock'!$B$46:$B$63,"="&amp;'All Stock'!$A16,'Dwelling stock'!AE$46:AE$63)</f>
        <v>6734.1391844108894</v>
      </c>
      <c r="AC16" s="815">
        <f ca="1">SUMIF('Dwelling stock'!$B$46:$B$63,"="&amp;'All Stock'!$A16,'Dwelling stock'!AF$46:AF$63)</f>
        <v>514.68576543917493</v>
      </c>
      <c r="AD16" s="815">
        <f ca="1">SUMIF('Dwelling stock'!$B$46:$B$63,"="&amp;'All Stock'!$A16,'Dwelling stock'!AG$46:AG$63)</f>
        <v>2050.9073432785085</v>
      </c>
      <c r="AE16" s="815">
        <f ca="1">SUMIF('Dwelling stock'!$B$46:$B$63,"="&amp;'All Stock'!$A16,'Dwelling stock'!AH$46:AH$63)</f>
        <v>2426.7814922366383</v>
      </c>
      <c r="AF16" s="815">
        <f ca="1">SUMIF('Dwelling stock'!$B$46:$B$63,"="&amp;'All Stock'!$A16,'Dwelling stock'!AI$46:AI$63)</f>
        <v>461.41891138861422</v>
      </c>
      <c r="AG16" s="815">
        <f ca="1">SUMIF('Dwelling stock'!$B$46:$B$63,"="&amp;'All Stock'!$A16,'Dwelling stock'!AJ$46:AJ$63)</f>
        <v>580.36075202452548</v>
      </c>
      <c r="AH16" s="815">
        <f ca="1">SUMIF('Dwelling stock'!$B$46:$B$63,"="&amp;'All Stock'!$A16,'Dwelling stock'!AK$46:AK$63)</f>
        <v>3928.2270816740383</v>
      </c>
      <c r="AI16" s="815">
        <f ca="1">SUMIF('Dwelling stock'!$B$46:$B$63,"="&amp;'All Stock'!$A16,'Dwelling stock'!AL$46:AL$63)</f>
        <v>196.66972424213861</v>
      </c>
      <c r="AJ16" s="815">
        <f ca="1">SUMIF('Dwelling stock'!$B$46:$B$63,"="&amp;'All Stock'!$A16,'Dwelling stock'!AM$46:AM$63)</f>
        <v>271.18740136497507</v>
      </c>
      <c r="AK16" s="815">
        <f ca="1">SUMIF('Dwelling stock'!$B$46:$B$63,"="&amp;'All Stock'!$A16,'Dwelling stock'!AN$46:AN$63)</f>
        <v>98.552265437365477</v>
      </c>
      <c r="AL16" s="815">
        <f ca="1">SUMIF('Dwelling stock'!$B$46:$B$63,"="&amp;'All Stock'!$A16,'Dwelling stock'!AO$46:AO$63)</f>
        <v>160.89708606674995</v>
      </c>
      <c r="AM16" s="815">
        <f ca="1">SUMIF('Dwelling stock'!$B$46:$B$63,"="&amp;'All Stock'!$A16,'Dwelling stock'!AP$46:AP$63)</f>
        <v>801.27752404119974</v>
      </c>
      <c r="AN16" s="815">
        <f ca="1">SUMIF('Dwelling stock'!$B$46:$B$63,"="&amp;'All Stock'!$A16,'Dwelling stock'!AQ$46:AQ$63)</f>
        <v>159.63428240686127</v>
      </c>
    </row>
    <row r="17" spans="1:40">
      <c r="B17" t="s">
        <v>266</v>
      </c>
      <c r="C17" t="s">
        <v>66</v>
      </c>
      <c r="D17" s="509">
        <f>LOOKUP(D2,'Data by dwelling type'!$AW$4:$AW$40,'Data by dwelling type'!$AV$4:$AV$40)</f>
        <v>103.35314926376236</v>
      </c>
      <c r="E17" s="509">
        <f>LOOKUP(E2,'Data by dwelling type'!$AW$4:$AW$40,'Data by dwelling type'!$AV$4:$AV$40)</f>
        <v>106.5802537544028</v>
      </c>
      <c r="F17" s="509">
        <f>LOOKUP(F2,'Data by dwelling type'!$AW$4:$AW$40,'Data by dwelling type'!$AV$4:$AV$40)</f>
        <v>67.953880241343938</v>
      </c>
      <c r="G17" s="509">
        <f>LOOKUP(G2,'Data by dwelling type'!$AW$4:$AW$40,'Data by dwelling type'!$AV$4:$AV$40)</f>
        <v>100.53414487242019</v>
      </c>
      <c r="H17" s="509">
        <f>LOOKUP(H2,'Data by dwelling type'!$AW$4:$AW$40,'Data by dwelling type'!$AV$4:$AV$40)</f>
        <v>90.786597106330021</v>
      </c>
      <c r="I17" s="509">
        <f>LOOKUP(I2,'Data by dwelling type'!$AW$4:$AW$40,'Data by dwelling type'!$AV$4:$AV$40)</f>
        <v>82.05215479899401</v>
      </c>
      <c r="J17" s="509">
        <f>LOOKUP(J2,'Data by dwelling type'!$AW$4:$AW$40,'Data by dwelling type'!$AV$4:$AV$40)</f>
        <v>86.581702839209768</v>
      </c>
      <c r="K17" s="509">
        <f>LOOKUP(K2,'Data by dwelling type'!$AW$4:$AW$40,'Data by dwelling type'!$AV$4:$AV$40)</f>
        <v>119.97872573907509</v>
      </c>
      <c r="L17" s="509">
        <f>LOOKUP(L2,'Data by dwelling type'!$AW$4:$AW$40,'Data by dwelling type'!$AV$4:$AV$40)</f>
        <v>59.869234937268558</v>
      </c>
      <c r="M17" s="509">
        <f>LOOKUP(M2,'Data by dwelling type'!$AW$4:$AW$40,'Data by dwelling type'!$AV$4:$AV$40)</f>
        <v>94.579883693522547</v>
      </c>
      <c r="N17" s="509">
        <f>LOOKUP(N2,'Data by dwelling type'!$AW$4:$AW$40,'Data by dwelling type'!$AV$4:$AV$40)</f>
        <v>83.608905065756858</v>
      </c>
      <c r="O17" s="509">
        <f>LOOKUP(O2,'Data by dwelling type'!$AW$4:$AW$40,'Data by dwelling type'!$AV$4:$AV$40)</f>
        <v>96.572860389457816</v>
      </c>
      <c r="P17" s="509">
        <f>LOOKUP(P2,'Data by dwelling type'!$AW$4:$AW$40,'Data by dwelling type'!$AV$4:$AV$40)</f>
        <v>84.556798123263547</v>
      </c>
      <c r="Q17" s="509">
        <f>LOOKUP(Q2,'Data by dwelling type'!$AW$4:$AW$40,'Data by dwelling type'!$AV$4:$AV$40)</f>
        <v>73.071918890260378</v>
      </c>
      <c r="R17" s="509">
        <f>LOOKUP(R2,'Data by dwelling type'!$AW$4:$AW$40,'Data by dwelling type'!$AV$4:$AV$40)</f>
        <v>83.37930519719697</v>
      </c>
      <c r="S17" s="509">
        <f>LOOKUP(S2,'Data by dwelling type'!$AW$4:$AW$40,'Data by dwelling type'!$AV$4:$AV$40)</f>
        <v>116.66436930376597</v>
      </c>
      <c r="T17" s="509">
        <f>LOOKUP(T2,'Data by dwelling type'!$AW$4:$AW$40,'Data by dwelling type'!$AV$4:$AV$40)</f>
        <v>82.812429433281281</v>
      </c>
      <c r="U17" s="509">
        <f>LOOKUP(U2,'Data by dwelling type'!$AW$4:$AW$40,'Data by dwelling type'!$AV$4:$AV$40)</f>
        <v>96.682542941018596</v>
      </c>
      <c r="V17" s="509">
        <f>LOOKUP(V2,'Data by dwelling type'!$AW$4:$AW$40,'Data by dwelling type'!$AV$4:$AV$40)</f>
        <v>71.376143479336207</v>
      </c>
      <c r="W17" s="509">
        <f>LOOKUP(W2,'Data by dwelling type'!$AW$4:$AW$40,'Data by dwelling type'!$AV$4:$AV$40)</f>
        <v>89.907282462390128</v>
      </c>
      <c r="X17" s="509">
        <f>LOOKUP(X2,'Data by dwelling type'!$AW$4:$AW$40,'Data by dwelling type'!$AV$4:$AV$40)</f>
        <v>69.28103164439375</v>
      </c>
      <c r="Y17" s="509">
        <f>LOOKUP(Y2,'Data by dwelling type'!$AW$4:$AW$40,'Data by dwelling type'!$AV$4:$AV$40)</f>
        <v>95.526474095859371</v>
      </c>
      <c r="Z17" s="509">
        <f>LOOKUP(Z2,'Data by dwelling type'!$AW$4:$AW$40,'Data by dwelling type'!$AV$4:$AV$40)</f>
        <v>103.50849236904986</v>
      </c>
      <c r="AA17" s="509">
        <f>LOOKUP(AA2,'Data by dwelling type'!$AW$4:$AW$40,'Data by dwelling type'!$AV$4:$AV$40)</f>
        <v>95.496655888714471</v>
      </c>
      <c r="AB17" s="509">
        <f>LOOKUP(AB2,'Data by dwelling type'!$AW$4:$AW$40,'Data by dwelling type'!$AV$4:$AV$40)</f>
        <v>75.635842180605295</v>
      </c>
      <c r="AC17" s="509">
        <f>LOOKUP(AC2,'Data by dwelling type'!$AW$4:$AW$40,'Data by dwelling type'!$AV$4:$AV$40)</f>
        <v>113.85753416936628</v>
      </c>
      <c r="AD17" s="509">
        <f>LOOKUP(AD2,'Data by dwelling type'!$AW$4:$AW$40,'Data by dwelling type'!$AV$4:$AV$40)</f>
        <v>68.528011310490882</v>
      </c>
      <c r="AE17" s="509">
        <f>LOOKUP(AE2,'Data by dwelling type'!$AW$4:$AW$40,'Data by dwelling type'!$AV$4:$AV$40)</f>
        <v>97.379104165280381</v>
      </c>
      <c r="AF17" s="509">
        <f>LOOKUP(AF2,'Data by dwelling type'!$AW$4:$AW$40,'Data by dwelling type'!$AV$4:$AV$40)</f>
        <v>72.494674657912839</v>
      </c>
      <c r="AG17" s="509">
        <f>LOOKUP(AG2,'Data by dwelling type'!$AW$4:$AW$40,'Data by dwelling type'!$AV$4:$AV$40)</f>
        <v>85.738893940691753</v>
      </c>
      <c r="AH17" s="509">
        <f>LOOKUP(AH2,'Data by dwelling type'!$AW$4:$AW$40,'Data by dwelling type'!$AV$4:$AV$40)</f>
        <v>76.42184050050183</v>
      </c>
      <c r="AI17" s="509">
        <f>LOOKUP(AI2,'Data by dwelling type'!$AW$4:$AW$40,'Data by dwelling type'!$AV$4:$AV$40)</f>
        <v>84.556798123263576</v>
      </c>
      <c r="AJ17" s="509">
        <f>LOOKUP(AJ2,'Data by dwelling type'!$AW$4:$AW$40,'Data by dwelling type'!$AV$4:$AV$40)</f>
        <v>71.522245402158333</v>
      </c>
      <c r="AK17" s="509">
        <f>LOOKUP(AK2,'Data by dwelling type'!$AW$4:$AW$40,'Data by dwelling type'!$AV$4:$AV$40)</f>
        <v>84.556798123263547</v>
      </c>
      <c r="AL17" s="509">
        <f>LOOKUP(AL2,'Data by dwelling type'!$AW$4:$AW$40,'Data by dwelling type'!$AV$4:$AV$40)</f>
        <v>70.424977294906014</v>
      </c>
      <c r="AM17" s="509">
        <f>LOOKUP(AM2,'Data by dwelling type'!$AW$4:$AW$40,'Data by dwelling type'!$AV$4:$AV$40)</f>
        <v>71.522245402158333</v>
      </c>
      <c r="AN17" s="509">
        <f>LOOKUP(AN2,'Data by dwelling type'!$AW$4:$AW$40,'Data by dwelling type'!$AV$4:$AV$40)</f>
        <v>71.522245402158333</v>
      </c>
    </row>
    <row r="18" spans="1:40">
      <c r="D18" s="496"/>
      <c r="E18" s="496"/>
      <c r="F18" s="496"/>
      <c r="G18" s="496"/>
      <c r="H18" s="496"/>
      <c r="I18" s="496"/>
      <c r="J18" s="496"/>
      <c r="K18" s="496"/>
      <c r="L18" s="496"/>
      <c r="M18" s="496"/>
      <c r="N18" s="496"/>
      <c r="O18" s="496"/>
      <c r="P18" s="496"/>
      <c r="Q18" s="496"/>
      <c r="R18" s="496"/>
      <c r="S18" s="496"/>
      <c r="T18" s="496"/>
      <c r="U18" s="496"/>
      <c r="V18" s="496"/>
      <c r="W18" s="496"/>
      <c r="X18" s="496"/>
      <c r="Y18" s="496"/>
      <c r="Z18" s="496"/>
      <c r="AA18" s="496"/>
      <c r="AB18" s="496"/>
      <c r="AC18" s="496"/>
      <c r="AD18" s="496"/>
      <c r="AE18" s="496"/>
      <c r="AF18" s="496"/>
      <c r="AG18" s="496"/>
      <c r="AH18" s="496"/>
      <c r="AI18" s="496"/>
      <c r="AJ18" s="496"/>
      <c r="AK18" s="496"/>
      <c r="AL18" s="496"/>
      <c r="AM18" s="496"/>
      <c r="AN18" s="496"/>
    </row>
    <row r="19" spans="1:40">
      <c r="D19" s="543" t="str">
        <f>D$2</f>
        <v>AT</v>
      </c>
      <c r="E19" s="543" t="str">
        <f t="shared" ref="E19:AN19" si="0">E$2</f>
        <v>BE</v>
      </c>
      <c r="F19" s="543" t="str">
        <f t="shared" si="0"/>
        <v>BG</v>
      </c>
      <c r="G19" s="543" t="str">
        <f t="shared" si="0"/>
        <v>CH</v>
      </c>
      <c r="H19" s="543" t="str">
        <f t="shared" si="0"/>
        <v>CY</v>
      </c>
      <c r="I19" s="543" t="str">
        <f t="shared" si="0"/>
        <v>CZ</v>
      </c>
      <c r="J19" s="543" t="str">
        <f t="shared" si="0"/>
        <v>DE</v>
      </c>
      <c r="K19" s="543" t="str">
        <f t="shared" si="0"/>
        <v>DK</v>
      </c>
      <c r="L19" s="543" t="str">
        <f t="shared" si="0"/>
        <v>EE</v>
      </c>
      <c r="M19" s="543" t="str">
        <f t="shared" si="0"/>
        <v>ES</v>
      </c>
      <c r="N19" s="543" t="str">
        <f t="shared" si="0"/>
        <v>FI</v>
      </c>
      <c r="O19" s="543" t="str">
        <f t="shared" si="0"/>
        <v>FR</v>
      </c>
      <c r="P19" s="543" t="str">
        <f t="shared" si="0"/>
        <v>EL</v>
      </c>
      <c r="Q19" s="543" t="str">
        <f t="shared" si="0"/>
        <v>HR</v>
      </c>
      <c r="R19" s="543" t="str">
        <f t="shared" si="0"/>
        <v>HU</v>
      </c>
      <c r="S19" s="543" t="str">
        <f t="shared" si="0"/>
        <v>IE</v>
      </c>
      <c r="T19" s="543" t="str">
        <f t="shared" si="0"/>
        <v>IS</v>
      </c>
      <c r="U19" s="543" t="str">
        <f t="shared" si="0"/>
        <v>IT</v>
      </c>
      <c r="V19" s="543" t="str">
        <f t="shared" si="0"/>
        <v>LT</v>
      </c>
      <c r="W19" s="543" t="str">
        <f t="shared" si="0"/>
        <v>LU</v>
      </c>
      <c r="X19" s="543" t="str">
        <f t="shared" si="0"/>
        <v>LV</v>
      </c>
      <c r="Y19" s="543" t="str">
        <f t="shared" si="0"/>
        <v>MT</v>
      </c>
      <c r="Z19" s="543" t="str">
        <f t="shared" si="0"/>
        <v>NL</v>
      </c>
      <c r="AA19" s="543" t="str">
        <f t="shared" si="0"/>
        <v>NO</v>
      </c>
      <c r="AB19" s="543" t="str">
        <f t="shared" si="0"/>
        <v>PL</v>
      </c>
      <c r="AC19" s="543" t="str">
        <f t="shared" si="0"/>
        <v>PT</v>
      </c>
      <c r="AD19" s="543" t="str">
        <f t="shared" si="0"/>
        <v>RO</v>
      </c>
      <c r="AE19" s="543" t="str">
        <f t="shared" si="0"/>
        <v>SE</v>
      </c>
      <c r="AF19" s="543" t="str">
        <f t="shared" si="0"/>
        <v>SI</v>
      </c>
      <c r="AG19" s="543" t="str">
        <f t="shared" si="0"/>
        <v>SK</v>
      </c>
      <c r="AH19" s="543" t="str">
        <f t="shared" si="0"/>
        <v>UK</v>
      </c>
      <c r="AI19" s="543" t="str">
        <f t="shared" si="0"/>
        <v>AL</v>
      </c>
      <c r="AJ19" s="543" t="str">
        <f t="shared" si="0"/>
        <v>BA</v>
      </c>
      <c r="AK19" s="543" t="str">
        <f t="shared" si="0"/>
        <v>ME</v>
      </c>
      <c r="AL19" s="543" t="str">
        <f t="shared" si="0"/>
        <v>MK</v>
      </c>
      <c r="AM19" s="543" t="str">
        <f t="shared" si="0"/>
        <v>RS</v>
      </c>
      <c r="AN19" s="543" t="str">
        <f t="shared" si="0"/>
        <v>KS</v>
      </c>
    </row>
    <row r="20" spans="1:40">
      <c r="A20" s="514" t="s">
        <v>519</v>
      </c>
      <c r="B20" s="514" t="s">
        <v>259</v>
      </c>
      <c r="C20" s="514" t="s">
        <v>606</v>
      </c>
      <c r="D20" s="774">
        <f>'IDEES okt 2017 template'!D110/D11*'TechHeat-RES'!F307</f>
        <v>3.3427250851601205E-2</v>
      </c>
      <c r="E20" s="853">
        <f>'IDEES okt 2017 template'!E110/E11*'TechHeat-RES'!G307</f>
        <v>3.6172924941823781E-2</v>
      </c>
      <c r="F20" s="790">
        <f>'IDEES okt 2017 template'!F110/F11*'TechHeat-RES'!H307</f>
        <v>9.2278511361414944E-3</v>
      </c>
      <c r="G20" s="774">
        <f>'IDEES okt 2017 template'!G110/G11*'TechHeat-RES'!I307</f>
        <v>3.4788266986395124E-2</v>
      </c>
      <c r="H20" s="774">
        <f>'IDEES okt 2017 template'!H110/H11*'TechHeat-RES'!J307</f>
        <v>1.8583277041020304E-2</v>
      </c>
      <c r="I20" s="774">
        <f>'IDEES okt 2017 template'!I110/I11*'TechHeat-RES'!K307</f>
        <v>3.2171804939389828E-2</v>
      </c>
      <c r="J20" s="774">
        <f>'IDEES okt 2017 template'!J110/J11*'TechHeat-RES'!L307</f>
        <v>3.016068493428193E-2</v>
      </c>
      <c r="K20" s="774">
        <f>'IDEES okt 2017 template'!K110/K11*'TechHeat-RES'!M307</f>
        <v>3.6311955794749592E-2</v>
      </c>
      <c r="L20" s="774">
        <f>'IDEES okt 2017 template'!L110/L11*'TechHeat-RES'!N307</f>
        <v>2.7126670746977631E-2</v>
      </c>
      <c r="M20" s="774">
        <f>'IDEES okt 2017 template'!M110/M11*'TechHeat-RES'!O307</f>
        <v>1.2279159862380545E-2</v>
      </c>
      <c r="N20" s="774">
        <f>'IDEES okt 2017 template'!N110/N11*'TechHeat-RES'!P307</f>
        <v>5.7056623295164831E-2</v>
      </c>
      <c r="O20" s="774">
        <f>'IDEES okt 2017 template'!O110/O11*'TechHeat-RES'!Q307</f>
        <v>2.6928611215231678E-2</v>
      </c>
      <c r="P20" s="774">
        <f>'IDEES okt 2017 template'!P110/P11*'TechHeat-RES'!R307</f>
        <v>2.0572797030118252E-2</v>
      </c>
      <c r="Q20" s="774">
        <f>'IDEES okt 2017 template'!Q110/Q11*'TechHeat-RES'!S307</f>
        <v>2.9817858953454162E-2</v>
      </c>
      <c r="R20" s="774">
        <f>'IDEES okt 2017 template'!R110/R11*'TechHeat-RES'!T307</f>
        <v>2.9888550365136209E-2</v>
      </c>
      <c r="S20" s="774">
        <f>'IDEES okt 2017 template'!S110/S11*'TechHeat-RES'!U307</f>
        <v>3.2571695428778337E-2</v>
      </c>
      <c r="T20" s="774">
        <f>'IDEES okt 2017 template'!T110/T11*'TechHeat-RES'!V307</f>
        <v>8.013875189059734E-2</v>
      </c>
      <c r="U20" s="774">
        <f>'IDEES okt 2017 template'!U110/U11*'TechHeat-RES'!W307</f>
        <v>2.1036098798276823E-2</v>
      </c>
      <c r="V20" s="774">
        <f>'IDEES okt 2017 template'!V110/V11*'TechHeat-RES'!X307</f>
        <v>1.6951581635210839E-2</v>
      </c>
      <c r="W20" s="774">
        <f>'IDEES okt 2017 template'!W110/W11*'TechHeat-RES'!Y307</f>
        <v>5.5249135360395656E-2</v>
      </c>
      <c r="X20" s="774">
        <f>'IDEES okt 2017 template'!X110/X11*'TechHeat-RES'!Z307</f>
        <v>2.4272112512317017E-2</v>
      </c>
      <c r="Y20" s="774">
        <f>'IDEES okt 2017 template'!Y110/Y11*'TechHeat-RES'!AA307</f>
        <v>2.929657115250942E-3</v>
      </c>
      <c r="Z20" s="774">
        <f>'IDEES okt 2017 template'!Z110/Z11*'TechHeat-RES'!AB307</f>
        <v>3.0547970292084125E-2</v>
      </c>
      <c r="AA20" s="774">
        <f>'IDEES okt 2017 template'!AA110/AA11*'TechHeat-RES'!AC307</f>
        <v>2.4759123737088516E-2</v>
      </c>
      <c r="AB20" s="774">
        <f>'IDEES okt 2017 template'!AB110/AB11*'TechHeat-RES'!AD307</f>
        <v>2.6903737567783512E-2</v>
      </c>
      <c r="AC20" s="774">
        <f>'IDEES okt 2017 template'!AC110/AC11*'TechHeat-RES'!AE307</f>
        <v>3.4283698947973062E-3</v>
      </c>
      <c r="AD20" s="774">
        <f>'IDEES okt 2017 template'!AD110/AD11*'TechHeat-RES'!AF307</f>
        <v>1.8305155978941487E-2</v>
      </c>
      <c r="AE20" s="774">
        <f>'IDEES okt 2017 template'!AE110/AE11*'TechHeat-RES'!AG307</f>
        <v>4.1879400051408659E-2</v>
      </c>
      <c r="AF20" s="774">
        <f>'IDEES okt 2017 template'!AF110/AF11*'TechHeat-RES'!AH307</f>
        <v>2.8507777096846147E-2</v>
      </c>
      <c r="AG20" s="774">
        <f>'IDEES okt 2017 template'!AG110/AG11*'TechHeat-RES'!AI307</f>
        <v>2.3971938778869915E-2</v>
      </c>
      <c r="AH20" s="774">
        <f>'IDEES okt 2017 template'!AH110/AH11*'TechHeat-RES'!AJ307</f>
        <v>3.2074068812387967E-2</v>
      </c>
      <c r="AI20" s="774">
        <f>'IDEES okt 2017 template'!AI110/AI11*'TechHeat-RES'!AK307</f>
        <v>3.3994005111368723E-3</v>
      </c>
      <c r="AJ20" s="774">
        <f>'IDEES okt 2017 template'!AJ110/AJ11*'TechHeat-RES'!AL307</f>
        <v>7.3779876065700944E-3</v>
      </c>
      <c r="AK20" s="774">
        <f>'IDEES okt 2017 template'!AK110/AK11*'TechHeat-RES'!AM307</f>
        <v>2.1072959381330986E-2</v>
      </c>
      <c r="AL20" s="774">
        <f>'IDEES okt 2017 template'!AL110/AL11*'TechHeat-RES'!AN307</f>
        <v>7.7201176965276622E-3</v>
      </c>
      <c r="AM20" s="774">
        <f>'IDEES okt 2017 template'!AM110/AM11*'TechHeat-RES'!AO307</f>
        <v>1.6131655738501588E-2</v>
      </c>
      <c r="AN20" s="774">
        <f>'IDEES okt 2017 template'!AN110/AN11*'TechHeat-RES'!AP307</f>
        <v>7.4924958400492438E-3</v>
      </c>
    </row>
    <row r="21" spans="1:40">
      <c r="A21" s="514"/>
      <c r="B21" s="514"/>
      <c r="C21" s="514"/>
      <c r="D21" s="515"/>
      <c r="E21" s="515"/>
      <c r="F21" s="515"/>
      <c r="G21" s="515"/>
      <c r="H21" s="515"/>
      <c r="I21" s="515"/>
      <c r="J21" s="515"/>
      <c r="K21" s="515"/>
      <c r="L21" s="515"/>
      <c r="M21" s="515"/>
      <c r="N21" s="515"/>
      <c r="O21" s="515"/>
      <c r="P21" s="515"/>
      <c r="Q21" s="515"/>
      <c r="R21" s="515"/>
      <c r="S21" s="515"/>
      <c r="T21" s="515"/>
      <c r="U21" s="515"/>
      <c r="V21" s="515"/>
      <c r="W21" s="515"/>
      <c r="X21" s="515"/>
      <c r="Y21" s="515"/>
      <c r="Z21" s="515"/>
      <c r="AA21" s="515"/>
      <c r="AB21" s="515"/>
      <c r="AC21" s="515"/>
      <c r="AD21" s="515"/>
      <c r="AE21" s="515"/>
      <c r="AF21" s="515"/>
      <c r="AG21" s="515"/>
      <c r="AH21" s="515"/>
      <c r="AI21" s="515"/>
      <c r="AJ21" s="515"/>
      <c r="AK21" s="515"/>
      <c r="AL21" s="515"/>
      <c r="AM21" s="515"/>
      <c r="AN21" s="515"/>
    </row>
    <row r="22" spans="1:40">
      <c r="A22" s="521" t="s">
        <v>602</v>
      </c>
      <c r="B22" s="521" t="s">
        <v>603</v>
      </c>
      <c r="C22" s="521" t="s">
        <v>604</v>
      </c>
      <c r="D22" s="531">
        <f ca="1">D20/D26</f>
        <v>0.68747009877968324</v>
      </c>
      <c r="E22" s="531">
        <f ca="1">E20/E26</f>
        <v>0.5789842944849094</v>
      </c>
      <c r="F22" s="531">
        <f t="shared" ref="F22:AN22" ca="1" si="1">F20/F26</f>
        <v>0.31492521224085862</v>
      </c>
      <c r="G22" s="531">
        <f t="shared" ca="1" si="1"/>
        <v>0.78725500857880359</v>
      </c>
      <c r="H22" s="531">
        <f t="shared" ca="1" si="1"/>
        <v>0.98896126237029458</v>
      </c>
      <c r="I22" s="531">
        <f t="shared" ca="1" si="1"/>
        <v>0.92669923746133087</v>
      </c>
      <c r="J22" s="531">
        <f ca="1">J20/J26</f>
        <v>0.76640556315848185</v>
      </c>
      <c r="K22" s="531">
        <f t="shared" ca="1" si="1"/>
        <v>0.9441667293326419</v>
      </c>
      <c r="L22" s="531">
        <f t="shared" ca="1" si="1"/>
        <v>1.5842278977252195</v>
      </c>
      <c r="M22" s="531">
        <f t="shared" ca="1" si="1"/>
        <v>0.39810855977794751</v>
      </c>
      <c r="N22" s="531">
        <f t="shared" ca="1" si="1"/>
        <v>1.5514865580608064</v>
      </c>
      <c r="O22" s="531">
        <f t="shared" ca="1" si="1"/>
        <v>0.60866986601339923</v>
      </c>
      <c r="P22" s="531">
        <f t="shared" ca="1" si="1"/>
        <v>0.53725915474884067</v>
      </c>
      <c r="Q22" s="531">
        <f t="shared" ca="1" si="1"/>
        <v>0.85070562527313798</v>
      </c>
      <c r="R22" s="531">
        <f t="shared" ca="1" si="1"/>
        <v>0.72047361072051241</v>
      </c>
      <c r="S22" s="531">
        <f t="shared" ca="1" si="1"/>
        <v>0.63444922134180026</v>
      </c>
      <c r="T22" s="531">
        <f t="shared" ca="1" si="1"/>
        <v>2.5181781804476993</v>
      </c>
      <c r="U22" s="531">
        <f t="shared" ca="1" si="1"/>
        <v>0.72331729577430126</v>
      </c>
      <c r="V22" s="531">
        <f t="shared" ca="1" si="1"/>
        <v>0.5291196179334372</v>
      </c>
      <c r="W22" s="531">
        <f t="shared" ca="1" si="1"/>
        <v>1.371288256636751</v>
      </c>
      <c r="X22" s="531">
        <f t="shared" ca="1" si="1"/>
        <v>0.71243354231795131</v>
      </c>
      <c r="Y22" s="531">
        <f t="shared" ca="1" si="1"/>
        <v>0.21322375978902866</v>
      </c>
      <c r="Z22" s="531">
        <f t="shared" ca="1" si="1"/>
        <v>0.67071355071986827</v>
      </c>
      <c r="AA22" s="531">
        <f t="shared" ca="1" si="1"/>
        <v>0.75744401140765216</v>
      </c>
      <c r="AB22" s="531">
        <f t="shared" ca="1" si="1"/>
        <v>0.70963640786347459</v>
      </c>
      <c r="AC22" s="531">
        <f t="shared" ca="1" si="1"/>
        <v>0.10949293863652607</v>
      </c>
      <c r="AD22" s="531">
        <f t="shared" ca="1" si="1"/>
        <v>0.41782011488672965</v>
      </c>
      <c r="AE22" s="531">
        <f t="shared" ca="1" si="1"/>
        <v>1.1664412676877725</v>
      </c>
      <c r="AF22" s="531">
        <f t="shared" ca="1" si="1"/>
        <v>0.88869647339855284</v>
      </c>
      <c r="AG22" s="531">
        <f t="shared" ca="1" si="1"/>
        <v>0.43494137718294534</v>
      </c>
      <c r="AH22" s="531">
        <f t="shared" ca="1" si="1"/>
        <v>0.67536508228384973</v>
      </c>
      <c r="AI22" s="531">
        <f t="shared" ca="1" si="1"/>
        <v>9.6361452614385251E-2</v>
      </c>
      <c r="AJ22" s="531">
        <f t="shared" ca="1" si="1"/>
        <v>0.19801627264219845</v>
      </c>
      <c r="AK22" s="531">
        <f t="shared" ca="1" si="1"/>
        <v>0.64176639927454637</v>
      </c>
      <c r="AL22" s="531">
        <f t="shared" ca="1" si="1"/>
        <v>0.24622286449683806</v>
      </c>
      <c r="AM22" s="531">
        <f t="shared" ca="1" si="1"/>
        <v>0.47081950931762001</v>
      </c>
      <c r="AN22" s="531">
        <f t="shared" ca="1" si="1"/>
        <v>0.2186764503383806</v>
      </c>
    </row>
    <row r="23" spans="1:40">
      <c r="A23" s="521" t="s">
        <v>609</v>
      </c>
      <c r="B23" s="521"/>
      <c r="C23" s="521" t="s">
        <v>604</v>
      </c>
      <c r="D23" s="535">
        <f t="shared" ref="D23:AN23" ca="1" si="2">IF(D22&lt;1,D22^0.5,1)</f>
        <v>0.82913816627850589</v>
      </c>
      <c r="E23" s="535">
        <f ca="1">IF(E22&lt;1,E22^0.5,1)</f>
        <v>0.76091017504361802</v>
      </c>
      <c r="F23" s="535">
        <f t="shared" ca="1" si="2"/>
        <v>0.56118197782970425</v>
      </c>
      <c r="G23" s="535">
        <f t="shared" ca="1" si="2"/>
        <v>0.88727391969943736</v>
      </c>
      <c r="H23" s="535">
        <f t="shared" ca="1" si="2"/>
        <v>0.99446531481509937</v>
      </c>
      <c r="I23" s="535">
        <f t="shared" ca="1" si="2"/>
        <v>0.96265218924663065</v>
      </c>
      <c r="J23" s="535">
        <f t="shared" ca="1" si="2"/>
        <v>0.87544592246379327</v>
      </c>
      <c r="K23" s="535">
        <f t="shared" ca="1" si="2"/>
        <v>0.97168242205601407</v>
      </c>
      <c r="L23" s="535">
        <f t="shared" ca="1" si="2"/>
        <v>1</v>
      </c>
      <c r="M23" s="535">
        <f t="shared" ca="1" si="2"/>
        <v>0.6309584453654199</v>
      </c>
      <c r="N23" s="535">
        <f t="shared" ca="1" si="2"/>
        <v>1</v>
      </c>
      <c r="O23" s="535">
        <f t="shared" ca="1" si="2"/>
        <v>0.78017297185521572</v>
      </c>
      <c r="P23" s="535">
        <f t="shared" ca="1" si="2"/>
        <v>0.73297964142862837</v>
      </c>
      <c r="Q23" s="535">
        <f t="shared" ca="1" si="2"/>
        <v>0.92233704537611305</v>
      </c>
      <c r="R23" s="535">
        <f t="shared" ca="1" si="2"/>
        <v>0.84880716933854439</v>
      </c>
      <c r="S23" s="535">
        <f t="shared" ca="1" si="2"/>
        <v>0.79652320828824585</v>
      </c>
      <c r="T23" s="535">
        <f t="shared" ca="1" si="2"/>
        <v>1</v>
      </c>
      <c r="U23" s="535">
        <f t="shared" ca="1" si="2"/>
        <v>0.85048062633683863</v>
      </c>
      <c r="V23" s="535">
        <f t="shared" ca="1" si="2"/>
        <v>0.72740608873822143</v>
      </c>
      <c r="W23" s="535">
        <f t="shared" ca="1" si="2"/>
        <v>1</v>
      </c>
      <c r="X23" s="535">
        <f t="shared" ca="1" si="2"/>
        <v>0.84405778375532514</v>
      </c>
      <c r="Y23" s="535">
        <f t="shared" ca="1" si="2"/>
        <v>0.46176158327542655</v>
      </c>
      <c r="Z23" s="535">
        <f t="shared" ca="1" si="2"/>
        <v>0.81897103167320162</v>
      </c>
      <c r="AA23" s="535">
        <f t="shared" ca="1" si="2"/>
        <v>0.87031259407620443</v>
      </c>
      <c r="AB23" s="535">
        <f t="shared" ca="1" si="2"/>
        <v>0.84239919744944836</v>
      </c>
      <c r="AC23" s="535">
        <f t="shared" ca="1" si="2"/>
        <v>0.33089717230058957</v>
      </c>
      <c r="AD23" s="535">
        <f t="shared" ca="1" si="2"/>
        <v>0.64639006403775245</v>
      </c>
      <c r="AE23" s="535">
        <f t="shared" ca="1" si="2"/>
        <v>1</v>
      </c>
      <c r="AF23" s="535">
        <f t="shared" ca="1" si="2"/>
        <v>0.94270699233566357</v>
      </c>
      <c r="AG23" s="535">
        <f t="shared" ca="1" si="2"/>
        <v>0.65950085457332452</v>
      </c>
      <c r="AH23" s="535">
        <f t="shared" ca="1" si="2"/>
        <v>0.82180598822584017</v>
      </c>
      <c r="AI23" s="535">
        <f t="shared" ca="1" si="2"/>
        <v>0.3104214113336663</v>
      </c>
      <c r="AJ23" s="535">
        <f t="shared" ca="1" si="2"/>
        <v>0.44499019387195315</v>
      </c>
      <c r="AK23" s="535">
        <f t="shared" ca="1" si="2"/>
        <v>0.80110323883663481</v>
      </c>
      <c r="AL23" s="535">
        <f t="shared" ca="1" si="2"/>
        <v>0.49620848894072545</v>
      </c>
      <c r="AM23" s="535">
        <f t="shared" ca="1" si="2"/>
        <v>0.68616288832726879</v>
      </c>
      <c r="AN23" s="535">
        <f t="shared" ca="1" si="2"/>
        <v>0.46762853884079891</v>
      </c>
    </row>
    <row r="24" spans="1:40">
      <c r="A24" s="521" t="s">
        <v>610</v>
      </c>
      <c r="B24" s="521"/>
      <c r="C24" s="521" t="s">
        <v>604</v>
      </c>
      <c r="D24" s="535">
        <f ca="1">IFERROR(D22/D23,"")</f>
        <v>0.82913816627850578</v>
      </c>
      <c r="E24" s="535">
        <f t="shared" ref="E24:AN24" ca="1" si="3">IFERROR(E22/E23,"")</f>
        <v>0.76091017504361802</v>
      </c>
      <c r="F24" s="535">
        <f t="shared" ca="1" si="3"/>
        <v>0.56118197782970414</v>
      </c>
      <c r="G24" s="535">
        <f t="shared" ca="1" si="3"/>
        <v>0.88727391969943736</v>
      </c>
      <c r="H24" s="535">
        <f t="shared" ca="1" si="3"/>
        <v>0.99446531481509925</v>
      </c>
      <c r="I24" s="535">
        <f t="shared" ca="1" si="3"/>
        <v>0.96265218924663076</v>
      </c>
      <c r="J24" s="535">
        <f ca="1">IFERROR(J22/J23,"")</f>
        <v>0.87544592246379316</v>
      </c>
      <c r="K24" s="535">
        <f t="shared" ca="1" si="3"/>
        <v>0.97168242205601407</v>
      </c>
      <c r="L24" s="535">
        <f t="shared" ca="1" si="3"/>
        <v>1.5842278977252195</v>
      </c>
      <c r="M24" s="535">
        <f t="shared" ca="1" si="3"/>
        <v>0.63095844536541978</v>
      </c>
      <c r="N24" s="535">
        <f t="shared" ca="1" si="3"/>
        <v>1.5514865580608064</v>
      </c>
      <c r="O24" s="535">
        <f t="shared" ca="1" si="3"/>
        <v>0.78017297185521572</v>
      </c>
      <c r="P24" s="535">
        <f t="shared" ca="1" si="3"/>
        <v>0.73297964142862848</v>
      </c>
      <c r="Q24" s="535">
        <f t="shared" ca="1" si="3"/>
        <v>0.92233704537611305</v>
      </c>
      <c r="R24" s="535">
        <f t="shared" ca="1" si="3"/>
        <v>0.84880716933854439</v>
      </c>
      <c r="S24" s="535">
        <f t="shared" ca="1" si="3"/>
        <v>0.79652320828824585</v>
      </c>
      <c r="T24" s="535">
        <f t="shared" ca="1" si="3"/>
        <v>2.5181781804476993</v>
      </c>
      <c r="U24" s="535">
        <f t="shared" ca="1" si="3"/>
        <v>0.85048062633683852</v>
      </c>
      <c r="V24" s="535">
        <f t="shared" ca="1" si="3"/>
        <v>0.72740608873822132</v>
      </c>
      <c r="W24" s="535">
        <f t="shared" ca="1" si="3"/>
        <v>1.371288256636751</v>
      </c>
      <c r="X24" s="535">
        <f t="shared" ca="1" si="3"/>
        <v>0.84405778375532525</v>
      </c>
      <c r="Y24" s="535">
        <f t="shared" ca="1" si="3"/>
        <v>0.46176158327542649</v>
      </c>
      <c r="Z24" s="535">
        <f t="shared" ca="1" si="3"/>
        <v>0.81897103167320173</v>
      </c>
      <c r="AA24" s="535">
        <f t="shared" ca="1" si="3"/>
        <v>0.87031259407620443</v>
      </c>
      <c r="AB24" s="535">
        <f t="shared" ca="1" si="3"/>
        <v>0.84239919744944824</v>
      </c>
      <c r="AC24" s="535">
        <f t="shared" ca="1" si="3"/>
        <v>0.33089717230058957</v>
      </c>
      <c r="AD24" s="535">
        <f t="shared" ca="1" si="3"/>
        <v>0.64639006403775234</v>
      </c>
      <c r="AE24" s="535">
        <f t="shared" ca="1" si="3"/>
        <v>1.1664412676877725</v>
      </c>
      <c r="AF24" s="535">
        <f t="shared" ca="1" si="3"/>
        <v>0.94270699233566357</v>
      </c>
      <c r="AG24" s="535">
        <f t="shared" ca="1" si="3"/>
        <v>0.65950085457332452</v>
      </c>
      <c r="AH24" s="535">
        <f t="shared" ca="1" si="3"/>
        <v>0.82180598822584017</v>
      </c>
      <c r="AI24" s="535">
        <f t="shared" ca="1" si="3"/>
        <v>0.3104214113336663</v>
      </c>
      <c r="AJ24" s="535">
        <f t="shared" ca="1" si="3"/>
        <v>0.44499019387195315</v>
      </c>
      <c r="AK24" s="535">
        <f t="shared" ca="1" si="3"/>
        <v>0.80110323883663481</v>
      </c>
      <c r="AL24" s="535">
        <f t="shared" ca="1" si="3"/>
        <v>0.49620848894072545</v>
      </c>
      <c r="AM24" s="535">
        <f t="shared" ca="1" si="3"/>
        <v>0.68616288832726891</v>
      </c>
      <c r="AN24" s="535">
        <f t="shared" ca="1" si="3"/>
        <v>0.46762853884079897</v>
      </c>
    </row>
    <row r="25" spans="1:40">
      <c r="D25" s="496"/>
      <c r="E25" s="496"/>
      <c r="F25" s="496"/>
      <c r="G25" s="496"/>
      <c r="H25" s="496"/>
      <c r="I25" s="496"/>
      <c r="J25" s="496"/>
      <c r="K25" s="496"/>
      <c r="L25" s="496"/>
      <c r="M25" s="496"/>
      <c r="N25" s="496"/>
      <c r="O25" s="496"/>
      <c r="P25" s="496"/>
      <c r="Q25" s="496"/>
      <c r="R25" s="496"/>
      <c r="S25" s="496"/>
      <c r="T25" s="496"/>
      <c r="U25" s="496"/>
      <c r="V25" s="496"/>
      <c r="W25" s="496"/>
      <c r="X25" s="496"/>
      <c r="Y25" s="496"/>
      <c r="Z25" s="496"/>
      <c r="AA25" s="496"/>
      <c r="AB25" s="496"/>
      <c r="AC25" s="496"/>
      <c r="AD25" s="496"/>
      <c r="AE25" s="496"/>
      <c r="AF25" s="496"/>
      <c r="AG25" s="496"/>
      <c r="AH25" s="496"/>
      <c r="AI25" s="496"/>
      <c r="AJ25" s="496"/>
      <c r="AK25" s="496"/>
      <c r="AL25" s="496"/>
      <c r="AM25" s="496"/>
      <c r="AN25" s="496"/>
    </row>
    <row r="26" spans="1:40">
      <c r="A26" s="516" t="s">
        <v>520</v>
      </c>
      <c r="B26" s="516" t="s">
        <v>259</v>
      </c>
      <c r="C26" s="516" t="s">
        <v>606</v>
      </c>
      <c r="D26" s="780">
        <f ca="1">(Detached!D46*'Dwelling stock'!G142+Semidetached!D47*'Dwelling stock'!G143+Flat!D47*'Dwelling stock'!G141)/'Dwelling stock'!G144/1000000*3.6</f>
        <v>4.8623570553740975E-2</v>
      </c>
      <c r="E26" s="780">
        <f ca="1">(Detached!E46*'Dwelling stock'!H142+Semidetached!E47*'Dwelling stock'!H143+Flat!E47*'Dwelling stock'!H141)/'Dwelling stock'!H144/1000000*3.6</f>
        <v>6.247652187872358E-2</v>
      </c>
      <c r="F26" s="780">
        <f ca="1">(Detached!F46*'Dwelling stock'!I142+Semidetached!F47*'Dwelling stock'!I143+Flat!F47*'Dwelling stock'!I141)/'Dwelling stock'!I144/1000000*3.6</f>
        <v>2.9301722369195142E-2</v>
      </c>
      <c r="G26" s="780">
        <f ca="1">(Detached!G46*'Dwelling stock'!J142+Semidetached!G47*'Dwelling stock'!J143+Flat!G47*'Dwelling stock'!J141)/'Dwelling stock'!J144/1000000*3.6</f>
        <v>4.4189324434018948E-2</v>
      </c>
      <c r="H26" s="780">
        <f ca="1">(Detached!H46*'Dwelling stock'!K142+Semidetached!H47*'Dwelling stock'!K143+Flat!H47*'Dwelling stock'!K141)/'Dwelling stock'!K144/1000000*3.6</f>
        <v>1.8790702677757877E-2</v>
      </c>
      <c r="I26" s="780">
        <f ca="1">(Detached!I46*'Dwelling stock'!L142+Semidetached!I47*'Dwelling stock'!L143+Flat!I47*'Dwelling stock'!L141)/'Dwelling stock'!L144/1000000*3.6</f>
        <v>3.47165548851898E-2</v>
      </c>
      <c r="J26" s="780">
        <f ca="1">(Detached!J46*'Dwelling stock'!M142+Semidetached!J47*'Dwelling stock'!M143+Flat!J47*'Dwelling stock'!M141)/'Dwelling stock'!M144/1000000*3.6</f>
        <v>3.9353426415623664E-2</v>
      </c>
      <c r="K26" s="780">
        <f ca="1">(Detached!K46*'Dwelling stock'!N142+Semidetached!K47*'Dwelling stock'!N143+Flat!K47*'Dwelling stock'!N141)/'Dwelling stock'!N144/1000000*3.6</f>
        <v>3.8459262190286767E-2</v>
      </c>
      <c r="L26" s="780">
        <f ca="1">(Detached!L46*'Dwelling stock'!O142+Semidetached!L47*'Dwelling stock'!O143+Flat!L47*'Dwelling stock'!O141)/'Dwelling stock'!O144/1000000*3.6</f>
        <v>1.7122959888491173E-2</v>
      </c>
      <c r="M26" s="780">
        <f ca="1">(Detached!M46*'Dwelling stock'!P142+Semidetached!M47*'Dwelling stock'!P143+Flat!M47*'Dwelling stock'!P141)/'Dwelling stock'!P144/1000000*3.6</f>
        <v>3.0843747417110236E-2</v>
      </c>
      <c r="N26" s="780">
        <f ca="1">(Detached!N46*'Dwelling stock'!Q142+Semidetached!N47*'Dwelling stock'!Q143+Flat!N47*'Dwelling stock'!Q141)/'Dwelling stock'!Q144/1000000*3.6</f>
        <v>3.6775454481848401E-2</v>
      </c>
      <c r="O26" s="780">
        <f ca="1">(Detached!O46*'Dwelling stock'!R142+Semidetached!O47*'Dwelling stock'!R143+Flat!O47*'Dwelling stock'!R141)/'Dwelling stock'!R144/1000000*3.6</f>
        <v>4.4241735493833159E-2</v>
      </c>
      <c r="P26" s="780">
        <f ca="1">(Detached!P46*'Dwelling stock'!S142+Semidetached!P47*'Dwelling stock'!S143+Flat!P47*'Dwelling stock'!S141)/'Dwelling stock'!S144/1000000*3.6</f>
        <v>3.8292129316504019E-2</v>
      </c>
      <c r="Q26" s="780">
        <f ca="1">(Detached!Q46*'Dwelling stock'!T142+Semidetached!Q47*'Dwelling stock'!T143+Flat!Q47*'Dwelling stock'!T141)/'Dwelling stock'!T144/1000000*3.6</f>
        <v>3.5050736785571947E-2</v>
      </c>
      <c r="R26" s="780">
        <f ca="1">(Detached!R46*'Dwelling stock'!U142+Semidetached!R47*'Dwelling stock'!U143+Flat!R47*'Dwelling stock'!U141)/'Dwelling stock'!U144/1000000*3.6</f>
        <v>4.1484587249831464E-2</v>
      </c>
      <c r="S26" s="780">
        <f ca="1">(Detached!S46*'Dwelling stock'!V142+Semidetached!S47*'Dwelling stock'!V143+Flat!S47*'Dwelling stock'!V141)/'Dwelling stock'!V144/1000000*3.6</f>
        <v>5.1338537952481479E-2</v>
      </c>
      <c r="T26" s="780">
        <f ca="1">(Detached!T46*'Dwelling stock'!W142+Semidetached!T47*'Dwelling stock'!W143+Flat!T47*'Dwelling stock'!W141)/'Dwelling stock'!W144/1000000*3.6</f>
        <v>3.182409907004663E-2</v>
      </c>
      <c r="U26" s="780">
        <f ca="1">(Detached!U46*'Dwelling stock'!X142+Semidetached!U47*'Dwelling stock'!X143+Flat!U47*'Dwelling stock'!X141)/'Dwelling stock'!X144/1000000*3.6</f>
        <v>2.9082809053747247E-2</v>
      </c>
      <c r="V26" s="780">
        <f ca="1">(Detached!V46*'Dwelling stock'!Y142+Semidetached!V47*'Dwelling stock'!Y143+Flat!V47*'Dwelling stock'!Y141)/'Dwelling stock'!Y144/1000000*3.6</f>
        <v>3.2037333451021908E-2</v>
      </c>
      <c r="W26" s="780">
        <f ca="1">(Detached!W46*'Dwelling stock'!Z142+Semidetached!W47*'Dwelling stock'!Z143+Flat!W47*'Dwelling stock'!Z141)/'Dwelling stock'!Z144/1000000*3.6</f>
        <v>4.0289950047337812E-2</v>
      </c>
      <c r="X26" s="780">
        <f ca="1">(Detached!X46*'Dwelling stock'!AA142+Semidetached!X47*'Dwelling stock'!AA143+Flat!X47*'Dwelling stock'!AA141)/'Dwelling stock'!AA144/1000000*3.6</f>
        <v>3.4069300602195172E-2</v>
      </c>
      <c r="Y26" s="780">
        <f ca="1">(Detached!Y46*'Dwelling stock'!AB142+Semidetached!Y47*'Dwelling stock'!AB143+Flat!Y47*'Dwelling stock'!AB141)/'Dwelling stock'!AB144/1000000*3.6</f>
        <v>1.3739824858869628E-2</v>
      </c>
      <c r="Z26" s="780">
        <f ca="1">(Detached!Z46*'Dwelling stock'!AC142+Semidetached!Z47*'Dwelling stock'!AC143+Flat!Z47*'Dwelling stock'!AC141)/'Dwelling stock'!AC144/1000000*3.6</f>
        <v>4.5545479525942754E-2</v>
      </c>
      <c r="AA26" s="780">
        <f ca="1">(Detached!AA46*'Dwelling stock'!AD142+Semidetached!AA47*'Dwelling stock'!AD143+Flat!AA47*'Dwelling stock'!AD141)/'Dwelling stock'!AD144/1000000*3.6</f>
        <v>3.2687727890376432E-2</v>
      </c>
      <c r="AB26" s="780">
        <f ca="1">(Detached!AB46*'Dwelling stock'!AE142+Semidetached!AB47*'Dwelling stock'!AE143+Flat!AB47*'Dwelling stock'!AE141)/'Dwelling stock'!AE144/1000000*3.6</f>
        <v>3.7912002921021863E-2</v>
      </c>
      <c r="AC26" s="780">
        <f ca="1">(Detached!AC46*'Dwelling stock'!AF142+Semidetached!AC47*'Dwelling stock'!AF143+Flat!AC47*'Dwelling stock'!AF141)/'Dwelling stock'!AF144/1000000*3.6</f>
        <v>3.1311333292260608E-2</v>
      </c>
      <c r="AD26" s="780">
        <f ca="1">(Detached!AD46*'Dwelling stock'!AG142+Semidetached!AD47*'Dwelling stock'!AG143+Flat!AD47*'Dwelling stock'!AG141)/'Dwelling stock'!AG144/1000000*3.6</f>
        <v>4.3811093163630917E-2</v>
      </c>
      <c r="AE26" s="780">
        <f ca="1">(Detached!AE46*'Dwelling stock'!AH142+Semidetached!AE47*'Dwelling stock'!AH143+Flat!AE47*'Dwelling stock'!AH141)/'Dwelling stock'!AH144/1000000*3.6</f>
        <v>3.5903565152856663E-2</v>
      </c>
      <c r="AF26" s="780">
        <f ca="1">(Detached!AF46*'Dwelling stock'!AI142+Semidetached!AF47*'Dwelling stock'!AI143+Flat!AF47*'Dwelling stock'!AI141)/'Dwelling stock'!AI144/1000000*3.6</f>
        <v>3.207819311786702E-2</v>
      </c>
      <c r="AG26" s="780">
        <f ca="1">(Detached!AG46*'Dwelling stock'!AJ142+Semidetached!AG47*'Dwelling stock'!AJ143+Flat!AG47*'Dwelling stock'!AJ141)/'Dwelling stock'!AJ144/1000000*3.6</f>
        <v>5.5115332861942957E-2</v>
      </c>
      <c r="AH26" s="780">
        <f ca="1">(Detached!AH46*'Dwelling stock'!AK142+Semidetached!AH47*'Dwelling stock'!AK143+Flat!AH47*'Dwelling stock'!AK141)/'Dwelling stock'!AK144/1000000*3.6</f>
        <v>4.7491452628739148E-2</v>
      </c>
      <c r="AI26" s="780">
        <f ca="1">(Detached!AI46*'Dwelling stock'!AL142+Semidetached!AI47*'Dwelling stock'!AL143+Flat!AI47*'Dwelling stock'!AL141)/'Dwelling stock'!AL144/1000000*3.6</f>
        <v>3.5277597202072429E-2</v>
      </c>
      <c r="AJ26" s="780">
        <f ca="1">(Detached!AJ46*'Dwelling stock'!AM142+Semidetached!AJ47*'Dwelling stock'!AM143+Flat!AJ47*'Dwelling stock'!AM141)/'Dwelling stock'!AM144/1000000*3.6</f>
        <v>3.7259501495120056E-2</v>
      </c>
      <c r="AK26" s="780">
        <f ca="1">(Detached!AK46*'Dwelling stock'!AN142+Semidetached!AK47*'Dwelling stock'!AN143+Flat!AK47*'Dwelling stock'!AN141)/'Dwelling stock'!AN144/1000000*3.6</f>
        <v>3.283587206365414E-2</v>
      </c>
      <c r="AL26" s="780">
        <f ca="1">(Detached!AL46*'Dwelling stock'!AO142+Semidetached!AL47*'Dwelling stock'!AO143+Flat!AL47*'Dwelling stock'!AO141)/'Dwelling stock'!AO144/1000000*3.6</f>
        <v>3.1354186835182409E-2</v>
      </c>
      <c r="AM26" s="780">
        <f ca="1">(Detached!AM46*'Dwelling stock'!AP142+Semidetached!AM47*'Dwelling stock'!AP143+Flat!AM47*'Dwelling stock'!AP141)/'Dwelling stock'!AP144/1000000*3.6</f>
        <v>3.4262929677408495E-2</v>
      </c>
      <c r="AN26" s="780">
        <f ca="1">(Detached!AN46*'Dwelling stock'!AQ142+Semidetached!AN47*'Dwelling stock'!AQ143+Flat!AN47*'Dwelling stock'!AQ141)/'Dwelling stock'!AQ144/1000000*3.6</f>
        <v>3.4262929677408488E-2</v>
      </c>
    </row>
    <row r="27" spans="1:40">
      <c r="A27" t="s">
        <v>875</v>
      </c>
      <c r="D27">
        <f>D17*D9*3.6/10^6</f>
        <v>4.8686869719866535E-2</v>
      </c>
      <c r="E27">
        <f t="shared" ref="E27:AN27" si="4">E17*E9*3.6/10^6</f>
        <v>6.2577997343507941E-2</v>
      </c>
      <c r="F27">
        <f t="shared" si="4"/>
        <v>2.909027899585756E-2</v>
      </c>
      <c r="G27">
        <f t="shared" si="4"/>
        <v>4.4168082419677145E-2</v>
      </c>
      <c r="H27">
        <f t="shared" si="4"/>
        <v>1.8773899844032934E-2</v>
      </c>
      <c r="I27">
        <f t="shared" si="4"/>
        <v>3.464885378822978E-2</v>
      </c>
      <c r="J27">
        <f t="shared" si="4"/>
        <v>3.9286360919720077E-2</v>
      </c>
      <c r="K27">
        <f t="shared" si="4"/>
        <v>3.8713139022244873E-2</v>
      </c>
      <c r="L27">
        <f t="shared" si="4"/>
        <v>1.7058979660557159E-2</v>
      </c>
      <c r="M27">
        <f t="shared" si="4"/>
        <v>3.0796544540334644E-2</v>
      </c>
      <c r="N27">
        <f t="shared" si="4"/>
        <v>3.6885102861341827E-2</v>
      </c>
      <c r="O27">
        <f t="shared" si="4"/>
        <v>4.4296402116335384E-2</v>
      </c>
      <c r="P27">
        <f t="shared" si="4"/>
        <v>3.7988527514229237E-2</v>
      </c>
      <c r="Q27">
        <f t="shared" si="4"/>
        <v>3.5196285873582388E-2</v>
      </c>
      <c r="R27">
        <f t="shared" si="4"/>
        <v>4.1978890370503959E-2</v>
      </c>
      <c r="S27">
        <f t="shared" si="4"/>
        <v>5.1587661275607988E-2</v>
      </c>
      <c r="T27">
        <f t="shared" si="4"/>
        <v>3.1949917720104082E-2</v>
      </c>
      <c r="U27">
        <f t="shared" si="4"/>
        <v>2.895511891455084E-2</v>
      </c>
      <c r="V27">
        <f t="shared" si="4"/>
        <v>3.1962502148854349E-2</v>
      </c>
      <c r="W27">
        <f t="shared" si="4"/>
        <v>4.0190468157016421E-2</v>
      </c>
      <c r="X27">
        <f t="shared" si="4"/>
        <v>3.3935896308238761E-2</v>
      </c>
      <c r="Y27">
        <f t="shared" si="4"/>
        <v>1.3738396310468319E-2</v>
      </c>
      <c r="Z27">
        <f t="shared" si="4"/>
        <v>4.553613382662821E-2</v>
      </c>
      <c r="AA27">
        <f t="shared" si="4"/>
        <v>3.2812022948656504E-2</v>
      </c>
      <c r="AB27">
        <f t="shared" si="4"/>
        <v>3.7801062820136892E-2</v>
      </c>
      <c r="AC27">
        <f t="shared" si="4"/>
        <v>3.1167158214569522E-2</v>
      </c>
      <c r="AD27">
        <f t="shared" si="4"/>
        <v>4.3695520848693409E-2</v>
      </c>
      <c r="AE27">
        <f t="shared" si="4"/>
        <v>3.6132244260057053E-2</v>
      </c>
      <c r="AF27">
        <f t="shared" si="4"/>
        <v>3.2011065963959945E-2</v>
      </c>
      <c r="AG27">
        <f t="shared" si="4"/>
        <v>5.5024811769735213E-2</v>
      </c>
      <c r="AH27">
        <f t="shared" si="4"/>
        <v>4.7504820573409184E-2</v>
      </c>
      <c r="AI27">
        <f t="shared" si="4"/>
        <v>3.4888868541548185E-2</v>
      </c>
      <c r="AJ27">
        <f t="shared" si="4"/>
        <v>3.7164219296361538E-2</v>
      </c>
      <c r="AK27">
        <f t="shared" si="4"/>
        <v>3.2652089050309009E-2</v>
      </c>
      <c r="AL27">
        <f t="shared" si="4"/>
        <v>3.1250939572158465E-2</v>
      </c>
      <c r="AM27">
        <f t="shared" si="4"/>
        <v>3.417531048915929E-2</v>
      </c>
      <c r="AN27">
        <f t="shared" si="4"/>
        <v>3.417531048915929E-2</v>
      </c>
    </row>
    <row r="28" spans="1:40">
      <c r="A28" s="542" t="s">
        <v>521</v>
      </c>
    </row>
    <row r="29" spans="1:40">
      <c r="A29" s="541" t="s">
        <v>522</v>
      </c>
      <c r="B29" s="516" t="s">
        <v>259</v>
      </c>
      <c r="C29" s="516" t="s">
        <v>508</v>
      </c>
      <c r="D29" s="518">
        <f ca="1">D26-D20</f>
        <v>1.519631970213977E-2</v>
      </c>
      <c r="E29" s="518">
        <f t="shared" ref="E29:AN29" ca="1" si="5">E26-E20</f>
        <v>2.6303596936899799E-2</v>
      </c>
      <c r="F29" s="518">
        <f t="shared" ca="1" si="5"/>
        <v>2.0073871233053646E-2</v>
      </c>
      <c r="G29" s="518">
        <f t="shared" ca="1" si="5"/>
        <v>9.4010574476238243E-3</v>
      </c>
      <c r="H29" s="518">
        <f t="shared" ca="1" si="5"/>
        <v>2.0742563673757305E-4</v>
      </c>
      <c r="I29" s="518">
        <f t="shared" ca="1" si="5"/>
        <v>2.544749945799972E-3</v>
      </c>
      <c r="J29" s="518">
        <f t="shared" ca="1" si="5"/>
        <v>9.1927414813417346E-3</v>
      </c>
      <c r="K29" s="518">
        <f t="shared" ca="1" si="5"/>
        <v>2.1473063955371741E-3</v>
      </c>
      <c r="L29" s="518">
        <f t="shared" ca="1" si="5"/>
        <v>-1.0003710858486458E-2</v>
      </c>
      <c r="M29" s="518">
        <f t="shared" ca="1" si="5"/>
        <v>1.8564587554729693E-2</v>
      </c>
      <c r="N29" s="518">
        <f t="shared" ca="1" si="5"/>
        <v>-2.028116881331643E-2</v>
      </c>
      <c r="O29" s="518">
        <f t="shared" ca="1" si="5"/>
        <v>1.7313124278601481E-2</v>
      </c>
      <c r="P29" s="518">
        <f t="shared" ca="1" si="5"/>
        <v>1.7719332286385767E-2</v>
      </c>
      <c r="Q29" s="518">
        <f t="shared" ca="1" si="5"/>
        <v>5.2328778321177848E-3</v>
      </c>
      <c r="R29" s="518">
        <f t="shared" ca="1" si="5"/>
        <v>1.1596036884695255E-2</v>
      </c>
      <c r="S29" s="518">
        <f t="shared" ca="1" si="5"/>
        <v>1.8766842523703142E-2</v>
      </c>
      <c r="T29" s="518">
        <f t="shared" ca="1" si="5"/>
        <v>-4.831465282055071E-2</v>
      </c>
      <c r="U29" s="518">
        <f t="shared" ca="1" si="5"/>
        <v>8.0467102554704246E-3</v>
      </c>
      <c r="V29" s="518">
        <f t="shared" ca="1" si="5"/>
        <v>1.5085751815811069E-2</v>
      </c>
      <c r="W29" s="518">
        <f t="shared" ca="1" si="5"/>
        <v>-1.4959185313057843E-2</v>
      </c>
      <c r="X29" s="518">
        <f t="shared" ca="1" si="5"/>
        <v>9.7971880898781553E-3</v>
      </c>
      <c r="Y29" s="518">
        <f t="shared" ca="1" si="5"/>
        <v>1.0810167743618686E-2</v>
      </c>
      <c r="Z29" s="518">
        <f t="shared" ca="1" si="5"/>
        <v>1.499750923385863E-2</v>
      </c>
      <c r="AA29" s="518">
        <f t="shared" ca="1" si="5"/>
        <v>7.9286041532879159E-3</v>
      </c>
      <c r="AB29" s="518">
        <f t="shared" ca="1" si="5"/>
        <v>1.1008265353238351E-2</v>
      </c>
      <c r="AC29" s="518">
        <f t="shared" ca="1" si="5"/>
        <v>2.7882963397463302E-2</v>
      </c>
      <c r="AD29" s="518">
        <f t="shared" ca="1" si="5"/>
        <v>2.550593718468943E-2</v>
      </c>
      <c r="AE29" s="518">
        <f t="shared" ca="1" si="5"/>
        <v>-5.975834898551996E-3</v>
      </c>
      <c r="AF29" s="518">
        <f t="shared" ca="1" si="5"/>
        <v>3.5704160210208724E-3</v>
      </c>
      <c r="AG29" s="518">
        <f t="shared" ca="1" si="5"/>
        <v>3.1143394083073043E-2</v>
      </c>
      <c r="AH29" s="518">
        <f t="shared" ca="1" si="5"/>
        <v>1.5417383816351181E-2</v>
      </c>
      <c r="AI29" s="518">
        <f t="shared" ca="1" si="5"/>
        <v>3.1878196690935556E-2</v>
      </c>
      <c r="AJ29" s="518">
        <f t="shared" ca="1" si="5"/>
        <v>2.9881513888549961E-2</v>
      </c>
      <c r="AK29" s="518">
        <f t="shared" ca="1" si="5"/>
        <v>1.1762912682323153E-2</v>
      </c>
      <c r="AL29" s="518">
        <f t="shared" ca="1" si="5"/>
        <v>2.3634069138654748E-2</v>
      </c>
      <c r="AM29" s="518">
        <f t="shared" ca="1" si="5"/>
        <v>1.8131273938906907E-2</v>
      </c>
      <c r="AN29" s="518">
        <f t="shared" ca="1" si="5"/>
        <v>2.6770433837359244E-2</v>
      </c>
    </row>
    <row r="30" spans="1:40">
      <c r="A30" s="517"/>
    </row>
    <row r="31" spans="1:40">
      <c r="B31" s="520" t="s">
        <v>523</v>
      </c>
      <c r="C31" s="519" t="s">
        <v>510</v>
      </c>
      <c r="D31" s="822">
        <v>1</v>
      </c>
      <c r="E31" s="822">
        <v>1</v>
      </c>
      <c r="F31" s="822">
        <v>1</v>
      </c>
      <c r="G31" s="822">
        <v>1</v>
      </c>
      <c r="H31" s="822">
        <v>1</v>
      </c>
      <c r="I31" s="822">
        <v>1</v>
      </c>
      <c r="J31" s="822">
        <v>1</v>
      </c>
      <c r="K31" s="822">
        <v>1</v>
      </c>
      <c r="L31" s="822">
        <v>1</v>
      </c>
      <c r="M31" s="822">
        <v>1</v>
      </c>
      <c r="N31" s="822">
        <v>1</v>
      </c>
      <c r="O31" s="822">
        <v>1</v>
      </c>
      <c r="P31" s="822">
        <v>1</v>
      </c>
      <c r="Q31" s="822">
        <v>1</v>
      </c>
      <c r="R31" s="822">
        <v>1</v>
      </c>
      <c r="S31" s="822">
        <v>1</v>
      </c>
      <c r="T31" s="822">
        <v>1</v>
      </c>
      <c r="U31" s="822">
        <v>1</v>
      </c>
      <c r="V31" s="822">
        <v>1</v>
      </c>
      <c r="W31" s="822">
        <v>1</v>
      </c>
      <c r="X31" s="822">
        <v>1</v>
      </c>
      <c r="Y31" s="822">
        <v>1</v>
      </c>
      <c r="Z31" s="822">
        <v>1</v>
      </c>
      <c r="AA31" s="822">
        <v>1</v>
      </c>
      <c r="AB31" s="822">
        <v>1</v>
      </c>
      <c r="AC31" s="822">
        <v>1</v>
      </c>
      <c r="AD31" s="822">
        <v>1</v>
      </c>
      <c r="AE31" s="822">
        <v>1</v>
      </c>
      <c r="AF31" s="822">
        <v>1</v>
      </c>
      <c r="AG31" s="822">
        <v>1</v>
      </c>
      <c r="AH31" s="822">
        <v>1</v>
      </c>
      <c r="AI31" s="822">
        <v>1</v>
      </c>
      <c r="AJ31" s="822">
        <v>1</v>
      </c>
      <c r="AK31" s="822">
        <v>1</v>
      </c>
      <c r="AL31" s="822">
        <v>1</v>
      </c>
      <c r="AM31" s="822">
        <v>1</v>
      </c>
      <c r="AN31" s="822">
        <v>1</v>
      </c>
    </row>
    <row r="32" spans="1:40">
      <c r="B32" s="520"/>
      <c r="C32" s="820" t="s">
        <v>937</v>
      </c>
      <c r="D32" s="822">
        <v>2.5</v>
      </c>
      <c r="E32" s="822">
        <v>2.5</v>
      </c>
      <c r="F32" s="822">
        <v>2.5</v>
      </c>
      <c r="G32" s="822">
        <v>2.5</v>
      </c>
      <c r="H32" s="822">
        <v>2.5</v>
      </c>
      <c r="I32" s="822">
        <v>2.5</v>
      </c>
      <c r="J32" s="822">
        <v>2.5</v>
      </c>
      <c r="K32" s="822">
        <v>2.5</v>
      </c>
      <c r="L32" s="822">
        <v>2.5</v>
      </c>
      <c r="M32" s="822">
        <v>2.5</v>
      </c>
      <c r="N32" s="822">
        <v>2.5</v>
      </c>
      <c r="O32" s="822">
        <v>2.5</v>
      </c>
      <c r="P32" s="822">
        <v>2.5</v>
      </c>
      <c r="Q32" s="822">
        <v>2.5</v>
      </c>
      <c r="R32" s="822">
        <v>2.5</v>
      </c>
      <c r="S32" s="822">
        <v>2.5</v>
      </c>
      <c r="T32" s="822">
        <v>2.5</v>
      </c>
      <c r="U32" s="822">
        <v>2.5</v>
      </c>
      <c r="V32" s="822">
        <v>2.5</v>
      </c>
      <c r="W32" s="822">
        <v>2.5</v>
      </c>
      <c r="X32" s="822">
        <v>2.5</v>
      </c>
      <c r="Y32" s="822">
        <v>2.5</v>
      </c>
      <c r="Z32" s="822">
        <v>2.5</v>
      </c>
      <c r="AA32" s="822">
        <v>2.5</v>
      </c>
      <c r="AB32" s="822">
        <v>2.5</v>
      </c>
      <c r="AC32" s="822">
        <v>2.5</v>
      </c>
      <c r="AD32" s="822">
        <v>2.5</v>
      </c>
      <c r="AE32" s="822">
        <v>2.5</v>
      </c>
      <c r="AF32" s="822">
        <v>2.5</v>
      </c>
      <c r="AG32" s="822">
        <v>2.5</v>
      </c>
      <c r="AH32" s="822">
        <v>2.5</v>
      </c>
      <c r="AI32" s="822">
        <v>2.5</v>
      </c>
      <c r="AJ32" s="822">
        <v>2.5</v>
      </c>
      <c r="AK32" s="822">
        <v>2.5</v>
      </c>
      <c r="AL32" s="822">
        <v>2.5</v>
      </c>
      <c r="AM32" s="822">
        <v>2.5</v>
      </c>
      <c r="AN32" s="822">
        <v>2.5</v>
      </c>
    </row>
    <row r="33" spans="1:40">
      <c r="B33" s="520"/>
      <c r="C33" s="820" t="s">
        <v>938</v>
      </c>
      <c r="D33" s="822">
        <v>3</v>
      </c>
      <c r="E33" s="822">
        <v>3</v>
      </c>
      <c r="F33" s="822">
        <v>3</v>
      </c>
      <c r="G33" s="822">
        <v>3</v>
      </c>
      <c r="H33" s="822">
        <v>3</v>
      </c>
      <c r="I33" s="822">
        <v>3</v>
      </c>
      <c r="J33" s="822">
        <v>3</v>
      </c>
      <c r="K33" s="822">
        <v>3</v>
      </c>
      <c r="L33" s="822">
        <v>3</v>
      </c>
      <c r="M33" s="822">
        <v>3</v>
      </c>
      <c r="N33" s="822">
        <v>3</v>
      </c>
      <c r="O33" s="822">
        <v>3</v>
      </c>
      <c r="P33" s="822">
        <v>3</v>
      </c>
      <c r="Q33" s="822">
        <v>3</v>
      </c>
      <c r="R33" s="822">
        <v>3</v>
      </c>
      <c r="S33" s="822">
        <v>3</v>
      </c>
      <c r="T33" s="822">
        <v>3</v>
      </c>
      <c r="U33" s="822">
        <v>3</v>
      </c>
      <c r="V33" s="822">
        <v>3</v>
      </c>
      <c r="W33" s="822">
        <v>3</v>
      </c>
      <c r="X33" s="822">
        <v>3</v>
      </c>
      <c r="Y33" s="822">
        <v>3</v>
      </c>
      <c r="Z33" s="822">
        <v>3</v>
      </c>
      <c r="AA33" s="822">
        <v>3</v>
      </c>
      <c r="AB33" s="822">
        <v>3</v>
      </c>
      <c r="AC33" s="822">
        <v>3</v>
      </c>
      <c r="AD33" s="822">
        <v>3</v>
      </c>
      <c r="AE33" s="822">
        <v>3</v>
      </c>
      <c r="AF33" s="822">
        <v>3</v>
      </c>
      <c r="AG33" s="822">
        <v>3</v>
      </c>
      <c r="AH33" s="822">
        <v>3</v>
      </c>
      <c r="AI33" s="822">
        <v>3</v>
      </c>
      <c r="AJ33" s="822">
        <v>3</v>
      </c>
      <c r="AK33" s="822">
        <v>3</v>
      </c>
      <c r="AL33" s="822">
        <v>3</v>
      </c>
      <c r="AM33" s="822">
        <v>3</v>
      </c>
      <c r="AN33" s="822">
        <v>3</v>
      </c>
    </row>
    <row r="34" spans="1:40">
      <c r="B34" s="520"/>
      <c r="C34" s="820" t="s">
        <v>266</v>
      </c>
      <c r="D34" s="822">
        <f ca="1">((D31*SUM('TechHeat-RES'!F5,'TechHeat-RES'!F15,'TechHeat-RES'!F25,'TechHeat-RES'!F35))+(D32*(SUM('TechHeat-RES'!F6,'TechHeat-RES'!F16,'TechHeat-RES'!F26,'TechHeat-RES'!F36)))+(D33*SUM('TechHeat-RES'!F7,'TechHeat-RES'!F17,'TechHeat-RES'!F27,'TechHeat-RES'!F37)))/SUM('TechHeat-RES'!F5:F7,'TechHeat-RES'!F15:F17,'TechHeat-RES'!F25:F27,'TechHeat-RES'!F35:F37)</f>
        <v>1.5442277572139136</v>
      </c>
      <c r="E34" s="822">
        <f ca="1">((E31*SUM('TechHeat-RES'!G5,'TechHeat-RES'!G15,'TechHeat-RES'!G25,'TechHeat-RES'!G35))+(E32*(SUM('TechHeat-RES'!G6,'TechHeat-RES'!G16,'TechHeat-RES'!G26,'TechHeat-RES'!G36)))+(E33*SUM('TechHeat-RES'!G7,'TechHeat-RES'!G17,'TechHeat-RES'!G27,'TechHeat-RES'!G37)))/SUM('TechHeat-RES'!G5:G7,'TechHeat-RES'!G15:G17,'TechHeat-RES'!G25:G27,'TechHeat-RES'!G35:G37)</f>
        <v>1.0589120140439112</v>
      </c>
      <c r="F34" s="822">
        <f ca="1">((F31*SUM('TechHeat-RES'!H5,'TechHeat-RES'!H15,'TechHeat-RES'!H25,'TechHeat-RES'!H35))+(F32*(SUM('TechHeat-RES'!H6,'TechHeat-RES'!H16,'TechHeat-RES'!H26,'TechHeat-RES'!H36)))+(F33*SUM('TechHeat-RES'!H7,'TechHeat-RES'!H17,'TechHeat-RES'!H27,'TechHeat-RES'!H37)))/SUM('TechHeat-RES'!H5:H7,'TechHeat-RES'!H15:H17,'TechHeat-RES'!H25:H27,'TechHeat-RES'!H35:H37)</f>
        <v>1</v>
      </c>
      <c r="G34" s="822">
        <f ca="1">((G31*SUM('TechHeat-RES'!I5,'TechHeat-RES'!I15,'TechHeat-RES'!I25,'TechHeat-RES'!I35))+(G32*(SUM('TechHeat-RES'!I6,'TechHeat-RES'!I16,'TechHeat-RES'!I26,'TechHeat-RES'!I36)))+(G33*SUM('TechHeat-RES'!I7,'TechHeat-RES'!I17,'TechHeat-RES'!I27,'TechHeat-RES'!I37)))/SUM('TechHeat-RES'!I5:I7,'TechHeat-RES'!I15:I17,'TechHeat-RES'!I25:I27,'TechHeat-RES'!I35:I37)</f>
        <v>1.8625706352474993</v>
      </c>
      <c r="H34" s="822">
        <f ca="1">((H31*SUM('TechHeat-RES'!J5,'TechHeat-RES'!J15,'TechHeat-RES'!J25,'TechHeat-RES'!J35))+(H32*(SUM('TechHeat-RES'!J6,'TechHeat-RES'!J16,'TechHeat-RES'!J26,'TechHeat-RES'!J36)))+(H33*SUM('TechHeat-RES'!J7,'TechHeat-RES'!J17,'TechHeat-RES'!J27,'TechHeat-RES'!J37)))/SUM('TechHeat-RES'!J5:J7,'TechHeat-RES'!J15:J17,'TechHeat-RES'!J25:J27,'TechHeat-RES'!J35:J37)</f>
        <v>1</v>
      </c>
      <c r="I34" s="822">
        <f ca="1">((I31*SUM('TechHeat-RES'!K5,'TechHeat-RES'!K15,'TechHeat-RES'!K25,'TechHeat-RES'!K35))+(I32*(SUM('TechHeat-RES'!K6,'TechHeat-RES'!K16,'TechHeat-RES'!K26,'TechHeat-RES'!K36)))+(I33*SUM('TechHeat-RES'!K7,'TechHeat-RES'!K17,'TechHeat-RES'!K27,'TechHeat-RES'!K37)))/SUM('TechHeat-RES'!K5:K7,'TechHeat-RES'!K15:K17,'TechHeat-RES'!K25:K27,'TechHeat-RES'!K35:K37)</f>
        <v>1.1540216277526032</v>
      </c>
      <c r="J34" s="822">
        <f ca="1">((J31*SUM('TechHeat-RES'!L5,'TechHeat-RES'!L15,'TechHeat-RES'!L25,'TechHeat-RES'!L35))+(J32*(SUM('TechHeat-RES'!L6,'TechHeat-RES'!L16,'TechHeat-RES'!L26,'TechHeat-RES'!L36)))+(J33*SUM('TechHeat-RES'!L7,'TechHeat-RES'!L17,'TechHeat-RES'!L27,'TechHeat-RES'!L37)))/SUM('TechHeat-RES'!L5:L7,'TechHeat-RES'!L15:L17,'TechHeat-RES'!L25:L27,'TechHeat-RES'!L35:L37)</f>
        <v>1.3178425258979147</v>
      </c>
      <c r="K34" s="822">
        <f ca="1">((K31*SUM('TechHeat-RES'!M5,'TechHeat-RES'!M15,'TechHeat-RES'!M25,'TechHeat-RES'!M35))+(K32*(SUM('TechHeat-RES'!M6,'TechHeat-RES'!M16,'TechHeat-RES'!M26,'TechHeat-RES'!M36)))+(K33*SUM('TechHeat-RES'!M7,'TechHeat-RES'!M17,'TechHeat-RES'!M27,'TechHeat-RES'!M37)))/SUM('TechHeat-RES'!M5:M7,'TechHeat-RES'!M15:M17,'TechHeat-RES'!M25:M27,'TechHeat-RES'!M35:M37)</f>
        <v>2.191107725323953</v>
      </c>
      <c r="L34" s="822">
        <f ca="1">((L31*SUM('TechHeat-RES'!N5,'TechHeat-RES'!N15,'TechHeat-RES'!N25,'TechHeat-RES'!N35))+(L32*(SUM('TechHeat-RES'!N6,'TechHeat-RES'!N16,'TechHeat-RES'!N26,'TechHeat-RES'!N36)))+(L33*SUM('TechHeat-RES'!N7,'TechHeat-RES'!N17,'TechHeat-RES'!N27,'TechHeat-RES'!N37)))/SUM('TechHeat-RES'!N5:N7,'TechHeat-RES'!N15:N17,'TechHeat-RES'!N25:N27,'TechHeat-RES'!N35:N37)</f>
        <v>2.2093549801248478</v>
      </c>
      <c r="M34" s="822">
        <f ca="1">((M31*SUM('TechHeat-RES'!O5,'TechHeat-RES'!O15,'TechHeat-RES'!O25,'TechHeat-RES'!O35))+(M32*(SUM('TechHeat-RES'!O6,'TechHeat-RES'!O16,'TechHeat-RES'!O26,'TechHeat-RES'!O36)))+(M33*SUM('TechHeat-RES'!O7,'TechHeat-RES'!O17,'TechHeat-RES'!O27,'TechHeat-RES'!O37)))/SUM('TechHeat-RES'!O5:O7,'TechHeat-RES'!O15:O17,'TechHeat-RES'!O25:O27,'TechHeat-RES'!O35:O37)</f>
        <v>1.0554852347454646</v>
      </c>
      <c r="N34" s="822">
        <f ca="1">((N31*SUM('TechHeat-RES'!P5,'TechHeat-RES'!P15,'TechHeat-RES'!P25,'TechHeat-RES'!P35))+(N32*(SUM('TechHeat-RES'!P6,'TechHeat-RES'!P16,'TechHeat-RES'!P26,'TechHeat-RES'!P36)))+(N33*SUM('TechHeat-RES'!P7,'TechHeat-RES'!P17,'TechHeat-RES'!P27,'TechHeat-RES'!P37)))/SUM('TechHeat-RES'!P5:P7,'TechHeat-RES'!P15:P17,'TechHeat-RES'!P25:P27,'TechHeat-RES'!P35:P37)</f>
        <v>1.863658636241508</v>
      </c>
      <c r="O34" s="822">
        <f ca="1">((O31*SUM('TechHeat-RES'!Q5,'TechHeat-RES'!Q15,'TechHeat-RES'!Q25,'TechHeat-RES'!Q35))+(O32*(SUM('TechHeat-RES'!Q6,'TechHeat-RES'!Q16,'TechHeat-RES'!Q26,'TechHeat-RES'!Q36)))+(O33*SUM('TechHeat-RES'!Q7,'TechHeat-RES'!Q17,'TechHeat-RES'!Q27,'TechHeat-RES'!Q37)))/SUM('TechHeat-RES'!Q5:Q7,'TechHeat-RES'!Q15:Q17,'TechHeat-RES'!Q25:Q27,'TechHeat-RES'!Q35:Q37)</f>
        <v>1.3872278208786217</v>
      </c>
      <c r="P34" s="822">
        <f ca="1">((P31*SUM('TechHeat-RES'!R5,'TechHeat-RES'!R15,'TechHeat-RES'!R25,'TechHeat-RES'!R35))+(P32*(SUM('TechHeat-RES'!R6,'TechHeat-RES'!R16,'TechHeat-RES'!R26,'TechHeat-RES'!R36)))+(P33*SUM('TechHeat-RES'!R7,'TechHeat-RES'!R17,'TechHeat-RES'!R27,'TechHeat-RES'!R37)))/SUM('TechHeat-RES'!R5:R7,'TechHeat-RES'!R15:R17,'TechHeat-RES'!R25:R27,'TechHeat-RES'!R35:R37)</f>
        <v>1</v>
      </c>
      <c r="Q34" s="822">
        <f ca="1">((Q31*SUM('TechHeat-RES'!S5,'TechHeat-RES'!S15,'TechHeat-RES'!S25,'TechHeat-RES'!S35))+(Q32*(SUM('TechHeat-RES'!S6,'TechHeat-RES'!S16,'TechHeat-RES'!S26,'TechHeat-RES'!S36)))+(Q33*SUM('TechHeat-RES'!S7,'TechHeat-RES'!S17,'TechHeat-RES'!S27,'TechHeat-RES'!S37)))/SUM('TechHeat-RES'!S5:S7,'TechHeat-RES'!S15:S17,'TechHeat-RES'!S25:S27,'TechHeat-RES'!S35:S37)</f>
        <v>1</v>
      </c>
      <c r="R34" s="822">
        <f ca="1">((R31*SUM('TechHeat-RES'!T5,'TechHeat-RES'!T15,'TechHeat-RES'!T25,'TechHeat-RES'!T35))+(R32*(SUM('TechHeat-RES'!T6,'TechHeat-RES'!T16,'TechHeat-RES'!T26,'TechHeat-RES'!T36)))+(R33*SUM('TechHeat-RES'!T7,'TechHeat-RES'!T17,'TechHeat-RES'!T27,'TechHeat-RES'!T37)))/SUM('TechHeat-RES'!T5:T7,'TechHeat-RES'!T15:T17,'TechHeat-RES'!T25:T27,'TechHeat-RES'!T35:T37)</f>
        <v>1.0135280744482431</v>
      </c>
      <c r="S34" s="822">
        <f ca="1">((S31*SUM('TechHeat-RES'!U5,'TechHeat-RES'!U15,'TechHeat-RES'!U25,'TechHeat-RES'!U35))+(S32*(SUM('TechHeat-RES'!U6,'TechHeat-RES'!U16,'TechHeat-RES'!U26,'TechHeat-RES'!U36)))+(S33*SUM('TechHeat-RES'!U7,'TechHeat-RES'!U17,'TechHeat-RES'!U27,'TechHeat-RES'!U37)))/SUM('TechHeat-RES'!U5:U7,'TechHeat-RES'!U15:U17,'TechHeat-RES'!U25:U27,'TechHeat-RES'!U35:U37)</f>
        <v>1.0519926437483682</v>
      </c>
      <c r="T34" s="822">
        <f ca="1">((T31*SUM('TechHeat-RES'!V5,'TechHeat-RES'!V15,'TechHeat-RES'!V25,'TechHeat-RES'!V35))+(T32*(SUM('TechHeat-RES'!V6,'TechHeat-RES'!V16,'TechHeat-RES'!V26,'TechHeat-RES'!V36)))+(T33*SUM('TechHeat-RES'!V7,'TechHeat-RES'!V17,'TechHeat-RES'!V27,'TechHeat-RES'!V37)))/SUM('TechHeat-RES'!V5:V7,'TechHeat-RES'!V15:V17,'TechHeat-RES'!V25:V27,'TechHeat-RES'!V35:V37)</f>
        <v>1</v>
      </c>
      <c r="U34" s="822">
        <f ca="1">((U31*SUM('TechHeat-RES'!W5,'TechHeat-RES'!W15,'TechHeat-RES'!W25,'TechHeat-RES'!W35))+(U32*(SUM('TechHeat-RES'!W6,'TechHeat-RES'!W16,'TechHeat-RES'!W26,'TechHeat-RES'!W36)))+(U33*SUM('TechHeat-RES'!W7,'TechHeat-RES'!W17,'TechHeat-RES'!W27,'TechHeat-RES'!W37)))/SUM('TechHeat-RES'!W5:W7,'TechHeat-RES'!W15:W17,'TechHeat-RES'!W25:W27,'TechHeat-RES'!W35:W37)</f>
        <v>2.3762201737140121</v>
      </c>
      <c r="V34" s="822">
        <f ca="1">((V31*SUM('TechHeat-RES'!X5,'TechHeat-RES'!X15,'TechHeat-RES'!X25,'TechHeat-RES'!X35))+(V32*(SUM('TechHeat-RES'!X6,'TechHeat-RES'!X16,'TechHeat-RES'!X26,'TechHeat-RES'!X36)))+(V33*SUM('TechHeat-RES'!X7,'TechHeat-RES'!X17,'TechHeat-RES'!X27,'TechHeat-RES'!X37)))/SUM('TechHeat-RES'!X5:X7,'TechHeat-RES'!X15:X17,'TechHeat-RES'!X25:X27,'TechHeat-RES'!X35:X37)</f>
        <v>1.4480627765748666</v>
      </c>
      <c r="W34" s="822">
        <f ca="1">((W31*SUM('TechHeat-RES'!Y5,'TechHeat-RES'!Y15,'TechHeat-RES'!Y25,'TechHeat-RES'!Y35))+(W32*(SUM('TechHeat-RES'!Y6,'TechHeat-RES'!Y16,'TechHeat-RES'!Y26,'TechHeat-RES'!Y36)))+(W33*SUM('TechHeat-RES'!Y7,'TechHeat-RES'!Y17,'TechHeat-RES'!Y27,'TechHeat-RES'!Y37)))/SUM('TechHeat-RES'!Y5:Y7,'TechHeat-RES'!Y15:Y17,'TechHeat-RES'!Y25:Y27,'TechHeat-RES'!Y35:Y37)</f>
        <v>1</v>
      </c>
      <c r="X34" s="822">
        <f ca="1">((X31*SUM('TechHeat-RES'!Z5,'TechHeat-RES'!Z15,'TechHeat-RES'!Z25,'TechHeat-RES'!Z35))+(X32*(SUM('TechHeat-RES'!Z6,'TechHeat-RES'!Z16,'TechHeat-RES'!Z26,'TechHeat-RES'!Z36)))+(X33*SUM('TechHeat-RES'!Z7,'TechHeat-RES'!Z17,'TechHeat-RES'!Z27,'TechHeat-RES'!Z37)))/SUM('TechHeat-RES'!Z5:Z7,'TechHeat-RES'!Z15:Z17,'TechHeat-RES'!Z25:Z27,'TechHeat-RES'!Z35:Z37)</f>
        <v>1</v>
      </c>
      <c r="Y34" s="822">
        <f ca="1">((Y31*SUM('TechHeat-RES'!AA5,'TechHeat-RES'!AA15,'TechHeat-RES'!AA25,'TechHeat-RES'!AA35))+(Y32*(SUM('TechHeat-RES'!AA6,'TechHeat-RES'!AA16,'TechHeat-RES'!AA26,'TechHeat-RES'!AA36)))+(Y33*SUM('TechHeat-RES'!AA7,'TechHeat-RES'!AA17,'TechHeat-RES'!AA27,'TechHeat-RES'!AA37)))/SUM('TechHeat-RES'!AA5:AA7,'TechHeat-RES'!AA15:AA17,'TechHeat-RES'!AA25:AA27,'TechHeat-RES'!AA35:AA37)</f>
        <v>1</v>
      </c>
      <c r="Z34" s="822">
        <f ca="1">((Z31*SUM('TechHeat-RES'!AB5,'TechHeat-RES'!AB15,'TechHeat-RES'!AB25,'TechHeat-RES'!AB35))+(Z32*(SUM('TechHeat-RES'!AB6,'TechHeat-RES'!AB16,'TechHeat-RES'!AB26,'TechHeat-RES'!AB36)))+(Z33*SUM('TechHeat-RES'!AB7,'TechHeat-RES'!AB17,'TechHeat-RES'!AB27,'TechHeat-RES'!AB37)))/SUM('TechHeat-RES'!AB5:AB7,'TechHeat-RES'!AB15:AB17,'TechHeat-RES'!AB25:AB27,'TechHeat-RES'!AB35:AB37)</f>
        <v>1.5180233209393375</v>
      </c>
      <c r="AA34" s="822">
        <f ca="1">((AA31*SUM('TechHeat-RES'!AC5,'TechHeat-RES'!AC15,'TechHeat-RES'!AC25,'TechHeat-RES'!AC35))+(AA32*(SUM('TechHeat-RES'!AC6,'TechHeat-RES'!AC16,'TechHeat-RES'!AC26,'TechHeat-RES'!AC36)))+(AA33*SUM('TechHeat-RES'!AC7,'TechHeat-RES'!AC17,'TechHeat-RES'!AC27,'TechHeat-RES'!AC37)))/SUM('TechHeat-RES'!AC5:AC7,'TechHeat-RES'!AC15:AC17,'TechHeat-RES'!AC25:AC27,'TechHeat-RES'!AC35:AC37)</f>
        <v>1.7253706137564382</v>
      </c>
      <c r="AB34" s="822">
        <f ca="1">((AB31*SUM('TechHeat-RES'!AD5,'TechHeat-RES'!AD15,'TechHeat-RES'!AD25,'TechHeat-RES'!AD35))+(AB32*(SUM('TechHeat-RES'!AD6,'TechHeat-RES'!AD16,'TechHeat-RES'!AD26,'TechHeat-RES'!AD36)))+(AB33*SUM('TechHeat-RES'!AD7,'TechHeat-RES'!AD17,'TechHeat-RES'!AD27,'TechHeat-RES'!AD37)))/SUM('TechHeat-RES'!AD5:AD7,'TechHeat-RES'!AD15:AD17,'TechHeat-RES'!AD25:AD27,'TechHeat-RES'!AD35:AD37)</f>
        <v>1.2281031286147077</v>
      </c>
      <c r="AC34" s="822">
        <f ca="1">((AC31*SUM('TechHeat-RES'!AE5,'TechHeat-RES'!AE15,'TechHeat-RES'!AE25,'TechHeat-RES'!AE35))+(AC32*(SUM('TechHeat-RES'!AE6,'TechHeat-RES'!AE16,'TechHeat-RES'!AE26,'TechHeat-RES'!AE36)))+(AC33*SUM('TechHeat-RES'!AE7,'TechHeat-RES'!AE17,'TechHeat-RES'!AE27,'TechHeat-RES'!AE37)))/SUM('TechHeat-RES'!AE5:AE7,'TechHeat-RES'!AE15:AE17,'TechHeat-RES'!AE25:AE27,'TechHeat-RES'!AE35:AE37)</f>
        <v>1.8271888618157432</v>
      </c>
      <c r="AD34" s="822">
        <f ca="1">((AD31*SUM('TechHeat-RES'!AF5,'TechHeat-RES'!AF15,'TechHeat-RES'!AF25,'TechHeat-RES'!AF35))+(AD32*(SUM('TechHeat-RES'!AF6,'TechHeat-RES'!AF16,'TechHeat-RES'!AF26,'TechHeat-RES'!AF36)))+(AD33*SUM('TechHeat-RES'!AF7,'TechHeat-RES'!AF17,'TechHeat-RES'!AF27,'TechHeat-RES'!AF37)))/SUM('TechHeat-RES'!AF5:AF7,'TechHeat-RES'!AF15:AF17,'TechHeat-RES'!AF25:AF27,'TechHeat-RES'!AF35:AF37)</f>
        <v>1</v>
      </c>
      <c r="AE34" s="822">
        <f ca="1">((AE31*SUM('TechHeat-RES'!AG5,'TechHeat-RES'!AG15,'TechHeat-RES'!AG25,'TechHeat-RES'!AG35))+(AE32*(SUM('TechHeat-RES'!AG6,'TechHeat-RES'!AG16,'TechHeat-RES'!AG26,'TechHeat-RES'!AG36)))+(AE33*SUM('TechHeat-RES'!AG7,'TechHeat-RES'!AG17,'TechHeat-RES'!AG27,'TechHeat-RES'!AG37)))/SUM('TechHeat-RES'!AG5:AG7,'TechHeat-RES'!AG15:AG17,'TechHeat-RES'!AG25:AG27,'TechHeat-RES'!AG35:AG37)</f>
        <v>1.8689825117530192</v>
      </c>
      <c r="AF34" s="822">
        <f ca="1">((AF31*SUM('TechHeat-RES'!AH5,'TechHeat-RES'!AH15,'TechHeat-RES'!AH25,'TechHeat-RES'!AH35))+(AF32*(SUM('TechHeat-RES'!AH6,'TechHeat-RES'!AH16,'TechHeat-RES'!AH26,'TechHeat-RES'!AH36)))+(AF33*SUM('TechHeat-RES'!AH7,'TechHeat-RES'!AH17,'TechHeat-RES'!AH27,'TechHeat-RES'!AH37)))/SUM('TechHeat-RES'!AH5:AH7,'TechHeat-RES'!AH15:AH17,'TechHeat-RES'!AH25:AH27,'TechHeat-RES'!AH35:AH37)</f>
        <v>1</v>
      </c>
      <c r="AG34" s="822">
        <f ca="1">((AG31*SUM('TechHeat-RES'!AI5,'TechHeat-RES'!AI15,'TechHeat-RES'!AI25,'TechHeat-RES'!AI35))+(AG32*(SUM('TechHeat-RES'!AI6,'TechHeat-RES'!AI16,'TechHeat-RES'!AI26,'TechHeat-RES'!AI36)))+(AG33*SUM('TechHeat-RES'!AI7,'TechHeat-RES'!AI17,'TechHeat-RES'!AI27,'TechHeat-RES'!AI37)))/SUM('TechHeat-RES'!AI5:AI7,'TechHeat-RES'!AI15:AI17,'TechHeat-RES'!AI25:AI27,'TechHeat-RES'!AI35:AI37)</f>
        <v>1.0506586188951752</v>
      </c>
      <c r="AH34" s="822">
        <f ca="1">((AH31*SUM('TechHeat-RES'!AJ5,'TechHeat-RES'!AJ15,'TechHeat-RES'!AJ25,'TechHeat-RES'!AJ35))+(AH32*(SUM('TechHeat-RES'!AJ6,'TechHeat-RES'!AJ16,'TechHeat-RES'!AJ26,'TechHeat-RES'!AJ36)))+(AH33*SUM('TechHeat-RES'!AJ7,'TechHeat-RES'!AJ17,'TechHeat-RES'!AJ27,'TechHeat-RES'!AJ37)))/SUM('TechHeat-RES'!AJ5:AJ7,'TechHeat-RES'!AJ15:AJ17,'TechHeat-RES'!AJ25:AJ27,'TechHeat-RES'!AJ35:AJ37)</f>
        <v>1.0313590166108983</v>
      </c>
      <c r="AI34" s="822">
        <f ca="1">((AI31*SUM('TechHeat-RES'!AK5,'TechHeat-RES'!AK15,'TechHeat-RES'!AK25,'TechHeat-RES'!AK35))+(AI32*(SUM('TechHeat-RES'!AK6,'TechHeat-RES'!AK16,'TechHeat-RES'!AK26,'TechHeat-RES'!AK36)))+(AI33*SUM('TechHeat-RES'!AK7,'TechHeat-RES'!AK17,'TechHeat-RES'!AK27,'TechHeat-RES'!AK37)))/SUM('TechHeat-RES'!AK5:AK7,'TechHeat-RES'!AK15:AK17,'TechHeat-RES'!AK25:AK27,'TechHeat-RES'!AK35:AK37)</f>
        <v>1</v>
      </c>
      <c r="AJ34" s="822">
        <f ca="1">((AJ31*SUM('TechHeat-RES'!AL5,'TechHeat-RES'!AL15,'TechHeat-RES'!AL25,'TechHeat-RES'!AL35))+(AJ32*(SUM('TechHeat-RES'!AL6,'TechHeat-RES'!AL16,'TechHeat-RES'!AL26,'TechHeat-RES'!AL36)))+(AJ33*SUM('TechHeat-RES'!AL7,'TechHeat-RES'!AL17,'TechHeat-RES'!AL27,'TechHeat-RES'!AL37)))/SUM('TechHeat-RES'!AL5:AL7,'TechHeat-RES'!AL15:AL17,'TechHeat-RES'!AL25:AL27,'TechHeat-RES'!AL35:AL37)</f>
        <v>1</v>
      </c>
      <c r="AK34" s="822">
        <f ca="1">((AK31*SUM('TechHeat-RES'!AM5,'TechHeat-RES'!AM15,'TechHeat-RES'!AM25,'TechHeat-RES'!AM35))+(AK32*(SUM('TechHeat-RES'!AM6,'TechHeat-RES'!AM16,'TechHeat-RES'!AM26,'TechHeat-RES'!AM36)))+(AK33*SUM('TechHeat-RES'!AM7,'TechHeat-RES'!AM17,'TechHeat-RES'!AM27,'TechHeat-RES'!AM37)))/SUM('TechHeat-RES'!AM5:AM7,'TechHeat-RES'!AM15:AM17,'TechHeat-RES'!AM25:AM27,'TechHeat-RES'!AM35:AM37)</f>
        <v>1</v>
      </c>
      <c r="AL34" s="822">
        <f ca="1">((AL31*SUM('TechHeat-RES'!AN5,'TechHeat-RES'!AN15,'TechHeat-RES'!AN25,'TechHeat-RES'!AN35))+(AL32*(SUM('TechHeat-RES'!AN6,'TechHeat-RES'!AN16,'TechHeat-RES'!AN26,'TechHeat-RES'!AN36)))+(AL33*SUM('TechHeat-RES'!AN7,'TechHeat-RES'!AN17,'TechHeat-RES'!AN27,'TechHeat-RES'!AN37)))/SUM('TechHeat-RES'!AN5:AN7,'TechHeat-RES'!AN15:AN17,'TechHeat-RES'!AN25:AN27,'TechHeat-RES'!AN35:AN37)</f>
        <v>1</v>
      </c>
      <c r="AM34" s="822">
        <f ca="1">((AM31*SUM('TechHeat-RES'!AO5,'TechHeat-RES'!AO15,'TechHeat-RES'!AO25,'TechHeat-RES'!AO35))+(AM32*(SUM('TechHeat-RES'!AO6,'TechHeat-RES'!AO16,'TechHeat-RES'!AO26,'TechHeat-RES'!AO36)))+(AM33*SUM('TechHeat-RES'!AO7,'TechHeat-RES'!AO17,'TechHeat-RES'!AO27,'TechHeat-RES'!AO37)))/SUM('TechHeat-RES'!AO5:AO7,'TechHeat-RES'!AO15:AO17,'TechHeat-RES'!AO25:AO27,'TechHeat-RES'!AO35:AO37)</f>
        <v>1</v>
      </c>
      <c r="AN34" s="822">
        <f ca="1">((AN31*SUM('TechHeat-RES'!AP5,'TechHeat-RES'!AP15,'TechHeat-RES'!AP25,'TechHeat-RES'!AP35))+(AN32*(SUM('TechHeat-RES'!AP6,'TechHeat-RES'!AP16,'TechHeat-RES'!AP26,'TechHeat-RES'!AP36)))+(AN33*SUM('TechHeat-RES'!AP7,'TechHeat-RES'!AP17,'TechHeat-RES'!AP27,'TechHeat-RES'!AP37)))/SUM('TechHeat-RES'!AP5:AP7,'TechHeat-RES'!AP15:AP17,'TechHeat-RES'!AP25:AP27,'TechHeat-RES'!AP35:AP37)</f>
        <v>1</v>
      </c>
    </row>
    <row r="35" spans="1:40">
      <c r="C35" s="519" t="s">
        <v>527</v>
      </c>
      <c r="D35" s="821">
        <v>0.9</v>
      </c>
      <c r="E35" s="821">
        <v>0.9</v>
      </c>
      <c r="F35" s="821">
        <v>0.85</v>
      </c>
      <c r="G35" s="821">
        <v>0.9</v>
      </c>
      <c r="H35" s="821">
        <v>0.85</v>
      </c>
      <c r="I35" s="821">
        <v>0.85</v>
      </c>
      <c r="J35" s="821">
        <v>0.9</v>
      </c>
      <c r="K35" s="821">
        <v>0.9</v>
      </c>
      <c r="L35" s="821">
        <v>0.85</v>
      </c>
      <c r="M35" s="821">
        <v>0.9</v>
      </c>
      <c r="N35" s="821">
        <v>0.9</v>
      </c>
      <c r="O35" s="821">
        <v>0.9</v>
      </c>
      <c r="P35" s="821">
        <v>0.85</v>
      </c>
      <c r="Q35" s="765">
        <f>AF35</f>
        <v>0.85</v>
      </c>
      <c r="R35" s="821">
        <v>0.85</v>
      </c>
      <c r="S35" s="821">
        <v>0.9</v>
      </c>
      <c r="T35" s="765">
        <f>N35</f>
        <v>0.9</v>
      </c>
      <c r="U35" s="821">
        <v>0.9</v>
      </c>
      <c r="V35" s="821">
        <v>0.85</v>
      </c>
      <c r="W35" s="765">
        <f>E35</f>
        <v>0.9</v>
      </c>
      <c r="X35" s="821">
        <v>0.85</v>
      </c>
      <c r="Y35" s="821">
        <v>0.85</v>
      </c>
      <c r="Z35" s="821">
        <v>0.9</v>
      </c>
      <c r="AA35" s="765">
        <f>T35</f>
        <v>0.9</v>
      </c>
      <c r="AB35" s="821">
        <v>0.85</v>
      </c>
      <c r="AC35" s="821">
        <v>0.85</v>
      </c>
      <c r="AD35" s="821">
        <v>0.85</v>
      </c>
      <c r="AE35" s="821">
        <v>0.9</v>
      </c>
      <c r="AF35" s="821">
        <v>0.85</v>
      </c>
      <c r="AG35" s="821">
        <v>0.85</v>
      </c>
      <c r="AH35" s="821">
        <v>0.9</v>
      </c>
      <c r="AI35" s="821">
        <v>0.85</v>
      </c>
      <c r="AJ35" s="821">
        <v>0.85</v>
      </c>
      <c r="AK35" s="821">
        <v>0.85</v>
      </c>
      <c r="AL35" s="821">
        <v>0.85</v>
      </c>
      <c r="AM35" s="821">
        <v>0.85</v>
      </c>
      <c r="AN35" s="821">
        <v>0.85</v>
      </c>
    </row>
    <row r="36" spans="1:40">
      <c r="C36" s="519" t="s">
        <v>532</v>
      </c>
      <c r="D36" s="821">
        <v>0.95</v>
      </c>
      <c r="E36" s="821">
        <v>0.95</v>
      </c>
      <c r="F36" s="821">
        <v>0.85</v>
      </c>
      <c r="G36" s="821">
        <v>0.95</v>
      </c>
      <c r="H36" s="821">
        <v>0.85</v>
      </c>
      <c r="I36" s="821">
        <v>0.85</v>
      </c>
      <c r="J36" s="821">
        <v>0.95</v>
      </c>
      <c r="K36" s="821">
        <v>0.95</v>
      </c>
      <c r="L36" s="821">
        <v>0.85</v>
      </c>
      <c r="M36" s="821">
        <v>0.95</v>
      </c>
      <c r="N36" s="821">
        <v>0.95</v>
      </c>
      <c r="O36" s="821">
        <v>0.95</v>
      </c>
      <c r="P36" s="821">
        <v>0.95</v>
      </c>
      <c r="Q36" s="765">
        <f>AF36</f>
        <v>0.9</v>
      </c>
      <c r="R36" s="821">
        <v>0.9</v>
      </c>
      <c r="S36" s="821">
        <v>0.95</v>
      </c>
      <c r="T36" s="765">
        <f>N36</f>
        <v>0.95</v>
      </c>
      <c r="U36" s="821">
        <v>0.95</v>
      </c>
      <c r="V36" s="821">
        <v>0.85</v>
      </c>
      <c r="W36" s="765">
        <f>E36</f>
        <v>0.95</v>
      </c>
      <c r="X36" s="821">
        <v>0.85</v>
      </c>
      <c r="Y36" s="821">
        <v>0.85</v>
      </c>
      <c r="Z36" s="821">
        <v>0.95</v>
      </c>
      <c r="AA36" s="765">
        <f>T36</f>
        <v>0.95</v>
      </c>
      <c r="AB36" s="821">
        <v>0.85</v>
      </c>
      <c r="AC36" s="821">
        <v>0.9</v>
      </c>
      <c r="AD36" s="821">
        <v>0.85</v>
      </c>
      <c r="AE36" s="821">
        <v>0.95</v>
      </c>
      <c r="AF36" s="821">
        <v>0.9</v>
      </c>
      <c r="AG36" s="821">
        <v>0.85</v>
      </c>
      <c r="AH36" s="821">
        <v>0.95</v>
      </c>
      <c r="AI36" s="821">
        <v>0.85</v>
      </c>
      <c r="AJ36" s="821">
        <v>0.85</v>
      </c>
      <c r="AK36" s="821">
        <v>0.85</v>
      </c>
      <c r="AL36" s="821">
        <v>0.85</v>
      </c>
      <c r="AM36" s="821">
        <v>0.85</v>
      </c>
      <c r="AN36" s="821">
        <v>0.85</v>
      </c>
    </row>
    <row r="37" spans="1:40">
      <c r="C37" s="519" t="s">
        <v>533</v>
      </c>
      <c r="D37" s="821">
        <v>0.8</v>
      </c>
      <c r="E37" s="821">
        <v>0.8</v>
      </c>
      <c r="F37" s="821">
        <v>0.75</v>
      </c>
      <c r="G37" s="821">
        <v>0.8</v>
      </c>
      <c r="H37" s="821">
        <v>0.8</v>
      </c>
      <c r="I37" s="821">
        <v>0.75</v>
      </c>
      <c r="J37" s="821">
        <v>0.8</v>
      </c>
      <c r="K37" s="821">
        <v>0.8</v>
      </c>
      <c r="L37" s="821">
        <v>0.8</v>
      </c>
      <c r="M37" s="821">
        <v>0.8</v>
      </c>
      <c r="N37" s="821">
        <v>0.8</v>
      </c>
      <c r="O37" s="821">
        <v>0.8</v>
      </c>
      <c r="P37" s="821">
        <v>0.75</v>
      </c>
      <c r="Q37" s="821">
        <v>0.8</v>
      </c>
      <c r="R37" s="821">
        <v>0.75</v>
      </c>
      <c r="S37" s="821">
        <v>0.8</v>
      </c>
      <c r="T37" s="821">
        <v>0.8</v>
      </c>
      <c r="U37" s="821">
        <v>0.8</v>
      </c>
      <c r="V37" s="821">
        <v>0.75</v>
      </c>
      <c r="W37" s="821">
        <v>0.8</v>
      </c>
      <c r="X37" s="821">
        <v>0.75</v>
      </c>
      <c r="Y37" s="821">
        <v>0.75</v>
      </c>
      <c r="Z37" s="821">
        <v>0.8</v>
      </c>
      <c r="AA37" s="821">
        <v>0.8</v>
      </c>
      <c r="AB37" s="821">
        <v>0.75</v>
      </c>
      <c r="AC37" s="821">
        <v>0.75</v>
      </c>
      <c r="AD37" s="821">
        <v>0.75</v>
      </c>
      <c r="AE37" s="821">
        <v>0.8</v>
      </c>
      <c r="AF37" s="821">
        <v>0.8</v>
      </c>
      <c r="AG37" s="821">
        <v>0.75</v>
      </c>
      <c r="AH37" s="821">
        <v>0.8</v>
      </c>
      <c r="AI37" s="821">
        <v>0.75</v>
      </c>
      <c r="AJ37" s="821">
        <v>0.75</v>
      </c>
      <c r="AK37" s="821">
        <v>0.75</v>
      </c>
      <c r="AL37" s="821">
        <v>0.75</v>
      </c>
      <c r="AM37" s="821">
        <v>0.75</v>
      </c>
      <c r="AN37" s="821">
        <v>0.75</v>
      </c>
    </row>
    <row r="38" spans="1:40">
      <c r="C38" s="519" t="s">
        <v>526</v>
      </c>
      <c r="D38" s="821">
        <v>0.7</v>
      </c>
      <c r="E38" s="821">
        <v>0.7</v>
      </c>
      <c r="F38" s="821">
        <v>0.65</v>
      </c>
      <c r="G38" s="821">
        <v>0.7</v>
      </c>
      <c r="H38" s="821">
        <v>0.7</v>
      </c>
      <c r="I38" s="821">
        <v>0.65</v>
      </c>
      <c r="J38" s="821">
        <v>0.7</v>
      </c>
      <c r="K38" s="821">
        <v>0.7</v>
      </c>
      <c r="L38" s="821">
        <v>0.7</v>
      </c>
      <c r="M38" s="821">
        <v>0.7</v>
      </c>
      <c r="N38" s="821">
        <v>0.7</v>
      </c>
      <c r="O38" s="821">
        <v>0.7</v>
      </c>
      <c r="P38" s="821">
        <v>0.65</v>
      </c>
      <c r="Q38" s="821">
        <v>0.7</v>
      </c>
      <c r="R38" s="821">
        <v>0.65</v>
      </c>
      <c r="S38" s="821">
        <v>0.7</v>
      </c>
      <c r="T38" s="821">
        <v>0.7</v>
      </c>
      <c r="U38" s="821">
        <v>0.7</v>
      </c>
      <c r="V38" s="821">
        <v>0.65</v>
      </c>
      <c r="W38" s="821">
        <v>0.7</v>
      </c>
      <c r="X38" s="821">
        <v>0.65</v>
      </c>
      <c r="Y38" s="821">
        <v>0.65</v>
      </c>
      <c r="Z38" s="821">
        <v>0.7</v>
      </c>
      <c r="AA38" s="821">
        <v>0.7</v>
      </c>
      <c r="AB38" s="821">
        <v>0.65</v>
      </c>
      <c r="AC38" s="821">
        <v>0.65</v>
      </c>
      <c r="AD38" s="821">
        <v>0.65</v>
      </c>
      <c r="AE38" s="821">
        <v>0.7</v>
      </c>
      <c r="AF38" s="821">
        <v>0.7</v>
      </c>
      <c r="AG38" s="821">
        <v>0.65</v>
      </c>
      <c r="AH38" s="821">
        <v>0.7</v>
      </c>
      <c r="AI38" s="821">
        <v>0.65</v>
      </c>
      <c r="AJ38" s="821">
        <v>0.65</v>
      </c>
      <c r="AK38" s="821">
        <v>0.65</v>
      </c>
      <c r="AL38" s="821">
        <v>0.65</v>
      </c>
      <c r="AM38" s="821">
        <v>0.65</v>
      </c>
      <c r="AN38" s="821">
        <v>0.65</v>
      </c>
    </row>
    <row r="39" spans="1:40">
      <c r="C39" s="519" t="s">
        <v>529</v>
      </c>
      <c r="D39" s="821">
        <v>0.65</v>
      </c>
      <c r="E39" s="821">
        <v>0.65</v>
      </c>
      <c r="F39" s="821">
        <v>0.6</v>
      </c>
      <c r="G39" s="821">
        <v>0.65</v>
      </c>
      <c r="H39" s="821">
        <v>0.65</v>
      </c>
      <c r="I39" s="821">
        <v>0.6</v>
      </c>
      <c r="J39" s="821">
        <v>0.65</v>
      </c>
      <c r="K39" s="821">
        <v>0.65</v>
      </c>
      <c r="L39" s="821">
        <v>0.65</v>
      </c>
      <c r="M39" s="821">
        <v>0.65</v>
      </c>
      <c r="N39" s="821">
        <v>0.65</v>
      </c>
      <c r="O39" s="821">
        <v>0.65</v>
      </c>
      <c r="P39" s="821">
        <v>0.6</v>
      </c>
      <c r="Q39" s="821">
        <v>0.65</v>
      </c>
      <c r="R39" s="821">
        <v>0.6</v>
      </c>
      <c r="S39" s="821">
        <v>0.65</v>
      </c>
      <c r="T39" s="821">
        <v>0.65</v>
      </c>
      <c r="U39" s="821">
        <v>0.65</v>
      </c>
      <c r="V39" s="821">
        <v>0.6</v>
      </c>
      <c r="W39" s="821">
        <v>0.65</v>
      </c>
      <c r="X39" s="821">
        <v>0.6</v>
      </c>
      <c r="Y39" s="821">
        <v>0.6</v>
      </c>
      <c r="Z39" s="821">
        <v>0.65</v>
      </c>
      <c r="AA39" s="821">
        <v>0.65</v>
      </c>
      <c r="AB39" s="821">
        <v>0.6</v>
      </c>
      <c r="AC39" s="821">
        <v>0.6</v>
      </c>
      <c r="AD39" s="821">
        <v>0.6</v>
      </c>
      <c r="AE39" s="821">
        <v>0.65</v>
      </c>
      <c r="AF39" s="821">
        <v>0.65</v>
      </c>
      <c r="AG39" s="821">
        <v>0.6</v>
      </c>
      <c r="AH39" s="821">
        <v>0.65</v>
      </c>
      <c r="AI39" s="821">
        <v>0.6</v>
      </c>
      <c r="AJ39" s="821">
        <v>0.6</v>
      </c>
      <c r="AK39" s="821">
        <v>0.6</v>
      </c>
      <c r="AL39" s="821">
        <v>0.6</v>
      </c>
      <c r="AM39" s="821">
        <v>0.6</v>
      </c>
      <c r="AN39" s="821">
        <v>0.6</v>
      </c>
    </row>
    <row r="40" spans="1:40">
      <c r="D40" s="529">
        <v>2</v>
      </c>
      <c r="E40" s="529">
        <v>3</v>
      </c>
      <c r="F40" s="529">
        <v>4</v>
      </c>
      <c r="G40" s="529">
        <v>5</v>
      </c>
      <c r="H40" s="529">
        <v>6</v>
      </c>
      <c r="I40" s="529">
        <v>7</v>
      </c>
      <c r="J40" s="529">
        <v>8</v>
      </c>
      <c r="K40" s="529">
        <v>9</v>
      </c>
      <c r="L40" s="529">
        <v>10</v>
      </c>
      <c r="M40" s="529">
        <v>11</v>
      </c>
      <c r="N40" s="529">
        <v>12</v>
      </c>
      <c r="O40" s="529">
        <v>13</v>
      </c>
      <c r="P40" s="529">
        <v>14</v>
      </c>
      <c r="Q40" s="529">
        <v>15</v>
      </c>
      <c r="R40" s="529">
        <v>16</v>
      </c>
      <c r="S40" s="529">
        <v>17</v>
      </c>
      <c r="T40" s="529">
        <v>18</v>
      </c>
      <c r="U40" s="529">
        <v>19</v>
      </c>
      <c r="V40" s="529">
        <v>20</v>
      </c>
      <c r="W40" s="529">
        <v>21</v>
      </c>
      <c r="X40" s="529">
        <v>22</v>
      </c>
      <c r="Y40" s="529">
        <v>23</v>
      </c>
      <c r="Z40" s="529">
        <v>24</v>
      </c>
      <c r="AA40" s="529">
        <v>25</v>
      </c>
      <c r="AB40" s="529">
        <v>26</v>
      </c>
      <c r="AC40" s="529">
        <v>27</v>
      </c>
      <c r="AD40" s="529">
        <v>28</v>
      </c>
      <c r="AE40" s="529">
        <v>29</v>
      </c>
      <c r="AF40" s="529">
        <v>30</v>
      </c>
      <c r="AG40" s="529">
        <v>31</v>
      </c>
      <c r="AH40" s="529">
        <v>32</v>
      </c>
      <c r="AI40" s="529">
        <v>33</v>
      </c>
      <c r="AJ40" s="529">
        <v>34</v>
      </c>
      <c r="AK40" s="529">
        <v>35</v>
      </c>
      <c r="AL40" s="529">
        <v>36</v>
      </c>
      <c r="AM40" s="529">
        <v>37</v>
      </c>
      <c r="AN40" s="529">
        <v>38</v>
      </c>
    </row>
    <row r="41" spans="1:40">
      <c r="B41" t="s">
        <v>539</v>
      </c>
      <c r="C41" t="str">
        <f>C31</f>
        <v>Electricity</v>
      </c>
      <c r="D41" s="496">
        <f>IFERROR(IF(VLOOKUP($C41,'IDEES okt 2017 template'!$C$142:$AN$150,'IDEES okt 2017 template'!D$130,FALSE)/D31=0,"1",VLOOKUP($C41,'IDEES okt 2017 template'!$C$142:$AN$150,'IDEES okt 2017 template'!D$130,FALSE)/D31),"1")</f>
        <v>0.81928900763721191</v>
      </c>
      <c r="E41" s="496">
        <f>IFERROR(IF(VLOOKUP($C41,'IDEES okt 2017 template'!$C$142:$AN$150,'IDEES okt 2017 template'!E$130,FALSE)/E31=0,"1",VLOOKUP($C41,'IDEES okt 2017 template'!$C$142:$AN$150,'IDEES okt 2017 template'!E$130,FALSE)/E31),"1")</f>
        <v>0.79900299844352862</v>
      </c>
      <c r="F41" s="496">
        <f>IFERROR(IF(VLOOKUP($C41,'IDEES okt 2017 template'!$C$142:$AN$150,'IDEES okt 2017 template'!F$130,FALSE)/F31=0,"1",VLOOKUP($C41,'IDEES okt 2017 template'!$C$142:$AN$150,'IDEES okt 2017 template'!F$130,FALSE)/F31),"1")</f>
        <v>0.73408809575765033</v>
      </c>
      <c r="G41" s="496">
        <f>IFERROR(IF(VLOOKUP($C41,'IDEES okt 2017 template'!$C$142:$AN$150,'IDEES okt 2017 template'!G$130,FALSE)/G31=0,"1",VLOOKUP($C41,'IDEES okt 2017 template'!$C$142:$AN$150,'IDEES okt 2017 template'!G$130,FALSE)/G31),"1")</f>
        <v>0.86347572459868804</v>
      </c>
      <c r="H41" s="496">
        <f>IFERROR(IF(VLOOKUP($C41,'IDEES okt 2017 template'!$C$142:$AN$150,'IDEES okt 2017 template'!H$130,FALSE)/H31=0,"1",VLOOKUP($C41,'IDEES okt 2017 template'!$C$142:$AN$150,'IDEES okt 2017 template'!H$130,FALSE)/H31),"1")</f>
        <v>0.70618228689710782</v>
      </c>
      <c r="I41" s="496">
        <f>IFERROR(IF(VLOOKUP($C41,'IDEES okt 2017 template'!$C$142:$AN$150,'IDEES okt 2017 template'!I$130,FALSE)/I31=0,"1",VLOOKUP($C41,'IDEES okt 2017 template'!$C$142:$AN$150,'IDEES okt 2017 template'!I$130,FALSE)/I31),"1")</f>
        <v>0.70582025115896152</v>
      </c>
      <c r="J41" s="496">
        <f>IFERROR(IF(VLOOKUP($C41,'IDEES okt 2017 template'!$C$142:$AN$150,'IDEES okt 2017 template'!J$130,FALSE)/J31=0,"1",VLOOKUP($C41,'IDEES okt 2017 template'!$C$142:$AN$150,'IDEES okt 2017 template'!J$130,FALSE)/J31),"1")</f>
        <v>0.86347572459868804</v>
      </c>
      <c r="K41" s="496">
        <f>IFERROR(IF(VLOOKUP($C41,'IDEES okt 2017 template'!$C$142:$AN$150,'IDEES okt 2017 template'!K$130,FALSE)/K31=0,"1",VLOOKUP($C41,'IDEES okt 2017 template'!$C$142:$AN$150,'IDEES okt 2017 template'!K$130,FALSE)/K31),"1")</f>
        <v>0.8001874970363646</v>
      </c>
      <c r="L41" s="496">
        <f>IFERROR(IF(VLOOKUP($C41,'IDEES okt 2017 template'!$C$142:$AN$150,'IDEES okt 2017 template'!L$130,FALSE)/L31=0,"1",VLOOKUP($C41,'IDEES okt 2017 template'!$C$142:$AN$150,'IDEES okt 2017 template'!L$130,FALSE)/L31),"1")</f>
        <v>0.75698599171100345</v>
      </c>
      <c r="M41" s="496">
        <f>IFERROR(IF(VLOOKUP($C41,'IDEES okt 2017 template'!$C$142:$AN$150,'IDEES okt 2017 template'!M$130,FALSE)/M31=0,"1",VLOOKUP($C41,'IDEES okt 2017 template'!$C$142:$AN$150,'IDEES okt 2017 template'!M$130,FALSE)/M31),"1")</f>
        <v>0.71635950787853064</v>
      </c>
      <c r="N41" s="496">
        <f>IFERROR(IF(VLOOKUP($C41,'IDEES okt 2017 template'!$C$142:$AN$150,'IDEES okt 2017 template'!N$130,FALSE)/N31=0,"1",VLOOKUP($C41,'IDEES okt 2017 template'!$C$142:$AN$150,'IDEES okt 2017 template'!N$130,FALSE)/N31),"1")</f>
        <v>0.81733074000663342</v>
      </c>
      <c r="O41" s="496">
        <f>IFERROR(IF(VLOOKUP($C41,'IDEES okt 2017 template'!$C$142:$AN$150,'IDEES okt 2017 template'!O$130,FALSE)/O31=0,"1",VLOOKUP($C41,'IDEES okt 2017 template'!$C$142:$AN$150,'IDEES okt 2017 template'!O$130,FALSE)/O31),"1")</f>
        <v>0.81671823576041058</v>
      </c>
      <c r="P41" s="496">
        <f>IFERROR(IF(VLOOKUP($C41,'IDEES okt 2017 template'!$C$142:$AN$150,'IDEES okt 2017 template'!P$130,FALSE)/P31=0,"1",VLOOKUP($C41,'IDEES okt 2017 template'!$C$142:$AN$150,'IDEES okt 2017 template'!P$130,FALSE)/P31),"1")</f>
        <v>0.72282882147300664</v>
      </c>
      <c r="Q41" s="496">
        <f>IFERROR(IF(VLOOKUP($C41,'IDEES okt 2017 template'!$C$142:$AN$150,'IDEES okt 2017 template'!Q$130,FALSE)/Q31=0,"1",VLOOKUP($C41,'IDEES okt 2017 template'!$C$142:$AN$150,'IDEES okt 2017 template'!Q$130,FALSE)/Q31),"1")</f>
        <v>0.71202455229284123</v>
      </c>
      <c r="R41" s="496">
        <f>IFERROR(IF(VLOOKUP($C41,'IDEES okt 2017 template'!$C$142:$AN$150,'IDEES okt 2017 template'!R$130,FALSE)/R31=0,"1",VLOOKUP($C41,'IDEES okt 2017 template'!$C$142:$AN$150,'IDEES okt 2017 template'!R$130,FALSE)/R31),"1")</f>
        <v>0.72917682462626643</v>
      </c>
      <c r="S41" s="496">
        <f>IFERROR(IF(VLOOKUP($C41,'IDEES okt 2017 template'!$C$142:$AN$150,'IDEES okt 2017 template'!S$130,FALSE)/S31=0,"1",VLOOKUP($C41,'IDEES okt 2017 template'!$C$142:$AN$150,'IDEES okt 2017 template'!S$130,FALSE)/S31),"1")</f>
        <v>0.75951434494584302</v>
      </c>
      <c r="T41" s="496">
        <f>IFERROR(IF(VLOOKUP($C41,'IDEES okt 2017 template'!$C$142:$AN$150,'IDEES okt 2017 template'!T$130,FALSE)/T31=0,"1",VLOOKUP($C41,'IDEES okt 2017 template'!$C$142:$AN$150,'IDEES okt 2017 template'!T$130,FALSE)/T31),"1")</f>
        <v>0.8001874970363646</v>
      </c>
      <c r="U41" s="496">
        <f>IFERROR(IF(VLOOKUP($C41,'IDEES okt 2017 template'!$C$142:$AN$150,'IDEES okt 2017 template'!U$130,FALSE)/U31=0,"1",VLOOKUP($C41,'IDEES okt 2017 template'!$C$142:$AN$150,'IDEES okt 2017 template'!U$130,FALSE)/U31),"1")</f>
        <v>0.76164435507238615</v>
      </c>
      <c r="V41" s="496">
        <f>IFERROR(IF(VLOOKUP($C41,'IDEES okt 2017 template'!$C$142:$AN$150,'IDEES okt 2017 template'!V$130,FALSE)/V31=0,"1",VLOOKUP($C41,'IDEES okt 2017 template'!$C$142:$AN$150,'IDEES okt 2017 template'!V$130,FALSE)/V31),"1")</f>
        <v>0.72542657031811564</v>
      </c>
      <c r="W41" s="496">
        <f>IFERROR(IF(VLOOKUP($C41,'IDEES okt 2017 template'!$C$142:$AN$150,'IDEES okt 2017 template'!W$130,FALSE)/W31=0,"1",VLOOKUP($C41,'IDEES okt 2017 template'!$C$142:$AN$150,'IDEES okt 2017 template'!W$130,FALSE)/W31),"1")</f>
        <v>0.78087502002196951</v>
      </c>
      <c r="X41" s="496">
        <f>IFERROR(IF(VLOOKUP($C41,'IDEES okt 2017 template'!$C$142:$AN$150,'IDEES okt 2017 template'!X$130,FALSE)/X31=0,"1",VLOOKUP($C41,'IDEES okt 2017 template'!$C$142:$AN$150,'IDEES okt 2017 template'!X$130,FALSE)/X31),"1")</f>
        <v>0.75951269724745896</v>
      </c>
      <c r="Y41" s="496">
        <f>IFERROR(IF(VLOOKUP($C41,'IDEES okt 2017 template'!$C$142:$AN$150,'IDEES okt 2017 template'!Y$130,FALSE)/Y31=0,"1",VLOOKUP($C41,'IDEES okt 2017 template'!$C$142:$AN$150,'IDEES okt 2017 template'!Y$130,FALSE)/Y31),"1")</f>
        <v>0.67551175099960736</v>
      </c>
      <c r="Z41" s="496">
        <f>IFERROR(IF(VLOOKUP($C41,'IDEES okt 2017 template'!$C$142:$AN$150,'IDEES okt 2017 template'!Z$130,FALSE)/Z31=0,"1",VLOOKUP($C41,'IDEES okt 2017 template'!$C$142:$AN$150,'IDEES okt 2017 template'!Z$130,FALSE)/Z31),"1")</f>
        <v>0.82446857044229116</v>
      </c>
      <c r="AA41" s="496">
        <f>IFERROR(IF(VLOOKUP($C41,'IDEES okt 2017 template'!$C$142:$AN$150,'IDEES okt 2017 template'!AA$130,FALSE)/AA31=0,"1",VLOOKUP($C41,'IDEES okt 2017 template'!$C$142:$AN$150,'IDEES okt 2017 template'!AA$130,FALSE)/AA31),"1")</f>
        <v>0.8001874970363646</v>
      </c>
      <c r="AB41" s="496">
        <f>IFERROR(IF(VLOOKUP($C41,'IDEES okt 2017 template'!$C$142:$AN$150,'IDEES okt 2017 template'!AB$130,FALSE)/AB31=0,"1",VLOOKUP($C41,'IDEES okt 2017 template'!$C$142:$AN$150,'IDEES okt 2017 template'!AB$130,FALSE)/AB31),"1")</f>
        <v>0.77572558406601155</v>
      </c>
      <c r="AC41" s="496">
        <f>IFERROR(IF(VLOOKUP($C41,'IDEES okt 2017 template'!$C$142:$AN$150,'IDEES okt 2017 template'!AC$130,FALSE)/AC31=0,"1",VLOOKUP($C41,'IDEES okt 2017 template'!$C$142:$AN$150,'IDEES okt 2017 template'!AC$130,FALSE)/AC31),"1")</f>
        <v>0.74814388647734709</v>
      </c>
      <c r="AD41" s="496">
        <f>IFERROR(IF(VLOOKUP($C41,'IDEES okt 2017 template'!$C$142:$AN$150,'IDEES okt 2017 template'!AD$130,FALSE)/AD31=0,"1",VLOOKUP($C41,'IDEES okt 2017 template'!$C$142:$AN$150,'IDEES okt 2017 template'!AD$130,FALSE)/AD31),"1")</f>
        <v>0.72440504092705404</v>
      </c>
      <c r="AE41" s="496">
        <f>IFERROR(IF(VLOOKUP($C41,'IDEES okt 2017 template'!$C$142:$AN$150,'IDEES okt 2017 template'!AE$130,FALSE)/AE31=0,"1",VLOOKUP($C41,'IDEES okt 2017 template'!$C$142:$AN$150,'IDEES okt 2017 template'!AE$130,FALSE)/AE31),"1")</f>
        <v>0.72971725971827717</v>
      </c>
      <c r="AF41" s="496">
        <f>IFERROR(IF(VLOOKUP($C41,'IDEES okt 2017 template'!$C$142:$AN$150,'IDEES okt 2017 template'!AF$130,FALSE)/AF31=0,"1",VLOOKUP($C41,'IDEES okt 2017 template'!$C$142:$AN$150,'IDEES okt 2017 template'!AF$130,FALSE)/AF31),"1")</f>
        <v>0.77385528191999364</v>
      </c>
      <c r="AG41" s="496">
        <f>IFERROR(IF(VLOOKUP($C41,'IDEES okt 2017 template'!$C$142:$AN$150,'IDEES okt 2017 template'!AG$130,FALSE)/AG31=0,"1",VLOOKUP($C41,'IDEES okt 2017 template'!$C$142:$AN$150,'IDEES okt 2017 template'!AG$130,FALSE)/AG31),"1")</f>
        <v>0.68382178584202868</v>
      </c>
      <c r="AH41" s="496">
        <f>IFERROR(IF(VLOOKUP($C41,'IDEES okt 2017 template'!$C$142:$AN$150,'IDEES okt 2017 template'!AH$130,FALSE)/AH31=0,"1",VLOOKUP($C41,'IDEES okt 2017 template'!$C$142:$AN$150,'IDEES okt 2017 template'!AH$130,FALSE)/AH31),"1")</f>
        <v>0.77247864056518112</v>
      </c>
      <c r="AI41" s="496">
        <f>IFERROR(IF(VLOOKUP($C41,'IDEES okt 2017 template'!$C$142:$AN$150,'IDEES okt 2017 template'!AI$130,FALSE)/AI31=0,"1",VLOOKUP($C41,'IDEES okt 2017 template'!$C$142:$AN$150,'IDEES okt 2017 template'!AI$130,FALSE)/AI31),"1")</f>
        <v>0.72282882147300664</v>
      </c>
      <c r="AJ41" s="496">
        <f>IFERROR(IF(VLOOKUP($C41,'IDEES okt 2017 template'!$C$142:$AN$150,'IDEES okt 2017 template'!AJ$130,FALSE)/AJ31=0,"1",VLOOKUP($C41,'IDEES okt 2017 template'!$C$142:$AN$150,'IDEES okt 2017 template'!AJ$130,FALSE)/AJ31),"1")</f>
        <v>0.71202455229284123</v>
      </c>
      <c r="AK41" s="496">
        <f>IFERROR(IF(VLOOKUP($C41,'IDEES okt 2017 template'!$C$142:$AN$150,'IDEES okt 2017 template'!AK$130,FALSE)/AK31=0,"1",VLOOKUP($C41,'IDEES okt 2017 template'!$C$142:$AN$150,'IDEES okt 2017 template'!AK$130,FALSE)/AK31),"1")</f>
        <v>0.71202455229284123</v>
      </c>
      <c r="AL41" s="496">
        <f>IFERROR(IF(VLOOKUP($C41,'IDEES okt 2017 template'!$C$142:$AN$150,'IDEES okt 2017 template'!AL$130,FALSE)/AL31=0,"1",VLOOKUP($C41,'IDEES okt 2017 template'!$C$142:$AN$150,'IDEES okt 2017 template'!AL$130,FALSE)/AL31),"1")</f>
        <v>0.72282882147300664</v>
      </c>
      <c r="AM41" s="496">
        <f>IFERROR(IF(VLOOKUP($C41,'IDEES okt 2017 template'!$C$142:$AN$150,'IDEES okt 2017 template'!AM$130,FALSE)/AM31=0,"1",VLOOKUP($C41,'IDEES okt 2017 template'!$C$142:$AN$150,'IDEES okt 2017 template'!AM$130,FALSE)/AM31),"1")</f>
        <v>0.71202455229284123</v>
      </c>
      <c r="AN41" s="496">
        <f>IFERROR(IF(VLOOKUP($C41,'IDEES okt 2017 template'!$C$142:$AN$150,'IDEES okt 2017 template'!AN$130,FALSE)/AN31=0,"1",VLOOKUP($C41,'IDEES okt 2017 template'!$C$142:$AN$150,'IDEES okt 2017 template'!AN$130,FALSE)/AN31),"1")</f>
        <v>0.71202455229284123</v>
      </c>
    </row>
    <row r="42" spans="1:40">
      <c r="A42" s="796"/>
      <c r="C42" t="str">
        <f>C35</f>
        <v>Gases</v>
      </c>
      <c r="D42" s="787">
        <f>IFERROR(IF(VLOOKUP($C42,'IDEES okt 2017 template'!$C$142:$AN$150,'IDEES okt 2017 template'!D$130,FALSE)/D35=0,"0.7",VLOOKUP($C42,'IDEES okt 2017 template'!$C$142:$AN$150,'IDEES okt 2017 template'!D$130,FALSE)/D35),"0.7")</f>
        <v>0.75592888056203189</v>
      </c>
      <c r="E42" s="787">
        <f>IFERROR(IF(VLOOKUP($C42,'IDEES okt 2017 template'!$C$142:$AN$150,'IDEES okt 2017 template'!E$130,FALSE)/E35=0,"0.7",VLOOKUP($C42,'IDEES okt 2017 template'!$C$142:$AN$150,'IDEES okt 2017 template'!E$130,FALSE)/E35),"0.7")</f>
        <v>0.74380140917100879</v>
      </c>
      <c r="F42" s="787">
        <f>IFERROR(IF(VLOOKUP($C42,'IDEES okt 2017 template'!$C$142:$AN$150,'IDEES okt 2017 template'!F$130,FALSE)/F35=0,"0.7",VLOOKUP($C42,'IDEES okt 2017 template'!$C$142:$AN$150,'IDEES okt 2017 template'!F$130,FALSE)/F35),"0.7")</f>
        <v>0.74639155346086394</v>
      </c>
      <c r="G42" s="787">
        <f>IFERROR(IF(VLOOKUP($C42,'IDEES okt 2017 template'!$C$142:$AN$150,'IDEES okt 2017 template'!G$130,FALSE)/G35=0,"0.7",VLOOKUP($C42,'IDEES okt 2017 template'!$C$142:$AN$150,'IDEES okt 2017 template'!G$130,FALSE)/G35),"0.7")</f>
        <v>0.81017863000366019</v>
      </c>
      <c r="H42" s="787" t="str">
        <f>IFERROR(IF(VLOOKUP($C42,'IDEES okt 2017 template'!$C$142:$AN$150,'IDEES okt 2017 template'!H$130,FALSE)/H35=0,"0.7",VLOOKUP($C42,'IDEES okt 2017 template'!$C$142:$AN$150,'IDEES okt 2017 template'!H$130,FALSE)/H35),"0.7")</f>
        <v>0.7</v>
      </c>
      <c r="I42" s="787">
        <f>IFERROR(IF(VLOOKUP($C42,'IDEES okt 2017 template'!$C$142:$AN$150,'IDEES okt 2017 template'!I$130,FALSE)/I35=0,"0.7",VLOOKUP($C42,'IDEES okt 2017 template'!$C$142:$AN$150,'IDEES okt 2017 template'!I$130,FALSE)/I35),"0.7")</f>
        <v>0.73442600881407805</v>
      </c>
      <c r="J42" s="787">
        <f>IFERROR(IF(VLOOKUP($C42,'IDEES okt 2017 template'!$C$142:$AN$150,'IDEES okt 2017 template'!J$130,FALSE)/J35=0,"0.7",VLOOKUP($C42,'IDEES okt 2017 template'!$C$142:$AN$150,'IDEES okt 2017 template'!J$130,FALSE)/J35),"0.7")</f>
        <v>0.81017863000366019</v>
      </c>
      <c r="K42" s="787">
        <f>IFERROR(IF(VLOOKUP($C42,'IDEES okt 2017 template'!$C$142:$AN$150,'IDEES okt 2017 template'!K$130,FALSE)/K35=0,"0.7",VLOOKUP($C42,'IDEES okt 2017 template'!$C$142:$AN$150,'IDEES okt 2017 template'!K$130,FALSE)/K35),"0.7")</f>
        <v>0.78641563412407145</v>
      </c>
      <c r="L42" s="787">
        <f>IFERROR(IF(VLOOKUP($C42,'IDEES okt 2017 template'!$C$142:$AN$150,'IDEES okt 2017 template'!L$130,FALSE)/L35=0,"0.7",VLOOKUP($C42,'IDEES okt 2017 template'!$C$142:$AN$150,'IDEES okt 2017 template'!L$130,FALSE)/L35),"0.7")</f>
        <v>0.78019664160087077</v>
      </c>
      <c r="M42" s="787">
        <f>IFERROR(IF(VLOOKUP($C42,'IDEES okt 2017 template'!$C$142:$AN$150,'IDEES okt 2017 template'!M$130,FALSE)/M35=0,"0.7",VLOOKUP($C42,'IDEES okt 2017 template'!$C$142:$AN$150,'IDEES okt 2017 template'!M$130,FALSE)/M35),"0.7")</f>
        <v>0.715776833706255</v>
      </c>
      <c r="N42" s="787">
        <f>IFERROR(IF(VLOOKUP($C42,'IDEES okt 2017 template'!$C$142:$AN$150,'IDEES okt 2017 template'!N$130,FALSE)/N35=0,"0.7",VLOOKUP($C42,'IDEES okt 2017 template'!$C$142:$AN$150,'IDEES okt 2017 template'!N$130,FALSE)/N35),"0.7")</f>
        <v>0.77841877822391248</v>
      </c>
      <c r="O42" s="787">
        <f>IFERROR(IF(VLOOKUP($C42,'IDEES okt 2017 template'!$C$142:$AN$150,'IDEES okt 2017 template'!O$130,FALSE)/O35=0,"0.7",VLOOKUP($C42,'IDEES okt 2017 template'!$C$142:$AN$150,'IDEES okt 2017 template'!O$130,FALSE)/O35),"0.7")</f>
        <v>0.76097692301360786</v>
      </c>
      <c r="P42" s="787">
        <f>IFERROR(IF(VLOOKUP($C42,'IDEES okt 2017 template'!$C$142:$AN$150,'IDEES okt 2017 template'!P$130,FALSE)/P35=0,"0.7",VLOOKUP($C42,'IDEES okt 2017 template'!$C$142:$AN$150,'IDEES okt 2017 template'!P$130,FALSE)/P35),"0.7")</f>
        <v>0.78014366093572785</v>
      </c>
      <c r="Q42" s="787">
        <f>IFERROR(IF(VLOOKUP($C42,'IDEES okt 2017 template'!$C$142:$AN$150,'IDEES okt 2017 template'!Q$130,FALSE)/Q35=0,"0.7",VLOOKUP($C42,'IDEES okt 2017 template'!$C$142:$AN$150,'IDEES okt 2017 template'!Q$130,FALSE)/Q35),"0.7")</f>
        <v>0.74499429749397561</v>
      </c>
      <c r="R42" s="787">
        <f>IFERROR(IF(VLOOKUP($C42,'IDEES okt 2017 template'!$C$142:$AN$150,'IDEES okt 2017 template'!R$130,FALSE)/R35=0,"0.7",VLOOKUP($C42,'IDEES okt 2017 template'!$C$142:$AN$150,'IDEES okt 2017 template'!R$130,FALSE)/R35),"0.7")</f>
        <v>0.72153446694261436</v>
      </c>
      <c r="S42" s="787">
        <f>IFERROR(IF(VLOOKUP($C42,'IDEES okt 2017 template'!$C$142:$AN$150,'IDEES okt 2017 template'!S$130,FALSE)/S35=0,"0.7",VLOOKUP($C42,'IDEES okt 2017 template'!$C$142:$AN$150,'IDEES okt 2017 template'!S$130,FALSE)/S35),"0.7")</f>
        <v>0.7560442787059295</v>
      </c>
      <c r="T42" s="787">
        <f>IFERROR(IF(VLOOKUP($C42,'IDEES okt 2017 template'!$C$142:$AN$150,'IDEES okt 2017 template'!T$130,FALSE)/T35=0,"0.7",VLOOKUP($C42,'IDEES okt 2017 template'!$C$142:$AN$150,'IDEES okt 2017 template'!T$130,FALSE)/T35),"0.7")</f>
        <v>0.78641563412407145</v>
      </c>
      <c r="U42" s="787">
        <f>IFERROR(IF(VLOOKUP($C42,'IDEES okt 2017 template'!$C$142:$AN$150,'IDEES okt 2017 template'!U$130,FALSE)/U35=0,"0.7",VLOOKUP($C42,'IDEES okt 2017 template'!$C$142:$AN$150,'IDEES okt 2017 template'!U$130,FALSE)/U35),"0.7")</f>
        <v>0.7268582985805061</v>
      </c>
      <c r="V42" s="787">
        <f>IFERROR(IF(VLOOKUP($C42,'IDEES okt 2017 template'!$C$142:$AN$150,'IDEES okt 2017 template'!V$130,FALSE)/V35=0,"0.7",VLOOKUP($C42,'IDEES okt 2017 template'!$C$142:$AN$150,'IDEES okt 2017 template'!V$130,FALSE)/V35),"0.7")</f>
        <v>0.74154132084234992</v>
      </c>
      <c r="W42" s="787">
        <f>IFERROR(IF(VLOOKUP($C42,'IDEES okt 2017 template'!$C$142:$AN$150,'IDEES okt 2017 template'!W$130,FALSE)/W35=0,"0.7",VLOOKUP($C42,'IDEES okt 2017 template'!$C$142:$AN$150,'IDEES okt 2017 template'!W$130,FALSE)/W35),"0.7")</f>
        <v>0.76486370993713371</v>
      </c>
      <c r="X42" s="787">
        <f>IFERROR(IF(VLOOKUP($C42,'IDEES okt 2017 template'!$C$142:$AN$150,'IDEES okt 2017 template'!X$130,FALSE)/X35=0,"0.7",VLOOKUP($C42,'IDEES okt 2017 template'!$C$142:$AN$150,'IDEES okt 2017 template'!X$130,FALSE)/X35),"0.7")</f>
        <v>0.78490216798672419</v>
      </c>
      <c r="Y42" s="787" t="str">
        <f>IFERROR(IF(VLOOKUP($C42,'IDEES okt 2017 template'!$C$142:$AN$150,'IDEES okt 2017 template'!Y$130,FALSE)/Y35=0,"0.7",VLOOKUP($C42,'IDEES okt 2017 template'!$C$142:$AN$150,'IDEES okt 2017 template'!Y$130,FALSE)/Y35),"0.7")</f>
        <v>0.7</v>
      </c>
      <c r="Z42" s="787">
        <f>IFERROR(IF(VLOOKUP($C42,'IDEES okt 2017 template'!$C$142:$AN$150,'IDEES okt 2017 template'!Z$130,FALSE)/Z35=0,"0.7",VLOOKUP($C42,'IDEES okt 2017 template'!$C$142:$AN$150,'IDEES okt 2017 template'!Z$130,FALSE)/Z35),"0.7")</f>
        <v>0.77566284204844005</v>
      </c>
      <c r="AA42" s="787">
        <f>IFERROR(IF(VLOOKUP($C42,'IDEES okt 2017 template'!$C$142:$AN$150,'IDEES okt 2017 template'!AA$130,FALSE)/AA35=0,"0.7",VLOOKUP($C42,'IDEES okt 2017 template'!$C$142:$AN$150,'IDEES okt 2017 template'!AA$130,FALSE)/AA35),"0.7")</f>
        <v>0.78641563412407145</v>
      </c>
      <c r="AB42" s="787">
        <f>IFERROR(IF(VLOOKUP($C42,'IDEES okt 2017 template'!$C$142:$AN$150,'IDEES okt 2017 template'!AB$130,FALSE)/AB35=0,"0.7",VLOOKUP($C42,'IDEES okt 2017 template'!$C$142:$AN$150,'IDEES okt 2017 template'!AB$130,FALSE)/AB35),"0.7")</f>
        <v>0.77354429534024727</v>
      </c>
      <c r="AC42" s="787">
        <f>IFERROR(IF(VLOOKUP($C42,'IDEES okt 2017 template'!$C$142:$AN$150,'IDEES okt 2017 template'!AC$130,FALSE)/AC35=0,"0.7",VLOOKUP($C42,'IDEES okt 2017 template'!$C$142:$AN$150,'IDEES okt 2017 template'!AC$130,FALSE)/AC35),"0.7")</f>
        <v>0.78557278476802406</v>
      </c>
      <c r="AD42" s="787">
        <f>IFERROR(IF(VLOOKUP($C42,'IDEES okt 2017 template'!$C$142:$AN$150,'IDEES okt 2017 template'!AD$130,FALSE)/AD35=0,"0.7",VLOOKUP($C42,'IDEES okt 2017 template'!$C$142:$AN$150,'IDEES okt 2017 template'!AD$130,FALSE)/AD35),"0.7")</f>
        <v>0.70221298243667163</v>
      </c>
      <c r="AE42" s="787">
        <f>IFERROR(IF(VLOOKUP($C42,'IDEES okt 2017 template'!$C$142:$AN$150,'IDEES okt 2017 template'!AE$130,FALSE)/AE35=0,"0.7",VLOOKUP($C42,'IDEES okt 2017 template'!$C$142:$AN$150,'IDEES okt 2017 template'!AE$130,FALSE)/AE35),"0.7")</f>
        <v>0.73166794796601431</v>
      </c>
      <c r="AF42" s="787">
        <f>IFERROR(IF(VLOOKUP($C42,'IDEES okt 2017 template'!$C$142:$AN$150,'IDEES okt 2017 template'!AF$130,FALSE)/AF35=0,"0.7",VLOOKUP($C42,'IDEES okt 2017 template'!$C$142:$AN$150,'IDEES okt 2017 template'!AF$130,FALSE)/AF35),"0.7")</f>
        <v>0.78940789812191514</v>
      </c>
      <c r="AG42" s="787">
        <f>IFERROR(IF(VLOOKUP($C42,'IDEES okt 2017 template'!$C$142:$AN$150,'IDEES okt 2017 template'!AG$130,FALSE)/AG35=0,"0.7",VLOOKUP($C42,'IDEES okt 2017 template'!$C$142:$AN$150,'IDEES okt 2017 template'!AG$130,FALSE)/AG35),"0.7")</f>
        <v>0.70945498712761879</v>
      </c>
      <c r="AH42" s="787">
        <f>IFERROR(IF(VLOOKUP($C42,'IDEES okt 2017 template'!$C$142:$AN$150,'IDEES okt 2017 template'!AH$130,FALSE)/AH35=0,"0.7",VLOOKUP($C42,'IDEES okt 2017 template'!$C$142:$AN$150,'IDEES okt 2017 template'!AH$130,FALSE)/AH35),"0.7")</f>
        <v>0.75515261273787326</v>
      </c>
      <c r="AI42" s="787">
        <f>IFERROR(IF(VLOOKUP($C42,'IDEES okt 2017 template'!$C$142:$AN$150,'IDEES okt 2017 template'!AI$130,FALSE)/AI35=0,"0.7",VLOOKUP($C42,'IDEES okt 2017 template'!$C$142:$AN$150,'IDEES okt 2017 template'!AI$130,FALSE)/AI35),"0.7")</f>
        <v>0.78014366093572785</v>
      </c>
      <c r="AJ42" s="787">
        <f>IFERROR(IF(VLOOKUP($C42,'IDEES okt 2017 template'!$C$142:$AN$150,'IDEES okt 2017 template'!AJ$130,FALSE)/AJ35=0,"0.7",VLOOKUP($C42,'IDEES okt 2017 template'!$C$142:$AN$150,'IDEES okt 2017 template'!AJ$130,FALSE)/AJ35),"0.7")</f>
        <v>0.74499429749397561</v>
      </c>
      <c r="AK42" s="787">
        <f>IFERROR(IF(VLOOKUP($C42,'IDEES okt 2017 template'!$C$142:$AN$150,'IDEES okt 2017 template'!AK$130,FALSE)/AK35=0,"0.7",VLOOKUP($C42,'IDEES okt 2017 template'!$C$142:$AN$150,'IDEES okt 2017 template'!AK$130,FALSE)/AK35),"0.7")</f>
        <v>0.74499429749397561</v>
      </c>
      <c r="AL42" s="787">
        <f>IFERROR(IF(VLOOKUP($C42,'IDEES okt 2017 template'!$C$142:$AN$150,'IDEES okt 2017 template'!AL$130,FALSE)/AL35=0,"0.7",VLOOKUP($C42,'IDEES okt 2017 template'!$C$142:$AN$150,'IDEES okt 2017 template'!AL$130,FALSE)/AL35),"0.7")</f>
        <v>0.78014366093572785</v>
      </c>
      <c r="AM42" s="787">
        <f>IFERROR(IF(VLOOKUP($C42,'IDEES okt 2017 template'!$C$142:$AN$150,'IDEES okt 2017 template'!AM$130,FALSE)/AM35=0,"0.7",VLOOKUP($C42,'IDEES okt 2017 template'!$C$142:$AN$150,'IDEES okt 2017 template'!AM$130,FALSE)/AM35),"0.7")</f>
        <v>0.74499429749397561</v>
      </c>
      <c r="AN42" s="787">
        <f>IFERROR(IF(VLOOKUP($C42,'IDEES okt 2017 template'!$C$142:$AN$150,'IDEES okt 2017 template'!AN$130,FALSE)/AN35=0,"0.7",VLOOKUP($C42,'IDEES okt 2017 template'!$C$142:$AN$150,'IDEES okt 2017 template'!AN$130,FALSE)/AN35),"0.7")</f>
        <v>0.74499429749397561</v>
      </c>
    </row>
    <row r="43" spans="1:40">
      <c r="C43" t="str">
        <f>C36</f>
        <v>Derived heat</v>
      </c>
      <c r="D43" s="787">
        <f>IFERROR(IF(VLOOKUP($C43,'IDEES okt 2017 template'!$C$142:$AN$150,'IDEES okt 2017 template'!D$130,FALSE)/D36=0,"0.8",VLOOKUP($C43,'IDEES okt 2017 template'!$C$142:$AN$150,'IDEES okt 2017 template'!D$130,FALSE)/D36),"0.8")</f>
        <v>0.88333199390813688</v>
      </c>
      <c r="E43" s="787">
        <f>IFERROR(IF(VLOOKUP($C43,'IDEES okt 2017 template'!$C$142:$AN$150,'IDEES okt 2017 template'!E$130,FALSE)/E36=0,"0.8",VLOOKUP($C43,'IDEES okt 2017 template'!$C$142:$AN$150,'IDEES okt 2017 template'!E$130,FALSE)/E36),"0.8")</f>
        <v>0.83553618085187931</v>
      </c>
      <c r="F43" s="787">
        <f>IFERROR(IF(VLOOKUP($C43,'IDEES okt 2017 template'!$C$142:$AN$150,'IDEES okt 2017 template'!F$130,FALSE)/F36=0,"0.8",VLOOKUP($C43,'IDEES okt 2017 template'!$C$142:$AN$150,'IDEES okt 2017 template'!F$130,FALSE)/F36),"0.8")</f>
        <v>0.81206531351727507</v>
      </c>
      <c r="G43" s="787">
        <f>IFERROR(IF(VLOOKUP($C43,'IDEES okt 2017 template'!$C$142:$AN$150,'IDEES okt 2017 template'!G$130,FALSE)/G36=0,"0.8",VLOOKUP($C43,'IDEES okt 2017 template'!$C$142:$AN$150,'IDEES okt 2017 template'!G$130,FALSE)/G36),"0.8")</f>
        <v>0.95587493363207376</v>
      </c>
      <c r="H43" s="787" t="str">
        <f>IFERROR(IF(VLOOKUP($C43,'IDEES okt 2017 template'!$C$142:$AN$150,'IDEES okt 2017 template'!H$130,FALSE)/H36=0,"0.8",VLOOKUP($C43,'IDEES okt 2017 template'!$C$142:$AN$150,'IDEES okt 2017 template'!H$130,FALSE)/H36),"0.8")</f>
        <v>0.8</v>
      </c>
      <c r="I43" s="787">
        <f>IFERROR(IF(VLOOKUP($C43,'IDEES okt 2017 template'!$C$142:$AN$150,'IDEES okt 2017 template'!I$130,FALSE)/I36=0,"0.8",VLOOKUP($C43,'IDEES okt 2017 template'!$C$142:$AN$150,'IDEES okt 2017 template'!I$130,FALSE)/I36),"0.8")</f>
        <v>0.85208330762622653</v>
      </c>
      <c r="J43" s="787">
        <f>IFERROR(IF(VLOOKUP($C43,'IDEES okt 2017 template'!$C$142:$AN$150,'IDEES okt 2017 template'!J$130,FALSE)/J36=0,"0.8",VLOOKUP($C43,'IDEES okt 2017 template'!$C$142:$AN$150,'IDEES okt 2017 template'!J$130,FALSE)/J36),"0.8")</f>
        <v>0.95587493363207376</v>
      </c>
      <c r="K43" s="787">
        <f>IFERROR(IF(VLOOKUP($C43,'IDEES okt 2017 template'!$C$142:$AN$150,'IDEES okt 2017 template'!K$130,FALSE)/K36=0,"0.8",VLOOKUP($C43,'IDEES okt 2017 template'!$C$142:$AN$150,'IDEES okt 2017 template'!K$130,FALSE)/K36),"0.8")</f>
        <v>0.91841114092424625</v>
      </c>
      <c r="L43" s="787">
        <f>IFERROR(IF(VLOOKUP($C43,'IDEES okt 2017 template'!$C$142:$AN$150,'IDEES okt 2017 template'!L$130,FALSE)/L36=0,"0.8",VLOOKUP($C43,'IDEES okt 2017 template'!$C$142:$AN$150,'IDEES okt 2017 template'!L$130,FALSE)/L36),"0.8")</f>
        <v>0.89056811991588136</v>
      </c>
      <c r="M43" s="787" t="str">
        <f>IFERROR(IF(VLOOKUP($C43,'IDEES okt 2017 template'!$C$142:$AN$150,'IDEES okt 2017 template'!M$130,FALSE)/M36=0,"0.8",VLOOKUP($C43,'IDEES okt 2017 template'!$C$142:$AN$150,'IDEES okt 2017 template'!M$130,FALSE)/M36),"0.8")</f>
        <v>0.8</v>
      </c>
      <c r="N43" s="787">
        <f>IFERROR(IF(VLOOKUP($C43,'IDEES okt 2017 template'!$C$142:$AN$150,'IDEES okt 2017 template'!N$130,FALSE)/N36=0,"0.8",VLOOKUP($C43,'IDEES okt 2017 template'!$C$142:$AN$150,'IDEES okt 2017 template'!N$130,FALSE)/N36),"0.8")</f>
        <v>0.91664482565774474</v>
      </c>
      <c r="O43" s="787">
        <f>IFERROR(IF(VLOOKUP($C43,'IDEES okt 2017 template'!$C$142:$AN$150,'IDEES okt 2017 template'!O$130,FALSE)/O36=0,"0.8",VLOOKUP($C43,'IDEES okt 2017 template'!$C$142:$AN$150,'IDEES okt 2017 template'!O$130,FALSE)/O36),"0.8")</f>
        <v>0.88619005258754446</v>
      </c>
      <c r="P43" s="787">
        <f>IFERROR(IF(VLOOKUP($C43,'IDEES okt 2017 template'!$C$142:$AN$150,'IDEES okt 2017 template'!P$130,FALSE)/P36=0,"0.8",VLOOKUP($C43,'IDEES okt 2017 template'!$C$142:$AN$150,'IDEES okt 2017 template'!P$130,FALSE)/P36),"0.8")</f>
        <v>0.76932726422269859</v>
      </c>
      <c r="Q43" s="787">
        <f>IFERROR(IF(VLOOKUP($C43,'IDEES okt 2017 template'!$C$142:$AN$150,'IDEES okt 2017 template'!Q$130,FALSE)/Q36=0,"0.8",VLOOKUP($C43,'IDEES okt 2017 template'!$C$142:$AN$150,'IDEES okt 2017 template'!Q$130,FALSE)/Q36),"0.8")</f>
        <v>0.82057579490371624</v>
      </c>
      <c r="R43" s="787">
        <f>IFERROR(IF(VLOOKUP($C43,'IDEES okt 2017 template'!$C$142:$AN$150,'IDEES okt 2017 template'!R$130,FALSE)/R36=0,"0.8",VLOOKUP($C43,'IDEES okt 2017 template'!$C$142:$AN$150,'IDEES okt 2017 template'!R$130,FALSE)/R36),"0.8")</f>
        <v>0.7835271138190868</v>
      </c>
      <c r="S43" s="787" t="str">
        <f>IFERROR(IF(VLOOKUP($C43,'IDEES okt 2017 template'!$C$142:$AN$150,'IDEES okt 2017 template'!S$130,FALSE)/S36=0,"0.8",VLOOKUP($C43,'IDEES okt 2017 template'!$C$142:$AN$150,'IDEES okt 2017 template'!S$130,FALSE)/S36),"0.8")</f>
        <v>0.8</v>
      </c>
      <c r="T43" s="787">
        <f>IFERROR(IF(VLOOKUP($C43,'IDEES okt 2017 template'!$C$142:$AN$150,'IDEES okt 2017 template'!T$130,FALSE)/T36=0,"0.8",VLOOKUP($C43,'IDEES okt 2017 template'!$C$142:$AN$150,'IDEES okt 2017 template'!T$130,FALSE)/T36),"0.8")</f>
        <v>0.91841114092424625</v>
      </c>
      <c r="U43" s="787">
        <f>IFERROR(IF(VLOOKUP($C43,'IDEES okt 2017 template'!$C$142:$AN$150,'IDEES okt 2017 template'!U$130,FALSE)/U36=0,"0.8",VLOOKUP($C43,'IDEES okt 2017 template'!$C$142:$AN$150,'IDEES okt 2017 template'!U$130,FALSE)/U36),"0.8")</f>
        <v>0.84751572846603129</v>
      </c>
      <c r="V43" s="787">
        <f>IFERROR(IF(VLOOKUP($C43,'IDEES okt 2017 template'!$C$142:$AN$150,'IDEES okt 2017 template'!V$130,FALSE)/V36=0,"0.8",VLOOKUP($C43,'IDEES okt 2017 template'!$C$142:$AN$150,'IDEES okt 2017 template'!V$130,FALSE)/V36),"0.8")</f>
        <v>0.85076796364532514</v>
      </c>
      <c r="W43" s="787" t="str">
        <f>IFERROR(IF(VLOOKUP($C43,'IDEES okt 2017 template'!$C$142:$AN$150,'IDEES okt 2017 template'!W$130,FALSE)/W36=0,"0.8",VLOOKUP($C43,'IDEES okt 2017 template'!$C$142:$AN$150,'IDEES okt 2017 template'!W$130,FALSE)/W36),"0.8")</f>
        <v>0.8</v>
      </c>
      <c r="X43" s="787">
        <f>IFERROR(IF(VLOOKUP($C43,'IDEES okt 2017 template'!$C$142:$AN$150,'IDEES okt 2017 template'!X$130,FALSE)/X36=0,"0.8",VLOOKUP($C43,'IDEES okt 2017 template'!$C$142:$AN$150,'IDEES okt 2017 template'!X$130,FALSE)/X36),"0.8")</f>
        <v>0.89852031257747156</v>
      </c>
      <c r="Y43" s="787" t="str">
        <f>IFERROR(IF(VLOOKUP($C43,'IDEES okt 2017 template'!$C$142:$AN$150,'IDEES okt 2017 template'!Y$130,FALSE)/Y36=0,"0.8",VLOOKUP($C43,'IDEES okt 2017 template'!$C$142:$AN$150,'IDEES okt 2017 template'!Y$130,FALSE)/Y36),"0.8")</f>
        <v>0.8</v>
      </c>
      <c r="Z43" s="787">
        <f>IFERROR(IF(VLOOKUP($C43,'IDEES okt 2017 template'!$C$142:$AN$150,'IDEES okt 2017 template'!Z$130,FALSE)/Z36=0,"0.8",VLOOKUP($C43,'IDEES okt 2017 template'!$C$142:$AN$150,'IDEES okt 2017 template'!Z$130,FALSE)/Z36),"0.8")</f>
        <v>0.90645521755068992</v>
      </c>
      <c r="AA43" s="787">
        <f>IFERROR(IF(VLOOKUP($C43,'IDEES okt 2017 template'!$C$142:$AN$150,'IDEES okt 2017 template'!AA$130,FALSE)/AA36=0,"0.8",VLOOKUP($C43,'IDEES okt 2017 template'!$C$142:$AN$150,'IDEES okt 2017 template'!AA$130,FALSE)/AA36),"0.8")</f>
        <v>0.91841114092424625</v>
      </c>
      <c r="AB43" s="787">
        <f>IFERROR(IF(VLOOKUP($C43,'IDEES okt 2017 template'!$C$142:$AN$150,'IDEES okt 2017 template'!AB$130,FALSE)/AB36=0,"0.8",VLOOKUP($C43,'IDEES okt 2017 template'!$C$142:$AN$150,'IDEES okt 2017 template'!AB$130,FALSE)/AB36),"0.8")</f>
        <v>0.89540543411667217</v>
      </c>
      <c r="AC43" s="787">
        <f>IFERROR(IF(VLOOKUP($C43,'IDEES okt 2017 template'!$C$142:$AN$150,'IDEES okt 2017 template'!AC$130,FALSE)/AC36=0,"0.8",VLOOKUP($C43,'IDEES okt 2017 template'!$C$142:$AN$150,'IDEES okt 2017 template'!AC$130,FALSE)/AC36),"0.8")</f>
        <v>0.89097570060848374</v>
      </c>
      <c r="AD43" s="787">
        <f>IFERROR(IF(VLOOKUP($C43,'IDEES okt 2017 template'!$C$142:$AN$150,'IDEES okt 2017 template'!AD$130,FALSE)/AD36=0,"0.8",VLOOKUP($C43,'IDEES okt 2017 template'!$C$142:$AN$150,'IDEES okt 2017 template'!AD$130,FALSE)/AD36),"0.8")</f>
        <v>0.81167632186112504</v>
      </c>
      <c r="AE43" s="787">
        <f>IFERROR(IF(VLOOKUP($C43,'IDEES okt 2017 template'!$C$142:$AN$150,'IDEES okt 2017 template'!AE$130,FALSE)/AE36=0,"0.8",VLOOKUP($C43,'IDEES okt 2017 template'!$C$142:$AN$150,'IDEES okt 2017 template'!AE$130,FALSE)/AE36),"0.8")</f>
        <v>0.80134176644047972</v>
      </c>
      <c r="AF43" s="787">
        <f>IFERROR(IF(VLOOKUP($C43,'IDEES okt 2017 template'!$C$142:$AN$150,'IDEES okt 2017 template'!AF$130,FALSE)/AF36=0,"0.8",VLOOKUP($C43,'IDEES okt 2017 template'!$C$142:$AN$150,'IDEES okt 2017 template'!AF$130,FALSE)/AF36),"0.8")</f>
        <v>0.8975153837411004</v>
      </c>
      <c r="AG43" s="787">
        <f>IFERROR(IF(VLOOKUP($C43,'IDEES okt 2017 template'!$C$142:$AN$150,'IDEES okt 2017 template'!AG$130,FALSE)/AG36=0,"0.8",VLOOKUP($C43,'IDEES okt 2017 template'!$C$142:$AN$150,'IDEES okt 2017 template'!AG$130,FALSE)/AG36),"0.8")</f>
        <v>0.82350393173757808</v>
      </c>
      <c r="AH43" s="787">
        <f>IFERROR(IF(VLOOKUP($C43,'IDEES okt 2017 template'!$C$142:$AN$150,'IDEES okt 2017 template'!AH$130,FALSE)/AH36=0,"0.8",VLOOKUP($C43,'IDEES okt 2017 template'!$C$142:$AN$150,'IDEES okt 2017 template'!AH$130,FALSE)/AH36),"0.8")</f>
        <v>0.86559601252689145</v>
      </c>
      <c r="AI43" s="787">
        <f>IFERROR(IF(VLOOKUP($C43,'IDEES okt 2017 template'!$C$142:$AN$150,'IDEES okt 2017 template'!AI$130,FALSE)/AI36=0,"0.8",VLOOKUP($C43,'IDEES okt 2017 template'!$C$142:$AN$150,'IDEES okt 2017 template'!AI$130,FALSE)/AI36),"0.8")</f>
        <v>0.85983635413125137</v>
      </c>
      <c r="AJ43" s="787">
        <f>IFERROR(IF(VLOOKUP($C43,'IDEES okt 2017 template'!$C$142:$AN$150,'IDEES okt 2017 template'!AJ$130,FALSE)/AJ36=0,"0.8",VLOOKUP($C43,'IDEES okt 2017 template'!$C$142:$AN$150,'IDEES okt 2017 template'!AJ$130,FALSE)/AJ36),"0.8")</f>
        <v>0.8688449593098172</v>
      </c>
      <c r="AK43" s="787">
        <f>IFERROR(IF(VLOOKUP($C43,'IDEES okt 2017 template'!$C$142:$AN$150,'IDEES okt 2017 template'!AK$130,FALSE)/AK36=0,"0.8",VLOOKUP($C43,'IDEES okt 2017 template'!$C$142:$AN$150,'IDEES okt 2017 template'!AK$130,FALSE)/AK36),"0.8")</f>
        <v>0.8688449593098172</v>
      </c>
      <c r="AL43" s="787">
        <f>IFERROR(IF(VLOOKUP($C43,'IDEES okt 2017 template'!$C$142:$AN$150,'IDEES okt 2017 template'!AL$130,FALSE)/AL36=0,"0.8",VLOOKUP($C43,'IDEES okt 2017 template'!$C$142:$AN$150,'IDEES okt 2017 template'!AL$130,FALSE)/AL36),"0.8")</f>
        <v>0.85983635413125137</v>
      </c>
      <c r="AM43" s="787">
        <f>IFERROR(IF(VLOOKUP($C43,'IDEES okt 2017 template'!$C$142:$AN$150,'IDEES okt 2017 template'!AM$130,FALSE)/AM36=0,"0.8",VLOOKUP($C43,'IDEES okt 2017 template'!$C$142:$AN$150,'IDEES okt 2017 template'!AM$130,FALSE)/AM36),"0.8")</f>
        <v>0.8688449593098172</v>
      </c>
      <c r="AN43" s="787">
        <f>IFERROR(IF(VLOOKUP($C43,'IDEES okt 2017 template'!$C$142:$AN$150,'IDEES okt 2017 template'!AN$130,FALSE)/AN36=0,"0.8",VLOOKUP($C43,'IDEES okt 2017 template'!$C$142:$AN$150,'IDEES okt 2017 template'!AN$130,FALSE)/AN36),"0.8")</f>
        <v>0.8688449593098172</v>
      </c>
    </row>
    <row r="44" spans="1:40">
      <c r="C44" t="str">
        <f>C37</f>
        <v>GDO and other liquids (incl. liq. bio.)</v>
      </c>
      <c r="D44" s="787">
        <f>IFERROR(IF(VLOOKUP($C44,'IDEES okt 2017 template'!$C$142:$AN$150,'IDEES okt 2017 template'!D$130,FALSE)/D37=0,"0.7",VLOOKUP($C44,'IDEES okt 2017 template'!$C$142:$AN$150,'IDEES okt 2017 template'!D$130,FALSE)/D37),"0.7")</f>
        <v>0.80046714388348206</v>
      </c>
      <c r="E44" s="787">
        <f>IFERROR(IF(VLOOKUP($C44,'IDEES okt 2017 template'!$C$142:$AN$150,'IDEES okt 2017 template'!E$130,FALSE)/E37=0,"0.7",VLOOKUP($C44,'IDEES okt 2017 template'!$C$142:$AN$150,'IDEES okt 2017 template'!E$130,FALSE)/E37),"0.7")</f>
        <v>0.78828873049448667</v>
      </c>
      <c r="F44" s="787">
        <f>IFERROR(IF(VLOOKUP($C44,'IDEES okt 2017 template'!$C$142:$AN$150,'IDEES okt 2017 template'!F$130,FALSE)/F37=0,"0.7",VLOOKUP($C44,'IDEES okt 2017 template'!$C$142:$AN$150,'IDEES okt 2017 template'!F$130,FALSE)/F37),"0.7")</f>
        <v>0.79832009350619637</v>
      </c>
      <c r="G44" s="787">
        <f>IFERROR(IF(VLOOKUP($C44,'IDEES okt 2017 template'!$C$142:$AN$150,'IDEES okt 2017 template'!G$130,FALSE)/G37=0,"0.7",VLOOKUP($C44,'IDEES okt 2017 template'!$C$142:$AN$150,'IDEES okt 2017 template'!G$130,FALSE)/G37),"0.7")</f>
        <v>0.85774115403962237</v>
      </c>
      <c r="H44" s="787">
        <f>IFERROR(IF(VLOOKUP($C44,'IDEES okt 2017 template'!$C$142:$AN$150,'IDEES okt 2017 template'!H$130,FALSE)/H37=0,"0.7",VLOOKUP($C44,'IDEES okt 2017 template'!$C$142:$AN$150,'IDEES okt 2017 template'!H$130,FALSE)/H37),"0.7")</f>
        <v>0.58765688899384927</v>
      </c>
      <c r="I44" s="787" t="str">
        <f>IFERROR(IF(VLOOKUP($C44,'IDEES okt 2017 template'!$C$142:$AN$150,'IDEES okt 2017 template'!I$130,FALSE)/I37=0,"0.7",VLOOKUP($C44,'IDEES okt 2017 template'!$C$142:$AN$150,'IDEES okt 2017 template'!I$130,FALSE)/I37),"0.7")</f>
        <v>0.7</v>
      </c>
      <c r="J44" s="787">
        <f>IFERROR(IF(VLOOKUP($C44,'IDEES okt 2017 template'!$C$142:$AN$150,'IDEES okt 2017 template'!J$130,FALSE)/J37=0,"0.7",VLOOKUP($C44,'IDEES okt 2017 template'!$C$142:$AN$150,'IDEES okt 2017 template'!J$130,FALSE)/J37),"0.7")</f>
        <v>0.85774115403962237</v>
      </c>
      <c r="K44" s="787">
        <f>IFERROR(IF(VLOOKUP($C44,'IDEES okt 2017 template'!$C$142:$AN$150,'IDEES okt 2017 template'!K$130,FALSE)/K37=0,"0.7",VLOOKUP($C44,'IDEES okt 2017 template'!$C$142:$AN$150,'IDEES okt 2017 template'!K$130,FALSE)/K37),"0.7")</f>
        <v>0.8190120351671959</v>
      </c>
      <c r="L44" s="787">
        <f>IFERROR(IF(VLOOKUP($C44,'IDEES okt 2017 template'!$C$142:$AN$150,'IDEES okt 2017 template'!L$130,FALSE)/L37=0,"0.7",VLOOKUP($C44,'IDEES okt 2017 template'!$C$142:$AN$150,'IDEES okt 2017 template'!L$130,FALSE)/L37),"0.7")</f>
        <v>0.81235393287832658</v>
      </c>
      <c r="M44" s="787">
        <f>IFERROR(IF(VLOOKUP($C44,'IDEES okt 2017 template'!$C$142:$AN$150,'IDEES okt 2017 template'!M$130,FALSE)/M37=0,"0.7",VLOOKUP($C44,'IDEES okt 2017 template'!$C$142:$AN$150,'IDEES okt 2017 template'!M$130,FALSE)/M37),"0.7")</f>
        <v>0.73343396452087661</v>
      </c>
      <c r="N44" s="787">
        <f>IFERROR(IF(VLOOKUP($C44,'IDEES okt 2017 template'!$C$142:$AN$150,'IDEES okt 2017 template'!N$130,FALSE)/N37=0,"0.7",VLOOKUP($C44,'IDEES okt 2017 template'!$C$142:$AN$150,'IDEES okt 2017 template'!N$130,FALSE)/N37),"0.7")</f>
        <v>0.80783474157188151</v>
      </c>
      <c r="O44" s="787">
        <f>IFERROR(IF(VLOOKUP($C44,'IDEES okt 2017 template'!$C$142:$AN$150,'IDEES okt 2017 template'!O$130,FALSE)/O37=0,"0.7",VLOOKUP($C44,'IDEES okt 2017 template'!$C$142:$AN$150,'IDEES okt 2017 template'!O$130,FALSE)/O37),"0.7")</f>
        <v>0.80927991684156053</v>
      </c>
      <c r="P44" s="787">
        <f>IFERROR(IF(VLOOKUP($C44,'IDEES okt 2017 template'!$C$142:$AN$150,'IDEES okt 2017 template'!P$130,FALSE)/P37=0,"0.7",VLOOKUP($C44,'IDEES okt 2017 template'!$C$142:$AN$150,'IDEES okt 2017 template'!P$130,FALSE)/P37),"0.7")</f>
        <v>0.77466708881465018</v>
      </c>
      <c r="Q44" s="787">
        <f>IFERROR(IF(VLOOKUP($C44,'IDEES okt 2017 template'!$C$142:$AN$150,'IDEES okt 2017 template'!Q$130,FALSE)/Q37=0,"0.7",VLOOKUP($C44,'IDEES okt 2017 template'!$C$142:$AN$150,'IDEES okt 2017 template'!Q$130,FALSE)/Q37),"0.7")</f>
        <v>0.73652624040326831</v>
      </c>
      <c r="R44" s="787" t="str">
        <f>IFERROR(IF(VLOOKUP($C44,'IDEES okt 2017 template'!$C$142:$AN$150,'IDEES okt 2017 template'!R$130,FALSE)/R37=0,"0.7",VLOOKUP($C44,'IDEES okt 2017 template'!$C$142:$AN$150,'IDEES okt 2017 template'!R$130,FALSE)/R37),"0.7")</f>
        <v>0.7</v>
      </c>
      <c r="S44" s="787">
        <f>IFERROR(IF(VLOOKUP($C44,'IDEES okt 2017 template'!$C$142:$AN$150,'IDEES okt 2017 template'!S$130,FALSE)/S37=0,"0.7",VLOOKUP($C44,'IDEES okt 2017 template'!$C$142:$AN$150,'IDEES okt 2017 template'!S$130,FALSE)/S37),"0.7")</f>
        <v>0.7966026577728591</v>
      </c>
      <c r="T44" s="787">
        <f>IFERROR(IF(VLOOKUP($C44,'IDEES okt 2017 template'!$C$142:$AN$150,'IDEES okt 2017 template'!T$130,FALSE)/T37=0,"0.7",VLOOKUP($C44,'IDEES okt 2017 template'!$C$142:$AN$150,'IDEES okt 2017 template'!T$130,FALSE)/T37),"0.7")</f>
        <v>0.8190120351671959</v>
      </c>
      <c r="U44" s="787">
        <f>IFERROR(IF(VLOOKUP($C44,'IDEES okt 2017 template'!$C$142:$AN$150,'IDEES okt 2017 template'!U$130,FALSE)/U37=0,"0.7",VLOOKUP($C44,'IDEES okt 2017 template'!$C$142:$AN$150,'IDEES okt 2017 template'!U$130,FALSE)/U37),"0.7")</f>
        <v>0.77871481287333932</v>
      </c>
      <c r="V44" s="787">
        <f>IFERROR(IF(VLOOKUP($C44,'IDEES okt 2017 template'!$C$142:$AN$150,'IDEES okt 2017 template'!V$130,FALSE)/V37=0,"0.7",VLOOKUP($C44,'IDEES okt 2017 template'!$C$142:$AN$150,'IDEES okt 2017 template'!V$130,FALSE)/V37),"0.7")</f>
        <v>0.88346566731129295</v>
      </c>
      <c r="W44" s="787">
        <f>IFERROR(IF(VLOOKUP($C44,'IDEES okt 2017 template'!$C$142:$AN$150,'IDEES okt 2017 template'!W$130,FALSE)/W37=0,"0.7",VLOOKUP($C44,'IDEES okt 2017 template'!$C$142:$AN$150,'IDEES okt 2017 template'!W$130,FALSE)/W37),"0.7")</f>
        <v>0.81205753376304002</v>
      </c>
      <c r="X44" s="787">
        <f>IFERROR(IF(VLOOKUP($C44,'IDEES okt 2017 template'!$C$142:$AN$150,'IDEES okt 2017 template'!X$130,FALSE)/X37=0,"0.7",VLOOKUP($C44,'IDEES okt 2017 template'!$C$142:$AN$150,'IDEES okt 2017 template'!X$130,FALSE)/X37),"0.7")</f>
        <v>0.87388164139702085</v>
      </c>
      <c r="Y44" s="787" t="str">
        <f>IFERROR(IF(VLOOKUP($C44,'IDEES okt 2017 template'!$C$142:$AN$150,'IDEES okt 2017 template'!Y$130,FALSE)/Y37=0,"0.7",VLOOKUP($C44,'IDEES okt 2017 template'!$C$142:$AN$150,'IDEES okt 2017 template'!Y$130,FALSE)/Y37),"0.7")</f>
        <v>0.7</v>
      </c>
      <c r="Z44" s="787">
        <f>IFERROR(IF(VLOOKUP($C44,'IDEES okt 2017 template'!$C$142:$AN$150,'IDEES okt 2017 template'!Z$130,FALSE)/Z37=0,"0.7",VLOOKUP($C44,'IDEES okt 2017 template'!$C$142:$AN$150,'IDEES okt 2017 template'!Z$130,FALSE)/Z37),"0.7")</f>
        <v>0.85466748946388815</v>
      </c>
      <c r="AA44" s="787">
        <f>IFERROR(IF(VLOOKUP($C44,'IDEES okt 2017 template'!$C$142:$AN$150,'IDEES okt 2017 template'!AA$130,FALSE)/AA37=0,"0.7",VLOOKUP($C44,'IDEES okt 2017 template'!$C$142:$AN$150,'IDEES okt 2017 template'!AA$130,FALSE)/AA37),"0.7")</f>
        <v>0.8190120351671959</v>
      </c>
      <c r="AB44" s="787">
        <f>IFERROR(IF(VLOOKUP($C44,'IDEES okt 2017 template'!$C$142:$AN$150,'IDEES okt 2017 template'!AB$130,FALSE)/AB37=0,"0.7",VLOOKUP($C44,'IDEES okt 2017 template'!$C$142:$AN$150,'IDEES okt 2017 template'!AB$130,FALSE)/AB37),"0.7")</f>
        <v>0.85913533715116286</v>
      </c>
      <c r="AC44" s="787">
        <f>IFERROR(IF(VLOOKUP($C44,'IDEES okt 2017 template'!$C$142:$AN$150,'IDEES okt 2017 template'!AC$130,FALSE)/AC37=0,"0.7",VLOOKUP($C44,'IDEES okt 2017 template'!$C$142:$AN$150,'IDEES okt 2017 template'!AC$130,FALSE)/AC37),"0.7")</f>
        <v>0.87110462678715306</v>
      </c>
      <c r="AD44" s="787">
        <f>IFERROR(IF(VLOOKUP($C44,'IDEES okt 2017 template'!$C$142:$AN$150,'IDEES okt 2017 template'!AD$130,FALSE)/AD37=0,"0.7",VLOOKUP($C44,'IDEES okt 2017 template'!$C$142:$AN$150,'IDEES okt 2017 template'!AD$130,FALSE)/AD37),"0.7")</f>
        <v>0.78550868524009243</v>
      </c>
      <c r="AE44" s="787">
        <f>IFERROR(IF(VLOOKUP($C44,'IDEES okt 2017 template'!$C$142:$AN$150,'IDEES okt 2017 template'!AE$130,FALSE)/AE37=0,"0.7",VLOOKUP($C44,'IDEES okt 2017 template'!$C$142:$AN$150,'IDEES okt 2017 template'!AE$130,FALSE)/AE37),"0.7")</f>
        <v>0.80143670930650168</v>
      </c>
      <c r="AF44" s="787">
        <f>IFERROR(IF(VLOOKUP($C44,'IDEES okt 2017 template'!$C$142:$AN$150,'IDEES okt 2017 template'!AF$130,FALSE)/AF37=0,"0.7",VLOOKUP($C44,'IDEES okt 2017 template'!$C$142:$AN$150,'IDEES okt 2017 template'!AF$130,FALSE)/AF37),"0.7")</f>
        <v>0.79235399963550734</v>
      </c>
      <c r="AG44" s="787" t="str">
        <f>IFERROR(IF(VLOOKUP($C44,'IDEES okt 2017 template'!$C$142:$AN$150,'IDEES okt 2017 template'!AG$130,FALSE)/AG37=0,"0.7",VLOOKUP($C44,'IDEES okt 2017 template'!$C$142:$AN$150,'IDEES okt 2017 template'!AG$130,FALSE)/AG37),"0.7")</f>
        <v>0.7</v>
      </c>
      <c r="AH44" s="787">
        <f>IFERROR(IF(VLOOKUP($C44,'IDEES okt 2017 template'!$C$142:$AN$150,'IDEES okt 2017 template'!AH$130,FALSE)/AH37=0,"0.7",VLOOKUP($C44,'IDEES okt 2017 template'!$C$142:$AN$150,'IDEES okt 2017 template'!AH$130,FALSE)/AH37),"0.7")</f>
        <v>0.81555876152258244</v>
      </c>
      <c r="AI44" s="787">
        <f>IFERROR(IF(VLOOKUP($C44,'IDEES okt 2017 template'!$C$142:$AN$150,'IDEES okt 2017 template'!AI$130,FALSE)/AI37=0,"0.7",VLOOKUP($C44,'IDEES okt 2017 template'!$C$142:$AN$150,'IDEES okt 2017 template'!AI$130,FALSE)/AI37),"0.7")</f>
        <v>0.77466708881465018</v>
      </c>
      <c r="AJ44" s="787">
        <f>IFERROR(IF(VLOOKUP($C44,'IDEES okt 2017 template'!$C$142:$AN$150,'IDEES okt 2017 template'!AJ$130,FALSE)/AJ37=0,"0.7",VLOOKUP($C44,'IDEES okt 2017 template'!$C$142:$AN$150,'IDEES okt 2017 template'!AJ$130,FALSE)/AJ37),"0.7")</f>
        <v>0.78562798976348625</v>
      </c>
      <c r="AK44" s="787">
        <f>IFERROR(IF(VLOOKUP($C44,'IDEES okt 2017 template'!$C$142:$AN$150,'IDEES okt 2017 template'!AK$130,FALSE)/AK37=0,"0.7",VLOOKUP($C44,'IDEES okt 2017 template'!$C$142:$AN$150,'IDEES okt 2017 template'!AK$130,FALSE)/AK37),"0.7")</f>
        <v>0.78562798976348625</v>
      </c>
      <c r="AL44" s="787">
        <f>IFERROR(IF(VLOOKUP($C44,'IDEES okt 2017 template'!$C$142:$AN$150,'IDEES okt 2017 template'!AL$130,FALSE)/AL37=0,"0.7",VLOOKUP($C44,'IDEES okt 2017 template'!$C$142:$AN$150,'IDEES okt 2017 template'!AL$130,FALSE)/AL37),"0.7")</f>
        <v>0.77466708881465018</v>
      </c>
      <c r="AM44" s="787">
        <f>IFERROR(IF(VLOOKUP($C44,'IDEES okt 2017 template'!$C$142:$AN$150,'IDEES okt 2017 template'!AM$130,FALSE)/AM37=0,"0.7",VLOOKUP($C44,'IDEES okt 2017 template'!$C$142:$AN$150,'IDEES okt 2017 template'!AM$130,FALSE)/AM37),"0.7")</f>
        <v>0.78562798976348625</v>
      </c>
      <c r="AN44" s="787">
        <f>IFERROR(IF(VLOOKUP($C44,'IDEES okt 2017 template'!$C$142:$AN$150,'IDEES okt 2017 template'!AN$130,FALSE)/AN37=0,"0.7",VLOOKUP($C44,'IDEES okt 2017 template'!$C$142:$AN$150,'IDEES okt 2017 template'!AN$130,FALSE)/AN37),"0.7")</f>
        <v>0.78562798976348625</v>
      </c>
    </row>
    <row r="45" spans="1:40">
      <c r="C45" t="str">
        <f>C38</f>
        <v>Biomass and wastes</v>
      </c>
      <c r="D45" s="787">
        <f>IFERROR(IF(VLOOKUP($C45,'IDEES okt 2017 template'!$C$142:$AN$150,'IDEES okt 2017 template'!D$130,FALSE)/D38=0,"0.7",VLOOKUP($C45,'IDEES okt 2017 template'!$C$142:$AN$150,'IDEES okt 2017 template'!D$130,FALSE)/D38),"0.7")</f>
        <v>0.79425198795713625</v>
      </c>
      <c r="E45" s="787">
        <f>IFERROR(IF(VLOOKUP($C45,'IDEES okt 2017 template'!$C$142:$AN$150,'IDEES okt 2017 template'!E$130,FALSE)/E38=0,"0.7",VLOOKUP($C45,'IDEES okt 2017 template'!$C$142:$AN$150,'IDEES okt 2017 template'!E$130,FALSE)/E38),"0.7")</f>
        <v>0.78997502619337823</v>
      </c>
      <c r="F45" s="787">
        <f>IFERROR(IF(VLOOKUP($C45,'IDEES okt 2017 template'!$C$142:$AN$150,'IDEES okt 2017 template'!F$130,FALSE)/F38=0,"0.7",VLOOKUP($C45,'IDEES okt 2017 template'!$C$142:$AN$150,'IDEES okt 2017 template'!F$130,FALSE)/F38),"0.7")</f>
        <v>0.72609117616589591</v>
      </c>
      <c r="G45" s="787">
        <f>IFERROR(IF(VLOOKUP($C45,'IDEES okt 2017 template'!$C$142:$AN$150,'IDEES okt 2017 template'!G$130,FALSE)/G38=0,"0.7",VLOOKUP($C45,'IDEES okt 2017 template'!$C$142:$AN$150,'IDEES okt 2017 template'!G$130,FALSE)/G38),"0.7")</f>
        <v>0.88939691312296831</v>
      </c>
      <c r="H45" s="787">
        <f>IFERROR(IF(VLOOKUP($C45,'IDEES okt 2017 template'!$C$142:$AN$150,'IDEES okt 2017 template'!H$130,FALSE)/H38=0,"0.7",VLOOKUP($C45,'IDEES okt 2017 template'!$C$142:$AN$150,'IDEES okt 2017 template'!H$130,FALSE)/H38),"0.7")</f>
        <v>0.56988642829255631</v>
      </c>
      <c r="I45" s="787">
        <f>IFERROR(IF(VLOOKUP($C45,'IDEES okt 2017 template'!$C$142:$AN$150,'IDEES okt 2017 template'!I$130,FALSE)/I38=0,"0.7",VLOOKUP($C45,'IDEES okt 2017 template'!$C$142:$AN$150,'IDEES okt 2017 template'!I$130,FALSE)/I38),"0.7")</f>
        <v>0.75698356672417977</v>
      </c>
      <c r="J45" s="787">
        <f>IFERROR(IF(VLOOKUP($C45,'IDEES okt 2017 template'!$C$142:$AN$150,'IDEES okt 2017 template'!J$130,FALSE)/J38=0,"0.7",VLOOKUP($C45,'IDEES okt 2017 template'!$C$142:$AN$150,'IDEES okt 2017 template'!J$130,FALSE)/J38),"0.7")</f>
        <v>0.88939691312296831</v>
      </c>
      <c r="K45" s="787">
        <f>IFERROR(IF(VLOOKUP($C45,'IDEES okt 2017 template'!$C$142:$AN$150,'IDEES okt 2017 template'!K$130,FALSE)/K38=0,"0.7",VLOOKUP($C45,'IDEES okt 2017 template'!$C$142:$AN$150,'IDEES okt 2017 template'!K$130,FALSE)/K38),"0.7")</f>
        <v>0.84781454393670264</v>
      </c>
      <c r="L45" s="787">
        <f>IFERROR(IF(VLOOKUP($C45,'IDEES okt 2017 template'!$C$142:$AN$150,'IDEES okt 2017 template'!L$130,FALSE)/L38=0,"0.7",VLOOKUP($C45,'IDEES okt 2017 template'!$C$142:$AN$150,'IDEES okt 2017 template'!L$130,FALSE)/L38),"0.7")</f>
        <v>0.73363853980806792</v>
      </c>
      <c r="M45" s="787">
        <f>IFERROR(IF(VLOOKUP($C45,'IDEES okt 2017 template'!$C$142:$AN$150,'IDEES okt 2017 template'!M$130,FALSE)/M38=0,"0.7",VLOOKUP($C45,'IDEES okt 2017 template'!$C$142:$AN$150,'IDEES okt 2017 template'!M$130,FALSE)/M38),"0.7")</f>
        <v>0.7092868133572775</v>
      </c>
      <c r="N45" s="787">
        <f>IFERROR(IF(VLOOKUP($C45,'IDEES okt 2017 template'!$C$142:$AN$150,'IDEES okt 2017 template'!N$130,FALSE)/N38=0,"0.7",VLOOKUP($C45,'IDEES okt 2017 template'!$C$142:$AN$150,'IDEES okt 2017 template'!N$130,FALSE)/N38),"0.7")</f>
        <v>0.83322321495026497</v>
      </c>
      <c r="O45" s="787">
        <f>IFERROR(IF(VLOOKUP($C45,'IDEES okt 2017 template'!$C$142:$AN$150,'IDEES okt 2017 template'!O$130,FALSE)/O38=0,"0.7",VLOOKUP($C45,'IDEES okt 2017 template'!$C$142:$AN$150,'IDEES okt 2017 template'!O$130,FALSE)/O38),"0.7")</f>
        <v>0.79998615803271977</v>
      </c>
      <c r="P45" s="787">
        <f>IFERROR(IF(VLOOKUP($C45,'IDEES okt 2017 template'!$C$142:$AN$150,'IDEES okt 2017 template'!P$130,FALSE)/P38=0,"0.7",VLOOKUP($C45,'IDEES okt 2017 template'!$C$142:$AN$150,'IDEES okt 2017 template'!P$130,FALSE)/P38),"0.7")</f>
        <v>0.7463307860088233</v>
      </c>
      <c r="Q45" s="787">
        <f>IFERROR(IF(VLOOKUP($C45,'IDEES okt 2017 template'!$C$142:$AN$150,'IDEES okt 2017 template'!Q$130,FALSE)/Q38=0,"0.7",VLOOKUP($C45,'IDEES okt 2017 template'!$C$142:$AN$150,'IDEES okt 2017 template'!Q$130,FALSE)/Q38),"0.7")</f>
        <v>0.70586635948528242</v>
      </c>
      <c r="R45" s="787">
        <f>IFERROR(IF(VLOOKUP($C45,'IDEES okt 2017 template'!$C$142:$AN$150,'IDEES okt 2017 template'!R$130,FALSE)/R38=0,"0.7",VLOOKUP($C45,'IDEES okt 2017 template'!$C$142:$AN$150,'IDEES okt 2017 template'!R$130,FALSE)/R38),"0.7")</f>
        <v>0.76441135034493002</v>
      </c>
      <c r="S45" s="787">
        <f>IFERROR(IF(VLOOKUP($C45,'IDEES okt 2017 template'!$C$142:$AN$150,'IDEES okt 2017 template'!S$130,FALSE)/S38=0,"0.7",VLOOKUP($C45,'IDEES okt 2017 template'!$C$142:$AN$150,'IDEES okt 2017 template'!S$130,FALSE)/S38),"0.7")</f>
        <v>0.76351422046396589</v>
      </c>
      <c r="T45" s="787">
        <f>IFERROR(IF(VLOOKUP($C45,'IDEES okt 2017 template'!$C$142:$AN$150,'IDEES okt 2017 template'!T$130,FALSE)/T38=0,"0.7",VLOOKUP($C45,'IDEES okt 2017 template'!$C$142:$AN$150,'IDEES okt 2017 template'!T$130,FALSE)/T38),"0.7")</f>
        <v>0.84781454393670264</v>
      </c>
      <c r="U45" s="787">
        <f>IFERROR(IF(VLOOKUP($C45,'IDEES okt 2017 template'!$C$142:$AN$150,'IDEES okt 2017 template'!U$130,FALSE)/U38=0,"0.7",VLOOKUP($C45,'IDEES okt 2017 template'!$C$142:$AN$150,'IDEES okt 2017 template'!U$130,FALSE)/U38),"0.7")</f>
        <v>0.7686698831846539</v>
      </c>
      <c r="V45" s="787">
        <f>IFERROR(IF(VLOOKUP($C45,'IDEES okt 2017 template'!$C$142:$AN$150,'IDEES okt 2017 template'!V$130,FALSE)/V38=0,"0.7",VLOOKUP($C45,'IDEES okt 2017 template'!$C$142:$AN$150,'IDEES okt 2017 template'!V$130,FALSE)/V38),"0.7")</f>
        <v>0.74146384022277689</v>
      </c>
      <c r="W45" s="787">
        <f>IFERROR(IF(VLOOKUP($C45,'IDEES okt 2017 template'!$C$142:$AN$150,'IDEES okt 2017 template'!W$130,FALSE)/W38=0,"0.7",VLOOKUP($C45,'IDEES okt 2017 template'!$C$142:$AN$150,'IDEES okt 2017 template'!W$130,FALSE)/W38),"0.7")</f>
        <v>0.79040869411771786</v>
      </c>
      <c r="X45" s="787">
        <f>IFERROR(IF(VLOOKUP($C45,'IDEES okt 2017 template'!$C$142:$AN$150,'IDEES okt 2017 template'!X$130,FALSE)/X38=0,"0.7",VLOOKUP($C45,'IDEES okt 2017 template'!$C$142:$AN$150,'IDEES okt 2017 template'!X$130,FALSE)/X38),"0.7")</f>
        <v>0.79542895694786908</v>
      </c>
      <c r="Y45" s="787">
        <f>IFERROR(IF(VLOOKUP($C45,'IDEES okt 2017 template'!$C$142:$AN$150,'IDEES okt 2017 template'!Y$130,FALSE)/Y38=0,"0.7",VLOOKUP($C45,'IDEES okt 2017 template'!$C$142:$AN$150,'IDEES okt 2017 template'!Y$130,FALSE)/Y38),"0.7")</f>
        <v>1.0434128957133155</v>
      </c>
      <c r="Z45" s="787">
        <f>IFERROR(IF(VLOOKUP($C45,'IDEES okt 2017 template'!$C$142:$AN$150,'IDEES okt 2017 template'!Z$130,FALSE)/Z38=0,"0.7",VLOOKUP($C45,'IDEES okt 2017 template'!$C$142:$AN$150,'IDEES okt 2017 template'!Z$130,FALSE)/Z38),"0.7")</f>
        <v>0.82267627558681988</v>
      </c>
      <c r="AA45" s="787">
        <f>IFERROR(IF(VLOOKUP($C45,'IDEES okt 2017 template'!$C$142:$AN$150,'IDEES okt 2017 template'!AA$130,FALSE)/AA38=0,"0.7",VLOOKUP($C45,'IDEES okt 2017 template'!$C$142:$AN$150,'IDEES okt 2017 template'!AA$130,FALSE)/AA38),"0.7")</f>
        <v>0.84781454393670264</v>
      </c>
      <c r="AB45" s="787">
        <f>IFERROR(IF(VLOOKUP($C45,'IDEES okt 2017 template'!$C$142:$AN$150,'IDEES okt 2017 template'!AB$130,FALSE)/AB38=0,"0.7",VLOOKUP($C45,'IDEES okt 2017 template'!$C$142:$AN$150,'IDEES okt 2017 template'!AB$130,FALSE)/AB38),"0.7")</f>
        <v>0.78322749907057254</v>
      </c>
      <c r="AC45" s="787">
        <f>IFERROR(IF(VLOOKUP($C45,'IDEES okt 2017 template'!$C$142:$AN$150,'IDEES okt 2017 template'!AC$130,FALSE)/AC38=0,"0.7",VLOOKUP($C45,'IDEES okt 2017 template'!$C$142:$AN$150,'IDEES okt 2017 template'!AC$130,FALSE)/AC38),"0.7")</f>
        <v>0.79601790830593744</v>
      </c>
      <c r="AD45" s="787">
        <f>IFERROR(IF(VLOOKUP($C45,'IDEES okt 2017 template'!$C$142:$AN$150,'IDEES okt 2017 template'!AD$130,FALSE)/AD38=0,"0.7",VLOOKUP($C45,'IDEES okt 2017 template'!$C$142:$AN$150,'IDEES okt 2017 template'!AD$130,FALSE)/AD38),"0.7")</f>
        <v>0.73191704738132024</v>
      </c>
      <c r="AE45" s="787" t="str">
        <f>IFERROR(IF(VLOOKUP($C45,'IDEES okt 2017 template'!$C$138:$AN$145,'IDEES okt 2017 template'!AE$126,FALSE)/AE38=0,"0.7",VLOOKUP($C45,'IDEES okt 2017 template'!$C$138:$AN$145,'IDEES okt 2017 template'!AE$126,FALSE)/AE38),"0.7")</f>
        <v>0.7</v>
      </c>
      <c r="AF45" s="787">
        <f>IFERROR(IF(VLOOKUP($C45,'IDEES okt 2017 template'!$C$142:$AN$150,'IDEES okt 2017 template'!AF$130,FALSE)/AF38=0,"0.7",VLOOKUP($C45,'IDEES okt 2017 template'!$C$142:$AN$150,'IDEES okt 2017 template'!AF$130,FALSE)/AF38),"0.7")</f>
        <v>0.78984392531295</v>
      </c>
      <c r="AG45" s="787">
        <f>IFERROR(IF(VLOOKUP($C45,'IDEES okt 2017 template'!$C$142:$AN$150,'IDEES okt 2017 template'!AG$130,FALSE)/AG38=0,"0.7",VLOOKUP($C45,'IDEES okt 2017 template'!$C$142:$AN$150,'IDEES okt 2017 template'!AG$130,FALSE)/AG38),"0.7")</f>
        <v>0.73957260118169432</v>
      </c>
      <c r="AH45" s="787">
        <f>IFERROR(IF(VLOOKUP($C45,'IDEES okt 2017 template'!$C$142:$AN$150,'IDEES okt 2017 template'!AH$130,FALSE)/AH38=0,"0.7",VLOOKUP($C45,'IDEES okt 2017 template'!$C$142:$AN$150,'IDEES okt 2017 template'!AH$130,FALSE)/AH38),"0.7")</f>
        <v>0.81749291886381314</v>
      </c>
      <c r="AI45" s="787">
        <f>IFERROR(IF(VLOOKUP($C45,'IDEES okt 2017 template'!$C$142:$AN$150,'IDEES okt 2017 template'!AI$130,FALSE)/AI38=0,"0.7",VLOOKUP($C45,'IDEES okt 2017 template'!$C$142:$AN$150,'IDEES okt 2017 template'!AI$130,FALSE)/AI38),"0.7")</f>
        <v>0.7463307860088233</v>
      </c>
      <c r="AJ45" s="787">
        <f>IFERROR(IF(VLOOKUP($C45,'IDEES okt 2017 template'!$C$142:$AN$150,'IDEES okt 2017 template'!AJ$130,FALSE)/AJ38=0,"0.7",VLOOKUP($C45,'IDEES okt 2017 template'!$C$142:$AN$150,'IDEES okt 2017 template'!AJ$130,FALSE)/AJ38),"0.7")</f>
        <v>0.7601637717533809</v>
      </c>
      <c r="AK45" s="787">
        <f>IFERROR(IF(VLOOKUP($C45,'IDEES okt 2017 template'!$C$142:$AN$150,'IDEES okt 2017 template'!AK$130,FALSE)/AK38=0,"0.7",VLOOKUP($C45,'IDEES okt 2017 template'!$C$142:$AN$150,'IDEES okt 2017 template'!AK$130,FALSE)/AK38),"0.7")</f>
        <v>0.7601637717533809</v>
      </c>
      <c r="AL45" s="787">
        <f>IFERROR(IF(VLOOKUP($C45,'IDEES okt 2017 template'!$C$142:$AN$150,'IDEES okt 2017 template'!AL$130,FALSE)/AL38=0,"0.7",VLOOKUP($C45,'IDEES okt 2017 template'!$C$142:$AN$150,'IDEES okt 2017 template'!AL$130,FALSE)/AL38),"0.7")</f>
        <v>0.7463307860088233</v>
      </c>
      <c r="AM45" s="787">
        <f>IFERROR(IF(VLOOKUP($C45,'IDEES okt 2017 template'!$C$142:$AN$150,'IDEES okt 2017 template'!AM$130,FALSE)/AM38=0,"0.7",VLOOKUP($C45,'IDEES okt 2017 template'!$C$142:$AN$150,'IDEES okt 2017 template'!AM$130,FALSE)/AM38),"0.7")</f>
        <v>0.7601637717533809</v>
      </c>
      <c r="AN45" s="787">
        <f>IFERROR(IF(VLOOKUP($C45,'IDEES okt 2017 template'!$C$142:$AN$150,'IDEES okt 2017 template'!AN$130,FALSE)/AN38=0,"0.7",VLOOKUP($C45,'IDEES okt 2017 template'!$C$142:$AN$150,'IDEES okt 2017 template'!AN$130,FALSE)/AN38),"0.7")</f>
        <v>0.7601637717533809</v>
      </c>
    </row>
    <row r="46" spans="1:40">
      <c r="C46" t="str">
        <f>C39</f>
        <v>Solids</v>
      </c>
      <c r="D46" s="787">
        <f>IFERROR(IF(VLOOKUP($C46,'IDEES okt 2017 template'!$C$142:$AN$150,'IDEES okt 2017 template'!D$130,FALSE)/D39=0,"0.7",VLOOKUP($C46,'IDEES okt 2017 template'!$C$142:$AN$150,'IDEES okt 2017 template'!D$130,FALSE)/D39),"0.7")</f>
        <v>0.84000944301201474</v>
      </c>
      <c r="E46" s="787">
        <f>IFERROR(IF(VLOOKUP($C46,'IDEES okt 2017 template'!$C$142:$AN$150,'IDEES okt 2017 template'!E$130,FALSE)/E39=0,"0.7",VLOOKUP($C46,'IDEES okt 2017 template'!$C$142:$AN$150,'IDEES okt 2017 template'!E$130,FALSE)/E39),"0.7")</f>
        <v>0.81351118392087329</v>
      </c>
      <c r="F46" s="787">
        <f>IFERROR(IF(VLOOKUP($C46,'IDEES okt 2017 template'!$C$142:$AN$150,'IDEES okt 2017 template'!F$130,FALSE)/F39=0,"0.7",VLOOKUP($C46,'IDEES okt 2017 template'!$C$142:$AN$150,'IDEES okt 2017 template'!F$130,FALSE)/F39),"0.7")</f>
        <v>0.76823818993776927</v>
      </c>
      <c r="G46" s="787">
        <f>IFERROR(IF(VLOOKUP($C46,'IDEES okt 2017 template'!$C$142:$AN$150,'IDEES okt 2017 template'!G$130,FALSE)/G39=0,"0.7",VLOOKUP($C46,'IDEES okt 2017 template'!$C$142:$AN$150,'IDEES okt 2017 template'!G$130,FALSE)/G39),"0.7")</f>
        <v>0.92459294417607674</v>
      </c>
      <c r="H46" s="787" t="str">
        <f>IFERROR(IF(VLOOKUP($C46,'IDEES okt 2017 template'!$C$142:$AN$150,'IDEES okt 2017 template'!H$130,FALSE)/H39=0,"0.7",VLOOKUP($C46,'IDEES okt 2017 template'!$C$142:$AN$150,'IDEES okt 2017 template'!H$130,FALSE)/H39),"0.7")</f>
        <v>0.7</v>
      </c>
      <c r="I46" s="787">
        <f>IFERROR(IF(VLOOKUP($C46,'IDEES okt 2017 template'!$C$142:$AN$150,'IDEES okt 2017 template'!I$130,FALSE)/I39=0,"0.7",VLOOKUP($C46,'IDEES okt 2017 template'!$C$142:$AN$150,'IDEES okt 2017 template'!I$130,FALSE)/I39),"0.7")</f>
        <v>0.80041513182527813</v>
      </c>
      <c r="J46" s="787">
        <f>IFERROR(IF(VLOOKUP($C46,'IDEES okt 2017 template'!$C$142:$AN$150,'IDEES okt 2017 template'!J$130,FALSE)/J39=0,"0.7",VLOOKUP($C46,'IDEES okt 2017 template'!$C$142:$AN$150,'IDEES okt 2017 template'!J$130,FALSE)/J39),"0.7")</f>
        <v>0.92459294417607674</v>
      </c>
      <c r="K46" s="787" t="str">
        <f>IFERROR(IF(VLOOKUP($C46,'IDEES okt 2017 template'!$C$142:$AN$150,'IDEES okt 2017 template'!K$130,FALSE)/K39=0,"0.7",VLOOKUP($C46,'IDEES okt 2017 template'!$C$142:$AN$150,'IDEES okt 2017 template'!K$130,FALSE)/K39),"0.7")</f>
        <v>0.7</v>
      </c>
      <c r="L46" s="787">
        <f>IFERROR(IF(VLOOKUP($C46,'IDEES okt 2017 template'!$C$142:$AN$150,'IDEES okt 2017 template'!L$130,FALSE)/L39=0,"0.7",VLOOKUP($C46,'IDEES okt 2017 template'!$C$142:$AN$150,'IDEES okt 2017 template'!L$130,FALSE)/L39),"0.7")</f>
        <v>0.77552864007769939</v>
      </c>
      <c r="M46" s="787">
        <f>IFERROR(IF(VLOOKUP($C46,'IDEES okt 2017 template'!$C$142:$AN$150,'IDEES okt 2017 template'!M$130,FALSE)/M39=0,"0.7",VLOOKUP($C46,'IDEES okt 2017 template'!$C$142:$AN$150,'IDEES okt 2017 template'!M$130,FALSE)/M39),"0.7")</f>
        <v>0.75325271367398605</v>
      </c>
      <c r="N46" s="787">
        <f>IFERROR(IF(VLOOKUP($C46,'IDEES okt 2017 template'!$C$142:$AN$150,'IDEES okt 2017 template'!N$130,FALSE)/N39=0,"0.7",VLOOKUP($C46,'IDEES okt 2017 template'!$C$142:$AN$150,'IDEES okt 2017 template'!N$130,FALSE)/N39),"0.7")</f>
        <v>0.87390787050256291</v>
      </c>
      <c r="O46" s="787">
        <f>IFERROR(IF(VLOOKUP($C46,'IDEES okt 2017 template'!$C$142:$AN$150,'IDEES okt 2017 template'!O$130,FALSE)/O39=0,"0.7",VLOOKUP($C46,'IDEES okt 2017 template'!$C$142:$AN$150,'IDEES okt 2017 template'!O$130,FALSE)/O39),"0.7")</f>
        <v>0.85293753664915428</v>
      </c>
      <c r="P46" s="787" t="str">
        <f>IFERROR(IF(VLOOKUP($C46,'IDEES okt 2017 template'!$C$142:$AN$150,'IDEES okt 2017 template'!P$130,FALSE)/P39=0,"0.7",VLOOKUP($C46,'IDEES okt 2017 template'!$C$142:$AN$150,'IDEES okt 2017 template'!P$130,FALSE)/P39),"0.7")</f>
        <v>0.7</v>
      </c>
      <c r="Q46" s="787">
        <f>IFERROR(IF(VLOOKUP($C46,'IDEES okt 2017 template'!$C$142:$AN$150,'IDEES okt 2017 template'!Q$130,FALSE)/Q39=0,"0.7",VLOOKUP($C46,'IDEES okt 2017 template'!$C$142:$AN$150,'IDEES okt 2017 template'!Q$130,FALSE)/Q39),"0.7")</f>
        <v>0.74878228771735789</v>
      </c>
      <c r="R46" s="787">
        <f>IFERROR(IF(VLOOKUP($C46,'IDEES okt 2017 template'!$C$142:$AN$150,'IDEES okt 2017 template'!R$130,FALSE)/R39=0,"0.7",VLOOKUP($C46,'IDEES okt 2017 template'!$C$142:$AN$150,'IDEES okt 2017 template'!R$130,FALSE)/R39),"0.7")</f>
        <v>0.78766540235995264</v>
      </c>
      <c r="S46" s="787">
        <f>IFERROR(IF(VLOOKUP($C46,'IDEES okt 2017 template'!$C$142:$AN$150,'IDEES okt 2017 template'!S$130,FALSE)/S39=0,"0.7",VLOOKUP($C46,'IDEES okt 2017 template'!$C$142:$AN$150,'IDEES okt 2017 template'!S$130,FALSE)/S39),"0.7")</f>
        <v>0.80013744981906032</v>
      </c>
      <c r="T46" s="787" t="str">
        <f>IFERROR(IF(VLOOKUP($C46,'IDEES okt 2017 template'!$C$142:$AN$150,'IDEES okt 2017 template'!T$130,FALSE)/T39=0,"0.7",VLOOKUP($C46,'IDEES okt 2017 template'!$C$142:$AN$150,'IDEES okt 2017 template'!T$130,FALSE)/T39),"0.7")</f>
        <v>0.7</v>
      </c>
      <c r="U46" s="787">
        <f>IFERROR(IF(VLOOKUP($C46,'IDEES okt 2017 template'!$C$142:$AN$150,'IDEES okt 2017 template'!U$130,FALSE)/U39=0,"0.7",VLOOKUP($C46,'IDEES okt 2017 template'!$C$142:$AN$150,'IDEES okt 2017 template'!U$130,FALSE)/U39),"0.7")</f>
        <v>0.79418327891432228</v>
      </c>
      <c r="V46" s="787">
        <f>IFERROR(IF(VLOOKUP($C46,'IDEES okt 2017 template'!$C$142:$AN$150,'IDEES okt 2017 template'!V$130,FALSE)/V39=0,"0.7",VLOOKUP($C46,'IDEES okt 2017 template'!$C$142:$AN$150,'IDEES okt 2017 template'!V$130,FALSE)/V39),"0.7")</f>
        <v>0.80856567448048</v>
      </c>
      <c r="W46" s="787">
        <f>IFERROR(IF(VLOOKUP($C46,'IDEES okt 2017 template'!$C$142:$AN$150,'IDEES okt 2017 template'!W$130,FALSE)/W39=0,"0.7",VLOOKUP($C46,'IDEES okt 2017 template'!$C$142:$AN$150,'IDEES okt 2017 template'!W$130,FALSE)/W39),"0.7")</f>
        <v>0.84657514339166795</v>
      </c>
      <c r="X46" s="787">
        <f>IFERROR(IF(VLOOKUP($C46,'IDEES okt 2017 template'!$C$142:$AN$150,'IDEES okt 2017 template'!X$130,FALSE)/X39=0,"0.7",VLOOKUP($C46,'IDEES okt 2017 template'!$C$142:$AN$150,'IDEES okt 2017 template'!X$130,FALSE)/X39),"0.7")</f>
        <v>0.82834230248009677</v>
      </c>
      <c r="Y46" s="787" t="str">
        <f>IFERROR(IF(VLOOKUP($C46,'IDEES okt 2017 template'!$C$142:$AN$150,'IDEES okt 2017 template'!Y$130,FALSE)/Y39=0,"0.7",VLOOKUP($C46,'IDEES okt 2017 template'!$C$142:$AN$150,'IDEES okt 2017 template'!Y$130,FALSE)/Y39),"0.7")</f>
        <v>0.7</v>
      </c>
      <c r="Z46" s="787">
        <f>IFERROR(IF(VLOOKUP($C46,'IDEES okt 2017 template'!$C$142:$AN$150,'IDEES okt 2017 template'!Z$130,FALSE)/Z39=0,"0.7",VLOOKUP($C46,'IDEES okt 2017 template'!$C$142:$AN$150,'IDEES okt 2017 template'!Z$130,FALSE)/Z39),"0.7")</f>
        <v>0.87282859281482128</v>
      </c>
      <c r="AA46" s="787" t="str">
        <f>IFERROR(IF(VLOOKUP($C46,'IDEES okt 2017 template'!$C$142:$AN$150,'IDEES okt 2017 template'!AA$130,FALSE)/AA39=0,"0.7",VLOOKUP($C46,'IDEES okt 2017 template'!$C$142:$AN$150,'IDEES okt 2017 template'!AA$130,FALSE)/AA39),"0.7")</f>
        <v>0.7</v>
      </c>
      <c r="AB46" s="787">
        <f>IFERROR(IF(VLOOKUP($C46,'IDEES okt 2017 template'!$C$142:$AN$150,'IDEES okt 2017 template'!AB$130,FALSE)/AB39=0,"0.7",VLOOKUP($C46,'IDEES okt 2017 template'!$C$142:$AN$150,'IDEES okt 2017 template'!AB$130,FALSE)/AB39),"0.7")</f>
        <v>0.8373533662291277</v>
      </c>
      <c r="AC46" s="787" t="str">
        <f>IFERROR(IF(VLOOKUP($C46,'IDEES okt 2017 template'!$C$142:$AN$150,'IDEES okt 2017 template'!AC$130,FALSE)/AC39=0,"0.7",VLOOKUP($C46,'IDEES okt 2017 template'!$C$142:$AN$150,'IDEES okt 2017 template'!AC$130,FALSE)/AC39),"0.7")</f>
        <v>0.7</v>
      </c>
      <c r="AD46" s="787">
        <f>IFERROR(IF(VLOOKUP($C46,'IDEES okt 2017 template'!$C$142:$AN$150,'IDEES okt 2017 template'!AD$130,FALSE)/AD39=0,"0.7",VLOOKUP($C46,'IDEES okt 2017 template'!$C$142:$AN$150,'IDEES okt 2017 template'!AD$130,FALSE)/AD39),"0.7")</f>
        <v>0.78986581106219267</v>
      </c>
      <c r="AE46" s="787" t="str">
        <f>IFERROR(IF(VLOOKUP($C46,'IDEES okt 2017 template'!$C$142:$AN$150,'IDEES okt 2017 template'!AE$130,FALSE)/AE39=0,"0.7",VLOOKUP($C46,'IDEES okt 2017 template'!$C$142:$AN$150,'IDEES okt 2017 template'!AE$130,FALSE)/AE39),"0.7")</f>
        <v>0.7</v>
      </c>
      <c r="AF46" s="787">
        <f>IFERROR(IF(VLOOKUP($C46,'IDEES okt 2017 template'!$C$142:$AN$150,'IDEES okt 2017 template'!AF$130,FALSE)/AF39=0,"0.7",VLOOKUP($C46,'IDEES okt 2017 template'!$C$142:$AN$150,'IDEES okt 2017 template'!AF$130,FALSE)/AF39),"0.7")</f>
        <v>0.82758004338518987</v>
      </c>
      <c r="AG46" s="787">
        <f>IFERROR(IF(VLOOKUP($C46,'IDEES okt 2017 template'!$C$142:$AN$150,'IDEES okt 2017 template'!AG$130,FALSE)/AG39=0,"0.7",VLOOKUP($C46,'IDEES okt 2017 template'!$C$142:$AN$150,'IDEES okt 2017 template'!AG$130,FALSE)/AG39),"0.7")</f>
        <v>0.8013895131480343</v>
      </c>
      <c r="AH46" s="787">
        <f>IFERROR(IF(VLOOKUP($C46,'IDEES okt 2017 template'!$C$142:$AN$150,'IDEES okt 2017 template'!AH$130,FALSE)/AH39=0,"0.7",VLOOKUP($C46,'IDEES okt 2017 template'!$C$142:$AN$150,'IDEES okt 2017 template'!AH$130,FALSE)/AH39),"0.7")</f>
        <v>0.82867758316744888</v>
      </c>
      <c r="AI46" s="787" t="str">
        <f>IFERROR(IF(VLOOKUP($C46,'IDEES okt 2017 template'!$C$142:$AN$150,'IDEES okt 2017 template'!AI$130,FALSE)/AI39=0,"0.7",VLOOKUP($C46,'IDEES okt 2017 template'!$C$142:$AN$150,'IDEES okt 2017 template'!AI$130,FALSE)/AI39),"0.7")</f>
        <v>0.7</v>
      </c>
      <c r="AJ46" s="787">
        <f>IFERROR(IF(VLOOKUP($C46,'IDEES okt 2017 template'!$C$142:$AN$150,'IDEES okt 2017 template'!AJ$130,FALSE)/AJ39=0,"0.7",VLOOKUP($C46,'IDEES okt 2017 template'!$C$142:$AN$150,'IDEES okt 2017 template'!AJ$130,FALSE)/AJ39),"0.7")</f>
        <v>0.8111808116938044</v>
      </c>
      <c r="AK46" s="787">
        <f>IFERROR(IF(VLOOKUP($C46,'IDEES okt 2017 template'!$C$142:$AN$150,'IDEES okt 2017 template'!AK$130,FALSE)/AK39=0,"0.7",VLOOKUP($C46,'IDEES okt 2017 template'!$C$142:$AN$150,'IDEES okt 2017 template'!AK$130,FALSE)/AK39),"0.7")</f>
        <v>0.8111808116938044</v>
      </c>
      <c r="AL46" s="787" t="str">
        <f>IFERROR(IF(VLOOKUP($C46,'IDEES okt 2017 template'!$C$142:$AN$150,'IDEES okt 2017 template'!AL$130,FALSE)/AL39=0,"0.7",VLOOKUP($C46,'IDEES okt 2017 template'!$C$142:$AN$150,'IDEES okt 2017 template'!AL$130,FALSE)/AL39),"0.7")</f>
        <v>0.7</v>
      </c>
      <c r="AM46" s="787">
        <f>IFERROR(IF(VLOOKUP($C46,'IDEES okt 2017 template'!$C$142:$AN$150,'IDEES okt 2017 template'!AM$130,FALSE)/AM39=0,"0.7",VLOOKUP($C46,'IDEES okt 2017 template'!$C$142:$AN$150,'IDEES okt 2017 template'!AM$130,FALSE)/AM39),"0.7")</f>
        <v>0.8111808116938044</v>
      </c>
      <c r="AN46" s="787">
        <f>IFERROR(IF(VLOOKUP($C46,'IDEES okt 2017 template'!$C$142:$AN$150,'IDEES okt 2017 template'!AN$130,FALSE)/AN39=0,"0.7",VLOOKUP($C46,'IDEES okt 2017 template'!$C$142:$AN$150,'IDEES okt 2017 template'!AN$130,FALSE)/AN39),"0.7")</f>
        <v>0.8111808116938044</v>
      </c>
    </row>
    <row r="47" spans="1:40">
      <c r="D47" s="496"/>
      <c r="E47" s="496"/>
      <c r="F47" s="496"/>
      <c r="G47" s="496"/>
      <c r="H47" s="496"/>
      <c r="I47" s="496"/>
      <c r="J47" s="496"/>
      <c r="K47" s="496"/>
      <c r="L47" s="496"/>
      <c r="M47" s="496"/>
      <c r="N47" s="496"/>
      <c r="O47" s="496"/>
      <c r="P47" s="496"/>
      <c r="Q47" s="496"/>
      <c r="R47" s="496"/>
      <c r="S47" s="496"/>
      <c r="T47" s="496"/>
      <c r="U47" s="496"/>
      <c r="V47" s="496"/>
      <c r="W47" s="496"/>
      <c r="X47" s="496"/>
      <c r="Y47" s="496"/>
      <c r="Z47" s="496"/>
      <c r="AA47" s="496"/>
      <c r="AB47" s="496"/>
      <c r="AC47" s="496"/>
      <c r="AD47" s="496"/>
      <c r="AE47" s="496"/>
      <c r="AF47" s="496"/>
      <c r="AG47" s="496"/>
      <c r="AH47" s="496"/>
    </row>
    <row r="48" spans="1:40" ht="18">
      <c r="A48" s="524" t="s">
        <v>540</v>
      </c>
      <c r="D48" s="544" t="str">
        <f>D$2</f>
        <v>AT</v>
      </c>
      <c r="E48" s="545" t="str">
        <f t="shared" ref="E48:AN48" si="6">E$2</f>
        <v>BE</v>
      </c>
      <c r="F48" s="545" t="str">
        <f t="shared" si="6"/>
        <v>BG</v>
      </c>
      <c r="G48" s="545" t="str">
        <f t="shared" si="6"/>
        <v>CH</v>
      </c>
      <c r="H48" s="545" t="str">
        <f t="shared" si="6"/>
        <v>CY</v>
      </c>
      <c r="I48" s="545" t="str">
        <f t="shared" si="6"/>
        <v>CZ</v>
      </c>
      <c r="J48" s="545" t="str">
        <f t="shared" si="6"/>
        <v>DE</v>
      </c>
      <c r="K48" s="545" t="str">
        <f t="shared" si="6"/>
        <v>DK</v>
      </c>
      <c r="L48" s="545" t="str">
        <f t="shared" si="6"/>
        <v>EE</v>
      </c>
      <c r="M48" s="545" t="str">
        <f t="shared" si="6"/>
        <v>ES</v>
      </c>
      <c r="N48" s="545" t="str">
        <f t="shared" si="6"/>
        <v>FI</v>
      </c>
      <c r="O48" s="545" t="str">
        <f t="shared" si="6"/>
        <v>FR</v>
      </c>
      <c r="P48" s="545" t="str">
        <f t="shared" si="6"/>
        <v>EL</v>
      </c>
      <c r="Q48" s="545" t="str">
        <f t="shared" si="6"/>
        <v>HR</v>
      </c>
      <c r="R48" s="545" t="str">
        <f t="shared" si="6"/>
        <v>HU</v>
      </c>
      <c r="S48" s="545" t="str">
        <f t="shared" si="6"/>
        <v>IE</v>
      </c>
      <c r="T48" s="545" t="str">
        <f t="shared" si="6"/>
        <v>IS</v>
      </c>
      <c r="U48" s="545" t="str">
        <f t="shared" si="6"/>
        <v>IT</v>
      </c>
      <c r="V48" s="545" t="str">
        <f t="shared" si="6"/>
        <v>LT</v>
      </c>
      <c r="W48" s="545" t="str">
        <f t="shared" si="6"/>
        <v>LU</v>
      </c>
      <c r="X48" s="545" t="str">
        <f t="shared" si="6"/>
        <v>LV</v>
      </c>
      <c r="Y48" s="545" t="str">
        <f t="shared" si="6"/>
        <v>MT</v>
      </c>
      <c r="Z48" s="545" t="str">
        <f t="shared" si="6"/>
        <v>NL</v>
      </c>
      <c r="AA48" s="545" t="str">
        <f t="shared" si="6"/>
        <v>NO</v>
      </c>
      <c r="AB48" s="545" t="str">
        <f t="shared" si="6"/>
        <v>PL</v>
      </c>
      <c r="AC48" s="545" t="str">
        <f t="shared" si="6"/>
        <v>PT</v>
      </c>
      <c r="AD48" s="545" t="str">
        <f t="shared" si="6"/>
        <v>RO</v>
      </c>
      <c r="AE48" s="545" t="str">
        <f t="shared" si="6"/>
        <v>SE</v>
      </c>
      <c r="AF48" s="545" t="str">
        <f t="shared" si="6"/>
        <v>SI</v>
      </c>
      <c r="AG48" s="545" t="str">
        <f t="shared" si="6"/>
        <v>SK</v>
      </c>
      <c r="AH48" s="545" t="str">
        <f t="shared" si="6"/>
        <v>UK</v>
      </c>
      <c r="AI48" s="545" t="str">
        <f t="shared" si="6"/>
        <v>AL</v>
      </c>
      <c r="AJ48" s="545" t="str">
        <f t="shared" si="6"/>
        <v>BA</v>
      </c>
      <c r="AK48" s="545" t="str">
        <f t="shared" si="6"/>
        <v>ME</v>
      </c>
      <c r="AL48" s="545" t="str">
        <f t="shared" si="6"/>
        <v>MK</v>
      </c>
      <c r="AM48" s="545" t="str">
        <f t="shared" si="6"/>
        <v>RS</v>
      </c>
      <c r="AN48" s="546" t="str">
        <f t="shared" si="6"/>
        <v>KS</v>
      </c>
    </row>
    <row r="49" spans="2:40">
      <c r="B49" s="333" t="s">
        <v>65</v>
      </c>
      <c r="C49" s="141" t="s">
        <v>2</v>
      </c>
      <c r="D49" s="549">
        <f>Detached!D47/'All Stock'!D$9</f>
        <v>1.6427741390761821</v>
      </c>
      <c r="E49" s="549">
        <f>Detached!E47/'All Stock'!E$9</f>
        <v>1.3357405132852855</v>
      </c>
      <c r="F49" s="549">
        <f>Detached!F47/'All Stock'!F$9</f>
        <v>1.7377965870570513</v>
      </c>
      <c r="G49" s="549">
        <f>Detached!G47/'All Stock'!G$9</f>
        <v>1.7161105378369717</v>
      </c>
      <c r="H49" s="549">
        <f>Detached!H47/'All Stock'!H$9</f>
        <v>1.4584437705281148</v>
      </c>
      <c r="I49" s="549">
        <f>Detached!I47/'All Stock'!I$9</f>
        <v>1.6371681487483298</v>
      </c>
      <c r="J49" s="549">
        <f>Detached!J47/'All Stock'!J$9</f>
        <v>1.9411831243225957</v>
      </c>
      <c r="K49" s="549">
        <f>Detached!K47/'All Stock'!K$9</f>
        <v>1.4934909978247752</v>
      </c>
      <c r="L49" s="549">
        <f>Detached!L47/'All Stock'!L$9</f>
        <v>1.7705682594945951</v>
      </c>
      <c r="M49" s="549">
        <f>Detached!M47/'All Stock'!M$9</f>
        <v>2.0781954026114997</v>
      </c>
      <c r="N49" s="549">
        <f>Detached!N47/'All Stock'!N$9</f>
        <v>1.7067766716390809</v>
      </c>
      <c r="O49" s="549">
        <f>Detached!O47/'All Stock'!O$9</f>
        <v>1.9362573223808353</v>
      </c>
      <c r="P49" s="549">
        <f>Detached!P47/'All Stock'!P$9</f>
        <v>1.4407150625470704</v>
      </c>
      <c r="Q49" s="549">
        <f>Detached!Q47/'All Stock'!Q$9</f>
        <v>1.4538599962052323</v>
      </c>
      <c r="R49" s="549">
        <f>Detached!R47/'All Stock'!R$9</f>
        <v>1.3849008832504401</v>
      </c>
      <c r="S49" s="549">
        <f>Detached!S47/'All Stock'!S$9</f>
        <v>1.7744089692027594</v>
      </c>
      <c r="T49" s="549">
        <f>Detached!T47/'All Stock'!T$9</f>
        <v>1.6600663571147021</v>
      </c>
      <c r="U49" s="549">
        <f>Detached!U47/'All Stock'!U$9</f>
        <v>2.0823172787517419</v>
      </c>
      <c r="V49" s="549">
        <f>Detached!V47/'All Stock'!V$9</f>
        <v>1.6354988104516106</v>
      </c>
      <c r="W49" s="549">
        <f>Detached!W47/'All Stock'!W$9</f>
        <v>1.846123001894679</v>
      </c>
      <c r="X49" s="549">
        <f>Detached!X47/'All Stock'!X$9</f>
        <v>1.7012911497736567</v>
      </c>
      <c r="Y49" s="549">
        <f>Detached!Y47/'All Stock'!Y$9</f>
        <v>1.6332193260490411</v>
      </c>
      <c r="Z49" s="549">
        <f>Detached!Z47/'All Stock'!Z$9</f>
        <v>1.9008665696070373</v>
      </c>
      <c r="AA49" s="549">
        <f>Detached!AA47/'All Stock'!AA$9</f>
        <v>1.6575262632165475</v>
      </c>
      <c r="AB49" s="549">
        <f>Detached!AB47/'All Stock'!AB$9</f>
        <v>2.0514475920738224</v>
      </c>
      <c r="AC49" s="549">
        <f>Detached!AC47/'All Stock'!AC$9</f>
        <v>1.5760674189399531</v>
      </c>
      <c r="AD49" s="549">
        <f>Detached!AD47/'All Stock'!AD$9</f>
        <v>1.5002564242689229</v>
      </c>
      <c r="AE49" s="549">
        <f>Detached!AE47/'All Stock'!AE$9</f>
        <v>1.4799714638206007</v>
      </c>
      <c r="AF49" s="549">
        <f>Detached!AF47/'All Stock'!AF$9</f>
        <v>1.5534631095814679</v>
      </c>
      <c r="AG49" s="549">
        <f>Detached!AG47/'All Stock'!AG$9</f>
        <v>1.5730547685660057</v>
      </c>
      <c r="AH49" s="549">
        <f>Detached!AH47/'All Stock'!AH$9</f>
        <v>1.5377346897395685</v>
      </c>
      <c r="AI49" s="549">
        <f>Detached!AI47/'All Stock'!AI$9</f>
        <v>1.5687136350826827</v>
      </c>
      <c r="AJ49" s="549">
        <f>Detached!AJ47/'All Stock'!AJ$9</f>
        <v>1.4533997951736515</v>
      </c>
      <c r="AK49" s="549">
        <f>Detached!AK47/'All Stock'!AK$9</f>
        <v>1.5694729254570245</v>
      </c>
      <c r="AL49" s="549">
        <f>Detached!AL47/'All Stock'!AL$9</f>
        <v>1.6320882463899895</v>
      </c>
      <c r="AM49" s="549">
        <f>Detached!AM47/'All Stock'!AM$9</f>
        <v>1.4533997951736517</v>
      </c>
      <c r="AN49" s="550">
        <f>Detached!AN47/'All Stock'!AN$9</f>
        <v>1.4533997951736517</v>
      </c>
    </row>
    <row r="50" spans="2:40">
      <c r="B50" s="372"/>
      <c r="C50" s="142" t="s">
        <v>3</v>
      </c>
      <c r="D50" s="525">
        <f>Detached!D48/'All Stock'!D$9</f>
        <v>1.5299625801534369</v>
      </c>
      <c r="E50" s="525">
        <f>Detached!E48/'All Stock'!E$9</f>
        <v>1.3357405132852855</v>
      </c>
      <c r="F50" s="525">
        <f>Detached!F48/'All Stock'!F$9</f>
        <v>1.7377965870570513</v>
      </c>
      <c r="G50" s="525">
        <f>Detached!G48/'All Stock'!G$9</f>
        <v>1.5982628675747594</v>
      </c>
      <c r="H50" s="525">
        <f>Detached!H48/'All Stock'!H$9</f>
        <v>1.374646295405745</v>
      </c>
      <c r="I50" s="525">
        <f>Detached!I48/'All Stock'!I$9</f>
        <v>1.4046805951094277</v>
      </c>
      <c r="J50" s="525">
        <f>Detached!J48/'All Stock'!J$9</f>
        <v>1.676788713915438</v>
      </c>
      <c r="K50" s="525">
        <f>Detached!K48/'All Stock'!K$9</f>
        <v>1.4511879911164125</v>
      </c>
      <c r="L50" s="525">
        <f>Detached!L48/'All Stock'!L$9</f>
        <v>1.7705682594945951</v>
      </c>
      <c r="M50" s="525">
        <f>Detached!M48/'All Stock'!M$9</f>
        <v>1.8954431426233813</v>
      </c>
      <c r="N50" s="525">
        <f>Detached!N48/'All Stock'!N$9</f>
        <v>1.577725939199274</v>
      </c>
      <c r="O50" s="525">
        <f>Detached!O48/'All Stock'!O$9</f>
        <v>1.9362573223808353</v>
      </c>
      <c r="P50" s="525">
        <f>Detached!P48/'All Stock'!P$9</f>
        <v>1.4407150625470704</v>
      </c>
      <c r="Q50" s="525">
        <f>Detached!Q48/'All Stock'!Q$9</f>
        <v>1.5255957029158658</v>
      </c>
      <c r="R50" s="525">
        <f>Detached!R48/'All Stock'!R$9</f>
        <v>1.3849008832504401</v>
      </c>
      <c r="S50" s="525">
        <f>Detached!S48/'All Stock'!S$9</f>
        <v>1.7973196004993941</v>
      </c>
      <c r="T50" s="525">
        <f>Detached!T48/'All Stock'!T$9</f>
        <v>1.5345474284556888</v>
      </c>
      <c r="U50" s="525">
        <f>Detached!U48/'All Stock'!U$9</f>
        <v>1.9862558610032226</v>
      </c>
      <c r="V50" s="525">
        <f>Detached!V48/'All Stock'!V$9</f>
        <v>1.6354988104516106</v>
      </c>
      <c r="W50" s="525">
        <f>Detached!W48/'All Stock'!W$9</f>
        <v>1.8765646243239154</v>
      </c>
      <c r="X50" s="525">
        <f>Detached!X48/'All Stock'!X$9</f>
        <v>1.6780364061976023</v>
      </c>
      <c r="Y50" s="525">
        <f>Detached!Y48/'All Stock'!Y$9</f>
        <v>1.6312298752186583</v>
      </c>
      <c r="Z50" s="525">
        <f>Detached!Z48/'All Stock'!Z$9</f>
        <v>1.5593421082365073</v>
      </c>
      <c r="AA50" s="525">
        <f>Detached!AA48/'All Stock'!AA$9</f>
        <v>1.6501466878023552</v>
      </c>
      <c r="AB50" s="525">
        <f>Detached!AB48/'All Stock'!AB$9</f>
        <v>1.5085339486732583</v>
      </c>
      <c r="AC50" s="525">
        <f>Detached!AC48/'All Stock'!AC$9</f>
        <v>1.4442493041627584</v>
      </c>
      <c r="AD50" s="525">
        <f>Detached!AD48/'All Stock'!AD$9</f>
        <v>1.3710109445517868</v>
      </c>
      <c r="AE50" s="525">
        <f>Detached!AE48/'All Stock'!AE$9</f>
        <v>1.4733823911341013</v>
      </c>
      <c r="AF50" s="525">
        <f>Detached!AF48/'All Stock'!AF$9</f>
        <v>1.5534631095814679</v>
      </c>
      <c r="AG50" s="525">
        <f>Detached!AG48/'All Stock'!AG$9</f>
        <v>1.3548804821980485</v>
      </c>
      <c r="AH50" s="525">
        <f>Detached!AH48/'All Stock'!AH$9</f>
        <v>1.6061228418163787</v>
      </c>
      <c r="AI50" s="525">
        <f>Detached!AI48/'All Stock'!AI$9</f>
        <v>1.5687136350826827</v>
      </c>
      <c r="AJ50" s="525">
        <f>Detached!AJ48/'All Stock'!AJ$9</f>
        <v>1.4533997951736515</v>
      </c>
      <c r="AK50" s="525">
        <f>Detached!AK48/'All Stock'!AK$9</f>
        <v>1.5694729254570245</v>
      </c>
      <c r="AL50" s="525">
        <f>Detached!AL48/'All Stock'!AL$9</f>
        <v>1.6320882463899895</v>
      </c>
      <c r="AM50" s="525">
        <f>Detached!AM48/'All Stock'!AM$9</f>
        <v>1.4533997951736517</v>
      </c>
      <c r="AN50" s="551">
        <f>Detached!AN48/'All Stock'!AN$9</f>
        <v>1.4533997951736517</v>
      </c>
    </row>
    <row r="51" spans="2:40">
      <c r="B51" s="372"/>
      <c r="C51" s="142" t="s">
        <v>4</v>
      </c>
      <c r="D51" s="525">
        <f>Detached!D49/'All Stock'!D$9</f>
        <v>1.2287762909439084</v>
      </c>
      <c r="E51" s="525">
        <f>Detached!E49/'All Stock'!E$9</f>
        <v>1.3357405132852855</v>
      </c>
      <c r="F51" s="525">
        <f>Detached!F49/'All Stock'!F$9</f>
        <v>1.6487277939903267</v>
      </c>
      <c r="G51" s="525">
        <f>Detached!G49/'All Stock'!G$9</f>
        <v>1.2836310795097561</v>
      </c>
      <c r="H51" s="525">
        <f>Detached!H49/'All Stock'!H$9</f>
        <v>1.4358458379595243</v>
      </c>
      <c r="I51" s="525">
        <f>Detached!I49/'All Stock'!I$9</f>
        <v>1.4046805951094277</v>
      </c>
      <c r="J51" s="525">
        <f>Detached!J49/'All Stock'!J$9</f>
        <v>1.1176243141873587</v>
      </c>
      <c r="K51" s="525">
        <f>Detached!K49/'All Stock'!K$9</f>
        <v>1.0273665503079887</v>
      </c>
      <c r="L51" s="525">
        <f>Detached!L49/'All Stock'!L$9</f>
        <v>1.4805753249084952</v>
      </c>
      <c r="M51" s="525">
        <f>Detached!M49/'All Stock'!M$9</f>
        <v>1.8954431426233813</v>
      </c>
      <c r="N51" s="525">
        <f>Detached!N49/'All Stock'!N$9</f>
        <v>1.3193463060211748</v>
      </c>
      <c r="O51" s="525">
        <f>Detached!O49/'All Stock'!O$9</f>
        <v>0.95825452228973707</v>
      </c>
      <c r="P51" s="525">
        <f>Detached!P49/'All Stock'!P$9</f>
        <v>1.4407150625470704</v>
      </c>
      <c r="Q51" s="525">
        <f>Detached!Q49/'All Stock'!Q$9</f>
        <v>1.3234944914191751</v>
      </c>
      <c r="R51" s="525">
        <f>Detached!R49/'All Stock'!R$9</f>
        <v>1.2184054800063431</v>
      </c>
      <c r="S51" s="525">
        <f>Detached!S49/'All Stock'!S$9</f>
        <v>1.569698416044059</v>
      </c>
      <c r="T51" s="525">
        <f>Detached!T49/'All Stock'!T$9</f>
        <v>1.2832390156270288</v>
      </c>
      <c r="U51" s="525">
        <f>Detached!U49/'All Stock'!U$9</f>
        <v>1.8696454376399845</v>
      </c>
      <c r="V51" s="525">
        <f>Detached!V49/'All Stock'!V$9</f>
        <v>1.0843991179006269</v>
      </c>
      <c r="W51" s="525">
        <f>Detached!W49/'All Stock'!W$9</f>
        <v>1.09083990094649</v>
      </c>
      <c r="X51" s="525">
        <f>Detached!X49/'All Stock'!X$9</f>
        <v>1.5679323581956115</v>
      </c>
      <c r="Y51" s="525">
        <f>Detached!Y49/'All Stock'!Y$9</f>
        <v>1.3877682162988394</v>
      </c>
      <c r="Z51" s="525">
        <f>Detached!Z49/'All Stock'!Z$9</f>
        <v>1.5139854881314017</v>
      </c>
      <c r="AA51" s="525">
        <f>Detached!AA49/'All Stock'!AA$9</f>
        <v>1.2084385365352932</v>
      </c>
      <c r="AB51" s="525">
        <f>Detached!AB49/'All Stock'!AB$9</f>
        <v>1.1009149912144871</v>
      </c>
      <c r="AC51" s="525">
        <f>Detached!AC49/'All Stock'!AC$9</f>
        <v>1.420162147511282</v>
      </c>
      <c r="AD51" s="525">
        <f>Detached!AD49/'All Stock'!AD$9</f>
        <v>1.3710109445517868</v>
      </c>
      <c r="AE51" s="525">
        <f>Detached!AE49/'All Stock'!AE$9</f>
        <v>1.0789901732131471</v>
      </c>
      <c r="AF51" s="525">
        <f>Detached!AF49/'All Stock'!AF$9</f>
        <v>1.4311722134612133</v>
      </c>
      <c r="AG51" s="525">
        <f>Detached!AG49/'All Stock'!AG$9</f>
        <v>1.3548804821980485</v>
      </c>
      <c r="AH51" s="525">
        <f>Detached!AH49/'All Stock'!AH$9</f>
        <v>1.2853770642327931</v>
      </c>
      <c r="AI51" s="525">
        <f>Detached!AI49/'All Stock'!AI$9</f>
        <v>1.5687136350826827</v>
      </c>
      <c r="AJ51" s="525">
        <f>Detached!AJ49/'All Stock'!AJ$9</f>
        <v>1.4533997951736515</v>
      </c>
      <c r="AK51" s="525">
        <f>Detached!AK49/'All Stock'!AK$9</f>
        <v>1.5694729254570245</v>
      </c>
      <c r="AL51" s="525">
        <f>Detached!AL49/'All Stock'!AL$9</f>
        <v>1.5473445446410468</v>
      </c>
      <c r="AM51" s="525">
        <f>Detached!AM49/'All Stock'!AM$9</f>
        <v>1.4533997951736517</v>
      </c>
      <c r="AN51" s="551">
        <f>Detached!AN49/'All Stock'!AN$9</f>
        <v>1.4533997951736517</v>
      </c>
    </row>
    <row r="52" spans="2:40">
      <c r="B52" s="372"/>
      <c r="C52" s="142" t="s">
        <v>5</v>
      </c>
      <c r="D52" s="525">
        <f>Detached!D50/'All Stock'!D$9</f>
        <v>0.85778523962962239</v>
      </c>
      <c r="E52" s="525">
        <f>Detached!E50/'All Stock'!E$9</f>
        <v>1.1412654648026261</v>
      </c>
      <c r="F52" s="525">
        <f>Detached!F50/'All Stock'!F$9</f>
        <v>1.4430085590259381</v>
      </c>
      <c r="G52" s="525">
        <f>Detached!G50/'All Stock'!G$9</f>
        <v>0.896078318932644</v>
      </c>
      <c r="H52" s="525">
        <f>Detached!H50/'All Stock'!H$9</f>
        <v>1.3984242676682004</v>
      </c>
      <c r="I52" s="525">
        <f>Detached!I50/'All Stock'!I$9</f>
        <v>1.2706524568226749</v>
      </c>
      <c r="J52" s="525">
        <f>Detached!J50/'All Stock'!J$9</f>
        <v>0.90565283672322916</v>
      </c>
      <c r="K52" s="525">
        <f>Detached!K50/'All Stock'!K$9</f>
        <v>0.8739527013551418</v>
      </c>
      <c r="L52" s="525">
        <f>Detached!L50/'All Stock'!L$9</f>
        <v>1.1032907879895506</v>
      </c>
      <c r="M52" s="525">
        <f>Detached!M50/'All Stock'!M$9</f>
        <v>1.2665710093263065</v>
      </c>
      <c r="N52" s="525">
        <f>Detached!N50/'All Stock'!N$9</f>
        <v>1.0862790633627373</v>
      </c>
      <c r="O52" s="525">
        <f>Detached!O50/'All Stock'!O$9</f>
        <v>0.82205894476667596</v>
      </c>
      <c r="P52" s="525">
        <f>Detached!P50/'All Stock'!P$9</f>
        <v>1.4042601836345596</v>
      </c>
      <c r="Q52" s="525">
        <f>Detached!Q50/'All Stock'!Q$9</f>
        <v>1.3234944914191751</v>
      </c>
      <c r="R52" s="525">
        <f>Detached!R50/'All Stock'!R$9</f>
        <v>0.93048307141282238</v>
      </c>
      <c r="S52" s="525">
        <f>Detached!S50/'All Stock'!S$9</f>
        <v>1.0641573267449997</v>
      </c>
      <c r="T52" s="525">
        <f>Detached!T50/'All Stock'!T$9</f>
        <v>1.0565502549286534</v>
      </c>
      <c r="U52" s="525">
        <f>Detached!U50/'All Stock'!U$9</f>
        <v>1.4424058429534299</v>
      </c>
      <c r="V52" s="525">
        <f>Detached!V50/'All Stock'!V$9</f>
        <v>1.0843991179006269</v>
      </c>
      <c r="W52" s="525">
        <f>Detached!W50/'All Stock'!W$9</f>
        <v>0.89927210589497708</v>
      </c>
      <c r="X52" s="525">
        <f>Detached!X50/'All Stock'!X$9</f>
        <v>0.94067522303740936</v>
      </c>
      <c r="Y52" s="525">
        <f>Detached!Y50/'All Stock'!Y$9</f>
        <v>1.2898418307865958</v>
      </c>
      <c r="Z52" s="525">
        <f>Detached!Z50/'All Stock'!Z$9</f>
        <v>0.99617640164885546</v>
      </c>
      <c r="AA52" s="525">
        <f>Detached!AA50/'All Stock'!AA$9</f>
        <v>1.1901218679428498</v>
      </c>
      <c r="AB52" s="525">
        <f>Detached!AB50/'All Stock'!AB$9</f>
        <v>1.1009149912144871</v>
      </c>
      <c r="AC52" s="525">
        <f>Detached!AC50/'All Stock'!AC$9</f>
        <v>1.3851450719430334</v>
      </c>
      <c r="AD52" s="525">
        <f>Detached!AD50/'All Stock'!AD$9</f>
        <v>1.1798884178715734</v>
      </c>
      <c r="AE52" s="525">
        <f>Detached!AE50/'All Stock'!AE$9</f>
        <v>1.0626355926368669</v>
      </c>
      <c r="AF52" s="525">
        <f>Detached!AF50/'All Stock'!AF$9</f>
        <v>1.101837050794553</v>
      </c>
      <c r="AG52" s="525">
        <f>Detached!AG50/'All Stock'!AG$9</f>
        <v>1.1545263592460766</v>
      </c>
      <c r="AH52" s="525">
        <f>Detached!AH50/'All Stock'!AH$9</f>
        <v>0.80871210905367652</v>
      </c>
      <c r="AI52" s="525">
        <f>Detached!AI50/'All Stock'!AI$9</f>
        <v>1.5290199669160978</v>
      </c>
      <c r="AJ52" s="525">
        <f>Detached!AJ50/'All Stock'!AJ$9</f>
        <v>1.2803312589609643</v>
      </c>
      <c r="AK52" s="525">
        <f>Detached!AK50/'All Stock'!AK$9</f>
        <v>1.3722432696724329</v>
      </c>
      <c r="AL52" s="525">
        <f>Detached!AL50/'All Stock'!AL$9</f>
        <v>1.3518126073928187</v>
      </c>
      <c r="AM52" s="525">
        <f>Detached!AM50/'All Stock'!AM$9</f>
        <v>1.2803312589609646</v>
      </c>
      <c r="AN52" s="551">
        <f>Detached!AN50/'All Stock'!AN$9</f>
        <v>1.2803312589609646</v>
      </c>
    </row>
    <row r="53" spans="2:40">
      <c r="B53" s="204"/>
      <c r="C53" s="142" t="s">
        <v>6</v>
      </c>
      <c r="D53" s="525">
        <f>Detached!D51/'All Stock'!D$9</f>
        <v>0.73452232240084891</v>
      </c>
      <c r="E53" s="525">
        <f>Detached!E51/'All Stock'!E$9</f>
        <v>1.1412654648026261</v>
      </c>
      <c r="F53" s="525">
        <f>Detached!F51/'All Stock'!F$9</f>
        <v>1.1790440521768077</v>
      </c>
      <c r="G53" s="525">
        <f>Detached!G51/'All Stock'!G$9</f>
        <v>0.76731272289046337</v>
      </c>
      <c r="H53" s="525">
        <f>Detached!H51/'All Stock'!H$9</f>
        <v>1.1987987632385886</v>
      </c>
      <c r="I53" s="525">
        <f>Detached!I51/'All Stock'!I$9</f>
        <v>0.97951375884417513</v>
      </c>
      <c r="J53" s="525">
        <f>Detached!J51/'All Stock'!J$9</f>
        <v>0.53989317697436323</v>
      </c>
      <c r="K53" s="525">
        <f>Detached!K51/'All Stock'!K$9</f>
        <v>0.8739527013551418</v>
      </c>
      <c r="L53" s="525">
        <f>Detached!L51/'All Stock'!L$9</f>
        <v>0.96840342544603708</v>
      </c>
      <c r="M53" s="525">
        <f>Detached!M51/'All Stock'!M$9</f>
        <v>1.2665710093263065</v>
      </c>
      <c r="N53" s="525">
        <f>Detached!N51/'All Stock'!N$9</f>
        <v>1.0742926668068522</v>
      </c>
      <c r="O53" s="525">
        <f>Detached!O51/'All Stock'!O$9</f>
        <v>0.48897137795855272</v>
      </c>
      <c r="P53" s="525">
        <f>Detached!P51/'All Stock'!P$9</f>
        <v>1.4042601836345596</v>
      </c>
      <c r="Q53" s="525">
        <f>Detached!Q51/'All Stock'!Q$9</f>
        <v>0.96403590609180967</v>
      </c>
      <c r="R53" s="525">
        <f>Detached!R51/'All Stock'!R$9</f>
        <v>0.93048307141282238</v>
      </c>
      <c r="S53" s="525">
        <f>Detached!S51/'All Stock'!S$9</f>
        <v>0.92111400146464073</v>
      </c>
      <c r="T53" s="525">
        <f>Detached!T51/'All Stock'!T$9</f>
        <v>1.0448918968106276</v>
      </c>
      <c r="U53" s="525">
        <f>Detached!U51/'All Stock'!U$9</f>
        <v>1.3422683266730235</v>
      </c>
      <c r="V53" s="525">
        <f>Detached!V51/'All Stock'!V$9</f>
        <v>1.0843991179006269</v>
      </c>
      <c r="W53" s="525">
        <f>Detached!W51/'All Stock'!W$9</f>
        <v>0.76899067941075472</v>
      </c>
      <c r="X53" s="525">
        <f>Detached!X51/'All Stock'!X$9</f>
        <v>0.92700663155103613</v>
      </c>
      <c r="Y53" s="525">
        <f>Detached!Y51/'All Stock'!Y$9</f>
        <v>1.2710778505468698</v>
      </c>
      <c r="Z53" s="525">
        <f>Detached!Z51/'All Stock'!Z$9</f>
        <v>0.89216817418641925</v>
      </c>
      <c r="AA53" s="525">
        <f>Detached!AA51/'All Stock'!AA$9</f>
        <v>1.0860595120281222</v>
      </c>
      <c r="AB53" s="525">
        <f>Detached!AB51/'All Stock'!AB$9</f>
        <v>1.1009149912144871</v>
      </c>
      <c r="AC53" s="525">
        <f>Detached!AC51/'All Stock'!AC$9</f>
        <v>1.2878362522578619</v>
      </c>
      <c r="AD53" s="525">
        <f>Detached!AD51/'All Stock'!AD$9</f>
        <v>1.1798884178715734</v>
      </c>
      <c r="AE53" s="525">
        <f>Detached!AE51/'All Stock'!AE$9</f>
        <v>0.96972043308284961</v>
      </c>
      <c r="AF53" s="525">
        <f>Detached!AF51/'All Stock'!AF$9</f>
        <v>0.81346189691186221</v>
      </c>
      <c r="AG53" s="525">
        <f>Detached!AG51/'All Stock'!AG$9</f>
        <v>1.0650383679334841</v>
      </c>
      <c r="AH53" s="525">
        <f>Detached!AH51/'All Stock'!AH$9</f>
        <v>0.59637519266224981</v>
      </c>
      <c r="AI53" s="525">
        <f>Detached!AI51/'All Stock'!AI$9</f>
        <v>1.5290199669160978</v>
      </c>
      <c r="AJ53" s="525">
        <f>Detached!AJ51/'All Stock'!AJ$9</f>
        <v>1.2241526896125614</v>
      </c>
      <c r="AK53" s="525">
        <f>Detached!AK51/'All Stock'!AK$9</f>
        <v>1.3061803599269788</v>
      </c>
      <c r="AL53" s="525">
        <f>Detached!AL51/'All Stock'!AL$9</f>
        <v>1.0993796673740084</v>
      </c>
      <c r="AM53" s="525">
        <f>Detached!AM51/'All Stock'!AM$9</f>
        <v>1.2241526896125619</v>
      </c>
      <c r="AN53" s="551">
        <f>Detached!AN51/'All Stock'!AN$9</f>
        <v>1.2241526896125619</v>
      </c>
    </row>
    <row r="54" spans="2:40">
      <c r="B54" s="408"/>
      <c r="C54" s="142" t="s">
        <v>7</v>
      </c>
      <c r="D54" s="525">
        <f>Detached!D52/'All Stock'!D$9</f>
        <v>0.65320850378380257</v>
      </c>
      <c r="E54" s="525">
        <f>Detached!E52/'All Stock'!E$9</f>
        <v>0.68487329055600166</v>
      </c>
      <c r="F54" s="525">
        <f>Detached!F52/'All Stock'!F$9</f>
        <v>0.82098967742517059</v>
      </c>
      <c r="G54" s="525">
        <f>Detached!G52/'All Stock'!G$9</f>
        <v>0.68236890883763812</v>
      </c>
      <c r="H54" s="525">
        <f>Detached!H52/'All Stock'!H$9</f>
        <v>1.0548515297400403</v>
      </c>
      <c r="I54" s="525">
        <f>Detached!I52/'All Stock'!I$9</f>
        <v>0.7706724884223376</v>
      </c>
      <c r="J54" s="525">
        <f>Detached!J52/'All Stock'!J$9</f>
        <v>0.58163380345491134</v>
      </c>
      <c r="K54" s="525">
        <f>Detached!K52/'All Stock'!K$9</f>
        <v>0.63806203184295307</v>
      </c>
      <c r="L54" s="525">
        <f>Detached!L52/'All Stock'!L$9</f>
        <v>0.96840342544603708</v>
      </c>
      <c r="M54" s="525">
        <f>Detached!M52/'All Stock'!M$9</f>
        <v>0.86604194637531351</v>
      </c>
      <c r="N54" s="525">
        <f>Detached!N52/'All Stock'!N$9</f>
        <v>0.96243035706895508</v>
      </c>
      <c r="O54" s="525">
        <f>Detached!O52/'All Stock'!O$9</f>
        <v>0.47292842661984802</v>
      </c>
      <c r="P54" s="525">
        <f>Detached!P52/'All Stock'!P$9</f>
        <v>0.56875094774210899</v>
      </c>
      <c r="Q54" s="525">
        <f>Detached!Q52/'All Stock'!Q$9</f>
        <v>0.61592116560227517</v>
      </c>
      <c r="R54" s="525">
        <f>Detached!R52/'All Stock'!R$9</f>
        <v>0.57544148187147681</v>
      </c>
      <c r="S54" s="525">
        <f>Detached!S52/'All Stock'!S$9</f>
        <v>0.59443689983826953</v>
      </c>
      <c r="T54" s="525">
        <f>Detached!T52/'All Stock'!T$9</f>
        <v>0.93609098564824722</v>
      </c>
      <c r="U54" s="525">
        <f>Detached!U52/'All Stock'!U$9</f>
        <v>1.2656609657527078</v>
      </c>
      <c r="V54" s="525">
        <f>Detached!V52/'All Stock'!V$9</f>
        <v>0.65995508043339601</v>
      </c>
      <c r="W54" s="525">
        <f>Detached!W52/'All Stock'!W$9</f>
        <v>0.62259141933151385</v>
      </c>
      <c r="X54" s="525">
        <f>Detached!X52/'All Stock'!X$9</f>
        <v>0.60065586524248016</v>
      </c>
      <c r="Y54" s="525">
        <f>Detached!Y52/'All Stock'!Y$9</f>
        <v>1.2219769607015847</v>
      </c>
      <c r="Z54" s="525">
        <f>Detached!Z52/'All Stock'!Z$9</f>
        <v>0.63677081716943129</v>
      </c>
      <c r="AA54" s="525">
        <f>Detached!AA52/'All Stock'!AA$9</f>
        <v>0.94542536906014296</v>
      </c>
      <c r="AB54" s="525">
        <f>Detached!AB52/'All Stock'!AB$9</f>
        <v>0.88212132060738058</v>
      </c>
      <c r="AC54" s="525">
        <f>Detached!AC52/'All Stock'!AC$9</f>
        <v>0.87935224645523469</v>
      </c>
      <c r="AD54" s="525">
        <f>Detached!AD52/'All Stock'!AD$9</f>
        <v>0.91843955306092873</v>
      </c>
      <c r="AE54" s="525">
        <f>Detached!AE52/'All Stock'!AE$9</f>
        <v>0.84415106923604288</v>
      </c>
      <c r="AF54" s="525">
        <f>Detached!AF52/'All Stock'!AF$9</f>
        <v>0.48162452613214651</v>
      </c>
      <c r="AG54" s="525">
        <f>Detached!AG52/'All Stock'!AG$9</f>
        <v>0.63999257878659177</v>
      </c>
      <c r="AH54" s="525">
        <f>Detached!AH52/'All Stock'!AH$9</f>
        <v>0.50058274564639316</v>
      </c>
      <c r="AI54" s="525">
        <f>Detached!AI52/'All Stock'!AI$9</f>
        <v>0.61928093200600853</v>
      </c>
      <c r="AJ54" s="525">
        <f>Detached!AJ52/'All Stock'!AJ$9</f>
        <v>1.060489032469113</v>
      </c>
      <c r="AK54" s="525">
        <f>Detached!AK52/'All Stock'!AK$9</f>
        <v>1.133546049817203</v>
      </c>
      <c r="AL54" s="525">
        <f>Detached!AL52/'All Stock'!AL$9</f>
        <v>0.76339754062107534</v>
      </c>
      <c r="AM54" s="525">
        <f>Detached!AM52/'All Stock'!AM$9</f>
        <v>1.060489032469113</v>
      </c>
      <c r="AN54" s="551">
        <f>Detached!AN52/'All Stock'!AN$9</f>
        <v>1.060489032469113</v>
      </c>
    </row>
    <row r="55" spans="2:40">
      <c r="B55" s="204" t="s">
        <v>85</v>
      </c>
      <c r="C55" s="142" t="s">
        <v>2</v>
      </c>
      <c r="D55" s="525">
        <f>Semidetached!D48/'All Stock'!D$9</f>
        <v>1.2794315392411124</v>
      </c>
      <c r="E55" s="525">
        <f>Semidetached!E48/'All Stock'!E$9</f>
        <v>1.0119336114672584</v>
      </c>
      <c r="F55" s="525">
        <f>Semidetached!F48/'All Stock'!F$9</f>
        <v>1.3338854431808018</v>
      </c>
      <c r="G55" s="525">
        <f>Semidetached!G48/'All Stock'!G$9</f>
        <v>1.3190770413185513</v>
      </c>
      <c r="H55" s="525">
        <f>Semidetached!H48/'All Stock'!H$9</f>
        <v>1.2142877740028288</v>
      </c>
      <c r="I55" s="525">
        <f>Semidetached!I48/'All Stock'!I$9</f>
        <v>1.2880505013675891</v>
      </c>
      <c r="J55" s="525">
        <f>Semidetached!J48/'All Stock'!J$9</f>
        <v>1.4983129139284868</v>
      </c>
      <c r="K55" s="525">
        <f>Semidetached!K48/'All Stock'!K$9</f>
        <v>1.1156964891419439</v>
      </c>
      <c r="L55" s="525">
        <f>Semidetached!L48/'All Stock'!L$9</f>
        <v>1.3156730096286671</v>
      </c>
      <c r="M55" s="525">
        <f>Semidetached!M48/'All Stock'!M$9</f>
        <v>1.5682692041028377</v>
      </c>
      <c r="N55" s="525">
        <f>Semidetached!N48/'All Stock'!N$9</f>
        <v>1.2537312077693263</v>
      </c>
      <c r="O55" s="525">
        <f>Semidetached!O48/'All Stock'!O$9</f>
        <v>1.5219206651881483</v>
      </c>
      <c r="P55" s="525">
        <f>Semidetached!P48/'All Stock'!P$9</f>
        <v>1.2283411992670465</v>
      </c>
      <c r="Q55" s="525">
        <f>Semidetached!Q48/'All Stock'!Q$9</f>
        <v>1.0617182538720231</v>
      </c>
      <c r="R55" s="525">
        <f>Semidetached!R48/'All Stock'!R$9</f>
        <v>1.0772710656830979</v>
      </c>
      <c r="S55" s="525">
        <f>Semidetached!S48/'All Stock'!S$9</f>
        <v>1.355674262898187</v>
      </c>
      <c r="T55" s="525">
        <f>Semidetached!T48/'All Stock'!T$9</f>
        <v>1.2147834426264117</v>
      </c>
      <c r="U55" s="525">
        <f>Semidetached!U48/'All Stock'!U$9</f>
        <v>1.5753787782121154</v>
      </c>
      <c r="V55" s="525">
        <f>Semidetached!V48/'All Stock'!V$9</f>
        <v>1.2706607931654879</v>
      </c>
      <c r="W55" s="525">
        <f>Semidetached!W48/'All Stock'!W$9</f>
        <v>1.4362241898108346</v>
      </c>
      <c r="X55" s="525">
        <f>Semidetached!X48/'All Stock'!X$9</f>
        <v>1.3210623759517615</v>
      </c>
      <c r="Y55" s="525">
        <f>Semidetached!Y48/'All Stock'!Y$9</f>
        <v>1.2249317075322541</v>
      </c>
      <c r="Z55" s="525">
        <f>Semidetached!Z48/'All Stock'!Z$9</f>
        <v>1.4567736662637525</v>
      </c>
      <c r="AA55" s="525">
        <f>Semidetached!AA48/'All Stock'!AA$9</f>
        <v>1.1596583529537121</v>
      </c>
      <c r="AB55" s="525">
        <f>Semidetached!AB48/'All Stock'!AB$9</f>
        <v>1.6054643545092782</v>
      </c>
      <c r="AC55" s="525">
        <f>Semidetached!AC48/'All Stock'!AC$9</f>
        <v>1.2662044897453302</v>
      </c>
      <c r="AD55" s="525">
        <f>Semidetached!AD48/'All Stock'!AD$9</f>
        <v>1.1916565234278309</v>
      </c>
      <c r="AE55" s="525">
        <f>Semidetached!AE48/'All Stock'!AE$9</f>
        <v>1.0450519105031402</v>
      </c>
      <c r="AF55" s="525">
        <f>Semidetached!AF48/'All Stock'!AF$9</f>
        <v>1.2212968341961581</v>
      </c>
      <c r="AG55" s="525">
        <f>Semidetached!AG48/'All Stock'!AG$9</f>
        <v>1.262771634185174</v>
      </c>
      <c r="AH55" s="525">
        <f>Semidetached!AH48/'All Stock'!AH$9</f>
        <v>1.147831255456935</v>
      </c>
      <c r="AI55" s="525">
        <f>Semidetached!AI48/'All Stock'!AI$9</f>
        <v>1.2976190771546319</v>
      </c>
      <c r="AJ55" s="525">
        <f>Semidetached!AJ48/'All Stock'!AJ$9</f>
        <v>1.1049358446145237</v>
      </c>
      <c r="AK55" s="525">
        <f>Semidetached!AK48/'All Stock'!AK$9</f>
        <v>1.1945722828162717</v>
      </c>
      <c r="AL55" s="525">
        <f>Semidetached!AL48/'All Stock'!AL$9</f>
        <v>1.2546155779089567</v>
      </c>
      <c r="AM55" s="525">
        <f>Semidetached!AM48/'All Stock'!AM$9</f>
        <v>1.1049358446145239</v>
      </c>
      <c r="AN55" s="551">
        <f>Semidetached!AN48/'All Stock'!AN$9</f>
        <v>1.1049358446145239</v>
      </c>
    </row>
    <row r="56" spans="2:40">
      <c r="B56" s="204"/>
      <c r="C56" s="142" t="s">
        <v>3</v>
      </c>
      <c r="D56" s="525">
        <f>Semidetached!D49/'All Stock'!D$9</f>
        <v>1.2024034035347735</v>
      </c>
      <c r="E56" s="525">
        <f>Semidetached!E49/'All Stock'!E$9</f>
        <v>1.0119336114672584</v>
      </c>
      <c r="F56" s="525">
        <f>Semidetached!F49/'All Stock'!F$9</f>
        <v>1.3338854431808018</v>
      </c>
      <c r="G56" s="525">
        <f>Semidetached!G49/'All Stock'!G$9</f>
        <v>1.2406080139547959</v>
      </c>
      <c r="H56" s="525">
        <f>Semidetached!H49/'All Stock'!H$9</f>
        <v>1.1540243034456665</v>
      </c>
      <c r="I56" s="525">
        <f>Semidetached!I49/'All Stock'!I$9</f>
        <v>1.0567599121233326</v>
      </c>
      <c r="J56" s="525">
        <f>Semidetached!J49/'All Stock'!J$9</f>
        <v>1.3335967938764772</v>
      </c>
      <c r="K56" s="525">
        <f>Semidetached!K49/'All Stock'!K$9</f>
        <v>1.0739724309181047</v>
      </c>
      <c r="L56" s="525">
        <f>Semidetached!L49/'All Stock'!L$9</f>
        <v>1.3156730096286671</v>
      </c>
      <c r="M56" s="525">
        <f>Semidetached!M49/'All Stock'!M$9</f>
        <v>1.4219531812533504</v>
      </c>
      <c r="N56" s="525">
        <f>Semidetached!N49/'All Stock'!N$9</f>
        <v>1.1316932616745439</v>
      </c>
      <c r="O56" s="525">
        <f>Semidetached!O49/'All Stock'!O$9</f>
        <v>1.5219206651881483</v>
      </c>
      <c r="P56" s="525">
        <f>Semidetached!P49/'All Stock'!P$9</f>
        <v>1.2283411992670465</v>
      </c>
      <c r="Q56" s="525">
        <f>Semidetached!Q49/'All Stock'!Q$9</f>
        <v>1.1173563756460987</v>
      </c>
      <c r="R56" s="525">
        <f>Semidetached!R49/'All Stock'!R$9</f>
        <v>1.0772710656830979</v>
      </c>
      <c r="S56" s="525">
        <f>Semidetached!S49/'All Stock'!S$9</f>
        <v>1.3789905427213767</v>
      </c>
      <c r="T56" s="525">
        <f>Semidetached!T49/'All Stock'!T$9</f>
        <v>1.096198099520596</v>
      </c>
      <c r="U56" s="525">
        <f>Semidetached!U49/'All Stock'!U$9</f>
        <v>1.5017556394997498</v>
      </c>
      <c r="V56" s="525">
        <f>Semidetached!V49/'All Stock'!V$9</f>
        <v>1.2706607931654879</v>
      </c>
      <c r="W56" s="525">
        <f>Semidetached!W49/'All Stock'!W$9</f>
        <v>1.4445714522239079</v>
      </c>
      <c r="X56" s="525">
        <f>Semidetached!X49/'All Stock'!X$9</f>
        <v>1.3110032843574251</v>
      </c>
      <c r="Y56" s="525">
        <f>Semidetached!Y49/'All Stock'!Y$9</f>
        <v>1.2228913598273004</v>
      </c>
      <c r="Z56" s="525">
        <f>Semidetached!Z49/'All Stock'!Z$9</f>
        <v>1.1621758578355705</v>
      </c>
      <c r="AA56" s="525">
        <f>Semidetached!AA49/'All Stock'!AA$9</f>
        <v>1.1565436351399185</v>
      </c>
      <c r="AB56" s="525">
        <f>Semidetached!AB49/'All Stock'!AB$9</f>
        <v>1.1666094780383232</v>
      </c>
      <c r="AC56" s="525">
        <f>Semidetached!AC49/'All Stock'!AC$9</f>
        <v>1.1705176194382367</v>
      </c>
      <c r="AD56" s="525">
        <f>Semidetached!AD49/'All Stock'!AD$9</f>
        <v>1.0817819770181238</v>
      </c>
      <c r="AE56" s="525">
        <f>Semidetached!AE49/'All Stock'!AE$9</f>
        <v>1.0422025736173834</v>
      </c>
      <c r="AF56" s="525">
        <f>Semidetached!AF49/'All Stock'!AF$9</f>
        <v>1.2212968341961581</v>
      </c>
      <c r="AG56" s="525">
        <f>Semidetached!AG49/'All Stock'!AG$9</f>
        <v>1.0690443507967677</v>
      </c>
      <c r="AH56" s="525">
        <f>Semidetached!AH49/'All Stock'!AH$9</f>
        <v>1.2039208208515526</v>
      </c>
      <c r="AI56" s="525">
        <f>Semidetached!AI49/'All Stock'!AI$9</f>
        <v>1.2976190771546319</v>
      </c>
      <c r="AJ56" s="525">
        <f>Semidetached!AJ49/'All Stock'!AJ$9</f>
        <v>1.1049358446145237</v>
      </c>
      <c r="AK56" s="525">
        <f>Semidetached!AK49/'All Stock'!AK$9</f>
        <v>1.1945722828162717</v>
      </c>
      <c r="AL56" s="525">
        <f>Semidetached!AL49/'All Stock'!AL$9</f>
        <v>1.2546155779089567</v>
      </c>
      <c r="AM56" s="525">
        <f>Semidetached!AM49/'All Stock'!AM$9</f>
        <v>1.1049358446145239</v>
      </c>
      <c r="AN56" s="551">
        <f>Semidetached!AN49/'All Stock'!AN$9</f>
        <v>1.1049358446145239</v>
      </c>
    </row>
    <row r="57" spans="2:40">
      <c r="B57" s="204"/>
      <c r="C57" s="142" t="s">
        <v>4</v>
      </c>
      <c r="D57" s="525">
        <f>Semidetached!D50/'All Stock'!D$9</f>
        <v>0.94457185037125835</v>
      </c>
      <c r="E57" s="525">
        <f>Semidetached!E50/'All Stock'!E$9</f>
        <v>1.0119336114672584</v>
      </c>
      <c r="F57" s="525">
        <f>Semidetached!F50/'All Stock'!F$9</f>
        <v>1.2567706529985572</v>
      </c>
      <c r="G57" s="525">
        <f>Semidetached!G50/'All Stock'!G$9</f>
        <v>0.97352294814509832</v>
      </c>
      <c r="H57" s="525">
        <f>Semidetached!H50/'All Stock'!H$9</f>
        <v>1.152711791899754</v>
      </c>
      <c r="I57" s="525">
        <f>Semidetached!I50/'All Stock'!I$9</f>
        <v>1.0567599121233326</v>
      </c>
      <c r="J57" s="525">
        <f>Semidetached!J50/'All Stock'!J$9</f>
        <v>0.8347072703174695</v>
      </c>
      <c r="K57" s="525">
        <f>Semidetached!K50/'All Stock'!K$9</f>
        <v>0.71854530856420018</v>
      </c>
      <c r="L57" s="525">
        <f>Semidetached!L50/'All Stock'!L$9</f>
        <v>1.0663682190249508</v>
      </c>
      <c r="M57" s="525">
        <f>Semidetached!M50/'All Stock'!M$9</f>
        <v>1.4219531812533504</v>
      </c>
      <c r="N57" s="525">
        <f>Semidetached!N50/'All Stock'!N$9</f>
        <v>0.92777562430612193</v>
      </c>
      <c r="O57" s="525">
        <f>Semidetached!O50/'All Stock'!O$9</f>
        <v>0.69727291098627564</v>
      </c>
      <c r="P57" s="525">
        <f>Semidetached!P50/'All Stock'!P$9</f>
        <v>1.2283411992670465</v>
      </c>
      <c r="Q57" s="525">
        <f>Semidetached!Q50/'All Stock'!Q$9</f>
        <v>1.0055072385022055</v>
      </c>
      <c r="R57" s="525">
        <f>Semidetached!R50/'All Stock'!R$9</f>
        <v>0.93958656990707956</v>
      </c>
      <c r="S57" s="525">
        <f>Semidetached!S50/'All Stock'!S$9</f>
        <v>1.1464056513324332</v>
      </c>
      <c r="T57" s="525">
        <f>Semidetached!T50/'All Stock'!T$9</f>
        <v>0.89852230445842829</v>
      </c>
      <c r="U57" s="525">
        <f>Semidetached!U50/'All Stock'!U$9</f>
        <v>1.4180143339555291</v>
      </c>
      <c r="V57" s="525">
        <f>Semidetached!V50/'All Stock'!V$9</f>
        <v>0.81788394172122103</v>
      </c>
      <c r="W57" s="525">
        <f>Semidetached!W50/'All Stock'!W$9</f>
        <v>0.79508531375753033</v>
      </c>
      <c r="X57" s="525">
        <f>Semidetached!X50/'All Stock'!X$9</f>
        <v>1.2152882002662242</v>
      </c>
      <c r="Y57" s="525">
        <f>Semidetached!Y50/'All Stock'!Y$9</f>
        <v>1.0537806314084508</v>
      </c>
      <c r="Z57" s="525">
        <f>Semidetached!Z50/'All Stock'!Z$9</f>
        <v>1.1157822033028164</v>
      </c>
      <c r="AA57" s="525">
        <f>Semidetached!AA50/'All Stock'!AA$9</f>
        <v>0.78420773631642871</v>
      </c>
      <c r="AB57" s="525">
        <f>Semidetached!AB50/'All Stock'!AB$9</f>
        <v>0.84007495549029298</v>
      </c>
      <c r="AC57" s="525">
        <f>Semidetached!AC50/'All Stock'!AC$9</f>
        <v>1.1462136481525562</v>
      </c>
      <c r="AD57" s="525">
        <f>Semidetached!AD50/'All Stock'!AD$9</f>
        <v>1.0817819770181238</v>
      </c>
      <c r="AE57" s="525">
        <f>Semidetached!AE50/'All Stock'!AE$9</f>
        <v>0.70795643399456387</v>
      </c>
      <c r="AF57" s="525">
        <f>Semidetached!AF50/'All Stock'!AF$9</f>
        <v>1.112019548911954</v>
      </c>
      <c r="AG57" s="525">
        <f>Semidetached!AG50/'All Stock'!AG$9</f>
        <v>1.0690443507967677</v>
      </c>
      <c r="AH57" s="525">
        <f>Semidetached!AH50/'All Stock'!AH$9</f>
        <v>0.92634776288540843</v>
      </c>
      <c r="AI57" s="525">
        <f>Semidetached!AI50/'All Stock'!AI$9</f>
        <v>1.2976190771546319</v>
      </c>
      <c r="AJ57" s="525">
        <f>Semidetached!AJ50/'All Stock'!AJ$9</f>
        <v>1.1049358446145237</v>
      </c>
      <c r="AK57" s="525">
        <f>Semidetached!AK50/'All Stock'!AK$9</f>
        <v>1.1945722828162717</v>
      </c>
      <c r="AL57" s="525">
        <f>Semidetached!AL50/'All Stock'!AL$9</f>
        <v>1.1815172360392292</v>
      </c>
      <c r="AM57" s="525">
        <f>Semidetached!AM50/'All Stock'!AM$9</f>
        <v>1.1049358446145239</v>
      </c>
      <c r="AN57" s="551">
        <f>Semidetached!AN50/'All Stock'!AN$9</f>
        <v>1.1049358446145239</v>
      </c>
    </row>
    <row r="58" spans="2:40">
      <c r="B58" s="204"/>
      <c r="C58" s="142" t="s">
        <v>5</v>
      </c>
      <c r="D58" s="525">
        <f>Semidetached!D51/'All Stock'!D$9</f>
        <v>0.64363700131692325</v>
      </c>
      <c r="E58" s="525">
        <f>Semidetached!E51/'All Stock'!E$9</f>
        <v>0.85211470964648139</v>
      </c>
      <c r="F58" s="525">
        <f>Semidetached!F51/'All Stock'!F$9</f>
        <v>1.0806582107571565</v>
      </c>
      <c r="G58" s="525">
        <f>Semidetached!G51/'All Stock'!G$9</f>
        <v>0.66259717399835527</v>
      </c>
      <c r="H58" s="525">
        <f>Semidetached!H51/'All Stock'!H$9</f>
        <v>1.1145390641733619</v>
      </c>
      <c r="I58" s="525">
        <f>Semidetached!I51/'All Stock'!I$9</f>
        <v>0.93598123506526409</v>
      </c>
      <c r="J58" s="525">
        <f>Semidetached!J51/'All Stock'!J$9</f>
        <v>0.64105783799930971</v>
      </c>
      <c r="K58" s="525">
        <f>Semidetached!K51/'All Stock'!K$9</f>
        <v>0.59833734341761713</v>
      </c>
      <c r="L58" s="525">
        <f>Semidetached!L51/'All Stock'!L$9</f>
        <v>0.80352469541787963</v>
      </c>
      <c r="M58" s="525">
        <f>Semidetached!M51/'All Stock'!M$9</f>
        <v>0.92724767595035573</v>
      </c>
      <c r="N58" s="525">
        <f>Semidetached!N51/'All Stock'!N$9</f>
        <v>0.75983997013271065</v>
      </c>
      <c r="O58" s="525">
        <f>Semidetached!O51/'All Stock'!O$9</f>
        <v>0.59268996488702519</v>
      </c>
      <c r="P58" s="525">
        <f>Semidetached!P51/'All Stock'!P$9</f>
        <v>1.1912778805688302</v>
      </c>
      <c r="Q58" s="525">
        <f>Semidetached!Q51/'All Stock'!Q$9</f>
        <v>1.0055072385022055</v>
      </c>
      <c r="R58" s="525">
        <f>Semidetached!R51/'All Stock'!R$9</f>
        <v>0.70079948587882501</v>
      </c>
      <c r="S58" s="525">
        <f>Semidetached!S51/'All Stock'!S$9</f>
        <v>0.74130543173114671</v>
      </c>
      <c r="T58" s="525">
        <f>Semidetached!T51/'All Stock'!T$9</f>
        <v>0.73588802717947754</v>
      </c>
      <c r="U58" s="525">
        <f>Semidetached!U51/'All Stock'!U$9</f>
        <v>1.127350032606842</v>
      </c>
      <c r="V58" s="525">
        <f>Semidetached!V51/'All Stock'!V$9</f>
        <v>0.81788394172122103</v>
      </c>
      <c r="W58" s="525">
        <f>Semidetached!W51/'All Stock'!W$9</f>
        <v>0.6727778660163739</v>
      </c>
      <c r="X58" s="525">
        <f>Semidetached!X51/'All Stock'!X$9</f>
        <v>0.69313261314854469</v>
      </c>
      <c r="Y58" s="525">
        <f>Semidetached!Y51/'All Stock'!Y$9</f>
        <v>0.9533395990173178</v>
      </c>
      <c r="Z58" s="525">
        <f>Semidetached!Z51/'All Stock'!Z$9</f>
        <v>0.72201649309744009</v>
      </c>
      <c r="AA58" s="525">
        <f>Semidetached!AA51/'All Stock'!AA$9</f>
        <v>0.77636778374416915</v>
      </c>
      <c r="AB58" s="525">
        <f>Semidetached!AB51/'All Stock'!AB$9</f>
        <v>0.84007495549029298</v>
      </c>
      <c r="AC58" s="525">
        <f>Semidetached!AC51/'All Stock'!AC$9</f>
        <v>1.1161647783299902</v>
      </c>
      <c r="AD58" s="525">
        <f>Semidetached!AD51/'All Stock'!AD$9</f>
        <v>0.92780456250400478</v>
      </c>
      <c r="AE58" s="525">
        <f>Semidetached!AE51/'All Stock'!AE$9</f>
        <v>0.70078681555848832</v>
      </c>
      <c r="AF58" s="525">
        <f>Semidetached!AF51/'All Stock'!AF$9</f>
        <v>0.87011761888517725</v>
      </c>
      <c r="AG58" s="525">
        <f>Semidetached!AG51/'All Stock'!AG$9</f>
        <v>0.91665458869004313</v>
      </c>
      <c r="AH58" s="525">
        <f>Semidetached!AH51/'All Stock'!AH$9</f>
        <v>0.54508166715723638</v>
      </c>
      <c r="AI58" s="525">
        <f>Semidetached!AI51/'All Stock'!AI$9</f>
        <v>1.2573128193630281</v>
      </c>
      <c r="AJ58" s="525">
        <f>Semidetached!AJ51/'All Stock'!AJ$9</f>
        <v>0.95315449640569605</v>
      </c>
      <c r="AK58" s="525">
        <f>Semidetached!AK51/'All Stock'!AK$9</f>
        <v>1.0243398175487883</v>
      </c>
      <c r="AL58" s="525">
        <f>Semidetached!AL51/'All Stock'!AL$9</f>
        <v>1.0148087225299935</v>
      </c>
      <c r="AM58" s="525">
        <f>Semidetached!AM51/'All Stock'!AM$9</f>
        <v>0.95315449640569627</v>
      </c>
      <c r="AN58" s="551">
        <f>Semidetached!AN51/'All Stock'!AN$9</f>
        <v>0.95315449640569616</v>
      </c>
    </row>
    <row r="59" spans="2:40">
      <c r="B59" s="204"/>
      <c r="C59" s="142" t="s">
        <v>6</v>
      </c>
      <c r="D59" s="525">
        <f>Semidetached!D52/'All Stock'!D$9</f>
        <v>0.55187314385111319</v>
      </c>
      <c r="E59" s="525">
        <f>Semidetached!E52/'All Stock'!E$9</f>
        <v>0.85211470964648139</v>
      </c>
      <c r="F59" s="525">
        <f>Semidetached!F52/'All Stock'!F$9</f>
        <v>0.83947875266140604</v>
      </c>
      <c r="G59" s="525">
        <f>Semidetached!G52/'All Stock'!G$9</f>
        <v>0.56829882597351689</v>
      </c>
      <c r="H59" s="525">
        <f>Semidetached!H52/'All Stock'!H$9</f>
        <v>1.0331578320889774</v>
      </c>
      <c r="I59" s="525">
        <f>Semidetached!I52/'All Stock'!I$9</f>
        <v>0.70821853078970798</v>
      </c>
      <c r="J59" s="525">
        <f>Semidetached!J52/'All Stock'!J$9</f>
        <v>0.38198285746438138</v>
      </c>
      <c r="K59" s="525">
        <f>Semidetached!K52/'All Stock'!K$9</f>
        <v>0.59833734341761713</v>
      </c>
      <c r="L59" s="525">
        <f>Semidetached!L52/'All Stock'!L$9</f>
        <v>0.68533923749345904</v>
      </c>
      <c r="M59" s="525">
        <f>Semidetached!M52/'All Stock'!M$9</f>
        <v>0.92724767595035573</v>
      </c>
      <c r="N59" s="525">
        <f>Semidetached!N52/'All Stock'!N$9</f>
        <v>0.74892659392585947</v>
      </c>
      <c r="O59" s="525">
        <f>Semidetached!O52/'All Stock'!O$9</f>
        <v>0.34730175020613951</v>
      </c>
      <c r="P59" s="525">
        <f>Semidetached!P52/'All Stock'!P$9</f>
        <v>1.1912778805688302</v>
      </c>
      <c r="Q59" s="525">
        <f>Semidetached!Q52/'All Stock'!Q$9</f>
        <v>0.71701331967098303</v>
      </c>
      <c r="R59" s="525">
        <f>Semidetached!R52/'All Stock'!R$9</f>
        <v>0.70079948587882501</v>
      </c>
      <c r="S59" s="525">
        <f>Semidetached!S52/'All Stock'!S$9</f>
        <v>0.63792775932684631</v>
      </c>
      <c r="T59" s="525">
        <f>Semidetached!T52/'All Stock'!T$9</f>
        <v>0.72528965274210111</v>
      </c>
      <c r="U59" s="525">
        <f>Semidetached!U52/'All Stock'!U$9</f>
        <v>1.0452790285248776</v>
      </c>
      <c r="V59" s="525">
        <f>Semidetached!V52/'All Stock'!V$9</f>
        <v>0.81788394172122103</v>
      </c>
      <c r="W59" s="525">
        <f>Semidetached!W52/'All Stock'!W$9</f>
        <v>0.57878165460017605</v>
      </c>
      <c r="X59" s="525">
        <f>Semidetached!X52/'All Stock'!X$9</f>
        <v>0.67896182953780038</v>
      </c>
      <c r="Y59" s="525">
        <f>Semidetached!Y52/'All Stock'!Y$9</f>
        <v>0.93403206884650303</v>
      </c>
      <c r="Z59" s="525">
        <f>Semidetached!Z52/'All Stock'!Z$9</f>
        <v>0.64930407444493932</v>
      </c>
      <c r="AA59" s="525">
        <f>Semidetached!AA52/'All Stock'!AA$9</f>
        <v>0.69391117498514021</v>
      </c>
      <c r="AB59" s="525">
        <f>Semidetached!AB52/'All Stock'!AB$9</f>
        <v>0.84007495549029298</v>
      </c>
      <c r="AC59" s="525">
        <f>Semidetached!AC52/'All Stock'!AC$9</f>
        <v>1.0372410757658477</v>
      </c>
      <c r="AD59" s="525">
        <f>Semidetached!AD52/'All Stock'!AD$9</f>
        <v>0.92780456250400478</v>
      </c>
      <c r="AE59" s="525">
        <f>Semidetached!AE52/'All Stock'!AE$9</f>
        <v>0.62658970846063478</v>
      </c>
      <c r="AF59" s="525">
        <f>Semidetached!AF52/'All Stock'!AF$9</f>
        <v>0.617168805806528</v>
      </c>
      <c r="AG59" s="525">
        <f>Semidetached!AG52/'All Stock'!AG$9</f>
        <v>0.82499574448403645</v>
      </c>
      <c r="AH59" s="525">
        <f>Semidetached!AH52/'All Stock'!AH$9</f>
        <v>0.41706415658173823</v>
      </c>
      <c r="AI59" s="525">
        <f>Semidetached!AI52/'All Stock'!AI$9</f>
        <v>1.2573128193630281</v>
      </c>
      <c r="AJ59" s="525">
        <f>Semidetached!AJ52/'All Stock'!AJ$9</f>
        <v>0.8999613870799904</v>
      </c>
      <c r="AK59" s="525">
        <f>Semidetached!AK52/'All Stock'!AK$9</f>
        <v>0.96389638509208653</v>
      </c>
      <c r="AL59" s="525">
        <f>Semidetached!AL52/'All Stock'!AL$9</f>
        <v>0.78490461967279568</v>
      </c>
      <c r="AM59" s="525">
        <f>Semidetached!AM52/'All Stock'!AM$9</f>
        <v>0.89996138707999063</v>
      </c>
      <c r="AN59" s="551">
        <f>Semidetached!AN52/'All Stock'!AN$9</f>
        <v>0.89996138707999052</v>
      </c>
    </row>
    <row r="60" spans="2:40">
      <c r="B60" s="408"/>
      <c r="C60" s="142" t="s">
        <v>7</v>
      </c>
      <c r="D60" s="525">
        <f>Semidetached!D53/'All Stock'!D$9</f>
        <v>0.48218058520203666</v>
      </c>
      <c r="E60" s="525">
        <f>Semidetached!E53/'All Stock'!E$9</f>
        <v>0.49884763829671491</v>
      </c>
      <c r="F60" s="525">
        <f>Semidetached!F53/'All Stock'!F$9</f>
        <v>0.57066216376893664</v>
      </c>
      <c r="G60" s="525">
        <f>Semidetached!G53/'All Stock'!G$9</f>
        <v>0.49605000308371705</v>
      </c>
      <c r="H60" s="525">
        <f>Semidetached!H53/'All Stock'!H$9</f>
        <v>0.85512512467090018</v>
      </c>
      <c r="I60" s="525">
        <f>Semidetached!I53/'All Stock'!I$9</f>
        <v>0.55698673667546905</v>
      </c>
      <c r="J60" s="525">
        <f>Semidetached!J53/'All Stock'!J$9</f>
        <v>0.41326819905561341</v>
      </c>
      <c r="K60" s="525">
        <f>Semidetached!K53/'All Stock'!K$9</f>
        <v>0.42933317982594538</v>
      </c>
      <c r="L60" s="525">
        <f>Semidetached!L53/'All Stock'!L$9</f>
        <v>0.68533923749345904</v>
      </c>
      <c r="M60" s="525">
        <f>Semidetached!M53/'All Stock'!M$9</f>
        <v>0.61741058738834054</v>
      </c>
      <c r="N60" s="525">
        <f>Semidetached!N53/'All Stock'!N$9</f>
        <v>0.67081571851627686</v>
      </c>
      <c r="O60" s="525">
        <f>Semidetached!O53/'All Stock'!O$9</f>
        <v>0.33605528881819891</v>
      </c>
      <c r="P60" s="525">
        <f>Semidetached!P53/'All Stock'!P$9</f>
        <v>0.42466037928033767</v>
      </c>
      <c r="Q60" s="525">
        <f>Semidetached!Q53/'All Stock'!Q$9</f>
        <v>0.45086444445083101</v>
      </c>
      <c r="R60" s="525">
        <f>Semidetached!R53/'All Stock'!R$9</f>
        <v>0.42876293573852453</v>
      </c>
      <c r="S60" s="525">
        <f>Semidetached!S53/'All Stock'!S$9</f>
        <v>0.40252619803917694</v>
      </c>
      <c r="T60" s="525">
        <f>Semidetached!T53/'All Stock'!T$9</f>
        <v>0.64961991079700487</v>
      </c>
      <c r="U60" s="525">
        <f>Semidetached!U53/'All Stock'!U$9</f>
        <v>1.0149706765347406</v>
      </c>
      <c r="V60" s="525">
        <f>Semidetached!V53/'All Stock'!V$9</f>
        <v>0.46888318170418408</v>
      </c>
      <c r="W60" s="525">
        <f>Semidetached!W53/'All Stock'!W$9</f>
        <v>0.4674779433834898</v>
      </c>
      <c r="X60" s="525">
        <f>Semidetached!X53/'All Stock'!X$9</f>
        <v>0.41830361923311682</v>
      </c>
      <c r="Y60" s="525">
        <f>Semidetached!Y53/'All Stock'!Y$9</f>
        <v>0.89877249524921843</v>
      </c>
      <c r="Z60" s="525">
        <f>Semidetached!Z53/'All Stock'!Z$9</f>
        <v>0.44999686395110011</v>
      </c>
      <c r="AA60" s="525">
        <f>Semidetached!AA53/'All Stock'!AA$9</f>
        <v>0.63377211564462843</v>
      </c>
      <c r="AB60" s="525">
        <f>Semidetached!AB53/'All Stock'!AB$9</f>
        <v>0.66078078191082412</v>
      </c>
      <c r="AC60" s="525">
        <f>Semidetached!AC53/'All Stock'!AC$9</f>
        <v>0.69243915122918642</v>
      </c>
      <c r="AD60" s="525">
        <f>Semidetached!AD53/'All Stock'!AD$9</f>
        <v>0.74856386227846627</v>
      </c>
      <c r="AE60" s="525">
        <f>Semidetached!AE53/'All Stock'!AE$9</f>
        <v>0.57158971373589196</v>
      </c>
      <c r="AF60" s="525">
        <f>Semidetached!AF53/'All Stock'!AF$9</f>
        <v>0.3424839412139048</v>
      </c>
      <c r="AG60" s="525">
        <f>Semidetached!AG53/'All Stock'!AG$9</f>
        <v>0.50000154966360333</v>
      </c>
      <c r="AH60" s="525">
        <f>Semidetached!AH53/'All Stock'!AH$9</f>
        <v>0.34720777096087557</v>
      </c>
      <c r="AI60" s="525">
        <f>Semidetached!AI53/'All Stock'!AI$9</f>
        <v>0.44898970300274788</v>
      </c>
      <c r="AJ60" s="525">
        <f>Semidetached!AJ53/'All Stock'!AJ$9</f>
        <v>0.78384290767801712</v>
      </c>
      <c r="AK60" s="525">
        <f>Semidetached!AK53/'All Stock'!AK$9</f>
        <v>0.84171392717241755</v>
      </c>
      <c r="AL60" s="525">
        <f>Semidetached!AL53/'All Stock'!AL$9</f>
        <v>0.53344934137916988</v>
      </c>
      <c r="AM60" s="525">
        <f>Semidetached!AM53/'All Stock'!AM$9</f>
        <v>0.78384290767801723</v>
      </c>
      <c r="AN60" s="551">
        <f>Semidetached!AN53/'All Stock'!AN$9</f>
        <v>0.78384290767801712</v>
      </c>
    </row>
    <row r="61" spans="2:40">
      <c r="B61" s="204" t="s">
        <v>516</v>
      </c>
      <c r="C61" s="142" t="s">
        <v>2</v>
      </c>
      <c r="D61" s="525">
        <f>Flat!D48/'All Stock'!D$9</f>
        <v>0.80856102941537777</v>
      </c>
      <c r="E61" s="525">
        <f>Flat!E48/'All Stock'!E$9</f>
        <v>0.62987257819677889</v>
      </c>
      <c r="F61" s="525">
        <f>Flat!F48/'All Stock'!F$9</f>
        <v>0.57290083926520297</v>
      </c>
      <c r="G61" s="525">
        <f>Flat!G48/'All Stock'!G$9</f>
        <v>0.84465665124503864</v>
      </c>
      <c r="H61" s="525">
        <f>Flat!H48/'All Stock'!H$9</f>
        <v>0.59834447574955307</v>
      </c>
      <c r="I61" s="525">
        <f>Flat!I48/'All Stock'!I$9</f>
        <v>0.74010148752043781</v>
      </c>
      <c r="J61" s="525">
        <f>Flat!J48/'All Stock'!J$9</f>
        <v>0.95039326231422305</v>
      </c>
      <c r="K61" s="525">
        <f>Flat!K48/'All Stock'!K$9</f>
        <v>0.63664326430543527</v>
      </c>
      <c r="L61" s="525">
        <f>Flat!L48/'All Stock'!L$9</f>
        <v>0.8959595606594859</v>
      </c>
      <c r="M61" s="525">
        <f>Flat!M48/'All Stock'!M$9</f>
        <v>1.1121348356476011</v>
      </c>
      <c r="N61" s="525">
        <f>Flat!N48/'All Stock'!N$9</f>
        <v>0.64992803133851085</v>
      </c>
      <c r="O61" s="525">
        <f>Flat!O48/'All Stock'!O$9</f>
        <v>0.93389106593484417</v>
      </c>
      <c r="P61" s="525">
        <f>Flat!P48/'All Stock'!P$9</f>
        <v>0.75078128802198585</v>
      </c>
      <c r="Q61" s="525">
        <f>Flat!Q48/'All Stock'!Q$9</f>
        <v>0.59646368359305479</v>
      </c>
      <c r="R61" s="525">
        <f>Flat!R48/'All Stock'!R$9</f>
        <v>0.75707443745927727</v>
      </c>
      <c r="S61" s="525">
        <f>Flat!S48/'All Stock'!S$9</f>
        <v>0.59137070438018169</v>
      </c>
      <c r="T61" s="525">
        <f>Flat!T48/'All Stock'!T$9</f>
        <v>0.82498885116974641</v>
      </c>
      <c r="U61" s="525">
        <f>Flat!U48/'All Stock'!U$9</f>
        <v>0.85092232252416244</v>
      </c>
      <c r="V61" s="525">
        <f>Flat!V48/'All Stock'!V$9</f>
        <v>0.83680327159106582</v>
      </c>
      <c r="W61" s="525">
        <f>Flat!W48/'All Stock'!W$9</f>
        <v>0.68115627274747781</v>
      </c>
      <c r="X61" s="525">
        <f>Flat!X48/'All Stock'!X$9</f>
        <v>0.85492038707772666</v>
      </c>
      <c r="Y61" s="525">
        <f>Flat!Y48/'All Stock'!Y$9</f>
        <v>0.68298229301335778</v>
      </c>
      <c r="Z61" s="525">
        <f>Flat!Z48/'All Stock'!Z$9</f>
        <v>0.86171007109796394</v>
      </c>
      <c r="AA61" s="525">
        <f>Flat!AA48/'All Stock'!AA$9</f>
        <v>0.85496222897215102</v>
      </c>
      <c r="AB61" s="525">
        <f>Flat!AB48/'All Stock'!AB$9</f>
        <v>0.90530760671425137</v>
      </c>
      <c r="AC61" s="525">
        <f>Flat!AC48/'All Stock'!AC$9</f>
        <v>0.63371964007783399</v>
      </c>
      <c r="AD61" s="525">
        <f>Flat!AD48/'All Stock'!AD$9</f>
        <v>0.47248389255062578</v>
      </c>
      <c r="AE61" s="525">
        <f>Flat!AE48/'All Stock'!AE$9</f>
        <v>0.76337837270089193</v>
      </c>
      <c r="AF61" s="525">
        <f>Flat!AF48/'All Stock'!AF$9</f>
        <v>0.8021886473630726</v>
      </c>
      <c r="AG61" s="525">
        <f>Flat!AG48/'All Stock'!AG$9</f>
        <v>0.7098559750071719</v>
      </c>
      <c r="AH61" s="525">
        <f>Flat!AH48/'All Stock'!AH$9</f>
        <v>0.51626226883725057</v>
      </c>
      <c r="AI61" s="525">
        <f>Flat!AI48/'All Stock'!AI$9</f>
        <v>0.65113154324708233</v>
      </c>
      <c r="AJ61" s="525">
        <f>Flat!AJ48/'All Stock'!AJ$9</f>
        <v>0.61897475955763703</v>
      </c>
      <c r="AK61" s="525">
        <f>Flat!AK48/'All Stock'!AK$9</f>
        <v>0.696593908634624</v>
      </c>
      <c r="AL61" s="525">
        <f>Flat!AL48/'All Stock'!AL$9</f>
        <v>0.70362631141039012</v>
      </c>
      <c r="AM61" s="525">
        <f>Flat!AM48/'All Stock'!AM$9</f>
        <v>0.61897475955763714</v>
      </c>
      <c r="AN61" s="551">
        <f>Flat!AN48/'All Stock'!AN$9</f>
        <v>0.61897475955763714</v>
      </c>
    </row>
    <row r="62" spans="2:40">
      <c r="B62" s="204"/>
      <c r="C62" s="142" t="s">
        <v>3</v>
      </c>
      <c r="D62" s="525">
        <f>Flat!D49/'All Stock'!D$9</f>
        <v>0.73037898446340144</v>
      </c>
      <c r="E62" s="525">
        <f>Flat!E49/'All Stock'!E$9</f>
        <v>0.62987257819677889</v>
      </c>
      <c r="F62" s="525">
        <f>Flat!F49/'All Stock'!F$9</f>
        <v>0.57290083926520297</v>
      </c>
      <c r="G62" s="525">
        <f>Flat!G49/'All Stock'!G$9</f>
        <v>0.76298441887888946</v>
      </c>
      <c r="H62" s="525">
        <f>Flat!H49/'All Stock'!H$9</f>
        <v>0.54941335534968094</v>
      </c>
      <c r="I62" s="525">
        <f>Flat!I49/'All Stock'!I$9</f>
        <v>0.66704038548111555</v>
      </c>
      <c r="J62" s="525">
        <f>Flat!J49/'All Stock'!J$9</f>
        <v>0.78442747371885047</v>
      </c>
      <c r="K62" s="525">
        <f>Flat!K49/'All Stock'!K$9</f>
        <v>0.62530723576165448</v>
      </c>
      <c r="L62" s="525">
        <f>Flat!L49/'All Stock'!L$9</f>
        <v>0.8959595606594859</v>
      </c>
      <c r="M62" s="525">
        <f>Flat!M49/'All Stock'!M$9</f>
        <v>0.99929838917667491</v>
      </c>
      <c r="N62" s="525">
        <f>Flat!N49/'All Stock'!N$9</f>
        <v>0.61067773986743357</v>
      </c>
      <c r="O62" s="525">
        <f>Flat!O49/'All Stock'!O$9</f>
        <v>0.93389106593484417</v>
      </c>
      <c r="P62" s="525">
        <f>Flat!P49/'All Stock'!P$9</f>
        <v>0.75078128802198585</v>
      </c>
      <c r="Q62" s="525">
        <f>Flat!Q49/'All Stock'!Q$9</f>
        <v>0.63639635018243701</v>
      </c>
      <c r="R62" s="525">
        <f>Flat!R49/'All Stock'!R$9</f>
        <v>0.75707443745927727</v>
      </c>
      <c r="S62" s="525">
        <f>Flat!S49/'All Stock'!S$9</f>
        <v>0.59749937524564667</v>
      </c>
      <c r="T62" s="525">
        <f>Flat!T49/'All Stock'!T$9</f>
        <v>0.77590888498867749</v>
      </c>
      <c r="U62" s="525">
        <f>Flat!U49/'All Stock'!U$9</f>
        <v>0.80167493449206662</v>
      </c>
      <c r="V62" s="525">
        <f>Flat!V49/'All Stock'!V$9</f>
        <v>0.83680327159106582</v>
      </c>
      <c r="W62" s="525">
        <f>Flat!W49/'All Stock'!W$9</f>
        <v>0.75775452591313019</v>
      </c>
      <c r="X62" s="525">
        <f>Flat!X49/'All Stock'!X$9</f>
        <v>0.84243282688662391</v>
      </c>
      <c r="Y62" s="525">
        <f>Flat!Y49/'All Stock'!Y$9</f>
        <v>0.68243401212664001</v>
      </c>
      <c r="Z62" s="525">
        <f>Flat!Z49/'All Stock'!Z$9</f>
        <v>0.72518767718496258</v>
      </c>
      <c r="AA62" s="525">
        <f>Flat!AA49/'All Stock'!AA$9</f>
        <v>0.85107567300299791</v>
      </c>
      <c r="AB62" s="525">
        <f>Flat!AB49/'All Stock'!AB$9</f>
        <v>0.67234466745459009</v>
      </c>
      <c r="AC62" s="525">
        <f>Flat!AC49/'All Stock'!AC$9</f>
        <v>0.558703087791801</v>
      </c>
      <c r="AD62" s="525">
        <f>Flat!AD49/'All Stock'!AD$9</f>
        <v>0.43386117078950504</v>
      </c>
      <c r="AE62" s="525">
        <f>Flat!AE49/'All Stock'!AE$9</f>
        <v>0.75990814598139123</v>
      </c>
      <c r="AF62" s="525">
        <f>Flat!AF49/'All Stock'!AF$9</f>
        <v>0.8021886473630726</v>
      </c>
      <c r="AG62" s="525">
        <f>Flat!AG49/'All Stock'!AG$9</f>
        <v>0.61167753072921505</v>
      </c>
      <c r="AH62" s="525">
        <f>Flat!AH49/'All Stock'!AH$9</f>
        <v>0.53853517132339368</v>
      </c>
      <c r="AI62" s="525">
        <f>Flat!AI49/'All Stock'!AI$9</f>
        <v>0.65113154324708233</v>
      </c>
      <c r="AJ62" s="525">
        <f>Flat!AJ49/'All Stock'!AJ$9</f>
        <v>0.61897475955763703</v>
      </c>
      <c r="AK62" s="525">
        <f>Flat!AK49/'All Stock'!AK$9</f>
        <v>0.696593908634624</v>
      </c>
      <c r="AL62" s="525">
        <f>Flat!AL49/'All Stock'!AL$9</f>
        <v>0.70362631141039012</v>
      </c>
      <c r="AM62" s="525">
        <f>Flat!AM49/'All Stock'!AM$9</f>
        <v>0.61897475955763714</v>
      </c>
      <c r="AN62" s="551">
        <f>Flat!AN49/'All Stock'!AN$9</f>
        <v>0.61897475955763714</v>
      </c>
    </row>
    <row r="63" spans="2:40">
      <c r="B63" s="204"/>
      <c r="C63" s="142" t="s">
        <v>4</v>
      </c>
      <c r="D63" s="525">
        <f>Flat!D50/'All Stock'!D$9</f>
        <v>0.59631558986341882</v>
      </c>
      <c r="E63" s="525">
        <f>Flat!E50/'All Stock'!E$9</f>
        <v>0.62987257819677889</v>
      </c>
      <c r="F63" s="525">
        <f>Flat!F50/'All Stock'!F$9</f>
        <v>0.54274768076915214</v>
      </c>
      <c r="G63" s="525">
        <f>Flat!G50/'All Stock'!G$9</f>
        <v>0.62293619268718348</v>
      </c>
      <c r="H63" s="525">
        <f>Flat!H50/'All Stock'!H$9</f>
        <v>0.55388511684765018</v>
      </c>
      <c r="I63" s="525">
        <f>Flat!I50/'All Stock'!I$9</f>
        <v>0.66704038548111555</v>
      </c>
      <c r="J63" s="525">
        <f>Flat!J50/'All Stock'!J$9</f>
        <v>0.53431071252726459</v>
      </c>
      <c r="K63" s="525">
        <f>Flat!K50/'All Stock'!K$9</f>
        <v>0.45018518955693265</v>
      </c>
      <c r="L63" s="525">
        <f>Flat!L50/'All Stock'!L$9</f>
        <v>0.74292373129375011</v>
      </c>
      <c r="M63" s="525">
        <f>Flat!M50/'All Stock'!M$9</f>
        <v>0.99929838917667491</v>
      </c>
      <c r="N63" s="525">
        <f>Flat!N50/'All Stock'!N$9</f>
        <v>0.51681510291598398</v>
      </c>
      <c r="O63" s="525">
        <f>Flat!O50/'All Stock'!O$9</f>
        <v>0.4737289121833268</v>
      </c>
      <c r="P63" s="525">
        <f>Flat!P50/'All Stock'!P$9</f>
        <v>0.75078128802198585</v>
      </c>
      <c r="Q63" s="525">
        <f>Flat!Q50/'All Stock'!Q$9</f>
        <v>0.55478638972565242</v>
      </c>
      <c r="R63" s="525">
        <f>Flat!R50/'All Stock'!R$9</f>
        <v>0.66189216428366993</v>
      </c>
      <c r="S63" s="525">
        <f>Flat!S50/'All Stock'!S$9</f>
        <v>0.53675149842868952</v>
      </c>
      <c r="T63" s="525">
        <f>Flat!T50/'All Stock'!T$9</f>
        <v>0.64224548702083128</v>
      </c>
      <c r="U63" s="525">
        <f>Flat!U50/'All Stock'!U$9</f>
        <v>0.76527080557278793</v>
      </c>
      <c r="V63" s="525">
        <f>Flat!V50/'All Stock'!V$9</f>
        <v>0.55278376931903261</v>
      </c>
      <c r="W63" s="525">
        <f>Flat!W50/'All Stock'!W$9</f>
        <v>0.4156743571653127</v>
      </c>
      <c r="X63" s="525">
        <f>Flat!X50/'All Stock'!X$9</f>
        <v>0.7876249773731856</v>
      </c>
      <c r="Y63" s="525">
        <f>Flat!Y50/'All Stock'!Y$9</f>
        <v>0.54666103463792415</v>
      </c>
      <c r="Z63" s="525">
        <f>Flat!Z50/'All Stock'!Z$9</f>
        <v>0.71286707381636438</v>
      </c>
      <c r="AA63" s="525">
        <f>Flat!AA50/'All Stock'!AA$9</f>
        <v>0.62296915738744951</v>
      </c>
      <c r="AB63" s="525">
        <f>Flat!AB50/'All Stock'!AB$9</f>
        <v>0.48705830502098096</v>
      </c>
      <c r="AC63" s="525">
        <f>Flat!AC50/'All Stock'!AC$9</f>
        <v>0.55201974120707986</v>
      </c>
      <c r="AD63" s="525">
        <f>Flat!AD50/'All Stock'!AD$9</f>
        <v>0.43386117078950504</v>
      </c>
      <c r="AE63" s="525">
        <f>Flat!AE50/'All Stock'!AE$9</f>
        <v>0.5562364809741408</v>
      </c>
      <c r="AF63" s="525">
        <f>Flat!AF50/'All Stock'!AF$9</f>
        <v>0.76189542711724845</v>
      </c>
      <c r="AG63" s="525">
        <f>Flat!AG50/'All Stock'!AG$9</f>
        <v>0.61167753072921505</v>
      </c>
      <c r="AH63" s="525">
        <f>Flat!AH50/'All Stock'!AH$9</f>
        <v>0.45174148271159043</v>
      </c>
      <c r="AI63" s="525">
        <f>Flat!AI50/'All Stock'!AI$9</f>
        <v>0.65113154324708233</v>
      </c>
      <c r="AJ63" s="525">
        <f>Flat!AJ50/'All Stock'!AJ$9</f>
        <v>0.61897475955763703</v>
      </c>
      <c r="AK63" s="525">
        <f>Flat!AK50/'All Stock'!AK$9</f>
        <v>0.696593908634624</v>
      </c>
      <c r="AL63" s="525">
        <f>Flat!AL50/'All Stock'!AL$9</f>
        <v>0.66513956943493324</v>
      </c>
      <c r="AM63" s="525">
        <f>Flat!AM50/'All Stock'!AM$9</f>
        <v>0.61897475955763714</v>
      </c>
      <c r="AN63" s="551">
        <f>Flat!AN50/'All Stock'!AN$9</f>
        <v>0.61897475955763714</v>
      </c>
    </row>
    <row r="64" spans="2:40">
      <c r="B64" s="204"/>
      <c r="C64" s="142" t="s">
        <v>5</v>
      </c>
      <c r="D64" s="525">
        <f>Flat!D51/'All Stock'!D$9</f>
        <v>0.42145345515412908</v>
      </c>
      <c r="E64" s="525">
        <f>Flat!E51/'All Stock'!E$9</f>
        <v>0.54309274474884317</v>
      </c>
      <c r="F64" s="525">
        <f>Flat!F51/'All Stock'!F$9</f>
        <v>0.47226900654801102</v>
      </c>
      <c r="G64" s="525">
        <f>Flat!G51/'All Stock'!G$9</f>
        <v>0.44026789708567593</v>
      </c>
      <c r="H64" s="525">
        <f>Flat!H51/'All Stock'!H$9</f>
        <v>0.54332228610519129</v>
      </c>
      <c r="I64" s="525">
        <f>Flat!I51/'All Stock'!I$9</f>
        <v>0.60825986649376684</v>
      </c>
      <c r="J64" s="525">
        <f>Flat!J51/'All Stock'!J$9</f>
        <v>0.45696144838861058</v>
      </c>
      <c r="K64" s="525">
        <f>Flat!K51/'All Stock'!K$9</f>
        <v>0.38199496522099124</v>
      </c>
      <c r="L64" s="525">
        <f>Flat!L51/'All Stock'!L$9</f>
        <v>0.55878969436549542</v>
      </c>
      <c r="M64" s="525">
        <f>Flat!M51/'All Stock'!M$9</f>
        <v>0.70355142880311305</v>
      </c>
      <c r="N64" s="525">
        <f>Flat!N51/'All Stock'!N$9</f>
        <v>0.42658088997415955</v>
      </c>
      <c r="O64" s="525">
        <f>Flat!O51/'All Stock'!O$9</f>
        <v>0.40878465352697368</v>
      </c>
      <c r="P64" s="525">
        <f>Flat!P51/'All Stock'!P$9</f>
        <v>0.73721195842733267</v>
      </c>
      <c r="Q64" s="525">
        <f>Flat!Q51/'All Stock'!Q$9</f>
        <v>0.55478638972565242</v>
      </c>
      <c r="R64" s="525">
        <f>Flat!R51/'All Stock'!R$9</f>
        <v>0.49694914984909083</v>
      </c>
      <c r="S64" s="525">
        <f>Flat!S51/'All Stock'!S$9</f>
        <v>0.37611850763902926</v>
      </c>
      <c r="T64" s="525">
        <f>Flat!T51/'All Stock'!T$9</f>
        <v>0.51977164088556205</v>
      </c>
      <c r="U64" s="525">
        <f>Flat!U51/'All Stock'!U$9</f>
        <v>0.56787782463205749</v>
      </c>
      <c r="V64" s="525">
        <f>Flat!V51/'All Stock'!V$9</f>
        <v>0.55278376931903261</v>
      </c>
      <c r="W64" s="525">
        <f>Flat!W51/'All Stock'!W$9</f>
        <v>0.35245928763847773</v>
      </c>
      <c r="X64" s="525">
        <f>Flat!X51/'All Stock'!X$9</f>
        <v>0.49022698143154098</v>
      </c>
      <c r="Y64" s="525">
        <f>Flat!Y51/'All Stock'!Y$9</f>
        <v>0.51941893406735495</v>
      </c>
      <c r="Z64" s="525">
        <f>Flat!Z51/'All Stock'!Z$9</f>
        <v>0.43133803790570407</v>
      </c>
      <c r="AA64" s="525">
        <f>Flat!AA51/'All Stock'!AA$9</f>
        <v>0.6133211749701456</v>
      </c>
      <c r="AB64" s="525">
        <f>Flat!AB51/'All Stock'!AB$9</f>
        <v>0.48705830502098096</v>
      </c>
      <c r="AC64" s="525">
        <f>Flat!AC51/'All Stock'!AC$9</f>
        <v>0.53472779987982588</v>
      </c>
      <c r="AD64" s="525">
        <f>Flat!AD51/'All Stock'!AD$9</f>
        <v>0.37630112713352221</v>
      </c>
      <c r="AE64" s="525">
        <f>Flat!AE51/'All Stock'!AE$9</f>
        <v>0.54762199384478227</v>
      </c>
      <c r="AF64" s="525">
        <f>Flat!AF51/'All Stock'!AF$9</f>
        <v>0.56309581216022297</v>
      </c>
      <c r="AG64" s="525">
        <f>Flat!AG51/'All Stock'!AG$9</f>
        <v>0.52029739586602164</v>
      </c>
      <c r="AH64" s="525">
        <f>Flat!AH51/'All Stock'!AH$9</f>
        <v>0.29363499912039215</v>
      </c>
      <c r="AI64" s="525">
        <f>Flat!AI51/'All Stock'!AI$9</f>
        <v>0.64008404894624416</v>
      </c>
      <c r="AJ64" s="525">
        <f>Flat!AJ51/'All Stock'!AJ$9</f>
        <v>0.54133388834047114</v>
      </c>
      <c r="AK64" s="525">
        <f>Flat!AK51/'All Stock'!AK$9</f>
        <v>0.60761595513136613</v>
      </c>
      <c r="AL64" s="525">
        <f>Flat!AL51/'All Stock'!AL$9</f>
        <v>0.57394659376134471</v>
      </c>
      <c r="AM64" s="525">
        <f>Flat!AM51/'All Stock'!AM$9</f>
        <v>0.54133388834047125</v>
      </c>
      <c r="AN64" s="551">
        <f>Flat!AN51/'All Stock'!AN$9</f>
        <v>0.54133388834047125</v>
      </c>
    </row>
    <row r="65" spans="1:40">
      <c r="B65" s="204"/>
      <c r="C65" s="142" t="s">
        <v>6</v>
      </c>
      <c r="D65" s="525">
        <f>Flat!D52/'All Stock'!D$9</f>
        <v>0.35476343746642236</v>
      </c>
      <c r="E65" s="525">
        <f>Flat!E52/'All Stock'!E$9</f>
        <v>0.54309274474884317</v>
      </c>
      <c r="F65" s="525">
        <f>Flat!F52/'All Stock'!F$9</f>
        <v>0.38629553818949453</v>
      </c>
      <c r="G65" s="525">
        <f>Flat!G52/'All Stock'!G$9</f>
        <v>0.3706007167958964</v>
      </c>
      <c r="H65" s="525">
        <f>Flat!H52/'All Stock'!H$9</f>
        <v>0.46926184424410727</v>
      </c>
      <c r="I65" s="525">
        <f>Flat!I52/'All Stock'!I$9</f>
        <v>0.46221917925595124</v>
      </c>
      <c r="J65" s="525">
        <f>Flat!J52/'All Stock'!J$9</f>
        <v>0.26084524557564365</v>
      </c>
      <c r="K65" s="525">
        <f>Flat!K52/'All Stock'!K$9</f>
        <v>0.38199496522099124</v>
      </c>
      <c r="L65" s="525">
        <f>Flat!L52/'All Stock'!L$9</f>
        <v>0.50098566830447666</v>
      </c>
      <c r="M65" s="525">
        <f>Flat!M52/'All Stock'!M$9</f>
        <v>0.70355142880311305</v>
      </c>
      <c r="N65" s="525">
        <f>Flat!N52/'All Stock'!N$9</f>
        <v>0.42275652398148433</v>
      </c>
      <c r="O65" s="525">
        <f>Flat!O52/'All Stock'!O$9</f>
        <v>0.23932234610053457</v>
      </c>
      <c r="P65" s="525">
        <f>Flat!P52/'All Stock'!P$9</f>
        <v>0.73721195842733267</v>
      </c>
      <c r="Q65" s="525">
        <f>Flat!Q52/'All Stock'!Q$9</f>
        <v>0.39974326349356415</v>
      </c>
      <c r="R65" s="525">
        <f>Flat!R52/'All Stock'!R$9</f>
        <v>0.49694914984909083</v>
      </c>
      <c r="S65" s="525">
        <f>Flat!S52/'All Stock'!S$9</f>
        <v>0.3311376843880271</v>
      </c>
      <c r="T65" s="525">
        <f>Flat!T52/'All Stock'!T$9</f>
        <v>0.51456609185448443</v>
      </c>
      <c r="U65" s="525">
        <f>Flat!U52/'All Stock'!U$9</f>
        <v>0.52158072070447525</v>
      </c>
      <c r="V65" s="525">
        <f>Flat!V52/'All Stock'!V$9</f>
        <v>0.55278376931903261</v>
      </c>
      <c r="W65" s="525">
        <f>Flat!W52/'All Stock'!W$9</f>
        <v>0.3022549993601848</v>
      </c>
      <c r="X65" s="525">
        <f>Flat!X52/'All Stock'!X$9</f>
        <v>0.48650566349349672</v>
      </c>
      <c r="Y65" s="525">
        <f>Flat!Y52/'All Stock'!Y$9</f>
        <v>0.51421245463508725</v>
      </c>
      <c r="Z65" s="525">
        <f>Flat!Z52/'All Stock'!Z$9</f>
        <v>0.38639293280140458</v>
      </c>
      <c r="AA65" s="525">
        <f>Flat!AA52/'All Stock'!AA$9</f>
        <v>0.55098837367661335</v>
      </c>
      <c r="AB65" s="525">
        <f>Flat!AB52/'All Stock'!AB$9</f>
        <v>0.48705830502098096</v>
      </c>
      <c r="AC65" s="525">
        <f>Flat!AC52/'All Stock'!AC$9</f>
        <v>0.49131485325861363</v>
      </c>
      <c r="AD65" s="525">
        <f>Flat!AD52/'All Stock'!AD$9</f>
        <v>0.37630112713352221</v>
      </c>
      <c r="AE65" s="525">
        <f>Flat!AE52/'All Stock'!AE$9</f>
        <v>0.49196630426589855</v>
      </c>
      <c r="AF65" s="525">
        <f>Flat!AF52/'All Stock'!AF$9</f>
        <v>0.42275126809909636</v>
      </c>
      <c r="AG65" s="525">
        <f>Flat!AG52/'All Stock'!AG$9</f>
        <v>0.49557011076327351</v>
      </c>
      <c r="AH65" s="525">
        <f>Flat!AH52/'All Stock'!AH$9</f>
        <v>0.20981111525199922</v>
      </c>
      <c r="AI65" s="525">
        <f>Flat!AI52/'All Stock'!AI$9</f>
        <v>0.64008404894624416</v>
      </c>
      <c r="AJ65" s="525">
        <f>Flat!AJ52/'All Stock'!AJ$9</f>
        <v>0.51408006584761889</v>
      </c>
      <c r="AK65" s="525">
        <f>Flat!AK52/'All Stock'!AK$9</f>
        <v>0.57610033727371701</v>
      </c>
      <c r="AL65" s="525">
        <f>Flat!AL52/'All Stock'!AL$9</f>
        <v>0.46909868988708187</v>
      </c>
      <c r="AM65" s="525">
        <f>Flat!AM52/'All Stock'!AM$9</f>
        <v>0.51408006584761901</v>
      </c>
      <c r="AN65" s="551">
        <f>Flat!AN52/'All Stock'!AN$9</f>
        <v>0.51408006584761901</v>
      </c>
    </row>
    <row r="66" spans="1:40">
      <c r="B66" s="547"/>
      <c r="C66" s="374" t="s">
        <v>7</v>
      </c>
      <c r="D66" s="548">
        <f>Flat!D53/'All Stock'!D$9</f>
        <v>0.32071092452175787</v>
      </c>
      <c r="E66" s="548">
        <f>Flat!E53/'All Stock'!E$9</f>
        <v>0.32420738349121897</v>
      </c>
      <c r="F66" s="548">
        <f>Flat!F53/'All Stock'!F$9</f>
        <v>0.26036186485248414</v>
      </c>
      <c r="G66" s="548">
        <f>Flat!G53/'All Stock'!G$9</f>
        <v>0.33502803829181976</v>
      </c>
      <c r="H66" s="548">
        <f>Flat!H53/'All Stock'!H$9</f>
        <v>0.43365949741367088</v>
      </c>
      <c r="I66" s="548">
        <f>Flat!I53/'All Stock'!I$9</f>
        <v>0.37130978088794797</v>
      </c>
      <c r="J66" s="548">
        <f>Flat!J53/'All Stock'!J$9</f>
        <v>0.28700909173233474</v>
      </c>
      <c r="K66" s="548">
        <f>Flat!K53/'All Stock'!K$9</f>
        <v>0.28220582772635072</v>
      </c>
      <c r="L66" s="548">
        <f>Flat!L53/'All Stock'!L$9</f>
        <v>0.50098566830447666</v>
      </c>
      <c r="M66" s="548">
        <f>Flat!M53/'All Stock'!M$9</f>
        <v>0.451566913446389</v>
      </c>
      <c r="N66" s="548">
        <f>Flat!N53/'All Stock'!N$9</f>
        <v>0.3789309222280608</v>
      </c>
      <c r="O66" s="548">
        <f>Flat!O53/'All Stock'!O$9</f>
        <v>0.23142731696702926</v>
      </c>
      <c r="P66" s="548">
        <f>Flat!P53/'All Stock'!P$9</f>
        <v>0.28328700735113838</v>
      </c>
      <c r="Q66" s="548">
        <f>Flat!Q53/'All Stock'!Q$9</f>
        <v>0.2378444737485319</v>
      </c>
      <c r="R66" s="548">
        <f>Flat!R53/'All Stock'!R$9</f>
        <v>0.30945383990781272</v>
      </c>
      <c r="S66" s="548">
        <f>Flat!S53/'All Stock'!S$9</f>
        <v>0.22107862424272945</v>
      </c>
      <c r="T66" s="548">
        <f>Flat!T53/'All Stock'!T$9</f>
        <v>0.46525635860931297</v>
      </c>
      <c r="U66" s="548">
        <f>Flat!U53/'All Stock'!U$9</f>
        <v>0.49454047848520671</v>
      </c>
      <c r="V66" s="548">
        <f>Flat!V53/'All Stock'!V$9</f>
        <v>0.32379262626823047</v>
      </c>
      <c r="W66" s="548">
        <f>Flat!W53/'All Stock'!W$9</f>
        <v>0.24156769281776283</v>
      </c>
      <c r="X66" s="548">
        <f>Flat!X53/'All Stock'!X$9</f>
        <v>0.30044409223922663</v>
      </c>
      <c r="Y66" s="548">
        <f>Flat!Y53/'All Stock'!Y$9</f>
        <v>0.48760333191214067</v>
      </c>
      <c r="Z66" s="548">
        <f>Flat!Z53/'All Stock'!Z$9</f>
        <v>0.28605552295336051</v>
      </c>
      <c r="AA66" s="548">
        <f>Flat!AA53/'All Stock'!AA$9</f>
        <v>0.47664588569352595</v>
      </c>
      <c r="AB66" s="548">
        <f>Flat!AB53/'All Stock'!AB$9</f>
        <v>0.38514825790188112</v>
      </c>
      <c r="AC66" s="548">
        <f>Flat!AC53/'All Stock'!AC$9</f>
        <v>0.33799921821434237</v>
      </c>
      <c r="AD66" s="548">
        <f>Flat!AD53/'All Stock'!AD$9</f>
        <v>0.28685609011414903</v>
      </c>
      <c r="AE66" s="548">
        <f>Flat!AE53/'All Stock'!AE$9</f>
        <v>0.42558740988211691</v>
      </c>
      <c r="AF66" s="548">
        <f>Flat!AF53/'All Stock'!AF$9</f>
        <v>0.25346608452331754</v>
      </c>
      <c r="AG66" s="548">
        <f>Flat!AG53/'All Stock'!AG$9</f>
        <v>0.28692809722363893</v>
      </c>
      <c r="AH66" s="548">
        <f>Flat!AH53/'All Stock'!AH$9</f>
        <v>0.17653821827337618</v>
      </c>
      <c r="AI66" s="548">
        <f>Flat!AI53/'All Stock'!AI$9</f>
        <v>0.2564053113483481</v>
      </c>
      <c r="AJ66" s="548">
        <f>Flat!AJ53/'All Stock'!AJ$9</f>
        <v>0.44194564293738681</v>
      </c>
      <c r="AK66" s="548">
        <f>Flat!AK53/'All Stock'!AK$9</f>
        <v>0.49553445768904542</v>
      </c>
      <c r="AL66" s="548">
        <f>Flat!AL53/'All Stock'!AL$9</f>
        <v>0.30197994192244049</v>
      </c>
      <c r="AM66" s="548">
        <f>Flat!AM53/'All Stock'!AM$9</f>
        <v>0.44194564293738681</v>
      </c>
      <c r="AN66" s="552">
        <f>Flat!AN53/'All Stock'!AN$9</f>
        <v>0.44194564293738681</v>
      </c>
    </row>
    <row r="68" spans="1:40">
      <c r="C68" s="532" t="s">
        <v>584</v>
      </c>
    </row>
    <row r="69" spans="1:40" ht="15" thickBot="1">
      <c r="A69" s="539" t="s">
        <v>545</v>
      </c>
      <c r="B69" s="539" t="s">
        <v>585</v>
      </c>
      <c r="C69" s="539" t="s">
        <v>546</v>
      </c>
      <c r="D69" s="540" t="str">
        <f>D$2</f>
        <v>AT</v>
      </c>
      <c r="E69" s="540" t="str">
        <f t="shared" ref="E69:AN69" si="7">E$2</f>
        <v>BE</v>
      </c>
      <c r="F69" s="540" t="str">
        <f t="shared" si="7"/>
        <v>BG</v>
      </c>
      <c r="G69" s="540" t="str">
        <f t="shared" si="7"/>
        <v>CH</v>
      </c>
      <c r="H69" s="540" t="str">
        <f t="shared" si="7"/>
        <v>CY</v>
      </c>
      <c r="I69" s="540" t="str">
        <f t="shared" si="7"/>
        <v>CZ</v>
      </c>
      <c r="J69" s="540" t="str">
        <f t="shared" si="7"/>
        <v>DE</v>
      </c>
      <c r="K69" s="540" t="str">
        <f t="shared" si="7"/>
        <v>DK</v>
      </c>
      <c r="L69" s="540" t="str">
        <f t="shared" si="7"/>
        <v>EE</v>
      </c>
      <c r="M69" s="540" t="str">
        <f t="shared" si="7"/>
        <v>ES</v>
      </c>
      <c r="N69" s="540" t="str">
        <f t="shared" si="7"/>
        <v>FI</v>
      </c>
      <c r="O69" s="540" t="str">
        <f t="shared" si="7"/>
        <v>FR</v>
      </c>
      <c r="P69" s="540" t="str">
        <f t="shared" si="7"/>
        <v>EL</v>
      </c>
      <c r="Q69" s="540" t="str">
        <f t="shared" si="7"/>
        <v>HR</v>
      </c>
      <c r="R69" s="540" t="str">
        <f t="shared" si="7"/>
        <v>HU</v>
      </c>
      <c r="S69" s="540" t="str">
        <f t="shared" si="7"/>
        <v>IE</v>
      </c>
      <c r="T69" s="540" t="str">
        <f t="shared" si="7"/>
        <v>IS</v>
      </c>
      <c r="U69" s="540" t="str">
        <f t="shared" si="7"/>
        <v>IT</v>
      </c>
      <c r="V69" s="540" t="str">
        <f t="shared" si="7"/>
        <v>LT</v>
      </c>
      <c r="W69" s="540" t="str">
        <f t="shared" si="7"/>
        <v>LU</v>
      </c>
      <c r="X69" s="540" t="str">
        <f t="shared" si="7"/>
        <v>LV</v>
      </c>
      <c r="Y69" s="540" t="str">
        <f t="shared" si="7"/>
        <v>MT</v>
      </c>
      <c r="Z69" s="540" t="str">
        <f t="shared" si="7"/>
        <v>NL</v>
      </c>
      <c r="AA69" s="540" t="str">
        <f t="shared" si="7"/>
        <v>NO</v>
      </c>
      <c r="AB69" s="540" t="str">
        <f t="shared" si="7"/>
        <v>PL</v>
      </c>
      <c r="AC69" s="540" t="str">
        <f t="shared" si="7"/>
        <v>PT</v>
      </c>
      <c r="AD69" s="540" t="str">
        <f t="shared" si="7"/>
        <v>RO</v>
      </c>
      <c r="AE69" s="540" t="str">
        <f t="shared" si="7"/>
        <v>SE</v>
      </c>
      <c r="AF69" s="540" t="str">
        <f t="shared" si="7"/>
        <v>SI</v>
      </c>
      <c r="AG69" s="540" t="str">
        <f t="shared" si="7"/>
        <v>SK</v>
      </c>
      <c r="AH69" s="540" t="str">
        <f t="shared" si="7"/>
        <v>UK</v>
      </c>
      <c r="AI69" s="540" t="str">
        <f t="shared" si="7"/>
        <v>AL</v>
      </c>
      <c r="AJ69" s="540" t="str">
        <f t="shared" si="7"/>
        <v>BA</v>
      </c>
      <c r="AK69" s="540" t="str">
        <f t="shared" si="7"/>
        <v>ME</v>
      </c>
      <c r="AL69" s="540" t="str">
        <f t="shared" si="7"/>
        <v>MK</v>
      </c>
      <c r="AM69" s="540" t="str">
        <f t="shared" si="7"/>
        <v>RS</v>
      </c>
      <c r="AN69" s="540" t="str">
        <f t="shared" si="7"/>
        <v>KS</v>
      </c>
    </row>
    <row r="70" spans="1:40">
      <c r="A70" t="s">
        <v>854</v>
      </c>
      <c r="B70" t="str">
        <f>TechComm!$C$23</f>
        <v>R_ES-DH-SpHeat</v>
      </c>
      <c r="C70" s="2">
        <f>VLOOKUP(C49,TechComm!$U$2:$V$7,2,FALSE)</f>
        <v>1940</v>
      </c>
      <c r="D70" s="693">
        <f>Detached!D40/10^6*3.6</f>
        <v>0.11591793308333942</v>
      </c>
      <c r="E70" s="693">
        <f>Detached!E40/10^6*3.6</f>
        <v>0.11167469132364871</v>
      </c>
      <c r="F70" s="693">
        <f>Detached!F40/10^6*3.6</f>
        <v>5.9149985199570793E-2</v>
      </c>
      <c r="G70" s="693">
        <f>Detached!G40/10^6*3.6</f>
        <v>0.11293403553334862</v>
      </c>
      <c r="H70" s="693">
        <f>Detached!H40/10^6*3.6</f>
        <v>3.4496013928351957E-2</v>
      </c>
      <c r="I70" s="693">
        <f>Detached!I40/10^6*3.6</f>
        <v>8.629075067321855E-2</v>
      </c>
      <c r="J70" s="693">
        <f>Detached!J40/10^6*3.6</f>
        <v>0.1182120672762713</v>
      </c>
      <c r="K70" s="693">
        <f>Detached!K40/10^6*3.6</f>
        <v>8.0537505035228996E-2</v>
      </c>
      <c r="L70" s="693">
        <f>Detached!L40/10^6*3.6</f>
        <v>5.3785640690242061E-2</v>
      </c>
      <c r="M70" s="693">
        <f>Detached!M40/10^6*3.6</f>
        <v>9.3863828932563856E-2</v>
      </c>
      <c r="N70" s="693">
        <f>Detached!N40/10^6*3.6</f>
        <v>9.1297084404281581E-2</v>
      </c>
      <c r="O70" s="693">
        <f>Detached!O40/10^6*3.6</f>
        <v>0.12392179021404416</v>
      </c>
      <c r="P70" s="693">
        <f>Detached!P40/10^6*3.6</f>
        <v>7.4033536135519482E-2</v>
      </c>
      <c r="Q70" s="693">
        <f>Detached!Q40/10^6*3.6</f>
        <v>6.0189629545871648E-2</v>
      </c>
      <c r="R70" s="693">
        <f>Detached!R40/10^6*3.6</f>
        <v>8.1185800873447594E-2</v>
      </c>
      <c r="S70" s="693">
        <f>Detached!S40/10^6*3.6</f>
        <v>0.11543759217134079</v>
      </c>
      <c r="T70" s="693">
        <f>Detached!T40/10^6*3.6</f>
        <v>7.765714393088978E-2</v>
      </c>
      <c r="U70" s="693">
        <f>Detached!U40/10^6*3.6</f>
        <v>8.5514710853187112E-2</v>
      </c>
      <c r="V70" s="693">
        <f>Detached!V40/10^6*3.6</f>
        <v>8.8428103194977375E-2</v>
      </c>
      <c r="W70" s="693">
        <f>Detached!W40/10^6*3.6</f>
        <v>9.0310481896384243E-2</v>
      </c>
      <c r="X70" s="693">
        <f>Detached!X40/10^6*3.6</f>
        <v>0.10000112067358057</v>
      </c>
      <c r="Y70" s="693">
        <f>Detached!Y40/10^6*3.6</f>
        <v>2.9024250838223492E-2</v>
      </c>
      <c r="Z70" s="693">
        <f>Detached!Z40/10^6*3.6</f>
        <v>0.11982318732605855</v>
      </c>
      <c r="AA70" s="693">
        <f>Detached!AA40/10^6*3.6</f>
        <v>8.8773169899008186E-2</v>
      </c>
      <c r="AB70" s="693">
        <f>Detached!AB40/10^6*3.6</f>
        <v>0.12338803468678851</v>
      </c>
      <c r="AC70" s="693">
        <f>Detached!AC40/10^6*3.6</f>
        <v>6.2586412433630251E-2</v>
      </c>
      <c r="AD70" s="693">
        <f>Detached!AD40/10^6*3.6</f>
        <v>8.6862671228481403E-2</v>
      </c>
      <c r="AE70" s="693">
        <f>Detached!AE40/10^6*3.6</f>
        <v>8.5597084117995131E-2</v>
      </c>
      <c r="AF70" s="693">
        <f>Detached!AF40/10^6*3.6</f>
        <v>8.1888032845409756E-2</v>
      </c>
      <c r="AG70" s="693">
        <f>Detached!AG40/10^6*3.6</f>
        <v>0.12134148575654491</v>
      </c>
      <c r="AH70" s="693">
        <f>Detached!AH40/10^6*3.6</f>
        <v>9.758300092212141E-2</v>
      </c>
      <c r="AI70" s="693">
        <f>Detached!AI40/10^6*3.6</f>
        <v>7.4033536135519482E-2</v>
      </c>
      <c r="AJ70" s="693">
        <f>Detached!AJ40/10^6*3.6</f>
        <v>6.4911512313176684E-2</v>
      </c>
      <c r="AK70" s="693">
        <f>Detached!AK40/10^6*3.6</f>
        <v>6.9320667701023048E-2</v>
      </c>
      <c r="AL70" s="693">
        <f>Detached!AL40/10^6*3.6</f>
        <v>6.2249054576344151E-2</v>
      </c>
      <c r="AM70" s="693">
        <f>Detached!AM40/10^6*3.6</f>
        <v>5.9691045032685054E-2</v>
      </c>
      <c r="AN70" s="693">
        <f>Detached!AN40/10^6*3.6</f>
        <v>5.9691045032685054E-2</v>
      </c>
    </row>
    <row r="71" spans="1:40">
      <c r="A71" t="s">
        <v>854</v>
      </c>
      <c r="B71" t="str">
        <f>TechComm!$C$23</f>
        <v>R_ES-DH-SpHeat</v>
      </c>
      <c r="C71" s="2">
        <f>VLOOKUP(C50,TechComm!$U$2:$V$7,2,FALSE)</f>
        <v>1957</v>
      </c>
      <c r="D71" s="693">
        <f>Detached!D41/10^6*3.6</f>
        <v>0.10795768923290494</v>
      </c>
      <c r="E71" s="693">
        <f>Detached!E41/10^6*3.6</f>
        <v>0.11167469132364871</v>
      </c>
      <c r="F71" s="693">
        <f>Detached!F41/10^6*3.6</f>
        <v>5.9149985199570793E-2</v>
      </c>
      <c r="G71" s="693">
        <f>Detached!G41/10^6*3.6</f>
        <v>0.10517870003049105</v>
      </c>
      <c r="H71" s="693">
        <f>Detached!H41/10^6*3.6</f>
        <v>3.2513984228341473E-2</v>
      </c>
      <c r="I71" s="693">
        <f>Detached!I41/10^6*3.6</f>
        <v>7.4036954054331985E-2</v>
      </c>
      <c r="J71" s="693">
        <f>Detached!J41/10^6*3.6</f>
        <v>0.10211126285503583</v>
      </c>
      <c r="K71" s="693">
        <f>Detached!K41/10^6*3.6</f>
        <v>7.8256286989226556E-2</v>
      </c>
      <c r="L71" s="693">
        <f>Detached!L41/10^6*3.6</f>
        <v>5.3785640690242061E-2</v>
      </c>
      <c r="M71" s="693">
        <f>Detached!M41/10^6*3.6</f>
        <v>8.5609635488093513E-2</v>
      </c>
      <c r="N71" s="693">
        <f>Detached!N41/10^6*3.6</f>
        <v>8.4394039730793763E-2</v>
      </c>
      <c r="O71" s="693">
        <f>Detached!O41/10^6*3.6</f>
        <v>0.12392179021404416</v>
      </c>
      <c r="P71" s="693">
        <f>Detached!P41/10^6*3.6</f>
        <v>7.4033536135519482E-2</v>
      </c>
      <c r="Q71" s="693">
        <f>Detached!Q41/10^6*3.6</f>
        <v>6.3159479203606386E-2</v>
      </c>
      <c r="R71" s="693">
        <f>Detached!R41/10^6*3.6</f>
        <v>8.1185800873447594E-2</v>
      </c>
      <c r="S71" s="693">
        <f>Detached!S41/10^6*3.6</f>
        <v>0.11692808740547907</v>
      </c>
      <c r="T71" s="693">
        <f>Detached!T41/10^6*3.6</f>
        <v>7.1785425931697414E-2</v>
      </c>
      <c r="U71" s="693">
        <f>Detached!U41/10^6*3.6</f>
        <v>8.1569747976138821E-2</v>
      </c>
      <c r="V71" s="693">
        <f>Detached!V41/10^6*3.6</f>
        <v>8.8428103194977375E-2</v>
      </c>
      <c r="W71" s="693">
        <f>Detached!W41/10^6*3.6</f>
        <v>9.1799655471747621E-2</v>
      </c>
      <c r="X71" s="693">
        <f>Detached!X41/10^6*3.6</f>
        <v>9.863421741372902E-2</v>
      </c>
      <c r="Y71" s="693">
        <f>Detached!Y41/10^6*3.6</f>
        <v>2.8988895929663219E-2</v>
      </c>
      <c r="Z71" s="693">
        <f>Detached!Z41/10^6*3.6</f>
        <v>9.8294822229032255E-2</v>
      </c>
      <c r="AA71" s="693">
        <f>Detached!AA41/10^6*3.6</f>
        <v>8.8377937366912226E-2</v>
      </c>
      <c r="AB71" s="693">
        <f>Detached!AB41/10^6*3.6</f>
        <v>9.0733509305460175E-2</v>
      </c>
      <c r="AC71" s="693">
        <f>Detached!AC41/10^6*3.6</f>
        <v>5.7351850257845928E-2</v>
      </c>
      <c r="AD71" s="693">
        <f>Detached!AD41/10^6*3.6</f>
        <v>7.9379545390238324E-2</v>
      </c>
      <c r="AE71" s="693">
        <f>Detached!AE41/10^6*3.6</f>
        <v>8.5215992034266788E-2</v>
      </c>
      <c r="AF71" s="693">
        <f>Detached!AF41/10^6*3.6</f>
        <v>8.1888032845409756E-2</v>
      </c>
      <c r="AG71" s="693">
        <f>Detached!AG41/10^6*3.6</f>
        <v>0.10451207041082551</v>
      </c>
      <c r="AH71" s="693">
        <f>Detached!AH41/10^6*3.6</f>
        <v>0.10192284000600378</v>
      </c>
      <c r="AI71" s="693">
        <f>Detached!AI41/10^6*3.6</f>
        <v>7.4033536135519482E-2</v>
      </c>
      <c r="AJ71" s="693">
        <f>Detached!AJ41/10^6*3.6</f>
        <v>6.4911512313176684E-2</v>
      </c>
      <c r="AK71" s="693">
        <f>Detached!AK41/10^6*3.6</f>
        <v>6.9320667701023048E-2</v>
      </c>
      <c r="AL71" s="693">
        <f>Detached!AL41/10^6*3.6</f>
        <v>6.2249054576344151E-2</v>
      </c>
      <c r="AM71" s="693">
        <f>Detached!AM41/10^6*3.6</f>
        <v>5.9691045032685054E-2</v>
      </c>
      <c r="AN71" s="693">
        <f>Detached!AN41/10^6*3.6</f>
        <v>5.9691045032685054E-2</v>
      </c>
    </row>
    <row r="72" spans="1:40">
      <c r="A72" t="s">
        <v>854</v>
      </c>
      <c r="B72" t="str">
        <f>TechComm!$C$23</f>
        <v>R_ES-DH-SpHeat</v>
      </c>
      <c r="C72" s="2">
        <f>VLOOKUP(C51,TechComm!$U$2:$V$7,2,FALSE)</f>
        <v>1975</v>
      </c>
      <c r="D72" s="693">
        <f>Detached!D42/10^6*3.6</f>
        <v>8.670528983864445E-2</v>
      </c>
      <c r="E72" s="693">
        <f>Detached!E42/10^6*3.6</f>
        <v>0.11167469132364871</v>
      </c>
      <c r="F72" s="693">
        <f>Detached!F42/10^6*3.6</f>
        <v>5.6118319795875629E-2</v>
      </c>
      <c r="G72" s="693">
        <f>Detached!G42/10^6*3.6</f>
        <v>8.4473368555724682E-2</v>
      </c>
      <c r="H72" s="693">
        <f>Detached!H42/10^6*3.6</f>
        <v>3.396151365320197E-2</v>
      </c>
      <c r="I72" s="693">
        <f>Detached!I42/10^6*3.6</f>
        <v>7.4036954054331985E-2</v>
      </c>
      <c r="J72" s="693">
        <f>Detached!J42/10^6*3.6</f>
        <v>6.8059874909749546E-2</v>
      </c>
      <c r="K72" s="693">
        <f>Detached!K42/10^6*3.6</f>
        <v>5.5401431169632795E-2</v>
      </c>
      <c r="L72" s="693">
        <f>Detached!L42/10^6*3.6</f>
        <v>4.4976347007992794E-2</v>
      </c>
      <c r="M72" s="693">
        <f>Detached!M42/10^6*3.6</f>
        <v>8.5609635488093513E-2</v>
      </c>
      <c r="N72" s="693">
        <f>Detached!N42/10^6*3.6</f>
        <v>7.0573070900727355E-2</v>
      </c>
      <c r="O72" s="693">
        <f>Detached!O42/10^6*3.6</f>
        <v>6.132894347783991E-2</v>
      </c>
      <c r="P72" s="693">
        <f>Detached!P42/10^6*3.6</f>
        <v>7.4033536135519482E-2</v>
      </c>
      <c r="Q72" s="693">
        <f>Detached!Q42/10^6*3.6</f>
        <v>5.4792513276688819E-2</v>
      </c>
      <c r="R72" s="693">
        <f>Detached!R42/10^6*3.6</f>
        <v>7.142549035765508E-2</v>
      </c>
      <c r="S72" s="693">
        <f>Detached!S42/10^6*3.6</f>
        <v>0.10211975295904176</v>
      </c>
      <c r="T72" s="693">
        <f>Detached!T42/10^6*3.6</f>
        <v>6.0029333470430657E-2</v>
      </c>
      <c r="U72" s="693">
        <f>Detached!U42/10^6*3.6</f>
        <v>7.6780897238487175E-2</v>
      </c>
      <c r="V72" s="693">
        <f>Detached!V42/10^6*3.6</f>
        <v>5.8631260682959804E-2</v>
      </c>
      <c r="W72" s="693">
        <f>Detached!W42/10^6*3.6</f>
        <v>5.3362791658614392E-2</v>
      </c>
      <c r="X72" s="693">
        <f>Detached!X42/10^6*3.6</f>
        <v>9.2162351506261245E-2</v>
      </c>
      <c r="Y72" s="693">
        <f>Detached!Y42/10^6*3.6</f>
        <v>2.4662292548675142E-2</v>
      </c>
      <c r="Z72" s="693">
        <f>Detached!Z42/10^6*3.6</f>
        <v>9.5435718452771698E-2</v>
      </c>
      <c r="AA72" s="693">
        <f>Detached!AA42/10^6*3.6</f>
        <v>6.4721097877615485E-2</v>
      </c>
      <c r="AB72" s="693">
        <f>Detached!AB42/10^6*3.6</f>
        <v>6.6216528098510821E-2</v>
      </c>
      <c r="AC72" s="693">
        <f>Detached!AC42/10^6*3.6</f>
        <v>5.6395337419355346E-2</v>
      </c>
      <c r="AD72" s="693">
        <f>Detached!AD42/10^6*3.6</f>
        <v>7.9379545390238324E-2</v>
      </c>
      <c r="AE72" s="693">
        <f>Detached!AE42/10^6*3.6</f>
        <v>6.2405536104452486E-2</v>
      </c>
      <c r="AF72" s="693">
        <f>Detached!AF42/10^6*3.6</f>
        <v>7.5441686706628236E-2</v>
      </c>
      <c r="AG72" s="693">
        <f>Detached!AG42/10^6*3.6</f>
        <v>0.10451207041082551</v>
      </c>
      <c r="AH72" s="693">
        <f>Detached!AH42/10^6*3.6</f>
        <v>8.1568655556275044E-2</v>
      </c>
      <c r="AI72" s="693">
        <f>Detached!AI42/10^6*3.6</f>
        <v>7.4033536135519482E-2</v>
      </c>
      <c r="AJ72" s="693">
        <f>Detached!AJ42/10^6*3.6</f>
        <v>6.4911512313176684E-2</v>
      </c>
      <c r="AK72" s="693">
        <f>Detached!AK42/10^6*3.6</f>
        <v>6.9320667701023048E-2</v>
      </c>
      <c r="AL72" s="693">
        <f>Detached!AL42/10^6*3.6</f>
        <v>5.9016867023471566E-2</v>
      </c>
      <c r="AM72" s="693">
        <f>Detached!AM42/10^6*3.6</f>
        <v>5.9691045032685054E-2</v>
      </c>
      <c r="AN72" s="693">
        <f>Detached!AN42/10^6*3.6</f>
        <v>5.9691045032685054E-2</v>
      </c>
    </row>
    <row r="73" spans="1:40">
      <c r="A73" t="s">
        <v>854</v>
      </c>
      <c r="B73" t="str">
        <f>TechComm!$C$23</f>
        <v>R_ES-DH-SpHeat</v>
      </c>
      <c r="C73" s="2">
        <f>VLOOKUP(C52,TechComm!$U$2:$V$7,2,FALSE)</f>
        <v>1985</v>
      </c>
      <c r="D73" s="693">
        <f>Detached!D43/10^6*3.6</f>
        <v>6.0527305392802842E-2</v>
      </c>
      <c r="E73" s="693">
        <f>Detached!E43/10^6*3.6</f>
        <v>9.5415589504511109E-2</v>
      </c>
      <c r="F73" s="693">
        <f>Detached!F43/10^6*3.6</f>
        <v>4.9116182840354537E-2</v>
      </c>
      <c r="G73" s="693">
        <f>Detached!G43/10^6*3.6</f>
        <v>5.8969243810223698E-2</v>
      </c>
      <c r="H73" s="693">
        <f>Detached!H43/10^6*3.6</f>
        <v>3.3076395532039948E-2</v>
      </c>
      <c r="I73" s="693">
        <f>Detached!I43/10^6*3.6</f>
        <v>6.697268965794731E-2</v>
      </c>
      <c r="J73" s="693">
        <f>Detached!J43/10^6*3.6</f>
        <v>5.5151465476000451E-2</v>
      </c>
      <c r="K73" s="693">
        <f>Detached!K43/10^6*3.6</f>
        <v>4.7128486337351061E-2</v>
      </c>
      <c r="L73" s="693">
        <f>Detached!L43/10^6*3.6</f>
        <v>3.3515342648579291E-2</v>
      </c>
      <c r="M73" s="693">
        <f>Detached!M43/10^6*3.6</f>
        <v>5.7205979957878718E-2</v>
      </c>
      <c r="N73" s="693">
        <f>Detached!N43/10^6*3.6</f>
        <v>5.8106085571928513E-2</v>
      </c>
      <c r="O73" s="693">
        <f>Detached!O43/10^6*3.6</f>
        <v>5.2612333556829746E-2</v>
      </c>
      <c r="P73" s="693">
        <f>Detached!P43/10^6*3.6</f>
        <v>7.2160241640691389E-2</v>
      </c>
      <c r="Q73" s="693">
        <f>Detached!Q43/10^6*3.6</f>
        <v>5.4792513276688819E-2</v>
      </c>
      <c r="R73" s="693">
        <f>Detached!R43/10^6*3.6</f>
        <v>5.4546873545588299E-2</v>
      </c>
      <c r="S73" s="693">
        <f>Detached!S43/10^6*3.6</f>
        <v>6.9230803959544424E-2</v>
      </c>
      <c r="T73" s="693">
        <f>Detached!T43/10^6*3.6</f>
        <v>4.9424937060840383E-2</v>
      </c>
      <c r="U73" s="693">
        <f>Detached!U43/10^6*3.6</f>
        <v>5.9235410401555749E-2</v>
      </c>
      <c r="V73" s="693">
        <f>Detached!V43/10^6*3.6</f>
        <v>5.8631260682959804E-2</v>
      </c>
      <c r="W73" s="693">
        <f>Detached!W43/10^6*3.6</f>
        <v>4.3991487650607189E-2</v>
      </c>
      <c r="X73" s="693">
        <f>Detached!X43/10^6*3.6</f>
        <v>5.5292462143311787E-2</v>
      </c>
      <c r="Y73" s="693">
        <f>Detached!Y43/10^6*3.6</f>
        <v>2.2922024152719007E-2</v>
      </c>
      <c r="Z73" s="693">
        <f>Detached!Z43/10^6*3.6</f>
        <v>6.2795060680795642E-2</v>
      </c>
      <c r="AA73" s="693">
        <f>Detached!AA43/10^6*3.6</f>
        <v>6.3740100611372849E-2</v>
      </c>
      <c r="AB73" s="693">
        <f>Detached!AB43/10^6*3.6</f>
        <v>6.6216528098510821E-2</v>
      </c>
      <c r="AC73" s="693">
        <f>Detached!AC43/10^6*3.6</f>
        <v>5.50047921245303E-2</v>
      </c>
      <c r="AD73" s="693">
        <f>Detached!AD43/10^6*3.6</f>
        <v>6.8313828269600141E-2</v>
      </c>
      <c r="AE73" s="693">
        <f>Detached!AE43/10^6*3.6</f>
        <v>6.1459636508734289E-2</v>
      </c>
      <c r="AF73" s="693">
        <f>Detached!AF43/10^6*3.6</f>
        <v>5.8081371903361573E-2</v>
      </c>
      <c r="AG73" s="693">
        <f>Detached!AG43/10^6*3.6</f>
        <v>8.905725762092892E-2</v>
      </c>
      <c r="AH73" s="693">
        <f>Detached!AH43/10^6*3.6</f>
        <v>5.1320006637088349E-2</v>
      </c>
      <c r="AI73" s="693">
        <f>Detached!AI43/10^6*3.6</f>
        <v>7.2160241640691389E-2</v>
      </c>
      <c r="AJ73" s="693">
        <f>Detached!AJ43/10^6*3.6</f>
        <v>5.7181952658153443E-2</v>
      </c>
      <c r="AK73" s="693">
        <f>Detached!AK43/10^6*3.6</f>
        <v>6.0609404698222555E-2</v>
      </c>
      <c r="AL73" s="693">
        <f>Detached!AL43/10^6*3.6</f>
        <v>5.1559134109760714E-2</v>
      </c>
      <c r="AM73" s="693">
        <f>Detached!AM43/10^6*3.6</f>
        <v>5.2583130319116461E-2</v>
      </c>
      <c r="AN73" s="693">
        <f>Detached!AN43/10^6*3.6</f>
        <v>5.2583130319116461E-2</v>
      </c>
    </row>
    <row r="74" spans="1:40">
      <c r="A74" t="s">
        <v>854</v>
      </c>
      <c r="B74" t="str">
        <f>TechComm!$C$23</f>
        <v>R_ES-DH-SpHeat</v>
      </c>
      <c r="C74" s="2">
        <f>VLOOKUP(C53,TechComm!$U$2:$V$7,2,FALSE)</f>
        <v>1995</v>
      </c>
      <c r="D74" s="693">
        <f>Detached!D44/10^6*3.6</f>
        <v>5.1829589589328318E-2</v>
      </c>
      <c r="E74" s="693">
        <f>Detached!E44/10^6*3.6</f>
        <v>9.5415589504511109E-2</v>
      </c>
      <c r="F74" s="693">
        <f>Detached!F44/10^6*3.6</f>
        <v>4.0131531362945755E-2</v>
      </c>
      <c r="G74" s="693">
        <f>Detached!G44/10^6*3.6</f>
        <v>5.0495419963637718E-2</v>
      </c>
      <c r="H74" s="693">
        <f>Detached!H44/10^6*3.6</f>
        <v>2.8354729657486141E-2</v>
      </c>
      <c r="I74" s="693">
        <f>Detached!I44/10^6*3.6</f>
        <v>5.1627548221012294E-2</v>
      </c>
      <c r="J74" s="693">
        <f>Detached!J44/10^6*3.6</f>
        <v>3.287782989601503E-2</v>
      </c>
      <c r="K74" s="693">
        <f>Detached!K44/10^6*3.6</f>
        <v>4.7128486337351061E-2</v>
      </c>
      <c r="L74" s="693">
        <f>Detached!L44/10^6*3.6</f>
        <v>2.9417786298229512E-2</v>
      </c>
      <c r="M74" s="693">
        <f>Detached!M44/10^6*3.6</f>
        <v>5.7205979957878718E-2</v>
      </c>
      <c r="N74" s="693">
        <f>Detached!N44/10^6*3.6</f>
        <v>5.7464921981958114E-2</v>
      </c>
      <c r="O74" s="693">
        <f>Detached!O44/10^6*3.6</f>
        <v>3.1294501934042949E-2</v>
      </c>
      <c r="P74" s="693">
        <f>Detached!P44/10^6*3.6</f>
        <v>7.2160241640691389E-2</v>
      </c>
      <c r="Q74" s="693">
        <f>Detached!Q44/10^6*3.6</f>
        <v>3.9910970938080416E-2</v>
      </c>
      <c r="R74" s="693">
        <f>Detached!R44/10^6*3.6</f>
        <v>5.4546873545588299E-2</v>
      </c>
      <c r="S74" s="693">
        <f>Detached!S44/10^6*3.6</f>
        <v>5.9924844999042999E-2</v>
      </c>
      <c r="T74" s="693">
        <f>Detached!T44/10^6*3.6</f>
        <v>4.8879564407217697E-2</v>
      </c>
      <c r="U74" s="693">
        <f>Detached!U44/10^6*3.6</f>
        <v>5.512305401972302E-2</v>
      </c>
      <c r="V74" s="693">
        <f>Detached!V44/10^6*3.6</f>
        <v>5.8631260682959804E-2</v>
      </c>
      <c r="W74" s="693">
        <f>Detached!W44/10^6*3.6</f>
        <v>3.761825120002224E-2</v>
      </c>
      <c r="X74" s="693">
        <f>Detached!X44/10^6*3.6</f>
        <v>5.4489028547099555E-2</v>
      </c>
      <c r="Y74" s="693">
        <f>Detached!Y44/10^6*3.6</f>
        <v>2.2588565896062958E-2</v>
      </c>
      <c r="Z74" s="693">
        <f>Detached!Z44/10^6*3.6</f>
        <v>5.6238789177078703E-2</v>
      </c>
      <c r="AA74" s="693">
        <f>Detached!AA44/10^6*3.6</f>
        <v>5.8166767985087763E-2</v>
      </c>
      <c r="AB74" s="693">
        <f>Detached!AB44/10^6*3.6</f>
        <v>6.6216528098510821E-2</v>
      </c>
      <c r="AC74" s="693">
        <f>Detached!AC44/10^6*3.6</f>
        <v>5.1140611031095788E-2</v>
      </c>
      <c r="AD74" s="693">
        <f>Detached!AD44/10^6*3.6</f>
        <v>6.8313828269600141E-2</v>
      </c>
      <c r="AE74" s="693">
        <f>Detached!AE44/10^6*3.6</f>
        <v>5.6085704022461533E-2</v>
      </c>
      <c r="AF74" s="693">
        <f>Detached!AF44/10^6*3.6</f>
        <v>4.2880190795618334E-2</v>
      </c>
      <c r="AG74" s="693">
        <f>Detached!AG44/10^6*3.6</f>
        <v>8.2154379195953642E-2</v>
      </c>
      <c r="AH74" s="693">
        <f>Detached!AH44/10^6*3.6</f>
        <v>3.7845332724689172E-2</v>
      </c>
      <c r="AI74" s="693">
        <f>Detached!AI44/10^6*3.6</f>
        <v>7.2160241640691389E-2</v>
      </c>
      <c r="AJ74" s="693">
        <f>Detached!AJ44/10^6*3.6</f>
        <v>5.4672914258598819E-2</v>
      </c>
      <c r="AK74" s="693">
        <f>Detached!AK44/10^6*3.6</f>
        <v>5.7691530207017963E-2</v>
      </c>
      <c r="AL74" s="693">
        <f>Detached!AL44/10^6*3.6</f>
        <v>4.1931154804808891E-2</v>
      </c>
      <c r="AM74" s="693">
        <f>Detached!AM44/10^6*3.6</f>
        <v>5.027587974430358E-2</v>
      </c>
      <c r="AN74" s="693">
        <f>Detached!AN44/10^6*3.6</f>
        <v>5.027587974430358E-2</v>
      </c>
    </row>
    <row r="75" spans="1:40">
      <c r="A75" t="s">
        <v>854</v>
      </c>
      <c r="B75" t="str">
        <f>TechComm!$C$23</f>
        <v>R_ES-DH-SpHeat</v>
      </c>
      <c r="C75" s="2">
        <f>VLOOKUP(C54,TechComm!$U$2:$V$7,2,FALSE)</f>
        <v>2004</v>
      </c>
      <c r="D75" s="693">
        <f>Detached!D45/10^6*3.6</f>
        <v>4.6091898959195694E-2</v>
      </c>
      <c r="E75" s="693">
        <f>Detached!E45/10^6*3.6</f>
        <v>5.7258885657769931E-2</v>
      </c>
      <c r="F75" s="693">
        <f>Detached!F45/10^6*3.6</f>
        <v>2.7944310416064235E-2</v>
      </c>
      <c r="G75" s="693">
        <f>Detached!G45/10^6*3.6</f>
        <v>4.4905425902607564E-2</v>
      </c>
      <c r="H75" s="693">
        <f>Detached!H45/10^6*3.6</f>
        <v>2.4950000677145975E-2</v>
      </c>
      <c r="I75" s="693">
        <f>Detached!I45/10^6*3.6</f>
        <v>4.0620083893034314E-2</v>
      </c>
      <c r="J75" s="693">
        <f>Detached!J45/10^6*3.6</f>
        <v>3.541970535528894E-2</v>
      </c>
      <c r="K75" s="693">
        <f>Detached!K45/10^6*3.6</f>
        <v>3.4407923567792001E-2</v>
      </c>
      <c r="L75" s="693">
        <f>Detached!L45/10^6*3.6</f>
        <v>2.9417786298229512E-2</v>
      </c>
      <c r="M75" s="693">
        <f>Detached!M45/10^6*3.6</f>
        <v>3.9115673627632165E-2</v>
      </c>
      <c r="N75" s="693">
        <f>Detached!N45/10^6*3.6</f>
        <v>5.1481302154303077E-2</v>
      </c>
      <c r="O75" s="693">
        <f>Detached!O45/10^6*3.6</f>
        <v>3.0267742098338598E-2</v>
      </c>
      <c r="P75" s="693">
        <f>Detached!P45/10^6*3.6</f>
        <v>2.9226211994573835E-2</v>
      </c>
      <c r="Q75" s="693">
        <f>Detached!Q45/10^6*3.6</f>
        <v>2.549906241579342E-2</v>
      </c>
      <c r="R75" s="693">
        <f>Detached!R45/10^6*3.6</f>
        <v>3.3733589260113911E-2</v>
      </c>
      <c r="S75" s="693">
        <f>Detached!S45/10^6*3.6</f>
        <v>3.8672237125783576E-2</v>
      </c>
      <c r="T75" s="693">
        <f>Detached!T45/10^6*3.6</f>
        <v>4.3789907610224291E-2</v>
      </c>
      <c r="U75" s="693">
        <f>Detached!U45/10^6*3.6</f>
        <v>5.1977012643044045E-2</v>
      </c>
      <c r="V75" s="693">
        <f>Detached!V45/10^6*3.6</f>
        <v>3.5682432529864923E-2</v>
      </c>
      <c r="W75" s="693">
        <f>Detached!W45/10^6*3.6</f>
        <v>3.0456546528415201E-2</v>
      </c>
      <c r="X75" s="693">
        <f>Detached!X45/10^6*3.6</f>
        <v>3.5306278805599237E-2</v>
      </c>
      <c r="Y75" s="693">
        <f>Detached!Y45/10^6*3.6</f>
        <v>2.1715984656960757E-2</v>
      </c>
      <c r="Z75" s="693">
        <f>Detached!Z45/10^6*3.6</f>
        <v>4.0139539581272927E-2</v>
      </c>
      <c r="AA75" s="693">
        <f>Detached!AA45/10^6*3.6</f>
        <v>5.0634737305181247E-2</v>
      </c>
      <c r="AB75" s="693">
        <f>Detached!AB45/10^6*3.6</f>
        <v>5.3056786108305505E-2</v>
      </c>
      <c r="AC75" s="693">
        <f>Detached!AC45/10^6*3.6</f>
        <v>3.4919510237768209E-2</v>
      </c>
      <c r="AD75" s="693">
        <f>Detached!AD45/10^6*3.6</f>
        <v>5.3176318161504192E-2</v>
      </c>
      <c r="AE75" s="693">
        <f>Detached!AE45/10^6*3.6</f>
        <v>4.8823150883706458E-2</v>
      </c>
      <c r="AF75" s="693">
        <f>Detached!AF45/10^6*3.6</f>
        <v>2.5387976561406601E-2</v>
      </c>
      <c r="AG75" s="693">
        <f>Detached!AG45/10^6*3.6</f>
        <v>4.936741678353658E-2</v>
      </c>
      <c r="AH75" s="693">
        <f>Detached!AH45/10^6*3.6</f>
        <v>3.1766446355114109E-2</v>
      </c>
      <c r="AI75" s="693">
        <f>Detached!AI45/10^6*3.6</f>
        <v>2.9226211994573835E-2</v>
      </c>
      <c r="AJ75" s="693">
        <f>Detached!AJ45/10^6*3.6</f>
        <v>4.7363393828525294E-2</v>
      </c>
      <c r="AK75" s="693">
        <f>Detached!AK45/10^6*3.6</f>
        <v>5.0066597370772722E-2</v>
      </c>
      <c r="AL75" s="693">
        <f>Detached!AL45/10^6*3.6</f>
        <v>2.9116547634405958E-2</v>
      </c>
      <c r="AM75" s="693">
        <f>Detached!AM45/10^6*3.6</f>
        <v>4.3554222866956691E-2</v>
      </c>
      <c r="AN75" s="693">
        <f>Detached!AN45/10^6*3.6</f>
        <v>4.3554222866956691E-2</v>
      </c>
    </row>
    <row r="76" spans="1:40">
      <c r="A76" t="s">
        <v>854</v>
      </c>
      <c r="B76" t="str">
        <f>TechComm!$C$24</f>
        <v>R_ES-SD-SpHeat</v>
      </c>
      <c r="C76" s="2">
        <f>VLOOKUP(C55,TechComm!$U$2:$V$7,2,FALSE)</f>
        <v>1940</v>
      </c>
      <c r="D76" s="693">
        <f>Semidetached!D41/10^6*3.6</f>
        <v>6.1685733365033649E-2</v>
      </c>
      <c r="E76" s="693">
        <f>Semidetached!E41/10^6*3.6</f>
        <v>6.1884469563153702E-2</v>
      </c>
      <c r="F76" s="693">
        <f>Semidetached!F41/10^6*3.6</f>
        <v>3.125853504228724E-2</v>
      </c>
      <c r="G76" s="693">
        <f>Semidetached!G41/10^6*3.6</f>
        <v>6.2125109825086261E-2</v>
      </c>
      <c r="H76" s="693">
        <f>Semidetached!H41/10^6*3.6</f>
        <v>2.0447798446629181E-2</v>
      </c>
      <c r="I76" s="693">
        <f>Semidetached!I41/10^6*3.6</f>
        <v>4.6943420806193709E-2</v>
      </c>
      <c r="J76" s="693">
        <f>Semidetached!J41/10^6*3.6</f>
        <v>6.5044256012785295E-2</v>
      </c>
      <c r="K76" s="693">
        <f>Semidetached!K41/10^6*3.6</f>
        <v>4.1380769057662518E-2</v>
      </c>
      <c r="L76" s="693">
        <f>Semidetached!L41/10^6*3.6</f>
        <v>2.7309810643329994E-2</v>
      </c>
      <c r="M76" s="693">
        <f>Semidetached!M41/10^6*3.6</f>
        <v>5.2579790099480384E-2</v>
      </c>
      <c r="N76" s="693">
        <f>Semidetached!N41/10^6*3.6</f>
        <v>4.6963760132465282E-2</v>
      </c>
      <c r="O76" s="693">
        <f>Semidetached!O41/10^6*3.6</f>
        <v>6.8816336522638036E-2</v>
      </c>
      <c r="P76" s="693">
        <f>Semidetached!P41/10^6*3.6</f>
        <v>4.3542482530380608E-2</v>
      </c>
      <c r="Q76" s="693">
        <f>Semidetached!Q41/10^6*3.6</f>
        <v>2.9696546693412866E-2</v>
      </c>
      <c r="R76" s="693">
        <f>Semidetached!R41/10^6*3.6</f>
        <v>4.2721745373566676E-2</v>
      </c>
      <c r="S76" s="693">
        <f>Semidetached!S41/10^6*3.6</f>
        <v>6.4152245915899492E-2</v>
      </c>
      <c r="T76" s="693">
        <f>Semidetached!T41/10^6*3.6</f>
        <v>4.0257903683236229E-2</v>
      </c>
      <c r="U76" s="693">
        <f>Semidetached!U41/10^6*3.6</f>
        <v>4.7484356476136962E-2</v>
      </c>
      <c r="V76" s="693">
        <f>Semidetached!V41/10^6*3.6</f>
        <v>4.7135388184827251E-2</v>
      </c>
      <c r="W76" s="693">
        <f>Semidetached!W41/10^6*3.6</f>
        <v>5.0683341429849885E-2</v>
      </c>
      <c r="X76" s="693">
        <f>Semidetached!X41/10^6*3.6</f>
        <v>5.2705271351190908E-2</v>
      </c>
      <c r="Y76" s="693">
        <f>Semidetached!Y41/10^6*3.6</f>
        <v>1.7104432532187543E-2</v>
      </c>
      <c r="Z76" s="693">
        <f>Semidetached!Z41/10^6*3.6</f>
        <v>7.0651283233832476E-2</v>
      </c>
      <c r="AA76" s="693">
        <f>Semidetached!AA41/10^6*3.6</f>
        <v>4.3584063405355977E-2</v>
      </c>
      <c r="AB76" s="693">
        <f>Semidetached!AB41/10^6*3.6</f>
        <v>6.5367974322352931E-2</v>
      </c>
      <c r="AC76" s="693">
        <f>Semidetached!AC41/10^6*3.6</f>
        <v>3.5337085927140743E-2</v>
      </c>
      <c r="AD76" s="693">
        <f>Semidetached!AD41/10^6*3.6</f>
        <v>4.6219354787799247E-2</v>
      </c>
      <c r="AE76" s="693">
        <f>Semidetached!AE41/10^6*3.6</f>
        <v>4.1365492125712174E-2</v>
      </c>
      <c r="AF76" s="693">
        <f>Semidetached!AF41/10^6*3.6</f>
        <v>4.3366908448418999E-2</v>
      </c>
      <c r="AG76" s="693">
        <f>Semidetached!AG41/10^6*3.6</f>
        <v>6.5337441645367464E-2</v>
      </c>
      <c r="AH76" s="693">
        <f>Semidetached!AH41/10^6*3.6</f>
        <v>5.5186818216462062E-2</v>
      </c>
      <c r="AI76" s="693">
        <f>Semidetached!AI41/10^6*3.6</f>
        <v>4.2245048666467527E-2</v>
      </c>
      <c r="AJ76" s="693">
        <f>Semidetached!AJ41/10^6*3.6</f>
        <v>3.3340436190754504E-2</v>
      </c>
      <c r="AK76" s="693">
        <f>Semidetached!AK41/10^6*3.6</f>
        <v>3.6396960190984609E-2</v>
      </c>
      <c r="AL76" s="693">
        <f>Semidetached!AL41/10^6*3.6</f>
        <v>3.2945354534122256E-2</v>
      </c>
      <c r="AM76" s="693">
        <f>Semidetached!AM41/10^6*3.6</f>
        <v>3.0659052718876579E-2</v>
      </c>
      <c r="AN76" s="693">
        <f>Semidetached!AN41/10^6*3.6</f>
        <v>3.0659052718876579E-2</v>
      </c>
    </row>
    <row r="77" spans="1:40">
      <c r="A77" t="s">
        <v>854</v>
      </c>
      <c r="B77" t="str">
        <f>TechComm!$C$24</f>
        <v>R_ES-SD-SpHeat</v>
      </c>
      <c r="C77" s="2">
        <f>VLOOKUP(C56,TechComm!$U$2:$V$7,2,FALSE)</f>
        <v>1957</v>
      </c>
      <c r="D77" s="693">
        <f>Semidetached!D42/10^6*3.6</f>
        <v>5.7971945721807965E-2</v>
      </c>
      <c r="E77" s="693">
        <f>Semidetached!E42/10^6*3.6</f>
        <v>6.1884469563153702E-2</v>
      </c>
      <c r="F77" s="693">
        <f>Semidetached!F42/10^6*3.6</f>
        <v>3.125853504228724E-2</v>
      </c>
      <c r="G77" s="693">
        <f>Semidetached!G42/10^6*3.6</f>
        <v>5.8429422014487982E-2</v>
      </c>
      <c r="H77" s="693">
        <f>Semidetached!H42/10^6*3.6</f>
        <v>1.9433001685903204E-2</v>
      </c>
      <c r="I77" s="693">
        <f>Semidetached!I42/10^6*3.6</f>
        <v>3.8513959812329267E-2</v>
      </c>
      <c r="J77" s="693">
        <f>Semidetached!J42/10^6*3.6</f>
        <v>5.7893655238742341E-2</v>
      </c>
      <c r="K77" s="693">
        <f>Semidetached!K42/10^6*3.6</f>
        <v>3.9833239210331876E-2</v>
      </c>
      <c r="L77" s="693">
        <f>Semidetached!L42/10^6*3.6</f>
        <v>2.7309810643329994E-2</v>
      </c>
      <c r="M77" s="693">
        <f>Semidetached!M42/10^6*3.6</f>
        <v>4.7674212823914409E-2</v>
      </c>
      <c r="N77" s="693">
        <f>Semidetached!N42/10^6*3.6</f>
        <v>4.2392317073588655E-2</v>
      </c>
      <c r="O77" s="693">
        <f>Semidetached!O42/10^6*3.6</f>
        <v>6.8816336522638036E-2</v>
      </c>
      <c r="P77" s="693">
        <f>Semidetached!P42/10^6*3.6</f>
        <v>4.3542482530380608E-2</v>
      </c>
      <c r="Q77" s="693">
        <f>Semidetached!Q42/10^6*3.6</f>
        <v>3.1252760006287475E-2</v>
      </c>
      <c r="R77" s="693">
        <f>Semidetached!R42/10^6*3.6</f>
        <v>4.2721745373566676E-2</v>
      </c>
      <c r="S77" s="693">
        <f>Semidetached!S42/10^6*3.6</f>
        <v>6.52556021999256E-2</v>
      </c>
      <c r="T77" s="693">
        <f>Semidetached!T42/10^6*3.6</f>
        <v>3.6327987326559626E-2</v>
      </c>
      <c r="U77" s="693">
        <f>Semidetached!U42/10^6*3.6</f>
        <v>4.5265241040624009E-2</v>
      </c>
      <c r="V77" s="693">
        <f>Semidetached!V42/10^6*3.6</f>
        <v>4.7135388184827251E-2</v>
      </c>
      <c r="W77" s="693">
        <f>Semidetached!W42/10^6*3.6</f>
        <v>5.0977910449009817E-2</v>
      </c>
      <c r="X77" s="693">
        <f>Semidetached!X42/10^6*3.6</f>
        <v>5.2303952562860398E-2</v>
      </c>
      <c r="Y77" s="693">
        <f>Semidetached!Y42/10^6*3.6</f>
        <v>1.7075941972716363E-2</v>
      </c>
      <c r="Z77" s="693">
        <f>Semidetached!Z42/10^6*3.6</f>
        <v>5.6363742426819116E-2</v>
      </c>
      <c r="AA77" s="693">
        <f>Semidetached!AA42/10^6*3.6</f>
        <v>4.3467001291035492E-2</v>
      </c>
      <c r="AB77" s="693">
        <f>Semidetached!AB42/10^6*3.6</f>
        <v>4.7499589879048884E-2</v>
      </c>
      <c r="AC77" s="693">
        <f>Semidetached!AC42/10^6*3.6</f>
        <v>3.2666668008451319E-2</v>
      </c>
      <c r="AD77" s="693">
        <f>Semidetached!AD42/10^6*3.6</f>
        <v>4.1957782310479343E-2</v>
      </c>
      <c r="AE77" s="693">
        <f>Semidetached!AE42/10^6*3.6</f>
        <v>4.1252708998551976E-2</v>
      </c>
      <c r="AF77" s="693">
        <f>Semidetached!AF42/10^6*3.6</f>
        <v>4.3366908448418999E-2</v>
      </c>
      <c r="AG77" s="693">
        <f>Semidetached!AG42/10^6*3.6</f>
        <v>5.5313740818675128E-2</v>
      </c>
      <c r="AH77" s="693">
        <f>Semidetached!AH42/10^6*3.6</f>
        <v>5.7883560123913345E-2</v>
      </c>
      <c r="AI77" s="693">
        <f>Semidetached!AI42/10^6*3.6</f>
        <v>4.2245048666467527E-2</v>
      </c>
      <c r="AJ77" s="693">
        <f>Semidetached!AJ42/10^6*3.6</f>
        <v>3.3340436190754504E-2</v>
      </c>
      <c r="AK77" s="693">
        <f>Semidetached!AK42/10^6*3.6</f>
        <v>3.6396960190984609E-2</v>
      </c>
      <c r="AL77" s="693">
        <f>Semidetached!AL42/10^6*3.6</f>
        <v>3.2945354534122256E-2</v>
      </c>
      <c r="AM77" s="693">
        <f>Semidetached!AM42/10^6*3.6</f>
        <v>3.0659052718876579E-2</v>
      </c>
      <c r="AN77" s="693">
        <f>Semidetached!AN42/10^6*3.6</f>
        <v>3.0659052718876579E-2</v>
      </c>
    </row>
    <row r="78" spans="1:40">
      <c r="A78" t="s">
        <v>854</v>
      </c>
      <c r="B78" t="str">
        <f>TechComm!$C$24</f>
        <v>R_ES-SD-SpHeat</v>
      </c>
      <c r="C78" s="2">
        <f>VLOOKUP(C57,TechComm!$U$2:$V$7,2,FALSE)</f>
        <v>1975</v>
      </c>
      <c r="D78" s="693">
        <f>Semidetached!D43/10^6*3.6</f>
        <v>4.5541012175359073E-2</v>
      </c>
      <c r="E78" s="693">
        <f>Semidetached!E43/10^6*3.6</f>
        <v>6.1884469563153702E-2</v>
      </c>
      <c r="F78" s="693">
        <f>Semidetached!F43/10^6*3.6</f>
        <v>2.9451411811792862E-2</v>
      </c>
      <c r="G78" s="693">
        <f>Semidetached!G43/10^6*3.6</f>
        <v>4.5850407653445217E-2</v>
      </c>
      <c r="H78" s="693">
        <f>Semidetached!H43/10^6*3.6</f>
        <v>1.9410899864469873E-2</v>
      </c>
      <c r="I78" s="693">
        <f>Semidetached!I43/10^6*3.6</f>
        <v>3.8513959812329267E-2</v>
      </c>
      <c r="J78" s="693">
        <f>Semidetached!J43/10^6*3.6</f>
        <v>3.6236031126441998E-2</v>
      </c>
      <c r="K78" s="693">
        <f>Semidetached!K43/10^6*3.6</f>
        <v>2.6650579042360983E-2</v>
      </c>
      <c r="L78" s="693">
        <f>Semidetached!L43/10^6*3.6</f>
        <v>2.2134917965563404E-2</v>
      </c>
      <c r="M78" s="693">
        <f>Semidetached!M43/10^6*3.6</f>
        <v>4.7674212823914409E-2</v>
      </c>
      <c r="N78" s="693">
        <f>Semidetached!N43/10^6*3.6</f>
        <v>3.4753726800966493E-2</v>
      </c>
      <c r="O78" s="693">
        <f>Semidetached!O43/10^6*3.6</f>
        <v>3.1528428773006351E-2</v>
      </c>
      <c r="P78" s="693">
        <f>Semidetached!P43/10^6*3.6</f>
        <v>4.3542482530380608E-2</v>
      </c>
      <c r="Q78" s="693">
        <f>Semidetached!Q43/10^6*3.6</f>
        <v>2.8124309391731182E-2</v>
      </c>
      <c r="R78" s="693">
        <f>Semidetached!R43/10^6*3.6</f>
        <v>3.7261539342040975E-2</v>
      </c>
      <c r="S78" s="693">
        <f>Semidetached!S43/10^6*3.6</f>
        <v>5.4249386653125897E-2</v>
      </c>
      <c r="T78" s="693">
        <f>Semidetached!T43/10^6*3.6</f>
        <v>2.9777014668491166E-2</v>
      </c>
      <c r="U78" s="693">
        <f>Semidetached!U43/10^6*3.6</f>
        <v>4.2741148384791955E-2</v>
      </c>
      <c r="V78" s="693">
        <f>Semidetached!V43/10^6*3.6</f>
        <v>3.0339550327296169E-2</v>
      </c>
      <c r="W78" s="693">
        <f>Semidetached!W43/10^6*3.6</f>
        <v>2.8058001465871313E-2</v>
      </c>
      <c r="X78" s="693">
        <f>Semidetached!X43/10^6*3.6</f>
        <v>4.8485291482762392E-2</v>
      </c>
      <c r="Y78" s="693">
        <f>Semidetached!Y43/10^6*3.6</f>
        <v>1.47145506992905E-2</v>
      </c>
      <c r="Z78" s="693">
        <f>Semidetached!Z43/10^6*3.6</f>
        <v>5.4113721505550813E-2</v>
      </c>
      <c r="AA78" s="693">
        <f>Semidetached!AA43/10^6*3.6</f>
        <v>2.9473301007603033E-2</v>
      </c>
      <c r="AB78" s="693">
        <f>Semidetached!AB43/10^6*3.6</f>
        <v>3.4204433106910126E-2</v>
      </c>
      <c r="AC78" s="693">
        <f>Semidetached!AC43/10^6*3.6</f>
        <v>3.1988395637244045E-2</v>
      </c>
      <c r="AD78" s="693">
        <f>Semidetached!AD43/10^6*3.6</f>
        <v>4.1957782310479343E-2</v>
      </c>
      <c r="AE78" s="693">
        <f>Semidetached!AE43/10^6*3.6</f>
        <v>2.8022499171022185E-2</v>
      </c>
      <c r="AF78" s="693">
        <f>Semidetached!AF43/10^6*3.6</f>
        <v>3.9486592137330703E-2</v>
      </c>
      <c r="AG78" s="693">
        <f>Semidetached!AG43/10^6*3.6</f>
        <v>5.5313740818675128E-2</v>
      </c>
      <c r="AH78" s="693">
        <f>Semidetached!AH43/10^6*3.6</f>
        <v>4.4538067205037328E-2</v>
      </c>
      <c r="AI78" s="693">
        <f>Semidetached!AI43/10^6*3.6</f>
        <v>4.2245048666467527E-2</v>
      </c>
      <c r="AJ78" s="693">
        <f>Semidetached!AJ43/10^6*3.6</f>
        <v>3.3340436190754504E-2</v>
      </c>
      <c r="AK78" s="693">
        <f>Semidetached!AK43/10^6*3.6</f>
        <v>3.6396960190984609E-2</v>
      </c>
      <c r="AL78" s="693">
        <f>Semidetached!AL43/10^6*3.6</f>
        <v>3.1025841632195413E-2</v>
      </c>
      <c r="AM78" s="693">
        <f>Semidetached!AM43/10^6*3.6</f>
        <v>3.0659052718876579E-2</v>
      </c>
      <c r="AN78" s="693">
        <f>Semidetached!AN43/10^6*3.6</f>
        <v>3.0659052718876579E-2</v>
      </c>
    </row>
    <row r="79" spans="1:40">
      <c r="A79" t="s">
        <v>854</v>
      </c>
      <c r="B79" t="str">
        <f>TechComm!$C$24</f>
        <v>R_ES-SD-SpHeat</v>
      </c>
      <c r="C79" s="2">
        <f>VLOOKUP(C58,TechComm!$U$2:$V$7,2,FALSE)</f>
        <v>1985</v>
      </c>
      <c r="D79" s="693">
        <f>Semidetached!D44/10^6*3.6</f>
        <v>3.103192256043279E-2</v>
      </c>
      <c r="E79" s="693">
        <f>Semidetached!E44/10^6*3.6</f>
        <v>5.2110796811041027E-2</v>
      </c>
      <c r="F79" s="693">
        <f>Semidetached!F44/10^6*3.6</f>
        <v>2.5324358041674287E-2</v>
      </c>
      <c r="G79" s="693">
        <f>Semidetached!G44/10^6*3.6</f>
        <v>3.1206609557309927E-2</v>
      </c>
      <c r="H79" s="693">
        <f>Semidetached!H44/10^6*3.6</f>
        <v>1.8768096519646359E-2</v>
      </c>
      <c r="I79" s="693">
        <f>Semidetached!I44/10^6*3.6</f>
        <v>3.4112141517524515E-2</v>
      </c>
      <c r="J79" s="693">
        <f>Semidetached!J44/10^6*3.6</f>
        <v>2.7829387136831356E-2</v>
      </c>
      <c r="K79" s="693">
        <f>Semidetached!K44/10^6*3.6</f>
        <v>2.2192110190811659E-2</v>
      </c>
      <c r="L79" s="693">
        <f>Semidetached!L44/10^6*3.6</f>
        <v>1.6678997834952289E-2</v>
      </c>
      <c r="M79" s="693">
        <f>Semidetached!M44/10^6*3.6</f>
        <v>3.1088086180708858E-2</v>
      </c>
      <c r="N79" s="693">
        <f>Semidetached!N44/10^6*3.6</f>
        <v>2.8462992605778593E-2</v>
      </c>
      <c r="O79" s="693">
        <f>Semidetached!O44/10^6*3.6</f>
        <v>2.6799525763856927E-2</v>
      </c>
      <c r="P79" s="693">
        <f>Semidetached!P44/10^6*3.6</f>
        <v>4.2228654655928483E-2</v>
      </c>
      <c r="Q79" s="693">
        <f>Semidetached!Q44/10^6*3.6</f>
        <v>2.8124309391731182E-2</v>
      </c>
      <c r="R79" s="693">
        <f>Semidetached!R44/10^6*3.6</f>
        <v>2.7791869797094221E-2</v>
      </c>
      <c r="S79" s="693">
        <f>Semidetached!S44/10^6*3.6</f>
        <v>3.5079524378917946E-2</v>
      </c>
      <c r="T79" s="693">
        <f>Semidetached!T44/10^6*3.6</f>
        <v>2.4387317344223097E-2</v>
      </c>
      <c r="U79" s="693">
        <f>Semidetached!U44/10^6*3.6</f>
        <v>3.3980076132827164E-2</v>
      </c>
      <c r="V79" s="693">
        <f>Semidetached!V44/10^6*3.6</f>
        <v>3.0339550327296169E-2</v>
      </c>
      <c r="W79" s="693">
        <f>Semidetached!W44/10^6*3.6</f>
        <v>2.3741857665163554E-2</v>
      </c>
      <c r="X79" s="693">
        <f>Semidetached!X44/10^6*3.6</f>
        <v>2.7653306250611163E-2</v>
      </c>
      <c r="Y79" s="693">
        <f>Semidetached!Y44/10^6*3.6</f>
        <v>1.3312034255775091E-2</v>
      </c>
      <c r="Z79" s="693">
        <f>Semidetached!Z44/10^6*3.6</f>
        <v>3.5016689918727535E-2</v>
      </c>
      <c r="AA79" s="693">
        <f>Semidetached!AA44/10^6*3.6</f>
        <v>2.9178647854686032E-2</v>
      </c>
      <c r="AB79" s="693">
        <f>Semidetached!AB44/10^6*3.6</f>
        <v>3.4204433106910126E-2</v>
      </c>
      <c r="AC79" s="693">
        <f>Semidetached!AC44/10^6*3.6</f>
        <v>3.1149795313573543E-2</v>
      </c>
      <c r="AD79" s="693">
        <f>Semidetached!AD44/10^6*3.6</f>
        <v>3.5985644692951249E-2</v>
      </c>
      <c r="AE79" s="693">
        <f>Semidetached!AE44/10^6*3.6</f>
        <v>2.773870963675967E-2</v>
      </c>
      <c r="AF79" s="693">
        <f>Semidetached!AF44/10^6*3.6</f>
        <v>3.0896920438171823E-2</v>
      </c>
      <c r="AG79" s="693">
        <f>Semidetached!AG44/10^6*3.6</f>
        <v>4.7428896940768163E-2</v>
      </c>
      <c r="AH79" s="693">
        <f>Semidetached!AH44/10^6*3.6</f>
        <v>2.6207095106987262E-2</v>
      </c>
      <c r="AI79" s="693">
        <f>Semidetached!AI44/10^6*3.6</f>
        <v>4.0932845530780589E-2</v>
      </c>
      <c r="AJ79" s="693">
        <f>Semidetached!AJ44/10^6*3.6</f>
        <v>2.8760571776392477E-2</v>
      </c>
      <c r="AK79" s="693">
        <f>Semidetached!AK44/10^6*3.6</f>
        <v>3.1210213142956286E-2</v>
      </c>
      <c r="AL79" s="693">
        <f>Semidetached!AL44/10^6*3.6</f>
        <v>2.664818908417577E-2</v>
      </c>
      <c r="AM79" s="693">
        <f>Semidetached!AM44/10^6*3.6</f>
        <v>2.6447521000399245E-2</v>
      </c>
      <c r="AN79" s="693">
        <f>Semidetached!AN44/10^6*3.6</f>
        <v>2.6447521000399245E-2</v>
      </c>
    </row>
    <row r="80" spans="1:40">
      <c r="A80" t="s">
        <v>854</v>
      </c>
      <c r="B80" t="str">
        <f>TechComm!$C$24</f>
        <v>R_ES-SD-SpHeat</v>
      </c>
      <c r="C80" s="2">
        <f>VLOOKUP(C59,TechComm!$U$2:$V$7,2,FALSE)</f>
        <v>1995</v>
      </c>
      <c r="D80" s="693">
        <f>Semidetached!D45/10^6*3.6</f>
        <v>2.6607675798827706E-2</v>
      </c>
      <c r="E80" s="693">
        <f>Semidetached!E45/10^6*3.6</f>
        <v>5.2110796811041027E-2</v>
      </c>
      <c r="F80" s="693">
        <f>Semidetached!F45/10^6*3.6</f>
        <v>1.9672510965220363E-2</v>
      </c>
      <c r="G80" s="693">
        <f>Semidetached!G45/10^6*3.6</f>
        <v>2.676540177045365E-2</v>
      </c>
      <c r="H80" s="693">
        <f>Semidetached!H45/10^6*3.6</f>
        <v>1.7397690701003918E-2</v>
      </c>
      <c r="I80" s="693">
        <f>Semidetached!I45/10^6*3.6</f>
        <v>2.5811255442473976E-2</v>
      </c>
      <c r="J80" s="693">
        <f>Semidetached!J45/10^6*3.6</f>
        <v>1.6582511264796027E-2</v>
      </c>
      <c r="K80" s="693">
        <f>Semidetached!K45/10^6*3.6</f>
        <v>2.2192110190811659E-2</v>
      </c>
      <c r="L80" s="693">
        <f>Semidetached!L45/10^6*3.6</f>
        <v>1.4225787612434971E-2</v>
      </c>
      <c r="M80" s="693">
        <f>Semidetached!M45/10^6*3.6</f>
        <v>3.1088086180708858E-2</v>
      </c>
      <c r="N80" s="693">
        <f>Semidetached!N45/10^6*3.6</f>
        <v>2.8054186332761091E-2</v>
      </c>
      <c r="O80" s="693">
        <f>Semidetached!O45/10^6*3.6</f>
        <v>1.5703863324657737E-2</v>
      </c>
      <c r="P80" s="693">
        <f>Semidetached!P45/10^6*3.6</f>
        <v>4.2228654655928483E-2</v>
      </c>
      <c r="Q80" s="693">
        <f>Semidetached!Q45/10^6*3.6</f>
        <v>2.0055056461311341E-2</v>
      </c>
      <c r="R80" s="693">
        <f>Semidetached!R45/10^6*3.6</f>
        <v>2.7791869797094221E-2</v>
      </c>
      <c r="S80" s="693">
        <f>Semidetached!S45/10^6*3.6</f>
        <v>3.0187560251697484E-2</v>
      </c>
      <c r="T80" s="693">
        <f>Semidetached!T45/10^6*3.6</f>
        <v>2.4036087386415717E-2</v>
      </c>
      <c r="U80" s="693">
        <f>Semidetached!U45/10^6*3.6</f>
        <v>3.1506328950193875E-2</v>
      </c>
      <c r="V80" s="693">
        <f>Semidetached!V45/10^6*3.6</f>
        <v>3.0339550327296169E-2</v>
      </c>
      <c r="W80" s="693">
        <f>Semidetached!W45/10^6*3.6</f>
        <v>2.0424797480467053E-2</v>
      </c>
      <c r="X80" s="693">
        <f>Semidetached!X45/10^6*3.6</f>
        <v>2.7087946878442841E-2</v>
      </c>
      <c r="Y80" s="693">
        <f>Semidetached!Y45/10^6*3.6</f>
        <v>1.3042432003552238E-2</v>
      </c>
      <c r="Z80" s="693">
        <f>Semidetached!Z45/10^6*3.6</f>
        <v>3.149024939896547E-2</v>
      </c>
      <c r="AA80" s="693">
        <f>Semidetached!AA45/10^6*3.6</f>
        <v>2.6079636792341192E-2</v>
      </c>
      <c r="AB80" s="693">
        <f>Semidetached!AB45/10^6*3.6</f>
        <v>3.4204433106910126E-2</v>
      </c>
      <c r="AC80" s="693">
        <f>Semidetached!AC45/10^6*3.6</f>
        <v>2.8947201908018545E-2</v>
      </c>
      <c r="AD80" s="693">
        <f>Semidetached!AD45/10^6*3.6</f>
        <v>3.5985644692951249E-2</v>
      </c>
      <c r="AE80" s="693">
        <f>Semidetached!AE45/10^6*3.6</f>
        <v>2.4801822178289568E-2</v>
      </c>
      <c r="AF80" s="693">
        <f>Semidetached!AF45/10^6*3.6</f>
        <v>2.1914986061720178E-2</v>
      </c>
      <c r="AG80" s="693">
        <f>Semidetached!AG45/10^6*3.6</f>
        <v>4.2686349497931327E-2</v>
      </c>
      <c r="AH80" s="693">
        <f>Semidetached!AH45/10^6*3.6</f>
        <v>2.005211452855581E-2</v>
      </c>
      <c r="AI80" s="693">
        <f>Semidetached!AI45/10^6*3.6</f>
        <v>4.0932845530780589E-2</v>
      </c>
      <c r="AJ80" s="693">
        <f>Semidetached!AJ45/10^6*3.6</f>
        <v>2.7155517984441119E-2</v>
      </c>
      <c r="AK80" s="693">
        <f>Semidetached!AK45/10^6*3.6</f>
        <v>2.9368585611011109E-2</v>
      </c>
      <c r="AL80" s="693">
        <f>Semidetached!AL45/10^6*3.6</f>
        <v>2.0611063202076025E-2</v>
      </c>
      <c r="AM80" s="693">
        <f>Semidetached!AM45/10^6*3.6</f>
        <v>2.4971552643461088E-2</v>
      </c>
      <c r="AN80" s="693">
        <f>Semidetached!AN45/10^6*3.6</f>
        <v>2.4971552643461088E-2</v>
      </c>
    </row>
    <row r="81" spans="1:42">
      <c r="A81" t="s">
        <v>854</v>
      </c>
      <c r="B81" t="str">
        <f>TechComm!$C$24</f>
        <v>R_ES-SD-SpHeat</v>
      </c>
      <c r="C81" s="2">
        <f>VLOOKUP(C60,TechComm!$U$2:$V$7,2,FALSE)</f>
        <v>2004</v>
      </c>
      <c r="D81" s="693">
        <f>Semidetached!D46/10^6*3.6</f>
        <v>2.324756120222814E-2</v>
      </c>
      <c r="E81" s="693">
        <f>Semidetached!E46/10^6*3.6</f>
        <v>3.0506864421730902E-2</v>
      </c>
      <c r="F81" s="693">
        <f>Semidetached!F46/10^6*3.6</f>
        <v>1.3373009904765041E-2</v>
      </c>
      <c r="G81" s="693">
        <f>Semidetached!G46/10^6*3.6</f>
        <v>2.3362669468877585E-2</v>
      </c>
      <c r="H81" s="693">
        <f>Semidetached!H46/10^6*3.6</f>
        <v>1.4399738324202617E-2</v>
      </c>
      <c r="I81" s="693">
        <f>Semidetached!I46/10^6*3.6</f>
        <v>2.0299563359871133E-2</v>
      </c>
      <c r="J81" s="693">
        <f>Semidetached!J46/10^6*3.6</f>
        <v>1.7940659985928028E-2</v>
      </c>
      <c r="K81" s="693">
        <f>Semidetached!K46/10^6*3.6</f>
        <v>1.5923808433629526E-2</v>
      </c>
      <c r="L81" s="693">
        <f>Semidetached!L46/10^6*3.6</f>
        <v>1.4225787612434971E-2</v>
      </c>
      <c r="M81" s="693">
        <f>Semidetached!M46/10^6*3.6</f>
        <v>2.0700093456625122E-2</v>
      </c>
      <c r="N81" s="693">
        <f>Semidetached!N46/10^6*3.6</f>
        <v>2.5128215922405429E-2</v>
      </c>
      <c r="O81" s="693">
        <f>Semidetached!O46/10^6*3.6</f>
        <v>1.5195334667899076E-2</v>
      </c>
      <c r="P81" s="693">
        <f>Semidetached!P46/10^6*3.6</f>
        <v>1.5053445375920292E-2</v>
      </c>
      <c r="Q81" s="693">
        <f>Semidetached!Q46/10^6*3.6</f>
        <v>1.2610800443718888E-2</v>
      </c>
      <c r="R81" s="693">
        <f>Semidetached!R46/10^6*3.6</f>
        <v>1.7003613621265359E-2</v>
      </c>
      <c r="S81" s="693">
        <f>Semidetached!S46/10^6*3.6</f>
        <v>1.9048056270535452E-2</v>
      </c>
      <c r="T81" s="693">
        <f>Semidetached!T46/10^6*3.6</f>
        <v>2.152839335959001E-2</v>
      </c>
      <c r="U81" s="693">
        <f>Semidetached!U46/10^6*3.6</f>
        <v>3.0592788276669503E-2</v>
      </c>
      <c r="V81" s="693">
        <f>Semidetached!V46/10^6*3.6</f>
        <v>1.7393305043988425E-2</v>
      </c>
      <c r="W81" s="693">
        <f>Semidetached!W46/10^6*3.6</f>
        <v>1.6496967801767848E-2</v>
      </c>
      <c r="X81" s="693">
        <f>Semidetached!X46/10^6*3.6</f>
        <v>1.6688694008852537E-2</v>
      </c>
      <c r="Y81" s="693">
        <f>Semidetached!Y46/10^6*3.6</f>
        <v>1.2550082108452005E-2</v>
      </c>
      <c r="Z81" s="693">
        <f>Semidetached!Z46/10^6*3.6</f>
        <v>2.1824156096180675E-2</v>
      </c>
      <c r="AA81" s="693">
        <f>Semidetached!AA46/10^6*3.6</f>
        <v>2.3819398189515426E-2</v>
      </c>
      <c r="AB81" s="693">
        <f>Semidetached!AB46/10^6*3.6</f>
        <v>2.6904304080829979E-2</v>
      </c>
      <c r="AC81" s="693">
        <f>Semidetached!AC46/10^6*3.6</f>
        <v>1.9324510365007107E-2</v>
      </c>
      <c r="AD81" s="693">
        <f>Semidetached!AD46/10^6*3.6</f>
        <v>2.9033650260606371E-2</v>
      </c>
      <c r="AE81" s="693">
        <f>Semidetached!AE46/10^6*3.6</f>
        <v>2.2624799366470383E-2</v>
      </c>
      <c r="AF81" s="693">
        <f>Semidetached!AF46/10^6*3.6</f>
        <v>1.2161228382658365E-2</v>
      </c>
      <c r="AG81" s="693">
        <f>Semidetached!AG46/10^6*3.6</f>
        <v>2.5870728474843459E-2</v>
      </c>
      <c r="AH81" s="693">
        <f>Semidetached!AH46/10^6*3.6</f>
        <v>1.6693474801514275E-2</v>
      </c>
      <c r="AI81" s="693">
        <f>Semidetached!AI46/10^6*3.6</f>
        <v>1.4617226417235845E-2</v>
      </c>
      <c r="AJ81" s="693">
        <f>Semidetached!AJ46/10^6*3.6</f>
        <v>2.3651748266100999E-2</v>
      </c>
      <c r="AK81" s="693">
        <f>Semidetached!AK46/10^6*3.6</f>
        <v>2.5645855625635403E-2</v>
      </c>
      <c r="AL81" s="693">
        <f>Semidetached!AL46/10^6*3.6</f>
        <v>1.4008018063207965E-2</v>
      </c>
      <c r="AM81" s="693">
        <f>Semidetached!AM46/10^6*3.6</f>
        <v>2.1749571386383774E-2</v>
      </c>
      <c r="AN81" s="693">
        <f>Semidetached!AN46/10^6*3.6</f>
        <v>2.1749571386383774E-2</v>
      </c>
    </row>
    <row r="82" spans="1:42">
      <c r="A82" t="s">
        <v>854</v>
      </c>
      <c r="B82" t="str">
        <f>TechComm!$C$22</f>
        <v>R_ES-FL-SpHeat</v>
      </c>
      <c r="C82" s="2">
        <f>VLOOKUP(C61,TechComm!$U$2:$V$7,2,FALSE)</f>
        <v>1940</v>
      </c>
      <c r="D82" s="693">
        <f>Flat!D41/10^6*3.6</f>
        <v>2.7259111320969823E-2</v>
      </c>
      <c r="E82" s="693">
        <f>Flat!E41/10^6*3.6</f>
        <v>2.7085496688234161E-2</v>
      </c>
      <c r="F82" s="693">
        <f>Flat!F41/10^6*3.6</f>
        <v>1.5813934604233342E-2</v>
      </c>
      <c r="G82" s="693">
        <f>Flat!G41/10^6*3.6</f>
        <v>2.6557421829775309E-2</v>
      </c>
      <c r="H82" s="693">
        <f>Flat!H41/10^6*3.6</f>
        <v>9.0324778338823405E-3</v>
      </c>
      <c r="I82" s="693">
        <f>Flat!I41/10^6*3.6</f>
        <v>1.9060357396907156E-2</v>
      </c>
      <c r="J82" s="693">
        <f>Flat!J41/10^6*3.6</f>
        <v>2.7042363789495465E-2</v>
      </c>
      <c r="K82" s="693">
        <f>Flat!K41/10^6*3.6</f>
        <v>1.610520856318317E-2</v>
      </c>
      <c r="L82" s="693">
        <f>Flat!L41/10^6*3.6</f>
        <v>1.2202725548249665E-2</v>
      </c>
      <c r="M82" s="693">
        <f>Flat!M41/10^6*3.6</f>
        <v>3.1276751001792051E-2</v>
      </c>
      <c r="N82" s="693">
        <f>Flat!N41/10^6*3.6</f>
        <v>1.6056532340592591E-2</v>
      </c>
      <c r="O82" s="693">
        <f>Flat!O41/10^6*3.6</f>
        <v>2.8239287970306563E-2</v>
      </c>
      <c r="P82" s="693">
        <f>Flat!P41/10^6*3.6</f>
        <v>2.4622958369590567E-2</v>
      </c>
      <c r="Q82" s="693">
        <f>Flat!Q41/10^6*3.6</f>
        <v>1.827559784662491E-2</v>
      </c>
      <c r="R82" s="693">
        <f>Flat!R41/10^6*3.6</f>
        <v>1.7813490397916548E-2</v>
      </c>
      <c r="S82" s="693">
        <f>Flat!S41/10^6*3.6</f>
        <v>1.7401350001863207E-2</v>
      </c>
      <c r="T82" s="693">
        <f>Flat!T41/10^6*3.6</f>
        <v>1.7824211429786605E-2</v>
      </c>
      <c r="U82" s="693">
        <f>Flat!U41/10^6*3.6</f>
        <v>2.3139451143825884E-2</v>
      </c>
      <c r="V82" s="693">
        <f>Flat!V41/10^6*3.6</f>
        <v>1.9321406751363221E-2</v>
      </c>
      <c r="W82" s="693">
        <f>Flat!W41/10^6*3.6</f>
        <v>2.6125389494306248E-2</v>
      </c>
      <c r="X82" s="693">
        <f>Flat!X41/10^6*3.6</f>
        <v>2.1566411171012986E-2</v>
      </c>
      <c r="Y82" s="693">
        <f>Flat!Y41/10^6*3.6</f>
        <v>8.3522085836042897E-3</v>
      </c>
      <c r="Z82" s="693">
        <f>Flat!Z41/10^6*3.6</f>
        <v>2.8734956637996904E-2</v>
      </c>
      <c r="AA82" s="693">
        <f>Flat!AA41/10^6*3.6</f>
        <v>1.96231278790047E-2</v>
      </c>
      <c r="AB82" s="693">
        <f>Flat!AB41/10^6*3.6</f>
        <v>2.3744562202746632E-2</v>
      </c>
      <c r="AC82" s="693">
        <f>Flat!AC41/10^6*3.6</f>
        <v>1.6767956017797452E-2</v>
      </c>
      <c r="AD82" s="693">
        <f>Flat!AD41/10^6*3.6</f>
        <v>1.4445997205132087E-2</v>
      </c>
      <c r="AE82" s="693">
        <f>Flat!AE41/10^6*3.6</f>
        <v>1.8921060604552179E-2</v>
      </c>
      <c r="AF82" s="693">
        <f>Flat!AF41/10^6*3.6</f>
        <v>1.8263785074936832E-2</v>
      </c>
      <c r="AG82" s="693">
        <f>Flat!AG41/10^6*3.6</f>
        <v>2.7904710573789536E-2</v>
      </c>
      <c r="AH82" s="693">
        <f>Flat!AH41/10^6*3.6</f>
        <v>1.5535515107537142E-2</v>
      </c>
      <c r="AI82" s="693">
        <f>Flat!AI41/10^6*3.6</f>
        <v>1.9612364261020362E-2</v>
      </c>
      <c r="AJ82" s="693">
        <f>Flat!AJ41/10^6*3.6</f>
        <v>2.0459644143687429E-2</v>
      </c>
      <c r="AK82" s="693">
        <f>Flat!AK41/10^6*3.6</f>
        <v>1.963654040156879E-2</v>
      </c>
      <c r="AL82" s="693">
        <f>Flat!AL41/10^6*3.6</f>
        <v>1.9861849961990991E-2</v>
      </c>
      <c r="AM82" s="693">
        <f>Flat!AM41/10^6*3.6</f>
        <v>1.8814190217004832E-2</v>
      </c>
      <c r="AN82" s="693">
        <f>Flat!AN41/10^6*3.6</f>
        <v>1.8814190217004832E-2</v>
      </c>
    </row>
    <row r="83" spans="1:42">
      <c r="A83" t="s">
        <v>854</v>
      </c>
      <c r="B83" t="str">
        <f>TechComm!$C$22</f>
        <v>R_ES-FL-SpHeat</v>
      </c>
      <c r="C83" s="2">
        <f>VLOOKUP(C62,TechComm!$U$2:$V$7,2,FALSE)</f>
        <v>1957</v>
      </c>
      <c r="D83" s="693">
        <f>Flat!D42/10^6*3.6</f>
        <v>2.4623351014554967E-2</v>
      </c>
      <c r="E83" s="693">
        <f>Flat!E42/10^6*3.6</f>
        <v>2.7085496688234161E-2</v>
      </c>
      <c r="F83" s="693">
        <f>Flat!F42/10^6*3.6</f>
        <v>1.5813934604233342E-2</v>
      </c>
      <c r="G83" s="693">
        <f>Flat!G42/10^6*3.6</f>
        <v>2.3989509858052715E-2</v>
      </c>
      <c r="H83" s="693">
        <f>Flat!H42/10^6*3.6</f>
        <v>8.2938243018258907E-3</v>
      </c>
      <c r="I83" s="693">
        <f>Flat!I42/10^6*3.6</f>
        <v>1.7178763128873845E-2</v>
      </c>
      <c r="J83" s="693">
        <f>Flat!J42/10^6*3.6</f>
        <v>2.2319995260831921E-2</v>
      </c>
      <c r="K83" s="693">
        <f>Flat!K42/10^6*3.6</f>
        <v>1.5818440267322906E-2</v>
      </c>
      <c r="L83" s="693">
        <f>Flat!L42/10^6*3.6</f>
        <v>1.2202725548249665E-2</v>
      </c>
      <c r="M83" s="693">
        <f>Flat!M42/10^6*3.6</f>
        <v>2.8103433048719255E-2</v>
      </c>
      <c r="N83" s="693">
        <f>Flat!N42/10^6*3.6</f>
        <v>1.5086850246584259E-2</v>
      </c>
      <c r="O83" s="693">
        <f>Flat!O42/10^6*3.6</f>
        <v>2.8239287970306563E-2</v>
      </c>
      <c r="P83" s="693">
        <f>Flat!P42/10^6*3.6</f>
        <v>2.4622958369590567E-2</v>
      </c>
      <c r="Q83" s="693">
        <f>Flat!Q42/10^6*3.6</f>
        <v>1.9499131442391682E-2</v>
      </c>
      <c r="R83" s="693">
        <f>Flat!R42/10^6*3.6</f>
        <v>1.7813490397916548E-2</v>
      </c>
      <c r="S83" s="693">
        <f>Flat!S42/10^6*3.6</f>
        <v>1.7581688909398294E-2</v>
      </c>
      <c r="T83" s="693">
        <f>Flat!T42/10^6*3.6</f>
        <v>1.6763819288804629E-2</v>
      </c>
      <c r="U83" s="693">
        <f>Flat!U42/10^6*3.6</f>
        <v>2.1800248376234416E-2</v>
      </c>
      <c r="V83" s="693">
        <f>Flat!V42/10^6*3.6</f>
        <v>1.9321406751363221E-2</v>
      </c>
      <c r="W83" s="693">
        <f>Flat!W42/10^6*3.6</f>
        <v>2.9063275084736721E-2</v>
      </c>
      <c r="X83" s="693">
        <f>Flat!X42/10^6*3.6</f>
        <v>2.1251397209859652E-2</v>
      </c>
      <c r="Y83" s="693">
        <f>Flat!Y42/10^6*3.6</f>
        <v>8.3455036420924597E-3</v>
      </c>
      <c r="Z83" s="693">
        <f>Flat!Z42/10^6*3.6</f>
        <v>2.4182421857699969E-2</v>
      </c>
      <c r="AA83" s="693">
        <f>Flat!AA42/10^6*3.6</f>
        <v>1.9533923488205714E-2</v>
      </c>
      <c r="AB83" s="693">
        <f>Flat!AB42/10^6*3.6</f>
        <v>1.7634370527386402E-2</v>
      </c>
      <c r="AC83" s="693">
        <f>Flat!AC42/10^6*3.6</f>
        <v>1.47830494916489E-2</v>
      </c>
      <c r="AD83" s="693">
        <f>Flat!AD42/10^6*3.6</f>
        <v>1.3265123657033384E-2</v>
      </c>
      <c r="AE83" s="693">
        <f>Flat!AE42/10^6*3.6</f>
        <v>1.8835047727557903E-2</v>
      </c>
      <c r="AF83" s="693">
        <f>Flat!AF42/10^6*3.6</f>
        <v>1.8263785074936832E-2</v>
      </c>
      <c r="AG83" s="693">
        <f>Flat!AG42/10^6*3.6</f>
        <v>2.4045278282424195E-2</v>
      </c>
      <c r="AH83" s="693">
        <f>Flat!AH42/10^6*3.6</f>
        <v>1.6205757799960707E-2</v>
      </c>
      <c r="AI83" s="693">
        <f>Flat!AI42/10^6*3.6</f>
        <v>1.9612364261020362E-2</v>
      </c>
      <c r="AJ83" s="693">
        <f>Flat!AJ42/10^6*3.6</f>
        <v>2.0459644143687429E-2</v>
      </c>
      <c r="AK83" s="693">
        <f>Flat!AK42/10^6*3.6</f>
        <v>1.963654040156879E-2</v>
      </c>
      <c r="AL83" s="693">
        <f>Flat!AL42/10^6*3.6</f>
        <v>1.9861849961990991E-2</v>
      </c>
      <c r="AM83" s="693">
        <f>Flat!AM42/10^6*3.6</f>
        <v>1.8814190217004832E-2</v>
      </c>
      <c r="AN83" s="693">
        <f>Flat!AN42/10^6*3.6</f>
        <v>1.8814190217004832E-2</v>
      </c>
    </row>
    <row r="84" spans="1:42">
      <c r="A84" t="s">
        <v>854</v>
      </c>
      <c r="B84" t="str">
        <f>TechComm!$C$22</f>
        <v>R_ES-FL-SpHeat</v>
      </c>
      <c r="C84" s="2">
        <f>VLOOKUP(C63,TechComm!$U$2:$V$7,2,FALSE)</f>
        <v>1975</v>
      </c>
      <c r="D84" s="693">
        <f>Flat!D43/10^6*3.6</f>
        <v>2.0103656316790047E-2</v>
      </c>
      <c r="E84" s="693">
        <f>Flat!E43/10^6*3.6</f>
        <v>2.7085496688234161E-2</v>
      </c>
      <c r="F84" s="693">
        <f>Flat!F43/10^6*3.6</f>
        <v>1.4981608931296256E-2</v>
      </c>
      <c r="G84" s="693">
        <f>Flat!G43/10^6*3.6</f>
        <v>1.9586158728333219E-2</v>
      </c>
      <c r="H84" s="693">
        <f>Flat!H43/10^6*3.6</f>
        <v>8.3613290390564254E-3</v>
      </c>
      <c r="I84" s="693">
        <f>Flat!I43/10^6*3.6</f>
        <v>1.7178763128873845E-2</v>
      </c>
      <c r="J84" s="693">
        <f>Flat!J43/10^6*3.6</f>
        <v>1.5203206122908753E-2</v>
      </c>
      <c r="K84" s="693">
        <f>Flat!K43/10^6*3.6</f>
        <v>1.1388365787205033E-2</v>
      </c>
      <c r="L84" s="693">
        <f>Flat!L43/10^6*3.6</f>
        <v>1.0118419172385703E-2</v>
      </c>
      <c r="M84" s="693">
        <f>Flat!M43/10^6*3.6</f>
        <v>2.8103433048719255E-2</v>
      </c>
      <c r="N84" s="693">
        <f>Flat!N43/10^6*3.6</f>
        <v>1.2767965088360821E-2</v>
      </c>
      <c r="O84" s="693">
        <f>Flat!O43/10^6*3.6</f>
        <v>1.432476191172641E-2</v>
      </c>
      <c r="P84" s="693">
        <f>Flat!P43/10^6*3.6</f>
        <v>2.4622958369590567E-2</v>
      </c>
      <c r="Q84" s="693">
        <f>Flat!Q43/10^6*3.6</f>
        <v>1.6998609015606802E-2</v>
      </c>
      <c r="R84" s="693">
        <f>Flat!R43/10^6*3.6</f>
        <v>1.5573910740524203E-2</v>
      </c>
      <c r="S84" s="693">
        <f>Flat!S43/10^6*3.6</f>
        <v>1.5794155204173765E-2</v>
      </c>
      <c r="T84" s="693">
        <f>Flat!T43/10^6*3.6</f>
        <v>1.3875968547034549E-2</v>
      </c>
      <c r="U84" s="693">
        <f>Flat!U43/10^6*3.6</f>
        <v>2.081029719001757E-2</v>
      </c>
      <c r="V84" s="693">
        <f>Flat!V43/10^6*3.6</f>
        <v>1.2763525687772654E-2</v>
      </c>
      <c r="W84" s="693">
        <f>Flat!W43/10^6*3.6</f>
        <v>1.5942970678279458E-2</v>
      </c>
      <c r="X84" s="693">
        <f>Flat!X43/10^6*3.6</f>
        <v>1.986880225029139E-2</v>
      </c>
      <c r="Y84" s="693">
        <f>Flat!Y43/10^6*3.6</f>
        <v>6.6851322977645239E-3</v>
      </c>
      <c r="Z84" s="693">
        <f>Flat!Z43/10^6*3.6</f>
        <v>2.3771573690288469E-2</v>
      </c>
      <c r="AA84" s="693">
        <f>Flat!AA43/10^6*3.6</f>
        <v>1.4298413457149252E-2</v>
      </c>
      <c r="AB84" s="693">
        <f>Flat!AB43/10^6*3.6</f>
        <v>1.2774648234658391E-2</v>
      </c>
      <c r="AC84" s="693">
        <f>Flat!AC43/10^6*3.6</f>
        <v>1.4606210942711806E-2</v>
      </c>
      <c r="AD84" s="693">
        <f>Flat!AD43/10^6*3.6</f>
        <v>1.3265123657033384E-2</v>
      </c>
      <c r="AE84" s="693">
        <f>Flat!AE43/10^6*3.6</f>
        <v>1.3786851374551991E-2</v>
      </c>
      <c r="AF84" s="693">
        <f>Flat!AF43/10^6*3.6</f>
        <v>1.7346411440984425E-2</v>
      </c>
      <c r="AG84" s="693">
        <f>Flat!AG43/10^6*3.6</f>
        <v>2.4045278282424195E-2</v>
      </c>
      <c r="AH84" s="693">
        <f>Flat!AH43/10^6*3.6</f>
        <v>1.3593936750740053E-2</v>
      </c>
      <c r="AI84" s="693">
        <f>Flat!AI43/10^6*3.6</f>
        <v>1.9612364261020362E-2</v>
      </c>
      <c r="AJ84" s="693">
        <f>Flat!AJ43/10^6*3.6</f>
        <v>2.0459644143687429E-2</v>
      </c>
      <c r="AK84" s="693">
        <f>Flat!AK43/10^6*3.6</f>
        <v>1.963654040156879E-2</v>
      </c>
      <c r="AL84" s="693">
        <f>Flat!AL43/10^6*3.6</f>
        <v>1.877545242078742E-2</v>
      </c>
      <c r="AM84" s="693">
        <f>Flat!AM43/10^6*3.6</f>
        <v>1.8814190217004832E-2</v>
      </c>
      <c r="AN84" s="693">
        <f>Flat!AN43/10^6*3.6</f>
        <v>1.8814190217004832E-2</v>
      </c>
    </row>
    <row r="85" spans="1:42">
      <c r="A85" t="s">
        <v>854</v>
      </c>
      <c r="B85" t="str">
        <f>TechComm!$C$22</f>
        <v>R_ES-FL-SpHeat</v>
      </c>
      <c r="C85" s="2">
        <f>VLOOKUP(C64,TechComm!$U$2:$V$7,2,FALSE)</f>
        <v>1985</v>
      </c>
      <c r="D85" s="693">
        <f>Flat!D44/10^6*3.6</f>
        <v>1.4208508984115124E-2</v>
      </c>
      <c r="E85" s="693">
        <f>Flat!E44/10^6*3.6</f>
        <v>2.3353829406911015E-2</v>
      </c>
      <c r="F85" s="693">
        <f>Flat!F44/10^6*3.6</f>
        <v>1.3036167296831734E-2</v>
      </c>
      <c r="G85" s="693">
        <f>Flat!G44/10^6*3.6</f>
        <v>1.3842761131138465E-2</v>
      </c>
      <c r="H85" s="693">
        <f>Flat!H44/10^6*3.6</f>
        <v>8.2018748476814802E-3</v>
      </c>
      <c r="I85" s="693">
        <f>Flat!I44/10^6*3.6</f>
        <v>1.5664946822912678E-2</v>
      </c>
      <c r="J85" s="693">
        <f>Flat!J44/10^6*3.6</f>
        <v>1.3002320423662615E-2</v>
      </c>
      <c r="K85" s="693">
        <f>Flat!K44/10^6*3.6</f>
        <v>9.6633529794457034E-3</v>
      </c>
      <c r="L85" s="693">
        <f>Flat!L44/10^6*3.6</f>
        <v>7.6105636670849228E-3</v>
      </c>
      <c r="M85" s="693">
        <f>Flat!M44/10^6*3.6</f>
        <v>1.9786092612427249E-2</v>
      </c>
      <c r="N85" s="693">
        <f>Flat!N44/10^6*3.6</f>
        <v>1.0538720482085791E-2</v>
      </c>
      <c r="O85" s="693">
        <f>Flat!O44/10^6*3.6</f>
        <v>1.2360957257080765E-2</v>
      </c>
      <c r="P85" s="693">
        <f>Flat!P44/10^6*3.6</f>
        <v>2.417793257706893E-2</v>
      </c>
      <c r="Q85" s="693">
        <f>Flat!Q44/10^6*3.6</f>
        <v>1.6998609015606802E-2</v>
      </c>
      <c r="R85" s="693">
        <f>Flat!R44/10^6*3.6</f>
        <v>1.1692904252318967E-2</v>
      </c>
      <c r="S85" s="693">
        <f>Flat!S44/10^6*3.6</f>
        <v>1.1067456918524598E-2</v>
      </c>
      <c r="T85" s="693">
        <f>Flat!T44/10^6*3.6</f>
        <v>1.1229872511871247E-2</v>
      </c>
      <c r="U85" s="693">
        <f>Flat!U44/10^6*3.6</f>
        <v>1.5442515528040442E-2</v>
      </c>
      <c r="V85" s="693">
        <f>Flat!V44/10^6*3.6</f>
        <v>1.2763525687772654E-2</v>
      </c>
      <c r="W85" s="693">
        <f>Flat!W44/10^6*3.6</f>
        <v>1.3518390035959695E-2</v>
      </c>
      <c r="X85" s="693">
        <f>Flat!X44/10^6*3.6</f>
        <v>1.2366574488667501E-2</v>
      </c>
      <c r="Y85" s="693">
        <f>Flat!Y44/10^6*3.6</f>
        <v>6.3519879270414765E-3</v>
      </c>
      <c r="Z85" s="693">
        <f>Flat!Z44/10^6*3.6</f>
        <v>1.4383584724438018E-2</v>
      </c>
      <c r="AA85" s="693">
        <f>Flat!AA44/10^6*3.6</f>
        <v>1.4076972572004243E-2</v>
      </c>
      <c r="AB85" s="693">
        <f>Flat!AB44/10^6*3.6</f>
        <v>1.2774648234658391E-2</v>
      </c>
      <c r="AC85" s="693">
        <f>Flat!AC44/10^6*3.6</f>
        <v>1.414867342406694E-2</v>
      </c>
      <c r="AD85" s="693">
        <f>Flat!AD44/10^6*3.6</f>
        <v>1.1505249420278288E-2</v>
      </c>
      <c r="AE85" s="693">
        <f>Flat!AE44/10^6*3.6</f>
        <v>1.3573333099892152E-2</v>
      </c>
      <c r="AF85" s="693">
        <f>Flat!AF44/10^6*3.6</f>
        <v>1.2820252347994939E-2</v>
      </c>
      <c r="AG85" s="693">
        <f>Flat!AG44/10^6*3.6</f>
        <v>2.0453090140983947E-2</v>
      </c>
      <c r="AH85" s="693">
        <f>Flat!AH44/10^6*3.6</f>
        <v>8.8361502288570037E-3</v>
      </c>
      <c r="AI85" s="693">
        <f>Flat!AI44/10^6*3.6</f>
        <v>1.9279608945068225E-2</v>
      </c>
      <c r="AJ85" s="693">
        <f>Flat!AJ44/10^6*3.6</f>
        <v>1.7893296208523906E-2</v>
      </c>
      <c r="AK85" s="693">
        <f>Flat!AK44/10^6*3.6</f>
        <v>1.7128308335284559E-2</v>
      </c>
      <c r="AL85" s="693">
        <f>Flat!AL44/10^6*3.6</f>
        <v>1.620127182088104E-2</v>
      </c>
      <c r="AM85" s="693">
        <f>Flat!AM44/10^6*3.6</f>
        <v>1.6454239189700119E-2</v>
      </c>
      <c r="AN85" s="693">
        <f>Flat!AN44/10^6*3.6</f>
        <v>1.6454239189700119E-2</v>
      </c>
    </row>
    <row r="86" spans="1:42">
      <c r="A86" t="s">
        <v>854</v>
      </c>
      <c r="B86" t="str">
        <f>TechComm!$C$22</f>
        <v>R_ES-FL-SpHeat</v>
      </c>
      <c r="C86" s="2">
        <f>VLOOKUP(C65,TechComm!$U$2:$V$7,2,FALSE)</f>
        <v>1995</v>
      </c>
      <c r="D86" s="693">
        <f>Flat!D45/10^6*3.6</f>
        <v>1.1960180719443419E-2</v>
      </c>
      <c r="E86" s="693">
        <f>Flat!E45/10^6*3.6</f>
        <v>2.3353829406911015E-2</v>
      </c>
      <c r="F86" s="693">
        <f>Flat!F45/10^6*3.6</f>
        <v>1.0663018728809934E-2</v>
      </c>
      <c r="G86" s="693">
        <f>Flat!G45/10^6*3.6</f>
        <v>1.1652308132373246E-2</v>
      </c>
      <c r="H86" s="693">
        <f>Flat!H45/10^6*3.6</f>
        <v>7.0838745542221434E-3</v>
      </c>
      <c r="I86" s="693">
        <f>Flat!I45/10^6*3.6</f>
        <v>1.1903857647739475E-2</v>
      </c>
      <c r="J86" s="693">
        <f>Flat!J45/10^6*3.6</f>
        <v>7.4220560091519845E-3</v>
      </c>
      <c r="K86" s="693">
        <f>Flat!K45/10^6*3.6</f>
        <v>9.6633529794457034E-3</v>
      </c>
      <c r="L86" s="693">
        <f>Flat!L45/10^6*3.6</f>
        <v>6.8232885526955103E-3</v>
      </c>
      <c r="M86" s="693">
        <f>Flat!M45/10^6*3.6</f>
        <v>1.9786092612427249E-2</v>
      </c>
      <c r="N86" s="693">
        <f>Flat!N45/10^6*3.6</f>
        <v>1.0444239165258778E-2</v>
      </c>
      <c r="O86" s="693">
        <f>Flat!O45/10^6*3.6</f>
        <v>7.2367033969825793E-3</v>
      </c>
      <c r="P86" s="693">
        <f>Flat!P45/10^6*3.6</f>
        <v>2.417793257706893E-2</v>
      </c>
      <c r="Q86" s="693">
        <f>Flat!Q45/10^6*3.6</f>
        <v>1.2248100473607545E-2</v>
      </c>
      <c r="R86" s="693">
        <f>Flat!R45/10^6*3.6</f>
        <v>1.1692904252318967E-2</v>
      </c>
      <c r="S86" s="693">
        <f>Flat!S45/10^6*3.6</f>
        <v>9.7438758838789708E-3</v>
      </c>
      <c r="T86" s="693">
        <f>Flat!T45/10^6*3.6</f>
        <v>1.1117404559841969E-2</v>
      </c>
      <c r="U86" s="693">
        <f>Flat!U45/10^6*3.6</f>
        <v>1.418354094707627E-2</v>
      </c>
      <c r="V86" s="693">
        <f>Flat!V45/10^6*3.6</f>
        <v>1.2763525687772654E-2</v>
      </c>
      <c r="W86" s="693">
        <f>Flat!W45/10^6*3.6</f>
        <v>1.1592831044534121E-2</v>
      </c>
      <c r="X86" s="693">
        <f>Flat!X45/10^6*3.6</f>
        <v>1.2272699697560631E-2</v>
      </c>
      <c r="Y86" s="693">
        <f>Flat!Y45/10^6*3.6</f>
        <v>6.2883177519148497E-3</v>
      </c>
      <c r="Z86" s="693">
        <f>Flat!Z45/10^6*3.6</f>
        <v>1.2884825815172078E-2</v>
      </c>
      <c r="AA86" s="693">
        <f>Flat!AA45/10^6*3.6</f>
        <v>1.2646307579575187E-2</v>
      </c>
      <c r="AB86" s="693">
        <f>Flat!AB45/10^6*3.6</f>
        <v>1.2774648234658391E-2</v>
      </c>
      <c r="AC86" s="693">
        <f>Flat!AC45/10^6*3.6</f>
        <v>1.2999985055409048E-2</v>
      </c>
      <c r="AD86" s="693">
        <f>Flat!AD45/10^6*3.6</f>
        <v>1.1505249420278288E-2</v>
      </c>
      <c r="AE86" s="693">
        <f>Flat!AE45/10^6*3.6</f>
        <v>1.2193853783777422E-2</v>
      </c>
      <c r="AF86" s="693">
        <f>Flat!AF45/10^6*3.6</f>
        <v>9.6249658058602926E-3</v>
      </c>
      <c r="AG86" s="693">
        <f>Flat!AG45/10^6*3.6</f>
        <v>1.9481051081848333E-2</v>
      </c>
      <c r="AH86" s="693">
        <f>Flat!AH45/10^6*3.6</f>
        <v>6.3136974121078002E-3</v>
      </c>
      <c r="AI86" s="693">
        <f>Flat!AI45/10^6*3.6</f>
        <v>1.9279608945068225E-2</v>
      </c>
      <c r="AJ86" s="693">
        <f>Flat!AJ45/10^6*3.6</f>
        <v>1.6992446050825255E-2</v>
      </c>
      <c r="AK86" s="693">
        <f>Flat!AK45/10^6*3.6</f>
        <v>1.6239903059741545E-2</v>
      </c>
      <c r="AL86" s="693">
        <f>Flat!AL45/10^6*3.6</f>
        <v>1.3241642111460953E-2</v>
      </c>
      <c r="AM86" s="693">
        <f>Flat!AM45/10^6*3.6</f>
        <v>1.5625839335580927E-2</v>
      </c>
      <c r="AN86" s="693">
        <f>Flat!AN45/10^6*3.6</f>
        <v>1.5625839335580927E-2</v>
      </c>
    </row>
    <row r="87" spans="1:42">
      <c r="A87" t="s">
        <v>854</v>
      </c>
      <c r="B87" t="str">
        <f>TechComm!$C$22</f>
        <v>R_ES-FL-SpHeat</v>
      </c>
      <c r="C87" s="2">
        <f>VLOOKUP(C66,TechComm!$U$2:$V$7,2,FALSE)</f>
        <v>2004</v>
      </c>
      <c r="D87" s="693">
        <f>Flat!D46/10^6*3.6</f>
        <v>1.0812164419686146E-2</v>
      </c>
      <c r="E87" s="693">
        <f>Flat!E46/10^6*3.6</f>
        <v>1.3941419766188165E-2</v>
      </c>
      <c r="F87" s="693">
        <f>Flat!F46/10^6*3.6</f>
        <v>7.1868379691925237E-3</v>
      </c>
      <c r="G87" s="693">
        <f>Flat!G46/10^6*3.6</f>
        <v>1.0533843455329369E-2</v>
      </c>
      <c r="H87" s="693">
        <f>Flat!H46/10^6*3.6</f>
        <v>6.5464292837911523E-3</v>
      </c>
      <c r="I87" s="693">
        <f>Flat!I46/10^6*3.6</f>
        <v>9.5626035726568328E-3</v>
      </c>
      <c r="J87" s="693">
        <f>Flat!J46/10^6*3.6</f>
        <v>8.166518616324496E-3</v>
      </c>
      <c r="K87" s="693">
        <f>Flat!K46/10^6*3.6</f>
        <v>7.138980286294401E-3</v>
      </c>
      <c r="L87" s="693">
        <f>Flat!L46/10^6*3.6</f>
        <v>6.8232885526955103E-3</v>
      </c>
      <c r="M87" s="693">
        <f>Flat!M46/10^6*3.6</f>
        <v>1.269949061912649E-2</v>
      </c>
      <c r="N87" s="693">
        <f>Flat!N46/10^6*3.6</f>
        <v>9.3615236060443988E-3</v>
      </c>
      <c r="O87" s="693">
        <f>Flat!O46/10^6*3.6</f>
        <v>6.9979710550987445E-3</v>
      </c>
      <c r="P87" s="693">
        <f>Flat!P46/10^6*3.6</f>
        <v>9.2908071897081033E-3</v>
      </c>
      <c r="Q87" s="693">
        <f>Flat!Q46/10^6*3.6</f>
        <v>7.2875349695823754E-3</v>
      </c>
      <c r="R87" s="693">
        <f>Flat!R46/10^6*3.6</f>
        <v>7.2812562847794473E-3</v>
      </c>
      <c r="S87" s="693">
        <f>Flat!S46/10^6*3.6</f>
        <v>6.5053383434173695E-3</v>
      </c>
      <c r="T87" s="693">
        <f>Flat!T46/10^6*3.6</f>
        <v>1.005204821028389E-2</v>
      </c>
      <c r="U87" s="693">
        <f>Flat!U46/10^6*3.6</f>
        <v>1.3448225458003275E-2</v>
      </c>
      <c r="V87" s="693">
        <f>Flat!V46/10^6*3.6</f>
        <v>7.4762243977911941E-3</v>
      </c>
      <c r="W87" s="693">
        <f>Flat!W46/10^6*3.6</f>
        <v>9.26520141794928E-3</v>
      </c>
      <c r="X87" s="693">
        <f>Flat!X46/10^6*3.6</f>
        <v>7.5790692619707254E-3</v>
      </c>
      <c r="Y87" s="693">
        <f>Flat!Y46/10^6*3.6</f>
        <v>5.9629140840858977E-3</v>
      </c>
      <c r="Z87" s="693">
        <f>Flat!Z46/10^6*3.6</f>
        <v>9.538931160048926E-3</v>
      </c>
      <c r="AA87" s="693">
        <f>Flat!AA46/10^6*3.6</f>
        <v>1.0939995769415661E-2</v>
      </c>
      <c r="AB87" s="693">
        <f>Flat!AB46/10^6*3.6</f>
        <v>1.0101734150033797E-2</v>
      </c>
      <c r="AC87" s="693">
        <f>Flat!AC46/10^6*3.6</f>
        <v>8.9433176228717205E-3</v>
      </c>
      <c r="AD87" s="693">
        <f>Flat!AD46/10^6*3.6</f>
        <v>8.7705048603748982E-3</v>
      </c>
      <c r="AE87" s="693">
        <f>Flat!AE46/10^6*3.6</f>
        <v>1.0548589615426648E-2</v>
      </c>
      <c r="AF87" s="693">
        <f>Flat!AF46/10^6*3.6</f>
        <v>5.7707748753821906E-3</v>
      </c>
      <c r="AG87" s="693">
        <f>Flat!AG46/10^6*3.6</f>
        <v>1.127925352524207E-2</v>
      </c>
      <c r="AH87" s="693">
        <f>Flat!AH46/10^6*3.6</f>
        <v>5.3124396699002641E-3</v>
      </c>
      <c r="AI87" s="693">
        <f>Flat!AI46/10^6*3.6</f>
        <v>7.7230390952138439E-3</v>
      </c>
      <c r="AJ87" s="693">
        <f>Flat!AJ46/10^6*3.6</f>
        <v>1.4608108724520797E-2</v>
      </c>
      <c r="AK87" s="693">
        <f>Flat!AK46/10^6*3.6</f>
        <v>1.3968802021041338E-2</v>
      </c>
      <c r="AL87" s="693">
        <f>Flat!AL46/10^6*3.6</f>
        <v>8.5242410647944095E-3</v>
      </c>
      <c r="AM87" s="693">
        <f>Flat!AM46/10^6*3.6</f>
        <v>1.3433260829153791E-2</v>
      </c>
      <c r="AN87" s="693">
        <f>Flat!AN46/10^6*3.6</f>
        <v>1.3433260829153791E-2</v>
      </c>
    </row>
    <row r="88" spans="1:42">
      <c r="A88" t="s">
        <v>547</v>
      </c>
      <c r="B88" t="str">
        <f>'TechWaterHeat-RES'!E12</f>
        <v>R_ES-DH-WatHeat</v>
      </c>
      <c r="C88" s="2"/>
      <c r="D88" s="693">
        <f ca="1">'TechWaterHeat-RES per dwelling'!F51</f>
        <v>1.1251381070904523E-2</v>
      </c>
      <c r="E88" s="693">
        <f ca="1">'TechWaterHeat-RES per dwelling'!G51</f>
        <v>9.5272111428894649E-3</v>
      </c>
      <c r="F88" s="693">
        <f ca="1">'TechWaterHeat-RES per dwelling'!H51</f>
        <v>7.585517907243931E-3</v>
      </c>
      <c r="G88" s="693">
        <f ca="1">'TechWaterHeat-RES per dwelling'!I51</f>
        <v>8.5103268836431416E-3</v>
      </c>
      <c r="H88" s="693">
        <f ca="1">'TechWaterHeat-RES per dwelling'!J51</f>
        <v>9.4679450592003479E-3</v>
      </c>
      <c r="I88" s="693">
        <f ca="1">'TechWaterHeat-RES per dwelling'!K51</f>
        <v>7.1258839317191423E-3</v>
      </c>
      <c r="J88" s="693">
        <f ca="1">'TechWaterHeat-RES per dwelling'!L51</f>
        <v>9.2098032071248077E-3</v>
      </c>
      <c r="K88" s="693">
        <f ca="1">'TechWaterHeat-RES per dwelling'!M51</f>
        <v>9.7229186384835374E-3</v>
      </c>
      <c r="L88" s="693">
        <f ca="1">'TechWaterHeat-RES per dwelling'!N51</f>
        <v>8.9376628770996436E-3</v>
      </c>
      <c r="M88" s="693">
        <f ca="1">'TechWaterHeat-RES per dwelling'!O51</f>
        <v>1.2010717894111539E-2</v>
      </c>
      <c r="N88" s="693">
        <f ca="1">'TechWaterHeat-RES per dwelling'!P51</f>
        <v>1.135996968015328E-2</v>
      </c>
      <c r="O88" s="693">
        <f ca="1">'TechWaterHeat-RES per dwelling'!Q51</f>
        <v>9.9539709135063395E-3</v>
      </c>
      <c r="P88" s="693">
        <f ca="1">'TechWaterHeat-RES per dwelling'!R51</f>
        <v>1.0422414784520613E-2</v>
      </c>
      <c r="Q88" s="693">
        <f ca="1">'TechWaterHeat-RES per dwelling'!S51</f>
        <v>6.1370922585661713E-3</v>
      </c>
      <c r="R88" s="693">
        <f ca="1">'TechWaterHeat-RES per dwelling'!T51</f>
        <v>5.3359981990968343E-3</v>
      </c>
      <c r="S88" s="693">
        <f ca="1">'TechWaterHeat-RES per dwelling'!U51</f>
        <v>1.0752265164529731E-2</v>
      </c>
      <c r="T88" s="693">
        <f ca="1">'TechWaterHeat-RES per dwelling'!V51</f>
        <v>1.0532394176565018E-2</v>
      </c>
      <c r="U88" s="693">
        <f ca="1">'TechWaterHeat-RES per dwelling'!W51</f>
        <v>8.4432134067511187E-3</v>
      </c>
      <c r="V88" s="693">
        <f ca="1">'TechWaterHeat-RES per dwelling'!X51</f>
        <v>7.3425045027849098E-3</v>
      </c>
      <c r="W88" s="693">
        <f ca="1">'TechWaterHeat-RES per dwelling'!Y51</f>
        <v>7.6613003004918573E-3</v>
      </c>
      <c r="X88" s="693">
        <f ca="1">'TechWaterHeat-RES per dwelling'!Z51</f>
        <v>1.0300904857021604E-2</v>
      </c>
      <c r="Y88" s="693">
        <f ca="1">'TechWaterHeat-RES per dwelling'!AA51</f>
        <v>4.6083001257302544E-3</v>
      </c>
      <c r="Z88" s="693">
        <f ca="1">'TechWaterHeat-RES per dwelling'!AB51</f>
        <v>9.2443660202145821E-3</v>
      </c>
      <c r="AA88" s="693">
        <f ca="1">'TechWaterHeat-RES per dwelling'!AC51</f>
        <v>1.5409945950424761E-2</v>
      </c>
      <c r="AB88" s="693">
        <f ca="1">'TechWaterHeat-RES per dwelling'!AD51</f>
        <v>9.1778714021296687E-3</v>
      </c>
      <c r="AC88" s="693">
        <f ca="1">'TechWaterHeat-RES per dwelling'!AE51</f>
        <v>1.4817586844637132E-2</v>
      </c>
      <c r="AD88" s="693">
        <f ca="1">'TechWaterHeat-RES per dwelling'!AF51</f>
        <v>6.1500457353994686E-3</v>
      </c>
      <c r="AE88" s="693">
        <f ca="1">'TechWaterHeat-RES per dwelling'!AG51</f>
        <v>9.2939987570087746E-3</v>
      </c>
      <c r="AF88" s="693">
        <f ca="1">'TechWaterHeat-RES per dwelling'!AH51</f>
        <v>1.2373113152046561E-2</v>
      </c>
      <c r="AG88" s="693">
        <f ca="1">'TechWaterHeat-RES per dwelling'!AI51</f>
        <v>9.3921415348432145E-3</v>
      </c>
      <c r="AH88" s="693">
        <f ca="1">'TechWaterHeat-RES per dwelling'!AJ51</f>
        <v>9.2111061387550198E-3</v>
      </c>
      <c r="AI88" s="693">
        <f ca="1">'TechWaterHeat-RES per dwelling'!AK51</f>
        <v>1.0671601459711881E-2</v>
      </c>
      <c r="AJ88" s="693">
        <f ca="1">'TechWaterHeat-RES per dwelling'!AL51</f>
        <v>5.6302138477458919E-3</v>
      </c>
      <c r="AK88" s="693">
        <f ca="1">'TechWaterHeat-RES per dwelling'!AM51</f>
        <v>7.5894074581261094E-3</v>
      </c>
      <c r="AL88" s="693">
        <f ca="1">'TechWaterHeat-RES per dwelling'!AN51</f>
        <v>6.2653175584339712E-3</v>
      </c>
      <c r="AM88" s="693">
        <f ca="1">'TechWaterHeat-RES per dwelling'!AO51</f>
        <v>6.927562009568288E-3</v>
      </c>
      <c r="AN88" s="693">
        <f ca="1">'TechWaterHeat-RES per dwelling'!AP51</f>
        <v>4.2840393102842661E-3</v>
      </c>
    </row>
    <row r="89" spans="1:42">
      <c r="A89" s="2" t="s">
        <v>897</v>
      </c>
      <c r="B89" t="str">
        <f>B88</f>
        <v>R_ES-DH-WatHeat</v>
      </c>
      <c r="C89" s="2"/>
      <c r="D89" s="693">
        <f ca="1">D88</f>
        <v>1.1251381070904523E-2</v>
      </c>
      <c r="E89" s="693">
        <f t="shared" ref="E89:AN89" ca="1" si="8">E88</f>
        <v>9.5272111428894649E-3</v>
      </c>
      <c r="F89" s="693">
        <f t="shared" ca="1" si="8"/>
        <v>7.585517907243931E-3</v>
      </c>
      <c r="G89" s="693">
        <f t="shared" ca="1" si="8"/>
        <v>8.5103268836431416E-3</v>
      </c>
      <c r="H89" s="693">
        <f t="shared" ca="1" si="8"/>
        <v>9.4679450592003479E-3</v>
      </c>
      <c r="I89" s="693">
        <f t="shared" ca="1" si="8"/>
        <v>7.1258839317191423E-3</v>
      </c>
      <c r="J89" s="693">
        <f t="shared" ca="1" si="8"/>
        <v>9.2098032071248077E-3</v>
      </c>
      <c r="K89" s="693">
        <f t="shared" ca="1" si="8"/>
        <v>9.7229186384835374E-3</v>
      </c>
      <c r="L89" s="693">
        <f t="shared" ca="1" si="8"/>
        <v>8.9376628770996436E-3</v>
      </c>
      <c r="M89" s="693">
        <f t="shared" ca="1" si="8"/>
        <v>1.2010717894111539E-2</v>
      </c>
      <c r="N89" s="693">
        <f t="shared" ca="1" si="8"/>
        <v>1.135996968015328E-2</v>
      </c>
      <c r="O89" s="693">
        <f t="shared" ca="1" si="8"/>
        <v>9.9539709135063395E-3</v>
      </c>
      <c r="P89" s="693">
        <f t="shared" ca="1" si="8"/>
        <v>1.0422414784520613E-2</v>
      </c>
      <c r="Q89" s="693">
        <f t="shared" ca="1" si="8"/>
        <v>6.1370922585661713E-3</v>
      </c>
      <c r="R89" s="693">
        <f t="shared" ca="1" si="8"/>
        <v>5.3359981990968343E-3</v>
      </c>
      <c r="S89" s="693">
        <f t="shared" ca="1" si="8"/>
        <v>1.0752265164529731E-2</v>
      </c>
      <c r="T89" s="693">
        <f t="shared" ca="1" si="8"/>
        <v>1.0532394176565018E-2</v>
      </c>
      <c r="U89" s="693">
        <f t="shared" ca="1" si="8"/>
        <v>8.4432134067511187E-3</v>
      </c>
      <c r="V89" s="693">
        <f t="shared" ca="1" si="8"/>
        <v>7.3425045027849098E-3</v>
      </c>
      <c r="W89" s="693">
        <f t="shared" ca="1" si="8"/>
        <v>7.6613003004918573E-3</v>
      </c>
      <c r="X89" s="693">
        <f t="shared" ca="1" si="8"/>
        <v>1.0300904857021604E-2</v>
      </c>
      <c r="Y89" s="693">
        <f t="shared" ca="1" si="8"/>
        <v>4.6083001257302544E-3</v>
      </c>
      <c r="Z89" s="693">
        <f t="shared" ca="1" si="8"/>
        <v>9.2443660202145821E-3</v>
      </c>
      <c r="AA89" s="693">
        <f t="shared" ca="1" si="8"/>
        <v>1.5409945950424761E-2</v>
      </c>
      <c r="AB89" s="693">
        <f t="shared" ca="1" si="8"/>
        <v>9.1778714021296687E-3</v>
      </c>
      <c r="AC89" s="693">
        <f t="shared" ca="1" si="8"/>
        <v>1.4817586844637132E-2</v>
      </c>
      <c r="AD89" s="693">
        <f t="shared" ca="1" si="8"/>
        <v>6.1500457353994686E-3</v>
      </c>
      <c r="AE89" s="693">
        <f t="shared" ca="1" si="8"/>
        <v>9.2939987570087746E-3</v>
      </c>
      <c r="AF89" s="693">
        <f t="shared" ca="1" si="8"/>
        <v>1.2373113152046561E-2</v>
      </c>
      <c r="AG89" s="693">
        <f t="shared" ca="1" si="8"/>
        <v>9.3921415348432145E-3</v>
      </c>
      <c r="AH89" s="693">
        <f t="shared" ca="1" si="8"/>
        <v>9.2111061387550198E-3</v>
      </c>
      <c r="AI89" s="693">
        <f t="shared" ca="1" si="8"/>
        <v>1.0671601459711881E-2</v>
      </c>
      <c r="AJ89" s="693">
        <f t="shared" ca="1" si="8"/>
        <v>5.6302138477458919E-3</v>
      </c>
      <c r="AK89" s="693">
        <f t="shared" ca="1" si="8"/>
        <v>7.5894074581261094E-3</v>
      </c>
      <c r="AL89" s="693">
        <f t="shared" ca="1" si="8"/>
        <v>6.2653175584339712E-3</v>
      </c>
      <c r="AM89" s="693">
        <f t="shared" ca="1" si="8"/>
        <v>6.927562009568288E-3</v>
      </c>
      <c r="AN89" s="693">
        <f t="shared" ca="1" si="8"/>
        <v>4.2840393102842661E-3</v>
      </c>
    </row>
    <row r="90" spans="1:42">
      <c r="A90" t="s">
        <v>548</v>
      </c>
      <c r="B90" t="str">
        <f>'TechWaterHeat-RES'!E20</f>
        <v>R_ES-SD-WatHeat</v>
      </c>
      <c r="C90" s="2"/>
      <c r="D90" s="693">
        <f ca="1">D88</f>
        <v>1.1251381070904523E-2</v>
      </c>
      <c r="E90" s="693">
        <f t="shared" ref="E90:AN90" ca="1" si="9">E88</f>
        <v>9.5272111428894649E-3</v>
      </c>
      <c r="F90" s="693">
        <f t="shared" ca="1" si="9"/>
        <v>7.585517907243931E-3</v>
      </c>
      <c r="G90" s="693">
        <f t="shared" ca="1" si="9"/>
        <v>8.5103268836431416E-3</v>
      </c>
      <c r="H90" s="693">
        <f t="shared" ca="1" si="9"/>
        <v>9.4679450592003479E-3</v>
      </c>
      <c r="I90" s="693">
        <f t="shared" ca="1" si="9"/>
        <v>7.1258839317191423E-3</v>
      </c>
      <c r="J90" s="693">
        <f t="shared" ca="1" si="9"/>
        <v>9.2098032071248077E-3</v>
      </c>
      <c r="K90" s="693">
        <f t="shared" ca="1" si="9"/>
        <v>9.7229186384835374E-3</v>
      </c>
      <c r="L90" s="693">
        <f t="shared" ca="1" si="9"/>
        <v>8.9376628770996436E-3</v>
      </c>
      <c r="M90" s="693">
        <f t="shared" ca="1" si="9"/>
        <v>1.2010717894111539E-2</v>
      </c>
      <c r="N90" s="693">
        <f t="shared" ca="1" si="9"/>
        <v>1.135996968015328E-2</v>
      </c>
      <c r="O90" s="693">
        <f t="shared" ca="1" si="9"/>
        <v>9.9539709135063395E-3</v>
      </c>
      <c r="P90" s="693">
        <f t="shared" ca="1" si="9"/>
        <v>1.0422414784520613E-2</v>
      </c>
      <c r="Q90" s="693">
        <f t="shared" ca="1" si="9"/>
        <v>6.1370922585661713E-3</v>
      </c>
      <c r="R90" s="693">
        <f t="shared" ca="1" si="9"/>
        <v>5.3359981990968343E-3</v>
      </c>
      <c r="S90" s="693">
        <f t="shared" ca="1" si="9"/>
        <v>1.0752265164529731E-2</v>
      </c>
      <c r="T90" s="693">
        <f t="shared" ca="1" si="9"/>
        <v>1.0532394176565018E-2</v>
      </c>
      <c r="U90" s="693">
        <f t="shared" ca="1" si="9"/>
        <v>8.4432134067511187E-3</v>
      </c>
      <c r="V90" s="693">
        <f t="shared" ca="1" si="9"/>
        <v>7.3425045027849098E-3</v>
      </c>
      <c r="W90" s="693">
        <f t="shared" ca="1" si="9"/>
        <v>7.6613003004918573E-3</v>
      </c>
      <c r="X90" s="693">
        <f t="shared" ca="1" si="9"/>
        <v>1.0300904857021604E-2</v>
      </c>
      <c r="Y90" s="693">
        <f t="shared" ca="1" si="9"/>
        <v>4.6083001257302544E-3</v>
      </c>
      <c r="Z90" s="693">
        <f t="shared" ca="1" si="9"/>
        <v>9.2443660202145821E-3</v>
      </c>
      <c r="AA90" s="693">
        <f t="shared" ca="1" si="9"/>
        <v>1.5409945950424761E-2</v>
      </c>
      <c r="AB90" s="693">
        <f t="shared" ca="1" si="9"/>
        <v>9.1778714021296687E-3</v>
      </c>
      <c r="AC90" s="693">
        <f t="shared" ca="1" si="9"/>
        <v>1.4817586844637132E-2</v>
      </c>
      <c r="AD90" s="693">
        <f t="shared" ca="1" si="9"/>
        <v>6.1500457353994686E-3</v>
      </c>
      <c r="AE90" s="693">
        <f t="shared" ca="1" si="9"/>
        <v>9.2939987570087746E-3</v>
      </c>
      <c r="AF90" s="693">
        <f t="shared" ca="1" si="9"/>
        <v>1.2373113152046561E-2</v>
      </c>
      <c r="AG90" s="693">
        <f t="shared" ca="1" si="9"/>
        <v>9.3921415348432145E-3</v>
      </c>
      <c r="AH90" s="693">
        <f t="shared" ca="1" si="9"/>
        <v>9.2111061387550198E-3</v>
      </c>
      <c r="AI90" s="693">
        <f t="shared" ca="1" si="9"/>
        <v>1.0671601459711881E-2</v>
      </c>
      <c r="AJ90" s="693">
        <f t="shared" ca="1" si="9"/>
        <v>5.6302138477458919E-3</v>
      </c>
      <c r="AK90" s="693">
        <f t="shared" ca="1" si="9"/>
        <v>7.5894074581261094E-3</v>
      </c>
      <c r="AL90" s="693">
        <f t="shared" ca="1" si="9"/>
        <v>6.2653175584339712E-3</v>
      </c>
      <c r="AM90" s="693">
        <f t="shared" ca="1" si="9"/>
        <v>6.927562009568288E-3</v>
      </c>
      <c r="AN90" s="693">
        <f t="shared" ca="1" si="9"/>
        <v>4.2840393102842661E-3</v>
      </c>
      <c r="AP90" s="794"/>
    </row>
    <row r="91" spans="1:42">
      <c r="A91" t="s">
        <v>549</v>
      </c>
      <c r="B91" t="str">
        <f>'TechWaterHeat-RES'!E4</f>
        <v>R_ES-FL-WatHeat</v>
      </c>
      <c r="D91" s="693">
        <f ca="1">'TechWaterHeat-RES per dwelling'!F52</f>
        <v>5.6256905354522616E-3</v>
      </c>
      <c r="E91" s="693">
        <f ca="1">'TechWaterHeat-RES per dwelling'!G52</f>
        <v>4.7636055714447324E-3</v>
      </c>
      <c r="F91" s="693">
        <f ca="1">'TechWaterHeat-RES per dwelling'!H52</f>
        <v>3.7927589536219655E-3</v>
      </c>
      <c r="G91" s="693">
        <f ca="1">'TechWaterHeat-RES per dwelling'!I52</f>
        <v>4.2551634418215708E-3</v>
      </c>
      <c r="H91" s="693">
        <f ca="1">'TechWaterHeat-RES per dwelling'!J52</f>
        <v>4.733972529600174E-3</v>
      </c>
      <c r="I91" s="693">
        <f ca="1">'TechWaterHeat-RES per dwelling'!K52</f>
        <v>3.5629419658595712E-3</v>
      </c>
      <c r="J91" s="693">
        <f ca="1">'TechWaterHeat-RES per dwelling'!L52</f>
        <v>4.6049016035624038E-3</v>
      </c>
      <c r="K91" s="693">
        <f ca="1">'TechWaterHeat-RES per dwelling'!M52</f>
        <v>4.8614593192417687E-3</v>
      </c>
      <c r="L91" s="693">
        <f ca="1">'TechWaterHeat-RES per dwelling'!N52</f>
        <v>4.4688314385498218E-3</v>
      </c>
      <c r="M91" s="693">
        <f ca="1">'TechWaterHeat-RES per dwelling'!O52</f>
        <v>6.0053589470557694E-3</v>
      </c>
      <c r="N91" s="693">
        <f ca="1">'TechWaterHeat-RES per dwelling'!P52</f>
        <v>5.6799848400766401E-3</v>
      </c>
      <c r="O91" s="693">
        <f ca="1">'TechWaterHeat-RES per dwelling'!Q52</f>
        <v>4.9769854567531698E-3</v>
      </c>
      <c r="P91" s="693">
        <f ca="1">'TechWaterHeat-RES per dwelling'!R52</f>
        <v>5.2112073922603065E-3</v>
      </c>
      <c r="Q91" s="693">
        <f ca="1">'TechWaterHeat-RES per dwelling'!S52</f>
        <v>3.0685461292830857E-3</v>
      </c>
      <c r="R91" s="693">
        <f ca="1">'TechWaterHeat-RES per dwelling'!T52</f>
        <v>2.6679990995484171E-3</v>
      </c>
      <c r="S91" s="693">
        <f ca="1">'TechWaterHeat-RES per dwelling'!U52</f>
        <v>5.3761325822648653E-3</v>
      </c>
      <c r="T91" s="693">
        <f ca="1">'TechWaterHeat-RES per dwelling'!V52</f>
        <v>5.2661970882825091E-3</v>
      </c>
      <c r="U91" s="693">
        <f ca="1">'TechWaterHeat-RES per dwelling'!W52</f>
        <v>4.2216067033755593E-3</v>
      </c>
      <c r="V91" s="693">
        <f ca="1">'TechWaterHeat-RES per dwelling'!X52</f>
        <v>3.6712522513924549E-3</v>
      </c>
      <c r="W91" s="693">
        <f ca="1">'TechWaterHeat-RES per dwelling'!Y52</f>
        <v>3.8306501502459287E-3</v>
      </c>
      <c r="X91" s="693">
        <f ca="1">'TechWaterHeat-RES per dwelling'!Z52</f>
        <v>5.1504524285108022E-3</v>
      </c>
      <c r="Y91" s="693">
        <f ca="1">'TechWaterHeat-RES per dwelling'!AA52</f>
        <v>2.3041500628651272E-3</v>
      </c>
      <c r="Z91" s="693">
        <f ca="1">'TechWaterHeat-RES per dwelling'!AB52</f>
        <v>4.6221830101072911E-3</v>
      </c>
      <c r="AA91" s="693">
        <f ca="1">'TechWaterHeat-RES per dwelling'!AC52</f>
        <v>7.7049729752123805E-3</v>
      </c>
      <c r="AB91" s="693">
        <f ca="1">'TechWaterHeat-RES per dwelling'!AD52</f>
        <v>4.5889357010648344E-3</v>
      </c>
      <c r="AC91" s="693">
        <f ca="1">'TechWaterHeat-RES per dwelling'!AE52</f>
        <v>7.4087934223185659E-3</v>
      </c>
      <c r="AD91" s="693">
        <f ca="1">'TechWaterHeat-RES per dwelling'!AF52</f>
        <v>3.0750228676997343E-3</v>
      </c>
      <c r="AE91" s="693">
        <f ca="1">'TechWaterHeat-RES per dwelling'!AG52</f>
        <v>4.6469993785043873E-3</v>
      </c>
      <c r="AF91" s="693">
        <f ca="1">'TechWaterHeat-RES per dwelling'!AH52</f>
        <v>6.1865565760232805E-3</v>
      </c>
      <c r="AG91" s="693">
        <f ca="1">'TechWaterHeat-RES per dwelling'!AI52</f>
        <v>4.6960707674216073E-3</v>
      </c>
      <c r="AH91" s="693">
        <f ca="1">'TechWaterHeat-RES per dwelling'!AJ52</f>
        <v>4.6055530693775099E-3</v>
      </c>
      <c r="AI91" s="693">
        <f ca="1">'TechWaterHeat-RES per dwelling'!AK52</f>
        <v>5.3358007298559404E-3</v>
      </c>
      <c r="AJ91" s="693">
        <f ca="1">'TechWaterHeat-RES per dwelling'!AL52</f>
        <v>2.815106923872946E-3</v>
      </c>
      <c r="AK91" s="693">
        <f ca="1">'TechWaterHeat-RES per dwelling'!AM52</f>
        <v>3.7947037290630547E-3</v>
      </c>
      <c r="AL91" s="693">
        <f ca="1">'TechWaterHeat-RES per dwelling'!AN52</f>
        <v>3.1326587792169856E-3</v>
      </c>
      <c r="AM91" s="693">
        <f ca="1">'TechWaterHeat-RES per dwelling'!AO52</f>
        <v>3.463781004784144E-3</v>
      </c>
      <c r="AN91" s="693">
        <f ca="1">'TechWaterHeat-RES per dwelling'!AP52</f>
        <v>2.142019655142133E-3</v>
      </c>
    </row>
    <row r="92" spans="1:42">
      <c r="A92" t="s">
        <v>547</v>
      </c>
      <c r="B92" t="str">
        <f>'TechCool-RES'!E5</f>
        <v>R_ES-DH-SpCool</v>
      </c>
      <c r="D92" s="857">
        <f ca="1">IF('TechCool-RES per dwelling'!F14&lt;$G$1,"",'TechCool-RES per dwelling'!F14)</f>
        <v>3.1367532348014655E-4</v>
      </c>
      <c r="E92" s="794">
        <f ca="1">IF('TechCool-RES per dwelling'!G14&lt;$G$1,"",'TechCool-RES per dwelling'!G14)</f>
        <v>1.0644779961597516E-3</v>
      </c>
      <c r="F92" s="794">
        <f ca="1">IF('TechCool-RES per dwelling'!H14&lt;$G$1,"",'TechCool-RES per dwelling'!H14)</f>
        <v>5.3515446359399461E-4</v>
      </c>
      <c r="G92" s="794">
        <f ca="1">IF('TechCool-RES per dwelling'!I14&lt;$G$1,"",'TechCool-RES per dwelling'!I14)</f>
        <v>3.1900864114235337E-4</v>
      </c>
      <c r="H92" s="794">
        <f ca="1">IF('TechCool-RES per dwelling'!J14&lt;$G$1,"",'TechCool-RES per dwelling'!J14)</f>
        <v>7.5016642333141969E-3</v>
      </c>
      <c r="I92" s="794">
        <f ca="1">IF('TechCool-RES per dwelling'!K14&lt;$G$1,"",'TechCool-RES per dwelling'!K14)</f>
        <v>5.7915380213620588E-5</v>
      </c>
      <c r="J92" s="794">
        <f ca="1">IF('TechCool-RES per dwelling'!L14&lt;$G$1,"",'TechCool-RES per dwelling'!L14)</f>
        <v>2.7938653494462675E-4</v>
      </c>
      <c r="K92" s="794">
        <f ca="1">IF('TechCool-RES per dwelling'!M14&lt;$G$1,"",'TechCool-RES per dwelling'!M14)</f>
        <v>2.1586629864257817E-4</v>
      </c>
      <c r="L92" s="794">
        <f ca="1">IF('TechCool-RES per dwelling'!N14&lt;$G$1,"",'TechCool-RES per dwelling'!N14)</f>
        <v>1.1300493292884607E-5</v>
      </c>
      <c r="M92" s="794">
        <f ca="1">IF('TechCool-RES per dwelling'!O14&lt;$G$1,"",'TechCool-RES per dwelling'!O14)</f>
        <v>1.7885701039009323E-3</v>
      </c>
      <c r="N92" s="794">
        <f ca="1">IF('TechCool-RES per dwelling'!P14&lt;$G$1,"",'TechCool-RES per dwelling'!P14)</f>
        <v>7.7066364963613988E-5</v>
      </c>
      <c r="O92" s="794">
        <f ca="1">IF('TechCool-RES per dwelling'!Q14&lt;$G$1,"",'TechCool-RES per dwelling'!Q14)</f>
        <v>2.1914252725928145E-3</v>
      </c>
      <c r="P92" s="794">
        <f ca="1">IF('TechCool-RES per dwelling'!R14&lt;$G$1,"",'TechCool-RES per dwelling'!R14)</f>
        <v>2.474530731294397E-3</v>
      </c>
      <c r="Q92" s="794">
        <f ca="1">IF('TechCool-RES per dwelling'!S14&lt;$G$1,"",'TechCool-RES per dwelling'!S14)</f>
        <v>4.0321318774958039E-3</v>
      </c>
      <c r="R92" s="794">
        <f ca="1">IF('TechCool-RES per dwelling'!T14&lt;$G$1,"",'TechCool-RES per dwelling'!T14)</f>
        <v>6.3675396170606618E-5</v>
      </c>
      <c r="S92" s="794">
        <f ca="1">IF('TechCool-RES per dwelling'!U14&lt;$G$1,"",'TechCool-RES per dwelling'!U14)</f>
        <v>1.8202999320565127E-4</v>
      </c>
      <c r="T92" s="794">
        <f ca="1">IF('TechCool-RES per dwelling'!V14&lt;$G$1,"",'TechCool-RES per dwelling'!V14)</f>
        <v>6.6958366412724304E-5</v>
      </c>
      <c r="U92" s="794">
        <f ca="1">IF('TechCool-RES per dwelling'!W14&lt;$G$1,"",'TechCool-RES per dwelling'!W14)</f>
        <v>1.8281929071075043E-3</v>
      </c>
      <c r="V92" s="794" t="str">
        <f ca="1">IF('TechCool-RES per dwelling'!X14&lt;$G$1,"",'TechCool-RES per dwelling'!X14)</f>
        <v/>
      </c>
      <c r="W92" s="794">
        <f ca="1">IF('TechCool-RES per dwelling'!Y14&lt;$G$1,"",'TechCool-RES per dwelling'!Y14)</f>
        <v>2.976977937912911E-3</v>
      </c>
      <c r="X92" s="794" t="str">
        <f ca="1">IF('TechCool-RES per dwelling'!Z14&lt;$G$1,"",'TechCool-RES per dwelling'!Z14)</f>
        <v/>
      </c>
      <c r="Y92" s="794">
        <f ca="1">IF('TechCool-RES per dwelling'!AA14&lt;$G$1,"",'TechCool-RES per dwelling'!AA14)</f>
        <v>8.6615593488368961E-3</v>
      </c>
      <c r="Z92" s="794">
        <f ca="1">IF('TechCool-RES per dwelling'!AB14&lt;$G$1,"",'TechCool-RES per dwelling'!AB14)</f>
        <v>6.8788026038014277E-4</v>
      </c>
      <c r="AA92" s="794">
        <f ca="1">IF('TechCool-RES per dwelling'!AC14&lt;$G$1,"",'TechCool-RES per dwelling'!AC14)</f>
        <v>2.406593824866675E-4</v>
      </c>
      <c r="AB92" s="794">
        <f ca="1">IF('TechCool-RES per dwelling'!AD14&lt;$G$1,"",'TechCool-RES per dwelling'!AD14)</f>
        <v>3.770413259016521E-5</v>
      </c>
      <c r="AC92" s="794">
        <f ca="1">IF('TechCool-RES per dwelling'!AE14&lt;$G$1,"",'TechCool-RES per dwelling'!AE14)</f>
        <v>1.3701653067549509E-3</v>
      </c>
      <c r="AD92" s="794">
        <f ca="1">IF('TechCool-RES per dwelling'!AF14&lt;$G$1,"",'TechCool-RES per dwelling'!AF14)</f>
        <v>8.1424878342299878E-5</v>
      </c>
      <c r="AE92" s="794">
        <f ca="1">IF('TechCool-RES per dwelling'!AG14&lt;$G$1,"",'TechCool-RES per dwelling'!AG14)</f>
        <v>1.5883063644810439E-4</v>
      </c>
      <c r="AF92" s="794">
        <f ca="1">IF('TechCool-RES per dwelling'!AH14&lt;$G$1,"",'TechCool-RES per dwelling'!AH14)</f>
        <v>6.0158929463398803E-4</v>
      </c>
      <c r="AG92" s="794">
        <f ca="1">IF('TechCool-RES per dwelling'!AI14&lt;$G$1,"",'TechCool-RES per dwelling'!AI14)</f>
        <v>1.9404844073037371E-4</v>
      </c>
      <c r="AH92" s="794">
        <f ca="1">IF('TechCool-RES per dwelling'!AJ14&lt;$G$1,"",'TechCool-RES per dwelling'!AJ14)</f>
        <v>1.2129151854895332E-4</v>
      </c>
      <c r="AI92" s="794">
        <f ca="1">IF('TechCool-RES per dwelling'!AK14&lt;$G$1,"",'TechCool-RES per dwelling'!AK14)</f>
        <v>3.3023628859031521E-3</v>
      </c>
      <c r="AJ92" s="794">
        <f ca="1">IF('TechCool-RES per dwelling'!AL14&lt;$G$1,"",'TechCool-RES per dwelling'!AL14)</f>
        <v>8.1355237794084635E-3</v>
      </c>
      <c r="AK92" s="794">
        <f ca="1">IF('TechCool-RES per dwelling'!AM14&lt;$G$1,"",'TechCool-RES per dwelling'!AM14)</f>
        <v>3.2922643511000349E-3</v>
      </c>
      <c r="AL92" s="794">
        <f ca="1">IF('TechCool-RES per dwelling'!AN14&lt;$G$1,"",'TechCool-RES per dwelling'!AN14)</f>
        <v>9.6533092678208372E-3</v>
      </c>
      <c r="AM92" s="794">
        <f ca="1">IF('TechCool-RES per dwelling'!AO14&lt;$G$1,"",'TechCool-RES per dwelling'!AO14)</f>
        <v>8.8705237189384643E-3</v>
      </c>
      <c r="AN92" s="794">
        <f ca="1">IF('TechCool-RES per dwelling'!AP14&lt;$G$1,"",'TechCool-RES per dwelling'!AP14)</f>
        <v>6.8175809723035148E-3</v>
      </c>
      <c r="AP92" s="794"/>
    </row>
    <row r="93" spans="1:42">
      <c r="A93" s="2" t="s">
        <v>897</v>
      </c>
      <c r="B93" t="str">
        <f>B92</f>
        <v>R_ES-DH-SpCool</v>
      </c>
      <c r="C93" s="2"/>
      <c r="D93" s="857">
        <f ca="1">IF(D92&lt;$G$1,"",D92)</f>
        <v>3.1367532348014655E-4</v>
      </c>
      <c r="E93" s="794">
        <f t="shared" ref="E93:AN93" ca="1" si="10">IF(E92&lt;$G$1,"",E92)</f>
        <v>1.0644779961597516E-3</v>
      </c>
      <c r="F93" s="794">
        <f t="shared" ca="1" si="10"/>
        <v>5.3515446359399461E-4</v>
      </c>
      <c r="G93" s="794">
        <f t="shared" ca="1" si="10"/>
        <v>3.1900864114235337E-4</v>
      </c>
      <c r="H93" s="794">
        <f t="shared" ca="1" si="10"/>
        <v>7.5016642333141969E-3</v>
      </c>
      <c r="I93" s="794">
        <f t="shared" ca="1" si="10"/>
        <v>5.7915380213620588E-5</v>
      </c>
      <c r="J93" s="794">
        <f t="shared" ca="1" si="10"/>
        <v>2.7938653494462675E-4</v>
      </c>
      <c r="K93" s="794">
        <f t="shared" ca="1" si="10"/>
        <v>2.1586629864257817E-4</v>
      </c>
      <c r="L93" s="794">
        <f t="shared" ca="1" si="10"/>
        <v>1.1300493292884607E-5</v>
      </c>
      <c r="M93" s="794">
        <f t="shared" ca="1" si="10"/>
        <v>1.7885701039009323E-3</v>
      </c>
      <c r="N93" s="794">
        <f t="shared" ca="1" si="10"/>
        <v>7.7066364963613988E-5</v>
      </c>
      <c r="O93" s="794">
        <f t="shared" ca="1" si="10"/>
        <v>2.1914252725928145E-3</v>
      </c>
      <c r="P93" s="794">
        <f t="shared" ca="1" si="10"/>
        <v>2.474530731294397E-3</v>
      </c>
      <c r="Q93" s="794">
        <f t="shared" ca="1" si="10"/>
        <v>4.0321318774958039E-3</v>
      </c>
      <c r="R93" s="794">
        <f t="shared" ca="1" si="10"/>
        <v>6.3675396170606618E-5</v>
      </c>
      <c r="S93" s="794">
        <f t="shared" ca="1" si="10"/>
        <v>1.8202999320565127E-4</v>
      </c>
      <c r="T93" s="794">
        <f t="shared" ca="1" si="10"/>
        <v>6.6958366412724304E-5</v>
      </c>
      <c r="U93" s="794">
        <f t="shared" ca="1" si="10"/>
        <v>1.8281929071075043E-3</v>
      </c>
      <c r="V93" s="794" t="str">
        <f t="shared" ca="1" si="10"/>
        <v/>
      </c>
      <c r="W93" s="794">
        <f t="shared" ca="1" si="10"/>
        <v>2.976977937912911E-3</v>
      </c>
      <c r="X93" s="794" t="str">
        <f t="shared" ca="1" si="10"/>
        <v/>
      </c>
      <c r="Y93" s="794">
        <f t="shared" ca="1" si="10"/>
        <v>8.6615593488368961E-3</v>
      </c>
      <c r="Z93" s="794">
        <f t="shared" ca="1" si="10"/>
        <v>6.8788026038014277E-4</v>
      </c>
      <c r="AA93" s="794">
        <f t="shared" ca="1" si="10"/>
        <v>2.406593824866675E-4</v>
      </c>
      <c r="AB93" s="794">
        <f t="shared" ca="1" si="10"/>
        <v>3.770413259016521E-5</v>
      </c>
      <c r="AC93" s="794">
        <f t="shared" ca="1" si="10"/>
        <v>1.3701653067549509E-3</v>
      </c>
      <c r="AD93" s="794">
        <f t="shared" ca="1" si="10"/>
        <v>8.1424878342299878E-5</v>
      </c>
      <c r="AE93" s="794">
        <f t="shared" ca="1" si="10"/>
        <v>1.5883063644810439E-4</v>
      </c>
      <c r="AF93" s="794">
        <f t="shared" ca="1" si="10"/>
        <v>6.0158929463398803E-4</v>
      </c>
      <c r="AG93" s="794">
        <f t="shared" ca="1" si="10"/>
        <v>1.9404844073037371E-4</v>
      </c>
      <c r="AH93" s="794">
        <f t="shared" ca="1" si="10"/>
        <v>1.2129151854895332E-4</v>
      </c>
      <c r="AI93" s="794">
        <f t="shared" ca="1" si="10"/>
        <v>3.3023628859031521E-3</v>
      </c>
      <c r="AJ93" s="794">
        <f t="shared" ca="1" si="10"/>
        <v>8.1355237794084635E-3</v>
      </c>
      <c r="AK93" s="794">
        <f t="shared" ca="1" si="10"/>
        <v>3.2922643511000349E-3</v>
      </c>
      <c r="AL93" s="794">
        <f t="shared" ca="1" si="10"/>
        <v>9.6533092678208372E-3</v>
      </c>
      <c r="AM93" s="794">
        <f t="shared" ca="1" si="10"/>
        <v>8.8705237189384643E-3</v>
      </c>
      <c r="AN93" s="794">
        <f t="shared" ca="1" si="10"/>
        <v>6.8175809723035148E-3</v>
      </c>
    </row>
    <row r="94" spans="1:42">
      <c r="A94" t="s">
        <v>548</v>
      </c>
      <c r="B94" t="str">
        <f>'TechCool-RES'!E6</f>
        <v>R_ES-SD-SpCool</v>
      </c>
      <c r="D94" s="857">
        <f ca="1">IF(D92&lt;$G$1,"",D92)</f>
        <v>3.1367532348014655E-4</v>
      </c>
      <c r="E94" s="794">
        <f t="shared" ref="E94:AN94" ca="1" si="11">IF(E92&lt;$G$1,"",E92)</f>
        <v>1.0644779961597516E-3</v>
      </c>
      <c r="F94" s="794">
        <f t="shared" ca="1" si="11"/>
        <v>5.3515446359399461E-4</v>
      </c>
      <c r="G94" s="794">
        <f t="shared" ca="1" si="11"/>
        <v>3.1900864114235337E-4</v>
      </c>
      <c r="H94" s="794">
        <f t="shared" ca="1" si="11"/>
        <v>7.5016642333141969E-3</v>
      </c>
      <c r="I94" s="794">
        <f t="shared" ca="1" si="11"/>
        <v>5.7915380213620588E-5</v>
      </c>
      <c r="J94" s="794">
        <f t="shared" ca="1" si="11"/>
        <v>2.7938653494462675E-4</v>
      </c>
      <c r="K94" s="794">
        <f t="shared" ca="1" si="11"/>
        <v>2.1586629864257817E-4</v>
      </c>
      <c r="L94" s="794">
        <f t="shared" ca="1" si="11"/>
        <v>1.1300493292884607E-5</v>
      </c>
      <c r="M94" s="794">
        <f t="shared" ca="1" si="11"/>
        <v>1.7885701039009323E-3</v>
      </c>
      <c r="N94" s="794">
        <f t="shared" ca="1" si="11"/>
        <v>7.7066364963613988E-5</v>
      </c>
      <c r="O94" s="794">
        <f t="shared" ca="1" si="11"/>
        <v>2.1914252725928145E-3</v>
      </c>
      <c r="P94" s="794">
        <f t="shared" ca="1" si="11"/>
        <v>2.474530731294397E-3</v>
      </c>
      <c r="Q94" s="794">
        <f t="shared" ca="1" si="11"/>
        <v>4.0321318774958039E-3</v>
      </c>
      <c r="R94" s="794">
        <f t="shared" ca="1" si="11"/>
        <v>6.3675396170606618E-5</v>
      </c>
      <c r="S94" s="794">
        <f t="shared" ca="1" si="11"/>
        <v>1.8202999320565127E-4</v>
      </c>
      <c r="T94" s="794">
        <f t="shared" ca="1" si="11"/>
        <v>6.6958366412724304E-5</v>
      </c>
      <c r="U94" s="794">
        <f t="shared" ca="1" si="11"/>
        <v>1.8281929071075043E-3</v>
      </c>
      <c r="V94" s="794" t="str">
        <f t="shared" ca="1" si="11"/>
        <v/>
      </c>
      <c r="W94" s="794">
        <f t="shared" ca="1" si="11"/>
        <v>2.976977937912911E-3</v>
      </c>
      <c r="X94" s="794" t="str">
        <f t="shared" ca="1" si="11"/>
        <v/>
      </c>
      <c r="Y94" s="794">
        <f t="shared" ca="1" si="11"/>
        <v>8.6615593488368961E-3</v>
      </c>
      <c r="Z94" s="794">
        <f t="shared" ca="1" si="11"/>
        <v>6.8788026038014277E-4</v>
      </c>
      <c r="AA94" s="794">
        <f t="shared" ca="1" si="11"/>
        <v>2.406593824866675E-4</v>
      </c>
      <c r="AB94" s="794">
        <f t="shared" ca="1" si="11"/>
        <v>3.770413259016521E-5</v>
      </c>
      <c r="AC94" s="794">
        <f t="shared" ca="1" si="11"/>
        <v>1.3701653067549509E-3</v>
      </c>
      <c r="AD94" s="794">
        <f t="shared" ca="1" si="11"/>
        <v>8.1424878342299878E-5</v>
      </c>
      <c r="AE94" s="794">
        <f t="shared" ca="1" si="11"/>
        <v>1.5883063644810439E-4</v>
      </c>
      <c r="AF94" s="794">
        <f t="shared" ca="1" si="11"/>
        <v>6.0158929463398803E-4</v>
      </c>
      <c r="AG94" s="794">
        <f t="shared" ca="1" si="11"/>
        <v>1.9404844073037371E-4</v>
      </c>
      <c r="AH94" s="794">
        <f t="shared" ca="1" si="11"/>
        <v>1.2129151854895332E-4</v>
      </c>
      <c r="AI94" s="794">
        <f t="shared" ca="1" si="11"/>
        <v>3.3023628859031521E-3</v>
      </c>
      <c r="AJ94" s="794">
        <f t="shared" ca="1" si="11"/>
        <v>8.1355237794084635E-3</v>
      </c>
      <c r="AK94" s="794">
        <f t="shared" ca="1" si="11"/>
        <v>3.2922643511000349E-3</v>
      </c>
      <c r="AL94" s="794">
        <f t="shared" ca="1" si="11"/>
        <v>9.6533092678208372E-3</v>
      </c>
      <c r="AM94" s="794">
        <f t="shared" ca="1" si="11"/>
        <v>8.8705237189384643E-3</v>
      </c>
      <c r="AN94" s="794">
        <f t="shared" ca="1" si="11"/>
        <v>6.8175809723035148E-3</v>
      </c>
    </row>
    <row r="95" spans="1:42">
      <c r="A95" t="s">
        <v>549</v>
      </c>
      <c r="B95" t="str">
        <f>'TechCool-RES'!E4</f>
        <v>R_ES-FL-SpCool</v>
      </c>
      <c r="D95" s="857">
        <f ca="1">IF('TechCool-RES per dwelling'!F15&lt;$G$1,"",'TechCool-RES per dwelling'!F15)</f>
        <v>1.5683766174007328E-4</v>
      </c>
      <c r="E95" s="794">
        <f ca="1">IF('TechCool-RES per dwelling'!G15&lt;$G$1,"",'TechCool-RES per dwelling'!G15)</f>
        <v>5.3223899807987578E-4</v>
      </c>
      <c r="F95" s="794">
        <f ca="1">IF('TechCool-RES per dwelling'!H15&lt;$G$1,"",'TechCool-RES per dwelling'!H15)</f>
        <v>2.675772317969973E-4</v>
      </c>
      <c r="G95" s="794">
        <f ca="1">IF('TechCool-RES per dwelling'!I15&lt;$G$1,"",'TechCool-RES per dwelling'!I15)</f>
        <v>1.5950432057117668E-4</v>
      </c>
      <c r="H95" s="794">
        <f ca="1">IF('TechCool-RES per dwelling'!J15&lt;$G$1,"",'TechCool-RES per dwelling'!J15)</f>
        <v>3.7508321166570984E-3</v>
      </c>
      <c r="I95" s="794">
        <f ca="1">IF('TechCool-RES per dwelling'!K15&lt;$G$1,"",'TechCool-RES per dwelling'!K15)</f>
        <v>2.8957690106810294E-5</v>
      </c>
      <c r="J95" s="794">
        <f ca="1">IF('TechCool-RES per dwelling'!L15&lt;$G$1,"",'TechCool-RES per dwelling'!L15)</f>
        <v>1.3969326747231337E-4</v>
      </c>
      <c r="K95" s="794">
        <f ca="1">IF('TechCool-RES per dwelling'!M15&lt;$G$1,"",'TechCool-RES per dwelling'!M15)</f>
        <v>1.0793314932128908E-4</v>
      </c>
      <c r="L95" s="794" t="str">
        <f ca="1">IF('TechCool-RES per dwelling'!N15&lt;$G$1,"",'TechCool-RES per dwelling'!N15)</f>
        <v/>
      </c>
      <c r="M95" s="794">
        <f ca="1">IF('TechCool-RES per dwelling'!O15&lt;$G$1,"",'TechCool-RES per dwelling'!O15)</f>
        <v>8.9428505195046615E-4</v>
      </c>
      <c r="N95" s="794">
        <f ca="1">IF('TechCool-RES per dwelling'!P15&lt;$G$1,"",'TechCool-RES per dwelling'!P15)</f>
        <v>3.8533182481806994E-5</v>
      </c>
      <c r="O95" s="794">
        <f ca="1">IF('TechCool-RES per dwelling'!Q15&lt;$G$1,"",'TechCool-RES per dwelling'!Q15)</f>
        <v>1.0957126362964073E-3</v>
      </c>
      <c r="P95" s="794">
        <f ca="1">IF('TechCool-RES per dwelling'!R15&lt;$G$1,"",'TechCool-RES per dwelling'!R15)</f>
        <v>1.2372653656471985E-3</v>
      </c>
      <c r="Q95" s="794">
        <f ca="1">IF('TechCool-RES per dwelling'!S15&lt;$G$1,"",'TechCool-RES per dwelling'!S15)</f>
        <v>2.0160659387479019E-3</v>
      </c>
      <c r="R95" s="794">
        <f ca="1">IF('TechCool-RES per dwelling'!T15&lt;$G$1,"",'TechCool-RES per dwelling'!T15)</f>
        <v>3.1837698085303309E-5</v>
      </c>
      <c r="S95" s="794">
        <f ca="1">IF('TechCool-RES per dwelling'!U15&lt;$G$1,"",'TechCool-RES per dwelling'!U15)</f>
        <v>9.1014996602825635E-5</v>
      </c>
      <c r="T95" s="794">
        <f ca="1">IF('TechCool-RES per dwelling'!V15&lt;$G$1,"",'TechCool-RES per dwelling'!V15)</f>
        <v>3.3479183206362152E-5</v>
      </c>
      <c r="U95" s="794">
        <f ca="1">IF('TechCool-RES per dwelling'!W15&lt;$G$1,"",'TechCool-RES per dwelling'!W15)</f>
        <v>9.1409645355375216E-4</v>
      </c>
      <c r="V95" s="794" t="str">
        <f ca="1">IF('TechCool-RES per dwelling'!X15&lt;$G$1,"",'TechCool-RES per dwelling'!X15)</f>
        <v/>
      </c>
      <c r="W95" s="794">
        <f ca="1">IF('TechCool-RES per dwelling'!Y15&lt;$G$1,"",'TechCool-RES per dwelling'!Y15)</f>
        <v>1.4884889689564555E-3</v>
      </c>
      <c r="X95" s="794" t="str">
        <f ca="1">IF('TechCool-RES per dwelling'!Z15&lt;$G$1,"",'TechCool-RES per dwelling'!Z15)</f>
        <v/>
      </c>
      <c r="Y95" s="794">
        <f ca="1">IF('TechCool-RES per dwelling'!AA15&lt;$G$1,"",'TechCool-RES per dwelling'!AA15)</f>
        <v>4.330779674418448E-3</v>
      </c>
      <c r="Z95" s="794">
        <f ca="1">IF('TechCool-RES per dwelling'!AB15&lt;$G$1,"",'TechCool-RES per dwelling'!AB15)</f>
        <v>3.4394013019007139E-4</v>
      </c>
      <c r="AA95" s="794">
        <f ca="1">IF('TechCool-RES per dwelling'!AC15&lt;$G$1,"",'TechCool-RES per dwelling'!AC15)</f>
        <v>1.2032969124333375E-4</v>
      </c>
      <c r="AB95" s="794">
        <f ca="1">IF('TechCool-RES per dwelling'!AD15&lt;$G$1,"",'TechCool-RES per dwelling'!AD15)</f>
        <v>1.8852066295082605E-5</v>
      </c>
      <c r="AC95" s="794">
        <f ca="1">IF('TechCool-RES per dwelling'!AE15&lt;$G$1,"",'TechCool-RES per dwelling'!AE15)</f>
        <v>6.8508265337747544E-4</v>
      </c>
      <c r="AD95" s="794">
        <f ca="1">IF('TechCool-RES per dwelling'!AF15&lt;$G$1,"",'TechCool-RES per dwelling'!AF15)</f>
        <v>4.0712439171149939E-5</v>
      </c>
      <c r="AE95" s="794">
        <f ca="1">IF('TechCool-RES per dwelling'!AG15&lt;$G$1,"",'TechCool-RES per dwelling'!AG15)</f>
        <v>7.9415318224052196E-5</v>
      </c>
      <c r="AF95" s="794">
        <f ca="1">IF('TechCool-RES per dwelling'!AH15&lt;$G$1,"",'TechCool-RES per dwelling'!AH15)</f>
        <v>3.0079464731699401E-4</v>
      </c>
      <c r="AG95" s="794">
        <f ca="1">IF('TechCool-RES per dwelling'!AI15&lt;$G$1,"",'TechCool-RES per dwelling'!AI15)</f>
        <v>9.7024220365186857E-5</v>
      </c>
      <c r="AH95" s="794">
        <f ca="1">IF('TechCool-RES per dwelling'!AJ15&lt;$G$1,"",'TechCool-RES per dwelling'!AJ15)</f>
        <v>6.0645759274476658E-5</v>
      </c>
      <c r="AI95" s="794">
        <f ca="1">IF('TechCool-RES per dwelling'!AK15&lt;$G$1,"",'TechCool-RES per dwelling'!AK15)</f>
        <v>1.6511814429515761E-3</v>
      </c>
      <c r="AJ95" s="794">
        <f ca="1">IF('TechCool-RES per dwelling'!AL15&lt;$G$1,"",'TechCool-RES per dwelling'!AL15)</f>
        <v>4.0677618897042318E-3</v>
      </c>
      <c r="AK95" s="794">
        <f ca="1">IF('TechCool-RES per dwelling'!AM15&lt;$G$1,"",'TechCool-RES per dwelling'!AM15)</f>
        <v>1.6461321755500175E-3</v>
      </c>
      <c r="AL95" s="794">
        <f ca="1">IF('TechCool-RES per dwelling'!AN15&lt;$G$1,"",'TechCool-RES per dwelling'!AN15)</f>
        <v>4.8266546339104186E-3</v>
      </c>
      <c r="AM95" s="794">
        <f ca="1">IF('TechCool-RES per dwelling'!AO15&lt;$G$1,"",'TechCool-RES per dwelling'!AO15)</f>
        <v>4.4352618594692321E-3</v>
      </c>
      <c r="AN95" s="794">
        <f ca="1">IF('TechCool-RES per dwelling'!AP15&lt;$G$1,"",'TechCool-RES per dwelling'!AP15)</f>
        <v>3.4087904861517574E-3</v>
      </c>
    </row>
    <row r="96" spans="1:42">
      <c r="A96" t="s">
        <v>547</v>
      </c>
      <c r="B96" t="str">
        <f>'TechCook-RES'!E9</f>
        <v>R_ES-DH-Cook</v>
      </c>
      <c r="D96" s="693">
        <f ca="1">SUMPRODUCT('TechCook-RES'!F9:F13,'TechCook-RES'!F66:F70,'TechCook-RES'!F85:F89)/D12</f>
        <v>3.0415222889943107E-3</v>
      </c>
      <c r="E96" s="693">
        <f ca="1">SUMPRODUCT('TechCook-RES'!G9:G13,'TechCook-RES'!G66:G70,'TechCook-RES'!G85:G89)/E12</f>
        <v>3.4102939388338635E-3</v>
      </c>
      <c r="F96" s="693">
        <f ca="1">SUMPRODUCT('TechCook-RES'!H9:H13,'TechCook-RES'!H66:H70,'TechCook-RES'!H85:H89)/F12</f>
        <v>3.6540878403332529E-3</v>
      </c>
      <c r="G96" s="693">
        <f ca="1">SUMPRODUCT('TechCook-RES'!I9:I13,'TechCook-RES'!I66:I70,'TechCook-RES'!I85:I89)/G12</f>
        <v>3.5508103674260372E-3</v>
      </c>
      <c r="H96" s="693">
        <f ca="1">SUMPRODUCT('TechCook-RES'!J9:J13,'TechCook-RES'!J66:J70,'TechCook-RES'!J85:J89)/H12</f>
        <v>3.1439568442420233E-3</v>
      </c>
      <c r="I96" s="693">
        <f ca="1">SUMPRODUCT('TechCook-RES'!K9:K13,'TechCook-RES'!K66:K70,'TechCook-RES'!K85:K89)/I12</f>
        <v>2.8281460241767939E-3</v>
      </c>
      <c r="J96" s="693">
        <f ca="1">SUMPRODUCT('TechCook-RES'!L9:L13,'TechCook-RES'!L66:L70,'TechCook-RES'!L85:L89)/J12</f>
        <v>3.2488705943226623E-3</v>
      </c>
      <c r="K96" s="693">
        <f ca="1">SUMPRODUCT('TechCook-RES'!M9:M13,'TechCook-RES'!M66:M70,'TechCook-RES'!M85:M89)/K12</f>
        <v>2.836145687756632E-3</v>
      </c>
      <c r="L96" s="693">
        <f ca="1">SUMPRODUCT('TechCook-RES'!N9:N13,'TechCook-RES'!N66:N70,'TechCook-RES'!N85:N89)/L12</f>
        <v>2.7654134618335844E-3</v>
      </c>
      <c r="M96" s="693">
        <f ca="1">SUMPRODUCT('TechCook-RES'!O9:O13,'TechCook-RES'!O66:O70,'TechCook-RES'!O85:O89)/M12</f>
        <v>3.8085079249353311E-3</v>
      </c>
      <c r="N96" s="693">
        <f ca="1">SUMPRODUCT('TechCook-RES'!P9:P13,'TechCook-RES'!P66:P70,'TechCook-RES'!P85:P89)/N12</f>
        <v>2.6293573109243697E-3</v>
      </c>
      <c r="O96" s="693">
        <f ca="1">SUMPRODUCT('TechCook-RES'!Q9:Q13,'TechCook-RES'!Q66:Q70,'TechCook-RES'!Q85:Q89)/O12</f>
        <v>4.645678570627758E-3</v>
      </c>
      <c r="P96" s="693">
        <f ca="1">SUMPRODUCT('TechCook-RES'!R9:R13,'TechCook-RES'!R66:R70,'TechCook-RES'!R85:R89)/P12</f>
        <v>5.6266963289672532E-3</v>
      </c>
      <c r="Q96" s="693">
        <f ca="1">SUMPRODUCT('TechCook-RES'!S9:S13,'TechCook-RES'!S66:S70,'TechCook-RES'!S85:S89)/Q12</f>
        <v>3.0876066146761586E-3</v>
      </c>
      <c r="R96" s="693">
        <f ca="1">SUMPRODUCT('TechCook-RES'!T9:T13,'TechCook-RES'!T66:T70,'TechCook-RES'!T85:T89)/R12</f>
        <v>2.7436497090527869E-3</v>
      </c>
      <c r="S96" s="693">
        <f ca="1">SUMPRODUCT('TechCook-RES'!U9:U13,'TechCook-RES'!U66:U70,'TechCook-RES'!U85:U89)/S12</f>
        <v>2.9710596309351334E-3</v>
      </c>
      <c r="T96" s="693">
        <f ca="1">SUMPRODUCT('TechCook-RES'!V9:V13,'TechCook-RES'!V66:V70,'TechCook-RES'!V85:V89)/T12</f>
        <v>2.2971797935457975E-3</v>
      </c>
      <c r="U96" s="693">
        <f ca="1">SUMPRODUCT('TechCook-RES'!W9:W13,'TechCook-RES'!W66:W70,'TechCook-RES'!W85:W89)/U12</f>
        <v>2.4563524698412559E-3</v>
      </c>
      <c r="V96" s="693">
        <f ca="1">SUMPRODUCT('TechCook-RES'!X9:X13,'TechCook-RES'!X66:X70,'TechCook-RES'!X85:X89)/V12</f>
        <v>2.409548664013308E-3</v>
      </c>
      <c r="W96" s="693">
        <f ca="1">SUMPRODUCT('TechCook-RES'!Y9:Y13,'TechCook-RES'!Y66:Y70,'TechCook-RES'!Y85:Y89)/W12</f>
        <v>2.8929006536856424E-3</v>
      </c>
      <c r="X96" s="693">
        <f ca="1">SUMPRODUCT('TechCook-RES'!Z9:Z13,'TechCook-RES'!Z66:Z70,'TechCook-RES'!Z85:Z89)/X12</f>
        <v>1.8737845806433358E-3</v>
      </c>
      <c r="Y96" s="693">
        <f ca="1">SUMPRODUCT('TechCook-RES'!AA9:AA13,'TechCook-RES'!AA66:AA70,'TechCook-RES'!AA85:AA89)/Y12</f>
        <v>4.0527979453475627E-3</v>
      </c>
      <c r="Z96" s="693">
        <f ca="1">SUMPRODUCT('TechCook-RES'!AB9:AB13,'TechCook-RES'!AB66:AB70,'TechCook-RES'!AB85:AB89)/Z12</f>
        <v>3.3325711074883857E-3</v>
      </c>
      <c r="AA96" s="693">
        <f ca="1">SUMPRODUCT('TechCook-RES'!AC9:AC13,'TechCook-RES'!AC66:AC70,'TechCook-RES'!AC85:AC89)/AA12</f>
        <v>7.4120673285544758E-3</v>
      </c>
      <c r="AB96" s="693">
        <f ca="1">SUMPRODUCT('TechCook-RES'!AD9:AD13,'TechCook-RES'!AD66:AD70,'TechCook-RES'!AD85:AD89)/AB12</f>
        <v>3.1582031254654983E-3</v>
      </c>
      <c r="AC96" s="693">
        <f ca="1">SUMPRODUCT('TechCook-RES'!AE9:AE13,'TechCook-RES'!AE66:AE70,'TechCook-RES'!AE85:AE89)/AC12</f>
        <v>1.5925988068438986E-2</v>
      </c>
      <c r="AD96" s="693">
        <f ca="1">SUMPRODUCT('TechCook-RES'!AF9:AF13,'TechCook-RES'!AF66:AF70,'TechCook-RES'!AF85:AF89)/AD12</f>
        <v>2.671694097813716E-3</v>
      </c>
      <c r="AE96" s="693">
        <f ca="1">SUMPRODUCT('TechCook-RES'!AG9:AG13,'TechCook-RES'!AG66:AG70,'TechCook-RES'!AG85:AG89)/AE12</f>
        <v>2.6513054046155126E-3</v>
      </c>
      <c r="AF96" s="693">
        <f ca="1">SUMPRODUCT('TechCook-RES'!AH9:AH13,'TechCook-RES'!AH66:AH70,'TechCook-RES'!AH85:AH89)/AF12</f>
        <v>2.3401915005250794E-3</v>
      </c>
      <c r="AG96" s="693">
        <f ca="1">SUMPRODUCT('TechCook-RES'!AI9:AI13,'TechCook-RES'!AI66:AI70,'TechCook-RES'!AI85:AI89)/AG12</f>
        <v>3.6328190444342452E-3</v>
      </c>
      <c r="AH96" s="693">
        <f ca="1">SUMPRODUCT('TechCook-RES'!AJ9:AJ13,'TechCook-RES'!AJ66:AJ70,'TechCook-RES'!AJ85:AJ89)/AH12</f>
        <v>2.0315868994864022E-3</v>
      </c>
      <c r="AI96" s="693">
        <f ca="1">SUMPRODUCT('TechCook-RES'!AK9:AK13,'TechCook-RES'!AK66:AK70,'TechCook-RES'!AK85:AK89)/AI12</f>
        <v>9.6401693011622068E-3</v>
      </c>
      <c r="AJ96" s="693">
        <f ca="1">SUMPRODUCT('TechCook-RES'!AL9:AL13,'TechCook-RES'!AL66:AL70,'TechCook-RES'!AL85:AL89)/AJ12</f>
        <v>4.2581434154369728E-3</v>
      </c>
      <c r="AK96" s="693">
        <f ca="1">SUMPRODUCT('TechCook-RES'!AM9:AM13,'TechCook-RES'!AM66:AM70,'TechCook-RES'!AM85:AM89)/AK12</f>
        <v>7.9551734298874532E-3</v>
      </c>
      <c r="AL96" s="693">
        <f ca="1">SUMPRODUCT('TechCook-RES'!AN9:AN13,'TechCook-RES'!AN66:AN70,'TechCook-RES'!AN85:AN89)/AL12</f>
        <v>5.2408564883108062E-3</v>
      </c>
      <c r="AM96" s="693">
        <f ca="1">SUMPRODUCT('TechCook-RES'!AO9:AO13,'TechCook-RES'!AO66:AO70,'TechCook-RES'!AO85:AO89)/AM12</f>
        <v>4.826369207958139E-3</v>
      </c>
      <c r="AN96" s="693">
        <f ca="1">SUMPRODUCT('TechCook-RES'!AP9:AP13,'TechCook-RES'!AP66:AP70,'TechCook-RES'!AP85:AP89)/AN12</f>
        <v>3.7550697270162074E-3</v>
      </c>
    </row>
    <row r="97" spans="1:40">
      <c r="A97" s="2" t="s">
        <v>897</v>
      </c>
      <c r="B97" t="str">
        <f>B96</f>
        <v>R_ES-DH-Cook</v>
      </c>
      <c r="C97" s="2"/>
      <c r="D97" s="693">
        <f ca="1">D96</f>
        <v>3.0415222889943107E-3</v>
      </c>
      <c r="E97" s="693">
        <f t="shared" ref="E97" ca="1" si="12">E96</f>
        <v>3.4102939388338635E-3</v>
      </c>
      <c r="F97" s="693">
        <f t="shared" ref="F97" ca="1" si="13">F96</f>
        <v>3.6540878403332529E-3</v>
      </c>
      <c r="G97" s="693">
        <f t="shared" ref="G97" ca="1" si="14">G96</f>
        <v>3.5508103674260372E-3</v>
      </c>
      <c r="H97" s="693">
        <f t="shared" ref="H97" ca="1" si="15">H96</f>
        <v>3.1439568442420233E-3</v>
      </c>
      <c r="I97" s="693">
        <f t="shared" ref="I97" ca="1" si="16">I96</f>
        <v>2.8281460241767939E-3</v>
      </c>
      <c r="J97" s="693">
        <f t="shared" ref="J97" ca="1" si="17">J96</f>
        <v>3.2488705943226623E-3</v>
      </c>
      <c r="K97" s="693">
        <f t="shared" ref="K97" ca="1" si="18">K96</f>
        <v>2.836145687756632E-3</v>
      </c>
      <c r="L97" s="693">
        <f t="shared" ref="L97" ca="1" si="19">L96</f>
        <v>2.7654134618335844E-3</v>
      </c>
      <c r="M97" s="693">
        <f t="shared" ref="M97" ca="1" si="20">M96</f>
        <v>3.8085079249353311E-3</v>
      </c>
      <c r="N97" s="693">
        <f t="shared" ref="N97" ca="1" si="21">N96</f>
        <v>2.6293573109243697E-3</v>
      </c>
      <c r="O97" s="693">
        <f t="shared" ref="O97" ca="1" si="22">O96</f>
        <v>4.645678570627758E-3</v>
      </c>
      <c r="P97" s="693">
        <f t="shared" ref="P97" ca="1" si="23">P96</f>
        <v>5.6266963289672532E-3</v>
      </c>
      <c r="Q97" s="693">
        <f t="shared" ref="Q97" ca="1" si="24">Q96</f>
        <v>3.0876066146761586E-3</v>
      </c>
      <c r="R97" s="693">
        <f t="shared" ref="R97" ca="1" si="25">R96</f>
        <v>2.7436497090527869E-3</v>
      </c>
      <c r="S97" s="693">
        <f t="shared" ref="S97" ca="1" si="26">S96</f>
        <v>2.9710596309351334E-3</v>
      </c>
      <c r="T97" s="693">
        <f t="shared" ref="T97" ca="1" si="27">T96</f>
        <v>2.2971797935457975E-3</v>
      </c>
      <c r="U97" s="693">
        <f t="shared" ref="U97" ca="1" si="28">U96</f>
        <v>2.4563524698412559E-3</v>
      </c>
      <c r="V97" s="693">
        <f t="shared" ref="V97" ca="1" si="29">V96</f>
        <v>2.409548664013308E-3</v>
      </c>
      <c r="W97" s="693">
        <f t="shared" ref="W97" ca="1" si="30">W96</f>
        <v>2.8929006536856424E-3</v>
      </c>
      <c r="X97" s="693">
        <f t="shared" ref="X97" ca="1" si="31">X96</f>
        <v>1.8737845806433358E-3</v>
      </c>
      <c r="Y97" s="693">
        <f t="shared" ref="Y97" ca="1" si="32">Y96</f>
        <v>4.0527979453475627E-3</v>
      </c>
      <c r="Z97" s="693">
        <f t="shared" ref="Z97" ca="1" si="33">Z96</f>
        <v>3.3325711074883857E-3</v>
      </c>
      <c r="AA97" s="693">
        <f t="shared" ref="AA97" ca="1" si="34">AA96</f>
        <v>7.4120673285544758E-3</v>
      </c>
      <c r="AB97" s="693">
        <f t="shared" ref="AB97" ca="1" si="35">AB96</f>
        <v>3.1582031254654983E-3</v>
      </c>
      <c r="AC97" s="693">
        <f t="shared" ref="AC97" ca="1" si="36">AC96</f>
        <v>1.5925988068438986E-2</v>
      </c>
      <c r="AD97" s="693">
        <f t="shared" ref="AD97" ca="1" si="37">AD96</f>
        <v>2.671694097813716E-3</v>
      </c>
      <c r="AE97" s="693">
        <f t="shared" ref="AE97" ca="1" si="38">AE96</f>
        <v>2.6513054046155126E-3</v>
      </c>
      <c r="AF97" s="693">
        <f t="shared" ref="AF97" ca="1" si="39">AF96</f>
        <v>2.3401915005250794E-3</v>
      </c>
      <c r="AG97" s="693">
        <f t="shared" ref="AG97" ca="1" si="40">AG96</f>
        <v>3.6328190444342452E-3</v>
      </c>
      <c r="AH97" s="693">
        <f t="shared" ref="AH97" ca="1" si="41">AH96</f>
        <v>2.0315868994864022E-3</v>
      </c>
      <c r="AI97" s="693">
        <f t="shared" ref="AI97" ca="1" si="42">AI96</f>
        <v>9.6401693011622068E-3</v>
      </c>
      <c r="AJ97" s="693">
        <f t="shared" ref="AJ97" ca="1" si="43">AJ96</f>
        <v>4.2581434154369728E-3</v>
      </c>
      <c r="AK97" s="693">
        <f t="shared" ref="AK97" ca="1" si="44">AK96</f>
        <v>7.9551734298874532E-3</v>
      </c>
      <c r="AL97" s="693">
        <f t="shared" ref="AL97" ca="1" si="45">AL96</f>
        <v>5.2408564883108062E-3</v>
      </c>
      <c r="AM97" s="693">
        <f t="shared" ref="AM97" ca="1" si="46">AM96</f>
        <v>4.826369207958139E-3</v>
      </c>
      <c r="AN97" s="693">
        <f t="shared" ref="AN97" ca="1" si="47">AN96</f>
        <v>3.7550697270162074E-3</v>
      </c>
    </row>
    <row r="98" spans="1:40">
      <c r="A98" t="s">
        <v>548</v>
      </c>
      <c r="B98" t="str">
        <f>'TechCook-RES'!E14</f>
        <v>R_ES-SD-Cook</v>
      </c>
      <c r="D98" s="693">
        <f ca="1">SUMPRODUCT('TechCook-RES'!F14:F18,'TechCook-RES'!F71:F75,'TechCook-RES'!F90:F94)/D15</f>
        <v>3.0415222889943103E-3</v>
      </c>
      <c r="E98" s="693">
        <f ca="1">SUMPRODUCT('TechCook-RES'!G14:G18,'TechCook-RES'!G71:G75,'TechCook-RES'!G90:G94)/E15</f>
        <v>3.4102939388338644E-3</v>
      </c>
      <c r="F98" s="693">
        <f ca="1">SUMPRODUCT('TechCook-RES'!H14:H18,'TechCook-RES'!H71:H75,'TechCook-RES'!H90:H94)/F15</f>
        <v>3.6540878403332529E-3</v>
      </c>
      <c r="G98" s="693">
        <f ca="1">SUMPRODUCT('TechCook-RES'!I14:I18,'TechCook-RES'!I71:I75,'TechCook-RES'!I90:I94)/G15</f>
        <v>3.5508103674260368E-3</v>
      </c>
      <c r="H98" s="693">
        <f ca="1">SUMPRODUCT('TechCook-RES'!J14:J18,'TechCook-RES'!J71:J75,'TechCook-RES'!J90:J94)/H15</f>
        <v>3.1439568442420233E-3</v>
      </c>
      <c r="I98" s="693">
        <f ca="1">SUMPRODUCT('TechCook-RES'!K14:K18,'TechCook-RES'!K71:K75,'TechCook-RES'!K90:K94)/I15</f>
        <v>2.8281460241767939E-3</v>
      </c>
      <c r="J98" s="693">
        <f ca="1">SUMPRODUCT('TechCook-RES'!L14:L18,'TechCook-RES'!L71:L75,'TechCook-RES'!L90:L94)/J15</f>
        <v>3.2488705943226623E-3</v>
      </c>
      <c r="K98" s="693">
        <f ca="1">SUMPRODUCT('TechCook-RES'!M14:M18,'TechCook-RES'!M71:M75,'TechCook-RES'!M90:M94)/K15</f>
        <v>2.8361456877566316E-3</v>
      </c>
      <c r="L98" s="693">
        <f ca="1">SUMPRODUCT('TechCook-RES'!N14:N18,'TechCook-RES'!N71:N75,'TechCook-RES'!N90:N94)/L15</f>
        <v>2.7654134618335839E-3</v>
      </c>
      <c r="M98" s="693">
        <f ca="1">SUMPRODUCT('TechCook-RES'!O14:O18,'TechCook-RES'!O71:O75,'TechCook-RES'!O90:O94)/M15</f>
        <v>3.8085079249353315E-3</v>
      </c>
      <c r="N98" s="693">
        <f ca="1">SUMPRODUCT('TechCook-RES'!P14:P18,'TechCook-RES'!P71:P75,'TechCook-RES'!P90:P94)/N15</f>
        <v>2.6293573109243697E-3</v>
      </c>
      <c r="O98" s="693">
        <f ca="1">SUMPRODUCT('TechCook-RES'!Q14:Q18,'TechCook-RES'!Q71:Q75,'TechCook-RES'!Q90:Q94)/O15</f>
        <v>4.6456785706277572E-3</v>
      </c>
      <c r="P98" s="693">
        <f ca="1">SUMPRODUCT('TechCook-RES'!R14:R18,'TechCook-RES'!R71:R75,'TechCook-RES'!R90:R94)/P15</f>
        <v>5.6266963289672524E-3</v>
      </c>
      <c r="Q98" s="693">
        <f ca="1">SUMPRODUCT('TechCook-RES'!S14:S18,'TechCook-RES'!S71:S75,'TechCook-RES'!S90:S94)/Q15</f>
        <v>3.0876066146761586E-3</v>
      </c>
      <c r="R98" s="693">
        <f ca="1">SUMPRODUCT('TechCook-RES'!T14:T18,'TechCook-RES'!T71:T75,'TechCook-RES'!T90:T94)/R15</f>
        <v>2.7436497090527869E-3</v>
      </c>
      <c r="S98" s="693">
        <f ca="1">SUMPRODUCT('TechCook-RES'!U14:U18,'TechCook-RES'!U71:U75,'TechCook-RES'!U90:U94)/S15</f>
        <v>2.9710596309351326E-3</v>
      </c>
      <c r="T98" s="693">
        <f ca="1">SUMPRODUCT('TechCook-RES'!V14:V18,'TechCook-RES'!V71:V75,'TechCook-RES'!V90:V94)/T15</f>
        <v>2.2971797935457971E-3</v>
      </c>
      <c r="U98" s="693">
        <f ca="1">SUMPRODUCT('TechCook-RES'!W14:W18,'TechCook-RES'!W71:W75,'TechCook-RES'!W90:W94)/U15</f>
        <v>2.4563524698412555E-3</v>
      </c>
      <c r="V98" s="693">
        <f ca="1">SUMPRODUCT('TechCook-RES'!X14:X18,'TechCook-RES'!X71:X75,'TechCook-RES'!X90:X94)/V15</f>
        <v>2.409548664013308E-3</v>
      </c>
      <c r="W98" s="693">
        <f ca="1">SUMPRODUCT('TechCook-RES'!Y14:Y18,'TechCook-RES'!Y71:Y75,'TechCook-RES'!Y90:Y94)/W15</f>
        <v>2.892900653685642E-3</v>
      </c>
      <c r="X98" s="693">
        <f ca="1">SUMPRODUCT('TechCook-RES'!Z14:Z18,'TechCook-RES'!Z71:Z75,'TechCook-RES'!Z90:Z94)/X15</f>
        <v>1.873784580643336E-3</v>
      </c>
      <c r="Y98" s="693">
        <f ca="1">SUMPRODUCT('TechCook-RES'!AA14:AA18,'TechCook-RES'!AA71:AA75,'TechCook-RES'!AA90:AA94)/Y15</f>
        <v>4.0527979453475645E-3</v>
      </c>
      <c r="Z98" s="693">
        <f ca="1">SUMPRODUCT('TechCook-RES'!AB14:AB18,'TechCook-RES'!AB71:AB75,'TechCook-RES'!AB90:AB94)/Z15</f>
        <v>3.3325711074883853E-3</v>
      </c>
      <c r="AA98" s="693">
        <f ca="1">SUMPRODUCT('TechCook-RES'!AC14:AC18,'TechCook-RES'!AC71:AC75,'TechCook-RES'!AC90:AC94)/AA15</f>
        <v>7.4120673285544758E-3</v>
      </c>
      <c r="AB98" s="693">
        <f ca="1">SUMPRODUCT('TechCook-RES'!AD14:AD18,'TechCook-RES'!AD71:AD75,'TechCook-RES'!AD90:AD94)/AB15</f>
        <v>3.1582031254654979E-3</v>
      </c>
      <c r="AC98" s="693">
        <f ca="1">SUMPRODUCT('TechCook-RES'!AE14:AE18,'TechCook-RES'!AE71:AE75,'TechCook-RES'!AE90:AE94)/AC15</f>
        <v>1.5925988068438982E-2</v>
      </c>
      <c r="AD98" s="693">
        <f ca="1">SUMPRODUCT('TechCook-RES'!AF14:AF18,'TechCook-RES'!AF71:AF75,'TechCook-RES'!AF90:AF94)/AD15</f>
        <v>2.671694097813716E-3</v>
      </c>
      <c r="AE98" s="693">
        <f ca="1">SUMPRODUCT('TechCook-RES'!AG14:AG18,'TechCook-RES'!AG71:AG75,'TechCook-RES'!AG90:AG94)/AE15</f>
        <v>2.6513054046155122E-3</v>
      </c>
      <c r="AF98" s="693">
        <f ca="1">SUMPRODUCT('TechCook-RES'!AH14:AH18,'TechCook-RES'!AH71:AH75,'TechCook-RES'!AH90:AH94)/AF15</f>
        <v>2.3401915005250799E-3</v>
      </c>
      <c r="AG98" s="693">
        <f ca="1">SUMPRODUCT('TechCook-RES'!AI14:AI18,'TechCook-RES'!AI71:AI75,'TechCook-RES'!AI90:AI94)/AG15</f>
        <v>3.6328190444342452E-3</v>
      </c>
      <c r="AH98" s="693">
        <f ca="1">SUMPRODUCT('TechCook-RES'!AJ14:AJ18,'TechCook-RES'!AJ71:AJ75,'TechCook-RES'!AJ90:AJ94)/AH15</f>
        <v>2.0315868994864022E-3</v>
      </c>
      <c r="AI98" s="693">
        <f ca="1">SUMPRODUCT('TechCook-RES'!AK14:AK18,'TechCook-RES'!AK71:AK75,'TechCook-RES'!AK90:AK94)/AI15</f>
        <v>9.6401693011622051E-3</v>
      </c>
      <c r="AJ98" s="693">
        <f ca="1">SUMPRODUCT('TechCook-RES'!AL14:AL18,'TechCook-RES'!AL71:AL75,'TechCook-RES'!AL90:AL94)/AJ15</f>
        <v>4.2581434154369728E-3</v>
      </c>
      <c r="AK98" s="693">
        <f ca="1">SUMPRODUCT('TechCook-RES'!AM14:AM18,'TechCook-RES'!AM71:AM75,'TechCook-RES'!AM90:AM94)/AK15</f>
        <v>7.9551734298874549E-3</v>
      </c>
      <c r="AL98" s="693">
        <f ca="1">SUMPRODUCT('TechCook-RES'!AN14:AN18,'TechCook-RES'!AN71:AN75,'TechCook-RES'!AN90:AN94)/AL15</f>
        <v>5.2408564883108062E-3</v>
      </c>
      <c r="AM98" s="693">
        <f ca="1">SUMPRODUCT('TechCook-RES'!AO14:AO18,'TechCook-RES'!AO71:AO75,'TechCook-RES'!AO90:AO94)/AM15</f>
        <v>4.8263692079581382E-3</v>
      </c>
      <c r="AN98" s="693">
        <f ca="1">SUMPRODUCT('TechCook-RES'!AP14:AP18,'TechCook-RES'!AP71:AP75,'TechCook-RES'!AP90:AP94)/AN15</f>
        <v>3.7550697270162074E-3</v>
      </c>
    </row>
    <row r="99" spans="1:40">
      <c r="A99" t="s">
        <v>549</v>
      </c>
      <c r="B99" t="str">
        <f>'TechCook-RES'!E4</f>
        <v>R_ES-FL-Cook</v>
      </c>
      <c r="D99" s="693">
        <f ca="1">SUMPRODUCT('TechCook-RES'!F4:F8,'TechCook-RES'!F61:F65,'TechCook-RES'!F80:F84)/D16</f>
        <v>3.0415222889943107E-3</v>
      </c>
      <c r="E99" s="693">
        <f ca="1">SUMPRODUCT('TechCook-RES'!G4:G8,'TechCook-RES'!G61:G65,'TechCook-RES'!G80:G84)/E16</f>
        <v>3.4102939388338635E-3</v>
      </c>
      <c r="F99" s="693">
        <f ca="1">SUMPRODUCT('TechCook-RES'!H4:H8,'TechCook-RES'!H61:H65,'TechCook-RES'!H80:H84)/F16</f>
        <v>3.6540878403332529E-3</v>
      </c>
      <c r="G99" s="693">
        <f ca="1">SUMPRODUCT('TechCook-RES'!I4:I8,'TechCook-RES'!I61:I65,'TechCook-RES'!I80:I84)/G16</f>
        <v>3.5508103674260372E-3</v>
      </c>
      <c r="H99" s="693">
        <f ca="1">SUMPRODUCT('TechCook-RES'!J4:J8,'TechCook-RES'!J61:J65,'TechCook-RES'!J80:J84)/H16</f>
        <v>3.1439568442420233E-3</v>
      </c>
      <c r="I99" s="693">
        <f ca="1">SUMPRODUCT('TechCook-RES'!K4:K8,'TechCook-RES'!K61:K65,'TechCook-RES'!K80:K84)/I16</f>
        <v>2.8281460241767939E-3</v>
      </c>
      <c r="J99" s="693">
        <f ca="1">SUMPRODUCT('TechCook-RES'!L4:L8,'TechCook-RES'!L61:L65,'TechCook-RES'!L80:L84)/J16</f>
        <v>3.2488705943226623E-3</v>
      </c>
      <c r="K99" s="693">
        <f ca="1">SUMPRODUCT('TechCook-RES'!M4:M8,'TechCook-RES'!M61:M65,'TechCook-RES'!M80:M84)/K16</f>
        <v>2.8361456877566316E-3</v>
      </c>
      <c r="L99" s="693">
        <f ca="1">SUMPRODUCT('TechCook-RES'!N4:N8,'TechCook-RES'!N61:N65,'TechCook-RES'!N80:N84)/L16</f>
        <v>2.7654134618335844E-3</v>
      </c>
      <c r="M99" s="693">
        <f ca="1">SUMPRODUCT('TechCook-RES'!O4:O8,'TechCook-RES'!O61:O65,'TechCook-RES'!O80:O84)/M16</f>
        <v>3.8085079249353324E-3</v>
      </c>
      <c r="N99" s="693">
        <f ca="1">SUMPRODUCT('TechCook-RES'!P4:P8,'TechCook-RES'!P61:P65,'TechCook-RES'!P80:P84)/N16</f>
        <v>2.6293573109243697E-3</v>
      </c>
      <c r="O99" s="693">
        <f ca="1">SUMPRODUCT('TechCook-RES'!Q4:Q8,'TechCook-RES'!Q61:Q65,'TechCook-RES'!Q80:Q84)/O16</f>
        <v>4.6456785706277572E-3</v>
      </c>
      <c r="P99" s="693">
        <f ca="1">SUMPRODUCT('TechCook-RES'!R4:R8,'TechCook-RES'!R61:R65,'TechCook-RES'!R80:R84)/P16</f>
        <v>5.6266963289672541E-3</v>
      </c>
      <c r="Q99" s="693">
        <f ca="1">SUMPRODUCT('TechCook-RES'!S4:S8,'TechCook-RES'!S61:S65,'TechCook-RES'!S80:S84)/Q16</f>
        <v>3.087606614676159E-3</v>
      </c>
      <c r="R99" s="693">
        <f ca="1">SUMPRODUCT('TechCook-RES'!T4:T8,'TechCook-RES'!T61:T65,'TechCook-RES'!T80:T84)/R16</f>
        <v>2.7436497090527873E-3</v>
      </c>
      <c r="S99" s="693">
        <f ca="1">SUMPRODUCT('TechCook-RES'!U4:U8,'TechCook-RES'!U61:U65,'TechCook-RES'!U80:U84)/S16</f>
        <v>2.971059630935133E-3</v>
      </c>
      <c r="T99" s="693">
        <f ca="1">SUMPRODUCT('TechCook-RES'!V4:V8,'TechCook-RES'!V61:V65,'TechCook-RES'!V80:V84)/T16</f>
        <v>2.2971797935457971E-3</v>
      </c>
      <c r="U99" s="693">
        <f ca="1">SUMPRODUCT('TechCook-RES'!W4:W8,'TechCook-RES'!W61:W65,'TechCook-RES'!W80:W84)/U16</f>
        <v>2.4563524698412555E-3</v>
      </c>
      <c r="V99" s="693">
        <f ca="1">SUMPRODUCT('TechCook-RES'!X4:X8,'TechCook-RES'!X61:X65,'TechCook-RES'!X80:X84)/V16</f>
        <v>2.409548664013308E-3</v>
      </c>
      <c r="W99" s="693">
        <f ca="1">SUMPRODUCT('TechCook-RES'!Y4:Y8,'TechCook-RES'!Y61:Y65,'TechCook-RES'!Y80:Y84)/W16</f>
        <v>2.892900653685642E-3</v>
      </c>
      <c r="X99" s="693">
        <f ca="1">SUMPRODUCT('TechCook-RES'!Z4:Z8,'TechCook-RES'!Z61:Z65,'TechCook-RES'!Z80:Z84)/X16</f>
        <v>1.8737845806433358E-3</v>
      </c>
      <c r="Y99" s="693">
        <f ca="1">SUMPRODUCT('TechCook-RES'!AA4:AA8,'TechCook-RES'!AA61:AA65,'TechCook-RES'!AA80:AA84)/Y16</f>
        <v>4.0527979453475636E-3</v>
      </c>
      <c r="Z99" s="693">
        <f ca="1">SUMPRODUCT('TechCook-RES'!AB4:AB8,'TechCook-RES'!AB61:AB65,'TechCook-RES'!AB80:AB84)/Z16</f>
        <v>3.3325711074883848E-3</v>
      </c>
      <c r="AA99" s="693">
        <f ca="1">SUMPRODUCT('TechCook-RES'!AC4:AC8,'TechCook-RES'!AC61:AC65,'TechCook-RES'!AC80:AC84)/AA16</f>
        <v>7.4120673285544766E-3</v>
      </c>
      <c r="AB99" s="693">
        <f ca="1">SUMPRODUCT('TechCook-RES'!AD4:AD8,'TechCook-RES'!AD61:AD65,'TechCook-RES'!AD80:AD84)/AB16</f>
        <v>3.1582031254654983E-3</v>
      </c>
      <c r="AC99" s="693">
        <f ca="1">SUMPRODUCT('TechCook-RES'!AE4:AE8,'TechCook-RES'!AE61:AE65,'TechCook-RES'!AE80:AE84)/AC16</f>
        <v>1.5925988068438986E-2</v>
      </c>
      <c r="AD99" s="693">
        <f ca="1">SUMPRODUCT('TechCook-RES'!AF4:AF8,'TechCook-RES'!AF61:AF65,'TechCook-RES'!AF80:AF84)/AD16</f>
        <v>2.6716940978137155E-3</v>
      </c>
      <c r="AE99" s="693">
        <f ca="1">SUMPRODUCT('TechCook-RES'!AG4:AG8,'TechCook-RES'!AG61:AG65,'TechCook-RES'!AG80:AG84)/AE16</f>
        <v>2.6513054046155122E-3</v>
      </c>
      <c r="AF99" s="693">
        <f ca="1">SUMPRODUCT('TechCook-RES'!AH4:AH8,'TechCook-RES'!AH61:AH65,'TechCook-RES'!AH80:AH84)/AF16</f>
        <v>2.3401915005250794E-3</v>
      </c>
      <c r="AG99" s="693">
        <f ca="1">SUMPRODUCT('TechCook-RES'!AI4:AI8,'TechCook-RES'!AI61:AI65,'TechCook-RES'!AI80:AI84)/AG16</f>
        <v>3.6328190444342456E-3</v>
      </c>
      <c r="AH99" s="693">
        <f ca="1">SUMPRODUCT('TechCook-RES'!AJ4:AJ8,'TechCook-RES'!AJ61:AJ65,'TechCook-RES'!AJ80:AJ84)/AH16</f>
        <v>2.0315868994864022E-3</v>
      </c>
      <c r="AI99" s="693">
        <f ca="1">SUMPRODUCT('TechCook-RES'!AK4:AK8,'TechCook-RES'!AK61:AK65,'TechCook-RES'!AK80:AK84)/AI16</f>
        <v>9.6401693011622051E-3</v>
      </c>
      <c r="AJ99" s="693">
        <f ca="1">SUMPRODUCT('TechCook-RES'!AL4:AL8,'TechCook-RES'!AL61:AL65,'TechCook-RES'!AL80:AL84)/AJ16</f>
        <v>4.2581434154369728E-3</v>
      </c>
      <c r="AK99" s="693">
        <f ca="1">SUMPRODUCT('TechCook-RES'!AM4:AM8,'TechCook-RES'!AM61:AM65,'TechCook-RES'!AM80:AM84)/AK16</f>
        <v>7.9551734298874549E-3</v>
      </c>
      <c r="AL99" s="693">
        <f ca="1">SUMPRODUCT('TechCook-RES'!AN4:AN8,'TechCook-RES'!AN61:AN65,'TechCook-RES'!AN80:AN84)/AL16</f>
        <v>5.2408564883108071E-3</v>
      </c>
      <c r="AM99" s="693">
        <f ca="1">SUMPRODUCT('TechCook-RES'!AO4:AO8,'TechCook-RES'!AO61:AO65,'TechCook-RES'!AO80:AO84)/AM16</f>
        <v>4.8263692079581382E-3</v>
      </c>
      <c r="AN99" s="693">
        <f ca="1">SUMPRODUCT('TechCook-RES'!AP4:AP8,'TechCook-RES'!AP61:AP65,'TechCook-RES'!AP80:AP84)/AN16</f>
        <v>3.755069727016207E-3</v>
      </c>
    </row>
    <row r="100" spans="1:40">
      <c r="A100" t="s">
        <v>547</v>
      </c>
      <c r="B100" s="207" t="str">
        <f>TechComm!C47</f>
        <v>R_ES-DH-SpHeat-I</v>
      </c>
      <c r="C100">
        <f t="shared" ref="C100:C117" si="48">C70</f>
        <v>1940</v>
      </c>
      <c r="D100" s="693">
        <f ca="1">D70*D$24</f>
        <v>9.6111982475514585E-2</v>
      </c>
      <c r="E100" s="693">
        <f t="shared" ref="D100:J109" ca="1" si="49">E70*E$24</f>
        <v>8.4974408923019551E-2</v>
      </c>
      <c r="F100" s="693">
        <f t="shared" ca="1" si="49"/>
        <v>3.3193905682892863E-2</v>
      </c>
      <c r="G100" s="693">
        <f t="shared" ca="1" si="49"/>
        <v>0.10020342437514977</v>
      </c>
      <c r="H100" s="693">
        <f t="shared" ca="1" si="49"/>
        <v>3.4305089351124578E-2</v>
      </c>
      <c r="I100" s="693">
        <f t="shared" ca="1" si="49"/>
        <v>8.3067980047309017E-2</v>
      </c>
      <c r="J100" s="693">
        <f t="shared" ca="1" si="49"/>
        <v>0.1034882722830273</v>
      </c>
      <c r="K100" s="693">
        <f t="shared" ref="K100:N100" ca="1" si="50">K70*K$24</f>
        <v>7.8256877958979745E-2</v>
      </c>
      <c r="L100" s="693">
        <f t="shared" ca="1" si="50"/>
        <v>8.5208712478506213E-2</v>
      </c>
      <c r="M100" s="693">
        <f t="shared" ca="1" si="50"/>
        <v>5.9224175579336201E-2</v>
      </c>
      <c r="N100" s="693">
        <f t="shared" ca="1" si="50"/>
        <v>0.14164619924338576</v>
      </c>
      <c r="O100" s="693">
        <f ca="1">O70*O$24</f>
        <v>9.6680431348909426E-2</v>
      </c>
      <c r="P100" s="693">
        <f t="shared" ref="P100:AN100" ca="1" si="51">P70*P$24</f>
        <v>5.4265074770306482E-2</v>
      </c>
      <c r="Q100" s="693">
        <f t="shared" ca="1" si="51"/>
        <v>5.5515125077622053E-2</v>
      </c>
      <c r="R100" s="693">
        <f t="shared" ca="1" si="51"/>
        <v>6.8911089829873776E-2</v>
      </c>
      <c r="S100" s="693">
        <f t="shared" ca="1" si="51"/>
        <v>9.1948721273386463E-2</v>
      </c>
      <c r="T100" s="693">
        <f t="shared" ca="1" si="51"/>
        <v>0.19555452540265311</v>
      </c>
      <c r="U100" s="693">
        <f t="shared" ca="1" si="51"/>
        <v>7.2728604847432224E-2</v>
      </c>
      <c r="V100" s="693">
        <f t="shared" ca="1" si="51"/>
        <v>6.4323140679598309E-2</v>
      </c>
      <c r="W100" s="693">
        <f t="shared" ca="1" si="51"/>
        <v>0.12384170327571761</v>
      </c>
      <c r="X100" s="693">
        <f t="shared" ca="1" si="51"/>
        <v>8.4406724288791257E-2</v>
      </c>
      <c r="Y100" s="693">
        <f t="shared" ca="1" si="51"/>
        <v>1.3402284020441205E-2</v>
      </c>
      <c r="Z100" s="693">
        <f t="shared" ca="1" si="51"/>
        <v>9.813171934279348E-2</v>
      </c>
      <c r="AA100" s="693">
        <f t="shared" ca="1" si="51"/>
        <v>7.7260407779173437E-2</v>
      </c>
      <c r="AB100" s="693">
        <f t="shared" ca="1" si="51"/>
        <v>0.10394198139501531</v>
      </c>
      <c r="AC100" s="693">
        <f t="shared" ca="1" si="51"/>
        <v>2.0709666898726709E-2</v>
      </c>
      <c r="AD100" s="693">
        <f t="shared" ca="1" si="51"/>
        <v>5.6147167617868324E-2</v>
      </c>
      <c r="AE100" s="693">
        <f t="shared" ca="1" si="51"/>
        <v>9.984397130897113E-2</v>
      </c>
      <c r="AF100" s="693">
        <f t="shared" ca="1" si="51"/>
        <v>7.7196421151980263E-2</v>
      </c>
      <c r="AG100" s="693">
        <f t="shared" ca="1" si="51"/>
        <v>8.0024813551638249E-2</v>
      </c>
      <c r="AH100" s="693">
        <f t="shared" ca="1" si="51"/>
        <v>8.0194294506847064E-2</v>
      </c>
      <c r="AI100" s="693">
        <f t="shared" ca="1" si="51"/>
        <v>2.2981594773209942E-2</v>
      </c>
      <c r="AJ100" s="693">
        <f t="shared" ca="1" si="51"/>
        <v>2.8884986448762168E-2</v>
      </c>
      <c r="AK100" s="693">
        <f t="shared" ca="1" si="51"/>
        <v>5.5533011413607662E-2</v>
      </c>
      <c r="AL100" s="693">
        <f t="shared" ca="1" si="51"/>
        <v>3.088850930931648E-2</v>
      </c>
      <c r="AM100" s="693">
        <f t="shared" ca="1" si="51"/>
        <v>4.0957779866900253E-2</v>
      </c>
      <c r="AN100" s="693">
        <f t="shared" ca="1" si="51"/>
        <v>2.7913236170514843E-2</v>
      </c>
    </row>
    <row r="101" spans="1:40">
      <c r="A101" t="s">
        <v>547</v>
      </c>
      <c r="B101" s="207" t="str">
        <f>B100</f>
        <v>R_ES-DH-SpHeat-I</v>
      </c>
      <c r="C101">
        <f t="shared" si="48"/>
        <v>1957</v>
      </c>
      <c r="D101" s="693">
        <f t="shared" ca="1" si="49"/>
        <v>8.9511840486235589E-2</v>
      </c>
      <c r="E101" s="693">
        <f t="shared" ca="1" si="49"/>
        <v>8.4974408923019551E-2</v>
      </c>
      <c r="F101" s="693">
        <f t="shared" ca="1" si="49"/>
        <v>3.3193905682892863E-2</v>
      </c>
      <c r="G101" s="693">
        <f t="shared" ca="1" si="49"/>
        <v>9.3322317444945124E-2</v>
      </c>
      <c r="H101" s="693">
        <f t="shared" ca="1" si="49"/>
        <v>3.2334029561530774E-2</v>
      </c>
      <c r="I101" s="693">
        <f t="shared" ca="1" si="49"/>
        <v>7.1271835905554901E-2</v>
      </c>
      <c r="J101" s="693">
        <f t="shared" ca="1" si="49"/>
        <v>8.9392888704069695E-2</v>
      </c>
      <c r="K101" s="693">
        <f t="shared" ref="K101:N117" ca="1" si="52">K71*K$24</f>
        <v>7.60402584828022E-2</v>
      </c>
      <c r="L101" s="693">
        <f t="shared" ca="1" si="52"/>
        <v>8.5208712478506213E-2</v>
      </c>
      <c r="M101" s="693">
        <f t="shared" ca="1" si="52"/>
        <v>5.4016122515867751E-2</v>
      </c>
      <c r="N101" s="693">
        <f t="shared" ca="1" si="52"/>
        <v>0.13093621822277615</v>
      </c>
      <c r="O101" s="693">
        <f t="shared" ref="O101:T101" ca="1" si="53">O71*O$24</f>
        <v>9.6680431348909426E-2</v>
      </c>
      <c r="P101" s="693">
        <f t="shared" ca="1" si="53"/>
        <v>5.4265074770306482E-2</v>
      </c>
      <c r="Q101" s="693">
        <f t="shared" ca="1" si="53"/>
        <v>5.8254327436148369E-2</v>
      </c>
      <c r="R101" s="693">
        <f t="shared" ca="1" si="53"/>
        <v>6.8911089829873776E-2</v>
      </c>
      <c r="S101" s="693">
        <f t="shared" ca="1" si="53"/>
        <v>9.3135935319220625E-2</v>
      </c>
      <c r="T101" s="693">
        <f t="shared" ca="1" si="53"/>
        <v>0.18076849325534489</v>
      </c>
      <c r="U101" s="693">
        <f t="shared" ref="U101:AN101" ca="1" si="54">U71*U$24</f>
        <v>6.9373490348884612E-2</v>
      </c>
      <c r="V101" s="693">
        <f t="shared" ca="1" si="54"/>
        <v>6.4323140679598309E-2</v>
      </c>
      <c r="W101" s="693">
        <f t="shared" ca="1" si="54"/>
        <v>0.12588378951170717</v>
      </c>
      <c r="X101" s="693">
        <f t="shared" ca="1" si="54"/>
        <v>8.3252978952673029E-2</v>
      </c>
      <c r="Y101" s="693">
        <f t="shared" ca="1" si="54"/>
        <v>1.3385958481887854E-2</v>
      </c>
      <c r="Z101" s="693">
        <f t="shared" ca="1" si="54"/>
        <v>8.0500611969044511E-2</v>
      </c>
      <c r="AA101" s="693">
        <f t="shared" ca="1" si="54"/>
        <v>7.6916431928901699E-2</v>
      </c>
      <c r="AB101" s="693">
        <f t="shared" ca="1" si="54"/>
        <v>7.6433835420691695E-2</v>
      </c>
      <c r="AC101" s="693">
        <f t="shared" ca="1" si="54"/>
        <v>1.8977565076528057E-2</v>
      </c>
      <c r="AD101" s="693">
        <f t="shared" ca="1" si="54"/>
        <v>5.1310149428083818E-2</v>
      </c>
      <c r="AE101" s="693">
        <f t="shared" ca="1" si="54"/>
        <v>9.9399449775721266E-2</v>
      </c>
      <c r="AF101" s="693">
        <f t="shared" ca="1" si="54"/>
        <v>7.7196421151980263E-2</v>
      </c>
      <c r="AG101" s="693">
        <f t="shared" ca="1" si="54"/>
        <v>6.8925799749166891E-2</v>
      </c>
      <c r="AH101" s="693">
        <f t="shared" ca="1" si="54"/>
        <v>8.3760800253918133E-2</v>
      </c>
      <c r="AI101" s="693">
        <f t="shared" ca="1" si="54"/>
        <v>2.2981594773209942E-2</v>
      </c>
      <c r="AJ101" s="693">
        <f t="shared" ca="1" si="54"/>
        <v>2.8884986448762168E-2</v>
      </c>
      <c r="AK101" s="693">
        <f t="shared" ca="1" si="54"/>
        <v>5.5533011413607662E-2</v>
      </c>
      <c r="AL101" s="693">
        <f t="shared" ca="1" si="54"/>
        <v>3.088850930931648E-2</v>
      </c>
      <c r="AM101" s="693">
        <f t="shared" ca="1" si="54"/>
        <v>4.0957779866900253E-2</v>
      </c>
      <c r="AN101" s="693">
        <f t="shared" ca="1" si="54"/>
        <v>2.7913236170514843E-2</v>
      </c>
    </row>
    <row r="102" spans="1:40">
      <c r="A102" s="2" t="s">
        <v>897</v>
      </c>
      <c r="B102" s="207" t="s">
        <v>898</v>
      </c>
      <c r="C102">
        <f t="shared" si="48"/>
        <v>1975</v>
      </c>
      <c r="D102" s="693">
        <f t="shared" ca="1" si="49"/>
        <v>7.1890665023460018E-2</v>
      </c>
      <c r="E102" s="693">
        <f t="shared" ca="1" si="49"/>
        <v>8.4974408923019551E-2</v>
      </c>
      <c r="F102" s="693">
        <f t="shared" ca="1" si="49"/>
        <v>3.1492589695529323E-2</v>
      </c>
      <c r="G102" s="693">
        <f t="shared" ca="1" si="49"/>
        <v>7.4951016828653044E-2</v>
      </c>
      <c r="H102" s="693">
        <f t="shared" ca="1" si="49"/>
        <v>3.3773547366728787E-2</v>
      </c>
      <c r="I102" s="693">
        <f t="shared" ca="1" si="49"/>
        <v>7.1271835905554901E-2</v>
      </c>
      <c r="J102" s="693">
        <f t="shared" ca="1" si="49"/>
        <v>5.958273997313606E-2</v>
      </c>
      <c r="K102" s="693">
        <f t="shared" ca="1" si="52"/>
        <v>5.3832596824278343E-2</v>
      </c>
      <c r="L102" s="693">
        <f t="shared" ca="1" si="52"/>
        <v>7.1252783667832387E-2</v>
      </c>
      <c r="M102" s="693">
        <f t="shared" ca="1" si="52"/>
        <v>5.4016122515867751E-2</v>
      </c>
      <c r="N102" s="693">
        <f t="shared" ca="1" si="52"/>
        <v>0.10949317086355073</v>
      </c>
      <c r="O102" s="693">
        <f t="shared" ref="O102:T102" ca="1" si="55">O72*O$24</f>
        <v>4.784718409384691E-2</v>
      </c>
      <c r="P102" s="693">
        <f t="shared" ca="1" si="55"/>
        <v>5.4265074770306482E-2</v>
      </c>
      <c r="Q102" s="693">
        <f t="shared" ca="1" si="55"/>
        <v>5.0537164804352615E-2</v>
      </c>
      <c r="R102" s="693">
        <f t="shared" ca="1" si="55"/>
        <v>6.0626468289098706E-2</v>
      </c>
      <c r="S102" s="693">
        <f t="shared" ca="1" si="55"/>
        <v>8.1340753256539028E-2</v>
      </c>
      <c r="T102" s="693">
        <f t="shared" ca="1" si="55"/>
        <v>0.15116455773205725</v>
      </c>
      <c r="U102" s="693">
        <f t="shared" ref="U102:AN102" ca="1" si="56">U72*U$24</f>
        <v>6.5300665574093003E-2</v>
      </c>
      <c r="V102" s="693">
        <f t="shared" ca="1" si="56"/>
        <v>4.2648736011182846E-2</v>
      </c>
      <c r="W102" s="693">
        <f t="shared" ca="1" si="56"/>
        <v>7.3175769542811492E-2</v>
      </c>
      <c r="X102" s="693">
        <f t="shared" ca="1" si="56"/>
        <v>7.7790350158054133E-2</v>
      </c>
      <c r="Y102" s="693">
        <f t="shared" ca="1" si="56"/>
        <v>1.1388099254477988E-2</v>
      </c>
      <c r="Z102" s="693">
        <f t="shared" ca="1" si="56"/>
        <v>7.8159088799739651E-2</v>
      </c>
      <c r="AA102" s="693">
        <f t="shared" ca="1" si="56"/>
        <v>5.6327586585327459E-2</v>
      </c>
      <c r="AB102" s="693">
        <f t="shared" ca="1" si="56"/>
        <v>5.5780750128074354E-2</v>
      </c>
      <c r="AC102" s="693">
        <f t="shared" ca="1" si="56"/>
        <v>1.8661057683002313E-2</v>
      </c>
      <c r="AD102" s="693">
        <f t="shared" ca="1" si="56"/>
        <v>5.1310149428083818E-2</v>
      </c>
      <c r="AE102" s="693">
        <f t="shared" ca="1" si="56"/>
        <v>7.2792392644412604E-2</v>
      </c>
      <c r="AF102" s="693">
        <f t="shared" ca="1" si="56"/>
        <v>7.1119405571934913E-2</v>
      </c>
      <c r="AG102" s="693">
        <f t="shared" ca="1" si="56"/>
        <v>6.8925799749166891E-2</v>
      </c>
      <c r="AH102" s="693">
        <f t="shared" ca="1" si="56"/>
        <v>6.7033609587677775E-2</v>
      </c>
      <c r="AI102" s="693">
        <f t="shared" ca="1" si="56"/>
        <v>2.2981594773209942E-2</v>
      </c>
      <c r="AJ102" s="693">
        <f t="shared" ca="1" si="56"/>
        <v>2.8884986448762168E-2</v>
      </c>
      <c r="AK102" s="693">
        <f t="shared" ca="1" si="56"/>
        <v>5.5533011413607662E-2</v>
      </c>
      <c r="AL102" s="693">
        <f t="shared" ca="1" si="56"/>
        <v>2.9284670407732555E-2</v>
      </c>
      <c r="AM102" s="693">
        <f t="shared" ca="1" si="56"/>
        <v>4.0957779866900253E-2</v>
      </c>
      <c r="AN102" s="693">
        <f t="shared" ca="1" si="56"/>
        <v>2.7913236170514843E-2</v>
      </c>
    </row>
    <row r="103" spans="1:40">
      <c r="A103" s="2" t="s">
        <v>897</v>
      </c>
      <c r="B103" s="207" t="str">
        <f>B102</f>
        <v>R_ES-DH-70-SpHeat-I</v>
      </c>
      <c r="C103">
        <f t="shared" si="48"/>
        <v>1985</v>
      </c>
      <c r="D103" s="693">
        <f t="shared" ca="1" si="49"/>
        <v>5.0185499003167662E-2</v>
      </c>
      <c r="E103" s="693">
        <f t="shared" ca="1" si="49"/>
        <v>7.2602692911767547E-2</v>
      </c>
      <c r="F103" s="693">
        <f t="shared" ca="1" si="49"/>
        <v>2.7563116629795534E-2</v>
      </c>
      <c r="G103" s="693">
        <f t="shared" ca="1" si="49"/>
        <v>5.2321872097208968E-2</v>
      </c>
      <c r="H103" s="693">
        <f t="shared" ca="1" si="49"/>
        <v>3.2893328095718849E-2</v>
      </c>
      <c r="I103" s="693">
        <f t="shared" ca="1" si="49"/>
        <v>6.447140631895816E-2</v>
      </c>
      <c r="J103" s="693">
        <f t="shared" ca="1" si="49"/>
        <v>4.8282125568867254E-2</v>
      </c>
      <c r="K103" s="693">
        <f t="shared" ca="1" si="52"/>
        <v>4.5793921752111048E-2</v>
      </c>
      <c r="L103" s="693">
        <f t="shared" ca="1" si="52"/>
        <v>5.3095940825699163E-2</v>
      </c>
      <c r="M103" s="693">
        <f t="shared" ca="1" si="52"/>
        <v>3.609459617982852E-2</v>
      </c>
      <c r="N103" s="693">
        <f t="shared" ca="1" si="52"/>
        <v>9.0150810706378051E-2</v>
      </c>
      <c r="O103" s="693">
        <f t="shared" ref="O103:T103" ca="1" si="57">O73*O$24</f>
        <v>4.1046720627269759E-2</v>
      </c>
      <c r="P103" s="693">
        <f t="shared" ca="1" si="57"/>
        <v>5.2891988043197162E-2</v>
      </c>
      <c r="Q103" s="693">
        <f t="shared" ca="1" si="57"/>
        <v>5.0537164804352615E-2</v>
      </c>
      <c r="R103" s="693">
        <f t="shared" ca="1" si="57"/>
        <v>4.6299777330498337E-2</v>
      </c>
      <c r="S103" s="693">
        <f t="shared" ca="1" si="57"/>
        <v>5.5143942082230918E-2</v>
      </c>
      <c r="T103" s="693">
        <f t="shared" ca="1" si="57"/>
        <v>0.12446079807660909</v>
      </c>
      <c r="U103" s="693">
        <f t="shared" ref="U103:AN103" ca="1" si="58">U73*U$24</f>
        <v>5.0378568939634813E-2</v>
      </c>
      <c r="V103" s="693">
        <f t="shared" ca="1" si="58"/>
        <v>4.2648736011182846E-2</v>
      </c>
      <c r="W103" s="693">
        <f t="shared" ca="1" si="58"/>
        <v>6.0325010407258295E-2</v>
      </c>
      <c r="X103" s="693">
        <f t="shared" ca="1" si="58"/>
        <v>4.6670033055058971E-2</v>
      </c>
      <c r="Y103" s="693">
        <f t="shared" ca="1" si="58"/>
        <v>1.0584510164637096E-2</v>
      </c>
      <c r="Z103" s="693">
        <f t="shared" ca="1" si="58"/>
        <v>5.1427335629732514E-2</v>
      </c>
      <c r="AA103" s="693">
        <f t="shared" ca="1" si="58"/>
        <v>5.5473812309762165E-2</v>
      </c>
      <c r="AB103" s="693">
        <f t="shared" ca="1" si="58"/>
        <v>5.5780750128074354E-2</v>
      </c>
      <c r="AC103" s="693">
        <f t="shared" ca="1" si="58"/>
        <v>1.8200930176988813E-2</v>
      </c>
      <c r="AD103" s="693">
        <f t="shared" ca="1" si="58"/>
        <v>4.4157379829850851E-2</v>
      </c>
      <c r="AE103" s="693">
        <f t="shared" ca="1" si="58"/>
        <v>7.1689056320877728E-2</v>
      </c>
      <c r="AF103" s="693">
        <f t="shared" ca="1" si="58"/>
        <v>5.4753715417747102E-2</v>
      </c>
      <c r="AG103" s="693">
        <f t="shared" ca="1" si="58"/>
        <v>5.8733337506959339E-2</v>
      </c>
      <c r="AH103" s="693">
        <f t="shared" ca="1" si="58"/>
        <v>4.2175088770149069E-2</v>
      </c>
      <c r="AI103" s="693">
        <f t="shared" ca="1" si="58"/>
        <v>2.2400084052281815E-2</v>
      </c>
      <c r="AJ103" s="693">
        <f t="shared" ca="1" si="58"/>
        <v>2.5445408199328546E-2</v>
      </c>
      <c r="AK103" s="693">
        <f t="shared" ca="1" si="58"/>
        <v>4.8554390407706441E-2</v>
      </c>
      <c r="AL103" s="693">
        <f t="shared" ca="1" si="58"/>
        <v>2.558408002769658E-2</v>
      </c>
      <c r="AM103" s="693">
        <f t="shared" ca="1" si="58"/>
        <v>3.6080592577054135E-2</v>
      </c>
      <c r="AN103" s="693">
        <f t="shared" ca="1" si="58"/>
        <v>2.4589372398803745E-2</v>
      </c>
    </row>
    <row r="104" spans="1:40">
      <c r="A104" s="2" t="s">
        <v>897</v>
      </c>
      <c r="B104" s="207" t="str">
        <f>B103</f>
        <v>R_ES-DH-70-SpHeat-I</v>
      </c>
      <c r="C104">
        <f t="shared" si="48"/>
        <v>1995</v>
      </c>
      <c r="D104" s="693">
        <f t="shared" ca="1" si="49"/>
        <v>4.2973890871063215E-2</v>
      </c>
      <c r="E104" s="693">
        <f t="shared" ca="1" si="49"/>
        <v>7.2602692911767547E-2</v>
      </c>
      <c r="F104" s="693">
        <f t="shared" ca="1" si="49"/>
        <v>2.25210921435927E-2</v>
      </c>
      <c r="G104" s="693">
        <f t="shared" ca="1" si="49"/>
        <v>4.4803269198006056E-2</v>
      </c>
      <c r="H104" s="693">
        <f t="shared" ca="1" si="49"/>
        <v>2.8197795155328987E-2</v>
      </c>
      <c r="I104" s="693">
        <f t="shared" ca="1" si="49"/>
        <v>4.9699372320393481E-2</v>
      </c>
      <c r="J104" s="693">
        <f t="shared" ca="1" si="49"/>
        <v>2.8782762121924554E-2</v>
      </c>
      <c r="K104" s="693">
        <f t="shared" ca="1" si="52"/>
        <v>4.5793921752111048E-2</v>
      </c>
      <c r="L104" s="693">
        <f t="shared" ca="1" si="52"/>
        <v>4.660447774297391E-2</v>
      </c>
      <c r="M104" s="693">
        <f t="shared" ca="1" si="52"/>
        <v>3.609459617982852E-2</v>
      </c>
      <c r="N104" s="693">
        <f t="shared" ca="1" si="52"/>
        <v>8.9156054015020969E-2</v>
      </c>
      <c r="O104" s="693">
        <f t="shared" ref="O104:T104" ca="1" si="59">O74*O$24</f>
        <v>2.4415124576611085E-2</v>
      </c>
      <c r="P104" s="693">
        <f t="shared" ca="1" si="59"/>
        <v>5.2891988043197162E-2</v>
      </c>
      <c r="Q104" s="693">
        <f t="shared" ca="1" si="59"/>
        <v>3.6811367013121009E-2</v>
      </c>
      <c r="R104" s="693">
        <f t="shared" ca="1" si="59"/>
        <v>4.6299777330498337E-2</v>
      </c>
      <c r="S104" s="693">
        <f t="shared" ca="1" si="59"/>
        <v>4.7731529794813578E-2</v>
      </c>
      <c r="T104" s="693">
        <f t="shared" ca="1" si="59"/>
        <v>0.12308745256004358</v>
      </c>
      <c r="U104" s="693">
        <f t="shared" ref="U104:AN104" ca="1" si="60">U74*U$24</f>
        <v>4.6881089508293415E-2</v>
      </c>
      <c r="V104" s="693">
        <f t="shared" ca="1" si="60"/>
        <v>4.2648736011182846E-2</v>
      </c>
      <c r="W104" s="693">
        <f t="shared" ca="1" si="60"/>
        <v>5.1585466105801864E-2</v>
      </c>
      <c r="X104" s="693">
        <f t="shared" ca="1" si="60"/>
        <v>4.5991888674445501E-2</v>
      </c>
      <c r="Y104" s="693">
        <f t="shared" ca="1" si="60"/>
        <v>1.0430531952087334E-2</v>
      </c>
      <c r="Z104" s="693">
        <f t="shared" ca="1" si="60"/>
        <v>4.6057939192403835E-2</v>
      </c>
      <c r="AA104" s="693">
        <f t="shared" ca="1" si="60"/>
        <v>5.0623270734130449E-2</v>
      </c>
      <c r="AB104" s="693">
        <f t="shared" ca="1" si="60"/>
        <v>5.5780750128074354E-2</v>
      </c>
      <c r="AC104" s="693">
        <f t="shared" ca="1" si="60"/>
        <v>1.6922283579913936E-2</v>
      </c>
      <c r="AD104" s="693">
        <f t="shared" ca="1" si="60"/>
        <v>4.4157379829850851E-2</v>
      </c>
      <c r="AE104" s="693">
        <f t="shared" ca="1" si="60"/>
        <v>6.5420679699121229E-2</v>
      </c>
      <c r="AF104" s="693">
        <f t="shared" ca="1" si="60"/>
        <v>4.0423455695716766E-2</v>
      </c>
      <c r="AG104" s="693">
        <f t="shared" ca="1" si="60"/>
        <v>5.4180883286672379E-2</v>
      </c>
      <c r="AH104" s="693">
        <f t="shared" ca="1" si="60"/>
        <v>3.1101521059548914E-2</v>
      </c>
      <c r="AI104" s="693">
        <f t="shared" ca="1" si="60"/>
        <v>2.2400084052281815E-2</v>
      </c>
      <c r="AJ104" s="693">
        <f t="shared" ca="1" si="60"/>
        <v>2.4328910715478561E-2</v>
      </c>
      <c r="AK104" s="693">
        <f t="shared" ca="1" si="60"/>
        <v>4.6216871702283641E-2</v>
      </c>
      <c r="AL104" s="693">
        <f t="shared" ca="1" si="60"/>
        <v>2.0806594965233859E-2</v>
      </c>
      <c r="AM104" s="693">
        <f t="shared" ca="1" si="60"/>
        <v>3.4497442858545779E-2</v>
      </c>
      <c r="AN104" s="693">
        <f t="shared" ca="1" si="60"/>
        <v>2.3510436183764406E-2</v>
      </c>
    </row>
    <row r="105" spans="1:40">
      <c r="A105" s="2" t="s">
        <v>897</v>
      </c>
      <c r="B105" s="207" t="str">
        <f>B104</f>
        <v>R_ES-DH-70-SpHeat-I</v>
      </c>
      <c r="C105">
        <f t="shared" si="48"/>
        <v>2004</v>
      </c>
      <c r="D105" s="693">
        <f t="shared" ca="1" si="49"/>
        <v>3.821655258332169E-2</v>
      </c>
      <c r="E105" s="693">
        <f t="shared" ca="1" si="49"/>
        <v>4.3568868708656228E-2</v>
      </c>
      <c r="F105" s="693">
        <f t="shared" ca="1" si="49"/>
        <v>1.5681843388374129E-2</v>
      </c>
      <c r="G105" s="693">
        <f t="shared" ca="1" si="49"/>
        <v>3.9843413256379259E-2</v>
      </c>
      <c r="H105" s="693">
        <f t="shared" ca="1" si="49"/>
        <v>2.4811910278034911E-2</v>
      </c>
      <c r="I105" s="693">
        <f t="shared" ca="1" si="49"/>
        <v>3.9103012687011288E-2</v>
      </c>
      <c r="J105" s="693">
        <f t="shared" ca="1" si="49"/>
        <v>3.1008036628156682E-2</v>
      </c>
      <c r="K105" s="693">
        <f t="shared" ca="1" si="52"/>
        <v>3.343357451027034E-2</v>
      </c>
      <c r="L105" s="693">
        <f t="shared" ca="1" si="52"/>
        <v>4.660447774297391E-2</v>
      </c>
      <c r="M105" s="693">
        <f t="shared" ca="1" si="52"/>
        <v>2.4680364621511942E-2</v>
      </c>
      <c r="N105" s="693">
        <f t="shared" ca="1" si="52"/>
        <v>7.9872548283868056E-2</v>
      </c>
      <c r="O105" s="693">
        <f t="shared" ref="O105:T105" ca="1" si="61">O75*O$24</f>
        <v>2.3614074304208046E-2</v>
      </c>
      <c r="P105" s="693">
        <f t="shared" ca="1" si="61"/>
        <v>2.1422218388099809E-2</v>
      </c>
      <c r="Q105" s="693">
        <f t="shared" ca="1" si="61"/>
        <v>2.3518729888443994E-2</v>
      </c>
      <c r="R105" s="693">
        <f t="shared" ca="1" si="61"/>
        <v>2.863331241150641E-2</v>
      </c>
      <c r="S105" s="693">
        <f t="shared" ca="1" si="61"/>
        <v>3.0803334387112944E-2</v>
      </c>
      <c r="T105" s="693">
        <f t="shared" ca="1" si="61"/>
        <v>0.11027078986788746</v>
      </c>
      <c r="U105" s="693">
        <f t="shared" ref="U105:AN105" ca="1" si="62">U75*U$24</f>
        <v>4.4205442267773877E-2</v>
      </c>
      <c r="V105" s="693">
        <f t="shared" ca="1" si="62"/>
        <v>2.5955618683214519E-2</v>
      </c>
      <c r="W105" s="693">
        <f t="shared" ca="1" si="62"/>
        <v>4.1764704592126577E-2</v>
      </c>
      <c r="X105" s="693">
        <f t="shared" ca="1" si="62"/>
        <v>2.9800539441301704E-2</v>
      </c>
      <c r="Y105" s="693">
        <f t="shared" ca="1" si="62"/>
        <v>1.002760745758307E-2</v>
      </c>
      <c r="Z105" s="693">
        <f t="shared" ca="1" si="62"/>
        <v>3.2873120141762406E-2</v>
      </c>
      <c r="AA105" s="693">
        <f t="shared" ca="1" si="62"/>
        <v>4.4068049574439452E-2</v>
      </c>
      <c r="AB105" s="693">
        <f t="shared" ca="1" si="62"/>
        <v>4.4694994036883595E-2</v>
      </c>
      <c r="AC105" s="693">
        <f t="shared" ca="1" si="62"/>
        <v>1.1554767195798989E-2</v>
      </c>
      <c r="AD105" s="693">
        <f t="shared" ca="1" si="62"/>
        <v>3.437264370170659E-2</v>
      </c>
      <c r="AE105" s="693">
        <f t="shared" ca="1" si="62"/>
        <v>5.694933800930195E-2</v>
      </c>
      <c r="AF105" s="693">
        <f t="shared" ca="1" si="62"/>
        <v>2.393342302569194E-2</v>
      </c>
      <c r="AG105" s="693">
        <f t="shared" ca="1" si="62"/>
        <v>3.2557853556819859E-2</v>
      </c>
      <c r="AH105" s="693">
        <f t="shared" ca="1" si="62"/>
        <v>2.6105855839287689E-2</v>
      </c>
      <c r="AI105" s="693">
        <f t="shared" ca="1" si="62"/>
        <v>9.0724419752925365E-3</v>
      </c>
      <c r="AJ105" s="693">
        <f t="shared" ca="1" si="62"/>
        <v>2.1076245802189138E-2</v>
      </c>
      <c r="AK105" s="693">
        <f t="shared" ca="1" si="62"/>
        <v>4.010851331125577E-2</v>
      </c>
      <c r="AL105" s="693">
        <f t="shared" ca="1" si="62"/>
        <v>1.4447878104839234E-2</v>
      </c>
      <c r="AM105" s="693">
        <f t="shared" ca="1" si="62"/>
        <v>2.9885291361240584E-2</v>
      </c>
      <c r="AN105" s="693">
        <f t="shared" ca="1" si="62"/>
        <v>2.0367197599621471E-2</v>
      </c>
    </row>
    <row r="106" spans="1:40">
      <c r="A106" t="s">
        <v>548</v>
      </c>
      <c r="B106" s="207" t="str">
        <f>TechComm!C48</f>
        <v>R_ES-SD-SpHeat-I</v>
      </c>
      <c r="C106">
        <f t="shared" si="48"/>
        <v>1940</v>
      </c>
      <c r="D106" s="693">
        <f t="shared" ca="1" si="49"/>
        <v>5.1145995847828842E-2</v>
      </c>
      <c r="E106" s="693">
        <f t="shared" ca="1" si="49"/>
        <v>4.7088522567780733E-2</v>
      </c>
      <c r="F106" s="693">
        <f t="shared" ca="1" si="49"/>
        <v>1.7541726519089869E-2</v>
      </c>
      <c r="G106" s="693">
        <f t="shared" ca="1" si="49"/>
        <v>5.5121989706262316E-2</v>
      </c>
      <c r="H106" s="693">
        <f t="shared" ca="1" si="49"/>
        <v>2.0334626319502787E-2</v>
      </c>
      <c r="I106" s="693">
        <f t="shared" ca="1" si="49"/>
        <v>4.5190186809808207E-2</v>
      </c>
      <c r="J106" s="693">
        <f t="shared" ca="1" si="49"/>
        <v>5.6942728706083946E-2</v>
      </c>
      <c r="K106" s="693">
        <f t="shared" ca="1" si="52"/>
        <v>4.0208965904490079E-2</v>
      </c>
      <c r="L106" s="693">
        <f t="shared" ca="1" si="52"/>
        <v>4.3264963902756505E-2</v>
      </c>
      <c r="M106" s="693">
        <f t="shared" ca="1" si="52"/>
        <v>3.3175662618808235E-2</v>
      </c>
      <c r="N106" s="693">
        <f t="shared" ca="1" si="52"/>
        <v>7.2863642561511885E-2</v>
      </c>
      <c r="O106" s="693">
        <f t="shared" ref="O106:T106" ca="1" si="63">O76*O$24</f>
        <v>5.3688645777055136E-2</v>
      </c>
      <c r="P106" s="693">
        <f t="shared" ca="1" si="63"/>
        <v>3.1915753232030698E-2</v>
      </c>
      <c r="Q106" s="693">
        <f t="shared" ca="1" si="63"/>
        <v>2.7390225135076204E-2</v>
      </c>
      <c r="R106" s="693">
        <f t="shared" ca="1" si="63"/>
        <v>3.6262523759739186E-2</v>
      </c>
      <c r="S106" s="693">
        <f t="shared" ca="1" si="63"/>
        <v>5.1098752735828777E-2</v>
      </c>
      <c r="T106" s="693">
        <f t="shared" ca="1" si="63"/>
        <v>0.10137657464569054</v>
      </c>
      <c r="U106" s="693">
        <f t="shared" ref="U106:AN106" ca="1" si="64">U76*U$24</f>
        <v>4.0384525237026681E-2</v>
      </c>
      <c r="V106" s="693">
        <f t="shared" ca="1" si="64"/>
        <v>3.4286568360682959E-2</v>
      </c>
      <c r="W106" s="693">
        <f t="shared" ca="1" si="64"/>
        <v>6.9501470909864069E-2</v>
      </c>
      <c r="X106" s="693">
        <f t="shared" ca="1" si="64"/>
        <v>4.4486294528909232E-2</v>
      </c>
      <c r="Y106" s="693">
        <f t="shared" ca="1" si="64"/>
        <v>7.898169847090632E-3</v>
      </c>
      <c r="Z106" s="693">
        <f t="shared" ca="1" si="64"/>
        <v>5.7861354319047362E-2</v>
      </c>
      <c r="AA106" s="693">
        <f t="shared" ca="1" si="64"/>
        <v>3.7931759282697132E-2</v>
      </c>
      <c r="AB106" s="693">
        <f t="shared" ca="1" si="64"/>
        <v>5.5065929108046252E-2</v>
      </c>
      <c r="AC106" s="693">
        <f t="shared" ca="1" si="64"/>
        <v>1.1692941810633829E-2</v>
      </c>
      <c r="AD106" s="693">
        <f t="shared" ca="1" si="64"/>
        <v>2.987573170106915E-2</v>
      </c>
      <c r="AE106" s="693">
        <f t="shared" ca="1" si="64"/>
        <v>4.8250417073644275E-2</v>
      </c>
      <c r="AF106" s="693">
        <f t="shared" ca="1" si="64"/>
        <v>4.0882287830305154E-2</v>
      </c>
      <c r="AG106" s="693">
        <f t="shared" ca="1" si="64"/>
        <v>4.3090098600754564E-2</v>
      </c>
      <c r="AH106" s="693">
        <f t="shared" ca="1" si="64"/>
        <v>4.5352857681419403E-2</v>
      </c>
      <c r="AI106" s="693">
        <f t="shared" ca="1" si="64"/>
        <v>1.3113767628904267E-2</v>
      </c>
      <c r="AJ106" s="693">
        <f t="shared" ca="1" si="64"/>
        <v>1.483616716429933E-2</v>
      </c>
      <c r="AK106" s="693">
        <f t="shared" ca="1" si="64"/>
        <v>2.9157722692805834E-2</v>
      </c>
      <c r="AL106" s="693">
        <f t="shared" ca="1" si="64"/>
        <v>1.6347764590993283E-2</v>
      </c>
      <c r="AM106" s="693">
        <f t="shared" ca="1" si="64"/>
        <v>2.1037104166962362E-2</v>
      </c>
      <c r="AN106" s="693">
        <f t="shared" ca="1" si="64"/>
        <v>1.433704802517128E-2</v>
      </c>
    </row>
    <row r="107" spans="1:40">
      <c r="A107" t="s">
        <v>548</v>
      </c>
      <c r="B107" s="207" t="str">
        <f>B106</f>
        <v>R_ES-SD-SpHeat-I</v>
      </c>
      <c r="C107">
        <f t="shared" si="48"/>
        <v>1957</v>
      </c>
      <c r="D107" s="693">
        <f t="shared" ca="1" si="49"/>
        <v>4.8066752771376925E-2</v>
      </c>
      <c r="E107" s="693">
        <f t="shared" ca="1" si="49"/>
        <v>4.7088522567780733E-2</v>
      </c>
      <c r="F107" s="693">
        <f t="shared" ca="1" si="49"/>
        <v>1.7541726519089869E-2</v>
      </c>
      <c r="G107" s="693">
        <f t="shared" ca="1" si="49"/>
        <v>5.184290229656735E-2</v>
      </c>
      <c r="H107" s="693">
        <f t="shared" ca="1" si="49"/>
        <v>1.9325446139374085E-2</v>
      </c>
      <c r="I107" s="693">
        <f t="shared" ca="1" si="49"/>
        <v>3.7075547729895526E-2</v>
      </c>
      <c r="J107" s="693">
        <f t="shared" ca="1" si="49"/>
        <v>5.0682764415281599E-2</v>
      </c>
      <c r="K107" s="693">
        <f t="shared" ca="1" si="52"/>
        <v>3.8705258354231865E-2</v>
      </c>
      <c r="L107" s="693">
        <f t="shared" ca="1" si="52"/>
        <v>4.3264963902756505E-2</v>
      </c>
      <c r="M107" s="693">
        <f t="shared" ca="1" si="52"/>
        <v>3.0080447207397196E-2</v>
      </c>
      <c r="N107" s="693">
        <f t="shared" ca="1" si="52"/>
        <v>6.5771110104724417E-2</v>
      </c>
      <c r="O107" s="693">
        <f t="shared" ref="O107:T107" ca="1" si="65">O77*O$24</f>
        <v>5.3688645777055136E-2</v>
      </c>
      <c r="P107" s="693">
        <f t="shared" ca="1" si="65"/>
        <v>3.1915753232030698E-2</v>
      </c>
      <c r="Q107" s="693">
        <f t="shared" ca="1" si="65"/>
        <v>2.8825578324047942E-2</v>
      </c>
      <c r="R107" s="693">
        <f t="shared" ca="1" si="65"/>
        <v>3.6262523759739186E-2</v>
      </c>
      <c r="S107" s="693">
        <f t="shared" ca="1" si="65"/>
        <v>5.197760162306625E-2</v>
      </c>
      <c r="T107" s="693">
        <f t="shared" ca="1" si="65"/>
        <v>9.1480345025322998E-2</v>
      </c>
      <c r="U107" s="693">
        <f t="shared" ref="U107:AN107" ca="1" si="66">U77*U$24</f>
        <v>3.8497210551517877E-2</v>
      </c>
      <c r="V107" s="693">
        <f t="shared" ca="1" si="66"/>
        <v>3.4286568360682959E-2</v>
      </c>
      <c r="W107" s="693">
        <f t="shared" ca="1" si="66"/>
        <v>6.9905409946607086E-2</v>
      </c>
      <c r="X107" s="693">
        <f t="shared" ca="1" si="66"/>
        <v>4.4147558281851615E-2</v>
      </c>
      <c r="Y107" s="693">
        <f t="shared" ca="1" si="66"/>
        <v>7.8850140012408174E-3</v>
      </c>
      <c r="Z107" s="693">
        <f t="shared" ca="1" si="66"/>
        <v>4.6160272284254664E-2</v>
      </c>
      <c r="AA107" s="693">
        <f t="shared" ca="1" si="66"/>
        <v>3.7829878650314827E-2</v>
      </c>
      <c r="AB107" s="693">
        <f t="shared" ca="1" si="66"/>
        <v>4.0013616393288716E-2</v>
      </c>
      <c r="AC107" s="693">
        <f t="shared" ca="1" si="66"/>
        <v>1.0809308072478672E-2</v>
      </c>
      <c r="AD107" s="693">
        <f t="shared" ca="1" si="66"/>
        <v>2.7121093594552816E-2</v>
      </c>
      <c r="AE107" s="693">
        <f t="shared" ca="1" si="66"/>
        <v>4.8118862179825743E-2</v>
      </c>
      <c r="AF107" s="693">
        <f t="shared" ca="1" si="66"/>
        <v>4.0882287830305154E-2</v>
      </c>
      <c r="AG107" s="693">
        <f t="shared" ca="1" si="66"/>
        <v>3.6479459339563633E-2</v>
      </c>
      <c r="AH107" s="693">
        <f t="shared" ca="1" si="66"/>
        <v>4.7569056329662442E-2</v>
      </c>
      <c r="AI107" s="693">
        <f t="shared" ca="1" si="66"/>
        <v>1.3113767628904267E-2</v>
      </c>
      <c r="AJ107" s="693">
        <f t="shared" ca="1" si="66"/>
        <v>1.483616716429933E-2</v>
      </c>
      <c r="AK107" s="693">
        <f t="shared" ca="1" si="66"/>
        <v>2.9157722692805834E-2</v>
      </c>
      <c r="AL107" s="693">
        <f t="shared" ca="1" si="66"/>
        <v>1.6347764590993283E-2</v>
      </c>
      <c r="AM107" s="693">
        <f t="shared" ca="1" si="66"/>
        <v>2.1037104166962362E-2</v>
      </c>
      <c r="AN107" s="693">
        <f t="shared" ca="1" si="66"/>
        <v>1.433704802517128E-2</v>
      </c>
    </row>
    <row r="108" spans="1:40">
      <c r="A108" t="s">
        <v>548</v>
      </c>
      <c r="B108" s="207" t="str">
        <f>B107</f>
        <v>R_ES-SD-SpHeat-I</v>
      </c>
      <c r="C108">
        <f t="shared" si="48"/>
        <v>1975</v>
      </c>
      <c r="D108" s="693">
        <f t="shared" ca="1" si="49"/>
        <v>3.7759791325544328E-2</v>
      </c>
      <c r="E108" s="693">
        <f t="shared" ca="1" si="49"/>
        <v>4.7088522567780733E-2</v>
      </c>
      <c r="F108" s="693">
        <f t="shared" ca="1" si="49"/>
        <v>1.6527601530419028E-2</v>
      </c>
      <c r="G108" s="693">
        <f t="shared" ca="1" si="49"/>
        <v>4.0681870918489418E-2</v>
      </c>
      <c r="H108" s="693">
        <f t="shared" ca="1" si="49"/>
        <v>1.93034666445644E-2</v>
      </c>
      <c r="I108" s="693">
        <f t="shared" ca="1" si="49"/>
        <v>3.7075547729895526E-2</v>
      </c>
      <c r="J108" s="693">
        <f t="shared" ca="1" si="49"/>
        <v>3.1722685695914736E-2</v>
      </c>
      <c r="K108" s="693">
        <f t="shared" ca="1" si="52"/>
        <v>2.5895899193076569E-2</v>
      </c>
      <c r="L108" s="693">
        <f t="shared" ca="1" si="52"/>
        <v>3.5066754554904704E-2</v>
      </c>
      <c r="M108" s="693">
        <f t="shared" ca="1" si="52"/>
        <v>3.0080447207397196E-2</v>
      </c>
      <c r="N108" s="693">
        <f t="shared" ca="1" si="52"/>
        <v>5.3919939974217103E-2</v>
      </c>
      <c r="O108" s="693">
        <f t="shared" ref="O108:T108" ca="1" si="67">O78*O$24</f>
        <v>2.4597627973761856E-2</v>
      </c>
      <c r="P108" s="693">
        <f t="shared" ca="1" si="67"/>
        <v>3.1915753232030698E-2</v>
      </c>
      <c r="Q108" s="693">
        <f t="shared" ca="1" si="67"/>
        <v>2.5940092427613005E-2</v>
      </c>
      <c r="R108" s="693">
        <f t="shared" ca="1" si="67"/>
        <v>3.162786173411461E-2</v>
      </c>
      <c r="S108" s="693">
        <f t="shared" ca="1" si="67"/>
        <v>4.3210895504617382E-2</v>
      </c>
      <c r="T108" s="693">
        <f t="shared" ca="1" si="67"/>
        <v>7.498382861706554E-2</v>
      </c>
      <c r="U108" s="693">
        <f t="shared" ref="U108:AN108" ca="1" si="68">U78*U$24</f>
        <v>3.6350518648653615E-2</v>
      </c>
      <c r="V108" s="693">
        <f t="shared" ca="1" si="68"/>
        <v>2.206917363765493E-2</v>
      </c>
      <c r="W108" s="693">
        <f t="shared" ca="1" si="68"/>
        <v>3.8475607914846076E-2</v>
      </c>
      <c r="X108" s="693">
        <f t="shared" ca="1" si="68"/>
        <v>4.0924387673671375E-2</v>
      </c>
      <c r="Y108" s="693">
        <f t="shared" ca="1" si="68"/>
        <v>6.7946142280909151E-3</v>
      </c>
      <c r="Z108" s="693">
        <f t="shared" ca="1" si="68"/>
        <v>4.4317570329077273E-2</v>
      </c>
      <c r="AA108" s="693">
        <f t="shared" ca="1" si="68"/>
        <v>2.5650985055915804E-2</v>
      </c>
      <c r="AB108" s="693">
        <f t="shared" ca="1" si="68"/>
        <v>2.8813786998474429E-2</v>
      </c>
      <c r="AC108" s="693">
        <f t="shared" ca="1" si="68"/>
        <v>1.0584869662796571E-2</v>
      </c>
      <c r="AD108" s="693">
        <f t="shared" ca="1" si="68"/>
        <v>2.7121093594552816E-2</v>
      </c>
      <c r="AE108" s="693">
        <f t="shared" ca="1" si="68"/>
        <v>3.268659945682667E-2</v>
      </c>
      <c r="AF108" s="693">
        <f t="shared" ca="1" si="68"/>
        <v>3.7224286511368089E-2</v>
      </c>
      <c r="AG108" s="693">
        <f t="shared" ca="1" si="68"/>
        <v>3.6479459339563633E-2</v>
      </c>
      <c r="AH108" s="693">
        <f t="shared" ca="1" si="68"/>
        <v>3.6601650333104585E-2</v>
      </c>
      <c r="AI108" s="693">
        <f t="shared" ca="1" si="68"/>
        <v>1.3113767628904267E-2</v>
      </c>
      <c r="AJ108" s="693">
        <f t="shared" ca="1" si="68"/>
        <v>1.483616716429933E-2</v>
      </c>
      <c r="AK108" s="693">
        <f t="shared" ca="1" si="68"/>
        <v>2.9157722692805834E-2</v>
      </c>
      <c r="AL108" s="693">
        <f t="shared" ca="1" si="68"/>
        <v>1.5395285994425937E-2</v>
      </c>
      <c r="AM108" s="693">
        <f t="shared" ca="1" si="68"/>
        <v>2.1037104166962362E-2</v>
      </c>
      <c r="AN108" s="693">
        <f t="shared" ca="1" si="68"/>
        <v>1.433704802517128E-2</v>
      </c>
    </row>
    <row r="109" spans="1:40">
      <c r="A109" t="s">
        <v>548</v>
      </c>
      <c r="B109" s="207" t="str">
        <f>B108</f>
        <v>R_ES-SD-SpHeat-I</v>
      </c>
      <c r="C109">
        <f t="shared" si="48"/>
        <v>1985</v>
      </c>
      <c r="D109" s="693">
        <f t="shared" ca="1" si="49"/>
        <v>2.5729751367853836E-2</v>
      </c>
      <c r="E109" s="693">
        <f t="shared" ca="1" si="49"/>
        <v>3.9651635523151638E-2</v>
      </c>
      <c r="F109" s="693">
        <f t="shared" ca="1" si="49"/>
        <v>1.4211573333094349E-2</v>
      </c>
      <c r="G109" s="693">
        <f t="shared" ca="1" si="49"/>
        <v>2.7688810782444302E-2</v>
      </c>
      <c r="H109" s="693">
        <f t="shared" ca="1" si="49"/>
        <v>1.8664221013890286E-2</v>
      </c>
      <c r="I109" s="693">
        <f t="shared" ca="1" si="49"/>
        <v>3.2838127711735859E-2</v>
      </c>
      <c r="J109" s="693">
        <f t="shared" ca="1" si="49"/>
        <v>2.4363123493605345E-2</v>
      </c>
      <c r="K109" s="693">
        <f t="shared" ca="1" si="52"/>
        <v>2.1563683380741827E-2</v>
      </c>
      <c r="L109" s="693">
        <f t="shared" ca="1" si="52"/>
        <v>2.6423333676229954E-2</v>
      </c>
      <c r="M109" s="693">
        <f t="shared" ca="1" si="52"/>
        <v>1.9615290525966254E-2</v>
      </c>
      <c r="N109" s="693">
        <f t="shared" ca="1" si="52"/>
        <v>4.415995043004961E-2</v>
      </c>
      <c r="O109" s="693">
        <f t="shared" ref="O109:T109" ca="1" si="69">O79*O$24</f>
        <v>2.090826565949868E-2</v>
      </c>
      <c r="P109" s="693">
        <f t="shared" ca="1" si="69"/>
        <v>3.095274414771584E-2</v>
      </c>
      <c r="Q109" s="693">
        <f t="shared" ca="1" si="69"/>
        <v>2.5940092427613005E-2</v>
      </c>
      <c r="R109" s="693">
        <f t="shared" ca="1" si="69"/>
        <v>2.358993833309693E-2</v>
      </c>
      <c r="S109" s="693">
        <f t="shared" ca="1" si="69"/>
        <v>2.7941655303521457E-2</v>
      </c>
      <c r="T109" s="693">
        <f t="shared" ca="1" si="69"/>
        <v>6.1411610415876332E-2</v>
      </c>
      <c r="U109" s="693">
        <f t="shared" ref="U109:AN109" ca="1" si="70">U79*U$24</f>
        <v>2.8899396432420305E-2</v>
      </c>
      <c r="V109" s="693">
        <f t="shared" ca="1" si="70"/>
        <v>2.206917363765493E-2</v>
      </c>
      <c r="W109" s="693">
        <f t="shared" ca="1" si="70"/>
        <v>3.2556930606980013E-2</v>
      </c>
      <c r="X109" s="693">
        <f t="shared" ca="1" si="70"/>
        <v>2.3340988387398141E-2</v>
      </c>
      <c r="Y109" s="693">
        <f t="shared" ca="1" si="70"/>
        <v>6.14698601456342E-3</v>
      </c>
      <c r="Z109" s="693">
        <f t="shared" ca="1" si="70"/>
        <v>2.8677654668520892E-2</v>
      </c>
      <c r="AA109" s="693">
        <f t="shared" ca="1" si="70"/>
        <v>2.5394544706047878E-2</v>
      </c>
      <c r="AB109" s="693">
        <f t="shared" ca="1" si="70"/>
        <v>2.8813786998474429E-2</v>
      </c>
      <c r="AC109" s="693">
        <f t="shared" ca="1" si="70"/>
        <v>1.0307379187003642E-2</v>
      </c>
      <c r="AD109" s="693">
        <f t="shared" ca="1" si="70"/>
        <v>2.3260763177516561E-2</v>
      </c>
      <c r="AE109" s="693">
        <f t="shared" ca="1" si="70"/>
        <v>3.2355575632724981E-2</v>
      </c>
      <c r="AF109" s="693">
        <f t="shared" ca="1" si="70"/>
        <v>2.9126742938703251E-2</v>
      </c>
      <c r="AG109" s="693">
        <f t="shared" ca="1" si="70"/>
        <v>3.1279398063906741E-2</v>
      </c>
      <c r="AH109" s="693">
        <f t="shared" ca="1" si="70"/>
        <v>2.1537147692926247E-2</v>
      </c>
      <c r="AI109" s="693">
        <f t="shared" ca="1" si="70"/>
        <v>1.2706431679567864E-2</v>
      </c>
      <c r="AJ109" s="693">
        <f t="shared" ca="1" si="70"/>
        <v>1.2798172410645112E-2</v>
      </c>
      <c r="AK109" s="693">
        <f t="shared" ca="1" si="70"/>
        <v>2.500260283360399E-2</v>
      </c>
      <c r="AL109" s="693">
        <f t="shared" ca="1" si="70"/>
        <v>1.3223057638465593E-2</v>
      </c>
      <c r="AM109" s="693">
        <f t="shared" ca="1" si="70"/>
        <v>1.8147307398730047E-2</v>
      </c>
      <c r="AN109" s="693">
        <f t="shared" ca="1" si="70"/>
        <v>1.2367615601378045E-2</v>
      </c>
    </row>
    <row r="110" spans="1:40">
      <c r="A110" t="s">
        <v>548</v>
      </c>
      <c r="B110" s="207" t="str">
        <f>B109</f>
        <v>R_ES-SD-SpHeat-I</v>
      </c>
      <c r="C110">
        <f t="shared" si="48"/>
        <v>1995</v>
      </c>
      <c r="D110" s="693">
        <f t="shared" ref="D110:J117" ca="1" si="71">D80*D$24</f>
        <v>2.2061439520772982E-2</v>
      </c>
      <c r="E110" s="693">
        <f t="shared" ca="1" si="71"/>
        <v>3.9651635523151638E-2</v>
      </c>
      <c r="F110" s="693">
        <f t="shared" ca="1" si="71"/>
        <v>1.1039858612338905E-2</v>
      </c>
      <c r="G110" s="693">
        <f t="shared" ca="1" si="71"/>
        <v>2.3748242941200669E-2</v>
      </c>
      <c r="H110" s="693">
        <f t="shared" ca="1" si="71"/>
        <v>1.7301399960029586E-2</v>
      </c>
      <c r="I110" s="693">
        <f t="shared" ca="1" si="71"/>
        <v>2.4847261558901587E-2</v>
      </c>
      <c r="J110" s="693">
        <f t="shared" ca="1" si="71"/>
        <v>1.4517091870975598E-2</v>
      </c>
      <c r="K110" s="693">
        <f t="shared" ca="1" si="52"/>
        <v>2.1563683380741827E-2</v>
      </c>
      <c r="L110" s="693">
        <f t="shared" ca="1" si="52"/>
        <v>2.2536889602733326E-2</v>
      </c>
      <c r="M110" s="693">
        <f t="shared" ca="1" si="52"/>
        <v>1.9615290525966254E-2</v>
      </c>
      <c r="N110" s="693">
        <f t="shared" ca="1" si="52"/>
        <v>4.3525692992612018E-2</v>
      </c>
      <c r="O110" s="693">
        <f t="shared" ref="O110:T110" ca="1" si="72">O80*O$24</f>
        <v>1.2251729719606355E-2</v>
      </c>
      <c r="P110" s="693">
        <f t="shared" ca="1" si="72"/>
        <v>3.095274414771584E-2</v>
      </c>
      <c r="Q110" s="693">
        <f t="shared" ca="1" si="72"/>
        <v>1.8497521521377028E-2</v>
      </c>
      <c r="R110" s="693">
        <f t="shared" ca="1" si="72"/>
        <v>2.358993833309693E-2</v>
      </c>
      <c r="S110" s="693">
        <f t="shared" ca="1" si="72"/>
        <v>2.4045092342076808E-2</v>
      </c>
      <c r="T110" s="693">
        <f t="shared" ca="1" si="72"/>
        <v>6.0527150799806223E-2</v>
      </c>
      <c r="U110" s="693">
        <f t="shared" ref="U110:AN110" ca="1" si="73">U80*U$24</f>
        <v>2.6795522379135354E-2</v>
      </c>
      <c r="V110" s="693">
        <f t="shared" ca="1" si="73"/>
        <v>2.206917363765493E-2</v>
      </c>
      <c r="W110" s="693">
        <f t="shared" ca="1" si="73"/>
        <v>2.8008284929148371E-2</v>
      </c>
      <c r="X110" s="693">
        <f t="shared" ca="1" si="73"/>
        <v>2.2863792408700446E-2</v>
      </c>
      <c r="Y110" s="693">
        <f t="shared" ca="1" si="73"/>
        <v>6.0224940517223744E-3</v>
      </c>
      <c r="Z110" s="693">
        <f t="shared" ca="1" si="73"/>
        <v>2.5789602037917171E-2</v>
      </c>
      <c r="AA110" s="693">
        <f t="shared" ca="1" si="73"/>
        <v>2.2697436349307685E-2</v>
      </c>
      <c r="AB110" s="693">
        <f t="shared" ca="1" si="73"/>
        <v>2.8813786998474429E-2</v>
      </c>
      <c r="AC110" s="693">
        <f t="shared" ca="1" si="73"/>
        <v>9.5785472573775669E-3</v>
      </c>
      <c r="AD110" s="693">
        <f t="shared" ca="1" si="73"/>
        <v>2.3260763177516561E-2</v>
      </c>
      <c r="AE110" s="693">
        <f t="shared" ca="1" si="73"/>
        <v>2.8929868902610793E-2</v>
      </c>
      <c r="AF110" s="693">
        <f t="shared" ca="1" si="73"/>
        <v>2.0659410597322219E-2</v>
      </c>
      <c r="AG110" s="693">
        <f t="shared" ca="1" si="73"/>
        <v>2.8151683972501312E-2</v>
      </c>
      <c r="AH110" s="693">
        <f t="shared" ca="1" si="73"/>
        <v>1.6478947796157533E-2</v>
      </c>
      <c r="AI110" s="693">
        <f t="shared" ca="1" si="73"/>
        <v>1.2706431679567864E-2</v>
      </c>
      <c r="AJ110" s="693">
        <f t="shared" ca="1" si="73"/>
        <v>1.2083939212589764E-2</v>
      </c>
      <c r="AK110" s="693">
        <f t="shared" ca="1" si="73"/>
        <v>2.3527269053031988E-2</v>
      </c>
      <c r="AL110" s="693">
        <f t="shared" ca="1" si="73"/>
        <v>1.0227384526963935E-2</v>
      </c>
      <c r="AM110" s="693">
        <f t="shared" ca="1" si="73"/>
        <v>1.7134552687853705E-2</v>
      </c>
      <c r="AN110" s="693">
        <f t="shared" ca="1" si="73"/>
        <v>1.16774106752478E-2</v>
      </c>
    </row>
    <row r="111" spans="1:40">
      <c r="A111" t="s">
        <v>548</v>
      </c>
      <c r="B111" s="207" t="str">
        <f>B110</f>
        <v>R_ES-SD-SpHeat-I</v>
      </c>
      <c r="C111">
        <f t="shared" si="48"/>
        <v>2004</v>
      </c>
      <c r="D111" s="693">
        <f t="shared" ca="1" si="71"/>
        <v>1.9275440265662774E-2</v>
      </c>
      <c r="E111" s="693">
        <f t="shared" ca="1" si="71"/>
        <v>2.3212983547171183E-2</v>
      </c>
      <c r="F111" s="693">
        <f t="shared" ca="1" si="71"/>
        <v>7.5046921478922691E-3</v>
      </c>
      <c r="G111" s="693">
        <f t="shared" ca="1" si="71"/>
        <v>2.0729087314293387E-2</v>
      </c>
      <c r="H111" s="693">
        <f t="shared" ca="1" si="71"/>
        <v>1.4320040305833205E-2</v>
      </c>
      <c r="I111" s="693">
        <f t="shared" ca="1" si="71"/>
        <v>1.9541419109130636E-2</v>
      </c>
      <c r="J111" s="693">
        <f t="shared" ca="1" si="71"/>
        <v>1.5706077630990026E-2</v>
      </c>
      <c r="K111" s="693">
        <f t="shared" ca="1" si="52"/>
        <v>1.5472884747145121E-2</v>
      </c>
      <c r="L111" s="693">
        <f t="shared" ca="1" si="52"/>
        <v>2.2536889602733326E-2</v>
      </c>
      <c r="M111" s="693">
        <f t="shared" ca="1" si="52"/>
        <v>1.3060898786311085E-2</v>
      </c>
      <c r="N111" s="693">
        <f t="shared" ca="1" si="52"/>
        <v>3.8986089231661553E-2</v>
      </c>
      <c r="O111" s="693">
        <f t="shared" ref="O111:T111" ca="1" si="74">O81*O$24</f>
        <v>1.185498940618941E-2</v>
      </c>
      <c r="P111" s="693">
        <f t="shared" ca="1" si="74"/>
        <v>1.10338689939075E-2</v>
      </c>
      <c r="Q111" s="693">
        <f t="shared" ca="1" si="74"/>
        <v>1.1631408421087454E-2</v>
      </c>
      <c r="R111" s="693">
        <f t="shared" ca="1" si="74"/>
        <v>1.4432789146392566E-2</v>
      </c>
      <c r="S111" s="693">
        <f t="shared" ca="1" si="74"/>
        <v>1.5172218892261937E-2</v>
      </c>
      <c r="T111" s="693">
        <f t="shared" ca="1" si="74"/>
        <v>5.4212330418214702E-2</v>
      </c>
      <c r="U111" s="693">
        <f t="shared" ref="U111:AN111" ca="1" si="75">U81*U$24</f>
        <v>2.601857373493217E-2</v>
      </c>
      <c r="V111" s="693">
        <f t="shared" ca="1" si="75"/>
        <v>1.2651995992278398E-2</v>
      </c>
      <c r="W111" s="693">
        <f t="shared" ca="1" si="75"/>
        <v>2.2622098216678845E-2</v>
      </c>
      <c r="X111" s="693">
        <f t="shared" ca="1" si="75"/>
        <v>1.4086222078882847E-2</v>
      </c>
      <c r="Y111" s="693">
        <f t="shared" ca="1" si="75"/>
        <v>5.7951457846354007E-3</v>
      </c>
      <c r="Z111" s="693">
        <f t="shared" ca="1" si="75"/>
        <v>1.7873351633486082E-2</v>
      </c>
      <c r="AA111" s="693">
        <f t="shared" ca="1" si="75"/>
        <v>2.0730322227651216E-2</v>
      </c>
      <c r="AB111" s="693">
        <f t="shared" ca="1" si="75"/>
        <v>2.2664164165627089E-2</v>
      </c>
      <c r="AC111" s="693">
        <f t="shared" ca="1" si="75"/>
        <v>6.394425835874286E-3</v>
      </c>
      <c r="AD111" s="693">
        <f t="shared" ca="1" si="75"/>
        <v>1.8767063051203056E-2</v>
      </c>
      <c r="AE111" s="693">
        <f t="shared" ca="1" si="75"/>
        <v>2.6390499654207224E-2</v>
      </c>
      <c r="AF111" s="693">
        <f t="shared" ca="1" si="75"/>
        <v>1.1464475031722973E-2</v>
      </c>
      <c r="AG111" s="693">
        <f t="shared" ca="1" si="75"/>
        <v>1.7061767537593701E-2</v>
      </c>
      <c r="AH111" s="693">
        <f t="shared" ca="1" si="75"/>
        <v>1.37187975561816E-2</v>
      </c>
      <c r="AI111" s="693">
        <f t="shared" ca="1" si="75"/>
        <v>4.5375000542221015E-3</v>
      </c>
      <c r="AJ111" s="693">
        <f t="shared" ca="1" si="75"/>
        <v>1.0524796046342915E-2</v>
      </c>
      <c r="AK111" s="693">
        <f t="shared" ca="1" si="75"/>
        <v>2.0544978004433254E-2</v>
      </c>
      <c r="AL111" s="693">
        <f t="shared" ca="1" si="75"/>
        <v>6.9508974761988123E-3</v>
      </c>
      <c r="AM111" s="693">
        <f t="shared" ca="1" si="75"/>
        <v>1.4923748722361213E-2</v>
      </c>
      <c r="AN111" s="693">
        <f t="shared" ca="1" si="75"/>
        <v>1.0170720287828295E-2</v>
      </c>
    </row>
    <row r="112" spans="1:40">
      <c r="A112" t="s">
        <v>549</v>
      </c>
      <c r="B112" s="207" t="str">
        <f>TechComm!C46</f>
        <v>R_ES-FL-SpHeat-I</v>
      </c>
      <c r="C112">
        <f t="shared" si="48"/>
        <v>1940</v>
      </c>
      <c r="D112" s="693">
        <f t="shared" ca="1" si="71"/>
        <v>2.2601569575050575E-2</v>
      </c>
      <c r="E112" s="693">
        <f t="shared" ca="1" si="71"/>
        <v>2.0609630026187591E-2</v>
      </c>
      <c r="F112" s="693">
        <f t="shared" ca="1" si="71"/>
        <v>8.8744950984732673E-3</v>
      </c>
      <c r="G112" s="693">
        <f t="shared" ca="1" si="71"/>
        <v>2.3563707764016142E-2</v>
      </c>
      <c r="H112" s="693">
        <f t="shared" ca="1" si="71"/>
        <v>8.9824859126322078E-3</v>
      </c>
      <c r="I112" s="693">
        <f t="shared" ca="1" si="71"/>
        <v>1.8348494775955886E-2</v>
      </c>
      <c r="J112" s="693">
        <f t="shared" ca="1" si="71"/>
        <v>2.3674127113296334E-2</v>
      </c>
      <c r="K112" s="693">
        <f t="shared" ca="1" si="52"/>
        <v>1.5649148064391081E-2</v>
      </c>
      <c r="L112" s="693">
        <f t="shared" ca="1" si="52"/>
        <v>1.9331898241821396E-2</v>
      </c>
      <c r="M112" s="693">
        <f t="shared" ca="1" si="52"/>
        <v>1.9734330188172049E-2</v>
      </c>
      <c r="N112" s="693">
        <f t="shared" ca="1" si="52"/>
        <v>2.4911494095498022E-2</v>
      </c>
      <c r="O112" s="693">
        <f t="shared" ref="O112:T112" ca="1" si="76">O82*O$24</f>
        <v>2.2031529218869313E-2</v>
      </c>
      <c r="P112" s="693">
        <f t="shared" ca="1" si="76"/>
        <v>1.804812719665454E-2</v>
      </c>
      <c r="Q112" s="693">
        <f t="shared" ca="1" si="76"/>
        <v>1.6856260920338074E-2</v>
      </c>
      <c r="R112" s="693">
        <f t="shared" ca="1" si="76"/>
        <v>1.5120218360694887E-2</v>
      </c>
      <c r="S112" s="693">
        <f t="shared" ca="1" si="76"/>
        <v>1.3860579132030754E-2</v>
      </c>
      <c r="T112" s="693">
        <f t="shared" ca="1" si="76"/>
        <v>4.4884540306175121E-2</v>
      </c>
      <c r="U112" s="693">
        <f t="shared" ref="U112:AN112" ca="1" si="77">U82*U$24</f>
        <v>1.9679654901891712E-2</v>
      </c>
      <c r="V112" s="693">
        <f t="shared" ca="1" si="77"/>
        <v>1.4054508913929384E-2</v>
      </c>
      <c r="W112" s="693">
        <f t="shared" ca="1" si="77"/>
        <v>3.5825439813603303E-2</v>
      </c>
      <c r="X112" s="693">
        <f t="shared" ca="1" si="77"/>
        <v>1.8203297216561311E-2</v>
      </c>
      <c r="Y112" s="693">
        <f t="shared" ca="1" si="77"/>
        <v>3.8567290594117244E-3</v>
      </c>
      <c r="Z112" s="693">
        <f t="shared" ca="1" si="77"/>
        <v>2.353309708290504E-2</v>
      </c>
      <c r="AA112" s="693">
        <f t="shared" ca="1" si="77"/>
        <v>1.7078255328265669E-2</v>
      </c>
      <c r="AB112" s="693">
        <f t="shared" ca="1" si="77"/>
        <v>2.0002400143382264E-2</v>
      </c>
      <c r="AC112" s="693">
        <f t="shared" ca="1" si="77"/>
        <v>5.5484692315498308E-3</v>
      </c>
      <c r="AD112" s="693">
        <f t="shared" ca="1" si="77"/>
        <v>9.3377490585145207E-3</v>
      </c>
      <c r="AE112" s="693">
        <f t="shared" ca="1" si="77"/>
        <v>2.2070305917571014E-2</v>
      </c>
      <c r="AF112" s="693">
        <f t="shared" ca="1" si="77"/>
        <v>1.7217397896658684E-2</v>
      </c>
      <c r="AG112" s="693">
        <f t="shared" ca="1" si="77"/>
        <v>1.8403180470035484E-2</v>
      </c>
      <c r="AH112" s="693">
        <f t="shared" ca="1" si="77"/>
        <v>1.276717934554703E-2</v>
      </c>
      <c r="AI112" s="693">
        <f t="shared" ca="1" si="77"/>
        <v>6.0880977934958981E-3</v>
      </c>
      <c r="AJ112" s="693">
        <f t="shared" ca="1" si="77"/>
        <v>9.1043410140506393E-3</v>
      </c>
      <c r="AK112" s="693">
        <f t="shared" ca="1" si="77"/>
        <v>1.5730896115243191E-2</v>
      </c>
      <c r="AL112" s="693">
        <f t="shared" ca="1" si="77"/>
        <v>9.8556185572069542E-3</v>
      </c>
      <c r="AM112" s="693">
        <f t="shared" ca="1" si="77"/>
        <v>1.2909599100838682E-2</v>
      </c>
      <c r="AN112" s="693">
        <f t="shared" ca="1" si="77"/>
        <v>8.7980522806508244E-3</v>
      </c>
    </row>
    <row r="113" spans="1:40">
      <c r="A113" t="s">
        <v>549</v>
      </c>
      <c r="B113" s="207" t="str">
        <f>B112</f>
        <v>R_ES-FL-SpHeat-I</v>
      </c>
      <c r="C113">
        <f t="shared" si="48"/>
        <v>1957</v>
      </c>
      <c r="D113" s="693">
        <f t="shared" ca="1" si="71"/>
        <v>2.041616010784009E-2</v>
      </c>
      <c r="E113" s="693">
        <f t="shared" ca="1" si="71"/>
        <v>2.0609630026187591E-2</v>
      </c>
      <c r="F113" s="693">
        <f t="shared" ca="1" si="71"/>
        <v>8.8744950984732673E-3</v>
      </c>
      <c r="G113" s="693">
        <f t="shared" ca="1" si="71"/>
        <v>2.1285266443422726E-2</v>
      </c>
      <c r="H113" s="693">
        <f t="shared" ca="1" si="71"/>
        <v>8.2479205953364058E-3</v>
      </c>
      <c r="I113" s="693">
        <f t="shared" ca="1" si="71"/>
        <v>1.6537173934559706E-2</v>
      </c>
      <c r="J113" s="693">
        <f t="shared" ca="1" si="71"/>
        <v>1.9539948840506492E-2</v>
      </c>
      <c r="K113" s="693">
        <f t="shared" ca="1" si="52"/>
        <v>1.5370500352100705E-2</v>
      </c>
      <c r="L113" s="693">
        <f t="shared" ca="1" si="52"/>
        <v>1.9331898241821396E-2</v>
      </c>
      <c r="M113" s="693">
        <f t="shared" ca="1" si="52"/>
        <v>1.7732098425851061E-2</v>
      </c>
      <c r="N113" s="693">
        <f t="shared" ca="1" si="52"/>
        <v>2.3407045361051839E-2</v>
      </c>
      <c r="O113" s="693">
        <f t="shared" ref="O113:T113" ca="1" si="78">O83*O$24</f>
        <v>2.2031529218869313E-2</v>
      </c>
      <c r="P113" s="693">
        <f t="shared" ca="1" si="78"/>
        <v>1.804812719665454E-2</v>
      </c>
      <c r="Q113" s="693">
        <f t="shared" ca="1" si="78"/>
        <v>1.7984771281976009E-2</v>
      </c>
      <c r="R113" s="693">
        <f t="shared" ca="1" si="78"/>
        <v>1.5120218360694887E-2</v>
      </c>
      <c r="S113" s="693">
        <f t="shared" ca="1" si="78"/>
        <v>1.40042232572398E-2</v>
      </c>
      <c r="T113" s="693">
        <f t="shared" ca="1" si="78"/>
        <v>4.2214283954036085E-2</v>
      </c>
      <c r="U113" s="693">
        <f t="shared" ref="U113:AN113" ca="1" si="79">U83*U$24</f>
        <v>1.8540688893318492E-2</v>
      </c>
      <c r="V113" s="693">
        <f t="shared" ca="1" si="79"/>
        <v>1.4054508913929384E-2</v>
      </c>
      <c r="W113" s="693">
        <f t="shared" ca="1" si="79"/>
        <v>3.9854127823102943E-2</v>
      </c>
      <c r="X113" s="693">
        <f t="shared" ca="1" si="79"/>
        <v>1.7937407230658241E-2</v>
      </c>
      <c r="Y113" s="693">
        <f t="shared" ca="1" si="79"/>
        <v>3.8536329750034526E-3</v>
      </c>
      <c r="Z113" s="693">
        <f t="shared" ca="1" si="79"/>
        <v>1.9804702977157126E-2</v>
      </c>
      <c r="AA113" s="693">
        <f t="shared" ca="1" si="79"/>
        <v>1.7000619623506415E-2</v>
      </c>
      <c r="AB113" s="693">
        <f t="shared" ca="1" si="79"/>
        <v>1.4855179579796509E-2</v>
      </c>
      <c r="AC113" s="693">
        <f t="shared" ca="1" si="79"/>
        <v>4.8916692747662891E-3</v>
      </c>
      <c r="AD113" s="693">
        <f t="shared" ca="1" si="79"/>
        <v>8.5744441301385133E-3</v>
      </c>
      <c r="AE113" s="693">
        <f t="shared" ca="1" si="79"/>
        <v>2.1969976948292339E-2</v>
      </c>
      <c r="AF113" s="693">
        <f t="shared" ca="1" si="79"/>
        <v>1.7217397896658684E-2</v>
      </c>
      <c r="AG113" s="693">
        <f t="shared" ca="1" si="79"/>
        <v>1.5857881575712156E-2</v>
      </c>
      <c r="AH113" s="693">
        <f t="shared" ca="1" si="79"/>
        <v>1.3317988803745327E-2</v>
      </c>
      <c r="AI113" s="693">
        <f t="shared" ca="1" si="79"/>
        <v>6.0880977934958981E-3</v>
      </c>
      <c r="AJ113" s="693">
        <f t="shared" ca="1" si="79"/>
        <v>9.1043410140506393E-3</v>
      </c>
      <c r="AK113" s="693">
        <f t="shared" ca="1" si="79"/>
        <v>1.5730896115243191E-2</v>
      </c>
      <c r="AL113" s="693">
        <f t="shared" ca="1" si="79"/>
        <v>9.8556185572069542E-3</v>
      </c>
      <c r="AM113" s="693">
        <f t="shared" ca="1" si="79"/>
        <v>1.2909599100838682E-2</v>
      </c>
      <c r="AN113" s="693">
        <f t="shared" ca="1" si="79"/>
        <v>8.7980522806508244E-3</v>
      </c>
    </row>
    <row r="114" spans="1:40">
      <c r="A114" t="s">
        <v>549</v>
      </c>
      <c r="B114" s="207" t="str">
        <f t="shared" ref="B114:B117" si="80">B113</f>
        <v>R_ES-FL-SpHeat-I</v>
      </c>
      <c r="C114">
        <f t="shared" si="48"/>
        <v>1975</v>
      </c>
      <c r="D114" s="693">
        <f t="shared" ca="1" si="71"/>
        <v>1.66687087339966E-2</v>
      </c>
      <c r="E114" s="693">
        <f t="shared" ca="1" si="71"/>
        <v>2.0609630026187591E-2</v>
      </c>
      <c r="F114" s="693">
        <f t="shared" ca="1" si="71"/>
        <v>8.4074089311359929E-3</v>
      </c>
      <c r="G114" s="693">
        <f t="shared" ca="1" si="71"/>
        <v>1.7378287826743562E-2</v>
      </c>
      <c r="H114" s="693">
        <f t="shared" ca="1" si="71"/>
        <v>8.3150517150978789E-3</v>
      </c>
      <c r="I114" s="693">
        <f t="shared" ca="1" si="71"/>
        <v>1.6537173934559706E-2</v>
      </c>
      <c r="J114" s="693">
        <f t="shared" ca="1" si="71"/>
        <v>1.3309584808677041E-2</v>
      </c>
      <c r="K114" s="693">
        <f t="shared" ca="1" si="52"/>
        <v>1.1065874851371232E-2</v>
      </c>
      <c r="L114" s="693">
        <f t="shared" ca="1" si="52"/>
        <v>1.6029881933771157E-2</v>
      </c>
      <c r="M114" s="693">
        <f t="shared" ca="1" si="52"/>
        <v>1.7732098425851061E-2</v>
      </c>
      <c r="N114" s="693">
        <f t="shared" ca="1" si="52"/>
        <v>1.980932620838147E-2</v>
      </c>
      <c r="O114" s="693">
        <f t="shared" ref="O114:T114" ca="1" si="81">O84*O$24</f>
        <v>1.1175792071789994E-2</v>
      </c>
      <c r="P114" s="693">
        <f t="shared" ca="1" si="81"/>
        <v>1.804812719665454E-2</v>
      </c>
      <c r="Q114" s="693">
        <f t="shared" ca="1" si="81"/>
        <v>1.5678446814958537E-2</v>
      </c>
      <c r="R114" s="693">
        <f t="shared" ca="1" si="81"/>
        <v>1.3219247091195502E-2</v>
      </c>
      <c r="S114" s="693">
        <f t="shared" ca="1" si="81"/>
        <v>1.2580411175430982E-2</v>
      </c>
      <c r="T114" s="693">
        <f t="shared" ca="1" si="81"/>
        <v>3.4942161227720966E-2</v>
      </c>
      <c r="U114" s="693">
        <f t="shared" ref="U114:AN114" ca="1" si="82">U84*U$24</f>
        <v>1.7698754588421892E-2</v>
      </c>
      <c r="V114" s="693">
        <f t="shared" ca="1" si="82"/>
        <v>9.2842662990525234E-3</v>
      </c>
      <c r="W114" s="693">
        <f t="shared" ca="1" si="82"/>
        <v>2.1862408467028676E-2</v>
      </c>
      <c r="X114" s="693">
        <f t="shared" ca="1" si="82"/>
        <v>1.677041719325377E-2</v>
      </c>
      <c r="Y114" s="693">
        <f t="shared" ca="1" si="82"/>
        <v>3.0869372742214365E-3</v>
      </c>
      <c r="Z114" s="693">
        <f t="shared" ca="1" si="82"/>
        <v>1.9468230229631088E-2</v>
      </c>
      <c r="AA114" s="693">
        <f t="shared" ca="1" si="82"/>
        <v>1.2444089307065675E-2</v>
      </c>
      <c r="AB114" s="693">
        <f t="shared" ca="1" si="82"/>
        <v>1.0761353420575239E-2</v>
      </c>
      <c r="AC114" s="693">
        <f t="shared" ca="1" si="82"/>
        <v>4.8331538989692651E-3</v>
      </c>
      <c r="AD114" s="693">
        <f t="shared" ca="1" si="82"/>
        <v>8.5744441301385133E-3</v>
      </c>
      <c r="AE114" s="693">
        <f t="shared" ca="1" si="82"/>
        <v>1.6081552394755332E-2</v>
      </c>
      <c r="AF114" s="693">
        <f t="shared" ca="1" si="82"/>
        <v>1.6352583357347371E-2</v>
      </c>
      <c r="AG114" s="693">
        <f t="shared" ca="1" si="82"/>
        <v>1.5857881575712156E-2</v>
      </c>
      <c r="AH114" s="693">
        <f t="shared" ca="1" si="82"/>
        <v>1.1171578625321496E-2</v>
      </c>
      <c r="AI114" s="693">
        <f t="shared" ca="1" si="82"/>
        <v>6.0880977934958981E-3</v>
      </c>
      <c r="AJ114" s="693">
        <f t="shared" ca="1" si="82"/>
        <v>9.1043410140506393E-3</v>
      </c>
      <c r="AK114" s="693">
        <f t="shared" ca="1" si="82"/>
        <v>1.5730896115243191E-2</v>
      </c>
      <c r="AL114" s="693">
        <f t="shared" ca="1" si="82"/>
        <v>9.3165388748974107E-3</v>
      </c>
      <c r="AM114" s="693">
        <f t="shared" ca="1" si="82"/>
        <v>1.2909599100838682E-2</v>
      </c>
      <c r="AN114" s="693">
        <f t="shared" ca="1" si="82"/>
        <v>8.7980522806508244E-3</v>
      </c>
    </row>
    <row r="115" spans="1:40">
      <c r="A115" t="s">
        <v>549</v>
      </c>
      <c r="B115" s="207" t="str">
        <f t="shared" si="80"/>
        <v>R_ES-FL-SpHeat-I</v>
      </c>
      <c r="C115">
        <f t="shared" si="48"/>
        <v>1985</v>
      </c>
      <c r="D115" s="693">
        <f t="shared" ca="1" si="71"/>
        <v>1.1780817084640889E-2</v>
      </c>
      <c r="E115" s="693">
        <f t="shared" ca="1" si="71"/>
        <v>1.7770166421951453E-2</v>
      </c>
      <c r="F115" s="693">
        <f t="shared" ca="1" si="71"/>
        <v>7.3156621469549401E-3</v>
      </c>
      <c r="G115" s="693">
        <f t="shared" ca="1" si="71"/>
        <v>1.2282320928288242E-2</v>
      </c>
      <c r="H115" s="693">
        <f t="shared" ca="1" si="71"/>
        <v>8.1564800524736077E-3</v>
      </c>
      <c r="I115" s="693">
        <f t="shared" ca="1" si="71"/>
        <v>1.5079895353508942E-2</v>
      </c>
      <c r="J115" s="693">
        <f t="shared" ca="1" si="71"/>
        <v>1.1382828397463136E-2</v>
      </c>
      <c r="K115" s="693">
        <f t="shared" ca="1" si="52"/>
        <v>9.3897102282500013E-3</v>
      </c>
      <c r="L115" s="693">
        <f t="shared" ca="1" si="52"/>
        <v>1.2056867278809886E-2</v>
      </c>
      <c r="M115" s="693">
        <f t="shared" ca="1" si="52"/>
        <v>1.2484202234593315E-2</v>
      </c>
      <c r="N115" s="693">
        <f t="shared" ca="1" si="52"/>
        <v>1.6350683167116208E-2</v>
      </c>
      <c r="O115" s="693">
        <f t="shared" ref="O115:T115" ca="1" si="83">O85*O$24</f>
        <v>9.6436847582319959E-3</v>
      </c>
      <c r="P115" s="693">
        <f t="shared" ca="1" si="83"/>
        <v>1.7721932350825538E-2</v>
      </c>
      <c r="Q115" s="693">
        <f t="shared" ca="1" si="83"/>
        <v>1.5678446814958537E-2</v>
      </c>
      <c r="R115" s="693">
        <f t="shared" ca="1" si="83"/>
        <v>9.9250209597574902E-3</v>
      </c>
      <c r="S115" s="693">
        <f t="shared" ca="1" si="83"/>
        <v>8.8154862923351569E-3</v>
      </c>
      <c r="T115" s="693">
        <f t="shared" ca="1" si="83"/>
        <v>2.8278819928603569E-2</v>
      </c>
      <c r="U115" s="693">
        <f t="shared" ref="U115:AN115" ca="1" si="84">U85*U$24</f>
        <v>1.3133560278504189E-2</v>
      </c>
      <c r="V115" s="693">
        <f t="shared" ca="1" si="84"/>
        <v>9.2842662990525234E-3</v>
      </c>
      <c r="W115" s="693">
        <f t="shared" ca="1" si="84"/>
        <v>1.8537609504946796E-2</v>
      </c>
      <c r="X115" s="693">
        <f t="shared" ca="1" si="84"/>
        <v>1.0438103455549835E-2</v>
      </c>
      <c r="Y115" s="693">
        <f t="shared" ca="1" si="84"/>
        <v>2.9331040021370663E-3</v>
      </c>
      <c r="Z115" s="693">
        <f t="shared" ca="1" si="84"/>
        <v>1.1779739220931909E-2</v>
      </c>
      <c r="AA115" s="693">
        <f t="shared" ca="1" si="84"/>
        <v>1.2251366515880591E-2</v>
      </c>
      <c r="AB115" s="693">
        <f t="shared" ca="1" si="84"/>
        <v>1.0761353420575239E-2</v>
      </c>
      <c r="AC115" s="693">
        <f t="shared" ca="1" si="84"/>
        <v>4.6817560278282506E-3</v>
      </c>
      <c r="AD115" s="693">
        <f t="shared" ca="1" si="84"/>
        <v>7.4368789095439957E-3</v>
      </c>
      <c r="AE115" s="693">
        <f t="shared" ca="1" si="84"/>
        <v>1.5832495867786605E-2</v>
      </c>
      <c r="AF115" s="693">
        <f t="shared" ca="1" si="84"/>
        <v>1.2085741531962539E-2</v>
      </c>
      <c r="AG115" s="693">
        <f t="shared" ca="1" si="84"/>
        <v>1.3488830426644151E-2</v>
      </c>
      <c r="AH115" s="693">
        <f t="shared" ca="1" si="84"/>
        <v>7.2616011709378137E-3</v>
      </c>
      <c r="AI115" s="693">
        <f t="shared" ca="1" si="84"/>
        <v>5.9848034186892555E-3</v>
      </c>
      <c r="AJ115" s="693">
        <f t="shared" ca="1" si="84"/>
        <v>7.9623413488393371E-3</v>
      </c>
      <c r="AK115" s="693">
        <f t="shared" ca="1" si="84"/>
        <v>1.3721543283188989E-2</v>
      </c>
      <c r="AL115" s="693">
        <f t="shared" ca="1" si="84"/>
        <v>8.0392086091573365E-3</v>
      </c>
      <c r="AM115" s="693">
        <f t="shared" ca="1" si="84"/>
        <v>1.1290288287632375E-2</v>
      </c>
      <c r="AN115" s="693">
        <f t="shared" ca="1" si="84"/>
        <v>7.6944718300164788E-3</v>
      </c>
    </row>
    <row r="116" spans="1:40">
      <c r="A116" t="s">
        <v>549</v>
      </c>
      <c r="B116" s="207" t="str">
        <f t="shared" si="80"/>
        <v>R_ES-FL-SpHeat-I</v>
      </c>
      <c r="C116">
        <f t="shared" si="48"/>
        <v>1995</v>
      </c>
      <c r="D116" s="693">
        <f t="shared" ca="1" si="71"/>
        <v>9.9166423100788565E-3</v>
      </c>
      <c r="E116" s="693">
        <f t="shared" ca="1" si="71"/>
        <v>1.7770166421951453E-2</v>
      </c>
      <c r="F116" s="693">
        <f t="shared" ca="1" si="71"/>
        <v>5.9838939398687363E-3</v>
      </c>
      <c r="G116" s="693">
        <f t="shared" ca="1" si="71"/>
        <v>1.0338789110156441E-2</v>
      </c>
      <c r="H116" s="693">
        <f t="shared" ca="1" si="71"/>
        <v>7.0446675386751948E-3</v>
      </c>
      <c r="I116" s="693">
        <f t="shared" ca="1" si="71"/>
        <v>1.1459274625076654E-2</v>
      </c>
      <c r="J116" s="693">
        <f t="shared" ca="1" si="71"/>
        <v>6.497608669509998E-3</v>
      </c>
      <c r="K116" s="693">
        <f t="shared" ca="1" si="52"/>
        <v>9.3897102282500013E-3</v>
      </c>
      <c r="L116" s="693">
        <f t="shared" ca="1" si="52"/>
        <v>1.0809644079409365E-2</v>
      </c>
      <c r="M116" s="693">
        <f t="shared" ca="1" si="52"/>
        <v>1.2484202234593315E-2</v>
      </c>
      <c r="N116" s="693">
        <f t="shared" ca="1" si="52"/>
        <v>1.620409667407121E-2</v>
      </c>
      <c r="O116" s="693">
        <f t="shared" ref="O116:T116" ca="1" si="85">O86*O$24</f>
        <v>5.6458803956586342E-3</v>
      </c>
      <c r="P116" s="693">
        <f t="shared" ca="1" si="85"/>
        <v>1.7721932350825538E-2</v>
      </c>
      <c r="Q116" s="693">
        <f t="shared" ca="1" si="85"/>
        <v>1.1296876802296954E-2</v>
      </c>
      <c r="R116" s="693">
        <f t="shared" ca="1" si="85"/>
        <v>9.9250209597574902E-3</v>
      </c>
      <c r="S116" s="693">
        <f t="shared" ca="1" si="85"/>
        <v>7.7612232801897449E-3</v>
      </c>
      <c r="T116" s="693">
        <f t="shared" ca="1" si="85"/>
        <v>2.7995605585803805E-2</v>
      </c>
      <c r="U116" s="693">
        <f t="shared" ref="U116:AN116" ca="1" si="86">U86*U$24</f>
        <v>1.2062826788343622E-2</v>
      </c>
      <c r="V116" s="693">
        <f t="shared" ca="1" si="86"/>
        <v>9.2842662990525234E-3</v>
      </c>
      <c r="W116" s="693">
        <f t="shared" ca="1" si="86"/>
        <v>1.5897113072543601E-2</v>
      </c>
      <c r="X116" s="693">
        <f t="shared" ca="1" si="86"/>
        <v>1.0358867707417676E-2</v>
      </c>
      <c r="Y116" s="693">
        <f t="shared" ca="1" si="86"/>
        <v>2.9037035612631715E-3</v>
      </c>
      <c r="Z116" s="693">
        <f t="shared" ca="1" si="86"/>
        <v>1.0552299090780979E-2</v>
      </c>
      <c r="AA116" s="693">
        <f t="shared" ca="1" si="86"/>
        <v>1.1006240755065648E-2</v>
      </c>
      <c r="AB116" s="693">
        <f t="shared" ca="1" si="86"/>
        <v>1.0761353420575239E-2</v>
      </c>
      <c r="AC116" s="693">
        <f t="shared" ca="1" si="86"/>
        <v>4.3016582947847772E-3</v>
      </c>
      <c r="AD116" s="693">
        <f t="shared" ca="1" si="86"/>
        <v>7.4368789095439957E-3</v>
      </c>
      <c r="AE116" s="693">
        <f t="shared" ca="1" si="86"/>
        <v>1.4223414265548677E-2</v>
      </c>
      <c r="AF116" s="693">
        <f t="shared" ca="1" si="86"/>
        <v>9.073522566176162E-3</v>
      </c>
      <c r="AG116" s="693">
        <f t="shared" ca="1" si="86"/>
        <v>1.2847769836465564E-2</v>
      </c>
      <c r="AH116" s="693">
        <f t="shared" ca="1" si="86"/>
        <v>5.1886343411161806E-3</v>
      </c>
      <c r="AI116" s="693">
        <f t="shared" ca="1" si="86"/>
        <v>5.9848034186892555E-3</v>
      </c>
      <c r="AJ116" s="693">
        <f t="shared" ca="1" si="86"/>
        <v>7.5614718625154351E-3</v>
      </c>
      <c r="AK116" s="693">
        <f t="shared" ca="1" si="86"/>
        <v>1.3009838939551927E-2</v>
      </c>
      <c r="AL116" s="693">
        <f t="shared" ca="1" si="86"/>
        <v>6.5706152232219168E-3</v>
      </c>
      <c r="AM116" s="693">
        <f t="shared" ca="1" si="86"/>
        <v>1.0721871051040062E-2</v>
      </c>
      <c r="AN116" s="693">
        <f t="shared" ca="1" si="86"/>
        <v>7.3070884166587897E-3</v>
      </c>
    </row>
    <row r="117" spans="1:40">
      <c r="A117" t="s">
        <v>549</v>
      </c>
      <c r="B117" s="207" t="str">
        <f t="shared" si="80"/>
        <v>R_ES-FL-SpHeat-I</v>
      </c>
      <c r="C117">
        <f t="shared" si="48"/>
        <v>2004</v>
      </c>
      <c r="D117" s="693">
        <f t="shared" ca="1" si="71"/>
        <v>8.9647781804402752E-3</v>
      </c>
      <c r="E117" s="693">
        <f t="shared" ca="1" si="71"/>
        <v>1.0608168154646793E-2</v>
      </c>
      <c r="F117" s="693">
        <f t="shared" ca="1" si="71"/>
        <v>4.0331239458930744E-3</v>
      </c>
      <c r="G117" s="693">
        <f t="shared" ca="1" si="71"/>
        <v>9.3464045721103547E-3</v>
      </c>
      <c r="H117" s="693">
        <f t="shared" ca="1" si="71"/>
        <v>6.5101968586201535E-3</v>
      </c>
      <c r="I117" s="693">
        <f t="shared" ca="1" si="71"/>
        <v>9.2054612641157534E-3</v>
      </c>
      <c r="J117" s="693">
        <f t="shared" ca="1" si="71"/>
        <v>7.1493454233859379E-3</v>
      </c>
      <c r="K117" s="693">
        <f t="shared" ca="1" si="52"/>
        <v>6.9368216555966804E-3</v>
      </c>
      <c r="L117" s="693">
        <f t="shared" ca="1" si="52"/>
        <v>1.0809644079409365E-2</v>
      </c>
      <c r="M117" s="693">
        <f t="shared" ca="1" si="52"/>
        <v>8.0128508579767836E-3</v>
      </c>
      <c r="N117" s="693">
        <f t="shared" ca="1" si="52"/>
        <v>1.4524278037746812E-2</v>
      </c>
      <c r="O117" s="693">
        <f t="shared" ref="O117:T117" ca="1" si="87">O87*O$24</f>
        <v>5.4596278750131668E-3</v>
      </c>
      <c r="P117" s="693">
        <f t="shared" ca="1" si="87"/>
        <v>6.8099725224947689E-3</v>
      </c>
      <c r="Q117" s="693">
        <f t="shared" ca="1" si="87"/>
        <v>6.7215634719197098E-3</v>
      </c>
      <c r="R117" s="693">
        <f t="shared" ca="1" si="87"/>
        <v>6.1803825363121291E-3</v>
      </c>
      <c r="S117" s="693">
        <f t="shared" ca="1" si="87"/>
        <v>5.1816529682993454E-3</v>
      </c>
      <c r="T117" s="693">
        <f t="shared" ca="1" si="87"/>
        <v>2.5312848471945239E-2</v>
      </c>
      <c r="U117" s="693">
        <f t="shared" ref="U117:AN117" ca="1" si="88">U87*U$24</f>
        <v>1.1437455210641642E-2</v>
      </c>
      <c r="V117" s="693">
        <f t="shared" ca="1" si="88"/>
        <v>5.4382511477265565E-3</v>
      </c>
      <c r="W117" s="693">
        <f t="shared" ca="1" si="88"/>
        <v>1.2705261899808022E-2</v>
      </c>
      <c r="X117" s="693">
        <f t="shared" ca="1" si="88"/>
        <v>6.3971724041871191E-3</v>
      </c>
      <c r="Y117" s="693">
        <f t="shared" ca="1" si="88"/>
        <v>2.7534446484028439E-3</v>
      </c>
      <c r="Z117" s="693">
        <f t="shared" ca="1" si="88"/>
        <v>7.8121082932049203E-3</v>
      </c>
      <c r="AA117" s="693">
        <f t="shared" ca="1" si="88"/>
        <v>9.5212160972628461E-3</v>
      </c>
      <c r="AB117" s="693">
        <f t="shared" ca="1" si="88"/>
        <v>8.5096927408361556E-3</v>
      </c>
      <c r="AC117" s="693">
        <f t="shared" ca="1" si="88"/>
        <v>2.9593185123942827E-3</v>
      </c>
      <c r="AD117" s="693">
        <f t="shared" ca="1" si="88"/>
        <v>5.6691671983411483E-3</v>
      </c>
      <c r="AE117" s="693">
        <f t="shared" ca="1" si="88"/>
        <v>1.2304310243336331E-2</v>
      </c>
      <c r="AF117" s="693">
        <f t="shared" ca="1" si="88"/>
        <v>5.4401498262177583E-3</v>
      </c>
      <c r="AG117" s="693">
        <f t="shared" ca="1" si="88"/>
        <v>7.438677338846328E-3</v>
      </c>
      <c r="AH117" s="693">
        <f t="shared" ca="1" si="88"/>
        <v>4.3657947328125425E-3</v>
      </c>
      <c r="AI117" s="693">
        <f t="shared" ca="1" si="88"/>
        <v>2.3973966957213625E-3</v>
      </c>
      <c r="AJ117" s="693">
        <f t="shared" ca="1" si="88"/>
        <v>6.5004651334270797E-3</v>
      </c>
      <c r="AK117" s="693">
        <f t="shared" ca="1" si="88"/>
        <v>1.1190452541723945E-2</v>
      </c>
      <c r="AL117" s="693">
        <f t="shared" ca="1" si="88"/>
        <v>4.2298007781281146E-3</v>
      </c>
      <c r="AM117" s="693">
        <f t="shared" ca="1" si="88"/>
        <v>9.2174050501857285E-3</v>
      </c>
      <c r="AN117" s="693">
        <f t="shared" ca="1" si="88"/>
        <v>6.2817761334045272E-3</v>
      </c>
    </row>
    <row r="119" spans="1:40">
      <c r="D119">
        <f ca="1">D70*'Dwelling stock'!G47</f>
        <v>28.368472739678573</v>
      </c>
      <c r="E119">
        <f ca="1">E70*'Dwelling stock'!H47</f>
        <v>41.99643875161302</v>
      </c>
      <c r="F119">
        <f ca="1">F70*'Dwelling stock'!I47</f>
        <v>5.1614432272822306</v>
      </c>
      <c r="G119">
        <f ca="1">G70*'Dwelling stock'!J47</f>
        <v>22.911576814845052</v>
      </c>
      <c r="H119">
        <f ca="1">H70*'Dwelling stock'!K47</f>
        <v>0.1105169961242239</v>
      </c>
      <c r="I119">
        <f ca="1">I70*'Dwelling stock'!L47</f>
        <v>21.385438219164911</v>
      </c>
      <c r="J119">
        <f ca="1">J70*'Dwelling stock'!M47</f>
        <v>197.73129542473791</v>
      </c>
      <c r="K119">
        <f ca="1">K70*'Dwelling stock'!N47</f>
        <v>28.837673628384557</v>
      </c>
      <c r="L119">
        <f ca="1">L70*'Dwelling stock'!O47</f>
        <v>1.126278188569978</v>
      </c>
      <c r="M119">
        <f ca="1">M70*'Dwelling stock'!P47</f>
        <v>11.924446560550752</v>
      </c>
      <c r="N119">
        <f ca="1">N70*'Dwelling stock'!Q47</f>
        <v>10.193340538308453</v>
      </c>
      <c r="O119">
        <f ca="1">O70*'Dwelling stock'!R47</f>
        <v>207.73454444161371</v>
      </c>
      <c r="P119">
        <f ca="1">P70*'Dwelling stock'!S47</f>
        <v>4.4915040501727743</v>
      </c>
      <c r="Q119">
        <f ca="1">Q70*'Dwelling stock'!T47</f>
        <v>5.6757704168120107</v>
      </c>
      <c r="R119">
        <f ca="1">R70*'Dwelling stock'!U47</f>
        <v>23.802281405526692</v>
      </c>
      <c r="S119">
        <f ca="1">S70*'Dwelling stock'!V47</f>
        <v>9.0525321724799461</v>
      </c>
      <c r="T119">
        <f ca="1">T70*'Dwelling stock'!W47</f>
        <v>0.47704728729006751</v>
      </c>
      <c r="U119">
        <f ca="1">U70*'Dwelling stock'!X47</f>
        <v>43.512261070739129</v>
      </c>
      <c r="V119">
        <f ca="1">V70*'Dwelling stock'!Y47</f>
        <v>5.9305795292015793</v>
      </c>
      <c r="W119">
        <f ca="1">W70*'Dwelling stock'!Z47</f>
        <v>1.337534302535754</v>
      </c>
      <c r="X119">
        <f ca="1">X70*'Dwelling stock'!AA47</f>
        <v>3.8565711752432166</v>
      </c>
      <c r="Y119">
        <f ca="1">Y70*'Dwelling stock'!AB47</f>
        <v>2.2608426931155137E-2</v>
      </c>
      <c r="Z119">
        <f ca="1">Z70*'Dwelling stock'!AC47</f>
        <v>17.322890189564774</v>
      </c>
      <c r="AA119">
        <f ca="1">AA70*'Dwelling stock'!AD47</f>
        <v>7.8356996314951548</v>
      </c>
      <c r="AB119">
        <f ca="1">AB70*'Dwelling stock'!AE47</f>
        <v>83.963169773814897</v>
      </c>
      <c r="AC119">
        <f ca="1">AC70*'Dwelling stock'!AF47</f>
        <v>3.4768248104069572</v>
      </c>
      <c r="AD119">
        <f ca="1">AD70*'Dwelling stock'!AG47</f>
        <v>18.975784876573638</v>
      </c>
      <c r="AE119">
        <f ca="1">AE70*'Dwelling stock'!AH47</f>
        <v>32.584421049475559</v>
      </c>
      <c r="AF119">
        <f ca="1">AF70*'Dwelling stock'!AI47</f>
        <v>5.0831859250158224</v>
      </c>
      <c r="AG119">
        <f ca="1">AG70*'Dwelling stock'!AJ47</f>
        <v>12.627374947449768</v>
      </c>
      <c r="AH119">
        <f ca="1">AH70*'Dwelling stock'!AK47</f>
        <v>151.14156711762587</v>
      </c>
      <c r="AI119">
        <f ca="1">AI70*'Dwelling stock'!AL47</f>
        <v>0.52608888722998515</v>
      </c>
      <c r="AJ119">
        <f ca="1">AJ70*'Dwelling stock'!AM47</f>
        <v>1.8894128932590601</v>
      </c>
      <c r="AK119">
        <f ca="1">AK70*'Dwelling stock'!AN47</f>
        <v>0.38688218759515758</v>
      </c>
      <c r="AL119">
        <f ca="1">AL70*'Dwelling stock'!AO47</f>
        <v>1.0251687465351789</v>
      </c>
      <c r="AM119">
        <f ca="1">AM70*'Dwelling stock'!AP47</f>
        <v>5.1336680224777993</v>
      </c>
      <c r="AN119">
        <f ca="1">AN70*'Dwelling stock'!AQ47</f>
        <v>1.0227535233362623</v>
      </c>
    </row>
    <row r="120" spans="1:40">
      <c r="D120">
        <f ca="1">D71*'Dwelling stock'!G50</f>
        <v>31.876872613677939</v>
      </c>
      <c r="E120">
        <f ca="1">E71*'Dwelling stock'!H50</f>
        <v>23.331354851578148</v>
      </c>
      <c r="F120">
        <f ca="1">F71*'Dwelling stock'!I50</f>
        <v>10.684982209993761</v>
      </c>
      <c r="G120">
        <f ca="1">G71*'Dwelling stock'!J50</f>
        <v>25.745108741218321</v>
      </c>
      <c r="H120">
        <f ca="1">H71*'Dwelling stock'!K50</f>
        <v>0.34706822853873881</v>
      </c>
      <c r="I120">
        <f ca="1">I71*'Dwelling stock'!L50</f>
        <v>24.920206399331299</v>
      </c>
      <c r="J120">
        <f ca="1">J71*'Dwelling stock'!M50</f>
        <v>259.25779860117359</v>
      </c>
      <c r="K120">
        <f ca="1">K71*'Dwelling stock'!N50</f>
        <v>20.3471435073603</v>
      </c>
      <c r="L120">
        <f ca="1">L71*'Dwelling stock'!O50</f>
        <v>1.6649862483970599</v>
      </c>
      <c r="M120">
        <f ca="1">M71*'Dwelling stock'!P50</f>
        <v>19.333261269392302</v>
      </c>
      <c r="N120">
        <f ca="1">N71*'Dwelling stock'!Q50</f>
        <v>17.234128973210598</v>
      </c>
      <c r="O120">
        <f ca="1">O71*'Dwelling stock'!R50</f>
        <v>140.50190647914971</v>
      </c>
      <c r="P120">
        <f ca="1">P71*'Dwelling stock'!S50</f>
        <v>16.34619909437378</v>
      </c>
      <c r="Q120">
        <f ca="1">Q71*'Dwelling stock'!T50</f>
        <v>10.821383540183392</v>
      </c>
      <c r="R120">
        <f ca="1">R71*'Dwelling stock'!U50</f>
        <v>32.069332007429779</v>
      </c>
      <c r="S120">
        <f ca="1">S71*'Dwelling stock'!V50</f>
        <v>8.3203317797875389</v>
      </c>
      <c r="T120">
        <f ca="1">T71*'Dwelling stock'!W50</f>
        <v>0.80655546085008956</v>
      </c>
      <c r="U120">
        <f ca="1">U71*'Dwelling stock'!X50</f>
        <v>58.219224725999254</v>
      </c>
      <c r="V120">
        <f ca="1">V71*'Dwelling stock'!Y50</f>
        <v>6.3378397342513413</v>
      </c>
      <c r="W120">
        <f ca="1">W71*'Dwelling stock'!Z50</f>
        <v>1.2504849756783107</v>
      </c>
      <c r="X120">
        <f ca="1">X71*'Dwelling stock'!AA50</f>
        <v>4.6132308783791975</v>
      </c>
      <c r="Y120">
        <f ca="1">Y71*'Dwelling stock'!AB50</f>
        <v>2.3673936131255777E-2</v>
      </c>
      <c r="Z120">
        <f ca="1">Z71*'Dwelling stock'!AC50</f>
        <v>15.993977055900073</v>
      </c>
      <c r="AA120">
        <f ca="1">AA71*'Dwelling stock'!AD50</f>
        <v>10.378169793131907</v>
      </c>
      <c r="AB120">
        <f ca="1">AB71*'Dwelling stock'!AE50</f>
        <v>68.509492552660717</v>
      </c>
      <c r="AC120">
        <f ca="1">AC71*'Dwelling stock'!AF50</f>
        <v>4.3099033334484966</v>
      </c>
      <c r="AD120">
        <f ca="1">AD71*'Dwelling stock'!AG50</f>
        <v>50.246287906739319</v>
      </c>
      <c r="AE120">
        <f ca="1">AE71*'Dwelling stock'!AH50</f>
        <v>29.419927985058255</v>
      </c>
      <c r="AF120">
        <f ca="1">AF71*'Dwelling stock'!AI50</f>
        <v>3.3977543871355138</v>
      </c>
      <c r="AG120">
        <f ca="1">AG71*'Dwelling stock'!AJ50</f>
        <v>13.974022545910639</v>
      </c>
      <c r="AH120">
        <f ca="1">AH71*'Dwelling stock'!AK50</f>
        <v>99.332940553079951</v>
      </c>
      <c r="AI120">
        <f ca="1">AI71*'Dwelling stock'!AL50</f>
        <v>1.9146267254658482</v>
      </c>
      <c r="AJ120">
        <f ca="1">AJ71*'Dwelling stock'!AM50</f>
        <v>4.313737491681513</v>
      </c>
      <c r="AK120">
        <f ca="1">AK71*'Dwelling stock'!AN50</f>
        <v>0.88329459561074597</v>
      </c>
      <c r="AL120">
        <f ca="1">AL71*'Dwelling stock'!AO50</f>
        <v>2.1222571549503981</v>
      </c>
      <c r="AM120">
        <f ca="1">AM71*'Dwelling stock'!AP50</f>
        <v>11.720728855729574</v>
      </c>
      <c r="AN120">
        <f ca="1">AN71*'Dwelling stock'!AQ50</f>
        <v>2.335058808006174</v>
      </c>
    </row>
    <row r="121" spans="1:40">
      <c r="D121">
        <f ca="1">D72*'Dwelling stock'!G53</f>
        <v>13.172696389655739</v>
      </c>
      <c r="E121">
        <f ca="1">E72*'Dwelling stock'!H53</f>
        <v>12.626643192142254</v>
      </c>
      <c r="F121">
        <f ca="1">F72*'Dwelling stock'!I53</f>
        <v>5.8775259944272813</v>
      </c>
      <c r="G121">
        <f ca="1">G72*'Dwelling stock'!J53</f>
        <v>10.638825993903296</v>
      </c>
      <c r="H121">
        <f ca="1">H72*'Dwelling stock'!K53</f>
        <v>0.49075313309699975</v>
      </c>
      <c r="I121">
        <f ca="1">I72*'Dwelling stock'!L53</f>
        <v>10.211122678023221</v>
      </c>
      <c r="J121">
        <f ca="1">J72*'Dwelling stock'!M53</f>
        <v>89.070576327361763</v>
      </c>
      <c r="K121">
        <f ca="1">K72*'Dwelling stock'!N53</f>
        <v>8.8980069917073887</v>
      </c>
      <c r="L121">
        <f ca="1">L72*'Dwelling stock'!O53</f>
        <v>1.0814729127233864</v>
      </c>
      <c r="M121">
        <f ca="1">M72*'Dwelling stock'!P53</f>
        <v>15.962431909819797</v>
      </c>
      <c r="N121">
        <f ca="1">N72*'Dwelling stock'!Q53</f>
        <v>11.447880776479556</v>
      </c>
      <c r="O121">
        <f ca="1">O72*'Dwelling stock'!R53</f>
        <v>76.806528544774253</v>
      </c>
      <c r="P121">
        <f ca="1">P72*'Dwelling stock'!S53</f>
        <v>13.024920110078813</v>
      </c>
      <c r="Q121">
        <f ca="1">Q72*'Dwelling stock'!T53</f>
        <v>7.2517132681990084</v>
      </c>
      <c r="R121">
        <f ca="1">R72*'Dwelling stock'!U53</f>
        <v>16.921236458928039</v>
      </c>
      <c r="S121">
        <f ca="1">S72*'Dwelling stock'!V53</f>
        <v>6.140811142539337</v>
      </c>
      <c r="T121">
        <f ca="1">T72*'Dwelling stock'!W53</f>
        <v>0.53575964122022224</v>
      </c>
      <c r="U121">
        <f ca="1">U72*'Dwelling stock'!X53</f>
        <v>31.004477106998671</v>
      </c>
      <c r="V121">
        <f ca="1">V72*'Dwelling stock'!Y53</f>
        <v>2.766166788145318</v>
      </c>
      <c r="W121">
        <f ca="1">W72*'Dwelling stock'!Z53</f>
        <v>0.39253892219684167</v>
      </c>
      <c r="X121">
        <f ca="1">X72*'Dwelling stock'!AA53</f>
        <v>3.4848751603240058</v>
      </c>
      <c r="Y121">
        <f ca="1">Y72*'Dwelling stock'!AB53</f>
        <v>1.3233958866706664E-2</v>
      </c>
      <c r="Z121">
        <f ca="1">Z72*'Dwelling stock'!AC53</f>
        <v>9.5675566418922564</v>
      </c>
      <c r="AA121">
        <f ca="1">AA72*'Dwelling stock'!AD53</f>
        <v>4.878623057462435</v>
      </c>
      <c r="AB121">
        <f ca="1">AB72*'Dwelling stock'!AE53</f>
        <v>28.734247164508449</v>
      </c>
      <c r="AC121">
        <f ca="1">AC72*'Dwelling stock'!AF53</f>
        <v>4.7495994940961008</v>
      </c>
      <c r="AD121">
        <f ca="1">AD72*'Dwelling stock'!AG53</f>
        <v>36.250192011039466</v>
      </c>
      <c r="AE121">
        <f ca="1">AE72*'Dwelling stock'!AH53</f>
        <v>11.724074147825705</v>
      </c>
      <c r="AF121">
        <f ca="1">AF72*'Dwelling stock'!AI53</f>
        <v>2.6947844945029176</v>
      </c>
      <c r="AG121">
        <f ca="1">AG72*'Dwelling stock'!AJ53</f>
        <v>5.7198385172538497</v>
      </c>
      <c r="AH121">
        <f ca="1">AH72*'Dwelling stock'!AK53</f>
        <v>34.924631651314044</v>
      </c>
      <c r="AI121">
        <f ca="1">AI72*'Dwelling stock'!AL53</f>
        <v>1.5256060443065245</v>
      </c>
      <c r="AJ121">
        <f ca="1">AJ72*'Dwelling stock'!AM53</f>
        <v>3.2206679673811873</v>
      </c>
      <c r="AK121">
        <f ca="1">AK72*'Dwelling stock'!AN53</f>
        <v>0.65947420660860256</v>
      </c>
      <c r="AL121">
        <f ca="1">AL72*'Dwelling stock'!AO53</f>
        <v>1.1665735709853176</v>
      </c>
      <c r="AM121">
        <f ca="1">AM72*'Dwelling stock'!AP53</f>
        <v>8.7507819038135413</v>
      </c>
      <c r="AN121">
        <f ca="1">AN72*'Dwelling stock'!AQ53</f>
        <v>1.7433719876091209</v>
      </c>
    </row>
    <row r="122" spans="1:40">
      <c r="D122">
        <f ca="1">D73*'Dwelling stock'!G56</f>
        <v>7.2961676489659286</v>
      </c>
      <c r="E122">
        <f ca="1">E73*'Dwelling stock'!H56</f>
        <v>10.788286847820872</v>
      </c>
      <c r="F122">
        <f ca="1">F73*'Dwelling stock'!I56</f>
        <v>4.8475277867090476</v>
      </c>
      <c r="G122">
        <f ca="1">G73*'Dwelling stock'!J56</f>
        <v>5.8926931695359324</v>
      </c>
      <c r="H122">
        <f ca="1">H73*'Dwelling stock'!K56</f>
        <v>0.68999889472984777</v>
      </c>
      <c r="I122">
        <f ca="1">I73*'Dwelling stock'!L56</f>
        <v>10.706361531533695</v>
      </c>
      <c r="J122">
        <f ca="1">J73*'Dwelling stock'!M56</f>
        <v>50.305937899494573</v>
      </c>
      <c r="K122">
        <f ca="1">K73*'Dwelling stock'!N56</f>
        <v>3.100322145464026</v>
      </c>
      <c r="L122">
        <f ca="1">L73*'Dwelling stock'!O56</f>
        <v>0.75789538233517473</v>
      </c>
      <c r="M122">
        <f ca="1">M73*'Dwelling stock'!P56</f>
        <v>6.7581178191148075</v>
      </c>
      <c r="N122">
        <f ca="1">N73*'Dwelling stock'!Q56</f>
        <v>7.4685186045902672</v>
      </c>
      <c r="O122">
        <f ca="1">O73*'Dwelling stock'!R56</f>
        <v>48.557050789772802</v>
      </c>
      <c r="P122">
        <f ca="1">P73*'Dwelling stock'!S56</f>
        <v>9.7181402561786108</v>
      </c>
      <c r="Q122">
        <f ca="1">Q73*'Dwelling stock'!T56</f>
        <v>5.7492752851035229</v>
      </c>
      <c r="R122">
        <f ca="1">R73*'Dwelling stock'!U56</f>
        <v>17.567083708724532</v>
      </c>
      <c r="S122">
        <f ca="1">S73*'Dwelling stock'!V56</f>
        <v>3.623109708752021</v>
      </c>
      <c r="T122">
        <f ca="1">T73*'Dwelling stock'!W56</f>
        <v>0.34952590144569279</v>
      </c>
      <c r="U122">
        <f ca="1">U73*'Dwelling stock'!X56</f>
        <v>17.327608185775631</v>
      </c>
      <c r="V122">
        <f ca="1">V73*'Dwelling stock'!Y56</f>
        <v>2.766166788145318</v>
      </c>
      <c r="W122">
        <f ca="1">W73*'Dwelling stock'!Z56</f>
        <v>0.25151650656574009</v>
      </c>
      <c r="X122">
        <f ca="1">X73*'Dwelling stock'!AA56</f>
        <v>2.0181755027187256</v>
      </c>
      <c r="Y122">
        <f ca="1">Y73*'Dwelling stock'!AB56</f>
        <v>1.4128598833325755E-2</v>
      </c>
      <c r="Z122">
        <f ca="1">Z73*'Dwelling stock'!AC56</f>
        <v>6.1232425482061323</v>
      </c>
      <c r="AA122">
        <f ca="1">AA73*'Dwelling stock'!AD56</f>
        <v>4.0412463201592699</v>
      </c>
      <c r="AB122">
        <f ca="1">AB73*'Dwelling stock'!AE56</f>
        <v>29.704824250834513</v>
      </c>
      <c r="AC122">
        <f ca="1">AC73*'Dwelling stock'!AF56</f>
        <v>3.9593668617413811</v>
      </c>
      <c r="AD122">
        <f ca="1">AD73*'Dwelling stock'!AG56</f>
        <v>42.680071619771276</v>
      </c>
      <c r="AE122">
        <f ca="1">AE73*'Dwelling stock'!AH56</f>
        <v>7.9540607755671697</v>
      </c>
      <c r="AF122">
        <f ca="1">AF73*'Dwelling stock'!AI56</f>
        <v>1.1270655826750295</v>
      </c>
      <c r="AG122">
        <f ca="1">AG73*'Dwelling stock'!AJ56</f>
        <v>5.6537802266312047</v>
      </c>
      <c r="AH122">
        <f ca="1">AH73*'Dwelling stock'!AK56</f>
        <v>15.600876803956261</v>
      </c>
      <c r="AI122">
        <f ca="1">AI73*'Dwelling stock'!AL56</f>
        <v>1.1382836431197836</v>
      </c>
      <c r="AJ122">
        <f ca="1">AJ73*'Dwelling stock'!AM56</f>
        <v>2.3978434056075209</v>
      </c>
      <c r="AK122">
        <f ca="1">AK73*'Dwelling stock'!AN56</f>
        <v>0.4873182823555301</v>
      </c>
      <c r="AL122">
        <f ca="1">AL73*'Dwelling stock'!AO56</f>
        <v>0.96038948926725265</v>
      </c>
      <c r="AM122">
        <f ca="1">AM73*'Dwelling stock'!AP56</f>
        <v>6.5151095656193263</v>
      </c>
      <c r="AN122">
        <f ca="1">AN73*'Dwelling stock'!AQ56</f>
        <v>1.297970814237194</v>
      </c>
    </row>
    <row r="123" spans="1:40">
      <c r="D123">
        <f ca="1">D74*'Dwelling stock'!G59</f>
        <v>7.4567669009258664</v>
      </c>
      <c r="E123">
        <f ca="1">E74*'Dwelling stock'!H59</f>
        <v>7.9468740687189268</v>
      </c>
      <c r="F123">
        <f ca="1">F74*'Dwelling stock'!I59</f>
        <v>2.2874252737699989</v>
      </c>
      <c r="G123">
        <f ca="1">G74*'Dwelling stock'!J59</f>
        <v>6.0223999088254319</v>
      </c>
      <c r="H123">
        <f ca="1">H74*'Dwelling stock'!K59</f>
        <v>0.51003207919596083</v>
      </c>
      <c r="I123">
        <f ca="1">I74*'Dwelling stock'!L59</f>
        <v>4.260273153293241</v>
      </c>
      <c r="J123">
        <f ca="1">J74*'Dwelling stock'!M59</f>
        <v>27.600956134722782</v>
      </c>
      <c r="K123">
        <f ca="1">K74*'Dwelling stock'!N59</f>
        <v>3.1027797697970363</v>
      </c>
      <c r="L123">
        <f ca="1">L74*'Dwelling stock'!O59</f>
        <v>0.21583987990664824</v>
      </c>
      <c r="M123">
        <f ca="1">M74*'Dwelling stock'!P59</f>
        <v>6.6916651923541037</v>
      </c>
      <c r="N123">
        <f ca="1">N74*'Dwelling stock'!Q59</f>
        <v>5.393007212885748</v>
      </c>
      <c r="O123">
        <f ca="1">O74*'Dwelling stock'!R59</f>
        <v>17.398382190298747</v>
      </c>
      <c r="P123">
        <f ca="1">P74*'Dwelling stock'!S59</f>
        <v>6.5378645725768489</v>
      </c>
      <c r="Q123">
        <f ca="1">Q74*'Dwelling stock'!T59</f>
        <v>2.2415815849787464</v>
      </c>
      <c r="R123">
        <f ca="1">R74*'Dwelling stock'!U59</f>
        <v>7.245601614755854</v>
      </c>
      <c r="S123">
        <f ca="1">S74*'Dwelling stock'!V59</f>
        <v>4.074730241182225</v>
      </c>
      <c r="T123">
        <f ca="1">T74*'Dwelling stock'!W59</f>
        <v>0.25239218208929237</v>
      </c>
      <c r="U123">
        <f ca="1">U74*'Dwelling stock'!X59</f>
        <v>5.9660626483837538</v>
      </c>
      <c r="V123">
        <f ca="1">V74*'Dwelling stock'!Y59</f>
        <v>0.86018856355510909</v>
      </c>
      <c r="W123">
        <f ca="1">W74*'Dwelling stock'!Z59</f>
        <v>0.17112019659154368</v>
      </c>
      <c r="X123">
        <f ca="1">X74*'Dwelling stock'!AA59</f>
        <v>0.62254311885582247</v>
      </c>
      <c r="Y123">
        <f ca="1">Y74*'Dwelling stock'!AB59</f>
        <v>1.3483815572407899E-2</v>
      </c>
      <c r="Z123">
        <f ca="1">Z74*'Dwelling stock'!AC59</f>
        <v>4.83777241810549</v>
      </c>
      <c r="AA123">
        <f ca="1">AA74*'Dwelling stock'!AD59</f>
        <v>4.0617873595272034</v>
      </c>
      <c r="AB123">
        <f ca="1">AB74*'Dwelling stock'!AE59</f>
        <v>29.704824250834513</v>
      </c>
      <c r="AC123">
        <f ca="1">AC74*'Dwelling stock'!AF59</f>
        <v>4.0090841564457387</v>
      </c>
      <c r="AD123">
        <f ca="1">AD74*'Dwelling stock'!AG59</f>
        <v>5.8774913442715331</v>
      </c>
      <c r="AE123">
        <f ca="1">AE74*'Dwelling stock'!AH59</f>
        <v>5.9432198201055613</v>
      </c>
      <c r="AF123">
        <f ca="1">AF74*'Dwelling stock'!AI59</f>
        <v>0.83208756337043233</v>
      </c>
      <c r="AG123">
        <f ca="1">AG74*'Dwelling stock'!AJ59</f>
        <v>2.7749439381883882</v>
      </c>
      <c r="AH123">
        <f ca="1">AH74*'Dwelling stock'!AK59</f>
        <v>11.504682328234939</v>
      </c>
      <c r="AI123">
        <f ca="1">AI74*'Dwelling stock'!AL59</f>
        <v>0.76577864773716287</v>
      </c>
      <c r="AJ123">
        <f ca="1">AJ74*'Dwelling stock'!AM59</f>
        <v>1.1237035908272477</v>
      </c>
      <c r="AK123">
        <f ca="1">AK74*'Dwelling stock'!AN59</f>
        <v>0.22735392361481591</v>
      </c>
      <c r="AL123">
        <f ca="1">AL74*'Dwelling stock'!AO59</f>
        <v>0.45107015177569248</v>
      </c>
      <c r="AM123">
        <f ca="1">AM74*'Dwelling stock'!AP59</f>
        <v>3.053181870174928</v>
      </c>
      <c r="AN123">
        <f ca="1">AN74*'Dwelling stock'!AQ59</f>
        <v>0.60826927285427357</v>
      </c>
    </row>
    <row r="124" spans="1:40">
      <c r="D124">
        <f ca="1">D75*'Dwelling stock'!G62</f>
        <v>2.7112038170904547</v>
      </c>
      <c r="E124">
        <f ca="1">E75*'Dwelling stock'!H62</f>
        <v>3.2056214876025417</v>
      </c>
      <c r="F124">
        <f ca="1">F75*'Dwelling stock'!I62</f>
        <v>2.4781586330642424</v>
      </c>
      <c r="G124">
        <f ca="1">G75*'Dwelling stock'!J62</f>
        <v>2.1896827187698951</v>
      </c>
      <c r="H124">
        <f ca="1">H75*'Dwelling stock'!K62</f>
        <v>0.96494951049933386</v>
      </c>
      <c r="I124">
        <f ca="1">I75*'Dwelling stock'!L62</f>
        <v>2.5321207093043636</v>
      </c>
      <c r="J124">
        <f ca="1">J75*'Dwelling stock'!M62</f>
        <v>16.351049571186099</v>
      </c>
      <c r="K124">
        <f ca="1">K75*'Dwelling stock'!N62</f>
        <v>2.9962031477395987</v>
      </c>
      <c r="L124">
        <f ca="1">L75*'Dwelling stock'!O62</f>
        <v>0.16991833806630277</v>
      </c>
      <c r="M124">
        <f ca="1">M75*'Dwelling stock'!P62</f>
        <v>7.7662927894508762</v>
      </c>
      <c r="N124">
        <f ca="1">N75*'Dwelling stock'!Q62</f>
        <v>4.7191193334023112</v>
      </c>
      <c r="O124">
        <f ca="1">O75*'Dwelling stock'!R62</f>
        <v>22.927278425714022</v>
      </c>
      <c r="P124">
        <f ca="1">P75*'Dwelling stock'!S62</f>
        <v>1.3485085510724926</v>
      </c>
      <c r="Q124">
        <f ca="1">Q75*'Dwelling stock'!T62</f>
        <v>1.9636866705962175</v>
      </c>
      <c r="R124">
        <f ca="1">R75*'Dwelling stock'!U62</f>
        <v>5.285133960346446</v>
      </c>
      <c r="S124">
        <f ca="1">S75*'Dwelling stock'!V62</f>
        <v>5.2382436741714553</v>
      </c>
      <c r="T124">
        <f ca="1">T75*'Dwelling stock'!W62</f>
        <v>0.22085429873917162</v>
      </c>
      <c r="U124">
        <f ca="1">U75*'Dwelling stock'!X62</f>
        <v>4.4017806303085329</v>
      </c>
      <c r="V124">
        <f ca="1">V75*'Dwelling stock'!Y62</f>
        <v>0.45880042780878039</v>
      </c>
      <c r="W124">
        <f ca="1">W75*'Dwelling stock'!Z62</f>
        <v>0.1905602982100924</v>
      </c>
      <c r="X124">
        <f ca="1">X75*'Dwelling stock'!AA62</f>
        <v>0.46798519389362903</v>
      </c>
      <c r="Y124">
        <f ca="1">Y75*'Dwelling stock'!AB62</f>
        <v>4.8340467108889543E-3</v>
      </c>
      <c r="Z124">
        <f ca="1">Z75*'Dwelling stock'!AC62</f>
        <v>1.7950187749597237</v>
      </c>
      <c r="AA124">
        <f ca="1">AA75*'Dwelling stock'!AD62</f>
        <v>2.4965659937760525</v>
      </c>
      <c r="AB124">
        <f ca="1">AB75*'Dwelling stock'!AE62</f>
        <v>29.615117596738948</v>
      </c>
      <c r="AC124">
        <f ca="1">AC75*'Dwelling stock'!AF62</f>
        <v>1.5545891762765798</v>
      </c>
      <c r="AD124">
        <f ca="1">AD75*'Dwelling stock'!AG62</f>
        <v>4.4968084033810856</v>
      </c>
      <c r="AE124">
        <f ca="1">AE75*'Dwelling stock'!AH62</f>
        <v>1.4434017410667574</v>
      </c>
      <c r="AF124">
        <f ca="1">AF75*'Dwelling stock'!AI62</f>
        <v>0.43076441902639551</v>
      </c>
      <c r="AG124">
        <f ca="1">AG75*'Dwelling stock'!AJ62</f>
        <v>2.0605972360606937</v>
      </c>
      <c r="AH124">
        <f ca="1">AH75*'Dwelling stock'!AK62</f>
        <v>7.9857647066350541</v>
      </c>
      <c r="AI124">
        <f ca="1">AI75*'Dwelling stock'!AL62</f>
        <v>0.15795051170588556</v>
      </c>
      <c r="AJ124">
        <f ca="1">AJ75*'Dwelling stock'!AM62</f>
        <v>0.73104117396961177</v>
      </c>
      <c r="AK124">
        <f ca="1">AK75*'Dwelling stock'!AN62</f>
        <v>0.14816920519187901</v>
      </c>
      <c r="AL124">
        <f ca="1">AL75*'Dwelling stock'!AO62</f>
        <v>0.4873283409343912</v>
      </c>
      <c r="AM124">
        <f ca="1">AM75*'Dwelling stock'!AP62</f>
        <v>1.9862904033903275</v>
      </c>
      <c r="AN124">
        <f ca="1">AN75*'Dwelling stock'!AQ62</f>
        <v>0.39571812971574932</v>
      </c>
    </row>
    <row r="125" spans="1:40">
      <c r="D125">
        <f ca="1">D76*'Dwelling stock'!G48</f>
        <v>6.9958389543098285</v>
      </c>
      <c r="E125">
        <f ca="1">E76*'Dwelling stock'!H48</f>
        <v>38.828991941346693</v>
      </c>
      <c r="F125">
        <f ca="1">F76*'Dwelling stock'!I48</f>
        <v>1.4824065048223243</v>
      </c>
      <c r="G125">
        <f ca="1">G76*'Dwelling stock'!J48</f>
        <v>14.139420344713466</v>
      </c>
      <c r="H125">
        <f ca="1">H76*'Dwelling stock'!K48</f>
        <v>6.6903693282395121E-2</v>
      </c>
      <c r="I125">
        <f ca="1">I76*'Dwelling stock'!L48</f>
        <v>6.8959530288957511</v>
      </c>
      <c r="J125">
        <f ca="1">J76*'Dwelling stock'!M48</f>
        <v>113.74379261653338</v>
      </c>
      <c r="K125">
        <f ca="1">K76*'Dwelling stock'!N48</f>
        <v>7.8885663729369098</v>
      </c>
      <c r="L125">
        <f ca="1">L76*'Dwelling stock'!O48</f>
        <v>0.26530589026778756</v>
      </c>
      <c r="M125">
        <f ca="1">M76*'Dwelling stock'!P48</f>
        <v>14.808368790367764</v>
      </c>
      <c r="N125">
        <f ca="1">N76*'Dwelling stock'!Q48</f>
        <v>3.9631861292443684</v>
      </c>
      <c r="O125">
        <f ca="1">O76*'Dwelling stock'!R48</f>
        <v>102.57059461325407</v>
      </c>
      <c r="P125">
        <f ca="1">P76*'Dwelling stock'!S48</f>
        <v>1.49364739358878</v>
      </c>
      <c r="Q125">
        <f ca="1">Q76*'Dwelling stock'!T48</f>
        <v>1.0021726316116197</v>
      </c>
      <c r="R125">
        <f ca="1">R76*'Dwelling stock'!U48</f>
        <v>4.6259255425906627</v>
      </c>
      <c r="S125">
        <f ca="1">S76*'Dwelling stock'!V48</f>
        <v>7.5671136996486466</v>
      </c>
      <c r="T125">
        <f ca="1">T76*'Dwelling stock'!W48</f>
        <v>0.23100604575043129</v>
      </c>
      <c r="U125">
        <f ca="1">U76*'Dwelling stock'!X48</f>
        <v>42.968782304877699</v>
      </c>
      <c r="V125">
        <f ca="1">V76*'Dwelling stock'!Y48</f>
        <v>1.5985685029779848</v>
      </c>
      <c r="W125">
        <f ca="1">W76*'Dwelling stock'!Z48</f>
        <v>0.97129584682493353</v>
      </c>
      <c r="X125">
        <f ca="1">X76*'Dwelling stock'!AA48</f>
        <v>0.8117590489031159</v>
      </c>
      <c r="Y125">
        <f ca="1">Y76*'Dwelling stock'!AB48</f>
        <v>0.17024459325678376</v>
      </c>
      <c r="Z125">
        <f ca="1">Z76*'Dwelling stock'!AC48</f>
        <v>53.939204640787551</v>
      </c>
      <c r="AA125">
        <f ca="1">AA76*'Dwelling stock'!AD48</f>
        <v>3.0215221350657502</v>
      </c>
      <c r="AB125">
        <f ca="1">AB76*'Dwelling stock'!AE48</f>
        <v>16.691986129728736</v>
      </c>
      <c r="AC125">
        <f ca="1">AC76*'Dwelling stock'!AF48</f>
        <v>1.5847112816433893</v>
      </c>
      <c r="AD125">
        <f ca="1">AD76*'Dwelling stock'!AG48</f>
        <v>2.8997455095728304</v>
      </c>
      <c r="AE125">
        <f ca="1">AE76*'Dwelling stock'!AH48</f>
        <v>7.5543648445368055</v>
      </c>
      <c r="AF125">
        <f ca="1">AF76*'Dwelling stock'!AI48</f>
        <v>0.89531017687943415</v>
      </c>
      <c r="AG125">
        <f ca="1">AG76*'Dwelling stock'!AJ48</f>
        <v>2.0234468497813261</v>
      </c>
      <c r="AH125">
        <f ca="1">AH76*'Dwelling stock'!AK48</f>
        <v>296.75255512831609</v>
      </c>
      <c r="AI125">
        <f ca="1">AI76*'Dwelling stock'!AL48</f>
        <v>0.16973759576339237</v>
      </c>
      <c r="AJ125">
        <f ca="1">AJ76*'Dwelling stock'!AM48</f>
        <v>0.34730406261683106</v>
      </c>
      <c r="AK125">
        <f ca="1">AK76*'Dwelling stock'!AN48</f>
        <v>0.11485574106618075</v>
      </c>
      <c r="AL125">
        <f ca="1">AL76*'Dwelling stock'!AO48</f>
        <v>0.29487568335607545</v>
      </c>
      <c r="AM125">
        <f ca="1">AM76*'Dwelling stock'!AP48</f>
        <v>0.94364962083922421</v>
      </c>
      <c r="AN125">
        <f ca="1">AN76*'Dwelling stock'!AQ48</f>
        <v>0.18799832211246548</v>
      </c>
    </row>
    <row r="126" spans="1:40">
      <c r="D126">
        <f ca="1">D77*'Dwelling stock'!G51</f>
        <v>7.9324939195782909</v>
      </c>
      <c r="E126">
        <f ca="1">E77*'Dwelling stock'!H51</f>
        <v>21.571662179994551</v>
      </c>
      <c r="F126">
        <f ca="1">F77*'Dwelling stock'!I51</f>
        <v>3.0688097174607263</v>
      </c>
      <c r="G126">
        <f ca="1">G77*'Dwelling stock'!J51</f>
        <v>16.044745262174562</v>
      </c>
      <c r="H126">
        <f ca="1">H77*'Dwelling stock'!K51</f>
        <v>0.21184974041468682</v>
      </c>
      <c r="I126">
        <f ca="1">I77*'Dwelling stock'!L51</f>
        <v>7.6839922583896589</v>
      </c>
      <c r="J126">
        <f ca="1">J77*'Dwelling stock'!M51</f>
        <v>153.67184569142694</v>
      </c>
      <c r="K126">
        <f ca="1">K77*'Dwelling stock'!N51</f>
        <v>5.5140069568698076</v>
      </c>
      <c r="L126">
        <f ca="1">L77*'Dwelling stock'!O51</f>
        <v>0.39220386525949313</v>
      </c>
      <c r="M126">
        <f ca="1">M77*'Dwelling stock'!P51</f>
        <v>23.867911075744285</v>
      </c>
      <c r="N126">
        <f ca="1">N77*'Dwelling stock'!Q51</f>
        <v>6.5431473516033893</v>
      </c>
      <c r="O126">
        <f ca="1">O77*'Dwelling stock'!R51</f>
        <v>69.373941298976831</v>
      </c>
      <c r="P126">
        <f ca="1">P77*'Dwelling stock'!S51</f>
        <v>5.4359202172945817</v>
      </c>
      <c r="Q126">
        <f ca="1">Q77*'Dwelling stock'!T51</f>
        <v>1.9163113224245474</v>
      </c>
      <c r="R126">
        <f ca="1">R77*'Dwelling stock'!U51</f>
        <v>6.232610208219115</v>
      </c>
      <c r="S126">
        <f ca="1">S77*'Dwelling stock'!V51</f>
        <v>6.9844976756499682</v>
      </c>
      <c r="T126">
        <f ca="1">T77*'Dwelling stock'!W51</f>
        <v>0.38126897326692577</v>
      </c>
      <c r="U126">
        <f ca="1">U77*'Dwelling stock'!X51</f>
        <v>57.455790534911664</v>
      </c>
      <c r="V126">
        <f ca="1">V77*'Dwelling stock'!Y51</f>
        <v>1.708344172135321</v>
      </c>
      <c r="W126">
        <f ca="1">W77*'Dwelling stock'!Z51</f>
        <v>0.89854323830517802</v>
      </c>
      <c r="X126">
        <f ca="1">X77*'Dwelling stock'!AA51</f>
        <v>0.97698680324148146</v>
      </c>
      <c r="Y126">
        <f ca="1">Y77*'Dwelling stock'!AB51</f>
        <v>0.1781881413097586</v>
      </c>
      <c r="Z126">
        <f ca="1">Z77*'Dwelling stock'!AC51</f>
        <v>48.431804217791829</v>
      </c>
      <c r="AA126">
        <f ca="1">AA77*'Dwelling stock'!AD51</f>
        <v>4.0090234906285929</v>
      </c>
      <c r="AB126">
        <f ca="1">AB77*'Dwelling stock'!AE51</f>
        <v>13.458606999360111</v>
      </c>
      <c r="AC126">
        <f ca="1">AC77*'Dwelling stock'!AF51</f>
        <v>1.9817168479756895</v>
      </c>
      <c r="AD126">
        <f ca="1">AD77*'Dwelling stock'!AG51</f>
        <v>7.6274143424750696</v>
      </c>
      <c r="AE126">
        <f ca="1">AE77*'Dwelling stock'!AH51</f>
        <v>6.8325323422174895</v>
      </c>
      <c r="AF126">
        <f ca="1">AF77*'Dwelling stock'!AI51</f>
        <v>0.59845225537952407</v>
      </c>
      <c r="AG126">
        <f ca="1">AG77*'Dwelling stock'!AJ51</f>
        <v>2.2009690053680742</v>
      </c>
      <c r="AH126">
        <f ca="1">AH77*'Dwelling stock'!AK51</f>
        <v>195.85126016440643</v>
      </c>
      <c r="AI126">
        <f ca="1">AI77*'Dwelling stock'!AL51</f>
        <v>0.61773617548937054</v>
      </c>
      <c r="AJ126">
        <f ca="1">AJ77*'Dwelling stock'!AM51</f>
        <v>0.7929333822525737</v>
      </c>
      <c r="AK126">
        <f ca="1">AK77*'Dwelling stock'!AN51</f>
        <v>0.26222829225931127</v>
      </c>
      <c r="AL126">
        <f ca="1">AL77*'Dwelling stock'!AO51</f>
        <v>0.6104380678189596</v>
      </c>
      <c r="AM126">
        <f ca="1">AM77*'Dwelling stock'!AP51</f>
        <v>2.1544558962989306</v>
      </c>
      <c r="AN126">
        <f ca="1">AN77*'Dwelling stock'!AQ51</f>
        <v>0.4292208512830159</v>
      </c>
    </row>
    <row r="127" spans="1:40">
      <c r="D127">
        <f ca="1">D78*'Dwelling stock'!G54</f>
        <v>3.2062804787034538</v>
      </c>
      <c r="E127">
        <f ca="1">E78*'Dwelling stock'!H54</f>
        <v>11.674319092952155</v>
      </c>
      <c r="F127">
        <f ca="1">F78*'Dwelling stock'!I54</f>
        <v>1.6764020927610703</v>
      </c>
      <c r="G127">
        <f ca="1">G78*'Dwelling stock'!J54</f>
        <v>6.4781559461629845</v>
      </c>
      <c r="H127">
        <f ca="1">H78*'Dwelling stock'!K54</f>
        <v>0.28646072794231275</v>
      </c>
      <c r="I127">
        <f ca="1">I78*'Dwelling stock'!L54</f>
        <v>3.1485368279093771</v>
      </c>
      <c r="J127">
        <f ca="1">J78*'Dwelling stock'!M54</f>
        <v>49.577987665707447</v>
      </c>
      <c r="K127">
        <f ca="1">K78*'Dwelling stock'!N54</f>
        <v>2.2788507551587984</v>
      </c>
      <c r="L127">
        <f ca="1">L78*'Dwelling stock'!O54</f>
        <v>0.24692113236991592</v>
      </c>
      <c r="M127">
        <f ca="1">M78*'Dwelling stock'!P54</f>
        <v>19.706447870715476</v>
      </c>
      <c r="N127">
        <f ca="1">N78*'Dwelling stock'!Q54</f>
        <v>4.2609795331740052</v>
      </c>
      <c r="O127">
        <f ca="1">O78*'Dwelling stock'!R54</f>
        <v>35.107933140401826</v>
      </c>
      <c r="P127">
        <f ca="1">P78*'Dwelling stock'!S54</f>
        <v>4.331430575771817</v>
      </c>
      <c r="Q127">
        <f ca="1">Q78*'Dwelling stock'!T54</f>
        <v>1.332093497030918</v>
      </c>
      <c r="R127">
        <f ca="1">R78*'Dwelling stock'!U54</f>
        <v>3.2602492298446699</v>
      </c>
      <c r="S127">
        <f ca="1">S78*'Dwelling stock'!V54</f>
        <v>4.9068908188647873</v>
      </c>
      <c r="T127">
        <f ca="1">T78*'Dwelling stock'!W54</f>
        <v>0.24824459523176229</v>
      </c>
      <c r="U127">
        <f ca="1">U78*'Dwelling stock'!X54</f>
        <v>30.693688761031659</v>
      </c>
      <c r="V127">
        <f ca="1">V78*'Dwelling stock'!Y54</f>
        <v>0.7238283829027029</v>
      </c>
      <c r="W127">
        <f ca="1">W78*'Dwelling stock'!Z54</f>
        <v>0.26706713116451841</v>
      </c>
      <c r="X127">
        <f ca="1">X78*'Dwelling stock'!AA54</f>
        <v>0.7321840931257344</v>
      </c>
      <c r="Y127">
        <f ca="1">Y78*'Dwelling stock'!AB54</f>
        <v>0.10089245085340365</v>
      </c>
      <c r="Z127">
        <f ca="1">Z78*'Dwelling stock'!AC54</f>
        <v>28.648540141900977</v>
      </c>
      <c r="AA127">
        <f ca="1">AA78*'Dwelling stock'!AD54</f>
        <v>1.7449467509275765</v>
      </c>
      <c r="AB127">
        <f ca="1">AB78*'Dwelling stock'!AE54</f>
        <v>5.5698438983715102</v>
      </c>
      <c r="AC127">
        <f ca="1">AC78*'Dwelling stock'!AF54</f>
        <v>2.1748179849956957</v>
      </c>
      <c r="AD127">
        <f ca="1">AD78*'Dwelling stock'!AG54</f>
        <v>5.5027992311725074</v>
      </c>
      <c r="AE127">
        <f ca="1">AE78*'Dwelling stock'!AH54</f>
        <v>2.5256375437438452</v>
      </c>
      <c r="AF127">
        <f ca="1">AF78*'Dwelling stock'!AI54</f>
        <v>0.46909608172575035</v>
      </c>
      <c r="AG127">
        <f ca="1">AG78*'Dwelling stock'!AJ54</f>
        <v>0.90089931162092685</v>
      </c>
      <c r="AH127">
        <f ca="1">AH78*'Dwelling stock'!AK54</f>
        <v>66.204766252009904</v>
      </c>
      <c r="AI127">
        <f ca="1">AI78*'Dwelling stock'!AL54</f>
        <v>0.49222233795158099</v>
      </c>
      <c r="AJ127">
        <f ca="1">AJ78*'Dwelling stock'!AM54</f>
        <v>0.59200986370003117</v>
      </c>
      <c r="AK127">
        <f ca="1">AK78*'Dwelling stock'!AN54</f>
        <v>0.1957815612677504</v>
      </c>
      <c r="AL127">
        <f ca="1">AL78*'Dwelling stock'!AO54</f>
        <v>0.33330492483081209</v>
      </c>
      <c r="AM127">
        <f ca="1">AM78*'Dwelling stock'!AP54</f>
        <v>1.6085325325720561</v>
      </c>
      <c r="AN127">
        <f ca="1">AN78*'Dwelling stock'!AQ54</f>
        <v>0.32045942742807859</v>
      </c>
    </row>
    <row r="128" spans="1:40">
      <c r="D128">
        <f ca="1">D79*'Dwelling stock'!G57</f>
        <v>1.7334921986860043</v>
      </c>
      <c r="E128">
        <f ca="1">E79*'Dwelling stock'!H57</f>
        <v>9.8305451182586481</v>
      </c>
      <c r="F128">
        <f ca="1">F79*'Dwelling stock'!I57</f>
        <v>1.3583644962292913</v>
      </c>
      <c r="G128">
        <f ca="1">G79*'Dwelling stock'!J57</f>
        <v>3.4983975570883641</v>
      </c>
      <c r="H128">
        <f ca="1">H79*'Dwelling stock'!K57</f>
        <v>0.39984698545301645</v>
      </c>
      <c r="I128">
        <f ca="1">I79*'Dwelling stock'!L57</f>
        <v>3.2323531421678693</v>
      </c>
      <c r="J128">
        <f ca="1">J79*'Dwelling stock'!M57</f>
        <v>26.538171171040208</v>
      </c>
      <c r="K128">
        <f ca="1">K79*'Dwelling stock'!N57</f>
        <v>0.77724763017727383</v>
      </c>
      <c r="L128">
        <f ca="1">L79*'Dwelling stock'!O57</f>
        <v>0.17497839370864776</v>
      </c>
      <c r="M128">
        <f ca="1">M79*'Dwelling stock'!P57</f>
        <v>8.1419180076796156</v>
      </c>
      <c r="N128">
        <f ca="1">N79*'Dwelling stock'!Q57</f>
        <v>2.7651289615776187</v>
      </c>
      <c r="O128">
        <f ca="1">O79*'Dwelling stock'!R57</f>
        <v>21.991868311602254</v>
      </c>
      <c r="P128">
        <f ca="1">P79*'Dwelling stock'!S57</f>
        <v>3.2156148563222842</v>
      </c>
      <c r="Q128">
        <f ca="1">Q79*'Dwelling stock'!T57</f>
        <v>1.0561052177162291</v>
      </c>
      <c r="R128">
        <f ca="1">R79*'Dwelling stock'!U57</f>
        <v>3.3056640807907569</v>
      </c>
      <c r="S128">
        <f ca="1">S79*'Dwelling stock'!V57</f>
        <v>2.7614131143010843</v>
      </c>
      <c r="T128">
        <f ca="1">T79*'Dwelling stock'!W57</f>
        <v>0.16109773792614959</v>
      </c>
      <c r="U128">
        <f ca="1">U79*'Dwelling stock'!X57</f>
        <v>17.677190193907897</v>
      </c>
      <c r="V128">
        <f ca="1">V79*'Dwelling stock'!Y57</f>
        <v>0.7238283829027029</v>
      </c>
      <c r="W128">
        <f ca="1">W79*'Dwelling stock'!Z57</f>
        <v>0.17564349252596984</v>
      </c>
      <c r="X128">
        <f ca="1">X79*'Dwelling stock'!AA57</f>
        <v>0.40310358938678342</v>
      </c>
      <c r="Y128">
        <f ca="1">Y79*'Dwelling stock'!AB57</f>
        <v>0.10484455617521132</v>
      </c>
      <c r="Z128">
        <f ca="1">Z79*'Dwelling stock'!AC57</f>
        <v>18.031674868036038</v>
      </c>
      <c r="AA128">
        <f ca="1">AA79*'Dwelling stock'!AD57</f>
        <v>1.4530138396048131</v>
      </c>
      <c r="AB128">
        <f ca="1">AB79*'Dwelling stock'!AE57</f>
        <v>5.7579804739087903</v>
      </c>
      <c r="AC128">
        <f ca="1">AC79*'Dwelling stock'!AF57</f>
        <v>1.8100771259143837</v>
      </c>
      <c r="AD128">
        <f ca="1">AD79*'Dwelling stock'!AG57</f>
        <v>6.4567688945464212</v>
      </c>
      <c r="AE128">
        <f ca="1">AE79*'Dwelling stock'!AH57</f>
        <v>1.7222408808565794</v>
      </c>
      <c r="AF128">
        <f ca="1">AF79*'Dwelling stock'!AI57</f>
        <v>0.19940085574702754</v>
      </c>
      <c r="AG128">
        <f ca="1">AG79*'Dwelling stock'!AJ57</f>
        <v>0.89606298448002675</v>
      </c>
      <c r="AH128">
        <f ca="1">AH79*'Dwelling stock'!AK57</f>
        <v>27.658622597577086</v>
      </c>
      <c r="AI128">
        <f ca="1">AI79*'Dwelling stock'!AL57</f>
        <v>0.36508673181992957</v>
      </c>
      <c r="AJ128">
        <f ca="1">AJ79*'Dwelling stock'!AM57</f>
        <v>0.43161128437645724</v>
      </c>
      <c r="AK128">
        <f ca="1">AK79*'Dwelling stock'!AN57</f>
        <v>0.14188648108116911</v>
      </c>
      <c r="AL128">
        <f ca="1">AL79*'Dwelling stock'!AO57</f>
        <v>0.26976876360071206</v>
      </c>
      <c r="AM128">
        <f ca="1">AM79*'Dwelling stock'!AP57</f>
        <v>1.1727182854786347</v>
      </c>
      <c r="AN128">
        <f ca="1">AN79*'Dwelling stock'!AQ57</f>
        <v>0.23363446040970051</v>
      </c>
    </row>
    <row r="129" spans="1:40">
      <c r="D129">
        <f ca="1">D80*'Dwelling stock'!G60</f>
        <v>1.7739831148095322</v>
      </c>
      <c r="E129">
        <f ca="1">E80*'Dwelling stock'!H60</f>
        <v>7.2413818045115272</v>
      </c>
      <c r="F129">
        <f ca="1">F80*'Dwelling stock'!I60</f>
        <v>0.60940099115949387</v>
      </c>
      <c r="G129">
        <f ca="1">G80*'Dwelling stock'!J60</f>
        <v>3.5811760675398925</v>
      </c>
      <c r="H129">
        <f ca="1">H80*'Dwelling stock'!K60</f>
        <v>0.31960014423512118</v>
      </c>
      <c r="I129">
        <f ca="1">I80*'Dwelling stock'!L60</f>
        <v>1.262498082443541</v>
      </c>
      <c r="J129">
        <f ca="1">J80*'Dwelling stock'!M60</f>
        <v>14.553801219721425</v>
      </c>
      <c r="K129">
        <f ca="1">K80*'Dwelling stock'!N60</f>
        <v>0.77786375411506958</v>
      </c>
      <c r="L129">
        <f ca="1">L80*'Dwelling stock'!O60</f>
        <v>4.8422465491061516E-2</v>
      </c>
      <c r="M129">
        <f ca="1">M80*'Dwelling stock'!P60</f>
        <v>8.0618584625574101</v>
      </c>
      <c r="N129">
        <f ca="1">N80*'Dwelling stock'!Q60</f>
        <v>1.9899760064998582</v>
      </c>
      <c r="O129">
        <f ca="1">O80*'Dwelling stock'!R60</f>
        <v>7.7627859410005708</v>
      </c>
      <c r="P129">
        <f ca="1">P80*'Dwelling stock'!S60</f>
        <v>2.1633001679344015</v>
      </c>
      <c r="Q129">
        <f ca="1">Q80*'Dwelling stock'!T60</f>
        <v>0.40310629930303771</v>
      </c>
      <c r="R129">
        <f ca="1">R80*'Dwelling stock'!U60</f>
        <v>1.3634320527386468</v>
      </c>
      <c r="S129">
        <f ca="1">S80*'Dwelling stock'!V60</f>
        <v>3.0875609167342444</v>
      </c>
      <c r="T129">
        <f ca="1">T80*'Dwelling stock'!W60</f>
        <v>0.11593231782799741</v>
      </c>
      <c r="U129">
        <f ca="1">U80*'Dwelling stock'!X60</f>
        <v>6.064346548650219</v>
      </c>
      <c r="V129">
        <f ca="1">V80*'Dwelling stock'!Y60</f>
        <v>0.22508725779581742</v>
      </c>
      <c r="W129">
        <f ca="1">W80*'Dwelling stock'!Z60</f>
        <v>0.12022089335005628</v>
      </c>
      <c r="X129">
        <f ca="1">X80*'Dwelling stock'!AA60</f>
        <v>0.12359846067139271</v>
      </c>
      <c r="Y129">
        <f ca="1">Y80*'Dwelling stock'!AB60</f>
        <v>9.9480522257183943E-2</v>
      </c>
      <c r="Z129">
        <f ca="1">Z80*'Dwelling stock'!AC60</f>
        <v>14.305089256459759</v>
      </c>
      <c r="AA129">
        <f ca="1">AA80*'Dwelling stock'!AD60</f>
        <v>1.4303614605501511</v>
      </c>
      <c r="AB129">
        <f ca="1">AB80*'Dwelling stock'!AE60</f>
        <v>5.7579804739087903</v>
      </c>
      <c r="AC129">
        <f ca="1">AC80*'Dwelling stock'!AF60</f>
        <v>1.8319031829896135</v>
      </c>
      <c r="AD129">
        <f ca="1">AD80*'Dwelling stock'!AG60</f>
        <v>0.88916447066312643</v>
      </c>
      <c r="AE129">
        <f ca="1">AE80*'Dwelling stock'!AH60</f>
        <v>1.2608456633994938</v>
      </c>
      <c r="AF129">
        <f ca="1">AF80*'Dwelling stock'!AI60</f>
        <v>0.14143373878104695</v>
      </c>
      <c r="AG129">
        <f ca="1">AG80*'Dwelling stock'!AJ60</f>
        <v>0.42908014551890933</v>
      </c>
      <c r="AH129">
        <f ca="1">AH80*'Dwelling stock'!AK60</f>
        <v>21.162737257394387</v>
      </c>
      <c r="AI129">
        <f ca="1">AI80*'Dwelling stock'!AL60</f>
        <v>0.24561156218812996</v>
      </c>
      <c r="AJ129">
        <f ca="1">AJ80*'Dwelling stock'!AM60</f>
        <v>0.19974277307632204</v>
      </c>
      <c r="AK129">
        <f ca="1">AK80*'Dwelling stock'!AN60</f>
        <v>6.5440261126742436E-2</v>
      </c>
      <c r="AL129">
        <f ca="1">AL80*'Dwelling stock'!AO60</f>
        <v>0.12050077460688467</v>
      </c>
      <c r="AM129">
        <f ca="1">AM80*'Dwelling stock'!AP60</f>
        <v>0.54271519503299925</v>
      </c>
      <c r="AN129">
        <f ca="1">AN80*'Dwelling stock'!AQ60</f>
        <v>0.10812227737706766</v>
      </c>
    </row>
    <row r="130" spans="1:40">
      <c r="D130">
        <f ca="1">D81*'Dwelling stock'!G63</f>
        <v>0.63370146342463596</v>
      </c>
      <c r="E130">
        <f ca="1">E81*'Dwelling stock'!H63</f>
        <v>2.8495984124819111</v>
      </c>
      <c r="F130">
        <f ca="1">F81*'Dwelling stock'!I63</f>
        <v>0.64453580703513247</v>
      </c>
      <c r="G130">
        <f ca="1">G81*'Dwelling stock'!J63</f>
        <v>1.278024384304945</v>
      </c>
      <c r="H130">
        <f ca="1">H81*'Dwelling stock'!K63</f>
        <v>0.56876387956080232</v>
      </c>
      <c r="I130">
        <f ca="1">I81*'Dwelling stock'!L63</f>
        <v>0.75005988591493444</v>
      </c>
      <c r="J130">
        <f ca="1">J81*'Dwelling stock'!M63</f>
        <v>8.6585319078808869</v>
      </c>
      <c r="K130">
        <f ca="1">K81*'Dwelling stock'!N63</f>
        <v>0.73823938454479665</v>
      </c>
      <c r="L130">
        <f ca="1">L81*'Dwelling stock'!O63</f>
        <v>3.8120225348868157E-2</v>
      </c>
      <c r="M130">
        <f ca="1">M81*'Dwelling stock'!P63</f>
        <v>9.1113695142184135</v>
      </c>
      <c r="N130">
        <f ca="1">N81*'Dwelling stock'!Q63</f>
        <v>1.7409851816935085</v>
      </c>
      <c r="O130">
        <f ca="1">O81*'Dwelling stock'!R63</f>
        <v>10.234179521184766</v>
      </c>
      <c r="P130">
        <f ca="1">P81*'Dwelling stock'!S63</f>
        <v>0.39272512131033671</v>
      </c>
      <c r="Q130">
        <f ca="1">Q81*'Dwelling stock'!T63</f>
        <v>0.34755542557715252</v>
      </c>
      <c r="R130">
        <f ca="1">R81*'Dwelling stock'!U63</f>
        <v>0.98388835319145596</v>
      </c>
      <c r="S130">
        <f ca="1">S81*'Dwelling stock'!V63</f>
        <v>3.8809017071841638</v>
      </c>
      <c r="T130">
        <f ca="1">T81*'Dwelling stock'!W63</f>
        <v>0.10142280586904433</v>
      </c>
      <c r="U130">
        <f ca="1">U81*'Dwelling stock'!X63</f>
        <v>4.6075261723804921</v>
      </c>
      <c r="V130">
        <f ca="1">V81*'Dwelling stock'!Y63</f>
        <v>0.11309120027976879</v>
      </c>
      <c r="W130">
        <f ca="1">W81*'Dwelling stock'!Z63</f>
        <v>0.13355969447946425</v>
      </c>
      <c r="X130">
        <f ca="1">X81*'Dwelling stock'!AA63</f>
        <v>8.8344419113336514E-2</v>
      </c>
      <c r="Y130">
        <f ca="1">Y81*'Dwelling stock'!AB63</f>
        <v>3.5697122910717763E-2</v>
      </c>
      <c r="Z130">
        <f ca="1">Z81*'Dwelling stock'!AC63</f>
        <v>5.1539365469138501</v>
      </c>
      <c r="AA130">
        <f ca="1">AA81*'Dwelling stock'!AD63</f>
        <v>0.92241697093093822</v>
      </c>
      <c r="AB130">
        <f ca="1">AB81*'Dwelling stock'!AE63</f>
        <v>5.635357788401361</v>
      </c>
      <c r="AC130">
        <f ca="1">AC81*'Dwelling stock'!AF63</f>
        <v>0.6945006576290329</v>
      </c>
      <c r="AD130">
        <f ca="1">AD81*'Dwelling stock'!AG63</f>
        <v>0.70511052816111008</v>
      </c>
      <c r="AE130">
        <f ca="1">AE81*'Dwelling stock'!AH63</f>
        <v>0.32088903653546114</v>
      </c>
      <c r="AF130">
        <f ca="1">AF81*'Dwelling stock'!AI63</f>
        <v>6.862599916774989E-2</v>
      </c>
      <c r="AG130">
        <f ca="1">AG81*'Dwelling stock'!AJ63</f>
        <v>0.32135663865229741</v>
      </c>
      <c r="AH130">
        <f ca="1">AH81*'Dwelling stock'!AK63</f>
        <v>14.569477666041744</v>
      </c>
      <c r="AI130">
        <f ca="1">AI81*'Dwelling stock'!AL63</f>
        <v>4.466682448902555E-2</v>
      </c>
      <c r="AJ130">
        <f ca="1">AJ81*'Dwelling stock'!AM63</f>
        <v>0.13064587770437378</v>
      </c>
      <c r="AK130">
        <f ca="1">AK81*'Dwelling stock'!AN63</f>
        <v>4.2913967150166071E-2</v>
      </c>
      <c r="AL130">
        <f ca="1">AL81*'Dwelling stock'!AO63</f>
        <v>0.12742089750439584</v>
      </c>
      <c r="AM130">
        <f ca="1">AM81*'Dwelling stock'!AP63</f>
        <v>0.35497405941938265</v>
      </c>
      <c r="AN130">
        <f ca="1">AN81*'Dwelling stock'!AQ63</f>
        <v>7.0719604067603983E-2</v>
      </c>
    </row>
    <row r="131" spans="1:40">
      <c r="D131">
        <f ca="1">D82*'Dwelling stock'!G46</f>
        <v>9.648170499327863</v>
      </c>
      <c r="E131">
        <f ca="1">E82*'Dwelling stock'!H46</f>
        <v>9.7049524899963515</v>
      </c>
      <c r="F131">
        <f ca="1">F82*'Dwelling stock'!I46</f>
        <v>1.7382221570615639</v>
      </c>
      <c r="G131">
        <f ca="1">G82*'Dwelling stock'!J46</f>
        <v>10.552815821606837</v>
      </c>
      <c r="H131">
        <f ca="1">H82*'Dwelling stock'!K46</f>
        <v>2.2839540580134259E-2</v>
      </c>
      <c r="I131">
        <f ca="1">I82*'Dwelling stock'!L46</f>
        <v>10.155352857383068</v>
      </c>
      <c r="J131">
        <f ca="1">J82*'Dwelling stock'!M46</f>
        <v>108.24835493213335</v>
      </c>
      <c r="K131">
        <f ca="1">K82*'Dwelling stock'!N46</f>
        <v>6.1673672957632935</v>
      </c>
      <c r="L131">
        <f ca="1">L82*'Dwelling stock'!O46</f>
        <v>1.1170117349191728</v>
      </c>
      <c r="M131">
        <f ca="1">M82*'Dwelling stock'!P46</f>
        <v>30.354711899409594</v>
      </c>
      <c r="N131">
        <f ca="1">N82*'Dwelling stock'!Q46</f>
        <v>2.5079963231207336</v>
      </c>
      <c r="O131">
        <f ca="1">O82*'Dwelling stock'!R46</f>
        <v>69.106857333943495</v>
      </c>
      <c r="P131">
        <f ca="1">P82*'Dwelling stock'!S46</f>
        <v>3.4415798177167987</v>
      </c>
      <c r="Q131">
        <f ca="1">Q82*'Dwelling stock'!T46</f>
        <v>1.3682738129025891</v>
      </c>
      <c r="R131">
        <f ca="1">R82*'Dwelling stock'!U46</f>
        <v>4.4685808089256538</v>
      </c>
      <c r="S131">
        <f ca="1">S82*'Dwelling stock'!V46</f>
        <v>0.43421065163984279</v>
      </c>
      <c r="T131">
        <f ca="1">T82*'Dwelling stock'!W46</f>
        <v>0.16873402134313525</v>
      </c>
      <c r="U131">
        <f ca="1">U82*'Dwelling stock'!X46</f>
        <v>95.047342890612342</v>
      </c>
      <c r="V131">
        <f ca="1">V82*'Dwelling stock'!Y46</f>
        <v>3.6073741907400216</v>
      </c>
      <c r="W131">
        <f ca="1">W82*'Dwelling stock'!Z46</f>
        <v>0.50297025420357477</v>
      </c>
      <c r="X131">
        <f ca="1">X82*'Dwelling stock'!AA46</f>
        <v>2.5997060871769726</v>
      </c>
      <c r="Y131">
        <f ca="1">Y82*'Dwelling stock'!AB46</f>
        <v>2.9785323588086384E-2</v>
      </c>
      <c r="Z131">
        <f ca="1">Z82*'Dwelling stock'!AC46</f>
        <v>11.29527328050508</v>
      </c>
      <c r="AA131">
        <f ca="1">AA82*'Dwelling stock'!AD46</f>
        <v>4.3026348368681511</v>
      </c>
      <c r="AB131">
        <f ca="1">AB82*'Dwelling stock'!AE46</f>
        <v>32.725604678274884</v>
      </c>
      <c r="AC131">
        <f ca="1">AC82*'Dwelling stock'!AF46</f>
        <v>1.1698678401852372</v>
      </c>
      <c r="AD131">
        <f ca="1">AD82*'Dwelling stock'!AG46</f>
        <v>3.0769595196081978</v>
      </c>
      <c r="AE131">
        <f ca="1">AE82*'Dwelling stock'!AH46</f>
        <v>14.829025693767566</v>
      </c>
      <c r="AF131">
        <f ca="1">AF82*'Dwelling stock'!AI46</f>
        <v>2.6817785889088306</v>
      </c>
      <c r="AG131">
        <f ca="1">AG82*'Dwelling stock'!AJ46</f>
        <v>3.9056695819282119</v>
      </c>
      <c r="AH131">
        <f ca="1">AH82*'Dwelling stock'!AK46</f>
        <v>24.802508357216446</v>
      </c>
      <c r="AI131">
        <f ca="1">AI82*'Dwelling stock'!AL46</f>
        <v>0.3210812157448879</v>
      </c>
      <c r="AJ131">
        <f ca="1">AJ82*'Dwelling stock'!AM46</f>
        <v>0.72388784486267355</v>
      </c>
      <c r="AK131">
        <f ca="1">AK82*'Dwelling stock'!AN46</f>
        <v>0.25248482814308804</v>
      </c>
      <c r="AL131">
        <f ca="1">AL82*'Dwelling stock'!AO46</f>
        <v>0.45195014800668271</v>
      </c>
      <c r="AM131">
        <f ca="1">AM82*'Dwelling stock'!AP46</f>
        <v>1.9668543039429456</v>
      </c>
      <c r="AN131">
        <f ca="1">AN82*'Dwelling stock'!AQ46</f>
        <v>0.39184597843859498</v>
      </c>
    </row>
    <row r="132" spans="1:40">
      <c r="D132">
        <f ca="1">D83*'Dwelling stock'!G49</f>
        <v>10.515192615184445</v>
      </c>
      <c r="E132">
        <f ca="1">E83*'Dwelling stock'!H49</f>
        <v>5.3916402698101384</v>
      </c>
      <c r="F132">
        <f ca="1">F83*'Dwelling stock'!I49</f>
        <v>3.5983875066275552</v>
      </c>
      <c r="G132">
        <f ca="1">G83*'Dwelling stock'!J49</f>
        <v>11.501132883637585</v>
      </c>
      <c r="H132">
        <f ca="1">H83*'Dwelling stock'!K49</f>
        <v>6.9874675011813173E-2</v>
      </c>
      <c r="I132">
        <f ca="1">I83*'Dwelling stock'!L49</f>
        <v>12.430971035181143</v>
      </c>
      <c r="J132">
        <f ca="1">J83*'Dwelling stock'!M49</f>
        <v>135.61737519626186</v>
      </c>
      <c r="K132">
        <f ca="1">K83*'Dwelling stock'!N49</f>
        <v>4.3986486991460731</v>
      </c>
      <c r="L132">
        <f ca="1">L83*'Dwelling stock'!O49</f>
        <v>1.6512875742536948</v>
      </c>
      <c r="M132">
        <f ca="1">M83*'Dwelling stock'!P49</f>
        <v>48.484884438593738</v>
      </c>
      <c r="N132">
        <f ca="1">N83*'Dwelling stock'!Q49</f>
        <v>4.3101427540831345</v>
      </c>
      <c r="O132">
        <f ca="1">O83*'Dwelling stock'!R49</f>
        <v>46.740638309824696</v>
      </c>
      <c r="P132">
        <f ca="1">P83*'Dwelling stock'!S49</f>
        <v>12.52514709352503</v>
      </c>
      <c r="Q132">
        <f ca="1">Q83*'Dwelling stock'!T49</f>
        <v>2.6525146369712824</v>
      </c>
      <c r="R132">
        <f ca="1">R83*'Dwelling stock'!U49</f>
        <v>6.0206162225353665</v>
      </c>
      <c r="S132">
        <f ca="1">S83*'Dwelling stock'!V49</f>
        <v>0.39808618208847169</v>
      </c>
      <c r="T132">
        <f ca="1">T83*'Dwelling stock'!W49</f>
        <v>0.29025735958726095</v>
      </c>
      <c r="U132">
        <f ca="1">U83*'Dwelling stock'!X49</f>
        <v>125.60729008204778</v>
      </c>
      <c r="V132">
        <f ca="1">V83*'Dwelling stock'!Y49</f>
        <v>3.8550970221055061</v>
      </c>
      <c r="W132">
        <f ca="1">W83*'Dwelling stock'!Z49</f>
        <v>0.5146295714846485</v>
      </c>
      <c r="X132">
        <f ca="1">X83*'Dwelling stock'!AA49</f>
        <v>3.1068119155676994</v>
      </c>
      <c r="Y132">
        <f ca="1">Y83*'Dwelling stock'!AB49</f>
        <v>3.1202041600262059E-2</v>
      </c>
      <c r="Z132">
        <f ca="1">Z83*'Dwelling stock'!AC49</f>
        <v>10.698732579716575</v>
      </c>
      <c r="AA132">
        <f ca="1">AA83*'Dwelling stock'!AD49</f>
        <v>5.6981856669336484</v>
      </c>
      <c r="AB132">
        <f ca="1">AB83*'Dwelling stock'!AE49</f>
        <v>26.968124134495859</v>
      </c>
      <c r="AC132">
        <f ca="1">AC83*'Dwelling stock'!AF49</f>
        <v>1.3952050923359569</v>
      </c>
      <c r="AD132">
        <f ca="1">AD83*'Dwelling stock'!AG49</f>
        <v>8.1868035031319497</v>
      </c>
      <c r="AE132">
        <f ca="1">AE83*'Dwelling stock'!AH49</f>
        <v>13.387618521683356</v>
      </c>
      <c r="AF132">
        <f ca="1">AF83*'Dwelling stock'!AI49</f>
        <v>1.7925814833858762</v>
      </c>
      <c r="AG132">
        <f ca="1">AG83*'Dwelling stock'!AJ49</f>
        <v>4.3241326180713058</v>
      </c>
      <c r="AH132">
        <f ca="1">AH83*'Dwelling stock'!AK49</f>
        <v>16.279884346546041</v>
      </c>
      <c r="AI132">
        <f ca="1">AI83*'Dwelling stock'!AL49</f>
        <v>1.1685300557232332</v>
      </c>
      <c r="AJ132">
        <f ca="1">AJ83*'Dwelling stock'!AM49</f>
        <v>1.6527155855120395</v>
      </c>
      <c r="AK132">
        <f ca="1">AK83*'Dwelling stock'!AN49</f>
        <v>0.57645063878171954</v>
      </c>
      <c r="AL132">
        <f ca="1">AL83*'Dwelling stock'!AO49</f>
        <v>0.93560639507376964</v>
      </c>
      <c r="AM132">
        <f ca="1">AM83*'Dwelling stock'!AP49</f>
        <v>4.4905447516867918</v>
      </c>
      <c r="AN132">
        <f ca="1">AN83*'Dwelling stock'!AQ49</f>
        <v>0.89462747617835292</v>
      </c>
    </row>
    <row r="133" spans="1:40">
      <c r="D133">
        <f ca="1">D84*'Dwelling stock'!G52</f>
        <v>4.4172511090730611</v>
      </c>
      <c r="E133">
        <f ca="1">E84*'Dwelling stock'!H52</f>
        <v>2.917889609941505</v>
      </c>
      <c r="F133">
        <f ca="1">F84*'Dwelling stock'!I52</f>
        <v>1.9765016623070106</v>
      </c>
      <c r="G133">
        <f ca="1">G84*'Dwelling stock'!J52</f>
        <v>4.8314276157416467</v>
      </c>
      <c r="H133">
        <f ca="1">H84*'Dwelling stock'!K52</f>
        <v>9.5361189258876211E-2</v>
      </c>
      <c r="I133">
        <f ca="1">I84*'Dwelling stock'!L52</f>
        <v>5.0936243549970799</v>
      </c>
      <c r="J133">
        <f ca="1">J84*'Dwelling stock'!M52</f>
        <v>47.614733104746655</v>
      </c>
      <c r="K133">
        <f ca="1">K84*'Dwelling stock'!N52</f>
        <v>1.9561609095113457</v>
      </c>
      <c r="L133">
        <f ca="1">L84*'Dwelling stock'!O52</f>
        <v>1.0635690693551256</v>
      </c>
      <c r="M133">
        <f ca="1">M84*'Dwelling stock'!P52</f>
        <v>40.031356102956181</v>
      </c>
      <c r="N133">
        <f ca="1">N84*'Dwelling stock'!Q52</f>
        <v>2.8974989076080351</v>
      </c>
      <c r="O133">
        <f ca="1">O84*'Dwelling stock'!R52</f>
        <v>26.189452789127355</v>
      </c>
      <c r="P133">
        <f ca="1">P84*'Dwelling stock'!S52</f>
        <v>9.9802430716936765</v>
      </c>
      <c r="Q133">
        <f ca="1">Q84*'Dwelling stock'!T52</f>
        <v>1.7862040086356124</v>
      </c>
      <c r="R133">
        <f ca="1">R84*'Dwelling stock'!U52</f>
        <v>3.1568840500780682</v>
      </c>
      <c r="S133">
        <f ca="1">S84*'Dwelling stock'!V52</f>
        <v>0.30220879568806802</v>
      </c>
      <c r="T133">
        <f ca="1">T84*'Dwelling stock'!W52</f>
        <v>0.19084557551332798</v>
      </c>
      <c r="U133">
        <f ca="1">U84*'Dwelling stock'!X52</f>
        <v>67.836841336360493</v>
      </c>
      <c r="V133">
        <f ca="1">V84*'Dwelling stock'!Y52</f>
        <v>1.676352755592821</v>
      </c>
      <c r="W133">
        <f ca="1">W84*'Dwelling stock'!Z52</f>
        <v>0.15244956519758238</v>
      </c>
      <c r="X133">
        <f ca="1">X84*'Dwelling stock'!AA52</f>
        <v>2.3483090470362762</v>
      </c>
      <c r="Y133">
        <f ca="1">Y84*'Dwelling stock'!AB52</f>
        <v>1.6423208470011424E-2</v>
      </c>
      <c r="Z133">
        <f ca="1">Z84*'Dwelling stock'!AC52</f>
        <v>6.4796976249817817</v>
      </c>
      <c r="AA133">
        <f ca="1">AA84*'Dwelling stock'!AD52</f>
        <v>2.6773764731199554</v>
      </c>
      <c r="AB133">
        <f ca="1">AB84*'Dwelling stock'!AE52</f>
        <v>11.227681954602797</v>
      </c>
      <c r="AC133">
        <f ca="1">AC84*'Dwelling stock'!AF52</f>
        <v>1.5449174708395417</v>
      </c>
      <c r="AD133">
        <f ca="1">AD84*'Dwelling stock'!AG52</f>
        <v>5.90637062574684</v>
      </c>
      <c r="AE133">
        <f ca="1">AE84*'Dwelling stock'!AH52</f>
        <v>5.3325708504401295</v>
      </c>
      <c r="AF133">
        <f ca="1">AF84*'Dwelling stock'!AI52</f>
        <v>1.4656790090687892</v>
      </c>
      <c r="AG133">
        <f ca="1">AG84*'Dwelling stock'!AJ52</f>
        <v>1.7699513666375153</v>
      </c>
      <c r="AH133">
        <f ca="1">AH84*'Dwelling stock'!AK52</f>
        <v>5.9994849857462942</v>
      </c>
      <c r="AI133">
        <f ca="1">AI84*'Dwelling stock'!AL52</f>
        <v>0.93110395475726548</v>
      </c>
      <c r="AJ133">
        <f ca="1">AJ84*'Dwelling stock'!AM52</f>
        <v>1.2339295461800115</v>
      </c>
      <c r="AK133">
        <f ca="1">AK84*'Dwelling stock'!AN52</f>
        <v>0.43038226379811878</v>
      </c>
      <c r="AL133">
        <f ca="1">AL84*'Dwelling stock'!AO52</f>
        <v>0.51278419547524401</v>
      </c>
      <c r="AM133">
        <f ca="1">AM84*'Dwelling stock'!AP52</f>
        <v>3.3526735610914038</v>
      </c>
      <c r="AN133">
        <f ca="1">AN84*'Dwelling stock'!AQ52</f>
        <v>0.66793541814329449</v>
      </c>
    </row>
    <row r="134" spans="1:40">
      <c r="D134">
        <f ca="1">D85*'Dwelling stock'!G55</f>
        <v>2.4770793577163306</v>
      </c>
      <c r="E134">
        <f ca="1">E85*'Dwelling stock'!H55</f>
        <v>2.5158813575818044</v>
      </c>
      <c r="F134">
        <f ca="1">F85*'Dwelling stock'!I55</f>
        <v>1.6206694798881391</v>
      </c>
      <c r="G134">
        <f ca="1">G85*'Dwelling stock'!J55</f>
        <v>2.7093387538399778</v>
      </c>
      <c r="H134">
        <f ca="1">H85*'Dwelling stock'!K55</f>
        <v>0.13504038211778541</v>
      </c>
      <c r="I134">
        <f ca="1">I85*'Dwelling stock'!L55</f>
        <v>5.3837286185290907</v>
      </c>
      <c r="J134">
        <f ca="1">J85*'Dwelling stock'!M55</f>
        <v>28.382203698293633</v>
      </c>
      <c r="K134">
        <f ca="1">K85*'Dwelling stock'!N55</f>
        <v>0.6798648434485125</v>
      </c>
      <c r="L134">
        <f ca="1">L85*'Dwelling stock'!O55</f>
        <v>0.75232238680072039</v>
      </c>
      <c r="M134">
        <f ca="1">M85*'Dwelling stock'!P55</f>
        <v>17.857015844153157</v>
      </c>
      <c r="N134">
        <f ca="1">N85*'Dwelling stock'!Q55</f>
        <v>1.895030682078767</v>
      </c>
      <c r="O134">
        <f ca="1">O85*'Dwelling stock'!R55</f>
        <v>16.654177893960775</v>
      </c>
      <c r="P134">
        <f ca="1">P85*'Dwelling stock'!S55</f>
        <v>7.5016821563116389</v>
      </c>
      <c r="Q134">
        <f ca="1">Q85*'Dwelling stock'!T55</f>
        <v>1.4161313583696076</v>
      </c>
      <c r="R134">
        <f ca="1">R85*'Dwelling stock'!U55</f>
        <v>3.2220649217638577</v>
      </c>
      <c r="S134">
        <f ca="1">S85*'Dwelling stock'!V55</f>
        <v>0.18429971479743235</v>
      </c>
      <c r="T134">
        <f ca="1">T85*'Dwelling stock'!W55</f>
        <v>0.12238279873536131</v>
      </c>
      <c r="U134">
        <f ca="1">U85*'Dwelling stock'!X55</f>
        <v>36.466272333130988</v>
      </c>
      <c r="V134">
        <f ca="1">V85*'Dwelling stock'!Y55</f>
        <v>1.676352755592821</v>
      </c>
      <c r="W134">
        <f ca="1">W85*'Dwelling stock'!Z55</f>
        <v>0.10046980856626356</v>
      </c>
      <c r="X134">
        <f ca="1">X85*'Dwelling stock'!AA55</f>
        <v>1.4108872374935808</v>
      </c>
      <c r="Y134">
        <f ca="1">Y85*'Dwelling stock'!AB55</f>
        <v>1.7924516766584665E-2</v>
      </c>
      <c r="Z134">
        <f ca="1">Z85*'Dwelling stock'!AC55</f>
        <v>3.813553347719782</v>
      </c>
      <c r="AA134">
        <f ca="1">AA85*'Dwelling stock'!AD55</f>
        <v>2.2170834766969003</v>
      </c>
      <c r="AB134">
        <f ca="1">AB85*'Dwelling stock'!AE55</f>
        <v>11.606927346879999</v>
      </c>
      <c r="AC134">
        <f ca="1">AC85*'Dwelling stock'!AF55</f>
        <v>1.2790716243664393</v>
      </c>
      <c r="AD134">
        <f ca="1">AD85*'Dwelling stock'!AG55</f>
        <v>7.0084219762217765</v>
      </c>
      <c r="AE134">
        <f ca="1">AE85*'Dwelling stock'!AH55</f>
        <v>3.616608738482062</v>
      </c>
      <c r="AF134">
        <f ca="1">AF85*'Dwelling stock'!AI55</f>
        <v>0.588471548451031</v>
      </c>
      <c r="AG134">
        <f ca="1">AG85*'Dwelling stock'!AJ55</f>
        <v>1.74639607427939</v>
      </c>
      <c r="AH134">
        <f ca="1">AH85*'Dwelling stock'!AK55</f>
        <v>2.7687617727494969</v>
      </c>
      <c r="AI134">
        <f ca="1">AI85*'Dwelling stock'!AL55</f>
        <v>0.70065633062743771</v>
      </c>
      <c r="AJ134">
        <f ca="1">AJ85*'Dwelling stock'!AM55</f>
        <v>0.91205336208135679</v>
      </c>
      <c r="AK134">
        <f ca="1">AK85*'Dwelling stock'!AN55</f>
        <v>0.31727910513677854</v>
      </c>
      <c r="AL134">
        <f ca="1">AL85*'Dwelling stock'!AO55</f>
        <v>0.41696454696049828</v>
      </c>
      <c r="AM134">
        <f ca="1">AM85*'Dwelling stock'!AP55</f>
        <v>2.4781132786884434</v>
      </c>
      <c r="AN134">
        <f ca="1">AN85*'Dwelling stock'!AQ55</f>
        <v>0.49370139944921704</v>
      </c>
    </row>
    <row r="135" spans="1:40">
      <c r="D135">
        <f ca="1">D86*'Dwelling stock'!G58</f>
        <v>2.4886194368967032</v>
      </c>
      <c r="E135">
        <f ca="1">E86*'Dwelling stock'!H58</f>
        <v>1.853249974028887</v>
      </c>
      <c r="F135">
        <f ca="1">F86*'Dwelling stock'!I58</f>
        <v>0.76557930265220397</v>
      </c>
      <c r="G135">
        <f ca="1">G86*'Dwelling stock'!J58</f>
        <v>2.7219608701433442</v>
      </c>
      <c r="H135">
        <f ca="1">H86*'Dwelling stock'!K58</f>
        <v>0.10056877150712548</v>
      </c>
      <c r="I135">
        <f ca="1">I86*'Dwelling stock'!L58</f>
        <v>2.1118046430990529</v>
      </c>
      <c r="J135">
        <f ca="1">J86*'Dwelling stock'!M58</f>
        <v>14.911051317617339</v>
      </c>
      <c r="K135">
        <f ca="1">K86*'Dwelling stock'!N58</f>
        <v>0.68040377208367442</v>
      </c>
      <c r="L135">
        <f ca="1">L86*'Dwelling stock'!O58</f>
        <v>0.21884518927780217</v>
      </c>
      <c r="M135">
        <f ca="1">M86*'Dwelling stock'!P58</f>
        <v>17.681427664024785</v>
      </c>
      <c r="N135">
        <f ca="1">N86*'Dwelling stock'!Q58</f>
        <v>1.3712621864964809</v>
      </c>
      <c r="O135">
        <f ca="1">O86*'Dwelling stock'!R58</f>
        <v>5.8733780276058676</v>
      </c>
      <c r="P135">
        <f ca="1">P86*'Dwelling stock'!S58</f>
        <v>5.0467456438797411</v>
      </c>
      <c r="Q135">
        <f ca="1">Q86*'Dwelling stock'!T58</f>
        <v>0.546171796156523</v>
      </c>
      <c r="R135">
        <f ca="1">R86*'Dwelling stock'!U58</f>
        <v>1.3289513038744118</v>
      </c>
      <c r="S135">
        <f ca="1">S86*'Dwelling stock'!V58</f>
        <v>0.2108231993612647</v>
      </c>
      <c r="T135">
        <f ca="1">T86*'Dwelling stock'!W58</f>
        <v>8.8463536370803689E-2</v>
      </c>
      <c r="U135">
        <f ca="1">U86*'Dwelling stock'!X58</f>
        <v>12.392396835232901</v>
      </c>
      <c r="V135">
        <f ca="1">V86*'Dwelling stock'!Y58</f>
        <v>0.52129158481143778</v>
      </c>
      <c r="W135">
        <f ca="1">W86*'Dwelling stock'!Z58</f>
        <v>6.8549601314712064E-2</v>
      </c>
      <c r="X135">
        <f ca="1">X86*'Dwelling stock'!AA58</f>
        <v>0.43827870087641402</v>
      </c>
      <c r="Y135">
        <f ca="1">Y86*'Dwelling stock'!AB58</f>
        <v>1.718502970706217E-2</v>
      </c>
      <c r="Z135">
        <f ca="1">Z86*'Dwelling stock'!AC58</f>
        <v>3.0136633482886466</v>
      </c>
      <c r="AA135">
        <f ca="1">AA86*'Dwelling stock'!AD58</f>
        <v>2.1936947425467639</v>
      </c>
      <c r="AB135">
        <f ca="1">AB86*'Dwelling stock'!AE58</f>
        <v>11.606927346879999</v>
      </c>
      <c r="AC135">
        <f ca="1">AC86*'Dwelling stock'!AF58</f>
        <v>1.2798999997204341</v>
      </c>
      <c r="AD135">
        <f ca="1">AD86*'Dwelling stock'!AG58</f>
        <v>0.96513285800495163</v>
      </c>
      <c r="AE135">
        <f ca="1">AE86*'Dwelling stock'!AH58</f>
        <v>2.6602760434322237</v>
      </c>
      <c r="AF135">
        <f ca="1">AF86*'Dwelling stock'!AI58</f>
        <v>0.44180242149825333</v>
      </c>
      <c r="AG135">
        <f ca="1">AG86*'Dwelling stock'!AJ58</f>
        <v>0.88501389536280395</v>
      </c>
      <c r="AH135">
        <f ca="1">AH86*'Dwelling stock'!AK58</f>
        <v>1.978364286096205</v>
      </c>
      <c r="AI135">
        <f ca="1">AI86*'Dwelling stock'!AL58</f>
        <v>0.47136551652960879</v>
      </c>
      <c r="AJ135">
        <f ca="1">AJ86*'Dwelling stock'!AM58</f>
        <v>0.42452522991842767</v>
      </c>
      <c r="AK135">
        <f ca="1">AK86*'Dwelling stock'!AN58</f>
        <v>0.14744435195971964</v>
      </c>
      <c r="AL135">
        <f ca="1">AL86*'Dwelling stock'!AO58</f>
        <v>0.1968146175637798</v>
      </c>
      <c r="AM135">
        <f ca="1">AM86*'Dwelling stock'!AP58</f>
        <v>1.1534649759947682</v>
      </c>
      <c r="AN135">
        <f ca="1">AN86*'Dwelling stock'!AQ58</f>
        <v>0.22979872541002988</v>
      </c>
    </row>
    <row r="137" spans="1:40">
      <c r="D137">
        <f ca="1">SUM(D119:D135)</f>
        <v>142.70428325770465</v>
      </c>
      <c r="E137">
        <f t="shared" ref="E137:T137" ca="1" si="89">SUM(E119:E135)</f>
        <v>214.27533145037992</v>
      </c>
      <c r="F137">
        <f ca="1">SUM(F119:F135)</f>
        <v>49.876342843251074</v>
      </c>
      <c r="G137">
        <f t="shared" ca="1" si="89"/>
        <v>150.73688285405154</v>
      </c>
      <c r="H137">
        <f t="shared" ca="1" si="89"/>
        <v>5.3904285715491742</v>
      </c>
      <c r="I137">
        <f t="shared" ca="1" si="89"/>
        <v>132.16439742556128</v>
      </c>
      <c r="J137">
        <f t="shared" ca="1" si="89"/>
        <v>1341.83546248004</v>
      </c>
      <c r="K137">
        <f t="shared" ca="1" si="89"/>
        <v>99.139349564208473</v>
      </c>
      <c r="L137">
        <f t="shared" ca="1" si="89"/>
        <v>10.985378877050838</v>
      </c>
      <c r="M137">
        <f t="shared" ca="1" si="89"/>
        <v>306.54348521110308</v>
      </c>
      <c r="N137">
        <f t="shared" ca="1" si="89"/>
        <v>90.70132945605684</v>
      </c>
      <c r="O137">
        <f t="shared" ca="1" si="89"/>
        <v>925.53149805220585</v>
      </c>
      <c r="P137">
        <f t="shared" ca="1" si="89"/>
        <v>106.99517274980242</v>
      </c>
      <c r="Q137">
        <f t="shared" ca="1" si="89"/>
        <v>47.530050772572018</v>
      </c>
      <c r="R137">
        <f t="shared" ca="1" si="89"/>
        <v>140.85953593026403</v>
      </c>
      <c r="S137">
        <f t="shared" ca="1" si="89"/>
        <v>67.167765194870512</v>
      </c>
      <c r="T137">
        <f t="shared" ca="1" si="89"/>
        <v>4.7417905390567361</v>
      </c>
      <c r="U137">
        <f ca="1">SUM(U119:U135)</f>
        <v>657.24888236134916</v>
      </c>
      <c r="V137">
        <f t="shared" ref="V137:AN137" ca="1" si="90">SUM(V119:V135)</f>
        <v>35.548958038944349</v>
      </c>
      <c r="W137">
        <f t="shared" ca="1" si="90"/>
        <v>7.4991542991951841</v>
      </c>
      <c r="X137">
        <f t="shared" ca="1" si="90"/>
        <v>28.103350432007385</v>
      </c>
      <c r="Y137">
        <f t="shared" ca="1" si="90"/>
        <v>0.89383028994080604</v>
      </c>
      <c r="Z137">
        <f t="shared" ca="1" si="90"/>
        <v>259.45162748173033</v>
      </c>
      <c r="AA137">
        <f t="shared" ca="1" si="90"/>
        <v>63.362351999425265</v>
      </c>
      <c r="AB137">
        <f t="shared" ca="1" si="90"/>
        <v>417.23869681420484</v>
      </c>
      <c r="AC137">
        <f t="shared" ca="1" si="90"/>
        <v>38.806056941010667</v>
      </c>
      <c r="AD137">
        <f t="shared" ca="1" si="90"/>
        <v>207.75132762108109</v>
      </c>
      <c r="AE137">
        <f t="shared" ca="1" si="90"/>
        <v>149.111715678194</v>
      </c>
      <c r="AF137">
        <f t="shared" ca="1" si="90"/>
        <v>22.908274530719424</v>
      </c>
      <c r="AG137">
        <f t="shared" ca="1" si="90"/>
        <v>62.21353588319532</v>
      </c>
      <c r="AH137">
        <f t="shared" ca="1" si="90"/>
        <v>994.5188859749461</v>
      </c>
      <c r="AI137">
        <f t="shared" ca="1" si="90"/>
        <v>11.556132760649051</v>
      </c>
      <c r="AJ137">
        <f t="shared" ca="1" si="90"/>
        <v>21.117765335007238</v>
      </c>
      <c r="AK137">
        <f t="shared" ca="1" si="90"/>
        <v>5.339639892747476</v>
      </c>
      <c r="AL137">
        <f t="shared" ca="1" si="90"/>
        <v>10.483216469246045</v>
      </c>
      <c r="AM137">
        <f t="shared" ca="1" si="90"/>
        <v>57.37845708225106</v>
      </c>
      <c r="AN137">
        <f t="shared" ca="1" si="90"/>
        <v>11.431206476056193</v>
      </c>
    </row>
    <row r="138" spans="1:40">
      <c r="A138" s="516" t="s">
        <v>520</v>
      </c>
      <c r="B138" s="516" t="s">
        <v>266</v>
      </c>
      <c r="C138" s="516" t="s">
        <v>606</v>
      </c>
      <c r="D138" s="764">
        <f ca="1">D137/'Dwelling stock'!G65*D23</f>
        <v>4.0057465039465723E-2</v>
      </c>
      <c r="E138" s="764">
        <f ca="1">E137/'Dwelling stock'!H65*E23</f>
        <v>4.7374603460176863E-2</v>
      </c>
      <c r="F138" s="764">
        <f ca="1">F137/'Dwelling stock'!I65*F23</f>
        <v>1.6183109293721958E-2</v>
      </c>
      <c r="G138" s="764">
        <f ca="1">G137/'Dwelling stock'!J65*G23</f>
        <v>3.8948086107708009E-2</v>
      </c>
      <c r="H138" s="764">
        <f ca="1">H137/'Dwelling stock'!K65*H23</f>
        <v>1.8018727924026184E-2</v>
      </c>
      <c r="I138" s="764">
        <f ca="1">I137/'Dwelling stock'!L65*I23</f>
        <v>3.3099022646020854E-2</v>
      </c>
      <c r="J138" s="764">
        <f ca="1">J137/'Dwelling stock'!M65*J23</f>
        <v>3.4221703871050044E-2</v>
      </c>
      <c r="K138" s="764">
        <f ca="1">K137/'Dwelling stock'!N65*K23</f>
        <v>3.712124777530245E-2</v>
      </c>
      <c r="L138" s="764">
        <f ca="1">L137/'Dwelling stock'!O65*L23</f>
        <v>1.6858566153664462E-2</v>
      </c>
      <c r="M138" s="764">
        <f ca="1">M137/'Dwelling stock'!P65*M23</f>
        <v>1.8310527777377423E-2</v>
      </c>
      <c r="N138" s="764">
        <f ca="1">N137/'Dwelling stock'!Q65*N23</f>
        <v>3.6295049802343674E-2</v>
      </c>
      <c r="O138" s="764">
        <f ca="1">O137/'Dwelling stock'!R65*O23</f>
        <v>3.4230008138446733E-2</v>
      </c>
      <c r="P138" s="764">
        <f ca="1">P137/'Dwelling stock'!S65*P23</f>
        <v>2.7810645335370393E-2</v>
      </c>
      <c r="Q138" s="764">
        <f ca="1">Q137/'Dwelling stock'!T65*Q23</f>
        <v>3.2028336100115913E-2</v>
      </c>
      <c r="R138" s="764">
        <f ca="1">R137/'Dwelling stock'!U65*R23</f>
        <v>3.4970093329261175E-2</v>
      </c>
      <c r="S138" s="764">
        <f ca="1">S137/'Dwelling stock'!V65*S23</f>
        <v>4.0722347141609695E-2</v>
      </c>
      <c r="T138" s="764">
        <f ca="1">T137/'Dwelling stock'!W65*T23</f>
        <v>3.1308258785703431E-2</v>
      </c>
      <c r="U138" s="764">
        <f ca="1">U137/'Dwelling stock'!X65*U23</f>
        <v>2.4393144386926552E-2</v>
      </c>
      <c r="V138" s="764">
        <f ca="1">V137/'Dwelling stock'!Y65*V23</f>
        <v>2.3130032213814301E-2</v>
      </c>
      <c r="W138" s="764">
        <f ca="1">W137/'Dwelling stock'!Z65*W23</f>
        <v>3.9889118824916518E-2</v>
      </c>
      <c r="X138" s="764">
        <f ca="1">X137/'Dwelling stock'!AA65*X23</f>
        <v>2.8438699577424377E-2</v>
      </c>
      <c r="Y138" s="764">
        <f ca="1">Y137/'Dwelling stock'!AB65*Y23</f>
        <v>6.3016799911224351E-3</v>
      </c>
      <c r="Z138" s="764">
        <f ca="1">Z137/'Dwelling stock'!AC65*Z23</f>
        <v>3.7134422536665088E-2</v>
      </c>
      <c r="AA138" s="764">
        <f ca="1">AA137/'Dwelling stock'!AD65*AA23</f>
        <v>2.7859396173267589E-2</v>
      </c>
      <c r="AB138" s="764">
        <f ca="1">AB137/'Dwelling stock'!AE65*AB23</f>
        <v>3.1086179169587606E-2</v>
      </c>
      <c r="AC138" s="764">
        <f ca="1">AC137/'Dwelling stock'!AF65*AC23</f>
        <v>1.0229025753112858E-2</v>
      </c>
      <c r="AD138" s="764">
        <f ca="1">AD137/'Dwelling stock'!AG65*AD23</f>
        <v>2.8220825279389631E-2</v>
      </c>
      <c r="AE138" s="764">
        <f ca="1">AE137/'Dwelling stock'!AH65*AE23</f>
        <v>3.5749632153906405E-2</v>
      </c>
      <c r="AF138" s="764">
        <f ca="1">AF137/'Dwelling stock'!AI65*AF23</f>
        <v>2.9937654093621324E-2</v>
      </c>
      <c r="AG138" s="764">
        <f ca="1">AG137/'Dwelling stock'!AJ65*AG23</f>
        <v>3.5982380499245403E-2</v>
      </c>
      <c r="AH138" s="764">
        <f ca="1">AH137/'Dwelling stock'!AK65*AH23</f>
        <v>3.8974812441438814E-2</v>
      </c>
      <c r="AI138" s="764">
        <f ca="1">AI137/'Dwelling stock'!AL65*AI23</f>
        <v>1.0860550247162846E-2</v>
      </c>
      <c r="AJ138" s="764">
        <f ca="1">AJ137/'Dwelling stock'!AM65*AJ23</f>
        <v>1.6367690293266231E-2</v>
      </c>
      <c r="AK138" s="764">
        <f ca="1">AK137/'Dwelling stock'!AN65*AK23</f>
        <v>2.5843955891298509E-2</v>
      </c>
      <c r="AL138" s="764">
        <f ca="1">AL137/'Dwelling stock'!AO65*AL23</f>
        <v>1.5271056101273542E-2</v>
      </c>
      <c r="AM138" s="764">
        <f ca="1">AM137/'Dwelling stock'!AP65*AM23</f>
        <v>2.3208744000983477E-2</v>
      </c>
      <c r="AN138" s="764">
        <f ca="1">AN137/'Dwelling stock'!AQ65*AN23</f>
        <v>1.5817047570100634E-2</v>
      </c>
    </row>
    <row r="139" spans="1:40">
      <c r="D139">
        <f ca="1">D138/D20*'TechHeat-RES'!F307</f>
        <v>1.1564077611651076</v>
      </c>
      <c r="E139">
        <f ca="1">E138/E20*'TechHeat-RES'!G307</f>
        <v>1.1850589733802208</v>
      </c>
      <c r="F139">
        <f ca="1">F138/F20*'TechHeat-RES'!H307</f>
        <v>1.8154191845169403</v>
      </c>
      <c r="G139">
        <f ca="1">G138/G20*'TechHeat-RES'!I307</f>
        <v>1.1195753477153574</v>
      </c>
      <c r="H139">
        <f ca="1">H138/H20*'TechHeat-RES'!J307</f>
        <v>1.714592886326868</v>
      </c>
      <c r="I139">
        <f ca="1">I138/I20*'TechHeat-RES'!K307</f>
        <v>0.95862938849766821</v>
      </c>
      <c r="J139">
        <f ca="1">J138/J20*'TechHeat-RES'!L307</f>
        <v>1.01780941680588</v>
      </c>
      <c r="K139">
        <f ca="1">K138/K20*'TechHeat-RES'!M307</f>
        <v>0.90172993612588037</v>
      </c>
      <c r="L139">
        <f ca="1">L138/L20*'TechHeat-RES'!N307</f>
        <v>0.57340569231259131</v>
      </c>
      <c r="M139">
        <f ca="1">M138/M20*'TechHeat-RES'!O307</f>
        <v>1.4358104612203304</v>
      </c>
      <c r="N139">
        <f ca="1">N138/N20*'TechHeat-RES'!P307</f>
        <v>0.61424983377869546</v>
      </c>
      <c r="O139">
        <f ca="1">O138/O20*'TechHeat-RES'!Q307</f>
        <v>1.1657728280803425</v>
      </c>
      <c r="P139">
        <f ca="1">P138/P20*'TechHeat-RES'!R307</f>
        <v>1.6744940320200175</v>
      </c>
      <c r="Q139">
        <f ca="1">Q138/Q20*'TechHeat-RES'!S307</f>
        <v>1.1454138711206825</v>
      </c>
      <c r="R139">
        <f ca="1">R138/R20*'TechHeat-RES'!T307</f>
        <v>1.1642503975398468</v>
      </c>
      <c r="S139">
        <f ca="1">S138/S20*'TechHeat-RES'!U307</f>
        <v>1.1624962414012443</v>
      </c>
      <c r="T139">
        <f ca="1">T138/T20*'TechHeat-RES'!V307</f>
        <v>0.39067564751250916</v>
      </c>
      <c r="U139">
        <f ca="1">U138/U20*'TechHeat-RES'!W307</f>
        <v>1.1471802940607216</v>
      </c>
      <c r="V139">
        <f ca="1">V138/V20*'TechHeat-RES'!X307</f>
        <v>1.2668824506329159</v>
      </c>
      <c r="W139">
        <f ca="1">W138/W20*'TechHeat-RES'!Y307</f>
        <v>0.69021901321238499</v>
      </c>
      <c r="X139">
        <f ca="1">X138/X20*'TechHeat-RES'!Z307</f>
        <v>1.0811038329196285</v>
      </c>
      <c r="Y139">
        <f ca="1">Y138/Y20*'TechHeat-RES'!AA307</f>
        <v>3.1310304335441437</v>
      </c>
      <c r="Z139">
        <f ca="1">Z138/Z20*'TechHeat-RES'!AB307</f>
        <v>1.069058741207159</v>
      </c>
      <c r="AA139">
        <f ca="1">AA138/AA20*'TechHeat-RES'!AC307</f>
        <v>1.1252173731631281</v>
      </c>
      <c r="AB139">
        <f ca="1">AB138/AB20*'TechHeat-RES'!AD307</f>
        <v>1.0766763862826647</v>
      </c>
      <c r="AC139">
        <f ca="1">AC138/AC20*'TechHeat-RES'!AE307</f>
        <v>2.9657124153397096</v>
      </c>
      <c r="AD139">
        <f ca="1">AD138/AD20*'TechHeat-RES'!AF307</f>
        <v>1.614258597302253</v>
      </c>
      <c r="AE139">
        <f ca="1">AE138/AE20*'TechHeat-RES'!AG307</f>
        <v>0.79116071717600978</v>
      </c>
      <c r="AF139">
        <f ca="1">AF138/AF20*'TechHeat-RES'!AH307</f>
        <v>1.0543436569004798</v>
      </c>
      <c r="AG139">
        <f ca="1">AG138/AG20*'TechHeat-RES'!AI307</f>
        <v>1.4947683368677041</v>
      </c>
      <c r="AH139">
        <f ca="1">AH138/AH20*'TechHeat-RES'!AJ307</f>
        <v>1.1122081672075468</v>
      </c>
      <c r="AI139">
        <f ca="1">AI138/AI20*'TechHeat-RES'!AK307</f>
        <v>3.1948427999531948</v>
      </c>
      <c r="AJ139">
        <f ca="1">AJ138/AJ20*'TechHeat-RES'!AL307</f>
        <v>2.2184491444104366</v>
      </c>
      <c r="AK139">
        <f ca="1">AK138/AK20*'TechHeat-RES'!AM307</f>
        <v>1.2264037254394491</v>
      </c>
      <c r="AL139">
        <f ca="1">AL138/AL20*'TechHeat-RES'!AN307</f>
        <v>1.9780859180608248</v>
      </c>
      <c r="AM139">
        <f ca="1">AM138/AM20*'TechHeat-RES'!AO307</f>
        <v>1.4387081138603106</v>
      </c>
      <c r="AN139">
        <f ca="1">AN138/AN20*'TechHeat-RES'!AP307</f>
        <v>2.1110518988285056</v>
      </c>
    </row>
    <row r="141" spans="1:40">
      <c r="O141">
        <f ca="1">O137*O23</f>
        <v>722.07465938099926</v>
      </c>
    </row>
    <row r="143" spans="1:40">
      <c r="O143">
        <f ca="1">O26*O23</f>
        <v>3.4516206260256199E-2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8"/>
  </sheetPr>
  <dimension ref="A1:CH396"/>
  <sheetViews>
    <sheetView zoomScaleNormal="100" workbookViewId="0">
      <pane xSplit="5" ySplit="4" topLeftCell="F352" activePane="bottomRight" state="frozen"/>
      <selection pane="topRight" activeCell="F1" sqref="F1"/>
      <selection pane="bottomLeft" activeCell="A5" sqref="A5"/>
      <selection pane="bottomRight" activeCell="D5" sqref="D5"/>
    </sheetView>
  </sheetViews>
  <sheetFormatPr defaultColWidth="9.109375" defaultRowHeight="14.4"/>
  <cols>
    <col min="1" max="1" width="19" customWidth="1"/>
    <col min="2" max="2" width="2" bestFit="1" customWidth="1"/>
    <col min="3" max="3" width="22.88671875" customWidth="1"/>
    <col min="4" max="4" width="17.33203125" customWidth="1"/>
    <col min="5" max="5" width="24.88671875" bestFit="1" customWidth="1"/>
    <col min="6" max="8" width="12.5546875" bestFit="1" customWidth="1"/>
    <col min="9" max="9" width="11.5546875" bestFit="1" customWidth="1"/>
    <col min="10" max="10" width="12.5546875" bestFit="1" customWidth="1"/>
    <col min="11" max="11" width="13.6640625" bestFit="1" customWidth="1"/>
    <col min="12" max="12" width="11.5546875" bestFit="1" customWidth="1"/>
    <col min="13" max="13" width="10.5546875" bestFit="1" customWidth="1"/>
    <col min="14" max="14" width="9.5546875" bestFit="1" customWidth="1"/>
    <col min="15" max="15" width="11.5546875" bestFit="1" customWidth="1"/>
    <col min="16" max="16" width="10.5546875" bestFit="1" customWidth="1"/>
    <col min="17" max="17" width="11.5546875" bestFit="1" customWidth="1"/>
    <col min="18" max="19" width="10.5546875" bestFit="1" customWidth="1"/>
    <col min="20" max="20" width="11.5546875" bestFit="1" customWidth="1"/>
    <col min="21" max="21" width="10.5546875" bestFit="1" customWidth="1"/>
    <col min="22" max="22" width="9.5546875" bestFit="1" customWidth="1"/>
    <col min="23" max="23" width="11.5546875" bestFit="1" customWidth="1"/>
    <col min="24" max="27" width="9.5546875" bestFit="1" customWidth="1"/>
    <col min="28" max="28" width="11.5546875" bestFit="1" customWidth="1"/>
    <col min="29" max="29" width="10.5546875" bestFit="1" customWidth="1"/>
    <col min="30" max="30" width="11.5546875" bestFit="1" customWidth="1"/>
    <col min="31" max="31" width="9.5546875" bestFit="1" customWidth="1"/>
    <col min="32" max="33" width="10.5546875" bestFit="1" customWidth="1"/>
    <col min="34" max="34" width="9.5546875" bestFit="1" customWidth="1"/>
    <col min="35" max="35" width="10.5546875" bestFit="1" customWidth="1"/>
    <col min="36" max="36" width="12.5546875" bestFit="1" customWidth="1"/>
    <col min="37" max="42" width="9.5546875" bestFit="1" customWidth="1"/>
  </cols>
  <sheetData>
    <row r="1" spans="1:86">
      <c r="E1" s="818" t="s">
        <v>936</v>
      </c>
      <c r="F1" s="817">
        <v>1</v>
      </c>
      <c r="G1" s="817">
        <v>1</v>
      </c>
      <c r="H1" s="817">
        <v>1</v>
      </c>
      <c r="I1" s="817">
        <v>1</v>
      </c>
      <c r="J1" s="817">
        <v>1</v>
      </c>
      <c r="K1" s="817">
        <v>1</v>
      </c>
      <c r="L1" s="817">
        <v>1</v>
      </c>
      <c r="M1" s="817">
        <v>1</v>
      </c>
      <c r="N1" s="817">
        <v>1</v>
      </c>
      <c r="O1" s="817">
        <v>1</v>
      </c>
      <c r="P1" s="817">
        <v>1</v>
      </c>
      <c r="Q1" s="817">
        <v>1</v>
      </c>
      <c r="R1" s="817">
        <v>1</v>
      </c>
      <c r="S1" s="817">
        <v>1</v>
      </c>
      <c r="T1" s="817">
        <v>1</v>
      </c>
      <c r="U1" s="817">
        <v>1</v>
      </c>
      <c r="V1" s="817">
        <v>1</v>
      </c>
      <c r="W1" s="817">
        <v>1</v>
      </c>
      <c r="X1" s="817">
        <v>1</v>
      </c>
      <c r="Y1" s="817">
        <v>1</v>
      </c>
      <c r="Z1" s="817">
        <v>1</v>
      </c>
      <c r="AA1" s="817">
        <v>1</v>
      </c>
      <c r="AB1" s="817">
        <v>1</v>
      </c>
      <c r="AC1" s="817">
        <v>1</v>
      </c>
      <c r="AD1" s="817">
        <v>1</v>
      </c>
      <c r="AE1" s="817">
        <v>1</v>
      </c>
      <c r="AF1" s="817">
        <v>1</v>
      </c>
      <c r="AG1" s="817">
        <v>1</v>
      </c>
      <c r="AH1" s="817">
        <v>1</v>
      </c>
      <c r="AI1" s="817">
        <v>1</v>
      </c>
      <c r="AJ1" s="817">
        <v>1</v>
      </c>
      <c r="AK1" s="817">
        <v>1</v>
      </c>
      <c r="AL1" s="817">
        <v>1</v>
      </c>
      <c r="AM1" s="817">
        <v>1</v>
      </c>
      <c r="AN1" s="817">
        <v>1</v>
      </c>
      <c r="AO1" s="817">
        <v>1</v>
      </c>
      <c r="AP1" s="817">
        <v>1</v>
      </c>
    </row>
    <row r="3" spans="1:86">
      <c r="E3" s="533" t="s">
        <v>598</v>
      </c>
      <c r="AX3" s="542"/>
    </row>
    <row r="4" spans="1:86" ht="15" thickBot="1">
      <c r="C4" s="539" t="s">
        <v>545</v>
      </c>
      <c r="D4" s="539" t="s">
        <v>585</v>
      </c>
      <c r="E4" s="539" t="s">
        <v>592</v>
      </c>
      <c r="F4" s="540" t="s">
        <v>88</v>
      </c>
      <c r="G4" s="540" t="s">
        <v>89</v>
      </c>
      <c r="H4" s="540" t="s">
        <v>90</v>
      </c>
      <c r="I4" s="540" t="s">
        <v>91</v>
      </c>
      <c r="J4" s="540" t="s">
        <v>92</v>
      </c>
      <c r="K4" s="540" t="s">
        <v>93</v>
      </c>
      <c r="L4" s="540" t="s">
        <v>94</v>
      </c>
      <c r="M4" s="540" t="s">
        <v>95</v>
      </c>
      <c r="N4" s="540" t="s">
        <v>96</v>
      </c>
      <c r="O4" s="540" t="s">
        <v>97</v>
      </c>
      <c r="P4" s="540" t="s">
        <v>98</v>
      </c>
      <c r="Q4" s="540" t="s">
        <v>99</v>
      </c>
      <c r="R4" s="540" t="s">
        <v>205</v>
      </c>
      <c r="S4" s="540" t="s">
        <v>118</v>
      </c>
      <c r="T4" s="540" t="s">
        <v>100</v>
      </c>
      <c r="U4" s="540" t="s">
        <v>101</v>
      </c>
      <c r="V4" s="540" t="s">
        <v>102</v>
      </c>
      <c r="W4" s="540" t="s">
        <v>103</v>
      </c>
      <c r="X4" s="540" t="s">
        <v>104</v>
      </c>
      <c r="Y4" s="540" t="s">
        <v>105</v>
      </c>
      <c r="Z4" s="540" t="s">
        <v>106</v>
      </c>
      <c r="AA4" s="540" t="s">
        <v>107</v>
      </c>
      <c r="AB4" s="540" t="s">
        <v>108</v>
      </c>
      <c r="AC4" s="540" t="s">
        <v>109</v>
      </c>
      <c r="AD4" s="540" t="s">
        <v>110</v>
      </c>
      <c r="AE4" s="540" t="s">
        <v>111</v>
      </c>
      <c r="AF4" s="540" t="s">
        <v>112</v>
      </c>
      <c r="AG4" s="540" t="s">
        <v>113</v>
      </c>
      <c r="AH4" s="540" t="s">
        <v>114</v>
      </c>
      <c r="AI4" s="540" t="s">
        <v>115</v>
      </c>
      <c r="AJ4" s="540" t="s">
        <v>52</v>
      </c>
      <c r="AK4" s="540" t="s">
        <v>116</v>
      </c>
      <c r="AL4" s="540" t="s">
        <v>117</v>
      </c>
      <c r="AM4" s="540" t="s">
        <v>119</v>
      </c>
      <c r="AN4" s="540" t="s">
        <v>120</v>
      </c>
      <c r="AO4" s="540" t="s">
        <v>121</v>
      </c>
      <c r="AP4" s="540" t="s">
        <v>122</v>
      </c>
      <c r="AR4" s="542"/>
      <c r="AW4" t="s">
        <v>869</v>
      </c>
      <c r="AX4" s="509" t="s">
        <v>870</v>
      </c>
      <c r="AY4" s="509" t="s">
        <v>871</v>
      </c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</row>
    <row r="5" spans="1:86">
      <c r="A5" t="str">
        <f>TechComm!T23</f>
        <v>Electricity</v>
      </c>
      <c r="C5" t="str">
        <f>TechComm!L8</f>
        <v>R_ES-SH-FL_ELC-R</v>
      </c>
      <c r="D5" t="s">
        <v>976</v>
      </c>
      <c r="E5" t="str">
        <f>TechComm!C22</f>
        <v>R_ES-FL-SpHeat</v>
      </c>
      <c r="F5" s="814">
        <f ca="1">IFERROR('All Stock'!D$16*VLOOKUP($A5,'IDEES okt 2017 template'!$C$173:$AN$181,'IDEES okt 2017 template'!D$162,FALSE),"")</f>
        <v>110.41083431551046</v>
      </c>
      <c r="G5" s="814">
        <f ca="1">IFERROR('All Stock'!E$16*VLOOKUP($A5,'IDEES okt 2017 template'!$C$173:$AN$181,'IDEES okt 2017 template'!E$162,FALSE),"")</f>
        <v>35.4693637956115</v>
      </c>
      <c r="H5" s="814">
        <f ca="1">IFERROR('All Stock'!F$16*VLOOKUP($A5,'IDEES okt 2017 template'!$C$173:$AN$181,'IDEES okt 2017 template'!F$162,FALSE),"")</f>
        <v>54.743335623180421</v>
      </c>
      <c r="I5" s="854">
        <f ca="1">IFERROR('All Stock'!G$16*VLOOKUP($A5,'IDEES okt 2017 template'!$C$173:$AN$181,'IDEES okt 2017 template'!G$162,FALSE),"")-I6-I7</f>
        <v>50.080329239119742</v>
      </c>
      <c r="J5" s="814">
        <f ca="1">IFERROR('All Stock'!H$16*VLOOKUP($A5,'IDEES okt 2017 template'!$C$173:$AN$181,'IDEES okt 2017 template'!H$162,FALSE),"")</f>
        <v>10.826987293403491</v>
      </c>
      <c r="K5" s="814">
        <f ca="1">IFERROR('All Stock'!I$16*VLOOKUP($A5,'IDEES okt 2017 template'!$C$173:$AN$181,'IDEES okt 2017 template'!I$162,FALSE),"")</f>
        <v>109.03322877157296</v>
      </c>
      <c r="L5" s="814">
        <f ca="1">IFERROR('All Stock'!J$16*VLOOKUP($A5,'IDEES okt 2017 template'!$C$173:$AN$181,'IDEES okt 2017 template'!J$162,FALSE),"")</f>
        <v>883.70277201382646</v>
      </c>
      <c r="M5" s="814">
        <f ca="1">IFERROR('All Stock'!K$16*VLOOKUP($A5,'IDEES okt 2017 template'!$C$173:$AN$181,'IDEES okt 2017 template'!K$162,FALSE),"")</f>
        <v>8.7211068291385008</v>
      </c>
      <c r="N5" s="814">
        <f ca="1">IFERROR('All Stock'!L$16*VLOOKUP($A5,'IDEES okt 2017 template'!$C$173:$AN$181,'IDEES okt 2017 template'!L$162,FALSE),"")</f>
        <v>8.2818244698873578</v>
      </c>
      <c r="O5" s="814">
        <f ca="1">IFERROR('All Stock'!M$16*VLOOKUP($A5,'IDEES okt 2017 template'!$C$173:$AN$181,'IDEES okt 2017 template'!M$162,FALSE),"")</f>
        <v>1231.6458567773745</v>
      </c>
      <c r="P5" s="814">
        <f ca="1">IFERROR('All Stock'!N$16*VLOOKUP($A5,'IDEES okt 2017 template'!$C$173:$AN$181,'IDEES okt 2017 template'!N$162,FALSE),"")</f>
        <v>119.79789243652658</v>
      </c>
      <c r="Q5" s="814">
        <f ca="1">IFERROR('All Stock'!O$16*VLOOKUP($A5,'IDEES okt 2017 template'!$C$173:$AN$181,'IDEES okt 2017 template'!O$162,FALSE),"")</f>
        <v>884.89793764708202</v>
      </c>
      <c r="R5" s="814">
        <f ca="1">IFERROR('All Stock'!P$16*VLOOKUP($A5,'IDEES okt 2017 template'!$C$173:$AN$181,'IDEES okt 2017 template'!P$162,FALSE),"")</f>
        <v>26.993131105225181</v>
      </c>
      <c r="S5" s="814">
        <f ca="1">IFERROR('All Stock'!Q$16*VLOOKUP($A5,'IDEES okt 2017 template'!$C$173:$AN$181,'IDEES okt 2017 template'!Q$162,FALSE),"")</f>
        <v>2.5700272682863283</v>
      </c>
      <c r="T5" s="814">
        <f ca="1">IFERROR('All Stock'!R$16*VLOOKUP($A5,'IDEES okt 2017 template'!$C$173:$AN$181,'IDEES okt 2017 template'!R$162,FALSE),"")</f>
        <v>47.618962926183102</v>
      </c>
      <c r="U5" s="814">
        <f ca="1">IFERROR('All Stock'!S$16*VLOOKUP($A5,'IDEES okt 2017 template'!$C$173:$AN$181,'IDEES okt 2017 template'!S$162,FALSE),"")</f>
        <v>8.3132363868792876</v>
      </c>
      <c r="V5" s="814">
        <f ca="1">IFERROR('All Stock'!T$16*VLOOKUP($A5,'IDEES okt 2017 template'!$C$173:$AN$181,'IDEES okt 2017 template'!T$162,FALSE),"")</f>
        <v>4.2503061346537274</v>
      </c>
      <c r="W5" s="814">
        <f ca="1">IFERROR('All Stock'!U$16*VLOOKUP($A5,'IDEES okt 2017 template'!$C$173:$AN$181,'IDEES okt 2017 template'!U$162,FALSE),"")</f>
        <v>48.059075374504431</v>
      </c>
      <c r="X5" s="814">
        <f ca="1">IFERROR('All Stock'!V$16*VLOOKUP($A5,'IDEES okt 2017 template'!$C$173:$AN$181,'IDEES okt 2017 template'!V$162,FALSE),"")</f>
        <v>2.1887558648969914</v>
      </c>
      <c r="Y5" s="814">
        <f ca="1">IFERROR('All Stock'!W$16*VLOOKUP($A5,'IDEES okt 2017 template'!$C$173:$AN$181,'IDEES okt 2017 template'!W$162,FALSE),"")</f>
        <v>1.6143465288966892</v>
      </c>
      <c r="Z5" s="814">
        <f ca="1">IFERROR('All Stock'!X$16*VLOOKUP($A5,'IDEES okt 2017 template'!$C$173:$AN$181,'IDEES okt 2017 template'!X$162,FALSE),"")</f>
        <v>3.2155978022577387</v>
      </c>
      <c r="AA5" s="814">
        <f ca="1">IFERROR('All Stock'!Y$16*VLOOKUP($A5,'IDEES okt 2017 template'!$C$173:$AN$181,'IDEES okt 2017 template'!Y$162,FALSE),"")</f>
        <v>6.932172018771424</v>
      </c>
      <c r="AB5" s="814">
        <f ca="1">IFERROR('All Stock'!Z$16*VLOOKUP($A5,'IDEES okt 2017 template'!$C$173:$AN$181,'IDEES okt 2017 template'!Z$162,FALSE),"")</f>
        <v>21.390755640030953</v>
      </c>
      <c r="AC5" s="854">
        <f ca="1">IFERROR('All Stock'!AA$16*VLOOKUP($A5,'IDEES okt 2017 template'!$C$173:$AN$181,'IDEES okt 2017 template'!AA$162,FALSE),"")-AC6-AC7</f>
        <v>352.08948084682288</v>
      </c>
      <c r="AD5" s="814">
        <f ca="1">IFERROR('All Stock'!AB$16*VLOOKUP($A5,'IDEES okt 2017 template'!$C$173:$AN$181,'IDEES okt 2017 template'!AB$162,FALSE),"")</f>
        <v>23.046435676431731</v>
      </c>
      <c r="AE5" s="814">
        <f ca="1">IFERROR('All Stock'!AC$16*VLOOKUP($A5,'IDEES okt 2017 template'!$C$173:$AN$181,'IDEES okt 2017 template'!AC$162,FALSE),"")</f>
        <v>16.563800734105797</v>
      </c>
      <c r="AF5" s="814">
        <f ca="1">IFERROR('All Stock'!AD$16*VLOOKUP($A5,'IDEES okt 2017 template'!$C$173:$AN$181,'IDEES okt 2017 template'!AD$162,FALSE),"")</f>
        <v>26.710243002754041</v>
      </c>
      <c r="AG5" s="814">
        <f ca="1">IFERROR('All Stock'!AE$16*VLOOKUP($A5,'IDEES okt 2017 template'!$C$173:$AN$181,'IDEES okt 2017 template'!AE$162,FALSE),"")</f>
        <v>493.09216071910186</v>
      </c>
      <c r="AH5" s="814">
        <f ca="1">IFERROR('All Stock'!AF$16*VLOOKUP($A5,'IDEES okt 2017 template'!$C$173:$AN$181,'IDEES okt 2017 template'!AF$162,FALSE),"")</f>
        <v>14.234914248646112</v>
      </c>
      <c r="AI5" s="814">
        <f ca="1">IFERROR('All Stock'!AG$16*VLOOKUP($A5,'IDEES okt 2017 template'!$C$173:$AN$181,'IDEES okt 2017 template'!AG$162,FALSE),"")</f>
        <v>20.109266662168942</v>
      </c>
      <c r="AJ5" s="814">
        <f ca="1">IFERROR('All Stock'!AH$16*VLOOKUP($A5,'IDEES okt 2017 template'!$C$173:$AN$181,'IDEES okt 2017 template'!AH$162,FALSE),"")</f>
        <v>411.51553253849505</v>
      </c>
      <c r="AK5" s="814">
        <f ca="1">IFERROR('All Stock'!AI$16*VLOOKUP($A5,'IDEES okt 2017 template'!$C$173:$AN$181,'IDEES okt 2017 template'!AI$162,FALSE),"")</f>
        <v>10.010446977876528</v>
      </c>
      <c r="AL5" s="814">
        <f ca="1">IFERROR('All Stock'!AJ$16*VLOOKUP($A5,'IDEES okt 2017 template'!$C$173:$AN$181,'IDEES okt 2017 template'!AJ$162,FALSE),"")</f>
        <v>5.0893892169782227</v>
      </c>
      <c r="AM5" s="814">
        <f ca="1">IFERROR('All Stock'!AK$16*VLOOKUP($A5,'IDEES okt 2017 template'!$C$173:$AN$181,'IDEES okt 2017 template'!AK$162,FALSE),"")</f>
        <v>2.0299904505395561</v>
      </c>
      <c r="AN5" s="814">
        <f ca="1">IFERROR('All Stock'!AL$16*VLOOKUP($A5,'IDEES okt 2017 template'!$C$173:$AN$181,'IDEES okt 2017 template'!AL$162,FALSE),"")</f>
        <v>3.9159297428291415</v>
      </c>
      <c r="AO5" s="814">
        <f ca="1">IFERROR('All Stock'!AM$16*VLOOKUP($A5,'IDEES okt 2017 template'!$C$173:$AN$181,'IDEES okt 2017 template'!AM$162,FALSE),"")</f>
        <v>11.563215512507767</v>
      </c>
      <c r="AP5" s="814">
        <f ca="1">IFERROR('All Stock'!AN$16*VLOOKUP($A5,'IDEES okt 2017 template'!$C$173:$AN$181,'IDEES okt 2017 template'!AN$162,FALSE),"")</f>
        <v>2.5979398048565803</v>
      </c>
      <c r="AQ5" s="509"/>
      <c r="AR5" s="496"/>
      <c r="AS5" t="str">
        <f>A137</f>
        <v>Electricity</v>
      </c>
      <c r="AT5" s="509"/>
      <c r="AW5" s="496">
        <f ca="1">P5*P93*P137*P182</f>
        <v>1.3952457141885124</v>
      </c>
      <c r="AX5" s="496">
        <f ca="1">AW5/P93</f>
        <v>1.7070760291937492</v>
      </c>
      <c r="AY5" s="496">
        <f ca="1">AX5/P49</f>
        <v>1.7070760291937492</v>
      </c>
      <c r="AZ5" s="467"/>
      <c r="BB5" s="467"/>
      <c r="BD5" s="467"/>
      <c r="BE5" s="467"/>
      <c r="BF5" s="467"/>
      <c r="BG5" s="467"/>
      <c r="BH5" s="467"/>
      <c r="BI5" s="467"/>
      <c r="BJ5" s="467"/>
      <c r="BK5" s="467"/>
      <c r="BL5" s="467"/>
      <c r="BM5" s="467"/>
      <c r="BN5" s="467"/>
      <c r="BO5" s="467"/>
      <c r="BP5" s="467"/>
      <c r="BQ5" s="467"/>
      <c r="BR5" s="467"/>
      <c r="BS5" s="467"/>
      <c r="BT5" s="467"/>
      <c r="BU5" s="467"/>
      <c r="BV5" s="467"/>
      <c r="BW5" s="467"/>
      <c r="BX5" s="467"/>
      <c r="BY5" s="467"/>
      <c r="BZ5" s="467"/>
      <c r="CA5" s="467"/>
      <c r="CB5" s="467"/>
      <c r="CC5" s="467"/>
      <c r="CD5" s="467"/>
      <c r="CE5" s="467"/>
      <c r="CF5" s="467"/>
      <c r="CG5" s="467"/>
      <c r="CH5" s="467"/>
    </row>
    <row r="6" spans="1:86">
      <c r="A6" s="819" t="s">
        <v>937</v>
      </c>
      <c r="C6" t="str">
        <f>TechComm!L9</f>
        <v>R_ES-SH-FL_ELC-HPA</v>
      </c>
      <c r="D6" t="str">
        <f>D5</f>
        <v>RSDELC-heating</v>
      </c>
      <c r="E6" t="str">
        <f>E5</f>
        <v>R_ES-FL-SpHeat</v>
      </c>
      <c r="F6" s="814">
        <f ca="1">'HP-Stock'!S21/F$1</f>
        <v>10.469428290766206</v>
      </c>
      <c r="G6" s="814">
        <f ca="1">'HP-Stock'!T21/G$1</f>
        <v>0.75749745518920109</v>
      </c>
      <c r="H6" s="814">
        <f ca="1">'HP-Stock'!U21/H$1</f>
        <v>0</v>
      </c>
      <c r="I6" s="814">
        <f ca="1">'HP-Stock'!V21/I$1</f>
        <v>28.597919999999998</v>
      </c>
      <c r="J6" s="814">
        <f ca="1">'HP-Stock'!W21/J$1</f>
        <v>0</v>
      </c>
      <c r="K6" s="814">
        <f ca="1">'HP-Stock'!X21/K$1</f>
        <v>5.5857493761763086</v>
      </c>
      <c r="L6" s="814">
        <f ca="1">'HP-Stock'!Y21/L$1</f>
        <v>71.251828676266996</v>
      </c>
      <c r="M6" s="814">
        <f ca="1">'HP-Stock'!Z21/M$1</f>
        <v>19.067765013054835</v>
      </c>
      <c r="N6" s="814">
        <f ca="1">'HP-Stock'!AA21/N$1</f>
        <v>26.84872504592774</v>
      </c>
      <c r="O6" s="814">
        <f ca="1">'HP-Stock'!AB21/O$1</f>
        <v>47.308730329613233</v>
      </c>
      <c r="P6" s="814">
        <f ca="1">'HP-Stock'!AC21/P$1</f>
        <v>134.92918089015924</v>
      </c>
      <c r="Q6" s="814">
        <f ca="1">'HP-Stock'!AD21/Q$1</f>
        <v>254.39662061292003</v>
      </c>
      <c r="R6" s="814">
        <f ca="1">'HP-Stock'!AE21/R$1</f>
        <v>0</v>
      </c>
      <c r="S6" s="814">
        <f ca="1">'HP-Stock'!AF21/S$1</f>
        <v>0</v>
      </c>
      <c r="T6" s="814">
        <f ca="1">'HP-Stock'!AG21/T$1</f>
        <v>0.16613678748758687</v>
      </c>
      <c r="U6" s="814">
        <f ca="1">'HP-Stock'!AH21/U$1</f>
        <v>0.10451095908350147</v>
      </c>
      <c r="V6" s="814">
        <f ca="1">'HP-Stock'!AI21/V$1</f>
        <v>0</v>
      </c>
      <c r="W6" s="814">
        <f ca="1">'HP-Stock'!AJ21/W$1</f>
        <v>532.99637889140445</v>
      </c>
      <c r="X6" s="814">
        <f ca="1">'HP-Stock'!AK21/X$1</f>
        <v>0.19599401431867763</v>
      </c>
      <c r="Y6" s="814">
        <f ca="1">'HP-Stock'!AL21/Y$1</f>
        <v>0</v>
      </c>
      <c r="Z6" s="814">
        <f ca="1">'HP-Stock'!AM21/Z$1</f>
        <v>0</v>
      </c>
      <c r="AA6" s="814">
        <f ca="1">'HP-Stock'!AN21/AA$1</f>
        <v>0</v>
      </c>
      <c r="AB6" s="814">
        <f ca="1">'HP-Stock'!AO21/AB$1</f>
        <v>2.7796841301863751</v>
      </c>
      <c r="AC6" s="814">
        <f ca="1">'HP-Stock'!AP21/AC$1</f>
        <v>305.52835719331296</v>
      </c>
      <c r="AD6" s="814">
        <f ca="1">'HP-Stock'!AQ21/AD$1</f>
        <v>0.71470719713902542</v>
      </c>
      <c r="AE6" s="814">
        <f ca="1">'HP-Stock'!AR21/AE$1</f>
        <v>20.364394551440174</v>
      </c>
      <c r="AF6" s="814">
        <f ca="1">'HP-Stock'!AS21/AF$1</f>
        <v>0</v>
      </c>
      <c r="AG6" s="814">
        <f ca="1">'HP-Stock'!AT21/AG$1</f>
        <v>290.39224582057926</v>
      </c>
      <c r="AH6" s="814">
        <f ca="1">'HP-Stock'!AU21/AH$1</f>
        <v>0</v>
      </c>
      <c r="AI6" s="814">
        <f ca="1">'HP-Stock'!AV21/AI$1</f>
        <v>0.36060150375939853</v>
      </c>
      <c r="AJ6" s="814">
        <f ca="1">'HP-Stock'!AW21/AJ$1</f>
        <v>4.7290473017988015</v>
      </c>
      <c r="AK6" s="814">
        <f ca="1">'HP-Stock'!AX21/AK$1</f>
        <v>0</v>
      </c>
      <c r="AL6" s="814">
        <f ca="1">'HP-Stock'!AY21/AL$1</f>
        <v>0</v>
      </c>
      <c r="AM6" s="814">
        <f ca="1">'HP-Stock'!AZ21/AM$1</f>
        <v>0</v>
      </c>
      <c r="AN6" s="814">
        <f ca="1">'HP-Stock'!BA21/AN$1</f>
        <v>0</v>
      </c>
      <c r="AO6" s="814">
        <f ca="1">'HP-Stock'!BB21/AO$1</f>
        <v>0</v>
      </c>
      <c r="AP6" s="814">
        <f ca="1">'HP-Stock'!BC21/AP$1</f>
        <v>0</v>
      </c>
      <c r="AQ6" s="509"/>
      <c r="AR6" s="496"/>
      <c r="AT6" s="509"/>
      <c r="AW6" s="496"/>
      <c r="AX6" s="496"/>
      <c r="AY6" s="496"/>
      <c r="AZ6" s="467"/>
      <c r="BB6" s="467"/>
      <c r="BD6" s="467"/>
      <c r="BE6" s="467"/>
      <c r="BF6" s="467"/>
      <c r="BG6" s="467"/>
      <c r="BH6" s="467"/>
      <c r="BI6" s="467"/>
      <c r="BJ6" s="467"/>
      <c r="BK6" s="467"/>
      <c r="BL6" s="467"/>
      <c r="BM6" s="467"/>
      <c r="BN6" s="467"/>
      <c r="BO6" s="467"/>
      <c r="BP6" s="467"/>
      <c r="BQ6" s="467"/>
      <c r="BR6" s="467"/>
      <c r="BS6" s="467"/>
      <c r="BT6" s="467"/>
      <c r="BU6" s="467"/>
      <c r="BV6" s="467"/>
      <c r="BW6" s="467"/>
      <c r="BX6" s="467"/>
      <c r="BY6" s="467"/>
      <c r="BZ6" s="467"/>
      <c r="CA6" s="467"/>
      <c r="CB6" s="467"/>
      <c r="CC6" s="467"/>
      <c r="CD6" s="467"/>
      <c r="CE6" s="467"/>
      <c r="CF6" s="467"/>
      <c r="CG6" s="467"/>
      <c r="CH6" s="467"/>
    </row>
    <row r="7" spans="1:86">
      <c r="A7" s="819" t="s">
        <v>938</v>
      </c>
      <c r="C7" t="str">
        <f>TechComm!L10</f>
        <v>R_ES-SH-FL_ELC-HPG</v>
      </c>
      <c r="D7" t="str">
        <f>D5</f>
        <v>RSDELC-heating</v>
      </c>
      <c r="E7" t="str">
        <f>E5</f>
        <v>R_ES-FL-SpHeat</v>
      </c>
      <c r="F7" s="814">
        <f ca="1">'HP-Stock'!S22/F$1</f>
        <v>34.402532416502943</v>
      </c>
      <c r="G7" s="814">
        <f ca="1">'HP-Stock'!T22/G$1</f>
        <v>0.51411949546359803</v>
      </c>
      <c r="H7" s="814">
        <f ca="1">'HP-Stock'!U22/H$1</f>
        <v>0</v>
      </c>
      <c r="I7" s="814">
        <f ca="1">'HP-Stock'!V22/I$1</f>
        <v>21.951839999999997</v>
      </c>
      <c r="J7" s="814">
        <f ca="1">'HP-Stock'!W22/J$1</f>
        <v>0</v>
      </c>
      <c r="K7" s="814">
        <f ca="1">'HP-Stock'!X22/K$1</f>
        <v>5.0245320643165536</v>
      </c>
      <c r="L7" s="814">
        <f ca="1">'HP-Stock'!Y22/L$1</f>
        <v>116.9019205480398</v>
      </c>
      <c r="M7" s="814">
        <f ca="1">'HP-Stock'!Z22/M$1</f>
        <v>5.5605580007459912</v>
      </c>
      <c r="N7" s="814">
        <f ca="1">'HP-Stock'!AA22/N$1</f>
        <v>2.7979907379056947</v>
      </c>
      <c r="O7" s="814">
        <f ca="1">'HP-Stock'!AB22/O$1</f>
        <v>0</v>
      </c>
      <c r="P7" s="814">
        <f ca="1">'HP-Stock'!AC22/P$1</f>
        <v>15.491353205389954</v>
      </c>
      <c r="Q7" s="814">
        <f ca="1">'HP-Stock'!AD22/Q$1</f>
        <v>36.93740441812816</v>
      </c>
      <c r="R7" s="814">
        <f ca="1">'HP-Stock'!AE22/R$1</f>
        <v>0</v>
      </c>
      <c r="S7" s="814">
        <f ca="1">'HP-Stock'!AF22/S$1</f>
        <v>0</v>
      </c>
      <c r="T7" s="814">
        <f ca="1">'HP-Stock'!AG22/T$1</f>
        <v>0.19997020854021849</v>
      </c>
      <c r="U7" s="814">
        <f ca="1">'HP-Stock'!AH22/U$1</f>
        <v>0.14419581086062391</v>
      </c>
      <c r="V7" s="814">
        <f ca="1">'HP-Stock'!AI22/V$1</f>
        <v>0</v>
      </c>
      <c r="W7" s="814">
        <f ca="1">'HP-Stock'!AJ22/W$1</f>
        <v>0.26559029839667458</v>
      </c>
      <c r="X7" s="814">
        <f ca="1">'HP-Stock'!AK22/X$1</f>
        <v>0.49907085103001031</v>
      </c>
      <c r="Y7" s="814">
        <f ca="1">'HP-Stock'!AL22/Y$1</f>
        <v>0</v>
      </c>
      <c r="Z7" s="814">
        <f ca="1">'HP-Stock'!AM22/Z$1</f>
        <v>0</v>
      </c>
      <c r="AA7" s="814">
        <f ca="1">'HP-Stock'!AN22/AA$1</f>
        <v>0</v>
      </c>
      <c r="AB7" s="814">
        <f ca="1">'HP-Stock'!AO22/AB$1</f>
        <v>5.6352609329494037</v>
      </c>
      <c r="AC7" s="814">
        <f ca="1">'HP-Stock'!AP22/AC$1</f>
        <v>14.68985354367789</v>
      </c>
      <c r="AD7" s="814">
        <f ca="1">'HP-Stock'!AQ22/AD$1</f>
        <v>2.4538280435106539</v>
      </c>
      <c r="AE7" s="814">
        <f ca="1">'HP-Stock'!AR22/AE$1</f>
        <v>0</v>
      </c>
      <c r="AF7" s="814">
        <f ca="1">'HP-Stock'!AS22/AF$1</f>
        <v>0</v>
      </c>
      <c r="AG7" s="814">
        <f ca="1">'HP-Stock'!AT22/AG$1</f>
        <v>216.83650459147637</v>
      </c>
      <c r="AH7" s="814">
        <f ca="1">'HP-Stock'!AU22/AH$1</f>
        <v>0</v>
      </c>
      <c r="AI7" s="814">
        <f ca="1">'HP-Stock'!AV22/AI$1</f>
        <v>0.25448235974551764</v>
      </c>
      <c r="AJ7" s="814">
        <f ca="1">'HP-Stock'!AW22/AJ$1</f>
        <v>3.0271897166594823</v>
      </c>
      <c r="AK7" s="814">
        <f ca="1">'HP-Stock'!AX22/AK$1</f>
        <v>0</v>
      </c>
      <c r="AL7" s="814">
        <f ca="1">'HP-Stock'!AY22/AL$1</f>
        <v>0</v>
      </c>
      <c r="AM7" s="814">
        <f ca="1">'HP-Stock'!AZ22/AM$1</f>
        <v>0</v>
      </c>
      <c r="AN7" s="814">
        <f ca="1">'HP-Stock'!BA22/AN$1</f>
        <v>0</v>
      </c>
      <c r="AO7" s="814">
        <f ca="1">'HP-Stock'!BB22/AO$1</f>
        <v>0</v>
      </c>
      <c r="AP7" s="814">
        <f ca="1">'HP-Stock'!BC22/AP$1</f>
        <v>0</v>
      </c>
      <c r="AQ7" s="509"/>
      <c r="AR7" s="496"/>
      <c r="AT7" s="509"/>
      <c r="AW7" s="496"/>
      <c r="AX7" s="496"/>
      <c r="AY7" s="496"/>
      <c r="AZ7" s="467"/>
      <c r="BB7" s="467"/>
      <c r="BD7" s="467"/>
      <c r="BE7" s="467"/>
      <c r="BF7" s="467"/>
      <c r="BG7" s="467"/>
      <c r="BH7" s="467"/>
      <c r="BI7" s="467"/>
      <c r="BJ7" s="467"/>
      <c r="BK7" s="467"/>
      <c r="BL7" s="467"/>
      <c r="BM7" s="467"/>
      <c r="BN7" s="467"/>
      <c r="BO7" s="467"/>
      <c r="BP7" s="467"/>
      <c r="BQ7" s="467"/>
      <c r="BR7" s="467"/>
      <c r="BS7" s="467"/>
      <c r="BT7" s="467"/>
      <c r="BU7" s="467"/>
      <c r="BV7" s="467"/>
      <c r="BW7" s="467"/>
      <c r="BX7" s="467"/>
      <c r="BY7" s="467"/>
      <c r="BZ7" s="467"/>
      <c r="CA7" s="467"/>
      <c r="CB7" s="467"/>
      <c r="CC7" s="467"/>
      <c r="CD7" s="467"/>
      <c r="CE7" s="467"/>
      <c r="CF7" s="467"/>
      <c r="CG7" s="467"/>
      <c r="CH7" s="467"/>
    </row>
    <row r="8" spans="1:86">
      <c r="A8" t="str">
        <f>TechComm!T24</f>
        <v>Gases</v>
      </c>
      <c r="C8" t="str">
        <f>TechComm!L11</f>
        <v>R_ES-SH-FL_GAS</v>
      </c>
      <c r="D8" t="str">
        <f>TechComm!U24</f>
        <v>RSDGAS</v>
      </c>
      <c r="E8" t="str">
        <f>E5</f>
        <v>R_ES-FL-SpHeat</v>
      </c>
      <c r="F8" s="509">
        <f ca="1">IFERROR('All Stock'!D$16*VLOOKUP($A8,'IDEES okt 2017 template'!$C$173:$AN$181,'IDEES okt 2017 template'!D$162,FALSE),"")</f>
        <v>326.80553183157849</v>
      </c>
      <c r="G8" s="509">
        <f ca="1">IFERROR('All Stock'!E$16*VLOOKUP($A8,'IDEES okt 2017 template'!$C$173:$AN$181,'IDEES okt 2017 template'!E$162,FALSE),"")</f>
        <v>435.16330315737684</v>
      </c>
      <c r="H8" s="509">
        <f ca="1">IFERROR('All Stock'!F$16*VLOOKUP($A8,'IDEES okt 2017 template'!$C$173:$AN$181,'IDEES okt 2017 template'!F$162,FALSE),"")</f>
        <v>21.003305031678583</v>
      </c>
      <c r="I8" s="509">
        <f ca="1">IFERROR('All Stock'!G$16*VLOOKUP($A8,'IDEES okt 2017 template'!$C$173:$AN$181,'IDEES okt 2017 template'!G$162,FALSE),"")</f>
        <v>370.69483142518499</v>
      </c>
      <c r="J8" s="509">
        <f ca="1">IFERROR('All Stock'!H$16*VLOOKUP($A8,'IDEES okt 2017 template'!$C$173:$AN$181,'IDEES okt 2017 template'!H$162,FALSE),"")</f>
        <v>0</v>
      </c>
      <c r="K8" s="509">
        <f ca="1">IFERROR('All Stock'!I$16*VLOOKUP($A8,'IDEES okt 2017 template'!$C$173:$AN$181,'IDEES okt 2017 template'!I$162,FALSE),"")</f>
        <v>737.9838033549338</v>
      </c>
      <c r="L8" s="509">
        <f ca="1">IFERROR('All Stock'!J$16*VLOOKUP($A8,'IDEES okt 2017 template'!$C$173:$AN$181,'IDEES okt 2017 template'!J$162,FALSE),"")</f>
        <v>8266.1041899313041</v>
      </c>
      <c r="M8" s="509">
        <f ca="1">IFERROR('All Stock'!K$16*VLOOKUP($A8,'IDEES okt 2017 template'!$C$173:$AN$181,'IDEES okt 2017 template'!K$162,FALSE),"")</f>
        <v>168.39272469797538</v>
      </c>
      <c r="N8" s="509">
        <f ca="1">IFERROR('All Stock'!L$16*VLOOKUP($A8,'IDEES okt 2017 template'!$C$173:$AN$181,'IDEES okt 2017 template'!L$162,FALSE),"")</f>
        <v>25.994860979579638</v>
      </c>
      <c r="O8" s="509">
        <f ca="1">IFERROR('All Stock'!M$16*VLOOKUP($A8,'IDEES okt 2017 template'!$C$173:$AN$181,'IDEES okt 2017 template'!M$162,FALSE),"")</f>
        <v>2611.2210890117126</v>
      </c>
      <c r="P8" s="509">
        <f ca="1">IFERROR('All Stock'!N$16*VLOOKUP($A8,'IDEES okt 2017 template'!$C$173:$AN$181,'IDEES okt 2017 template'!N$162,FALSE),"")</f>
        <v>9.1037657057165013</v>
      </c>
      <c r="Q8" s="509">
        <f ca="1">IFERROR('All Stock'!O$16*VLOOKUP($A8,'IDEES okt 2017 template'!$C$173:$AN$181,'IDEES okt 2017 template'!O$162,FALSE),"")</f>
        <v>3532.4458582709549</v>
      </c>
      <c r="R8" s="509">
        <f ca="1">IFERROR('All Stock'!P$16*VLOOKUP($A8,'IDEES okt 2017 template'!$C$173:$AN$181,'IDEES okt 2017 template'!P$162,FALSE),"")</f>
        <v>122.89201406514412</v>
      </c>
      <c r="S8" s="509">
        <f ca="1">IFERROR('All Stock'!Q$16*VLOOKUP($A8,'IDEES okt 2017 template'!$C$173:$AN$181,'IDEES okt 2017 template'!Q$162,FALSE),"")</f>
        <v>136.56870186866783</v>
      </c>
      <c r="T8" s="509">
        <f ca="1">IFERROR('All Stock'!R$16*VLOOKUP($A8,'IDEES okt 2017 template'!$C$173:$AN$181,'IDEES okt 2017 template'!R$162,FALSE),"")</f>
        <v>721.02755024630665</v>
      </c>
      <c r="U8" s="509">
        <f ca="1">IFERROR('All Stock'!S$16*VLOOKUP($A8,'IDEES okt 2017 template'!$C$173:$AN$181,'IDEES okt 2017 template'!S$162,FALSE),"")</f>
        <v>38.643839564710127</v>
      </c>
      <c r="V8" s="509">
        <f ca="1">IFERROR('All Stock'!T$16*VLOOKUP($A8,'IDEES okt 2017 template'!$C$173:$AN$181,'IDEES okt 2017 template'!T$162,FALSE),"")</f>
        <v>0</v>
      </c>
      <c r="W8" s="509">
        <f ca="1">IFERROR('All Stock'!U$16*VLOOKUP($A8,'IDEES okt 2017 template'!$C$173:$AN$181,'IDEES okt 2017 template'!U$162,FALSE),"")</f>
        <v>10823.956868117088</v>
      </c>
      <c r="X8" s="509">
        <f ca="1">IFERROR('All Stock'!V$16*VLOOKUP($A8,'IDEES okt 2017 template'!$C$173:$AN$181,'IDEES okt 2017 template'!V$162,FALSE),"")</f>
        <v>74.668913268665605</v>
      </c>
      <c r="Y8" s="509">
        <f ca="1">IFERROR('All Stock'!W$16*VLOOKUP($A8,'IDEES okt 2017 template'!$C$173:$AN$181,'IDEES okt 2017 template'!W$162,FALSE),"")</f>
        <v>35.409569184842745</v>
      </c>
      <c r="Z8" s="509">
        <f ca="1">IFERROR('All Stock'!X$16*VLOOKUP($A8,'IDEES okt 2017 template'!$C$173:$AN$181,'IDEES okt 2017 template'!X$162,FALSE),"")</f>
        <v>52.026431705124061</v>
      </c>
      <c r="AA8" s="509">
        <f ca="1">IFERROR('All Stock'!Y$16*VLOOKUP($A8,'IDEES okt 2017 template'!$C$173:$AN$181,'IDEES okt 2017 template'!Y$162,FALSE),"")</f>
        <v>0</v>
      </c>
      <c r="AB8" s="509">
        <f ca="1">IFERROR('All Stock'!Z$16*VLOOKUP($A8,'IDEES okt 2017 template'!$C$173:$AN$181,'IDEES okt 2017 template'!Z$162,FALSE),"")</f>
        <v>1565.6587479795271</v>
      </c>
      <c r="AC8" s="509">
        <f ca="1">IFERROR('All Stock'!AA$16*VLOOKUP($A8,'IDEES okt 2017 template'!$C$173:$AN$181,'IDEES okt 2017 template'!AA$162,FALSE),"")</f>
        <v>2.0672425531544234</v>
      </c>
      <c r="AD8" s="509">
        <f ca="1">IFERROR('All Stock'!AB$16*VLOOKUP($A8,'IDEES okt 2017 template'!$C$173:$AN$181,'IDEES okt 2017 template'!AB$162,FALSE),"")</f>
        <v>1237.705954518495</v>
      </c>
      <c r="AE8" s="509">
        <f ca="1">IFERROR('All Stock'!AC$16*VLOOKUP($A8,'IDEES okt 2017 template'!$C$173:$AN$181,'IDEES okt 2017 template'!AC$162,FALSE),"")</f>
        <v>70.489549430111111</v>
      </c>
      <c r="AF8" s="509">
        <f ca="1">IFERROR('All Stock'!AD$16*VLOOKUP($A8,'IDEES okt 2017 template'!$C$173:$AN$181,'IDEES okt 2017 template'!AD$162,FALSE),"")</f>
        <v>664.12995158781405</v>
      </c>
      <c r="AG8" s="509">
        <f ca="1">IFERROR('All Stock'!AE$16*VLOOKUP($A8,'IDEES okt 2017 template'!$C$173:$AN$181,'IDEES okt 2017 template'!AE$162,FALSE),"")</f>
        <v>41.127860934611611</v>
      </c>
      <c r="AH8" s="509">
        <f ca="1">IFERROR('All Stock'!AF$16*VLOOKUP($A8,'IDEES okt 2017 template'!$C$173:$AN$181,'IDEES okt 2017 template'!AF$162,FALSE),"")</f>
        <v>49.795946954638886</v>
      </c>
      <c r="AI8" s="509">
        <f ca="1">IFERROR('All Stock'!AG$16*VLOOKUP($A8,'IDEES okt 2017 template'!$C$173:$AN$181,'IDEES okt 2017 template'!AG$162,FALSE),"")</f>
        <v>353.10375889476876</v>
      </c>
      <c r="AJ8" s="509">
        <f ca="1">IFERROR('All Stock'!AH$16*VLOOKUP($A8,'IDEES okt 2017 template'!$C$173:$AN$181,'IDEES okt 2017 template'!AH$162,FALSE),"")</f>
        <v>3041.5207732618833</v>
      </c>
      <c r="AK8" s="509">
        <f ca="1">IFERROR('All Stock'!AI$16*VLOOKUP($A8,'IDEES okt 2017 template'!$C$173:$AN$181,'IDEES okt 2017 template'!AI$162,FALSE),"")</f>
        <v>0</v>
      </c>
      <c r="AL8" s="509">
        <f ca="1">IFERROR('All Stock'!AJ$16*VLOOKUP($A8,'IDEES okt 2017 template'!$C$173:$AN$181,'IDEES okt 2017 template'!AJ$162,FALSE),"")</f>
        <v>25.140498306291452</v>
      </c>
      <c r="AM8" s="509">
        <f ca="1">IFERROR('All Stock'!AK$16*VLOOKUP($A8,'IDEES okt 2017 template'!$C$173:$AN$181,'IDEES okt 2017 template'!AK$162,FALSE),"")</f>
        <v>0</v>
      </c>
      <c r="AN8" s="509">
        <f ca="1">IFERROR('All Stock'!AL$16*VLOOKUP($A8,'IDEES okt 2017 template'!$C$173:$AN$181,'IDEES okt 2017 template'!AL$162,FALSE),"")</f>
        <v>0</v>
      </c>
      <c r="AO8" s="509">
        <f ca="1">IFERROR('All Stock'!AM$16*VLOOKUP($A8,'IDEES okt 2017 template'!$C$173:$AN$181,'IDEES okt 2017 template'!AM$162,FALSE),"")</f>
        <v>88.469125110673417</v>
      </c>
      <c r="AP8" s="509">
        <f ca="1">IFERROR('All Stock'!AN$16*VLOOKUP($A8,'IDEES okt 2017 template'!$C$173:$AN$181,'IDEES okt 2017 template'!AN$162,FALSE),"")</f>
        <v>0</v>
      </c>
      <c r="AQ8" s="509"/>
      <c r="AR8" s="496"/>
      <c r="AS8" t="str">
        <f t="shared" ref="AS8:AS15" si="0">A140</f>
        <v>Gases</v>
      </c>
      <c r="AT8" s="509"/>
      <c r="AW8" s="496">
        <f t="shared" ref="AW8:AW15" ca="1" si="1">P8*P96*P140*P185</f>
        <v>0.2369961155933327</v>
      </c>
      <c r="AX8" s="496">
        <f t="shared" ref="AX8:AX15" ca="1" si="2">AW8/P96</f>
        <v>0.3044583741081856</v>
      </c>
      <c r="AY8" s="496">
        <f t="shared" ref="AY8:AY15" ca="1" si="3">AX8/P52</f>
        <v>0.33828708234242844</v>
      </c>
      <c r="AZ8" s="467"/>
      <c r="BA8" s="467" t="str">
        <f>AS8</f>
        <v>Gases</v>
      </c>
      <c r="BB8" s="467"/>
      <c r="BC8" s="467"/>
      <c r="BD8" s="467">
        <f ca="1">AY8+AY18+AY38</f>
        <v>1.4996857931422203</v>
      </c>
      <c r="BE8" s="467"/>
      <c r="BF8" s="467"/>
      <c r="BG8" s="467"/>
      <c r="BH8" s="467"/>
      <c r="BI8" s="467"/>
      <c r="BJ8" s="467"/>
      <c r="BK8" s="467"/>
      <c r="BL8" s="467"/>
      <c r="BM8" s="467"/>
      <c r="BN8" s="467"/>
      <c r="BO8" s="467"/>
      <c r="BP8" s="467"/>
      <c r="BQ8" s="467"/>
      <c r="BR8" s="467"/>
      <c r="BS8" s="467"/>
      <c r="BT8" s="467"/>
      <c r="BU8" s="467"/>
      <c r="BV8" s="467"/>
      <c r="BW8" s="467"/>
      <c r="BX8" s="467"/>
      <c r="BY8" s="467"/>
      <c r="BZ8" s="467"/>
      <c r="CA8" s="467"/>
      <c r="CB8" s="467"/>
      <c r="CC8" s="467"/>
      <c r="CD8" s="467"/>
      <c r="CE8" s="467"/>
      <c r="CF8" s="467"/>
      <c r="CG8" s="467"/>
      <c r="CH8" s="467"/>
    </row>
    <row r="9" spans="1:86">
      <c r="A9" t="str">
        <f>TechComm!T25</f>
        <v>Derived heat</v>
      </c>
      <c r="C9" t="str">
        <f>TechComm!L12</f>
        <v>R_ES-SH-FL_HET</v>
      </c>
      <c r="D9" t="str">
        <f>TechComm!U25</f>
        <v>RSDHET</v>
      </c>
      <c r="E9" t="str">
        <f t="shared" ref="E9:E14" si="4">E8</f>
        <v>R_ES-FL-SpHeat</v>
      </c>
      <c r="F9" s="509">
        <f ca="1">IFERROR('All Stock'!D$16*VLOOKUP($A9,'IDEES okt 2017 template'!$C$173:$AN$181,'IDEES okt 2017 template'!D$162,FALSE),"")</f>
        <v>225.0947311421038</v>
      </c>
      <c r="G9" s="509">
        <f ca="1">IFERROR('All Stock'!E$16*VLOOKUP($A9,'IDEES okt 2017 template'!$C$173:$AN$181,'IDEES okt 2017 template'!E$162,FALSE),"")</f>
        <v>2.1689988403867297</v>
      </c>
      <c r="H9" s="509">
        <f ca="1">IFERROR('All Stock'!F$16*VLOOKUP($A9,'IDEES okt 2017 template'!$C$173:$AN$181,'IDEES okt 2017 template'!F$162,FALSE),"")</f>
        <v>244.29272399533218</v>
      </c>
      <c r="I9" s="509">
        <f ca="1">IFERROR('All Stock'!G$16*VLOOKUP($A9,'IDEES okt 2017 template'!$C$173:$AN$181,'IDEES okt 2017 template'!G$162,FALSE),"")</f>
        <v>67.321712190226009</v>
      </c>
      <c r="J9" s="509">
        <f ca="1">IFERROR('All Stock'!H$16*VLOOKUP($A9,'IDEES okt 2017 template'!$C$173:$AN$181,'IDEES okt 2017 template'!H$162,FALSE),"")</f>
        <v>0</v>
      </c>
      <c r="K9" s="509">
        <f ca="1">IFERROR('All Stock'!I$16*VLOOKUP($A9,'IDEES okt 2017 template'!$C$173:$AN$181,'IDEES okt 2017 template'!I$162,FALSE),"")</f>
        <v>576.81045768808337</v>
      </c>
      <c r="L9" s="509">
        <f ca="1">IFERROR('All Stock'!J$16*VLOOKUP($A9,'IDEES okt 2017 template'!$C$173:$AN$181,'IDEES okt 2017 template'!J$162,FALSE),"")</f>
        <v>2133.7394880402012</v>
      </c>
      <c r="M9" s="509">
        <f ca="1">IFERROR('All Stock'!K$16*VLOOKUP($A9,'IDEES okt 2017 template'!$C$173:$AN$181,'IDEES okt 2017 template'!K$162,FALSE),"")</f>
        <v>569.91117509758215</v>
      </c>
      <c r="N9" s="509">
        <f ca="1">IFERROR('All Stock'!L$16*VLOOKUP($A9,'IDEES okt 2017 template'!$C$173:$AN$181,'IDEES okt 2017 template'!L$162,FALSE),"")</f>
        <v>237.13774719634094</v>
      </c>
      <c r="O9" s="509">
        <f ca="1">IFERROR('All Stock'!M$16*VLOOKUP($A9,'IDEES okt 2017 template'!$C$173:$AN$181,'IDEES okt 2017 template'!M$162,FALSE),"")</f>
        <v>0</v>
      </c>
      <c r="P9" s="509">
        <f ca="1">IFERROR('All Stock'!N$16*VLOOKUP($A9,'IDEES okt 2017 template'!$C$173:$AN$181,'IDEES okt 2017 template'!N$162,FALSE),"")</f>
        <v>455.29912076144177</v>
      </c>
      <c r="Q9" s="509">
        <f ca="1">IFERROR('All Stock'!O$16*VLOOKUP($A9,'IDEES okt 2017 template'!$C$173:$AN$181,'IDEES okt 2017 template'!O$162,FALSE),"")</f>
        <v>661.90802612657171</v>
      </c>
      <c r="R9" s="509">
        <f ca="1">IFERROR('All Stock'!P$16*VLOOKUP($A9,'IDEES okt 2017 template'!$C$173:$AN$181,'IDEES okt 2017 template'!P$162,FALSE),"")</f>
        <v>32.378050259332497</v>
      </c>
      <c r="S9" s="509">
        <f ca="1">IFERROR('All Stock'!Q$16*VLOOKUP($A9,'IDEES okt 2017 template'!$C$173:$AN$181,'IDEES okt 2017 template'!Q$162,FALSE),"")</f>
        <v>51.581786170542181</v>
      </c>
      <c r="T9" s="509">
        <f ca="1">IFERROR('All Stock'!R$16*VLOOKUP($A9,'IDEES okt 2017 template'!$C$173:$AN$181,'IDEES okt 2017 template'!R$162,FALSE),"")</f>
        <v>177.53868217125776</v>
      </c>
      <c r="U9" s="509">
        <f ca="1">IFERROR('All Stock'!S$16*VLOOKUP($A9,'IDEES okt 2017 template'!$C$173:$AN$181,'IDEES okt 2017 template'!S$162,FALSE),"")</f>
        <v>0</v>
      </c>
      <c r="V9" s="509">
        <f ca="1">IFERROR('All Stock'!T$16*VLOOKUP($A9,'IDEES okt 2017 template'!$C$173:$AN$181,'IDEES okt 2017 template'!T$162,FALSE),"")</f>
        <v>28.741803991970968</v>
      </c>
      <c r="W9" s="509">
        <f ca="1">IFERROR('All Stock'!U$16*VLOOKUP($A9,'IDEES okt 2017 template'!$C$173:$AN$181,'IDEES okt 2017 template'!U$162,FALSE),"")</f>
        <v>101.85116513274731</v>
      </c>
      <c r="X9" s="509">
        <f ca="1">IFERROR('All Stock'!V$16*VLOOKUP($A9,'IDEES okt 2017 template'!$C$173:$AN$181,'IDEES okt 2017 template'!V$162,FALSE),"")</f>
        <v>365.11455781936718</v>
      </c>
      <c r="Y9" s="509">
        <f ca="1">IFERROR('All Stock'!W$16*VLOOKUP($A9,'IDEES okt 2017 template'!$C$173:$AN$181,'IDEES okt 2017 template'!W$162,FALSE),"")</f>
        <v>0</v>
      </c>
      <c r="Z9" s="509">
        <f ca="1">IFERROR('All Stock'!X$16*VLOOKUP($A9,'IDEES okt 2017 template'!$C$173:$AN$181,'IDEES okt 2017 template'!X$162,FALSE),"")</f>
        <v>251.93890901614233</v>
      </c>
      <c r="AA9" s="509">
        <f ca="1">IFERROR('All Stock'!Y$16*VLOOKUP($A9,'IDEES okt 2017 template'!$C$173:$AN$181,'IDEES okt 2017 template'!Y$162,FALSE),"")</f>
        <v>0</v>
      </c>
      <c r="AB9" s="509">
        <f ca="1">IFERROR('All Stock'!Z$16*VLOOKUP($A9,'IDEES okt 2017 template'!$C$173:$AN$181,'IDEES okt 2017 template'!Z$162,FALSE),"")</f>
        <v>64.692896127474796</v>
      </c>
      <c r="AC9" s="509">
        <f ca="1">IFERROR('All Stock'!AA$16*VLOOKUP($A9,'IDEES okt 2017 template'!$C$173:$AN$181,'IDEES okt 2017 template'!AA$162,FALSE),"")</f>
        <v>60.984017993923729</v>
      </c>
      <c r="AD9" s="509">
        <f ca="1">IFERROR('All Stock'!AB$16*VLOOKUP($A9,'IDEES okt 2017 template'!$C$173:$AN$181,'IDEES okt 2017 template'!AB$162,FALSE),"")</f>
        <v>2302.849501038877</v>
      </c>
      <c r="AE9" s="509">
        <f ca="1">IFERROR('All Stock'!AC$16*VLOOKUP($A9,'IDEES okt 2017 template'!$C$173:$AN$181,'IDEES okt 2017 template'!AC$162,FALSE),"")</f>
        <v>0.74755091432692045</v>
      </c>
      <c r="AF9" s="509">
        <f ca="1">IFERROR('All Stock'!AD$16*VLOOKUP($A9,'IDEES okt 2017 template'!$C$173:$AN$181,'IDEES okt 2017 template'!AD$162,FALSE),"")</f>
        <v>491.66466148266704</v>
      </c>
      <c r="AG9" s="509">
        <f ca="1">IFERROR('All Stock'!AE$16*VLOOKUP($A9,'IDEES okt 2017 template'!$C$173:$AN$181,'IDEES okt 2017 template'!AE$162,FALSE),"")</f>
        <v>1222.5512002627645</v>
      </c>
      <c r="AH9" s="509">
        <f ca="1">IFERROR('All Stock'!AF$16*VLOOKUP($A9,'IDEES okt 2017 template'!$C$173:$AN$181,'IDEES okt 2017 template'!AF$162,FALSE),"")</f>
        <v>59.20557531186892</v>
      </c>
      <c r="AI9" s="509">
        <f ca="1">IFERROR('All Stock'!AG$16*VLOOKUP($A9,'IDEES okt 2017 template'!$C$173:$AN$181,'IDEES okt 2017 template'!AG$162,FALSE),"")</f>
        <v>181.2522412269754</v>
      </c>
      <c r="AJ9" s="509">
        <f ca="1">IFERROR('All Stock'!AH$16*VLOOKUP($A9,'IDEES okt 2017 template'!$C$173:$AN$181,'IDEES okt 2017 template'!AH$162,FALSE),"")</f>
        <v>7.2431963799932602</v>
      </c>
      <c r="AK9" s="509">
        <f ca="1">IFERROR('All Stock'!AI$16*VLOOKUP($A9,'IDEES okt 2017 template'!$C$173:$AN$181,'IDEES okt 2017 template'!AI$162,FALSE),"")</f>
        <v>0</v>
      </c>
      <c r="AL9" s="509">
        <f ca="1">IFERROR('All Stock'!AJ$16*VLOOKUP($A9,'IDEES okt 2017 template'!$C$173:$AN$181,'IDEES okt 2017 template'!AJ$162,FALSE),"")</f>
        <v>72.926635622565712</v>
      </c>
      <c r="AM9" s="509">
        <f ca="1">IFERROR('All Stock'!AK$16*VLOOKUP($A9,'IDEES okt 2017 template'!$C$173:$AN$181,'IDEES okt 2017 template'!AK$162,FALSE),"")</f>
        <v>0</v>
      </c>
      <c r="AN9" s="509">
        <f ca="1">IFERROR('All Stock'!AL$16*VLOOKUP($A9,'IDEES okt 2017 template'!$C$173:$AN$181,'IDEES okt 2017 template'!AL$162,FALSE),"")</f>
        <v>27.17595615358783</v>
      </c>
      <c r="AO9" s="509">
        <f ca="1">IFERROR('All Stock'!AM$16*VLOOKUP($A9,'IDEES okt 2017 template'!$C$173:$AN$181,'IDEES okt 2017 template'!AM$162,FALSE),"")</f>
        <v>203.65422364121511</v>
      </c>
      <c r="AP9" s="509">
        <f ca="1">IFERROR('All Stock'!AN$16*VLOOKUP($A9,'IDEES okt 2017 template'!$C$173:$AN$181,'IDEES okt 2017 template'!AN$162,FALSE),"")</f>
        <v>2.7349207354222638</v>
      </c>
      <c r="AQ9" s="509"/>
      <c r="AR9" s="496"/>
      <c r="AS9" t="str">
        <f t="shared" si="0"/>
        <v>Derived heat</v>
      </c>
      <c r="AT9" s="509"/>
      <c r="AW9" s="496">
        <f t="shared" ca="1" si="1"/>
        <v>11.786082607906147</v>
      </c>
      <c r="AX9" s="496">
        <f t="shared" ca="1" si="2"/>
        <v>12.857851021467299</v>
      </c>
      <c r="AY9" s="496">
        <f t="shared" ca="1" si="3"/>
        <v>13.534580022597158</v>
      </c>
      <c r="BA9" s="467" t="str">
        <f>AS9</f>
        <v>Derived heat</v>
      </c>
      <c r="BB9" s="467"/>
      <c r="BC9" s="467"/>
      <c r="BD9" s="467">
        <f ca="1">AY9+AY19+AY39</f>
        <v>60.001160066435403</v>
      </c>
      <c r="BE9" s="467"/>
      <c r="BF9" s="467"/>
      <c r="BG9" s="467"/>
      <c r="BH9" s="467"/>
      <c r="BI9" s="467"/>
      <c r="BJ9" s="467"/>
      <c r="BK9" s="467"/>
      <c r="BL9" s="467"/>
      <c r="BM9" s="467"/>
      <c r="BN9" s="467"/>
      <c r="BO9" s="467"/>
      <c r="BP9" s="467"/>
      <c r="BQ9" s="467"/>
      <c r="BR9" s="467"/>
      <c r="BS9" s="467"/>
      <c r="BT9" s="467"/>
      <c r="BU9" s="467"/>
      <c r="BV9" s="467"/>
      <c r="BW9" s="467"/>
      <c r="BX9" s="467"/>
      <c r="BY9" s="467"/>
      <c r="BZ9" s="467"/>
      <c r="CA9" s="467"/>
      <c r="CB9" s="467"/>
      <c r="CC9" s="467"/>
      <c r="CD9" s="467"/>
      <c r="CE9" s="467"/>
      <c r="CF9" s="467"/>
      <c r="CG9" s="467"/>
      <c r="CH9" s="467"/>
    </row>
    <row r="10" spans="1:86">
      <c r="A10" t="str">
        <f>TechComm!T26</f>
        <v>GDO and other liquids (incl. liq. bio.)</v>
      </c>
      <c r="C10" t="str">
        <f>TechComm!L13</f>
        <v>R_ES-SH-FL_OIL</v>
      </c>
      <c r="D10" t="str">
        <f>TechComm!U26</f>
        <v>RSDOIL</v>
      </c>
      <c r="E10" t="str">
        <f t="shared" si="4"/>
        <v>R_ES-FL-SpHeat</v>
      </c>
      <c r="F10" s="509">
        <f ca="1">IFERROR('All Stock'!D$16*VLOOKUP($A10,'IDEES okt 2017 template'!$C$173:$AN$181,'IDEES okt 2017 template'!D$162,FALSE),"")</f>
        <v>360.08896700303865</v>
      </c>
      <c r="G10" s="509">
        <f ca="1">IFERROR('All Stock'!E$16*VLOOKUP($A10,'IDEES okt 2017 template'!$C$173:$AN$181,'IDEES okt 2017 template'!E$162,FALSE),"")</f>
        <v>363.35505825914112</v>
      </c>
      <c r="H10" s="509">
        <f ca="1">IFERROR('All Stock'!F$16*VLOOKUP($A10,'IDEES okt 2017 template'!$C$173:$AN$181,'IDEES okt 2017 template'!F$162,FALSE),"")</f>
        <v>1.0708901980964656</v>
      </c>
      <c r="I10" s="509">
        <f ca="1">IFERROR('All Stock'!G$16*VLOOKUP($A10,'IDEES okt 2017 template'!$C$173:$AN$181,'IDEES okt 2017 template'!G$162,FALSE),"")</f>
        <v>866.48829024101747</v>
      </c>
      <c r="J10" s="509">
        <f ca="1">IFERROR('All Stock'!H$16*VLOOKUP($A10,'IDEES okt 2017 template'!$C$173:$AN$181,'IDEES okt 2017 template'!H$162,FALSE),"")</f>
        <v>59.481502428224822</v>
      </c>
      <c r="K10" s="509">
        <f ca="1">IFERROR('All Stock'!I$16*VLOOKUP($A10,'IDEES okt 2017 template'!$C$173:$AN$181,'IDEES okt 2017 template'!I$162,FALSE),"")</f>
        <v>0</v>
      </c>
      <c r="L10" s="509">
        <f ca="1">IFERROR('All Stock'!J$16*VLOOKUP($A10,'IDEES okt 2017 template'!$C$173:$AN$181,'IDEES okt 2017 template'!J$162,FALSE),"")</f>
        <v>4806.2369611897675</v>
      </c>
      <c r="M10" s="509">
        <f ca="1">IFERROR('All Stock'!K$16*VLOOKUP($A10,'IDEES okt 2017 template'!$C$173:$AN$181,'IDEES okt 2017 template'!K$162,FALSE),"")</f>
        <v>105.91034417398758</v>
      </c>
      <c r="N10" s="509">
        <f ca="1">IFERROR('All Stock'!L$16*VLOOKUP($A10,'IDEES okt 2017 template'!$C$173:$AN$181,'IDEES okt 2017 template'!L$162,FALSE),"")</f>
        <v>2.5582639946029548</v>
      </c>
      <c r="O10" s="509">
        <f ca="1">IFERROR('All Stock'!M$16*VLOOKUP($A10,'IDEES okt 2017 template'!$C$173:$AN$181,'IDEES okt 2017 template'!M$162,FALSE),"")</f>
        <v>1438.9599054724993</v>
      </c>
      <c r="P10" s="509">
        <f ca="1">IFERROR('All Stock'!N$16*VLOOKUP($A10,'IDEES okt 2017 template'!$C$173:$AN$181,'IDEES okt 2017 template'!N$162,FALSE),"")</f>
        <v>131.60119749977414</v>
      </c>
      <c r="Q10" s="509">
        <f ca="1">IFERROR('All Stock'!O$16*VLOOKUP($A10,'IDEES okt 2017 template'!$C$173:$AN$181,'IDEES okt 2017 template'!O$162,FALSE),"")</f>
        <v>1903.4952723982351</v>
      </c>
      <c r="R10" s="509">
        <f ca="1">IFERROR('All Stock'!P$16*VLOOKUP($A10,'IDEES okt 2017 template'!$C$173:$AN$181,'IDEES okt 2017 template'!P$162,FALSE),"")</f>
        <v>1201.9461831219919</v>
      </c>
      <c r="S10" s="509">
        <f ca="1">IFERROR('All Stock'!Q$16*VLOOKUP($A10,'IDEES okt 2017 template'!$C$173:$AN$181,'IDEES okt 2017 template'!Q$162,FALSE),"")</f>
        <v>39.068333198056315</v>
      </c>
      <c r="T10" s="509">
        <f ca="1">IFERROR('All Stock'!R$16*VLOOKUP($A10,'IDEES okt 2017 template'!$C$173:$AN$181,'IDEES okt 2017 template'!R$162,FALSE),"")</f>
        <v>0</v>
      </c>
      <c r="U10" s="509">
        <f ca="1">IFERROR('All Stock'!S$16*VLOOKUP($A10,'IDEES okt 2017 template'!$C$173:$AN$181,'IDEES okt 2017 template'!S$162,FALSE),"")</f>
        <v>71.36857096458138</v>
      </c>
      <c r="V10" s="509">
        <f ca="1">IFERROR('All Stock'!T$16*VLOOKUP($A10,'IDEES okt 2017 template'!$C$173:$AN$181,'IDEES okt 2017 template'!T$162,FALSE),"")</f>
        <v>0.27855674393589402</v>
      </c>
      <c r="W10" s="509">
        <f ca="1">IFERROR('All Stock'!U$16*VLOOKUP($A10,'IDEES okt 2017 template'!$C$173:$AN$181,'IDEES okt 2017 template'!U$162,FALSE),"")</f>
        <v>1223.2668047230397</v>
      </c>
      <c r="X10" s="509">
        <f ca="1">IFERROR('All Stock'!V$16*VLOOKUP($A10,'IDEES okt 2017 template'!$C$173:$AN$181,'IDEES okt 2017 template'!V$162,FALSE),"")</f>
        <v>3.6784099949451829</v>
      </c>
      <c r="Y10" s="509">
        <f ca="1">IFERROR('All Stock'!W$16*VLOOKUP($A10,'IDEES okt 2017 template'!$C$173:$AN$181,'IDEES okt 2017 template'!W$162,FALSE),"")</f>
        <v>28.68005621457505</v>
      </c>
      <c r="Z10" s="509">
        <f ca="1">IFERROR('All Stock'!X$16*VLOOKUP($A10,'IDEES okt 2017 template'!$C$173:$AN$181,'IDEES okt 2017 template'!X$162,FALSE),"")</f>
        <v>14.558861641647677</v>
      </c>
      <c r="AA10" s="509">
        <f ca="1">IFERROR('All Stock'!Y$16*VLOOKUP($A10,'IDEES okt 2017 template'!$C$173:$AN$181,'IDEES okt 2017 template'!Y$162,FALSE),"")</f>
        <v>0</v>
      </c>
      <c r="AB10" s="509">
        <f ca="1">IFERROR('All Stock'!Z$16*VLOOKUP($A10,'IDEES okt 2017 template'!$C$173:$AN$181,'IDEES okt 2017 template'!Z$162,FALSE),"")</f>
        <v>2.3778894626196365</v>
      </c>
      <c r="AC10" s="509">
        <f ca="1">IFERROR('All Stock'!AA$16*VLOOKUP($A10,'IDEES okt 2017 template'!$C$173:$AN$181,'IDEES okt 2017 template'!AA$162,FALSE),"")</f>
        <v>91.749295579765302</v>
      </c>
      <c r="AD10" s="509">
        <f ca="1">IFERROR('All Stock'!AB$16*VLOOKUP($A10,'IDEES okt 2017 template'!$C$173:$AN$181,'IDEES okt 2017 template'!AB$162,FALSE),"")</f>
        <v>42.595061829466864</v>
      </c>
      <c r="AE10" s="509">
        <f ca="1">IFERROR('All Stock'!AC$16*VLOOKUP($A10,'IDEES okt 2017 template'!$C$173:$AN$181,'IDEES okt 2017 template'!AC$162,FALSE),"")</f>
        <v>43.46891266625164</v>
      </c>
      <c r="AF10" s="509">
        <f ca="1">IFERROR('All Stock'!AD$16*VLOOKUP($A10,'IDEES okt 2017 template'!$C$173:$AN$181,'IDEES okt 2017 template'!AD$162,FALSE),"")</f>
        <v>11.042410014528764</v>
      </c>
      <c r="AG10" s="509">
        <f ca="1">IFERROR('All Stock'!AE$16*VLOOKUP($A10,'IDEES okt 2017 template'!$C$173:$AN$181,'IDEES okt 2017 template'!AE$162,FALSE),"")</f>
        <v>19.556491392236119</v>
      </c>
      <c r="AH10" s="509">
        <f ca="1">IFERROR('All Stock'!AF$16*VLOOKUP($A10,'IDEES okt 2017 template'!$C$173:$AN$181,'IDEES okt 2017 template'!AF$162,FALSE),"")</f>
        <v>115.09628247780316</v>
      </c>
      <c r="AI10" s="509">
        <f ca="1">IFERROR('All Stock'!AG$16*VLOOKUP($A10,'IDEES okt 2017 template'!$C$173:$AN$181,'IDEES okt 2017 template'!AG$162,FALSE),"")</f>
        <v>0</v>
      </c>
      <c r="AJ10" s="509">
        <f ca="1">IFERROR('All Stock'!AH$16*VLOOKUP($A10,'IDEES okt 2017 template'!$C$173:$AN$181,'IDEES okt 2017 template'!AH$162,FALSE),"")</f>
        <v>283.7457965461964</v>
      </c>
      <c r="AK10" s="509">
        <f ca="1">IFERROR('All Stock'!AI$16*VLOOKUP($A10,'IDEES okt 2017 template'!$C$173:$AN$181,'IDEES okt 2017 template'!AI$162,FALSE),"")</f>
        <v>4.8178655912661714</v>
      </c>
      <c r="AL10" s="509">
        <f ca="1">IFERROR('All Stock'!AJ$16*VLOOKUP($A10,'IDEES okt 2017 template'!$C$173:$AN$181,'IDEES okt 2017 template'!AJ$162,FALSE),"")</f>
        <v>0</v>
      </c>
      <c r="AM10" s="509">
        <f ca="1">IFERROR('All Stock'!AK$16*VLOOKUP($A10,'IDEES okt 2017 template'!$C$173:$AN$181,'IDEES okt 2017 template'!AK$162,FALSE),"")</f>
        <v>0</v>
      </c>
      <c r="AN10" s="509">
        <f ca="1">IFERROR('All Stock'!AL$16*VLOOKUP($A10,'IDEES okt 2017 template'!$C$173:$AN$181,'IDEES okt 2017 template'!AL$162,FALSE),"")</f>
        <v>21.422322204375856</v>
      </c>
      <c r="AO10" s="509">
        <f ca="1">IFERROR('All Stock'!AM$16*VLOOKUP($A10,'IDEES okt 2017 template'!$C$173:$AN$181,'IDEES okt 2017 template'!AM$162,FALSE),"")</f>
        <v>0.44486627234411308</v>
      </c>
      <c r="AP10" s="509">
        <f ca="1">IFERROR('All Stock'!AN$16*VLOOKUP($A10,'IDEES okt 2017 template'!$C$173:$AN$181,'IDEES okt 2017 template'!AN$162,FALSE),"")</f>
        <v>8.972972693073169</v>
      </c>
      <c r="AQ10" s="509"/>
      <c r="AR10" s="496"/>
      <c r="AS10" t="str">
        <f t="shared" si="0"/>
        <v>GDO and other liquids (incl. liq. bio.)</v>
      </c>
      <c r="AT10" s="509"/>
      <c r="AW10" s="496">
        <f t="shared" ca="1" si="1"/>
        <v>3.3710354419795721</v>
      </c>
      <c r="AX10" s="496">
        <f t="shared" ca="1" si="2"/>
        <v>4.1729270462176773</v>
      </c>
      <c r="AY10" s="496">
        <f t="shared" ca="1" si="3"/>
        <v>5.2161588077720964</v>
      </c>
      <c r="AZ10" s="467"/>
      <c r="BA10" s="467"/>
      <c r="BC10" s="467"/>
      <c r="BD10" s="467"/>
      <c r="BE10" s="467"/>
      <c r="BF10" s="467"/>
      <c r="BG10" s="467"/>
      <c r="BH10" s="467"/>
      <c r="BI10" s="467"/>
      <c r="BJ10" s="467"/>
      <c r="BK10" s="467"/>
      <c r="BL10" s="467"/>
      <c r="BM10" s="467"/>
      <c r="BN10" s="467"/>
      <c r="BO10" s="467"/>
      <c r="BP10" s="467"/>
      <c r="BQ10" s="467"/>
      <c r="BR10" s="467"/>
      <c r="BS10" s="467"/>
      <c r="BT10" s="467"/>
      <c r="BU10" s="467"/>
      <c r="BV10" s="467"/>
      <c r="BW10" s="467"/>
      <c r="BX10" s="467"/>
      <c r="BY10" s="467"/>
      <c r="BZ10" s="467"/>
      <c r="CA10" s="467"/>
      <c r="CB10" s="467"/>
      <c r="CC10" s="467"/>
      <c r="CD10" s="467"/>
      <c r="CE10" s="467"/>
      <c r="CF10" s="467"/>
      <c r="CG10" s="467"/>
      <c r="CH10" s="467"/>
    </row>
    <row r="11" spans="1:86">
      <c r="A11" t="str">
        <f>TechComm!T27</f>
        <v>Biomass and wastes</v>
      </c>
      <c r="C11" t="str">
        <f>TechComm!L14</f>
        <v>R_ES-SH-FL_BIO</v>
      </c>
      <c r="D11" t="str">
        <f>TechComm!U27</f>
        <v>RSDBIO</v>
      </c>
      <c r="E11" t="str">
        <f t="shared" si="4"/>
        <v>R_ES-FL-SpHeat</v>
      </c>
      <c r="F11" s="509">
        <f ca="1">IFERROR('All Stock'!D$16*VLOOKUP($A11,'IDEES okt 2017 template'!$C$173:$AN$181,'IDEES okt 2017 template'!D$162,FALSE),"")</f>
        <v>383.78209722166156</v>
      </c>
      <c r="G11" s="509">
        <f ca="1">IFERROR('All Stock'!E$16*VLOOKUP($A11,'IDEES okt 2017 template'!$C$173:$AN$181,'IDEES okt 2017 template'!E$162,FALSE),"")</f>
        <v>51.340643639251226</v>
      </c>
      <c r="H11" s="509">
        <f ca="1">IFERROR('All Stock'!F$16*VLOOKUP($A11,'IDEES okt 2017 template'!$C$173:$AN$181,'IDEES okt 2017 template'!F$162,FALSE),"")</f>
        <v>353.76572042361289</v>
      </c>
      <c r="I11" s="509">
        <f ca="1">IFERROR('All Stock'!G$16*VLOOKUP($A11,'IDEES okt 2017 template'!$C$173:$AN$181,'IDEES okt 2017 template'!G$162,FALSE),"")</f>
        <v>144.92869709011092</v>
      </c>
      <c r="J11" s="509">
        <f ca="1">IFERROR('All Stock'!H$16*VLOOKUP($A11,'IDEES okt 2017 template'!$C$173:$AN$181,'IDEES okt 2017 template'!H$162,FALSE),"")</f>
        <v>3.5337817941027287</v>
      </c>
      <c r="K11" s="509">
        <f ca="1">IFERROR('All Stock'!I$16*VLOOKUP($A11,'IDEES okt 2017 template'!$C$173:$AN$181,'IDEES okt 2017 template'!I$162,FALSE),"")</f>
        <v>474.6604755156211</v>
      </c>
      <c r="L11" s="509">
        <f ca="1">IFERROR('All Stock'!J$16*VLOOKUP($A11,'IDEES okt 2017 template'!$C$173:$AN$181,'IDEES okt 2017 template'!J$162,FALSE),"")</f>
        <v>1850.3882688769118</v>
      </c>
      <c r="M11" s="509">
        <f ca="1">IFERROR('All Stock'!K$16*VLOOKUP($A11,'IDEES okt 2017 template'!$C$173:$AN$181,'IDEES okt 2017 template'!K$162,FALSE),"")</f>
        <v>188.00494867513504</v>
      </c>
      <c r="N11" s="509">
        <f ca="1">IFERROR('All Stock'!L$16*VLOOKUP($A11,'IDEES okt 2017 template'!$C$173:$AN$181,'IDEES okt 2017 template'!L$162,FALSE),"")</f>
        <v>179.49070065575694</v>
      </c>
      <c r="O11" s="509">
        <f ca="1">IFERROR('All Stock'!M$16*VLOOKUP($A11,'IDEES okt 2017 template'!$C$173:$AN$181,'IDEES okt 2017 template'!M$162,FALSE),"")</f>
        <v>1633.8958681194181</v>
      </c>
      <c r="P11" s="509">
        <f ca="1">IFERROR('All Stock'!N$16*VLOOKUP($A11,'IDEES okt 2017 template'!$C$173:$AN$181,'IDEES okt 2017 template'!N$162,FALSE),"")</f>
        <v>240.39047972049124</v>
      </c>
      <c r="Q11" s="509">
        <f ca="1">IFERROR('All Stock'!O$16*VLOOKUP($A11,'IDEES okt 2017 template'!$C$173:$AN$181,'IDEES okt 2017 template'!O$162,FALSE),"")</f>
        <v>1774.1966819830909</v>
      </c>
      <c r="R11" s="509">
        <f ca="1">IFERROR('All Stock'!P$16*VLOOKUP($A11,'IDEES okt 2017 template'!$C$173:$AN$181,'IDEES okt 2017 template'!P$162,FALSE),"")</f>
        <v>294.71866504639689</v>
      </c>
      <c r="S11" s="509">
        <f ca="1">IFERROR('All Stock'!Q$16*VLOOKUP($A11,'IDEES okt 2017 template'!$C$173:$AN$181,'IDEES okt 2017 template'!Q$162,FALSE),"")</f>
        <v>268.93065770556126</v>
      </c>
      <c r="T11" s="509">
        <f ca="1">IFERROR('All Stock'!R$16*VLOOKUP($A11,'IDEES okt 2017 template'!$C$173:$AN$181,'IDEES okt 2017 template'!R$162,FALSE),"")</f>
        <v>320.828078350829</v>
      </c>
      <c r="U11" s="509">
        <f ca="1">IFERROR('All Stock'!S$16*VLOOKUP($A11,'IDEES okt 2017 template'!$C$173:$AN$181,'IDEES okt 2017 template'!S$162,FALSE),"")</f>
        <v>1.3488809108562569</v>
      </c>
      <c r="V11" s="509">
        <f ca="1">IFERROR('All Stock'!T$16*VLOOKUP($A11,'IDEES okt 2017 template'!$C$173:$AN$181,'IDEES okt 2017 template'!T$162,FALSE),"")</f>
        <v>0</v>
      </c>
      <c r="W11" s="509">
        <f ca="1">IFERROR('All Stock'!U$16*VLOOKUP($A11,'IDEES okt 2017 template'!$C$173:$AN$181,'IDEES okt 2017 template'!U$162,FALSE),"")</f>
        <v>3945.8417074694594</v>
      </c>
      <c r="X11" s="509">
        <f ca="1">IFERROR('All Stock'!V$16*VLOOKUP($A11,'IDEES okt 2017 template'!$C$173:$AN$181,'IDEES okt 2017 template'!V$162,FALSE),"")</f>
        <v>247.40764161149124</v>
      </c>
      <c r="Y11" s="509">
        <f ca="1">IFERROR('All Stock'!W$16*VLOOKUP($A11,'IDEES okt 2017 template'!$C$173:$AN$181,'IDEES okt 2017 template'!W$162,FALSE),"")</f>
        <v>2.2233923465159307</v>
      </c>
      <c r="Z11" s="509">
        <f ca="1">IFERROR('All Stock'!X$16*VLOOKUP($A11,'IDEES okt 2017 template'!$C$173:$AN$181,'IDEES okt 2017 template'!X$162,FALSE),"")</f>
        <v>246.9559035560776</v>
      </c>
      <c r="AA11" s="509">
        <f ca="1">IFERROR('All Stock'!Y$16*VLOOKUP($A11,'IDEES okt 2017 template'!$C$173:$AN$181,'IDEES okt 2017 template'!Y$162,FALSE),"")</f>
        <v>1.4292224411566818</v>
      </c>
      <c r="AB11" s="509">
        <f ca="1">IFERROR('All Stock'!Z$16*VLOOKUP($A11,'IDEES okt 2017 template'!$C$173:$AN$181,'IDEES okt 2017 template'!Z$162,FALSE),"")</f>
        <v>65.791924584042135</v>
      </c>
      <c r="AC11" s="509">
        <f ca="1">IFERROR('All Stock'!AA$16*VLOOKUP($A11,'IDEES okt 2017 template'!$C$173:$AN$181,'IDEES okt 2017 template'!AA$162,FALSE),"")</f>
        <v>324.55456353264452</v>
      </c>
      <c r="AD11" s="509">
        <f ca="1">IFERROR('All Stock'!AB$16*VLOOKUP($A11,'IDEES okt 2017 template'!$C$173:$AN$181,'IDEES okt 2017 template'!AB$162,FALSE),"")</f>
        <v>803.87335398055404</v>
      </c>
      <c r="AE11" s="509">
        <f ca="1">IFERROR('All Stock'!AC$16*VLOOKUP($A11,'IDEES okt 2017 template'!$C$173:$AN$181,'IDEES okt 2017 template'!AC$162,FALSE),"")</f>
        <v>334.13915370563984</v>
      </c>
      <c r="AF11" s="509">
        <f ca="1">IFERROR('All Stock'!AD$16*VLOOKUP($A11,'IDEES okt 2017 template'!$C$173:$AN$181,'IDEES okt 2017 template'!AD$162,FALSE),"")</f>
        <v>845.12475169525533</v>
      </c>
      <c r="AG11" s="509">
        <f ca="1">IFERROR('All Stock'!AE$16*VLOOKUP($A11,'IDEES okt 2017 template'!$C$173:$AN$181,'IDEES okt 2017 template'!AE$162,FALSE),"")</f>
        <v>143.22502851586853</v>
      </c>
      <c r="AH11" s="509">
        <f ca="1">IFERROR('All Stock'!AF$16*VLOOKUP($A11,'IDEES okt 2017 template'!$C$173:$AN$181,'IDEES okt 2017 template'!AF$162,FALSE),"")</f>
        <v>212.05238365858159</v>
      </c>
      <c r="AI11" s="509">
        <f ca="1">IFERROR('All Stock'!AG$16*VLOOKUP($A11,'IDEES okt 2017 template'!$C$173:$AN$181,'IDEES okt 2017 template'!AG$162,FALSE),"")</f>
        <v>10.431883185695451</v>
      </c>
      <c r="AJ11" s="509">
        <f ca="1">IFERROR('All Stock'!AH$16*VLOOKUP($A11,'IDEES okt 2017 template'!$C$173:$AN$181,'IDEES okt 2017 template'!AH$162,FALSE),"")</f>
        <v>95.578228031792278</v>
      </c>
      <c r="AK11" s="509">
        <f ca="1">IFERROR('All Stock'!AI$16*VLOOKUP($A11,'IDEES okt 2017 template'!$C$173:$AN$181,'IDEES okt 2017 template'!AI$162,FALSE),"")</f>
        <v>181.84141167299589</v>
      </c>
      <c r="AL11" s="509">
        <f ca="1">IFERROR('All Stock'!AJ$16*VLOOKUP($A11,'IDEES okt 2017 template'!$C$173:$AN$181,'IDEES okt 2017 template'!AJ$162,FALSE),"")</f>
        <v>101.86598129561165</v>
      </c>
      <c r="AM11" s="509">
        <f ca="1">IFERROR('All Stock'!AK$16*VLOOKUP($A11,'IDEES okt 2017 template'!$C$173:$AN$181,'IDEES okt 2017 template'!AK$162,FALSE),"")</f>
        <v>96.52227498682592</v>
      </c>
      <c r="AN11" s="509">
        <f ca="1">IFERROR('All Stock'!AL$16*VLOOKUP($A11,'IDEES okt 2017 template'!$C$173:$AN$181,'IDEES okt 2017 template'!AL$162,FALSE),"")</f>
        <v>108.38287796595712</v>
      </c>
      <c r="AO11" s="509">
        <f ca="1">IFERROR('All Stock'!AM$16*VLOOKUP($A11,'IDEES okt 2017 template'!$C$173:$AN$181,'IDEES okt 2017 template'!AM$162,FALSE),"")</f>
        <v>394.38858514337079</v>
      </c>
      <c r="AP11" s="509">
        <f ca="1">IFERROR('All Stock'!AN$16*VLOOKUP($A11,'IDEES okt 2017 template'!$C$173:$AN$181,'IDEES okt 2017 template'!AN$162,FALSE),"")</f>
        <v>130.44402736980936</v>
      </c>
      <c r="AQ11" s="509"/>
      <c r="AR11" s="496"/>
      <c r="AS11" t="str">
        <f t="shared" si="0"/>
        <v>Biomass and wastes</v>
      </c>
      <c r="AT11" s="509"/>
      <c r="AW11" s="496">
        <f t="shared" ca="1" si="1"/>
        <v>6.7225988011831186</v>
      </c>
      <c r="AX11" s="496">
        <f t="shared" ca="1" si="2"/>
        <v>8.0681847079649476</v>
      </c>
      <c r="AY11" s="496">
        <f t="shared" ca="1" si="3"/>
        <v>11.52597815423564</v>
      </c>
      <c r="AZ11" s="467"/>
      <c r="BA11" s="467"/>
      <c r="BB11" s="467"/>
      <c r="BC11" s="467"/>
      <c r="BD11" s="467"/>
      <c r="BE11" s="467"/>
      <c r="BF11" s="467"/>
      <c r="BG11" s="467"/>
      <c r="BH11" s="467"/>
      <c r="BI11" s="467"/>
      <c r="BJ11" s="467"/>
      <c r="BK11" s="467"/>
      <c r="BL11" s="467"/>
      <c r="BM11" s="467"/>
      <c r="BN11" s="467"/>
      <c r="BO11" s="467"/>
      <c r="BP11" s="467"/>
      <c r="BQ11" s="467"/>
      <c r="BR11" s="467"/>
      <c r="BS11" s="467"/>
      <c r="BT11" s="467"/>
      <c r="BU11" s="467"/>
      <c r="BV11" s="467"/>
      <c r="BW11" s="467"/>
      <c r="BX11" s="467"/>
      <c r="BY11" s="467"/>
      <c r="BZ11" s="467"/>
      <c r="CA11" s="467"/>
      <c r="CB11" s="467"/>
      <c r="CC11" s="467"/>
      <c r="CD11" s="467"/>
      <c r="CE11" s="467"/>
      <c r="CF11" s="467"/>
      <c r="CG11" s="467"/>
      <c r="CH11" s="467"/>
    </row>
    <row r="12" spans="1:86">
      <c r="A12" t="str">
        <f>TechComm!T28</f>
        <v>Solids</v>
      </c>
      <c r="C12" t="str">
        <f>TechComm!L15</f>
        <v>R_ES-SH-FL_COA</v>
      </c>
      <c r="D12" t="str">
        <f>TechComm!U28</f>
        <v>RSDCOA</v>
      </c>
      <c r="E12" t="str">
        <f t="shared" si="4"/>
        <v>R_ES-FL-SpHeat</v>
      </c>
      <c r="F12" s="509">
        <f ca="1">IFERROR('All Stock'!D$16*VLOOKUP($A12,'IDEES okt 2017 template'!$C$173:$AN$181,'IDEES okt 2017 template'!D$162,FALSE),"")</f>
        <v>13.958510964494423</v>
      </c>
      <c r="G12" s="509">
        <f ca="1">IFERROR('All Stock'!E$16*VLOOKUP($A12,'IDEES okt 2017 template'!$C$173:$AN$181,'IDEES okt 2017 template'!E$162,FALSE),"")</f>
        <v>14.762808287721493</v>
      </c>
      <c r="H12" s="509">
        <f ca="1">IFERROR('All Stock'!F$16*VLOOKUP($A12,'IDEES okt 2017 template'!$C$173:$AN$181,'IDEES okt 2017 template'!F$162,FALSE),"")</f>
        <v>99.79274465178726</v>
      </c>
      <c r="I12" s="509">
        <f ca="1">IFERROR('All Stock'!G$16*VLOOKUP($A12,'IDEES okt 2017 template'!$C$173:$AN$181,'IDEES okt 2017 template'!G$162,FALSE),"")</f>
        <v>2.894365724390914</v>
      </c>
      <c r="J12" s="509">
        <f ca="1">IFERROR('All Stock'!H$16*VLOOKUP($A12,'IDEES okt 2017 template'!$C$173:$AN$181,'IDEES okt 2017 template'!H$162,FALSE),"")</f>
        <v>0</v>
      </c>
      <c r="K12" s="509">
        <f ca="1">IFERROR('All Stock'!I$16*VLOOKUP($A12,'IDEES okt 2017 template'!$C$173:$AN$181,'IDEES okt 2017 template'!I$162,FALSE),"")</f>
        <v>298.93296725414029</v>
      </c>
      <c r="L12" s="509">
        <f ca="1">IFERROR('All Stock'!J$16*VLOOKUP($A12,'IDEES okt 2017 template'!$C$173:$AN$181,'IDEES okt 2017 template'!J$162,FALSE),"")</f>
        <v>300.800690516354</v>
      </c>
      <c r="M12" s="509">
        <f ca="1">IFERROR('All Stock'!K$16*VLOOKUP($A12,'IDEES okt 2017 template'!$C$173:$AN$181,'IDEES okt 2017 template'!K$162,FALSE),"")</f>
        <v>0</v>
      </c>
      <c r="N12" s="509">
        <f ca="1">IFERROR('All Stock'!L$16*VLOOKUP($A12,'IDEES okt 2017 template'!$C$173:$AN$181,'IDEES okt 2017 template'!L$162,FALSE),"")</f>
        <v>5.0362656707642079</v>
      </c>
      <c r="O12" s="509">
        <f ca="1">IFERROR('All Stock'!M$16*VLOOKUP($A12,'IDEES okt 2017 template'!$C$173:$AN$181,'IDEES okt 2017 template'!M$162,FALSE),"")</f>
        <v>140.65207376979819</v>
      </c>
      <c r="P12" s="509">
        <f ca="1">IFERROR('All Stock'!N$16*VLOOKUP($A12,'IDEES okt 2017 template'!$C$173:$AN$181,'IDEES okt 2017 template'!N$162,FALSE),"")</f>
        <v>1.5593250112068633</v>
      </c>
      <c r="Q12" s="509">
        <f ca="1">IFERROR('All Stock'!O$16*VLOOKUP($A12,'IDEES okt 2017 template'!$C$173:$AN$181,'IDEES okt 2017 template'!O$162,FALSE),"")</f>
        <v>52.273793314139041</v>
      </c>
      <c r="R12" s="509">
        <f ca="1">IFERROR('All Stock'!P$16*VLOOKUP($A12,'IDEES okt 2017 template'!$C$173:$AN$181,'IDEES okt 2017 template'!P$162,FALSE),"")</f>
        <v>0</v>
      </c>
      <c r="S12" s="509">
        <f ca="1">IFERROR('All Stock'!Q$16*VLOOKUP($A12,'IDEES okt 2017 template'!$C$173:$AN$181,'IDEES okt 2017 template'!Q$162,FALSE),"")</f>
        <v>1.3722051564598667</v>
      </c>
      <c r="T12" s="509">
        <f ca="1">IFERROR('All Stock'!R$16*VLOOKUP($A12,'IDEES okt 2017 template'!$C$173:$AN$181,'IDEES okt 2017 template'!R$162,FALSE),"")</f>
        <v>36.295287224172093</v>
      </c>
      <c r="U12" s="509">
        <f ca="1">IFERROR('All Stock'!S$16*VLOOKUP($A12,'IDEES okt 2017 template'!$C$173:$AN$181,'IDEES okt 2017 template'!S$162,FALSE),"")</f>
        <v>26.57134667740279</v>
      </c>
      <c r="V12" s="509">
        <f ca="1">IFERROR('All Stock'!T$16*VLOOKUP($A12,'IDEES okt 2017 template'!$C$173:$AN$181,'IDEES okt 2017 template'!T$162,FALSE),"")</f>
        <v>0</v>
      </c>
      <c r="W12" s="509">
        <f ca="1">IFERROR('All Stock'!U$16*VLOOKUP($A12,'IDEES okt 2017 template'!$C$173:$AN$181,'IDEES okt 2017 template'!U$162,FALSE),"")</f>
        <v>2.5528931039590752</v>
      </c>
      <c r="X12" s="509">
        <f ca="1">IFERROR('All Stock'!V$16*VLOOKUP($A12,'IDEES okt 2017 template'!$C$173:$AN$181,'IDEES okt 2017 template'!V$162,FALSE),"")</f>
        <v>31.790122623680062</v>
      </c>
      <c r="Y12" s="509">
        <f ca="1">IFERROR('All Stock'!W$16*VLOOKUP($A12,'IDEES okt 2017 template'!$C$173:$AN$181,'IDEES okt 2017 template'!W$162,FALSE),"")</f>
        <v>7.2635363467468295E-2</v>
      </c>
      <c r="Z12" s="509">
        <f ca="1">IFERROR('All Stock'!X$16*VLOOKUP($A12,'IDEES okt 2017 template'!$C$173:$AN$181,'IDEES okt 2017 template'!X$162,FALSE),"")</f>
        <v>7.464469903513594</v>
      </c>
      <c r="AA12" s="509">
        <f ca="1">IFERROR('All Stock'!Y$16*VLOOKUP($A12,'IDEES okt 2017 template'!$C$173:$AN$181,'IDEES okt 2017 template'!Y$162,FALSE),"")</f>
        <v>0</v>
      </c>
      <c r="AB12" s="509">
        <f ca="1">IFERROR('All Stock'!Z$16*VLOOKUP($A12,'IDEES okt 2017 template'!$C$173:$AN$181,'IDEES okt 2017 template'!Z$162,FALSE),"")</f>
        <v>0.37340877826991348</v>
      </c>
      <c r="AC12" s="509">
        <f ca="1">IFERROR('All Stock'!AA$16*VLOOKUP($A12,'IDEES okt 2017 template'!$C$173:$AN$181,'IDEES okt 2017 template'!AA$162,FALSE),"")</f>
        <v>0</v>
      </c>
      <c r="AD12" s="509">
        <f ca="1">IFERROR('All Stock'!AB$16*VLOOKUP($A12,'IDEES okt 2017 template'!$C$173:$AN$181,'IDEES okt 2017 template'!AB$162,FALSE),"")</f>
        <v>2314.6933183311385</v>
      </c>
      <c r="AE12" s="509">
        <f ca="1">IFERROR('All Stock'!AC$16*VLOOKUP($A12,'IDEES okt 2017 template'!$C$173:$AN$181,'IDEES okt 2017 template'!AC$162,FALSE),"")</f>
        <v>0</v>
      </c>
      <c r="AF12" s="509">
        <f ca="1">IFERROR('All Stock'!AD$16*VLOOKUP($A12,'IDEES okt 2017 template'!$C$173:$AN$181,'IDEES okt 2017 template'!AD$162,FALSE),"")</f>
        <v>6.2376115495491717</v>
      </c>
      <c r="AG12" s="509">
        <f ca="1">IFERROR('All Stock'!AE$16*VLOOKUP($A12,'IDEES okt 2017 template'!$C$173:$AN$181,'IDEES okt 2017 template'!AE$162,FALSE),"")</f>
        <v>0</v>
      </c>
      <c r="AH12" s="509">
        <f ca="1">IFERROR('All Stock'!AF$16*VLOOKUP($A12,'IDEES okt 2017 template'!$C$173:$AN$181,'IDEES okt 2017 template'!AF$162,FALSE),"")</f>
        <v>0.65982327931224383</v>
      </c>
      <c r="AI12" s="509">
        <f ca="1">IFERROR('All Stock'!AG$16*VLOOKUP($A12,'IDEES okt 2017 template'!$C$173:$AN$181,'IDEES okt 2017 template'!AG$162,FALSE),"")</f>
        <v>14.848518191412058</v>
      </c>
      <c r="AJ12" s="509">
        <f ca="1">IFERROR('All Stock'!AH$16*VLOOKUP($A12,'IDEES okt 2017 template'!$C$173:$AN$181,'IDEES okt 2017 template'!AH$162,FALSE),"")</f>
        <v>71.41646580632667</v>
      </c>
      <c r="AK12" s="509">
        <f ca="1">IFERROR('All Stock'!AI$16*VLOOKUP($A12,'IDEES okt 2017 template'!$C$173:$AN$181,'IDEES okt 2017 template'!AI$162,FALSE),"")</f>
        <v>0</v>
      </c>
      <c r="AL12" s="509">
        <f ca="1">IFERROR('All Stock'!AJ$16*VLOOKUP($A12,'IDEES okt 2017 template'!$C$173:$AN$181,'IDEES okt 2017 template'!AJ$162,FALSE),"")</f>
        <v>66.164896923528062</v>
      </c>
      <c r="AM12" s="509">
        <f ca="1">IFERROR('All Stock'!AK$16*VLOOKUP($A12,'IDEES okt 2017 template'!$C$173:$AN$181,'IDEES okt 2017 template'!AK$162,FALSE),"")</f>
        <v>0</v>
      </c>
      <c r="AN12" s="509">
        <f ca="1">IFERROR('All Stock'!AL$16*VLOOKUP($A12,'IDEES okt 2017 template'!$C$173:$AN$181,'IDEES okt 2017 template'!AL$162,FALSE),"")</f>
        <v>0</v>
      </c>
      <c r="AO12" s="509">
        <f ca="1">IFERROR('All Stock'!AM$16*VLOOKUP($A12,'IDEES okt 2017 template'!$C$173:$AN$181,'IDEES okt 2017 template'!AM$162,FALSE),"")</f>
        <v>99.800167761078981</v>
      </c>
      <c r="AP12" s="509">
        <f ca="1">IFERROR('All Stock'!AN$16*VLOOKUP($A12,'IDEES okt 2017 template'!$C$173:$AN$181,'IDEES okt 2017 template'!AN$162,FALSE),"")</f>
        <v>13.321293966466582</v>
      </c>
      <c r="AQ12" s="509"/>
      <c r="AR12" s="496"/>
      <c r="AS12" t="str">
        <f t="shared" si="0"/>
        <v>Solids</v>
      </c>
      <c r="AT12" s="509"/>
      <c r="AW12" s="496">
        <f t="shared" ca="1" si="1"/>
        <v>4.0628298292058405E-2</v>
      </c>
      <c r="AX12" s="496">
        <f t="shared" ca="1" si="2"/>
        <v>4.649036776461811E-2</v>
      </c>
      <c r="AY12" s="496">
        <f t="shared" ca="1" si="3"/>
        <v>7.1523642714797095E-2</v>
      </c>
      <c r="AZ12" s="467"/>
      <c r="BA12" s="467"/>
      <c r="BB12" s="467"/>
      <c r="BC12" s="467"/>
      <c r="BD12" s="467"/>
      <c r="BE12" s="467"/>
      <c r="BF12" s="467"/>
      <c r="BG12" s="467"/>
      <c r="BH12" s="467"/>
      <c r="BI12" s="467"/>
      <c r="BJ12" s="467"/>
      <c r="BK12" s="467"/>
      <c r="BL12" s="467"/>
      <c r="BM12" s="467"/>
      <c r="BN12" s="467"/>
      <c r="BO12" s="467"/>
      <c r="BP12" s="467"/>
      <c r="BQ12" s="467"/>
      <c r="BR12" s="467"/>
      <c r="BS12" s="467"/>
      <c r="BT12" s="467"/>
      <c r="BU12" s="467"/>
      <c r="BV12" s="467"/>
      <c r="BW12" s="467"/>
      <c r="BX12" s="467"/>
      <c r="BY12" s="467"/>
      <c r="BZ12" s="467"/>
      <c r="CA12" s="467"/>
      <c r="CB12" s="467"/>
      <c r="CC12" s="467"/>
      <c r="CD12" s="467"/>
      <c r="CE12" s="467"/>
      <c r="CF12" s="467"/>
      <c r="CG12" s="467"/>
      <c r="CH12" s="467"/>
    </row>
    <row r="13" spans="1:86">
      <c r="A13" t="str">
        <f>TechComm!T29</f>
        <v>LPG</v>
      </c>
      <c r="C13" t="str">
        <f>TechComm!L16</f>
        <v>R_ES-SH-FL_LPG</v>
      </c>
      <c r="D13" t="str">
        <f>TechComm!U29</f>
        <v>RSDLPG</v>
      </c>
      <c r="E13" t="str">
        <f t="shared" si="4"/>
        <v>R_ES-FL-SpHeat</v>
      </c>
      <c r="F13" s="509">
        <f ca="1">IFERROR('All Stock'!D$16*VLOOKUP($A13,'IDEES okt 2017 template'!$C$173:$AN$181,'IDEES okt 2017 template'!D$162,FALSE),"")</f>
        <v>3.1805113049092877</v>
      </c>
      <c r="G13" s="509">
        <f ca="1">IFERROR('All Stock'!E$16*VLOOKUP($A13,'IDEES okt 2017 template'!$C$173:$AN$181,'IDEES okt 2017 template'!E$162,FALSE),"")</f>
        <v>1.9912214818510534</v>
      </c>
      <c r="H13" s="509">
        <f ca="1">IFERROR('All Stock'!F$16*VLOOKUP($A13,'IDEES okt 2017 template'!$C$173:$AN$181,'IDEES okt 2017 template'!F$162,FALSE),"")</f>
        <v>2.548986090134266</v>
      </c>
      <c r="I13" s="509">
        <f ca="1">IFERROR('All Stock'!G$16*VLOOKUP($A13,'IDEES okt 2017 template'!$C$173:$AN$181,'IDEES okt 2017 template'!G$162,FALSE),"")</f>
        <v>0</v>
      </c>
      <c r="J13" s="509">
        <f ca="1">IFERROR('All Stock'!H$16*VLOOKUP($A13,'IDEES okt 2017 template'!$C$173:$AN$181,'IDEES okt 2017 template'!H$162,FALSE),"")</f>
        <v>9.0392358190551789</v>
      </c>
      <c r="K13" s="509">
        <f ca="1">IFERROR('All Stock'!I$16*VLOOKUP($A13,'IDEES okt 2017 template'!$C$173:$AN$181,'IDEES okt 2017 template'!I$162,FALSE),"")</f>
        <v>0</v>
      </c>
      <c r="L13" s="509">
        <f ca="1">IFERROR('All Stock'!J$16*VLOOKUP($A13,'IDEES okt 2017 template'!$C$173:$AN$181,'IDEES okt 2017 template'!J$162,FALSE),"")</f>
        <v>71.019756308358879</v>
      </c>
      <c r="M13" s="509">
        <f ca="1">IFERROR('All Stock'!K$16*VLOOKUP($A13,'IDEES okt 2017 template'!$C$173:$AN$181,'IDEES okt 2017 template'!K$162,FALSE),"")</f>
        <v>1.107629237586347</v>
      </c>
      <c r="N13" s="509">
        <f ca="1">IFERROR('All Stock'!L$16*VLOOKUP($A13,'IDEES okt 2017 template'!$C$173:$AN$181,'IDEES okt 2017 template'!L$162,FALSE),"")</f>
        <v>0</v>
      </c>
      <c r="O13" s="509">
        <f ca="1">IFERROR('All Stock'!M$16*VLOOKUP($A13,'IDEES okt 2017 template'!$C$173:$AN$181,'IDEES okt 2017 template'!M$162,FALSE),"")</f>
        <v>318.6324140306441</v>
      </c>
      <c r="P13" s="509">
        <f ca="1">IFERROR('All Stock'!N$16*VLOOKUP($A13,'IDEES okt 2017 template'!$C$173:$AN$181,'IDEES okt 2017 template'!N$162,FALSE),"")</f>
        <v>0</v>
      </c>
      <c r="Q13" s="509">
        <f ca="1">IFERROR('All Stock'!O$16*VLOOKUP($A13,'IDEES okt 2017 template'!$C$173:$AN$181,'IDEES okt 2017 template'!O$162,FALSE),"")</f>
        <v>88.869595004364257</v>
      </c>
      <c r="R13" s="509">
        <f ca="1">IFERROR('All Stock'!P$16*VLOOKUP($A13,'IDEES okt 2017 template'!$C$173:$AN$181,'IDEES okt 2017 template'!P$162,FALSE),"")</f>
        <v>0</v>
      </c>
      <c r="S13" s="509">
        <f ca="1">IFERROR('All Stock'!Q$16*VLOOKUP($A13,'IDEES okt 2017 template'!$C$173:$AN$181,'IDEES okt 2017 template'!Q$162,FALSE),"")</f>
        <v>4.9330154910715729</v>
      </c>
      <c r="T13" s="509">
        <f ca="1">IFERROR('All Stock'!R$16*VLOOKUP($A13,'IDEES okt 2017 template'!$C$173:$AN$181,'IDEES okt 2017 template'!R$162,FALSE),"")</f>
        <v>11.127637390628715</v>
      </c>
      <c r="U13" s="509">
        <f ca="1">IFERROR('All Stock'!S$16*VLOOKUP($A13,'IDEES okt 2017 template'!$C$173:$AN$181,'IDEES okt 2017 template'!S$162,FALSE),"")</f>
        <v>1.6236885358759294</v>
      </c>
      <c r="V13" s="509">
        <f ca="1">IFERROR('All Stock'!T$16*VLOOKUP($A13,'IDEES okt 2017 template'!$C$173:$AN$181,'IDEES okt 2017 template'!T$162,FALSE),"")</f>
        <v>0</v>
      </c>
      <c r="W13" s="509">
        <f ca="1">IFERROR('All Stock'!U$16*VLOOKUP($A13,'IDEES okt 2017 template'!$C$173:$AN$181,'IDEES okt 2017 template'!U$162,FALSE),"")</f>
        <v>367.62404980714467</v>
      </c>
      <c r="X13" s="509">
        <f ca="1">IFERROR('All Stock'!V$16*VLOOKUP($A13,'IDEES okt 2017 template'!$C$173:$AN$181,'IDEES okt 2017 template'!V$162,FALSE),"")</f>
        <v>0</v>
      </c>
      <c r="Y13" s="509">
        <f ca="1">IFERROR('All Stock'!W$16*VLOOKUP($A13,'IDEES okt 2017 template'!$C$173:$AN$181,'IDEES okt 2017 template'!W$162,FALSE),"")</f>
        <v>0</v>
      </c>
      <c r="Z13" s="509">
        <f ca="1">IFERROR('All Stock'!X$16*VLOOKUP($A13,'IDEES okt 2017 template'!$C$173:$AN$181,'IDEES okt 2017 template'!X$162,FALSE),"")</f>
        <v>0</v>
      </c>
      <c r="AA13" s="509">
        <f ca="1">IFERROR('All Stock'!Y$16*VLOOKUP($A13,'IDEES okt 2017 template'!$C$173:$AN$181,'IDEES okt 2017 template'!Y$162,FALSE),"")</f>
        <v>7.9740680146566918</v>
      </c>
      <c r="AB13" s="509">
        <f ca="1">IFERROR('All Stock'!Z$16*VLOOKUP($A13,'IDEES okt 2017 template'!$C$173:$AN$181,'IDEES okt 2017 template'!Z$162,FALSE),"")</f>
        <v>0</v>
      </c>
      <c r="AC13" s="509">
        <f ca="1">IFERROR('All Stock'!AA$16*VLOOKUP($A13,'IDEES okt 2017 template'!$C$173:$AN$181,'IDEES okt 2017 template'!AA$162,FALSE),"")</f>
        <v>0</v>
      </c>
      <c r="AD13" s="509">
        <f ca="1">IFERROR('All Stock'!AB$16*VLOOKUP($A13,'IDEES okt 2017 template'!$C$173:$AN$181,'IDEES okt 2017 template'!AB$162,FALSE),"")</f>
        <v>0</v>
      </c>
      <c r="AE13" s="509">
        <f ca="1">IFERROR('All Stock'!AC$16*VLOOKUP($A13,'IDEES okt 2017 template'!$C$173:$AN$181,'IDEES okt 2017 template'!AC$162,FALSE),"")</f>
        <v>28.912403437299499</v>
      </c>
      <c r="AF13" s="509">
        <f ca="1">IFERROR('All Stock'!AD$16*VLOOKUP($A13,'IDEES okt 2017 template'!$C$173:$AN$181,'IDEES okt 2017 template'!AD$162,FALSE),"")</f>
        <v>0</v>
      </c>
      <c r="AG13" s="509">
        <f ca="1">IFERROR('All Stock'!AE$16*VLOOKUP($A13,'IDEES okt 2017 template'!$C$173:$AN$181,'IDEES okt 2017 template'!AE$162,FALSE),"")</f>
        <v>0</v>
      </c>
      <c r="AH13" s="509">
        <f ca="1">IFERROR('All Stock'!AF$16*VLOOKUP($A13,'IDEES okt 2017 template'!$C$173:$AN$181,'IDEES okt 2017 template'!AF$162,FALSE),"")</f>
        <v>4.2063004808499365</v>
      </c>
      <c r="AI13" s="509">
        <f ca="1">IFERROR('All Stock'!AG$16*VLOOKUP($A13,'IDEES okt 2017 template'!$C$173:$AN$181,'IDEES okt 2017 template'!AG$162,FALSE),"")</f>
        <v>0</v>
      </c>
      <c r="AJ13" s="509">
        <f ca="1">IFERROR('All Stock'!AH$16*VLOOKUP($A13,'IDEES okt 2017 template'!$C$173:$AN$181,'IDEES okt 2017 template'!AH$162,FALSE),"")</f>
        <v>9.45085209089277</v>
      </c>
      <c r="AK13" s="509">
        <f ca="1">IFERROR('All Stock'!AI$16*VLOOKUP($A13,'IDEES okt 2017 template'!$C$173:$AN$181,'IDEES okt 2017 template'!AI$162,FALSE),"")</f>
        <v>0</v>
      </c>
      <c r="AL13" s="509">
        <f ca="1">IFERROR('All Stock'!AJ$16*VLOOKUP($A13,'IDEES okt 2017 template'!$C$173:$AN$181,'IDEES okt 2017 template'!AJ$162,FALSE),"")</f>
        <v>0</v>
      </c>
      <c r="AM13" s="509">
        <f ca="1">IFERROR('All Stock'!AK$16*VLOOKUP($A13,'IDEES okt 2017 template'!$C$173:$AN$181,'IDEES okt 2017 template'!AK$162,FALSE),"")</f>
        <v>0</v>
      </c>
      <c r="AN13" s="509">
        <f ca="1">IFERROR('All Stock'!AL$16*VLOOKUP($A13,'IDEES okt 2017 template'!$C$173:$AN$181,'IDEES okt 2017 template'!AL$162,FALSE),"")</f>
        <v>0</v>
      </c>
      <c r="AO13" s="509">
        <f ca="1">IFERROR('All Stock'!AM$16*VLOOKUP($A13,'IDEES okt 2017 template'!$C$173:$AN$181,'IDEES okt 2017 template'!AM$162,FALSE),"")</f>
        <v>2.9573406000097058</v>
      </c>
      <c r="AP13" s="509">
        <f ca="1">IFERROR('All Stock'!AN$16*VLOOKUP($A13,'IDEES okt 2017 template'!$C$173:$AN$181,'IDEES okt 2017 template'!AN$162,FALSE),"")</f>
        <v>1.5631278372333453</v>
      </c>
      <c r="AQ13" s="509"/>
      <c r="AR13" s="496"/>
      <c r="AS13" t="str">
        <f t="shared" si="0"/>
        <v>LPG</v>
      </c>
      <c r="AT13" s="509"/>
      <c r="AW13" s="496">
        <f t="shared" ca="1" si="1"/>
        <v>0</v>
      </c>
      <c r="AX13" s="496">
        <f t="shared" ca="1" si="2"/>
        <v>0</v>
      </c>
      <c r="AY13" s="496">
        <f t="shared" ca="1" si="3"/>
        <v>0</v>
      </c>
      <c r="AZ13" s="467"/>
      <c r="BA13" s="467"/>
      <c r="BB13" s="467"/>
      <c r="BC13" s="467"/>
      <c r="BD13" s="467"/>
      <c r="BE13" s="467"/>
      <c r="BF13" s="467"/>
      <c r="BG13" s="467"/>
      <c r="BH13" s="467"/>
      <c r="BI13" s="467"/>
      <c r="BJ13" s="467"/>
      <c r="BK13" s="467"/>
      <c r="BL13" s="467"/>
      <c r="BM13" s="467"/>
      <c r="BN13" s="467"/>
      <c r="BO13" s="467"/>
      <c r="BP13" s="467"/>
      <c r="BQ13" s="467"/>
      <c r="BR13" s="467"/>
      <c r="BS13" s="467"/>
      <c r="BT13" s="467"/>
      <c r="BU13" s="467"/>
      <c r="BV13" s="467"/>
      <c r="BW13" s="467"/>
      <c r="BX13" s="467"/>
      <c r="BY13" s="467"/>
      <c r="BZ13" s="467"/>
      <c r="CA13" s="467"/>
      <c r="CB13" s="467"/>
      <c r="CC13" s="467"/>
      <c r="CD13" s="467"/>
      <c r="CE13" s="467"/>
      <c r="CF13" s="467"/>
      <c r="CG13" s="467"/>
      <c r="CH13" s="467"/>
    </row>
    <row r="14" spans="1:86">
      <c r="A14" t="str">
        <f>TechComm!T31</f>
        <v>Geothermal Energy</v>
      </c>
      <c r="C14" t="str">
        <f>TechComm!L17</f>
        <v>R_ES-SH-FL_GEO</v>
      </c>
      <c r="D14" t="str">
        <f>TechComm!U31</f>
        <v>RSDGEO</v>
      </c>
      <c r="E14" t="str">
        <f t="shared" si="4"/>
        <v>R_ES-FL-SpHeat</v>
      </c>
      <c r="F14" s="509">
        <f ca="1">IFERROR('All Stock'!D$16*VLOOKUP($A14,'IDEES okt 2017 template'!$C$173:$AN$181,'IDEES okt 2017 template'!D$162,FALSE),"")</f>
        <v>0</v>
      </c>
      <c r="G14" s="509">
        <f ca="1">IFERROR('All Stock'!E$16*VLOOKUP($A14,'IDEES okt 2017 template'!$C$173:$AN$181,'IDEES okt 2017 template'!E$162,FALSE),"")</f>
        <v>0</v>
      </c>
      <c r="H14" s="509">
        <f ca="1">IFERROR('All Stock'!F$16*VLOOKUP($A14,'IDEES okt 2017 template'!$C$173:$AN$181,'IDEES okt 2017 template'!F$162,FALSE),"")</f>
        <v>0</v>
      </c>
      <c r="I14" s="509">
        <f ca="1">IFERROR('All Stock'!G$16*VLOOKUP($A14,'IDEES okt 2017 template'!$C$173:$AN$181,'IDEES okt 2017 template'!G$162,FALSE),"")</f>
        <v>95.327225619915851</v>
      </c>
      <c r="J14" s="509">
        <f ca="1">IFERROR('All Stock'!H$16*VLOOKUP($A14,'IDEES okt 2017 template'!$C$173:$AN$181,'IDEES okt 2017 template'!H$162,FALSE),"")</f>
        <v>0.66336635804289712</v>
      </c>
      <c r="K14" s="509">
        <f ca="1">IFERROR('All Stock'!I$16*VLOOKUP($A14,'IDEES okt 2017 template'!$C$173:$AN$181,'IDEES okt 2017 template'!I$162,FALSE),"")</f>
        <v>0</v>
      </c>
      <c r="L14" s="509">
        <f ca="1">IFERROR('All Stock'!J$16*VLOOKUP($A14,'IDEES okt 2017 template'!$C$173:$AN$181,'IDEES okt 2017 template'!J$162,FALSE),"")</f>
        <v>7.3330586412688747</v>
      </c>
      <c r="M14" s="509">
        <f ca="1">IFERROR('All Stock'!K$16*VLOOKUP($A14,'IDEES okt 2017 template'!$C$173:$AN$181,'IDEES okt 2017 template'!K$162,FALSE),"")</f>
        <v>0</v>
      </c>
      <c r="N14" s="509">
        <f ca="1">IFERROR('All Stock'!L$16*VLOOKUP($A14,'IDEES okt 2017 template'!$C$173:$AN$181,'IDEES okt 2017 template'!L$162,FALSE),"")</f>
        <v>0</v>
      </c>
      <c r="O14" s="509">
        <f ca="1">IFERROR('All Stock'!M$16*VLOOKUP($A14,'IDEES okt 2017 template'!$C$173:$AN$181,'IDEES okt 2017 template'!M$162,FALSE),"")</f>
        <v>10.792874342864183</v>
      </c>
      <c r="P14" s="509">
        <f ca="1">IFERROR('All Stock'!N$16*VLOOKUP($A14,'IDEES okt 2017 template'!$C$173:$AN$181,'IDEES okt 2017 template'!N$162,FALSE),"")</f>
        <v>0</v>
      </c>
      <c r="Q14" s="509">
        <f ca="1">IFERROR('All Stock'!O$16*VLOOKUP($A14,'IDEES okt 2017 template'!$C$173:$AN$181,'IDEES okt 2017 template'!O$162,FALSE),"")</f>
        <v>5.9315084016422146</v>
      </c>
      <c r="R14" s="509">
        <f ca="1">IFERROR('All Stock'!P$16*VLOOKUP($A14,'IDEES okt 2017 template'!$C$173:$AN$181,'IDEES okt 2017 template'!P$162,FALSE),"")</f>
        <v>0.14726937989641958</v>
      </c>
      <c r="S14" s="509">
        <f ca="1">IFERROR('All Stock'!Q$16*VLOOKUP($A14,'IDEES okt 2017 template'!$C$173:$AN$181,'IDEES okt 2017 template'!Q$162,FALSE),"")</f>
        <v>0</v>
      </c>
      <c r="T14" s="509">
        <f ca="1">IFERROR('All Stock'!R$16*VLOOKUP($A14,'IDEES okt 2017 template'!$C$173:$AN$181,'IDEES okt 2017 template'!R$162,FALSE),"")</f>
        <v>0</v>
      </c>
      <c r="U14" s="509">
        <f ca="1">IFERROR('All Stock'!S$16*VLOOKUP($A14,'IDEES okt 2017 template'!$C$173:$AN$181,'IDEES okt 2017 template'!S$162,FALSE),"")</f>
        <v>0</v>
      </c>
      <c r="V14" s="509">
        <f ca="1">IFERROR('All Stock'!T$16*VLOOKUP($A14,'IDEES okt 2017 template'!$C$173:$AN$181,'IDEES okt 2017 template'!T$162,FALSE),"")</f>
        <v>33.891467765912175</v>
      </c>
      <c r="W14" s="509">
        <f ca="1">IFERROR('All Stock'!U$16*VLOOKUP($A14,'IDEES okt 2017 template'!$C$173:$AN$181,'IDEES okt 2017 template'!U$162,FALSE),"")</f>
        <v>1.469622004187414</v>
      </c>
      <c r="X14" s="509">
        <f ca="1">IFERROR('All Stock'!V$16*VLOOKUP($A14,'IDEES okt 2017 template'!$C$173:$AN$181,'IDEES okt 2017 template'!V$162,FALSE),"")</f>
        <v>0</v>
      </c>
      <c r="Y14" s="509">
        <f ca="1">IFERROR('All Stock'!W$16*VLOOKUP($A14,'IDEES okt 2017 template'!$C$173:$AN$181,'IDEES okt 2017 template'!W$162,FALSE),"")</f>
        <v>0</v>
      </c>
      <c r="Z14" s="509">
        <f ca="1">IFERROR('All Stock'!X$16*VLOOKUP($A14,'IDEES okt 2017 template'!$C$173:$AN$181,'IDEES okt 2017 template'!X$162,FALSE),"")</f>
        <v>0</v>
      </c>
      <c r="AA14" s="509">
        <f ca="1">IFERROR('All Stock'!Y$16*VLOOKUP($A14,'IDEES okt 2017 template'!$C$173:$AN$181,'IDEES okt 2017 template'!Y$162,FALSE),"")</f>
        <v>0</v>
      </c>
      <c r="AB14" s="509">
        <f ca="1">IFERROR('All Stock'!Z$16*VLOOKUP($A14,'IDEES okt 2017 template'!$C$173:$AN$181,'IDEES okt 2017 template'!Z$162,FALSE),"")</f>
        <v>0</v>
      </c>
      <c r="AC14" s="509">
        <f ca="1">IFERROR('All Stock'!AA$16*VLOOKUP($A14,'IDEES okt 2017 template'!$C$173:$AN$181,'IDEES okt 2017 template'!AA$162,FALSE),"")</f>
        <v>0</v>
      </c>
      <c r="AD14" s="509">
        <f ca="1">IFERROR('All Stock'!AB$16*VLOOKUP($A14,'IDEES okt 2017 template'!$C$173:$AN$181,'IDEES okt 2017 template'!AB$162,FALSE),"")</f>
        <v>6.2070237952782552</v>
      </c>
      <c r="AE14" s="509">
        <f ca="1">IFERROR('All Stock'!AC$16*VLOOKUP($A14,'IDEES okt 2017 template'!$C$173:$AN$181,'IDEES okt 2017 template'!AC$162,FALSE),"")</f>
        <v>0</v>
      </c>
      <c r="AF14" s="509">
        <f ca="1">IFERROR('All Stock'!AD$16*VLOOKUP($A14,'IDEES okt 2017 template'!$C$173:$AN$181,'IDEES okt 2017 template'!AD$162,FALSE),"")</f>
        <v>5.9977139459400446</v>
      </c>
      <c r="AG14" s="509">
        <f ca="1">IFERROR('All Stock'!AE$16*VLOOKUP($A14,'IDEES okt 2017 template'!$C$173:$AN$181,'IDEES okt 2017 template'!AE$162,FALSE),"")</f>
        <v>0</v>
      </c>
      <c r="AH14" s="509">
        <f ca="1">IFERROR('All Stock'!AF$16*VLOOKUP($A14,'IDEES okt 2017 template'!$C$173:$AN$181,'IDEES okt 2017 template'!AF$162,FALSE),"")</f>
        <v>6.1676849769133897</v>
      </c>
      <c r="AI14" s="509">
        <f ca="1">IFERROR('All Stock'!AG$16*VLOOKUP($A14,'IDEES okt 2017 template'!$C$173:$AN$181,'IDEES okt 2017 template'!AG$162,FALSE),"")</f>
        <v>0</v>
      </c>
      <c r="AJ14" s="509">
        <f ca="1">IFERROR('All Stock'!AH$16*VLOOKUP($A14,'IDEES okt 2017 template'!$C$173:$AN$181,'IDEES okt 2017 template'!AH$162,FALSE),"")</f>
        <v>0</v>
      </c>
      <c r="AK14" s="509">
        <f ca="1">IFERROR('All Stock'!AI$16*VLOOKUP($A14,'IDEES okt 2017 template'!$C$173:$AN$181,'IDEES okt 2017 template'!AI$162,FALSE),"")</f>
        <v>0</v>
      </c>
      <c r="AL14" s="509">
        <f ca="1">IFERROR('All Stock'!AJ$16*VLOOKUP($A14,'IDEES okt 2017 template'!$C$173:$AN$181,'IDEES okt 2017 template'!AJ$162,FALSE),"")</f>
        <v>0</v>
      </c>
      <c r="AM14" s="509">
        <f ca="1">IFERROR('All Stock'!AK$16*VLOOKUP($A14,'IDEES okt 2017 template'!$C$173:$AN$181,'IDEES okt 2017 template'!AK$162,FALSE),"")</f>
        <v>0</v>
      </c>
      <c r="AN14" s="509">
        <f ca="1">IFERROR('All Stock'!AL$16*VLOOKUP($A14,'IDEES okt 2017 template'!$C$173:$AN$181,'IDEES okt 2017 template'!AL$162,FALSE),"")</f>
        <v>0</v>
      </c>
      <c r="AO14" s="509">
        <f ca="1">IFERROR('All Stock'!AM$16*VLOOKUP($A14,'IDEES okt 2017 template'!$C$173:$AN$181,'IDEES okt 2017 template'!AM$162,FALSE),"")</f>
        <v>0</v>
      </c>
      <c r="AP14" s="509">
        <f ca="1">IFERROR('All Stock'!AN$16*VLOOKUP($A14,'IDEES okt 2017 template'!$C$173:$AN$181,'IDEES okt 2017 template'!AN$162,FALSE),"")</f>
        <v>0</v>
      </c>
      <c r="AQ14" s="509"/>
      <c r="AR14" s="496"/>
      <c r="AS14" t="str">
        <f t="shared" si="0"/>
        <v>Geothermal Energy</v>
      </c>
      <c r="AT14" s="509"/>
      <c r="AW14" s="496">
        <f t="shared" ca="1" si="1"/>
        <v>0</v>
      </c>
      <c r="AX14" s="496">
        <f t="shared" ca="1" si="2"/>
        <v>0</v>
      </c>
      <c r="AY14" s="496">
        <f t="shared" ca="1" si="3"/>
        <v>0</v>
      </c>
      <c r="AZ14" s="467"/>
      <c r="BA14" s="467"/>
      <c r="BB14" s="467"/>
      <c r="BC14" s="467"/>
      <c r="BD14" s="467"/>
      <c r="BE14" s="467"/>
      <c r="BF14" s="467"/>
      <c r="BG14" s="467"/>
      <c r="BH14" s="467"/>
      <c r="BI14" s="467"/>
      <c r="BJ14" s="467"/>
      <c r="BK14" s="467"/>
      <c r="BL14" s="467"/>
      <c r="BM14" s="467"/>
      <c r="BN14" s="467"/>
      <c r="BO14" s="467"/>
      <c r="BP14" s="467"/>
      <c r="BQ14" s="467"/>
      <c r="BR14" s="467"/>
      <c r="BS14" s="467"/>
      <c r="BT14" s="467"/>
      <c r="BU14" s="467"/>
      <c r="BV14" s="467"/>
      <c r="BW14" s="467"/>
      <c r="BX14" s="467"/>
      <c r="BY14" s="467"/>
      <c r="BZ14" s="467"/>
      <c r="CA14" s="467"/>
      <c r="CB14" s="467"/>
      <c r="CC14" s="467"/>
      <c r="CD14" s="467"/>
      <c r="CE14" s="467"/>
      <c r="CF14" s="467"/>
      <c r="CG14" s="467"/>
      <c r="CH14" s="467"/>
    </row>
    <row r="15" spans="1:86">
      <c r="A15" t="str">
        <f>A5</f>
        <v>Electricity</v>
      </c>
      <c r="C15" t="str">
        <f>TechComm!L18</f>
        <v>R_ES-SH-DH_ELC-R</v>
      </c>
      <c r="D15" t="str">
        <f>D5</f>
        <v>RSDELC-heating</v>
      </c>
      <c r="E15" t="str">
        <f>TechComm!C23</f>
        <v>R_ES-DH-SpHeat</v>
      </c>
      <c r="F15" s="814">
        <f ca="1">IFERROR('All Stock'!D$13*VLOOKUP($A15,'IDEES okt 2017 template'!$C$173:$AN$181,'IDEES okt 2017 template'!D$162,FALSE),"")</f>
        <v>40.60906016578803</v>
      </c>
      <c r="G15" s="814">
        <f ca="1">IFERROR('All Stock'!E$13*VLOOKUP($A15,'IDEES okt 2017 template'!$C$173:$AN$181,'IDEES okt 2017 template'!E$162,FALSE),"")</f>
        <v>22.913800935130023</v>
      </c>
      <c r="H15" s="814">
        <f ca="1">IFERROR('All Stock'!F$13*VLOOKUP($A15,'IDEES okt 2017 template'!$C$173:$AN$181,'IDEES okt 2017 template'!F$162,FALSE),"")</f>
        <v>18.86971069285881</v>
      </c>
      <c r="I15" s="854">
        <f ca="1">IFERROR('All Stock'!G$13*VLOOKUP($A15,'IDEES okt 2017 template'!$C$173:$AN$181,'IDEES okt 2017 template'!G$162,FALSE),"")-I16-I17</f>
        <v>13.601100729101201</v>
      </c>
      <c r="J15" s="814">
        <f ca="1">IFERROR('All Stock'!H$13*VLOOKUP($A15,'IDEES okt 2017 template'!$C$173:$AN$181,'IDEES okt 2017 template'!H$162,FALSE),"")</f>
        <v>1.798542364704965</v>
      </c>
      <c r="K15" s="814">
        <f ca="1">IFERROR('All Stock'!I$13*VLOOKUP($A15,'IDEES okt 2017 template'!$C$173:$AN$181,'IDEES okt 2017 template'!I$162,FALSE),"")</f>
        <v>28.858903861626224</v>
      </c>
      <c r="L15" s="814">
        <f ca="1">IFERROR('All Stock'!J$13*VLOOKUP($A15,'IDEES okt 2017 template'!$C$173:$AN$181,'IDEES okt 2017 template'!J$162,FALSE),"")</f>
        <v>201.09991527108124</v>
      </c>
      <c r="M15" s="814">
        <f ca="1">IFERROR('All Stock'!K$13*VLOOKUP($A15,'IDEES okt 2017 template'!$C$173:$AN$181,'IDEES okt 2017 template'!K$162,FALSE),"")</f>
        <v>5.053331676903281</v>
      </c>
      <c r="N15" s="814">
        <f ca="1">IFERROR('All Stock'!L$13*VLOOKUP($A15,'IDEES okt 2017 template'!$C$173:$AN$181,'IDEES okt 2017 template'!L$162,FALSE),"")</f>
        <v>0.88046193674823925</v>
      </c>
      <c r="O15" s="814">
        <f ca="1">IFERROR('All Stock'!M$13*VLOOKUP($A15,'IDEES okt 2017 template'!$C$173:$AN$181,'IDEES okt 2017 template'!M$162,FALSE),"")</f>
        <v>58.46964355240155</v>
      </c>
      <c r="P15" s="814">
        <f ca="1">IFERROR('All Stock'!N$13*VLOOKUP($A15,'IDEES okt 2017 template'!$C$173:$AN$181,'IDEES okt 2017 template'!N$162,FALSE),"")</f>
        <v>34.145791971656351</v>
      </c>
      <c r="Q15" s="814">
        <f ca="1">IFERROR('All Stock'!O$13*VLOOKUP($A15,'IDEES okt 2017 template'!$C$173:$AN$181,'IDEES okt 2017 template'!O$162,FALSE),"")</f>
        <v>270.42780334975703</v>
      </c>
      <c r="R15" s="814">
        <f ca="1">IFERROR('All Stock'!P$13*VLOOKUP($A15,'IDEES okt 2017 template'!$C$173:$AN$181,'IDEES okt 2017 template'!P$162,FALSE),"")</f>
        <v>4.524852647975524</v>
      </c>
      <c r="S15" s="814">
        <f ca="1">IFERROR('All Stock'!Q$13*VLOOKUP($A15,'IDEES okt 2017 template'!$C$173:$AN$181,'IDEES okt 2017 template'!Q$162,FALSE),"")</f>
        <v>1.3517804673077056</v>
      </c>
      <c r="T15" s="814">
        <f ca="1">IFERROR('All Stock'!R$13*VLOOKUP($A15,'IDEES okt 2017 template'!$C$173:$AN$181,'IDEES okt 2017 template'!R$162,FALSE),"")</f>
        <v>24.924738437269752</v>
      </c>
      <c r="U15" s="814">
        <f ca="1">IFERROR('All Stock'!S$13*VLOOKUP($A15,'IDEES okt 2017 template'!$C$173:$AN$181,'IDEES okt 2017 template'!S$162,FALSE),"")</f>
        <v>8.395106177550014</v>
      </c>
      <c r="V15" s="814">
        <f ca="1">IFERROR('All Stock'!T$13*VLOOKUP($A15,'IDEES okt 2017 template'!$C$173:$AN$181,'IDEES okt 2017 template'!T$162,FALSE),"")</f>
        <v>1.0997941903351367</v>
      </c>
      <c r="W15" s="814">
        <f ca="1">IFERROR('All Stock'!U$13*VLOOKUP($A15,'IDEES okt 2017 template'!$C$173:$AN$181,'IDEES okt 2017 template'!U$162,FALSE),"")</f>
        <v>3.4464840647840145</v>
      </c>
      <c r="X15" s="814">
        <f ca="1">IFERROR('All Stock'!V$13*VLOOKUP($A15,'IDEES okt 2017 template'!$C$173:$AN$181,'IDEES okt 2017 template'!V$162,FALSE),"")</f>
        <v>0.41853539082098806</v>
      </c>
      <c r="Y15" s="814">
        <f ca="1">IFERROR('All Stock'!W$13*VLOOKUP($A15,'IDEES okt 2017 template'!$C$173:$AN$181,'IDEES okt 2017 template'!W$162,FALSE),"")</f>
        <v>0.67499368825142925</v>
      </c>
      <c r="Z15" s="814">
        <f ca="1">IFERROR('All Stock'!X$13*VLOOKUP($A15,'IDEES okt 2017 template'!$C$173:$AN$181,'IDEES okt 2017 template'!X$162,FALSE),"")</f>
        <v>0.47626942677650119</v>
      </c>
      <c r="AA15" s="814">
        <f ca="1">IFERROR('All Stock'!Y$13*VLOOKUP($A15,'IDEES okt 2017 template'!$C$173:$AN$181,'IDEES okt 2017 template'!Y$162,FALSE),"")</f>
        <v>0.67711626863741914</v>
      </c>
      <c r="AB15" s="814">
        <f ca="1">IFERROR('All Stock'!Z$13*VLOOKUP($A15,'IDEES okt 2017 template'!$C$173:$AN$181,'IDEES okt 2017 template'!Z$162,FALSE),"")</f>
        <v>3.8023088669713756</v>
      </c>
      <c r="AC15" s="854">
        <f ca="1">IFERROR('All Stock'!AA$13*VLOOKUP($A15,'IDEES okt 2017 template'!$C$173:$AN$181,'IDEES okt 2017 template'!AA$162,FALSE),"")-AC16-AC17</f>
        <v>62.885923625369664</v>
      </c>
      <c r="AD15" s="814">
        <f ca="1">IFERROR('All Stock'!AB$13*VLOOKUP($A15,'IDEES okt 2017 template'!$C$173:$AN$181,'IDEES okt 2017 template'!AB$162,FALSE),"")</f>
        <v>4.9129008986664404</v>
      </c>
      <c r="AE15" s="814">
        <f ca="1">IFERROR('All Stock'!AC$13*VLOOKUP($A15,'IDEES okt 2017 template'!$C$173:$AN$181,'IDEES okt 2017 template'!AC$162,FALSE),"")</f>
        <v>4.206261405848057</v>
      </c>
      <c r="AF15" s="814">
        <f ca="1">IFERROR('All Stock'!AD$13*VLOOKUP($A15,'IDEES okt 2017 template'!$C$173:$AN$181,'IDEES okt 2017 template'!AD$162,FALSE),"")</f>
        <v>11.088900265051381</v>
      </c>
      <c r="AG15" s="814">
        <f ca="1">IFERROR('All Stock'!AE$13*VLOOKUP($A15,'IDEES okt 2017 template'!$C$173:$AN$181,'IDEES okt 2017 template'!AE$162,FALSE),"")</f>
        <v>147.49631355587718</v>
      </c>
      <c r="AH15" s="814">
        <f ca="1">IFERROR('All Stock'!AF$13*VLOOKUP($A15,'IDEES okt 2017 template'!$C$173:$AN$181,'IDEES okt 2017 template'!AF$162,FALSE),"")</f>
        <v>3.1950895393975416</v>
      </c>
      <c r="AI15" s="814">
        <f ca="1">IFERROR('All Stock'!AG$13*VLOOKUP($A15,'IDEES okt 2017 template'!$C$173:$AN$181,'IDEES okt 2017 template'!AG$162,FALSE),"")</f>
        <v>8.2387055353225129</v>
      </c>
      <c r="AJ15" s="814">
        <f ca="1">IFERROR('All Stock'!AH$13*VLOOKUP($A15,'IDEES okt 2017 template'!$C$173:$AN$181,'IDEES okt 2017 template'!AH$162,FALSE),"")</f>
        <v>264.35212274943638</v>
      </c>
      <c r="AK15" s="814">
        <f ca="1">IFERROR('All Stock'!AI$13*VLOOKUP($A15,'IDEES okt 2017 template'!$C$173:$AN$181,'IDEES okt 2017 template'!AI$162,FALSE),"")</f>
        <v>1.6780490317588643</v>
      </c>
      <c r="AL15" s="814">
        <f ca="1">IFERROR('All Stock'!AJ$13*VLOOKUP($A15,'IDEES okt 2017 template'!$C$173:$AN$181,'IDEES okt 2017 template'!AJ$162,FALSE),"")</f>
        <v>1.7934395314776339</v>
      </c>
      <c r="AM15" s="814">
        <f ca="1">IFERROR('All Stock'!AK$13*VLOOKUP($A15,'IDEES okt 2017 template'!$C$173:$AN$181,'IDEES okt 2017 template'!AK$162,FALSE),"")</f>
        <v>0.37742339427025501</v>
      </c>
      <c r="AN15" s="814">
        <f ca="1">IFERROR('All Stock'!AL$13*VLOOKUP($A15,'IDEES okt 2017 template'!$C$173:$AN$181,'IDEES okt 2017 template'!AL$162,FALSE),"")</f>
        <v>1.2305789082199692</v>
      </c>
      <c r="AO15" s="814">
        <f ca="1">IFERROR('All Stock'!AM$13*VLOOKUP($A15,'IDEES okt 2017 template'!$C$173:$AN$181,'IDEES okt 2017 template'!AM$162,FALSE),"")</f>
        <v>4.0747380337791874</v>
      </c>
      <c r="AP15" s="814">
        <f ca="1">IFERROR('All Stock'!AN$13*VLOOKUP($A15,'IDEES okt 2017 template'!$C$173:$AN$181,'IDEES okt 2017 template'!AN$162,FALSE),"")</f>
        <v>0.91548273236517463</v>
      </c>
      <c r="AQ15" s="509"/>
      <c r="AS15" t="str">
        <f t="shared" si="0"/>
        <v>Electricity</v>
      </c>
      <c r="AT15" s="509"/>
      <c r="AW15" s="496">
        <f t="shared" ca="1" si="1"/>
        <v>2.6982662734489335</v>
      </c>
      <c r="AX15" s="496">
        <f t="shared" ca="1" si="2"/>
        <v>3.3013150507798525</v>
      </c>
      <c r="AY15" s="496">
        <f t="shared" ca="1" si="3"/>
        <v>3.3013150507798525</v>
      </c>
      <c r="AZ15" s="467"/>
      <c r="BA15" s="467"/>
      <c r="BB15" s="467"/>
      <c r="BC15" s="467"/>
      <c r="BD15" s="467"/>
      <c r="BE15" s="467"/>
      <c r="BF15" s="467"/>
      <c r="BG15" s="467"/>
      <c r="BH15" s="467"/>
      <c r="BI15" s="467"/>
      <c r="BJ15" s="467"/>
      <c r="BK15" s="467"/>
      <c r="BL15" s="467"/>
      <c r="BM15" s="467"/>
      <c r="BN15" s="467"/>
      <c r="BO15" s="467"/>
      <c r="BP15" s="467"/>
      <c r="BQ15" s="467"/>
      <c r="BR15" s="467"/>
      <c r="BS15" s="467"/>
      <c r="BT15" s="467"/>
      <c r="BU15" s="467"/>
      <c r="BV15" s="467"/>
      <c r="BW15" s="467"/>
      <c r="BX15" s="467"/>
      <c r="BY15" s="467"/>
      <c r="BZ15" s="467"/>
      <c r="CA15" s="467"/>
      <c r="CB15" s="467"/>
      <c r="CC15" s="467"/>
      <c r="CD15" s="467"/>
      <c r="CE15" s="467"/>
      <c r="CF15" s="467"/>
      <c r="CG15" s="467"/>
      <c r="CH15" s="467"/>
    </row>
    <row r="16" spans="1:86">
      <c r="A16" s="819" t="s">
        <v>937</v>
      </c>
      <c r="C16" t="str">
        <f>TechComm!L19</f>
        <v>R_ES-SH-DH_ELC-HPA</v>
      </c>
      <c r="D16" t="str">
        <f>D15</f>
        <v>RSDELC-heating</v>
      </c>
      <c r="E16" t="str">
        <f>E15</f>
        <v>R_ES-DH-SpHeat</v>
      </c>
      <c r="F16" s="814">
        <f ca="1">'HP-Stock'!S15/F$1</f>
        <v>3.8506514872100999</v>
      </c>
      <c r="G16" s="814">
        <f ca="1">'HP-Stock'!T15/G$1</f>
        <v>0.48935599739233171</v>
      </c>
      <c r="H16" s="814">
        <f ca="1">'HP-Stock'!U15/H$1</f>
        <v>0</v>
      </c>
      <c r="I16" s="814">
        <f ca="1">'HP-Stock'!V15/I$1</f>
        <v>7.7667858113629009</v>
      </c>
      <c r="J16" s="814">
        <f ca="1">'HP-Stock'!W15/J$1</f>
        <v>0</v>
      </c>
      <c r="K16" s="814">
        <f ca="1">'HP-Stock'!X15/K$1</f>
        <v>1.4784355747175515</v>
      </c>
      <c r="L16" s="814">
        <f ca="1">'HP-Stock'!Y15/L$1</f>
        <v>16.214429968408769</v>
      </c>
      <c r="M16" s="814">
        <f ca="1">'HP-Stock'!Z15/M$1</f>
        <v>11.048567898088278</v>
      </c>
      <c r="N16" s="814">
        <f ca="1">'HP-Stock'!AA15/N$1</f>
        <v>2.8543566141869725</v>
      </c>
      <c r="O16" s="814">
        <f ca="1">'HP-Stock'!AB15/O$1</f>
        <v>2.245876591934302</v>
      </c>
      <c r="P16" s="814">
        <f ca="1">'HP-Stock'!AC15/P$1</f>
        <v>38.458637692833101</v>
      </c>
      <c r="Q16" s="814">
        <f ca="1">'HP-Stock'!AD15/Q$1</f>
        <v>77.744467881663098</v>
      </c>
      <c r="R16" s="814">
        <f ca="1">'HP-Stock'!AE15/R$1</f>
        <v>0</v>
      </c>
      <c r="S16" s="814">
        <f ca="1">'HP-Stock'!AF15/S$1</f>
        <v>0</v>
      </c>
      <c r="T16" s="814">
        <f ca="1">'HP-Stock'!AG15/T$1</f>
        <v>8.6959390093300545E-2</v>
      </c>
      <c r="U16" s="814">
        <f ca="1">'HP-Stock'!AH15/U$1</f>
        <v>0.10554019606712284</v>
      </c>
      <c r="V16" s="814">
        <f ca="1">'HP-Stock'!AI15/V$1</f>
        <v>0</v>
      </c>
      <c r="W16" s="814">
        <f ca="1">'HP-Stock'!AJ15/W$1</f>
        <v>38.223030970157332</v>
      </c>
      <c r="X16" s="814">
        <f ca="1">'HP-Stock'!AK15/X$1</f>
        <v>3.7478109229556598E-2</v>
      </c>
      <c r="Y16" s="814">
        <f ca="1">'HP-Stock'!AL15/Y$1</f>
        <v>0</v>
      </c>
      <c r="Z16" s="814">
        <f ca="1">'HP-Stock'!AM15/Z$1</f>
        <v>0</v>
      </c>
      <c r="AA16" s="814">
        <f ca="1">'HP-Stock'!AN15/AA$1</f>
        <v>0</v>
      </c>
      <c r="AB16" s="814">
        <f ca="1">'HP-Stock'!AO15/AB$1</f>
        <v>0.49410211557968015</v>
      </c>
      <c r="AC16" s="814">
        <f ca="1">'HP-Stock'!AP15/AC$1</f>
        <v>54.569744286686536</v>
      </c>
      <c r="AD16" s="814">
        <f ca="1">'HP-Stock'!AQ15/AD$1</f>
        <v>0.15235699265628661</v>
      </c>
      <c r="AE16" s="814">
        <f ca="1">'HP-Stock'!AR15/AE$1</f>
        <v>5.1713956374040828</v>
      </c>
      <c r="AF16" s="814">
        <f ca="1">'HP-Stock'!AS15/AF$1</f>
        <v>0</v>
      </c>
      <c r="AG16" s="814">
        <f ca="1">'HP-Stock'!AT15/AG$1</f>
        <v>86.863651779180003</v>
      </c>
      <c r="AH16" s="814">
        <f ca="1">'HP-Stock'!AU15/AH$1</f>
        <v>0</v>
      </c>
      <c r="AI16" s="814">
        <f ca="1">'HP-Stock'!AV15/AI$1</f>
        <v>0.1477373419418242</v>
      </c>
      <c r="AJ16" s="814">
        <f ca="1">'HP-Stock'!AW15/AJ$1</f>
        <v>3.0378772949379851</v>
      </c>
      <c r="AK16" s="814">
        <f ca="1">'HP-Stock'!AX15/AK$1</f>
        <v>0</v>
      </c>
      <c r="AL16" s="814">
        <f ca="1">'HP-Stock'!AY15/AL$1</f>
        <v>0</v>
      </c>
      <c r="AM16" s="814">
        <f ca="1">'HP-Stock'!AZ15/AM$1</f>
        <v>0</v>
      </c>
      <c r="AN16" s="814">
        <f ca="1">'HP-Stock'!BA15/AN$1</f>
        <v>0</v>
      </c>
      <c r="AO16" s="814">
        <f ca="1">'HP-Stock'!BB15/AO$1</f>
        <v>0</v>
      </c>
      <c r="AP16" s="814">
        <f ca="1">'HP-Stock'!BC15/AP$1</f>
        <v>0</v>
      </c>
      <c r="AQ16" s="509"/>
      <c r="AT16" s="509"/>
      <c r="AW16" s="496"/>
      <c r="AX16" s="496"/>
      <c r="AY16" s="496"/>
      <c r="AZ16" s="467"/>
      <c r="BA16" s="467"/>
      <c r="BB16" s="467"/>
      <c r="BC16" s="467"/>
      <c r="BD16" s="467"/>
      <c r="BE16" s="467"/>
      <c r="BF16" s="467"/>
      <c r="BG16" s="467"/>
      <c r="BH16" s="467"/>
      <c r="BI16" s="467"/>
      <c r="BJ16" s="467"/>
      <c r="BK16" s="467"/>
      <c r="BL16" s="467"/>
      <c r="BM16" s="467"/>
      <c r="BN16" s="467"/>
      <c r="BO16" s="467"/>
      <c r="BP16" s="467"/>
      <c r="BQ16" s="467"/>
      <c r="BR16" s="467"/>
      <c r="BS16" s="467"/>
      <c r="BT16" s="467"/>
      <c r="BU16" s="467"/>
      <c r="BV16" s="467"/>
      <c r="BW16" s="467"/>
      <c r="BX16" s="467"/>
      <c r="BY16" s="467"/>
      <c r="BZ16" s="467"/>
      <c r="CA16" s="467"/>
      <c r="CB16" s="467"/>
      <c r="CC16" s="467"/>
      <c r="CD16" s="467"/>
      <c r="CE16" s="467"/>
      <c r="CF16" s="467"/>
      <c r="CG16" s="467"/>
      <c r="CH16" s="467"/>
    </row>
    <row r="17" spans="1:86">
      <c r="A17" s="819" t="s">
        <v>938</v>
      </c>
      <c r="C17" t="str">
        <f>TechComm!L20</f>
        <v>R_ES-SH-DH_ELC-HPG</v>
      </c>
      <c r="D17" t="str">
        <f>D15</f>
        <v>RSDELC-heating</v>
      </c>
      <c r="E17" t="str">
        <f>E15</f>
        <v>R_ES-DH-SpHeat</v>
      </c>
      <c r="F17" s="814">
        <f ca="1">'HP-Stock'!S16/F$1</f>
        <v>12.65323749628603</v>
      </c>
      <c r="G17" s="814">
        <f ca="1">'HP-Stock'!T16/G$1</f>
        <v>0.33212977384668846</v>
      </c>
      <c r="H17" s="814">
        <f ca="1">'HP-Stock'!U16/H$1</f>
        <v>0</v>
      </c>
      <c r="I17" s="814">
        <f ca="1">'HP-Stock'!V16/I$1</f>
        <v>5.9618055944386361</v>
      </c>
      <c r="J17" s="814">
        <f ca="1">'HP-Stock'!W16/J$1</f>
        <v>0</v>
      </c>
      <c r="K17" s="814">
        <f ca="1">'HP-Stock'!X16/K$1</f>
        <v>1.3298926339011128</v>
      </c>
      <c r="L17" s="814">
        <f ca="1">'HP-Stock'!Y16/L$1</f>
        <v>26.602797978854426</v>
      </c>
      <c r="M17" s="814">
        <f ca="1">'HP-Stock'!Z16/M$1</f>
        <v>3.2219928544555438</v>
      </c>
      <c r="N17" s="814">
        <f ca="1">'HP-Stock'!AA16/N$1</f>
        <v>0.29746155005547825</v>
      </c>
      <c r="O17" s="814">
        <f ca="1">'HP-Stock'!AB16/O$1</f>
        <v>0</v>
      </c>
      <c r="P17" s="814">
        <f ca="1">'HP-Stock'!AC16/P$1</f>
        <v>4.4154743723138727</v>
      </c>
      <c r="Q17" s="814">
        <f ca="1">'HP-Stock'!AD16/Q$1</f>
        <v>11.288195749213978</v>
      </c>
      <c r="R17" s="814">
        <f ca="1">'HP-Stock'!AE16/R$1</f>
        <v>0</v>
      </c>
      <c r="S17" s="814">
        <f ca="1">'HP-Stock'!AF16/S$1</f>
        <v>0</v>
      </c>
      <c r="T17" s="814">
        <f ca="1">'HP-Stock'!AG16/T$1</f>
        <v>0.10466849416350237</v>
      </c>
      <c r="U17" s="814">
        <f ca="1">'HP-Stock'!AH16/U$1</f>
        <v>0.14561586922313927</v>
      </c>
      <c r="V17" s="814">
        <f ca="1">'HP-Stock'!AI16/V$1</f>
        <v>0</v>
      </c>
      <c r="W17" s="814">
        <f ca="1">'HP-Stock'!AJ16/W$1</f>
        <v>1.904640744859127E-2</v>
      </c>
      <c r="X17" s="814">
        <f ca="1">'HP-Stock'!AK16/X$1</f>
        <v>9.5432668865990153E-2</v>
      </c>
      <c r="Y17" s="814">
        <f ca="1">'HP-Stock'!AL16/Y$1</f>
        <v>0</v>
      </c>
      <c r="Z17" s="814">
        <f ca="1">'HP-Stock'!AM16/Z$1</f>
        <v>0</v>
      </c>
      <c r="AA17" s="814">
        <f ca="1">'HP-Stock'!AN16/AA$1</f>
        <v>0</v>
      </c>
      <c r="AB17" s="814">
        <f ca="1">'HP-Stock'!AO16/AB$1</f>
        <v>1.0016945157819539</v>
      </c>
      <c r="AC17" s="814">
        <f ca="1">'HP-Stock'!AP16/AC$1</f>
        <v>2.6237222588807985</v>
      </c>
      <c r="AD17" s="814">
        <f ca="1">'HP-Stock'!AQ16/AD$1</f>
        <v>0.52309234145325068</v>
      </c>
      <c r="AE17" s="814">
        <f ca="1">'HP-Stock'!AR16/AE$1</f>
        <v>0</v>
      </c>
      <c r="AF17" s="814">
        <f ca="1">'HP-Stock'!AS16/AF$1</f>
        <v>0</v>
      </c>
      <c r="AG17" s="814">
        <f ca="1">'HP-Stock'!AT16/AG$1</f>
        <v>64.861272637031874</v>
      </c>
      <c r="AH17" s="814">
        <f ca="1">'HP-Stock'!AU16/AH$1</f>
        <v>0</v>
      </c>
      <c r="AI17" s="814">
        <f ca="1">'HP-Stock'!AV16/AI$1</f>
        <v>0.10426065062937487</v>
      </c>
      <c r="AJ17" s="814">
        <f ca="1">'HP-Stock'!AW16/AJ$1</f>
        <v>1.9446265433233447</v>
      </c>
      <c r="AK17" s="814">
        <f ca="1">'HP-Stock'!AX16/AK$1</f>
        <v>0</v>
      </c>
      <c r="AL17" s="814">
        <f ca="1">'HP-Stock'!AY16/AL$1</f>
        <v>0</v>
      </c>
      <c r="AM17" s="814">
        <f ca="1">'HP-Stock'!AZ16/AM$1</f>
        <v>0</v>
      </c>
      <c r="AN17" s="814">
        <f ca="1">'HP-Stock'!BA16/AN$1</f>
        <v>0</v>
      </c>
      <c r="AO17" s="814">
        <f ca="1">'HP-Stock'!BB16/AO$1</f>
        <v>0</v>
      </c>
      <c r="AP17" s="814">
        <f ca="1">'HP-Stock'!BC16/AP$1</f>
        <v>0</v>
      </c>
      <c r="AQ17" s="509"/>
      <c r="AT17" s="509"/>
      <c r="AW17" s="496"/>
      <c r="AX17" s="496"/>
      <c r="AY17" s="496"/>
      <c r="AZ17" s="467"/>
      <c r="BA17" s="467"/>
      <c r="BB17" s="467"/>
      <c r="BC17" s="467"/>
      <c r="BD17" s="467"/>
      <c r="BE17" s="467"/>
      <c r="BF17" s="467"/>
      <c r="BG17" s="467"/>
      <c r="BH17" s="467"/>
      <c r="BI17" s="467"/>
      <c r="BJ17" s="467"/>
      <c r="BK17" s="467"/>
      <c r="BL17" s="467"/>
      <c r="BM17" s="467"/>
      <c r="BN17" s="467"/>
      <c r="BO17" s="467"/>
      <c r="BP17" s="467"/>
      <c r="BQ17" s="467"/>
      <c r="BR17" s="467"/>
      <c r="BS17" s="467"/>
      <c r="BT17" s="467"/>
      <c r="BU17" s="467"/>
      <c r="BV17" s="467"/>
      <c r="BW17" s="467"/>
      <c r="BX17" s="467"/>
      <c r="BY17" s="467"/>
      <c r="BZ17" s="467"/>
      <c r="CA17" s="467"/>
      <c r="CB17" s="467"/>
      <c r="CC17" s="467"/>
      <c r="CD17" s="467"/>
      <c r="CE17" s="467"/>
      <c r="CF17" s="467"/>
      <c r="CG17" s="467"/>
      <c r="CH17" s="467"/>
    </row>
    <row r="18" spans="1:86">
      <c r="A18" t="str">
        <f t="shared" ref="A18:A24" si="5">A8</f>
        <v>Gases</v>
      </c>
      <c r="C18" t="str">
        <f>TechComm!L21</f>
        <v>R_ES-SH-DH_GAS</v>
      </c>
      <c r="D18" t="str">
        <f t="shared" ref="D18:D34" si="6">D8</f>
        <v>RSDGAS</v>
      </c>
      <c r="E18" t="str">
        <f>E15</f>
        <v>R_ES-DH-SpHeat</v>
      </c>
      <c r="F18" s="509">
        <f ca="1">IFERROR('All Stock'!D$13*VLOOKUP($A18,'IDEES okt 2017 template'!$C$173:$AN$181,'IDEES okt 2017 template'!D$162,FALSE),"")</f>
        <v>120.19894231336846</v>
      </c>
      <c r="G18" s="509">
        <f ca="1">IFERROR('All Stock'!E$13*VLOOKUP($A18,'IDEES okt 2017 template'!$C$173:$AN$181,'IDEES okt 2017 template'!E$162,FALSE),"")</f>
        <v>281.12275597273265</v>
      </c>
      <c r="H18" s="509">
        <f ca="1">IFERROR('All Stock'!F$13*VLOOKUP($A18,'IDEES okt 2017 template'!$C$173:$AN$181,'IDEES okt 2017 template'!F$162,FALSE),"")</f>
        <v>7.2397175844327046</v>
      </c>
      <c r="I18" s="509">
        <f ca="1">IFERROR('All Stock'!G$13*VLOOKUP($A18,'IDEES okt 2017 template'!$C$173:$AN$181,'IDEES okt 2017 template'!G$162,FALSE),"")</f>
        <v>100.67541125573781</v>
      </c>
      <c r="J18" s="509">
        <f ca="1">IFERROR('All Stock'!H$13*VLOOKUP($A18,'IDEES okt 2017 template'!$C$173:$AN$181,'IDEES okt 2017 template'!H$162,FALSE),"")</f>
        <v>0</v>
      </c>
      <c r="K18" s="509">
        <f ca="1">IFERROR('All Stock'!I$13*VLOOKUP($A18,'IDEES okt 2017 template'!$C$173:$AN$181,'IDEES okt 2017 template'!I$162,FALSE),"")</f>
        <v>195.32947774183447</v>
      </c>
      <c r="L18" s="509">
        <f ca="1">IFERROR('All Stock'!J$13*VLOOKUP($A18,'IDEES okt 2017 template'!$C$173:$AN$181,'IDEES okt 2017 template'!J$162,FALSE),"")</f>
        <v>1881.0768788570763</v>
      </c>
      <c r="M18" s="509">
        <f ca="1">IFERROR('All Stock'!K$13*VLOOKUP($A18,'IDEES okt 2017 template'!$C$173:$AN$181,'IDEES okt 2017 template'!K$162,FALSE),"")</f>
        <v>97.572969411772647</v>
      </c>
      <c r="N18" s="509">
        <f ca="1">IFERROR('All Stock'!L$13*VLOOKUP($A18,'IDEES okt 2017 template'!$C$173:$AN$181,'IDEES okt 2017 template'!L$162,FALSE),"")</f>
        <v>2.7635801418878918</v>
      </c>
      <c r="O18" s="509">
        <f ca="1">IFERROR('All Stock'!M$13*VLOOKUP($A18,'IDEES okt 2017 template'!$C$173:$AN$181,'IDEES okt 2017 template'!M$162,FALSE),"")</f>
        <v>123.96190469110286</v>
      </c>
      <c r="P18" s="509">
        <f ca="1">IFERROR('All Stock'!N$13*VLOOKUP($A18,'IDEES okt 2017 template'!$C$173:$AN$181,'IDEES okt 2017 template'!N$162,FALSE),"")</f>
        <v>2.5948310410452149</v>
      </c>
      <c r="Q18" s="509">
        <f ca="1">IFERROR('All Stock'!O$13*VLOOKUP($A18,'IDEES okt 2017 template'!$C$173:$AN$181,'IDEES okt 2017 template'!O$162,FALSE),"")</f>
        <v>1079.5274045323247</v>
      </c>
      <c r="R18" s="509">
        <f ca="1">IFERROR('All Stock'!P$13*VLOOKUP($A18,'IDEES okt 2017 template'!$C$173:$AN$181,'IDEES okt 2017 template'!P$162,FALSE),"")</f>
        <v>20.600361369343776</v>
      </c>
      <c r="S18" s="509">
        <f ca="1">IFERROR('All Stock'!Q$13*VLOOKUP($A18,'IDEES okt 2017 template'!$C$173:$AN$181,'IDEES okt 2017 template'!Q$162,FALSE),"")</f>
        <v>71.832274275724501</v>
      </c>
      <c r="T18" s="509">
        <f ca="1">IFERROR('All Stock'!R$13*VLOOKUP($A18,'IDEES okt 2017 template'!$C$173:$AN$181,'IDEES okt 2017 template'!R$162,FALSE),"")</f>
        <v>377.40055624086369</v>
      </c>
      <c r="U18" s="509">
        <f ca="1">IFERROR('All Stock'!S$13*VLOOKUP($A18,'IDEES okt 2017 template'!$C$173:$AN$181,'IDEES okt 2017 template'!S$162,FALSE),"")</f>
        <v>39.02440892526257</v>
      </c>
      <c r="V18" s="509">
        <f ca="1">IFERROR('All Stock'!T$13*VLOOKUP($A18,'IDEES okt 2017 template'!$C$173:$AN$181,'IDEES okt 2017 template'!T$162,FALSE),"")</f>
        <v>0</v>
      </c>
      <c r="W18" s="509">
        <f ca="1">IFERROR('All Stock'!U$13*VLOOKUP($A18,'IDEES okt 2017 template'!$C$173:$AN$181,'IDEES okt 2017 template'!U$162,FALSE),"")</f>
        <v>776.22373242048059</v>
      </c>
      <c r="X18" s="509">
        <f ca="1">IFERROR('All Stock'!V$13*VLOOKUP($A18,'IDEES okt 2017 template'!$C$173:$AN$181,'IDEES okt 2017 template'!V$162,FALSE),"")</f>
        <v>14.278240574149279</v>
      </c>
      <c r="Y18" s="509">
        <f ca="1">IFERROR('All Stock'!W$13*VLOOKUP($A18,'IDEES okt 2017 template'!$C$173:$AN$181,'IDEES okt 2017 template'!W$162,FALSE),"")</f>
        <v>14.805517449717717</v>
      </c>
      <c r="Z18" s="509">
        <f ca="1">IFERROR('All Stock'!X$13*VLOOKUP($A18,'IDEES okt 2017 template'!$C$173:$AN$181,'IDEES okt 2017 template'!X$162,FALSE),"")</f>
        <v>7.7057518785554118</v>
      </c>
      <c r="AA18" s="509">
        <f ca="1">IFERROR('All Stock'!Y$13*VLOOKUP($A18,'IDEES okt 2017 template'!$C$173:$AN$181,'IDEES okt 2017 template'!Y$162,FALSE),"")</f>
        <v>0</v>
      </c>
      <c r="AB18" s="509">
        <f ca="1">IFERROR('All Stock'!Z$13*VLOOKUP($A18,'IDEES okt 2017 template'!$C$173:$AN$181,'IDEES okt 2017 template'!Z$162,FALSE),"")</f>
        <v>278.30331196683443</v>
      </c>
      <c r="AC18" s="509">
        <f ca="1">IFERROR('All Stock'!AA$13*VLOOKUP($A18,'IDEES okt 2017 template'!$C$173:$AN$181,'IDEES okt 2017 template'!AA$162,FALSE),"")</f>
        <v>0.36922562128273345</v>
      </c>
      <c r="AD18" s="509">
        <f ca="1">IFERROR('All Stock'!AB$13*VLOOKUP($A18,'IDEES okt 2017 template'!$C$173:$AN$181,'IDEES okt 2017 template'!AB$162,FALSE),"")</f>
        <v>263.84673021074275</v>
      </c>
      <c r="AE18" s="509">
        <f ca="1">IFERROR('All Stock'!AC$13*VLOOKUP($A18,'IDEES okt 2017 template'!$C$173:$AN$181,'IDEES okt 2017 template'!AC$162,FALSE),"")</f>
        <v>17.900328314925346</v>
      </c>
      <c r="AF18" s="509">
        <f ca="1">IFERROR('All Stock'!AD$13*VLOOKUP($A18,'IDEES okt 2017 template'!$C$173:$AN$181,'IDEES okt 2017 template'!AD$162,FALSE),"")</f>
        <v>275.71710206572567</v>
      </c>
      <c r="AG18" s="509">
        <f ca="1">IFERROR('All Stock'!AE$13*VLOOKUP($A18,'IDEES okt 2017 template'!$C$173:$AN$181,'IDEES okt 2017 template'!AE$162,FALSE),"")</f>
        <v>12.302381492837609</v>
      </c>
      <c r="AH18" s="509">
        <f ca="1">IFERROR('All Stock'!AF$13*VLOOKUP($A18,'IDEES okt 2017 template'!$C$173:$AN$181,'IDEES okt 2017 template'!AF$162,FALSE),"")</f>
        <v>11.176920804724475</v>
      </c>
      <c r="AI18" s="509">
        <f ca="1">IFERROR('All Stock'!AG$13*VLOOKUP($A18,'IDEES okt 2017 template'!$C$173:$AN$181,'IDEES okt 2017 template'!AG$162,FALSE),"")</f>
        <v>144.66553862067818</v>
      </c>
      <c r="AJ18" s="509">
        <f ca="1">IFERROR('All Stock'!AH$13*VLOOKUP($A18,'IDEES okt 2017 template'!$C$173:$AN$181,'IDEES okt 2017 template'!AH$162,FALSE),"")</f>
        <v>1953.8326241016755</v>
      </c>
      <c r="AK18" s="509">
        <f ca="1">IFERROR('All Stock'!AI$13*VLOOKUP($A18,'IDEES okt 2017 template'!$C$173:$AN$181,'IDEES okt 2017 template'!AI$162,FALSE),"")</f>
        <v>0</v>
      </c>
      <c r="AL18" s="509">
        <f ca="1">IFERROR('All Stock'!AJ$13*VLOOKUP($A18,'IDEES okt 2017 template'!$C$173:$AN$181,'IDEES okt 2017 template'!AJ$162,FALSE),"")</f>
        <v>8.8592091469711072</v>
      </c>
      <c r="AM18" s="509">
        <f ca="1">IFERROR('All Stock'!AK$13*VLOOKUP($A18,'IDEES okt 2017 template'!$C$173:$AN$181,'IDEES okt 2017 template'!AK$162,FALSE),"")</f>
        <v>0</v>
      </c>
      <c r="AN18" s="509">
        <f ca="1">IFERROR('All Stock'!AL$13*VLOOKUP($A18,'IDEES okt 2017 template'!$C$173:$AN$181,'IDEES okt 2017 template'!AL$162,FALSE),"")</f>
        <v>0</v>
      </c>
      <c r="AO18" s="509">
        <f ca="1">IFERROR('All Stock'!AM$13*VLOOKUP($A18,'IDEES okt 2017 template'!$C$173:$AN$181,'IDEES okt 2017 template'!AM$162,FALSE),"")</f>
        <v>31.175455349223139</v>
      </c>
      <c r="AP18" s="509">
        <f ca="1">IFERROR('All Stock'!AN$13*VLOOKUP($A18,'IDEES okt 2017 template'!$C$173:$AN$181,'IDEES okt 2017 template'!AN$162,FALSE),"")</f>
        <v>0</v>
      </c>
      <c r="AQ18" s="509"/>
      <c r="AS18" t="str">
        <f t="shared" ref="AS18:AS24" si="7">A150</f>
        <v>Gases</v>
      </c>
      <c r="AT18" s="509"/>
      <c r="AW18" s="496">
        <f t="shared" ref="AW18:AW24" ca="1" si="8">P18*P106*P150*P195</f>
        <v>0.45832688761622276</v>
      </c>
      <c r="AX18" s="496">
        <f t="shared" ref="AX18:AX24" ca="1" si="9">AW18/P106</f>
        <v>0.58879217772979375</v>
      </c>
      <c r="AY18" s="496">
        <f t="shared" ref="AY18:AY24" ca="1" si="10">AX18/P62</f>
        <v>0.65421353081088196</v>
      </c>
      <c r="AZ18" s="467"/>
      <c r="BA18" s="467"/>
      <c r="BB18" s="467"/>
      <c r="BC18" s="467"/>
      <c r="BD18" s="467"/>
      <c r="BE18" s="467"/>
      <c r="BF18" s="467"/>
      <c r="BG18" s="467"/>
      <c r="BH18" s="467"/>
      <c r="BI18" s="467"/>
      <c r="BJ18" s="467"/>
      <c r="BK18" s="467"/>
      <c r="BL18" s="467"/>
      <c r="BM18" s="467"/>
      <c r="BN18" s="467"/>
      <c r="BO18" s="467"/>
      <c r="BP18" s="467"/>
      <c r="BQ18" s="467"/>
      <c r="BR18" s="467"/>
      <c r="BS18" s="467"/>
      <c r="BT18" s="467"/>
      <c r="BU18" s="467"/>
      <c r="BV18" s="467"/>
      <c r="BW18" s="467"/>
      <c r="BX18" s="467"/>
      <c r="BY18" s="467"/>
      <c r="BZ18" s="467"/>
      <c r="CA18" s="467"/>
      <c r="CB18" s="467"/>
      <c r="CC18" s="467"/>
      <c r="CD18" s="467"/>
      <c r="CE18" s="467"/>
      <c r="CF18" s="467"/>
      <c r="CG18" s="467"/>
      <c r="CH18" s="467"/>
    </row>
    <row r="19" spans="1:86">
      <c r="A19" t="str">
        <f t="shared" si="5"/>
        <v>Derived heat</v>
      </c>
      <c r="C19" t="str">
        <f>TechComm!L22</f>
        <v>R_ES-SH-DH_HET</v>
      </c>
      <c r="D19" t="str">
        <f t="shared" si="6"/>
        <v>RSDHET</v>
      </c>
      <c r="E19" t="str">
        <f t="shared" ref="E19:E34" si="11">E18</f>
        <v>R_ES-DH-SpHeat</v>
      </c>
      <c r="F19" s="509">
        <f ca="1">IFERROR('All Stock'!D$13*VLOOKUP($A19,'IDEES okt 2017 template'!$C$173:$AN$181,'IDEES okt 2017 template'!D$162,FALSE),"")</f>
        <v>82.789750993372095</v>
      </c>
      <c r="G19" s="509">
        <f ca="1">IFERROR('All Stock'!E$13*VLOOKUP($A19,'IDEES okt 2017 template'!$C$173:$AN$181,'IDEES okt 2017 template'!E$162,FALSE),"")</f>
        <v>1.4012094477797929</v>
      </c>
      <c r="H19" s="509">
        <f ca="1">IFERROR('All Stock'!F$13*VLOOKUP($A19,'IDEES okt 2017 template'!$C$173:$AN$181,'IDEES okt 2017 template'!F$162,FALSE),"")</f>
        <v>84.206286914865828</v>
      </c>
      <c r="I19" s="509">
        <f ca="1">IFERROR('All Stock'!G$13*VLOOKUP($A19,'IDEES okt 2017 template'!$C$173:$AN$181,'IDEES okt 2017 template'!G$162,FALSE),"")</f>
        <v>18.283613599719988</v>
      </c>
      <c r="J19" s="509">
        <f ca="1">IFERROR('All Stock'!H$13*VLOOKUP($A19,'IDEES okt 2017 template'!$C$173:$AN$181,'IDEES okt 2017 template'!H$162,FALSE),"")</f>
        <v>0</v>
      </c>
      <c r="K19" s="509">
        <f ca="1">IFERROR('All Stock'!I$13*VLOOKUP($A19,'IDEES okt 2017 template'!$C$173:$AN$181,'IDEES okt 2017 template'!I$162,FALSE),"")</f>
        <v>152.67013306260063</v>
      </c>
      <c r="L19" s="509">
        <f ca="1">IFERROR('All Stock'!J$13*VLOOKUP($A19,'IDEES okt 2017 template'!$C$173:$AN$181,'IDEES okt 2017 template'!J$162,FALSE),"")</f>
        <v>485.56465346102948</v>
      </c>
      <c r="M19" s="509">
        <f ca="1">IFERROR('All Stock'!K$13*VLOOKUP($A19,'IDEES okt 2017 template'!$C$173:$AN$181,'IDEES okt 2017 template'!K$162,FALSE),"")</f>
        <v>330.22760190477737</v>
      </c>
      <c r="N19" s="509">
        <f ca="1">IFERROR('All Stock'!L$13*VLOOKUP($A19,'IDEES okt 2017 template'!$C$173:$AN$181,'IDEES okt 2017 template'!L$162,FALSE),"")</f>
        <v>25.210720286546287</v>
      </c>
      <c r="O19" s="509">
        <f ca="1">IFERROR('All Stock'!M$13*VLOOKUP($A19,'IDEES okt 2017 template'!$C$173:$AN$181,'IDEES okt 2017 template'!M$162,FALSE),"")</f>
        <v>0</v>
      </c>
      <c r="P19" s="509">
        <f ca="1">IFERROR('All Stock'!N$13*VLOOKUP($A19,'IDEES okt 2017 template'!$C$173:$AN$181,'IDEES okt 2017 template'!N$162,FALSE),"")</f>
        <v>129.77314330162676</v>
      </c>
      <c r="Q19" s="509">
        <f ca="1">IFERROR('All Stock'!O$13*VLOOKUP($A19,'IDEES okt 2017 template'!$C$173:$AN$181,'IDEES okt 2017 template'!O$162,FALSE),"")</f>
        <v>202.28133201545677</v>
      </c>
      <c r="R19" s="509">
        <f ca="1">IFERROR('All Stock'!P$13*VLOOKUP($A19,'IDEES okt 2017 template'!$C$173:$AN$181,'IDEES okt 2017 template'!P$162,FALSE),"")</f>
        <v>5.4275254649456146</v>
      </c>
      <c r="S19" s="509">
        <f ca="1">IFERROR('All Stock'!Q$13*VLOOKUP($A19,'IDEES okt 2017 template'!$C$173:$AN$181,'IDEES okt 2017 template'!Q$162,FALSE),"")</f>
        <v>27.130938210112912</v>
      </c>
      <c r="T19" s="509">
        <f ca="1">IFERROR('All Stock'!R$13*VLOOKUP($A19,'IDEES okt 2017 template'!$C$173:$AN$181,'IDEES okt 2017 template'!R$162,FALSE),"")</f>
        <v>92.927374803936345</v>
      </c>
      <c r="U19" s="509">
        <f ca="1">IFERROR('All Stock'!S$13*VLOOKUP($A19,'IDEES okt 2017 template'!$C$173:$AN$181,'IDEES okt 2017 template'!S$162,FALSE),"")</f>
        <v>0</v>
      </c>
      <c r="V19" s="509">
        <f ca="1">IFERROR('All Stock'!T$13*VLOOKUP($A19,'IDEES okt 2017 template'!$C$173:$AN$181,'IDEES okt 2017 template'!T$162,FALSE),"")</f>
        <v>7.4371275970915871</v>
      </c>
      <c r="W19" s="509">
        <f ca="1">IFERROR('All Stock'!U$13*VLOOKUP($A19,'IDEES okt 2017 template'!$C$173:$AN$181,'IDEES okt 2017 template'!U$162,FALSE),"")</f>
        <v>7.3041026044358963</v>
      </c>
      <c r="X19" s="509">
        <f ca="1">IFERROR('All Stock'!V$13*VLOOKUP($A19,'IDEES okt 2017 template'!$C$173:$AN$181,'IDEES okt 2017 template'!V$162,FALSE),"")</f>
        <v>69.81745502189797</v>
      </c>
      <c r="Y19" s="509">
        <f ca="1">IFERROR('All Stock'!W$13*VLOOKUP($A19,'IDEES okt 2017 template'!$C$173:$AN$181,'IDEES okt 2017 template'!W$162,FALSE),"")</f>
        <v>0</v>
      </c>
      <c r="Z19" s="509">
        <f ca="1">IFERROR('All Stock'!X$13*VLOOKUP($A19,'IDEES okt 2017 template'!$C$173:$AN$181,'IDEES okt 2017 template'!X$162,FALSE),"")</f>
        <v>37.315238770087213</v>
      </c>
      <c r="AA19" s="509">
        <f ca="1">IFERROR('All Stock'!Y$13*VLOOKUP($A19,'IDEES okt 2017 template'!$C$173:$AN$181,'IDEES okt 2017 template'!Y$162,FALSE),"")</f>
        <v>0</v>
      </c>
      <c r="AB19" s="509">
        <f ca="1">IFERROR('All Stock'!Z$13*VLOOKUP($A19,'IDEES okt 2017 template'!$C$173:$AN$181,'IDEES okt 2017 template'!Z$162,FALSE),"")</f>
        <v>11.499470926366941</v>
      </c>
      <c r="AC19" s="509">
        <f ca="1">IFERROR('All Stock'!AA$13*VLOOKUP($A19,'IDEES okt 2017 template'!$C$173:$AN$181,'IDEES okt 2017 template'!AA$162,FALSE),"")</f>
        <v>10.892220604575506</v>
      </c>
      <c r="AD19" s="509">
        <f ca="1">IFERROR('All Stock'!AB$13*VLOOKUP($A19,'IDEES okt 2017 template'!$C$173:$AN$181,'IDEES okt 2017 template'!AB$162,FALSE),"")</f>
        <v>490.90764151080009</v>
      </c>
      <c r="AE19" s="509">
        <f ca="1">IFERROR('All Stock'!AC$13*VLOOKUP($A19,'IDEES okt 2017 template'!$C$173:$AN$181,'IDEES okt 2017 template'!AC$162,FALSE),"")</f>
        <v>0.18983532887867138</v>
      </c>
      <c r="AF19" s="509">
        <f ca="1">IFERROR('All Stock'!AD$13*VLOOKUP($A19,'IDEES okt 2017 template'!$C$173:$AN$181,'IDEES okt 2017 template'!AD$162,FALSE),"")</f>
        <v>204.11721430124754</v>
      </c>
      <c r="AG19" s="509">
        <f ca="1">IFERROR('All Stock'!AE$13*VLOOKUP($A19,'IDEES okt 2017 template'!$C$173:$AN$181,'IDEES okt 2017 template'!AE$162,FALSE),"")</f>
        <v>365.69592773305925</v>
      </c>
      <c r="AH19" s="509">
        <f ca="1">IFERROR('All Stock'!AF$13*VLOOKUP($A19,'IDEES okt 2017 template'!$C$173:$AN$181,'IDEES okt 2017 template'!AF$162,FALSE),"")</f>
        <v>13.288953558041804</v>
      </c>
      <c r="AI19" s="509">
        <f ca="1">IFERROR('All Stock'!AG$13*VLOOKUP($A19,'IDEES okt 2017 template'!$C$173:$AN$181,'IDEES okt 2017 template'!AG$162,FALSE),"")</f>
        <v>74.258493269452288</v>
      </c>
      <c r="AJ19" s="509">
        <f ca="1">IFERROR('All Stock'!AH$13*VLOOKUP($A19,'IDEES okt 2017 template'!$C$173:$AN$181,'IDEES okt 2017 template'!AH$162,FALSE),"")</f>
        <v>4.6529333333563461</v>
      </c>
      <c r="AK19" s="509">
        <f ca="1">IFERROR('All Stock'!AI$13*VLOOKUP($A19,'IDEES okt 2017 template'!$C$173:$AN$181,'IDEES okt 2017 template'!AI$162,FALSE),"")</f>
        <v>0</v>
      </c>
      <c r="AL19" s="509">
        <f ca="1">IFERROR('All Stock'!AJ$13*VLOOKUP($A19,'IDEES okt 2017 template'!$C$173:$AN$181,'IDEES okt 2017 template'!AJ$162,FALSE),"")</f>
        <v>25.698469039636439</v>
      </c>
      <c r="AM19" s="509">
        <f ca="1">IFERROR('All Stock'!AK$13*VLOOKUP($A19,'IDEES okt 2017 template'!$C$173:$AN$181,'IDEES okt 2017 template'!AK$162,FALSE),"")</f>
        <v>0</v>
      </c>
      <c r="AN19" s="509">
        <f ca="1">IFERROR('All Stock'!AL$13*VLOOKUP($A19,'IDEES okt 2017 template'!$C$173:$AN$181,'IDEES okt 2017 template'!AL$162,FALSE),"")</f>
        <v>8.5400302481307833</v>
      </c>
      <c r="AO19" s="509">
        <f ca="1">IFERROR('All Stock'!AM$13*VLOOKUP($A19,'IDEES okt 2017 template'!$C$173:$AN$181,'IDEES okt 2017 template'!AM$162,FALSE),"")</f>
        <v>71.76529832147537</v>
      </c>
      <c r="AP19" s="509">
        <f ca="1">IFERROR('All Stock'!AN$13*VLOOKUP($A19,'IDEES okt 2017 template'!$C$173:$AN$181,'IDEES okt 2017 template'!AN$162,FALSE),"")</f>
        <v>0.96375316432890501</v>
      </c>
      <c r="AQ19" s="509"/>
      <c r="AS19" t="str">
        <f t="shared" si="7"/>
        <v>Derived heat</v>
      </c>
      <c r="AT19" s="509"/>
      <c r="AW19" s="496">
        <f t="shared" ca="1" si="8"/>
        <v>22.793110112144323</v>
      </c>
      <c r="AX19" s="496">
        <f t="shared" ca="1" si="9"/>
        <v>24.865803497869496</v>
      </c>
      <c r="AY19" s="496">
        <f t="shared" ca="1" si="10"/>
        <v>26.174529997757364</v>
      </c>
      <c r="AZ19" s="467"/>
      <c r="BA19" s="467"/>
      <c r="BB19" s="467"/>
      <c r="BC19" s="467"/>
      <c r="BD19" s="467"/>
      <c r="BE19" s="467"/>
      <c r="BF19" s="467"/>
      <c r="BG19" s="467"/>
      <c r="BH19" s="467"/>
      <c r="BI19" s="467"/>
      <c r="BJ19" s="467"/>
      <c r="BK19" s="467"/>
      <c r="BL19" s="467"/>
      <c r="BM19" s="467"/>
      <c r="BN19" s="467"/>
      <c r="BO19" s="467"/>
      <c r="BP19" s="467"/>
      <c r="BQ19" s="467"/>
      <c r="BR19" s="467"/>
      <c r="BS19" s="467"/>
      <c r="BT19" s="467"/>
      <c r="BU19" s="467"/>
      <c r="BV19" s="467"/>
      <c r="BW19" s="467"/>
      <c r="BX19" s="467"/>
      <c r="BY19" s="467"/>
      <c r="BZ19" s="467"/>
      <c r="CA19" s="467"/>
      <c r="CB19" s="467"/>
      <c r="CC19" s="467"/>
      <c r="CD19" s="467"/>
      <c r="CE19" s="467"/>
      <c r="CF19" s="467"/>
      <c r="CG19" s="467"/>
      <c r="CH19" s="467"/>
    </row>
    <row r="20" spans="1:86">
      <c r="A20" t="str">
        <f t="shared" si="5"/>
        <v>GDO and other liquids (incl. liq. bio.)</v>
      </c>
      <c r="C20" t="str">
        <f>TechComm!L23</f>
        <v>R_ES-SH-DH_OIL</v>
      </c>
      <c r="D20" t="str">
        <f t="shared" si="6"/>
        <v>RSDOIL</v>
      </c>
      <c r="E20" t="str">
        <f t="shared" si="11"/>
        <v>R_ES-DH-SpHeat</v>
      </c>
      <c r="F20" s="509">
        <f ca="1">IFERROR('All Stock'!D$13*VLOOKUP($A20,'IDEES okt 2017 template'!$C$173:$AN$181,'IDEES okt 2017 template'!D$162,FALSE),"")</f>
        <v>132.44057629595</v>
      </c>
      <c r="G20" s="509">
        <f ca="1">IFERROR('All Stock'!E$13*VLOOKUP($A20,'IDEES okt 2017 template'!$C$173:$AN$181,'IDEES okt 2017 template'!E$162,FALSE),"")</f>
        <v>234.7334314113821</v>
      </c>
      <c r="H20" s="509">
        <f ca="1">IFERROR('All Stock'!F$13*VLOOKUP($A20,'IDEES okt 2017 template'!$C$173:$AN$181,'IDEES okt 2017 template'!F$162,FALSE),"")</f>
        <v>0.36912964823688943</v>
      </c>
      <c r="I20" s="509">
        <f ca="1">IFERROR('All Stock'!G$13*VLOOKUP($A20,'IDEES okt 2017 template'!$C$173:$AN$181,'IDEES okt 2017 template'!G$162,FALSE),"")</f>
        <v>235.32581944267392</v>
      </c>
      <c r="J20" s="509">
        <f ca="1">IFERROR('All Stock'!H$13*VLOOKUP($A20,'IDEES okt 2017 template'!$C$173:$AN$181,'IDEES okt 2017 template'!H$162,FALSE),"")</f>
        <v>9.8808652060248399</v>
      </c>
      <c r="K20" s="509">
        <f ca="1">IFERROR('All Stock'!I$13*VLOOKUP($A20,'IDEES okt 2017 template'!$C$173:$AN$181,'IDEES okt 2017 template'!I$162,FALSE),"")</f>
        <v>0</v>
      </c>
      <c r="L20" s="509">
        <f ca="1">IFERROR('All Stock'!J$13*VLOOKUP($A20,'IDEES okt 2017 template'!$C$173:$AN$181,'IDEES okt 2017 template'!J$162,FALSE),"")</f>
        <v>1093.7318250857302</v>
      </c>
      <c r="M20" s="509">
        <f ca="1">IFERROR('All Stock'!K$13*VLOOKUP($A20,'IDEES okt 2017 template'!$C$173:$AN$181,'IDEES okt 2017 template'!K$162,FALSE),"")</f>
        <v>61.368368443551006</v>
      </c>
      <c r="N20" s="509">
        <f ca="1">IFERROR('All Stock'!L$13*VLOOKUP($A20,'IDEES okt 2017 template'!$C$173:$AN$181,'IDEES okt 2017 template'!L$162,FALSE),"")</f>
        <v>0.27197558697256963</v>
      </c>
      <c r="O20" s="509">
        <f ca="1">IFERROR('All Stock'!M$13*VLOOKUP($A20,'IDEES okt 2017 template'!$C$173:$AN$181,'IDEES okt 2017 template'!M$162,FALSE),"")</f>
        <v>68.311416220987866</v>
      </c>
      <c r="P20" s="509">
        <f ca="1">IFERROR('All Stock'!N$13*VLOOKUP($A20,'IDEES okt 2017 template'!$C$173:$AN$181,'IDEES okt 2017 template'!N$162,FALSE),"")</f>
        <v>37.510068179446833</v>
      </c>
      <c r="Q20" s="509">
        <f ca="1">IFERROR('All Stock'!O$13*VLOOKUP($A20,'IDEES okt 2017 template'!$C$173:$AN$181,'IDEES okt 2017 template'!O$162,FALSE),"")</f>
        <v>581.71459475883603</v>
      </c>
      <c r="R20" s="509">
        <f ca="1">IFERROR('All Stock'!P$13*VLOOKUP($A20,'IDEES okt 2017 template'!$C$173:$AN$181,'IDEES okt 2017 template'!P$162,FALSE),"")</f>
        <v>201.48197510776507</v>
      </c>
      <c r="S20" s="509">
        <f ca="1">IFERROR('All Stock'!Q$13*VLOOKUP($A20,'IDEES okt 2017 template'!$C$173:$AN$181,'IDEES okt 2017 template'!Q$162,FALSE),"")</f>
        <v>20.549124267703263</v>
      </c>
      <c r="T20" s="509">
        <f ca="1">IFERROR('All Stock'!R$13*VLOOKUP($A20,'IDEES okt 2017 template'!$C$173:$AN$181,'IDEES okt 2017 template'!R$162,FALSE),"")</f>
        <v>0</v>
      </c>
      <c r="U20" s="509">
        <f ca="1">IFERROR('All Stock'!S$13*VLOOKUP($A20,'IDEES okt 2017 template'!$C$173:$AN$181,'IDEES okt 2017 template'!S$162,FALSE),"")</f>
        <v>72.071417568890737</v>
      </c>
      <c r="V20" s="509">
        <f ca="1">IFERROR('All Stock'!T$13*VLOOKUP($A20,'IDEES okt 2017 template'!$C$173:$AN$181,'IDEES okt 2017 template'!T$162,FALSE),"")</f>
        <v>7.2078358347316379E-2</v>
      </c>
      <c r="W20" s="509">
        <f ca="1">IFERROR('All Stock'!U$13*VLOOKUP($A20,'IDEES okt 2017 template'!$C$173:$AN$181,'IDEES okt 2017 template'!U$162,FALSE),"")</f>
        <v>87.724732875193993</v>
      </c>
      <c r="X20" s="509">
        <f ca="1">IFERROR('All Stock'!V$13*VLOOKUP($A20,'IDEES okt 2017 template'!$C$173:$AN$181,'IDEES okt 2017 template'!V$162,FALSE),"")</f>
        <v>0.7033880706045148</v>
      </c>
      <c r="Y20" s="509">
        <f ca="1">IFERROR('All Stock'!W$13*VLOOKUP($A20,'IDEES okt 2017 template'!$C$173:$AN$181,'IDEES okt 2017 template'!W$162,FALSE),"")</f>
        <v>11.991760490707639</v>
      </c>
      <c r="Z20" s="509">
        <f ca="1">IFERROR('All Stock'!X$13*VLOOKUP($A20,'IDEES okt 2017 template'!$C$173:$AN$181,'IDEES okt 2017 template'!X$162,FALSE),"")</f>
        <v>2.1563457605666558</v>
      </c>
      <c r="AA20" s="509">
        <f ca="1">IFERROR('All Stock'!Y$13*VLOOKUP($A20,'IDEES okt 2017 template'!$C$173:$AN$181,'IDEES okt 2017 template'!Y$162,FALSE),"")</f>
        <v>0</v>
      </c>
      <c r="AB20" s="509">
        <f ca="1">IFERROR('All Stock'!Z$13*VLOOKUP($A20,'IDEES okt 2017 template'!$C$173:$AN$181,'IDEES okt 2017 template'!Z$162,FALSE),"")</f>
        <v>0.42268119652005709</v>
      </c>
      <c r="AC20" s="509">
        <f ca="1">IFERROR('All Stock'!AA$13*VLOOKUP($A20,'IDEES okt 2017 template'!$C$173:$AN$181,'IDEES okt 2017 template'!AA$162,FALSE),"")</f>
        <v>16.387138805265025</v>
      </c>
      <c r="AD20" s="509">
        <f ca="1">IFERROR('All Stock'!AB$13*VLOOKUP($A20,'IDEES okt 2017 template'!$C$173:$AN$181,'IDEES okt 2017 template'!AB$162,FALSE),"")</f>
        <v>9.0801597469904642</v>
      </c>
      <c r="AE20" s="509">
        <f ca="1">IFERROR('All Stock'!AC$13*VLOOKUP($A20,'IDEES okt 2017 template'!$C$173:$AN$181,'IDEES okt 2017 template'!AC$162,FALSE),"")</f>
        <v>11.038626498672667</v>
      </c>
      <c r="AF20" s="509">
        <f ca="1">IFERROR('All Stock'!AD$13*VLOOKUP($A20,'IDEES okt 2017 template'!$C$173:$AN$181,'IDEES okt 2017 template'!AD$162,FALSE),"")</f>
        <v>4.5843155872557446</v>
      </c>
      <c r="AG20" s="509">
        <f ca="1">IFERROR('All Stock'!AE$13*VLOOKUP($A20,'IDEES okt 2017 template'!$C$173:$AN$181,'IDEES okt 2017 template'!AE$162,FALSE),"")</f>
        <v>5.849840285912153</v>
      </c>
      <c r="AH20" s="509">
        <f ca="1">IFERROR('All Stock'!AF$13*VLOOKUP($A20,'IDEES okt 2017 template'!$C$173:$AN$181,'IDEES okt 2017 template'!AF$162,FALSE),"")</f>
        <v>25.833870281540303</v>
      </c>
      <c r="AI20" s="509">
        <f ca="1">IFERROR('All Stock'!AG$13*VLOOKUP($A20,'IDEES okt 2017 template'!$C$173:$AN$181,'IDEES okt 2017 template'!AG$162,FALSE),"")</f>
        <v>0</v>
      </c>
      <c r="AJ20" s="509">
        <f ca="1">IFERROR('All Stock'!AH$13*VLOOKUP($A20,'IDEES okt 2017 template'!$C$173:$AN$181,'IDEES okt 2017 template'!AH$162,FALSE),"")</f>
        <v>182.27453815780342</v>
      </c>
      <c r="AK20" s="509">
        <f ca="1">IFERROR('All Stock'!AI$13*VLOOKUP($A20,'IDEES okt 2017 template'!$C$173:$AN$181,'IDEES okt 2017 template'!AI$162,FALSE),"")</f>
        <v>0.80761775257746782</v>
      </c>
      <c r="AL20" s="509">
        <f ca="1">IFERROR('All Stock'!AJ$13*VLOOKUP($A20,'IDEES okt 2017 template'!$C$173:$AN$181,'IDEES okt 2017 template'!AJ$162,FALSE),"")</f>
        <v>0</v>
      </c>
      <c r="AM20" s="509">
        <f ca="1">IFERROR('All Stock'!AK$13*VLOOKUP($A20,'IDEES okt 2017 template'!$C$173:$AN$181,'IDEES okt 2017 template'!AK$162,FALSE),"")</f>
        <v>0</v>
      </c>
      <c r="AN20" s="509">
        <f ca="1">IFERROR('All Stock'!AL$13*VLOOKUP($A20,'IDEES okt 2017 template'!$C$173:$AN$181,'IDEES okt 2017 template'!AL$162,FALSE),"")</f>
        <v>6.7319537379523045</v>
      </c>
      <c r="AO20" s="509">
        <f ca="1">IFERROR('All Stock'!AM$13*VLOOKUP($A20,'IDEES okt 2017 template'!$C$173:$AN$181,'IDEES okt 2017 template'!AM$162,FALSE),"")</f>
        <v>0.15676552235019237</v>
      </c>
      <c r="AP20" s="509">
        <f ca="1">IFERROR('All Stock'!AN$13*VLOOKUP($A20,'IDEES okt 2017 template'!$C$173:$AN$181,'IDEES okt 2017 template'!AN$162,FALSE),"")</f>
        <v>3.1619676264770935</v>
      </c>
      <c r="AQ20" s="509"/>
      <c r="AS20" t="str">
        <f t="shared" si="7"/>
        <v>GDO and other liquids (incl. liq. bio.)</v>
      </c>
      <c r="AT20" s="509"/>
      <c r="AW20" s="496">
        <f t="shared" ca="1" si="8"/>
        <v>6.5192468589554418</v>
      </c>
      <c r="AX20" s="496">
        <f t="shared" ca="1" si="9"/>
        <v>8.0700253696323063</v>
      </c>
      <c r="AY20" s="496">
        <f t="shared" ca="1" si="10"/>
        <v>10.087531712040382</v>
      </c>
      <c r="AZ20" s="467"/>
      <c r="BA20" s="467"/>
      <c r="BB20" s="467"/>
      <c r="BC20" s="467"/>
      <c r="BD20" s="467"/>
      <c r="BE20" s="467"/>
      <c r="BF20" s="467"/>
      <c r="BG20" s="467"/>
      <c r="BH20" s="467"/>
      <c r="BI20" s="467"/>
      <c r="BJ20" s="467"/>
      <c r="BK20" s="467"/>
      <c r="BL20" s="467"/>
      <c r="BM20" s="467"/>
      <c r="BN20" s="467"/>
      <c r="BO20" s="467"/>
      <c r="BP20" s="467"/>
      <c r="BQ20" s="467"/>
      <c r="BR20" s="467"/>
      <c r="BS20" s="467"/>
      <c r="BT20" s="467"/>
      <c r="BU20" s="467"/>
      <c r="BV20" s="467"/>
      <c r="BW20" s="467"/>
      <c r="BX20" s="467"/>
      <c r="BY20" s="467"/>
      <c r="BZ20" s="467"/>
      <c r="CA20" s="467"/>
      <c r="CB20" s="467"/>
      <c r="CC20" s="467"/>
      <c r="CD20" s="467"/>
      <c r="CE20" s="467"/>
      <c r="CF20" s="467"/>
      <c r="CG20" s="467"/>
      <c r="CH20" s="467"/>
    </row>
    <row r="21" spans="1:86">
      <c r="A21" t="str">
        <f t="shared" si="5"/>
        <v>Biomass and wastes</v>
      </c>
      <c r="C21" t="str">
        <f>TechComm!L24</f>
        <v>R_ES-SH-DH_BIO</v>
      </c>
      <c r="D21" t="str">
        <f t="shared" si="6"/>
        <v>RSDBIO</v>
      </c>
      <c r="E21" t="str">
        <f t="shared" si="11"/>
        <v>R_ES-DH-SpHeat</v>
      </c>
      <c r="F21" s="509">
        <f ca="1">IFERROR('All Stock'!D$13*VLOOKUP($A21,'IDEES okt 2017 template'!$C$173:$AN$181,'IDEES okt 2017 template'!D$162,FALSE),"")</f>
        <v>141.15489999913339</v>
      </c>
      <c r="G21" s="509">
        <f ca="1">IFERROR('All Stock'!E$13*VLOOKUP($A21,'IDEES okt 2017 template'!$C$173:$AN$181,'IDEES okt 2017 template'!E$162,FALSE),"")</f>
        <v>33.166912578702778</v>
      </c>
      <c r="H21" s="509">
        <f ca="1">IFERROR('All Stock'!F$13*VLOOKUP($A21,'IDEES okt 2017 template'!$C$173:$AN$181,'IDEES okt 2017 template'!F$162,FALSE),"")</f>
        <v>121.94099467000153</v>
      </c>
      <c r="I21" s="509">
        <f ca="1">IFERROR('All Stock'!G$13*VLOOKUP($A21,'IDEES okt 2017 template'!$C$173:$AN$181,'IDEES okt 2017 template'!G$162,FALSE),"")</f>
        <v>39.360560076354687</v>
      </c>
      <c r="J21" s="509">
        <f ca="1">IFERROR('All Stock'!H$13*VLOOKUP($A21,'IDEES okt 2017 template'!$C$173:$AN$181,'IDEES okt 2017 template'!H$162,FALSE),"")</f>
        <v>0.58701983221031007</v>
      </c>
      <c r="K21" s="509">
        <f ca="1">IFERROR('All Stock'!I$13*VLOOKUP($A21,'IDEES okt 2017 template'!$C$173:$AN$181,'IDEES okt 2017 template'!I$162,FALSE),"")</f>
        <v>125.63308620821539</v>
      </c>
      <c r="L21" s="509">
        <f ca="1">IFERROR('All Stock'!J$13*VLOOKUP($A21,'IDEES okt 2017 template'!$C$173:$AN$181,'IDEES okt 2017 template'!J$162,FALSE),"")</f>
        <v>421.0838031454399</v>
      </c>
      <c r="M21" s="509">
        <f ca="1">IFERROR('All Stock'!K$13*VLOOKUP($A21,'IDEES okt 2017 template'!$C$173:$AN$181,'IDEES okt 2017 template'!K$162,FALSE),"")</f>
        <v>108.93701695986272</v>
      </c>
      <c r="N21" s="509">
        <f ca="1">IFERROR('All Stock'!L$13*VLOOKUP($A21,'IDEES okt 2017 template'!$C$173:$AN$181,'IDEES okt 2017 template'!L$162,FALSE),"")</f>
        <v>19.082115360242071</v>
      </c>
      <c r="O21" s="509">
        <f ca="1">IFERROR('All Stock'!M$13*VLOOKUP($A21,'IDEES okt 2017 template'!$C$173:$AN$181,'IDEES okt 2017 template'!M$162,FALSE),"")</f>
        <v>77.565566826692233</v>
      </c>
      <c r="P21" s="509">
        <f ca="1">IFERROR('All Stock'!N$13*VLOOKUP($A21,'IDEES okt 2017 template'!$C$173:$AN$181,'IDEES okt 2017 template'!N$162,FALSE),"")</f>
        <v>68.518094480265134</v>
      </c>
      <c r="Q21" s="509">
        <f ca="1">IFERROR('All Stock'!O$13*VLOOKUP($A21,'IDEES okt 2017 template'!$C$173:$AN$181,'IDEES okt 2017 template'!O$162,FALSE),"")</f>
        <v>542.20050811155465</v>
      </c>
      <c r="R21" s="509">
        <f ca="1">IFERROR('All Stock'!P$13*VLOOKUP($A21,'IDEES okt 2017 template'!$C$173:$AN$181,'IDEES okt 2017 template'!P$162,FALSE),"")</f>
        <v>49.403625194294612</v>
      </c>
      <c r="S21" s="509">
        <f ca="1">IFERROR('All Stock'!Q$13*VLOOKUP($A21,'IDEES okt 2017 template'!$C$173:$AN$181,'IDEES okt 2017 template'!Q$162,FALSE),"")</f>
        <v>141.45188832529169</v>
      </c>
      <c r="T21" s="509">
        <f ca="1">IFERROR('All Stock'!R$13*VLOOKUP($A21,'IDEES okt 2017 template'!$C$173:$AN$181,'IDEES okt 2017 template'!R$162,FALSE),"")</f>
        <v>167.92797332907526</v>
      </c>
      <c r="U21" s="509">
        <f ca="1">IFERROR('All Stock'!S$13*VLOOKUP($A21,'IDEES okt 2017 template'!$C$173:$AN$181,'IDEES okt 2017 template'!S$162,FALSE),"")</f>
        <v>1.3621648586080417</v>
      </c>
      <c r="V21" s="509">
        <f ca="1">IFERROR('All Stock'!T$13*VLOOKUP($A21,'IDEES okt 2017 template'!$C$173:$AN$181,'IDEES okt 2017 template'!T$162,FALSE),"")</f>
        <v>0</v>
      </c>
      <c r="W21" s="509">
        <f ca="1">IFERROR('All Stock'!U$13*VLOOKUP($A21,'IDEES okt 2017 template'!$C$173:$AN$181,'IDEES okt 2017 template'!U$162,FALSE),"")</f>
        <v>282.97008340214808</v>
      </c>
      <c r="X21" s="509">
        <f ca="1">IFERROR('All Stock'!V$13*VLOOKUP($A21,'IDEES okt 2017 template'!$C$173:$AN$181,'IDEES okt 2017 template'!V$162,FALSE),"")</f>
        <v>47.30945814225732</v>
      </c>
      <c r="Y21" s="509">
        <f ca="1">IFERROR('All Stock'!W$13*VLOOKUP($A21,'IDEES okt 2017 template'!$C$173:$AN$181,'IDEES okt 2017 template'!W$162,FALSE),"")</f>
        <v>0.92964910168975912</v>
      </c>
      <c r="Z21" s="509">
        <f ca="1">IFERROR('All Stock'!X$13*VLOOKUP($A21,'IDEES okt 2017 template'!$C$173:$AN$181,'IDEES okt 2017 template'!X$162,FALSE),"")</f>
        <v>36.577194617792138</v>
      </c>
      <c r="AA21" s="509">
        <f ca="1">IFERROR('All Stock'!Y$13*VLOOKUP($A21,'IDEES okt 2017 template'!$C$173:$AN$181,'IDEES okt 2017 template'!Y$162,FALSE),"")</f>
        <v>0.13960267630236736</v>
      </c>
      <c r="AB21" s="509">
        <f ca="1">IFERROR('All Stock'!Z$13*VLOOKUP($A21,'IDEES okt 2017 template'!$C$173:$AN$181,'IDEES okt 2017 template'!Z$162,FALSE),"")</f>
        <v>11.694828477814983</v>
      </c>
      <c r="AC21" s="509">
        <f ca="1">IFERROR('All Stock'!AA$13*VLOOKUP($A21,'IDEES okt 2017 template'!$C$173:$AN$181,'IDEES okt 2017 template'!AA$162,FALSE),"")</f>
        <v>57.967972929752023</v>
      </c>
      <c r="AD21" s="509">
        <f ca="1">IFERROR('All Stock'!AB$13*VLOOKUP($A21,'IDEES okt 2017 template'!$C$173:$AN$181,'IDEES okt 2017 template'!AB$162,FALSE),"")</f>
        <v>171.3648990513463</v>
      </c>
      <c r="AE21" s="509">
        <f ca="1">IFERROR('All Stock'!AC$13*VLOOKUP($A21,'IDEES okt 2017 template'!$C$173:$AN$181,'IDEES okt 2017 template'!AC$162,FALSE),"")</f>
        <v>84.852302256981957</v>
      </c>
      <c r="AF21" s="509">
        <f ca="1">IFERROR('All Stock'!AD$13*VLOOKUP($A21,'IDEES okt 2017 template'!$C$173:$AN$181,'IDEES okt 2017 template'!AD$162,FALSE),"")</f>
        <v>350.85806153499698</v>
      </c>
      <c r="AG21" s="509">
        <f ca="1">IFERROR('All Stock'!AE$13*VLOOKUP($A21,'IDEES okt 2017 template'!$C$173:$AN$181,'IDEES okt 2017 template'!AE$162,FALSE),"")</f>
        <v>42.842221795248328</v>
      </c>
      <c r="AH21" s="509">
        <f ca="1">IFERROR('All Stock'!AF$13*VLOOKUP($A21,'IDEES okt 2017 template'!$C$173:$AN$181,'IDEES okt 2017 template'!AF$162,FALSE),"")</f>
        <v>47.596096541030306</v>
      </c>
      <c r="AI21" s="509">
        <f ca="1">IFERROR('All Stock'!AG$13*VLOOKUP($A21,'IDEES okt 2017 template'!$C$173:$AN$181,'IDEES okt 2017 template'!AG$162,FALSE),"")</f>
        <v>4.2739108884320247</v>
      </c>
      <c r="AJ21" s="509">
        <f ca="1">IFERROR('All Stock'!AH$13*VLOOKUP($A21,'IDEES okt 2017 template'!$C$173:$AN$181,'IDEES okt 2017 template'!AH$162,FALSE),"")</f>
        <v>61.39818663216667</v>
      </c>
      <c r="AK21" s="509">
        <f ca="1">IFERROR('All Stock'!AI$13*VLOOKUP($A21,'IDEES okt 2017 template'!$C$173:$AN$181,'IDEES okt 2017 template'!AI$162,FALSE),"")</f>
        <v>30.482035963619232</v>
      </c>
      <c r="AL21" s="509">
        <f ca="1">IFERROR('All Stock'!AJ$13*VLOOKUP($A21,'IDEES okt 2017 template'!$C$173:$AN$181,'IDEES okt 2017 template'!AJ$162,FALSE),"")</f>
        <v>35.896346296104653</v>
      </c>
      <c r="AM21" s="509">
        <f ca="1">IFERROR('All Stock'!AK$13*VLOOKUP($A21,'IDEES okt 2017 template'!$C$173:$AN$181,'IDEES okt 2017 template'!AK$162,FALSE),"")</f>
        <v>17.945781291006572</v>
      </c>
      <c r="AN21" s="509">
        <f ca="1">IFERROR('All Stock'!AL$13*VLOOKUP($A21,'IDEES okt 2017 template'!$C$173:$AN$181,'IDEES okt 2017 template'!AL$162,FALSE),"")</f>
        <v>34.059263673287255</v>
      </c>
      <c r="AO21" s="509">
        <f ca="1">IFERROR('All Stock'!AM$13*VLOOKUP($A21,'IDEES okt 2017 template'!$C$173:$AN$181,'IDEES okt 2017 template'!AM$162,FALSE),"")</f>
        <v>138.97779265929552</v>
      </c>
      <c r="AP21" s="509">
        <f ca="1">IFERROR('All Stock'!AN$13*VLOOKUP($A21,'IDEES okt 2017 template'!$C$173:$AN$181,'IDEES okt 2017 template'!AN$162,FALSE),"")</f>
        <v>45.966905920602443</v>
      </c>
      <c r="AQ21" s="509"/>
      <c r="AS21" t="str">
        <f t="shared" si="7"/>
        <v>Biomass and wastes</v>
      </c>
      <c r="AT21" s="509"/>
      <c r="AW21" s="496">
        <f t="shared" ca="1" si="8"/>
        <v>13.000836648841211</v>
      </c>
      <c r="AX21" s="496">
        <f t="shared" ca="1" si="9"/>
        <v>15.603065799861602</v>
      </c>
      <c r="AY21" s="496">
        <f t="shared" ca="1" si="10"/>
        <v>22.290093999802291</v>
      </c>
      <c r="AZ21" s="467"/>
      <c r="BA21" s="467"/>
      <c r="BB21" s="467"/>
      <c r="BC21" s="467"/>
      <c r="BD21" s="467"/>
      <c r="BE21" s="467"/>
      <c r="BF21" s="467"/>
      <c r="BG21" s="467"/>
      <c r="BH21" s="467"/>
      <c r="BI21" s="467"/>
      <c r="BJ21" s="467"/>
      <c r="BK21" s="467"/>
      <c r="BL21" s="467"/>
      <c r="BM21" s="467"/>
      <c r="BN21" s="467"/>
      <c r="BO21" s="467"/>
      <c r="BP21" s="467"/>
      <c r="BQ21" s="467"/>
      <c r="BR21" s="467"/>
      <c r="BS21" s="467"/>
      <c r="BT21" s="467"/>
      <c r="BU21" s="467"/>
      <c r="BV21" s="467"/>
      <c r="BW21" s="467"/>
      <c r="BX21" s="467"/>
      <c r="BY21" s="467"/>
      <c r="BZ21" s="467"/>
      <c r="CA21" s="467"/>
      <c r="CB21" s="467"/>
      <c r="CC21" s="467"/>
      <c r="CD21" s="467"/>
      <c r="CE21" s="467"/>
      <c r="CF21" s="467"/>
      <c r="CG21" s="467"/>
      <c r="CH21" s="467"/>
    </row>
    <row r="22" spans="1:86">
      <c r="A22" t="str">
        <f t="shared" si="5"/>
        <v>Solids</v>
      </c>
      <c r="C22" t="str">
        <f>TechComm!L25</f>
        <v>R_ES-SH-DH_COA</v>
      </c>
      <c r="D22" t="str">
        <f t="shared" si="6"/>
        <v>RSDCOA</v>
      </c>
      <c r="E22" t="str">
        <f t="shared" si="11"/>
        <v>R_ES-DH-SpHeat</v>
      </c>
      <c r="F22" s="509">
        <f ca="1">IFERROR('All Stock'!D$13*VLOOKUP($A22,'IDEES okt 2017 template'!$C$173:$AN$181,'IDEES okt 2017 template'!D$162,FALSE),"")</f>
        <v>5.133934682190298</v>
      </c>
      <c r="G22" s="509">
        <f ca="1">IFERROR('All Stock'!E$13*VLOOKUP($A22,'IDEES okt 2017 template'!$C$173:$AN$181,'IDEES okt 2017 template'!E$162,FALSE),"")</f>
        <v>9.5370205199505484</v>
      </c>
      <c r="H22" s="509">
        <f ca="1">IFERROR('All Stock'!F$13*VLOOKUP($A22,'IDEES okt 2017 template'!$C$173:$AN$181,'IDEES okt 2017 template'!F$162,FALSE),"")</f>
        <v>34.397981039872903</v>
      </c>
      <c r="I22" s="509">
        <f ca="1">IFERROR('All Stock'!G$13*VLOOKUP($A22,'IDEES okt 2017 template'!$C$173:$AN$181,'IDEES okt 2017 template'!G$162,FALSE),"")</f>
        <v>0.78606830990136534</v>
      </c>
      <c r="J22" s="509">
        <f ca="1">IFERROR('All Stock'!H$13*VLOOKUP($A22,'IDEES okt 2017 template'!$C$173:$AN$181,'IDEES okt 2017 template'!H$162,FALSE),"")</f>
        <v>0</v>
      </c>
      <c r="K22" s="509">
        <f ca="1">IFERROR('All Stock'!I$13*VLOOKUP($A22,'IDEES okt 2017 template'!$C$173:$AN$181,'IDEES okt 2017 template'!I$162,FALSE),"")</f>
        <v>79.121547259059852</v>
      </c>
      <c r="L22" s="509">
        <f ca="1">IFERROR('All Stock'!J$13*VLOOKUP($A22,'IDEES okt 2017 template'!$C$173:$AN$181,'IDEES okt 2017 template'!J$162,FALSE),"")</f>
        <v>68.451741119326357</v>
      </c>
      <c r="M22" s="509">
        <f ca="1">IFERROR('All Stock'!K$13*VLOOKUP($A22,'IDEES okt 2017 template'!$C$173:$AN$181,'IDEES okt 2017 template'!K$162,FALSE),"")</f>
        <v>0</v>
      </c>
      <c r="N22" s="509">
        <f ca="1">IFERROR('All Stock'!L$13*VLOOKUP($A22,'IDEES okt 2017 template'!$C$173:$AN$181,'IDEES okt 2017 template'!L$162,FALSE),"")</f>
        <v>0.53541828163378535</v>
      </c>
      <c r="O22" s="509">
        <f ca="1">IFERROR('All Stock'!M$13*VLOOKUP($A22,'IDEES okt 2017 template'!$C$173:$AN$181,'IDEES okt 2017 template'!M$162,FALSE),"")</f>
        <v>6.6771438989322149</v>
      </c>
      <c r="P22" s="509">
        <f ca="1">IFERROR('All Stock'!N$13*VLOOKUP($A22,'IDEES okt 2017 template'!$C$173:$AN$181,'IDEES okt 2017 template'!N$162,FALSE),"")</f>
        <v>0.44445178763959586</v>
      </c>
      <c r="Q22" s="509">
        <f ca="1">IFERROR('All Stock'!O$13*VLOOKUP($A22,'IDEES okt 2017 template'!$C$173:$AN$181,'IDEES okt 2017 template'!O$162,FALSE),"")</f>
        <v>15.975048078753368</v>
      </c>
      <c r="R22" s="509">
        <f ca="1">IFERROR('All Stock'!P$13*VLOOKUP($A22,'IDEES okt 2017 template'!$C$173:$AN$181,'IDEES okt 2017 template'!P$162,FALSE),"")</f>
        <v>0</v>
      </c>
      <c r="S22" s="509">
        <f ca="1">IFERROR('All Stock'!Q$13*VLOOKUP($A22,'IDEES okt 2017 template'!$C$173:$AN$181,'IDEES okt 2017 template'!Q$162,FALSE),"")</f>
        <v>0.72175114658538486</v>
      </c>
      <c r="T22" s="509">
        <f ca="1">IFERROR('All Stock'!R$13*VLOOKUP($A22,'IDEES okt 2017 template'!$C$173:$AN$181,'IDEES okt 2017 template'!R$162,FALSE),"")</f>
        <v>18.99769514028306</v>
      </c>
      <c r="U22" s="509">
        <f ca="1">IFERROR('All Stock'!S$13*VLOOKUP($A22,'IDEES okt 2017 template'!$C$173:$AN$181,'IDEES okt 2017 template'!S$162,FALSE),"")</f>
        <v>26.833024619551971</v>
      </c>
      <c r="V22" s="509">
        <f ca="1">IFERROR('All Stock'!T$13*VLOOKUP($A22,'IDEES okt 2017 template'!$C$173:$AN$181,'IDEES okt 2017 template'!T$162,FALSE),"")</f>
        <v>0</v>
      </c>
      <c r="W22" s="509">
        <f ca="1">IFERROR('All Stock'!U$13*VLOOKUP($A22,'IDEES okt 2017 template'!$C$173:$AN$181,'IDEES okt 2017 template'!U$162,FALSE),"")</f>
        <v>0.18307687639283221</v>
      </c>
      <c r="X22" s="509">
        <f ca="1">IFERROR('All Stock'!V$13*VLOOKUP($A22,'IDEES okt 2017 template'!$C$173:$AN$181,'IDEES okt 2017 template'!V$162,FALSE),"")</f>
        <v>6.0789289522590275</v>
      </c>
      <c r="Y22" s="509">
        <f ca="1">IFERROR('All Stock'!W$13*VLOOKUP($A22,'IDEES okt 2017 template'!$C$173:$AN$181,'IDEES okt 2017 template'!W$162,FALSE),"")</f>
        <v>3.0370438444772808E-2</v>
      </c>
      <c r="Z22" s="509">
        <f ca="1">IFERROR('All Stock'!X$13*VLOOKUP($A22,'IDEES okt 2017 template'!$C$173:$AN$181,'IDEES okt 2017 template'!X$162,FALSE),"")</f>
        <v>1.1055794352268666</v>
      </c>
      <c r="AA22" s="509">
        <f ca="1">IFERROR('All Stock'!Y$13*VLOOKUP($A22,'IDEES okt 2017 template'!$C$173:$AN$181,'IDEES okt 2017 template'!Y$162,FALSE),"")</f>
        <v>0</v>
      </c>
      <c r="AB22" s="509">
        <f ca="1">IFERROR('All Stock'!Z$13*VLOOKUP($A22,'IDEES okt 2017 template'!$C$173:$AN$181,'IDEES okt 2017 template'!Z$162,FALSE),"")</f>
        <v>6.6375191812465859E-2</v>
      </c>
      <c r="AC22" s="509">
        <f ca="1">IFERROR('All Stock'!AA$13*VLOOKUP($A22,'IDEES okt 2017 template'!$C$173:$AN$181,'IDEES okt 2017 template'!AA$162,FALSE),"")</f>
        <v>0</v>
      </c>
      <c r="AD22" s="509">
        <f ca="1">IFERROR('All Stock'!AB$13*VLOOKUP($A22,'IDEES okt 2017 template'!$C$173:$AN$181,'IDEES okt 2017 template'!AB$162,FALSE),"")</f>
        <v>493.43243542842521</v>
      </c>
      <c r="AE22" s="509">
        <f ca="1">IFERROR('All Stock'!AC$13*VLOOKUP($A22,'IDEES okt 2017 template'!$C$173:$AN$181,'IDEES okt 2017 template'!AC$162,FALSE),"")</f>
        <v>0</v>
      </c>
      <c r="AF22" s="509">
        <f ca="1">IFERROR('All Stock'!AD$13*VLOOKUP($A22,'IDEES okt 2017 template'!$C$173:$AN$181,'IDEES okt 2017 template'!AD$162,FALSE),"")</f>
        <v>2.5895778019672662</v>
      </c>
      <c r="AG22" s="509">
        <f ca="1">IFERROR('All Stock'!AE$13*VLOOKUP($A22,'IDEES okt 2017 template'!$C$173:$AN$181,'IDEES okt 2017 template'!AE$162,FALSE),"")</f>
        <v>0</v>
      </c>
      <c r="AH22" s="509">
        <f ca="1">IFERROR('All Stock'!AF$13*VLOOKUP($A22,'IDEES okt 2017 template'!$C$173:$AN$181,'IDEES okt 2017 template'!AF$162,FALSE),"")</f>
        <v>0.14810025692863193</v>
      </c>
      <c r="AI22" s="509">
        <f ca="1">IFERROR('All Stock'!AG$13*VLOOKUP($A22,'IDEES okt 2017 template'!$C$173:$AN$181,'IDEES okt 2017 template'!AG$162,FALSE),"")</f>
        <v>6.0833928491815543</v>
      </c>
      <c r="AJ22" s="509">
        <f ca="1">IFERROR('All Stock'!AH$13*VLOOKUP($A22,'IDEES okt 2017 template'!$C$173:$AN$181,'IDEES okt 2017 template'!AH$162,FALSE),"")</f>
        <v>45.876990884661097</v>
      </c>
      <c r="AK22" s="509">
        <f ca="1">IFERROR('All Stock'!AI$13*VLOOKUP($A22,'IDEES okt 2017 template'!$C$173:$AN$181,'IDEES okt 2017 template'!AI$162,FALSE),"")</f>
        <v>0</v>
      </c>
      <c r="AL22" s="509">
        <f ca="1">IFERROR('All Stock'!AJ$13*VLOOKUP($A22,'IDEES okt 2017 template'!$C$173:$AN$181,'IDEES okt 2017 template'!AJ$162,FALSE),"")</f>
        <v>23.315713670107748</v>
      </c>
      <c r="AM22" s="509">
        <f ca="1">IFERROR('All Stock'!AK$13*VLOOKUP($A22,'IDEES okt 2017 template'!$C$173:$AN$181,'IDEES okt 2017 template'!AK$162,FALSE),"")</f>
        <v>0</v>
      </c>
      <c r="AN22" s="509">
        <f ca="1">IFERROR('All Stock'!AL$13*VLOOKUP($A22,'IDEES okt 2017 template'!$C$173:$AN$181,'IDEES okt 2017 template'!AL$162,FALSE),"")</f>
        <v>0</v>
      </c>
      <c r="AO22" s="509">
        <f ca="1">IFERROR('All Stock'!AM$13*VLOOKUP($A22,'IDEES okt 2017 template'!$C$173:$AN$181,'IDEES okt 2017 template'!AM$162,FALSE),"")</f>
        <v>35.168378459584538</v>
      </c>
      <c r="AP22" s="509">
        <f ca="1">IFERROR('All Stock'!AN$13*VLOOKUP($A22,'IDEES okt 2017 template'!$C$173:$AN$181,'IDEES okt 2017 template'!AN$162,FALSE),"")</f>
        <v>4.6942637301535912</v>
      </c>
      <c r="AQ22" s="509"/>
      <c r="AS22" t="str">
        <f t="shared" si="7"/>
        <v>Solids</v>
      </c>
      <c r="AT22" s="509"/>
      <c r="AW22" s="496">
        <f t="shared" ca="1" si="8"/>
        <v>7.8571083153510052E-2</v>
      </c>
      <c r="AX22" s="496">
        <f t="shared" ca="1" si="9"/>
        <v>8.9907741771825159E-2</v>
      </c>
      <c r="AY22" s="496">
        <f t="shared" ca="1" si="10"/>
        <v>0.13831960272588487</v>
      </c>
      <c r="AZ22" s="467"/>
      <c r="BA22" s="467"/>
      <c r="BB22" s="467"/>
      <c r="BC22" s="467"/>
      <c r="BD22" s="467"/>
      <c r="BE22" s="467"/>
      <c r="BF22" s="467"/>
      <c r="BG22" s="467"/>
      <c r="BH22" s="467"/>
      <c r="BI22" s="467"/>
      <c r="BJ22" s="467"/>
      <c r="BK22" s="467"/>
      <c r="BL22" s="467"/>
      <c r="BM22" s="467"/>
      <c r="BN22" s="467"/>
      <c r="BO22" s="467"/>
      <c r="BP22" s="467"/>
      <c r="BQ22" s="467"/>
      <c r="BR22" s="467"/>
      <c r="BS22" s="467"/>
      <c r="BT22" s="467"/>
      <c r="BU22" s="467"/>
      <c r="BV22" s="467"/>
      <c r="BW22" s="467"/>
      <c r="BX22" s="467"/>
      <c r="BY22" s="467"/>
      <c r="BZ22" s="467"/>
      <c r="CA22" s="467"/>
      <c r="CB22" s="467"/>
      <c r="CC22" s="467"/>
      <c r="CD22" s="467"/>
      <c r="CE22" s="467"/>
      <c r="CF22" s="467"/>
      <c r="CG22" s="467"/>
      <c r="CH22" s="467"/>
    </row>
    <row r="23" spans="1:86">
      <c r="A23" t="str">
        <f t="shared" si="5"/>
        <v>LPG</v>
      </c>
      <c r="C23" t="str">
        <f>TechComm!L26</f>
        <v>R_ES-SH-DH_LPG</v>
      </c>
      <c r="D23" t="str">
        <f t="shared" si="6"/>
        <v>RSDLPG</v>
      </c>
      <c r="E23" t="str">
        <f t="shared" si="11"/>
        <v>R_ES-DH-SpHeat</v>
      </c>
      <c r="F23" s="509">
        <f ca="1">IFERROR('All Stock'!D$13*VLOOKUP($A23,'IDEES okt 2017 template'!$C$173:$AN$181,'IDEES okt 2017 template'!D$162,FALSE),"")</f>
        <v>1.1697907704415043</v>
      </c>
      <c r="G23" s="509">
        <f ca="1">IFERROR('All Stock'!E$13*VLOOKUP($A23,'IDEES okt 2017 template'!$C$173:$AN$181,'IDEES okt 2017 template'!E$162,FALSE),"")</f>
        <v>1.2863623073649506</v>
      </c>
      <c r="H23" s="509">
        <f ca="1">IFERROR('All Stock'!F$13*VLOOKUP($A23,'IDEES okt 2017 template'!$C$173:$AN$181,'IDEES okt 2017 template'!F$162,FALSE),"")</f>
        <v>0.8786207404685098</v>
      </c>
      <c r="I23" s="509">
        <f ca="1">IFERROR('All Stock'!G$13*VLOOKUP($A23,'IDEES okt 2017 template'!$C$173:$AN$181,'IDEES okt 2017 template'!G$162,FALSE),"")</f>
        <v>0</v>
      </c>
      <c r="J23" s="509">
        <f ca="1">IFERROR('All Stock'!H$13*VLOOKUP($A23,'IDEES okt 2017 template'!$C$173:$AN$181,'IDEES okt 2017 template'!H$162,FALSE),"")</f>
        <v>1.5015671603341056</v>
      </c>
      <c r="K23" s="509">
        <f ca="1">IFERROR('All Stock'!I$13*VLOOKUP($A23,'IDEES okt 2017 template'!$C$173:$AN$181,'IDEES okt 2017 template'!I$162,FALSE),"")</f>
        <v>0</v>
      </c>
      <c r="L23" s="509">
        <f ca="1">IFERROR('All Stock'!J$13*VLOOKUP($A23,'IDEES okt 2017 template'!$C$173:$AN$181,'IDEES okt 2017 template'!J$162,FALSE),"")</f>
        <v>16.161618395331178</v>
      </c>
      <c r="M23" s="509">
        <f ca="1">IFERROR('All Stock'!K$13*VLOOKUP($A23,'IDEES okt 2017 template'!$C$173:$AN$181,'IDEES okt 2017 template'!K$162,FALSE),"")</f>
        <v>0.64180132432940606</v>
      </c>
      <c r="N23" s="509">
        <f ca="1">IFERROR('All Stock'!L$13*VLOOKUP($A23,'IDEES okt 2017 template'!$C$173:$AN$181,'IDEES okt 2017 template'!L$162,FALSE),"")</f>
        <v>0</v>
      </c>
      <c r="O23" s="509">
        <f ca="1">IFERROR('All Stock'!M$13*VLOOKUP($A23,'IDEES okt 2017 template'!$C$173:$AN$181,'IDEES okt 2017 template'!M$162,FALSE),"")</f>
        <v>15.126364100602421</v>
      </c>
      <c r="P23" s="509">
        <f ca="1">IFERROR('All Stock'!N$13*VLOOKUP($A23,'IDEES okt 2017 template'!$C$173:$AN$181,'IDEES okt 2017 template'!N$162,FALSE),"")</f>
        <v>0</v>
      </c>
      <c r="Q23" s="509">
        <f ca="1">IFERROR('All Stock'!O$13*VLOOKUP($A23,'IDEES okt 2017 template'!$C$173:$AN$181,'IDEES okt 2017 template'!O$162,FALSE),"")</f>
        <v>27.158848878680075</v>
      </c>
      <c r="R23" s="509">
        <f ca="1">IFERROR('All Stock'!P$13*VLOOKUP($A23,'IDEES okt 2017 template'!$C$173:$AN$181,'IDEES okt 2017 template'!P$162,FALSE),"")</f>
        <v>0</v>
      </c>
      <c r="S23" s="509">
        <f ca="1">IFERROR('All Stock'!Q$13*VLOOKUP($A23,'IDEES okt 2017 template'!$C$173:$AN$181,'IDEES okt 2017 template'!Q$162,FALSE),"")</f>
        <v>2.5946627368678783</v>
      </c>
      <c r="T23" s="509">
        <f ca="1">IFERROR('All Stock'!R$13*VLOOKUP($A23,'IDEES okt 2017 template'!$C$173:$AN$181,'IDEES okt 2017 template'!R$162,FALSE),"")</f>
        <v>5.8244328381562029</v>
      </c>
      <c r="U23" s="509">
        <f ca="1">IFERROR('All Stock'!S$13*VLOOKUP($A23,'IDEES okt 2017 template'!$C$173:$AN$181,'IDEES okt 2017 template'!S$162,FALSE),"")</f>
        <v>1.6396788234559174</v>
      </c>
      <c r="V23" s="509">
        <f ca="1">IFERROR('All Stock'!T$13*VLOOKUP($A23,'IDEES okt 2017 template'!$C$173:$AN$181,'IDEES okt 2017 template'!T$162,FALSE),"")</f>
        <v>0</v>
      </c>
      <c r="W23" s="509">
        <f ca="1">IFERROR('All Stock'!U$13*VLOOKUP($A23,'IDEES okt 2017 template'!$C$173:$AN$181,'IDEES okt 2017 template'!U$162,FALSE),"")</f>
        <v>26.363603952394058</v>
      </c>
      <c r="X23" s="509">
        <f ca="1">IFERROR('All Stock'!V$13*VLOOKUP($A23,'IDEES okt 2017 template'!$C$173:$AN$181,'IDEES okt 2017 template'!V$162,FALSE),"")</f>
        <v>0</v>
      </c>
      <c r="Y23" s="509">
        <f ca="1">IFERROR('All Stock'!W$13*VLOOKUP($A23,'IDEES okt 2017 template'!$C$173:$AN$181,'IDEES okt 2017 template'!W$162,FALSE),"")</f>
        <v>0</v>
      </c>
      <c r="Z23" s="509">
        <f ca="1">IFERROR('All Stock'!X$13*VLOOKUP($A23,'IDEES okt 2017 template'!$C$173:$AN$181,'IDEES okt 2017 template'!X$162,FALSE),"")</f>
        <v>0</v>
      </c>
      <c r="AA23" s="509">
        <f ca="1">IFERROR('All Stock'!Y$13*VLOOKUP($A23,'IDEES okt 2017 template'!$C$173:$AN$181,'IDEES okt 2017 template'!Y$162,FALSE),"")</f>
        <v>0.77888591992878042</v>
      </c>
      <c r="AB23" s="509">
        <f ca="1">IFERROR('All Stock'!Z$13*VLOOKUP($A23,'IDEES okt 2017 template'!$C$173:$AN$181,'IDEES okt 2017 template'!Z$162,FALSE),"")</f>
        <v>0</v>
      </c>
      <c r="AC23" s="509">
        <f ca="1">IFERROR('All Stock'!AA$13*VLOOKUP($A23,'IDEES okt 2017 template'!$C$173:$AN$181,'IDEES okt 2017 template'!AA$162,FALSE),"")</f>
        <v>0</v>
      </c>
      <c r="AD23" s="509">
        <f ca="1">IFERROR('All Stock'!AB$13*VLOOKUP($A23,'IDEES okt 2017 template'!$C$173:$AN$181,'IDEES okt 2017 template'!AB$162,FALSE),"")</f>
        <v>0</v>
      </c>
      <c r="AE23" s="509">
        <f ca="1">IFERROR('All Stock'!AC$13*VLOOKUP($A23,'IDEES okt 2017 template'!$C$173:$AN$181,'IDEES okt 2017 template'!AC$162,FALSE),"")</f>
        <v>7.3421027384260498</v>
      </c>
      <c r="AF23" s="509">
        <f ca="1">IFERROR('All Stock'!AD$13*VLOOKUP($A23,'IDEES okt 2017 template'!$C$173:$AN$181,'IDEES okt 2017 template'!AD$162,FALSE),"")</f>
        <v>0</v>
      </c>
      <c r="AG23" s="509">
        <f ca="1">IFERROR('All Stock'!AE$13*VLOOKUP($A23,'IDEES okt 2017 template'!$C$173:$AN$181,'IDEES okt 2017 template'!AE$162,FALSE),"")</f>
        <v>0</v>
      </c>
      <c r="AH23" s="509">
        <f ca="1">IFERROR('All Stock'!AF$13*VLOOKUP($A23,'IDEES okt 2017 template'!$C$173:$AN$181,'IDEES okt 2017 template'!AF$162,FALSE),"")</f>
        <v>0.94412276963345376</v>
      </c>
      <c r="AI23" s="509">
        <f ca="1">IFERROR('All Stock'!AG$13*VLOOKUP($A23,'IDEES okt 2017 template'!$C$173:$AN$181,'IDEES okt 2017 template'!AG$162,FALSE),"")</f>
        <v>0</v>
      </c>
      <c r="AJ23" s="509">
        <f ca="1">IFERROR('All Stock'!AH$13*VLOOKUP($A23,'IDEES okt 2017 template'!$C$173:$AN$181,'IDEES okt 2017 template'!AH$162,FALSE),"")</f>
        <v>6.0711020957264736</v>
      </c>
      <c r="AK23" s="509">
        <f ca="1">IFERROR('All Stock'!AI$13*VLOOKUP($A23,'IDEES okt 2017 template'!$C$173:$AN$181,'IDEES okt 2017 template'!AI$162,FALSE),"")</f>
        <v>0</v>
      </c>
      <c r="AL23" s="509">
        <f ca="1">IFERROR('All Stock'!AJ$13*VLOOKUP($A23,'IDEES okt 2017 template'!$C$173:$AN$181,'IDEES okt 2017 template'!AJ$162,FALSE),"")</f>
        <v>0</v>
      </c>
      <c r="AM23" s="509">
        <f ca="1">IFERROR('All Stock'!AK$13*VLOOKUP($A23,'IDEES okt 2017 template'!$C$173:$AN$181,'IDEES okt 2017 template'!AK$162,FALSE),"")</f>
        <v>0</v>
      </c>
      <c r="AN23" s="509">
        <f ca="1">IFERROR('All Stock'!AL$13*VLOOKUP($A23,'IDEES okt 2017 template'!$C$173:$AN$181,'IDEES okt 2017 template'!AL$162,FALSE),"")</f>
        <v>0</v>
      </c>
      <c r="AO23" s="509">
        <f ca="1">IFERROR('All Stock'!AM$13*VLOOKUP($A23,'IDEES okt 2017 template'!$C$173:$AN$181,'IDEES okt 2017 template'!AM$162,FALSE),"")</f>
        <v>1.0421312487572487</v>
      </c>
      <c r="AP23" s="509">
        <f ca="1">IFERROR('All Stock'!AN$13*VLOOKUP($A23,'IDEES okt 2017 template'!$C$173:$AN$181,'IDEES okt 2017 template'!AN$162,FALSE),"")</f>
        <v>0.55082744442011755</v>
      </c>
      <c r="AQ23" s="509"/>
      <c r="AS23" t="str">
        <f t="shared" si="7"/>
        <v>LPG</v>
      </c>
      <c r="AT23" s="509"/>
      <c r="AW23" s="496">
        <f t="shared" ca="1" si="8"/>
        <v>0</v>
      </c>
      <c r="AX23" s="496">
        <f t="shared" ca="1" si="9"/>
        <v>0</v>
      </c>
      <c r="AY23" s="496">
        <f t="shared" ca="1" si="10"/>
        <v>0</v>
      </c>
      <c r="AZ23" s="467"/>
      <c r="BA23" s="467"/>
      <c r="BB23" s="467"/>
      <c r="BC23" s="467"/>
      <c r="BD23" s="467"/>
      <c r="BE23" s="467"/>
      <c r="BF23" s="467"/>
      <c r="BG23" s="467"/>
      <c r="BH23" s="467"/>
      <c r="BI23" s="467"/>
      <c r="BJ23" s="467"/>
      <c r="BK23" s="467"/>
      <c r="BL23" s="467"/>
      <c r="BM23" s="467"/>
      <c r="BN23" s="467"/>
      <c r="BO23" s="467"/>
      <c r="BP23" s="467"/>
      <c r="BQ23" s="467"/>
      <c r="BR23" s="467"/>
      <c r="BS23" s="467"/>
      <c r="BT23" s="467"/>
      <c r="BU23" s="467"/>
      <c r="BV23" s="467"/>
      <c r="BW23" s="467"/>
      <c r="BX23" s="467"/>
      <c r="BY23" s="467"/>
      <c r="BZ23" s="467"/>
      <c r="CA23" s="467"/>
      <c r="CB23" s="467"/>
      <c r="CC23" s="467"/>
      <c r="CD23" s="467"/>
      <c r="CE23" s="467"/>
      <c r="CF23" s="467"/>
      <c r="CG23" s="467"/>
      <c r="CH23" s="467"/>
    </row>
    <row r="24" spans="1:86">
      <c r="A24" t="str">
        <f t="shared" si="5"/>
        <v>Geothermal Energy</v>
      </c>
      <c r="C24" t="str">
        <f>TechComm!L27</f>
        <v>R_ES-SH-DH_GEO</v>
      </c>
      <c r="D24" t="str">
        <f t="shared" si="6"/>
        <v>RSDGEO</v>
      </c>
      <c r="E24" t="str">
        <f t="shared" si="11"/>
        <v>R_ES-DH-SpHeat</v>
      </c>
      <c r="F24" s="509">
        <f ca="1">IFERROR('All Stock'!D$13*VLOOKUP($A24,'IDEES okt 2017 template'!$C$173:$AN$181,'IDEES okt 2017 template'!D$162,FALSE),"")</f>
        <v>0</v>
      </c>
      <c r="G24" s="509">
        <f ca="1">IFERROR('All Stock'!E$13*VLOOKUP($A24,'IDEES okt 2017 template'!$C$173:$AN$181,'IDEES okt 2017 template'!E$162,FALSE),"")</f>
        <v>0</v>
      </c>
      <c r="H24" s="509">
        <f ca="1">IFERROR('All Stock'!F$13*VLOOKUP($A24,'IDEES okt 2017 template'!$C$173:$AN$181,'IDEES okt 2017 template'!F$162,FALSE),"")</f>
        <v>0</v>
      </c>
      <c r="I24" s="509">
        <f ca="1">IFERROR('All Stock'!G$13*VLOOKUP($A24,'IDEES okt 2017 template'!$C$173:$AN$181,'IDEES okt 2017 template'!G$162,FALSE),"")</f>
        <v>25.889510264430157</v>
      </c>
      <c r="J24" s="509">
        <f ca="1">IFERROR('All Stock'!H$13*VLOOKUP($A24,'IDEES okt 2017 template'!$C$173:$AN$181,'IDEES okt 2017 template'!H$162,FALSE),"")</f>
        <v>0.11019616684939705</v>
      </c>
      <c r="K24" s="509">
        <f ca="1">IFERROR('All Stock'!I$13*VLOOKUP($A24,'IDEES okt 2017 template'!$C$173:$AN$181,'IDEES okt 2017 template'!I$162,FALSE),"")</f>
        <v>0</v>
      </c>
      <c r="L24" s="509">
        <f ca="1">IFERROR('All Stock'!J$13*VLOOKUP($A24,'IDEES okt 2017 template'!$C$173:$AN$181,'IDEES okt 2017 template'!J$162,FALSE),"")</f>
        <v>1.6687482693716933</v>
      </c>
      <c r="M24" s="509">
        <f ca="1">IFERROR('All Stock'!K$13*VLOOKUP($A24,'IDEES okt 2017 template'!$C$173:$AN$181,'IDEES okt 2017 template'!K$162,FALSE),"")</f>
        <v>0</v>
      </c>
      <c r="N24" s="509">
        <f ca="1">IFERROR('All Stock'!L$13*VLOOKUP($A24,'IDEES okt 2017 template'!$C$173:$AN$181,'IDEES okt 2017 template'!L$162,FALSE),"")</f>
        <v>0</v>
      </c>
      <c r="O24" s="509">
        <f ca="1">IFERROR('All Stock'!M$13*VLOOKUP($A24,'IDEES okt 2017 template'!$C$173:$AN$181,'IDEES okt 2017 template'!M$162,FALSE),"")</f>
        <v>0.51236766823890267</v>
      </c>
      <c r="P24" s="509">
        <f ca="1">IFERROR('All Stock'!N$13*VLOOKUP($A24,'IDEES okt 2017 template'!$C$173:$AN$181,'IDEES okt 2017 template'!N$162,FALSE),"")</f>
        <v>0</v>
      </c>
      <c r="Q24" s="509">
        <f ca="1">IFERROR('All Stock'!O$13*VLOOKUP($A24,'IDEES okt 2017 template'!$C$173:$AN$181,'IDEES okt 2017 template'!O$162,FALSE),"")</f>
        <v>1.8126890338018424</v>
      </c>
      <c r="R24" s="509">
        <f ca="1">IFERROR('All Stock'!P$13*VLOOKUP($A24,'IDEES okt 2017 template'!$C$173:$AN$181,'IDEES okt 2017 template'!P$162,FALSE),"")</f>
        <v>2.4686733858045647E-2</v>
      </c>
      <c r="S24" s="509">
        <f ca="1">IFERROR('All Stock'!Q$13*VLOOKUP($A24,'IDEES okt 2017 template'!$C$173:$AN$181,'IDEES okt 2017 template'!Q$162,FALSE),"")</f>
        <v>0</v>
      </c>
      <c r="T24" s="509">
        <f ca="1">IFERROR('All Stock'!R$13*VLOOKUP($A24,'IDEES okt 2017 template'!$C$173:$AN$181,'IDEES okt 2017 template'!R$162,FALSE),"")</f>
        <v>0</v>
      </c>
      <c r="U24" s="509">
        <f ca="1">IFERROR('All Stock'!S$13*VLOOKUP($A24,'IDEES okt 2017 template'!$C$173:$AN$181,'IDEES okt 2017 template'!S$162,FALSE),"")</f>
        <v>0</v>
      </c>
      <c r="V24" s="509">
        <f ca="1">IFERROR('All Stock'!T$13*VLOOKUP($A24,'IDEES okt 2017 template'!$C$173:$AN$181,'IDEES okt 2017 template'!T$162,FALSE),"")</f>
        <v>8.7696363908896284</v>
      </c>
      <c r="W24" s="509">
        <f ca="1">IFERROR('All Stock'!U$13*VLOOKUP($A24,'IDEES okt 2017 template'!$C$173:$AN$181,'IDEES okt 2017 template'!U$162,FALSE),"")</f>
        <v>0.10539172423144225</v>
      </c>
      <c r="X24" s="509">
        <f ca="1">IFERROR('All Stock'!V$13*VLOOKUP($A24,'IDEES okt 2017 template'!$C$173:$AN$181,'IDEES okt 2017 template'!V$162,FALSE),"")</f>
        <v>0</v>
      </c>
      <c r="Y24" s="509">
        <f ca="1">IFERROR('All Stock'!W$13*VLOOKUP($A24,'IDEES okt 2017 template'!$C$173:$AN$181,'IDEES okt 2017 template'!W$162,FALSE),"")</f>
        <v>0</v>
      </c>
      <c r="Z24" s="509">
        <f ca="1">IFERROR('All Stock'!X$13*VLOOKUP($A24,'IDEES okt 2017 template'!$C$173:$AN$181,'IDEES okt 2017 template'!X$162,FALSE),"")</f>
        <v>0</v>
      </c>
      <c r="AA24" s="509">
        <f ca="1">IFERROR('All Stock'!Y$13*VLOOKUP($A24,'IDEES okt 2017 template'!$C$173:$AN$181,'IDEES okt 2017 template'!Y$162,FALSE),"")</f>
        <v>0</v>
      </c>
      <c r="AB24" s="509">
        <f ca="1">IFERROR('All Stock'!Z$13*VLOOKUP($A24,'IDEES okt 2017 template'!$C$173:$AN$181,'IDEES okt 2017 template'!Z$162,FALSE),"")</f>
        <v>0</v>
      </c>
      <c r="AC24" s="509">
        <f ca="1">IFERROR('All Stock'!AA$13*VLOOKUP($A24,'IDEES okt 2017 template'!$C$173:$AN$181,'IDEES okt 2017 template'!AA$162,FALSE),"")</f>
        <v>0</v>
      </c>
      <c r="AD24" s="509">
        <f ca="1">IFERROR('All Stock'!AB$13*VLOOKUP($A24,'IDEES okt 2017 template'!$C$173:$AN$181,'IDEES okt 2017 template'!AB$162,FALSE),"")</f>
        <v>1.3231760958616039</v>
      </c>
      <c r="AE24" s="509">
        <f ca="1">IFERROR('All Stock'!AC$13*VLOOKUP($A24,'IDEES okt 2017 template'!$C$173:$AN$181,'IDEES okt 2017 template'!AC$162,FALSE),"")</f>
        <v>0</v>
      </c>
      <c r="AF24" s="509">
        <f ca="1">IFERROR('All Stock'!AD$13*VLOOKUP($A24,'IDEES okt 2017 template'!$C$173:$AN$181,'IDEES okt 2017 template'!AD$162,FALSE),"")</f>
        <v>2.4899830285325151</v>
      </c>
      <c r="AG24" s="509">
        <f ca="1">IFERROR('All Stock'!AE$13*VLOOKUP($A24,'IDEES okt 2017 template'!$C$173:$AN$181,'IDEES okt 2017 template'!AE$162,FALSE),"")</f>
        <v>0</v>
      </c>
      <c r="AH24" s="509">
        <f ca="1">IFERROR('All Stock'!AF$13*VLOOKUP($A24,'IDEES okt 2017 template'!$C$173:$AN$181,'IDEES okt 2017 template'!AF$162,FALSE),"")</f>
        <v>1.3843642053488039</v>
      </c>
      <c r="AI24" s="509">
        <f ca="1">IFERROR('All Stock'!AG$13*VLOOKUP($A24,'IDEES okt 2017 template'!$C$173:$AN$181,'IDEES okt 2017 template'!AG$162,FALSE),"")</f>
        <v>0</v>
      </c>
      <c r="AJ24" s="509">
        <f ca="1">IFERROR('All Stock'!AH$13*VLOOKUP($A24,'IDEES okt 2017 template'!$C$173:$AN$181,'IDEES okt 2017 template'!AH$162,FALSE),"")</f>
        <v>0</v>
      </c>
      <c r="AK24" s="509">
        <f ca="1">IFERROR('All Stock'!AI$13*VLOOKUP($A24,'IDEES okt 2017 template'!$C$173:$AN$181,'IDEES okt 2017 template'!AI$162,FALSE),"")</f>
        <v>0</v>
      </c>
      <c r="AL24" s="509">
        <f ca="1">IFERROR('All Stock'!AJ$13*VLOOKUP($A24,'IDEES okt 2017 template'!$C$173:$AN$181,'IDEES okt 2017 template'!AJ$162,FALSE),"")</f>
        <v>0</v>
      </c>
      <c r="AM24" s="509">
        <f ca="1">IFERROR('All Stock'!AK$13*VLOOKUP($A24,'IDEES okt 2017 template'!$C$173:$AN$181,'IDEES okt 2017 template'!AK$162,FALSE),"")</f>
        <v>0</v>
      </c>
      <c r="AN24" s="509">
        <f ca="1">IFERROR('All Stock'!AL$13*VLOOKUP($A24,'IDEES okt 2017 template'!$C$173:$AN$181,'IDEES okt 2017 template'!AL$162,FALSE),"")</f>
        <v>0</v>
      </c>
      <c r="AO24" s="509">
        <f ca="1">IFERROR('All Stock'!AM$13*VLOOKUP($A24,'IDEES okt 2017 template'!$C$173:$AN$181,'IDEES okt 2017 template'!AM$162,FALSE),"")</f>
        <v>0</v>
      </c>
      <c r="AP24" s="509">
        <f ca="1">IFERROR('All Stock'!AN$13*VLOOKUP($A24,'IDEES okt 2017 template'!$C$173:$AN$181,'IDEES okt 2017 template'!AN$162,FALSE),"")</f>
        <v>0</v>
      </c>
      <c r="AQ24" s="509"/>
      <c r="AS24" t="str">
        <f t="shared" si="7"/>
        <v>Geothermal Energy</v>
      </c>
      <c r="AT24" s="509"/>
      <c r="AW24" s="496">
        <f t="shared" ca="1" si="8"/>
        <v>0</v>
      </c>
      <c r="AX24" s="496">
        <f t="shared" ca="1" si="9"/>
        <v>0</v>
      </c>
      <c r="AY24" s="496">
        <f t="shared" ca="1" si="10"/>
        <v>0</v>
      </c>
      <c r="AZ24" s="467"/>
      <c r="BA24" s="467"/>
      <c r="BB24" s="467"/>
      <c r="BC24" s="467"/>
      <c r="BD24" s="467"/>
      <c r="BE24" s="467"/>
      <c r="BF24" s="467"/>
      <c r="BG24" s="467"/>
      <c r="BH24" s="467"/>
      <c r="BI24" s="467"/>
      <c r="BJ24" s="467"/>
      <c r="BK24" s="467"/>
      <c r="BL24" s="467"/>
      <c r="BM24" s="467"/>
      <c r="BN24" s="467"/>
      <c r="BO24" s="467"/>
      <c r="BP24" s="467"/>
      <c r="BQ24" s="467"/>
      <c r="BR24" s="467"/>
      <c r="BS24" s="467"/>
      <c r="BT24" s="467"/>
      <c r="BU24" s="467"/>
      <c r="BV24" s="467"/>
      <c r="BW24" s="467"/>
      <c r="BX24" s="467"/>
      <c r="BY24" s="467"/>
      <c r="BZ24" s="467"/>
      <c r="CA24" s="467"/>
      <c r="CB24" s="467"/>
      <c r="CC24" s="467"/>
      <c r="CD24" s="467"/>
      <c r="CE24" s="467"/>
      <c r="CF24" s="467"/>
      <c r="CG24" s="467"/>
      <c r="CH24" s="467"/>
    </row>
    <row r="25" spans="1:86">
      <c r="A25" t="str">
        <f>A15</f>
        <v>Electricity</v>
      </c>
      <c r="C25" t="str">
        <f>TechComm!L28</f>
        <v>R_ES-SH-DH-70_ELC-R</v>
      </c>
      <c r="D25" t="str">
        <f t="shared" si="6"/>
        <v>RSDELC-heating</v>
      </c>
      <c r="E25" t="s">
        <v>899</v>
      </c>
      <c r="F25" s="814">
        <f ca="1">IFERROR('All Stock'!D$14*VLOOKUP($A25,'IDEES okt 2017 template'!$C$173:$AN$181,'IDEES okt 2017 template'!D$162,FALSE),"")</f>
        <v>35.732976525621559</v>
      </c>
      <c r="G25" s="814">
        <f ca="1">IFERROR('All Stock'!E$14*VLOOKUP($A25,'IDEES okt 2017 template'!$C$173:$AN$181,'IDEES okt 2017 template'!E$162,FALSE),"")</f>
        <v>14.312895052511175</v>
      </c>
      <c r="H25" s="814">
        <f ca="1">IFERROR('All Stock'!F$14*VLOOKUP($A25,'IDEES okt 2017 template'!$C$173:$AN$181,'IDEES okt 2017 template'!F$162,FALSE),"")</f>
        <v>24.589559373608797</v>
      </c>
      <c r="I25" s="854">
        <f ca="1">IFERROR('All Stock'!G$14*VLOOKUP($A25,'IDEES okt 2017 template'!$C$173:$AN$181,'IDEES okt 2017 template'!G$162,FALSE),"")-I26-I27</f>
        <v>11.967965057340461</v>
      </c>
      <c r="J25" s="814">
        <f ca="1">IFERROR('All Stock'!H$14*VLOOKUP($A25,'IDEES okt 2017 template'!$C$173:$AN$181,'IDEES okt 2017 template'!H$162,FALSE),"")</f>
        <v>11.91934793178773</v>
      </c>
      <c r="K25" s="814">
        <f ca="1">IFERROR('All Stock'!I$14*VLOOKUP($A25,'IDEES okt 2017 template'!$C$173:$AN$181,'IDEES okt 2017 template'!I$162,FALSE),"")</f>
        <v>21.857540883773112</v>
      </c>
      <c r="L25" s="814">
        <f ca="1">IFERROR('All Stock'!J$14*VLOOKUP($A25,'IDEES okt 2017 template'!$C$173:$AN$181,'IDEES okt 2017 template'!J$162,FALSE),"")</f>
        <v>168.16935015644461</v>
      </c>
      <c r="M25" s="814">
        <f ca="1">IFERROR('All Stock'!K$14*VLOOKUP($A25,'IDEES okt 2017 template'!$C$173:$AN$181,'IDEES okt 2017 template'!K$162,FALSE),"")</f>
        <v>3.1012220250544407</v>
      </c>
      <c r="N25" s="814">
        <f ca="1">IFERROR('All Stock'!L$14*VLOOKUP($A25,'IDEES okt 2017 template'!$C$173:$AN$181,'IDEES okt 2017 template'!L$162,FALSE),"")</f>
        <v>1.0140810202105521</v>
      </c>
      <c r="O25" s="814">
        <f ca="1">IFERROR('All Stock'!M$14*VLOOKUP($A25,'IDEES okt 2017 template'!$C$173:$AN$181,'IDEES okt 2017 template'!M$162,FALSE),"")</f>
        <v>102.75125341742981</v>
      </c>
      <c r="P25" s="814">
        <f ca="1">IFERROR('All Stock'!N$14*VLOOKUP($A25,'IDEES okt 2017 template'!$C$173:$AN$181,'IDEES okt 2017 template'!N$162,FALSE),"")</f>
        <v>51.485730494221201</v>
      </c>
      <c r="Q25" s="814">
        <f ca="1">IFERROR('All Stock'!O$14*VLOOKUP($A25,'IDEES okt 2017 template'!$C$173:$AN$181,'IDEES okt 2017 template'!O$162,FALSE),"")</f>
        <v>335.73156903367448</v>
      </c>
      <c r="R25" s="814">
        <f ca="1">IFERROR('All Stock'!P$14*VLOOKUP($A25,'IDEES okt 2017 template'!$C$173:$AN$181,'IDEES okt 2017 template'!P$162,FALSE),"")</f>
        <v>7.1916757848237056</v>
      </c>
      <c r="S25" s="814">
        <f ca="1">IFERROR('All Stock'!Q$14*VLOOKUP($A25,'IDEES okt 2017 template'!$C$173:$AN$181,'IDEES okt 2017 template'!Q$162,FALSE),"")</f>
        <v>1.8851953781697857</v>
      </c>
      <c r="T25" s="814">
        <f ca="1">IFERROR('All Stock'!R$14*VLOOKUP($A25,'IDEES okt 2017 template'!$C$173:$AN$181,'IDEES okt 2017 template'!R$162,FALSE),"")</f>
        <v>30.7294490835795</v>
      </c>
      <c r="U25" s="814">
        <f ca="1">IFERROR('All Stock'!S$14*VLOOKUP($A25,'IDEES okt 2017 template'!$C$173:$AN$181,'IDEES okt 2017 template'!S$162,FALSE),"")</f>
        <v>17.731043860241464</v>
      </c>
      <c r="V25" s="814">
        <f ca="1">IFERROR('All Stock'!T$14*VLOOKUP($A25,'IDEES okt 2017 template'!$C$173:$AN$181,'IDEES okt 2017 template'!T$162,FALSE),"")</f>
        <v>1.6582923989493967</v>
      </c>
      <c r="W25" s="814">
        <f ca="1">IFERROR('All Stock'!U$14*VLOOKUP($A25,'IDEES okt 2017 template'!$C$173:$AN$181,'IDEES okt 2017 template'!U$162,FALSE),"")</f>
        <v>2.5068369891771152</v>
      </c>
      <c r="X25" s="814">
        <f ca="1">IFERROR('All Stock'!V$14*VLOOKUP($A25,'IDEES okt 2017 template'!$C$173:$AN$181,'IDEES okt 2017 template'!V$162,FALSE),"")</f>
        <v>0.36769838573342334</v>
      </c>
      <c r="Y25" s="814">
        <f ca="1">IFERROR('All Stock'!W$14*VLOOKUP($A25,'IDEES okt 2017 template'!$C$173:$AN$181,'IDEES okt 2017 template'!W$162,FALSE),"")</f>
        <v>0.56689881583816903</v>
      </c>
      <c r="Z25" s="814">
        <f ca="1">IFERROR('All Stock'!X$14*VLOOKUP($A25,'IDEES okt 2017 template'!$C$173:$AN$181,'IDEES okt 2017 template'!X$162,FALSE),"")</f>
        <v>0.55248528410374853</v>
      </c>
      <c r="AA25" s="814">
        <f ca="1">IFERROR('All Stock'!Y$14*VLOOKUP($A25,'IDEES okt 2017 template'!$C$173:$AN$181,'IDEES okt 2017 template'!Y$162,FALSE),"")</f>
        <v>0.83706429415600636</v>
      </c>
      <c r="AB25" s="814">
        <f ca="1">IFERROR('All Stock'!Z$14*VLOOKUP($A25,'IDEES okt 2017 template'!$C$173:$AN$181,'IDEES okt 2017 template'!Z$162,FALSE),"")</f>
        <v>4.0648770671961563</v>
      </c>
      <c r="AC25" s="854">
        <f ca="1">IFERROR('All Stock'!AA$14*VLOOKUP($A25,'IDEES okt 2017 template'!$C$173:$AN$181,'IDEES okt 2017 template'!AA$162,FALSE),"")-AC26-AC27</f>
        <v>78.850949254831789</v>
      </c>
      <c r="AD25" s="814">
        <f ca="1">IFERROR('All Stock'!AB$14*VLOOKUP($A25,'IDEES okt 2017 template'!$C$173:$AN$181,'IDEES okt 2017 template'!AB$162,FALSE),"")</f>
        <v>6.4658878107963842</v>
      </c>
      <c r="AE25" s="814">
        <f ca="1">IFERROR('All Stock'!AC$14*VLOOKUP($A25,'IDEES okt 2017 template'!$C$173:$AN$181,'IDEES okt 2017 template'!AC$162,FALSE),"")</f>
        <v>8.9825625518437722</v>
      </c>
      <c r="AF25" s="814">
        <f ca="1">IFERROR('All Stock'!AD$14*VLOOKUP($A25,'IDEES okt 2017 template'!$C$173:$AN$181,'IDEES okt 2017 template'!AD$162,FALSE),"")</f>
        <v>16.306026915332637</v>
      </c>
      <c r="AG25" s="814">
        <f ca="1">IFERROR('All Stock'!AE$14*VLOOKUP($A25,'IDEES okt 2017 template'!$C$173:$AN$181,'IDEES okt 2017 template'!AE$162,FALSE),"")</f>
        <v>92.007258785822842</v>
      </c>
      <c r="AH25" s="814">
        <f ca="1">IFERROR('All Stock'!AF$14*VLOOKUP($A25,'IDEES okt 2017 template'!$C$173:$AN$181,'IDEES okt 2017 template'!AF$162,FALSE),"")</f>
        <v>2.8227178127109194</v>
      </c>
      <c r="AI25" s="814">
        <f ca="1">IFERROR('All Stock'!AG$14*VLOOKUP($A25,'IDEES okt 2017 template'!$C$173:$AN$181,'IDEES okt 2017 template'!AG$162,FALSE),"")</f>
        <v>6.7127000994520323</v>
      </c>
      <c r="AJ25" s="814">
        <f ca="1">IFERROR('All Stock'!AH$14*VLOOKUP($A25,'IDEES okt 2017 template'!$C$173:$AN$181,'IDEES okt 2017 template'!AH$162,FALSE),"")</f>
        <v>134.88051342603828</v>
      </c>
      <c r="AK25" s="814">
        <f ca="1">IFERROR('All Stock'!AI$14*VLOOKUP($A25,'IDEES okt 2017 template'!$C$173:$AN$181,'IDEES okt 2017 template'!AI$162,FALSE),"")</f>
        <v>2.6670447694791699</v>
      </c>
      <c r="AL25" s="814">
        <f ca="1">IFERROR('All Stock'!AJ$14*VLOOKUP($A25,'IDEES okt 2017 template'!$C$173:$AN$181,'IDEES okt 2017 template'!AJ$162,FALSE),"")</f>
        <v>2.3935088230097263</v>
      </c>
      <c r="AM25" s="814">
        <f ca="1">IFERROR('All Stock'!AK$14*VLOOKUP($A25,'IDEES okt 2017 template'!$C$173:$AN$181,'IDEES okt 2017 template'!AK$162,FALSE),"")</f>
        <v>0.50370598413866829</v>
      </c>
      <c r="AN25" s="814">
        <f ca="1">IFERROR('All Stock'!AL$14*VLOOKUP($A25,'IDEES okt 2017 template'!$C$173:$AN$181,'IDEES okt 2017 template'!AL$162,FALSE),"")</f>
        <v>1.6035960285833741</v>
      </c>
      <c r="AO25" s="814">
        <f ca="1">IFERROR('All Stock'!AM$14*VLOOKUP($A25,'IDEES okt 2017 template'!$C$173:$AN$181,'IDEES okt 2017 template'!AM$162,FALSE),"")</f>
        <v>5.4381099915134872</v>
      </c>
      <c r="AP25" s="814">
        <f ca="1">IFERROR('All Stock'!AN$14*VLOOKUP($A25,'IDEES okt 2017 template'!$C$173:$AN$181,'IDEES okt 2017 template'!AN$162,FALSE),"")</f>
        <v>1.2217953038114038</v>
      </c>
      <c r="AQ25" s="509"/>
      <c r="AS25" t="str">
        <f>A167</f>
        <v>Electricity</v>
      </c>
      <c r="AT25" s="509"/>
      <c r="AW25" s="496">
        <f ca="1">P25*P123*P167*P212</f>
        <v>1.6640373426241908</v>
      </c>
      <c r="AX25" s="496">
        <f ca="1">AW25/P123</f>
        <v>2.0359412183746883</v>
      </c>
      <c r="AY25" s="496">
        <f ca="1">AX25/P79</f>
        <v>2.0359412183746883</v>
      </c>
      <c r="AZ25" s="467"/>
      <c r="BA25" s="467"/>
      <c r="BB25" s="467"/>
      <c r="BC25" s="467"/>
      <c r="BD25" s="467"/>
      <c r="BE25" s="467"/>
      <c r="BF25" s="467"/>
      <c r="BG25" s="467"/>
      <c r="BH25" s="467"/>
      <c r="BI25" s="467"/>
      <c r="BJ25" s="467"/>
      <c r="BK25" s="467"/>
      <c r="BL25" s="467"/>
      <c r="BM25" s="467"/>
      <c r="BN25" s="467"/>
      <c r="BO25" s="467"/>
      <c r="BP25" s="467"/>
      <c r="BQ25" s="467"/>
      <c r="BR25" s="467"/>
      <c r="BS25" s="467"/>
      <c r="BT25" s="467"/>
      <c r="BU25" s="467"/>
      <c r="BV25" s="467"/>
      <c r="BW25" s="467"/>
      <c r="BX25" s="467"/>
      <c r="BY25" s="467"/>
      <c r="BZ25" s="467"/>
      <c r="CA25" s="467"/>
      <c r="CB25" s="467"/>
      <c r="CC25" s="467"/>
      <c r="CD25" s="467"/>
      <c r="CE25" s="467"/>
      <c r="CF25" s="467"/>
      <c r="CG25" s="467"/>
      <c r="CH25" s="467"/>
    </row>
    <row r="26" spans="1:86">
      <c r="A26" s="819" t="s">
        <v>937</v>
      </c>
      <c r="C26" t="str">
        <f>TechComm!L29</f>
        <v>R_ES-SH-DH-70_ELC-HPA</v>
      </c>
      <c r="D26" t="str">
        <f t="shared" si="6"/>
        <v>RSDELC-heating</v>
      </c>
      <c r="E26" t="s">
        <v>899</v>
      </c>
      <c r="F26" s="814">
        <f ca="1">'HP-Stock'!S17/F$1</f>
        <v>3.3882891807663227</v>
      </c>
      <c r="G26" s="814">
        <f ca="1">'HP-Stock'!T17/G$1</f>
        <v>0.30567172394585662</v>
      </c>
      <c r="H26" s="814">
        <f ca="1">'HP-Stock'!U17/H$1</f>
        <v>0</v>
      </c>
      <c r="I26" s="814">
        <f ca="1">'HP-Stock'!V17/I$1</f>
        <v>6.8341984262608575</v>
      </c>
      <c r="J26" s="814">
        <f ca="1">'HP-Stock'!W17/J$1</f>
        <v>0</v>
      </c>
      <c r="K26" s="814">
        <f ca="1">'HP-Stock'!X17/K$1</f>
        <v>1.1197572220122605</v>
      </c>
      <c r="L26" s="814">
        <f ca="1">'HP-Stock'!Y17/L$1</f>
        <v>13.559280456527375</v>
      </c>
      <c r="M26" s="814">
        <f ca="1">'HP-Stock'!Z17/M$1</f>
        <v>6.7804894476782271</v>
      </c>
      <c r="N26" s="814">
        <f ca="1">'HP-Stock'!AA17/N$1</f>
        <v>3.2875343573053684</v>
      </c>
      <c r="O26" s="814">
        <f ca="1">'HP-Stock'!AB17/O$1</f>
        <v>3.9467768370316447</v>
      </c>
      <c r="P26" s="814">
        <f ca="1">'HP-Stock'!AC17/P$1</f>
        <v>57.988728364294921</v>
      </c>
      <c r="Q26" s="814">
        <f ca="1">'HP-Stock'!AD17/Q$1</f>
        <v>96.518449147186459</v>
      </c>
      <c r="R26" s="814">
        <f ca="1">'HP-Stock'!AE17/R$1</f>
        <v>0</v>
      </c>
      <c r="S26" s="814">
        <f ca="1">'HP-Stock'!AF17/S$1</f>
        <v>0</v>
      </c>
      <c r="T26" s="814">
        <f ca="1">'HP-Stock'!AG17/T$1</f>
        <v>0.10721132167290742</v>
      </c>
      <c r="U26" s="814">
        <f ca="1">'HP-Stock'!AH17/U$1</f>
        <v>0.22290818077905006</v>
      </c>
      <c r="V26" s="814">
        <f ca="1">'HP-Stock'!AI17/V$1</f>
        <v>0</v>
      </c>
      <c r="W26" s="814">
        <f ca="1">'HP-Stock'!AJ17/W$1</f>
        <v>27.801929756044775</v>
      </c>
      <c r="X26" s="814">
        <f ca="1">'HP-Stock'!AK17/X$1</f>
        <v>3.2925866166340516E-2</v>
      </c>
      <c r="Y26" s="814">
        <f ca="1">'HP-Stock'!AL17/Y$1</f>
        <v>0</v>
      </c>
      <c r="Z26" s="814">
        <f ca="1">'HP-Stock'!AM17/Z$1</f>
        <v>0</v>
      </c>
      <c r="AA26" s="814">
        <f ca="1">'HP-Stock'!AN17/AA$1</f>
        <v>0</v>
      </c>
      <c r="AB26" s="814">
        <f ca="1">'HP-Stock'!AO17/AB$1</f>
        <v>0.52822230616755061</v>
      </c>
      <c r="AC26" s="814">
        <f ca="1">'HP-Stock'!AP17/AC$1</f>
        <v>68.423518166516757</v>
      </c>
      <c r="AD26" s="814">
        <f ca="1">'HP-Stock'!AQ17/AD$1</f>
        <v>0.20051762533481596</v>
      </c>
      <c r="AE26" s="814">
        <f ca="1">'HP-Stock'!AR17/AE$1</f>
        <v>11.043627656790516</v>
      </c>
      <c r="AF26" s="814">
        <f ca="1">'HP-Stock'!AS17/AF$1</f>
        <v>0</v>
      </c>
      <c r="AG26" s="814">
        <f ca="1">'HP-Stock'!AT17/AG$1</f>
        <v>54.184991445911024</v>
      </c>
      <c r="AH26" s="814">
        <f ca="1">'HP-Stock'!AU17/AH$1</f>
        <v>0</v>
      </c>
      <c r="AI26" s="814">
        <f ca="1">'HP-Stock'!AV17/AI$1</f>
        <v>0.12037285052776685</v>
      </c>
      <c r="AJ26" s="814">
        <f ca="1">'HP-Stock'!AW17/AJ$1</f>
        <v>1.5500176242387043</v>
      </c>
      <c r="AK26" s="814">
        <f ca="1">'HP-Stock'!AX17/AK$1</f>
        <v>0</v>
      </c>
      <c r="AL26" s="814">
        <f ca="1">'HP-Stock'!AY17/AL$1</f>
        <v>0</v>
      </c>
      <c r="AM26" s="814">
        <f ca="1">'HP-Stock'!AZ17/AM$1</f>
        <v>0</v>
      </c>
      <c r="AN26" s="814">
        <f ca="1">'HP-Stock'!BA17/AN$1</f>
        <v>0</v>
      </c>
      <c r="AO26" s="814">
        <f ca="1">'HP-Stock'!BB17/AO$1</f>
        <v>0</v>
      </c>
      <c r="AP26" s="814">
        <f ca="1">'HP-Stock'!BC17/AP$1</f>
        <v>0</v>
      </c>
      <c r="AQ26" s="509"/>
      <c r="AT26" s="509"/>
      <c r="AW26" s="496"/>
      <c r="AX26" s="496"/>
      <c r="AY26" s="496"/>
      <c r="AZ26" s="467"/>
      <c r="BA26" s="467"/>
      <c r="BB26" s="467"/>
      <c r="BC26" s="467"/>
      <c r="BD26" s="467"/>
      <c r="BE26" s="467"/>
      <c r="BF26" s="467"/>
      <c r="BG26" s="467"/>
      <c r="BH26" s="467"/>
      <c r="BI26" s="467"/>
      <c r="BJ26" s="467"/>
      <c r="BK26" s="467"/>
      <c r="BL26" s="467"/>
      <c r="BM26" s="467"/>
      <c r="BN26" s="467"/>
      <c r="BO26" s="467"/>
      <c r="BP26" s="467"/>
      <c r="BQ26" s="467"/>
      <c r="BR26" s="467"/>
      <c r="BS26" s="467"/>
      <c r="BT26" s="467"/>
      <c r="BU26" s="467"/>
      <c r="BV26" s="467"/>
      <c r="BW26" s="467"/>
      <c r="BX26" s="467"/>
      <c r="BY26" s="467"/>
      <c r="BZ26" s="467"/>
      <c r="CA26" s="467"/>
      <c r="CB26" s="467"/>
      <c r="CC26" s="467"/>
      <c r="CD26" s="467"/>
      <c r="CE26" s="467"/>
      <c r="CF26" s="467"/>
      <c r="CG26" s="467"/>
      <c r="CH26" s="467"/>
    </row>
    <row r="27" spans="1:86">
      <c r="A27" s="819" t="s">
        <v>938</v>
      </c>
      <c r="C27" t="str">
        <f>TechComm!L30</f>
        <v>R_ES-SH-DH-70_ELC-HPG</v>
      </c>
      <c r="D27" t="str">
        <f t="shared" si="6"/>
        <v>RSDELC-heating</v>
      </c>
      <c r="E27" t="s">
        <v>899</v>
      </c>
      <c r="F27" s="814">
        <f ca="1">'HP-Stock'!S18/F$1</f>
        <v>11.133915352436949</v>
      </c>
      <c r="G27" s="814">
        <f ca="1">'HP-Stock'!T18/G$1</f>
        <v>0.20746180916644805</v>
      </c>
      <c r="H27" s="814">
        <f ca="1">'HP-Stock'!U18/H$1</f>
        <v>0</v>
      </c>
      <c r="I27" s="814">
        <f ca="1">'HP-Stock'!V18/I$1</f>
        <v>5.2459490194227456</v>
      </c>
      <c r="J27" s="814">
        <f ca="1">'HP-Stock'!W18/J$1</f>
        <v>0</v>
      </c>
      <c r="K27" s="814">
        <f ca="1">'HP-Stock'!X18/K$1</f>
        <v>1.007251791540646</v>
      </c>
      <c r="L27" s="814">
        <f ca="1">'HP-Stock'!Y18/L$1</f>
        <v>22.246529753215011</v>
      </c>
      <c r="M27" s="814">
        <f ca="1">'HP-Stock'!Z18/M$1</f>
        <v>1.9773321530576442</v>
      </c>
      <c r="N27" s="814">
        <f ca="1">'HP-Stock'!AA18/N$1</f>
        <v>0.34260437568458563</v>
      </c>
      <c r="O27" s="814">
        <f ca="1">'HP-Stock'!AB18/O$1</f>
        <v>0</v>
      </c>
      <c r="P27" s="814">
        <f ca="1">'HP-Stock'!AC18/P$1</f>
        <v>6.6577434702875644</v>
      </c>
      <c r="Q27" s="814">
        <f ca="1">'HP-Stock'!AD18/Q$1</f>
        <v>14.014105145621182</v>
      </c>
      <c r="R27" s="814">
        <f ca="1">'HP-Stock'!AE18/R$1</f>
        <v>0</v>
      </c>
      <c r="S27" s="814">
        <f ca="1">'HP-Stock'!AF18/S$1</f>
        <v>0</v>
      </c>
      <c r="T27" s="814">
        <f ca="1">'HP-Stock'!AG18/T$1</f>
        <v>0.12904469068541238</v>
      </c>
      <c r="U27" s="814">
        <f ca="1">'HP-Stock'!AH18/U$1</f>
        <v>0.30755076938123521</v>
      </c>
      <c r="V27" s="814">
        <f ca="1">'HP-Stock'!AI18/V$1</f>
        <v>0</v>
      </c>
      <c r="W27" s="814">
        <f ca="1">'HP-Stock'!AJ18/W$1</f>
        <v>1.3853607852401108E-2</v>
      </c>
      <c r="X27" s="814">
        <f ca="1">'HP-Stock'!AK18/X$1</f>
        <v>8.3841030072569073E-2</v>
      </c>
      <c r="Y27" s="814">
        <f ca="1">'HP-Stock'!AL18/Y$1</f>
        <v>0</v>
      </c>
      <c r="Z27" s="814">
        <f ca="1">'HP-Stock'!AM18/Z$1</f>
        <v>0</v>
      </c>
      <c r="AA27" s="814">
        <f ca="1">'HP-Stock'!AN18/AA$1</f>
        <v>0</v>
      </c>
      <c r="AB27" s="814">
        <f ca="1">'HP-Stock'!AO18/AB$1</f>
        <v>1.0708664677158315</v>
      </c>
      <c r="AC27" s="814">
        <f ca="1">'HP-Stock'!AP18/AC$1</f>
        <v>3.289813980092692</v>
      </c>
      <c r="AD27" s="814">
        <f ca="1">'HP-Stock'!AQ18/AD$1</f>
        <v>0.68844384698286809</v>
      </c>
      <c r="AE27" s="814">
        <f ca="1">'HP-Stock'!AR18/AE$1</f>
        <v>0</v>
      </c>
      <c r="AF27" s="814">
        <f ca="1">'HP-Stock'!AS18/AF$1</f>
        <v>0</v>
      </c>
      <c r="AG27" s="814">
        <f ca="1">'HP-Stock'!AT18/AG$1</f>
        <v>40.460047799312676</v>
      </c>
      <c r="AH27" s="814">
        <f ca="1">'HP-Stock'!AU18/AH$1</f>
        <v>0</v>
      </c>
      <c r="AI27" s="814">
        <f ca="1">'HP-Stock'!AV18/AI$1</f>
        <v>8.4949082941260995E-2</v>
      </c>
      <c r="AJ27" s="814">
        <f ca="1">'HP-Stock'!AW18/AJ$1</f>
        <v>0.99220775629619573</v>
      </c>
      <c r="AK27" s="814">
        <f ca="1">'HP-Stock'!AX18/AK$1</f>
        <v>0</v>
      </c>
      <c r="AL27" s="814">
        <f ca="1">'HP-Stock'!AY18/AL$1</f>
        <v>0</v>
      </c>
      <c r="AM27" s="814">
        <f ca="1">'HP-Stock'!AZ18/AM$1</f>
        <v>0</v>
      </c>
      <c r="AN27" s="814">
        <f ca="1">'HP-Stock'!BA18/AN$1</f>
        <v>0</v>
      </c>
      <c r="AO27" s="814">
        <f ca="1">'HP-Stock'!BB18/AO$1</f>
        <v>0</v>
      </c>
      <c r="AP27" s="814">
        <f ca="1">'HP-Stock'!BC18/AP$1</f>
        <v>0</v>
      </c>
      <c r="AQ27" s="509"/>
      <c r="AT27" s="509"/>
      <c r="AW27" s="496"/>
      <c r="AX27" s="496"/>
      <c r="AY27" s="496"/>
      <c r="AZ27" s="467"/>
      <c r="BA27" s="467"/>
      <c r="BB27" s="467"/>
      <c r="BC27" s="467"/>
      <c r="BD27" s="467"/>
      <c r="BE27" s="467"/>
      <c r="BF27" s="467"/>
      <c r="BG27" s="467"/>
      <c r="BH27" s="467"/>
      <c r="BI27" s="467"/>
      <c r="BJ27" s="467"/>
      <c r="BK27" s="467"/>
      <c r="BL27" s="467"/>
      <c r="BM27" s="467"/>
      <c r="BN27" s="467"/>
      <c r="BO27" s="467"/>
      <c r="BP27" s="467"/>
      <c r="BQ27" s="467"/>
      <c r="BR27" s="467"/>
      <c r="BS27" s="467"/>
      <c r="BT27" s="467"/>
      <c r="BU27" s="467"/>
      <c r="BV27" s="467"/>
      <c r="BW27" s="467"/>
      <c r="BX27" s="467"/>
      <c r="BY27" s="467"/>
      <c r="BZ27" s="467"/>
      <c r="CA27" s="467"/>
      <c r="CB27" s="467"/>
      <c r="CC27" s="467"/>
      <c r="CD27" s="467"/>
      <c r="CE27" s="467"/>
      <c r="CF27" s="467"/>
      <c r="CG27" s="467"/>
      <c r="CH27" s="467"/>
    </row>
    <row r="28" spans="1:86">
      <c r="A28" t="str">
        <f t="shared" ref="A28:A34" si="12">A18</f>
        <v>Gases</v>
      </c>
      <c r="C28" t="str">
        <f>TechComm!L31</f>
        <v>R_ES-SH-DH-70_GAS</v>
      </c>
      <c r="D28" t="str">
        <f t="shared" si="6"/>
        <v>RSDGAS</v>
      </c>
      <c r="E28" t="str">
        <f>E25</f>
        <v>R_ES-DH-70-SpHeat</v>
      </c>
      <c r="F28" s="509">
        <f ca="1">IFERROR('All Stock'!D$14*VLOOKUP($A28,'IDEES okt 2017 template'!$C$173:$AN$181,'IDEES okt 2017 template'!D$162,FALSE),"")</f>
        <v>105.76620011774135</v>
      </c>
      <c r="G28" s="509">
        <f ca="1">IFERROR('All Stock'!E$14*VLOOKUP($A28,'IDEES okt 2017 template'!$C$173:$AN$181,'IDEES okt 2017 template'!E$162,FALSE),"")</f>
        <v>175.60074448153094</v>
      </c>
      <c r="H28" s="509">
        <f ca="1">IFERROR('All Stock'!F$14*VLOOKUP($A28,'IDEES okt 2017 template'!$C$173:$AN$181,'IDEES okt 2017 template'!F$162,FALSE),"")</f>
        <v>9.4342445566979141</v>
      </c>
      <c r="I28" s="509">
        <f ca="1">IFERROR('All Stock'!G$14*VLOOKUP($A28,'IDEES okt 2017 template'!$C$173:$AN$181,'IDEES okt 2017 template'!G$162,FALSE),"")</f>
        <v>88.586933369595897</v>
      </c>
      <c r="J28" s="509">
        <f ca="1">IFERROR('All Stock'!H$14*VLOOKUP($A28,'IDEES okt 2017 template'!$C$173:$AN$181,'IDEES okt 2017 template'!H$162,FALSE),"")</f>
        <v>0</v>
      </c>
      <c r="K28" s="509">
        <f ca="1">IFERROR('All Stock'!I$14*VLOOKUP($A28,'IDEES okt 2017 template'!$C$173:$AN$181,'IDEES okt 2017 template'!I$162,FALSE),"")</f>
        <v>147.94124080454978</v>
      </c>
      <c r="L28" s="509">
        <f ca="1">IFERROR('All Stock'!J$14*VLOOKUP($A28,'IDEES okt 2017 template'!$C$173:$AN$181,'IDEES okt 2017 template'!J$162,FALSE),"")</f>
        <v>1573.0462933576289</v>
      </c>
      <c r="M28" s="509">
        <f ca="1">IFERROR('All Stock'!K$14*VLOOKUP($A28,'IDEES okt 2017 template'!$C$173:$AN$181,'IDEES okt 2017 template'!K$162,FALSE),"")</f>
        <v>59.880384098434106</v>
      </c>
      <c r="N28" s="509">
        <f ca="1">IFERROR('All Stock'!L$14*VLOOKUP($A28,'IDEES okt 2017 template'!$C$173:$AN$181,'IDEES okt 2017 template'!L$162,FALSE),"")</f>
        <v>3.1829816290180477</v>
      </c>
      <c r="O28" s="509">
        <f ca="1">IFERROR('All Stock'!M$14*VLOOKUP($A28,'IDEES okt 2017 template'!$C$173:$AN$181,'IDEES okt 2017 template'!M$162,FALSE),"")</f>
        <v>217.8436588485005</v>
      </c>
      <c r="P28" s="509">
        <f ca="1">IFERROR('All Stock'!N$14*VLOOKUP($A28,'IDEES okt 2017 template'!$C$173:$AN$181,'IDEES okt 2017 template'!N$162,FALSE),"")</f>
        <v>3.9125398458524265</v>
      </c>
      <c r="Q28" s="509">
        <f ca="1">IFERROR('All Stock'!O$14*VLOOKUP($A28,'IDEES okt 2017 template'!$C$173:$AN$181,'IDEES okt 2017 template'!O$162,FALSE),"")</f>
        <v>1340.2151141602033</v>
      </c>
      <c r="R28" s="509">
        <f ca="1">IFERROR('All Stock'!P$14*VLOOKUP($A28,'IDEES okt 2017 template'!$C$173:$AN$181,'IDEES okt 2017 template'!P$162,FALSE),"")</f>
        <v>32.741645208007384</v>
      </c>
      <c r="S28" s="509">
        <f ca="1">IFERROR('All Stock'!Q$14*VLOOKUP($A28,'IDEES okt 2017 template'!$C$173:$AN$181,'IDEES okt 2017 template'!Q$162,FALSE),"")</f>
        <v>100.1774139685028</v>
      </c>
      <c r="T28" s="509">
        <f ca="1">IFERROR('All Stock'!R$14*VLOOKUP($A28,'IDEES okt 2017 template'!$C$173:$AN$181,'IDEES okt 2017 template'!R$162,FALSE),"")</f>
        <v>465.29319480347448</v>
      </c>
      <c r="U28" s="509">
        <f ca="1">IFERROR('All Stock'!S$14*VLOOKUP($A28,'IDEES okt 2017 template'!$C$173:$AN$181,'IDEES okt 2017 template'!S$162,FALSE),"")</f>
        <v>82.42224596565643</v>
      </c>
      <c r="V28" s="509">
        <f ca="1">IFERROR('All Stock'!T$14*VLOOKUP($A28,'IDEES okt 2017 template'!$C$173:$AN$181,'IDEES okt 2017 template'!T$162,FALSE),"")</f>
        <v>0</v>
      </c>
      <c r="W28" s="509">
        <f ca="1">IFERROR('All Stock'!U$14*VLOOKUP($A28,'IDEES okt 2017 template'!$C$173:$AN$181,'IDEES okt 2017 template'!U$162,FALSE),"")</f>
        <v>564.59462099115342</v>
      </c>
      <c r="X28" s="509">
        <f ca="1">IFERROR('All Stock'!V$14*VLOOKUP($A28,'IDEES okt 2017 template'!$C$173:$AN$181,'IDEES okt 2017 template'!V$162,FALSE),"")</f>
        <v>12.543947597668446</v>
      </c>
      <c r="Y28" s="509">
        <f ca="1">IFERROR('All Stock'!W$14*VLOOKUP($A28,'IDEES okt 2017 template'!$C$173:$AN$181,'IDEES okt 2017 template'!W$162,FALSE),"")</f>
        <v>12.434531546300795</v>
      </c>
      <c r="Z28" s="509">
        <f ca="1">IFERROR('All Stock'!X$14*VLOOKUP($A28,'IDEES okt 2017 template'!$C$173:$AN$181,'IDEES okt 2017 template'!X$162,FALSE),"")</f>
        <v>8.9388784509456016</v>
      </c>
      <c r="AA28" s="509">
        <f ca="1">IFERROR('All Stock'!Y$14*VLOOKUP($A28,'IDEES okt 2017 template'!$C$173:$AN$181,'IDEES okt 2017 template'!Y$162,FALSE),"")</f>
        <v>0</v>
      </c>
      <c r="AB28" s="509">
        <f ca="1">IFERROR('All Stock'!Z$14*VLOOKUP($A28,'IDEES okt 2017 template'!$C$173:$AN$181,'IDEES okt 2017 template'!Z$162,FALSE),"")</f>
        <v>297.52152971197313</v>
      </c>
      <c r="AC28" s="509">
        <f ca="1">IFERROR('All Stock'!AA$14*VLOOKUP($A28,'IDEES okt 2017 template'!$C$173:$AN$181,'IDEES okt 2017 template'!AA$162,FALSE),"")</f>
        <v>0.46296196428294745</v>
      </c>
      <c r="AD28" s="509">
        <f ca="1">IFERROR('All Stock'!AB$14*VLOOKUP($A28,'IDEES okt 2017 template'!$C$173:$AN$181,'IDEES okt 2017 template'!AB$162,FALSE),"")</f>
        <v>347.24969869658918</v>
      </c>
      <c r="AE28" s="509">
        <f ca="1">IFERROR('All Stock'!AC$14*VLOOKUP($A28,'IDEES okt 2017 template'!$C$173:$AN$181,'IDEES okt 2017 template'!AC$162,FALSE),"")</f>
        <v>38.226539739971024</v>
      </c>
      <c r="AF28" s="509">
        <f ca="1">IFERROR('All Stock'!AD$14*VLOOKUP($A28,'IDEES okt 2017 template'!$C$173:$AN$181,'IDEES okt 2017 template'!AD$162,FALSE),"")</f>
        <v>405.43700275406951</v>
      </c>
      <c r="AG28" s="509">
        <f ca="1">IFERROR('All Stock'!AE$14*VLOOKUP($A28,'IDEES okt 2017 template'!$C$173:$AN$181,'IDEES okt 2017 template'!AE$162,FALSE),"")</f>
        <v>7.6741470373401413</v>
      </c>
      <c r="AH28" s="509">
        <f ca="1">IFERROR('All Stock'!AF$14*VLOOKUP($A28,'IDEES okt 2017 template'!$C$173:$AN$181,'IDEES okt 2017 template'!AF$162,FALSE),"")</f>
        <v>9.8743065124565792</v>
      </c>
      <c r="AI28" s="509">
        <f ca="1">IFERROR('All Stock'!AG$14*VLOOKUP($A28,'IDEES okt 2017 template'!$C$173:$AN$181,'IDEES okt 2017 template'!AG$162,FALSE),"")</f>
        <v>117.87001869685025</v>
      </c>
      <c r="AJ28" s="509">
        <f ca="1">IFERROR('All Stock'!AH$14*VLOOKUP($A28,'IDEES okt 2017 template'!$C$173:$AN$181,'IDEES okt 2017 template'!AH$162,FALSE),"")</f>
        <v>996.90497941325668</v>
      </c>
      <c r="AK28" s="509">
        <f ca="1">IFERROR('All Stock'!AI$14*VLOOKUP($A28,'IDEES okt 2017 template'!$C$173:$AN$181,'IDEES okt 2017 template'!AI$162,FALSE),"")</f>
        <v>0</v>
      </c>
      <c r="AL28" s="509">
        <f ca="1">IFERROR('All Stock'!AJ$14*VLOOKUP($A28,'IDEES okt 2017 template'!$C$173:$AN$181,'IDEES okt 2017 template'!AJ$162,FALSE),"")</f>
        <v>11.823423586906845</v>
      </c>
      <c r="AM28" s="509">
        <f ca="1">IFERROR('All Stock'!AK$14*VLOOKUP($A28,'IDEES okt 2017 template'!$C$173:$AN$181,'IDEES okt 2017 template'!AK$162,FALSE),"")</f>
        <v>0</v>
      </c>
      <c r="AN28" s="509">
        <f ca="1">IFERROR('All Stock'!AL$14*VLOOKUP($A28,'IDEES okt 2017 template'!$C$173:$AN$181,'IDEES okt 2017 template'!AL$162,FALSE),"")</f>
        <v>0</v>
      </c>
      <c r="AO28" s="509">
        <f ca="1">IFERROR('All Stock'!AM$14*VLOOKUP($A28,'IDEES okt 2017 template'!$C$173:$AN$181,'IDEES okt 2017 template'!AM$162,FALSE),"")</f>
        <v>41.606491955840958</v>
      </c>
      <c r="AP28" s="509">
        <f ca="1">IFERROR('All Stock'!AN$14*VLOOKUP($A28,'IDEES okt 2017 template'!$C$173:$AN$181,'IDEES okt 2017 template'!AN$162,FALSE),"")</f>
        <v>0</v>
      </c>
      <c r="AQ28" s="509"/>
      <c r="AS28" t="str">
        <f t="shared" ref="AS28:AS34" si="13">A170</f>
        <v>Gases</v>
      </c>
      <c r="AT28" s="509"/>
      <c r="AW28" s="496">
        <f t="shared" ref="AW28:AW34" ca="1" si="14">P28*P126*P170*P215</f>
        <v>0.28265299967866553</v>
      </c>
      <c r="AX28" s="496">
        <f t="shared" ref="AX28:AX34" ca="1" si="15">AW28/P126</f>
        <v>0.36311174342888253</v>
      </c>
      <c r="AY28" s="496">
        <f t="shared" ref="AY28:AY34" ca="1" si="16">AX28/P82</f>
        <v>0.40345749269875836</v>
      </c>
      <c r="AZ28" s="467"/>
      <c r="BA28" s="467"/>
      <c r="BB28" s="467"/>
      <c r="BC28" s="467"/>
      <c r="BD28" s="467"/>
      <c r="BE28" s="467"/>
      <c r="BF28" s="467"/>
      <c r="BG28" s="467"/>
      <c r="BH28" s="467"/>
      <c r="BI28" s="467"/>
      <c r="BJ28" s="467"/>
      <c r="BK28" s="467"/>
      <c r="BL28" s="467"/>
      <c r="BM28" s="467"/>
      <c r="BN28" s="467"/>
      <c r="BO28" s="467"/>
      <c r="BP28" s="467"/>
      <c r="BQ28" s="467"/>
      <c r="BR28" s="467"/>
      <c r="BS28" s="467"/>
      <c r="BT28" s="467"/>
      <c r="BU28" s="467"/>
      <c r="BV28" s="467"/>
      <c r="BW28" s="467"/>
      <c r="BX28" s="467"/>
      <c r="BY28" s="467"/>
      <c r="BZ28" s="467"/>
      <c r="CA28" s="467"/>
      <c r="CB28" s="467"/>
      <c r="CC28" s="467"/>
      <c r="CD28" s="467"/>
      <c r="CE28" s="467"/>
      <c r="CF28" s="467"/>
      <c r="CG28" s="467"/>
      <c r="CH28" s="467"/>
    </row>
    <row r="29" spans="1:86">
      <c r="A29" t="str">
        <f t="shared" si="12"/>
        <v>Derived heat</v>
      </c>
      <c r="C29" t="str">
        <f>TechComm!L32</f>
        <v>R_ES-SH-DH-70_HET</v>
      </c>
      <c r="D29" t="str">
        <f t="shared" si="6"/>
        <v>RSDHET</v>
      </c>
      <c r="E29" t="str">
        <f t="shared" si="11"/>
        <v>R_ES-DH-70-SpHeat</v>
      </c>
      <c r="F29" s="509">
        <f ca="1">IFERROR('All Stock'!D$14*VLOOKUP($A29,'IDEES okt 2017 template'!$C$173:$AN$181,'IDEES okt 2017 template'!D$162,FALSE),"")</f>
        <v>72.848872067729431</v>
      </c>
      <c r="G29" s="509">
        <f ca="1">IFERROR('All Stock'!E$14*VLOOKUP($A29,'IDEES okt 2017 template'!$C$173:$AN$181,'IDEES okt 2017 template'!E$162,FALSE),"")</f>
        <v>0.87525259687107049</v>
      </c>
      <c r="H29" s="509">
        <f ca="1">IFERROR('All Stock'!F$14*VLOOKUP($A29,'IDEES okt 2017 template'!$C$173:$AN$181,'IDEES okt 2017 template'!F$162,FALSE),"")</f>
        <v>109.73117317097193</v>
      </c>
      <c r="I29" s="509">
        <f ca="1">IFERROR('All Stock'!G$14*VLOOKUP($A29,'IDEES okt 2017 template'!$C$173:$AN$181,'IDEES okt 2017 template'!G$162,FALSE),"")</f>
        <v>16.088230874959756</v>
      </c>
      <c r="J29" s="509">
        <f ca="1">IFERROR('All Stock'!H$14*VLOOKUP($A29,'IDEES okt 2017 template'!$C$173:$AN$181,'IDEES okt 2017 template'!H$162,FALSE),"")</f>
        <v>0</v>
      </c>
      <c r="K29" s="509">
        <f ca="1">IFERROR('All Stock'!I$14*VLOOKUP($A29,'IDEES okt 2017 template'!$C$173:$AN$181,'IDEES okt 2017 template'!I$162,FALSE),"")</f>
        <v>115.63133829154494</v>
      </c>
      <c r="L29" s="509">
        <f ca="1">IFERROR('All Stock'!J$14*VLOOKUP($A29,'IDEES okt 2017 template'!$C$173:$AN$181,'IDEES okt 2017 template'!J$162,FALSE),"")</f>
        <v>406.05234528024221</v>
      </c>
      <c r="M29" s="509">
        <f ca="1">IFERROR('All Stock'!K$14*VLOOKUP($A29,'IDEES okt 2017 template'!$C$173:$AN$181,'IDEES okt 2017 template'!K$162,FALSE),"")</f>
        <v>202.66018100272157</v>
      </c>
      <c r="N29" s="509">
        <f ca="1">IFERROR('All Stock'!L$14*VLOOKUP($A29,'IDEES okt 2017 template'!$C$173:$AN$181,'IDEES okt 2017 template'!L$162,FALSE),"")</f>
        <v>29.036704349587378</v>
      </c>
      <c r="O29" s="509">
        <f ca="1">IFERROR('All Stock'!M$14*VLOOKUP($A29,'IDEES okt 2017 template'!$C$173:$AN$181,'IDEES okt 2017 template'!M$162,FALSE),"")</f>
        <v>0</v>
      </c>
      <c r="P29" s="509">
        <f ca="1">IFERROR('All Stock'!N$14*VLOOKUP($A29,'IDEES okt 2017 template'!$C$173:$AN$181,'IDEES okt 2017 template'!N$162,FALSE),"")</f>
        <v>195.67462623100488</v>
      </c>
      <c r="Q29" s="509">
        <f ca="1">IFERROR('All Stock'!O$14*VLOOKUP($A29,'IDEES okt 2017 template'!$C$173:$AN$181,'IDEES okt 2017 template'!O$162,FALSE),"")</f>
        <v>251.12887115359536</v>
      </c>
      <c r="R29" s="509">
        <f ca="1">IFERROR('All Stock'!P$14*VLOOKUP($A29,'IDEES okt 2017 template'!$C$173:$AN$181,'IDEES okt 2017 template'!P$162,FALSE),"")</f>
        <v>8.6263590208240828</v>
      </c>
      <c r="S29" s="509">
        <f ca="1">IFERROR('All Stock'!Q$14*VLOOKUP($A29,'IDEES okt 2017 template'!$C$173:$AN$181,'IDEES okt 2017 template'!Q$162,FALSE),"")</f>
        <v>37.836853361983287</v>
      </c>
      <c r="T29" s="509">
        <f ca="1">IFERROR('All Stock'!R$14*VLOOKUP($A29,'IDEES okt 2017 template'!$C$173:$AN$181,'IDEES okt 2017 template'!R$162,FALSE),"")</f>
        <v>114.56918754414311</v>
      </c>
      <c r="U29" s="509">
        <f ca="1">IFERROR('All Stock'!S$14*VLOOKUP($A29,'IDEES okt 2017 template'!$C$173:$AN$181,'IDEES okt 2017 template'!S$162,FALSE),"")</f>
        <v>0</v>
      </c>
      <c r="V29" s="509">
        <f ca="1">IFERROR('All Stock'!T$14*VLOOKUP($A29,'IDEES okt 2017 template'!$C$173:$AN$181,'IDEES okt 2017 template'!T$162,FALSE),"")</f>
        <v>11.213854621759365</v>
      </c>
      <c r="W29" s="509">
        <f ca="1">IFERROR('All Stock'!U$14*VLOOKUP($A29,'IDEES okt 2017 template'!$C$173:$AN$181,'IDEES okt 2017 template'!U$162,FALSE),"")</f>
        <v>5.3127170291130534</v>
      </c>
      <c r="X29" s="509">
        <f ca="1">IFERROR('All Stock'!V$14*VLOOKUP($A29,'IDEES okt 2017 template'!$C$173:$AN$181,'IDEES okt 2017 template'!V$162,FALSE),"")</f>
        <v>61.337143932346343</v>
      </c>
      <c r="Y29" s="509">
        <f ca="1">IFERROR('All Stock'!W$14*VLOOKUP($A29,'IDEES okt 2017 template'!$C$173:$AN$181,'IDEES okt 2017 template'!W$162,FALSE),"")</f>
        <v>0</v>
      </c>
      <c r="Z29" s="509">
        <f ca="1">IFERROR('All Stock'!X$14*VLOOKUP($A29,'IDEES okt 2017 template'!$C$173:$AN$181,'IDEES okt 2017 template'!X$162,FALSE),"")</f>
        <v>43.286675848217662</v>
      </c>
      <c r="AA29" s="509">
        <f ca="1">IFERROR('All Stock'!Y$14*VLOOKUP($A29,'IDEES okt 2017 template'!$C$173:$AN$181,'IDEES okt 2017 template'!Y$162,FALSE),"")</f>
        <v>0</v>
      </c>
      <c r="AB29" s="509">
        <f ca="1">IFERROR('All Stock'!Z$14*VLOOKUP($A29,'IDEES okt 2017 template'!$C$173:$AN$181,'IDEES okt 2017 template'!Z$162,FALSE),"")</f>
        <v>12.293566169628537</v>
      </c>
      <c r="AC29" s="509">
        <f ca="1">IFERROR('All Stock'!AA$14*VLOOKUP($A29,'IDEES okt 2017 template'!$C$173:$AN$181,'IDEES okt 2017 template'!AA$162,FALSE),"")</f>
        <v>13.657459168132997</v>
      </c>
      <c r="AD29" s="509">
        <f ca="1">IFERROR('All Stock'!AB$14*VLOOKUP($A29,'IDEES okt 2017 template'!$C$173:$AN$181,'IDEES okt 2017 template'!AB$162,FALSE),"")</f>
        <v>646.08543932426505</v>
      </c>
      <c r="AE29" s="509">
        <f ca="1">IFERROR('All Stock'!AC$14*VLOOKUP($A29,'IDEES okt 2017 template'!$C$173:$AN$181,'IDEES okt 2017 template'!AC$162,FALSE),"")</f>
        <v>0.40539746622302469</v>
      </c>
      <c r="AF29" s="509">
        <f ca="1">IFERROR('All Stock'!AD$14*VLOOKUP($A29,'IDEES okt 2017 template'!$C$173:$AN$181,'IDEES okt 2017 template'!AD$162,FALSE),"")</f>
        <v>300.15066514474057</v>
      </c>
      <c r="AG29" s="509">
        <f ca="1">IFERROR('All Stock'!AE$14*VLOOKUP($A29,'IDEES okt 2017 template'!$C$173:$AN$181,'IDEES okt 2017 template'!AE$162,FALSE),"")</f>
        <v>228.11878513228407</v>
      </c>
      <c r="AH29" s="509">
        <f ca="1">IFERROR('All Stock'!AF$14*VLOOKUP($A29,'IDEES okt 2017 template'!$C$173:$AN$181,'IDEES okt 2017 template'!AF$162,FALSE),"")</f>
        <v>11.740192397752248</v>
      </c>
      <c r="AI29" s="509">
        <f ca="1">IFERROR('All Stock'!AG$14*VLOOKUP($A29,'IDEES okt 2017 template'!$C$173:$AN$181,'IDEES okt 2017 template'!AG$162,FALSE),"")</f>
        <v>60.504043143410769</v>
      </c>
      <c r="AJ29" s="509">
        <f ca="1">IFERROR('All Stock'!AH$14*VLOOKUP($A29,'IDEES okt 2017 template'!$C$173:$AN$181,'IDEES okt 2017 template'!AH$162,FALSE),"")</f>
        <v>2.3740684599498629</v>
      </c>
      <c r="AK29" s="509">
        <f ca="1">IFERROR('All Stock'!AI$14*VLOOKUP($A29,'IDEES okt 2017 template'!$C$173:$AN$181,'IDEES okt 2017 template'!AI$162,FALSE),"")</f>
        <v>0</v>
      </c>
      <c r="AL29" s="509">
        <f ca="1">IFERROR('All Stock'!AJ$14*VLOOKUP($A29,'IDEES okt 2017 template'!$C$173:$AN$181,'IDEES okt 2017 template'!AJ$162,FALSE),"")</f>
        <v>34.296953593709269</v>
      </c>
      <c r="AM29" s="509">
        <f ca="1">IFERROR('All Stock'!AK$14*VLOOKUP($A29,'IDEES okt 2017 template'!$C$173:$AN$181,'IDEES okt 2017 template'!AK$162,FALSE),"")</f>
        <v>0</v>
      </c>
      <c r="AN29" s="509">
        <f ca="1">IFERROR('All Stock'!AL$14*VLOOKUP($A29,'IDEES okt 2017 template'!$C$173:$AN$181,'IDEES okt 2017 template'!AL$162,FALSE),"")</f>
        <v>11.128712265752922</v>
      </c>
      <c r="AO29" s="509">
        <f ca="1">IFERROR('All Stock'!AM$14*VLOOKUP($A29,'IDEES okt 2017 template'!$C$173:$AN$181,'IDEES okt 2017 template'!AM$162,FALSE),"")</f>
        <v>95.777343871110361</v>
      </c>
      <c r="AP29" s="509">
        <f ca="1">IFERROR('All Stock'!AN$14*VLOOKUP($A29,'IDEES okt 2017 template'!$C$173:$AN$181,'IDEES okt 2017 template'!AN$162,FALSE),"")</f>
        <v>1.2862166030901634</v>
      </c>
      <c r="AQ29" s="509"/>
      <c r="AS29" t="str">
        <f t="shared" si="13"/>
        <v>Derived heat</v>
      </c>
      <c r="AT29" s="509"/>
      <c r="AW29" s="496">
        <f t="shared" ca="1" si="14"/>
        <v>14.056650655412435</v>
      </c>
      <c r="AX29" s="496">
        <f t="shared" ca="1" si="15"/>
        <v>15.334893365405723</v>
      </c>
      <c r="AY29" s="496">
        <f t="shared" ca="1" si="16"/>
        <v>16.141993016216549</v>
      </c>
      <c r="AZ29" s="467"/>
      <c r="BA29" s="467"/>
      <c r="BB29" s="467"/>
      <c r="BC29" s="467"/>
      <c r="BD29" s="467"/>
      <c r="BE29" s="467"/>
      <c r="BF29" s="467"/>
      <c r="BG29" s="467"/>
      <c r="BH29" s="467"/>
      <c r="BI29" s="467"/>
      <c r="BJ29" s="467"/>
      <c r="BK29" s="467"/>
      <c r="BL29" s="467"/>
      <c r="BM29" s="467"/>
      <c r="BN29" s="467"/>
      <c r="BO29" s="467"/>
      <c r="BP29" s="467"/>
      <c r="BQ29" s="467"/>
      <c r="BR29" s="467"/>
      <c r="BS29" s="467"/>
      <c r="BT29" s="467"/>
      <c r="BU29" s="467"/>
      <c r="BV29" s="467"/>
      <c r="BW29" s="467"/>
      <c r="BX29" s="467"/>
      <c r="BY29" s="467"/>
      <c r="BZ29" s="467"/>
      <c r="CA29" s="467"/>
      <c r="CB29" s="467"/>
      <c r="CC29" s="467"/>
      <c r="CD29" s="467"/>
      <c r="CE29" s="467"/>
      <c r="CF29" s="467"/>
      <c r="CG29" s="467"/>
      <c r="CH29" s="467"/>
    </row>
    <row r="30" spans="1:86">
      <c r="A30" t="str">
        <f t="shared" si="12"/>
        <v>GDO and other liquids (incl. liq. bio.)</v>
      </c>
      <c r="C30" t="str">
        <f>TechComm!L33</f>
        <v>R_ES-SH-DH-70_OIL</v>
      </c>
      <c r="D30" t="str">
        <f t="shared" si="6"/>
        <v>RSDOIL</v>
      </c>
      <c r="E30" t="str">
        <f t="shared" si="11"/>
        <v>R_ES-DH-70-SpHeat</v>
      </c>
      <c r="F30" s="509">
        <f ca="1">IFERROR('All Stock'!D$14*VLOOKUP($A30,'IDEES okt 2017 template'!$C$173:$AN$181,'IDEES okt 2017 template'!D$162,FALSE),"")</f>
        <v>116.53793474910223</v>
      </c>
      <c r="G30" s="509">
        <f ca="1">IFERROR('All Stock'!E$14*VLOOKUP($A30,'IDEES okt 2017 template'!$C$173:$AN$181,'IDEES okt 2017 template'!E$162,FALSE),"")</f>
        <v>146.62407946278501</v>
      </c>
      <c r="H30" s="509">
        <f ca="1">IFERROR('All Stock'!F$14*VLOOKUP($A30,'IDEES okt 2017 template'!$C$173:$AN$181,'IDEES okt 2017 template'!F$162,FALSE),"")</f>
        <v>0.48102143957699295</v>
      </c>
      <c r="I30" s="509">
        <f ca="1">IFERROR('All Stock'!G$14*VLOOKUP($A30,'IDEES okt 2017 template'!$C$173:$AN$181,'IDEES okt 2017 template'!G$162,FALSE),"")</f>
        <v>207.06935712592468</v>
      </c>
      <c r="J30" s="509">
        <f ca="1">IFERROR('All Stock'!H$14*VLOOKUP($A30,'IDEES okt 2017 template'!$C$173:$AN$181,'IDEES okt 2017 template'!H$162,FALSE),"")</f>
        <v>65.482733445105808</v>
      </c>
      <c r="K30" s="509">
        <f ca="1">IFERROR('All Stock'!I$14*VLOOKUP($A30,'IDEES okt 2017 template'!$C$173:$AN$181,'IDEES okt 2017 template'!I$162,FALSE),"")</f>
        <v>0</v>
      </c>
      <c r="L30" s="509">
        <f ca="1">IFERROR('All Stock'!J$14*VLOOKUP($A30,'IDEES okt 2017 template'!$C$173:$AN$181,'IDEES okt 2017 template'!J$162,FALSE),"")</f>
        <v>914.63076959604939</v>
      </c>
      <c r="M30" s="509">
        <f ca="1">IFERROR('All Stock'!K$14*VLOOKUP($A30,'IDEES okt 2017 template'!$C$173:$AN$181,'IDEES okt 2017 template'!K$162,FALSE),"")</f>
        <v>37.661675113996061</v>
      </c>
      <c r="N30" s="509">
        <f ca="1">IFERROR('All Stock'!L$14*VLOOKUP($A30,'IDEES okt 2017 template'!$C$173:$AN$181,'IDEES okt 2017 template'!L$162,FALSE),"")</f>
        <v>0.31325065763560817</v>
      </c>
      <c r="O30" s="509">
        <f ca="1">IFERROR('All Stock'!M$14*VLOOKUP($A30,'IDEES okt 2017 template'!$C$173:$AN$181,'IDEES okt 2017 template'!M$162,FALSE),"")</f>
        <v>120.04662954949642</v>
      </c>
      <c r="P30" s="509">
        <f ca="1">IFERROR('All Stock'!N$14*VLOOKUP($A30,'IDEES okt 2017 template'!$C$173:$AN$181,'IDEES okt 2017 template'!N$162,FALSE),"")</f>
        <v>56.558455657140279</v>
      </c>
      <c r="Q30" s="509">
        <f ca="1">IFERROR('All Stock'!O$14*VLOOKUP($A30,'IDEES okt 2017 template'!$C$173:$AN$181,'IDEES okt 2017 template'!O$162,FALSE),"")</f>
        <v>722.18888446015853</v>
      </c>
      <c r="R30" s="509">
        <f ca="1">IFERROR('All Stock'!P$14*VLOOKUP($A30,'IDEES okt 2017 template'!$C$173:$AN$181,'IDEES okt 2017 template'!P$162,FALSE),"")</f>
        <v>320.22988463707532</v>
      </c>
      <c r="S30" s="509">
        <f ca="1">IFERROR('All Stock'!Q$14*VLOOKUP($A30,'IDEES okt 2017 template'!$C$173:$AN$181,'IDEES okt 2017 template'!Q$162,FALSE),"")</f>
        <v>28.657844251933984</v>
      </c>
      <c r="T30" s="509">
        <f ca="1">IFERROR('All Stock'!R$14*VLOOKUP($A30,'IDEES okt 2017 template'!$C$173:$AN$181,'IDEES okt 2017 template'!R$162,FALSE),"")</f>
        <v>0</v>
      </c>
      <c r="U30" s="509">
        <f ca="1">IFERROR('All Stock'!S$14*VLOOKUP($A30,'IDEES okt 2017 template'!$C$173:$AN$181,'IDEES okt 2017 template'!S$162,FALSE),"")</f>
        <v>152.21980984601618</v>
      </c>
      <c r="V30" s="509">
        <f ca="1">IFERROR('All Stock'!T$14*VLOOKUP($A30,'IDEES okt 2017 template'!$C$173:$AN$181,'IDEES okt 2017 template'!T$162,FALSE),"")</f>
        <v>0.10868123765927741</v>
      </c>
      <c r="W30" s="509">
        <f ca="1">IFERROR('All Stock'!U$14*VLOOKUP($A30,'IDEES okt 2017 template'!$C$173:$AN$181,'IDEES okt 2017 template'!U$162,FALSE),"")</f>
        <v>63.807521260365824</v>
      </c>
      <c r="X30" s="509">
        <f ca="1">IFERROR('All Stock'!V$14*VLOOKUP($A30,'IDEES okt 2017 template'!$C$173:$AN$181,'IDEES okt 2017 template'!V$162,FALSE),"")</f>
        <v>0.61795170439015046</v>
      </c>
      <c r="Y30" s="509">
        <f ca="1">IFERROR('All Stock'!W$14*VLOOKUP($A30,'IDEES okt 2017 template'!$C$173:$AN$181,'IDEES okt 2017 template'!W$162,FALSE),"")</f>
        <v>10.071375392572357</v>
      </c>
      <c r="Z30" s="509">
        <f ca="1">IFERROR('All Stock'!X$14*VLOOKUP($A30,'IDEES okt 2017 template'!$C$173:$AN$181,'IDEES okt 2017 template'!X$162,FALSE),"")</f>
        <v>2.5014188045113523</v>
      </c>
      <c r="AA30" s="509">
        <f ca="1">IFERROR('All Stock'!Y$14*VLOOKUP($A30,'IDEES okt 2017 template'!$C$173:$AN$181,'IDEES okt 2017 template'!Y$162,FALSE),"")</f>
        <v>0</v>
      </c>
      <c r="AB30" s="509">
        <f ca="1">IFERROR('All Stock'!Z$14*VLOOKUP($A30,'IDEES okt 2017 template'!$C$173:$AN$181,'IDEES okt 2017 template'!Z$162,FALSE),"")</f>
        <v>0.45186942002372221</v>
      </c>
      <c r="AC30" s="509">
        <f ca="1">IFERROR('All Stock'!AA$14*VLOOKUP($A30,'IDEES okt 2017 template'!$C$173:$AN$181,'IDEES okt 2017 template'!AA$162,FALSE),"")</f>
        <v>20.547387648522296</v>
      </c>
      <c r="AD30" s="509">
        <f ca="1">IFERROR('All Stock'!AB$14*VLOOKUP($A30,'IDEES okt 2017 template'!$C$173:$AN$181,'IDEES okt 2017 template'!AB$162,FALSE),"")</f>
        <v>11.95043324486481</v>
      </c>
      <c r="AE30" s="509">
        <f ca="1">IFERROR('All Stock'!AC$14*VLOOKUP($A30,'IDEES okt 2017 template'!$C$173:$AN$181,'IDEES okt 2017 template'!AC$162,FALSE),"")</f>
        <v>23.573226541010943</v>
      </c>
      <c r="AF30" s="509">
        <f ca="1">IFERROR('All Stock'!AD$14*VLOOKUP($A30,'IDEES okt 2017 template'!$C$173:$AN$181,'IDEES okt 2017 template'!AD$162,FALSE),"")</f>
        <v>6.7411530059265754</v>
      </c>
      <c r="AG30" s="509">
        <f ca="1">IFERROR('All Stock'!AE$14*VLOOKUP($A30,'IDEES okt 2017 template'!$C$173:$AN$181,'IDEES okt 2017 template'!AE$162,FALSE),"")</f>
        <v>3.6490930252148317</v>
      </c>
      <c r="AH30" s="509">
        <f ca="1">IFERROR('All Stock'!AF$14*VLOOKUP($A30,'IDEES okt 2017 template'!$C$173:$AN$181,'IDEES okt 2017 template'!AF$162,FALSE),"")</f>
        <v>22.823061737642888</v>
      </c>
      <c r="AI30" s="509">
        <f ca="1">IFERROR('All Stock'!AG$14*VLOOKUP($A30,'IDEES okt 2017 template'!$C$173:$AN$181,'IDEES okt 2017 template'!AG$162,FALSE),"")</f>
        <v>0</v>
      </c>
      <c r="AJ30" s="509">
        <f ca="1">IFERROR('All Stock'!AH$14*VLOOKUP($A30,'IDEES okt 2017 template'!$C$173:$AN$181,'IDEES okt 2017 template'!AH$162,FALSE),"")</f>
        <v>93.002027127739211</v>
      </c>
      <c r="AK30" s="509">
        <f ca="1">IFERROR('All Stock'!AI$14*VLOOKUP($A30,'IDEES okt 2017 template'!$C$173:$AN$181,'IDEES okt 2017 template'!AI$162,FALSE),"")</f>
        <v>1.2836053428621035</v>
      </c>
      <c r="AL30" s="509">
        <f ca="1">IFERROR('All Stock'!AJ$14*VLOOKUP($A30,'IDEES okt 2017 template'!$C$173:$AN$181,'IDEES okt 2017 template'!AJ$162,FALSE),"")</f>
        <v>0</v>
      </c>
      <c r="AM30" s="509">
        <f ca="1">IFERROR('All Stock'!AK$14*VLOOKUP($A30,'IDEES okt 2017 template'!$C$173:$AN$181,'IDEES okt 2017 template'!AK$162,FALSE),"")</f>
        <v>0</v>
      </c>
      <c r="AN30" s="509">
        <f ca="1">IFERROR('All Stock'!AL$14*VLOOKUP($A30,'IDEES okt 2017 template'!$C$173:$AN$181,'IDEES okt 2017 template'!AL$162,FALSE),"")</f>
        <v>8.7725656653767548</v>
      </c>
      <c r="AO30" s="509">
        <f ca="1">IFERROR('All Stock'!AM$14*VLOOKUP($A30,'IDEES okt 2017 template'!$C$173:$AN$181,'IDEES okt 2017 template'!AM$162,FALSE),"")</f>
        <v>0.20921790464815196</v>
      </c>
      <c r="AP30" s="509">
        <f ca="1">IFERROR('All Stock'!AN$14*VLOOKUP($A30,'IDEES okt 2017 template'!$C$173:$AN$181,'IDEES okt 2017 template'!AN$162,FALSE),"")</f>
        <v>4.2199345331752154</v>
      </c>
      <c r="AQ30" s="509"/>
      <c r="AS30" t="str">
        <f t="shared" si="13"/>
        <v>GDO and other liquids (incl. liq. bio.)</v>
      </c>
      <c r="AT30" s="509"/>
      <c r="AW30" s="496">
        <f t="shared" ca="1" si="14"/>
        <v>4.0204594801613176</v>
      </c>
      <c r="AX30" s="496">
        <f t="shared" ca="1" si="15"/>
        <v>4.9768340890345026</v>
      </c>
      <c r="AY30" s="496">
        <f t="shared" ca="1" si="16"/>
        <v>6.2210426112931279</v>
      </c>
      <c r="AZ30" s="467"/>
      <c r="BA30" s="467"/>
      <c r="BB30" s="467"/>
      <c r="BC30" s="467"/>
      <c r="BD30" s="467"/>
      <c r="BE30" s="467"/>
      <c r="BF30" s="467"/>
      <c r="BG30" s="467"/>
      <c r="BH30" s="467"/>
      <c r="BI30" s="467"/>
      <c r="BJ30" s="467"/>
      <c r="BK30" s="467"/>
      <c r="BL30" s="467"/>
      <c r="BM30" s="467"/>
      <c r="BN30" s="467"/>
      <c r="BO30" s="467"/>
      <c r="BP30" s="467"/>
      <c r="BQ30" s="467"/>
      <c r="BR30" s="467"/>
      <c r="BS30" s="467"/>
      <c r="BT30" s="467"/>
      <c r="BU30" s="467"/>
      <c r="BV30" s="467"/>
      <c r="BW30" s="467"/>
      <c r="BX30" s="467"/>
      <c r="BY30" s="467"/>
      <c r="BZ30" s="467"/>
      <c r="CA30" s="467"/>
      <c r="CB30" s="467"/>
      <c r="CC30" s="467"/>
      <c r="CD30" s="467"/>
      <c r="CE30" s="467"/>
      <c r="CF30" s="467"/>
      <c r="CG30" s="467"/>
      <c r="CH30" s="467"/>
    </row>
    <row r="31" spans="1:86">
      <c r="A31" t="str">
        <f t="shared" si="12"/>
        <v>Biomass and wastes</v>
      </c>
      <c r="C31" t="str">
        <f>TechComm!L34</f>
        <v>R_ES-SH-DH-70_BIO</v>
      </c>
      <c r="D31" t="str">
        <f t="shared" si="6"/>
        <v>RSDBIO</v>
      </c>
      <c r="E31" t="str">
        <f t="shared" si="11"/>
        <v>R_ES-DH-70-SpHeat</v>
      </c>
      <c r="F31" s="509">
        <f ca="1">IFERROR('All Stock'!D$14*VLOOKUP($A31,'IDEES okt 2017 template'!$C$173:$AN$181,'IDEES okt 2017 template'!D$162,FALSE),"")</f>
        <v>124.20589660419722</v>
      </c>
      <c r="G31" s="509">
        <f ca="1">IFERROR('All Stock'!E$14*VLOOKUP($A31,'IDEES okt 2017 template'!$C$173:$AN$181,'IDEES okt 2017 template'!E$162,FALSE),"")</f>
        <v>20.717406959182519</v>
      </c>
      <c r="H31" s="509">
        <f ca="1">IFERROR('All Stock'!F$14*VLOOKUP($A31,'IDEES okt 2017 template'!$C$173:$AN$181,'IDEES okt 2017 template'!F$162,FALSE),"")</f>
        <v>158.90414947642421</v>
      </c>
      <c r="I31" s="509">
        <f ca="1">IFERROR('All Stock'!G$14*VLOOKUP($A31,'IDEES okt 2017 template'!$C$173:$AN$181,'IDEES okt 2017 template'!G$162,FALSE),"")</f>
        <v>34.634388569982455</v>
      </c>
      <c r="J31" s="509">
        <f ca="1">IFERROR('All Stock'!H$14*VLOOKUP($A31,'IDEES okt 2017 template'!$C$173:$AN$181,'IDEES okt 2017 template'!H$162,FALSE),"")</f>
        <v>3.8903134895697149</v>
      </c>
      <c r="K31" s="509">
        <f ca="1">IFERROR('All Stock'!I$14*VLOOKUP($A31,'IDEES okt 2017 template'!$C$173:$AN$181,'IDEES okt 2017 template'!I$162,FALSE),"")</f>
        <v>95.153659727251977</v>
      </c>
      <c r="L31" s="509">
        <f ca="1">IFERROR('All Stock'!J$14*VLOOKUP($A31,'IDEES okt 2017 template'!$C$173:$AN$181,'IDEES okt 2017 template'!J$162,FALSE),"")</f>
        <v>352.13037977125413</v>
      </c>
      <c r="M31" s="509">
        <f ca="1">IFERROR('All Stock'!K$14*VLOOKUP($A31,'IDEES okt 2017 template'!$C$173:$AN$181,'IDEES okt 2017 template'!K$162,FALSE),"")</f>
        <v>66.854482931285631</v>
      </c>
      <c r="N31" s="509">
        <f ca="1">IFERROR('All Stock'!L$14*VLOOKUP($A31,'IDEES okt 2017 template'!$C$173:$AN$181,'IDEES okt 2017 template'!L$162,FALSE),"")</f>
        <v>21.978021087154538</v>
      </c>
      <c r="O31" s="509">
        <f ca="1">IFERROR('All Stock'!M$14*VLOOKUP($A31,'IDEES okt 2017 template'!$C$173:$AN$181,'IDEES okt 2017 template'!M$162,FALSE),"")</f>
        <v>136.30935181489895</v>
      </c>
      <c r="P31" s="509">
        <f ca="1">IFERROR('All Stock'!N$14*VLOOKUP($A31,'IDEES okt 2017 template'!$C$173:$AN$181,'IDEES okt 2017 template'!N$162,FALSE),"")</f>
        <v>103.31299825515201</v>
      </c>
      <c r="Q31" s="509">
        <f ca="1">IFERROR('All Stock'!O$14*VLOOKUP($A31,'IDEES okt 2017 template'!$C$173:$AN$181,'IDEES okt 2017 template'!O$162,FALSE),"")</f>
        <v>673.13281054801473</v>
      </c>
      <c r="R31" s="509">
        <f ca="1">IFERROR('All Stock'!P$14*VLOOKUP($A31,'IDEES okt 2017 template'!$C$173:$AN$181,'IDEES okt 2017 template'!P$162,FALSE),"")</f>
        <v>78.520756946920315</v>
      </c>
      <c r="S31" s="509">
        <f ca="1">IFERROR('All Stock'!Q$14*VLOOKUP($A31,'IDEES okt 2017 template'!$C$173:$AN$181,'IDEES okt 2017 template'!Q$162,FALSE),"")</f>
        <v>197.2690481578972</v>
      </c>
      <c r="T31" s="509">
        <f ca="1">IFERROR('All Stock'!R$14*VLOOKUP($A31,'IDEES okt 2017 template'!$C$173:$AN$181,'IDEES okt 2017 template'!R$162,FALSE),"")</f>
        <v>207.0366402886022</v>
      </c>
      <c r="U31" s="509">
        <f ca="1">IFERROR('All Stock'!S$14*VLOOKUP($A31,'IDEES okt 2017 template'!$C$173:$AN$181,'IDEES okt 2017 template'!S$162,FALSE),"")</f>
        <v>2.8769862276962139</v>
      </c>
      <c r="V31" s="509">
        <f ca="1">IFERROR('All Stock'!T$14*VLOOKUP($A31,'IDEES okt 2017 template'!$C$173:$AN$181,'IDEES okt 2017 template'!T$162,FALSE),"")</f>
        <v>0</v>
      </c>
      <c r="W31" s="509">
        <f ca="1">IFERROR('All Stock'!U$14*VLOOKUP($A31,'IDEES okt 2017 template'!$C$173:$AN$181,'IDEES okt 2017 template'!U$162,FALSE),"")</f>
        <v>205.82131197159399</v>
      </c>
      <c r="X31" s="509">
        <f ca="1">IFERROR('All Stock'!V$14*VLOOKUP($A31,'IDEES okt 2017 template'!$C$173:$AN$181,'IDEES okt 2017 template'!V$162,FALSE),"")</f>
        <v>41.563059589078485</v>
      </c>
      <c r="Y31" s="509">
        <f ca="1">IFERROR('All Stock'!W$14*VLOOKUP($A31,'IDEES okt 2017 template'!$C$173:$AN$181,'IDEES okt 2017 template'!W$162,FALSE),"")</f>
        <v>0.78077318953630381</v>
      </c>
      <c r="Z31" s="509">
        <f ca="1">IFERROR('All Stock'!X$14*VLOOKUP($A31,'IDEES okt 2017 template'!$C$173:$AN$181,'IDEES okt 2017 template'!X$162,FALSE),"")</f>
        <v>42.430524875181973</v>
      </c>
      <c r="AA31" s="509">
        <f ca="1">IFERROR('All Stock'!Y$14*VLOOKUP($A31,'IDEES okt 2017 template'!$C$173:$AN$181,'IDEES okt 2017 template'!Y$162,FALSE),"")</f>
        <v>0.17257954226455696</v>
      </c>
      <c r="AB31" s="509">
        <f ca="1">IFERROR('All Stock'!Z$14*VLOOKUP($A31,'IDEES okt 2017 template'!$C$173:$AN$181,'IDEES okt 2017 template'!Z$162,FALSE),"")</f>
        <v>12.502414124533702</v>
      </c>
      <c r="AC31" s="509">
        <f ca="1">IFERROR('All Stock'!AA$14*VLOOKUP($A31,'IDEES okt 2017 template'!$C$173:$AN$181,'IDEES okt 2017 template'!AA$162,FALSE),"")</f>
        <v>72.684464636619538</v>
      </c>
      <c r="AD31" s="509">
        <f ca="1">IFERROR('All Stock'!AB$14*VLOOKUP($A31,'IDEES okt 2017 template'!$C$173:$AN$181,'IDEES okt 2017 template'!AB$162,FALSE),"")</f>
        <v>225.53400421230072</v>
      </c>
      <c r="AE31" s="509">
        <f ca="1">IFERROR('All Stock'!AC$14*VLOOKUP($A31,'IDEES okt 2017 template'!$C$173:$AN$181,'IDEES okt 2017 template'!AC$162,FALSE),"")</f>
        <v>181.20393364796678</v>
      </c>
      <c r="AF31" s="509">
        <f ca="1">IFERROR('All Stock'!AD$14*VLOOKUP($A31,'IDEES okt 2017 template'!$C$173:$AN$181,'IDEES okt 2017 template'!AD$162,FALSE),"")</f>
        <v>515.9304221431363</v>
      </c>
      <c r="AG31" s="509">
        <f ca="1">IFERROR('All Stock'!AE$14*VLOOKUP($A31,'IDEES okt 2017 template'!$C$173:$AN$181,'IDEES okt 2017 template'!AE$162,FALSE),"")</f>
        <v>26.724704452913201</v>
      </c>
      <c r="AH31" s="509">
        <f ca="1">IFERROR('All Stock'!AF$14*VLOOKUP($A31,'IDEES okt 2017 template'!$C$173:$AN$181,'IDEES okt 2017 template'!AF$162,FALSE),"")</f>
        <v>42.049009226579486</v>
      </c>
      <c r="AI31" s="509">
        <f ca="1">IFERROR('All Stock'!AG$14*VLOOKUP($A31,'IDEES okt 2017 template'!$C$173:$AN$181,'IDEES okt 2017 template'!AG$162,FALSE),"")</f>
        <v>3.482280307607049</v>
      </c>
      <c r="AJ31" s="509">
        <f ca="1">IFERROR('All Stock'!AH$14*VLOOKUP($A31,'IDEES okt 2017 template'!$C$173:$AN$181,'IDEES okt 2017 template'!AH$162,FALSE),"")</f>
        <v>31.327226920828711</v>
      </c>
      <c r="AK31" s="509">
        <f ca="1">IFERROR('All Stock'!AI$14*VLOOKUP($A31,'IDEES okt 2017 template'!$C$173:$AN$181,'IDEES okt 2017 template'!AI$162,FALSE),"")</f>
        <v>48.447305794535922</v>
      </c>
      <c r="AL31" s="509">
        <f ca="1">IFERROR('All Stock'!AJ$14*VLOOKUP($A31,'IDEES okt 2017 template'!$C$173:$AN$181,'IDEES okt 2017 template'!AJ$162,FALSE),"")</f>
        <v>47.906952013458771</v>
      </c>
      <c r="AM31" s="509">
        <f ca="1">IFERROR('All Stock'!AK$14*VLOOKUP($A31,'IDEES okt 2017 template'!$C$173:$AN$181,'IDEES okt 2017 template'!AK$162,FALSE),"")</f>
        <v>23.950283855088969</v>
      </c>
      <c r="AN31" s="509">
        <f ca="1">IFERROR('All Stock'!AL$14*VLOOKUP($A31,'IDEES okt 2017 template'!$C$173:$AN$181,'IDEES okt 2017 template'!AL$162,FALSE),"")</f>
        <v>44.383419541914037</v>
      </c>
      <c r="AO31" s="509">
        <f ca="1">IFERROR('All Stock'!AM$14*VLOOKUP($A31,'IDEES okt 2017 template'!$C$173:$AN$181,'IDEES okt 2017 template'!AM$162,FALSE),"")</f>
        <v>185.47855508591962</v>
      </c>
      <c r="AP31" s="509">
        <f ca="1">IFERROR('All Stock'!AN$14*VLOOKUP($A31,'IDEES okt 2017 template'!$C$173:$AN$181,'IDEES okt 2017 template'!AN$162,FALSE),"")</f>
        <v>61.347033427311324</v>
      </c>
      <c r="AQ31" s="509"/>
      <c r="AS31" t="str">
        <f t="shared" si="13"/>
        <v>Biomass and wastes</v>
      </c>
      <c r="AT31" s="509"/>
      <c r="AW31" s="496">
        <f t="shared" ca="1" si="14"/>
        <v>8.0176956151093339</v>
      </c>
      <c r="AX31" s="496">
        <f t="shared" ca="1" si="15"/>
        <v>9.6225062759298048</v>
      </c>
      <c r="AY31" s="496">
        <f t="shared" ca="1" si="16"/>
        <v>13.74643753704258</v>
      </c>
      <c r="AZ31" s="467"/>
      <c r="BA31" s="467"/>
      <c r="BB31" s="467"/>
      <c r="BC31" s="467"/>
      <c r="BD31" s="467"/>
      <c r="BE31" s="467"/>
      <c r="BF31" s="467"/>
      <c r="BG31" s="467"/>
      <c r="BH31" s="467"/>
      <c r="BI31" s="467"/>
      <c r="BJ31" s="467"/>
      <c r="BK31" s="467"/>
      <c r="BL31" s="467"/>
      <c r="BM31" s="467"/>
      <c r="BN31" s="467"/>
      <c r="BO31" s="467"/>
      <c r="BP31" s="467"/>
      <c r="BQ31" s="467"/>
      <c r="BR31" s="467"/>
      <c r="BS31" s="467"/>
      <c r="BT31" s="467"/>
      <c r="BU31" s="467"/>
      <c r="BV31" s="467"/>
      <c r="BW31" s="467"/>
      <c r="BX31" s="467"/>
      <c r="BY31" s="467"/>
      <c r="BZ31" s="467"/>
      <c r="CA31" s="467"/>
      <c r="CB31" s="467"/>
      <c r="CC31" s="467"/>
      <c r="CD31" s="467"/>
      <c r="CE31" s="467"/>
      <c r="CF31" s="467"/>
      <c r="CG31" s="467"/>
      <c r="CH31" s="467"/>
    </row>
    <row r="32" spans="1:86">
      <c r="A32" t="str">
        <f t="shared" si="12"/>
        <v>Solids</v>
      </c>
      <c r="C32" t="str">
        <f>TechComm!L35</f>
        <v>R_ES-SH-DH-70_COA</v>
      </c>
      <c r="D32" t="str">
        <f t="shared" si="6"/>
        <v>RSDCOA</v>
      </c>
      <c r="E32" t="str">
        <f t="shared" si="11"/>
        <v>R_ES-DH-70-SpHeat</v>
      </c>
      <c r="F32" s="509">
        <f ca="1">IFERROR('All Stock'!D$14*VLOOKUP($A32,'IDEES okt 2017 template'!$C$173:$AN$181,'IDEES okt 2017 template'!D$162,FALSE),"")</f>
        <v>4.5174837027460271</v>
      </c>
      <c r="G32" s="509">
        <f ca="1">IFERROR('All Stock'!E$14*VLOOKUP($A32,'IDEES okt 2017 template'!$C$173:$AN$181,'IDEES okt 2017 template'!E$162,FALSE),"")</f>
        <v>5.957212171046697</v>
      </c>
      <c r="H32" s="509">
        <f ca="1">IFERROR('All Stock'!F$14*VLOOKUP($A32,'IDEES okt 2017 template'!$C$173:$AN$181,'IDEES okt 2017 template'!F$162,FALSE),"")</f>
        <v>44.824810029139812</v>
      </c>
      <c r="I32" s="509">
        <f ca="1">IFERROR('All Stock'!G$14*VLOOKUP($A32,'IDEES okt 2017 template'!$C$173:$AN$181,'IDEES okt 2017 template'!G$162,FALSE),"")</f>
        <v>0.69168211109953992</v>
      </c>
      <c r="J32" s="509">
        <f ca="1">IFERROR('All Stock'!H$14*VLOOKUP($A32,'IDEES okt 2017 template'!$C$173:$AN$181,'IDEES okt 2017 template'!H$162,FALSE),"")</f>
        <v>0</v>
      </c>
      <c r="K32" s="509">
        <f ca="1">IFERROR('All Stock'!I$14*VLOOKUP($A32,'IDEES okt 2017 template'!$C$173:$AN$181,'IDEES okt 2017 template'!I$162,FALSE),"")</f>
        <v>59.926131023357371</v>
      </c>
      <c r="L32" s="509">
        <f ca="1">IFERROR('All Stock'!J$14*VLOOKUP($A32,'IDEES okt 2017 template'!$C$173:$AN$181,'IDEES okt 2017 template'!J$162,FALSE),"")</f>
        <v>57.242613979209743</v>
      </c>
      <c r="M32" s="509">
        <f ca="1">IFERROR('All Stock'!K$14*VLOOKUP($A32,'IDEES okt 2017 template'!$C$173:$AN$181,'IDEES okt 2017 template'!K$162,FALSE),"")</f>
        <v>0</v>
      </c>
      <c r="N32" s="509">
        <f ca="1">IFERROR('All Stock'!L$14*VLOOKUP($A32,'IDEES okt 2017 template'!$C$173:$AN$181,'IDEES okt 2017 template'!L$162,FALSE),"")</f>
        <v>0.61667346947881063</v>
      </c>
      <c r="O32" s="509">
        <f ca="1">IFERROR('All Stock'!M$14*VLOOKUP($A32,'IDEES okt 2017 template'!$C$173:$AN$181,'IDEES okt 2017 template'!M$162,FALSE),"")</f>
        <v>11.734036042975834</v>
      </c>
      <c r="P32" s="509">
        <f ca="1">IFERROR('All Stock'!N$14*VLOOKUP($A32,'IDEES okt 2017 template'!$C$173:$AN$181,'IDEES okt 2017 template'!N$162,FALSE),"")</f>
        <v>0.67015358657024748</v>
      </c>
      <c r="Q32" s="509">
        <f ca="1">IFERROR('All Stock'!O$14*VLOOKUP($A32,'IDEES okt 2017 template'!$C$173:$AN$181,'IDEES okt 2017 template'!O$162,FALSE),"")</f>
        <v>19.832753475912423</v>
      </c>
      <c r="R32" s="509">
        <f ca="1">IFERROR('All Stock'!P$14*VLOOKUP($A32,'IDEES okt 2017 template'!$C$173:$AN$181,'IDEES okt 2017 template'!P$162,FALSE),"")</f>
        <v>0</v>
      </c>
      <c r="S32" s="509">
        <f ca="1">IFERROR('All Stock'!Q$14*VLOOKUP($A32,'IDEES okt 2017 template'!$C$173:$AN$181,'IDEES okt 2017 template'!Q$162,FALSE),"")</f>
        <v>1.006555397594592</v>
      </c>
      <c r="T32" s="509">
        <f ca="1">IFERROR('All Stock'!R$14*VLOOKUP($A32,'IDEES okt 2017 template'!$C$173:$AN$181,'IDEES okt 2017 template'!R$162,FALSE),"")</f>
        <v>23.422059452618356</v>
      </c>
      <c r="U32" s="509">
        <f ca="1">IFERROR('All Stock'!S$14*VLOOKUP($A32,'IDEES okt 2017 template'!$C$173:$AN$181,'IDEES okt 2017 template'!S$162,FALSE),"")</f>
        <v>56.673200596858152</v>
      </c>
      <c r="V32" s="509">
        <f ca="1">IFERROR('All Stock'!T$14*VLOOKUP($A32,'IDEES okt 2017 template'!$C$173:$AN$181,'IDEES okt 2017 template'!T$162,FALSE),"")</f>
        <v>0</v>
      </c>
      <c r="W32" s="509">
        <f ca="1">IFERROR('All Stock'!U$14*VLOOKUP($A32,'IDEES okt 2017 template'!$C$173:$AN$181,'IDEES okt 2017 template'!U$162,FALSE),"")</f>
        <v>0.13316292110386405</v>
      </c>
      <c r="X32" s="509">
        <f ca="1">IFERROR('All Stock'!V$14*VLOOKUP($A32,'IDEES okt 2017 template'!$C$173:$AN$181,'IDEES okt 2017 template'!V$162,FALSE),"")</f>
        <v>5.3405576009935043</v>
      </c>
      <c r="Y32" s="509">
        <f ca="1">IFERROR('All Stock'!W$14*VLOOKUP($A32,'IDEES okt 2017 template'!$C$173:$AN$181,'IDEES okt 2017 template'!W$162,FALSE),"")</f>
        <v>2.5506854198041828E-2</v>
      </c>
      <c r="Z32" s="509">
        <f ca="1">IFERROR('All Stock'!X$14*VLOOKUP($A32,'IDEES okt 2017 template'!$C$173:$AN$181,'IDEES okt 2017 template'!X$162,FALSE),"")</f>
        <v>1.2825017396239773</v>
      </c>
      <c r="AA32" s="509">
        <f ca="1">IFERROR('All Stock'!Y$14*VLOOKUP($A32,'IDEES okt 2017 template'!$C$173:$AN$181,'IDEES okt 2017 template'!Y$162,FALSE),"")</f>
        <v>0</v>
      </c>
      <c r="AB32" s="509">
        <f ca="1">IFERROR('All Stock'!Z$14*VLOOKUP($A32,'IDEES okt 2017 template'!$C$173:$AN$181,'IDEES okt 2017 template'!Z$162,FALSE),"")</f>
        <v>7.095872651822363E-2</v>
      </c>
      <c r="AC32" s="509">
        <f ca="1">IFERROR('All Stock'!AA$14*VLOOKUP($A32,'IDEES okt 2017 template'!$C$173:$AN$181,'IDEES okt 2017 template'!AA$162,FALSE),"")</f>
        <v>0</v>
      </c>
      <c r="AD32" s="509">
        <f ca="1">IFERROR('All Stock'!AB$14*VLOOKUP($A32,'IDEES okt 2017 template'!$C$173:$AN$181,'IDEES okt 2017 template'!AB$162,FALSE),"")</f>
        <v>649.40833033172999</v>
      </c>
      <c r="AE32" s="509">
        <f ca="1">IFERROR('All Stock'!AC$14*VLOOKUP($A32,'IDEES okt 2017 template'!$C$173:$AN$181,'IDEES okt 2017 template'!AC$162,FALSE),"")</f>
        <v>0</v>
      </c>
      <c r="AF32" s="509">
        <f ca="1">IFERROR('All Stock'!AD$14*VLOOKUP($A32,'IDEES okt 2017 template'!$C$173:$AN$181,'IDEES okt 2017 template'!AD$162,FALSE),"")</f>
        <v>3.8079272361487435</v>
      </c>
      <c r="AG32" s="509">
        <f ca="1">IFERROR('All Stock'!AE$14*VLOOKUP($A32,'IDEES okt 2017 template'!$C$173:$AN$181,'IDEES okt 2017 template'!AE$162,FALSE),"")</f>
        <v>0</v>
      </c>
      <c r="AH32" s="509">
        <f ca="1">IFERROR('All Stock'!AF$14*VLOOKUP($A32,'IDEES okt 2017 template'!$C$173:$AN$181,'IDEES okt 2017 template'!AF$162,FALSE),"")</f>
        <v>0.1308399117285266</v>
      </c>
      <c r="AI32" s="509">
        <f ca="1">IFERROR('All Stock'!AG$14*VLOOKUP($A32,'IDEES okt 2017 template'!$C$173:$AN$181,'IDEES okt 2017 template'!AG$162,FALSE),"")</f>
        <v>4.9566029042580935</v>
      </c>
      <c r="AJ32" s="509">
        <f ca="1">IFERROR('All Stock'!AH$14*VLOOKUP($A32,'IDEES okt 2017 template'!$C$173:$AN$181,'IDEES okt 2017 template'!AH$162,FALSE),"")</f>
        <v>23.407839591399533</v>
      </c>
      <c r="AK32" s="509">
        <f ca="1">IFERROR('All Stock'!AI$14*VLOOKUP($A32,'IDEES okt 2017 template'!$C$173:$AN$181,'IDEES okt 2017 template'!AI$162,FALSE),"")</f>
        <v>0</v>
      </c>
      <c r="AL32" s="509">
        <f ca="1">IFERROR('All Stock'!AJ$14*VLOOKUP($A32,'IDEES okt 2017 template'!$C$173:$AN$181,'IDEES okt 2017 template'!AJ$162,FALSE),"")</f>
        <v>31.116948971338847</v>
      </c>
      <c r="AM32" s="509">
        <f ca="1">IFERROR('All Stock'!AK$14*VLOOKUP($A32,'IDEES okt 2017 template'!$C$173:$AN$181,'IDEES okt 2017 template'!AK$162,FALSE),"")</f>
        <v>0</v>
      </c>
      <c r="AN32" s="509">
        <f ca="1">IFERROR('All Stock'!AL$14*VLOOKUP($A32,'IDEES okt 2017 template'!$C$173:$AN$181,'IDEES okt 2017 template'!AL$162,FALSE),"")</f>
        <v>0</v>
      </c>
      <c r="AO32" s="509">
        <f ca="1">IFERROR('All Stock'!AM$14*VLOOKUP($A32,'IDEES okt 2017 template'!$C$173:$AN$181,'IDEES okt 2017 template'!AM$162,FALSE),"")</f>
        <v>46.935412461108989</v>
      </c>
      <c r="AP32" s="509">
        <f ca="1">IFERROR('All Stock'!AN$14*VLOOKUP($A32,'IDEES okt 2017 template'!$C$173:$AN$181,'IDEES okt 2017 template'!AN$162,FALSE),"")</f>
        <v>6.2649236054253272</v>
      </c>
      <c r="AQ32" s="509"/>
      <c r="AS32" t="str">
        <f t="shared" si="13"/>
        <v>Solids</v>
      </c>
      <c r="AT32" s="509"/>
      <c r="AW32" s="496">
        <f t="shared" ca="1" si="14"/>
        <v>4.8455268371550356E-2</v>
      </c>
      <c r="AX32" s="496">
        <f t="shared" ca="1" si="15"/>
        <v>5.5446655199117185E-2</v>
      </c>
      <c r="AY32" s="496">
        <f t="shared" ca="1" si="16"/>
        <v>8.5302546460180276E-2</v>
      </c>
      <c r="AZ32" s="467"/>
      <c r="BA32" s="467"/>
      <c r="BB32" s="467"/>
      <c r="BC32" s="467"/>
      <c r="BD32" s="467"/>
      <c r="BE32" s="467"/>
      <c r="BF32" s="467"/>
      <c r="BG32" s="467"/>
      <c r="BH32" s="467"/>
      <c r="BI32" s="467"/>
      <c r="BJ32" s="467"/>
      <c r="BK32" s="467"/>
      <c r="BL32" s="467"/>
      <c r="BM32" s="467"/>
      <c r="BN32" s="467"/>
      <c r="BO32" s="467"/>
      <c r="BP32" s="467"/>
      <c r="BQ32" s="467"/>
      <c r="BR32" s="467"/>
      <c r="BS32" s="467"/>
      <c r="BT32" s="467"/>
      <c r="BU32" s="467"/>
      <c r="BV32" s="467"/>
      <c r="BW32" s="467"/>
      <c r="BX32" s="467"/>
      <c r="BY32" s="467"/>
      <c r="BZ32" s="467"/>
      <c r="CA32" s="467"/>
      <c r="CB32" s="467"/>
      <c r="CC32" s="467"/>
      <c r="CD32" s="467"/>
      <c r="CE32" s="467"/>
      <c r="CF32" s="467"/>
      <c r="CG32" s="467"/>
      <c r="CH32" s="467"/>
    </row>
    <row r="33" spans="1:86">
      <c r="A33" t="str">
        <f t="shared" si="12"/>
        <v>LPG</v>
      </c>
      <c r="C33" t="str">
        <f>TechComm!L36</f>
        <v>R_ES-SH-DH-70_LPG</v>
      </c>
      <c r="D33" t="str">
        <f t="shared" si="6"/>
        <v>RSDLPG</v>
      </c>
      <c r="E33" t="str">
        <f t="shared" si="11"/>
        <v>R_ES-DH-70-SpHeat</v>
      </c>
      <c r="F33" s="509">
        <f ca="1">IFERROR('All Stock'!D$14*VLOOKUP($A33,'IDEES okt 2017 template'!$C$173:$AN$181,'IDEES okt 2017 template'!D$162,FALSE),"")</f>
        <v>1.0293295626499237</v>
      </c>
      <c r="G33" s="509">
        <f ca="1">IFERROR('All Stock'!E$14*VLOOKUP($A33,'IDEES okt 2017 template'!$C$173:$AN$181,'IDEES okt 2017 template'!E$162,FALSE),"")</f>
        <v>0.80351438667659825</v>
      </c>
      <c r="H33" s="509">
        <f ca="1">IFERROR('All Stock'!F$14*VLOOKUP($A33,'IDEES okt 2017 template'!$C$173:$AN$181,'IDEES okt 2017 template'!F$162,FALSE),"")</f>
        <v>1.1449511450544316</v>
      </c>
      <c r="I33" s="509">
        <f ca="1">IFERROR('All Stock'!G$14*VLOOKUP($A33,'IDEES okt 2017 template'!$C$173:$AN$181,'IDEES okt 2017 template'!G$162,FALSE),"")</f>
        <v>0</v>
      </c>
      <c r="J33" s="509">
        <f ca="1">IFERROR('All Stock'!H$14*VLOOKUP($A33,'IDEES okt 2017 template'!$C$173:$AN$181,'IDEES okt 2017 template'!H$162,FALSE),"")</f>
        <v>9.9512259361789646</v>
      </c>
      <c r="K33" s="509">
        <f ca="1">IFERROR('All Stock'!I$14*VLOOKUP($A33,'IDEES okt 2017 template'!$C$173:$AN$181,'IDEES okt 2017 template'!I$162,FALSE),"")</f>
        <v>0</v>
      </c>
      <c r="L33" s="509">
        <f ca="1">IFERROR('All Stock'!J$14*VLOOKUP($A33,'IDEES okt 2017 template'!$C$173:$AN$181,'IDEES okt 2017 template'!J$162,FALSE),"")</f>
        <v>13.515116897764925</v>
      </c>
      <c r="M33" s="509">
        <f ca="1">IFERROR('All Stock'!K$14*VLOOKUP($A33,'IDEES okt 2017 template'!$C$173:$AN$181,'IDEES okt 2017 template'!K$162,FALSE),"")</f>
        <v>0.39387250431564291</v>
      </c>
      <c r="N33" s="509">
        <f ca="1">IFERROR('All Stock'!L$14*VLOOKUP($A33,'IDEES okt 2017 template'!$C$173:$AN$181,'IDEES okt 2017 template'!L$162,FALSE),"")</f>
        <v>0</v>
      </c>
      <c r="O33" s="509">
        <f ca="1">IFERROR('All Stock'!M$14*VLOOKUP($A33,'IDEES okt 2017 template'!$C$173:$AN$181,'IDEES okt 2017 template'!M$162,FALSE),"")</f>
        <v>26.582219020924295</v>
      </c>
      <c r="P33" s="509">
        <f ca="1">IFERROR('All Stock'!N$14*VLOOKUP($A33,'IDEES okt 2017 template'!$C$173:$AN$181,'IDEES okt 2017 template'!N$162,FALSE),"")</f>
        <v>0</v>
      </c>
      <c r="Q33" s="509">
        <f ca="1">IFERROR('All Stock'!O$14*VLOOKUP($A33,'IDEES okt 2017 template'!$C$173:$AN$181,'IDEES okt 2017 template'!O$162,FALSE),"")</f>
        <v>33.717254048005067</v>
      </c>
      <c r="R33" s="509">
        <f ca="1">IFERROR('All Stock'!P$14*VLOOKUP($A33,'IDEES okt 2017 template'!$C$173:$AN$181,'IDEES okt 2017 template'!P$162,FALSE),"")</f>
        <v>0</v>
      </c>
      <c r="S33" s="509">
        <f ca="1">IFERROR('All Stock'!Q$14*VLOOKUP($A33,'IDEES okt 2017 template'!$C$173:$AN$181,'IDEES okt 2017 template'!Q$162,FALSE),"")</f>
        <v>3.6185211413764651</v>
      </c>
      <c r="T33" s="509">
        <f ca="1">IFERROR('All Stock'!R$14*VLOOKUP($A33,'IDEES okt 2017 template'!$C$173:$AN$181,'IDEES okt 2017 template'!R$162,FALSE),"")</f>
        <v>7.1808822704923463</v>
      </c>
      <c r="U33" s="509">
        <f ca="1">IFERROR('All Stock'!S$14*VLOOKUP($A33,'IDEES okt 2017 template'!$C$173:$AN$181,'IDEES okt 2017 template'!S$162,FALSE),"")</f>
        <v>3.4631148815190533</v>
      </c>
      <c r="V33" s="509">
        <f ca="1">IFERROR('All Stock'!T$14*VLOOKUP($A33,'IDEES okt 2017 template'!$C$173:$AN$181,'IDEES okt 2017 template'!T$162,FALSE),"")</f>
        <v>0</v>
      </c>
      <c r="W33" s="509">
        <f ca="1">IFERROR('All Stock'!U$14*VLOOKUP($A33,'IDEES okt 2017 template'!$C$173:$AN$181,'IDEES okt 2017 template'!U$162,FALSE),"")</f>
        <v>19.175848869047108</v>
      </c>
      <c r="X33" s="509">
        <f ca="1">IFERROR('All Stock'!V$14*VLOOKUP($A33,'IDEES okt 2017 template'!$C$173:$AN$181,'IDEES okt 2017 template'!V$162,FALSE),"")</f>
        <v>0</v>
      </c>
      <c r="Y33" s="509">
        <f ca="1">IFERROR('All Stock'!W$14*VLOOKUP($A33,'IDEES okt 2017 template'!$C$173:$AN$181,'IDEES okt 2017 template'!W$162,FALSE),"")</f>
        <v>0</v>
      </c>
      <c r="Z33" s="509">
        <f ca="1">IFERROR('All Stock'!X$14*VLOOKUP($A33,'IDEES okt 2017 template'!$C$173:$AN$181,'IDEES okt 2017 template'!X$162,FALSE),"")</f>
        <v>0</v>
      </c>
      <c r="AA33" s="509">
        <f ca="1">IFERROR('All Stock'!Y$14*VLOOKUP($A33,'IDEES okt 2017 template'!$C$173:$AN$181,'IDEES okt 2017 template'!Y$162,FALSE),"")</f>
        <v>0.96287391544325152</v>
      </c>
      <c r="AB33" s="509">
        <f ca="1">IFERROR('All Stock'!Z$14*VLOOKUP($A33,'IDEES okt 2017 template'!$C$173:$AN$181,'IDEES okt 2017 template'!Z$162,FALSE),"")</f>
        <v>0</v>
      </c>
      <c r="AC33" s="509">
        <f ca="1">IFERROR('All Stock'!AA$14*VLOOKUP($A33,'IDEES okt 2017 template'!$C$173:$AN$181,'IDEES okt 2017 template'!AA$162,FALSE),"")</f>
        <v>0</v>
      </c>
      <c r="AD33" s="509">
        <f ca="1">IFERROR('All Stock'!AB$14*VLOOKUP($A33,'IDEES okt 2017 template'!$C$173:$AN$181,'IDEES okt 2017 template'!AB$162,FALSE),"")</f>
        <v>0</v>
      </c>
      <c r="AE33" s="509">
        <f ca="1">IFERROR('All Stock'!AC$14*VLOOKUP($A33,'IDEES okt 2017 template'!$C$173:$AN$181,'IDEES okt 2017 template'!AC$162,FALSE),"")</f>
        <v>15.679219797961787</v>
      </c>
      <c r="AF33" s="509">
        <f ca="1">IFERROR('All Stock'!AD$14*VLOOKUP($A33,'IDEES okt 2017 template'!$C$173:$AN$181,'IDEES okt 2017 template'!AD$162,FALSE),"")</f>
        <v>0</v>
      </c>
      <c r="AG33" s="509">
        <f ca="1">IFERROR('All Stock'!AE$14*VLOOKUP($A33,'IDEES okt 2017 template'!$C$173:$AN$181,'IDEES okt 2017 template'!AE$162,FALSE),"")</f>
        <v>0</v>
      </c>
      <c r="AH33" s="509">
        <f ca="1">IFERROR('All Stock'!AF$14*VLOOKUP($A33,'IDEES okt 2017 template'!$C$173:$AN$181,'IDEES okt 2017 template'!AF$162,FALSE),"")</f>
        <v>0.83408997662482487</v>
      </c>
      <c r="AI33" s="509">
        <f ca="1">IFERROR('All Stock'!AG$14*VLOOKUP($A33,'IDEES okt 2017 template'!$C$173:$AN$181,'IDEES okt 2017 template'!AG$162,FALSE),"")</f>
        <v>0</v>
      </c>
      <c r="AJ33" s="509">
        <f ca="1">IFERROR('All Stock'!AH$14*VLOOKUP($A33,'IDEES okt 2017 template'!$C$173:$AN$181,'IDEES okt 2017 template'!AH$162,FALSE),"")</f>
        <v>3.0976614041024551</v>
      </c>
      <c r="AK33" s="509">
        <f ca="1">IFERROR('All Stock'!AI$14*VLOOKUP($A33,'IDEES okt 2017 template'!$C$173:$AN$181,'IDEES okt 2017 template'!AI$162,FALSE),"")</f>
        <v>0</v>
      </c>
      <c r="AL33" s="509">
        <f ca="1">IFERROR('All Stock'!AJ$14*VLOOKUP($A33,'IDEES okt 2017 template'!$C$173:$AN$181,'IDEES okt 2017 template'!AJ$162,FALSE),"")</f>
        <v>0</v>
      </c>
      <c r="AM33" s="509">
        <f ca="1">IFERROR('All Stock'!AK$14*VLOOKUP($A33,'IDEES okt 2017 template'!$C$173:$AN$181,'IDEES okt 2017 template'!AK$162,FALSE),"")</f>
        <v>0</v>
      </c>
      <c r="AN33" s="509">
        <f ca="1">IFERROR('All Stock'!AL$14*VLOOKUP($A33,'IDEES okt 2017 template'!$C$173:$AN$181,'IDEES okt 2017 template'!AL$162,FALSE),"")</f>
        <v>0</v>
      </c>
      <c r="AO33" s="509">
        <f ca="1">IFERROR('All Stock'!AM$14*VLOOKUP($A33,'IDEES okt 2017 template'!$C$173:$AN$181,'IDEES okt 2017 template'!AM$162,FALSE),"")</f>
        <v>1.3908193138686404</v>
      </c>
      <c r="AP33" s="509">
        <f ca="1">IFERROR('All Stock'!AN$14*VLOOKUP($A33,'IDEES okt 2017 template'!$C$173:$AN$181,'IDEES okt 2017 template'!AN$162,FALSE),"")</f>
        <v>0.73512952348563354</v>
      </c>
      <c r="AQ33" s="509"/>
      <c r="AS33" t="str">
        <f t="shared" si="13"/>
        <v>LPG</v>
      </c>
      <c r="AT33" s="509"/>
      <c r="AW33" s="496">
        <f t="shared" ca="1" si="14"/>
        <v>0</v>
      </c>
      <c r="AX33" s="496">
        <f t="shared" ca="1" si="15"/>
        <v>0</v>
      </c>
      <c r="AY33" s="496">
        <f t="shared" ca="1" si="16"/>
        <v>0</v>
      </c>
      <c r="AZ33" s="467"/>
      <c r="BA33" s="467"/>
      <c r="BB33" s="467"/>
      <c r="BC33" s="467"/>
      <c r="BD33" s="467"/>
      <c r="BE33" s="467"/>
      <c r="BF33" s="467"/>
      <c r="BG33" s="467"/>
      <c r="BH33" s="467"/>
      <c r="BI33" s="467"/>
      <c r="BJ33" s="467"/>
      <c r="BK33" s="467"/>
      <c r="BL33" s="467"/>
      <c r="BM33" s="467"/>
      <c r="BN33" s="467"/>
      <c r="BO33" s="467"/>
      <c r="BP33" s="467"/>
      <c r="BQ33" s="467"/>
      <c r="BR33" s="467"/>
      <c r="BS33" s="467"/>
      <c r="BT33" s="467"/>
      <c r="BU33" s="467"/>
      <c r="BV33" s="467"/>
      <c r="BW33" s="467"/>
      <c r="BX33" s="467"/>
      <c r="BY33" s="467"/>
      <c r="BZ33" s="467"/>
      <c r="CA33" s="467"/>
      <c r="CB33" s="467"/>
      <c r="CC33" s="467"/>
      <c r="CD33" s="467"/>
      <c r="CE33" s="467"/>
      <c r="CF33" s="467"/>
      <c r="CG33" s="467"/>
      <c r="CH33" s="467"/>
    </row>
    <row r="34" spans="1:86">
      <c r="A34" t="str">
        <f t="shared" si="12"/>
        <v>Geothermal Energy</v>
      </c>
      <c r="C34" t="str">
        <f>TechComm!L37</f>
        <v>R_ES-SH-DH-70_GEO</v>
      </c>
      <c r="D34" t="str">
        <f t="shared" si="6"/>
        <v>RSDGEO</v>
      </c>
      <c r="E34" t="str">
        <f t="shared" si="11"/>
        <v>R_ES-DH-70-SpHeat</v>
      </c>
      <c r="F34" s="509">
        <f ca="1">IFERROR('All Stock'!D$14*VLOOKUP($A34,'IDEES okt 2017 template'!$C$173:$AN$181,'IDEES okt 2017 template'!D$162,FALSE),"")</f>
        <v>0</v>
      </c>
      <c r="G34" s="509">
        <f ca="1">IFERROR('All Stock'!E$14*VLOOKUP($A34,'IDEES okt 2017 template'!$C$173:$AN$181,'IDEES okt 2017 template'!E$162,FALSE),"")</f>
        <v>0</v>
      </c>
      <c r="H34" s="509">
        <f ca="1">IFERROR('All Stock'!F$14*VLOOKUP($A34,'IDEES okt 2017 template'!$C$173:$AN$181,'IDEES okt 2017 template'!F$162,FALSE),"")</f>
        <v>0</v>
      </c>
      <c r="I34" s="509">
        <f ca="1">IFERROR('All Stock'!G$14*VLOOKUP($A34,'IDEES okt 2017 template'!$C$173:$AN$181,'IDEES okt 2017 template'!G$162,FALSE),"")</f>
        <v>22.780858723691889</v>
      </c>
      <c r="J34" s="509">
        <f ca="1">IFERROR('All Stock'!H$14*VLOOKUP($A34,'IDEES okt 2017 template'!$C$173:$AN$181,'IDEES okt 2017 template'!H$162,FALSE),"")</f>
        <v>0.73029497620021799</v>
      </c>
      <c r="K34" s="509">
        <f ca="1">IFERROR('All Stock'!I$14*VLOOKUP($A34,'IDEES okt 2017 template'!$C$173:$AN$181,'IDEES okt 2017 template'!I$162,FALSE),"")</f>
        <v>0</v>
      </c>
      <c r="L34" s="509">
        <f ca="1">IFERROR('All Stock'!J$14*VLOOKUP($A34,'IDEES okt 2017 template'!$C$173:$AN$181,'IDEES okt 2017 template'!J$162,FALSE),"")</f>
        <v>1.395486973013583</v>
      </c>
      <c r="M34" s="509">
        <f ca="1">IFERROR('All Stock'!K$14*VLOOKUP($A34,'IDEES okt 2017 template'!$C$173:$AN$181,'IDEES okt 2017 template'!K$162,FALSE),"")</f>
        <v>0</v>
      </c>
      <c r="N34" s="509">
        <f ca="1">IFERROR('All Stock'!L$14*VLOOKUP($A34,'IDEES okt 2017 template'!$C$173:$AN$181,'IDEES okt 2017 template'!L$162,FALSE),"")</f>
        <v>0</v>
      </c>
      <c r="O34" s="509">
        <f ca="1">IFERROR('All Stock'!M$14*VLOOKUP($A34,'IDEES okt 2017 template'!$C$173:$AN$181,'IDEES okt 2017 template'!M$162,FALSE),"")</f>
        <v>0.9004060384758531</v>
      </c>
      <c r="P34" s="509">
        <f ca="1">IFERROR('All Stock'!N$14*VLOOKUP($A34,'IDEES okt 2017 template'!$C$173:$AN$181,'IDEES okt 2017 template'!N$162,FALSE),"")</f>
        <v>0</v>
      </c>
      <c r="Q34" s="509">
        <f ca="1">IFERROR('All Stock'!O$14*VLOOKUP($A34,'IDEES okt 2017 template'!$C$173:$AN$181,'IDEES okt 2017 template'!O$162,FALSE),"")</f>
        <v>2.2504229444977843</v>
      </c>
      <c r="R34" s="509">
        <f ca="1">IFERROR('All Stock'!P$14*VLOOKUP($A34,'IDEES okt 2017 template'!$C$173:$AN$181,'IDEES okt 2017 template'!P$162,FALSE),"")</f>
        <v>3.9236412742131514E-2</v>
      </c>
      <c r="S34" s="509">
        <f ca="1">IFERROR('All Stock'!Q$14*VLOOKUP($A34,'IDEES okt 2017 template'!$C$173:$AN$181,'IDEES okt 2017 template'!Q$162,FALSE),"")</f>
        <v>0</v>
      </c>
      <c r="T34" s="509">
        <f ca="1">IFERROR('All Stock'!R$14*VLOOKUP($A34,'IDEES okt 2017 template'!$C$173:$AN$181,'IDEES okt 2017 template'!R$162,FALSE),"")</f>
        <v>0</v>
      </c>
      <c r="U34" s="509">
        <f ca="1">IFERROR('All Stock'!S$14*VLOOKUP($A34,'IDEES okt 2017 template'!$C$173:$AN$181,'IDEES okt 2017 template'!S$162,FALSE),"")</f>
        <v>0</v>
      </c>
      <c r="V34" s="509">
        <f ca="1">IFERROR('All Stock'!T$14*VLOOKUP($A34,'IDEES okt 2017 template'!$C$173:$AN$181,'IDEES okt 2017 template'!T$162,FALSE),"")</f>
        <v>13.223038907062028</v>
      </c>
      <c r="W34" s="509">
        <f ca="1">IFERROR('All Stock'!U$14*VLOOKUP($A34,'IDEES okt 2017 template'!$C$173:$AN$181,'IDEES okt 2017 template'!U$162,FALSE),"")</f>
        <v>7.6657796087355623E-2</v>
      </c>
      <c r="X34" s="509">
        <f ca="1">IFERROR('All Stock'!V$14*VLOOKUP($A34,'IDEES okt 2017 template'!$C$173:$AN$181,'IDEES okt 2017 template'!V$162,FALSE),"")</f>
        <v>0</v>
      </c>
      <c r="Y34" s="509">
        <f ca="1">IFERROR('All Stock'!W$14*VLOOKUP($A34,'IDEES okt 2017 template'!$C$173:$AN$181,'IDEES okt 2017 template'!W$162,FALSE),"")</f>
        <v>0</v>
      </c>
      <c r="Z34" s="509">
        <f ca="1">IFERROR('All Stock'!X$14*VLOOKUP($A34,'IDEES okt 2017 template'!$C$173:$AN$181,'IDEES okt 2017 template'!X$162,FALSE),"")</f>
        <v>0</v>
      </c>
      <c r="AA34" s="509">
        <f ca="1">IFERROR('All Stock'!Y$14*VLOOKUP($A34,'IDEES okt 2017 template'!$C$173:$AN$181,'IDEES okt 2017 template'!Y$162,FALSE),"")</f>
        <v>0</v>
      </c>
      <c r="AB34" s="509">
        <f ca="1">IFERROR('All Stock'!Z$14*VLOOKUP($A34,'IDEES okt 2017 template'!$C$173:$AN$181,'IDEES okt 2017 template'!Z$162,FALSE),"")</f>
        <v>0</v>
      </c>
      <c r="AC34" s="509">
        <f ca="1">IFERROR('All Stock'!AA$14*VLOOKUP($A34,'IDEES okt 2017 template'!$C$173:$AN$181,'IDEES okt 2017 template'!AA$162,FALSE),"")</f>
        <v>0</v>
      </c>
      <c r="AD34" s="509">
        <f ca="1">IFERROR('All Stock'!AB$14*VLOOKUP($A34,'IDEES okt 2017 template'!$C$173:$AN$181,'IDEES okt 2017 template'!AB$162,FALSE),"")</f>
        <v>1.7414371602917949</v>
      </c>
      <c r="AE34" s="509">
        <f ca="1">IFERROR('All Stock'!AC$14*VLOOKUP($A34,'IDEES okt 2017 template'!$C$173:$AN$181,'IDEES okt 2017 template'!AC$162,FALSE),"")</f>
        <v>0</v>
      </c>
      <c r="AF34" s="509">
        <f ca="1">IFERROR('All Stock'!AD$14*VLOOKUP($A34,'IDEES okt 2017 template'!$C$173:$AN$181,'IDEES okt 2017 template'!AD$162,FALSE),"")</f>
        <v>3.6614749264123292</v>
      </c>
      <c r="AG34" s="509">
        <f ca="1">IFERROR('All Stock'!AE$14*VLOOKUP($A34,'IDEES okt 2017 template'!$C$173:$AN$181,'IDEES okt 2017 template'!AE$162,FALSE),"")</f>
        <v>0</v>
      </c>
      <c r="AH34" s="509">
        <f ca="1">IFERROR('All Stock'!AF$14*VLOOKUP($A34,'IDEES okt 2017 template'!$C$173:$AN$181,'IDEES okt 2017 template'!AF$162,FALSE),"")</f>
        <v>1.2230234719663871</v>
      </c>
      <c r="AI34" s="509">
        <f ca="1">IFERROR('All Stock'!AG$14*VLOOKUP($A34,'IDEES okt 2017 template'!$C$173:$AN$181,'IDEES okt 2017 template'!AG$162,FALSE),"")</f>
        <v>0</v>
      </c>
      <c r="AJ34" s="509">
        <f ca="1">IFERROR('All Stock'!AH$14*VLOOKUP($A34,'IDEES okt 2017 template'!$C$173:$AN$181,'IDEES okt 2017 template'!AH$162,FALSE),"")</f>
        <v>0</v>
      </c>
      <c r="AK34" s="509">
        <f ca="1">IFERROR('All Stock'!AI$14*VLOOKUP($A34,'IDEES okt 2017 template'!$C$173:$AN$181,'IDEES okt 2017 template'!AI$162,FALSE),"")</f>
        <v>0</v>
      </c>
      <c r="AL34" s="509">
        <f ca="1">IFERROR('All Stock'!AJ$14*VLOOKUP($A34,'IDEES okt 2017 template'!$C$173:$AN$181,'IDEES okt 2017 template'!AJ$162,FALSE),"")</f>
        <v>0</v>
      </c>
      <c r="AM34" s="509">
        <f ca="1">IFERROR('All Stock'!AK$14*VLOOKUP($A34,'IDEES okt 2017 template'!$C$173:$AN$181,'IDEES okt 2017 template'!AK$162,FALSE),"")</f>
        <v>0</v>
      </c>
      <c r="AN34" s="509">
        <f ca="1">IFERROR('All Stock'!AL$14*VLOOKUP($A34,'IDEES okt 2017 template'!$C$173:$AN$181,'IDEES okt 2017 template'!AL$162,FALSE),"")</f>
        <v>0</v>
      </c>
      <c r="AO34" s="509">
        <f ca="1">IFERROR('All Stock'!AM$14*VLOOKUP($A34,'IDEES okt 2017 template'!$C$173:$AN$181,'IDEES okt 2017 template'!AM$162,FALSE),"")</f>
        <v>0</v>
      </c>
      <c r="AP34" s="509">
        <f ca="1">IFERROR('All Stock'!AN$14*VLOOKUP($A34,'IDEES okt 2017 template'!$C$173:$AN$181,'IDEES okt 2017 template'!AN$162,FALSE),"")</f>
        <v>0</v>
      </c>
      <c r="AQ34" s="509"/>
      <c r="AS34" t="str">
        <f t="shared" si="13"/>
        <v>Geothermal Energy</v>
      </c>
      <c r="AT34" s="509"/>
      <c r="AW34" s="496">
        <f t="shared" ca="1" si="14"/>
        <v>0</v>
      </c>
      <c r="AX34" s="496">
        <f t="shared" ca="1" si="15"/>
        <v>0</v>
      </c>
      <c r="AY34" s="496">
        <f t="shared" ca="1" si="16"/>
        <v>0</v>
      </c>
      <c r="AZ34" s="467"/>
      <c r="BA34" s="467"/>
      <c r="BB34" s="467"/>
      <c r="BC34" s="467"/>
      <c r="BD34" s="467"/>
      <c r="BE34" s="467"/>
      <c r="BF34" s="467"/>
      <c r="BG34" s="467"/>
      <c r="BH34" s="467"/>
      <c r="BI34" s="467"/>
      <c r="BJ34" s="467"/>
      <c r="BK34" s="467"/>
      <c r="BL34" s="467"/>
      <c r="BM34" s="467"/>
      <c r="BN34" s="467"/>
      <c r="BO34" s="467"/>
      <c r="BP34" s="467"/>
      <c r="BQ34" s="467"/>
      <c r="BR34" s="467"/>
      <c r="BS34" s="467"/>
      <c r="BT34" s="467"/>
      <c r="BU34" s="467"/>
      <c r="BV34" s="467"/>
      <c r="BW34" s="467"/>
      <c r="BX34" s="467"/>
      <c r="BY34" s="467"/>
      <c r="BZ34" s="467"/>
      <c r="CA34" s="467"/>
      <c r="CB34" s="467"/>
      <c r="CC34" s="467"/>
      <c r="CD34" s="467"/>
      <c r="CE34" s="467"/>
      <c r="CF34" s="467"/>
      <c r="CG34" s="467"/>
      <c r="CH34" s="467"/>
    </row>
    <row r="35" spans="1:86">
      <c r="A35" t="str">
        <f>A15</f>
        <v>Electricity</v>
      </c>
      <c r="C35" t="str">
        <f>TechComm!L38</f>
        <v>R_ES-SH-SD_ELC-R</v>
      </c>
      <c r="D35" t="str">
        <f>D15</f>
        <v>RSDELC-heating</v>
      </c>
      <c r="E35" t="str">
        <f>TechComm!C24</f>
        <v>R_ES-SD-SpHeat</v>
      </c>
      <c r="F35" s="814">
        <f ca="1">IFERROR('All Stock'!D$15*VLOOKUP($A35,'IDEES okt 2017 template'!$C$173:$AN$181,'IDEES okt 2017 template'!D$162,FALSE),"")</f>
        <v>35.378017003336169</v>
      </c>
      <c r="G35" s="814">
        <f ca="1">IFERROR('All Stock'!E$15*VLOOKUP($A35,'IDEES okt 2017 template'!$C$173:$AN$181,'IDEES okt 2017 template'!E$162,FALSE),"")</f>
        <v>62.111387645147971</v>
      </c>
      <c r="H35" s="814">
        <f ca="1">IFERROR('All Stock'!F$15*VLOOKUP($A35,'IDEES okt 2017 template'!$C$173:$AN$181,'IDEES okt 2017 template'!F$162,FALSE),"")</f>
        <v>23.619168514384583</v>
      </c>
      <c r="I35" s="854">
        <f ca="1">IFERROR('All Stock'!G$15*VLOOKUP($A35,'IDEES okt 2017 template'!$C$173:$AN$181,'IDEES okt 2017 template'!G$162,FALSE),"")-I36-I37</f>
        <v>28.684624222604739</v>
      </c>
      <c r="J35" s="814">
        <f ca="1">IFERROR('All Stock'!H$15*VLOOKUP($A35,'IDEES okt 2017 template'!$C$173:$AN$181,'IDEES okt 2017 template'!H$162,FALSE),"")</f>
        <v>14.009760302801052</v>
      </c>
      <c r="K35" s="814">
        <f ca="1">IFERROR('All Stock'!I$15*VLOOKUP($A35,'IDEES okt 2017 template'!$C$173:$AN$181,'IDEES okt 2017 template'!I$162,FALSE),"")</f>
        <v>30.06176361924879</v>
      </c>
      <c r="L35" s="814">
        <f ca="1">IFERROR('All Stock'!J$15*VLOOKUP($A35,'IDEES okt 2017 template'!$C$173:$AN$181,'IDEES okt 2017 template'!J$162,FALSE),"")</f>
        <v>386.05423203786791</v>
      </c>
      <c r="M35" s="814">
        <f ca="1">IFERROR('All Stock'!K$15*VLOOKUP($A35,'IDEES okt 2017 template'!$C$173:$AN$181,'IDEES okt 2017 template'!K$162,FALSE),"")</f>
        <v>4.3414786784503452</v>
      </c>
      <c r="N35" s="814">
        <f ca="1">IFERROR('All Stock'!L$15*VLOOKUP($A35,'IDEES okt 2017 template'!$C$173:$AN$181,'IDEES okt 2017 template'!L$162,FALSE),"")</f>
        <v>0.87892806644145305</v>
      </c>
      <c r="O35" s="814">
        <f ca="1">IFERROR('All Stock'!M$15*VLOOKUP($A35,'IDEES okt 2017 template'!$C$173:$AN$181,'IDEES okt 2017 template'!M$162,FALSE),"")</f>
        <v>357.41250320885382</v>
      </c>
      <c r="P35" s="814">
        <f ca="1">IFERROR('All Stock'!N$15*VLOOKUP($A35,'IDEES okt 2017 template'!$C$173:$AN$181,'IDEES okt 2017 template'!N$162,FALSE),"")</f>
        <v>64.722554321402129</v>
      </c>
      <c r="Q35" s="814">
        <f ca="1">IFERROR('All Stock'!O$15*VLOOKUP($A35,'IDEES okt 2017 template'!$C$173:$AN$181,'IDEES okt 2017 template'!O$162,FALSE),"")</f>
        <v>538.96070892915964</v>
      </c>
      <c r="R35" s="814">
        <f ca="1">IFERROR('All Stock'!P$15*VLOOKUP($A35,'IDEES okt 2017 template'!$C$173:$AN$181,'IDEES okt 2017 template'!P$162,FALSE),"")</f>
        <v>6.6247660764892871</v>
      </c>
      <c r="S35" s="814">
        <f ca="1">IFERROR('All Stock'!Q$15*VLOOKUP($A35,'IDEES okt 2017 template'!$C$173:$AN$181,'IDEES okt 2017 template'!Q$162,FALSE),"")</f>
        <v>1.1584382734671153</v>
      </c>
      <c r="T35" s="814">
        <f ca="1">IFERROR('All Stock'!R$15*VLOOKUP($A35,'IDEES okt 2017 template'!$C$173:$AN$181,'IDEES okt 2017 template'!R$162,FALSE),"")</f>
        <v>20.554598208013189</v>
      </c>
      <c r="U35" s="814">
        <f ca="1">IFERROR('All Stock'!S$15*VLOOKUP($A35,'IDEES okt 2017 template'!$C$173:$AN$181,'IDEES okt 2017 template'!S$162,FALSE),"")</f>
        <v>39.298049325774471</v>
      </c>
      <c r="V35" s="814">
        <f ca="1">IFERROR('All Stock'!T$15*VLOOKUP($A35,'IDEES okt 2017 template'!$C$173:$AN$181,'IDEES okt 2017 template'!T$162,FALSE),"")</f>
        <v>2.5763215705064697</v>
      </c>
      <c r="W35" s="814">
        <f ca="1">IFERROR('All Stock'!U$15*VLOOKUP($A35,'IDEES okt 2017 template'!$C$173:$AN$181,'IDEES okt 2017 template'!U$162,FALSE),"")</f>
        <v>10.587440283464961</v>
      </c>
      <c r="X35" s="814">
        <f ca="1">IFERROR('All Stock'!V$15*VLOOKUP($A35,'IDEES okt 2017 template'!$C$173:$AN$181,'IDEES okt 2017 template'!V$162,FALSE),"")</f>
        <v>0.3975841256439922</v>
      </c>
      <c r="Y35" s="814">
        <f ca="1">IFERROR('All Stock'!W$15*VLOOKUP($A35,'IDEES okt 2017 template'!$C$173:$AN$181,'IDEES okt 2017 template'!W$162,FALSE),"")</f>
        <v>1.6069543116104414</v>
      </c>
      <c r="Z35" s="814">
        <f ca="1">IFERROR('All Stock'!X$15*VLOOKUP($A35,'IDEES okt 2017 template'!$C$173:$AN$181,'IDEES okt 2017 template'!X$162,FALSE),"")</f>
        <v>0.41085486881066563</v>
      </c>
      <c r="AA35" s="814">
        <f ca="1">IFERROR('All Stock'!Y$15*VLOOKUP($A35,'IDEES okt 2017 template'!$C$173:$AN$181,'IDEES okt 2017 template'!Y$162,FALSE),"")</f>
        <v>19.347862746804878</v>
      </c>
      <c r="AB35" s="814">
        <f ca="1">IFERROR('All Stock'!Z$15*VLOOKUP($A35,'IDEES okt 2017 template'!$C$173:$AN$181,'IDEES okt 2017 template'!Z$162,FALSE),"")</f>
        <v>41.545540535063722</v>
      </c>
      <c r="AC35" s="854">
        <f ca="1">IFERROR('All Stock'!AA$15*VLOOKUP($A35,'IDEES okt 2017 template'!$C$173:$AN$181,'IDEES okt 2017 template'!AA$162,FALSE),"")-AC36-AC37</f>
        <v>111.32298870780237</v>
      </c>
      <c r="AD35" s="814">
        <f ca="1">IFERROR('All Stock'!AB$15*VLOOKUP($A35,'IDEES okt 2017 template'!$C$173:$AN$181,'IDEES okt 2017 template'!AB$162,FALSE),"")</f>
        <v>4.2699544543689782</v>
      </c>
      <c r="AE35" s="814">
        <f ca="1">IFERROR('All Stock'!AC$15*VLOOKUP($A35,'IDEES okt 2017 template'!$C$173:$AN$181,'IDEES okt 2017 template'!AC$162,FALSE),"")</f>
        <v>10.646889290969206</v>
      </c>
      <c r="AF35" s="814">
        <f ca="1">IFERROR('All Stock'!AD$15*VLOOKUP($A35,'IDEES okt 2017 template'!$C$173:$AN$181,'IDEES okt 2017 template'!AD$162,FALSE),"")</f>
        <v>7.8675514009780541</v>
      </c>
      <c r="AG35" s="814">
        <f ca="1">IFERROR('All Stock'!AE$15*VLOOKUP($A35,'IDEES okt 2017 template'!$C$173:$AN$181,'IDEES okt 2017 template'!AE$162,FALSE),"")</f>
        <v>114.9001821856673</v>
      </c>
      <c r="AH35" s="814">
        <f ca="1">IFERROR('All Stock'!AF$15*VLOOKUP($A35,'IDEES okt 2017 template'!$C$173:$AN$181,'IDEES okt 2017 template'!AF$162,FALSE),"")</f>
        <v>2.0014179106486853</v>
      </c>
      <c r="AI35" s="814">
        <f ca="1">IFERROR('All Stock'!AG$15*VLOOKUP($A35,'IDEES okt 2017 template'!$C$173:$AN$181,'IDEES okt 2017 template'!AG$162,FALSE),"")</f>
        <v>4.4494664063407203</v>
      </c>
      <c r="AJ35" s="814">
        <f ca="1">IFERROR('All Stock'!AH$15*VLOOKUP($A35,'IDEES okt 2017 template'!$C$173:$AN$181,'IDEES okt 2017 template'!AH$162,FALSE),"")</f>
        <v>1386.0388278937241</v>
      </c>
      <c r="AK35" s="814">
        <f ca="1">IFERROR('All Stock'!AI$15*VLOOKUP($A35,'IDEES okt 2017 template'!$C$173:$AN$181,'IDEES okt 2017 template'!AI$162,FALSE),"")</f>
        <v>2.4568053735972071</v>
      </c>
      <c r="AL35" s="814">
        <f ca="1">IFERROR('All Stock'!AJ$15*VLOOKUP($A35,'IDEES okt 2017 template'!$C$173:$AN$181,'IDEES okt 2017 template'!AJ$162,FALSE),"")</f>
        <v>1.4984113117942763</v>
      </c>
      <c r="AM35" s="814">
        <f ca="1">IFERROR('All Stock'!AK$15*VLOOKUP($A35,'IDEES okt 2017 template'!$C$173:$AN$181,'IDEES okt 2017 template'!AK$162,FALSE),"")</f>
        <v>0.49820866723121371</v>
      </c>
      <c r="AN35" s="814">
        <f ca="1">IFERROR('All Stock'!AL$15*VLOOKUP($A35,'IDEES okt 2017 template'!$C$173:$AN$181,'IDEES okt 2017 template'!AL$162,FALSE),"")</f>
        <v>1.5403124656539908</v>
      </c>
      <c r="AO35" s="814">
        <f ca="1">IFERROR('All Stock'!AM$15*VLOOKUP($A35,'IDEES okt 2017 template'!$C$173:$AN$181,'IDEES okt 2017 template'!AM$162,FALSE),"")</f>
        <v>3.4044267761749447</v>
      </c>
      <c r="AP35" s="814">
        <f ca="1">IFERROR('All Stock'!AN$15*VLOOKUP($A35,'IDEES okt 2017 template'!$C$173:$AN$181,'IDEES okt 2017 template'!AN$162,FALSE),"")</f>
        <v>0.7648820369193573</v>
      </c>
      <c r="AQ35" s="509"/>
      <c r="AS35" t="str">
        <f>A167</f>
        <v>Electricity</v>
      </c>
      <c r="AT35" s="509"/>
      <c r="AW35" s="496">
        <f ca="1">P35*P123*P167*P212</f>
        <v>2.0918562535093925</v>
      </c>
      <c r="AX35" s="496">
        <f ca="1">AW35/P123</f>
        <v>2.5593754781478242</v>
      </c>
      <c r="AY35" s="496">
        <f ca="1">AX35/P79</f>
        <v>2.5593754781478242</v>
      </c>
      <c r="AZ35" s="467"/>
      <c r="BA35" s="467"/>
      <c r="BB35" s="467"/>
      <c r="BC35" s="467"/>
      <c r="BD35" s="467"/>
      <c r="BE35" s="467"/>
      <c r="BF35" s="467"/>
      <c r="BG35" s="467"/>
      <c r="BH35" s="467"/>
      <c r="BI35" s="467"/>
      <c r="BJ35" s="467"/>
      <c r="BK35" s="467"/>
      <c r="BL35" s="467"/>
      <c r="BM35" s="467"/>
      <c r="BN35" s="467"/>
      <c r="BO35" s="467"/>
      <c r="BP35" s="467"/>
      <c r="BQ35" s="467"/>
      <c r="BR35" s="467"/>
      <c r="BS35" s="467"/>
      <c r="BT35" s="467"/>
      <c r="BU35" s="467"/>
      <c r="BV35" s="467"/>
      <c r="BW35" s="467"/>
      <c r="BX35" s="467"/>
      <c r="BY35" s="467"/>
      <c r="BZ35" s="467"/>
      <c r="CA35" s="467"/>
      <c r="CB35" s="467"/>
      <c r="CC35" s="467"/>
      <c r="CD35" s="467"/>
      <c r="CE35" s="467"/>
      <c r="CF35" s="467"/>
      <c r="CG35" s="467"/>
      <c r="CH35" s="467"/>
    </row>
    <row r="36" spans="1:86">
      <c r="A36" s="819" t="s">
        <v>937</v>
      </c>
      <c r="C36" t="str">
        <f>TechComm!L39</f>
        <v>R_ES-SH-SD_ELC-HPA</v>
      </c>
      <c r="D36" t="str">
        <f>D35</f>
        <v>RSDELC-heating</v>
      </c>
      <c r="E36" t="str">
        <f>E35</f>
        <v>R_ES-SD-SpHeat</v>
      </c>
      <c r="F36" s="814">
        <f ca="1">'HP-Stock'!S19/F$1</f>
        <v>3.3546310412573681</v>
      </c>
      <c r="G36" s="814">
        <f ca="1">'HP-Stock'!T19/G$1</f>
        <v>1.3264748234726105</v>
      </c>
      <c r="H36" s="814">
        <f ca="1">'HP-Stock'!U19/H$1</f>
        <v>0</v>
      </c>
      <c r="I36" s="814">
        <f ca="1">'HP-Stock'!V19/I$1</f>
        <v>16.380095762376239</v>
      </c>
      <c r="J36" s="814">
        <f ca="1">'HP-Stock'!W19/J$1</f>
        <v>0</v>
      </c>
      <c r="K36" s="814">
        <f ca="1">'HP-Stock'!X19/K$1</f>
        <v>1.5400578270938801</v>
      </c>
      <c r="L36" s="814">
        <f ca="1">'HP-Stock'!Y19/L$1</f>
        <v>31.127060898796874</v>
      </c>
      <c r="M36" s="814">
        <f ca="1">'HP-Stock'!Z19/M$1</f>
        <v>9.4921776411786656</v>
      </c>
      <c r="N36" s="814">
        <f ca="1">'HP-Stock'!AA19/N$1</f>
        <v>2.8493839825799205</v>
      </c>
      <c r="O36" s="814">
        <f ca="1">'HP-Stock'!AB19/O$1</f>
        <v>13.728566241420822</v>
      </c>
      <c r="P36" s="814">
        <f ca="1">'HP-Stock'!AC19/P$1</f>
        <v>72.897453052712734</v>
      </c>
      <c r="Q36" s="814">
        <f ca="1">'HP-Stock'!AD19/Q$1</f>
        <v>154.94417735823043</v>
      </c>
      <c r="R36" s="814">
        <f ca="1">'HP-Stock'!AE19/R$1</f>
        <v>0</v>
      </c>
      <c r="S36" s="814">
        <f ca="1">'HP-Stock'!AF19/S$1</f>
        <v>0</v>
      </c>
      <c r="T36" s="814">
        <f ca="1">'HP-Stock'!AG19/T$1</f>
        <v>7.1712500746205152E-2</v>
      </c>
      <c r="U36" s="814">
        <f ca="1">'HP-Stock'!AH19/U$1</f>
        <v>0.4940406640703256</v>
      </c>
      <c r="V36" s="814">
        <f ca="1">'HP-Stock'!AI19/V$1</f>
        <v>0</v>
      </c>
      <c r="W36" s="814">
        <f ca="1">'HP-Stock'!AJ19/W$1</f>
        <v>117.41939038239347</v>
      </c>
      <c r="X36" s="814">
        <f ca="1">'HP-Stock'!AK19/X$1</f>
        <v>3.5602010285425249E-2</v>
      </c>
      <c r="Y36" s="814">
        <f ca="1">'HP-Stock'!AL19/Y$1</f>
        <v>0</v>
      </c>
      <c r="Z36" s="814">
        <f ca="1">'HP-Stock'!AM19/Z$1</f>
        <v>0</v>
      </c>
      <c r="AA36" s="814">
        <f ca="1">'HP-Stock'!AN19/AA$1</f>
        <v>0</v>
      </c>
      <c r="AB36" s="814">
        <f ca="1">'HP-Stock'!AO19/AB$1</f>
        <v>5.3987564370663943</v>
      </c>
      <c r="AC36" s="814">
        <f ca="1">'HP-Stock'!AP19/AC$1</f>
        <v>96.601380353483819</v>
      </c>
      <c r="AD36" s="814">
        <f ca="1">'HP-Stock'!AQ19/AD$1</f>
        <v>0.13241818486987195</v>
      </c>
      <c r="AE36" s="814">
        <f ca="1">'HP-Stock'!AR19/AE$1</f>
        <v>13.089837154365222</v>
      </c>
      <c r="AF36" s="814">
        <f ca="1">'HP-Stock'!AS19/AF$1</f>
        <v>0</v>
      </c>
      <c r="AG36" s="814">
        <f ca="1">'HP-Stock'!AT19/AG$1</f>
        <v>67.667110954329715</v>
      </c>
      <c r="AH36" s="814">
        <f ca="1">'HP-Stock'!AU19/AH$1</f>
        <v>0</v>
      </c>
      <c r="AI36" s="814">
        <f ca="1">'HP-Stock'!AV19/AI$1</f>
        <v>7.9788303771010538E-2</v>
      </c>
      <c r="AJ36" s="814">
        <f ca="1">'HP-Stock'!AW19/AJ$1</f>
        <v>15.928057779024511</v>
      </c>
      <c r="AK36" s="814">
        <f ca="1">'HP-Stock'!AX19/AK$1</f>
        <v>0</v>
      </c>
      <c r="AL36" s="814">
        <f ca="1">'HP-Stock'!AY19/AL$1</f>
        <v>0</v>
      </c>
      <c r="AM36" s="814">
        <f ca="1">'HP-Stock'!AZ19/AM$1</f>
        <v>0</v>
      </c>
      <c r="AN36" s="814">
        <f ca="1">'HP-Stock'!BA19/AN$1</f>
        <v>0</v>
      </c>
      <c r="AO36" s="814">
        <f ca="1">'HP-Stock'!BB19/AO$1</f>
        <v>0</v>
      </c>
      <c r="AP36" s="814">
        <f ca="1">'HP-Stock'!BC19/AP$1</f>
        <v>0</v>
      </c>
      <c r="AQ36" s="509"/>
      <c r="AT36" s="509"/>
      <c r="AW36" s="496"/>
      <c r="AX36" s="496"/>
      <c r="AY36" s="496"/>
      <c r="AZ36" s="467"/>
      <c r="BA36" s="467"/>
      <c r="BB36" s="467"/>
      <c r="BC36" s="467"/>
      <c r="BD36" s="467"/>
      <c r="BE36" s="467"/>
      <c r="BF36" s="467"/>
      <c r="BG36" s="467"/>
      <c r="BH36" s="467"/>
      <c r="BI36" s="467"/>
      <c r="BJ36" s="467"/>
      <c r="BK36" s="467"/>
      <c r="BL36" s="467"/>
      <c r="BM36" s="467"/>
      <c r="BN36" s="467"/>
      <c r="BO36" s="467"/>
      <c r="BP36" s="467"/>
      <c r="BQ36" s="467"/>
      <c r="BR36" s="467"/>
      <c r="BS36" s="467"/>
      <c r="BT36" s="467"/>
      <c r="BU36" s="467"/>
      <c r="BV36" s="467"/>
      <c r="BW36" s="467"/>
      <c r="BX36" s="467"/>
      <c r="BY36" s="467"/>
      <c r="BZ36" s="467"/>
      <c r="CA36" s="467"/>
      <c r="CB36" s="467"/>
      <c r="CC36" s="467"/>
      <c r="CD36" s="467"/>
      <c r="CE36" s="467"/>
      <c r="CF36" s="467"/>
      <c r="CG36" s="467"/>
      <c r="CH36" s="467"/>
    </row>
    <row r="37" spans="1:86">
      <c r="A37" s="819" t="s">
        <v>938</v>
      </c>
      <c r="C37" t="str">
        <f>TechComm!L40</f>
        <v>R_ES-SH-SD_ELC-HPG</v>
      </c>
      <c r="D37" t="str">
        <f>D35</f>
        <v>RSDELC-heating</v>
      </c>
      <c r="E37" t="str">
        <f>E35</f>
        <v>R_ES-SD-SpHeat</v>
      </c>
      <c r="F37" s="814">
        <f ca="1">'HP-Stock'!S20/F$1</f>
        <v>11.023314734774068</v>
      </c>
      <c r="G37" s="814">
        <f ca="1">'HP-Stock'!T20/G$1</f>
        <v>0.90028892152326534</v>
      </c>
      <c r="H37" s="814">
        <f ca="1">'HP-Stock'!U20/H$1</f>
        <v>0</v>
      </c>
      <c r="I37" s="814">
        <f ca="1">'HP-Stock'!V20/I$1</f>
        <v>12.573405386138615</v>
      </c>
      <c r="J37" s="814">
        <f ca="1">'HP-Stock'!W20/J$1</f>
        <v>0</v>
      </c>
      <c r="K37" s="814">
        <f ca="1">'HP-Stock'!X20/K$1</f>
        <v>1.3853235102416872</v>
      </c>
      <c r="L37" s="814">
        <f ca="1">'HP-Stock'!Y20/L$1</f>
        <v>51.069751719890775</v>
      </c>
      <c r="M37" s="814">
        <f ca="1">'HP-Stock'!Z20/M$1</f>
        <v>2.7681169917408215</v>
      </c>
      <c r="N37" s="814">
        <f ca="1">'HP-Stock'!AA20/N$1</f>
        <v>0.29694333635424114</v>
      </c>
      <c r="O37" s="814">
        <f ca="1">'HP-Stock'!AB20/O$1</f>
        <v>0</v>
      </c>
      <c r="P37" s="814">
        <f ca="1">'HP-Stock'!AC20/P$1</f>
        <v>8.3694289520086045</v>
      </c>
      <c r="Q37" s="814">
        <f ca="1">'HP-Stock'!AD20/Q$1</f>
        <v>22.497294687036689</v>
      </c>
      <c r="R37" s="814">
        <f ca="1">'HP-Stock'!AE20/R$1</f>
        <v>0</v>
      </c>
      <c r="S37" s="814">
        <f ca="1">'HP-Stock'!AF20/S$1</f>
        <v>0</v>
      </c>
      <c r="T37" s="814">
        <f ca="1">'HP-Stock'!AG20/T$1</f>
        <v>8.631660661086682E-2</v>
      </c>
      <c r="U37" s="814">
        <f ca="1">'HP-Stock'!AH20/U$1</f>
        <v>0.68163755053500152</v>
      </c>
      <c r="V37" s="814">
        <f ca="1">'HP-Stock'!AI20/V$1</f>
        <v>0</v>
      </c>
      <c r="W37" s="814">
        <f ca="1">'HP-Stock'!AJ20/W$1</f>
        <v>5.8509686302333018E-2</v>
      </c>
      <c r="X37" s="814">
        <f ca="1">'HP-Stock'!AK20/X$1</f>
        <v>9.0655450031430537E-2</v>
      </c>
      <c r="Y37" s="814">
        <f ca="1">'HP-Stock'!AL20/Y$1</f>
        <v>0</v>
      </c>
      <c r="Z37" s="814">
        <f ca="1">'HP-Stock'!AM20/Z$1</f>
        <v>0</v>
      </c>
      <c r="AA37" s="814">
        <f ca="1">'HP-Stock'!AN20/AA$1</f>
        <v>0</v>
      </c>
      <c r="AB37" s="814">
        <f ca="1">'HP-Stock'!AO20/AB$1</f>
        <v>10.944913094952812</v>
      </c>
      <c r="AC37" s="814">
        <f ca="1">'HP-Stock'!AP20/AC$1</f>
        <v>4.6446102173486192</v>
      </c>
      <c r="AD37" s="814">
        <f ca="1">'HP-Stock'!AQ20/AD$1</f>
        <v>0.45463576805322703</v>
      </c>
      <c r="AE37" s="814">
        <f ca="1">'HP-Stock'!AR20/AE$1</f>
        <v>0</v>
      </c>
      <c r="AF37" s="814">
        <f ca="1">'HP-Stock'!AS20/AF$1</f>
        <v>0</v>
      </c>
      <c r="AG37" s="814">
        <f ca="1">'HP-Stock'!AT20/AG$1</f>
        <v>50.527174972179104</v>
      </c>
      <c r="AH37" s="814">
        <f ca="1">'HP-Stock'!AU20/AH$1</f>
        <v>0</v>
      </c>
      <c r="AI37" s="814">
        <f ca="1">'HP-Stock'!AV20/AI$1</f>
        <v>5.6307906683846533E-2</v>
      </c>
      <c r="AJ37" s="814">
        <f ca="1">'HP-Stock'!AW20/AJ$1</f>
        <v>10.195975983720977</v>
      </c>
      <c r="AK37" s="814">
        <f ca="1">'HP-Stock'!AX20/AK$1</f>
        <v>0</v>
      </c>
      <c r="AL37" s="814">
        <f ca="1">'HP-Stock'!AY20/AL$1</f>
        <v>0</v>
      </c>
      <c r="AM37" s="814">
        <f ca="1">'HP-Stock'!AZ20/AM$1</f>
        <v>0</v>
      </c>
      <c r="AN37" s="814">
        <f ca="1">'HP-Stock'!BA20/AN$1</f>
        <v>0</v>
      </c>
      <c r="AO37" s="814">
        <f ca="1">'HP-Stock'!BB20/AO$1</f>
        <v>0</v>
      </c>
      <c r="AP37" s="814">
        <f ca="1">'HP-Stock'!BC20/AP$1</f>
        <v>0</v>
      </c>
      <c r="AQ37" s="509"/>
      <c r="AT37" s="509"/>
      <c r="AW37" s="496"/>
      <c r="AX37" s="496"/>
      <c r="AY37" s="496"/>
      <c r="AZ37" s="467"/>
      <c r="BA37" s="467"/>
      <c r="BB37" s="467"/>
      <c r="BC37" s="467"/>
      <c r="BD37" s="467"/>
      <c r="BE37" s="467"/>
      <c r="BF37" s="467"/>
      <c r="BG37" s="467"/>
      <c r="BH37" s="467"/>
      <c r="BI37" s="467"/>
      <c r="BJ37" s="467"/>
      <c r="BK37" s="467"/>
      <c r="BL37" s="467"/>
      <c r="BM37" s="467"/>
      <c r="BN37" s="467"/>
      <c r="BO37" s="467"/>
      <c r="BP37" s="467"/>
      <c r="BQ37" s="467"/>
      <c r="BR37" s="467"/>
      <c r="BS37" s="467"/>
      <c r="BT37" s="467"/>
      <c r="BU37" s="467"/>
      <c r="BV37" s="467"/>
      <c r="BW37" s="467"/>
      <c r="BX37" s="467"/>
      <c r="BY37" s="467"/>
      <c r="BZ37" s="467"/>
      <c r="CA37" s="467"/>
      <c r="CB37" s="467"/>
      <c r="CC37" s="467"/>
      <c r="CD37" s="467"/>
      <c r="CE37" s="467"/>
      <c r="CF37" s="467"/>
      <c r="CG37" s="467"/>
      <c r="CH37" s="467"/>
    </row>
    <row r="38" spans="1:86">
      <c r="A38" t="str">
        <f t="shared" ref="A38:A44" si="17">A18</f>
        <v>Gases</v>
      </c>
      <c r="C38" t="str">
        <f>TechComm!L41</f>
        <v>R_ES-SH-SD_GAS</v>
      </c>
      <c r="D38" t="str">
        <f t="shared" ref="D38:D44" si="18">D18</f>
        <v>RSDGAS</v>
      </c>
      <c r="E38" t="str">
        <f>E35</f>
        <v>R_ES-SD-SpHeat</v>
      </c>
      <c r="F38" s="509">
        <f ca="1">IFERROR('All Stock'!D$15*VLOOKUP($A38,'IDEES okt 2017 template'!$C$173:$AN$181,'IDEES okt 2017 template'!D$162,FALSE),"")</f>
        <v>104.71555380953875</v>
      </c>
      <c r="G38" s="509">
        <f ca="1">IFERROR('All Stock'!E$15*VLOOKUP($A38,'IDEES okt 2017 template'!$C$173:$AN$181,'IDEES okt 2017 template'!E$162,FALSE),"")</f>
        <v>762.02654118918895</v>
      </c>
      <c r="H38" s="509">
        <f ca="1">IFERROR('All Stock'!F$15*VLOOKUP($A38,'IDEES okt 2017 template'!$C$173:$AN$181,'IDEES okt 2017 template'!F$162,FALSE),"")</f>
        <v>9.0619359462666456</v>
      </c>
      <c r="I38" s="509">
        <f ca="1">IFERROR('All Stock'!G$15*VLOOKUP($A38,'IDEES okt 2017 template'!$C$173:$AN$181,'IDEES okt 2017 template'!G$162,FALSE),"")</f>
        <v>212.3237227519501</v>
      </c>
      <c r="J38" s="509">
        <f ca="1">IFERROR('All Stock'!H$15*VLOOKUP($A38,'IDEES okt 2017 template'!$C$173:$AN$181,'IDEES okt 2017 template'!H$162,FALSE),"")</f>
        <v>0</v>
      </c>
      <c r="K38" s="509">
        <f ca="1">IFERROR('All Stock'!I$15*VLOOKUP($A38,'IDEES okt 2017 template'!$C$173:$AN$181,'IDEES okt 2017 template'!I$162,FALSE),"")</f>
        <v>203.47095010612284</v>
      </c>
      <c r="L38" s="509">
        <f ca="1">IFERROR('All Stock'!J$15*VLOOKUP($A38,'IDEES okt 2017 template'!$C$173:$AN$181,'IDEES okt 2017 template'!J$162,FALSE),"")</f>
        <v>3611.1287709517369</v>
      </c>
      <c r="M38" s="509">
        <f ca="1">IFERROR('All Stock'!K$15*VLOOKUP($A38,'IDEES okt 2017 template'!$C$173:$AN$181,'IDEES okt 2017 template'!K$162,FALSE),"")</f>
        <v>83.828055108761561</v>
      </c>
      <c r="N38" s="509">
        <f ca="1">IFERROR('All Stock'!L$15*VLOOKUP($A38,'IDEES okt 2017 template'!$C$173:$AN$181,'IDEES okt 2017 template'!L$162,FALSE),"")</f>
        <v>2.7587656537843839</v>
      </c>
      <c r="O38" s="509">
        <f ca="1">IFERROR('All Stock'!M$15*VLOOKUP($A38,'IDEES okt 2017 template'!$C$173:$AN$181,'IDEES okt 2017 template'!M$162,FALSE),"")</f>
        <v>757.75277505287022</v>
      </c>
      <c r="P38" s="509">
        <f ca="1">IFERROR('All Stock'!N$15*VLOOKUP($A38,'IDEES okt 2017 template'!$C$173:$AN$181,'IDEES okt 2017 template'!N$162,FALSE),"")</f>
        <v>4.9184418726710435</v>
      </c>
      <c r="Q38" s="509">
        <f ca="1">IFERROR('All Stock'!O$15*VLOOKUP($A38,'IDEES okt 2017 template'!$C$173:$AN$181,'IDEES okt 2017 template'!O$162,FALSE),"")</f>
        <v>2151.4905200139442</v>
      </c>
      <c r="R38" s="509">
        <f ca="1">IFERROR('All Stock'!P$15*VLOOKUP($A38,'IDEES okt 2017 template'!$C$173:$AN$181,'IDEES okt 2017 template'!P$162,FALSE),"")</f>
        <v>30.160667270371466</v>
      </c>
      <c r="S38" s="509">
        <f ca="1">IFERROR('All Stock'!Q$15*VLOOKUP($A38,'IDEES okt 2017 template'!$C$173:$AN$181,'IDEES okt 2017 template'!Q$162,FALSE),"")</f>
        <v>61.558261717540219</v>
      </c>
      <c r="T38" s="509">
        <f ca="1">IFERROR('All Stock'!R$15*VLOOKUP($A38,'IDEES okt 2017 template'!$C$173:$AN$181,'IDEES okt 2017 template'!R$162,FALSE),"")</f>
        <v>311.22961697412183</v>
      </c>
      <c r="U38" s="509">
        <f ca="1">IFERROR('All Stock'!S$15*VLOOKUP($A38,'IDEES okt 2017 template'!$C$173:$AN$181,'IDEES okt 2017 template'!S$162,FALSE),"")</f>
        <v>182.67584881239884</v>
      </c>
      <c r="V38" s="509">
        <f ca="1">IFERROR('All Stock'!T$15*VLOOKUP($A38,'IDEES okt 2017 template'!$C$173:$AN$181,'IDEES okt 2017 template'!T$162,FALSE),"")</f>
        <v>0</v>
      </c>
      <c r="W38" s="509">
        <f ca="1">IFERROR('All Stock'!U$15*VLOOKUP($A38,'IDEES okt 2017 template'!$C$173:$AN$181,'IDEES okt 2017 template'!U$162,FALSE),"")</f>
        <v>2384.5235489650076</v>
      </c>
      <c r="X38" s="509">
        <f ca="1">IFERROR('All Stock'!V$15*VLOOKUP($A38,'IDEES okt 2017 template'!$C$173:$AN$181,'IDEES okt 2017 template'!V$162,FALSE),"")</f>
        <v>13.563492882339647</v>
      </c>
      <c r="Y38" s="509">
        <f ca="1">IFERROR('All Stock'!W$15*VLOOKUP($A38,'IDEES okt 2017 template'!$C$173:$AN$181,'IDEES okt 2017 template'!W$162,FALSE),"")</f>
        <v>35.247426036056915</v>
      </c>
      <c r="Z38" s="509">
        <f ca="1">IFERROR('All Stock'!X$15*VLOOKUP($A38,'IDEES okt 2017 template'!$C$173:$AN$181,'IDEES okt 2017 template'!X$162,FALSE),"")</f>
        <v>6.6473838108384529</v>
      </c>
      <c r="AA38" s="509">
        <f ca="1">IFERROR('All Stock'!Y$15*VLOOKUP($A38,'IDEES okt 2017 template'!$C$173:$AN$181,'IDEES okt 2017 template'!Y$162,FALSE),"")</f>
        <v>0</v>
      </c>
      <c r="AB38" s="509">
        <f ca="1">IFERROR('All Stock'!Z$15*VLOOKUP($A38,'IDEES okt 2017 template'!$C$173:$AN$181,'IDEES okt 2017 template'!Z$162,FALSE),"")</f>
        <v>3040.8527904704929</v>
      </c>
      <c r="AC38" s="509">
        <f ca="1">IFERROR('All Stock'!AA$15*VLOOKUP($A38,'IDEES okt 2017 template'!$C$173:$AN$181,'IDEES okt 2017 template'!AA$162,FALSE),"")</f>
        <v>0.65361685571406658</v>
      </c>
      <c r="AD38" s="509">
        <f ca="1">IFERROR('All Stock'!AB$15*VLOOKUP($A38,'IDEES okt 2017 template'!$C$173:$AN$181,'IDEES okt 2017 template'!AB$162,FALSE),"")</f>
        <v>229.31737158383538</v>
      </c>
      <c r="AE38" s="509">
        <f ca="1">IFERROR('All Stock'!AC$15*VLOOKUP($A38,'IDEES okt 2017 template'!$C$173:$AN$181,'IDEES okt 2017 template'!AC$162,FALSE),"")</f>
        <v>45.30931282017805</v>
      </c>
      <c r="AF38" s="509">
        <f ca="1">IFERROR('All Stock'!AD$15*VLOOKUP($A38,'IDEES okt 2017 template'!$C$173:$AN$181,'IDEES okt 2017 template'!AD$162,FALSE),"")</f>
        <v>195.62070365692463</v>
      </c>
      <c r="AG38" s="509">
        <f ca="1">IFERROR('All Stock'!AE$15*VLOOKUP($A38,'IDEES okt 2017 template'!$C$173:$AN$181,'IDEES okt 2017 template'!AE$162,FALSE),"")</f>
        <v>9.5836013847838881</v>
      </c>
      <c r="AH38" s="509">
        <f ca="1">IFERROR('All Stock'!AF$15*VLOOKUP($A38,'IDEES okt 2017 template'!$C$173:$AN$181,'IDEES okt 2017 template'!AF$162,FALSE),"")</f>
        <v>7.0012715476810881</v>
      </c>
      <c r="AI38" s="509">
        <f ca="1">IFERROR('All Stock'!AG$15*VLOOKUP($A38,'IDEES okt 2017 template'!$C$173:$AN$181,'IDEES okt 2017 template'!AG$162,FALSE),"")</f>
        <v>78.129319161629184</v>
      </c>
      <c r="AJ38" s="509">
        <f ca="1">IFERROR('All Stock'!AH$15*VLOOKUP($A38,'IDEES okt 2017 template'!$C$173:$AN$181,'IDEES okt 2017 template'!AH$162,FALSE),"")</f>
        <v>10244.244880822238</v>
      </c>
      <c r="AK38" s="509">
        <f ca="1">IFERROR('All Stock'!AI$15*VLOOKUP($A38,'IDEES okt 2017 template'!$C$173:$AN$181,'IDEES okt 2017 template'!AI$162,FALSE),"")</f>
        <v>0</v>
      </c>
      <c r="AL38" s="509">
        <f ca="1">IFERROR('All Stock'!AJ$15*VLOOKUP($A38,'IDEES okt 2017 template'!$C$173:$AN$181,'IDEES okt 2017 template'!AJ$162,FALSE),"")</f>
        <v>7.401832605103575</v>
      </c>
      <c r="AM38" s="509">
        <f ca="1">IFERROR('All Stock'!AK$15*VLOOKUP($A38,'IDEES okt 2017 template'!$C$173:$AN$181,'IDEES okt 2017 template'!AK$162,FALSE),"")</f>
        <v>0</v>
      </c>
      <c r="AN38" s="509">
        <f ca="1">IFERROR('All Stock'!AL$15*VLOOKUP($A38,'IDEES okt 2017 template'!$C$173:$AN$181,'IDEES okt 2017 template'!AL$162,FALSE),"")</f>
        <v>0</v>
      </c>
      <c r="AO38" s="509">
        <f ca="1">IFERROR('All Stock'!AM$15*VLOOKUP($A38,'IDEES okt 2017 template'!$C$173:$AN$181,'IDEES okt 2017 template'!AM$162,FALSE),"")</f>
        <v>26.046964018421896</v>
      </c>
      <c r="AP38" s="509">
        <f ca="1">IFERROR('All Stock'!AN$15*VLOOKUP($A38,'IDEES okt 2017 template'!$C$173:$AN$181,'IDEES okt 2017 template'!AN$162,FALSE),"")</f>
        <v>0</v>
      </c>
      <c r="AQ38" s="509"/>
      <c r="AS38" t="str">
        <f t="shared" ref="AS38:AS44" si="19">A170</f>
        <v>Gases</v>
      </c>
      <c r="AT38" s="509"/>
      <c r="AW38" s="496">
        <f t="shared" ref="AW38:AW44" ca="1" si="20">P38*P126*P170*P215</f>
        <v>0.35532222132621816</v>
      </c>
      <c r="AX38" s="496">
        <f t="shared" ref="AX38:AX44" ca="1" si="21">AW38/P126</f>
        <v>0.4564666619900189</v>
      </c>
      <c r="AY38" s="496">
        <f t="shared" ref="AY38:AY44" ca="1" si="22">AX38/P82</f>
        <v>0.50718517998890988</v>
      </c>
      <c r="AZ38" s="467"/>
      <c r="BA38" s="467"/>
      <c r="BB38" s="467"/>
      <c r="BC38" s="467"/>
      <c r="BD38" s="467"/>
      <c r="BE38" s="467"/>
      <c r="BF38" s="467"/>
      <c r="BG38" s="467"/>
      <c r="BH38" s="467"/>
      <c r="BI38" s="467"/>
      <c r="BJ38" s="467"/>
      <c r="BK38" s="467"/>
      <c r="BL38" s="467"/>
      <c r="BM38" s="467"/>
      <c r="BN38" s="467"/>
      <c r="BO38" s="467"/>
      <c r="BP38" s="467"/>
      <c r="BQ38" s="467"/>
      <c r="BR38" s="467"/>
      <c r="BS38" s="467"/>
      <c r="BT38" s="467"/>
      <c r="BU38" s="467"/>
      <c r="BV38" s="467"/>
      <c r="BW38" s="467"/>
      <c r="BX38" s="467"/>
      <c r="BY38" s="467"/>
      <c r="BZ38" s="467"/>
      <c r="CA38" s="467"/>
      <c r="CB38" s="467"/>
      <c r="CC38" s="467"/>
      <c r="CD38" s="467"/>
      <c r="CE38" s="467"/>
      <c r="CF38" s="467"/>
      <c r="CG38" s="467"/>
      <c r="CH38" s="467"/>
    </row>
    <row r="39" spans="1:86">
      <c r="A39" t="str">
        <f t="shared" si="17"/>
        <v>Derived heat</v>
      </c>
      <c r="C39" t="str">
        <f>TechComm!L42</f>
        <v>R_ES-SH-SD_HET</v>
      </c>
      <c r="D39" t="str">
        <f t="shared" si="18"/>
        <v>RSDHET</v>
      </c>
      <c r="E39" t="str">
        <f t="shared" ref="E39:E44" si="23">E38</f>
        <v>R_ES-SD-SpHeat</v>
      </c>
      <c r="F39" s="509">
        <f ca="1">IFERROR('All Stock'!D$15*VLOOKUP($A39,'IDEES okt 2017 template'!$C$173:$AN$181,'IDEES okt 2017 template'!D$162,FALSE),"")</f>
        <v>72.125215564900742</v>
      </c>
      <c r="G39" s="509">
        <f ca="1">IFERROR('All Stock'!E$15*VLOOKUP($A39,'IDEES okt 2017 template'!$C$173:$AN$181,'IDEES okt 2017 template'!E$162,FALSE),"")</f>
        <v>3.7981940852800116</v>
      </c>
      <c r="H39" s="509">
        <f ca="1">IFERROR('All Stock'!F$15*VLOOKUP($A39,'IDEES okt 2017 template'!$C$173:$AN$181,'IDEES okt 2017 template'!F$162,FALSE),"")</f>
        <v>105.40079352491188</v>
      </c>
      <c r="I39" s="509">
        <f ca="1">IFERROR('All Stock'!G$15*VLOOKUP($A39,'IDEES okt 2017 template'!$C$173:$AN$181,'IDEES okt 2017 template'!G$162,FALSE),"")</f>
        <v>38.56001039806511</v>
      </c>
      <c r="J39" s="509">
        <f ca="1">IFERROR('All Stock'!H$15*VLOOKUP($A39,'IDEES okt 2017 template'!$C$173:$AN$181,'IDEES okt 2017 template'!H$162,FALSE),"")</f>
        <v>0</v>
      </c>
      <c r="K39" s="509">
        <f ca="1">IFERROR('All Stock'!I$15*VLOOKUP($A39,'IDEES okt 2017 template'!$C$173:$AN$181,'IDEES okt 2017 template'!I$162,FALSE),"")</f>
        <v>159.03353342362655</v>
      </c>
      <c r="L39" s="509">
        <f ca="1">IFERROR('All Stock'!J$15*VLOOKUP($A39,'IDEES okt 2017 template'!$C$173:$AN$181,'IDEES okt 2017 template'!J$162,FALSE),"")</f>
        <v>932.1450441386022</v>
      </c>
      <c r="M39" s="509">
        <f ca="1">IFERROR('All Stock'!K$15*VLOOKUP($A39,'IDEES okt 2017 template'!$C$173:$AN$181,'IDEES okt 2017 template'!K$162,FALSE),"")</f>
        <v>283.70908231852832</v>
      </c>
      <c r="N39" s="509">
        <f ca="1">IFERROR('All Stock'!L$15*VLOOKUP($A39,'IDEES okt 2017 template'!$C$173:$AN$181,'IDEES okt 2017 template'!L$162,FALSE),"")</f>
        <v>25.166800187736516</v>
      </c>
      <c r="O39" s="509">
        <f ca="1">IFERROR('All Stock'!M$15*VLOOKUP($A39,'IDEES okt 2017 template'!$C$173:$AN$181,'IDEES okt 2017 template'!M$162,FALSE),"")</f>
        <v>0</v>
      </c>
      <c r="P39" s="509">
        <f ca="1">IFERROR('All Stock'!N$15*VLOOKUP($A39,'IDEES okt 2017 template'!$C$173:$AN$181,'IDEES okt 2017 template'!N$162,FALSE),"")</f>
        <v>245.98197411179299</v>
      </c>
      <c r="Q39" s="509">
        <f ca="1">IFERROR('All Stock'!O$15*VLOOKUP($A39,'IDEES okt 2017 template'!$C$173:$AN$181,'IDEES okt 2017 template'!O$162,FALSE),"")</f>
        <v>403.1452711435237</v>
      </c>
      <c r="R39" s="509">
        <f ca="1">IFERROR('All Stock'!P$15*VLOOKUP($A39,'IDEES okt 2017 template'!$C$173:$AN$181,'IDEES okt 2017 template'!P$162,FALSE),"")</f>
        <v>7.946355246626795</v>
      </c>
      <c r="S39" s="509">
        <f ca="1">IFERROR('All Stock'!Q$15*VLOOKUP($A39,'IDEES okt 2017 template'!$C$173:$AN$181,'IDEES okt 2017 template'!Q$162,FALSE),"")</f>
        <v>23.250459655082359</v>
      </c>
      <c r="T39" s="509">
        <f ca="1">IFERROR('All Stock'!R$15*VLOOKUP($A39,'IDEES okt 2017 template'!$C$173:$AN$181,'IDEES okt 2017 template'!R$162,FALSE),"")</f>
        <v>76.634098144204643</v>
      </c>
      <c r="U39" s="509">
        <f ca="1">IFERROR('All Stock'!S$15*VLOOKUP($A39,'IDEES okt 2017 template'!$C$173:$AN$181,'IDEES okt 2017 template'!S$162,FALSE),"")</f>
        <v>0</v>
      </c>
      <c r="V39" s="509">
        <f ca="1">IFERROR('All Stock'!T$15*VLOOKUP($A39,'IDEES okt 2017 template'!$C$173:$AN$181,'IDEES okt 2017 template'!T$162,FALSE),"")</f>
        <v>17.421834393539857</v>
      </c>
      <c r="W39" s="509">
        <f ca="1">IFERROR('All Stock'!U$15*VLOOKUP($A39,'IDEES okt 2017 template'!$C$173:$AN$181,'IDEES okt 2017 template'!U$162,FALSE),"")</f>
        <v>22.43786673466375</v>
      </c>
      <c r="X39" s="509">
        <f ca="1">IFERROR('All Stock'!V$15*VLOOKUP($A39,'IDEES okt 2017 template'!$C$173:$AN$181,'IDEES okt 2017 template'!V$162,FALSE),"")</f>
        <v>66.322496062089471</v>
      </c>
      <c r="Y39" s="509">
        <f ca="1">IFERROR('All Stock'!W$15*VLOOKUP($A39,'IDEES okt 2017 template'!$C$173:$AN$181,'IDEES okt 2017 template'!W$162,FALSE),"")</f>
        <v>0</v>
      </c>
      <c r="Z39" s="509">
        <f ca="1">IFERROR('All Stock'!X$15*VLOOKUP($A39,'IDEES okt 2017 template'!$C$173:$AN$181,'IDEES okt 2017 template'!X$162,FALSE),"")</f>
        <v>32.190072819260109</v>
      </c>
      <c r="AA39" s="509">
        <f ca="1">IFERROR('All Stock'!Y$15*VLOOKUP($A39,'IDEES okt 2017 template'!$C$173:$AN$181,'IDEES okt 2017 template'!Y$162,FALSE),"")</f>
        <v>0</v>
      </c>
      <c r="AB39" s="509">
        <f ca="1">IFERROR('All Stock'!Z$15*VLOOKUP($A39,'IDEES okt 2017 template'!$C$173:$AN$181,'IDEES okt 2017 template'!Z$162,FALSE),"")</f>
        <v>125.64779775076623</v>
      </c>
      <c r="AC39" s="509">
        <f ca="1">IFERROR('All Stock'!AA$15*VLOOKUP($A39,'IDEES okt 2017 template'!$C$173:$AN$181,'IDEES okt 2017 template'!AA$162,FALSE),"")</f>
        <v>19.281811913737691</v>
      </c>
      <c r="AD39" s="509">
        <f ca="1">IFERROR('All Stock'!AB$15*VLOOKUP($A39,'IDEES okt 2017 template'!$C$173:$AN$181,'IDEES okt 2017 template'!AB$162,FALSE),"")</f>
        <v>426.66304771622623</v>
      </c>
      <c r="AE39" s="509">
        <f ca="1">IFERROR('All Stock'!AC$15*VLOOKUP($A39,'IDEES okt 2017 template'!$C$173:$AN$181,'IDEES okt 2017 template'!AC$162,FALSE),"")</f>
        <v>0.48051120343492837</v>
      </c>
      <c r="AF39" s="509">
        <f ca="1">IFERROR('All Stock'!AD$15*VLOOKUP($A39,'IDEES okt 2017 template'!$C$173:$AN$181,'IDEES okt 2017 template'!AD$162,FALSE),"")</f>
        <v>144.82073397312467</v>
      </c>
      <c r="AG39" s="509">
        <f ca="1">IFERROR('All Stock'!AE$15*VLOOKUP($A39,'IDEES okt 2017 template'!$C$173:$AN$181,'IDEES okt 2017 template'!AE$162,FALSE),"")</f>
        <v>284.87850108312654</v>
      </c>
      <c r="AH39" s="509">
        <f ca="1">IFERROR('All Stock'!AF$15*VLOOKUP($A39,'IDEES okt 2017 template'!$C$173:$AN$181,'IDEES okt 2017 template'!AF$162,FALSE),"")</f>
        <v>8.3242580018143908</v>
      </c>
      <c r="AI39" s="509">
        <f ca="1">IFERROR('All Stock'!AG$15*VLOOKUP($A39,'IDEES okt 2017 template'!$C$173:$AN$181,'IDEES okt 2017 template'!AG$162,FALSE),"")</f>
        <v>40.104682679980279</v>
      </c>
      <c r="AJ39" s="509">
        <f ca="1">IFERROR('All Stock'!AH$15*VLOOKUP($A39,'IDEES okt 2017 template'!$C$173:$AN$181,'IDEES okt 2017 template'!AH$162,FALSE),"")</f>
        <v>24.396044928852831</v>
      </c>
      <c r="AK39" s="509">
        <f ca="1">IFERROR('All Stock'!AI$15*VLOOKUP($A39,'IDEES okt 2017 template'!$C$173:$AN$181,'IDEES okt 2017 template'!AI$162,FALSE),"")</f>
        <v>0</v>
      </c>
      <c r="AL39" s="509">
        <f ca="1">IFERROR('All Stock'!AJ$15*VLOOKUP($A39,'IDEES okt 2017 template'!$C$173:$AN$181,'IDEES okt 2017 template'!AJ$162,FALSE),"")</f>
        <v>21.470964606796645</v>
      </c>
      <c r="AM39" s="509">
        <f ca="1">IFERROR('All Stock'!AK$15*VLOOKUP($A39,'IDEES okt 2017 template'!$C$173:$AN$181,'IDEES okt 2017 template'!AK$162,FALSE),"")</f>
        <v>0</v>
      </c>
      <c r="AN39" s="509">
        <f ca="1">IFERROR('All Stock'!AL$15*VLOOKUP($A39,'IDEES okt 2017 template'!$C$173:$AN$181,'IDEES okt 2017 template'!AL$162,FALSE),"")</f>
        <v>10.689533974936795</v>
      </c>
      <c r="AO39" s="509">
        <f ca="1">IFERROR('All Stock'!AM$15*VLOOKUP($A39,'IDEES okt 2017 template'!$C$173:$AN$181,'IDEES okt 2017 template'!AM$162,FALSE),"")</f>
        <v>59.959609962757526</v>
      </c>
      <c r="AP39" s="509">
        <f ca="1">IFERROR('All Stock'!AN$15*VLOOKUP($A39,'IDEES okt 2017 template'!$C$173:$AN$181,'IDEES okt 2017 template'!AN$162,FALSE),"")</f>
        <v>0.80521178320305664</v>
      </c>
      <c r="AQ39" s="509"/>
      <c r="AS39" t="str">
        <f t="shared" si="19"/>
        <v>Derived heat</v>
      </c>
      <c r="AT39" s="509"/>
      <c r="AW39" s="496">
        <f t="shared" ca="1" si="20"/>
        <v>17.670572542891641</v>
      </c>
      <c r="AX39" s="496">
        <f t="shared" ca="1" si="21"/>
        <v>19.277447543776841</v>
      </c>
      <c r="AY39" s="496">
        <f t="shared" ca="1" si="22"/>
        <v>20.292050046080885</v>
      </c>
      <c r="AZ39" s="467"/>
      <c r="BA39" s="467"/>
      <c r="BB39" s="467"/>
      <c r="BC39" s="467"/>
      <c r="BD39" s="467"/>
      <c r="BE39" s="467"/>
      <c r="BF39" s="467"/>
      <c r="BG39" s="467"/>
      <c r="BH39" s="467"/>
      <c r="BI39" s="467"/>
      <c r="BJ39" s="467"/>
      <c r="BK39" s="467"/>
      <c r="BL39" s="467"/>
      <c r="BM39" s="467"/>
      <c r="BN39" s="467"/>
      <c r="BO39" s="467"/>
      <c r="BP39" s="467"/>
      <c r="BQ39" s="467"/>
      <c r="BR39" s="467"/>
      <c r="BS39" s="467"/>
      <c r="BT39" s="467"/>
      <c r="BU39" s="467"/>
      <c r="BV39" s="467"/>
      <c r="BW39" s="467"/>
      <c r="BX39" s="467"/>
      <c r="BY39" s="467"/>
      <c r="BZ39" s="467"/>
      <c r="CA39" s="467"/>
      <c r="CB39" s="467"/>
      <c r="CC39" s="467"/>
      <c r="CD39" s="467"/>
      <c r="CE39" s="467"/>
      <c r="CF39" s="467"/>
      <c r="CG39" s="467"/>
      <c r="CH39" s="467"/>
    </row>
    <row r="40" spans="1:86">
      <c r="A40" t="str">
        <f t="shared" si="17"/>
        <v>GDO and other liquids (incl. liq. bio.)</v>
      </c>
      <c r="C40" t="str">
        <f>TechComm!L43</f>
        <v>R_ES-SH-SD_OIL</v>
      </c>
      <c r="D40" t="str">
        <f t="shared" si="18"/>
        <v>RSDOIL</v>
      </c>
      <c r="E40" t="str">
        <f t="shared" si="23"/>
        <v>R_ES-SD-SpHeat</v>
      </c>
      <c r="F40" s="509">
        <f ca="1">IFERROR('All Stock'!D$15*VLOOKUP($A40,'IDEES okt 2017 template'!$C$173:$AN$181,'IDEES okt 2017 template'!D$162,FALSE),"")</f>
        <v>115.38028560624376</v>
      </c>
      <c r="G40" s="509">
        <f ca="1">IFERROR('All Stock'!E$15*VLOOKUP($A40,'IDEES okt 2017 template'!$C$173:$AN$181,'IDEES okt 2017 template'!E$162,FALSE),"")</f>
        <v>636.28113000299027</v>
      </c>
      <c r="H40" s="509">
        <f ca="1">IFERROR('All Stock'!F$15*VLOOKUP($A40,'IDEES okt 2017 template'!$C$173:$AN$181,'IDEES okt 2017 template'!F$162,FALSE),"")</f>
        <v>0.46203863468145806</v>
      </c>
      <c r="I40" s="509">
        <f ca="1">IFERROR('All Stock'!G$15*VLOOKUP($A40,'IDEES okt 2017 template'!$C$173:$AN$181,'IDEES okt 2017 template'!G$162,FALSE),"")</f>
        <v>496.30047119250366</v>
      </c>
      <c r="J40" s="509">
        <f ca="1">IFERROR('All Stock'!H$15*VLOOKUP($A40,'IDEES okt 2017 template'!$C$173:$AN$181,'IDEES okt 2017 template'!H$162,FALSE),"")</f>
        <v>76.967079473495147</v>
      </c>
      <c r="K40" s="509">
        <f ca="1">IFERROR('All Stock'!I$15*VLOOKUP($A40,'IDEES okt 2017 template'!$C$173:$AN$181,'IDEES okt 2017 template'!I$162,FALSE),"")</f>
        <v>0</v>
      </c>
      <c r="L40" s="509">
        <f ca="1">IFERROR('All Stock'!J$15*VLOOKUP($A40,'IDEES okt 2017 template'!$C$173:$AN$181,'IDEES okt 2017 template'!J$162,FALSE),"")</f>
        <v>2099.6518035309514</v>
      </c>
      <c r="M40" s="509">
        <f ca="1">IFERROR('All Stock'!K$15*VLOOKUP($A40,'IDEES okt 2017 template'!$C$173:$AN$181,'IDEES okt 2017 template'!K$162,FALSE),"")</f>
        <v>52.723525816977769</v>
      </c>
      <c r="N40" s="509">
        <f ca="1">IFERROR('All Stock'!L$15*VLOOKUP($A40,'IDEES okt 2017 template'!$C$173:$AN$181,'IDEES okt 2017 template'!L$162,FALSE),"")</f>
        <v>0.27150177287610944</v>
      </c>
      <c r="O40" s="509">
        <f ca="1">IFERROR('All Stock'!M$15*VLOOKUP($A40,'IDEES okt 2017 template'!$C$173:$AN$181,'IDEES okt 2017 template'!M$162,FALSE),"")</f>
        <v>417.57316764559539</v>
      </c>
      <c r="P40" s="509">
        <f ca="1">IFERROR('All Stock'!N$15*VLOOKUP($A40,'IDEES okt 2017 template'!$C$173:$AN$181,'IDEES okt 2017 template'!N$162,FALSE),"")</f>
        <v>71.099461607420423</v>
      </c>
      <c r="Q40" s="509">
        <f ca="1">IFERROR('All Stock'!O$15*VLOOKUP($A40,'IDEES okt 2017 template'!$C$173:$AN$181,'IDEES okt 2017 template'!O$162,FALSE),"")</f>
        <v>1159.3530935137212</v>
      </c>
      <c r="R40" s="509">
        <f ca="1">IFERROR('All Stock'!P$15*VLOOKUP($A40,'IDEES okt 2017 template'!$C$173:$AN$181,'IDEES okt 2017 template'!P$162,FALSE),"")</f>
        <v>294.98661228563418</v>
      </c>
      <c r="S40" s="509">
        <f ca="1">IFERROR('All Stock'!Q$15*VLOOKUP($A40,'IDEES okt 2017 template'!$C$173:$AN$181,'IDEES okt 2017 template'!Q$162,FALSE),"")</f>
        <v>17.610028117472908</v>
      </c>
      <c r="T40" s="509">
        <f ca="1">IFERROR('All Stock'!R$15*VLOOKUP($A40,'IDEES okt 2017 template'!$C$173:$AN$181,'IDEES okt 2017 template'!R$162,FALSE),"")</f>
        <v>0</v>
      </c>
      <c r="U40" s="509">
        <f ca="1">IFERROR('All Stock'!S$15*VLOOKUP($A40,'IDEES okt 2017 template'!$C$173:$AN$181,'IDEES okt 2017 template'!S$162,FALSE),"")</f>
        <v>337.3710900970774</v>
      </c>
      <c r="V40" s="509">
        <f ca="1">IFERROR('All Stock'!T$15*VLOOKUP($A40,'IDEES okt 2017 template'!$C$173:$AN$181,'IDEES okt 2017 template'!T$162,FALSE),"")</f>
        <v>0.16884707248753461</v>
      </c>
      <c r="W40" s="509">
        <f ca="1">IFERROR('All Stock'!U$15*VLOOKUP($A40,'IDEES okt 2017 template'!$C$173:$AN$181,'IDEES okt 2017 template'!U$162,FALSE),"")</f>
        <v>269.4863383206262</v>
      </c>
      <c r="X40" s="509">
        <f ca="1">IFERROR('All Stock'!V$15*VLOOKUP($A40,'IDEES okt 2017 template'!$C$173:$AN$181,'IDEES okt 2017 template'!V$162,FALSE),"")</f>
        <v>0.66817749985525698</v>
      </c>
      <c r="Y40" s="509">
        <f ca="1">IFERROR('All Stock'!W$15*VLOOKUP($A40,'IDEES okt 2017 template'!$C$173:$AN$181,'IDEES okt 2017 template'!W$162,FALSE),"")</f>
        <v>28.548728024793615</v>
      </c>
      <c r="Z40" s="509">
        <f ca="1">IFERROR('All Stock'!X$15*VLOOKUP($A40,'IDEES okt 2017 template'!$C$173:$AN$181,'IDEES okt 2017 template'!X$162,FALSE),"")</f>
        <v>1.860176414355053</v>
      </c>
      <c r="AA40" s="509">
        <f ca="1">IFERROR('All Stock'!Y$15*VLOOKUP($A40,'IDEES okt 2017 template'!$C$173:$AN$181,'IDEES okt 2017 template'!Y$162,FALSE),"")</f>
        <v>0</v>
      </c>
      <c r="AB40" s="509">
        <f ca="1">IFERROR('All Stock'!Z$15*VLOOKUP($A40,'IDEES okt 2017 template'!$C$173:$AN$181,'IDEES okt 2017 template'!Z$162,FALSE),"")</f>
        <v>4.6183830398345869</v>
      </c>
      <c r="AC40" s="509">
        <f ca="1">IFERROR('All Stock'!AA$15*VLOOKUP($A40,'IDEES okt 2017 template'!$C$173:$AN$181,'IDEES okt 2017 template'!AA$162,FALSE),"")</f>
        <v>29.009119418192927</v>
      </c>
      <c r="AD40" s="509">
        <f ca="1">IFERROR('All Stock'!AB$15*VLOOKUP($A40,'IDEES okt 2017 template'!$C$173:$AN$181,'IDEES okt 2017 template'!AB$162,FALSE),"")</f>
        <v>7.8918482903996852</v>
      </c>
      <c r="AE40" s="509">
        <f ca="1">IFERROR('All Stock'!AC$15*VLOOKUP($A40,'IDEES okt 2017 template'!$C$173:$AN$181,'IDEES okt 2017 template'!AC$162,FALSE),"")</f>
        <v>27.940972496936713</v>
      </c>
      <c r="AF40" s="509">
        <f ca="1">IFERROR('All Stock'!AD$15*VLOOKUP($A40,'IDEES okt 2017 template'!$C$173:$AN$181,'IDEES okt 2017 template'!AD$162,FALSE),"")</f>
        <v>3.2525622612651701</v>
      </c>
      <c r="AG40" s="509">
        <f ca="1">IFERROR('All Stock'!AE$15*VLOOKUP($A40,'IDEES okt 2017 template'!$C$173:$AN$181,'IDEES okt 2017 template'!AE$162,FALSE),"")</f>
        <v>4.557047551929001</v>
      </c>
      <c r="AH40" s="509">
        <f ca="1">IFERROR('All Stock'!AF$15*VLOOKUP($A40,'IDEES okt 2017 template'!$C$173:$AN$181,'IDEES okt 2017 template'!AF$162,FALSE),"")</f>
        <v>16.182448111485105</v>
      </c>
      <c r="AI40" s="509">
        <f ca="1">IFERROR('All Stock'!AG$15*VLOOKUP($A40,'IDEES okt 2017 template'!$C$173:$AN$181,'IDEES okt 2017 template'!AG$162,FALSE),"")</f>
        <v>0</v>
      </c>
      <c r="AJ40" s="509">
        <f ca="1">IFERROR('All Stock'!AH$15*VLOOKUP($A40,'IDEES okt 2017 template'!$C$173:$AN$181,'IDEES okt 2017 template'!AH$162,FALSE),"")</f>
        <v>955.69343115346862</v>
      </c>
      <c r="AK40" s="509">
        <f ca="1">IFERROR('All Stock'!AI$15*VLOOKUP($A40,'IDEES okt 2017 template'!$C$173:$AN$181,'IDEES okt 2017 template'!AI$162,FALSE),"")</f>
        <v>1.1824205352719077</v>
      </c>
      <c r="AL40" s="509">
        <f ca="1">IFERROR('All Stock'!AJ$15*VLOOKUP($A40,'IDEES okt 2017 template'!$C$173:$AN$181,'IDEES okt 2017 template'!AJ$162,FALSE),"")</f>
        <v>0</v>
      </c>
      <c r="AM40" s="509">
        <f ca="1">IFERROR('All Stock'!AK$15*VLOOKUP($A40,'IDEES okt 2017 template'!$C$173:$AN$181,'IDEES okt 2017 template'!AK$162,FALSE),"")</f>
        <v>0</v>
      </c>
      <c r="AN40" s="509">
        <f ca="1">IFERROR('All Stock'!AL$15*VLOOKUP($A40,'IDEES okt 2017 template'!$C$173:$AN$181,'IDEES okt 2017 template'!AL$162,FALSE),"")</f>
        <v>8.4263692409397049</v>
      </c>
      <c r="AO40" s="509">
        <f ca="1">IFERROR('All Stock'!AM$15*VLOOKUP($A40,'IDEES okt 2017 template'!$C$173:$AN$181,'IDEES okt 2017 template'!AM$162,FALSE),"")</f>
        <v>0.13097694562098275</v>
      </c>
      <c r="AP40" s="509">
        <f ca="1">IFERROR('All Stock'!AN$15*VLOOKUP($A40,'IDEES okt 2017 template'!$C$173:$AN$181,'IDEES okt 2017 template'!AN$162,FALSE),"")</f>
        <v>2.6418108756289929</v>
      </c>
      <c r="AQ40" s="509"/>
      <c r="AS40" t="str">
        <f t="shared" si="19"/>
        <v>GDO and other liquids (incl. liq. bio.)</v>
      </c>
      <c r="AT40" s="509"/>
      <c r="AW40" s="496">
        <f t="shared" ca="1" si="20"/>
        <v>5.0541073148596718</v>
      </c>
      <c r="AX40" s="496">
        <f t="shared" ca="1" si="21"/>
        <v>6.2563629103465033</v>
      </c>
      <c r="AY40" s="496">
        <f t="shared" ca="1" si="22"/>
        <v>7.8204536379331291</v>
      </c>
      <c r="AZ40" s="467"/>
      <c r="BA40" s="467"/>
      <c r="BB40" s="467"/>
      <c r="BC40" s="467"/>
      <c r="BD40" s="467"/>
      <c r="BE40" s="467"/>
      <c r="BF40" s="467"/>
      <c r="BG40" s="467"/>
      <c r="BH40" s="467"/>
      <c r="BI40" s="467"/>
      <c r="BJ40" s="467"/>
      <c r="BK40" s="467"/>
      <c r="BL40" s="467"/>
      <c r="BM40" s="467"/>
      <c r="BN40" s="467"/>
      <c r="BO40" s="467"/>
      <c r="BP40" s="467"/>
      <c r="BQ40" s="467"/>
      <c r="BR40" s="467"/>
      <c r="BS40" s="467"/>
      <c r="BT40" s="467"/>
      <c r="BU40" s="467"/>
      <c r="BV40" s="467"/>
      <c r="BW40" s="467"/>
      <c r="BX40" s="467"/>
      <c r="BY40" s="467"/>
      <c r="BZ40" s="467"/>
      <c r="CA40" s="467"/>
      <c r="CB40" s="467"/>
      <c r="CC40" s="467"/>
      <c r="CD40" s="467"/>
      <c r="CE40" s="467"/>
      <c r="CF40" s="467"/>
      <c r="CG40" s="467"/>
      <c r="CH40" s="467"/>
    </row>
    <row r="41" spans="1:86">
      <c r="A41" t="str">
        <f t="shared" si="17"/>
        <v>Biomass and wastes</v>
      </c>
      <c r="C41" t="str">
        <f>TechComm!L44</f>
        <v>R_ES-SH-SD_BIO</v>
      </c>
      <c r="D41" t="str">
        <f t="shared" si="18"/>
        <v>RSDBIO</v>
      </c>
      <c r="E41" t="str">
        <f t="shared" si="23"/>
        <v>R_ES-SD-SpHeat</v>
      </c>
      <c r="F41" s="509">
        <f ca="1">IFERROR('All Stock'!D$15*VLOOKUP($A41,'IDEES okt 2017 template'!$C$173:$AN$181,'IDEES okt 2017 template'!D$162,FALSE),"")</f>
        <v>122.97207647471424</v>
      </c>
      <c r="G41" s="509">
        <f ca="1">IFERROR('All Stock'!E$15*VLOOKUP($A41,'IDEES okt 2017 template'!$C$173:$AN$181,'IDEES okt 2017 template'!E$162,FALSE),"")</f>
        <v>89.904026398789739</v>
      </c>
      <c r="H41" s="509">
        <f ca="1">IFERROR('All Stock'!F$15*VLOOKUP($A41,'IDEES okt 2017 template'!$C$173:$AN$181,'IDEES okt 2017 template'!F$162,FALSE),"")</f>
        <v>152.63323051436188</v>
      </c>
      <c r="I41" s="509">
        <f ca="1">IFERROR('All Stock'!G$15*VLOOKUP($A41,'IDEES okt 2017 template'!$C$173:$AN$181,'IDEES okt 2017 template'!G$162,FALSE),"")</f>
        <v>83.01113986794968</v>
      </c>
      <c r="J41" s="509">
        <f ca="1">IFERROR('All Stock'!H$15*VLOOKUP($A41,'IDEES okt 2017 template'!$C$173:$AN$181,'IDEES okt 2017 template'!H$162,FALSE),"")</f>
        <v>4.5725957328817275</v>
      </c>
      <c r="K41" s="509">
        <f ca="1">IFERROR('All Stock'!I$15*VLOOKUP($A41,'IDEES okt 2017 template'!$C$173:$AN$181,'IDEES okt 2017 template'!I$162,FALSE),"")</f>
        <v>130.86956311497457</v>
      </c>
      <c r="L41" s="509">
        <f ca="1">IFERROR('All Stock'!J$15*VLOOKUP($A41,'IDEES okt 2017 template'!$C$173:$AN$181,'IDEES okt 2017 template'!J$162,FALSE),"")</f>
        <v>808.36028214018006</v>
      </c>
      <c r="M41" s="509">
        <f ca="1">IFERROR('All Stock'!K$15*VLOOKUP($A41,'IDEES okt 2017 template'!$C$173:$AN$181,'IDEES okt 2017 template'!K$162,FALSE),"")</f>
        <v>93.591271395637648</v>
      </c>
      <c r="N41" s="509">
        <f ca="1">IFERROR('All Stock'!L$15*VLOOKUP($A41,'IDEES okt 2017 template'!$C$173:$AN$181,'IDEES okt 2017 template'!L$162,FALSE),"")</f>
        <v>19.048872026350949</v>
      </c>
      <c r="O41" s="509">
        <f ca="1">IFERROR('All Stock'!M$15*VLOOKUP($A41,'IDEES okt 2017 template'!$C$173:$AN$181,'IDEES okt 2017 template'!M$162,FALSE),"")</f>
        <v>474.14182331205666</v>
      </c>
      <c r="P41" s="509">
        <f ca="1">IFERROR('All Stock'!N$15*VLOOKUP($A41,'IDEES okt 2017 template'!$C$173:$AN$181,'IDEES okt 2017 template'!N$162,FALSE),"")</f>
        <v>129.8744540961018</v>
      </c>
      <c r="Q41" s="509">
        <f ca="1">IFERROR('All Stock'!O$15*VLOOKUP($A41,'IDEES okt 2017 template'!$C$173:$AN$181,'IDEES okt 2017 template'!O$162,FALSE),"")</f>
        <v>1080.6017969077166</v>
      </c>
      <c r="R41" s="509">
        <f ca="1">IFERROR('All Stock'!P$15*VLOOKUP($A41,'IDEES okt 2017 template'!$C$173:$AN$181,'IDEES okt 2017 template'!P$162,FALSE),"")</f>
        <v>72.331075883584177</v>
      </c>
      <c r="S41" s="509">
        <f ca="1">IFERROR('All Stock'!Q$15*VLOOKUP($A41,'IDEES okt 2017 template'!$C$173:$AN$181,'IDEES okt 2017 template'!Q$162,FALSE),"")</f>
        <v>121.22033514552473</v>
      </c>
      <c r="T41" s="509">
        <f ca="1">IFERROR('All Stock'!R$15*VLOOKUP($A41,'IDEES okt 2017 template'!$C$173:$AN$181,'IDEES okt 2017 template'!R$162,FALSE),"")</f>
        <v>138.48458343313288</v>
      </c>
      <c r="U41" s="509">
        <f ca="1">IFERROR('All Stock'!S$15*VLOOKUP($A41,'IDEES okt 2017 template'!$C$173:$AN$181,'IDEES okt 2017 template'!S$162,FALSE),"")</f>
        <v>6.3763841303836228</v>
      </c>
      <c r="V41" s="509">
        <f ca="1">IFERROR('All Stock'!T$15*VLOOKUP($A41,'IDEES okt 2017 template'!$C$173:$AN$181,'IDEES okt 2017 template'!T$162,FALSE),"")</f>
        <v>0</v>
      </c>
      <c r="W41" s="509">
        <f ca="1">IFERROR('All Stock'!U$15*VLOOKUP($A41,'IDEES okt 2017 template'!$C$173:$AN$181,'IDEES okt 2017 template'!U$162,FALSE),"")</f>
        <v>869.27106109080239</v>
      </c>
      <c r="X41" s="509">
        <f ca="1">IFERROR('All Stock'!V$15*VLOOKUP($A41,'IDEES okt 2017 template'!$C$173:$AN$181,'IDEES okt 2017 template'!V$162,FALSE),"")</f>
        <v>44.941216352777772</v>
      </c>
      <c r="Y41" s="509">
        <f ca="1">IFERROR('All Stock'!W$15*VLOOKUP($A41,'IDEES okt 2017 template'!$C$173:$AN$181,'IDEES okt 2017 template'!W$162,FALSE),"")</f>
        <v>2.2132112614491084</v>
      </c>
      <c r="Z41" s="509">
        <f ca="1">IFERROR('All Stock'!X$15*VLOOKUP($A41,'IDEES okt 2017 template'!$C$173:$AN$181,'IDEES okt 2017 template'!X$162,FALSE),"")</f>
        <v>31.553397407571413</v>
      </c>
      <c r="AA41" s="509">
        <f ca="1">IFERROR('All Stock'!Y$15*VLOOKUP($A41,'IDEES okt 2017 template'!$C$173:$AN$181,'IDEES okt 2017 template'!Y$162,FALSE),"")</f>
        <v>3.9889950150218101</v>
      </c>
      <c r="AB41" s="509">
        <f ca="1">IFERROR('All Stock'!Z$15*VLOOKUP($A41,'IDEES okt 2017 template'!$C$173:$AN$181,'IDEES okt 2017 template'!Z$162,FALSE),"")</f>
        <v>127.78235213771171</v>
      </c>
      <c r="AC41" s="509">
        <f ca="1">IFERROR('All Stock'!AA$15*VLOOKUP($A41,'IDEES okt 2017 template'!$C$173:$AN$181,'IDEES okt 2017 template'!AA$162,FALSE),"")</f>
        <v>102.61705042795329</v>
      </c>
      <c r="AD41" s="509">
        <f ca="1">IFERROR('All Stock'!AB$15*VLOOKUP($A41,'IDEES okt 2017 template'!$C$173:$AN$181,'IDEES okt 2017 template'!AB$162,FALSE),"")</f>
        <v>148.93854549873066</v>
      </c>
      <c r="AE41" s="509">
        <f ca="1">IFERROR('All Stock'!AC$15*VLOOKUP($A41,'IDEES okt 2017 template'!$C$173:$AN$181,'IDEES okt 2017 template'!AC$162,FALSE),"")</f>
        <v>214.77815595528807</v>
      </c>
      <c r="AF41" s="509">
        <f ca="1">IFERROR('All Stock'!AD$15*VLOOKUP($A41,'IDEES okt 2017 template'!$C$173:$AN$181,'IDEES okt 2017 template'!AD$162,FALSE),"")</f>
        <v>248.93305626293494</v>
      </c>
      <c r="AG41" s="509">
        <f ca="1">IFERROR('All Stock'!AE$15*VLOOKUP($A41,'IDEES okt 2017 template'!$C$173:$AN$181,'IDEES okt 2017 template'!AE$162,FALSE),"")</f>
        <v>33.374251673401588</v>
      </c>
      <c r="AH41" s="509">
        <f ca="1">IFERROR('All Stock'!AF$15*VLOOKUP($A41,'IDEES okt 2017 template'!$C$173:$AN$181,'IDEES okt 2017 template'!AF$162,FALSE),"")</f>
        <v>29.814400792080445</v>
      </c>
      <c r="AI41" s="509">
        <f ca="1">IFERROR('All Stock'!AG$15*VLOOKUP($A41,'IDEES okt 2017 template'!$C$173:$AN$181,'IDEES okt 2017 template'!AG$162,FALSE),"")</f>
        <v>2.3082051956148342</v>
      </c>
      <c r="AJ41" s="509">
        <f ca="1">IFERROR('All Stock'!AH$15*VLOOKUP($A41,'IDEES okt 2017 template'!$C$173:$AN$181,'IDEES okt 2017 template'!AH$162,FALSE),"")</f>
        <v>321.9201334543846</v>
      </c>
      <c r="AK41" s="509">
        <f ca="1">IFERROR('All Stock'!AI$15*VLOOKUP($A41,'IDEES okt 2017 template'!$C$173:$AN$181,'IDEES okt 2017 template'!AI$162,FALSE),"")</f>
        <v>44.628272676340082</v>
      </c>
      <c r="AL41" s="509">
        <f ca="1">IFERROR('All Stock'!AJ$15*VLOOKUP($A41,'IDEES okt 2017 template'!$C$173:$AN$181,'IDEES okt 2017 template'!AJ$162,FALSE),"")</f>
        <v>29.991248881333455</v>
      </c>
      <c r="AM41" s="509">
        <f ca="1">IFERROR('All Stock'!AK$15*VLOOKUP($A41,'IDEES okt 2017 template'!$C$173:$AN$181,'IDEES okt 2017 template'!AK$162,FALSE),"")</f>
        <v>23.688896648025988</v>
      </c>
      <c r="AN41" s="509">
        <f ca="1">IFERROR('All Stock'!AL$15*VLOOKUP($A41,'IDEES okt 2017 template'!$C$173:$AN$181,'IDEES okt 2017 template'!AL$162,FALSE),"")</f>
        <v>42.63189305173983</v>
      </c>
      <c r="AO41" s="509">
        <f ca="1">IFERROR('All Stock'!AM$15*VLOOKUP($A41,'IDEES okt 2017 template'!$C$173:$AN$181,'IDEES okt 2017 template'!AM$162,FALSE),"")</f>
        <v>116.11537102525672</v>
      </c>
      <c r="AP41" s="509">
        <f ca="1">IFERROR('All Stock'!AN$15*VLOOKUP($A41,'IDEES okt 2017 template'!$C$173:$AN$181,'IDEES okt 2017 template'!AN$162,FALSE),"")</f>
        <v>38.405159800880078</v>
      </c>
      <c r="AQ41" s="509"/>
      <c r="AS41" t="str">
        <f t="shared" si="19"/>
        <v>Biomass and wastes</v>
      </c>
      <c r="AT41" s="509"/>
      <c r="AW41" s="496">
        <f t="shared" ca="1" si="20"/>
        <v>10.07902063348652</v>
      </c>
      <c r="AX41" s="496">
        <f t="shared" ca="1" si="21"/>
        <v>12.096423206461111</v>
      </c>
      <c r="AY41" s="496">
        <f t="shared" ca="1" si="22"/>
        <v>17.280604580658732</v>
      </c>
      <c r="AZ41" s="467"/>
      <c r="BA41" s="467"/>
      <c r="BB41" s="467"/>
      <c r="BC41" s="467"/>
      <c r="BD41" s="467"/>
      <c r="BE41" s="467"/>
      <c r="BF41" s="467"/>
      <c r="BG41" s="467"/>
      <c r="BH41" s="467"/>
      <c r="BI41" s="467"/>
      <c r="BJ41" s="467"/>
      <c r="BK41" s="467"/>
      <c r="BL41" s="467"/>
      <c r="BM41" s="467"/>
      <c r="BN41" s="467"/>
      <c r="BO41" s="467"/>
      <c r="BP41" s="467"/>
      <c r="BQ41" s="467"/>
      <c r="BR41" s="467"/>
      <c r="BS41" s="467"/>
      <c r="BT41" s="467"/>
      <c r="BU41" s="467"/>
      <c r="BV41" s="467"/>
      <c r="BW41" s="467"/>
      <c r="BX41" s="467"/>
      <c r="BY41" s="467"/>
      <c r="BZ41" s="467"/>
      <c r="CA41" s="467"/>
      <c r="CB41" s="467"/>
      <c r="CC41" s="467"/>
      <c r="CD41" s="467"/>
      <c r="CE41" s="467"/>
      <c r="CF41" s="467"/>
      <c r="CG41" s="467"/>
      <c r="CH41" s="467"/>
    </row>
    <row r="42" spans="1:86">
      <c r="A42" t="str">
        <f t="shared" si="17"/>
        <v>Solids</v>
      </c>
      <c r="C42" t="str">
        <f>TechComm!L45</f>
        <v>R_ES-SH-SD_COA</v>
      </c>
      <c r="D42" t="str">
        <f t="shared" si="18"/>
        <v>RSDCOA</v>
      </c>
      <c r="E42" t="str">
        <f t="shared" si="23"/>
        <v>R_ES-SD-SpHeat</v>
      </c>
      <c r="F42" s="509">
        <f ca="1">IFERROR('All Stock'!D$15*VLOOKUP($A42,'IDEES okt 2017 template'!$C$173:$AN$181,'IDEES okt 2017 template'!D$162,FALSE),"")</f>
        <v>4.472608519848543</v>
      </c>
      <c r="G42" s="509">
        <f ca="1">IFERROR('All Stock'!E$15*VLOOKUP($A42,'IDEES okt 2017 template'!$C$173:$AN$181,'IDEES okt 2017 template'!E$162,FALSE),"")</f>
        <v>25.85156343861804</v>
      </c>
      <c r="H42" s="509">
        <f ca="1">IFERROR('All Stock'!F$15*VLOOKUP($A42,'IDEES okt 2017 template'!$C$173:$AN$181,'IDEES okt 2017 template'!F$162,FALSE),"")</f>
        <v>43.055864711419979</v>
      </c>
      <c r="I42" s="509">
        <f ca="1">IFERROR('All Stock'!G$15*VLOOKUP($A42,'IDEES okt 2017 template'!$C$173:$AN$181,'IDEES okt 2017 template'!G$162,FALSE),"")</f>
        <v>1.6578124470892517</v>
      </c>
      <c r="J42" s="509">
        <f ca="1">IFERROR('All Stock'!H$15*VLOOKUP($A42,'IDEES okt 2017 template'!$C$173:$AN$181,'IDEES okt 2017 template'!H$162,FALSE),"")</f>
        <v>0</v>
      </c>
      <c r="K42" s="509">
        <f ca="1">IFERROR('All Stock'!I$15*VLOOKUP($A42,'IDEES okt 2017 template'!$C$173:$AN$181,'IDEES okt 2017 template'!I$162,FALSE),"")</f>
        <v>82.419389949658566</v>
      </c>
      <c r="L42" s="509">
        <f ca="1">IFERROR('All Stock'!J$15*VLOOKUP($A42,'IDEES okt 2017 template'!$C$173:$AN$181,'IDEES okt 2017 template'!J$162,FALSE),"")</f>
        <v>131.40773487574228</v>
      </c>
      <c r="M42" s="509">
        <f ca="1">IFERROR('All Stock'!K$15*VLOOKUP($A42,'IDEES okt 2017 template'!$C$173:$AN$181,'IDEES okt 2017 template'!K$162,FALSE),"")</f>
        <v>0</v>
      </c>
      <c r="N42" s="509">
        <f ca="1">IFERROR('All Stock'!L$15*VLOOKUP($A42,'IDEES okt 2017 template'!$C$173:$AN$181,'IDEES okt 2017 template'!L$162,FALSE),"")</f>
        <v>0.53448551876280692</v>
      </c>
      <c r="O42" s="509">
        <f ca="1">IFERROR('All Stock'!M$15*VLOOKUP($A42,'IDEES okt 2017 template'!$C$173:$AN$181,'IDEES okt 2017 template'!M$162,FALSE),"")</f>
        <v>40.815961415332893</v>
      </c>
      <c r="P42" s="509">
        <f ca="1">IFERROR('All Stock'!N$15*VLOOKUP($A42,'IDEES okt 2017 template'!$C$173:$AN$181,'IDEES okt 2017 template'!N$162,FALSE),"")</f>
        <v>0.84244802383339301</v>
      </c>
      <c r="Q42" s="509">
        <f ca="1">IFERROR('All Stock'!O$15*VLOOKUP($A42,'IDEES okt 2017 template'!$C$173:$AN$181,'IDEES okt 2017 template'!O$162,FALSE),"")</f>
        <v>31.83815839589062</v>
      </c>
      <c r="R42" s="509">
        <f ca="1">IFERROR('All Stock'!P$15*VLOOKUP($A42,'IDEES okt 2017 template'!$C$173:$AN$181,'IDEES okt 2017 template'!P$162,FALSE),"")</f>
        <v>0</v>
      </c>
      <c r="S42" s="509">
        <f ca="1">IFERROR('All Stock'!Q$15*VLOOKUP($A42,'IDEES okt 2017 template'!$C$173:$AN$181,'IDEES okt 2017 template'!Q$162,FALSE),"")</f>
        <v>0.61852066392742289</v>
      </c>
      <c r="T42" s="509">
        <f ca="1">IFERROR('All Stock'!R$15*VLOOKUP($A42,'IDEES okt 2017 template'!$C$173:$AN$181,'IDEES okt 2017 template'!R$162,FALSE),"")</f>
        <v>15.666763824608353</v>
      </c>
      <c r="U42" s="509">
        <f ca="1">IFERROR('All Stock'!S$15*VLOOKUP($A42,'IDEES okt 2017 template'!$C$173:$AN$181,'IDEES okt 2017 template'!S$162,FALSE),"")</f>
        <v>125.60716955298949</v>
      </c>
      <c r="V42" s="509">
        <f ca="1">IFERROR('All Stock'!T$15*VLOOKUP($A42,'IDEES okt 2017 template'!$C$173:$AN$181,'IDEES okt 2017 template'!T$162,FALSE),"")</f>
        <v>0</v>
      </c>
      <c r="W42" s="509">
        <f ca="1">IFERROR('All Stock'!U$15*VLOOKUP($A42,'IDEES okt 2017 template'!$C$173:$AN$181,'IDEES okt 2017 template'!U$162,FALSE),"")</f>
        <v>0.56240373077537442</v>
      </c>
      <c r="X42" s="509">
        <f ca="1">IFERROR('All Stock'!V$15*VLOOKUP($A42,'IDEES okt 2017 template'!$C$173:$AN$181,'IDEES okt 2017 template'!V$162,FALSE),"")</f>
        <v>5.7746267229515658</v>
      </c>
      <c r="Y42" s="509">
        <f ca="1">IFERROR('All Stock'!W$15*VLOOKUP($A42,'IDEES okt 2017 template'!$C$173:$AN$181,'IDEES okt 2017 template'!W$162,FALSE),"")</f>
        <v>7.2302760535070565E-2</v>
      </c>
      <c r="Z42" s="509">
        <f ca="1">IFERROR('All Stock'!X$15*VLOOKUP($A42,'IDEES okt 2017 template'!$C$173:$AN$181,'IDEES okt 2017 template'!X$162,FALSE),"")</f>
        <v>0.95373053209451919</v>
      </c>
      <c r="AA42" s="509">
        <f ca="1">IFERROR('All Stock'!Y$15*VLOOKUP($A42,'IDEES okt 2017 template'!$C$173:$AN$181,'IDEES okt 2017 template'!Y$162,FALSE),"")</f>
        <v>0</v>
      </c>
      <c r="AB42" s="509">
        <f ca="1">IFERROR('All Stock'!Z$15*VLOOKUP($A42,'IDEES okt 2017 template'!$C$173:$AN$181,'IDEES okt 2017 template'!Z$162,FALSE),"")</f>
        <v>0.72524177241916565</v>
      </c>
      <c r="AC42" s="509">
        <f ca="1">IFERROR('All Stock'!AA$15*VLOOKUP($A42,'IDEES okt 2017 template'!$C$173:$AN$181,'IDEES okt 2017 template'!AA$162,FALSE),"")</f>
        <v>0</v>
      </c>
      <c r="AD42" s="509">
        <f ca="1">IFERROR('All Stock'!AB$15*VLOOKUP($A42,'IDEES okt 2017 template'!$C$173:$AN$181,'IDEES okt 2017 template'!AB$162,FALSE),"")</f>
        <v>428.85742437011993</v>
      </c>
      <c r="AE42" s="509">
        <f ca="1">IFERROR('All Stock'!AC$15*VLOOKUP($A42,'IDEES okt 2017 template'!$C$173:$AN$181,'IDEES okt 2017 template'!AC$162,FALSE),"")</f>
        <v>0</v>
      </c>
      <c r="AF42" s="509">
        <f ca="1">IFERROR('All Stock'!AD$15*VLOOKUP($A42,'IDEES okt 2017 template'!$C$173:$AN$181,'IDEES okt 2017 template'!AD$162,FALSE),"")</f>
        <v>1.8373000006159612</v>
      </c>
      <c r="AG42" s="509">
        <f ca="1">IFERROR('All Stock'!AE$15*VLOOKUP($A42,'IDEES okt 2017 template'!$C$173:$AN$181,'IDEES okt 2017 template'!AE$162,FALSE),"")</f>
        <v>0</v>
      </c>
      <c r="AH42" s="509">
        <f ca="1">IFERROR('All Stock'!AF$15*VLOOKUP($A42,'IDEES okt 2017 template'!$C$173:$AN$181,'IDEES okt 2017 template'!AF$162,FALSE),"")</f>
        <v>9.2770641678018975E-2</v>
      </c>
      <c r="AI42" s="509">
        <f ca="1">IFERROR('All Stock'!AG$15*VLOOKUP($A42,'IDEES okt 2017 template'!$C$173:$AN$181,'IDEES okt 2017 template'!AG$162,FALSE),"")</f>
        <v>3.2854496380476701</v>
      </c>
      <c r="AJ42" s="509">
        <f ca="1">IFERROR('All Stock'!AH$15*VLOOKUP($A42,'IDEES okt 2017 template'!$C$173:$AN$181,'IDEES okt 2017 template'!AH$162,FALSE),"")</f>
        <v>240.54011752096781</v>
      </c>
      <c r="AK42" s="509">
        <f ca="1">IFERROR('All Stock'!AI$15*VLOOKUP($A42,'IDEES okt 2017 template'!$C$173:$AN$181,'IDEES okt 2017 template'!AI$162,FALSE),"")</f>
        <v>0</v>
      </c>
      <c r="AL42" s="509">
        <f ca="1">IFERROR('All Stock'!AJ$15*VLOOKUP($A42,'IDEES okt 2017 template'!$C$173:$AN$181,'IDEES okt 2017 template'!AJ$162,FALSE),"")</f>
        <v>19.480182349421792</v>
      </c>
      <c r="AM42" s="509">
        <f ca="1">IFERROR('All Stock'!AK$15*VLOOKUP($A42,'IDEES okt 2017 template'!$C$173:$AN$181,'IDEES okt 2017 template'!AK$162,FALSE),"")</f>
        <v>0</v>
      </c>
      <c r="AN42" s="509">
        <f ca="1">IFERROR('All Stock'!AL$15*VLOOKUP($A42,'IDEES okt 2017 template'!$C$173:$AN$181,'IDEES okt 2017 template'!AL$162,FALSE),"")</f>
        <v>0</v>
      </c>
      <c r="AO42" s="509">
        <f ca="1">IFERROR('All Stock'!AM$15*VLOOKUP($A42,'IDEES okt 2017 template'!$C$173:$AN$181,'IDEES okt 2017 template'!AM$162,FALSE),"")</f>
        <v>29.383034764426259</v>
      </c>
      <c r="AP42" s="509">
        <f ca="1">IFERROR('All Stock'!AN$15*VLOOKUP($A42,'IDEES okt 2017 template'!$C$173:$AN$181,'IDEES okt 2017 template'!AN$162,FALSE),"")</f>
        <v>3.9220379334520428</v>
      </c>
      <c r="AQ42" s="509"/>
      <c r="AS42" t="str">
        <f t="shared" si="19"/>
        <v>Solids</v>
      </c>
      <c r="AT42" s="509"/>
      <c r="AW42" s="496">
        <f t="shared" ca="1" si="20"/>
        <v>6.0912969656471923E-2</v>
      </c>
      <c r="AX42" s="496">
        <f t="shared" ca="1" si="21"/>
        <v>6.9701820652378801E-2</v>
      </c>
      <c r="AY42" s="496">
        <f t="shared" ca="1" si="22"/>
        <v>0.10723357023442892</v>
      </c>
      <c r="AZ42" s="467"/>
      <c r="BA42" s="467"/>
      <c r="BB42" s="467"/>
      <c r="BC42" s="467"/>
      <c r="BD42" s="467"/>
      <c r="BE42" s="467"/>
      <c r="BF42" s="467"/>
      <c r="BG42" s="467"/>
      <c r="BH42" s="467"/>
      <c r="BI42" s="467"/>
      <c r="BJ42" s="467"/>
      <c r="BK42" s="467"/>
      <c r="BL42" s="467"/>
      <c r="BM42" s="467"/>
      <c r="BN42" s="467"/>
      <c r="BO42" s="467"/>
      <c r="BP42" s="467"/>
      <c r="BQ42" s="467"/>
      <c r="BR42" s="467"/>
      <c r="BS42" s="467"/>
      <c r="BT42" s="467"/>
      <c r="BU42" s="467"/>
      <c r="BV42" s="467"/>
      <c r="BW42" s="467"/>
      <c r="BX42" s="467"/>
      <c r="BY42" s="467"/>
      <c r="BZ42" s="467"/>
      <c r="CA42" s="467"/>
      <c r="CB42" s="467"/>
      <c r="CC42" s="467"/>
      <c r="CD42" s="467"/>
      <c r="CE42" s="467"/>
      <c r="CF42" s="467"/>
      <c r="CG42" s="467"/>
      <c r="CH42" s="467"/>
    </row>
    <row r="43" spans="1:86">
      <c r="A43" t="str">
        <f t="shared" si="17"/>
        <v>LPG</v>
      </c>
      <c r="C43" t="str">
        <f>TechComm!L46</f>
        <v>R_ES-SH-SD_LPG</v>
      </c>
      <c r="D43" t="str">
        <f t="shared" si="18"/>
        <v>RSDLPG</v>
      </c>
      <c r="E43" t="str">
        <f t="shared" si="23"/>
        <v>R_ES-SD-SpHeat</v>
      </c>
      <c r="F43" s="509">
        <f ca="1">IFERROR('All Stock'!D$15*VLOOKUP($A43,'IDEES okt 2017 template'!$C$173:$AN$181,'IDEES okt 2017 template'!D$162,FALSE),"")</f>
        <v>1.0191045446033451</v>
      </c>
      <c r="G43" s="509">
        <f ca="1">IFERROR('All Stock'!E$15*VLOOKUP($A43,'IDEES okt 2017 template'!$C$173:$AN$181,'IDEES okt 2017 template'!E$162,FALSE),"")</f>
        <v>3.4868832172822599</v>
      </c>
      <c r="H43" s="509">
        <f ca="1">IFERROR('All Stock'!F$15*VLOOKUP($A43,'IDEES okt 2017 template'!$C$173:$AN$181,'IDEES okt 2017 template'!F$162,FALSE),"")</f>
        <v>1.0997673290885557</v>
      </c>
      <c r="I43" s="509">
        <f ca="1">IFERROR('All Stock'!G$15*VLOOKUP($A43,'IDEES okt 2017 template'!$C$173:$AN$181,'IDEES okt 2017 template'!G$162,FALSE),"")</f>
        <v>0</v>
      </c>
      <c r="J43" s="509">
        <f ca="1">IFERROR('All Stock'!H$15*VLOOKUP($A43,'IDEES okt 2017 template'!$C$173:$AN$181,'IDEES okt 2017 template'!H$162,FALSE),"")</f>
        <v>11.696469545375052</v>
      </c>
      <c r="K43" s="509">
        <f ca="1">IFERROR('All Stock'!I$15*VLOOKUP($A43,'IDEES okt 2017 template'!$C$173:$AN$181,'IDEES okt 2017 template'!I$162,FALSE),"")</f>
        <v>0</v>
      </c>
      <c r="L43" s="509">
        <f ca="1">IFERROR('All Stock'!J$15*VLOOKUP($A43,'IDEES okt 2017 template'!$C$173:$AN$181,'IDEES okt 2017 template'!J$162,FALSE),"")</f>
        <v>31.025677806418649</v>
      </c>
      <c r="M43" s="509">
        <f ca="1">IFERROR('All Stock'!K$15*VLOOKUP($A43,'IDEES okt 2017 template'!$C$173:$AN$181,'IDEES okt 2017 template'!K$162,FALSE),"")</f>
        <v>0.55139202085480721</v>
      </c>
      <c r="N43" s="509">
        <f ca="1">IFERROR('All Stock'!L$15*VLOOKUP($A43,'IDEES okt 2017 template'!$C$173:$AN$181,'IDEES okt 2017 template'!L$162,FALSE),"")</f>
        <v>0</v>
      </c>
      <c r="O43" s="509">
        <f ca="1">IFERROR('All Stock'!M$15*VLOOKUP($A43,'IDEES okt 2017 template'!$C$173:$AN$181,'IDEES okt 2017 template'!M$162,FALSE),"")</f>
        <v>92.464248611325715</v>
      </c>
      <c r="P43" s="509">
        <f ca="1">IFERROR('All Stock'!N$15*VLOOKUP($A43,'IDEES okt 2017 template'!$C$173:$AN$181,'IDEES okt 2017 template'!N$162,FALSE),"")</f>
        <v>0</v>
      </c>
      <c r="Q43" s="509">
        <f ca="1">IFERROR('All Stock'!O$15*VLOOKUP($A43,'IDEES okt 2017 template'!$C$173:$AN$181,'IDEES okt 2017 template'!O$162,FALSE),"")</f>
        <v>54.12739468368158</v>
      </c>
      <c r="R43" s="509">
        <f ca="1">IFERROR('All Stock'!P$15*VLOOKUP($A43,'IDEES okt 2017 template'!$C$173:$AN$181,'IDEES okt 2017 template'!P$162,FALSE),"")</f>
        <v>0</v>
      </c>
      <c r="S43" s="509">
        <f ca="1">IFERROR('All Stock'!Q$15*VLOOKUP($A43,'IDEES okt 2017 template'!$C$173:$AN$181,'IDEES okt 2017 template'!Q$162,FALSE),"")</f>
        <v>2.2235538194401832</v>
      </c>
      <c r="T43" s="509">
        <f ca="1">IFERROR('All Stock'!R$15*VLOOKUP($A43,'IDEES okt 2017 template'!$C$173:$AN$181,'IDEES okt 2017 template'!R$162,FALSE),"")</f>
        <v>4.8032149697043165</v>
      </c>
      <c r="U43" s="509">
        <f ca="1">IFERROR('All Stock'!S$15*VLOOKUP($A43,'IDEES okt 2017 template'!$C$173:$AN$181,'IDEES okt 2017 template'!S$162,FALSE),"")</f>
        <v>7.675445422585855</v>
      </c>
      <c r="V43" s="509">
        <f ca="1">IFERROR('All Stock'!T$15*VLOOKUP($A43,'IDEES okt 2017 template'!$C$173:$AN$181,'IDEES okt 2017 template'!T$162,FALSE),"")</f>
        <v>0</v>
      </c>
      <c r="W43" s="509">
        <f ca="1">IFERROR('All Stock'!U$15*VLOOKUP($A43,'IDEES okt 2017 template'!$C$173:$AN$181,'IDEES okt 2017 template'!U$162,FALSE),"")</f>
        <v>80.987776892676592</v>
      </c>
      <c r="X43" s="509">
        <f ca="1">IFERROR('All Stock'!V$15*VLOOKUP($A43,'IDEES okt 2017 template'!$C$173:$AN$181,'IDEES okt 2017 template'!V$162,FALSE),"")</f>
        <v>0</v>
      </c>
      <c r="Y43" s="509">
        <f ca="1">IFERROR('All Stock'!W$15*VLOOKUP($A43,'IDEES okt 2017 template'!$C$173:$AN$181,'IDEES okt 2017 template'!W$162,FALSE),"")</f>
        <v>0</v>
      </c>
      <c r="Z43" s="509">
        <f ca="1">IFERROR('All Stock'!X$15*VLOOKUP($A43,'IDEES okt 2017 template'!$C$173:$AN$181,'IDEES okt 2017 template'!X$162,FALSE),"")</f>
        <v>0</v>
      </c>
      <c r="AA43" s="509">
        <f ca="1">IFERROR('All Stock'!Y$15*VLOOKUP($A43,'IDEES okt 2017 template'!$C$173:$AN$181,'IDEES okt 2017 template'!Y$162,FALSE),"")</f>
        <v>22.255820118642628</v>
      </c>
      <c r="AB43" s="509">
        <f ca="1">IFERROR('All Stock'!Z$15*VLOOKUP($A43,'IDEES okt 2017 template'!$C$173:$AN$181,'IDEES okt 2017 template'!Z$162,FALSE),"")</f>
        <v>0</v>
      </c>
      <c r="AC43" s="509">
        <f ca="1">IFERROR('All Stock'!AA$15*VLOOKUP($A43,'IDEES okt 2017 template'!$C$173:$AN$181,'IDEES okt 2017 template'!AA$162,FALSE),"")</f>
        <v>0</v>
      </c>
      <c r="AD43" s="509">
        <f ca="1">IFERROR('All Stock'!AB$15*VLOOKUP($A43,'IDEES okt 2017 template'!$C$173:$AN$181,'IDEES okt 2017 template'!AB$162,FALSE),"")</f>
        <v>0</v>
      </c>
      <c r="AE43" s="509">
        <f ca="1">IFERROR('All Stock'!AC$15*VLOOKUP($A43,'IDEES okt 2017 template'!$C$173:$AN$181,'IDEES okt 2017 template'!AC$162,FALSE),"")</f>
        <v>18.584331185470724</v>
      </c>
      <c r="AF43" s="509">
        <f ca="1">IFERROR('All Stock'!AD$15*VLOOKUP($A43,'IDEES okt 2017 template'!$C$173:$AN$181,'IDEES okt 2017 template'!AD$162,FALSE),"")</f>
        <v>0</v>
      </c>
      <c r="AG43" s="509">
        <f ca="1">IFERROR('All Stock'!AE$15*VLOOKUP($A43,'IDEES okt 2017 template'!$C$173:$AN$181,'IDEES okt 2017 template'!AE$162,FALSE),"")</f>
        <v>0</v>
      </c>
      <c r="AH43" s="509">
        <f ca="1">IFERROR('All Stock'!AF$15*VLOOKUP($A43,'IDEES okt 2017 template'!$C$173:$AN$181,'IDEES okt 2017 template'!AF$162,FALSE),"")</f>
        <v>0.59140258753184505</v>
      </c>
      <c r="AI43" s="509">
        <f ca="1">IFERROR('All Stock'!AG$15*VLOOKUP($A43,'IDEES okt 2017 template'!$C$173:$AN$181,'IDEES okt 2017 template'!AG$162,FALSE),"")</f>
        <v>0</v>
      </c>
      <c r="AJ43" s="509">
        <f ca="1">IFERROR('All Stock'!AH$15*VLOOKUP($A43,'IDEES okt 2017 template'!$C$173:$AN$181,'IDEES okt 2017 template'!AH$162,FALSE),"")</f>
        <v>31.831721815828676</v>
      </c>
      <c r="AK43" s="509">
        <f ca="1">IFERROR('All Stock'!AI$15*VLOOKUP($A43,'IDEES okt 2017 template'!$C$173:$AN$181,'IDEES okt 2017 template'!AI$162,FALSE),"")</f>
        <v>0</v>
      </c>
      <c r="AL43" s="509">
        <f ca="1">IFERROR('All Stock'!AJ$15*VLOOKUP($A43,'IDEES okt 2017 template'!$C$173:$AN$181,'IDEES okt 2017 template'!AJ$162,FALSE),"")</f>
        <v>0</v>
      </c>
      <c r="AM43" s="509">
        <f ca="1">IFERROR('All Stock'!AK$15*VLOOKUP($A43,'IDEES okt 2017 template'!$C$173:$AN$181,'IDEES okt 2017 template'!AK$162,FALSE),"")</f>
        <v>0</v>
      </c>
      <c r="AN43" s="509">
        <f ca="1">IFERROR('All Stock'!AL$15*VLOOKUP($A43,'IDEES okt 2017 template'!$C$173:$AN$181,'IDEES okt 2017 template'!AL$162,FALSE),"")</f>
        <v>0</v>
      </c>
      <c r="AO43" s="509">
        <f ca="1">IFERROR('All Stock'!AM$15*VLOOKUP($A43,'IDEES okt 2017 template'!$C$173:$AN$181,'IDEES okt 2017 template'!AM$162,FALSE),"")</f>
        <v>0.87069634861097689</v>
      </c>
      <c r="AP43" s="509">
        <f ca="1">IFERROR('All Stock'!AN$15*VLOOKUP($A43,'IDEES okt 2017 template'!$C$173:$AN$181,'IDEES okt 2017 template'!AN$162,FALSE),"")</f>
        <v>0.46021405187037989</v>
      </c>
      <c r="AQ43" s="509"/>
      <c r="AS43" t="str">
        <f t="shared" si="19"/>
        <v>LPG</v>
      </c>
      <c r="AT43" s="509"/>
      <c r="AW43" s="496">
        <f t="shared" ca="1" si="20"/>
        <v>0</v>
      </c>
      <c r="AX43" s="496">
        <f t="shared" ca="1" si="21"/>
        <v>0</v>
      </c>
      <c r="AY43" s="496">
        <f t="shared" ca="1" si="22"/>
        <v>0</v>
      </c>
      <c r="AZ43" s="467"/>
      <c r="BA43" s="467"/>
      <c r="BB43" s="467"/>
      <c r="BC43" s="467"/>
      <c r="BD43" s="467"/>
      <c r="BE43" s="467"/>
      <c r="BF43" s="467"/>
      <c r="BG43" s="467"/>
      <c r="BH43" s="467"/>
      <c r="BI43" s="467"/>
      <c r="BJ43" s="467"/>
      <c r="BK43" s="467"/>
      <c r="BL43" s="467"/>
      <c r="BM43" s="467"/>
      <c r="BN43" s="467"/>
      <c r="BO43" s="467"/>
      <c r="BP43" s="467"/>
      <c r="BQ43" s="467"/>
      <c r="BR43" s="467"/>
      <c r="BS43" s="467"/>
      <c r="BT43" s="467"/>
      <c r="BU43" s="467"/>
      <c r="BV43" s="467"/>
      <c r="BW43" s="467"/>
      <c r="BX43" s="467"/>
      <c r="BY43" s="467"/>
      <c r="BZ43" s="467"/>
      <c r="CA43" s="467"/>
      <c r="CB43" s="467"/>
      <c r="CC43" s="467"/>
      <c r="CD43" s="467"/>
      <c r="CE43" s="467"/>
      <c r="CF43" s="467"/>
      <c r="CG43" s="467"/>
      <c r="CH43" s="467"/>
    </row>
    <row r="44" spans="1:86">
      <c r="A44" t="str">
        <f t="shared" si="17"/>
        <v>Geothermal Energy</v>
      </c>
      <c r="C44" t="str">
        <f>TechComm!L47</f>
        <v>R_ES-SH-SD_GEO</v>
      </c>
      <c r="D44" t="str">
        <f t="shared" si="18"/>
        <v>RSDGEO</v>
      </c>
      <c r="E44" t="str">
        <f t="shared" si="23"/>
        <v>R_ES-SD-SpHeat</v>
      </c>
      <c r="F44" s="509">
        <f ca="1">IFERROR('All Stock'!D$15*VLOOKUP($A44,'IDEES okt 2017 template'!$C$173:$AN$181,'IDEES okt 2017 template'!D$162,FALSE),"")</f>
        <v>0</v>
      </c>
      <c r="G44" s="509">
        <f ca="1">IFERROR('All Stock'!E$15*VLOOKUP($A44,'IDEES okt 2017 template'!$C$173:$AN$181,'IDEES okt 2017 template'!E$162,FALSE),"")</f>
        <v>0</v>
      </c>
      <c r="H44" s="509">
        <f ca="1">IFERROR('All Stock'!F$15*VLOOKUP($A44,'IDEES okt 2017 template'!$C$173:$AN$181,'IDEES okt 2017 template'!F$162,FALSE),"")</f>
        <v>0</v>
      </c>
      <c r="I44" s="509">
        <f ca="1">IFERROR('All Stock'!G$15*VLOOKUP($A44,'IDEES okt 2017 template'!$C$173:$AN$181,'IDEES okt 2017 template'!G$162,FALSE),"")</f>
        <v>54.600792100120131</v>
      </c>
      <c r="J44" s="509">
        <f ca="1">IFERROR('All Stock'!H$15*VLOOKUP($A44,'IDEES okt 2017 template'!$C$173:$AN$181,'IDEES okt 2017 template'!H$162,FALSE),"")</f>
        <v>0.85837393332726653</v>
      </c>
      <c r="K44" s="509">
        <f ca="1">IFERROR('All Stock'!I$15*VLOOKUP($A44,'IDEES okt 2017 template'!$C$173:$AN$181,'IDEES okt 2017 template'!I$162,FALSE),"")</f>
        <v>0</v>
      </c>
      <c r="L44" s="509">
        <f ca="1">IFERROR('All Stock'!J$15*VLOOKUP($A44,'IDEES okt 2017 template'!$C$173:$AN$181,'IDEES okt 2017 template'!J$162,FALSE),"")</f>
        <v>3.203518662493698</v>
      </c>
      <c r="M44" s="509">
        <f ca="1">IFERROR('All Stock'!K$15*VLOOKUP($A44,'IDEES okt 2017 template'!$C$173:$AN$181,'IDEES okt 2017 template'!K$162,FALSE),"")</f>
        <v>0</v>
      </c>
      <c r="N44" s="509">
        <f ca="1">IFERROR('All Stock'!L$15*VLOOKUP($A44,'IDEES okt 2017 template'!$C$173:$AN$181,'IDEES okt 2017 template'!L$162,FALSE),"")</f>
        <v>0</v>
      </c>
      <c r="O44" s="509">
        <f ca="1">IFERROR('All Stock'!M$15*VLOOKUP($A44,'IDEES okt 2017 template'!$C$173:$AN$181,'IDEES okt 2017 template'!M$162,FALSE),"")</f>
        <v>3.1319946512830779</v>
      </c>
      <c r="P44" s="509">
        <f ca="1">IFERROR('All Stock'!N$15*VLOOKUP($A44,'IDEES okt 2017 template'!$C$173:$AN$181,'IDEES okt 2017 template'!N$162,FALSE),"")</f>
        <v>0</v>
      </c>
      <c r="Q44" s="509">
        <f ca="1">IFERROR('All Stock'!O$15*VLOOKUP($A44,'IDEES okt 2017 template'!$C$173:$AN$181,'IDEES okt 2017 template'!O$162,FALSE),"")</f>
        <v>3.6126764874926542</v>
      </c>
      <c r="R44" s="509">
        <f ca="1">IFERROR('All Stock'!P$15*VLOOKUP($A44,'IDEES okt 2017 template'!$C$173:$AN$181,'IDEES okt 2017 template'!P$162,FALSE),"")</f>
        <v>3.614346139542729E-2</v>
      </c>
      <c r="S44" s="509">
        <f ca="1">IFERROR('All Stock'!Q$15*VLOOKUP($A44,'IDEES okt 2017 template'!$C$173:$AN$181,'IDEES okt 2017 template'!Q$162,FALSE),"")</f>
        <v>0</v>
      </c>
      <c r="T44" s="509">
        <f ca="1">IFERROR('All Stock'!R$15*VLOOKUP($A44,'IDEES okt 2017 template'!$C$173:$AN$181,'IDEES okt 2017 template'!R$162,FALSE),"")</f>
        <v>0</v>
      </c>
      <c r="U44" s="509">
        <f ca="1">IFERROR('All Stock'!S$15*VLOOKUP($A44,'IDEES okt 2017 template'!$C$173:$AN$181,'IDEES okt 2017 template'!S$162,FALSE),"")</f>
        <v>0</v>
      </c>
      <c r="V44" s="509">
        <f ca="1">IFERROR('All Stock'!T$15*VLOOKUP($A44,'IDEES okt 2017 template'!$C$173:$AN$181,'IDEES okt 2017 template'!T$162,FALSE),"")</f>
        <v>20.543301281181204</v>
      </c>
      <c r="W44" s="509">
        <f ca="1">IFERROR('All Stock'!U$15*VLOOKUP($A44,'IDEES okt 2017 template'!$C$173:$AN$181,'IDEES okt 2017 template'!U$162,FALSE),"")</f>
        <v>0.32375852193058929</v>
      </c>
      <c r="X44" s="509">
        <f ca="1">IFERROR('All Stock'!V$15*VLOOKUP($A44,'IDEES okt 2017 template'!$C$173:$AN$181,'IDEES okt 2017 template'!V$162,FALSE),"")</f>
        <v>0</v>
      </c>
      <c r="Y44" s="509">
        <f ca="1">IFERROR('All Stock'!W$15*VLOOKUP($A44,'IDEES okt 2017 template'!$C$173:$AN$181,'IDEES okt 2017 template'!W$162,FALSE),"")</f>
        <v>0</v>
      </c>
      <c r="Z44" s="509">
        <f ca="1">IFERROR('All Stock'!X$15*VLOOKUP($A44,'IDEES okt 2017 template'!$C$173:$AN$181,'IDEES okt 2017 template'!X$162,FALSE),"")</f>
        <v>0</v>
      </c>
      <c r="AA44" s="509">
        <f ca="1">IFERROR('All Stock'!Y$15*VLOOKUP($A44,'IDEES okt 2017 template'!$C$173:$AN$181,'IDEES okt 2017 template'!Y$162,FALSE),"")</f>
        <v>0</v>
      </c>
      <c r="AB44" s="509">
        <f ca="1">IFERROR('All Stock'!Z$15*VLOOKUP($A44,'IDEES okt 2017 template'!$C$173:$AN$181,'IDEES okt 2017 template'!Z$162,FALSE),"")</f>
        <v>0</v>
      </c>
      <c r="AC44" s="509">
        <f ca="1">IFERROR('All Stock'!AA$15*VLOOKUP($A44,'IDEES okt 2017 template'!$C$173:$AN$181,'IDEES okt 2017 template'!AA$162,FALSE),"")</f>
        <v>0</v>
      </c>
      <c r="AD44" s="509">
        <f ca="1">IFERROR('All Stock'!AB$15*VLOOKUP($A44,'IDEES okt 2017 template'!$C$173:$AN$181,'IDEES okt 2017 template'!AB$162,FALSE),"")</f>
        <v>1.1500133589041905</v>
      </c>
      <c r="AE44" s="509">
        <f ca="1">IFERROR('All Stock'!AC$15*VLOOKUP($A44,'IDEES okt 2017 template'!$C$173:$AN$181,'IDEES okt 2017 template'!AC$162,FALSE),"")</f>
        <v>0</v>
      </c>
      <c r="AF44" s="509">
        <f ca="1">IFERROR('All Stock'!AD$15*VLOOKUP($A44,'IDEES okt 2017 template'!$C$173:$AN$181,'IDEES okt 2017 template'!AD$162,FALSE),"")</f>
        <v>1.7666377184655644</v>
      </c>
      <c r="AG44" s="509">
        <f ca="1">IFERROR('All Stock'!AE$15*VLOOKUP($A44,'IDEES okt 2017 template'!$C$173:$AN$181,'IDEES okt 2017 template'!AE$162,FALSE),"")</f>
        <v>0</v>
      </c>
      <c r="AH44" s="509">
        <f ca="1">IFERROR('All Stock'!AF$15*VLOOKUP($A44,'IDEES okt 2017 template'!$C$173:$AN$181,'IDEES okt 2017 template'!AF$162,FALSE),"")</f>
        <v>0.86717172751548788</v>
      </c>
      <c r="AI44" s="509">
        <f ca="1">IFERROR('All Stock'!AG$15*VLOOKUP($A44,'IDEES okt 2017 template'!$C$173:$AN$181,'IDEES okt 2017 template'!AG$162,FALSE),"")</f>
        <v>0</v>
      </c>
      <c r="AJ44" s="509">
        <f ca="1">IFERROR('All Stock'!AH$15*VLOOKUP($A44,'IDEES okt 2017 template'!$C$173:$AN$181,'IDEES okt 2017 template'!AH$162,FALSE),"")</f>
        <v>0</v>
      </c>
      <c r="AK44" s="509">
        <f ca="1">IFERROR('All Stock'!AI$15*VLOOKUP($A44,'IDEES okt 2017 template'!$C$173:$AN$181,'IDEES okt 2017 template'!AI$162,FALSE),"")</f>
        <v>0</v>
      </c>
      <c r="AL44" s="509">
        <f ca="1">IFERROR('All Stock'!AJ$15*VLOOKUP($A44,'IDEES okt 2017 template'!$C$173:$AN$181,'IDEES okt 2017 template'!AJ$162,FALSE),"")</f>
        <v>0</v>
      </c>
      <c r="AM44" s="509">
        <f ca="1">IFERROR('All Stock'!AK$15*VLOOKUP($A44,'IDEES okt 2017 template'!$C$173:$AN$181,'IDEES okt 2017 template'!AK$162,FALSE),"")</f>
        <v>0</v>
      </c>
      <c r="AN44" s="509">
        <f ca="1">IFERROR('All Stock'!AL$15*VLOOKUP($A44,'IDEES okt 2017 template'!$C$173:$AN$181,'IDEES okt 2017 template'!AL$162,FALSE),"")</f>
        <v>0</v>
      </c>
      <c r="AO44" s="509">
        <f ca="1">IFERROR('All Stock'!AM$15*VLOOKUP($A44,'IDEES okt 2017 template'!$C$173:$AN$181,'IDEES okt 2017 template'!AM$162,FALSE),"")</f>
        <v>0</v>
      </c>
      <c r="AP44" s="509">
        <f ca="1">IFERROR('All Stock'!AN$15*VLOOKUP($A44,'IDEES okt 2017 template'!$C$173:$AN$181,'IDEES okt 2017 template'!AN$162,FALSE),"")</f>
        <v>0</v>
      </c>
      <c r="AQ44" s="509"/>
      <c r="AS44" t="str">
        <f t="shared" si="19"/>
        <v>Geothermal Energy</v>
      </c>
      <c r="AT44" s="509"/>
      <c r="AW44" s="496">
        <f t="shared" ca="1" si="20"/>
        <v>0</v>
      </c>
      <c r="AX44" s="496">
        <f t="shared" ca="1" si="21"/>
        <v>0</v>
      </c>
      <c r="AY44" s="496">
        <f t="shared" ca="1" si="22"/>
        <v>0</v>
      </c>
      <c r="AZ44" s="467"/>
      <c r="BA44" s="467"/>
      <c r="BB44" s="467"/>
      <c r="BC44" s="467"/>
      <c r="BD44" s="467"/>
      <c r="BE44" s="467"/>
      <c r="BF44" s="467"/>
      <c r="BG44" s="467"/>
      <c r="BH44" s="467"/>
      <c r="BI44" s="467"/>
      <c r="BJ44" s="467"/>
      <c r="BK44" s="467"/>
      <c r="BL44" s="467"/>
      <c r="BM44" s="467"/>
      <c r="BN44" s="467"/>
      <c r="BO44" s="467"/>
      <c r="BP44" s="467"/>
      <c r="BQ44" s="467"/>
      <c r="BR44" s="467"/>
      <c r="BS44" s="467"/>
      <c r="BT44" s="467"/>
      <c r="BU44" s="467"/>
      <c r="BV44" s="467"/>
      <c r="BW44" s="467"/>
      <c r="BX44" s="467"/>
      <c r="BY44" s="467"/>
      <c r="BZ44" s="467"/>
      <c r="CA44" s="467"/>
      <c r="CB44" s="467"/>
      <c r="CC44" s="467"/>
      <c r="CD44" s="467"/>
      <c r="CE44" s="467"/>
      <c r="CF44" s="467"/>
      <c r="CG44" s="467"/>
      <c r="CH44" s="467"/>
    </row>
    <row r="45" spans="1:86">
      <c r="F45" s="509"/>
      <c r="G45" s="509"/>
      <c r="H45" s="509"/>
      <c r="I45" s="509"/>
      <c r="J45" s="509"/>
      <c r="K45" s="509"/>
      <c r="L45" s="509"/>
      <c r="M45" s="509"/>
      <c r="N45" s="509"/>
      <c r="O45" s="509"/>
      <c r="P45" s="509"/>
      <c r="Q45" s="509"/>
      <c r="R45" s="509"/>
      <c r="S45" s="509"/>
      <c r="T45" s="509"/>
      <c r="U45" s="509"/>
      <c r="V45" s="509"/>
      <c r="W45" s="509"/>
      <c r="X45" s="509"/>
      <c r="Y45" s="509"/>
      <c r="Z45" s="509"/>
      <c r="AA45" s="509"/>
      <c r="AB45" s="509"/>
      <c r="AC45" s="509"/>
      <c r="AD45" s="509"/>
      <c r="AE45" s="509"/>
      <c r="AF45" s="509"/>
      <c r="AG45" s="509"/>
      <c r="AH45" s="509"/>
      <c r="AI45" s="509"/>
      <c r="AJ45" s="509"/>
      <c r="AK45" s="509"/>
      <c r="AL45" s="509"/>
      <c r="AM45" s="509"/>
      <c r="AN45" s="509"/>
      <c r="AO45" s="509"/>
      <c r="AP45" s="509"/>
      <c r="AQ45" s="509"/>
      <c r="AR45" s="509"/>
      <c r="AS45" s="509"/>
      <c r="AT45" s="509"/>
    </row>
    <row r="46" spans="1:86">
      <c r="F46" s="509"/>
      <c r="G46" s="509"/>
      <c r="H46" s="509"/>
      <c r="I46" s="509"/>
      <c r="J46" s="509"/>
      <c r="K46" s="509"/>
      <c r="L46" s="693"/>
      <c r="M46" s="509"/>
      <c r="N46" s="509"/>
      <c r="O46" s="509"/>
      <c r="P46" s="509"/>
      <c r="Q46" s="693"/>
      <c r="R46" s="509"/>
      <c r="S46" s="509"/>
      <c r="T46" s="509"/>
      <c r="U46" s="509"/>
      <c r="V46" s="509"/>
      <c r="W46" s="693"/>
      <c r="X46" s="509"/>
      <c r="Y46" s="509"/>
      <c r="Z46" s="509"/>
      <c r="AA46" s="509"/>
      <c r="AB46" s="509"/>
      <c r="AC46" s="509"/>
      <c r="AD46" s="509"/>
      <c r="AE46" s="509"/>
      <c r="AF46" s="509"/>
      <c r="AG46" s="509"/>
      <c r="AH46" s="509"/>
      <c r="AI46" s="509"/>
      <c r="AJ46" s="509"/>
      <c r="AK46" s="509"/>
      <c r="AL46" s="509"/>
      <c r="AM46" s="509"/>
      <c r="AN46" s="509"/>
      <c r="AO46" s="509"/>
      <c r="AP46" s="509"/>
      <c r="AQ46" s="509"/>
      <c r="AR46" s="509"/>
      <c r="AS46" s="509"/>
      <c r="AT46" s="509"/>
    </row>
    <row r="47" spans="1:86">
      <c r="E47" s="533" t="s">
        <v>601</v>
      </c>
      <c r="L47" s="693"/>
      <c r="Q47" s="693"/>
      <c r="W47" s="693"/>
      <c r="AQ47" s="509"/>
      <c r="AR47" s="509"/>
      <c r="AS47" s="509"/>
      <c r="AT47" s="509"/>
      <c r="AX47" s="542"/>
    </row>
    <row r="48" spans="1:86" ht="15" thickBot="1">
      <c r="C48" s="539" t="s">
        <v>545</v>
      </c>
      <c r="D48" s="539" t="s">
        <v>585</v>
      </c>
      <c r="E48" s="539" t="s">
        <v>552</v>
      </c>
      <c r="F48" s="540" t="s">
        <v>88</v>
      </c>
      <c r="G48" s="540" t="s">
        <v>89</v>
      </c>
      <c r="H48" s="540" t="s">
        <v>90</v>
      </c>
      <c r="I48" s="540" t="s">
        <v>91</v>
      </c>
      <c r="J48" s="540" t="s">
        <v>92</v>
      </c>
      <c r="K48" s="540" t="s">
        <v>93</v>
      </c>
      <c r="L48" s="540" t="s">
        <v>94</v>
      </c>
      <c r="M48" s="540" t="s">
        <v>95</v>
      </c>
      <c r="N48" s="540" t="s">
        <v>96</v>
      </c>
      <c r="O48" s="540" t="s">
        <v>97</v>
      </c>
      <c r="P48" s="540" t="s">
        <v>98</v>
      </c>
      <c r="Q48" s="540" t="s">
        <v>99</v>
      </c>
      <c r="R48" s="540" t="s">
        <v>205</v>
      </c>
      <c r="S48" s="540" t="s">
        <v>118</v>
      </c>
      <c r="T48" s="540" t="s">
        <v>100</v>
      </c>
      <c r="U48" s="540" t="s">
        <v>101</v>
      </c>
      <c r="V48" s="540" t="s">
        <v>102</v>
      </c>
      <c r="W48" s="540" t="s">
        <v>103</v>
      </c>
      <c r="X48" s="540" t="s">
        <v>104</v>
      </c>
      <c r="Y48" s="540" t="s">
        <v>105</v>
      </c>
      <c r="Z48" s="540" t="s">
        <v>106</v>
      </c>
      <c r="AA48" s="540" t="s">
        <v>107</v>
      </c>
      <c r="AB48" s="540" t="s">
        <v>108</v>
      </c>
      <c r="AC48" s="540" t="s">
        <v>109</v>
      </c>
      <c r="AD48" s="540" t="s">
        <v>110</v>
      </c>
      <c r="AE48" s="540" t="s">
        <v>111</v>
      </c>
      <c r="AF48" s="540" t="s">
        <v>112</v>
      </c>
      <c r="AG48" s="540" t="s">
        <v>113</v>
      </c>
      <c r="AH48" s="540" t="s">
        <v>114</v>
      </c>
      <c r="AI48" s="540" t="s">
        <v>115</v>
      </c>
      <c r="AJ48" s="540" t="s">
        <v>52</v>
      </c>
      <c r="AK48" s="540" t="s">
        <v>116</v>
      </c>
      <c r="AL48" s="540" t="s">
        <v>117</v>
      </c>
      <c r="AM48" s="540" t="s">
        <v>119</v>
      </c>
      <c r="AN48" s="540" t="s">
        <v>120</v>
      </c>
      <c r="AO48" s="540" t="s">
        <v>121</v>
      </c>
      <c r="AP48" s="540" t="s">
        <v>122</v>
      </c>
      <c r="AQ48" s="509"/>
      <c r="AR48" s="509"/>
      <c r="AS48" s="509"/>
      <c r="AT48" s="509"/>
      <c r="AX48" s="509"/>
      <c r="AY48" s="509"/>
      <c r="AZ48" s="509"/>
      <c r="BA48" s="509"/>
      <c r="BB48" s="509"/>
      <c r="BC48" s="509"/>
      <c r="BD48" s="509"/>
      <c r="BE48" s="509"/>
      <c r="BF48" s="509"/>
      <c r="BG48" s="509"/>
      <c r="BH48" s="509"/>
      <c r="BI48" s="509"/>
      <c r="BJ48" s="509"/>
      <c r="BK48" s="509"/>
      <c r="BL48" s="509"/>
      <c r="BM48" s="509"/>
      <c r="BN48" s="509"/>
      <c r="BO48" s="509"/>
      <c r="BP48" s="509"/>
      <c r="BQ48" s="509"/>
      <c r="BR48" s="509"/>
      <c r="BS48" s="509"/>
      <c r="BT48" s="509"/>
      <c r="BU48" s="509"/>
      <c r="BV48" s="509"/>
      <c r="BW48" s="509"/>
      <c r="BX48" s="509"/>
      <c r="BY48" s="509"/>
      <c r="BZ48" s="509"/>
      <c r="CA48" s="509"/>
      <c r="CB48" s="509"/>
      <c r="CC48" s="509"/>
      <c r="CD48" s="509"/>
      <c r="CE48" s="509"/>
      <c r="CF48" s="509"/>
      <c r="CG48" s="509"/>
      <c r="CH48" s="509"/>
    </row>
    <row r="49" spans="1:86">
      <c r="A49" t="str">
        <f>A5</f>
        <v>Electricity</v>
      </c>
      <c r="C49" t="str">
        <f t="shared" ref="C49:C88" si="24">C5</f>
        <v>R_ES-SH-FL_ELC-R</v>
      </c>
      <c r="E49" t="str">
        <f t="shared" ref="E49:E88" si="25">E5</f>
        <v>R_ES-FL-SpHeat</v>
      </c>
      <c r="F49" s="496">
        <f>IFERROR(VLOOKUP($A49,'All Stock'!$C$31:$AN$39,'All Stock'!D$40,FALSE),"")</f>
        <v>1</v>
      </c>
      <c r="G49" s="496">
        <f>IFERROR(VLOOKUP($A49,'All Stock'!$C$31:$AN$39,'All Stock'!E$40,FALSE),"")</f>
        <v>1</v>
      </c>
      <c r="H49" s="496">
        <f>IFERROR(VLOOKUP($A49,'All Stock'!$C$31:$AN$39,'All Stock'!F$40,FALSE),"")</f>
        <v>1</v>
      </c>
      <c r="I49" s="496">
        <f>IFERROR(VLOOKUP($A49,'All Stock'!$C$31:$AN$39,'All Stock'!G$40,FALSE),"")</f>
        <v>1</v>
      </c>
      <c r="J49" s="496">
        <f>IFERROR(VLOOKUP($A49,'All Stock'!$C$31:$AN$39,'All Stock'!H$40,FALSE),"")</f>
        <v>1</v>
      </c>
      <c r="K49" s="496">
        <f>IFERROR(VLOOKUP($A49,'All Stock'!$C$31:$AN$39,'All Stock'!I$40,FALSE),"")</f>
        <v>1</v>
      </c>
      <c r="L49" s="496">
        <f>IFERROR(VLOOKUP($A49,'All Stock'!$C$31:$AN$39,'All Stock'!J$40,FALSE),"")</f>
        <v>1</v>
      </c>
      <c r="M49" s="496">
        <f>IFERROR(VLOOKUP($A49,'All Stock'!$C$31:$AN$39,'All Stock'!K$40,FALSE),"")</f>
        <v>1</v>
      </c>
      <c r="N49" s="496">
        <f>IFERROR(VLOOKUP($A49,'All Stock'!$C$31:$AN$39,'All Stock'!L$40,FALSE),"")</f>
        <v>1</v>
      </c>
      <c r="O49" s="496">
        <f>IFERROR(VLOOKUP($A49,'All Stock'!$C$31:$AN$39,'All Stock'!M$40,FALSE),"")</f>
        <v>1</v>
      </c>
      <c r="P49" s="496">
        <f>IFERROR(VLOOKUP($A49,'All Stock'!$C$31:$AN$39,'All Stock'!N$40,FALSE),"")</f>
        <v>1</v>
      </c>
      <c r="Q49" s="496">
        <f>IFERROR(VLOOKUP($A49,'All Stock'!$C$31:$AN$39,'All Stock'!O$40,FALSE),"")</f>
        <v>1</v>
      </c>
      <c r="R49" s="496">
        <f>IFERROR(VLOOKUP($A49,'All Stock'!$C$31:$AN$39,'All Stock'!P$40,FALSE),"")</f>
        <v>1</v>
      </c>
      <c r="S49" s="496">
        <f>IFERROR(VLOOKUP($A49,'All Stock'!$C$31:$AN$39,'All Stock'!Q$40,FALSE),"")</f>
        <v>1</v>
      </c>
      <c r="T49" s="496">
        <f>IFERROR(VLOOKUP($A49,'All Stock'!$C$31:$AN$39,'All Stock'!R$40,FALSE),"")</f>
        <v>1</v>
      </c>
      <c r="U49" s="496">
        <f>IFERROR(VLOOKUP($A49,'All Stock'!$C$31:$AN$39,'All Stock'!S$40,FALSE),"")</f>
        <v>1</v>
      </c>
      <c r="V49" s="496">
        <f>IFERROR(VLOOKUP($A49,'All Stock'!$C$31:$AN$39,'All Stock'!T$40,FALSE),"")</f>
        <v>1</v>
      </c>
      <c r="W49" s="496">
        <f>IFERROR(VLOOKUP($A49,'All Stock'!$C$31:$AN$39,'All Stock'!U$40,FALSE),"")</f>
        <v>1</v>
      </c>
      <c r="X49" s="496">
        <f>IFERROR(VLOOKUP($A49,'All Stock'!$C$31:$AN$39,'All Stock'!V$40,FALSE),"")</f>
        <v>1</v>
      </c>
      <c r="Y49" s="496">
        <f>IFERROR(VLOOKUP($A49,'All Stock'!$C$31:$AN$39,'All Stock'!W$40,FALSE),"")</f>
        <v>1</v>
      </c>
      <c r="Z49" s="496">
        <f>IFERROR(VLOOKUP($A49,'All Stock'!$C$31:$AN$39,'All Stock'!X$40,FALSE),"")</f>
        <v>1</v>
      </c>
      <c r="AA49" s="496">
        <f>IFERROR(VLOOKUP($A49,'All Stock'!$C$31:$AN$39,'All Stock'!Y$40,FALSE),"")</f>
        <v>1</v>
      </c>
      <c r="AB49" s="496">
        <f>IFERROR(VLOOKUP($A49,'All Stock'!$C$31:$AN$39,'All Stock'!Z$40,FALSE),"")</f>
        <v>1</v>
      </c>
      <c r="AC49" s="496">
        <f>IFERROR(VLOOKUP($A49,'All Stock'!$C$31:$AN$39,'All Stock'!AA$40,FALSE),"")</f>
        <v>1</v>
      </c>
      <c r="AD49" s="496">
        <f>IFERROR(VLOOKUP($A49,'All Stock'!$C$31:$AN$39,'All Stock'!AB$40,FALSE),"")</f>
        <v>1</v>
      </c>
      <c r="AE49" s="496">
        <f>IFERROR(VLOOKUP($A49,'All Stock'!$C$31:$AN$39,'All Stock'!AC$40,FALSE),"")</f>
        <v>1</v>
      </c>
      <c r="AF49" s="496">
        <f>IFERROR(VLOOKUP($A49,'All Stock'!$C$31:$AN$39,'All Stock'!AD$40,FALSE),"")</f>
        <v>1</v>
      </c>
      <c r="AG49" s="496">
        <f>IFERROR(VLOOKUP($A49,'All Stock'!$C$31:$AN$39,'All Stock'!AE$40,FALSE),"")</f>
        <v>1</v>
      </c>
      <c r="AH49" s="496">
        <f>IFERROR(VLOOKUP($A49,'All Stock'!$C$31:$AN$39,'All Stock'!AF$40,FALSE),"")</f>
        <v>1</v>
      </c>
      <c r="AI49" s="496">
        <f>IFERROR(VLOOKUP($A49,'All Stock'!$C$31:$AN$39,'All Stock'!AG$40,FALSE),"")</f>
        <v>1</v>
      </c>
      <c r="AJ49" s="496">
        <f>IFERROR(VLOOKUP($A49,'All Stock'!$C$31:$AN$39,'All Stock'!AH$40,FALSE),"")</f>
        <v>1</v>
      </c>
      <c r="AK49" s="496">
        <f>IFERROR(VLOOKUP($A49,'All Stock'!$C$31:$AN$39,'All Stock'!AI$40,FALSE),"")</f>
        <v>1</v>
      </c>
      <c r="AL49" s="496">
        <f>IFERROR(VLOOKUP($A49,'All Stock'!$C$31:$AN$39,'All Stock'!AJ$40,FALSE),"")</f>
        <v>1</v>
      </c>
      <c r="AM49" s="496">
        <f>IFERROR(VLOOKUP($A49,'All Stock'!$C$31:$AN$39,'All Stock'!AK$40,FALSE),"")</f>
        <v>1</v>
      </c>
      <c r="AN49" s="496">
        <f>IFERROR(VLOOKUP($A49,'All Stock'!$C$31:$AN$39,'All Stock'!AL$40,FALSE),"")</f>
        <v>1</v>
      </c>
      <c r="AO49" s="496">
        <f>IFERROR(VLOOKUP($A49,'All Stock'!$C$31:$AN$39,'All Stock'!AM$40,FALSE),"")</f>
        <v>1</v>
      </c>
      <c r="AP49" s="496">
        <f>IFERROR(VLOOKUP($A49,'All Stock'!$C$31:$AN$39,'All Stock'!AN$40,FALSE),"")</f>
        <v>1</v>
      </c>
      <c r="AQ49" s="509"/>
      <c r="AR49" s="509"/>
      <c r="AS49" s="509"/>
      <c r="AT49" s="509"/>
      <c r="AX49" s="467"/>
      <c r="AY49" s="467"/>
      <c r="AZ49" s="467"/>
      <c r="BA49" s="467"/>
      <c r="BB49" s="467"/>
      <c r="BC49" s="467"/>
      <c r="BD49" s="467"/>
      <c r="BE49" s="467"/>
      <c r="BF49" s="467"/>
      <c r="BG49" s="467"/>
      <c r="BH49" s="467"/>
      <c r="BI49" s="467"/>
      <c r="BJ49" s="467"/>
      <c r="BK49" s="467"/>
      <c r="BL49" s="467"/>
      <c r="BM49" s="467"/>
      <c r="BN49" s="467"/>
      <c r="BO49" s="467"/>
      <c r="BP49" s="467"/>
      <c r="BQ49" s="467"/>
      <c r="BR49" s="467"/>
      <c r="BS49" s="467"/>
      <c r="BT49" s="467"/>
      <c r="BU49" s="467"/>
      <c r="BV49" s="467"/>
      <c r="BW49" s="467"/>
      <c r="BX49" s="467"/>
      <c r="BY49" s="467"/>
      <c r="BZ49" s="467"/>
      <c r="CA49" s="467"/>
      <c r="CB49" s="467"/>
      <c r="CC49" s="467"/>
      <c r="CD49" s="467"/>
      <c r="CE49" s="467"/>
      <c r="CF49" s="467"/>
      <c r="CG49" s="467"/>
      <c r="CH49" s="467"/>
    </row>
    <row r="50" spans="1:86">
      <c r="A50" s="819" t="s">
        <v>937</v>
      </c>
      <c r="C50" t="str">
        <f t="shared" si="24"/>
        <v>R_ES-SH-FL_ELC-HPA</v>
      </c>
      <c r="E50" t="str">
        <f t="shared" si="25"/>
        <v>R_ES-FL-SpHeat</v>
      </c>
      <c r="F50" s="496">
        <f>IFERROR(VLOOKUP($A50,'All Stock'!$C$31:$AN$39,'All Stock'!D$40,FALSE),"")</f>
        <v>2.5</v>
      </c>
      <c r="G50" s="496">
        <f>IFERROR(VLOOKUP($A50,'All Stock'!$C$31:$AN$39,'All Stock'!E$40,FALSE),"")</f>
        <v>2.5</v>
      </c>
      <c r="H50" s="496">
        <f>IFERROR(VLOOKUP($A50,'All Stock'!$C$31:$AN$39,'All Stock'!F$40,FALSE),"")</f>
        <v>2.5</v>
      </c>
      <c r="I50" s="496">
        <f>IFERROR(VLOOKUP($A50,'All Stock'!$C$31:$AN$39,'All Stock'!G$40,FALSE),"")</f>
        <v>2.5</v>
      </c>
      <c r="J50" s="496">
        <f>IFERROR(VLOOKUP($A50,'All Stock'!$C$31:$AN$39,'All Stock'!H$40,FALSE),"")</f>
        <v>2.5</v>
      </c>
      <c r="K50" s="496">
        <f>IFERROR(VLOOKUP($A50,'All Stock'!$C$31:$AN$39,'All Stock'!I$40,FALSE),"")</f>
        <v>2.5</v>
      </c>
      <c r="L50" s="496">
        <f>IFERROR(VLOOKUP($A50,'All Stock'!$C$31:$AN$39,'All Stock'!J$40,FALSE),"")</f>
        <v>2.5</v>
      </c>
      <c r="M50" s="496">
        <f>IFERROR(VLOOKUP($A50,'All Stock'!$C$31:$AN$39,'All Stock'!K$40,FALSE),"")</f>
        <v>2.5</v>
      </c>
      <c r="N50" s="496">
        <f>IFERROR(VLOOKUP($A50,'All Stock'!$C$31:$AN$39,'All Stock'!L$40,FALSE),"")</f>
        <v>2.5</v>
      </c>
      <c r="O50" s="496">
        <f>IFERROR(VLOOKUP($A50,'All Stock'!$C$31:$AN$39,'All Stock'!M$40,FALSE),"")</f>
        <v>2.5</v>
      </c>
      <c r="P50" s="496">
        <f>IFERROR(VLOOKUP($A50,'All Stock'!$C$31:$AN$39,'All Stock'!N$40,FALSE),"")</f>
        <v>2.5</v>
      </c>
      <c r="Q50" s="496">
        <f>IFERROR(VLOOKUP($A50,'All Stock'!$C$31:$AN$39,'All Stock'!O$40,FALSE),"")</f>
        <v>2.5</v>
      </c>
      <c r="R50" s="496">
        <f>IFERROR(VLOOKUP($A50,'All Stock'!$C$31:$AN$39,'All Stock'!P$40,FALSE),"")</f>
        <v>2.5</v>
      </c>
      <c r="S50" s="496">
        <f>IFERROR(VLOOKUP($A50,'All Stock'!$C$31:$AN$39,'All Stock'!Q$40,FALSE),"")</f>
        <v>2.5</v>
      </c>
      <c r="T50" s="496">
        <f>IFERROR(VLOOKUP($A50,'All Stock'!$C$31:$AN$39,'All Stock'!R$40,FALSE),"")</f>
        <v>2.5</v>
      </c>
      <c r="U50" s="496">
        <f>IFERROR(VLOOKUP($A50,'All Stock'!$C$31:$AN$39,'All Stock'!S$40,FALSE),"")</f>
        <v>2.5</v>
      </c>
      <c r="V50" s="496">
        <f>IFERROR(VLOOKUP($A50,'All Stock'!$C$31:$AN$39,'All Stock'!T$40,FALSE),"")</f>
        <v>2.5</v>
      </c>
      <c r="W50" s="496">
        <f>IFERROR(VLOOKUP($A50,'All Stock'!$C$31:$AN$39,'All Stock'!U$40,FALSE),"")</f>
        <v>2.5</v>
      </c>
      <c r="X50" s="496">
        <f>IFERROR(VLOOKUP($A50,'All Stock'!$C$31:$AN$39,'All Stock'!V$40,FALSE),"")</f>
        <v>2.5</v>
      </c>
      <c r="Y50" s="496">
        <f>IFERROR(VLOOKUP($A50,'All Stock'!$C$31:$AN$39,'All Stock'!W$40,FALSE),"")</f>
        <v>2.5</v>
      </c>
      <c r="Z50" s="496">
        <f>IFERROR(VLOOKUP($A50,'All Stock'!$C$31:$AN$39,'All Stock'!X$40,FALSE),"")</f>
        <v>2.5</v>
      </c>
      <c r="AA50" s="496">
        <f>IFERROR(VLOOKUP($A50,'All Stock'!$C$31:$AN$39,'All Stock'!Y$40,FALSE),"")</f>
        <v>2.5</v>
      </c>
      <c r="AB50" s="496">
        <f>IFERROR(VLOOKUP($A50,'All Stock'!$C$31:$AN$39,'All Stock'!Z$40,FALSE),"")</f>
        <v>2.5</v>
      </c>
      <c r="AC50" s="496">
        <f>IFERROR(VLOOKUP($A50,'All Stock'!$C$31:$AN$39,'All Stock'!AA$40,FALSE),"")</f>
        <v>2.5</v>
      </c>
      <c r="AD50" s="496">
        <f>IFERROR(VLOOKUP($A50,'All Stock'!$C$31:$AN$39,'All Stock'!AB$40,FALSE),"")</f>
        <v>2.5</v>
      </c>
      <c r="AE50" s="496">
        <f>IFERROR(VLOOKUP($A50,'All Stock'!$C$31:$AN$39,'All Stock'!AC$40,FALSE),"")</f>
        <v>2.5</v>
      </c>
      <c r="AF50" s="496">
        <f>IFERROR(VLOOKUP($A50,'All Stock'!$C$31:$AN$39,'All Stock'!AD$40,FALSE),"")</f>
        <v>2.5</v>
      </c>
      <c r="AG50" s="496">
        <f>IFERROR(VLOOKUP($A50,'All Stock'!$C$31:$AN$39,'All Stock'!AE$40,FALSE),"")</f>
        <v>2.5</v>
      </c>
      <c r="AH50" s="496">
        <f>IFERROR(VLOOKUP($A50,'All Stock'!$C$31:$AN$39,'All Stock'!AF$40,FALSE),"")</f>
        <v>2.5</v>
      </c>
      <c r="AI50" s="496">
        <f>IFERROR(VLOOKUP($A50,'All Stock'!$C$31:$AN$39,'All Stock'!AG$40,FALSE),"")</f>
        <v>2.5</v>
      </c>
      <c r="AJ50" s="496">
        <f>IFERROR(VLOOKUP($A50,'All Stock'!$C$31:$AN$39,'All Stock'!AH$40,FALSE),"")</f>
        <v>2.5</v>
      </c>
      <c r="AK50" s="496">
        <f>IFERROR(VLOOKUP($A50,'All Stock'!$C$31:$AN$39,'All Stock'!AI$40,FALSE),"")</f>
        <v>2.5</v>
      </c>
      <c r="AL50" s="496">
        <f>IFERROR(VLOOKUP($A50,'All Stock'!$C$31:$AN$39,'All Stock'!AJ$40,FALSE),"")</f>
        <v>2.5</v>
      </c>
      <c r="AM50" s="496">
        <f>IFERROR(VLOOKUP($A50,'All Stock'!$C$31:$AN$39,'All Stock'!AK$40,FALSE),"")</f>
        <v>2.5</v>
      </c>
      <c r="AN50" s="496">
        <f>IFERROR(VLOOKUP($A50,'All Stock'!$C$31:$AN$39,'All Stock'!AL$40,FALSE),"")</f>
        <v>2.5</v>
      </c>
      <c r="AO50" s="496">
        <f>IFERROR(VLOOKUP($A50,'All Stock'!$C$31:$AN$39,'All Stock'!AM$40,FALSE),"")</f>
        <v>2.5</v>
      </c>
      <c r="AP50" s="496">
        <f>IFERROR(VLOOKUP($A50,'All Stock'!$C$31:$AN$39,'All Stock'!AN$40,FALSE),"")</f>
        <v>2.5</v>
      </c>
      <c r="AQ50" s="509"/>
      <c r="AR50" s="509"/>
      <c r="AS50" s="509"/>
      <c r="AT50" s="509"/>
      <c r="AX50" s="467"/>
      <c r="AY50" s="467"/>
      <c r="AZ50" s="467"/>
      <c r="BA50" s="467"/>
      <c r="BB50" s="467"/>
      <c r="BC50" s="467"/>
      <c r="BD50" s="467"/>
      <c r="BE50" s="467"/>
      <c r="BF50" s="467"/>
      <c r="BG50" s="467"/>
      <c r="BH50" s="467"/>
      <c r="BI50" s="467"/>
      <c r="BJ50" s="467"/>
      <c r="BK50" s="467"/>
      <c r="BL50" s="467"/>
      <c r="BM50" s="467"/>
      <c r="BN50" s="467"/>
      <c r="BO50" s="467"/>
      <c r="BP50" s="467"/>
      <c r="BQ50" s="467"/>
      <c r="BR50" s="467"/>
      <c r="BS50" s="467"/>
      <c r="BT50" s="467"/>
      <c r="BU50" s="467"/>
      <c r="BV50" s="467"/>
      <c r="BW50" s="467"/>
      <c r="BX50" s="467"/>
      <c r="BY50" s="467"/>
      <c r="BZ50" s="467"/>
      <c r="CA50" s="467"/>
      <c r="CB50" s="467"/>
      <c r="CC50" s="467"/>
      <c r="CD50" s="467"/>
      <c r="CE50" s="467"/>
      <c r="CF50" s="467"/>
      <c r="CG50" s="467"/>
      <c r="CH50" s="467"/>
    </row>
    <row r="51" spans="1:86">
      <c r="A51" s="819" t="s">
        <v>938</v>
      </c>
      <c r="C51" t="str">
        <f t="shared" si="24"/>
        <v>R_ES-SH-FL_ELC-HPG</v>
      </c>
      <c r="E51" t="str">
        <f t="shared" si="25"/>
        <v>R_ES-FL-SpHeat</v>
      </c>
      <c r="F51" s="496">
        <f>IFERROR(VLOOKUP($A51,'All Stock'!$C$31:$AN$39,'All Stock'!D$40,FALSE),"")</f>
        <v>3</v>
      </c>
      <c r="G51" s="496">
        <f>IFERROR(VLOOKUP($A51,'All Stock'!$C$31:$AN$39,'All Stock'!E$40,FALSE),"")</f>
        <v>3</v>
      </c>
      <c r="H51" s="496">
        <f>IFERROR(VLOOKUP($A51,'All Stock'!$C$31:$AN$39,'All Stock'!F$40,FALSE),"")</f>
        <v>3</v>
      </c>
      <c r="I51" s="496">
        <f>IFERROR(VLOOKUP($A51,'All Stock'!$C$31:$AN$39,'All Stock'!G$40,FALSE),"")</f>
        <v>3</v>
      </c>
      <c r="J51" s="496">
        <f>IFERROR(VLOOKUP($A51,'All Stock'!$C$31:$AN$39,'All Stock'!H$40,FALSE),"")</f>
        <v>3</v>
      </c>
      <c r="K51" s="496">
        <f>IFERROR(VLOOKUP($A51,'All Stock'!$C$31:$AN$39,'All Stock'!I$40,FALSE),"")</f>
        <v>3</v>
      </c>
      <c r="L51" s="496">
        <f>IFERROR(VLOOKUP($A51,'All Stock'!$C$31:$AN$39,'All Stock'!J$40,FALSE),"")</f>
        <v>3</v>
      </c>
      <c r="M51" s="496">
        <f>IFERROR(VLOOKUP($A51,'All Stock'!$C$31:$AN$39,'All Stock'!K$40,FALSE),"")</f>
        <v>3</v>
      </c>
      <c r="N51" s="496">
        <f>IFERROR(VLOOKUP($A51,'All Stock'!$C$31:$AN$39,'All Stock'!L$40,FALSE),"")</f>
        <v>3</v>
      </c>
      <c r="O51" s="496">
        <f>IFERROR(VLOOKUP($A51,'All Stock'!$C$31:$AN$39,'All Stock'!M$40,FALSE),"")</f>
        <v>3</v>
      </c>
      <c r="P51" s="496">
        <f>IFERROR(VLOOKUP($A51,'All Stock'!$C$31:$AN$39,'All Stock'!N$40,FALSE),"")</f>
        <v>3</v>
      </c>
      <c r="Q51" s="496">
        <f>IFERROR(VLOOKUP($A51,'All Stock'!$C$31:$AN$39,'All Stock'!O$40,FALSE),"")</f>
        <v>3</v>
      </c>
      <c r="R51" s="496">
        <f>IFERROR(VLOOKUP($A51,'All Stock'!$C$31:$AN$39,'All Stock'!P$40,FALSE),"")</f>
        <v>3</v>
      </c>
      <c r="S51" s="496">
        <f>IFERROR(VLOOKUP($A51,'All Stock'!$C$31:$AN$39,'All Stock'!Q$40,FALSE),"")</f>
        <v>3</v>
      </c>
      <c r="T51" s="496">
        <f>IFERROR(VLOOKUP($A51,'All Stock'!$C$31:$AN$39,'All Stock'!R$40,FALSE),"")</f>
        <v>3</v>
      </c>
      <c r="U51" s="496">
        <f>IFERROR(VLOOKUP($A51,'All Stock'!$C$31:$AN$39,'All Stock'!S$40,FALSE),"")</f>
        <v>3</v>
      </c>
      <c r="V51" s="496">
        <f>IFERROR(VLOOKUP($A51,'All Stock'!$C$31:$AN$39,'All Stock'!T$40,FALSE),"")</f>
        <v>3</v>
      </c>
      <c r="W51" s="496">
        <f>IFERROR(VLOOKUP($A51,'All Stock'!$C$31:$AN$39,'All Stock'!U$40,FALSE),"")</f>
        <v>3</v>
      </c>
      <c r="X51" s="496">
        <f>IFERROR(VLOOKUP($A51,'All Stock'!$C$31:$AN$39,'All Stock'!V$40,FALSE),"")</f>
        <v>3</v>
      </c>
      <c r="Y51" s="496">
        <f>IFERROR(VLOOKUP($A51,'All Stock'!$C$31:$AN$39,'All Stock'!W$40,FALSE),"")</f>
        <v>3</v>
      </c>
      <c r="Z51" s="496">
        <f>IFERROR(VLOOKUP($A51,'All Stock'!$C$31:$AN$39,'All Stock'!X$40,FALSE),"")</f>
        <v>3</v>
      </c>
      <c r="AA51" s="496">
        <f>IFERROR(VLOOKUP($A51,'All Stock'!$C$31:$AN$39,'All Stock'!Y$40,FALSE),"")</f>
        <v>3</v>
      </c>
      <c r="AB51" s="496">
        <f>IFERROR(VLOOKUP($A51,'All Stock'!$C$31:$AN$39,'All Stock'!Z$40,FALSE),"")</f>
        <v>3</v>
      </c>
      <c r="AC51" s="496">
        <f>IFERROR(VLOOKUP($A51,'All Stock'!$C$31:$AN$39,'All Stock'!AA$40,FALSE),"")</f>
        <v>3</v>
      </c>
      <c r="AD51" s="496">
        <f>IFERROR(VLOOKUP($A51,'All Stock'!$C$31:$AN$39,'All Stock'!AB$40,FALSE),"")</f>
        <v>3</v>
      </c>
      <c r="AE51" s="496">
        <f>IFERROR(VLOOKUP($A51,'All Stock'!$C$31:$AN$39,'All Stock'!AC$40,FALSE),"")</f>
        <v>3</v>
      </c>
      <c r="AF51" s="496">
        <f>IFERROR(VLOOKUP($A51,'All Stock'!$C$31:$AN$39,'All Stock'!AD$40,FALSE),"")</f>
        <v>3</v>
      </c>
      <c r="AG51" s="496">
        <f>IFERROR(VLOOKUP($A51,'All Stock'!$C$31:$AN$39,'All Stock'!AE$40,FALSE),"")</f>
        <v>3</v>
      </c>
      <c r="AH51" s="496">
        <f>IFERROR(VLOOKUP($A51,'All Stock'!$C$31:$AN$39,'All Stock'!AF$40,FALSE),"")</f>
        <v>3</v>
      </c>
      <c r="AI51" s="496">
        <f>IFERROR(VLOOKUP($A51,'All Stock'!$C$31:$AN$39,'All Stock'!AG$40,FALSE),"")</f>
        <v>3</v>
      </c>
      <c r="AJ51" s="496">
        <f>IFERROR(VLOOKUP($A51,'All Stock'!$C$31:$AN$39,'All Stock'!AH$40,FALSE),"")</f>
        <v>3</v>
      </c>
      <c r="AK51" s="496">
        <f>IFERROR(VLOOKUP($A51,'All Stock'!$C$31:$AN$39,'All Stock'!AI$40,FALSE),"")</f>
        <v>3</v>
      </c>
      <c r="AL51" s="496">
        <f>IFERROR(VLOOKUP($A51,'All Stock'!$C$31:$AN$39,'All Stock'!AJ$40,FALSE),"")</f>
        <v>3</v>
      </c>
      <c r="AM51" s="496">
        <f>IFERROR(VLOOKUP($A51,'All Stock'!$C$31:$AN$39,'All Stock'!AK$40,FALSE),"")</f>
        <v>3</v>
      </c>
      <c r="AN51" s="496">
        <f>IFERROR(VLOOKUP($A51,'All Stock'!$C$31:$AN$39,'All Stock'!AL$40,FALSE),"")</f>
        <v>3</v>
      </c>
      <c r="AO51" s="496">
        <f>IFERROR(VLOOKUP($A51,'All Stock'!$C$31:$AN$39,'All Stock'!AM$40,FALSE),"")</f>
        <v>3</v>
      </c>
      <c r="AP51" s="496">
        <f>IFERROR(VLOOKUP($A51,'All Stock'!$C$31:$AN$39,'All Stock'!AN$40,FALSE),"")</f>
        <v>3</v>
      </c>
      <c r="AQ51" s="509"/>
      <c r="AR51" s="509"/>
      <c r="AS51" s="509"/>
      <c r="AT51" s="509"/>
      <c r="AX51" s="467"/>
      <c r="AY51" s="467"/>
      <c r="AZ51" s="467"/>
      <c r="BA51" s="467"/>
      <c r="BB51" s="467"/>
      <c r="BC51" s="467"/>
      <c r="BD51" s="467"/>
      <c r="BE51" s="467"/>
      <c r="BF51" s="467"/>
      <c r="BG51" s="467"/>
      <c r="BH51" s="467"/>
      <c r="BI51" s="467"/>
      <c r="BJ51" s="467"/>
      <c r="BK51" s="467"/>
      <c r="BL51" s="467"/>
      <c r="BM51" s="467"/>
      <c r="BN51" s="467"/>
      <c r="BO51" s="467"/>
      <c r="BP51" s="467"/>
      <c r="BQ51" s="467"/>
      <c r="BR51" s="467"/>
      <c r="BS51" s="467"/>
      <c r="BT51" s="467"/>
      <c r="BU51" s="467"/>
      <c r="BV51" s="467"/>
      <c r="BW51" s="467"/>
      <c r="BX51" s="467"/>
      <c r="BY51" s="467"/>
      <c r="BZ51" s="467"/>
      <c r="CA51" s="467"/>
      <c r="CB51" s="467"/>
      <c r="CC51" s="467"/>
      <c r="CD51" s="467"/>
      <c r="CE51" s="467"/>
      <c r="CF51" s="467"/>
      <c r="CG51" s="467"/>
      <c r="CH51" s="467"/>
    </row>
    <row r="52" spans="1:86">
      <c r="A52" t="str">
        <f t="shared" ref="A52:A59" si="26">A8</f>
        <v>Gases</v>
      </c>
      <c r="C52" t="str">
        <f t="shared" si="24"/>
        <v>R_ES-SH-FL_GAS</v>
      </c>
      <c r="E52" t="str">
        <f t="shared" si="25"/>
        <v>R_ES-FL-SpHeat</v>
      </c>
      <c r="F52" s="496">
        <f>IFERROR(VLOOKUP($A52,'All Stock'!$C$31:$AN$39,'All Stock'!D$40,FALSE),"")</f>
        <v>0.9</v>
      </c>
      <c r="G52" s="496">
        <f>IFERROR(VLOOKUP($A52,'All Stock'!$C$31:$AN$39,'All Stock'!E$40,FALSE),"")</f>
        <v>0.9</v>
      </c>
      <c r="H52" s="496">
        <f>IFERROR(VLOOKUP($A52,'All Stock'!$C$31:$AN$39,'All Stock'!F$40,FALSE),"")</f>
        <v>0.85</v>
      </c>
      <c r="I52" s="496">
        <f>IFERROR(VLOOKUP($A52,'All Stock'!$C$31:$AN$39,'All Stock'!G$40,FALSE),"")</f>
        <v>0.9</v>
      </c>
      <c r="J52" s="496">
        <f>IFERROR(VLOOKUP($A52,'All Stock'!$C$31:$AN$39,'All Stock'!H$40,FALSE),"")</f>
        <v>0.85</v>
      </c>
      <c r="K52" s="496">
        <f>IFERROR(VLOOKUP($A52,'All Stock'!$C$31:$AN$39,'All Stock'!I$40,FALSE),"")</f>
        <v>0.85</v>
      </c>
      <c r="L52" s="496">
        <f>IFERROR(VLOOKUP($A52,'All Stock'!$C$31:$AN$39,'All Stock'!J$40,FALSE),"")</f>
        <v>0.9</v>
      </c>
      <c r="M52" s="496">
        <f>IFERROR(VLOOKUP($A52,'All Stock'!$C$31:$AN$39,'All Stock'!K$40,FALSE),"")</f>
        <v>0.9</v>
      </c>
      <c r="N52" s="496">
        <f>IFERROR(VLOOKUP($A52,'All Stock'!$C$31:$AN$39,'All Stock'!L$40,FALSE),"")</f>
        <v>0.85</v>
      </c>
      <c r="O52" s="496">
        <f>IFERROR(VLOOKUP($A52,'All Stock'!$C$31:$AN$39,'All Stock'!M$40,FALSE),"")</f>
        <v>0.9</v>
      </c>
      <c r="P52" s="496">
        <f>IFERROR(VLOOKUP($A52,'All Stock'!$C$31:$AN$39,'All Stock'!N$40,FALSE),"")</f>
        <v>0.9</v>
      </c>
      <c r="Q52" s="496">
        <f>IFERROR(VLOOKUP($A52,'All Stock'!$C$31:$AN$39,'All Stock'!O$40,FALSE),"")</f>
        <v>0.9</v>
      </c>
      <c r="R52" s="496">
        <f>IFERROR(VLOOKUP($A52,'All Stock'!$C$31:$AN$39,'All Stock'!P$40,FALSE),"")</f>
        <v>0.85</v>
      </c>
      <c r="S52" s="496">
        <f>IFERROR(VLOOKUP($A52,'All Stock'!$C$31:$AN$39,'All Stock'!Q$40,FALSE),"")</f>
        <v>0.85</v>
      </c>
      <c r="T52" s="496">
        <f>IFERROR(VLOOKUP($A52,'All Stock'!$C$31:$AN$39,'All Stock'!R$40,FALSE),"")</f>
        <v>0.85</v>
      </c>
      <c r="U52" s="496">
        <f>IFERROR(VLOOKUP($A52,'All Stock'!$C$31:$AN$39,'All Stock'!S$40,FALSE),"")</f>
        <v>0.9</v>
      </c>
      <c r="V52" s="496">
        <f>IFERROR(VLOOKUP($A52,'All Stock'!$C$31:$AN$39,'All Stock'!T$40,FALSE),"")</f>
        <v>0.9</v>
      </c>
      <c r="W52" s="496">
        <f>IFERROR(VLOOKUP($A52,'All Stock'!$C$31:$AN$39,'All Stock'!U$40,FALSE),"")</f>
        <v>0.9</v>
      </c>
      <c r="X52" s="496">
        <f>IFERROR(VLOOKUP($A52,'All Stock'!$C$31:$AN$39,'All Stock'!V$40,FALSE),"")</f>
        <v>0.85</v>
      </c>
      <c r="Y52" s="496">
        <f>IFERROR(VLOOKUP($A52,'All Stock'!$C$31:$AN$39,'All Stock'!W$40,FALSE),"")</f>
        <v>0.9</v>
      </c>
      <c r="Z52" s="496">
        <f>IFERROR(VLOOKUP($A52,'All Stock'!$C$31:$AN$39,'All Stock'!X$40,FALSE),"")</f>
        <v>0.85</v>
      </c>
      <c r="AA52" s="496">
        <f>IFERROR(VLOOKUP($A52,'All Stock'!$C$31:$AN$39,'All Stock'!Y$40,FALSE),"")</f>
        <v>0.85</v>
      </c>
      <c r="AB52" s="496">
        <f>IFERROR(VLOOKUP($A52,'All Stock'!$C$31:$AN$39,'All Stock'!Z$40,FALSE),"")</f>
        <v>0.9</v>
      </c>
      <c r="AC52" s="496">
        <f>IFERROR(VLOOKUP($A52,'All Stock'!$C$31:$AN$39,'All Stock'!AA$40,FALSE),"")</f>
        <v>0.9</v>
      </c>
      <c r="AD52" s="496">
        <f>IFERROR(VLOOKUP($A52,'All Stock'!$C$31:$AN$39,'All Stock'!AB$40,FALSE),"")</f>
        <v>0.85</v>
      </c>
      <c r="AE52" s="496">
        <f>IFERROR(VLOOKUP($A52,'All Stock'!$C$31:$AN$39,'All Stock'!AC$40,FALSE),"")</f>
        <v>0.85</v>
      </c>
      <c r="AF52" s="496">
        <f>IFERROR(VLOOKUP($A52,'All Stock'!$C$31:$AN$39,'All Stock'!AD$40,FALSE),"")</f>
        <v>0.85</v>
      </c>
      <c r="AG52" s="496">
        <f>IFERROR(VLOOKUP($A52,'All Stock'!$C$31:$AN$39,'All Stock'!AE$40,FALSE),"")</f>
        <v>0.9</v>
      </c>
      <c r="AH52" s="496">
        <f>IFERROR(VLOOKUP($A52,'All Stock'!$C$31:$AN$39,'All Stock'!AF$40,FALSE),"")</f>
        <v>0.85</v>
      </c>
      <c r="AI52" s="496">
        <f>IFERROR(VLOOKUP($A52,'All Stock'!$C$31:$AN$39,'All Stock'!AG$40,FALSE),"")</f>
        <v>0.85</v>
      </c>
      <c r="AJ52" s="496">
        <f>IFERROR(VLOOKUP($A52,'All Stock'!$C$31:$AN$39,'All Stock'!AH$40,FALSE),"")</f>
        <v>0.9</v>
      </c>
      <c r="AK52" s="496">
        <f>IFERROR(VLOOKUP($A52,'All Stock'!$C$31:$AN$39,'All Stock'!AI$40,FALSE),"")</f>
        <v>0.85</v>
      </c>
      <c r="AL52" s="496">
        <f>IFERROR(VLOOKUP($A52,'All Stock'!$C$31:$AN$39,'All Stock'!AJ$40,FALSE),"")</f>
        <v>0.85</v>
      </c>
      <c r="AM52" s="496">
        <f>IFERROR(VLOOKUP($A52,'All Stock'!$C$31:$AN$39,'All Stock'!AK$40,FALSE),"")</f>
        <v>0.85</v>
      </c>
      <c r="AN52" s="496">
        <f>IFERROR(VLOOKUP($A52,'All Stock'!$C$31:$AN$39,'All Stock'!AL$40,FALSE),"")</f>
        <v>0.85</v>
      </c>
      <c r="AO52" s="496">
        <f>IFERROR(VLOOKUP($A52,'All Stock'!$C$31:$AN$39,'All Stock'!AM$40,FALSE),"")</f>
        <v>0.85</v>
      </c>
      <c r="AP52" s="496">
        <f>IFERROR(VLOOKUP($A52,'All Stock'!$C$31:$AN$39,'All Stock'!AN$40,FALSE),"")</f>
        <v>0.85</v>
      </c>
      <c r="AQ52" s="509"/>
      <c r="AR52" s="509"/>
      <c r="AS52" s="509"/>
      <c r="AT52" s="509"/>
      <c r="AX52" s="467"/>
      <c r="AY52" s="467"/>
      <c r="AZ52" s="467"/>
      <c r="BA52" s="467"/>
      <c r="BB52" s="467"/>
      <c r="BC52" s="467"/>
      <c r="BD52" s="467"/>
      <c r="BE52" s="467"/>
      <c r="BF52" s="467"/>
      <c r="BG52" s="467"/>
      <c r="BH52" s="467"/>
      <c r="BI52" s="467"/>
      <c r="BJ52" s="467"/>
      <c r="BK52" s="467"/>
      <c r="BL52" s="467"/>
      <c r="BM52" s="467"/>
      <c r="BN52" s="467"/>
      <c r="BO52" s="467"/>
      <c r="BP52" s="467"/>
      <c r="BQ52" s="467"/>
      <c r="BR52" s="467"/>
      <c r="BS52" s="467"/>
      <c r="BT52" s="467"/>
      <c r="BU52" s="467"/>
      <c r="BV52" s="467"/>
      <c r="BW52" s="467"/>
      <c r="BX52" s="467"/>
      <c r="BY52" s="467"/>
      <c r="BZ52" s="467"/>
      <c r="CA52" s="467"/>
      <c r="CB52" s="467"/>
      <c r="CC52" s="467"/>
      <c r="CD52" s="467"/>
      <c r="CE52" s="467"/>
      <c r="CF52" s="467"/>
      <c r="CG52" s="467"/>
      <c r="CH52" s="467"/>
    </row>
    <row r="53" spans="1:86">
      <c r="A53" t="str">
        <f t="shared" si="26"/>
        <v>Derived heat</v>
      </c>
      <c r="C53" t="str">
        <f t="shared" si="24"/>
        <v>R_ES-SH-FL_HET</v>
      </c>
      <c r="E53" t="str">
        <f t="shared" si="25"/>
        <v>R_ES-FL-SpHeat</v>
      </c>
      <c r="F53" s="496">
        <f>IFERROR(VLOOKUP($A53,'All Stock'!$C$31:$AN$39,'All Stock'!D$40,FALSE),"")</f>
        <v>0.95</v>
      </c>
      <c r="G53" s="496">
        <f>IFERROR(VLOOKUP($A53,'All Stock'!$C$31:$AN$39,'All Stock'!E$40,FALSE),"")</f>
        <v>0.95</v>
      </c>
      <c r="H53" s="496">
        <f>IFERROR(VLOOKUP($A53,'All Stock'!$C$31:$AN$39,'All Stock'!F$40,FALSE),"")</f>
        <v>0.85</v>
      </c>
      <c r="I53" s="496">
        <f>IFERROR(VLOOKUP($A53,'All Stock'!$C$31:$AN$39,'All Stock'!G$40,FALSE),"")</f>
        <v>0.95</v>
      </c>
      <c r="J53" s="496">
        <f>IFERROR(VLOOKUP($A53,'All Stock'!$C$31:$AN$39,'All Stock'!H$40,FALSE),"")</f>
        <v>0.85</v>
      </c>
      <c r="K53" s="496">
        <f>IFERROR(VLOOKUP($A53,'All Stock'!$C$31:$AN$39,'All Stock'!I$40,FALSE),"")</f>
        <v>0.85</v>
      </c>
      <c r="L53" s="496">
        <f>IFERROR(VLOOKUP($A53,'All Stock'!$C$31:$AN$39,'All Stock'!J$40,FALSE),"")</f>
        <v>0.95</v>
      </c>
      <c r="M53" s="496">
        <f>IFERROR(VLOOKUP($A53,'All Stock'!$C$31:$AN$39,'All Stock'!K$40,FALSE),"")</f>
        <v>0.95</v>
      </c>
      <c r="N53" s="496">
        <f>IFERROR(VLOOKUP($A53,'All Stock'!$C$31:$AN$39,'All Stock'!L$40,FALSE),"")</f>
        <v>0.85</v>
      </c>
      <c r="O53" s="496">
        <f>IFERROR(VLOOKUP($A53,'All Stock'!$C$31:$AN$39,'All Stock'!M$40,FALSE),"")</f>
        <v>0.95</v>
      </c>
      <c r="P53" s="496">
        <f>IFERROR(VLOOKUP($A53,'All Stock'!$C$31:$AN$39,'All Stock'!N$40,FALSE),"")</f>
        <v>0.95</v>
      </c>
      <c r="Q53" s="496">
        <f>IFERROR(VLOOKUP($A53,'All Stock'!$C$31:$AN$39,'All Stock'!O$40,FALSE),"")</f>
        <v>0.95</v>
      </c>
      <c r="R53" s="496">
        <f>IFERROR(VLOOKUP($A53,'All Stock'!$C$31:$AN$39,'All Stock'!P$40,FALSE),"")</f>
        <v>0.95</v>
      </c>
      <c r="S53" s="496">
        <f>IFERROR(VLOOKUP($A53,'All Stock'!$C$31:$AN$39,'All Stock'!Q$40,FALSE),"")</f>
        <v>0.9</v>
      </c>
      <c r="T53" s="496">
        <f>IFERROR(VLOOKUP($A53,'All Stock'!$C$31:$AN$39,'All Stock'!R$40,FALSE),"")</f>
        <v>0.9</v>
      </c>
      <c r="U53" s="496">
        <f>IFERROR(VLOOKUP($A53,'All Stock'!$C$31:$AN$39,'All Stock'!S$40,FALSE),"")</f>
        <v>0.95</v>
      </c>
      <c r="V53" s="496">
        <f>IFERROR(VLOOKUP($A53,'All Stock'!$C$31:$AN$39,'All Stock'!T$40,FALSE),"")</f>
        <v>0.95</v>
      </c>
      <c r="W53" s="496">
        <f>IFERROR(VLOOKUP($A53,'All Stock'!$C$31:$AN$39,'All Stock'!U$40,FALSE),"")</f>
        <v>0.95</v>
      </c>
      <c r="X53" s="496">
        <f>IFERROR(VLOOKUP($A53,'All Stock'!$C$31:$AN$39,'All Stock'!V$40,FALSE),"")</f>
        <v>0.85</v>
      </c>
      <c r="Y53" s="496">
        <f>IFERROR(VLOOKUP($A53,'All Stock'!$C$31:$AN$39,'All Stock'!W$40,FALSE),"")</f>
        <v>0.95</v>
      </c>
      <c r="Z53" s="496">
        <f>IFERROR(VLOOKUP($A53,'All Stock'!$C$31:$AN$39,'All Stock'!X$40,FALSE),"")</f>
        <v>0.85</v>
      </c>
      <c r="AA53" s="496">
        <f>IFERROR(VLOOKUP($A53,'All Stock'!$C$31:$AN$39,'All Stock'!Y$40,FALSE),"")</f>
        <v>0.85</v>
      </c>
      <c r="AB53" s="496">
        <f>IFERROR(VLOOKUP($A53,'All Stock'!$C$31:$AN$39,'All Stock'!Z$40,FALSE),"")</f>
        <v>0.95</v>
      </c>
      <c r="AC53" s="496">
        <f>IFERROR(VLOOKUP($A53,'All Stock'!$C$31:$AN$39,'All Stock'!AA$40,FALSE),"")</f>
        <v>0.95</v>
      </c>
      <c r="AD53" s="496">
        <f>IFERROR(VLOOKUP($A53,'All Stock'!$C$31:$AN$39,'All Stock'!AB$40,FALSE),"")</f>
        <v>0.85</v>
      </c>
      <c r="AE53" s="496">
        <f>IFERROR(VLOOKUP($A53,'All Stock'!$C$31:$AN$39,'All Stock'!AC$40,FALSE),"")</f>
        <v>0.9</v>
      </c>
      <c r="AF53" s="496">
        <f>IFERROR(VLOOKUP($A53,'All Stock'!$C$31:$AN$39,'All Stock'!AD$40,FALSE),"")</f>
        <v>0.85</v>
      </c>
      <c r="AG53" s="496">
        <f>IFERROR(VLOOKUP($A53,'All Stock'!$C$31:$AN$39,'All Stock'!AE$40,FALSE),"")</f>
        <v>0.95</v>
      </c>
      <c r="AH53" s="496">
        <f>IFERROR(VLOOKUP($A53,'All Stock'!$C$31:$AN$39,'All Stock'!AF$40,FALSE),"")</f>
        <v>0.9</v>
      </c>
      <c r="AI53" s="496">
        <f>IFERROR(VLOOKUP($A53,'All Stock'!$C$31:$AN$39,'All Stock'!AG$40,FALSE),"")</f>
        <v>0.85</v>
      </c>
      <c r="AJ53" s="496">
        <f>IFERROR(VLOOKUP($A53,'All Stock'!$C$31:$AN$39,'All Stock'!AH$40,FALSE),"")</f>
        <v>0.95</v>
      </c>
      <c r="AK53" s="496">
        <f>IFERROR(VLOOKUP($A53,'All Stock'!$C$31:$AN$39,'All Stock'!AI$40,FALSE),"")</f>
        <v>0.85</v>
      </c>
      <c r="AL53" s="496">
        <f>IFERROR(VLOOKUP($A53,'All Stock'!$C$31:$AN$39,'All Stock'!AJ$40,FALSE),"")</f>
        <v>0.85</v>
      </c>
      <c r="AM53" s="496">
        <f>IFERROR(VLOOKUP($A53,'All Stock'!$C$31:$AN$39,'All Stock'!AK$40,FALSE),"")</f>
        <v>0.85</v>
      </c>
      <c r="AN53" s="496">
        <f>IFERROR(VLOOKUP($A53,'All Stock'!$C$31:$AN$39,'All Stock'!AL$40,FALSE),"")</f>
        <v>0.85</v>
      </c>
      <c r="AO53" s="496">
        <f>IFERROR(VLOOKUP($A53,'All Stock'!$C$31:$AN$39,'All Stock'!AM$40,FALSE),"")</f>
        <v>0.85</v>
      </c>
      <c r="AP53" s="496">
        <f>IFERROR(VLOOKUP($A53,'All Stock'!$C$31:$AN$39,'All Stock'!AN$40,FALSE),"")</f>
        <v>0.85</v>
      </c>
      <c r="AQ53" s="509"/>
      <c r="AR53" s="509"/>
      <c r="AS53" s="509"/>
      <c r="AT53" s="509"/>
      <c r="AX53" s="467"/>
      <c r="AY53" s="467"/>
      <c r="AZ53" s="467"/>
      <c r="BA53" s="467"/>
      <c r="BB53" s="467"/>
      <c r="BC53" s="467"/>
      <c r="BD53" s="467"/>
      <c r="BE53" s="467"/>
      <c r="BF53" s="467"/>
      <c r="BG53" s="467"/>
      <c r="BH53" s="467"/>
      <c r="BI53" s="467"/>
      <c r="BJ53" s="467"/>
      <c r="BK53" s="467"/>
      <c r="BL53" s="467"/>
      <c r="BM53" s="467"/>
      <c r="BN53" s="467"/>
      <c r="BO53" s="467"/>
      <c r="BP53" s="467"/>
      <c r="BQ53" s="467"/>
      <c r="BR53" s="467"/>
      <c r="BS53" s="467"/>
      <c r="BT53" s="467"/>
      <c r="BU53" s="467"/>
      <c r="BV53" s="467"/>
      <c r="BW53" s="467"/>
      <c r="BX53" s="467"/>
      <c r="BY53" s="467"/>
      <c r="BZ53" s="467"/>
      <c r="CA53" s="467"/>
      <c r="CB53" s="467"/>
      <c r="CC53" s="467"/>
      <c r="CD53" s="467"/>
      <c r="CE53" s="467"/>
      <c r="CF53" s="467"/>
      <c r="CG53" s="467"/>
      <c r="CH53" s="467"/>
    </row>
    <row r="54" spans="1:86">
      <c r="A54" t="str">
        <f t="shared" si="26"/>
        <v>GDO and other liquids (incl. liq. bio.)</v>
      </c>
      <c r="C54" t="str">
        <f t="shared" si="24"/>
        <v>R_ES-SH-FL_OIL</v>
      </c>
      <c r="E54" t="str">
        <f t="shared" si="25"/>
        <v>R_ES-FL-SpHeat</v>
      </c>
      <c r="F54" s="496">
        <f>IFERROR(VLOOKUP($A54,'All Stock'!$C$31:$AN$39,'All Stock'!D$40,FALSE),"")</f>
        <v>0.8</v>
      </c>
      <c r="G54" s="496">
        <f>IFERROR(VLOOKUP($A54,'All Stock'!$C$31:$AN$39,'All Stock'!E$40,FALSE),"")</f>
        <v>0.8</v>
      </c>
      <c r="H54" s="496">
        <f>IFERROR(VLOOKUP($A54,'All Stock'!$C$31:$AN$39,'All Stock'!F$40,FALSE),"")</f>
        <v>0.75</v>
      </c>
      <c r="I54" s="496">
        <f>IFERROR(VLOOKUP($A54,'All Stock'!$C$31:$AN$39,'All Stock'!G$40,FALSE),"")</f>
        <v>0.8</v>
      </c>
      <c r="J54" s="496">
        <f>IFERROR(VLOOKUP($A54,'All Stock'!$C$31:$AN$39,'All Stock'!H$40,FALSE),"")</f>
        <v>0.8</v>
      </c>
      <c r="K54" s="496">
        <f>IFERROR(VLOOKUP($A54,'All Stock'!$C$31:$AN$39,'All Stock'!I$40,FALSE),"")</f>
        <v>0.75</v>
      </c>
      <c r="L54" s="496">
        <f>IFERROR(VLOOKUP($A54,'All Stock'!$C$31:$AN$39,'All Stock'!J$40,FALSE),"")</f>
        <v>0.8</v>
      </c>
      <c r="M54" s="496">
        <f>IFERROR(VLOOKUP($A54,'All Stock'!$C$31:$AN$39,'All Stock'!K$40,FALSE),"")</f>
        <v>0.8</v>
      </c>
      <c r="N54" s="496">
        <f>IFERROR(VLOOKUP($A54,'All Stock'!$C$31:$AN$39,'All Stock'!L$40,FALSE),"")</f>
        <v>0.8</v>
      </c>
      <c r="O54" s="496">
        <f>IFERROR(VLOOKUP($A54,'All Stock'!$C$31:$AN$39,'All Stock'!M$40,FALSE),"")</f>
        <v>0.8</v>
      </c>
      <c r="P54" s="496">
        <f>IFERROR(VLOOKUP($A54,'All Stock'!$C$31:$AN$39,'All Stock'!N$40,FALSE),"")</f>
        <v>0.8</v>
      </c>
      <c r="Q54" s="496">
        <f>IFERROR(VLOOKUP($A54,'All Stock'!$C$31:$AN$39,'All Stock'!O$40,FALSE),"")</f>
        <v>0.8</v>
      </c>
      <c r="R54" s="496">
        <f>IFERROR(VLOOKUP($A54,'All Stock'!$C$31:$AN$39,'All Stock'!P$40,FALSE),"")</f>
        <v>0.75</v>
      </c>
      <c r="S54" s="496">
        <f>IFERROR(VLOOKUP($A54,'All Stock'!$C$31:$AN$39,'All Stock'!Q$40,FALSE),"")</f>
        <v>0.8</v>
      </c>
      <c r="T54" s="496">
        <f>IFERROR(VLOOKUP($A54,'All Stock'!$C$31:$AN$39,'All Stock'!R$40,FALSE),"")</f>
        <v>0.75</v>
      </c>
      <c r="U54" s="496">
        <f>IFERROR(VLOOKUP($A54,'All Stock'!$C$31:$AN$39,'All Stock'!S$40,FALSE),"")</f>
        <v>0.8</v>
      </c>
      <c r="V54" s="496">
        <f>IFERROR(VLOOKUP($A54,'All Stock'!$C$31:$AN$39,'All Stock'!T$40,FALSE),"")</f>
        <v>0.8</v>
      </c>
      <c r="W54" s="496">
        <f>IFERROR(VLOOKUP($A54,'All Stock'!$C$31:$AN$39,'All Stock'!U$40,FALSE),"")</f>
        <v>0.8</v>
      </c>
      <c r="X54" s="496">
        <f>IFERROR(VLOOKUP($A54,'All Stock'!$C$31:$AN$39,'All Stock'!V$40,FALSE),"")</f>
        <v>0.75</v>
      </c>
      <c r="Y54" s="496">
        <f>IFERROR(VLOOKUP($A54,'All Stock'!$C$31:$AN$39,'All Stock'!W$40,FALSE),"")</f>
        <v>0.8</v>
      </c>
      <c r="Z54" s="496">
        <f>IFERROR(VLOOKUP($A54,'All Stock'!$C$31:$AN$39,'All Stock'!X$40,FALSE),"")</f>
        <v>0.75</v>
      </c>
      <c r="AA54" s="496">
        <f>IFERROR(VLOOKUP($A54,'All Stock'!$C$31:$AN$39,'All Stock'!Y$40,FALSE),"")</f>
        <v>0.75</v>
      </c>
      <c r="AB54" s="496">
        <f>IFERROR(VLOOKUP($A54,'All Stock'!$C$31:$AN$39,'All Stock'!Z$40,FALSE),"")</f>
        <v>0.8</v>
      </c>
      <c r="AC54" s="496">
        <f>IFERROR(VLOOKUP($A54,'All Stock'!$C$31:$AN$39,'All Stock'!AA$40,FALSE),"")</f>
        <v>0.8</v>
      </c>
      <c r="AD54" s="496">
        <f>IFERROR(VLOOKUP($A54,'All Stock'!$C$31:$AN$39,'All Stock'!AB$40,FALSE),"")</f>
        <v>0.75</v>
      </c>
      <c r="AE54" s="496">
        <f>IFERROR(VLOOKUP($A54,'All Stock'!$C$31:$AN$39,'All Stock'!AC$40,FALSE),"")</f>
        <v>0.75</v>
      </c>
      <c r="AF54" s="496">
        <f>IFERROR(VLOOKUP($A54,'All Stock'!$C$31:$AN$39,'All Stock'!AD$40,FALSE),"")</f>
        <v>0.75</v>
      </c>
      <c r="AG54" s="496">
        <f>IFERROR(VLOOKUP($A54,'All Stock'!$C$31:$AN$39,'All Stock'!AE$40,FALSE),"")</f>
        <v>0.8</v>
      </c>
      <c r="AH54" s="496">
        <f>IFERROR(VLOOKUP($A54,'All Stock'!$C$31:$AN$39,'All Stock'!AF$40,FALSE),"")</f>
        <v>0.8</v>
      </c>
      <c r="AI54" s="496">
        <f>IFERROR(VLOOKUP($A54,'All Stock'!$C$31:$AN$39,'All Stock'!AG$40,FALSE),"")</f>
        <v>0.75</v>
      </c>
      <c r="AJ54" s="496">
        <f>IFERROR(VLOOKUP($A54,'All Stock'!$C$31:$AN$39,'All Stock'!AH$40,FALSE),"")</f>
        <v>0.8</v>
      </c>
      <c r="AK54" s="496">
        <f>IFERROR(VLOOKUP($A54,'All Stock'!$C$31:$AN$39,'All Stock'!AI$40,FALSE),"")</f>
        <v>0.75</v>
      </c>
      <c r="AL54" s="496">
        <f>IFERROR(VLOOKUP($A54,'All Stock'!$C$31:$AN$39,'All Stock'!AJ$40,FALSE),"")</f>
        <v>0.75</v>
      </c>
      <c r="AM54" s="496">
        <f>IFERROR(VLOOKUP($A54,'All Stock'!$C$31:$AN$39,'All Stock'!AK$40,FALSE),"")</f>
        <v>0.75</v>
      </c>
      <c r="AN54" s="496">
        <f>IFERROR(VLOOKUP($A54,'All Stock'!$C$31:$AN$39,'All Stock'!AL$40,FALSE),"")</f>
        <v>0.75</v>
      </c>
      <c r="AO54" s="496">
        <f>IFERROR(VLOOKUP($A54,'All Stock'!$C$31:$AN$39,'All Stock'!AM$40,FALSE),"")</f>
        <v>0.75</v>
      </c>
      <c r="AP54" s="496">
        <f>IFERROR(VLOOKUP($A54,'All Stock'!$C$31:$AN$39,'All Stock'!AN$40,FALSE),"")</f>
        <v>0.75</v>
      </c>
      <c r="AQ54" s="509"/>
      <c r="AR54" s="509"/>
      <c r="AS54" s="509"/>
      <c r="AT54" s="509"/>
      <c r="AX54" s="467"/>
      <c r="AY54" s="467"/>
      <c r="AZ54" s="467"/>
      <c r="BA54" s="467"/>
      <c r="BB54" s="467"/>
      <c r="BC54" s="467"/>
      <c r="BD54" s="467"/>
      <c r="BE54" s="467"/>
      <c r="BF54" s="467"/>
      <c r="BG54" s="467"/>
      <c r="BH54" s="467"/>
      <c r="BI54" s="467"/>
      <c r="BJ54" s="467"/>
      <c r="BK54" s="467"/>
      <c r="BL54" s="467"/>
      <c r="BM54" s="467"/>
      <c r="BN54" s="467"/>
      <c r="BO54" s="467"/>
      <c r="BP54" s="467"/>
      <c r="BQ54" s="467"/>
      <c r="BR54" s="467"/>
      <c r="BS54" s="467"/>
      <c r="BT54" s="467"/>
      <c r="BU54" s="467"/>
      <c r="BV54" s="467"/>
      <c r="BW54" s="467"/>
      <c r="BX54" s="467"/>
      <c r="BY54" s="467"/>
      <c r="BZ54" s="467"/>
      <c r="CA54" s="467"/>
      <c r="CB54" s="467"/>
      <c r="CC54" s="467"/>
      <c r="CD54" s="467"/>
      <c r="CE54" s="467"/>
      <c r="CF54" s="467"/>
      <c r="CG54" s="467"/>
      <c r="CH54" s="467"/>
    </row>
    <row r="55" spans="1:86">
      <c r="A55" t="str">
        <f t="shared" si="26"/>
        <v>Biomass and wastes</v>
      </c>
      <c r="C55" t="str">
        <f t="shared" si="24"/>
        <v>R_ES-SH-FL_BIO</v>
      </c>
      <c r="E55" t="str">
        <f t="shared" si="25"/>
        <v>R_ES-FL-SpHeat</v>
      </c>
      <c r="F55" s="496">
        <f>IFERROR(VLOOKUP($A55,'All Stock'!$C$31:$AN$39,'All Stock'!D$40,FALSE),"")</f>
        <v>0.7</v>
      </c>
      <c r="G55" s="496">
        <f>IFERROR(VLOOKUP($A55,'All Stock'!$C$31:$AN$39,'All Stock'!E$40,FALSE),"")</f>
        <v>0.7</v>
      </c>
      <c r="H55" s="496">
        <f>IFERROR(VLOOKUP($A55,'All Stock'!$C$31:$AN$39,'All Stock'!F$40,FALSE),"")</f>
        <v>0.65</v>
      </c>
      <c r="I55" s="496">
        <f>IFERROR(VLOOKUP($A55,'All Stock'!$C$31:$AN$39,'All Stock'!G$40,FALSE),"")</f>
        <v>0.7</v>
      </c>
      <c r="J55" s="496">
        <f>IFERROR(VLOOKUP($A55,'All Stock'!$C$31:$AN$39,'All Stock'!H$40,FALSE),"")</f>
        <v>0.7</v>
      </c>
      <c r="K55" s="496">
        <f>IFERROR(VLOOKUP($A55,'All Stock'!$C$31:$AN$39,'All Stock'!I$40,FALSE),"")</f>
        <v>0.65</v>
      </c>
      <c r="L55" s="496">
        <f>IFERROR(VLOOKUP($A55,'All Stock'!$C$31:$AN$39,'All Stock'!J$40,FALSE),"")</f>
        <v>0.7</v>
      </c>
      <c r="M55" s="496">
        <f>IFERROR(VLOOKUP($A55,'All Stock'!$C$31:$AN$39,'All Stock'!K$40,FALSE),"")</f>
        <v>0.7</v>
      </c>
      <c r="N55" s="496">
        <f>IFERROR(VLOOKUP($A55,'All Stock'!$C$31:$AN$39,'All Stock'!L$40,FALSE),"")</f>
        <v>0.7</v>
      </c>
      <c r="O55" s="496">
        <f>IFERROR(VLOOKUP($A55,'All Stock'!$C$31:$AN$39,'All Stock'!M$40,FALSE),"")</f>
        <v>0.7</v>
      </c>
      <c r="P55" s="496">
        <f>IFERROR(VLOOKUP($A55,'All Stock'!$C$31:$AN$39,'All Stock'!N$40,FALSE),"")</f>
        <v>0.7</v>
      </c>
      <c r="Q55" s="496">
        <f>IFERROR(VLOOKUP($A55,'All Stock'!$C$31:$AN$39,'All Stock'!O$40,FALSE),"")</f>
        <v>0.7</v>
      </c>
      <c r="R55" s="496">
        <f>IFERROR(VLOOKUP($A55,'All Stock'!$C$31:$AN$39,'All Stock'!P$40,FALSE),"")</f>
        <v>0.65</v>
      </c>
      <c r="S55" s="496">
        <f>IFERROR(VLOOKUP($A55,'All Stock'!$C$31:$AN$39,'All Stock'!Q$40,FALSE),"")</f>
        <v>0.7</v>
      </c>
      <c r="T55" s="496">
        <f>IFERROR(VLOOKUP($A55,'All Stock'!$C$31:$AN$39,'All Stock'!R$40,FALSE),"")</f>
        <v>0.65</v>
      </c>
      <c r="U55" s="496">
        <f>IFERROR(VLOOKUP($A55,'All Stock'!$C$31:$AN$39,'All Stock'!S$40,FALSE),"")</f>
        <v>0.7</v>
      </c>
      <c r="V55" s="496">
        <f>IFERROR(VLOOKUP($A55,'All Stock'!$C$31:$AN$39,'All Stock'!T$40,FALSE),"")</f>
        <v>0.7</v>
      </c>
      <c r="W55" s="496">
        <f>IFERROR(VLOOKUP($A55,'All Stock'!$C$31:$AN$39,'All Stock'!U$40,FALSE),"")</f>
        <v>0.7</v>
      </c>
      <c r="X55" s="496">
        <f>IFERROR(VLOOKUP($A55,'All Stock'!$C$31:$AN$39,'All Stock'!V$40,FALSE),"")</f>
        <v>0.65</v>
      </c>
      <c r="Y55" s="496">
        <f>IFERROR(VLOOKUP($A55,'All Stock'!$C$31:$AN$39,'All Stock'!W$40,FALSE),"")</f>
        <v>0.7</v>
      </c>
      <c r="Z55" s="496">
        <f>IFERROR(VLOOKUP($A55,'All Stock'!$C$31:$AN$39,'All Stock'!X$40,FALSE),"")</f>
        <v>0.65</v>
      </c>
      <c r="AA55" s="496">
        <f>IFERROR(VLOOKUP($A55,'All Stock'!$C$31:$AN$39,'All Stock'!Y$40,FALSE),"")</f>
        <v>0.65</v>
      </c>
      <c r="AB55" s="496">
        <f>IFERROR(VLOOKUP($A55,'All Stock'!$C$31:$AN$39,'All Stock'!Z$40,FALSE),"")</f>
        <v>0.7</v>
      </c>
      <c r="AC55" s="496">
        <f>IFERROR(VLOOKUP($A55,'All Stock'!$C$31:$AN$39,'All Stock'!AA$40,FALSE),"")</f>
        <v>0.7</v>
      </c>
      <c r="AD55" s="496">
        <f>IFERROR(VLOOKUP($A55,'All Stock'!$C$31:$AN$39,'All Stock'!AB$40,FALSE),"")</f>
        <v>0.65</v>
      </c>
      <c r="AE55" s="496">
        <f>IFERROR(VLOOKUP($A55,'All Stock'!$C$31:$AN$39,'All Stock'!AC$40,FALSE),"")</f>
        <v>0.65</v>
      </c>
      <c r="AF55" s="496">
        <f>IFERROR(VLOOKUP($A55,'All Stock'!$C$31:$AN$39,'All Stock'!AD$40,FALSE),"")</f>
        <v>0.65</v>
      </c>
      <c r="AG55" s="496">
        <f>IFERROR(VLOOKUP($A55,'All Stock'!$C$31:$AN$39,'All Stock'!AE$40,FALSE),"")</f>
        <v>0.7</v>
      </c>
      <c r="AH55" s="496">
        <f>IFERROR(VLOOKUP($A55,'All Stock'!$C$31:$AN$39,'All Stock'!AF$40,FALSE),"")</f>
        <v>0.7</v>
      </c>
      <c r="AI55" s="496">
        <f>IFERROR(VLOOKUP($A55,'All Stock'!$C$31:$AN$39,'All Stock'!AG$40,FALSE),"")</f>
        <v>0.65</v>
      </c>
      <c r="AJ55" s="496">
        <f>IFERROR(VLOOKUP($A55,'All Stock'!$C$31:$AN$39,'All Stock'!AH$40,FALSE),"")</f>
        <v>0.7</v>
      </c>
      <c r="AK55" s="496">
        <f>IFERROR(VLOOKUP($A55,'All Stock'!$C$31:$AN$39,'All Stock'!AI$40,FALSE),"")</f>
        <v>0.65</v>
      </c>
      <c r="AL55" s="496">
        <f>IFERROR(VLOOKUP($A55,'All Stock'!$C$31:$AN$39,'All Stock'!AJ$40,FALSE),"")</f>
        <v>0.65</v>
      </c>
      <c r="AM55" s="496">
        <f>IFERROR(VLOOKUP($A55,'All Stock'!$C$31:$AN$39,'All Stock'!AK$40,FALSE),"")</f>
        <v>0.65</v>
      </c>
      <c r="AN55" s="496">
        <f>IFERROR(VLOOKUP($A55,'All Stock'!$C$31:$AN$39,'All Stock'!AL$40,FALSE),"")</f>
        <v>0.65</v>
      </c>
      <c r="AO55" s="496">
        <f>IFERROR(VLOOKUP($A55,'All Stock'!$C$31:$AN$39,'All Stock'!AM$40,FALSE),"")</f>
        <v>0.65</v>
      </c>
      <c r="AP55" s="496">
        <f>IFERROR(VLOOKUP($A55,'All Stock'!$C$31:$AN$39,'All Stock'!AN$40,FALSE),"")</f>
        <v>0.65</v>
      </c>
      <c r="AQ55" s="509"/>
      <c r="AR55" s="509"/>
      <c r="AS55" s="509"/>
      <c r="AT55" s="509"/>
      <c r="AX55" s="467"/>
      <c r="AY55" s="467"/>
      <c r="AZ55" s="467"/>
      <c r="BA55" s="467"/>
      <c r="BB55" s="467"/>
      <c r="BC55" s="467"/>
      <c r="BD55" s="467"/>
      <c r="BE55" s="467"/>
      <c r="BF55" s="467"/>
      <c r="BG55" s="467"/>
      <c r="BH55" s="467"/>
      <c r="BI55" s="467"/>
      <c r="BJ55" s="467"/>
      <c r="BK55" s="467"/>
      <c r="BL55" s="467"/>
      <c r="BM55" s="467"/>
      <c r="BN55" s="467"/>
      <c r="BO55" s="467"/>
      <c r="BP55" s="467"/>
      <c r="BQ55" s="467"/>
      <c r="BR55" s="467"/>
      <c r="BS55" s="467"/>
      <c r="BT55" s="467"/>
      <c r="BU55" s="467"/>
      <c r="BV55" s="467"/>
      <c r="BW55" s="467"/>
      <c r="BX55" s="467"/>
      <c r="BY55" s="467"/>
      <c r="BZ55" s="467"/>
      <c r="CA55" s="467"/>
      <c r="CB55" s="467"/>
      <c r="CC55" s="467"/>
      <c r="CD55" s="467"/>
      <c r="CE55" s="467"/>
      <c r="CF55" s="467"/>
      <c r="CG55" s="467"/>
      <c r="CH55" s="467"/>
    </row>
    <row r="56" spans="1:86">
      <c r="A56" t="str">
        <f t="shared" si="26"/>
        <v>Solids</v>
      </c>
      <c r="C56" t="str">
        <f t="shared" si="24"/>
        <v>R_ES-SH-FL_COA</v>
      </c>
      <c r="E56" t="str">
        <f t="shared" si="25"/>
        <v>R_ES-FL-SpHeat</v>
      </c>
      <c r="F56" s="496">
        <f>IFERROR(VLOOKUP($A56,'All Stock'!$C$31:$AN$39,'All Stock'!D$40,FALSE),"")</f>
        <v>0.65</v>
      </c>
      <c r="G56" s="496">
        <f>IFERROR(VLOOKUP($A56,'All Stock'!$C$31:$AN$39,'All Stock'!E$40,FALSE),"")</f>
        <v>0.65</v>
      </c>
      <c r="H56" s="496">
        <f>IFERROR(VLOOKUP($A56,'All Stock'!$C$31:$AN$39,'All Stock'!F$40,FALSE),"")</f>
        <v>0.6</v>
      </c>
      <c r="I56" s="496">
        <f>IFERROR(VLOOKUP($A56,'All Stock'!$C$31:$AN$39,'All Stock'!G$40,FALSE),"")</f>
        <v>0.65</v>
      </c>
      <c r="J56" s="496">
        <f>IFERROR(VLOOKUP($A56,'All Stock'!$C$31:$AN$39,'All Stock'!H$40,FALSE),"")</f>
        <v>0.65</v>
      </c>
      <c r="K56" s="496">
        <f>IFERROR(VLOOKUP($A56,'All Stock'!$C$31:$AN$39,'All Stock'!I$40,FALSE),"")</f>
        <v>0.6</v>
      </c>
      <c r="L56" s="496">
        <f>IFERROR(VLOOKUP($A56,'All Stock'!$C$31:$AN$39,'All Stock'!J$40,FALSE),"")</f>
        <v>0.65</v>
      </c>
      <c r="M56" s="496">
        <f>IFERROR(VLOOKUP($A56,'All Stock'!$C$31:$AN$39,'All Stock'!K$40,FALSE),"")</f>
        <v>0.65</v>
      </c>
      <c r="N56" s="496">
        <f>IFERROR(VLOOKUP($A56,'All Stock'!$C$31:$AN$39,'All Stock'!L$40,FALSE),"")</f>
        <v>0.65</v>
      </c>
      <c r="O56" s="496">
        <f>IFERROR(VLOOKUP($A56,'All Stock'!$C$31:$AN$39,'All Stock'!M$40,FALSE),"")</f>
        <v>0.65</v>
      </c>
      <c r="P56" s="496">
        <f>IFERROR(VLOOKUP($A56,'All Stock'!$C$31:$AN$39,'All Stock'!N$40,FALSE),"")</f>
        <v>0.65</v>
      </c>
      <c r="Q56" s="496">
        <f>IFERROR(VLOOKUP($A56,'All Stock'!$C$31:$AN$39,'All Stock'!O$40,FALSE),"")</f>
        <v>0.65</v>
      </c>
      <c r="R56" s="496">
        <f>IFERROR(VLOOKUP($A56,'All Stock'!$C$31:$AN$39,'All Stock'!P$40,FALSE),"")</f>
        <v>0.6</v>
      </c>
      <c r="S56" s="496">
        <f>IFERROR(VLOOKUP($A56,'All Stock'!$C$31:$AN$39,'All Stock'!Q$40,FALSE),"")</f>
        <v>0.65</v>
      </c>
      <c r="T56" s="496">
        <f>IFERROR(VLOOKUP($A56,'All Stock'!$C$31:$AN$39,'All Stock'!R$40,FALSE),"")</f>
        <v>0.6</v>
      </c>
      <c r="U56" s="496">
        <f>IFERROR(VLOOKUP($A56,'All Stock'!$C$31:$AN$39,'All Stock'!S$40,FALSE),"")</f>
        <v>0.65</v>
      </c>
      <c r="V56" s="496">
        <f>IFERROR(VLOOKUP($A56,'All Stock'!$C$31:$AN$39,'All Stock'!T$40,FALSE),"")</f>
        <v>0.65</v>
      </c>
      <c r="W56" s="496">
        <f>IFERROR(VLOOKUP($A56,'All Stock'!$C$31:$AN$39,'All Stock'!U$40,FALSE),"")</f>
        <v>0.65</v>
      </c>
      <c r="X56" s="496">
        <f>IFERROR(VLOOKUP($A56,'All Stock'!$C$31:$AN$39,'All Stock'!V$40,FALSE),"")</f>
        <v>0.6</v>
      </c>
      <c r="Y56" s="496">
        <f>IFERROR(VLOOKUP($A56,'All Stock'!$C$31:$AN$39,'All Stock'!W$40,FALSE),"")</f>
        <v>0.65</v>
      </c>
      <c r="Z56" s="496">
        <f>IFERROR(VLOOKUP($A56,'All Stock'!$C$31:$AN$39,'All Stock'!X$40,FALSE),"")</f>
        <v>0.6</v>
      </c>
      <c r="AA56" s="496">
        <f>IFERROR(VLOOKUP($A56,'All Stock'!$C$31:$AN$39,'All Stock'!Y$40,FALSE),"")</f>
        <v>0.6</v>
      </c>
      <c r="AB56" s="496">
        <f>IFERROR(VLOOKUP($A56,'All Stock'!$C$31:$AN$39,'All Stock'!Z$40,FALSE),"")</f>
        <v>0.65</v>
      </c>
      <c r="AC56" s="496">
        <f>IFERROR(VLOOKUP($A56,'All Stock'!$C$31:$AN$39,'All Stock'!AA$40,FALSE),"")</f>
        <v>0.65</v>
      </c>
      <c r="AD56" s="496">
        <f>IFERROR(VLOOKUP($A56,'All Stock'!$C$31:$AN$39,'All Stock'!AB$40,FALSE),"")</f>
        <v>0.6</v>
      </c>
      <c r="AE56" s="496">
        <f>IFERROR(VLOOKUP($A56,'All Stock'!$C$31:$AN$39,'All Stock'!AC$40,FALSE),"")</f>
        <v>0.6</v>
      </c>
      <c r="AF56" s="496">
        <f>IFERROR(VLOOKUP($A56,'All Stock'!$C$31:$AN$39,'All Stock'!AD$40,FALSE),"")</f>
        <v>0.6</v>
      </c>
      <c r="AG56" s="496">
        <f>IFERROR(VLOOKUP($A56,'All Stock'!$C$31:$AN$39,'All Stock'!AE$40,FALSE),"")</f>
        <v>0.65</v>
      </c>
      <c r="AH56" s="496">
        <f>IFERROR(VLOOKUP($A56,'All Stock'!$C$31:$AN$39,'All Stock'!AF$40,FALSE),"")</f>
        <v>0.65</v>
      </c>
      <c r="AI56" s="496">
        <f>IFERROR(VLOOKUP($A56,'All Stock'!$C$31:$AN$39,'All Stock'!AG$40,FALSE),"")</f>
        <v>0.6</v>
      </c>
      <c r="AJ56" s="496">
        <f>IFERROR(VLOOKUP($A56,'All Stock'!$C$31:$AN$39,'All Stock'!AH$40,FALSE),"")</f>
        <v>0.65</v>
      </c>
      <c r="AK56" s="496">
        <f>IFERROR(VLOOKUP($A56,'All Stock'!$C$31:$AN$39,'All Stock'!AI$40,FALSE),"")</f>
        <v>0.6</v>
      </c>
      <c r="AL56" s="496">
        <f>IFERROR(VLOOKUP($A56,'All Stock'!$C$31:$AN$39,'All Stock'!AJ$40,FALSE),"")</f>
        <v>0.6</v>
      </c>
      <c r="AM56" s="496">
        <f>IFERROR(VLOOKUP($A56,'All Stock'!$C$31:$AN$39,'All Stock'!AK$40,FALSE),"")</f>
        <v>0.6</v>
      </c>
      <c r="AN56" s="496">
        <f>IFERROR(VLOOKUP($A56,'All Stock'!$C$31:$AN$39,'All Stock'!AL$40,FALSE),"")</f>
        <v>0.6</v>
      </c>
      <c r="AO56" s="496">
        <f>IFERROR(VLOOKUP($A56,'All Stock'!$C$31:$AN$39,'All Stock'!AM$40,FALSE),"")</f>
        <v>0.6</v>
      </c>
      <c r="AP56" s="496">
        <f>IFERROR(VLOOKUP($A56,'All Stock'!$C$31:$AN$39,'All Stock'!AN$40,FALSE),"")</f>
        <v>0.6</v>
      </c>
      <c r="AQ56" s="509"/>
      <c r="AR56" s="509"/>
      <c r="AS56" s="509"/>
      <c r="AT56" s="509"/>
      <c r="AX56" s="467"/>
      <c r="AY56" s="467"/>
      <c r="AZ56" s="467"/>
      <c r="BA56" s="467"/>
      <c r="BB56" s="467"/>
      <c r="BC56" s="467"/>
      <c r="BD56" s="467"/>
      <c r="BE56" s="467"/>
      <c r="BF56" s="467"/>
      <c r="BG56" s="467"/>
      <c r="BH56" s="467"/>
      <c r="BI56" s="467"/>
      <c r="BJ56" s="467"/>
      <c r="BK56" s="467"/>
      <c r="BL56" s="467"/>
      <c r="BM56" s="467"/>
      <c r="BN56" s="467"/>
      <c r="BO56" s="467"/>
      <c r="BP56" s="467"/>
      <c r="BQ56" s="467"/>
      <c r="BR56" s="467"/>
      <c r="BS56" s="467"/>
      <c r="BT56" s="467"/>
      <c r="BU56" s="467"/>
      <c r="BV56" s="467"/>
      <c r="BW56" s="467"/>
      <c r="BX56" s="467"/>
      <c r="BY56" s="467"/>
      <c r="BZ56" s="467"/>
      <c r="CA56" s="467"/>
      <c r="CB56" s="467"/>
      <c r="CC56" s="467"/>
      <c r="CD56" s="467"/>
      <c r="CE56" s="467"/>
      <c r="CF56" s="467"/>
      <c r="CG56" s="467"/>
      <c r="CH56" s="467"/>
    </row>
    <row r="57" spans="1:86">
      <c r="A57" t="str">
        <f t="shared" si="26"/>
        <v>LPG</v>
      </c>
      <c r="C57" t="str">
        <f t="shared" si="24"/>
        <v>R_ES-SH-FL_LPG</v>
      </c>
      <c r="E57" t="str">
        <f t="shared" si="25"/>
        <v>R_ES-FL-SpHeat</v>
      </c>
      <c r="F57" s="496">
        <f>F54</f>
        <v>0.8</v>
      </c>
      <c r="G57" s="496">
        <f t="shared" ref="G57:AP57" si="27">G54</f>
        <v>0.8</v>
      </c>
      <c r="H57" s="496">
        <f t="shared" si="27"/>
        <v>0.75</v>
      </c>
      <c r="I57" s="496">
        <f t="shared" si="27"/>
        <v>0.8</v>
      </c>
      <c r="J57" s="496">
        <f t="shared" si="27"/>
        <v>0.8</v>
      </c>
      <c r="K57" s="496">
        <f t="shared" si="27"/>
        <v>0.75</v>
      </c>
      <c r="L57" s="496">
        <f t="shared" si="27"/>
        <v>0.8</v>
      </c>
      <c r="M57" s="496">
        <f t="shared" si="27"/>
        <v>0.8</v>
      </c>
      <c r="N57" s="496">
        <f t="shared" si="27"/>
        <v>0.8</v>
      </c>
      <c r="O57" s="496">
        <f t="shared" si="27"/>
        <v>0.8</v>
      </c>
      <c r="P57" s="496">
        <f t="shared" si="27"/>
        <v>0.8</v>
      </c>
      <c r="Q57" s="496">
        <f t="shared" si="27"/>
        <v>0.8</v>
      </c>
      <c r="R57" s="496">
        <f t="shared" si="27"/>
        <v>0.75</v>
      </c>
      <c r="S57" s="496">
        <f t="shared" si="27"/>
        <v>0.8</v>
      </c>
      <c r="T57" s="496">
        <f t="shared" si="27"/>
        <v>0.75</v>
      </c>
      <c r="U57" s="496">
        <f t="shared" si="27"/>
        <v>0.8</v>
      </c>
      <c r="V57" s="496">
        <f t="shared" si="27"/>
        <v>0.8</v>
      </c>
      <c r="W57" s="496">
        <f t="shared" si="27"/>
        <v>0.8</v>
      </c>
      <c r="X57" s="496">
        <f t="shared" si="27"/>
        <v>0.75</v>
      </c>
      <c r="Y57" s="496">
        <f t="shared" si="27"/>
        <v>0.8</v>
      </c>
      <c r="Z57" s="496">
        <f t="shared" si="27"/>
        <v>0.75</v>
      </c>
      <c r="AA57" s="496">
        <f t="shared" si="27"/>
        <v>0.75</v>
      </c>
      <c r="AB57" s="496">
        <f t="shared" si="27"/>
        <v>0.8</v>
      </c>
      <c r="AC57" s="496">
        <f t="shared" si="27"/>
        <v>0.8</v>
      </c>
      <c r="AD57" s="496">
        <f t="shared" si="27"/>
        <v>0.75</v>
      </c>
      <c r="AE57" s="496">
        <f t="shared" si="27"/>
        <v>0.75</v>
      </c>
      <c r="AF57" s="496">
        <f t="shared" si="27"/>
        <v>0.75</v>
      </c>
      <c r="AG57" s="496">
        <f t="shared" si="27"/>
        <v>0.8</v>
      </c>
      <c r="AH57" s="496">
        <f t="shared" si="27"/>
        <v>0.8</v>
      </c>
      <c r="AI57" s="496">
        <f t="shared" si="27"/>
        <v>0.75</v>
      </c>
      <c r="AJ57" s="496">
        <f t="shared" si="27"/>
        <v>0.8</v>
      </c>
      <c r="AK57" s="496">
        <f t="shared" si="27"/>
        <v>0.75</v>
      </c>
      <c r="AL57" s="496">
        <f t="shared" si="27"/>
        <v>0.75</v>
      </c>
      <c r="AM57" s="496">
        <f t="shared" si="27"/>
        <v>0.75</v>
      </c>
      <c r="AN57" s="496">
        <f t="shared" si="27"/>
        <v>0.75</v>
      </c>
      <c r="AO57" s="496">
        <f t="shared" si="27"/>
        <v>0.75</v>
      </c>
      <c r="AP57" s="496">
        <f t="shared" si="27"/>
        <v>0.75</v>
      </c>
      <c r="AQ57" s="509"/>
      <c r="AR57" s="509"/>
      <c r="AS57" s="509"/>
      <c r="AT57" s="509"/>
      <c r="AX57" s="467"/>
      <c r="AY57" s="467"/>
      <c r="AZ57" s="467"/>
      <c r="BA57" s="467"/>
      <c r="BB57" s="467"/>
      <c r="BC57" s="467"/>
      <c r="BD57" s="467"/>
      <c r="BE57" s="467"/>
      <c r="BF57" s="467"/>
      <c r="BG57" s="467"/>
      <c r="BH57" s="467"/>
      <c r="BI57" s="467"/>
      <c r="BJ57" s="467"/>
      <c r="BK57" s="467"/>
      <c r="BL57" s="467"/>
      <c r="BM57" s="467"/>
      <c r="BN57" s="467"/>
      <c r="BO57" s="467"/>
      <c r="BP57" s="467"/>
      <c r="BQ57" s="467"/>
      <c r="BR57" s="467"/>
      <c r="BS57" s="467"/>
      <c r="BT57" s="467"/>
      <c r="BU57" s="467"/>
      <c r="BV57" s="467"/>
      <c r="BW57" s="467"/>
      <c r="BX57" s="467"/>
      <c r="BY57" s="467"/>
      <c r="BZ57" s="467"/>
      <c r="CA57" s="467"/>
      <c r="CB57" s="467"/>
      <c r="CC57" s="467"/>
      <c r="CD57" s="467"/>
      <c r="CE57" s="467"/>
      <c r="CF57" s="467"/>
      <c r="CG57" s="467"/>
      <c r="CH57" s="467"/>
    </row>
    <row r="58" spans="1:86">
      <c r="A58" t="str">
        <f t="shared" si="26"/>
        <v>Geothermal Energy</v>
      </c>
      <c r="C58" t="str">
        <f t="shared" si="24"/>
        <v>R_ES-SH-FL_GEO</v>
      </c>
      <c r="E58" t="str">
        <f t="shared" si="25"/>
        <v>R_ES-FL-SpHeat</v>
      </c>
      <c r="F58" s="496">
        <f>F53</f>
        <v>0.95</v>
      </c>
      <c r="G58" s="496">
        <f t="shared" ref="G58:AP58" si="28">G53</f>
        <v>0.95</v>
      </c>
      <c r="H58" s="496">
        <f t="shared" si="28"/>
        <v>0.85</v>
      </c>
      <c r="I58" s="496">
        <f t="shared" si="28"/>
        <v>0.95</v>
      </c>
      <c r="J58" s="496">
        <f t="shared" si="28"/>
        <v>0.85</v>
      </c>
      <c r="K58" s="496">
        <f t="shared" si="28"/>
        <v>0.85</v>
      </c>
      <c r="L58" s="496">
        <f t="shared" si="28"/>
        <v>0.95</v>
      </c>
      <c r="M58" s="496">
        <f t="shared" si="28"/>
        <v>0.95</v>
      </c>
      <c r="N58" s="496">
        <f t="shared" si="28"/>
        <v>0.85</v>
      </c>
      <c r="O58" s="496">
        <f t="shared" si="28"/>
        <v>0.95</v>
      </c>
      <c r="P58" s="496">
        <f t="shared" si="28"/>
        <v>0.95</v>
      </c>
      <c r="Q58" s="496">
        <f t="shared" si="28"/>
        <v>0.95</v>
      </c>
      <c r="R58" s="496">
        <f t="shared" si="28"/>
        <v>0.95</v>
      </c>
      <c r="S58" s="496">
        <f t="shared" si="28"/>
        <v>0.9</v>
      </c>
      <c r="T58" s="496">
        <f t="shared" si="28"/>
        <v>0.9</v>
      </c>
      <c r="U58" s="496">
        <f t="shared" si="28"/>
        <v>0.95</v>
      </c>
      <c r="V58" s="496">
        <f t="shared" si="28"/>
        <v>0.95</v>
      </c>
      <c r="W58" s="496">
        <f t="shared" si="28"/>
        <v>0.95</v>
      </c>
      <c r="X58" s="496">
        <f t="shared" si="28"/>
        <v>0.85</v>
      </c>
      <c r="Y58" s="496">
        <f t="shared" si="28"/>
        <v>0.95</v>
      </c>
      <c r="Z58" s="496">
        <f t="shared" si="28"/>
        <v>0.85</v>
      </c>
      <c r="AA58" s="496">
        <f t="shared" si="28"/>
        <v>0.85</v>
      </c>
      <c r="AB58" s="496">
        <f t="shared" si="28"/>
        <v>0.95</v>
      </c>
      <c r="AC58" s="496">
        <f t="shared" si="28"/>
        <v>0.95</v>
      </c>
      <c r="AD58" s="496">
        <f t="shared" si="28"/>
        <v>0.85</v>
      </c>
      <c r="AE58" s="496">
        <f t="shared" si="28"/>
        <v>0.9</v>
      </c>
      <c r="AF58" s="496">
        <f t="shared" si="28"/>
        <v>0.85</v>
      </c>
      <c r="AG58" s="496">
        <f t="shared" si="28"/>
        <v>0.95</v>
      </c>
      <c r="AH58" s="496">
        <f t="shared" si="28"/>
        <v>0.9</v>
      </c>
      <c r="AI58" s="496">
        <f t="shared" si="28"/>
        <v>0.85</v>
      </c>
      <c r="AJ58" s="496">
        <f t="shared" si="28"/>
        <v>0.95</v>
      </c>
      <c r="AK58" s="496">
        <f t="shared" si="28"/>
        <v>0.85</v>
      </c>
      <c r="AL58" s="496">
        <f t="shared" si="28"/>
        <v>0.85</v>
      </c>
      <c r="AM58" s="496">
        <f t="shared" si="28"/>
        <v>0.85</v>
      </c>
      <c r="AN58" s="496">
        <f t="shared" si="28"/>
        <v>0.85</v>
      </c>
      <c r="AO58" s="496">
        <f t="shared" si="28"/>
        <v>0.85</v>
      </c>
      <c r="AP58" s="496">
        <f t="shared" si="28"/>
        <v>0.85</v>
      </c>
      <c r="AQ58" s="509"/>
      <c r="AR58" s="509"/>
      <c r="AS58" s="509"/>
      <c r="AT58" s="509"/>
      <c r="AX58" s="467"/>
      <c r="AY58" s="467"/>
      <c r="AZ58" s="467"/>
      <c r="BA58" s="467"/>
      <c r="BB58" s="467"/>
      <c r="BC58" s="467"/>
      <c r="BD58" s="467"/>
      <c r="BE58" s="467"/>
      <c r="BF58" s="467"/>
      <c r="BG58" s="467"/>
      <c r="BH58" s="467"/>
      <c r="BI58" s="467"/>
      <c r="BJ58" s="467"/>
      <c r="BK58" s="467"/>
      <c r="BL58" s="467"/>
      <c r="BM58" s="467"/>
      <c r="BN58" s="467"/>
      <c r="BO58" s="467"/>
      <c r="BP58" s="467"/>
      <c r="BQ58" s="467"/>
      <c r="BR58" s="467"/>
      <c r="BS58" s="467"/>
      <c r="BT58" s="467"/>
      <c r="BU58" s="467"/>
      <c r="BV58" s="467"/>
      <c r="BW58" s="467"/>
      <c r="BX58" s="467"/>
      <c r="BY58" s="467"/>
      <c r="BZ58" s="467"/>
      <c r="CA58" s="467"/>
      <c r="CB58" s="467"/>
      <c r="CC58" s="467"/>
      <c r="CD58" s="467"/>
      <c r="CE58" s="467"/>
      <c r="CF58" s="467"/>
      <c r="CG58" s="467"/>
      <c r="CH58" s="467"/>
    </row>
    <row r="59" spans="1:86">
      <c r="A59" t="str">
        <f t="shared" si="26"/>
        <v>Electricity</v>
      </c>
      <c r="C59" t="str">
        <f t="shared" si="24"/>
        <v>R_ES-SH-DH_ELC-R</v>
      </c>
      <c r="E59" t="str">
        <f t="shared" si="25"/>
        <v>R_ES-DH-SpHeat</v>
      </c>
      <c r="F59" s="496">
        <f>IFERROR(VLOOKUP($A59,'All Stock'!$C$31:$AN$39,'All Stock'!D$40,FALSE),"")</f>
        <v>1</v>
      </c>
      <c r="G59" s="496">
        <f>IFERROR(VLOOKUP($A59,'All Stock'!$C$31:$AN$39,'All Stock'!E$40,FALSE),"")</f>
        <v>1</v>
      </c>
      <c r="H59" s="496">
        <f>IFERROR(VLOOKUP($A59,'All Stock'!$C$31:$AN$39,'All Stock'!F$40,FALSE),"")</f>
        <v>1</v>
      </c>
      <c r="I59" s="496">
        <f>IFERROR(VLOOKUP($A59,'All Stock'!$C$31:$AN$39,'All Stock'!G$40,FALSE),"")</f>
        <v>1</v>
      </c>
      <c r="J59" s="496">
        <f>IFERROR(VLOOKUP($A59,'All Stock'!$C$31:$AN$39,'All Stock'!H$40,FALSE),"")</f>
        <v>1</v>
      </c>
      <c r="K59" s="496">
        <f>IFERROR(VLOOKUP($A59,'All Stock'!$C$31:$AN$39,'All Stock'!I$40,FALSE),"")</f>
        <v>1</v>
      </c>
      <c r="L59" s="496">
        <f>IFERROR(VLOOKUP($A59,'All Stock'!$C$31:$AN$39,'All Stock'!J$40,FALSE),"")</f>
        <v>1</v>
      </c>
      <c r="M59" s="496">
        <f>IFERROR(VLOOKUP($A59,'All Stock'!$C$31:$AN$39,'All Stock'!K$40,FALSE),"")</f>
        <v>1</v>
      </c>
      <c r="N59" s="496">
        <f>IFERROR(VLOOKUP($A59,'All Stock'!$C$31:$AN$39,'All Stock'!L$40,FALSE),"")</f>
        <v>1</v>
      </c>
      <c r="O59" s="496">
        <f>IFERROR(VLOOKUP($A59,'All Stock'!$C$31:$AN$39,'All Stock'!M$40,FALSE),"")</f>
        <v>1</v>
      </c>
      <c r="P59" s="496">
        <f>IFERROR(VLOOKUP($A59,'All Stock'!$C$31:$AN$39,'All Stock'!N$40,FALSE),"")</f>
        <v>1</v>
      </c>
      <c r="Q59" s="496">
        <f>IFERROR(VLOOKUP($A59,'All Stock'!$C$31:$AN$39,'All Stock'!O$40,FALSE),"")</f>
        <v>1</v>
      </c>
      <c r="R59" s="496">
        <f>IFERROR(VLOOKUP($A59,'All Stock'!$C$31:$AN$39,'All Stock'!P$40,FALSE),"")</f>
        <v>1</v>
      </c>
      <c r="S59" s="496">
        <f>IFERROR(VLOOKUP($A59,'All Stock'!$C$31:$AN$39,'All Stock'!Q$40,FALSE),"")</f>
        <v>1</v>
      </c>
      <c r="T59" s="496">
        <f>IFERROR(VLOOKUP($A59,'All Stock'!$C$31:$AN$39,'All Stock'!R$40,FALSE),"")</f>
        <v>1</v>
      </c>
      <c r="U59" s="496">
        <f>IFERROR(VLOOKUP($A59,'All Stock'!$C$31:$AN$39,'All Stock'!S$40,FALSE),"")</f>
        <v>1</v>
      </c>
      <c r="V59" s="496">
        <f>IFERROR(VLOOKUP($A59,'All Stock'!$C$31:$AN$39,'All Stock'!T$40,FALSE),"")</f>
        <v>1</v>
      </c>
      <c r="W59" s="496">
        <f>IFERROR(VLOOKUP($A59,'All Stock'!$C$31:$AN$39,'All Stock'!U$40,FALSE),"")</f>
        <v>1</v>
      </c>
      <c r="X59" s="496">
        <f>IFERROR(VLOOKUP($A59,'All Stock'!$C$31:$AN$39,'All Stock'!V$40,FALSE),"")</f>
        <v>1</v>
      </c>
      <c r="Y59" s="496">
        <f>IFERROR(VLOOKUP($A59,'All Stock'!$C$31:$AN$39,'All Stock'!W$40,FALSE),"")</f>
        <v>1</v>
      </c>
      <c r="Z59" s="496">
        <f>IFERROR(VLOOKUP($A59,'All Stock'!$C$31:$AN$39,'All Stock'!X$40,FALSE),"")</f>
        <v>1</v>
      </c>
      <c r="AA59" s="496">
        <f>IFERROR(VLOOKUP($A59,'All Stock'!$C$31:$AN$39,'All Stock'!Y$40,FALSE),"")</f>
        <v>1</v>
      </c>
      <c r="AB59" s="496">
        <f>IFERROR(VLOOKUP($A59,'All Stock'!$C$31:$AN$39,'All Stock'!Z$40,FALSE),"")</f>
        <v>1</v>
      </c>
      <c r="AC59" s="496">
        <f>IFERROR(VLOOKUP($A59,'All Stock'!$C$31:$AN$39,'All Stock'!AA$40,FALSE),"")</f>
        <v>1</v>
      </c>
      <c r="AD59" s="496">
        <f>IFERROR(VLOOKUP($A59,'All Stock'!$C$31:$AN$39,'All Stock'!AB$40,FALSE),"")</f>
        <v>1</v>
      </c>
      <c r="AE59" s="496">
        <f>IFERROR(VLOOKUP($A59,'All Stock'!$C$31:$AN$39,'All Stock'!AC$40,FALSE),"")</f>
        <v>1</v>
      </c>
      <c r="AF59" s="496">
        <f>IFERROR(VLOOKUP($A59,'All Stock'!$C$31:$AN$39,'All Stock'!AD$40,FALSE),"")</f>
        <v>1</v>
      </c>
      <c r="AG59" s="496">
        <f>IFERROR(VLOOKUP($A59,'All Stock'!$C$31:$AN$39,'All Stock'!AE$40,FALSE),"")</f>
        <v>1</v>
      </c>
      <c r="AH59" s="496">
        <f>IFERROR(VLOOKUP($A59,'All Stock'!$C$31:$AN$39,'All Stock'!AF$40,FALSE),"")</f>
        <v>1</v>
      </c>
      <c r="AI59" s="496">
        <f>IFERROR(VLOOKUP($A59,'All Stock'!$C$31:$AN$39,'All Stock'!AG$40,FALSE),"")</f>
        <v>1</v>
      </c>
      <c r="AJ59" s="496">
        <f>IFERROR(VLOOKUP($A59,'All Stock'!$C$31:$AN$39,'All Stock'!AH$40,FALSE),"")</f>
        <v>1</v>
      </c>
      <c r="AK59" s="496">
        <f>IFERROR(VLOOKUP($A59,'All Stock'!$C$31:$AN$39,'All Stock'!AI$40,FALSE),"")</f>
        <v>1</v>
      </c>
      <c r="AL59" s="496">
        <f>IFERROR(VLOOKUP($A59,'All Stock'!$C$31:$AN$39,'All Stock'!AJ$40,FALSE),"")</f>
        <v>1</v>
      </c>
      <c r="AM59" s="496">
        <f>IFERROR(VLOOKUP($A59,'All Stock'!$C$31:$AN$39,'All Stock'!AK$40,FALSE),"")</f>
        <v>1</v>
      </c>
      <c r="AN59" s="496">
        <f>IFERROR(VLOOKUP($A59,'All Stock'!$C$31:$AN$39,'All Stock'!AL$40,FALSE),"")</f>
        <v>1</v>
      </c>
      <c r="AO59" s="496">
        <f>IFERROR(VLOOKUP($A59,'All Stock'!$C$31:$AN$39,'All Stock'!AM$40,FALSE),"")</f>
        <v>1</v>
      </c>
      <c r="AP59" s="496">
        <f>IFERROR(VLOOKUP($A59,'All Stock'!$C$31:$AN$39,'All Stock'!AN$40,FALSE),"")</f>
        <v>1</v>
      </c>
      <c r="AQ59" s="509"/>
      <c r="AR59" s="509"/>
      <c r="AS59" s="509"/>
      <c r="AT59" s="509"/>
      <c r="AX59" s="467"/>
      <c r="AY59" s="467"/>
      <c r="AZ59" s="467"/>
      <c r="BA59" s="467"/>
      <c r="BB59" s="467"/>
      <c r="BC59" s="467"/>
      <c r="BD59" s="467"/>
      <c r="BE59" s="467"/>
      <c r="BF59" s="467"/>
      <c r="BG59" s="467"/>
      <c r="BH59" s="467"/>
      <c r="BI59" s="467"/>
      <c r="BJ59" s="467"/>
      <c r="BK59" s="467"/>
      <c r="BL59" s="467"/>
      <c r="BM59" s="467"/>
      <c r="BN59" s="467"/>
      <c r="BO59" s="467"/>
      <c r="BP59" s="467"/>
      <c r="BQ59" s="467"/>
      <c r="BR59" s="467"/>
      <c r="BS59" s="467"/>
      <c r="BT59" s="467"/>
      <c r="BU59" s="467"/>
      <c r="BV59" s="467"/>
      <c r="BW59" s="467"/>
      <c r="BX59" s="467"/>
      <c r="BY59" s="467"/>
      <c r="BZ59" s="467"/>
      <c r="CA59" s="467"/>
      <c r="CB59" s="467"/>
      <c r="CC59" s="467"/>
      <c r="CD59" s="467"/>
      <c r="CE59" s="467"/>
      <c r="CF59" s="467"/>
      <c r="CG59" s="467"/>
      <c r="CH59" s="467"/>
    </row>
    <row r="60" spans="1:86">
      <c r="A60" s="819" t="s">
        <v>937</v>
      </c>
      <c r="C60" t="str">
        <f t="shared" si="24"/>
        <v>R_ES-SH-DH_ELC-HPA</v>
      </c>
      <c r="E60" t="str">
        <f t="shared" si="25"/>
        <v>R_ES-DH-SpHeat</v>
      </c>
      <c r="F60" s="496">
        <f>IFERROR(VLOOKUP($A60,'All Stock'!$C$31:$AN$39,'All Stock'!D$40,FALSE),"")</f>
        <v>2.5</v>
      </c>
      <c r="G60" s="496">
        <f>IFERROR(VLOOKUP($A60,'All Stock'!$C$31:$AN$39,'All Stock'!E$40,FALSE),"")</f>
        <v>2.5</v>
      </c>
      <c r="H60" s="496">
        <f>IFERROR(VLOOKUP($A60,'All Stock'!$C$31:$AN$39,'All Stock'!F$40,FALSE),"")</f>
        <v>2.5</v>
      </c>
      <c r="I60" s="496">
        <f>IFERROR(VLOOKUP($A60,'All Stock'!$C$31:$AN$39,'All Stock'!G$40,FALSE),"")</f>
        <v>2.5</v>
      </c>
      <c r="J60" s="496">
        <f>IFERROR(VLOOKUP($A60,'All Stock'!$C$31:$AN$39,'All Stock'!H$40,FALSE),"")</f>
        <v>2.5</v>
      </c>
      <c r="K60" s="496">
        <f>IFERROR(VLOOKUP($A60,'All Stock'!$C$31:$AN$39,'All Stock'!I$40,FALSE),"")</f>
        <v>2.5</v>
      </c>
      <c r="L60" s="496">
        <f>IFERROR(VLOOKUP($A60,'All Stock'!$C$31:$AN$39,'All Stock'!J$40,FALSE),"")</f>
        <v>2.5</v>
      </c>
      <c r="M60" s="496">
        <f>IFERROR(VLOOKUP($A60,'All Stock'!$C$31:$AN$39,'All Stock'!K$40,FALSE),"")</f>
        <v>2.5</v>
      </c>
      <c r="N60" s="496">
        <f>IFERROR(VLOOKUP($A60,'All Stock'!$C$31:$AN$39,'All Stock'!L$40,FALSE),"")</f>
        <v>2.5</v>
      </c>
      <c r="O60" s="496">
        <f>IFERROR(VLOOKUP($A60,'All Stock'!$C$31:$AN$39,'All Stock'!M$40,FALSE),"")</f>
        <v>2.5</v>
      </c>
      <c r="P60" s="496">
        <f>IFERROR(VLOOKUP($A60,'All Stock'!$C$31:$AN$39,'All Stock'!N$40,FALSE),"")</f>
        <v>2.5</v>
      </c>
      <c r="Q60" s="496">
        <f>IFERROR(VLOOKUP($A60,'All Stock'!$C$31:$AN$39,'All Stock'!O$40,FALSE),"")</f>
        <v>2.5</v>
      </c>
      <c r="R60" s="496">
        <f>IFERROR(VLOOKUP($A60,'All Stock'!$C$31:$AN$39,'All Stock'!P$40,FALSE),"")</f>
        <v>2.5</v>
      </c>
      <c r="S60" s="496">
        <f>IFERROR(VLOOKUP($A60,'All Stock'!$C$31:$AN$39,'All Stock'!Q$40,FALSE),"")</f>
        <v>2.5</v>
      </c>
      <c r="T60" s="496">
        <f>IFERROR(VLOOKUP($A60,'All Stock'!$C$31:$AN$39,'All Stock'!R$40,FALSE),"")</f>
        <v>2.5</v>
      </c>
      <c r="U60" s="496">
        <f>IFERROR(VLOOKUP($A60,'All Stock'!$C$31:$AN$39,'All Stock'!S$40,FALSE),"")</f>
        <v>2.5</v>
      </c>
      <c r="V60" s="496">
        <f>IFERROR(VLOOKUP($A60,'All Stock'!$C$31:$AN$39,'All Stock'!T$40,FALSE),"")</f>
        <v>2.5</v>
      </c>
      <c r="W60" s="496">
        <f>IFERROR(VLOOKUP($A60,'All Stock'!$C$31:$AN$39,'All Stock'!U$40,FALSE),"")</f>
        <v>2.5</v>
      </c>
      <c r="X60" s="496">
        <f>IFERROR(VLOOKUP($A60,'All Stock'!$C$31:$AN$39,'All Stock'!V$40,FALSE),"")</f>
        <v>2.5</v>
      </c>
      <c r="Y60" s="496">
        <f>IFERROR(VLOOKUP($A60,'All Stock'!$C$31:$AN$39,'All Stock'!W$40,FALSE),"")</f>
        <v>2.5</v>
      </c>
      <c r="Z60" s="496">
        <f>IFERROR(VLOOKUP($A60,'All Stock'!$C$31:$AN$39,'All Stock'!X$40,FALSE),"")</f>
        <v>2.5</v>
      </c>
      <c r="AA60" s="496">
        <f>IFERROR(VLOOKUP($A60,'All Stock'!$C$31:$AN$39,'All Stock'!Y$40,FALSE),"")</f>
        <v>2.5</v>
      </c>
      <c r="AB60" s="496">
        <f>IFERROR(VLOOKUP($A60,'All Stock'!$C$31:$AN$39,'All Stock'!Z$40,FALSE),"")</f>
        <v>2.5</v>
      </c>
      <c r="AC60" s="496">
        <f>IFERROR(VLOOKUP($A60,'All Stock'!$C$31:$AN$39,'All Stock'!AA$40,FALSE),"")</f>
        <v>2.5</v>
      </c>
      <c r="AD60" s="496">
        <f>IFERROR(VLOOKUP($A60,'All Stock'!$C$31:$AN$39,'All Stock'!AB$40,FALSE),"")</f>
        <v>2.5</v>
      </c>
      <c r="AE60" s="496">
        <f>IFERROR(VLOOKUP($A60,'All Stock'!$C$31:$AN$39,'All Stock'!AC$40,FALSE),"")</f>
        <v>2.5</v>
      </c>
      <c r="AF60" s="496">
        <f>IFERROR(VLOOKUP($A60,'All Stock'!$C$31:$AN$39,'All Stock'!AD$40,FALSE),"")</f>
        <v>2.5</v>
      </c>
      <c r="AG60" s="496">
        <f>IFERROR(VLOOKUP($A60,'All Stock'!$C$31:$AN$39,'All Stock'!AE$40,FALSE),"")</f>
        <v>2.5</v>
      </c>
      <c r="AH60" s="496">
        <f>IFERROR(VLOOKUP($A60,'All Stock'!$C$31:$AN$39,'All Stock'!AF$40,FALSE),"")</f>
        <v>2.5</v>
      </c>
      <c r="AI60" s="496">
        <f>IFERROR(VLOOKUP($A60,'All Stock'!$C$31:$AN$39,'All Stock'!AG$40,FALSE),"")</f>
        <v>2.5</v>
      </c>
      <c r="AJ60" s="496">
        <f>IFERROR(VLOOKUP($A60,'All Stock'!$C$31:$AN$39,'All Stock'!AH$40,FALSE),"")</f>
        <v>2.5</v>
      </c>
      <c r="AK60" s="496">
        <f>IFERROR(VLOOKUP($A60,'All Stock'!$C$31:$AN$39,'All Stock'!AI$40,FALSE),"")</f>
        <v>2.5</v>
      </c>
      <c r="AL60" s="496">
        <f>IFERROR(VLOOKUP($A60,'All Stock'!$C$31:$AN$39,'All Stock'!AJ$40,FALSE),"")</f>
        <v>2.5</v>
      </c>
      <c r="AM60" s="496">
        <f>IFERROR(VLOOKUP($A60,'All Stock'!$C$31:$AN$39,'All Stock'!AK$40,FALSE),"")</f>
        <v>2.5</v>
      </c>
      <c r="AN60" s="496">
        <f>IFERROR(VLOOKUP($A60,'All Stock'!$C$31:$AN$39,'All Stock'!AL$40,FALSE),"")</f>
        <v>2.5</v>
      </c>
      <c r="AO60" s="496">
        <f>IFERROR(VLOOKUP($A60,'All Stock'!$C$31:$AN$39,'All Stock'!AM$40,FALSE),"")</f>
        <v>2.5</v>
      </c>
      <c r="AP60" s="496">
        <f>IFERROR(VLOOKUP($A60,'All Stock'!$C$31:$AN$39,'All Stock'!AN$40,FALSE),"")</f>
        <v>2.5</v>
      </c>
      <c r="AQ60" s="509"/>
      <c r="AR60" s="509"/>
      <c r="AS60" s="509"/>
      <c r="AT60" s="509"/>
      <c r="AX60" s="467"/>
      <c r="AY60" s="467"/>
      <c r="AZ60" s="467"/>
      <c r="BA60" s="467"/>
      <c r="BB60" s="467"/>
      <c r="BC60" s="467"/>
      <c r="BD60" s="467"/>
      <c r="BE60" s="467"/>
      <c r="BF60" s="467"/>
      <c r="BG60" s="467"/>
      <c r="BH60" s="467"/>
      <c r="BI60" s="467"/>
      <c r="BJ60" s="467"/>
      <c r="BK60" s="467"/>
      <c r="BL60" s="467"/>
      <c r="BM60" s="467"/>
      <c r="BN60" s="467"/>
      <c r="BO60" s="467"/>
      <c r="BP60" s="467"/>
      <c r="BQ60" s="467"/>
      <c r="BR60" s="467"/>
      <c r="BS60" s="467"/>
      <c r="BT60" s="467"/>
      <c r="BU60" s="467"/>
      <c r="BV60" s="467"/>
      <c r="BW60" s="467"/>
      <c r="BX60" s="467"/>
      <c r="BY60" s="467"/>
      <c r="BZ60" s="467"/>
      <c r="CA60" s="467"/>
      <c r="CB60" s="467"/>
      <c r="CC60" s="467"/>
      <c r="CD60" s="467"/>
      <c r="CE60" s="467"/>
      <c r="CF60" s="467"/>
      <c r="CG60" s="467"/>
      <c r="CH60" s="467"/>
    </row>
    <row r="61" spans="1:86">
      <c r="A61" s="819" t="s">
        <v>938</v>
      </c>
      <c r="C61" t="str">
        <f t="shared" si="24"/>
        <v>R_ES-SH-DH_ELC-HPG</v>
      </c>
      <c r="E61" t="str">
        <f t="shared" si="25"/>
        <v>R_ES-DH-SpHeat</v>
      </c>
      <c r="F61" s="496">
        <f>IFERROR(VLOOKUP($A61,'All Stock'!$C$31:$AN$39,'All Stock'!D$40,FALSE),"")</f>
        <v>3</v>
      </c>
      <c r="G61" s="496">
        <f>IFERROR(VLOOKUP($A61,'All Stock'!$C$31:$AN$39,'All Stock'!E$40,FALSE),"")</f>
        <v>3</v>
      </c>
      <c r="H61" s="496">
        <f>IFERROR(VLOOKUP($A61,'All Stock'!$C$31:$AN$39,'All Stock'!F$40,FALSE),"")</f>
        <v>3</v>
      </c>
      <c r="I61" s="496">
        <f>IFERROR(VLOOKUP($A61,'All Stock'!$C$31:$AN$39,'All Stock'!G$40,FALSE),"")</f>
        <v>3</v>
      </c>
      <c r="J61" s="496">
        <f>IFERROR(VLOOKUP($A61,'All Stock'!$C$31:$AN$39,'All Stock'!H$40,FALSE),"")</f>
        <v>3</v>
      </c>
      <c r="K61" s="496">
        <f>IFERROR(VLOOKUP($A61,'All Stock'!$C$31:$AN$39,'All Stock'!I$40,FALSE),"")</f>
        <v>3</v>
      </c>
      <c r="L61" s="496">
        <f>IFERROR(VLOOKUP($A61,'All Stock'!$C$31:$AN$39,'All Stock'!J$40,FALSE),"")</f>
        <v>3</v>
      </c>
      <c r="M61" s="496">
        <f>IFERROR(VLOOKUP($A61,'All Stock'!$C$31:$AN$39,'All Stock'!K$40,FALSE),"")</f>
        <v>3</v>
      </c>
      <c r="N61" s="496">
        <f>IFERROR(VLOOKUP($A61,'All Stock'!$C$31:$AN$39,'All Stock'!L$40,FALSE),"")</f>
        <v>3</v>
      </c>
      <c r="O61" s="496">
        <f>IFERROR(VLOOKUP($A61,'All Stock'!$C$31:$AN$39,'All Stock'!M$40,FALSE),"")</f>
        <v>3</v>
      </c>
      <c r="P61" s="496">
        <f>IFERROR(VLOOKUP($A61,'All Stock'!$C$31:$AN$39,'All Stock'!N$40,FALSE),"")</f>
        <v>3</v>
      </c>
      <c r="Q61" s="496">
        <f>IFERROR(VLOOKUP($A61,'All Stock'!$C$31:$AN$39,'All Stock'!O$40,FALSE),"")</f>
        <v>3</v>
      </c>
      <c r="R61" s="496">
        <f>IFERROR(VLOOKUP($A61,'All Stock'!$C$31:$AN$39,'All Stock'!P$40,FALSE),"")</f>
        <v>3</v>
      </c>
      <c r="S61" s="496">
        <f>IFERROR(VLOOKUP($A61,'All Stock'!$C$31:$AN$39,'All Stock'!Q$40,FALSE),"")</f>
        <v>3</v>
      </c>
      <c r="T61" s="496">
        <f>IFERROR(VLOOKUP($A61,'All Stock'!$C$31:$AN$39,'All Stock'!R$40,FALSE),"")</f>
        <v>3</v>
      </c>
      <c r="U61" s="496">
        <f>IFERROR(VLOOKUP($A61,'All Stock'!$C$31:$AN$39,'All Stock'!S$40,FALSE),"")</f>
        <v>3</v>
      </c>
      <c r="V61" s="496">
        <f>IFERROR(VLOOKUP($A61,'All Stock'!$C$31:$AN$39,'All Stock'!T$40,FALSE),"")</f>
        <v>3</v>
      </c>
      <c r="W61" s="496">
        <f>IFERROR(VLOOKUP($A61,'All Stock'!$C$31:$AN$39,'All Stock'!U$40,FALSE),"")</f>
        <v>3</v>
      </c>
      <c r="X61" s="496">
        <f>IFERROR(VLOOKUP($A61,'All Stock'!$C$31:$AN$39,'All Stock'!V$40,FALSE),"")</f>
        <v>3</v>
      </c>
      <c r="Y61" s="496">
        <f>IFERROR(VLOOKUP($A61,'All Stock'!$C$31:$AN$39,'All Stock'!W$40,FALSE),"")</f>
        <v>3</v>
      </c>
      <c r="Z61" s="496">
        <f>IFERROR(VLOOKUP($A61,'All Stock'!$C$31:$AN$39,'All Stock'!X$40,FALSE),"")</f>
        <v>3</v>
      </c>
      <c r="AA61" s="496">
        <f>IFERROR(VLOOKUP($A61,'All Stock'!$C$31:$AN$39,'All Stock'!Y$40,FALSE),"")</f>
        <v>3</v>
      </c>
      <c r="AB61" s="496">
        <f>IFERROR(VLOOKUP($A61,'All Stock'!$C$31:$AN$39,'All Stock'!Z$40,FALSE),"")</f>
        <v>3</v>
      </c>
      <c r="AC61" s="496">
        <f>IFERROR(VLOOKUP($A61,'All Stock'!$C$31:$AN$39,'All Stock'!AA$40,FALSE),"")</f>
        <v>3</v>
      </c>
      <c r="AD61" s="496">
        <f>IFERROR(VLOOKUP($A61,'All Stock'!$C$31:$AN$39,'All Stock'!AB$40,FALSE),"")</f>
        <v>3</v>
      </c>
      <c r="AE61" s="496">
        <f>IFERROR(VLOOKUP($A61,'All Stock'!$C$31:$AN$39,'All Stock'!AC$40,FALSE),"")</f>
        <v>3</v>
      </c>
      <c r="AF61" s="496">
        <f>IFERROR(VLOOKUP($A61,'All Stock'!$C$31:$AN$39,'All Stock'!AD$40,FALSE),"")</f>
        <v>3</v>
      </c>
      <c r="AG61" s="496">
        <f>IFERROR(VLOOKUP($A61,'All Stock'!$C$31:$AN$39,'All Stock'!AE$40,FALSE),"")</f>
        <v>3</v>
      </c>
      <c r="AH61" s="496">
        <f>IFERROR(VLOOKUP($A61,'All Stock'!$C$31:$AN$39,'All Stock'!AF$40,FALSE),"")</f>
        <v>3</v>
      </c>
      <c r="AI61" s="496">
        <f>IFERROR(VLOOKUP($A61,'All Stock'!$C$31:$AN$39,'All Stock'!AG$40,FALSE),"")</f>
        <v>3</v>
      </c>
      <c r="AJ61" s="496">
        <f>IFERROR(VLOOKUP($A61,'All Stock'!$C$31:$AN$39,'All Stock'!AH$40,FALSE),"")</f>
        <v>3</v>
      </c>
      <c r="AK61" s="496">
        <f>IFERROR(VLOOKUP($A61,'All Stock'!$C$31:$AN$39,'All Stock'!AI$40,FALSE),"")</f>
        <v>3</v>
      </c>
      <c r="AL61" s="496">
        <f>IFERROR(VLOOKUP($A61,'All Stock'!$C$31:$AN$39,'All Stock'!AJ$40,FALSE),"")</f>
        <v>3</v>
      </c>
      <c r="AM61" s="496">
        <f>IFERROR(VLOOKUP($A61,'All Stock'!$C$31:$AN$39,'All Stock'!AK$40,FALSE),"")</f>
        <v>3</v>
      </c>
      <c r="AN61" s="496">
        <f>IFERROR(VLOOKUP($A61,'All Stock'!$C$31:$AN$39,'All Stock'!AL$40,FALSE),"")</f>
        <v>3</v>
      </c>
      <c r="AO61" s="496">
        <f>IFERROR(VLOOKUP($A61,'All Stock'!$C$31:$AN$39,'All Stock'!AM$40,FALSE),"")</f>
        <v>3</v>
      </c>
      <c r="AP61" s="496">
        <f>IFERROR(VLOOKUP($A61,'All Stock'!$C$31:$AN$39,'All Stock'!AN$40,FALSE),"")</f>
        <v>3</v>
      </c>
      <c r="AQ61" s="509"/>
      <c r="AR61" s="509"/>
      <c r="AS61" s="509"/>
      <c r="AT61" s="509"/>
      <c r="AX61" s="467"/>
      <c r="AY61" s="467"/>
      <c r="AZ61" s="467"/>
      <c r="BA61" s="467"/>
      <c r="BB61" s="467"/>
      <c r="BC61" s="467"/>
      <c r="BD61" s="467"/>
      <c r="BE61" s="467"/>
      <c r="BF61" s="467"/>
      <c r="BG61" s="467"/>
      <c r="BH61" s="467"/>
      <c r="BI61" s="467"/>
      <c r="BJ61" s="467"/>
      <c r="BK61" s="467"/>
      <c r="BL61" s="467"/>
      <c r="BM61" s="467"/>
      <c r="BN61" s="467"/>
      <c r="BO61" s="467"/>
      <c r="BP61" s="467"/>
      <c r="BQ61" s="467"/>
      <c r="BR61" s="467"/>
      <c r="BS61" s="467"/>
      <c r="BT61" s="467"/>
      <c r="BU61" s="467"/>
      <c r="BV61" s="467"/>
      <c r="BW61" s="467"/>
      <c r="BX61" s="467"/>
      <c r="BY61" s="467"/>
      <c r="BZ61" s="467"/>
      <c r="CA61" s="467"/>
      <c r="CB61" s="467"/>
      <c r="CC61" s="467"/>
      <c r="CD61" s="467"/>
      <c r="CE61" s="467"/>
      <c r="CF61" s="467"/>
      <c r="CG61" s="467"/>
      <c r="CH61" s="467"/>
    </row>
    <row r="62" spans="1:86">
      <c r="A62" t="str">
        <f t="shared" ref="A62:A69" si="29">A18</f>
        <v>Gases</v>
      </c>
      <c r="C62" t="str">
        <f t="shared" si="24"/>
        <v>R_ES-SH-DH_GAS</v>
      </c>
      <c r="E62" t="str">
        <f t="shared" si="25"/>
        <v>R_ES-DH-SpHeat</v>
      </c>
      <c r="F62" s="496">
        <f>IFERROR(VLOOKUP($A62,'All Stock'!$C$31:$AN$39,'All Stock'!D$40,FALSE),"")</f>
        <v>0.9</v>
      </c>
      <c r="G62" s="496">
        <f>IFERROR(VLOOKUP($A62,'All Stock'!$C$31:$AN$39,'All Stock'!E$40,FALSE),"")</f>
        <v>0.9</v>
      </c>
      <c r="H62" s="496">
        <f>IFERROR(VLOOKUP($A62,'All Stock'!$C$31:$AN$39,'All Stock'!F$40,FALSE),"")</f>
        <v>0.85</v>
      </c>
      <c r="I62" s="496">
        <f>IFERROR(VLOOKUP($A62,'All Stock'!$C$31:$AN$39,'All Stock'!G$40,FALSE),"")</f>
        <v>0.9</v>
      </c>
      <c r="J62" s="496">
        <f>IFERROR(VLOOKUP($A62,'All Stock'!$C$31:$AN$39,'All Stock'!H$40,FALSE),"")</f>
        <v>0.85</v>
      </c>
      <c r="K62" s="496">
        <f>IFERROR(VLOOKUP($A62,'All Stock'!$C$31:$AN$39,'All Stock'!I$40,FALSE),"")</f>
        <v>0.85</v>
      </c>
      <c r="L62" s="496">
        <f>IFERROR(VLOOKUP($A62,'All Stock'!$C$31:$AN$39,'All Stock'!J$40,FALSE),"")</f>
        <v>0.9</v>
      </c>
      <c r="M62" s="496">
        <f>IFERROR(VLOOKUP($A62,'All Stock'!$C$31:$AN$39,'All Stock'!K$40,FALSE),"")</f>
        <v>0.9</v>
      </c>
      <c r="N62" s="496">
        <f>IFERROR(VLOOKUP($A62,'All Stock'!$C$31:$AN$39,'All Stock'!L$40,FALSE),"")</f>
        <v>0.85</v>
      </c>
      <c r="O62" s="496">
        <f>IFERROR(VLOOKUP($A62,'All Stock'!$C$31:$AN$39,'All Stock'!M$40,FALSE),"")</f>
        <v>0.9</v>
      </c>
      <c r="P62" s="496">
        <f>IFERROR(VLOOKUP($A62,'All Stock'!$C$31:$AN$39,'All Stock'!N$40,FALSE),"")</f>
        <v>0.9</v>
      </c>
      <c r="Q62" s="496">
        <f>IFERROR(VLOOKUP($A62,'All Stock'!$C$31:$AN$39,'All Stock'!O$40,FALSE),"")</f>
        <v>0.9</v>
      </c>
      <c r="R62" s="496">
        <f>IFERROR(VLOOKUP($A62,'All Stock'!$C$31:$AN$39,'All Stock'!P$40,FALSE),"")</f>
        <v>0.85</v>
      </c>
      <c r="S62" s="496">
        <f>IFERROR(VLOOKUP($A62,'All Stock'!$C$31:$AN$39,'All Stock'!Q$40,FALSE),"")</f>
        <v>0.85</v>
      </c>
      <c r="T62" s="496">
        <f>IFERROR(VLOOKUP($A62,'All Stock'!$C$31:$AN$39,'All Stock'!R$40,FALSE),"")</f>
        <v>0.85</v>
      </c>
      <c r="U62" s="496">
        <f>IFERROR(VLOOKUP($A62,'All Stock'!$C$31:$AN$39,'All Stock'!S$40,FALSE),"")</f>
        <v>0.9</v>
      </c>
      <c r="V62" s="496">
        <f>IFERROR(VLOOKUP($A62,'All Stock'!$C$31:$AN$39,'All Stock'!T$40,FALSE),"")</f>
        <v>0.9</v>
      </c>
      <c r="W62" s="496">
        <f>IFERROR(VLOOKUP($A62,'All Stock'!$C$31:$AN$39,'All Stock'!U$40,FALSE),"")</f>
        <v>0.9</v>
      </c>
      <c r="X62" s="496">
        <f>IFERROR(VLOOKUP($A62,'All Stock'!$C$31:$AN$39,'All Stock'!V$40,FALSE),"")</f>
        <v>0.85</v>
      </c>
      <c r="Y62" s="496">
        <f>IFERROR(VLOOKUP($A62,'All Stock'!$C$31:$AN$39,'All Stock'!W$40,FALSE),"")</f>
        <v>0.9</v>
      </c>
      <c r="Z62" s="496">
        <f>IFERROR(VLOOKUP($A62,'All Stock'!$C$31:$AN$39,'All Stock'!X$40,FALSE),"")</f>
        <v>0.85</v>
      </c>
      <c r="AA62" s="496">
        <f>IFERROR(VLOOKUP($A62,'All Stock'!$C$31:$AN$39,'All Stock'!Y$40,FALSE),"")</f>
        <v>0.85</v>
      </c>
      <c r="AB62" s="496">
        <f>IFERROR(VLOOKUP($A62,'All Stock'!$C$31:$AN$39,'All Stock'!Z$40,FALSE),"")</f>
        <v>0.9</v>
      </c>
      <c r="AC62" s="496">
        <f>IFERROR(VLOOKUP($A62,'All Stock'!$C$31:$AN$39,'All Stock'!AA$40,FALSE),"")</f>
        <v>0.9</v>
      </c>
      <c r="AD62" s="496">
        <f>IFERROR(VLOOKUP($A62,'All Stock'!$C$31:$AN$39,'All Stock'!AB$40,FALSE),"")</f>
        <v>0.85</v>
      </c>
      <c r="AE62" s="496">
        <f>IFERROR(VLOOKUP($A62,'All Stock'!$C$31:$AN$39,'All Stock'!AC$40,FALSE),"")</f>
        <v>0.85</v>
      </c>
      <c r="AF62" s="496">
        <f>IFERROR(VLOOKUP($A62,'All Stock'!$C$31:$AN$39,'All Stock'!AD$40,FALSE),"")</f>
        <v>0.85</v>
      </c>
      <c r="AG62" s="496">
        <f>IFERROR(VLOOKUP($A62,'All Stock'!$C$31:$AN$39,'All Stock'!AE$40,FALSE),"")</f>
        <v>0.9</v>
      </c>
      <c r="AH62" s="496">
        <f>IFERROR(VLOOKUP($A62,'All Stock'!$C$31:$AN$39,'All Stock'!AF$40,FALSE),"")</f>
        <v>0.85</v>
      </c>
      <c r="AI62" s="496">
        <f>IFERROR(VLOOKUP($A62,'All Stock'!$C$31:$AN$39,'All Stock'!AG$40,FALSE),"")</f>
        <v>0.85</v>
      </c>
      <c r="AJ62" s="496">
        <f>IFERROR(VLOOKUP($A62,'All Stock'!$C$31:$AN$39,'All Stock'!AH$40,FALSE),"")</f>
        <v>0.9</v>
      </c>
      <c r="AK62" s="496">
        <f>IFERROR(VLOOKUP($A62,'All Stock'!$C$31:$AN$39,'All Stock'!AI$40,FALSE),"")</f>
        <v>0.85</v>
      </c>
      <c r="AL62" s="496">
        <f>IFERROR(VLOOKUP($A62,'All Stock'!$C$31:$AN$39,'All Stock'!AJ$40,FALSE),"")</f>
        <v>0.85</v>
      </c>
      <c r="AM62" s="496">
        <f>IFERROR(VLOOKUP($A62,'All Stock'!$C$31:$AN$39,'All Stock'!AK$40,FALSE),"")</f>
        <v>0.85</v>
      </c>
      <c r="AN62" s="496">
        <f>IFERROR(VLOOKUP($A62,'All Stock'!$C$31:$AN$39,'All Stock'!AL$40,FALSE),"")</f>
        <v>0.85</v>
      </c>
      <c r="AO62" s="496">
        <f>IFERROR(VLOOKUP($A62,'All Stock'!$C$31:$AN$39,'All Stock'!AM$40,FALSE),"")</f>
        <v>0.85</v>
      </c>
      <c r="AP62" s="496">
        <f>IFERROR(VLOOKUP($A62,'All Stock'!$C$31:$AN$39,'All Stock'!AN$40,FALSE),"")</f>
        <v>0.85</v>
      </c>
      <c r="AQ62" s="509"/>
      <c r="AR62" s="509"/>
      <c r="AS62" s="509"/>
      <c r="AT62" s="509"/>
      <c r="AX62" s="467"/>
      <c r="AY62" s="467"/>
      <c r="AZ62" s="467"/>
      <c r="BA62" s="467"/>
      <c r="BB62" s="467"/>
      <c r="BC62" s="467"/>
      <c r="BD62" s="467"/>
      <c r="BE62" s="467"/>
      <c r="BF62" s="467"/>
      <c r="BG62" s="467"/>
      <c r="BH62" s="467"/>
      <c r="BI62" s="467"/>
      <c r="BJ62" s="467"/>
      <c r="BK62" s="467"/>
      <c r="BL62" s="467"/>
      <c r="BM62" s="467"/>
      <c r="BN62" s="467"/>
      <c r="BO62" s="467"/>
      <c r="BP62" s="467"/>
      <c r="BQ62" s="467"/>
      <c r="BR62" s="467"/>
      <c r="BS62" s="467"/>
      <c r="BT62" s="467"/>
      <c r="BU62" s="467"/>
      <c r="BV62" s="467"/>
      <c r="BW62" s="467"/>
      <c r="BX62" s="467"/>
      <c r="BY62" s="467"/>
      <c r="BZ62" s="467"/>
      <c r="CA62" s="467"/>
      <c r="CB62" s="467"/>
      <c r="CC62" s="467"/>
      <c r="CD62" s="467"/>
      <c r="CE62" s="467"/>
      <c r="CF62" s="467"/>
      <c r="CG62" s="467"/>
      <c r="CH62" s="467"/>
    </row>
    <row r="63" spans="1:86">
      <c r="A63" t="str">
        <f t="shared" si="29"/>
        <v>Derived heat</v>
      </c>
      <c r="C63" t="str">
        <f t="shared" si="24"/>
        <v>R_ES-SH-DH_HET</v>
      </c>
      <c r="E63" t="str">
        <f t="shared" si="25"/>
        <v>R_ES-DH-SpHeat</v>
      </c>
      <c r="F63" s="496">
        <f>IFERROR(VLOOKUP($A63,'All Stock'!$C$31:$AN$39,'All Stock'!D$40,FALSE),"")</f>
        <v>0.95</v>
      </c>
      <c r="G63" s="496">
        <f>IFERROR(VLOOKUP($A63,'All Stock'!$C$31:$AN$39,'All Stock'!E$40,FALSE),"")</f>
        <v>0.95</v>
      </c>
      <c r="H63" s="496">
        <f>IFERROR(VLOOKUP($A63,'All Stock'!$C$31:$AN$39,'All Stock'!F$40,FALSE),"")</f>
        <v>0.85</v>
      </c>
      <c r="I63" s="496">
        <f>IFERROR(VLOOKUP($A63,'All Stock'!$C$31:$AN$39,'All Stock'!G$40,FALSE),"")</f>
        <v>0.95</v>
      </c>
      <c r="J63" s="496">
        <f>IFERROR(VLOOKUP($A63,'All Stock'!$C$31:$AN$39,'All Stock'!H$40,FALSE),"")</f>
        <v>0.85</v>
      </c>
      <c r="K63" s="496">
        <f>IFERROR(VLOOKUP($A63,'All Stock'!$C$31:$AN$39,'All Stock'!I$40,FALSE),"")</f>
        <v>0.85</v>
      </c>
      <c r="L63" s="496">
        <f>IFERROR(VLOOKUP($A63,'All Stock'!$C$31:$AN$39,'All Stock'!J$40,FALSE),"")</f>
        <v>0.95</v>
      </c>
      <c r="M63" s="496">
        <f>IFERROR(VLOOKUP($A63,'All Stock'!$C$31:$AN$39,'All Stock'!K$40,FALSE),"")</f>
        <v>0.95</v>
      </c>
      <c r="N63" s="496">
        <f>IFERROR(VLOOKUP($A63,'All Stock'!$C$31:$AN$39,'All Stock'!L$40,FALSE),"")</f>
        <v>0.85</v>
      </c>
      <c r="O63" s="496">
        <f>IFERROR(VLOOKUP($A63,'All Stock'!$C$31:$AN$39,'All Stock'!M$40,FALSE),"")</f>
        <v>0.95</v>
      </c>
      <c r="P63" s="496">
        <f>IFERROR(VLOOKUP($A63,'All Stock'!$C$31:$AN$39,'All Stock'!N$40,FALSE),"")</f>
        <v>0.95</v>
      </c>
      <c r="Q63" s="496">
        <f>IFERROR(VLOOKUP($A63,'All Stock'!$C$31:$AN$39,'All Stock'!O$40,FALSE),"")</f>
        <v>0.95</v>
      </c>
      <c r="R63" s="496">
        <f>IFERROR(VLOOKUP($A63,'All Stock'!$C$31:$AN$39,'All Stock'!P$40,FALSE),"")</f>
        <v>0.95</v>
      </c>
      <c r="S63" s="496">
        <f>IFERROR(VLOOKUP($A63,'All Stock'!$C$31:$AN$39,'All Stock'!Q$40,FALSE),"")</f>
        <v>0.9</v>
      </c>
      <c r="T63" s="496">
        <f>IFERROR(VLOOKUP($A63,'All Stock'!$C$31:$AN$39,'All Stock'!R$40,FALSE),"")</f>
        <v>0.9</v>
      </c>
      <c r="U63" s="496">
        <f>IFERROR(VLOOKUP($A63,'All Stock'!$C$31:$AN$39,'All Stock'!S$40,FALSE),"")</f>
        <v>0.95</v>
      </c>
      <c r="V63" s="496">
        <f>IFERROR(VLOOKUP($A63,'All Stock'!$C$31:$AN$39,'All Stock'!T$40,FALSE),"")</f>
        <v>0.95</v>
      </c>
      <c r="W63" s="496">
        <f>IFERROR(VLOOKUP($A63,'All Stock'!$C$31:$AN$39,'All Stock'!U$40,FALSE),"")</f>
        <v>0.95</v>
      </c>
      <c r="X63" s="496">
        <f>IFERROR(VLOOKUP($A63,'All Stock'!$C$31:$AN$39,'All Stock'!V$40,FALSE),"")</f>
        <v>0.85</v>
      </c>
      <c r="Y63" s="496">
        <f>IFERROR(VLOOKUP($A63,'All Stock'!$C$31:$AN$39,'All Stock'!W$40,FALSE),"")</f>
        <v>0.95</v>
      </c>
      <c r="Z63" s="496">
        <f>IFERROR(VLOOKUP($A63,'All Stock'!$C$31:$AN$39,'All Stock'!X$40,FALSE),"")</f>
        <v>0.85</v>
      </c>
      <c r="AA63" s="496">
        <f>IFERROR(VLOOKUP($A63,'All Stock'!$C$31:$AN$39,'All Stock'!Y$40,FALSE),"")</f>
        <v>0.85</v>
      </c>
      <c r="AB63" s="496">
        <f>IFERROR(VLOOKUP($A63,'All Stock'!$C$31:$AN$39,'All Stock'!Z$40,FALSE),"")</f>
        <v>0.95</v>
      </c>
      <c r="AC63" s="496">
        <f>IFERROR(VLOOKUP($A63,'All Stock'!$C$31:$AN$39,'All Stock'!AA$40,FALSE),"")</f>
        <v>0.95</v>
      </c>
      <c r="AD63" s="496">
        <f>IFERROR(VLOOKUP($A63,'All Stock'!$C$31:$AN$39,'All Stock'!AB$40,FALSE),"")</f>
        <v>0.85</v>
      </c>
      <c r="AE63" s="496">
        <f>IFERROR(VLOOKUP($A63,'All Stock'!$C$31:$AN$39,'All Stock'!AC$40,FALSE),"")</f>
        <v>0.9</v>
      </c>
      <c r="AF63" s="496">
        <f>IFERROR(VLOOKUP($A63,'All Stock'!$C$31:$AN$39,'All Stock'!AD$40,FALSE),"")</f>
        <v>0.85</v>
      </c>
      <c r="AG63" s="496">
        <f>IFERROR(VLOOKUP($A63,'All Stock'!$C$31:$AN$39,'All Stock'!AE$40,FALSE),"")</f>
        <v>0.95</v>
      </c>
      <c r="AH63" s="496">
        <f>IFERROR(VLOOKUP($A63,'All Stock'!$C$31:$AN$39,'All Stock'!AF$40,FALSE),"")</f>
        <v>0.9</v>
      </c>
      <c r="AI63" s="496">
        <f>IFERROR(VLOOKUP($A63,'All Stock'!$C$31:$AN$39,'All Stock'!AG$40,FALSE),"")</f>
        <v>0.85</v>
      </c>
      <c r="AJ63" s="496">
        <f>IFERROR(VLOOKUP($A63,'All Stock'!$C$31:$AN$39,'All Stock'!AH$40,FALSE),"")</f>
        <v>0.95</v>
      </c>
      <c r="AK63" s="496">
        <f>IFERROR(VLOOKUP($A63,'All Stock'!$C$31:$AN$39,'All Stock'!AI$40,FALSE),"")</f>
        <v>0.85</v>
      </c>
      <c r="AL63" s="496">
        <f>IFERROR(VLOOKUP($A63,'All Stock'!$C$31:$AN$39,'All Stock'!AJ$40,FALSE),"")</f>
        <v>0.85</v>
      </c>
      <c r="AM63" s="496">
        <f>IFERROR(VLOOKUP($A63,'All Stock'!$C$31:$AN$39,'All Stock'!AK$40,FALSE),"")</f>
        <v>0.85</v>
      </c>
      <c r="AN63" s="496">
        <f>IFERROR(VLOOKUP($A63,'All Stock'!$C$31:$AN$39,'All Stock'!AL$40,FALSE),"")</f>
        <v>0.85</v>
      </c>
      <c r="AO63" s="496">
        <f>IFERROR(VLOOKUP($A63,'All Stock'!$C$31:$AN$39,'All Stock'!AM$40,FALSE),"")</f>
        <v>0.85</v>
      </c>
      <c r="AP63" s="496">
        <f>IFERROR(VLOOKUP($A63,'All Stock'!$C$31:$AN$39,'All Stock'!AN$40,FALSE),"")</f>
        <v>0.85</v>
      </c>
      <c r="AQ63" s="509"/>
      <c r="AR63" s="509"/>
      <c r="AS63" s="509"/>
      <c r="AT63" s="509"/>
      <c r="AX63" s="467"/>
      <c r="AY63" s="467"/>
      <c r="AZ63" s="467"/>
      <c r="BA63" s="467"/>
      <c r="BB63" s="467"/>
      <c r="BC63" s="467"/>
      <c r="BD63" s="467"/>
      <c r="BE63" s="467"/>
      <c r="BF63" s="467"/>
      <c r="BG63" s="467"/>
      <c r="BH63" s="467"/>
      <c r="BI63" s="467"/>
      <c r="BJ63" s="467"/>
      <c r="BK63" s="467"/>
      <c r="BL63" s="467"/>
      <c r="BM63" s="467"/>
      <c r="BN63" s="467"/>
      <c r="BO63" s="467"/>
      <c r="BP63" s="467"/>
      <c r="BQ63" s="467"/>
      <c r="BR63" s="467"/>
      <c r="BS63" s="467"/>
      <c r="BT63" s="467"/>
      <c r="BU63" s="467"/>
      <c r="BV63" s="467"/>
      <c r="BW63" s="467"/>
      <c r="BX63" s="467"/>
      <c r="BY63" s="467"/>
      <c r="BZ63" s="467"/>
      <c r="CA63" s="467"/>
      <c r="CB63" s="467"/>
      <c r="CC63" s="467"/>
      <c r="CD63" s="467"/>
      <c r="CE63" s="467"/>
      <c r="CF63" s="467"/>
      <c r="CG63" s="467"/>
      <c r="CH63" s="467"/>
    </row>
    <row r="64" spans="1:86">
      <c r="A64" t="str">
        <f t="shared" si="29"/>
        <v>GDO and other liquids (incl. liq. bio.)</v>
      </c>
      <c r="C64" t="str">
        <f t="shared" si="24"/>
        <v>R_ES-SH-DH_OIL</v>
      </c>
      <c r="E64" t="str">
        <f t="shared" si="25"/>
        <v>R_ES-DH-SpHeat</v>
      </c>
      <c r="F64" s="496">
        <f>IFERROR(VLOOKUP($A64,'All Stock'!$C$31:$AN$39,'All Stock'!D$40,FALSE),"")</f>
        <v>0.8</v>
      </c>
      <c r="G64" s="496">
        <f>IFERROR(VLOOKUP($A64,'All Stock'!$C$31:$AN$39,'All Stock'!E$40,FALSE),"")</f>
        <v>0.8</v>
      </c>
      <c r="H64" s="496">
        <f>IFERROR(VLOOKUP($A64,'All Stock'!$C$31:$AN$39,'All Stock'!F$40,FALSE),"")</f>
        <v>0.75</v>
      </c>
      <c r="I64" s="496">
        <f>IFERROR(VLOOKUP($A64,'All Stock'!$C$31:$AN$39,'All Stock'!G$40,FALSE),"")</f>
        <v>0.8</v>
      </c>
      <c r="J64" s="496">
        <f>IFERROR(VLOOKUP($A64,'All Stock'!$C$31:$AN$39,'All Stock'!H$40,FALSE),"")</f>
        <v>0.8</v>
      </c>
      <c r="K64" s="496">
        <f>IFERROR(VLOOKUP($A64,'All Stock'!$C$31:$AN$39,'All Stock'!I$40,FALSE),"")</f>
        <v>0.75</v>
      </c>
      <c r="L64" s="496">
        <f>IFERROR(VLOOKUP($A64,'All Stock'!$C$31:$AN$39,'All Stock'!J$40,FALSE),"")</f>
        <v>0.8</v>
      </c>
      <c r="M64" s="496">
        <f>IFERROR(VLOOKUP($A64,'All Stock'!$C$31:$AN$39,'All Stock'!K$40,FALSE),"")</f>
        <v>0.8</v>
      </c>
      <c r="N64" s="496">
        <f>IFERROR(VLOOKUP($A64,'All Stock'!$C$31:$AN$39,'All Stock'!L$40,FALSE),"")</f>
        <v>0.8</v>
      </c>
      <c r="O64" s="496">
        <f>IFERROR(VLOOKUP($A64,'All Stock'!$C$31:$AN$39,'All Stock'!M$40,FALSE),"")</f>
        <v>0.8</v>
      </c>
      <c r="P64" s="496">
        <f>IFERROR(VLOOKUP($A64,'All Stock'!$C$31:$AN$39,'All Stock'!N$40,FALSE),"")</f>
        <v>0.8</v>
      </c>
      <c r="Q64" s="496">
        <f>IFERROR(VLOOKUP($A64,'All Stock'!$C$31:$AN$39,'All Stock'!O$40,FALSE),"")</f>
        <v>0.8</v>
      </c>
      <c r="R64" s="496">
        <f>IFERROR(VLOOKUP($A64,'All Stock'!$C$31:$AN$39,'All Stock'!P$40,FALSE),"")</f>
        <v>0.75</v>
      </c>
      <c r="S64" s="496">
        <f>IFERROR(VLOOKUP($A64,'All Stock'!$C$31:$AN$39,'All Stock'!Q$40,FALSE),"")</f>
        <v>0.8</v>
      </c>
      <c r="T64" s="496">
        <f>IFERROR(VLOOKUP($A64,'All Stock'!$C$31:$AN$39,'All Stock'!R$40,FALSE),"")</f>
        <v>0.75</v>
      </c>
      <c r="U64" s="496">
        <f>IFERROR(VLOOKUP($A64,'All Stock'!$C$31:$AN$39,'All Stock'!S$40,FALSE),"")</f>
        <v>0.8</v>
      </c>
      <c r="V64" s="496">
        <f>IFERROR(VLOOKUP($A64,'All Stock'!$C$31:$AN$39,'All Stock'!T$40,FALSE),"")</f>
        <v>0.8</v>
      </c>
      <c r="W64" s="496">
        <f>IFERROR(VLOOKUP($A64,'All Stock'!$C$31:$AN$39,'All Stock'!U$40,FALSE),"")</f>
        <v>0.8</v>
      </c>
      <c r="X64" s="496">
        <f>IFERROR(VLOOKUP($A64,'All Stock'!$C$31:$AN$39,'All Stock'!V$40,FALSE),"")</f>
        <v>0.75</v>
      </c>
      <c r="Y64" s="496">
        <f>IFERROR(VLOOKUP($A64,'All Stock'!$C$31:$AN$39,'All Stock'!W$40,FALSE),"")</f>
        <v>0.8</v>
      </c>
      <c r="Z64" s="496">
        <f>IFERROR(VLOOKUP($A64,'All Stock'!$C$31:$AN$39,'All Stock'!X$40,FALSE),"")</f>
        <v>0.75</v>
      </c>
      <c r="AA64" s="496">
        <f>IFERROR(VLOOKUP($A64,'All Stock'!$C$31:$AN$39,'All Stock'!Y$40,FALSE),"")</f>
        <v>0.75</v>
      </c>
      <c r="AB64" s="496">
        <f>IFERROR(VLOOKUP($A64,'All Stock'!$C$31:$AN$39,'All Stock'!Z$40,FALSE),"")</f>
        <v>0.8</v>
      </c>
      <c r="AC64" s="496">
        <f>IFERROR(VLOOKUP($A64,'All Stock'!$C$31:$AN$39,'All Stock'!AA$40,FALSE),"")</f>
        <v>0.8</v>
      </c>
      <c r="AD64" s="496">
        <f>IFERROR(VLOOKUP($A64,'All Stock'!$C$31:$AN$39,'All Stock'!AB$40,FALSE),"")</f>
        <v>0.75</v>
      </c>
      <c r="AE64" s="496">
        <f>IFERROR(VLOOKUP($A64,'All Stock'!$C$31:$AN$39,'All Stock'!AC$40,FALSE),"")</f>
        <v>0.75</v>
      </c>
      <c r="AF64" s="496">
        <f>IFERROR(VLOOKUP($A64,'All Stock'!$C$31:$AN$39,'All Stock'!AD$40,FALSE),"")</f>
        <v>0.75</v>
      </c>
      <c r="AG64" s="496">
        <f>IFERROR(VLOOKUP($A64,'All Stock'!$C$31:$AN$39,'All Stock'!AE$40,FALSE),"")</f>
        <v>0.8</v>
      </c>
      <c r="AH64" s="496">
        <f>IFERROR(VLOOKUP($A64,'All Stock'!$C$31:$AN$39,'All Stock'!AF$40,FALSE),"")</f>
        <v>0.8</v>
      </c>
      <c r="AI64" s="496">
        <f>IFERROR(VLOOKUP($A64,'All Stock'!$C$31:$AN$39,'All Stock'!AG$40,FALSE),"")</f>
        <v>0.75</v>
      </c>
      <c r="AJ64" s="496">
        <f>IFERROR(VLOOKUP($A64,'All Stock'!$C$31:$AN$39,'All Stock'!AH$40,FALSE),"")</f>
        <v>0.8</v>
      </c>
      <c r="AK64" s="496">
        <f>IFERROR(VLOOKUP($A64,'All Stock'!$C$31:$AN$39,'All Stock'!AI$40,FALSE),"")</f>
        <v>0.75</v>
      </c>
      <c r="AL64" s="496">
        <f>IFERROR(VLOOKUP($A64,'All Stock'!$C$31:$AN$39,'All Stock'!AJ$40,FALSE),"")</f>
        <v>0.75</v>
      </c>
      <c r="AM64" s="496">
        <f>IFERROR(VLOOKUP($A64,'All Stock'!$C$31:$AN$39,'All Stock'!AK$40,FALSE),"")</f>
        <v>0.75</v>
      </c>
      <c r="AN64" s="496">
        <f>IFERROR(VLOOKUP($A64,'All Stock'!$C$31:$AN$39,'All Stock'!AL$40,FALSE),"")</f>
        <v>0.75</v>
      </c>
      <c r="AO64" s="496">
        <f>IFERROR(VLOOKUP($A64,'All Stock'!$C$31:$AN$39,'All Stock'!AM$40,FALSE),"")</f>
        <v>0.75</v>
      </c>
      <c r="AP64" s="496">
        <f>IFERROR(VLOOKUP($A64,'All Stock'!$C$31:$AN$39,'All Stock'!AN$40,FALSE),"")</f>
        <v>0.75</v>
      </c>
      <c r="AQ64" s="509"/>
      <c r="AR64" s="509"/>
      <c r="AS64" s="509"/>
      <c r="AT64" s="509"/>
      <c r="AX64" s="467"/>
      <c r="AY64" s="467"/>
      <c r="AZ64" s="467"/>
      <c r="BA64" s="467"/>
      <c r="BB64" s="467"/>
      <c r="BC64" s="467"/>
      <c r="BD64" s="467"/>
      <c r="BE64" s="467"/>
      <c r="BF64" s="467"/>
      <c r="BG64" s="467"/>
      <c r="BH64" s="467"/>
      <c r="BI64" s="467"/>
      <c r="BJ64" s="467"/>
      <c r="BK64" s="467"/>
      <c r="BL64" s="467"/>
      <c r="BM64" s="467"/>
      <c r="BN64" s="467"/>
      <c r="BO64" s="467"/>
      <c r="BP64" s="467"/>
      <c r="BQ64" s="467"/>
      <c r="BR64" s="467"/>
      <c r="BS64" s="467"/>
      <c r="BT64" s="467"/>
      <c r="BU64" s="467"/>
      <c r="BV64" s="467"/>
      <c r="BW64" s="467"/>
      <c r="BX64" s="467"/>
      <c r="BY64" s="467"/>
      <c r="BZ64" s="467"/>
      <c r="CA64" s="467"/>
      <c r="CB64" s="467"/>
      <c r="CC64" s="467"/>
      <c r="CD64" s="467"/>
      <c r="CE64" s="467"/>
      <c r="CF64" s="467"/>
      <c r="CG64" s="467"/>
      <c r="CH64" s="467"/>
    </row>
    <row r="65" spans="1:86">
      <c r="A65" t="str">
        <f t="shared" si="29"/>
        <v>Biomass and wastes</v>
      </c>
      <c r="C65" t="str">
        <f t="shared" si="24"/>
        <v>R_ES-SH-DH_BIO</v>
      </c>
      <c r="E65" t="str">
        <f t="shared" si="25"/>
        <v>R_ES-DH-SpHeat</v>
      </c>
      <c r="F65" s="496">
        <f>IFERROR(VLOOKUP($A65,'All Stock'!$C$31:$AN$39,'All Stock'!D$40,FALSE),"")</f>
        <v>0.7</v>
      </c>
      <c r="G65" s="496">
        <f>IFERROR(VLOOKUP($A65,'All Stock'!$C$31:$AN$39,'All Stock'!E$40,FALSE),"")</f>
        <v>0.7</v>
      </c>
      <c r="H65" s="496">
        <f>IFERROR(VLOOKUP($A65,'All Stock'!$C$31:$AN$39,'All Stock'!F$40,FALSE),"")</f>
        <v>0.65</v>
      </c>
      <c r="I65" s="496">
        <f>IFERROR(VLOOKUP($A65,'All Stock'!$C$31:$AN$39,'All Stock'!G$40,FALSE),"")</f>
        <v>0.7</v>
      </c>
      <c r="J65" s="496">
        <f>IFERROR(VLOOKUP($A65,'All Stock'!$C$31:$AN$39,'All Stock'!H$40,FALSE),"")</f>
        <v>0.7</v>
      </c>
      <c r="K65" s="496">
        <f>IFERROR(VLOOKUP($A65,'All Stock'!$C$31:$AN$39,'All Stock'!I$40,FALSE),"")</f>
        <v>0.65</v>
      </c>
      <c r="L65" s="496">
        <f>IFERROR(VLOOKUP($A65,'All Stock'!$C$31:$AN$39,'All Stock'!J$40,FALSE),"")</f>
        <v>0.7</v>
      </c>
      <c r="M65" s="496">
        <f>IFERROR(VLOOKUP($A65,'All Stock'!$C$31:$AN$39,'All Stock'!K$40,FALSE),"")</f>
        <v>0.7</v>
      </c>
      <c r="N65" s="496">
        <f>IFERROR(VLOOKUP($A65,'All Stock'!$C$31:$AN$39,'All Stock'!L$40,FALSE),"")</f>
        <v>0.7</v>
      </c>
      <c r="O65" s="496">
        <f>IFERROR(VLOOKUP($A65,'All Stock'!$C$31:$AN$39,'All Stock'!M$40,FALSE),"")</f>
        <v>0.7</v>
      </c>
      <c r="P65" s="496">
        <f>IFERROR(VLOOKUP($A65,'All Stock'!$C$31:$AN$39,'All Stock'!N$40,FALSE),"")</f>
        <v>0.7</v>
      </c>
      <c r="Q65" s="496">
        <f>IFERROR(VLOOKUP($A65,'All Stock'!$C$31:$AN$39,'All Stock'!O$40,FALSE),"")</f>
        <v>0.7</v>
      </c>
      <c r="R65" s="496">
        <f>IFERROR(VLOOKUP($A65,'All Stock'!$C$31:$AN$39,'All Stock'!P$40,FALSE),"")</f>
        <v>0.65</v>
      </c>
      <c r="S65" s="496">
        <f>IFERROR(VLOOKUP($A65,'All Stock'!$C$31:$AN$39,'All Stock'!Q$40,FALSE),"")</f>
        <v>0.7</v>
      </c>
      <c r="T65" s="496">
        <f>IFERROR(VLOOKUP($A65,'All Stock'!$C$31:$AN$39,'All Stock'!R$40,FALSE),"")</f>
        <v>0.65</v>
      </c>
      <c r="U65" s="496">
        <f>IFERROR(VLOOKUP($A65,'All Stock'!$C$31:$AN$39,'All Stock'!S$40,FALSE),"")</f>
        <v>0.7</v>
      </c>
      <c r="V65" s="496">
        <f>IFERROR(VLOOKUP($A65,'All Stock'!$C$31:$AN$39,'All Stock'!T$40,FALSE),"")</f>
        <v>0.7</v>
      </c>
      <c r="W65" s="496">
        <f>IFERROR(VLOOKUP($A65,'All Stock'!$C$31:$AN$39,'All Stock'!U$40,FALSE),"")</f>
        <v>0.7</v>
      </c>
      <c r="X65" s="496">
        <f>IFERROR(VLOOKUP($A65,'All Stock'!$C$31:$AN$39,'All Stock'!V$40,FALSE),"")</f>
        <v>0.65</v>
      </c>
      <c r="Y65" s="496">
        <f>IFERROR(VLOOKUP($A65,'All Stock'!$C$31:$AN$39,'All Stock'!W$40,FALSE),"")</f>
        <v>0.7</v>
      </c>
      <c r="Z65" s="496">
        <f>IFERROR(VLOOKUP($A65,'All Stock'!$C$31:$AN$39,'All Stock'!X$40,FALSE),"")</f>
        <v>0.65</v>
      </c>
      <c r="AA65" s="496">
        <f>IFERROR(VLOOKUP($A65,'All Stock'!$C$31:$AN$39,'All Stock'!Y$40,FALSE),"")</f>
        <v>0.65</v>
      </c>
      <c r="AB65" s="496">
        <f>IFERROR(VLOOKUP($A65,'All Stock'!$C$31:$AN$39,'All Stock'!Z$40,FALSE),"")</f>
        <v>0.7</v>
      </c>
      <c r="AC65" s="496">
        <f>IFERROR(VLOOKUP($A65,'All Stock'!$C$31:$AN$39,'All Stock'!AA$40,FALSE),"")</f>
        <v>0.7</v>
      </c>
      <c r="AD65" s="496">
        <f>IFERROR(VLOOKUP($A65,'All Stock'!$C$31:$AN$39,'All Stock'!AB$40,FALSE),"")</f>
        <v>0.65</v>
      </c>
      <c r="AE65" s="496">
        <f>IFERROR(VLOOKUP($A65,'All Stock'!$C$31:$AN$39,'All Stock'!AC$40,FALSE),"")</f>
        <v>0.65</v>
      </c>
      <c r="AF65" s="496">
        <f>IFERROR(VLOOKUP($A65,'All Stock'!$C$31:$AN$39,'All Stock'!AD$40,FALSE),"")</f>
        <v>0.65</v>
      </c>
      <c r="AG65" s="496">
        <f>IFERROR(VLOOKUP($A65,'All Stock'!$C$31:$AN$39,'All Stock'!AE$40,FALSE),"")</f>
        <v>0.7</v>
      </c>
      <c r="AH65" s="496">
        <f>IFERROR(VLOOKUP($A65,'All Stock'!$C$31:$AN$39,'All Stock'!AF$40,FALSE),"")</f>
        <v>0.7</v>
      </c>
      <c r="AI65" s="496">
        <f>IFERROR(VLOOKUP($A65,'All Stock'!$C$31:$AN$39,'All Stock'!AG$40,FALSE),"")</f>
        <v>0.65</v>
      </c>
      <c r="AJ65" s="496">
        <f>IFERROR(VLOOKUP($A65,'All Stock'!$C$31:$AN$39,'All Stock'!AH$40,FALSE),"")</f>
        <v>0.7</v>
      </c>
      <c r="AK65" s="496">
        <f>IFERROR(VLOOKUP($A65,'All Stock'!$C$31:$AN$39,'All Stock'!AI$40,FALSE),"")</f>
        <v>0.65</v>
      </c>
      <c r="AL65" s="496">
        <f>IFERROR(VLOOKUP($A65,'All Stock'!$C$31:$AN$39,'All Stock'!AJ$40,FALSE),"")</f>
        <v>0.65</v>
      </c>
      <c r="AM65" s="496">
        <f>IFERROR(VLOOKUP($A65,'All Stock'!$C$31:$AN$39,'All Stock'!AK$40,FALSE),"")</f>
        <v>0.65</v>
      </c>
      <c r="AN65" s="496">
        <f>IFERROR(VLOOKUP($A65,'All Stock'!$C$31:$AN$39,'All Stock'!AL$40,FALSE),"")</f>
        <v>0.65</v>
      </c>
      <c r="AO65" s="496">
        <f>IFERROR(VLOOKUP($A65,'All Stock'!$C$31:$AN$39,'All Stock'!AM$40,FALSE),"")</f>
        <v>0.65</v>
      </c>
      <c r="AP65" s="496">
        <f>IFERROR(VLOOKUP($A65,'All Stock'!$C$31:$AN$39,'All Stock'!AN$40,FALSE),"")</f>
        <v>0.65</v>
      </c>
      <c r="AQ65" s="509"/>
      <c r="AR65" s="509"/>
      <c r="AS65" s="509"/>
      <c r="AT65" s="509"/>
      <c r="AX65" s="467"/>
      <c r="AY65" s="467"/>
      <c r="AZ65" s="467"/>
      <c r="BA65" s="467"/>
      <c r="BB65" s="467"/>
      <c r="BC65" s="467"/>
      <c r="BD65" s="467"/>
      <c r="BE65" s="467"/>
      <c r="BF65" s="467"/>
      <c r="BG65" s="467"/>
      <c r="BH65" s="467"/>
      <c r="BI65" s="467"/>
      <c r="BJ65" s="467"/>
      <c r="BK65" s="467"/>
      <c r="BL65" s="467"/>
      <c r="BM65" s="467"/>
      <c r="BN65" s="467"/>
      <c r="BO65" s="467"/>
      <c r="BP65" s="467"/>
      <c r="BQ65" s="467"/>
      <c r="BR65" s="467"/>
      <c r="BS65" s="467"/>
      <c r="BT65" s="467"/>
      <c r="BU65" s="467"/>
      <c r="BV65" s="467"/>
      <c r="BW65" s="467"/>
      <c r="BX65" s="467"/>
      <c r="BY65" s="467"/>
      <c r="BZ65" s="467"/>
      <c r="CA65" s="467"/>
      <c r="CB65" s="467"/>
      <c r="CC65" s="467"/>
      <c r="CD65" s="467"/>
      <c r="CE65" s="467"/>
      <c r="CF65" s="467"/>
      <c r="CG65" s="467"/>
      <c r="CH65" s="467"/>
    </row>
    <row r="66" spans="1:86">
      <c r="A66" t="str">
        <f t="shared" si="29"/>
        <v>Solids</v>
      </c>
      <c r="C66" t="str">
        <f t="shared" si="24"/>
        <v>R_ES-SH-DH_COA</v>
      </c>
      <c r="E66" t="str">
        <f t="shared" si="25"/>
        <v>R_ES-DH-SpHeat</v>
      </c>
      <c r="F66" s="496">
        <f>IFERROR(VLOOKUP($A66,'All Stock'!$C$31:$AN$39,'All Stock'!D$40,FALSE),"")</f>
        <v>0.65</v>
      </c>
      <c r="G66" s="496">
        <f>IFERROR(VLOOKUP($A66,'All Stock'!$C$31:$AN$39,'All Stock'!E$40,FALSE),"")</f>
        <v>0.65</v>
      </c>
      <c r="H66" s="496">
        <f>IFERROR(VLOOKUP($A66,'All Stock'!$C$31:$AN$39,'All Stock'!F$40,FALSE),"")</f>
        <v>0.6</v>
      </c>
      <c r="I66" s="496">
        <f>IFERROR(VLOOKUP($A66,'All Stock'!$C$31:$AN$39,'All Stock'!G$40,FALSE),"")</f>
        <v>0.65</v>
      </c>
      <c r="J66" s="496">
        <f>IFERROR(VLOOKUP($A66,'All Stock'!$C$31:$AN$39,'All Stock'!H$40,FALSE),"")</f>
        <v>0.65</v>
      </c>
      <c r="K66" s="496">
        <f>IFERROR(VLOOKUP($A66,'All Stock'!$C$31:$AN$39,'All Stock'!I$40,FALSE),"")</f>
        <v>0.6</v>
      </c>
      <c r="L66" s="496">
        <f>IFERROR(VLOOKUP($A66,'All Stock'!$C$31:$AN$39,'All Stock'!J$40,FALSE),"")</f>
        <v>0.65</v>
      </c>
      <c r="M66" s="496">
        <f>IFERROR(VLOOKUP($A66,'All Stock'!$C$31:$AN$39,'All Stock'!K$40,FALSE),"")</f>
        <v>0.65</v>
      </c>
      <c r="N66" s="496">
        <f>IFERROR(VLOOKUP($A66,'All Stock'!$C$31:$AN$39,'All Stock'!L$40,FALSE),"")</f>
        <v>0.65</v>
      </c>
      <c r="O66" s="496">
        <f>IFERROR(VLOOKUP($A66,'All Stock'!$C$31:$AN$39,'All Stock'!M$40,FALSE),"")</f>
        <v>0.65</v>
      </c>
      <c r="P66" s="496">
        <f>IFERROR(VLOOKUP($A66,'All Stock'!$C$31:$AN$39,'All Stock'!N$40,FALSE),"")</f>
        <v>0.65</v>
      </c>
      <c r="Q66" s="496">
        <f>IFERROR(VLOOKUP($A66,'All Stock'!$C$31:$AN$39,'All Stock'!O$40,FALSE),"")</f>
        <v>0.65</v>
      </c>
      <c r="R66" s="496">
        <f>IFERROR(VLOOKUP($A66,'All Stock'!$C$31:$AN$39,'All Stock'!P$40,FALSE),"")</f>
        <v>0.6</v>
      </c>
      <c r="S66" s="496">
        <f>IFERROR(VLOOKUP($A66,'All Stock'!$C$31:$AN$39,'All Stock'!Q$40,FALSE),"")</f>
        <v>0.65</v>
      </c>
      <c r="T66" s="496">
        <f>IFERROR(VLOOKUP($A66,'All Stock'!$C$31:$AN$39,'All Stock'!R$40,FALSE),"")</f>
        <v>0.6</v>
      </c>
      <c r="U66" s="496">
        <f>IFERROR(VLOOKUP($A66,'All Stock'!$C$31:$AN$39,'All Stock'!S$40,FALSE),"")</f>
        <v>0.65</v>
      </c>
      <c r="V66" s="496">
        <f>IFERROR(VLOOKUP($A66,'All Stock'!$C$31:$AN$39,'All Stock'!T$40,FALSE),"")</f>
        <v>0.65</v>
      </c>
      <c r="W66" s="496">
        <f>IFERROR(VLOOKUP($A66,'All Stock'!$C$31:$AN$39,'All Stock'!U$40,FALSE),"")</f>
        <v>0.65</v>
      </c>
      <c r="X66" s="496">
        <f>IFERROR(VLOOKUP($A66,'All Stock'!$C$31:$AN$39,'All Stock'!V$40,FALSE),"")</f>
        <v>0.6</v>
      </c>
      <c r="Y66" s="496">
        <f>IFERROR(VLOOKUP($A66,'All Stock'!$C$31:$AN$39,'All Stock'!W$40,FALSE),"")</f>
        <v>0.65</v>
      </c>
      <c r="Z66" s="496">
        <f>IFERROR(VLOOKUP($A66,'All Stock'!$C$31:$AN$39,'All Stock'!X$40,FALSE),"")</f>
        <v>0.6</v>
      </c>
      <c r="AA66" s="496">
        <f>IFERROR(VLOOKUP($A66,'All Stock'!$C$31:$AN$39,'All Stock'!Y$40,FALSE),"")</f>
        <v>0.6</v>
      </c>
      <c r="AB66" s="496">
        <f>IFERROR(VLOOKUP($A66,'All Stock'!$C$31:$AN$39,'All Stock'!Z$40,FALSE),"")</f>
        <v>0.65</v>
      </c>
      <c r="AC66" s="496">
        <f>IFERROR(VLOOKUP($A66,'All Stock'!$C$31:$AN$39,'All Stock'!AA$40,FALSE),"")</f>
        <v>0.65</v>
      </c>
      <c r="AD66" s="496">
        <f>IFERROR(VLOOKUP($A66,'All Stock'!$C$31:$AN$39,'All Stock'!AB$40,FALSE),"")</f>
        <v>0.6</v>
      </c>
      <c r="AE66" s="496">
        <f>IFERROR(VLOOKUP($A66,'All Stock'!$C$31:$AN$39,'All Stock'!AC$40,FALSE),"")</f>
        <v>0.6</v>
      </c>
      <c r="AF66" s="496">
        <f>IFERROR(VLOOKUP($A66,'All Stock'!$C$31:$AN$39,'All Stock'!AD$40,FALSE),"")</f>
        <v>0.6</v>
      </c>
      <c r="AG66" s="496">
        <f>IFERROR(VLOOKUP($A66,'All Stock'!$C$31:$AN$39,'All Stock'!AE$40,FALSE),"")</f>
        <v>0.65</v>
      </c>
      <c r="AH66" s="496">
        <f>IFERROR(VLOOKUP($A66,'All Stock'!$C$31:$AN$39,'All Stock'!AF$40,FALSE),"")</f>
        <v>0.65</v>
      </c>
      <c r="AI66" s="496">
        <f>IFERROR(VLOOKUP($A66,'All Stock'!$C$31:$AN$39,'All Stock'!AG$40,FALSE),"")</f>
        <v>0.6</v>
      </c>
      <c r="AJ66" s="496">
        <f>IFERROR(VLOOKUP($A66,'All Stock'!$C$31:$AN$39,'All Stock'!AH$40,FALSE),"")</f>
        <v>0.65</v>
      </c>
      <c r="AK66" s="496">
        <f>IFERROR(VLOOKUP($A66,'All Stock'!$C$31:$AN$39,'All Stock'!AI$40,FALSE),"")</f>
        <v>0.6</v>
      </c>
      <c r="AL66" s="496">
        <f>IFERROR(VLOOKUP($A66,'All Stock'!$C$31:$AN$39,'All Stock'!AJ$40,FALSE),"")</f>
        <v>0.6</v>
      </c>
      <c r="AM66" s="496">
        <f>IFERROR(VLOOKUP($A66,'All Stock'!$C$31:$AN$39,'All Stock'!AK$40,FALSE),"")</f>
        <v>0.6</v>
      </c>
      <c r="AN66" s="496">
        <f>IFERROR(VLOOKUP($A66,'All Stock'!$C$31:$AN$39,'All Stock'!AL$40,FALSE),"")</f>
        <v>0.6</v>
      </c>
      <c r="AO66" s="496">
        <f>IFERROR(VLOOKUP($A66,'All Stock'!$C$31:$AN$39,'All Stock'!AM$40,FALSE),"")</f>
        <v>0.6</v>
      </c>
      <c r="AP66" s="496">
        <f>IFERROR(VLOOKUP($A66,'All Stock'!$C$31:$AN$39,'All Stock'!AN$40,FALSE),"")</f>
        <v>0.6</v>
      </c>
      <c r="AQ66" s="509"/>
      <c r="AR66" s="509"/>
      <c r="AS66" s="509"/>
      <c r="AT66" s="509"/>
      <c r="AX66" s="467"/>
      <c r="AY66" s="467"/>
      <c r="AZ66" s="467"/>
      <c r="BA66" s="467"/>
      <c r="BB66" s="467"/>
      <c r="BC66" s="467"/>
      <c r="BD66" s="467"/>
      <c r="BE66" s="467"/>
      <c r="BF66" s="467"/>
      <c r="BG66" s="467"/>
      <c r="BH66" s="467"/>
      <c r="BI66" s="467"/>
      <c r="BJ66" s="467"/>
      <c r="BK66" s="467"/>
      <c r="BL66" s="467"/>
      <c r="BM66" s="467"/>
      <c r="BN66" s="467"/>
      <c r="BO66" s="467"/>
      <c r="BP66" s="467"/>
      <c r="BQ66" s="467"/>
      <c r="BR66" s="467"/>
      <c r="BS66" s="467"/>
      <c r="BT66" s="467"/>
      <c r="BU66" s="467"/>
      <c r="BV66" s="467"/>
      <c r="BW66" s="467"/>
      <c r="BX66" s="467"/>
      <c r="BY66" s="467"/>
      <c r="BZ66" s="467"/>
      <c r="CA66" s="467"/>
      <c r="CB66" s="467"/>
      <c r="CC66" s="467"/>
      <c r="CD66" s="467"/>
      <c r="CE66" s="467"/>
      <c r="CF66" s="467"/>
      <c r="CG66" s="467"/>
      <c r="CH66" s="467"/>
    </row>
    <row r="67" spans="1:86">
      <c r="A67" t="str">
        <f t="shared" si="29"/>
        <v>LPG</v>
      </c>
      <c r="C67" t="str">
        <f t="shared" si="24"/>
        <v>R_ES-SH-DH_LPG</v>
      </c>
      <c r="E67" t="str">
        <f t="shared" si="25"/>
        <v>R_ES-DH-SpHeat</v>
      </c>
      <c r="F67" s="496">
        <f>F64</f>
        <v>0.8</v>
      </c>
      <c r="G67" s="496">
        <f t="shared" ref="G67:AP67" si="30">G64</f>
        <v>0.8</v>
      </c>
      <c r="H67" s="496">
        <f t="shared" si="30"/>
        <v>0.75</v>
      </c>
      <c r="I67" s="496">
        <f t="shared" si="30"/>
        <v>0.8</v>
      </c>
      <c r="J67" s="496">
        <f t="shared" si="30"/>
        <v>0.8</v>
      </c>
      <c r="K67" s="496">
        <f t="shared" si="30"/>
        <v>0.75</v>
      </c>
      <c r="L67" s="496">
        <f t="shared" si="30"/>
        <v>0.8</v>
      </c>
      <c r="M67" s="496">
        <f t="shared" si="30"/>
        <v>0.8</v>
      </c>
      <c r="N67" s="496">
        <f t="shared" si="30"/>
        <v>0.8</v>
      </c>
      <c r="O67" s="496">
        <f t="shared" si="30"/>
        <v>0.8</v>
      </c>
      <c r="P67" s="496">
        <f t="shared" si="30"/>
        <v>0.8</v>
      </c>
      <c r="Q67" s="496">
        <f t="shared" si="30"/>
        <v>0.8</v>
      </c>
      <c r="R67" s="496">
        <f t="shared" si="30"/>
        <v>0.75</v>
      </c>
      <c r="S67" s="496">
        <f t="shared" si="30"/>
        <v>0.8</v>
      </c>
      <c r="T67" s="496">
        <f t="shared" si="30"/>
        <v>0.75</v>
      </c>
      <c r="U67" s="496">
        <f t="shared" si="30"/>
        <v>0.8</v>
      </c>
      <c r="V67" s="496">
        <f t="shared" si="30"/>
        <v>0.8</v>
      </c>
      <c r="W67" s="496">
        <f t="shared" si="30"/>
        <v>0.8</v>
      </c>
      <c r="X67" s="496">
        <f t="shared" si="30"/>
        <v>0.75</v>
      </c>
      <c r="Y67" s="496">
        <f t="shared" si="30"/>
        <v>0.8</v>
      </c>
      <c r="Z67" s="496">
        <f t="shared" si="30"/>
        <v>0.75</v>
      </c>
      <c r="AA67" s="496">
        <f t="shared" si="30"/>
        <v>0.75</v>
      </c>
      <c r="AB67" s="496">
        <f t="shared" si="30"/>
        <v>0.8</v>
      </c>
      <c r="AC67" s="496">
        <f t="shared" si="30"/>
        <v>0.8</v>
      </c>
      <c r="AD67" s="496">
        <f t="shared" si="30"/>
        <v>0.75</v>
      </c>
      <c r="AE67" s="496">
        <f t="shared" si="30"/>
        <v>0.75</v>
      </c>
      <c r="AF67" s="496">
        <f t="shared" si="30"/>
        <v>0.75</v>
      </c>
      <c r="AG67" s="496">
        <f t="shared" si="30"/>
        <v>0.8</v>
      </c>
      <c r="AH67" s="496">
        <f t="shared" si="30"/>
        <v>0.8</v>
      </c>
      <c r="AI67" s="496">
        <f t="shared" si="30"/>
        <v>0.75</v>
      </c>
      <c r="AJ67" s="496">
        <f t="shared" si="30"/>
        <v>0.8</v>
      </c>
      <c r="AK67" s="496">
        <f t="shared" si="30"/>
        <v>0.75</v>
      </c>
      <c r="AL67" s="496">
        <f t="shared" si="30"/>
        <v>0.75</v>
      </c>
      <c r="AM67" s="496">
        <f t="shared" si="30"/>
        <v>0.75</v>
      </c>
      <c r="AN67" s="496">
        <f t="shared" si="30"/>
        <v>0.75</v>
      </c>
      <c r="AO67" s="496">
        <f t="shared" si="30"/>
        <v>0.75</v>
      </c>
      <c r="AP67" s="496">
        <f t="shared" si="30"/>
        <v>0.75</v>
      </c>
      <c r="AQ67" s="509"/>
      <c r="AR67" s="509"/>
      <c r="AS67" s="509"/>
      <c r="AT67" s="509"/>
      <c r="AX67" s="467"/>
      <c r="AY67" s="467"/>
      <c r="AZ67" s="467"/>
      <c r="BA67" s="467"/>
      <c r="BB67" s="467"/>
      <c r="BC67" s="467"/>
      <c r="BD67" s="467"/>
      <c r="BE67" s="467"/>
      <c r="BF67" s="467"/>
      <c r="BG67" s="467"/>
      <c r="BH67" s="467"/>
      <c r="BI67" s="467"/>
      <c r="BJ67" s="467"/>
      <c r="BK67" s="467"/>
      <c r="BL67" s="467"/>
      <c r="BM67" s="467"/>
      <c r="BN67" s="467"/>
      <c r="BO67" s="467"/>
      <c r="BP67" s="467"/>
      <c r="BQ67" s="467"/>
      <c r="BR67" s="467"/>
      <c r="BS67" s="467"/>
      <c r="BT67" s="467"/>
      <c r="BU67" s="467"/>
      <c r="BV67" s="467"/>
      <c r="BW67" s="467"/>
      <c r="BX67" s="467"/>
      <c r="BY67" s="467"/>
      <c r="BZ67" s="467"/>
      <c r="CA67" s="467"/>
      <c r="CB67" s="467"/>
      <c r="CC67" s="467"/>
      <c r="CD67" s="467"/>
      <c r="CE67" s="467"/>
      <c r="CF67" s="467"/>
      <c r="CG67" s="467"/>
      <c r="CH67" s="467"/>
    </row>
    <row r="68" spans="1:86">
      <c r="A68" t="str">
        <f t="shared" si="29"/>
        <v>Geothermal Energy</v>
      </c>
      <c r="C68" t="str">
        <f t="shared" si="24"/>
        <v>R_ES-SH-DH_GEO</v>
      </c>
      <c r="E68" t="str">
        <f t="shared" si="25"/>
        <v>R_ES-DH-SpHeat</v>
      </c>
      <c r="F68" s="496">
        <f>F63</f>
        <v>0.95</v>
      </c>
      <c r="G68" s="496">
        <f t="shared" ref="G68:AP68" si="31">G63</f>
        <v>0.95</v>
      </c>
      <c r="H68" s="496">
        <f t="shared" si="31"/>
        <v>0.85</v>
      </c>
      <c r="I68" s="496">
        <f t="shared" si="31"/>
        <v>0.95</v>
      </c>
      <c r="J68" s="496">
        <f t="shared" si="31"/>
        <v>0.85</v>
      </c>
      <c r="K68" s="496">
        <f t="shared" si="31"/>
        <v>0.85</v>
      </c>
      <c r="L68" s="496">
        <f t="shared" si="31"/>
        <v>0.95</v>
      </c>
      <c r="M68" s="496">
        <f t="shared" si="31"/>
        <v>0.95</v>
      </c>
      <c r="N68" s="496">
        <f t="shared" si="31"/>
        <v>0.85</v>
      </c>
      <c r="O68" s="496">
        <f t="shared" si="31"/>
        <v>0.95</v>
      </c>
      <c r="P68" s="496">
        <f t="shared" si="31"/>
        <v>0.95</v>
      </c>
      <c r="Q68" s="496">
        <f t="shared" si="31"/>
        <v>0.95</v>
      </c>
      <c r="R68" s="496">
        <f t="shared" si="31"/>
        <v>0.95</v>
      </c>
      <c r="S68" s="496">
        <f t="shared" si="31"/>
        <v>0.9</v>
      </c>
      <c r="T68" s="496">
        <f t="shared" si="31"/>
        <v>0.9</v>
      </c>
      <c r="U68" s="496">
        <f t="shared" si="31"/>
        <v>0.95</v>
      </c>
      <c r="V68" s="496">
        <f t="shared" si="31"/>
        <v>0.95</v>
      </c>
      <c r="W68" s="496">
        <f t="shared" si="31"/>
        <v>0.95</v>
      </c>
      <c r="X68" s="496">
        <f t="shared" si="31"/>
        <v>0.85</v>
      </c>
      <c r="Y68" s="496">
        <f t="shared" si="31"/>
        <v>0.95</v>
      </c>
      <c r="Z68" s="496">
        <f t="shared" si="31"/>
        <v>0.85</v>
      </c>
      <c r="AA68" s="496">
        <f t="shared" si="31"/>
        <v>0.85</v>
      </c>
      <c r="AB68" s="496">
        <f t="shared" si="31"/>
        <v>0.95</v>
      </c>
      <c r="AC68" s="496">
        <f t="shared" si="31"/>
        <v>0.95</v>
      </c>
      <c r="AD68" s="496">
        <f t="shared" si="31"/>
        <v>0.85</v>
      </c>
      <c r="AE68" s="496">
        <f t="shared" si="31"/>
        <v>0.9</v>
      </c>
      <c r="AF68" s="496">
        <f t="shared" si="31"/>
        <v>0.85</v>
      </c>
      <c r="AG68" s="496">
        <f t="shared" si="31"/>
        <v>0.95</v>
      </c>
      <c r="AH68" s="496">
        <f t="shared" si="31"/>
        <v>0.9</v>
      </c>
      <c r="AI68" s="496">
        <f t="shared" si="31"/>
        <v>0.85</v>
      </c>
      <c r="AJ68" s="496">
        <f t="shared" si="31"/>
        <v>0.95</v>
      </c>
      <c r="AK68" s="496">
        <f t="shared" si="31"/>
        <v>0.85</v>
      </c>
      <c r="AL68" s="496">
        <f t="shared" si="31"/>
        <v>0.85</v>
      </c>
      <c r="AM68" s="496">
        <f t="shared" si="31"/>
        <v>0.85</v>
      </c>
      <c r="AN68" s="496">
        <f t="shared" si="31"/>
        <v>0.85</v>
      </c>
      <c r="AO68" s="496">
        <f t="shared" si="31"/>
        <v>0.85</v>
      </c>
      <c r="AP68" s="496">
        <f t="shared" si="31"/>
        <v>0.85</v>
      </c>
      <c r="AQ68" s="509"/>
      <c r="AR68" s="509"/>
      <c r="AS68" s="509"/>
      <c r="AT68" s="509"/>
      <c r="AX68" s="467"/>
      <c r="AY68" s="467"/>
      <c r="AZ68" s="467"/>
      <c r="BA68" s="467"/>
      <c r="BB68" s="467"/>
      <c r="BC68" s="467"/>
      <c r="BD68" s="467"/>
      <c r="BE68" s="467"/>
      <c r="BF68" s="467"/>
      <c r="BG68" s="467"/>
      <c r="BH68" s="467"/>
      <c r="BI68" s="467"/>
      <c r="BJ68" s="467"/>
      <c r="BK68" s="467"/>
      <c r="BL68" s="467"/>
      <c r="BM68" s="467"/>
      <c r="BN68" s="467"/>
      <c r="BO68" s="467"/>
      <c r="BP68" s="467"/>
      <c r="BQ68" s="467"/>
      <c r="BR68" s="467"/>
      <c r="BS68" s="467"/>
      <c r="BT68" s="467"/>
      <c r="BU68" s="467"/>
      <c r="BV68" s="467"/>
      <c r="BW68" s="467"/>
      <c r="BX68" s="467"/>
      <c r="BY68" s="467"/>
      <c r="BZ68" s="467"/>
      <c r="CA68" s="467"/>
      <c r="CB68" s="467"/>
      <c r="CC68" s="467"/>
      <c r="CD68" s="467"/>
      <c r="CE68" s="467"/>
      <c r="CF68" s="467"/>
      <c r="CG68" s="467"/>
      <c r="CH68" s="467"/>
    </row>
    <row r="69" spans="1:86">
      <c r="A69" t="str">
        <f t="shared" si="29"/>
        <v>Electricity</v>
      </c>
      <c r="C69" t="str">
        <f t="shared" si="24"/>
        <v>R_ES-SH-DH-70_ELC-R</v>
      </c>
      <c r="E69" t="str">
        <f t="shared" si="25"/>
        <v>R_ES-DH-70-SpHeat</v>
      </c>
      <c r="F69" s="496">
        <f>IFERROR(VLOOKUP($A69,'All Stock'!$C$31:$AN$39,'All Stock'!D$40,FALSE),"")</f>
        <v>1</v>
      </c>
      <c r="G69" s="496">
        <f>IFERROR(VLOOKUP($A69,'All Stock'!$C$31:$AN$39,'All Stock'!E$40,FALSE),"")</f>
        <v>1</v>
      </c>
      <c r="H69" s="496">
        <f>IFERROR(VLOOKUP($A69,'All Stock'!$C$31:$AN$39,'All Stock'!F$40,FALSE),"")</f>
        <v>1</v>
      </c>
      <c r="I69" s="496">
        <f>IFERROR(VLOOKUP($A69,'All Stock'!$C$31:$AN$39,'All Stock'!G$40,FALSE),"")</f>
        <v>1</v>
      </c>
      <c r="J69" s="496">
        <f>IFERROR(VLOOKUP($A69,'All Stock'!$C$31:$AN$39,'All Stock'!H$40,FALSE),"")</f>
        <v>1</v>
      </c>
      <c r="K69" s="496">
        <f>IFERROR(VLOOKUP($A69,'All Stock'!$C$31:$AN$39,'All Stock'!I$40,FALSE),"")</f>
        <v>1</v>
      </c>
      <c r="L69" s="496">
        <f>IFERROR(VLOOKUP($A69,'All Stock'!$C$31:$AN$39,'All Stock'!J$40,FALSE),"")</f>
        <v>1</v>
      </c>
      <c r="M69" s="496">
        <f>IFERROR(VLOOKUP($A69,'All Stock'!$C$31:$AN$39,'All Stock'!K$40,FALSE),"")</f>
        <v>1</v>
      </c>
      <c r="N69" s="496">
        <f>IFERROR(VLOOKUP($A69,'All Stock'!$C$31:$AN$39,'All Stock'!L$40,FALSE),"")</f>
        <v>1</v>
      </c>
      <c r="O69" s="496">
        <f>IFERROR(VLOOKUP($A69,'All Stock'!$C$31:$AN$39,'All Stock'!M$40,FALSE),"")</f>
        <v>1</v>
      </c>
      <c r="P69" s="496">
        <f>IFERROR(VLOOKUP($A69,'All Stock'!$C$31:$AN$39,'All Stock'!N$40,FALSE),"")</f>
        <v>1</v>
      </c>
      <c r="Q69" s="496">
        <f>IFERROR(VLOOKUP($A69,'All Stock'!$C$31:$AN$39,'All Stock'!O$40,FALSE),"")</f>
        <v>1</v>
      </c>
      <c r="R69" s="496">
        <f>IFERROR(VLOOKUP($A69,'All Stock'!$C$31:$AN$39,'All Stock'!P$40,FALSE),"")</f>
        <v>1</v>
      </c>
      <c r="S69" s="496">
        <f>IFERROR(VLOOKUP($A69,'All Stock'!$C$31:$AN$39,'All Stock'!Q$40,FALSE),"")</f>
        <v>1</v>
      </c>
      <c r="T69" s="496">
        <f>IFERROR(VLOOKUP($A69,'All Stock'!$C$31:$AN$39,'All Stock'!R$40,FALSE),"")</f>
        <v>1</v>
      </c>
      <c r="U69" s="496">
        <f>IFERROR(VLOOKUP($A69,'All Stock'!$C$31:$AN$39,'All Stock'!S$40,FALSE),"")</f>
        <v>1</v>
      </c>
      <c r="V69" s="496">
        <f>IFERROR(VLOOKUP($A69,'All Stock'!$C$31:$AN$39,'All Stock'!T$40,FALSE),"")</f>
        <v>1</v>
      </c>
      <c r="W69" s="496">
        <f>IFERROR(VLOOKUP($A69,'All Stock'!$C$31:$AN$39,'All Stock'!U$40,FALSE),"")</f>
        <v>1</v>
      </c>
      <c r="X69" s="496">
        <f>IFERROR(VLOOKUP($A69,'All Stock'!$C$31:$AN$39,'All Stock'!V$40,FALSE),"")</f>
        <v>1</v>
      </c>
      <c r="Y69" s="496">
        <f>IFERROR(VLOOKUP($A69,'All Stock'!$C$31:$AN$39,'All Stock'!W$40,FALSE),"")</f>
        <v>1</v>
      </c>
      <c r="Z69" s="496">
        <f>IFERROR(VLOOKUP($A69,'All Stock'!$C$31:$AN$39,'All Stock'!X$40,FALSE),"")</f>
        <v>1</v>
      </c>
      <c r="AA69" s="496">
        <f>IFERROR(VLOOKUP($A69,'All Stock'!$C$31:$AN$39,'All Stock'!Y$40,FALSE),"")</f>
        <v>1</v>
      </c>
      <c r="AB69" s="496">
        <f>IFERROR(VLOOKUP($A69,'All Stock'!$C$31:$AN$39,'All Stock'!Z$40,FALSE),"")</f>
        <v>1</v>
      </c>
      <c r="AC69" s="496">
        <f>IFERROR(VLOOKUP($A69,'All Stock'!$C$31:$AN$39,'All Stock'!AA$40,FALSE),"")</f>
        <v>1</v>
      </c>
      <c r="AD69" s="496">
        <f>IFERROR(VLOOKUP($A69,'All Stock'!$C$31:$AN$39,'All Stock'!AB$40,FALSE),"")</f>
        <v>1</v>
      </c>
      <c r="AE69" s="496">
        <f>IFERROR(VLOOKUP($A69,'All Stock'!$C$31:$AN$39,'All Stock'!AC$40,FALSE),"")</f>
        <v>1</v>
      </c>
      <c r="AF69" s="496">
        <f>IFERROR(VLOOKUP($A69,'All Stock'!$C$31:$AN$39,'All Stock'!AD$40,FALSE),"")</f>
        <v>1</v>
      </c>
      <c r="AG69" s="496">
        <f>IFERROR(VLOOKUP($A69,'All Stock'!$C$31:$AN$39,'All Stock'!AE$40,FALSE),"")</f>
        <v>1</v>
      </c>
      <c r="AH69" s="496">
        <f>IFERROR(VLOOKUP($A69,'All Stock'!$C$31:$AN$39,'All Stock'!AF$40,FALSE),"")</f>
        <v>1</v>
      </c>
      <c r="AI69" s="496">
        <f>IFERROR(VLOOKUP($A69,'All Stock'!$C$31:$AN$39,'All Stock'!AG$40,FALSE),"")</f>
        <v>1</v>
      </c>
      <c r="AJ69" s="496">
        <f>IFERROR(VLOOKUP($A69,'All Stock'!$C$31:$AN$39,'All Stock'!AH$40,FALSE),"")</f>
        <v>1</v>
      </c>
      <c r="AK69" s="496">
        <f>IFERROR(VLOOKUP($A69,'All Stock'!$C$31:$AN$39,'All Stock'!AI$40,FALSE),"")</f>
        <v>1</v>
      </c>
      <c r="AL69" s="496">
        <f>IFERROR(VLOOKUP($A69,'All Stock'!$C$31:$AN$39,'All Stock'!AJ$40,FALSE),"")</f>
        <v>1</v>
      </c>
      <c r="AM69" s="496">
        <f>IFERROR(VLOOKUP($A69,'All Stock'!$C$31:$AN$39,'All Stock'!AK$40,FALSE),"")</f>
        <v>1</v>
      </c>
      <c r="AN69" s="496">
        <f>IFERROR(VLOOKUP($A69,'All Stock'!$C$31:$AN$39,'All Stock'!AL$40,FALSE),"")</f>
        <v>1</v>
      </c>
      <c r="AO69" s="496">
        <f>IFERROR(VLOOKUP($A69,'All Stock'!$C$31:$AN$39,'All Stock'!AM$40,FALSE),"")</f>
        <v>1</v>
      </c>
      <c r="AP69" s="496">
        <f>IFERROR(VLOOKUP($A69,'All Stock'!$C$31:$AN$39,'All Stock'!AN$40,FALSE),"")</f>
        <v>1</v>
      </c>
      <c r="AQ69" s="509"/>
      <c r="AR69" s="509"/>
      <c r="AS69" s="509"/>
      <c r="AT69" s="509"/>
      <c r="AX69" s="467"/>
      <c r="AY69" s="467"/>
      <c r="AZ69" s="467"/>
      <c r="BA69" s="467"/>
      <c r="BB69" s="467"/>
      <c r="BC69" s="467"/>
      <c r="BD69" s="467"/>
      <c r="BE69" s="467"/>
      <c r="BF69" s="467"/>
      <c r="BG69" s="467"/>
      <c r="BH69" s="467"/>
      <c r="BI69" s="467"/>
      <c r="BJ69" s="467"/>
      <c r="BK69" s="467"/>
      <c r="BL69" s="467"/>
      <c r="BM69" s="467"/>
      <c r="BN69" s="467"/>
      <c r="BO69" s="467"/>
      <c r="BP69" s="467"/>
      <c r="BQ69" s="467"/>
      <c r="BR69" s="467"/>
      <c r="BS69" s="467"/>
      <c r="BT69" s="467"/>
      <c r="BU69" s="467"/>
      <c r="BV69" s="467"/>
      <c r="BW69" s="467"/>
      <c r="BX69" s="467"/>
      <c r="BY69" s="467"/>
      <c r="BZ69" s="467"/>
      <c r="CA69" s="467"/>
      <c r="CB69" s="467"/>
      <c r="CC69" s="467"/>
      <c r="CD69" s="467"/>
      <c r="CE69" s="467"/>
      <c r="CF69" s="467"/>
      <c r="CG69" s="467"/>
      <c r="CH69" s="467"/>
    </row>
    <row r="70" spans="1:86">
      <c r="A70" s="819" t="s">
        <v>937</v>
      </c>
      <c r="C70" t="str">
        <f t="shared" si="24"/>
        <v>R_ES-SH-DH-70_ELC-HPA</v>
      </c>
      <c r="E70" t="str">
        <f t="shared" si="25"/>
        <v>R_ES-DH-70-SpHeat</v>
      </c>
      <c r="F70" s="496">
        <f>IFERROR(VLOOKUP($A70,'All Stock'!$C$31:$AN$39,'All Stock'!D$40,FALSE),"")</f>
        <v>2.5</v>
      </c>
      <c r="G70" s="496">
        <f>IFERROR(VLOOKUP($A70,'All Stock'!$C$31:$AN$39,'All Stock'!E$40,FALSE),"")</f>
        <v>2.5</v>
      </c>
      <c r="H70" s="496">
        <f>IFERROR(VLOOKUP($A70,'All Stock'!$C$31:$AN$39,'All Stock'!F$40,FALSE),"")</f>
        <v>2.5</v>
      </c>
      <c r="I70" s="496">
        <f>IFERROR(VLOOKUP($A70,'All Stock'!$C$31:$AN$39,'All Stock'!G$40,FALSE),"")</f>
        <v>2.5</v>
      </c>
      <c r="J70" s="496">
        <f>IFERROR(VLOOKUP($A70,'All Stock'!$C$31:$AN$39,'All Stock'!H$40,FALSE),"")</f>
        <v>2.5</v>
      </c>
      <c r="K70" s="496">
        <f>IFERROR(VLOOKUP($A70,'All Stock'!$C$31:$AN$39,'All Stock'!I$40,FALSE),"")</f>
        <v>2.5</v>
      </c>
      <c r="L70" s="496">
        <f>IFERROR(VLOOKUP($A70,'All Stock'!$C$31:$AN$39,'All Stock'!J$40,FALSE),"")</f>
        <v>2.5</v>
      </c>
      <c r="M70" s="496">
        <f>IFERROR(VLOOKUP($A70,'All Stock'!$C$31:$AN$39,'All Stock'!K$40,FALSE),"")</f>
        <v>2.5</v>
      </c>
      <c r="N70" s="496">
        <f>IFERROR(VLOOKUP($A70,'All Stock'!$C$31:$AN$39,'All Stock'!L$40,FALSE),"")</f>
        <v>2.5</v>
      </c>
      <c r="O70" s="496">
        <f>IFERROR(VLOOKUP($A70,'All Stock'!$C$31:$AN$39,'All Stock'!M$40,FALSE),"")</f>
        <v>2.5</v>
      </c>
      <c r="P70" s="496">
        <f>IFERROR(VLOOKUP($A70,'All Stock'!$C$31:$AN$39,'All Stock'!N$40,FALSE),"")</f>
        <v>2.5</v>
      </c>
      <c r="Q70" s="496">
        <f>IFERROR(VLOOKUP($A70,'All Stock'!$C$31:$AN$39,'All Stock'!O$40,FALSE),"")</f>
        <v>2.5</v>
      </c>
      <c r="R70" s="496">
        <f>IFERROR(VLOOKUP($A70,'All Stock'!$C$31:$AN$39,'All Stock'!P$40,FALSE),"")</f>
        <v>2.5</v>
      </c>
      <c r="S70" s="496">
        <f>IFERROR(VLOOKUP($A70,'All Stock'!$C$31:$AN$39,'All Stock'!Q$40,FALSE),"")</f>
        <v>2.5</v>
      </c>
      <c r="T70" s="496">
        <f>IFERROR(VLOOKUP($A70,'All Stock'!$C$31:$AN$39,'All Stock'!R$40,FALSE),"")</f>
        <v>2.5</v>
      </c>
      <c r="U70" s="496">
        <f>IFERROR(VLOOKUP($A70,'All Stock'!$C$31:$AN$39,'All Stock'!S$40,FALSE),"")</f>
        <v>2.5</v>
      </c>
      <c r="V70" s="496">
        <f>IFERROR(VLOOKUP($A70,'All Stock'!$C$31:$AN$39,'All Stock'!T$40,FALSE),"")</f>
        <v>2.5</v>
      </c>
      <c r="W70" s="496">
        <f>IFERROR(VLOOKUP($A70,'All Stock'!$C$31:$AN$39,'All Stock'!U$40,FALSE),"")</f>
        <v>2.5</v>
      </c>
      <c r="X70" s="496">
        <f>IFERROR(VLOOKUP($A70,'All Stock'!$C$31:$AN$39,'All Stock'!V$40,FALSE),"")</f>
        <v>2.5</v>
      </c>
      <c r="Y70" s="496">
        <f>IFERROR(VLOOKUP($A70,'All Stock'!$C$31:$AN$39,'All Stock'!W$40,FALSE),"")</f>
        <v>2.5</v>
      </c>
      <c r="Z70" s="496">
        <f>IFERROR(VLOOKUP($A70,'All Stock'!$C$31:$AN$39,'All Stock'!X$40,FALSE),"")</f>
        <v>2.5</v>
      </c>
      <c r="AA70" s="496">
        <f>IFERROR(VLOOKUP($A70,'All Stock'!$C$31:$AN$39,'All Stock'!Y$40,FALSE),"")</f>
        <v>2.5</v>
      </c>
      <c r="AB70" s="496">
        <f>IFERROR(VLOOKUP($A70,'All Stock'!$C$31:$AN$39,'All Stock'!Z$40,FALSE),"")</f>
        <v>2.5</v>
      </c>
      <c r="AC70" s="496">
        <f>IFERROR(VLOOKUP($A70,'All Stock'!$C$31:$AN$39,'All Stock'!AA$40,FALSE),"")</f>
        <v>2.5</v>
      </c>
      <c r="AD70" s="496">
        <f>IFERROR(VLOOKUP($A70,'All Stock'!$C$31:$AN$39,'All Stock'!AB$40,FALSE),"")</f>
        <v>2.5</v>
      </c>
      <c r="AE70" s="496">
        <f>IFERROR(VLOOKUP($A70,'All Stock'!$C$31:$AN$39,'All Stock'!AC$40,FALSE),"")</f>
        <v>2.5</v>
      </c>
      <c r="AF70" s="496">
        <f>IFERROR(VLOOKUP($A70,'All Stock'!$C$31:$AN$39,'All Stock'!AD$40,FALSE),"")</f>
        <v>2.5</v>
      </c>
      <c r="AG70" s="496">
        <f>IFERROR(VLOOKUP($A70,'All Stock'!$C$31:$AN$39,'All Stock'!AE$40,FALSE),"")</f>
        <v>2.5</v>
      </c>
      <c r="AH70" s="496">
        <f>IFERROR(VLOOKUP($A70,'All Stock'!$C$31:$AN$39,'All Stock'!AF$40,FALSE),"")</f>
        <v>2.5</v>
      </c>
      <c r="AI70" s="496">
        <f>IFERROR(VLOOKUP($A70,'All Stock'!$C$31:$AN$39,'All Stock'!AG$40,FALSE),"")</f>
        <v>2.5</v>
      </c>
      <c r="AJ70" s="496">
        <f>IFERROR(VLOOKUP($A70,'All Stock'!$C$31:$AN$39,'All Stock'!AH$40,FALSE),"")</f>
        <v>2.5</v>
      </c>
      <c r="AK70" s="496">
        <f>IFERROR(VLOOKUP($A70,'All Stock'!$C$31:$AN$39,'All Stock'!AI$40,FALSE),"")</f>
        <v>2.5</v>
      </c>
      <c r="AL70" s="496">
        <f>IFERROR(VLOOKUP($A70,'All Stock'!$C$31:$AN$39,'All Stock'!AJ$40,FALSE),"")</f>
        <v>2.5</v>
      </c>
      <c r="AM70" s="496">
        <f>IFERROR(VLOOKUP($A70,'All Stock'!$C$31:$AN$39,'All Stock'!AK$40,FALSE),"")</f>
        <v>2.5</v>
      </c>
      <c r="AN70" s="496">
        <f>IFERROR(VLOOKUP($A70,'All Stock'!$C$31:$AN$39,'All Stock'!AL$40,FALSE),"")</f>
        <v>2.5</v>
      </c>
      <c r="AO70" s="496">
        <f>IFERROR(VLOOKUP($A70,'All Stock'!$C$31:$AN$39,'All Stock'!AM$40,FALSE),"")</f>
        <v>2.5</v>
      </c>
      <c r="AP70" s="496">
        <f>IFERROR(VLOOKUP($A70,'All Stock'!$C$31:$AN$39,'All Stock'!AN$40,FALSE),"")</f>
        <v>2.5</v>
      </c>
      <c r="AQ70" s="509"/>
      <c r="AR70" s="509"/>
      <c r="AS70" s="509"/>
      <c r="AT70" s="509"/>
      <c r="AX70" s="467"/>
      <c r="AY70" s="467"/>
      <c r="AZ70" s="467"/>
      <c r="BA70" s="467"/>
      <c r="BB70" s="467"/>
      <c r="BC70" s="467"/>
      <c r="BD70" s="467"/>
      <c r="BE70" s="467"/>
      <c r="BF70" s="467"/>
      <c r="BG70" s="467"/>
      <c r="BH70" s="467"/>
      <c r="BI70" s="467"/>
      <c r="BJ70" s="467"/>
      <c r="BK70" s="467"/>
      <c r="BL70" s="467"/>
      <c r="BM70" s="467"/>
      <c r="BN70" s="467"/>
      <c r="BO70" s="467"/>
      <c r="BP70" s="467"/>
      <c r="BQ70" s="467"/>
      <c r="BR70" s="467"/>
      <c r="BS70" s="467"/>
      <c r="BT70" s="467"/>
      <c r="BU70" s="467"/>
      <c r="BV70" s="467"/>
      <c r="BW70" s="467"/>
      <c r="BX70" s="467"/>
      <c r="BY70" s="467"/>
      <c r="BZ70" s="467"/>
      <c r="CA70" s="467"/>
      <c r="CB70" s="467"/>
      <c r="CC70" s="467"/>
      <c r="CD70" s="467"/>
      <c r="CE70" s="467"/>
      <c r="CF70" s="467"/>
      <c r="CG70" s="467"/>
      <c r="CH70" s="467"/>
    </row>
    <row r="71" spans="1:86">
      <c r="A71" s="819" t="s">
        <v>938</v>
      </c>
      <c r="C71" t="str">
        <f t="shared" si="24"/>
        <v>R_ES-SH-DH-70_ELC-HPG</v>
      </c>
      <c r="E71" t="str">
        <f t="shared" si="25"/>
        <v>R_ES-DH-70-SpHeat</v>
      </c>
      <c r="F71" s="496">
        <f>IFERROR(VLOOKUP($A71,'All Stock'!$C$31:$AN$39,'All Stock'!D$40,FALSE),"")</f>
        <v>3</v>
      </c>
      <c r="G71" s="496">
        <f>IFERROR(VLOOKUP($A71,'All Stock'!$C$31:$AN$39,'All Stock'!E$40,FALSE),"")</f>
        <v>3</v>
      </c>
      <c r="H71" s="496">
        <f>IFERROR(VLOOKUP($A71,'All Stock'!$C$31:$AN$39,'All Stock'!F$40,FALSE),"")</f>
        <v>3</v>
      </c>
      <c r="I71" s="496">
        <f>IFERROR(VLOOKUP($A71,'All Stock'!$C$31:$AN$39,'All Stock'!G$40,FALSE),"")</f>
        <v>3</v>
      </c>
      <c r="J71" s="496">
        <f>IFERROR(VLOOKUP($A71,'All Stock'!$C$31:$AN$39,'All Stock'!H$40,FALSE),"")</f>
        <v>3</v>
      </c>
      <c r="K71" s="496">
        <f>IFERROR(VLOOKUP($A71,'All Stock'!$C$31:$AN$39,'All Stock'!I$40,FALSE),"")</f>
        <v>3</v>
      </c>
      <c r="L71" s="496">
        <f>IFERROR(VLOOKUP($A71,'All Stock'!$C$31:$AN$39,'All Stock'!J$40,FALSE),"")</f>
        <v>3</v>
      </c>
      <c r="M71" s="496">
        <f>IFERROR(VLOOKUP($A71,'All Stock'!$C$31:$AN$39,'All Stock'!K$40,FALSE),"")</f>
        <v>3</v>
      </c>
      <c r="N71" s="496">
        <f>IFERROR(VLOOKUP($A71,'All Stock'!$C$31:$AN$39,'All Stock'!L$40,FALSE),"")</f>
        <v>3</v>
      </c>
      <c r="O71" s="496">
        <f>IFERROR(VLOOKUP($A71,'All Stock'!$C$31:$AN$39,'All Stock'!M$40,FALSE),"")</f>
        <v>3</v>
      </c>
      <c r="P71" s="496">
        <f>IFERROR(VLOOKUP($A71,'All Stock'!$C$31:$AN$39,'All Stock'!N$40,FALSE),"")</f>
        <v>3</v>
      </c>
      <c r="Q71" s="496">
        <f>IFERROR(VLOOKUP($A71,'All Stock'!$C$31:$AN$39,'All Stock'!O$40,FALSE),"")</f>
        <v>3</v>
      </c>
      <c r="R71" s="496">
        <f>IFERROR(VLOOKUP($A71,'All Stock'!$C$31:$AN$39,'All Stock'!P$40,FALSE),"")</f>
        <v>3</v>
      </c>
      <c r="S71" s="496">
        <f>IFERROR(VLOOKUP($A71,'All Stock'!$C$31:$AN$39,'All Stock'!Q$40,FALSE),"")</f>
        <v>3</v>
      </c>
      <c r="T71" s="496">
        <f>IFERROR(VLOOKUP($A71,'All Stock'!$C$31:$AN$39,'All Stock'!R$40,FALSE),"")</f>
        <v>3</v>
      </c>
      <c r="U71" s="496">
        <f>IFERROR(VLOOKUP($A71,'All Stock'!$C$31:$AN$39,'All Stock'!S$40,FALSE),"")</f>
        <v>3</v>
      </c>
      <c r="V71" s="496">
        <f>IFERROR(VLOOKUP($A71,'All Stock'!$C$31:$AN$39,'All Stock'!T$40,FALSE),"")</f>
        <v>3</v>
      </c>
      <c r="W71" s="496">
        <f>IFERROR(VLOOKUP($A71,'All Stock'!$C$31:$AN$39,'All Stock'!U$40,FALSE),"")</f>
        <v>3</v>
      </c>
      <c r="X71" s="496">
        <f>IFERROR(VLOOKUP($A71,'All Stock'!$C$31:$AN$39,'All Stock'!V$40,FALSE),"")</f>
        <v>3</v>
      </c>
      <c r="Y71" s="496">
        <f>IFERROR(VLOOKUP($A71,'All Stock'!$C$31:$AN$39,'All Stock'!W$40,FALSE),"")</f>
        <v>3</v>
      </c>
      <c r="Z71" s="496">
        <f>IFERROR(VLOOKUP($A71,'All Stock'!$C$31:$AN$39,'All Stock'!X$40,FALSE),"")</f>
        <v>3</v>
      </c>
      <c r="AA71" s="496">
        <f>IFERROR(VLOOKUP($A71,'All Stock'!$C$31:$AN$39,'All Stock'!Y$40,FALSE),"")</f>
        <v>3</v>
      </c>
      <c r="AB71" s="496">
        <f>IFERROR(VLOOKUP($A71,'All Stock'!$C$31:$AN$39,'All Stock'!Z$40,FALSE),"")</f>
        <v>3</v>
      </c>
      <c r="AC71" s="496">
        <f>IFERROR(VLOOKUP($A71,'All Stock'!$C$31:$AN$39,'All Stock'!AA$40,FALSE),"")</f>
        <v>3</v>
      </c>
      <c r="AD71" s="496">
        <f>IFERROR(VLOOKUP($A71,'All Stock'!$C$31:$AN$39,'All Stock'!AB$40,FALSE),"")</f>
        <v>3</v>
      </c>
      <c r="AE71" s="496">
        <f>IFERROR(VLOOKUP($A71,'All Stock'!$C$31:$AN$39,'All Stock'!AC$40,FALSE),"")</f>
        <v>3</v>
      </c>
      <c r="AF71" s="496">
        <f>IFERROR(VLOOKUP($A71,'All Stock'!$C$31:$AN$39,'All Stock'!AD$40,FALSE),"")</f>
        <v>3</v>
      </c>
      <c r="AG71" s="496">
        <f>IFERROR(VLOOKUP($A71,'All Stock'!$C$31:$AN$39,'All Stock'!AE$40,FALSE),"")</f>
        <v>3</v>
      </c>
      <c r="AH71" s="496">
        <f>IFERROR(VLOOKUP($A71,'All Stock'!$C$31:$AN$39,'All Stock'!AF$40,FALSE),"")</f>
        <v>3</v>
      </c>
      <c r="AI71" s="496">
        <f>IFERROR(VLOOKUP($A71,'All Stock'!$C$31:$AN$39,'All Stock'!AG$40,FALSE),"")</f>
        <v>3</v>
      </c>
      <c r="AJ71" s="496">
        <f>IFERROR(VLOOKUP($A71,'All Stock'!$C$31:$AN$39,'All Stock'!AH$40,FALSE),"")</f>
        <v>3</v>
      </c>
      <c r="AK71" s="496">
        <f>IFERROR(VLOOKUP($A71,'All Stock'!$C$31:$AN$39,'All Stock'!AI$40,FALSE),"")</f>
        <v>3</v>
      </c>
      <c r="AL71" s="496">
        <f>IFERROR(VLOOKUP($A71,'All Stock'!$C$31:$AN$39,'All Stock'!AJ$40,FALSE),"")</f>
        <v>3</v>
      </c>
      <c r="AM71" s="496">
        <f>IFERROR(VLOOKUP($A71,'All Stock'!$C$31:$AN$39,'All Stock'!AK$40,FALSE),"")</f>
        <v>3</v>
      </c>
      <c r="AN71" s="496">
        <f>IFERROR(VLOOKUP($A71,'All Stock'!$C$31:$AN$39,'All Stock'!AL$40,FALSE),"")</f>
        <v>3</v>
      </c>
      <c r="AO71" s="496">
        <f>IFERROR(VLOOKUP($A71,'All Stock'!$C$31:$AN$39,'All Stock'!AM$40,FALSE),"")</f>
        <v>3</v>
      </c>
      <c r="AP71" s="496">
        <f>IFERROR(VLOOKUP($A71,'All Stock'!$C$31:$AN$39,'All Stock'!AN$40,FALSE),"")</f>
        <v>3</v>
      </c>
      <c r="AQ71" s="509"/>
      <c r="AR71" s="509"/>
      <c r="AS71" s="509"/>
      <c r="AT71" s="509"/>
      <c r="AX71" s="467"/>
      <c r="AY71" s="467"/>
      <c r="AZ71" s="467"/>
      <c r="BA71" s="467"/>
      <c r="BB71" s="467"/>
      <c r="BC71" s="467"/>
      <c r="BD71" s="467"/>
      <c r="BE71" s="467"/>
      <c r="BF71" s="467"/>
      <c r="BG71" s="467"/>
      <c r="BH71" s="467"/>
      <c r="BI71" s="467"/>
      <c r="BJ71" s="467"/>
      <c r="BK71" s="467"/>
      <c r="BL71" s="467"/>
      <c r="BM71" s="467"/>
      <c r="BN71" s="467"/>
      <c r="BO71" s="467"/>
      <c r="BP71" s="467"/>
      <c r="BQ71" s="467"/>
      <c r="BR71" s="467"/>
      <c r="BS71" s="467"/>
      <c r="BT71" s="467"/>
      <c r="BU71" s="467"/>
      <c r="BV71" s="467"/>
      <c r="BW71" s="467"/>
      <c r="BX71" s="467"/>
      <c r="BY71" s="467"/>
      <c r="BZ71" s="467"/>
      <c r="CA71" s="467"/>
      <c r="CB71" s="467"/>
      <c r="CC71" s="467"/>
      <c r="CD71" s="467"/>
      <c r="CE71" s="467"/>
      <c r="CF71" s="467"/>
      <c r="CG71" s="467"/>
      <c r="CH71" s="467"/>
    </row>
    <row r="72" spans="1:86">
      <c r="A72" t="str">
        <f t="shared" ref="A72:A79" si="32">A28</f>
        <v>Gases</v>
      </c>
      <c r="C72" t="str">
        <f t="shared" si="24"/>
        <v>R_ES-SH-DH-70_GAS</v>
      </c>
      <c r="E72" t="str">
        <f t="shared" si="25"/>
        <v>R_ES-DH-70-SpHeat</v>
      </c>
      <c r="F72" s="496">
        <f>IFERROR(VLOOKUP($A72,'All Stock'!$C$31:$AN$39,'All Stock'!D$40,FALSE),"")</f>
        <v>0.9</v>
      </c>
      <c r="G72" s="496">
        <f>IFERROR(VLOOKUP($A72,'All Stock'!$C$31:$AN$39,'All Stock'!E$40,FALSE),"")</f>
        <v>0.9</v>
      </c>
      <c r="H72" s="496">
        <f>IFERROR(VLOOKUP($A72,'All Stock'!$C$31:$AN$39,'All Stock'!F$40,FALSE),"")</f>
        <v>0.85</v>
      </c>
      <c r="I72" s="496">
        <f>IFERROR(VLOOKUP($A72,'All Stock'!$C$31:$AN$39,'All Stock'!G$40,FALSE),"")</f>
        <v>0.9</v>
      </c>
      <c r="J72" s="496">
        <f>IFERROR(VLOOKUP($A72,'All Stock'!$C$31:$AN$39,'All Stock'!H$40,FALSE),"")</f>
        <v>0.85</v>
      </c>
      <c r="K72" s="496">
        <f>IFERROR(VLOOKUP($A72,'All Stock'!$C$31:$AN$39,'All Stock'!I$40,FALSE),"")</f>
        <v>0.85</v>
      </c>
      <c r="L72" s="496">
        <f>IFERROR(VLOOKUP($A72,'All Stock'!$C$31:$AN$39,'All Stock'!J$40,FALSE),"")</f>
        <v>0.9</v>
      </c>
      <c r="M72" s="496">
        <f>IFERROR(VLOOKUP($A72,'All Stock'!$C$31:$AN$39,'All Stock'!K$40,FALSE),"")</f>
        <v>0.9</v>
      </c>
      <c r="N72" s="496">
        <f>IFERROR(VLOOKUP($A72,'All Stock'!$C$31:$AN$39,'All Stock'!L$40,FALSE),"")</f>
        <v>0.85</v>
      </c>
      <c r="O72" s="496">
        <f>IFERROR(VLOOKUP($A72,'All Stock'!$C$31:$AN$39,'All Stock'!M$40,FALSE),"")</f>
        <v>0.9</v>
      </c>
      <c r="P72" s="496">
        <f>IFERROR(VLOOKUP($A72,'All Stock'!$C$31:$AN$39,'All Stock'!N$40,FALSE),"")</f>
        <v>0.9</v>
      </c>
      <c r="Q72" s="496">
        <f>IFERROR(VLOOKUP($A72,'All Stock'!$C$31:$AN$39,'All Stock'!O$40,FALSE),"")</f>
        <v>0.9</v>
      </c>
      <c r="R72" s="496">
        <f>IFERROR(VLOOKUP($A72,'All Stock'!$C$31:$AN$39,'All Stock'!P$40,FALSE),"")</f>
        <v>0.85</v>
      </c>
      <c r="S72" s="496">
        <f>IFERROR(VLOOKUP($A72,'All Stock'!$C$31:$AN$39,'All Stock'!Q$40,FALSE),"")</f>
        <v>0.85</v>
      </c>
      <c r="T72" s="496">
        <f>IFERROR(VLOOKUP($A72,'All Stock'!$C$31:$AN$39,'All Stock'!R$40,FALSE),"")</f>
        <v>0.85</v>
      </c>
      <c r="U72" s="496">
        <f>IFERROR(VLOOKUP($A72,'All Stock'!$C$31:$AN$39,'All Stock'!S$40,FALSE),"")</f>
        <v>0.9</v>
      </c>
      <c r="V72" s="496">
        <f>IFERROR(VLOOKUP($A72,'All Stock'!$C$31:$AN$39,'All Stock'!T$40,FALSE),"")</f>
        <v>0.9</v>
      </c>
      <c r="W72" s="496">
        <f>IFERROR(VLOOKUP($A72,'All Stock'!$C$31:$AN$39,'All Stock'!U$40,FALSE),"")</f>
        <v>0.9</v>
      </c>
      <c r="X72" s="496">
        <f>IFERROR(VLOOKUP($A72,'All Stock'!$C$31:$AN$39,'All Stock'!V$40,FALSE),"")</f>
        <v>0.85</v>
      </c>
      <c r="Y72" s="496">
        <f>IFERROR(VLOOKUP($A72,'All Stock'!$C$31:$AN$39,'All Stock'!W$40,FALSE),"")</f>
        <v>0.9</v>
      </c>
      <c r="Z72" s="496">
        <f>IFERROR(VLOOKUP($A72,'All Stock'!$C$31:$AN$39,'All Stock'!X$40,FALSE),"")</f>
        <v>0.85</v>
      </c>
      <c r="AA72" s="496">
        <f>IFERROR(VLOOKUP($A72,'All Stock'!$C$31:$AN$39,'All Stock'!Y$40,FALSE),"")</f>
        <v>0.85</v>
      </c>
      <c r="AB72" s="496">
        <f>IFERROR(VLOOKUP($A72,'All Stock'!$C$31:$AN$39,'All Stock'!Z$40,FALSE),"")</f>
        <v>0.9</v>
      </c>
      <c r="AC72" s="496">
        <f>IFERROR(VLOOKUP($A72,'All Stock'!$C$31:$AN$39,'All Stock'!AA$40,FALSE),"")</f>
        <v>0.9</v>
      </c>
      <c r="AD72" s="496">
        <f>IFERROR(VLOOKUP($A72,'All Stock'!$C$31:$AN$39,'All Stock'!AB$40,FALSE),"")</f>
        <v>0.85</v>
      </c>
      <c r="AE72" s="496">
        <f>IFERROR(VLOOKUP($A72,'All Stock'!$C$31:$AN$39,'All Stock'!AC$40,FALSE),"")</f>
        <v>0.85</v>
      </c>
      <c r="AF72" s="496">
        <f>IFERROR(VLOOKUP($A72,'All Stock'!$C$31:$AN$39,'All Stock'!AD$40,FALSE),"")</f>
        <v>0.85</v>
      </c>
      <c r="AG72" s="496">
        <f>IFERROR(VLOOKUP($A72,'All Stock'!$C$31:$AN$39,'All Stock'!AE$40,FALSE),"")</f>
        <v>0.9</v>
      </c>
      <c r="AH72" s="496">
        <f>IFERROR(VLOOKUP($A72,'All Stock'!$C$31:$AN$39,'All Stock'!AF$40,FALSE),"")</f>
        <v>0.85</v>
      </c>
      <c r="AI72" s="496">
        <f>IFERROR(VLOOKUP($A72,'All Stock'!$C$31:$AN$39,'All Stock'!AG$40,FALSE),"")</f>
        <v>0.85</v>
      </c>
      <c r="AJ72" s="496">
        <f>IFERROR(VLOOKUP($A72,'All Stock'!$C$31:$AN$39,'All Stock'!AH$40,FALSE),"")</f>
        <v>0.9</v>
      </c>
      <c r="AK72" s="496">
        <f>IFERROR(VLOOKUP($A72,'All Stock'!$C$31:$AN$39,'All Stock'!AI$40,FALSE),"")</f>
        <v>0.85</v>
      </c>
      <c r="AL72" s="496">
        <f>IFERROR(VLOOKUP($A72,'All Stock'!$C$31:$AN$39,'All Stock'!AJ$40,FALSE),"")</f>
        <v>0.85</v>
      </c>
      <c r="AM72" s="496">
        <f>IFERROR(VLOOKUP($A72,'All Stock'!$C$31:$AN$39,'All Stock'!AK$40,FALSE),"")</f>
        <v>0.85</v>
      </c>
      <c r="AN72" s="496">
        <f>IFERROR(VLOOKUP($A72,'All Stock'!$C$31:$AN$39,'All Stock'!AL$40,FALSE),"")</f>
        <v>0.85</v>
      </c>
      <c r="AO72" s="496">
        <f>IFERROR(VLOOKUP($A72,'All Stock'!$C$31:$AN$39,'All Stock'!AM$40,FALSE),"")</f>
        <v>0.85</v>
      </c>
      <c r="AP72" s="496">
        <f>IFERROR(VLOOKUP($A72,'All Stock'!$C$31:$AN$39,'All Stock'!AN$40,FALSE),"")</f>
        <v>0.85</v>
      </c>
      <c r="AQ72" s="509"/>
      <c r="AR72" s="509"/>
      <c r="AS72" s="509"/>
      <c r="AT72" s="509"/>
      <c r="AX72" s="467"/>
      <c r="AY72" s="467"/>
      <c r="AZ72" s="467"/>
      <c r="BA72" s="467"/>
      <c r="BB72" s="467"/>
      <c r="BC72" s="467"/>
      <c r="BD72" s="467"/>
      <c r="BE72" s="467"/>
      <c r="BF72" s="467"/>
      <c r="BG72" s="467"/>
      <c r="BH72" s="467"/>
      <c r="BI72" s="467"/>
      <c r="BJ72" s="467"/>
      <c r="BK72" s="467"/>
      <c r="BL72" s="467"/>
      <c r="BM72" s="467"/>
      <c r="BN72" s="467"/>
      <c r="BO72" s="467"/>
      <c r="BP72" s="467"/>
      <c r="BQ72" s="467"/>
      <c r="BR72" s="467"/>
      <c r="BS72" s="467"/>
      <c r="BT72" s="467"/>
      <c r="BU72" s="467"/>
      <c r="BV72" s="467"/>
      <c r="BW72" s="467"/>
      <c r="BX72" s="467"/>
      <c r="BY72" s="467"/>
      <c r="BZ72" s="467"/>
      <c r="CA72" s="467"/>
      <c r="CB72" s="467"/>
      <c r="CC72" s="467"/>
      <c r="CD72" s="467"/>
      <c r="CE72" s="467"/>
      <c r="CF72" s="467"/>
      <c r="CG72" s="467"/>
      <c r="CH72" s="467"/>
    </row>
    <row r="73" spans="1:86">
      <c r="A73" t="str">
        <f t="shared" si="32"/>
        <v>Derived heat</v>
      </c>
      <c r="C73" t="str">
        <f t="shared" si="24"/>
        <v>R_ES-SH-DH-70_HET</v>
      </c>
      <c r="E73" t="str">
        <f t="shared" si="25"/>
        <v>R_ES-DH-70-SpHeat</v>
      </c>
      <c r="F73" s="496">
        <f>IFERROR(VLOOKUP($A73,'All Stock'!$C$31:$AN$39,'All Stock'!D$40,FALSE),"")</f>
        <v>0.95</v>
      </c>
      <c r="G73" s="496">
        <f>IFERROR(VLOOKUP($A73,'All Stock'!$C$31:$AN$39,'All Stock'!E$40,FALSE),"")</f>
        <v>0.95</v>
      </c>
      <c r="H73" s="496">
        <f>IFERROR(VLOOKUP($A73,'All Stock'!$C$31:$AN$39,'All Stock'!F$40,FALSE),"")</f>
        <v>0.85</v>
      </c>
      <c r="I73" s="496">
        <f>IFERROR(VLOOKUP($A73,'All Stock'!$C$31:$AN$39,'All Stock'!G$40,FALSE),"")</f>
        <v>0.95</v>
      </c>
      <c r="J73" s="496">
        <f>IFERROR(VLOOKUP($A73,'All Stock'!$C$31:$AN$39,'All Stock'!H$40,FALSE),"")</f>
        <v>0.85</v>
      </c>
      <c r="K73" s="496">
        <f>IFERROR(VLOOKUP($A73,'All Stock'!$C$31:$AN$39,'All Stock'!I$40,FALSE),"")</f>
        <v>0.85</v>
      </c>
      <c r="L73" s="496">
        <f>IFERROR(VLOOKUP($A73,'All Stock'!$C$31:$AN$39,'All Stock'!J$40,FALSE),"")</f>
        <v>0.95</v>
      </c>
      <c r="M73" s="496">
        <f>IFERROR(VLOOKUP($A73,'All Stock'!$C$31:$AN$39,'All Stock'!K$40,FALSE),"")</f>
        <v>0.95</v>
      </c>
      <c r="N73" s="496">
        <f>IFERROR(VLOOKUP($A73,'All Stock'!$C$31:$AN$39,'All Stock'!L$40,FALSE),"")</f>
        <v>0.85</v>
      </c>
      <c r="O73" s="496">
        <f>IFERROR(VLOOKUP($A73,'All Stock'!$C$31:$AN$39,'All Stock'!M$40,FALSE),"")</f>
        <v>0.95</v>
      </c>
      <c r="P73" s="496">
        <f>IFERROR(VLOOKUP($A73,'All Stock'!$C$31:$AN$39,'All Stock'!N$40,FALSE),"")</f>
        <v>0.95</v>
      </c>
      <c r="Q73" s="496">
        <f>IFERROR(VLOOKUP($A73,'All Stock'!$C$31:$AN$39,'All Stock'!O$40,FALSE),"")</f>
        <v>0.95</v>
      </c>
      <c r="R73" s="496">
        <f>IFERROR(VLOOKUP($A73,'All Stock'!$C$31:$AN$39,'All Stock'!P$40,FALSE),"")</f>
        <v>0.95</v>
      </c>
      <c r="S73" s="496">
        <f>IFERROR(VLOOKUP($A73,'All Stock'!$C$31:$AN$39,'All Stock'!Q$40,FALSE),"")</f>
        <v>0.9</v>
      </c>
      <c r="T73" s="496">
        <f>IFERROR(VLOOKUP($A73,'All Stock'!$C$31:$AN$39,'All Stock'!R$40,FALSE),"")</f>
        <v>0.9</v>
      </c>
      <c r="U73" s="496">
        <f>IFERROR(VLOOKUP($A73,'All Stock'!$C$31:$AN$39,'All Stock'!S$40,FALSE),"")</f>
        <v>0.95</v>
      </c>
      <c r="V73" s="496">
        <f>IFERROR(VLOOKUP($A73,'All Stock'!$C$31:$AN$39,'All Stock'!T$40,FALSE),"")</f>
        <v>0.95</v>
      </c>
      <c r="W73" s="496">
        <f>IFERROR(VLOOKUP($A73,'All Stock'!$C$31:$AN$39,'All Stock'!U$40,FALSE),"")</f>
        <v>0.95</v>
      </c>
      <c r="X73" s="496">
        <f>IFERROR(VLOOKUP($A73,'All Stock'!$C$31:$AN$39,'All Stock'!V$40,FALSE),"")</f>
        <v>0.85</v>
      </c>
      <c r="Y73" s="496">
        <f>IFERROR(VLOOKUP($A73,'All Stock'!$C$31:$AN$39,'All Stock'!W$40,FALSE),"")</f>
        <v>0.95</v>
      </c>
      <c r="Z73" s="496">
        <f>IFERROR(VLOOKUP($A73,'All Stock'!$C$31:$AN$39,'All Stock'!X$40,FALSE),"")</f>
        <v>0.85</v>
      </c>
      <c r="AA73" s="496">
        <f>IFERROR(VLOOKUP($A73,'All Stock'!$C$31:$AN$39,'All Stock'!Y$40,FALSE),"")</f>
        <v>0.85</v>
      </c>
      <c r="AB73" s="496">
        <f>IFERROR(VLOOKUP($A73,'All Stock'!$C$31:$AN$39,'All Stock'!Z$40,FALSE),"")</f>
        <v>0.95</v>
      </c>
      <c r="AC73" s="496">
        <f>IFERROR(VLOOKUP($A73,'All Stock'!$C$31:$AN$39,'All Stock'!AA$40,FALSE),"")</f>
        <v>0.95</v>
      </c>
      <c r="AD73" s="496">
        <f>IFERROR(VLOOKUP($A73,'All Stock'!$C$31:$AN$39,'All Stock'!AB$40,FALSE),"")</f>
        <v>0.85</v>
      </c>
      <c r="AE73" s="496">
        <f>IFERROR(VLOOKUP($A73,'All Stock'!$C$31:$AN$39,'All Stock'!AC$40,FALSE),"")</f>
        <v>0.9</v>
      </c>
      <c r="AF73" s="496">
        <f>IFERROR(VLOOKUP($A73,'All Stock'!$C$31:$AN$39,'All Stock'!AD$40,FALSE),"")</f>
        <v>0.85</v>
      </c>
      <c r="AG73" s="496">
        <f>IFERROR(VLOOKUP($A73,'All Stock'!$C$31:$AN$39,'All Stock'!AE$40,FALSE),"")</f>
        <v>0.95</v>
      </c>
      <c r="AH73" s="496">
        <f>IFERROR(VLOOKUP($A73,'All Stock'!$C$31:$AN$39,'All Stock'!AF$40,FALSE),"")</f>
        <v>0.9</v>
      </c>
      <c r="AI73" s="496">
        <f>IFERROR(VLOOKUP($A73,'All Stock'!$C$31:$AN$39,'All Stock'!AG$40,FALSE),"")</f>
        <v>0.85</v>
      </c>
      <c r="AJ73" s="496">
        <f>IFERROR(VLOOKUP($A73,'All Stock'!$C$31:$AN$39,'All Stock'!AH$40,FALSE),"")</f>
        <v>0.95</v>
      </c>
      <c r="AK73" s="496">
        <f>IFERROR(VLOOKUP($A73,'All Stock'!$C$31:$AN$39,'All Stock'!AI$40,FALSE),"")</f>
        <v>0.85</v>
      </c>
      <c r="AL73" s="496">
        <f>IFERROR(VLOOKUP($A73,'All Stock'!$C$31:$AN$39,'All Stock'!AJ$40,FALSE),"")</f>
        <v>0.85</v>
      </c>
      <c r="AM73" s="496">
        <f>IFERROR(VLOOKUP($A73,'All Stock'!$C$31:$AN$39,'All Stock'!AK$40,FALSE),"")</f>
        <v>0.85</v>
      </c>
      <c r="AN73" s="496">
        <f>IFERROR(VLOOKUP($A73,'All Stock'!$C$31:$AN$39,'All Stock'!AL$40,FALSE),"")</f>
        <v>0.85</v>
      </c>
      <c r="AO73" s="496">
        <f>IFERROR(VLOOKUP($A73,'All Stock'!$C$31:$AN$39,'All Stock'!AM$40,FALSE),"")</f>
        <v>0.85</v>
      </c>
      <c r="AP73" s="496">
        <f>IFERROR(VLOOKUP($A73,'All Stock'!$C$31:$AN$39,'All Stock'!AN$40,FALSE),"")</f>
        <v>0.85</v>
      </c>
      <c r="AQ73" s="509"/>
      <c r="AR73" s="509"/>
      <c r="AS73" s="509"/>
      <c r="AT73" s="509"/>
      <c r="AX73" s="467"/>
      <c r="AY73" s="467"/>
      <c r="AZ73" s="467"/>
      <c r="BA73" s="467"/>
      <c r="BB73" s="467"/>
      <c r="BC73" s="467"/>
      <c r="BD73" s="467"/>
      <c r="BE73" s="467"/>
      <c r="BF73" s="467"/>
      <c r="BG73" s="467"/>
      <c r="BH73" s="467"/>
      <c r="BI73" s="467"/>
      <c r="BJ73" s="467"/>
      <c r="BK73" s="467"/>
      <c r="BL73" s="467"/>
      <c r="BM73" s="467"/>
      <c r="BN73" s="467"/>
      <c r="BO73" s="467"/>
      <c r="BP73" s="467"/>
      <c r="BQ73" s="467"/>
      <c r="BR73" s="467"/>
      <c r="BS73" s="467"/>
      <c r="BT73" s="467"/>
      <c r="BU73" s="467"/>
      <c r="BV73" s="467"/>
      <c r="BW73" s="467"/>
      <c r="BX73" s="467"/>
      <c r="BY73" s="467"/>
      <c r="BZ73" s="467"/>
      <c r="CA73" s="467"/>
      <c r="CB73" s="467"/>
      <c r="CC73" s="467"/>
      <c r="CD73" s="467"/>
      <c r="CE73" s="467"/>
      <c r="CF73" s="467"/>
      <c r="CG73" s="467"/>
      <c r="CH73" s="467"/>
    </row>
    <row r="74" spans="1:86">
      <c r="A74" t="str">
        <f t="shared" si="32"/>
        <v>GDO and other liquids (incl. liq. bio.)</v>
      </c>
      <c r="C74" t="str">
        <f t="shared" si="24"/>
        <v>R_ES-SH-DH-70_OIL</v>
      </c>
      <c r="E74" t="str">
        <f t="shared" si="25"/>
        <v>R_ES-DH-70-SpHeat</v>
      </c>
      <c r="F74" s="496">
        <f>IFERROR(VLOOKUP($A74,'All Stock'!$C$31:$AN$39,'All Stock'!D$40,FALSE),"")</f>
        <v>0.8</v>
      </c>
      <c r="G74" s="496">
        <f>IFERROR(VLOOKUP($A74,'All Stock'!$C$31:$AN$39,'All Stock'!E$40,FALSE),"")</f>
        <v>0.8</v>
      </c>
      <c r="H74" s="496">
        <f>IFERROR(VLOOKUP($A74,'All Stock'!$C$31:$AN$39,'All Stock'!F$40,FALSE),"")</f>
        <v>0.75</v>
      </c>
      <c r="I74" s="496">
        <f>IFERROR(VLOOKUP($A74,'All Stock'!$C$31:$AN$39,'All Stock'!G$40,FALSE),"")</f>
        <v>0.8</v>
      </c>
      <c r="J74" s="496">
        <f>IFERROR(VLOOKUP($A74,'All Stock'!$C$31:$AN$39,'All Stock'!H$40,FALSE),"")</f>
        <v>0.8</v>
      </c>
      <c r="K74" s="496">
        <f>IFERROR(VLOOKUP($A74,'All Stock'!$C$31:$AN$39,'All Stock'!I$40,FALSE),"")</f>
        <v>0.75</v>
      </c>
      <c r="L74" s="496">
        <f>IFERROR(VLOOKUP($A74,'All Stock'!$C$31:$AN$39,'All Stock'!J$40,FALSE),"")</f>
        <v>0.8</v>
      </c>
      <c r="M74" s="496">
        <f>IFERROR(VLOOKUP($A74,'All Stock'!$C$31:$AN$39,'All Stock'!K$40,FALSE),"")</f>
        <v>0.8</v>
      </c>
      <c r="N74" s="496">
        <f>IFERROR(VLOOKUP($A74,'All Stock'!$C$31:$AN$39,'All Stock'!L$40,FALSE),"")</f>
        <v>0.8</v>
      </c>
      <c r="O74" s="496">
        <f>IFERROR(VLOOKUP($A74,'All Stock'!$C$31:$AN$39,'All Stock'!M$40,FALSE),"")</f>
        <v>0.8</v>
      </c>
      <c r="P74" s="496">
        <f>IFERROR(VLOOKUP($A74,'All Stock'!$C$31:$AN$39,'All Stock'!N$40,FALSE),"")</f>
        <v>0.8</v>
      </c>
      <c r="Q74" s="496">
        <f>IFERROR(VLOOKUP($A74,'All Stock'!$C$31:$AN$39,'All Stock'!O$40,FALSE),"")</f>
        <v>0.8</v>
      </c>
      <c r="R74" s="496">
        <f>IFERROR(VLOOKUP($A74,'All Stock'!$C$31:$AN$39,'All Stock'!P$40,FALSE),"")</f>
        <v>0.75</v>
      </c>
      <c r="S74" s="496">
        <f>IFERROR(VLOOKUP($A74,'All Stock'!$C$31:$AN$39,'All Stock'!Q$40,FALSE),"")</f>
        <v>0.8</v>
      </c>
      <c r="T74" s="496">
        <f>IFERROR(VLOOKUP($A74,'All Stock'!$C$31:$AN$39,'All Stock'!R$40,FALSE),"")</f>
        <v>0.75</v>
      </c>
      <c r="U74" s="496">
        <f>IFERROR(VLOOKUP($A74,'All Stock'!$C$31:$AN$39,'All Stock'!S$40,FALSE),"")</f>
        <v>0.8</v>
      </c>
      <c r="V74" s="496">
        <f>IFERROR(VLOOKUP($A74,'All Stock'!$C$31:$AN$39,'All Stock'!T$40,FALSE),"")</f>
        <v>0.8</v>
      </c>
      <c r="W74" s="496">
        <f>IFERROR(VLOOKUP($A74,'All Stock'!$C$31:$AN$39,'All Stock'!U$40,FALSE),"")</f>
        <v>0.8</v>
      </c>
      <c r="X74" s="496">
        <f>IFERROR(VLOOKUP($A74,'All Stock'!$C$31:$AN$39,'All Stock'!V$40,FALSE),"")</f>
        <v>0.75</v>
      </c>
      <c r="Y74" s="496">
        <f>IFERROR(VLOOKUP($A74,'All Stock'!$C$31:$AN$39,'All Stock'!W$40,FALSE),"")</f>
        <v>0.8</v>
      </c>
      <c r="Z74" s="496">
        <f>IFERROR(VLOOKUP($A74,'All Stock'!$C$31:$AN$39,'All Stock'!X$40,FALSE),"")</f>
        <v>0.75</v>
      </c>
      <c r="AA74" s="496">
        <f>IFERROR(VLOOKUP($A74,'All Stock'!$C$31:$AN$39,'All Stock'!Y$40,FALSE),"")</f>
        <v>0.75</v>
      </c>
      <c r="AB74" s="496">
        <f>IFERROR(VLOOKUP($A74,'All Stock'!$C$31:$AN$39,'All Stock'!Z$40,FALSE),"")</f>
        <v>0.8</v>
      </c>
      <c r="AC74" s="496">
        <f>IFERROR(VLOOKUP($A74,'All Stock'!$C$31:$AN$39,'All Stock'!AA$40,FALSE),"")</f>
        <v>0.8</v>
      </c>
      <c r="AD74" s="496">
        <f>IFERROR(VLOOKUP($A74,'All Stock'!$C$31:$AN$39,'All Stock'!AB$40,FALSE),"")</f>
        <v>0.75</v>
      </c>
      <c r="AE74" s="496">
        <f>IFERROR(VLOOKUP($A74,'All Stock'!$C$31:$AN$39,'All Stock'!AC$40,FALSE),"")</f>
        <v>0.75</v>
      </c>
      <c r="AF74" s="496">
        <f>IFERROR(VLOOKUP($A74,'All Stock'!$C$31:$AN$39,'All Stock'!AD$40,FALSE),"")</f>
        <v>0.75</v>
      </c>
      <c r="AG74" s="496">
        <f>IFERROR(VLOOKUP($A74,'All Stock'!$C$31:$AN$39,'All Stock'!AE$40,FALSE),"")</f>
        <v>0.8</v>
      </c>
      <c r="AH74" s="496">
        <f>IFERROR(VLOOKUP($A74,'All Stock'!$C$31:$AN$39,'All Stock'!AF$40,FALSE),"")</f>
        <v>0.8</v>
      </c>
      <c r="AI74" s="496">
        <f>IFERROR(VLOOKUP($A74,'All Stock'!$C$31:$AN$39,'All Stock'!AG$40,FALSE),"")</f>
        <v>0.75</v>
      </c>
      <c r="AJ74" s="496">
        <f>IFERROR(VLOOKUP($A74,'All Stock'!$C$31:$AN$39,'All Stock'!AH$40,FALSE),"")</f>
        <v>0.8</v>
      </c>
      <c r="AK74" s="496">
        <f>IFERROR(VLOOKUP($A74,'All Stock'!$C$31:$AN$39,'All Stock'!AI$40,FALSE),"")</f>
        <v>0.75</v>
      </c>
      <c r="AL74" s="496">
        <f>IFERROR(VLOOKUP($A74,'All Stock'!$C$31:$AN$39,'All Stock'!AJ$40,FALSE),"")</f>
        <v>0.75</v>
      </c>
      <c r="AM74" s="496">
        <f>IFERROR(VLOOKUP($A74,'All Stock'!$C$31:$AN$39,'All Stock'!AK$40,FALSE),"")</f>
        <v>0.75</v>
      </c>
      <c r="AN74" s="496">
        <f>IFERROR(VLOOKUP($A74,'All Stock'!$C$31:$AN$39,'All Stock'!AL$40,FALSE),"")</f>
        <v>0.75</v>
      </c>
      <c r="AO74" s="496">
        <f>IFERROR(VLOOKUP($A74,'All Stock'!$C$31:$AN$39,'All Stock'!AM$40,FALSE),"")</f>
        <v>0.75</v>
      </c>
      <c r="AP74" s="496">
        <f>IFERROR(VLOOKUP($A74,'All Stock'!$C$31:$AN$39,'All Stock'!AN$40,FALSE),"")</f>
        <v>0.75</v>
      </c>
      <c r="AQ74" s="509"/>
      <c r="AR74" s="509"/>
      <c r="AS74" s="509"/>
      <c r="AT74" s="509"/>
      <c r="AX74" s="467"/>
      <c r="AY74" s="467"/>
      <c r="AZ74" s="467"/>
      <c r="BA74" s="467"/>
      <c r="BB74" s="467"/>
      <c r="BC74" s="467"/>
      <c r="BD74" s="467"/>
      <c r="BE74" s="467"/>
      <c r="BF74" s="467"/>
      <c r="BG74" s="467"/>
      <c r="BH74" s="467"/>
      <c r="BI74" s="467"/>
      <c r="BJ74" s="467"/>
      <c r="BK74" s="467"/>
      <c r="BL74" s="467"/>
      <c r="BM74" s="467"/>
      <c r="BN74" s="467"/>
      <c r="BO74" s="467"/>
      <c r="BP74" s="467"/>
      <c r="BQ74" s="467"/>
      <c r="BR74" s="467"/>
      <c r="BS74" s="467"/>
      <c r="BT74" s="467"/>
      <c r="BU74" s="467"/>
      <c r="BV74" s="467"/>
      <c r="BW74" s="467"/>
      <c r="BX74" s="467"/>
      <c r="BY74" s="467"/>
      <c r="BZ74" s="467"/>
      <c r="CA74" s="467"/>
      <c r="CB74" s="467"/>
      <c r="CC74" s="467"/>
      <c r="CD74" s="467"/>
      <c r="CE74" s="467"/>
      <c r="CF74" s="467"/>
      <c r="CG74" s="467"/>
      <c r="CH74" s="467"/>
    </row>
    <row r="75" spans="1:86">
      <c r="A75" t="str">
        <f t="shared" si="32"/>
        <v>Biomass and wastes</v>
      </c>
      <c r="C75" t="str">
        <f t="shared" si="24"/>
        <v>R_ES-SH-DH-70_BIO</v>
      </c>
      <c r="E75" t="str">
        <f t="shared" si="25"/>
        <v>R_ES-DH-70-SpHeat</v>
      </c>
      <c r="F75" s="496">
        <f>IFERROR(VLOOKUP($A75,'All Stock'!$C$31:$AN$39,'All Stock'!D$40,FALSE),"")</f>
        <v>0.7</v>
      </c>
      <c r="G75" s="496">
        <f>IFERROR(VLOOKUP($A75,'All Stock'!$C$31:$AN$39,'All Stock'!E$40,FALSE),"")</f>
        <v>0.7</v>
      </c>
      <c r="H75" s="496">
        <f>IFERROR(VLOOKUP($A75,'All Stock'!$C$31:$AN$39,'All Stock'!F$40,FALSE),"")</f>
        <v>0.65</v>
      </c>
      <c r="I75" s="496">
        <f>IFERROR(VLOOKUP($A75,'All Stock'!$C$31:$AN$39,'All Stock'!G$40,FALSE),"")</f>
        <v>0.7</v>
      </c>
      <c r="J75" s="496">
        <f>IFERROR(VLOOKUP($A75,'All Stock'!$C$31:$AN$39,'All Stock'!H$40,FALSE),"")</f>
        <v>0.7</v>
      </c>
      <c r="K75" s="496">
        <f>IFERROR(VLOOKUP($A75,'All Stock'!$C$31:$AN$39,'All Stock'!I$40,FALSE),"")</f>
        <v>0.65</v>
      </c>
      <c r="L75" s="496">
        <f>IFERROR(VLOOKUP($A75,'All Stock'!$C$31:$AN$39,'All Stock'!J$40,FALSE),"")</f>
        <v>0.7</v>
      </c>
      <c r="M75" s="496">
        <f>IFERROR(VLOOKUP($A75,'All Stock'!$C$31:$AN$39,'All Stock'!K$40,FALSE),"")</f>
        <v>0.7</v>
      </c>
      <c r="N75" s="496">
        <f>IFERROR(VLOOKUP($A75,'All Stock'!$C$31:$AN$39,'All Stock'!L$40,FALSE),"")</f>
        <v>0.7</v>
      </c>
      <c r="O75" s="496">
        <f>IFERROR(VLOOKUP($A75,'All Stock'!$C$31:$AN$39,'All Stock'!M$40,FALSE),"")</f>
        <v>0.7</v>
      </c>
      <c r="P75" s="496">
        <f>IFERROR(VLOOKUP($A75,'All Stock'!$C$31:$AN$39,'All Stock'!N$40,FALSE),"")</f>
        <v>0.7</v>
      </c>
      <c r="Q75" s="496">
        <f>IFERROR(VLOOKUP($A75,'All Stock'!$C$31:$AN$39,'All Stock'!O$40,FALSE),"")</f>
        <v>0.7</v>
      </c>
      <c r="R75" s="496">
        <f>IFERROR(VLOOKUP($A75,'All Stock'!$C$31:$AN$39,'All Stock'!P$40,FALSE),"")</f>
        <v>0.65</v>
      </c>
      <c r="S75" s="496">
        <f>IFERROR(VLOOKUP($A75,'All Stock'!$C$31:$AN$39,'All Stock'!Q$40,FALSE),"")</f>
        <v>0.7</v>
      </c>
      <c r="T75" s="496">
        <f>IFERROR(VLOOKUP($A75,'All Stock'!$C$31:$AN$39,'All Stock'!R$40,FALSE),"")</f>
        <v>0.65</v>
      </c>
      <c r="U75" s="496">
        <f>IFERROR(VLOOKUP($A75,'All Stock'!$C$31:$AN$39,'All Stock'!S$40,FALSE),"")</f>
        <v>0.7</v>
      </c>
      <c r="V75" s="496">
        <f>IFERROR(VLOOKUP($A75,'All Stock'!$C$31:$AN$39,'All Stock'!T$40,FALSE),"")</f>
        <v>0.7</v>
      </c>
      <c r="W75" s="496">
        <f>IFERROR(VLOOKUP($A75,'All Stock'!$C$31:$AN$39,'All Stock'!U$40,FALSE),"")</f>
        <v>0.7</v>
      </c>
      <c r="X75" s="496">
        <f>IFERROR(VLOOKUP($A75,'All Stock'!$C$31:$AN$39,'All Stock'!V$40,FALSE),"")</f>
        <v>0.65</v>
      </c>
      <c r="Y75" s="496">
        <f>IFERROR(VLOOKUP($A75,'All Stock'!$C$31:$AN$39,'All Stock'!W$40,FALSE),"")</f>
        <v>0.7</v>
      </c>
      <c r="Z75" s="496">
        <f>IFERROR(VLOOKUP($A75,'All Stock'!$C$31:$AN$39,'All Stock'!X$40,FALSE),"")</f>
        <v>0.65</v>
      </c>
      <c r="AA75" s="496">
        <f>IFERROR(VLOOKUP($A75,'All Stock'!$C$31:$AN$39,'All Stock'!Y$40,FALSE),"")</f>
        <v>0.65</v>
      </c>
      <c r="AB75" s="496">
        <f>IFERROR(VLOOKUP($A75,'All Stock'!$C$31:$AN$39,'All Stock'!Z$40,FALSE),"")</f>
        <v>0.7</v>
      </c>
      <c r="AC75" s="496">
        <f>IFERROR(VLOOKUP($A75,'All Stock'!$C$31:$AN$39,'All Stock'!AA$40,FALSE),"")</f>
        <v>0.7</v>
      </c>
      <c r="AD75" s="496">
        <f>IFERROR(VLOOKUP($A75,'All Stock'!$C$31:$AN$39,'All Stock'!AB$40,FALSE),"")</f>
        <v>0.65</v>
      </c>
      <c r="AE75" s="496">
        <f>IFERROR(VLOOKUP($A75,'All Stock'!$C$31:$AN$39,'All Stock'!AC$40,FALSE),"")</f>
        <v>0.65</v>
      </c>
      <c r="AF75" s="496">
        <f>IFERROR(VLOOKUP($A75,'All Stock'!$C$31:$AN$39,'All Stock'!AD$40,FALSE),"")</f>
        <v>0.65</v>
      </c>
      <c r="AG75" s="496">
        <f>IFERROR(VLOOKUP($A75,'All Stock'!$C$31:$AN$39,'All Stock'!AE$40,FALSE),"")</f>
        <v>0.7</v>
      </c>
      <c r="AH75" s="496">
        <f>IFERROR(VLOOKUP($A75,'All Stock'!$C$31:$AN$39,'All Stock'!AF$40,FALSE),"")</f>
        <v>0.7</v>
      </c>
      <c r="AI75" s="496">
        <f>IFERROR(VLOOKUP($A75,'All Stock'!$C$31:$AN$39,'All Stock'!AG$40,FALSE),"")</f>
        <v>0.65</v>
      </c>
      <c r="AJ75" s="496">
        <f>IFERROR(VLOOKUP($A75,'All Stock'!$C$31:$AN$39,'All Stock'!AH$40,FALSE),"")</f>
        <v>0.7</v>
      </c>
      <c r="AK75" s="496">
        <f>IFERROR(VLOOKUP($A75,'All Stock'!$C$31:$AN$39,'All Stock'!AI$40,FALSE),"")</f>
        <v>0.65</v>
      </c>
      <c r="AL75" s="496">
        <f>IFERROR(VLOOKUP($A75,'All Stock'!$C$31:$AN$39,'All Stock'!AJ$40,FALSE),"")</f>
        <v>0.65</v>
      </c>
      <c r="AM75" s="496">
        <f>IFERROR(VLOOKUP($A75,'All Stock'!$C$31:$AN$39,'All Stock'!AK$40,FALSE),"")</f>
        <v>0.65</v>
      </c>
      <c r="AN75" s="496">
        <f>IFERROR(VLOOKUP($A75,'All Stock'!$C$31:$AN$39,'All Stock'!AL$40,FALSE),"")</f>
        <v>0.65</v>
      </c>
      <c r="AO75" s="496">
        <f>IFERROR(VLOOKUP($A75,'All Stock'!$C$31:$AN$39,'All Stock'!AM$40,FALSE),"")</f>
        <v>0.65</v>
      </c>
      <c r="AP75" s="496">
        <f>IFERROR(VLOOKUP($A75,'All Stock'!$C$31:$AN$39,'All Stock'!AN$40,FALSE),"")</f>
        <v>0.65</v>
      </c>
      <c r="AQ75" s="509"/>
      <c r="AR75" s="509"/>
      <c r="AS75" s="509"/>
      <c r="AT75" s="509"/>
      <c r="AX75" s="467"/>
      <c r="AY75" s="467"/>
      <c r="AZ75" s="467"/>
      <c r="BA75" s="467"/>
      <c r="BB75" s="467"/>
      <c r="BC75" s="467"/>
      <c r="BD75" s="467"/>
      <c r="BE75" s="467"/>
      <c r="BF75" s="467"/>
      <c r="BG75" s="467"/>
      <c r="BH75" s="467"/>
      <c r="BI75" s="467"/>
      <c r="BJ75" s="467"/>
      <c r="BK75" s="467"/>
      <c r="BL75" s="467"/>
      <c r="BM75" s="467"/>
      <c r="BN75" s="467"/>
      <c r="BO75" s="467"/>
      <c r="BP75" s="467"/>
      <c r="BQ75" s="467"/>
      <c r="BR75" s="467"/>
      <c r="BS75" s="467"/>
      <c r="BT75" s="467"/>
      <c r="BU75" s="467"/>
      <c r="BV75" s="467"/>
      <c r="BW75" s="467"/>
      <c r="BX75" s="467"/>
      <c r="BY75" s="467"/>
      <c r="BZ75" s="467"/>
      <c r="CA75" s="467"/>
      <c r="CB75" s="467"/>
      <c r="CC75" s="467"/>
      <c r="CD75" s="467"/>
      <c r="CE75" s="467"/>
      <c r="CF75" s="467"/>
      <c r="CG75" s="467"/>
      <c r="CH75" s="467"/>
    </row>
    <row r="76" spans="1:86">
      <c r="A76" t="str">
        <f t="shared" si="32"/>
        <v>Solids</v>
      </c>
      <c r="C76" t="str">
        <f t="shared" si="24"/>
        <v>R_ES-SH-DH-70_COA</v>
      </c>
      <c r="E76" t="str">
        <f t="shared" si="25"/>
        <v>R_ES-DH-70-SpHeat</v>
      </c>
      <c r="F76" s="496">
        <f>IFERROR(VLOOKUP($A76,'All Stock'!$C$31:$AN$39,'All Stock'!D$40,FALSE),"")</f>
        <v>0.65</v>
      </c>
      <c r="G76" s="496">
        <f>IFERROR(VLOOKUP($A76,'All Stock'!$C$31:$AN$39,'All Stock'!E$40,FALSE),"")</f>
        <v>0.65</v>
      </c>
      <c r="H76" s="496">
        <f>IFERROR(VLOOKUP($A76,'All Stock'!$C$31:$AN$39,'All Stock'!F$40,FALSE),"")</f>
        <v>0.6</v>
      </c>
      <c r="I76" s="496">
        <f>IFERROR(VLOOKUP($A76,'All Stock'!$C$31:$AN$39,'All Stock'!G$40,FALSE),"")</f>
        <v>0.65</v>
      </c>
      <c r="J76" s="496">
        <f>IFERROR(VLOOKUP($A76,'All Stock'!$C$31:$AN$39,'All Stock'!H$40,FALSE),"")</f>
        <v>0.65</v>
      </c>
      <c r="K76" s="496">
        <f>IFERROR(VLOOKUP($A76,'All Stock'!$C$31:$AN$39,'All Stock'!I$40,FALSE),"")</f>
        <v>0.6</v>
      </c>
      <c r="L76" s="496">
        <f>IFERROR(VLOOKUP($A76,'All Stock'!$C$31:$AN$39,'All Stock'!J$40,FALSE),"")</f>
        <v>0.65</v>
      </c>
      <c r="M76" s="496">
        <f>IFERROR(VLOOKUP($A76,'All Stock'!$C$31:$AN$39,'All Stock'!K$40,FALSE),"")</f>
        <v>0.65</v>
      </c>
      <c r="N76" s="496">
        <f>IFERROR(VLOOKUP($A76,'All Stock'!$C$31:$AN$39,'All Stock'!L$40,FALSE),"")</f>
        <v>0.65</v>
      </c>
      <c r="O76" s="496">
        <f>IFERROR(VLOOKUP($A76,'All Stock'!$C$31:$AN$39,'All Stock'!M$40,FALSE),"")</f>
        <v>0.65</v>
      </c>
      <c r="P76" s="496">
        <f>IFERROR(VLOOKUP($A76,'All Stock'!$C$31:$AN$39,'All Stock'!N$40,FALSE),"")</f>
        <v>0.65</v>
      </c>
      <c r="Q76" s="496">
        <f>IFERROR(VLOOKUP($A76,'All Stock'!$C$31:$AN$39,'All Stock'!O$40,FALSE),"")</f>
        <v>0.65</v>
      </c>
      <c r="R76" s="496">
        <f>IFERROR(VLOOKUP($A76,'All Stock'!$C$31:$AN$39,'All Stock'!P$40,FALSE),"")</f>
        <v>0.6</v>
      </c>
      <c r="S76" s="496">
        <f>IFERROR(VLOOKUP($A76,'All Stock'!$C$31:$AN$39,'All Stock'!Q$40,FALSE),"")</f>
        <v>0.65</v>
      </c>
      <c r="T76" s="496">
        <f>IFERROR(VLOOKUP($A76,'All Stock'!$C$31:$AN$39,'All Stock'!R$40,FALSE),"")</f>
        <v>0.6</v>
      </c>
      <c r="U76" s="496">
        <f>IFERROR(VLOOKUP($A76,'All Stock'!$C$31:$AN$39,'All Stock'!S$40,FALSE),"")</f>
        <v>0.65</v>
      </c>
      <c r="V76" s="496">
        <f>IFERROR(VLOOKUP($A76,'All Stock'!$C$31:$AN$39,'All Stock'!T$40,FALSE),"")</f>
        <v>0.65</v>
      </c>
      <c r="W76" s="496">
        <f>IFERROR(VLOOKUP($A76,'All Stock'!$C$31:$AN$39,'All Stock'!U$40,FALSE),"")</f>
        <v>0.65</v>
      </c>
      <c r="X76" s="496">
        <f>IFERROR(VLOOKUP($A76,'All Stock'!$C$31:$AN$39,'All Stock'!V$40,FALSE),"")</f>
        <v>0.6</v>
      </c>
      <c r="Y76" s="496">
        <f>IFERROR(VLOOKUP($A76,'All Stock'!$C$31:$AN$39,'All Stock'!W$40,FALSE),"")</f>
        <v>0.65</v>
      </c>
      <c r="Z76" s="496">
        <f>IFERROR(VLOOKUP($A76,'All Stock'!$C$31:$AN$39,'All Stock'!X$40,FALSE),"")</f>
        <v>0.6</v>
      </c>
      <c r="AA76" s="496">
        <f>IFERROR(VLOOKUP($A76,'All Stock'!$C$31:$AN$39,'All Stock'!Y$40,FALSE),"")</f>
        <v>0.6</v>
      </c>
      <c r="AB76" s="496">
        <f>IFERROR(VLOOKUP($A76,'All Stock'!$C$31:$AN$39,'All Stock'!Z$40,FALSE),"")</f>
        <v>0.65</v>
      </c>
      <c r="AC76" s="496">
        <f>IFERROR(VLOOKUP($A76,'All Stock'!$C$31:$AN$39,'All Stock'!AA$40,FALSE),"")</f>
        <v>0.65</v>
      </c>
      <c r="AD76" s="496">
        <f>IFERROR(VLOOKUP($A76,'All Stock'!$C$31:$AN$39,'All Stock'!AB$40,FALSE),"")</f>
        <v>0.6</v>
      </c>
      <c r="AE76" s="496">
        <f>IFERROR(VLOOKUP($A76,'All Stock'!$C$31:$AN$39,'All Stock'!AC$40,FALSE),"")</f>
        <v>0.6</v>
      </c>
      <c r="AF76" s="496">
        <f>IFERROR(VLOOKUP($A76,'All Stock'!$C$31:$AN$39,'All Stock'!AD$40,FALSE),"")</f>
        <v>0.6</v>
      </c>
      <c r="AG76" s="496">
        <f>IFERROR(VLOOKUP($A76,'All Stock'!$C$31:$AN$39,'All Stock'!AE$40,FALSE),"")</f>
        <v>0.65</v>
      </c>
      <c r="AH76" s="496">
        <f>IFERROR(VLOOKUP($A76,'All Stock'!$C$31:$AN$39,'All Stock'!AF$40,FALSE),"")</f>
        <v>0.65</v>
      </c>
      <c r="AI76" s="496">
        <f>IFERROR(VLOOKUP($A76,'All Stock'!$C$31:$AN$39,'All Stock'!AG$40,FALSE),"")</f>
        <v>0.6</v>
      </c>
      <c r="AJ76" s="496">
        <f>IFERROR(VLOOKUP($A76,'All Stock'!$C$31:$AN$39,'All Stock'!AH$40,FALSE),"")</f>
        <v>0.65</v>
      </c>
      <c r="AK76" s="496">
        <f>IFERROR(VLOOKUP($A76,'All Stock'!$C$31:$AN$39,'All Stock'!AI$40,FALSE),"")</f>
        <v>0.6</v>
      </c>
      <c r="AL76" s="496">
        <f>IFERROR(VLOOKUP($A76,'All Stock'!$C$31:$AN$39,'All Stock'!AJ$40,FALSE),"")</f>
        <v>0.6</v>
      </c>
      <c r="AM76" s="496">
        <f>IFERROR(VLOOKUP($A76,'All Stock'!$C$31:$AN$39,'All Stock'!AK$40,FALSE),"")</f>
        <v>0.6</v>
      </c>
      <c r="AN76" s="496">
        <f>IFERROR(VLOOKUP($A76,'All Stock'!$C$31:$AN$39,'All Stock'!AL$40,FALSE),"")</f>
        <v>0.6</v>
      </c>
      <c r="AO76" s="496">
        <f>IFERROR(VLOOKUP($A76,'All Stock'!$C$31:$AN$39,'All Stock'!AM$40,FALSE),"")</f>
        <v>0.6</v>
      </c>
      <c r="AP76" s="496">
        <f>IFERROR(VLOOKUP($A76,'All Stock'!$C$31:$AN$39,'All Stock'!AN$40,FALSE),"")</f>
        <v>0.6</v>
      </c>
      <c r="AQ76" s="509"/>
      <c r="AR76" s="509"/>
      <c r="AS76" s="509"/>
      <c r="AT76" s="509"/>
      <c r="AX76" s="467"/>
      <c r="AY76" s="467"/>
      <c r="AZ76" s="467"/>
      <c r="BA76" s="467"/>
      <c r="BB76" s="467"/>
      <c r="BC76" s="467"/>
      <c r="BD76" s="467"/>
      <c r="BE76" s="467"/>
      <c r="BF76" s="467"/>
      <c r="BG76" s="467"/>
      <c r="BH76" s="467"/>
      <c r="BI76" s="467"/>
      <c r="BJ76" s="467"/>
      <c r="BK76" s="467"/>
      <c r="BL76" s="467"/>
      <c r="BM76" s="467"/>
      <c r="BN76" s="467"/>
      <c r="BO76" s="467"/>
      <c r="BP76" s="467"/>
      <c r="BQ76" s="467"/>
      <c r="BR76" s="467"/>
      <c r="BS76" s="467"/>
      <c r="BT76" s="467"/>
      <c r="BU76" s="467"/>
      <c r="BV76" s="467"/>
      <c r="BW76" s="467"/>
      <c r="BX76" s="467"/>
      <c r="BY76" s="467"/>
      <c r="BZ76" s="467"/>
      <c r="CA76" s="467"/>
      <c r="CB76" s="467"/>
      <c r="CC76" s="467"/>
      <c r="CD76" s="467"/>
      <c r="CE76" s="467"/>
      <c r="CF76" s="467"/>
      <c r="CG76" s="467"/>
      <c r="CH76" s="467"/>
    </row>
    <row r="77" spans="1:86">
      <c r="A77" t="str">
        <f t="shared" si="32"/>
        <v>LPG</v>
      </c>
      <c r="C77" t="str">
        <f t="shared" si="24"/>
        <v>R_ES-SH-DH-70_LPG</v>
      </c>
      <c r="E77" t="str">
        <f t="shared" si="25"/>
        <v>R_ES-DH-70-SpHeat</v>
      </c>
      <c r="F77" s="496">
        <f>F74</f>
        <v>0.8</v>
      </c>
      <c r="G77" s="496">
        <f t="shared" ref="G77:AP77" si="33">G74</f>
        <v>0.8</v>
      </c>
      <c r="H77" s="496">
        <f t="shared" si="33"/>
        <v>0.75</v>
      </c>
      <c r="I77" s="496">
        <f t="shared" si="33"/>
        <v>0.8</v>
      </c>
      <c r="J77" s="496">
        <f t="shared" si="33"/>
        <v>0.8</v>
      </c>
      <c r="K77" s="496">
        <f t="shared" si="33"/>
        <v>0.75</v>
      </c>
      <c r="L77" s="496">
        <f t="shared" si="33"/>
        <v>0.8</v>
      </c>
      <c r="M77" s="496">
        <f t="shared" si="33"/>
        <v>0.8</v>
      </c>
      <c r="N77" s="496">
        <f t="shared" si="33"/>
        <v>0.8</v>
      </c>
      <c r="O77" s="496">
        <f t="shared" si="33"/>
        <v>0.8</v>
      </c>
      <c r="P77" s="496">
        <f t="shared" si="33"/>
        <v>0.8</v>
      </c>
      <c r="Q77" s="496">
        <f t="shared" si="33"/>
        <v>0.8</v>
      </c>
      <c r="R77" s="496">
        <f t="shared" si="33"/>
        <v>0.75</v>
      </c>
      <c r="S77" s="496">
        <f t="shared" si="33"/>
        <v>0.8</v>
      </c>
      <c r="T77" s="496">
        <f t="shared" si="33"/>
        <v>0.75</v>
      </c>
      <c r="U77" s="496">
        <f t="shared" si="33"/>
        <v>0.8</v>
      </c>
      <c r="V77" s="496">
        <f t="shared" si="33"/>
        <v>0.8</v>
      </c>
      <c r="W77" s="496">
        <f t="shared" si="33"/>
        <v>0.8</v>
      </c>
      <c r="X77" s="496">
        <f t="shared" si="33"/>
        <v>0.75</v>
      </c>
      <c r="Y77" s="496">
        <f t="shared" si="33"/>
        <v>0.8</v>
      </c>
      <c r="Z77" s="496">
        <f t="shared" si="33"/>
        <v>0.75</v>
      </c>
      <c r="AA77" s="496">
        <f t="shared" si="33"/>
        <v>0.75</v>
      </c>
      <c r="AB77" s="496">
        <f t="shared" si="33"/>
        <v>0.8</v>
      </c>
      <c r="AC77" s="496">
        <f t="shared" si="33"/>
        <v>0.8</v>
      </c>
      <c r="AD77" s="496">
        <f t="shared" si="33"/>
        <v>0.75</v>
      </c>
      <c r="AE77" s="496">
        <f t="shared" si="33"/>
        <v>0.75</v>
      </c>
      <c r="AF77" s="496">
        <f t="shared" si="33"/>
        <v>0.75</v>
      </c>
      <c r="AG77" s="496">
        <f t="shared" si="33"/>
        <v>0.8</v>
      </c>
      <c r="AH77" s="496">
        <f t="shared" si="33"/>
        <v>0.8</v>
      </c>
      <c r="AI77" s="496">
        <f t="shared" si="33"/>
        <v>0.75</v>
      </c>
      <c r="AJ77" s="496">
        <f t="shared" si="33"/>
        <v>0.8</v>
      </c>
      <c r="AK77" s="496">
        <f t="shared" si="33"/>
        <v>0.75</v>
      </c>
      <c r="AL77" s="496">
        <f t="shared" si="33"/>
        <v>0.75</v>
      </c>
      <c r="AM77" s="496">
        <f t="shared" si="33"/>
        <v>0.75</v>
      </c>
      <c r="AN77" s="496">
        <f t="shared" si="33"/>
        <v>0.75</v>
      </c>
      <c r="AO77" s="496">
        <f t="shared" si="33"/>
        <v>0.75</v>
      </c>
      <c r="AP77" s="496">
        <f t="shared" si="33"/>
        <v>0.75</v>
      </c>
      <c r="AQ77" s="509"/>
      <c r="AR77" s="509"/>
      <c r="AS77" s="509"/>
      <c r="AT77" s="509"/>
      <c r="AX77" s="467"/>
      <c r="AY77" s="467"/>
      <c r="AZ77" s="467"/>
      <c r="BA77" s="467"/>
      <c r="BB77" s="467"/>
      <c r="BC77" s="467"/>
      <c r="BD77" s="467"/>
      <c r="BE77" s="467"/>
      <c r="BF77" s="467"/>
      <c r="BG77" s="467"/>
      <c r="BH77" s="467"/>
      <c r="BI77" s="467"/>
      <c r="BJ77" s="467"/>
      <c r="BK77" s="467"/>
      <c r="BL77" s="467"/>
      <c r="BM77" s="467"/>
      <c r="BN77" s="467"/>
      <c r="BO77" s="467"/>
      <c r="BP77" s="467"/>
      <c r="BQ77" s="467"/>
      <c r="BR77" s="467"/>
      <c r="BS77" s="467"/>
      <c r="BT77" s="467"/>
      <c r="BU77" s="467"/>
      <c r="BV77" s="467"/>
      <c r="BW77" s="467"/>
      <c r="BX77" s="467"/>
      <c r="BY77" s="467"/>
      <c r="BZ77" s="467"/>
      <c r="CA77" s="467"/>
      <c r="CB77" s="467"/>
      <c r="CC77" s="467"/>
      <c r="CD77" s="467"/>
      <c r="CE77" s="467"/>
      <c r="CF77" s="467"/>
      <c r="CG77" s="467"/>
      <c r="CH77" s="467"/>
    </row>
    <row r="78" spans="1:86">
      <c r="A78" t="str">
        <f t="shared" si="32"/>
        <v>Geothermal Energy</v>
      </c>
      <c r="C78" t="str">
        <f t="shared" si="24"/>
        <v>R_ES-SH-DH-70_GEO</v>
      </c>
      <c r="E78" t="str">
        <f t="shared" si="25"/>
        <v>R_ES-DH-70-SpHeat</v>
      </c>
      <c r="F78" s="496">
        <f>F73</f>
        <v>0.95</v>
      </c>
      <c r="G78" s="496">
        <f t="shared" ref="G78:AP78" si="34">G73</f>
        <v>0.95</v>
      </c>
      <c r="H78" s="496">
        <f t="shared" si="34"/>
        <v>0.85</v>
      </c>
      <c r="I78" s="496">
        <f t="shared" si="34"/>
        <v>0.95</v>
      </c>
      <c r="J78" s="496">
        <f t="shared" si="34"/>
        <v>0.85</v>
      </c>
      <c r="K78" s="496">
        <f t="shared" si="34"/>
        <v>0.85</v>
      </c>
      <c r="L78" s="496">
        <f t="shared" si="34"/>
        <v>0.95</v>
      </c>
      <c r="M78" s="496">
        <f t="shared" si="34"/>
        <v>0.95</v>
      </c>
      <c r="N78" s="496">
        <f t="shared" si="34"/>
        <v>0.85</v>
      </c>
      <c r="O78" s="496">
        <f t="shared" si="34"/>
        <v>0.95</v>
      </c>
      <c r="P78" s="496">
        <f t="shared" si="34"/>
        <v>0.95</v>
      </c>
      <c r="Q78" s="496">
        <f t="shared" si="34"/>
        <v>0.95</v>
      </c>
      <c r="R78" s="496">
        <f t="shared" si="34"/>
        <v>0.95</v>
      </c>
      <c r="S78" s="496">
        <f t="shared" si="34"/>
        <v>0.9</v>
      </c>
      <c r="T78" s="496">
        <f t="shared" si="34"/>
        <v>0.9</v>
      </c>
      <c r="U78" s="496">
        <f t="shared" si="34"/>
        <v>0.95</v>
      </c>
      <c r="V78" s="496">
        <f t="shared" si="34"/>
        <v>0.95</v>
      </c>
      <c r="W78" s="496">
        <f t="shared" si="34"/>
        <v>0.95</v>
      </c>
      <c r="X78" s="496">
        <f t="shared" si="34"/>
        <v>0.85</v>
      </c>
      <c r="Y78" s="496">
        <f t="shared" si="34"/>
        <v>0.95</v>
      </c>
      <c r="Z78" s="496">
        <f t="shared" si="34"/>
        <v>0.85</v>
      </c>
      <c r="AA78" s="496">
        <f t="shared" si="34"/>
        <v>0.85</v>
      </c>
      <c r="AB78" s="496">
        <f t="shared" si="34"/>
        <v>0.95</v>
      </c>
      <c r="AC78" s="496">
        <f t="shared" si="34"/>
        <v>0.95</v>
      </c>
      <c r="AD78" s="496">
        <f t="shared" si="34"/>
        <v>0.85</v>
      </c>
      <c r="AE78" s="496">
        <f t="shared" si="34"/>
        <v>0.9</v>
      </c>
      <c r="AF78" s="496">
        <f t="shared" si="34"/>
        <v>0.85</v>
      </c>
      <c r="AG78" s="496">
        <f t="shared" si="34"/>
        <v>0.95</v>
      </c>
      <c r="AH78" s="496">
        <f t="shared" si="34"/>
        <v>0.9</v>
      </c>
      <c r="AI78" s="496">
        <f t="shared" si="34"/>
        <v>0.85</v>
      </c>
      <c r="AJ78" s="496">
        <f t="shared" si="34"/>
        <v>0.95</v>
      </c>
      <c r="AK78" s="496">
        <f t="shared" si="34"/>
        <v>0.85</v>
      </c>
      <c r="AL78" s="496">
        <f t="shared" si="34"/>
        <v>0.85</v>
      </c>
      <c r="AM78" s="496">
        <f t="shared" si="34"/>
        <v>0.85</v>
      </c>
      <c r="AN78" s="496">
        <f t="shared" si="34"/>
        <v>0.85</v>
      </c>
      <c r="AO78" s="496">
        <f t="shared" si="34"/>
        <v>0.85</v>
      </c>
      <c r="AP78" s="496">
        <f t="shared" si="34"/>
        <v>0.85</v>
      </c>
      <c r="AQ78" s="509"/>
      <c r="AR78" s="509"/>
      <c r="AS78" s="509"/>
      <c r="AT78" s="509"/>
      <c r="AX78" s="467"/>
      <c r="AY78" s="467"/>
      <c r="AZ78" s="467"/>
      <c r="BA78" s="467"/>
      <c r="BB78" s="467"/>
      <c r="BC78" s="467"/>
      <c r="BD78" s="467"/>
      <c r="BE78" s="467"/>
      <c r="BF78" s="467"/>
      <c r="BG78" s="467"/>
      <c r="BH78" s="467"/>
      <c r="BI78" s="467"/>
      <c r="BJ78" s="467"/>
      <c r="BK78" s="467"/>
      <c r="BL78" s="467"/>
      <c r="BM78" s="467"/>
      <c r="BN78" s="467"/>
      <c r="BO78" s="467"/>
      <c r="BP78" s="467"/>
      <c r="BQ78" s="467"/>
      <c r="BR78" s="467"/>
      <c r="BS78" s="467"/>
      <c r="BT78" s="467"/>
      <c r="BU78" s="467"/>
      <c r="BV78" s="467"/>
      <c r="BW78" s="467"/>
      <c r="BX78" s="467"/>
      <c r="BY78" s="467"/>
      <c r="BZ78" s="467"/>
      <c r="CA78" s="467"/>
      <c r="CB78" s="467"/>
      <c r="CC78" s="467"/>
      <c r="CD78" s="467"/>
      <c r="CE78" s="467"/>
      <c r="CF78" s="467"/>
      <c r="CG78" s="467"/>
      <c r="CH78" s="467"/>
    </row>
    <row r="79" spans="1:86">
      <c r="A79" t="str">
        <f t="shared" si="32"/>
        <v>Electricity</v>
      </c>
      <c r="C79" t="str">
        <f t="shared" si="24"/>
        <v>R_ES-SH-SD_ELC-R</v>
      </c>
      <c r="E79" t="str">
        <f t="shared" si="25"/>
        <v>R_ES-SD-SpHeat</v>
      </c>
      <c r="F79" s="496">
        <f>IFERROR(VLOOKUP($A79,'All Stock'!$C$31:$AN$39,'All Stock'!D$40,FALSE),"")</f>
        <v>1</v>
      </c>
      <c r="G79" s="496">
        <f>IFERROR(VLOOKUP($A79,'All Stock'!$C$31:$AN$39,'All Stock'!E$40,FALSE),"")</f>
        <v>1</v>
      </c>
      <c r="H79" s="496">
        <f>IFERROR(VLOOKUP($A79,'All Stock'!$C$31:$AN$39,'All Stock'!F$40,FALSE),"")</f>
        <v>1</v>
      </c>
      <c r="I79" s="496">
        <f>IFERROR(VLOOKUP($A79,'All Stock'!$C$31:$AN$39,'All Stock'!G$40,FALSE),"")</f>
        <v>1</v>
      </c>
      <c r="J79" s="496">
        <f>IFERROR(VLOOKUP($A79,'All Stock'!$C$31:$AN$39,'All Stock'!H$40,FALSE),"")</f>
        <v>1</v>
      </c>
      <c r="K79" s="496">
        <f>IFERROR(VLOOKUP($A79,'All Stock'!$C$31:$AN$39,'All Stock'!I$40,FALSE),"")</f>
        <v>1</v>
      </c>
      <c r="L79" s="496">
        <f>IFERROR(VLOOKUP($A79,'All Stock'!$C$31:$AN$39,'All Stock'!J$40,FALSE),"")</f>
        <v>1</v>
      </c>
      <c r="M79" s="496">
        <f>IFERROR(VLOOKUP($A79,'All Stock'!$C$31:$AN$39,'All Stock'!K$40,FALSE),"")</f>
        <v>1</v>
      </c>
      <c r="N79" s="496">
        <f>IFERROR(VLOOKUP($A79,'All Stock'!$C$31:$AN$39,'All Stock'!L$40,FALSE),"")</f>
        <v>1</v>
      </c>
      <c r="O79" s="496">
        <f>IFERROR(VLOOKUP($A79,'All Stock'!$C$31:$AN$39,'All Stock'!M$40,FALSE),"")</f>
        <v>1</v>
      </c>
      <c r="P79" s="496">
        <f>IFERROR(VLOOKUP($A79,'All Stock'!$C$31:$AN$39,'All Stock'!N$40,FALSE),"")</f>
        <v>1</v>
      </c>
      <c r="Q79" s="496">
        <f>IFERROR(VLOOKUP($A79,'All Stock'!$C$31:$AN$39,'All Stock'!O$40,FALSE),"")</f>
        <v>1</v>
      </c>
      <c r="R79" s="496">
        <f>IFERROR(VLOOKUP($A79,'All Stock'!$C$31:$AN$39,'All Stock'!P$40,FALSE),"")</f>
        <v>1</v>
      </c>
      <c r="S79" s="496">
        <f>IFERROR(VLOOKUP($A79,'All Stock'!$C$31:$AN$39,'All Stock'!Q$40,FALSE),"")</f>
        <v>1</v>
      </c>
      <c r="T79" s="496">
        <f>IFERROR(VLOOKUP($A79,'All Stock'!$C$31:$AN$39,'All Stock'!R$40,FALSE),"")</f>
        <v>1</v>
      </c>
      <c r="U79" s="496">
        <f>IFERROR(VLOOKUP($A79,'All Stock'!$C$31:$AN$39,'All Stock'!S$40,FALSE),"")</f>
        <v>1</v>
      </c>
      <c r="V79" s="496">
        <f>IFERROR(VLOOKUP($A79,'All Stock'!$C$31:$AN$39,'All Stock'!T$40,FALSE),"")</f>
        <v>1</v>
      </c>
      <c r="W79" s="496">
        <f>IFERROR(VLOOKUP($A79,'All Stock'!$C$31:$AN$39,'All Stock'!U$40,FALSE),"")</f>
        <v>1</v>
      </c>
      <c r="X79" s="496">
        <f>IFERROR(VLOOKUP($A79,'All Stock'!$C$31:$AN$39,'All Stock'!V$40,FALSE),"")</f>
        <v>1</v>
      </c>
      <c r="Y79" s="496">
        <f>IFERROR(VLOOKUP($A79,'All Stock'!$C$31:$AN$39,'All Stock'!W$40,FALSE),"")</f>
        <v>1</v>
      </c>
      <c r="Z79" s="496">
        <f>IFERROR(VLOOKUP($A79,'All Stock'!$C$31:$AN$39,'All Stock'!X$40,FALSE),"")</f>
        <v>1</v>
      </c>
      <c r="AA79" s="496">
        <f>IFERROR(VLOOKUP($A79,'All Stock'!$C$31:$AN$39,'All Stock'!Y$40,FALSE),"")</f>
        <v>1</v>
      </c>
      <c r="AB79" s="496">
        <f>IFERROR(VLOOKUP($A79,'All Stock'!$C$31:$AN$39,'All Stock'!Z$40,FALSE),"")</f>
        <v>1</v>
      </c>
      <c r="AC79" s="496">
        <f>IFERROR(VLOOKUP($A79,'All Stock'!$C$31:$AN$39,'All Stock'!AA$40,FALSE),"")</f>
        <v>1</v>
      </c>
      <c r="AD79" s="496">
        <f>IFERROR(VLOOKUP($A79,'All Stock'!$C$31:$AN$39,'All Stock'!AB$40,FALSE),"")</f>
        <v>1</v>
      </c>
      <c r="AE79" s="496">
        <f>IFERROR(VLOOKUP($A79,'All Stock'!$C$31:$AN$39,'All Stock'!AC$40,FALSE),"")</f>
        <v>1</v>
      </c>
      <c r="AF79" s="496">
        <f>IFERROR(VLOOKUP($A79,'All Stock'!$C$31:$AN$39,'All Stock'!AD$40,FALSE),"")</f>
        <v>1</v>
      </c>
      <c r="AG79" s="496">
        <f>IFERROR(VLOOKUP($A79,'All Stock'!$C$31:$AN$39,'All Stock'!AE$40,FALSE),"")</f>
        <v>1</v>
      </c>
      <c r="AH79" s="496">
        <f>IFERROR(VLOOKUP($A79,'All Stock'!$C$31:$AN$39,'All Stock'!AF$40,FALSE),"")</f>
        <v>1</v>
      </c>
      <c r="AI79" s="496">
        <f>IFERROR(VLOOKUP($A79,'All Stock'!$C$31:$AN$39,'All Stock'!AG$40,FALSE),"")</f>
        <v>1</v>
      </c>
      <c r="AJ79" s="496">
        <f>IFERROR(VLOOKUP($A79,'All Stock'!$C$31:$AN$39,'All Stock'!AH$40,FALSE),"")</f>
        <v>1</v>
      </c>
      <c r="AK79" s="496">
        <f>IFERROR(VLOOKUP($A79,'All Stock'!$C$31:$AN$39,'All Stock'!AI$40,FALSE),"")</f>
        <v>1</v>
      </c>
      <c r="AL79" s="496">
        <f>IFERROR(VLOOKUP($A79,'All Stock'!$C$31:$AN$39,'All Stock'!AJ$40,FALSE),"")</f>
        <v>1</v>
      </c>
      <c r="AM79" s="496">
        <f>IFERROR(VLOOKUP($A79,'All Stock'!$C$31:$AN$39,'All Stock'!AK$40,FALSE),"")</f>
        <v>1</v>
      </c>
      <c r="AN79" s="496">
        <f>IFERROR(VLOOKUP($A79,'All Stock'!$C$31:$AN$39,'All Stock'!AL$40,FALSE),"")</f>
        <v>1</v>
      </c>
      <c r="AO79" s="496">
        <f>IFERROR(VLOOKUP($A79,'All Stock'!$C$31:$AN$39,'All Stock'!AM$40,FALSE),"")</f>
        <v>1</v>
      </c>
      <c r="AP79" s="496">
        <f>IFERROR(VLOOKUP($A79,'All Stock'!$C$31:$AN$39,'All Stock'!AN$40,FALSE),"")</f>
        <v>1</v>
      </c>
      <c r="AX79" s="467"/>
      <c r="AY79" s="467"/>
      <c r="AZ79" s="467"/>
      <c r="BA79" s="467"/>
      <c r="BB79" s="467"/>
      <c r="BC79" s="467"/>
      <c r="BD79" s="467"/>
      <c r="BE79" s="467"/>
      <c r="BF79" s="467"/>
      <c r="BG79" s="467"/>
      <c r="BH79" s="467"/>
      <c r="BI79" s="467"/>
      <c r="BJ79" s="467"/>
      <c r="BK79" s="467"/>
      <c r="BL79" s="467"/>
      <c r="BM79" s="467"/>
      <c r="BN79" s="467"/>
      <c r="BO79" s="467"/>
      <c r="BP79" s="467"/>
      <c r="BQ79" s="467"/>
      <c r="BR79" s="467"/>
      <c r="BS79" s="467"/>
      <c r="BT79" s="467"/>
      <c r="BU79" s="467"/>
      <c r="BV79" s="467"/>
      <c r="BW79" s="467"/>
      <c r="BX79" s="467"/>
      <c r="BY79" s="467"/>
      <c r="BZ79" s="467"/>
      <c r="CA79" s="467"/>
      <c r="CB79" s="467"/>
      <c r="CC79" s="467"/>
      <c r="CD79" s="467"/>
      <c r="CE79" s="467"/>
      <c r="CF79" s="467"/>
      <c r="CG79" s="467"/>
      <c r="CH79" s="467"/>
    </row>
    <row r="80" spans="1:86">
      <c r="A80" s="819" t="s">
        <v>937</v>
      </c>
      <c r="C80" t="str">
        <f t="shared" si="24"/>
        <v>R_ES-SH-SD_ELC-HPA</v>
      </c>
      <c r="E80" t="str">
        <f t="shared" si="25"/>
        <v>R_ES-SD-SpHeat</v>
      </c>
      <c r="F80" s="496">
        <f>IFERROR(VLOOKUP($A80,'All Stock'!$C$31:$AN$39,'All Stock'!D$40,FALSE),"")</f>
        <v>2.5</v>
      </c>
      <c r="G80" s="496">
        <f>IFERROR(VLOOKUP($A80,'All Stock'!$C$31:$AN$39,'All Stock'!E$40,FALSE),"")</f>
        <v>2.5</v>
      </c>
      <c r="H80" s="496">
        <f>IFERROR(VLOOKUP($A80,'All Stock'!$C$31:$AN$39,'All Stock'!F$40,FALSE),"")</f>
        <v>2.5</v>
      </c>
      <c r="I80" s="496">
        <f>IFERROR(VLOOKUP($A80,'All Stock'!$C$31:$AN$39,'All Stock'!G$40,FALSE),"")</f>
        <v>2.5</v>
      </c>
      <c r="J80" s="496">
        <f>IFERROR(VLOOKUP($A80,'All Stock'!$C$31:$AN$39,'All Stock'!H$40,FALSE),"")</f>
        <v>2.5</v>
      </c>
      <c r="K80" s="496">
        <f>IFERROR(VLOOKUP($A80,'All Stock'!$C$31:$AN$39,'All Stock'!I$40,FALSE),"")</f>
        <v>2.5</v>
      </c>
      <c r="L80" s="496">
        <f>IFERROR(VLOOKUP($A80,'All Stock'!$C$31:$AN$39,'All Stock'!J$40,FALSE),"")</f>
        <v>2.5</v>
      </c>
      <c r="M80" s="496">
        <f>IFERROR(VLOOKUP($A80,'All Stock'!$C$31:$AN$39,'All Stock'!K$40,FALSE),"")</f>
        <v>2.5</v>
      </c>
      <c r="N80" s="496">
        <f>IFERROR(VLOOKUP($A80,'All Stock'!$C$31:$AN$39,'All Stock'!L$40,FALSE),"")</f>
        <v>2.5</v>
      </c>
      <c r="O80" s="496">
        <f>IFERROR(VLOOKUP($A80,'All Stock'!$C$31:$AN$39,'All Stock'!M$40,FALSE),"")</f>
        <v>2.5</v>
      </c>
      <c r="P80" s="496">
        <f>IFERROR(VLOOKUP($A80,'All Stock'!$C$31:$AN$39,'All Stock'!N$40,FALSE),"")</f>
        <v>2.5</v>
      </c>
      <c r="Q80" s="496">
        <f>IFERROR(VLOOKUP($A80,'All Stock'!$C$31:$AN$39,'All Stock'!O$40,FALSE),"")</f>
        <v>2.5</v>
      </c>
      <c r="R80" s="496">
        <f>IFERROR(VLOOKUP($A80,'All Stock'!$C$31:$AN$39,'All Stock'!P$40,FALSE),"")</f>
        <v>2.5</v>
      </c>
      <c r="S80" s="496">
        <f>IFERROR(VLOOKUP($A80,'All Stock'!$C$31:$AN$39,'All Stock'!Q$40,FALSE),"")</f>
        <v>2.5</v>
      </c>
      <c r="T80" s="496">
        <f>IFERROR(VLOOKUP($A80,'All Stock'!$C$31:$AN$39,'All Stock'!R$40,FALSE),"")</f>
        <v>2.5</v>
      </c>
      <c r="U80" s="496">
        <f>IFERROR(VLOOKUP($A80,'All Stock'!$C$31:$AN$39,'All Stock'!S$40,FALSE),"")</f>
        <v>2.5</v>
      </c>
      <c r="V80" s="496">
        <f>IFERROR(VLOOKUP($A80,'All Stock'!$C$31:$AN$39,'All Stock'!T$40,FALSE),"")</f>
        <v>2.5</v>
      </c>
      <c r="W80" s="496">
        <f>IFERROR(VLOOKUP($A80,'All Stock'!$C$31:$AN$39,'All Stock'!U$40,FALSE),"")</f>
        <v>2.5</v>
      </c>
      <c r="X80" s="496">
        <f>IFERROR(VLOOKUP($A80,'All Stock'!$C$31:$AN$39,'All Stock'!V$40,FALSE),"")</f>
        <v>2.5</v>
      </c>
      <c r="Y80" s="496">
        <f>IFERROR(VLOOKUP($A80,'All Stock'!$C$31:$AN$39,'All Stock'!W$40,FALSE),"")</f>
        <v>2.5</v>
      </c>
      <c r="Z80" s="496">
        <f>IFERROR(VLOOKUP($A80,'All Stock'!$C$31:$AN$39,'All Stock'!X$40,FALSE),"")</f>
        <v>2.5</v>
      </c>
      <c r="AA80" s="496">
        <f>IFERROR(VLOOKUP($A80,'All Stock'!$C$31:$AN$39,'All Stock'!Y$40,FALSE),"")</f>
        <v>2.5</v>
      </c>
      <c r="AB80" s="496">
        <f>IFERROR(VLOOKUP($A80,'All Stock'!$C$31:$AN$39,'All Stock'!Z$40,FALSE),"")</f>
        <v>2.5</v>
      </c>
      <c r="AC80" s="496">
        <f>IFERROR(VLOOKUP($A80,'All Stock'!$C$31:$AN$39,'All Stock'!AA$40,FALSE),"")</f>
        <v>2.5</v>
      </c>
      <c r="AD80" s="496">
        <f>IFERROR(VLOOKUP($A80,'All Stock'!$C$31:$AN$39,'All Stock'!AB$40,FALSE),"")</f>
        <v>2.5</v>
      </c>
      <c r="AE80" s="496">
        <f>IFERROR(VLOOKUP($A80,'All Stock'!$C$31:$AN$39,'All Stock'!AC$40,FALSE),"")</f>
        <v>2.5</v>
      </c>
      <c r="AF80" s="496">
        <f>IFERROR(VLOOKUP($A80,'All Stock'!$C$31:$AN$39,'All Stock'!AD$40,FALSE),"")</f>
        <v>2.5</v>
      </c>
      <c r="AG80" s="496">
        <f>IFERROR(VLOOKUP($A80,'All Stock'!$C$31:$AN$39,'All Stock'!AE$40,FALSE),"")</f>
        <v>2.5</v>
      </c>
      <c r="AH80" s="496">
        <f>IFERROR(VLOOKUP($A80,'All Stock'!$C$31:$AN$39,'All Stock'!AF$40,FALSE),"")</f>
        <v>2.5</v>
      </c>
      <c r="AI80" s="496">
        <f>IFERROR(VLOOKUP($A80,'All Stock'!$C$31:$AN$39,'All Stock'!AG$40,FALSE),"")</f>
        <v>2.5</v>
      </c>
      <c r="AJ80" s="496">
        <f>IFERROR(VLOOKUP($A80,'All Stock'!$C$31:$AN$39,'All Stock'!AH$40,FALSE),"")</f>
        <v>2.5</v>
      </c>
      <c r="AK80" s="496">
        <f>IFERROR(VLOOKUP($A80,'All Stock'!$C$31:$AN$39,'All Stock'!AI$40,FALSE),"")</f>
        <v>2.5</v>
      </c>
      <c r="AL80" s="496">
        <f>IFERROR(VLOOKUP($A80,'All Stock'!$C$31:$AN$39,'All Stock'!AJ$40,FALSE),"")</f>
        <v>2.5</v>
      </c>
      <c r="AM80" s="496">
        <f>IFERROR(VLOOKUP($A80,'All Stock'!$C$31:$AN$39,'All Stock'!AK$40,FALSE),"")</f>
        <v>2.5</v>
      </c>
      <c r="AN80" s="496">
        <f>IFERROR(VLOOKUP($A80,'All Stock'!$C$31:$AN$39,'All Stock'!AL$40,FALSE),"")</f>
        <v>2.5</v>
      </c>
      <c r="AO80" s="496">
        <f>IFERROR(VLOOKUP($A80,'All Stock'!$C$31:$AN$39,'All Stock'!AM$40,FALSE),"")</f>
        <v>2.5</v>
      </c>
      <c r="AP80" s="496">
        <f>IFERROR(VLOOKUP($A80,'All Stock'!$C$31:$AN$39,'All Stock'!AN$40,FALSE),"")</f>
        <v>2.5</v>
      </c>
      <c r="AX80" s="467"/>
      <c r="AY80" s="467"/>
      <c r="AZ80" s="467"/>
      <c r="BA80" s="467"/>
      <c r="BB80" s="467"/>
      <c r="BC80" s="467"/>
      <c r="BD80" s="467"/>
      <c r="BE80" s="467"/>
      <c r="BF80" s="467"/>
      <c r="BG80" s="467"/>
      <c r="BH80" s="467"/>
      <c r="BI80" s="467"/>
      <c r="BJ80" s="467"/>
      <c r="BK80" s="467"/>
      <c r="BL80" s="467"/>
      <c r="BM80" s="467"/>
      <c r="BN80" s="467"/>
      <c r="BO80" s="467"/>
      <c r="BP80" s="467"/>
      <c r="BQ80" s="467"/>
      <c r="BR80" s="467"/>
      <c r="BS80" s="467"/>
      <c r="BT80" s="467"/>
      <c r="BU80" s="467"/>
      <c r="BV80" s="467"/>
      <c r="BW80" s="467"/>
      <c r="BX80" s="467"/>
      <c r="BY80" s="467"/>
      <c r="BZ80" s="467"/>
      <c r="CA80" s="467"/>
      <c r="CB80" s="467"/>
      <c r="CC80" s="467"/>
      <c r="CD80" s="467"/>
      <c r="CE80" s="467"/>
      <c r="CF80" s="467"/>
      <c r="CG80" s="467"/>
      <c r="CH80" s="467"/>
    </row>
    <row r="81" spans="1:86">
      <c r="A81" s="819" t="s">
        <v>938</v>
      </c>
      <c r="C81" t="str">
        <f t="shared" si="24"/>
        <v>R_ES-SH-SD_ELC-HPG</v>
      </c>
      <c r="E81" t="str">
        <f t="shared" si="25"/>
        <v>R_ES-SD-SpHeat</v>
      </c>
      <c r="F81" s="496">
        <f>IFERROR(VLOOKUP($A81,'All Stock'!$C$31:$AN$39,'All Stock'!D$40,FALSE),"")</f>
        <v>3</v>
      </c>
      <c r="G81" s="496">
        <f>IFERROR(VLOOKUP($A81,'All Stock'!$C$31:$AN$39,'All Stock'!E$40,FALSE),"")</f>
        <v>3</v>
      </c>
      <c r="H81" s="496">
        <f>IFERROR(VLOOKUP($A81,'All Stock'!$C$31:$AN$39,'All Stock'!F$40,FALSE),"")</f>
        <v>3</v>
      </c>
      <c r="I81" s="496">
        <f>IFERROR(VLOOKUP($A81,'All Stock'!$C$31:$AN$39,'All Stock'!G$40,FALSE),"")</f>
        <v>3</v>
      </c>
      <c r="J81" s="496">
        <f>IFERROR(VLOOKUP($A81,'All Stock'!$C$31:$AN$39,'All Stock'!H$40,FALSE),"")</f>
        <v>3</v>
      </c>
      <c r="K81" s="496">
        <f>IFERROR(VLOOKUP($A81,'All Stock'!$C$31:$AN$39,'All Stock'!I$40,FALSE),"")</f>
        <v>3</v>
      </c>
      <c r="L81" s="496">
        <f>IFERROR(VLOOKUP($A81,'All Stock'!$C$31:$AN$39,'All Stock'!J$40,FALSE),"")</f>
        <v>3</v>
      </c>
      <c r="M81" s="496">
        <f>IFERROR(VLOOKUP($A81,'All Stock'!$C$31:$AN$39,'All Stock'!K$40,FALSE),"")</f>
        <v>3</v>
      </c>
      <c r="N81" s="496">
        <f>IFERROR(VLOOKUP($A81,'All Stock'!$C$31:$AN$39,'All Stock'!L$40,FALSE),"")</f>
        <v>3</v>
      </c>
      <c r="O81" s="496">
        <f>IFERROR(VLOOKUP($A81,'All Stock'!$C$31:$AN$39,'All Stock'!M$40,FALSE),"")</f>
        <v>3</v>
      </c>
      <c r="P81" s="496">
        <f>IFERROR(VLOOKUP($A81,'All Stock'!$C$31:$AN$39,'All Stock'!N$40,FALSE),"")</f>
        <v>3</v>
      </c>
      <c r="Q81" s="496">
        <f>IFERROR(VLOOKUP($A81,'All Stock'!$C$31:$AN$39,'All Stock'!O$40,FALSE),"")</f>
        <v>3</v>
      </c>
      <c r="R81" s="496">
        <f>IFERROR(VLOOKUP($A81,'All Stock'!$C$31:$AN$39,'All Stock'!P$40,FALSE),"")</f>
        <v>3</v>
      </c>
      <c r="S81" s="496">
        <f>IFERROR(VLOOKUP($A81,'All Stock'!$C$31:$AN$39,'All Stock'!Q$40,FALSE),"")</f>
        <v>3</v>
      </c>
      <c r="T81" s="496">
        <f>IFERROR(VLOOKUP($A81,'All Stock'!$C$31:$AN$39,'All Stock'!R$40,FALSE),"")</f>
        <v>3</v>
      </c>
      <c r="U81" s="496">
        <f>IFERROR(VLOOKUP($A81,'All Stock'!$C$31:$AN$39,'All Stock'!S$40,FALSE),"")</f>
        <v>3</v>
      </c>
      <c r="V81" s="496">
        <f>IFERROR(VLOOKUP($A81,'All Stock'!$C$31:$AN$39,'All Stock'!T$40,FALSE),"")</f>
        <v>3</v>
      </c>
      <c r="W81" s="496">
        <f>IFERROR(VLOOKUP($A81,'All Stock'!$C$31:$AN$39,'All Stock'!U$40,FALSE),"")</f>
        <v>3</v>
      </c>
      <c r="X81" s="496">
        <f>IFERROR(VLOOKUP($A81,'All Stock'!$C$31:$AN$39,'All Stock'!V$40,FALSE),"")</f>
        <v>3</v>
      </c>
      <c r="Y81" s="496">
        <f>IFERROR(VLOOKUP($A81,'All Stock'!$C$31:$AN$39,'All Stock'!W$40,FALSE),"")</f>
        <v>3</v>
      </c>
      <c r="Z81" s="496">
        <f>IFERROR(VLOOKUP($A81,'All Stock'!$C$31:$AN$39,'All Stock'!X$40,FALSE),"")</f>
        <v>3</v>
      </c>
      <c r="AA81" s="496">
        <f>IFERROR(VLOOKUP($A81,'All Stock'!$C$31:$AN$39,'All Stock'!Y$40,FALSE),"")</f>
        <v>3</v>
      </c>
      <c r="AB81" s="496">
        <f>IFERROR(VLOOKUP($A81,'All Stock'!$C$31:$AN$39,'All Stock'!Z$40,FALSE),"")</f>
        <v>3</v>
      </c>
      <c r="AC81" s="496">
        <f>IFERROR(VLOOKUP($A81,'All Stock'!$C$31:$AN$39,'All Stock'!AA$40,FALSE),"")</f>
        <v>3</v>
      </c>
      <c r="AD81" s="496">
        <f>IFERROR(VLOOKUP($A81,'All Stock'!$C$31:$AN$39,'All Stock'!AB$40,FALSE),"")</f>
        <v>3</v>
      </c>
      <c r="AE81" s="496">
        <f>IFERROR(VLOOKUP($A81,'All Stock'!$C$31:$AN$39,'All Stock'!AC$40,FALSE),"")</f>
        <v>3</v>
      </c>
      <c r="AF81" s="496">
        <f>IFERROR(VLOOKUP($A81,'All Stock'!$C$31:$AN$39,'All Stock'!AD$40,FALSE),"")</f>
        <v>3</v>
      </c>
      <c r="AG81" s="496">
        <f>IFERROR(VLOOKUP($A81,'All Stock'!$C$31:$AN$39,'All Stock'!AE$40,FALSE),"")</f>
        <v>3</v>
      </c>
      <c r="AH81" s="496">
        <f>IFERROR(VLOOKUP($A81,'All Stock'!$C$31:$AN$39,'All Stock'!AF$40,FALSE),"")</f>
        <v>3</v>
      </c>
      <c r="AI81" s="496">
        <f>IFERROR(VLOOKUP($A81,'All Stock'!$C$31:$AN$39,'All Stock'!AG$40,FALSE),"")</f>
        <v>3</v>
      </c>
      <c r="AJ81" s="496">
        <f>IFERROR(VLOOKUP($A81,'All Stock'!$C$31:$AN$39,'All Stock'!AH$40,FALSE),"")</f>
        <v>3</v>
      </c>
      <c r="AK81" s="496">
        <f>IFERROR(VLOOKUP($A81,'All Stock'!$C$31:$AN$39,'All Stock'!AI$40,FALSE),"")</f>
        <v>3</v>
      </c>
      <c r="AL81" s="496">
        <f>IFERROR(VLOOKUP($A81,'All Stock'!$C$31:$AN$39,'All Stock'!AJ$40,FALSE),"")</f>
        <v>3</v>
      </c>
      <c r="AM81" s="496">
        <f>IFERROR(VLOOKUP($A81,'All Stock'!$C$31:$AN$39,'All Stock'!AK$40,FALSE),"")</f>
        <v>3</v>
      </c>
      <c r="AN81" s="496">
        <f>IFERROR(VLOOKUP($A81,'All Stock'!$C$31:$AN$39,'All Stock'!AL$40,FALSE),"")</f>
        <v>3</v>
      </c>
      <c r="AO81" s="496">
        <f>IFERROR(VLOOKUP($A81,'All Stock'!$C$31:$AN$39,'All Stock'!AM$40,FALSE),"")</f>
        <v>3</v>
      </c>
      <c r="AP81" s="496">
        <f>IFERROR(VLOOKUP($A81,'All Stock'!$C$31:$AN$39,'All Stock'!AN$40,FALSE),"")</f>
        <v>3</v>
      </c>
      <c r="AX81" s="467"/>
      <c r="AY81" s="467"/>
      <c r="AZ81" s="467"/>
      <c r="BA81" s="467"/>
      <c r="BB81" s="467"/>
      <c r="BC81" s="467"/>
      <c r="BD81" s="467"/>
      <c r="BE81" s="467"/>
      <c r="BF81" s="467"/>
      <c r="BG81" s="467"/>
      <c r="BH81" s="467"/>
      <c r="BI81" s="467"/>
      <c r="BJ81" s="467"/>
      <c r="BK81" s="467"/>
      <c r="BL81" s="467"/>
      <c r="BM81" s="467"/>
      <c r="BN81" s="467"/>
      <c r="BO81" s="467"/>
      <c r="BP81" s="467"/>
      <c r="BQ81" s="467"/>
      <c r="BR81" s="467"/>
      <c r="BS81" s="467"/>
      <c r="BT81" s="467"/>
      <c r="BU81" s="467"/>
      <c r="BV81" s="467"/>
      <c r="BW81" s="467"/>
      <c r="BX81" s="467"/>
      <c r="BY81" s="467"/>
      <c r="BZ81" s="467"/>
      <c r="CA81" s="467"/>
      <c r="CB81" s="467"/>
      <c r="CC81" s="467"/>
      <c r="CD81" s="467"/>
      <c r="CE81" s="467"/>
      <c r="CF81" s="467"/>
      <c r="CG81" s="467"/>
      <c r="CH81" s="467"/>
    </row>
    <row r="82" spans="1:86">
      <c r="A82" t="str">
        <f t="shared" ref="A82:A88" si="35">A38</f>
        <v>Gases</v>
      </c>
      <c r="C82" t="str">
        <f t="shared" si="24"/>
        <v>R_ES-SH-SD_GAS</v>
      </c>
      <c r="E82" t="str">
        <f t="shared" si="25"/>
        <v>R_ES-SD-SpHeat</v>
      </c>
      <c r="F82" s="496">
        <f>IFERROR(VLOOKUP($A82,'All Stock'!$C$31:$AN$39,'All Stock'!D$40,FALSE),"")</f>
        <v>0.9</v>
      </c>
      <c r="G82" s="496">
        <f>IFERROR(VLOOKUP($A82,'All Stock'!$C$31:$AN$39,'All Stock'!E$40,FALSE),"")</f>
        <v>0.9</v>
      </c>
      <c r="H82" s="496">
        <f>IFERROR(VLOOKUP($A82,'All Stock'!$C$31:$AN$39,'All Stock'!F$40,FALSE),"")</f>
        <v>0.85</v>
      </c>
      <c r="I82" s="496">
        <f>IFERROR(VLOOKUP($A82,'All Stock'!$C$31:$AN$39,'All Stock'!G$40,FALSE),"")</f>
        <v>0.9</v>
      </c>
      <c r="J82" s="496">
        <f>IFERROR(VLOOKUP($A82,'All Stock'!$C$31:$AN$39,'All Stock'!H$40,FALSE),"")</f>
        <v>0.85</v>
      </c>
      <c r="K82" s="496">
        <f>IFERROR(VLOOKUP($A82,'All Stock'!$C$31:$AN$39,'All Stock'!I$40,FALSE),"")</f>
        <v>0.85</v>
      </c>
      <c r="L82" s="496">
        <f>IFERROR(VLOOKUP($A82,'All Stock'!$C$31:$AN$39,'All Stock'!J$40,FALSE),"")</f>
        <v>0.9</v>
      </c>
      <c r="M82" s="496">
        <f>IFERROR(VLOOKUP($A82,'All Stock'!$C$31:$AN$39,'All Stock'!K$40,FALSE),"")</f>
        <v>0.9</v>
      </c>
      <c r="N82" s="496">
        <f>IFERROR(VLOOKUP($A82,'All Stock'!$C$31:$AN$39,'All Stock'!L$40,FALSE),"")</f>
        <v>0.85</v>
      </c>
      <c r="O82" s="496">
        <f>IFERROR(VLOOKUP($A82,'All Stock'!$C$31:$AN$39,'All Stock'!M$40,FALSE),"")</f>
        <v>0.9</v>
      </c>
      <c r="P82" s="496">
        <f>IFERROR(VLOOKUP($A82,'All Stock'!$C$31:$AN$39,'All Stock'!N$40,FALSE),"")</f>
        <v>0.9</v>
      </c>
      <c r="Q82" s="496">
        <f>IFERROR(VLOOKUP($A82,'All Stock'!$C$31:$AN$39,'All Stock'!O$40,FALSE),"")</f>
        <v>0.9</v>
      </c>
      <c r="R82" s="496">
        <f>IFERROR(VLOOKUP($A82,'All Stock'!$C$31:$AN$39,'All Stock'!P$40,FALSE),"")</f>
        <v>0.85</v>
      </c>
      <c r="S82" s="496">
        <f>IFERROR(VLOOKUP($A82,'All Stock'!$C$31:$AN$39,'All Stock'!Q$40,FALSE),"")</f>
        <v>0.85</v>
      </c>
      <c r="T82" s="496">
        <f>IFERROR(VLOOKUP($A82,'All Stock'!$C$31:$AN$39,'All Stock'!R$40,FALSE),"")</f>
        <v>0.85</v>
      </c>
      <c r="U82" s="496">
        <f>IFERROR(VLOOKUP($A82,'All Stock'!$C$31:$AN$39,'All Stock'!S$40,FALSE),"")</f>
        <v>0.9</v>
      </c>
      <c r="V82" s="496">
        <f>IFERROR(VLOOKUP($A82,'All Stock'!$C$31:$AN$39,'All Stock'!T$40,FALSE),"")</f>
        <v>0.9</v>
      </c>
      <c r="W82" s="496">
        <f>IFERROR(VLOOKUP($A82,'All Stock'!$C$31:$AN$39,'All Stock'!U$40,FALSE),"")</f>
        <v>0.9</v>
      </c>
      <c r="X82" s="496">
        <f>IFERROR(VLOOKUP($A82,'All Stock'!$C$31:$AN$39,'All Stock'!V$40,FALSE),"")</f>
        <v>0.85</v>
      </c>
      <c r="Y82" s="496">
        <f>IFERROR(VLOOKUP($A82,'All Stock'!$C$31:$AN$39,'All Stock'!W$40,FALSE),"")</f>
        <v>0.9</v>
      </c>
      <c r="Z82" s="496">
        <f>IFERROR(VLOOKUP($A82,'All Stock'!$C$31:$AN$39,'All Stock'!X$40,FALSE),"")</f>
        <v>0.85</v>
      </c>
      <c r="AA82" s="496">
        <f>IFERROR(VLOOKUP($A82,'All Stock'!$C$31:$AN$39,'All Stock'!Y$40,FALSE),"")</f>
        <v>0.85</v>
      </c>
      <c r="AB82" s="496">
        <f>IFERROR(VLOOKUP($A82,'All Stock'!$C$31:$AN$39,'All Stock'!Z$40,FALSE),"")</f>
        <v>0.9</v>
      </c>
      <c r="AC82" s="496">
        <f>IFERROR(VLOOKUP($A82,'All Stock'!$C$31:$AN$39,'All Stock'!AA$40,FALSE),"")</f>
        <v>0.9</v>
      </c>
      <c r="AD82" s="496">
        <f>IFERROR(VLOOKUP($A82,'All Stock'!$C$31:$AN$39,'All Stock'!AB$40,FALSE),"")</f>
        <v>0.85</v>
      </c>
      <c r="AE82" s="496">
        <f>IFERROR(VLOOKUP($A82,'All Stock'!$C$31:$AN$39,'All Stock'!AC$40,FALSE),"")</f>
        <v>0.85</v>
      </c>
      <c r="AF82" s="496">
        <f>IFERROR(VLOOKUP($A82,'All Stock'!$C$31:$AN$39,'All Stock'!AD$40,FALSE),"")</f>
        <v>0.85</v>
      </c>
      <c r="AG82" s="496">
        <f>IFERROR(VLOOKUP($A82,'All Stock'!$C$31:$AN$39,'All Stock'!AE$40,FALSE),"")</f>
        <v>0.9</v>
      </c>
      <c r="AH82" s="496">
        <f>IFERROR(VLOOKUP($A82,'All Stock'!$C$31:$AN$39,'All Stock'!AF$40,FALSE),"")</f>
        <v>0.85</v>
      </c>
      <c r="AI82" s="496">
        <f>IFERROR(VLOOKUP($A82,'All Stock'!$C$31:$AN$39,'All Stock'!AG$40,FALSE),"")</f>
        <v>0.85</v>
      </c>
      <c r="AJ82" s="496">
        <f>IFERROR(VLOOKUP($A82,'All Stock'!$C$31:$AN$39,'All Stock'!AH$40,FALSE),"")</f>
        <v>0.9</v>
      </c>
      <c r="AK82" s="496">
        <f>IFERROR(VLOOKUP($A82,'All Stock'!$C$31:$AN$39,'All Stock'!AI$40,FALSE),"")</f>
        <v>0.85</v>
      </c>
      <c r="AL82" s="496">
        <f>IFERROR(VLOOKUP($A82,'All Stock'!$C$31:$AN$39,'All Stock'!AJ$40,FALSE),"")</f>
        <v>0.85</v>
      </c>
      <c r="AM82" s="496">
        <f>IFERROR(VLOOKUP($A82,'All Stock'!$C$31:$AN$39,'All Stock'!AK$40,FALSE),"")</f>
        <v>0.85</v>
      </c>
      <c r="AN82" s="496">
        <f>IFERROR(VLOOKUP($A82,'All Stock'!$C$31:$AN$39,'All Stock'!AL$40,FALSE),"")</f>
        <v>0.85</v>
      </c>
      <c r="AO82" s="496">
        <f>IFERROR(VLOOKUP($A82,'All Stock'!$C$31:$AN$39,'All Stock'!AM$40,FALSE),"")</f>
        <v>0.85</v>
      </c>
      <c r="AP82" s="496">
        <f>IFERROR(VLOOKUP($A82,'All Stock'!$C$31:$AN$39,'All Stock'!AN$40,FALSE),"")</f>
        <v>0.85</v>
      </c>
      <c r="AX82" s="467"/>
      <c r="AY82" s="467"/>
      <c r="AZ82" s="467"/>
      <c r="BA82" s="467"/>
      <c r="BB82" s="467"/>
      <c r="BC82" s="467"/>
      <c r="BD82" s="467"/>
      <c r="BE82" s="467"/>
      <c r="BF82" s="467"/>
      <c r="BG82" s="467"/>
      <c r="BH82" s="467"/>
      <c r="BI82" s="467"/>
      <c r="BJ82" s="467"/>
      <c r="BK82" s="467"/>
      <c r="BL82" s="467"/>
      <c r="BM82" s="467"/>
      <c r="BN82" s="467"/>
      <c r="BO82" s="467"/>
      <c r="BP82" s="467"/>
      <c r="BQ82" s="467"/>
      <c r="BR82" s="467"/>
      <c r="BS82" s="467"/>
      <c r="BT82" s="467"/>
      <c r="BU82" s="467"/>
      <c r="BV82" s="467"/>
      <c r="BW82" s="467"/>
      <c r="BX82" s="467"/>
      <c r="BY82" s="467"/>
      <c r="BZ82" s="467"/>
      <c r="CA82" s="467"/>
      <c r="CB82" s="467"/>
      <c r="CC82" s="467"/>
      <c r="CD82" s="467"/>
      <c r="CE82" s="467"/>
      <c r="CF82" s="467"/>
      <c r="CG82" s="467"/>
      <c r="CH82" s="467"/>
    </row>
    <row r="83" spans="1:86">
      <c r="A83" t="str">
        <f t="shared" si="35"/>
        <v>Derived heat</v>
      </c>
      <c r="C83" t="str">
        <f t="shared" si="24"/>
        <v>R_ES-SH-SD_HET</v>
      </c>
      <c r="E83" t="str">
        <f t="shared" si="25"/>
        <v>R_ES-SD-SpHeat</v>
      </c>
      <c r="F83" s="496">
        <f>IFERROR(VLOOKUP($A83,'All Stock'!$C$31:$AN$39,'All Stock'!D$40,FALSE),"")</f>
        <v>0.95</v>
      </c>
      <c r="G83" s="496">
        <f>IFERROR(VLOOKUP($A83,'All Stock'!$C$31:$AN$39,'All Stock'!E$40,FALSE),"")</f>
        <v>0.95</v>
      </c>
      <c r="H83" s="496">
        <f>IFERROR(VLOOKUP($A83,'All Stock'!$C$31:$AN$39,'All Stock'!F$40,FALSE),"")</f>
        <v>0.85</v>
      </c>
      <c r="I83" s="496">
        <f>IFERROR(VLOOKUP($A83,'All Stock'!$C$31:$AN$39,'All Stock'!G$40,FALSE),"")</f>
        <v>0.95</v>
      </c>
      <c r="J83" s="496">
        <f>IFERROR(VLOOKUP($A83,'All Stock'!$C$31:$AN$39,'All Stock'!H$40,FALSE),"")</f>
        <v>0.85</v>
      </c>
      <c r="K83" s="496">
        <f>IFERROR(VLOOKUP($A83,'All Stock'!$C$31:$AN$39,'All Stock'!I$40,FALSE),"")</f>
        <v>0.85</v>
      </c>
      <c r="L83" s="496">
        <f>IFERROR(VLOOKUP($A83,'All Stock'!$C$31:$AN$39,'All Stock'!J$40,FALSE),"")</f>
        <v>0.95</v>
      </c>
      <c r="M83" s="496">
        <f>IFERROR(VLOOKUP($A83,'All Stock'!$C$31:$AN$39,'All Stock'!K$40,FALSE),"")</f>
        <v>0.95</v>
      </c>
      <c r="N83" s="496">
        <f>IFERROR(VLOOKUP($A83,'All Stock'!$C$31:$AN$39,'All Stock'!L$40,FALSE),"")</f>
        <v>0.85</v>
      </c>
      <c r="O83" s="496">
        <f>IFERROR(VLOOKUP($A83,'All Stock'!$C$31:$AN$39,'All Stock'!M$40,FALSE),"")</f>
        <v>0.95</v>
      </c>
      <c r="P83" s="496">
        <f>IFERROR(VLOOKUP($A83,'All Stock'!$C$31:$AN$39,'All Stock'!N$40,FALSE),"")</f>
        <v>0.95</v>
      </c>
      <c r="Q83" s="496">
        <f>IFERROR(VLOOKUP($A83,'All Stock'!$C$31:$AN$39,'All Stock'!O$40,FALSE),"")</f>
        <v>0.95</v>
      </c>
      <c r="R83" s="496">
        <f>IFERROR(VLOOKUP($A83,'All Stock'!$C$31:$AN$39,'All Stock'!P$40,FALSE),"")</f>
        <v>0.95</v>
      </c>
      <c r="S83" s="496">
        <f>IFERROR(VLOOKUP($A83,'All Stock'!$C$31:$AN$39,'All Stock'!Q$40,FALSE),"")</f>
        <v>0.9</v>
      </c>
      <c r="T83" s="496">
        <f>IFERROR(VLOOKUP($A83,'All Stock'!$C$31:$AN$39,'All Stock'!R$40,FALSE),"")</f>
        <v>0.9</v>
      </c>
      <c r="U83" s="496">
        <f>IFERROR(VLOOKUP($A83,'All Stock'!$C$31:$AN$39,'All Stock'!S$40,FALSE),"")</f>
        <v>0.95</v>
      </c>
      <c r="V83" s="496">
        <f>IFERROR(VLOOKUP($A83,'All Stock'!$C$31:$AN$39,'All Stock'!T$40,FALSE),"")</f>
        <v>0.95</v>
      </c>
      <c r="W83" s="496">
        <f>IFERROR(VLOOKUP($A83,'All Stock'!$C$31:$AN$39,'All Stock'!U$40,FALSE),"")</f>
        <v>0.95</v>
      </c>
      <c r="X83" s="496">
        <f>IFERROR(VLOOKUP($A83,'All Stock'!$C$31:$AN$39,'All Stock'!V$40,FALSE),"")</f>
        <v>0.85</v>
      </c>
      <c r="Y83" s="496">
        <f>IFERROR(VLOOKUP($A83,'All Stock'!$C$31:$AN$39,'All Stock'!W$40,FALSE),"")</f>
        <v>0.95</v>
      </c>
      <c r="Z83" s="496">
        <f>IFERROR(VLOOKUP($A83,'All Stock'!$C$31:$AN$39,'All Stock'!X$40,FALSE),"")</f>
        <v>0.85</v>
      </c>
      <c r="AA83" s="496">
        <f>IFERROR(VLOOKUP($A83,'All Stock'!$C$31:$AN$39,'All Stock'!Y$40,FALSE),"")</f>
        <v>0.85</v>
      </c>
      <c r="AB83" s="496">
        <f>IFERROR(VLOOKUP($A83,'All Stock'!$C$31:$AN$39,'All Stock'!Z$40,FALSE),"")</f>
        <v>0.95</v>
      </c>
      <c r="AC83" s="496">
        <f>IFERROR(VLOOKUP($A83,'All Stock'!$C$31:$AN$39,'All Stock'!AA$40,FALSE),"")</f>
        <v>0.95</v>
      </c>
      <c r="AD83" s="496">
        <f>IFERROR(VLOOKUP($A83,'All Stock'!$C$31:$AN$39,'All Stock'!AB$40,FALSE),"")</f>
        <v>0.85</v>
      </c>
      <c r="AE83" s="496">
        <f>IFERROR(VLOOKUP($A83,'All Stock'!$C$31:$AN$39,'All Stock'!AC$40,FALSE),"")</f>
        <v>0.9</v>
      </c>
      <c r="AF83" s="496">
        <f>IFERROR(VLOOKUP($A83,'All Stock'!$C$31:$AN$39,'All Stock'!AD$40,FALSE),"")</f>
        <v>0.85</v>
      </c>
      <c r="AG83" s="496">
        <f>IFERROR(VLOOKUP($A83,'All Stock'!$C$31:$AN$39,'All Stock'!AE$40,FALSE),"")</f>
        <v>0.95</v>
      </c>
      <c r="AH83" s="496">
        <f>IFERROR(VLOOKUP($A83,'All Stock'!$C$31:$AN$39,'All Stock'!AF$40,FALSE),"")</f>
        <v>0.9</v>
      </c>
      <c r="AI83" s="496">
        <f>IFERROR(VLOOKUP($A83,'All Stock'!$C$31:$AN$39,'All Stock'!AG$40,FALSE),"")</f>
        <v>0.85</v>
      </c>
      <c r="AJ83" s="496">
        <f>IFERROR(VLOOKUP($A83,'All Stock'!$C$31:$AN$39,'All Stock'!AH$40,FALSE),"")</f>
        <v>0.95</v>
      </c>
      <c r="AK83" s="496">
        <f>IFERROR(VLOOKUP($A83,'All Stock'!$C$31:$AN$39,'All Stock'!AI$40,FALSE),"")</f>
        <v>0.85</v>
      </c>
      <c r="AL83" s="496">
        <f>IFERROR(VLOOKUP($A83,'All Stock'!$C$31:$AN$39,'All Stock'!AJ$40,FALSE),"")</f>
        <v>0.85</v>
      </c>
      <c r="AM83" s="496">
        <f>IFERROR(VLOOKUP($A83,'All Stock'!$C$31:$AN$39,'All Stock'!AK$40,FALSE),"")</f>
        <v>0.85</v>
      </c>
      <c r="AN83" s="496">
        <f>IFERROR(VLOOKUP($A83,'All Stock'!$C$31:$AN$39,'All Stock'!AL$40,FALSE),"")</f>
        <v>0.85</v>
      </c>
      <c r="AO83" s="496">
        <f>IFERROR(VLOOKUP($A83,'All Stock'!$C$31:$AN$39,'All Stock'!AM$40,FALSE),"")</f>
        <v>0.85</v>
      </c>
      <c r="AP83" s="496">
        <f>IFERROR(VLOOKUP($A83,'All Stock'!$C$31:$AN$39,'All Stock'!AN$40,FALSE),"")</f>
        <v>0.85</v>
      </c>
      <c r="AX83" s="467"/>
      <c r="AY83" s="467"/>
      <c r="AZ83" s="467"/>
      <c r="BA83" s="467"/>
      <c r="BB83" s="467"/>
      <c r="BC83" s="467"/>
      <c r="BD83" s="467"/>
      <c r="BE83" s="467"/>
      <c r="BF83" s="467"/>
      <c r="BG83" s="467"/>
      <c r="BH83" s="467"/>
      <c r="BI83" s="467"/>
      <c r="BJ83" s="467"/>
      <c r="BK83" s="467"/>
      <c r="BL83" s="467"/>
      <c r="BM83" s="467"/>
      <c r="BN83" s="467"/>
      <c r="BO83" s="467"/>
      <c r="BP83" s="467"/>
      <c r="BQ83" s="467"/>
      <c r="BR83" s="467"/>
      <c r="BS83" s="467"/>
      <c r="BT83" s="467"/>
      <c r="BU83" s="467"/>
      <c r="BV83" s="467"/>
      <c r="BW83" s="467"/>
      <c r="BX83" s="467"/>
      <c r="BY83" s="467"/>
      <c r="BZ83" s="467"/>
      <c r="CA83" s="467"/>
      <c r="CB83" s="467"/>
      <c r="CC83" s="467"/>
      <c r="CD83" s="467"/>
      <c r="CE83" s="467"/>
      <c r="CF83" s="467"/>
      <c r="CG83" s="467"/>
      <c r="CH83" s="467"/>
    </row>
    <row r="84" spans="1:86">
      <c r="A84" t="str">
        <f t="shared" si="35"/>
        <v>GDO and other liquids (incl. liq. bio.)</v>
      </c>
      <c r="C84" t="str">
        <f t="shared" si="24"/>
        <v>R_ES-SH-SD_OIL</v>
      </c>
      <c r="E84" t="str">
        <f t="shared" si="25"/>
        <v>R_ES-SD-SpHeat</v>
      </c>
      <c r="F84" s="496">
        <f>IFERROR(VLOOKUP($A84,'All Stock'!$C$31:$AN$39,'All Stock'!D$40,FALSE),"")</f>
        <v>0.8</v>
      </c>
      <c r="G84" s="496">
        <f>IFERROR(VLOOKUP($A84,'All Stock'!$C$31:$AN$39,'All Stock'!E$40,FALSE),"")</f>
        <v>0.8</v>
      </c>
      <c r="H84" s="496">
        <f>IFERROR(VLOOKUP($A84,'All Stock'!$C$31:$AN$39,'All Stock'!F$40,FALSE),"")</f>
        <v>0.75</v>
      </c>
      <c r="I84" s="496">
        <f>IFERROR(VLOOKUP($A84,'All Stock'!$C$31:$AN$39,'All Stock'!G$40,FALSE),"")</f>
        <v>0.8</v>
      </c>
      <c r="J84" s="496">
        <f>IFERROR(VLOOKUP($A84,'All Stock'!$C$31:$AN$39,'All Stock'!H$40,FALSE),"")</f>
        <v>0.8</v>
      </c>
      <c r="K84" s="496">
        <f>IFERROR(VLOOKUP($A84,'All Stock'!$C$31:$AN$39,'All Stock'!I$40,FALSE),"")</f>
        <v>0.75</v>
      </c>
      <c r="L84" s="496">
        <f>IFERROR(VLOOKUP($A84,'All Stock'!$C$31:$AN$39,'All Stock'!J$40,FALSE),"")</f>
        <v>0.8</v>
      </c>
      <c r="M84" s="496">
        <f>IFERROR(VLOOKUP($A84,'All Stock'!$C$31:$AN$39,'All Stock'!K$40,FALSE),"")</f>
        <v>0.8</v>
      </c>
      <c r="N84" s="496">
        <f>IFERROR(VLOOKUP($A84,'All Stock'!$C$31:$AN$39,'All Stock'!L$40,FALSE),"")</f>
        <v>0.8</v>
      </c>
      <c r="O84" s="496">
        <f>IFERROR(VLOOKUP($A84,'All Stock'!$C$31:$AN$39,'All Stock'!M$40,FALSE),"")</f>
        <v>0.8</v>
      </c>
      <c r="P84" s="496">
        <f>IFERROR(VLOOKUP($A84,'All Stock'!$C$31:$AN$39,'All Stock'!N$40,FALSE),"")</f>
        <v>0.8</v>
      </c>
      <c r="Q84" s="496">
        <f>IFERROR(VLOOKUP($A84,'All Stock'!$C$31:$AN$39,'All Stock'!O$40,FALSE),"")</f>
        <v>0.8</v>
      </c>
      <c r="R84" s="496">
        <f>IFERROR(VLOOKUP($A84,'All Stock'!$C$31:$AN$39,'All Stock'!P$40,FALSE),"")</f>
        <v>0.75</v>
      </c>
      <c r="S84" s="496">
        <f>IFERROR(VLOOKUP($A84,'All Stock'!$C$31:$AN$39,'All Stock'!Q$40,FALSE),"")</f>
        <v>0.8</v>
      </c>
      <c r="T84" s="496">
        <f>IFERROR(VLOOKUP($A84,'All Stock'!$C$31:$AN$39,'All Stock'!R$40,FALSE),"")</f>
        <v>0.75</v>
      </c>
      <c r="U84" s="496">
        <f>IFERROR(VLOOKUP($A84,'All Stock'!$C$31:$AN$39,'All Stock'!S$40,FALSE),"")</f>
        <v>0.8</v>
      </c>
      <c r="V84" s="496">
        <f>IFERROR(VLOOKUP($A84,'All Stock'!$C$31:$AN$39,'All Stock'!T$40,FALSE),"")</f>
        <v>0.8</v>
      </c>
      <c r="W84" s="496">
        <f>IFERROR(VLOOKUP($A84,'All Stock'!$C$31:$AN$39,'All Stock'!U$40,FALSE),"")</f>
        <v>0.8</v>
      </c>
      <c r="X84" s="496">
        <f>IFERROR(VLOOKUP($A84,'All Stock'!$C$31:$AN$39,'All Stock'!V$40,FALSE),"")</f>
        <v>0.75</v>
      </c>
      <c r="Y84" s="496">
        <f>IFERROR(VLOOKUP($A84,'All Stock'!$C$31:$AN$39,'All Stock'!W$40,FALSE),"")</f>
        <v>0.8</v>
      </c>
      <c r="Z84" s="496">
        <f>IFERROR(VLOOKUP($A84,'All Stock'!$C$31:$AN$39,'All Stock'!X$40,FALSE),"")</f>
        <v>0.75</v>
      </c>
      <c r="AA84" s="496">
        <f>IFERROR(VLOOKUP($A84,'All Stock'!$C$31:$AN$39,'All Stock'!Y$40,FALSE),"")</f>
        <v>0.75</v>
      </c>
      <c r="AB84" s="496">
        <f>IFERROR(VLOOKUP($A84,'All Stock'!$C$31:$AN$39,'All Stock'!Z$40,FALSE),"")</f>
        <v>0.8</v>
      </c>
      <c r="AC84" s="496">
        <f>IFERROR(VLOOKUP($A84,'All Stock'!$C$31:$AN$39,'All Stock'!AA$40,FALSE),"")</f>
        <v>0.8</v>
      </c>
      <c r="AD84" s="496">
        <f>IFERROR(VLOOKUP($A84,'All Stock'!$C$31:$AN$39,'All Stock'!AB$40,FALSE),"")</f>
        <v>0.75</v>
      </c>
      <c r="AE84" s="496">
        <f>IFERROR(VLOOKUP($A84,'All Stock'!$C$31:$AN$39,'All Stock'!AC$40,FALSE),"")</f>
        <v>0.75</v>
      </c>
      <c r="AF84" s="496">
        <f>IFERROR(VLOOKUP($A84,'All Stock'!$C$31:$AN$39,'All Stock'!AD$40,FALSE),"")</f>
        <v>0.75</v>
      </c>
      <c r="AG84" s="496">
        <f>IFERROR(VLOOKUP($A84,'All Stock'!$C$31:$AN$39,'All Stock'!AE$40,FALSE),"")</f>
        <v>0.8</v>
      </c>
      <c r="AH84" s="496">
        <f>IFERROR(VLOOKUP($A84,'All Stock'!$C$31:$AN$39,'All Stock'!AF$40,FALSE),"")</f>
        <v>0.8</v>
      </c>
      <c r="AI84" s="496">
        <f>IFERROR(VLOOKUP($A84,'All Stock'!$C$31:$AN$39,'All Stock'!AG$40,FALSE),"")</f>
        <v>0.75</v>
      </c>
      <c r="AJ84" s="496">
        <f>IFERROR(VLOOKUP($A84,'All Stock'!$C$31:$AN$39,'All Stock'!AH$40,FALSE),"")</f>
        <v>0.8</v>
      </c>
      <c r="AK84" s="496">
        <f>IFERROR(VLOOKUP($A84,'All Stock'!$C$31:$AN$39,'All Stock'!AI$40,FALSE),"")</f>
        <v>0.75</v>
      </c>
      <c r="AL84" s="496">
        <f>IFERROR(VLOOKUP($A84,'All Stock'!$C$31:$AN$39,'All Stock'!AJ$40,FALSE),"")</f>
        <v>0.75</v>
      </c>
      <c r="AM84" s="496">
        <f>IFERROR(VLOOKUP($A84,'All Stock'!$C$31:$AN$39,'All Stock'!AK$40,FALSE),"")</f>
        <v>0.75</v>
      </c>
      <c r="AN84" s="496">
        <f>IFERROR(VLOOKUP($A84,'All Stock'!$C$31:$AN$39,'All Stock'!AL$40,FALSE),"")</f>
        <v>0.75</v>
      </c>
      <c r="AO84" s="496">
        <f>IFERROR(VLOOKUP($A84,'All Stock'!$C$31:$AN$39,'All Stock'!AM$40,FALSE),"")</f>
        <v>0.75</v>
      </c>
      <c r="AP84" s="496">
        <f>IFERROR(VLOOKUP($A84,'All Stock'!$C$31:$AN$39,'All Stock'!AN$40,FALSE),"")</f>
        <v>0.75</v>
      </c>
      <c r="AX84" s="467"/>
      <c r="AY84" s="467"/>
      <c r="AZ84" s="467"/>
      <c r="BA84" s="467"/>
      <c r="BB84" s="467"/>
      <c r="BC84" s="467"/>
      <c r="BD84" s="467"/>
      <c r="BE84" s="467"/>
      <c r="BF84" s="467"/>
      <c r="BG84" s="467"/>
      <c r="BH84" s="467"/>
      <c r="BI84" s="467"/>
      <c r="BJ84" s="467"/>
      <c r="BK84" s="467"/>
      <c r="BL84" s="467"/>
      <c r="BM84" s="467"/>
      <c r="BN84" s="467"/>
      <c r="BO84" s="467"/>
      <c r="BP84" s="467"/>
      <c r="BQ84" s="467"/>
      <c r="BR84" s="467"/>
      <c r="BS84" s="467"/>
      <c r="BT84" s="467"/>
      <c r="BU84" s="467"/>
      <c r="BV84" s="467"/>
      <c r="BW84" s="467"/>
      <c r="BX84" s="467"/>
      <c r="BY84" s="467"/>
      <c r="BZ84" s="467"/>
      <c r="CA84" s="467"/>
      <c r="CB84" s="467"/>
      <c r="CC84" s="467"/>
      <c r="CD84" s="467"/>
      <c r="CE84" s="467"/>
      <c r="CF84" s="467"/>
      <c r="CG84" s="467"/>
      <c r="CH84" s="467"/>
    </row>
    <row r="85" spans="1:86">
      <c r="A85" t="str">
        <f t="shared" si="35"/>
        <v>Biomass and wastes</v>
      </c>
      <c r="C85" t="str">
        <f t="shared" si="24"/>
        <v>R_ES-SH-SD_BIO</v>
      </c>
      <c r="E85" t="str">
        <f t="shared" si="25"/>
        <v>R_ES-SD-SpHeat</v>
      </c>
      <c r="F85" s="496">
        <f>IFERROR(VLOOKUP($A85,'All Stock'!$C$31:$AN$39,'All Stock'!D$40,FALSE),"")</f>
        <v>0.7</v>
      </c>
      <c r="G85" s="496">
        <f>IFERROR(VLOOKUP($A85,'All Stock'!$C$31:$AN$39,'All Stock'!E$40,FALSE),"")</f>
        <v>0.7</v>
      </c>
      <c r="H85" s="496">
        <f>IFERROR(VLOOKUP($A85,'All Stock'!$C$31:$AN$39,'All Stock'!F$40,FALSE),"")</f>
        <v>0.65</v>
      </c>
      <c r="I85" s="496">
        <f>IFERROR(VLOOKUP($A85,'All Stock'!$C$31:$AN$39,'All Stock'!G$40,FALSE),"")</f>
        <v>0.7</v>
      </c>
      <c r="J85" s="496">
        <f>IFERROR(VLOOKUP($A85,'All Stock'!$C$31:$AN$39,'All Stock'!H$40,FALSE),"")</f>
        <v>0.7</v>
      </c>
      <c r="K85" s="496">
        <f>IFERROR(VLOOKUP($A85,'All Stock'!$C$31:$AN$39,'All Stock'!I$40,FALSE),"")</f>
        <v>0.65</v>
      </c>
      <c r="L85" s="496">
        <f>IFERROR(VLOOKUP($A85,'All Stock'!$C$31:$AN$39,'All Stock'!J$40,FALSE),"")</f>
        <v>0.7</v>
      </c>
      <c r="M85" s="496">
        <f>IFERROR(VLOOKUP($A85,'All Stock'!$C$31:$AN$39,'All Stock'!K$40,FALSE),"")</f>
        <v>0.7</v>
      </c>
      <c r="N85" s="496">
        <f>IFERROR(VLOOKUP($A85,'All Stock'!$C$31:$AN$39,'All Stock'!L$40,FALSE),"")</f>
        <v>0.7</v>
      </c>
      <c r="O85" s="496">
        <f>IFERROR(VLOOKUP($A85,'All Stock'!$C$31:$AN$39,'All Stock'!M$40,FALSE),"")</f>
        <v>0.7</v>
      </c>
      <c r="P85" s="496">
        <f>IFERROR(VLOOKUP($A85,'All Stock'!$C$31:$AN$39,'All Stock'!N$40,FALSE),"")</f>
        <v>0.7</v>
      </c>
      <c r="Q85" s="496">
        <f>IFERROR(VLOOKUP($A85,'All Stock'!$C$31:$AN$39,'All Stock'!O$40,FALSE),"")</f>
        <v>0.7</v>
      </c>
      <c r="R85" s="496">
        <f>IFERROR(VLOOKUP($A85,'All Stock'!$C$31:$AN$39,'All Stock'!P$40,FALSE),"")</f>
        <v>0.65</v>
      </c>
      <c r="S85" s="496">
        <f>IFERROR(VLOOKUP($A85,'All Stock'!$C$31:$AN$39,'All Stock'!Q$40,FALSE),"")</f>
        <v>0.7</v>
      </c>
      <c r="T85" s="496">
        <f>IFERROR(VLOOKUP($A85,'All Stock'!$C$31:$AN$39,'All Stock'!R$40,FALSE),"")</f>
        <v>0.65</v>
      </c>
      <c r="U85" s="496">
        <f>IFERROR(VLOOKUP($A85,'All Stock'!$C$31:$AN$39,'All Stock'!S$40,FALSE),"")</f>
        <v>0.7</v>
      </c>
      <c r="V85" s="496">
        <f>IFERROR(VLOOKUP($A85,'All Stock'!$C$31:$AN$39,'All Stock'!T$40,FALSE),"")</f>
        <v>0.7</v>
      </c>
      <c r="W85" s="496">
        <f>IFERROR(VLOOKUP($A85,'All Stock'!$C$31:$AN$39,'All Stock'!U$40,FALSE),"")</f>
        <v>0.7</v>
      </c>
      <c r="X85" s="496">
        <f>IFERROR(VLOOKUP($A85,'All Stock'!$C$31:$AN$39,'All Stock'!V$40,FALSE),"")</f>
        <v>0.65</v>
      </c>
      <c r="Y85" s="496">
        <f>IFERROR(VLOOKUP($A85,'All Stock'!$C$31:$AN$39,'All Stock'!W$40,FALSE),"")</f>
        <v>0.7</v>
      </c>
      <c r="Z85" s="496">
        <f>IFERROR(VLOOKUP($A85,'All Stock'!$C$31:$AN$39,'All Stock'!X$40,FALSE),"")</f>
        <v>0.65</v>
      </c>
      <c r="AA85" s="496">
        <f>IFERROR(VLOOKUP($A85,'All Stock'!$C$31:$AN$39,'All Stock'!Y$40,FALSE),"")</f>
        <v>0.65</v>
      </c>
      <c r="AB85" s="496">
        <f>IFERROR(VLOOKUP($A85,'All Stock'!$C$31:$AN$39,'All Stock'!Z$40,FALSE),"")</f>
        <v>0.7</v>
      </c>
      <c r="AC85" s="496">
        <f>IFERROR(VLOOKUP($A85,'All Stock'!$C$31:$AN$39,'All Stock'!AA$40,FALSE),"")</f>
        <v>0.7</v>
      </c>
      <c r="AD85" s="496">
        <f>IFERROR(VLOOKUP($A85,'All Stock'!$C$31:$AN$39,'All Stock'!AB$40,FALSE),"")</f>
        <v>0.65</v>
      </c>
      <c r="AE85" s="496">
        <f>IFERROR(VLOOKUP($A85,'All Stock'!$C$31:$AN$39,'All Stock'!AC$40,FALSE),"")</f>
        <v>0.65</v>
      </c>
      <c r="AF85" s="496">
        <f>IFERROR(VLOOKUP($A85,'All Stock'!$C$31:$AN$39,'All Stock'!AD$40,FALSE),"")</f>
        <v>0.65</v>
      </c>
      <c r="AG85" s="496">
        <f>IFERROR(VLOOKUP($A85,'All Stock'!$C$31:$AN$39,'All Stock'!AE$40,FALSE),"")</f>
        <v>0.7</v>
      </c>
      <c r="AH85" s="496">
        <f>IFERROR(VLOOKUP($A85,'All Stock'!$C$31:$AN$39,'All Stock'!AF$40,FALSE),"")</f>
        <v>0.7</v>
      </c>
      <c r="AI85" s="496">
        <f>IFERROR(VLOOKUP($A85,'All Stock'!$C$31:$AN$39,'All Stock'!AG$40,FALSE),"")</f>
        <v>0.65</v>
      </c>
      <c r="AJ85" s="496">
        <f>IFERROR(VLOOKUP($A85,'All Stock'!$C$31:$AN$39,'All Stock'!AH$40,FALSE),"")</f>
        <v>0.7</v>
      </c>
      <c r="AK85" s="496">
        <f>IFERROR(VLOOKUP($A85,'All Stock'!$C$31:$AN$39,'All Stock'!AI$40,FALSE),"")</f>
        <v>0.65</v>
      </c>
      <c r="AL85" s="496">
        <f>IFERROR(VLOOKUP($A85,'All Stock'!$C$31:$AN$39,'All Stock'!AJ$40,FALSE),"")</f>
        <v>0.65</v>
      </c>
      <c r="AM85" s="496">
        <f>IFERROR(VLOOKUP($A85,'All Stock'!$C$31:$AN$39,'All Stock'!AK$40,FALSE),"")</f>
        <v>0.65</v>
      </c>
      <c r="AN85" s="496">
        <f>IFERROR(VLOOKUP($A85,'All Stock'!$C$31:$AN$39,'All Stock'!AL$40,FALSE),"")</f>
        <v>0.65</v>
      </c>
      <c r="AO85" s="496">
        <f>IFERROR(VLOOKUP($A85,'All Stock'!$C$31:$AN$39,'All Stock'!AM$40,FALSE),"")</f>
        <v>0.65</v>
      </c>
      <c r="AP85" s="496">
        <f>IFERROR(VLOOKUP($A85,'All Stock'!$C$31:$AN$39,'All Stock'!AN$40,FALSE),"")</f>
        <v>0.65</v>
      </c>
      <c r="AX85" s="467"/>
      <c r="AY85" s="467"/>
      <c r="AZ85" s="467"/>
      <c r="BA85" s="467"/>
      <c r="BB85" s="467"/>
      <c r="BC85" s="467"/>
      <c r="BD85" s="467"/>
      <c r="BE85" s="467"/>
      <c r="BF85" s="467"/>
      <c r="BG85" s="467"/>
      <c r="BH85" s="467"/>
      <c r="BI85" s="467"/>
      <c r="BJ85" s="467"/>
      <c r="BK85" s="467"/>
      <c r="BL85" s="467"/>
      <c r="BM85" s="467"/>
      <c r="BN85" s="467"/>
      <c r="BO85" s="467"/>
      <c r="BP85" s="467"/>
      <c r="BQ85" s="467"/>
      <c r="BR85" s="467"/>
      <c r="BS85" s="467"/>
      <c r="BT85" s="467"/>
      <c r="BU85" s="467"/>
      <c r="BV85" s="467"/>
      <c r="BW85" s="467"/>
      <c r="BX85" s="467"/>
      <c r="BY85" s="467"/>
      <c r="BZ85" s="467"/>
      <c r="CA85" s="467"/>
      <c r="CB85" s="467"/>
      <c r="CC85" s="467"/>
      <c r="CD85" s="467"/>
      <c r="CE85" s="467"/>
      <c r="CF85" s="467"/>
      <c r="CG85" s="467"/>
      <c r="CH85" s="467"/>
    </row>
    <row r="86" spans="1:86">
      <c r="A86" t="str">
        <f t="shared" si="35"/>
        <v>Solids</v>
      </c>
      <c r="C86" t="str">
        <f t="shared" si="24"/>
        <v>R_ES-SH-SD_COA</v>
      </c>
      <c r="E86" t="str">
        <f t="shared" si="25"/>
        <v>R_ES-SD-SpHeat</v>
      </c>
      <c r="F86" s="496">
        <f>IFERROR(VLOOKUP($A86,'All Stock'!$C$31:$AN$39,'All Stock'!D$40,FALSE),"")</f>
        <v>0.65</v>
      </c>
      <c r="G86" s="496">
        <f>IFERROR(VLOOKUP($A86,'All Stock'!$C$31:$AN$39,'All Stock'!E$40,FALSE),"")</f>
        <v>0.65</v>
      </c>
      <c r="H86" s="496">
        <f>IFERROR(VLOOKUP($A86,'All Stock'!$C$31:$AN$39,'All Stock'!F$40,FALSE),"")</f>
        <v>0.6</v>
      </c>
      <c r="I86" s="496">
        <f>IFERROR(VLOOKUP($A86,'All Stock'!$C$31:$AN$39,'All Stock'!G$40,FALSE),"")</f>
        <v>0.65</v>
      </c>
      <c r="J86" s="496">
        <f>IFERROR(VLOOKUP($A86,'All Stock'!$C$31:$AN$39,'All Stock'!H$40,FALSE),"")</f>
        <v>0.65</v>
      </c>
      <c r="K86" s="496">
        <f>IFERROR(VLOOKUP($A86,'All Stock'!$C$31:$AN$39,'All Stock'!I$40,FALSE),"")</f>
        <v>0.6</v>
      </c>
      <c r="L86" s="496">
        <f>IFERROR(VLOOKUP($A86,'All Stock'!$C$31:$AN$39,'All Stock'!J$40,FALSE),"")</f>
        <v>0.65</v>
      </c>
      <c r="M86" s="496">
        <f>IFERROR(VLOOKUP($A86,'All Stock'!$C$31:$AN$39,'All Stock'!K$40,FALSE),"")</f>
        <v>0.65</v>
      </c>
      <c r="N86" s="496">
        <f>IFERROR(VLOOKUP($A86,'All Stock'!$C$31:$AN$39,'All Stock'!L$40,FALSE),"")</f>
        <v>0.65</v>
      </c>
      <c r="O86" s="496">
        <f>IFERROR(VLOOKUP($A86,'All Stock'!$C$31:$AN$39,'All Stock'!M$40,FALSE),"")</f>
        <v>0.65</v>
      </c>
      <c r="P86" s="496">
        <f>IFERROR(VLOOKUP($A86,'All Stock'!$C$31:$AN$39,'All Stock'!N$40,FALSE),"")</f>
        <v>0.65</v>
      </c>
      <c r="Q86" s="496">
        <f>IFERROR(VLOOKUP($A86,'All Stock'!$C$31:$AN$39,'All Stock'!O$40,FALSE),"")</f>
        <v>0.65</v>
      </c>
      <c r="R86" s="496">
        <f>IFERROR(VLOOKUP($A86,'All Stock'!$C$31:$AN$39,'All Stock'!P$40,FALSE),"")</f>
        <v>0.6</v>
      </c>
      <c r="S86" s="496">
        <f>IFERROR(VLOOKUP($A86,'All Stock'!$C$31:$AN$39,'All Stock'!Q$40,FALSE),"")</f>
        <v>0.65</v>
      </c>
      <c r="T86" s="496">
        <f>IFERROR(VLOOKUP($A86,'All Stock'!$C$31:$AN$39,'All Stock'!R$40,FALSE),"")</f>
        <v>0.6</v>
      </c>
      <c r="U86" s="496">
        <f>IFERROR(VLOOKUP($A86,'All Stock'!$C$31:$AN$39,'All Stock'!S$40,FALSE),"")</f>
        <v>0.65</v>
      </c>
      <c r="V86" s="496">
        <f>IFERROR(VLOOKUP($A86,'All Stock'!$C$31:$AN$39,'All Stock'!T$40,FALSE),"")</f>
        <v>0.65</v>
      </c>
      <c r="W86" s="496">
        <f>IFERROR(VLOOKUP($A86,'All Stock'!$C$31:$AN$39,'All Stock'!U$40,FALSE),"")</f>
        <v>0.65</v>
      </c>
      <c r="X86" s="496">
        <f>IFERROR(VLOOKUP($A86,'All Stock'!$C$31:$AN$39,'All Stock'!V$40,FALSE),"")</f>
        <v>0.6</v>
      </c>
      <c r="Y86" s="496">
        <f>IFERROR(VLOOKUP($A86,'All Stock'!$C$31:$AN$39,'All Stock'!W$40,FALSE),"")</f>
        <v>0.65</v>
      </c>
      <c r="Z86" s="496">
        <f>IFERROR(VLOOKUP($A86,'All Stock'!$C$31:$AN$39,'All Stock'!X$40,FALSE),"")</f>
        <v>0.6</v>
      </c>
      <c r="AA86" s="496">
        <f>IFERROR(VLOOKUP($A86,'All Stock'!$C$31:$AN$39,'All Stock'!Y$40,FALSE),"")</f>
        <v>0.6</v>
      </c>
      <c r="AB86" s="496">
        <f>IFERROR(VLOOKUP($A86,'All Stock'!$C$31:$AN$39,'All Stock'!Z$40,FALSE),"")</f>
        <v>0.65</v>
      </c>
      <c r="AC86" s="496">
        <f>IFERROR(VLOOKUP($A86,'All Stock'!$C$31:$AN$39,'All Stock'!AA$40,FALSE),"")</f>
        <v>0.65</v>
      </c>
      <c r="AD86" s="496">
        <f>IFERROR(VLOOKUP($A86,'All Stock'!$C$31:$AN$39,'All Stock'!AB$40,FALSE),"")</f>
        <v>0.6</v>
      </c>
      <c r="AE86" s="496">
        <f>IFERROR(VLOOKUP($A86,'All Stock'!$C$31:$AN$39,'All Stock'!AC$40,FALSE),"")</f>
        <v>0.6</v>
      </c>
      <c r="AF86" s="496">
        <f>IFERROR(VLOOKUP($A86,'All Stock'!$C$31:$AN$39,'All Stock'!AD$40,FALSE),"")</f>
        <v>0.6</v>
      </c>
      <c r="AG86" s="496">
        <f>IFERROR(VLOOKUP($A86,'All Stock'!$C$31:$AN$39,'All Stock'!AE$40,FALSE),"")</f>
        <v>0.65</v>
      </c>
      <c r="AH86" s="496">
        <f>IFERROR(VLOOKUP($A86,'All Stock'!$C$31:$AN$39,'All Stock'!AF$40,FALSE),"")</f>
        <v>0.65</v>
      </c>
      <c r="AI86" s="496">
        <f>IFERROR(VLOOKUP($A86,'All Stock'!$C$31:$AN$39,'All Stock'!AG$40,FALSE),"")</f>
        <v>0.6</v>
      </c>
      <c r="AJ86" s="496">
        <f>IFERROR(VLOOKUP($A86,'All Stock'!$C$31:$AN$39,'All Stock'!AH$40,FALSE),"")</f>
        <v>0.65</v>
      </c>
      <c r="AK86" s="496">
        <f>IFERROR(VLOOKUP($A86,'All Stock'!$C$31:$AN$39,'All Stock'!AI$40,FALSE),"")</f>
        <v>0.6</v>
      </c>
      <c r="AL86" s="496">
        <f>IFERROR(VLOOKUP($A86,'All Stock'!$C$31:$AN$39,'All Stock'!AJ$40,FALSE),"")</f>
        <v>0.6</v>
      </c>
      <c r="AM86" s="496">
        <f>IFERROR(VLOOKUP($A86,'All Stock'!$C$31:$AN$39,'All Stock'!AK$40,FALSE),"")</f>
        <v>0.6</v>
      </c>
      <c r="AN86" s="496">
        <f>IFERROR(VLOOKUP($A86,'All Stock'!$C$31:$AN$39,'All Stock'!AL$40,FALSE),"")</f>
        <v>0.6</v>
      </c>
      <c r="AO86" s="496">
        <f>IFERROR(VLOOKUP($A86,'All Stock'!$C$31:$AN$39,'All Stock'!AM$40,FALSE),"")</f>
        <v>0.6</v>
      </c>
      <c r="AP86" s="496">
        <f>IFERROR(VLOOKUP($A86,'All Stock'!$C$31:$AN$39,'All Stock'!AN$40,FALSE),"")</f>
        <v>0.6</v>
      </c>
      <c r="AX86" s="467"/>
      <c r="AY86" s="467"/>
      <c r="AZ86" s="467"/>
      <c r="BA86" s="467"/>
      <c r="BB86" s="467"/>
      <c r="BC86" s="467"/>
      <c r="BD86" s="467"/>
      <c r="BE86" s="467"/>
      <c r="BF86" s="467"/>
      <c r="BG86" s="467"/>
      <c r="BH86" s="467"/>
      <c r="BI86" s="467"/>
      <c r="BJ86" s="467"/>
      <c r="BK86" s="467"/>
      <c r="BL86" s="467"/>
      <c r="BM86" s="467"/>
      <c r="BN86" s="467"/>
      <c r="BO86" s="467"/>
      <c r="BP86" s="467"/>
      <c r="BQ86" s="467"/>
      <c r="BR86" s="467"/>
      <c r="BS86" s="467"/>
      <c r="BT86" s="467"/>
      <c r="BU86" s="467"/>
      <c r="BV86" s="467"/>
      <c r="BW86" s="467"/>
      <c r="BX86" s="467"/>
      <c r="BY86" s="467"/>
      <c r="BZ86" s="467"/>
      <c r="CA86" s="467"/>
      <c r="CB86" s="467"/>
      <c r="CC86" s="467"/>
      <c r="CD86" s="467"/>
      <c r="CE86" s="467"/>
      <c r="CF86" s="467"/>
      <c r="CG86" s="467"/>
      <c r="CH86" s="467"/>
    </row>
    <row r="87" spans="1:86">
      <c r="A87" t="str">
        <f t="shared" si="35"/>
        <v>LPG</v>
      </c>
      <c r="C87" t="str">
        <f t="shared" si="24"/>
        <v>R_ES-SH-SD_LPG</v>
      </c>
      <c r="E87" t="str">
        <f t="shared" si="25"/>
        <v>R_ES-SD-SpHeat</v>
      </c>
      <c r="F87" s="496">
        <f>F84</f>
        <v>0.8</v>
      </c>
      <c r="G87" s="496">
        <f t="shared" ref="G87:AP87" si="36">G84</f>
        <v>0.8</v>
      </c>
      <c r="H87" s="496">
        <f t="shared" si="36"/>
        <v>0.75</v>
      </c>
      <c r="I87" s="496">
        <f t="shared" si="36"/>
        <v>0.8</v>
      </c>
      <c r="J87" s="496">
        <f t="shared" si="36"/>
        <v>0.8</v>
      </c>
      <c r="K87" s="496">
        <f t="shared" si="36"/>
        <v>0.75</v>
      </c>
      <c r="L87" s="496">
        <f t="shared" si="36"/>
        <v>0.8</v>
      </c>
      <c r="M87" s="496">
        <f t="shared" si="36"/>
        <v>0.8</v>
      </c>
      <c r="N87" s="496">
        <f t="shared" si="36"/>
        <v>0.8</v>
      </c>
      <c r="O87" s="496">
        <f t="shared" si="36"/>
        <v>0.8</v>
      </c>
      <c r="P87" s="496">
        <f t="shared" si="36"/>
        <v>0.8</v>
      </c>
      <c r="Q87" s="496">
        <f t="shared" si="36"/>
        <v>0.8</v>
      </c>
      <c r="R87" s="496">
        <f t="shared" si="36"/>
        <v>0.75</v>
      </c>
      <c r="S87" s="496">
        <f t="shared" si="36"/>
        <v>0.8</v>
      </c>
      <c r="T87" s="496">
        <f t="shared" si="36"/>
        <v>0.75</v>
      </c>
      <c r="U87" s="496">
        <f t="shared" si="36"/>
        <v>0.8</v>
      </c>
      <c r="V87" s="496">
        <f t="shared" si="36"/>
        <v>0.8</v>
      </c>
      <c r="W87" s="496">
        <f t="shared" si="36"/>
        <v>0.8</v>
      </c>
      <c r="X87" s="496">
        <f t="shared" si="36"/>
        <v>0.75</v>
      </c>
      <c r="Y87" s="496">
        <f t="shared" si="36"/>
        <v>0.8</v>
      </c>
      <c r="Z87" s="496">
        <f t="shared" si="36"/>
        <v>0.75</v>
      </c>
      <c r="AA87" s="496">
        <f t="shared" si="36"/>
        <v>0.75</v>
      </c>
      <c r="AB87" s="496">
        <f t="shared" si="36"/>
        <v>0.8</v>
      </c>
      <c r="AC87" s="496">
        <f t="shared" si="36"/>
        <v>0.8</v>
      </c>
      <c r="AD87" s="496">
        <f t="shared" si="36"/>
        <v>0.75</v>
      </c>
      <c r="AE87" s="496">
        <f t="shared" si="36"/>
        <v>0.75</v>
      </c>
      <c r="AF87" s="496">
        <f t="shared" si="36"/>
        <v>0.75</v>
      </c>
      <c r="AG87" s="496">
        <f t="shared" si="36"/>
        <v>0.8</v>
      </c>
      <c r="AH87" s="496">
        <f t="shared" si="36"/>
        <v>0.8</v>
      </c>
      <c r="AI87" s="496">
        <f t="shared" si="36"/>
        <v>0.75</v>
      </c>
      <c r="AJ87" s="496">
        <f t="shared" si="36"/>
        <v>0.8</v>
      </c>
      <c r="AK87" s="496">
        <f t="shared" si="36"/>
        <v>0.75</v>
      </c>
      <c r="AL87" s="496">
        <f t="shared" si="36"/>
        <v>0.75</v>
      </c>
      <c r="AM87" s="496">
        <f t="shared" si="36"/>
        <v>0.75</v>
      </c>
      <c r="AN87" s="496">
        <f t="shared" si="36"/>
        <v>0.75</v>
      </c>
      <c r="AO87" s="496">
        <f t="shared" si="36"/>
        <v>0.75</v>
      </c>
      <c r="AP87" s="496">
        <f t="shared" si="36"/>
        <v>0.75</v>
      </c>
      <c r="AX87" s="467"/>
      <c r="AY87" s="467"/>
      <c r="AZ87" s="467"/>
      <c r="BA87" s="467"/>
      <c r="BB87" s="467"/>
      <c r="BC87" s="467"/>
      <c r="BD87" s="467"/>
      <c r="BE87" s="467"/>
      <c r="BF87" s="467"/>
      <c r="BG87" s="467"/>
      <c r="BH87" s="467"/>
      <c r="BI87" s="467"/>
      <c r="BJ87" s="467"/>
      <c r="BK87" s="467"/>
      <c r="BL87" s="467"/>
      <c r="BM87" s="467"/>
      <c r="BN87" s="467"/>
      <c r="BO87" s="467"/>
      <c r="BP87" s="467"/>
      <c r="BQ87" s="467"/>
      <c r="BR87" s="467"/>
      <c r="BS87" s="467"/>
      <c r="BT87" s="467"/>
      <c r="BU87" s="467"/>
      <c r="BV87" s="467"/>
      <c r="BW87" s="467"/>
      <c r="BX87" s="467"/>
      <c r="BY87" s="467"/>
      <c r="BZ87" s="467"/>
      <c r="CA87" s="467"/>
      <c r="CB87" s="467"/>
      <c r="CC87" s="467"/>
      <c r="CD87" s="467"/>
      <c r="CE87" s="467"/>
      <c r="CF87" s="467"/>
      <c r="CG87" s="467"/>
      <c r="CH87" s="467"/>
    </row>
    <row r="88" spans="1:86">
      <c r="A88" t="str">
        <f t="shared" si="35"/>
        <v>Geothermal Energy</v>
      </c>
      <c r="C88" t="str">
        <f t="shared" si="24"/>
        <v>R_ES-SH-SD_GEO</v>
      </c>
      <c r="E88" t="str">
        <f t="shared" si="25"/>
        <v>R_ES-SD-SpHeat</v>
      </c>
      <c r="F88" s="496">
        <f>F83</f>
        <v>0.95</v>
      </c>
      <c r="G88" s="496">
        <f t="shared" ref="G88:AP88" si="37">G83</f>
        <v>0.95</v>
      </c>
      <c r="H88" s="496">
        <f t="shared" si="37"/>
        <v>0.85</v>
      </c>
      <c r="I88" s="496">
        <f t="shared" si="37"/>
        <v>0.95</v>
      </c>
      <c r="J88" s="496">
        <f t="shared" si="37"/>
        <v>0.85</v>
      </c>
      <c r="K88" s="496">
        <f t="shared" si="37"/>
        <v>0.85</v>
      </c>
      <c r="L88" s="496">
        <f t="shared" si="37"/>
        <v>0.95</v>
      </c>
      <c r="M88" s="496">
        <f t="shared" si="37"/>
        <v>0.95</v>
      </c>
      <c r="N88" s="496">
        <f t="shared" si="37"/>
        <v>0.85</v>
      </c>
      <c r="O88" s="496">
        <f t="shared" si="37"/>
        <v>0.95</v>
      </c>
      <c r="P88" s="496">
        <f t="shared" si="37"/>
        <v>0.95</v>
      </c>
      <c r="Q88" s="496">
        <f t="shared" si="37"/>
        <v>0.95</v>
      </c>
      <c r="R88" s="496">
        <f t="shared" si="37"/>
        <v>0.95</v>
      </c>
      <c r="S88" s="496">
        <f t="shared" si="37"/>
        <v>0.9</v>
      </c>
      <c r="T88" s="496">
        <f t="shared" si="37"/>
        <v>0.9</v>
      </c>
      <c r="U88" s="496">
        <f t="shared" si="37"/>
        <v>0.95</v>
      </c>
      <c r="V88" s="496">
        <f t="shared" si="37"/>
        <v>0.95</v>
      </c>
      <c r="W88" s="496">
        <f t="shared" si="37"/>
        <v>0.95</v>
      </c>
      <c r="X88" s="496">
        <f t="shared" si="37"/>
        <v>0.85</v>
      </c>
      <c r="Y88" s="496">
        <f t="shared" si="37"/>
        <v>0.95</v>
      </c>
      <c r="Z88" s="496">
        <f t="shared" si="37"/>
        <v>0.85</v>
      </c>
      <c r="AA88" s="496">
        <f t="shared" si="37"/>
        <v>0.85</v>
      </c>
      <c r="AB88" s="496">
        <f t="shared" si="37"/>
        <v>0.95</v>
      </c>
      <c r="AC88" s="496">
        <f t="shared" si="37"/>
        <v>0.95</v>
      </c>
      <c r="AD88" s="496">
        <f t="shared" si="37"/>
        <v>0.85</v>
      </c>
      <c r="AE88" s="496">
        <f t="shared" si="37"/>
        <v>0.9</v>
      </c>
      <c r="AF88" s="496">
        <f t="shared" si="37"/>
        <v>0.85</v>
      </c>
      <c r="AG88" s="496">
        <f t="shared" si="37"/>
        <v>0.95</v>
      </c>
      <c r="AH88" s="496">
        <f t="shared" si="37"/>
        <v>0.9</v>
      </c>
      <c r="AI88" s="496">
        <f t="shared" si="37"/>
        <v>0.85</v>
      </c>
      <c r="AJ88" s="496">
        <f t="shared" si="37"/>
        <v>0.95</v>
      </c>
      <c r="AK88" s="496">
        <f t="shared" si="37"/>
        <v>0.85</v>
      </c>
      <c r="AL88" s="496">
        <f t="shared" si="37"/>
        <v>0.85</v>
      </c>
      <c r="AM88" s="496">
        <f t="shared" si="37"/>
        <v>0.85</v>
      </c>
      <c r="AN88" s="496">
        <f t="shared" si="37"/>
        <v>0.85</v>
      </c>
      <c r="AO88" s="496">
        <f t="shared" si="37"/>
        <v>0.85</v>
      </c>
      <c r="AP88" s="496">
        <f t="shared" si="37"/>
        <v>0.85</v>
      </c>
      <c r="AX88" s="467"/>
      <c r="AY88" s="467"/>
      <c r="AZ88" s="467"/>
      <c r="BA88" s="467"/>
      <c r="BB88" s="467"/>
      <c r="BC88" s="467"/>
      <c r="BD88" s="467"/>
      <c r="BE88" s="467"/>
      <c r="BF88" s="467"/>
      <c r="BG88" s="467"/>
      <c r="BH88" s="467"/>
      <c r="BI88" s="467"/>
      <c r="BJ88" s="467"/>
      <c r="BK88" s="467"/>
      <c r="BL88" s="467"/>
      <c r="BM88" s="467"/>
      <c r="BN88" s="467"/>
      <c r="BO88" s="467"/>
      <c r="BP88" s="467"/>
      <c r="BQ88" s="467"/>
      <c r="BR88" s="467"/>
      <c r="BS88" s="467"/>
      <c r="BT88" s="467"/>
      <c r="BU88" s="467"/>
      <c r="BV88" s="467"/>
      <c r="BW88" s="467"/>
      <c r="BX88" s="467"/>
      <c r="BY88" s="467"/>
      <c r="BZ88" s="467"/>
      <c r="CA88" s="467"/>
      <c r="CB88" s="467"/>
      <c r="CC88" s="467"/>
      <c r="CD88" s="467"/>
      <c r="CE88" s="467"/>
      <c r="CF88" s="467"/>
      <c r="CG88" s="467"/>
      <c r="CH88" s="467"/>
    </row>
    <row r="91" spans="1:86">
      <c r="E91" s="533" t="s">
        <v>605</v>
      </c>
      <c r="AX91" s="542"/>
    </row>
    <row r="92" spans="1:86" ht="15" thickBot="1">
      <c r="C92" s="539" t="s">
        <v>545</v>
      </c>
      <c r="D92" s="539" t="s">
        <v>585</v>
      </c>
      <c r="E92" s="539" t="s">
        <v>552</v>
      </c>
      <c r="F92" s="540" t="s">
        <v>88</v>
      </c>
      <c r="G92" s="540" t="s">
        <v>89</v>
      </c>
      <c r="H92" s="540" t="s">
        <v>90</v>
      </c>
      <c r="I92" s="540" t="s">
        <v>91</v>
      </c>
      <c r="J92" s="540" t="s">
        <v>92</v>
      </c>
      <c r="K92" s="540" t="s">
        <v>93</v>
      </c>
      <c r="L92" s="540" t="s">
        <v>94</v>
      </c>
      <c r="M92" s="540" t="s">
        <v>95</v>
      </c>
      <c r="N92" s="540" t="s">
        <v>96</v>
      </c>
      <c r="O92" s="540" t="s">
        <v>97</v>
      </c>
      <c r="P92" s="540" t="s">
        <v>98</v>
      </c>
      <c r="Q92" s="540" t="s">
        <v>99</v>
      </c>
      <c r="R92" s="540" t="s">
        <v>205</v>
      </c>
      <c r="S92" s="540" t="s">
        <v>118</v>
      </c>
      <c r="T92" s="540" t="s">
        <v>100</v>
      </c>
      <c r="U92" s="540" t="s">
        <v>101</v>
      </c>
      <c r="V92" s="540" t="s">
        <v>102</v>
      </c>
      <c r="W92" s="540" t="s">
        <v>103</v>
      </c>
      <c r="X92" s="540" t="s">
        <v>104</v>
      </c>
      <c r="Y92" s="540" t="s">
        <v>105</v>
      </c>
      <c r="Z92" s="540" t="s">
        <v>106</v>
      </c>
      <c r="AA92" s="540" t="s">
        <v>107</v>
      </c>
      <c r="AB92" s="540" t="s">
        <v>108</v>
      </c>
      <c r="AC92" s="540" t="s">
        <v>109</v>
      </c>
      <c r="AD92" s="540" t="s">
        <v>110</v>
      </c>
      <c r="AE92" s="540" t="s">
        <v>111</v>
      </c>
      <c r="AF92" s="540" t="s">
        <v>112</v>
      </c>
      <c r="AG92" s="540" t="s">
        <v>113</v>
      </c>
      <c r="AH92" s="540" t="s">
        <v>114</v>
      </c>
      <c r="AI92" s="540" t="s">
        <v>115</v>
      </c>
      <c r="AJ92" s="540" t="s">
        <v>52</v>
      </c>
      <c r="AK92" s="540" t="s">
        <v>116</v>
      </c>
      <c r="AL92" s="540" t="s">
        <v>117</v>
      </c>
      <c r="AM92" s="540" t="s">
        <v>119</v>
      </c>
      <c r="AN92" s="540" t="s">
        <v>120</v>
      </c>
      <c r="AO92" s="540" t="s">
        <v>121</v>
      </c>
      <c r="AP92" s="540" t="s">
        <v>122</v>
      </c>
      <c r="AX92" s="509"/>
      <c r="AY92" s="509"/>
      <c r="AZ92" s="509"/>
      <c r="BA92" s="509"/>
      <c r="BB92" s="509"/>
      <c r="BC92" s="509"/>
      <c r="BD92" s="509"/>
      <c r="BE92" s="509"/>
      <c r="BF92" s="509"/>
      <c r="BG92" s="509"/>
      <c r="BH92" s="509"/>
      <c r="BI92" s="509"/>
      <c r="BJ92" s="509"/>
      <c r="BK92" s="509"/>
      <c r="BL92" s="509"/>
      <c r="BM92" s="509"/>
      <c r="BN92" s="509"/>
      <c r="BO92" s="509"/>
      <c r="BP92" s="509"/>
      <c r="BQ92" s="509"/>
      <c r="BR92" s="509"/>
      <c r="BS92" s="509"/>
      <c r="BT92" s="509"/>
      <c r="BU92" s="509"/>
      <c r="BV92" s="509"/>
      <c r="BW92" s="509"/>
      <c r="BX92" s="509"/>
      <c r="BY92" s="509"/>
      <c r="BZ92" s="509"/>
      <c r="CA92" s="509"/>
      <c r="CB92" s="509"/>
      <c r="CC92" s="509"/>
      <c r="CD92" s="509"/>
      <c r="CE92" s="509"/>
      <c r="CF92" s="509"/>
      <c r="CG92" s="509"/>
      <c r="CH92" s="509"/>
    </row>
    <row r="93" spans="1:86">
      <c r="A93" t="str">
        <f>A49</f>
        <v>Electricity</v>
      </c>
      <c r="C93" t="str">
        <f>C49</f>
        <v>R_ES-SH-FL_ELC-R</v>
      </c>
      <c r="E93" t="str">
        <f>E49</f>
        <v>R_ES-FL-SpHeat</v>
      </c>
      <c r="F93" s="787">
        <f>IFERROR(IF(VLOOKUP($A93,'All Stock'!$C$41:$AN$46,'All Stock'!D$40,FALSE)=0,"",VLOOKUP($A93,'All Stock'!$C$41:$AN$46,'All Stock'!D$40,FALSE)),"")</f>
        <v>0.81928900763721191</v>
      </c>
      <c r="G93" s="787">
        <f>IFERROR(IF(VLOOKUP($A93,'All Stock'!$C$41:$AN$46,'All Stock'!E$40,FALSE)=0,"",VLOOKUP($A93,'All Stock'!$C$41:$AN$46,'All Stock'!E$40,FALSE)),"")</f>
        <v>0.79900299844352862</v>
      </c>
      <c r="H93" s="787">
        <f>IFERROR(IF(VLOOKUP($A93,'All Stock'!$C$41:$AN$46,'All Stock'!F$40,FALSE)=0,"",VLOOKUP($A93,'All Stock'!$C$41:$AN$46,'All Stock'!F$40,FALSE)),"")</f>
        <v>0.73408809575765033</v>
      </c>
      <c r="I93" s="787">
        <f>IFERROR(IF(VLOOKUP($A93,'All Stock'!$C$41:$AN$46,'All Stock'!G$40,FALSE)=0,"",VLOOKUP($A93,'All Stock'!$C$41:$AN$46,'All Stock'!G$40,FALSE)),"")</f>
        <v>0.86347572459868804</v>
      </c>
      <c r="J93" s="787">
        <f>IFERROR(IF(VLOOKUP($A93,'All Stock'!$C$41:$AN$46,'All Stock'!H$40,FALSE)=0,"",VLOOKUP($A93,'All Stock'!$C$41:$AN$46,'All Stock'!H$40,FALSE)),"")</f>
        <v>0.70618228689710782</v>
      </c>
      <c r="K93" s="787">
        <f>IFERROR(IF(VLOOKUP($A93,'All Stock'!$C$41:$AN$46,'All Stock'!I$40,FALSE)=0,"",VLOOKUP($A93,'All Stock'!$C$41:$AN$46,'All Stock'!I$40,FALSE)),"")</f>
        <v>0.70582025115896152</v>
      </c>
      <c r="L93" s="787">
        <f>IFERROR(IF(VLOOKUP($A93,'All Stock'!$C$41:$AN$46,'All Stock'!J$40,FALSE)=0,"",VLOOKUP($A93,'All Stock'!$C$41:$AN$46,'All Stock'!J$40,FALSE)),"")</f>
        <v>0.86347572459868804</v>
      </c>
      <c r="M93" s="787">
        <f>IFERROR(IF(VLOOKUP($A93,'All Stock'!$C$41:$AN$46,'All Stock'!K$40,FALSE)=0,"",VLOOKUP($A93,'All Stock'!$C$41:$AN$46,'All Stock'!K$40,FALSE)),"")</f>
        <v>0.8001874970363646</v>
      </c>
      <c r="N93" s="787">
        <f>IFERROR(IF(VLOOKUP($A93,'All Stock'!$C$41:$AN$46,'All Stock'!L$40,FALSE)=0,"",VLOOKUP($A93,'All Stock'!$C$41:$AN$46,'All Stock'!L$40,FALSE)),"")</f>
        <v>0.75698599171100345</v>
      </c>
      <c r="O93" s="787">
        <f>IFERROR(IF(VLOOKUP($A93,'All Stock'!$C$41:$AN$46,'All Stock'!M$40,FALSE)=0,"",VLOOKUP($A93,'All Stock'!$C$41:$AN$46,'All Stock'!M$40,FALSE)),"")</f>
        <v>0.71635950787853064</v>
      </c>
      <c r="P93" s="787">
        <f>IFERROR(IF(VLOOKUP($A93,'All Stock'!$C$41:$AN$46,'All Stock'!N$40,FALSE)=0,"",VLOOKUP($A93,'All Stock'!$C$41:$AN$46,'All Stock'!N$40,FALSE)),"")</f>
        <v>0.81733074000663342</v>
      </c>
      <c r="Q93" s="787">
        <f>IFERROR(IF(VLOOKUP($A93,'All Stock'!$C$41:$AN$46,'All Stock'!O$40,FALSE)=0,"",VLOOKUP($A93,'All Stock'!$C$41:$AN$46,'All Stock'!O$40,FALSE)),"")</f>
        <v>0.81671823576041058</v>
      </c>
      <c r="R93" s="787">
        <f>IFERROR(IF(VLOOKUP($A93,'All Stock'!$C$41:$AN$46,'All Stock'!P$40,FALSE)=0,"",VLOOKUP($A93,'All Stock'!$C$41:$AN$46,'All Stock'!P$40,FALSE)),"")</f>
        <v>0.72282882147300664</v>
      </c>
      <c r="S93" s="787">
        <f>IFERROR(IF(VLOOKUP($A93,'All Stock'!$C$41:$AN$46,'All Stock'!Q$40,FALSE)=0,"",VLOOKUP($A93,'All Stock'!$C$41:$AN$46,'All Stock'!Q$40,FALSE)),"")</f>
        <v>0.71202455229284123</v>
      </c>
      <c r="T93" s="787">
        <f>IFERROR(IF(VLOOKUP($A93,'All Stock'!$C$41:$AN$46,'All Stock'!R$40,FALSE)=0,"",VLOOKUP($A93,'All Stock'!$C$41:$AN$46,'All Stock'!R$40,FALSE)),"")</f>
        <v>0.72917682462626643</v>
      </c>
      <c r="U93" s="787">
        <f>IFERROR(IF(VLOOKUP($A93,'All Stock'!$C$41:$AN$46,'All Stock'!S$40,FALSE)=0,"",VLOOKUP($A93,'All Stock'!$C$41:$AN$46,'All Stock'!S$40,FALSE)),"")</f>
        <v>0.75951434494584302</v>
      </c>
      <c r="V93" s="787">
        <f>IFERROR(IF(VLOOKUP($A93,'All Stock'!$C$41:$AN$46,'All Stock'!T$40,FALSE)=0,"",VLOOKUP($A93,'All Stock'!$C$41:$AN$46,'All Stock'!T$40,FALSE)),"")</f>
        <v>0.8001874970363646</v>
      </c>
      <c r="W93" s="787">
        <f>IFERROR(IF(VLOOKUP($A93,'All Stock'!$C$41:$AN$46,'All Stock'!U$40,FALSE)=0,"",VLOOKUP($A93,'All Stock'!$C$41:$AN$46,'All Stock'!U$40,FALSE)),"")</f>
        <v>0.76164435507238615</v>
      </c>
      <c r="X93" s="787">
        <f>IFERROR(IF(VLOOKUP($A93,'All Stock'!$C$41:$AN$46,'All Stock'!V$40,FALSE)=0,"",VLOOKUP($A93,'All Stock'!$C$41:$AN$46,'All Stock'!V$40,FALSE)),"")</f>
        <v>0.72542657031811564</v>
      </c>
      <c r="Y93" s="787">
        <f>IFERROR(IF(VLOOKUP($A93,'All Stock'!$C$41:$AN$46,'All Stock'!W$40,FALSE)=0,"",VLOOKUP($A93,'All Stock'!$C$41:$AN$46,'All Stock'!W$40,FALSE)),"")</f>
        <v>0.78087502002196951</v>
      </c>
      <c r="Z93" s="787">
        <f>IFERROR(IF(VLOOKUP($A93,'All Stock'!$C$41:$AN$46,'All Stock'!X$40,FALSE)=0,"",VLOOKUP($A93,'All Stock'!$C$41:$AN$46,'All Stock'!X$40,FALSE)),"")</f>
        <v>0.75951269724745896</v>
      </c>
      <c r="AA93" s="787">
        <f>IFERROR(IF(VLOOKUP($A93,'All Stock'!$C$41:$AN$46,'All Stock'!Y$40,FALSE)=0,"",VLOOKUP($A93,'All Stock'!$C$41:$AN$46,'All Stock'!Y$40,FALSE)),"")</f>
        <v>0.67551175099960736</v>
      </c>
      <c r="AB93" s="787">
        <f>IFERROR(IF(VLOOKUP($A93,'All Stock'!$C$41:$AN$46,'All Stock'!Z$40,FALSE)=0,"",VLOOKUP($A93,'All Stock'!$C$41:$AN$46,'All Stock'!Z$40,FALSE)),"")</f>
        <v>0.82446857044229116</v>
      </c>
      <c r="AC93" s="787">
        <f>IFERROR(IF(VLOOKUP($A93,'All Stock'!$C$41:$AN$46,'All Stock'!AA$40,FALSE)=0,"",VLOOKUP($A93,'All Stock'!$C$41:$AN$46,'All Stock'!AA$40,FALSE)),"")</f>
        <v>0.8001874970363646</v>
      </c>
      <c r="AD93" s="787">
        <f>IFERROR(IF(VLOOKUP($A93,'All Stock'!$C$41:$AN$46,'All Stock'!AB$40,FALSE)=0,"",VLOOKUP($A93,'All Stock'!$C$41:$AN$46,'All Stock'!AB$40,FALSE)),"")</f>
        <v>0.77572558406601155</v>
      </c>
      <c r="AE93" s="787">
        <f>IFERROR(IF(VLOOKUP($A93,'All Stock'!$C$41:$AN$46,'All Stock'!AC$40,FALSE)=0,"",VLOOKUP($A93,'All Stock'!$C$41:$AN$46,'All Stock'!AC$40,FALSE)),"")</f>
        <v>0.74814388647734709</v>
      </c>
      <c r="AF93" s="787">
        <f>IFERROR(IF(VLOOKUP($A93,'All Stock'!$C$41:$AN$46,'All Stock'!AD$40,FALSE)=0,"",VLOOKUP($A93,'All Stock'!$C$41:$AN$46,'All Stock'!AD$40,FALSE)),"")</f>
        <v>0.72440504092705404</v>
      </c>
      <c r="AG93" s="787">
        <f>IFERROR(IF(VLOOKUP($A93,'All Stock'!$C$41:$AN$46,'All Stock'!AE$40,FALSE)=0,"",VLOOKUP($A93,'All Stock'!$C$41:$AN$46,'All Stock'!AE$40,FALSE)),"")</f>
        <v>0.72971725971827717</v>
      </c>
      <c r="AH93" s="787">
        <f>IFERROR(IF(VLOOKUP($A93,'All Stock'!$C$41:$AN$46,'All Stock'!AF$40,FALSE)=0,"",VLOOKUP($A93,'All Stock'!$C$41:$AN$46,'All Stock'!AF$40,FALSE)),"")</f>
        <v>0.77385528191999364</v>
      </c>
      <c r="AI93" s="787">
        <f>IFERROR(IF(VLOOKUP($A93,'All Stock'!$C$41:$AN$46,'All Stock'!AG$40,FALSE)=0,"",VLOOKUP($A93,'All Stock'!$C$41:$AN$46,'All Stock'!AG$40,FALSE)),"")</f>
        <v>0.68382178584202868</v>
      </c>
      <c r="AJ93" s="787">
        <f>IFERROR(IF(VLOOKUP($A93,'All Stock'!$C$41:$AN$46,'All Stock'!AH$40,FALSE)=0,"",VLOOKUP($A93,'All Stock'!$C$41:$AN$46,'All Stock'!AH$40,FALSE)),"")</f>
        <v>0.77247864056518112</v>
      </c>
      <c r="AK93" s="787">
        <f>IFERROR(IF(VLOOKUP($A93,'All Stock'!$C$41:$AN$46,'All Stock'!AI$40,FALSE)=0,"",VLOOKUP($A93,'All Stock'!$C$41:$AN$46,'All Stock'!AI$40,FALSE)),"")</f>
        <v>0.72282882147300664</v>
      </c>
      <c r="AL93" s="787">
        <f>IFERROR(IF(VLOOKUP($A93,'All Stock'!$C$41:$AN$46,'All Stock'!AJ$40,FALSE)=0,"",VLOOKUP($A93,'All Stock'!$C$41:$AN$46,'All Stock'!AJ$40,FALSE)),"")</f>
        <v>0.71202455229284123</v>
      </c>
      <c r="AM93" s="787">
        <f>IFERROR(IF(VLOOKUP($A93,'All Stock'!$C$41:$AN$46,'All Stock'!AK$40,FALSE)=0,"",VLOOKUP($A93,'All Stock'!$C$41:$AN$46,'All Stock'!AK$40,FALSE)),"")</f>
        <v>0.71202455229284123</v>
      </c>
      <c r="AN93" s="787">
        <f>IFERROR(IF(VLOOKUP($A93,'All Stock'!$C$41:$AN$46,'All Stock'!AL$40,FALSE)=0,"",VLOOKUP($A93,'All Stock'!$C$41:$AN$46,'All Stock'!AL$40,FALSE)),"")</f>
        <v>0.72282882147300664</v>
      </c>
      <c r="AO93" s="787">
        <f>IFERROR(IF(VLOOKUP($A93,'All Stock'!$C$41:$AN$46,'All Stock'!AM$40,FALSE)=0,"",VLOOKUP($A93,'All Stock'!$C$41:$AN$46,'All Stock'!AM$40,FALSE)),"")</f>
        <v>0.71202455229284123</v>
      </c>
      <c r="AP93" s="787">
        <f>IFERROR(IF(VLOOKUP($A93,'All Stock'!$C$41:$AN$46,'All Stock'!AN$40,FALSE)=0,"",VLOOKUP($A93,'All Stock'!$C$41:$AN$46,'All Stock'!AN$40,FALSE)),"")</f>
        <v>0.71202455229284123</v>
      </c>
      <c r="AX93" s="496"/>
      <c r="AY93" s="496"/>
      <c r="AZ93" s="496"/>
      <c r="BA93" s="496"/>
      <c r="BB93" s="496"/>
      <c r="BC93" s="496"/>
      <c r="BD93" s="496"/>
      <c r="BE93" s="496"/>
      <c r="BF93" s="496"/>
      <c r="BG93" s="496"/>
      <c r="BH93" s="496"/>
      <c r="BI93" s="496"/>
      <c r="BJ93" s="496"/>
      <c r="BK93" s="496"/>
      <c r="BL93" s="496"/>
      <c r="BM93" s="496"/>
      <c r="BN93" s="496"/>
      <c r="BO93" s="496"/>
      <c r="BP93" s="496"/>
      <c r="BQ93" s="496"/>
      <c r="BR93" s="496"/>
      <c r="BS93" s="496"/>
      <c r="BT93" s="496"/>
      <c r="BU93" s="496"/>
      <c r="BV93" s="496"/>
      <c r="BW93" s="496"/>
      <c r="BX93" s="496"/>
      <c r="BY93" s="496"/>
      <c r="BZ93" s="496"/>
      <c r="CA93" s="496"/>
      <c r="CB93" s="496"/>
      <c r="CC93" s="496"/>
      <c r="CD93" s="496"/>
      <c r="CE93" s="496"/>
      <c r="CF93" s="496"/>
      <c r="CG93" s="496"/>
      <c r="CH93" s="496"/>
    </row>
    <row r="94" spans="1:86">
      <c r="A94" s="819" t="s">
        <v>937</v>
      </c>
      <c r="C94" t="str">
        <f>C50</f>
        <v>R_ES-SH-FL_ELC-HPA</v>
      </c>
      <c r="E94" t="str">
        <f>E50</f>
        <v>R_ES-FL-SpHeat</v>
      </c>
      <c r="F94" s="787">
        <f t="shared" ref="F94:AP94" si="38">F93</f>
        <v>0.81928900763721191</v>
      </c>
      <c r="G94" s="787">
        <f t="shared" ref="G94" si="39">G93</f>
        <v>0.79900299844352862</v>
      </c>
      <c r="H94" s="787">
        <f t="shared" si="38"/>
        <v>0.73408809575765033</v>
      </c>
      <c r="I94" s="787">
        <f t="shared" si="38"/>
        <v>0.86347572459868804</v>
      </c>
      <c r="J94" s="787">
        <f t="shared" si="38"/>
        <v>0.70618228689710782</v>
      </c>
      <c r="K94" s="787">
        <f t="shared" si="38"/>
        <v>0.70582025115896152</v>
      </c>
      <c r="L94" s="787">
        <f t="shared" si="38"/>
        <v>0.86347572459868804</v>
      </c>
      <c r="M94" s="787">
        <f t="shared" si="38"/>
        <v>0.8001874970363646</v>
      </c>
      <c r="N94" s="787">
        <f t="shared" si="38"/>
        <v>0.75698599171100345</v>
      </c>
      <c r="O94" s="787">
        <f t="shared" si="38"/>
        <v>0.71635950787853064</v>
      </c>
      <c r="P94" s="787">
        <f t="shared" si="38"/>
        <v>0.81733074000663342</v>
      </c>
      <c r="Q94" s="787">
        <f t="shared" si="38"/>
        <v>0.81671823576041058</v>
      </c>
      <c r="R94" s="787">
        <f t="shared" si="38"/>
        <v>0.72282882147300664</v>
      </c>
      <c r="S94" s="787">
        <f t="shared" si="38"/>
        <v>0.71202455229284123</v>
      </c>
      <c r="T94" s="787">
        <f t="shared" si="38"/>
        <v>0.72917682462626643</v>
      </c>
      <c r="U94" s="787">
        <f t="shared" si="38"/>
        <v>0.75951434494584302</v>
      </c>
      <c r="V94" s="787">
        <f t="shared" si="38"/>
        <v>0.8001874970363646</v>
      </c>
      <c r="W94" s="787">
        <f t="shared" si="38"/>
        <v>0.76164435507238615</v>
      </c>
      <c r="X94" s="787">
        <f t="shared" si="38"/>
        <v>0.72542657031811564</v>
      </c>
      <c r="Y94" s="787">
        <f t="shared" si="38"/>
        <v>0.78087502002196951</v>
      </c>
      <c r="Z94" s="787">
        <f t="shared" si="38"/>
        <v>0.75951269724745896</v>
      </c>
      <c r="AA94" s="787">
        <f t="shared" si="38"/>
        <v>0.67551175099960736</v>
      </c>
      <c r="AB94" s="787">
        <f t="shared" si="38"/>
        <v>0.82446857044229116</v>
      </c>
      <c r="AC94" s="787">
        <f t="shared" si="38"/>
        <v>0.8001874970363646</v>
      </c>
      <c r="AD94" s="787">
        <f t="shared" si="38"/>
        <v>0.77572558406601155</v>
      </c>
      <c r="AE94" s="787">
        <f t="shared" si="38"/>
        <v>0.74814388647734709</v>
      </c>
      <c r="AF94" s="787">
        <f t="shared" si="38"/>
        <v>0.72440504092705404</v>
      </c>
      <c r="AG94" s="787">
        <f t="shared" si="38"/>
        <v>0.72971725971827717</v>
      </c>
      <c r="AH94" s="787">
        <f t="shared" si="38"/>
        <v>0.77385528191999364</v>
      </c>
      <c r="AI94" s="787">
        <f t="shared" si="38"/>
        <v>0.68382178584202868</v>
      </c>
      <c r="AJ94" s="787">
        <f t="shared" si="38"/>
        <v>0.77247864056518112</v>
      </c>
      <c r="AK94" s="787">
        <f t="shared" si="38"/>
        <v>0.72282882147300664</v>
      </c>
      <c r="AL94" s="787">
        <f t="shared" si="38"/>
        <v>0.71202455229284123</v>
      </c>
      <c r="AM94" s="787">
        <f t="shared" si="38"/>
        <v>0.71202455229284123</v>
      </c>
      <c r="AN94" s="787">
        <f t="shared" si="38"/>
        <v>0.72282882147300664</v>
      </c>
      <c r="AO94" s="787">
        <f t="shared" si="38"/>
        <v>0.71202455229284123</v>
      </c>
      <c r="AP94" s="787">
        <f t="shared" si="38"/>
        <v>0.71202455229284123</v>
      </c>
      <c r="AX94" s="496"/>
      <c r="AY94" s="496"/>
      <c r="AZ94" s="496"/>
      <c r="BA94" s="496"/>
      <c r="BB94" s="496"/>
      <c r="BC94" s="496"/>
      <c r="BD94" s="496"/>
      <c r="BE94" s="496"/>
      <c r="BF94" s="496"/>
      <c r="BG94" s="496"/>
      <c r="BH94" s="496"/>
      <c r="BI94" s="496"/>
      <c r="BJ94" s="496"/>
      <c r="BK94" s="496"/>
      <c r="BL94" s="496"/>
      <c r="BM94" s="496"/>
      <c r="BN94" s="496"/>
      <c r="BO94" s="496"/>
      <c r="BP94" s="496"/>
      <c r="BQ94" s="496"/>
      <c r="BR94" s="496"/>
      <c r="BS94" s="496"/>
      <c r="BT94" s="496"/>
      <c r="BU94" s="496"/>
      <c r="BV94" s="496"/>
      <c r="BW94" s="496"/>
      <c r="BX94" s="496"/>
      <c r="BY94" s="496"/>
      <c r="BZ94" s="496"/>
      <c r="CA94" s="496"/>
      <c r="CB94" s="496"/>
      <c r="CC94" s="496"/>
      <c r="CD94" s="496"/>
      <c r="CE94" s="496"/>
      <c r="CF94" s="496"/>
      <c r="CG94" s="496"/>
      <c r="CH94" s="496"/>
    </row>
    <row r="95" spans="1:86">
      <c r="A95" s="819" t="s">
        <v>938</v>
      </c>
      <c r="C95" t="str">
        <f>C51</f>
        <v>R_ES-SH-FL_ELC-HPG</v>
      </c>
      <c r="E95" t="str">
        <f>E51</f>
        <v>R_ES-FL-SpHeat</v>
      </c>
      <c r="F95" s="787">
        <f t="shared" ref="F95:AP95" si="40">F93</f>
        <v>0.81928900763721191</v>
      </c>
      <c r="G95" s="787">
        <f t="shared" ref="G95" si="41">G93</f>
        <v>0.79900299844352862</v>
      </c>
      <c r="H95" s="787">
        <f t="shared" si="40"/>
        <v>0.73408809575765033</v>
      </c>
      <c r="I95" s="787">
        <f t="shared" si="40"/>
        <v>0.86347572459868804</v>
      </c>
      <c r="J95" s="787">
        <f t="shared" si="40"/>
        <v>0.70618228689710782</v>
      </c>
      <c r="K95" s="787">
        <f t="shared" si="40"/>
        <v>0.70582025115896152</v>
      </c>
      <c r="L95" s="787">
        <f t="shared" si="40"/>
        <v>0.86347572459868804</v>
      </c>
      <c r="M95" s="787">
        <f t="shared" si="40"/>
        <v>0.8001874970363646</v>
      </c>
      <c r="N95" s="787">
        <f t="shared" si="40"/>
        <v>0.75698599171100345</v>
      </c>
      <c r="O95" s="787">
        <f t="shared" si="40"/>
        <v>0.71635950787853064</v>
      </c>
      <c r="P95" s="787">
        <f t="shared" si="40"/>
        <v>0.81733074000663342</v>
      </c>
      <c r="Q95" s="787">
        <f t="shared" si="40"/>
        <v>0.81671823576041058</v>
      </c>
      <c r="R95" s="787">
        <f t="shared" si="40"/>
        <v>0.72282882147300664</v>
      </c>
      <c r="S95" s="787">
        <f t="shared" si="40"/>
        <v>0.71202455229284123</v>
      </c>
      <c r="T95" s="787">
        <f t="shared" si="40"/>
        <v>0.72917682462626643</v>
      </c>
      <c r="U95" s="787">
        <f t="shared" si="40"/>
        <v>0.75951434494584302</v>
      </c>
      <c r="V95" s="787">
        <f t="shared" si="40"/>
        <v>0.8001874970363646</v>
      </c>
      <c r="W95" s="787">
        <f t="shared" si="40"/>
        <v>0.76164435507238615</v>
      </c>
      <c r="X95" s="787">
        <f t="shared" si="40"/>
        <v>0.72542657031811564</v>
      </c>
      <c r="Y95" s="787">
        <f t="shared" si="40"/>
        <v>0.78087502002196951</v>
      </c>
      <c r="Z95" s="787">
        <f t="shared" si="40"/>
        <v>0.75951269724745896</v>
      </c>
      <c r="AA95" s="787">
        <f t="shared" si="40"/>
        <v>0.67551175099960736</v>
      </c>
      <c r="AB95" s="787">
        <f t="shared" si="40"/>
        <v>0.82446857044229116</v>
      </c>
      <c r="AC95" s="787">
        <f t="shared" si="40"/>
        <v>0.8001874970363646</v>
      </c>
      <c r="AD95" s="787">
        <f t="shared" si="40"/>
        <v>0.77572558406601155</v>
      </c>
      <c r="AE95" s="787">
        <f t="shared" si="40"/>
        <v>0.74814388647734709</v>
      </c>
      <c r="AF95" s="787">
        <f t="shared" si="40"/>
        <v>0.72440504092705404</v>
      </c>
      <c r="AG95" s="787">
        <f t="shared" si="40"/>
        <v>0.72971725971827717</v>
      </c>
      <c r="AH95" s="787">
        <f t="shared" si="40"/>
        <v>0.77385528191999364</v>
      </c>
      <c r="AI95" s="787">
        <f t="shared" si="40"/>
        <v>0.68382178584202868</v>
      </c>
      <c r="AJ95" s="787">
        <f t="shared" si="40"/>
        <v>0.77247864056518112</v>
      </c>
      <c r="AK95" s="787">
        <f t="shared" si="40"/>
        <v>0.72282882147300664</v>
      </c>
      <c r="AL95" s="787">
        <f t="shared" si="40"/>
        <v>0.71202455229284123</v>
      </c>
      <c r="AM95" s="787">
        <f t="shared" si="40"/>
        <v>0.71202455229284123</v>
      </c>
      <c r="AN95" s="787">
        <f t="shared" si="40"/>
        <v>0.72282882147300664</v>
      </c>
      <c r="AO95" s="787">
        <f t="shared" si="40"/>
        <v>0.71202455229284123</v>
      </c>
      <c r="AP95" s="787">
        <f t="shared" si="40"/>
        <v>0.71202455229284123</v>
      </c>
      <c r="AX95" s="496"/>
      <c r="AY95" s="496"/>
      <c r="AZ95" s="496"/>
      <c r="BA95" s="496"/>
      <c r="BB95" s="496"/>
      <c r="BC95" s="496"/>
      <c r="BD95" s="496"/>
      <c r="BE95" s="496"/>
      <c r="BF95" s="496"/>
      <c r="BG95" s="496"/>
      <c r="BH95" s="496"/>
      <c r="BI95" s="496"/>
      <c r="BJ95" s="496"/>
      <c r="BK95" s="496"/>
      <c r="BL95" s="496"/>
      <c r="BM95" s="496"/>
      <c r="BN95" s="496"/>
      <c r="BO95" s="496"/>
      <c r="BP95" s="496"/>
      <c r="BQ95" s="496"/>
      <c r="BR95" s="496"/>
      <c r="BS95" s="496"/>
      <c r="BT95" s="496"/>
      <c r="BU95" s="496"/>
      <c r="BV95" s="496"/>
      <c r="BW95" s="496"/>
      <c r="BX95" s="496"/>
      <c r="BY95" s="496"/>
      <c r="BZ95" s="496"/>
      <c r="CA95" s="496"/>
      <c r="CB95" s="496"/>
      <c r="CC95" s="496"/>
      <c r="CD95" s="496"/>
      <c r="CE95" s="496"/>
      <c r="CF95" s="496"/>
      <c r="CG95" s="496"/>
      <c r="CH95" s="496"/>
    </row>
    <row r="96" spans="1:86">
      <c r="A96" t="str">
        <f t="shared" ref="A96:A103" si="42">A52</f>
        <v>Gases</v>
      </c>
      <c r="C96" t="str">
        <f t="shared" ref="C96:C103" si="43">C52</f>
        <v>R_ES-SH-FL_GAS</v>
      </c>
      <c r="E96" t="str">
        <f t="shared" ref="E96:E103" si="44">E52</f>
        <v>R_ES-FL-SpHeat</v>
      </c>
      <c r="F96" s="787">
        <f>IFERROR(IF(VLOOKUP($A96,'All Stock'!$C$41:$AN$46,'All Stock'!D$40,FALSE)=0,"",VLOOKUP($A96,'All Stock'!$C$41:$AN$46,'All Stock'!D$40,FALSE)),"")</f>
        <v>0.75592888056203189</v>
      </c>
      <c r="G96" s="787">
        <f>IFERROR(IF(VLOOKUP($A96,'All Stock'!$C$41:$AN$46,'All Stock'!E$40,FALSE)=0,"",VLOOKUP($A96,'All Stock'!$C$41:$AN$46,'All Stock'!E$40,FALSE)),"")</f>
        <v>0.74380140917100879</v>
      </c>
      <c r="H96" s="787">
        <f>IFERROR(IF(VLOOKUP($A96,'All Stock'!$C$41:$AN$46,'All Stock'!F$40,FALSE)=0,"",VLOOKUP($A96,'All Stock'!$C$41:$AN$46,'All Stock'!F$40,FALSE)),"")</f>
        <v>0.74639155346086394</v>
      </c>
      <c r="I96" s="787">
        <f>IFERROR(IF(VLOOKUP($A96,'All Stock'!$C$41:$AN$46,'All Stock'!G$40,FALSE)=0,"",VLOOKUP($A96,'All Stock'!$C$41:$AN$46,'All Stock'!G$40,FALSE)),"")</f>
        <v>0.81017863000366019</v>
      </c>
      <c r="J96" s="787" t="str">
        <f>IFERROR(IF(VLOOKUP($A96,'All Stock'!$C$41:$AN$46,'All Stock'!H$40,FALSE)=0,"",VLOOKUP($A96,'All Stock'!$C$41:$AN$46,'All Stock'!H$40,FALSE)),"")</f>
        <v>0.7</v>
      </c>
      <c r="K96" s="787">
        <f>IFERROR(IF(VLOOKUP($A96,'All Stock'!$C$41:$AN$46,'All Stock'!I$40,FALSE)=0,"",VLOOKUP($A96,'All Stock'!$C$41:$AN$46,'All Stock'!I$40,FALSE)),"")</f>
        <v>0.73442600881407805</v>
      </c>
      <c r="L96" s="787">
        <f>IFERROR(IF(VLOOKUP($A96,'All Stock'!$C$41:$AN$46,'All Stock'!J$40,FALSE)=0,"",VLOOKUP($A96,'All Stock'!$C$41:$AN$46,'All Stock'!J$40,FALSE)),"")</f>
        <v>0.81017863000366019</v>
      </c>
      <c r="M96" s="787">
        <f>IFERROR(IF(VLOOKUP($A96,'All Stock'!$C$41:$AN$46,'All Stock'!K$40,FALSE)=0,"",VLOOKUP($A96,'All Stock'!$C$41:$AN$46,'All Stock'!K$40,FALSE)),"")</f>
        <v>0.78641563412407145</v>
      </c>
      <c r="N96" s="787">
        <f>IFERROR(IF(VLOOKUP($A96,'All Stock'!$C$41:$AN$46,'All Stock'!L$40,FALSE)=0,"",VLOOKUP($A96,'All Stock'!$C$41:$AN$46,'All Stock'!L$40,FALSE)),"")</f>
        <v>0.78019664160087077</v>
      </c>
      <c r="O96" s="787">
        <f>IFERROR(IF(VLOOKUP($A96,'All Stock'!$C$41:$AN$46,'All Stock'!M$40,FALSE)=0,"",VLOOKUP($A96,'All Stock'!$C$41:$AN$46,'All Stock'!M$40,FALSE)),"")</f>
        <v>0.715776833706255</v>
      </c>
      <c r="P96" s="787">
        <f>IFERROR(IF(VLOOKUP($A96,'All Stock'!$C$41:$AN$46,'All Stock'!N$40,FALSE)=0,"",VLOOKUP($A96,'All Stock'!$C$41:$AN$46,'All Stock'!N$40,FALSE)),"")</f>
        <v>0.77841877822391248</v>
      </c>
      <c r="Q96" s="787">
        <f>IFERROR(IF(VLOOKUP($A96,'All Stock'!$C$41:$AN$46,'All Stock'!O$40,FALSE)=0,"",VLOOKUP($A96,'All Stock'!$C$41:$AN$46,'All Stock'!O$40,FALSE)),"")</f>
        <v>0.76097692301360786</v>
      </c>
      <c r="R96" s="787">
        <f>IFERROR(IF(VLOOKUP($A96,'All Stock'!$C$41:$AN$46,'All Stock'!P$40,FALSE)=0,"",VLOOKUP($A96,'All Stock'!$C$41:$AN$46,'All Stock'!P$40,FALSE)),"")</f>
        <v>0.78014366093572785</v>
      </c>
      <c r="S96" s="787">
        <f>IFERROR(IF(VLOOKUP($A96,'All Stock'!$C$41:$AN$46,'All Stock'!Q$40,FALSE)=0,"",VLOOKUP($A96,'All Stock'!$C$41:$AN$46,'All Stock'!Q$40,FALSE)),"")</f>
        <v>0.74499429749397561</v>
      </c>
      <c r="T96" s="787">
        <f>IFERROR(IF(VLOOKUP($A96,'All Stock'!$C$41:$AN$46,'All Stock'!R$40,FALSE)=0,"",VLOOKUP($A96,'All Stock'!$C$41:$AN$46,'All Stock'!R$40,FALSE)),"")</f>
        <v>0.72153446694261436</v>
      </c>
      <c r="U96" s="787">
        <f>IFERROR(IF(VLOOKUP($A96,'All Stock'!$C$41:$AN$46,'All Stock'!S$40,FALSE)=0,"",VLOOKUP($A96,'All Stock'!$C$41:$AN$46,'All Stock'!S$40,FALSE)),"")</f>
        <v>0.7560442787059295</v>
      </c>
      <c r="V96" s="787">
        <f>IFERROR(IF(VLOOKUP($A96,'All Stock'!$C$41:$AN$46,'All Stock'!T$40,FALSE)=0,"",VLOOKUP($A96,'All Stock'!$C$41:$AN$46,'All Stock'!T$40,FALSE)),"")</f>
        <v>0.78641563412407145</v>
      </c>
      <c r="W96" s="787">
        <f>IFERROR(IF(VLOOKUP($A96,'All Stock'!$C$41:$AN$46,'All Stock'!U$40,FALSE)=0,"",VLOOKUP($A96,'All Stock'!$C$41:$AN$46,'All Stock'!U$40,FALSE)),"")</f>
        <v>0.7268582985805061</v>
      </c>
      <c r="X96" s="787">
        <f>IFERROR(IF(VLOOKUP($A96,'All Stock'!$C$41:$AN$46,'All Stock'!V$40,FALSE)=0,"",VLOOKUP($A96,'All Stock'!$C$41:$AN$46,'All Stock'!V$40,FALSE)),"")</f>
        <v>0.74154132084234992</v>
      </c>
      <c r="Y96" s="787">
        <f>IFERROR(IF(VLOOKUP($A96,'All Stock'!$C$41:$AN$46,'All Stock'!W$40,FALSE)=0,"",VLOOKUP($A96,'All Stock'!$C$41:$AN$46,'All Stock'!W$40,FALSE)),"")</f>
        <v>0.76486370993713371</v>
      </c>
      <c r="Z96" s="787">
        <f>IFERROR(IF(VLOOKUP($A96,'All Stock'!$C$41:$AN$46,'All Stock'!X$40,FALSE)=0,"",VLOOKUP($A96,'All Stock'!$C$41:$AN$46,'All Stock'!X$40,FALSE)),"")</f>
        <v>0.78490216798672419</v>
      </c>
      <c r="AA96" s="787" t="str">
        <f>IFERROR(IF(VLOOKUP($A96,'All Stock'!$C$41:$AN$46,'All Stock'!Y$40,FALSE)=0,"",VLOOKUP($A96,'All Stock'!$C$41:$AN$46,'All Stock'!Y$40,FALSE)),"")</f>
        <v>0.7</v>
      </c>
      <c r="AB96" s="787">
        <f>IFERROR(IF(VLOOKUP($A96,'All Stock'!$C$41:$AN$46,'All Stock'!Z$40,FALSE)=0,"",VLOOKUP($A96,'All Stock'!$C$41:$AN$46,'All Stock'!Z$40,FALSE)),"")</f>
        <v>0.77566284204844005</v>
      </c>
      <c r="AC96" s="787">
        <f>IFERROR(IF(VLOOKUP($A96,'All Stock'!$C$41:$AN$46,'All Stock'!AA$40,FALSE)=0,"",VLOOKUP($A96,'All Stock'!$C$41:$AN$46,'All Stock'!AA$40,FALSE)),"")</f>
        <v>0.78641563412407145</v>
      </c>
      <c r="AD96" s="787">
        <f>IFERROR(IF(VLOOKUP($A96,'All Stock'!$C$41:$AN$46,'All Stock'!AB$40,FALSE)=0,"",VLOOKUP($A96,'All Stock'!$C$41:$AN$46,'All Stock'!AB$40,FALSE)),"")</f>
        <v>0.77354429534024727</v>
      </c>
      <c r="AE96" s="787">
        <f>IFERROR(IF(VLOOKUP($A96,'All Stock'!$C$41:$AN$46,'All Stock'!AC$40,FALSE)=0,"",VLOOKUP($A96,'All Stock'!$C$41:$AN$46,'All Stock'!AC$40,FALSE)),"")</f>
        <v>0.78557278476802406</v>
      </c>
      <c r="AF96" s="787">
        <f>IFERROR(IF(VLOOKUP($A96,'All Stock'!$C$41:$AN$46,'All Stock'!AD$40,FALSE)=0,"",VLOOKUP($A96,'All Stock'!$C$41:$AN$46,'All Stock'!AD$40,FALSE)),"")</f>
        <v>0.70221298243667163</v>
      </c>
      <c r="AG96" s="787">
        <f>IFERROR(IF(VLOOKUP($A96,'All Stock'!$C$41:$AN$46,'All Stock'!AE$40,FALSE)=0,"",VLOOKUP($A96,'All Stock'!$C$41:$AN$46,'All Stock'!AE$40,FALSE)),"")</f>
        <v>0.73166794796601431</v>
      </c>
      <c r="AH96" s="787">
        <f>IFERROR(IF(VLOOKUP($A96,'All Stock'!$C$41:$AN$46,'All Stock'!AF$40,FALSE)=0,"",VLOOKUP($A96,'All Stock'!$C$41:$AN$46,'All Stock'!AF$40,FALSE)),"")</f>
        <v>0.78940789812191514</v>
      </c>
      <c r="AI96" s="787">
        <f>IFERROR(IF(VLOOKUP($A96,'All Stock'!$C$41:$AN$46,'All Stock'!AG$40,FALSE)=0,"",VLOOKUP($A96,'All Stock'!$C$41:$AN$46,'All Stock'!AG$40,FALSE)),"")</f>
        <v>0.70945498712761879</v>
      </c>
      <c r="AJ96" s="787">
        <f>IFERROR(IF(VLOOKUP($A96,'All Stock'!$C$41:$AN$46,'All Stock'!AH$40,FALSE)=0,"",VLOOKUP($A96,'All Stock'!$C$41:$AN$46,'All Stock'!AH$40,FALSE)),"")</f>
        <v>0.75515261273787326</v>
      </c>
      <c r="AK96" s="787">
        <f>IFERROR(IF(VLOOKUP($A96,'All Stock'!$C$41:$AN$46,'All Stock'!AI$40,FALSE)=0,"",VLOOKUP($A96,'All Stock'!$C$41:$AN$46,'All Stock'!AI$40,FALSE)),"")</f>
        <v>0.78014366093572785</v>
      </c>
      <c r="AL96" s="787">
        <f>IFERROR(IF(VLOOKUP($A96,'All Stock'!$C$41:$AN$46,'All Stock'!AJ$40,FALSE)=0,"",VLOOKUP($A96,'All Stock'!$C$41:$AN$46,'All Stock'!AJ$40,FALSE)),"")</f>
        <v>0.74499429749397561</v>
      </c>
      <c r="AM96" s="787">
        <f>IFERROR(IF(VLOOKUP($A96,'All Stock'!$C$41:$AN$46,'All Stock'!AK$40,FALSE)=0,"",VLOOKUP($A96,'All Stock'!$C$41:$AN$46,'All Stock'!AK$40,FALSE)),"")</f>
        <v>0.74499429749397561</v>
      </c>
      <c r="AN96" s="787">
        <f>IFERROR(IF(VLOOKUP($A96,'All Stock'!$C$41:$AN$46,'All Stock'!AL$40,FALSE)=0,"",VLOOKUP($A96,'All Stock'!$C$41:$AN$46,'All Stock'!AL$40,FALSE)),"")</f>
        <v>0.78014366093572785</v>
      </c>
      <c r="AO96" s="787">
        <f>IFERROR(IF(VLOOKUP($A96,'All Stock'!$C$41:$AN$46,'All Stock'!AM$40,FALSE)=0,"",VLOOKUP($A96,'All Stock'!$C$41:$AN$46,'All Stock'!AM$40,FALSE)),"")</f>
        <v>0.74499429749397561</v>
      </c>
      <c r="AP96" s="787">
        <f>IFERROR(IF(VLOOKUP($A96,'All Stock'!$C$41:$AN$46,'All Stock'!AN$40,FALSE)=0,"",VLOOKUP($A96,'All Stock'!$C$41:$AN$46,'All Stock'!AN$40,FALSE)),"")</f>
        <v>0.74499429749397561</v>
      </c>
      <c r="AX96" s="496"/>
      <c r="AY96" s="496"/>
      <c r="AZ96" s="496"/>
      <c r="BA96" s="496"/>
      <c r="BB96" s="496"/>
      <c r="BC96" s="496"/>
      <c r="BD96" s="496"/>
      <c r="BE96" s="496"/>
      <c r="BF96" s="496"/>
      <c r="BG96" s="496"/>
      <c r="BH96" s="496"/>
      <c r="BI96" s="496"/>
      <c r="BJ96" s="496"/>
      <c r="BK96" s="496"/>
      <c r="BL96" s="496"/>
      <c r="BM96" s="496"/>
      <c r="BN96" s="496"/>
      <c r="BO96" s="496"/>
      <c r="BP96" s="496"/>
      <c r="BQ96" s="496"/>
      <c r="BR96" s="496"/>
      <c r="BS96" s="496"/>
      <c r="BT96" s="496"/>
      <c r="BU96" s="496"/>
      <c r="BV96" s="496"/>
      <c r="BW96" s="496"/>
      <c r="BX96" s="496"/>
      <c r="BY96" s="496"/>
      <c r="BZ96" s="496"/>
      <c r="CA96" s="496"/>
      <c r="CB96" s="496"/>
      <c r="CC96" s="496"/>
      <c r="CD96" s="496"/>
      <c r="CE96" s="496"/>
      <c r="CF96" s="496"/>
      <c r="CG96" s="496"/>
      <c r="CH96" s="496"/>
    </row>
    <row r="97" spans="1:86">
      <c r="A97" t="str">
        <f t="shared" si="42"/>
        <v>Derived heat</v>
      </c>
      <c r="C97" t="str">
        <f t="shared" si="43"/>
        <v>R_ES-SH-FL_HET</v>
      </c>
      <c r="E97" t="str">
        <f t="shared" si="44"/>
        <v>R_ES-FL-SpHeat</v>
      </c>
      <c r="F97" s="787">
        <f>IFERROR(IF(VLOOKUP($A97,'All Stock'!$C$41:$AN$46,'All Stock'!D$40,FALSE)=0,"",VLOOKUP($A97,'All Stock'!$C$41:$AN$46,'All Stock'!D$40,FALSE)),"")</f>
        <v>0.88333199390813688</v>
      </c>
      <c r="G97" s="787">
        <f>IFERROR(IF(VLOOKUP($A97,'All Stock'!$C$41:$AN$46,'All Stock'!E$40,FALSE)=0,"",VLOOKUP($A97,'All Stock'!$C$41:$AN$46,'All Stock'!E$40,FALSE)),"")</f>
        <v>0.83553618085187931</v>
      </c>
      <c r="H97" s="787">
        <f>IFERROR(IF(VLOOKUP($A97,'All Stock'!$C$41:$AN$46,'All Stock'!F$40,FALSE)=0,"",VLOOKUP($A97,'All Stock'!$C$41:$AN$46,'All Stock'!F$40,FALSE)),"")</f>
        <v>0.81206531351727507</v>
      </c>
      <c r="I97" s="787">
        <f>IFERROR(IF(VLOOKUP($A97,'All Stock'!$C$41:$AN$46,'All Stock'!G$40,FALSE)=0,"",VLOOKUP($A97,'All Stock'!$C$41:$AN$46,'All Stock'!G$40,FALSE)),"")</f>
        <v>0.95587493363207376</v>
      </c>
      <c r="J97" s="787" t="str">
        <f>IFERROR(IF(VLOOKUP($A97,'All Stock'!$C$41:$AN$46,'All Stock'!H$40,FALSE)=0,"",VLOOKUP($A97,'All Stock'!$C$41:$AN$46,'All Stock'!H$40,FALSE)),"")</f>
        <v>0.8</v>
      </c>
      <c r="K97" s="787">
        <f>IFERROR(IF(VLOOKUP($A97,'All Stock'!$C$41:$AN$46,'All Stock'!I$40,FALSE)=0,"",VLOOKUP($A97,'All Stock'!$C$41:$AN$46,'All Stock'!I$40,FALSE)),"")</f>
        <v>0.85208330762622653</v>
      </c>
      <c r="L97" s="787">
        <f>IFERROR(IF(VLOOKUP($A97,'All Stock'!$C$41:$AN$46,'All Stock'!J$40,FALSE)=0,"",VLOOKUP($A97,'All Stock'!$C$41:$AN$46,'All Stock'!J$40,FALSE)),"")</f>
        <v>0.95587493363207376</v>
      </c>
      <c r="M97" s="787">
        <f>IFERROR(IF(VLOOKUP($A97,'All Stock'!$C$41:$AN$46,'All Stock'!K$40,FALSE)=0,"",VLOOKUP($A97,'All Stock'!$C$41:$AN$46,'All Stock'!K$40,FALSE)),"")</f>
        <v>0.91841114092424625</v>
      </c>
      <c r="N97" s="787">
        <f>IFERROR(IF(VLOOKUP($A97,'All Stock'!$C$41:$AN$46,'All Stock'!L$40,FALSE)=0,"",VLOOKUP($A97,'All Stock'!$C$41:$AN$46,'All Stock'!L$40,FALSE)),"")</f>
        <v>0.89056811991588136</v>
      </c>
      <c r="O97" s="787" t="str">
        <f>IFERROR(IF(VLOOKUP($A97,'All Stock'!$C$41:$AN$46,'All Stock'!M$40,FALSE)=0,"",VLOOKUP($A97,'All Stock'!$C$41:$AN$46,'All Stock'!M$40,FALSE)),"")</f>
        <v>0.8</v>
      </c>
      <c r="P97" s="787">
        <f>IFERROR(IF(VLOOKUP($A97,'All Stock'!$C$41:$AN$46,'All Stock'!N$40,FALSE)=0,"",VLOOKUP($A97,'All Stock'!$C$41:$AN$46,'All Stock'!N$40,FALSE)),"")</f>
        <v>0.91664482565774474</v>
      </c>
      <c r="Q97" s="787">
        <f>IFERROR(IF(VLOOKUP($A97,'All Stock'!$C$41:$AN$46,'All Stock'!O$40,FALSE)=0,"",VLOOKUP($A97,'All Stock'!$C$41:$AN$46,'All Stock'!O$40,FALSE)),"")</f>
        <v>0.88619005258754446</v>
      </c>
      <c r="R97" s="787">
        <f>IFERROR(IF(VLOOKUP($A97,'All Stock'!$C$41:$AN$46,'All Stock'!P$40,FALSE)=0,"",VLOOKUP($A97,'All Stock'!$C$41:$AN$46,'All Stock'!P$40,FALSE)),"")</f>
        <v>0.76932726422269859</v>
      </c>
      <c r="S97" s="787">
        <f>IFERROR(IF(VLOOKUP($A97,'All Stock'!$C$41:$AN$46,'All Stock'!Q$40,FALSE)=0,"",VLOOKUP($A97,'All Stock'!$C$41:$AN$46,'All Stock'!Q$40,FALSE)),"")</f>
        <v>0.82057579490371624</v>
      </c>
      <c r="T97" s="787">
        <f>IFERROR(IF(VLOOKUP($A97,'All Stock'!$C$41:$AN$46,'All Stock'!R$40,FALSE)=0,"",VLOOKUP($A97,'All Stock'!$C$41:$AN$46,'All Stock'!R$40,FALSE)),"")</f>
        <v>0.7835271138190868</v>
      </c>
      <c r="U97" s="787" t="str">
        <f>IFERROR(IF(VLOOKUP($A97,'All Stock'!$C$41:$AN$46,'All Stock'!S$40,FALSE)=0,"",VLOOKUP($A97,'All Stock'!$C$41:$AN$46,'All Stock'!S$40,FALSE)),"")</f>
        <v>0.8</v>
      </c>
      <c r="V97" s="787">
        <f>IFERROR(IF(VLOOKUP($A97,'All Stock'!$C$41:$AN$46,'All Stock'!T$40,FALSE)=0,"",VLOOKUP($A97,'All Stock'!$C$41:$AN$46,'All Stock'!T$40,FALSE)),"")</f>
        <v>0.91841114092424625</v>
      </c>
      <c r="W97" s="787">
        <f>IFERROR(IF(VLOOKUP($A97,'All Stock'!$C$41:$AN$46,'All Stock'!U$40,FALSE)=0,"",VLOOKUP($A97,'All Stock'!$C$41:$AN$46,'All Stock'!U$40,FALSE)),"")</f>
        <v>0.84751572846603129</v>
      </c>
      <c r="X97" s="787">
        <f>IFERROR(IF(VLOOKUP($A97,'All Stock'!$C$41:$AN$46,'All Stock'!V$40,FALSE)=0,"",VLOOKUP($A97,'All Stock'!$C$41:$AN$46,'All Stock'!V$40,FALSE)),"")</f>
        <v>0.85076796364532514</v>
      </c>
      <c r="Y97" s="787" t="str">
        <f>IFERROR(IF(VLOOKUP($A97,'All Stock'!$C$41:$AN$46,'All Stock'!W$40,FALSE)=0,"",VLOOKUP($A97,'All Stock'!$C$41:$AN$46,'All Stock'!W$40,FALSE)),"")</f>
        <v>0.8</v>
      </c>
      <c r="Z97" s="787">
        <f>IFERROR(IF(VLOOKUP($A97,'All Stock'!$C$41:$AN$46,'All Stock'!X$40,FALSE)=0,"",VLOOKUP($A97,'All Stock'!$C$41:$AN$46,'All Stock'!X$40,FALSE)),"")</f>
        <v>0.89852031257747156</v>
      </c>
      <c r="AA97" s="787" t="str">
        <f>IFERROR(IF(VLOOKUP($A97,'All Stock'!$C$41:$AN$46,'All Stock'!Y$40,FALSE)=0,"",VLOOKUP($A97,'All Stock'!$C$41:$AN$46,'All Stock'!Y$40,FALSE)),"")</f>
        <v>0.8</v>
      </c>
      <c r="AB97" s="787">
        <f>IFERROR(IF(VLOOKUP($A97,'All Stock'!$C$41:$AN$46,'All Stock'!Z$40,FALSE)=0,"",VLOOKUP($A97,'All Stock'!$C$41:$AN$46,'All Stock'!Z$40,FALSE)),"")</f>
        <v>0.90645521755068992</v>
      </c>
      <c r="AC97" s="787">
        <f>IFERROR(IF(VLOOKUP($A97,'All Stock'!$C$41:$AN$46,'All Stock'!AA$40,FALSE)=0,"",VLOOKUP($A97,'All Stock'!$C$41:$AN$46,'All Stock'!AA$40,FALSE)),"")</f>
        <v>0.91841114092424625</v>
      </c>
      <c r="AD97" s="787">
        <f>IFERROR(IF(VLOOKUP($A97,'All Stock'!$C$41:$AN$46,'All Stock'!AB$40,FALSE)=0,"",VLOOKUP($A97,'All Stock'!$C$41:$AN$46,'All Stock'!AB$40,FALSE)),"")</f>
        <v>0.89540543411667217</v>
      </c>
      <c r="AE97" s="787">
        <f>IFERROR(IF(VLOOKUP($A97,'All Stock'!$C$41:$AN$46,'All Stock'!AC$40,FALSE)=0,"",VLOOKUP($A97,'All Stock'!$C$41:$AN$46,'All Stock'!AC$40,FALSE)),"")</f>
        <v>0.89097570060848374</v>
      </c>
      <c r="AF97" s="787">
        <f>IFERROR(IF(VLOOKUP($A97,'All Stock'!$C$41:$AN$46,'All Stock'!AD$40,FALSE)=0,"",VLOOKUP($A97,'All Stock'!$C$41:$AN$46,'All Stock'!AD$40,FALSE)),"")</f>
        <v>0.81167632186112504</v>
      </c>
      <c r="AG97" s="787">
        <f>IFERROR(IF(VLOOKUP($A97,'All Stock'!$C$41:$AN$46,'All Stock'!AE$40,FALSE)=0,"",VLOOKUP($A97,'All Stock'!$C$41:$AN$46,'All Stock'!AE$40,FALSE)),"")</f>
        <v>0.80134176644047972</v>
      </c>
      <c r="AH97" s="787">
        <f>IFERROR(IF(VLOOKUP($A97,'All Stock'!$C$41:$AN$46,'All Stock'!AF$40,FALSE)=0,"",VLOOKUP($A97,'All Stock'!$C$41:$AN$46,'All Stock'!AF$40,FALSE)),"")</f>
        <v>0.8975153837411004</v>
      </c>
      <c r="AI97" s="787">
        <f>IFERROR(IF(VLOOKUP($A97,'All Stock'!$C$41:$AN$46,'All Stock'!AG$40,FALSE)=0,"",VLOOKUP($A97,'All Stock'!$C$41:$AN$46,'All Stock'!AG$40,FALSE)),"")</f>
        <v>0.82350393173757808</v>
      </c>
      <c r="AJ97" s="787">
        <f>IFERROR(IF(VLOOKUP($A97,'All Stock'!$C$41:$AN$46,'All Stock'!AH$40,FALSE)=0,"",VLOOKUP($A97,'All Stock'!$C$41:$AN$46,'All Stock'!AH$40,FALSE)),"")</f>
        <v>0.86559601252689145</v>
      </c>
      <c r="AK97" s="787">
        <f>IFERROR(IF(VLOOKUP($A97,'All Stock'!$C$41:$AN$46,'All Stock'!AI$40,FALSE)=0,"",VLOOKUP($A97,'All Stock'!$C$41:$AN$46,'All Stock'!AI$40,FALSE)),"")</f>
        <v>0.85983635413125137</v>
      </c>
      <c r="AL97" s="787">
        <f>IFERROR(IF(VLOOKUP($A97,'All Stock'!$C$41:$AN$46,'All Stock'!AJ$40,FALSE)=0,"",VLOOKUP($A97,'All Stock'!$C$41:$AN$46,'All Stock'!AJ$40,FALSE)),"")</f>
        <v>0.8688449593098172</v>
      </c>
      <c r="AM97" s="787">
        <f>IFERROR(IF(VLOOKUP($A97,'All Stock'!$C$41:$AN$46,'All Stock'!AK$40,FALSE)=0,"",VLOOKUP($A97,'All Stock'!$C$41:$AN$46,'All Stock'!AK$40,FALSE)),"")</f>
        <v>0.8688449593098172</v>
      </c>
      <c r="AN97" s="787">
        <f>IFERROR(IF(VLOOKUP($A97,'All Stock'!$C$41:$AN$46,'All Stock'!AL$40,FALSE)=0,"",VLOOKUP($A97,'All Stock'!$C$41:$AN$46,'All Stock'!AL$40,FALSE)),"")</f>
        <v>0.85983635413125137</v>
      </c>
      <c r="AO97" s="787">
        <f>IFERROR(IF(VLOOKUP($A97,'All Stock'!$C$41:$AN$46,'All Stock'!AM$40,FALSE)=0,"",VLOOKUP($A97,'All Stock'!$C$41:$AN$46,'All Stock'!AM$40,FALSE)),"")</f>
        <v>0.8688449593098172</v>
      </c>
      <c r="AP97" s="787">
        <f>IFERROR(IF(VLOOKUP($A97,'All Stock'!$C$41:$AN$46,'All Stock'!AN$40,FALSE)=0,"",VLOOKUP($A97,'All Stock'!$C$41:$AN$46,'All Stock'!AN$40,FALSE)),"")</f>
        <v>0.8688449593098172</v>
      </c>
      <c r="AX97" s="496"/>
      <c r="AY97" s="496"/>
      <c r="AZ97" s="496"/>
      <c r="BA97" s="496"/>
      <c r="BB97" s="496"/>
      <c r="BC97" s="496"/>
      <c r="BD97" s="496"/>
      <c r="BE97" s="496"/>
      <c r="BF97" s="496"/>
      <c r="BG97" s="496"/>
      <c r="BH97" s="496"/>
      <c r="BI97" s="496"/>
      <c r="BJ97" s="496"/>
      <c r="BK97" s="496"/>
      <c r="BL97" s="496"/>
      <c r="BM97" s="496"/>
      <c r="BN97" s="496"/>
      <c r="BO97" s="496"/>
      <c r="BP97" s="496"/>
      <c r="BQ97" s="496"/>
      <c r="BR97" s="496"/>
      <c r="BS97" s="496"/>
      <c r="BT97" s="496"/>
      <c r="BU97" s="496"/>
      <c r="BV97" s="496"/>
      <c r="BW97" s="496"/>
      <c r="BX97" s="496"/>
      <c r="BY97" s="496"/>
      <c r="BZ97" s="496"/>
      <c r="CA97" s="496"/>
      <c r="CB97" s="496"/>
      <c r="CC97" s="496"/>
      <c r="CD97" s="496"/>
      <c r="CE97" s="496"/>
      <c r="CF97" s="496"/>
      <c r="CG97" s="496"/>
      <c r="CH97" s="496"/>
    </row>
    <row r="98" spans="1:86">
      <c r="A98" t="str">
        <f t="shared" si="42"/>
        <v>GDO and other liquids (incl. liq. bio.)</v>
      </c>
      <c r="C98" t="str">
        <f t="shared" si="43"/>
        <v>R_ES-SH-FL_OIL</v>
      </c>
      <c r="E98" t="str">
        <f t="shared" si="44"/>
        <v>R_ES-FL-SpHeat</v>
      </c>
      <c r="F98" s="787">
        <f>IFERROR(IF(VLOOKUP($A98,'All Stock'!$C$41:$AN$46,'All Stock'!D$40,FALSE)=0,"",VLOOKUP($A98,'All Stock'!$C$41:$AN$46,'All Stock'!D$40,FALSE)),"")</f>
        <v>0.80046714388348206</v>
      </c>
      <c r="G98" s="787">
        <f>IFERROR(IF(VLOOKUP($A98,'All Stock'!$C$41:$AN$46,'All Stock'!E$40,FALSE)=0,"",VLOOKUP($A98,'All Stock'!$C$41:$AN$46,'All Stock'!E$40,FALSE)),"")</f>
        <v>0.78828873049448667</v>
      </c>
      <c r="H98" s="787">
        <f>IFERROR(IF(VLOOKUP($A98,'All Stock'!$C$41:$AN$46,'All Stock'!F$40,FALSE)=0,"",VLOOKUP($A98,'All Stock'!$C$41:$AN$46,'All Stock'!F$40,FALSE)),"")</f>
        <v>0.79832009350619637</v>
      </c>
      <c r="I98" s="787">
        <f>IFERROR(IF(VLOOKUP($A98,'All Stock'!$C$41:$AN$46,'All Stock'!G$40,FALSE)=0,"",VLOOKUP($A98,'All Stock'!$C$41:$AN$46,'All Stock'!G$40,FALSE)),"")</f>
        <v>0.85774115403962237</v>
      </c>
      <c r="J98" s="787">
        <f>IFERROR(IF(VLOOKUP($A98,'All Stock'!$C$41:$AN$46,'All Stock'!H$40,FALSE)=0,"",VLOOKUP($A98,'All Stock'!$C$41:$AN$46,'All Stock'!H$40,FALSE)),"")</f>
        <v>0.58765688899384927</v>
      </c>
      <c r="K98" s="787" t="str">
        <f>IFERROR(IF(VLOOKUP($A98,'All Stock'!$C$41:$AN$46,'All Stock'!I$40,FALSE)=0,"",VLOOKUP($A98,'All Stock'!$C$41:$AN$46,'All Stock'!I$40,FALSE)),"")</f>
        <v>0.7</v>
      </c>
      <c r="L98" s="787">
        <f>IFERROR(IF(VLOOKUP($A98,'All Stock'!$C$41:$AN$46,'All Stock'!J$40,FALSE)=0,"",VLOOKUP($A98,'All Stock'!$C$41:$AN$46,'All Stock'!J$40,FALSE)),"")</f>
        <v>0.85774115403962237</v>
      </c>
      <c r="M98" s="787">
        <f>IFERROR(IF(VLOOKUP($A98,'All Stock'!$C$41:$AN$46,'All Stock'!K$40,FALSE)=0,"",VLOOKUP($A98,'All Stock'!$C$41:$AN$46,'All Stock'!K$40,FALSE)),"")</f>
        <v>0.8190120351671959</v>
      </c>
      <c r="N98" s="787">
        <f>IFERROR(IF(VLOOKUP($A98,'All Stock'!$C$41:$AN$46,'All Stock'!L$40,FALSE)=0,"",VLOOKUP($A98,'All Stock'!$C$41:$AN$46,'All Stock'!L$40,FALSE)),"")</f>
        <v>0.81235393287832658</v>
      </c>
      <c r="O98" s="787">
        <f>IFERROR(IF(VLOOKUP($A98,'All Stock'!$C$41:$AN$46,'All Stock'!M$40,FALSE)=0,"",VLOOKUP($A98,'All Stock'!$C$41:$AN$46,'All Stock'!M$40,FALSE)),"")</f>
        <v>0.73343396452087661</v>
      </c>
      <c r="P98" s="787">
        <f>IFERROR(IF(VLOOKUP($A98,'All Stock'!$C$41:$AN$46,'All Stock'!N$40,FALSE)=0,"",VLOOKUP($A98,'All Stock'!$C$41:$AN$46,'All Stock'!N$40,FALSE)),"")</f>
        <v>0.80783474157188151</v>
      </c>
      <c r="Q98" s="787">
        <f>IFERROR(IF(VLOOKUP($A98,'All Stock'!$C$41:$AN$46,'All Stock'!O$40,FALSE)=0,"",VLOOKUP($A98,'All Stock'!$C$41:$AN$46,'All Stock'!O$40,FALSE)),"")</f>
        <v>0.80927991684156053</v>
      </c>
      <c r="R98" s="787">
        <f>IFERROR(IF(VLOOKUP($A98,'All Stock'!$C$41:$AN$46,'All Stock'!P$40,FALSE)=0,"",VLOOKUP($A98,'All Stock'!$C$41:$AN$46,'All Stock'!P$40,FALSE)),"")</f>
        <v>0.77466708881465018</v>
      </c>
      <c r="S98" s="787">
        <f>IFERROR(IF(VLOOKUP($A98,'All Stock'!$C$41:$AN$46,'All Stock'!Q$40,FALSE)=0,"",VLOOKUP($A98,'All Stock'!$C$41:$AN$46,'All Stock'!Q$40,FALSE)),"")</f>
        <v>0.73652624040326831</v>
      </c>
      <c r="T98" s="787" t="str">
        <f>IFERROR(IF(VLOOKUP($A98,'All Stock'!$C$41:$AN$46,'All Stock'!R$40,FALSE)=0,"",VLOOKUP($A98,'All Stock'!$C$41:$AN$46,'All Stock'!R$40,FALSE)),"")</f>
        <v>0.7</v>
      </c>
      <c r="U98" s="787">
        <f>IFERROR(IF(VLOOKUP($A98,'All Stock'!$C$41:$AN$46,'All Stock'!S$40,FALSE)=0,"",VLOOKUP($A98,'All Stock'!$C$41:$AN$46,'All Stock'!S$40,FALSE)),"")</f>
        <v>0.7966026577728591</v>
      </c>
      <c r="V98" s="787">
        <f>IFERROR(IF(VLOOKUP($A98,'All Stock'!$C$41:$AN$46,'All Stock'!T$40,FALSE)=0,"",VLOOKUP($A98,'All Stock'!$C$41:$AN$46,'All Stock'!T$40,FALSE)),"")</f>
        <v>0.8190120351671959</v>
      </c>
      <c r="W98" s="787">
        <f>IFERROR(IF(VLOOKUP($A98,'All Stock'!$C$41:$AN$46,'All Stock'!U$40,FALSE)=0,"",VLOOKUP($A98,'All Stock'!$C$41:$AN$46,'All Stock'!U$40,FALSE)),"")</f>
        <v>0.77871481287333932</v>
      </c>
      <c r="X98" s="787">
        <f>IFERROR(IF(VLOOKUP($A98,'All Stock'!$C$41:$AN$46,'All Stock'!V$40,FALSE)=0,"",VLOOKUP($A98,'All Stock'!$C$41:$AN$46,'All Stock'!V$40,FALSE)),"")</f>
        <v>0.88346566731129295</v>
      </c>
      <c r="Y98" s="787">
        <f>IFERROR(IF(VLOOKUP($A98,'All Stock'!$C$41:$AN$46,'All Stock'!W$40,FALSE)=0,"",VLOOKUP($A98,'All Stock'!$C$41:$AN$46,'All Stock'!W$40,FALSE)),"")</f>
        <v>0.81205753376304002</v>
      </c>
      <c r="Z98" s="787">
        <f>IFERROR(IF(VLOOKUP($A98,'All Stock'!$C$41:$AN$46,'All Stock'!X$40,FALSE)=0,"",VLOOKUP($A98,'All Stock'!$C$41:$AN$46,'All Stock'!X$40,FALSE)),"")</f>
        <v>0.87388164139702085</v>
      </c>
      <c r="AA98" s="787" t="str">
        <f>IFERROR(IF(VLOOKUP($A98,'All Stock'!$C$41:$AN$46,'All Stock'!Y$40,FALSE)=0,"",VLOOKUP($A98,'All Stock'!$C$41:$AN$46,'All Stock'!Y$40,FALSE)),"")</f>
        <v>0.7</v>
      </c>
      <c r="AB98" s="787">
        <f>IFERROR(IF(VLOOKUP($A98,'All Stock'!$C$41:$AN$46,'All Stock'!Z$40,FALSE)=0,"",VLOOKUP($A98,'All Stock'!$C$41:$AN$46,'All Stock'!Z$40,FALSE)),"")</f>
        <v>0.85466748946388815</v>
      </c>
      <c r="AC98" s="787">
        <f>IFERROR(IF(VLOOKUP($A98,'All Stock'!$C$41:$AN$46,'All Stock'!AA$40,FALSE)=0,"",VLOOKUP($A98,'All Stock'!$C$41:$AN$46,'All Stock'!AA$40,FALSE)),"")</f>
        <v>0.8190120351671959</v>
      </c>
      <c r="AD98" s="787">
        <f>IFERROR(IF(VLOOKUP($A98,'All Stock'!$C$41:$AN$46,'All Stock'!AB$40,FALSE)=0,"",VLOOKUP($A98,'All Stock'!$C$41:$AN$46,'All Stock'!AB$40,FALSE)),"")</f>
        <v>0.85913533715116286</v>
      </c>
      <c r="AE98" s="787">
        <f>IFERROR(IF(VLOOKUP($A98,'All Stock'!$C$41:$AN$46,'All Stock'!AC$40,FALSE)=0,"",VLOOKUP($A98,'All Stock'!$C$41:$AN$46,'All Stock'!AC$40,FALSE)),"")</f>
        <v>0.87110462678715306</v>
      </c>
      <c r="AF98" s="787">
        <f>IFERROR(IF(VLOOKUP($A98,'All Stock'!$C$41:$AN$46,'All Stock'!AD$40,FALSE)=0,"",VLOOKUP($A98,'All Stock'!$C$41:$AN$46,'All Stock'!AD$40,FALSE)),"")</f>
        <v>0.78550868524009243</v>
      </c>
      <c r="AG98" s="787">
        <f>IFERROR(IF(VLOOKUP($A98,'All Stock'!$C$41:$AN$46,'All Stock'!AE$40,FALSE)=0,"",VLOOKUP($A98,'All Stock'!$C$41:$AN$46,'All Stock'!AE$40,FALSE)),"")</f>
        <v>0.80143670930650168</v>
      </c>
      <c r="AH98" s="787">
        <f>IFERROR(IF(VLOOKUP($A98,'All Stock'!$C$41:$AN$46,'All Stock'!AF$40,FALSE)=0,"",VLOOKUP($A98,'All Stock'!$C$41:$AN$46,'All Stock'!AF$40,FALSE)),"")</f>
        <v>0.79235399963550734</v>
      </c>
      <c r="AI98" s="787" t="str">
        <f>IFERROR(IF(VLOOKUP($A98,'All Stock'!$C$41:$AN$46,'All Stock'!AG$40,FALSE)=0,"",VLOOKUP($A98,'All Stock'!$C$41:$AN$46,'All Stock'!AG$40,FALSE)),"")</f>
        <v>0.7</v>
      </c>
      <c r="AJ98" s="787">
        <f>IFERROR(IF(VLOOKUP($A98,'All Stock'!$C$41:$AN$46,'All Stock'!AH$40,FALSE)=0,"",VLOOKUP($A98,'All Stock'!$C$41:$AN$46,'All Stock'!AH$40,FALSE)),"")</f>
        <v>0.81555876152258244</v>
      </c>
      <c r="AK98" s="787">
        <f>IFERROR(IF(VLOOKUP($A98,'All Stock'!$C$41:$AN$46,'All Stock'!AI$40,FALSE)=0,"",VLOOKUP($A98,'All Stock'!$C$41:$AN$46,'All Stock'!AI$40,FALSE)),"")</f>
        <v>0.77466708881465018</v>
      </c>
      <c r="AL98" s="787">
        <f>IFERROR(IF(VLOOKUP($A98,'All Stock'!$C$41:$AN$46,'All Stock'!AJ$40,FALSE)=0,"",VLOOKUP($A98,'All Stock'!$C$41:$AN$46,'All Stock'!AJ$40,FALSE)),"")</f>
        <v>0.78562798976348625</v>
      </c>
      <c r="AM98" s="787">
        <f>IFERROR(IF(VLOOKUP($A98,'All Stock'!$C$41:$AN$46,'All Stock'!AK$40,FALSE)=0,"",VLOOKUP($A98,'All Stock'!$C$41:$AN$46,'All Stock'!AK$40,FALSE)),"")</f>
        <v>0.78562798976348625</v>
      </c>
      <c r="AN98" s="787">
        <f>IFERROR(IF(VLOOKUP($A98,'All Stock'!$C$41:$AN$46,'All Stock'!AL$40,FALSE)=0,"",VLOOKUP($A98,'All Stock'!$C$41:$AN$46,'All Stock'!AL$40,FALSE)),"")</f>
        <v>0.77466708881465018</v>
      </c>
      <c r="AO98" s="787">
        <f>IFERROR(IF(VLOOKUP($A98,'All Stock'!$C$41:$AN$46,'All Stock'!AM$40,FALSE)=0,"",VLOOKUP($A98,'All Stock'!$C$41:$AN$46,'All Stock'!AM$40,FALSE)),"")</f>
        <v>0.78562798976348625</v>
      </c>
      <c r="AP98" s="787">
        <f>IFERROR(IF(VLOOKUP($A98,'All Stock'!$C$41:$AN$46,'All Stock'!AN$40,FALSE)=0,"",VLOOKUP($A98,'All Stock'!$C$41:$AN$46,'All Stock'!AN$40,FALSE)),"")</f>
        <v>0.78562798976348625</v>
      </c>
      <c r="AX98" s="496"/>
      <c r="AY98" s="496"/>
      <c r="AZ98" s="496"/>
      <c r="BA98" s="496"/>
      <c r="BB98" s="496"/>
      <c r="BC98" s="496"/>
      <c r="BD98" s="496"/>
      <c r="BE98" s="496"/>
      <c r="BF98" s="496"/>
      <c r="BG98" s="496"/>
      <c r="BH98" s="496"/>
      <c r="BI98" s="496"/>
      <c r="BJ98" s="496"/>
      <c r="BK98" s="496"/>
      <c r="BL98" s="496"/>
      <c r="BM98" s="496"/>
      <c r="BN98" s="496"/>
      <c r="BO98" s="496"/>
      <c r="BP98" s="496"/>
      <c r="BQ98" s="496"/>
      <c r="BR98" s="496"/>
      <c r="BS98" s="496"/>
      <c r="BT98" s="496"/>
      <c r="BU98" s="496"/>
      <c r="BV98" s="496"/>
      <c r="BW98" s="496"/>
      <c r="BX98" s="496"/>
      <c r="BY98" s="496"/>
      <c r="BZ98" s="496"/>
      <c r="CA98" s="496"/>
      <c r="CB98" s="496"/>
      <c r="CC98" s="496"/>
      <c r="CD98" s="496"/>
      <c r="CE98" s="496"/>
      <c r="CF98" s="496"/>
      <c r="CG98" s="496"/>
      <c r="CH98" s="496"/>
    </row>
    <row r="99" spans="1:86">
      <c r="A99" t="str">
        <f t="shared" si="42"/>
        <v>Biomass and wastes</v>
      </c>
      <c r="C99" t="str">
        <f t="shared" si="43"/>
        <v>R_ES-SH-FL_BIO</v>
      </c>
      <c r="E99" t="str">
        <f t="shared" si="44"/>
        <v>R_ES-FL-SpHeat</v>
      </c>
      <c r="F99" s="787">
        <f>IFERROR(IF(VLOOKUP($A99,'All Stock'!$C$41:$AN$46,'All Stock'!D$40,FALSE)=0,"",VLOOKUP($A99,'All Stock'!$C$41:$AN$46,'All Stock'!D$40,FALSE)),"")</f>
        <v>0.79425198795713625</v>
      </c>
      <c r="G99" s="787">
        <f>IFERROR(IF(VLOOKUP($A99,'All Stock'!$C$41:$AN$46,'All Stock'!E$40,FALSE)=0,"",VLOOKUP($A99,'All Stock'!$C$41:$AN$46,'All Stock'!E$40,FALSE)),"")</f>
        <v>0.78997502619337823</v>
      </c>
      <c r="H99" s="787">
        <f>IFERROR(IF(VLOOKUP($A99,'All Stock'!$C$41:$AN$46,'All Stock'!F$40,FALSE)=0,"",VLOOKUP($A99,'All Stock'!$C$41:$AN$46,'All Stock'!F$40,FALSE)),"")</f>
        <v>0.72609117616589591</v>
      </c>
      <c r="I99" s="787">
        <f>IFERROR(IF(VLOOKUP($A99,'All Stock'!$C$41:$AN$46,'All Stock'!G$40,FALSE)=0,"",VLOOKUP($A99,'All Stock'!$C$41:$AN$46,'All Stock'!G$40,FALSE)),"")</f>
        <v>0.88939691312296831</v>
      </c>
      <c r="J99" s="787">
        <f>IFERROR(IF(VLOOKUP($A99,'All Stock'!$C$41:$AN$46,'All Stock'!H$40,FALSE)=0,"",VLOOKUP($A99,'All Stock'!$C$41:$AN$46,'All Stock'!H$40,FALSE)),"")</f>
        <v>0.56988642829255631</v>
      </c>
      <c r="K99" s="787">
        <f>IFERROR(IF(VLOOKUP($A99,'All Stock'!$C$41:$AN$46,'All Stock'!I$40,FALSE)=0,"",VLOOKUP($A99,'All Stock'!$C$41:$AN$46,'All Stock'!I$40,FALSE)),"")</f>
        <v>0.75698356672417977</v>
      </c>
      <c r="L99" s="787">
        <f>IFERROR(IF(VLOOKUP($A99,'All Stock'!$C$41:$AN$46,'All Stock'!J$40,FALSE)=0,"",VLOOKUP($A99,'All Stock'!$C$41:$AN$46,'All Stock'!J$40,FALSE)),"")</f>
        <v>0.88939691312296831</v>
      </c>
      <c r="M99" s="787">
        <f>IFERROR(IF(VLOOKUP($A99,'All Stock'!$C$41:$AN$46,'All Stock'!K$40,FALSE)=0,"",VLOOKUP($A99,'All Stock'!$C$41:$AN$46,'All Stock'!K$40,FALSE)),"")</f>
        <v>0.84781454393670264</v>
      </c>
      <c r="N99" s="787">
        <f>IFERROR(IF(VLOOKUP($A99,'All Stock'!$C$41:$AN$46,'All Stock'!L$40,FALSE)=0,"",VLOOKUP($A99,'All Stock'!$C$41:$AN$46,'All Stock'!L$40,FALSE)),"")</f>
        <v>0.73363853980806792</v>
      </c>
      <c r="O99" s="787">
        <f>IFERROR(IF(VLOOKUP($A99,'All Stock'!$C$41:$AN$46,'All Stock'!M$40,FALSE)=0,"",VLOOKUP($A99,'All Stock'!$C$41:$AN$46,'All Stock'!M$40,FALSE)),"")</f>
        <v>0.7092868133572775</v>
      </c>
      <c r="P99" s="787">
        <f>IFERROR(IF(VLOOKUP($A99,'All Stock'!$C$41:$AN$46,'All Stock'!N$40,FALSE)=0,"",VLOOKUP($A99,'All Stock'!$C$41:$AN$46,'All Stock'!N$40,FALSE)),"")</f>
        <v>0.83322321495026497</v>
      </c>
      <c r="Q99" s="787">
        <f>IFERROR(IF(VLOOKUP($A99,'All Stock'!$C$41:$AN$46,'All Stock'!O$40,FALSE)=0,"",VLOOKUP($A99,'All Stock'!$C$41:$AN$46,'All Stock'!O$40,FALSE)),"")</f>
        <v>0.79998615803271977</v>
      </c>
      <c r="R99" s="787">
        <f>IFERROR(IF(VLOOKUP($A99,'All Stock'!$C$41:$AN$46,'All Stock'!P$40,FALSE)=0,"",VLOOKUP($A99,'All Stock'!$C$41:$AN$46,'All Stock'!P$40,FALSE)),"")</f>
        <v>0.7463307860088233</v>
      </c>
      <c r="S99" s="787">
        <f>IFERROR(IF(VLOOKUP($A99,'All Stock'!$C$41:$AN$46,'All Stock'!Q$40,FALSE)=0,"",VLOOKUP($A99,'All Stock'!$C$41:$AN$46,'All Stock'!Q$40,FALSE)),"")</f>
        <v>0.70586635948528242</v>
      </c>
      <c r="T99" s="787">
        <f>IFERROR(IF(VLOOKUP($A99,'All Stock'!$C$41:$AN$46,'All Stock'!R$40,FALSE)=0,"",VLOOKUP($A99,'All Stock'!$C$41:$AN$46,'All Stock'!R$40,FALSE)),"")</f>
        <v>0.76441135034493002</v>
      </c>
      <c r="U99" s="787">
        <f>IFERROR(IF(VLOOKUP($A99,'All Stock'!$C$41:$AN$46,'All Stock'!S$40,FALSE)=0,"",VLOOKUP($A99,'All Stock'!$C$41:$AN$46,'All Stock'!S$40,FALSE)),"")</f>
        <v>0.76351422046396589</v>
      </c>
      <c r="V99" s="787">
        <f>IFERROR(IF(VLOOKUP($A99,'All Stock'!$C$41:$AN$46,'All Stock'!T$40,FALSE)=0,"",VLOOKUP($A99,'All Stock'!$C$41:$AN$46,'All Stock'!T$40,FALSE)),"")</f>
        <v>0.84781454393670264</v>
      </c>
      <c r="W99" s="787">
        <f>IFERROR(IF(VLOOKUP($A99,'All Stock'!$C$41:$AN$46,'All Stock'!U$40,FALSE)=0,"",VLOOKUP($A99,'All Stock'!$C$41:$AN$46,'All Stock'!U$40,FALSE)),"")</f>
        <v>0.7686698831846539</v>
      </c>
      <c r="X99" s="787">
        <f>IFERROR(IF(VLOOKUP($A99,'All Stock'!$C$41:$AN$46,'All Stock'!V$40,FALSE)=0,"",VLOOKUP($A99,'All Stock'!$C$41:$AN$46,'All Stock'!V$40,FALSE)),"")</f>
        <v>0.74146384022277689</v>
      </c>
      <c r="Y99" s="787">
        <f>IFERROR(IF(VLOOKUP($A99,'All Stock'!$C$41:$AN$46,'All Stock'!W$40,FALSE)=0,"",VLOOKUP($A99,'All Stock'!$C$41:$AN$46,'All Stock'!W$40,FALSE)),"")</f>
        <v>0.79040869411771786</v>
      </c>
      <c r="Z99" s="787">
        <f>IFERROR(IF(VLOOKUP($A99,'All Stock'!$C$41:$AN$46,'All Stock'!X$40,FALSE)=0,"",VLOOKUP($A99,'All Stock'!$C$41:$AN$46,'All Stock'!X$40,FALSE)),"")</f>
        <v>0.79542895694786908</v>
      </c>
      <c r="AA99" s="787">
        <f>IFERROR(IF(VLOOKUP($A99,'All Stock'!$C$41:$AN$46,'All Stock'!Y$40,FALSE)=0,"",VLOOKUP($A99,'All Stock'!$C$41:$AN$46,'All Stock'!Y$40,FALSE)),"")</f>
        <v>1.0434128957133155</v>
      </c>
      <c r="AB99" s="787">
        <f>IFERROR(IF(VLOOKUP($A99,'All Stock'!$C$41:$AN$46,'All Stock'!Z$40,FALSE)=0,"",VLOOKUP($A99,'All Stock'!$C$41:$AN$46,'All Stock'!Z$40,FALSE)),"")</f>
        <v>0.82267627558681988</v>
      </c>
      <c r="AC99" s="787">
        <f>IFERROR(IF(VLOOKUP($A99,'All Stock'!$C$41:$AN$46,'All Stock'!AA$40,FALSE)=0,"",VLOOKUP($A99,'All Stock'!$C$41:$AN$46,'All Stock'!AA$40,FALSE)),"")</f>
        <v>0.84781454393670264</v>
      </c>
      <c r="AD99" s="787">
        <f>IFERROR(IF(VLOOKUP($A99,'All Stock'!$C$41:$AN$46,'All Stock'!AB$40,FALSE)=0,"",VLOOKUP($A99,'All Stock'!$C$41:$AN$46,'All Stock'!AB$40,FALSE)),"")</f>
        <v>0.78322749907057254</v>
      </c>
      <c r="AE99" s="787">
        <f>IFERROR(IF(VLOOKUP($A99,'All Stock'!$C$41:$AN$46,'All Stock'!AC$40,FALSE)=0,"",VLOOKUP($A99,'All Stock'!$C$41:$AN$46,'All Stock'!AC$40,FALSE)),"")</f>
        <v>0.79601790830593744</v>
      </c>
      <c r="AF99" s="787">
        <f>IFERROR(IF(VLOOKUP($A99,'All Stock'!$C$41:$AN$46,'All Stock'!AD$40,FALSE)=0,"",VLOOKUP($A99,'All Stock'!$C$41:$AN$46,'All Stock'!AD$40,FALSE)),"")</f>
        <v>0.73191704738132024</v>
      </c>
      <c r="AG99" s="787" t="str">
        <f>IFERROR(IF(VLOOKUP($A99,'All Stock'!$C$41:$AN$46,'All Stock'!AE$40,FALSE)=0,"",VLOOKUP($A99,'All Stock'!$C$41:$AN$46,'All Stock'!AE$40,FALSE)),"")</f>
        <v>0.7</v>
      </c>
      <c r="AH99" s="787">
        <f>IFERROR(IF(VLOOKUP($A99,'All Stock'!$C$41:$AN$46,'All Stock'!AF$40,FALSE)=0,"",VLOOKUP($A99,'All Stock'!$C$41:$AN$46,'All Stock'!AF$40,FALSE)),"")</f>
        <v>0.78984392531295</v>
      </c>
      <c r="AI99" s="787">
        <f>IFERROR(IF(VLOOKUP($A99,'All Stock'!$C$41:$AN$46,'All Stock'!AG$40,FALSE)=0,"",VLOOKUP($A99,'All Stock'!$C$41:$AN$46,'All Stock'!AG$40,FALSE)),"")</f>
        <v>0.73957260118169432</v>
      </c>
      <c r="AJ99" s="787">
        <f>IFERROR(IF(VLOOKUP($A99,'All Stock'!$C$41:$AN$46,'All Stock'!AH$40,FALSE)=0,"",VLOOKUP($A99,'All Stock'!$C$41:$AN$46,'All Stock'!AH$40,FALSE)),"")</f>
        <v>0.81749291886381314</v>
      </c>
      <c r="AK99" s="787">
        <f>IFERROR(IF(VLOOKUP($A99,'All Stock'!$C$41:$AN$46,'All Stock'!AI$40,FALSE)=0,"",VLOOKUP($A99,'All Stock'!$C$41:$AN$46,'All Stock'!AI$40,FALSE)),"")</f>
        <v>0.7463307860088233</v>
      </c>
      <c r="AL99" s="787">
        <f>IFERROR(IF(VLOOKUP($A99,'All Stock'!$C$41:$AN$46,'All Stock'!AJ$40,FALSE)=0,"",VLOOKUP($A99,'All Stock'!$C$41:$AN$46,'All Stock'!AJ$40,FALSE)),"")</f>
        <v>0.7601637717533809</v>
      </c>
      <c r="AM99" s="787">
        <f>IFERROR(IF(VLOOKUP($A99,'All Stock'!$C$41:$AN$46,'All Stock'!AK$40,FALSE)=0,"",VLOOKUP($A99,'All Stock'!$C$41:$AN$46,'All Stock'!AK$40,FALSE)),"")</f>
        <v>0.7601637717533809</v>
      </c>
      <c r="AN99" s="787">
        <f>IFERROR(IF(VLOOKUP($A99,'All Stock'!$C$41:$AN$46,'All Stock'!AL$40,FALSE)=0,"",VLOOKUP($A99,'All Stock'!$C$41:$AN$46,'All Stock'!AL$40,FALSE)),"")</f>
        <v>0.7463307860088233</v>
      </c>
      <c r="AO99" s="787">
        <f>IFERROR(IF(VLOOKUP($A99,'All Stock'!$C$41:$AN$46,'All Stock'!AM$40,FALSE)=0,"",VLOOKUP($A99,'All Stock'!$C$41:$AN$46,'All Stock'!AM$40,FALSE)),"")</f>
        <v>0.7601637717533809</v>
      </c>
      <c r="AP99" s="787">
        <f>IFERROR(IF(VLOOKUP($A99,'All Stock'!$C$41:$AN$46,'All Stock'!AN$40,FALSE)=0,"",VLOOKUP($A99,'All Stock'!$C$41:$AN$46,'All Stock'!AN$40,FALSE)),"")</f>
        <v>0.7601637717533809</v>
      </c>
      <c r="AX99" s="496"/>
      <c r="AY99" s="496"/>
      <c r="AZ99" s="496"/>
      <c r="BA99" s="496"/>
      <c r="BB99" s="496"/>
      <c r="BC99" s="496"/>
      <c r="BD99" s="496"/>
      <c r="BE99" s="496"/>
      <c r="BF99" s="496"/>
      <c r="BG99" s="496"/>
      <c r="BH99" s="496"/>
      <c r="BI99" s="496"/>
      <c r="BJ99" s="496"/>
      <c r="BK99" s="496"/>
      <c r="BL99" s="496"/>
      <c r="BM99" s="496"/>
      <c r="BN99" s="496"/>
      <c r="BO99" s="496"/>
      <c r="BP99" s="496"/>
      <c r="BQ99" s="496"/>
      <c r="BR99" s="496"/>
      <c r="BS99" s="496"/>
      <c r="BT99" s="496"/>
      <c r="BU99" s="496"/>
      <c r="BV99" s="496"/>
      <c r="BW99" s="496"/>
      <c r="BX99" s="496"/>
      <c r="BY99" s="496"/>
      <c r="BZ99" s="496"/>
      <c r="CA99" s="496"/>
      <c r="CB99" s="496"/>
      <c r="CC99" s="496"/>
      <c r="CD99" s="496"/>
      <c r="CE99" s="496"/>
      <c r="CF99" s="496"/>
      <c r="CG99" s="496"/>
      <c r="CH99" s="496"/>
    </row>
    <row r="100" spans="1:86">
      <c r="A100" t="str">
        <f t="shared" si="42"/>
        <v>Solids</v>
      </c>
      <c r="C100" t="str">
        <f t="shared" si="43"/>
        <v>R_ES-SH-FL_COA</v>
      </c>
      <c r="E100" t="str">
        <f t="shared" si="44"/>
        <v>R_ES-FL-SpHeat</v>
      </c>
      <c r="F100" s="787">
        <f>IFERROR(IF(VLOOKUP($A100,'All Stock'!$C$41:$AN$46,'All Stock'!D$40,FALSE)=0,"",VLOOKUP($A100,'All Stock'!$C$41:$AN$46,'All Stock'!D$40,FALSE)),"")</f>
        <v>0.84000944301201474</v>
      </c>
      <c r="G100" s="787">
        <f>IFERROR(IF(VLOOKUP($A100,'All Stock'!$C$41:$AN$46,'All Stock'!E$40,FALSE)=0,"",VLOOKUP($A100,'All Stock'!$C$41:$AN$46,'All Stock'!E$40,FALSE)),"")</f>
        <v>0.81351118392087329</v>
      </c>
      <c r="H100" s="787">
        <f>IFERROR(IF(VLOOKUP($A100,'All Stock'!$C$41:$AN$46,'All Stock'!F$40,FALSE)=0,"",VLOOKUP($A100,'All Stock'!$C$41:$AN$46,'All Stock'!F$40,FALSE)),"")</f>
        <v>0.76823818993776927</v>
      </c>
      <c r="I100" s="787">
        <f>IFERROR(IF(VLOOKUP($A100,'All Stock'!$C$41:$AN$46,'All Stock'!G$40,FALSE)=0,"",VLOOKUP($A100,'All Stock'!$C$41:$AN$46,'All Stock'!G$40,FALSE)),"")</f>
        <v>0.92459294417607674</v>
      </c>
      <c r="J100" s="787" t="str">
        <f>IFERROR(IF(VLOOKUP($A100,'All Stock'!$C$41:$AN$46,'All Stock'!H$40,FALSE)=0,"",VLOOKUP($A100,'All Stock'!$C$41:$AN$46,'All Stock'!H$40,FALSE)),"")</f>
        <v>0.7</v>
      </c>
      <c r="K100" s="787">
        <f>IFERROR(IF(VLOOKUP($A100,'All Stock'!$C$41:$AN$46,'All Stock'!I$40,FALSE)=0,"",VLOOKUP($A100,'All Stock'!$C$41:$AN$46,'All Stock'!I$40,FALSE)),"")</f>
        <v>0.80041513182527813</v>
      </c>
      <c r="L100" s="787">
        <f>IFERROR(IF(VLOOKUP($A100,'All Stock'!$C$41:$AN$46,'All Stock'!J$40,FALSE)=0,"",VLOOKUP($A100,'All Stock'!$C$41:$AN$46,'All Stock'!J$40,FALSE)),"")</f>
        <v>0.92459294417607674</v>
      </c>
      <c r="M100" s="787" t="str">
        <f>IFERROR(IF(VLOOKUP($A100,'All Stock'!$C$41:$AN$46,'All Stock'!K$40,FALSE)=0,"",VLOOKUP($A100,'All Stock'!$C$41:$AN$46,'All Stock'!K$40,FALSE)),"")</f>
        <v>0.7</v>
      </c>
      <c r="N100" s="787">
        <f>IFERROR(IF(VLOOKUP($A100,'All Stock'!$C$41:$AN$46,'All Stock'!L$40,FALSE)=0,"",VLOOKUP($A100,'All Stock'!$C$41:$AN$46,'All Stock'!L$40,FALSE)),"")</f>
        <v>0.77552864007769939</v>
      </c>
      <c r="O100" s="787">
        <f>IFERROR(IF(VLOOKUP($A100,'All Stock'!$C$41:$AN$46,'All Stock'!M$40,FALSE)=0,"",VLOOKUP($A100,'All Stock'!$C$41:$AN$46,'All Stock'!M$40,FALSE)),"")</f>
        <v>0.75325271367398605</v>
      </c>
      <c r="P100" s="787">
        <f>IFERROR(IF(VLOOKUP($A100,'All Stock'!$C$41:$AN$46,'All Stock'!N$40,FALSE)=0,"",VLOOKUP($A100,'All Stock'!$C$41:$AN$46,'All Stock'!N$40,FALSE)),"")</f>
        <v>0.87390787050256291</v>
      </c>
      <c r="Q100" s="787">
        <f>IFERROR(IF(VLOOKUP($A100,'All Stock'!$C$41:$AN$46,'All Stock'!O$40,FALSE)=0,"",VLOOKUP($A100,'All Stock'!$C$41:$AN$46,'All Stock'!O$40,FALSE)),"")</f>
        <v>0.85293753664915428</v>
      </c>
      <c r="R100" s="787" t="str">
        <f>IFERROR(IF(VLOOKUP($A100,'All Stock'!$C$41:$AN$46,'All Stock'!P$40,FALSE)=0,"",VLOOKUP($A100,'All Stock'!$C$41:$AN$46,'All Stock'!P$40,FALSE)),"")</f>
        <v>0.7</v>
      </c>
      <c r="S100" s="787">
        <f>IFERROR(IF(VLOOKUP($A100,'All Stock'!$C$41:$AN$46,'All Stock'!Q$40,FALSE)=0,"",VLOOKUP($A100,'All Stock'!$C$41:$AN$46,'All Stock'!Q$40,FALSE)),"")</f>
        <v>0.74878228771735789</v>
      </c>
      <c r="T100" s="787">
        <f>IFERROR(IF(VLOOKUP($A100,'All Stock'!$C$41:$AN$46,'All Stock'!R$40,FALSE)=0,"",VLOOKUP($A100,'All Stock'!$C$41:$AN$46,'All Stock'!R$40,FALSE)),"")</f>
        <v>0.78766540235995264</v>
      </c>
      <c r="U100" s="787">
        <f>IFERROR(IF(VLOOKUP($A100,'All Stock'!$C$41:$AN$46,'All Stock'!S$40,FALSE)=0,"",VLOOKUP($A100,'All Stock'!$C$41:$AN$46,'All Stock'!S$40,FALSE)),"")</f>
        <v>0.80013744981906032</v>
      </c>
      <c r="V100" s="787" t="str">
        <f>IFERROR(IF(VLOOKUP($A100,'All Stock'!$C$41:$AN$46,'All Stock'!T$40,FALSE)=0,"",VLOOKUP($A100,'All Stock'!$C$41:$AN$46,'All Stock'!T$40,FALSE)),"")</f>
        <v>0.7</v>
      </c>
      <c r="W100" s="787">
        <f>IFERROR(IF(VLOOKUP($A100,'All Stock'!$C$41:$AN$46,'All Stock'!U$40,FALSE)=0,"",VLOOKUP($A100,'All Stock'!$C$41:$AN$46,'All Stock'!U$40,FALSE)),"")</f>
        <v>0.79418327891432228</v>
      </c>
      <c r="X100" s="787">
        <f>IFERROR(IF(VLOOKUP($A100,'All Stock'!$C$41:$AN$46,'All Stock'!V$40,FALSE)=0,"",VLOOKUP($A100,'All Stock'!$C$41:$AN$46,'All Stock'!V$40,FALSE)),"")</f>
        <v>0.80856567448048</v>
      </c>
      <c r="Y100" s="787">
        <f>IFERROR(IF(VLOOKUP($A100,'All Stock'!$C$41:$AN$46,'All Stock'!W$40,FALSE)=0,"",VLOOKUP($A100,'All Stock'!$C$41:$AN$46,'All Stock'!W$40,FALSE)),"")</f>
        <v>0.84657514339166795</v>
      </c>
      <c r="Z100" s="787">
        <f>IFERROR(IF(VLOOKUP($A100,'All Stock'!$C$41:$AN$46,'All Stock'!X$40,FALSE)=0,"",VLOOKUP($A100,'All Stock'!$C$41:$AN$46,'All Stock'!X$40,FALSE)),"")</f>
        <v>0.82834230248009677</v>
      </c>
      <c r="AA100" s="787" t="str">
        <f>IFERROR(IF(VLOOKUP($A100,'All Stock'!$C$41:$AN$46,'All Stock'!Y$40,FALSE)=0,"",VLOOKUP($A100,'All Stock'!$C$41:$AN$46,'All Stock'!Y$40,FALSE)),"")</f>
        <v>0.7</v>
      </c>
      <c r="AB100" s="787">
        <f>IFERROR(IF(VLOOKUP($A100,'All Stock'!$C$41:$AN$46,'All Stock'!Z$40,FALSE)=0,"",VLOOKUP($A100,'All Stock'!$C$41:$AN$46,'All Stock'!Z$40,FALSE)),"")</f>
        <v>0.87282859281482128</v>
      </c>
      <c r="AC100" s="787" t="str">
        <f>IFERROR(IF(VLOOKUP($A100,'All Stock'!$C$41:$AN$46,'All Stock'!AA$40,FALSE)=0,"",VLOOKUP($A100,'All Stock'!$C$41:$AN$46,'All Stock'!AA$40,FALSE)),"")</f>
        <v>0.7</v>
      </c>
      <c r="AD100" s="787">
        <f>IFERROR(IF(VLOOKUP($A100,'All Stock'!$C$41:$AN$46,'All Stock'!AB$40,FALSE)=0,"",VLOOKUP($A100,'All Stock'!$C$41:$AN$46,'All Stock'!AB$40,FALSE)),"")</f>
        <v>0.8373533662291277</v>
      </c>
      <c r="AE100" s="787" t="str">
        <f>IFERROR(IF(VLOOKUP($A100,'All Stock'!$C$41:$AN$46,'All Stock'!AC$40,FALSE)=0,"",VLOOKUP($A100,'All Stock'!$C$41:$AN$46,'All Stock'!AC$40,FALSE)),"")</f>
        <v>0.7</v>
      </c>
      <c r="AF100" s="787">
        <f>IFERROR(IF(VLOOKUP($A100,'All Stock'!$C$41:$AN$46,'All Stock'!AD$40,FALSE)=0,"",VLOOKUP($A100,'All Stock'!$C$41:$AN$46,'All Stock'!AD$40,FALSE)),"")</f>
        <v>0.78986581106219267</v>
      </c>
      <c r="AG100" s="787" t="str">
        <f>IFERROR(IF(VLOOKUP($A100,'All Stock'!$C$41:$AN$46,'All Stock'!AE$40,FALSE)=0,"",VLOOKUP($A100,'All Stock'!$C$41:$AN$46,'All Stock'!AE$40,FALSE)),"")</f>
        <v>0.7</v>
      </c>
      <c r="AH100" s="787">
        <f>IFERROR(IF(VLOOKUP($A100,'All Stock'!$C$41:$AN$46,'All Stock'!AF$40,FALSE)=0,"",VLOOKUP($A100,'All Stock'!$C$41:$AN$46,'All Stock'!AF$40,FALSE)),"")</f>
        <v>0.82758004338518987</v>
      </c>
      <c r="AI100" s="787">
        <f>IFERROR(IF(VLOOKUP($A100,'All Stock'!$C$41:$AN$46,'All Stock'!AG$40,FALSE)=0,"",VLOOKUP($A100,'All Stock'!$C$41:$AN$46,'All Stock'!AG$40,FALSE)),"")</f>
        <v>0.8013895131480343</v>
      </c>
      <c r="AJ100" s="787">
        <f>IFERROR(IF(VLOOKUP($A100,'All Stock'!$C$41:$AN$46,'All Stock'!AH$40,FALSE)=0,"",VLOOKUP($A100,'All Stock'!$C$41:$AN$46,'All Stock'!AH$40,FALSE)),"")</f>
        <v>0.82867758316744888</v>
      </c>
      <c r="AK100" s="787" t="str">
        <f>IFERROR(IF(VLOOKUP($A100,'All Stock'!$C$41:$AN$46,'All Stock'!AI$40,FALSE)=0,"",VLOOKUP($A100,'All Stock'!$C$41:$AN$46,'All Stock'!AI$40,FALSE)),"")</f>
        <v>0.7</v>
      </c>
      <c r="AL100" s="787">
        <f>IFERROR(IF(VLOOKUP($A100,'All Stock'!$C$41:$AN$46,'All Stock'!AJ$40,FALSE)=0,"",VLOOKUP($A100,'All Stock'!$C$41:$AN$46,'All Stock'!AJ$40,FALSE)),"")</f>
        <v>0.8111808116938044</v>
      </c>
      <c r="AM100" s="787">
        <f>IFERROR(IF(VLOOKUP($A100,'All Stock'!$C$41:$AN$46,'All Stock'!AK$40,FALSE)=0,"",VLOOKUP($A100,'All Stock'!$C$41:$AN$46,'All Stock'!AK$40,FALSE)),"")</f>
        <v>0.8111808116938044</v>
      </c>
      <c r="AN100" s="787" t="str">
        <f>IFERROR(IF(VLOOKUP($A100,'All Stock'!$C$41:$AN$46,'All Stock'!AL$40,FALSE)=0,"",VLOOKUP($A100,'All Stock'!$C$41:$AN$46,'All Stock'!AL$40,FALSE)),"")</f>
        <v>0.7</v>
      </c>
      <c r="AO100" s="787">
        <f>IFERROR(IF(VLOOKUP($A100,'All Stock'!$C$41:$AN$46,'All Stock'!AM$40,FALSE)=0,"",VLOOKUP($A100,'All Stock'!$C$41:$AN$46,'All Stock'!AM$40,FALSE)),"")</f>
        <v>0.8111808116938044</v>
      </c>
      <c r="AP100" s="787">
        <f>IFERROR(IF(VLOOKUP($A100,'All Stock'!$C$41:$AN$46,'All Stock'!AN$40,FALSE)=0,"",VLOOKUP($A100,'All Stock'!$C$41:$AN$46,'All Stock'!AN$40,FALSE)),"")</f>
        <v>0.8111808116938044</v>
      </c>
      <c r="AX100" s="496"/>
      <c r="AY100" s="496"/>
      <c r="AZ100" s="496"/>
      <c r="BA100" s="496"/>
      <c r="BB100" s="496"/>
      <c r="BC100" s="496"/>
      <c r="BD100" s="496"/>
      <c r="BE100" s="496"/>
      <c r="BF100" s="496"/>
      <c r="BG100" s="496"/>
      <c r="BH100" s="496"/>
      <c r="BI100" s="496"/>
      <c r="BJ100" s="496"/>
      <c r="BK100" s="496"/>
      <c r="BL100" s="496"/>
      <c r="BM100" s="496"/>
      <c r="BN100" s="496"/>
      <c r="BO100" s="496"/>
      <c r="BP100" s="496"/>
      <c r="BQ100" s="496"/>
      <c r="BR100" s="496"/>
      <c r="BS100" s="496"/>
      <c r="BT100" s="496"/>
      <c r="BU100" s="496"/>
      <c r="BV100" s="496"/>
      <c r="BW100" s="496"/>
      <c r="BX100" s="496"/>
      <c r="BY100" s="496"/>
      <c r="BZ100" s="496"/>
      <c r="CA100" s="496"/>
      <c r="CB100" s="496"/>
      <c r="CC100" s="496"/>
      <c r="CD100" s="496"/>
      <c r="CE100" s="496"/>
      <c r="CF100" s="496"/>
      <c r="CG100" s="496"/>
      <c r="CH100" s="496"/>
    </row>
    <row r="101" spans="1:86">
      <c r="A101" t="str">
        <f t="shared" si="42"/>
        <v>LPG</v>
      </c>
      <c r="C101" t="str">
        <f t="shared" si="43"/>
        <v>R_ES-SH-FL_LPG</v>
      </c>
      <c r="E101" t="str">
        <f t="shared" si="44"/>
        <v>R_ES-FL-SpHeat</v>
      </c>
      <c r="F101" s="788">
        <f>IF(F98=0,"",F98)</f>
        <v>0.80046714388348206</v>
      </c>
      <c r="G101" s="788">
        <f t="shared" ref="G101:AP101" si="45">IF(G98=0,"",G98)</f>
        <v>0.78828873049448667</v>
      </c>
      <c r="H101" s="788">
        <f t="shared" si="45"/>
        <v>0.79832009350619637</v>
      </c>
      <c r="I101" s="788">
        <f t="shared" si="45"/>
        <v>0.85774115403962237</v>
      </c>
      <c r="J101" s="788">
        <f t="shared" si="45"/>
        <v>0.58765688899384927</v>
      </c>
      <c r="K101" s="788" t="str">
        <f t="shared" si="45"/>
        <v>0.7</v>
      </c>
      <c r="L101" s="788">
        <f t="shared" si="45"/>
        <v>0.85774115403962237</v>
      </c>
      <c r="M101" s="788">
        <f t="shared" si="45"/>
        <v>0.8190120351671959</v>
      </c>
      <c r="N101" s="788">
        <f t="shared" si="45"/>
        <v>0.81235393287832658</v>
      </c>
      <c r="O101" s="788">
        <f t="shared" si="45"/>
        <v>0.73343396452087661</v>
      </c>
      <c r="P101" s="788">
        <f t="shared" si="45"/>
        <v>0.80783474157188151</v>
      </c>
      <c r="Q101" s="788">
        <f t="shared" si="45"/>
        <v>0.80927991684156053</v>
      </c>
      <c r="R101" s="788">
        <f t="shared" si="45"/>
        <v>0.77466708881465018</v>
      </c>
      <c r="S101" s="788">
        <f t="shared" si="45"/>
        <v>0.73652624040326831</v>
      </c>
      <c r="T101" s="788" t="str">
        <f t="shared" si="45"/>
        <v>0.7</v>
      </c>
      <c r="U101" s="788">
        <f t="shared" si="45"/>
        <v>0.7966026577728591</v>
      </c>
      <c r="V101" s="788">
        <f t="shared" si="45"/>
        <v>0.8190120351671959</v>
      </c>
      <c r="W101" s="788">
        <f t="shared" si="45"/>
        <v>0.77871481287333932</v>
      </c>
      <c r="X101" s="788">
        <f t="shared" si="45"/>
        <v>0.88346566731129295</v>
      </c>
      <c r="Y101" s="788">
        <f t="shared" si="45"/>
        <v>0.81205753376304002</v>
      </c>
      <c r="Z101" s="788">
        <f t="shared" si="45"/>
        <v>0.87388164139702085</v>
      </c>
      <c r="AA101" s="788" t="str">
        <f t="shared" si="45"/>
        <v>0.7</v>
      </c>
      <c r="AB101" s="788">
        <f t="shared" si="45"/>
        <v>0.85466748946388815</v>
      </c>
      <c r="AC101" s="788">
        <f t="shared" si="45"/>
        <v>0.8190120351671959</v>
      </c>
      <c r="AD101" s="788">
        <f t="shared" si="45"/>
        <v>0.85913533715116286</v>
      </c>
      <c r="AE101" s="788">
        <f t="shared" si="45"/>
        <v>0.87110462678715306</v>
      </c>
      <c r="AF101" s="788">
        <f t="shared" si="45"/>
        <v>0.78550868524009243</v>
      </c>
      <c r="AG101" s="788">
        <f t="shared" si="45"/>
        <v>0.80143670930650168</v>
      </c>
      <c r="AH101" s="788">
        <f t="shared" si="45"/>
        <v>0.79235399963550734</v>
      </c>
      <c r="AI101" s="788" t="str">
        <f t="shared" si="45"/>
        <v>0.7</v>
      </c>
      <c r="AJ101" s="788">
        <f t="shared" si="45"/>
        <v>0.81555876152258244</v>
      </c>
      <c r="AK101" s="788">
        <f t="shared" si="45"/>
        <v>0.77466708881465018</v>
      </c>
      <c r="AL101" s="788">
        <f t="shared" si="45"/>
        <v>0.78562798976348625</v>
      </c>
      <c r="AM101" s="788">
        <f t="shared" si="45"/>
        <v>0.78562798976348625</v>
      </c>
      <c r="AN101" s="788">
        <f t="shared" si="45"/>
        <v>0.77466708881465018</v>
      </c>
      <c r="AO101" s="788">
        <f t="shared" si="45"/>
        <v>0.78562798976348625</v>
      </c>
      <c r="AP101" s="788">
        <f t="shared" si="45"/>
        <v>0.78562798976348625</v>
      </c>
      <c r="AX101" s="496"/>
      <c r="AY101" s="496"/>
      <c r="AZ101" s="496"/>
      <c r="BA101" s="496"/>
      <c r="BB101" s="496"/>
      <c r="BC101" s="496"/>
      <c r="BD101" s="496"/>
      <c r="BE101" s="496"/>
      <c r="BF101" s="496"/>
      <c r="BG101" s="496"/>
      <c r="BH101" s="496"/>
      <c r="BI101" s="496"/>
      <c r="BJ101" s="496"/>
      <c r="BK101" s="496"/>
      <c r="BL101" s="496"/>
      <c r="BM101" s="496"/>
      <c r="BN101" s="496"/>
      <c r="BO101" s="496"/>
      <c r="BP101" s="496"/>
      <c r="BQ101" s="496"/>
      <c r="BR101" s="496"/>
      <c r="BS101" s="496"/>
      <c r="BT101" s="496"/>
      <c r="BU101" s="496"/>
      <c r="BV101" s="496"/>
      <c r="BW101" s="496"/>
      <c r="BX101" s="496"/>
      <c r="BY101" s="496"/>
      <c r="BZ101" s="496"/>
      <c r="CA101" s="496"/>
      <c r="CB101" s="496"/>
      <c r="CC101" s="496"/>
      <c r="CD101" s="496"/>
      <c r="CE101" s="496"/>
      <c r="CF101" s="496"/>
      <c r="CG101" s="496"/>
      <c r="CH101" s="496"/>
    </row>
    <row r="102" spans="1:86">
      <c r="A102" t="str">
        <f t="shared" si="42"/>
        <v>Geothermal Energy</v>
      </c>
      <c r="C102" t="str">
        <f t="shared" si="43"/>
        <v>R_ES-SH-FL_GEO</v>
      </c>
      <c r="E102" t="str">
        <f t="shared" si="44"/>
        <v>R_ES-FL-SpHeat</v>
      </c>
      <c r="F102" s="788">
        <f>IF(F97=0,"",F97)</f>
        <v>0.88333199390813688</v>
      </c>
      <c r="G102" s="788">
        <f t="shared" ref="G102:AP102" si="46">IF(G97=0,"",G97)</f>
        <v>0.83553618085187931</v>
      </c>
      <c r="H102" s="788">
        <f t="shared" si="46"/>
        <v>0.81206531351727507</v>
      </c>
      <c r="I102" s="788">
        <f t="shared" si="46"/>
        <v>0.95587493363207376</v>
      </c>
      <c r="J102" s="788" t="str">
        <f t="shared" si="46"/>
        <v>0.8</v>
      </c>
      <c r="K102" s="788">
        <f t="shared" si="46"/>
        <v>0.85208330762622653</v>
      </c>
      <c r="L102" s="788">
        <f t="shared" si="46"/>
        <v>0.95587493363207376</v>
      </c>
      <c r="M102" s="788">
        <f t="shared" si="46"/>
        <v>0.91841114092424625</v>
      </c>
      <c r="N102" s="788">
        <f t="shared" si="46"/>
        <v>0.89056811991588136</v>
      </c>
      <c r="O102" s="788" t="str">
        <f t="shared" si="46"/>
        <v>0.8</v>
      </c>
      <c r="P102" s="788">
        <f t="shared" si="46"/>
        <v>0.91664482565774474</v>
      </c>
      <c r="Q102" s="788">
        <f t="shared" si="46"/>
        <v>0.88619005258754446</v>
      </c>
      <c r="R102" s="788">
        <f t="shared" si="46"/>
        <v>0.76932726422269859</v>
      </c>
      <c r="S102" s="788">
        <f t="shared" si="46"/>
        <v>0.82057579490371624</v>
      </c>
      <c r="T102" s="788">
        <f t="shared" si="46"/>
        <v>0.7835271138190868</v>
      </c>
      <c r="U102" s="788" t="str">
        <f t="shared" si="46"/>
        <v>0.8</v>
      </c>
      <c r="V102" s="788">
        <f t="shared" si="46"/>
        <v>0.91841114092424625</v>
      </c>
      <c r="W102" s="788">
        <f t="shared" si="46"/>
        <v>0.84751572846603129</v>
      </c>
      <c r="X102" s="788">
        <f t="shared" si="46"/>
        <v>0.85076796364532514</v>
      </c>
      <c r="Y102" s="788" t="str">
        <f t="shared" si="46"/>
        <v>0.8</v>
      </c>
      <c r="Z102" s="788">
        <f t="shared" si="46"/>
        <v>0.89852031257747156</v>
      </c>
      <c r="AA102" s="788" t="str">
        <f t="shared" si="46"/>
        <v>0.8</v>
      </c>
      <c r="AB102" s="788">
        <f t="shared" si="46"/>
        <v>0.90645521755068992</v>
      </c>
      <c r="AC102" s="788">
        <f t="shared" si="46"/>
        <v>0.91841114092424625</v>
      </c>
      <c r="AD102" s="788">
        <f t="shared" si="46"/>
        <v>0.89540543411667217</v>
      </c>
      <c r="AE102" s="788">
        <f t="shared" si="46"/>
        <v>0.89097570060848374</v>
      </c>
      <c r="AF102" s="788">
        <f t="shared" si="46"/>
        <v>0.81167632186112504</v>
      </c>
      <c r="AG102" s="788">
        <f t="shared" si="46"/>
        <v>0.80134176644047972</v>
      </c>
      <c r="AH102" s="788">
        <f t="shared" si="46"/>
        <v>0.8975153837411004</v>
      </c>
      <c r="AI102" s="788">
        <f t="shared" si="46"/>
        <v>0.82350393173757808</v>
      </c>
      <c r="AJ102" s="788">
        <f t="shared" si="46"/>
        <v>0.86559601252689145</v>
      </c>
      <c r="AK102" s="788">
        <f t="shared" si="46"/>
        <v>0.85983635413125137</v>
      </c>
      <c r="AL102" s="788">
        <f t="shared" si="46"/>
        <v>0.8688449593098172</v>
      </c>
      <c r="AM102" s="788">
        <f t="shared" si="46"/>
        <v>0.8688449593098172</v>
      </c>
      <c r="AN102" s="788">
        <f t="shared" si="46"/>
        <v>0.85983635413125137</v>
      </c>
      <c r="AO102" s="788">
        <f t="shared" si="46"/>
        <v>0.8688449593098172</v>
      </c>
      <c r="AP102" s="788">
        <f t="shared" si="46"/>
        <v>0.8688449593098172</v>
      </c>
      <c r="AX102" s="496"/>
      <c r="AY102" s="496"/>
      <c r="AZ102" s="496"/>
      <c r="BA102" s="496"/>
      <c r="BB102" s="496"/>
      <c r="BC102" s="496"/>
      <c r="BD102" s="496"/>
      <c r="BE102" s="496"/>
      <c r="BF102" s="496"/>
      <c r="BG102" s="496"/>
      <c r="BH102" s="496"/>
      <c r="BI102" s="496"/>
      <c r="BJ102" s="496"/>
      <c r="BK102" s="496"/>
      <c r="BL102" s="496"/>
      <c r="BM102" s="496"/>
      <c r="BN102" s="496"/>
      <c r="BO102" s="496"/>
      <c r="BP102" s="496"/>
      <c r="BQ102" s="496"/>
      <c r="BR102" s="496"/>
      <c r="BS102" s="496"/>
      <c r="BT102" s="496"/>
      <c r="BU102" s="496"/>
      <c r="BV102" s="496"/>
      <c r="BW102" s="496"/>
      <c r="BX102" s="496"/>
      <c r="BY102" s="496"/>
      <c r="BZ102" s="496"/>
      <c r="CA102" s="496"/>
      <c r="CB102" s="496"/>
      <c r="CC102" s="496"/>
      <c r="CD102" s="496"/>
      <c r="CE102" s="496"/>
      <c r="CF102" s="496"/>
      <c r="CG102" s="496"/>
      <c r="CH102" s="496"/>
    </row>
    <row r="103" spans="1:86">
      <c r="A103" t="str">
        <f t="shared" si="42"/>
        <v>Electricity</v>
      </c>
      <c r="C103" t="str">
        <f t="shared" si="43"/>
        <v>R_ES-SH-DH_ELC-R</v>
      </c>
      <c r="E103" t="str">
        <f t="shared" si="44"/>
        <v>R_ES-DH-SpHeat</v>
      </c>
      <c r="F103" s="787">
        <f>IFERROR(IF(VLOOKUP($A103,'All Stock'!$C$41:$AN$46,'All Stock'!D$40,FALSE)=0,"",VLOOKUP($A103,'All Stock'!$C$41:$AN$46,'All Stock'!D$40,FALSE)),"")</f>
        <v>0.81928900763721191</v>
      </c>
      <c r="G103" s="787">
        <f>IFERROR(IF(VLOOKUP($A103,'All Stock'!$C$41:$AN$46,'All Stock'!E$40,FALSE)=0,"",VLOOKUP($A103,'All Stock'!$C$41:$AN$46,'All Stock'!E$40,FALSE)),"")</f>
        <v>0.79900299844352862</v>
      </c>
      <c r="H103" s="787">
        <f>IFERROR(IF(VLOOKUP($A103,'All Stock'!$C$41:$AN$46,'All Stock'!F$40,FALSE)=0,"",VLOOKUP($A103,'All Stock'!$C$41:$AN$46,'All Stock'!F$40,FALSE)),"")</f>
        <v>0.73408809575765033</v>
      </c>
      <c r="I103" s="787">
        <f>IFERROR(IF(VLOOKUP($A103,'All Stock'!$C$41:$AN$46,'All Stock'!G$40,FALSE)=0,"",VLOOKUP($A103,'All Stock'!$C$41:$AN$46,'All Stock'!G$40,FALSE)),"")</f>
        <v>0.86347572459868804</v>
      </c>
      <c r="J103" s="787">
        <f>IFERROR(IF(VLOOKUP($A103,'All Stock'!$C$41:$AN$46,'All Stock'!H$40,FALSE)=0,"",VLOOKUP($A103,'All Stock'!$C$41:$AN$46,'All Stock'!H$40,FALSE)),"")</f>
        <v>0.70618228689710782</v>
      </c>
      <c r="K103" s="787">
        <f>IFERROR(IF(VLOOKUP($A103,'All Stock'!$C$41:$AN$46,'All Stock'!I$40,FALSE)=0,"",VLOOKUP($A103,'All Stock'!$C$41:$AN$46,'All Stock'!I$40,FALSE)),"")</f>
        <v>0.70582025115896152</v>
      </c>
      <c r="L103" s="787">
        <f>IFERROR(IF(VLOOKUP($A103,'All Stock'!$C$41:$AN$46,'All Stock'!J$40,FALSE)=0,"",VLOOKUP($A103,'All Stock'!$C$41:$AN$46,'All Stock'!J$40,FALSE)),"")</f>
        <v>0.86347572459868804</v>
      </c>
      <c r="M103" s="787">
        <f>IFERROR(IF(VLOOKUP($A103,'All Stock'!$C$41:$AN$46,'All Stock'!K$40,FALSE)=0,"",VLOOKUP($A103,'All Stock'!$C$41:$AN$46,'All Stock'!K$40,FALSE)),"")</f>
        <v>0.8001874970363646</v>
      </c>
      <c r="N103" s="787">
        <f>IFERROR(IF(VLOOKUP($A103,'All Stock'!$C$41:$AN$46,'All Stock'!L$40,FALSE)=0,"",VLOOKUP($A103,'All Stock'!$C$41:$AN$46,'All Stock'!L$40,FALSE)),"")</f>
        <v>0.75698599171100345</v>
      </c>
      <c r="O103" s="787">
        <f>IFERROR(IF(VLOOKUP($A103,'All Stock'!$C$41:$AN$46,'All Stock'!M$40,FALSE)=0,"",VLOOKUP($A103,'All Stock'!$C$41:$AN$46,'All Stock'!M$40,FALSE)),"")</f>
        <v>0.71635950787853064</v>
      </c>
      <c r="P103" s="787">
        <f>IFERROR(IF(VLOOKUP($A103,'All Stock'!$C$41:$AN$46,'All Stock'!N$40,FALSE)=0,"",VLOOKUP($A103,'All Stock'!$C$41:$AN$46,'All Stock'!N$40,FALSE)),"")</f>
        <v>0.81733074000663342</v>
      </c>
      <c r="Q103" s="787">
        <f>IFERROR(IF(VLOOKUP($A103,'All Stock'!$C$41:$AN$46,'All Stock'!O$40,FALSE)=0,"",VLOOKUP($A103,'All Stock'!$C$41:$AN$46,'All Stock'!O$40,FALSE)),"")</f>
        <v>0.81671823576041058</v>
      </c>
      <c r="R103" s="787">
        <f>IFERROR(IF(VLOOKUP($A103,'All Stock'!$C$41:$AN$46,'All Stock'!P$40,FALSE)=0,"",VLOOKUP($A103,'All Stock'!$C$41:$AN$46,'All Stock'!P$40,FALSE)),"")</f>
        <v>0.72282882147300664</v>
      </c>
      <c r="S103" s="787">
        <f>IFERROR(IF(VLOOKUP($A103,'All Stock'!$C$41:$AN$46,'All Stock'!Q$40,FALSE)=0,"",VLOOKUP($A103,'All Stock'!$C$41:$AN$46,'All Stock'!Q$40,FALSE)),"")</f>
        <v>0.71202455229284123</v>
      </c>
      <c r="T103" s="787">
        <f>IFERROR(IF(VLOOKUP($A103,'All Stock'!$C$41:$AN$46,'All Stock'!R$40,FALSE)=0,"",VLOOKUP($A103,'All Stock'!$C$41:$AN$46,'All Stock'!R$40,FALSE)),"")</f>
        <v>0.72917682462626643</v>
      </c>
      <c r="U103" s="787">
        <f>IFERROR(IF(VLOOKUP($A103,'All Stock'!$C$41:$AN$46,'All Stock'!S$40,FALSE)=0,"",VLOOKUP($A103,'All Stock'!$C$41:$AN$46,'All Stock'!S$40,FALSE)),"")</f>
        <v>0.75951434494584302</v>
      </c>
      <c r="V103" s="787">
        <f>IFERROR(IF(VLOOKUP($A103,'All Stock'!$C$41:$AN$46,'All Stock'!T$40,FALSE)=0,"",VLOOKUP($A103,'All Stock'!$C$41:$AN$46,'All Stock'!T$40,FALSE)),"")</f>
        <v>0.8001874970363646</v>
      </c>
      <c r="W103" s="787">
        <f>IFERROR(IF(VLOOKUP($A103,'All Stock'!$C$41:$AN$46,'All Stock'!U$40,FALSE)=0,"",VLOOKUP($A103,'All Stock'!$C$41:$AN$46,'All Stock'!U$40,FALSE)),"")</f>
        <v>0.76164435507238615</v>
      </c>
      <c r="X103" s="787">
        <f>IFERROR(IF(VLOOKUP($A103,'All Stock'!$C$41:$AN$46,'All Stock'!V$40,FALSE)=0,"",VLOOKUP($A103,'All Stock'!$C$41:$AN$46,'All Stock'!V$40,FALSE)),"")</f>
        <v>0.72542657031811564</v>
      </c>
      <c r="Y103" s="787">
        <f>IFERROR(IF(VLOOKUP($A103,'All Stock'!$C$41:$AN$46,'All Stock'!W$40,FALSE)=0,"",VLOOKUP($A103,'All Stock'!$C$41:$AN$46,'All Stock'!W$40,FALSE)),"")</f>
        <v>0.78087502002196951</v>
      </c>
      <c r="Z103" s="787">
        <f>IFERROR(IF(VLOOKUP($A103,'All Stock'!$C$41:$AN$46,'All Stock'!X$40,FALSE)=0,"",VLOOKUP($A103,'All Stock'!$C$41:$AN$46,'All Stock'!X$40,FALSE)),"")</f>
        <v>0.75951269724745896</v>
      </c>
      <c r="AA103" s="787">
        <f>IFERROR(IF(VLOOKUP($A103,'All Stock'!$C$41:$AN$46,'All Stock'!Y$40,FALSE)=0,"",VLOOKUP($A103,'All Stock'!$C$41:$AN$46,'All Stock'!Y$40,FALSE)),"")</f>
        <v>0.67551175099960736</v>
      </c>
      <c r="AB103" s="787">
        <f>IFERROR(IF(VLOOKUP($A103,'All Stock'!$C$41:$AN$46,'All Stock'!Z$40,FALSE)=0,"",VLOOKUP($A103,'All Stock'!$C$41:$AN$46,'All Stock'!Z$40,FALSE)),"")</f>
        <v>0.82446857044229116</v>
      </c>
      <c r="AC103" s="787">
        <f>IFERROR(IF(VLOOKUP($A103,'All Stock'!$C$41:$AN$46,'All Stock'!AA$40,FALSE)=0,"",VLOOKUP($A103,'All Stock'!$C$41:$AN$46,'All Stock'!AA$40,FALSE)),"")</f>
        <v>0.8001874970363646</v>
      </c>
      <c r="AD103" s="787">
        <f>IFERROR(IF(VLOOKUP($A103,'All Stock'!$C$41:$AN$46,'All Stock'!AB$40,FALSE)=0,"",VLOOKUP($A103,'All Stock'!$C$41:$AN$46,'All Stock'!AB$40,FALSE)),"")</f>
        <v>0.77572558406601155</v>
      </c>
      <c r="AE103" s="787">
        <f>IFERROR(IF(VLOOKUP($A103,'All Stock'!$C$41:$AN$46,'All Stock'!AC$40,FALSE)=0,"",VLOOKUP($A103,'All Stock'!$C$41:$AN$46,'All Stock'!AC$40,FALSE)),"")</f>
        <v>0.74814388647734709</v>
      </c>
      <c r="AF103" s="787">
        <f>IFERROR(IF(VLOOKUP($A103,'All Stock'!$C$41:$AN$46,'All Stock'!AD$40,FALSE)=0,"",VLOOKUP($A103,'All Stock'!$C$41:$AN$46,'All Stock'!AD$40,FALSE)),"")</f>
        <v>0.72440504092705404</v>
      </c>
      <c r="AG103" s="787">
        <f>IFERROR(IF(VLOOKUP($A103,'All Stock'!$C$41:$AN$46,'All Stock'!AE$40,FALSE)=0,"",VLOOKUP($A103,'All Stock'!$C$41:$AN$46,'All Stock'!AE$40,FALSE)),"")</f>
        <v>0.72971725971827717</v>
      </c>
      <c r="AH103" s="787">
        <f>IFERROR(IF(VLOOKUP($A103,'All Stock'!$C$41:$AN$46,'All Stock'!AF$40,FALSE)=0,"",VLOOKUP($A103,'All Stock'!$C$41:$AN$46,'All Stock'!AF$40,FALSE)),"")</f>
        <v>0.77385528191999364</v>
      </c>
      <c r="AI103" s="787">
        <f>IFERROR(IF(VLOOKUP($A103,'All Stock'!$C$41:$AN$46,'All Stock'!AG$40,FALSE)=0,"",VLOOKUP($A103,'All Stock'!$C$41:$AN$46,'All Stock'!AG$40,FALSE)),"")</f>
        <v>0.68382178584202868</v>
      </c>
      <c r="AJ103" s="787">
        <f>IFERROR(IF(VLOOKUP($A103,'All Stock'!$C$41:$AN$46,'All Stock'!AH$40,FALSE)=0,"",VLOOKUP($A103,'All Stock'!$C$41:$AN$46,'All Stock'!AH$40,FALSE)),"")</f>
        <v>0.77247864056518112</v>
      </c>
      <c r="AK103" s="787">
        <f>IFERROR(IF(VLOOKUP($A103,'All Stock'!$C$41:$AN$46,'All Stock'!AI$40,FALSE)=0,"",VLOOKUP($A103,'All Stock'!$C$41:$AN$46,'All Stock'!AI$40,FALSE)),"")</f>
        <v>0.72282882147300664</v>
      </c>
      <c r="AL103" s="787">
        <f>IFERROR(IF(VLOOKUP($A103,'All Stock'!$C$41:$AN$46,'All Stock'!AJ$40,FALSE)=0,"",VLOOKUP($A103,'All Stock'!$C$41:$AN$46,'All Stock'!AJ$40,FALSE)),"")</f>
        <v>0.71202455229284123</v>
      </c>
      <c r="AM103" s="787">
        <f>IFERROR(IF(VLOOKUP($A103,'All Stock'!$C$41:$AN$46,'All Stock'!AK$40,FALSE)=0,"",VLOOKUP($A103,'All Stock'!$C$41:$AN$46,'All Stock'!AK$40,FALSE)),"")</f>
        <v>0.71202455229284123</v>
      </c>
      <c r="AN103" s="787">
        <f>IFERROR(IF(VLOOKUP($A103,'All Stock'!$C$41:$AN$46,'All Stock'!AL$40,FALSE)=0,"",VLOOKUP($A103,'All Stock'!$C$41:$AN$46,'All Stock'!AL$40,FALSE)),"")</f>
        <v>0.72282882147300664</v>
      </c>
      <c r="AO103" s="787">
        <f>IFERROR(IF(VLOOKUP($A103,'All Stock'!$C$41:$AN$46,'All Stock'!AM$40,FALSE)=0,"",VLOOKUP($A103,'All Stock'!$C$41:$AN$46,'All Stock'!AM$40,FALSE)),"")</f>
        <v>0.71202455229284123</v>
      </c>
      <c r="AP103" s="787">
        <f>IFERROR(IF(VLOOKUP($A103,'All Stock'!$C$41:$AN$46,'All Stock'!AN$40,FALSE)=0,"",VLOOKUP($A103,'All Stock'!$C$41:$AN$46,'All Stock'!AN$40,FALSE)),"")</f>
        <v>0.71202455229284123</v>
      </c>
      <c r="AX103" s="496"/>
      <c r="AY103" s="496"/>
      <c r="AZ103" s="496"/>
      <c r="BA103" s="496"/>
      <c r="BB103" s="496"/>
      <c r="BC103" s="496"/>
      <c r="BD103" s="496"/>
      <c r="BE103" s="496"/>
      <c r="BF103" s="496"/>
      <c r="BG103" s="496"/>
      <c r="BH103" s="496"/>
      <c r="BI103" s="496"/>
      <c r="BJ103" s="496"/>
      <c r="BK103" s="496"/>
      <c r="BL103" s="496"/>
      <c r="BM103" s="496"/>
      <c r="BN103" s="496"/>
      <c r="BO103" s="496"/>
      <c r="BP103" s="496"/>
      <c r="BQ103" s="496"/>
      <c r="BR103" s="496"/>
      <c r="BS103" s="496"/>
      <c r="BT103" s="496"/>
      <c r="BU103" s="496"/>
      <c r="BV103" s="496"/>
      <c r="BW103" s="496"/>
      <c r="BX103" s="496"/>
      <c r="BY103" s="496"/>
      <c r="BZ103" s="496"/>
      <c r="CA103" s="496"/>
      <c r="CB103" s="496"/>
      <c r="CC103" s="496"/>
      <c r="CD103" s="496"/>
      <c r="CE103" s="496"/>
      <c r="CF103" s="496"/>
      <c r="CG103" s="496"/>
      <c r="CH103" s="496"/>
    </row>
    <row r="104" spans="1:86">
      <c r="A104" s="819" t="s">
        <v>937</v>
      </c>
      <c r="C104" t="str">
        <f>C60</f>
        <v>R_ES-SH-DH_ELC-HPA</v>
      </c>
      <c r="E104" t="str">
        <f>E60</f>
        <v>R_ES-DH-SpHeat</v>
      </c>
      <c r="F104" s="787">
        <f t="shared" ref="F104:AP104" si="47">F103</f>
        <v>0.81928900763721191</v>
      </c>
      <c r="G104" s="787">
        <f t="shared" si="47"/>
        <v>0.79900299844352862</v>
      </c>
      <c r="H104" s="787">
        <f t="shared" si="47"/>
        <v>0.73408809575765033</v>
      </c>
      <c r="I104" s="787">
        <f t="shared" si="47"/>
        <v>0.86347572459868804</v>
      </c>
      <c r="J104" s="787">
        <f t="shared" si="47"/>
        <v>0.70618228689710782</v>
      </c>
      <c r="K104" s="787">
        <f t="shared" si="47"/>
        <v>0.70582025115896152</v>
      </c>
      <c r="L104" s="787">
        <f t="shared" si="47"/>
        <v>0.86347572459868804</v>
      </c>
      <c r="M104" s="787">
        <f t="shared" si="47"/>
        <v>0.8001874970363646</v>
      </c>
      <c r="N104" s="787">
        <f t="shared" si="47"/>
        <v>0.75698599171100345</v>
      </c>
      <c r="O104" s="787">
        <f t="shared" si="47"/>
        <v>0.71635950787853064</v>
      </c>
      <c r="P104" s="787">
        <f t="shared" si="47"/>
        <v>0.81733074000663342</v>
      </c>
      <c r="Q104" s="787">
        <f t="shared" si="47"/>
        <v>0.81671823576041058</v>
      </c>
      <c r="R104" s="787">
        <f t="shared" si="47"/>
        <v>0.72282882147300664</v>
      </c>
      <c r="S104" s="787">
        <f t="shared" si="47"/>
        <v>0.71202455229284123</v>
      </c>
      <c r="T104" s="787">
        <f t="shared" si="47"/>
        <v>0.72917682462626643</v>
      </c>
      <c r="U104" s="787">
        <f t="shared" si="47"/>
        <v>0.75951434494584302</v>
      </c>
      <c r="V104" s="787">
        <f t="shared" si="47"/>
        <v>0.8001874970363646</v>
      </c>
      <c r="W104" s="787">
        <f t="shared" si="47"/>
        <v>0.76164435507238615</v>
      </c>
      <c r="X104" s="787">
        <f t="shared" si="47"/>
        <v>0.72542657031811564</v>
      </c>
      <c r="Y104" s="787">
        <f t="shared" si="47"/>
        <v>0.78087502002196951</v>
      </c>
      <c r="Z104" s="787">
        <f t="shared" si="47"/>
        <v>0.75951269724745896</v>
      </c>
      <c r="AA104" s="787">
        <f t="shared" si="47"/>
        <v>0.67551175099960736</v>
      </c>
      <c r="AB104" s="787">
        <f t="shared" si="47"/>
        <v>0.82446857044229116</v>
      </c>
      <c r="AC104" s="787">
        <f t="shared" si="47"/>
        <v>0.8001874970363646</v>
      </c>
      <c r="AD104" s="787">
        <f t="shared" si="47"/>
        <v>0.77572558406601155</v>
      </c>
      <c r="AE104" s="787">
        <f t="shared" si="47"/>
        <v>0.74814388647734709</v>
      </c>
      <c r="AF104" s="787">
        <f t="shared" si="47"/>
        <v>0.72440504092705404</v>
      </c>
      <c r="AG104" s="787">
        <f t="shared" si="47"/>
        <v>0.72971725971827717</v>
      </c>
      <c r="AH104" s="787">
        <f t="shared" si="47"/>
        <v>0.77385528191999364</v>
      </c>
      <c r="AI104" s="787">
        <f t="shared" si="47"/>
        <v>0.68382178584202868</v>
      </c>
      <c r="AJ104" s="787">
        <f t="shared" si="47"/>
        <v>0.77247864056518112</v>
      </c>
      <c r="AK104" s="787">
        <f t="shared" si="47"/>
        <v>0.72282882147300664</v>
      </c>
      <c r="AL104" s="787">
        <f t="shared" si="47"/>
        <v>0.71202455229284123</v>
      </c>
      <c r="AM104" s="787">
        <f t="shared" si="47"/>
        <v>0.71202455229284123</v>
      </c>
      <c r="AN104" s="787">
        <f t="shared" si="47"/>
        <v>0.72282882147300664</v>
      </c>
      <c r="AO104" s="787">
        <f t="shared" si="47"/>
        <v>0.71202455229284123</v>
      </c>
      <c r="AP104" s="787">
        <f t="shared" si="47"/>
        <v>0.71202455229284123</v>
      </c>
      <c r="AX104" s="496"/>
      <c r="AY104" s="496"/>
      <c r="AZ104" s="496"/>
      <c r="BA104" s="496"/>
      <c r="BB104" s="496"/>
      <c r="BC104" s="496"/>
      <c r="BD104" s="496"/>
      <c r="BE104" s="496"/>
      <c r="BF104" s="496"/>
      <c r="BG104" s="496"/>
      <c r="BH104" s="496"/>
      <c r="BI104" s="496"/>
      <c r="BJ104" s="496"/>
      <c r="BK104" s="496"/>
      <c r="BL104" s="496"/>
      <c r="BM104" s="496"/>
      <c r="BN104" s="496"/>
      <c r="BO104" s="496"/>
      <c r="BP104" s="496"/>
      <c r="BQ104" s="496"/>
      <c r="BR104" s="496"/>
      <c r="BS104" s="496"/>
      <c r="BT104" s="496"/>
      <c r="BU104" s="496"/>
      <c r="BV104" s="496"/>
      <c r="BW104" s="496"/>
      <c r="BX104" s="496"/>
      <c r="BY104" s="496"/>
      <c r="BZ104" s="496"/>
      <c r="CA104" s="496"/>
      <c r="CB104" s="496"/>
      <c r="CC104" s="496"/>
      <c r="CD104" s="496"/>
      <c r="CE104" s="496"/>
      <c r="CF104" s="496"/>
      <c r="CG104" s="496"/>
      <c r="CH104" s="496"/>
    </row>
    <row r="105" spans="1:86">
      <c r="A105" s="819" t="s">
        <v>938</v>
      </c>
      <c r="C105" t="str">
        <f>C61</f>
        <v>R_ES-SH-DH_ELC-HPG</v>
      </c>
      <c r="E105" t="str">
        <f>E61</f>
        <v>R_ES-DH-SpHeat</v>
      </c>
      <c r="F105" s="787">
        <f t="shared" ref="F105:AP105" si="48">F103</f>
        <v>0.81928900763721191</v>
      </c>
      <c r="G105" s="787">
        <f t="shared" si="48"/>
        <v>0.79900299844352862</v>
      </c>
      <c r="H105" s="787">
        <f t="shared" si="48"/>
        <v>0.73408809575765033</v>
      </c>
      <c r="I105" s="787">
        <f t="shared" si="48"/>
        <v>0.86347572459868804</v>
      </c>
      <c r="J105" s="787">
        <f t="shared" si="48"/>
        <v>0.70618228689710782</v>
      </c>
      <c r="K105" s="787">
        <f t="shared" si="48"/>
        <v>0.70582025115896152</v>
      </c>
      <c r="L105" s="787">
        <f t="shared" si="48"/>
        <v>0.86347572459868804</v>
      </c>
      <c r="M105" s="787">
        <f t="shared" si="48"/>
        <v>0.8001874970363646</v>
      </c>
      <c r="N105" s="787">
        <f t="shared" si="48"/>
        <v>0.75698599171100345</v>
      </c>
      <c r="O105" s="787">
        <f t="shared" si="48"/>
        <v>0.71635950787853064</v>
      </c>
      <c r="P105" s="787">
        <f t="shared" si="48"/>
        <v>0.81733074000663342</v>
      </c>
      <c r="Q105" s="787">
        <f t="shared" si="48"/>
        <v>0.81671823576041058</v>
      </c>
      <c r="R105" s="787">
        <f t="shared" si="48"/>
        <v>0.72282882147300664</v>
      </c>
      <c r="S105" s="787">
        <f t="shared" si="48"/>
        <v>0.71202455229284123</v>
      </c>
      <c r="T105" s="787">
        <f t="shared" si="48"/>
        <v>0.72917682462626643</v>
      </c>
      <c r="U105" s="787">
        <f t="shared" si="48"/>
        <v>0.75951434494584302</v>
      </c>
      <c r="V105" s="787">
        <f t="shared" si="48"/>
        <v>0.8001874970363646</v>
      </c>
      <c r="W105" s="787">
        <f t="shared" si="48"/>
        <v>0.76164435507238615</v>
      </c>
      <c r="X105" s="787">
        <f t="shared" si="48"/>
        <v>0.72542657031811564</v>
      </c>
      <c r="Y105" s="787">
        <f t="shared" si="48"/>
        <v>0.78087502002196951</v>
      </c>
      <c r="Z105" s="787">
        <f t="shared" si="48"/>
        <v>0.75951269724745896</v>
      </c>
      <c r="AA105" s="787">
        <f t="shared" si="48"/>
        <v>0.67551175099960736</v>
      </c>
      <c r="AB105" s="787">
        <f t="shared" si="48"/>
        <v>0.82446857044229116</v>
      </c>
      <c r="AC105" s="787">
        <f t="shared" si="48"/>
        <v>0.8001874970363646</v>
      </c>
      <c r="AD105" s="787">
        <f t="shared" si="48"/>
        <v>0.77572558406601155</v>
      </c>
      <c r="AE105" s="787">
        <f t="shared" si="48"/>
        <v>0.74814388647734709</v>
      </c>
      <c r="AF105" s="787">
        <f t="shared" si="48"/>
        <v>0.72440504092705404</v>
      </c>
      <c r="AG105" s="787">
        <f t="shared" si="48"/>
        <v>0.72971725971827717</v>
      </c>
      <c r="AH105" s="787">
        <f t="shared" si="48"/>
        <v>0.77385528191999364</v>
      </c>
      <c r="AI105" s="787">
        <f t="shared" si="48"/>
        <v>0.68382178584202868</v>
      </c>
      <c r="AJ105" s="787">
        <f t="shared" si="48"/>
        <v>0.77247864056518112</v>
      </c>
      <c r="AK105" s="787">
        <f t="shared" si="48"/>
        <v>0.72282882147300664</v>
      </c>
      <c r="AL105" s="787">
        <f t="shared" si="48"/>
        <v>0.71202455229284123</v>
      </c>
      <c r="AM105" s="787">
        <f t="shared" si="48"/>
        <v>0.71202455229284123</v>
      </c>
      <c r="AN105" s="787">
        <f t="shared" si="48"/>
        <v>0.72282882147300664</v>
      </c>
      <c r="AO105" s="787">
        <f t="shared" si="48"/>
        <v>0.71202455229284123</v>
      </c>
      <c r="AP105" s="787">
        <f t="shared" si="48"/>
        <v>0.71202455229284123</v>
      </c>
      <c r="AX105" s="496"/>
      <c r="AY105" s="496"/>
      <c r="AZ105" s="496"/>
      <c r="BA105" s="496"/>
      <c r="BB105" s="496"/>
      <c r="BC105" s="496"/>
      <c r="BD105" s="496"/>
      <c r="BE105" s="496"/>
      <c r="BF105" s="496"/>
      <c r="BG105" s="496"/>
      <c r="BH105" s="496"/>
      <c r="BI105" s="496"/>
      <c r="BJ105" s="496"/>
      <c r="BK105" s="496"/>
      <c r="BL105" s="496"/>
      <c r="BM105" s="496"/>
      <c r="BN105" s="496"/>
      <c r="BO105" s="496"/>
      <c r="BP105" s="496"/>
      <c r="BQ105" s="496"/>
      <c r="BR105" s="496"/>
      <c r="BS105" s="496"/>
      <c r="BT105" s="496"/>
      <c r="BU105" s="496"/>
      <c r="BV105" s="496"/>
      <c r="BW105" s="496"/>
      <c r="BX105" s="496"/>
      <c r="BY105" s="496"/>
      <c r="BZ105" s="496"/>
      <c r="CA105" s="496"/>
      <c r="CB105" s="496"/>
      <c r="CC105" s="496"/>
      <c r="CD105" s="496"/>
      <c r="CE105" s="496"/>
      <c r="CF105" s="496"/>
      <c r="CG105" s="496"/>
      <c r="CH105" s="496"/>
    </row>
    <row r="106" spans="1:86">
      <c r="A106" t="str">
        <f t="shared" ref="A106:A113" si="49">A62</f>
        <v>Gases</v>
      </c>
      <c r="C106" t="str">
        <f t="shared" ref="C106:C113" si="50">C62</f>
        <v>R_ES-SH-DH_GAS</v>
      </c>
      <c r="E106" t="str">
        <f t="shared" ref="E106:E113" si="51">E62</f>
        <v>R_ES-DH-SpHeat</v>
      </c>
      <c r="F106" s="787">
        <f>IFERROR(IF(VLOOKUP($A106,'All Stock'!$C$41:$AN$46,'All Stock'!D$40,FALSE)=0,"",VLOOKUP($A106,'All Stock'!$C$41:$AN$46,'All Stock'!D$40,FALSE)),"")</f>
        <v>0.75592888056203189</v>
      </c>
      <c r="G106" s="787">
        <f>IFERROR(IF(VLOOKUP($A106,'All Stock'!$C$41:$AN$46,'All Stock'!E$40,FALSE)=0,"",VLOOKUP($A106,'All Stock'!$C$41:$AN$46,'All Stock'!E$40,FALSE)),"")</f>
        <v>0.74380140917100879</v>
      </c>
      <c r="H106" s="787">
        <f>IFERROR(IF(VLOOKUP($A106,'All Stock'!$C$41:$AN$46,'All Stock'!F$40,FALSE)=0,"",VLOOKUP($A106,'All Stock'!$C$41:$AN$46,'All Stock'!F$40,FALSE)),"")</f>
        <v>0.74639155346086394</v>
      </c>
      <c r="I106" s="787">
        <f>IFERROR(IF(VLOOKUP($A106,'All Stock'!$C$41:$AN$46,'All Stock'!G$40,FALSE)=0,"",VLOOKUP($A106,'All Stock'!$C$41:$AN$46,'All Stock'!G$40,FALSE)),"")</f>
        <v>0.81017863000366019</v>
      </c>
      <c r="J106" s="787" t="str">
        <f>IFERROR(IF(VLOOKUP($A106,'All Stock'!$C$41:$AN$46,'All Stock'!H$40,FALSE)=0,"",VLOOKUP($A106,'All Stock'!$C$41:$AN$46,'All Stock'!H$40,FALSE)),"")</f>
        <v>0.7</v>
      </c>
      <c r="K106" s="787">
        <f>IFERROR(IF(VLOOKUP($A106,'All Stock'!$C$41:$AN$46,'All Stock'!I$40,FALSE)=0,"",VLOOKUP($A106,'All Stock'!$C$41:$AN$46,'All Stock'!I$40,FALSE)),"")</f>
        <v>0.73442600881407805</v>
      </c>
      <c r="L106" s="787">
        <f>IFERROR(IF(VLOOKUP($A106,'All Stock'!$C$41:$AN$46,'All Stock'!J$40,FALSE)=0,"",VLOOKUP($A106,'All Stock'!$C$41:$AN$46,'All Stock'!J$40,FALSE)),"")</f>
        <v>0.81017863000366019</v>
      </c>
      <c r="M106" s="787">
        <f>IFERROR(IF(VLOOKUP($A106,'All Stock'!$C$41:$AN$46,'All Stock'!K$40,FALSE)=0,"",VLOOKUP($A106,'All Stock'!$C$41:$AN$46,'All Stock'!K$40,FALSE)),"")</f>
        <v>0.78641563412407145</v>
      </c>
      <c r="N106" s="787">
        <f>IFERROR(IF(VLOOKUP($A106,'All Stock'!$C$41:$AN$46,'All Stock'!L$40,FALSE)=0,"",VLOOKUP($A106,'All Stock'!$C$41:$AN$46,'All Stock'!L$40,FALSE)),"")</f>
        <v>0.78019664160087077</v>
      </c>
      <c r="O106" s="787">
        <f>IFERROR(IF(VLOOKUP($A106,'All Stock'!$C$41:$AN$46,'All Stock'!M$40,FALSE)=0,"",VLOOKUP($A106,'All Stock'!$C$41:$AN$46,'All Stock'!M$40,FALSE)),"")</f>
        <v>0.715776833706255</v>
      </c>
      <c r="P106" s="787">
        <f>IFERROR(IF(VLOOKUP($A106,'All Stock'!$C$41:$AN$46,'All Stock'!N$40,FALSE)=0,"",VLOOKUP($A106,'All Stock'!$C$41:$AN$46,'All Stock'!N$40,FALSE)),"")</f>
        <v>0.77841877822391248</v>
      </c>
      <c r="Q106" s="787">
        <f>IFERROR(IF(VLOOKUP($A106,'All Stock'!$C$41:$AN$46,'All Stock'!O$40,FALSE)=0,"",VLOOKUP($A106,'All Stock'!$C$41:$AN$46,'All Stock'!O$40,FALSE)),"")</f>
        <v>0.76097692301360786</v>
      </c>
      <c r="R106" s="787">
        <f>IFERROR(IF(VLOOKUP($A106,'All Stock'!$C$41:$AN$46,'All Stock'!P$40,FALSE)=0,"",VLOOKUP($A106,'All Stock'!$C$41:$AN$46,'All Stock'!P$40,FALSE)),"")</f>
        <v>0.78014366093572785</v>
      </c>
      <c r="S106" s="787">
        <f>IFERROR(IF(VLOOKUP($A106,'All Stock'!$C$41:$AN$46,'All Stock'!Q$40,FALSE)=0,"",VLOOKUP($A106,'All Stock'!$C$41:$AN$46,'All Stock'!Q$40,FALSE)),"")</f>
        <v>0.74499429749397561</v>
      </c>
      <c r="T106" s="787">
        <f>IFERROR(IF(VLOOKUP($A106,'All Stock'!$C$41:$AN$46,'All Stock'!R$40,FALSE)=0,"",VLOOKUP($A106,'All Stock'!$C$41:$AN$46,'All Stock'!R$40,FALSE)),"")</f>
        <v>0.72153446694261436</v>
      </c>
      <c r="U106" s="787">
        <f>IFERROR(IF(VLOOKUP($A106,'All Stock'!$C$41:$AN$46,'All Stock'!S$40,FALSE)=0,"",VLOOKUP($A106,'All Stock'!$C$41:$AN$46,'All Stock'!S$40,FALSE)),"")</f>
        <v>0.7560442787059295</v>
      </c>
      <c r="V106" s="787">
        <f>IFERROR(IF(VLOOKUP($A106,'All Stock'!$C$41:$AN$46,'All Stock'!T$40,FALSE)=0,"",VLOOKUP($A106,'All Stock'!$C$41:$AN$46,'All Stock'!T$40,FALSE)),"")</f>
        <v>0.78641563412407145</v>
      </c>
      <c r="W106" s="787">
        <f>IFERROR(IF(VLOOKUP($A106,'All Stock'!$C$41:$AN$46,'All Stock'!U$40,FALSE)=0,"",VLOOKUP($A106,'All Stock'!$C$41:$AN$46,'All Stock'!U$40,FALSE)),"")</f>
        <v>0.7268582985805061</v>
      </c>
      <c r="X106" s="787">
        <f>IFERROR(IF(VLOOKUP($A106,'All Stock'!$C$41:$AN$46,'All Stock'!V$40,FALSE)=0,"",VLOOKUP($A106,'All Stock'!$C$41:$AN$46,'All Stock'!V$40,FALSE)),"")</f>
        <v>0.74154132084234992</v>
      </c>
      <c r="Y106" s="787">
        <f>IFERROR(IF(VLOOKUP($A106,'All Stock'!$C$41:$AN$46,'All Stock'!W$40,FALSE)=0,"",VLOOKUP($A106,'All Stock'!$C$41:$AN$46,'All Stock'!W$40,FALSE)),"")</f>
        <v>0.76486370993713371</v>
      </c>
      <c r="Z106" s="787">
        <f>IFERROR(IF(VLOOKUP($A106,'All Stock'!$C$41:$AN$46,'All Stock'!X$40,FALSE)=0,"",VLOOKUP($A106,'All Stock'!$C$41:$AN$46,'All Stock'!X$40,FALSE)),"")</f>
        <v>0.78490216798672419</v>
      </c>
      <c r="AA106" s="787" t="str">
        <f>IFERROR(IF(VLOOKUP($A106,'All Stock'!$C$41:$AN$46,'All Stock'!Y$40,FALSE)=0,"",VLOOKUP($A106,'All Stock'!$C$41:$AN$46,'All Stock'!Y$40,FALSE)),"")</f>
        <v>0.7</v>
      </c>
      <c r="AB106" s="787">
        <f>IFERROR(IF(VLOOKUP($A106,'All Stock'!$C$41:$AN$46,'All Stock'!Z$40,FALSE)=0,"",VLOOKUP($A106,'All Stock'!$C$41:$AN$46,'All Stock'!Z$40,FALSE)),"")</f>
        <v>0.77566284204844005</v>
      </c>
      <c r="AC106" s="787">
        <f>IFERROR(IF(VLOOKUP($A106,'All Stock'!$C$41:$AN$46,'All Stock'!AA$40,FALSE)=0,"",VLOOKUP($A106,'All Stock'!$C$41:$AN$46,'All Stock'!AA$40,FALSE)),"")</f>
        <v>0.78641563412407145</v>
      </c>
      <c r="AD106" s="787">
        <f>IFERROR(IF(VLOOKUP($A106,'All Stock'!$C$41:$AN$46,'All Stock'!AB$40,FALSE)=0,"",VLOOKUP($A106,'All Stock'!$C$41:$AN$46,'All Stock'!AB$40,FALSE)),"")</f>
        <v>0.77354429534024727</v>
      </c>
      <c r="AE106" s="787">
        <f>IFERROR(IF(VLOOKUP($A106,'All Stock'!$C$41:$AN$46,'All Stock'!AC$40,FALSE)=0,"",VLOOKUP($A106,'All Stock'!$C$41:$AN$46,'All Stock'!AC$40,FALSE)),"")</f>
        <v>0.78557278476802406</v>
      </c>
      <c r="AF106" s="787">
        <f>IFERROR(IF(VLOOKUP($A106,'All Stock'!$C$41:$AN$46,'All Stock'!AD$40,FALSE)=0,"",VLOOKUP($A106,'All Stock'!$C$41:$AN$46,'All Stock'!AD$40,FALSE)),"")</f>
        <v>0.70221298243667163</v>
      </c>
      <c r="AG106" s="787">
        <f>IFERROR(IF(VLOOKUP($A106,'All Stock'!$C$41:$AN$46,'All Stock'!AE$40,FALSE)=0,"",VLOOKUP($A106,'All Stock'!$C$41:$AN$46,'All Stock'!AE$40,FALSE)),"")</f>
        <v>0.73166794796601431</v>
      </c>
      <c r="AH106" s="787">
        <f>IFERROR(IF(VLOOKUP($A106,'All Stock'!$C$41:$AN$46,'All Stock'!AF$40,FALSE)=0,"",VLOOKUP($A106,'All Stock'!$C$41:$AN$46,'All Stock'!AF$40,FALSE)),"")</f>
        <v>0.78940789812191514</v>
      </c>
      <c r="AI106" s="787">
        <f>IFERROR(IF(VLOOKUP($A106,'All Stock'!$C$41:$AN$46,'All Stock'!AG$40,FALSE)=0,"",VLOOKUP($A106,'All Stock'!$C$41:$AN$46,'All Stock'!AG$40,FALSE)),"")</f>
        <v>0.70945498712761879</v>
      </c>
      <c r="AJ106" s="787">
        <f>IFERROR(IF(VLOOKUP($A106,'All Stock'!$C$41:$AN$46,'All Stock'!AH$40,FALSE)=0,"",VLOOKUP($A106,'All Stock'!$C$41:$AN$46,'All Stock'!AH$40,FALSE)),"")</f>
        <v>0.75515261273787326</v>
      </c>
      <c r="AK106" s="787">
        <f>IFERROR(IF(VLOOKUP($A106,'All Stock'!$C$41:$AN$46,'All Stock'!AI$40,FALSE)=0,"",VLOOKUP($A106,'All Stock'!$C$41:$AN$46,'All Stock'!AI$40,FALSE)),"")</f>
        <v>0.78014366093572785</v>
      </c>
      <c r="AL106" s="787">
        <f>IFERROR(IF(VLOOKUP($A106,'All Stock'!$C$41:$AN$46,'All Stock'!AJ$40,FALSE)=0,"",VLOOKUP($A106,'All Stock'!$C$41:$AN$46,'All Stock'!AJ$40,FALSE)),"")</f>
        <v>0.74499429749397561</v>
      </c>
      <c r="AM106" s="787">
        <f>IFERROR(IF(VLOOKUP($A106,'All Stock'!$C$41:$AN$46,'All Stock'!AK$40,FALSE)=0,"",VLOOKUP($A106,'All Stock'!$C$41:$AN$46,'All Stock'!AK$40,FALSE)),"")</f>
        <v>0.74499429749397561</v>
      </c>
      <c r="AN106" s="787">
        <f>IFERROR(IF(VLOOKUP($A106,'All Stock'!$C$41:$AN$46,'All Stock'!AL$40,FALSE)=0,"",VLOOKUP($A106,'All Stock'!$C$41:$AN$46,'All Stock'!AL$40,FALSE)),"")</f>
        <v>0.78014366093572785</v>
      </c>
      <c r="AO106" s="787">
        <f>IFERROR(IF(VLOOKUP($A106,'All Stock'!$C$41:$AN$46,'All Stock'!AM$40,FALSE)=0,"",VLOOKUP($A106,'All Stock'!$C$41:$AN$46,'All Stock'!AM$40,FALSE)),"")</f>
        <v>0.74499429749397561</v>
      </c>
      <c r="AP106" s="787">
        <f>IFERROR(IF(VLOOKUP($A106,'All Stock'!$C$41:$AN$46,'All Stock'!AN$40,FALSE)=0,"",VLOOKUP($A106,'All Stock'!$C$41:$AN$46,'All Stock'!AN$40,FALSE)),"")</f>
        <v>0.74499429749397561</v>
      </c>
      <c r="AX106" s="496"/>
      <c r="AY106" s="496"/>
      <c r="AZ106" s="496"/>
      <c r="BA106" s="496"/>
      <c r="BB106" s="496"/>
      <c r="BC106" s="496"/>
      <c r="BD106" s="496"/>
      <c r="BE106" s="496"/>
      <c r="BF106" s="496"/>
      <c r="BG106" s="496"/>
      <c r="BH106" s="496"/>
      <c r="BI106" s="496"/>
      <c r="BJ106" s="496"/>
      <c r="BK106" s="496"/>
      <c r="BL106" s="496"/>
      <c r="BM106" s="496"/>
      <c r="BN106" s="496"/>
      <c r="BO106" s="496"/>
      <c r="BP106" s="496"/>
      <c r="BQ106" s="496"/>
      <c r="BR106" s="496"/>
      <c r="BS106" s="496"/>
      <c r="BT106" s="496"/>
      <c r="BU106" s="496"/>
      <c r="BV106" s="496"/>
      <c r="BW106" s="496"/>
      <c r="BX106" s="496"/>
      <c r="BY106" s="496"/>
      <c r="BZ106" s="496"/>
      <c r="CA106" s="496"/>
      <c r="CB106" s="496"/>
      <c r="CC106" s="496"/>
      <c r="CD106" s="496"/>
      <c r="CE106" s="496"/>
      <c r="CF106" s="496"/>
      <c r="CG106" s="496"/>
      <c r="CH106" s="496"/>
    </row>
    <row r="107" spans="1:86">
      <c r="A107" t="str">
        <f t="shared" si="49"/>
        <v>Derived heat</v>
      </c>
      <c r="C107" t="str">
        <f t="shared" si="50"/>
        <v>R_ES-SH-DH_HET</v>
      </c>
      <c r="E107" t="str">
        <f t="shared" si="51"/>
        <v>R_ES-DH-SpHeat</v>
      </c>
      <c r="F107" s="787">
        <f>IFERROR(IF(VLOOKUP($A107,'All Stock'!$C$41:$AN$46,'All Stock'!D$40,FALSE)=0,"",VLOOKUP($A107,'All Stock'!$C$41:$AN$46,'All Stock'!D$40,FALSE)),"")</f>
        <v>0.88333199390813688</v>
      </c>
      <c r="G107" s="787">
        <f>IFERROR(IF(VLOOKUP($A107,'All Stock'!$C$41:$AN$46,'All Stock'!E$40,FALSE)=0,"",VLOOKUP($A107,'All Stock'!$C$41:$AN$46,'All Stock'!E$40,FALSE)),"")</f>
        <v>0.83553618085187931</v>
      </c>
      <c r="H107" s="787">
        <f>IFERROR(IF(VLOOKUP($A107,'All Stock'!$C$41:$AN$46,'All Stock'!F$40,FALSE)=0,"",VLOOKUP($A107,'All Stock'!$C$41:$AN$46,'All Stock'!F$40,FALSE)),"")</f>
        <v>0.81206531351727507</v>
      </c>
      <c r="I107" s="787">
        <f>IFERROR(IF(VLOOKUP($A107,'All Stock'!$C$41:$AN$46,'All Stock'!G$40,FALSE)=0,"",VLOOKUP($A107,'All Stock'!$C$41:$AN$46,'All Stock'!G$40,FALSE)),"")</f>
        <v>0.95587493363207376</v>
      </c>
      <c r="J107" s="787" t="str">
        <f>IFERROR(IF(VLOOKUP($A107,'All Stock'!$C$41:$AN$46,'All Stock'!H$40,FALSE)=0,"",VLOOKUP($A107,'All Stock'!$C$41:$AN$46,'All Stock'!H$40,FALSE)),"")</f>
        <v>0.8</v>
      </c>
      <c r="K107" s="787">
        <f>IFERROR(IF(VLOOKUP($A107,'All Stock'!$C$41:$AN$46,'All Stock'!I$40,FALSE)=0,"",VLOOKUP($A107,'All Stock'!$C$41:$AN$46,'All Stock'!I$40,FALSE)),"")</f>
        <v>0.85208330762622653</v>
      </c>
      <c r="L107" s="787">
        <f>IFERROR(IF(VLOOKUP($A107,'All Stock'!$C$41:$AN$46,'All Stock'!J$40,FALSE)=0,"",VLOOKUP($A107,'All Stock'!$C$41:$AN$46,'All Stock'!J$40,FALSE)),"")</f>
        <v>0.95587493363207376</v>
      </c>
      <c r="M107" s="787">
        <f>IFERROR(IF(VLOOKUP($A107,'All Stock'!$C$41:$AN$46,'All Stock'!K$40,FALSE)=0,"",VLOOKUP($A107,'All Stock'!$C$41:$AN$46,'All Stock'!K$40,FALSE)),"")</f>
        <v>0.91841114092424625</v>
      </c>
      <c r="N107" s="787">
        <f>IFERROR(IF(VLOOKUP($A107,'All Stock'!$C$41:$AN$46,'All Stock'!L$40,FALSE)=0,"",VLOOKUP($A107,'All Stock'!$C$41:$AN$46,'All Stock'!L$40,FALSE)),"")</f>
        <v>0.89056811991588136</v>
      </c>
      <c r="O107" s="787" t="str">
        <f>IFERROR(IF(VLOOKUP($A107,'All Stock'!$C$41:$AN$46,'All Stock'!M$40,FALSE)=0,"",VLOOKUP($A107,'All Stock'!$C$41:$AN$46,'All Stock'!M$40,FALSE)),"")</f>
        <v>0.8</v>
      </c>
      <c r="P107" s="787">
        <f>IFERROR(IF(VLOOKUP($A107,'All Stock'!$C$41:$AN$46,'All Stock'!N$40,FALSE)=0,"",VLOOKUP($A107,'All Stock'!$C$41:$AN$46,'All Stock'!N$40,FALSE)),"")</f>
        <v>0.91664482565774474</v>
      </c>
      <c r="Q107" s="787">
        <f>IFERROR(IF(VLOOKUP($A107,'All Stock'!$C$41:$AN$46,'All Stock'!O$40,FALSE)=0,"",VLOOKUP($A107,'All Stock'!$C$41:$AN$46,'All Stock'!O$40,FALSE)),"")</f>
        <v>0.88619005258754446</v>
      </c>
      <c r="R107" s="787">
        <f>IFERROR(IF(VLOOKUP($A107,'All Stock'!$C$41:$AN$46,'All Stock'!P$40,FALSE)=0,"",VLOOKUP($A107,'All Stock'!$C$41:$AN$46,'All Stock'!P$40,FALSE)),"")</f>
        <v>0.76932726422269859</v>
      </c>
      <c r="S107" s="787">
        <f>IFERROR(IF(VLOOKUP($A107,'All Stock'!$C$41:$AN$46,'All Stock'!Q$40,FALSE)=0,"",VLOOKUP($A107,'All Stock'!$C$41:$AN$46,'All Stock'!Q$40,FALSE)),"")</f>
        <v>0.82057579490371624</v>
      </c>
      <c r="T107" s="787">
        <f>IFERROR(IF(VLOOKUP($A107,'All Stock'!$C$41:$AN$46,'All Stock'!R$40,FALSE)=0,"",VLOOKUP($A107,'All Stock'!$C$41:$AN$46,'All Stock'!R$40,FALSE)),"")</f>
        <v>0.7835271138190868</v>
      </c>
      <c r="U107" s="787" t="str">
        <f>IFERROR(IF(VLOOKUP($A107,'All Stock'!$C$41:$AN$46,'All Stock'!S$40,FALSE)=0,"",VLOOKUP($A107,'All Stock'!$C$41:$AN$46,'All Stock'!S$40,FALSE)),"")</f>
        <v>0.8</v>
      </c>
      <c r="V107" s="787">
        <f>IFERROR(IF(VLOOKUP($A107,'All Stock'!$C$41:$AN$46,'All Stock'!T$40,FALSE)=0,"",VLOOKUP($A107,'All Stock'!$C$41:$AN$46,'All Stock'!T$40,FALSE)),"")</f>
        <v>0.91841114092424625</v>
      </c>
      <c r="W107" s="787">
        <f>IFERROR(IF(VLOOKUP($A107,'All Stock'!$C$41:$AN$46,'All Stock'!U$40,FALSE)=0,"",VLOOKUP($A107,'All Stock'!$C$41:$AN$46,'All Stock'!U$40,FALSE)),"")</f>
        <v>0.84751572846603129</v>
      </c>
      <c r="X107" s="787">
        <f>IFERROR(IF(VLOOKUP($A107,'All Stock'!$C$41:$AN$46,'All Stock'!V$40,FALSE)=0,"",VLOOKUP($A107,'All Stock'!$C$41:$AN$46,'All Stock'!V$40,FALSE)),"")</f>
        <v>0.85076796364532514</v>
      </c>
      <c r="Y107" s="787" t="str">
        <f>IFERROR(IF(VLOOKUP($A107,'All Stock'!$C$41:$AN$46,'All Stock'!W$40,FALSE)=0,"",VLOOKUP($A107,'All Stock'!$C$41:$AN$46,'All Stock'!W$40,FALSE)),"")</f>
        <v>0.8</v>
      </c>
      <c r="Z107" s="787">
        <f>IFERROR(IF(VLOOKUP($A107,'All Stock'!$C$41:$AN$46,'All Stock'!X$40,FALSE)=0,"",VLOOKUP($A107,'All Stock'!$C$41:$AN$46,'All Stock'!X$40,FALSE)),"")</f>
        <v>0.89852031257747156</v>
      </c>
      <c r="AA107" s="787" t="str">
        <f>IFERROR(IF(VLOOKUP($A107,'All Stock'!$C$41:$AN$46,'All Stock'!Y$40,FALSE)=0,"",VLOOKUP($A107,'All Stock'!$C$41:$AN$46,'All Stock'!Y$40,FALSE)),"")</f>
        <v>0.8</v>
      </c>
      <c r="AB107" s="787">
        <f>IFERROR(IF(VLOOKUP($A107,'All Stock'!$C$41:$AN$46,'All Stock'!Z$40,FALSE)=0,"",VLOOKUP($A107,'All Stock'!$C$41:$AN$46,'All Stock'!Z$40,FALSE)),"")</f>
        <v>0.90645521755068992</v>
      </c>
      <c r="AC107" s="787">
        <f>IFERROR(IF(VLOOKUP($A107,'All Stock'!$C$41:$AN$46,'All Stock'!AA$40,FALSE)=0,"",VLOOKUP($A107,'All Stock'!$C$41:$AN$46,'All Stock'!AA$40,FALSE)),"")</f>
        <v>0.91841114092424625</v>
      </c>
      <c r="AD107" s="787">
        <f>IFERROR(IF(VLOOKUP($A107,'All Stock'!$C$41:$AN$46,'All Stock'!AB$40,FALSE)=0,"",VLOOKUP($A107,'All Stock'!$C$41:$AN$46,'All Stock'!AB$40,FALSE)),"")</f>
        <v>0.89540543411667217</v>
      </c>
      <c r="AE107" s="787">
        <f>IFERROR(IF(VLOOKUP($A107,'All Stock'!$C$41:$AN$46,'All Stock'!AC$40,FALSE)=0,"",VLOOKUP($A107,'All Stock'!$C$41:$AN$46,'All Stock'!AC$40,FALSE)),"")</f>
        <v>0.89097570060848374</v>
      </c>
      <c r="AF107" s="787">
        <f>IFERROR(IF(VLOOKUP($A107,'All Stock'!$C$41:$AN$46,'All Stock'!AD$40,FALSE)=0,"",VLOOKUP($A107,'All Stock'!$C$41:$AN$46,'All Stock'!AD$40,FALSE)),"")</f>
        <v>0.81167632186112504</v>
      </c>
      <c r="AG107" s="787">
        <f>IFERROR(IF(VLOOKUP($A107,'All Stock'!$C$41:$AN$46,'All Stock'!AE$40,FALSE)=0,"",VLOOKUP($A107,'All Stock'!$C$41:$AN$46,'All Stock'!AE$40,FALSE)),"")</f>
        <v>0.80134176644047972</v>
      </c>
      <c r="AH107" s="787">
        <f>IFERROR(IF(VLOOKUP($A107,'All Stock'!$C$41:$AN$46,'All Stock'!AF$40,FALSE)=0,"",VLOOKUP($A107,'All Stock'!$C$41:$AN$46,'All Stock'!AF$40,FALSE)),"")</f>
        <v>0.8975153837411004</v>
      </c>
      <c r="AI107" s="787">
        <f>IFERROR(IF(VLOOKUP($A107,'All Stock'!$C$41:$AN$46,'All Stock'!AG$40,FALSE)=0,"",VLOOKUP($A107,'All Stock'!$C$41:$AN$46,'All Stock'!AG$40,FALSE)),"")</f>
        <v>0.82350393173757808</v>
      </c>
      <c r="AJ107" s="787">
        <f>IFERROR(IF(VLOOKUP($A107,'All Stock'!$C$41:$AN$46,'All Stock'!AH$40,FALSE)=0,"",VLOOKUP($A107,'All Stock'!$C$41:$AN$46,'All Stock'!AH$40,FALSE)),"")</f>
        <v>0.86559601252689145</v>
      </c>
      <c r="AK107" s="787">
        <f>IFERROR(IF(VLOOKUP($A107,'All Stock'!$C$41:$AN$46,'All Stock'!AI$40,FALSE)=0,"",VLOOKUP($A107,'All Stock'!$C$41:$AN$46,'All Stock'!AI$40,FALSE)),"")</f>
        <v>0.85983635413125137</v>
      </c>
      <c r="AL107" s="787">
        <f>IFERROR(IF(VLOOKUP($A107,'All Stock'!$C$41:$AN$46,'All Stock'!AJ$40,FALSE)=0,"",VLOOKUP($A107,'All Stock'!$C$41:$AN$46,'All Stock'!AJ$40,FALSE)),"")</f>
        <v>0.8688449593098172</v>
      </c>
      <c r="AM107" s="787">
        <f>IFERROR(IF(VLOOKUP($A107,'All Stock'!$C$41:$AN$46,'All Stock'!AK$40,FALSE)=0,"",VLOOKUP($A107,'All Stock'!$C$41:$AN$46,'All Stock'!AK$40,FALSE)),"")</f>
        <v>0.8688449593098172</v>
      </c>
      <c r="AN107" s="787">
        <f>IFERROR(IF(VLOOKUP($A107,'All Stock'!$C$41:$AN$46,'All Stock'!AL$40,FALSE)=0,"",VLOOKUP($A107,'All Stock'!$C$41:$AN$46,'All Stock'!AL$40,FALSE)),"")</f>
        <v>0.85983635413125137</v>
      </c>
      <c r="AO107" s="787">
        <f>IFERROR(IF(VLOOKUP($A107,'All Stock'!$C$41:$AN$46,'All Stock'!AM$40,FALSE)=0,"",VLOOKUP($A107,'All Stock'!$C$41:$AN$46,'All Stock'!AM$40,FALSE)),"")</f>
        <v>0.8688449593098172</v>
      </c>
      <c r="AP107" s="787">
        <f>IFERROR(IF(VLOOKUP($A107,'All Stock'!$C$41:$AN$46,'All Stock'!AN$40,FALSE)=0,"",VLOOKUP($A107,'All Stock'!$C$41:$AN$46,'All Stock'!AN$40,FALSE)),"")</f>
        <v>0.8688449593098172</v>
      </c>
      <c r="AX107" s="496"/>
      <c r="AY107" s="496"/>
      <c r="AZ107" s="496"/>
      <c r="BA107" s="496"/>
      <c r="BB107" s="496"/>
      <c r="BC107" s="496"/>
      <c r="BD107" s="496"/>
      <c r="BE107" s="496"/>
      <c r="BF107" s="496"/>
      <c r="BG107" s="496"/>
      <c r="BH107" s="496"/>
      <c r="BI107" s="496"/>
      <c r="BJ107" s="496"/>
      <c r="BK107" s="496"/>
      <c r="BL107" s="496"/>
      <c r="BM107" s="496"/>
      <c r="BN107" s="496"/>
      <c r="BO107" s="496"/>
      <c r="BP107" s="496"/>
      <c r="BQ107" s="496"/>
      <c r="BR107" s="496"/>
      <c r="BS107" s="496"/>
      <c r="BT107" s="496"/>
      <c r="BU107" s="496"/>
      <c r="BV107" s="496"/>
      <c r="BW107" s="496"/>
      <c r="BX107" s="496"/>
      <c r="BY107" s="496"/>
      <c r="BZ107" s="496"/>
      <c r="CA107" s="496"/>
      <c r="CB107" s="496"/>
      <c r="CC107" s="496"/>
      <c r="CD107" s="496"/>
      <c r="CE107" s="496"/>
      <c r="CF107" s="496"/>
      <c r="CG107" s="496"/>
      <c r="CH107" s="496"/>
    </row>
    <row r="108" spans="1:86">
      <c r="A108" t="str">
        <f t="shared" si="49"/>
        <v>GDO and other liquids (incl. liq. bio.)</v>
      </c>
      <c r="C108" t="str">
        <f t="shared" si="50"/>
        <v>R_ES-SH-DH_OIL</v>
      </c>
      <c r="E108" t="str">
        <f t="shared" si="51"/>
        <v>R_ES-DH-SpHeat</v>
      </c>
      <c r="F108" s="787">
        <f>IFERROR(IF(VLOOKUP($A108,'All Stock'!$C$41:$AN$46,'All Stock'!D$40,FALSE)=0,"",VLOOKUP($A108,'All Stock'!$C$41:$AN$46,'All Stock'!D$40,FALSE)),"")</f>
        <v>0.80046714388348206</v>
      </c>
      <c r="G108" s="787">
        <f>IFERROR(IF(VLOOKUP($A108,'All Stock'!$C$41:$AN$46,'All Stock'!E$40,FALSE)=0,"",VLOOKUP($A108,'All Stock'!$C$41:$AN$46,'All Stock'!E$40,FALSE)),"")</f>
        <v>0.78828873049448667</v>
      </c>
      <c r="H108" s="787">
        <f>IFERROR(IF(VLOOKUP($A108,'All Stock'!$C$41:$AN$46,'All Stock'!F$40,FALSE)=0,"",VLOOKUP($A108,'All Stock'!$C$41:$AN$46,'All Stock'!F$40,FALSE)),"")</f>
        <v>0.79832009350619637</v>
      </c>
      <c r="I108" s="787">
        <f>IFERROR(IF(VLOOKUP($A108,'All Stock'!$C$41:$AN$46,'All Stock'!G$40,FALSE)=0,"",VLOOKUP($A108,'All Stock'!$C$41:$AN$46,'All Stock'!G$40,FALSE)),"")</f>
        <v>0.85774115403962237</v>
      </c>
      <c r="J108" s="787">
        <f>IFERROR(IF(VLOOKUP($A108,'All Stock'!$C$41:$AN$46,'All Stock'!H$40,FALSE)=0,"",VLOOKUP($A108,'All Stock'!$C$41:$AN$46,'All Stock'!H$40,FALSE)),"")</f>
        <v>0.58765688899384927</v>
      </c>
      <c r="K108" s="787" t="str">
        <f>IFERROR(IF(VLOOKUP($A108,'All Stock'!$C$41:$AN$46,'All Stock'!I$40,FALSE)=0,"",VLOOKUP($A108,'All Stock'!$C$41:$AN$46,'All Stock'!I$40,FALSE)),"")</f>
        <v>0.7</v>
      </c>
      <c r="L108" s="787">
        <f>IFERROR(IF(VLOOKUP($A108,'All Stock'!$C$41:$AN$46,'All Stock'!J$40,FALSE)=0,"",VLOOKUP($A108,'All Stock'!$C$41:$AN$46,'All Stock'!J$40,FALSE)),"")</f>
        <v>0.85774115403962237</v>
      </c>
      <c r="M108" s="787">
        <f>IFERROR(IF(VLOOKUP($A108,'All Stock'!$C$41:$AN$46,'All Stock'!K$40,FALSE)=0,"",VLOOKUP($A108,'All Stock'!$C$41:$AN$46,'All Stock'!K$40,FALSE)),"")</f>
        <v>0.8190120351671959</v>
      </c>
      <c r="N108" s="787">
        <f>IFERROR(IF(VLOOKUP($A108,'All Stock'!$C$41:$AN$46,'All Stock'!L$40,FALSE)=0,"",VLOOKUP($A108,'All Stock'!$C$41:$AN$46,'All Stock'!L$40,FALSE)),"")</f>
        <v>0.81235393287832658</v>
      </c>
      <c r="O108" s="787">
        <f>IFERROR(IF(VLOOKUP($A108,'All Stock'!$C$41:$AN$46,'All Stock'!M$40,FALSE)=0,"",VLOOKUP($A108,'All Stock'!$C$41:$AN$46,'All Stock'!M$40,FALSE)),"")</f>
        <v>0.73343396452087661</v>
      </c>
      <c r="P108" s="787">
        <f>IFERROR(IF(VLOOKUP($A108,'All Stock'!$C$41:$AN$46,'All Stock'!N$40,FALSE)=0,"",VLOOKUP($A108,'All Stock'!$C$41:$AN$46,'All Stock'!N$40,FALSE)),"")</f>
        <v>0.80783474157188151</v>
      </c>
      <c r="Q108" s="787">
        <f>IFERROR(IF(VLOOKUP($A108,'All Stock'!$C$41:$AN$46,'All Stock'!O$40,FALSE)=0,"",VLOOKUP($A108,'All Stock'!$C$41:$AN$46,'All Stock'!O$40,FALSE)),"")</f>
        <v>0.80927991684156053</v>
      </c>
      <c r="R108" s="787">
        <f>IFERROR(IF(VLOOKUP($A108,'All Stock'!$C$41:$AN$46,'All Stock'!P$40,FALSE)=0,"",VLOOKUP($A108,'All Stock'!$C$41:$AN$46,'All Stock'!P$40,FALSE)),"")</f>
        <v>0.77466708881465018</v>
      </c>
      <c r="S108" s="787">
        <f>IFERROR(IF(VLOOKUP($A108,'All Stock'!$C$41:$AN$46,'All Stock'!Q$40,FALSE)=0,"",VLOOKUP($A108,'All Stock'!$C$41:$AN$46,'All Stock'!Q$40,FALSE)),"")</f>
        <v>0.73652624040326831</v>
      </c>
      <c r="T108" s="787" t="str">
        <f>IFERROR(IF(VLOOKUP($A108,'All Stock'!$C$41:$AN$46,'All Stock'!R$40,FALSE)=0,"",VLOOKUP($A108,'All Stock'!$C$41:$AN$46,'All Stock'!R$40,FALSE)),"")</f>
        <v>0.7</v>
      </c>
      <c r="U108" s="787">
        <f>IFERROR(IF(VLOOKUP($A108,'All Stock'!$C$41:$AN$46,'All Stock'!S$40,FALSE)=0,"",VLOOKUP($A108,'All Stock'!$C$41:$AN$46,'All Stock'!S$40,FALSE)),"")</f>
        <v>0.7966026577728591</v>
      </c>
      <c r="V108" s="787">
        <f>IFERROR(IF(VLOOKUP($A108,'All Stock'!$C$41:$AN$46,'All Stock'!T$40,FALSE)=0,"",VLOOKUP($A108,'All Stock'!$C$41:$AN$46,'All Stock'!T$40,FALSE)),"")</f>
        <v>0.8190120351671959</v>
      </c>
      <c r="W108" s="787">
        <f>IFERROR(IF(VLOOKUP($A108,'All Stock'!$C$41:$AN$46,'All Stock'!U$40,FALSE)=0,"",VLOOKUP($A108,'All Stock'!$C$41:$AN$46,'All Stock'!U$40,FALSE)),"")</f>
        <v>0.77871481287333932</v>
      </c>
      <c r="X108" s="787">
        <f>IFERROR(IF(VLOOKUP($A108,'All Stock'!$C$41:$AN$46,'All Stock'!V$40,FALSE)=0,"",VLOOKUP($A108,'All Stock'!$C$41:$AN$46,'All Stock'!V$40,FALSE)),"")</f>
        <v>0.88346566731129295</v>
      </c>
      <c r="Y108" s="787">
        <f>IFERROR(IF(VLOOKUP($A108,'All Stock'!$C$41:$AN$46,'All Stock'!W$40,FALSE)=0,"",VLOOKUP($A108,'All Stock'!$C$41:$AN$46,'All Stock'!W$40,FALSE)),"")</f>
        <v>0.81205753376304002</v>
      </c>
      <c r="Z108" s="787">
        <f>IFERROR(IF(VLOOKUP($A108,'All Stock'!$C$41:$AN$46,'All Stock'!X$40,FALSE)=0,"",VLOOKUP($A108,'All Stock'!$C$41:$AN$46,'All Stock'!X$40,FALSE)),"")</f>
        <v>0.87388164139702085</v>
      </c>
      <c r="AA108" s="787" t="str">
        <f>IFERROR(IF(VLOOKUP($A108,'All Stock'!$C$41:$AN$46,'All Stock'!Y$40,FALSE)=0,"",VLOOKUP($A108,'All Stock'!$C$41:$AN$46,'All Stock'!Y$40,FALSE)),"")</f>
        <v>0.7</v>
      </c>
      <c r="AB108" s="787">
        <f>IFERROR(IF(VLOOKUP($A108,'All Stock'!$C$41:$AN$46,'All Stock'!Z$40,FALSE)=0,"",VLOOKUP($A108,'All Stock'!$C$41:$AN$46,'All Stock'!Z$40,FALSE)),"")</f>
        <v>0.85466748946388815</v>
      </c>
      <c r="AC108" s="787">
        <f>IFERROR(IF(VLOOKUP($A108,'All Stock'!$C$41:$AN$46,'All Stock'!AA$40,FALSE)=0,"",VLOOKUP($A108,'All Stock'!$C$41:$AN$46,'All Stock'!AA$40,FALSE)),"")</f>
        <v>0.8190120351671959</v>
      </c>
      <c r="AD108" s="787">
        <f>IFERROR(IF(VLOOKUP($A108,'All Stock'!$C$41:$AN$46,'All Stock'!AB$40,FALSE)=0,"",VLOOKUP($A108,'All Stock'!$C$41:$AN$46,'All Stock'!AB$40,FALSE)),"")</f>
        <v>0.85913533715116286</v>
      </c>
      <c r="AE108" s="787">
        <f>IFERROR(IF(VLOOKUP($A108,'All Stock'!$C$41:$AN$46,'All Stock'!AC$40,FALSE)=0,"",VLOOKUP($A108,'All Stock'!$C$41:$AN$46,'All Stock'!AC$40,FALSE)),"")</f>
        <v>0.87110462678715306</v>
      </c>
      <c r="AF108" s="787">
        <f>IFERROR(IF(VLOOKUP($A108,'All Stock'!$C$41:$AN$46,'All Stock'!AD$40,FALSE)=0,"",VLOOKUP($A108,'All Stock'!$C$41:$AN$46,'All Stock'!AD$40,FALSE)),"")</f>
        <v>0.78550868524009243</v>
      </c>
      <c r="AG108" s="787">
        <f>IFERROR(IF(VLOOKUP($A108,'All Stock'!$C$41:$AN$46,'All Stock'!AE$40,FALSE)=0,"",VLOOKUP($A108,'All Stock'!$C$41:$AN$46,'All Stock'!AE$40,FALSE)),"")</f>
        <v>0.80143670930650168</v>
      </c>
      <c r="AH108" s="787">
        <f>IFERROR(IF(VLOOKUP($A108,'All Stock'!$C$41:$AN$46,'All Stock'!AF$40,FALSE)=0,"",VLOOKUP($A108,'All Stock'!$C$41:$AN$46,'All Stock'!AF$40,FALSE)),"")</f>
        <v>0.79235399963550734</v>
      </c>
      <c r="AI108" s="787" t="str">
        <f>IFERROR(IF(VLOOKUP($A108,'All Stock'!$C$41:$AN$46,'All Stock'!AG$40,FALSE)=0,"",VLOOKUP($A108,'All Stock'!$C$41:$AN$46,'All Stock'!AG$40,FALSE)),"")</f>
        <v>0.7</v>
      </c>
      <c r="AJ108" s="787">
        <f>IFERROR(IF(VLOOKUP($A108,'All Stock'!$C$41:$AN$46,'All Stock'!AH$40,FALSE)=0,"",VLOOKUP($A108,'All Stock'!$C$41:$AN$46,'All Stock'!AH$40,FALSE)),"")</f>
        <v>0.81555876152258244</v>
      </c>
      <c r="AK108" s="787">
        <f>IFERROR(IF(VLOOKUP($A108,'All Stock'!$C$41:$AN$46,'All Stock'!AI$40,FALSE)=0,"",VLOOKUP($A108,'All Stock'!$C$41:$AN$46,'All Stock'!AI$40,FALSE)),"")</f>
        <v>0.77466708881465018</v>
      </c>
      <c r="AL108" s="787">
        <f>IFERROR(IF(VLOOKUP($A108,'All Stock'!$C$41:$AN$46,'All Stock'!AJ$40,FALSE)=0,"",VLOOKUP($A108,'All Stock'!$C$41:$AN$46,'All Stock'!AJ$40,FALSE)),"")</f>
        <v>0.78562798976348625</v>
      </c>
      <c r="AM108" s="787">
        <f>IFERROR(IF(VLOOKUP($A108,'All Stock'!$C$41:$AN$46,'All Stock'!AK$40,FALSE)=0,"",VLOOKUP($A108,'All Stock'!$C$41:$AN$46,'All Stock'!AK$40,FALSE)),"")</f>
        <v>0.78562798976348625</v>
      </c>
      <c r="AN108" s="787">
        <f>IFERROR(IF(VLOOKUP($A108,'All Stock'!$C$41:$AN$46,'All Stock'!AL$40,FALSE)=0,"",VLOOKUP($A108,'All Stock'!$C$41:$AN$46,'All Stock'!AL$40,FALSE)),"")</f>
        <v>0.77466708881465018</v>
      </c>
      <c r="AO108" s="787">
        <f>IFERROR(IF(VLOOKUP($A108,'All Stock'!$C$41:$AN$46,'All Stock'!AM$40,FALSE)=0,"",VLOOKUP($A108,'All Stock'!$C$41:$AN$46,'All Stock'!AM$40,FALSE)),"")</f>
        <v>0.78562798976348625</v>
      </c>
      <c r="AP108" s="787">
        <f>IFERROR(IF(VLOOKUP($A108,'All Stock'!$C$41:$AN$46,'All Stock'!AN$40,FALSE)=0,"",VLOOKUP($A108,'All Stock'!$C$41:$AN$46,'All Stock'!AN$40,FALSE)),"")</f>
        <v>0.78562798976348625</v>
      </c>
      <c r="AX108" s="496"/>
      <c r="AY108" s="496"/>
      <c r="AZ108" s="496"/>
      <c r="BA108" s="496"/>
      <c r="BB108" s="496"/>
      <c r="BC108" s="496"/>
      <c r="BD108" s="496"/>
      <c r="BE108" s="496"/>
      <c r="BF108" s="496"/>
      <c r="BG108" s="496"/>
      <c r="BH108" s="496"/>
      <c r="BI108" s="496"/>
      <c r="BJ108" s="496"/>
      <c r="BK108" s="496"/>
      <c r="BL108" s="496"/>
      <c r="BM108" s="496"/>
      <c r="BN108" s="496"/>
      <c r="BO108" s="496"/>
      <c r="BP108" s="496"/>
      <c r="BQ108" s="496"/>
      <c r="BR108" s="496"/>
      <c r="BS108" s="496"/>
      <c r="BT108" s="496"/>
      <c r="BU108" s="496"/>
      <c r="BV108" s="496"/>
      <c r="BW108" s="496"/>
      <c r="BX108" s="496"/>
      <c r="BY108" s="496"/>
      <c r="BZ108" s="496"/>
      <c r="CA108" s="496"/>
      <c r="CB108" s="496"/>
      <c r="CC108" s="496"/>
      <c r="CD108" s="496"/>
      <c r="CE108" s="496"/>
      <c r="CF108" s="496"/>
      <c r="CG108" s="496"/>
      <c r="CH108" s="496"/>
    </row>
    <row r="109" spans="1:86">
      <c r="A109" t="str">
        <f t="shared" si="49"/>
        <v>Biomass and wastes</v>
      </c>
      <c r="C109" t="str">
        <f t="shared" si="50"/>
        <v>R_ES-SH-DH_BIO</v>
      </c>
      <c r="E109" t="str">
        <f t="shared" si="51"/>
        <v>R_ES-DH-SpHeat</v>
      </c>
      <c r="F109" s="787">
        <f>IFERROR(IF(VLOOKUP($A109,'All Stock'!$C$41:$AN$46,'All Stock'!D$40,FALSE)=0,"",VLOOKUP($A109,'All Stock'!$C$41:$AN$46,'All Stock'!D$40,FALSE)),"")</f>
        <v>0.79425198795713625</v>
      </c>
      <c r="G109" s="787">
        <f>IFERROR(IF(VLOOKUP($A109,'All Stock'!$C$41:$AN$46,'All Stock'!E$40,FALSE)=0,"",VLOOKUP($A109,'All Stock'!$C$41:$AN$46,'All Stock'!E$40,FALSE)),"")</f>
        <v>0.78997502619337823</v>
      </c>
      <c r="H109" s="787">
        <f>IFERROR(IF(VLOOKUP($A109,'All Stock'!$C$41:$AN$46,'All Stock'!F$40,FALSE)=0,"",VLOOKUP($A109,'All Stock'!$C$41:$AN$46,'All Stock'!F$40,FALSE)),"")</f>
        <v>0.72609117616589591</v>
      </c>
      <c r="I109" s="787">
        <f>IFERROR(IF(VLOOKUP($A109,'All Stock'!$C$41:$AN$46,'All Stock'!G$40,FALSE)=0,"",VLOOKUP($A109,'All Stock'!$C$41:$AN$46,'All Stock'!G$40,FALSE)),"")</f>
        <v>0.88939691312296831</v>
      </c>
      <c r="J109" s="787">
        <f>IFERROR(IF(VLOOKUP($A109,'All Stock'!$C$41:$AN$46,'All Stock'!H$40,FALSE)=0,"",VLOOKUP($A109,'All Stock'!$C$41:$AN$46,'All Stock'!H$40,FALSE)),"")</f>
        <v>0.56988642829255631</v>
      </c>
      <c r="K109" s="787">
        <f>IFERROR(IF(VLOOKUP($A109,'All Stock'!$C$41:$AN$46,'All Stock'!I$40,FALSE)=0,"",VLOOKUP($A109,'All Stock'!$C$41:$AN$46,'All Stock'!I$40,FALSE)),"")</f>
        <v>0.75698356672417977</v>
      </c>
      <c r="L109" s="787">
        <f>IFERROR(IF(VLOOKUP($A109,'All Stock'!$C$41:$AN$46,'All Stock'!J$40,FALSE)=0,"",VLOOKUP($A109,'All Stock'!$C$41:$AN$46,'All Stock'!J$40,FALSE)),"")</f>
        <v>0.88939691312296831</v>
      </c>
      <c r="M109" s="787">
        <f>IFERROR(IF(VLOOKUP($A109,'All Stock'!$C$41:$AN$46,'All Stock'!K$40,FALSE)=0,"",VLOOKUP($A109,'All Stock'!$C$41:$AN$46,'All Stock'!K$40,FALSE)),"")</f>
        <v>0.84781454393670264</v>
      </c>
      <c r="N109" s="787">
        <f>IFERROR(IF(VLOOKUP($A109,'All Stock'!$C$41:$AN$46,'All Stock'!L$40,FALSE)=0,"",VLOOKUP($A109,'All Stock'!$C$41:$AN$46,'All Stock'!L$40,FALSE)),"")</f>
        <v>0.73363853980806792</v>
      </c>
      <c r="O109" s="787">
        <f>IFERROR(IF(VLOOKUP($A109,'All Stock'!$C$41:$AN$46,'All Stock'!M$40,FALSE)=0,"",VLOOKUP($A109,'All Stock'!$C$41:$AN$46,'All Stock'!M$40,FALSE)),"")</f>
        <v>0.7092868133572775</v>
      </c>
      <c r="P109" s="787">
        <f>IFERROR(IF(VLOOKUP($A109,'All Stock'!$C$41:$AN$46,'All Stock'!N$40,FALSE)=0,"",VLOOKUP($A109,'All Stock'!$C$41:$AN$46,'All Stock'!N$40,FALSE)),"")</f>
        <v>0.83322321495026497</v>
      </c>
      <c r="Q109" s="787">
        <f>IFERROR(IF(VLOOKUP($A109,'All Stock'!$C$41:$AN$46,'All Stock'!O$40,FALSE)=0,"",VLOOKUP($A109,'All Stock'!$C$41:$AN$46,'All Stock'!O$40,FALSE)),"")</f>
        <v>0.79998615803271977</v>
      </c>
      <c r="R109" s="787">
        <f>IFERROR(IF(VLOOKUP($A109,'All Stock'!$C$41:$AN$46,'All Stock'!P$40,FALSE)=0,"",VLOOKUP($A109,'All Stock'!$C$41:$AN$46,'All Stock'!P$40,FALSE)),"")</f>
        <v>0.7463307860088233</v>
      </c>
      <c r="S109" s="787">
        <f>IFERROR(IF(VLOOKUP($A109,'All Stock'!$C$41:$AN$46,'All Stock'!Q$40,FALSE)=0,"",VLOOKUP($A109,'All Stock'!$C$41:$AN$46,'All Stock'!Q$40,FALSE)),"")</f>
        <v>0.70586635948528242</v>
      </c>
      <c r="T109" s="787">
        <f>IFERROR(IF(VLOOKUP($A109,'All Stock'!$C$41:$AN$46,'All Stock'!R$40,FALSE)=0,"",VLOOKUP($A109,'All Stock'!$C$41:$AN$46,'All Stock'!R$40,FALSE)),"")</f>
        <v>0.76441135034493002</v>
      </c>
      <c r="U109" s="787">
        <f>IFERROR(IF(VLOOKUP($A109,'All Stock'!$C$41:$AN$46,'All Stock'!S$40,FALSE)=0,"",VLOOKUP($A109,'All Stock'!$C$41:$AN$46,'All Stock'!S$40,FALSE)),"")</f>
        <v>0.76351422046396589</v>
      </c>
      <c r="V109" s="787">
        <f>IFERROR(IF(VLOOKUP($A109,'All Stock'!$C$41:$AN$46,'All Stock'!T$40,FALSE)=0,"",VLOOKUP($A109,'All Stock'!$C$41:$AN$46,'All Stock'!T$40,FALSE)),"")</f>
        <v>0.84781454393670264</v>
      </c>
      <c r="W109" s="787">
        <f>IFERROR(IF(VLOOKUP($A109,'All Stock'!$C$41:$AN$46,'All Stock'!U$40,FALSE)=0,"",VLOOKUP($A109,'All Stock'!$C$41:$AN$46,'All Stock'!U$40,FALSE)),"")</f>
        <v>0.7686698831846539</v>
      </c>
      <c r="X109" s="787">
        <f>IFERROR(IF(VLOOKUP($A109,'All Stock'!$C$41:$AN$46,'All Stock'!V$40,FALSE)=0,"",VLOOKUP($A109,'All Stock'!$C$41:$AN$46,'All Stock'!V$40,FALSE)),"")</f>
        <v>0.74146384022277689</v>
      </c>
      <c r="Y109" s="787">
        <f>IFERROR(IF(VLOOKUP($A109,'All Stock'!$C$41:$AN$46,'All Stock'!W$40,FALSE)=0,"",VLOOKUP($A109,'All Stock'!$C$41:$AN$46,'All Stock'!W$40,FALSE)),"")</f>
        <v>0.79040869411771786</v>
      </c>
      <c r="Z109" s="787">
        <f>IFERROR(IF(VLOOKUP($A109,'All Stock'!$C$41:$AN$46,'All Stock'!X$40,FALSE)=0,"",VLOOKUP($A109,'All Stock'!$C$41:$AN$46,'All Stock'!X$40,FALSE)),"")</f>
        <v>0.79542895694786908</v>
      </c>
      <c r="AA109" s="787">
        <f>IFERROR(IF(VLOOKUP($A109,'All Stock'!$C$41:$AN$46,'All Stock'!Y$40,FALSE)=0,"",VLOOKUP($A109,'All Stock'!$C$41:$AN$46,'All Stock'!Y$40,FALSE)),"")</f>
        <v>1.0434128957133155</v>
      </c>
      <c r="AB109" s="787">
        <f>IFERROR(IF(VLOOKUP($A109,'All Stock'!$C$41:$AN$46,'All Stock'!Z$40,FALSE)=0,"",VLOOKUP($A109,'All Stock'!$C$41:$AN$46,'All Stock'!Z$40,FALSE)),"")</f>
        <v>0.82267627558681988</v>
      </c>
      <c r="AC109" s="787">
        <f>IFERROR(IF(VLOOKUP($A109,'All Stock'!$C$41:$AN$46,'All Stock'!AA$40,FALSE)=0,"",VLOOKUP($A109,'All Stock'!$C$41:$AN$46,'All Stock'!AA$40,FALSE)),"")</f>
        <v>0.84781454393670264</v>
      </c>
      <c r="AD109" s="787">
        <f>IFERROR(IF(VLOOKUP($A109,'All Stock'!$C$41:$AN$46,'All Stock'!AB$40,FALSE)=0,"",VLOOKUP($A109,'All Stock'!$C$41:$AN$46,'All Stock'!AB$40,FALSE)),"")</f>
        <v>0.78322749907057254</v>
      </c>
      <c r="AE109" s="787">
        <f>IFERROR(IF(VLOOKUP($A109,'All Stock'!$C$41:$AN$46,'All Stock'!AC$40,FALSE)=0,"",VLOOKUP($A109,'All Stock'!$C$41:$AN$46,'All Stock'!AC$40,FALSE)),"")</f>
        <v>0.79601790830593744</v>
      </c>
      <c r="AF109" s="787">
        <f>IFERROR(IF(VLOOKUP($A109,'All Stock'!$C$41:$AN$46,'All Stock'!AD$40,FALSE)=0,"",VLOOKUP($A109,'All Stock'!$C$41:$AN$46,'All Stock'!AD$40,FALSE)),"")</f>
        <v>0.73191704738132024</v>
      </c>
      <c r="AG109" s="787" t="str">
        <f>IFERROR(IF(VLOOKUP($A109,'All Stock'!$C$41:$AN$46,'All Stock'!AE$40,FALSE)=0,"",VLOOKUP($A109,'All Stock'!$C$41:$AN$46,'All Stock'!AE$40,FALSE)),"")</f>
        <v>0.7</v>
      </c>
      <c r="AH109" s="787">
        <f>IFERROR(IF(VLOOKUP($A109,'All Stock'!$C$41:$AN$46,'All Stock'!AF$40,FALSE)=0,"",VLOOKUP($A109,'All Stock'!$C$41:$AN$46,'All Stock'!AF$40,FALSE)),"")</f>
        <v>0.78984392531295</v>
      </c>
      <c r="AI109" s="787">
        <f>IFERROR(IF(VLOOKUP($A109,'All Stock'!$C$41:$AN$46,'All Stock'!AG$40,FALSE)=0,"",VLOOKUP($A109,'All Stock'!$C$41:$AN$46,'All Stock'!AG$40,FALSE)),"")</f>
        <v>0.73957260118169432</v>
      </c>
      <c r="AJ109" s="787">
        <f>IFERROR(IF(VLOOKUP($A109,'All Stock'!$C$41:$AN$46,'All Stock'!AH$40,FALSE)=0,"",VLOOKUP($A109,'All Stock'!$C$41:$AN$46,'All Stock'!AH$40,FALSE)),"")</f>
        <v>0.81749291886381314</v>
      </c>
      <c r="AK109" s="787">
        <f>IFERROR(IF(VLOOKUP($A109,'All Stock'!$C$41:$AN$46,'All Stock'!AI$40,FALSE)=0,"",VLOOKUP($A109,'All Stock'!$C$41:$AN$46,'All Stock'!AI$40,FALSE)),"")</f>
        <v>0.7463307860088233</v>
      </c>
      <c r="AL109" s="787">
        <f>IFERROR(IF(VLOOKUP($A109,'All Stock'!$C$41:$AN$46,'All Stock'!AJ$40,FALSE)=0,"",VLOOKUP($A109,'All Stock'!$C$41:$AN$46,'All Stock'!AJ$40,FALSE)),"")</f>
        <v>0.7601637717533809</v>
      </c>
      <c r="AM109" s="787">
        <f>IFERROR(IF(VLOOKUP($A109,'All Stock'!$C$41:$AN$46,'All Stock'!AK$40,FALSE)=0,"",VLOOKUP($A109,'All Stock'!$C$41:$AN$46,'All Stock'!AK$40,FALSE)),"")</f>
        <v>0.7601637717533809</v>
      </c>
      <c r="AN109" s="787">
        <f>IFERROR(IF(VLOOKUP($A109,'All Stock'!$C$41:$AN$46,'All Stock'!AL$40,FALSE)=0,"",VLOOKUP($A109,'All Stock'!$C$41:$AN$46,'All Stock'!AL$40,FALSE)),"")</f>
        <v>0.7463307860088233</v>
      </c>
      <c r="AO109" s="787">
        <f>IFERROR(IF(VLOOKUP($A109,'All Stock'!$C$41:$AN$46,'All Stock'!AM$40,FALSE)=0,"",VLOOKUP($A109,'All Stock'!$C$41:$AN$46,'All Stock'!AM$40,FALSE)),"")</f>
        <v>0.7601637717533809</v>
      </c>
      <c r="AP109" s="787">
        <f>IFERROR(IF(VLOOKUP($A109,'All Stock'!$C$41:$AN$46,'All Stock'!AN$40,FALSE)=0,"",VLOOKUP($A109,'All Stock'!$C$41:$AN$46,'All Stock'!AN$40,FALSE)),"")</f>
        <v>0.7601637717533809</v>
      </c>
      <c r="AX109" s="496"/>
      <c r="AY109" s="496"/>
      <c r="AZ109" s="496"/>
      <c r="BA109" s="496"/>
      <c r="BB109" s="496"/>
      <c r="BC109" s="496"/>
      <c r="BD109" s="496"/>
      <c r="BE109" s="496"/>
      <c r="BF109" s="496"/>
      <c r="BG109" s="496"/>
      <c r="BH109" s="496"/>
      <c r="BI109" s="496"/>
      <c r="BJ109" s="496"/>
      <c r="BK109" s="496"/>
      <c r="BL109" s="496"/>
      <c r="BM109" s="496"/>
      <c r="BN109" s="496"/>
      <c r="BO109" s="496"/>
      <c r="BP109" s="496"/>
      <c r="BQ109" s="496"/>
      <c r="BR109" s="496"/>
      <c r="BS109" s="496"/>
      <c r="BT109" s="496"/>
      <c r="BU109" s="496"/>
      <c r="BV109" s="496"/>
      <c r="BW109" s="496"/>
      <c r="BX109" s="496"/>
      <c r="BY109" s="496"/>
      <c r="BZ109" s="496"/>
      <c r="CA109" s="496"/>
      <c r="CB109" s="496"/>
      <c r="CC109" s="496"/>
      <c r="CD109" s="496"/>
      <c r="CE109" s="496"/>
      <c r="CF109" s="496"/>
      <c r="CG109" s="496"/>
      <c r="CH109" s="496"/>
    </row>
    <row r="110" spans="1:86">
      <c r="A110" t="str">
        <f t="shared" si="49"/>
        <v>Solids</v>
      </c>
      <c r="C110" t="str">
        <f t="shared" si="50"/>
        <v>R_ES-SH-DH_COA</v>
      </c>
      <c r="E110" t="str">
        <f t="shared" si="51"/>
        <v>R_ES-DH-SpHeat</v>
      </c>
      <c r="F110" s="787">
        <f>IFERROR(IF(VLOOKUP($A110,'All Stock'!$C$41:$AN$46,'All Stock'!D$40,FALSE)=0,"",VLOOKUP($A110,'All Stock'!$C$41:$AN$46,'All Stock'!D$40,FALSE)),"")</f>
        <v>0.84000944301201474</v>
      </c>
      <c r="G110" s="787">
        <f>IFERROR(IF(VLOOKUP($A110,'All Stock'!$C$41:$AN$46,'All Stock'!E$40,FALSE)=0,"",VLOOKUP($A110,'All Stock'!$C$41:$AN$46,'All Stock'!E$40,FALSE)),"")</f>
        <v>0.81351118392087329</v>
      </c>
      <c r="H110" s="787">
        <f>IFERROR(IF(VLOOKUP($A110,'All Stock'!$C$41:$AN$46,'All Stock'!F$40,FALSE)=0,"",VLOOKUP($A110,'All Stock'!$C$41:$AN$46,'All Stock'!F$40,FALSE)),"")</f>
        <v>0.76823818993776927</v>
      </c>
      <c r="I110" s="787">
        <f>IFERROR(IF(VLOOKUP($A110,'All Stock'!$C$41:$AN$46,'All Stock'!G$40,FALSE)=0,"",VLOOKUP($A110,'All Stock'!$C$41:$AN$46,'All Stock'!G$40,FALSE)),"")</f>
        <v>0.92459294417607674</v>
      </c>
      <c r="J110" s="787" t="str">
        <f>IFERROR(IF(VLOOKUP($A110,'All Stock'!$C$41:$AN$46,'All Stock'!H$40,FALSE)=0,"",VLOOKUP($A110,'All Stock'!$C$41:$AN$46,'All Stock'!H$40,FALSE)),"")</f>
        <v>0.7</v>
      </c>
      <c r="K110" s="787">
        <f>IFERROR(IF(VLOOKUP($A110,'All Stock'!$C$41:$AN$46,'All Stock'!I$40,FALSE)=0,"",VLOOKUP($A110,'All Stock'!$C$41:$AN$46,'All Stock'!I$40,FALSE)),"")</f>
        <v>0.80041513182527813</v>
      </c>
      <c r="L110" s="787">
        <f>IFERROR(IF(VLOOKUP($A110,'All Stock'!$C$41:$AN$46,'All Stock'!J$40,FALSE)=0,"",VLOOKUP($A110,'All Stock'!$C$41:$AN$46,'All Stock'!J$40,FALSE)),"")</f>
        <v>0.92459294417607674</v>
      </c>
      <c r="M110" s="787" t="str">
        <f>IFERROR(IF(VLOOKUP($A110,'All Stock'!$C$41:$AN$46,'All Stock'!K$40,FALSE)=0,"",VLOOKUP($A110,'All Stock'!$C$41:$AN$46,'All Stock'!K$40,FALSE)),"")</f>
        <v>0.7</v>
      </c>
      <c r="N110" s="787">
        <f>IFERROR(IF(VLOOKUP($A110,'All Stock'!$C$41:$AN$46,'All Stock'!L$40,FALSE)=0,"",VLOOKUP($A110,'All Stock'!$C$41:$AN$46,'All Stock'!L$40,FALSE)),"")</f>
        <v>0.77552864007769939</v>
      </c>
      <c r="O110" s="787">
        <f>IFERROR(IF(VLOOKUP($A110,'All Stock'!$C$41:$AN$46,'All Stock'!M$40,FALSE)=0,"",VLOOKUP($A110,'All Stock'!$C$41:$AN$46,'All Stock'!M$40,FALSE)),"")</f>
        <v>0.75325271367398605</v>
      </c>
      <c r="P110" s="787">
        <f>IFERROR(IF(VLOOKUP($A110,'All Stock'!$C$41:$AN$46,'All Stock'!N$40,FALSE)=0,"",VLOOKUP($A110,'All Stock'!$C$41:$AN$46,'All Stock'!N$40,FALSE)),"")</f>
        <v>0.87390787050256291</v>
      </c>
      <c r="Q110" s="787">
        <f>IFERROR(IF(VLOOKUP($A110,'All Stock'!$C$41:$AN$46,'All Stock'!O$40,FALSE)=0,"",VLOOKUP($A110,'All Stock'!$C$41:$AN$46,'All Stock'!O$40,FALSE)),"")</f>
        <v>0.85293753664915428</v>
      </c>
      <c r="R110" s="787" t="str">
        <f>IFERROR(IF(VLOOKUP($A110,'All Stock'!$C$41:$AN$46,'All Stock'!P$40,FALSE)=0,"",VLOOKUP($A110,'All Stock'!$C$41:$AN$46,'All Stock'!P$40,FALSE)),"")</f>
        <v>0.7</v>
      </c>
      <c r="S110" s="787">
        <f>IFERROR(IF(VLOOKUP($A110,'All Stock'!$C$41:$AN$46,'All Stock'!Q$40,FALSE)=0,"",VLOOKUP($A110,'All Stock'!$C$41:$AN$46,'All Stock'!Q$40,FALSE)),"")</f>
        <v>0.74878228771735789</v>
      </c>
      <c r="T110" s="787">
        <f>IFERROR(IF(VLOOKUP($A110,'All Stock'!$C$41:$AN$46,'All Stock'!R$40,FALSE)=0,"",VLOOKUP($A110,'All Stock'!$C$41:$AN$46,'All Stock'!R$40,FALSE)),"")</f>
        <v>0.78766540235995264</v>
      </c>
      <c r="U110" s="787">
        <f>IFERROR(IF(VLOOKUP($A110,'All Stock'!$C$41:$AN$46,'All Stock'!S$40,FALSE)=0,"",VLOOKUP($A110,'All Stock'!$C$41:$AN$46,'All Stock'!S$40,FALSE)),"")</f>
        <v>0.80013744981906032</v>
      </c>
      <c r="V110" s="787" t="str">
        <f>IFERROR(IF(VLOOKUP($A110,'All Stock'!$C$41:$AN$46,'All Stock'!T$40,FALSE)=0,"",VLOOKUP($A110,'All Stock'!$C$41:$AN$46,'All Stock'!T$40,FALSE)),"")</f>
        <v>0.7</v>
      </c>
      <c r="W110" s="787">
        <f>IFERROR(IF(VLOOKUP($A110,'All Stock'!$C$41:$AN$46,'All Stock'!U$40,FALSE)=0,"",VLOOKUP($A110,'All Stock'!$C$41:$AN$46,'All Stock'!U$40,FALSE)),"")</f>
        <v>0.79418327891432228</v>
      </c>
      <c r="X110" s="787">
        <f>IFERROR(IF(VLOOKUP($A110,'All Stock'!$C$41:$AN$46,'All Stock'!V$40,FALSE)=0,"",VLOOKUP($A110,'All Stock'!$C$41:$AN$46,'All Stock'!V$40,FALSE)),"")</f>
        <v>0.80856567448048</v>
      </c>
      <c r="Y110" s="787">
        <f>IFERROR(IF(VLOOKUP($A110,'All Stock'!$C$41:$AN$46,'All Stock'!W$40,FALSE)=0,"",VLOOKUP($A110,'All Stock'!$C$41:$AN$46,'All Stock'!W$40,FALSE)),"")</f>
        <v>0.84657514339166795</v>
      </c>
      <c r="Z110" s="787">
        <f>IFERROR(IF(VLOOKUP($A110,'All Stock'!$C$41:$AN$46,'All Stock'!X$40,FALSE)=0,"",VLOOKUP($A110,'All Stock'!$C$41:$AN$46,'All Stock'!X$40,FALSE)),"")</f>
        <v>0.82834230248009677</v>
      </c>
      <c r="AA110" s="787" t="str">
        <f>IFERROR(IF(VLOOKUP($A110,'All Stock'!$C$41:$AN$46,'All Stock'!Y$40,FALSE)=0,"",VLOOKUP($A110,'All Stock'!$C$41:$AN$46,'All Stock'!Y$40,FALSE)),"")</f>
        <v>0.7</v>
      </c>
      <c r="AB110" s="787">
        <f>IFERROR(IF(VLOOKUP($A110,'All Stock'!$C$41:$AN$46,'All Stock'!Z$40,FALSE)=0,"",VLOOKUP($A110,'All Stock'!$C$41:$AN$46,'All Stock'!Z$40,FALSE)),"")</f>
        <v>0.87282859281482128</v>
      </c>
      <c r="AC110" s="787" t="str">
        <f>IFERROR(IF(VLOOKUP($A110,'All Stock'!$C$41:$AN$46,'All Stock'!AA$40,FALSE)=0,"",VLOOKUP($A110,'All Stock'!$C$41:$AN$46,'All Stock'!AA$40,FALSE)),"")</f>
        <v>0.7</v>
      </c>
      <c r="AD110" s="787">
        <f>IFERROR(IF(VLOOKUP($A110,'All Stock'!$C$41:$AN$46,'All Stock'!AB$40,FALSE)=0,"",VLOOKUP($A110,'All Stock'!$C$41:$AN$46,'All Stock'!AB$40,FALSE)),"")</f>
        <v>0.8373533662291277</v>
      </c>
      <c r="AE110" s="787" t="str">
        <f>IFERROR(IF(VLOOKUP($A110,'All Stock'!$C$41:$AN$46,'All Stock'!AC$40,FALSE)=0,"",VLOOKUP($A110,'All Stock'!$C$41:$AN$46,'All Stock'!AC$40,FALSE)),"")</f>
        <v>0.7</v>
      </c>
      <c r="AF110" s="787">
        <f>IFERROR(IF(VLOOKUP($A110,'All Stock'!$C$41:$AN$46,'All Stock'!AD$40,FALSE)=0,"",VLOOKUP($A110,'All Stock'!$C$41:$AN$46,'All Stock'!AD$40,FALSE)),"")</f>
        <v>0.78986581106219267</v>
      </c>
      <c r="AG110" s="787" t="str">
        <f>IFERROR(IF(VLOOKUP($A110,'All Stock'!$C$41:$AN$46,'All Stock'!AE$40,FALSE)=0,"",VLOOKUP($A110,'All Stock'!$C$41:$AN$46,'All Stock'!AE$40,FALSE)),"")</f>
        <v>0.7</v>
      </c>
      <c r="AH110" s="787">
        <f>IFERROR(IF(VLOOKUP($A110,'All Stock'!$C$41:$AN$46,'All Stock'!AF$40,FALSE)=0,"",VLOOKUP($A110,'All Stock'!$C$41:$AN$46,'All Stock'!AF$40,FALSE)),"")</f>
        <v>0.82758004338518987</v>
      </c>
      <c r="AI110" s="787">
        <f>IFERROR(IF(VLOOKUP($A110,'All Stock'!$C$41:$AN$46,'All Stock'!AG$40,FALSE)=0,"",VLOOKUP($A110,'All Stock'!$C$41:$AN$46,'All Stock'!AG$40,FALSE)),"")</f>
        <v>0.8013895131480343</v>
      </c>
      <c r="AJ110" s="787">
        <f>IFERROR(IF(VLOOKUP($A110,'All Stock'!$C$41:$AN$46,'All Stock'!AH$40,FALSE)=0,"",VLOOKUP($A110,'All Stock'!$C$41:$AN$46,'All Stock'!AH$40,FALSE)),"")</f>
        <v>0.82867758316744888</v>
      </c>
      <c r="AK110" s="787" t="str">
        <f>IFERROR(IF(VLOOKUP($A110,'All Stock'!$C$41:$AN$46,'All Stock'!AI$40,FALSE)=0,"",VLOOKUP($A110,'All Stock'!$C$41:$AN$46,'All Stock'!AI$40,FALSE)),"")</f>
        <v>0.7</v>
      </c>
      <c r="AL110" s="787">
        <f>IFERROR(IF(VLOOKUP($A110,'All Stock'!$C$41:$AN$46,'All Stock'!AJ$40,FALSE)=0,"",VLOOKUP($A110,'All Stock'!$C$41:$AN$46,'All Stock'!AJ$40,FALSE)),"")</f>
        <v>0.8111808116938044</v>
      </c>
      <c r="AM110" s="787">
        <f>IFERROR(IF(VLOOKUP($A110,'All Stock'!$C$41:$AN$46,'All Stock'!AK$40,FALSE)=0,"",VLOOKUP($A110,'All Stock'!$C$41:$AN$46,'All Stock'!AK$40,FALSE)),"")</f>
        <v>0.8111808116938044</v>
      </c>
      <c r="AN110" s="787" t="str">
        <f>IFERROR(IF(VLOOKUP($A110,'All Stock'!$C$41:$AN$46,'All Stock'!AL$40,FALSE)=0,"",VLOOKUP($A110,'All Stock'!$C$41:$AN$46,'All Stock'!AL$40,FALSE)),"")</f>
        <v>0.7</v>
      </c>
      <c r="AO110" s="787">
        <f>IFERROR(IF(VLOOKUP($A110,'All Stock'!$C$41:$AN$46,'All Stock'!AM$40,FALSE)=0,"",VLOOKUP($A110,'All Stock'!$C$41:$AN$46,'All Stock'!AM$40,FALSE)),"")</f>
        <v>0.8111808116938044</v>
      </c>
      <c r="AP110" s="787">
        <f>IFERROR(IF(VLOOKUP($A110,'All Stock'!$C$41:$AN$46,'All Stock'!AN$40,FALSE)=0,"",VLOOKUP($A110,'All Stock'!$C$41:$AN$46,'All Stock'!AN$40,FALSE)),"")</f>
        <v>0.8111808116938044</v>
      </c>
      <c r="AX110" s="496"/>
      <c r="AY110" s="496"/>
      <c r="AZ110" s="496"/>
      <c r="BA110" s="496"/>
      <c r="BB110" s="496"/>
      <c r="BC110" s="496"/>
      <c r="BD110" s="496"/>
      <c r="BE110" s="496"/>
      <c r="BF110" s="496"/>
      <c r="BG110" s="496"/>
      <c r="BH110" s="496"/>
      <c r="BI110" s="496"/>
      <c r="BJ110" s="496"/>
      <c r="BK110" s="496"/>
      <c r="BL110" s="496"/>
      <c r="BM110" s="496"/>
      <c r="BN110" s="496"/>
      <c r="BO110" s="496"/>
      <c r="BP110" s="496"/>
      <c r="BQ110" s="496"/>
      <c r="BR110" s="496"/>
      <c r="BS110" s="496"/>
      <c r="BT110" s="496"/>
      <c r="BU110" s="496"/>
      <c r="BV110" s="496"/>
      <c r="BW110" s="496"/>
      <c r="BX110" s="496"/>
      <c r="BY110" s="496"/>
      <c r="BZ110" s="496"/>
      <c r="CA110" s="496"/>
      <c r="CB110" s="496"/>
      <c r="CC110" s="496"/>
      <c r="CD110" s="496"/>
      <c r="CE110" s="496"/>
      <c r="CF110" s="496"/>
      <c r="CG110" s="496"/>
      <c r="CH110" s="496"/>
    </row>
    <row r="111" spans="1:86">
      <c r="A111" t="str">
        <f t="shared" si="49"/>
        <v>LPG</v>
      </c>
      <c r="C111" t="str">
        <f t="shared" si="50"/>
        <v>R_ES-SH-DH_LPG</v>
      </c>
      <c r="E111" t="str">
        <f t="shared" si="51"/>
        <v>R_ES-DH-SpHeat</v>
      </c>
      <c r="F111" s="788">
        <f>IF(F108=0,"",F108)</f>
        <v>0.80046714388348206</v>
      </c>
      <c r="G111" s="788">
        <f t="shared" ref="G111:AP111" si="52">IF(G108=0,"",G108)</f>
        <v>0.78828873049448667</v>
      </c>
      <c r="H111" s="788">
        <f t="shared" si="52"/>
        <v>0.79832009350619637</v>
      </c>
      <c r="I111" s="788">
        <f t="shared" si="52"/>
        <v>0.85774115403962237</v>
      </c>
      <c r="J111" s="788">
        <f t="shared" si="52"/>
        <v>0.58765688899384927</v>
      </c>
      <c r="K111" s="788" t="str">
        <f t="shared" si="52"/>
        <v>0.7</v>
      </c>
      <c r="L111" s="788">
        <f t="shared" si="52"/>
        <v>0.85774115403962237</v>
      </c>
      <c r="M111" s="788">
        <f t="shared" si="52"/>
        <v>0.8190120351671959</v>
      </c>
      <c r="N111" s="788">
        <f t="shared" si="52"/>
        <v>0.81235393287832658</v>
      </c>
      <c r="O111" s="788">
        <f t="shared" si="52"/>
        <v>0.73343396452087661</v>
      </c>
      <c r="P111" s="788">
        <f t="shared" si="52"/>
        <v>0.80783474157188151</v>
      </c>
      <c r="Q111" s="788">
        <f t="shared" si="52"/>
        <v>0.80927991684156053</v>
      </c>
      <c r="R111" s="788">
        <f t="shared" si="52"/>
        <v>0.77466708881465018</v>
      </c>
      <c r="S111" s="788">
        <f t="shared" si="52"/>
        <v>0.73652624040326831</v>
      </c>
      <c r="T111" s="788" t="str">
        <f t="shared" si="52"/>
        <v>0.7</v>
      </c>
      <c r="U111" s="788">
        <f t="shared" si="52"/>
        <v>0.7966026577728591</v>
      </c>
      <c r="V111" s="788">
        <f t="shared" si="52"/>
        <v>0.8190120351671959</v>
      </c>
      <c r="W111" s="788">
        <f t="shared" si="52"/>
        <v>0.77871481287333932</v>
      </c>
      <c r="X111" s="788">
        <f t="shared" si="52"/>
        <v>0.88346566731129295</v>
      </c>
      <c r="Y111" s="788">
        <f t="shared" si="52"/>
        <v>0.81205753376304002</v>
      </c>
      <c r="Z111" s="788">
        <f t="shared" si="52"/>
        <v>0.87388164139702085</v>
      </c>
      <c r="AA111" s="788" t="str">
        <f t="shared" si="52"/>
        <v>0.7</v>
      </c>
      <c r="AB111" s="788">
        <f t="shared" si="52"/>
        <v>0.85466748946388815</v>
      </c>
      <c r="AC111" s="788">
        <f t="shared" si="52"/>
        <v>0.8190120351671959</v>
      </c>
      <c r="AD111" s="788">
        <f t="shared" si="52"/>
        <v>0.85913533715116286</v>
      </c>
      <c r="AE111" s="788">
        <f t="shared" si="52"/>
        <v>0.87110462678715306</v>
      </c>
      <c r="AF111" s="788">
        <f t="shared" si="52"/>
        <v>0.78550868524009243</v>
      </c>
      <c r="AG111" s="788">
        <f t="shared" si="52"/>
        <v>0.80143670930650168</v>
      </c>
      <c r="AH111" s="788">
        <f t="shared" si="52"/>
        <v>0.79235399963550734</v>
      </c>
      <c r="AI111" s="788" t="str">
        <f t="shared" si="52"/>
        <v>0.7</v>
      </c>
      <c r="AJ111" s="788">
        <f t="shared" si="52"/>
        <v>0.81555876152258244</v>
      </c>
      <c r="AK111" s="788">
        <f t="shared" si="52"/>
        <v>0.77466708881465018</v>
      </c>
      <c r="AL111" s="788">
        <f t="shared" si="52"/>
        <v>0.78562798976348625</v>
      </c>
      <c r="AM111" s="788">
        <f t="shared" si="52"/>
        <v>0.78562798976348625</v>
      </c>
      <c r="AN111" s="788">
        <f t="shared" si="52"/>
        <v>0.77466708881465018</v>
      </c>
      <c r="AO111" s="788">
        <f t="shared" si="52"/>
        <v>0.78562798976348625</v>
      </c>
      <c r="AP111" s="788">
        <f t="shared" si="52"/>
        <v>0.78562798976348625</v>
      </c>
      <c r="AX111" s="496"/>
      <c r="AY111" s="496"/>
      <c r="AZ111" s="496"/>
      <c r="BA111" s="496"/>
      <c r="BB111" s="496"/>
      <c r="BC111" s="496"/>
      <c r="BD111" s="496"/>
      <c r="BE111" s="496"/>
      <c r="BF111" s="496"/>
      <c r="BG111" s="496"/>
      <c r="BH111" s="496"/>
      <c r="BI111" s="496"/>
      <c r="BJ111" s="496"/>
      <c r="BK111" s="496"/>
      <c r="BL111" s="496"/>
      <c r="BM111" s="496"/>
      <c r="BN111" s="496"/>
      <c r="BO111" s="496"/>
      <c r="BP111" s="496"/>
      <c r="BQ111" s="496"/>
      <c r="BR111" s="496"/>
      <c r="BS111" s="496"/>
      <c r="BT111" s="496"/>
      <c r="BU111" s="496"/>
      <c r="BV111" s="496"/>
      <c r="BW111" s="496"/>
      <c r="BX111" s="496"/>
      <c r="BY111" s="496"/>
      <c r="BZ111" s="496"/>
      <c r="CA111" s="496"/>
      <c r="CB111" s="496"/>
      <c r="CC111" s="496"/>
      <c r="CD111" s="496"/>
      <c r="CE111" s="496"/>
      <c r="CF111" s="496"/>
      <c r="CG111" s="496"/>
      <c r="CH111" s="496"/>
    </row>
    <row r="112" spans="1:86">
      <c r="A112" t="str">
        <f t="shared" si="49"/>
        <v>Geothermal Energy</v>
      </c>
      <c r="C112" t="str">
        <f t="shared" si="50"/>
        <v>R_ES-SH-DH_GEO</v>
      </c>
      <c r="E112" t="str">
        <f t="shared" si="51"/>
        <v>R_ES-DH-SpHeat</v>
      </c>
      <c r="F112" s="788">
        <f>IF(F107=0,"",F107)</f>
        <v>0.88333199390813688</v>
      </c>
      <c r="G112" s="788">
        <f t="shared" ref="G112:AP112" si="53">IF(G107=0,"",G107)</f>
        <v>0.83553618085187931</v>
      </c>
      <c r="H112" s="788">
        <f t="shared" si="53"/>
        <v>0.81206531351727507</v>
      </c>
      <c r="I112" s="788">
        <f t="shared" si="53"/>
        <v>0.95587493363207376</v>
      </c>
      <c r="J112" s="788" t="str">
        <f t="shared" si="53"/>
        <v>0.8</v>
      </c>
      <c r="K112" s="788">
        <f t="shared" si="53"/>
        <v>0.85208330762622653</v>
      </c>
      <c r="L112" s="788">
        <f t="shared" si="53"/>
        <v>0.95587493363207376</v>
      </c>
      <c r="M112" s="788">
        <f t="shared" si="53"/>
        <v>0.91841114092424625</v>
      </c>
      <c r="N112" s="788">
        <f t="shared" si="53"/>
        <v>0.89056811991588136</v>
      </c>
      <c r="O112" s="788" t="str">
        <f t="shared" si="53"/>
        <v>0.8</v>
      </c>
      <c r="P112" s="788">
        <f t="shared" si="53"/>
        <v>0.91664482565774474</v>
      </c>
      <c r="Q112" s="788">
        <f t="shared" si="53"/>
        <v>0.88619005258754446</v>
      </c>
      <c r="R112" s="788">
        <f t="shared" si="53"/>
        <v>0.76932726422269859</v>
      </c>
      <c r="S112" s="788">
        <f t="shared" si="53"/>
        <v>0.82057579490371624</v>
      </c>
      <c r="T112" s="788">
        <f t="shared" si="53"/>
        <v>0.7835271138190868</v>
      </c>
      <c r="U112" s="788" t="str">
        <f t="shared" si="53"/>
        <v>0.8</v>
      </c>
      <c r="V112" s="788">
        <f t="shared" si="53"/>
        <v>0.91841114092424625</v>
      </c>
      <c r="W112" s="788">
        <f t="shared" si="53"/>
        <v>0.84751572846603129</v>
      </c>
      <c r="X112" s="788">
        <f t="shared" si="53"/>
        <v>0.85076796364532514</v>
      </c>
      <c r="Y112" s="788" t="str">
        <f t="shared" si="53"/>
        <v>0.8</v>
      </c>
      <c r="Z112" s="788">
        <f t="shared" si="53"/>
        <v>0.89852031257747156</v>
      </c>
      <c r="AA112" s="788" t="str">
        <f t="shared" si="53"/>
        <v>0.8</v>
      </c>
      <c r="AB112" s="788">
        <f t="shared" si="53"/>
        <v>0.90645521755068992</v>
      </c>
      <c r="AC112" s="788">
        <f t="shared" si="53"/>
        <v>0.91841114092424625</v>
      </c>
      <c r="AD112" s="788">
        <f t="shared" si="53"/>
        <v>0.89540543411667217</v>
      </c>
      <c r="AE112" s="788">
        <f t="shared" si="53"/>
        <v>0.89097570060848374</v>
      </c>
      <c r="AF112" s="788">
        <f t="shared" si="53"/>
        <v>0.81167632186112504</v>
      </c>
      <c r="AG112" s="788">
        <f t="shared" si="53"/>
        <v>0.80134176644047972</v>
      </c>
      <c r="AH112" s="788">
        <f t="shared" si="53"/>
        <v>0.8975153837411004</v>
      </c>
      <c r="AI112" s="788">
        <f t="shared" si="53"/>
        <v>0.82350393173757808</v>
      </c>
      <c r="AJ112" s="788">
        <f t="shared" si="53"/>
        <v>0.86559601252689145</v>
      </c>
      <c r="AK112" s="788">
        <f t="shared" si="53"/>
        <v>0.85983635413125137</v>
      </c>
      <c r="AL112" s="788">
        <f t="shared" si="53"/>
        <v>0.8688449593098172</v>
      </c>
      <c r="AM112" s="788">
        <f t="shared" si="53"/>
        <v>0.8688449593098172</v>
      </c>
      <c r="AN112" s="788">
        <f t="shared" si="53"/>
        <v>0.85983635413125137</v>
      </c>
      <c r="AO112" s="788">
        <f t="shared" si="53"/>
        <v>0.8688449593098172</v>
      </c>
      <c r="AP112" s="788">
        <f t="shared" si="53"/>
        <v>0.8688449593098172</v>
      </c>
      <c r="AX112" s="496"/>
      <c r="AY112" s="496"/>
      <c r="AZ112" s="496"/>
      <c r="BA112" s="496"/>
      <c r="BB112" s="496"/>
      <c r="BC112" s="496"/>
      <c r="BD112" s="496"/>
      <c r="BE112" s="496"/>
      <c r="BF112" s="496"/>
      <c r="BG112" s="496"/>
      <c r="BH112" s="496"/>
      <c r="BI112" s="496"/>
      <c r="BJ112" s="496"/>
      <c r="BK112" s="496"/>
      <c r="BL112" s="496"/>
      <c r="BM112" s="496"/>
      <c r="BN112" s="496"/>
      <c r="BO112" s="496"/>
      <c r="BP112" s="496"/>
      <c r="BQ112" s="496"/>
      <c r="BR112" s="496"/>
      <c r="BS112" s="496"/>
      <c r="BT112" s="496"/>
      <c r="BU112" s="496"/>
      <c r="BV112" s="496"/>
      <c r="BW112" s="496"/>
      <c r="BX112" s="496"/>
      <c r="BY112" s="496"/>
      <c r="BZ112" s="496"/>
      <c r="CA112" s="496"/>
      <c r="CB112" s="496"/>
      <c r="CC112" s="496"/>
      <c r="CD112" s="496"/>
      <c r="CE112" s="496"/>
      <c r="CF112" s="496"/>
      <c r="CG112" s="496"/>
      <c r="CH112" s="496"/>
    </row>
    <row r="113" spans="1:86">
      <c r="A113" t="str">
        <f t="shared" si="49"/>
        <v>Electricity</v>
      </c>
      <c r="C113" t="str">
        <f t="shared" si="50"/>
        <v>R_ES-SH-DH-70_ELC-R</v>
      </c>
      <c r="E113" t="str">
        <f t="shared" si="51"/>
        <v>R_ES-DH-70-SpHeat</v>
      </c>
      <c r="F113" s="787">
        <f>IFERROR(IF(VLOOKUP($A113,'All Stock'!$C$41:$AN$46,'All Stock'!D$40,FALSE)=0,"",VLOOKUP($A113,'All Stock'!$C$41:$AN$46,'All Stock'!D$40,FALSE)),"")</f>
        <v>0.81928900763721191</v>
      </c>
      <c r="G113" s="787">
        <f>IFERROR(IF(VLOOKUP($A113,'All Stock'!$C$41:$AN$46,'All Stock'!E$40,FALSE)=0,"",VLOOKUP($A113,'All Stock'!$C$41:$AN$46,'All Stock'!E$40,FALSE)),"")</f>
        <v>0.79900299844352862</v>
      </c>
      <c r="H113" s="787">
        <f>IFERROR(IF(VLOOKUP($A113,'All Stock'!$C$41:$AN$46,'All Stock'!F$40,FALSE)=0,"",VLOOKUP($A113,'All Stock'!$C$41:$AN$46,'All Stock'!F$40,FALSE)),"")</f>
        <v>0.73408809575765033</v>
      </c>
      <c r="I113" s="787">
        <f>IFERROR(IF(VLOOKUP($A113,'All Stock'!$C$41:$AN$46,'All Stock'!G$40,FALSE)=0,"",VLOOKUP($A113,'All Stock'!$C$41:$AN$46,'All Stock'!G$40,FALSE)),"")</f>
        <v>0.86347572459868804</v>
      </c>
      <c r="J113" s="787">
        <f>IFERROR(IF(VLOOKUP($A113,'All Stock'!$C$41:$AN$46,'All Stock'!H$40,FALSE)=0,"",VLOOKUP($A113,'All Stock'!$C$41:$AN$46,'All Stock'!H$40,FALSE)),"")</f>
        <v>0.70618228689710782</v>
      </c>
      <c r="K113" s="787">
        <f>IFERROR(IF(VLOOKUP($A113,'All Stock'!$C$41:$AN$46,'All Stock'!I$40,FALSE)=0,"",VLOOKUP($A113,'All Stock'!$C$41:$AN$46,'All Stock'!I$40,FALSE)),"")</f>
        <v>0.70582025115896152</v>
      </c>
      <c r="L113" s="787">
        <f>IFERROR(IF(VLOOKUP($A113,'All Stock'!$C$41:$AN$46,'All Stock'!J$40,FALSE)=0,"",VLOOKUP($A113,'All Stock'!$C$41:$AN$46,'All Stock'!J$40,FALSE)),"")</f>
        <v>0.86347572459868804</v>
      </c>
      <c r="M113" s="787">
        <f>IFERROR(IF(VLOOKUP($A113,'All Stock'!$C$41:$AN$46,'All Stock'!K$40,FALSE)=0,"",VLOOKUP($A113,'All Stock'!$C$41:$AN$46,'All Stock'!K$40,FALSE)),"")</f>
        <v>0.8001874970363646</v>
      </c>
      <c r="N113" s="787">
        <f>IFERROR(IF(VLOOKUP($A113,'All Stock'!$C$41:$AN$46,'All Stock'!L$40,FALSE)=0,"",VLOOKUP($A113,'All Stock'!$C$41:$AN$46,'All Stock'!L$40,FALSE)),"")</f>
        <v>0.75698599171100345</v>
      </c>
      <c r="O113" s="787">
        <f>IFERROR(IF(VLOOKUP($A113,'All Stock'!$C$41:$AN$46,'All Stock'!M$40,FALSE)=0,"",VLOOKUP($A113,'All Stock'!$C$41:$AN$46,'All Stock'!M$40,FALSE)),"")</f>
        <v>0.71635950787853064</v>
      </c>
      <c r="P113" s="787">
        <f>IFERROR(IF(VLOOKUP($A113,'All Stock'!$C$41:$AN$46,'All Stock'!N$40,FALSE)=0,"",VLOOKUP($A113,'All Stock'!$C$41:$AN$46,'All Stock'!N$40,FALSE)),"")</f>
        <v>0.81733074000663342</v>
      </c>
      <c r="Q113" s="787">
        <f>IFERROR(IF(VLOOKUP($A113,'All Stock'!$C$41:$AN$46,'All Stock'!O$40,FALSE)=0,"",VLOOKUP($A113,'All Stock'!$C$41:$AN$46,'All Stock'!O$40,FALSE)),"")</f>
        <v>0.81671823576041058</v>
      </c>
      <c r="R113" s="787">
        <f>IFERROR(IF(VLOOKUP($A113,'All Stock'!$C$41:$AN$46,'All Stock'!P$40,FALSE)=0,"",VLOOKUP($A113,'All Stock'!$C$41:$AN$46,'All Stock'!P$40,FALSE)),"")</f>
        <v>0.72282882147300664</v>
      </c>
      <c r="S113" s="787">
        <f>IFERROR(IF(VLOOKUP($A113,'All Stock'!$C$41:$AN$46,'All Stock'!Q$40,FALSE)=0,"",VLOOKUP($A113,'All Stock'!$C$41:$AN$46,'All Stock'!Q$40,FALSE)),"")</f>
        <v>0.71202455229284123</v>
      </c>
      <c r="T113" s="787">
        <f>IFERROR(IF(VLOOKUP($A113,'All Stock'!$C$41:$AN$46,'All Stock'!R$40,FALSE)=0,"",VLOOKUP($A113,'All Stock'!$C$41:$AN$46,'All Stock'!R$40,FALSE)),"")</f>
        <v>0.72917682462626643</v>
      </c>
      <c r="U113" s="787">
        <f>IFERROR(IF(VLOOKUP($A113,'All Stock'!$C$41:$AN$46,'All Stock'!S$40,FALSE)=0,"",VLOOKUP($A113,'All Stock'!$C$41:$AN$46,'All Stock'!S$40,FALSE)),"")</f>
        <v>0.75951434494584302</v>
      </c>
      <c r="V113" s="787">
        <f>IFERROR(IF(VLOOKUP($A113,'All Stock'!$C$41:$AN$46,'All Stock'!T$40,FALSE)=0,"",VLOOKUP($A113,'All Stock'!$C$41:$AN$46,'All Stock'!T$40,FALSE)),"")</f>
        <v>0.8001874970363646</v>
      </c>
      <c r="W113" s="787">
        <f>IFERROR(IF(VLOOKUP($A113,'All Stock'!$C$41:$AN$46,'All Stock'!U$40,FALSE)=0,"",VLOOKUP($A113,'All Stock'!$C$41:$AN$46,'All Stock'!U$40,FALSE)),"")</f>
        <v>0.76164435507238615</v>
      </c>
      <c r="X113" s="787">
        <f>IFERROR(IF(VLOOKUP($A113,'All Stock'!$C$41:$AN$46,'All Stock'!V$40,FALSE)=0,"",VLOOKUP($A113,'All Stock'!$C$41:$AN$46,'All Stock'!V$40,FALSE)),"")</f>
        <v>0.72542657031811564</v>
      </c>
      <c r="Y113" s="787">
        <f>IFERROR(IF(VLOOKUP($A113,'All Stock'!$C$41:$AN$46,'All Stock'!W$40,FALSE)=0,"",VLOOKUP($A113,'All Stock'!$C$41:$AN$46,'All Stock'!W$40,FALSE)),"")</f>
        <v>0.78087502002196951</v>
      </c>
      <c r="Z113" s="787">
        <f>IFERROR(IF(VLOOKUP($A113,'All Stock'!$C$41:$AN$46,'All Stock'!X$40,FALSE)=0,"",VLOOKUP($A113,'All Stock'!$C$41:$AN$46,'All Stock'!X$40,FALSE)),"")</f>
        <v>0.75951269724745896</v>
      </c>
      <c r="AA113" s="787">
        <f>IFERROR(IF(VLOOKUP($A113,'All Stock'!$C$41:$AN$46,'All Stock'!Y$40,FALSE)=0,"",VLOOKUP($A113,'All Stock'!$C$41:$AN$46,'All Stock'!Y$40,FALSE)),"")</f>
        <v>0.67551175099960736</v>
      </c>
      <c r="AB113" s="787">
        <f>IFERROR(IF(VLOOKUP($A113,'All Stock'!$C$41:$AN$46,'All Stock'!Z$40,FALSE)=0,"",VLOOKUP($A113,'All Stock'!$C$41:$AN$46,'All Stock'!Z$40,FALSE)),"")</f>
        <v>0.82446857044229116</v>
      </c>
      <c r="AC113" s="787">
        <f>IFERROR(IF(VLOOKUP($A113,'All Stock'!$C$41:$AN$46,'All Stock'!AA$40,FALSE)=0,"",VLOOKUP($A113,'All Stock'!$C$41:$AN$46,'All Stock'!AA$40,FALSE)),"")</f>
        <v>0.8001874970363646</v>
      </c>
      <c r="AD113" s="787">
        <f>IFERROR(IF(VLOOKUP($A113,'All Stock'!$C$41:$AN$46,'All Stock'!AB$40,FALSE)=0,"",VLOOKUP($A113,'All Stock'!$C$41:$AN$46,'All Stock'!AB$40,FALSE)),"")</f>
        <v>0.77572558406601155</v>
      </c>
      <c r="AE113" s="787">
        <f>IFERROR(IF(VLOOKUP($A113,'All Stock'!$C$41:$AN$46,'All Stock'!AC$40,FALSE)=0,"",VLOOKUP($A113,'All Stock'!$C$41:$AN$46,'All Stock'!AC$40,FALSE)),"")</f>
        <v>0.74814388647734709</v>
      </c>
      <c r="AF113" s="787">
        <f>IFERROR(IF(VLOOKUP($A113,'All Stock'!$C$41:$AN$46,'All Stock'!AD$40,FALSE)=0,"",VLOOKUP($A113,'All Stock'!$C$41:$AN$46,'All Stock'!AD$40,FALSE)),"")</f>
        <v>0.72440504092705404</v>
      </c>
      <c r="AG113" s="787">
        <f>IFERROR(IF(VLOOKUP($A113,'All Stock'!$C$41:$AN$46,'All Stock'!AE$40,FALSE)=0,"",VLOOKUP($A113,'All Stock'!$C$41:$AN$46,'All Stock'!AE$40,FALSE)),"")</f>
        <v>0.72971725971827717</v>
      </c>
      <c r="AH113" s="787">
        <f>IFERROR(IF(VLOOKUP($A113,'All Stock'!$C$41:$AN$46,'All Stock'!AF$40,FALSE)=0,"",VLOOKUP($A113,'All Stock'!$C$41:$AN$46,'All Stock'!AF$40,FALSE)),"")</f>
        <v>0.77385528191999364</v>
      </c>
      <c r="AI113" s="787">
        <f>IFERROR(IF(VLOOKUP($A113,'All Stock'!$C$41:$AN$46,'All Stock'!AG$40,FALSE)=0,"",VLOOKUP($A113,'All Stock'!$C$41:$AN$46,'All Stock'!AG$40,FALSE)),"")</f>
        <v>0.68382178584202868</v>
      </c>
      <c r="AJ113" s="787">
        <f>IFERROR(IF(VLOOKUP($A113,'All Stock'!$C$41:$AN$46,'All Stock'!AH$40,FALSE)=0,"",VLOOKUP($A113,'All Stock'!$C$41:$AN$46,'All Stock'!AH$40,FALSE)),"")</f>
        <v>0.77247864056518112</v>
      </c>
      <c r="AK113" s="787">
        <f>IFERROR(IF(VLOOKUP($A113,'All Stock'!$C$41:$AN$46,'All Stock'!AI$40,FALSE)=0,"",VLOOKUP($A113,'All Stock'!$C$41:$AN$46,'All Stock'!AI$40,FALSE)),"")</f>
        <v>0.72282882147300664</v>
      </c>
      <c r="AL113" s="787">
        <f>IFERROR(IF(VLOOKUP($A113,'All Stock'!$C$41:$AN$46,'All Stock'!AJ$40,FALSE)=0,"",VLOOKUP($A113,'All Stock'!$C$41:$AN$46,'All Stock'!AJ$40,FALSE)),"")</f>
        <v>0.71202455229284123</v>
      </c>
      <c r="AM113" s="787">
        <f>IFERROR(IF(VLOOKUP($A113,'All Stock'!$C$41:$AN$46,'All Stock'!AK$40,FALSE)=0,"",VLOOKUP($A113,'All Stock'!$C$41:$AN$46,'All Stock'!AK$40,FALSE)),"")</f>
        <v>0.71202455229284123</v>
      </c>
      <c r="AN113" s="787">
        <f>IFERROR(IF(VLOOKUP($A113,'All Stock'!$C$41:$AN$46,'All Stock'!AL$40,FALSE)=0,"",VLOOKUP($A113,'All Stock'!$C$41:$AN$46,'All Stock'!AL$40,FALSE)),"")</f>
        <v>0.72282882147300664</v>
      </c>
      <c r="AO113" s="787">
        <f>IFERROR(IF(VLOOKUP($A113,'All Stock'!$C$41:$AN$46,'All Stock'!AM$40,FALSE)=0,"",VLOOKUP($A113,'All Stock'!$C$41:$AN$46,'All Stock'!AM$40,FALSE)),"")</f>
        <v>0.71202455229284123</v>
      </c>
      <c r="AP113" s="787">
        <f>IFERROR(IF(VLOOKUP($A113,'All Stock'!$C$41:$AN$46,'All Stock'!AN$40,FALSE)=0,"",VLOOKUP($A113,'All Stock'!$C$41:$AN$46,'All Stock'!AN$40,FALSE)),"")</f>
        <v>0.71202455229284123</v>
      </c>
      <c r="AX113" s="496"/>
      <c r="AY113" s="496"/>
      <c r="AZ113" s="496"/>
      <c r="BA113" s="496"/>
      <c r="BB113" s="496"/>
      <c r="BC113" s="496"/>
      <c r="BD113" s="496"/>
      <c r="BE113" s="496"/>
      <c r="BF113" s="496"/>
      <c r="BG113" s="496"/>
      <c r="BH113" s="496"/>
      <c r="BI113" s="496"/>
      <c r="BJ113" s="496"/>
      <c r="BK113" s="496"/>
      <c r="BL113" s="496"/>
      <c r="BM113" s="496"/>
      <c r="BN113" s="496"/>
      <c r="BO113" s="496"/>
      <c r="BP113" s="496"/>
      <c r="BQ113" s="496"/>
      <c r="BR113" s="496"/>
      <c r="BS113" s="496"/>
      <c r="BT113" s="496"/>
      <c r="BU113" s="496"/>
      <c r="BV113" s="496"/>
      <c r="BW113" s="496"/>
      <c r="BX113" s="496"/>
      <c r="BY113" s="496"/>
      <c r="BZ113" s="496"/>
      <c r="CA113" s="496"/>
      <c r="CB113" s="496"/>
      <c r="CC113" s="496"/>
      <c r="CD113" s="496"/>
      <c r="CE113" s="496"/>
      <c r="CF113" s="496"/>
      <c r="CG113" s="496"/>
      <c r="CH113" s="496"/>
    </row>
    <row r="114" spans="1:86">
      <c r="A114" s="819" t="s">
        <v>937</v>
      </c>
      <c r="C114" t="str">
        <f>C70</f>
        <v>R_ES-SH-DH-70_ELC-HPA</v>
      </c>
      <c r="E114" t="str">
        <f>E70</f>
        <v>R_ES-DH-70-SpHeat</v>
      </c>
      <c r="F114" s="787">
        <f t="shared" ref="F114:AP114" si="54">F113</f>
        <v>0.81928900763721191</v>
      </c>
      <c r="G114" s="787">
        <f t="shared" si="54"/>
        <v>0.79900299844352862</v>
      </c>
      <c r="H114" s="787">
        <f t="shared" si="54"/>
        <v>0.73408809575765033</v>
      </c>
      <c r="I114" s="787">
        <f t="shared" si="54"/>
        <v>0.86347572459868804</v>
      </c>
      <c r="J114" s="787">
        <f t="shared" si="54"/>
        <v>0.70618228689710782</v>
      </c>
      <c r="K114" s="787">
        <f t="shared" si="54"/>
        <v>0.70582025115896152</v>
      </c>
      <c r="L114" s="787">
        <f t="shared" si="54"/>
        <v>0.86347572459868804</v>
      </c>
      <c r="M114" s="787">
        <f t="shared" si="54"/>
        <v>0.8001874970363646</v>
      </c>
      <c r="N114" s="787">
        <f t="shared" si="54"/>
        <v>0.75698599171100345</v>
      </c>
      <c r="O114" s="787">
        <f t="shared" si="54"/>
        <v>0.71635950787853064</v>
      </c>
      <c r="P114" s="787">
        <f t="shared" si="54"/>
        <v>0.81733074000663342</v>
      </c>
      <c r="Q114" s="787">
        <f t="shared" si="54"/>
        <v>0.81671823576041058</v>
      </c>
      <c r="R114" s="787">
        <f t="shared" si="54"/>
        <v>0.72282882147300664</v>
      </c>
      <c r="S114" s="787">
        <f t="shared" si="54"/>
        <v>0.71202455229284123</v>
      </c>
      <c r="T114" s="787">
        <f t="shared" si="54"/>
        <v>0.72917682462626643</v>
      </c>
      <c r="U114" s="787">
        <f t="shared" si="54"/>
        <v>0.75951434494584302</v>
      </c>
      <c r="V114" s="787">
        <f t="shared" si="54"/>
        <v>0.8001874970363646</v>
      </c>
      <c r="W114" s="787">
        <f t="shared" si="54"/>
        <v>0.76164435507238615</v>
      </c>
      <c r="X114" s="787">
        <f t="shared" si="54"/>
        <v>0.72542657031811564</v>
      </c>
      <c r="Y114" s="787">
        <f t="shared" si="54"/>
        <v>0.78087502002196951</v>
      </c>
      <c r="Z114" s="787">
        <f t="shared" si="54"/>
        <v>0.75951269724745896</v>
      </c>
      <c r="AA114" s="787">
        <f t="shared" si="54"/>
        <v>0.67551175099960736</v>
      </c>
      <c r="AB114" s="787">
        <f t="shared" si="54"/>
        <v>0.82446857044229116</v>
      </c>
      <c r="AC114" s="787">
        <f t="shared" si="54"/>
        <v>0.8001874970363646</v>
      </c>
      <c r="AD114" s="787">
        <f t="shared" si="54"/>
        <v>0.77572558406601155</v>
      </c>
      <c r="AE114" s="787">
        <f t="shared" si="54"/>
        <v>0.74814388647734709</v>
      </c>
      <c r="AF114" s="787">
        <f t="shared" si="54"/>
        <v>0.72440504092705404</v>
      </c>
      <c r="AG114" s="787">
        <f t="shared" si="54"/>
        <v>0.72971725971827717</v>
      </c>
      <c r="AH114" s="787">
        <f t="shared" si="54"/>
        <v>0.77385528191999364</v>
      </c>
      <c r="AI114" s="787">
        <f t="shared" si="54"/>
        <v>0.68382178584202868</v>
      </c>
      <c r="AJ114" s="787">
        <f t="shared" si="54"/>
        <v>0.77247864056518112</v>
      </c>
      <c r="AK114" s="787">
        <f t="shared" si="54"/>
        <v>0.72282882147300664</v>
      </c>
      <c r="AL114" s="787">
        <f t="shared" si="54"/>
        <v>0.71202455229284123</v>
      </c>
      <c r="AM114" s="787">
        <f t="shared" si="54"/>
        <v>0.71202455229284123</v>
      </c>
      <c r="AN114" s="787">
        <f t="shared" si="54"/>
        <v>0.72282882147300664</v>
      </c>
      <c r="AO114" s="787">
        <f t="shared" si="54"/>
        <v>0.71202455229284123</v>
      </c>
      <c r="AP114" s="787">
        <f t="shared" si="54"/>
        <v>0.71202455229284123</v>
      </c>
      <c r="AX114" s="496"/>
      <c r="AY114" s="496"/>
      <c r="AZ114" s="496"/>
      <c r="BA114" s="496"/>
      <c r="BB114" s="496"/>
      <c r="BC114" s="496"/>
      <c r="BD114" s="496"/>
      <c r="BE114" s="496"/>
      <c r="BF114" s="496"/>
      <c r="BG114" s="496"/>
      <c r="BH114" s="496"/>
      <c r="BI114" s="496"/>
      <c r="BJ114" s="496"/>
      <c r="BK114" s="496"/>
      <c r="BL114" s="496"/>
      <c r="BM114" s="496"/>
      <c r="BN114" s="496"/>
      <c r="BO114" s="496"/>
      <c r="BP114" s="496"/>
      <c r="BQ114" s="496"/>
      <c r="BR114" s="496"/>
      <c r="BS114" s="496"/>
      <c r="BT114" s="496"/>
      <c r="BU114" s="496"/>
      <c r="BV114" s="496"/>
      <c r="BW114" s="496"/>
      <c r="BX114" s="496"/>
      <c r="BY114" s="496"/>
      <c r="BZ114" s="496"/>
      <c r="CA114" s="496"/>
      <c r="CB114" s="496"/>
      <c r="CC114" s="496"/>
      <c r="CD114" s="496"/>
      <c r="CE114" s="496"/>
      <c r="CF114" s="496"/>
      <c r="CG114" s="496"/>
      <c r="CH114" s="496"/>
    </row>
    <row r="115" spans="1:86">
      <c r="A115" s="819" t="s">
        <v>938</v>
      </c>
      <c r="C115" t="str">
        <f>C71</f>
        <v>R_ES-SH-DH-70_ELC-HPG</v>
      </c>
      <c r="E115" t="str">
        <f>E71</f>
        <v>R_ES-DH-70-SpHeat</v>
      </c>
      <c r="F115" s="787">
        <f t="shared" ref="F115:AP115" si="55">F113</f>
        <v>0.81928900763721191</v>
      </c>
      <c r="G115" s="787">
        <f t="shared" si="55"/>
        <v>0.79900299844352862</v>
      </c>
      <c r="H115" s="787">
        <f t="shared" si="55"/>
        <v>0.73408809575765033</v>
      </c>
      <c r="I115" s="787">
        <f t="shared" si="55"/>
        <v>0.86347572459868804</v>
      </c>
      <c r="J115" s="787">
        <f t="shared" si="55"/>
        <v>0.70618228689710782</v>
      </c>
      <c r="K115" s="787">
        <f t="shared" si="55"/>
        <v>0.70582025115896152</v>
      </c>
      <c r="L115" s="787">
        <f t="shared" si="55"/>
        <v>0.86347572459868804</v>
      </c>
      <c r="M115" s="787">
        <f t="shared" si="55"/>
        <v>0.8001874970363646</v>
      </c>
      <c r="N115" s="787">
        <f t="shared" si="55"/>
        <v>0.75698599171100345</v>
      </c>
      <c r="O115" s="787">
        <f t="shared" si="55"/>
        <v>0.71635950787853064</v>
      </c>
      <c r="P115" s="787">
        <f t="shared" si="55"/>
        <v>0.81733074000663342</v>
      </c>
      <c r="Q115" s="787">
        <f t="shared" si="55"/>
        <v>0.81671823576041058</v>
      </c>
      <c r="R115" s="787">
        <f t="shared" si="55"/>
        <v>0.72282882147300664</v>
      </c>
      <c r="S115" s="787">
        <f t="shared" si="55"/>
        <v>0.71202455229284123</v>
      </c>
      <c r="T115" s="787">
        <f t="shared" si="55"/>
        <v>0.72917682462626643</v>
      </c>
      <c r="U115" s="787">
        <f t="shared" si="55"/>
        <v>0.75951434494584302</v>
      </c>
      <c r="V115" s="787">
        <f t="shared" si="55"/>
        <v>0.8001874970363646</v>
      </c>
      <c r="W115" s="787">
        <f t="shared" si="55"/>
        <v>0.76164435507238615</v>
      </c>
      <c r="X115" s="787">
        <f t="shared" si="55"/>
        <v>0.72542657031811564</v>
      </c>
      <c r="Y115" s="787">
        <f t="shared" si="55"/>
        <v>0.78087502002196951</v>
      </c>
      <c r="Z115" s="787">
        <f t="shared" si="55"/>
        <v>0.75951269724745896</v>
      </c>
      <c r="AA115" s="787">
        <f t="shared" si="55"/>
        <v>0.67551175099960736</v>
      </c>
      <c r="AB115" s="787">
        <f t="shared" si="55"/>
        <v>0.82446857044229116</v>
      </c>
      <c r="AC115" s="787">
        <f t="shared" si="55"/>
        <v>0.8001874970363646</v>
      </c>
      <c r="AD115" s="787">
        <f t="shared" si="55"/>
        <v>0.77572558406601155</v>
      </c>
      <c r="AE115" s="787">
        <f t="shared" si="55"/>
        <v>0.74814388647734709</v>
      </c>
      <c r="AF115" s="787">
        <f t="shared" si="55"/>
        <v>0.72440504092705404</v>
      </c>
      <c r="AG115" s="787">
        <f t="shared" si="55"/>
        <v>0.72971725971827717</v>
      </c>
      <c r="AH115" s="787">
        <f t="shared" si="55"/>
        <v>0.77385528191999364</v>
      </c>
      <c r="AI115" s="787">
        <f t="shared" si="55"/>
        <v>0.68382178584202868</v>
      </c>
      <c r="AJ115" s="787">
        <f t="shared" si="55"/>
        <v>0.77247864056518112</v>
      </c>
      <c r="AK115" s="787">
        <f t="shared" si="55"/>
        <v>0.72282882147300664</v>
      </c>
      <c r="AL115" s="787">
        <f t="shared" si="55"/>
        <v>0.71202455229284123</v>
      </c>
      <c r="AM115" s="787">
        <f t="shared" si="55"/>
        <v>0.71202455229284123</v>
      </c>
      <c r="AN115" s="787">
        <f t="shared" si="55"/>
        <v>0.72282882147300664</v>
      </c>
      <c r="AO115" s="787">
        <f t="shared" si="55"/>
        <v>0.71202455229284123</v>
      </c>
      <c r="AP115" s="787">
        <f t="shared" si="55"/>
        <v>0.71202455229284123</v>
      </c>
      <c r="AX115" s="496"/>
      <c r="AY115" s="496"/>
      <c r="AZ115" s="496"/>
      <c r="BA115" s="496"/>
      <c r="BB115" s="496"/>
      <c r="BC115" s="496"/>
      <c r="BD115" s="496"/>
      <c r="BE115" s="496"/>
      <c r="BF115" s="496"/>
      <c r="BG115" s="496"/>
      <c r="BH115" s="496"/>
      <c r="BI115" s="496"/>
      <c r="BJ115" s="496"/>
      <c r="BK115" s="496"/>
      <c r="BL115" s="496"/>
      <c r="BM115" s="496"/>
      <c r="BN115" s="496"/>
      <c r="BO115" s="496"/>
      <c r="BP115" s="496"/>
      <c r="BQ115" s="496"/>
      <c r="BR115" s="496"/>
      <c r="BS115" s="496"/>
      <c r="BT115" s="496"/>
      <c r="BU115" s="496"/>
      <c r="BV115" s="496"/>
      <c r="BW115" s="496"/>
      <c r="BX115" s="496"/>
      <c r="BY115" s="496"/>
      <c r="BZ115" s="496"/>
      <c r="CA115" s="496"/>
      <c r="CB115" s="496"/>
      <c r="CC115" s="496"/>
      <c r="CD115" s="496"/>
      <c r="CE115" s="496"/>
      <c r="CF115" s="496"/>
      <c r="CG115" s="496"/>
      <c r="CH115" s="496"/>
    </row>
    <row r="116" spans="1:86">
      <c r="A116" t="str">
        <f t="shared" ref="A116:A123" si="56">A72</f>
        <v>Gases</v>
      </c>
      <c r="C116" t="str">
        <f t="shared" ref="C116:C125" si="57">C72</f>
        <v>R_ES-SH-DH-70_GAS</v>
      </c>
      <c r="E116" t="str">
        <f t="shared" ref="E116:E125" si="58">E72</f>
        <v>R_ES-DH-70-SpHeat</v>
      </c>
      <c r="F116" s="787">
        <f>IFERROR(IF(VLOOKUP($A116,'All Stock'!$C$41:$AN$46,'All Stock'!D$40,FALSE)=0,"",VLOOKUP($A116,'All Stock'!$C$41:$AN$46,'All Stock'!D$40,FALSE)),"")</f>
        <v>0.75592888056203189</v>
      </c>
      <c r="G116" s="787">
        <f>IFERROR(IF(VLOOKUP($A116,'All Stock'!$C$41:$AN$46,'All Stock'!E$40,FALSE)=0,"",VLOOKUP($A116,'All Stock'!$C$41:$AN$46,'All Stock'!E$40,FALSE)),"")</f>
        <v>0.74380140917100879</v>
      </c>
      <c r="H116" s="787">
        <f>IFERROR(IF(VLOOKUP($A116,'All Stock'!$C$41:$AN$46,'All Stock'!F$40,FALSE)=0,"",VLOOKUP($A116,'All Stock'!$C$41:$AN$46,'All Stock'!F$40,FALSE)),"")</f>
        <v>0.74639155346086394</v>
      </c>
      <c r="I116" s="787">
        <f>IFERROR(IF(VLOOKUP($A116,'All Stock'!$C$41:$AN$46,'All Stock'!G$40,FALSE)=0,"",VLOOKUP($A116,'All Stock'!$C$41:$AN$46,'All Stock'!G$40,FALSE)),"")</f>
        <v>0.81017863000366019</v>
      </c>
      <c r="J116" s="787" t="str">
        <f>IFERROR(IF(VLOOKUP($A116,'All Stock'!$C$41:$AN$46,'All Stock'!H$40,FALSE)=0,"",VLOOKUP($A116,'All Stock'!$C$41:$AN$46,'All Stock'!H$40,FALSE)),"")</f>
        <v>0.7</v>
      </c>
      <c r="K116" s="787">
        <f>IFERROR(IF(VLOOKUP($A116,'All Stock'!$C$41:$AN$46,'All Stock'!I$40,FALSE)=0,"",VLOOKUP($A116,'All Stock'!$C$41:$AN$46,'All Stock'!I$40,FALSE)),"")</f>
        <v>0.73442600881407805</v>
      </c>
      <c r="L116" s="787">
        <f>IFERROR(IF(VLOOKUP($A116,'All Stock'!$C$41:$AN$46,'All Stock'!J$40,FALSE)=0,"",VLOOKUP($A116,'All Stock'!$C$41:$AN$46,'All Stock'!J$40,FALSE)),"")</f>
        <v>0.81017863000366019</v>
      </c>
      <c r="M116" s="787">
        <f>IFERROR(IF(VLOOKUP($A116,'All Stock'!$C$41:$AN$46,'All Stock'!K$40,FALSE)=0,"",VLOOKUP($A116,'All Stock'!$C$41:$AN$46,'All Stock'!K$40,FALSE)),"")</f>
        <v>0.78641563412407145</v>
      </c>
      <c r="N116" s="787">
        <f>IFERROR(IF(VLOOKUP($A116,'All Stock'!$C$41:$AN$46,'All Stock'!L$40,FALSE)=0,"",VLOOKUP($A116,'All Stock'!$C$41:$AN$46,'All Stock'!L$40,FALSE)),"")</f>
        <v>0.78019664160087077</v>
      </c>
      <c r="O116" s="787">
        <f>IFERROR(IF(VLOOKUP($A116,'All Stock'!$C$41:$AN$46,'All Stock'!M$40,FALSE)=0,"",VLOOKUP($A116,'All Stock'!$C$41:$AN$46,'All Stock'!M$40,FALSE)),"")</f>
        <v>0.715776833706255</v>
      </c>
      <c r="P116" s="787">
        <f>IFERROR(IF(VLOOKUP($A116,'All Stock'!$C$41:$AN$46,'All Stock'!N$40,FALSE)=0,"",VLOOKUP($A116,'All Stock'!$C$41:$AN$46,'All Stock'!N$40,FALSE)),"")</f>
        <v>0.77841877822391248</v>
      </c>
      <c r="Q116" s="787">
        <f>IFERROR(IF(VLOOKUP($A116,'All Stock'!$C$41:$AN$46,'All Stock'!O$40,FALSE)=0,"",VLOOKUP($A116,'All Stock'!$C$41:$AN$46,'All Stock'!O$40,FALSE)),"")</f>
        <v>0.76097692301360786</v>
      </c>
      <c r="R116" s="787">
        <f>IFERROR(IF(VLOOKUP($A116,'All Stock'!$C$41:$AN$46,'All Stock'!P$40,FALSE)=0,"",VLOOKUP($A116,'All Stock'!$C$41:$AN$46,'All Stock'!P$40,FALSE)),"")</f>
        <v>0.78014366093572785</v>
      </c>
      <c r="S116" s="787">
        <f>IFERROR(IF(VLOOKUP($A116,'All Stock'!$C$41:$AN$46,'All Stock'!Q$40,FALSE)=0,"",VLOOKUP($A116,'All Stock'!$C$41:$AN$46,'All Stock'!Q$40,FALSE)),"")</f>
        <v>0.74499429749397561</v>
      </c>
      <c r="T116" s="787">
        <f>IFERROR(IF(VLOOKUP($A116,'All Stock'!$C$41:$AN$46,'All Stock'!R$40,FALSE)=0,"",VLOOKUP($A116,'All Stock'!$C$41:$AN$46,'All Stock'!R$40,FALSE)),"")</f>
        <v>0.72153446694261436</v>
      </c>
      <c r="U116" s="787">
        <f>IFERROR(IF(VLOOKUP($A116,'All Stock'!$C$41:$AN$46,'All Stock'!S$40,FALSE)=0,"",VLOOKUP($A116,'All Stock'!$C$41:$AN$46,'All Stock'!S$40,FALSE)),"")</f>
        <v>0.7560442787059295</v>
      </c>
      <c r="V116" s="787">
        <f>IFERROR(IF(VLOOKUP($A116,'All Stock'!$C$41:$AN$46,'All Stock'!T$40,FALSE)=0,"",VLOOKUP($A116,'All Stock'!$C$41:$AN$46,'All Stock'!T$40,FALSE)),"")</f>
        <v>0.78641563412407145</v>
      </c>
      <c r="W116" s="787">
        <f>IFERROR(IF(VLOOKUP($A116,'All Stock'!$C$41:$AN$46,'All Stock'!U$40,FALSE)=0,"",VLOOKUP($A116,'All Stock'!$C$41:$AN$46,'All Stock'!U$40,FALSE)),"")</f>
        <v>0.7268582985805061</v>
      </c>
      <c r="X116" s="787">
        <f>IFERROR(IF(VLOOKUP($A116,'All Stock'!$C$41:$AN$46,'All Stock'!V$40,FALSE)=0,"",VLOOKUP($A116,'All Stock'!$C$41:$AN$46,'All Stock'!V$40,FALSE)),"")</f>
        <v>0.74154132084234992</v>
      </c>
      <c r="Y116" s="787">
        <f>IFERROR(IF(VLOOKUP($A116,'All Stock'!$C$41:$AN$46,'All Stock'!W$40,FALSE)=0,"",VLOOKUP($A116,'All Stock'!$C$41:$AN$46,'All Stock'!W$40,FALSE)),"")</f>
        <v>0.76486370993713371</v>
      </c>
      <c r="Z116" s="787">
        <f>IFERROR(IF(VLOOKUP($A116,'All Stock'!$C$41:$AN$46,'All Stock'!X$40,FALSE)=0,"",VLOOKUP($A116,'All Stock'!$C$41:$AN$46,'All Stock'!X$40,FALSE)),"")</f>
        <v>0.78490216798672419</v>
      </c>
      <c r="AA116" s="787" t="str">
        <f>IFERROR(IF(VLOOKUP($A116,'All Stock'!$C$41:$AN$46,'All Stock'!Y$40,FALSE)=0,"",VLOOKUP($A116,'All Stock'!$C$41:$AN$46,'All Stock'!Y$40,FALSE)),"")</f>
        <v>0.7</v>
      </c>
      <c r="AB116" s="787">
        <f>IFERROR(IF(VLOOKUP($A116,'All Stock'!$C$41:$AN$46,'All Stock'!Z$40,FALSE)=0,"",VLOOKUP($A116,'All Stock'!$C$41:$AN$46,'All Stock'!Z$40,FALSE)),"")</f>
        <v>0.77566284204844005</v>
      </c>
      <c r="AC116" s="787">
        <f>IFERROR(IF(VLOOKUP($A116,'All Stock'!$C$41:$AN$46,'All Stock'!AA$40,FALSE)=0,"",VLOOKUP($A116,'All Stock'!$C$41:$AN$46,'All Stock'!AA$40,FALSE)),"")</f>
        <v>0.78641563412407145</v>
      </c>
      <c r="AD116" s="787">
        <f>IFERROR(IF(VLOOKUP($A116,'All Stock'!$C$41:$AN$46,'All Stock'!AB$40,FALSE)=0,"",VLOOKUP($A116,'All Stock'!$C$41:$AN$46,'All Stock'!AB$40,FALSE)),"")</f>
        <v>0.77354429534024727</v>
      </c>
      <c r="AE116" s="787">
        <f>IFERROR(IF(VLOOKUP($A116,'All Stock'!$C$41:$AN$46,'All Stock'!AC$40,FALSE)=0,"",VLOOKUP($A116,'All Stock'!$C$41:$AN$46,'All Stock'!AC$40,FALSE)),"")</f>
        <v>0.78557278476802406</v>
      </c>
      <c r="AF116" s="787">
        <f>IFERROR(IF(VLOOKUP($A116,'All Stock'!$C$41:$AN$46,'All Stock'!AD$40,FALSE)=0,"",VLOOKUP($A116,'All Stock'!$C$41:$AN$46,'All Stock'!AD$40,FALSE)),"")</f>
        <v>0.70221298243667163</v>
      </c>
      <c r="AG116" s="787">
        <f>IFERROR(IF(VLOOKUP($A116,'All Stock'!$C$41:$AN$46,'All Stock'!AE$40,FALSE)=0,"",VLOOKUP($A116,'All Stock'!$C$41:$AN$46,'All Stock'!AE$40,FALSE)),"")</f>
        <v>0.73166794796601431</v>
      </c>
      <c r="AH116" s="787">
        <f>IFERROR(IF(VLOOKUP($A116,'All Stock'!$C$41:$AN$46,'All Stock'!AF$40,FALSE)=0,"",VLOOKUP($A116,'All Stock'!$C$41:$AN$46,'All Stock'!AF$40,FALSE)),"")</f>
        <v>0.78940789812191514</v>
      </c>
      <c r="AI116" s="787">
        <f>IFERROR(IF(VLOOKUP($A116,'All Stock'!$C$41:$AN$46,'All Stock'!AG$40,FALSE)=0,"",VLOOKUP($A116,'All Stock'!$C$41:$AN$46,'All Stock'!AG$40,FALSE)),"")</f>
        <v>0.70945498712761879</v>
      </c>
      <c r="AJ116" s="787">
        <f>IFERROR(IF(VLOOKUP($A116,'All Stock'!$C$41:$AN$46,'All Stock'!AH$40,FALSE)=0,"",VLOOKUP($A116,'All Stock'!$C$41:$AN$46,'All Stock'!AH$40,FALSE)),"")</f>
        <v>0.75515261273787326</v>
      </c>
      <c r="AK116" s="787">
        <f>IFERROR(IF(VLOOKUP($A116,'All Stock'!$C$41:$AN$46,'All Stock'!AI$40,FALSE)=0,"",VLOOKUP($A116,'All Stock'!$C$41:$AN$46,'All Stock'!AI$40,FALSE)),"")</f>
        <v>0.78014366093572785</v>
      </c>
      <c r="AL116" s="787">
        <f>IFERROR(IF(VLOOKUP($A116,'All Stock'!$C$41:$AN$46,'All Stock'!AJ$40,FALSE)=0,"",VLOOKUP($A116,'All Stock'!$C$41:$AN$46,'All Stock'!AJ$40,FALSE)),"")</f>
        <v>0.74499429749397561</v>
      </c>
      <c r="AM116" s="787">
        <f>IFERROR(IF(VLOOKUP($A116,'All Stock'!$C$41:$AN$46,'All Stock'!AK$40,FALSE)=0,"",VLOOKUP($A116,'All Stock'!$C$41:$AN$46,'All Stock'!AK$40,FALSE)),"")</f>
        <v>0.74499429749397561</v>
      </c>
      <c r="AN116" s="787">
        <f>IFERROR(IF(VLOOKUP($A116,'All Stock'!$C$41:$AN$46,'All Stock'!AL$40,FALSE)=0,"",VLOOKUP($A116,'All Stock'!$C$41:$AN$46,'All Stock'!AL$40,FALSE)),"")</f>
        <v>0.78014366093572785</v>
      </c>
      <c r="AO116" s="787">
        <f>IFERROR(IF(VLOOKUP($A116,'All Stock'!$C$41:$AN$46,'All Stock'!AM$40,FALSE)=0,"",VLOOKUP($A116,'All Stock'!$C$41:$AN$46,'All Stock'!AM$40,FALSE)),"")</f>
        <v>0.74499429749397561</v>
      </c>
      <c r="AP116" s="787">
        <f>IFERROR(IF(VLOOKUP($A116,'All Stock'!$C$41:$AN$46,'All Stock'!AN$40,FALSE)=0,"",VLOOKUP($A116,'All Stock'!$C$41:$AN$46,'All Stock'!AN$40,FALSE)),"")</f>
        <v>0.74499429749397561</v>
      </c>
      <c r="AX116" s="496"/>
      <c r="AY116" s="496"/>
      <c r="AZ116" s="496"/>
      <c r="BA116" s="496"/>
      <c r="BB116" s="496"/>
      <c r="BC116" s="496"/>
      <c r="BD116" s="496"/>
      <c r="BE116" s="496"/>
      <c r="BF116" s="496"/>
      <c r="BG116" s="496"/>
      <c r="BH116" s="496"/>
      <c r="BI116" s="496"/>
      <c r="BJ116" s="496"/>
      <c r="BK116" s="496"/>
      <c r="BL116" s="496"/>
      <c r="BM116" s="496"/>
      <c r="BN116" s="496"/>
      <c r="BO116" s="496"/>
      <c r="BP116" s="496"/>
      <c r="BQ116" s="496"/>
      <c r="BR116" s="496"/>
      <c r="BS116" s="496"/>
      <c r="BT116" s="496"/>
      <c r="BU116" s="496"/>
      <c r="BV116" s="496"/>
      <c r="BW116" s="496"/>
      <c r="BX116" s="496"/>
      <c r="BY116" s="496"/>
      <c r="BZ116" s="496"/>
      <c r="CA116" s="496"/>
      <c r="CB116" s="496"/>
      <c r="CC116" s="496"/>
      <c r="CD116" s="496"/>
      <c r="CE116" s="496"/>
      <c r="CF116" s="496"/>
      <c r="CG116" s="496"/>
      <c r="CH116" s="496"/>
    </row>
    <row r="117" spans="1:86">
      <c r="A117" t="str">
        <f t="shared" si="56"/>
        <v>Derived heat</v>
      </c>
      <c r="C117" t="str">
        <f t="shared" si="57"/>
        <v>R_ES-SH-DH-70_HET</v>
      </c>
      <c r="E117" t="str">
        <f t="shared" si="58"/>
        <v>R_ES-DH-70-SpHeat</v>
      </c>
      <c r="F117" s="787">
        <f>IFERROR(IF(VLOOKUP($A117,'All Stock'!$C$41:$AN$46,'All Stock'!D$40,FALSE)=0,"",VLOOKUP($A117,'All Stock'!$C$41:$AN$46,'All Stock'!D$40,FALSE)),"")</f>
        <v>0.88333199390813688</v>
      </c>
      <c r="G117" s="787">
        <f>IFERROR(IF(VLOOKUP($A117,'All Stock'!$C$41:$AN$46,'All Stock'!E$40,FALSE)=0,"",VLOOKUP($A117,'All Stock'!$C$41:$AN$46,'All Stock'!E$40,FALSE)),"")</f>
        <v>0.83553618085187931</v>
      </c>
      <c r="H117" s="787">
        <f>IFERROR(IF(VLOOKUP($A117,'All Stock'!$C$41:$AN$46,'All Stock'!F$40,FALSE)=0,"",VLOOKUP($A117,'All Stock'!$C$41:$AN$46,'All Stock'!F$40,FALSE)),"")</f>
        <v>0.81206531351727507</v>
      </c>
      <c r="I117" s="787">
        <f>IFERROR(IF(VLOOKUP($A117,'All Stock'!$C$41:$AN$46,'All Stock'!G$40,FALSE)=0,"",VLOOKUP($A117,'All Stock'!$C$41:$AN$46,'All Stock'!G$40,FALSE)),"")</f>
        <v>0.95587493363207376</v>
      </c>
      <c r="J117" s="787" t="str">
        <f>IFERROR(IF(VLOOKUP($A117,'All Stock'!$C$41:$AN$46,'All Stock'!H$40,FALSE)=0,"",VLOOKUP($A117,'All Stock'!$C$41:$AN$46,'All Stock'!H$40,FALSE)),"")</f>
        <v>0.8</v>
      </c>
      <c r="K117" s="787">
        <f>IFERROR(IF(VLOOKUP($A117,'All Stock'!$C$41:$AN$46,'All Stock'!I$40,FALSE)=0,"",VLOOKUP($A117,'All Stock'!$C$41:$AN$46,'All Stock'!I$40,FALSE)),"")</f>
        <v>0.85208330762622653</v>
      </c>
      <c r="L117" s="787">
        <f>IFERROR(IF(VLOOKUP($A117,'All Stock'!$C$41:$AN$46,'All Stock'!J$40,FALSE)=0,"",VLOOKUP($A117,'All Stock'!$C$41:$AN$46,'All Stock'!J$40,FALSE)),"")</f>
        <v>0.95587493363207376</v>
      </c>
      <c r="M117" s="787">
        <f>IFERROR(IF(VLOOKUP($A117,'All Stock'!$C$41:$AN$46,'All Stock'!K$40,FALSE)=0,"",VLOOKUP($A117,'All Stock'!$C$41:$AN$46,'All Stock'!K$40,FALSE)),"")</f>
        <v>0.91841114092424625</v>
      </c>
      <c r="N117" s="787">
        <f>IFERROR(IF(VLOOKUP($A117,'All Stock'!$C$41:$AN$46,'All Stock'!L$40,FALSE)=0,"",VLOOKUP($A117,'All Stock'!$C$41:$AN$46,'All Stock'!L$40,FALSE)),"")</f>
        <v>0.89056811991588136</v>
      </c>
      <c r="O117" s="787" t="str">
        <f>IFERROR(IF(VLOOKUP($A117,'All Stock'!$C$41:$AN$46,'All Stock'!M$40,FALSE)=0,"",VLOOKUP($A117,'All Stock'!$C$41:$AN$46,'All Stock'!M$40,FALSE)),"")</f>
        <v>0.8</v>
      </c>
      <c r="P117" s="787">
        <f>IFERROR(IF(VLOOKUP($A117,'All Stock'!$C$41:$AN$46,'All Stock'!N$40,FALSE)=0,"",VLOOKUP($A117,'All Stock'!$C$41:$AN$46,'All Stock'!N$40,FALSE)),"")</f>
        <v>0.91664482565774474</v>
      </c>
      <c r="Q117" s="787">
        <f>IFERROR(IF(VLOOKUP($A117,'All Stock'!$C$41:$AN$46,'All Stock'!O$40,FALSE)=0,"",VLOOKUP($A117,'All Stock'!$C$41:$AN$46,'All Stock'!O$40,FALSE)),"")</f>
        <v>0.88619005258754446</v>
      </c>
      <c r="R117" s="787">
        <f>IFERROR(IF(VLOOKUP($A117,'All Stock'!$C$41:$AN$46,'All Stock'!P$40,FALSE)=0,"",VLOOKUP($A117,'All Stock'!$C$41:$AN$46,'All Stock'!P$40,FALSE)),"")</f>
        <v>0.76932726422269859</v>
      </c>
      <c r="S117" s="787">
        <f>IFERROR(IF(VLOOKUP($A117,'All Stock'!$C$41:$AN$46,'All Stock'!Q$40,FALSE)=0,"",VLOOKUP($A117,'All Stock'!$C$41:$AN$46,'All Stock'!Q$40,FALSE)),"")</f>
        <v>0.82057579490371624</v>
      </c>
      <c r="T117" s="787">
        <f>IFERROR(IF(VLOOKUP($A117,'All Stock'!$C$41:$AN$46,'All Stock'!R$40,FALSE)=0,"",VLOOKUP($A117,'All Stock'!$C$41:$AN$46,'All Stock'!R$40,FALSE)),"")</f>
        <v>0.7835271138190868</v>
      </c>
      <c r="U117" s="787" t="str">
        <f>IFERROR(IF(VLOOKUP($A117,'All Stock'!$C$41:$AN$46,'All Stock'!S$40,FALSE)=0,"",VLOOKUP($A117,'All Stock'!$C$41:$AN$46,'All Stock'!S$40,FALSE)),"")</f>
        <v>0.8</v>
      </c>
      <c r="V117" s="787">
        <f>IFERROR(IF(VLOOKUP($A117,'All Stock'!$C$41:$AN$46,'All Stock'!T$40,FALSE)=0,"",VLOOKUP($A117,'All Stock'!$C$41:$AN$46,'All Stock'!T$40,FALSE)),"")</f>
        <v>0.91841114092424625</v>
      </c>
      <c r="W117" s="787">
        <f>IFERROR(IF(VLOOKUP($A117,'All Stock'!$C$41:$AN$46,'All Stock'!U$40,FALSE)=0,"",VLOOKUP($A117,'All Stock'!$C$41:$AN$46,'All Stock'!U$40,FALSE)),"")</f>
        <v>0.84751572846603129</v>
      </c>
      <c r="X117" s="787">
        <f>IFERROR(IF(VLOOKUP($A117,'All Stock'!$C$41:$AN$46,'All Stock'!V$40,FALSE)=0,"",VLOOKUP($A117,'All Stock'!$C$41:$AN$46,'All Stock'!V$40,FALSE)),"")</f>
        <v>0.85076796364532514</v>
      </c>
      <c r="Y117" s="787" t="str">
        <f>IFERROR(IF(VLOOKUP($A117,'All Stock'!$C$41:$AN$46,'All Stock'!W$40,FALSE)=0,"",VLOOKUP($A117,'All Stock'!$C$41:$AN$46,'All Stock'!W$40,FALSE)),"")</f>
        <v>0.8</v>
      </c>
      <c r="Z117" s="787">
        <f>IFERROR(IF(VLOOKUP($A117,'All Stock'!$C$41:$AN$46,'All Stock'!X$40,FALSE)=0,"",VLOOKUP($A117,'All Stock'!$C$41:$AN$46,'All Stock'!X$40,FALSE)),"")</f>
        <v>0.89852031257747156</v>
      </c>
      <c r="AA117" s="787" t="str">
        <f>IFERROR(IF(VLOOKUP($A117,'All Stock'!$C$41:$AN$46,'All Stock'!Y$40,FALSE)=0,"",VLOOKUP($A117,'All Stock'!$C$41:$AN$46,'All Stock'!Y$40,FALSE)),"")</f>
        <v>0.8</v>
      </c>
      <c r="AB117" s="787">
        <f>IFERROR(IF(VLOOKUP($A117,'All Stock'!$C$41:$AN$46,'All Stock'!Z$40,FALSE)=0,"",VLOOKUP($A117,'All Stock'!$C$41:$AN$46,'All Stock'!Z$40,FALSE)),"")</f>
        <v>0.90645521755068992</v>
      </c>
      <c r="AC117" s="787">
        <f>IFERROR(IF(VLOOKUP($A117,'All Stock'!$C$41:$AN$46,'All Stock'!AA$40,FALSE)=0,"",VLOOKUP($A117,'All Stock'!$C$41:$AN$46,'All Stock'!AA$40,FALSE)),"")</f>
        <v>0.91841114092424625</v>
      </c>
      <c r="AD117" s="787">
        <f>IFERROR(IF(VLOOKUP($A117,'All Stock'!$C$41:$AN$46,'All Stock'!AB$40,FALSE)=0,"",VLOOKUP($A117,'All Stock'!$C$41:$AN$46,'All Stock'!AB$40,FALSE)),"")</f>
        <v>0.89540543411667217</v>
      </c>
      <c r="AE117" s="787">
        <f>IFERROR(IF(VLOOKUP($A117,'All Stock'!$C$41:$AN$46,'All Stock'!AC$40,FALSE)=0,"",VLOOKUP($A117,'All Stock'!$C$41:$AN$46,'All Stock'!AC$40,FALSE)),"")</f>
        <v>0.89097570060848374</v>
      </c>
      <c r="AF117" s="787">
        <f>IFERROR(IF(VLOOKUP($A117,'All Stock'!$C$41:$AN$46,'All Stock'!AD$40,FALSE)=0,"",VLOOKUP($A117,'All Stock'!$C$41:$AN$46,'All Stock'!AD$40,FALSE)),"")</f>
        <v>0.81167632186112504</v>
      </c>
      <c r="AG117" s="787">
        <f>IFERROR(IF(VLOOKUP($A117,'All Stock'!$C$41:$AN$46,'All Stock'!AE$40,FALSE)=0,"",VLOOKUP($A117,'All Stock'!$C$41:$AN$46,'All Stock'!AE$40,FALSE)),"")</f>
        <v>0.80134176644047972</v>
      </c>
      <c r="AH117" s="787">
        <f>IFERROR(IF(VLOOKUP($A117,'All Stock'!$C$41:$AN$46,'All Stock'!AF$40,FALSE)=0,"",VLOOKUP($A117,'All Stock'!$C$41:$AN$46,'All Stock'!AF$40,FALSE)),"")</f>
        <v>0.8975153837411004</v>
      </c>
      <c r="AI117" s="787">
        <f>IFERROR(IF(VLOOKUP($A117,'All Stock'!$C$41:$AN$46,'All Stock'!AG$40,FALSE)=0,"",VLOOKUP($A117,'All Stock'!$C$41:$AN$46,'All Stock'!AG$40,FALSE)),"")</f>
        <v>0.82350393173757808</v>
      </c>
      <c r="AJ117" s="787">
        <f>IFERROR(IF(VLOOKUP($A117,'All Stock'!$C$41:$AN$46,'All Stock'!AH$40,FALSE)=0,"",VLOOKUP($A117,'All Stock'!$C$41:$AN$46,'All Stock'!AH$40,FALSE)),"")</f>
        <v>0.86559601252689145</v>
      </c>
      <c r="AK117" s="787">
        <f>IFERROR(IF(VLOOKUP($A117,'All Stock'!$C$41:$AN$46,'All Stock'!AI$40,FALSE)=0,"",VLOOKUP($A117,'All Stock'!$C$41:$AN$46,'All Stock'!AI$40,FALSE)),"")</f>
        <v>0.85983635413125137</v>
      </c>
      <c r="AL117" s="787">
        <f>IFERROR(IF(VLOOKUP($A117,'All Stock'!$C$41:$AN$46,'All Stock'!AJ$40,FALSE)=0,"",VLOOKUP($A117,'All Stock'!$C$41:$AN$46,'All Stock'!AJ$40,FALSE)),"")</f>
        <v>0.8688449593098172</v>
      </c>
      <c r="AM117" s="787">
        <f>IFERROR(IF(VLOOKUP($A117,'All Stock'!$C$41:$AN$46,'All Stock'!AK$40,FALSE)=0,"",VLOOKUP($A117,'All Stock'!$C$41:$AN$46,'All Stock'!AK$40,FALSE)),"")</f>
        <v>0.8688449593098172</v>
      </c>
      <c r="AN117" s="787">
        <f>IFERROR(IF(VLOOKUP($A117,'All Stock'!$C$41:$AN$46,'All Stock'!AL$40,FALSE)=0,"",VLOOKUP($A117,'All Stock'!$C$41:$AN$46,'All Stock'!AL$40,FALSE)),"")</f>
        <v>0.85983635413125137</v>
      </c>
      <c r="AO117" s="787">
        <f>IFERROR(IF(VLOOKUP($A117,'All Stock'!$C$41:$AN$46,'All Stock'!AM$40,FALSE)=0,"",VLOOKUP($A117,'All Stock'!$C$41:$AN$46,'All Stock'!AM$40,FALSE)),"")</f>
        <v>0.8688449593098172</v>
      </c>
      <c r="AP117" s="787">
        <f>IFERROR(IF(VLOOKUP($A117,'All Stock'!$C$41:$AN$46,'All Stock'!AN$40,FALSE)=0,"",VLOOKUP($A117,'All Stock'!$C$41:$AN$46,'All Stock'!AN$40,FALSE)),"")</f>
        <v>0.8688449593098172</v>
      </c>
      <c r="AX117" s="496"/>
      <c r="AY117" s="496"/>
      <c r="AZ117" s="496"/>
      <c r="BA117" s="496"/>
      <c r="BB117" s="496"/>
      <c r="BC117" s="496"/>
      <c r="BD117" s="496"/>
      <c r="BE117" s="496"/>
      <c r="BF117" s="496"/>
      <c r="BG117" s="496"/>
      <c r="BH117" s="496"/>
      <c r="BI117" s="496"/>
      <c r="BJ117" s="496"/>
      <c r="BK117" s="496"/>
      <c r="BL117" s="496"/>
      <c r="BM117" s="496"/>
      <c r="BN117" s="496"/>
      <c r="BO117" s="496"/>
      <c r="BP117" s="496"/>
      <c r="BQ117" s="496"/>
      <c r="BR117" s="496"/>
      <c r="BS117" s="496"/>
      <c r="BT117" s="496"/>
      <c r="BU117" s="496"/>
      <c r="BV117" s="496"/>
      <c r="BW117" s="496"/>
      <c r="BX117" s="496"/>
      <c r="BY117" s="496"/>
      <c r="BZ117" s="496"/>
      <c r="CA117" s="496"/>
      <c r="CB117" s="496"/>
      <c r="CC117" s="496"/>
      <c r="CD117" s="496"/>
      <c r="CE117" s="496"/>
      <c r="CF117" s="496"/>
      <c r="CG117" s="496"/>
      <c r="CH117" s="496"/>
    </row>
    <row r="118" spans="1:86">
      <c r="A118" t="str">
        <f t="shared" si="56"/>
        <v>GDO and other liquids (incl. liq. bio.)</v>
      </c>
      <c r="C118" t="str">
        <f t="shared" si="57"/>
        <v>R_ES-SH-DH-70_OIL</v>
      </c>
      <c r="E118" t="str">
        <f t="shared" si="58"/>
        <v>R_ES-DH-70-SpHeat</v>
      </c>
      <c r="F118" s="787">
        <f>IFERROR(IF(VLOOKUP($A118,'All Stock'!$C$41:$AN$46,'All Stock'!D$40,FALSE)=0,"",VLOOKUP($A118,'All Stock'!$C$41:$AN$46,'All Stock'!D$40,FALSE)),"")</f>
        <v>0.80046714388348206</v>
      </c>
      <c r="G118" s="787">
        <f>IFERROR(IF(VLOOKUP($A118,'All Stock'!$C$41:$AN$46,'All Stock'!E$40,FALSE)=0,"",VLOOKUP($A118,'All Stock'!$C$41:$AN$46,'All Stock'!E$40,FALSE)),"")</f>
        <v>0.78828873049448667</v>
      </c>
      <c r="H118" s="787">
        <f>IFERROR(IF(VLOOKUP($A118,'All Stock'!$C$41:$AN$46,'All Stock'!F$40,FALSE)=0,"",VLOOKUP($A118,'All Stock'!$C$41:$AN$46,'All Stock'!F$40,FALSE)),"")</f>
        <v>0.79832009350619637</v>
      </c>
      <c r="I118" s="787">
        <f>IFERROR(IF(VLOOKUP($A118,'All Stock'!$C$41:$AN$46,'All Stock'!G$40,FALSE)=0,"",VLOOKUP($A118,'All Stock'!$C$41:$AN$46,'All Stock'!G$40,FALSE)),"")</f>
        <v>0.85774115403962237</v>
      </c>
      <c r="J118" s="787">
        <f>IFERROR(IF(VLOOKUP($A118,'All Stock'!$C$41:$AN$46,'All Stock'!H$40,FALSE)=0,"",VLOOKUP($A118,'All Stock'!$C$41:$AN$46,'All Stock'!H$40,FALSE)),"")</f>
        <v>0.58765688899384927</v>
      </c>
      <c r="K118" s="787" t="str">
        <f>IFERROR(IF(VLOOKUP($A118,'All Stock'!$C$41:$AN$46,'All Stock'!I$40,FALSE)=0,"",VLOOKUP($A118,'All Stock'!$C$41:$AN$46,'All Stock'!I$40,FALSE)),"")</f>
        <v>0.7</v>
      </c>
      <c r="L118" s="787">
        <f>IFERROR(IF(VLOOKUP($A118,'All Stock'!$C$41:$AN$46,'All Stock'!J$40,FALSE)=0,"",VLOOKUP($A118,'All Stock'!$C$41:$AN$46,'All Stock'!J$40,FALSE)),"")</f>
        <v>0.85774115403962237</v>
      </c>
      <c r="M118" s="787">
        <f>IFERROR(IF(VLOOKUP($A118,'All Stock'!$C$41:$AN$46,'All Stock'!K$40,FALSE)=0,"",VLOOKUP($A118,'All Stock'!$C$41:$AN$46,'All Stock'!K$40,FALSE)),"")</f>
        <v>0.8190120351671959</v>
      </c>
      <c r="N118" s="787">
        <f>IFERROR(IF(VLOOKUP($A118,'All Stock'!$C$41:$AN$46,'All Stock'!L$40,FALSE)=0,"",VLOOKUP($A118,'All Stock'!$C$41:$AN$46,'All Stock'!L$40,FALSE)),"")</f>
        <v>0.81235393287832658</v>
      </c>
      <c r="O118" s="787">
        <f>IFERROR(IF(VLOOKUP($A118,'All Stock'!$C$41:$AN$46,'All Stock'!M$40,FALSE)=0,"",VLOOKUP($A118,'All Stock'!$C$41:$AN$46,'All Stock'!M$40,FALSE)),"")</f>
        <v>0.73343396452087661</v>
      </c>
      <c r="P118" s="787">
        <f>IFERROR(IF(VLOOKUP($A118,'All Stock'!$C$41:$AN$46,'All Stock'!N$40,FALSE)=0,"",VLOOKUP($A118,'All Stock'!$C$41:$AN$46,'All Stock'!N$40,FALSE)),"")</f>
        <v>0.80783474157188151</v>
      </c>
      <c r="Q118" s="787">
        <f>IFERROR(IF(VLOOKUP($A118,'All Stock'!$C$41:$AN$46,'All Stock'!O$40,FALSE)=0,"",VLOOKUP($A118,'All Stock'!$C$41:$AN$46,'All Stock'!O$40,FALSE)),"")</f>
        <v>0.80927991684156053</v>
      </c>
      <c r="R118" s="787">
        <f>IFERROR(IF(VLOOKUP($A118,'All Stock'!$C$41:$AN$46,'All Stock'!P$40,FALSE)=0,"",VLOOKUP($A118,'All Stock'!$C$41:$AN$46,'All Stock'!P$40,FALSE)),"")</f>
        <v>0.77466708881465018</v>
      </c>
      <c r="S118" s="787">
        <f>IFERROR(IF(VLOOKUP($A118,'All Stock'!$C$41:$AN$46,'All Stock'!Q$40,FALSE)=0,"",VLOOKUP($A118,'All Stock'!$C$41:$AN$46,'All Stock'!Q$40,FALSE)),"")</f>
        <v>0.73652624040326831</v>
      </c>
      <c r="T118" s="787" t="str">
        <f>IFERROR(IF(VLOOKUP($A118,'All Stock'!$C$41:$AN$46,'All Stock'!R$40,FALSE)=0,"",VLOOKUP($A118,'All Stock'!$C$41:$AN$46,'All Stock'!R$40,FALSE)),"")</f>
        <v>0.7</v>
      </c>
      <c r="U118" s="787">
        <f>IFERROR(IF(VLOOKUP($A118,'All Stock'!$C$41:$AN$46,'All Stock'!S$40,FALSE)=0,"",VLOOKUP($A118,'All Stock'!$C$41:$AN$46,'All Stock'!S$40,FALSE)),"")</f>
        <v>0.7966026577728591</v>
      </c>
      <c r="V118" s="787">
        <f>IFERROR(IF(VLOOKUP($A118,'All Stock'!$C$41:$AN$46,'All Stock'!T$40,FALSE)=0,"",VLOOKUP($A118,'All Stock'!$C$41:$AN$46,'All Stock'!T$40,FALSE)),"")</f>
        <v>0.8190120351671959</v>
      </c>
      <c r="W118" s="787">
        <f>IFERROR(IF(VLOOKUP($A118,'All Stock'!$C$41:$AN$46,'All Stock'!U$40,FALSE)=0,"",VLOOKUP($A118,'All Stock'!$C$41:$AN$46,'All Stock'!U$40,FALSE)),"")</f>
        <v>0.77871481287333932</v>
      </c>
      <c r="X118" s="787">
        <f>IFERROR(IF(VLOOKUP($A118,'All Stock'!$C$41:$AN$46,'All Stock'!V$40,FALSE)=0,"",VLOOKUP($A118,'All Stock'!$C$41:$AN$46,'All Stock'!V$40,FALSE)),"")</f>
        <v>0.88346566731129295</v>
      </c>
      <c r="Y118" s="787">
        <f>IFERROR(IF(VLOOKUP($A118,'All Stock'!$C$41:$AN$46,'All Stock'!W$40,FALSE)=0,"",VLOOKUP($A118,'All Stock'!$C$41:$AN$46,'All Stock'!W$40,FALSE)),"")</f>
        <v>0.81205753376304002</v>
      </c>
      <c r="Z118" s="787">
        <f>IFERROR(IF(VLOOKUP($A118,'All Stock'!$C$41:$AN$46,'All Stock'!X$40,FALSE)=0,"",VLOOKUP($A118,'All Stock'!$C$41:$AN$46,'All Stock'!X$40,FALSE)),"")</f>
        <v>0.87388164139702085</v>
      </c>
      <c r="AA118" s="787" t="str">
        <f>IFERROR(IF(VLOOKUP($A118,'All Stock'!$C$41:$AN$46,'All Stock'!Y$40,FALSE)=0,"",VLOOKUP($A118,'All Stock'!$C$41:$AN$46,'All Stock'!Y$40,FALSE)),"")</f>
        <v>0.7</v>
      </c>
      <c r="AB118" s="787">
        <f>IFERROR(IF(VLOOKUP($A118,'All Stock'!$C$41:$AN$46,'All Stock'!Z$40,FALSE)=0,"",VLOOKUP($A118,'All Stock'!$C$41:$AN$46,'All Stock'!Z$40,FALSE)),"")</f>
        <v>0.85466748946388815</v>
      </c>
      <c r="AC118" s="787">
        <f>IFERROR(IF(VLOOKUP($A118,'All Stock'!$C$41:$AN$46,'All Stock'!AA$40,FALSE)=0,"",VLOOKUP($A118,'All Stock'!$C$41:$AN$46,'All Stock'!AA$40,FALSE)),"")</f>
        <v>0.8190120351671959</v>
      </c>
      <c r="AD118" s="787">
        <f>IFERROR(IF(VLOOKUP($A118,'All Stock'!$C$41:$AN$46,'All Stock'!AB$40,FALSE)=0,"",VLOOKUP($A118,'All Stock'!$C$41:$AN$46,'All Stock'!AB$40,FALSE)),"")</f>
        <v>0.85913533715116286</v>
      </c>
      <c r="AE118" s="787">
        <f>IFERROR(IF(VLOOKUP($A118,'All Stock'!$C$41:$AN$46,'All Stock'!AC$40,FALSE)=0,"",VLOOKUP($A118,'All Stock'!$C$41:$AN$46,'All Stock'!AC$40,FALSE)),"")</f>
        <v>0.87110462678715306</v>
      </c>
      <c r="AF118" s="787">
        <f>IFERROR(IF(VLOOKUP($A118,'All Stock'!$C$41:$AN$46,'All Stock'!AD$40,FALSE)=0,"",VLOOKUP($A118,'All Stock'!$C$41:$AN$46,'All Stock'!AD$40,FALSE)),"")</f>
        <v>0.78550868524009243</v>
      </c>
      <c r="AG118" s="787">
        <f>IFERROR(IF(VLOOKUP($A118,'All Stock'!$C$41:$AN$46,'All Stock'!AE$40,FALSE)=0,"",VLOOKUP($A118,'All Stock'!$C$41:$AN$46,'All Stock'!AE$40,FALSE)),"")</f>
        <v>0.80143670930650168</v>
      </c>
      <c r="AH118" s="787">
        <f>IFERROR(IF(VLOOKUP($A118,'All Stock'!$C$41:$AN$46,'All Stock'!AF$40,FALSE)=0,"",VLOOKUP($A118,'All Stock'!$C$41:$AN$46,'All Stock'!AF$40,FALSE)),"")</f>
        <v>0.79235399963550734</v>
      </c>
      <c r="AI118" s="787" t="str">
        <f>IFERROR(IF(VLOOKUP($A118,'All Stock'!$C$41:$AN$46,'All Stock'!AG$40,FALSE)=0,"",VLOOKUP($A118,'All Stock'!$C$41:$AN$46,'All Stock'!AG$40,FALSE)),"")</f>
        <v>0.7</v>
      </c>
      <c r="AJ118" s="787">
        <f>IFERROR(IF(VLOOKUP($A118,'All Stock'!$C$41:$AN$46,'All Stock'!AH$40,FALSE)=0,"",VLOOKUP($A118,'All Stock'!$C$41:$AN$46,'All Stock'!AH$40,FALSE)),"")</f>
        <v>0.81555876152258244</v>
      </c>
      <c r="AK118" s="787">
        <f>IFERROR(IF(VLOOKUP($A118,'All Stock'!$C$41:$AN$46,'All Stock'!AI$40,FALSE)=0,"",VLOOKUP($A118,'All Stock'!$C$41:$AN$46,'All Stock'!AI$40,FALSE)),"")</f>
        <v>0.77466708881465018</v>
      </c>
      <c r="AL118" s="787">
        <f>IFERROR(IF(VLOOKUP($A118,'All Stock'!$C$41:$AN$46,'All Stock'!AJ$40,FALSE)=0,"",VLOOKUP($A118,'All Stock'!$C$41:$AN$46,'All Stock'!AJ$40,FALSE)),"")</f>
        <v>0.78562798976348625</v>
      </c>
      <c r="AM118" s="787">
        <f>IFERROR(IF(VLOOKUP($A118,'All Stock'!$C$41:$AN$46,'All Stock'!AK$40,FALSE)=0,"",VLOOKUP($A118,'All Stock'!$C$41:$AN$46,'All Stock'!AK$40,FALSE)),"")</f>
        <v>0.78562798976348625</v>
      </c>
      <c r="AN118" s="787">
        <f>IFERROR(IF(VLOOKUP($A118,'All Stock'!$C$41:$AN$46,'All Stock'!AL$40,FALSE)=0,"",VLOOKUP($A118,'All Stock'!$C$41:$AN$46,'All Stock'!AL$40,FALSE)),"")</f>
        <v>0.77466708881465018</v>
      </c>
      <c r="AO118" s="787">
        <f>IFERROR(IF(VLOOKUP($A118,'All Stock'!$C$41:$AN$46,'All Stock'!AM$40,FALSE)=0,"",VLOOKUP($A118,'All Stock'!$C$41:$AN$46,'All Stock'!AM$40,FALSE)),"")</f>
        <v>0.78562798976348625</v>
      </c>
      <c r="AP118" s="787">
        <f>IFERROR(IF(VLOOKUP($A118,'All Stock'!$C$41:$AN$46,'All Stock'!AN$40,FALSE)=0,"",VLOOKUP($A118,'All Stock'!$C$41:$AN$46,'All Stock'!AN$40,FALSE)),"")</f>
        <v>0.78562798976348625</v>
      </c>
      <c r="AX118" s="496"/>
      <c r="AY118" s="496"/>
      <c r="AZ118" s="496"/>
      <c r="BA118" s="496"/>
      <c r="BB118" s="496"/>
      <c r="BC118" s="496"/>
      <c r="BD118" s="496"/>
      <c r="BE118" s="496"/>
      <c r="BF118" s="496"/>
      <c r="BG118" s="496"/>
      <c r="BH118" s="496"/>
      <c r="BI118" s="496"/>
      <c r="BJ118" s="496"/>
      <c r="BK118" s="496"/>
      <c r="BL118" s="496"/>
      <c r="BM118" s="496"/>
      <c r="BN118" s="496"/>
      <c r="BO118" s="496"/>
      <c r="BP118" s="496"/>
      <c r="BQ118" s="496"/>
      <c r="BR118" s="496"/>
      <c r="BS118" s="496"/>
      <c r="BT118" s="496"/>
      <c r="BU118" s="496"/>
      <c r="BV118" s="496"/>
      <c r="BW118" s="496"/>
      <c r="BX118" s="496"/>
      <c r="BY118" s="496"/>
      <c r="BZ118" s="496"/>
      <c r="CA118" s="496"/>
      <c r="CB118" s="496"/>
      <c r="CC118" s="496"/>
      <c r="CD118" s="496"/>
      <c r="CE118" s="496"/>
      <c r="CF118" s="496"/>
      <c r="CG118" s="496"/>
      <c r="CH118" s="496"/>
    </row>
    <row r="119" spans="1:86">
      <c r="A119" t="str">
        <f t="shared" si="56"/>
        <v>Biomass and wastes</v>
      </c>
      <c r="C119" t="str">
        <f t="shared" si="57"/>
        <v>R_ES-SH-DH-70_BIO</v>
      </c>
      <c r="E119" t="str">
        <f t="shared" si="58"/>
        <v>R_ES-DH-70-SpHeat</v>
      </c>
      <c r="F119" s="787">
        <f>IFERROR(IF(VLOOKUP($A119,'All Stock'!$C$41:$AN$46,'All Stock'!D$40,FALSE)=0,"",VLOOKUP($A119,'All Stock'!$C$41:$AN$46,'All Stock'!D$40,FALSE)),"")</f>
        <v>0.79425198795713625</v>
      </c>
      <c r="G119" s="787">
        <f>IFERROR(IF(VLOOKUP($A119,'All Stock'!$C$41:$AN$46,'All Stock'!E$40,FALSE)=0,"",VLOOKUP($A119,'All Stock'!$C$41:$AN$46,'All Stock'!E$40,FALSE)),"")</f>
        <v>0.78997502619337823</v>
      </c>
      <c r="H119" s="787">
        <f>IFERROR(IF(VLOOKUP($A119,'All Stock'!$C$41:$AN$46,'All Stock'!F$40,FALSE)=0,"",VLOOKUP($A119,'All Stock'!$C$41:$AN$46,'All Stock'!F$40,FALSE)),"")</f>
        <v>0.72609117616589591</v>
      </c>
      <c r="I119" s="787">
        <f>IFERROR(IF(VLOOKUP($A119,'All Stock'!$C$41:$AN$46,'All Stock'!G$40,FALSE)=0,"",VLOOKUP($A119,'All Stock'!$C$41:$AN$46,'All Stock'!G$40,FALSE)),"")</f>
        <v>0.88939691312296831</v>
      </c>
      <c r="J119" s="787">
        <f>IFERROR(IF(VLOOKUP($A119,'All Stock'!$C$41:$AN$46,'All Stock'!H$40,FALSE)=0,"",VLOOKUP($A119,'All Stock'!$C$41:$AN$46,'All Stock'!H$40,FALSE)),"")</f>
        <v>0.56988642829255631</v>
      </c>
      <c r="K119" s="787">
        <f>IFERROR(IF(VLOOKUP($A119,'All Stock'!$C$41:$AN$46,'All Stock'!I$40,FALSE)=0,"",VLOOKUP($A119,'All Stock'!$C$41:$AN$46,'All Stock'!I$40,FALSE)),"")</f>
        <v>0.75698356672417977</v>
      </c>
      <c r="L119" s="787">
        <f>IFERROR(IF(VLOOKUP($A119,'All Stock'!$C$41:$AN$46,'All Stock'!J$40,FALSE)=0,"",VLOOKUP($A119,'All Stock'!$C$41:$AN$46,'All Stock'!J$40,FALSE)),"")</f>
        <v>0.88939691312296831</v>
      </c>
      <c r="M119" s="787">
        <f>IFERROR(IF(VLOOKUP($A119,'All Stock'!$C$41:$AN$46,'All Stock'!K$40,FALSE)=0,"",VLOOKUP($A119,'All Stock'!$C$41:$AN$46,'All Stock'!K$40,FALSE)),"")</f>
        <v>0.84781454393670264</v>
      </c>
      <c r="N119" s="787">
        <f>IFERROR(IF(VLOOKUP($A119,'All Stock'!$C$41:$AN$46,'All Stock'!L$40,FALSE)=0,"",VLOOKUP($A119,'All Stock'!$C$41:$AN$46,'All Stock'!L$40,FALSE)),"")</f>
        <v>0.73363853980806792</v>
      </c>
      <c r="O119" s="787">
        <f>IFERROR(IF(VLOOKUP($A119,'All Stock'!$C$41:$AN$46,'All Stock'!M$40,FALSE)=0,"",VLOOKUP($A119,'All Stock'!$C$41:$AN$46,'All Stock'!M$40,FALSE)),"")</f>
        <v>0.7092868133572775</v>
      </c>
      <c r="P119" s="787">
        <f>IFERROR(IF(VLOOKUP($A119,'All Stock'!$C$41:$AN$46,'All Stock'!N$40,FALSE)=0,"",VLOOKUP($A119,'All Stock'!$C$41:$AN$46,'All Stock'!N$40,FALSE)),"")</f>
        <v>0.83322321495026497</v>
      </c>
      <c r="Q119" s="787">
        <f>IFERROR(IF(VLOOKUP($A119,'All Stock'!$C$41:$AN$46,'All Stock'!O$40,FALSE)=0,"",VLOOKUP($A119,'All Stock'!$C$41:$AN$46,'All Stock'!O$40,FALSE)),"")</f>
        <v>0.79998615803271977</v>
      </c>
      <c r="R119" s="787">
        <f>IFERROR(IF(VLOOKUP($A119,'All Stock'!$C$41:$AN$46,'All Stock'!P$40,FALSE)=0,"",VLOOKUP($A119,'All Stock'!$C$41:$AN$46,'All Stock'!P$40,FALSE)),"")</f>
        <v>0.7463307860088233</v>
      </c>
      <c r="S119" s="787">
        <f>IFERROR(IF(VLOOKUP($A119,'All Stock'!$C$41:$AN$46,'All Stock'!Q$40,FALSE)=0,"",VLOOKUP($A119,'All Stock'!$C$41:$AN$46,'All Stock'!Q$40,FALSE)),"")</f>
        <v>0.70586635948528242</v>
      </c>
      <c r="T119" s="787">
        <f>IFERROR(IF(VLOOKUP($A119,'All Stock'!$C$41:$AN$46,'All Stock'!R$40,FALSE)=0,"",VLOOKUP($A119,'All Stock'!$C$41:$AN$46,'All Stock'!R$40,FALSE)),"")</f>
        <v>0.76441135034493002</v>
      </c>
      <c r="U119" s="787">
        <f>IFERROR(IF(VLOOKUP($A119,'All Stock'!$C$41:$AN$46,'All Stock'!S$40,FALSE)=0,"",VLOOKUP($A119,'All Stock'!$C$41:$AN$46,'All Stock'!S$40,FALSE)),"")</f>
        <v>0.76351422046396589</v>
      </c>
      <c r="V119" s="787">
        <f>IFERROR(IF(VLOOKUP($A119,'All Stock'!$C$41:$AN$46,'All Stock'!T$40,FALSE)=0,"",VLOOKUP($A119,'All Stock'!$C$41:$AN$46,'All Stock'!T$40,FALSE)),"")</f>
        <v>0.84781454393670264</v>
      </c>
      <c r="W119" s="787">
        <f>IFERROR(IF(VLOOKUP($A119,'All Stock'!$C$41:$AN$46,'All Stock'!U$40,FALSE)=0,"",VLOOKUP($A119,'All Stock'!$C$41:$AN$46,'All Stock'!U$40,FALSE)),"")</f>
        <v>0.7686698831846539</v>
      </c>
      <c r="X119" s="787">
        <f>IFERROR(IF(VLOOKUP($A119,'All Stock'!$C$41:$AN$46,'All Stock'!V$40,FALSE)=0,"",VLOOKUP($A119,'All Stock'!$C$41:$AN$46,'All Stock'!V$40,FALSE)),"")</f>
        <v>0.74146384022277689</v>
      </c>
      <c r="Y119" s="787">
        <f>IFERROR(IF(VLOOKUP($A119,'All Stock'!$C$41:$AN$46,'All Stock'!W$40,FALSE)=0,"",VLOOKUP($A119,'All Stock'!$C$41:$AN$46,'All Stock'!W$40,FALSE)),"")</f>
        <v>0.79040869411771786</v>
      </c>
      <c r="Z119" s="787">
        <f>IFERROR(IF(VLOOKUP($A119,'All Stock'!$C$41:$AN$46,'All Stock'!X$40,FALSE)=0,"",VLOOKUP($A119,'All Stock'!$C$41:$AN$46,'All Stock'!X$40,FALSE)),"")</f>
        <v>0.79542895694786908</v>
      </c>
      <c r="AA119" s="787">
        <f>IFERROR(IF(VLOOKUP($A119,'All Stock'!$C$41:$AN$46,'All Stock'!Y$40,FALSE)=0,"",VLOOKUP($A119,'All Stock'!$C$41:$AN$46,'All Stock'!Y$40,FALSE)),"")</f>
        <v>1.0434128957133155</v>
      </c>
      <c r="AB119" s="787">
        <f>IFERROR(IF(VLOOKUP($A119,'All Stock'!$C$41:$AN$46,'All Stock'!Z$40,FALSE)=0,"",VLOOKUP($A119,'All Stock'!$C$41:$AN$46,'All Stock'!Z$40,FALSE)),"")</f>
        <v>0.82267627558681988</v>
      </c>
      <c r="AC119" s="787">
        <f>IFERROR(IF(VLOOKUP($A119,'All Stock'!$C$41:$AN$46,'All Stock'!AA$40,FALSE)=0,"",VLOOKUP($A119,'All Stock'!$C$41:$AN$46,'All Stock'!AA$40,FALSE)),"")</f>
        <v>0.84781454393670264</v>
      </c>
      <c r="AD119" s="787">
        <f>IFERROR(IF(VLOOKUP($A119,'All Stock'!$C$41:$AN$46,'All Stock'!AB$40,FALSE)=0,"",VLOOKUP($A119,'All Stock'!$C$41:$AN$46,'All Stock'!AB$40,FALSE)),"")</f>
        <v>0.78322749907057254</v>
      </c>
      <c r="AE119" s="787">
        <f>IFERROR(IF(VLOOKUP($A119,'All Stock'!$C$41:$AN$46,'All Stock'!AC$40,FALSE)=0,"",VLOOKUP($A119,'All Stock'!$C$41:$AN$46,'All Stock'!AC$40,FALSE)),"")</f>
        <v>0.79601790830593744</v>
      </c>
      <c r="AF119" s="787">
        <f>IFERROR(IF(VLOOKUP($A119,'All Stock'!$C$41:$AN$46,'All Stock'!AD$40,FALSE)=0,"",VLOOKUP($A119,'All Stock'!$C$41:$AN$46,'All Stock'!AD$40,FALSE)),"")</f>
        <v>0.73191704738132024</v>
      </c>
      <c r="AG119" s="787" t="str">
        <f>IFERROR(IF(VLOOKUP($A119,'All Stock'!$C$41:$AN$46,'All Stock'!AE$40,FALSE)=0,"",VLOOKUP($A119,'All Stock'!$C$41:$AN$46,'All Stock'!AE$40,FALSE)),"")</f>
        <v>0.7</v>
      </c>
      <c r="AH119" s="787">
        <f>IFERROR(IF(VLOOKUP($A119,'All Stock'!$C$41:$AN$46,'All Stock'!AF$40,FALSE)=0,"",VLOOKUP($A119,'All Stock'!$C$41:$AN$46,'All Stock'!AF$40,FALSE)),"")</f>
        <v>0.78984392531295</v>
      </c>
      <c r="AI119" s="787">
        <f>IFERROR(IF(VLOOKUP($A119,'All Stock'!$C$41:$AN$46,'All Stock'!AG$40,FALSE)=0,"",VLOOKUP($A119,'All Stock'!$C$41:$AN$46,'All Stock'!AG$40,FALSE)),"")</f>
        <v>0.73957260118169432</v>
      </c>
      <c r="AJ119" s="787">
        <f>IFERROR(IF(VLOOKUP($A119,'All Stock'!$C$41:$AN$46,'All Stock'!AH$40,FALSE)=0,"",VLOOKUP($A119,'All Stock'!$C$41:$AN$46,'All Stock'!AH$40,FALSE)),"")</f>
        <v>0.81749291886381314</v>
      </c>
      <c r="AK119" s="787">
        <f>IFERROR(IF(VLOOKUP($A119,'All Stock'!$C$41:$AN$46,'All Stock'!AI$40,FALSE)=0,"",VLOOKUP($A119,'All Stock'!$C$41:$AN$46,'All Stock'!AI$40,FALSE)),"")</f>
        <v>0.7463307860088233</v>
      </c>
      <c r="AL119" s="787">
        <f>IFERROR(IF(VLOOKUP($A119,'All Stock'!$C$41:$AN$46,'All Stock'!AJ$40,FALSE)=0,"",VLOOKUP($A119,'All Stock'!$C$41:$AN$46,'All Stock'!AJ$40,FALSE)),"")</f>
        <v>0.7601637717533809</v>
      </c>
      <c r="AM119" s="787">
        <f>IFERROR(IF(VLOOKUP($A119,'All Stock'!$C$41:$AN$46,'All Stock'!AK$40,FALSE)=0,"",VLOOKUP($A119,'All Stock'!$C$41:$AN$46,'All Stock'!AK$40,FALSE)),"")</f>
        <v>0.7601637717533809</v>
      </c>
      <c r="AN119" s="787">
        <f>IFERROR(IF(VLOOKUP($A119,'All Stock'!$C$41:$AN$46,'All Stock'!AL$40,FALSE)=0,"",VLOOKUP($A119,'All Stock'!$C$41:$AN$46,'All Stock'!AL$40,FALSE)),"")</f>
        <v>0.7463307860088233</v>
      </c>
      <c r="AO119" s="787">
        <f>IFERROR(IF(VLOOKUP($A119,'All Stock'!$C$41:$AN$46,'All Stock'!AM$40,FALSE)=0,"",VLOOKUP($A119,'All Stock'!$C$41:$AN$46,'All Stock'!AM$40,FALSE)),"")</f>
        <v>0.7601637717533809</v>
      </c>
      <c r="AP119" s="787">
        <f>IFERROR(IF(VLOOKUP($A119,'All Stock'!$C$41:$AN$46,'All Stock'!AN$40,FALSE)=0,"",VLOOKUP($A119,'All Stock'!$C$41:$AN$46,'All Stock'!AN$40,FALSE)),"")</f>
        <v>0.7601637717533809</v>
      </c>
      <c r="AX119" s="496"/>
      <c r="AY119" s="496"/>
      <c r="AZ119" s="496"/>
      <c r="BA119" s="496"/>
      <c r="BB119" s="496"/>
      <c r="BC119" s="496"/>
      <c r="BD119" s="496"/>
      <c r="BE119" s="496"/>
      <c r="BF119" s="496"/>
      <c r="BG119" s="496"/>
      <c r="BH119" s="496"/>
      <c r="BI119" s="496"/>
      <c r="BJ119" s="496"/>
      <c r="BK119" s="496"/>
      <c r="BL119" s="496"/>
      <c r="BM119" s="496"/>
      <c r="BN119" s="496"/>
      <c r="BO119" s="496"/>
      <c r="BP119" s="496"/>
      <c r="BQ119" s="496"/>
      <c r="BR119" s="496"/>
      <c r="BS119" s="496"/>
      <c r="BT119" s="496"/>
      <c r="BU119" s="496"/>
      <c r="BV119" s="496"/>
      <c r="BW119" s="496"/>
      <c r="BX119" s="496"/>
      <c r="BY119" s="496"/>
      <c r="BZ119" s="496"/>
      <c r="CA119" s="496"/>
      <c r="CB119" s="496"/>
      <c r="CC119" s="496"/>
      <c r="CD119" s="496"/>
      <c r="CE119" s="496"/>
      <c r="CF119" s="496"/>
      <c r="CG119" s="496"/>
      <c r="CH119" s="496"/>
    </row>
    <row r="120" spans="1:86">
      <c r="A120" t="str">
        <f t="shared" si="56"/>
        <v>Solids</v>
      </c>
      <c r="C120" t="str">
        <f t="shared" si="57"/>
        <v>R_ES-SH-DH-70_COA</v>
      </c>
      <c r="E120" t="str">
        <f t="shared" si="58"/>
        <v>R_ES-DH-70-SpHeat</v>
      </c>
      <c r="F120" s="787">
        <f>IFERROR(IF(VLOOKUP($A120,'All Stock'!$C$41:$AN$46,'All Stock'!D$40,FALSE)=0,"",VLOOKUP($A120,'All Stock'!$C$41:$AN$46,'All Stock'!D$40,FALSE)),"")</f>
        <v>0.84000944301201474</v>
      </c>
      <c r="G120" s="787">
        <f>IFERROR(IF(VLOOKUP($A120,'All Stock'!$C$41:$AN$46,'All Stock'!E$40,FALSE)=0,"",VLOOKUP($A120,'All Stock'!$C$41:$AN$46,'All Stock'!E$40,FALSE)),"")</f>
        <v>0.81351118392087329</v>
      </c>
      <c r="H120" s="787">
        <f>IFERROR(IF(VLOOKUP($A120,'All Stock'!$C$41:$AN$46,'All Stock'!F$40,FALSE)=0,"",VLOOKUP($A120,'All Stock'!$C$41:$AN$46,'All Stock'!F$40,FALSE)),"")</f>
        <v>0.76823818993776927</v>
      </c>
      <c r="I120" s="787">
        <f>IFERROR(IF(VLOOKUP($A120,'All Stock'!$C$41:$AN$46,'All Stock'!G$40,FALSE)=0,"",VLOOKUP($A120,'All Stock'!$C$41:$AN$46,'All Stock'!G$40,FALSE)),"")</f>
        <v>0.92459294417607674</v>
      </c>
      <c r="J120" s="787" t="str">
        <f>IFERROR(IF(VLOOKUP($A120,'All Stock'!$C$41:$AN$46,'All Stock'!H$40,FALSE)=0,"",VLOOKUP($A120,'All Stock'!$C$41:$AN$46,'All Stock'!H$40,FALSE)),"")</f>
        <v>0.7</v>
      </c>
      <c r="K120" s="787">
        <f>IFERROR(IF(VLOOKUP($A120,'All Stock'!$C$41:$AN$46,'All Stock'!I$40,FALSE)=0,"",VLOOKUP($A120,'All Stock'!$C$41:$AN$46,'All Stock'!I$40,FALSE)),"")</f>
        <v>0.80041513182527813</v>
      </c>
      <c r="L120" s="787">
        <f>IFERROR(IF(VLOOKUP($A120,'All Stock'!$C$41:$AN$46,'All Stock'!J$40,FALSE)=0,"",VLOOKUP($A120,'All Stock'!$C$41:$AN$46,'All Stock'!J$40,FALSE)),"")</f>
        <v>0.92459294417607674</v>
      </c>
      <c r="M120" s="787" t="str">
        <f>IFERROR(IF(VLOOKUP($A120,'All Stock'!$C$41:$AN$46,'All Stock'!K$40,FALSE)=0,"",VLOOKUP($A120,'All Stock'!$C$41:$AN$46,'All Stock'!K$40,FALSE)),"")</f>
        <v>0.7</v>
      </c>
      <c r="N120" s="787">
        <f>IFERROR(IF(VLOOKUP($A120,'All Stock'!$C$41:$AN$46,'All Stock'!L$40,FALSE)=0,"",VLOOKUP($A120,'All Stock'!$C$41:$AN$46,'All Stock'!L$40,FALSE)),"")</f>
        <v>0.77552864007769939</v>
      </c>
      <c r="O120" s="787">
        <f>IFERROR(IF(VLOOKUP($A120,'All Stock'!$C$41:$AN$46,'All Stock'!M$40,FALSE)=0,"",VLOOKUP($A120,'All Stock'!$C$41:$AN$46,'All Stock'!M$40,FALSE)),"")</f>
        <v>0.75325271367398605</v>
      </c>
      <c r="P120" s="787">
        <f>IFERROR(IF(VLOOKUP($A120,'All Stock'!$C$41:$AN$46,'All Stock'!N$40,FALSE)=0,"",VLOOKUP($A120,'All Stock'!$C$41:$AN$46,'All Stock'!N$40,FALSE)),"")</f>
        <v>0.87390787050256291</v>
      </c>
      <c r="Q120" s="787">
        <f>IFERROR(IF(VLOOKUP($A120,'All Stock'!$C$41:$AN$46,'All Stock'!O$40,FALSE)=0,"",VLOOKUP($A120,'All Stock'!$C$41:$AN$46,'All Stock'!O$40,FALSE)),"")</f>
        <v>0.85293753664915428</v>
      </c>
      <c r="R120" s="787" t="str">
        <f>IFERROR(IF(VLOOKUP($A120,'All Stock'!$C$41:$AN$46,'All Stock'!P$40,FALSE)=0,"",VLOOKUP($A120,'All Stock'!$C$41:$AN$46,'All Stock'!P$40,FALSE)),"")</f>
        <v>0.7</v>
      </c>
      <c r="S120" s="787">
        <f>IFERROR(IF(VLOOKUP($A120,'All Stock'!$C$41:$AN$46,'All Stock'!Q$40,FALSE)=0,"",VLOOKUP($A120,'All Stock'!$C$41:$AN$46,'All Stock'!Q$40,FALSE)),"")</f>
        <v>0.74878228771735789</v>
      </c>
      <c r="T120" s="787">
        <f>IFERROR(IF(VLOOKUP($A120,'All Stock'!$C$41:$AN$46,'All Stock'!R$40,FALSE)=0,"",VLOOKUP($A120,'All Stock'!$C$41:$AN$46,'All Stock'!R$40,FALSE)),"")</f>
        <v>0.78766540235995264</v>
      </c>
      <c r="U120" s="787">
        <f>IFERROR(IF(VLOOKUP($A120,'All Stock'!$C$41:$AN$46,'All Stock'!S$40,FALSE)=0,"",VLOOKUP($A120,'All Stock'!$C$41:$AN$46,'All Stock'!S$40,FALSE)),"")</f>
        <v>0.80013744981906032</v>
      </c>
      <c r="V120" s="787" t="str">
        <f>IFERROR(IF(VLOOKUP($A120,'All Stock'!$C$41:$AN$46,'All Stock'!T$40,FALSE)=0,"",VLOOKUP($A120,'All Stock'!$C$41:$AN$46,'All Stock'!T$40,FALSE)),"")</f>
        <v>0.7</v>
      </c>
      <c r="W120" s="787">
        <f>IFERROR(IF(VLOOKUP($A120,'All Stock'!$C$41:$AN$46,'All Stock'!U$40,FALSE)=0,"",VLOOKUP($A120,'All Stock'!$C$41:$AN$46,'All Stock'!U$40,FALSE)),"")</f>
        <v>0.79418327891432228</v>
      </c>
      <c r="X120" s="787">
        <f>IFERROR(IF(VLOOKUP($A120,'All Stock'!$C$41:$AN$46,'All Stock'!V$40,FALSE)=0,"",VLOOKUP($A120,'All Stock'!$C$41:$AN$46,'All Stock'!V$40,FALSE)),"")</f>
        <v>0.80856567448048</v>
      </c>
      <c r="Y120" s="787">
        <f>IFERROR(IF(VLOOKUP($A120,'All Stock'!$C$41:$AN$46,'All Stock'!W$40,FALSE)=0,"",VLOOKUP($A120,'All Stock'!$C$41:$AN$46,'All Stock'!W$40,FALSE)),"")</f>
        <v>0.84657514339166795</v>
      </c>
      <c r="Z120" s="787">
        <f>IFERROR(IF(VLOOKUP($A120,'All Stock'!$C$41:$AN$46,'All Stock'!X$40,FALSE)=0,"",VLOOKUP($A120,'All Stock'!$C$41:$AN$46,'All Stock'!X$40,FALSE)),"")</f>
        <v>0.82834230248009677</v>
      </c>
      <c r="AA120" s="787" t="str">
        <f>IFERROR(IF(VLOOKUP($A120,'All Stock'!$C$41:$AN$46,'All Stock'!Y$40,FALSE)=0,"",VLOOKUP($A120,'All Stock'!$C$41:$AN$46,'All Stock'!Y$40,FALSE)),"")</f>
        <v>0.7</v>
      </c>
      <c r="AB120" s="787">
        <f>IFERROR(IF(VLOOKUP($A120,'All Stock'!$C$41:$AN$46,'All Stock'!Z$40,FALSE)=0,"",VLOOKUP($A120,'All Stock'!$C$41:$AN$46,'All Stock'!Z$40,FALSE)),"")</f>
        <v>0.87282859281482128</v>
      </c>
      <c r="AC120" s="787" t="str">
        <f>IFERROR(IF(VLOOKUP($A120,'All Stock'!$C$41:$AN$46,'All Stock'!AA$40,FALSE)=0,"",VLOOKUP($A120,'All Stock'!$C$41:$AN$46,'All Stock'!AA$40,FALSE)),"")</f>
        <v>0.7</v>
      </c>
      <c r="AD120" s="787">
        <f>IFERROR(IF(VLOOKUP($A120,'All Stock'!$C$41:$AN$46,'All Stock'!AB$40,FALSE)=0,"",VLOOKUP($A120,'All Stock'!$C$41:$AN$46,'All Stock'!AB$40,FALSE)),"")</f>
        <v>0.8373533662291277</v>
      </c>
      <c r="AE120" s="787" t="str">
        <f>IFERROR(IF(VLOOKUP($A120,'All Stock'!$C$41:$AN$46,'All Stock'!AC$40,FALSE)=0,"",VLOOKUP($A120,'All Stock'!$C$41:$AN$46,'All Stock'!AC$40,FALSE)),"")</f>
        <v>0.7</v>
      </c>
      <c r="AF120" s="787">
        <f>IFERROR(IF(VLOOKUP($A120,'All Stock'!$C$41:$AN$46,'All Stock'!AD$40,FALSE)=0,"",VLOOKUP($A120,'All Stock'!$C$41:$AN$46,'All Stock'!AD$40,FALSE)),"")</f>
        <v>0.78986581106219267</v>
      </c>
      <c r="AG120" s="787" t="str">
        <f>IFERROR(IF(VLOOKUP($A120,'All Stock'!$C$41:$AN$46,'All Stock'!AE$40,FALSE)=0,"",VLOOKUP($A120,'All Stock'!$C$41:$AN$46,'All Stock'!AE$40,FALSE)),"")</f>
        <v>0.7</v>
      </c>
      <c r="AH120" s="787">
        <f>IFERROR(IF(VLOOKUP($A120,'All Stock'!$C$41:$AN$46,'All Stock'!AF$40,FALSE)=0,"",VLOOKUP($A120,'All Stock'!$C$41:$AN$46,'All Stock'!AF$40,FALSE)),"")</f>
        <v>0.82758004338518987</v>
      </c>
      <c r="AI120" s="787">
        <f>IFERROR(IF(VLOOKUP($A120,'All Stock'!$C$41:$AN$46,'All Stock'!AG$40,FALSE)=0,"",VLOOKUP($A120,'All Stock'!$C$41:$AN$46,'All Stock'!AG$40,FALSE)),"")</f>
        <v>0.8013895131480343</v>
      </c>
      <c r="AJ120" s="787">
        <f>IFERROR(IF(VLOOKUP($A120,'All Stock'!$C$41:$AN$46,'All Stock'!AH$40,FALSE)=0,"",VLOOKUP($A120,'All Stock'!$C$41:$AN$46,'All Stock'!AH$40,FALSE)),"")</f>
        <v>0.82867758316744888</v>
      </c>
      <c r="AK120" s="787" t="str">
        <f>IFERROR(IF(VLOOKUP($A120,'All Stock'!$C$41:$AN$46,'All Stock'!AI$40,FALSE)=0,"",VLOOKUP($A120,'All Stock'!$C$41:$AN$46,'All Stock'!AI$40,FALSE)),"")</f>
        <v>0.7</v>
      </c>
      <c r="AL120" s="787">
        <f>IFERROR(IF(VLOOKUP($A120,'All Stock'!$C$41:$AN$46,'All Stock'!AJ$40,FALSE)=0,"",VLOOKUP($A120,'All Stock'!$C$41:$AN$46,'All Stock'!AJ$40,FALSE)),"")</f>
        <v>0.8111808116938044</v>
      </c>
      <c r="AM120" s="787">
        <f>IFERROR(IF(VLOOKUP($A120,'All Stock'!$C$41:$AN$46,'All Stock'!AK$40,FALSE)=0,"",VLOOKUP($A120,'All Stock'!$C$41:$AN$46,'All Stock'!AK$40,FALSE)),"")</f>
        <v>0.8111808116938044</v>
      </c>
      <c r="AN120" s="787" t="str">
        <f>IFERROR(IF(VLOOKUP($A120,'All Stock'!$C$41:$AN$46,'All Stock'!AL$40,FALSE)=0,"",VLOOKUP($A120,'All Stock'!$C$41:$AN$46,'All Stock'!AL$40,FALSE)),"")</f>
        <v>0.7</v>
      </c>
      <c r="AO120" s="787">
        <f>IFERROR(IF(VLOOKUP($A120,'All Stock'!$C$41:$AN$46,'All Stock'!AM$40,FALSE)=0,"",VLOOKUP($A120,'All Stock'!$C$41:$AN$46,'All Stock'!AM$40,FALSE)),"")</f>
        <v>0.8111808116938044</v>
      </c>
      <c r="AP120" s="787">
        <f>IFERROR(IF(VLOOKUP($A120,'All Stock'!$C$41:$AN$46,'All Stock'!AN$40,FALSE)=0,"",VLOOKUP($A120,'All Stock'!$C$41:$AN$46,'All Stock'!AN$40,FALSE)),"")</f>
        <v>0.8111808116938044</v>
      </c>
      <c r="AX120" s="496"/>
      <c r="AY120" s="496"/>
      <c r="AZ120" s="496"/>
      <c r="BA120" s="496"/>
      <c r="BB120" s="496"/>
      <c r="BC120" s="496"/>
      <c r="BD120" s="496"/>
      <c r="BE120" s="496"/>
      <c r="BF120" s="496"/>
      <c r="BG120" s="496"/>
      <c r="BH120" s="496"/>
      <c r="BI120" s="496"/>
      <c r="BJ120" s="496"/>
      <c r="BK120" s="496"/>
      <c r="BL120" s="496"/>
      <c r="BM120" s="496"/>
      <c r="BN120" s="496"/>
      <c r="BO120" s="496"/>
      <c r="BP120" s="496"/>
      <c r="BQ120" s="496"/>
      <c r="BR120" s="496"/>
      <c r="BS120" s="496"/>
      <c r="BT120" s="496"/>
      <c r="BU120" s="496"/>
      <c r="BV120" s="496"/>
      <c r="BW120" s="496"/>
      <c r="BX120" s="496"/>
      <c r="BY120" s="496"/>
      <c r="BZ120" s="496"/>
      <c r="CA120" s="496"/>
      <c r="CB120" s="496"/>
      <c r="CC120" s="496"/>
      <c r="CD120" s="496"/>
      <c r="CE120" s="496"/>
      <c r="CF120" s="496"/>
      <c r="CG120" s="496"/>
      <c r="CH120" s="496"/>
    </row>
    <row r="121" spans="1:86">
      <c r="A121" t="str">
        <f t="shared" si="56"/>
        <v>LPG</v>
      </c>
      <c r="C121" t="str">
        <f t="shared" si="57"/>
        <v>R_ES-SH-DH-70_LPG</v>
      </c>
      <c r="E121" t="str">
        <f t="shared" si="58"/>
        <v>R_ES-DH-70-SpHeat</v>
      </c>
      <c r="F121" s="788">
        <f>IF(F118=0,"",F118)</f>
        <v>0.80046714388348206</v>
      </c>
      <c r="G121" s="788">
        <f t="shared" ref="G121:AP121" si="59">IF(G118=0,"",G118)</f>
        <v>0.78828873049448667</v>
      </c>
      <c r="H121" s="788">
        <f t="shared" si="59"/>
        <v>0.79832009350619637</v>
      </c>
      <c r="I121" s="788">
        <f t="shared" si="59"/>
        <v>0.85774115403962237</v>
      </c>
      <c r="J121" s="788">
        <f t="shared" si="59"/>
        <v>0.58765688899384927</v>
      </c>
      <c r="K121" s="788" t="str">
        <f t="shared" si="59"/>
        <v>0.7</v>
      </c>
      <c r="L121" s="788">
        <f t="shared" si="59"/>
        <v>0.85774115403962237</v>
      </c>
      <c r="M121" s="788">
        <f t="shared" si="59"/>
        <v>0.8190120351671959</v>
      </c>
      <c r="N121" s="788">
        <f t="shared" si="59"/>
        <v>0.81235393287832658</v>
      </c>
      <c r="O121" s="788">
        <f t="shared" si="59"/>
        <v>0.73343396452087661</v>
      </c>
      <c r="P121" s="788">
        <f t="shared" si="59"/>
        <v>0.80783474157188151</v>
      </c>
      <c r="Q121" s="788">
        <f t="shared" si="59"/>
        <v>0.80927991684156053</v>
      </c>
      <c r="R121" s="788">
        <f t="shared" si="59"/>
        <v>0.77466708881465018</v>
      </c>
      <c r="S121" s="788">
        <f t="shared" si="59"/>
        <v>0.73652624040326831</v>
      </c>
      <c r="T121" s="788" t="str">
        <f t="shared" si="59"/>
        <v>0.7</v>
      </c>
      <c r="U121" s="788">
        <f t="shared" si="59"/>
        <v>0.7966026577728591</v>
      </c>
      <c r="V121" s="788">
        <f t="shared" si="59"/>
        <v>0.8190120351671959</v>
      </c>
      <c r="W121" s="788">
        <f t="shared" si="59"/>
        <v>0.77871481287333932</v>
      </c>
      <c r="X121" s="788">
        <f t="shared" si="59"/>
        <v>0.88346566731129295</v>
      </c>
      <c r="Y121" s="788">
        <f t="shared" si="59"/>
        <v>0.81205753376304002</v>
      </c>
      <c r="Z121" s="788">
        <f t="shared" si="59"/>
        <v>0.87388164139702085</v>
      </c>
      <c r="AA121" s="788" t="str">
        <f t="shared" si="59"/>
        <v>0.7</v>
      </c>
      <c r="AB121" s="788">
        <f t="shared" si="59"/>
        <v>0.85466748946388815</v>
      </c>
      <c r="AC121" s="788">
        <f t="shared" si="59"/>
        <v>0.8190120351671959</v>
      </c>
      <c r="AD121" s="788">
        <f t="shared" si="59"/>
        <v>0.85913533715116286</v>
      </c>
      <c r="AE121" s="788">
        <f t="shared" si="59"/>
        <v>0.87110462678715306</v>
      </c>
      <c r="AF121" s="788">
        <f t="shared" si="59"/>
        <v>0.78550868524009243</v>
      </c>
      <c r="AG121" s="788">
        <f t="shared" si="59"/>
        <v>0.80143670930650168</v>
      </c>
      <c r="AH121" s="788">
        <f t="shared" si="59"/>
        <v>0.79235399963550734</v>
      </c>
      <c r="AI121" s="788" t="str">
        <f t="shared" si="59"/>
        <v>0.7</v>
      </c>
      <c r="AJ121" s="788">
        <f t="shared" si="59"/>
        <v>0.81555876152258244</v>
      </c>
      <c r="AK121" s="788">
        <f t="shared" si="59"/>
        <v>0.77466708881465018</v>
      </c>
      <c r="AL121" s="788">
        <f t="shared" si="59"/>
        <v>0.78562798976348625</v>
      </c>
      <c r="AM121" s="788">
        <f t="shared" si="59"/>
        <v>0.78562798976348625</v>
      </c>
      <c r="AN121" s="788">
        <f t="shared" si="59"/>
        <v>0.77466708881465018</v>
      </c>
      <c r="AO121" s="788">
        <f t="shared" si="59"/>
        <v>0.78562798976348625</v>
      </c>
      <c r="AP121" s="788">
        <f t="shared" si="59"/>
        <v>0.78562798976348625</v>
      </c>
      <c r="AX121" s="496"/>
      <c r="AY121" s="496"/>
      <c r="AZ121" s="496"/>
      <c r="BA121" s="496"/>
      <c r="BB121" s="496"/>
      <c r="BC121" s="496"/>
      <c r="BD121" s="496"/>
      <c r="BE121" s="496"/>
      <c r="BF121" s="496"/>
      <c r="BG121" s="496"/>
      <c r="BH121" s="496"/>
      <c r="BI121" s="496"/>
      <c r="BJ121" s="496"/>
      <c r="BK121" s="496"/>
      <c r="BL121" s="496"/>
      <c r="BM121" s="496"/>
      <c r="BN121" s="496"/>
      <c r="BO121" s="496"/>
      <c r="BP121" s="496"/>
      <c r="BQ121" s="496"/>
      <c r="BR121" s="496"/>
      <c r="BS121" s="496"/>
      <c r="BT121" s="496"/>
      <c r="BU121" s="496"/>
      <c r="BV121" s="496"/>
      <c r="BW121" s="496"/>
      <c r="BX121" s="496"/>
      <c r="BY121" s="496"/>
      <c r="BZ121" s="496"/>
      <c r="CA121" s="496"/>
      <c r="CB121" s="496"/>
      <c r="CC121" s="496"/>
      <c r="CD121" s="496"/>
      <c r="CE121" s="496"/>
      <c r="CF121" s="496"/>
      <c r="CG121" s="496"/>
      <c r="CH121" s="496"/>
    </row>
    <row r="122" spans="1:86">
      <c r="A122" t="str">
        <f t="shared" si="56"/>
        <v>Geothermal Energy</v>
      </c>
      <c r="C122" t="str">
        <f t="shared" si="57"/>
        <v>R_ES-SH-DH-70_GEO</v>
      </c>
      <c r="E122" t="str">
        <f t="shared" si="58"/>
        <v>R_ES-DH-70-SpHeat</v>
      </c>
      <c r="F122" s="788">
        <f>IF(F117=0,"",F117)</f>
        <v>0.88333199390813688</v>
      </c>
      <c r="G122" s="788">
        <f t="shared" ref="G122:AP122" si="60">IF(G117=0,"",G117)</f>
        <v>0.83553618085187931</v>
      </c>
      <c r="H122" s="788">
        <f t="shared" si="60"/>
        <v>0.81206531351727507</v>
      </c>
      <c r="I122" s="788">
        <f t="shared" si="60"/>
        <v>0.95587493363207376</v>
      </c>
      <c r="J122" s="788" t="str">
        <f t="shared" si="60"/>
        <v>0.8</v>
      </c>
      <c r="K122" s="788">
        <f t="shared" si="60"/>
        <v>0.85208330762622653</v>
      </c>
      <c r="L122" s="788">
        <f t="shared" si="60"/>
        <v>0.95587493363207376</v>
      </c>
      <c r="M122" s="788">
        <f t="shared" si="60"/>
        <v>0.91841114092424625</v>
      </c>
      <c r="N122" s="788">
        <f t="shared" si="60"/>
        <v>0.89056811991588136</v>
      </c>
      <c r="O122" s="788" t="str">
        <f t="shared" si="60"/>
        <v>0.8</v>
      </c>
      <c r="P122" s="788">
        <f t="shared" si="60"/>
        <v>0.91664482565774474</v>
      </c>
      <c r="Q122" s="788">
        <f t="shared" si="60"/>
        <v>0.88619005258754446</v>
      </c>
      <c r="R122" s="788">
        <f t="shared" si="60"/>
        <v>0.76932726422269859</v>
      </c>
      <c r="S122" s="788">
        <f t="shared" si="60"/>
        <v>0.82057579490371624</v>
      </c>
      <c r="T122" s="788">
        <f t="shared" si="60"/>
        <v>0.7835271138190868</v>
      </c>
      <c r="U122" s="788" t="str">
        <f t="shared" si="60"/>
        <v>0.8</v>
      </c>
      <c r="V122" s="788">
        <f t="shared" si="60"/>
        <v>0.91841114092424625</v>
      </c>
      <c r="W122" s="788">
        <f t="shared" si="60"/>
        <v>0.84751572846603129</v>
      </c>
      <c r="X122" s="788">
        <f t="shared" si="60"/>
        <v>0.85076796364532514</v>
      </c>
      <c r="Y122" s="788" t="str">
        <f t="shared" si="60"/>
        <v>0.8</v>
      </c>
      <c r="Z122" s="788">
        <f t="shared" si="60"/>
        <v>0.89852031257747156</v>
      </c>
      <c r="AA122" s="788" t="str">
        <f t="shared" si="60"/>
        <v>0.8</v>
      </c>
      <c r="AB122" s="788">
        <f t="shared" si="60"/>
        <v>0.90645521755068992</v>
      </c>
      <c r="AC122" s="788">
        <f t="shared" si="60"/>
        <v>0.91841114092424625</v>
      </c>
      <c r="AD122" s="788">
        <f t="shared" si="60"/>
        <v>0.89540543411667217</v>
      </c>
      <c r="AE122" s="788">
        <f t="shared" si="60"/>
        <v>0.89097570060848374</v>
      </c>
      <c r="AF122" s="788">
        <f t="shared" si="60"/>
        <v>0.81167632186112504</v>
      </c>
      <c r="AG122" s="788">
        <f t="shared" si="60"/>
        <v>0.80134176644047972</v>
      </c>
      <c r="AH122" s="788">
        <f t="shared" si="60"/>
        <v>0.8975153837411004</v>
      </c>
      <c r="AI122" s="788">
        <f t="shared" si="60"/>
        <v>0.82350393173757808</v>
      </c>
      <c r="AJ122" s="788">
        <f t="shared" si="60"/>
        <v>0.86559601252689145</v>
      </c>
      <c r="AK122" s="788">
        <f t="shared" si="60"/>
        <v>0.85983635413125137</v>
      </c>
      <c r="AL122" s="788">
        <f t="shared" si="60"/>
        <v>0.8688449593098172</v>
      </c>
      <c r="AM122" s="788">
        <f t="shared" si="60"/>
        <v>0.8688449593098172</v>
      </c>
      <c r="AN122" s="788">
        <f t="shared" si="60"/>
        <v>0.85983635413125137</v>
      </c>
      <c r="AO122" s="788">
        <f t="shared" si="60"/>
        <v>0.8688449593098172</v>
      </c>
      <c r="AP122" s="788">
        <f t="shared" si="60"/>
        <v>0.8688449593098172</v>
      </c>
      <c r="AX122" s="496"/>
      <c r="AY122" s="496"/>
      <c r="AZ122" s="496"/>
      <c r="BA122" s="496"/>
      <c r="BB122" s="496"/>
      <c r="BC122" s="496"/>
      <c r="BD122" s="496"/>
      <c r="BE122" s="496"/>
      <c r="BF122" s="496"/>
      <c r="BG122" s="496"/>
      <c r="BH122" s="496"/>
      <c r="BI122" s="496"/>
      <c r="BJ122" s="496"/>
      <c r="BK122" s="496"/>
      <c r="BL122" s="496"/>
      <c r="BM122" s="496"/>
      <c r="BN122" s="496"/>
      <c r="BO122" s="496"/>
      <c r="BP122" s="496"/>
      <c r="BQ122" s="496"/>
      <c r="BR122" s="496"/>
      <c r="BS122" s="496"/>
      <c r="BT122" s="496"/>
      <c r="BU122" s="496"/>
      <c r="BV122" s="496"/>
      <c r="BW122" s="496"/>
      <c r="BX122" s="496"/>
      <c r="BY122" s="496"/>
      <c r="BZ122" s="496"/>
      <c r="CA122" s="496"/>
      <c r="CB122" s="496"/>
      <c r="CC122" s="496"/>
      <c r="CD122" s="496"/>
      <c r="CE122" s="496"/>
      <c r="CF122" s="496"/>
      <c r="CG122" s="496"/>
      <c r="CH122" s="496"/>
    </row>
    <row r="123" spans="1:86">
      <c r="A123" t="str">
        <f t="shared" si="56"/>
        <v>Electricity</v>
      </c>
      <c r="C123" t="str">
        <f t="shared" si="57"/>
        <v>R_ES-SH-SD_ELC-R</v>
      </c>
      <c r="E123" t="str">
        <f t="shared" si="58"/>
        <v>R_ES-SD-SpHeat</v>
      </c>
      <c r="F123" s="787">
        <f>IFERROR(IF(VLOOKUP($A123,'All Stock'!$C$41:$AN$46,'All Stock'!D$40,FALSE)=0,"",VLOOKUP($A123,'All Stock'!$C$41:$AN$46,'All Stock'!D$40,FALSE)),"")</f>
        <v>0.81928900763721191</v>
      </c>
      <c r="G123" s="787">
        <f>IFERROR(IF(VLOOKUP($A123,'All Stock'!$C$41:$AN$46,'All Stock'!E$40,FALSE)=0,"",VLOOKUP($A123,'All Stock'!$C$41:$AN$46,'All Stock'!E$40,FALSE)),"")</f>
        <v>0.79900299844352862</v>
      </c>
      <c r="H123" s="787">
        <f>IFERROR(IF(VLOOKUP($A123,'All Stock'!$C$41:$AN$46,'All Stock'!F$40,FALSE)=0,"",VLOOKUP($A123,'All Stock'!$C$41:$AN$46,'All Stock'!F$40,FALSE)),"")</f>
        <v>0.73408809575765033</v>
      </c>
      <c r="I123" s="787">
        <f>IFERROR(IF(VLOOKUP($A123,'All Stock'!$C$41:$AN$46,'All Stock'!G$40,FALSE)=0,"",VLOOKUP($A123,'All Stock'!$C$41:$AN$46,'All Stock'!G$40,FALSE)),"")</f>
        <v>0.86347572459868804</v>
      </c>
      <c r="J123" s="787">
        <f>IFERROR(IF(VLOOKUP($A123,'All Stock'!$C$41:$AN$46,'All Stock'!H$40,FALSE)=0,"",VLOOKUP($A123,'All Stock'!$C$41:$AN$46,'All Stock'!H$40,FALSE)),"")</f>
        <v>0.70618228689710782</v>
      </c>
      <c r="K123" s="787">
        <f>IFERROR(IF(VLOOKUP($A123,'All Stock'!$C$41:$AN$46,'All Stock'!I$40,FALSE)=0,"",VLOOKUP($A123,'All Stock'!$C$41:$AN$46,'All Stock'!I$40,FALSE)),"")</f>
        <v>0.70582025115896152</v>
      </c>
      <c r="L123" s="787">
        <f>IFERROR(IF(VLOOKUP($A123,'All Stock'!$C$41:$AN$46,'All Stock'!J$40,FALSE)=0,"",VLOOKUP($A123,'All Stock'!$C$41:$AN$46,'All Stock'!J$40,FALSE)),"")</f>
        <v>0.86347572459868804</v>
      </c>
      <c r="M123" s="787">
        <f>IFERROR(IF(VLOOKUP($A123,'All Stock'!$C$41:$AN$46,'All Stock'!K$40,FALSE)=0,"",VLOOKUP($A123,'All Stock'!$C$41:$AN$46,'All Stock'!K$40,FALSE)),"")</f>
        <v>0.8001874970363646</v>
      </c>
      <c r="N123" s="787">
        <f>IFERROR(IF(VLOOKUP($A123,'All Stock'!$C$41:$AN$46,'All Stock'!L$40,FALSE)=0,"",VLOOKUP($A123,'All Stock'!$C$41:$AN$46,'All Stock'!L$40,FALSE)),"")</f>
        <v>0.75698599171100345</v>
      </c>
      <c r="O123" s="787">
        <f>IFERROR(IF(VLOOKUP($A123,'All Stock'!$C$41:$AN$46,'All Stock'!M$40,FALSE)=0,"",VLOOKUP($A123,'All Stock'!$C$41:$AN$46,'All Stock'!M$40,FALSE)),"")</f>
        <v>0.71635950787853064</v>
      </c>
      <c r="P123" s="787">
        <f>IFERROR(IF(VLOOKUP($A123,'All Stock'!$C$41:$AN$46,'All Stock'!N$40,FALSE)=0,"",VLOOKUP($A123,'All Stock'!$C$41:$AN$46,'All Stock'!N$40,FALSE)),"")</f>
        <v>0.81733074000663342</v>
      </c>
      <c r="Q123" s="787">
        <f>IFERROR(IF(VLOOKUP($A123,'All Stock'!$C$41:$AN$46,'All Stock'!O$40,FALSE)=0,"",VLOOKUP($A123,'All Stock'!$C$41:$AN$46,'All Stock'!O$40,FALSE)),"")</f>
        <v>0.81671823576041058</v>
      </c>
      <c r="R123" s="787">
        <f>IFERROR(IF(VLOOKUP($A123,'All Stock'!$C$41:$AN$46,'All Stock'!P$40,FALSE)=0,"",VLOOKUP($A123,'All Stock'!$C$41:$AN$46,'All Stock'!P$40,FALSE)),"")</f>
        <v>0.72282882147300664</v>
      </c>
      <c r="S123" s="787">
        <f>IFERROR(IF(VLOOKUP($A123,'All Stock'!$C$41:$AN$46,'All Stock'!Q$40,FALSE)=0,"",VLOOKUP($A123,'All Stock'!$C$41:$AN$46,'All Stock'!Q$40,FALSE)),"")</f>
        <v>0.71202455229284123</v>
      </c>
      <c r="T123" s="787">
        <f>IFERROR(IF(VLOOKUP($A123,'All Stock'!$C$41:$AN$46,'All Stock'!R$40,FALSE)=0,"",VLOOKUP($A123,'All Stock'!$C$41:$AN$46,'All Stock'!R$40,FALSE)),"")</f>
        <v>0.72917682462626643</v>
      </c>
      <c r="U123" s="787">
        <f>IFERROR(IF(VLOOKUP($A123,'All Stock'!$C$41:$AN$46,'All Stock'!S$40,FALSE)=0,"",VLOOKUP($A123,'All Stock'!$C$41:$AN$46,'All Stock'!S$40,FALSE)),"")</f>
        <v>0.75951434494584302</v>
      </c>
      <c r="V123" s="787">
        <f>IFERROR(IF(VLOOKUP($A123,'All Stock'!$C$41:$AN$46,'All Stock'!T$40,FALSE)=0,"",VLOOKUP($A123,'All Stock'!$C$41:$AN$46,'All Stock'!T$40,FALSE)),"")</f>
        <v>0.8001874970363646</v>
      </c>
      <c r="W123" s="787">
        <f>IFERROR(IF(VLOOKUP($A123,'All Stock'!$C$41:$AN$46,'All Stock'!U$40,FALSE)=0,"",VLOOKUP($A123,'All Stock'!$C$41:$AN$46,'All Stock'!U$40,FALSE)),"")</f>
        <v>0.76164435507238615</v>
      </c>
      <c r="X123" s="787">
        <f>IFERROR(IF(VLOOKUP($A123,'All Stock'!$C$41:$AN$46,'All Stock'!V$40,FALSE)=0,"",VLOOKUP($A123,'All Stock'!$C$41:$AN$46,'All Stock'!V$40,FALSE)),"")</f>
        <v>0.72542657031811564</v>
      </c>
      <c r="Y123" s="787">
        <f>IFERROR(IF(VLOOKUP($A123,'All Stock'!$C$41:$AN$46,'All Stock'!W$40,FALSE)=0,"",VLOOKUP($A123,'All Stock'!$C$41:$AN$46,'All Stock'!W$40,FALSE)),"")</f>
        <v>0.78087502002196951</v>
      </c>
      <c r="Z123" s="787">
        <f>IFERROR(IF(VLOOKUP($A123,'All Stock'!$C$41:$AN$46,'All Stock'!X$40,FALSE)=0,"",VLOOKUP($A123,'All Stock'!$C$41:$AN$46,'All Stock'!X$40,FALSE)),"")</f>
        <v>0.75951269724745896</v>
      </c>
      <c r="AA123" s="787">
        <f>IFERROR(IF(VLOOKUP($A123,'All Stock'!$C$41:$AN$46,'All Stock'!Y$40,FALSE)=0,"",VLOOKUP($A123,'All Stock'!$C$41:$AN$46,'All Stock'!Y$40,FALSE)),"")</f>
        <v>0.67551175099960736</v>
      </c>
      <c r="AB123" s="787">
        <f>IFERROR(IF(VLOOKUP($A123,'All Stock'!$C$41:$AN$46,'All Stock'!Z$40,FALSE)=0,"",VLOOKUP($A123,'All Stock'!$C$41:$AN$46,'All Stock'!Z$40,FALSE)),"")</f>
        <v>0.82446857044229116</v>
      </c>
      <c r="AC123" s="787">
        <f>IFERROR(IF(VLOOKUP($A123,'All Stock'!$C$41:$AN$46,'All Stock'!AA$40,FALSE)=0,"",VLOOKUP($A123,'All Stock'!$C$41:$AN$46,'All Stock'!AA$40,FALSE)),"")</f>
        <v>0.8001874970363646</v>
      </c>
      <c r="AD123" s="787">
        <f>IFERROR(IF(VLOOKUP($A123,'All Stock'!$C$41:$AN$46,'All Stock'!AB$40,FALSE)=0,"",VLOOKUP($A123,'All Stock'!$C$41:$AN$46,'All Stock'!AB$40,FALSE)),"")</f>
        <v>0.77572558406601155</v>
      </c>
      <c r="AE123" s="787">
        <f>IFERROR(IF(VLOOKUP($A123,'All Stock'!$C$41:$AN$46,'All Stock'!AC$40,FALSE)=0,"",VLOOKUP($A123,'All Stock'!$C$41:$AN$46,'All Stock'!AC$40,FALSE)),"")</f>
        <v>0.74814388647734709</v>
      </c>
      <c r="AF123" s="787">
        <f>IFERROR(IF(VLOOKUP($A123,'All Stock'!$C$41:$AN$46,'All Stock'!AD$40,FALSE)=0,"",VLOOKUP($A123,'All Stock'!$C$41:$AN$46,'All Stock'!AD$40,FALSE)),"")</f>
        <v>0.72440504092705404</v>
      </c>
      <c r="AG123" s="787">
        <f>IFERROR(IF(VLOOKUP($A123,'All Stock'!$C$41:$AN$46,'All Stock'!AE$40,FALSE)=0,"",VLOOKUP($A123,'All Stock'!$C$41:$AN$46,'All Stock'!AE$40,FALSE)),"")</f>
        <v>0.72971725971827717</v>
      </c>
      <c r="AH123" s="787">
        <f>IFERROR(IF(VLOOKUP($A123,'All Stock'!$C$41:$AN$46,'All Stock'!AF$40,FALSE)=0,"",VLOOKUP($A123,'All Stock'!$C$41:$AN$46,'All Stock'!AF$40,FALSE)),"")</f>
        <v>0.77385528191999364</v>
      </c>
      <c r="AI123" s="787">
        <f>IFERROR(IF(VLOOKUP($A123,'All Stock'!$C$41:$AN$46,'All Stock'!AG$40,FALSE)=0,"",VLOOKUP($A123,'All Stock'!$C$41:$AN$46,'All Stock'!AG$40,FALSE)),"")</f>
        <v>0.68382178584202868</v>
      </c>
      <c r="AJ123" s="787">
        <f>IFERROR(IF(VLOOKUP($A123,'All Stock'!$C$41:$AN$46,'All Stock'!AH$40,FALSE)=0,"",VLOOKUP($A123,'All Stock'!$C$41:$AN$46,'All Stock'!AH$40,FALSE)),"")</f>
        <v>0.77247864056518112</v>
      </c>
      <c r="AK123" s="787">
        <f>IFERROR(IF(VLOOKUP($A123,'All Stock'!$C$41:$AN$46,'All Stock'!AI$40,FALSE)=0,"",VLOOKUP($A123,'All Stock'!$C$41:$AN$46,'All Stock'!AI$40,FALSE)),"")</f>
        <v>0.72282882147300664</v>
      </c>
      <c r="AL123" s="787">
        <f>IFERROR(IF(VLOOKUP($A123,'All Stock'!$C$41:$AN$46,'All Stock'!AJ$40,FALSE)=0,"",VLOOKUP($A123,'All Stock'!$C$41:$AN$46,'All Stock'!AJ$40,FALSE)),"")</f>
        <v>0.71202455229284123</v>
      </c>
      <c r="AM123" s="787">
        <f>IFERROR(IF(VLOOKUP($A123,'All Stock'!$C$41:$AN$46,'All Stock'!AK$40,FALSE)=0,"",VLOOKUP($A123,'All Stock'!$C$41:$AN$46,'All Stock'!AK$40,FALSE)),"")</f>
        <v>0.71202455229284123</v>
      </c>
      <c r="AN123" s="787">
        <f>IFERROR(IF(VLOOKUP($A123,'All Stock'!$C$41:$AN$46,'All Stock'!AL$40,FALSE)=0,"",VLOOKUP($A123,'All Stock'!$C$41:$AN$46,'All Stock'!AL$40,FALSE)),"")</f>
        <v>0.72282882147300664</v>
      </c>
      <c r="AO123" s="787">
        <f>IFERROR(IF(VLOOKUP($A123,'All Stock'!$C$41:$AN$46,'All Stock'!AM$40,FALSE)=0,"",VLOOKUP($A123,'All Stock'!$C$41:$AN$46,'All Stock'!AM$40,FALSE)),"")</f>
        <v>0.71202455229284123</v>
      </c>
      <c r="AP123" s="787">
        <f>IFERROR(IF(VLOOKUP($A123,'All Stock'!$C$41:$AN$46,'All Stock'!AN$40,FALSE)=0,"",VLOOKUP($A123,'All Stock'!$C$41:$AN$46,'All Stock'!AN$40,FALSE)),"")</f>
        <v>0.71202455229284123</v>
      </c>
      <c r="AX123" s="496"/>
      <c r="AY123" s="496"/>
      <c r="AZ123" s="496"/>
      <c r="BA123" s="496"/>
      <c r="BB123" s="496"/>
      <c r="BC123" s="496"/>
      <c r="BD123" s="496"/>
      <c r="BE123" s="496"/>
      <c r="BF123" s="496"/>
      <c r="BG123" s="496"/>
      <c r="BH123" s="496"/>
      <c r="BI123" s="496"/>
      <c r="BJ123" s="496"/>
      <c r="BK123" s="496"/>
      <c r="BL123" s="496"/>
      <c r="BM123" s="496"/>
      <c r="BN123" s="496"/>
      <c r="BO123" s="496"/>
      <c r="BP123" s="496"/>
      <c r="BQ123" s="496"/>
      <c r="BR123" s="496"/>
      <c r="BS123" s="496"/>
      <c r="BT123" s="496"/>
      <c r="BU123" s="496"/>
      <c r="BV123" s="496"/>
      <c r="BW123" s="496"/>
      <c r="BX123" s="496"/>
      <c r="BY123" s="496"/>
      <c r="BZ123" s="496"/>
      <c r="CA123" s="496"/>
      <c r="CB123" s="496"/>
      <c r="CC123" s="496"/>
      <c r="CD123" s="496"/>
      <c r="CE123" s="496"/>
      <c r="CF123" s="496"/>
      <c r="CG123" s="496"/>
      <c r="CH123" s="496"/>
    </row>
    <row r="124" spans="1:86">
      <c r="A124" s="819" t="s">
        <v>937</v>
      </c>
      <c r="C124" t="str">
        <f t="shared" si="57"/>
        <v>R_ES-SH-SD_ELC-HPA</v>
      </c>
      <c r="E124" t="str">
        <f t="shared" si="58"/>
        <v>R_ES-SD-SpHeat</v>
      </c>
      <c r="F124" s="787">
        <f t="shared" ref="F124:AP124" si="61">F123</f>
        <v>0.81928900763721191</v>
      </c>
      <c r="G124" s="787">
        <f t="shared" si="61"/>
        <v>0.79900299844352862</v>
      </c>
      <c r="H124" s="787">
        <f t="shared" si="61"/>
        <v>0.73408809575765033</v>
      </c>
      <c r="I124" s="787">
        <f t="shared" si="61"/>
        <v>0.86347572459868804</v>
      </c>
      <c r="J124" s="787">
        <f t="shared" si="61"/>
        <v>0.70618228689710782</v>
      </c>
      <c r="K124" s="787">
        <f t="shared" si="61"/>
        <v>0.70582025115896152</v>
      </c>
      <c r="L124" s="787">
        <f t="shared" si="61"/>
        <v>0.86347572459868804</v>
      </c>
      <c r="M124" s="787">
        <f t="shared" si="61"/>
        <v>0.8001874970363646</v>
      </c>
      <c r="N124" s="787">
        <f t="shared" si="61"/>
        <v>0.75698599171100345</v>
      </c>
      <c r="O124" s="787">
        <f t="shared" si="61"/>
        <v>0.71635950787853064</v>
      </c>
      <c r="P124" s="787">
        <f t="shared" si="61"/>
        <v>0.81733074000663342</v>
      </c>
      <c r="Q124" s="787">
        <f t="shared" si="61"/>
        <v>0.81671823576041058</v>
      </c>
      <c r="R124" s="787">
        <f t="shared" si="61"/>
        <v>0.72282882147300664</v>
      </c>
      <c r="S124" s="787">
        <f t="shared" si="61"/>
        <v>0.71202455229284123</v>
      </c>
      <c r="T124" s="787">
        <f t="shared" si="61"/>
        <v>0.72917682462626643</v>
      </c>
      <c r="U124" s="787">
        <f t="shared" si="61"/>
        <v>0.75951434494584302</v>
      </c>
      <c r="V124" s="787">
        <f t="shared" si="61"/>
        <v>0.8001874970363646</v>
      </c>
      <c r="W124" s="787">
        <f t="shared" si="61"/>
        <v>0.76164435507238615</v>
      </c>
      <c r="X124" s="787">
        <f t="shared" si="61"/>
        <v>0.72542657031811564</v>
      </c>
      <c r="Y124" s="787">
        <f t="shared" si="61"/>
        <v>0.78087502002196951</v>
      </c>
      <c r="Z124" s="787">
        <f t="shared" si="61"/>
        <v>0.75951269724745896</v>
      </c>
      <c r="AA124" s="787">
        <f t="shared" si="61"/>
        <v>0.67551175099960736</v>
      </c>
      <c r="AB124" s="787">
        <f t="shared" si="61"/>
        <v>0.82446857044229116</v>
      </c>
      <c r="AC124" s="787">
        <f t="shared" si="61"/>
        <v>0.8001874970363646</v>
      </c>
      <c r="AD124" s="787">
        <f t="shared" si="61"/>
        <v>0.77572558406601155</v>
      </c>
      <c r="AE124" s="787">
        <f t="shared" si="61"/>
        <v>0.74814388647734709</v>
      </c>
      <c r="AF124" s="787">
        <f t="shared" si="61"/>
        <v>0.72440504092705404</v>
      </c>
      <c r="AG124" s="787">
        <f t="shared" si="61"/>
        <v>0.72971725971827717</v>
      </c>
      <c r="AH124" s="787">
        <f t="shared" si="61"/>
        <v>0.77385528191999364</v>
      </c>
      <c r="AI124" s="787">
        <f t="shared" si="61"/>
        <v>0.68382178584202868</v>
      </c>
      <c r="AJ124" s="787">
        <f t="shared" si="61"/>
        <v>0.77247864056518112</v>
      </c>
      <c r="AK124" s="787">
        <f t="shared" si="61"/>
        <v>0.72282882147300664</v>
      </c>
      <c r="AL124" s="787">
        <f t="shared" si="61"/>
        <v>0.71202455229284123</v>
      </c>
      <c r="AM124" s="787">
        <f t="shared" si="61"/>
        <v>0.71202455229284123</v>
      </c>
      <c r="AN124" s="787">
        <f t="shared" si="61"/>
        <v>0.72282882147300664</v>
      </c>
      <c r="AO124" s="787">
        <f t="shared" si="61"/>
        <v>0.71202455229284123</v>
      </c>
      <c r="AP124" s="787">
        <f t="shared" si="61"/>
        <v>0.71202455229284123</v>
      </c>
      <c r="AX124" s="496"/>
      <c r="AY124" s="496"/>
      <c r="AZ124" s="496"/>
      <c r="BA124" s="496"/>
      <c r="BB124" s="496"/>
      <c r="BC124" s="496"/>
      <c r="BD124" s="496"/>
      <c r="BE124" s="496"/>
      <c r="BF124" s="496"/>
      <c r="BG124" s="496"/>
      <c r="BH124" s="496"/>
      <c r="BI124" s="496"/>
      <c r="BJ124" s="496"/>
      <c r="BK124" s="496"/>
      <c r="BL124" s="496"/>
      <c r="BM124" s="496"/>
      <c r="BN124" s="496"/>
      <c r="BO124" s="496"/>
      <c r="BP124" s="496"/>
      <c r="BQ124" s="496"/>
      <c r="BR124" s="496"/>
      <c r="BS124" s="496"/>
      <c r="BT124" s="496"/>
      <c r="BU124" s="496"/>
      <c r="BV124" s="496"/>
      <c r="BW124" s="496"/>
      <c r="BX124" s="496"/>
      <c r="BY124" s="496"/>
      <c r="BZ124" s="496"/>
      <c r="CA124" s="496"/>
      <c r="CB124" s="496"/>
      <c r="CC124" s="496"/>
      <c r="CD124" s="496"/>
      <c r="CE124" s="496"/>
      <c r="CF124" s="496"/>
      <c r="CG124" s="496"/>
      <c r="CH124" s="496"/>
    </row>
    <row r="125" spans="1:86">
      <c r="A125" s="819" t="s">
        <v>938</v>
      </c>
      <c r="C125" t="str">
        <f t="shared" si="57"/>
        <v>R_ES-SH-SD_ELC-HPG</v>
      </c>
      <c r="E125" t="str">
        <f t="shared" si="58"/>
        <v>R_ES-SD-SpHeat</v>
      </c>
      <c r="F125" s="787">
        <f t="shared" ref="F125:AP125" si="62">F123</f>
        <v>0.81928900763721191</v>
      </c>
      <c r="G125" s="787">
        <f t="shared" si="62"/>
        <v>0.79900299844352862</v>
      </c>
      <c r="H125" s="787">
        <f t="shared" si="62"/>
        <v>0.73408809575765033</v>
      </c>
      <c r="I125" s="787">
        <f t="shared" si="62"/>
        <v>0.86347572459868804</v>
      </c>
      <c r="J125" s="787">
        <f t="shared" si="62"/>
        <v>0.70618228689710782</v>
      </c>
      <c r="K125" s="787">
        <f t="shared" si="62"/>
        <v>0.70582025115896152</v>
      </c>
      <c r="L125" s="787">
        <f t="shared" si="62"/>
        <v>0.86347572459868804</v>
      </c>
      <c r="M125" s="787">
        <f t="shared" si="62"/>
        <v>0.8001874970363646</v>
      </c>
      <c r="N125" s="787">
        <f t="shared" si="62"/>
        <v>0.75698599171100345</v>
      </c>
      <c r="O125" s="787">
        <f t="shared" si="62"/>
        <v>0.71635950787853064</v>
      </c>
      <c r="P125" s="787">
        <f t="shared" si="62"/>
        <v>0.81733074000663342</v>
      </c>
      <c r="Q125" s="787">
        <f t="shared" si="62"/>
        <v>0.81671823576041058</v>
      </c>
      <c r="R125" s="787">
        <f t="shared" si="62"/>
        <v>0.72282882147300664</v>
      </c>
      <c r="S125" s="787">
        <f t="shared" si="62"/>
        <v>0.71202455229284123</v>
      </c>
      <c r="T125" s="787">
        <f t="shared" si="62"/>
        <v>0.72917682462626643</v>
      </c>
      <c r="U125" s="787">
        <f t="shared" si="62"/>
        <v>0.75951434494584302</v>
      </c>
      <c r="V125" s="787">
        <f t="shared" si="62"/>
        <v>0.8001874970363646</v>
      </c>
      <c r="W125" s="787">
        <f t="shared" si="62"/>
        <v>0.76164435507238615</v>
      </c>
      <c r="X125" s="787">
        <f t="shared" si="62"/>
        <v>0.72542657031811564</v>
      </c>
      <c r="Y125" s="787">
        <f t="shared" si="62"/>
        <v>0.78087502002196951</v>
      </c>
      <c r="Z125" s="787">
        <f t="shared" si="62"/>
        <v>0.75951269724745896</v>
      </c>
      <c r="AA125" s="787">
        <f t="shared" si="62"/>
        <v>0.67551175099960736</v>
      </c>
      <c r="AB125" s="787">
        <f t="shared" si="62"/>
        <v>0.82446857044229116</v>
      </c>
      <c r="AC125" s="787">
        <f t="shared" si="62"/>
        <v>0.8001874970363646</v>
      </c>
      <c r="AD125" s="787">
        <f t="shared" si="62"/>
        <v>0.77572558406601155</v>
      </c>
      <c r="AE125" s="787">
        <f t="shared" si="62"/>
        <v>0.74814388647734709</v>
      </c>
      <c r="AF125" s="787">
        <f t="shared" si="62"/>
        <v>0.72440504092705404</v>
      </c>
      <c r="AG125" s="787">
        <f t="shared" si="62"/>
        <v>0.72971725971827717</v>
      </c>
      <c r="AH125" s="787">
        <f t="shared" si="62"/>
        <v>0.77385528191999364</v>
      </c>
      <c r="AI125" s="787">
        <f t="shared" si="62"/>
        <v>0.68382178584202868</v>
      </c>
      <c r="AJ125" s="787">
        <f t="shared" si="62"/>
        <v>0.77247864056518112</v>
      </c>
      <c r="AK125" s="787">
        <f t="shared" si="62"/>
        <v>0.72282882147300664</v>
      </c>
      <c r="AL125" s="787">
        <f t="shared" si="62"/>
        <v>0.71202455229284123</v>
      </c>
      <c r="AM125" s="787">
        <f t="shared" si="62"/>
        <v>0.71202455229284123</v>
      </c>
      <c r="AN125" s="787">
        <f t="shared" si="62"/>
        <v>0.72282882147300664</v>
      </c>
      <c r="AO125" s="787">
        <f t="shared" si="62"/>
        <v>0.71202455229284123</v>
      </c>
      <c r="AP125" s="787">
        <f t="shared" si="62"/>
        <v>0.71202455229284123</v>
      </c>
      <c r="AX125" s="496"/>
      <c r="AY125" s="496"/>
      <c r="AZ125" s="496"/>
      <c r="BA125" s="496"/>
      <c r="BB125" s="496"/>
      <c r="BC125" s="496"/>
      <c r="BD125" s="496"/>
      <c r="BE125" s="496"/>
      <c r="BF125" s="496"/>
      <c r="BG125" s="496"/>
      <c r="BH125" s="496"/>
      <c r="BI125" s="496"/>
      <c r="BJ125" s="496"/>
      <c r="BK125" s="496"/>
      <c r="BL125" s="496"/>
      <c r="BM125" s="496"/>
      <c r="BN125" s="496"/>
      <c r="BO125" s="496"/>
      <c r="BP125" s="496"/>
      <c r="BQ125" s="496"/>
      <c r="BR125" s="496"/>
      <c r="BS125" s="496"/>
      <c r="BT125" s="496"/>
      <c r="BU125" s="496"/>
      <c r="BV125" s="496"/>
      <c r="BW125" s="496"/>
      <c r="BX125" s="496"/>
      <c r="BY125" s="496"/>
      <c r="BZ125" s="496"/>
      <c r="CA125" s="496"/>
      <c r="CB125" s="496"/>
      <c r="CC125" s="496"/>
      <c r="CD125" s="496"/>
      <c r="CE125" s="496"/>
      <c r="CF125" s="496"/>
      <c r="CG125" s="496"/>
      <c r="CH125" s="496"/>
    </row>
    <row r="126" spans="1:86">
      <c r="A126" t="str">
        <f t="shared" ref="A126:A132" si="63">A82</f>
        <v>Gases</v>
      </c>
      <c r="C126" t="str">
        <f t="shared" ref="C126:C132" si="64">C82</f>
        <v>R_ES-SH-SD_GAS</v>
      </c>
      <c r="E126" t="str">
        <f t="shared" ref="E126:E132" si="65">E82</f>
        <v>R_ES-SD-SpHeat</v>
      </c>
      <c r="F126" s="787">
        <f>IFERROR(IF(VLOOKUP($A126,'All Stock'!$C$41:$AN$46,'All Stock'!D$40,FALSE)=0,"",VLOOKUP($A126,'All Stock'!$C$41:$AN$46,'All Stock'!D$40,FALSE)),"")</f>
        <v>0.75592888056203189</v>
      </c>
      <c r="G126" s="787">
        <f>IFERROR(IF(VLOOKUP($A126,'All Stock'!$C$41:$AN$46,'All Stock'!E$40,FALSE)=0,"",VLOOKUP($A126,'All Stock'!$C$41:$AN$46,'All Stock'!E$40,FALSE)),"")</f>
        <v>0.74380140917100879</v>
      </c>
      <c r="H126" s="787">
        <f>IFERROR(IF(VLOOKUP($A126,'All Stock'!$C$41:$AN$46,'All Stock'!F$40,FALSE)=0,"",VLOOKUP($A126,'All Stock'!$C$41:$AN$46,'All Stock'!F$40,FALSE)),"")</f>
        <v>0.74639155346086394</v>
      </c>
      <c r="I126" s="787">
        <f>IFERROR(IF(VLOOKUP($A126,'All Stock'!$C$41:$AN$46,'All Stock'!G$40,FALSE)=0,"",VLOOKUP($A126,'All Stock'!$C$41:$AN$46,'All Stock'!G$40,FALSE)),"")</f>
        <v>0.81017863000366019</v>
      </c>
      <c r="J126" s="787" t="str">
        <f>IFERROR(IF(VLOOKUP($A126,'All Stock'!$C$41:$AN$46,'All Stock'!H$40,FALSE)=0,"",VLOOKUP($A126,'All Stock'!$C$41:$AN$46,'All Stock'!H$40,FALSE)),"")</f>
        <v>0.7</v>
      </c>
      <c r="K126" s="787">
        <f>IFERROR(IF(VLOOKUP($A126,'All Stock'!$C$41:$AN$46,'All Stock'!I$40,FALSE)=0,"",VLOOKUP($A126,'All Stock'!$C$41:$AN$46,'All Stock'!I$40,FALSE)),"")</f>
        <v>0.73442600881407805</v>
      </c>
      <c r="L126" s="787">
        <f>IFERROR(IF(VLOOKUP($A126,'All Stock'!$C$41:$AN$46,'All Stock'!J$40,FALSE)=0,"",VLOOKUP($A126,'All Stock'!$C$41:$AN$46,'All Stock'!J$40,FALSE)),"")</f>
        <v>0.81017863000366019</v>
      </c>
      <c r="M126" s="787">
        <f>IFERROR(IF(VLOOKUP($A126,'All Stock'!$C$41:$AN$46,'All Stock'!K$40,FALSE)=0,"",VLOOKUP($A126,'All Stock'!$C$41:$AN$46,'All Stock'!K$40,FALSE)),"")</f>
        <v>0.78641563412407145</v>
      </c>
      <c r="N126" s="787">
        <f>IFERROR(IF(VLOOKUP($A126,'All Stock'!$C$41:$AN$46,'All Stock'!L$40,FALSE)=0,"",VLOOKUP($A126,'All Stock'!$C$41:$AN$46,'All Stock'!L$40,FALSE)),"")</f>
        <v>0.78019664160087077</v>
      </c>
      <c r="O126" s="787">
        <f>IFERROR(IF(VLOOKUP($A126,'All Stock'!$C$41:$AN$46,'All Stock'!M$40,FALSE)=0,"",VLOOKUP($A126,'All Stock'!$C$41:$AN$46,'All Stock'!M$40,FALSE)),"")</f>
        <v>0.715776833706255</v>
      </c>
      <c r="P126" s="787">
        <f>IFERROR(IF(VLOOKUP($A126,'All Stock'!$C$41:$AN$46,'All Stock'!N$40,FALSE)=0,"",VLOOKUP($A126,'All Stock'!$C$41:$AN$46,'All Stock'!N$40,FALSE)),"")</f>
        <v>0.77841877822391248</v>
      </c>
      <c r="Q126" s="787">
        <f>IFERROR(IF(VLOOKUP($A126,'All Stock'!$C$41:$AN$46,'All Stock'!O$40,FALSE)=0,"",VLOOKUP($A126,'All Stock'!$C$41:$AN$46,'All Stock'!O$40,FALSE)),"")</f>
        <v>0.76097692301360786</v>
      </c>
      <c r="R126" s="787">
        <f>IFERROR(IF(VLOOKUP($A126,'All Stock'!$C$41:$AN$46,'All Stock'!P$40,FALSE)=0,"",VLOOKUP($A126,'All Stock'!$C$41:$AN$46,'All Stock'!P$40,FALSE)),"")</f>
        <v>0.78014366093572785</v>
      </c>
      <c r="S126" s="787">
        <f>IFERROR(IF(VLOOKUP($A126,'All Stock'!$C$41:$AN$46,'All Stock'!Q$40,FALSE)=0,"",VLOOKUP($A126,'All Stock'!$C$41:$AN$46,'All Stock'!Q$40,FALSE)),"")</f>
        <v>0.74499429749397561</v>
      </c>
      <c r="T126" s="787">
        <f>IFERROR(IF(VLOOKUP($A126,'All Stock'!$C$41:$AN$46,'All Stock'!R$40,FALSE)=0,"",VLOOKUP($A126,'All Stock'!$C$41:$AN$46,'All Stock'!R$40,FALSE)),"")</f>
        <v>0.72153446694261436</v>
      </c>
      <c r="U126" s="787">
        <f>IFERROR(IF(VLOOKUP($A126,'All Stock'!$C$41:$AN$46,'All Stock'!S$40,FALSE)=0,"",VLOOKUP($A126,'All Stock'!$C$41:$AN$46,'All Stock'!S$40,FALSE)),"")</f>
        <v>0.7560442787059295</v>
      </c>
      <c r="V126" s="787">
        <f>IFERROR(IF(VLOOKUP($A126,'All Stock'!$C$41:$AN$46,'All Stock'!T$40,FALSE)=0,"",VLOOKUP($A126,'All Stock'!$C$41:$AN$46,'All Stock'!T$40,FALSE)),"")</f>
        <v>0.78641563412407145</v>
      </c>
      <c r="W126" s="787">
        <f>IFERROR(IF(VLOOKUP($A126,'All Stock'!$C$41:$AN$46,'All Stock'!U$40,FALSE)=0,"",VLOOKUP($A126,'All Stock'!$C$41:$AN$46,'All Stock'!U$40,FALSE)),"")</f>
        <v>0.7268582985805061</v>
      </c>
      <c r="X126" s="787">
        <f>IFERROR(IF(VLOOKUP($A126,'All Stock'!$C$41:$AN$46,'All Stock'!V$40,FALSE)=0,"",VLOOKUP($A126,'All Stock'!$C$41:$AN$46,'All Stock'!V$40,FALSE)),"")</f>
        <v>0.74154132084234992</v>
      </c>
      <c r="Y126" s="787">
        <f>IFERROR(IF(VLOOKUP($A126,'All Stock'!$C$41:$AN$46,'All Stock'!W$40,FALSE)=0,"",VLOOKUP($A126,'All Stock'!$C$41:$AN$46,'All Stock'!W$40,FALSE)),"")</f>
        <v>0.76486370993713371</v>
      </c>
      <c r="Z126" s="787">
        <f>IFERROR(IF(VLOOKUP($A126,'All Stock'!$C$41:$AN$46,'All Stock'!X$40,FALSE)=0,"",VLOOKUP($A126,'All Stock'!$C$41:$AN$46,'All Stock'!X$40,FALSE)),"")</f>
        <v>0.78490216798672419</v>
      </c>
      <c r="AA126" s="787" t="str">
        <f>IFERROR(IF(VLOOKUP($A126,'All Stock'!$C$41:$AN$46,'All Stock'!Y$40,FALSE)=0,"",VLOOKUP($A126,'All Stock'!$C$41:$AN$46,'All Stock'!Y$40,FALSE)),"")</f>
        <v>0.7</v>
      </c>
      <c r="AB126" s="787">
        <f>IFERROR(IF(VLOOKUP($A126,'All Stock'!$C$41:$AN$46,'All Stock'!Z$40,FALSE)=0,"",VLOOKUP($A126,'All Stock'!$C$41:$AN$46,'All Stock'!Z$40,FALSE)),"")</f>
        <v>0.77566284204844005</v>
      </c>
      <c r="AC126" s="787">
        <f>IFERROR(IF(VLOOKUP($A126,'All Stock'!$C$41:$AN$46,'All Stock'!AA$40,FALSE)=0,"",VLOOKUP($A126,'All Stock'!$C$41:$AN$46,'All Stock'!AA$40,FALSE)),"")</f>
        <v>0.78641563412407145</v>
      </c>
      <c r="AD126" s="787">
        <f>IFERROR(IF(VLOOKUP($A126,'All Stock'!$C$41:$AN$46,'All Stock'!AB$40,FALSE)=0,"",VLOOKUP($A126,'All Stock'!$C$41:$AN$46,'All Stock'!AB$40,FALSE)),"")</f>
        <v>0.77354429534024727</v>
      </c>
      <c r="AE126" s="787">
        <f>IFERROR(IF(VLOOKUP($A126,'All Stock'!$C$41:$AN$46,'All Stock'!AC$40,FALSE)=0,"",VLOOKUP($A126,'All Stock'!$C$41:$AN$46,'All Stock'!AC$40,FALSE)),"")</f>
        <v>0.78557278476802406</v>
      </c>
      <c r="AF126" s="787">
        <f>IFERROR(IF(VLOOKUP($A126,'All Stock'!$C$41:$AN$46,'All Stock'!AD$40,FALSE)=0,"",VLOOKUP($A126,'All Stock'!$C$41:$AN$46,'All Stock'!AD$40,FALSE)),"")</f>
        <v>0.70221298243667163</v>
      </c>
      <c r="AG126" s="787">
        <f>IFERROR(IF(VLOOKUP($A126,'All Stock'!$C$41:$AN$46,'All Stock'!AE$40,FALSE)=0,"",VLOOKUP($A126,'All Stock'!$C$41:$AN$46,'All Stock'!AE$40,FALSE)),"")</f>
        <v>0.73166794796601431</v>
      </c>
      <c r="AH126" s="787">
        <f>IFERROR(IF(VLOOKUP($A126,'All Stock'!$C$41:$AN$46,'All Stock'!AF$40,FALSE)=0,"",VLOOKUP($A126,'All Stock'!$C$41:$AN$46,'All Stock'!AF$40,FALSE)),"")</f>
        <v>0.78940789812191514</v>
      </c>
      <c r="AI126" s="787">
        <f>IFERROR(IF(VLOOKUP($A126,'All Stock'!$C$41:$AN$46,'All Stock'!AG$40,FALSE)=0,"",VLOOKUP($A126,'All Stock'!$C$41:$AN$46,'All Stock'!AG$40,FALSE)),"")</f>
        <v>0.70945498712761879</v>
      </c>
      <c r="AJ126" s="787">
        <f>IFERROR(IF(VLOOKUP($A126,'All Stock'!$C$41:$AN$46,'All Stock'!AH$40,FALSE)=0,"",VLOOKUP($A126,'All Stock'!$C$41:$AN$46,'All Stock'!AH$40,FALSE)),"")</f>
        <v>0.75515261273787326</v>
      </c>
      <c r="AK126" s="787">
        <f>IFERROR(IF(VLOOKUP($A126,'All Stock'!$C$41:$AN$46,'All Stock'!AI$40,FALSE)=0,"",VLOOKUP($A126,'All Stock'!$C$41:$AN$46,'All Stock'!AI$40,FALSE)),"")</f>
        <v>0.78014366093572785</v>
      </c>
      <c r="AL126" s="787">
        <f>IFERROR(IF(VLOOKUP($A126,'All Stock'!$C$41:$AN$46,'All Stock'!AJ$40,FALSE)=0,"",VLOOKUP($A126,'All Stock'!$C$41:$AN$46,'All Stock'!AJ$40,FALSE)),"")</f>
        <v>0.74499429749397561</v>
      </c>
      <c r="AM126" s="787">
        <f>IFERROR(IF(VLOOKUP($A126,'All Stock'!$C$41:$AN$46,'All Stock'!AK$40,FALSE)=0,"",VLOOKUP($A126,'All Stock'!$C$41:$AN$46,'All Stock'!AK$40,FALSE)),"")</f>
        <v>0.74499429749397561</v>
      </c>
      <c r="AN126" s="787">
        <f>IFERROR(IF(VLOOKUP($A126,'All Stock'!$C$41:$AN$46,'All Stock'!AL$40,FALSE)=0,"",VLOOKUP($A126,'All Stock'!$C$41:$AN$46,'All Stock'!AL$40,FALSE)),"")</f>
        <v>0.78014366093572785</v>
      </c>
      <c r="AO126" s="787">
        <f>IFERROR(IF(VLOOKUP($A126,'All Stock'!$C$41:$AN$46,'All Stock'!AM$40,FALSE)=0,"",VLOOKUP($A126,'All Stock'!$C$41:$AN$46,'All Stock'!AM$40,FALSE)),"")</f>
        <v>0.74499429749397561</v>
      </c>
      <c r="AP126" s="787">
        <f>IFERROR(IF(VLOOKUP($A126,'All Stock'!$C$41:$AN$46,'All Stock'!AN$40,FALSE)=0,"",VLOOKUP($A126,'All Stock'!$C$41:$AN$46,'All Stock'!AN$40,FALSE)),"")</f>
        <v>0.74499429749397561</v>
      </c>
      <c r="AX126" s="496"/>
      <c r="AY126" s="496"/>
      <c r="AZ126" s="496"/>
      <c r="BA126" s="496"/>
      <c r="BB126" s="496"/>
      <c r="BC126" s="496"/>
      <c r="BD126" s="496"/>
      <c r="BE126" s="496"/>
      <c r="BF126" s="496"/>
      <c r="BG126" s="496"/>
      <c r="BH126" s="496"/>
      <c r="BI126" s="496"/>
      <c r="BJ126" s="496"/>
      <c r="BK126" s="496"/>
      <c r="BL126" s="496"/>
      <c r="BM126" s="496"/>
      <c r="BN126" s="496"/>
      <c r="BO126" s="496"/>
      <c r="BP126" s="496"/>
      <c r="BQ126" s="496"/>
      <c r="BR126" s="496"/>
      <c r="BS126" s="496"/>
      <c r="BT126" s="496"/>
      <c r="BU126" s="496"/>
      <c r="BV126" s="496"/>
      <c r="BW126" s="496"/>
      <c r="BX126" s="496"/>
      <c r="BY126" s="496"/>
      <c r="BZ126" s="496"/>
      <c r="CA126" s="496"/>
      <c r="CB126" s="496"/>
      <c r="CC126" s="496"/>
      <c r="CD126" s="496"/>
      <c r="CE126" s="496"/>
      <c r="CF126" s="496"/>
      <c r="CG126" s="496"/>
      <c r="CH126" s="496"/>
    </row>
    <row r="127" spans="1:86">
      <c r="A127" t="str">
        <f t="shared" si="63"/>
        <v>Derived heat</v>
      </c>
      <c r="C127" t="str">
        <f t="shared" si="64"/>
        <v>R_ES-SH-SD_HET</v>
      </c>
      <c r="E127" t="str">
        <f t="shared" si="65"/>
        <v>R_ES-SD-SpHeat</v>
      </c>
      <c r="F127" s="787">
        <f>IFERROR(IF(VLOOKUP($A127,'All Stock'!$C$41:$AN$46,'All Stock'!D$40,FALSE)=0,"",VLOOKUP($A127,'All Stock'!$C$41:$AN$46,'All Stock'!D$40,FALSE)),"")</f>
        <v>0.88333199390813688</v>
      </c>
      <c r="G127" s="787">
        <f>IFERROR(IF(VLOOKUP($A127,'All Stock'!$C$41:$AN$46,'All Stock'!E$40,FALSE)=0,"",VLOOKUP($A127,'All Stock'!$C$41:$AN$46,'All Stock'!E$40,FALSE)),"")</f>
        <v>0.83553618085187931</v>
      </c>
      <c r="H127" s="787">
        <f>IFERROR(IF(VLOOKUP($A127,'All Stock'!$C$41:$AN$46,'All Stock'!F$40,FALSE)=0,"",VLOOKUP($A127,'All Stock'!$C$41:$AN$46,'All Stock'!F$40,FALSE)),"")</f>
        <v>0.81206531351727507</v>
      </c>
      <c r="I127" s="787">
        <f>IFERROR(IF(VLOOKUP($A127,'All Stock'!$C$41:$AN$46,'All Stock'!G$40,FALSE)=0,"",VLOOKUP($A127,'All Stock'!$C$41:$AN$46,'All Stock'!G$40,FALSE)),"")</f>
        <v>0.95587493363207376</v>
      </c>
      <c r="J127" s="787" t="str">
        <f>IFERROR(IF(VLOOKUP($A127,'All Stock'!$C$41:$AN$46,'All Stock'!H$40,FALSE)=0,"",VLOOKUP($A127,'All Stock'!$C$41:$AN$46,'All Stock'!H$40,FALSE)),"")</f>
        <v>0.8</v>
      </c>
      <c r="K127" s="787">
        <f>IFERROR(IF(VLOOKUP($A127,'All Stock'!$C$41:$AN$46,'All Stock'!I$40,FALSE)=0,"",VLOOKUP($A127,'All Stock'!$C$41:$AN$46,'All Stock'!I$40,FALSE)),"")</f>
        <v>0.85208330762622653</v>
      </c>
      <c r="L127" s="787">
        <f>IFERROR(IF(VLOOKUP($A127,'All Stock'!$C$41:$AN$46,'All Stock'!J$40,FALSE)=0,"",VLOOKUP($A127,'All Stock'!$C$41:$AN$46,'All Stock'!J$40,FALSE)),"")</f>
        <v>0.95587493363207376</v>
      </c>
      <c r="M127" s="787">
        <f>IFERROR(IF(VLOOKUP($A127,'All Stock'!$C$41:$AN$46,'All Stock'!K$40,FALSE)=0,"",VLOOKUP($A127,'All Stock'!$C$41:$AN$46,'All Stock'!K$40,FALSE)),"")</f>
        <v>0.91841114092424625</v>
      </c>
      <c r="N127" s="787">
        <f>IFERROR(IF(VLOOKUP($A127,'All Stock'!$C$41:$AN$46,'All Stock'!L$40,FALSE)=0,"",VLOOKUP($A127,'All Stock'!$C$41:$AN$46,'All Stock'!L$40,FALSE)),"")</f>
        <v>0.89056811991588136</v>
      </c>
      <c r="O127" s="787" t="str">
        <f>IFERROR(IF(VLOOKUP($A127,'All Stock'!$C$41:$AN$46,'All Stock'!M$40,FALSE)=0,"",VLOOKUP($A127,'All Stock'!$C$41:$AN$46,'All Stock'!M$40,FALSE)),"")</f>
        <v>0.8</v>
      </c>
      <c r="P127" s="787">
        <f>IFERROR(IF(VLOOKUP($A127,'All Stock'!$C$41:$AN$46,'All Stock'!N$40,FALSE)=0,"",VLOOKUP($A127,'All Stock'!$C$41:$AN$46,'All Stock'!N$40,FALSE)),"")</f>
        <v>0.91664482565774474</v>
      </c>
      <c r="Q127" s="787">
        <f>IFERROR(IF(VLOOKUP($A127,'All Stock'!$C$41:$AN$46,'All Stock'!O$40,FALSE)=0,"",VLOOKUP($A127,'All Stock'!$C$41:$AN$46,'All Stock'!O$40,FALSE)),"")</f>
        <v>0.88619005258754446</v>
      </c>
      <c r="R127" s="787">
        <f>IFERROR(IF(VLOOKUP($A127,'All Stock'!$C$41:$AN$46,'All Stock'!P$40,FALSE)=0,"",VLOOKUP($A127,'All Stock'!$C$41:$AN$46,'All Stock'!P$40,FALSE)),"")</f>
        <v>0.76932726422269859</v>
      </c>
      <c r="S127" s="787">
        <f>IFERROR(IF(VLOOKUP($A127,'All Stock'!$C$41:$AN$46,'All Stock'!Q$40,FALSE)=0,"",VLOOKUP($A127,'All Stock'!$C$41:$AN$46,'All Stock'!Q$40,FALSE)),"")</f>
        <v>0.82057579490371624</v>
      </c>
      <c r="T127" s="787">
        <f>IFERROR(IF(VLOOKUP($A127,'All Stock'!$C$41:$AN$46,'All Stock'!R$40,FALSE)=0,"",VLOOKUP($A127,'All Stock'!$C$41:$AN$46,'All Stock'!R$40,FALSE)),"")</f>
        <v>0.7835271138190868</v>
      </c>
      <c r="U127" s="787" t="str">
        <f>IFERROR(IF(VLOOKUP($A127,'All Stock'!$C$41:$AN$46,'All Stock'!S$40,FALSE)=0,"",VLOOKUP($A127,'All Stock'!$C$41:$AN$46,'All Stock'!S$40,FALSE)),"")</f>
        <v>0.8</v>
      </c>
      <c r="V127" s="787">
        <f>IFERROR(IF(VLOOKUP($A127,'All Stock'!$C$41:$AN$46,'All Stock'!T$40,FALSE)=0,"",VLOOKUP($A127,'All Stock'!$C$41:$AN$46,'All Stock'!T$40,FALSE)),"")</f>
        <v>0.91841114092424625</v>
      </c>
      <c r="W127" s="787">
        <f>IFERROR(IF(VLOOKUP($A127,'All Stock'!$C$41:$AN$46,'All Stock'!U$40,FALSE)=0,"",VLOOKUP($A127,'All Stock'!$C$41:$AN$46,'All Stock'!U$40,FALSE)),"")</f>
        <v>0.84751572846603129</v>
      </c>
      <c r="X127" s="787">
        <f>IFERROR(IF(VLOOKUP($A127,'All Stock'!$C$41:$AN$46,'All Stock'!V$40,FALSE)=0,"",VLOOKUP($A127,'All Stock'!$C$41:$AN$46,'All Stock'!V$40,FALSE)),"")</f>
        <v>0.85076796364532514</v>
      </c>
      <c r="Y127" s="787" t="str">
        <f>IFERROR(IF(VLOOKUP($A127,'All Stock'!$C$41:$AN$46,'All Stock'!W$40,FALSE)=0,"",VLOOKUP($A127,'All Stock'!$C$41:$AN$46,'All Stock'!W$40,FALSE)),"")</f>
        <v>0.8</v>
      </c>
      <c r="Z127" s="787">
        <f>IFERROR(IF(VLOOKUP($A127,'All Stock'!$C$41:$AN$46,'All Stock'!X$40,FALSE)=0,"",VLOOKUP($A127,'All Stock'!$C$41:$AN$46,'All Stock'!X$40,FALSE)),"")</f>
        <v>0.89852031257747156</v>
      </c>
      <c r="AA127" s="787" t="str">
        <f>IFERROR(IF(VLOOKUP($A127,'All Stock'!$C$41:$AN$46,'All Stock'!Y$40,FALSE)=0,"",VLOOKUP($A127,'All Stock'!$C$41:$AN$46,'All Stock'!Y$40,FALSE)),"")</f>
        <v>0.8</v>
      </c>
      <c r="AB127" s="787">
        <f>IFERROR(IF(VLOOKUP($A127,'All Stock'!$C$41:$AN$46,'All Stock'!Z$40,FALSE)=0,"",VLOOKUP($A127,'All Stock'!$C$41:$AN$46,'All Stock'!Z$40,FALSE)),"")</f>
        <v>0.90645521755068992</v>
      </c>
      <c r="AC127" s="787">
        <f>IFERROR(IF(VLOOKUP($A127,'All Stock'!$C$41:$AN$46,'All Stock'!AA$40,FALSE)=0,"",VLOOKUP($A127,'All Stock'!$C$41:$AN$46,'All Stock'!AA$40,FALSE)),"")</f>
        <v>0.91841114092424625</v>
      </c>
      <c r="AD127" s="787">
        <f>IFERROR(IF(VLOOKUP($A127,'All Stock'!$C$41:$AN$46,'All Stock'!AB$40,FALSE)=0,"",VLOOKUP($A127,'All Stock'!$C$41:$AN$46,'All Stock'!AB$40,FALSE)),"")</f>
        <v>0.89540543411667217</v>
      </c>
      <c r="AE127" s="787">
        <f>IFERROR(IF(VLOOKUP($A127,'All Stock'!$C$41:$AN$46,'All Stock'!AC$40,FALSE)=0,"",VLOOKUP($A127,'All Stock'!$C$41:$AN$46,'All Stock'!AC$40,FALSE)),"")</f>
        <v>0.89097570060848374</v>
      </c>
      <c r="AF127" s="787">
        <f>IFERROR(IF(VLOOKUP($A127,'All Stock'!$C$41:$AN$46,'All Stock'!AD$40,FALSE)=0,"",VLOOKUP($A127,'All Stock'!$C$41:$AN$46,'All Stock'!AD$40,FALSE)),"")</f>
        <v>0.81167632186112504</v>
      </c>
      <c r="AG127" s="787">
        <f>IFERROR(IF(VLOOKUP($A127,'All Stock'!$C$41:$AN$46,'All Stock'!AE$40,FALSE)=0,"",VLOOKUP($A127,'All Stock'!$C$41:$AN$46,'All Stock'!AE$40,FALSE)),"")</f>
        <v>0.80134176644047972</v>
      </c>
      <c r="AH127" s="787">
        <f>IFERROR(IF(VLOOKUP($A127,'All Stock'!$C$41:$AN$46,'All Stock'!AF$40,FALSE)=0,"",VLOOKUP($A127,'All Stock'!$C$41:$AN$46,'All Stock'!AF$40,FALSE)),"")</f>
        <v>0.8975153837411004</v>
      </c>
      <c r="AI127" s="787">
        <f>IFERROR(IF(VLOOKUP($A127,'All Stock'!$C$41:$AN$46,'All Stock'!AG$40,FALSE)=0,"",VLOOKUP($A127,'All Stock'!$C$41:$AN$46,'All Stock'!AG$40,FALSE)),"")</f>
        <v>0.82350393173757808</v>
      </c>
      <c r="AJ127" s="787">
        <f>IFERROR(IF(VLOOKUP($A127,'All Stock'!$C$41:$AN$46,'All Stock'!AH$40,FALSE)=0,"",VLOOKUP($A127,'All Stock'!$C$41:$AN$46,'All Stock'!AH$40,FALSE)),"")</f>
        <v>0.86559601252689145</v>
      </c>
      <c r="AK127" s="787">
        <f>IFERROR(IF(VLOOKUP($A127,'All Stock'!$C$41:$AN$46,'All Stock'!AI$40,FALSE)=0,"",VLOOKUP($A127,'All Stock'!$C$41:$AN$46,'All Stock'!AI$40,FALSE)),"")</f>
        <v>0.85983635413125137</v>
      </c>
      <c r="AL127" s="787">
        <f>IFERROR(IF(VLOOKUP($A127,'All Stock'!$C$41:$AN$46,'All Stock'!AJ$40,FALSE)=0,"",VLOOKUP($A127,'All Stock'!$C$41:$AN$46,'All Stock'!AJ$40,FALSE)),"")</f>
        <v>0.8688449593098172</v>
      </c>
      <c r="AM127" s="787">
        <f>IFERROR(IF(VLOOKUP($A127,'All Stock'!$C$41:$AN$46,'All Stock'!AK$40,FALSE)=0,"",VLOOKUP($A127,'All Stock'!$C$41:$AN$46,'All Stock'!AK$40,FALSE)),"")</f>
        <v>0.8688449593098172</v>
      </c>
      <c r="AN127" s="787">
        <f>IFERROR(IF(VLOOKUP($A127,'All Stock'!$C$41:$AN$46,'All Stock'!AL$40,FALSE)=0,"",VLOOKUP($A127,'All Stock'!$C$41:$AN$46,'All Stock'!AL$40,FALSE)),"")</f>
        <v>0.85983635413125137</v>
      </c>
      <c r="AO127" s="787">
        <f>IFERROR(IF(VLOOKUP($A127,'All Stock'!$C$41:$AN$46,'All Stock'!AM$40,FALSE)=0,"",VLOOKUP($A127,'All Stock'!$C$41:$AN$46,'All Stock'!AM$40,FALSE)),"")</f>
        <v>0.8688449593098172</v>
      </c>
      <c r="AP127" s="787">
        <f>IFERROR(IF(VLOOKUP($A127,'All Stock'!$C$41:$AN$46,'All Stock'!AN$40,FALSE)=0,"",VLOOKUP($A127,'All Stock'!$C$41:$AN$46,'All Stock'!AN$40,FALSE)),"")</f>
        <v>0.8688449593098172</v>
      </c>
      <c r="AX127" s="496"/>
      <c r="AY127" s="496"/>
      <c r="AZ127" s="496"/>
      <c r="BA127" s="496"/>
      <c r="BB127" s="496"/>
      <c r="BC127" s="496"/>
      <c r="BD127" s="496"/>
      <c r="BE127" s="496"/>
      <c r="BF127" s="496"/>
      <c r="BG127" s="496"/>
      <c r="BH127" s="496"/>
      <c r="BI127" s="496"/>
      <c r="BJ127" s="496"/>
      <c r="BK127" s="496"/>
      <c r="BL127" s="496"/>
      <c r="BM127" s="496"/>
      <c r="BN127" s="496"/>
      <c r="BO127" s="496"/>
      <c r="BP127" s="496"/>
      <c r="BQ127" s="496"/>
      <c r="BR127" s="496"/>
      <c r="BS127" s="496"/>
      <c r="BT127" s="496"/>
      <c r="BU127" s="496"/>
      <c r="BV127" s="496"/>
      <c r="BW127" s="496"/>
      <c r="BX127" s="496"/>
      <c r="BY127" s="496"/>
      <c r="BZ127" s="496"/>
      <c r="CA127" s="496"/>
      <c r="CB127" s="496"/>
      <c r="CC127" s="496"/>
      <c r="CD127" s="496"/>
      <c r="CE127" s="496"/>
      <c r="CF127" s="496"/>
      <c r="CG127" s="496"/>
      <c r="CH127" s="496"/>
    </row>
    <row r="128" spans="1:86">
      <c r="A128" t="str">
        <f t="shared" si="63"/>
        <v>GDO and other liquids (incl. liq. bio.)</v>
      </c>
      <c r="C128" t="str">
        <f t="shared" si="64"/>
        <v>R_ES-SH-SD_OIL</v>
      </c>
      <c r="E128" t="str">
        <f t="shared" si="65"/>
        <v>R_ES-SD-SpHeat</v>
      </c>
      <c r="F128" s="787">
        <f>IFERROR(IF(VLOOKUP($A128,'All Stock'!$C$41:$AN$46,'All Stock'!D$40,FALSE)=0,"",VLOOKUP($A128,'All Stock'!$C$41:$AN$46,'All Stock'!D$40,FALSE)),"")</f>
        <v>0.80046714388348206</v>
      </c>
      <c r="G128" s="787">
        <f>IFERROR(IF(VLOOKUP($A128,'All Stock'!$C$41:$AN$46,'All Stock'!E$40,FALSE)=0,"",VLOOKUP($A128,'All Stock'!$C$41:$AN$46,'All Stock'!E$40,FALSE)),"")</f>
        <v>0.78828873049448667</v>
      </c>
      <c r="H128" s="787">
        <f>IFERROR(IF(VLOOKUP($A128,'All Stock'!$C$41:$AN$46,'All Stock'!F$40,FALSE)=0,"",VLOOKUP($A128,'All Stock'!$C$41:$AN$46,'All Stock'!F$40,FALSE)),"")</f>
        <v>0.79832009350619637</v>
      </c>
      <c r="I128" s="787">
        <f>IFERROR(IF(VLOOKUP($A128,'All Stock'!$C$41:$AN$46,'All Stock'!G$40,FALSE)=0,"",VLOOKUP($A128,'All Stock'!$C$41:$AN$46,'All Stock'!G$40,FALSE)),"")</f>
        <v>0.85774115403962237</v>
      </c>
      <c r="J128" s="787">
        <f>IFERROR(IF(VLOOKUP($A128,'All Stock'!$C$41:$AN$46,'All Stock'!H$40,FALSE)=0,"",VLOOKUP($A128,'All Stock'!$C$41:$AN$46,'All Stock'!H$40,FALSE)),"")</f>
        <v>0.58765688899384927</v>
      </c>
      <c r="K128" s="787" t="str">
        <f>IFERROR(IF(VLOOKUP($A128,'All Stock'!$C$41:$AN$46,'All Stock'!I$40,FALSE)=0,"",VLOOKUP($A128,'All Stock'!$C$41:$AN$46,'All Stock'!I$40,FALSE)),"")</f>
        <v>0.7</v>
      </c>
      <c r="L128" s="787">
        <f>IFERROR(IF(VLOOKUP($A128,'All Stock'!$C$41:$AN$46,'All Stock'!J$40,FALSE)=0,"",VLOOKUP($A128,'All Stock'!$C$41:$AN$46,'All Stock'!J$40,FALSE)),"")</f>
        <v>0.85774115403962237</v>
      </c>
      <c r="M128" s="787">
        <f>IFERROR(IF(VLOOKUP($A128,'All Stock'!$C$41:$AN$46,'All Stock'!K$40,FALSE)=0,"",VLOOKUP($A128,'All Stock'!$C$41:$AN$46,'All Stock'!K$40,FALSE)),"")</f>
        <v>0.8190120351671959</v>
      </c>
      <c r="N128" s="787">
        <f>IFERROR(IF(VLOOKUP($A128,'All Stock'!$C$41:$AN$46,'All Stock'!L$40,FALSE)=0,"",VLOOKUP($A128,'All Stock'!$C$41:$AN$46,'All Stock'!L$40,FALSE)),"")</f>
        <v>0.81235393287832658</v>
      </c>
      <c r="O128" s="787">
        <f>IFERROR(IF(VLOOKUP($A128,'All Stock'!$C$41:$AN$46,'All Stock'!M$40,FALSE)=0,"",VLOOKUP($A128,'All Stock'!$C$41:$AN$46,'All Stock'!M$40,FALSE)),"")</f>
        <v>0.73343396452087661</v>
      </c>
      <c r="P128" s="787">
        <f>IFERROR(IF(VLOOKUP($A128,'All Stock'!$C$41:$AN$46,'All Stock'!N$40,FALSE)=0,"",VLOOKUP($A128,'All Stock'!$C$41:$AN$46,'All Stock'!N$40,FALSE)),"")</f>
        <v>0.80783474157188151</v>
      </c>
      <c r="Q128" s="787">
        <f>IFERROR(IF(VLOOKUP($A128,'All Stock'!$C$41:$AN$46,'All Stock'!O$40,FALSE)=0,"",VLOOKUP($A128,'All Stock'!$C$41:$AN$46,'All Stock'!O$40,FALSE)),"")</f>
        <v>0.80927991684156053</v>
      </c>
      <c r="R128" s="787">
        <f>IFERROR(IF(VLOOKUP($A128,'All Stock'!$C$41:$AN$46,'All Stock'!P$40,FALSE)=0,"",VLOOKUP($A128,'All Stock'!$C$41:$AN$46,'All Stock'!P$40,FALSE)),"")</f>
        <v>0.77466708881465018</v>
      </c>
      <c r="S128" s="787">
        <f>IFERROR(IF(VLOOKUP($A128,'All Stock'!$C$41:$AN$46,'All Stock'!Q$40,FALSE)=0,"",VLOOKUP($A128,'All Stock'!$C$41:$AN$46,'All Stock'!Q$40,FALSE)),"")</f>
        <v>0.73652624040326831</v>
      </c>
      <c r="T128" s="787" t="str">
        <f>IFERROR(IF(VLOOKUP($A128,'All Stock'!$C$41:$AN$46,'All Stock'!R$40,FALSE)=0,"",VLOOKUP($A128,'All Stock'!$C$41:$AN$46,'All Stock'!R$40,FALSE)),"")</f>
        <v>0.7</v>
      </c>
      <c r="U128" s="787">
        <f>IFERROR(IF(VLOOKUP($A128,'All Stock'!$C$41:$AN$46,'All Stock'!S$40,FALSE)=0,"",VLOOKUP($A128,'All Stock'!$C$41:$AN$46,'All Stock'!S$40,FALSE)),"")</f>
        <v>0.7966026577728591</v>
      </c>
      <c r="V128" s="787">
        <f>IFERROR(IF(VLOOKUP($A128,'All Stock'!$C$41:$AN$46,'All Stock'!T$40,FALSE)=0,"",VLOOKUP($A128,'All Stock'!$C$41:$AN$46,'All Stock'!T$40,FALSE)),"")</f>
        <v>0.8190120351671959</v>
      </c>
      <c r="W128" s="787">
        <f>IFERROR(IF(VLOOKUP($A128,'All Stock'!$C$41:$AN$46,'All Stock'!U$40,FALSE)=0,"",VLOOKUP($A128,'All Stock'!$C$41:$AN$46,'All Stock'!U$40,FALSE)),"")</f>
        <v>0.77871481287333932</v>
      </c>
      <c r="X128" s="787">
        <f>IFERROR(IF(VLOOKUP($A128,'All Stock'!$C$41:$AN$46,'All Stock'!V$40,FALSE)=0,"",VLOOKUP($A128,'All Stock'!$C$41:$AN$46,'All Stock'!V$40,FALSE)),"")</f>
        <v>0.88346566731129295</v>
      </c>
      <c r="Y128" s="787">
        <f>IFERROR(IF(VLOOKUP($A128,'All Stock'!$C$41:$AN$46,'All Stock'!W$40,FALSE)=0,"",VLOOKUP($A128,'All Stock'!$C$41:$AN$46,'All Stock'!W$40,FALSE)),"")</f>
        <v>0.81205753376304002</v>
      </c>
      <c r="Z128" s="787">
        <f>IFERROR(IF(VLOOKUP($A128,'All Stock'!$C$41:$AN$46,'All Stock'!X$40,FALSE)=0,"",VLOOKUP($A128,'All Stock'!$C$41:$AN$46,'All Stock'!X$40,FALSE)),"")</f>
        <v>0.87388164139702085</v>
      </c>
      <c r="AA128" s="787" t="str">
        <f>IFERROR(IF(VLOOKUP($A128,'All Stock'!$C$41:$AN$46,'All Stock'!Y$40,FALSE)=0,"",VLOOKUP($A128,'All Stock'!$C$41:$AN$46,'All Stock'!Y$40,FALSE)),"")</f>
        <v>0.7</v>
      </c>
      <c r="AB128" s="787">
        <f>IFERROR(IF(VLOOKUP($A128,'All Stock'!$C$41:$AN$46,'All Stock'!Z$40,FALSE)=0,"",VLOOKUP($A128,'All Stock'!$C$41:$AN$46,'All Stock'!Z$40,FALSE)),"")</f>
        <v>0.85466748946388815</v>
      </c>
      <c r="AC128" s="787">
        <f>IFERROR(IF(VLOOKUP($A128,'All Stock'!$C$41:$AN$46,'All Stock'!AA$40,FALSE)=0,"",VLOOKUP($A128,'All Stock'!$C$41:$AN$46,'All Stock'!AA$40,FALSE)),"")</f>
        <v>0.8190120351671959</v>
      </c>
      <c r="AD128" s="787">
        <f>IFERROR(IF(VLOOKUP($A128,'All Stock'!$C$41:$AN$46,'All Stock'!AB$40,FALSE)=0,"",VLOOKUP($A128,'All Stock'!$C$41:$AN$46,'All Stock'!AB$40,FALSE)),"")</f>
        <v>0.85913533715116286</v>
      </c>
      <c r="AE128" s="787">
        <f>IFERROR(IF(VLOOKUP($A128,'All Stock'!$C$41:$AN$46,'All Stock'!AC$40,FALSE)=0,"",VLOOKUP($A128,'All Stock'!$C$41:$AN$46,'All Stock'!AC$40,FALSE)),"")</f>
        <v>0.87110462678715306</v>
      </c>
      <c r="AF128" s="787">
        <f>IFERROR(IF(VLOOKUP($A128,'All Stock'!$C$41:$AN$46,'All Stock'!AD$40,FALSE)=0,"",VLOOKUP($A128,'All Stock'!$C$41:$AN$46,'All Stock'!AD$40,FALSE)),"")</f>
        <v>0.78550868524009243</v>
      </c>
      <c r="AG128" s="787">
        <f>IFERROR(IF(VLOOKUP($A128,'All Stock'!$C$41:$AN$46,'All Stock'!AE$40,FALSE)=0,"",VLOOKUP($A128,'All Stock'!$C$41:$AN$46,'All Stock'!AE$40,FALSE)),"")</f>
        <v>0.80143670930650168</v>
      </c>
      <c r="AH128" s="787">
        <f>IFERROR(IF(VLOOKUP($A128,'All Stock'!$C$41:$AN$46,'All Stock'!AF$40,FALSE)=0,"",VLOOKUP($A128,'All Stock'!$C$41:$AN$46,'All Stock'!AF$40,FALSE)),"")</f>
        <v>0.79235399963550734</v>
      </c>
      <c r="AI128" s="787" t="str">
        <f>IFERROR(IF(VLOOKUP($A128,'All Stock'!$C$41:$AN$46,'All Stock'!AG$40,FALSE)=0,"",VLOOKUP($A128,'All Stock'!$C$41:$AN$46,'All Stock'!AG$40,FALSE)),"")</f>
        <v>0.7</v>
      </c>
      <c r="AJ128" s="787">
        <f>IFERROR(IF(VLOOKUP($A128,'All Stock'!$C$41:$AN$46,'All Stock'!AH$40,FALSE)=0,"",VLOOKUP($A128,'All Stock'!$C$41:$AN$46,'All Stock'!AH$40,FALSE)),"")</f>
        <v>0.81555876152258244</v>
      </c>
      <c r="AK128" s="787">
        <f>IFERROR(IF(VLOOKUP($A128,'All Stock'!$C$41:$AN$46,'All Stock'!AI$40,FALSE)=0,"",VLOOKUP($A128,'All Stock'!$C$41:$AN$46,'All Stock'!AI$40,FALSE)),"")</f>
        <v>0.77466708881465018</v>
      </c>
      <c r="AL128" s="787">
        <f>IFERROR(IF(VLOOKUP($A128,'All Stock'!$C$41:$AN$46,'All Stock'!AJ$40,FALSE)=0,"",VLOOKUP($A128,'All Stock'!$C$41:$AN$46,'All Stock'!AJ$40,FALSE)),"")</f>
        <v>0.78562798976348625</v>
      </c>
      <c r="AM128" s="787">
        <f>IFERROR(IF(VLOOKUP($A128,'All Stock'!$C$41:$AN$46,'All Stock'!AK$40,FALSE)=0,"",VLOOKUP($A128,'All Stock'!$C$41:$AN$46,'All Stock'!AK$40,FALSE)),"")</f>
        <v>0.78562798976348625</v>
      </c>
      <c r="AN128" s="787">
        <f>IFERROR(IF(VLOOKUP($A128,'All Stock'!$C$41:$AN$46,'All Stock'!AL$40,FALSE)=0,"",VLOOKUP($A128,'All Stock'!$C$41:$AN$46,'All Stock'!AL$40,FALSE)),"")</f>
        <v>0.77466708881465018</v>
      </c>
      <c r="AO128" s="787">
        <f>IFERROR(IF(VLOOKUP($A128,'All Stock'!$C$41:$AN$46,'All Stock'!AM$40,FALSE)=0,"",VLOOKUP($A128,'All Stock'!$C$41:$AN$46,'All Stock'!AM$40,FALSE)),"")</f>
        <v>0.78562798976348625</v>
      </c>
      <c r="AP128" s="787">
        <f>IFERROR(IF(VLOOKUP($A128,'All Stock'!$C$41:$AN$46,'All Stock'!AN$40,FALSE)=0,"",VLOOKUP($A128,'All Stock'!$C$41:$AN$46,'All Stock'!AN$40,FALSE)),"")</f>
        <v>0.78562798976348625</v>
      </c>
      <c r="AX128" s="496"/>
      <c r="AY128" s="496"/>
      <c r="AZ128" s="496"/>
      <c r="BA128" s="496"/>
      <c r="BB128" s="496"/>
      <c r="BC128" s="496"/>
      <c r="BD128" s="496"/>
      <c r="BE128" s="496"/>
      <c r="BF128" s="496"/>
      <c r="BG128" s="496"/>
      <c r="BH128" s="496"/>
      <c r="BI128" s="496"/>
      <c r="BJ128" s="496"/>
      <c r="BK128" s="496"/>
      <c r="BL128" s="496"/>
      <c r="BM128" s="496"/>
      <c r="BN128" s="496"/>
      <c r="BO128" s="496"/>
      <c r="BP128" s="496"/>
      <c r="BQ128" s="496"/>
      <c r="BR128" s="496"/>
      <c r="BS128" s="496"/>
      <c r="BT128" s="496"/>
      <c r="BU128" s="496"/>
      <c r="BV128" s="496"/>
      <c r="BW128" s="496"/>
      <c r="BX128" s="496"/>
      <c r="BY128" s="496"/>
      <c r="BZ128" s="496"/>
      <c r="CA128" s="496"/>
      <c r="CB128" s="496"/>
      <c r="CC128" s="496"/>
      <c r="CD128" s="496"/>
      <c r="CE128" s="496"/>
      <c r="CF128" s="496"/>
      <c r="CG128" s="496"/>
      <c r="CH128" s="496"/>
    </row>
    <row r="129" spans="1:86">
      <c r="A129" t="str">
        <f t="shared" si="63"/>
        <v>Biomass and wastes</v>
      </c>
      <c r="C129" t="str">
        <f t="shared" si="64"/>
        <v>R_ES-SH-SD_BIO</v>
      </c>
      <c r="E129" t="str">
        <f t="shared" si="65"/>
        <v>R_ES-SD-SpHeat</v>
      </c>
      <c r="F129" s="787">
        <f>IFERROR(IF(VLOOKUP($A129,'All Stock'!$C$41:$AN$46,'All Stock'!D$40,FALSE)=0,"",VLOOKUP($A129,'All Stock'!$C$41:$AN$46,'All Stock'!D$40,FALSE)),"")</f>
        <v>0.79425198795713625</v>
      </c>
      <c r="G129" s="787">
        <f>IFERROR(IF(VLOOKUP($A129,'All Stock'!$C$41:$AN$46,'All Stock'!E$40,FALSE)=0,"",VLOOKUP($A129,'All Stock'!$C$41:$AN$46,'All Stock'!E$40,FALSE)),"")</f>
        <v>0.78997502619337823</v>
      </c>
      <c r="H129" s="787">
        <f>IFERROR(IF(VLOOKUP($A129,'All Stock'!$C$41:$AN$46,'All Stock'!F$40,FALSE)=0,"",VLOOKUP($A129,'All Stock'!$C$41:$AN$46,'All Stock'!F$40,FALSE)),"")</f>
        <v>0.72609117616589591</v>
      </c>
      <c r="I129" s="787">
        <f>IFERROR(IF(VLOOKUP($A129,'All Stock'!$C$41:$AN$46,'All Stock'!G$40,FALSE)=0,"",VLOOKUP($A129,'All Stock'!$C$41:$AN$46,'All Stock'!G$40,FALSE)),"")</f>
        <v>0.88939691312296831</v>
      </c>
      <c r="J129" s="787">
        <f>IFERROR(IF(VLOOKUP($A129,'All Stock'!$C$41:$AN$46,'All Stock'!H$40,FALSE)=0,"",VLOOKUP($A129,'All Stock'!$C$41:$AN$46,'All Stock'!H$40,FALSE)),"")</f>
        <v>0.56988642829255631</v>
      </c>
      <c r="K129" s="787">
        <f>IFERROR(IF(VLOOKUP($A129,'All Stock'!$C$41:$AN$46,'All Stock'!I$40,FALSE)=0,"",VLOOKUP($A129,'All Stock'!$C$41:$AN$46,'All Stock'!I$40,FALSE)),"")</f>
        <v>0.75698356672417977</v>
      </c>
      <c r="L129" s="787">
        <f>IFERROR(IF(VLOOKUP($A129,'All Stock'!$C$41:$AN$46,'All Stock'!J$40,FALSE)=0,"",VLOOKUP($A129,'All Stock'!$C$41:$AN$46,'All Stock'!J$40,FALSE)),"")</f>
        <v>0.88939691312296831</v>
      </c>
      <c r="M129" s="787">
        <f>IFERROR(IF(VLOOKUP($A129,'All Stock'!$C$41:$AN$46,'All Stock'!K$40,FALSE)=0,"",VLOOKUP($A129,'All Stock'!$C$41:$AN$46,'All Stock'!K$40,FALSE)),"")</f>
        <v>0.84781454393670264</v>
      </c>
      <c r="N129" s="787">
        <f>IFERROR(IF(VLOOKUP($A129,'All Stock'!$C$41:$AN$46,'All Stock'!L$40,FALSE)=0,"",VLOOKUP($A129,'All Stock'!$C$41:$AN$46,'All Stock'!L$40,FALSE)),"")</f>
        <v>0.73363853980806792</v>
      </c>
      <c r="O129" s="787">
        <f>IFERROR(IF(VLOOKUP($A129,'All Stock'!$C$41:$AN$46,'All Stock'!M$40,FALSE)=0,"",VLOOKUP($A129,'All Stock'!$C$41:$AN$46,'All Stock'!M$40,FALSE)),"")</f>
        <v>0.7092868133572775</v>
      </c>
      <c r="P129" s="787">
        <f>IFERROR(IF(VLOOKUP($A129,'All Stock'!$C$41:$AN$46,'All Stock'!N$40,FALSE)=0,"",VLOOKUP($A129,'All Stock'!$C$41:$AN$46,'All Stock'!N$40,FALSE)),"")</f>
        <v>0.83322321495026497</v>
      </c>
      <c r="Q129" s="787">
        <f>IFERROR(IF(VLOOKUP($A129,'All Stock'!$C$41:$AN$46,'All Stock'!O$40,FALSE)=0,"",VLOOKUP($A129,'All Stock'!$C$41:$AN$46,'All Stock'!O$40,FALSE)),"")</f>
        <v>0.79998615803271977</v>
      </c>
      <c r="R129" s="787">
        <f>IFERROR(IF(VLOOKUP($A129,'All Stock'!$C$41:$AN$46,'All Stock'!P$40,FALSE)=0,"",VLOOKUP($A129,'All Stock'!$C$41:$AN$46,'All Stock'!P$40,FALSE)),"")</f>
        <v>0.7463307860088233</v>
      </c>
      <c r="S129" s="787">
        <f>IFERROR(IF(VLOOKUP($A129,'All Stock'!$C$41:$AN$46,'All Stock'!Q$40,FALSE)=0,"",VLOOKUP($A129,'All Stock'!$C$41:$AN$46,'All Stock'!Q$40,FALSE)),"")</f>
        <v>0.70586635948528242</v>
      </c>
      <c r="T129" s="787">
        <f>IFERROR(IF(VLOOKUP($A129,'All Stock'!$C$41:$AN$46,'All Stock'!R$40,FALSE)=0,"",VLOOKUP($A129,'All Stock'!$C$41:$AN$46,'All Stock'!R$40,FALSE)),"")</f>
        <v>0.76441135034493002</v>
      </c>
      <c r="U129" s="787">
        <f>IFERROR(IF(VLOOKUP($A129,'All Stock'!$C$41:$AN$46,'All Stock'!S$40,FALSE)=0,"",VLOOKUP($A129,'All Stock'!$C$41:$AN$46,'All Stock'!S$40,FALSE)),"")</f>
        <v>0.76351422046396589</v>
      </c>
      <c r="V129" s="787">
        <f>IFERROR(IF(VLOOKUP($A129,'All Stock'!$C$41:$AN$46,'All Stock'!T$40,FALSE)=0,"",VLOOKUP($A129,'All Stock'!$C$41:$AN$46,'All Stock'!T$40,FALSE)),"")</f>
        <v>0.84781454393670264</v>
      </c>
      <c r="W129" s="787">
        <f>IFERROR(IF(VLOOKUP($A129,'All Stock'!$C$41:$AN$46,'All Stock'!U$40,FALSE)=0,"",VLOOKUP($A129,'All Stock'!$C$41:$AN$46,'All Stock'!U$40,FALSE)),"")</f>
        <v>0.7686698831846539</v>
      </c>
      <c r="X129" s="787">
        <f>IFERROR(IF(VLOOKUP($A129,'All Stock'!$C$41:$AN$46,'All Stock'!V$40,FALSE)=0,"",VLOOKUP($A129,'All Stock'!$C$41:$AN$46,'All Stock'!V$40,FALSE)),"")</f>
        <v>0.74146384022277689</v>
      </c>
      <c r="Y129" s="787">
        <f>IFERROR(IF(VLOOKUP($A129,'All Stock'!$C$41:$AN$46,'All Stock'!W$40,FALSE)=0,"",VLOOKUP($A129,'All Stock'!$C$41:$AN$46,'All Stock'!W$40,FALSE)),"")</f>
        <v>0.79040869411771786</v>
      </c>
      <c r="Z129" s="787">
        <f>IFERROR(IF(VLOOKUP($A129,'All Stock'!$C$41:$AN$46,'All Stock'!X$40,FALSE)=0,"",VLOOKUP($A129,'All Stock'!$C$41:$AN$46,'All Stock'!X$40,FALSE)),"")</f>
        <v>0.79542895694786908</v>
      </c>
      <c r="AA129" s="787">
        <f>IFERROR(IF(VLOOKUP($A129,'All Stock'!$C$41:$AN$46,'All Stock'!Y$40,FALSE)=0,"",VLOOKUP($A129,'All Stock'!$C$41:$AN$46,'All Stock'!Y$40,FALSE)),"")</f>
        <v>1.0434128957133155</v>
      </c>
      <c r="AB129" s="787">
        <f>IFERROR(IF(VLOOKUP($A129,'All Stock'!$C$41:$AN$46,'All Stock'!Z$40,FALSE)=0,"",VLOOKUP($A129,'All Stock'!$C$41:$AN$46,'All Stock'!Z$40,FALSE)),"")</f>
        <v>0.82267627558681988</v>
      </c>
      <c r="AC129" s="787">
        <f>IFERROR(IF(VLOOKUP($A129,'All Stock'!$C$41:$AN$46,'All Stock'!AA$40,FALSE)=0,"",VLOOKUP($A129,'All Stock'!$C$41:$AN$46,'All Stock'!AA$40,FALSE)),"")</f>
        <v>0.84781454393670264</v>
      </c>
      <c r="AD129" s="787">
        <f>IFERROR(IF(VLOOKUP($A129,'All Stock'!$C$41:$AN$46,'All Stock'!AB$40,FALSE)=0,"",VLOOKUP($A129,'All Stock'!$C$41:$AN$46,'All Stock'!AB$40,FALSE)),"")</f>
        <v>0.78322749907057254</v>
      </c>
      <c r="AE129" s="787">
        <f>IFERROR(IF(VLOOKUP($A129,'All Stock'!$C$41:$AN$46,'All Stock'!AC$40,FALSE)=0,"",VLOOKUP($A129,'All Stock'!$C$41:$AN$46,'All Stock'!AC$40,FALSE)),"")</f>
        <v>0.79601790830593744</v>
      </c>
      <c r="AF129" s="787">
        <f>IFERROR(IF(VLOOKUP($A129,'All Stock'!$C$41:$AN$46,'All Stock'!AD$40,FALSE)=0,"",VLOOKUP($A129,'All Stock'!$C$41:$AN$46,'All Stock'!AD$40,FALSE)),"")</f>
        <v>0.73191704738132024</v>
      </c>
      <c r="AG129" s="787" t="str">
        <f>IFERROR(IF(VLOOKUP($A129,'All Stock'!$C$41:$AN$46,'All Stock'!AE$40,FALSE)=0,"",VLOOKUP($A129,'All Stock'!$C$41:$AN$46,'All Stock'!AE$40,FALSE)),"")</f>
        <v>0.7</v>
      </c>
      <c r="AH129" s="787">
        <f>IFERROR(IF(VLOOKUP($A129,'All Stock'!$C$41:$AN$46,'All Stock'!AF$40,FALSE)=0,"",VLOOKUP($A129,'All Stock'!$C$41:$AN$46,'All Stock'!AF$40,FALSE)),"")</f>
        <v>0.78984392531295</v>
      </c>
      <c r="AI129" s="787">
        <f>IFERROR(IF(VLOOKUP($A129,'All Stock'!$C$41:$AN$46,'All Stock'!AG$40,FALSE)=0,"",VLOOKUP($A129,'All Stock'!$C$41:$AN$46,'All Stock'!AG$40,FALSE)),"")</f>
        <v>0.73957260118169432</v>
      </c>
      <c r="AJ129" s="787">
        <f>IFERROR(IF(VLOOKUP($A129,'All Stock'!$C$41:$AN$46,'All Stock'!AH$40,FALSE)=0,"",VLOOKUP($A129,'All Stock'!$C$41:$AN$46,'All Stock'!AH$40,FALSE)),"")</f>
        <v>0.81749291886381314</v>
      </c>
      <c r="AK129" s="787">
        <f>IFERROR(IF(VLOOKUP($A129,'All Stock'!$C$41:$AN$46,'All Stock'!AI$40,FALSE)=0,"",VLOOKUP($A129,'All Stock'!$C$41:$AN$46,'All Stock'!AI$40,FALSE)),"")</f>
        <v>0.7463307860088233</v>
      </c>
      <c r="AL129" s="787">
        <f>IFERROR(IF(VLOOKUP($A129,'All Stock'!$C$41:$AN$46,'All Stock'!AJ$40,FALSE)=0,"",VLOOKUP($A129,'All Stock'!$C$41:$AN$46,'All Stock'!AJ$40,FALSE)),"")</f>
        <v>0.7601637717533809</v>
      </c>
      <c r="AM129" s="787">
        <f>IFERROR(IF(VLOOKUP($A129,'All Stock'!$C$41:$AN$46,'All Stock'!AK$40,FALSE)=0,"",VLOOKUP($A129,'All Stock'!$C$41:$AN$46,'All Stock'!AK$40,FALSE)),"")</f>
        <v>0.7601637717533809</v>
      </c>
      <c r="AN129" s="787">
        <f>IFERROR(IF(VLOOKUP($A129,'All Stock'!$C$41:$AN$46,'All Stock'!AL$40,FALSE)=0,"",VLOOKUP($A129,'All Stock'!$C$41:$AN$46,'All Stock'!AL$40,FALSE)),"")</f>
        <v>0.7463307860088233</v>
      </c>
      <c r="AO129" s="787">
        <f>IFERROR(IF(VLOOKUP($A129,'All Stock'!$C$41:$AN$46,'All Stock'!AM$40,FALSE)=0,"",VLOOKUP($A129,'All Stock'!$C$41:$AN$46,'All Stock'!AM$40,FALSE)),"")</f>
        <v>0.7601637717533809</v>
      </c>
      <c r="AP129" s="787">
        <f>IFERROR(IF(VLOOKUP($A129,'All Stock'!$C$41:$AN$46,'All Stock'!AN$40,FALSE)=0,"",VLOOKUP($A129,'All Stock'!$C$41:$AN$46,'All Stock'!AN$40,FALSE)),"")</f>
        <v>0.7601637717533809</v>
      </c>
      <c r="AX129" s="496"/>
      <c r="AY129" s="496"/>
      <c r="AZ129" s="496"/>
      <c r="BA129" s="496"/>
      <c r="BB129" s="496"/>
      <c r="BC129" s="496"/>
      <c r="BD129" s="496"/>
      <c r="BE129" s="496"/>
      <c r="BF129" s="496"/>
      <c r="BG129" s="496"/>
      <c r="BH129" s="496"/>
      <c r="BI129" s="496"/>
      <c r="BJ129" s="496"/>
      <c r="BK129" s="496"/>
      <c r="BL129" s="496"/>
      <c r="BM129" s="496"/>
      <c r="BN129" s="496"/>
      <c r="BO129" s="496"/>
      <c r="BP129" s="496"/>
      <c r="BQ129" s="496"/>
      <c r="BR129" s="496"/>
      <c r="BS129" s="496"/>
      <c r="BT129" s="496"/>
      <c r="BU129" s="496"/>
      <c r="BV129" s="496"/>
      <c r="BW129" s="496"/>
      <c r="BX129" s="496"/>
      <c r="BY129" s="496"/>
      <c r="BZ129" s="496"/>
      <c r="CA129" s="496"/>
      <c r="CB129" s="496"/>
      <c r="CC129" s="496"/>
      <c r="CD129" s="496"/>
      <c r="CE129" s="496"/>
      <c r="CF129" s="496"/>
      <c r="CG129" s="496"/>
      <c r="CH129" s="496"/>
    </row>
    <row r="130" spans="1:86">
      <c r="A130" t="str">
        <f t="shared" si="63"/>
        <v>Solids</v>
      </c>
      <c r="C130" t="str">
        <f t="shared" si="64"/>
        <v>R_ES-SH-SD_COA</v>
      </c>
      <c r="E130" t="str">
        <f t="shared" si="65"/>
        <v>R_ES-SD-SpHeat</v>
      </c>
      <c r="F130" s="787">
        <f>IFERROR(IF(VLOOKUP($A130,'All Stock'!$C$41:$AN$46,'All Stock'!D$40,FALSE)=0,"",VLOOKUP($A130,'All Stock'!$C$41:$AN$46,'All Stock'!D$40,FALSE)),"")</f>
        <v>0.84000944301201474</v>
      </c>
      <c r="G130" s="787">
        <f>IFERROR(IF(VLOOKUP($A130,'All Stock'!$C$41:$AN$46,'All Stock'!E$40,FALSE)=0,"",VLOOKUP($A130,'All Stock'!$C$41:$AN$46,'All Stock'!E$40,FALSE)),"")</f>
        <v>0.81351118392087329</v>
      </c>
      <c r="H130" s="787">
        <f>IFERROR(IF(VLOOKUP($A130,'All Stock'!$C$41:$AN$46,'All Stock'!F$40,FALSE)=0,"",VLOOKUP($A130,'All Stock'!$C$41:$AN$46,'All Stock'!F$40,FALSE)),"")</f>
        <v>0.76823818993776927</v>
      </c>
      <c r="I130" s="787">
        <f>IFERROR(IF(VLOOKUP($A130,'All Stock'!$C$41:$AN$46,'All Stock'!G$40,FALSE)=0,"",VLOOKUP($A130,'All Stock'!$C$41:$AN$46,'All Stock'!G$40,FALSE)),"")</f>
        <v>0.92459294417607674</v>
      </c>
      <c r="J130" s="787" t="str">
        <f>IFERROR(IF(VLOOKUP($A130,'All Stock'!$C$41:$AN$46,'All Stock'!H$40,FALSE)=0,"",VLOOKUP($A130,'All Stock'!$C$41:$AN$46,'All Stock'!H$40,FALSE)),"")</f>
        <v>0.7</v>
      </c>
      <c r="K130" s="787">
        <f>IFERROR(IF(VLOOKUP($A130,'All Stock'!$C$41:$AN$46,'All Stock'!I$40,FALSE)=0,"",VLOOKUP($A130,'All Stock'!$C$41:$AN$46,'All Stock'!I$40,FALSE)),"")</f>
        <v>0.80041513182527813</v>
      </c>
      <c r="L130" s="787">
        <f>IFERROR(IF(VLOOKUP($A130,'All Stock'!$C$41:$AN$46,'All Stock'!J$40,FALSE)=0,"",VLOOKUP($A130,'All Stock'!$C$41:$AN$46,'All Stock'!J$40,FALSE)),"")</f>
        <v>0.92459294417607674</v>
      </c>
      <c r="M130" s="787" t="str">
        <f>IFERROR(IF(VLOOKUP($A130,'All Stock'!$C$41:$AN$46,'All Stock'!K$40,FALSE)=0,"",VLOOKUP($A130,'All Stock'!$C$41:$AN$46,'All Stock'!K$40,FALSE)),"")</f>
        <v>0.7</v>
      </c>
      <c r="N130" s="787">
        <f>IFERROR(IF(VLOOKUP($A130,'All Stock'!$C$41:$AN$46,'All Stock'!L$40,FALSE)=0,"",VLOOKUP($A130,'All Stock'!$C$41:$AN$46,'All Stock'!L$40,FALSE)),"")</f>
        <v>0.77552864007769939</v>
      </c>
      <c r="O130" s="787">
        <f>IFERROR(IF(VLOOKUP($A130,'All Stock'!$C$41:$AN$46,'All Stock'!M$40,FALSE)=0,"",VLOOKUP($A130,'All Stock'!$C$41:$AN$46,'All Stock'!M$40,FALSE)),"")</f>
        <v>0.75325271367398605</v>
      </c>
      <c r="P130" s="787">
        <f>IFERROR(IF(VLOOKUP($A130,'All Stock'!$C$41:$AN$46,'All Stock'!N$40,FALSE)=0,"",VLOOKUP($A130,'All Stock'!$C$41:$AN$46,'All Stock'!N$40,FALSE)),"")</f>
        <v>0.87390787050256291</v>
      </c>
      <c r="Q130" s="787">
        <f>IFERROR(IF(VLOOKUP($A130,'All Stock'!$C$41:$AN$46,'All Stock'!O$40,FALSE)=0,"",VLOOKUP($A130,'All Stock'!$C$41:$AN$46,'All Stock'!O$40,FALSE)),"")</f>
        <v>0.85293753664915428</v>
      </c>
      <c r="R130" s="787" t="str">
        <f>IFERROR(IF(VLOOKUP($A130,'All Stock'!$C$41:$AN$46,'All Stock'!P$40,FALSE)=0,"",VLOOKUP($A130,'All Stock'!$C$41:$AN$46,'All Stock'!P$40,FALSE)),"")</f>
        <v>0.7</v>
      </c>
      <c r="S130" s="787">
        <f>IFERROR(IF(VLOOKUP($A130,'All Stock'!$C$41:$AN$46,'All Stock'!Q$40,FALSE)=0,"",VLOOKUP($A130,'All Stock'!$C$41:$AN$46,'All Stock'!Q$40,FALSE)),"")</f>
        <v>0.74878228771735789</v>
      </c>
      <c r="T130" s="787">
        <f>IFERROR(IF(VLOOKUP($A130,'All Stock'!$C$41:$AN$46,'All Stock'!R$40,FALSE)=0,"",VLOOKUP($A130,'All Stock'!$C$41:$AN$46,'All Stock'!R$40,FALSE)),"")</f>
        <v>0.78766540235995264</v>
      </c>
      <c r="U130" s="787">
        <f>IFERROR(IF(VLOOKUP($A130,'All Stock'!$C$41:$AN$46,'All Stock'!S$40,FALSE)=0,"",VLOOKUP($A130,'All Stock'!$C$41:$AN$46,'All Stock'!S$40,FALSE)),"")</f>
        <v>0.80013744981906032</v>
      </c>
      <c r="V130" s="787" t="str">
        <f>IFERROR(IF(VLOOKUP($A130,'All Stock'!$C$41:$AN$46,'All Stock'!T$40,FALSE)=0,"",VLOOKUP($A130,'All Stock'!$C$41:$AN$46,'All Stock'!T$40,FALSE)),"")</f>
        <v>0.7</v>
      </c>
      <c r="W130" s="787">
        <f>IFERROR(IF(VLOOKUP($A130,'All Stock'!$C$41:$AN$46,'All Stock'!U$40,FALSE)=0,"",VLOOKUP($A130,'All Stock'!$C$41:$AN$46,'All Stock'!U$40,FALSE)),"")</f>
        <v>0.79418327891432228</v>
      </c>
      <c r="X130" s="787">
        <f>IFERROR(IF(VLOOKUP($A130,'All Stock'!$C$41:$AN$46,'All Stock'!V$40,FALSE)=0,"",VLOOKUP($A130,'All Stock'!$C$41:$AN$46,'All Stock'!V$40,FALSE)),"")</f>
        <v>0.80856567448048</v>
      </c>
      <c r="Y130" s="787">
        <f>IFERROR(IF(VLOOKUP($A130,'All Stock'!$C$41:$AN$46,'All Stock'!W$40,FALSE)=0,"",VLOOKUP($A130,'All Stock'!$C$41:$AN$46,'All Stock'!W$40,FALSE)),"")</f>
        <v>0.84657514339166795</v>
      </c>
      <c r="Z130" s="787">
        <f>IFERROR(IF(VLOOKUP($A130,'All Stock'!$C$41:$AN$46,'All Stock'!X$40,FALSE)=0,"",VLOOKUP($A130,'All Stock'!$C$41:$AN$46,'All Stock'!X$40,FALSE)),"")</f>
        <v>0.82834230248009677</v>
      </c>
      <c r="AA130" s="787" t="str">
        <f>IFERROR(IF(VLOOKUP($A130,'All Stock'!$C$41:$AN$46,'All Stock'!Y$40,FALSE)=0,"",VLOOKUP($A130,'All Stock'!$C$41:$AN$46,'All Stock'!Y$40,FALSE)),"")</f>
        <v>0.7</v>
      </c>
      <c r="AB130" s="787">
        <f>IFERROR(IF(VLOOKUP($A130,'All Stock'!$C$41:$AN$46,'All Stock'!Z$40,FALSE)=0,"",VLOOKUP($A130,'All Stock'!$C$41:$AN$46,'All Stock'!Z$40,FALSE)),"")</f>
        <v>0.87282859281482128</v>
      </c>
      <c r="AC130" s="787" t="str">
        <f>IFERROR(IF(VLOOKUP($A130,'All Stock'!$C$41:$AN$46,'All Stock'!AA$40,FALSE)=0,"",VLOOKUP($A130,'All Stock'!$C$41:$AN$46,'All Stock'!AA$40,FALSE)),"")</f>
        <v>0.7</v>
      </c>
      <c r="AD130" s="787">
        <f>IFERROR(IF(VLOOKUP($A130,'All Stock'!$C$41:$AN$46,'All Stock'!AB$40,FALSE)=0,"",VLOOKUP($A130,'All Stock'!$C$41:$AN$46,'All Stock'!AB$40,FALSE)),"")</f>
        <v>0.8373533662291277</v>
      </c>
      <c r="AE130" s="787" t="str">
        <f>IFERROR(IF(VLOOKUP($A130,'All Stock'!$C$41:$AN$46,'All Stock'!AC$40,FALSE)=0,"",VLOOKUP($A130,'All Stock'!$C$41:$AN$46,'All Stock'!AC$40,FALSE)),"")</f>
        <v>0.7</v>
      </c>
      <c r="AF130" s="787">
        <f>IFERROR(IF(VLOOKUP($A130,'All Stock'!$C$41:$AN$46,'All Stock'!AD$40,FALSE)=0,"",VLOOKUP($A130,'All Stock'!$C$41:$AN$46,'All Stock'!AD$40,FALSE)),"")</f>
        <v>0.78986581106219267</v>
      </c>
      <c r="AG130" s="787" t="str">
        <f>IFERROR(IF(VLOOKUP($A130,'All Stock'!$C$41:$AN$46,'All Stock'!AE$40,FALSE)=0,"",VLOOKUP($A130,'All Stock'!$C$41:$AN$46,'All Stock'!AE$40,FALSE)),"")</f>
        <v>0.7</v>
      </c>
      <c r="AH130" s="787">
        <f>IFERROR(IF(VLOOKUP($A130,'All Stock'!$C$41:$AN$46,'All Stock'!AF$40,FALSE)=0,"",VLOOKUP($A130,'All Stock'!$C$41:$AN$46,'All Stock'!AF$40,FALSE)),"")</f>
        <v>0.82758004338518987</v>
      </c>
      <c r="AI130" s="787">
        <f>IFERROR(IF(VLOOKUP($A130,'All Stock'!$C$41:$AN$46,'All Stock'!AG$40,FALSE)=0,"",VLOOKUP($A130,'All Stock'!$C$41:$AN$46,'All Stock'!AG$40,FALSE)),"")</f>
        <v>0.8013895131480343</v>
      </c>
      <c r="AJ130" s="787">
        <f>IFERROR(IF(VLOOKUP($A130,'All Stock'!$C$41:$AN$46,'All Stock'!AH$40,FALSE)=0,"",VLOOKUP($A130,'All Stock'!$C$41:$AN$46,'All Stock'!AH$40,FALSE)),"")</f>
        <v>0.82867758316744888</v>
      </c>
      <c r="AK130" s="787" t="str">
        <f>IFERROR(IF(VLOOKUP($A130,'All Stock'!$C$41:$AN$46,'All Stock'!AI$40,FALSE)=0,"",VLOOKUP($A130,'All Stock'!$C$41:$AN$46,'All Stock'!AI$40,FALSE)),"")</f>
        <v>0.7</v>
      </c>
      <c r="AL130" s="787">
        <f>IFERROR(IF(VLOOKUP($A130,'All Stock'!$C$41:$AN$46,'All Stock'!AJ$40,FALSE)=0,"",VLOOKUP($A130,'All Stock'!$C$41:$AN$46,'All Stock'!AJ$40,FALSE)),"")</f>
        <v>0.8111808116938044</v>
      </c>
      <c r="AM130" s="787">
        <f>IFERROR(IF(VLOOKUP($A130,'All Stock'!$C$41:$AN$46,'All Stock'!AK$40,FALSE)=0,"",VLOOKUP($A130,'All Stock'!$C$41:$AN$46,'All Stock'!AK$40,FALSE)),"")</f>
        <v>0.8111808116938044</v>
      </c>
      <c r="AN130" s="787" t="str">
        <f>IFERROR(IF(VLOOKUP($A130,'All Stock'!$C$41:$AN$46,'All Stock'!AL$40,FALSE)=0,"",VLOOKUP($A130,'All Stock'!$C$41:$AN$46,'All Stock'!AL$40,FALSE)),"")</f>
        <v>0.7</v>
      </c>
      <c r="AO130" s="787">
        <f>IFERROR(IF(VLOOKUP($A130,'All Stock'!$C$41:$AN$46,'All Stock'!AM$40,FALSE)=0,"",VLOOKUP($A130,'All Stock'!$C$41:$AN$46,'All Stock'!AM$40,FALSE)),"")</f>
        <v>0.8111808116938044</v>
      </c>
      <c r="AP130" s="787">
        <f>IFERROR(IF(VLOOKUP($A130,'All Stock'!$C$41:$AN$46,'All Stock'!AN$40,FALSE)=0,"",VLOOKUP($A130,'All Stock'!$C$41:$AN$46,'All Stock'!AN$40,FALSE)),"")</f>
        <v>0.8111808116938044</v>
      </c>
      <c r="AX130" s="496"/>
      <c r="AY130" s="496"/>
      <c r="AZ130" s="496"/>
      <c r="BA130" s="496"/>
      <c r="BB130" s="496"/>
      <c r="BC130" s="496"/>
      <c r="BD130" s="496"/>
      <c r="BE130" s="496"/>
      <c r="BF130" s="496"/>
      <c r="BG130" s="496"/>
      <c r="BH130" s="496"/>
      <c r="BI130" s="496"/>
      <c r="BJ130" s="496"/>
      <c r="BK130" s="496"/>
      <c r="BL130" s="496"/>
      <c r="BM130" s="496"/>
      <c r="BN130" s="496"/>
      <c r="BO130" s="496"/>
      <c r="BP130" s="496"/>
      <c r="BQ130" s="496"/>
      <c r="BR130" s="496"/>
      <c r="BS130" s="496"/>
      <c r="BT130" s="496"/>
      <c r="BU130" s="496"/>
      <c r="BV130" s="496"/>
      <c r="BW130" s="496"/>
      <c r="BX130" s="496"/>
      <c r="BY130" s="496"/>
      <c r="BZ130" s="496"/>
      <c r="CA130" s="496"/>
      <c r="CB130" s="496"/>
      <c r="CC130" s="496"/>
      <c r="CD130" s="496"/>
      <c r="CE130" s="496"/>
      <c r="CF130" s="496"/>
      <c r="CG130" s="496"/>
      <c r="CH130" s="496"/>
    </row>
    <row r="131" spans="1:86">
      <c r="A131" t="str">
        <f t="shared" si="63"/>
        <v>LPG</v>
      </c>
      <c r="C131" t="str">
        <f t="shared" si="64"/>
        <v>R_ES-SH-SD_LPG</v>
      </c>
      <c r="E131" t="str">
        <f t="shared" si="65"/>
        <v>R_ES-SD-SpHeat</v>
      </c>
      <c r="F131" s="788">
        <f>IF(F128=0,"",F128)</f>
        <v>0.80046714388348206</v>
      </c>
      <c r="G131" s="788">
        <f t="shared" ref="G131:AP131" si="66">IF(G128=0,"",G128)</f>
        <v>0.78828873049448667</v>
      </c>
      <c r="H131" s="788">
        <f t="shared" si="66"/>
        <v>0.79832009350619637</v>
      </c>
      <c r="I131" s="788">
        <f t="shared" si="66"/>
        <v>0.85774115403962237</v>
      </c>
      <c r="J131" s="788">
        <f t="shared" si="66"/>
        <v>0.58765688899384927</v>
      </c>
      <c r="K131" s="788" t="str">
        <f t="shared" si="66"/>
        <v>0.7</v>
      </c>
      <c r="L131" s="788">
        <f t="shared" si="66"/>
        <v>0.85774115403962237</v>
      </c>
      <c r="M131" s="788">
        <f t="shared" si="66"/>
        <v>0.8190120351671959</v>
      </c>
      <c r="N131" s="788">
        <f t="shared" si="66"/>
        <v>0.81235393287832658</v>
      </c>
      <c r="O131" s="788">
        <f t="shared" si="66"/>
        <v>0.73343396452087661</v>
      </c>
      <c r="P131" s="788">
        <f t="shared" si="66"/>
        <v>0.80783474157188151</v>
      </c>
      <c r="Q131" s="788">
        <f t="shared" si="66"/>
        <v>0.80927991684156053</v>
      </c>
      <c r="R131" s="788">
        <f t="shared" si="66"/>
        <v>0.77466708881465018</v>
      </c>
      <c r="S131" s="788">
        <f t="shared" si="66"/>
        <v>0.73652624040326831</v>
      </c>
      <c r="T131" s="788" t="str">
        <f t="shared" si="66"/>
        <v>0.7</v>
      </c>
      <c r="U131" s="788">
        <f t="shared" si="66"/>
        <v>0.7966026577728591</v>
      </c>
      <c r="V131" s="788">
        <f t="shared" si="66"/>
        <v>0.8190120351671959</v>
      </c>
      <c r="W131" s="788">
        <f t="shared" si="66"/>
        <v>0.77871481287333932</v>
      </c>
      <c r="X131" s="788">
        <f t="shared" si="66"/>
        <v>0.88346566731129295</v>
      </c>
      <c r="Y131" s="788">
        <f t="shared" si="66"/>
        <v>0.81205753376304002</v>
      </c>
      <c r="Z131" s="788">
        <f t="shared" si="66"/>
        <v>0.87388164139702085</v>
      </c>
      <c r="AA131" s="788" t="str">
        <f t="shared" si="66"/>
        <v>0.7</v>
      </c>
      <c r="AB131" s="788">
        <f t="shared" si="66"/>
        <v>0.85466748946388815</v>
      </c>
      <c r="AC131" s="788">
        <f t="shared" si="66"/>
        <v>0.8190120351671959</v>
      </c>
      <c r="AD131" s="788">
        <f t="shared" si="66"/>
        <v>0.85913533715116286</v>
      </c>
      <c r="AE131" s="788">
        <f t="shared" si="66"/>
        <v>0.87110462678715306</v>
      </c>
      <c r="AF131" s="788">
        <f t="shared" si="66"/>
        <v>0.78550868524009243</v>
      </c>
      <c r="AG131" s="788">
        <f t="shared" si="66"/>
        <v>0.80143670930650168</v>
      </c>
      <c r="AH131" s="788">
        <f t="shared" si="66"/>
        <v>0.79235399963550734</v>
      </c>
      <c r="AI131" s="788" t="str">
        <f t="shared" si="66"/>
        <v>0.7</v>
      </c>
      <c r="AJ131" s="788">
        <f t="shared" si="66"/>
        <v>0.81555876152258244</v>
      </c>
      <c r="AK131" s="788">
        <f t="shared" si="66"/>
        <v>0.77466708881465018</v>
      </c>
      <c r="AL131" s="788">
        <f t="shared" si="66"/>
        <v>0.78562798976348625</v>
      </c>
      <c r="AM131" s="788">
        <f t="shared" si="66"/>
        <v>0.78562798976348625</v>
      </c>
      <c r="AN131" s="788">
        <f t="shared" si="66"/>
        <v>0.77466708881465018</v>
      </c>
      <c r="AO131" s="788">
        <f t="shared" si="66"/>
        <v>0.78562798976348625</v>
      </c>
      <c r="AP131" s="788">
        <f t="shared" si="66"/>
        <v>0.78562798976348625</v>
      </c>
      <c r="AX131" s="496"/>
      <c r="AY131" s="496"/>
      <c r="AZ131" s="496"/>
      <c r="BA131" s="496"/>
      <c r="BB131" s="496"/>
      <c r="BC131" s="496"/>
      <c r="BD131" s="496"/>
      <c r="BE131" s="496"/>
      <c r="BF131" s="496"/>
      <c r="BG131" s="496"/>
      <c r="BH131" s="496"/>
      <c r="BI131" s="496"/>
      <c r="BJ131" s="496"/>
      <c r="BK131" s="496"/>
      <c r="BL131" s="496"/>
      <c r="BM131" s="496"/>
      <c r="BN131" s="496"/>
      <c r="BO131" s="496"/>
      <c r="BP131" s="496"/>
      <c r="BQ131" s="496"/>
      <c r="BR131" s="496"/>
      <c r="BS131" s="496"/>
      <c r="BT131" s="496"/>
      <c r="BU131" s="496"/>
      <c r="BV131" s="496"/>
      <c r="BW131" s="496"/>
      <c r="BX131" s="496"/>
      <c r="BY131" s="496"/>
      <c r="BZ131" s="496"/>
      <c r="CA131" s="496"/>
      <c r="CB131" s="496"/>
      <c r="CC131" s="496"/>
      <c r="CD131" s="496"/>
      <c r="CE131" s="496"/>
      <c r="CF131" s="496"/>
      <c r="CG131" s="496"/>
      <c r="CH131" s="496"/>
    </row>
    <row r="132" spans="1:86">
      <c r="A132" t="str">
        <f t="shared" si="63"/>
        <v>Geothermal Energy</v>
      </c>
      <c r="C132" t="str">
        <f t="shared" si="64"/>
        <v>R_ES-SH-SD_GEO</v>
      </c>
      <c r="E132" t="str">
        <f t="shared" si="65"/>
        <v>R_ES-SD-SpHeat</v>
      </c>
      <c r="F132" s="788">
        <f>IF(F127=0,"",F127)</f>
        <v>0.88333199390813688</v>
      </c>
      <c r="G132" s="788">
        <f t="shared" ref="G132:AP132" si="67">IF(G127=0,"",G127)</f>
        <v>0.83553618085187931</v>
      </c>
      <c r="H132" s="788">
        <f t="shared" si="67"/>
        <v>0.81206531351727507</v>
      </c>
      <c r="I132" s="788">
        <f t="shared" si="67"/>
        <v>0.95587493363207376</v>
      </c>
      <c r="J132" s="788" t="str">
        <f t="shared" si="67"/>
        <v>0.8</v>
      </c>
      <c r="K132" s="788">
        <f t="shared" si="67"/>
        <v>0.85208330762622653</v>
      </c>
      <c r="L132" s="788">
        <f t="shared" si="67"/>
        <v>0.95587493363207376</v>
      </c>
      <c r="M132" s="788">
        <f t="shared" si="67"/>
        <v>0.91841114092424625</v>
      </c>
      <c r="N132" s="788">
        <f t="shared" si="67"/>
        <v>0.89056811991588136</v>
      </c>
      <c r="O132" s="788" t="str">
        <f t="shared" si="67"/>
        <v>0.8</v>
      </c>
      <c r="P132" s="788">
        <f t="shared" si="67"/>
        <v>0.91664482565774474</v>
      </c>
      <c r="Q132" s="788">
        <f t="shared" si="67"/>
        <v>0.88619005258754446</v>
      </c>
      <c r="R132" s="788">
        <f t="shared" si="67"/>
        <v>0.76932726422269859</v>
      </c>
      <c r="S132" s="788">
        <f t="shared" si="67"/>
        <v>0.82057579490371624</v>
      </c>
      <c r="T132" s="788">
        <f t="shared" si="67"/>
        <v>0.7835271138190868</v>
      </c>
      <c r="U132" s="788" t="str">
        <f t="shared" si="67"/>
        <v>0.8</v>
      </c>
      <c r="V132" s="788">
        <f t="shared" si="67"/>
        <v>0.91841114092424625</v>
      </c>
      <c r="W132" s="788">
        <f t="shared" si="67"/>
        <v>0.84751572846603129</v>
      </c>
      <c r="X132" s="788">
        <f t="shared" si="67"/>
        <v>0.85076796364532514</v>
      </c>
      <c r="Y132" s="788" t="str">
        <f t="shared" si="67"/>
        <v>0.8</v>
      </c>
      <c r="Z132" s="788">
        <f t="shared" si="67"/>
        <v>0.89852031257747156</v>
      </c>
      <c r="AA132" s="788" t="str">
        <f t="shared" si="67"/>
        <v>0.8</v>
      </c>
      <c r="AB132" s="788">
        <f t="shared" si="67"/>
        <v>0.90645521755068992</v>
      </c>
      <c r="AC132" s="788">
        <f t="shared" si="67"/>
        <v>0.91841114092424625</v>
      </c>
      <c r="AD132" s="788">
        <f t="shared" si="67"/>
        <v>0.89540543411667217</v>
      </c>
      <c r="AE132" s="788">
        <f t="shared" si="67"/>
        <v>0.89097570060848374</v>
      </c>
      <c r="AF132" s="788">
        <f t="shared" si="67"/>
        <v>0.81167632186112504</v>
      </c>
      <c r="AG132" s="788">
        <f t="shared" si="67"/>
        <v>0.80134176644047972</v>
      </c>
      <c r="AH132" s="788">
        <f t="shared" si="67"/>
        <v>0.8975153837411004</v>
      </c>
      <c r="AI132" s="788">
        <f t="shared" si="67"/>
        <v>0.82350393173757808</v>
      </c>
      <c r="AJ132" s="788">
        <f t="shared" si="67"/>
        <v>0.86559601252689145</v>
      </c>
      <c r="AK132" s="788">
        <f t="shared" si="67"/>
        <v>0.85983635413125137</v>
      </c>
      <c r="AL132" s="788">
        <f t="shared" si="67"/>
        <v>0.8688449593098172</v>
      </c>
      <c r="AM132" s="788">
        <f t="shared" si="67"/>
        <v>0.8688449593098172</v>
      </c>
      <c r="AN132" s="788">
        <f t="shared" si="67"/>
        <v>0.85983635413125137</v>
      </c>
      <c r="AO132" s="788">
        <f t="shared" si="67"/>
        <v>0.8688449593098172</v>
      </c>
      <c r="AP132" s="788">
        <f t="shared" si="67"/>
        <v>0.8688449593098172</v>
      </c>
      <c r="AX132" s="496"/>
      <c r="AY132" s="496"/>
      <c r="AZ132" s="496"/>
      <c r="BA132" s="496"/>
      <c r="BB132" s="496"/>
      <c r="BC132" s="496"/>
      <c r="BD132" s="496"/>
      <c r="BE132" s="496"/>
      <c r="BF132" s="496"/>
      <c r="BG132" s="496"/>
      <c r="BH132" s="496"/>
      <c r="BI132" s="496"/>
      <c r="BJ132" s="496"/>
      <c r="BK132" s="496"/>
      <c r="BL132" s="496"/>
      <c r="BM132" s="496"/>
      <c r="BN132" s="496"/>
      <c r="BO132" s="496"/>
      <c r="BP132" s="496"/>
      <c r="BQ132" s="496"/>
      <c r="BR132" s="496"/>
      <c r="BS132" s="496"/>
      <c r="BT132" s="496"/>
      <c r="BU132" s="496"/>
      <c r="BV132" s="496"/>
      <c r="BW132" s="496"/>
      <c r="BX132" s="496"/>
      <c r="BY132" s="496"/>
      <c r="BZ132" s="496"/>
      <c r="CA132" s="496"/>
      <c r="CB132" s="496"/>
      <c r="CC132" s="496"/>
      <c r="CD132" s="496"/>
      <c r="CE132" s="496"/>
      <c r="CF132" s="496"/>
      <c r="CG132" s="496"/>
      <c r="CH132" s="496"/>
    </row>
    <row r="135" spans="1:86">
      <c r="E135" s="533" t="s">
        <v>607</v>
      </c>
    </row>
    <row r="136" spans="1:86" ht="15" thickBot="1">
      <c r="C136" s="539" t="s">
        <v>545</v>
      </c>
      <c r="D136" s="539" t="s">
        <v>585</v>
      </c>
      <c r="E136" s="539" t="s">
        <v>552</v>
      </c>
      <c r="F136" s="540" t="s">
        <v>88</v>
      </c>
      <c r="G136" s="540" t="s">
        <v>89</v>
      </c>
      <c r="H136" s="540" t="s">
        <v>90</v>
      </c>
      <c r="I136" s="540" t="s">
        <v>91</v>
      </c>
      <c r="J136" s="540" t="s">
        <v>92</v>
      </c>
      <c r="K136" s="540" t="s">
        <v>93</v>
      </c>
      <c r="L136" s="540" t="s">
        <v>94</v>
      </c>
      <c r="M136" s="540" t="s">
        <v>95</v>
      </c>
      <c r="N136" s="540" t="s">
        <v>96</v>
      </c>
      <c r="O136" s="540" t="s">
        <v>97</v>
      </c>
      <c r="P136" s="540" t="s">
        <v>98</v>
      </c>
      <c r="Q136" s="540" t="s">
        <v>99</v>
      </c>
      <c r="R136" s="540" t="s">
        <v>205</v>
      </c>
      <c r="S136" s="540" t="s">
        <v>118</v>
      </c>
      <c r="T136" s="540" t="s">
        <v>100</v>
      </c>
      <c r="U136" s="540" t="s">
        <v>101</v>
      </c>
      <c r="V136" s="540" t="s">
        <v>102</v>
      </c>
      <c r="W136" s="540" t="s">
        <v>103</v>
      </c>
      <c r="X136" s="540" t="s">
        <v>104</v>
      </c>
      <c r="Y136" s="540" t="s">
        <v>105</v>
      </c>
      <c r="Z136" s="540" t="s">
        <v>106</v>
      </c>
      <c r="AA136" s="540" t="s">
        <v>107</v>
      </c>
      <c r="AB136" s="540" t="s">
        <v>108</v>
      </c>
      <c r="AC136" s="540" t="s">
        <v>109</v>
      </c>
      <c r="AD136" s="540" t="s">
        <v>110</v>
      </c>
      <c r="AE136" s="540" t="s">
        <v>111</v>
      </c>
      <c r="AF136" s="540" t="s">
        <v>112</v>
      </c>
      <c r="AG136" s="540" t="s">
        <v>113</v>
      </c>
      <c r="AH136" s="540" t="s">
        <v>114</v>
      </c>
      <c r="AI136" s="540" t="s">
        <v>115</v>
      </c>
      <c r="AJ136" s="540" t="s">
        <v>52</v>
      </c>
      <c r="AK136" s="540" t="s">
        <v>116</v>
      </c>
      <c r="AL136" s="540" t="s">
        <v>117</v>
      </c>
      <c r="AM136" s="540" t="s">
        <v>119</v>
      </c>
      <c r="AN136" s="540" t="s">
        <v>120</v>
      </c>
      <c r="AO136" s="540" t="s">
        <v>121</v>
      </c>
      <c r="AP136" s="540" t="s">
        <v>122</v>
      </c>
      <c r="AX136" s="509"/>
      <c r="AY136" s="509"/>
      <c r="AZ136" s="509"/>
      <c r="BA136" s="509"/>
      <c r="BB136" s="509"/>
      <c r="BC136" s="509"/>
      <c r="BD136" s="509"/>
      <c r="BE136" s="509"/>
      <c r="BF136" s="509"/>
      <c r="BG136" s="509"/>
      <c r="BH136" s="509"/>
      <c r="BI136" s="509"/>
      <c r="BJ136" s="509"/>
      <c r="BK136" s="509"/>
      <c r="BL136" s="509"/>
      <c r="BM136" s="509"/>
      <c r="BN136" s="509"/>
      <c r="BO136" s="509"/>
      <c r="BP136" s="509"/>
      <c r="BQ136" s="509"/>
      <c r="BR136" s="509"/>
      <c r="BS136" s="509"/>
      <c r="BT136" s="509"/>
      <c r="BU136" s="509"/>
      <c r="BV136" s="509"/>
      <c r="BW136" s="509"/>
      <c r="BX136" s="509"/>
      <c r="BY136" s="509"/>
      <c r="BZ136" s="509"/>
      <c r="CA136" s="509"/>
      <c r="CB136" s="509"/>
      <c r="CC136" s="509"/>
      <c r="CD136" s="509"/>
      <c r="CE136" s="509"/>
      <c r="CF136" s="509"/>
      <c r="CG136" s="509"/>
      <c r="CH136" s="509"/>
    </row>
    <row r="137" spans="1:86">
      <c r="A137" t="str">
        <f>A93</f>
        <v>Electricity</v>
      </c>
      <c r="C137" t="str">
        <f t="shared" ref="C137:C157" si="68">C93</f>
        <v>R_ES-SH-FL_ELC-R</v>
      </c>
      <c r="E137" t="str">
        <f t="shared" ref="E137:E157" si="69">E93</f>
        <v>R_ES-FL-SpHeat</v>
      </c>
      <c r="F137" s="496">
        <v>1</v>
      </c>
      <c r="G137" s="496">
        <v>1</v>
      </c>
      <c r="H137" s="496">
        <v>1</v>
      </c>
      <c r="I137" s="496">
        <v>1</v>
      </c>
      <c r="J137" s="496">
        <v>1</v>
      </c>
      <c r="K137" s="496">
        <v>1</v>
      </c>
      <c r="L137" s="496">
        <v>1</v>
      </c>
      <c r="M137" s="496">
        <v>1</v>
      </c>
      <c r="N137" s="496">
        <v>1</v>
      </c>
      <c r="O137" s="496">
        <v>1</v>
      </c>
      <c r="P137" s="496">
        <v>1</v>
      </c>
      <c r="Q137" s="496">
        <v>1</v>
      </c>
      <c r="R137" s="496">
        <v>1</v>
      </c>
      <c r="S137" s="496">
        <v>1</v>
      </c>
      <c r="T137" s="496">
        <v>1</v>
      </c>
      <c r="U137" s="496">
        <v>1</v>
      </c>
      <c r="V137" s="496">
        <v>1</v>
      </c>
      <c r="W137" s="496">
        <v>1</v>
      </c>
      <c r="X137" s="496">
        <v>1</v>
      </c>
      <c r="Y137" s="496">
        <v>1</v>
      </c>
      <c r="Z137" s="496">
        <v>1</v>
      </c>
      <c r="AA137" s="496">
        <v>1</v>
      </c>
      <c r="AB137" s="496">
        <v>1</v>
      </c>
      <c r="AC137" s="496">
        <v>1</v>
      </c>
      <c r="AD137" s="496">
        <v>1</v>
      </c>
      <c r="AE137" s="496">
        <v>1</v>
      </c>
      <c r="AF137" s="496">
        <v>1</v>
      </c>
      <c r="AG137" s="496">
        <v>1</v>
      </c>
      <c r="AH137" s="496">
        <v>1</v>
      </c>
      <c r="AI137" s="496">
        <v>1</v>
      </c>
      <c r="AJ137" s="496">
        <v>1</v>
      </c>
      <c r="AK137" s="496">
        <v>1</v>
      </c>
      <c r="AL137" s="496">
        <v>1</v>
      </c>
      <c r="AM137" s="496">
        <v>1</v>
      </c>
      <c r="AN137" s="496">
        <v>1</v>
      </c>
      <c r="AO137" s="496">
        <v>1</v>
      </c>
      <c r="AP137" s="496">
        <v>1</v>
      </c>
      <c r="AR137" s="496"/>
      <c r="AX137" s="496"/>
      <c r="AY137" s="496"/>
      <c r="AZ137" s="496"/>
      <c r="BA137" s="496"/>
      <c r="BB137" s="496"/>
      <c r="BC137" s="496"/>
      <c r="BD137" s="496"/>
      <c r="BE137" s="496"/>
      <c r="BF137" s="496"/>
      <c r="BG137" s="496"/>
      <c r="BH137" s="496"/>
      <c r="BI137" s="496"/>
      <c r="BJ137" s="496"/>
      <c r="BK137" s="496"/>
      <c r="BL137" s="496"/>
      <c r="BM137" s="496"/>
      <c r="BN137" s="496"/>
      <c r="BO137" s="496"/>
      <c r="BP137" s="496"/>
      <c r="BQ137" s="496"/>
      <c r="BR137" s="496"/>
      <c r="BS137" s="496"/>
      <c r="BT137" s="496"/>
      <c r="BU137" s="496"/>
      <c r="BV137" s="496"/>
      <c r="BW137" s="496"/>
      <c r="BX137" s="496"/>
      <c r="BY137" s="496"/>
      <c r="BZ137" s="496"/>
      <c r="CA137" s="496"/>
      <c r="CB137" s="496"/>
      <c r="CC137" s="496"/>
      <c r="CD137" s="496"/>
      <c r="CE137" s="496"/>
      <c r="CF137" s="496"/>
      <c r="CG137" s="496"/>
      <c r="CH137" s="496"/>
    </row>
    <row r="138" spans="1:86">
      <c r="A138" s="819" t="s">
        <v>937</v>
      </c>
      <c r="C138" t="str">
        <f t="shared" si="68"/>
        <v>R_ES-SH-FL_ELC-HPA</v>
      </c>
      <c r="E138" t="str">
        <f t="shared" si="69"/>
        <v>R_ES-FL-SpHeat</v>
      </c>
      <c r="F138" s="496">
        <v>1</v>
      </c>
      <c r="G138" s="496">
        <v>1</v>
      </c>
      <c r="H138" s="496">
        <v>1</v>
      </c>
      <c r="I138" s="496">
        <v>1</v>
      </c>
      <c r="J138" s="496">
        <v>1</v>
      </c>
      <c r="K138" s="496">
        <v>1</v>
      </c>
      <c r="L138" s="496">
        <v>1</v>
      </c>
      <c r="M138" s="496">
        <v>1</v>
      </c>
      <c r="N138" s="496">
        <v>1</v>
      </c>
      <c r="O138" s="496">
        <v>1</v>
      </c>
      <c r="P138" s="496">
        <v>1</v>
      </c>
      <c r="Q138" s="496">
        <v>1</v>
      </c>
      <c r="R138" s="496">
        <v>1</v>
      </c>
      <c r="S138" s="496">
        <v>1</v>
      </c>
      <c r="T138" s="496">
        <v>1</v>
      </c>
      <c r="U138" s="496">
        <v>1</v>
      </c>
      <c r="V138" s="496">
        <v>1</v>
      </c>
      <c r="W138" s="496">
        <v>1</v>
      </c>
      <c r="X138" s="496">
        <v>1</v>
      </c>
      <c r="Y138" s="496">
        <v>1</v>
      </c>
      <c r="Z138" s="496">
        <v>1</v>
      </c>
      <c r="AA138" s="496">
        <v>1</v>
      </c>
      <c r="AB138" s="496">
        <v>1</v>
      </c>
      <c r="AC138" s="496">
        <v>1</v>
      </c>
      <c r="AD138" s="496">
        <v>1</v>
      </c>
      <c r="AE138" s="496">
        <v>1</v>
      </c>
      <c r="AF138" s="496">
        <v>1</v>
      </c>
      <c r="AG138" s="496">
        <v>1</v>
      </c>
      <c r="AH138" s="496">
        <v>1</v>
      </c>
      <c r="AI138" s="496">
        <v>1</v>
      </c>
      <c r="AJ138" s="496">
        <v>1</v>
      </c>
      <c r="AK138" s="496">
        <v>1</v>
      </c>
      <c r="AL138" s="496">
        <v>1</v>
      </c>
      <c r="AM138" s="496">
        <v>1</v>
      </c>
      <c r="AN138" s="496">
        <v>1</v>
      </c>
      <c r="AO138" s="496">
        <v>1</v>
      </c>
      <c r="AP138" s="496">
        <v>1</v>
      </c>
      <c r="AR138" s="496"/>
      <c r="AX138" s="496"/>
      <c r="AY138" s="496"/>
      <c r="AZ138" s="496"/>
      <c r="BA138" s="496"/>
      <c r="BB138" s="496"/>
      <c r="BC138" s="496"/>
      <c r="BD138" s="496"/>
      <c r="BE138" s="496"/>
      <c r="BF138" s="496"/>
      <c r="BG138" s="496"/>
      <c r="BH138" s="496"/>
      <c r="BI138" s="496"/>
      <c r="BJ138" s="496"/>
      <c r="BK138" s="496"/>
      <c r="BL138" s="496"/>
      <c r="BM138" s="496"/>
      <c r="BN138" s="496"/>
      <c r="BO138" s="496"/>
      <c r="BP138" s="496"/>
      <c r="BQ138" s="496"/>
      <c r="BR138" s="496"/>
      <c r="BS138" s="496"/>
      <c r="BT138" s="496"/>
      <c r="BU138" s="496"/>
      <c r="BV138" s="496"/>
      <c r="BW138" s="496"/>
      <c r="BX138" s="496"/>
      <c r="BY138" s="496"/>
      <c r="BZ138" s="496"/>
      <c r="CA138" s="496"/>
      <c r="CB138" s="496"/>
      <c r="CC138" s="496"/>
      <c r="CD138" s="496"/>
      <c r="CE138" s="496"/>
      <c r="CF138" s="496"/>
      <c r="CG138" s="496"/>
      <c r="CH138" s="496"/>
    </row>
    <row r="139" spans="1:86">
      <c r="A139" s="819" t="s">
        <v>938</v>
      </c>
      <c r="C139" t="str">
        <f t="shared" si="68"/>
        <v>R_ES-SH-FL_ELC-HPG</v>
      </c>
      <c r="E139" t="str">
        <f t="shared" si="69"/>
        <v>R_ES-FL-SpHeat</v>
      </c>
      <c r="F139" s="496">
        <v>1</v>
      </c>
      <c r="G139" s="496">
        <v>1</v>
      </c>
      <c r="H139" s="496">
        <v>1</v>
      </c>
      <c r="I139" s="496">
        <v>1</v>
      </c>
      <c r="J139" s="496">
        <v>1</v>
      </c>
      <c r="K139" s="496">
        <v>1</v>
      </c>
      <c r="L139" s="496">
        <v>1</v>
      </c>
      <c r="M139" s="496">
        <v>1</v>
      </c>
      <c r="N139" s="496">
        <v>1</v>
      </c>
      <c r="O139" s="496">
        <v>1</v>
      </c>
      <c r="P139" s="496">
        <v>1</v>
      </c>
      <c r="Q139" s="496">
        <v>1</v>
      </c>
      <c r="R139" s="496">
        <v>1</v>
      </c>
      <c r="S139" s="496">
        <v>1</v>
      </c>
      <c r="T139" s="496">
        <v>1</v>
      </c>
      <c r="U139" s="496">
        <v>1</v>
      </c>
      <c r="V139" s="496">
        <v>1</v>
      </c>
      <c r="W139" s="496">
        <v>1</v>
      </c>
      <c r="X139" s="496">
        <v>1</v>
      </c>
      <c r="Y139" s="496">
        <v>1</v>
      </c>
      <c r="Z139" s="496">
        <v>1</v>
      </c>
      <c r="AA139" s="496">
        <v>1</v>
      </c>
      <c r="AB139" s="496">
        <v>1</v>
      </c>
      <c r="AC139" s="496">
        <v>1</v>
      </c>
      <c r="AD139" s="496">
        <v>1</v>
      </c>
      <c r="AE139" s="496">
        <v>1</v>
      </c>
      <c r="AF139" s="496">
        <v>1</v>
      </c>
      <c r="AG139" s="496">
        <v>1</v>
      </c>
      <c r="AH139" s="496">
        <v>1</v>
      </c>
      <c r="AI139" s="496">
        <v>1</v>
      </c>
      <c r="AJ139" s="496">
        <v>1</v>
      </c>
      <c r="AK139" s="496">
        <v>1</v>
      </c>
      <c r="AL139" s="496">
        <v>1</v>
      </c>
      <c r="AM139" s="496">
        <v>1</v>
      </c>
      <c r="AN139" s="496">
        <v>1</v>
      </c>
      <c r="AO139" s="496">
        <v>1</v>
      </c>
      <c r="AP139" s="496">
        <v>1</v>
      </c>
      <c r="AR139" s="496"/>
      <c r="AX139" s="496"/>
      <c r="AY139" s="496"/>
      <c r="AZ139" s="496"/>
      <c r="BA139" s="496"/>
      <c r="BB139" s="496"/>
      <c r="BC139" s="496"/>
      <c r="BD139" s="496"/>
      <c r="BE139" s="496"/>
      <c r="BF139" s="496"/>
      <c r="BG139" s="496"/>
      <c r="BH139" s="496"/>
      <c r="BI139" s="496"/>
      <c r="BJ139" s="496"/>
      <c r="BK139" s="496"/>
      <c r="BL139" s="496"/>
      <c r="BM139" s="496"/>
      <c r="BN139" s="496"/>
      <c r="BO139" s="496"/>
      <c r="BP139" s="496"/>
      <c r="BQ139" s="496"/>
      <c r="BR139" s="496"/>
      <c r="BS139" s="496"/>
      <c r="BT139" s="496"/>
      <c r="BU139" s="496"/>
      <c r="BV139" s="496"/>
      <c r="BW139" s="496"/>
      <c r="BX139" s="496"/>
      <c r="BY139" s="496"/>
      <c r="BZ139" s="496"/>
      <c r="CA139" s="496"/>
      <c r="CB139" s="496"/>
      <c r="CC139" s="496"/>
      <c r="CD139" s="496"/>
      <c r="CE139" s="496"/>
      <c r="CF139" s="496"/>
      <c r="CG139" s="496"/>
      <c r="CH139" s="496"/>
    </row>
    <row r="140" spans="1:86">
      <c r="A140" t="str">
        <f t="shared" ref="A140:A147" si="70">A96</f>
        <v>Gases</v>
      </c>
      <c r="C140" t="str">
        <f t="shared" si="68"/>
        <v>R_ES-SH-FL_GAS</v>
      </c>
      <c r="E140" t="str">
        <f t="shared" si="69"/>
        <v>R_ES-FL-SpHeat</v>
      </c>
      <c r="F140" s="496">
        <v>1</v>
      </c>
      <c r="G140" s="496">
        <v>1</v>
      </c>
      <c r="H140" s="496">
        <v>1</v>
      </c>
      <c r="I140" s="496">
        <v>1</v>
      </c>
      <c r="J140" s="496">
        <v>1</v>
      </c>
      <c r="K140" s="496">
        <v>1</v>
      </c>
      <c r="L140" s="496">
        <v>1</v>
      </c>
      <c r="M140" s="496">
        <v>1</v>
      </c>
      <c r="N140" s="496">
        <v>1</v>
      </c>
      <c r="O140" s="496">
        <v>1</v>
      </c>
      <c r="P140" s="496">
        <v>1</v>
      </c>
      <c r="Q140" s="496">
        <v>1</v>
      </c>
      <c r="R140" s="496">
        <v>1</v>
      </c>
      <c r="S140" s="496">
        <v>1</v>
      </c>
      <c r="T140" s="496">
        <v>1</v>
      </c>
      <c r="U140" s="496">
        <v>1</v>
      </c>
      <c r="V140" s="496">
        <v>1</v>
      </c>
      <c r="W140" s="496">
        <v>1</v>
      </c>
      <c r="X140" s="496">
        <v>1</v>
      </c>
      <c r="Y140" s="496">
        <v>1</v>
      </c>
      <c r="Z140" s="496">
        <v>1</v>
      </c>
      <c r="AA140" s="496">
        <v>1</v>
      </c>
      <c r="AB140" s="496">
        <v>1</v>
      </c>
      <c r="AC140" s="496">
        <v>1</v>
      </c>
      <c r="AD140" s="496">
        <v>1</v>
      </c>
      <c r="AE140" s="496">
        <v>1</v>
      </c>
      <c r="AF140" s="496">
        <v>1</v>
      </c>
      <c r="AG140" s="496">
        <v>1</v>
      </c>
      <c r="AH140" s="496">
        <v>1</v>
      </c>
      <c r="AI140" s="496">
        <v>1</v>
      </c>
      <c r="AJ140" s="496">
        <v>1</v>
      </c>
      <c r="AK140" s="496">
        <v>1</v>
      </c>
      <c r="AL140" s="496">
        <v>1</v>
      </c>
      <c r="AM140" s="496">
        <v>1</v>
      </c>
      <c r="AN140" s="496">
        <v>1</v>
      </c>
      <c r="AO140" s="496">
        <v>1</v>
      </c>
      <c r="AP140" s="496">
        <v>1</v>
      </c>
      <c r="AR140" s="496"/>
      <c r="AX140" s="496"/>
      <c r="AY140" s="496"/>
      <c r="AZ140" s="496"/>
      <c r="BA140" s="496"/>
      <c r="BB140" s="496"/>
      <c r="BC140" s="496"/>
      <c r="BD140" s="496"/>
      <c r="BE140" s="496"/>
      <c r="BF140" s="496"/>
      <c r="BG140" s="496"/>
      <c r="BH140" s="496"/>
      <c r="BI140" s="496"/>
      <c r="BJ140" s="496"/>
      <c r="BK140" s="496"/>
      <c r="BL140" s="496"/>
      <c r="BM140" s="496"/>
      <c r="BN140" s="496"/>
      <c r="BO140" s="496"/>
      <c r="BP140" s="496"/>
      <c r="BQ140" s="496"/>
      <c r="BR140" s="496"/>
      <c r="BS140" s="496"/>
      <c r="BT140" s="496"/>
      <c r="BU140" s="496"/>
      <c r="BV140" s="496"/>
      <c r="BW140" s="496"/>
      <c r="BX140" s="496"/>
      <c r="BY140" s="496"/>
      <c r="BZ140" s="496"/>
      <c r="CA140" s="496"/>
      <c r="CB140" s="496"/>
      <c r="CC140" s="496"/>
      <c r="CD140" s="496"/>
      <c r="CE140" s="496"/>
      <c r="CF140" s="496"/>
      <c r="CG140" s="496"/>
      <c r="CH140" s="496"/>
    </row>
    <row r="141" spans="1:86">
      <c r="A141" t="str">
        <f t="shared" si="70"/>
        <v>Derived heat</v>
      </c>
      <c r="C141" t="str">
        <f t="shared" si="68"/>
        <v>R_ES-SH-FL_HET</v>
      </c>
      <c r="E141" t="str">
        <f t="shared" si="69"/>
        <v>R_ES-FL-SpHeat</v>
      </c>
      <c r="F141" s="496">
        <v>1</v>
      </c>
      <c r="G141" s="496">
        <v>1</v>
      </c>
      <c r="H141" s="496">
        <v>1</v>
      </c>
      <c r="I141" s="496">
        <v>1</v>
      </c>
      <c r="J141" s="496">
        <v>1</v>
      </c>
      <c r="K141" s="496">
        <v>1</v>
      </c>
      <c r="L141" s="496">
        <v>1</v>
      </c>
      <c r="M141" s="496">
        <v>1</v>
      </c>
      <c r="N141" s="496">
        <v>1</v>
      </c>
      <c r="O141" s="496">
        <v>1</v>
      </c>
      <c r="P141" s="496">
        <v>1</v>
      </c>
      <c r="Q141" s="496">
        <v>1</v>
      </c>
      <c r="R141" s="496">
        <v>1</v>
      </c>
      <c r="S141" s="496">
        <v>1</v>
      </c>
      <c r="T141" s="496">
        <v>1</v>
      </c>
      <c r="U141" s="496">
        <v>1</v>
      </c>
      <c r="V141" s="496">
        <v>1</v>
      </c>
      <c r="W141" s="496">
        <v>1</v>
      </c>
      <c r="X141" s="496">
        <v>1</v>
      </c>
      <c r="Y141" s="496">
        <v>1</v>
      </c>
      <c r="Z141" s="496">
        <v>1</v>
      </c>
      <c r="AA141" s="496">
        <v>1</v>
      </c>
      <c r="AB141" s="496">
        <v>1</v>
      </c>
      <c r="AC141" s="496">
        <v>1</v>
      </c>
      <c r="AD141" s="496">
        <v>1</v>
      </c>
      <c r="AE141" s="496">
        <v>1</v>
      </c>
      <c r="AF141" s="496">
        <v>1</v>
      </c>
      <c r="AG141" s="496">
        <v>1</v>
      </c>
      <c r="AH141" s="496">
        <v>1</v>
      </c>
      <c r="AI141" s="496">
        <v>1</v>
      </c>
      <c r="AJ141" s="496">
        <v>1</v>
      </c>
      <c r="AK141" s="496">
        <v>1</v>
      </c>
      <c r="AL141" s="496">
        <v>1</v>
      </c>
      <c r="AM141" s="496">
        <v>1</v>
      </c>
      <c r="AN141" s="496">
        <v>1</v>
      </c>
      <c r="AO141" s="496">
        <v>1</v>
      </c>
      <c r="AP141" s="496">
        <v>1</v>
      </c>
      <c r="AR141" s="496"/>
      <c r="AX141" s="496"/>
      <c r="AY141" s="496"/>
      <c r="AZ141" s="496"/>
      <c r="BA141" s="496"/>
      <c r="BB141" s="496"/>
      <c r="BC141" s="496"/>
      <c r="BD141" s="496"/>
      <c r="BE141" s="496"/>
      <c r="BF141" s="496"/>
      <c r="BG141" s="496"/>
      <c r="BH141" s="496"/>
      <c r="BI141" s="496"/>
      <c r="BJ141" s="496"/>
      <c r="BK141" s="496"/>
      <c r="BL141" s="496"/>
      <c r="BM141" s="496"/>
      <c r="BN141" s="496"/>
      <c r="BO141" s="496"/>
      <c r="BP141" s="496"/>
      <c r="BQ141" s="496"/>
      <c r="BR141" s="496"/>
      <c r="BS141" s="496"/>
      <c r="BT141" s="496"/>
      <c r="BU141" s="496"/>
      <c r="BV141" s="496"/>
      <c r="BW141" s="496"/>
      <c r="BX141" s="496"/>
      <c r="BY141" s="496"/>
      <c r="BZ141" s="496"/>
      <c r="CA141" s="496"/>
      <c r="CB141" s="496"/>
      <c r="CC141" s="496"/>
      <c r="CD141" s="496"/>
      <c r="CE141" s="496"/>
      <c r="CF141" s="496"/>
      <c r="CG141" s="496"/>
      <c r="CH141" s="496"/>
    </row>
    <row r="142" spans="1:86">
      <c r="A142" t="str">
        <f t="shared" si="70"/>
        <v>GDO and other liquids (incl. liq. bio.)</v>
      </c>
      <c r="C142" t="str">
        <f t="shared" si="68"/>
        <v>R_ES-SH-FL_OIL</v>
      </c>
      <c r="E142" t="str">
        <f t="shared" si="69"/>
        <v>R_ES-FL-SpHeat</v>
      </c>
      <c r="F142" s="496">
        <v>1</v>
      </c>
      <c r="G142" s="496">
        <v>1</v>
      </c>
      <c r="H142" s="496">
        <v>1</v>
      </c>
      <c r="I142" s="496">
        <v>1</v>
      </c>
      <c r="J142" s="496">
        <v>1</v>
      </c>
      <c r="K142" s="496">
        <v>1</v>
      </c>
      <c r="L142" s="496">
        <v>1</v>
      </c>
      <c r="M142" s="496">
        <v>1</v>
      </c>
      <c r="N142" s="496">
        <v>1</v>
      </c>
      <c r="O142" s="496">
        <v>1</v>
      </c>
      <c r="P142" s="496">
        <v>1</v>
      </c>
      <c r="Q142" s="496">
        <v>1</v>
      </c>
      <c r="R142" s="496">
        <v>1</v>
      </c>
      <c r="S142" s="496">
        <v>1</v>
      </c>
      <c r="T142" s="496">
        <v>1</v>
      </c>
      <c r="U142" s="496">
        <v>1</v>
      </c>
      <c r="V142" s="496">
        <v>1</v>
      </c>
      <c r="W142" s="496">
        <v>1</v>
      </c>
      <c r="X142" s="496">
        <v>1</v>
      </c>
      <c r="Y142" s="496">
        <v>1</v>
      </c>
      <c r="Z142" s="496">
        <v>1</v>
      </c>
      <c r="AA142" s="496">
        <v>1</v>
      </c>
      <c r="AB142" s="496">
        <v>1</v>
      </c>
      <c r="AC142" s="496">
        <v>1</v>
      </c>
      <c r="AD142" s="496">
        <v>1</v>
      </c>
      <c r="AE142" s="496">
        <v>1</v>
      </c>
      <c r="AF142" s="496">
        <v>1</v>
      </c>
      <c r="AG142" s="496">
        <v>1</v>
      </c>
      <c r="AH142" s="496">
        <v>1</v>
      </c>
      <c r="AI142" s="496">
        <v>1</v>
      </c>
      <c r="AJ142" s="496">
        <v>1</v>
      </c>
      <c r="AK142" s="496">
        <v>1</v>
      </c>
      <c r="AL142" s="496">
        <v>1</v>
      </c>
      <c r="AM142" s="496">
        <v>1</v>
      </c>
      <c r="AN142" s="496">
        <v>1</v>
      </c>
      <c r="AO142" s="496">
        <v>1</v>
      </c>
      <c r="AP142" s="496">
        <v>1</v>
      </c>
      <c r="AR142" s="496"/>
    </row>
    <row r="143" spans="1:86">
      <c r="A143" t="str">
        <f t="shared" si="70"/>
        <v>Biomass and wastes</v>
      </c>
      <c r="C143" t="str">
        <f t="shared" si="68"/>
        <v>R_ES-SH-FL_BIO</v>
      </c>
      <c r="E143" t="str">
        <f t="shared" si="69"/>
        <v>R_ES-FL-SpHeat</v>
      </c>
      <c r="F143" s="496">
        <v>1</v>
      </c>
      <c r="G143" s="496">
        <v>1</v>
      </c>
      <c r="H143" s="496">
        <v>1</v>
      </c>
      <c r="I143" s="496">
        <v>1</v>
      </c>
      <c r="J143" s="496">
        <v>1</v>
      </c>
      <c r="K143" s="496">
        <v>1</v>
      </c>
      <c r="L143" s="496">
        <v>1</v>
      </c>
      <c r="M143" s="496">
        <v>1</v>
      </c>
      <c r="N143" s="496">
        <v>1</v>
      </c>
      <c r="O143" s="496">
        <v>1</v>
      </c>
      <c r="P143" s="496">
        <v>1</v>
      </c>
      <c r="Q143" s="496">
        <v>1</v>
      </c>
      <c r="R143" s="496">
        <v>1</v>
      </c>
      <c r="S143" s="496">
        <v>1</v>
      </c>
      <c r="T143" s="496">
        <v>1</v>
      </c>
      <c r="U143" s="496">
        <v>1</v>
      </c>
      <c r="V143" s="496">
        <v>1</v>
      </c>
      <c r="W143" s="496">
        <v>1</v>
      </c>
      <c r="X143" s="496">
        <v>1</v>
      </c>
      <c r="Y143" s="496">
        <v>1</v>
      </c>
      <c r="Z143" s="496">
        <v>1</v>
      </c>
      <c r="AA143" s="496">
        <v>1</v>
      </c>
      <c r="AB143" s="496">
        <v>1</v>
      </c>
      <c r="AC143" s="496">
        <v>1</v>
      </c>
      <c r="AD143" s="496">
        <v>1</v>
      </c>
      <c r="AE143" s="496">
        <v>1</v>
      </c>
      <c r="AF143" s="496">
        <v>1</v>
      </c>
      <c r="AG143" s="496">
        <v>1</v>
      </c>
      <c r="AH143" s="496">
        <v>1</v>
      </c>
      <c r="AI143" s="496">
        <v>1</v>
      </c>
      <c r="AJ143" s="496">
        <v>1</v>
      </c>
      <c r="AK143" s="496">
        <v>1</v>
      </c>
      <c r="AL143" s="496">
        <v>1</v>
      </c>
      <c r="AM143" s="496">
        <v>1</v>
      </c>
      <c r="AN143" s="496">
        <v>1</v>
      </c>
      <c r="AO143" s="496">
        <v>1</v>
      </c>
      <c r="AP143" s="496">
        <v>1</v>
      </c>
      <c r="AR143" s="496"/>
    </row>
    <row r="144" spans="1:86">
      <c r="A144" t="str">
        <f t="shared" si="70"/>
        <v>Solids</v>
      </c>
      <c r="C144" t="str">
        <f t="shared" si="68"/>
        <v>R_ES-SH-FL_COA</v>
      </c>
      <c r="E144" t="str">
        <f t="shared" si="69"/>
        <v>R_ES-FL-SpHeat</v>
      </c>
      <c r="F144" s="496">
        <v>1</v>
      </c>
      <c r="G144" s="496">
        <v>1</v>
      </c>
      <c r="H144" s="496">
        <v>1</v>
      </c>
      <c r="I144" s="496">
        <v>1</v>
      </c>
      <c r="J144" s="496">
        <v>1</v>
      </c>
      <c r="K144" s="496">
        <v>1</v>
      </c>
      <c r="L144" s="496">
        <v>1</v>
      </c>
      <c r="M144" s="496">
        <v>1</v>
      </c>
      <c r="N144" s="496">
        <v>1</v>
      </c>
      <c r="O144" s="496">
        <v>1</v>
      </c>
      <c r="P144" s="496">
        <v>1</v>
      </c>
      <c r="Q144" s="496">
        <v>1</v>
      </c>
      <c r="R144" s="496">
        <v>1</v>
      </c>
      <c r="S144" s="496">
        <v>1</v>
      </c>
      <c r="T144" s="496">
        <v>1</v>
      </c>
      <c r="U144" s="496">
        <v>1</v>
      </c>
      <c r="V144" s="496">
        <v>1</v>
      </c>
      <c r="W144" s="496">
        <v>1</v>
      </c>
      <c r="X144" s="496">
        <v>1</v>
      </c>
      <c r="Y144" s="496">
        <v>1</v>
      </c>
      <c r="Z144" s="496">
        <v>1</v>
      </c>
      <c r="AA144" s="496">
        <v>1</v>
      </c>
      <c r="AB144" s="496">
        <v>1</v>
      </c>
      <c r="AC144" s="496">
        <v>1</v>
      </c>
      <c r="AD144" s="496">
        <v>1</v>
      </c>
      <c r="AE144" s="496">
        <v>1</v>
      </c>
      <c r="AF144" s="496">
        <v>1</v>
      </c>
      <c r="AG144" s="496">
        <v>1</v>
      </c>
      <c r="AH144" s="496">
        <v>1</v>
      </c>
      <c r="AI144" s="496">
        <v>1</v>
      </c>
      <c r="AJ144" s="496">
        <v>1</v>
      </c>
      <c r="AK144" s="496">
        <v>1</v>
      </c>
      <c r="AL144" s="496">
        <v>1</v>
      </c>
      <c r="AM144" s="496">
        <v>1</v>
      </c>
      <c r="AN144" s="496">
        <v>1</v>
      </c>
      <c r="AO144" s="496">
        <v>1</v>
      </c>
      <c r="AP144" s="496">
        <v>1</v>
      </c>
      <c r="AR144" s="496"/>
    </row>
    <row r="145" spans="1:44">
      <c r="A145" t="str">
        <f t="shared" si="70"/>
        <v>LPG</v>
      </c>
      <c r="C145" t="str">
        <f t="shared" si="68"/>
        <v>R_ES-SH-FL_LPG</v>
      </c>
      <c r="E145" t="str">
        <f t="shared" si="69"/>
        <v>R_ES-FL-SpHeat</v>
      </c>
      <c r="F145" s="496">
        <v>1</v>
      </c>
      <c r="G145" s="496">
        <v>1</v>
      </c>
      <c r="H145" s="496">
        <v>1</v>
      </c>
      <c r="I145" s="496">
        <v>1</v>
      </c>
      <c r="J145" s="496">
        <v>1</v>
      </c>
      <c r="K145" s="496">
        <v>1</v>
      </c>
      <c r="L145" s="496">
        <v>1</v>
      </c>
      <c r="M145" s="496">
        <v>1</v>
      </c>
      <c r="N145" s="496">
        <v>1</v>
      </c>
      <c r="O145" s="496">
        <v>1</v>
      </c>
      <c r="P145" s="496">
        <v>1</v>
      </c>
      <c r="Q145" s="496">
        <v>1</v>
      </c>
      <c r="R145" s="496">
        <v>1</v>
      </c>
      <c r="S145" s="496">
        <v>1</v>
      </c>
      <c r="T145" s="496">
        <v>1</v>
      </c>
      <c r="U145" s="496">
        <v>1</v>
      </c>
      <c r="V145" s="496">
        <v>1</v>
      </c>
      <c r="W145" s="496">
        <v>1</v>
      </c>
      <c r="X145" s="496">
        <v>1</v>
      </c>
      <c r="Y145" s="496">
        <v>1</v>
      </c>
      <c r="Z145" s="496">
        <v>1</v>
      </c>
      <c r="AA145" s="496">
        <v>1</v>
      </c>
      <c r="AB145" s="496">
        <v>1</v>
      </c>
      <c r="AC145" s="496">
        <v>1</v>
      </c>
      <c r="AD145" s="496">
        <v>1</v>
      </c>
      <c r="AE145" s="496">
        <v>1</v>
      </c>
      <c r="AF145" s="496">
        <v>1</v>
      </c>
      <c r="AG145" s="496">
        <v>1</v>
      </c>
      <c r="AH145" s="496">
        <v>1</v>
      </c>
      <c r="AI145" s="496">
        <v>1</v>
      </c>
      <c r="AJ145" s="496">
        <v>1</v>
      </c>
      <c r="AK145" s="496">
        <v>1</v>
      </c>
      <c r="AL145" s="496">
        <v>1</v>
      </c>
      <c r="AM145" s="496">
        <v>1</v>
      </c>
      <c r="AN145" s="496">
        <v>1</v>
      </c>
      <c r="AO145" s="496">
        <v>1</v>
      </c>
      <c r="AP145" s="496">
        <v>1</v>
      </c>
      <c r="AR145" s="496"/>
    </row>
    <row r="146" spans="1:44">
      <c r="A146" t="str">
        <f t="shared" si="70"/>
        <v>Geothermal Energy</v>
      </c>
      <c r="C146" t="str">
        <f t="shared" si="68"/>
        <v>R_ES-SH-FL_GEO</v>
      </c>
      <c r="E146" t="str">
        <f t="shared" si="69"/>
        <v>R_ES-FL-SpHeat</v>
      </c>
      <c r="F146" s="496">
        <v>1</v>
      </c>
      <c r="G146" s="496">
        <v>1</v>
      </c>
      <c r="H146" s="496">
        <v>1</v>
      </c>
      <c r="I146" s="496">
        <v>1</v>
      </c>
      <c r="J146" s="496">
        <v>1</v>
      </c>
      <c r="K146" s="496">
        <v>1</v>
      </c>
      <c r="L146" s="496">
        <v>1</v>
      </c>
      <c r="M146" s="496">
        <v>1</v>
      </c>
      <c r="N146" s="496">
        <v>1</v>
      </c>
      <c r="O146" s="496">
        <v>1</v>
      </c>
      <c r="P146" s="496">
        <v>1</v>
      </c>
      <c r="Q146" s="496">
        <v>1</v>
      </c>
      <c r="R146" s="496">
        <v>1</v>
      </c>
      <c r="S146" s="496">
        <v>1</v>
      </c>
      <c r="T146" s="496">
        <v>1</v>
      </c>
      <c r="U146" s="496">
        <v>1</v>
      </c>
      <c r="V146" s="496">
        <v>1</v>
      </c>
      <c r="W146" s="496">
        <v>1</v>
      </c>
      <c r="X146" s="496">
        <v>1</v>
      </c>
      <c r="Y146" s="496">
        <v>1</v>
      </c>
      <c r="Z146" s="496">
        <v>1</v>
      </c>
      <c r="AA146" s="496">
        <v>1</v>
      </c>
      <c r="AB146" s="496">
        <v>1</v>
      </c>
      <c r="AC146" s="496">
        <v>1</v>
      </c>
      <c r="AD146" s="496">
        <v>1</v>
      </c>
      <c r="AE146" s="496">
        <v>1</v>
      </c>
      <c r="AF146" s="496">
        <v>1</v>
      </c>
      <c r="AG146" s="496">
        <v>1</v>
      </c>
      <c r="AH146" s="496">
        <v>1</v>
      </c>
      <c r="AI146" s="496">
        <v>1</v>
      </c>
      <c r="AJ146" s="496">
        <v>1</v>
      </c>
      <c r="AK146" s="496">
        <v>1</v>
      </c>
      <c r="AL146" s="496">
        <v>1</v>
      </c>
      <c r="AM146" s="496">
        <v>1</v>
      </c>
      <c r="AN146" s="496">
        <v>1</v>
      </c>
      <c r="AO146" s="496">
        <v>1</v>
      </c>
      <c r="AP146" s="496">
        <v>1</v>
      </c>
      <c r="AR146" s="496"/>
    </row>
    <row r="147" spans="1:44">
      <c r="A147" t="str">
        <f t="shared" si="70"/>
        <v>Electricity</v>
      </c>
      <c r="C147" t="str">
        <f t="shared" si="68"/>
        <v>R_ES-SH-DH_ELC-R</v>
      </c>
      <c r="E147" t="str">
        <f t="shared" si="69"/>
        <v>R_ES-DH-SpHeat</v>
      </c>
      <c r="F147" s="496">
        <v>1</v>
      </c>
      <c r="G147" s="496">
        <v>1</v>
      </c>
      <c r="H147" s="496">
        <v>1</v>
      </c>
      <c r="I147" s="496">
        <v>1</v>
      </c>
      <c r="J147" s="496">
        <v>1</v>
      </c>
      <c r="K147" s="496">
        <v>1</v>
      </c>
      <c r="L147" s="496">
        <v>1</v>
      </c>
      <c r="M147" s="496">
        <v>1</v>
      </c>
      <c r="N147" s="496">
        <v>1</v>
      </c>
      <c r="O147" s="496">
        <v>1</v>
      </c>
      <c r="P147" s="496">
        <v>1</v>
      </c>
      <c r="Q147" s="496">
        <v>1</v>
      </c>
      <c r="R147" s="496">
        <v>1</v>
      </c>
      <c r="S147" s="496">
        <v>1</v>
      </c>
      <c r="T147" s="496">
        <v>1</v>
      </c>
      <c r="U147" s="496">
        <v>1</v>
      </c>
      <c r="V147" s="496">
        <v>1</v>
      </c>
      <c r="W147" s="496">
        <v>1</v>
      </c>
      <c r="X147" s="496">
        <v>1</v>
      </c>
      <c r="Y147" s="496">
        <v>1</v>
      </c>
      <c r="Z147" s="496">
        <v>1</v>
      </c>
      <c r="AA147" s="496">
        <v>1</v>
      </c>
      <c r="AB147" s="496">
        <v>1</v>
      </c>
      <c r="AC147" s="496">
        <v>1</v>
      </c>
      <c r="AD147" s="496">
        <v>1</v>
      </c>
      <c r="AE147" s="496">
        <v>1</v>
      </c>
      <c r="AF147" s="496">
        <v>1</v>
      </c>
      <c r="AG147" s="496">
        <v>1</v>
      </c>
      <c r="AH147" s="496">
        <v>1</v>
      </c>
      <c r="AI147" s="496">
        <v>1</v>
      </c>
      <c r="AJ147" s="496">
        <v>1</v>
      </c>
      <c r="AK147" s="496">
        <v>1</v>
      </c>
      <c r="AL147" s="496">
        <v>1</v>
      </c>
      <c r="AM147" s="496">
        <v>1</v>
      </c>
      <c r="AN147" s="496">
        <v>1</v>
      </c>
      <c r="AO147" s="496">
        <v>1</v>
      </c>
      <c r="AP147" s="496">
        <v>1</v>
      </c>
    </row>
    <row r="148" spans="1:44">
      <c r="A148" s="819" t="s">
        <v>937</v>
      </c>
      <c r="C148" t="str">
        <f t="shared" si="68"/>
        <v>R_ES-SH-DH_ELC-HPA</v>
      </c>
      <c r="E148" t="str">
        <f t="shared" si="69"/>
        <v>R_ES-DH-SpHeat</v>
      </c>
      <c r="F148" s="496">
        <v>1</v>
      </c>
      <c r="G148" s="496">
        <v>1</v>
      </c>
      <c r="H148" s="496">
        <v>1</v>
      </c>
      <c r="I148" s="496">
        <v>1</v>
      </c>
      <c r="J148" s="496">
        <v>1</v>
      </c>
      <c r="K148" s="496">
        <v>1</v>
      </c>
      <c r="L148" s="496">
        <v>1</v>
      </c>
      <c r="M148" s="496">
        <v>1</v>
      </c>
      <c r="N148" s="496">
        <v>1</v>
      </c>
      <c r="O148" s="496">
        <v>1</v>
      </c>
      <c r="P148" s="496">
        <v>1</v>
      </c>
      <c r="Q148" s="496">
        <v>1</v>
      </c>
      <c r="R148" s="496">
        <v>1</v>
      </c>
      <c r="S148" s="496">
        <v>1</v>
      </c>
      <c r="T148" s="496">
        <v>1</v>
      </c>
      <c r="U148" s="496">
        <v>1</v>
      </c>
      <c r="V148" s="496">
        <v>1</v>
      </c>
      <c r="W148" s="496">
        <v>1</v>
      </c>
      <c r="X148" s="496">
        <v>1</v>
      </c>
      <c r="Y148" s="496">
        <v>1</v>
      </c>
      <c r="Z148" s="496">
        <v>1</v>
      </c>
      <c r="AA148" s="496">
        <v>1</v>
      </c>
      <c r="AB148" s="496">
        <v>1</v>
      </c>
      <c r="AC148" s="496">
        <v>1</v>
      </c>
      <c r="AD148" s="496">
        <v>1</v>
      </c>
      <c r="AE148" s="496">
        <v>1</v>
      </c>
      <c r="AF148" s="496">
        <v>1</v>
      </c>
      <c r="AG148" s="496">
        <v>1</v>
      </c>
      <c r="AH148" s="496">
        <v>1</v>
      </c>
      <c r="AI148" s="496">
        <v>1</v>
      </c>
      <c r="AJ148" s="496">
        <v>1</v>
      </c>
      <c r="AK148" s="496">
        <v>1</v>
      </c>
      <c r="AL148" s="496">
        <v>1</v>
      </c>
      <c r="AM148" s="496">
        <v>1</v>
      </c>
      <c r="AN148" s="496">
        <v>1</v>
      </c>
      <c r="AO148" s="496">
        <v>1</v>
      </c>
      <c r="AP148" s="496">
        <v>1</v>
      </c>
    </row>
    <row r="149" spans="1:44">
      <c r="A149" s="819" t="s">
        <v>938</v>
      </c>
      <c r="C149" t="str">
        <f t="shared" si="68"/>
        <v>R_ES-SH-DH_ELC-HPG</v>
      </c>
      <c r="E149" t="str">
        <f t="shared" si="69"/>
        <v>R_ES-DH-SpHeat</v>
      </c>
      <c r="F149" s="496">
        <v>1</v>
      </c>
      <c r="G149" s="496">
        <v>1</v>
      </c>
      <c r="H149" s="496">
        <v>1</v>
      </c>
      <c r="I149" s="496">
        <v>1</v>
      </c>
      <c r="J149" s="496">
        <v>1</v>
      </c>
      <c r="K149" s="496">
        <v>1</v>
      </c>
      <c r="L149" s="496">
        <v>1</v>
      </c>
      <c r="M149" s="496">
        <v>1</v>
      </c>
      <c r="N149" s="496">
        <v>1</v>
      </c>
      <c r="O149" s="496">
        <v>1</v>
      </c>
      <c r="P149" s="496">
        <v>1</v>
      </c>
      <c r="Q149" s="496">
        <v>1</v>
      </c>
      <c r="R149" s="496">
        <v>1</v>
      </c>
      <c r="S149" s="496">
        <v>1</v>
      </c>
      <c r="T149" s="496">
        <v>1</v>
      </c>
      <c r="U149" s="496">
        <v>1</v>
      </c>
      <c r="V149" s="496">
        <v>1</v>
      </c>
      <c r="W149" s="496">
        <v>1</v>
      </c>
      <c r="X149" s="496">
        <v>1</v>
      </c>
      <c r="Y149" s="496">
        <v>1</v>
      </c>
      <c r="Z149" s="496">
        <v>1</v>
      </c>
      <c r="AA149" s="496">
        <v>1</v>
      </c>
      <c r="AB149" s="496">
        <v>1</v>
      </c>
      <c r="AC149" s="496">
        <v>1</v>
      </c>
      <c r="AD149" s="496">
        <v>1</v>
      </c>
      <c r="AE149" s="496">
        <v>1</v>
      </c>
      <c r="AF149" s="496">
        <v>1</v>
      </c>
      <c r="AG149" s="496">
        <v>1</v>
      </c>
      <c r="AH149" s="496">
        <v>1</v>
      </c>
      <c r="AI149" s="496">
        <v>1</v>
      </c>
      <c r="AJ149" s="496">
        <v>1</v>
      </c>
      <c r="AK149" s="496">
        <v>1</v>
      </c>
      <c r="AL149" s="496">
        <v>1</v>
      </c>
      <c r="AM149" s="496">
        <v>1</v>
      </c>
      <c r="AN149" s="496">
        <v>1</v>
      </c>
      <c r="AO149" s="496">
        <v>1</v>
      </c>
      <c r="AP149" s="496">
        <v>1</v>
      </c>
    </row>
    <row r="150" spans="1:44">
      <c r="A150" t="str">
        <f t="shared" ref="A150:A157" si="71">A106</f>
        <v>Gases</v>
      </c>
      <c r="C150" t="str">
        <f t="shared" si="68"/>
        <v>R_ES-SH-DH_GAS</v>
      </c>
      <c r="E150" t="str">
        <f t="shared" si="69"/>
        <v>R_ES-DH-SpHeat</v>
      </c>
      <c r="F150" s="496">
        <v>1</v>
      </c>
      <c r="G150" s="496">
        <v>1</v>
      </c>
      <c r="H150" s="496">
        <v>1</v>
      </c>
      <c r="I150" s="496">
        <v>1</v>
      </c>
      <c r="J150" s="496">
        <v>1</v>
      </c>
      <c r="K150" s="496">
        <v>1</v>
      </c>
      <c r="L150" s="496">
        <v>1</v>
      </c>
      <c r="M150" s="496">
        <v>1</v>
      </c>
      <c r="N150" s="496">
        <v>1</v>
      </c>
      <c r="O150" s="496">
        <v>1</v>
      </c>
      <c r="P150" s="496">
        <v>1</v>
      </c>
      <c r="Q150" s="496">
        <v>1</v>
      </c>
      <c r="R150" s="496">
        <v>1</v>
      </c>
      <c r="S150" s="496">
        <v>1</v>
      </c>
      <c r="T150" s="496">
        <v>1</v>
      </c>
      <c r="U150" s="496">
        <v>1</v>
      </c>
      <c r="V150" s="496">
        <v>1</v>
      </c>
      <c r="W150" s="496">
        <v>1</v>
      </c>
      <c r="X150" s="496">
        <v>1</v>
      </c>
      <c r="Y150" s="496">
        <v>1</v>
      </c>
      <c r="Z150" s="496">
        <v>1</v>
      </c>
      <c r="AA150" s="496">
        <v>1</v>
      </c>
      <c r="AB150" s="496">
        <v>1</v>
      </c>
      <c r="AC150" s="496">
        <v>1</v>
      </c>
      <c r="AD150" s="496">
        <v>1</v>
      </c>
      <c r="AE150" s="496">
        <v>1</v>
      </c>
      <c r="AF150" s="496">
        <v>1</v>
      </c>
      <c r="AG150" s="496">
        <v>1</v>
      </c>
      <c r="AH150" s="496">
        <v>1</v>
      </c>
      <c r="AI150" s="496">
        <v>1</v>
      </c>
      <c r="AJ150" s="496">
        <v>1</v>
      </c>
      <c r="AK150" s="496">
        <v>1</v>
      </c>
      <c r="AL150" s="496">
        <v>1</v>
      </c>
      <c r="AM150" s="496">
        <v>1</v>
      </c>
      <c r="AN150" s="496">
        <v>1</v>
      </c>
      <c r="AO150" s="496">
        <v>1</v>
      </c>
      <c r="AP150" s="496">
        <v>1</v>
      </c>
    </row>
    <row r="151" spans="1:44">
      <c r="A151" t="str">
        <f t="shared" si="71"/>
        <v>Derived heat</v>
      </c>
      <c r="C151" t="str">
        <f t="shared" si="68"/>
        <v>R_ES-SH-DH_HET</v>
      </c>
      <c r="E151" t="str">
        <f t="shared" si="69"/>
        <v>R_ES-DH-SpHeat</v>
      </c>
      <c r="F151" s="496">
        <v>1</v>
      </c>
      <c r="G151" s="496">
        <v>1</v>
      </c>
      <c r="H151" s="496">
        <v>1</v>
      </c>
      <c r="I151" s="496">
        <v>1</v>
      </c>
      <c r="J151" s="496">
        <v>1</v>
      </c>
      <c r="K151" s="496">
        <v>1</v>
      </c>
      <c r="L151" s="496">
        <v>1</v>
      </c>
      <c r="M151" s="496">
        <v>1</v>
      </c>
      <c r="N151" s="496">
        <v>1</v>
      </c>
      <c r="O151" s="496">
        <v>1</v>
      </c>
      <c r="P151" s="496">
        <v>1</v>
      </c>
      <c r="Q151" s="496">
        <v>1</v>
      </c>
      <c r="R151" s="496">
        <v>1</v>
      </c>
      <c r="S151" s="496">
        <v>1</v>
      </c>
      <c r="T151" s="496">
        <v>1</v>
      </c>
      <c r="U151" s="496">
        <v>1</v>
      </c>
      <c r="V151" s="496">
        <v>1</v>
      </c>
      <c r="W151" s="496">
        <v>1</v>
      </c>
      <c r="X151" s="496">
        <v>1</v>
      </c>
      <c r="Y151" s="496">
        <v>1</v>
      </c>
      <c r="Z151" s="496">
        <v>1</v>
      </c>
      <c r="AA151" s="496">
        <v>1</v>
      </c>
      <c r="AB151" s="496">
        <v>1</v>
      </c>
      <c r="AC151" s="496">
        <v>1</v>
      </c>
      <c r="AD151" s="496">
        <v>1</v>
      </c>
      <c r="AE151" s="496">
        <v>1</v>
      </c>
      <c r="AF151" s="496">
        <v>1</v>
      </c>
      <c r="AG151" s="496">
        <v>1</v>
      </c>
      <c r="AH151" s="496">
        <v>1</v>
      </c>
      <c r="AI151" s="496">
        <v>1</v>
      </c>
      <c r="AJ151" s="496">
        <v>1</v>
      </c>
      <c r="AK151" s="496">
        <v>1</v>
      </c>
      <c r="AL151" s="496">
        <v>1</v>
      </c>
      <c r="AM151" s="496">
        <v>1</v>
      </c>
      <c r="AN151" s="496">
        <v>1</v>
      </c>
      <c r="AO151" s="496">
        <v>1</v>
      </c>
      <c r="AP151" s="496">
        <v>1</v>
      </c>
    </row>
    <row r="152" spans="1:44">
      <c r="A152" t="str">
        <f t="shared" si="71"/>
        <v>GDO and other liquids (incl. liq. bio.)</v>
      </c>
      <c r="C152" t="str">
        <f t="shared" si="68"/>
        <v>R_ES-SH-DH_OIL</v>
      </c>
      <c r="E152" t="str">
        <f t="shared" si="69"/>
        <v>R_ES-DH-SpHeat</v>
      </c>
      <c r="F152" s="496">
        <v>1</v>
      </c>
      <c r="G152" s="496">
        <v>1</v>
      </c>
      <c r="H152" s="496">
        <v>1</v>
      </c>
      <c r="I152" s="496">
        <v>1</v>
      </c>
      <c r="J152" s="496">
        <v>1</v>
      </c>
      <c r="K152" s="496">
        <v>1</v>
      </c>
      <c r="L152" s="496">
        <v>1</v>
      </c>
      <c r="M152" s="496">
        <v>1</v>
      </c>
      <c r="N152" s="496">
        <v>1</v>
      </c>
      <c r="O152" s="496">
        <v>1</v>
      </c>
      <c r="P152" s="496">
        <v>1</v>
      </c>
      <c r="Q152" s="496">
        <v>1</v>
      </c>
      <c r="R152" s="496">
        <v>1</v>
      </c>
      <c r="S152" s="496">
        <v>1</v>
      </c>
      <c r="T152" s="496">
        <v>1</v>
      </c>
      <c r="U152" s="496">
        <v>1</v>
      </c>
      <c r="V152" s="496">
        <v>1</v>
      </c>
      <c r="W152" s="496">
        <v>1</v>
      </c>
      <c r="X152" s="496">
        <v>1</v>
      </c>
      <c r="Y152" s="496">
        <v>1</v>
      </c>
      <c r="Z152" s="496">
        <v>1</v>
      </c>
      <c r="AA152" s="496">
        <v>1</v>
      </c>
      <c r="AB152" s="496">
        <v>1</v>
      </c>
      <c r="AC152" s="496">
        <v>1</v>
      </c>
      <c r="AD152" s="496">
        <v>1</v>
      </c>
      <c r="AE152" s="496">
        <v>1</v>
      </c>
      <c r="AF152" s="496">
        <v>1</v>
      </c>
      <c r="AG152" s="496">
        <v>1</v>
      </c>
      <c r="AH152" s="496">
        <v>1</v>
      </c>
      <c r="AI152" s="496">
        <v>1</v>
      </c>
      <c r="AJ152" s="496">
        <v>1</v>
      </c>
      <c r="AK152" s="496">
        <v>1</v>
      </c>
      <c r="AL152" s="496">
        <v>1</v>
      </c>
      <c r="AM152" s="496">
        <v>1</v>
      </c>
      <c r="AN152" s="496">
        <v>1</v>
      </c>
      <c r="AO152" s="496">
        <v>1</v>
      </c>
      <c r="AP152" s="496">
        <v>1</v>
      </c>
    </row>
    <row r="153" spans="1:44">
      <c r="A153" t="str">
        <f t="shared" si="71"/>
        <v>Biomass and wastes</v>
      </c>
      <c r="C153" t="str">
        <f t="shared" si="68"/>
        <v>R_ES-SH-DH_BIO</v>
      </c>
      <c r="E153" t="str">
        <f t="shared" si="69"/>
        <v>R_ES-DH-SpHeat</v>
      </c>
      <c r="F153" s="496">
        <v>1</v>
      </c>
      <c r="G153" s="496">
        <v>1</v>
      </c>
      <c r="H153" s="496">
        <v>1</v>
      </c>
      <c r="I153" s="496">
        <v>1</v>
      </c>
      <c r="J153" s="496">
        <v>1</v>
      </c>
      <c r="K153" s="496">
        <v>1</v>
      </c>
      <c r="L153" s="496">
        <v>1</v>
      </c>
      <c r="M153" s="496">
        <v>1</v>
      </c>
      <c r="N153" s="496">
        <v>1</v>
      </c>
      <c r="O153" s="496">
        <v>1</v>
      </c>
      <c r="P153" s="496">
        <v>1</v>
      </c>
      <c r="Q153" s="496">
        <v>1</v>
      </c>
      <c r="R153" s="496">
        <v>1</v>
      </c>
      <c r="S153" s="496">
        <v>1</v>
      </c>
      <c r="T153" s="496">
        <v>1</v>
      </c>
      <c r="U153" s="496">
        <v>1</v>
      </c>
      <c r="V153" s="496">
        <v>1</v>
      </c>
      <c r="W153" s="496">
        <v>1</v>
      </c>
      <c r="X153" s="496">
        <v>1</v>
      </c>
      <c r="Y153" s="496">
        <v>1</v>
      </c>
      <c r="Z153" s="496">
        <v>1</v>
      </c>
      <c r="AA153" s="496">
        <v>1</v>
      </c>
      <c r="AB153" s="496">
        <v>1</v>
      </c>
      <c r="AC153" s="496">
        <v>1</v>
      </c>
      <c r="AD153" s="496">
        <v>1</v>
      </c>
      <c r="AE153" s="496">
        <v>1</v>
      </c>
      <c r="AF153" s="496">
        <v>1</v>
      </c>
      <c r="AG153" s="496">
        <v>1</v>
      </c>
      <c r="AH153" s="496">
        <v>1</v>
      </c>
      <c r="AI153" s="496">
        <v>1</v>
      </c>
      <c r="AJ153" s="496">
        <v>1</v>
      </c>
      <c r="AK153" s="496">
        <v>1</v>
      </c>
      <c r="AL153" s="496">
        <v>1</v>
      </c>
      <c r="AM153" s="496">
        <v>1</v>
      </c>
      <c r="AN153" s="496">
        <v>1</v>
      </c>
      <c r="AO153" s="496">
        <v>1</v>
      </c>
      <c r="AP153" s="496">
        <v>1</v>
      </c>
    </row>
    <row r="154" spans="1:44">
      <c r="A154" t="str">
        <f t="shared" si="71"/>
        <v>Solids</v>
      </c>
      <c r="C154" t="str">
        <f t="shared" si="68"/>
        <v>R_ES-SH-DH_COA</v>
      </c>
      <c r="E154" t="str">
        <f t="shared" si="69"/>
        <v>R_ES-DH-SpHeat</v>
      </c>
      <c r="F154" s="496">
        <v>1</v>
      </c>
      <c r="G154" s="496">
        <v>1</v>
      </c>
      <c r="H154" s="496">
        <v>1</v>
      </c>
      <c r="I154" s="496">
        <v>1</v>
      </c>
      <c r="J154" s="496">
        <v>1</v>
      </c>
      <c r="K154" s="496">
        <v>1</v>
      </c>
      <c r="L154" s="496">
        <v>1</v>
      </c>
      <c r="M154" s="496">
        <v>1</v>
      </c>
      <c r="N154" s="496">
        <v>1</v>
      </c>
      <c r="O154" s="496">
        <v>1</v>
      </c>
      <c r="P154" s="496">
        <v>1</v>
      </c>
      <c r="Q154" s="496">
        <v>1</v>
      </c>
      <c r="R154" s="496">
        <v>1</v>
      </c>
      <c r="S154" s="496">
        <v>1</v>
      </c>
      <c r="T154" s="496">
        <v>1</v>
      </c>
      <c r="U154" s="496">
        <v>1</v>
      </c>
      <c r="V154" s="496">
        <v>1</v>
      </c>
      <c r="W154" s="496">
        <v>1</v>
      </c>
      <c r="X154" s="496">
        <v>1</v>
      </c>
      <c r="Y154" s="496">
        <v>1</v>
      </c>
      <c r="Z154" s="496">
        <v>1</v>
      </c>
      <c r="AA154" s="496">
        <v>1</v>
      </c>
      <c r="AB154" s="496">
        <v>1</v>
      </c>
      <c r="AC154" s="496">
        <v>1</v>
      </c>
      <c r="AD154" s="496">
        <v>1</v>
      </c>
      <c r="AE154" s="496">
        <v>1</v>
      </c>
      <c r="AF154" s="496">
        <v>1</v>
      </c>
      <c r="AG154" s="496">
        <v>1</v>
      </c>
      <c r="AH154" s="496">
        <v>1</v>
      </c>
      <c r="AI154" s="496">
        <v>1</v>
      </c>
      <c r="AJ154" s="496">
        <v>1</v>
      </c>
      <c r="AK154" s="496">
        <v>1</v>
      </c>
      <c r="AL154" s="496">
        <v>1</v>
      </c>
      <c r="AM154" s="496">
        <v>1</v>
      </c>
      <c r="AN154" s="496">
        <v>1</v>
      </c>
      <c r="AO154" s="496">
        <v>1</v>
      </c>
      <c r="AP154" s="496">
        <v>1</v>
      </c>
    </row>
    <row r="155" spans="1:44">
      <c r="A155" t="str">
        <f t="shared" si="71"/>
        <v>LPG</v>
      </c>
      <c r="C155" t="str">
        <f t="shared" si="68"/>
        <v>R_ES-SH-DH_LPG</v>
      </c>
      <c r="E155" t="str">
        <f t="shared" si="69"/>
        <v>R_ES-DH-SpHeat</v>
      </c>
      <c r="F155" s="496">
        <v>1</v>
      </c>
      <c r="G155" s="496">
        <v>1</v>
      </c>
      <c r="H155" s="496">
        <v>1</v>
      </c>
      <c r="I155" s="496">
        <v>1</v>
      </c>
      <c r="J155" s="496">
        <v>1</v>
      </c>
      <c r="K155" s="496">
        <v>1</v>
      </c>
      <c r="L155" s="496">
        <v>1</v>
      </c>
      <c r="M155" s="496">
        <v>1</v>
      </c>
      <c r="N155" s="496">
        <v>1</v>
      </c>
      <c r="O155" s="496">
        <v>1</v>
      </c>
      <c r="P155" s="496">
        <v>1</v>
      </c>
      <c r="Q155" s="496">
        <v>1</v>
      </c>
      <c r="R155" s="496">
        <v>1</v>
      </c>
      <c r="S155" s="496">
        <v>1</v>
      </c>
      <c r="T155" s="496">
        <v>1</v>
      </c>
      <c r="U155" s="496">
        <v>1</v>
      </c>
      <c r="V155" s="496">
        <v>1</v>
      </c>
      <c r="W155" s="496">
        <v>1</v>
      </c>
      <c r="X155" s="496">
        <v>1</v>
      </c>
      <c r="Y155" s="496">
        <v>1</v>
      </c>
      <c r="Z155" s="496">
        <v>1</v>
      </c>
      <c r="AA155" s="496">
        <v>1</v>
      </c>
      <c r="AB155" s="496">
        <v>1</v>
      </c>
      <c r="AC155" s="496">
        <v>1</v>
      </c>
      <c r="AD155" s="496">
        <v>1</v>
      </c>
      <c r="AE155" s="496">
        <v>1</v>
      </c>
      <c r="AF155" s="496">
        <v>1</v>
      </c>
      <c r="AG155" s="496">
        <v>1</v>
      </c>
      <c r="AH155" s="496">
        <v>1</v>
      </c>
      <c r="AI155" s="496">
        <v>1</v>
      </c>
      <c r="AJ155" s="496">
        <v>1</v>
      </c>
      <c r="AK155" s="496">
        <v>1</v>
      </c>
      <c r="AL155" s="496">
        <v>1</v>
      </c>
      <c r="AM155" s="496">
        <v>1</v>
      </c>
      <c r="AN155" s="496">
        <v>1</v>
      </c>
      <c r="AO155" s="496">
        <v>1</v>
      </c>
      <c r="AP155" s="496">
        <v>1</v>
      </c>
    </row>
    <row r="156" spans="1:44">
      <c r="A156" t="str">
        <f t="shared" si="71"/>
        <v>Geothermal Energy</v>
      </c>
      <c r="C156" t="str">
        <f t="shared" si="68"/>
        <v>R_ES-SH-DH_GEO</v>
      </c>
      <c r="E156" t="str">
        <f t="shared" si="69"/>
        <v>R_ES-DH-SpHeat</v>
      </c>
      <c r="F156" s="496">
        <v>1</v>
      </c>
      <c r="G156" s="496">
        <v>1</v>
      </c>
      <c r="H156" s="496">
        <v>1</v>
      </c>
      <c r="I156" s="496">
        <v>1</v>
      </c>
      <c r="J156" s="496">
        <v>1</v>
      </c>
      <c r="K156" s="496">
        <v>1</v>
      </c>
      <c r="L156" s="496">
        <v>1</v>
      </c>
      <c r="M156" s="496">
        <v>1</v>
      </c>
      <c r="N156" s="496">
        <v>1</v>
      </c>
      <c r="O156" s="496">
        <v>1</v>
      </c>
      <c r="P156" s="496">
        <v>1</v>
      </c>
      <c r="Q156" s="496">
        <v>1</v>
      </c>
      <c r="R156" s="496">
        <v>1</v>
      </c>
      <c r="S156" s="496">
        <v>1</v>
      </c>
      <c r="T156" s="496">
        <v>1</v>
      </c>
      <c r="U156" s="496">
        <v>1</v>
      </c>
      <c r="V156" s="496">
        <v>1</v>
      </c>
      <c r="W156" s="496">
        <v>1</v>
      </c>
      <c r="X156" s="496">
        <v>1</v>
      </c>
      <c r="Y156" s="496">
        <v>1</v>
      </c>
      <c r="Z156" s="496">
        <v>1</v>
      </c>
      <c r="AA156" s="496">
        <v>1</v>
      </c>
      <c r="AB156" s="496">
        <v>1</v>
      </c>
      <c r="AC156" s="496">
        <v>1</v>
      </c>
      <c r="AD156" s="496">
        <v>1</v>
      </c>
      <c r="AE156" s="496">
        <v>1</v>
      </c>
      <c r="AF156" s="496">
        <v>1</v>
      </c>
      <c r="AG156" s="496">
        <v>1</v>
      </c>
      <c r="AH156" s="496">
        <v>1</v>
      </c>
      <c r="AI156" s="496">
        <v>1</v>
      </c>
      <c r="AJ156" s="496">
        <v>1</v>
      </c>
      <c r="AK156" s="496">
        <v>1</v>
      </c>
      <c r="AL156" s="496">
        <v>1</v>
      </c>
      <c r="AM156" s="496">
        <v>1</v>
      </c>
      <c r="AN156" s="496">
        <v>1</v>
      </c>
      <c r="AO156" s="496">
        <v>1</v>
      </c>
      <c r="AP156" s="496">
        <v>1</v>
      </c>
    </row>
    <row r="157" spans="1:44">
      <c r="A157" t="str">
        <f t="shared" si="71"/>
        <v>Electricity</v>
      </c>
      <c r="C157" t="str">
        <f t="shared" si="68"/>
        <v>R_ES-SH-DH-70_ELC-R</v>
      </c>
      <c r="E157" t="str">
        <f t="shared" si="69"/>
        <v>R_ES-DH-70-SpHeat</v>
      </c>
      <c r="F157" s="496">
        <v>1</v>
      </c>
      <c r="G157" s="496">
        <v>1</v>
      </c>
      <c r="H157" s="496">
        <v>1</v>
      </c>
      <c r="I157" s="496">
        <v>1</v>
      </c>
      <c r="J157" s="496">
        <v>1</v>
      </c>
      <c r="K157" s="496">
        <v>1</v>
      </c>
      <c r="L157" s="496">
        <v>1</v>
      </c>
      <c r="M157" s="496">
        <v>1</v>
      </c>
      <c r="N157" s="496">
        <v>1</v>
      </c>
      <c r="O157" s="496">
        <v>1</v>
      </c>
      <c r="P157" s="496">
        <v>1</v>
      </c>
      <c r="Q157" s="496">
        <v>1</v>
      </c>
      <c r="R157" s="496">
        <v>1</v>
      </c>
      <c r="S157" s="496">
        <v>1</v>
      </c>
      <c r="T157" s="496">
        <v>1</v>
      </c>
      <c r="U157" s="496">
        <v>1</v>
      </c>
      <c r="V157" s="496">
        <v>1</v>
      </c>
      <c r="W157" s="496">
        <v>1</v>
      </c>
      <c r="X157" s="496">
        <v>1</v>
      </c>
      <c r="Y157" s="496">
        <v>1</v>
      </c>
      <c r="Z157" s="496">
        <v>1</v>
      </c>
      <c r="AA157" s="496">
        <v>1</v>
      </c>
      <c r="AB157" s="496">
        <v>1</v>
      </c>
      <c r="AC157" s="496">
        <v>1</v>
      </c>
      <c r="AD157" s="496">
        <v>1</v>
      </c>
      <c r="AE157" s="496">
        <v>1</v>
      </c>
      <c r="AF157" s="496">
        <v>1</v>
      </c>
      <c r="AG157" s="496">
        <v>1</v>
      </c>
      <c r="AH157" s="496">
        <v>1</v>
      </c>
      <c r="AI157" s="496">
        <v>1</v>
      </c>
      <c r="AJ157" s="496">
        <v>1</v>
      </c>
      <c r="AK157" s="496">
        <v>1</v>
      </c>
      <c r="AL157" s="496">
        <v>1</v>
      </c>
      <c r="AM157" s="496">
        <v>1</v>
      </c>
      <c r="AN157" s="496">
        <v>1</v>
      </c>
      <c r="AO157" s="496">
        <v>1</v>
      </c>
      <c r="AP157" s="496">
        <v>1</v>
      </c>
    </row>
    <row r="158" spans="1:44">
      <c r="A158" s="819" t="s">
        <v>937</v>
      </c>
      <c r="C158" t="str">
        <f t="shared" ref="C158:C159" si="72">C114</f>
        <v>R_ES-SH-DH-70_ELC-HPA</v>
      </c>
      <c r="E158" t="str">
        <f t="shared" ref="E158:E159" si="73">E114</f>
        <v>R_ES-DH-70-SpHeat</v>
      </c>
      <c r="F158" s="496">
        <v>1</v>
      </c>
      <c r="G158" s="496">
        <v>1</v>
      </c>
      <c r="H158" s="496">
        <v>1</v>
      </c>
      <c r="I158" s="496">
        <v>1</v>
      </c>
      <c r="J158" s="496">
        <v>1</v>
      </c>
      <c r="K158" s="496">
        <v>1</v>
      </c>
      <c r="L158" s="496">
        <v>1</v>
      </c>
      <c r="M158" s="496">
        <v>1</v>
      </c>
      <c r="N158" s="496">
        <v>1</v>
      </c>
      <c r="O158" s="496">
        <v>1</v>
      </c>
      <c r="P158" s="496">
        <v>1</v>
      </c>
      <c r="Q158" s="496">
        <v>1</v>
      </c>
      <c r="R158" s="496">
        <v>1</v>
      </c>
      <c r="S158" s="496">
        <v>1</v>
      </c>
      <c r="T158" s="496">
        <v>1</v>
      </c>
      <c r="U158" s="496">
        <v>1</v>
      </c>
      <c r="V158" s="496">
        <v>1</v>
      </c>
      <c r="W158" s="496">
        <v>1</v>
      </c>
      <c r="X158" s="496">
        <v>1</v>
      </c>
      <c r="Y158" s="496">
        <v>1</v>
      </c>
      <c r="Z158" s="496">
        <v>1</v>
      </c>
      <c r="AA158" s="496">
        <v>1</v>
      </c>
      <c r="AB158" s="496">
        <v>1</v>
      </c>
      <c r="AC158" s="496">
        <v>1</v>
      </c>
      <c r="AD158" s="496">
        <v>1</v>
      </c>
      <c r="AE158" s="496">
        <v>1</v>
      </c>
      <c r="AF158" s="496">
        <v>1</v>
      </c>
      <c r="AG158" s="496">
        <v>1</v>
      </c>
      <c r="AH158" s="496">
        <v>1</v>
      </c>
      <c r="AI158" s="496">
        <v>1</v>
      </c>
      <c r="AJ158" s="496">
        <v>1</v>
      </c>
      <c r="AK158" s="496">
        <v>1</v>
      </c>
      <c r="AL158" s="496">
        <v>1</v>
      </c>
      <c r="AM158" s="496">
        <v>1</v>
      </c>
      <c r="AN158" s="496">
        <v>1</v>
      </c>
      <c r="AO158" s="496">
        <v>1</v>
      </c>
      <c r="AP158" s="496">
        <v>1</v>
      </c>
    </row>
    <row r="159" spans="1:44">
      <c r="A159" s="819" t="s">
        <v>938</v>
      </c>
      <c r="C159" t="str">
        <f t="shared" si="72"/>
        <v>R_ES-SH-DH-70_ELC-HPG</v>
      </c>
      <c r="E159" t="str">
        <f t="shared" si="73"/>
        <v>R_ES-DH-70-SpHeat</v>
      </c>
      <c r="F159" s="496">
        <v>1</v>
      </c>
      <c r="G159" s="496">
        <v>1</v>
      </c>
      <c r="H159" s="496">
        <v>1</v>
      </c>
      <c r="I159" s="496">
        <v>1</v>
      </c>
      <c r="J159" s="496">
        <v>1</v>
      </c>
      <c r="K159" s="496">
        <v>1</v>
      </c>
      <c r="L159" s="496">
        <v>1</v>
      </c>
      <c r="M159" s="496">
        <v>1</v>
      </c>
      <c r="N159" s="496">
        <v>1</v>
      </c>
      <c r="O159" s="496">
        <v>1</v>
      </c>
      <c r="P159" s="496">
        <v>1</v>
      </c>
      <c r="Q159" s="496">
        <v>1</v>
      </c>
      <c r="R159" s="496">
        <v>1</v>
      </c>
      <c r="S159" s="496">
        <v>1</v>
      </c>
      <c r="T159" s="496">
        <v>1</v>
      </c>
      <c r="U159" s="496">
        <v>1</v>
      </c>
      <c r="V159" s="496">
        <v>1</v>
      </c>
      <c r="W159" s="496">
        <v>1</v>
      </c>
      <c r="X159" s="496">
        <v>1</v>
      </c>
      <c r="Y159" s="496">
        <v>1</v>
      </c>
      <c r="Z159" s="496">
        <v>1</v>
      </c>
      <c r="AA159" s="496">
        <v>1</v>
      </c>
      <c r="AB159" s="496">
        <v>1</v>
      </c>
      <c r="AC159" s="496">
        <v>1</v>
      </c>
      <c r="AD159" s="496">
        <v>1</v>
      </c>
      <c r="AE159" s="496">
        <v>1</v>
      </c>
      <c r="AF159" s="496">
        <v>1</v>
      </c>
      <c r="AG159" s="496">
        <v>1</v>
      </c>
      <c r="AH159" s="496">
        <v>1</v>
      </c>
      <c r="AI159" s="496">
        <v>1</v>
      </c>
      <c r="AJ159" s="496">
        <v>1</v>
      </c>
      <c r="AK159" s="496">
        <v>1</v>
      </c>
      <c r="AL159" s="496">
        <v>1</v>
      </c>
      <c r="AM159" s="496">
        <v>1</v>
      </c>
      <c r="AN159" s="496">
        <v>1</v>
      </c>
      <c r="AO159" s="496">
        <v>1</v>
      </c>
      <c r="AP159" s="496">
        <v>1</v>
      </c>
    </row>
    <row r="160" spans="1:44">
      <c r="A160" t="str">
        <f t="shared" ref="A160:A167" si="74">A116</f>
        <v>Gases</v>
      </c>
      <c r="C160" t="str">
        <f t="shared" ref="C160:C176" si="75">C116</f>
        <v>R_ES-SH-DH-70_GAS</v>
      </c>
      <c r="E160" t="str">
        <f t="shared" ref="E160:E176" si="76">E116</f>
        <v>R_ES-DH-70-SpHeat</v>
      </c>
      <c r="F160" s="496">
        <v>1</v>
      </c>
      <c r="G160" s="496">
        <v>1</v>
      </c>
      <c r="H160" s="496">
        <v>1</v>
      </c>
      <c r="I160" s="496">
        <v>1</v>
      </c>
      <c r="J160" s="496">
        <v>1</v>
      </c>
      <c r="K160" s="496">
        <v>1</v>
      </c>
      <c r="L160" s="496">
        <v>1</v>
      </c>
      <c r="M160" s="496">
        <v>1</v>
      </c>
      <c r="N160" s="496">
        <v>1</v>
      </c>
      <c r="O160" s="496">
        <v>1</v>
      </c>
      <c r="P160" s="496">
        <v>1</v>
      </c>
      <c r="Q160" s="496">
        <v>1</v>
      </c>
      <c r="R160" s="496">
        <v>1</v>
      </c>
      <c r="S160" s="496">
        <v>1</v>
      </c>
      <c r="T160" s="496">
        <v>1</v>
      </c>
      <c r="U160" s="496">
        <v>1</v>
      </c>
      <c r="V160" s="496">
        <v>1</v>
      </c>
      <c r="W160" s="496">
        <v>1</v>
      </c>
      <c r="X160" s="496">
        <v>1</v>
      </c>
      <c r="Y160" s="496">
        <v>1</v>
      </c>
      <c r="Z160" s="496">
        <v>1</v>
      </c>
      <c r="AA160" s="496">
        <v>1</v>
      </c>
      <c r="AB160" s="496">
        <v>1</v>
      </c>
      <c r="AC160" s="496">
        <v>1</v>
      </c>
      <c r="AD160" s="496">
        <v>1</v>
      </c>
      <c r="AE160" s="496">
        <v>1</v>
      </c>
      <c r="AF160" s="496">
        <v>1</v>
      </c>
      <c r="AG160" s="496">
        <v>1</v>
      </c>
      <c r="AH160" s="496">
        <v>1</v>
      </c>
      <c r="AI160" s="496">
        <v>1</v>
      </c>
      <c r="AJ160" s="496">
        <v>1</v>
      </c>
      <c r="AK160" s="496">
        <v>1</v>
      </c>
      <c r="AL160" s="496">
        <v>1</v>
      </c>
      <c r="AM160" s="496">
        <v>1</v>
      </c>
      <c r="AN160" s="496">
        <v>1</v>
      </c>
      <c r="AO160" s="496">
        <v>1</v>
      </c>
      <c r="AP160" s="496">
        <v>1</v>
      </c>
    </row>
    <row r="161" spans="1:42">
      <c r="A161" t="str">
        <f t="shared" si="74"/>
        <v>Derived heat</v>
      </c>
      <c r="C161" t="str">
        <f t="shared" si="75"/>
        <v>R_ES-SH-DH-70_HET</v>
      </c>
      <c r="E161" t="str">
        <f t="shared" si="76"/>
        <v>R_ES-DH-70-SpHeat</v>
      </c>
      <c r="F161" s="496">
        <v>1</v>
      </c>
      <c r="G161" s="496">
        <v>1</v>
      </c>
      <c r="H161" s="496">
        <v>1</v>
      </c>
      <c r="I161" s="496">
        <v>1</v>
      </c>
      <c r="J161" s="496">
        <v>1</v>
      </c>
      <c r="K161" s="496">
        <v>1</v>
      </c>
      <c r="L161" s="496">
        <v>1</v>
      </c>
      <c r="M161" s="496">
        <v>1</v>
      </c>
      <c r="N161" s="496">
        <v>1</v>
      </c>
      <c r="O161" s="496">
        <v>1</v>
      </c>
      <c r="P161" s="496">
        <v>1</v>
      </c>
      <c r="Q161" s="496">
        <v>1</v>
      </c>
      <c r="R161" s="496">
        <v>1</v>
      </c>
      <c r="S161" s="496">
        <v>1</v>
      </c>
      <c r="T161" s="496">
        <v>1</v>
      </c>
      <c r="U161" s="496">
        <v>1</v>
      </c>
      <c r="V161" s="496">
        <v>1</v>
      </c>
      <c r="W161" s="496">
        <v>1</v>
      </c>
      <c r="X161" s="496">
        <v>1</v>
      </c>
      <c r="Y161" s="496">
        <v>1</v>
      </c>
      <c r="Z161" s="496">
        <v>1</v>
      </c>
      <c r="AA161" s="496">
        <v>1</v>
      </c>
      <c r="AB161" s="496">
        <v>1</v>
      </c>
      <c r="AC161" s="496">
        <v>1</v>
      </c>
      <c r="AD161" s="496">
        <v>1</v>
      </c>
      <c r="AE161" s="496">
        <v>1</v>
      </c>
      <c r="AF161" s="496">
        <v>1</v>
      </c>
      <c r="AG161" s="496">
        <v>1</v>
      </c>
      <c r="AH161" s="496">
        <v>1</v>
      </c>
      <c r="AI161" s="496">
        <v>1</v>
      </c>
      <c r="AJ161" s="496">
        <v>1</v>
      </c>
      <c r="AK161" s="496">
        <v>1</v>
      </c>
      <c r="AL161" s="496">
        <v>1</v>
      </c>
      <c r="AM161" s="496">
        <v>1</v>
      </c>
      <c r="AN161" s="496">
        <v>1</v>
      </c>
      <c r="AO161" s="496">
        <v>1</v>
      </c>
      <c r="AP161" s="496">
        <v>1</v>
      </c>
    </row>
    <row r="162" spans="1:42">
      <c r="A162" t="str">
        <f t="shared" si="74"/>
        <v>GDO and other liquids (incl. liq. bio.)</v>
      </c>
      <c r="C162" t="str">
        <f t="shared" si="75"/>
        <v>R_ES-SH-DH-70_OIL</v>
      </c>
      <c r="E162" t="str">
        <f t="shared" si="76"/>
        <v>R_ES-DH-70-SpHeat</v>
      </c>
      <c r="F162" s="496">
        <v>1</v>
      </c>
      <c r="G162" s="496">
        <v>1</v>
      </c>
      <c r="H162" s="496">
        <v>1</v>
      </c>
      <c r="I162" s="496">
        <v>1</v>
      </c>
      <c r="J162" s="496">
        <v>1</v>
      </c>
      <c r="K162" s="496">
        <v>1</v>
      </c>
      <c r="L162" s="496">
        <v>1</v>
      </c>
      <c r="M162" s="496">
        <v>1</v>
      </c>
      <c r="N162" s="496">
        <v>1</v>
      </c>
      <c r="O162" s="496">
        <v>1</v>
      </c>
      <c r="P162" s="496">
        <v>1</v>
      </c>
      <c r="Q162" s="496">
        <v>1</v>
      </c>
      <c r="R162" s="496">
        <v>1</v>
      </c>
      <c r="S162" s="496">
        <v>1</v>
      </c>
      <c r="T162" s="496">
        <v>1</v>
      </c>
      <c r="U162" s="496">
        <v>1</v>
      </c>
      <c r="V162" s="496">
        <v>1</v>
      </c>
      <c r="W162" s="496">
        <v>1</v>
      </c>
      <c r="X162" s="496">
        <v>1</v>
      </c>
      <c r="Y162" s="496">
        <v>1</v>
      </c>
      <c r="Z162" s="496">
        <v>1</v>
      </c>
      <c r="AA162" s="496">
        <v>1</v>
      </c>
      <c r="AB162" s="496">
        <v>1</v>
      </c>
      <c r="AC162" s="496">
        <v>1</v>
      </c>
      <c r="AD162" s="496">
        <v>1</v>
      </c>
      <c r="AE162" s="496">
        <v>1</v>
      </c>
      <c r="AF162" s="496">
        <v>1</v>
      </c>
      <c r="AG162" s="496">
        <v>1</v>
      </c>
      <c r="AH162" s="496">
        <v>1</v>
      </c>
      <c r="AI162" s="496">
        <v>1</v>
      </c>
      <c r="AJ162" s="496">
        <v>1</v>
      </c>
      <c r="AK162" s="496">
        <v>1</v>
      </c>
      <c r="AL162" s="496">
        <v>1</v>
      </c>
      <c r="AM162" s="496">
        <v>1</v>
      </c>
      <c r="AN162" s="496">
        <v>1</v>
      </c>
      <c r="AO162" s="496">
        <v>1</v>
      </c>
      <c r="AP162" s="496">
        <v>1</v>
      </c>
    </row>
    <row r="163" spans="1:42">
      <c r="A163" t="str">
        <f t="shared" si="74"/>
        <v>Biomass and wastes</v>
      </c>
      <c r="C163" t="str">
        <f t="shared" si="75"/>
        <v>R_ES-SH-DH-70_BIO</v>
      </c>
      <c r="E163" t="str">
        <f t="shared" si="76"/>
        <v>R_ES-DH-70-SpHeat</v>
      </c>
      <c r="F163" s="496">
        <v>1</v>
      </c>
      <c r="G163" s="496">
        <v>1</v>
      </c>
      <c r="H163" s="496">
        <v>1</v>
      </c>
      <c r="I163" s="496">
        <v>1</v>
      </c>
      <c r="J163" s="496">
        <v>1</v>
      </c>
      <c r="K163" s="496">
        <v>1</v>
      </c>
      <c r="L163" s="496">
        <v>1</v>
      </c>
      <c r="M163" s="496">
        <v>1</v>
      </c>
      <c r="N163" s="496">
        <v>1</v>
      </c>
      <c r="O163" s="496">
        <v>1</v>
      </c>
      <c r="P163" s="496">
        <v>1</v>
      </c>
      <c r="Q163" s="496">
        <v>1</v>
      </c>
      <c r="R163" s="496">
        <v>1</v>
      </c>
      <c r="S163" s="496">
        <v>1</v>
      </c>
      <c r="T163" s="496">
        <v>1</v>
      </c>
      <c r="U163" s="496">
        <v>1</v>
      </c>
      <c r="V163" s="496">
        <v>1</v>
      </c>
      <c r="W163" s="496">
        <v>1</v>
      </c>
      <c r="X163" s="496">
        <v>1</v>
      </c>
      <c r="Y163" s="496">
        <v>1</v>
      </c>
      <c r="Z163" s="496">
        <v>1</v>
      </c>
      <c r="AA163" s="496">
        <v>1</v>
      </c>
      <c r="AB163" s="496">
        <v>1</v>
      </c>
      <c r="AC163" s="496">
        <v>1</v>
      </c>
      <c r="AD163" s="496">
        <v>1</v>
      </c>
      <c r="AE163" s="496">
        <v>1</v>
      </c>
      <c r="AF163" s="496">
        <v>1</v>
      </c>
      <c r="AG163" s="496">
        <v>1</v>
      </c>
      <c r="AH163" s="496">
        <v>1</v>
      </c>
      <c r="AI163" s="496">
        <v>1</v>
      </c>
      <c r="AJ163" s="496">
        <v>1</v>
      </c>
      <c r="AK163" s="496">
        <v>1</v>
      </c>
      <c r="AL163" s="496">
        <v>1</v>
      </c>
      <c r="AM163" s="496">
        <v>1</v>
      </c>
      <c r="AN163" s="496">
        <v>1</v>
      </c>
      <c r="AO163" s="496">
        <v>1</v>
      </c>
      <c r="AP163" s="496">
        <v>1</v>
      </c>
    </row>
    <row r="164" spans="1:42">
      <c r="A164" t="str">
        <f t="shared" si="74"/>
        <v>Solids</v>
      </c>
      <c r="C164" t="str">
        <f t="shared" si="75"/>
        <v>R_ES-SH-DH-70_COA</v>
      </c>
      <c r="E164" t="str">
        <f t="shared" si="76"/>
        <v>R_ES-DH-70-SpHeat</v>
      </c>
      <c r="F164" s="496">
        <v>1</v>
      </c>
      <c r="G164" s="496">
        <v>1</v>
      </c>
      <c r="H164" s="496">
        <v>1</v>
      </c>
      <c r="I164" s="496">
        <v>1</v>
      </c>
      <c r="J164" s="496">
        <v>1</v>
      </c>
      <c r="K164" s="496">
        <v>1</v>
      </c>
      <c r="L164" s="496">
        <v>1</v>
      </c>
      <c r="M164" s="496">
        <v>1</v>
      </c>
      <c r="N164" s="496">
        <v>1</v>
      </c>
      <c r="O164" s="496">
        <v>1</v>
      </c>
      <c r="P164" s="496">
        <v>1</v>
      </c>
      <c r="Q164" s="496">
        <v>1</v>
      </c>
      <c r="R164" s="496">
        <v>1</v>
      </c>
      <c r="S164" s="496">
        <v>1</v>
      </c>
      <c r="T164" s="496">
        <v>1</v>
      </c>
      <c r="U164" s="496">
        <v>1</v>
      </c>
      <c r="V164" s="496">
        <v>1</v>
      </c>
      <c r="W164" s="496">
        <v>1</v>
      </c>
      <c r="X164" s="496">
        <v>1</v>
      </c>
      <c r="Y164" s="496">
        <v>1</v>
      </c>
      <c r="Z164" s="496">
        <v>1</v>
      </c>
      <c r="AA164" s="496">
        <v>1</v>
      </c>
      <c r="AB164" s="496">
        <v>1</v>
      </c>
      <c r="AC164" s="496">
        <v>1</v>
      </c>
      <c r="AD164" s="496">
        <v>1</v>
      </c>
      <c r="AE164" s="496">
        <v>1</v>
      </c>
      <c r="AF164" s="496">
        <v>1</v>
      </c>
      <c r="AG164" s="496">
        <v>1</v>
      </c>
      <c r="AH164" s="496">
        <v>1</v>
      </c>
      <c r="AI164" s="496">
        <v>1</v>
      </c>
      <c r="AJ164" s="496">
        <v>1</v>
      </c>
      <c r="AK164" s="496">
        <v>1</v>
      </c>
      <c r="AL164" s="496">
        <v>1</v>
      </c>
      <c r="AM164" s="496">
        <v>1</v>
      </c>
      <c r="AN164" s="496">
        <v>1</v>
      </c>
      <c r="AO164" s="496">
        <v>1</v>
      </c>
      <c r="AP164" s="496">
        <v>1</v>
      </c>
    </row>
    <row r="165" spans="1:42">
      <c r="A165" t="str">
        <f t="shared" si="74"/>
        <v>LPG</v>
      </c>
      <c r="C165" t="str">
        <f t="shared" si="75"/>
        <v>R_ES-SH-DH-70_LPG</v>
      </c>
      <c r="E165" t="str">
        <f t="shared" si="76"/>
        <v>R_ES-DH-70-SpHeat</v>
      </c>
      <c r="F165" s="496">
        <v>1</v>
      </c>
      <c r="G165" s="496">
        <v>1</v>
      </c>
      <c r="H165" s="496">
        <v>1</v>
      </c>
      <c r="I165" s="496">
        <v>1</v>
      </c>
      <c r="J165" s="496">
        <v>1</v>
      </c>
      <c r="K165" s="496">
        <v>1</v>
      </c>
      <c r="L165" s="496">
        <v>1</v>
      </c>
      <c r="M165" s="496">
        <v>1</v>
      </c>
      <c r="N165" s="496">
        <v>1</v>
      </c>
      <c r="O165" s="496">
        <v>1</v>
      </c>
      <c r="P165" s="496">
        <v>1</v>
      </c>
      <c r="Q165" s="496">
        <v>1</v>
      </c>
      <c r="R165" s="496">
        <v>1</v>
      </c>
      <c r="S165" s="496">
        <v>1</v>
      </c>
      <c r="T165" s="496">
        <v>1</v>
      </c>
      <c r="U165" s="496">
        <v>1</v>
      </c>
      <c r="V165" s="496">
        <v>1</v>
      </c>
      <c r="W165" s="496">
        <v>1</v>
      </c>
      <c r="X165" s="496">
        <v>1</v>
      </c>
      <c r="Y165" s="496">
        <v>1</v>
      </c>
      <c r="Z165" s="496">
        <v>1</v>
      </c>
      <c r="AA165" s="496">
        <v>1</v>
      </c>
      <c r="AB165" s="496">
        <v>1</v>
      </c>
      <c r="AC165" s="496">
        <v>1</v>
      </c>
      <c r="AD165" s="496">
        <v>1</v>
      </c>
      <c r="AE165" s="496">
        <v>1</v>
      </c>
      <c r="AF165" s="496">
        <v>1</v>
      </c>
      <c r="AG165" s="496">
        <v>1</v>
      </c>
      <c r="AH165" s="496">
        <v>1</v>
      </c>
      <c r="AI165" s="496">
        <v>1</v>
      </c>
      <c r="AJ165" s="496">
        <v>1</v>
      </c>
      <c r="AK165" s="496">
        <v>1</v>
      </c>
      <c r="AL165" s="496">
        <v>1</v>
      </c>
      <c r="AM165" s="496">
        <v>1</v>
      </c>
      <c r="AN165" s="496">
        <v>1</v>
      </c>
      <c r="AO165" s="496">
        <v>1</v>
      </c>
      <c r="AP165" s="496">
        <v>1</v>
      </c>
    </row>
    <row r="166" spans="1:42">
      <c r="A166" t="str">
        <f t="shared" si="74"/>
        <v>Geothermal Energy</v>
      </c>
      <c r="C166" t="str">
        <f t="shared" si="75"/>
        <v>R_ES-SH-DH-70_GEO</v>
      </c>
      <c r="E166" t="str">
        <f t="shared" si="76"/>
        <v>R_ES-DH-70-SpHeat</v>
      </c>
      <c r="F166" s="496">
        <v>1</v>
      </c>
      <c r="G166" s="496">
        <v>1</v>
      </c>
      <c r="H166" s="496">
        <v>1</v>
      </c>
      <c r="I166" s="496">
        <v>1</v>
      </c>
      <c r="J166" s="496">
        <v>1</v>
      </c>
      <c r="K166" s="496">
        <v>1</v>
      </c>
      <c r="L166" s="496">
        <v>1</v>
      </c>
      <c r="M166" s="496">
        <v>1</v>
      </c>
      <c r="N166" s="496">
        <v>1</v>
      </c>
      <c r="O166" s="496">
        <v>1</v>
      </c>
      <c r="P166" s="496">
        <v>1</v>
      </c>
      <c r="Q166" s="496">
        <v>1</v>
      </c>
      <c r="R166" s="496">
        <v>1</v>
      </c>
      <c r="S166" s="496">
        <v>1</v>
      </c>
      <c r="T166" s="496">
        <v>1</v>
      </c>
      <c r="U166" s="496">
        <v>1</v>
      </c>
      <c r="V166" s="496">
        <v>1</v>
      </c>
      <c r="W166" s="496">
        <v>1</v>
      </c>
      <c r="X166" s="496">
        <v>1</v>
      </c>
      <c r="Y166" s="496">
        <v>1</v>
      </c>
      <c r="Z166" s="496">
        <v>1</v>
      </c>
      <c r="AA166" s="496">
        <v>1</v>
      </c>
      <c r="AB166" s="496">
        <v>1</v>
      </c>
      <c r="AC166" s="496">
        <v>1</v>
      </c>
      <c r="AD166" s="496">
        <v>1</v>
      </c>
      <c r="AE166" s="496">
        <v>1</v>
      </c>
      <c r="AF166" s="496">
        <v>1</v>
      </c>
      <c r="AG166" s="496">
        <v>1</v>
      </c>
      <c r="AH166" s="496">
        <v>1</v>
      </c>
      <c r="AI166" s="496">
        <v>1</v>
      </c>
      <c r="AJ166" s="496">
        <v>1</v>
      </c>
      <c r="AK166" s="496">
        <v>1</v>
      </c>
      <c r="AL166" s="496">
        <v>1</v>
      </c>
      <c r="AM166" s="496">
        <v>1</v>
      </c>
      <c r="AN166" s="496">
        <v>1</v>
      </c>
      <c r="AO166" s="496">
        <v>1</v>
      </c>
      <c r="AP166" s="496">
        <v>1</v>
      </c>
    </row>
    <row r="167" spans="1:42">
      <c r="A167" t="str">
        <f t="shared" si="74"/>
        <v>Electricity</v>
      </c>
      <c r="C167" t="str">
        <f t="shared" si="75"/>
        <v>R_ES-SH-SD_ELC-R</v>
      </c>
      <c r="E167" t="str">
        <f t="shared" si="76"/>
        <v>R_ES-SD-SpHeat</v>
      </c>
      <c r="F167" s="496">
        <v>1</v>
      </c>
      <c r="G167" s="496">
        <v>1</v>
      </c>
      <c r="H167" s="496">
        <v>1</v>
      </c>
      <c r="I167" s="496">
        <v>1</v>
      </c>
      <c r="J167" s="496">
        <v>1</v>
      </c>
      <c r="K167" s="496">
        <v>1</v>
      </c>
      <c r="L167" s="496">
        <v>1</v>
      </c>
      <c r="M167" s="496">
        <v>1</v>
      </c>
      <c r="N167" s="496">
        <v>1</v>
      </c>
      <c r="O167" s="496">
        <v>1</v>
      </c>
      <c r="P167" s="496">
        <v>1</v>
      </c>
      <c r="Q167" s="496">
        <v>1</v>
      </c>
      <c r="R167" s="496">
        <v>1</v>
      </c>
      <c r="S167" s="496">
        <v>1</v>
      </c>
      <c r="T167" s="496">
        <v>1</v>
      </c>
      <c r="U167" s="496">
        <v>1</v>
      </c>
      <c r="V167" s="496">
        <v>1</v>
      </c>
      <c r="W167" s="496">
        <v>1</v>
      </c>
      <c r="X167" s="496">
        <v>1</v>
      </c>
      <c r="Y167" s="496">
        <v>1</v>
      </c>
      <c r="Z167" s="496">
        <v>1</v>
      </c>
      <c r="AA167" s="496">
        <v>1</v>
      </c>
      <c r="AB167" s="496">
        <v>1</v>
      </c>
      <c r="AC167" s="496">
        <v>1</v>
      </c>
      <c r="AD167" s="496">
        <v>1</v>
      </c>
      <c r="AE167" s="496">
        <v>1</v>
      </c>
      <c r="AF167" s="496">
        <v>1</v>
      </c>
      <c r="AG167" s="496">
        <v>1</v>
      </c>
      <c r="AH167" s="496">
        <v>1</v>
      </c>
      <c r="AI167" s="496">
        <v>1</v>
      </c>
      <c r="AJ167" s="496">
        <v>1</v>
      </c>
      <c r="AK167" s="496">
        <v>1</v>
      </c>
      <c r="AL167" s="496">
        <v>1</v>
      </c>
      <c r="AM167" s="496">
        <v>1</v>
      </c>
      <c r="AN167" s="496">
        <v>1</v>
      </c>
      <c r="AO167" s="496">
        <v>1</v>
      </c>
      <c r="AP167" s="496">
        <v>1</v>
      </c>
    </row>
    <row r="168" spans="1:42">
      <c r="A168" s="819" t="s">
        <v>937</v>
      </c>
      <c r="C168" t="str">
        <f t="shared" si="75"/>
        <v>R_ES-SH-SD_ELC-HPA</v>
      </c>
      <c r="E168" t="str">
        <f t="shared" si="76"/>
        <v>R_ES-SD-SpHeat</v>
      </c>
      <c r="F168" s="496">
        <v>1</v>
      </c>
      <c r="G168" s="496">
        <v>1</v>
      </c>
      <c r="H168" s="496">
        <v>1</v>
      </c>
      <c r="I168" s="496">
        <v>1</v>
      </c>
      <c r="J168" s="496">
        <v>1</v>
      </c>
      <c r="K168" s="496">
        <v>1</v>
      </c>
      <c r="L168" s="496">
        <v>1</v>
      </c>
      <c r="M168" s="496">
        <v>1</v>
      </c>
      <c r="N168" s="496">
        <v>1</v>
      </c>
      <c r="O168" s="496">
        <v>1</v>
      </c>
      <c r="P168" s="496">
        <v>1</v>
      </c>
      <c r="Q168" s="496">
        <v>1</v>
      </c>
      <c r="R168" s="496">
        <v>1</v>
      </c>
      <c r="S168" s="496">
        <v>1</v>
      </c>
      <c r="T168" s="496">
        <v>1</v>
      </c>
      <c r="U168" s="496">
        <v>1</v>
      </c>
      <c r="V168" s="496">
        <v>1</v>
      </c>
      <c r="W168" s="496">
        <v>1</v>
      </c>
      <c r="X168" s="496">
        <v>1</v>
      </c>
      <c r="Y168" s="496">
        <v>1</v>
      </c>
      <c r="Z168" s="496">
        <v>1</v>
      </c>
      <c r="AA168" s="496">
        <v>1</v>
      </c>
      <c r="AB168" s="496">
        <v>1</v>
      </c>
      <c r="AC168" s="496">
        <v>1</v>
      </c>
      <c r="AD168" s="496">
        <v>1</v>
      </c>
      <c r="AE168" s="496">
        <v>1</v>
      </c>
      <c r="AF168" s="496">
        <v>1</v>
      </c>
      <c r="AG168" s="496">
        <v>1</v>
      </c>
      <c r="AH168" s="496">
        <v>1</v>
      </c>
      <c r="AI168" s="496">
        <v>1</v>
      </c>
      <c r="AJ168" s="496">
        <v>1</v>
      </c>
      <c r="AK168" s="496">
        <v>1</v>
      </c>
      <c r="AL168" s="496">
        <v>1</v>
      </c>
      <c r="AM168" s="496">
        <v>1</v>
      </c>
      <c r="AN168" s="496">
        <v>1</v>
      </c>
      <c r="AO168" s="496">
        <v>1</v>
      </c>
      <c r="AP168" s="496">
        <v>1</v>
      </c>
    </row>
    <row r="169" spans="1:42">
      <c r="A169" s="819" t="s">
        <v>938</v>
      </c>
      <c r="C169" t="str">
        <f t="shared" si="75"/>
        <v>R_ES-SH-SD_ELC-HPG</v>
      </c>
      <c r="E169" t="str">
        <f t="shared" si="76"/>
        <v>R_ES-SD-SpHeat</v>
      </c>
      <c r="F169" s="496">
        <v>1</v>
      </c>
      <c r="G169" s="496">
        <v>1</v>
      </c>
      <c r="H169" s="496">
        <v>1</v>
      </c>
      <c r="I169" s="496">
        <v>1</v>
      </c>
      <c r="J169" s="496">
        <v>1</v>
      </c>
      <c r="K169" s="496">
        <v>1</v>
      </c>
      <c r="L169" s="496">
        <v>1</v>
      </c>
      <c r="M169" s="496">
        <v>1</v>
      </c>
      <c r="N169" s="496">
        <v>1</v>
      </c>
      <c r="O169" s="496">
        <v>1</v>
      </c>
      <c r="P169" s="496">
        <v>1</v>
      </c>
      <c r="Q169" s="496">
        <v>1</v>
      </c>
      <c r="R169" s="496">
        <v>1</v>
      </c>
      <c r="S169" s="496">
        <v>1</v>
      </c>
      <c r="T169" s="496">
        <v>1</v>
      </c>
      <c r="U169" s="496">
        <v>1</v>
      </c>
      <c r="V169" s="496">
        <v>1</v>
      </c>
      <c r="W169" s="496">
        <v>1</v>
      </c>
      <c r="X169" s="496">
        <v>1</v>
      </c>
      <c r="Y169" s="496">
        <v>1</v>
      </c>
      <c r="Z169" s="496">
        <v>1</v>
      </c>
      <c r="AA169" s="496">
        <v>1</v>
      </c>
      <c r="AB169" s="496">
        <v>1</v>
      </c>
      <c r="AC169" s="496">
        <v>1</v>
      </c>
      <c r="AD169" s="496">
        <v>1</v>
      </c>
      <c r="AE169" s="496">
        <v>1</v>
      </c>
      <c r="AF169" s="496">
        <v>1</v>
      </c>
      <c r="AG169" s="496">
        <v>1</v>
      </c>
      <c r="AH169" s="496">
        <v>1</v>
      </c>
      <c r="AI169" s="496">
        <v>1</v>
      </c>
      <c r="AJ169" s="496">
        <v>1</v>
      </c>
      <c r="AK169" s="496">
        <v>1</v>
      </c>
      <c r="AL169" s="496">
        <v>1</v>
      </c>
      <c r="AM169" s="496">
        <v>1</v>
      </c>
      <c r="AN169" s="496">
        <v>1</v>
      </c>
      <c r="AO169" s="496">
        <v>1</v>
      </c>
      <c r="AP169" s="496">
        <v>1</v>
      </c>
    </row>
    <row r="170" spans="1:42">
      <c r="A170" t="str">
        <f t="shared" ref="A170:A176" si="77">A126</f>
        <v>Gases</v>
      </c>
      <c r="C170" t="str">
        <f t="shared" si="75"/>
        <v>R_ES-SH-SD_GAS</v>
      </c>
      <c r="E170" t="str">
        <f t="shared" si="76"/>
        <v>R_ES-SD-SpHeat</v>
      </c>
      <c r="F170" s="496">
        <v>1</v>
      </c>
      <c r="G170" s="496">
        <v>1</v>
      </c>
      <c r="H170" s="496">
        <v>1</v>
      </c>
      <c r="I170" s="496">
        <v>1</v>
      </c>
      <c r="J170" s="496">
        <v>1</v>
      </c>
      <c r="K170" s="496">
        <v>1</v>
      </c>
      <c r="L170" s="496">
        <v>1</v>
      </c>
      <c r="M170" s="496">
        <v>1</v>
      </c>
      <c r="N170" s="496">
        <v>1</v>
      </c>
      <c r="O170" s="496">
        <v>1</v>
      </c>
      <c r="P170" s="496">
        <v>1</v>
      </c>
      <c r="Q170" s="496">
        <v>1</v>
      </c>
      <c r="R170" s="496">
        <v>1</v>
      </c>
      <c r="S170" s="496">
        <v>1</v>
      </c>
      <c r="T170" s="496">
        <v>1</v>
      </c>
      <c r="U170" s="496">
        <v>1</v>
      </c>
      <c r="V170" s="496">
        <v>1</v>
      </c>
      <c r="W170" s="496">
        <v>1</v>
      </c>
      <c r="X170" s="496">
        <v>1</v>
      </c>
      <c r="Y170" s="496">
        <v>1</v>
      </c>
      <c r="Z170" s="496">
        <v>1</v>
      </c>
      <c r="AA170" s="496">
        <v>1</v>
      </c>
      <c r="AB170" s="496">
        <v>1</v>
      </c>
      <c r="AC170" s="496">
        <v>1</v>
      </c>
      <c r="AD170" s="496">
        <v>1</v>
      </c>
      <c r="AE170" s="496">
        <v>1</v>
      </c>
      <c r="AF170" s="496">
        <v>1</v>
      </c>
      <c r="AG170" s="496">
        <v>1</v>
      </c>
      <c r="AH170" s="496">
        <v>1</v>
      </c>
      <c r="AI170" s="496">
        <v>1</v>
      </c>
      <c r="AJ170" s="496">
        <v>1</v>
      </c>
      <c r="AK170" s="496">
        <v>1</v>
      </c>
      <c r="AL170" s="496">
        <v>1</v>
      </c>
      <c r="AM170" s="496">
        <v>1</v>
      </c>
      <c r="AN170" s="496">
        <v>1</v>
      </c>
      <c r="AO170" s="496">
        <v>1</v>
      </c>
      <c r="AP170" s="496">
        <v>1</v>
      </c>
    </row>
    <row r="171" spans="1:42">
      <c r="A171" t="str">
        <f t="shared" si="77"/>
        <v>Derived heat</v>
      </c>
      <c r="C171" t="str">
        <f t="shared" si="75"/>
        <v>R_ES-SH-SD_HET</v>
      </c>
      <c r="E171" t="str">
        <f t="shared" si="76"/>
        <v>R_ES-SD-SpHeat</v>
      </c>
      <c r="F171" s="496">
        <v>1</v>
      </c>
      <c r="G171" s="496">
        <v>1</v>
      </c>
      <c r="H171" s="496">
        <v>1</v>
      </c>
      <c r="I171" s="496">
        <v>1</v>
      </c>
      <c r="J171" s="496">
        <v>1</v>
      </c>
      <c r="K171" s="496">
        <v>1</v>
      </c>
      <c r="L171" s="496">
        <v>1</v>
      </c>
      <c r="M171" s="496">
        <v>1</v>
      </c>
      <c r="N171" s="496">
        <v>1</v>
      </c>
      <c r="O171" s="496">
        <v>1</v>
      </c>
      <c r="P171" s="496">
        <v>1</v>
      </c>
      <c r="Q171" s="496">
        <v>1</v>
      </c>
      <c r="R171" s="496">
        <v>1</v>
      </c>
      <c r="S171" s="496">
        <v>1</v>
      </c>
      <c r="T171" s="496">
        <v>1</v>
      </c>
      <c r="U171" s="496">
        <v>1</v>
      </c>
      <c r="V171" s="496">
        <v>1</v>
      </c>
      <c r="W171" s="496">
        <v>1</v>
      </c>
      <c r="X171" s="496">
        <v>1</v>
      </c>
      <c r="Y171" s="496">
        <v>1</v>
      </c>
      <c r="Z171" s="496">
        <v>1</v>
      </c>
      <c r="AA171" s="496">
        <v>1</v>
      </c>
      <c r="AB171" s="496">
        <v>1</v>
      </c>
      <c r="AC171" s="496">
        <v>1</v>
      </c>
      <c r="AD171" s="496">
        <v>1</v>
      </c>
      <c r="AE171" s="496">
        <v>1</v>
      </c>
      <c r="AF171" s="496">
        <v>1</v>
      </c>
      <c r="AG171" s="496">
        <v>1</v>
      </c>
      <c r="AH171" s="496">
        <v>1</v>
      </c>
      <c r="AI171" s="496">
        <v>1</v>
      </c>
      <c r="AJ171" s="496">
        <v>1</v>
      </c>
      <c r="AK171" s="496">
        <v>1</v>
      </c>
      <c r="AL171" s="496">
        <v>1</v>
      </c>
      <c r="AM171" s="496">
        <v>1</v>
      </c>
      <c r="AN171" s="496">
        <v>1</v>
      </c>
      <c r="AO171" s="496">
        <v>1</v>
      </c>
      <c r="AP171" s="496">
        <v>1</v>
      </c>
    </row>
    <row r="172" spans="1:42">
      <c r="A172" t="str">
        <f t="shared" si="77"/>
        <v>GDO and other liquids (incl. liq. bio.)</v>
      </c>
      <c r="C172" t="str">
        <f t="shared" si="75"/>
        <v>R_ES-SH-SD_OIL</v>
      </c>
      <c r="E172" t="str">
        <f t="shared" si="76"/>
        <v>R_ES-SD-SpHeat</v>
      </c>
      <c r="F172" s="496">
        <v>1</v>
      </c>
      <c r="G172" s="496">
        <v>1</v>
      </c>
      <c r="H172" s="496">
        <v>1</v>
      </c>
      <c r="I172" s="496">
        <v>1</v>
      </c>
      <c r="J172" s="496">
        <v>1</v>
      </c>
      <c r="K172" s="496">
        <v>1</v>
      </c>
      <c r="L172" s="496">
        <v>1</v>
      </c>
      <c r="M172" s="496">
        <v>1</v>
      </c>
      <c r="N172" s="496">
        <v>1</v>
      </c>
      <c r="O172" s="496">
        <v>1</v>
      </c>
      <c r="P172" s="496">
        <v>1</v>
      </c>
      <c r="Q172" s="496">
        <v>1</v>
      </c>
      <c r="R172" s="496">
        <v>1</v>
      </c>
      <c r="S172" s="496">
        <v>1</v>
      </c>
      <c r="T172" s="496">
        <v>1</v>
      </c>
      <c r="U172" s="496">
        <v>1</v>
      </c>
      <c r="V172" s="496">
        <v>1</v>
      </c>
      <c r="W172" s="496">
        <v>1</v>
      </c>
      <c r="X172" s="496">
        <v>1</v>
      </c>
      <c r="Y172" s="496">
        <v>1</v>
      </c>
      <c r="Z172" s="496">
        <v>1</v>
      </c>
      <c r="AA172" s="496">
        <v>1</v>
      </c>
      <c r="AB172" s="496">
        <v>1</v>
      </c>
      <c r="AC172" s="496">
        <v>1</v>
      </c>
      <c r="AD172" s="496">
        <v>1</v>
      </c>
      <c r="AE172" s="496">
        <v>1</v>
      </c>
      <c r="AF172" s="496">
        <v>1</v>
      </c>
      <c r="AG172" s="496">
        <v>1</v>
      </c>
      <c r="AH172" s="496">
        <v>1</v>
      </c>
      <c r="AI172" s="496">
        <v>1</v>
      </c>
      <c r="AJ172" s="496">
        <v>1</v>
      </c>
      <c r="AK172" s="496">
        <v>1</v>
      </c>
      <c r="AL172" s="496">
        <v>1</v>
      </c>
      <c r="AM172" s="496">
        <v>1</v>
      </c>
      <c r="AN172" s="496">
        <v>1</v>
      </c>
      <c r="AO172" s="496">
        <v>1</v>
      </c>
      <c r="AP172" s="496">
        <v>1</v>
      </c>
    </row>
    <row r="173" spans="1:42">
      <c r="A173" t="str">
        <f t="shared" si="77"/>
        <v>Biomass and wastes</v>
      </c>
      <c r="C173" t="str">
        <f t="shared" si="75"/>
        <v>R_ES-SH-SD_BIO</v>
      </c>
      <c r="E173" t="str">
        <f t="shared" si="76"/>
        <v>R_ES-SD-SpHeat</v>
      </c>
      <c r="F173" s="496">
        <v>1</v>
      </c>
      <c r="G173" s="496">
        <v>1</v>
      </c>
      <c r="H173" s="496">
        <v>1</v>
      </c>
      <c r="I173" s="496">
        <v>1</v>
      </c>
      <c r="J173" s="496">
        <v>1</v>
      </c>
      <c r="K173" s="496">
        <v>1</v>
      </c>
      <c r="L173" s="496">
        <v>1</v>
      </c>
      <c r="M173" s="496">
        <v>1</v>
      </c>
      <c r="N173" s="496">
        <v>1</v>
      </c>
      <c r="O173" s="496">
        <v>1</v>
      </c>
      <c r="P173" s="496">
        <v>1</v>
      </c>
      <c r="Q173" s="496">
        <v>1</v>
      </c>
      <c r="R173" s="496">
        <v>1</v>
      </c>
      <c r="S173" s="496">
        <v>1</v>
      </c>
      <c r="T173" s="496">
        <v>1</v>
      </c>
      <c r="U173" s="496">
        <v>1</v>
      </c>
      <c r="V173" s="496">
        <v>1</v>
      </c>
      <c r="W173" s="496">
        <v>1</v>
      </c>
      <c r="X173" s="496">
        <v>1</v>
      </c>
      <c r="Y173" s="496">
        <v>1</v>
      </c>
      <c r="Z173" s="496">
        <v>1</v>
      </c>
      <c r="AA173" s="496">
        <v>1</v>
      </c>
      <c r="AB173" s="496">
        <v>1</v>
      </c>
      <c r="AC173" s="496">
        <v>1</v>
      </c>
      <c r="AD173" s="496">
        <v>1</v>
      </c>
      <c r="AE173" s="496">
        <v>1</v>
      </c>
      <c r="AF173" s="496">
        <v>1</v>
      </c>
      <c r="AG173" s="496">
        <v>1</v>
      </c>
      <c r="AH173" s="496">
        <v>1</v>
      </c>
      <c r="AI173" s="496">
        <v>1</v>
      </c>
      <c r="AJ173" s="496">
        <v>1</v>
      </c>
      <c r="AK173" s="496">
        <v>1</v>
      </c>
      <c r="AL173" s="496">
        <v>1</v>
      </c>
      <c r="AM173" s="496">
        <v>1</v>
      </c>
      <c r="AN173" s="496">
        <v>1</v>
      </c>
      <c r="AO173" s="496">
        <v>1</v>
      </c>
      <c r="AP173" s="496">
        <v>1</v>
      </c>
    </row>
    <row r="174" spans="1:42">
      <c r="A174" t="str">
        <f t="shared" si="77"/>
        <v>Solids</v>
      </c>
      <c r="C174" t="str">
        <f t="shared" si="75"/>
        <v>R_ES-SH-SD_COA</v>
      </c>
      <c r="E174" t="str">
        <f t="shared" si="76"/>
        <v>R_ES-SD-SpHeat</v>
      </c>
      <c r="F174" s="496">
        <v>1</v>
      </c>
      <c r="G174" s="496">
        <v>1</v>
      </c>
      <c r="H174" s="496">
        <v>1</v>
      </c>
      <c r="I174" s="496">
        <v>1</v>
      </c>
      <c r="J174" s="496">
        <v>1</v>
      </c>
      <c r="K174" s="496">
        <v>1</v>
      </c>
      <c r="L174" s="496">
        <v>1</v>
      </c>
      <c r="M174" s="496">
        <v>1</v>
      </c>
      <c r="N174" s="496">
        <v>1</v>
      </c>
      <c r="O174" s="496">
        <v>1</v>
      </c>
      <c r="P174" s="496">
        <v>1</v>
      </c>
      <c r="Q174" s="496">
        <v>1</v>
      </c>
      <c r="R174" s="496">
        <v>1</v>
      </c>
      <c r="S174" s="496">
        <v>1</v>
      </c>
      <c r="T174" s="496">
        <v>1</v>
      </c>
      <c r="U174" s="496">
        <v>1</v>
      </c>
      <c r="V174" s="496">
        <v>1</v>
      </c>
      <c r="W174" s="496">
        <v>1</v>
      </c>
      <c r="X174" s="496">
        <v>1</v>
      </c>
      <c r="Y174" s="496">
        <v>1</v>
      </c>
      <c r="Z174" s="496">
        <v>1</v>
      </c>
      <c r="AA174" s="496">
        <v>1</v>
      </c>
      <c r="AB174" s="496">
        <v>1</v>
      </c>
      <c r="AC174" s="496">
        <v>1</v>
      </c>
      <c r="AD174" s="496">
        <v>1</v>
      </c>
      <c r="AE174" s="496">
        <v>1</v>
      </c>
      <c r="AF174" s="496">
        <v>1</v>
      </c>
      <c r="AG174" s="496">
        <v>1</v>
      </c>
      <c r="AH174" s="496">
        <v>1</v>
      </c>
      <c r="AI174" s="496">
        <v>1</v>
      </c>
      <c r="AJ174" s="496">
        <v>1</v>
      </c>
      <c r="AK174" s="496">
        <v>1</v>
      </c>
      <c r="AL174" s="496">
        <v>1</v>
      </c>
      <c r="AM174" s="496">
        <v>1</v>
      </c>
      <c r="AN174" s="496">
        <v>1</v>
      </c>
      <c r="AO174" s="496">
        <v>1</v>
      </c>
      <c r="AP174" s="496">
        <v>1</v>
      </c>
    </row>
    <row r="175" spans="1:42">
      <c r="A175" t="str">
        <f t="shared" si="77"/>
        <v>LPG</v>
      </c>
      <c r="C175" t="str">
        <f t="shared" si="75"/>
        <v>R_ES-SH-SD_LPG</v>
      </c>
      <c r="E175" t="str">
        <f t="shared" si="76"/>
        <v>R_ES-SD-SpHeat</v>
      </c>
      <c r="F175" s="496">
        <v>1</v>
      </c>
      <c r="G175" s="496">
        <v>1</v>
      </c>
      <c r="H175" s="496">
        <v>1</v>
      </c>
      <c r="I175" s="496">
        <v>1</v>
      </c>
      <c r="J175" s="496">
        <v>1</v>
      </c>
      <c r="K175" s="496">
        <v>1</v>
      </c>
      <c r="L175" s="496">
        <v>1</v>
      </c>
      <c r="M175" s="496">
        <v>1</v>
      </c>
      <c r="N175" s="496">
        <v>1</v>
      </c>
      <c r="O175" s="496">
        <v>1</v>
      </c>
      <c r="P175" s="496">
        <v>1</v>
      </c>
      <c r="Q175" s="496">
        <v>1</v>
      </c>
      <c r="R175" s="496">
        <v>1</v>
      </c>
      <c r="S175" s="496">
        <v>1</v>
      </c>
      <c r="T175" s="496">
        <v>1</v>
      </c>
      <c r="U175" s="496">
        <v>1</v>
      </c>
      <c r="V175" s="496">
        <v>1</v>
      </c>
      <c r="W175" s="496">
        <v>1</v>
      </c>
      <c r="X175" s="496">
        <v>1</v>
      </c>
      <c r="Y175" s="496">
        <v>1</v>
      </c>
      <c r="Z175" s="496">
        <v>1</v>
      </c>
      <c r="AA175" s="496">
        <v>1</v>
      </c>
      <c r="AB175" s="496">
        <v>1</v>
      </c>
      <c r="AC175" s="496">
        <v>1</v>
      </c>
      <c r="AD175" s="496">
        <v>1</v>
      </c>
      <c r="AE175" s="496">
        <v>1</v>
      </c>
      <c r="AF175" s="496">
        <v>1</v>
      </c>
      <c r="AG175" s="496">
        <v>1</v>
      </c>
      <c r="AH175" s="496">
        <v>1</v>
      </c>
      <c r="AI175" s="496">
        <v>1</v>
      </c>
      <c r="AJ175" s="496">
        <v>1</v>
      </c>
      <c r="AK175" s="496">
        <v>1</v>
      </c>
      <c r="AL175" s="496">
        <v>1</v>
      </c>
      <c r="AM175" s="496">
        <v>1</v>
      </c>
      <c r="AN175" s="496">
        <v>1</v>
      </c>
      <c r="AO175" s="496">
        <v>1</v>
      </c>
      <c r="AP175" s="496">
        <v>1</v>
      </c>
    </row>
    <row r="176" spans="1:42">
      <c r="A176" t="str">
        <f t="shared" si="77"/>
        <v>Geothermal Energy</v>
      </c>
      <c r="C176" t="str">
        <f t="shared" si="75"/>
        <v>R_ES-SH-SD_GEO</v>
      </c>
      <c r="E176" t="str">
        <f t="shared" si="76"/>
        <v>R_ES-SD-SpHeat</v>
      </c>
      <c r="F176" s="496">
        <v>1</v>
      </c>
      <c r="G176" s="496">
        <v>1</v>
      </c>
      <c r="H176" s="496">
        <v>1</v>
      </c>
      <c r="I176" s="496">
        <v>1</v>
      </c>
      <c r="J176" s="496">
        <v>1</v>
      </c>
      <c r="K176" s="496">
        <v>1</v>
      </c>
      <c r="L176" s="496">
        <v>1</v>
      </c>
      <c r="M176" s="496">
        <v>1</v>
      </c>
      <c r="N176" s="496">
        <v>1</v>
      </c>
      <c r="O176" s="496">
        <v>1</v>
      </c>
      <c r="P176" s="496">
        <v>1</v>
      </c>
      <c r="Q176" s="496">
        <v>1</v>
      </c>
      <c r="R176" s="496">
        <v>1</v>
      </c>
      <c r="S176" s="496">
        <v>1</v>
      </c>
      <c r="T176" s="496">
        <v>1</v>
      </c>
      <c r="U176" s="496">
        <v>1</v>
      </c>
      <c r="V176" s="496">
        <v>1</v>
      </c>
      <c r="W176" s="496">
        <v>1</v>
      </c>
      <c r="X176" s="496">
        <v>1</v>
      </c>
      <c r="Y176" s="496">
        <v>1</v>
      </c>
      <c r="Z176" s="496">
        <v>1</v>
      </c>
      <c r="AA176" s="496">
        <v>1</v>
      </c>
      <c r="AB176" s="496">
        <v>1</v>
      </c>
      <c r="AC176" s="496">
        <v>1</v>
      </c>
      <c r="AD176" s="496">
        <v>1</v>
      </c>
      <c r="AE176" s="496">
        <v>1</v>
      </c>
      <c r="AF176" s="496">
        <v>1</v>
      </c>
      <c r="AG176" s="496">
        <v>1</v>
      </c>
      <c r="AH176" s="496">
        <v>1</v>
      </c>
      <c r="AI176" s="496">
        <v>1</v>
      </c>
      <c r="AJ176" s="496">
        <v>1</v>
      </c>
      <c r="AK176" s="496">
        <v>1</v>
      </c>
      <c r="AL176" s="496">
        <v>1</v>
      </c>
      <c r="AM176" s="496">
        <v>1</v>
      </c>
      <c r="AN176" s="496">
        <v>1</v>
      </c>
      <c r="AO176" s="496">
        <v>1</v>
      </c>
      <c r="AP176" s="496">
        <v>1</v>
      </c>
    </row>
    <row r="178" spans="1:42">
      <c r="A178" t="s">
        <v>877</v>
      </c>
      <c r="AH178" s="496"/>
    </row>
    <row r="179" spans="1:42">
      <c r="AH179" s="496"/>
    </row>
    <row r="180" spans="1:42">
      <c r="E180" s="533" t="s">
        <v>608</v>
      </c>
    </row>
    <row r="181" spans="1:42" ht="15" thickBot="1">
      <c r="C181" s="539" t="s">
        <v>545</v>
      </c>
      <c r="D181" s="539" t="s">
        <v>554</v>
      </c>
      <c r="E181" s="539" t="s">
        <v>552</v>
      </c>
      <c r="F181" s="540" t="s">
        <v>88</v>
      </c>
      <c r="G181" s="540" t="s">
        <v>89</v>
      </c>
      <c r="H181" s="540" t="s">
        <v>90</v>
      </c>
      <c r="I181" s="540" t="s">
        <v>91</v>
      </c>
      <c r="J181" s="540" t="s">
        <v>92</v>
      </c>
      <c r="K181" s="540" t="s">
        <v>93</v>
      </c>
      <c r="L181" s="540" t="s">
        <v>94</v>
      </c>
      <c r="M181" s="540" t="s">
        <v>95</v>
      </c>
      <c r="N181" s="540" t="s">
        <v>96</v>
      </c>
      <c r="O181" s="540" t="s">
        <v>97</v>
      </c>
      <c r="P181" s="540" t="s">
        <v>98</v>
      </c>
      <c r="Q181" s="540" t="s">
        <v>99</v>
      </c>
      <c r="R181" s="540" t="s">
        <v>205</v>
      </c>
      <c r="S181" s="540" t="s">
        <v>118</v>
      </c>
      <c r="T181" s="540" t="s">
        <v>100</v>
      </c>
      <c r="U181" s="540" t="s">
        <v>101</v>
      </c>
      <c r="V181" s="540" t="s">
        <v>102</v>
      </c>
      <c r="W181" s="540" t="s">
        <v>103</v>
      </c>
      <c r="X181" s="540" t="s">
        <v>104</v>
      </c>
      <c r="Y181" s="540" t="s">
        <v>105</v>
      </c>
      <c r="Z181" s="540" t="s">
        <v>106</v>
      </c>
      <c r="AA181" s="540" t="s">
        <v>107</v>
      </c>
      <c r="AB181" s="540" t="s">
        <v>108</v>
      </c>
      <c r="AC181" s="540" t="s">
        <v>109</v>
      </c>
      <c r="AD181" s="540" t="s">
        <v>110</v>
      </c>
      <c r="AE181" s="540" t="s">
        <v>111</v>
      </c>
      <c r="AF181" s="540" t="s">
        <v>112</v>
      </c>
      <c r="AG181" s="540" t="s">
        <v>113</v>
      </c>
      <c r="AH181" s="540" t="s">
        <v>114</v>
      </c>
      <c r="AI181" s="540" t="s">
        <v>115</v>
      </c>
      <c r="AJ181" s="540" t="s">
        <v>52</v>
      </c>
      <c r="AK181" s="540" t="s">
        <v>116</v>
      </c>
      <c r="AL181" s="540" t="s">
        <v>117</v>
      </c>
      <c r="AM181" s="540" t="s">
        <v>119</v>
      </c>
      <c r="AN181" s="540" t="s">
        <v>120</v>
      </c>
      <c r="AO181" s="540" t="s">
        <v>121</v>
      </c>
      <c r="AP181" s="540" t="s">
        <v>122</v>
      </c>
    </row>
    <row r="182" spans="1:42">
      <c r="A182" t="str">
        <f>A137</f>
        <v>Electricity</v>
      </c>
      <c r="C182" t="str">
        <f t="shared" ref="C182:C221" si="78">C137</f>
        <v>R_ES-SH-FL_ELC-R</v>
      </c>
      <c r="D182" t="s">
        <v>630</v>
      </c>
      <c r="E182" t="str">
        <f t="shared" ref="E182:E221" si="79">E137</f>
        <v>R_ES-FL-SpHeat</v>
      </c>
      <c r="F182" s="693">
        <f t="shared" ref="F182:AP182" ca="1" si="80">F292*F$286*1.15</f>
        <v>1.9163950643256846E-2</v>
      </c>
      <c r="G182" s="693">
        <f t="shared" ca="1" si="80"/>
        <v>3.0684489167711552E-2</v>
      </c>
      <c r="H182" s="496">
        <f t="shared" ca="1" si="80"/>
        <v>1.4866436710417876E-2</v>
      </c>
      <c r="I182" s="496">
        <f t="shared" ca="1" si="80"/>
        <v>2.3889862110124442E-2</v>
      </c>
      <c r="J182" s="496">
        <f t="shared" ca="1" si="80"/>
        <v>1.5811215615545413E-2</v>
      </c>
      <c r="K182" s="496">
        <f t="shared" ca="1" si="80"/>
        <v>2.6510169584438317E-2</v>
      </c>
      <c r="L182" s="496">
        <f t="shared" ca="1" si="80"/>
        <v>1.980134819895963E-2</v>
      </c>
      <c r="M182" s="496">
        <f t="shared" ca="1" si="80"/>
        <v>5.5289960162805815E-3</v>
      </c>
      <c r="N182" s="496">
        <f t="shared" ca="1" si="80"/>
        <v>6.6996777736966912E-3</v>
      </c>
      <c r="O182" s="496">
        <f t="shared" ca="1" si="80"/>
        <v>2.5005101057346966E-2</v>
      </c>
      <c r="P182" s="496">
        <f t="shared" ca="1" si="80"/>
        <v>1.4249633232055581E-2</v>
      </c>
      <c r="Q182" s="496">
        <f t="shared" ca="1" si="80"/>
        <v>2.0346981498506909E-2</v>
      </c>
      <c r="R182" s="496">
        <f t="shared" ca="1" si="80"/>
        <v>3.2083305023733702E-2</v>
      </c>
      <c r="S182" s="496">
        <f t="shared" ca="1" si="80"/>
        <v>2.6054875334033986E-2</v>
      </c>
      <c r="T182" s="496">
        <f t="shared" ca="1" si="80"/>
        <v>2.2949984697940112E-2</v>
      </c>
      <c r="U182" s="496">
        <f t="shared" ca="1" si="80"/>
        <v>1.6064840295575193E-2</v>
      </c>
      <c r="V182" s="496">
        <f t="shared" ca="1" si="80"/>
        <v>5.0587787228127033E-2</v>
      </c>
      <c r="W182" s="496">
        <f t="shared" ca="1" si="80"/>
        <v>2.6968282345415837E-3</v>
      </c>
      <c r="X182" s="496">
        <f t="shared" ca="1" si="80"/>
        <v>1.590163462162025E-2</v>
      </c>
      <c r="Y182" s="496">
        <f t="shared" ca="1" si="80"/>
        <v>3.5362678334169083E-2</v>
      </c>
      <c r="Z182" s="496">
        <f t="shared" ca="1" si="80"/>
        <v>2.1181583985926497E-2</v>
      </c>
      <c r="AA182" s="496">
        <f t="shared" ca="1" si="80"/>
        <v>1.1280135022889872E-2</v>
      </c>
      <c r="AB182" s="496">
        <f t="shared" ca="1" si="80"/>
        <v>2.2721011137975752E-2</v>
      </c>
      <c r="AC182" s="496">
        <f t="shared" ca="1" si="80"/>
        <v>2.0014996609509457E-2</v>
      </c>
      <c r="AD182" s="496">
        <f t="shared" ca="1" si="80"/>
        <v>2.4888463762551043E-2</v>
      </c>
      <c r="AE182" s="496">
        <f t="shared" ca="1" si="80"/>
        <v>3.7978914045195657E-3</v>
      </c>
      <c r="AF182" s="496">
        <f t="shared" ca="1" si="80"/>
        <v>1.5793512604403686E-2</v>
      </c>
      <c r="AG182" s="496">
        <f ca="1">AG292*AG$286*1.15</f>
        <v>3.4124012181489423E-2</v>
      </c>
      <c r="AH182" s="496">
        <f t="shared" ca="1" si="80"/>
        <v>2.4849792878502169E-2</v>
      </c>
      <c r="AI182" s="496">
        <f t="shared" ca="1" si="80"/>
        <v>2.7259210367718799E-2</v>
      </c>
      <c r="AJ182" s="496">
        <f t="shared" ca="1" si="80"/>
        <v>1.722455283076978E-2</v>
      </c>
      <c r="AK182" s="496">
        <f t="shared" ca="1" si="80"/>
        <v>9.2634548446630192E-3</v>
      </c>
      <c r="AL182" s="496">
        <f t="shared" ca="1" si="80"/>
        <v>1.3837338852054459E-2</v>
      </c>
      <c r="AM182" s="496">
        <f t="shared" ca="1" si="80"/>
        <v>2.3884974547150682E-2</v>
      </c>
      <c r="AN182" s="496">
        <f t="shared" ca="1" si="80"/>
        <v>1.3302933893908124E-2</v>
      </c>
      <c r="AO182" s="496">
        <f t="shared" ca="1" si="80"/>
        <v>1.9620804726755904E-2</v>
      </c>
      <c r="AP182" s="496">
        <f t="shared" ca="1" si="80"/>
        <v>1.3371822349094056E-2</v>
      </c>
    </row>
    <row r="183" spans="1:42">
      <c r="A183" s="819" t="s">
        <v>937</v>
      </c>
      <c r="C183" t="str">
        <f t="shared" si="78"/>
        <v>R_ES-SH-FL_ELC-HPA</v>
      </c>
      <c r="D183" t="s">
        <v>630</v>
      </c>
      <c r="E183" t="str">
        <f t="shared" si="79"/>
        <v>R_ES-FL-SpHeat</v>
      </c>
      <c r="F183" s="693">
        <f ca="1">F293*F$286*1.15</f>
        <v>1.9163950643256846E-2</v>
      </c>
      <c r="G183" s="693">
        <f ca="1">G293*G$286*1.15</f>
        <v>2.5831531203799841E-3</v>
      </c>
      <c r="H183" s="693">
        <f t="shared" ref="H183:AP183" ca="1" si="81">H293*H$286*1.15</f>
        <v>1.4866436710417876E-2</v>
      </c>
      <c r="I183" s="693">
        <f t="shared" ca="1" si="81"/>
        <v>2.3889862110124442E-2</v>
      </c>
      <c r="J183" s="693">
        <f t="shared" ca="1" si="81"/>
        <v>1.5811215615545413E-2</v>
      </c>
      <c r="K183" s="693">
        <f t="shared" ca="1" si="81"/>
        <v>2.6510169584438317E-2</v>
      </c>
      <c r="L183" s="693">
        <f t="shared" ca="1" si="81"/>
        <v>1.980134819895963E-2</v>
      </c>
      <c r="M183" s="693">
        <f t="shared" ca="1" si="81"/>
        <v>5.5289960162805815E-3</v>
      </c>
      <c r="N183" s="693">
        <f t="shared" ca="1" si="81"/>
        <v>6.6996777736966912E-3</v>
      </c>
      <c r="O183" s="693">
        <f t="shared" ca="1" si="81"/>
        <v>2.5005101057346966E-2</v>
      </c>
      <c r="P183" s="693">
        <f t="shared" ca="1" si="81"/>
        <v>1.4249633232055581E-2</v>
      </c>
      <c r="Q183" s="693">
        <f t="shared" ca="1" si="81"/>
        <v>2.0346981498506909E-2</v>
      </c>
      <c r="R183" s="693">
        <f t="shared" ca="1" si="81"/>
        <v>3.2083305023733702E-2</v>
      </c>
      <c r="S183" s="693">
        <f t="shared" ca="1" si="81"/>
        <v>2.6054875334033986E-2</v>
      </c>
      <c r="T183" s="693">
        <f t="shared" ca="1" si="81"/>
        <v>2.2949984697940112E-2</v>
      </c>
      <c r="U183" s="693">
        <f t="shared" ca="1" si="81"/>
        <v>1.6064840295575193E-2</v>
      </c>
      <c r="V183" s="693">
        <f t="shared" ca="1" si="81"/>
        <v>5.0587787228127033E-2</v>
      </c>
      <c r="W183" s="693">
        <f t="shared" ca="1" si="81"/>
        <v>2.6968282345415837E-3</v>
      </c>
      <c r="X183" s="693">
        <f t="shared" ca="1" si="81"/>
        <v>1.590163462162025E-2</v>
      </c>
      <c r="Y183" s="693">
        <f t="shared" ca="1" si="81"/>
        <v>3.5362678334169083E-2</v>
      </c>
      <c r="Z183" s="693">
        <f t="shared" ca="1" si="81"/>
        <v>2.1181583985926497E-2</v>
      </c>
      <c r="AA183" s="693">
        <f t="shared" ca="1" si="81"/>
        <v>1.1280135022889872E-2</v>
      </c>
      <c r="AB183" s="693">
        <f t="shared" ca="1" si="81"/>
        <v>2.2721011137975752E-2</v>
      </c>
      <c r="AC183" s="693">
        <f t="shared" ca="1" si="81"/>
        <v>2.0014996609509457E-2</v>
      </c>
      <c r="AD183" s="693">
        <f t="shared" ca="1" si="81"/>
        <v>2.4888463762551043E-2</v>
      </c>
      <c r="AE183" s="693">
        <f t="shared" ca="1" si="81"/>
        <v>3.7978914045195657E-3</v>
      </c>
      <c r="AF183" s="693">
        <f t="shared" ca="1" si="81"/>
        <v>1.5793512604403686E-2</v>
      </c>
      <c r="AG183" s="693">
        <f t="shared" ca="1" si="81"/>
        <v>3.4124012181489423E-2</v>
      </c>
      <c r="AH183" s="693">
        <f t="shared" ca="1" si="81"/>
        <v>2.4849792878502169E-2</v>
      </c>
      <c r="AI183" s="693">
        <f t="shared" ca="1" si="81"/>
        <v>2.7259210367718799E-2</v>
      </c>
      <c r="AJ183" s="693">
        <f t="shared" ca="1" si="81"/>
        <v>1.722455283076978E-2</v>
      </c>
      <c r="AK183" s="693">
        <f t="shared" ca="1" si="81"/>
        <v>9.2634548446630192E-3</v>
      </c>
      <c r="AL183" s="693">
        <f t="shared" ca="1" si="81"/>
        <v>1.3837338852054459E-2</v>
      </c>
      <c r="AM183" s="693">
        <f t="shared" ca="1" si="81"/>
        <v>2.3884974547150682E-2</v>
      </c>
      <c r="AN183" s="693">
        <f t="shared" ca="1" si="81"/>
        <v>1.3302933893908124E-2</v>
      </c>
      <c r="AO183" s="693">
        <f t="shared" ca="1" si="81"/>
        <v>1.9620804726755904E-2</v>
      </c>
      <c r="AP183" s="693">
        <f t="shared" ca="1" si="81"/>
        <v>1.3371822349094056E-2</v>
      </c>
    </row>
    <row r="184" spans="1:42">
      <c r="A184" s="819" t="s">
        <v>938</v>
      </c>
      <c r="C184" t="str">
        <f t="shared" si="78"/>
        <v>R_ES-SH-FL_ELC-HPG</v>
      </c>
      <c r="D184" t="s">
        <v>630</v>
      </c>
      <c r="E184" t="str">
        <f t="shared" si="79"/>
        <v>R_ES-FL-SpHeat</v>
      </c>
      <c r="F184" s="693">
        <f t="shared" ref="F184:AP184" ca="1" si="82">F294*F$286*1.15</f>
        <v>1.9163950643256846E-2</v>
      </c>
      <c r="G184" s="693">
        <f t="shared" ca="1" si="82"/>
        <v>2.5831531203799841E-3</v>
      </c>
      <c r="H184" s="693">
        <f t="shared" ca="1" si="82"/>
        <v>1.4866436710417876E-2</v>
      </c>
      <c r="I184" s="693">
        <f t="shared" ca="1" si="82"/>
        <v>2.3889862110124442E-2</v>
      </c>
      <c r="J184" s="693">
        <f t="shared" ca="1" si="82"/>
        <v>1.5811215615545413E-2</v>
      </c>
      <c r="K184" s="693">
        <f t="shared" ca="1" si="82"/>
        <v>2.6510169584438317E-2</v>
      </c>
      <c r="L184" s="693">
        <f t="shared" ca="1" si="82"/>
        <v>1.980134819895963E-2</v>
      </c>
      <c r="M184" s="693">
        <f t="shared" ca="1" si="82"/>
        <v>5.5289960162805815E-3</v>
      </c>
      <c r="N184" s="693">
        <f t="shared" ca="1" si="82"/>
        <v>6.6996777736966912E-3</v>
      </c>
      <c r="O184" s="693">
        <f t="shared" ca="1" si="82"/>
        <v>2.5005101057346966E-2</v>
      </c>
      <c r="P184" s="693">
        <f t="shared" ca="1" si="82"/>
        <v>1.4249633232055581E-2</v>
      </c>
      <c r="Q184" s="693">
        <f t="shared" ca="1" si="82"/>
        <v>2.0346981498506909E-2</v>
      </c>
      <c r="R184" s="693">
        <f t="shared" ca="1" si="82"/>
        <v>3.2083305023733702E-2</v>
      </c>
      <c r="S184" s="693">
        <f t="shared" ca="1" si="82"/>
        <v>2.6054875334033986E-2</v>
      </c>
      <c r="T184" s="693">
        <f t="shared" ca="1" si="82"/>
        <v>2.2949984697940112E-2</v>
      </c>
      <c r="U184" s="693">
        <f t="shared" ca="1" si="82"/>
        <v>1.6064840295575193E-2</v>
      </c>
      <c r="V184" s="693">
        <f t="shared" ca="1" si="82"/>
        <v>5.0587787228127033E-2</v>
      </c>
      <c r="W184" s="693">
        <f t="shared" ca="1" si="82"/>
        <v>2.6968282345415837E-3</v>
      </c>
      <c r="X184" s="693">
        <f t="shared" ca="1" si="82"/>
        <v>1.590163462162025E-2</v>
      </c>
      <c r="Y184" s="693">
        <f t="shared" ca="1" si="82"/>
        <v>3.5362678334169083E-2</v>
      </c>
      <c r="Z184" s="693">
        <f t="shared" ca="1" si="82"/>
        <v>2.1181583985926497E-2</v>
      </c>
      <c r="AA184" s="693">
        <f t="shared" ca="1" si="82"/>
        <v>1.1280135022889872E-2</v>
      </c>
      <c r="AB184" s="693">
        <f t="shared" ca="1" si="82"/>
        <v>2.2721011137975752E-2</v>
      </c>
      <c r="AC184" s="693">
        <f t="shared" ca="1" si="82"/>
        <v>2.0014996609509457E-2</v>
      </c>
      <c r="AD184" s="693">
        <f t="shared" ca="1" si="82"/>
        <v>2.4888463762551043E-2</v>
      </c>
      <c r="AE184" s="693">
        <f t="shared" ca="1" si="82"/>
        <v>3.7978914045195657E-3</v>
      </c>
      <c r="AF184" s="693">
        <f t="shared" ca="1" si="82"/>
        <v>1.5793512604403686E-2</v>
      </c>
      <c r="AG184" s="693">
        <f t="shared" ca="1" si="82"/>
        <v>3.4124012181489423E-2</v>
      </c>
      <c r="AH184" s="693">
        <f t="shared" ca="1" si="82"/>
        <v>2.4849792878502169E-2</v>
      </c>
      <c r="AI184" s="693">
        <f t="shared" ca="1" si="82"/>
        <v>2.7259210367718799E-2</v>
      </c>
      <c r="AJ184" s="693">
        <f t="shared" ca="1" si="82"/>
        <v>1.722455283076978E-2</v>
      </c>
      <c r="AK184" s="693">
        <f t="shared" ca="1" si="82"/>
        <v>9.2634548446630192E-3</v>
      </c>
      <c r="AL184" s="693">
        <f t="shared" ca="1" si="82"/>
        <v>1.3837338852054459E-2</v>
      </c>
      <c r="AM184" s="693">
        <f t="shared" ca="1" si="82"/>
        <v>2.3884974547150682E-2</v>
      </c>
      <c r="AN184" s="693">
        <f t="shared" ca="1" si="82"/>
        <v>1.3302933893908124E-2</v>
      </c>
      <c r="AO184" s="693">
        <f t="shared" ca="1" si="82"/>
        <v>1.9620804726755904E-2</v>
      </c>
      <c r="AP184" s="693">
        <f t="shared" ca="1" si="82"/>
        <v>1.3371822349094056E-2</v>
      </c>
    </row>
    <row r="185" spans="1:42">
      <c r="A185" t="str">
        <f t="shared" ref="A185:A192" si="83">A140</f>
        <v>Gases</v>
      </c>
      <c r="C185" t="str">
        <f t="shared" si="78"/>
        <v>R_ES-SH-FL_GAS</v>
      </c>
      <c r="D185" t="s">
        <v>630</v>
      </c>
      <c r="E185" t="str">
        <f t="shared" si="79"/>
        <v>R_ES-FL-SpHeat</v>
      </c>
      <c r="F185" s="693">
        <f t="shared" ref="F185:AP185" ca="1" si="84">F295*F$286*1.15</f>
        <v>2.6981033444867773E-2</v>
      </c>
      <c r="G185" s="496">
        <f ca="1">G295*G$286*1.15</f>
        <v>3.1116276942930881E-2</v>
      </c>
      <c r="H185" s="496">
        <f t="shared" ca="1" si="84"/>
        <v>1.2433652959978522E-2</v>
      </c>
      <c r="I185" s="496">
        <f t="shared" ca="1" si="84"/>
        <v>2.5461441751443447E-2</v>
      </c>
      <c r="J185" s="496">
        <f t="shared" ca="1" si="84"/>
        <v>6.2867263671245135E-2</v>
      </c>
      <c r="K185" s="496">
        <f t="shared" ca="1" si="84"/>
        <v>2.6630037529539661E-2</v>
      </c>
      <c r="L185" s="496">
        <f t="shared" ca="1" si="84"/>
        <v>2.2932345860165987E-2</v>
      </c>
      <c r="M185" s="496">
        <f t="shared" ca="1" si="84"/>
        <v>2.0157464376568117E-2</v>
      </c>
      <c r="N185" s="496">
        <f t="shared" ca="1" si="84"/>
        <v>2.6513646375391893E-2</v>
      </c>
      <c r="O185" s="496">
        <f t="shared" ca="1" si="84"/>
        <v>2.4190496151143607E-2</v>
      </c>
      <c r="P185" s="496">
        <f t="shared" ca="1" si="84"/>
        <v>3.3443124960587232E-2</v>
      </c>
      <c r="Q185" s="496">
        <f t="shared" ca="1" si="84"/>
        <v>2.2316188081194802E-2</v>
      </c>
      <c r="R185" s="496">
        <f t="shared" ca="1" si="84"/>
        <v>2.6952965011670698E-2</v>
      </c>
      <c r="S185" s="496">
        <f t="shared" ca="1" si="84"/>
        <v>2.324400163755572E-2</v>
      </c>
      <c r="T185" s="496">
        <f t="shared" ca="1" si="84"/>
        <v>1.9903521109945931E-2</v>
      </c>
      <c r="U185" s="496">
        <f t="shared" ca="1" si="84"/>
        <v>1.5058550538172901E-2</v>
      </c>
      <c r="V185" s="496">
        <f t="shared" ca="1" si="84"/>
        <v>1.7679212441791745E-2</v>
      </c>
      <c r="W185" s="496">
        <f t="shared" ca="1" si="84"/>
        <v>2.7861172343658883E-2</v>
      </c>
      <c r="X185" s="496">
        <f t="shared" ca="1" si="84"/>
        <v>1.9657524875389843E-2</v>
      </c>
      <c r="Y185" s="496">
        <f t="shared" ca="1" si="84"/>
        <v>4.2873603838701875E-2</v>
      </c>
      <c r="Z185" s="496">
        <f t="shared" ca="1" si="84"/>
        <v>2.4890289346300894E-2</v>
      </c>
      <c r="AA185" s="496">
        <f t="shared" ca="1" si="84"/>
        <v>9.8670363574174455E-2</v>
      </c>
      <c r="AB185" s="496">
        <f t="shared" ca="1" si="84"/>
        <v>2.5744492242277883E-2</v>
      </c>
      <c r="AC185" s="496">
        <f t="shared" ca="1" si="84"/>
        <v>2.0365503107009589E-2</v>
      </c>
      <c r="AD185" s="496">
        <f t="shared" ca="1" si="84"/>
        <v>2.0451117545780828E-2</v>
      </c>
      <c r="AE185" s="496">
        <f t="shared" ca="1" si="84"/>
        <v>7.3346452420385219E-3</v>
      </c>
      <c r="AF185" s="496">
        <f t="shared" ca="1" si="84"/>
        <v>1.3389195796121096E-2</v>
      </c>
      <c r="AG185" s="496">
        <f t="shared" ca="1" si="84"/>
        <v>3.3678320543157426E-2</v>
      </c>
      <c r="AH185" s="496">
        <f t="shared" ca="1" si="84"/>
        <v>2.0798653660781943E-2</v>
      </c>
      <c r="AI185" s="496">
        <f t="shared" ca="1" si="84"/>
        <v>2.4941663259766628E-2</v>
      </c>
      <c r="AJ185" s="496">
        <f t="shared" ca="1" si="84"/>
        <v>1.6826597833780991E-2</v>
      </c>
      <c r="AK185" s="496">
        <f t="shared" ca="1" si="84"/>
        <v>2.1400593998368252E-2</v>
      </c>
      <c r="AL185" s="496">
        <f t="shared" ca="1" si="84"/>
        <v>1.3224967002030087E-2</v>
      </c>
      <c r="AM185" s="496">
        <f t="shared" ca="1" si="84"/>
        <v>2.262823884267564E-2</v>
      </c>
      <c r="AN185" s="496">
        <f t="shared" ca="1" si="84"/>
        <v>2.163172765912744E-2</v>
      </c>
      <c r="AO185" s="496">
        <f t="shared" ca="1" si="84"/>
        <v>1.8752485419268067E-2</v>
      </c>
      <c r="AP185" s="496">
        <f t="shared" ca="1" si="84"/>
        <v>2.0798312974336913E-2</v>
      </c>
    </row>
    <row r="186" spans="1:42">
      <c r="A186" t="str">
        <f t="shared" si="83"/>
        <v>Derived heat</v>
      </c>
      <c r="C186" t="str">
        <f t="shared" si="78"/>
        <v>R_ES-SH-FL_HET</v>
      </c>
      <c r="D186" t="s">
        <v>630</v>
      </c>
      <c r="E186" t="str">
        <f t="shared" si="79"/>
        <v>R_ES-FL-SpHeat</v>
      </c>
      <c r="F186" s="693">
        <f t="shared" ref="F186:AP186" ca="1" si="85">F296*F$286*1.15</f>
        <v>2.2319825301519748E-2</v>
      </c>
      <c r="G186" s="496">
        <f t="shared" ca="1" si="85"/>
        <v>2.0048551504819975E-2</v>
      </c>
      <c r="H186" s="496">
        <f t="shared" ca="1" si="85"/>
        <v>9.9469617720672962E-3</v>
      </c>
      <c r="I186" s="496">
        <f t="shared" ca="1" si="85"/>
        <v>2.158055962166542E-2</v>
      </c>
      <c r="J186" s="496">
        <f t="shared" ca="1" si="85"/>
        <v>6.2867263671245135E-2</v>
      </c>
      <c r="K186" s="496">
        <f t="shared" ca="1" si="85"/>
        <v>1.9795555985901454E-2</v>
      </c>
      <c r="L186" s="496">
        <f t="shared" ca="1" si="85"/>
        <v>1.936884854575497E-2</v>
      </c>
      <c r="M186" s="496">
        <f t="shared" ca="1" si="85"/>
        <v>1.6690433020341375E-2</v>
      </c>
      <c r="N186" s="496">
        <f t="shared" ca="1" si="85"/>
        <v>2.1628159814610512E-2</v>
      </c>
      <c r="O186" s="496">
        <f t="shared" ca="1" si="85"/>
        <v>3.0309946134079172E-2</v>
      </c>
      <c r="P186" s="496">
        <f t="shared" ca="1" si="85"/>
        <v>2.8240447730195132E-2</v>
      </c>
      <c r="Q186" s="496">
        <f t="shared" ca="1" si="85"/>
        <v>1.8450844636073566E-2</v>
      </c>
      <c r="R186" s="496">
        <f t="shared" ca="1" si="85"/>
        <v>2.5769014827108014E-2</v>
      </c>
      <c r="S186" s="496">
        <f t="shared" ca="1" si="85"/>
        <v>1.981360921616258E-2</v>
      </c>
      <c r="T186" s="496">
        <f t="shared" ca="1" si="85"/>
        <v>1.6764666675965444E-2</v>
      </c>
      <c r="U186" s="496">
        <f t="shared" ca="1" si="85"/>
        <v>8.3264000985076008E-3</v>
      </c>
      <c r="V186" s="496">
        <f t="shared" ca="1" si="85"/>
        <v>4.4075809883954847E-2</v>
      </c>
      <c r="W186" s="496">
        <f t="shared" ca="1" si="85"/>
        <v>2.3460449957601329E-2</v>
      </c>
      <c r="X186" s="496">
        <f t="shared" ca="1" si="85"/>
        <v>1.5189373139357197E-2</v>
      </c>
      <c r="Y186" s="496">
        <f t="shared" ca="1" si="85"/>
        <v>1.9204333229123651E-2</v>
      </c>
      <c r="Z186" s="496">
        <f t="shared" ca="1" si="85"/>
        <v>1.9170031985201775E-2</v>
      </c>
      <c r="AA186" s="496">
        <f t="shared" ca="1" si="85"/>
        <v>9.8670363574174455E-2</v>
      </c>
      <c r="AB186" s="496">
        <f t="shared" ca="1" si="85"/>
        <v>2.1610552287521349E-2</v>
      </c>
      <c r="AC186" s="496">
        <f t="shared" ca="1" si="85"/>
        <v>1.7438540678020507E-2</v>
      </c>
      <c r="AD186" s="496">
        <f t="shared" ca="1" si="85"/>
        <v>1.6156562248977574E-2</v>
      </c>
      <c r="AE186" s="496">
        <f t="shared" ca="1" si="85"/>
        <v>6.0442694396243002E-3</v>
      </c>
      <c r="AF186" s="496">
        <f t="shared" ca="1" si="85"/>
        <v>1.0592032243324478E-2</v>
      </c>
      <c r="AG186" s="496">
        <f t="shared" ca="1" si="85"/>
        <v>2.843933895460737E-2</v>
      </c>
      <c r="AH186" s="496">
        <f t="shared" ca="1" si="85"/>
        <v>1.8572520764796489E-2</v>
      </c>
      <c r="AI186" s="496">
        <f t="shared" ca="1" si="85"/>
        <v>1.9952463602169328E-2</v>
      </c>
      <c r="AJ186" s="496">
        <f t="shared" ca="1" si="85"/>
        <v>1.2890473350806834E-2</v>
      </c>
      <c r="AK186" s="496">
        <f t="shared" ca="1" si="85"/>
        <v>2.1400593998368252E-2</v>
      </c>
      <c r="AL186" s="496">
        <f t="shared" ca="1" si="85"/>
        <v>1.1339796468273175E-2</v>
      </c>
      <c r="AM186" s="496">
        <f t="shared" ca="1" si="85"/>
        <v>2.262823884267564E-2</v>
      </c>
      <c r="AN186" s="496">
        <f t="shared" ca="1" si="85"/>
        <v>1.1183225717854576E-2</v>
      </c>
      <c r="AO186" s="496">
        <f t="shared" ca="1" si="85"/>
        <v>1.6079387411410372E-2</v>
      </c>
      <c r="AP186" s="496">
        <f t="shared" ca="1" si="85"/>
        <v>1.0958302421431245E-2</v>
      </c>
    </row>
    <row r="187" spans="1:42">
      <c r="A187" t="str">
        <f t="shared" si="83"/>
        <v>GDO and other liquids (incl. liq. bio.)</v>
      </c>
      <c r="C187" t="str">
        <f t="shared" si="78"/>
        <v>R_ES-SH-FL_OIL</v>
      </c>
      <c r="D187" t="s">
        <v>630</v>
      </c>
      <c r="E187" t="str">
        <f t="shared" si="79"/>
        <v>R_ES-FL-SpHeat</v>
      </c>
      <c r="F187" s="693">
        <f t="shared" ref="F187:AP187" ca="1" si="86">F297*F$286*1.15</f>
        <v>2.4802130376887454E-2</v>
      </c>
      <c r="G187" s="496">
        <f t="shared" ca="1" si="86"/>
        <v>2.687796482149727E-2</v>
      </c>
      <c r="H187" s="496">
        <f t="shared" ca="1" si="86"/>
        <v>1.5023959269435904E-2</v>
      </c>
      <c r="I187" s="496">
        <f t="shared" ca="1" si="86"/>
        <v>2.4049581740308495E-2</v>
      </c>
      <c r="J187" s="496">
        <f t="shared" ca="1" si="86"/>
        <v>1.4063177729282939E-2</v>
      </c>
      <c r="K187" s="496">
        <f t="shared" ca="1" si="86"/>
        <v>1.6727644538140903E-2</v>
      </c>
      <c r="L187" s="496">
        <f t="shared" ca="1" si="86"/>
        <v>2.1757851410843503E-2</v>
      </c>
      <c r="M187" s="496">
        <f t="shared" ca="1" si="86"/>
        <v>1.869030241803861E-2</v>
      </c>
      <c r="N187" s="496">
        <f t="shared" ca="1" si="86"/>
        <v>2.1591530761435787E-2</v>
      </c>
      <c r="O187" s="496">
        <f t="shared" ca="1" si="86"/>
        <v>2.246099922248062E-2</v>
      </c>
      <c r="P187" s="496">
        <f t="shared" ca="1" si="86"/>
        <v>3.1708883547392028E-2</v>
      </c>
      <c r="Q187" s="496">
        <f t="shared" ca="1" si="86"/>
        <v>1.9862055725133627E-2</v>
      </c>
      <c r="R187" s="496">
        <f t="shared" ca="1" si="86"/>
        <v>2.5250983316324218E-2</v>
      </c>
      <c r="S187" s="496">
        <f t="shared" ca="1" si="86"/>
        <v>2.3335358906737585E-2</v>
      </c>
      <c r="T187" s="496">
        <f t="shared" ca="1" si="86"/>
        <v>1.4138027977309337E-2</v>
      </c>
      <c r="U187" s="496">
        <f t="shared" ca="1" si="86"/>
        <v>1.4338520550205961E-2</v>
      </c>
      <c r="V187" s="496">
        <f t="shared" ca="1" si="86"/>
        <v>4.9425054949796279E-2</v>
      </c>
      <c r="W187" s="496">
        <f t="shared" ca="1" si="86"/>
        <v>2.5685867358529763E-2</v>
      </c>
      <c r="X187" s="496">
        <f t="shared" ca="1" si="86"/>
        <v>1.7845393197617295E-2</v>
      </c>
      <c r="Y187" s="496">
        <f t="shared" ca="1" si="86"/>
        <v>4.0556647264011723E-2</v>
      </c>
      <c r="Z187" s="496">
        <f t="shared" ca="1" si="86"/>
        <v>2.1491165781088225E-2</v>
      </c>
      <c r="AA187" s="496">
        <f t="shared" ca="1" si="86"/>
        <v>9.8670363574174455E-2</v>
      </c>
      <c r="AB187" s="496">
        <f t="shared" ca="1" si="86"/>
        <v>2.4265707952326087E-2</v>
      </c>
      <c r="AC187" s="496">
        <f t="shared" ca="1" si="86"/>
        <v>1.9554962995000657E-2</v>
      </c>
      <c r="AD187" s="496">
        <f t="shared" ca="1" si="86"/>
        <v>1.7763704266134866E-2</v>
      </c>
      <c r="AE187" s="496">
        <f t="shared" ca="1" si="86"/>
        <v>6.5497349958048073E-3</v>
      </c>
      <c r="AF187" s="496">
        <f t="shared" ca="1" si="86"/>
        <v>7.9135359434531725E-3</v>
      </c>
      <c r="AG187" s="496">
        <f t="shared" ca="1" si="86"/>
        <v>3.1931834059054552E-2</v>
      </c>
      <c r="AH187" s="496">
        <f t="shared" ca="1" si="86"/>
        <v>2.246776241849965E-2</v>
      </c>
      <c r="AI187" s="496">
        <f t="shared" ca="1" si="86"/>
        <v>1.6605287698266382E-2</v>
      </c>
      <c r="AJ187" s="496">
        <f t="shared" ca="1" si="86"/>
        <v>1.5894441938567691E-2</v>
      </c>
      <c r="AK187" s="496">
        <f t="shared" ca="1" si="86"/>
        <v>8.6435737942370094E-3</v>
      </c>
      <c r="AL187" s="496">
        <f t="shared" ca="1" si="86"/>
        <v>2.0798312974336916E-2</v>
      </c>
      <c r="AM187" s="496">
        <f t="shared" ca="1" si="86"/>
        <v>2.262823884267564E-2</v>
      </c>
      <c r="AN187" s="496">
        <f t="shared" ca="1" si="86"/>
        <v>1.2412743703079432E-2</v>
      </c>
      <c r="AO187" s="496">
        <f t="shared" ca="1" si="86"/>
        <v>1.7782582702278033E-2</v>
      </c>
      <c r="AP187" s="496">
        <f t="shared" ca="1" si="86"/>
        <v>1.2119051186452031E-2</v>
      </c>
    </row>
    <row r="188" spans="1:42">
      <c r="A188" t="str">
        <f t="shared" si="83"/>
        <v>Biomass and wastes</v>
      </c>
      <c r="C188" t="str">
        <f t="shared" si="78"/>
        <v>R_ES-SH-FL_BIO</v>
      </c>
      <c r="D188" t="s">
        <v>630</v>
      </c>
      <c r="E188" t="str">
        <f t="shared" si="79"/>
        <v>R_ES-FL-SpHeat</v>
      </c>
      <c r="F188" s="693">
        <f t="shared" ref="F188:AP188" ca="1" si="87">F298*F$286*1.15</f>
        <v>2.6249801511179692E-2</v>
      </c>
      <c r="G188" s="496">
        <f t="shared" ca="1" si="87"/>
        <v>2.9909645696496411E-2</v>
      </c>
      <c r="H188" s="496">
        <f t="shared" ca="1" si="87"/>
        <v>1.2258958185924963E-2</v>
      </c>
      <c r="I188" s="496">
        <f t="shared" ca="1" si="87"/>
        <v>2.3193599721039695E-2</v>
      </c>
      <c r="J188" s="496">
        <f t="shared" ca="1" si="87"/>
        <v>1.2578110499012833E-2</v>
      </c>
      <c r="K188" s="496">
        <f t="shared" ca="1" si="87"/>
        <v>2.4127213045682654E-2</v>
      </c>
      <c r="L188" s="496">
        <f t="shared" ca="1" si="87"/>
        <v>2.3019009833103843E-2</v>
      </c>
      <c r="M188" s="496">
        <f t="shared" ca="1" si="87"/>
        <v>1.9222890482028208E-2</v>
      </c>
      <c r="N188" s="496">
        <f t="shared" ca="1" si="87"/>
        <v>2.7623180258772879E-2</v>
      </c>
      <c r="O188" s="496">
        <f t="shared" ca="1" si="87"/>
        <v>2.313120362630736E-2</v>
      </c>
      <c r="P188" s="496">
        <f t="shared" ca="1" si="87"/>
        <v>3.3562829598518432E-2</v>
      </c>
      <c r="Q188" s="496">
        <f t="shared" ca="1" si="87"/>
        <v>2.1927997120810134E-2</v>
      </c>
      <c r="R188" s="496">
        <f t="shared" ca="1" si="87"/>
        <v>2.6889438456565187E-2</v>
      </c>
      <c r="S188" s="496">
        <f t="shared" ca="1" si="87"/>
        <v>2.4651479194338022E-2</v>
      </c>
      <c r="T188" s="496">
        <f t="shared" ca="1" si="87"/>
        <v>1.9528708977571151E-2</v>
      </c>
      <c r="U188" s="496">
        <f t="shared" ca="1" si="87"/>
        <v>1.470142179926286E-2</v>
      </c>
      <c r="V188" s="496">
        <f t="shared" ca="1" si="87"/>
        <v>1.7679212441791745E-2</v>
      </c>
      <c r="W188" s="496">
        <f t="shared" ca="1" si="87"/>
        <v>2.7881660625293538E-2</v>
      </c>
      <c r="X188" s="496">
        <f t="shared" ca="1" si="87"/>
        <v>1.8456368314743583E-2</v>
      </c>
      <c r="Y188" s="496">
        <f t="shared" ca="1" si="87"/>
        <v>4.4346242209183914E-2</v>
      </c>
      <c r="Z188" s="496">
        <f t="shared" ca="1" si="87"/>
        <v>2.0699329141435539E-2</v>
      </c>
      <c r="AA188" s="496">
        <f t="shared" ca="1" si="87"/>
        <v>6.8102190870987095E-3</v>
      </c>
      <c r="AB188" s="496">
        <f t="shared" ca="1" si="87"/>
        <v>2.2045773041673315E-2</v>
      </c>
      <c r="AC188" s="496">
        <f t="shared" ca="1" si="87"/>
        <v>1.889062903519902E-2</v>
      </c>
      <c r="AD188" s="496">
        <f t="shared" ca="1" si="87"/>
        <v>2.0277032396806061E-2</v>
      </c>
      <c r="AE188" s="496">
        <f t="shared" ca="1" si="87"/>
        <v>6.7880563785620842E-3</v>
      </c>
      <c r="AF188" s="496">
        <f t="shared" ca="1" si="87"/>
        <v>1.3391149984495218E-2</v>
      </c>
      <c r="AG188" s="496">
        <f t="shared" ca="1" si="87"/>
        <v>3.5422472048701484E-2</v>
      </c>
      <c r="AH188" s="496">
        <f t="shared" ca="1" si="87"/>
        <v>2.0840681556241539E-2</v>
      </c>
      <c r="AI188" s="496">
        <f t="shared" ca="1" si="87"/>
        <v>2.4573800803518897E-2</v>
      </c>
      <c r="AJ188" s="496">
        <f t="shared" ca="1" si="87"/>
        <v>1.6867663943451315E-2</v>
      </c>
      <c r="AK188" s="496">
        <f t="shared" ca="1" si="87"/>
        <v>8.971748551261054E-3</v>
      </c>
      <c r="AL188" s="496">
        <f t="shared" ca="1" si="87"/>
        <v>1.2961055718733799E-2</v>
      </c>
      <c r="AM188" s="496">
        <f t="shared" ca="1" si="87"/>
        <v>2.2372400448963166E-2</v>
      </c>
      <c r="AN188" s="496">
        <f t="shared" ca="1" si="87"/>
        <v>1.2884024361489015E-2</v>
      </c>
      <c r="AO188" s="496">
        <f t="shared" ca="1" si="87"/>
        <v>1.8378269552322291E-2</v>
      </c>
      <c r="AP188" s="496">
        <f t="shared" ca="1" si="87"/>
        <v>1.2525019180395789E-2</v>
      </c>
    </row>
    <row r="189" spans="1:42">
      <c r="A189" t="str">
        <f t="shared" si="83"/>
        <v>Solids</v>
      </c>
      <c r="C189" t="str">
        <f t="shared" si="78"/>
        <v>R_ES-SH-FL_COA</v>
      </c>
      <c r="D189" t="s">
        <v>630</v>
      </c>
      <c r="E189" t="str">
        <f t="shared" si="79"/>
        <v>R_ES-FL-SpHeat</v>
      </c>
      <c r="F189" s="693">
        <f t="shared" ref="F189:AP189" ca="1" si="88">F299*F$286*1.15</f>
        <v>2.5176673761019092E-2</v>
      </c>
      <c r="G189" s="496">
        <f t="shared" ca="1" si="88"/>
        <v>2.5115030426328608E-2</v>
      </c>
      <c r="H189" s="496">
        <f t="shared" ca="1" si="88"/>
        <v>1.0802124285690622E-2</v>
      </c>
      <c r="I189" s="496">
        <f t="shared" ca="1" si="88"/>
        <v>2.2310700212497023E-2</v>
      </c>
      <c r="J189" s="496">
        <f t="shared" ca="1" si="88"/>
        <v>6.2867263671245135E-2</v>
      </c>
      <c r="K189" s="496">
        <f t="shared" ca="1" si="88"/>
        <v>2.2105624764111848E-2</v>
      </c>
      <c r="L189" s="496">
        <f t="shared" ca="1" si="88"/>
        <v>2.0388256963540081E-2</v>
      </c>
      <c r="M189" s="496">
        <f t="shared" ca="1" si="88"/>
        <v>1.1430243174635736E-2</v>
      </c>
      <c r="N189" s="496">
        <f t="shared" ca="1" si="88"/>
        <v>2.1594519063217629E-2</v>
      </c>
      <c r="O189" s="496">
        <f t="shared" ca="1" si="88"/>
        <v>2.072640272308077E-2</v>
      </c>
      <c r="P189" s="496">
        <f t="shared" ca="1" si="88"/>
        <v>2.9814418052998573E-2</v>
      </c>
      <c r="Q189" s="496">
        <f t="shared" ca="1" si="88"/>
        <v>2.0589075476959658E-2</v>
      </c>
      <c r="R189" s="496">
        <f t="shared" ca="1" si="88"/>
        <v>3.8779916737477389E-2</v>
      </c>
      <c r="S189" s="496">
        <f t="shared" ca="1" si="88"/>
        <v>2.5001527848665862E-2</v>
      </c>
      <c r="T189" s="496">
        <f t="shared" ca="1" si="88"/>
        <v>1.5262990150985372E-2</v>
      </c>
      <c r="U189" s="496">
        <f t="shared" ca="1" si="88"/>
        <v>1.2474320656092209E-2</v>
      </c>
      <c r="V189" s="496">
        <f t="shared" ca="1" si="88"/>
        <v>1.7679212441791745E-2</v>
      </c>
      <c r="W189" s="496">
        <f t="shared" ca="1" si="88"/>
        <v>2.2992883198590074E-2</v>
      </c>
      <c r="X189" s="496">
        <f t="shared" ca="1" si="88"/>
        <v>1.6470343434811397E-2</v>
      </c>
      <c r="Y189" s="496">
        <f t="shared" ca="1" si="88"/>
        <v>3.7156651333038568E-2</v>
      </c>
      <c r="Z189" s="496">
        <f t="shared" ca="1" si="88"/>
        <v>2.7664230345553861E-2</v>
      </c>
      <c r="AA189" s="496">
        <f t="shared" ca="1" si="88"/>
        <v>9.8670363574174455E-2</v>
      </c>
      <c r="AB189" s="496">
        <f t="shared" ca="1" si="88"/>
        <v>1.990770014922975E-2</v>
      </c>
      <c r="AC189" s="496">
        <f t="shared" ca="1" si="88"/>
        <v>1.97040419888736E-2</v>
      </c>
      <c r="AD189" s="496">
        <f t="shared" ca="1" si="88"/>
        <v>1.8236179514745408E-2</v>
      </c>
      <c r="AE189" s="496">
        <f t="shared" ca="1" si="88"/>
        <v>1.7837296380390104E-2</v>
      </c>
      <c r="AF189" s="496">
        <f t="shared" ca="1" si="88"/>
        <v>6.014416374443666E-3</v>
      </c>
      <c r="AG189" s="496">
        <f t="shared" ca="1" si="88"/>
        <v>1.7245999415929133E-2</v>
      </c>
      <c r="AH189" s="496">
        <f t="shared" ca="1" si="88"/>
        <v>2.0036668746229891E-2</v>
      </c>
      <c r="AI189" s="496">
        <f t="shared" ca="1" si="88"/>
        <v>2.1667721860932423E-2</v>
      </c>
      <c r="AJ189" s="496">
        <f t="shared" ca="1" si="88"/>
        <v>1.4538228426825714E-2</v>
      </c>
      <c r="AK189" s="496">
        <f t="shared" ca="1" si="88"/>
        <v>2.1400593998368252E-2</v>
      </c>
      <c r="AL189" s="496">
        <f t="shared" ca="1" si="88"/>
        <v>1.2145904906805706E-2</v>
      </c>
      <c r="AM189" s="496">
        <f t="shared" ca="1" si="88"/>
        <v>2.262823884267564E-2</v>
      </c>
      <c r="AN189" s="496">
        <f t="shared" ca="1" si="88"/>
        <v>2.163172765912744E-2</v>
      </c>
      <c r="AO189" s="496">
        <f t="shared" ca="1" si="88"/>
        <v>1.722241761614433E-2</v>
      </c>
      <c r="AP189" s="496">
        <f t="shared" ca="1" si="88"/>
        <v>1.1737291716223449E-2</v>
      </c>
    </row>
    <row r="190" spans="1:42">
      <c r="A190" t="str">
        <f t="shared" si="83"/>
        <v>LPG</v>
      </c>
      <c r="C190" t="str">
        <f t="shared" si="78"/>
        <v>R_ES-SH-FL_LPG</v>
      </c>
      <c r="D190" t="s">
        <v>630</v>
      </c>
      <c r="E190" t="str">
        <f t="shared" si="79"/>
        <v>R_ES-FL-SpHeat</v>
      </c>
      <c r="F190" s="693">
        <f t="shared" ref="F190:AP190" ca="1" si="89">F300*F$286*1.15</f>
        <v>2.461781106931649E-2</v>
      </c>
      <c r="G190" s="496">
        <f t="shared" ca="1" si="89"/>
        <v>2.8036129206951737E-2</v>
      </c>
      <c r="H190" s="496">
        <f t="shared" ca="1" si="89"/>
        <v>1.0882972222106753E-2</v>
      </c>
      <c r="I190" s="496">
        <f t="shared" ca="1" si="89"/>
        <v>1.8414364760499274E-2</v>
      </c>
      <c r="J190" s="496">
        <f t="shared" ca="1" si="89"/>
        <v>1.4171297100167898E-2</v>
      </c>
      <c r="K190" s="496">
        <f t="shared" ca="1" si="89"/>
        <v>1.6727644538140903E-2</v>
      </c>
      <c r="L190" s="496">
        <f t="shared" ca="1" si="89"/>
        <v>2.1676132396383614E-2</v>
      </c>
      <c r="M190" s="496">
        <f t="shared" ca="1" si="89"/>
        <v>1.9290007219212993E-2</v>
      </c>
      <c r="N190" s="496">
        <f t="shared" ca="1" si="89"/>
        <v>2.0395470708883312E-2</v>
      </c>
      <c r="O190" s="496">
        <f t="shared" ca="1" si="89"/>
        <v>2.219299503698988E-2</v>
      </c>
      <c r="P190" s="496">
        <f t="shared" ca="1" si="89"/>
        <v>1.6126099492748045E-2</v>
      </c>
      <c r="Q190" s="496">
        <f t="shared" ca="1" si="89"/>
        <v>2.0767989981834985E-2</v>
      </c>
      <c r="R190" s="496">
        <f t="shared" ca="1" si="89"/>
        <v>3.8779916737477389E-2</v>
      </c>
      <c r="S190" s="496">
        <f t="shared" ca="1" si="89"/>
        <v>2.3519434200621869E-2</v>
      </c>
      <c r="T190" s="496">
        <f t="shared" ca="1" si="89"/>
        <v>2.0481640733527397E-2</v>
      </c>
      <c r="U190" s="496">
        <f t="shared" ca="1" si="89"/>
        <v>1.3927434463631606E-2</v>
      </c>
      <c r="V190" s="496">
        <f t="shared" ca="1" si="89"/>
        <v>1.7679212441791745E-2</v>
      </c>
      <c r="W190" s="496">
        <f t="shared" ca="1" si="89"/>
        <v>2.5900413127866621E-2</v>
      </c>
      <c r="X190" s="496">
        <f t="shared" ca="1" si="89"/>
        <v>1.732196827715898E-2</v>
      </c>
      <c r="Y190" s="496">
        <f t="shared" ca="1" si="89"/>
        <v>1.9204333229123651E-2</v>
      </c>
      <c r="Z190" s="496">
        <f t="shared" ca="1" si="89"/>
        <v>1.7838405531491283E-2</v>
      </c>
      <c r="AA190" s="496">
        <f t="shared" ca="1" si="89"/>
        <v>1.0262577783688448E-2</v>
      </c>
      <c r="AB190" s="496">
        <f t="shared" ca="1" si="89"/>
        <v>1.4564817343136444E-2</v>
      </c>
      <c r="AC190" s="496">
        <f t="shared" ca="1" si="89"/>
        <v>1.97040419888736E-2</v>
      </c>
      <c r="AD190" s="496">
        <f t="shared" ca="1" si="89"/>
        <v>1.4469559641136042E-2</v>
      </c>
      <c r="AE190" s="496">
        <f t="shared" ca="1" si="89"/>
        <v>6.329792351172479E-3</v>
      </c>
      <c r="AF190" s="496">
        <f t="shared" ca="1" si="89"/>
        <v>1.2719258892570912E-2</v>
      </c>
      <c r="AG190" s="496">
        <f t="shared" ca="1" si="89"/>
        <v>1.7245999415929133E-2</v>
      </c>
      <c r="AH190" s="496">
        <f t="shared" ca="1" si="89"/>
        <v>2.1608464430074539E-2</v>
      </c>
      <c r="AI190" s="496">
        <f t="shared" ca="1" si="89"/>
        <v>1.6605287698266382E-2</v>
      </c>
      <c r="AJ190" s="496">
        <f t="shared" ca="1" si="89"/>
        <v>1.5550441471434567E-2</v>
      </c>
      <c r="AK190" s="496">
        <f t="shared" ca="1" si="89"/>
        <v>2.1400593998368252E-2</v>
      </c>
      <c r="AL190" s="496">
        <f t="shared" ca="1" si="89"/>
        <v>2.0798312974336916E-2</v>
      </c>
      <c r="AM190" s="496">
        <f t="shared" ca="1" si="89"/>
        <v>2.262823884267564E-2</v>
      </c>
      <c r="AN190" s="496">
        <f t="shared" ca="1" si="89"/>
        <v>2.163172765912744E-2</v>
      </c>
      <c r="AO190" s="496">
        <f t="shared" ca="1" si="89"/>
        <v>1.7782582702278029E-2</v>
      </c>
      <c r="AP190" s="496">
        <f t="shared" ca="1" si="89"/>
        <v>1.2119051186452031E-2</v>
      </c>
    </row>
    <row r="191" spans="1:42">
      <c r="A191" t="str">
        <f t="shared" si="83"/>
        <v>Geothermal Energy</v>
      </c>
      <c r="C191" t="str">
        <f t="shared" si="78"/>
        <v>R_ES-SH-FL_GEO</v>
      </c>
      <c r="D191" t="s">
        <v>630</v>
      </c>
      <c r="E191" t="str">
        <f t="shared" si="79"/>
        <v>R_ES-FL-SpHeat</v>
      </c>
      <c r="F191" s="693">
        <f t="shared" ref="F191:AP191" ca="1" si="90">F301*F$286*1.15</f>
        <v>0</v>
      </c>
      <c r="G191" s="496">
        <f t="shared" ca="1" si="90"/>
        <v>0</v>
      </c>
      <c r="H191" s="496">
        <f t="shared" ca="1" si="90"/>
        <v>0</v>
      </c>
      <c r="I191" s="496">
        <f t="shared" ca="1" si="90"/>
        <v>2.1580559621665413E-2</v>
      </c>
      <c r="J191" s="496">
        <f t="shared" ca="1" si="90"/>
        <v>1.2501905088988501E-2</v>
      </c>
      <c r="K191" s="496">
        <f t="shared" ca="1" si="90"/>
        <v>0</v>
      </c>
      <c r="L191" s="496">
        <f t="shared" ca="1" si="90"/>
        <v>2.0043317055467077E-2</v>
      </c>
      <c r="M191" s="496">
        <f t="shared" ca="1" si="90"/>
        <v>0</v>
      </c>
      <c r="N191" s="496">
        <f t="shared" ca="1" si="90"/>
        <v>0</v>
      </c>
      <c r="O191" s="496">
        <f t="shared" ca="1" si="90"/>
        <v>2.2363527569743174E-2</v>
      </c>
      <c r="P191" s="496">
        <f t="shared" ca="1" si="90"/>
        <v>0</v>
      </c>
      <c r="Q191" s="496">
        <f t="shared" ca="1" si="90"/>
        <v>1.9211708717775111E-2</v>
      </c>
      <c r="R191" s="496">
        <f t="shared" ca="1" si="90"/>
        <v>2.9994346245574635E-2</v>
      </c>
      <c r="S191" s="496">
        <f t="shared" ca="1" si="90"/>
        <v>0</v>
      </c>
      <c r="T191" s="496">
        <f t="shared" ca="1" si="90"/>
        <v>0</v>
      </c>
      <c r="U191" s="496">
        <f t="shared" ca="1" si="90"/>
        <v>0</v>
      </c>
      <c r="V191" s="496">
        <f t="shared" ca="1" si="90"/>
        <v>4.4075809883954854E-2</v>
      </c>
      <c r="W191" s="496">
        <f t="shared" ca="1" si="90"/>
        <v>2.1202747124632326E-2</v>
      </c>
      <c r="X191" s="496">
        <f t="shared" ca="1" si="90"/>
        <v>0</v>
      </c>
      <c r="Y191" s="496">
        <f t="shared" ca="1" si="90"/>
        <v>0</v>
      </c>
      <c r="Z191" s="496">
        <f t="shared" ca="1" si="90"/>
        <v>0</v>
      </c>
      <c r="AA191" s="496">
        <f t="shared" ca="1" si="90"/>
        <v>0</v>
      </c>
      <c r="AB191" s="496">
        <f t="shared" ca="1" si="90"/>
        <v>0</v>
      </c>
      <c r="AC191" s="496">
        <f t="shared" ca="1" si="90"/>
        <v>0</v>
      </c>
      <c r="AD191" s="496">
        <f t="shared" ca="1" si="90"/>
        <v>1.6986604202853708E-2</v>
      </c>
      <c r="AE191" s="496">
        <f t="shared" ca="1" si="90"/>
        <v>0</v>
      </c>
      <c r="AF191" s="496">
        <f t="shared" ca="1" si="90"/>
        <v>1.4332294632923178E-2</v>
      </c>
      <c r="AG191" s="496">
        <f t="shared" ca="1" si="90"/>
        <v>0</v>
      </c>
      <c r="AH191" s="496">
        <f t="shared" ca="1" si="90"/>
        <v>1.9321197388045285E-2</v>
      </c>
      <c r="AI191" s="496">
        <f t="shared" ca="1" si="90"/>
        <v>0</v>
      </c>
      <c r="AJ191" s="496">
        <f t="shared" ca="1" si="90"/>
        <v>0</v>
      </c>
      <c r="AK191" s="496">
        <f t="shared" ca="1" si="90"/>
        <v>0</v>
      </c>
      <c r="AL191" s="496">
        <f t="shared" ca="1" si="90"/>
        <v>0</v>
      </c>
      <c r="AM191" s="496">
        <f t="shared" ca="1" si="90"/>
        <v>0</v>
      </c>
      <c r="AN191" s="496">
        <f t="shared" ca="1" si="90"/>
        <v>0</v>
      </c>
      <c r="AO191" s="496">
        <f t="shared" ca="1" si="90"/>
        <v>0</v>
      </c>
      <c r="AP191" s="496">
        <f t="shared" ca="1" si="90"/>
        <v>0</v>
      </c>
    </row>
    <row r="192" spans="1:42">
      <c r="A192" t="str">
        <f t="shared" si="83"/>
        <v>Electricity</v>
      </c>
      <c r="C192" t="str">
        <f t="shared" si="78"/>
        <v>R_ES-SH-DH_ELC-R</v>
      </c>
      <c r="D192" t="s">
        <v>630</v>
      </c>
      <c r="E192" t="str">
        <f t="shared" si="79"/>
        <v>R_ES-DH-SpHeat</v>
      </c>
      <c r="F192" s="496">
        <f t="shared" ref="F192:AP192" ca="1" si="91">F292*F$287*1.15</f>
        <v>0.10303389143003314</v>
      </c>
      <c r="G192" s="496">
        <f t="shared" ca="1" si="91"/>
        <v>0.13416791906789188</v>
      </c>
      <c r="H192" s="496">
        <f t="shared" ca="1" si="91"/>
        <v>6.5076536212449784E-2</v>
      </c>
      <c r="I192" s="496">
        <f t="shared" ca="1" si="91"/>
        <v>0.12844248582946191</v>
      </c>
      <c r="J192" s="496">
        <f t="shared" ca="1" si="91"/>
        <v>6.985189817614329E-2</v>
      </c>
      <c r="K192" s="496">
        <f t="shared" ca="1" si="91"/>
        <v>0.12721677447889923</v>
      </c>
      <c r="L192" s="496">
        <f t="shared" ca="1" si="91"/>
        <v>0.11566301751464808</v>
      </c>
      <c r="M192" s="496">
        <f t="shared" ca="1" si="91"/>
        <v>3.2261832293213839E-2</v>
      </c>
      <c r="N192" s="496">
        <f t="shared" ca="1" si="91"/>
        <v>3.535487429774832E-2</v>
      </c>
      <c r="O192" s="496">
        <f t="shared" ca="1" si="91"/>
        <v>9.4800685266773141E-2</v>
      </c>
      <c r="P192" s="496">
        <f t="shared" ca="1" si="91"/>
        <v>9.668292519090492E-2</v>
      </c>
      <c r="Q192" s="496">
        <f t="shared" ca="1" si="91"/>
        <v>0.1345623216025095</v>
      </c>
      <c r="R192" s="496">
        <f t="shared" ca="1" si="91"/>
        <v>0.10101071707889438</v>
      </c>
      <c r="S192" s="496">
        <f t="shared" ca="1" si="91"/>
        <v>9.9478340930074224E-2</v>
      </c>
      <c r="T192" s="496">
        <f t="shared" ca="1" si="91"/>
        <v>0.12777003958058455</v>
      </c>
      <c r="U192" s="496">
        <f t="shared" ca="1" si="91"/>
        <v>0.1526899762677891</v>
      </c>
      <c r="V192" s="496">
        <f t="shared" ca="1" si="91"/>
        <v>0.2673052407584372</v>
      </c>
      <c r="W192" s="496">
        <f t="shared" ca="1" si="91"/>
        <v>1.1039500264866739E-2</v>
      </c>
      <c r="X192" s="496">
        <f t="shared" ca="1" si="91"/>
        <v>8.7919453515085316E-2</v>
      </c>
      <c r="Y192" s="496">
        <f t="shared" ca="1" si="91"/>
        <v>0.15474968178488027</v>
      </c>
      <c r="Z192" s="496">
        <f t="shared" ca="1" si="91"/>
        <v>0.11854264507518929</v>
      </c>
      <c r="AA192" s="496">
        <f t="shared" ca="1" si="91"/>
        <v>4.5067364022102936E-2</v>
      </c>
      <c r="AB192" s="496">
        <f t="shared" ca="1" si="91"/>
        <v>0.11680049153288055</v>
      </c>
      <c r="AC192" s="496">
        <f t="shared" ca="1" si="91"/>
        <v>0.11075359425329179</v>
      </c>
      <c r="AD192" s="496">
        <f t="shared" ca="1" si="91"/>
        <v>0.16864553382472511</v>
      </c>
      <c r="AE192" s="496">
        <f t="shared" ca="1" si="91"/>
        <v>1.6244371596063227E-2</v>
      </c>
      <c r="AF192" s="496">
        <f t="shared" ca="1" si="91"/>
        <v>0.10180512012750365</v>
      </c>
      <c r="AG192" s="496">
        <f t="shared" ca="1" si="91"/>
        <v>0.17478967491651354</v>
      </c>
      <c r="AH192" s="496">
        <f t="shared" ca="1" si="91"/>
        <v>0.13037369067573373</v>
      </c>
      <c r="AI192" s="496">
        <f t="shared" ca="1" si="91"/>
        <v>0.13343453796179325</v>
      </c>
      <c r="AJ192" s="496">
        <f t="shared" ca="1" si="91"/>
        <v>0.12622857775217181</v>
      </c>
      <c r="AK192" s="496">
        <f t="shared" ca="1" si="91"/>
        <v>3.6563060580973798E-2</v>
      </c>
      <c r="AL192" s="496">
        <f t="shared" ca="1" si="91"/>
        <v>4.6652512626298742E-2</v>
      </c>
      <c r="AM192" s="496">
        <f t="shared" ca="1" si="91"/>
        <v>8.9692080027295562E-2</v>
      </c>
      <c r="AN192" s="496">
        <f t="shared" ca="1" si="91"/>
        <v>4.914273566641459E-2</v>
      </c>
      <c r="AO192" s="496">
        <f t="shared" ca="1" si="91"/>
        <v>6.6151436344800946E-2</v>
      </c>
      <c r="AP192" s="496">
        <f t="shared" ca="1" si="91"/>
        <v>4.5083026270265329E-2</v>
      </c>
    </row>
    <row r="193" spans="1:42">
      <c r="A193" s="819" t="s">
        <v>937</v>
      </c>
      <c r="C193" t="str">
        <f t="shared" si="78"/>
        <v>R_ES-SH-DH_ELC-HPA</v>
      </c>
      <c r="D193" t="s">
        <v>630</v>
      </c>
      <c r="E193" t="str">
        <f t="shared" si="79"/>
        <v>R_ES-DH-SpHeat</v>
      </c>
      <c r="F193" s="496">
        <f t="shared" ref="F193:AP193" ca="1" si="92">F293*F$287*1.15</f>
        <v>0.10303389143003314</v>
      </c>
      <c r="G193" s="496">
        <f t="shared" ca="1" si="92"/>
        <v>1.1294836192345895E-2</v>
      </c>
      <c r="H193" s="496">
        <f t="shared" ca="1" si="92"/>
        <v>6.5076536212449784E-2</v>
      </c>
      <c r="I193" s="496">
        <f t="shared" ca="1" si="92"/>
        <v>0.12844248582946191</v>
      </c>
      <c r="J193" s="496">
        <f t="shared" ca="1" si="92"/>
        <v>6.985189817614329E-2</v>
      </c>
      <c r="K193" s="496">
        <f t="shared" ca="1" si="92"/>
        <v>0.12721677447889923</v>
      </c>
      <c r="L193" s="496">
        <f t="shared" ca="1" si="92"/>
        <v>0.11566301751464808</v>
      </c>
      <c r="M193" s="496">
        <f t="shared" ca="1" si="92"/>
        <v>3.2261832293213839E-2</v>
      </c>
      <c r="N193" s="496">
        <f t="shared" ca="1" si="92"/>
        <v>3.535487429774832E-2</v>
      </c>
      <c r="O193" s="496">
        <f t="shared" ca="1" si="92"/>
        <v>9.4800685266773141E-2</v>
      </c>
      <c r="P193" s="496">
        <f t="shared" ca="1" si="92"/>
        <v>9.668292519090492E-2</v>
      </c>
      <c r="Q193" s="496">
        <f t="shared" ca="1" si="92"/>
        <v>0.1345623216025095</v>
      </c>
      <c r="R193" s="496">
        <f t="shared" ca="1" si="92"/>
        <v>0.10101071707889438</v>
      </c>
      <c r="S193" s="496">
        <f t="shared" ca="1" si="92"/>
        <v>9.9478340930074224E-2</v>
      </c>
      <c r="T193" s="496">
        <f t="shared" ca="1" si="92"/>
        <v>0.12777003958058455</v>
      </c>
      <c r="U193" s="496">
        <f t="shared" ca="1" si="92"/>
        <v>0.1526899762677891</v>
      </c>
      <c r="V193" s="496">
        <f t="shared" ca="1" si="92"/>
        <v>0.2673052407584372</v>
      </c>
      <c r="W193" s="496">
        <f t="shared" ca="1" si="92"/>
        <v>1.1039500264866739E-2</v>
      </c>
      <c r="X193" s="496">
        <f t="shared" ca="1" si="92"/>
        <v>8.7919453515085316E-2</v>
      </c>
      <c r="Y193" s="496">
        <f t="shared" ca="1" si="92"/>
        <v>0.15474968178488027</v>
      </c>
      <c r="Z193" s="496">
        <f t="shared" ca="1" si="92"/>
        <v>0.11854264507518929</v>
      </c>
      <c r="AA193" s="496">
        <f t="shared" ca="1" si="92"/>
        <v>4.5067364022102936E-2</v>
      </c>
      <c r="AB193" s="496">
        <f t="shared" ca="1" si="92"/>
        <v>0.11680049153288055</v>
      </c>
      <c r="AC193" s="496">
        <f t="shared" ca="1" si="92"/>
        <v>0.11075359425329179</v>
      </c>
      <c r="AD193" s="496">
        <f t="shared" ca="1" si="92"/>
        <v>0.16864553382472511</v>
      </c>
      <c r="AE193" s="496">
        <f t="shared" ca="1" si="92"/>
        <v>1.6244371596063227E-2</v>
      </c>
      <c r="AF193" s="496">
        <f t="shared" ca="1" si="92"/>
        <v>0.10180512012750365</v>
      </c>
      <c r="AG193" s="496">
        <f t="shared" ca="1" si="92"/>
        <v>0.17478967491651354</v>
      </c>
      <c r="AH193" s="496">
        <f t="shared" ca="1" si="92"/>
        <v>0.13037369067573373</v>
      </c>
      <c r="AI193" s="496">
        <f t="shared" ca="1" si="92"/>
        <v>0.13343453796179325</v>
      </c>
      <c r="AJ193" s="496">
        <f t="shared" ca="1" si="92"/>
        <v>0.12622857775217181</v>
      </c>
      <c r="AK193" s="496">
        <f t="shared" ca="1" si="92"/>
        <v>3.6563060580973798E-2</v>
      </c>
      <c r="AL193" s="496">
        <f t="shared" ca="1" si="92"/>
        <v>4.6652512626298742E-2</v>
      </c>
      <c r="AM193" s="496">
        <f t="shared" ca="1" si="92"/>
        <v>8.9692080027295562E-2</v>
      </c>
      <c r="AN193" s="496">
        <f t="shared" ca="1" si="92"/>
        <v>4.914273566641459E-2</v>
      </c>
      <c r="AO193" s="496">
        <f t="shared" ca="1" si="92"/>
        <v>6.6151436344800946E-2</v>
      </c>
      <c r="AP193" s="496">
        <f t="shared" ca="1" si="92"/>
        <v>4.5083026270265329E-2</v>
      </c>
    </row>
    <row r="194" spans="1:42">
      <c r="A194" s="819" t="s">
        <v>938</v>
      </c>
      <c r="C194" t="str">
        <f t="shared" si="78"/>
        <v>R_ES-SH-DH_ELC-HPG</v>
      </c>
      <c r="D194" t="s">
        <v>630</v>
      </c>
      <c r="E194" t="str">
        <f t="shared" si="79"/>
        <v>R_ES-DH-SpHeat</v>
      </c>
      <c r="F194" s="496">
        <f t="shared" ref="F194:AP194" ca="1" si="93">F294*F$287*1.15</f>
        <v>0.10303389143003314</v>
      </c>
      <c r="G194" s="496">
        <f t="shared" ca="1" si="93"/>
        <v>1.1294836192345895E-2</v>
      </c>
      <c r="H194" s="496">
        <f t="shared" ca="1" si="93"/>
        <v>6.5076536212449784E-2</v>
      </c>
      <c r="I194" s="496">
        <f t="shared" ca="1" si="93"/>
        <v>0.12844248582946191</v>
      </c>
      <c r="J194" s="496">
        <f t="shared" ca="1" si="93"/>
        <v>6.985189817614329E-2</v>
      </c>
      <c r="K194" s="496">
        <f t="shared" ca="1" si="93"/>
        <v>0.12721677447889923</v>
      </c>
      <c r="L194" s="496">
        <f t="shared" ca="1" si="93"/>
        <v>0.11566301751464808</v>
      </c>
      <c r="M194" s="496">
        <f t="shared" ca="1" si="93"/>
        <v>3.2261832293213839E-2</v>
      </c>
      <c r="N194" s="496">
        <f t="shared" ca="1" si="93"/>
        <v>3.535487429774832E-2</v>
      </c>
      <c r="O194" s="496">
        <f t="shared" ca="1" si="93"/>
        <v>9.4800685266773141E-2</v>
      </c>
      <c r="P194" s="496">
        <f t="shared" ca="1" si="93"/>
        <v>9.668292519090492E-2</v>
      </c>
      <c r="Q194" s="496">
        <f t="shared" ca="1" si="93"/>
        <v>0.1345623216025095</v>
      </c>
      <c r="R194" s="496">
        <f t="shared" ca="1" si="93"/>
        <v>0.10101071707889438</v>
      </c>
      <c r="S194" s="496">
        <f t="shared" ca="1" si="93"/>
        <v>9.9478340930074224E-2</v>
      </c>
      <c r="T194" s="496">
        <f t="shared" ca="1" si="93"/>
        <v>0.12777003958058455</v>
      </c>
      <c r="U194" s="496">
        <f t="shared" ca="1" si="93"/>
        <v>0.1526899762677891</v>
      </c>
      <c r="V194" s="496">
        <f t="shared" ca="1" si="93"/>
        <v>0.2673052407584372</v>
      </c>
      <c r="W194" s="496">
        <f t="shared" ca="1" si="93"/>
        <v>1.1039500264866739E-2</v>
      </c>
      <c r="X194" s="496">
        <f t="shared" ca="1" si="93"/>
        <v>8.7919453515085316E-2</v>
      </c>
      <c r="Y194" s="496">
        <f t="shared" ca="1" si="93"/>
        <v>0.15474968178488027</v>
      </c>
      <c r="Z194" s="496">
        <f t="shared" ca="1" si="93"/>
        <v>0.11854264507518929</v>
      </c>
      <c r="AA194" s="496">
        <f t="shared" ca="1" si="93"/>
        <v>4.5067364022102936E-2</v>
      </c>
      <c r="AB194" s="496">
        <f t="shared" ca="1" si="93"/>
        <v>0.11680049153288055</v>
      </c>
      <c r="AC194" s="496">
        <f t="shared" ca="1" si="93"/>
        <v>0.11075359425329179</v>
      </c>
      <c r="AD194" s="496">
        <f t="shared" ca="1" si="93"/>
        <v>0.16864553382472511</v>
      </c>
      <c r="AE194" s="496">
        <f t="shared" ca="1" si="93"/>
        <v>1.6244371596063227E-2</v>
      </c>
      <c r="AF194" s="496">
        <f t="shared" ca="1" si="93"/>
        <v>0.10180512012750365</v>
      </c>
      <c r="AG194" s="496">
        <f t="shared" ca="1" si="93"/>
        <v>0.17478967491651354</v>
      </c>
      <c r="AH194" s="496">
        <f t="shared" ca="1" si="93"/>
        <v>0.13037369067573373</v>
      </c>
      <c r="AI194" s="496">
        <f t="shared" ca="1" si="93"/>
        <v>0.13343453796179325</v>
      </c>
      <c r="AJ194" s="496">
        <f t="shared" ca="1" si="93"/>
        <v>0.12622857775217181</v>
      </c>
      <c r="AK194" s="496">
        <f t="shared" ca="1" si="93"/>
        <v>3.6563060580973798E-2</v>
      </c>
      <c r="AL194" s="496">
        <f t="shared" ca="1" si="93"/>
        <v>4.6652512626298742E-2</v>
      </c>
      <c r="AM194" s="496">
        <f t="shared" ca="1" si="93"/>
        <v>8.9692080027295562E-2</v>
      </c>
      <c r="AN194" s="496">
        <f t="shared" ca="1" si="93"/>
        <v>4.914273566641459E-2</v>
      </c>
      <c r="AO194" s="496">
        <f t="shared" ca="1" si="93"/>
        <v>6.6151436344800946E-2</v>
      </c>
      <c r="AP194" s="496">
        <f t="shared" ca="1" si="93"/>
        <v>4.5083026270265329E-2</v>
      </c>
    </row>
    <row r="195" spans="1:42">
      <c r="A195" t="str">
        <f t="shared" ref="A195:A202" si="94">A150</f>
        <v>Gases</v>
      </c>
      <c r="C195" t="str">
        <f t="shared" si="78"/>
        <v>R_ES-SH-DH_GAS</v>
      </c>
      <c r="D195" t="s">
        <v>630</v>
      </c>
      <c r="E195" t="str">
        <f t="shared" si="79"/>
        <v>R_ES-DH-SpHeat</v>
      </c>
      <c r="F195" s="496">
        <f t="shared" ref="F195:AP195" ca="1" si="95">F295*F$287*1.15</f>
        <v>0.14506199282071175</v>
      </c>
      <c r="G195" s="496">
        <f t="shared" ca="1" si="95"/>
        <v>0.13605591097688191</v>
      </c>
      <c r="H195" s="496">
        <f t="shared" ca="1" si="95"/>
        <v>5.4427236523736683E-2</v>
      </c>
      <c r="I195" s="496">
        <f t="shared" ca="1" si="95"/>
        <v>0.13689199444861966</v>
      </c>
      <c r="J195" s="496">
        <f t="shared" ca="1" si="95"/>
        <v>0.27773941026134596</v>
      </c>
      <c r="K195" s="496">
        <f t="shared" ca="1" si="95"/>
        <v>0.12779199574599209</v>
      </c>
      <c r="L195" s="496">
        <f t="shared" ca="1" si="95"/>
        <v>0.1339517034004637</v>
      </c>
      <c r="M195" s="496">
        <f t="shared" ca="1" si="95"/>
        <v>0.11761931700771022</v>
      </c>
      <c r="N195" s="496">
        <f t="shared" ca="1" si="95"/>
        <v>0.13991518195952093</v>
      </c>
      <c r="O195" s="496">
        <f t="shared" ca="1" si="95"/>
        <v>9.1712311292493048E-2</v>
      </c>
      <c r="P195" s="496">
        <f t="shared" ca="1" si="95"/>
        <v>0.2269096401331103</v>
      </c>
      <c r="Q195" s="496">
        <f t="shared" ca="1" si="95"/>
        <v>0.14758543313877703</v>
      </c>
      <c r="R195" s="496">
        <f t="shared" ca="1" si="95"/>
        <v>8.4858412224588564E-2</v>
      </c>
      <c r="S195" s="496">
        <f t="shared" ca="1" si="95"/>
        <v>8.8746335948097207E-2</v>
      </c>
      <c r="T195" s="496">
        <f t="shared" ca="1" si="95"/>
        <v>0.11080938455872025</v>
      </c>
      <c r="U195" s="496">
        <f t="shared" ca="1" si="95"/>
        <v>0.14312558867667211</v>
      </c>
      <c r="V195" s="496">
        <f t="shared" ca="1" si="95"/>
        <v>9.3416739436769938E-2</v>
      </c>
      <c r="W195" s="496">
        <f t="shared" ca="1" si="95"/>
        <v>0.11405005907601026</v>
      </c>
      <c r="X195" s="496">
        <f t="shared" ca="1" si="95"/>
        <v>0.10868560909792635</v>
      </c>
      <c r="Y195" s="496">
        <f t="shared" ca="1" si="95"/>
        <v>0.1876180443210208</v>
      </c>
      <c r="Z195" s="496">
        <f t="shared" ca="1" si="95"/>
        <v>0.13929839891850052</v>
      </c>
      <c r="AA195" s="496">
        <f t="shared" ca="1" si="95"/>
        <v>0.39421630896855442</v>
      </c>
      <c r="AB195" s="496">
        <f t="shared" ca="1" si="95"/>
        <v>0.13234311316086889</v>
      </c>
      <c r="AC195" s="496">
        <f t="shared" ca="1" si="95"/>
        <v>0.11269313264865818</v>
      </c>
      <c r="AD195" s="496">
        <f t="shared" ca="1" si="95"/>
        <v>0.13857784348305199</v>
      </c>
      <c r="AE195" s="496">
        <f t="shared" ca="1" si="95"/>
        <v>3.1371803494745519E-2</v>
      </c>
      <c r="AF195" s="496">
        <f t="shared" ca="1" si="95"/>
        <v>8.6306872991300645E-2</v>
      </c>
      <c r="AG195" s="496">
        <f t="shared" ca="1" si="95"/>
        <v>0.1725067576510193</v>
      </c>
      <c r="AH195" s="496">
        <f t="shared" ca="1" si="95"/>
        <v>0.10911951065750472</v>
      </c>
      <c r="AI195" s="496">
        <f t="shared" ca="1" si="95"/>
        <v>0.1220900850820979</v>
      </c>
      <c r="AJ195" s="496">
        <f t="shared" ca="1" si="95"/>
        <v>0.1233122005450069</v>
      </c>
      <c r="AK195" s="496">
        <f t="shared" ca="1" si="95"/>
        <v>8.4468616509959016E-2</v>
      </c>
      <c r="AL195" s="496">
        <f t="shared" ca="1" si="95"/>
        <v>4.4587904266938497E-2</v>
      </c>
      <c r="AM195" s="496">
        <f t="shared" ca="1" si="95"/>
        <v>8.497282696062726E-2</v>
      </c>
      <c r="AN195" s="496">
        <f t="shared" ca="1" si="95"/>
        <v>7.9910362844633334E-2</v>
      </c>
      <c r="AO195" s="496">
        <f t="shared" ca="1" si="95"/>
        <v>6.3223902525664843E-2</v>
      </c>
      <c r="AP195" s="496">
        <f t="shared" ca="1" si="95"/>
        <v>7.0121398992618031E-2</v>
      </c>
    </row>
    <row r="196" spans="1:42">
      <c r="A196" t="str">
        <f t="shared" si="94"/>
        <v>Derived heat</v>
      </c>
      <c r="C196" t="str">
        <f t="shared" si="78"/>
        <v>R_ES-SH-DH_HET</v>
      </c>
      <c r="D196" t="s">
        <v>630</v>
      </c>
      <c r="E196" t="str">
        <f t="shared" si="79"/>
        <v>R_ES-DH-SpHeat</v>
      </c>
      <c r="F196" s="496">
        <f t="shared" ref="F196:AP196" ca="1" si="96">F296*F$287*1.15</f>
        <v>0.12000127216270405</v>
      </c>
      <c r="G196" s="496">
        <f t="shared" ca="1" si="96"/>
        <v>8.7662285040013874E-2</v>
      </c>
      <c r="H196" s="496">
        <f t="shared" ca="1" si="96"/>
        <v>4.354196170694867E-2</v>
      </c>
      <c r="I196" s="496">
        <f t="shared" ca="1" si="96"/>
        <v>0.1160266522519154</v>
      </c>
      <c r="J196" s="496">
        <f t="shared" ca="1" si="96"/>
        <v>0.27773941026134596</v>
      </c>
      <c r="K196" s="496">
        <f t="shared" ca="1" si="96"/>
        <v>9.4994744319596022E-2</v>
      </c>
      <c r="L196" s="496">
        <f t="shared" ca="1" si="96"/>
        <v>0.11313671402959961</v>
      </c>
      <c r="M196" s="496">
        <f t="shared" ca="1" si="96"/>
        <v>9.7389100917747218E-2</v>
      </c>
      <c r="N196" s="496">
        <f t="shared" ca="1" si="96"/>
        <v>0.11413397738907198</v>
      </c>
      <c r="O196" s="496">
        <f t="shared" ca="1" si="96"/>
        <v>0.11491269950558458</v>
      </c>
      <c r="P196" s="496">
        <f t="shared" ca="1" si="96"/>
        <v>0.19160978046185456</v>
      </c>
      <c r="Q196" s="496">
        <f t="shared" ca="1" si="96"/>
        <v>0.12202244789672904</v>
      </c>
      <c r="R196" s="496">
        <f t="shared" ca="1" si="96"/>
        <v>8.113087676526172E-2</v>
      </c>
      <c r="S196" s="496">
        <f t="shared" ca="1" si="96"/>
        <v>7.5648988812701976E-2</v>
      </c>
      <c r="T196" s="496">
        <f t="shared" ca="1" si="96"/>
        <v>9.3334359605724268E-2</v>
      </c>
      <c r="U196" s="496">
        <f t="shared" ca="1" si="96"/>
        <v>7.9139151715527337E-2</v>
      </c>
      <c r="V196" s="496">
        <f t="shared" ca="1" si="96"/>
        <v>0.23289603317741051</v>
      </c>
      <c r="W196" s="496">
        <f t="shared" ca="1" si="96"/>
        <v>9.6035646691772725E-2</v>
      </c>
      <c r="X196" s="496">
        <f t="shared" ca="1" si="96"/>
        <v>8.398139043097505E-2</v>
      </c>
      <c r="Y196" s="496">
        <f t="shared" ca="1" si="96"/>
        <v>8.403957494435968E-2</v>
      </c>
      <c r="Z196" s="496">
        <f t="shared" ca="1" si="96"/>
        <v>0.10728500282186997</v>
      </c>
      <c r="AA196" s="496">
        <f t="shared" ca="1" si="96"/>
        <v>0.39421630896855442</v>
      </c>
      <c r="AB196" s="496">
        <f t="shared" ca="1" si="96"/>
        <v>0.11109202465293047</v>
      </c>
      <c r="AC196" s="496">
        <f t="shared" ca="1" si="96"/>
        <v>9.6496696767131906E-2</v>
      </c>
      <c r="AD196" s="496">
        <f t="shared" ca="1" si="96"/>
        <v>0.10947771189281079</v>
      </c>
      <c r="AE196" s="496">
        <f t="shared" ca="1" si="96"/>
        <v>2.5852597756519175E-2</v>
      </c>
      <c r="AF196" s="496">
        <f t="shared" ca="1" si="96"/>
        <v>6.8276332310354626E-2</v>
      </c>
      <c r="AG196" s="496">
        <f t="shared" ca="1" si="96"/>
        <v>0.1456716984004838</v>
      </c>
      <c r="AH196" s="496">
        <f t="shared" ca="1" si="96"/>
        <v>9.7440171396880007E-2</v>
      </c>
      <c r="AI196" s="496">
        <f t="shared" ca="1" si="96"/>
        <v>9.7667824050684748E-2</v>
      </c>
      <c r="AJ196" s="496">
        <f t="shared" ca="1" si="96"/>
        <v>9.4466668227107795E-2</v>
      </c>
      <c r="AK196" s="496">
        <f t="shared" ca="1" si="96"/>
        <v>8.4468616509959016E-2</v>
      </c>
      <c r="AL196" s="496">
        <f t="shared" ca="1" si="96"/>
        <v>3.823206207291989E-2</v>
      </c>
      <c r="AM196" s="496">
        <f t="shared" ca="1" si="96"/>
        <v>8.497282696062726E-2</v>
      </c>
      <c r="AN196" s="496">
        <f t="shared" ca="1" si="96"/>
        <v>4.13122631243057E-2</v>
      </c>
      <c r="AO196" s="496">
        <f t="shared" ca="1" si="96"/>
        <v>5.4211567141220642E-2</v>
      </c>
      <c r="AP196" s="496">
        <f t="shared" ca="1" si="96"/>
        <v>3.6945856970375314E-2</v>
      </c>
    </row>
    <row r="197" spans="1:42">
      <c r="A197" t="str">
        <f t="shared" si="94"/>
        <v>GDO and other liquids (incl. liq. bio.)</v>
      </c>
      <c r="C197" t="str">
        <f t="shared" si="78"/>
        <v>R_ES-SH-DH_OIL</v>
      </c>
      <c r="D197" t="s">
        <v>630</v>
      </c>
      <c r="E197" t="str">
        <f t="shared" si="79"/>
        <v>R_ES-DH-SpHeat</v>
      </c>
      <c r="F197" s="496">
        <f t="shared" ref="F197:AP197" ca="1" si="97">F297*F$287*1.15</f>
        <v>0.1333472443159798</v>
      </c>
      <c r="G197" s="496">
        <f t="shared" ca="1" si="97"/>
        <v>0.11752389258202005</v>
      </c>
      <c r="H197" s="496">
        <f t="shared" ca="1" si="97"/>
        <v>6.5766077540738016E-2</v>
      </c>
      <c r="I197" s="496">
        <f t="shared" ca="1" si="97"/>
        <v>0.12930120934331207</v>
      </c>
      <c r="J197" s="496">
        <f t="shared" ca="1" si="97"/>
        <v>6.2129293702949201E-2</v>
      </c>
      <c r="K197" s="496">
        <f t="shared" ca="1" si="97"/>
        <v>8.0272477171214954E-2</v>
      </c>
      <c r="L197" s="496">
        <f t="shared" ca="1" si="97"/>
        <v>0.12709128305443992</v>
      </c>
      <c r="M197" s="496">
        <f t="shared" ca="1" si="97"/>
        <v>0.10905838968678519</v>
      </c>
      <c r="N197" s="496">
        <f t="shared" ca="1" si="97"/>
        <v>0.11394068218676805</v>
      </c>
      <c r="O197" s="496">
        <f t="shared" ca="1" si="97"/>
        <v>8.515534942987113E-2</v>
      </c>
      <c r="P197" s="496">
        <f t="shared" ca="1" si="97"/>
        <v>0.21514291392448534</v>
      </c>
      <c r="Q197" s="496">
        <f t="shared" ca="1" si="97"/>
        <v>0.13135532316518406</v>
      </c>
      <c r="R197" s="496">
        <f t="shared" ca="1" si="97"/>
        <v>7.9499912176824672E-2</v>
      </c>
      <c r="S197" s="496">
        <f t="shared" ca="1" si="97"/>
        <v>8.9095140901243278E-2</v>
      </c>
      <c r="T197" s="496">
        <f t="shared" ca="1" si="97"/>
        <v>7.8711006478987378E-2</v>
      </c>
      <c r="U197" s="496">
        <f t="shared" ca="1" si="97"/>
        <v>0.13628198738640285</v>
      </c>
      <c r="V197" s="496">
        <f t="shared" ca="1" si="97"/>
        <v>0.26116137780995075</v>
      </c>
      <c r="W197" s="496">
        <f t="shared" ca="1" si="97"/>
        <v>0.10514542078577044</v>
      </c>
      <c r="X197" s="496">
        <f t="shared" ca="1" si="97"/>
        <v>9.8666411034444276E-2</v>
      </c>
      <c r="Y197" s="496">
        <f t="shared" ca="1" si="97"/>
        <v>0.17747887190725484</v>
      </c>
      <c r="Z197" s="496">
        <f t="shared" ca="1" si="97"/>
        <v>0.12027521828076164</v>
      </c>
      <c r="AA197" s="496">
        <f t="shared" ca="1" si="97"/>
        <v>0.39421630896855442</v>
      </c>
      <c r="AB197" s="496">
        <f t="shared" ca="1" si="97"/>
        <v>0.12474121855817738</v>
      </c>
      <c r="AC197" s="496">
        <f t="shared" ca="1" si="97"/>
        <v>0.10820798421506797</v>
      </c>
      <c r="AD197" s="496">
        <f t="shared" ca="1" si="97"/>
        <v>0.12036779036456681</v>
      </c>
      <c r="AE197" s="496">
        <f t="shared" ca="1" si="97"/>
        <v>2.8014579090118057E-2</v>
      </c>
      <c r="AF197" s="496">
        <f t="shared" ca="1" si="97"/>
        <v>5.1010721777746432E-2</v>
      </c>
      <c r="AG197" s="496">
        <f t="shared" ca="1" si="97"/>
        <v>0.16356092199784783</v>
      </c>
      <c r="AH197" s="496">
        <f t="shared" ca="1" si="97"/>
        <v>0.11787643953601869</v>
      </c>
      <c r="AI197" s="496">
        <f t="shared" ca="1" si="97"/>
        <v>8.1283311653251214E-2</v>
      </c>
      <c r="AJ197" s="496">
        <f t="shared" ca="1" si="97"/>
        <v>0.11648098036459779</v>
      </c>
      <c r="AK197" s="496">
        <f t="shared" ca="1" si="97"/>
        <v>3.4116376403225387E-2</v>
      </c>
      <c r="AL197" s="496">
        <f t="shared" ca="1" si="97"/>
        <v>7.0121398992618031E-2</v>
      </c>
      <c r="AM197" s="496">
        <f t="shared" ca="1" si="97"/>
        <v>8.497282696062726E-2</v>
      </c>
      <c r="AN197" s="496">
        <f t="shared" ca="1" si="97"/>
        <v>4.585425948592612E-2</v>
      </c>
      <c r="AO197" s="496">
        <f t="shared" ca="1" si="97"/>
        <v>5.9953880794286867E-2</v>
      </c>
      <c r="AP197" s="496">
        <f t="shared" ca="1" si="97"/>
        <v>4.0859315113958523E-2</v>
      </c>
    </row>
    <row r="198" spans="1:42">
      <c r="A198" t="str">
        <f t="shared" si="94"/>
        <v>Biomass and wastes</v>
      </c>
      <c r="C198" t="str">
        <f t="shared" si="78"/>
        <v>R_ES-SH-DH_BIO</v>
      </c>
      <c r="D198" t="s">
        <v>630</v>
      </c>
      <c r="E198" t="str">
        <f t="shared" si="79"/>
        <v>R_ES-DH-SpHeat</v>
      </c>
      <c r="F198" s="496">
        <f t="shared" ref="F198:AP198" ca="1" si="98">F298*F$287*1.15</f>
        <v>0.1411305658895794</v>
      </c>
      <c r="G198" s="496">
        <f t="shared" ca="1" si="98"/>
        <v>0.13077991623792556</v>
      </c>
      <c r="H198" s="496">
        <f t="shared" ca="1" si="98"/>
        <v>5.3662525314771906E-2</v>
      </c>
      <c r="I198" s="496">
        <f t="shared" ca="1" si="98"/>
        <v>0.12469907066735823</v>
      </c>
      <c r="J198" s="496">
        <f t="shared" ca="1" si="98"/>
        <v>5.5568459452383187E-2</v>
      </c>
      <c r="K198" s="496">
        <f t="shared" ca="1" si="98"/>
        <v>0.11578146307440901</v>
      </c>
      <c r="L198" s="496">
        <f t="shared" ca="1" si="98"/>
        <v>0.13445792229622183</v>
      </c>
      <c r="M198" s="496">
        <f t="shared" ca="1" si="98"/>
        <v>0.11216605457769944</v>
      </c>
      <c r="N198" s="496">
        <f t="shared" ca="1" si="98"/>
        <v>0.14577030399688765</v>
      </c>
      <c r="O198" s="496">
        <f t="shared" ca="1" si="98"/>
        <v>8.769626444580611E-2</v>
      </c>
      <c r="P198" s="496">
        <f t="shared" ca="1" si="98"/>
        <v>0.22772182907619623</v>
      </c>
      <c r="Q198" s="496">
        <f t="shared" ca="1" si="98"/>
        <v>0.14501817878420351</v>
      </c>
      <c r="R198" s="496">
        <f t="shared" ca="1" si="98"/>
        <v>8.4658405932218975E-2</v>
      </c>
      <c r="S198" s="496">
        <f t="shared" ca="1" si="98"/>
        <v>9.4120129929069582E-2</v>
      </c>
      <c r="T198" s="496">
        <f t="shared" ca="1" si="98"/>
        <v>0.1087226833421784</v>
      </c>
      <c r="U198" s="496">
        <f t="shared" ca="1" si="98"/>
        <v>0.1397312207486113</v>
      </c>
      <c r="V198" s="496">
        <f t="shared" ca="1" si="98"/>
        <v>9.3416739436769938E-2</v>
      </c>
      <c r="W198" s="496">
        <f t="shared" ca="1" si="98"/>
        <v>0.11413392811432552</v>
      </c>
      <c r="X198" s="496">
        <f t="shared" ca="1" si="98"/>
        <v>0.10204446616445109</v>
      </c>
      <c r="Y198" s="496">
        <f t="shared" ca="1" si="98"/>
        <v>0.19406241816235686</v>
      </c>
      <c r="Z198" s="496">
        <f t="shared" ca="1" si="98"/>
        <v>0.11584370788030028</v>
      </c>
      <c r="AA198" s="496">
        <f t="shared" ca="1" si="98"/>
        <v>2.7208772062191258E-2</v>
      </c>
      <c r="AB198" s="496">
        <f t="shared" ca="1" si="98"/>
        <v>0.11332933696713893</v>
      </c>
      <c r="AC198" s="496">
        <f t="shared" ca="1" si="98"/>
        <v>0.10453187198442214</v>
      </c>
      <c r="AD198" s="496">
        <f t="shared" ca="1" si="98"/>
        <v>0.13739823339703366</v>
      </c>
      <c r="AE198" s="496">
        <f t="shared" ca="1" si="98"/>
        <v>2.9033929221138073E-2</v>
      </c>
      <c r="AF198" s="496">
        <f t="shared" ca="1" si="98"/>
        <v>8.6319469706620564E-2</v>
      </c>
      <c r="AG198" s="496">
        <f t="shared" ca="1" si="98"/>
        <v>0.18144063310030087</v>
      </c>
      <c r="AH198" s="496">
        <f t="shared" ca="1" si="98"/>
        <v>0.10934000874653071</v>
      </c>
      <c r="AI198" s="496">
        <f t="shared" ca="1" si="98"/>
        <v>0.12028938886893706</v>
      </c>
      <c r="AJ198" s="496">
        <f t="shared" ca="1" si="98"/>
        <v>0.12361314981599406</v>
      </c>
      <c r="AK198" s="496">
        <f t="shared" ca="1" si="98"/>
        <v>3.5411689407220816E-2</v>
      </c>
      <c r="AL198" s="496">
        <f t="shared" ca="1" si="98"/>
        <v>4.3698128811712519E-2</v>
      </c>
      <c r="AM198" s="496">
        <f t="shared" ca="1" si="98"/>
        <v>8.4012110940703696E-2</v>
      </c>
      <c r="AN198" s="496">
        <f t="shared" ca="1" si="98"/>
        <v>4.7595230387955614E-2</v>
      </c>
      <c r="AO198" s="496">
        <f t="shared" ca="1" si="98"/>
        <v>6.1962235767026717E-2</v>
      </c>
      <c r="AP198" s="496">
        <f t="shared" ca="1" si="98"/>
        <v>4.2228033995950952E-2</v>
      </c>
    </row>
    <row r="199" spans="1:42">
      <c r="A199" t="str">
        <f t="shared" si="94"/>
        <v>Solids</v>
      </c>
      <c r="C199" t="str">
        <f t="shared" si="78"/>
        <v>R_ES-SH-DH_COA</v>
      </c>
      <c r="D199" t="s">
        <v>630</v>
      </c>
      <c r="E199" t="str">
        <f t="shared" si="79"/>
        <v>R_ES-DH-SpHeat</v>
      </c>
      <c r="F199" s="496">
        <f t="shared" ref="F199:AP199" ca="1" si="99">F299*F$287*1.15</f>
        <v>0.13536095553319349</v>
      </c>
      <c r="G199" s="496">
        <f t="shared" ca="1" si="99"/>
        <v>0.10981546250322034</v>
      </c>
      <c r="H199" s="496">
        <f t="shared" ca="1" si="99"/>
        <v>4.7285361377586599E-2</v>
      </c>
      <c r="I199" s="496">
        <f t="shared" ca="1" si="99"/>
        <v>0.1199522116402075</v>
      </c>
      <c r="J199" s="496">
        <f t="shared" ca="1" si="99"/>
        <v>0.27773941026134596</v>
      </c>
      <c r="K199" s="496">
        <f t="shared" ca="1" si="99"/>
        <v>0.10608028256378921</v>
      </c>
      <c r="L199" s="496">
        <f t="shared" ca="1" si="99"/>
        <v>0.11909125068519227</v>
      </c>
      <c r="M199" s="496">
        <f t="shared" ca="1" si="99"/>
        <v>6.6695759462460175E-2</v>
      </c>
      <c r="N199" s="496">
        <f t="shared" ca="1" si="99"/>
        <v>0.11395645175620549</v>
      </c>
      <c r="O199" s="496">
        <f t="shared" ca="1" si="99"/>
        <v>7.8579053800138604E-2</v>
      </c>
      <c r="P199" s="496">
        <f t="shared" ca="1" si="99"/>
        <v>0.20228907672822993</v>
      </c>
      <c r="Q199" s="496">
        <f t="shared" ca="1" si="99"/>
        <v>0.13616338109081644</v>
      </c>
      <c r="R199" s="496">
        <f t="shared" ca="1" si="99"/>
        <v>0.12209425416161646</v>
      </c>
      <c r="S199" s="496">
        <f t="shared" ca="1" si="99"/>
        <v>9.5456626800802927E-2</v>
      </c>
      <c r="T199" s="496">
        <f t="shared" ca="1" si="99"/>
        <v>8.4974037297920732E-2</v>
      </c>
      <c r="U199" s="496">
        <f t="shared" ca="1" si="99"/>
        <v>0.11856350202623123</v>
      </c>
      <c r="V199" s="496">
        <f t="shared" ca="1" si="99"/>
        <v>9.3416739436769938E-2</v>
      </c>
      <c r="W199" s="496">
        <f t="shared" ca="1" si="99"/>
        <v>9.4121656288588942E-2</v>
      </c>
      <c r="X199" s="496">
        <f t="shared" ca="1" si="99"/>
        <v>9.1063820069514648E-2</v>
      </c>
      <c r="Y199" s="496">
        <f t="shared" ca="1" si="99"/>
        <v>0.16260023959846859</v>
      </c>
      <c r="Z199" s="496">
        <f t="shared" ca="1" si="99"/>
        <v>0.15482274797343629</v>
      </c>
      <c r="AA199" s="496">
        <f t="shared" ca="1" si="99"/>
        <v>0.39421630896855442</v>
      </c>
      <c r="AB199" s="496">
        <f t="shared" ca="1" si="99"/>
        <v>0.10233827837146128</v>
      </c>
      <c r="AC199" s="496">
        <f t="shared" ca="1" si="99"/>
        <v>0.10903291737499908</v>
      </c>
      <c r="AD199" s="496">
        <f t="shared" ca="1" si="99"/>
        <v>0.12356930739193706</v>
      </c>
      <c r="AE199" s="496">
        <f t="shared" ca="1" si="99"/>
        <v>7.6293827234595352E-2</v>
      </c>
      <c r="AF199" s="496">
        <f t="shared" ca="1" si="99"/>
        <v>3.8768980456338496E-2</v>
      </c>
      <c r="AG199" s="496">
        <f t="shared" ca="1" si="99"/>
        <v>8.8337286233762677E-2</v>
      </c>
      <c r="AH199" s="496">
        <f t="shared" ca="1" si="99"/>
        <v>0.10512177972931951</v>
      </c>
      <c r="AI199" s="496">
        <f t="shared" ca="1" si="99"/>
        <v>0.10606405747622241</v>
      </c>
      <c r="AJ199" s="496">
        <f t="shared" ca="1" si="99"/>
        <v>0.1065420922902641</v>
      </c>
      <c r="AK199" s="496">
        <f t="shared" ca="1" si="99"/>
        <v>8.4468616509959016E-2</v>
      </c>
      <c r="AL199" s="496">
        <f t="shared" ca="1" si="99"/>
        <v>4.0949852285972393E-2</v>
      </c>
      <c r="AM199" s="496">
        <f t="shared" ca="1" si="99"/>
        <v>8.497282696062726E-2</v>
      </c>
      <c r="AN199" s="496">
        <f t="shared" ca="1" si="99"/>
        <v>7.9910362844633334E-2</v>
      </c>
      <c r="AO199" s="496">
        <f t="shared" ca="1" si="99"/>
        <v>5.8065287255234792E-2</v>
      </c>
      <c r="AP199" s="496">
        <f t="shared" ca="1" si="99"/>
        <v>3.9572215137910476E-2</v>
      </c>
    </row>
    <row r="200" spans="1:42">
      <c r="A200" t="str">
        <f t="shared" si="94"/>
        <v>LPG</v>
      </c>
      <c r="C200" t="str">
        <f t="shared" si="78"/>
        <v>R_ES-SH-DH_LPG</v>
      </c>
      <c r="D200" t="s">
        <v>630</v>
      </c>
      <c r="E200" t="str">
        <f t="shared" si="79"/>
        <v>R_ES-DH-SpHeat</v>
      </c>
      <c r="F200" s="496">
        <f t="shared" ref="F200:AP200" ca="1" si="100">F300*F$287*1.15</f>
        <v>0.1323562620348076</v>
      </c>
      <c r="G200" s="496">
        <f t="shared" ca="1" si="100"/>
        <v>0.12258796598684898</v>
      </c>
      <c r="H200" s="496">
        <f t="shared" ca="1" si="100"/>
        <v>4.7639266201208466E-2</v>
      </c>
      <c r="I200" s="496">
        <f t="shared" ca="1" si="100"/>
        <v>9.9003785534894834E-2</v>
      </c>
      <c r="J200" s="496">
        <f t="shared" ca="1" si="100"/>
        <v>6.2606951048820789E-2</v>
      </c>
      <c r="K200" s="496">
        <f t="shared" ca="1" si="100"/>
        <v>8.0272477171214954E-2</v>
      </c>
      <c r="L200" s="496">
        <f t="shared" ca="1" si="100"/>
        <v>0.12661394849591473</v>
      </c>
      <c r="M200" s="496">
        <f t="shared" ca="1" si="100"/>
        <v>0.11255768244517254</v>
      </c>
      <c r="N200" s="496">
        <f t="shared" ca="1" si="100"/>
        <v>0.1076289528411314</v>
      </c>
      <c r="O200" s="496">
        <f t="shared" ca="1" si="100"/>
        <v>8.4139277533956128E-2</v>
      </c>
      <c r="P200" s="496">
        <f t="shared" ca="1" si="100"/>
        <v>0.10941463864284587</v>
      </c>
      <c r="Q200" s="496">
        <f t="shared" ca="1" si="100"/>
        <v>0.13734661070874055</v>
      </c>
      <c r="R200" s="496">
        <f t="shared" ca="1" si="100"/>
        <v>0.12209425416161646</v>
      </c>
      <c r="S200" s="496">
        <f t="shared" ca="1" si="100"/>
        <v>8.9797946215299213E-2</v>
      </c>
      <c r="T200" s="496">
        <f t="shared" ca="1" si="100"/>
        <v>0.11402796479567992</v>
      </c>
      <c r="U200" s="496">
        <f t="shared" ca="1" si="100"/>
        <v>0.13237477613199991</v>
      </c>
      <c r="V200" s="496">
        <f t="shared" ca="1" si="100"/>
        <v>9.3416739436769938E-2</v>
      </c>
      <c r="W200" s="496">
        <f t="shared" ca="1" si="100"/>
        <v>0.10602366658840788</v>
      </c>
      <c r="X200" s="496">
        <f t="shared" ca="1" si="100"/>
        <v>9.5772417174196517E-2</v>
      </c>
      <c r="Y200" s="496">
        <f t="shared" ca="1" si="100"/>
        <v>8.403957494435968E-2</v>
      </c>
      <c r="Z200" s="496">
        <f t="shared" ca="1" si="100"/>
        <v>9.983256101299405E-2</v>
      </c>
      <c r="AA200" s="496">
        <f t="shared" ca="1" si="100"/>
        <v>4.100193196660365E-2</v>
      </c>
      <c r="AB200" s="496">
        <f t="shared" ca="1" si="100"/>
        <v>7.487245239370631E-2</v>
      </c>
      <c r="AC200" s="496">
        <f t="shared" ca="1" si="100"/>
        <v>0.10903291737499908</v>
      </c>
      <c r="AD200" s="496">
        <f t="shared" ca="1" si="100"/>
        <v>9.8046493876404878E-2</v>
      </c>
      <c r="AE200" s="496">
        <f t="shared" ca="1" si="100"/>
        <v>2.7073838645307893E-2</v>
      </c>
      <c r="AF200" s="496">
        <f t="shared" ca="1" si="100"/>
        <v>8.1988453862375688E-2</v>
      </c>
      <c r="AG200" s="496">
        <f t="shared" ca="1" si="100"/>
        <v>8.8337286233762677E-2</v>
      </c>
      <c r="AH200" s="496">
        <f t="shared" ca="1" si="100"/>
        <v>0.1133681584936389</v>
      </c>
      <c r="AI200" s="496">
        <f t="shared" ca="1" si="100"/>
        <v>8.1283311653251214E-2</v>
      </c>
      <c r="AJ200" s="496">
        <f t="shared" ca="1" si="100"/>
        <v>0.1139600040502097</v>
      </c>
      <c r="AK200" s="496">
        <f t="shared" ca="1" si="100"/>
        <v>8.4468616509959016E-2</v>
      </c>
      <c r="AL200" s="496">
        <f t="shared" ca="1" si="100"/>
        <v>7.0121398992618031E-2</v>
      </c>
      <c r="AM200" s="496">
        <f t="shared" ca="1" si="100"/>
        <v>8.497282696062726E-2</v>
      </c>
      <c r="AN200" s="496">
        <f t="shared" ca="1" si="100"/>
        <v>7.9910362844633334E-2</v>
      </c>
      <c r="AO200" s="496">
        <f t="shared" ca="1" si="100"/>
        <v>5.9953880794286853E-2</v>
      </c>
      <c r="AP200" s="496">
        <f t="shared" ca="1" si="100"/>
        <v>4.0859315113958523E-2</v>
      </c>
    </row>
    <row r="201" spans="1:42">
      <c r="A201" t="str">
        <f t="shared" si="94"/>
        <v>Geothermal Energy</v>
      </c>
      <c r="C201" t="str">
        <f t="shared" si="78"/>
        <v>R_ES-SH-DH_GEO</v>
      </c>
      <c r="D201" t="s">
        <v>630</v>
      </c>
      <c r="E201" t="str">
        <f t="shared" si="79"/>
        <v>R_ES-DH-SpHeat</v>
      </c>
      <c r="F201" s="496">
        <f t="shared" ref="F201:AP201" ca="1" si="101">F301*F$287*1.15</f>
        <v>0</v>
      </c>
      <c r="G201" s="496">
        <f t="shared" ca="1" si="101"/>
        <v>0</v>
      </c>
      <c r="H201" s="496">
        <f t="shared" ca="1" si="101"/>
        <v>0</v>
      </c>
      <c r="I201" s="496">
        <f t="shared" ca="1" si="101"/>
        <v>0.11602665225191534</v>
      </c>
      <c r="J201" s="496">
        <f t="shared" ca="1" si="101"/>
        <v>5.5231793842924461E-2</v>
      </c>
      <c r="K201" s="496">
        <f t="shared" ca="1" si="101"/>
        <v>0</v>
      </c>
      <c r="L201" s="496">
        <f t="shared" ca="1" si="101"/>
        <v>0.11707639845250213</v>
      </c>
      <c r="M201" s="496">
        <f t="shared" ca="1" si="101"/>
        <v>0</v>
      </c>
      <c r="N201" s="496">
        <f t="shared" ca="1" si="101"/>
        <v>0</v>
      </c>
      <c r="O201" s="496">
        <f t="shared" ca="1" si="101"/>
        <v>8.4785809652671171E-2</v>
      </c>
      <c r="P201" s="496">
        <f t="shared" ca="1" si="101"/>
        <v>0</v>
      </c>
      <c r="Q201" s="496">
        <f t="shared" ca="1" si="101"/>
        <v>0.12705433123850307</v>
      </c>
      <c r="R201" s="496">
        <f t="shared" ca="1" si="101"/>
        <v>9.4433862731313725E-2</v>
      </c>
      <c r="S201" s="496">
        <f t="shared" ca="1" si="101"/>
        <v>0</v>
      </c>
      <c r="T201" s="496">
        <f t="shared" ca="1" si="101"/>
        <v>0</v>
      </c>
      <c r="U201" s="496">
        <f t="shared" ca="1" si="101"/>
        <v>0</v>
      </c>
      <c r="V201" s="496">
        <f t="shared" ca="1" si="101"/>
        <v>0.23289603317741056</v>
      </c>
      <c r="W201" s="496">
        <f t="shared" ca="1" si="101"/>
        <v>8.6793711776037036E-2</v>
      </c>
      <c r="X201" s="496">
        <f t="shared" ca="1" si="101"/>
        <v>0</v>
      </c>
      <c r="Y201" s="496">
        <f t="shared" ca="1" si="101"/>
        <v>0</v>
      </c>
      <c r="Z201" s="496">
        <f t="shared" ca="1" si="101"/>
        <v>0</v>
      </c>
      <c r="AA201" s="496">
        <f t="shared" ca="1" si="101"/>
        <v>0</v>
      </c>
      <c r="AB201" s="496">
        <f t="shared" ca="1" si="101"/>
        <v>0</v>
      </c>
      <c r="AC201" s="496">
        <f t="shared" ca="1" si="101"/>
        <v>0</v>
      </c>
      <c r="AD201" s="496">
        <f t="shared" ca="1" si="101"/>
        <v>0.11510211964026631</v>
      </c>
      <c r="AE201" s="496">
        <f t="shared" ca="1" si="101"/>
        <v>0</v>
      </c>
      <c r="AF201" s="496">
        <f t="shared" ca="1" si="101"/>
        <v>9.2386096326708245E-2</v>
      </c>
      <c r="AG201" s="496">
        <f t="shared" ca="1" si="101"/>
        <v>0</v>
      </c>
      <c r="AH201" s="496">
        <f t="shared" ca="1" si="101"/>
        <v>0.10136808077515225</v>
      </c>
      <c r="AI201" s="496">
        <f t="shared" ca="1" si="101"/>
        <v>0</v>
      </c>
      <c r="AJ201" s="496">
        <f t="shared" ca="1" si="101"/>
        <v>0</v>
      </c>
      <c r="AK201" s="496">
        <f t="shared" ca="1" si="101"/>
        <v>0</v>
      </c>
      <c r="AL201" s="496">
        <f t="shared" ca="1" si="101"/>
        <v>0</v>
      </c>
      <c r="AM201" s="496">
        <f t="shared" ca="1" si="101"/>
        <v>0</v>
      </c>
      <c r="AN201" s="496">
        <f t="shared" ca="1" si="101"/>
        <v>0</v>
      </c>
      <c r="AO201" s="496">
        <f t="shared" ca="1" si="101"/>
        <v>0</v>
      </c>
      <c r="AP201" s="496">
        <f t="shared" ca="1" si="101"/>
        <v>0</v>
      </c>
    </row>
    <row r="202" spans="1:42">
      <c r="A202" t="str">
        <f t="shared" si="94"/>
        <v>Electricity</v>
      </c>
      <c r="C202" t="str">
        <f t="shared" si="78"/>
        <v>R_ES-SH-DH-70_ELC-R</v>
      </c>
      <c r="D202" t="s">
        <v>630</v>
      </c>
      <c r="E202" t="str">
        <f t="shared" si="79"/>
        <v>R_ES-DH-70-SpHeat</v>
      </c>
      <c r="F202" s="496">
        <f t="shared" ref="F202:AP202" ca="1" si="102">F292*F$288*1.15</f>
        <v>5.9546226233634196E-2</v>
      </c>
      <c r="G202" s="496">
        <f t="shared" ca="1" si="102"/>
        <v>0.11365469455756334</v>
      </c>
      <c r="H202" s="496">
        <f t="shared" ca="1" si="102"/>
        <v>4.8817654442793984E-2</v>
      </c>
      <c r="I202" s="496">
        <f t="shared" ca="1" si="102"/>
        <v>7.4230578046304049E-2</v>
      </c>
      <c r="J202" s="496">
        <f t="shared" ca="1" si="102"/>
        <v>6.1172876911727972E-2</v>
      </c>
      <c r="K202" s="496">
        <f t="shared" ca="1" si="102"/>
        <v>0.10051331406224258</v>
      </c>
      <c r="L202" s="496">
        <f t="shared" ca="1" si="102"/>
        <v>5.548604329770717E-2</v>
      </c>
      <c r="M202" s="496">
        <f t="shared" ca="1" si="102"/>
        <v>1.9342695177337225E-2</v>
      </c>
      <c r="N202" s="496">
        <f t="shared" ca="1" si="102"/>
        <v>2.447039360055359E-2</v>
      </c>
      <c r="O202" s="496">
        <f t="shared" ca="1" si="102"/>
        <v>6.4163732707522875E-2</v>
      </c>
      <c r="P202" s="496">
        <f t="shared" ca="1" si="102"/>
        <v>6.7863981363824794E-2</v>
      </c>
      <c r="Q202" s="496">
        <f t="shared" ca="1" si="102"/>
        <v>5.1570662364886145E-2</v>
      </c>
      <c r="R202" s="496">
        <f t="shared" ca="1" si="102"/>
        <v>9.341807469683E-2</v>
      </c>
      <c r="S202" s="496">
        <f t="shared" ca="1" si="102"/>
        <v>7.4397048636614727E-2</v>
      </c>
      <c r="T202" s="496">
        <f t="shared" ca="1" si="102"/>
        <v>8.7214270991406162E-2</v>
      </c>
      <c r="U202" s="496">
        <f t="shared" ca="1" si="102"/>
        <v>7.9385042588736784E-2</v>
      </c>
      <c r="V202" s="496">
        <f t="shared" ca="1" si="102"/>
        <v>0.18762773097177407</v>
      </c>
      <c r="W202" s="496">
        <f t="shared" ca="1" si="102"/>
        <v>8.7575329528993655E-3</v>
      </c>
      <c r="X202" s="496">
        <f t="shared" ca="1" si="102"/>
        <v>5.5887058215954022E-2</v>
      </c>
      <c r="Y202" s="496">
        <f t="shared" ca="1" si="102"/>
        <v>7.1604510869037991E-2</v>
      </c>
      <c r="Z202" s="496">
        <f t="shared" ca="1" si="102"/>
        <v>7.9552632260401573E-2</v>
      </c>
      <c r="AA202" s="496">
        <f t="shared" ca="1" si="102"/>
        <v>3.5981656375699417E-2</v>
      </c>
      <c r="AB202" s="496">
        <f t="shared" ca="1" si="102"/>
        <v>7.3205638606141557E-2</v>
      </c>
      <c r="AC202" s="496">
        <f t="shared" ca="1" si="102"/>
        <v>7.5062533770546835E-2</v>
      </c>
      <c r="AD202" s="496">
        <f t="shared" ca="1" si="102"/>
        <v>9.8966191482975016E-2</v>
      </c>
      <c r="AE202" s="496">
        <f t="shared" ca="1" si="102"/>
        <v>1.3942742742625457E-2</v>
      </c>
      <c r="AF202" s="496">
        <f t="shared" ca="1" si="102"/>
        <v>8.9318001081368975E-2</v>
      </c>
      <c r="AG202" s="496">
        <f t="shared" ca="1" si="102"/>
        <v>0.12230855079571007</v>
      </c>
      <c r="AH202" s="496">
        <f t="shared" ca="1" si="102"/>
        <v>8.8476316394784857E-2</v>
      </c>
      <c r="AI202" s="496">
        <f t="shared" ca="1" si="102"/>
        <v>9.9789775678502876E-2</v>
      </c>
      <c r="AJ202" s="496">
        <f t="shared" ca="1" si="102"/>
        <v>6.9155188415414126E-2</v>
      </c>
      <c r="AK202" s="496">
        <f t="shared" ca="1" si="102"/>
        <v>3.3814735933716186E-2</v>
      </c>
      <c r="AL202" s="496">
        <f t="shared" ca="1" si="102"/>
        <v>4.2113787573982348E-2</v>
      </c>
      <c r="AM202" s="496">
        <f t="shared" ca="1" si="102"/>
        <v>8.0546437005811808E-2</v>
      </c>
      <c r="AN202" s="496">
        <f t="shared" ca="1" si="102"/>
        <v>3.6728231372514228E-2</v>
      </c>
      <c r="AO202" s="496">
        <f t="shared" ca="1" si="102"/>
        <v>5.9715701922736647E-2</v>
      </c>
      <c r="AP202" s="496">
        <f t="shared" ca="1" si="102"/>
        <v>4.0696993251933454E-2</v>
      </c>
    </row>
    <row r="203" spans="1:42">
      <c r="A203" s="819" t="s">
        <v>937</v>
      </c>
      <c r="C203" t="str">
        <f t="shared" si="78"/>
        <v>R_ES-SH-DH-70_ELC-HPA</v>
      </c>
      <c r="D203" t="s">
        <v>630</v>
      </c>
      <c r="E203" t="str">
        <f t="shared" si="79"/>
        <v>R_ES-DH-70-SpHeat</v>
      </c>
      <c r="F203" s="496">
        <f t="shared" ref="F203:AP203" ca="1" si="103">F293*F$288*1.15</f>
        <v>5.9546226233634196E-2</v>
      </c>
      <c r="G203" s="496">
        <f t="shared" ca="1" si="103"/>
        <v>9.5679441586121565E-3</v>
      </c>
      <c r="H203" s="496">
        <f t="shared" ca="1" si="103"/>
        <v>4.8817654442793984E-2</v>
      </c>
      <c r="I203" s="496">
        <f t="shared" ca="1" si="103"/>
        <v>7.4230578046304049E-2</v>
      </c>
      <c r="J203" s="496">
        <f t="shared" ca="1" si="103"/>
        <v>6.1172876911727972E-2</v>
      </c>
      <c r="K203" s="496">
        <f t="shared" ca="1" si="103"/>
        <v>0.10051331406224258</v>
      </c>
      <c r="L203" s="496">
        <f t="shared" ca="1" si="103"/>
        <v>5.548604329770717E-2</v>
      </c>
      <c r="M203" s="496">
        <f t="shared" ca="1" si="103"/>
        <v>1.9342695177337225E-2</v>
      </c>
      <c r="N203" s="496">
        <f t="shared" ca="1" si="103"/>
        <v>2.447039360055359E-2</v>
      </c>
      <c r="O203" s="496">
        <f t="shared" ca="1" si="103"/>
        <v>6.4163732707522875E-2</v>
      </c>
      <c r="P203" s="496">
        <f t="shared" ca="1" si="103"/>
        <v>6.7863981363824794E-2</v>
      </c>
      <c r="Q203" s="496">
        <f t="shared" ca="1" si="103"/>
        <v>5.1570662364886145E-2</v>
      </c>
      <c r="R203" s="496">
        <f t="shared" ca="1" si="103"/>
        <v>9.341807469683E-2</v>
      </c>
      <c r="S203" s="496">
        <f t="shared" ca="1" si="103"/>
        <v>7.4397048636614727E-2</v>
      </c>
      <c r="T203" s="496">
        <f t="shared" ca="1" si="103"/>
        <v>8.7214270991406162E-2</v>
      </c>
      <c r="U203" s="496">
        <f t="shared" ca="1" si="103"/>
        <v>7.9385042588736784E-2</v>
      </c>
      <c r="V203" s="496">
        <f t="shared" ca="1" si="103"/>
        <v>0.18762773097177407</v>
      </c>
      <c r="W203" s="496">
        <f t="shared" ca="1" si="103"/>
        <v>8.7575329528993655E-3</v>
      </c>
      <c r="X203" s="496">
        <f t="shared" ca="1" si="103"/>
        <v>5.5887058215954022E-2</v>
      </c>
      <c r="Y203" s="496">
        <f t="shared" ca="1" si="103"/>
        <v>7.1604510869037991E-2</v>
      </c>
      <c r="Z203" s="496">
        <f t="shared" ca="1" si="103"/>
        <v>7.9552632260401573E-2</v>
      </c>
      <c r="AA203" s="496">
        <f t="shared" ca="1" si="103"/>
        <v>3.5981656375699417E-2</v>
      </c>
      <c r="AB203" s="496">
        <f t="shared" ca="1" si="103"/>
        <v>7.3205638606141557E-2</v>
      </c>
      <c r="AC203" s="496">
        <f t="shared" ca="1" si="103"/>
        <v>7.5062533770546835E-2</v>
      </c>
      <c r="AD203" s="496">
        <f t="shared" ca="1" si="103"/>
        <v>9.8966191482975016E-2</v>
      </c>
      <c r="AE203" s="496">
        <f t="shared" ca="1" si="103"/>
        <v>1.3942742742625457E-2</v>
      </c>
      <c r="AF203" s="496">
        <f t="shared" ca="1" si="103"/>
        <v>8.9318001081368975E-2</v>
      </c>
      <c r="AG203" s="496">
        <f t="shared" ca="1" si="103"/>
        <v>0.12230855079571007</v>
      </c>
      <c r="AH203" s="496">
        <f t="shared" ca="1" si="103"/>
        <v>8.8476316394784857E-2</v>
      </c>
      <c r="AI203" s="496">
        <f t="shared" ca="1" si="103"/>
        <v>9.9789775678502876E-2</v>
      </c>
      <c r="AJ203" s="496">
        <f t="shared" ca="1" si="103"/>
        <v>6.9155188415414126E-2</v>
      </c>
      <c r="AK203" s="496">
        <f t="shared" ca="1" si="103"/>
        <v>3.3814735933716186E-2</v>
      </c>
      <c r="AL203" s="496">
        <f t="shared" ca="1" si="103"/>
        <v>4.2113787573982348E-2</v>
      </c>
      <c r="AM203" s="496">
        <f t="shared" ca="1" si="103"/>
        <v>8.0546437005811808E-2</v>
      </c>
      <c r="AN203" s="496">
        <f t="shared" ca="1" si="103"/>
        <v>3.6728231372514228E-2</v>
      </c>
      <c r="AO203" s="496">
        <f t="shared" ca="1" si="103"/>
        <v>5.9715701922736647E-2</v>
      </c>
      <c r="AP203" s="496">
        <f t="shared" ca="1" si="103"/>
        <v>4.0696993251933454E-2</v>
      </c>
    </row>
    <row r="204" spans="1:42">
      <c r="A204" s="819" t="s">
        <v>938</v>
      </c>
      <c r="C204" t="str">
        <f t="shared" si="78"/>
        <v>R_ES-SH-DH-70_ELC-HPG</v>
      </c>
      <c r="D204" t="s">
        <v>630</v>
      </c>
      <c r="E204" t="str">
        <f t="shared" si="79"/>
        <v>R_ES-DH-70-SpHeat</v>
      </c>
      <c r="F204" s="496">
        <f t="shared" ref="F204:AP204" ca="1" si="104">F294*F$288*1.15</f>
        <v>5.9546226233634196E-2</v>
      </c>
      <c r="G204" s="496">
        <f t="shared" ca="1" si="104"/>
        <v>9.5679441586121565E-3</v>
      </c>
      <c r="H204" s="496">
        <f t="shared" ca="1" si="104"/>
        <v>4.8817654442793984E-2</v>
      </c>
      <c r="I204" s="496">
        <f t="shared" ca="1" si="104"/>
        <v>7.4230578046304049E-2</v>
      </c>
      <c r="J204" s="496">
        <f t="shared" ca="1" si="104"/>
        <v>6.1172876911727972E-2</v>
      </c>
      <c r="K204" s="496">
        <f t="shared" ca="1" si="104"/>
        <v>0.10051331406224258</v>
      </c>
      <c r="L204" s="496">
        <f t="shared" ca="1" si="104"/>
        <v>5.548604329770717E-2</v>
      </c>
      <c r="M204" s="496">
        <f t="shared" ca="1" si="104"/>
        <v>1.9342695177337225E-2</v>
      </c>
      <c r="N204" s="496">
        <f t="shared" ca="1" si="104"/>
        <v>2.447039360055359E-2</v>
      </c>
      <c r="O204" s="496">
        <f t="shared" ca="1" si="104"/>
        <v>6.4163732707522875E-2</v>
      </c>
      <c r="P204" s="496">
        <f t="shared" ca="1" si="104"/>
        <v>6.7863981363824794E-2</v>
      </c>
      <c r="Q204" s="496">
        <f t="shared" ca="1" si="104"/>
        <v>5.1570662364886145E-2</v>
      </c>
      <c r="R204" s="496">
        <f t="shared" ca="1" si="104"/>
        <v>9.341807469683E-2</v>
      </c>
      <c r="S204" s="496">
        <f t="shared" ca="1" si="104"/>
        <v>7.4397048636614727E-2</v>
      </c>
      <c r="T204" s="496">
        <f t="shared" ca="1" si="104"/>
        <v>8.7214270991406162E-2</v>
      </c>
      <c r="U204" s="496">
        <f t="shared" ca="1" si="104"/>
        <v>7.9385042588736784E-2</v>
      </c>
      <c r="V204" s="496">
        <f t="shared" ca="1" si="104"/>
        <v>0.18762773097177407</v>
      </c>
      <c r="W204" s="496">
        <f t="shared" ca="1" si="104"/>
        <v>8.7575329528993655E-3</v>
      </c>
      <c r="X204" s="496">
        <f t="shared" ca="1" si="104"/>
        <v>5.5887058215954022E-2</v>
      </c>
      <c r="Y204" s="496">
        <f t="shared" ca="1" si="104"/>
        <v>7.1604510869037991E-2</v>
      </c>
      <c r="Z204" s="496">
        <f t="shared" ca="1" si="104"/>
        <v>7.9552632260401573E-2</v>
      </c>
      <c r="AA204" s="496">
        <f t="shared" ca="1" si="104"/>
        <v>3.5981656375699417E-2</v>
      </c>
      <c r="AB204" s="496">
        <f t="shared" ca="1" si="104"/>
        <v>7.3205638606141557E-2</v>
      </c>
      <c r="AC204" s="496">
        <f t="shared" ca="1" si="104"/>
        <v>7.5062533770546835E-2</v>
      </c>
      <c r="AD204" s="496">
        <f t="shared" ca="1" si="104"/>
        <v>9.8966191482975016E-2</v>
      </c>
      <c r="AE204" s="496">
        <f t="shared" ca="1" si="104"/>
        <v>1.3942742742625457E-2</v>
      </c>
      <c r="AF204" s="496">
        <f t="shared" ca="1" si="104"/>
        <v>8.9318001081368975E-2</v>
      </c>
      <c r="AG204" s="496">
        <f t="shared" ca="1" si="104"/>
        <v>0.12230855079571007</v>
      </c>
      <c r="AH204" s="496">
        <f t="shared" ca="1" si="104"/>
        <v>8.8476316394784857E-2</v>
      </c>
      <c r="AI204" s="496">
        <f t="shared" ca="1" si="104"/>
        <v>9.9789775678502876E-2</v>
      </c>
      <c r="AJ204" s="496">
        <f t="shared" ca="1" si="104"/>
        <v>6.9155188415414126E-2</v>
      </c>
      <c r="AK204" s="496">
        <f t="shared" ca="1" si="104"/>
        <v>3.3814735933716186E-2</v>
      </c>
      <c r="AL204" s="496">
        <f t="shared" ca="1" si="104"/>
        <v>4.2113787573982348E-2</v>
      </c>
      <c r="AM204" s="496">
        <f t="shared" ca="1" si="104"/>
        <v>8.0546437005811808E-2</v>
      </c>
      <c r="AN204" s="496">
        <f t="shared" ca="1" si="104"/>
        <v>3.6728231372514228E-2</v>
      </c>
      <c r="AO204" s="496">
        <f t="shared" ca="1" si="104"/>
        <v>5.9715701922736647E-2</v>
      </c>
      <c r="AP204" s="496">
        <f t="shared" ca="1" si="104"/>
        <v>4.0696993251933454E-2</v>
      </c>
    </row>
    <row r="205" spans="1:42">
      <c r="A205" t="str">
        <f t="shared" ref="A205:A212" si="105">A160</f>
        <v>Gases</v>
      </c>
      <c r="C205" t="str">
        <f t="shared" si="78"/>
        <v>R_ES-SH-DH-70_GAS</v>
      </c>
      <c r="D205" t="s">
        <v>630</v>
      </c>
      <c r="E205" t="str">
        <f t="shared" si="79"/>
        <v>R_ES-DH-70-SpHeat</v>
      </c>
      <c r="F205" s="496">
        <f t="shared" ref="F205:AP205" ca="1" si="106">F295*F$288*1.15</f>
        <v>8.3835465423235278E-2</v>
      </c>
      <c r="G205" s="496">
        <f ca="1">G295*G$288*1.15</f>
        <v>0.11525402728355451</v>
      </c>
      <c r="H205" s="496">
        <f t="shared" ca="1" si="106"/>
        <v>4.0829001964976755E-2</v>
      </c>
      <c r="I205" s="496">
        <f t="shared" ca="1" si="106"/>
        <v>7.911379020898425E-2</v>
      </c>
      <c r="J205" s="496">
        <f t="shared" ca="1" si="106"/>
        <v>0.24323059503135902</v>
      </c>
      <c r="K205" s="496">
        <f t="shared" ca="1" si="106"/>
        <v>0.10096779340359842</v>
      </c>
      <c r="L205" s="496">
        <f t="shared" ca="1" si="106"/>
        <v>6.4259520237213916E-2</v>
      </c>
      <c r="M205" s="496">
        <f t="shared" ca="1" si="106"/>
        <v>7.0519075766359643E-2</v>
      </c>
      <c r="N205" s="496">
        <f t="shared" ca="1" si="106"/>
        <v>9.6840383150806633E-2</v>
      </c>
      <c r="O205" s="496">
        <f t="shared" ca="1" si="106"/>
        <v>6.2073435557993384E-2</v>
      </c>
      <c r="P205" s="496">
        <f t="shared" ca="1" si="106"/>
        <v>0.15927312458595519</v>
      </c>
      <c r="Q205" s="496">
        <f t="shared" ca="1" si="106"/>
        <v>5.6561736240387558E-2</v>
      </c>
      <c r="R205" s="496">
        <f t="shared" ca="1" si="106"/>
        <v>7.8479885314143294E-2</v>
      </c>
      <c r="S205" s="496">
        <f t="shared" ca="1" si="106"/>
        <v>6.6370884457079671E-2</v>
      </c>
      <c r="T205" s="496">
        <f t="shared" ca="1" si="106"/>
        <v>7.5637134691501601E-2</v>
      </c>
      <c r="U205" s="496">
        <f t="shared" ca="1" si="106"/>
        <v>7.4412422022443719E-2</v>
      </c>
      <c r="V205" s="496">
        <f t="shared" ca="1" si="106"/>
        <v>6.5571370039625182E-2</v>
      </c>
      <c r="W205" s="496">
        <f t="shared" ca="1" si="106"/>
        <v>9.0474851820689373E-2</v>
      </c>
      <c r="X205" s="496">
        <f t="shared" ca="1" si="106"/>
        <v>6.9087314809685746E-2</v>
      </c>
      <c r="Y205" s="496">
        <f t="shared" ca="1" si="106"/>
        <v>8.6813091560907982E-2</v>
      </c>
      <c r="Z205" s="496">
        <f t="shared" ca="1" si="106"/>
        <v>9.3481584594281492E-2</v>
      </c>
      <c r="AA205" s="496">
        <f t="shared" ca="1" si="106"/>
        <v>0.31474118965658548</v>
      </c>
      <c r="AB205" s="496">
        <f t="shared" ca="1" si="106"/>
        <v>8.294710053800515E-2</v>
      </c>
      <c r="AC205" s="496">
        <f t="shared" ca="1" si="106"/>
        <v>7.6377043401435279E-2</v>
      </c>
      <c r="AD205" s="496">
        <f t="shared" ca="1" si="106"/>
        <v>8.1321580728577716E-2</v>
      </c>
      <c r="AE205" s="496">
        <f t="shared" ca="1" si="106"/>
        <v>2.692680248741907E-2</v>
      </c>
      <c r="AF205" s="496">
        <f t="shared" ca="1" si="106"/>
        <v>7.5720723726978537E-2</v>
      </c>
      <c r="AG205" s="496">
        <f t="shared" ca="1" si="106"/>
        <v>0.12071108628607886</v>
      </c>
      <c r="AH205" s="496">
        <f t="shared" ca="1" si="106"/>
        <v>7.4052458741773297E-2</v>
      </c>
      <c r="AI205" s="496">
        <f t="shared" ca="1" si="106"/>
        <v>9.1305762278731606E-2</v>
      </c>
      <c r="AJ205" s="496">
        <f t="shared" ca="1" si="106"/>
        <v>6.7557431244705299E-2</v>
      </c>
      <c r="AK205" s="496">
        <f t="shared" ca="1" si="106"/>
        <v>7.8119389257498839E-2</v>
      </c>
      <c r="AL205" s="496">
        <f t="shared" ca="1" si="106"/>
        <v>4.0250040629288296E-2</v>
      </c>
      <c r="AM205" s="496">
        <f t="shared" ca="1" si="106"/>
        <v>7.6308392579445466E-2</v>
      </c>
      <c r="AN205" s="496">
        <f t="shared" ca="1" si="106"/>
        <v>5.9723298994628179E-2</v>
      </c>
      <c r="AO205" s="496">
        <f t="shared" ca="1" si="106"/>
        <v>5.7072981725384483E-2</v>
      </c>
      <c r="AP205" s="496">
        <f t="shared" ca="1" si="106"/>
        <v>6.3299435235582152E-2</v>
      </c>
    </row>
    <row r="206" spans="1:42">
      <c r="A206" t="str">
        <f t="shared" si="105"/>
        <v>Derived heat</v>
      </c>
      <c r="C206" t="str">
        <f t="shared" si="78"/>
        <v>R_ES-SH-DH-70_HET</v>
      </c>
      <c r="D206" t="s">
        <v>630</v>
      </c>
      <c r="E206" t="str">
        <f t="shared" si="79"/>
        <v>R_ES-DH-70-SpHeat</v>
      </c>
      <c r="F206" s="496">
        <f t="shared" ref="F206:AP206" ca="1" si="107">F296*F$288*1.15</f>
        <v>6.9352159773336711E-2</v>
      </c>
      <c r="G206" s="496">
        <f t="shared" ca="1" si="107"/>
        <v>7.4259407909570557E-2</v>
      </c>
      <c r="H206" s="496">
        <f t="shared" ca="1" si="107"/>
        <v>3.2663330965124977E-2</v>
      </c>
      <c r="I206" s="496">
        <f t="shared" ca="1" si="107"/>
        <v>6.7055113499380842E-2</v>
      </c>
      <c r="J206" s="496">
        <f t="shared" ca="1" si="107"/>
        <v>0.24323059503135902</v>
      </c>
      <c r="K206" s="496">
        <f t="shared" ca="1" si="107"/>
        <v>7.5054855062700113E-2</v>
      </c>
      <c r="L206" s="496">
        <f t="shared" ca="1" si="107"/>
        <v>5.4274121046614283E-2</v>
      </c>
      <c r="M206" s="496">
        <f t="shared" ca="1" si="107"/>
        <v>5.8389978458947021E-2</v>
      </c>
      <c r="N206" s="496">
        <f t="shared" ca="1" si="107"/>
        <v>7.8996274357709978E-2</v>
      </c>
      <c r="O206" s="496">
        <f t="shared" ca="1" si="107"/>
        <v>7.777610167086503E-2</v>
      </c>
      <c r="P206" s="496">
        <f t="shared" ca="1" si="107"/>
        <v>0.1344953366348198</v>
      </c>
      <c r="Q206" s="496">
        <f t="shared" ca="1" si="107"/>
        <v>4.6764788140380653E-2</v>
      </c>
      <c r="R206" s="496">
        <f t="shared" ca="1" si="107"/>
        <v>7.5032536398656438E-2</v>
      </c>
      <c r="S206" s="496">
        <f t="shared" ca="1" si="107"/>
        <v>5.6575747518401165E-2</v>
      </c>
      <c r="T206" s="496">
        <f t="shared" ca="1" si="107"/>
        <v>6.370889574882721E-2</v>
      </c>
      <c r="U206" s="496">
        <f t="shared" ca="1" si="107"/>
        <v>4.1145234827696837E-2</v>
      </c>
      <c r="V206" s="496">
        <f t="shared" ca="1" si="107"/>
        <v>0.16347511232259773</v>
      </c>
      <c r="W206" s="496">
        <f t="shared" ca="1" si="107"/>
        <v>7.618418591218297E-2</v>
      </c>
      <c r="X206" s="496">
        <f t="shared" ca="1" si="107"/>
        <v>5.3383781045310469E-2</v>
      </c>
      <c r="Y206" s="496">
        <f t="shared" ca="1" si="107"/>
        <v>3.8886106828302916E-2</v>
      </c>
      <c r="Z206" s="496">
        <f t="shared" ca="1" si="107"/>
        <v>7.1997755500823407E-2</v>
      </c>
      <c r="AA206" s="496">
        <f t="shared" ca="1" si="107"/>
        <v>0.31474118965658548</v>
      </c>
      <c r="AB206" s="496">
        <f t="shared" ca="1" si="107"/>
        <v>6.9627811510344487E-2</v>
      </c>
      <c r="AC206" s="496">
        <f t="shared" ca="1" si="107"/>
        <v>6.5400013504426494E-2</v>
      </c>
      <c r="AD206" s="496">
        <f t="shared" ca="1" si="107"/>
        <v>6.4244762091134749E-2</v>
      </c>
      <c r="AE206" s="496">
        <f t="shared" ca="1" si="107"/>
        <v>2.2189600725156914E-2</v>
      </c>
      <c r="AF206" s="496">
        <f t="shared" ca="1" si="107"/>
        <v>5.9901756566766669E-2</v>
      </c>
      <c r="AG206" s="496">
        <f t="shared" ca="1" si="107"/>
        <v>0.10193333405890813</v>
      </c>
      <c r="AH206" s="496">
        <f t="shared" ca="1" si="107"/>
        <v>6.6126435398035893E-2</v>
      </c>
      <c r="AI206" s="496">
        <f t="shared" ca="1" si="107"/>
        <v>7.3041435912312269E-2</v>
      </c>
      <c r="AJ206" s="496">
        <f t="shared" ca="1" si="107"/>
        <v>5.1754209360167294E-2</v>
      </c>
      <c r="AK206" s="496">
        <f t="shared" ca="1" si="107"/>
        <v>7.8119389257498839E-2</v>
      </c>
      <c r="AL206" s="496">
        <f t="shared" ca="1" si="107"/>
        <v>3.4512544984482127E-2</v>
      </c>
      <c r="AM206" s="496">
        <f t="shared" ca="1" si="107"/>
        <v>7.6308392579445466E-2</v>
      </c>
      <c r="AN206" s="496">
        <f t="shared" ca="1" si="107"/>
        <v>3.0875903385831797E-2</v>
      </c>
      <c r="AO206" s="496">
        <f t="shared" ca="1" si="107"/>
        <v>4.8937437537952794E-2</v>
      </c>
      <c r="AP206" s="496">
        <f t="shared" ca="1" si="107"/>
        <v>3.3351472077240686E-2</v>
      </c>
    </row>
    <row r="207" spans="1:42">
      <c r="A207" t="str">
        <f t="shared" si="105"/>
        <v>GDO and other liquids (incl. liq. bio.)</v>
      </c>
      <c r="C207" t="str">
        <f t="shared" si="78"/>
        <v>R_ES-SH-DH-70_OIL</v>
      </c>
      <c r="D207" t="s">
        <v>630</v>
      </c>
      <c r="E207" t="str">
        <f t="shared" si="79"/>
        <v>R_ES-DH-70-SpHeat</v>
      </c>
      <c r="F207" s="496">
        <f t="shared" ref="F207:AP207" ca="1" si="108">F297*F$288*1.15</f>
        <v>7.7065177947423569E-2</v>
      </c>
      <c r="G207" s="496">
        <f t="shared" ca="1" si="108"/>
        <v>9.9555409425902852E-2</v>
      </c>
      <c r="H207" s="496">
        <f t="shared" ca="1" si="108"/>
        <v>4.9334919070685476E-2</v>
      </c>
      <c r="I207" s="496">
        <f t="shared" ca="1" si="108"/>
        <v>7.4726858871168214E-2</v>
      </c>
      <c r="J207" s="496">
        <f t="shared" ca="1" si="108"/>
        <v>5.4409797522168783E-2</v>
      </c>
      <c r="K207" s="496">
        <f t="shared" ca="1" si="108"/>
        <v>6.3422868104573718E-2</v>
      </c>
      <c r="L207" s="496">
        <f t="shared" ca="1" si="108"/>
        <v>6.0968428680556783E-2</v>
      </c>
      <c r="M207" s="496">
        <f t="shared" ca="1" si="108"/>
        <v>6.5386341639574699E-2</v>
      </c>
      <c r="N207" s="496">
        <f t="shared" ca="1" si="108"/>
        <v>7.8862487722191468E-2</v>
      </c>
      <c r="O207" s="496">
        <f t="shared" ca="1" si="108"/>
        <v>5.7635501938180705E-2</v>
      </c>
      <c r="P207" s="496">
        <f t="shared" ca="1" si="108"/>
        <v>0.15101378730836865</v>
      </c>
      <c r="Q207" s="496">
        <f t="shared" ca="1" si="108"/>
        <v>5.0341588493044258E-2</v>
      </c>
      <c r="R207" s="496">
        <f t="shared" ca="1" si="108"/>
        <v>7.3524166037999605E-2</v>
      </c>
      <c r="S207" s="496">
        <f t="shared" ca="1" si="108"/>
        <v>6.6631745854860133E-2</v>
      </c>
      <c r="T207" s="496">
        <f t="shared" ca="1" si="108"/>
        <v>5.37271732215059E-2</v>
      </c>
      <c r="U207" s="496">
        <f t="shared" ca="1" si="108"/>
        <v>7.0854365408854689E-2</v>
      </c>
      <c r="V207" s="496">
        <f t="shared" ca="1" si="108"/>
        <v>0.18331521146727314</v>
      </c>
      <c r="W207" s="496">
        <f t="shared" ca="1" si="108"/>
        <v>8.3410885029673934E-2</v>
      </c>
      <c r="X207" s="496">
        <f t="shared" ca="1" si="108"/>
        <v>6.2718491039017971E-2</v>
      </c>
      <c r="Y207" s="496">
        <f t="shared" ca="1" si="108"/>
        <v>8.2121576380193143E-2</v>
      </c>
      <c r="Z207" s="496">
        <f t="shared" ca="1" si="108"/>
        <v>8.0715342599787868E-2</v>
      </c>
      <c r="AA207" s="496">
        <f t="shared" ca="1" si="108"/>
        <v>0.31474118965658548</v>
      </c>
      <c r="AB207" s="496">
        <f t="shared" ca="1" si="108"/>
        <v>7.8182552532229402E-2</v>
      </c>
      <c r="AC207" s="496">
        <f t="shared" ca="1" si="108"/>
        <v>7.3337262994920174E-2</v>
      </c>
      <c r="AD207" s="496">
        <f t="shared" ca="1" si="108"/>
        <v>7.0635382505788283E-2</v>
      </c>
      <c r="AE207" s="496">
        <f t="shared" ca="1" si="108"/>
        <v>2.4045255735907392E-2</v>
      </c>
      <c r="AF207" s="496">
        <f t="shared" ca="1" si="108"/>
        <v>4.4753895454372847E-2</v>
      </c>
      <c r="AG207" s="496">
        <f t="shared" ca="1" si="108"/>
        <v>0.11445126461801634</v>
      </c>
      <c r="AH207" s="496">
        <f t="shared" ca="1" si="108"/>
        <v>7.9995228376400482E-2</v>
      </c>
      <c r="AI207" s="496">
        <f t="shared" ca="1" si="108"/>
        <v>6.0788185429219974E-2</v>
      </c>
      <c r="AJ207" s="496">
        <f t="shared" ca="1" si="108"/>
        <v>6.3814900614194078E-2</v>
      </c>
      <c r="AK207" s="496">
        <f t="shared" ca="1" si="108"/>
        <v>3.1551960934327432E-2</v>
      </c>
      <c r="AL207" s="496">
        <f t="shared" ca="1" si="108"/>
        <v>6.3299435235582152E-2</v>
      </c>
      <c r="AM207" s="496">
        <f t="shared" ca="1" si="108"/>
        <v>7.6308392579445466E-2</v>
      </c>
      <c r="AN207" s="496">
        <f t="shared" ca="1" si="108"/>
        <v>3.4270494488677569E-2</v>
      </c>
      <c r="AO207" s="496">
        <f t="shared" ca="1" si="108"/>
        <v>5.4121093546055689E-2</v>
      </c>
      <c r="AP207" s="496">
        <f t="shared" ca="1" si="108"/>
        <v>3.6884198090493585E-2</v>
      </c>
    </row>
    <row r="208" spans="1:42">
      <c r="A208" t="str">
        <f t="shared" si="105"/>
        <v>Biomass and wastes</v>
      </c>
      <c r="C208" t="str">
        <f t="shared" si="78"/>
        <v>R_ES-SH-DH-70_BIO</v>
      </c>
      <c r="D208" t="s">
        <v>630</v>
      </c>
      <c r="E208" t="str">
        <f t="shared" si="79"/>
        <v>R_ES-DH-70-SpHeat</v>
      </c>
      <c r="F208" s="496">
        <f t="shared" ref="F208:AP208" ca="1" si="109">F298*F$288*1.15</f>
        <v>8.1563381604861998E-2</v>
      </c>
      <c r="G208" s="496">
        <f t="shared" ca="1" si="109"/>
        <v>0.11078469083778342</v>
      </c>
      <c r="H208" s="496">
        <f t="shared" ca="1" si="109"/>
        <v>4.0255348084169369E-2</v>
      </c>
      <c r="I208" s="496">
        <f t="shared" ca="1" si="109"/>
        <v>7.2067151594723225E-2</v>
      </c>
      <c r="J208" s="496">
        <f t="shared" ca="1" si="109"/>
        <v>4.8664139687129501E-2</v>
      </c>
      <c r="K208" s="496">
        <f t="shared" ca="1" si="109"/>
        <v>9.1478333798773348E-2</v>
      </c>
      <c r="L208" s="496">
        <f t="shared" ca="1" si="109"/>
        <v>6.4502364356031738E-2</v>
      </c>
      <c r="M208" s="496">
        <f t="shared" ca="1" si="109"/>
        <v>6.7249553070095697E-2</v>
      </c>
      <c r="N208" s="496">
        <f t="shared" ca="1" si="109"/>
        <v>0.1008929259381745</v>
      </c>
      <c r="O208" s="496">
        <f t="shared" ca="1" si="109"/>
        <v>5.9355263683111101E-2</v>
      </c>
      <c r="P208" s="496">
        <f t="shared" ca="1" si="109"/>
        <v>0.15984321879016611</v>
      </c>
      <c r="Q208" s="496">
        <f t="shared" ca="1" si="109"/>
        <v>5.5577842636681883E-2</v>
      </c>
      <c r="R208" s="496">
        <f t="shared" ca="1" si="109"/>
        <v>7.8294912834977304E-2</v>
      </c>
      <c r="S208" s="496">
        <f t="shared" ca="1" si="109"/>
        <v>7.0389793582701046E-2</v>
      </c>
      <c r="T208" s="496">
        <f t="shared" ca="1" si="109"/>
        <v>7.4212777886299264E-2</v>
      </c>
      <c r="U208" s="496">
        <f t="shared" ca="1" si="109"/>
        <v>7.2647656259048982E-2</v>
      </c>
      <c r="V208" s="496">
        <f t="shared" ca="1" si="109"/>
        <v>6.5571370039625182E-2</v>
      </c>
      <c r="W208" s="496">
        <f t="shared" ca="1" si="109"/>
        <v>9.0541384349259652E-2</v>
      </c>
      <c r="X208" s="496">
        <f t="shared" ca="1" si="109"/>
        <v>6.4865792417261856E-2</v>
      </c>
      <c r="Y208" s="496">
        <f t="shared" ca="1" si="109"/>
        <v>8.9794979674949815E-2</v>
      </c>
      <c r="Z208" s="496">
        <f t="shared" ca="1" si="109"/>
        <v>7.7741405945831496E-2</v>
      </c>
      <c r="AA208" s="496">
        <f t="shared" ca="1" si="109"/>
        <v>2.1723406904081304E-2</v>
      </c>
      <c r="AB208" s="496">
        <f t="shared" ca="1" si="109"/>
        <v>7.1030064827719508E-2</v>
      </c>
      <c r="AC208" s="496">
        <f t="shared" ca="1" si="109"/>
        <v>7.0845801653935545E-2</v>
      </c>
      <c r="AD208" s="496">
        <f t="shared" ca="1" si="109"/>
        <v>8.0629350611357606E-2</v>
      </c>
      <c r="AE208" s="496">
        <f t="shared" ca="1" si="109"/>
        <v>2.492017641581341E-2</v>
      </c>
      <c r="AF208" s="496">
        <f t="shared" ca="1" si="109"/>
        <v>7.573177536594479E-2</v>
      </c>
      <c r="AG208" s="496">
        <f t="shared" ca="1" si="109"/>
        <v>0.12696253883734032</v>
      </c>
      <c r="AH208" s="496">
        <f t="shared" ca="1" si="109"/>
        <v>7.4202096744563517E-2</v>
      </c>
      <c r="AI208" s="496">
        <f t="shared" ca="1" si="109"/>
        <v>8.9959101407256922E-2</v>
      </c>
      <c r="AJ208" s="496">
        <f t="shared" ca="1" si="109"/>
        <v>6.7722308358186378E-2</v>
      </c>
      <c r="AK208" s="496">
        <f t="shared" ca="1" si="109"/>
        <v>3.274990953287573E-2</v>
      </c>
      <c r="AL208" s="496">
        <f t="shared" ca="1" si="109"/>
        <v>3.9446829560892224E-2</v>
      </c>
      <c r="AM208" s="496">
        <f t="shared" ca="1" si="109"/>
        <v>7.5445638004507556E-2</v>
      </c>
      <c r="AN208" s="496">
        <f t="shared" ca="1" si="109"/>
        <v>3.5571658968746478E-2</v>
      </c>
      <c r="AO208" s="496">
        <f t="shared" ca="1" si="109"/>
        <v>5.5934059878064969E-2</v>
      </c>
      <c r="AP208" s="496">
        <f t="shared" ca="1" si="109"/>
        <v>3.8119757184736966E-2</v>
      </c>
    </row>
    <row r="209" spans="1:42">
      <c r="A209" t="str">
        <f t="shared" si="105"/>
        <v>Solids</v>
      </c>
      <c r="C209" t="str">
        <f t="shared" si="78"/>
        <v>R_ES-SH-DH-70_COA</v>
      </c>
      <c r="D209" t="s">
        <v>630</v>
      </c>
      <c r="E209" t="str">
        <f t="shared" si="79"/>
        <v>R_ES-DH-70-SpHeat</v>
      </c>
      <c r="F209" s="496">
        <f t="shared" ref="F209:AP209" ca="1" si="110">F299*F$288*1.15</f>
        <v>7.8228959127044848E-2</v>
      </c>
      <c r="G209" s="496">
        <f t="shared" ca="1" si="110"/>
        <v>9.3025537961764021E-2</v>
      </c>
      <c r="H209" s="496">
        <f t="shared" ca="1" si="110"/>
        <v>3.5471470460532097E-2</v>
      </c>
      <c r="I209" s="496">
        <f t="shared" ca="1" si="110"/>
        <v>6.9323806297299118E-2</v>
      </c>
      <c r="J209" s="496">
        <f t="shared" ca="1" si="110"/>
        <v>0.24323059503135902</v>
      </c>
      <c r="K209" s="496">
        <f t="shared" ca="1" si="110"/>
        <v>8.3813481365337617E-2</v>
      </c>
      <c r="L209" s="496">
        <f t="shared" ca="1" si="110"/>
        <v>5.7130640665326089E-2</v>
      </c>
      <c r="M209" s="496">
        <f t="shared" ca="1" si="110"/>
        <v>3.9987677487702232E-2</v>
      </c>
      <c r="N209" s="496">
        <f t="shared" ca="1" si="110"/>
        <v>7.8873402414400398E-2</v>
      </c>
      <c r="O209" s="496">
        <f t="shared" ca="1" si="110"/>
        <v>5.3184482688642613E-2</v>
      </c>
      <c r="P209" s="496">
        <f t="shared" ca="1" si="110"/>
        <v>0.14199138168485351</v>
      </c>
      <c r="Q209" s="496">
        <f t="shared" ca="1" si="110"/>
        <v>5.2184264280446681E-2</v>
      </c>
      <c r="R209" s="496">
        <f t="shared" ca="1" si="110"/>
        <v>0.11291683184879411</v>
      </c>
      <c r="S209" s="496">
        <f t="shared" ca="1" si="110"/>
        <v>7.1389321940727474E-2</v>
      </c>
      <c r="T209" s="496">
        <f t="shared" ca="1" si="110"/>
        <v>5.8002241687188552E-2</v>
      </c>
      <c r="U209" s="496">
        <f t="shared" ca="1" si="110"/>
        <v>6.1642348030200744E-2</v>
      </c>
      <c r="V209" s="496">
        <f t="shared" ca="1" si="110"/>
        <v>6.5571370039625182E-2</v>
      </c>
      <c r="W209" s="496">
        <f t="shared" ca="1" si="110"/>
        <v>7.4665835115022366E-2</v>
      </c>
      <c r="X209" s="496">
        <f t="shared" ca="1" si="110"/>
        <v>5.7885812640076313E-2</v>
      </c>
      <c r="Y209" s="496">
        <f t="shared" ca="1" si="110"/>
        <v>7.5237056964173266E-2</v>
      </c>
      <c r="Z209" s="496">
        <f t="shared" ca="1" si="110"/>
        <v>0.10389980017118276</v>
      </c>
      <c r="AA209" s="496">
        <f t="shared" ca="1" si="110"/>
        <v>0.31474118965658548</v>
      </c>
      <c r="AB209" s="496">
        <f t="shared" ca="1" si="110"/>
        <v>6.4141331288206982E-2</v>
      </c>
      <c r="AC209" s="496">
        <f t="shared" ca="1" si="110"/>
        <v>7.3896356120459361E-2</v>
      </c>
      <c r="AD209" s="496">
        <f t="shared" ca="1" si="110"/>
        <v>7.251412746855751E-2</v>
      </c>
      <c r="AE209" s="496">
        <f t="shared" ca="1" si="110"/>
        <v>6.5483924674566665E-2</v>
      </c>
      <c r="AF209" s="496">
        <f t="shared" ca="1" si="110"/>
        <v>3.4013690411503324E-2</v>
      </c>
      <c r="AG209" s="496">
        <f t="shared" ca="1" si="110"/>
        <v>6.1813751101934107E-2</v>
      </c>
      <c r="AH209" s="496">
        <f t="shared" ca="1" si="110"/>
        <v>7.133945349792338E-2</v>
      </c>
      <c r="AI209" s="496">
        <f t="shared" ca="1" si="110"/>
        <v>7.9320606679319075E-2</v>
      </c>
      <c r="AJ209" s="496">
        <f t="shared" ca="1" si="110"/>
        <v>5.8369812903789037E-2</v>
      </c>
      <c r="AK209" s="496">
        <f t="shared" ca="1" si="110"/>
        <v>7.8119389257498839E-2</v>
      </c>
      <c r="AL209" s="496">
        <f t="shared" ca="1" si="110"/>
        <v>3.6965927091036035E-2</v>
      </c>
      <c r="AM209" s="496">
        <f t="shared" ca="1" si="110"/>
        <v>7.6308392579445466E-2</v>
      </c>
      <c r="AN209" s="496">
        <f t="shared" ca="1" si="110"/>
        <v>5.9723298994628179E-2</v>
      </c>
      <c r="AO209" s="496">
        <f t="shared" ca="1" si="110"/>
        <v>5.2416237309172123E-2</v>
      </c>
      <c r="AP209" s="496">
        <f t="shared" ca="1" si="110"/>
        <v>3.5722317370113915E-2</v>
      </c>
    </row>
    <row r="210" spans="1:42">
      <c r="A210" t="str">
        <f t="shared" si="105"/>
        <v>LPG</v>
      </c>
      <c r="C210" t="str">
        <f t="shared" si="78"/>
        <v>R_ES-SH-DH-70_LPG</v>
      </c>
      <c r="D210" t="s">
        <v>630</v>
      </c>
      <c r="E210" t="str">
        <f t="shared" si="79"/>
        <v>R_ES-DH-70-SpHeat</v>
      </c>
      <c r="F210" s="496">
        <f t="shared" ref="F210:AP210" ca="1" si="111">F300*F$288*1.15</f>
        <v>7.6492461006529691E-2</v>
      </c>
      <c r="G210" s="496">
        <f t="shared" ca="1" si="111"/>
        <v>0.10384522565053751</v>
      </c>
      <c r="H210" s="496">
        <f t="shared" ca="1" si="111"/>
        <v>3.5736954833099313E-2</v>
      </c>
      <c r="I210" s="496">
        <f t="shared" ca="1" si="111"/>
        <v>5.7217113025866344E-2</v>
      </c>
      <c r="J210" s="496">
        <f t="shared" ca="1" si="111"/>
        <v>5.482810646992712E-2</v>
      </c>
      <c r="K210" s="496">
        <f t="shared" ca="1" si="111"/>
        <v>6.3422868104573718E-2</v>
      </c>
      <c r="L210" s="496">
        <f t="shared" ca="1" si="111"/>
        <v>6.0739441001081217E-2</v>
      </c>
      <c r="M210" s="496">
        <f t="shared" ca="1" si="111"/>
        <v>6.7484354937349708E-2</v>
      </c>
      <c r="N210" s="496">
        <f t="shared" ca="1" si="111"/>
        <v>7.4493910419747775E-2</v>
      </c>
      <c r="O210" s="496">
        <f t="shared" ca="1" si="111"/>
        <v>5.6947796302323155E-2</v>
      </c>
      <c r="P210" s="496">
        <f t="shared" ca="1" si="111"/>
        <v>7.6800665506614435E-2</v>
      </c>
      <c r="Q210" s="496">
        <f t="shared" ca="1" si="111"/>
        <v>5.2637733976862507E-2</v>
      </c>
      <c r="R210" s="496">
        <f t="shared" ca="1" si="111"/>
        <v>0.11291683184879411</v>
      </c>
      <c r="S210" s="496">
        <f t="shared" ca="1" si="111"/>
        <v>6.7157354149520426E-2</v>
      </c>
      <c r="T210" s="496">
        <f t="shared" ca="1" si="111"/>
        <v>7.7834098313922212E-2</v>
      </c>
      <c r="U210" s="496">
        <f t="shared" ca="1" si="111"/>
        <v>6.8822967281645733E-2</v>
      </c>
      <c r="V210" s="496">
        <f t="shared" ca="1" si="111"/>
        <v>6.5571370039625182E-2</v>
      </c>
      <c r="W210" s="496">
        <f t="shared" ca="1" si="111"/>
        <v>8.4107589262004137E-2</v>
      </c>
      <c r="X210" s="496">
        <f t="shared" ca="1" si="111"/>
        <v>6.0878889029702371E-2</v>
      </c>
      <c r="Y210" s="496">
        <f t="shared" ca="1" si="111"/>
        <v>3.8886106828302916E-2</v>
      </c>
      <c r="Z210" s="496">
        <f t="shared" ca="1" si="111"/>
        <v>6.6996505846848603E-2</v>
      </c>
      <c r="AA210" s="496">
        <f t="shared" ca="1" si="111"/>
        <v>3.2735826884363148E-2</v>
      </c>
      <c r="AB210" s="496">
        <f t="shared" ca="1" si="111"/>
        <v>4.6926906039142985E-2</v>
      </c>
      <c r="AC210" s="496">
        <f t="shared" ca="1" si="111"/>
        <v>7.3896356120459361E-2</v>
      </c>
      <c r="AD210" s="496">
        <f t="shared" ca="1" si="111"/>
        <v>5.7536584972901456E-2</v>
      </c>
      <c r="AE210" s="496">
        <f t="shared" ca="1" si="111"/>
        <v>2.3237806710747818E-2</v>
      </c>
      <c r="AF210" s="496">
        <f t="shared" ca="1" si="111"/>
        <v>7.1931989290596091E-2</v>
      </c>
      <c r="AG210" s="496">
        <f t="shared" ca="1" si="111"/>
        <v>6.1813751101934107E-2</v>
      </c>
      <c r="AH210" s="496">
        <f t="shared" ca="1" si="111"/>
        <v>7.6935745302516428E-2</v>
      </c>
      <c r="AI210" s="496">
        <f t="shared" ca="1" si="111"/>
        <v>6.0788185429219974E-2</v>
      </c>
      <c r="AJ210" s="496">
        <f t="shared" ca="1" si="111"/>
        <v>6.2433766523032973E-2</v>
      </c>
      <c r="AK210" s="496">
        <f t="shared" ca="1" si="111"/>
        <v>7.8119389257498839E-2</v>
      </c>
      <c r="AL210" s="496">
        <f t="shared" ca="1" si="111"/>
        <v>6.3299435235582152E-2</v>
      </c>
      <c r="AM210" s="496">
        <f t="shared" ca="1" si="111"/>
        <v>7.6308392579445466E-2</v>
      </c>
      <c r="AN210" s="496">
        <f t="shared" ca="1" si="111"/>
        <v>5.9723298994628179E-2</v>
      </c>
      <c r="AO210" s="496">
        <f t="shared" ca="1" si="111"/>
        <v>5.4121093546055675E-2</v>
      </c>
      <c r="AP210" s="496">
        <f t="shared" ca="1" si="111"/>
        <v>3.6884198090493585E-2</v>
      </c>
    </row>
    <row r="211" spans="1:42">
      <c r="A211" t="str">
        <f t="shared" si="105"/>
        <v>Geothermal Energy</v>
      </c>
      <c r="C211" t="str">
        <f t="shared" si="78"/>
        <v>R_ES-SH-DH-70_GEO</v>
      </c>
      <c r="D211" t="s">
        <v>630</v>
      </c>
      <c r="E211" t="str">
        <f t="shared" si="79"/>
        <v>R_ES-DH-70-SpHeat</v>
      </c>
      <c r="F211" s="496">
        <f t="shared" ref="F211:AP211" ca="1" si="112">F301*F$288*1.15</f>
        <v>0</v>
      </c>
      <c r="G211" s="496">
        <f t="shared" ca="1" si="112"/>
        <v>0</v>
      </c>
      <c r="H211" s="496">
        <f t="shared" ca="1" si="112"/>
        <v>0</v>
      </c>
      <c r="I211" s="496">
        <f t="shared" ca="1" si="112"/>
        <v>6.7055113499380828E-2</v>
      </c>
      <c r="J211" s="496">
        <f t="shared" ca="1" si="112"/>
        <v>4.8369304408123953E-2</v>
      </c>
      <c r="K211" s="496">
        <f t="shared" ca="1" si="112"/>
        <v>0</v>
      </c>
      <c r="L211" s="496">
        <f t="shared" ca="1" si="112"/>
        <v>5.616407260732631E-2</v>
      </c>
      <c r="M211" s="496">
        <f t="shared" ca="1" si="112"/>
        <v>0</v>
      </c>
      <c r="N211" s="496">
        <f t="shared" ca="1" si="112"/>
        <v>0</v>
      </c>
      <c r="O211" s="496">
        <f t="shared" ca="1" si="112"/>
        <v>5.7385387169259658E-2</v>
      </c>
      <c r="P211" s="496">
        <f t="shared" ca="1" si="112"/>
        <v>0</v>
      </c>
      <c r="Q211" s="496">
        <f t="shared" ca="1" si="112"/>
        <v>4.8693244440686366E-2</v>
      </c>
      <c r="R211" s="496">
        <f t="shared" ca="1" si="112"/>
        <v>8.7335580794399986E-2</v>
      </c>
      <c r="S211" s="496">
        <f t="shared" ca="1" si="112"/>
        <v>0</v>
      </c>
      <c r="T211" s="496">
        <f t="shared" ca="1" si="112"/>
        <v>0</v>
      </c>
      <c r="U211" s="496">
        <f t="shared" ca="1" si="112"/>
        <v>0</v>
      </c>
      <c r="V211" s="496">
        <f t="shared" ca="1" si="112"/>
        <v>0.16347511232259776</v>
      </c>
      <c r="W211" s="496">
        <f t="shared" ca="1" si="112"/>
        <v>6.8852644843182986E-2</v>
      </c>
      <c r="X211" s="496">
        <f t="shared" ca="1" si="112"/>
        <v>0</v>
      </c>
      <c r="Y211" s="496">
        <f t="shared" ca="1" si="112"/>
        <v>0</v>
      </c>
      <c r="Z211" s="496">
        <f t="shared" ca="1" si="112"/>
        <v>0</v>
      </c>
      <c r="AA211" s="496">
        <f t="shared" ca="1" si="112"/>
        <v>0</v>
      </c>
      <c r="AB211" s="496">
        <f t="shared" ca="1" si="112"/>
        <v>0</v>
      </c>
      <c r="AC211" s="496">
        <f t="shared" ca="1" si="112"/>
        <v>0</v>
      </c>
      <c r="AD211" s="496">
        <f t="shared" ca="1" si="112"/>
        <v>6.7545331050710741E-2</v>
      </c>
      <c r="AE211" s="496">
        <f t="shared" ca="1" si="112"/>
        <v>0</v>
      </c>
      <c r="AF211" s="496">
        <f t="shared" ca="1" si="112"/>
        <v>8.1054287262543046E-2</v>
      </c>
      <c r="AG211" s="496">
        <f t="shared" ca="1" si="112"/>
        <v>0</v>
      </c>
      <c r="AH211" s="496">
        <f t="shared" ca="1" si="112"/>
        <v>6.8792057205018617E-2</v>
      </c>
      <c r="AI211" s="496">
        <f t="shared" ca="1" si="112"/>
        <v>0</v>
      </c>
      <c r="AJ211" s="496">
        <f t="shared" ca="1" si="112"/>
        <v>0</v>
      </c>
      <c r="AK211" s="496">
        <f t="shared" ca="1" si="112"/>
        <v>0</v>
      </c>
      <c r="AL211" s="496">
        <f t="shared" ca="1" si="112"/>
        <v>0</v>
      </c>
      <c r="AM211" s="496">
        <f t="shared" ca="1" si="112"/>
        <v>0</v>
      </c>
      <c r="AN211" s="496">
        <f t="shared" ca="1" si="112"/>
        <v>0</v>
      </c>
      <c r="AO211" s="496">
        <f t="shared" ca="1" si="112"/>
        <v>0</v>
      </c>
      <c r="AP211" s="496">
        <f t="shared" ca="1" si="112"/>
        <v>0</v>
      </c>
    </row>
    <row r="212" spans="1:42">
      <c r="A212" t="str">
        <f t="shared" si="105"/>
        <v>Electricity</v>
      </c>
      <c r="C212" t="str">
        <f t="shared" si="78"/>
        <v>R_ES-SH-SD_ELC-R</v>
      </c>
      <c r="D212" t="s">
        <v>630</v>
      </c>
      <c r="E212" t="str">
        <f t="shared" si="79"/>
        <v>R_ES-SD-SpHeat</v>
      </c>
      <c r="F212" s="496">
        <f t="shared" ref="F212:AP212" ca="1" si="113">F292*F$289*1.15</f>
        <v>4.3729969477651287E-2</v>
      </c>
      <c r="G212" s="496">
        <f t="shared" ca="1" si="113"/>
        <v>6.970242621896669E-2</v>
      </c>
      <c r="H212" s="496">
        <f t="shared" ca="1" si="113"/>
        <v>2.9002943062786272E-2</v>
      </c>
      <c r="I212" s="496">
        <f t="shared" ca="1" si="113"/>
        <v>5.6350242205595931E-2</v>
      </c>
      <c r="J212" s="496">
        <f t="shared" ca="1" si="113"/>
        <v>3.6322124567711542E-2</v>
      </c>
      <c r="K212" s="496">
        <f t="shared" ca="1" si="113"/>
        <v>6.0590002136899808E-2</v>
      </c>
      <c r="L212" s="496">
        <f t="shared" ca="1" si="113"/>
        <v>4.8352109276828335E-2</v>
      </c>
      <c r="M212" s="496">
        <f t="shared" ca="1" si="113"/>
        <v>1.3723394854394076E-2</v>
      </c>
      <c r="N212" s="496">
        <f t="shared" ca="1" si="113"/>
        <v>1.4794020953453323E-2</v>
      </c>
      <c r="O212" s="496">
        <f t="shared" ca="1" si="113"/>
        <v>4.1526896887716429E-2</v>
      </c>
      <c r="P212" s="496">
        <f t="shared" ca="1" si="113"/>
        <v>3.9543795899005529E-2</v>
      </c>
      <c r="Q212" s="496">
        <f t="shared" ca="1" si="113"/>
        <v>4.7897522182959264E-2</v>
      </c>
      <c r="R212" s="496">
        <f t="shared" ca="1" si="113"/>
        <v>5.6394068231940611E-2</v>
      </c>
      <c r="S212" s="496">
        <f t="shared" ca="1" si="113"/>
        <v>4.262211943611359E-2</v>
      </c>
      <c r="T212" s="496">
        <f t="shared" ca="1" si="113"/>
        <v>5.4828324232426555E-2</v>
      </c>
      <c r="U212" s="496">
        <f t="shared" ca="1" si="113"/>
        <v>5.4802991994306424E-2</v>
      </c>
      <c r="V212" s="496">
        <f t="shared" ca="1" si="113"/>
        <v>0.11014121051933412</v>
      </c>
      <c r="W212" s="496">
        <f t="shared" ca="1" si="113"/>
        <v>5.6331463663075827E-3</v>
      </c>
      <c r="X212" s="496">
        <f t="shared" ca="1" si="113"/>
        <v>3.8419499269597583E-2</v>
      </c>
      <c r="Y212" s="496">
        <f t="shared" ca="1" si="113"/>
        <v>6.4457133987393542E-2</v>
      </c>
      <c r="Z212" s="496">
        <f t="shared" ca="1" si="113"/>
        <v>5.0878981197575925E-2</v>
      </c>
      <c r="AA212" s="496">
        <f t="shared" ca="1" si="113"/>
        <v>2.3491730848099215E-2</v>
      </c>
      <c r="AB212" s="496">
        <f t="shared" ca="1" si="113"/>
        <v>5.4066693745917493E-2</v>
      </c>
      <c r="AC212" s="496">
        <f t="shared" ca="1" si="113"/>
        <v>4.3216459560786277E-2</v>
      </c>
      <c r="AD212" s="496">
        <f t="shared" ca="1" si="113"/>
        <v>6.7285479962280667E-2</v>
      </c>
      <c r="AE212" s="496">
        <f t="shared" ca="1" si="113"/>
        <v>8.3058487238115188E-3</v>
      </c>
      <c r="AF212" s="496">
        <f t="shared" ca="1" si="113"/>
        <v>4.9917000505371477E-2</v>
      </c>
      <c r="AG212" s="496">
        <f t="shared" ca="1" si="113"/>
        <v>7.3157736943522178E-2</v>
      </c>
      <c r="AH212" s="496">
        <f t="shared" ca="1" si="113"/>
        <v>5.8218942351136609E-2</v>
      </c>
      <c r="AI212" s="496">
        <f t="shared" ca="1" si="113"/>
        <v>6.2895551983576978E-2</v>
      </c>
      <c r="AJ212" s="496">
        <f t="shared" ca="1" si="113"/>
        <v>5.9804128248024224E-2</v>
      </c>
      <c r="AK212" s="496">
        <f t="shared" ca="1" si="113"/>
        <v>1.9799488333198445E-2</v>
      </c>
      <c r="AL212" s="496">
        <f t="shared" ca="1" si="113"/>
        <v>2.2452149504542208E-2</v>
      </c>
      <c r="AM212" s="496">
        <f t="shared" ca="1" si="113"/>
        <v>4.4031490891242676E-2</v>
      </c>
      <c r="AN212" s="496">
        <f t="shared" ca="1" si="113"/>
        <v>2.190813487555129E-2</v>
      </c>
      <c r="AO212" s="496">
        <f t="shared" ca="1" si="113"/>
        <v>3.1836268941202207E-2</v>
      </c>
      <c r="AP212" s="496">
        <f t="shared" ca="1" si="113"/>
        <v>2.1696813075114039E-2</v>
      </c>
    </row>
    <row r="213" spans="1:42">
      <c r="A213" s="819" t="s">
        <v>937</v>
      </c>
      <c r="C213" t="str">
        <f t="shared" si="78"/>
        <v>R_ES-SH-SD_ELC-HPA</v>
      </c>
      <c r="D213" t="s">
        <v>630</v>
      </c>
      <c r="E213" t="str">
        <f t="shared" si="79"/>
        <v>R_ES-SD-SpHeat</v>
      </c>
      <c r="F213" s="496">
        <f t="shared" ref="F213:AP213" ca="1" si="114">F293*F$289*1.15</f>
        <v>4.3729969477651287E-2</v>
      </c>
      <c r="G213" s="496">
        <f t="shared" ca="1" si="114"/>
        <v>5.8678519561291319E-3</v>
      </c>
      <c r="H213" s="496">
        <f t="shared" ca="1" si="114"/>
        <v>2.9002943062786272E-2</v>
      </c>
      <c r="I213" s="496">
        <f t="shared" ca="1" si="114"/>
        <v>5.6350242205595931E-2</v>
      </c>
      <c r="J213" s="496">
        <f t="shared" ca="1" si="114"/>
        <v>3.6322124567711542E-2</v>
      </c>
      <c r="K213" s="496">
        <f t="shared" ca="1" si="114"/>
        <v>6.0590002136899808E-2</v>
      </c>
      <c r="L213" s="496">
        <f t="shared" ca="1" si="114"/>
        <v>4.8352109276828335E-2</v>
      </c>
      <c r="M213" s="496">
        <f t="shared" ca="1" si="114"/>
        <v>1.3723394854394076E-2</v>
      </c>
      <c r="N213" s="496">
        <f t="shared" ca="1" si="114"/>
        <v>1.4794020953453323E-2</v>
      </c>
      <c r="O213" s="496">
        <f t="shared" ca="1" si="114"/>
        <v>4.1526896887716429E-2</v>
      </c>
      <c r="P213" s="496">
        <f t="shared" ca="1" si="114"/>
        <v>3.9543795899005529E-2</v>
      </c>
      <c r="Q213" s="496">
        <f t="shared" ca="1" si="114"/>
        <v>4.7897522182959264E-2</v>
      </c>
      <c r="R213" s="496">
        <f t="shared" ca="1" si="114"/>
        <v>5.6394068231940611E-2</v>
      </c>
      <c r="S213" s="496">
        <f t="shared" ca="1" si="114"/>
        <v>4.262211943611359E-2</v>
      </c>
      <c r="T213" s="496">
        <f t="shared" ca="1" si="114"/>
        <v>5.4828324232426555E-2</v>
      </c>
      <c r="U213" s="496">
        <f t="shared" ca="1" si="114"/>
        <v>5.4802991994306424E-2</v>
      </c>
      <c r="V213" s="496">
        <f t="shared" ca="1" si="114"/>
        <v>0.11014121051933412</v>
      </c>
      <c r="W213" s="496">
        <f t="shared" ca="1" si="114"/>
        <v>5.6331463663075827E-3</v>
      </c>
      <c r="X213" s="496">
        <f t="shared" ca="1" si="114"/>
        <v>3.8419499269597583E-2</v>
      </c>
      <c r="Y213" s="496">
        <f t="shared" ca="1" si="114"/>
        <v>6.4457133987393542E-2</v>
      </c>
      <c r="Z213" s="496">
        <f t="shared" ca="1" si="114"/>
        <v>5.0878981197575925E-2</v>
      </c>
      <c r="AA213" s="496">
        <f t="shared" ca="1" si="114"/>
        <v>2.3491730848099215E-2</v>
      </c>
      <c r="AB213" s="496">
        <f t="shared" ca="1" si="114"/>
        <v>5.4066693745917493E-2</v>
      </c>
      <c r="AC213" s="496">
        <f t="shared" ca="1" si="114"/>
        <v>4.3216459560786277E-2</v>
      </c>
      <c r="AD213" s="496">
        <f t="shared" ca="1" si="114"/>
        <v>6.7285479962280667E-2</v>
      </c>
      <c r="AE213" s="496">
        <f t="shared" ca="1" si="114"/>
        <v>8.3058487238115188E-3</v>
      </c>
      <c r="AF213" s="496">
        <f t="shared" ca="1" si="114"/>
        <v>4.9917000505371477E-2</v>
      </c>
      <c r="AG213" s="496">
        <f t="shared" ca="1" si="114"/>
        <v>7.3157736943522178E-2</v>
      </c>
      <c r="AH213" s="496">
        <f t="shared" ca="1" si="114"/>
        <v>5.8218942351136609E-2</v>
      </c>
      <c r="AI213" s="496">
        <f t="shared" ca="1" si="114"/>
        <v>6.2895551983576978E-2</v>
      </c>
      <c r="AJ213" s="496">
        <f t="shared" ca="1" si="114"/>
        <v>5.9804128248024224E-2</v>
      </c>
      <c r="AK213" s="496">
        <f t="shared" ca="1" si="114"/>
        <v>1.9799488333198445E-2</v>
      </c>
      <c r="AL213" s="496">
        <f t="shared" ca="1" si="114"/>
        <v>2.2452149504542208E-2</v>
      </c>
      <c r="AM213" s="496">
        <f t="shared" ca="1" si="114"/>
        <v>4.4031490891242676E-2</v>
      </c>
      <c r="AN213" s="496">
        <f t="shared" ca="1" si="114"/>
        <v>2.190813487555129E-2</v>
      </c>
      <c r="AO213" s="496">
        <f t="shared" ca="1" si="114"/>
        <v>3.1836268941202207E-2</v>
      </c>
      <c r="AP213" s="496">
        <f t="shared" ca="1" si="114"/>
        <v>2.1696813075114039E-2</v>
      </c>
    </row>
    <row r="214" spans="1:42">
      <c r="A214" s="819" t="s">
        <v>938</v>
      </c>
      <c r="C214" t="str">
        <f t="shared" si="78"/>
        <v>R_ES-SH-SD_ELC-HPG</v>
      </c>
      <c r="D214" t="s">
        <v>630</v>
      </c>
      <c r="E214" t="str">
        <f t="shared" si="79"/>
        <v>R_ES-SD-SpHeat</v>
      </c>
      <c r="F214" s="496">
        <f t="shared" ref="F214:AP214" ca="1" si="115">F294*F$289*1.15</f>
        <v>4.3729969477651287E-2</v>
      </c>
      <c r="G214" s="496">
        <f t="shared" ca="1" si="115"/>
        <v>5.8678519561291319E-3</v>
      </c>
      <c r="H214" s="496">
        <f t="shared" ca="1" si="115"/>
        <v>2.9002943062786272E-2</v>
      </c>
      <c r="I214" s="496">
        <f t="shared" ca="1" si="115"/>
        <v>5.6350242205595931E-2</v>
      </c>
      <c r="J214" s="496">
        <f t="shared" ca="1" si="115"/>
        <v>3.6322124567711542E-2</v>
      </c>
      <c r="K214" s="496">
        <f t="shared" ca="1" si="115"/>
        <v>6.0590002136899808E-2</v>
      </c>
      <c r="L214" s="496">
        <f t="shared" ca="1" si="115"/>
        <v>4.8352109276828335E-2</v>
      </c>
      <c r="M214" s="496">
        <f t="shared" ca="1" si="115"/>
        <v>1.3723394854394076E-2</v>
      </c>
      <c r="N214" s="496">
        <f t="shared" ca="1" si="115"/>
        <v>1.4794020953453323E-2</v>
      </c>
      <c r="O214" s="496">
        <f t="shared" ca="1" si="115"/>
        <v>4.1526896887716429E-2</v>
      </c>
      <c r="P214" s="496">
        <f t="shared" ca="1" si="115"/>
        <v>3.9543795899005529E-2</v>
      </c>
      <c r="Q214" s="496">
        <f t="shared" ca="1" si="115"/>
        <v>4.7897522182959264E-2</v>
      </c>
      <c r="R214" s="496">
        <f t="shared" ca="1" si="115"/>
        <v>5.6394068231940611E-2</v>
      </c>
      <c r="S214" s="496">
        <f t="shared" ca="1" si="115"/>
        <v>4.262211943611359E-2</v>
      </c>
      <c r="T214" s="496">
        <f t="shared" ca="1" si="115"/>
        <v>5.4828324232426555E-2</v>
      </c>
      <c r="U214" s="496">
        <f t="shared" ca="1" si="115"/>
        <v>5.4802991994306424E-2</v>
      </c>
      <c r="V214" s="496">
        <f t="shared" ca="1" si="115"/>
        <v>0.11014121051933412</v>
      </c>
      <c r="W214" s="496">
        <f t="shared" ca="1" si="115"/>
        <v>5.6331463663075827E-3</v>
      </c>
      <c r="X214" s="496">
        <f t="shared" ca="1" si="115"/>
        <v>3.8419499269597583E-2</v>
      </c>
      <c r="Y214" s="496">
        <f t="shared" ca="1" si="115"/>
        <v>6.4457133987393542E-2</v>
      </c>
      <c r="Z214" s="496">
        <f t="shared" ca="1" si="115"/>
        <v>5.0878981197575925E-2</v>
      </c>
      <c r="AA214" s="496">
        <f t="shared" ca="1" si="115"/>
        <v>2.3491730848099215E-2</v>
      </c>
      <c r="AB214" s="496">
        <f t="shared" ca="1" si="115"/>
        <v>5.4066693745917493E-2</v>
      </c>
      <c r="AC214" s="496">
        <f t="shared" ca="1" si="115"/>
        <v>4.3216459560786277E-2</v>
      </c>
      <c r="AD214" s="496">
        <f t="shared" ca="1" si="115"/>
        <v>6.7285479962280667E-2</v>
      </c>
      <c r="AE214" s="496">
        <f t="shared" ca="1" si="115"/>
        <v>8.3058487238115188E-3</v>
      </c>
      <c r="AF214" s="496">
        <f t="shared" ca="1" si="115"/>
        <v>4.9917000505371477E-2</v>
      </c>
      <c r="AG214" s="496">
        <f t="shared" ca="1" si="115"/>
        <v>7.3157736943522178E-2</v>
      </c>
      <c r="AH214" s="496">
        <f t="shared" ca="1" si="115"/>
        <v>5.8218942351136609E-2</v>
      </c>
      <c r="AI214" s="496">
        <f t="shared" ca="1" si="115"/>
        <v>6.2895551983576978E-2</v>
      </c>
      <c r="AJ214" s="496">
        <f t="shared" ca="1" si="115"/>
        <v>5.9804128248024224E-2</v>
      </c>
      <c r="AK214" s="496">
        <f t="shared" ca="1" si="115"/>
        <v>1.9799488333198445E-2</v>
      </c>
      <c r="AL214" s="496">
        <f t="shared" ca="1" si="115"/>
        <v>2.2452149504542208E-2</v>
      </c>
      <c r="AM214" s="496">
        <f t="shared" ca="1" si="115"/>
        <v>4.4031490891242676E-2</v>
      </c>
      <c r="AN214" s="496">
        <f t="shared" ca="1" si="115"/>
        <v>2.190813487555129E-2</v>
      </c>
      <c r="AO214" s="496">
        <f t="shared" ca="1" si="115"/>
        <v>3.1836268941202207E-2</v>
      </c>
      <c r="AP214" s="496">
        <f t="shared" ca="1" si="115"/>
        <v>2.1696813075114039E-2</v>
      </c>
    </row>
    <row r="215" spans="1:42">
      <c r="A215" t="str">
        <f t="shared" ref="A215:A221" si="116">A170</f>
        <v>Gases</v>
      </c>
      <c r="C215" t="str">
        <f t="shared" si="78"/>
        <v>R_ES-SH-SD_GAS</v>
      </c>
      <c r="D215" t="s">
        <v>630</v>
      </c>
      <c r="E215" t="str">
        <f t="shared" si="79"/>
        <v>R_ES-SD-SpHeat</v>
      </c>
      <c r="F215" s="496">
        <f t="shared" ref="F215:AP215" ca="1" si="117">F295*F$289*1.15</f>
        <v>6.1567668952159219E-2</v>
      </c>
      <c r="G215" s="496">
        <f t="shared" ca="1" si="117"/>
        <v>7.0683268864903476E-2</v>
      </c>
      <c r="H215" s="496">
        <f t="shared" ca="1" si="117"/>
        <v>2.4256823331982199E-2</v>
      </c>
      <c r="I215" s="496">
        <f t="shared" ca="1" si="117"/>
        <v>6.005720765501886E-2</v>
      </c>
      <c r="J215" s="496">
        <f t="shared" ca="1" si="117"/>
        <v>0.1444210639979539</v>
      </c>
      <c r="K215" s="496">
        <f t="shared" ca="1" si="117"/>
        <v>6.0863964890201072E-2</v>
      </c>
      <c r="L215" s="496">
        <f t="shared" ca="1" si="117"/>
        <v>5.5997565512383947E-2</v>
      </c>
      <c r="M215" s="496">
        <f t="shared" ca="1" si="117"/>
        <v>5.0032382387050107E-2</v>
      </c>
      <c r="N215" s="496">
        <f t="shared" ca="1" si="117"/>
        <v>5.8546612729640374E-2</v>
      </c>
      <c r="O215" s="496">
        <f t="shared" ca="1" si="117"/>
        <v>4.0174052367450211E-2</v>
      </c>
      <c r="P215" s="496">
        <f t="shared" ca="1" si="117"/>
        <v>9.2807168165662784E-2</v>
      </c>
      <c r="Q215" s="496">
        <f t="shared" ca="1" si="117"/>
        <v>5.2533104909765399E-2</v>
      </c>
      <c r="R215" s="496">
        <f t="shared" ca="1" si="117"/>
        <v>4.7376270829855308E-2</v>
      </c>
      <c r="S215" s="496">
        <f t="shared" ca="1" si="117"/>
        <v>3.8023924554151052E-2</v>
      </c>
      <c r="T215" s="496">
        <f t="shared" ca="1" si="117"/>
        <v>4.7550215093651454E-2</v>
      </c>
      <c r="U215" s="496">
        <f t="shared" ca="1" si="117"/>
        <v>5.137017296192177E-2</v>
      </c>
      <c r="V215" s="496">
        <f t="shared" ca="1" si="117"/>
        <v>3.8491698610702597E-2</v>
      </c>
      <c r="W215" s="496">
        <f t="shared" ca="1" si="117"/>
        <v>5.8196536115482186E-2</v>
      </c>
      <c r="X215" s="496">
        <f t="shared" ca="1" si="117"/>
        <v>4.7494001752832637E-2</v>
      </c>
      <c r="Y215" s="496">
        <f t="shared" ca="1" si="117"/>
        <v>7.814763353157568E-2</v>
      </c>
      <c r="Z215" s="496">
        <f t="shared" ca="1" si="117"/>
        <v>5.9787434428609586E-2</v>
      </c>
      <c r="AA215" s="496">
        <f t="shared" ca="1" si="117"/>
        <v>0.2054884643725447</v>
      </c>
      <c r="AB215" s="496">
        <f t="shared" ca="1" si="117"/>
        <v>6.1261339526432507E-2</v>
      </c>
      <c r="AC215" s="496">
        <f t="shared" ca="1" si="117"/>
        <v>4.3973274571577257E-2</v>
      </c>
      <c r="AD215" s="496">
        <f t="shared" ca="1" si="117"/>
        <v>5.5289200368542048E-2</v>
      </c>
      <c r="AE215" s="496">
        <f t="shared" ca="1" si="117"/>
        <v>1.6040599199518803E-2</v>
      </c>
      <c r="AF215" s="496">
        <f t="shared" ca="1" si="117"/>
        <v>4.2317913061033649E-2</v>
      </c>
      <c r="AG215" s="496">
        <f t="shared" ca="1" si="117"/>
        <v>7.2202228210797401E-2</v>
      </c>
      <c r="AH215" s="496">
        <f t="shared" ca="1" si="117"/>
        <v>4.8727795212565421E-2</v>
      </c>
      <c r="AI215" s="496">
        <f t="shared" ca="1" si="117"/>
        <v>5.7548243582625939E-2</v>
      </c>
      <c r="AJ215" s="496">
        <f t="shared" ca="1" si="117"/>
        <v>5.8422417389653217E-2</v>
      </c>
      <c r="AK215" s="496">
        <f t="shared" ca="1" si="117"/>
        <v>4.5741121244664819E-2</v>
      </c>
      <c r="AL215" s="496">
        <f t="shared" ca="1" si="117"/>
        <v>2.1458528948153296E-2</v>
      </c>
      <c r="AM215" s="496">
        <f t="shared" ca="1" si="117"/>
        <v>4.1714722806978854E-2</v>
      </c>
      <c r="AN215" s="496">
        <f t="shared" ca="1" si="117"/>
        <v>3.562453297346517E-2</v>
      </c>
      <c r="AO215" s="496">
        <f t="shared" ca="1" si="117"/>
        <v>3.0427353894903197E-2</v>
      </c>
      <c r="AP215" s="496">
        <f t="shared" ca="1" si="117"/>
        <v>3.3746866889274807E-2</v>
      </c>
    </row>
    <row r="216" spans="1:42">
      <c r="A216" t="str">
        <f t="shared" si="116"/>
        <v>Derived heat</v>
      </c>
      <c r="C216" t="str">
        <f t="shared" si="78"/>
        <v>R_ES-SH-SD_HET</v>
      </c>
      <c r="D216" t="s">
        <v>630</v>
      </c>
      <c r="E216" t="str">
        <f t="shared" si="79"/>
        <v>R_ES-SD-SpHeat</v>
      </c>
      <c r="F216" s="496">
        <f t="shared" ref="F216:AP216" ca="1" si="118">F296*F$289*1.15</f>
        <v>5.0931318774054837E-2</v>
      </c>
      <c r="G216" s="496">
        <f t="shared" ca="1" si="118"/>
        <v>4.5541989453497175E-2</v>
      </c>
      <c r="H216" s="496">
        <f t="shared" ca="1" si="118"/>
        <v>1.9405535539045143E-2</v>
      </c>
      <c r="I216" s="496">
        <f t="shared" ca="1" si="118"/>
        <v>5.0903172065517442E-2</v>
      </c>
      <c r="J216" s="496">
        <f t="shared" ca="1" si="118"/>
        <v>0.1444210639979539</v>
      </c>
      <c r="K216" s="496">
        <f t="shared" ca="1" si="118"/>
        <v>4.5243497053710044E-2</v>
      </c>
      <c r="L216" s="496">
        <f t="shared" ca="1" si="118"/>
        <v>4.7296005910339341E-2</v>
      </c>
      <c r="M216" s="496">
        <f t="shared" ca="1" si="118"/>
        <v>4.1426942966590517E-2</v>
      </c>
      <c r="N216" s="496">
        <f t="shared" ca="1" si="118"/>
        <v>4.7758632622332244E-2</v>
      </c>
      <c r="O216" s="496">
        <f t="shared" ca="1" si="118"/>
        <v>5.0336849465054331E-2</v>
      </c>
      <c r="P216" s="496">
        <f t="shared" ca="1" si="118"/>
        <v>7.836935049157584E-2</v>
      </c>
      <c r="Q216" s="496">
        <f t="shared" ca="1" si="118"/>
        <v>4.3433948191063103E-2</v>
      </c>
      <c r="R216" s="496">
        <f t="shared" ca="1" si="118"/>
        <v>4.5295195721101543E-2</v>
      </c>
      <c r="S216" s="496">
        <f t="shared" ca="1" si="118"/>
        <v>3.241228398313014E-2</v>
      </c>
      <c r="T216" s="496">
        <f t="shared" ca="1" si="118"/>
        <v>4.0051380959783021E-2</v>
      </c>
      <c r="U216" s="496">
        <f t="shared" ca="1" si="118"/>
        <v>2.8404368144611315E-2</v>
      </c>
      <c r="V216" s="496">
        <f t="shared" ca="1" si="118"/>
        <v>9.596314290931586E-2</v>
      </c>
      <c r="W216" s="496">
        <f t="shared" ca="1" si="118"/>
        <v>4.9004288348036801E-2</v>
      </c>
      <c r="X216" s="496">
        <f t="shared" ca="1" si="118"/>
        <v>3.6698624016913678E-2</v>
      </c>
      <c r="Y216" s="496">
        <f t="shared" ca="1" si="118"/>
        <v>3.5004596325841707E-2</v>
      </c>
      <c r="Z216" s="496">
        <f t="shared" ca="1" si="118"/>
        <v>4.6047155754737452E-2</v>
      </c>
      <c r="AA216" s="496">
        <f t="shared" ca="1" si="118"/>
        <v>0.2054884643725447</v>
      </c>
      <c r="AB216" s="496">
        <f t="shared" ca="1" si="118"/>
        <v>5.1424256830572057E-2</v>
      </c>
      <c r="AC216" s="496">
        <f t="shared" ca="1" si="118"/>
        <v>3.7653365759389476E-2</v>
      </c>
      <c r="AD216" s="496">
        <f t="shared" ca="1" si="118"/>
        <v>4.3678953262621702E-2</v>
      </c>
      <c r="AE216" s="496">
        <f t="shared" ca="1" si="118"/>
        <v>1.3218594810724221E-2</v>
      </c>
      <c r="AF216" s="496">
        <f t="shared" ca="1" si="118"/>
        <v>3.3477193584884712E-2</v>
      </c>
      <c r="AG216" s="496">
        <f t="shared" ca="1" si="118"/>
        <v>6.0970488083972374E-2</v>
      </c>
      <c r="AH216" s="496">
        <f t="shared" ca="1" si="118"/>
        <v>4.3512335133239495E-2</v>
      </c>
      <c r="AI216" s="496">
        <f t="shared" ca="1" si="118"/>
        <v>4.6036594412022486E-2</v>
      </c>
      <c r="AJ216" s="496">
        <f t="shared" ca="1" si="118"/>
        <v>4.4756083308720544E-2</v>
      </c>
      <c r="AK216" s="496">
        <f t="shared" ca="1" si="118"/>
        <v>4.5741121244664819E-2</v>
      </c>
      <c r="AL216" s="496">
        <f t="shared" ca="1" si="118"/>
        <v>1.8399694361676173E-2</v>
      </c>
      <c r="AM216" s="496">
        <f t="shared" ca="1" si="118"/>
        <v>4.1714722806978854E-2</v>
      </c>
      <c r="AN216" s="496">
        <f t="shared" ca="1" si="118"/>
        <v>1.8417261885567037E-2</v>
      </c>
      <c r="AO216" s="496">
        <f t="shared" ca="1" si="118"/>
        <v>2.6090046212089307E-2</v>
      </c>
      <c r="AP216" s="496">
        <f t="shared" ca="1" si="118"/>
        <v>1.7780690847606993E-2</v>
      </c>
    </row>
    <row r="217" spans="1:42">
      <c r="A217" t="str">
        <f t="shared" si="116"/>
        <v>GDO and other liquids (incl. liq. bio.)</v>
      </c>
      <c r="C217" t="str">
        <f t="shared" si="78"/>
        <v>R_ES-SH-SD_OIL</v>
      </c>
      <c r="D217" t="s">
        <v>630</v>
      </c>
      <c r="E217" t="str">
        <f t="shared" si="79"/>
        <v>R_ES-SD-SpHeat</v>
      </c>
      <c r="F217" s="496">
        <f t="shared" ref="F217:AP217" ca="1" si="119">F297*F$289*1.15</f>
        <v>5.6595658408442495E-2</v>
      </c>
      <c r="G217" s="496">
        <f t="shared" ca="1" si="119"/>
        <v>6.1055582501200162E-2</v>
      </c>
      <c r="H217" s="496">
        <f t="shared" ca="1" si="119"/>
        <v>2.9310253946981051E-2</v>
      </c>
      <c r="I217" s="496">
        <f t="shared" ca="1" si="119"/>
        <v>5.6726981083550586E-2</v>
      </c>
      <c r="J217" s="496">
        <f t="shared" ca="1" si="119"/>
        <v>3.2306465595135156E-2</v>
      </c>
      <c r="K217" s="496">
        <f t="shared" ca="1" si="119"/>
        <v>3.8231668608646199E-2</v>
      </c>
      <c r="L217" s="496">
        <f t="shared" ca="1" si="119"/>
        <v>5.3129615139103158E-2</v>
      </c>
      <c r="M217" s="496">
        <f t="shared" ca="1" si="119"/>
        <v>4.6390773166685495E-2</v>
      </c>
      <c r="N217" s="496">
        <f t="shared" ca="1" si="119"/>
        <v>4.7677749481608744E-2</v>
      </c>
      <c r="O217" s="496">
        <f t="shared" ca="1" si="119"/>
        <v>3.7301812800831544E-2</v>
      </c>
      <c r="P217" s="496">
        <f t="shared" ca="1" si="119"/>
        <v>8.7994518789626774E-2</v>
      </c>
      <c r="Q217" s="496">
        <f t="shared" ca="1" si="119"/>
        <v>4.6755989568456224E-2</v>
      </c>
      <c r="R217" s="496">
        <f t="shared" ca="1" si="119"/>
        <v>4.4384631664691969E-2</v>
      </c>
      <c r="S217" s="496">
        <f t="shared" ca="1" si="119"/>
        <v>3.817337222521093E-2</v>
      </c>
      <c r="T217" s="496">
        <f t="shared" ca="1" si="119"/>
        <v>3.3776248313429562E-2</v>
      </c>
      <c r="U217" s="496">
        <f t="shared" ca="1" si="119"/>
        <v>4.8913889740912646E-2</v>
      </c>
      <c r="V217" s="496">
        <f t="shared" ca="1" si="119"/>
        <v>0.10760967578215061</v>
      </c>
      <c r="W217" s="496">
        <f t="shared" ca="1" si="119"/>
        <v>5.3652749746131226E-2</v>
      </c>
      <c r="X217" s="496">
        <f t="shared" ca="1" si="119"/>
        <v>4.311576056397156E-2</v>
      </c>
      <c r="Y217" s="496">
        <f t="shared" ca="1" si="119"/>
        <v>7.3924413249262619E-2</v>
      </c>
      <c r="Z217" s="496">
        <f t="shared" ca="1" si="119"/>
        <v>5.1622608602665682E-2</v>
      </c>
      <c r="AA217" s="496">
        <f t="shared" ca="1" si="119"/>
        <v>0.2054884643725447</v>
      </c>
      <c r="AB217" s="496">
        <f t="shared" ca="1" si="119"/>
        <v>5.7742439032278658E-2</v>
      </c>
      <c r="AC217" s="496">
        <f t="shared" ca="1" si="119"/>
        <v>4.2223153167290514E-2</v>
      </c>
      <c r="AD217" s="496">
        <f t="shared" ca="1" si="119"/>
        <v>4.8023830593085438E-2</v>
      </c>
      <c r="AE217" s="496">
        <f t="shared" ca="1" si="119"/>
        <v>1.4324029378899726E-2</v>
      </c>
      <c r="AF217" s="496">
        <f t="shared" ca="1" si="119"/>
        <v>2.5011534012926568E-2</v>
      </c>
      <c r="AG217" s="496">
        <f t="shared" ca="1" si="119"/>
        <v>6.8457973341238917E-2</v>
      </c>
      <c r="AH217" s="496">
        <f t="shared" ca="1" si="119"/>
        <v>5.2638240141360398E-2</v>
      </c>
      <c r="AI217" s="496">
        <f t="shared" ca="1" si="119"/>
        <v>3.8313609291682711E-2</v>
      </c>
      <c r="AJ217" s="496">
        <f t="shared" ca="1" si="119"/>
        <v>5.5185946100546508E-2</v>
      </c>
      <c r="AK217" s="496">
        <f t="shared" ca="1" si="119"/>
        <v>1.8474569301186145E-2</v>
      </c>
      <c r="AL217" s="496">
        <f t="shared" ca="1" si="119"/>
        <v>3.37468668892748E-2</v>
      </c>
      <c r="AM217" s="496">
        <f t="shared" ca="1" si="119"/>
        <v>4.1714722806978854E-2</v>
      </c>
      <c r="AN217" s="496">
        <f t="shared" ca="1" si="119"/>
        <v>2.0442111897379642E-2</v>
      </c>
      <c r="AO217" s="496">
        <f t="shared" ca="1" si="119"/>
        <v>2.8853611931975928E-2</v>
      </c>
      <c r="AP217" s="496">
        <f t="shared" ca="1" si="119"/>
        <v>1.9664095242635599E-2</v>
      </c>
    </row>
    <row r="218" spans="1:42">
      <c r="A218" t="str">
        <f t="shared" si="116"/>
        <v>Biomass and wastes</v>
      </c>
      <c r="C218" t="str">
        <f t="shared" si="78"/>
        <v>R_ES-SH-SD_BIO</v>
      </c>
      <c r="D218" t="s">
        <v>630</v>
      </c>
      <c r="E218" t="str">
        <f t="shared" si="79"/>
        <v>R_ES-SD-SpHeat</v>
      </c>
      <c r="F218" s="496">
        <f t="shared" ref="F218:AP218" ca="1" si="120">F298*F$289*1.15</f>
        <v>5.9899080322574363E-2</v>
      </c>
      <c r="G218" s="496">
        <f t="shared" ca="1" si="120"/>
        <v>6.7942303389858197E-2</v>
      </c>
      <c r="H218" s="496">
        <f t="shared" ca="1" si="120"/>
        <v>2.3916011159977924E-2</v>
      </c>
      <c r="I218" s="496">
        <f t="shared" ca="1" si="120"/>
        <v>5.4707932422361764E-2</v>
      </c>
      <c r="J218" s="496">
        <f t="shared" ca="1" si="120"/>
        <v>2.8894912793574274E-2</v>
      </c>
      <c r="K218" s="496">
        <f t="shared" ca="1" si="120"/>
        <v>5.5143664220596952E-2</v>
      </c>
      <c r="L218" s="496">
        <f t="shared" ca="1" si="120"/>
        <v>5.6209186753915133E-2</v>
      </c>
      <c r="M218" s="496">
        <f t="shared" ca="1" si="120"/>
        <v>4.771269784801007E-2</v>
      </c>
      <c r="N218" s="496">
        <f t="shared" ca="1" si="120"/>
        <v>6.0996651085775774E-2</v>
      </c>
      <c r="O218" s="496">
        <f t="shared" ca="1" si="120"/>
        <v>3.8414846061828073E-2</v>
      </c>
      <c r="P218" s="496">
        <f t="shared" ca="1" si="120"/>
        <v>9.3139357471410444E-2</v>
      </c>
      <c r="Q218" s="496">
        <f t="shared" ca="1" si="120"/>
        <v>5.1619289504880247E-2</v>
      </c>
      <c r="R218" s="496">
        <f t="shared" ca="1" si="120"/>
        <v>4.7264607742760319E-2</v>
      </c>
      <c r="S218" s="496">
        <f t="shared" ca="1" si="120"/>
        <v>4.0326360307910487E-2</v>
      </c>
      <c r="T218" s="496">
        <f t="shared" ca="1" si="120"/>
        <v>4.6654775667849306E-2</v>
      </c>
      <c r="U218" s="496">
        <f t="shared" ca="1" si="120"/>
        <v>5.0151877413424195E-2</v>
      </c>
      <c r="V218" s="496">
        <f t="shared" ca="1" si="120"/>
        <v>3.8491698610702597E-2</v>
      </c>
      <c r="W218" s="496">
        <f t="shared" ca="1" si="120"/>
        <v>5.8239332125908032E-2</v>
      </c>
      <c r="X218" s="496">
        <f t="shared" ca="1" si="120"/>
        <v>4.4591920633343336E-2</v>
      </c>
      <c r="Y218" s="496">
        <f t="shared" ca="1" si="120"/>
        <v>8.0831877294566326E-2</v>
      </c>
      <c r="Z218" s="496">
        <f t="shared" ca="1" si="120"/>
        <v>4.9720586472157935E-2</v>
      </c>
      <c r="AA218" s="496">
        <f t="shared" ca="1" si="120"/>
        <v>1.4182794220642616E-2</v>
      </c>
      <c r="AB218" s="496">
        <f t="shared" ca="1" si="120"/>
        <v>5.2459903839576522E-2</v>
      </c>
      <c r="AC218" s="496">
        <f t="shared" ca="1" si="120"/>
        <v>4.0788720663065971E-2</v>
      </c>
      <c r="AD218" s="496">
        <f t="shared" ca="1" si="120"/>
        <v>5.4818564538431182E-2</v>
      </c>
      <c r="AE218" s="496">
        <f t="shared" ca="1" si="120"/>
        <v>1.4845229471792305E-2</v>
      </c>
      <c r="AF218" s="496">
        <f t="shared" ca="1" si="120"/>
        <v>4.2324089471848764E-2</v>
      </c>
      <c r="AG218" s="496">
        <f t="shared" ca="1" si="120"/>
        <v>7.5941477169964522E-2</v>
      </c>
      <c r="AH218" s="496">
        <f t="shared" ca="1" si="120"/>
        <v>4.8826259599567157E-2</v>
      </c>
      <c r="AI218" s="496">
        <f t="shared" ca="1" si="120"/>
        <v>5.6699469464534281E-2</v>
      </c>
      <c r="AJ218" s="496">
        <f t="shared" ca="1" si="120"/>
        <v>5.8565000068779974E-2</v>
      </c>
      <c r="AK218" s="496">
        <f t="shared" ca="1" si="120"/>
        <v>1.9176002231114153E-2</v>
      </c>
      <c r="AL218" s="496">
        <f t="shared" ca="1" si="120"/>
        <v>2.1030312536612278E-2</v>
      </c>
      <c r="AM218" s="496">
        <f t="shared" ca="1" si="120"/>
        <v>4.1243089651995031E-2</v>
      </c>
      <c r="AN218" s="496">
        <f t="shared" ca="1" si="120"/>
        <v>2.1218247471007045E-2</v>
      </c>
      <c r="AO218" s="496">
        <f t="shared" ca="1" si="120"/>
        <v>2.9820159789051628E-2</v>
      </c>
      <c r="AP218" s="496">
        <f t="shared" ca="1" si="120"/>
        <v>2.0322809623452471E-2</v>
      </c>
    </row>
    <row r="219" spans="1:42">
      <c r="A219" t="str">
        <f t="shared" si="116"/>
        <v>Solids</v>
      </c>
      <c r="C219" t="str">
        <f t="shared" si="78"/>
        <v>R_ES-SH-SD_COA</v>
      </c>
      <c r="D219" t="s">
        <v>630</v>
      </c>
      <c r="E219" t="str">
        <f t="shared" si="79"/>
        <v>R_ES-SD-SpHeat</v>
      </c>
      <c r="F219" s="496">
        <f t="shared" ref="F219:AP219" ca="1" si="121">F299*F$289*1.15</f>
        <v>5.7450324080517569E-2</v>
      </c>
      <c r="G219" s="496">
        <f t="shared" ca="1" si="121"/>
        <v>5.7050927121848879E-2</v>
      </c>
      <c r="H219" s="496">
        <f t="shared" ca="1" si="121"/>
        <v>2.1073872758996845E-2</v>
      </c>
      <c r="I219" s="496">
        <f t="shared" ca="1" si="121"/>
        <v>5.2625392099598815E-2</v>
      </c>
      <c r="J219" s="496">
        <f t="shared" ca="1" si="121"/>
        <v>0.1444210639979539</v>
      </c>
      <c r="K219" s="496">
        <f t="shared" ca="1" si="121"/>
        <v>5.0523247217598669E-2</v>
      </c>
      <c r="L219" s="496">
        <f t="shared" ca="1" si="121"/>
        <v>4.9785257991521059E-2</v>
      </c>
      <c r="M219" s="496">
        <f t="shared" ca="1" si="121"/>
        <v>2.8370745774707891E-2</v>
      </c>
      <c r="N219" s="496">
        <f t="shared" ca="1" si="121"/>
        <v>4.7684348157047939E-2</v>
      </c>
      <c r="O219" s="496">
        <f t="shared" ca="1" si="121"/>
        <v>3.4421104188329985E-2</v>
      </c>
      <c r="P219" s="496">
        <f t="shared" ca="1" si="121"/>
        <v>8.2737235628157171E-2</v>
      </c>
      <c r="Q219" s="496">
        <f t="shared" ca="1" si="121"/>
        <v>4.8467420067033737E-2</v>
      </c>
      <c r="R219" s="496">
        <f t="shared" ca="1" si="121"/>
        <v>6.8164962085560332E-2</v>
      </c>
      <c r="S219" s="496">
        <f t="shared" ca="1" si="121"/>
        <v>4.0898990779633493E-2</v>
      </c>
      <c r="T219" s="496">
        <f t="shared" ca="1" si="121"/>
        <v>3.6463822689592924E-2</v>
      </c>
      <c r="U219" s="496">
        <f t="shared" ca="1" si="121"/>
        <v>4.2554428333690164E-2</v>
      </c>
      <c r="V219" s="496">
        <f t="shared" ca="1" si="121"/>
        <v>3.8491698610702597E-2</v>
      </c>
      <c r="W219" s="496">
        <f t="shared" ca="1" si="121"/>
        <v>4.8027632899315505E-2</v>
      </c>
      <c r="X219" s="496">
        <f t="shared" ca="1" si="121"/>
        <v>3.9793540891916321E-2</v>
      </c>
      <c r="Y219" s="496">
        <f t="shared" ca="1" si="121"/>
        <v>6.7727088736442217E-2</v>
      </c>
      <c r="Z219" s="496">
        <f t="shared" ca="1" si="121"/>
        <v>6.6450547632888837E-2</v>
      </c>
      <c r="AA219" s="496">
        <f t="shared" ca="1" si="121"/>
        <v>0.2054884643725447</v>
      </c>
      <c r="AB219" s="496">
        <f t="shared" ca="1" si="121"/>
        <v>4.7372166697060729E-2</v>
      </c>
      <c r="AC219" s="496">
        <f t="shared" ca="1" si="121"/>
        <v>4.2545045118399398E-2</v>
      </c>
      <c r="AD219" s="496">
        <f t="shared" ca="1" si="121"/>
        <v>4.9301158280979661E-2</v>
      </c>
      <c r="AE219" s="496">
        <f t="shared" ca="1" si="121"/>
        <v>3.900951069875376E-2</v>
      </c>
      <c r="AF219" s="496">
        <f t="shared" ca="1" si="121"/>
        <v>1.9009173748904248E-2</v>
      </c>
      <c r="AG219" s="496">
        <f t="shared" ca="1" si="121"/>
        <v>3.6973327810587236E-2</v>
      </c>
      <c r="AH219" s="496">
        <f t="shared" ca="1" si="121"/>
        <v>4.694259096439965E-2</v>
      </c>
      <c r="AI219" s="496">
        <f t="shared" ca="1" si="121"/>
        <v>4.9994233445728724E-2</v>
      </c>
      <c r="AJ219" s="496">
        <f t="shared" ca="1" si="121"/>
        <v>5.0477134929377443E-2</v>
      </c>
      <c r="AK219" s="496">
        <f t="shared" ca="1" si="121"/>
        <v>4.5741121244664819E-2</v>
      </c>
      <c r="AL219" s="496">
        <f t="shared" ca="1" si="121"/>
        <v>1.9707667475026523E-2</v>
      </c>
      <c r="AM219" s="496">
        <f t="shared" ca="1" si="121"/>
        <v>4.1714722806978854E-2</v>
      </c>
      <c r="AN219" s="496">
        <f t="shared" ca="1" si="121"/>
        <v>3.562453297346517E-2</v>
      </c>
      <c r="AO219" s="496">
        <f t="shared" ca="1" si="121"/>
        <v>2.7944700876492787E-2</v>
      </c>
      <c r="AP219" s="496">
        <f t="shared" ca="1" si="121"/>
        <v>1.9044661058650547E-2</v>
      </c>
    </row>
    <row r="220" spans="1:42">
      <c r="A220" t="str">
        <f t="shared" si="116"/>
        <v>LPG</v>
      </c>
      <c r="C220" t="str">
        <f t="shared" si="78"/>
        <v>R_ES-SH-SD_LPG</v>
      </c>
      <c r="D220" t="s">
        <v>630</v>
      </c>
      <c r="E220" t="str">
        <f t="shared" si="79"/>
        <v>R_ES-SD-SpHeat</v>
      </c>
      <c r="F220" s="496">
        <f t="shared" ref="F220:AP220" ca="1" si="122">F300*F$289*1.15</f>
        <v>5.6175062580146706E-2</v>
      </c>
      <c r="G220" s="496">
        <f t="shared" ca="1" si="122"/>
        <v>6.3686451380435785E-2</v>
      </c>
      <c r="H220" s="496">
        <f t="shared" ca="1" si="122"/>
        <v>2.1231599061694358E-2</v>
      </c>
      <c r="I220" s="496">
        <f t="shared" ca="1" si="122"/>
        <v>4.343490596693609E-2</v>
      </c>
      <c r="J220" s="496">
        <f t="shared" ca="1" si="122"/>
        <v>3.2554841517199298E-2</v>
      </c>
      <c r="K220" s="496">
        <f t="shared" ca="1" si="122"/>
        <v>3.8231668608646199E-2</v>
      </c>
      <c r="L220" s="496">
        <f t="shared" ca="1" si="122"/>
        <v>5.2930068791174852E-2</v>
      </c>
      <c r="M220" s="496">
        <f t="shared" ca="1" si="122"/>
        <v>4.7879286769943318E-2</v>
      </c>
      <c r="N220" s="496">
        <f t="shared" ca="1" si="122"/>
        <v>4.503664671864907E-2</v>
      </c>
      <c r="O220" s="496">
        <f t="shared" ca="1" si="122"/>
        <v>3.6856728329833964E-2</v>
      </c>
      <c r="P220" s="496">
        <f t="shared" ca="1" si="122"/>
        <v>4.4751129843381643E-2</v>
      </c>
      <c r="Q220" s="496">
        <f t="shared" ca="1" si="122"/>
        <v>4.8888591210613334E-2</v>
      </c>
      <c r="R220" s="496">
        <f t="shared" ca="1" si="122"/>
        <v>6.8164962085560332E-2</v>
      </c>
      <c r="S220" s="496">
        <f t="shared" ca="1" si="122"/>
        <v>3.8474493572390252E-2</v>
      </c>
      <c r="T220" s="496">
        <f t="shared" ca="1" si="122"/>
        <v>4.8931363298499633E-2</v>
      </c>
      <c r="U220" s="496">
        <f t="shared" ca="1" si="122"/>
        <v>4.75115261258999E-2</v>
      </c>
      <c r="V220" s="496">
        <f t="shared" ca="1" si="122"/>
        <v>3.8491698610702597E-2</v>
      </c>
      <c r="W220" s="496">
        <f t="shared" ca="1" si="122"/>
        <v>5.4100893867980351E-2</v>
      </c>
      <c r="X220" s="496">
        <f t="shared" ca="1" si="122"/>
        <v>4.1851128101476433E-2</v>
      </c>
      <c r="Y220" s="496">
        <f t="shared" ca="1" si="122"/>
        <v>3.5004596325841707E-2</v>
      </c>
      <c r="Z220" s="496">
        <f t="shared" ca="1" si="122"/>
        <v>4.2848537684174536E-2</v>
      </c>
      <c r="AA220" s="496">
        <f t="shared" ca="1" si="122"/>
        <v>2.1372591251157515E-2</v>
      </c>
      <c r="AB220" s="496">
        <f t="shared" ca="1" si="122"/>
        <v>3.4658295529832781E-2</v>
      </c>
      <c r="AC220" s="496">
        <f t="shared" ca="1" si="122"/>
        <v>4.2545045118399398E-2</v>
      </c>
      <c r="AD220" s="496">
        <f t="shared" ca="1" si="122"/>
        <v>3.9118174371277147E-2</v>
      </c>
      <c r="AE220" s="496">
        <f t="shared" ca="1" si="122"/>
        <v>1.3843022909873989E-2</v>
      </c>
      <c r="AF220" s="496">
        <f t="shared" ca="1" si="122"/>
        <v>4.0200509441540092E-2</v>
      </c>
      <c r="AG220" s="496">
        <f t="shared" ca="1" si="122"/>
        <v>3.6973327810587236E-2</v>
      </c>
      <c r="AH220" s="496">
        <f t="shared" ca="1" si="122"/>
        <v>5.0625047504497485E-2</v>
      </c>
      <c r="AI220" s="496">
        <f t="shared" ca="1" si="122"/>
        <v>3.8313609291682711E-2</v>
      </c>
      <c r="AJ220" s="496">
        <f t="shared" ca="1" si="122"/>
        <v>5.3991566875963175E-2</v>
      </c>
      <c r="AK220" s="496">
        <f t="shared" ca="1" si="122"/>
        <v>4.5741121244664819E-2</v>
      </c>
      <c r="AL220" s="496">
        <f t="shared" ca="1" si="122"/>
        <v>3.37468668892748E-2</v>
      </c>
      <c r="AM220" s="496">
        <f t="shared" ca="1" si="122"/>
        <v>4.1714722806978854E-2</v>
      </c>
      <c r="AN220" s="496">
        <f t="shared" ca="1" si="122"/>
        <v>3.562453297346517E-2</v>
      </c>
      <c r="AO220" s="496">
        <f t="shared" ca="1" si="122"/>
        <v>2.8853611931975921E-2</v>
      </c>
      <c r="AP220" s="496">
        <f t="shared" ca="1" si="122"/>
        <v>1.9664095242635599E-2</v>
      </c>
    </row>
    <row r="221" spans="1:42">
      <c r="A221" t="str">
        <f t="shared" si="116"/>
        <v>Geothermal Energy</v>
      </c>
      <c r="C221" t="str">
        <f t="shared" si="78"/>
        <v>R_ES-SH-SD_GEO</v>
      </c>
      <c r="D221" t="s">
        <v>630</v>
      </c>
      <c r="E221" t="str">
        <f t="shared" si="79"/>
        <v>R_ES-SD-SpHeat</v>
      </c>
      <c r="F221" s="496">
        <f t="shared" ref="F221:AP221" ca="1" si="123">F301*F$289*1.15</f>
        <v>0</v>
      </c>
      <c r="G221" s="496">
        <f t="shared" ca="1" si="123"/>
        <v>0</v>
      </c>
      <c r="H221" s="496">
        <f t="shared" ca="1" si="123"/>
        <v>0</v>
      </c>
      <c r="I221" s="496">
        <f t="shared" ca="1" si="123"/>
        <v>5.0903172065517421E-2</v>
      </c>
      <c r="J221" s="496">
        <f t="shared" ca="1" si="123"/>
        <v>2.871985083357444E-2</v>
      </c>
      <c r="K221" s="496">
        <f t="shared" ca="1" si="123"/>
        <v>0</v>
      </c>
      <c r="L221" s="496">
        <f t="shared" ca="1" si="123"/>
        <v>4.8942963216362205E-2</v>
      </c>
      <c r="M221" s="496">
        <f t="shared" ca="1" si="123"/>
        <v>0</v>
      </c>
      <c r="N221" s="496">
        <f t="shared" ca="1" si="123"/>
        <v>0</v>
      </c>
      <c r="O221" s="496">
        <f t="shared" ca="1" si="123"/>
        <v>3.7139938019225188E-2</v>
      </c>
      <c r="P221" s="496">
        <f t="shared" ca="1" si="123"/>
        <v>0</v>
      </c>
      <c r="Q221" s="496">
        <f t="shared" ca="1" si="123"/>
        <v>4.5225049452652738E-2</v>
      </c>
      <c r="R221" s="496">
        <f t="shared" ca="1" si="123"/>
        <v>5.2722224455806349E-2</v>
      </c>
      <c r="S221" s="496">
        <f t="shared" ca="1" si="123"/>
        <v>0</v>
      </c>
      <c r="T221" s="496">
        <f t="shared" ca="1" si="123"/>
        <v>0</v>
      </c>
      <c r="U221" s="496">
        <f t="shared" ca="1" si="123"/>
        <v>0</v>
      </c>
      <c r="V221" s="496">
        <f t="shared" ca="1" si="123"/>
        <v>9.5963142909315874E-2</v>
      </c>
      <c r="W221" s="496">
        <f t="shared" ca="1" si="123"/>
        <v>4.4288389001223741E-2</v>
      </c>
      <c r="X221" s="496">
        <f t="shared" ca="1" si="123"/>
        <v>0</v>
      </c>
      <c r="Y221" s="496">
        <f t="shared" ca="1" si="123"/>
        <v>0</v>
      </c>
      <c r="Z221" s="496">
        <f t="shared" ca="1" si="123"/>
        <v>0</v>
      </c>
      <c r="AA221" s="496">
        <f t="shared" ca="1" si="123"/>
        <v>0</v>
      </c>
      <c r="AB221" s="496">
        <f t="shared" ca="1" si="123"/>
        <v>0</v>
      </c>
      <c r="AC221" s="496">
        <f t="shared" ca="1" si="123"/>
        <v>0</v>
      </c>
      <c r="AD221" s="496">
        <f t="shared" ca="1" si="123"/>
        <v>4.5922955616010036E-2</v>
      </c>
      <c r="AE221" s="496">
        <f t="shared" ca="1" si="123"/>
        <v>0</v>
      </c>
      <c r="AF221" s="496">
        <f t="shared" ca="1" si="123"/>
        <v>4.5298672711685292E-2</v>
      </c>
      <c r="AG221" s="496">
        <f t="shared" ca="1" si="123"/>
        <v>0</v>
      </c>
      <c r="AH221" s="496">
        <f t="shared" ca="1" si="123"/>
        <v>4.5266360262610814E-2</v>
      </c>
      <c r="AI221" s="496">
        <f t="shared" ca="1" si="123"/>
        <v>0</v>
      </c>
      <c r="AJ221" s="496">
        <f t="shared" ca="1" si="123"/>
        <v>0</v>
      </c>
      <c r="AK221" s="496">
        <f t="shared" ca="1" si="123"/>
        <v>0</v>
      </c>
      <c r="AL221" s="496">
        <f t="shared" ca="1" si="123"/>
        <v>0</v>
      </c>
      <c r="AM221" s="496">
        <f t="shared" ca="1" si="123"/>
        <v>0</v>
      </c>
      <c r="AN221" s="496">
        <f t="shared" ca="1" si="123"/>
        <v>0</v>
      </c>
      <c r="AO221" s="496">
        <f t="shared" ca="1" si="123"/>
        <v>0</v>
      </c>
      <c r="AP221" s="496">
        <f t="shared" ca="1" si="123"/>
        <v>0</v>
      </c>
    </row>
    <row r="225" spans="3:42" ht="15" thickBot="1">
      <c r="C225" s="539" t="s">
        <v>545</v>
      </c>
      <c r="D225" s="539" t="s">
        <v>554</v>
      </c>
      <c r="E225" s="539" t="s">
        <v>552</v>
      </c>
      <c r="F225" s="540" t="s">
        <v>88</v>
      </c>
      <c r="G225" s="540" t="s">
        <v>89</v>
      </c>
      <c r="H225" s="540" t="s">
        <v>90</v>
      </c>
      <c r="I225" s="540" t="s">
        <v>91</v>
      </c>
      <c r="J225" s="540" t="s">
        <v>92</v>
      </c>
      <c r="K225" s="540" t="s">
        <v>93</v>
      </c>
      <c r="L225" s="540" t="s">
        <v>94</v>
      </c>
      <c r="M225" s="540" t="s">
        <v>95</v>
      </c>
      <c r="N225" s="540" t="s">
        <v>96</v>
      </c>
      <c r="O225" s="540" t="s">
        <v>97</v>
      </c>
      <c r="P225" s="540" t="s">
        <v>98</v>
      </c>
      <c r="Q225" s="540" t="s">
        <v>99</v>
      </c>
      <c r="R225" s="540" t="s">
        <v>205</v>
      </c>
      <c r="S225" s="540" t="s">
        <v>118</v>
      </c>
      <c r="T225" s="540" t="s">
        <v>100</v>
      </c>
      <c r="U225" s="540" t="s">
        <v>101</v>
      </c>
      <c r="V225" s="540" t="s">
        <v>102</v>
      </c>
      <c r="W225" s="540" t="s">
        <v>103</v>
      </c>
      <c r="X225" s="540" t="s">
        <v>104</v>
      </c>
      <c r="Y225" s="540" t="s">
        <v>105</v>
      </c>
      <c r="Z225" s="540" t="s">
        <v>106</v>
      </c>
      <c r="AA225" s="540" t="s">
        <v>107</v>
      </c>
      <c r="AB225" s="540" t="s">
        <v>108</v>
      </c>
      <c r="AC225" s="540" t="s">
        <v>109</v>
      </c>
      <c r="AD225" s="540" t="s">
        <v>110</v>
      </c>
      <c r="AE225" s="540" t="s">
        <v>111</v>
      </c>
      <c r="AF225" s="540" t="s">
        <v>112</v>
      </c>
      <c r="AG225" s="540" t="s">
        <v>113</v>
      </c>
      <c r="AH225" s="540" t="s">
        <v>114</v>
      </c>
      <c r="AI225" s="540" t="s">
        <v>115</v>
      </c>
      <c r="AJ225" s="540" t="s">
        <v>52</v>
      </c>
      <c r="AK225" s="540" t="s">
        <v>116</v>
      </c>
      <c r="AL225" s="540" t="s">
        <v>117</v>
      </c>
      <c r="AM225" s="540" t="s">
        <v>119</v>
      </c>
      <c r="AN225" s="540" t="s">
        <v>120</v>
      </c>
      <c r="AO225" s="540" t="s">
        <v>121</v>
      </c>
      <c r="AP225" s="540" t="s">
        <v>122</v>
      </c>
    </row>
    <row r="226" spans="3:42">
      <c r="C226" t="str">
        <f>C182</f>
        <v>R_ES-SH-FL_ELC-R</v>
      </c>
      <c r="D226" t="s">
        <v>906</v>
      </c>
      <c r="E226" t="str">
        <f>E182</f>
        <v>R_ES-FL-SpHeat</v>
      </c>
      <c r="F226" s="496">
        <f t="shared" ref="F226:AP226" ca="1" si="124">0.75*F182</f>
        <v>1.4372962982442634E-2</v>
      </c>
      <c r="G226" s="496">
        <f t="shared" ca="1" si="124"/>
        <v>2.3013366875783665E-2</v>
      </c>
      <c r="H226" s="496">
        <f t="shared" ca="1" si="124"/>
        <v>1.1149827532813407E-2</v>
      </c>
      <c r="I226" s="496">
        <f t="shared" ca="1" si="124"/>
        <v>1.791739658259333E-2</v>
      </c>
      <c r="J226" s="496">
        <f t="shared" ca="1" si="124"/>
        <v>1.1858411711659061E-2</v>
      </c>
      <c r="K226" s="496">
        <f t="shared" ca="1" si="124"/>
        <v>1.9882627188328738E-2</v>
      </c>
      <c r="L226" s="496">
        <f t="shared" ca="1" si="124"/>
        <v>1.4851011149219722E-2</v>
      </c>
      <c r="M226" s="496">
        <f t="shared" ca="1" si="124"/>
        <v>4.1467470122104359E-3</v>
      </c>
      <c r="N226" s="496">
        <f t="shared" ca="1" si="124"/>
        <v>5.0247583302725184E-3</v>
      </c>
      <c r="O226" s="496">
        <f t="shared" ca="1" si="124"/>
        <v>1.8753825793010225E-2</v>
      </c>
      <c r="P226" s="496">
        <f t="shared" ca="1" si="124"/>
        <v>1.0687224924041686E-2</v>
      </c>
      <c r="Q226" s="496">
        <f t="shared" ca="1" si="124"/>
        <v>1.5260236123880182E-2</v>
      </c>
      <c r="R226" s="496">
        <f t="shared" ca="1" si="124"/>
        <v>2.4062478767800276E-2</v>
      </c>
      <c r="S226" s="496">
        <f t="shared" ca="1" si="124"/>
        <v>1.954115650052549E-2</v>
      </c>
      <c r="T226" s="496">
        <f t="shared" ca="1" si="124"/>
        <v>1.7212488523455083E-2</v>
      </c>
      <c r="U226" s="496">
        <f t="shared" ca="1" si="124"/>
        <v>1.2048630221681395E-2</v>
      </c>
      <c r="V226" s="496">
        <f t="shared" ca="1" si="124"/>
        <v>3.7940840421095273E-2</v>
      </c>
      <c r="W226" s="496">
        <f t="shared" ca="1" si="124"/>
        <v>2.0226211759061877E-3</v>
      </c>
      <c r="X226" s="496">
        <f t="shared" ca="1" si="124"/>
        <v>1.1926225966215186E-2</v>
      </c>
      <c r="Y226" s="496">
        <f t="shared" ca="1" si="124"/>
        <v>2.652200875062681E-2</v>
      </c>
      <c r="Z226" s="496">
        <f t="shared" ca="1" si="124"/>
        <v>1.5886187989444873E-2</v>
      </c>
      <c r="AA226" s="496">
        <f t="shared" ca="1" si="124"/>
        <v>8.4601012671674039E-3</v>
      </c>
      <c r="AB226" s="496">
        <f t="shared" ca="1" si="124"/>
        <v>1.7040758353481813E-2</v>
      </c>
      <c r="AC226" s="496">
        <f t="shared" ca="1" si="124"/>
        <v>1.5011247457132093E-2</v>
      </c>
      <c r="AD226" s="496">
        <f t="shared" ca="1" si="124"/>
        <v>1.866634782191328E-2</v>
      </c>
      <c r="AE226" s="496">
        <f t="shared" ca="1" si="124"/>
        <v>2.8484185533896745E-3</v>
      </c>
      <c r="AF226" s="496">
        <f t="shared" ca="1" si="124"/>
        <v>1.1845134453302764E-2</v>
      </c>
      <c r="AG226" s="496">
        <f t="shared" ca="1" si="124"/>
        <v>2.5593009136117069E-2</v>
      </c>
      <c r="AH226" s="496">
        <f t="shared" ca="1" si="124"/>
        <v>1.8637344658876627E-2</v>
      </c>
      <c r="AI226" s="496">
        <f t="shared" ca="1" si="124"/>
        <v>2.0444407775789097E-2</v>
      </c>
      <c r="AJ226" s="496">
        <f t="shared" ca="1" si="124"/>
        <v>1.2918414623077336E-2</v>
      </c>
      <c r="AK226" s="496">
        <f t="shared" ca="1" si="124"/>
        <v>6.9475911334972648E-3</v>
      </c>
      <c r="AL226" s="496">
        <f t="shared" ca="1" si="124"/>
        <v>1.0378004139040845E-2</v>
      </c>
      <c r="AM226" s="496">
        <f t="shared" ca="1" si="124"/>
        <v>1.791373091036301E-2</v>
      </c>
      <c r="AN226" s="496">
        <f t="shared" ca="1" si="124"/>
        <v>9.977200420431093E-3</v>
      </c>
      <c r="AO226" s="496">
        <f t="shared" ca="1" si="124"/>
        <v>1.4715603545066928E-2</v>
      </c>
      <c r="AP226" s="496">
        <f t="shared" ca="1" si="124"/>
        <v>1.0028866761820542E-2</v>
      </c>
    </row>
    <row r="227" spans="3:42">
      <c r="C227" t="str">
        <f>C183</f>
        <v>R_ES-SH-FL_ELC-HPA</v>
      </c>
      <c r="D227" t="s">
        <v>906</v>
      </c>
      <c r="E227" t="str">
        <f>E183</f>
        <v>R_ES-FL-SpHeat</v>
      </c>
      <c r="F227" s="496">
        <f t="shared" ref="F227:AP227" ca="1" si="125">0.75*F183</f>
        <v>1.4372962982442634E-2</v>
      </c>
      <c r="G227" s="496">
        <f t="shared" ca="1" si="125"/>
        <v>1.9373648402849881E-3</v>
      </c>
      <c r="H227" s="496">
        <f t="shared" ca="1" si="125"/>
        <v>1.1149827532813407E-2</v>
      </c>
      <c r="I227" s="496">
        <f t="shared" ca="1" si="125"/>
        <v>1.791739658259333E-2</v>
      </c>
      <c r="J227" s="496">
        <f t="shared" ca="1" si="125"/>
        <v>1.1858411711659061E-2</v>
      </c>
      <c r="K227" s="496">
        <f t="shared" ca="1" si="125"/>
        <v>1.9882627188328738E-2</v>
      </c>
      <c r="L227" s="496">
        <f t="shared" ca="1" si="125"/>
        <v>1.4851011149219722E-2</v>
      </c>
      <c r="M227" s="496">
        <f t="shared" ca="1" si="125"/>
        <v>4.1467470122104359E-3</v>
      </c>
      <c r="N227" s="496">
        <f t="shared" ca="1" si="125"/>
        <v>5.0247583302725184E-3</v>
      </c>
      <c r="O227" s="496">
        <f t="shared" ca="1" si="125"/>
        <v>1.8753825793010225E-2</v>
      </c>
      <c r="P227" s="496">
        <f t="shared" ca="1" si="125"/>
        <v>1.0687224924041686E-2</v>
      </c>
      <c r="Q227" s="496">
        <f t="shared" ca="1" si="125"/>
        <v>1.5260236123880182E-2</v>
      </c>
      <c r="R227" s="496">
        <f t="shared" ca="1" si="125"/>
        <v>2.4062478767800276E-2</v>
      </c>
      <c r="S227" s="496">
        <f t="shared" ca="1" si="125"/>
        <v>1.954115650052549E-2</v>
      </c>
      <c r="T227" s="496">
        <f t="shared" ca="1" si="125"/>
        <v>1.7212488523455083E-2</v>
      </c>
      <c r="U227" s="496">
        <f t="shared" ca="1" si="125"/>
        <v>1.2048630221681395E-2</v>
      </c>
      <c r="V227" s="496">
        <f t="shared" ca="1" si="125"/>
        <v>3.7940840421095273E-2</v>
      </c>
      <c r="W227" s="496">
        <f t="shared" ca="1" si="125"/>
        <v>2.0226211759061877E-3</v>
      </c>
      <c r="X227" s="496">
        <f t="shared" ca="1" si="125"/>
        <v>1.1926225966215186E-2</v>
      </c>
      <c r="Y227" s="496">
        <f t="shared" ca="1" si="125"/>
        <v>2.652200875062681E-2</v>
      </c>
      <c r="Z227" s="496">
        <f t="shared" ca="1" si="125"/>
        <v>1.5886187989444873E-2</v>
      </c>
      <c r="AA227" s="496">
        <f t="shared" ca="1" si="125"/>
        <v>8.4601012671674039E-3</v>
      </c>
      <c r="AB227" s="496">
        <f t="shared" ca="1" si="125"/>
        <v>1.7040758353481813E-2</v>
      </c>
      <c r="AC227" s="496">
        <f t="shared" ca="1" si="125"/>
        <v>1.5011247457132093E-2</v>
      </c>
      <c r="AD227" s="496">
        <f t="shared" ca="1" si="125"/>
        <v>1.866634782191328E-2</v>
      </c>
      <c r="AE227" s="496">
        <f t="shared" ca="1" si="125"/>
        <v>2.8484185533896745E-3</v>
      </c>
      <c r="AF227" s="496">
        <f t="shared" ca="1" si="125"/>
        <v>1.1845134453302764E-2</v>
      </c>
      <c r="AG227" s="496">
        <f t="shared" ca="1" si="125"/>
        <v>2.5593009136117069E-2</v>
      </c>
      <c r="AH227" s="496">
        <f t="shared" ca="1" si="125"/>
        <v>1.8637344658876627E-2</v>
      </c>
      <c r="AI227" s="496">
        <f t="shared" ca="1" si="125"/>
        <v>2.0444407775789097E-2</v>
      </c>
      <c r="AJ227" s="496">
        <f t="shared" ca="1" si="125"/>
        <v>1.2918414623077336E-2</v>
      </c>
      <c r="AK227" s="496">
        <f t="shared" ca="1" si="125"/>
        <v>6.9475911334972648E-3</v>
      </c>
      <c r="AL227" s="496">
        <f t="shared" ca="1" si="125"/>
        <v>1.0378004139040845E-2</v>
      </c>
      <c r="AM227" s="496">
        <f t="shared" ca="1" si="125"/>
        <v>1.791373091036301E-2</v>
      </c>
      <c r="AN227" s="496">
        <f t="shared" ca="1" si="125"/>
        <v>9.977200420431093E-3</v>
      </c>
      <c r="AO227" s="496">
        <f t="shared" ca="1" si="125"/>
        <v>1.4715603545066928E-2</v>
      </c>
      <c r="AP227" s="496">
        <f t="shared" ca="1" si="125"/>
        <v>1.0028866761820542E-2</v>
      </c>
    </row>
    <row r="228" spans="3:42">
      <c r="C228" t="str">
        <f>C184</f>
        <v>R_ES-SH-FL_ELC-HPG</v>
      </c>
      <c r="D228" t="s">
        <v>906</v>
      </c>
      <c r="E228" t="str">
        <f>E184</f>
        <v>R_ES-FL-SpHeat</v>
      </c>
      <c r="F228" s="496">
        <f t="shared" ref="F228:AP228" ca="1" si="126">0.75*F184</f>
        <v>1.4372962982442634E-2</v>
      </c>
      <c r="G228" s="496">
        <f t="shared" ca="1" si="126"/>
        <v>1.9373648402849881E-3</v>
      </c>
      <c r="H228" s="496">
        <f t="shared" ca="1" si="126"/>
        <v>1.1149827532813407E-2</v>
      </c>
      <c r="I228" s="496">
        <f t="shared" ca="1" si="126"/>
        <v>1.791739658259333E-2</v>
      </c>
      <c r="J228" s="496">
        <f t="shared" ca="1" si="126"/>
        <v>1.1858411711659061E-2</v>
      </c>
      <c r="K228" s="496">
        <f t="shared" ca="1" si="126"/>
        <v>1.9882627188328738E-2</v>
      </c>
      <c r="L228" s="496">
        <f t="shared" ca="1" si="126"/>
        <v>1.4851011149219722E-2</v>
      </c>
      <c r="M228" s="496">
        <f t="shared" ca="1" si="126"/>
        <v>4.1467470122104359E-3</v>
      </c>
      <c r="N228" s="496">
        <f t="shared" ca="1" si="126"/>
        <v>5.0247583302725184E-3</v>
      </c>
      <c r="O228" s="496">
        <f t="shared" ca="1" si="126"/>
        <v>1.8753825793010225E-2</v>
      </c>
      <c r="P228" s="496">
        <f t="shared" ca="1" si="126"/>
        <v>1.0687224924041686E-2</v>
      </c>
      <c r="Q228" s="496">
        <f t="shared" ca="1" si="126"/>
        <v>1.5260236123880182E-2</v>
      </c>
      <c r="R228" s="496">
        <f t="shared" ca="1" si="126"/>
        <v>2.4062478767800276E-2</v>
      </c>
      <c r="S228" s="496">
        <f t="shared" ca="1" si="126"/>
        <v>1.954115650052549E-2</v>
      </c>
      <c r="T228" s="496">
        <f t="shared" ca="1" si="126"/>
        <v>1.7212488523455083E-2</v>
      </c>
      <c r="U228" s="496">
        <f t="shared" ca="1" si="126"/>
        <v>1.2048630221681395E-2</v>
      </c>
      <c r="V228" s="496">
        <f t="shared" ca="1" si="126"/>
        <v>3.7940840421095273E-2</v>
      </c>
      <c r="W228" s="496">
        <f t="shared" ca="1" si="126"/>
        <v>2.0226211759061877E-3</v>
      </c>
      <c r="X228" s="496">
        <f t="shared" ca="1" si="126"/>
        <v>1.1926225966215186E-2</v>
      </c>
      <c r="Y228" s="496">
        <f t="shared" ca="1" si="126"/>
        <v>2.652200875062681E-2</v>
      </c>
      <c r="Z228" s="496">
        <f t="shared" ca="1" si="126"/>
        <v>1.5886187989444873E-2</v>
      </c>
      <c r="AA228" s="496">
        <f t="shared" ca="1" si="126"/>
        <v>8.4601012671674039E-3</v>
      </c>
      <c r="AB228" s="496">
        <f t="shared" ca="1" si="126"/>
        <v>1.7040758353481813E-2</v>
      </c>
      <c r="AC228" s="496">
        <f t="shared" ca="1" si="126"/>
        <v>1.5011247457132093E-2</v>
      </c>
      <c r="AD228" s="496">
        <f t="shared" ca="1" si="126"/>
        <v>1.866634782191328E-2</v>
      </c>
      <c r="AE228" s="496">
        <f t="shared" ca="1" si="126"/>
        <v>2.8484185533896745E-3</v>
      </c>
      <c r="AF228" s="496">
        <f t="shared" ca="1" si="126"/>
        <v>1.1845134453302764E-2</v>
      </c>
      <c r="AG228" s="496">
        <f t="shared" ca="1" si="126"/>
        <v>2.5593009136117069E-2</v>
      </c>
      <c r="AH228" s="496">
        <f t="shared" ca="1" si="126"/>
        <v>1.8637344658876627E-2</v>
      </c>
      <c r="AI228" s="496">
        <f t="shared" ca="1" si="126"/>
        <v>2.0444407775789097E-2</v>
      </c>
      <c r="AJ228" s="496">
        <f t="shared" ca="1" si="126"/>
        <v>1.2918414623077336E-2</v>
      </c>
      <c r="AK228" s="496">
        <f t="shared" ca="1" si="126"/>
        <v>6.9475911334972648E-3</v>
      </c>
      <c r="AL228" s="496">
        <f t="shared" ca="1" si="126"/>
        <v>1.0378004139040845E-2</v>
      </c>
      <c r="AM228" s="496">
        <f t="shared" ca="1" si="126"/>
        <v>1.791373091036301E-2</v>
      </c>
      <c r="AN228" s="496">
        <f t="shared" ca="1" si="126"/>
        <v>9.977200420431093E-3</v>
      </c>
      <c r="AO228" s="496">
        <f t="shared" ca="1" si="126"/>
        <v>1.4715603545066928E-2</v>
      </c>
      <c r="AP228" s="496">
        <f t="shared" ca="1" si="126"/>
        <v>1.0028866761820542E-2</v>
      </c>
    </row>
    <row r="229" spans="3:42">
      <c r="C229" t="str">
        <f t="shared" ref="C229:C238" si="127">C185</f>
        <v>R_ES-SH-FL_GAS</v>
      </c>
      <c r="D229" t="s">
        <v>906</v>
      </c>
      <c r="E229" t="str">
        <f t="shared" ref="E229:E238" si="128">E185</f>
        <v>R_ES-FL-SpHeat</v>
      </c>
      <c r="F229" s="496">
        <f t="shared" ref="F229:AP229" ca="1" si="129">0.75*F185</f>
        <v>2.023577508365083E-2</v>
      </c>
      <c r="G229" s="496">
        <f t="shared" ca="1" si="129"/>
        <v>2.333720770719816E-2</v>
      </c>
      <c r="H229" s="496">
        <f t="shared" ca="1" si="129"/>
        <v>9.325239719983891E-3</v>
      </c>
      <c r="I229" s="496">
        <f t="shared" ca="1" si="129"/>
        <v>1.9096081313582584E-2</v>
      </c>
      <c r="J229" s="496">
        <f t="shared" ca="1" si="129"/>
        <v>4.7150447753433855E-2</v>
      </c>
      <c r="K229" s="496">
        <f t="shared" ca="1" si="129"/>
        <v>1.9972528147154747E-2</v>
      </c>
      <c r="L229" s="496">
        <f t="shared" ca="1" si="129"/>
        <v>1.719925939512449E-2</v>
      </c>
      <c r="M229" s="496">
        <f t="shared" ca="1" si="129"/>
        <v>1.5118098282426088E-2</v>
      </c>
      <c r="N229" s="496">
        <f t="shared" ca="1" si="129"/>
        <v>1.9885234781543921E-2</v>
      </c>
      <c r="O229" s="496">
        <f t="shared" ca="1" si="129"/>
        <v>1.8142872113357706E-2</v>
      </c>
      <c r="P229" s="496">
        <f t="shared" ca="1" si="129"/>
        <v>2.5082343720440423E-2</v>
      </c>
      <c r="Q229" s="496">
        <f t="shared" ca="1" si="129"/>
        <v>1.6737141060896101E-2</v>
      </c>
      <c r="R229" s="496">
        <f t="shared" ca="1" si="129"/>
        <v>2.0214723758753023E-2</v>
      </c>
      <c r="S229" s="496">
        <f t="shared" ca="1" si="129"/>
        <v>1.7433001228166791E-2</v>
      </c>
      <c r="T229" s="496">
        <f t="shared" ca="1" si="129"/>
        <v>1.4927640832459448E-2</v>
      </c>
      <c r="U229" s="496">
        <f t="shared" ca="1" si="129"/>
        <v>1.1293912903629676E-2</v>
      </c>
      <c r="V229" s="496">
        <f t="shared" ca="1" si="129"/>
        <v>1.325940933134381E-2</v>
      </c>
      <c r="W229" s="496">
        <f t="shared" ca="1" si="129"/>
        <v>2.0895879257744162E-2</v>
      </c>
      <c r="X229" s="496">
        <f t="shared" ca="1" si="129"/>
        <v>1.4743143656542383E-2</v>
      </c>
      <c r="Y229" s="496">
        <f t="shared" ca="1" si="129"/>
        <v>3.2155202879026408E-2</v>
      </c>
      <c r="Z229" s="496">
        <f t="shared" ca="1" si="129"/>
        <v>1.8667717009725672E-2</v>
      </c>
      <c r="AA229" s="496">
        <f t="shared" ca="1" si="129"/>
        <v>7.4002772680630838E-2</v>
      </c>
      <c r="AB229" s="496">
        <f t="shared" ca="1" si="129"/>
        <v>1.9308369181708411E-2</v>
      </c>
      <c r="AC229" s="496">
        <f t="shared" ca="1" si="129"/>
        <v>1.5274127330257192E-2</v>
      </c>
      <c r="AD229" s="496">
        <f t="shared" ca="1" si="129"/>
        <v>1.5338338159335621E-2</v>
      </c>
      <c r="AE229" s="496">
        <f t="shared" ca="1" si="129"/>
        <v>5.5009839315288914E-3</v>
      </c>
      <c r="AF229" s="496">
        <f t="shared" ca="1" si="129"/>
        <v>1.0041896847090823E-2</v>
      </c>
      <c r="AG229" s="496">
        <f t="shared" ca="1" si="129"/>
        <v>2.5258740407368072E-2</v>
      </c>
      <c r="AH229" s="496">
        <f t="shared" ca="1" si="129"/>
        <v>1.5598990245586457E-2</v>
      </c>
      <c r="AI229" s="496">
        <f t="shared" ca="1" si="129"/>
        <v>1.8706247444824971E-2</v>
      </c>
      <c r="AJ229" s="496">
        <f t="shared" ca="1" si="129"/>
        <v>1.2619948375335744E-2</v>
      </c>
      <c r="AK229" s="496">
        <f t="shared" ca="1" si="129"/>
        <v>1.605044549877619E-2</v>
      </c>
      <c r="AL229" s="496">
        <f t="shared" ca="1" si="129"/>
        <v>9.9187252515225647E-3</v>
      </c>
      <c r="AM229" s="496">
        <f t="shared" ca="1" si="129"/>
        <v>1.6971179132006728E-2</v>
      </c>
      <c r="AN229" s="496">
        <f t="shared" ca="1" si="129"/>
        <v>1.6223795744345581E-2</v>
      </c>
      <c r="AO229" s="496">
        <f t="shared" ca="1" si="129"/>
        <v>1.4064364064451051E-2</v>
      </c>
      <c r="AP229" s="496">
        <f t="shared" ca="1" si="129"/>
        <v>1.5598734730752684E-2</v>
      </c>
    </row>
    <row r="230" spans="3:42">
      <c r="C230" t="str">
        <f t="shared" si="127"/>
        <v>R_ES-SH-FL_HET</v>
      </c>
      <c r="D230" t="s">
        <v>906</v>
      </c>
      <c r="E230" t="str">
        <f t="shared" si="128"/>
        <v>R_ES-FL-SpHeat</v>
      </c>
      <c r="F230" s="496">
        <f t="shared" ref="F230:AP230" ca="1" si="130">0.75*F186</f>
        <v>1.6739868976139813E-2</v>
      </c>
      <c r="G230" s="496">
        <f t="shared" ca="1" si="130"/>
        <v>1.5036413628614981E-2</v>
      </c>
      <c r="H230" s="496">
        <f t="shared" ca="1" si="130"/>
        <v>7.4602213290504722E-3</v>
      </c>
      <c r="I230" s="496">
        <f t="shared" ca="1" si="130"/>
        <v>1.6185419716249067E-2</v>
      </c>
      <c r="J230" s="496">
        <f t="shared" ca="1" si="130"/>
        <v>4.7150447753433855E-2</v>
      </c>
      <c r="K230" s="496">
        <f t="shared" ca="1" si="130"/>
        <v>1.4846666989426091E-2</v>
      </c>
      <c r="L230" s="496">
        <f t="shared" ca="1" si="130"/>
        <v>1.4526636409316228E-2</v>
      </c>
      <c r="M230" s="496">
        <f t="shared" ca="1" si="130"/>
        <v>1.2517824765256032E-2</v>
      </c>
      <c r="N230" s="496">
        <f t="shared" ca="1" si="130"/>
        <v>1.6221119860957884E-2</v>
      </c>
      <c r="O230" s="496">
        <f t="shared" ca="1" si="130"/>
        <v>2.273245960055938E-2</v>
      </c>
      <c r="P230" s="496">
        <f t="shared" ca="1" si="130"/>
        <v>2.118033579764635E-2</v>
      </c>
      <c r="Q230" s="496">
        <f t="shared" ca="1" si="130"/>
        <v>1.3838133477055176E-2</v>
      </c>
      <c r="R230" s="496">
        <f t="shared" ca="1" si="130"/>
        <v>1.932676112033101E-2</v>
      </c>
      <c r="S230" s="496">
        <f t="shared" ca="1" si="130"/>
        <v>1.4860206912121934E-2</v>
      </c>
      <c r="T230" s="496">
        <f t="shared" ca="1" si="130"/>
        <v>1.2573500006974082E-2</v>
      </c>
      <c r="U230" s="496">
        <f t="shared" ca="1" si="130"/>
        <v>6.2448000738807002E-3</v>
      </c>
      <c r="V230" s="496">
        <f t="shared" ca="1" si="130"/>
        <v>3.3056857412966136E-2</v>
      </c>
      <c r="W230" s="496">
        <f t="shared" ca="1" si="130"/>
        <v>1.7595337468200998E-2</v>
      </c>
      <c r="X230" s="496">
        <f t="shared" ca="1" si="130"/>
        <v>1.1392029854517897E-2</v>
      </c>
      <c r="Y230" s="496">
        <f t="shared" ca="1" si="130"/>
        <v>1.4403249921842737E-2</v>
      </c>
      <c r="Z230" s="496">
        <f t="shared" ca="1" si="130"/>
        <v>1.4377523988901332E-2</v>
      </c>
      <c r="AA230" s="496">
        <f t="shared" ca="1" si="130"/>
        <v>7.4002772680630838E-2</v>
      </c>
      <c r="AB230" s="496">
        <f t="shared" ca="1" si="130"/>
        <v>1.6207914215641012E-2</v>
      </c>
      <c r="AC230" s="496">
        <f t="shared" ca="1" si="130"/>
        <v>1.3078905508515381E-2</v>
      </c>
      <c r="AD230" s="496">
        <f t="shared" ca="1" si="130"/>
        <v>1.211742168673318E-2</v>
      </c>
      <c r="AE230" s="496">
        <f t="shared" ca="1" si="130"/>
        <v>4.5332020797182251E-3</v>
      </c>
      <c r="AF230" s="496">
        <f t="shared" ca="1" si="130"/>
        <v>7.9440241824933581E-3</v>
      </c>
      <c r="AG230" s="496">
        <f t="shared" ca="1" si="130"/>
        <v>2.1329504215955527E-2</v>
      </c>
      <c r="AH230" s="496">
        <f t="shared" ca="1" si="130"/>
        <v>1.3929390573597367E-2</v>
      </c>
      <c r="AI230" s="496">
        <f t="shared" ca="1" si="130"/>
        <v>1.4964347701626995E-2</v>
      </c>
      <c r="AJ230" s="496">
        <f t="shared" ca="1" si="130"/>
        <v>9.6678550131051259E-3</v>
      </c>
      <c r="AK230" s="496">
        <f t="shared" ca="1" si="130"/>
        <v>1.605044549877619E-2</v>
      </c>
      <c r="AL230" s="496">
        <f t="shared" ca="1" si="130"/>
        <v>8.5048473512048806E-3</v>
      </c>
      <c r="AM230" s="496">
        <f t="shared" ca="1" si="130"/>
        <v>1.6971179132006728E-2</v>
      </c>
      <c r="AN230" s="496">
        <f t="shared" ca="1" si="130"/>
        <v>8.3874192883909328E-3</v>
      </c>
      <c r="AO230" s="496">
        <f t="shared" ca="1" si="130"/>
        <v>1.2059540558557779E-2</v>
      </c>
      <c r="AP230" s="496">
        <f t="shared" ca="1" si="130"/>
        <v>8.2187268160734336E-3</v>
      </c>
    </row>
    <row r="231" spans="3:42">
      <c r="C231" t="str">
        <f t="shared" si="127"/>
        <v>R_ES-SH-FL_OIL</v>
      </c>
      <c r="D231" t="s">
        <v>906</v>
      </c>
      <c r="E231" t="str">
        <f t="shared" si="128"/>
        <v>R_ES-FL-SpHeat</v>
      </c>
      <c r="F231" s="496">
        <f t="shared" ref="F231:AP231" ca="1" si="131">0.75*F187</f>
        <v>1.860159778266559E-2</v>
      </c>
      <c r="G231" s="496">
        <f t="shared" ca="1" si="131"/>
        <v>2.0158473616122954E-2</v>
      </c>
      <c r="H231" s="496">
        <f t="shared" ca="1" si="131"/>
        <v>1.1267969452076927E-2</v>
      </c>
      <c r="I231" s="496">
        <f t="shared" ca="1" si="131"/>
        <v>1.8037186305231372E-2</v>
      </c>
      <c r="J231" s="496">
        <f t="shared" ca="1" si="131"/>
        <v>1.0547383296962205E-2</v>
      </c>
      <c r="K231" s="496">
        <f t="shared" ca="1" si="131"/>
        <v>1.2545733403605677E-2</v>
      </c>
      <c r="L231" s="496">
        <f t="shared" ca="1" si="131"/>
        <v>1.6318388558132627E-2</v>
      </c>
      <c r="M231" s="496">
        <f t="shared" ca="1" si="131"/>
        <v>1.4017726813528957E-2</v>
      </c>
      <c r="N231" s="496">
        <f t="shared" ca="1" si="131"/>
        <v>1.619364807107684E-2</v>
      </c>
      <c r="O231" s="496">
        <f t="shared" ca="1" si="131"/>
        <v>1.6845749416860463E-2</v>
      </c>
      <c r="P231" s="496">
        <f t="shared" ca="1" si="131"/>
        <v>2.3781662660544021E-2</v>
      </c>
      <c r="Q231" s="496">
        <f t="shared" ca="1" si="131"/>
        <v>1.4896541793850221E-2</v>
      </c>
      <c r="R231" s="496">
        <f t="shared" ca="1" si="131"/>
        <v>1.8938237487243163E-2</v>
      </c>
      <c r="S231" s="496">
        <f t="shared" ca="1" si="131"/>
        <v>1.7501519180053188E-2</v>
      </c>
      <c r="T231" s="496">
        <f t="shared" ca="1" si="131"/>
        <v>1.0603520982982003E-2</v>
      </c>
      <c r="U231" s="496">
        <f t="shared" ca="1" si="131"/>
        <v>1.0753890412654472E-2</v>
      </c>
      <c r="V231" s="496">
        <f t="shared" ca="1" si="131"/>
        <v>3.7068791212347213E-2</v>
      </c>
      <c r="W231" s="496">
        <f t="shared" ca="1" si="131"/>
        <v>1.9264400518897322E-2</v>
      </c>
      <c r="X231" s="496">
        <f t="shared" ca="1" si="131"/>
        <v>1.338404489821297E-2</v>
      </c>
      <c r="Y231" s="496">
        <f t="shared" ca="1" si="131"/>
        <v>3.0417485448008791E-2</v>
      </c>
      <c r="Z231" s="496">
        <f t="shared" ca="1" si="131"/>
        <v>1.6118374335816168E-2</v>
      </c>
      <c r="AA231" s="496">
        <f t="shared" ca="1" si="131"/>
        <v>7.4002772680630838E-2</v>
      </c>
      <c r="AB231" s="496">
        <f t="shared" ca="1" si="131"/>
        <v>1.8199280964244564E-2</v>
      </c>
      <c r="AC231" s="496">
        <f t="shared" ca="1" si="131"/>
        <v>1.4666222246250492E-2</v>
      </c>
      <c r="AD231" s="496">
        <f t="shared" ca="1" si="131"/>
        <v>1.3322778199601149E-2</v>
      </c>
      <c r="AE231" s="496">
        <f t="shared" ca="1" si="131"/>
        <v>4.9123012468536053E-3</v>
      </c>
      <c r="AF231" s="496">
        <f t="shared" ca="1" si="131"/>
        <v>5.9351519575898794E-3</v>
      </c>
      <c r="AG231" s="496">
        <f t="shared" ca="1" si="131"/>
        <v>2.3948875544290912E-2</v>
      </c>
      <c r="AH231" s="496">
        <f t="shared" ca="1" si="131"/>
        <v>1.6850821813874737E-2</v>
      </c>
      <c r="AI231" s="496">
        <f t="shared" ca="1" si="131"/>
        <v>1.2453965773699786E-2</v>
      </c>
      <c r="AJ231" s="496">
        <f t="shared" ca="1" si="131"/>
        <v>1.1920831453925768E-2</v>
      </c>
      <c r="AK231" s="496">
        <f t="shared" ca="1" si="131"/>
        <v>6.4826803456777566E-3</v>
      </c>
      <c r="AL231" s="496">
        <f t="shared" ca="1" si="131"/>
        <v>1.5598734730752687E-2</v>
      </c>
      <c r="AM231" s="496">
        <f t="shared" ca="1" si="131"/>
        <v>1.6971179132006728E-2</v>
      </c>
      <c r="AN231" s="496">
        <f t="shared" ca="1" si="131"/>
        <v>9.3095577773095739E-3</v>
      </c>
      <c r="AO231" s="496">
        <f t="shared" ca="1" si="131"/>
        <v>1.3336937026708524E-2</v>
      </c>
      <c r="AP231" s="496">
        <f t="shared" ca="1" si="131"/>
        <v>9.0892883898390231E-3</v>
      </c>
    </row>
    <row r="232" spans="3:42">
      <c r="C232" t="str">
        <f t="shared" si="127"/>
        <v>R_ES-SH-FL_BIO</v>
      </c>
      <c r="D232" t="s">
        <v>906</v>
      </c>
      <c r="E232" t="str">
        <f t="shared" si="128"/>
        <v>R_ES-FL-SpHeat</v>
      </c>
      <c r="F232" s="496">
        <f t="shared" ref="F232:AP232" ca="1" si="132">0.75*F188</f>
        <v>1.9687351133384767E-2</v>
      </c>
      <c r="G232" s="496">
        <f t="shared" ca="1" si="132"/>
        <v>2.2432234272372308E-2</v>
      </c>
      <c r="H232" s="496">
        <f t="shared" ca="1" si="132"/>
        <v>9.1942186394437225E-3</v>
      </c>
      <c r="I232" s="496">
        <f t="shared" ca="1" si="132"/>
        <v>1.7395199790779772E-2</v>
      </c>
      <c r="J232" s="496">
        <f t="shared" ca="1" si="132"/>
        <v>9.4335828742596241E-3</v>
      </c>
      <c r="K232" s="496">
        <f t="shared" ca="1" si="132"/>
        <v>1.8095409784261988E-2</v>
      </c>
      <c r="L232" s="496">
        <f t="shared" ca="1" si="132"/>
        <v>1.7264257374827882E-2</v>
      </c>
      <c r="M232" s="496">
        <f t="shared" ca="1" si="132"/>
        <v>1.4417167861521156E-2</v>
      </c>
      <c r="N232" s="496">
        <f t="shared" ca="1" si="132"/>
        <v>2.071738519407966E-2</v>
      </c>
      <c r="O232" s="496">
        <f t="shared" ca="1" si="132"/>
        <v>1.7348402719730521E-2</v>
      </c>
      <c r="P232" s="496">
        <f t="shared" ca="1" si="132"/>
        <v>2.5172122198888824E-2</v>
      </c>
      <c r="Q232" s="496">
        <f t="shared" ca="1" si="132"/>
        <v>1.6445997840607601E-2</v>
      </c>
      <c r="R232" s="496">
        <f t="shared" ca="1" si="132"/>
        <v>2.0167078842423889E-2</v>
      </c>
      <c r="S232" s="496">
        <f t="shared" ca="1" si="132"/>
        <v>1.8488609395753516E-2</v>
      </c>
      <c r="T232" s="496">
        <f t="shared" ca="1" si="132"/>
        <v>1.4646531733178363E-2</v>
      </c>
      <c r="U232" s="496">
        <f t="shared" ca="1" si="132"/>
        <v>1.1026066349447146E-2</v>
      </c>
      <c r="V232" s="496">
        <f t="shared" ca="1" si="132"/>
        <v>1.325940933134381E-2</v>
      </c>
      <c r="W232" s="496">
        <f t="shared" ca="1" si="132"/>
        <v>2.0911245468970153E-2</v>
      </c>
      <c r="X232" s="496">
        <f t="shared" ca="1" si="132"/>
        <v>1.3842276236057688E-2</v>
      </c>
      <c r="Y232" s="496">
        <f t="shared" ca="1" si="132"/>
        <v>3.3259681656887932E-2</v>
      </c>
      <c r="Z232" s="496">
        <f t="shared" ca="1" si="132"/>
        <v>1.5524496856076654E-2</v>
      </c>
      <c r="AA232" s="496">
        <f t="shared" ca="1" si="132"/>
        <v>5.1076643153240321E-3</v>
      </c>
      <c r="AB232" s="496">
        <f t="shared" ca="1" si="132"/>
        <v>1.6534329781254985E-2</v>
      </c>
      <c r="AC232" s="496">
        <f t="shared" ca="1" si="132"/>
        <v>1.4167971776399266E-2</v>
      </c>
      <c r="AD232" s="496">
        <f t="shared" ca="1" si="132"/>
        <v>1.5207774297604545E-2</v>
      </c>
      <c r="AE232" s="496">
        <f t="shared" ca="1" si="132"/>
        <v>5.091042283921563E-3</v>
      </c>
      <c r="AF232" s="496">
        <f t="shared" ca="1" si="132"/>
        <v>1.0043362488371413E-2</v>
      </c>
      <c r="AG232" s="496">
        <f t="shared" ca="1" si="132"/>
        <v>2.6566854036526113E-2</v>
      </c>
      <c r="AH232" s="496">
        <f t="shared" ca="1" si="132"/>
        <v>1.5630511167181154E-2</v>
      </c>
      <c r="AI232" s="496">
        <f t="shared" ca="1" si="132"/>
        <v>1.8430350602639173E-2</v>
      </c>
      <c r="AJ232" s="496">
        <f t="shared" ca="1" si="132"/>
        <v>1.2650747957588486E-2</v>
      </c>
      <c r="AK232" s="496">
        <f t="shared" ca="1" si="132"/>
        <v>6.728811413445791E-3</v>
      </c>
      <c r="AL232" s="496">
        <f t="shared" ca="1" si="132"/>
        <v>9.7207917890503488E-3</v>
      </c>
      <c r="AM232" s="496">
        <f t="shared" ca="1" si="132"/>
        <v>1.6779300336722376E-2</v>
      </c>
      <c r="AN232" s="496">
        <f t="shared" ca="1" si="132"/>
        <v>9.6630182711167616E-3</v>
      </c>
      <c r="AO232" s="496">
        <f t="shared" ca="1" si="132"/>
        <v>1.3783702164241719E-2</v>
      </c>
      <c r="AP232" s="496">
        <f t="shared" ca="1" si="132"/>
        <v>9.3937643852968419E-3</v>
      </c>
    </row>
    <row r="233" spans="3:42">
      <c r="C233" t="str">
        <f t="shared" si="127"/>
        <v>R_ES-SH-FL_COA</v>
      </c>
      <c r="D233" t="s">
        <v>906</v>
      </c>
      <c r="E233" t="str">
        <f t="shared" si="128"/>
        <v>R_ES-FL-SpHeat</v>
      </c>
      <c r="F233" s="496">
        <f t="shared" ref="F233:AP233" ca="1" si="133">0.75*F189</f>
        <v>1.8882505320764319E-2</v>
      </c>
      <c r="G233" s="496">
        <f t="shared" ca="1" si="133"/>
        <v>1.8836272819746456E-2</v>
      </c>
      <c r="H233" s="496">
        <f t="shared" ca="1" si="133"/>
        <v>8.1015932142679669E-3</v>
      </c>
      <c r="I233" s="496">
        <f t="shared" ca="1" si="133"/>
        <v>1.6733025159372767E-2</v>
      </c>
      <c r="J233" s="496">
        <f t="shared" ca="1" si="133"/>
        <v>4.7150447753433855E-2</v>
      </c>
      <c r="K233" s="496">
        <f t="shared" ca="1" si="133"/>
        <v>1.6579218573083886E-2</v>
      </c>
      <c r="L233" s="496">
        <f t="shared" ca="1" si="133"/>
        <v>1.5291192722655061E-2</v>
      </c>
      <c r="M233" s="496">
        <f t="shared" ca="1" si="133"/>
        <v>8.5726823809768021E-3</v>
      </c>
      <c r="N233" s="496">
        <f t="shared" ca="1" si="133"/>
        <v>1.6195889297413221E-2</v>
      </c>
      <c r="O233" s="496">
        <f t="shared" ca="1" si="133"/>
        <v>1.5544802042310579E-2</v>
      </c>
      <c r="P233" s="496">
        <f t="shared" ca="1" si="133"/>
        <v>2.236081353974893E-2</v>
      </c>
      <c r="Q233" s="496">
        <f t="shared" ca="1" si="133"/>
        <v>1.5441806607719743E-2</v>
      </c>
      <c r="R233" s="496">
        <f t="shared" ca="1" si="133"/>
        <v>2.9084937553108044E-2</v>
      </c>
      <c r="S233" s="496">
        <f t="shared" ca="1" si="133"/>
        <v>1.8751145886499399E-2</v>
      </c>
      <c r="T233" s="496">
        <f t="shared" ca="1" si="133"/>
        <v>1.1447242613239029E-2</v>
      </c>
      <c r="U233" s="496">
        <f t="shared" ca="1" si="133"/>
        <v>9.3557404920691575E-3</v>
      </c>
      <c r="V233" s="496">
        <f t="shared" ca="1" si="133"/>
        <v>1.325940933134381E-2</v>
      </c>
      <c r="W233" s="496">
        <f t="shared" ca="1" si="133"/>
        <v>1.7244662398942553E-2</v>
      </c>
      <c r="X233" s="496">
        <f t="shared" ca="1" si="133"/>
        <v>1.2352757576108549E-2</v>
      </c>
      <c r="Y233" s="496">
        <f t="shared" ca="1" si="133"/>
        <v>2.7867488499778926E-2</v>
      </c>
      <c r="Z233" s="496">
        <f t="shared" ca="1" si="133"/>
        <v>2.0748172759165396E-2</v>
      </c>
      <c r="AA233" s="496">
        <f t="shared" ca="1" si="133"/>
        <v>7.4002772680630838E-2</v>
      </c>
      <c r="AB233" s="496">
        <f t="shared" ca="1" si="133"/>
        <v>1.4930775111922312E-2</v>
      </c>
      <c r="AC233" s="496">
        <f t="shared" ca="1" si="133"/>
        <v>1.47780314916552E-2</v>
      </c>
      <c r="AD233" s="496">
        <f t="shared" ca="1" si="133"/>
        <v>1.3677134636059057E-2</v>
      </c>
      <c r="AE233" s="496">
        <f t="shared" ca="1" si="133"/>
        <v>1.3377972285292578E-2</v>
      </c>
      <c r="AF233" s="496">
        <f t="shared" ca="1" si="133"/>
        <v>4.5108122808327497E-3</v>
      </c>
      <c r="AG233" s="496">
        <f t="shared" ca="1" si="133"/>
        <v>1.2934499561946849E-2</v>
      </c>
      <c r="AH233" s="496">
        <f t="shared" ca="1" si="133"/>
        <v>1.5027501559672418E-2</v>
      </c>
      <c r="AI233" s="496">
        <f t="shared" ca="1" si="133"/>
        <v>1.6250791395699318E-2</v>
      </c>
      <c r="AJ233" s="496">
        <f t="shared" ca="1" si="133"/>
        <v>1.0903671320119285E-2</v>
      </c>
      <c r="AK233" s="496">
        <f t="shared" ca="1" si="133"/>
        <v>1.605044549877619E-2</v>
      </c>
      <c r="AL233" s="496">
        <f t="shared" ca="1" si="133"/>
        <v>9.1094286801042795E-3</v>
      </c>
      <c r="AM233" s="496">
        <f t="shared" ca="1" si="133"/>
        <v>1.6971179132006728E-2</v>
      </c>
      <c r="AN233" s="496">
        <f t="shared" ca="1" si="133"/>
        <v>1.6223795744345581E-2</v>
      </c>
      <c r="AO233" s="496">
        <f t="shared" ca="1" si="133"/>
        <v>1.2916813212108247E-2</v>
      </c>
      <c r="AP233" s="496">
        <f t="shared" ca="1" si="133"/>
        <v>8.8029687871675859E-3</v>
      </c>
    </row>
    <row r="234" spans="3:42">
      <c r="C234" t="str">
        <f t="shared" si="127"/>
        <v>R_ES-SH-FL_LPG</v>
      </c>
      <c r="D234" t="s">
        <v>906</v>
      </c>
      <c r="E234" t="str">
        <f t="shared" si="128"/>
        <v>R_ES-FL-SpHeat</v>
      </c>
      <c r="F234" s="496">
        <f t="shared" ref="F234:AP234" ca="1" si="134">0.75*F190</f>
        <v>1.8463358301987368E-2</v>
      </c>
      <c r="G234" s="496">
        <f t="shared" ca="1" si="134"/>
        <v>2.1027096905213802E-2</v>
      </c>
      <c r="H234" s="496">
        <f t="shared" ca="1" si="134"/>
        <v>8.162229166580064E-3</v>
      </c>
      <c r="I234" s="496">
        <f t="shared" ca="1" si="134"/>
        <v>1.3810773570374454E-2</v>
      </c>
      <c r="J234" s="496">
        <f t="shared" ca="1" si="134"/>
        <v>1.0628472825125922E-2</v>
      </c>
      <c r="K234" s="496">
        <f t="shared" ca="1" si="134"/>
        <v>1.2545733403605677E-2</v>
      </c>
      <c r="L234" s="496">
        <f t="shared" ca="1" si="134"/>
        <v>1.6257099297287712E-2</v>
      </c>
      <c r="M234" s="496">
        <f t="shared" ca="1" si="134"/>
        <v>1.4467505414409745E-2</v>
      </c>
      <c r="N234" s="496">
        <f t="shared" ca="1" si="134"/>
        <v>1.5296603031662484E-2</v>
      </c>
      <c r="O234" s="496">
        <f t="shared" ca="1" si="134"/>
        <v>1.6644746277742411E-2</v>
      </c>
      <c r="P234" s="496">
        <f t="shared" ca="1" si="134"/>
        <v>1.2094574619561035E-2</v>
      </c>
      <c r="Q234" s="496">
        <f t="shared" ca="1" si="134"/>
        <v>1.5575992486376238E-2</v>
      </c>
      <c r="R234" s="496">
        <f t="shared" ca="1" si="134"/>
        <v>2.9084937553108044E-2</v>
      </c>
      <c r="S234" s="496">
        <f t="shared" ca="1" si="134"/>
        <v>1.7639575650466401E-2</v>
      </c>
      <c r="T234" s="496">
        <f t="shared" ca="1" si="134"/>
        <v>1.5361230550145547E-2</v>
      </c>
      <c r="U234" s="496">
        <f t="shared" ca="1" si="134"/>
        <v>1.0445575847723704E-2</v>
      </c>
      <c r="V234" s="496">
        <f t="shared" ca="1" si="134"/>
        <v>1.325940933134381E-2</v>
      </c>
      <c r="W234" s="496">
        <f t="shared" ca="1" si="134"/>
        <v>1.9425309845899966E-2</v>
      </c>
      <c r="X234" s="496">
        <f t="shared" ca="1" si="134"/>
        <v>1.2991476207869234E-2</v>
      </c>
      <c r="Y234" s="496">
        <f t="shared" ca="1" si="134"/>
        <v>1.4403249921842737E-2</v>
      </c>
      <c r="Z234" s="496">
        <f t="shared" ca="1" si="134"/>
        <v>1.3378804148618462E-2</v>
      </c>
      <c r="AA234" s="496">
        <f t="shared" ca="1" si="134"/>
        <v>7.6969333377663353E-3</v>
      </c>
      <c r="AB234" s="496">
        <f t="shared" ca="1" si="134"/>
        <v>1.0923613007352333E-2</v>
      </c>
      <c r="AC234" s="496">
        <f t="shared" ca="1" si="134"/>
        <v>1.47780314916552E-2</v>
      </c>
      <c r="AD234" s="496">
        <f t="shared" ca="1" si="134"/>
        <v>1.0852169730852032E-2</v>
      </c>
      <c r="AE234" s="496">
        <f t="shared" ca="1" si="134"/>
        <v>4.7473442633793588E-3</v>
      </c>
      <c r="AF234" s="496">
        <f t="shared" ca="1" si="134"/>
        <v>9.5394441694281844E-3</v>
      </c>
      <c r="AG234" s="496">
        <f t="shared" ca="1" si="134"/>
        <v>1.2934499561946849E-2</v>
      </c>
      <c r="AH234" s="496">
        <f t="shared" ca="1" si="134"/>
        <v>1.6206348322555904E-2</v>
      </c>
      <c r="AI234" s="496">
        <f t="shared" ca="1" si="134"/>
        <v>1.2453965773699786E-2</v>
      </c>
      <c r="AJ234" s="496">
        <f t="shared" ca="1" si="134"/>
        <v>1.1662831103575924E-2</v>
      </c>
      <c r="AK234" s="496">
        <f t="shared" ca="1" si="134"/>
        <v>1.605044549877619E-2</v>
      </c>
      <c r="AL234" s="496">
        <f t="shared" ca="1" si="134"/>
        <v>1.5598734730752687E-2</v>
      </c>
      <c r="AM234" s="496">
        <f t="shared" ca="1" si="134"/>
        <v>1.6971179132006728E-2</v>
      </c>
      <c r="AN234" s="496">
        <f t="shared" ca="1" si="134"/>
        <v>1.6223795744345581E-2</v>
      </c>
      <c r="AO234" s="496">
        <f t="shared" ca="1" si="134"/>
        <v>1.3336937026708521E-2</v>
      </c>
      <c r="AP234" s="496">
        <f t="shared" ca="1" si="134"/>
        <v>9.0892883898390231E-3</v>
      </c>
    </row>
    <row r="235" spans="3:42">
      <c r="C235" t="str">
        <f t="shared" si="127"/>
        <v>R_ES-SH-FL_GEO</v>
      </c>
      <c r="D235" t="s">
        <v>906</v>
      </c>
      <c r="E235" t="str">
        <f t="shared" si="128"/>
        <v>R_ES-FL-SpHeat</v>
      </c>
      <c r="F235" s="496">
        <f t="shared" ref="F235:AP235" ca="1" si="135">0.75*F191</f>
        <v>0</v>
      </c>
      <c r="G235" s="496">
        <f t="shared" ca="1" si="135"/>
        <v>0</v>
      </c>
      <c r="H235" s="496">
        <f t="shared" ca="1" si="135"/>
        <v>0</v>
      </c>
      <c r="I235" s="496">
        <f t="shared" ca="1" si="135"/>
        <v>1.618541971624906E-2</v>
      </c>
      <c r="J235" s="496">
        <f t="shared" ca="1" si="135"/>
        <v>9.3764288167413751E-3</v>
      </c>
      <c r="K235" s="496">
        <f t="shared" ca="1" si="135"/>
        <v>0</v>
      </c>
      <c r="L235" s="496">
        <f t="shared" ca="1" si="135"/>
        <v>1.5032487791600307E-2</v>
      </c>
      <c r="M235" s="496">
        <f t="shared" ca="1" si="135"/>
        <v>0</v>
      </c>
      <c r="N235" s="496">
        <f t="shared" ca="1" si="135"/>
        <v>0</v>
      </c>
      <c r="O235" s="496">
        <f t="shared" ca="1" si="135"/>
        <v>1.677264567730738E-2</v>
      </c>
      <c r="P235" s="496">
        <f t="shared" ca="1" si="135"/>
        <v>0</v>
      </c>
      <c r="Q235" s="496">
        <f t="shared" ca="1" si="135"/>
        <v>1.4408781538331333E-2</v>
      </c>
      <c r="R235" s="496">
        <f t="shared" ca="1" si="135"/>
        <v>2.2495759684180976E-2</v>
      </c>
      <c r="S235" s="496">
        <f t="shared" ca="1" si="135"/>
        <v>0</v>
      </c>
      <c r="T235" s="496">
        <f t="shared" ca="1" si="135"/>
        <v>0</v>
      </c>
      <c r="U235" s="496">
        <f t="shared" ca="1" si="135"/>
        <v>0</v>
      </c>
      <c r="V235" s="496">
        <f t="shared" ca="1" si="135"/>
        <v>3.3056857412966142E-2</v>
      </c>
      <c r="W235" s="496">
        <f t="shared" ca="1" si="135"/>
        <v>1.5902060343474245E-2</v>
      </c>
      <c r="X235" s="496">
        <f t="shared" ca="1" si="135"/>
        <v>0</v>
      </c>
      <c r="Y235" s="496">
        <f t="shared" ca="1" si="135"/>
        <v>0</v>
      </c>
      <c r="Z235" s="496">
        <f t="shared" ca="1" si="135"/>
        <v>0</v>
      </c>
      <c r="AA235" s="496">
        <f t="shared" ca="1" si="135"/>
        <v>0</v>
      </c>
      <c r="AB235" s="496">
        <f t="shared" ca="1" si="135"/>
        <v>0</v>
      </c>
      <c r="AC235" s="496">
        <f t="shared" ca="1" si="135"/>
        <v>0</v>
      </c>
      <c r="AD235" s="496">
        <f t="shared" ca="1" si="135"/>
        <v>1.2739953152140281E-2</v>
      </c>
      <c r="AE235" s="496">
        <f t="shared" ca="1" si="135"/>
        <v>0</v>
      </c>
      <c r="AF235" s="496">
        <f t="shared" ca="1" si="135"/>
        <v>1.0749220974692383E-2</v>
      </c>
      <c r="AG235" s="496">
        <f t="shared" ca="1" si="135"/>
        <v>0</v>
      </c>
      <c r="AH235" s="496">
        <f t="shared" ca="1" si="135"/>
        <v>1.4490898041033963E-2</v>
      </c>
      <c r="AI235" s="496">
        <f t="shared" ca="1" si="135"/>
        <v>0</v>
      </c>
      <c r="AJ235" s="496">
        <f t="shared" ca="1" si="135"/>
        <v>0</v>
      </c>
      <c r="AK235" s="496">
        <f t="shared" ca="1" si="135"/>
        <v>0</v>
      </c>
      <c r="AL235" s="496">
        <f t="shared" ca="1" si="135"/>
        <v>0</v>
      </c>
      <c r="AM235" s="496">
        <f t="shared" ca="1" si="135"/>
        <v>0</v>
      </c>
      <c r="AN235" s="496">
        <f t="shared" ca="1" si="135"/>
        <v>0</v>
      </c>
      <c r="AO235" s="496">
        <f t="shared" ca="1" si="135"/>
        <v>0</v>
      </c>
      <c r="AP235" s="496">
        <f t="shared" ca="1" si="135"/>
        <v>0</v>
      </c>
    </row>
    <row r="236" spans="3:42">
      <c r="C236" t="str">
        <f t="shared" si="127"/>
        <v>R_ES-SH-DH_ELC-R</v>
      </c>
      <c r="D236" t="s">
        <v>906</v>
      </c>
      <c r="E236" t="str">
        <f t="shared" si="128"/>
        <v>R_ES-DH-SpHeat</v>
      </c>
      <c r="F236" s="496">
        <f t="shared" ref="F236:AP236" ca="1" si="136">0.75*F192</f>
        <v>7.7275418572524845E-2</v>
      </c>
      <c r="G236" s="496">
        <f t="shared" ca="1" si="136"/>
        <v>0.10062593930091891</v>
      </c>
      <c r="H236" s="496">
        <f t="shared" ca="1" si="136"/>
        <v>4.8807402159337335E-2</v>
      </c>
      <c r="I236" s="496">
        <f t="shared" ca="1" si="136"/>
        <v>9.6331864372096426E-2</v>
      </c>
      <c r="J236" s="496">
        <f t="shared" ca="1" si="136"/>
        <v>5.2388923632107467E-2</v>
      </c>
      <c r="K236" s="496">
        <f t="shared" ca="1" si="136"/>
        <v>9.5412580859174423E-2</v>
      </c>
      <c r="L236" s="496">
        <f t="shared" ca="1" si="136"/>
        <v>8.6747263135986061E-2</v>
      </c>
      <c r="M236" s="496">
        <f t="shared" ca="1" si="136"/>
        <v>2.4196374219910381E-2</v>
      </c>
      <c r="N236" s="496">
        <f t="shared" ca="1" si="136"/>
        <v>2.651615572331124E-2</v>
      </c>
      <c r="O236" s="496">
        <f t="shared" ca="1" si="136"/>
        <v>7.1100513950079852E-2</v>
      </c>
      <c r="P236" s="496">
        <f t="shared" ca="1" si="136"/>
        <v>7.2512193893178686E-2</v>
      </c>
      <c r="Q236" s="496">
        <f t="shared" ca="1" si="136"/>
        <v>0.10092174120188213</v>
      </c>
      <c r="R236" s="496">
        <f t="shared" ca="1" si="136"/>
        <v>7.5758037809170786E-2</v>
      </c>
      <c r="S236" s="496">
        <f t="shared" ca="1" si="136"/>
        <v>7.4608755697555665E-2</v>
      </c>
      <c r="T236" s="496">
        <f t="shared" ca="1" si="136"/>
        <v>9.5827529685438423E-2</v>
      </c>
      <c r="U236" s="496">
        <f t="shared" ca="1" si="136"/>
        <v>0.11451748220084182</v>
      </c>
      <c r="V236" s="496">
        <f t="shared" ca="1" si="136"/>
        <v>0.2004789305688279</v>
      </c>
      <c r="W236" s="496">
        <f t="shared" ca="1" si="136"/>
        <v>8.2796251986500535E-3</v>
      </c>
      <c r="X236" s="496">
        <f t="shared" ca="1" si="136"/>
        <v>6.593959013631398E-2</v>
      </c>
      <c r="Y236" s="496">
        <f t="shared" ca="1" si="136"/>
        <v>0.11606226133866021</v>
      </c>
      <c r="Z236" s="496">
        <f t="shared" ca="1" si="136"/>
        <v>8.8906983806391962E-2</v>
      </c>
      <c r="AA236" s="496">
        <f t="shared" ca="1" si="136"/>
        <v>3.3800523016577204E-2</v>
      </c>
      <c r="AB236" s="496">
        <f t="shared" ca="1" si="136"/>
        <v>8.7600368649660421E-2</v>
      </c>
      <c r="AC236" s="496">
        <f t="shared" ca="1" si="136"/>
        <v>8.306519568996884E-2</v>
      </c>
      <c r="AD236" s="496">
        <f t="shared" ca="1" si="136"/>
        <v>0.12648415036854382</v>
      </c>
      <c r="AE236" s="496">
        <f t="shared" ca="1" si="136"/>
        <v>1.218327869704742E-2</v>
      </c>
      <c r="AF236" s="496">
        <f t="shared" ca="1" si="136"/>
        <v>7.6353840095627734E-2</v>
      </c>
      <c r="AG236" s="496">
        <f t="shared" ca="1" si="136"/>
        <v>0.13109225618738515</v>
      </c>
      <c r="AH236" s="496">
        <f t="shared" ca="1" si="136"/>
        <v>9.77802680068003E-2</v>
      </c>
      <c r="AI236" s="496">
        <f t="shared" ca="1" si="136"/>
        <v>0.10007590347134493</v>
      </c>
      <c r="AJ236" s="496">
        <f t="shared" ca="1" si="136"/>
        <v>9.4671433314128861E-2</v>
      </c>
      <c r="AK236" s="496">
        <f t="shared" ca="1" si="136"/>
        <v>2.7422295435730347E-2</v>
      </c>
      <c r="AL236" s="496">
        <f t="shared" ca="1" si="136"/>
        <v>3.4989384469724057E-2</v>
      </c>
      <c r="AM236" s="496">
        <f t="shared" ca="1" si="136"/>
        <v>6.7269060020471672E-2</v>
      </c>
      <c r="AN236" s="496">
        <f t="shared" ca="1" si="136"/>
        <v>3.6857051749810944E-2</v>
      </c>
      <c r="AO236" s="496">
        <f t="shared" ca="1" si="136"/>
        <v>4.9613577258600709E-2</v>
      </c>
      <c r="AP236" s="496">
        <f t="shared" ca="1" si="136"/>
        <v>3.3812269702698995E-2</v>
      </c>
    </row>
    <row r="237" spans="3:42">
      <c r="C237" t="str">
        <f t="shared" si="127"/>
        <v>R_ES-SH-DH_ELC-HPA</v>
      </c>
      <c r="D237" t="s">
        <v>906</v>
      </c>
      <c r="E237" t="str">
        <f t="shared" si="128"/>
        <v>R_ES-DH-SpHeat</v>
      </c>
      <c r="F237" s="496">
        <f t="shared" ref="F237:AP237" ca="1" si="137">0.75*F193</f>
        <v>7.7275418572524845E-2</v>
      </c>
      <c r="G237" s="496">
        <f t="shared" ca="1" si="137"/>
        <v>8.4711271442594223E-3</v>
      </c>
      <c r="H237" s="496">
        <f t="shared" ca="1" si="137"/>
        <v>4.8807402159337335E-2</v>
      </c>
      <c r="I237" s="496">
        <f t="shared" ca="1" si="137"/>
        <v>9.6331864372096426E-2</v>
      </c>
      <c r="J237" s="496">
        <f t="shared" ca="1" si="137"/>
        <v>5.2388923632107467E-2</v>
      </c>
      <c r="K237" s="496">
        <f t="shared" ca="1" si="137"/>
        <v>9.5412580859174423E-2</v>
      </c>
      <c r="L237" s="496">
        <f t="shared" ca="1" si="137"/>
        <v>8.6747263135986061E-2</v>
      </c>
      <c r="M237" s="496">
        <f t="shared" ca="1" si="137"/>
        <v>2.4196374219910381E-2</v>
      </c>
      <c r="N237" s="496">
        <f t="shared" ca="1" si="137"/>
        <v>2.651615572331124E-2</v>
      </c>
      <c r="O237" s="496">
        <f t="shared" ca="1" si="137"/>
        <v>7.1100513950079852E-2</v>
      </c>
      <c r="P237" s="496">
        <f t="shared" ca="1" si="137"/>
        <v>7.2512193893178686E-2</v>
      </c>
      <c r="Q237" s="496">
        <f t="shared" ca="1" si="137"/>
        <v>0.10092174120188213</v>
      </c>
      <c r="R237" s="496">
        <f t="shared" ca="1" si="137"/>
        <v>7.5758037809170786E-2</v>
      </c>
      <c r="S237" s="496">
        <f t="shared" ca="1" si="137"/>
        <v>7.4608755697555665E-2</v>
      </c>
      <c r="T237" s="496">
        <f t="shared" ca="1" si="137"/>
        <v>9.5827529685438423E-2</v>
      </c>
      <c r="U237" s="496">
        <f t="shared" ca="1" si="137"/>
        <v>0.11451748220084182</v>
      </c>
      <c r="V237" s="496">
        <f t="shared" ca="1" si="137"/>
        <v>0.2004789305688279</v>
      </c>
      <c r="W237" s="496">
        <f t="shared" ca="1" si="137"/>
        <v>8.2796251986500535E-3</v>
      </c>
      <c r="X237" s="496">
        <f t="shared" ca="1" si="137"/>
        <v>6.593959013631398E-2</v>
      </c>
      <c r="Y237" s="496">
        <f t="shared" ca="1" si="137"/>
        <v>0.11606226133866021</v>
      </c>
      <c r="Z237" s="496">
        <f t="shared" ca="1" si="137"/>
        <v>8.8906983806391962E-2</v>
      </c>
      <c r="AA237" s="496">
        <f t="shared" ca="1" si="137"/>
        <v>3.3800523016577204E-2</v>
      </c>
      <c r="AB237" s="496">
        <f t="shared" ca="1" si="137"/>
        <v>8.7600368649660421E-2</v>
      </c>
      <c r="AC237" s="496">
        <f t="shared" ca="1" si="137"/>
        <v>8.306519568996884E-2</v>
      </c>
      <c r="AD237" s="496">
        <f t="shared" ca="1" si="137"/>
        <v>0.12648415036854382</v>
      </c>
      <c r="AE237" s="496">
        <f t="shared" ca="1" si="137"/>
        <v>1.218327869704742E-2</v>
      </c>
      <c r="AF237" s="496">
        <f t="shared" ca="1" si="137"/>
        <v>7.6353840095627734E-2</v>
      </c>
      <c r="AG237" s="496">
        <f t="shared" ca="1" si="137"/>
        <v>0.13109225618738515</v>
      </c>
      <c r="AH237" s="496">
        <f t="shared" ca="1" si="137"/>
        <v>9.77802680068003E-2</v>
      </c>
      <c r="AI237" s="496">
        <f t="shared" ca="1" si="137"/>
        <v>0.10007590347134493</v>
      </c>
      <c r="AJ237" s="496">
        <f t="shared" ca="1" si="137"/>
        <v>9.4671433314128861E-2</v>
      </c>
      <c r="AK237" s="496">
        <f t="shared" ca="1" si="137"/>
        <v>2.7422295435730347E-2</v>
      </c>
      <c r="AL237" s="496">
        <f t="shared" ca="1" si="137"/>
        <v>3.4989384469724057E-2</v>
      </c>
      <c r="AM237" s="496">
        <f t="shared" ca="1" si="137"/>
        <v>6.7269060020471672E-2</v>
      </c>
      <c r="AN237" s="496">
        <f t="shared" ca="1" si="137"/>
        <v>3.6857051749810944E-2</v>
      </c>
      <c r="AO237" s="496">
        <f t="shared" ca="1" si="137"/>
        <v>4.9613577258600709E-2</v>
      </c>
      <c r="AP237" s="496">
        <f t="shared" ca="1" si="137"/>
        <v>3.3812269702698995E-2</v>
      </c>
    </row>
    <row r="238" spans="3:42">
      <c r="C238" t="str">
        <f t="shared" si="127"/>
        <v>R_ES-SH-DH_ELC-HPG</v>
      </c>
      <c r="D238" t="s">
        <v>906</v>
      </c>
      <c r="E238" t="str">
        <f t="shared" si="128"/>
        <v>R_ES-DH-SpHeat</v>
      </c>
      <c r="F238" s="496">
        <f t="shared" ref="F238:AP238" ca="1" si="138">0.75*F194</f>
        <v>7.7275418572524845E-2</v>
      </c>
      <c r="G238" s="496">
        <f t="shared" ca="1" si="138"/>
        <v>8.4711271442594223E-3</v>
      </c>
      <c r="H238" s="496">
        <f t="shared" ca="1" si="138"/>
        <v>4.8807402159337335E-2</v>
      </c>
      <c r="I238" s="496">
        <f t="shared" ca="1" si="138"/>
        <v>9.6331864372096426E-2</v>
      </c>
      <c r="J238" s="496">
        <f t="shared" ca="1" si="138"/>
        <v>5.2388923632107467E-2</v>
      </c>
      <c r="K238" s="496">
        <f t="shared" ca="1" si="138"/>
        <v>9.5412580859174423E-2</v>
      </c>
      <c r="L238" s="496">
        <f t="shared" ca="1" si="138"/>
        <v>8.6747263135986061E-2</v>
      </c>
      <c r="M238" s="496">
        <f t="shared" ca="1" si="138"/>
        <v>2.4196374219910381E-2</v>
      </c>
      <c r="N238" s="496">
        <f t="shared" ca="1" si="138"/>
        <v>2.651615572331124E-2</v>
      </c>
      <c r="O238" s="496">
        <f t="shared" ca="1" si="138"/>
        <v>7.1100513950079852E-2</v>
      </c>
      <c r="P238" s="496">
        <f t="shared" ca="1" si="138"/>
        <v>7.2512193893178686E-2</v>
      </c>
      <c r="Q238" s="496">
        <f t="shared" ca="1" si="138"/>
        <v>0.10092174120188213</v>
      </c>
      <c r="R238" s="496">
        <f t="shared" ca="1" si="138"/>
        <v>7.5758037809170786E-2</v>
      </c>
      <c r="S238" s="496">
        <f t="shared" ca="1" si="138"/>
        <v>7.4608755697555665E-2</v>
      </c>
      <c r="T238" s="496">
        <f t="shared" ca="1" si="138"/>
        <v>9.5827529685438423E-2</v>
      </c>
      <c r="U238" s="496">
        <f t="shared" ca="1" si="138"/>
        <v>0.11451748220084182</v>
      </c>
      <c r="V238" s="496">
        <f t="shared" ca="1" si="138"/>
        <v>0.2004789305688279</v>
      </c>
      <c r="W238" s="496">
        <f t="shared" ca="1" si="138"/>
        <v>8.2796251986500535E-3</v>
      </c>
      <c r="X238" s="496">
        <f t="shared" ca="1" si="138"/>
        <v>6.593959013631398E-2</v>
      </c>
      <c r="Y238" s="496">
        <f t="shared" ca="1" si="138"/>
        <v>0.11606226133866021</v>
      </c>
      <c r="Z238" s="496">
        <f t="shared" ca="1" si="138"/>
        <v>8.8906983806391962E-2</v>
      </c>
      <c r="AA238" s="496">
        <f t="shared" ca="1" si="138"/>
        <v>3.3800523016577204E-2</v>
      </c>
      <c r="AB238" s="496">
        <f t="shared" ca="1" si="138"/>
        <v>8.7600368649660421E-2</v>
      </c>
      <c r="AC238" s="496">
        <f t="shared" ca="1" si="138"/>
        <v>8.306519568996884E-2</v>
      </c>
      <c r="AD238" s="496">
        <f t="shared" ca="1" si="138"/>
        <v>0.12648415036854382</v>
      </c>
      <c r="AE238" s="496">
        <f t="shared" ca="1" si="138"/>
        <v>1.218327869704742E-2</v>
      </c>
      <c r="AF238" s="496">
        <f t="shared" ca="1" si="138"/>
        <v>7.6353840095627734E-2</v>
      </c>
      <c r="AG238" s="496">
        <f t="shared" ca="1" si="138"/>
        <v>0.13109225618738515</v>
      </c>
      <c r="AH238" s="496">
        <f t="shared" ca="1" si="138"/>
        <v>9.77802680068003E-2</v>
      </c>
      <c r="AI238" s="496">
        <f t="shared" ca="1" si="138"/>
        <v>0.10007590347134493</v>
      </c>
      <c r="AJ238" s="496">
        <f t="shared" ca="1" si="138"/>
        <v>9.4671433314128861E-2</v>
      </c>
      <c r="AK238" s="496">
        <f t="shared" ca="1" si="138"/>
        <v>2.7422295435730347E-2</v>
      </c>
      <c r="AL238" s="496">
        <f t="shared" ca="1" si="138"/>
        <v>3.4989384469724057E-2</v>
      </c>
      <c r="AM238" s="496">
        <f t="shared" ca="1" si="138"/>
        <v>6.7269060020471672E-2</v>
      </c>
      <c r="AN238" s="496">
        <f t="shared" ca="1" si="138"/>
        <v>3.6857051749810944E-2</v>
      </c>
      <c r="AO238" s="496">
        <f t="shared" ca="1" si="138"/>
        <v>4.9613577258600709E-2</v>
      </c>
      <c r="AP238" s="496">
        <f t="shared" ca="1" si="138"/>
        <v>3.3812269702698995E-2</v>
      </c>
    </row>
    <row r="239" spans="3:42">
      <c r="C239" t="str">
        <f t="shared" ref="C239:C248" si="139">C195</f>
        <v>R_ES-SH-DH_GAS</v>
      </c>
      <c r="D239" t="s">
        <v>906</v>
      </c>
      <c r="E239" t="str">
        <f t="shared" ref="E239:E248" si="140">E195</f>
        <v>R_ES-DH-SpHeat</v>
      </c>
      <c r="F239" s="496">
        <f t="shared" ref="F239:AP239" ca="1" si="141">0.75*F195</f>
        <v>0.10879649461553381</v>
      </c>
      <c r="G239" s="496">
        <f t="shared" ca="1" si="141"/>
        <v>0.10204193323266143</v>
      </c>
      <c r="H239" s="496">
        <f t="shared" ca="1" si="141"/>
        <v>4.0820427392802512E-2</v>
      </c>
      <c r="I239" s="496">
        <f t="shared" ca="1" si="141"/>
        <v>0.10266899583646474</v>
      </c>
      <c r="J239" s="496">
        <f t="shared" ca="1" si="141"/>
        <v>0.20830455769600947</v>
      </c>
      <c r="K239" s="496">
        <f t="shared" ca="1" si="141"/>
        <v>9.584399680949407E-2</v>
      </c>
      <c r="L239" s="496">
        <f t="shared" ca="1" si="141"/>
        <v>0.10046377755034777</v>
      </c>
      <c r="M239" s="496">
        <f t="shared" ca="1" si="141"/>
        <v>8.8214487755782667E-2</v>
      </c>
      <c r="N239" s="496">
        <f t="shared" ca="1" si="141"/>
        <v>0.10493638646964071</v>
      </c>
      <c r="O239" s="496">
        <f t="shared" ca="1" si="141"/>
        <v>6.8784233469369793E-2</v>
      </c>
      <c r="P239" s="496">
        <f t="shared" ca="1" si="141"/>
        <v>0.17018223009983272</v>
      </c>
      <c r="Q239" s="496">
        <f t="shared" ca="1" si="141"/>
        <v>0.11068907485408278</v>
      </c>
      <c r="R239" s="496">
        <f t="shared" ca="1" si="141"/>
        <v>6.3643809168441423E-2</v>
      </c>
      <c r="S239" s="496">
        <f t="shared" ca="1" si="141"/>
        <v>6.6559751961072902E-2</v>
      </c>
      <c r="T239" s="496">
        <f t="shared" ca="1" si="141"/>
        <v>8.3107038419040186E-2</v>
      </c>
      <c r="U239" s="496">
        <f t="shared" ca="1" si="141"/>
        <v>0.10734419150750407</v>
      </c>
      <c r="V239" s="496">
        <f t="shared" ca="1" si="141"/>
        <v>7.0062554577577457E-2</v>
      </c>
      <c r="W239" s="496">
        <f t="shared" ca="1" si="141"/>
        <v>8.553754430700769E-2</v>
      </c>
      <c r="X239" s="496">
        <f t="shared" ca="1" si="141"/>
        <v>8.1514206823444763E-2</v>
      </c>
      <c r="Y239" s="496">
        <f t="shared" ca="1" si="141"/>
        <v>0.1407135332407656</v>
      </c>
      <c r="Z239" s="496">
        <f t="shared" ca="1" si="141"/>
        <v>0.10447379918887539</v>
      </c>
      <c r="AA239" s="496">
        <f t="shared" ca="1" si="141"/>
        <v>0.29566223172641581</v>
      </c>
      <c r="AB239" s="496">
        <f t="shared" ca="1" si="141"/>
        <v>9.9257334870651664E-2</v>
      </c>
      <c r="AC239" s="496">
        <f t="shared" ca="1" si="141"/>
        <v>8.4519849486493631E-2</v>
      </c>
      <c r="AD239" s="496">
        <f t="shared" ca="1" si="141"/>
        <v>0.10393338261228899</v>
      </c>
      <c r="AE239" s="496">
        <f t="shared" ca="1" si="141"/>
        <v>2.3528852621059138E-2</v>
      </c>
      <c r="AF239" s="496">
        <f t="shared" ca="1" si="141"/>
        <v>6.4730154743475488E-2</v>
      </c>
      <c r="AG239" s="496">
        <f t="shared" ca="1" si="141"/>
        <v>0.12938006823826448</v>
      </c>
      <c r="AH239" s="496">
        <f t="shared" ca="1" si="141"/>
        <v>8.1839632993128547E-2</v>
      </c>
      <c r="AI239" s="496">
        <f t="shared" ca="1" si="141"/>
        <v>9.1567563811573424E-2</v>
      </c>
      <c r="AJ239" s="496">
        <f t="shared" ca="1" si="141"/>
        <v>9.248415040875517E-2</v>
      </c>
      <c r="AK239" s="496">
        <f t="shared" ca="1" si="141"/>
        <v>6.3351462382469262E-2</v>
      </c>
      <c r="AL239" s="496">
        <f t="shared" ca="1" si="141"/>
        <v>3.3440928200203876E-2</v>
      </c>
      <c r="AM239" s="496">
        <f t="shared" ca="1" si="141"/>
        <v>6.3729620220470448E-2</v>
      </c>
      <c r="AN239" s="496">
        <f t="shared" ca="1" si="141"/>
        <v>5.9932772133475004E-2</v>
      </c>
      <c r="AO239" s="496">
        <f t="shared" ca="1" si="141"/>
        <v>4.7417926894248633E-2</v>
      </c>
      <c r="AP239" s="496">
        <f t="shared" ca="1" si="141"/>
        <v>5.259104924446352E-2</v>
      </c>
    </row>
    <row r="240" spans="3:42">
      <c r="C240" t="str">
        <f t="shared" si="139"/>
        <v>R_ES-SH-DH_HET</v>
      </c>
      <c r="D240" t="s">
        <v>906</v>
      </c>
      <c r="E240" t="str">
        <f t="shared" si="140"/>
        <v>R_ES-DH-SpHeat</v>
      </c>
      <c r="F240" s="496">
        <f t="shared" ref="F240:AP240" ca="1" si="142">0.75*F196</f>
        <v>9.0000954122028035E-2</v>
      </c>
      <c r="G240" s="496">
        <f t="shared" ca="1" si="142"/>
        <v>6.5746713780010402E-2</v>
      </c>
      <c r="H240" s="496">
        <f t="shared" ca="1" si="142"/>
        <v>3.2656471280211499E-2</v>
      </c>
      <c r="I240" s="496">
        <f t="shared" ca="1" si="142"/>
        <v>8.7019989188936553E-2</v>
      </c>
      <c r="J240" s="496">
        <f t="shared" ca="1" si="142"/>
        <v>0.20830455769600947</v>
      </c>
      <c r="K240" s="496">
        <f t="shared" ca="1" si="142"/>
        <v>7.1246058239697013E-2</v>
      </c>
      <c r="L240" s="496">
        <f t="shared" ca="1" si="142"/>
        <v>8.4852535522199707E-2</v>
      </c>
      <c r="M240" s="496">
        <f t="shared" ca="1" si="142"/>
        <v>7.3041825688310413E-2</v>
      </c>
      <c r="N240" s="496">
        <f t="shared" ca="1" si="142"/>
        <v>8.5600483041803982E-2</v>
      </c>
      <c r="O240" s="496">
        <f t="shared" ca="1" si="142"/>
        <v>8.6184524629188436E-2</v>
      </c>
      <c r="P240" s="496">
        <f t="shared" ca="1" si="142"/>
        <v>0.14370733534639091</v>
      </c>
      <c r="Q240" s="496">
        <f t="shared" ca="1" si="142"/>
        <v>9.151683592254678E-2</v>
      </c>
      <c r="R240" s="496">
        <f t="shared" ca="1" si="142"/>
        <v>6.0848157573946293E-2</v>
      </c>
      <c r="S240" s="496">
        <f t="shared" ca="1" si="142"/>
        <v>5.6736741609526478E-2</v>
      </c>
      <c r="T240" s="496">
        <f t="shared" ca="1" si="142"/>
        <v>7.0000769704293198E-2</v>
      </c>
      <c r="U240" s="496">
        <f t="shared" ca="1" si="142"/>
        <v>5.9354363786645506E-2</v>
      </c>
      <c r="V240" s="496">
        <f t="shared" ca="1" si="142"/>
        <v>0.17467202488305789</v>
      </c>
      <c r="W240" s="496">
        <f t="shared" ca="1" si="142"/>
        <v>7.2026735018829544E-2</v>
      </c>
      <c r="X240" s="496">
        <f t="shared" ca="1" si="142"/>
        <v>6.2986042823231281E-2</v>
      </c>
      <c r="Y240" s="496">
        <f t="shared" ca="1" si="142"/>
        <v>6.3029681208269767E-2</v>
      </c>
      <c r="Z240" s="496">
        <f t="shared" ca="1" si="142"/>
        <v>8.046375211640247E-2</v>
      </c>
      <c r="AA240" s="496">
        <f t="shared" ca="1" si="142"/>
        <v>0.29566223172641581</v>
      </c>
      <c r="AB240" s="496">
        <f t="shared" ca="1" si="142"/>
        <v>8.331901848969786E-2</v>
      </c>
      <c r="AC240" s="496">
        <f t="shared" ca="1" si="142"/>
        <v>7.237252257534893E-2</v>
      </c>
      <c r="AD240" s="496">
        <f t="shared" ca="1" si="142"/>
        <v>8.2108283919608088E-2</v>
      </c>
      <c r="AE240" s="496">
        <f t="shared" ca="1" si="142"/>
        <v>1.9389448317389382E-2</v>
      </c>
      <c r="AF240" s="496">
        <f t="shared" ca="1" si="142"/>
        <v>5.120724923276597E-2</v>
      </c>
      <c r="AG240" s="496">
        <f t="shared" ca="1" si="142"/>
        <v>0.10925377380036286</v>
      </c>
      <c r="AH240" s="496">
        <f t="shared" ca="1" si="142"/>
        <v>7.3080128547660009E-2</v>
      </c>
      <c r="AI240" s="496">
        <f t="shared" ca="1" si="142"/>
        <v>7.3250868038013561E-2</v>
      </c>
      <c r="AJ240" s="496">
        <f t="shared" ca="1" si="142"/>
        <v>7.0850001170330842E-2</v>
      </c>
      <c r="AK240" s="496">
        <f t="shared" ca="1" si="142"/>
        <v>6.3351462382469262E-2</v>
      </c>
      <c r="AL240" s="496">
        <f t="shared" ca="1" si="142"/>
        <v>2.8674046554689917E-2</v>
      </c>
      <c r="AM240" s="496">
        <f t="shared" ca="1" si="142"/>
        <v>6.3729620220470448E-2</v>
      </c>
      <c r="AN240" s="496">
        <f t="shared" ca="1" si="142"/>
        <v>3.0984197343229276E-2</v>
      </c>
      <c r="AO240" s="496">
        <f t="shared" ca="1" si="142"/>
        <v>4.0658675355915483E-2</v>
      </c>
      <c r="AP240" s="496">
        <f t="shared" ca="1" si="142"/>
        <v>2.7709392727781487E-2</v>
      </c>
    </row>
    <row r="241" spans="3:42">
      <c r="C241" t="str">
        <f t="shared" si="139"/>
        <v>R_ES-SH-DH_OIL</v>
      </c>
      <c r="D241" t="s">
        <v>906</v>
      </c>
      <c r="E241" t="str">
        <f t="shared" si="140"/>
        <v>R_ES-DH-SpHeat</v>
      </c>
      <c r="F241" s="496">
        <f t="shared" ref="F241:AP241" ca="1" si="143">0.75*F197</f>
        <v>0.10001043323698486</v>
      </c>
      <c r="G241" s="496">
        <f t="shared" ca="1" si="143"/>
        <v>8.8142919436515033E-2</v>
      </c>
      <c r="H241" s="496">
        <f t="shared" ca="1" si="143"/>
        <v>4.9324558155553512E-2</v>
      </c>
      <c r="I241" s="496">
        <f t="shared" ca="1" si="143"/>
        <v>9.6975907007484055E-2</v>
      </c>
      <c r="J241" s="496">
        <f t="shared" ca="1" si="143"/>
        <v>4.6596970277211901E-2</v>
      </c>
      <c r="K241" s="496">
        <f t="shared" ca="1" si="143"/>
        <v>6.0204357878411219E-2</v>
      </c>
      <c r="L241" s="496">
        <f t="shared" ca="1" si="143"/>
        <v>9.5318462290829936E-2</v>
      </c>
      <c r="M241" s="496">
        <f t="shared" ca="1" si="143"/>
        <v>8.1793792265088899E-2</v>
      </c>
      <c r="N241" s="496">
        <f t="shared" ca="1" si="143"/>
        <v>8.5455511640076032E-2</v>
      </c>
      <c r="O241" s="496">
        <f t="shared" ca="1" si="143"/>
        <v>6.3866512072403347E-2</v>
      </c>
      <c r="P241" s="496">
        <f t="shared" ca="1" si="143"/>
        <v>0.161357185443364</v>
      </c>
      <c r="Q241" s="496">
        <f t="shared" ca="1" si="143"/>
        <v>9.8516492373888043E-2</v>
      </c>
      <c r="R241" s="496">
        <f t="shared" ca="1" si="143"/>
        <v>5.9624934132618504E-2</v>
      </c>
      <c r="S241" s="496">
        <f t="shared" ca="1" si="143"/>
        <v>6.6821355675932462E-2</v>
      </c>
      <c r="T241" s="496">
        <f t="shared" ca="1" si="143"/>
        <v>5.9033254859240533E-2</v>
      </c>
      <c r="U241" s="496">
        <f t="shared" ca="1" si="143"/>
        <v>0.10221149053980214</v>
      </c>
      <c r="V241" s="496">
        <f t="shared" ca="1" si="143"/>
        <v>0.19587103335746306</v>
      </c>
      <c r="W241" s="496">
        <f t="shared" ca="1" si="143"/>
        <v>7.8859065589327829E-2</v>
      </c>
      <c r="X241" s="496">
        <f t="shared" ca="1" si="143"/>
        <v>7.3999808275833204E-2</v>
      </c>
      <c r="Y241" s="496">
        <f t="shared" ca="1" si="143"/>
        <v>0.13310915393044112</v>
      </c>
      <c r="Z241" s="496">
        <f t="shared" ca="1" si="143"/>
        <v>9.0206413710571226E-2</v>
      </c>
      <c r="AA241" s="496">
        <f t="shared" ca="1" si="143"/>
        <v>0.29566223172641581</v>
      </c>
      <c r="AB241" s="496">
        <f t="shared" ca="1" si="143"/>
        <v>9.3555913918633035E-2</v>
      </c>
      <c r="AC241" s="496">
        <f t="shared" ca="1" si="143"/>
        <v>8.1155988161300985E-2</v>
      </c>
      <c r="AD241" s="496">
        <f t="shared" ca="1" si="143"/>
        <v>9.0275842773425111E-2</v>
      </c>
      <c r="AE241" s="496">
        <f t="shared" ca="1" si="143"/>
        <v>2.1010934317588541E-2</v>
      </c>
      <c r="AF241" s="496">
        <f t="shared" ca="1" si="143"/>
        <v>3.8258041333309824E-2</v>
      </c>
      <c r="AG241" s="496">
        <f t="shared" ca="1" si="143"/>
        <v>0.12267069149838587</v>
      </c>
      <c r="AH241" s="496">
        <f t="shared" ca="1" si="143"/>
        <v>8.8407329652014019E-2</v>
      </c>
      <c r="AI241" s="496">
        <f t="shared" ca="1" si="143"/>
        <v>6.0962483739938414E-2</v>
      </c>
      <c r="AJ241" s="496">
        <f t="shared" ca="1" si="143"/>
        <v>8.7360735273448342E-2</v>
      </c>
      <c r="AK241" s="496">
        <f t="shared" ca="1" si="143"/>
        <v>2.5587282302419041E-2</v>
      </c>
      <c r="AL241" s="496">
        <f t="shared" ca="1" si="143"/>
        <v>5.259104924446352E-2</v>
      </c>
      <c r="AM241" s="496">
        <f t="shared" ca="1" si="143"/>
        <v>6.3729620220470448E-2</v>
      </c>
      <c r="AN241" s="496">
        <f t="shared" ca="1" si="143"/>
        <v>3.4390694614444592E-2</v>
      </c>
      <c r="AO241" s="496">
        <f t="shared" ca="1" si="143"/>
        <v>4.4965410595715148E-2</v>
      </c>
      <c r="AP241" s="496">
        <f t="shared" ca="1" si="143"/>
        <v>3.0644486335468894E-2</v>
      </c>
    </row>
    <row r="242" spans="3:42">
      <c r="C242" t="str">
        <f t="shared" si="139"/>
        <v>R_ES-SH-DH_BIO</v>
      </c>
      <c r="D242" t="s">
        <v>906</v>
      </c>
      <c r="E242" t="str">
        <f t="shared" si="140"/>
        <v>R_ES-DH-SpHeat</v>
      </c>
      <c r="F242" s="496">
        <f t="shared" ref="F242:AP242" ca="1" si="144">0.75*F198</f>
        <v>0.10584792441718455</v>
      </c>
      <c r="G242" s="496">
        <f t="shared" ca="1" si="144"/>
        <v>9.8084937178444173E-2</v>
      </c>
      <c r="H242" s="496">
        <f t="shared" ca="1" si="144"/>
        <v>4.0246893986078933E-2</v>
      </c>
      <c r="I242" s="496">
        <f t="shared" ca="1" si="144"/>
        <v>9.3524303000518672E-2</v>
      </c>
      <c r="J242" s="496">
        <f t="shared" ca="1" si="144"/>
        <v>4.1676344589287387E-2</v>
      </c>
      <c r="K242" s="496">
        <f t="shared" ca="1" si="144"/>
        <v>8.6836097305806756E-2</v>
      </c>
      <c r="L242" s="496">
        <f t="shared" ca="1" si="144"/>
        <v>0.10084344172216637</v>
      </c>
      <c r="M242" s="496">
        <f t="shared" ca="1" si="144"/>
        <v>8.412454093327458E-2</v>
      </c>
      <c r="N242" s="496">
        <f t="shared" ca="1" si="144"/>
        <v>0.10932772799766574</v>
      </c>
      <c r="O242" s="496">
        <f t="shared" ca="1" si="144"/>
        <v>6.5772198334354576E-2</v>
      </c>
      <c r="P242" s="496">
        <f t="shared" ca="1" si="144"/>
        <v>0.17079137180714718</v>
      </c>
      <c r="Q242" s="496">
        <f t="shared" ca="1" si="144"/>
        <v>0.10876363408815262</v>
      </c>
      <c r="R242" s="496">
        <f t="shared" ca="1" si="144"/>
        <v>6.3493804449164234E-2</v>
      </c>
      <c r="S242" s="496">
        <f t="shared" ca="1" si="144"/>
        <v>7.0590097446802183E-2</v>
      </c>
      <c r="T242" s="496">
        <f t="shared" ca="1" si="144"/>
        <v>8.1542012506633801E-2</v>
      </c>
      <c r="U242" s="496">
        <f t="shared" ca="1" si="144"/>
        <v>0.10479841556145847</v>
      </c>
      <c r="V242" s="496">
        <f t="shared" ca="1" si="144"/>
        <v>7.0062554577577457E-2</v>
      </c>
      <c r="W242" s="496">
        <f t="shared" ca="1" si="144"/>
        <v>8.5600446085744131E-2</v>
      </c>
      <c r="X242" s="496">
        <f t="shared" ca="1" si="144"/>
        <v>7.6533349623338326E-2</v>
      </c>
      <c r="Y242" s="496">
        <f t="shared" ca="1" si="144"/>
        <v>0.14554681362176763</v>
      </c>
      <c r="Z242" s="496">
        <f t="shared" ca="1" si="144"/>
        <v>8.6882780910225207E-2</v>
      </c>
      <c r="AA242" s="496">
        <f t="shared" ca="1" si="144"/>
        <v>2.0406579046643444E-2</v>
      </c>
      <c r="AB242" s="496">
        <f t="shared" ca="1" si="144"/>
        <v>8.4997002725354195E-2</v>
      </c>
      <c r="AC242" s="496">
        <f t="shared" ca="1" si="144"/>
        <v>7.8398903988316601E-2</v>
      </c>
      <c r="AD242" s="496">
        <f t="shared" ca="1" si="144"/>
        <v>0.10304867504777525</v>
      </c>
      <c r="AE242" s="496">
        <f t="shared" ca="1" si="144"/>
        <v>2.1775446915853557E-2</v>
      </c>
      <c r="AF242" s="496">
        <f t="shared" ca="1" si="144"/>
        <v>6.4739602279965419E-2</v>
      </c>
      <c r="AG242" s="496">
        <f t="shared" ca="1" si="144"/>
        <v>0.13608047482522564</v>
      </c>
      <c r="AH242" s="496">
        <f t="shared" ca="1" si="144"/>
        <v>8.2005006559898036E-2</v>
      </c>
      <c r="AI242" s="496">
        <f t="shared" ca="1" si="144"/>
        <v>9.0217041651702801E-2</v>
      </c>
      <c r="AJ242" s="496">
        <f t="shared" ca="1" si="144"/>
        <v>9.2709862361995549E-2</v>
      </c>
      <c r="AK242" s="496">
        <f t="shared" ca="1" si="144"/>
        <v>2.6558767055415614E-2</v>
      </c>
      <c r="AL242" s="496">
        <f t="shared" ca="1" si="144"/>
        <v>3.2773596608784386E-2</v>
      </c>
      <c r="AM242" s="496">
        <f t="shared" ca="1" si="144"/>
        <v>6.3009083205527769E-2</v>
      </c>
      <c r="AN242" s="496">
        <f t="shared" ca="1" si="144"/>
        <v>3.5696422790966714E-2</v>
      </c>
      <c r="AO242" s="496">
        <f t="shared" ca="1" si="144"/>
        <v>4.6471676825270036E-2</v>
      </c>
      <c r="AP242" s="496">
        <f t="shared" ca="1" si="144"/>
        <v>3.1671025496963212E-2</v>
      </c>
    </row>
    <row r="243" spans="3:42">
      <c r="C243" t="str">
        <f t="shared" si="139"/>
        <v>R_ES-SH-DH_COA</v>
      </c>
      <c r="D243" t="s">
        <v>906</v>
      </c>
      <c r="E243" t="str">
        <f t="shared" si="140"/>
        <v>R_ES-DH-SpHeat</v>
      </c>
      <c r="F243" s="496">
        <f t="shared" ref="F243:AP243" ca="1" si="145">0.75*F199</f>
        <v>0.10152071664989512</v>
      </c>
      <c r="G243" s="496">
        <f t="shared" ca="1" si="145"/>
        <v>8.2361596877415261E-2</v>
      </c>
      <c r="H243" s="496">
        <f t="shared" ca="1" si="145"/>
        <v>3.5464021033189949E-2</v>
      </c>
      <c r="I243" s="496">
        <f t="shared" ca="1" si="145"/>
        <v>8.9964158730155619E-2</v>
      </c>
      <c r="J243" s="496">
        <f t="shared" ca="1" si="145"/>
        <v>0.20830455769600947</v>
      </c>
      <c r="K243" s="496">
        <f t="shared" ca="1" si="145"/>
        <v>7.9560211922841906E-2</v>
      </c>
      <c r="L243" s="496">
        <f t="shared" ca="1" si="145"/>
        <v>8.9318438013894205E-2</v>
      </c>
      <c r="M243" s="496">
        <f t="shared" ca="1" si="145"/>
        <v>5.0021819596845131E-2</v>
      </c>
      <c r="N243" s="496">
        <f t="shared" ca="1" si="145"/>
        <v>8.5467338817154112E-2</v>
      </c>
      <c r="O243" s="496">
        <f t="shared" ca="1" si="145"/>
        <v>5.8934290350103953E-2</v>
      </c>
      <c r="P243" s="496">
        <f t="shared" ca="1" si="145"/>
        <v>0.15171680754617245</v>
      </c>
      <c r="Q243" s="496">
        <f t="shared" ca="1" si="145"/>
        <v>0.10212253581811233</v>
      </c>
      <c r="R243" s="496">
        <f t="shared" ca="1" si="145"/>
        <v>9.1570690621212342E-2</v>
      </c>
      <c r="S243" s="496">
        <f t="shared" ca="1" si="145"/>
        <v>7.1592470100602199E-2</v>
      </c>
      <c r="T243" s="496">
        <f t="shared" ca="1" si="145"/>
        <v>6.3730527973440546E-2</v>
      </c>
      <c r="U243" s="496">
        <f t="shared" ca="1" si="145"/>
        <v>8.892262651967342E-2</v>
      </c>
      <c r="V243" s="496">
        <f t="shared" ca="1" si="145"/>
        <v>7.0062554577577457E-2</v>
      </c>
      <c r="W243" s="496">
        <f t="shared" ca="1" si="145"/>
        <v>7.059124221644171E-2</v>
      </c>
      <c r="X243" s="496">
        <f t="shared" ca="1" si="145"/>
        <v>6.8297865052135989E-2</v>
      </c>
      <c r="Y243" s="496">
        <f t="shared" ca="1" si="145"/>
        <v>0.12195017969885144</v>
      </c>
      <c r="Z243" s="496">
        <f t="shared" ca="1" si="145"/>
        <v>0.11611706098007721</v>
      </c>
      <c r="AA243" s="496">
        <f t="shared" ca="1" si="145"/>
        <v>0.29566223172641581</v>
      </c>
      <c r="AB243" s="496">
        <f t="shared" ca="1" si="145"/>
        <v>7.6753708778595969E-2</v>
      </c>
      <c r="AC243" s="496">
        <f t="shared" ca="1" si="145"/>
        <v>8.1774688031249307E-2</v>
      </c>
      <c r="AD243" s="496">
        <f t="shared" ca="1" si="145"/>
        <v>9.2676980543952792E-2</v>
      </c>
      <c r="AE243" s="496">
        <f t="shared" ca="1" si="145"/>
        <v>5.7220370425946514E-2</v>
      </c>
      <c r="AF243" s="496">
        <f t="shared" ca="1" si="145"/>
        <v>2.907673534225387E-2</v>
      </c>
      <c r="AG243" s="496">
        <f t="shared" ca="1" si="145"/>
        <v>6.6252964675322004E-2</v>
      </c>
      <c r="AH243" s="496">
        <f t="shared" ca="1" si="145"/>
        <v>7.8841334796989626E-2</v>
      </c>
      <c r="AI243" s="496">
        <f t="shared" ca="1" si="145"/>
        <v>7.9548043107166816E-2</v>
      </c>
      <c r="AJ243" s="496">
        <f t="shared" ca="1" si="145"/>
        <v>7.9906569217698065E-2</v>
      </c>
      <c r="AK243" s="496">
        <f t="shared" ca="1" si="145"/>
        <v>6.3351462382469262E-2</v>
      </c>
      <c r="AL243" s="496">
        <f t="shared" ca="1" si="145"/>
        <v>3.0712389214479295E-2</v>
      </c>
      <c r="AM243" s="496">
        <f t="shared" ca="1" si="145"/>
        <v>6.3729620220470448E-2</v>
      </c>
      <c r="AN243" s="496">
        <f t="shared" ca="1" si="145"/>
        <v>5.9932772133475004E-2</v>
      </c>
      <c r="AO243" s="496">
        <f t="shared" ca="1" si="145"/>
        <v>4.3548965441426092E-2</v>
      </c>
      <c r="AP243" s="496">
        <f t="shared" ca="1" si="145"/>
        <v>2.9679161353432855E-2</v>
      </c>
    </row>
    <row r="244" spans="3:42">
      <c r="C244" t="str">
        <f t="shared" si="139"/>
        <v>R_ES-SH-DH_LPG</v>
      </c>
      <c r="D244" t="s">
        <v>906</v>
      </c>
      <c r="E244" t="str">
        <f t="shared" si="140"/>
        <v>R_ES-DH-SpHeat</v>
      </c>
      <c r="F244" s="496">
        <f t="shared" ref="F244:AP244" ca="1" si="146">0.75*F200</f>
        <v>9.9267196526105703E-2</v>
      </c>
      <c r="G244" s="496">
        <f t="shared" ca="1" si="146"/>
        <v>9.1940974490136745E-2</v>
      </c>
      <c r="H244" s="496">
        <f t="shared" ca="1" si="146"/>
        <v>3.5729449650906353E-2</v>
      </c>
      <c r="I244" s="496">
        <f t="shared" ca="1" si="146"/>
        <v>7.4252839151171118E-2</v>
      </c>
      <c r="J244" s="496">
        <f t="shared" ca="1" si="146"/>
        <v>4.6955213286615588E-2</v>
      </c>
      <c r="K244" s="496">
        <f t="shared" ca="1" si="146"/>
        <v>6.0204357878411219E-2</v>
      </c>
      <c r="L244" s="496">
        <f t="shared" ca="1" si="146"/>
        <v>9.4960461371936047E-2</v>
      </c>
      <c r="M244" s="496">
        <f t="shared" ca="1" si="146"/>
        <v>8.4418261833879404E-2</v>
      </c>
      <c r="N244" s="496">
        <f t="shared" ca="1" si="146"/>
        <v>8.0721714630848554E-2</v>
      </c>
      <c r="O244" s="496">
        <f t="shared" ca="1" si="146"/>
        <v>6.3104458150467099E-2</v>
      </c>
      <c r="P244" s="496">
        <f t="shared" ca="1" si="146"/>
        <v>8.2060978982134408E-2</v>
      </c>
      <c r="Q244" s="496">
        <f t="shared" ca="1" si="146"/>
        <v>0.10300995803155541</v>
      </c>
      <c r="R244" s="496">
        <f t="shared" ca="1" si="146"/>
        <v>9.1570690621212342E-2</v>
      </c>
      <c r="S244" s="496">
        <f t="shared" ca="1" si="146"/>
        <v>6.7348459661474402E-2</v>
      </c>
      <c r="T244" s="496">
        <f t="shared" ca="1" si="146"/>
        <v>8.5520973596759947E-2</v>
      </c>
      <c r="U244" s="496">
        <f t="shared" ca="1" si="146"/>
        <v>9.928108209899994E-2</v>
      </c>
      <c r="V244" s="496">
        <f t="shared" ca="1" si="146"/>
        <v>7.0062554577577457E-2</v>
      </c>
      <c r="W244" s="496">
        <f t="shared" ca="1" si="146"/>
        <v>7.9517749941305907E-2</v>
      </c>
      <c r="X244" s="496">
        <f t="shared" ca="1" si="146"/>
        <v>7.1829312880647395E-2</v>
      </c>
      <c r="Y244" s="496">
        <f t="shared" ca="1" si="146"/>
        <v>6.3029681208269767E-2</v>
      </c>
      <c r="Z244" s="496">
        <f t="shared" ca="1" si="146"/>
        <v>7.4874420759745541E-2</v>
      </c>
      <c r="AA244" s="496">
        <f t="shared" ca="1" si="146"/>
        <v>3.0751448974952737E-2</v>
      </c>
      <c r="AB244" s="496">
        <f t="shared" ca="1" si="146"/>
        <v>5.6154339295279729E-2</v>
      </c>
      <c r="AC244" s="496">
        <f t="shared" ca="1" si="146"/>
        <v>8.1774688031249307E-2</v>
      </c>
      <c r="AD244" s="496">
        <f t="shared" ca="1" si="146"/>
        <v>7.3534870407303665E-2</v>
      </c>
      <c r="AE244" s="496">
        <f t="shared" ca="1" si="146"/>
        <v>2.030537898398092E-2</v>
      </c>
      <c r="AF244" s="496">
        <f t="shared" ca="1" si="146"/>
        <v>6.1491340396781766E-2</v>
      </c>
      <c r="AG244" s="496">
        <f t="shared" ca="1" si="146"/>
        <v>6.6252964675322004E-2</v>
      </c>
      <c r="AH244" s="496">
        <f t="shared" ca="1" si="146"/>
        <v>8.5026118870229178E-2</v>
      </c>
      <c r="AI244" s="496">
        <f t="shared" ca="1" si="146"/>
        <v>6.0962483739938414E-2</v>
      </c>
      <c r="AJ244" s="496">
        <f t="shared" ca="1" si="146"/>
        <v>8.5470003037657283E-2</v>
      </c>
      <c r="AK244" s="496">
        <f t="shared" ca="1" si="146"/>
        <v>6.3351462382469262E-2</v>
      </c>
      <c r="AL244" s="496">
        <f t="shared" ca="1" si="146"/>
        <v>5.259104924446352E-2</v>
      </c>
      <c r="AM244" s="496">
        <f t="shared" ca="1" si="146"/>
        <v>6.3729620220470448E-2</v>
      </c>
      <c r="AN244" s="496">
        <f t="shared" ca="1" si="146"/>
        <v>5.9932772133475004E-2</v>
      </c>
      <c r="AO244" s="496">
        <f t="shared" ca="1" si="146"/>
        <v>4.4965410595715141E-2</v>
      </c>
      <c r="AP244" s="496">
        <f t="shared" ca="1" si="146"/>
        <v>3.0644486335468894E-2</v>
      </c>
    </row>
    <row r="245" spans="3:42">
      <c r="C245" t="str">
        <f t="shared" si="139"/>
        <v>R_ES-SH-DH_GEO</v>
      </c>
      <c r="D245" t="s">
        <v>906</v>
      </c>
      <c r="E245" t="str">
        <f t="shared" si="140"/>
        <v>R_ES-DH-SpHeat</v>
      </c>
      <c r="F245" s="496">
        <f t="shared" ref="F245:AP245" ca="1" si="147">0.75*F201</f>
        <v>0</v>
      </c>
      <c r="G245" s="496">
        <f t="shared" ca="1" si="147"/>
        <v>0</v>
      </c>
      <c r="H245" s="496">
        <f t="shared" ca="1" si="147"/>
        <v>0</v>
      </c>
      <c r="I245" s="496">
        <f t="shared" ca="1" si="147"/>
        <v>8.7019989188936511E-2</v>
      </c>
      <c r="J245" s="496">
        <f t="shared" ca="1" si="147"/>
        <v>4.1423845382193347E-2</v>
      </c>
      <c r="K245" s="496">
        <f t="shared" ca="1" si="147"/>
        <v>0</v>
      </c>
      <c r="L245" s="496">
        <f t="shared" ca="1" si="147"/>
        <v>8.7807298839376602E-2</v>
      </c>
      <c r="M245" s="496">
        <f t="shared" ca="1" si="147"/>
        <v>0</v>
      </c>
      <c r="N245" s="496">
        <f t="shared" ca="1" si="147"/>
        <v>0</v>
      </c>
      <c r="O245" s="496">
        <f t="shared" ca="1" si="147"/>
        <v>6.3589357239503375E-2</v>
      </c>
      <c r="P245" s="496">
        <f t="shared" ca="1" si="147"/>
        <v>0</v>
      </c>
      <c r="Q245" s="496">
        <f t="shared" ca="1" si="147"/>
        <v>9.5290748428877303E-2</v>
      </c>
      <c r="R245" s="496">
        <f t="shared" ca="1" si="147"/>
        <v>7.0825397048485297E-2</v>
      </c>
      <c r="S245" s="496">
        <f t="shared" ca="1" si="147"/>
        <v>0</v>
      </c>
      <c r="T245" s="496">
        <f t="shared" ca="1" si="147"/>
        <v>0</v>
      </c>
      <c r="U245" s="496">
        <f t="shared" ca="1" si="147"/>
        <v>0</v>
      </c>
      <c r="V245" s="496">
        <f t="shared" ca="1" si="147"/>
        <v>0.17467202488305791</v>
      </c>
      <c r="W245" s="496">
        <f t="shared" ca="1" si="147"/>
        <v>6.5095283832027784E-2</v>
      </c>
      <c r="X245" s="496">
        <f t="shared" ca="1" si="147"/>
        <v>0</v>
      </c>
      <c r="Y245" s="496">
        <f t="shared" ca="1" si="147"/>
        <v>0</v>
      </c>
      <c r="Z245" s="496">
        <f t="shared" ca="1" si="147"/>
        <v>0</v>
      </c>
      <c r="AA245" s="496">
        <f t="shared" ca="1" si="147"/>
        <v>0</v>
      </c>
      <c r="AB245" s="496">
        <f t="shared" ca="1" si="147"/>
        <v>0</v>
      </c>
      <c r="AC245" s="496">
        <f t="shared" ca="1" si="147"/>
        <v>0</v>
      </c>
      <c r="AD245" s="496">
        <f t="shared" ca="1" si="147"/>
        <v>8.6326589730199743E-2</v>
      </c>
      <c r="AE245" s="496">
        <f t="shared" ca="1" si="147"/>
        <v>0</v>
      </c>
      <c r="AF245" s="496">
        <f t="shared" ca="1" si="147"/>
        <v>6.9289572245031184E-2</v>
      </c>
      <c r="AG245" s="496">
        <f t="shared" ca="1" si="147"/>
        <v>0</v>
      </c>
      <c r="AH245" s="496">
        <f t="shared" ca="1" si="147"/>
        <v>7.6026060581364185E-2</v>
      </c>
      <c r="AI245" s="496">
        <f t="shared" ca="1" si="147"/>
        <v>0</v>
      </c>
      <c r="AJ245" s="496">
        <f t="shared" ca="1" si="147"/>
        <v>0</v>
      </c>
      <c r="AK245" s="496">
        <f t="shared" ca="1" si="147"/>
        <v>0</v>
      </c>
      <c r="AL245" s="496">
        <f t="shared" ca="1" si="147"/>
        <v>0</v>
      </c>
      <c r="AM245" s="496">
        <f t="shared" ca="1" si="147"/>
        <v>0</v>
      </c>
      <c r="AN245" s="496">
        <f t="shared" ca="1" si="147"/>
        <v>0</v>
      </c>
      <c r="AO245" s="496">
        <f t="shared" ca="1" si="147"/>
        <v>0</v>
      </c>
      <c r="AP245" s="496">
        <f t="shared" ca="1" si="147"/>
        <v>0</v>
      </c>
    </row>
    <row r="246" spans="3:42">
      <c r="C246" t="str">
        <f t="shared" si="139"/>
        <v>R_ES-SH-DH-70_ELC-R</v>
      </c>
      <c r="D246" t="s">
        <v>906</v>
      </c>
      <c r="E246" t="str">
        <f t="shared" si="140"/>
        <v>R_ES-DH-70-SpHeat</v>
      </c>
      <c r="F246" s="496">
        <f t="shared" ref="F246:AP246" ca="1" si="148">0.75*F202</f>
        <v>4.4659669675225645E-2</v>
      </c>
      <c r="G246" s="496">
        <f t="shared" ca="1" si="148"/>
        <v>8.5241020918172511E-2</v>
      </c>
      <c r="H246" s="496">
        <f t="shared" ca="1" si="148"/>
        <v>3.6613240832095488E-2</v>
      </c>
      <c r="I246" s="496">
        <f t="shared" ca="1" si="148"/>
        <v>5.5672933534728034E-2</v>
      </c>
      <c r="J246" s="496">
        <f t="shared" ca="1" si="148"/>
        <v>4.5879657683795982E-2</v>
      </c>
      <c r="K246" s="496">
        <f t="shared" ca="1" si="148"/>
        <v>7.5384985546681937E-2</v>
      </c>
      <c r="L246" s="496">
        <f t="shared" ca="1" si="148"/>
        <v>4.1614532473280376E-2</v>
      </c>
      <c r="M246" s="496">
        <f t="shared" ca="1" si="148"/>
        <v>1.4507021383002919E-2</v>
      </c>
      <c r="N246" s="496">
        <f t="shared" ca="1" si="148"/>
        <v>1.8352795200415193E-2</v>
      </c>
      <c r="O246" s="496">
        <f t="shared" ca="1" si="148"/>
        <v>4.8122799530642156E-2</v>
      </c>
      <c r="P246" s="496">
        <f t="shared" ca="1" si="148"/>
        <v>5.0897986022868595E-2</v>
      </c>
      <c r="Q246" s="496">
        <f t="shared" ca="1" si="148"/>
        <v>3.8677996773664611E-2</v>
      </c>
      <c r="R246" s="496">
        <f t="shared" ca="1" si="148"/>
        <v>7.00635560226225E-2</v>
      </c>
      <c r="S246" s="496">
        <f t="shared" ca="1" si="148"/>
        <v>5.5797786477461045E-2</v>
      </c>
      <c r="T246" s="496">
        <f t="shared" ca="1" si="148"/>
        <v>6.5410703243554622E-2</v>
      </c>
      <c r="U246" s="496">
        <f t="shared" ca="1" si="148"/>
        <v>5.9538781941552585E-2</v>
      </c>
      <c r="V246" s="496">
        <f t="shared" ca="1" si="148"/>
        <v>0.14072079822883055</v>
      </c>
      <c r="W246" s="496">
        <f t="shared" ca="1" si="148"/>
        <v>6.5681497146745241E-3</v>
      </c>
      <c r="X246" s="496">
        <f t="shared" ca="1" si="148"/>
        <v>4.1915293661965516E-2</v>
      </c>
      <c r="Y246" s="496">
        <f t="shared" ca="1" si="148"/>
        <v>5.3703383151778493E-2</v>
      </c>
      <c r="Z246" s="496">
        <f t="shared" ca="1" si="148"/>
        <v>5.966447419530118E-2</v>
      </c>
      <c r="AA246" s="496">
        <f t="shared" ca="1" si="148"/>
        <v>2.6986242281774563E-2</v>
      </c>
      <c r="AB246" s="496">
        <f t="shared" ca="1" si="148"/>
        <v>5.4904228954606171E-2</v>
      </c>
      <c r="AC246" s="496">
        <f t="shared" ca="1" si="148"/>
        <v>5.6296900327910127E-2</v>
      </c>
      <c r="AD246" s="496">
        <f t="shared" ca="1" si="148"/>
        <v>7.4224643612231259E-2</v>
      </c>
      <c r="AE246" s="496">
        <f t="shared" ca="1" si="148"/>
        <v>1.0457057056969093E-2</v>
      </c>
      <c r="AF246" s="496">
        <f t="shared" ca="1" si="148"/>
        <v>6.6988500811026724E-2</v>
      </c>
      <c r="AG246" s="496">
        <f t="shared" ca="1" si="148"/>
        <v>9.1731413096782552E-2</v>
      </c>
      <c r="AH246" s="496">
        <f t="shared" ca="1" si="148"/>
        <v>6.6357237296088639E-2</v>
      </c>
      <c r="AI246" s="496">
        <f t="shared" ca="1" si="148"/>
        <v>7.4842331758877154E-2</v>
      </c>
      <c r="AJ246" s="496">
        <f t="shared" ca="1" si="148"/>
        <v>5.1866391311560595E-2</v>
      </c>
      <c r="AK246" s="496">
        <f t="shared" ca="1" si="148"/>
        <v>2.536105195028714E-2</v>
      </c>
      <c r="AL246" s="496">
        <f t="shared" ca="1" si="148"/>
        <v>3.1585340680486761E-2</v>
      </c>
      <c r="AM246" s="496">
        <f t="shared" ca="1" si="148"/>
        <v>6.0409827754358852E-2</v>
      </c>
      <c r="AN246" s="496">
        <f t="shared" ca="1" si="148"/>
        <v>2.7546173529385671E-2</v>
      </c>
      <c r="AO246" s="496">
        <f t="shared" ca="1" si="148"/>
        <v>4.4786776442052485E-2</v>
      </c>
      <c r="AP246" s="496">
        <f t="shared" ca="1" si="148"/>
        <v>3.0522744938950089E-2</v>
      </c>
    </row>
    <row r="247" spans="3:42">
      <c r="C247" t="str">
        <f t="shared" si="139"/>
        <v>R_ES-SH-DH-70_ELC-HPA</v>
      </c>
      <c r="D247" t="s">
        <v>906</v>
      </c>
      <c r="E247" t="str">
        <f t="shared" si="140"/>
        <v>R_ES-DH-70-SpHeat</v>
      </c>
      <c r="F247" s="496">
        <f t="shared" ref="F247:AP247" ca="1" si="149">0.75*F203</f>
        <v>4.4659669675225645E-2</v>
      </c>
      <c r="G247" s="496">
        <f t="shared" ca="1" si="149"/>
        <v>7.1759581189591174E-3</v>
      </c>
      <c r="H247" s="496">
        <f t="shared" ca="1" si="149"/>
        <v>3.6613240832095488E-2</v>
      </c>
      <c r="I247" s="496">
        <f t="shared" ca="1" si="149"/>
        <v>5.5672933534728034E-2</v>
      </c>
      <c r="J247" s="496">
        <f t="shared" ca="1" si="149"/>
        <v>4.5879657683795982E-2</v>
      </c>
      <c r="K247" s="496">
        <f t="shared" ca="1" si="149"/>
        <v>7.5384985546681937E-2</v>
      </c>
      <c r="L247" s="496">
        <f t="shared" ca="1" si="149"/>
        <v>4.1614532473280376E-2</v>
      </c>
      <c r="M247" s="496">
        <f t="shared" ca="1" si="149"/>
        <v>1.4507021383002919E-2</v>
      </c>
      <c r="N247" s="496">
        <f t="shared" ca="1" si="149"/>
        <v>1.8352795200415193E-2</v>
      </c>
      <c r="O247" s="496">
        <f t="shared" ca="1" si="149"/>
        <v>4.8122799530642156E-2</v>
      </c>
      <c r="P247" s="496">
        <f t="shared" ca="1" si="149"/>
        <v>5.0897986022868595E-2</v>
      </c>
      <c r="Q247" s="496">
        <f t="shared" ca="1" si="149"/>
        <v>3.8677996773664611E-2</v>
      </c>
      <c r="R247" s="496">
        <f t="shared" ca="1" si="149"/>
        <v>7.00635560226225E-2</v>
      </c>
      <c r="S247" s="496">
        <f t="shared" ca="1" si="149"/>
        <v>5.5797786477461045E-2</v>
      </c>
      <c r="T247" s="496">
        <f t="shared" ca="1" si="149"/>
        <v>6.5410703243554622E-2</v>
      </c>
      <c r="U247" s="496">
        <f t="shared" ca="1" si="149"/>
        <v>5.9538781941552585E-2</v>
      </c>
      <c r="V247" s="496">
        <f t="shared" ca="1" si="149"/>
        <v>0.14072079822883055</v>
      </c>
      <c r="W247" s="496">
        <f t="shared" ca="1" si="149"/>
        <v>6.5681497146745241E-3</v>
      </c>
      <c r="X247" s="496">
        <f t="shared" ca="1" si="149"/>
        <v>4.1915293661965516E-2</v>
      </c>
      <c r="Y247" s="496">
        <f t="shared" ca="1" si="149"/>
        <v>5.3703383151778493E-2</v>
      </c>
      <c r="Z247" s="496">
        <f t="shared" ca="1" si="149"/>
        <v>5.966447419530118E-2</v>
      </c>
      <c r="AA247" s="496">
        <f t="shared" ca="1" si="149"/>
        <v>2.6986242281774563E-2</v>
      </c>
      <c r="AB247" s="496">
        <f t="shared" ca="1" si="149"/>
        <v>5.4904228954606171E-2</v>
      </c>
      <c r="AC247" s="496">
        <f t="shared" ca="1" si="149"/>
        <v>5.6296900327910127E-2</v>
      </c>
      <c r="AD247" s="496">
        <f t="shared" ca="1" si="149"/>
        <v>7.4224643612231259E-2</v>
      </c>
      <c r="AE247" s="496">
        <f t="shared" ca="1" si="149"/>
        <v>1.0457057056969093E-2</v>
      </c>
      <c r="AF247" s="496">
        <f t="shared" ca="1" si="149"/>
        <v>6.6988500811026724E-2</v>
      </c>
      <c r="AG247" s="496">
        <f t="shared" ca="1" si="149"/>
        <v>9.1731413096782552E-2</v>
      </c>
      <c r="AH247" s="496">
        <f t="shared" ca="1" si="149"/>
        <v>6.6357237296088639E-2</v>
      </c>
      <c r="AI247" s="496">
        <f t="shared" ca="1" si="149"/>
        <v>7.4842331758877154E-2</v>
      </c>
      <c r="AJ247" s="496">
        <f t="shared" ca="1" si="149"/>
        <v>5.1866391311560595E-2</v>
      </c>
      <c r="AK247" s="496">
        <f t="shared" ca="1" si="149"/>
        <v>2.536105195028714E-2</v>
      </c>
      <c r="AL247" s="496">
        <f t="shared" ca="1" si="149"/>
        <v>3.1585340680486761E-2</v>
      </c>
      <c r="AM247" s="496">
        <f t="shared" ca="1" si="149"/>
        <v>6.0409827754358852E-2</v>
      </c>
      <c r="AN247" s="496">
        <f t="shared" ca="1" si="149"/>
        <v>2.7546173529385671E-2</v>
      </c>
      <c r="AO247" s="496">
        <f t="shared" ca="1" si="149"/>
        <v>4.4786776442052485E-2</v>
      </c>
      <c r="AP247" s="496">
        <f t="shared" ca="1" si="149"/>
        <v>3.0522744938950089E-2</v>
      </c>
    </row>
    <row r="248" spans="3:42">
      <c r="C248" t="str">
        <f t="shared" si="139"/>
        <v>R_ES-SH-DH-70_ELC-HPG</v>
      </c>
      <c r="D248" t="s">
        <v>906</v>
      </c>
      <c r="E248" t="str">
        <f t="shared" si="140"/>
        <v>R_ES-DH-70-SpHeat</v>
      </c>
      <c r="F248" s="496">
        <f t="shared" ref="F248:AP248" ca="1" si="150">0.75*F204</f>
        <v>4.4659669675225645E-2</v>
      </c>
      <c r="G248" s="496">
        <f t="shared" ca="1" si="150"/>
        <v>7.1759581189591174E-3</v>
      </c>
      <c r="H248" s="496">
        <f t="shared" ca="1" si="150"/>
        <v>3.6613240832095488E-2</v>
      </c>
      <c r="I248" s="496">
        <f t="shared" ca="1" si="150"/>
        <v>5.5672933534728034E-2</v>
      </c>
      <c r="J248" s="496">
        <f t="shared" ca="1" si="150"/>
        <v>4.5879657683795982E-2</v>
      </c>
      <c r="K248" s="496">
        <f t="shared" ca="1" si="150"/>
        <v>7.5384985546681937E-2</v>
      </c>
      <c r="L248" s="496">
        <f t="shared" ca="1" si="150"/>
        <v>4.1614532473280376E-2</v>
      </c>
      <c r="M248" s="496">
        <f t="shared" ca="1" si="150"/>
        <v>1.4507021383002919E-2</v>
      </c>
      <c r="N248" s="496">
        <f t="shared" ca="1" si="150"/>
        <v>1.8352795200415193E-2</v>
      </c>
      <c r="O248" s="496">
        <f t="shared" ca="1" si="150"/>
        <v>4.8122799530642156E-2</v>
      </c>
      <c r="P248" s="496">
        <f t="shared" ca="1" si="150"/>
        <v>5.0897986022868595E-2</v>
      </c>
      <c r="Q248" s="496">
        <f t="shared" ca="1" si="150"/>
        <v>3.8677996773664611E-2</v>
      </c>
      <c r="R248" s="496">
        <f t="shared" ca="1" si="150"/>
        <v>7.00635560226225E-2</v>
      </c>
      <c r="S248" s="496">
        <f t="shared" ca="1" si="150"/>
        <v>5.5797786477461045E-2</v>
      </c>
      <c r="T248" s="496">
        <f t="shared" ca="1" si="150"/>
        <v>6.5410703243554622E-2</v>
      </c>
      <c r="U248" s="496">
        <f t="shared" ca="1" si="150"/>
        <v>5.9538781941552585E-2</v>
      </c>
      <c r="V248" s="496">
        <f t="shared" ca="1" si="150"/>
        <v>0.14072079822883055</v>
      </c>
      <c r="W248" s="496">
        <f t="shared" ca="1" si="150"/>
        <v>6.5681497146745241E-3</v>
      </c>
      <c r="X248" s="496">
        <f t="shared" ca="1" si="150"/>
        <v>4.1915293661965516E-2</v>
      </c>
      <c r="Y248" s="496">
        <f t="shared" ca="1" si="150"/>
        <v>5.3703383151778493E-2</v>
      </c>
      <c r="Z248" s="496">
        <f t="shared" ca="1" si="150"/>
        <v>5.966447419530118E-2</v>
      </c>
      <c r="AA248" s="496">
        <f t="shared" ca="1" si="150"/>
        <v>2.6986242281774563E-2</v>
      </c>
      <c r="AB248" s="496">
        <f t="shared" ca="1" si="150"/>
        <v>5.4904228954606171E-2</v>
      </c>
      <c r="AC248" s="496">
        <f t="shared" ca="1" si="150"/>
        <v>5.6296900327910127E-2</v>
      </c>
      <c r="AD248" s="496">
        <f t="shared" ca="1" si="150"/>
        <v>7.4224643612231259E-2</v>
      </c>
      <c r="AE248" s="496">
        <f t="shared" ca="1" si="150"/>
        <v>1.0457057056969093E-2</v>
      </c>
      <c r="AF248" s="496">
        <f t="shared" ca="1" si="150"/>
        <v>6.6988500811026724E-2</v>
      </c>
      <c r="AG248" s="496">
        <f t="shared" ca="1" si="150"/>
        <v>9.1731413096782552E-2</v>
      </c>
      <c r="AH248" s="496">
        <f t="shared" ca="1" si="150"/>
        <v>6.6357237296088639E-2</v>
      </c>
      <c r="AI248" s="496">
        <f t="shared" ca="1" si="150"/>
        <v>7.4842331758877154E-2</v>
      </c>
      <c r="AJ248" s="496">
        <f t="shared" ca="1" si="150"/>
        <v>5.1866391311560595E-2</v>
      </c>
      <c r="AK248" s="496">
        <f t="shared" ca="1" si="150"/>
        <v>2.536105195028714E-2</v>
      </c>
      <c r="AL248" s="496">
        <f t="shared" ca="1" si="150"/>
        <v>3.1585340680486761E-2</v>
      </c>
      <c r="AM248" s="496">
        <f t="shared" ca="1" si="150"/>
        <v>6.0409827754358852E-2</v>
      </c>
      <c r="AN248" s="496">
        <f t="shared" ca="1" si="150"/>
        <v>2.7546173529385671E-2</v>
      </c>
      <c r="AO248" s="496">
        <f t="shared" ca="1" si="150"/>
        <v>4.4786776442052485E-2</v>
      </c>
      <c r="AP248" s="496">
        <f t="shared" ca="1" si="150"/>
        <v>3.0522744938950089E-2</v>
      </c>
    </row>
    <row r="249" spans="3:42">
      <c r="C249" t="str">
        <f t="shared" ref="C249:C258" si="151">C205</f>
        <v>R_ES-SH-DH-70_GAS</v>
      </c>
      <c r="D249" t="s">
        <v>906</v>
      </c>
      <c r="E249" t="str">
        <f t="shared" ref="E249:E258" si="152">E205</f>
        <v>R_ES-DH-70-SpHeat</v>
      </c>
      <c r="F249" s="496">
        <f t="shared" ref="F249:AP249" ca="1" si="153">0.75*F205</f>
        <v>6.2876599067426459E-2</v>
      </c>
      <c r="G249" s="496">
        <f t="shared" ca="1" si="153"/>
        <v>8.6440520462665885E-2</v>
      </c>
      <c r="H249" s="496">
        <f t="shared" ca="1" si="153"/>
        <v>3.0621751473732566E-2</v>
      </c>
      <c r="I249" s="496">
        <f t="shared" ca="1" si="153"/>
        <v>5.9335342656738191E-2</v>
      </c>
      <c r="J249" s="496">
        <f t="shared" ca="1" si="153"/>
        <v>0.18242294627351927</v>
      </c>
      <c r="K249" s="496">
        <f t="shared" ca="1" si="153"/>
        <v>7.5725845052698817E-2</v>
      </c>
      <c r="L249" s="496">
        <f t="shared" ca="1" si="153"/>
        <v>4.8194640177910433E-2</v>
      </c>
      <c r="M249" s="496">
        <f t="shared" ca="1" si="153"/>
        <v>5.2889306824769736E-2</v>
      </c>
      <c r="N249" s="496">
        <f t="shared" ca="1" si="153"/>
        <v>7.2630287363104978E-2</v>
      </c>
      <c r="O249" s="496">
        <f t="shared" ca="1" si="153"/>
        <v>4.6555076668495038E-2</v>
      </c>
      <c r="P249" s="496">
        <f t="shared" ca="1" si="153"/>
        <v>0.11945484343946638</v>
      </c>
      <c r="Q249" s="496">
        <f t="shared" ca="1" si="153"/>
        <v>4.2421302180290665E-2</v>
      </c>
      <c r="R249" s="496">
        <f t="shared" ca="1" si="153"/>
        <v>5.885991398560747E-2</v>
      </c>
      <c r="S249" s="496">
        <f t="shared" ca="1" si="153"/>
        <v>4.9778163342809753E-2</v>
      </c>
      <c r="T249" s="496">
        <f t="shared" ca="1" si="153"/>
        <v>5.6727851018626201E-2</v>
      </c>
      <c r="U249" s="496">
        <f t="shared" ca="1" si="153"/>
        <v>5.580931651683279E-2</v>
      </c>
      <c r="V249" s="496">
        <f t="shared" ca="1" si="153"/>
        <v>4.9178527529718886E-2</v>
      </c>
      <c r="W249" s="496">
        <f t="shared" ca="1" si="153"/>
        <v>6.7856138865517029E-2</v>
      </c>
      <c r="X249" s="496">
        <f t="shared" ca="1" si="153"/>
        <v>5.1815486107264309E-2</v>
      </c>
      <c r="Y249" s="496">
        <f t="shared" ca="1" si="153"/>
        <v>6.5109818670680983E-2</v>
      </c>
      <c r="Z249" s="496">
        <f t="shared" ca="1" si="153"/>
        <v>7.0111188445711126E-2</v>
      </c>
      <c r="AA249" s="496">
        <f t="shared" ca="1" si="153"/>
        <v>0.23605589224243911</v>
      </c>
      <c r="AB249" s="496">
        <f t="shared" ca="1" si="153"/>
        <v>6.2210325403503866E-2</v>
      </c>
      <c r="AC249" s="496">
        <f t="shared" ca="1" si="153"/>
        <v>5.728278255107646E-2</v>
      </c>
      <c r="AD249" s="496">
        <f t="shared" ca="1" si="153"/>
        <v>6.0991185546433291E-2</v>
      </c>
      <c r="AE249" s="496">
        <f t="shared" ca="1" si="153"/>
        <v>2.0195101865564301E-2</v>
      </c>
      <c r="AF249" s="496">
        <f t="shared" ca="1" si="153"/>
        <v>5.6790542795233906E-2</v>
      </c>
      <c r="AG249" s="496">
        <f t="shared" ca="1" si="153"/>
        <v>9.0533314714559152E-2</v>
      </c>
      <c r="AH249" s="496">
        <f t="shared" ca="1" si="153"/>
        <v>5.5539344056329973E-2</v>
      </c>
      <c r="AI249" s="496">
        <f t="shared" ca="1" si="153"/>
        <v>6.8479321709048704E-2</v>
      </c>
      <c r="AJ249" s="496">
        <f t="shared" ca="1" si="153"/>
        <v>5.0668073433528971E-2</v>
      </c>
      <c r="AK249" s="496">
        <f t="shared" ca="1" si="153"/>
        <v>5.8589541943124129E-2</v>
      </c>
      <c r="AL249" s="496">
        <f t="shared" ca="1" si="153"/>
        <v>3.018753047196622E-2</v>
      </c>
      <c r="AM249" s="496">
        <f t="shared" ca="1" si="153"/>
        <v>5.72312944345841E-2</v>
      </c>
      <c r="AN249" s="496">
        <f t="shared" ca="1" si="153"/>
        <v>4.4792474245971131E-2</v>
      </c>
      <c r="AO249" s="496">
        <f t="shared" ca="1" si="153"/>
        <v>4.2804736294038359E-2</v>
      </c>
      <c r="AP249" s="496">
        <f t="shared" ca="1" si="153"/>
        <v>4.7474576426686614E-2</v>
      </c>
    </row>
    <row r="250" spans="3:42">
      <c r="C250" t="str">
        <f t="shared" si="151"/>
        <v>R_ES-SH-DH-70_HET</v>
      </c>
      <c r="D250" t="s">
        <v>906</v>
      </c>
      <c r="E250" t="str">
        <f t="shared" si="152"/>
        <v>R_ES-DH-70-SpHeat</v>
      </c>
      <c r="F250" s="496">
        <f t="shared" ref="F250:AP250" ca="1" si="154">0.75*F206</f>
        <v>5.2014119830002536E-2</v>
      </c>
      <c r="G250" s="496">
        <f t="shared" ca="1" si="154"/>
        <v>5.5694555932177918E-2</v>
      </c>
      <c r="H250" s="496">
        <f t="shared" ca="1" si="154"/>
        <v>2.4497498223843735E-2</v>
      </c>
      <c r="I250" s="496">
        <f t="shared" ca="1" si="154"/>
        <v>5.0291335124535631E-2</v>
      </c>
      <c r="J250" s="496">
        <f t="shared" ca="1" si="154"/>
        <v>0.18242294627351927</v>
      </c>
      <c r="K250" s="496">
        <f t="shared" ca="1" si="154"/>
        <v>5.6291141297025088E-2</v>
      </c>
      <c r="L250" s="496">
        <f t="shared" ca="1" si="154"/>
        <v>4.0705590784960714E-2</v>
      </c>
      <c r="M250" s="496">
        <f t="shared" ca="1" si="154"/>
        <v>4.3792483844210264E-2</v>
      </c>
      <c r="N250" s="496">
        <f t="shared" ca="1" si="154"/>
        <v>5.9247205768282483E-2</v>
      </c>
      <c r="O250" s="496">
        <f t="shared" ca="1" si="154"/>
        <v>5.8332076253148776E-2</v>
      </c>
      <c r="P250" s="496">
        <f t="shared" ca="1" si="154"/>
        <v>0.10087150247611484</v>
      </c>
      <c r="Q250" s="496">
        <f t="shared" ca="1" si="154"/>
        <v>3.507359110528549E-2</v>
      </c>
      <c r="R250" s="496">
        <f t="shared" ca="1" si="154"/>
        <v>5.6274402298992332E-2</v>
      </c>
      <c r="S250" s="496">
        <f t="shared" ca="1" si="154"/>
        <v>4.2431810638800874E-2</v>
      </c>
      <c r="T250" s="496">
        <f t="shared" ca="1" si="154"/>
        <v>4.7781671811620408E-2</v>
      </c>
      <c r="U250" s="496">
        <f t="shared" ca="1" si="154"/>
        <v>3.085892612077263E-2</v>
      </c>
      <c r="V250" s="496">
        <f t="shared" ca="1" si="154"/>
        <v>0.12260633424194831</v>
      </c>
      <c r="W250" s="496">
        <f t="shared" ca="1" si="154"/>
        <v>5.7138139434137231E-2</v>
      </c>
      <c r="X250" s="496">
        <f t="shared" ca="1" si="154"/>
        <v>4.0037835783982852E-2</v>
      </c>
      <c r="Y250" s="496">
        <f t="shared" ca="1" si="154"/>
        <v>2.9164580121227187E-2</v>
      </c>
      <c r="Z250" s="496">
        <f t="shared" ca="1" si="154"/>
        <v>5.3998316625617555E-2</v>
      </c>
      <c r="AA250" s="496">
        <f t="shared" ca="1" si="154"/>
        <v>0.23605589224243911</v>
      </c>
      <c r="AB250" s="496">
        <f t="shared" ca="1" si="154"/>
        <v>5.2220858632758368E-2</v>
      </c>
      <c r="AC250" s="496">
        <f t="shared" ca="1" si="154"/>
        <v>4.9050010128319874E-2</v>
      </c>
      <c r="AD250" s="496">
        <f t="shared" ca="1" si="154"/>
        <v>4.8183571568351062E-2</v>
      </c>
      <c r="AE250" s="496">
        <f t="shared" ca="1" si="154"/>
        <v>1.6642200543867686E-2</v>
      </c>
      <c r="AF250" s="496">
        <f t="shared" ca="1" si="154"/>
        <v>4.4926317425075003E-2</v>
      </c>
      <c r="AG250" s="496">
        <f t="shared" ca="1" si="154"/>
        <v>7.6450000544181093E-2</v>
      </c>
      <c r="AH250" s="496">
        <f t="shared" ca="1" si="154"/>
        <v>4.959482654852692E-2</v>
      </c>
      <c r="AI250" s="496">
        <f t="shared" ca="1" si="154"/>
        <v>5.4781076934234202E-2</v>
      </c>
      <c r="AJ250" s="496">
        <f t="shared" ca="1" si="154"/>
        <v>3.8815657020125474E-2</v>
      </c>
      <c r="AK250" s="496">
        <f t="shared" ca="1" si="154"/>
        <v>5.8589541943124129E-2</v>
      </c>
      <c r="AL250" s="496">
        <f t="shared" ca="1" si="154"/>
        <v>2.5884408738361595E-2</v>
      </c>
      <c r="AM250" s="496">
        <f t="shared" ca="1" si="154"/>
        <v>5.72312944345841E-2</v>
      </c>
      <c r="AN250" s="496">
        <f t="shared" ca="1" si="154"/>
        <v>2.3156927539373848E-2</v>
      </c>
      <c r="AO250" s="496">
        <f t="shared" ca="1" si="154"/>
        <v>3.6703078153464595E-2</v>
      </c>
      <c r="AP250" s="496">
        <f t="shared" ca="1" si="154"/>
        <v>2.5013604057930516E-2</v>
      </c>
    </row>
    <row r="251" spans="3:42">
      <c r="C251" t="str">
        <f t="shared" si="151"/>
        <v>R_ES-SH-DH-70_OIL</v>
      </c>
      <c r="D251" t="s">
        <v>906</v>
      </c>
      <c r="E251" t="str">
        <f t="shared" si="152"/>
        <v>R_ES-DH-70-SpHeat</v>
      </c>
      <c r="F251" s="496">
        <f t="shared" ref="F251:AP251" ca="1" si="155">0.75*F207</f>
        <v>5.7798883460567677E-2</v>
      </c>
      <c r="G251" s="496">
        <f t="shared" ca="1" si="155"/>
        <v>7.4666557069427139E-2</v>
      </c>
      <c r="H251" s="496">
        <f t="shared" ca="1" si="155"/>
        <v>3.7001189303014104E-2</v>
      </c>
      <c r="I251" s="496">
        <f t="shared" ca="1" si="155"/>
        <v>5.6045144153376164E-2</v>
      </c>
      <c r="J251" s="496">
        <f t="shared" ca="1" si="155"/>
        <v>4.0807348141626586E-2</v>
      </c>
      <c r="K251" s="496">
        <f t="shared" ca="1" si="155"/>
        <v>4.7567151078430292E-2</v>
      </c>
      <c r="L251" s="496">
        <f t="shared" ca="1" si="155"/>
        <v>4.5726321510417584E-2</v>
      </c>
      <c r="M251" s="496">
        <f t="shared" ca="1" si="155"/>
        <v>4.9039756229681028E-2</v>
      </c>
      <c r="N251" s="496">
        <f t="shared" ca="1" si="155"/>
        <v>5.9146865791643605E-2</v>
      </c>
      <c r="O251" s="496">
        <f t="shared" ca="1" si="155"/>
        <v>4.3226626453635529E-2</v>
      </c>
      <c r="P251" s="496">
        <f t="shared" ca="1" si="155"/>
        <v>0.11326034048127648</v>
      </c>
      <c r="Q251" s="496">
        <f t="shared" ca="1" si="155"/>
        <v>3.7756191369783192E-2</v>
      </c>
      <c r="R251" s="496">
        <f t="shared" ca="1" si="155"/>
        <v>5.5143124528499704E-2</v>
      </c>
      <c r="S251" s="496">
        <f t="shared" ca="1" si="155"/>
        <v>4.9973809391145096E-2</v>
      </c>
      <c r="T251" s="496">
        <f t="shared" ca="1" si="155"/>
        <v>4.0295379916129428E-2</v>
      </c>
      <c r="U251" s="496">
        <f t="shared" ca="1" si="155"/>
        <v>5.3140774056641013E-2</v>
      </c>
      <c r="V251" s="496">
        <f t="shared" ca="1" si="155"/>
        <v>0.13748640860045486</v>
      </c>
      <c r="W251" s="496">
        <f t="shared" ca="1" si="155"/>
        <v>6.2558163772255454E-2</v>
      </c>
      <c r="X251" s="496">
        <f t="shared" ca="1" si="155"/>
        <v>4.7038868279263478E-2</v>
      </c>
      <c r="Y251" s="496">
        <f t="shared" ca="1" si="155"/>
        <v>6.159118228514486E-2</v>
      </c>
      <c r="Z251" s="496">
        <f t="shared" ca="1" si="155"/>
        <v>6.0536506949840904E-2</v>
      </c>
      <c r="AA251" s="496">
        <f t="shared" ca="1" si="155"/>
        <v>0.23605589224243911</v>
      </c>
      <c r="AB251" s="496">
        <f t="shared" ca="1" si="155"/>
        <v>5.8636914399172055E-2</v>
      </c>
      <c r="AC251" s="496">
        <f t="shared" ca="1" si="155"/>
        <v>5.5002947246190134E-2</v>
      </c>
      <c r="AD251" s="496">
        <f t="shared" ca="1" si="155"/>
        <v>5.2976536879341216E-2</v>
      </c>
      <c r="AE251" s="496">
        <f t="shared" ca="1" si="155"/>
        <v>1.8033941801930544E-2</v>
      </c>
      <c r="AF251" s="496">
        <f t="shared" ca="1" si="155"/>
        <v>3.3565421590779632E-2</v>
      </c>
      <c r="AG251" s="496">
        <f t="shared" ca="1" si="155"/>
        <v>8.5838448463512254E-2</v>
      </c>
      <c r="AH251" s="496">
        <f t="shared" ca="1" si="155"/>
        <v>5.9996421282300358E-2</v>
      </c>
      <c r="AI251" s="496">
        <f t="shared" ca="1" si="155"/>
        <v>4.5591139071914977E-2</v>
      </c>
      <c r="AJ251" s="496">
        <f t="shared" ca="1" si="155"/>
        <v>4.7861175460645555E-2</v>
      </c>
      <c r="AK251" s="496">
        <f t="shared" ca="1" si="155"/>
        <v>2.3663970700745572E-2</v>
      </c>
      <c r="AL251" s="496">
        <f t="shared" ca="1" si="155"/>
        <v>4.7474576426686614E-2</v>
      </c>
      <c r="AM251" s="496">
        <f t="shared" ca="1" si="155"/>
        <v>5.72312944345841E-2</v>
      </c>
      <c r="AN251" s="496">
        <f t="shared" ca="1" si="155"/>
        <v>2.5702870866508177E-2</v>
      </c>
      <c r="AO251" s="496">
        <f t="shared" ca="1" si="155"/>
        <v>4.0590820159541768E-2</v>
      </c>
      <c r="AP251" s="496">
        <f t="shared" ca="1" si="155"/>
        <v>2.7663148567870187E-2</v>
      </c>
    </row>
    <row r="252" spans="3:42">
      <c r="C252" t="str">
        <f t="shared" si="151"/>
        <v>R_ES-SH-DH-70_BIO</v>
      </c>
      <c r="D252" t="s">
        <v>906</v>
      </c>
      <c r="E252" t="str">
        <f t="shared" si="152"/>
        <v>R_ES-DH-70-SpHeat</v>
      </c>
      <c r="F252" s="496">
        <f t="shared" ref="F252:AP252" ca="1" si="156">0.75*F208</f>
        <v>6.1172536203646502E-2</v>
      </c>
      <c r="G252" s="496">
        <f t="shared" ca="1" si="156"/>
        <v>8.3088518128337563E-2</v>
      </c>
      <c r="H252" s="496">
        <f t="shared" ca="1" si="156"/>
        <v>3.0191511063127029E-2</v>
      </c>
      <c r="I252" s="496">
        <f t="shared" ca="1" si="156"/>
        <v>5.4050363696042422E-2</v>
      </c>
      <c r="J252" s="496">
        <f t="shared" ca="1" si="156"/>
        <v>3.6498104765347122E-2</v>
      </c>
      <c r="K252" s="496">
        <f t="shared" ca="1" si="156"/>
        <v>6.8608750349080011E-2</v>
      </c>
      <c r="L252" s="496">
        <f t="shared" ca="1" si="156"/>
        <v>4.8376773267023804E-2</v>
      </c>
      <c r="M252" s="496">
        <f t="shared" ca="1" si="156"/>
        <v>5.0437164802571773E-2</v>
      </c>
      <c r="N252" s="496">
        <f t="shared" ca="1" si="156"/>
        <v>7.5669694453630879E-2</v>
      </c>
      <c r="O252" s="496">
        <f t="shared" ca="1" si="156"/>
        <v>4.4516447762333322E-2</v>
      </c>
      <c r="P252" s="496">
        <f t="shared" ca="1" si="156"/>
        <v>0.11988241409262458</v>
      </c>
      <c r="Q252" s="496">
        <f t="shared" ca="1" si="156"/>
        <v>4.1683381977511411E-2</v>
      </c>
      <c r="R252" s="496">
        <f t="shared" ca="1" si="156"/>
        <v>5.8721184626232978E-2</v>
      </c>
      <c r="S252" s="496">
        <f t="shared" ca="1" si="156"/>
        <v>5.2792345187025788E-2</v>
      </c>
      <c r="T252" s="496">
        <f t="shared" ca="1" si="156"/>
        <v>5.5659583414724448E-2</v>
      </c>
      <c r="U252" s="496">
        <f t="shared" ca="1" si="156"/>
        <v>5.4485742194286736E-2</v>
      </c>
      <c r="V252" s="496">
        <f t="shared" ca="1" si="156"/>
        <v>4.9178527529718886E-2</v>
      </c>
      <c r="W252" s="496">
        <f t="shared" ca="1" si="156"/>
        <v>6.7906038261944746E-2</v>
      </c>
      <c r="X252" s="496">
        <f t="shared" ca="1" si="156"/>
        <v>4.8649344312946388E-2</v>
      </c>
      <c r="Y252" s="496">
        <f t="shared" ca="1" si="156"/>
        <v>6.7346234756212361E-2</v>
      </c>
      <c r="Z252" s="496">
        <f t="shared" ca="1" si="156"/>
        <v>5.8306054459373619E-2</v>
      </c>
      <c r="AA252" s="496">
        <f t="shared" ca="1" si="156"/>
        <v>1.6292555178060976E-2</v>
      </c>
      <c r="AB252" s="496">
        <f t="shared" ca="1" si="156"/>
        <v>5.3272548620789631E-2</v>
      </c>
      <c r="AC252" s="496">
        <f t="shared" ca="1" si="156"/>
        <v>5.3134351240451655E-2</v>
      </c>
      <c r="AD252" s="496">
        <f t="shared" ca="1" si="156"/>
        <v>6.0472012958518201E-2</v>
      </c>
      <c r="AE252" s="496">
        <f t="shared" ca="1" si="156"/>
        <v>1.8690132311860057E-2</v>
      </c>
      <c r="AF252" s="496">
        <f t="shared" ca="1" si="156"/>
        <v>5.6798831524458596E-2</v>
      </c>
      <c r="AG252" s="496">
        <f t="shared" ca="1" si="156"/>
        <v>9.5221904128005241E-2</v>
      </c>
      <c r="AH252" s="496">
        <f t="shared" ca="1" si="156"/>
        <v>5.5651572558422638E-2</v>
      </c>
      <c r="AI252" s="496">
        <f t="shared" ca="1" si="156"/>
        <v>6.7469326055442688E-2</v>
      </c>
      <c r="AJ252" s="496">
        <f t="shared" ca="1" si="156"/>
        <v>5.0791731268639784E-2</v>
      </c>
      <c r="AK252" s="496">
        <f t="shared" ca="1" si="156"/>
        <v>2.4562432149656796E-2</v>
      </c>
      <c r="AL252" s="496">
        <f t="shared" ca="1" si="156"/>
        <v>2.9585122170669168E-2</v>
      </c>
      <c r="AM252" s="496">
        <f t="shared" ca="1" si="156"/>
        <v>5.6584228503380671E-2</v>
      </c>
      <c r="AN252" s="496">
        <f t="shared" ca="1" si="156"/>
        <v>2.6678744226559858E-2</v>
      </c>
      <c r="AO252" s="496">
        <f t="shared" ca="1" si="156"/>
        <v>4.1950544908548729E-2</v>
      </c>
      <c r="AP252" s="496">
        <f t="shared" ca="1" si="156"/>
        <v>2.8589817888552724E-2</v>
      </c>
    </row>
    <row r="253" spans="3:42">
      <c r="C253" t="str">
        <f t="shared" si="151"/>
        <v>R_ES-SH-DH-70_COA</v>
      </c>
      <c r="D253" t="s">
        <v>906</v>
      </c>
      <c r="E253" t="str">
        <f t="shared" si="152"/>
        <v>R_ES-DH-70-SpHeat</v>
      </c>
      <c r="F253" s="496">
        <f t="shared" ref="F253:AP253" ca="1" si="157">0.75*F209</f>
        <v>5.8671719345283632E-2</v>
      </c>
      <c r="G253" s="496">
        <f t="shared" ca="1" si="157"/>
        <v>6.9769153471323009E-2</v>
      </c>
      <c r="H253" s="496">
        <f t="shared" ca="1" si="157"/>
        <v>2.6603602845399074E-2</v>
      </c>
      <c r="I253" s="496">
        <f t="shared" ca="1" si="157"/>
        <v>5.1992854722974338E-2</v>
      </c>
      <c r="J253" s="496">
        <f t="shared" ca="1" si="157"/>
        <v>0.18242294627351927</v>
      </c>
      <c r="K253" s="496">
        <f t="shared" ca="1" si="157"/>
        <v>6.2860111024003212E-2</v>
      </c>
      <c r="L253" s="496">
        <f t="shared" ca="1" si="157"/>
        <v>4.2847980498994569E-2</v>
      </c>
      <c r="M253" s="496">
        <f t="shared" ca="1" si="157"/>
        <v>2.9990758115776672E-2</v>
      </c>
      <c r="N253" s="496">
        <f t="shared" ca="1" si="157"/>
        <v>5.9155051810800302E-2</v>
      </c>
      <c r="O253" s="496">
        <f t="shared" ca="1" si="157"/>
        <v>3.9888362016481958E-2</v>
      </c>
      <c r="P253" s="496">
        <f t="shared" ca="1" si="157"/>
        <v>0.10649353626364014</v>
      </c>
      <c r="Q253" s="496">
        <f t="shared" ca="1" si="157"/>
        <v>3.9138198210335012E-2</v>
      </c>
      <c r="R253" s="496">
        <f t="shared" ca="1" si="157"/>
        <v>8.4687623886595592E-2</v>
      </c>
      <c r="S253" s="496">
        <f t="shared" ca="1" si="157"/>
        <v>5.3541991455545605E-2</v>
      </c>
      <c r="T253" s="496">
        <f t="shared" ca="1" si="157"/>
        <v>4.3501681265391418E-2</v>
      </c>
      <c r="U253" s="496">
        <f t="shared" ca="1" si="157"/>
        <v>4.6231761022650558E-2</v>
      </c>
      <c r="V253" s="496">
        <f t="shared" ca="1" si="157"/>
        <v>4.9178527529718886E-2</v>
      </c>
      <c r="W253" s="496">
        <f t="shared" ca="1" si="157"/>
        <v>5.5999376336266775E-2</v>
      </c>
      <c r="X253" s="496">
        <f t="shared" ca="1" si="157"/>
        <v>4.3414359480057237E-2</v>
      </c>
      <c r="Y253" s="496">
        <f t="shared" ca="1" si="157"/>
        <v>5.6427792723129949E-2</v>
      </c>
      <c r="Z253" s="496">
        <f t="shared" ca="1" si="157"/>
        <v>7.7924850128387069E-2</v>
      </c>
      <c r="AA253" s="496">
        <f t="shared" ca="1" si="157"/>
        <v>0.23605589224243911</v>
      </c>
      <c r="AB253" s="496">
        <f t="shared" ca="1" si="157"/>
        <v>4.8105998466155236E-2</v>
      </c>
      <c r="AC253" s="496">
        <f t="shared" ca="1" si="157"/>
        <v>5.5422267090344521E-2</v>
      </c>
      <c r="AD253" s="496">
        <f t="shared" ca="1" si="157"/>
        <v>5.4385595601418132E-2</v>
      </c>
      <c r="AE253" s="496">
        <f t="shared" ca="1" si="157"/>
        <v>4.9112943505925002E-2</v>
      </c>
      <c r="AF253" s="496">
        <f t="shared" ca="1" si="157"/>
        <v>2.5510267808627494E-2</v>
      </c>
      <c r="AG253" s="496">
        <f t="shared" ca="1" si="157"/>
        <v>4.6360313326450582E-2</v>
      </c>
      <c r="AH253" s="496">
        <f t="shared" ca="1" si="157"/>
        <v>5.3504590123442539E-2</v>
      </c>
      <c r="AI253" s="496">
        <f t="shared" ca="1" si="157"/>
        <v>5.949045500948931E-2</v>
      </c>
      <c r="AJ253" s="496">
        <f t="shared" ca="1" si="157"/>
        <v>4.3777359677841778E-2</v>
      </c>
      <c r="AK253" s="496">
        <f t="shared" ca="1" si="157"/>
        <v>5.8589541943124129E-2</v>
      </c>
      <c r="AL253" s="496">
        <f t="shared" ca="1" si="157"/>
        <v>2.7724445318277027E-2</v>
      </c>
      <c r="AM253" s="496">
        <f t="shared" ca="1" si="157"/>
        <v>5.72312944345841E-2</v>
      </c>
      <c r="AN253" s="496">
        <f t="shared" ca="1" si="157"/>
        <v>4.4792474245971131E-2</v>
      </c>
      <c r="AO253" s="496">
        <f t="shared" ca="1" si="157"/>
        <v>3.9312177981879096E-2</v>
      </c>
      <c r="AP253" s="496">
        <f t="shared" ca="1" si="157"/>
        <v>2.6791738027585436E-2</v>
      </c>
    </row>
    <row r="254" spans="3:42">
      <c r="C254" t="str">
        <f t="shared" si="151"/>
        <v>R_ES-SH-DH-70_LPG</v>
      </c>
      <c r="D254" t="s">
        <v>906</v>
      </c>
      <c r="E254" t="str">
        <f t="shared" si="152"/>
        <v>R_ES-DH-70-SpHeat</v>
      </c>
      <c r="F254" s="496">
        <f t="shared" ref="F254:AP254" ca="1" si="158">0.75*F210</f>
        <v>5.7369345754897272E-2</v>
      </c>
      <c r="G254" s="496">
        <f t="shared" ca="1" si="158"/>
        <v>7.7883919237903138E-2</v>
      </c>
      <c r="H254" s="496">
        <f t="shared" ca="1" si="158"/>
        <v>2.6802716124824485E-2</v>
      </c>
      <c r="I254" s="496">
        <f t="shared" ca="1" si="158"/>
        <v>4.2912834769399756E-2</v>
      </c>
      <c r="J254" s="496">
        <f t="shared" ca="1" si="158"/>
        <v>4.1121079852445341E-2</v>
      </c>
      <c r="K254" s="496">
        <f t="shared" ca="1" si="158"/>
        <v>4.7567151078430292E-2</v>
      </c>
      <c r="L254" s="496">
        <f t="shared" ca="1" si="158"/>
        <v>4.5554580750810911E-2</v>
      </c>
      <c r="M254" s="496">
        <f t="shared" ca="1" si="158"/>
        <v>5.0613266203012278E-2</v>
      </c>
      <c r="N254" s="496">
        <f t="shared" ca="1" si="158"/>
        <v>5.5870432814810828E-2</v>
      </c>
      <c r="O254" s="496">
        <f t="shared" ca="1" si="158"/>
        <v>4.2710847226742364E-2</v>
      </c>
      <c r="P254" s="496">
        <f t="shared" ca="1" si="158"/>
        <v>5.7600499129960826E-2</v>
      </c>
      <c r="Q254" s="496">
        <f t="shared" ca="1" si="158"/>
        <v>3.9478300482646882E-2</v>
      </c>
      <c r="R254" s="496">
        <f t="shared" ca="1" si="158"/>
        <v>8.4687623886595592E-2</v>
      </c>
      <c r="S254" s="496">
        <f t="shared" ca="1" si="158"/>
        <v>5.036801561214032E-2</v>
      </c>
      <c r="T254" s="496">
        <f t="shared" ca="1" si="158"/>
        <v>5.8375573735441659E-2</v>
      </c>
      <c r="U254" s="496">
        <f t="shared" ca="1" si="158"/>
        <v>5.1617225461234303E-2</v>
      </c>
      <c r="V254" s="496">
        <f t="shared" ca="1" si="158"/>
        <v>4.9178527529718886E-2</v>
      </c>
      <c r="W254" s="496">
        <f t="shared" ca="1" si="158"/>
        <v>6.3080691946503106E-2</v>
      </c>
      <c r="X254" s="496">
        <f t="shared" ca="1" si="158"/>
        <v>4.5659166772276778E-2</v>
      </c>
      <c r="Y254" s="496">
        <f t="shared" ca="1" si="158"/>
        <v>2.9164580121227187E-2</v>
      </c>
      <c r="Z254" s="496">
        <f t="shared" ca="1" si="158"/>
        <v>5.0247379385136452E-2</v>
      </c>
      <c r="AA254" s="496">
        <f t="shared" ca="1" si="158"/>
        <v>2.4551870163272361E-2</v>
      </c>
      <c r="AB254" s="496">
        <f t="shared" ca="1" si="158"/>
        <v>3.5195179529357239E-2</v>
      </c>
      <c r="AC254" s="496">
        <f t="shared" ca="1" si="158"/>
        <v>5.5422267090344521E-2</v>
      </c>
      <c r="AD254" s="496">
        <f t="shared" ca="1" si="158"/>
        <v>4.3152438729676092E-2</v>
      </c>
      <c r="AE254" s="496">
        <f t="shared" ca="1" si="158"/>
        <v>1.7428355033060863E-2</v>
      </c>
      <c r="AF254" s="496">
        <f t="shared" ca="1" si="158"/>
        <v>5.3948991967947071E-2</v>
      </c>
      <c r="AG254" s="496">
        <f t="shared" ca="1" si="158"/>
        <v>4.6360313326450582E-2</v>
      </c>
      <c r="AH254" s="496">
        <f t="shared" ca="1" si="158"/>
        <v>5.7701808976887321E-2</v>
      </c>
      <c r="AI254" s="496">
        <f t="shared" ca="1" si="158"/>
        <v>4.5591139071914977E-2</v>
      </c>
      <c r="AJ254" s="496">
        <f t="shared" ca="1" si="158"/>
        <v>4.6825324892274728E-2</v>
      </c>
      <c r="AK254" s="496">
        <f t="shared" ca="1" si="158"/>
        <v>5.8589541943124129E-2</v>
      </c>
      <c r="AL254" s="496">
        <f t="shared" ca="1" si="158"/>
        <v>4.7474576426686614E-2</v>
      </c>
      <c r="AM254" s="496">
        <f t="shared" ca="1" si="158"/>
        <v>5.72312944345841E-2</v>
      </c>
      <c r="AN254" s="496">
        <f t="shared" ca="1" si="158"/>
        <v>4.4792474245971131E-2</v>
      </c>
      <c r="AO254" s="496">
        <f t="shared" ca="1" si="158"/>
        <v>4.0590820159541754E-2</v>
      </c>
      <c r="AP254" s="496">
        <f t="shared" ca="1" si="158"/>
        <v>2.7663148567870187E-2</v>
      </c>
    </row>
    <row r="255" spans="3:42">
      <c r="C255" t="str">
        <f t="shared" si="151"/>
        <v>R_ES-SH-DH-70_GEO</v>
      </c>
      <c r="D255" t="s">
        <v>906</v>
      </c>
      <c r="E255" t="str">
        <f t="shared" si="152"/>
        <v>R_ES-DH-70-SpHeat</v>
      </c>
      <c r="F255" s="496">
        <f t="shared" ref="F255:AP255" ca="1" si="159">0.75*F211</f>
        <v>0</v>
      </c>
      <c r="G255" s="496">
        <f t="shared" ca="1" si="159"/>
        <v>0</v>
      </c>
      <c r="H255" s="496">
        <f t="shared" ca="1" si="159"/>
        <v>0</v>
      </c>
      <c r="I255" s="496">
        <f t="shared" ca="1" si="159"/>
        <v>5.0291335124535624E-2</v>
      </c>
      <c r="J255" s="496">
        <f t="shared" ca="1" si="159"/>
        <v>3.6276978306092965E-2</v>
      </c>
      <c r="K255" s="496">
        <f t="shared" ca="1" si="159"/>
        <v>0</v>
      </c>
      <c r="L255" s="496">
        <f t="shared" ca="1" si="159"/>
        <v>4.2123054455494732E-2</v>
      </c>
      <c r="M255" s="496">
        <f t="shared" ca="1" si="159"/>
        <v>0</v>
      </c>
      <c r="N255" s="496">
        <f t="shared" ca="1" si="159"/>
        <v>0</v>
      </c>
      <c r="O255" s="496">
        <f t="shared" ca="1" si="159"/>
        <v>4.303904037694474E-2</v>
      </c>
      <c r="P255" s="496">
        <f t="shared" ca="1" si="159"/>
        <v>0</v>
      </c>
      <c r="Q255" s="496">
        <f t="shared" ca="1" si="159"/>
        <v>3.6519933330514773E-2</v>
      </c>
      <c r="R255" s="496">
        <f t="shared" ca="1" si="159"/>
        <v>6.5501685595799997E-2</v>
      </c>
      <c r="S255" s="496">
        <f t="shared" ca="1" si="159"/>
        <v>0</v>
      </c>
      <c r="T255" s="496">
        <f t="shared" ca="1" si="159"/>
        <v>0</v>
      </c>
      <c r="U255" s="496">
        <f t="shared" ca="1" si="159"/>
        <v>0</v>
      </c>
      <c r="V255" s="496">
        <f t="shared" ca="1" si="159"/>
        <v>0.12260633424194832</v>
      </c>
      <c r="W255" s="496">
        <f t="shared" ca="1" si="159"/>
        <v>5.163948363238724E-2</v>
      </c>
      <c r="X255" s="496">
        <f t="shared" ca="1" si="159"/>
        <v>0</v>
      </c>
      <c r="Y255" s="496">
        <f t="shared" ca="1" si="159"/>
        <v>0</v>
      </c>
      <c r="Z255" s="496">
        <f t="shared" ca="1" si="159"/>
        <v>0</v>
      </c>
      <c r="AA255" s="496">
        <f t="shared" ca="1" si="159"/>
        <v>0</v>
      </c>
      <c r="AB255" s="496">
        <f t="shared" ca="1" si="159"/>
        <v>0</v>
      </c>
      <c r="AC255" s="496">
        <f t="shared" ca="1" si="159"/>
        <v>0</v>
      </c>
      <c r="AD255" s="496">
        <f t="shared" ca="1" si="159"/>
        <v>5.0658998288033052E-2</v>
      </c>
      <c r="AE255" s="496">
        <f t="shared" ca="1" si="159"/>
        <v>0</v>
      </c>
      <c r="AF255" s="496">
        <f t="shared" ca="1" si="159"/>
        <v>6.0790715446907284E-2</v>
      </c>
      <c r="AG255" s="496">
        <f t="shared" ca="1" si="159"/>
        <v>0</v>
      </c>
      <c r="AH255" s="496">
        <f t="shared" ca="1" si="159"/>
        <v>5.1594042903763959E-2</v>
      </c>
      <c r="AI255" s="496">
        <f t="shared" ca="1" si="159"/>
        <v>0</v>
      </c>
      <c r="AJ255" s="496">
        <f t="shared" ca="1" si="159"/>
        <v>0</v>
      </c>
      <c r="AK255" s="496">
        <f t="shared" ca="1" si="159"/>
        <v>0</v>
      </c>
      <c r="AL255" s="496">
        <f t="shared" ca="1" si="159"/>
        <v>0</v>
      </c>
      <c r="AM255" s="496">
        <f t="shared" ca="1" si="159"/>
        <v>0</v>
      </c>
      <c r="AN255" s="496">
        <f t="shared" ca="1" si="159"/>
        <v>0</v>
      </c>
      <c r="AO255" s="496">
        <f t="shared" ca="1" si="159"/>
        <v>0</v>
      </c>
      <c r="AP255" s="496">
        <f t="shared" ca="1" si="159"/>
        <v>0</v>
      </c>
    </row>
    <row r="256" spans="3:42">
      <c r="C256" t="str">
        <f t="shared" si="151"/>
        <v>R_ES-SH-SD_ELC-R</v>
      </c>
      <c r="D256" t="s">
        <v>906</v>
      </c>
      <c r="E256" t="str">
        <f t="shared" si="152"/>
        <v>R_ES-SD-SpHeat</v>
      </c>
      <c r="F256" s="496">
        <f t="shared" ref="F256:AP256" ca="1" si="160">0.75*F212</f>
        <v>3.2797477108238465E-2</v>
      </c>
      <c r="G256" s="496">
        <f t="shared" ca="1" si="160"/>
        <v>5.2276819664225017E-2</v>
      </c>
      <c r="H256" s="496">
        <f t="shared" ca="1" si="160"/>
        <v>2.1752207297089703E-2</v>
      </c>
      <c r="I256" s="496">
        <f t="shared" ca="1" si="160"/>
        <v>4.226268165419695E-2</v>
      </c>
      <c r="J256" s="496">
        <f t="shared" ca="1" si="160"/>
        <v>2.7241593425783656E-2</v>
      </c>
      <c r="K256" s="496">
        <f t="shared" ca="1" si="160"/>
        <v>4.5442501602674858E-2</v>
      </c>
      <c r="L256" s="496">
        <f t="shared" ca="1" si="160"/>
        <v>3.626408195762125E-2</v>
      </c>
      <c r="M256" s="496">
        <f t="shared" ca="1" si="160"/>
        <v>1.0292546140795557E-2</v>
      </c>
      <c r="N256" s="496">
        <f t="shared" ca="1" si="160"/>
        <v>1.1095515715089993E-2</v>
      </c>
      <c r="O256" s="496">
        <f t="shared" ca="1" si="160"/>
        <v>3.114517266578732E-2</v>
      </c>
      <c r="P256" s="496">
        <f t="shared" ca="1" si="160"/>
        <v>2.9657846924254147E-2</v>
      </c>
      <c r="Q256" s="496">
        <f t="shared" ca="1" si="160"/>
        <v>3.592314163721945E-2</v>
      </c>
      <c r="R256" s="496">
        <f t="shared" ca="1" si="160"/>
        <v>4.2295551173955462E-2</v>
      </c>
      <c r="S256" s="496">
        <f t="shared" ca="1" si="160"/>
        <v>3.1966589577085189E-2</v>
      </c>
      <c r="T256" s="496">
        <f t="shared" ca="1" si="160"/>
        <v>4.1121243174319914E-2</v>
      </c>
      <c r="U256" s="496">
        <f t="shared" ca="1" si="160"/>
        <v>4.1102243995729815E-2</v>
      </c>
      <c r="V256" s="496">
        <f t="shared" ca="1" si="160"/>
        <v>8.260590788950059E-2</v>
      </c>
      <c r="W256" s="496">
        <f t="shared" ca="1" si="160"/>
        <v>4.2248597747306868E-3</v>
      </c>
      <c r="X256" s="496">
        <f t="shared" ca="1" si="160"/>
        <v>2.8814624452198186E-2</v>
      </c>
      <c r="Y256" s="496">
        <f t="shared" ca="1" si="160"/>
        <v>4.8342850490545153E-2</v>
      </c>
      <c r="Z256" s="496">
        <f t="shared" ca="1" si="160"/>
        <v>3.8159235898181945E-2</v>
      </c>
      <c r="AA256" s="496">
        <f t="shared" ca="1" si="160"/>
        <v>1.761879813607441E-2</v>
      </c>
      <c r="AB256" s="496">
        <f t="shared" ca="1" si="160"/>
        <v>4.055002030943812E-2</v>
      </c>
      <c r="AC256" s="496">
        <f t="shared" ca="1" si="160"/>
        <v>3.2412344670589704E-2</v>
      </c>
      <c r="AD256" s="496">
        <f t="shared" ca="1" si="160"/>
        <v>5.0464109971710497E-2</v>
      </c>
      <c r="AE256" s="496">
        <f t="shared" ca="1" si="160"/>
        <v>6.2293865428586391E-3</v>
      </c>
      <c r="AF256" s="496">
        <f t="shared" ca="1" si="160"/>
        <v>3.7437750379028606E-2</v>
      </c>
      <c r="AG256" s="496">
        <f t="shared" ca="1" si="160"/>
        <v>5.4868302707641634E-2</v>
      </c>
      <c r="AH256" s="496">
        <f t="shared" ca="1" si="160"/>
        <v>4.3664206763352455E-2</v>
      </c>
      <c r="AI256" s="496">
        <f t="shared" ca="1" si="160"/>
        <v>4.717166398768273E-2</v>
      </c>
      <c r="AJ256" s="496">
        <f t="shared" ca="1" si="160"/>
        <v>4.4853096186018168E-2</v>
      </c>
      <c r="AK256" s="496">
        <f t="shared" ca="1" si="160"/>
        <v>1.4849616249898834E-2</v>
      </c>
      <c r="AL256" s="496">
        <f t="shared" ca="1" si="160"/>
        <v>1.6839112128406657E-2</v>
      </c>
      <c r="AM256" s="496">
        <f t="shared" ca="1" si="160"/>
        <v>3.3023618168432009E-2</v>
      </c>
      <c r="AN256" s="496">
        <f t="shared" ca="1" si="160"/>
        <v>1.6431101156663467E-2</v>
      </c>
      <c r="AO256" s="496">
        <f t="shared" ca="1" si="160"/>
        <v>2.3877201705901657E-2</v>
      </c>
      <c r="AP256" s="496">
        <f t="shared" ca="1" si="160"/>
        <v>1.627260980633553E-2</v>
      </c>
    </row>
    <row r="257" spans="3:43">
      <c r="C257" t="str">
        <f t="shared" si="151"/>
        <v>R_ES-SH-SD_ELC-HPA</v>
      </c>
      <c r="D257" t="s">
        <v>906</v>
      </c>
      <c r="E257" t="str">
        <f t="shared" si="152"/>
        <v>R_ES-SD-SpHeat</v>
      </c>
      <c r="F257" s="496">
        <f t="shared" ref="F257:AP257" ca="1" si="161">0.75*F213</f>
        <v>3.2797477108238465E-2</v>
      </c>
      <c r="G257" s="496">
        <f t="shared" ca="1" si="161"/>
        <v>4.4008889670968492E-3</v>
      </c>
      <c r="H257" s="496">
        <f t="shared" ca="1" si="161"/>
        <v>2.1752207297089703E-2</v>
      </c>
      <c r="I257" s="496">
        <f t="shared" ca="1" si="161"/>
        <v>4.226268165419695E-2</v>
      </c>
      <c r="J257" s="496">
        <f t="shared" ca="1" si="161"/>
        <v>2.7241593425783656E-2</v>
      </c>
      <c r="K257" s="496">
        <f t="shared" ca="1" si="161"/>
        <v>4.5442501602674858E-2</v>
      </c>
      <c r="L257" s="496">
        <f t="shared" ca="1" si="161"/>
        <v>3.626408195762125E-2</v>
      </c>
      <c r="M257" s="496">
        <f t="shared" ca="1" si="161"/>
        <v>1.0292546140795557E-2</v>
      </c>
      <c r="N257" s="496">
        <f t="shared" ca="1" si="161"/>
        <v>1.1095515715089993E-2</v>
      </c>
      <c r="O257" s="496">
        <f t="shared" ca="1" si="161"/>
        <v>3.114517266578732E-2</v>
      </c>
      <c r="P257" s="496">
        <f t="shared" ca="1" si="161"/>
        <v>2.9657846924254147E-2</v>
      </c>
      <c r="Q257" s="496">
        <f t="shared" ca="1" si="161"/>
        <v>3.592314163721945E-2</v>
      </c>
      <c r="R257" s="496">
        <f t="shared" ca="1" si="161"/>
        <v>4.2295551173955462E-2</v>
      </c>
      <c r="S257" s="496">
        <f t="shared" ca="1" si="161"/>
        <v>3.1966589577085189E-2</v>
      </c>
      <c r="T257" s="496">
        <f t="shared" ca="1" si="161"/>
        <v>4.1121243174319914E-2</v>
      </c>
      <c r="U257" s="496">
        <f t="shared" ca="1" si="161"/>
        <v>4.1102243995729815E-2</v>
      </c>
      <c r="V257" s="496">
        <f t="shared" ca="1" si="161"/>
        <v>8.260590788950059E-2</v>
      </c>
      <c r="W257" s="496">
        <f t="shared" ca="1" si="161"/>
        <v>4.2248597747306868E-3</v>
      </c>
      <c r="X257" s="496">
        <f t="shared" ca="1" si="161"/>
        <v>2.8814624452198186E-2</v>
      </c>
      <c r="Y257" s="496">
        <f t="shared" ca="1" si="161"/>
        <v>4.8342850490545153E-2</v>
      </c>
      <c r="Z257" s="496">
        <f t="shared" ca="1" si="161"/>
        <v>3.8159235898181945E-2</v>
      </c>
      <c r="AA257" s="496">
        <f t="shared" ca="1" si="161"/>
        <v>1.761879813607441E-2</v>
      </c>
      <c r="AB257" s="496">
        <f t="shared" ca="1" si="161"/>
        <v>4.055002030943812E-2</v>
      </c>
      <c r="AC257" s="496">
        <f t="shared" ca="1" si="161"/>
        <v>3.2412344670589704E-2</v>
      </c>
      <c r="AD257" s="496">
        <f t="shared" ca="1" si="161"/>
        <v>5.0464109971710497E-2</v>
      </c>
      <c r="AE257" s="496">
        <f t="shared" ca="1" si="161"/>
        <v>6.2293865428586391E-3</v>
      </c>
      <c r="AF257" s="496">
        <f t="shared" ca="1" si="161"/>
        <v>3.7437750379028606E-2</v>
      </c>
      <c r="AG257" s="496">
        <f t="shared" ca="1" si="161"/>
        <v>5.4868302707641634E-2</v>
      </c>
      <c r="AH257" s="496">
        <f t="shared" ca="1" si="161"/>
        <v>4.3664206763352455E-2</v>
      </c>
      <c r="AI257" s="496">
        <f t="shared" ca="1" si="161"/>
        <v>4.717166398768273E-2</v>
      </c>
      <c r="AJ257" s="496">
        <f t="shared" ca="1" si="161"/>
        <v>4.4853096186018168E-2</v>
      </c>
      <c r="AK257" s="496">
        <f t="shared" ca="1" si="161"/>
        <v>1.4849616249898834E-2</v>
      </c>
      <c r="AL257" s="496">
        <f t="shared" ca="1" si="161"/>
        <v>1.6839112128406657E-2</v>
      </c>
      <c r="AM257" s="496">
        <f t="shared" ca="1" si="161"/>
        <v>3.3023618168432009E-2</v>
      </c>
      <c r="AN257" s="496">
        <f t="shared" ca="1" si="161"/>
        <v>1.6431101156663467E-2</v>
      </c>
      <c r="AO257" s="496">
        <f t="shared" ca="1" si="161"/>
        <v>2.3877201705901657E-2</v>
      </c>
      <c r="AP257" s="496">
        <f t="shared" ca="1" si="161"/>
        <v>1.627260980633553E-2</v>
      </c>
    </row>
    <row r="258" spans="3:43">
      <c r="C258" t="str">
        <f t="shared" si="151"/>
        <v>R_ES-SH-SD_ELC-HPG</v>
      </c>
      <c r="D258" t="s">
        <v>906</v>
      </c>
      <c r="E258" t="str">
        <f t="shared" si="152"/>
        <v>R_ES-SD-SpHeat</v>
      </c>
      <c r="F258" s="496">
        <f t="shared" ref="F258:AP258" ca="1" si="162">0.75*F214</f>
        <v>3.2797477108238465E-2</v>
      </c>
      <c r="G258" s="496">
        <f t="shared" ca="1" si="162"/>
        <v>4.4008889670968492E-3</v>
      </c>
      <c r="H258" s="496">
        <f t="shared" ca="1" si="162"/>
        <v>2.1752207297089703E-2</v>
      </c>
      <c r="I258" s="496">
        <f t="shared" ca="1" si="162"/>
        <v>4.226268165419695E-2</v>
      </c>
      <c r="J258" s="496">
        <f t="shared" ca="1" si="162"/>
        <v>2.7241593425783656E-2</v>
      </c>
      <c r="K258" s="496">
        <f t="shared" ca="1" si="162"/>
        <v>4.5442501602674858E-2</v>
      </c>
      <c r="L258" s="496">
        <f t="shared" ca="1" si="162"/>
        <v>3.626408195762125E-2</v>
      </c>
      <c r="M258" s="496">
        <f t="shared" ca="1" si="162"/>
        <v>1.0292546140795557E-2</v>
      </c>
      <c r="N258" s="496">
        <f t="shared" ca="1" si="162"/>
        <v>1.1095515715089993E-2</v>
      </c>
      <c r="O258" s="496">
        <f t="shared" ca="1" si="162"/>
        <v>3.114517266578732E-2</v>
      </c>
      <c r="P258" s="496">
        <f t="shared" ca="1" si="162"/>
        <v>2.9657846924254147E-2</v>
      </c>
      <c r="Q258" s="496">
        <f t="shared" ca="1" si="162"/>
        <v>3.592314163721945E-2</v>
      </c>
      <c r="R258" s="496">
        <f t="shared" ca="1" si="162"/>
        <v>4.2295551173955462E-2</v>
      </c>
      <c r="S258" s="496">
        <f t="shared" ca="1" si="162"/>
        <v>3.1966589577085189E-2</v>
      </c>
      <c r="T258" s="496">
        <f t="shared" ca="1" si="162"/>
        <v>4.1121243174319914E-2</v>
      </c>
      <c r="U258" s="496">
        <f t="shared" ca="1" si="162"/>
        <v>4.1102243995729815E-2</v>
      </c>
      <c r="V258" s="496">
        <f t="shared" ca="1" si="162"/>
        <v>8.260590788950059E-2</v>
      </c>
      <c r="W258" s="496">
        <f t="shared" ca="1" si="162"/>
        <v>4.2248597747306868E-3</v>
      </c>
      <c r="X258" s="496">
        <f t="shared" ca="1" si="162"/>
        <v>2.8814624452198186E-2</v>
      </c>
      <c r="Y258" s="496">
        <f t="shared" ca="1" si="162"/>
        <v>4.8342850490545153E-2</v>
      </c>
      <c r="Z258" s="496">
        <f t="shared" ca="1" si="162"/>
        <v>3.8159235898181945E-2</v>
      </c>
      <c r="AA258" s="496">
        <f t="shared" ca="1" si="162"/>
        <v>1.761879813607441E-2</v>
      </c>
      <c r="AB258" s="496">
        <f t="shared" ca="1" si="162"/>
        <v>4.055002030943812E-2</v>
      </c>
      <c r="AC258" s="496">
        <f t="shared" ca="1" si="162"/>
        <v>3.2412344670589704E-2</v>
      </c>
      <c r="AD258" s="496">
        <f t="shared" ca="1" si="162"/>
        <v>5.0464109971710497E-2</v>
      </c>
      <c r="AE258" s="496">
        <f t="shared" ca="1" si="162"/>
        <v>6.2293865428586391E-3</v>
      </c>
      <c r="AF258" s="496">
        <f t="shared" ca="1" si="162"/>
        <v>3.7437750379028606E-2</v>
      </c>
      <c r="AG258" s="496">
        <f t="shared" ca="1" si="162"/>
        <v>5.4868302707641634E-2</v>
      </c>
      <c r="AH258" s="496">
        <f t="shared" ca="1" si="162"/>
        <v>4.3664206763352455E-2</v>
      </c>
      <c r="AI258" s="496">
        <f t="shared" ca="1" si="162"/>
        <v>4.717166398768273E-2</v>
      </c>
      <c r="AJ258" s="496">
        <f t="shared" ca="1" si="162"/>
        <v>4.4853096186018168E-2</v>
      </c>
      <c r="AK258" s="496">
        <f t="shared" ca="1" si="162"/>
        <v>1.4849616249898834E-2</v>
      </c>
      <c r="AL258" s="496">
        <f t="shared" ca="1" si="162"/>
        <v>1.6839112128406657E-2</v>
      </c>
      <c r="AM258" s="496">
        <f t="shared" ca="1" si="162"/>
        <v>3.3023618168432009E-2</v>
      </c>
      <c r="AN258" s="496">
        <f t="shared" ca="1" si="162"/>
        <v>1.6431101156663467E-2</v>
      </c>
      <c r="AO258" s="496">
        <f t="shared" ca="1" si="162"/>
        <v>2.3877201705901657E-2</v>
      </c>
      <c r="AP258" s="496">
        <f t="shared" ca="1" si="162"/>
        <v>1.627260980633553E-2</v>
      </c>
    </row>
    <row r="259" spans="3:43">
      <c r="C259" t="str">
        <f t="shared" ref="C259:C265" si="163">C215</f>
        <v>R_ES-SH-SD_GAS</v>
      </c>
      <c r="D259" t="s">
        <v>906</v>
      </c>
      <c r="E259" t="str">
        <f t="shared" ref="E259:E265" si="164">E215</f>
        <v>R_ES-SD-SpHeat</v>
      </c>
      <c r="F259" s="496">
        <f t="shared" ref="F259:AP259" ca="1" si="165">0.75*F215</f>
        <v>4.6175751714119417E-2</v>
      </c>
      <c r="G259" s="496">
        <f t="shared" ca="1" si="165"/>
        <v>5.3012451648677607E-2</v>
      </c>
      <c r="H259" s="496">
        <f t="shared" ca="1" si="165"/>
        <v>1.8192617498986648E-2</v>
      </c>
      <c r="I259" s="496">
        <f t="shared" ca="1" si="165"/>
        <v>4.5042905741264141E-2</v>
      </c>
      <c r="J259" s="496">
        <f t="shared" ca="1" si="165"/>
        <v>0.10831579799846543</v>
      </c>
      <c r="K259" s="496">
        <f t="shared" ca="1" si="165"/>
        <v>4.5647973667650804E-2</v>
      </c>
      <c r="L259" s="496">
        <f t="shared" ca="1" si="165"/>
        <v>4.1998174134287962E-2</v>
      </c>
      <c r="M259" s="496">
        <f t="shared" ca="1" si="165"/>
        <v>3.7524286790287582E-2</v>
      </c>
      <c r="N259" s="496">
        <f t="shared" ca="1" si="165"/>
        <v>4.390995954723028E-2</v>
      </c>
      <c r="O259" s="496">
        <f t="shared" ca="1" si="165"/>
        <v>3.0130539275587658E-2</v>
      </c>
      <c r="P259" s="496">
        <f t="shared" ca="1" si="165"/>
        <v>6.9605376124247081E-2</v>
      </c>
      <c r="Q259" s="496">
        <f t="shared" ca="1" si="165"/>
        <v>3.9399828682324049E-2</v>
      </c>
      <c r="R259" s="496">
        <f t="shared" ca="1" si="165"/>
        <v>3.5532203122391484E-2</v>
      </c>
      <c r="S259" s="496">
        <f t="shared" ca="1" si="165"/>
        <v>2.8517943415613291E-2</v>
      </c>
      <c r="T259" s="496">
        <f t="shared" ca="1" si="165"/>
        <v>3.5662661320238591E-2</v>
      </c>
      <c r="U259" s="496">
        <f t="shared" ca="1" si="165"/>
        <v>3.8527629721441331E-2</v>
      </c>
      <c r="V259" s="496">
        <f t="shared" ca="1" si="165"/>
        <v>2.886877395802695E-2</v>
      </c>
      <c r="W259" s="496">
        <f t="shared" ca="1" si="165"/>
        <v>4.3647402086611636E-2</v>
      </c>
      <c r="X259" s="496">
        <f t="shared" ca="1" si="165"/>
        <v>3.5620501314624478E-2</v>
      </c>
      <c r="Y259" s="496">
        <f t="shared" ca="1" si="165"/>
        <v>5.8610725148681764E-2</v>
      </c>
      <c r="Z259" s="496">
        <f t="shared" ca="1" si="165"/>
        <v>4.4840575821457188E-2</v>
      </c>
      <c r="AA259" s="496">
        <f t="shared" ca="1" si="165"/>
        <v>0.15411634827940851</v>
      </c>
      <c r="AB259" s="496">
        <f t="shared" ca="1" si="165"/>
        <v>4.594600464482438E-2</v>
      </c>
      <c r="AC259" s="496">
        <f t="shared" ca="1" si="165"/>
        <v>3.2979955928682941E-2</v>
      </c>
      <c r="AD259" s="496">
        <f t="shared" ca="1" si="165"/>
        <v>4.1466900276406538E-2</v>
      </c>
      <c r="AE259" s="496">
        <f t="shared" ca="1" si="165"/>
        <v>1.2030449399639102E-2</v>
      </c>
      <c r="AF259" s="496">
        <f t="shared" ca="1" si="165"/>
        <v>3.1738434795775233E-2</v>
      </c>
      <c r="AG259" s="496">
        <f t="shared" ca="1" si="165"/>
        <v>5.4151671158098047E-2</v>
      </c>
      <c r="AH259" s="496">
        <f t="shared" ca="1" si="165"/>
        <v>3.6545846409424064E-2</v>
      </c>
      <c r="AI259" s="496">
        <f t="shared" ca="1" si="165"/>
        <v>4.3161182686969453E-2</v>
      </c>
      <c r="AJ259" s="496">
        <f t="shared" ca="1" si="165"/>
        <v>4.3816813042239916E-2</v>
      </c>
      <c r="AK259" s="496">
        <f t="shared" ca="1" si="165"/>
        <v>3.4305840933498616E-2</v>
      </c>
      <c r="AL259" s="496">
        <f t="shared" ca="1" si="165"/>
        <v>1.6093896711114972E-2</v>
      </c>
      <c r="AM259" s="496">
        <f t="shared" ca="1" si="165"/>
        <v>3.1286042105234141E-2</v>
      </c>
      <c r="AN259" s="496">
        <f t="shared" ca="1" si="165"/>
        <v>2.6718399730098878E-2</v>
      </c>
      <c r="AO259" s="496">
        <f t="shared" ca="1" si="165"/>
        <v>2.2820515421177398E-2</v>
      </c>
      <c r="AP259" s="496">
        <f t="shared" ca="1" si="165"/>
        <v>2.5310150166956105E-2</v>
      </c>
    </row>
    <row r="260" spans="3:43">
      <c r="C260" t="str">
        <f t="shared" si="163"/>
        <v>R_ES-SH-SD_HET</v>
      </c>
      <c r="D260" t="s">
        <v>906</v>
      </c>
      <c r="E260" t="str">
        <f t="shared" si="164"/>
        <v>R_ES-SD-SpHeat</v>
      </c>
      <c r="F260" s="496">
        <f t="shared" ref="F260:AP260" ca="1" si="166">0.75*F216</f>
        <v>3.8198489080541131E-2</v>
      </c>
      <c r="G260" s="496">
        <f t="shared" ca="1" si="166"/>
        <v>3.4156492090122878E-2</v>
      </c>
      <c r="H260" s="496">
        <f t="shared" ca="1" si="166"/>
        <v>1.4554151654283858E-2</v>
      </c>
      <c r="I260" s="496">
        <f t="shared" ca="1" si="166"/>
        <v>3.817737904913808E-2</v>
      </c>
      <c r="J260" s="496">
        <f t="shared" ca="1" si="166"/>
        <v>0.10831579799846543</v>
      </c>
      <c r="K260" s="496">
        <f t="shared" ca="1" si="166"/>
        <v>3.3932622790282529E-2</v>
      </c>
      <c r="L260" s="496">
        <f t="shared" ca="1" si="166"/>
        <v>3.5472004432754507E-2</v>
      </c>
      <c r="M260" s="496">
        <f t="shared" ca="1" si="166"/>
        <v>3.1070207224942886E-2</v>
      </c>
      <c r="N260" s="496">
        <f t="shared" ca="1" si="166"/>
        <v>3.5818974466749184E-2</v>
      </c>
      <c r="O260" s="496">
        <f t="shared" ca="1" si="166"/>
        <v>3.7752637098790745E-2</v>
      </c>
      <c r="P260" s="496">
        <f t="shared" ca="1" si="166"/>
        <v>5.877701286868188E-2</v>
      </c>
      <c r="Q260" s="496">
        <f t="shared" ca="1" si="166"/>
        <v>3.2575461143297325E-2</v>
      </c>
      <c r="R260" s="496">
        <f t="shared" ca="1" si="166"/>
        <v>3.3971396790826155E-2</v>
      </c>
      <c r="S260" s="496">
        <f t="shared" ca="1" si="166"/>
        <v>2.4309212987347603E-2</v>
      </c>
      <c r="T260" s="496">
        <f t="shared" ca="1" si="166"/>
        <v>3.0038535719837264E-2</v>
      </c>
      <c r="U260" s="496">
        <f t="shared" ca="1" si="166"/>
        <v>2.1303276108458488E-2</v>
      </c>
      <c r="V260" s="496">
        <f t="shared" ca="1" si="166"/>
        <v>7.1972357181986898E-2</v>
      </c>
      <c r="W260" s="496">
        <f t="shared" ca="1" si="166"/>
        <v>3.6753216261027601E-2</v>
      </c>
      <c r="X260" s="496">
        <f t="shared" ca="1" si="166"/>
        <v>2.7523968012685258E-2</v>
      </c>
      <c r="Y260" s="496">
        <f t="shared" ca="1" si="166"/>
        <v>2.6253447244381278E-2</v>
      </c>
      <c r="Z260" s="496">
        <f t="shared" ca="1" si="166"/>
        <v>3.4535366816053091E-2</v>
      </c>
      <c r="AA260" s="496">
        <f t="shared" ca="1" si="166"/>
        <v>0.15411634827940851</v>
      </c>
      <c r="AB260" s="496">
        <f t="shared" ca="1" si="166"/>
        <v>3.8568192622929043E-2</v>
      </c>
      <c r="AC260" s="496">
        <f t="shared" ca="1" si="166"/>
        <v>2.8240024319542107E-2</v>
      </c>
      <c r="AD260" s="496">
        <f t="shared" ca="1" si="166"/>
        <v>3.2759214946966278E-2</v>
      </c>
      <c r="AE260" s="496">
        <f t="shared" ca="1" si="166"/>
        <v>9.9139461080431646E-3</v>
      </c>
      <c r="AF260" s="496">
        <f t="shared" ca="1" si="166"/>
        <v>2.5107895188663534E-2</v>
      </c>
      <c r="AG260" s="496">
        <f t="shared" ca="1" si="166"/>
        <v>4.572786606297928E-2</v>
      </c>
      <c r="AH260" s="496">
        <f t="shared" ca="1" si="166"/>
        <v>3.2634251349929623E-2</v>
      </c>
      <c r="AI260" s="496">
        <f t="shared" ca="1" si="166"/>
        <v>3.4527445809016864E-2</v>
      </c>
      <c r="AJ260" s="496">
        <f t="shared" ca="1" si="166"/>
        <v>3.3567062481540406E-2</v>
      </c>
      <c r="AK260" s="496">
        <f t="shared" ca="1" si="166"/>
        <v>3.4305840933498616E-2</v>
      </c>
      <c r="AL260" s="496">
        <f t="shared" ca="1" si="166"/>
        <v>1.379977077125713E-2</v>
      </c>
      <c r="AM260" s="496">
        <f t="shared" ca="1" si="166"/>
        <v>3.1286042105234141E-2</v>
      </c>
      <c r="AN260" s="496">
        <f t="shared" ca="1" si="166"/>
        <v>1.3812946414175277E-2</v>
      </c>
      <c r="AO260" s="496">
        <f t="shared" ca="1" si="166"/>
        <v>1.9567534659066979E-2</v>
      </c>
      <c r="AP260" s="496">
        <f t="shared" ca="1" si="166"/>
        <v>1.3335518135705245E-2</v>
      </c>
    </row>
    <row r="261" spans="3:43">
      <c r="C261" t="str">
        <f t="shared" si="163"/>
        <v>R_ES-SH-SD_OIL</v>
      </c>
      <c r="D261" t="s">
        <v>906</v>
      </c>
      <c r="E261" t="str">
        <f t="shared" si="164"/>
        <v>R_ES-SD-SpHeat</v>
      </c>
      <c r="F261" s="496">
        <f t="shared" ref="F261:AP261" ca="1" si="167">0.75*F217</f>
        <v>4.2446743806331871E-2</v>
      </c>
      <c r="G261" s="496">
        <f t="shared" ca="1" si="167"/>
        <v>4.5791686875900121E-2</v>
      </c>
      <c r="H261" s="496">
        <f t="shared" ca="1" si="167"/>
        <v>2.1982690460235786E-2</v>
      </c>
      <c r="I261" s="496">
        <f t="shared" ca="1" si="167"/>
        <v>4.2545235812662938E-2</v>
      </c>
      <c r="J261" s="496">
        <f t="shared" ca="1" si="167"/>
        <v>2.4229849196351367E-2</v>
      </c>
      <c r="K261" s="496">
        <f t="shared" ca="1" si="167"/>
        <v>2.8673751456484649E-2</v>
      </c>
      <c r="L261" s="496">
        <f t="shared" ca="1" si="167"/>
        <v>3.9847211354327366E-2</v>
      </c>
      <c r="M261" s="496">
        <f t="shared" ca="1" si="167"/>
        <v>3.4793079875014121E-2</v>
      </c>
      <c r="N261" s="496">
        <f t="shared" ca="1" si="167"/>
        <v>3.5758312111206558E-2</v>
      </c>
      <c r="O261" s="496">
        <f t="shared" ca="1" si="167"/>
        <v>2.7976359600623658E-2</v>
      </c>
      <c r="P261" s="496">
        <f t="shared" ca="1" si="167"/>
        <v>6.5995889092220081E-2</v>
      </c>
      <c r="Q261" s="496">
        <f t="shared" ca="1" si="167"/>
        <v>3.5066992176342168E-2</v>
      </c>
      <c r="R261" s="496">
        <f t="shared" ca="1" si="167"/>
        <v>3.3288473748518975E-2</v>
      </c>
      <c r="S261" s="496">
        <f t="shared" ca="1" si="167"/>
        <v>2.8630029168908198E-2</v>
      </c>
      <c r="T261" s="496">
        <f t="shared" ca="1" si="167"/>
        <v>2.533218623507217E-2</v>
      </c>
      <c r="U261" s="496">
        <f t="shared" ca="1" si="167"/>
        <v>3.6685417305684483E-2</v>
      </c>
      <c r="V261" s="496">
        <f t="shared" ca="1" si="167"/>
        <v>8.0707256836612951E-2</v>
      </c>
      <c r="W261" s="496">
        <f t="shared" ca="1" si="167"/>
        <v>4.0239562309598423E-2</v>
      </c>
      <c r="X261" s="496">
        <f t="shared" ca="1" si="167"/>
        <v>3.2336820422978668E-2</v>
      </c>
      <c r="Y261" s="496">
        <f t="shared" ca="1" si="167"/>
        <v>5.5443309936946961E-2</v>
      </c>
      <c r="Z261" s="496">
        <f t="shared" ca="1" si="167"/>
        <v>3.8716956451999261E-2</v>
      </c>
      <c r="AA261" s="496">
        <f t="shared" ca="1" si="167"/>
        <v>0.15411634827940851</v>
      </c>
      <c r="AB261" s="496">
        <f t="shared" ca="1" si="167"/>
        <v>4.3306829274208994E-2</v>
      </c>
      <c r="AC261" s="496">
        <f t="shared" ca="1" si="167"/>
        <v>3.1667364875467882E-2</v>
      </c>
      <c r="AD261" s="496">
        <f t="shared" ca="1" si="167"/>
        <v>3.6017872944814081E-2</v>
      </c>
      <c r="AE261" s="496">
        <f t="shared" ca="1" si="167"/>
        <v>1.0743022034174795E-2</v>
      </c>
      <c r="AF261" s="496">
        <f t="shared" ca="1" si="167"/>
        <v>1.8758650509694927E-2</v>
      </c>
      <c r="AG261" s="496">
        <f t="shared" ca="1" si="167"/>
        <v>5.1343480005929185E-2</v>
      </c>
      <c r="AH261" s="496">
        <f t="shared" ca="1" si="167"/>
        <v>3.9478680106020299E-2</v>
      </c>
      <c r="AI261" s="496">
        <f t="shared" ca="1" si="167"/>
        <v>2.8735206968762035E-2</v>
      </c>
      <c r="AJ261" s="496">
        <f t="shared" ca="1" si="167"/>
        <v>4.1389459575409883E-2</v>
      </c>
      <c r="AK261" s="496">
        <f t="shared" ca="1" si="167"/>
        <v>1.385592697588961E-2</v>
      </c>
      <c r="AL261" s="496">
        <f t="shared" ca="1" si="167"/>
        <v>2.5310150166956098E-2</v>
      </c>
      <c r="AM261" s="496">
        <f t="shared" ca="1" si="167"/>
        <v>3.1286042105234141E-2</v>
      </c>
      <c r="AN261" s="496">
        <f t="shared" ca="1" si="167"/>
        <v>1.5331583923034731E-2</v>
      </c>
      <c r="AO261" s="496">
        <f t="shared" ca="1" si="167"/>
        <v>2.1640208948981946E-2</v>
      </c>
      <c r="AP261" s="496">
        <f t="shared" ca="1" si="167"/>
        <v>1.4748071431976699E-2</v>
      </c>
    </row>
    <row r="262" spans="3:43">
      <c r="C262" t="str">
        <f t="shared" si="163"/>
        <v>R_ES-SH-SD_BIO</v>
      </c>
      <c r="D262" t="s">
        <v>906</v>
      </c>
      <c r="E262" t="str">
        <f t="shared" si="164"/>
        <v>R_ES-SD-SpHeat</v>
      </c>
      <c r="F262" s="496">
        <f t="shared" ref="F262:AP262" ca="1" si="168">0.75*F218</f>
        <v>4.4924310241930776E-2</v>
      </c>
      <c r="G262" s="496">
        <f t="shared" ca="1" si="168"/>
        <v>5.0956727542393651E-2</v>
      </c>
      <c r="H262" s="496">
        <f t="shared" ca="1" si="168"/>
        <v>1.7937008369983444E-2</v>
      </c>
      <c r="I262" s="496">
        <f t="shared" ca="1" si="168"/>
        <v>4.1030949316771322E-2</v>
      </c>
      <c r="J262" s="496">
        <f t="shared" ca="1" si="168"/>
        <v>2.1671184595180706E-2</v>
      </c>
      <c r="K262" s="496">
        <f t="shared" ca="1" si="168"/>
        <v>4.1357748165447711E-2</v>
      </c>
      <c r="L262" s="496">
        <f t="shared" ca="1" si="168"/>
        <v>4.2156890065436353E-2</v>
      </c>
      <c r="M262" s="496">
        <f t="shared" ca="1" si="168"/>
        <v>3.5784523386007551E-2</v>
      </c>
      <c r="N262" s="496">
        <f t="shared" ca="1" si="168"/>
        <v>4.5747488314331827E-2</v>
      </c>
      <c r="O262" s="496">
        <f t="shared" ca="1" si="168"/>
        <v>2.8811134546371055E-2</v>
      </c>
      <c r="P262" s="496">
        <f t="shared" ca="1" si="168"/>
        <v>6.9854518103557833E-2</v>
      </c>
      <c r="Q262" s="496">
        <f t="shared" ca="1" si="168"/>
        <v>3.8714467128660182E-2</v>
      </c>
      <c r="R262" s="496">
        <f t="shared" ca="1" si="168"/>
        <v>3.5448455807070241E-2</v>
      </c>
      <c r="S262" s="496">
        <f t="shared" ca="1" si="168"/>
        <v>3.0244770230932867E-2</v>
      </c>
      <c r="T262" s="496">
        <f t="shared" ca="1" si="168"/>
        <v>3.4991081750886978E-2</v>
      </c>
      <c r="U262" s="496">
        <f t="shared" ca="1" si="168"/>
        <v>3.7613908060068146E-2</v>
      </c>
      <c r="V262" s="496">
        <f t="shared" ca="1" si="168"/>
        <v>2.886877395802695E-2</v>
      </c>
      <c r="W262" s="496">
        <f t="shared" ca="1" si="168"/>
        <v>4.3679499094431022E-2</v>
      </c>
      <c r="X262" s="496">
        <f t="shared" ca="1" si="168"/>
        <v>3.3443940475007504E-2</v>
      </c>
      <c r="Y262" s="496">
        <f t="shared" ca="1" si="168"/>
        <v>6.0623907970924748E-2</v>
      </c>
      <c r="Z262" s="496">
        <f t="shared" ca="1" si="168"/>
        <v>3.7290439854118451E-2</v>
      </c>
      <c r="AA262" s="496">
        <f t="shared" ca="1" si="168"/>
        <v>1.0637095665481962E-2</v>
      </c>
      <c r="AB262" s="496">
        <f t="shared" ca="1" si="168"/>
        <v>3.9344927879682391E-2</v>
      </c>
      <c r="AC262" s="496">
        <f t="shared" ca="1" si="168"/>
        <v>3.059154049729948E-2</v>
      </c>
      <c r="AD262" s="496">
        <f t="shared" ca="1" si="168"/>
        <v>4.1113923403823388E-2</v>
      </c>
      <c r="AE262" s="496">
        <f t="shared" ca="1" si="168"/>
        <v>1.1133922103844229E-2</v>
      </c>
      <c r="AF262" s="496">
        <f t="shared" ca="1" si="168"/>
        <v>3.1743067103886573E-2</v>
      </c>
      <c r="AG262" s="496">
        <f t="shared" ca="1" si="168"/>
        <v>5.6956107877473391E-2</v>
      </c>
      <c r="AH262" s="496">
        <f t="shared" ca="1" si="168"/>
        <v>3.6619694699675367E-2</v>
      </c>
      <c r="AI262" s="496">
        <f t="shared" ca="1" si="168"/>
        <v>4.2524602098400713E-2</v>
      </c>
      <c r="AJ262" s="496">
        <f t="shared" ca="1" si="168"/>
        <v>4.3923750051584984E-2</v>
      </c>
      <c r="AK262" s="496">
        <f t="shared" ca="1" si="168"/>
        <v>1.4382001673335615E-2</v>
      </c>
      <c r="AL262" s="496">
        <f t="shared" ca="1" si="168"/>
        <v>1.5772734402459208E-2</v>
      </c>
      <c r="AM262" s="496">
        <f t="shared" ca="1" si="168"/>
        <v>3.0932317238996275E-2</v>
      </c>
      <c r="AN262" s="496">
        <f t="shared" ca="1" si="168"/>
        <v>1.5913685603255283E-2</v>
      </c>
      <c r="AO262" s="496">
        <f t="shared" ca="1" si="168"/>
        <v>2.2365119841788721E-2</v>
      </c>
      <c r="AP262" s="496">
        <f t="shared" ca="1" si="168"/>
        <v>1.5242107217589354E-2</v>
      </c>
    </row>
    <row r="263" spans="3:43">
      <c r="C263" t="str">
        <f t="shared" si="163"/>
        <v>R_ES-SH-SD_COA</v>
      </c>
      <c r="D263" t="s">
        <v>906</v>
      </c>
      <c r="E263" t="str">
        <f t="shared" si="164"/>
        <v>R_ES-SD-SpHeat</v>
      </c>
      <c r="F263" s="496">
        <f t="shared" ref="F263:AP263" ca="1" si="169">0.75*F219</f>
        <v>4.3087743060388178E-2</v>
      </c>
      <c r="G263" s="496">
        <f t="shared" ca="1" si="169"/>
        <v>4.2788195341386656E-2</v>
      </c>
      <c r="H263" s="496">
        <f t="shared" ca="1" si="169"/>
        <v>1.5805404569247634E-2</v>
      </c>
      <c r="I263" s="496">
        <f t="shared" ca="1" si="169"/>
        <v>3.946904407469911E-2</v>
      </c>
      <c r="J263" s="496">
        <f t="shared" ca="1" si="169"/>
        <v>0.10831579799846543</v>
      </c>
      <c r="K263" s="496">
        <f t="shared" ca="1" si="169"/>
        <v>3.7892435413199005E-2</v>
      </c>
      <c r="L263" s="496">
        <f t="shared" ca="1" si="169"/>
        <v>3.7338943493640794E-2</v>
      </c>
      <c r="M263" s="496">
        <f t="shared" ca="1" si="169"/>
        <v>2.127805933103092E-2</v>
      </c>
      <c r="N263" s="496">
        <f t="shared" ca="1" si="169"/>
        <v>3.5763261117785952E-2</v>
      </c>
      <c r="O263" s="496">
        <f t="shared" ca="1" si="169"/>
        <v>2.5815828141247488E-2</v>
      </c>
      <c r="P263" s="496">
        <f t="shared" ca="1" si="169"/>
        <v>6.2052926721117882E-2</v>
      </c>
      <c r="Q263" s="496">
        <f t="shared" ca="1" si="169"/>
        <v>3.6350565050275299E-2</v>
      </c>
      <c r="R263" s="496">
        <f t="shared" ca="1" si="169"/>
        <v>5.1123721564170249E-2</v>
      </c>
      <c r="S263" s="496">
        <f t="shared" ca="1" si="169"/>
        <v>3.067424308472512E-2</v>
      </c>
      <c r="T263" s="496">
        <f t="shared" ca="1" si="169"/>
        <v>2.7347867017194695E-2</v>
      </c>
      <c r="U263" s="496">
        <f t="shared" ca="1" si="169"/>
        <v>3.1915821250267623E-2</v>
      </c>
      <c r="V263" s="496">
        <f t="shared" ca="1" si="169"/>
        <v>2.886877395802695E-2</v>
      </c>
      <c r="W263" s="496">
        <f t="shared" ca="1" si="169"/>
        <v>3.602072467448663E-2</v>
      </c>
      <c r="X263" s="496">
        <f t="shared" ca="1" si="169"/>
        <v>2.9845155668937241E-2</v>
      </c>
      <c r="Y263" s="496">
        <f t="shared" ca="1" si="169"/>
        <v>5.079531655233166E-2</v>
      </c>
      <c r="Z263" s="496">
        <f t="shared" ca="1" si="169"/>
        <v>4.9837910724666631E-2</v>
      </c>
      <c r="AA263" s="496">
        <f t="shared" ca="1" si="169"/>
        <v>0.15411634827940851</v>
      </c>
      <c r="AB263" s="496">
        <f t="shared" ca="1" si="169"/>
        <v>3.5529125022795545E-2</v>
      </c>
      <c r="AC263" s="496">
        <f t="shared" ca="1" si="169"/>
        <v>3.1908783838799547E-2</v>
      </c>
      <c r="AD263" s="496">
        <f t="shared" ca="1" si="169"/>
        <v>3.6975868710734744E-2</v>
      </c>
      <c r="AE263" s="496">
        <f t="shared" ca="1" si="169"/>
        <v>2.925713302406532E-2</v>
      </c>
      <c r="AF263" s="496">
        <f t="shared" ca="1" si="169"/>
        <v>1.4256880311678186E-2</v>
      </c>
      <c r="AG263" s="496">
        <f t="shared" ca="1" si="169"/>
        <v>2.7729995857940427E-2</v>
      </c>
      <c r="AH263" s="496">
        <f t="shared" ca="1" si="169"/>
        <v>3.5206943223299737E-2</v>
      </c>
      <c r="AI263" s="496">
        <f t="shared" ca="1" si="169"/>
        <v>3.7495675084296541E-2</v>
      </c>
      <c r="AJ263" s="496">
        <f t="shared" ca="1" si="169"/>
        <v>3.7857851197033082E-2</v>
      </c>
      <c r="AK263" s="496">
        <f t="shared" ca="1" si="169"/>
        <v>3.4305840933498616E-2</v>
      </c>
      <c r="AL263" s="496">
        <f t="shared" ca="1" si="169"/>
        <v>1.4780750606269892E-2</v>
      </c>
      <c r="AM263" s="496">
        <f t="shared" ca="1" si="169"/>
        <v>3.1286042105234141E-2</v>
      </c>
      <c r="AN263" s="496">
        <f t="shared" ca="1" si="169"/>
        <v>2.6718399730098878E-2</v>
      </c>
      <c r="AO263" s="496">
        <f t="shared" ca="1" si="169"/>
        <v>2.0958525657369591E-2</v>
      </c>
      <c r="AP263" s="496">
        <f t="shared" ca="1" si="169"/>
        <v>1.428349579398791E-2</v>
      </c>
    </row>
    <row r="264" spans="3:43">
      <c r="C264" t="str">
        <f t="shared" si="163"/>
        <v>R_ES-SH-SD_LPG</v>
      </c>
      <c r="D264" t="s">
        <v>906</v>
      </c>
      <c r="E264" t="str">
        <f t="shared" si="164"/>
        <v>R_ES-SD-SpHeat</v>
      </c>
      <c r="F264" s="496">
        <f t="shared" ref="F264:AP264" ca="1" si="170">0.75*F220</f>
        <v>4.213129693511003E-2</v>
      </c>
      <c r="G264" s="496">
        <f t="shared" ca="1" si="170"/>
        <v>4.7764838535326842E-2</v>
      </c>
      <c r="H264" s="496">
        <f t="shared" ca="1" si="170"/>
        <v>1.5923699296270768E-2</v>
      </c>
      <c r="I264" s="496">
        <f t="shared" ca="1" si="170"/>
        <v>3.2576179475202069E-2</v>
      </c>
      <c r="J264" s="496">
        <f t="shared" ca="1" si="170"/>
        <v>2.4416131137899474E-2</v>
      </c>
      <c r="K264" s="496">
        <f t="shared" ca="1" si="170"/>
        <v>2.8673751456484649E-2</v>
      </c>
      <c r="L264" s="496">
        <f t="shared" ca="1" si="170"/>
        <v>3.969755159338114E-2</v>
      </c>
      <c r="M264" s="496">
        <f t="shared" ca="1" si="170"/>
        <v>3.5909465077457486E-2</v>
      </c>
      <c r="N264" s="496">
        <f t="shared" ca="1" si="170"/>
        <v>3.3777485038986803E-2</v>
      </c>
      <c r="O264" s="496">
        <f t="shared" ca="1" si="170"/>
        <v>2.7642546247375471E-2</v>
      </c>
      <c r="P264" s="496">
        <f t="shared" ca="1" si="170"/>
        <v>3.3563347382536232E-2</v>
      </c>
      <c r="Q264" s="496">
        <f t="shared" ca="1" si="170"/>
        <v>3.6666443407959999E-2</v>
      </c>
      <c r="R264" s="496">
        <f t="shared" ca="1" si="170"/>
        <v>5.1123721564170249E-2</v>
      </c>
      <c r="S264" s="496">
        <f t="shared" ca="1" si="170"/>
        <v>2.8855870179292691E-2</v>
      </c>
      <c r="T264" s="496">
        <f t="shared" ca="1" si="170"/>
        <v>3.6698522473874728E-2</v>
      </c>
      <c r="U264" s="496">
        <f t="shared" ca="1" si="170"/>
        <v>3.5633644594424925E-2</v>
      </c>
      <c r="V264" s="496">
        <f t="shared" ca="1" si="170"/>
        <v>2.886877395802695E-2</v>
      </c>
      <c r="W264" s="496">
        <f t="shared" ca="1" si="170"/>
        <v>4.0575670400985267E-2</v>
      </c>
      <c r="X264" s="496">
        <f t="shared" ca="1" si="170"/>
        <v>3.1388346076107326E-2</v>
      </c>
      <c r="Y264" s="496">
        <f t="shared" ca="1" si="170"/>
        <v>2.6253447244381278E-2</v>
      </c>
      <c r="Z264" s="496">
        <f t="shared" ca="1" si="170"/>
        <v>3.21364032631309E-2</v>
      </c>
      <c r="AA264" s="496">
        <f t="shared" ca="1" si="170"/>
        <v>1.6029443438368138E-2</v>
      </c>
      <c r="AB264" s="496">
        <f t="shared" ca="1" si="170"/>
        <v>2.5993721647374585E-2</v>
      </c>
      <c r="AC264" s="496">
        <f t="shared" ca="1" si="170"/>
        <v>3.1908783838799547E-2</v>
      </c>
      <c r="AD264" s="496">
        <f t="shared" ca="1" si="170"/>
        <v>2.9338630778457858E-2</v>
      </c>
      <c r="AE264" s="496">
        <f t="shared" ca="1" si="170"/>
        <v>1.0382267182405491E-2</v>
      </c>
      <c r="AF264" s="496">
        <f t="shared" ca="1" si="170"/>
        <v>3.0150382081155069E-2</v>
      </c>
      <c r="AG264" s="496">
        <f t="shared" ca="1" si="170"/>
        <v>2.7729995857940427E-2</v>
      </c>
      <c r="AH264" s="496">
        <f t="shared" ca="1" si="170"/>
        <v>3.7968785628373115E-2</v>
      </c>
      <c r="AI264" s="496">
        <f t="shared" ca="1" si="170"/>
        <v>2.8735206968762035E-2</v>
      </c>
      <c r="AJ264" s="496">
        <f t="shared" ca="1" si="170"/>
        <v>4.0493675156972379E-2</v>
      </c>
      <c r="AK264" s="496">
        <f t="shared" ca="1" si="170"/>
        <v>3.4305840933498616E-2</v>
      </c>
      <c r="AL264" s="496">
        <f t="shared" ca="1" si="170"/>
        <v>2.5310150166956098E-2</v>
      </c>
      <c r="AM264" s="496">
        <f t="shared" ca="1" si="170"/>
        <v>3.1286042105234141E-2</v>
      </c>
      <c r="AN264" s="496">
        <f t="shared" ca="1" si="170"/>
        <v>2.6718399730098878E-2</v>
      </c>
      <c r="AO264" s="496">
        <f t="shared" ca="1" si="170"/>
        <v>2.1640208948981943E-2</v>
      </c>
      <c r="AP264" s="496">
        <f t="shared" ca="1" si="170"/>
        <v>1.4748071431976699E-2</v>
      </c>
    </row>
    <row r="265" spans="3:43">
      <c r="C265" t="str">
        <f t="shared" si="163"/>
        <v>R_ES-SH-SD_GEO</v>
      </c>
      <c r="D265" t="s">
        <v>906</v>
      </c>
      <c r="E265" t="str">
        <f t="shared" si="164"/>
        <v>R_ES-SD-SpHeat</v>
      </c>
      <c r="F265" s="496">
        <f t="shared" ref="F265:AP265" ca="1" si="171">0.75*F221</f>
        <v>0</v>
      </c>
      <c r="G265" s="496">
        <f t="shared" ca="1" si="171"/>
        <v>0</v>
      </c>
      <c r="H265" s="496">
        <f t="shared" ca="1" si="171"/>
        <v>0</v>
      </c>
      <c r="I265" s="496">
        <f t="shared" ca="1" si="171"/>
        <v>3.8177379049138066E-2</v>
      </c>
      <c r="J265" s="496">
        <f t="shared" ca="1" si="171"/>
        <v>2.1539888125180831E-2</v>
      </c>
      <c r="K265" s="496">
        <f t="shared" ca="1" si="171"/>
        <v>0</v>
      </c>
      <c r="L265" s="496">
        <f t="shared" ca="1" si="171"/>
        <v>3.6707222412271652E-2</v>
      </c>
      <c r="M265" s="496">
        <f t="shared" ca="1" si="171"/>
        <v>0</v>
      </c>
      <c r="N265" s="496">
        <f t="shared" ca="1" si="171"/>
        <v>0</v>
      </c>
      <c r="O265" s="496">
        <f t="shared" ca="1" si="171"/>
        <v>2.7854953514418891E-2</v>
      </c>
      <c r="P265" s="496">
        <f t="shared" ca="1" si="171"/>
        <v>0</v>
      </c>
      <c r="Q265" s="496">
        <f t="shared" ca="1" si="171"/>
        <v>3.3918787089489554E-2</v>
      </c>
      <c r="R265" s="496">
        <f t="shared" ca="1" si="171"/>
        <v>3.9541668341854762E-2</v>
      </c>
      <c r="S265" s="496">
        <f t="shared" ca="1" si="171"/>
        <v>0</v>
      </c>
      <c r="T265" s="496">
        <f t="shared" ca="1" si="171"/>
        <v>0</v>
      </c>
      <c r="U265" s="496">
        <f t="shared" ca="1" si="171"/>
        <v>0</v>
      </c>
      <c r="V265" s="496">
        <f t="shared" ca="1" si="171"/>
        <v>7.1972357181986912E-2</v>
      </c>
      <c r="W265" s="496">
        <f t="shared" ca="1" si="171"/>
        <v>3.3216291750917809E-2</v>
      </c>
      <c r="X265" s="496">
        <f t="shared" ca="1" si="171"/>
        <v>0</v>
      </c>
      <c r="Y265" s="496">
        <f t="shared" ca="1" si="171"/>
        <v>0</v>
      </c>
      <c r="Z265" s="496">
        <f t="shared" ca="1" si="171"/>
        <v>0</v>
      </c>
      <c r="AA265" s="496">
        <f t="shared" ca="1" si="171"/>
        <v>0</v>
      </c>
      <c r="AB265" s="496">
        <f t="shared" ca="1" si="171"/>
        <v>0</v>
      </c>
      <c r="AC265" s="496">
        <f t="shared" ca="1" si="171"/>
        <v>0</v>
      </c>
      <c r="AD265" s="496">
        <f t="shared" ca="1" si="171"/>
        <v>3.4442216712007527E-2</v>
      </c>
      <c r="AE265" s="496">
        <f t="shared" ca="1" si="171"/>
        <v>0</v>
      </c>
      <c r="AF265" s="496">
        <f t="shared" ca="1" si="171"/>
        <v>3.3974004533763966E-2</v>
      </c>
      <c r="AG265" s="496">
        <f t="shared" ca="1" si="171"/>
        <v>0</v>
      </c>
      <c r="AH265" s="496">
        <f t="shared" ca="1" si="171"/>
        <v>3.3949770196958107E-2</v>
      </c>
      <c r="AI265" s="496">
        <f t="shared" ca="1" si="171"/>
        <v>0</v>
      </c>
      <c r="AJ265" s="496">
        <f t="shared" ca="1" si="171"/>
        <v>0</v>
      </c>
      <c r="AK265" s="496">
        <f t="shared" ca="1" si="171"/>
        <v>0</v>
      </c>
      <c r="AL265" s="496">
        <f t="shared" ca="1" si="171"/>
        <v>0</v>
      </c>
      <c r="AM265" s="496">
        <f t="shared" ca="1" si="171"/>
        <v>0</v>
      </c>
      <c r="AN265" s="496">
        <f t="shared" ca="1" si="171"/>
        <v>0</v>
      </c>
      <c r="AO265" s="496">
        <f t="shared" ca="1" si="171"/>
        <v>0</v>
      </c>
      <c r="AP265" s="496">
        <f t="shared" ca="1" si="171"/>
        <v>0</v>
      </c>
    </row>
    <row r="266" spans="3:43">
      <c r="F266" s="496"/>
      <c r="G266" s="496"/>
      <c r="H266" s="496"/>
      <c r="I266" s="496"/>
      <c r="J266" s="496"/>
      <c r="K266" s="496"/>
      <c r="L266" s="496"/>
      <c r="M266" s="496"/>
      <c r="N266" s="496"/>
      <c r="O266" s="496"/>
      <c r="P266" s="496"/>
      <c r="Q266" s="496"/>
      <c r="R266" s="496"/>
      <c r="S266" s="496"/>
      <c r="T266" s="496"/>
      <c r="U266" s="496"/>
      <c r="V266" s="496"/>
      <c r="W266" s="496"/>
      <c r="X266" s="496"/>
      <c r="Y266" s="496"/>
      <c r="Z266" s="496"/>
      <c r="AA266" s="496"/>
      <c r="AB266" s="496"/>
      <c r="AC266" s="496"/>
      <c r="AD266" s="496"/>
      <c r="AE266" s="496"/>
      <c r="AF266" s="496"/>
      <c r="AG266" s="496"/>
      <c r="AH266" s="496"/>
      <c r="AI266" s="496"/>
      <c r="AJ266" s="496"/>
      <c r="AK266" s="496"/>
      <c r="AL266" s="496"/>
      <c r="AM266" s="496"/>
      <c r="AN266" s="496"/>
      <c r="AO266" s="496"/>
      <c r="AP266" s="496"/>
    </row>
    <row r="267" spans="3:43">
      <c r="C267" t="s">
        <v>905</v>
      </c>
    </row>
    <row r="268" spans="3:43">
      <c r="C268" s="768" t="s">
        <v>858</v>
      </c>
      <c r="D268" s="542" t="s">
        <v>58</v>
      </c>
      <c r="E268" t="s">
        <v>862</v>
      </c>
      <c r="F268" s="773">
        <f ca="1">'Dwelling stock'!G77/F$307</f>
        <v>26.176760716068745</v>
      </c>
      <c r="G268" s="773">
        <f ca="1">'Dwelling stock'!H77/G$307</f>
        <v>19.448219884096485</v>
      </c>
      <c r="H268" s="773">
        <f ca="1">'Dwelling stock'!I77/H$307</f>
        <v>5.693351082863483</v>
      </c>
      <c r="I268" s="773">
        <f ca="1">'Dwelling stock'!J77/I$307</f>
        <v>29.566389734906693</v>
      </c>
      <c r="J268" s="773">
        <f ca="1">'Dwelling stock'!K77/J$307</f>
        <v>0.35065210112731499</v>
      </c>
      <c r="K268" s="773">
        <f ca="1">'Dwelling stock'!L77/K$307</f>
        <v>37.66513330285828</v>
      </c>
      <c r="L268" s="773">
        <f ca="1">'Dwelling stock'!M77/L$307</f>
        <v>335.5240817516048</v>
      </c>
      <c r="M268" s="773">
        <f ca="1">'Dwelling stock'!N77/M$307</f>
        <v>16.025179189245556</v>
      </c>
      <c r="N268" s="773">
        <f ca="1">'Dwelling stock'!O77/N$307</f>
        <v>8.5428116521650139</v>
      </c>
      <c r="O268" s="773">
        <f ca="1">'Dwelling stock'!P77/O$307</f>
        <v>113.80609514851595</v>
      </c>
      <c r="P268" s="773">
        <f ca="1">'Dwelling stock'!Q77/P$307</f>
        <v>22.787460747938713</v>
      </c>
      <c r="Q268" s="773">
        <f ca="1">'Dwelling stock'!R77/Q$307</f>
        <v>146.57591285416433</v>
      </c>
      <c r="R268" s="773">
        <f ca="1">'Dwelling stock'!S77/R$307</f>
        <v>23.363416399597124</v>
      </c>
      <c r="S268" s="773">
        <f ca="1">'Dwelling stock'!T77/S$307</f>
        <v>7.1053617395891537</v>
      </c>
      <c r="T268" s="773">
        <f ca="1">'Dwelling stock'!U77/T$307</f>
        <v>16.354922518167804</v>
      </c>
      <c r="U268" s="773">
        <f ca="1">'Dwelling stock'!V77/U$307</f>
        <v>1.5505313575928996</v>
      </c>
      <c r="V268" s="773">
        <f ca="1">'Dwelling stock'!W77/V$307</f>
        <v>2.3640904854872264</v>
      </c>
      <c r="W268" s="773">
        <f ca="1">'Dwelling stock'!X77/W$307</f>
        <v>297.91593066661227</v>
      </c>
      <c r="X268" s="773">
        <f ca="1">'Dwelling stock'!Y77/X$307</f>
        <v>9.0911151586389032</v>
      </c>
      <c r="Y268" s="773">
        <f ca="1">'Dwelling stock'!Z77/Y$307</f>
        <v>2.0288537434567258</v>
      </c>
      <c r="Z268" s="773">
        <f ca="1">'Dwelling stock'!AA77/Z$307</f>
        <v>9.3470169361696804</v>
      </c>
      <c r="AA268" s="773">
        <f ca="1">'Dwelling stock'!AB77/AA$307</f>
        <v>3.7622167226873782E-2</v>
      </c>
      <c r="AB268" s="773">
        <f ca="1">'Dwelling stock'!AC77/AB$307</f>
        <v>33.953704395720024</v>
      </c>
      <c r="AC268" s="773">
        <f ca="1">'Dwelling stock'!AD77/AC$307</f>
        <v>16.038907578621373</v>
      </c>
      <c r="AD268" s="773">
        <f ca="1">'Dwelling stock'!AE77/AD$307</f>
        <v>95.426386270942061</v>
      </c>
      <c r="AE268" s="773">
        <f ca="1">'Dwelling stock'!AF77/AE$307</f>
        <v>2.38654153572688</v>
      </c>
      <c r="AF268" s="773">
        <f ca="1">'Dwelling stock'!AG77/AF$307</f>
        <v>15.968381953463759</v>
      </c>
      <c r="AG268" s="773">
        <f ca="1">'Dwelling stock'!AH77/AG$307</f>
        <v>50.931056466558722</v>
      </c>
      <c r="AH268" s="773">
        <f ca="1">'Dwelling stock'!AI77/AH$307</f>
        <v>6.7623491856887421</v>
      </c>
      <c r="AI268" s="773">
        <f ca="1">'Dwelling stock'!AJ77/AI$307</f>
        <v>8.7844570734746004</v>
      </c>
      <c r="AJ268" s="773">
        <f ca="1">'Dwelling stock'!AK77/AJ$307</f>
        <v>47.771670438806737</v>
      </c>
      <c r="AK268" s="773">
        <f ca="1">'Dwelling stock'!AL77/AK$307</f>
        <v>1.1451124020252561</v>
      </c>
      <c r="AL268" s="773">
        <f ca="1">'Dwelling stock'!AM77/AL$307</f>
        <v>2.3233744799308522</v>
      </c>
      <c r="AM268" s="773">
        <f ca="1">'Dwelling stock'!AN77/AM$307</f>
        <v>1.4574327481617182</v>
      </c>
      <c r="AN268" s="773">
        <f ca="1">'Dwelling stock'!AO77/AN$307</f>
        <v>1.3453436474576166</v>
      </c>
      <c r="AO268" s="773">
        <f ca="1">'Dwelling stock'!AP77/AO$307</f>
        <v>9.7341246989592491</v>
      </c>
      <c r="AP268" s="773">
        <f ca="1">'Dwelling stock'!AQ77/AP$307</f>
        <v>1.3216421827444866</v>
      </c>
      <c r="AQ268" s="575"/>
    </row>
    <row r="269" spans="3:43">
      <c r="C269" t="s">
        <v>857</v>
      </c>
      <c r="E269" t="s">
        <v>862</v>
      </c>
      <c r="F269" s="496">
        <f t="shared" ref="F269:AP269" ca="1" si="172">SUMPRODUCT(F182:F191,F137:F146,F93:F102,F5:F14)/F$307</f>
        <v>30.103274823479058</v>
      </c>
      <c r="G269" s="496">
        <f t="shared" ca="1" si="172"/>
        <v>22.36545286671096</v>
      </c>
      <c r="H269" s="496">
        <f t="shared" ca="1" si="172"/>
        <v>6.5473537452930044</v>
      </c>
      <c r="I269" s="496">
        <f t="shared" ca="1" si="172"/>
        <v>34.00134819514269</v>
      </c>
      <c r="J269" s="496">
        <f t="shared" ca="1" si="172"/>
        <v>0.40324991629641221</v>
      </c>
      <c r="K269" s="496">
        <f t="shared" ca="1" si="172"/>
        <v>43.314903298287007</v>
      </c>
      <c r="L269" s="496">
        <f t="shared" ca="1" si="172"/>
        <v>385.85269401434562</v>
      </c>
      <c r="M269" s="496">
        <f t="shared" ca="1" si="172"/>
        <v>18.428956067632392</v>
      </c>
      <c r="N269" s="496">
        <f t="shared" ca="1" si="172"/>
        <v>9.8242333999897653</v>
      </c>
      <c r="O269" s="496">
        <f t="shared" ca="1" si="172"/>
        <v>130.87700942079334</v>
      </c>
      <c r="P269" s="496">
        <f t="shared" ca="1" si="172"/>
        <v>26.205579860129518</v>
      </c>
      <c r="Q269" s="496">
        <f t="shared" ca="1" si="172"/>
        <v>168.56229978228896</v>
      </c>
      <c r="R269" s="496">
        <f t="shared" ca="1" si="172"/>
        <v>26.867928859536693</v>
      </c>
      <c r="S269" s="496">
        <f t="shared" ca="1" si="172"/>
        <v>8.1711660005275277</v>
      </c>
      <c r="T269" s="496">
        <f t="shared" ca="1" si="172"/>
        <v>18.808160895892975</v>
      </c>
      <c r="U269" s="496">
        <f t="shared" ca="1" si="172"/>
        <v>1.7831110612318346</v>
      </c>
      <c r="V269" s="496">
        <f t="shared" ca="1" si="172"/>
        <v>2.7187040583103101</v>
      </c>
      <c r="W269" s="496">
        <f t="shared" ca="1" si="172"/>
        <v>342.60332026660416</v>
      </c>
      <c r="X269" s="496">
        <f t="shared" ca="1" si="172"/>
        <v>10.454782432434738</v>
      </c>
      <c r="Y269" s="496">
        <f t="shared" ca="1" si="172"/>
        <v>2.3331818049752346</v>
      </c>
      <c r="Z269" s="496">
        <f t="shared" ca="1" si="172"/>
        <v>10.749069476595128</v>
      </c>
      <c r="AA269" s="496">
        <f t="shared" ca="1" si="172"/>
        <v>4.3265492310904846E-2</v>
      </c>
      <c r="AB269" s="496">
        <f t="shared" ca="1" si="172"/>
        <v>39.046760055078011</v>
      </c>
      <c r="AC269" s="496">
        <f t="shared" ca="1" si="172"/>
        <v>18.444743715414575</v>
      </c>
      <c r="AD269" s="496">
        <f t="shared" ca="1" si="172"/>
        <v>109.74034421158338</v>
      </c>
      <c r="AE269" s="496">
        <f t="shared" ca="1" si="172"/>
        <v>2.7445227660859115</v>
      </c>
      <c r="AF269" s="496">
        <f t="shared" ca="1" si="172"/>
        <v>18.36363924648332</v>
      </c>
      <c r="AG269" s="496">
        <f t="shared" ca="1" si="172"/>
        <v>58.570714936542529</v>
      </c>
      <c r="AH269" s="496">
        <f t="shared" ca="1" si="172"/>
        <v>7.776701563542054</v>
      </c>
      <c r="AI269" s="496">
        <f t="shared" ca="1" si="172"/>
        <v>10.102125634495792</v>
      </c>
      <c r="AJ269" s="496">
        <f t="shared" ca="1" si="172"/>
        <v>54.937421004627758</v>
      </c>
      <c r="AK269" s="496">
        <f t="shared" ca="1" si="172"/>
        <v>1.3168792623290444</v>
      </c>
      <c r="AL269" s="496">
        <f t="shared" ca="1" si="172"/>
        <v>2.6718806519204796</v>
      </c>
      <c r="AM269" s="496">
        <f t="shared" ca="1" si="172"/>
        <v>1.6760476603859762</v>
      </c>
      <c r="AN269" s="496">
        <f t="shared" ca="1" si="172"/>
        <v>1.5471451945762591</v>
      </c>
      <c r="AO269" s="496">
        <f t="shared" ca="1" si="172"/>
        <v>11.194243403803137</v>
      </c>
      <c r="AP269" s="496">
        <f t="shared" ca="1" si="172"/>
        <v>1.5198885101561594</v>
      </c>
    </row>
    <row r="271" spans="3:43">
      <c r="C271" s="768" t="s">
        <v>858</v>
      </c>
      <c r="D271" s="542" t="s">
        <v>65</v>
      </c>
      <c r="E271" t="s">
        <v>862</v>
      </c>
      <c r="F271" s="773">
        <f ca="1">'Dwelling stock'!G83/F$307</f>
        <v>51.763330218417444</v>
      </c>
      <c r="G271" s="773">
        <f ca="1">'Dwelling stock'!H83/G$307</f>
        <v>54.935537680469899</v>
      </c>
      <c r="H271" s="773">
        <f ca="1">'Dwelling stock'!I83/H$307</f>
        <v>8.5905207976189715</v>
      </c>
      <c r="I271" s="773">
        <f ca="1">'Dwelling stock'!J83/I$307</f>
        <v>43.17180811291135</v>
      </c>
      <c r="J271" s="773">
        <f ca="1">'Dwelling stock'!K83/J$307</f>
        <v>0.25733712323848679</v>
      </c>
      <c r="K271" s="773">
        <f ca="1">'Dwelling stock'!L83/K$307</f>
        <v>47.840128932353444</v>
      </c>
      <c r="L271" s="773">
        <f ca="1">'Dwelling stock'!M83/L$307</f>
        <v>445.99411118502786</v>
      </c>
      <c r="M271" s="773">
        <f ca="1">'Dwelling stock'!N83/M$307</f>
        <v>54.181602332763475</v>
      </c>
      <c r="N271" s="773">
        <f ca="1">'Dwelling stock'!O83/N$307</f>
        <v>4.7927058756829171</v>
      </c>
      <c r="O271" s="773">
        <f ca="1">'Dwelling stock'!P83/O$307</f>
        <v>20.482972452921356</v>
      </c>
      <c r="P271" s="773">
        <f ca="1">'Dwelling stock'!Q83/P$307</f>
        <v>44.068679923855299</v>
      </c>
      <c r="Q271" s="773">
        <f ca="1">'Dwelling stock'!R83/Q$307</f>
        <v>296.24037331297723</v>
      </c>
      <c r="R271" s="773">
        <f ca="1">'Dwelling stock'!S83/R$307</f>
        <v>12.330363510590038</v>
      </c>
      <c r="S271" s="773">
        <f ca="1">'Dwelling stock'!T83/S$307</f>
        <v>14.26902052656351</v>
      </c>
      <c r="T271" s="773">
        <f ca="1">'Dwelling stock'!U83/T$307</f>
        <v>47.659095590270354</v>
      </c>
      <c r="U271" s="773">
        <f ca="1">'Dwelling stock'!V83/U$307</f>
        <v>14.882323213153748</v>
      </c>
      <c r="V271" s="773">
        <f ca="1">'Dwelling stock'!W83/V$307</f>
        <v>3.2323404327292473</v>
      </c>
      <c r="W271" s="773">
        <f ca="1">'Dwelling stock'!X83/W$307</f>
        <v>87.456223286986443</v>
      </c>
      <c r="X271" s="773">
        <f ca="1">'Dwelling stock'!Y83/X$307</f>
        <v>9.6115899187151879</v>
      </c>
      <c r="Y271" s="773">
        <f ca="1">'Dwelling stock'!Z83/Y$307</f>
        <v>3.7122592857253816</v>
      </c>
      <c r="Z271" s="773">
        <f ca="1">'Dwelling stock'!AA83/Z$307</f>
        <v>7.7478319010659433</v>
      </c>
      <c r="AA271" s="773">
        <f ca="1">'Dwelling stock'!AB83/AA$307</f>
        <v>1.4682012375530141E-2</v>
      </c>
      <c r="AB271" s="773">
        <f ca="1">'Dwelling stock'!AC83/AB$307</f>
        <v>31.025975481948425</v>
      </c>
      <c r="AC271" s="773">
        <f ca="1">'Dwelling stock'!AD83/AC$307</f>
        <v>15.851759947112441</v>
      </c>
      <c r="AD271" s="773">
        <f ca="1">'Dwelling stock'!AE83/AD$307</f>
        <v>137.8413340435514</v>
      </c>
      <c r="AE271" s="773">
        <f ca="1">'Dwelling stock'!AF83/AE$307</f>
        <v>2.592182846278539</v>
      </c>
      <c r="AF271" s="773">
        <f ca="1">'Dwelling stock'!AG83/AF$307</f>
        <v>42.732907203997996</v>
      </c>
      <c r="AG271" s="773">
        <f ca="1">'Dwelling stock'!AH83/AG$307</f>
        <v>78.035360142869578</v>
      </c>
      <c r="AH271" s="773">
        <f ca="1">'Dwelling stock'!AI83/AH$307</f>
        <v>7.963297802007351</v>
      </c>
      <c r="AI271" s="773">
        <f ca="1">'Dwelling stock'!AJ83/AI$307</f>
        <v>17.61702851999598</v>
      </c>
      <c r="AJ271" s="773">
        <f ca="1">'Dwelling stock'!AK83/AJ$307</f>
        <v>224.89341049597266</v>
      </c>
      <c r="AK271" s="773">
        <f ca="1">'Dwelling stock'!AL83/AK$307</f>
        <v>0.75765038515715466</v>
      </c>
      <c r="AL271" s="773">
        <f ca="1">'Dwelling stock'!AM83/AL$307</f>
        <v>2.7603410924115863</v>
      </c>
      <c r="AM271" s="773">
        <f ca="1">'Dwelling stock'!AN83/AM$307</f>
        <v>1.0175427349213475</v>
      </c>
      <c r="AN271" s="773">
        <f ca="1">'Dwelling stock'!AO83/AN$307</f>
        <v>1.5617794506290585</v>
      </c>
      <c r="AO271" s="773">
        <f ca="1">'Dwelling stock'!AP83/AO$307</f>
        <v>11.564861642964875</v>
      </c>
      <c r="AP271" s="773">
        <f ca="1">'Dwelling stock'!AQ83/AP$307</f>
        <v>1.5702088742072804</v>
      </c>
      <c r="AQ271" s="575"/>
    </row>
    <row r="272" spans="3:43">
      <c r="C272" t="s">
        <v>857</v>
      </c>
      <c r="E272" t="s">
        <v>862</v>
      </c>
      <c r="F272" s="496">
        <f t="shared" ref="F272:AP272" ca="1" si="173">SUMPRODUCT(F15:F24,F147:F156,F192:F201,F103:F112)/F$307</f>
        <v>59.527829751180064</v>
      </c>
      <c r="G272" s="496">
        <f t="shared" ca="1" si="173"/>
        <v>63.175868332540382</v>
      </c>
      <c r="H272" s="496">
        <f t="shared" ca="1" si="173"/>
        <v>9.8790989172618158</v>
      </c>
      <c r="I272" s="496">
        <f t="shared" ca="1" si="173"/>
        <v>49.647579329848043</v>
      </c>
      <c r="J272" s="496">
        <f t="shared" ca="1" si="173"/>
        <v>0.29593769172425977</v>
      </c>
      <c r="K272" s="496">
        <f t="shared" ca="1" si="173"/>
        <v>55.016148272206451</v>
      </c>
      <c r="L272" s="496">
        <f t="shared" ca="1" si="173"/>
        <v>512.89322786278206</v>
      </c>
      <c r="M272" s="496">
        <f t="shared" ca="1" si="173"/>
        <v>62.308842682677984</v>
      </c>
      <c r="N272" s="496">
        <f t="shared" ca="1" si="173"/>
        <v>5.5116117570353547</v>
      </c>
      <c r="O272" s="496">
        <f t="shared" ca="1" si="173"/>
        <v>23.555418320859555</v>
      </c>
      <c r="P272" s="496">
        <f t="shared" ca="1" si="173"/>
        <v>50.678981912433592</v>
      </c>
      <c r="Q272" s="496">
        <f t="shared" ca="1" si="173"/>
        <v>340.67642930992378</v>
      </c>
      <c r="R272" s="496">
        <f t="shared" ca="1" si="173"/>
        <v>14.179918037178544</v>
      </c>
      <c r="S272" s="496">
        <f t="shared" ca="1" si="173"/>
        <v>16.409373605548041</v>
      </c>
      <c r="T272" s="496">
        <f t="shared" ca="1" si="173"/>
        <v>54.807959928810888</v>
      </c>
      <c r="U272" s="496">
        <f t="shared" ca="1" si="173"/>
        <v>17.114671695126805</v>
      </c>
      <c r="V272" s="496">
        <f t="shared" ca="1" si="173"/>
        <v>3.7171914976386349</v>
      </c>
      <c r="W272" s="496">
        <f t="shared" ca="1" si="173"/>
        <v>100.57465678003439</v>
      </c>
      <c r="X272" s="496">
        <f t="shared" ca="1" si="173"/>
        <v>11.053328406522462</v>
      </c>
      <c r="Y272" s="496">
        <f t="shared" ca="1" si="173"/>
        <v>4.2690981785841879</v>
      </c>
      <c r="Z272" s="496">
        <f t="shared" ca="1" si="173"/>
        <v>8.9100066862258327</v>
      </c>
      <c r="AA272" s="496">
        <f t="shared" ca="1" si="173"/>
        <v>1.6884314231859664E-2</v>
      </c>
      <c r="AB272" s="496">
        <f t="shared" ca="1" si="173"/>
        <v>35.679871804240676</v>
      </c>
      <c r="AC272" s="496">
        <f t="shared" ca="1" si="173"/>
        <v>18.229523939179309</v>
      </c>
      <c r="AD272" s="496">
        <f t="shared" ca="1" si="173"/>
        <v>158.51753415008406</v>
      </c>
      <c r="AE272" s="496">
        <f t="shared" ca="1" si="173"/>
        <v>2.9810102732203196</v>
      </c>
      <c r="AF272" s="496">
        <f t="shared" ca="1" si="173"/>
        <v>49.142843284597703</v>
      </c>
      <c r="AG272" s="496">
        <f t="shared" ca="1" si="173"/>
        <v>89.7406641643</v>
      </c>
      <c r="AH272" s="496">
        <f t="shared" ca="1" si="173"/>
        <v>9.1577924723084525</v>
      </c>
      <c r="AI272" s="496">
        <f t="shared" ca="1" si="173"/>
        <v>20.259582797995375</v>
      </c>
      <c r="AJ272" s="496">
        <f t="shared" ca="1" si="173"/>
        <v>258.6274220703686</v>
      </c>
      <c r="AK272" s="496">
        <f t="shared" ca="1" si="173"/>
        <v>0.87129794293072782</v>
      </c>
      <c r="AL272" s="496">
        <f t="shared" ca="1" si="173"/>
        <v>3.1743922562733231</v>
      </c>
      <c r="AM272" s="496">
        <f t="shared" ca="1" si="173"/>
        <v>1.1701741451595493</v>
      </c>
      <c r="AN272" s="496">
        <f t="shared" ca="1" si="173"/>
        <v>1.7960463682234171</v>
      </c>
      <c r="AO272" s="496">
        <f t="shared" ca="1" si="173"/>
        <v>13.2995908894096</v>
      </c>
      <c r="AP272" s="496">
        <f t="shared" ca="1" si="173"/>
        <v>1.8057402053383727</v>
      </c>
    </row>
    <row r="274" spans="3:43">
      <c r="C274" s="768" t="s">
        <v>858</v>
      </c>
      <c r="D274" s="542" t="s">
        <v>902</v>
      </c>
      <c r="E274" t="s">
        <v>862</v>
      </c>
      <c r="F274" s="773">
        <f ca="1">'Dwelling stock'!G91/F$307</f>
        <v>26.323437687233479</v>
      </c>
      <c r="G274" s="773">
        <f ca="1">'Dwelling stock'!H91/G$307</f>
        <v>29.068486881650472</v>
      </c>
      <c r="H274" s="773">
        <f ca="1">'Dwelling stock'!I91/H$307</f>
        <v>8.3976443617284762</v>
      </c>
      <c r="I274" s="773">
        <f ca="1">'Dwelling stock'!J91/I$307</f>
        <v>21.954352548613251</v>
      </c>
      <c r="J274" s="773">
        <f ca="1">'Dwelling stock'!K91/J$307</f>
        <v>1.4935334717685964</v>
      </c>
      <c r="K274" s="773">
        <f ca="1">'Dwelling stock'!L91/K$307</f>
        <v>28.628132716721836</v>
      </c>
      <c r="L274" s="773">
        <f ca="1">'Dwelling stock'!M91/L$307</f>
        <v>178.91770585151917</v>
      </c>
      <c r="M274" s="773">
        <f ca="1">'Dwelling stock'!N91/M$307</f>
        <v>19.935854642580626</v>
      </c>
      <c r="N274" s="773">
        <f ca="1">'Dwelling stock'!O91/N$307</f>
        <v>3.820625796648554</v>
      </c>
      <c r="O274" s="773">
        <f ca="1">'Dwelling stock'!P91/O$307</f>
        <v>24.362834070331466</v>
      </c>
      <c r="P274" s="773">
        <f ca="1">'Dwelling stock'!Q91/P$307</f>
        <v>46.641153578415519</v>
      </c>
      <c r="Q274" s="773">
        <f ca="1">'Dwelling stock'!R91/Q$307</f>
        <v>140.94975459092791</v>
      </c>
      <c r="R274" s="773">
        <f ca="1">'Dwelling stock'!S91/R$307</f>
        <v>18.124456732786868</v>
      </c>
      <c r="S274" s="773">
        <f ca="1">'Dwelling stock'!T91/S$307</f>
        <v>14.882350751602711</v>
      </c>
      <c r="T274" s="773">
        <f ca="1">'Dwelling stock'!U91/T$307</f>
        <v>40.107767349502566</v>
      </c>
      <c r="U274" s="773">
        <f ca="1">'Dwelling stock'!V91/U$307</f>
        <v>16.342067410450039</v>
      </c>
      <c r="V274" s="773">
        <f ca="1">'Dwelling stock'!W91/V$307</f>
        <v>3.4210256990030063</v>
      </c>
      <c r="W274" s="773">
        <f ca="1">'Dwelling stock'!X91/W$307</f>
        <v>50.462981247846166</v>
      </c>
      <c r="X274" s="773">
        <f ca="1">'Dwelling stock'!Y91/X$307</f>
        <v>5.3676110595033695</v>
      </c>
      <c r="Y274" s="773">
        <f ca="1">'Dwelling stock'!Z91/Y$307</f>
        <v>1.4426293314999197</v>
      </c>
      <c r="Z274" s="773">
        <f ca="1">'Dwelling stock'!AA91/Z$307</f>
        <v>6.0315390144202548</v>
      </c>
      <c r="AA274" s="773">
        <f ca="1">'Dwelling stock'!AB91/AA$307</f>
        <v>1.4491059814950556E-2</v>
      </c>
      <c r="AB274" s="773">
        <f ca="1">'Dwelling stock'!AC91/AB$307</f>
        <v>20.788604246438361</v>
      </c>
      <c r="AC274" s="773">
        <f ca="1">'Dwelling stock'!AD91/AC$307</f>
        <v>13.470892176640575</v>
      </c>
      <c r="AD274" s="773">
        <f ca="1">'Dwelling stock'!AE91/AD$307</f>
        <v>106.4588184933536</v>
      </c>
      <c r="AE274" s="773">
        <f ca="1">'Dwelling stock'!AF91/AE$307</f>
        <v>4.7513270128730172</v>
      </c>
      <c r="AF274" s="773">
        <f ca="1">'Dwelling stock'!AG91/AF$307</f>
        <v>55.130444182038374</v>
      </c>
      <c r="AG274" s="773">
        <f ca="1">'Dwelling stock'!AH91/AG$307</f>
        <v>34.062256153609646</v>
      </c>
      <c r="AH274" s="773">
        <f ca="1">'Dwelling stock'!AI91/AH$307</f>
        <v>4.7743522822415443</v>
      </c>
      <c r="AI274" s="773">
        <f ca="1">'Dwelling stock'!AJ91/AI$307</f>
        <v>10.734670335805427</v>
      </c>
      <c r="AJ274" s="773">
        <f ca="1">'Dwelling stock'!AK91/AJ$307</f>
        <v>62.865188021501218</v>
      </c>
      <c r="AK274" s="773">
        <f ca="1">'Dwelling stock'!AL91/AK$307</f>
        <v>1.113673705772446</v>
      </c>
      <c r="AL274" s="773">
        <f ca="1">'Dwelling stock'!AM91/AL$307</f>
        <v>3.3255256976079632</v>
      </c>
      <c r="AM274" s="773">
        <f ca="1">'Dwelling stock'!AN91/AM$307</f>
        <v>1.2195319719278026</v>
      </c>
      <c r="AN274" s="773">
        <f ca="1">'Dwelling stock'!AO91/AN$307</f>
        <v>1.521058424252594</v>
      </c>
      <c r="AO274" s="773">
        <f ca="1">'Dwelling stock'!AP91/AO$307</f>
        <v>13.932787034431396</v>
      </c>
      <c r="AP274" s="773">
        <f ca="1">'Dwelling stock'!AQ91/AP$307</f>
        <v>1.8917118526197627</v>
      </c>
      <c r="AQ274" s="575"/>
    </row>
    <row r="275" spans="3:43">
      <c r="C275" t="s">
        <v>857</v>
      </c>
      <c r="E275" t="s">
        <v>862</v>
      </c>
      <c r="F275" s="496">
        <f ca="1">SUMPRODUCT(F25:F34,F157:F166,F202:F211,F113:F122)/F$307</f>
        <v>30.271953340318497</v>
      </c>
      <c r="G275" s="496">
        <f t="shared" ref="G275:AP275" ca="1" si="174">SUMPRODUCT(G20:G29,G152:G161,G197:G206,G108:G117)/G$307</f>
        <v>47.036137255961869</v>
      </c>
      <c r="H275" s="496">
        <f t="shared" ca="1" si="174"/>
        <v>9.788589937621385</v>
      </c>
      <c r="I275" s="496">
        <f t="shared" ca="1" si="174"/>
        <v>41.673827241841565</v>
      </c>
      <c r="J275" s="496">
        <f t="shared" ca="1" si="174"/>
        <v>0.53695127949667742</v>
      </c>
      <c r="K275" s="496">
        <f t="shared" ca="1" si="174"/>
        <v>40.563470440147121</v>
      </c>
      <c r="L275" s="496">
        <f t="shared" ca="1" si="174"/>
        <v>325.29436350547735</v>
      </c>
      <c r="M275" s="496">
        <f t="shared" ca="1" si="174"/>
        <v>34.31955387176145</v>
      </c>
      <c r="N275" s="496">
        <f t="shared" ca="1" si="174"/>
        <v>4.8582574705661443</v>
      </c>
      <c r="O275" s="496">
        <f t="shared" ca="1" si="174"/>
        <v>25.967421733637615</v>
      </c>
      <c r="P275" s="496">
        <f t="shared" ca="1" si="174"/>
        <v>52.452531004923003</v>
      </c>
      <c r="Q275" s="496">
        <f t="shared" ca="1" si="174"/>
        <v>236.29432691748849</v>
      </c>
      <c r="R275" s="496">
        <f t="shared" ca="1" si="174"/>
        <v>14.951112933169975</v>
      </c>
      <c r="S275" s="496">
        <f t="shared" ca="1" si="174"/>
        <v>16.672553213025264</v>
      </c>
      <c r="T275" s="496">
        <f t="shared" ca="1" si="174"/>
        <v>48.548651070520755</v>
      </c>
      <c r="U275" s="496">
        <f t="shared" ca="1" si="174"/>
        <v>17.665905416809071</v>
      </c>
      <c r="V275" s="496">
        <f t="shared" ca="1" si="174"/>
        <v>3.8237827173124952</v>
      </c>
      <c r="W275" s="496">
        <f t="shared" ca="1" si="174"/>
        <v>72.657801289209161</v>
      </c>
      <c r="X275" s="496">
        <f t="shared" ca="1" si="174"/>
        <v>8.1170678883407366</v>
      </c>
      <c r="Y275" s="496">
        <f t="shared" ca="1" si="174"/>
        <v>2.8581796651527132</v>
      </c>
      <c r="Z275" s="496">
        <f t="shared" ca="1" si="174"/>
        <v>7.8338731330717701</v>
      </c>
      <c r="AA275" s="496">
        <f t="shared" ca="1" si="174"/>
        <v>1.6700130835630458E-2</v>
      </c>
      <c r="AB275" s="496">
        <f t="shared" ca="1" si="174"/>
        <v>24.335118673745406</v>
      </c>
      <c r="AC275" s="496">
        <f t="shared" ca="1" si="174"/>
        <v>16.481259365965169</v>
      </c>
      <c r="AD275" s="496">
        <f t="shared" ca="1" si="174"/>
        <v>139.67070487260705</v>
      </c>
      <c r="AE275" s="496">
        <f t="shared" ca="1" si="174"/>
        <v>3.4498525985180262</v>
      </c>
      <c r="AF275" s="496">
        <f t="shared" ca="1" si="174"/>
        <v>57.133572353887637</v>
      </c>
      <c r="AG275" s="496">
        <f t="shared" ca="1" si="174"/>
        <v>39.637818853997366</v>
      </c>
      <c r="AH275" s="496">
        <f t="shared" ca="1" si="174"/>
        <v>8.1816474348829278</v>
      </c>
      <c r="AI275" s="496">
        <f t="shared" ca="1" si="174"/>
        <v>12.696880524311894</v>
      </c>
      <c r="AJ275" s="496">
        <f t="shared" ca="1" si="174"/>
        <v>94.441215007286075</v>
      </c>
      <c r="AK275" s="496">
        <f t="shared" ca="1" si="174"/>
        <v>0.89213768059643406</v>
      </c>
      <c r="AL275" s="496">
        <f t="shared" ca="1" si="174"/>
        <v>3.4216303296177251</v>
      </c>
      <c r="AM275" s="496">
        <f t="shared" ca="1" si="174"/>
        <v>1.1749588312697818</v>
      </c>
      <c r="AN275" s="496">
        <f t="shared" ca="1" si="174"/>
        <v>1.786997058710563</v>
      </c>
      <c r="AO275" s="496">
        <f t="shared" ca="1" si="174"/>
        <v>14.331659268644096</v>
      </c>
      <c r="AP275" s="496">
        <f t="shared" ca="1" si="174"/>
        <v>1.8180916257194062</v>
      </c>
    </row>
    <row r="277" spans="3:43">
      <c r="C277" s="768" t="s">
        <v>858</v>
      </c>
      <c r="D277" s="542" t="s">
        <v>644</v>
      </c>
      <c r="E277" t="s">
        <v>862</v>
      </c>
      <c r="F277" s="773">
        <f ca="1">'Dwelling stock'!G101/F$307</f>
        <v>19.139554659152406</v>
      </c>
      <c r="G277" s="773">
        <f ca="1">'Dwelling stock'!H101/G$307</f>
        <v>77.36182157379605</v>
      </c>
      <c r="H277" s="773">
        <f ca="1">'Dwelling stock'!I101/H$307</f>
        <v>4.7922172451447835</v>
      </c>
      <c r="I277" s="773">
        <f ca="1">'Dwelling stock'!J101/I$307</f>
        <v>39.94500049431511</v>
      </c>
      <c r="J277" s="773">
        <f ca="1">'Dwelling stock'!K101/J$307</f>
        <v>1.0423306433583146</v>
      </c>
      <c r="K277" s="773">
        <f ca="1">'Dwelling stock'!L101/K$307</f>
        <v>23.734689431213578</v>
      </c>
      <c r="L277" s="773">
        <f ca="1">'Dwelling stock'!M101/L$307</f>
        <v>357.92040674793617</v>
      </c>
      <c r="M277" s="773">
        <f ca="1">'Dwelling stock'!N101/M$307</f>
        <v>19.800868639235272</v>
      </c>
      <c r="N277" s="773">
        <f ca="1">'Dwelling stock'!O101/N$307</f>
        <v>2.0019833288088198</v>
      </c>
      <c r="O277" s="773">
        <f ca="1">'Dwelling stock'!P101/O$307</f>
        <v>54.846671775428547</v>
      </c>
      <c r="P277" s="773">
        <f ca="1">'Dwelling stock'!Q101/P$307</f>
        <v>34.164657724750377</v>
      </c>
      <c r="Q277" s="773">
        <f ca="1">'Dwelling stock'!R101/Q$307</f>
        <v>210.15493231544266</v>
      </c>
      <c r="R277" s="773">
        <f ca="1">'Dwelling stock'!S101/R$307</f>
        <v>10.078779831148225</v>
      </c>
      <c r="S277" s="773">
        <f ca="1">'Dwelling stock'!T101/S$307</f>
        <v>5.2392292461451166</v>
      </c>
      <c r="T277" s="773">
        <f ca="1">'Dwelling stock'!U101/T$307</f>
        <v>16.865534991261065</v>
      </c>
      <c r="U277" s="773">
        <f ca="1">'Dwelling stock'!V101/U$307</f>
        <v>25.003987578036053</v>
      </c>
      <c r="V277" s="773">
        <f ca="1">'Dwelling stock'!W101/V$307</f>
        <v>3.1199534549169163</v>
      </c>
      <c r="W277" s="773">
        <f ca="1">'Dwelling stock'!X101/W$307</f>
        <v>137.09039861753143</v>
      </c>
      <c r="X277" s="773">
        <f ca="1">'Dwelling stock'!Y101/X$307</f>
        <v>3.9898705214900558</v>
      </c>
      <c r="Y277" s="773">
        <f ca="1">'Dwelling stock'!Z101/Y$307</f>
        <v>3.6811485734186942</v>
      </c>
      <c r="Z277" s="773">
        <f ca="1">'Dwelling stock'!AA101/Z$307</f>
        <v>2.8686642203652708</v>
      </c>
      <c r="AA277" s="773">
        <f ca="1">'Dwelling stock'!AB101/AA$307</f>
        <v>0.21867956158259691</v>
      </c>
      <c r="AB277" s="773">
        <f ca="1">'Dwelling stock'!AC101/AB$307</f>
        <v>156.92336366015141</v>
      </c>
      <c r="AC277" s="773">
        <f ca="1">'Dwelling stock'!AD101/AC$307</f>
        <v>10.94965047855772</v>
      </c>
      <c r="AD277" s="773">
        <f ca="1">'Dwelling stock'!AE101/AD$307</f>
        <v>47.798164185560339</v>
      </c>
      <c r="AE277" s="773">
        <f ca="1">'Dwelling stock'!AF101/AE$307</f>
        <v>3.3548508162368642</v>
      </c>
      <c r="AF277" s="773">
        <f ca="1">'Dwelling stock'!AG101/AF$307</f>
        <v>14.865941226566884</v>
      </c>
      <c r="AG277" s="773">
        <f ca="1">'Dwelling stock'!AH101/AG$307</f>
        <v>25.443419494572357</v>
      </c>
      <c r="AH277" s="773">
        <f ca="1">'Dwelling stock'!AI101/AH$307</f>
        <v>2.2275222841487343</v>
      </c>
      <c r="AI277" s="773">
        <f ca="1">'Dwelling stock'!AJ101/AI$307</f>
        <v>4.4846988538565666</v>
      </c>
      <c r="AJ277" s="773">
        <f ca="1">'Dwelling stock'!AK101/AJ$307</f>
        <v>558.65385529081425</v>
      </c>
      <c r="AK277" s="773">
        <f ca="1">'Dwelling stock'!AL101/AK$307</f>
        <v>0.60068443732013466</v>
      </c>
      <c r="AL277" s="773">
        <f ca="1">'Dwelling stock'!AM101/AL$307</f>
        <v>1.1099155645504797</v>
      </c>
      <c r="AM277" s="773">
        <f ca="1">'Dwelling stock'!AN101/AM$307</f>
        <v>0.65939312600225419</v>
      </c>
      <c r="AN277" s="773">
        <f ca="1">'Dwelling stock'!AO101/AN$307</f>
        <v>0.87149549043833718</v>
      </c>
      <c r="AO277" s="773">
        <f ca="1">'Dwelling stock'!AP101/AO$307</f>
        <v>4.6501571761138036</v>
      </c>
      <c r="AP277" s="773">
        <f ca="1">'Dwelling stock'!AQ101/AP$307</f>
        <v>0.63137098305316408</v>
      </c>
      <c r="AQ277" s="575"/>
    </row>
    <row r="278" spans="3:43">
      <c r="C278" t="s">
        <v>857</v>
      </c>
      <c r="E278" t="s">
        <v>862</v>
      </c>
      <c r="F278" s="496">
        <f t="shared" ref="F278:AP278" ca="1" si="175">SUMPRODUCT(F35:F44,F167:F176,F212:F221,F123:F132)/F$307</f>
        <v>22.010487858025261</v>
      </c>
      <c r="G278" s="496">
        <f t="shared" ca="1" si="175"/>
        <v>88.966094809865467</v>
      </c>
      <c r="H278" s="496">
        <f t="shared" ca="1" si="175"/>
        <v>5.5110498319165</v>
      </c>
      <c r="I278" s="496">
        <f t="shared" ca="1" si="175"/>
        <v>45.936750568462386</v>
      </c>
      <c r="J278" s="496">
        <f t="shared" ca="1" si="175"/>
        <v>1.1986802398620615</v>
      </c>
      <c r="K278" s="496">
        <f t="shared" ca="1" si="175"/>
        <v>27.294892845895617</v>
      </c>
      <c r="L278" s="496">
        <f t="shared" ca="1" si="175"/>
        <v>411.60846776012664</v>
      </c>
      <c r="M278" s="496">
        <f t="shared" ca="1" si="175"/>
        <v>22.770998935120563</v>
      </c>
      <c r="N278" s="496">
        <f t="shared" ca="1" si="175"/>
        <v>2.3022808281301432</v>
      </c>
      <c r="O278" s="496">
        <f t="shared" ca="1" si="175"/>
        <v>63.073672541742816</v>
      </c>
      <c r="P278" s="496">
        <f t="shared" ca="1" si="175"/>
        <v>39.289356383462938</v>
      </c>
      <c r="Q278" s="496">
        <f t="shared" ca="1" si="175"/>
        <v>241.67817216275913</v>
      </c>
      <c r="R278" s="496">
        <f t="shared" ca="1" si="175"/>
        <v>11.590596805820459</v>
      </c>
      <c r="S278" s="496">
        <f t="shared" ca="1" si="175"/>
        <v>6.0251136330668835</v>
      </c>
      <c r="T278" s="496">
        <f t="shared" ca="1" si="175"/>
        <v>19.395365239950227</v>
      </c>
      <c r="U278" s="496">
        <f t="shared" ca="1" si="175"/>
        <v>28.754585714741459</v>
      </c>
      <c r="V278" s="496">
        <f t="shared" ca="1" si="175"/>
        <v>3.587946473154453</v>
      </c>
      <c r="W278" s="496">
        <f t="shared" ca="1" si="175"/>
        <v>157.65395841016112</v>
      </c>
      <c r="X278" s="496">
        <f t="shared" ca="1" si="175"/>
        <v>4.5883510997135648</v>
      </c>
      <c r="Y278" s="496">
        <f t="shared" ca="1" si="175"/>
        <v>4.2333208594314984</v>
      </c>
      <c r="Z278" s="496">
        <f t="shared" ca="1" si="175"/>
        <v>3.2989638534200609</v>
      </c>
      <c r="AA278" s="496">
        <f t="shared" ca="1" si="175"/>
        <v>0.25148149581998647</v>
      </c>
      <c r="AB278" s="496">
        <f t="shared" ca="1" si="175"/>
        <v>180.46186820917416</v>
      </c>
      <c r="AC278" s="496">
        <f t="shared" ca="1" si="175"/>
        <v>12.592098050341376</v>
      </c>
      <c r="AD278" s="496">
        <f t="shared" ca="1" si="175"/>
        <v>54.967888813394389</v>
      </c>
      <c r="AE278" s="496">
        <f t="shared" ca="1" si="175"/>
        <v>3.8580784386723934</v>
      </c>
      <c r="AF278" s="496">
        <f t="shared" ca="1" si="175"/>
        <v>17.095832410551921</v>
      </c>
      <c r="AG278" s="496">
        <f t="shared" ca="1" si="175"/>
        <v>29.259932418758215</v>
      </c>
      <c r="AH278" s="496">
        <f t="shared" ca="1" si="175"/>
        <v>2.5616506267710437</v>
      </c>
      <c r="AI278" s="496">
        <f t="shared" ca="1" si="175"/>
        <v>5.1574036819350511</v>
      </c>
      <c r="AJ278" s="496">
        <f t="shared" ca="1" si="175"/>
        <v>642.45193358443646</v>
      </c>
      <c r="AK278" s="496">
        <f t="shared" ca="1" si="175"/>
        <v>0.69078710291815471</v>
      </c>
      <c r="AL278" s="496">
        <f t="shared" ca="1" si="175"/>
        <v>1.2764028992330516</v>
      </c>
      <c r="AM278" s="496">
        <f t="shared" ca="1" si="175"/>
        <v>0.75830209490259237</v>
      </c>
      <c r="AN278" s="496">
        <f t="shared" ca="1" si="175"/>
        <v>1.0022198140040879</v>
      </c>
      <c r="AO278" s="496">
        <f t="shared" ca="1" si="175"/>
        <v>5.3476807525308745</v>
      </c>
      <c r="AP278" s="496">
        <f t="shared" ca="1" si="175"/>
        <v>0.7260766305111388</v>
      </c>
    </row>
    <row r="281" spans="3:43">
      <c r="C281" t="s">
        <v>879</v>
      </c>
      <c r="D281" s="542" t="s">
        <v>58</v>
      </c>
      <c r="E281" t="s">
        <v>862</v>
      </c>
      <c r="F281" s="496">
        <f t="shared" ref="F281:AP281" ca="1" si="176">SUMPRODUCT(F292:F301,F137:F146,F93:F102,F5:F14)/F$307</f>
        <v>63.506307388672511</v>
      </c>
      <c r="G281" s="496">
        <f t="shared" ca="1" si="176"/>
        <v>57.435992174101131</v>
      </c>
      <c r="H281" s="496">
        <f t="shared" ca="1" si="176"/>
        <v>11.258465050207151</v>
      </c>
      <c r="I281" s="496">
        <f t="shared" ca="1" si="176"/>
        <v>64.626024427558278</v>
      </c>
      <c r="J281" s="496">
        <f t="shared" ca="1" si="176"/>
        <v>0.22450073768408524</v>
      </c>
      <c r="K281" s="496">
        <f t="shared" ca="1" si="176"/>
        <v>90.629712508736461</v>
      </c>
      <c r="L281" s="496">
        <f t="shared" ca="1" si="176"/>
        <v>875.35722552503364</v>
      </c>
      <c r="M281" s="496">
        <f t="shared" ca="1" si="176"/>
        <v>56.430423440023553</v>
      </c>
      <c r="N281" s="496">
        <f t="shared" ca="1" si="176"/>
        <v>16.859045515918279</v>
      </c>
      <c r="O281" s="496">
        <f t="shared" ca="1" si="176"/>
        <v>151.12845497859311</v>
      </c>
      <c r="P281" s="496">
        <f t="shared" ca="1" si="176"/>
        <v>56.876450223874578</v>
      </c>
      <c r="Q281" s="496">
        <f t="shared" ca="1" si="176"/>
        <v>400.51018413245453</v>
      </c>
      <c r="R281" s="496">
        <f t="shared" ca="1" si="176"/>
        <v>24.249085330680764</v>
      </c>
      <c r="S281" s="496">
        <f t="shared" ca="1" si="176"/>
        <v>13.337534623607826</v>
      </c>
      <c r="T281" s="496">
        <f t="shared" ca="1" si="176"/>
        <v>46.561347340149702</v>
      </c>
      <c r="U281" s="496">
        <f t="shared" ca="1" si="176"/>
        <v>7.4953024602192961</v>
      </c>
      <c r="V281" s="496">
        <f t="shared" ca="1" si="176"/>
        <v>5.3822896440751844</v>
      </c>
      <c r="W281" s="496">
        <f t="shared" ca="1" si="176"/>
        <v>433.65575210022826</v>
      </c>
      <c r="X281" s="496">
        <f t="shared" ca="1" si="176"/>
        <v>21.124469187356745</v>
      </c>
      <c r="Y281" s="496">
        <f t="shared" ca="1" si="176"/>
        <v>4.2522363156192569</v>
      </c>
      <c r="Z281" s="496">
        <f t="shared" ca="1" si="176"/>
        <v>21.090306026324427</v>
      </c>
      <c r="AA281" s="496">
        <f t="shared" ca="1" si="176"/>
        <v>1.5346981363287628E-2</v>
      </c>
      <c r="AB281" s="496">
        <f t="shared" ca="1" si="176"/>
        <v>93.831358796390788</v>
      </c>
      <c r="AC281" s="496">
        <f t="shared" ca="1" si="176"/>
        <v>32.763126997194078</v>
      </c>
      <c r="AD281" s="496">
        <f t="shared" ca="1" si="176"/>
        <v>265.44774980476586</v>
      </c>
      <c r="AE281" s="496">
        <f t="shared" ca="1" si="176"/>
        <v>5.385249802689331</v>
      </c>
      <c r="AF281" s="496">
        <f t="shared" ca="1" si="176"/>
        <v>50.531825718424649</v>
      </c>
      <c r="AG281" s="496">
        <f t="shared" ca="1" si="176"/>
        <v>118.86669907257131</v>
      </c>
      <c r="AH281" s="496">
        <f t="shared" ca="1" si="176"/>
        <v>13.644850435393977</v>
      </c>
      <c r="AI281" s="496">
        <f t="shared" ca="1" si="176"/>
        <v>21.292879932713621</v>
      </c>
      <c r="AJ281" s="496">
        <f t="shared" ca="1" si="176"/>
        <v>198.41788535975462</v>
      </c>
      <c r="AK281" s="496">
        <f t="shared" ca="1" si="176"/>
        <v>2.153714713948168</v>
      </c>
      <c r="AL281" s="496">
        <f t="shared" ca="1" si="176"/>
        <v>4.4963177029120667</v>
      </c>
      <c r="AM281" s="496">
        <f t="shared" ca="1" si="176"/>
        <v>2.592409799161056</v>
      </c>
      <c r="AN281" s="496">
        <f t="shared" ca="1" si="176"/>
        <v>2.5032712441403455</v>
      </c>
      <c r="AO281" s="496">
        <f t="shared" ca="1" si="176"/>
        <v>18.837995159345422</v>
      </c>
      <c r="AP281" s="496">
        <f t="shared" ca="1" si="176"/>
        <v>2.5577121529570395</v>
      </c>
    </row>
    <row r="282" spans="3:43">
      <c r="D282" s="542" t="s">
        <v>65</v>
      </c>
      <c r="E282" t="s">
        <v>862</v>
      </c>
      <c r="F282" s="496">
        <f t="shared" ref="F282:AP282" ca="1" si="177">SUMPRODUCT(F15:F24,F147:F156,F292:F301,F103:F112)/F$308</f>
        <v>23.357594149538489</v>
      </c>
      <c r="G282" s="496">
        <f t="shared" ca="1" si="177"/>
        <v>37.104609453183166</v>
      </c>
      <c r="H282" s="496">
        <f t="shared" ca="1" si="177"/>
        <v>3.8807276890360738</v>
      </c>
      <c r="I282" s="496">
        <f t="shared" ca="1" si="177"/>
        <v>17.551503380971479</v>
      </c>
      <c r="J282" s="496">
        <f t="shared" ca="1" si="177"/>
        <v>3.7293300221969361E-2</v>
      </c>
      <c r="K282" s="496">
        <f t="shared" ca="1" si="177"/>
        <v>23.987863055728866</v>
      </c>
      <c r="L282" s="496">
        <f t="shared" ca="1" si="177"/>
        <v>199.20076009703729</v>
      </c>
      <c r="M282" s="496">
        <f t="shared" ca="1" si="177"/>
        <v>32.69787332013518</v>
      </c>
      <c r="N282" s="496">
        <f t="shared" ca="1" si="177"/>
        <v>1.7923282388613602</v>
      </c>
      <c r="O282" s="496">
        <f t="shared" ca="1" si="177"/>
        <v>7.1744867606214235</v>
      </c>
      <c r="P282" s="496">
        <f t="shared" ca="1" si="177"/>
        <v>16.2113990315788</v>
      </c>
      <c r="Q282" s="496">
        <f t="shared" ca="1" si="177"/>
        <v>122.39726719460678</v>
      </c>
      <c r="R282" s="496">
        <f t="shared" ca="1" si="177"/>
        <v>4.0648688565171902</v>
      </c>
      <c r="S282" s="496">
        <f t="shared" ca="1" si="177"/>
        <v>7.0152636155705634</v>
      </c>
      <c r="T282" s="496">
        <f t="shared" ca="1" si="177"/>
        <v>24.371160823873897</v>
      </c>
      <c r="U282" s="496">
        <f t="shared" ca="1" si="177"/>
        <v>7.5691171353800364</v>
      </c>
      <c r="V282" s="496">
        <f t="shared" ca="1" si="177"/>
        <v>1.3927022416085595</v>
      </c>
      <c r="W282" s="496">
        <f t="shared" ca="1" si="177"/>
        <v>31.098967834246974</v>
      </c>
      <c r="X282" s="496">
        <f t="shared" ca="1" si="177"/>
        <v>4.0394354203740175</v>
      </c>
      <c r="Y282" s="496">
        <f t="shared" ca="1" si="177"/>
        <v>1.7779532601083772</v>
      </c>
      <c r="Z282" s="496">
        <f t="shared" ca="1" si="177"/>
        <v>3.1237326865461692</v>
      </c>
      <c r="AA282" s="496">
        <f t="shared" ca="1" si="177"/>
        <v>1.4990526385407024E-3</v>
      </c>
      <c r="AB282" s="496">
        <f t="shared" ca="1" si="177"/>
        <v>16.678971680823377</v>
      </c>
      <c r="AC282" s="496">
        <f t="shared" ca="1" si="177"/>
        <v>5.8517496663587849</v>
      </c>
      <c r="AD282" s="496">
        <f t="shared" ca="1" si="177"/>
        <v>56.586558844692249</v>
      </c>
      <c r="AE282" s="496">
        <f t="shared" ca="1" si="177"/>
        <v>1.3675465413720973</v>
      </c>
      <c r="AF282" s="496">
        <f t="shared" ca="1" si="177"/>
        <v>20.978557759463044</v>
      </c>
      <c r="AG282" s="496">
        <f t="shared" ca="1" si="177"/>
        <v>35.556030524175576</v>
      </c>
      <c r="AH282" s="496">
        <f t="shared" ca="1" si="177"/>
        <v>3.0626471035410536</v>
      </c>
      <c r="AI282" s="496">
        <f t="shared" ca="1" si="177"/>
        <v>8.7236283009081337</v>
      </c>
      <c r="AJ282" s="496">
        <f t="shared" ca="1" si="177"/>
        <v>127.46101918133269</v>
      </c>
      <c r="AK282" s="496">
        <f t="shared" ca="1" si="177"/>
        <v>0.36102672522143187</v>
      </c>
      <c r="AL282" s="496">
        <f t="shared" ca="1" si="177"/>
        <v>1.5844482649478042</v>
      </c>
      <c r="AM282" s="496">
        <f t="shared" ca="1" si="177"/>
        <v>0.48199049679212769</v>
      </c>
      <c r="AN282" s="496">
        <f t="shared" ca="1" si="177"/>
        <v>0.78665170135742057</v>
      </c>
      <c r="AO282" s="496">
        <f t="shared" ca="1" si="177"/>
        <v>6.6382828611040692</v>
      </c>
      <c r="AP282" s="496">
        <f t="shared" ca="1" si="177"/>
        <v>0.90130699179998475</v>
      </c>
    </row>
    <row r="283" spans="3:43">
      <c r="D283" s="542" t="s">
        <v>902</v>
      </c>
      <c r="E283" t="s">
        <v>862</v>
      </c>
      <c r="F283" s="496">
        <f t="shared" ref="F283:AP283" ca="1" si="178">SUMPRODUCT(F25:F34,F157:F166,F292:F301,F113:F122)/F$309</f>
        <v>20.552959365053507</v>
      </c>
      <c r="G283" s="496">
        <f t="shared" ca="1" si="178"/>
        <v>23.177053103119803</v>
      </c>
      <c r="H283" s="496">
        <f t="shared" ca="1" si="178"/>
        <v>5.0570666119684411</v>
      </c>
      <c r="I283" s="496">
        <f t="shared" ca="1" si="178"/>
        <v>15.444027902669657</v>
      </c>
      <c r="J283" s="496">
        <f t="shared" ca="1" si="178"/>
        <v>0.24715115395304438</v>
      </c>
      <c r="K283" s="496">
        <f t="shared" ca="1" si="178"/>
        <v>18.168247136791933</v>
      </c>
      <c r="L283" s="496">
        <f t="shared" ca="1" si="178"/>
        <v>166.58118592954924</v>
      </c>
      <c r="M283" s="496">
        <f t="shared" ca="1" si="178"/>
        <v>20.06663551817044</v>
      </c>
      <c r="N283" s="496">
        <f t="shared" ca="1" si="178"/>
        <v>2.0643323386919201</v>
      </c>
      <c r="O283" s="496">
        <f t="shared" ca="1" si="178"/>
        <v>12.608038333942062</v>
      </c>
      <c r="P283" s="496">
        <f t="shared" ca="1" si="178"/>
        <v>24.443882343305244</v>
      </c>
      <c r="Q283" s="496">
        <f t="shared" ca="1" si="178"/>
        <v>151.95414839624382</v>
      </c>
      <c r="R283" s="496">
        <f t="shared" ca="1" si="178"/>
        <v>6.4605902552380385</v>
      </c>
      <c r="S283" s="496">
        <f t="shared" ca="1" si="178"/>
        <v>9.7834987740696882</v>
      </c>
      <c r="T283" s="496">
        <f t="shared" ca="1" si="178"/>
        <v>30.04694903939766</v>
      </c>
      <c r="U283" s="496">
        <f t="shared" ca="1" si="178"/>
        <v>15.986497975406827</v>
      </c>
      <c r="V283" s="496">
        <f t="shared" ca="1" si="178"/>
        <v>2.0999452093445705</v>
      </c>
      <c r="W283" s="496">
        <f t="shared" ca="1" si="178"/>
        <v>22.620166356987134</v>
      </c>
      <c r="X283" s="496">
        <f t="shared" ca="1" si="178"/>
        <v>3.5487892205063591</v>
      </c>
      <c r="Y283" s="496">
        <f t="shared" ca="1" si="178"/>
        <v>1.4932281817065076</v>
      </c>
      <c r="Z283" s="496">
        <f t="shared" ca="1" si="178"/>
        <v>3.6236135341950031</v>
      </c>
      <c r="AA283" s="496">
        <f t="shared" ca="1" si="178"/>
        <v>1.8531580127410755E-3</v>
      </c>
      <c r="AB283" s="496">
        <f t="shared" ca="1" si="178"/>
        <v>17.830737023685213</v>
      </c>
      <c r="AC283" s="496">
        <f t="shared" ca="1" si="178"/>
        <v>7.3373497500462772</v>
      </c>
      <c r="AD283" s="496">
        <f t="shared" ca="1" si="178"/>
        <v>74.473788223190752</v>
      </c>
      <c r="AE283" s="496">
        <f t="shared" ca="1" si="178"/>
        <v>2.9204253290947766</v>
      </c>
      <c r="AF283" s="496">
        <f t="shared" ca="1" si="178"/>
        <v>30.848589066021304</v>
      </c>
      <c r="AG283" s="496">
        <f t="shared" ca="1" si="178"/>
        <v>22.179624852760156</v>
      </c>
      <c r="AH283" s="496">
        <f t="shared" ca="1" si="178"/>
        <v>2.7057108812177182</v>
      </c>
      <c r="AI283" s="496">
        <f t="shared" ca="1" si="178"/>
        <v>7.1078035635602088</v>
      </c>
      <c r="AJ283" s="496">
        <f t="shared" ca="1" si="178"/>
        <v>65.034498418912051</v>
      </c>
      <c r="AK283" s="496">
        <f t="shared" ca="1" si="178"/>
        <v>0.5738059025216723</v>
      </c>
      <c r="AL283" s="496">
        <f t="shared" ca="1" si="178"/>
        <v>2.1145908937506417</v>
      </c>
      <c r="AM283" s="496">
        <f t="shared" ca="1" si="178"/>
        <v>0.64326033101784896</v>
      </c>
      <c r="AN283" s="496">
        <f t="shared" ca="1" si="178"/>
        <v>1.0251041487455941</v>
      </c>
      <c r="AO283" s="496">
        <f t="shared" ca="1" si="178"/>
        <v>8.859394654134725</v>
      </c>
      <c r="AP283" s="496">
        <f t="shared" ca="1" si="178"/>
        <v>1.2028764835668631</v>
      </c>
    </row>
    <row r="284" spans="3:43">
      <c r="D284" s="542" t="s">
        <v>644</v>
      </c>
      <c r="E284" t="s">
        <v>862</v>
      </c>
      <c r="F284" s="496">
        <f t="shared" ref="F284:AP284" ca="1" si="179">SUMPRODUCT(F35:F44,F167:F176,F292:F301,F123:F132)/F$310</f>
        <v>20.348793092128012</v>
      </c>
      <c r="G284" s="496">
        <f t="shared" ca="1" si="179"/>
        <v>100.57776043760521</v>
      </c>
      <c r="H284" s="496">
        <f t="shared" ca="1" si="179"/>
        <v>4.8574969027198476</v>
      </c>
      <c r="I284" s="496">
        <f t="shared" ca="1" si="179"/>
        <v>37.015995179546998</v>
      </c>
      <c r="J284" s="496">
        <f t="shared" ca="1" si="179"/>
        <v>0.29049646383831201</v>
      </c>
      <c r="K284" s="496">
        <f t="shared" ca="1" si="179"/>
        <v>24.987694347986107</v>
      </c>
      <c r="L284" s="496">
        <f t="shared" ca="1" si="179"/>
        <v>382.40839811870404</v>
      </c>
      <c r="M284" s="496">
        <f t="shared" ca="1" si="179"/>
        <v>28.091787542635565</v>
      </c>
      <c r="N284" s="496">
        <f t="shared" ca="1" si="179"/>
        <v>1.7892057880763128</v>
      </c>
      <c r="O284" s="496">
        <f t="shared" ca="1" si="179"/>
        <v>43.856112617727106</v>
      </c>
      <c r="P284" s="496">
        <f t="shared" ca="1" si="179"/>
        <v>30.728329725614149</v>
      </c>
      <c r="Q284" s="496">
        <f t="shared" ca="1" si="179"/>
        <v>243.93689214299604</v>
      </c>
      <c r="R284" s="496">
        <f t="shared" ca="1" si="179"/>
        <v>5.951310993095249</v>
      </c>
      <c r="S284" s="496">
        <f t="shared" ca="1" si="179"/>
        <v>6.0118858551965957</v>
      </c>
      <c r="T284" s="496">
        <f t="shared" ca="1" si="179"/>
        <v>20.098081264056475</v>
      </c>
      <c r="U284" s="496">
        <f t="shared" ca="1" si="179"/>
        <v>35.431539786139567</v>
      </c>
      <c r="V284" s="496">
        <f t="shared" ca="1" si="179"/>
        <v>3.2624729771080814</v>
      </c>
      <c r="W284" s="496">
        <f t="shared" ca="1" si="179"/>
        <v>95.534596601456073</v>
      </c>
      <c r="X284" s="496">
        <f t="shared" ca="1" si="179"/>
        <v>3.8372272331724639</v>
      </c>
      <c r="Y284" s="496">
        <f t="shared" ca="1" si="179"/>
        <v>4.2327649975132147</v>
      </c>
      <c r="Z284" s="496">
        <f t="shared" ca="1" si="179"/>
        <v>2.6946948743211592</v>
      </c>
      <c r="AA284" s="496">
        <f t="shared" ca="1" si="179"/>
        <v>4.2833802766378264E-2</v>
      </c>
      <c r="AB284" s="496">
        <f t="shared" ca="1" si="179"/>
        <v>182.24108516485862</v>
      </c>
      <c r="AC284" s="496">
        <f t="shared" ca="1" si="179"/>
        <v>10.358983767332973</v>
      </c>
      <c r="AD284" s="496">
        <f t="shared" ca="1" si="179"/>
        <v>49.181132284164725</v>
      </c>
      <c r="AE284" s="496">
        <f t="shared" ca="1" si="179"/>
        <v>3.4615339422303411</v>
      </c>
      <c r="AF284" s="496">
        <f t="shared" ca="1" si="179"/>
        <v>14.88424258004612</v>
      </c>
      <c r="AG284" s="496">
        <f t="shared" ca="1" si="179"/>
        <v>27.698281309784864</v>
      </c>
      <c r="AH284" s="496">
        <f t="shared" ca="1" si="179"/>
        <v>1.9184553958319348</v>
      </c>
      <c r="AI284" s="496">
        <f t="shared" ca="1" si="179"/>
        <v>4.7113579797065093</v>
      </c>
      <c r="AJ284" s="496">
        <f t="shared" ca="1" si="179"/>
        <v>668.2977227146572</v>
      </c>
      <c r="AK284" s="496">
        <f t="shared" ca="1" si="179"/>
        <v>0.52857358858371795</v>
      </c>
      <c r="AL284" s="496">
        <f t="shared" ca="1" si="179"/>
        <v>1.3237999728903671</v>
      </c>
      <c r="AM284" s="496">
        <f t="shared" ca="1" si="179"/>
        <v>0.63623995404208966</v>
      </c>
      <c r="AN284" s="496">
        <f t="shared" ca="1" si="179"/>
        <v>0.98464991853424699</v>
      </c>
      <c r="AO284" s="496">
        <f t="shared" ca="1" si="179"/>
        <v>5.5462578778851128</v>
      </c>
      <c r="AP284" s="496">
        <f t="shared" ca="1" si="179"/>
        <v>0.75303826430080634</v>
      </c>
    </row>
    <row r="286" spans="3:43">
      <c r="C286" t="s">
        <v>874</v>
      </c>
      <c r="D286" s="542" t="s">
        <v>58</v>
      </c>
      <c r="F286" s="693">
        <f t="shared" ref="F286:AP286" ca="1" si="180">F268/F281</f>
        <v>0.4121915096694449</v>
      </c>
      <c r="G286" s="693">
        <f t="shared" ca="1" si="180"/>
        <v>0.33860684124937984</v>
      </c>
      <c r="H286" s="693">
        <f t="shared" ca="1" si="180"/>
        <v>0.50569514205302146</v>
      </c>
      <c r="I286" s="693">
        <f t="shared" ca="1" si="180"/>
        <v>0.45749974560246642</v>
      </c>
      <c r="J286" s="693">
        <f t="shared" ca="1" si="180"/>
        <v>1.5619195943166495</v>
      </c>
      <c r="K286" s="693">
        <f t="shared" ca="1" si="180"/>
        <v>0.41559365312151314</v>
      </c>
      <c r="L286" s="693">
        <f t="shared" ca="1" si="180"/>
        <v>0.38329960839742838</v>
      </c>
      <c r="M286" s="693">
        <f t="shared" ca="1" si="180"/>
        <v>0.28398119688535989</v>
      </c>
      <c r="N286" s="693">
        <f t="shared" ca="1" si="180"/>
        <v>0.50671976916480277</v>
      </c>
      <c r="O286" s="693">
        <f t="shared" ca="1" si="180"/>
        <v>0.75304213997712233</v>
      </c>
      <c r="P286" s="693">
        <f t="shared" ca="1" si="180"/>
        <v>0.40064843460243588</v>
      </c>
      <c r="Q286" s="693">
        <f t="shared" ca="1" si="180"/>
        <v>0.3659729980940748</v>
      </c>
      <c r="R286" s="693">
        <f t="shared" ca="1" si="180"/>
        <v>0.96347619223546299</v>
      </c>
      <c r="S286" s="693">
        <f t="shared" ca="1" si="180"/>
        <v>0.53273426762187781</v>
      </c>
      <c r="T286" s="693">
        <f t="shared" ca="1" si="180"/>
        <v>0.35125535347352388</v>
      </c>
      <c r="U286" s="693">
        <f t="shared" ca="1" si="180"/>
        <v>0.20686708319273542</v>
      </c>
      <c r="V286" s="693">
        <f t="shared" ca="1" si="180"/>
        <v>0.43923509172153402</v>
      </c>
      <c r="W286" s="693">
        <f t="shared" ca="1" si="180"/>
        <v>0.68698715334405791</v>
      </c>
      <c r="X286" s="693">
        <f t="shared" ca="1" si="180"/>
        <v>0.43035946030208644</v>
      </c>
      <c r="Y286" s="693">
        <f t="shared" ca="1" si="180"/>
        <v>0.47712629140679874</v>
      </c>
      <c r="Z286" s="693">
        <f t="shared" ca="1" si="180"/>
        <v>0.44319019954015615</v>
      </c>
      <c r="AA286" s="693">
        <f t="shared" ca="1" si="180"/>
        <v>2.4514376043273156</v>
      </c>
      <c r="AB286" s="693">
        <f t="shared" ca="1" si="180"/>
        <v>0.36185881597854519</v>
      </c>
      <c r="AC286" s="693">
        <f t="shared" ca="1" si="180"/>
        <v>0.48954141587263594</v>
      </c>
      <c r="AD286" s="693">
        <f t="shared" ca="1" si="180"/>
        <v>0.35949216499716874</v>
      </c>
      <c r="AE286" s="693">
        <f t="shared" ca="1" si="180"/>
        <v>0.44316264299105845</v>
      </c>
      <c r="AF286" s="693">
        <f t="shared" ca="1" si="180"/>
        <v>0.31600643211356305</v>
      </c>
      <c r="AG286" s="693">
        <f ca="1">AG268/AG281</f>
        <v>0.42847203517836352</v>
      </c>
      <c r="AH286" s="693">
        <f t="shared" ca="1" si="180"/>
        <v>0.49559716449127117</v>
      </c>
      <c r="AI286" s="693">
        <f t="shared" ca="1" si="180"/>
        <v>0.41255373163394743</v>
      </c>
      <c r="AJ286" s="693">
        <f t="shared" ca="1" si="180"/>
        <v>0.24076292493588047</v>
      </c>
      <c r="AK286" s="693">
        <f t="shared" ca="1" si="180"/>
        <v>0.53169177635697518</v>
      </c>
      <c r="AL286" s="693">
        <f t="shared" ca="1" si="180"/>
        <v>0.5167282726543333</v>
      </c>
      <c r="AM286" s="693">
        <f t="shared" ca="1" si="180"/>
        <v>0.56219226938324562</v>
      </c>
      <c r="AN286" s="693">
        <f t="shared" ca="1" si="180"/>
        <v>0.53743422755596126</v>
      </c>
      <c r="AO286" s="693">
        <f t="shared" ca="1" si="180"/>
        <v>0.51672827265433319</v>
      </c>
      <c r="AP286" s="693">
        <f t="shared" ca="1" si="180"/>
        <v>0.51672827265433319</v>
      </c>
    </row>
    <row r="287" spans="3:43">
      <c r="D287" s="542" t="s">
        <v>65</v>
      </c>
      <c r="F287" s="693">
        <f t="shared" ref="F287:AP287" ca="1" si="181">F271/F282</f>
        <v>2.2161242243966384</v>
      </c>
      <c r="G287" s="693">
        <f t="shared" ca="1" si="181"/>
        <v>1.4805583050209692</v>
      </c>
      <c r="H287" s="693">
        <f t="shared" ca="1" si="181"/>
        <v>2.2136365872537564</v>
      </c>
      <c r="I287" s="693">
        <f t="shared" ca="1" si="181"/>
        <v>2.4597213797489399</v>
      </c>
      <c r="J287" s="693">
        <f t="shared" ca="1" si="181"/>
        <v>6.9003580189154281</v>
      </c>
      <c r="K287" s="693">
        <f t="shared" ca="1" si="181"/>
        <v>1.9943472589121729</v>
      </c>
      <c r="L287" s="693">
        <f t="shared" ca="1" si="181"/>
        <v>2.2389177178228103</v>
      </c>
      <c r="M287" s="693">
        <f t="shared" ca="1" si="181"/>
        <v>1.6570375021729236</v>
      </c>
      <c r="N287" s="693">
        <f t="shared" ca="1" si="181"/>
        <v>2.6740112507113389</v>
      </c>
      <c r="O287" s="693">
        <f t="shared" ca="1" si="181"/>
        <v>2.8549739007598651</v>
      </c>
      <c r="P287" s="693">
        <f t="shared" ca="1" si="181"/>
        <v>2.7183761153502077</v>
      </c>
      <c r="Q287" s="693">
        <f t="shared" ca="1" si="181"/>
        <v>2.4203185259191025</v>
      </c>
      <c r="R287" s="693">
        <f t="shared" ca="1" si="181"/>
        <v>3.0333976189221477</v>
      </c>
      <c r="S287" s="693">
        <f t="shared" ca="1" si="181"/>
        <v>2.0339963411913762</v>
      </c>
      <c r="T287" s="693">
        <f t="shared" ca="1" si="181"/>
        <v>1.9555529559996865</v>
      </c>
      <c r="U287" s="693">
        <f t="shared" ca="1" si="181"/>
        <v>1.9661901047335983</v>
      </c>
      <c r="V287" s="693">
        <f t="shared" ca="1" si="181"/>
        <v>2.3209127810377623</v>
      </c>
      <c r="W287" s="693">
        <f t="shared" ca="1" si="181"/>
        <v>2.8121905444938089</v>
      </c>
      <c r="X287" s="693">
        <f t="shared" ca="1" si="181"/>
        <v>2.3794389360048824</v>
      </c>
      <c r="Y287" s="693">
        <f t="shared" ca="1" si="181"/>
        <v>2.0879397501704271</v>
      </c>
      <c r="Z287" s="693">
        <f t="shared" ca="1" si="181"/>
        <v>2.4803120748569949</v>
      </c>
      <c r="AA287" s="693">
        <f t="shared" ca="1" si="181"/>
        <v>9.7941940116411033</v>
      </c>
      <c r="AB287" s="693">
        <f t="shared" ca="1" si="181"/>
        <v>1.8601851526386661</v>
      </c>
      <c r="AC287" s="693">
        <f t="shared" ca="1" si="181"/>
        <v>2.7088923571428341</v>
      </c>
      <c r="AD287" s="693">
        <f t="shared" ca="1" si="181"/>
        <v>2.4359377360597487</v>
      </c>
      <c r="AE287" s="693">
        <f t="shared" ca="1" si="181"/>
        <v>1.895498813281872</v>
      </c>
      <c r="AF287" s="693">
        <f t="shared" ca="1" si="181"/>
        <v>2.036980220183247</v>
      </c>
      <c r="AG287" s="693">
        <f t="shared" ca="1" si="181"/>
        <v>2.194715185931992</v>
      </c>
      <c r="AH287" s="693">
        <f t="shared" ca="1" si="181"/>
        <v>2.6001356123596908</v>
      </c>
      <c r="AI287" s="693">
        <f t="shared" ca="1" si="181"/>
        <v>2.0194611590869869</v>
      </c>
      <c r="AJ287" s="693">
        <f t="shared" ca="1" si="181"/>
        <v>1.7644093224770749</v>
      </c>
      <c r="AK287" s="693">
        <f t="shared" ca="1" si="181"/>
        <v>2.0985991679492924</v>
      </c>
      <c r="AL287" s="693">
        <f t="shared" ca="1" si="181"/>
        <v>1.7421465588228082</v>
      </c>
      <c r="AM287" s="693">
        <f t="shared" ca="1" si="181"/>
        <v>2.111126135667758</v>
      </c>
      <c r="AN287" s="693">
        <f t="shared" ca="1" si="181"/>
        <v>1.9853506296803309</v>
      </c>
      <c r="AO287" s="693">
        <f t="shared" ca="1" si="181"/>
        <v>1.7421465588228073</v>
      </c>
      <c r="AP287" s="693">
        <f t="shared" ca="1" si="181"/>
        <v>1.7421465588228082</v>
      </c>
    </row>
    <row r="288" spans="3:43">
      <c r="D288" s="542" t="s">
        <v>902</v>
      </c>
      <c r="F288" s="693">
        <f t="shared" ref="F288:AP288" ca="1" si="182">F274/F283</f>
        <v>1.2807614329249148</v>
      </c>
      <c r="G288" s="693">
        <f t="shared" ca="1" si="182"/>
        <v>1.2541925305308825</v>
      </c>
      <c r="H288" s="693">
        <f t="shared" ca="1" si="182"/>
        <v>1.6605761810322941</v>
      </c>
      <c r="I288" s="693">
        <f t="shared" ca="1" si="182"/>
        <v>1.4215431807668657</v>
      </c>
      <c r="J288" s="693">
        <f t="shared" ca="1" si="182"/>
        <v>6.0429961498474292</v>
      </c>
      <c r="K288" s="693">
        <f t="shared" ca="1" si="182"/>
        <v>1.5757234311695334</v>
      </c>
      <c r="L288" s="693">
        <f t="shared" ca="1" si="182"/>
        <v>1.0740571022659624</v>
      </c>
      <c r="M288" s="693">
        <f t="shared" ca="1" si="182"/>
        <v>0.99348267050191896</v>
      </c>
      <c r="N288" s="693">
        <f t="shared" ca="1" si="182"/>
        <v>1.8507803830993232</v>
      </c>
      <c r="O288" s="693">
        <f t="shared" ca="1" si="182"/>
        <v>1.932325507350684</v>
      </c>
      <c r="P288" s="693">
        <f t="shared" ca="1" si="182"/>
        <v>1.9080910684873151</v>
      </c>
      <c r="Q288" s="693">
        <f t="shared" ca="1" si="182"/>
        <v>0.92758082670688091</v>
      </c>
      <c r="R288" s="693">
        <f t="shared" ca="1" si="182"/>
        <v>2.8053871266781147</v>
      </c>
      <c r="S288" s="693">
        <f t="shared" ca="1" si="182"/>
        <v>1.5211685609903776</v>
      </c>
      <c r="T288" s="693">
        <f t="shared" ca="1" si="182"/>
        <v>1.3348366017765441</v>
      </c>
      <c r="U288" s="693">
        <f t="shared" ca="1" si="182"/>
        <v>1.0222418590732134</v>
      </c>
      <c r="V288" s="693">
        <f t="shared" ca="1" si="182"/>
        <v>1.6291023612329238</v>
      </c>
      <c r="W288" s="693">
        <f t="shared" ca="1" si="182"/>
        <v>2.2308846208931028</v>
      </c>
      <c r="X288" s="693">
        <f t="shared" ca="1" si="182"/>
        <v>1.5125189821044067</v>
      </c>
      <c r="Y288" s="693">
        <f t="shared" ca="1" si="182"/>
        <v>0.96611445536156304</v>
      </c>
      <c r="Z288" s="693">
        <f t="shared" ca="1" si="182"/>
        <v>1.6645094620335057</v>
      </c>
      <c r="AA288" s="693">
        <f t="shared" ca="1" si="182"/>
        <v>7.8196568858779001</v>
      </c>
      <c r="AB288" s="693">
        <f t="shared" ca="1" si="182"/>
        <v>1.1658858643265337</v>
      </c>
      <c r="AC288" s="693">
        <f t="shared" ca="1" si="182"/>
        <v>1.8359343135517852</v>
      </c>
      <c r="AD288" s="693">
        <f t="shared" ca="1" si="182"/>
        <v>1.4294803719975517</v>
      </c>
      <c r="AE288" s="693">
        <f t="shared" ca="1" si="182"/>
        <v>1.6269298055792962</v>
      </c>
      <c r="AF288" s="693">
        <f t="shared" ca="1" si="182"/>
        <v>1.7871301687104622</v>
      </c>
      <c r="AG288" s="693">
        <f t="shared" ca="1" si="182"/>
        <v>1.5357453689921516</v>
      </c>
      <c r="AH288" s="693">
        <f t="shared" ca="1" si="182"/>
        <v>1.7645463583650978</v>
      </c>
      <c r="AI288" s="693">
        <f t="shared" ca="1" si="182"/>
        <v>1.5102654765023595</v>
      </c>
      <c r="AJ288" s="693">
        <f t="shared" ca="1" si="182"/>
        <v>0.96664369757359436</v>
      </c>
      <c r="AK288" s="693">
        <f t="shared" ca="1" si="182"/>
        <v>1.9408543914906542</v>
      </c>
      <c r="AL288" s="693">
        <f t="shared" ca="1" si="182"/>
        <v>1.5726567760393082</v>
      </c>
      <c r="AM288" s="693">
        <f t="shared" ca="1" si="182"/>
        <v>1.8958606852036139</v>
      </c>
      <c r="AN288" s="693">
        <f t="shared" ca="1" si="182"/>
        <v>1.4838086706739919</v>
      </c>
      <c r="AO288" s="693">
        <f t="shared" ca="1" si="182"/>
        <v>1.572656776039308</v>
      </c>
      <c r="AP288" s="693">
        <f t="shared" ca="1" si="182"/>
        <v>1.5726567760393082</v>
      </c>
    </row>
    <row r="289" spans="3:42">
      <c r="D289" s="542" t="s">
        <v>644</v>
      </c>
      <c r="F289" s="693">
        <f t="shared" ref="F289:AP289" ca="1" si="183">F277/F284</f>
        <v>0.94057443959939802</v>
      </c>
      <c r="G289" s="693">
        <f t="shared" ca="1" si="183"/>
        <v>0.76917423133306406</v>
      </c>
      <c r="H289" s="693">
        <f t="shared" ca="1" si="183"/>
        <v>0.9865610500876465</v>
      </c>
      <c r="I289" s="693">
        <f t="shared" ca="1" si="183"/>
        <v>1.0791280985574183</v>
      </c>
      <c r="J289" s="693">
        <f t="shared" ca="1" si="183"/>
        <v>3.588100968893265</v>
      </c>
      <c r="K289" s="693">
        <f t="shared" ca="1" si="183"/>
        <v>0.94985512071170686</v>
      </c>
      <c r="L289" s="693">
        <f t="shared" ca="1" si="183"/>
        <v>0.93596377200072234</v>
      </c>
      <c r="M289" s="693">
        <f t="shared" ca="1" si="183"/>
        <v>0.70486324906106557</v>
      </c>
      <c r="N289" s="693">
        <f t="shared" ca="1" si="183"/>
        <v>1.1189228998422129</v>
      </c>
      <c r="O289" s="693">
        <f t="shared" ca="1" si="183"/>
        <v>1.2506049556535237</v>
      </c>
      <c r="P289" s="693">
        <f t="shared" ca="1" si="183"/>
        <v>1.1118293128790471</v>
      </c>
      <c r="Q289" s="693">
        <f t="shared" ca="1" si="183"/>
        <v>0.86151352699963746</v>
      </c>
      <c r="R289" s="693">
        <f t="shared" ca="1" si="183"/>
        <v>1.6935394306971512</v>
      </c>
      <c r="S289" s="693">
        <f t="shared" ca="1" si="183"/>
        <v>0.8714784964881519</v>
      </c>
      <c r="T289" s="693">
        <f t="shared" ca="1" si="183"/>
        <v>0.83916144878085874</v>
      </c>
      <c r="U289" s="693">
        <f t="shared" ca="1" si="183"/>
        <v>0.70569858744375935</v>
      </c>
      <c r="V289" s="693">
        <f t="shared" ca="1" si="183"/>
        <v>0.95631549343360478</v>
      </c>
      <c r="W289" s="693">
        <f t="shared" ca="1" si="183"/>
        <v>1.4349817081390386</v>
      </c>
      <c r="X289" s="693">
        <f t="shared" ca="1" si="183"/>
        <v>1.0397795801609051</v>
      </c>
      <c r="Y289" s="693">
        <f t="shared" ca="1" si="183"/>
        <v>0.86967941182215414</v>
      </c>
      <c r="Z289" s="693">
        <f t="shared" ca="1" si="183"/>
        <v>1.0645599424639636</v>
      </c>
      <c r="AA289" s="693">
        <f t="shared" ca="1" si="183"/>
        <v>5.1053034626719178</v>
      </c>
      <c r="AB289" s="693">
        <f t="shared" ca="1" si="183"/>
        <v>0.86107566533746038</v>
      </c>
      <c r="AC289" s="693">
        <f t="shared" ca="1" si="183"/>
        <v>1.0570197544943949</v>
      </c>
      <c r="AD289" s="693">
        <f t="shared" ca="1" si="183"/>
        <v>0.97188010860315888</v>
      </c>
      <c r="AE289" s="693">
        <f t="shared" ca="1" si="183"/>
        <v>0.96918039003114942</v>
      </c>
      <c r="AF289" s="693">
        <f t="shared" ca="1" si="183"/>
        <v>0.9987704209078283</v>
      </c>
      <c r="AG289" s="693">
        <f t="shared" ca="1" si="183"/>
        <v>0.91859199529409286</v>
      </c>
      <c r="AH289" s="693">
        <f t="shared" ca="1" si="183"/>
        <v>1.1611019411701116</v>
      </c>
      <c r="AI289" s="693">
        <f t="shared" ca="1" si="183"/>
        <v>0.95189091407907356</v>
      </c>
      <c r="AJ289" s="693">
        <f t="shared" ca="1" si="183"/>
        <v>0.83593559622130043</v>
      </c>
      <c r="AK289" s="693">
        <f t="shared" ca="1" si="183"/>
        <v>1.1364253725382563</v>
      </c>
      <c r="AL289" s="693">
        <f t="shared" ca="1" si="183"/>
        <v>0.83843147550993291</v>
      </c>
      <c r="AM289" s="693">
        <f t="shared" ca="1" si="183"/>
        <v>1.0363906287448161</v>
      </c>
      <c r="AN289" s="693">
        <f t="shared" ca="1" si="183"/>
        <v>0.8850815645581408</v>
      </c>
      <c r="AO289" s="693">
        <f t="shared" ca="1" si="183"/>
        <v>0.8384314755099328</v>
      </c>
      <c r="AP289" s="693">
        <f t="shared" ca="1" si="183"/>
        <v>0.83843147550993313</v>
      </c>
    </row>
    <row r="290" spans="3:42">
      <c r="F290" s="693"/>
      <c r="G290" s="693"/>
      <c r="H290" s="693"/>
      <c r="I290" s="693"/>
      <c r="J290" s="693"/>
      <c r="K290" s="693"/>
      <c r="L290" s="693"/>
      <c r="M290" s="693"/>
      <c r="N290" s="693"/>
      <c r="O290" s="693"/>
      <c r="P290" s="693"/>
      <c r="Q290" s="693"/>
      <c r="R290" s="693"/>
      <c r="S290" s="693"/>
      <c r="T290" s="693"/>
      <c r="U290" s="693"/>
      <c r="V290" s="693"/>
      <c r="W290" s="693"/>
      <c r="X290" s="693"/>
      <c r="Y290" s="693"/>
      <c r="Z290" s="693"/>
      <c r="AA290" s="693"/>
      <c r="AB290" s="693"/>
      <c r="AC290" s="693"/>
      <c r="AD290" s="693"/>
      <c r="AE290" s="693"/>
      <c r="AF290" s="693"/>
      <c r="AG290" s="693"/>
      <c r="AH290" s="693"/>
      <c r="AI290" s="693"/>
      <c r="AJ290" s="693"/>
      <c r="AK290" s="693"/>
      <c r="AL290" s="693"/>
      <c r="AM290" s="693"/>
      <c r="AN290" s="693"/>
      <c r="AO290" s="693"/>
      <c r="AP290" s="693"/>
    </row>
    <row r="292" spans="3:42">
      <c r="C292" t="s">
        <v>939</v>
      </c>
      <c r="E292" t="str">
        <f>A212</f>
        <v>Electricity</v>
      </c>
      <c r="F292" s="693">
        <f ca="1">IF(SUM(F5:F7,F15:F17,F25:F27,F35:F37)=0,0.035,'IDEES okt 2017 template'!D$114/(SUM(F5:F7,F15:F17,F25:F27,F35:F37)*F137*F93))</f>
        <v>4.0428549633503445E-2</v>
      </c>
      <c r="G292" s="693">
        <f ca="1">IF(SUM(G5:G7,G15:G17,G25:G27,G35:G37)=0,0.035,'IDEES okt 2017 template'!E$114/(SUM(G5:G7,G15:G17,G25:G27,G35:G37)*G137*G307*G93))</f>
        <v>7.8799838760526195E-2</v>
      </c>
      <c r="H292" s="693">
        <f ca="1">IF(SUM(H5:H7,H15:H17,H25:H27,H35:H37)=0,0.035,'IDEES okt 2017 template'!F$114/(SUM(H5:H7,H15:H17,H25:H27,H35:H37)*H137*H307*H93))</f>
        <v>2.5563497045761961E-2</v>
      </c>
      <c r="I292" s="693">
        <f ca="1">IF(SUM(I5:I7,I15:I17,I25:I27,I35:I37)=0,0.035,'IDEES okt 2017 template'!G$114/(SUM(I5:I7,I15:I17,I25:I27,I35:I37)*I137*I307*I93))</f>
        <v>4.5407223367703343E-2</v>
      </c>
      <c r="J292" s="693">
        <f ca="1">IF(SUM(J5:J7,J15:J17,J25:J27,J35:J37)=0,0.035,'IDEES okt 2017 template'!H$114/(SUM(J5:J7,J15:J17,J25:J27,J35:J37)*J137*J307*J93))</f>
        <v>8.8025550060198618E-3</v>
      </c>
      <c r="K292" s="693">
        <f ca="1">IF(SUM(K5:K7,K15:K17,K25:K27,K35:K37)=0,0.035,'IDEES okt 2017 template'!I$114/(SUM(K5:K7,K15:K17,K25:K27,K35:K37)*K137*K307*K93))</f>
        <v>5.5468415373110404E-2</v>
      </c>
      <c r="L292" s="693">
        <f ca="1">IF(SUM(L5:L7,L15:L17,L25:L27,L35:L37)=0,0.035,'IDEES okt 2017 template'!J$114/(SUM(L5:L7,L15:L17,L25:L27,L35:L37)*L137*L307*L93))</f>
        <v>4.4921944280767408E-2</v>
      </c>
      <c r="M292" s="693">
        <f ca="1">IF(SUM(M5:M7,M15:M17,M25:M27,M35:M37)=0,0.035,'IDEES okt 2017 template'!K$114/(SUM(M5:M7,M15:M17,M25:M27,M35:M37)*M137*M307*M93))</f>
        <v>1.6930073806237057E-2</v>
      </c>
      <c r="N292" s="693">
        <f ca="1">IF(SUM(N5:N7,N15:N17,N25:N27,N35:N37)=0,0.035,'IDEES okt 2017 template'!L$114/(SUM(N5:N7,N15:N17,N25:N27,N35:N37)*N137*N307*N93))</f>
        <v>1.1497097832473751E-2</v>
      </c>
      <c r="O292" s="693">
        <f ca="1">IF(SUM(O5:O7,O15:O17,O25:O27,O35:O37)=0,0.035,'IDEES okt 2017 template'!M$114/(SUM(O5:O7,O15:O17,O25:O27,O35:O37)*O137*O307*O93))</f>
        <v>2.8874301958033886E-2</v>
      </c>
      <c r="P292" s="693">
        <f ca="1">IF(SUM(P5:P7,P15:P17,P25:P27,P35:P37)=0,0.035,'IDEES okt 2017 template'!N$114/(SUM(P5:P7,P15:P17,P25:P27,P35:P37)*P137*P307*P93))</f>
        <v>3.0927327674384556E-2</v>
      </c>
      <c r="Q292" s="693">
        <f ca="1">IF(SUM(Q5:Q7,Q15:Q17,Q25:Q27,Q35:Q37)=0,0.035,'IDEES okt 2017 template'!O$114/(SUM(Q5:Q7,Q15:Q17,Q25:Q27,Q35:Q37)*Q137*Q307*Q93))</f>
        <v>4.8345171589566145E-2</v>
      </c>
      <c r="R292" s="693">
        <f ca="1">IF(SUM(R5:R7,R15:R17,R25:R27,R35:R37)=0,0.035,'IDEES okt 2017 template'!P$114/(SUM(R5:R7,R15:R17,R25:R27,R35:R37)*R137*R307*R93))</f>
        <v>2.895611363563038E-2</v>
      </c>
      <c r="S292" s="693">
        <f ca="1">IF(SUM(S5:S7,S15:S17,S25:S27,S35:S37)=0,0.035,'IDEES okt 2017 template'!Q$114/(SUM(S5:S7,S15:S17,S25:S27,S35:S37)*S137*S307*S93))</f>
        <v>4.2528545113271345E-2</v>
      </c>
      <c r="T292" s="693">
        <f ca="1">IF(SUM(T5:T7,T15:T17,T25:T27,T35:T37)=0,0.035,'IDEES okt 2017 template'!R$114/(SUM(T5:T7,T15:T17,T25:T27,T35:T37)*T137*T307*T93))</f>
        <v>5.6814816445198014E-2</v>
      </c>
      <c r="U292" s="693">
        <f ca="1">IF(SUM(U5:U7,U15:U17,U25:U27,U35:U37)=0,0.035,'IDEES okt 2017 template'!S$114/(SUM(U5:U7,U15:U17,U25:U27,U35:U37)*U137*U307*U93))</f>
        <v>6.752851216528874E-2</v>
      </c>
      <c r="V292" s="693">
        <f ca="1">IF(SUM(V5:V7,V15:V17,V25:V27,V35:V37)=0,0.035,'IDEES okt 2017 template'!T$114/(SUM(V5:V7,V15:V17,V25:V27,V35:V37)*V137*V307*V93))</f>
        <v>0.10014996758560378</v>
      </c>
      <c r="W292" s="693">
        <f ca="1">IF(SUM(W5:W7,W15:W17,W25:W27,W35:W37)=0,0.035,'IDEES okt 2017 template'!U$114/(SUM(W5:W7,W15:W17,W25:W27,W35:W37)*W137*W307*W93))</f>
        <v>3.4135544145491459E-3</v>
      </c>
      <c r="X292" s="693">
        <f ca="1">IF(SUM(X5:X7,X15:X17,X25:X27,X35:X37)=0,0.035,'IDEES okt 2017 template'!V$114/(SUM(X5:X7,X15:X17,X25:X27,X35:X37)*X137*X307*X93))</f>
        <v>3.2130136878878481E-2</v>
      </c>
      <c r="Y292" s="693">
        <f ca="1">IF(SUM(Y5:Y7,Y15:Y17,Y25:Y27,Y35:Y37)=0,0.035,'IDEES okt 2017 template'!W$114/(SUM(Y5:Y7,Y15:Y17,Y25:Y27,Y35:Y37)*Y137*Y307*Y93))</f>
        <v>6.4448670356278631E-2</v>
      </c>
      <c r="Z292" s="693">
        <f ca="1">IF(SUM(Z5:Z7,Z15:Z17,Z25:Z27,Z35:Z37)=0,0.035,'IDEES okt 2017 template'!X$114/(SUM(Z5:Z7,Z15:Z17,Z25:Z27,Z35:Z37)*Z137*Z307*Z93))</f>
        <v>4.1559512603223707E-2</v>
      </c>
      <c r="AA292" s="693">
        <f ca="1">IF(SUM(AA5:AA7,AA15:AA17,AA25:AA27,AA35:AA37)=0,0.035,'IDEES okt 2017 template'!Y$114/(SUM(AA5:AA7,AA15:AA17,AA25:AA27,AA35:AA37)*AA137*AA307*AA93))</f>
        <v>4.0012493265453013E-3</v>
      </c>
      <c r="AB292" s="693">
        <f ca="1">IF(SUM(AB5:AB7,AB15:AB17,AB25:AB27,AB35:AB37)=0,0.035,'IDEES okt 2017 template'!Z$114/(SUM(AB5:AB7,AB15:AB17,AB25:AB27,AB35:AB37)*AB137*AB307*AB93))</f>
        <v>5.4599750281379242E-2</v>
      </c>
      <c r="AC292" s="693">
        <f ca="1">IF(SUM(AC5:AC7,AC15:AC17,AC25:AC27,AC35:AC37)=0,0.035,'IDEES okt 2017 template'!AA$114/(SUM(AC5:AC7,AC15:AC17,AC25:AC27,AC35:AC37)*AC137*AC307*AC93))</f>
        <v>3.5552344119465472E-2</v>
      </c>
      <c r="AD292" s="693">
        <f ca="1">IF(SUM(AD5:AD7,AD15:AD17,AD25:AD27,AD35:AD37)=0,0.035,'IDEES okt 2017 template'!AB$114/(SUM(AD5:AD7,AD15:AD17,AD25:AD27,AD35:AD37)*AD137*AD307*AD93))</f>
        <v>6.0201986328099102E-2</v>
      </c>
      <c r="AE292" s="693">
        <f ca="1">IF(SUM(AE5:AE7,AE15:AE17,AE25:AE27,AE35:AE37)=0,0.035,'IDEES okt 2017 template'!AC$114/(SUM(AE5:AE7,AE15:AE17,AE25:AE27,AE35:AE37)*AE137*AE307*AE93))</f>
        <v>7.4521494919107074E-3</v>
      </c>
      <c r="AF292" s="693">
        <f ca="1">IF(SUM(AF5:AF7,AF15:AF17,AF25:AF27,AF35:AF37)=0,0.035,'IDEES okt 2017 template'!AD$114/(SUM(AF5:AF7,AF15:AF17,AF25:AF27,AF35:AF37)*AF137*AF307*AF93))</f>
        <v>4.345952431843287E-2</v>
      </c>
      <c r="AG292" s="693">
        <f ca="1">IF(SUM(AG5,AG15,AG25,AG35)=0,0.035,'IDEES okt 2017 template'!AE$114/(SUM(AG5,AG15,AG25,AG35)*AG137*AG307*AG93))</f>
        <v>6.925318722027711E-2</v>
      </c>
      <c r="AH292" s="693">
        <f ca="1">IF(SUM(AH5:AH7,AH15:AH17,AH25:AH27,AH35:AH37)=0,0.035,'IDEES okt 2017 template'!AF$114/(SUM(AH5:AH7,AH15:AH17,AH25:AH27,AH35:AH37)*AH137*AH307*AH93))</f>
        <v>4.3600966863288446E-2</v>
      </c>
      <c r="AI292" s="693">
        <f ca="1">IF(SUM(AI5:AI7,AI15:AI17,AI25:AI27,AI35:AI37)=0,0.035,'IDEES okt 2017 template'!AG$114/(SUM(AI5:AI7,AI15:AI17,AI25:AI27,AI35:AI37)*AI137*AI307*AI93))</f>
        <v>5.7455936940482191E-2</v>
      </c>
      <c r="AJ292" s="693">
        <f ca="1">IF(SUM(AJ5:AJ7,AJ15:AJ17,AJ25:AJ27,AJ35:AJ37)=0,0.035,'IDEES okt 2017 template'!AH$114/(SUM(AJ5:AJ7,AJ15:AJ17,AJ25:AJ27,AJ35:AJ37)*AJ137*AJ307*AJ93))</f>
        <v>6.2210043472204914E-2</v>
      </c>
      <c r="AK292" s="693">
        <f ca="1">IF(SUM(AK5:AK7,AK15:AK17,AK25:AK27,AK35:AK37)=0,0.035,'IDEES okt 2017 template'!AI$114/(SUM(AK5:AK7,AK15:AK17,AK25:AK27,AK35:AK37)*AK137*AK307*AK93))</f>
        <v>1.5150089739935577E-2</v>
      </c>
      <c r="AL292" s="693">
        <f ca="1">IF(SUM(AL5:AL7,AL15:AL17,AL25:AL27,AL35:AL37)=0,0.035,'IDEES okt 2017 template'!AJ$114/(SUM(AL5:AL7,AL15:AL17,AL25:AL27,AL35:AL37)*AL137*AL307*AL93))</f>
        <v>2.3285872292598608E-2</v>
      </c>
      <c r="AM292" s="693">
        <f ca="1">IF(SUM(AM5:AM7,AM15:AM17,AM25:AM27,AM35:AM37)=0,0.035,'IDEES okt 2017 template'!AK$114/(SUM(AM5:AM7,AM15:AM17,AM25:AM27,AM35:AM37)*AM137*AM307*AM93))</f>
        <v>3.694384326426995E-2</v>
      </c>
      <c r="AN292" s="693">
        <f ca="1">IF(SUM(AN5:AN7,AN15:AN17,AN25:AN27,AN35:AN37)=0,0.035,'IDEES okt 2017 template'!AL$114/(SUM(AN5:AN7,AN15:AN17,AN25:AN27,AN35:AN37)*AN137*AN307*AN93))</f>
        <v>2.1524063802195882E-2</v>
      </c>
      <c r="AO292" s="693">
        <f ca="1">IF(SUM(AO5:AO7,AO15:AO17,AO25:AO27,AO35:AO37)=0,0.035,'IDEES okt 2017 template'!AM$114/(SUM(AO5:AO7,AO15:AO17,AO25:AO27,AO35:AO37)*AO137*AO307*AO93))</f>
        <v>3.3018455212392092E-2</v>
      </c>
      <c r="AP292" s="693">
        <f ca="1">IF(SUM(AP5:AP7,AP15:AP17,AP25:AP27,AP35:AP37)=0,0.035,'IDEES okt 2017 template'!AN$114/(SUM(AP5:AP7,AP15:AP17,AP25:AP27,AP35:AP37)*AP137*AP307*AP93))</f>
        <v>2.2502487715988086E-2</v>
      </c>
    </row>
    <row r="293" spans="3:42">
      <c r="E293" s="819" t="s">
        <v>937</v>
      </c>
      <c r="F293" s="693">
        <f ca="1">F292</f>
        <v>4.0428549633503445E-2</v>
      </c>
      <c r="G293" s="693">
        <f ca="1">IF(SUM(G6:G8,G16:G18,G26:G28,G36:G38)=0,0.035,'IDEES okt 2017 template'!E$114/(SUM(G6:G8,G16:G18,G26:G28,G36:G38)*G138*G308*G94))</f>
        <v>6.6337115233414115E-3</v>
      </c>
      <c r="H293" s="693">
        <f t="shared" ref="G293:AP294" ca="1" si="184">H292</f>
        <v>2.5563497045761961E-2</v>
      </c>
      <c r="I293" s="693">
        <f t="shared" ca="1" si="184"/>
        <v>4.5407223367703343E-2</v>
      </c>
      <c r="J293" s="693">
        <f t="shared" ca="1" si="184"/>
        <v>8.8025550060198618E-3</v>
      </c>
      <c r="K293" s="693">
        <f t="shared" ca="1" si="184"/>
        <v>5.5468415373110404E-2</v>
      </c>
      <c r="L293" s="693">
        <f t="shared" ca="1" si="184"/>
        <v>4.4921944280767408E-2</v>
      </c>
      <c r="M293" s="693">
        <f t="shared" ca="1" si="184"/>
        <v>1.6930073806237057E-2</v>
      </c>
      <c r="N293" s="693">
        <f t="shared" ca="1" si="184"/>
        <v>1.1497097832473751E-2</v>
      </c>
      <c r="O293" s="693">
        <f t="shared" ca="1" si="184"/>
        <v>2.8874301958033886E-2</v>
      </c>
      <c r="P293" s="693">
        <f t="shared" ca="1" si="184"/>
        <v>3.0927327674384556E-2</v>
      </c>
      <c r="Q293" s="693">
        <f t="shared" ca="1" si="184"/>
        <v>4.8345171589566145E-2</v>
      </c>
      <c r="R293" s="693">
        <f t="shared" ca="1" si="184"/>
        <v>2.895611363563038E-2</v>
      </c>
      <c r="S293" s="693">
        <f t="shared" ca="1" si="184"/>
        <v>4.2528545113271345E-2</v>
      </c>
      <c r="T293" s="693">
        <f t="shared" ca="1" si="184"/>
        <v>5.6814816445198014E-2</v>
      </c>
      <c r="U293" s="693">
        <f t="shared" ca="1" si="184"/>
        <v>6.752851216528874E-2</v>
      </c>
      <c r="V293" s="693">
        <f t="shared" ca="1" si="184"/>
        <v>0.10014996758560378</v>
      </c>
      <c r="W293" s="693">
        <f t="shared" ca="1" si="184"/>
        <v>3.4135544145491459E-3</v>
      </c>
      <c r="X293" s="693">
        <f t="shared" ca="1" si="184"/>
        <v>3.2130136878878481E-2</v>
      </c>
      <c r="Y293" s="693">
        <f t="shared" ca="1" si="184"/>
        <v>6.4448670356278631E-2</v>
      </c>
      <c r="Z293" s="693">
        <f t="shared" ca="1" si="184"/>
        <v>4.1559512603223707E-2</v>
      </c>
      <c r="AA293" s="693">
        <f t="shared" ca="1" si="184"/>
        <v>4.0012493265453013E-3</v>
      </c>
      <c r="AB293" s="693">
        <f t="shared" ca="1" si="184"/>
        <v>5.4599750281379242E-2</v>
      </c>
      <c r="AC293" s="693">
        <f t="shared" ca="1" si="184"/>
        <v>3.5552344119465472E-2</v>
      </c>
      <c r="AD293" s="693">
        <f t="shared" ca="1" si="184"/>
        <v>6.0201986328099102E-2</v>
      </c>
      <c r="AE293" s="693">
        <f t="shared" ca="1" si="184"/>
        <v>7.4521494919107074E-3</v>
      </c>
      <c r="AF293" s="693">
        <f t="shared" ca="1" si="184"/>
        <v>4.345952431843287E-2</v>
      </c>
      <c r="AG293" s="693">
        <f t="shared" ca="1" si="184"/>
        <v>6.925318722027711E-2</v>
      </c>
      <c r="AH293" s="693">
        <f t="shared" ca="1" si="184"/>
        <v>4.3600966863288446E-2</v>
      </c>
      <c r="AI293" s="693">
        <f t="shared" ca="1" si="184"/>
        <v>5.7455936940482191E-2</v>
      </c>
      <c r="AJ293" s="693">
        <f t="shared" ca="1" si="184"/>
        <v>6.2210043472204914E-2</v>
      </c>
      <c r="AK293" s="693">
        <f t="shared" ca="1" si="184"/>
        <v>1.5150089739935577E-2</v>
      </c>
      <c r="AL293" s="693">
        <f t="shared" ca="1" si="184"/>
        <v>2.3285872292598608E-2</v>
      </c>
      <c r="AM293" s="693">
        <f t="shared" ca="1" si="184"/>
        <v>3.694384326426995E-2</v>
      </c>
      <c r="AN293" s="693">
        <f t="shared" ca="1" si="184"/>
        <v>2.1524063802195882E-2</v>
      </c>
      <c r="AO293" s="693">
        <f t="shared" ca="1" si="184"/>
        <v>3.3018455212392092E-2</v>
      </c>
      <c r="AP293" s="693">
        <f t="shared" ca="1" si="184"/>
        <v>2.2502487715988086E-2</v>
      </c>
    </row>
    <row r="294" spans="3:42">
      <c r="E294" s="819" t="s">
        <v>938</v>
      </c>
      <c r="F294" s="693">
        <f ca="1">F293</f>
        <v>4.0428549633503445E-2</v>
      </c>
      <c r="G294" s="693">
        <f t="shared" ca="1" si="184"/>
        <v>6.6337115233414115E-3</v>
      </c>
      <c r="H294" s="693">
        <f t="shared" ca="1" si="184"/>
        <v>2.5563497045761961E-2</v>
      </c>
      <c r="I294" s="693">
        <f t="shared" ca="1" si="184"/>
        <v>4.5407223367703343E-2</v>
      </c>
      <c r="J294" s="693">
        <f t="shared" ca="1" si="184"/>
        <v>8.8025550060198618E-3</v>
      </c>
      <c r="K294" s="693">
        <f t="shared" ca="1" si="184"/>
        <v>5.5468415373110404E-2</v>
      </c>
      <c r="L294" s="693">
        <f t="shared" ca="1" si="184"/>
        <v>4.4921944280767408E-2</v>
      </c>
      <c r="M294" s="693">
        <f t="shared" ca="1" si="184"/>
        <v>1.6930073806237057E-2</v>
      </c>
      <c r="N294" s="693">
        <f t="shared" ca="1" si="184"/>
        <v>1.1497097832473751E-2</v>
      </c>
      <c r="O294" s="693">
        <f t="shared" ca="1" si="184"/>
        <v>2.8874301958033886E-2</v>
      </c>
      <c r="P294" s="693">
        <f t="shared" ca="1" si="184"/>
        <v>3.0927327674384556E-2</v>
      </c>
      <c r="Q294" s="693">
        <f t="shared" ca="1" si="184"/>
        <v>4.8345171589566145E-2</v>
      </c>
      <c r="R294" s="693">
        <f t="shared" ca="1" si="184"/>
        <v>2.895611363563038E-2</v>
      </c>
      <c r="S294" s="693">
        <f t="shared" ca="1" si="184"/>
        <v>4.2528545113271345E-2</v>
      </c>
      <c r="T294" s="693">
        <f t="shared" ca="1" si="184"/>
        <v>5.6814816445198014E-2</v>
      </c>
      <c r="U294" s="693">
        <f t="shared" ca="1" si="184"/>
        <v>6.752851216528874E-2</v>
      </c>
      <c r="V294" s="693">
        <f t="shared" ca="1" si="184"/>
        <v>0.10014996758560378</v>
      </c>
      <c r="W294" s="693">
        <f t="shared" ca="1" si="184"/>
        <v>3.4135544145491459E-3</v>
      </c>
      <c r="X294" s="693">
        <f t="shared" ca="1" si="184"/>
        <v>3.2130136878878481E-2</v>
      </c>
      <c r="Y294" s="693">
        <f t="shared" ca="1" si="184"/>
        <v>6.4448670356278631E-2</v>
      </c>
      <c r="Z294" s="693">
        <f t="shared" ca="1" si="184"/>
        <v>4.1559512603223707E-2</v>
      </c>
      <c r="AA294" s="693">
        <f t="shared" ca="1" si="184"/>
        <v>4.0012493265453013E-3</v>
      </c>
      <c r="AB294" s="693">
        <f t="shared" ca="1" si="184"/>
        <v>5.4599750281379242E-2</v>
      </c>
      <c r="AC294" s="693">
        <f t="shared" ca="1" si="184"/>
        <v>3.5552344119465472E-2</v>
      </c>
      <c r="AD294" s="693">
        <f t="shared" ca="1" si="184"/>
        <v>6.0201986328099102E-2</v>
      </c>
      <c r="AE294" s="693">
        <f t="shared" ca="1" si="184"/>
        <v>7.4521494919107074E-3</v>
      </c>
      <c r="AF294" s="693">
        <f t="shared" ca="1" si="184"/>
        <v>4.345952431843287E-2</v>
      </c>
      <c r="AG294" s="693">
        <f t="shared" ca="1" si="184"/>
        <v>6.925318722027711E-2</v>
      </c>
      <c r="AH294" s="693">
        <f t="shared" ca="1" si="184"/>
        <v>4.3600966863288446E-2</v>
      </c>
      <c r="AI294" s="693">
        <f t="shared" ca="1" si="184"/>
        <v>5.7455936940482191E-2</v>
      </c>
      <c r="AJ294" s="693">
        <f t="shared" ca="1" si="184"/>
        <v>6.2210043472204914E-2</v>
      </c>
      <c r="AK294" s="693">
        <f t="shared" ca="1" si="184"/>
        <v>1.5150089739935577E-2</v>
      </c>
      <c r="AL294" s="693">
        <f t="shared" ca="1" si="184"/>
        <v>2.3285872292598608E-2</v>
      </c>
      <c r="AM294" s="693">
        <f t="shared" ca="1" si="184"/>
        <v>3.694384326426995E-2</v>
      </c>
      <c r="AN294" s="693">
        <f t="shared" ca="1" si="184"/>
        <v>2.1524063802195882E-2</v>
      </c>
      <c r="AO294" s="693">
        <f t="shared" ca="1" si="184"/>
        <v>3.3018455212392092E-2</v>
      </c>
      <c r="AP294" s="693">
        <f t="shared" ca="1" si="184"/>
        <v>2.2502487715988086E-2</v>
      </c>
    </row>
    <row r="295" spans="3:42">
      <c r="C295" t="s">
        <v>939</v>
      </c>
      <c r="E295" t="str">
        <f t="shared" ref="E295:E301" si="185">A215</f>
        <v>Gases</v>
      </c>
      <c r="F295" s="693">
        <f ca="1">IF(SUM(F8,F18,F38)=0,0.035,'IDEES okt 2017 template'!D115/((F8+F18+F28+F38)*F140*F307*F96))</f>
        <v>5.6919581462858262E-2</v>
      </c>
      <c r="G295" s="693">
        <f ca="1">IF(SUM(G8,G18,G38)=0,0.035,'IDEES okt 2017 template'!E115/((G8+G18+G28+G38)*G140*G307*G96))</f>
        <v>7.9908698904166867E-2</v>
      </c>
      <c r="H295" s="693">
        <f ca="1">IF(SUM(H8,H18,H38)=0,0.035,'IDEES okt 2017 template'!F115/((H8+H18+H28+H38)*H140*H307*H96))</f>
        <v>2.1380217526349398E-2</v>
      </c>
      <c r="I295" s="693">
        <f ca="1">IF(SUM(I8,I18,I38)=0,0.035,'IDEES okt 2017 template'!G115/((I8+I18+I28+I38)*I140*I307*I96))</f>
        <v>4.8394309165208406E-2</v>
      </c>
      <c r="J295" s="693">
        <f ca="1">IF(SUM(J8,J18,J38)=0,0.035,'IDEES okt 2017 template'!H115/((J8+J18+J28+J38)*J140*J307*J96))</f>
        <v>3.5000000000000003E-2</v>
      </c>
      <c r="K295" s="693">
        <f ca="1">IF(SUM(K8,K18,K38)=0,0.035,'IDEES okt 2017 template'!I115/((K8+K18+K28+K38)*K140*K307*K96))</f>
        <v>5.5719220444259608E-2</v>
      </c>
      <c r="L295" s="693">
        <f ca="1">IF(SUM(L8,L18,L38)=0,0.035,'IDEES okt 2017 template'!J115/((L8+L18+L28+L38)*L140*L307*L96))</f>
        <v>5.2025021357474485E-2</v>
      </c>
      <c r="M295" s="693">
        <f ca="1">IF(SUM(M8,M18,M38)=0,0.035,'IDEES okt 2017 template'!K115/((M8+M18+M28+M38)*M140*M307*M96))</f>
        <v>6.1723205919664757E-2</v>
      </c>
      <c r="N295" s="693">
        <f ca="1">IF(SUM(N8,N18,N38)=0,0.035,'IDEES okt 2017 template'!L115/((N8+N18+N28+N38)*N140*N307*N96))</f>
        <v>4.5499201091472367E-2</v>
      </c>
      <c r="O295" s="693">
        <f ca="1">IF(SUM(O8,O18,O38)=0,0.035,'IDEES okt 2017 template'!M115/((O8+O18+O28+O38)*O140*O307*O96))</f>
        <v>2.7933647969702942E-2</v>
      </c>
      <c r="P295" s="693">
        <f ca="1">IF(SUM(P8,P18,P38)=0,0.035,'IDEES okt 2017 template'!N115/((P8+P18+P28+P38)*P140*P307*P96))</f>
        <v>7.2584779360125792E-2</v>
      </c>
      <c r="Q295" s="693">
        <f ca="1">IF(SUM(Q8,Q18,Q38)=0,0.035,'IDEES okt 2017 template'!O115/((Q8+Q18+Q28+Q38)*Q140*Q307*Q96))</f>
        <v>5.3024078391655453E-2</v>
      </c>
      <c r="R295" s="693">
        <f ca="1">IF(SUM(R8,R18,R38)=0,0.035,'IDEES okt 2017 template'!P115/((R8+R18+R28+R38)*R140*R307*R96))</f>
        <v>2.4325832925185368E-2</v>
      </c>
      <c r="S295" s="693">
        <f ca="1">IF(SUM(S8,S18,S38)=0,0.035,'IDEES okt 2017 template'!Q115/((S8+S18+S28+S38)*S140*S307*S96))</f>
        <v>3.7940445294108803E-2</v>
      </c>
      <c r="T295" s="693">
        <f ca="1">IF(SUM(T8,T18,T38)=0,0.035,'IDEES okt 2017 template'!R115/((T8+T18+T28+T38)*T140*T307*T96))</f>
        <v>4.9273013178793033E-2</v>
      </c>
      <c r="U295" s="693">
        <f ca="1">IF(SUM(U8,U18,U38)=0,0.035,'IDEES okt 2017 template'!S115/((U8+U18+U28+U38)*U140*U307*U96))</f>
        <v>6.3298575927250758E-2</v>
      </c>
      <c r="V295" s="693">
        <f ca="1">IF(SUM(V8,V18,V38)=0,0.035,'IDEES okt 2017 template'!T115/((V8+V18+V28+V38)*V140*V307*V96))</f>
        <v>3.5000000000000003E-2</v>
      </c>
      <c r="W295" s="693">
        <f ca="1">IF(SUM(W8,W18,W38)=0,0.035,'IDEES okt 2017 template'!U115/((W8+W18+W28+W38)*W140*W307*W96))</f>
        <v>3.5265734254068183E-2</v>
      </c>
      <c r="X295" s="693">
        <f ca="1">IF(SUM(X8,X18,X38)=0,0.035,'IDEES okt 2017 template'!V115/((X8+X18+X28+X38)*X140*X307*X96))</f>
        <v>3.9719121962939391E-2</v>
      </c>
      <c r="Y295" s="693">
        <f ca="1">IF(SUM(Y8,Y18,Y38)=0,0.035,'IDEES okt 2017 template'!W115/((Y8+Y18+Y28+Y38)*Y140*Y307*Y96))</f>
        <v>7.8137372250910553E-2</v>
      </c>
      <c r="Z295" s="693">
        <f ca="1">IF(SUM(Z8,Z18,Z38)=0,0.035,'IDEES okt 2017 template'!X115/((Z8+Z18+Z28+Z38)*Z140*Z307*Z96))</f>
        <v>4.8836210477590965E-2</v>
      </c>
      <c r="AA295" s="693">
        <f ca="1">IF(SUM(AA8,AA18,AA38)=0,0.035,'IDEES okt 2017 template'!Y115/((AA8+AA18+AA28+AA38)*AA140*AA307*AA96))</f>
        <v>3.5000000000000003E-2</v>
      </c>
      <c r="AB295" s="693">
        <f ca="1">IF(SUM(AB8,AB18,AB38)=0,0.035,'IDEES okt 2017 template'!Z115/((AB8+AB18+AB28+AB38)*AB140*AB307*AB96))</f>
        <v>6.1865329804794436E-2</v>
      </c>
      <c r="AC295" s="693">
        <f ca="1">IF(SUM(AC8,AC18,AC38)=0,0.035,'IDEES okt 2017 template'!AA115/((AC8+AC18+AC28+AC38)*AC140*AC307*AC96))</f>
        <v>3.6174943656120534E-2</v>
      </c>
      <c r="AD295" s="693">
        <f ca="1">IF(SUM(AD8,AD18,AD38)=0,0.035,'IDEES okt 2017 template'!AB115/((AD8+AD18+AD28+AD38)*AD140*AD307*AD96))</f>
        <v>4.9468617694997843E-2</v>
      </c>
      <c r="AE295" s="693">
        <f ca="1">IF(SUM(AE8,AE18,AE38)=0,0.035,'IDEES okt 2017 template'!AC115/((AE8+AE18+AE28+AE38)*AE140*AE307*AE96))</f>
        <v>1.4391899870743415E-2</v>
      </c>
      <c r="AF295" s="693">
        <f ca="1">IF(SUM(AF8,AF18,AF38)=0,0.035,'IDEES okt 2017 template'!AD115/((AF8+AF18+AF28+AF38)*AF140*AF307*AF96))</f>
        <v>3.6843487252071885E-2</v>
      </c>
      <c r="AG295" s="693">
        <f ca="1">IF(SUM(AG8,AG18,AG38)=0,0.035,'IDEES okt 2017 template'!AE115/((AG8+AG18+AG28+AG38)*AG140*AG307*AG96))</f>
        <v>6.8348675572943302E-2</v>
      </c>
      <c r="AH295" s="693">
        <f ca="1">IF(SUM(AH8,AH18,AH38)=0,0.035,'IDEES okt 2017 template'!AF115/((AH8+AH18+AH28+AH38)*AH140*AH307*AH96))</f>
        <v>3.6492916198480066E-2</v>
      </c>
      <c r="AI295" s="693">
        <f ca="1">IF(SUM(AI8,AI18,AI38)=0,0.035,'IDEES okt 2017 template'!AG115/((AI8+AI18+AI28+AI38)*AI140*AI307*AI96))</f>
        <v>5.2571098432878709E-2</v>
      </c>
      <c r="AJ295" s="693">
        <f ca="1">IF(SUM(AJ8,AJ18,AJ38)=0,0.035,'IDEES okt 2017 template'!AH115/((AJ8+AJ18+AJ28+AJ38)*AJ140*AJ307*AJ96))</f>
        <v>6.0772746498176738E-2</v>
      </c>
      <c r="AK295" s="693">
        <f ca="1">IF(SUM(AK8,AK18,AK38)=0,0.035,'IDEES okt 2017 template'!AI115/((AK8+AK18+AK28+AK38)*AK140*AK307*AK96))</f>
        <v>3.5000000000000003E-2</v>
      </c>
      <c r="AL295" s="693">
        <f ca="1">IF(SUM(AL8,AL18,AL38)=0,0.035,'IDEES okt 2017 template'!AJ115/((AL8+AL18+AL28+AL38)*AL140*AL307*AL96))</f>
        <v>2.2255355308971173E-2</v>
      </c>
      <c r="AM295" s="693">
        <f ca="1">IF(SUM(AM8,AM18,AM38)=0,0.035,'IDEES okt 2017 template'!AK115/((AM8+AM18+AM28+AM38)*AM140*AM307*AM96))</f>
        <v>3.5000000000000003E-2</v>
      </c>
      <c r="AN295" s="693">
        <f ca="1">IF(SUM(AN8,AN18,AN38)=0,0.035,'IDEES okt 2017 template'!AL115/((AN8+AN18+AN28+AN38)*AN140*AN307*AN96))</f>
        <v>3.5000000000000003E-2</v>
      </c>
      <c r="AO295" s="693">
        <f ca="1">IF(SUM(AO8,AO18,AO38)=0,0.035,'IDEES okt 2017 template'!AM115/((AO8+AO18+AO28+AO38)*AO140*AO307*AO96))</f>
        <v>3.1557222476853684E-2</v>
      </c>
      <c r="AP295" s="693">
        <f ca="1">IF(SUM(AP8,AP18,AP38)=0,0.035,'IDEES okt 2017 template'!AN115/((AP8+AP18+AP28+AP38)*AP140*AP307*AP96))</f>
        <v>3.5000000000000003E-2</v>
      </c>
    </row>
    <row r="296" spans="3:42">
      <c r="C296" t="s">
        <v>939</v>
      </c>
      <c r="E296" t="str">
        <f t="shared" si="185"/>
        <v>Derived heat</v>
      </c>
      <c r="F296" s="693">
        <f ca="1">IF(SUM(F9,F19,F39)=0,0.035,'IDEES okt 2017 template'!D112/((F9+F19+F29+F39)*F141*F307*F97))</f>
        <v>4.708622881634935E-2</v>
      </c>
      <c r="G296" s="693">
        <f ca="1">IF(SUM(G9,G19,G39)=0,0.035,'IDEES okt 2017 template'!E112/((G9+G19+G29+G39)*G141*G307*G97))</f>
        <v>5.1486033133128481E-2</v>
      </c>
      <c r="H296" s="693">
        <f ca="1">IF(SUM(H9,H19,H39)=0,0.035,'IDEES okt 2017 template'!F112/((H9+H19+H29+H39)*H141*H307*H97))</f>
        <v>1.7104241778149811E-2</v>
      </c>
      <c r="I296" s="693">
        <f ca="1">IF(SUM(I9,I19,I39)=0,0.035,'IDEES okt 2017 template'!G112/((I9+I19+I29+I39)*I141*I307*I97))</f>
        <v>4.101795509006799E-2</v>
      </c>
      <c r="J296" s="693">
        <f ca="1">IF(SUM(J9,J19,J39)=0,0.035,'IDEES okt 2017 template'!H112/((J9+J19+J29+J39)*J141*J307*J97))</f>
        <v>3.5000000000000003E-2</v>
      </c>
      <c r="K296" s="693">
        <f ca="1">IF(SUM(K9,K19,K39)=0,0.035,'IDEES okt 2017 template'!I112/((K9+K19+K29+K39)*K141*K307*K97))</f>
        <v>4.1419128552545932E-2</v>
      </c>
      <c r="L296" s="693">
        <f ca="1">IF(SUM(L9,L19,L39)=0,0.035,'IDEES okt 2017 template'!J112/((L9+L19+L29+L39)*L141*L307*L97))</f>
        <v>4.3940762336614141E-2</v>
      </c>
      <c r="M296" s="693">
        <f ca="1">IF(SUM(M9,M19,M39)=0,0.035,'IDEES okt 2017 template'!K112/((M9+M19+M29+M39)*M141*M307*M97))</f>
        <v>5.1106975309872585E-2</v>
      </c>
      <c r="N296" s="693">
        <f ca="1">IF(SUM(N9,N19,N39)=0,0.035,'IDEES okt 2017 template'!L112/((N9+N19+N29+N39)*N141*N307*N97))</f>
        <v>3.7115377444152858E-2</v>
      </c>
      <c r="O296" s="693">
        <f ca="1">IF(SUM(O9,O19,O39)=0,0.035,'IDEES okt 2017 template'!M112/((O9+O19+O29+O39)*O141*O307*O97))</f>
        <v>3.5000000000000003E-2</v>
      </c>
      <c r="P296" s="693">
        <f ca="1">IF(SUM(P9,P19,P39)=0,0.035,'IDEES okt 2017 template'!N112/((P9+P19+P29+P39)*P141*P307*P97))</f>
        <v>6.1292916554392042E-2</v>
      </c>
      <c r="Q296" s="693">
        <f ca="1">IF(SUM(Q9,Q19,Q39)=0,0.035,'IDEES okt 2017 template'!O112/((Q9+Q19+Q29+Q39)*Q141*Q307*Q97))</f>
        <v>4.3839881113022082E-2</v>
      </c>
      <c r="R296" s="693">
        <f ca="1">IF(SUM(R9,R19,R39)=0,0.035,'IDEES okt 2017 template'!P112/((R9+R19+R29+R39)*R141*R307*R97))</f>
        <v>2.3257283532977735E-2</v>
      </c>
      <c r="S296" s="693">
        <f ca="1">IF(SUM(S9,S19,S39)=0,0.035,'IDEES okt 2017 template'!Q112/((S9+S19+S29+S39)*S141*S307*S97))</f>
        <v>3.2341124745494436E-2</v>
      </c>
      <c r="T296" s="693">
        <f ca="1">IF(SUM(T9,T19,T39)=0,0.035,'IDEES okt 2017 template'!R112/((T9+T19+T29+T39)*T141*T307*T97))</f>
        <v>4.1502487801022156E-2</v>
      </c>
      <c r="U296" s="693">
        <f ca="1">IF(SUM(U9,U19,U39)=0,0.035,'IDEES okt 2017 template'!S112/((U9+U19+U29+U39)*U141*U307*U97))</f>
        <v>3.5000000000000003E-2</v>
      </c>
      <c r="V296" s="693">
        <f ca="1">IF(SUM(V9,V19,V39)=0,0.035,'IDEES okt 2017 template'!T112/((V9+V19+V29+V39)*V141*V307*V97))</f>
        <v>8.7258035447990559E-2</v>
      </c>
      <c r="W296" s="693">
        <f ca="1">IF(SUM(W9,W19,W39)=0,0.035,'IDEES okt 2017 template'!U112/((W9+W19+W29+W39)*W141*W307*W97))</f>
        <v>2.9695447968970192E-2</v>
      </c>
      <c r="X296" s="693">
        <f ca="1">IF(SUM(X9,X19,X39)=0,0.035,'IDEES okt 2017 template'!V112/((X9+X19+X29+X39)*X141*X307*X97))</f>
        <v>3.0690972952451084E-2</v>
      </c>
      <c r="Y296" s="693">
        <f ca="1">IF(SUM(Y9,Y19,Y39)=0,0.035,'IDEES okt 2017 template'!W112/((Y9+Y19+Y29+Y39)*Y141*Y307*Y97))</f>
        <v>3.5000000000000003E-2</v>
      </c>
      <c r="Z296" s="693">
        <f ca="1">IF(SUM(Z9,Z19,Z39)=0,0.035,'IDEES okt 2017 template'!X112/((Z9+Z19+Z29+Z39)*Z141*Z307*Z97))</f>
        <v>3.7612729360681309E-2</v>
      </c>
      <c r="AA296" s="693">
        <f ca="1">IF(SUM(AA9,AA19,AA39)=0,0.035,'IDEES okt 2017 template'!Y112/((AA9+AA19+AA29+AA39)*AA141*AA307*AA97))</f>
        <v>3.5000000000000003E-2</v>
      </c>
      <c r="AB296" s="693">
        <f ca="1">IF(SUM(AB9,AB19,AB39)=0,0.035,'IDEES okt 2017 template'!Z112/((AB9+AB19+AB29+AB39)*AB141*AB307*AB97))</f>
        <v>5.1931260945038922E-2</v>
      </c>
      <c r="AC296" s="693">
        <f ca="1">IF(SUM(AC9,AC19,AC39)=0,0.035,'IDEES okt 2017 template'!AA112/((AC9+AC19+AC29+AC39)*AC141*AC307*AC97))</f>
        <v>3.0975823339970919E-2</v>
      </c>
      <c r="AD296" s="693">
        <f ca="1">IF(SUM(AD9,AD19,AD39)=0,0.035,'IDEES okt 2017 template'!AB112/((AD9+AD19+AD29+AD39)*AD141*AD307*AD97))</f>
        <v>3.9080641895043733E-2</v>
      </c>
      <c r="AE296" s="693">
        <f ca="1">IF(SUM(AE9,AE19,AE39)=0,0.035,'IDEES okt 2017 template'!AC112/((AE9+AE19+AE29+AE39)*AE141*AE307*AE97))</f>
        <v>1.1859949281294833E-2</v>
      </c>
      <c r="AF296" s="693">
        <f ca="1">IF(SUM(AF9,AF19,AF39)=0,0.035,'IDEES okt 2017 template'!AD112/((AF9+AF19+AF29+AF39)*AF141*AF307*AF97))</f>
        <v>2.9146440971721099E-2</v>
      </c>
      <c r="AG296" s="693">
        <f ca="1">IF(SUM(AG9,AG19,AG39)=0,0.035,'IDEES okt 2017 template'!AE112/((AG9+AG19+AG29+AG39)*AG141*AG307*AG97))</f>
        <v>5.7716392039993111E-2</v>
      </c>
      <c r="AH296" s="693">
        <f ca="1">IF(SUM(AH9,AH19,AH39)=0,0.035,'IDEES okt 2017 template'!AF112/((AH9+AH19+AH29+AH39)*AH141*AH307*AH97))</f>
        <v>3.2586986394328374E-2</v>
      </c>
      <c r="AI296" s="693">
        <f ca="1">IF(SUM(AI9,AI19,AI39)=0,0.035,'IDEES okt 2017 template'!AG112/((AI9+AI19+AI29+AI39)*AI141*AI307*AI97))</f>
        <v>4.2055051304460918E-2</v>
      </c>
      <c r="AJ296" s="693">
        <f ca="1">IF(SUM(AJ9,AJ19,AJ39)=0,0.035,'IDEES okt 2017 template'!AH112/((AJ9+AJ19+AJ29+AJ39)*AJ141*AJ307*AJ97))</f>
        <v>4.6556616906678429E-2</v>
      </c>
      <c r="AK296" s="693">
        <f ca="1">IF(SUM(AK9,AK19,AK39)=0,0.035,'IDEES okt 2017 template'!AI112/((AK9+AK19+AK29+AK39)*AK141*AK307*AK97))</f>
        <v>3.5000000000000003E-2</v>
      </c>
      <c r="AL296" s="693">
        <f ca="1">IF(SUM(AL9,AL19,AL39)=0,0.035,'IDEES okt 2017 template'!AJ112/((AL9+AL19+AL29+AL39)*AL141*AL307*AL97))</f>
        <v>1.9082936047711569E-2</v>
      </c>
      <c r="AM296" s="693">
        <f ca="1">IF(SUM(AM9,AM19,AM39)=0,0.035,'IDEES okt 2017 template'!AK112/((AM9+AM19+AM29+AM39)*AM141*AM307*AM97))</f>
        <v>3.5000000000000003E-2</v>
      </c>
      <c r="AN296" s="693">
        <f ca="1">IF(SUM(AN9,AN19,AN39)=0,0.035,'IDEES okt 2017 template'!AL112/((AN9+AN19+AN29+AN39)*AN141*AN307*AN97))</f>
        <v>1.8094389236624601E-2</v>
      </c>
      <c r="AO296" s="693">
        <f ca="1">IF(SUM(AO9,AO19,AO39)=0,0.035,'IDEES okt 2017 template'!AM112/((AO9+AO19+AO29+AO39)*AO141*AO307*AO97))</f>
        <v>2.7058856172314405E-2</v>
      </c>
      <c r="AP296" s="693">
        <f ca="1">IF(SUM(AP9,AP19,AP39)=0,0.035,'IDEES okt 2017 template'!AN112/((AP9+AP19+AP29+AP39)*AP141*AP307*AP97))</f>
        <v>1.8440946879842865E-2</v>
      </c>
    </row>
    <row r="297" spans="3:42">
      <c r="C297" t="s">
        <v>939</v>
      </c>
      <c r="E297" t="str">
        <f t="shared" si="185"/>
        <v>GDO and other liquids (incl. liq. bio.)</v>
      </c>
      <c r="F297" s="693">
        <f ca="1">IF(SUM(F10,F20,F40)=0,0.035,'IDEES okt 2017 template'!D116/((F10+F20+F30+F40)*F142*F307*F98))</f>
        <v>5.2322935788369898E-2</v>
      </c>
      <c r="G297" s="693">
        <f ca="1">IF(SUM(G10,G20,G40)=0,0.035,'IDEES okt 2017 template'!E116/((G10+G20+G30+G40)*G142*G307*G98))</f>
        <v>6.9024427376609923E-2</v>
      </c>
      <c r="H297" s="693">
        <f ca="1">IF(SUM(H10,H20,H40)=0,0.035,'IDEES okt 2017 template'!F116/((H10+H20+H30+H40)*H142*H307*H98))</f>
        <v>2.5834364069954541E-2</v>
      </c>
      <c r="I297" s="693">
        <f ca="1">IF(SUM(I10,I20,I40)=0,0.035,'IDEES okt 2017 template'!G116/((I10+I20+I30+I40)*I142*I307*I98))</f>
        <v>4.5710800880647662E-2</v>
      </c>
      <c r="J297" s="693">
        <f ca="1">IF(SUM(J10,J20,J40)=0,0.035,'IDEES okt 2017 template'!H116/((J10+J20+J30+J40)*J142*J307*J98))</f>
        <v>7.8293724234419857E-3</v>
      </c>
      <c r="K297" s="693">
        <f ca="1">IF(SUM(K10,K20,K40)=0,0.035,'IDEES okt 2017 template'!I116/((K10+K20+K30+K40)*K142*K307*K98))</f>
        <v>3.5000000000000003E-2</v>
      </c>
      <c r="L297" s="693">
        <f ca="1">IF(SUM(L10,L20,L40)=0,0.035,'IDEES okt 2017 template'!J116/((L10+L20+L30+L40)*L142*L307*L98))</f>
        <v>4.9360527319977213E-2</v>
      </c>
      <c r="M297" s="693">
        <f ca="1">IF(SUM(M10,M20,M40)=0,0.035,'IDEES okt 2017 template'!K116/((M10+M20+M30+M40)*M142*M307*M98))</f>
        <v>5.7230679578450738E-2</v>
      </c>
      <c r="N297" s="693">
        <f ca="1">IF(SUM(N10,N20,N40)=0,0.035,'IDEES okt 2017 template'!L116/((N10+N20+N30+N40)*N142*N307*N98))</f>
        <v>3.7052519524401251E-2</v>
      </c>
      <c r="O297" s="693">
        <f ca="1">IF(SUM(O10,O20,O40)=0,0.035,'IDEES okt 2017 template'!M116/((O10+O20+O30+O40)*O142*O307*O98))</f>
        <v>2.5936534803106297E-2</v>
      </c>
      <c r="P297" s="693">
        <f ca="1">IF(SUM(P10,P20,P40)=0,0.035,'IDEES okt 2017 template'!N116/((P10+P20+P30+P40)*P142*P307*P98))</f>
        <v>6.8820791082047236E-2</v>
      </c>
      <c r="Q297" s="693">
        <f ca="1">IF(SUM(Q10,Q20,Q40)=0,0.035,'IDEES okt 2017 template'!O116/((Q10+Q20+Q30+Q40)*Q142*Q307*Q98))</f>
        <v>4.71929702311654E-2</v>
      </c>
      <c r="R297" s="693">
        <f ca="1">IF(SUM(R10,R20,R40)=0,0.035,'IDEES okt 2017 template'!P116/((R10+R20+R30+R40)*R142*R307*R98))</f>
        <v>2.2789745064543874E-2</v>
      </c>
      <c r="S297" s="693">
        <f ca="1">IF(SUM(S10,S20,S40)=0,0.035,'IDEES okt 2017 template'!Q116/((S10+S20+S30+S40)*S142*S307*S98))</f>
        <v>3.8089564861714303E-2</v>
      </c>
      <c r="T297" s="693">
        <f ca="1">IF(SUM(T10,T20,T40)=0,0.035,'IDEES okt 2017 template'!R116/((T10+T20+T30+T40)*T142*T307*T98))</f>
        <v>3.5000000000000003E-2</v>
      </c>
      <c r="U297" s="693">
        <f ca="1">IF(SUM(U10,U20,U40)=0,0.035,'IDEES okt 2017 template'!S116/((U10+U20+U30+U40)*U142*U307*U98))</f>
        <v>6.0271931845691455E-2</v>
      </c>
      <c r="V297" s="693">
        <f ca="1">IF(SUM(V10,V20,V40)=0,0.035,'IDEES okt 2017 template'!T116/((V10+V20+V30+V40)*V142*V307*V98))</f>
        <v>9.7848076034972475E-2</v>
      </c>
      <c r="W297" s="693">
        <f ca="1">IF(SUM(W10,W20,W40)=0,0.035,'IDEES okt 2017 template'!U116/((W10+W20+W30+W40)*W142*W307*W98))</f>
        <v>3.2512306416184217E-2</v>
      </c>
      <c r="X297" s="693">
        <f ca="1">IF(SUM(X10,X20,X40)=0,0.035,'IDEES okt 2017 template'!V116/((X10+X20+X30+X40)*X142*X307*X98))</f>
        <v>3.6057609154047349E-2</v>
      </c>
      <c r="Y297" s="693">
        <f ca="1">IF(SUM(Y10,Y20,Y40)=0,0.035,'IDEES okt 2017 template'!W116/((Y10+Y20+Y30+Y40)*Y142*Y307*Y98))</f>
        <v>7.391470650424585E-2</v>
      </c>
      <c r="Z297" s="693">
        <f ca="1">IF(SUM(Z10,Z20,Z40)=0,0.035,'IDEES okt 2017 template'!X116/((Z10+Z20+Z30+Z40)*Z142*Z307*Z98))</f>
        <v>4.216693027917754E-2</v>
      </c>
      <c r="AA297" s="693">
        <f ca="1">IF(SUM(AA10,AA20,AA40)=0,0.035,'IDEES okt 2017 template'!Y116/((AA10+AA20+AA30+AA40)*AA142*AA307*AA98))</f>
        <v>3.5000000000000003E-2</v>
      </c>
      <c r="AB297" s="693">
        <f ca="1">IF(SUM(AB10,AB20,AB40)=0,0.035,'IDEES okt 2017 template'!Z116/((AB10+AB20+AB30+AB40)*AB142*AB307*AB98))</f>
        <v>5.8311735624452507E-2</v>
      </c>
      <c r="AC297" s="693">
        <f ca="1">IF(SUM(AC10,AC20,AC40)=0,0.035,'IDEES okt 2017 template'!AA116/((AC10+AC20+AC30+AC40)*AC142*AC307*AC98))</f>
        <v>3.4735193175669275E-2</v>
      </c>
      <c r="AD297" s="693">
        <f ca="1">IF(SUM(AD10,AD20,AD40)=0,0.035,'IDEES okt 2017 template'!AB116/((AD10+AD20+AD30+AD40)*AD142*AD307*AD98))</f>
        <v>4.2968111313296802E-2</v>
      </c>
      <c r="AE297" s="693">
        <f ca="1">IF(SUM(AE10,AE20,AE40)=0,0.035,'IDEES okt 2017 template'!AC116/((AE10+AE20+AE30+AE40)*AE142*AE307*AE98))</f>
        <v>1.2851764077048697E-2</v>
      </c>
      <c r="AF297" s="693">
        <f ca="1">IF(SUM(AF10,AF20,AF40)=0,0.035,'IDEES okt 2017 template'!AD116/((AF10+AF20+AF30+AF40)*AF142*AF307*AF98))</f>
        <v>2.1775935245931376E-2</v>
      </c>
      <c r="AG297" s="693">
        <f ca="1">IF(SUM(AG10,AG20,AG40)=0,0.035,'IDEES okt 2017 template'!AE116/((AG10+AG20+AG30+AG40)*AG142*AG307*AG98))</f>
        <v>6.4804257794108117E-2</v>
      </c>
      <c r="AH297" s="693">
        <f ca="1">IF(SUM(AH10,AH20,AH40)=0,0.035,'IDEES okt 2017 template'!AF116/((AH10+AH20+AH30+AH40)*AH142*AH307*AH98))</f>
        <v>3.9421502202890285E-2</v>
      </c>
      <c r="AI297" s="693">
        <f ca="1">IF(SUM(AI10,AI20,AI40)=0,0.035,'IDEES okt 2017 template'!AG116/((AI10+AI20+AI30+AI40)*AI142*AI307*AI98))</f>
        <v>3.5000000000000003E-2</v>
      </c>
      <c r="AJ297" s="693">
        <f ca="1">IF(SUM(AJ10,AJ20,AJ40)=0,0.035,'IDEES okt 2017 template'!AH116/((AJ10+AJ20+AJ30+AJ40)*AJ142*AJ307*AJ98))</f>
        <v>5.7406072231864315E-2</v>
      </c>
      <c r="AK297" s="693">
        <f ca="1">IF(SUM(AK10,AK20,AK40)=0,0.035,'IDEES okt 2017 template'!AI116/((AK10+AK20+AK30+AK40)*AK142*AK307*AK98))</f>
        <v>1.4136293731910537E-2</v>
      </c>
      <c r="AL297" s="693">
        <f ca="1">IF(SUM(AL10,AL20,AL40)=0,0.035,'IDEES okt 2017 template'!AJ116/((AL10+AL20+AL30+AL40)*AL142*AL307*AL98))</f>
        <v>3.5000000000000003E-2</v>
      </c>
      <c r="AM297" s="693">
        <f ca="1">IF(SUM(AM10,AM20,AM40)=0,0.035,'IDEES okt 2017 template'!AK116/((AM10+AM20+AM30+AM40)*AM142*AM307*AM98))</f>
        <v>3.5000000000000003E-2</v>
      </c>
      <c r="AN297" s="693">
        <f ca="1">IF(SUM(AN10,AN20,AN40)=0,0.035,'IDEES okt 2017 template'!AL116/((AN10+AN20+AN30+AN40)*AN142*AN307*AN98))</f>
        <v>2.0083741643468177E-2</v>
      </c>
      <c r="AO297" s="693">
        <f ca="1">IF(SUM(AO10,AO20,AO40)=0,0.035,'IDEES okt 2017 template'!AM116/((AO10+AO20+AO30+AO40)*AO142*AO307*AO98))</f>
        <v>2.9925042254518443E-2</v>
      </c>
      <c r="AP297" s="693">
        <f ca="1">IF(SUM(AP10,AP20,AP40)=0,0.035,'IDEES okt 2017 template'!AN116/((AP10+AP20+AP30+AP40)*AP142*AP307*AP98))</f>
        <v>2.0394288327577413E-2</v>
      </c>
    </row>
    <row r="298" spans="3:42">
      <c r="C298" t="s">
        <v>939</v>
      </c>
      <c r="E298" t="str">
        <f t="shared" si="185"/>
        <v>Biomass and wastes</v>
      </c>
      <c r="F298" s="693">
        <f ca="1">IF(SUM(F11,F21,F41)=0,0.035,'IDEES okt 2017 template'!D111/((F11+F21+F31+F41)*F143*F307*F99))</f>
        <v>5.5376963916245379E-2</v>
      </c>
      <c r="G298" s="693">
        <f ca="1">IF(SUM(G11,G21,G41)=0,0.035,'IDEES okt 2017 template'!E111/((G11+G21+G31+G41)*G143*G307*G99))</f>
        <v>7.6809988440298321E-2</v>
      </c>
      <c r="H298" s="693">
        <f ca="1">IF(SUM(H11,H21,H41)=0,0.035,'IDEES okt 2017 template'!F111/((H11+H21+H31+H41)*H143*H307*H99))</f>
        <v>2.107982211705144E-2</v>
      </c>
      <c r="I298" s="693">
        <f ca="1">IF(SUM(I11,I21,I41)=0,0.035,'IDEES okt 2017 template'!G111/((I11+I21+I31+I41)*I143*I307*I99))</f>
        <v>4.4083844367943291E-2</v>
      </c>
      <c r="J298" s="693">
        <f ca="1">IF(SUM(J11,J21,J41)=0,0.035,'IDEES okt 2017 template'!H111/((J11+J21+J31+J41)*J143*J307*J99))</f>
        <v>7.0025931105827301E-3</v>
      </c>
      <c r="K298" s="693">
        <f ca="1">IF(SUM(K11,K21,K41)=0,0.035,'IDEES okt 2017 template'!I111/((K11+K21+K31+K41)*K143*K307*K99))</f>
        <v>5.0482448659968038E-2</v>
      </c>
      <c r="L298" s="693">
        <f ca="1">IF(SUM(L11,L21,L41)=0,0.035,'IDEES okt 2017 template'!J111/((L11+L21+L31+L41)*L143*L307*L99))</f>
        <v>5.2221629897678264E-2</v>
      </c>
      <c r="M298" s="693">
        <f ca="1">IF(SUM(M11,M21,M41)=0,0.035,'IDEES okt 2017 template'!K111/((M11+M21+M31+M41)*M143*M307*M99))</f>
        <v>5.8861491972801223E-2</v>
      </c>
      <c r="N298" s="693">
        <f ca="1">IF(SUM(N11,N21,N41)=0,0.035,'IDEES okt 2017 template'!L111/((N11+N21+N31+N41)*N143*N307*N99))</f>
        <v>4.7403235887855881E-2</v>
      </c>
      <c r="O298" s="693">
        <f ca="1">IF(SUM(O11,O21,O41)=0,0.035,'IDEES okt 2017 template'!M111/((O11+O21+O31+O41)*O143*O307*O99))</f>
        <v>2.6710444266032127E-2</v>
      </c>
      <c r="P298" s="693">
        <f ca="1">IF(SUM(P11,P21,P41)=0,0.035,'IDEES okt 2017 template'!N111/((P11+P21+P31+P41)*P143*P307*P99))</f>
        <v>7.2844585665393591E-2</v>
      </c>
      <c r="Q298" s="693">
        <f ca="1">IF(SUM(Q11,Q21,Q41)=0,0.035,'IDEES okt 2017 template'!O111/((Q11+Q21+Q31+Q41)*Q143*Q307*Q99))</f>
        <v>5.2101722483940474E-2</v>
      </c>
      <c r="R298" s="693">
        <f ca="1">IF(SUM(R11,R21,R41)=0,0.035,'IDEES okt 2017 template'!P111/((R11+R21+R31+R41)*R143*R307*R99))</f>
        <v>2.4268498366069511E-2</v>
      </c>
      <c r="S298" s="693">
        <f ca="1">IF(SUM(S11,S21,S41)=0,0.035,'IDEES okt 2017 template'!Q111/((S11+S21+S31+S41)*S143*S307*S99))</f>
        <v>4.0237826187401508E-2</v>
      </c>
      <c r="T298" s="693">
        <f ca="1">IF(SUM(T11,T21,T41)=0,0.035,'IDEES okt 2017 template'!R111/((T11+T21+T31+T41)*T143*T307*T99))</f>
        <v>4.8345130969607179E-2</v>
      </c>
      <c r="U298" s="693">
        <f ca="1">IF(SUM(U11,U21,U41)=0,0.035,'IDEES okt 2017 template'!S111/((U11+U21+U31+U41)*U143*U307*U99))</f>
        <v>6.1797386251764015E-2</v>
      </c>
      <c r="V298" s="693">
        <f ca="1">IF(SUM(V11,V21,V41)=0,0.035,'IDEES okt 2017 template'!T111/((V11+V21+V31+V41)*V143*V307*V99))</f>
        <v>3.5000000000000003E-2</v>
      </c>
      <c r="W298" s="693">
        <f ca="1">IF(SUM(W11,W21,W41)=0,0.035,'IDEES okt 2017 template'!U111/((W11+W21+W31+W41)*W143*W307*W99))</f>
        <v>3.5291667631405579E-2</v>
      </c>
      <c r="X298" s="693">
        <f ca="1">IF(SUM(X11,X21,X41)=0,0.035,'IDEES okt 2017 template'!V111/((X11+X21+X31+X41)*X143*X307*X99))</f>
        <v>3.7292118348225788E-2</v>
      </c>
      <c r="Y298" s="693">
        <f ca="1">IF(SUM(Y11,Y21,Y41)=0,0.035,'IDEES okt 2017 template'!W111/((Y11+Y21+Y31+Y41)*Y143*Y307*Y99))</f>
        <v>8.0821263555645187E-2</v>
      </c>
      <c r="Z298" s="693">
        <f ca="1">IF(SUM(Z11,Z21,Z41)=0,0.035,'IDEES okt 2017 template'!X111/((Z11+Z21+Z31+Z41)*Z143*Z307*Z99))</f>
        <v>4.0613300256644516E-2</v>
      </c>
      <c r="AA298" s="693">
        <f ca="1">IF(SUM(AA11,AA21,AA41)=0,0.035,'IDEES okt 2017 template'!Y111/((AA11+AA21+AA31+AA41)*AA143*AA307*AA99))</f>
        <v>2.4156966632566616E-3</v>
      </c>
      <c r="AB298" s="693">
        <f ca="1">IF(SUM(AB11,AB21,AB41)=0,0.035,'IDEES okt 2017 template'!Z111/((AB11+AB21+AB31+AB41)*AB143*AB307*AB99))</f>
        <v>5.2977118646954917E-2</v>
      </c>
      <c r="AC298" s="693">
        <f ca="1">IF(SUM(AC11,AC21,AC41)=0,0.035,'IDEES okt 2017 template'!AA111/((AC11+AC21+AC31+AC41)*AC143*AC307*AC99))</f>
        <v>3.3555146533148575E-2</v>
      </c>
      <c r="AD298" s="693">
        <f ca="1">IF(SUM(AD11,AD21,AD41)=0,0.035,'IDEES okt 2017 template'!AB111/((AD11+AD21+AD31+AD41)*AD143*AD307*AD99))</f>
        <v>4.9047528154940595E-2</v>
      </c>
      <c r="AE298" s="693">
        <f ca="1">IF(SUM(AE11,AE21,AE41)=0,0.035,'IDEES okt 2017 template'!AC111/((AE11+AE21+AE31+AE41)*AE143*AE307*AE99))</f>
        <v>1.3319393712091083E-2</v>
      </c>
      <c r="AF298" s="693">
        <f ca="1">IF(SUM(AF11,AF21,AF41)=0,0.035,'IDEES okt 2017 template'!AD111/((AF11+AF21+AF31+AF41)*AF143*AF307*AF99))</f>
        <v>3.6848864656028511E-2</v>
      </c>
      <c r="AG298" s="693">
        <f ca="1">IF(SUM(AG11,AG21,AG41)=0,0.035,'IDEES okt 2017 template'!AE111/((AG11+AG21+AG31+AG41)*AG143*AG307*AG99))</f>
        <v>7.1888354615124994E-2</v>
      </c>
      <c r="AH298" s="693">
        <f ca="1">IF(SUM(AH11,AH21,AH41)=0,0.035,'IDEES okt 2017 template'!AF111/((AH11+AH21+AH31+AH41)*AH143*AH307*AH99))</f>
        <v>3.6566657532511579E-2</v>
      </c>
      <c r="AI298" s="693">
        <f ca="1">IF(SUM(AI11,AI21,AI41)=0,0.035,'IDEES okt 2017 template'!AG111/((AI11+AI21+AI31+AI41)*AI143*AI307*AI99))</f>
        <v>5.1795731802524288E-2</v>
      </c>
      <c r="AJ298" s="693">
        <f ca="1">IF(SUM(AJ11,AJ21,AJ41)=0,0.035,'IDEES okt 2017 template'!AH111/((AJ11+AJ21+AJ31+AJ41)*AJ143*AJ307*AJ99))</f>
        <v>6.0921065266909102E-2</v>
      </c>
      <c r="AK298" s="693">
        <f ca="1">IF(SUM(AK11,AK21,AK41)=0,0.035,'IDEES okt 2017 template'!AI111/((AK11+AK21+AK31+AK41)*AK143*AK307*AK99))</f>
        <v>1.4673013249916315E-2</v>
      </c>
      <c r="AL298" s="693">
        <f ca="1">IF(SUM(AL11,AL21,AL41)=0,0.035,'IDEES okt 2017 template'!AJ111/((AL11+AL21+AL31+AL41)*AL143*AL307*AL99))</f>
        <v>2.1811237801615285E-2</v>
      </c>
      <c r="AM298" s="693">
        <f ca="1">IF(SUM(AM11,AM21,AM41)=0,0.035,'IDEES okt 2017 template'!AK111/((AM11+AM21+AM31+AM41)*AM143*AM307*AM99))</f>
        <v>3.4604284547189369E-2</v>
      </c>
      <c r="AN298" s="693">
        <f ca="1">IF(SUM(AN11,AN21,AN41)=0,0.035,'IDEES okt 2017 template'!AL111/((AN11+AN21+AN31+AN41)*AN143*AN307*AN99))</f>
        <v>2.0846270799911928E-2</v>
      </c>
      <c r="AO298" s="693">
        <f ca="1">IF(SUM(AO11,AO21,AO41)=0,0.035,'IDEES okt 2017 template'!AM111/((AO11+AO21+AO31+AO41)*AO143*AO307*AO99))</f>
        <v>3.0927481239703191E-2</v>
      </c>
      <c r="AP298" s="693">
        <f ca="1">IF(SUM(AP11,AP21,AP41)=0,0.035,'IDEES okt 2017 template'!AN111/((AP11+AP21+AP31+AP41)*AP143*AP307*AP99))</f>
        <v>2.1077462958402706E-2</v>
      </c>
    </row>
    <row r="299" spans="3:42">
      <c r="C299" t="s">
        <v>939</v>
      </c>
      <c r="E299" t="str">
        <f t="shared" si="185"/>
        <v>Solids</v>
      </c>
      <c r="F299" s="693">
        <f ca="1">IF(SUM(F12,F22,F42)=0,0.035,'IDEES okt 2017 template'!D119/((F12+F22+F32+F42)*F144*F307*F100))</f>
        <v>5.3113077971322878E-2</v>
      </c>
      <c r="G299" s="693">
        <f ca="1">IF(SUM(G12,G22,G42)=0,0.035,'IDEES okt 2017 template'!E119/((G12+G22+G32+G42)*G144*G307*G100))</f>
        <v>6.449709288766374E-2</v>
      </c>
      <c r="H299" s="693">
        <f ca="1">IF(SUM(H12,H22,H42)=0,0.035,'IDEES okt 2017 template'!F119/((H12+H22+H32+H42)*H144*H307*H100))</f>
        <v>1.8574731635032388E-2</v>
      </c>
      <c r="I299" s="693">
        <f ca="1">IF(SUM(I12,I22,I42)=0,0.035,'IDEES okt 2017 template'!G119/((I12+I22+I32+I42)*I144*I307*I100))</f>
        <v>4.240572605102582E-2</v>
      </c>
      <c r="J299" s="693">
        <f ca="1">IF(SUM(J12,J22,J42)=0,0.035,'IDEES okt 2017 template'!H119/((J12+J22+J32+J42)*J144*J307*J100))</f>
        <v>3.5000000000000003E-2</v>
      </c>
      <c r="K299" s="693">
        <f ca="1">IF(SUM(K12,K22,K42)=0,0.035,'IDEES okt 2017 template'!I119/((K12+K22+K32+K42)*K144*K307*K100))</f>
        <v>4.6252588939213718E-2</v>
      </c>
      <c r="L299" s="693">
        <f ca="1">IF(SUM(L12,L22,L42)=0,0.035,'IDEES okt 2017 template'!J119/((L12+L22+L32+L42)*L144*L307*L100))</f>
        <v>4.625342345862269E-2</v>
      </c>
      <c r="M299" s="693">
        <f ca="1">IF(SUM(M12,M22,M42)=0,0.035,'IDEES okt 2017 template'!K119/((M12+M22+M32+M42)*M144*M307*M100))</f>
        <v>3.5000000000000003E-2</v>
      </c>
      <c r="N299" s="693">
        <f ca="1">IF(SUM(N12,N22,N42)=0,0.035,'IDEES okt 2017 template'!L119/((N12+N22+N32+N42)*N144*N307*N100))</f>
        <v>3.705764765132008E-2</v>
      </c>
      <c r="O299" s="693">
        <f ca="1">IF(SUM(O12,O22,O42)=0,0.035,'IDEES okt 2017 template'!M119/((O12+O22+O32+O42)*O144*O307*O100))</f>
        <v>2.3933532976232907E-2</v>
      </c>
      <c r="P299" s="693">
        <f ca="1">IF(SUM(P12,P22,P42)=0,0.035,'IDEES okt 2017 template'!N119/((P12+P22+P32+P42)*P144*P307*P100))</f>
        <v>6.4709053315974971E-2</v>
      </c>
      <c r="Q299" s="693">
        <f ca="1">IF(SUM(Q12,Q22,Q42)=0,0.035,'IDEES okt 2017 template'!O119/((Q12+Q22+Q32+Q42)*Q144*Q307*Q100))</f>
        <v>4.8920395729321609E-2</v>
      </c>
      <c r="R299" s="693">
        <f ca="1">IF(SUM(R12,R22,R42)=0,0.035,'IDEES okt 2017 template'!P119/((R12+R22+R32+R42)*R144*R307*R100))</f>
        <v>3.5000000000000003E-2</v>
      </c>
      <c r="S299" s="693">
        <f ca="1">IF(SUM(S12,S22,S42)=0,0.035,'IDEES okt 2017 template'!Q119/((S12+S22+S32+S42)*S144*S307*S100))</f>
        <v>4.080919948305399E-2</v>
      </c>
      <c r="T299" s="693">
        <f ca="1">IF(SUM(T12,T22,T42)=0,0.035,'IDEES okt 2017 template'!R119/((T12+T22+T32+T42)*T144*T307*T100))</f>
        <v>3.7784948236193452E-2</v>
      </c>
      <c r="U299" s="693">
        <f ca="1">IF(SUM(U12,U22,U42)=0,0.035,'IDEES okt 2017 template'!S119/((U12+U22+U32+U42)*U144*U307*U100))</f>
        <v>5.2435772698633885E-2</v>
      </c>
      <c r="V299" s="693">
        <f ca="1">IF(SUM(V12,V22,V42)=0,0.035,'IDEES okt 2017 template'!T119/((V12+V22+V32+V42)*V144*V307*V100))</f>
        <v>3.5000000000000003E-2</v>
      </c>
      <c r="W299" s="693">
        <f ca="1">IF(SUM(W12,W22,W42)=0,0.035,'IDEES okt 2017 template'!U119/((W12+W22+W32+W42)*W144*W307*W100))</f>
        <v>2.9103617701889569E-2</v>
      </c>
      <c r="X299" s="693">
        <f ca="1">IF(SUM(X12,X22,X42)=0,0.035,'IDEES okt 2017 template'!V119/((X12+X22+X32+X42)*X144*X307*X100))</f>
        <v>3.3279244655962735E-2</v>
      </c>
      <c r="Y299" s="693">
        <f ca="1">IF(SUM(Y12,Y22,Y42)=0,0.035,'IDEES okt 2017 template'!W119/((Y12+Y22+Y32+Y42)*Y144*Y307*Y100))</f>
        <v>6.7718195739498471E-2</v>
      </c>
      <c r="Z299" s="693">
        <f ca="1">IF(SUM(Z12,Z22,Z42)=0,0.035,'IDEES okt 2017 template'!X119/((Z12+Z22+Z32+Z42)*Z144*Z307*Z100))</f>
        <v>5.4278845740168571E-2</v>
      </c>
      <c r="AA299" s="693">
        <f ca="1">IF(SUM(AA12,AA22,AA42)=0,0.035,'IDEES okt 2017 template'!Y119/((AA12+AA22+AA32+AA42)*AA144*AA307*AA100))</f>
        <v>3.5000000000000003E-2</v>
      </c>
      <c r="AB299" s="693">
        <f ca="1">IF(SUM(AB12,AB22,AB42)=0,0.035,'IDEES okt 2017 template'!Z119/((AB12+AB22+AB32+AB42)*AB144*AB307*AB100))</f>
        <v>4.7839220280465E-2</v>
      </c>
      <c r="AC299" s="693">
        <f ca="1">IF(SUM(AC12,AC22,AC42)=0,0.035,'IDEES okt 2017 template'!AA119/((AC12+AC22+AC32+AC42)*AC144*AC307*AC100))</f>
        <v>3.5000000000000003E-2</v>
      </c>
      <c r="AD299" s="693">
        <f ca="1">IF(SUM(AD12,AD22,AD42)=0,0.035,'IDEES okt 2017 template'!AB119/((AD12+AD22+AD32+AD42)*AD144*AD307*AD100))</f>
        <v>4.4110968049196106E-2</v>
      </c>
      <c r="AE299" s="693">
        <f ca="1">IF(SUM(AE12,AE22,AE42)=0,0.035,'IDEES okt 2017 template'!AC119/((AE12+AE22+AE32+AE42)*AE144*AE307*AE100))</f>
        <v>3.5000000000000003E-2</v>
      </c>
      <c r="AF299" s="693">
        <f ca="1">IF(SUM(AF12,AF22,AF42)=0,0.035,'IDEES okt 2017 template'!AD119/((AF12+AF22+AF32+AF42)*AF144*AF307*AF100))</f>
        <v>1.6550065918422355E-2</v>
      </c>
      <c r="AG299" s="693">
        <f ca="1">IF(SUM(AG12,AG22,AG42)=0,0.035,'IDEES okt 2017 template'!AE119/((AG12+AG22+AG32+AG42)*AG144*AG307*AG100))</f>
        <v>3.5000000000000003E-2</v>
      </c>
      <c r="AH299" s="693">
        <f ca="1">IF(SUM(AH12,AH22,AH42)=0,0.035,'IDEES okt 2017 template'!AF119/((AH12+AH22+AH32+AH42)*AH144*AH307*AH100))</f>
        <v>3.5155952177405608E-2</v>
      </c>
      <c r="AI299" s="693">
        <f ca="1">IF(SUM(AI12,AI22,AI42)=0,0.035,'IDEES okt 2017 template'!AG119/((AI12+AI22+AI32+AI42)*AI144*AI307*AI100))</f>
        <v>4.567040805994646E-2</v>
      </c>
      <c r="AJ299" s="693">
        <f ca="1">IF(SUM(AJ12,AJ22,AJ42)=0,0.035,'IDEES okt 2017 template'!AH119/((AJ12+AJ22+AJ32+AJ42)*AJ144*AJ307*AJ100))</f>
        <v>5.2507825969567032E-2</v>
      </c>
      <c r="AK299" s="693">
        <f ca="1">IF(SUM(AK12,AK22,AK42)=0,0.035,'IDEES okt 2017 template'!AI119/((AK12+AK22+AK32+AK42)*AK144*AK307*AK100))</f>
        <v>3.5000000000000003E-2</v>
      </c>
      <c r="AL299" s="693">
        <f ca="1">IF(SUM(AL12,AL22,AL42)=0,0.035,'IDEES okt 2017 template'!AJ119/((AL12+AL22+AL32+AL42)*AL144*AL307*AL100))</f>
        <v>2.0439478541492272E-2</v>
      </c>
      <c r="AM299" s="693">
        <f ca="1">IF(SUM(AM12,AM22,AM42)=0,0.035,'IDEES okt 2017 template'!AK119/((AM12+AM22+AM32+AM42)*AM144*AM307*AM100))</f>
        <v>3.5000000000000003E-2</v>
      </c>
      <c r="AN299" s="693">
        <f ca="1">IF(SUM(AN12,AN22,AN42)=0,0.035,'IDEES okt 2017 template'!AL119/((AN12+AN22+AN32+AN42)*AN144*AN307*AN100))</f>
        <v>3.5000000000000003E-2</v>
      </c>
      <c r="AO299" s="693">
        <f ca="1">IF(SUM(AO12,AO22,AO42)=0,0.035,'IDEES okt 2017 template'!AM119/((AO12+AO22+AO32+AO42)*AO144*AO307*AO100))</f>
        <v>2.8982380316558799E-2</v>
      </c>
      <c r="AP299" s="693">
        <f ca="1">IF(SUM(AP12,AP22,AP42)=0,0.035,'IDEES okt 2017 template'!AN119/((AP12+AP22+AP32+AP42)*AP144*AP307*AP100))</f>
        <v>1.9751852497590275E-2</v>
      </c>
    </row>
    <row r="300" spans="3:42">
      <c r="C300" t="s">
        <v>939</v>
      </c>
      <c r="E300" t="str">
        <f t="shared" si="185"/>
        <v>LPG</v>
      </c>
      <c r="F300" s="693">
        <f ca="1">IF(SUM(F13,F23,F43)=0,0.035,'IDEES okt 2017 template'!D118/((F13+F23+F33+F43)*F145*F307*F101))</f>
        <v>5.1934093090261209E-2</v>
      </c>
      <c r="G300" s="693">
        <f ca="1">IF(SUM(G13,G23,G43)=0,0.035,'IDEES okt 2017 template'!E118/((G13+G23+G33+G43)*G145*G307*G101))</f>
        <v>7.1998671670956194E-2</v>
      </c>
      <c r="H300" s="693">
        <f ca="1">IF(SUM(H13,H23,H43)=0,0.035,'IDEES okt 2017 template'!F118/((H13+H23+H33+H43)*H145*H307*H101))</f>
        <v>1.8713753246195026E-2</v>
      </c>
      <c r="I300" s="693">
        <f ca="1">IF(SUM(I13,I23,I43)=0,0.035,'IDEES okt 2017 template'!G118/((I13+I23+I33+I43)*I145*I307*I101))</f>
        <v>3.5000000000000003E-2</v>
      </c>
      <c r="J300" s="693">
        <f ca="1">IF(SUM(J13,J23,J43)=0,0.035,'IDEES okt 2017 template'!H118/((J13+J23+J33+J43)*J145*J307*J101))</f>
        <v>7.8895655630823926E-3</v>
      </c>
      <c r="K300" s="693">
        <f ca="1">IF(SUM(K13,K23,K43)=0,0.035,'IDEES okt 2017 template'!I118/((K13+K23+K33+K43)*K145*K307*K101))</f>
        <v>3.5000000000000003E-2</v>
      </c>
      <c r="L300" s="693">
        <f ca="1">IF(SUM(L13,L23,L43)=0,0.035,'IDEES okt 2017 template'!J118/((L13+L23+L33+L43)*L145*L307*L101))</f>
        <v>4.9175137063851154E-2</v>
      </c>
      <c r="M300" s="693">
        <f ca="1">IF(SUM(M13,M23,M43)=0,0.035,'IDEES okt 2017 template'!K118/((M13+M23+M33+M43)*M145*M307*M101))</f>
        <v>5.9067006918159533E-2</v>
      </c>
      <c r="N300" s="693">
        <f ca="1">IF(SUM(N13,N23,N43)=0,0.035,'IDEES okt 2017 template'!L118/((N13+N23+N33+N43)*N145*N307*N101))</f>
        <v>3.5000000000000003E-2</v>
      </c>
      <c r="O300" s="693">
        <f ca="1">IF(SUM(O13,O23,O43)=0,0.035,'IDEES okt 2017 template'!M118/((O13+O23+O33+O43)*O145*O307*O101))</f>
        <v>2.5627060597817983E-2</v>
      </c>
      <c r="P300" s="693">
        <f ca="1">IF(SUM(P13,P23,P43)=0,0.035,'IDEES okt 2017 template'!N118/((P13+P23+P33+P43)*P145*P307*P101))</f>
        <v>3.5000000000000003E-2</v>
      </c>
      <c r="Q300" s="693">
        <f ca="1">IF(SUM(Q13,Q23,Q43)=0,0.035,'IDEES okt 2017 template'!O118/((Q13+Q23+Q33+Q43)*Q145*Q307*Q101))</f>
        <v>4.9345503131060516E-2</v>
      </c>
      <c r="R300" s="693">
        <f ca="1">IF(SUM(R13,R23,R43)=0,0.035,'IDEES okt 2017 template'!P118/((R13+R23+R33+R43)*R145*R307*R101))</f>
        <v>3.5000000000000003E-2</v>
      </c>
      <c r="S300" s="693">
        <f ca="1">IF(SUM(S13,S23,S43)=0,0.035,'IDEES okt 2017 template'!Q118/((S13+S23+S33+S43)*S145*S307*S101))</f>
        <v>3.839002511492344E-2</v>
      </c>
      <c r="T300" s="693">
        <f ca="1">IF(SUM(T13,T23,T43)=0,0.035,'IDEES okt 2017 template'!R118/((T13+T23+T33+T43)*T145*T307*T101))</f>
        <v>5.0704201945559239E-2</v>
      </c>
      <c r="U300" s="693">
        <f ca="1">IF(SUM(U13,U23,U43)=0,0.035,'IDEES okt 2017 template'!S118/((U13+U23+U33+U43)*U145*U307*U101))</f>
        <v>5.8543932607139207E-2</v>
      </c>
      <c r="V300" s="693">
        <f ca="1">IF(SUM(V13,V23,V43)=0,0.035,'IDEES okt 2017 template'!T118/((V13+V23+V33+V43)*V145*V307*V101))</f>
        <v>3.5000000000000003E-2</v>
      </c>
      <c r="W300" s="693">
        <f ca="1">IF(SUM(W13,W23,W43)=0,0.035,'IDEES okt 2017 template'!U118/((W13+W23+W33+W43)*W145*W307*W101))</f>
        <v>3.278387123023592E-2</v>
      </c>
      <c r="X300" s="693">
        <f ca="1">IF(SUM(X13,X23,X43)=0,0.035,'IDEES okt 2017 template'!V118/((X13+X23+X33+X43)*X145*X307*X101))</f>
        <v>3.5000000000000003E-2</v>
      </c>
      <c r="Y300" s="693">
        <f ca="1">IF(SUM(Y13,Y23,Y43)=0,0.035,'IDEES okt 2017 template'!W118/((Y13+Y23+Y33+Y43)*Y145*Y307*Y101))</f>
        <v>3.5000000000000003E-2</v>
      </c>
      <c r="Z300" s="693">
        <f ca="1">IF(SUM(Z13,Z23,Z43)=0,0.035,'IDEES okt 2017 template'!X118/((Z13+Z23+Z33+Z43)*Z145*Z307*Z101))</f>
        <v>3.5000000000000003E-2</v>
      </c>
      <c r="AA300" s="693">
        <f ca="1">IF(SUM(AA13,AA23,AA43)=0,0.035,'IDEES okt 2017 template'!Y118/((AA13+AA23+AA33+AA43)*AA145*AA307*AA101))</f>
        <v>3.6403050461963492E-3</v>
      </c>
      <c r="AB300" s="693">
        <f ca="1">IF(SUM(AB13,AB23,AB43)=0,0.035,'IDEES okt 2017 template'!Z118/((AB13+AB23+AB33+AB43)*AB145*AB307*AB101))</f>
        <v>3.5000000000000003E-2</v>
      </c>
      <c r="AC300" s="693">
        <f ca="1">IF(SUM(AC13,AC23,AC43)=0,0.035,'IDEES okt 2017 template'!AA118/((AC13+AC23+AC33+AC43)*AC145*AC307*AC101))</f>
        <v>3.5000000000000003E-2</v>
      </c>
      <c r="AD300" s="693">
        <f ca="1">IF(SUM(AD13,AD23,AD43)=0,0.035,'IDEES okt 2017 template'!AB118/((AD13+AD23+AD33+AD43)*AD145*AD307*AD101))</f>
        <v>3.5000000000000003E-2</v>
      </c>
      <c r="AE300" s="693">
        <f ca="1">IF(SUM(AE13,AE23,AE43)=0,0.035,'IDEES okt 2017 template'!AC118/((AE13+AE23+AE33+AE43)*AE145*AE307*AE101))</f>
        <v>1.2420196848587186E-2</v>
      </c>
      <c r="AF300" s="693">
        <f ca="1">IF(SUM(AF13,AF23,AF43)=0,0.035,'IDEES okt 2017 template'!AD118/((AF13+AF23+AF33+AF43)*AF145*AF307*AF101))</f>
        <v>3.5000000000000003E-2</v>
      </c>
      <c r="AG300" s="693">
        <f ca="1">IF(SUM(AG13,AG23,AG43)=0,0.035,'IDEES okt 2017 template'!AE118/((AG13+AG23+AG33+AG43)*AG145*AG307*AG101))</f>
        <v>3.5000000000000003E-2</v>
      </c>
      <c r="AH300" s="693">
        <f ca="1">IF(SUM(AH13,AH23,AH43)=0,0.035,'IDEES okt 2017 template'!AF118/((AH13+AH23+AH33+AH43)*AH145*AH307*AH101))</f>
        <v>3.7913794541011701E-2</v>
      </c>
      <c r="AI300" s="693">
        <f ca="1">IF(SUM(AI13,AI23,AI43)=0,0.035,'IDEES okt 2017 template'!AG118/((AI13+AI23+AI33+AI43)*AI145*AI307*AI101))</f>
        <v>3.5000000000000003E-2</v>
      </c>
      <c r="AJ300" s="693">
        <f ca="1">IF(SUM(AJ13,AJ23,AJ43)=0,0.035,'IDEES okt 2017 template'!AH118/((AJ13+AJ23+AJ33+AJ43)*AJ145*AJ307*AJ101))</f>
        <v>5.6163643228042445E-2</v>
      </c>
      <c r="AK300" s="693">
        <f ca="1">IF(SUM(AK13,AK23,AK43)=0,0.035,'IDEES okt 2017 template'!AI118/((AK13+AK23+AK33+AK43)*AK145*AK307*AK101))</f>
        <v>3.5000000000000003E-2</v>
      </c>
      <c r="AL300" s="693">
        <f ca="1">IF(SUM(AL13,AL23,AL43)=0,0.035,'IDEES okt 2017 template'!AJ118/((AL13+AL23+AL33+AL43)*AL145*AL307*AL101))</f>
        <v>3.5000000000000003E-2</v>
      </c>
      <c r="AM300" s="693">
        <f ca="1">IF(SUM(AM13,AM23,AM43)=0,0.035,'IDEES okt 2017 template'!AK118/((AM13+AM23+AM33+AM43)*AM145*AM307*AM101))</f>
        <v>3.5000000000000003E-2</v>
      </c>
      <c r="AN300" s="693">
        <f ca="1">IF(SUM(AN13,AN23,AN43)=0,0.035,'IDEES okt 2017 template'!AL118/((AN13+AN23+AN33+AN43)*AN145*AN307*AN101))</f>
        <v>3.5000000000000003E-2</v>
      </c>
      <c r="AO300" s="693">
        <f ca="1">IF(SUM(AO13,AO23,AO43)=0,0.035,'IDEES okt 2017 template'!AM118/((AO13+AO23+AO33+AO43)*AO145*AO307*AO101))</f>
        <v>2.9925042254518436E-2</v>
      </c>
      <c r="AP300" s="693">
        <f ca="1">IF(SUM(AP13,AP23,AP43)=0,0.035,'IDEES okt 2017 template'!AN118/((AP13+AP23+AP33+AP43)*AP145*AP307*AP101))</f>
        <v>2.0394288327577413E-2</v>
      </c>
    </row>
    <row r="301" spans="3:42">
      <c r="C301" t="s">
        <v>939</v>
      </c>
      <c r="E301" t="str">
        <f t="shared" si="185"/>
        <v>Geothermal Energy</v>
      </c>
      <c r="F301" s="693">
        <f ca="1">IF(SUM(F14,F24,F44)=0,0,'IDEES okt 2017 template'!D117/((F14+F24+F34+F44)*F146*F307*F102))</f>
        <v>0</v>
      </c>
      <c r="G301" s="693">
        <f ca="1">IF(SUM(G14,G24,G44)=0,0,'IDEES okt 2017 template'!E117/((G14+G24+G34+G44)*G146*G307*G102))</f>
        <v>0</v>
      </c>
      <c r="H301" s="693">
        <f ca="1">IF(SUM(H14,H24,H44)=0,0,'IDEES okt 2017 template'!F117/((H14+H24+H34+H44)*H146*H307*H102))</f>
        <v>0</v>
      </c>
      <c r="I301" s="693">
        <f ca="1">IF(SUM(I14,I24,I44)=0,0,'IDEES okt 2017 template'!G117/((I14+I24+I34+I44)*I146*I307*I102))</f>
        <v>4.1017955090067976E-2</v>
      </c>
      <c r="J301" s="693">
        <f ca="1">IF(SUM(J14,J24,J44)=0,0,'IDEES okt 2017 template'!H117/((J14+J24+J34+J44)*J146*J307*J102))</f>
        <v>6.960167383819763E-3</v>
      </c>
      <c r="K301" s="693">
        <f ca="1">IF(SUM(K14,K24,K44)=0,0,'IDEES okt 2017 template'!I117/((K14+K24+K34+K44)*K146*K307*K102))</f>
        <v>0</v>
      </c>
      <c r="L301" s="693">
        <f ca="1">IF(SUM(L14,L24,L44)=0,0,'IDEES okt 2017 template'!J117/((L14+L24+L34+L44)*L146*L307*L102))</f>
        <v>4.5470882230875247E-2</v>
      </c>
      <c r="M301" s="693">
        <f ca="1">IF(SUM(M14,M24,M44)=0,0,'IDEES okt 2017 template'!K117/((M14+M24+M34+M44)*M146*M307*M102))</f>
        <v>0</v>
      </c>
      <c r="N301" s="693">
        <f ca="1">IF(SUM(N14,N24,N44)=0,0,'IDEES okt 2017 template'!L117/((N14+N24+N34+N44)*N146*N307*N102))</f>
        <v>0</v>
      </c>
      <c r="O301" s="693">
        <f ca="1">IF(SUM(O14,O24,O44)=0,0,'IDEES okt 2017 template'!M117/((O14+O24+O34+O44)*O146*O307*O102))</f>
        <v>2.5823980731557662E-2</v>
      </c>
      <c r="P301" s="693">
        <f ca="1">IF(SUM(P14,P24,P44)=0,0,'IDEES okt 2017 template'!N117/((P14+P24+P34+P44)*P146*P307*P102))</f>
        <v>0</v>
      </c>
      <c r="Q301" s="693">
        <f ca="1">IF(SUM(Q14,Q24,Q44)=0,0,'IDEES okt 2017 template'!O117/((Q14+Q24+Q34+Q44)*Q146*Q307*Q102))</f>
        <v>4.5647721975751426E-2</v>
      </c>
      <c r="R301" s="693">
        <f ca="1">IF(SUM(R14,R24,R44)=0,0,'IDEES okt 2017 template'!P117/((R14+R24+R34+R44)*R146*R307*R102))</f>
        <v>2.7070767730157881E-2</v>
      </c>
      <c r="S301" s="693">
        <f ca="1">IF(SUM(S14,S24,S44)=0,0,'IDEES okt 2017 template'!Q117/((S14+S24+S34+S44)*S146*S307*S102))</f>
        <v>0</v>
      </c>
      <c r="T301" s="693">
        <f ca="1">IF(SUM(T14,T24,T44)=0,0,'IDEES okt 2017 template'!R117/((T14+T24+T34+T44)*T146*T307*T102))</f>
        <v>0</v>
      </c>
      <c r="U301" s="693">
        <f ca="1">IF(SUM(U14,U24,U44)=0,0,'IDEES okt 2017 template'!S117/((U14+U24+U34+U44)*U146*U307*U102))</f>
        <v>0</v>
      </c>
      <c r="V301" s="693">
        <f ca="1">IF(SUM(V14,V24,V44)=0,0,'IDEES okt 2017 template'!T117/((V14+V24+V34+V44)*V146*V307*V102))</f>
        <v>8.7258035447990573E-2</v>
      </c>
      <c r="W301" s="693">
        <f ca="1">IF(SUM(W14,W24,W44)=0,0,'IDEES okt 2017 template'!U117/((W14+W24+W34+W44)*W146*W307*W102))</f>
        <v>2.6837723708481098E-2</v>
      </c>
      <c r="X301" s="693">
        <f ca="1">IF(SUM(X14,X24,X44)=0,0,'IDEES okt 2017 template'!V117/((X14+X24+X34+X44)*X146*X307*X102))</f>
        <v>0</v>
      </c>
      <c r="Y301" s="693">
        <f ca="1">IF(SUM(Y14,Y24,Y44)=0,0,'IDEES okt 2017 template'!W117/((Y14+Y24+Y34+Y44)*Y146*Y307*Y102))</f>
        <v>0</v>
      </c>
      <c r="Z301" s="693">
        <f ca="1">IF(SUM(Z14,Z24,Z44)=0,0,'IDEES okt 2017 template'!X117/((Z14+Z24+Z34+Z44)*Z146*Z307*Z102))</f>
        <v>0</v>
      </c>
      <c r="AA301" s="693">
        <f ca="1">IF(SUM(AA14,AA24,AA44)=0,0,'IDEES okt 2017 template'!Y117/((AA14+AA24+AA34+AA44)*AA146*AA307*AA102))</f>
        <v>0</v>
      </c>
      <c r="AB301" s="693">
        <f ca="1">IF(SUM(AB14,AB24,AB44)=0,0,'IDEES okt 2017 template'!Z117/((AB14+AB24+AB34+AB44)*AB146*AB307*AB102))</f>
        <v>0</v>
      </c>
      <c r="AC301" s="693">
        <f ca="1">IF(SUM(AC14,AC24,AC44)=0,0,'IDEES okt 2017 template'!AA117/((AC14+AC24+AC34+AC44)*AC146*AC307*AC102))</f>
        <v>0</v>
      </c>
      <c r="AD301" s="693">
        <f ca="1">IF(SUM(AD14,AD24,AD44)=0,0,'IDEES okt 2017 template'!AB117/((AD14+AD24+AD34+AD44)*AD146*AD307*AD102))</f>
        <v>4.108840640938826E-2</v>
      </c>
      <c r="AE301" s="693">
        <f ca="1">IF(SUM(AE14,AE24,AE44)=0,0,'IDEES okt 2017 template'!AC117/((AE14+AE24+AE34+AE44)*AE146*AE307*AE102))</f>
        <v>0</v>
      </c>
      <c r="AF301" s="693">
        <f ca="1">IF(SUM(AF14,AF24,AF44)=0,0,'IDEES okt 2017 template'!AD117/((AF14+AF24+AF34+AF44)*AF146*AF307*AF102))</f>
        <v>3.9438643115072086E-2</v>
      </c>
      <c r="AG301" s="693">
        <f ca="1">IF(SUM(AG14,AG24,AG44)=0,0,'IDEES okt 2017 template'!AE117/((AG14+AG24+AG34+AG44)*AG146*AG307*AG102))</f>
        <v>0</v>
      </c>
      <c r="AH301" s="693">
        <f ca="1">IF(SUM(AH14,AH24,AH44)=0,0,'IDEES okt 2017 template'!AF117/((AH14+AH24+AH34+AH44)*AH146*AH307*AH102))</f>
        <v>3.3900599944396606E-2</v>
      </c>
      <c r="AI301" s="693">
        <f ca="1">IF(SUM(AI14,AI24,AI44)=0,0,'IDEES okt 2017 template'!AG117/((AI14+AI24+AI34+AI44)*AI146*AI307*AI102))</f>
        <v>0</v>
      </c>
      <c r="AJ301" s="693">
        <f ca="1">IF(SUM(AJ14,AJ24,AJ44)=0,0,'IDEES okt 2017 template'!AH117/((AJ14+AJ24+AJ34+AJ44)*AJ146*AJ307*AJ102))</f>
        <v>0</v>
      </c>
      <c r="AK301" s="693">
        <f ca="1">IF(SUM(AK14,AK24,AK44)=0,0,'IDEES okt 2017 template'!AI117/((AK14+AK24+AK34+AK44)*AK146*AK307*AK102))</f>
        <v>0</v>
      </c>
      <c r="AL301" s="693">
        <f ca="1">IF(SUM(AL14,AL24,AL44)=0,0,'IDEES okt 2017 template'!AJ117/((AL14+AL24+AL34+AL44)*AL146*AL307*AL102))</f>
        <v>0</v>
      </c>
      <c r="AM301" s="693">
        <f ca="1">IF(SUM(AM14,AM24,AM44)=0,0,'IDEES okt 2017 template'!AK117/((AM14+AM24+AM34+AM44)*AM146*AM307*AM102))</f>
        <v>0</v>
      </c>
      <c r="AN301" s="693">
        <f ca="1">IF(SUM(AN14,AN24,AN44)=0,0,'IDEES okt 2017 template'!AL117/((AN14+AN24+AN34+AN44)*AN146*AN307*AN102))</f>
        <v>0</v>
      </c>
      <c r="AO301" s="693">
        <f ca="1">IF(SUM(AO14,AO24,AO44)=0,0,'IDEES okt 2017 template'!AM117/((AO14+AO24+AO34+AO44)*AO146*AO307*AO102))</f>
        <v>0</v>
      </c>
      <c r="AP301" s="693">
        <f ca="1">IF(SUM(AP14,AP24,AP44)=0,0,'IDEES okt 2017 template'!AN117/((AP14+AP24+AP34+AP44)*AP146*AP307*AP102))</f>
        <v>0</v>
      </c>
    </row>
    <row r="304" spans="3:42">
      <c r="L304" s="496"/>
    </row>
    <row r="305" spans="1:42">
      <c r="C305" s="690"/>
      <c r="D305" s="690"/>
      <c r="E305" s="533" t="s">
        <v>601</v>
      </c>
      <c r="F305" s="690"/>
      <c r="G305" s="690"/>
      <c r="H305" s="690"/>
      <c r="I305" s="690"/>
      <c r="J305" s="690"/>
      <c r="K305" s="690"/>
      <c r="L305" s="690"/>
      <c r="M305" s="690"/>
      <c r="N305" s="690"/>
      <c r="O305" s="690"/>
      <c r="P305" s="690"/>
      <c r="Q305" s="690"/>
      <c r="R305" s="690"/>
      <c r="S305" s="690"/>
      <c r="T305" s="690"/>
      <c r="U305" s="690"/>
      <c r="V305" s="690"/>
      <c r="W305" s="690"/>
      <c r="X305" s="690"/>
      <c r="Y305" s="690"/>
      <c r="Z305" s="690"/>
      <c r="AA305" s="690"/>
      <c r="AB305" s="690"/>
      <c r="AC305" s="690"/>
      <c r="AD305" s="690"/>
      <c r="AE305" s="690"/>
      <c r="AF305" s="690"/>
      <c r="AG305" s="690"/>
      <c r="AH305" s="690"/>
      <c r="AI305" s="690"/>
      <c r="AJ305" s="690"/>
      <c r="AK305" s="690"/>
      <c r="AL305" s="690"/>
      <c r="AM305" s="690"/>
      <c r="AN305" s="690"/>
      <c r="AO305" s="690"/>
      <c r="AP305" s="690"/>
    </row>
    <row r="306" spans="1:42" ht="15" thickBot="1">
      <c r="C306" s="539" t="s">
        <v>545</v>
      </c>
      <c r="D306" s="539" t="s">
        <v>585</v>
      </c>
      <c r="E306" s="539" t="s">
        <v>592</v>
      </c>
      <c r="F306" s="540" t="s">
        <v>88</v>
      </c>
      <c r="G306" s="540" t="s">
        <v>89</v>
      </c>
      <c r="H306" s="540" t="s">
        <v>90</v>
      </c>
      <c r="I306" s="540" t="s">
        <v>91</v>
      </c>
      <c r="J306" s="540" t="s">
        <v>92</v>
      </c>
      <c r="K306" s="540" t="s">
        <v>93</v>
      </c>
      <c r="L306" s="540" t="s">
        <v>94</v>
      </c>
      <c r="M306" s="540" t="s">
        <v>95</v>
      </c>
      <c r="N306" s="540" t="s">
        <v>96</v>
      </c>
      <c r="O306" s="540" t="s">
        <v>97</v>
      </c>
      <c r="P306" s="540" t="s">
        <v>98</v>
      </c>
      <c r="Q306" s="540" t="s">
        <v>99</v>
      </c>
      <c r="R306" s="540" t="s">
        <v>205</v>
      </c>
      <c r="S306" s="540" t="s">
        <v>118</v>
      </c>
      <c r="T306" s="540" t="s">
        <v>100</v>
      </c>
      <c r="U306" s="540" t="s">
        <v>101</v>
      </c>
      <c r="V306" s="540" t="s">
        <v>102</v>
      </c>
      <c r="W306" s="540" t="s">
        <v>103</v>
      </c>
      <c r="X306" s="540" t="s">
        <v>104</v>
      </c>
      <c r="Y306" s="540" t="s">
        <v>105</v>
      </c>
      <c r="Z306" s="540" t="s">
        <v>106</v>
      </c>
      <c r="AA306" s="540" t="s">
        <v>107</v>
      </c>
      <c r="AB306" s="540" t="s">
        <v>108</v>
      </c>
      <c r="AC306" s="540" t="s">
        <v>109</v>
      </c>
      <c r="AD306" s="540" t="s">
        <v>110</v>
      </c>
      <c r="AE306" s="540" t="s">
        <v>111</v>
      </c>
      <c r="AF306" s="540" t="s">
        <v>112</v>
      </c>
      <c r="AG306" s="540" t="s">
        <v>113</v>
      </c>
      <c r="AH306" s="540" t="s">
        <v>114</v>
      </c>
      <c r="AI306" s="540" t="s">
        <v>115</v>
      </c>
      <c r="AJ306" s="540" t="s">
        <v>52</v>
      </c>
      <c r="AK306" s="540" t="s">
        <v>116</v>
      </c>
      <c r="AL306" s="540" t="s">
        <v>117</v>
      </c>
      <c r="AM306" s="540" t="s">
        <v>119</v>
      </c>
      <c r="AN306" s="540" t="s">
        <v>120</v>
      </c>
      <c r="AO306" s="540" t="s">
        <v>121</v>
      </c>
      <c r="AP306" s="540" t="s">
        <v>122</v>
      </c>
    </row>
    <row r="307" spans="1:42">
      <c r="C307" s="770" t="str">
        <f>CONCATENATE("Adj_",RIGHT(D307,9))</f>
        <v>Adj_FL-SpHeat</v>
      </c>
      <c r="D307" s="770" t="str">
        <f>E5</f>
        <v>R_ES-FL-SpHeat</v>
      </c>
      <c r="E307" s="770" t="str">
        <f>CONCATENATE(D307,"-I")</f>
        <v>R_ES-FL-SpHeat-I</v>
      </c>
      <c r="F307" s="770">
        <f>1*'HDD-by Country'!H5</f>
        <v>0.9650019610856575</v>
      </c>
      <c r="G307" s="770">
        <f>1*'HDD-by Country'!H7</f>
        <v>0.90485294155024554</v>
      </c>
      <c r="H307" s="770">
        <f>1*'HDD-by Country'!H8</f>
        <v>1.0351791908688779</v>
      </c>
      <c r="I307" s="770">
        <f>1*'HDD-by Country'!H9</f>
        <v>1</v>
      </c>
      <c r="J307" s="770">
        <f>1*'HDD-by Country'!H10</f>
        <v>1.7683132102066432</v>
      </c>
      <c r="K307" s="770">
        <f>1*'HDD-by Country'!H11</f>
        <v>0.93177487522040769</v>
      </c>
      <c r="L307" s="770">
        <f>1*'HDD-by Country'!H12</f>
        <v>0.89702807490530301</v>
      </c>
      <c r="M307" s="770">
        <f>1*'HDD-by Country'!H13</f>
        <v>0.88207103860313485</v>
      </c>
      <c r="N307" s="770">
        <f>1*'HDD-by Country'!H14</f>
        <v>0.92265186007087596</v>
      </c>
      <c r="O307" s="770">
        <f>1*'HDD-by Country'!H16</f>
        <v>0.96286389992456922</v>
      </c>
      <c r="P307" s="770">
        <f>1*'HDD-by Country'!H17</f>
        <v>0.96561436245131038</v>
      </c>
      <c r="Q307" s="770">
        <f>1*'HDD-by Country'!H18</f>
        <v>0.91710884571472895</v>
      </c>
      <c r="R307" s="770">
        <f>1*'HDD-by Country'!H15</f>
        <v>1.2386992618642643</v>
      </c>
      <c r="S307" s="770">
        <f>1*'HDD-by Country'!H19</f>
        <v>1.0663616475625417</v>
      </c>
      <c r="T307" s="770">
        <f>1*'HDD-by Country'!H20</f>
        <v>0.99507188376253464</v>
      </c>
      <c r="U307" s="770">
        <f>1*'HDD-by Country'!H21</f>
        <v>0.92982050814382844</v>
      </c>
      <c r="V307" s="770">
        <f>1*'HDD-by Country'!H22</f>
        <v>1</v>
      </c>
      <c r="W307" s="770">
        <f>1*'HDD-by Country'!H23</f>
        <v>0.98930247050196585</v>
      </c>
      <c r="X307" s="770">
        <f>1*'HDD-by Country'!H25</f>
        <v>0.92847519993048722</v>
      </c>
      <c r="Y307" s="770">
        <f>1*'HDD-by Country'!H26</f>
        <v>0.95600015274013983</v>
      </c>
      <c r="Z307" s="770">
        <f>1*'HDD-by Country'!H27</f>
        <v>0.92271004863222206</v>
      </c>
      <c r="AA307" s="770">
        <f>1*'HDD-by Country'!H30</f>
        <v>1.4556190731078373</v>
      </c>
      <c r="AB307" s="770">
        <f>1*'HDD-by Country'!H31</f>
        <v>0.8794421034727099</v>
      </c>
      <c r="AC307" s="770">
        <f>1*'HDD-by Country'!H32</f>
        <v>1</v>
      </c>
      <c r="AD307" s="770">
        <f>1*'HDD-by Country'!H33</f>
        <v>0.93181663735365372</v>
      </c>
      <c r="AE307" s="770">
        <f>1*'HDD-by Country'!H34</f>
        <v>0.99399096324330916</v>
      </c>
      <c r="AF307" s="770">
        <f>1*'HDD-by Country'!H35</f>
        <v>1.0470726891018878</v>
      </c>
      <c r="AG307" s="770">
        <f>1*'HDD-by Country'!H37</f>
        <v>0.92681614280478619</v>
      </c>
      <c r="AH307" s="770">
        <f>1*'HDD-by Country'!H38</f>
        <v>1.0039862796329326</v>
      </c>
      <c r="AI307" s="770">
        <f>1*'HDD-by Country'!H39</f>
        <v>0.99583447684172133</v>
      </c>
      <c r="AJ307" s="770">
        <f>1*'HDD-by Country'!H40</f>
        <v>0.91528448898413306</v>
      </c>
      <c r="AK307" s="770">
        <f>1*'HDD-by Country'!H4</f>
        <v>1</v>
      </c>
      <c r="AL307" s="770">
        <f>1*'HDD-by Country'!H6</f>
        <v>1</v>
      </c>
      <c r="AM307" s="770">
        <f>1*'HDD-by Country'!H28</f>
        <v>1</v>
      </c>
      <c r="AN307" s="770">
        <f>1*'HDD-by Country'!H29</f>
        <v>1</v>
      </c>
      <c r="AO307" s="770">
        <f>1*'HDD-by Country'!H36</f>
        <v>1</v>
      </c>
      <c r="AP307" s="770">
        <f>1*'HDD-by Country'!H24</f>
        <v>1</v>
      </c>
    </row>
    <row r="308" spans="1:42">
      <c r="C308" s="770" t="str">
        <f>CONCATENATE("Adj_",RIGHT(D308,9))</f>
        <v>Adj_DH-SpHeat</v>
      </c>
      <c r="D308" s="770" t="str">
        <f>E15</f>
        <v>R_ES-DH-SpHeat</v>
      </c>
      <c r="E308" s="770" t="str">
        <f>CONCATENATE(D308,"-I")</f>
        <v>R_ES-DH-SpHeat-I</v>
      </c>
      <c r="F308" s="770">
        <f>F307</f>
        <v>0.9650019610856575</v>
      </c>
      <c r="G308" s="770">
        <f t="shared" ref="G308:AP309" si="186">G307</f>
        <v>0.90485294155024554</v>
      </c>
      <c r="H308" s="770">
        <f t="shared" si="186"/>
        <v>1.0351791908688779</v>
      </c>
      <c r="I308" s="770">
        <f>I307</f>
        <v>1</v>
      </c>
      <c r="J308" s="770">
        <f t="shared" si="186"/>
        <v>1.7683132102066432</v>
      </c>
      <c r="K308" s="770">
        <f t="shared" si="186"/>
        <v>0.93177487522040769</v>
      </c>
      <c r="L308" s="770">
        <f t="shared" si="186"/>
        <v>0.89702807490530301</v>
      </c>
      <c r="M308" s="770">
        <f t="shared" si="186"/>
        <v>0.88207103860313485</v>
      </c>
      <c r="N308" s="770">
        <f t="shared" si="186"/>
        <v>0.92265186007087596</v>
      </c>
      <c r="O308" s="770">
        <f t="shared" si="186"/>
        <v>0.96286389992456922</v>
      </c>
      <c r="P308" s="770">
        <f t="shared" si="186"/>
        <v>0.96561436245131038</v>
      </c>
      <c r="Q308" s="770">
        <f t="shared" si="186"/>
        <v>0.91710884571472895</v>
      </c>
      <c r="R308" s="770">
        <f t="shared" si="186"/>
        <v>1.2386992618642643</v>
      </c>
      <c r="S308" s="770">
        <f t="shared" si="186"/>
        <v>1.0663616475625417</v>
      </c>
      <c r="T308" s="770">
        <f t="shared" si="186"/>
        <v>0.99507188376253464</v>
      </c>
      <c r="U308" s="770">
        <f t="shared" si="186"/>
        <v>0.92982050814382844</v>
      </c>
      <c r="V308" s="770">
        <f>V307</f>
        <v>1</v>
      </c>
      <c r="W308" s="770">
        <f t="shared" si="186"/>
        <v>0.98930247050196585</v>
      </c>
      <c r="X308" s="770">
        <f t="shared" si="186"/>
        <v>0.92847519993048722</v>
      </c>
      <c r="Y308" s="770">
        <f t="shared" si="186"/>
        <v>0.95600015274013983</v>
      </c>
      <c r="Z308" s="770">
        <f t="shared" si="186"/>
        <v>0.92271004863222206</v>
      </c>
      <c r="AA308" s="770">
        <f t="shared" si="186"/>
        <v>1.4556190731078373</v>
      </c>
      <c r="AB308" s="770">
        <f t="shared" si="186"/>
        <v>0.8794421034727099</v>
      </c>
      <c r="AC308" s="770">
        <f>AC307</f>
        <v>1</v>
      </c>
      <c r="AD308" s="770">
        <f t="shared" si="186"/>
        <v>0.93181663735365372</v>
      </c>
      <c r="AE308" s="770">
        <f t="shared" si="186"/>
        <v>0.99399096324330916</v>
      </c>
      <c r="AF308" s="770">
        <f t="shared" si="186"/>
        <v>1.0470726891018878</v>
      </c>
      <c r="AG308" s="770">
        <f t="shared" si="186"/>
        <v>0.92681614280478619</v>
      </c>
      <c r="AH308" s="770">
        <f t="shared" si="186"/>
        <v>1.0039862796329326</v>
      </c>
      <c r="AI308" s="770">
        <f t="shared" si="186"/>
        <v>0.99583447684172133</v>
      </c>
      <c r="AJ308" s="770">
        <f t="shared" si="186"/>
        <v>0.91528448898413306</v>
      </c>
      <c r="AK308" s="770">
        <f t="shared" si="186"/>
        <v>1</v>
      </c>
      <c r="AL308" s="770">
        <f t="shared" si="186"/>
        <v>1</v>
      </c>
      <c r="AM308" s="770">
        <f t="shared" si="186"/>
        <v>1</v>
      </c>
      <c r="AN308" s="770">
        <f t="shared" si="186"/>
        <v>1</v>
      </c>
      <c r="AO308" s="770">
        <f t="shared" si="186"/>
        <v>1</v>
      </c>
      <c r="AP308" s="770">
        <f t="shared" si="186"/>
        <v>1</v>
      </c>
    </row>
    <row r="309" spans="1:42">
      <c r="C309" s="770" t="str">
        <f>CONCATENATE("Adj_",RIGHT(D309,9))</f>
        <v>Adj_SD-SpHeat</v>
      </c>
      <c r="D309" s="207" t="str">
        <f>E35</f>
        <v>R_ES-SD-SpHeat</v>
      </c>
      <c r="E309" s="770" t="str">
        <f>CONCATENATE(D309,"-I")</f>
        <v>R_ES-SD-SpHeat-I</v>
      </c>
      <c r="F309" s="770">
        <f>F308</f>
        <v>0.9650019610856575</v>
      </c>
      <c r="G309" s="770">
        <f t="shared" si="186"/>
        <v>0.90485294155024554</v>
      </c>
      <c r="H309" s="770">
        <f t="shared" si="186"/>
        <v>1.0351791908688779</v>
      </c>
      <c r="I309" s="770">
        <f>I308</f>
        <v>1</v>
      </c>
      <c r="J309" s="770">
        <f t="shared" si="186"/>
        <v>1.7683132102066432</v>
      </c>
      <c r="K309" s="770">
        <f t="shared" si="186"/>
        <v>0.93177487522040769</v>
      </c>
      <c r="L309" s="770">
        <f t="shared" si="186"/>
        <v>0.89702807490530301</v>
      </c>
      <c r="M309" s="770">
        <f t="shared" si="186"/>
        <v>0.88207103860313485</v>
      </c>
      <c r="N309" s="770">
        <f t="shared" si="186"/>
        <v>0.92265186007087596</v>
      </c>
      <c r="O309" s="770">
        <f t="shared" si="186"/>
        <v>0.96286389992456922</v>
      </c>
      <c r="P309" s="770">
        <f t="shared" si="186"/>
        <v>0.96561436245131038</v>
      </c>
      <c r="Q309" s="770">
        <f t="shared" si="186"/>
        <v>0.91710884571472895</v>
      </c>
      <c r="R309" s="770">
        <f t="shared" si="186"/>
        <v>1.2386992618642643</v>
      </c>
      <c r="S309" s="770">
        <f t="shared" si="186"/>
        <v>1.0663616475625417</v>
      </c>
      <c r="T309" s="770">
        <f t="shared" si="186"/>
        <v>0.99507188376253464</v>
      </c>
      <c r="U309" s="770">
        <f t="shared" si="186"/>
        <v>0.92982050814382844</v>
      </c>
      <c r="V309" s="770">
        <f>V308</f>
        <v>1</v>
      </c>
      <c r="W309" s="770">
        <f t="shared" si="186"/>
        <v>0.98930247050196585</v>
      </c>
      <c r="X309" s="770">
        <f t="shared" si="186"/>
        <v>0.92847519993048722</v>
      </c>
      <c r="Y309" s="770">
        <f t="shared" si="186"/>
        <v>0.95600015274013983</v>
      </c>
      <c r="Z309" s="770">
        <f t="shared" si="186"/>
        <v>0.92271004863222206</v>
      </c>
      <c r="AA309" s="770">
        <f t="shared" si="186"/>
        <v>1.4556190731078373</v>
      </c>
      <c r="AB309" s="770">
        <f t="shared" si="186"/>
        <v>0.8794421034727099</v>
      </c>
      <c r="AC309" s="770">
        <f>AC308</f>
        <v>1</v>
      </c>
      <c r="AD309" s="770">
        <f t="shared" si="186"/>
        <v>0.93181663735365372</v>
      </c>
      <c r="AE309" s="770">
        <f t="shared" si="186"/>
        <v>0.99399096324330916</v>
      </c>
      <c r="AF309" s="770">
        <f t="shared" si="186"/>
        <v>1.0470726891018878</v>
      </c>
      <c r="AG309" s="770">
        <f t="shared" si="186"/>
        <v>0.92681614280478619</v>
      </c>
      <c r="AH309" s="770">
        <f t="shared" si="186"/>
        <v>1.0039862796329326</v>
      </c>
      <c r="AI309" s="770">
        <f t="shared" si="186"/>
        <v>0.99583447684172133</v>
      </c>
      <c r="AJ309" s="770">
        <f t="shared" si="186"/>
        <v>0.91528448898413306</v>
      </c>
      <c r="AK309" s="770">
        <f t="shared" si="186"/>
        <v>1</v>
      </c>
      <c r="AL309" s="770">
        <f t="shared" si="186"/>
        <v>1</v>
      </c>
      <c r="AM309" s="770">
        <f t="shared" si="186"/>
        <v>1</v>
      </c>
      <c r="AN309" s="770">
        <f t="shared" si="186"/>
        <v>1</v>
      </c>
      <c r="AO309" s="770">
        <f t="shared" si="186"/>
        <v>1</v>
      </c>
      <c r="AP309" s="770">
        <f t="shared" si="186"/>
        <v>1</v>
      </c>
    </row>
    <row r="310" spans="1:42">
      <c r="C310" s="207" t="s">
        <v>895</v>
      </c>
      <c r="D310" s="207" t="str">
        <f>E25</f>
        <v>R_ES-DH-70-SpHeat</v>
      </c>
      <c r="E310" s="770" t="str">
        <f>CONCATENATE(D310,"-I")</f>
        <v>R_ES-DH-70-SpHeat-I</v>
      </c>
      <c r="F310" s="770">
        <f>F309</f>
        <v>0.9650019610856575</v>
      </c>
      <c r="G310" s="770">
        <f t="shared" ref="G310:AP310" si="187">G309</f>
        <v>0.90485294155024554</v>
      </c>
      <c r="H310" s="770">
        <f t="shared" si="187"/>
        <v>1.0351791908688779</v>
      </c>
      <c r="I310" s="770">
        <f t="shared" si="187"/>
        <v>1</v>
      </c>
      <c r="J310" s="770">
        <f t="shared" si="187"/>
        <v>1.7683132102066432</v>
      </c>
      <c r="K310" s="770">
        <f t="shared" si="187"/>
        <v>0.93177487522040769</v>
      </c>
      <c r="L310" s="770">
        <f t="shared" si="187"/>
        <v>0.89702807490530301</v>
      </c>
      <c r="M310" s="770">
        <f t="shared" si="187"/>
        <v>0.88207103860313485</v>
      </c>
      <c r="N310" s="770">
        <f t="shared" si="187"/>
        <v>0.92265186007087596</v>
      </c>
      <c r="O310" s="770">
        <f t="shared" si="187"/>
        <v>0.96286389992456922</v>
      </c>
      <c r="P310" s="770">
        <f t="shared" si="187"/>
        <v>0.96561436245131038</v>
      </c>
      <c r="Q310" s="770">
        <f t="shared" si="187"/>
        <v>0.91710884571472895</v>
      </c>
      <c r="R310" s="770">
        <f t="shared" si="187"/>
        <v>1.2386992618642643</v>
      </c>
      <c r="S310" s="770">
        <f t="shared" si="187"/>
        <v>1.0663616475625417</v>
      </c>
      <c r="T310" s="770">
        <f t="shared" si="187"/>
        <v>0.99507188376253464</v>
      </c>
      <c r="U310" s="770">
        <f t="shared" si="187"/>
        <v>0.92982050814382844</v>
      </c>
      <c r="V310" s="770">
        <f t="shared" si="187"/>
        <v>1</v>
      </c>
      <c r="W310" s="770">
        <f t="shared" si="187"/>
        <v>0.98930247050196585</v>
      </c>
      <c r="X310" s="770">
        <f t="shared" si="187"/>
        <v>0.92847519993048722</v>
      </c>
      <c r="Y310" s="770">
        <f t="shared" si="187"/>
        <v>0.95600015274013983</v>
      </c>
      <c r="Z310" s="770">
        <f t="shared" si="187"/>
        <v>0.92271004863222206</v>
      </c>
      <c r="AA310" s="770">
        <f t="shared" si="187"/>
        <v>1.4556190731078373</v>
      </c>
      <c r="AB310" s="770">
        <f t="shared" si="187"/>
        <v>0.8794421034727099</v>
      </c>
      <c r="AC310" s="770">
        <f t="shared" si="187"/>
        <v>1</v>
      </c>
      <c r="AD310" s="770">
        <f t="shared" si="187"/>
        <v>0.93181663735365372</v>
      </c>
      <c r="AE310" s="770">
        <f t="shared" si="187"/>
        <v>0.99399096324330916</v>
      </c>
      <c r="AF310" s="770">
        <f t="shared" si="187"/>
        <v>1.0470726891018878</v>
      </c>
      <c r="AG310" s="770">
        <f t="shared" si="187"/>
        <v>0.92681614280478619</v>
      </c>
      <c r="AH310" s="770">
        <f t="shared" si="187"/>
        <v>1.0039862796329326</v>
      </c>
      <c r="AI310" s="770">
        <f t="shared" si="187"/>
        <v>0.99583447684172133</v>
      </c>
      <c r="AJ310" s="770">
        <f t="shared" si="187"/>
        <v>0.91528448898413306</v>
      </c>
      <c r="AK310" s="770">
        <f t="shared" si="187"/>
        <v>1</v>
      </c>
      <c r="AL310" s="770">
        <f t="shared" si="187"/>
        <v>1</v>
      </c>
      <c r="AM310" s="770">
        <f t="shared" si="187"/>
        <v>1</v>
      </c>
      <c r="AN310" s="770">
        <f t="shared" si="187"/>
        <v>1</v>
      </c>
      <c r="AO310" s="770">
        <f t="shared" si="187"/>
        <v>1</v>
      </c>
      <c r="AP310" s="770">
        <f t="shared" si="187"/>
        <v>1</v>
      </c>
    </row>
    <row r="311" spans="1:42">
      <c r="C311" s="207"/>
    </row>
    <row r="312" spans="1:42">
      <c r="A312" t="s">
        <v>876</v>
      </c>
      <c r="F312" t="s">
        <v>88</v>
      </c>
      <c r="G312" t="s">
        <v>89</v>
      </c>
      <c r="H312" t="s">
        <v>90</v>
      </c>
      <c r="I312" t="s">
        <v>91</v>
      </c>
      <c r="J312" t="s">
        <v>92</v>
      </c>
      <c r="K312" t="s">
        <v>93</v>
      </c>
      <c r="L312" t="s">
        <v>94</v>
      </c>
      <c r="M312" t="s">
        <v>95</v>
      </c>
      <c r="N312" t="s">
        <v>96</v>
      </c>
      <c r="O312" t="s">
        <v>97</v>
      </c>
      <c r="P312" t="s">
        <v>98</v>
      </c>
      <c r="Q312" t="s">
        <v>99</v>
      </c>
      <c r="R312" t="s">
        <v>205</v>
      </c>
      <c r="S312" t="s">
        <v>118</v>
      </c>
      <c r="T312" t="s">
        <v>100</v>
      </c>
      <c r="U312" t="s">
        <v>101</v>
      </c>
      <c r="V312" t="s">
        <v>102</v>
      </c>
      <c r="W312" t="s">
        <v>103</v>
      </c>
      <c r="X312" t="s">
        <v>104</v>
      </c>
      <c r="Y312" t="s">
        <v>105</v>
      </c>
      <c r="Z312" t="s">
        <v>106</v>
      </c>
      <c r="AA312" t="s">
        <v>107</v>
      </c>
      <c r="AB312" t="s">
        <v>108</v>
      </c>
      <c r="AC312" t="s">
        <v>109</v>
      </c>
      <c r="AD312" t="s">
        <v>110</v>
      </c>
      <c r="AE312" t="s">
        <v>111</v>
      </c>
      <c r="AF312" t="s">
        <v>112</v>
      </c>
      <c r="AG312" t="s">
        <v>113</v>
      </c>
      <c r="AH312" t="s">
        <v>114</v>
      </c>
      <c r="AI312" t="s">
        <v>115</v>
      </c>
      <c r="AJ312" t="s">
        <v>52</v>
      </c>
      <c r="AK312" t="s">
        <v>116</v>
      </c>
      <c r="AL312" t="s">
        <v>117</v>
      </c>
      <c r="AM312" t="s">
        <v>119</v>
      </c>
      <c r="AN312" t="s">
        <v>120</v>
      </c>
      <c r="AO312" t="s">
        <v>121</v>
      </c>
      <c r="AP312" t="s">
        <v>122</v>
      </c>
    </row>
    <row r="313" spans="1:42">
      <c r="A313" t="str">
        <f>A188</f>
        <v>Biomass and wastes</v>
      </c>
      <c r="F313" s="467">
        <f t="shared" ref="F313:O320" ca="1" si="188">SUMPRODUCT(--($A$5:$A$44=$A313),F$182:F$221,F$137:F$176,F$93:F$132,F$5:F$44)/F$307</f>
        <v>39.088675781917786</v>
      </c>
      <c r="G313" s="467">
        <f t="shared" ca="1" si="188"/>
        <v>12.464081876967983</v>
      </c>
      <c r="H313" s="467">
        <f t="shared" ca="1" si="188"/>
        <v>14.678938562314906</v>
      </c>
      <c r="I313" s="467">
        <f t="shared" ca="1" si="188"/>
        <v>13.614010122477719</v>
      </c>
      <c r="J313" s="467">
        <f t="shared" ca="1" si="188"/>
        <v>0.12843106687743516</v>
      </c>
      <c r="K313" s="467">
        <f t="shared" ca="1" si="188"/>
        <v>34.055708303977354</v>
      </c>
      <c r="L313" s="467">
        <f t="shared" ca="1" si="188"/>
        <v>165.93889402512517</v>
      </c>
      <c r="M313" s="467">
        <f t="shared" ca="1" si="188"/>
        <v>23.831531639147052</v>
      </c>
      <c r="N313" s="467">
        <f t="shared" ca="1" si="188"/>
        <v>8.8412183257191472</v>
      </c>
      <c r="O313" s="467">
        <f t="shared" ca="1" si="188"/>
        <v>52.228679171218715</v>
      </c>
      <c r="P313" s="467">
        <f t="shared" ref="P313:Y320" ca="1" si="189">SUMPRODUCT(--($A$5:$A$44=$A313),P$182:P$221,P$137:P$176,P$93:P$132,P$5:P$44)/P$307</f>
        <v>45.113461214017221</v>
      </c>
      <c r="Q313" s="467">
        <f t="shared" ca="1" si="189"/>
        <v>183.81332274641099</v>
      </c>
      <c r="R313" s="467">
        <f t="shared" ca="1" si="189"/>
        <v>13.058674077402978</v>
      </c>
      <c r="S313" s="467">
        <f t="shared" ca="1" si="189"/>
        <v>25.628365698901153</v>
      </c>
      <c r="T313" s="467">
        <f t="shared" ca="1" si="189"/>
        <v>35.604914130503914</v>
      </c>
      <c r="U313" s="467">
        <f t="shared" ca="1" si="189"/>
        <v>0.60679185667006552</v>
      </c>
      <c r="V313" s="467">
        <f t="shared" ca="1" si="189"/>
        <v>0</v>
      </c>
      <c r="W313" s="467">
        <f t="shared" ca="1" si="189"/>
        <v>164.38928953531752</v>
      </c>
      <c r="X313" s="467">
        <f t="shared" ca="1" si="189"/>
        <v>11.255179420805263</v>
      </c>
      <c r="Y313" s="467">
        <f t="shared" ca="1" si="189"/>
        <v>0.43655735397676393</v>
      </c>
      <c r="Z313" s="467">
        <f t="shared" ref="Z313:AI320" ca="1" si="190">SUMPRODUCT(--($A$5:$A$44=$A313),Z$182:Z$221,Z$137:Z$176,Z$93:Z$132,Z$5:Z$44)/Z$307</f>
        <v>12.255456473247648</v>
      </c>
      <c r="AA313" s="467">
        <f t="shared" ca="1" si="190"/>
        <v>5.2941146481409421E-2</v>
      </c>
      <c r="AB313" s="467">
        <f t="shared" ca="1" si="190"/>
        <v>9.6981145499810477</v>
      </c>
      <c r="AC313" s="467">
        <f t="shared" ca="1" si="190"/>
        <v>18.249672624157839</v>
      </c>
      <c r="AD313" s="467">
        <f t="shared" ca="1" si="190"/>
        <v>55.639140109783746</v>
      </c>
      <c r="AE313" s="467">
        <f t="shared" ca="1" si="190"/>
        <v>9.958976218773774</v>
      </c>
      <c r="AF313" s="467">
        <f t="shared" ca="1" si="190"/>
        <v>63.757828009397407</v>
      </c>
      <c r="AG313" s="467">
        <f t="shared" ca="1" si="190"/>
        <v>0</v>
      </c>
      <c r="AH313" s="467">
        <f t="shared" ca="1" si="190"/>
        <v>11.170720298105241</v>
      </c>
      <c r="AI313" s="467">
        <f t="shared" ca="1" si="190"/>
        <v>0.90203787818056513</v>
      </c>
      <c r="AJ313" s="467">
        <f t="shared" ref="AJ313:AP320" ca="1" si="191">SUMPRODUCT(--($A$5:$A$44=$A313),AJ$182:AJ$221,AJ$137:AJ$176,AJ$93:AJ$132,AJ$5:AJ$44)/AJ$307</f>
        <v>26.952455573672868</v>
      </c>
      <c r="AK313" s="467">
        <f t="shared" ca="1" si="191"/>
        <v>3.8460608794307167</v>
      </c>
      <c r="AL313" s="467">
        <f t="shared" ca="1" si="191"/>
        <v>4.1120272706196319</v>
      </c>
      <c r="AM313" s="467">
        <f t="shared" ca="1" si="191"/>
        <v>4.9038512242509293</v>
      </c>
      <c r="AN313" s="467">
        <f t="shared" ca="1" si="191"/>
        <v>4.1054403166820252</v>
      </c>
      <c r="AO313" s="467">
        <f t="shared" ca="1" si="191"/>
        <v>22.574357005115083</v>
      </c>
      <c r="AP313" s="467">
        <f t="shared" ca="1" si="191"/>
        <v>5.088491271312388</v>
      </c>
    </row>
    <row r="314" spans="1:42">
      <c r="A314" t="str">
        <f>A186</f>
        <v>Derived heat</v>
      </c>
      <c r="F314" s="467">
        <f t="shared" ca="1" si="188"/>
        <v>21.680135541748669</v>
      </c>
      <c r="G314" s="467">
        <f t="shared" ca="1" si="188"/>
        <v>0.37332058259456974</v>
      </c>
      <c r="H314" s="467">
        <f t="shared" ca="1" si="188"/>
        <v>9.1986929756674929</v>
      </c>
      <c r="I314" s="467">
        <f t="shared" ca="1" si="188"/>
        <v>6.3239267972609587</v>
      </c>
      <c r="J314" s="467">
        <f t="shared" ca="1" si="188"/>
        <v>0</v>
      </c>
      <c r="K314" s="467">
        <f t="shared" ca="1" si="188"/>
        <v>38.220478853915431</v>
      </c>
      <c r="L314" s="467">
        <f t="shared" ca="1" si="188"/>
        <v>173.0411287607659</v>
      </c>
      <c r="M314" s="467">
        <f t="shared" ca="1" si="188"/>
        <v>67.947743800924897</v>
      </c>
      <c r="N314" s="467">
        <f t="shared" ca="1" si="188"/>
        <v>11.102013503941889</v>
      </c>
      <c r="O314" s="467">
        <f t="shared" ca="1" si="188"/>
        <v>0</v>
      </c>
      <c r="P314" s="467">
        <f t="shared" ca="1" si="189"/>
        <v>79.093070451177383</v>
      </c>
      <c r="Q314" s="467">
        <f t="shared" ca="1" si="189"/>
        <v>63.91967453184737</v>
      </c>
      <c r="R314" s="467">
        <f t="shared" ca="1" si="189"/>
        <v>1.4172223218555924</v>
      </c>
      <c r="S314" s="467">
        <f t="shared" ca="1" si="189"/>
        <v>4.5929720441143695</v>
      </c>
      <c r="T314" s="467">
        <f t="shared" ca="1" si="189"/>
        <v>17.337195911479842</v>
      </c>
      <c r="U314" s="467">
        <f t="shared" ca="1" si="189"/>
        <v>0</v>
      </c>
      <c r="V314" s="467">
        <f t="shared" ca="1" si="189"/>
        <v>5.9732872194205671</v>
      </c>
      <c r="W314" s="467">
        <f t="shared" ca="1" si="189"/>
        <v>3.9366378416487606</v>
      </c>
      <c r="X314" s="467">
        <f t="shared" ca="1" si="189"/>
        <v>15.684952827841432</v>
      </c>
      <c r="Y314" s="467">
        <f t="shared" ca="1" si="189"/>
        <v>0</v>
      </c>
      <c r="Z314" s="467">
        <f t="shared" ca="1" si="190"/>
        <v>13.079718379791968</v>
      </c>
      <c r="AA314" s="467">
        <f t="shared" ca="1" si="190"/>
        <v>0</v>
      </c>
      <c r="AB314" s="467">
        <f t="shared" ca="1" si="190"/>
        <v>10.299810304996676</v>
      </c>
      <c r="AC314" s="467">
        <f t="shared" ca="1" si="190"/>
        <v>3.429125603969259</v>
      </c>
      <c r="AD314" s="467">
        <f t="shared" ca="1" si="190"/>
        <v>145.18932769090182</v>
      </c>
      <c r="AE314" s="467">
        <f t="shared" ca="1" si="190"/>
        <v>2.2205957316140879E-2</v>
      </c>
      <c r="AF314" s="467">
        <f t="shared" ca="1" si="190"/>
        <v>32.535997131073849</v>
      </c>
      <c r="AG314" s="467">
        <f t="shared" ca="1" si="190"/>
        <v>111.24361931104897</v>
      </c>
      <c r="AH314" s="467">
        <f t="shared" ca="1" si="190"/>
        <v>3.1583494384333095</v>
      </c>
      <c r="AI314" s="467">
        <f t="shared" ca="1" si="190"/>
        <v>14.169499233031374</v>
      </c>
      <c r="AJ314" s="467">
        <f t="shared" ca="1" si="191"/>
        <v>1.6527790428145346</v>
      </c>
      <c r="AK314" s="467">
        <f t="shared" ca="1" si="191"/>
        <v>0</v>
      </c>
      <c r="AL314" s="467">
        <f t="shared" ca="1" si="191"/>
        <v>2.9438317937005927</v>
      </c>
      <c r="AM314" s="467">
        <f t="shared" ca="1" si="191"/>
        <v>0</v>
      </c>
      <c r="AN314" s="467">
        <f t="shared" ca="1" si="191"/>
        <v>1.0293993676045969</v>
      </c>
      <c r="AO314" s="467">
        <f t="shared" ca="1" si="191"/>
        <v>11.656937658084281</v>
      </c>
      <c r="AP314" s="467">
        <f t="shared" ca="1" si="191"/>
        <v>0.10668652732159035</v>
      </c>
    </row>
    <row r="315" spans="1:42">
      <c r="A315" t="str">
        <f>A182</f>
        <v>Electricity</v>
      </c>
      <c r="F315" s="467">
        <f t="shared" ca="1" si="188"/>
        <v>8.4686810204856684</v>
      </c>
      <c r="G315" s="467">
        <f t="shared" ca="1" si="188"/>
        <v>8.935010335516079</v>
      </c>
      <c r="H315" s="467">
        <f t="shared" ca="1" si="188"/>
        <v>2.7849699037805205</v>
      </c>
      <c r="I315" s="467">
        <f t="shared" ca="1" si="188"/>
        <v>4.7043416720601625</v>
      </c>
      <c r="J315" s="467">
        <f t="shared" ca="1" si="188"/>
        <v>0.61293772116572487</v>
      </c>
      <c r="K315" s="467">
        <f t="shared" ca="1" si="188"/>
        <v>8.014542391837935</v>
      </c>
      <c r="L315" s="467">
        <f t="shared" ca="1" si="188"/>
        <v>66.184177962997467</v>
      </c>
      <c r="M315" s="467">
        <f t="shared" ca="1" si="188"/>
        <v>0.3001046776590463</v>
      </c>
      <c r="N315" s="467">
        <f t="shared" ca="1" si="188"/>
        <v>0.10208974684558242</v>
      </c>
      <c r="O315" s="467">
        <f t="shared" ca="1" si="188"/>
        <v>42.984318410696069</v>
      </c>
      <c r="P315" s="467">
        <f t="shared" ca="1" si="189"/>
        <v>9.3630997881339511</v>
      </c>
      <c r="Q315" s="467">
        <f t="shared" ca="1" si="189"/>
        <v>86.847877835585948</v>
      </c>
      <c r="R315" s="467">
        <f t="shared" ca="1" si="189"/>
        <v>1.3821213552027716</v>
      </c>
      <c r="S315" s="467">
        <f t="shared" ca="1" si="189"/>
        <v>0.26111801171165328</v>
      </c>
      <c r="T315" s="467">
        <f t="shared" ca="1" si="189"/>
        <v>5.924232609640578</v>
      </c>
      <c r="U315" s="467">
        <f t="shared" ca="1" si="189"/>
        <v>4.0651089518945094</v>
      </c>
      <c r="V315" s="467">
        <f t="shared" ca="1" si="189"/>
        <v>0.88332309690248312</v>
      </c>
      <c r="W315" s="467">
        <f t="shared" ca="1" si="189"/>
        <v>0.1918917406498295</v>
      </c>
      <c r="X315" s="467">
        <f t="shared" ca="1" si="189"/>
        <v>8.3933559284152442E-2</v>
      </c>
      <c r="Y315" s="467">
        <f t="shared" ca="1" si="189"/>
        <v>0.24971240288570187</v>
      </c>
      <c r="Z315" s="467">
        <f t="shared" ca="1" si="190"/>
        <v>0.15592207573310979</v>
      </c>
      <c r="AA315" s="467">
        <f t="shared" ca="1" si="190"/>
        <v>0.2753548746685347</v>
      </c>
      <c r="AB315" s="467">
        <f t="shared" ca="1" si="190"/>
        <v>3.2567790749678003</v>
      </c>
      <c r="AC315" s="467">
        <f t="shared" ca="1" si="190"/>
        <v>19.797958438559796</v>
      </c>
      <c r="AD315" s="467">
        <f t="shared" ca="1" si="190"/>
        <v>1.9391456366779967</v>
      </c>
      <c r="AE315" s="467">
        <f t="shared" ca="1" si="190"/>
        <v>0.25960121402049879</v>
      </c>
      <c r="AF315" s="467">
        <f t="shared" ca="1" si="190"/>
        <v>2.3521823664115238</v>
      </c>
      <c r="AG315" s="467">
        <f t="shared" ca="1" si="190"/>
        <v>49.024546208955186</v>
      </c>
      <c r="AH315" s="467">
        <f t="shared" ca="1" si="190"/>
        <v>0.87603649475381484</v>
      </c>
      <c r="AI315" s="467">
        <f t="shared" ca="1" si="190"/>
        <v>1.7834516897405668</v>
      </c>
      <c r="AJ315" s="467">
        <f t="shared" ca="1" si="191"/>
        <v>111.97500556143035</v>
      </c>
      <c r="AK315" s="467">
        <f t="shared" ca="1" si="191"/>
        <v>0.21172728562216653</v>
      </c>
      <c r="AL315" s="467">
        <f t="shared" ca="1" si="191"/>
        <v>0.20544353458178005</v>
      </c>
      <c r="AM315" s="467">
        <f t="shared" ca="1" si="191"/>
        <v>0.10313444391416178</v>
      </c>
      <c r="AN315" s="467">
        <f t="shared" ca="1" si="191"/>
        <v>0.14833169357760245</v>
      </c>
      <c r="AO315" s="467">
        <f t="shared" ca="1" si="191"/>
        <v>0.6618653909862604</v>
      </c>
      <c r="AP315" s="467">
        <f t="shared" ca="1" si="191"/>
        <v>0.10134303798310454</v>
      </c>
    </row>
    <row r="316" spans="1:42">
      <c r="A316" t="str">
        <f>A185</f>
        <v>Gases</v>
      </c>
      <c r="F316" s="467">
        <f t="shared" ca="1" si="188"/>
        <v>32.561981813909242</v>
      </c>
      <c r="G316" s="467">
        <f t="shared" ca="1" si="188"/>
        <v>103.48353205231069</v>
      </c>
      <c r="H316" s="467">
        <f t="shared" ca="1" si="188"/>
        <v>0.9086304345238374</v>
      </c>
      <c r="I316" s="467">
        <f t="shared" ca="1" si="188"/>
        <v>34.821559074907285</v>
      </c>
      <c r="J316" s="467">
        <f t="shared" ca="1" si="188"/>
        <v>0</v>
      </c>
      <c r="K316" s="467">
        <f t="shared" ca="1" si="188"/>
        <v>56.699586816208061</v>
      </c>
      <c r="L316" s="467">
        <f t="shared" ca="1" si="188"/>
        <v>672.71825097515193</v>
      </c>
      <c r="M316" s="467">
        <f t="shared" ca="1" si="188"/>
        <v>20.762253243257906</v>
      </c>
      <c r="N316" s="467">
        <f t="shared" ca="1" si="188"/>
        <v>1.3069993824072637</v>
      </c>
      <c r="O316" s="467">
        <f t="shared" ca="1" si="188"/>
        <v>88.090811270388642</v>
      </c>
      <c r="P316" s="467">
        <f t="shared" ca="1" si="189"/>
        <v>1.5904139730621603</v>
      </c>
      <c r="Q316" s="467">
        <f t="shared" ca="1" si="189"/>
        <v>354.29155370383711</v>
      </c>
      <c r="R316" s="467">
        <f t="shared" ca="1" si="189"/>
        <v>5.7053612153562057</v>
      </c>
      <c r="S316" s="467">
        <f t="shared" ca="1" si="189"/>
        <v>12.951800824254313</v>
      </c>
      <c r="T316" s="467">
        <f t="shared" ca="1" si="189"/>
        <v>76.979620710650551</v>
      </c>
      <c r="U316" s="467">
        <f t="shared" ca="1" si="189"/>
        <v>17.631949743599389</v>
      </c>
      <c r="V316" s="467">
        <f t="shared" ca="1" si="189"/>
        <v>0</v>
      </c>
      <c r="W316" s="467">
        <f t="shared" ca="1" si="189"/>
        <v>426.09903455779244</v>
      </c>
      <c r="X316" s="467">
        <f t="shared" ca="1" si="189"/>
        <v>3.6183211382886027</v>
      </c>
      <c r="Y316" s="467">
        <f t="shared" ca="1" si="189"/>
        <v>6.5044616583074015</v>
      </c>
      <c r="Z316" s="467">
        <f t="shared" ca="1" si="190"/>
        <v>3.0635285082066894</v>
      </c>
      <c r="AA316" s="467">
        <f t="shared" ca="1" si="190"/>
        <v>0</v>
      </c>
      <c r="AB316" s="467">
        <f t="shared" ca="1" si="190"/>
        <v>254.1059533522687</v>
      </c>
      <c r="AC316" s="467">
        <f t="shared" ca="1" si="190"/>
        <v>0.11624085460133057</v>
      </c>
      <c r="AD316" s="467">
        <f t="shared" ca="1" si="190"/>
        <v>85.333619470458984</v>
      </c>
      <c r="AE316" s="467">
        <f t="shared" ca="1" si="190"/>
        <v>2.2403162288572149</v>
      </c>
      <c r="AF316" s="467">
        <f t="shared" ca="1" si="190"/>
        <v>48.062833363106357</v>
      </c>
      <c r="AG316" s="467">
        <f t="shared" ca="1" si="190"/>
        <v>4.0464237058422885</v>
      </c>
      <c r="AH316" s="467">
        <f t="shared" ca="1" si="190"/>
        <v>2.6164684665252911</v>
      </c>
      <c r="AI316" s="467">
        <f t="shared" ca="1" si="190"/>
        <v>29.72771375484826</v>
      </c>
      <c r="AJ316" s="467">
        <f t="shared" ca="1" si="191"/>
        <v>790.35509271315254</v>
      </c>
      <c r="AK316" s="467">
        <f t="shared" ca="1" si="191"/>
        <v>0</v>
      </c>
      <c r="AL316" s="467">
        <f t="shared" ca="1" si="191"/>
        <v>1.0148472857924618</v>
      </c>
      <c r="AM316" s="467">
        <f t="shared" ca="1" si="191"/>
        <v>0</v>
      </c>
      <c r="AN316" s="467">
        <f t="shared" ca="1" si="191"/>
        <v>0</v>
      </c>
      <c r="AO316" s="467">
        <f t="shared" ca="1" si="191"/>
        <v>5.0638727625763353</v>
      </c>
      <c r="AP316" s="467">
        <f t="shared" ca="1" si="191"/>
        <v>0</v>
      </c>
    </row>
    <row r="317" spans="1:42">
      <c r="A317" t="str">
        <f>A187</f>
        <v>GDO and other liquids (incl. liq. bio.)</v>
      </c>
      <c r="F317" s="467">
        <f t="shared" ca="1" si="188"/>
        <v>34.92401961062248</v>
      </c>
      <c r="G317" s="467">
        <f t="shared" ca="1" si="188"/>
        <v>79.101963383479301</v>
      </c>
      <c r="H317" s="467">
        <f t="shared" ca="1" si="188"/>
        <v>5.9874318558578485E-2</v>
      </c>
      <c r="I317" s="467">
        <f t="shared" ca="1" si="188"/>
        <v>81.39437248245666</v>
      </c>
      <c r="J317" s="467">
        <f t="shared" ca="1" si="188"/>
        <v>2.4923892413175577</v>
      </c>
      <c r="K317" s="467">
        <f t="shared" ca="1" si="188"/>
        <v>0</v>
      </c>
      <c r="L317" s="467">
        <f t="shared" ca="1" si="188"/>
        <v>392.89861861465209</v>
      </c>
      <c r="M317" s="467">
        <f t="shared" ca="1" si="188"/>
        <v>12.609797478962077</v>
      </c>
      <c r="N317" s="467">
        <f t="shared" ca="1" si="188"/>
        <v>0.10906575907702545</v>
      </c>
      <c r="O317" s="467">
        <f t="shared" ca="1" si="188"/>
        <v>46.185253811381465</v>
      </c>
      <c r="P317" s="467">
        <f t="shared" ca="1" si="189"/>
        <v>22.622066430032728</v>
      </c>
      <c r="Q317" s="467">
        <f t="shared" ca="1" si="189"/>
        <v>180.70432474885854</v>
      </c>
      <c r="R317" s="467">
        <f t="shared" ca="1" si="189"/>
        <v>51.91068686506123</v>
      </c>
      <c r="S317" s="467">
        <f t="shared" ca="1" si="189"/>
        <v>3.6774156671947331</v>
      </c>
      <c r="T317" s="467">
        <f t="shared" ca="1" si="189"/>
        <v>0</v>
      </c>
      <c r="U317" s="467">
        <f t="shared" ca="1" si="189"/>
        <v>32.669520614762</v>
      </c>
      <c r="V317" s="467">
        <f t="shared" ca="1" si="189"/>
        <v>5.7891266633802611E-2</v>
      </c>
      <c r="W317" s="467">
        <f t="shared" ca="1" si="189"/>
        <v>47.562997794937175</v>
      </c>
      <c r="X317" s="467">
        <f t="shared" ca="1" si="189"/>
        <v>0.19278756628678723</v>
      </c>
      <c r="Y317" s="467">
        <f t="shared" ca="1" si="189"/>
        <v>5.2910944294723325</v>
      </c>
      <c r="Z317" s="467">
        <f t="shared" ca="1" si="190"/>
        <v>0.82412373226800384</v>
      </c>
      <c r="AA317" s="467">
        <f t="shared" ca="1" si="190"/>
        <v>0</v>
      </c>
      <c r="AB317" s="467">
        <f t="shared" ca="1" si="190"/>
        <v>0.40081339432846425</v>
      </c>
      <c r="AC317" s="467">
        <f t="shared" ca="1" si="190"/>
        <v>5.1590542730402671</v>
      </c>
      <c r="AD317" s="467">
        <f t="shared" ca="1" si="190"/>
        <v>2.8330538116797874</v>
      </c>
      <c r="AE317" s="467">
        <f t="shared" ca="1" si="190"/>
        <v>1.3680181959045616</v>
      </c>
      <c r="AF317" s="467">
        <f t="shared" ca="1" si="190"/>
        <v>0.52834596501644138</v>
      </c>
      <c r="AG317" s="467">
        <f t="shared" ca="1" si="190"/>
        <v>1.998272967817093</v>
      </c>
      <c r="AH317" s="467">
        <f t="shared" ca="1" si="190"/>
        <v>6.5573021067501678</v>
      </c>
      <c r="AI317" s="467">
        <f t="shared" ca="1" si="190"/>
        <v>0</v>
      </c>
      <c r="AJ317" s="467">
        <f t="shared" ca="1" si="191"/>
        <v>75.219493243732401</v>
      </c>
      <c r="AK317" s="467">
        <f t="shared" ca="1" si="191"/>
        <v>0.10190090476335598</v>
      </c>
      <c r="AL317" s="467">
        <f t="shared" ca="1" si="191"/>
        <v>0</v>
      </c>
      <c r="AM317" s="467">
        <f t="shared" ca="1" si="191"/>
        <v>0</v>
      </c>
      <c r="AN317" s="467">
        <f t="shared" ca="1" si="191"/>
        <v>0.81145718683002233</v>
      </c>
      <c r="AO317" s="467">
        <f t="shared" ca="1" si="191"/>
        <v>2.5463642787176565E-2</v>
      </c>
      <c r="AP317" s="467">
        <f t="shared" ca="1" si="191"/>
        <v>0.35002670606745434</v>
      </c>
    </row>
    <row r="318" spans="1:42">
      <c r="A318" t="str">
        <f>A191</f>
        <v>Geothermal Energy</v>
      </c>
      <c r="F318" s="467">
        <f t="shared" ca="1" si="188"/>
        <v>0</v>
      </c>
      <c r="G318" s="467">
        <f t="shared" ca="1" si="188"/>
        <v>0</v>
      </c>
      <c r="H318" s="467">
        <f t="shared" ca="1" si="188"/>
        <v>0</v>
      </c>
      <c r="I318" s="467">
        <f t="shared" ca="1" si="188"/>
        <v>8.954650394257941</v>
      </c>
      <c r="J318" s="467">
        <f t="shared" ca="1" si="188"/>
        <v>0</v>
      </c>
      <c r="K318" s="467">
        <f t="shared" ca="1" si="188"/>
        <v>0</v>
      </c>
      <c r="L318" s="467">
        <f t="shared" ca="1" si="188"/>
        <v>0.61540198963761772</v>
      </c>
      <c r="M318" s="467">
        <f t="shared" ca="1" si="188"/>
        <v>0</v>
      </c>
      <c r="N318" s="467">
        <f t="shared" ca="1" si="188"/>
        <v>0</v>
      </c>
      <c r="O318" s="467">
        <f t="shared" ca="1" si="188"/>
        <v>0</v>
      </c>
      <c r="P318" s="467">
        <f t="shared" ca="1" si="189"/>
        <v>0</v>
      </c>
      <c r="Q318" s="467">
        <f t="shared" ca="1" si="189"/>
        <v>0.59641945154304776</v>
      </c>
      <c r="R318" s="467">
        <f t="shared" ca="1" si="189"/>
        <v>7.5031103618161928E-3</v>
      </c>
      <c r="S318" s="467">
        <f t="shared" ca="1" si="189"/>
        <v>0</v>
      </c>
      <c r="T318" s="467">
        <f t="shared" ca="1" si="189"/>
        <v>0</v>
      </c>
      <c r="U318" s="467">
        <f t="shared" ca="1" si="189"/>
        <v>0</v>
      </c>
      <c r="V318" s="467">
        <f t="shared" ca="1" si="189"/>
        <v>7.0435200000000009</v>
      </c>
      <c r="W318" s="467">
        <f t="shared" ca="1" si="189"/>
        <v>5.1335867301146372E-2</v>
      </c>
      <c r="X318" s="467">
        <f t="shared" ca="1" si="189"/>
        <v>0</v>
      </c>
      <c r="Y318" s="467">
        <f t="shared" ca="1" si="189"/>
        <v>0</v>
      </c>
      <c r="Z318" s="467">
        <f t="shared" ca="1" si="190"/>
        <v>0</v>
      </c>
      <c r="AA318" s="467">
        <f t="shared" ca="1" si="190"/>
        <v>0</v>
      </c>
      <c r="AB318" s="467">
        <f t="shared" ca="1" si="190"/>
        <v>0</v>
      </c>
      <c r="AC318" s="467">
        <f t="shared" ca="1" si="190"/>
        <v>0</v>
      </c>
      <c r="AD318" s="467">
        <f t="shared" ca="1" si="190"/>
        <v>0.41144345443330088</v>
      </c>
      <c r="AE318" s="467">
        <f t="shared" ca="1" si="190"/>
        <v>0</v>
      </c>
      <c r="AF318" s="467">
        <f t="shared" ca="1" si="190"/>
        <v>0.53705320020622405</v>
      </c>
      <c r="AG318" s="467">
        <f t="shared" ca="1" si="190"/>
        <v>0</v>
      </c>
      <c r="AH318" s="467">
        <f t="shared" ca="1" si="190"/>
        <v>0.34228111737536121</v>
      </c>
      <c r="AI318" s="467">
        <f t="shared" ca="1" si="190"/>
        <v>0</v>
      </c>
      <c r="AJ318" s="467">
        <f t="shared" ca="1" si="191"/>
        <v>0</v>
      </c>
      <c r="AK318" s="467">
        <f t="shared" ca="1" si="191"/>
        <v>0</v>
      </c>
      <c r="AL318" s="467">
        <f t="shared" ca="1" si="191"/>
        <v>0</v>
      </c>
      <c r="AM318" s="467">
        <f t="shared" ca="1" si="191"/>
        <v>0</v>
      </c>
      <c r="AN318" s="467">
        <f t="shared" ca="1" si="191"/>
        <v>0</v>
      </c>
      <c r="AO318" s="467">
        <f t="shared" ca="1" si="191"/>
        <v>0</v>
      </c>
      <c r="AP318" s="467">
        <f t="shared" ca="1" si="191"/>
        <v>0</v>
      </c>
    </row>
    <row r="319" spans="1:42">
      <c r="A319" t="str">
        <f>A190</f>
        <v>LPG</v>
      </c>
      <c r="F319" s="467">
        <f t="shared" ca="1" si="188"/>
        <v>0.3061764619975903</v>
      </c>
      <c r="G319" s="467">
        <f t="shared" ca="1" si="188"/>
        <v>0.45216536522087719</v>
      </c>
      <c r="H319" s="467">
        <f t="shared" ca="1" si="188"/>
        <v>0.10323482569796179</v>
      </c>
      <c r="I319" s="467">
        <f t="shared" ca="1" si="188"/>
        <v>0</v>
      </c>
      <c r="J319" s="467">
        <f t="shared" ca="1" si="188"/>
        <v>0.38167331105590135</v>
      </c>
      <c r="K319" s="467">
        <f t="shared" ca="1" si="188"/>
        <v>0</v>
      </c>
      <c r="L319" s="467">
        <f t="shared" ca="1" si="188"/>
        <v>5.7838935205543072</v>
      </c>
      <c r="M319" s="467">
        <f t="shared" ca="1" si="188"/>
        <v>0.13610691957924323</v>
      </c>
      <c r="N319" s="467">
        <f t="shared" ca="1" si="188"/>
        <v>0</v>
      </c>
      <c r="O319" s="467">
        <f t="shared" ca="1" si="188"/>
        <v>10.104886472460349</v>
      </c>
      <c r="P319" s="467">
        <f t="shared" ca="1" si="189"/>
        <v>0</v>
      </c>
      <c r="Q319" s="467">
        <f t="shared" ca="1" si="189"/>
        <v>8.8214548293264183</v>
      </c>
      <c r="R319" s="467">
        <f t="shared" ca="1" si="189"/>
        <v>0</v>
      </c>
      <c r="S319" s="467">
        <f t="shared" ca="1" si="189"/>
        <v>0.46799660572927526</v>
      </c>
      <c r="T319" s="467">
        <f t="shared" ca="1" si="189"/>
        <v>0</v>
      </c>
      <c r="U319" s="467">
        <f t="shared" ca="1" si="189"/>
        <v>0.72194691633475361</v>
      </c>
      <c r="V319" s="467">
        <f t="shared" ca="1" si="189"/>
        <v>0</v>
      </c>
      <c r="W319" s="467">
        <f t="shared" ca="1" si="189"/>
        <v>14.413332309690992</v>
      </c>
      <c r="X319" s="467">
        <f t="shared" ca="1" si="189"/>
        <v>0</v>
      </c>
      <c r="Y319" s="467">
        <f t="shared" ca="1" si="189"/>
        <v>0</v>
      </c>
      <c r="Z319" s="467">
        <f t="shared" ca="1" si="190"/>
        <v>0</v>
      </c>
      <c r="AA319" s="467">
        <f t="shared" ca="1" si="190"/>
        <v>0</v>
      </c>
      <c r="AB319" s="467">
        <f t="shared" ca="1" si="190"/>
        <v>0</v>
      </c>
      <c r="AC319" s="467">
        <f t="shared" ca="1" si="190"/>
        <v>0</v>
      </c>
      <c r="AD319" s="467">
        <f t="shared" ca="1" si="190"/>
        <v>0</v>
      </c>
      <c r="AE319" s="467">
        <f t="shared" ca="1" si="190"/>
        <v>0.87935254924102846</v>
      </c>
      <c r="AF319" s="467">
        <f t="shared" ca="1" si="190"/>
        <v>0</v>
      </c>
      <c r="AG319" s="467">
        <f t="shared" ca="1" si="190"/>
        <v>0</v>
      </c>
      <c r="AH319" s="467">
        <f t="shared" ca="1" si="190"/>
        <v>0.23047736110350325</v>
      </c>
      <c r="AI319" s="467">
        <f t="shared" ca="1" si="190"/>
        <v>0</v>
      </c>
      <c r="AJ319" s="467">
        <f t="shared" ca="1" si="191"/>
        <v>2.4511470808057014</v>
      </c>
      <c r="AK319" s="467">
        <f t="shared" ca="1" si="191"/>
        <v>0</v>
      </c>
      <c r="AL319" s="467">
        <f t="shared" ca="1" si="191"/>
        <v>0</v>
      </c>
      <c r="AM319" s="467">
        <f t="shared" ca="1" si="191"/>
        <v>0</v>
      </c>
      <c r="AN319" s="467">
        <f t="shared" ca="1" si="191"/>
        <v>0</v>
      </c>
      <c r="AO319" s="467">
        <f t="shared" ca="1" si="191"/>
        <v>0.16927483452917705</v>
      </c>
      <c r="AP319" s="467">
        <f t="shared" ca="1" si="191"/>
        <v>6.0976056290854716E-2</v>
      </c>
    </row>
    <row r="320" spans="1:42">
      <c r="A320" t="str">
        <f>A189</f>
        <v>Solids</v>
      </c>
      <c r="F320" s="467">
        <f t="shared" ca="1" si="188"/>
        <v>1.4421270549608678</v>
      </c>
      <c r="G320" s="467">
        <f t="shared" ca="1" si="188"/>
        <v>3.0991355388760522</v>
      </c>
      <c r="H320" s="467">
        <f t="shared" ca="1" si="188"/>
        <v>3.8604524899157693</v>
      </c>
      <c r="I320" s="467">
        <f t="shared" ca="1" si="188"/>
        <v>0.27188489968629648</v>
      </c>
      <c r="J320" s="467">
        <f t="shared" ca="1" si="188"/>
        <v>0</v>
      </c>
      <c r="K320" s="467">
        <f t="shared" ca="1" si="188"/>
        <v>20.778066593879267</v>
      </c>
      <c r="L320" s="467">
        <f t="shared" ca="1" si="188"/>
        <v>24.83776827091647</v>
      </c>
      <c r="M320" s="467">
        <f t="shared" ca="1" si="188"/>
        <v>0</v>
      </c>
      <c r="N320" s="467">
        <f t="shared" ca="1" si="188"/>
        <v>0.20500495391479695</v>
      </c>
      <c r="O320" s="467">
        <f t="shared" ca="1" si="188"/>
        <v>4.2783403254162309</v>
      </c>
      <c r="P320" s="467">
        <f t="shared" ca="1" si="189"/>
        <v>0.27264503109537458</v>
      </c>
      <c r="Q320" s="467">
        <f t="shared" ca="1" si="189"/>
        <v>5.4216549527919371</v>
      </c>
      <c r="R320" s="467">
        <f t="shared" ca="1" si="189"/>
        <v>0</v>
      </c>
      <c r="S320" s="467">
        <f t="shared" ca="1" si="189"/>
        <v>0.14068775158006536</v>
      </c>
      <c r="T320" s="467">
        <f t="shared" ca="1" si="189"/>
        <v>3.2439081102052474</v>
      </c>
      <c r="U320" s="467">
        <f t="shared" ca="1" si="189"/>
        <v>10.628812203308225</v>
      </c>
      <c r="V320" s="467">
        <f t="shared" ca="1" si="189"/>
        <v>0</v>
      </c>
      <c r="W320" s="467">
        <f t="shared" ca="1" si="189"/>
        <v>9.0619603919488229E-2</v>
      </c>
      <c r="X320" s="467">
        <f t="shared" ca="1" si="189"/>
        <v>1.4073860672622067</v>
      </c>
      <c r="Y320" s="467">
        <f t="shared" ca="1" si="189"/>
        <v>1.2798729573629528E-2</v>
      </c>
      <c r="Z320" s="467">
        <f t="shared" ca="1" si="190"/>
        <v>0.51556071357689681</v>
      </c>
      <c r="AA320" s="467">
        <f t="shared" ca="1" si="190"/>
        <v>0</v>
      </c>
      <c r="AB320" s="467">
        <f t="shared" ca="1" si="190"/>
        <v>5.2734519376780843E-2</v>
      </c>
      <c r="AC320" s="467">
        <f t="shared" ca="1" si="190"/>
        <v>0</v>
      </c>
      <c r="AD320" s="467">
        <f t="shared" ca="1" si="190"/>
        <v>154.04107516452217</v>
      </c>
      <c r="AE320" s="467">
        <f t="shared" ca="1" si="190"/>
        <v>0</v>
      </c>
      <c r="AF320" s="467">
        <f t="shared" ca="1" si="190"/>
        <v>0.22808571576523079</v>
      </c>
      <c r="AG320" s="467">
        <f t="shared" ca="1" si="190"/>
        <v>0</v>
      </c>
      <c r="AH320" s="467">
        <f t="shared" ca="1" si="190"/>
        <v>3.5014504152638189E-2</v>
      </c>
      <c r="AI320" s="467">
        <f t="shared" ca="1" si="190"/>
        <v>1.2267298550597134</v>
      </c>
      <c r="AJ320" s="467">
        <f t="shared" ca="1" si="191"/>
        <v>17.595266869494409</v>
      </c>
      <c r="AK320" s="467">
        <f t="shared" ca="1" si="191"/>
        <v>0</v>
      </c>
      <c r="AL320" s="467">
        <f t="shared" ca="1" si="191"/>
        <v>2.6708804749815451</v>
      </c>
      <c r="AM320" s="467">
        <f t="shared" ca="1" si="191"/>
        <v>0</v>
      </c>
      <c r="AN320" s="467">
        <f t="shared" ca="1" si="191"/>
        <v>0</v>
      </c>
      <c r="AO320" s="467">
        <f t="shared" ca="1" si="191"/>
        <v>5.7124488412614065</v>
      </c>
      <c r="AP320" s="467">
        <f t="shared" ca="1" si="191"/>
        <v>0.51965037754300558</v>
      </c>
    </row>
    <row r="321" spans="1:42">
      <c r="A321" t="s">
        <v>878</v>
      </c>
      <c r="F321" s="727">
        <f t="shared" ref="F321:AP321" ca="1" si="192">SUM(F313:F320)/1.01</f>
        <v>137.10078939172507</v>
      </c>
      <c r="G321" s="727">
        <f t="shared" ca="1" si="192"/>
        <v>205.85070211382728</v>
      </c>
      <c r="H321" s="727">
        <f t="shared" ca="1" si="192"/>
        <v>31.281973772731746</v>
      </c>
      <c r="I321" s="727">
        <f t="shared" ca="1" si="192"/>
        <v>148.59875786446241</v>
      </c>
      <c r="J321" s="727">
        <f t="shared" ca="1" si="192"/>
        <v>3.5796349905115039</v>
      </c>
      <c r="K321" s="727">
        <f t="shared" ca="1" si="192"/>
        <v>156.20631976219607</v>
      </c>
      <c r="L321" s="727">
        <f t="shared" ca="1" si="192"/>
        <v>1487.1466674453475</v>
      </c>
      <c r="M321" s="727">
        <f t="shared" ca="1" si="192"/>
        <v>124.34409679161409</v>
      </c>
      <c r="N321" s="727">
        <f t="shared" ca="1" si="192"/>
        <v>21.451872942480897</v>
      </c>
      <c r="O321" s="727">
        <f t="shared" ca="1" si="192"/>
        <v>241.45771233817965</v>
      </c>
      <c r="P321" s="727">
        <f t="shared" ca="1" si="192"/>
        <v>156.4898583044741</v>
      </c>
      <c r="Q321" s="727">
        <f t="shared" ca="1" si="192"/>
        <v>875.65968594079334</v>
      </c>
      <c r="R321" s="727">
        <f t="shared" ca="1" si="192"/>
        <v>72.75402865865405</v>
      </c>
      <c r="S321" s="727">
        <f t="shared" ca="1" si="192"/>
        <v>47.247877825233239</v>
      </c>
      <c r="T321" s="727">
        <f t="shared" ca="1" si="192"/>
        <v>137.71274403215855</v>
      </c>
      <c r="U321" s="727">
        <f t="shared" ca="1" si="192"/>
        <v>65.667455729276185</v>
      </c>
      <c r="V321" s="727">
        <f t="shared" ca="1" si="192"/>
        <v>13.819823349462231</v>
      </c>
      <c r="W321" s="727">
        <f t="shared" ca="1" si="192"/>
        <v>650.23281113985865</v>
      </c>
      <c r="X321" s="727">
        <f t="shared" ca="1" si="192"/>
        <v>31.923327306701431</v>
      </c>
      <c r="Y321" s="727">
        <f t="shared" ca="1" si="192"/>
        <v>12.370915420015674</v>
      </c>
      <c r="Z321" s="727">
        <f t="shared" ca="1" si="192"/>
        <v>29.59832661665774</v>
      </c>
      <c r="AA321" s="727">
        <f t="shared" ca="1" si="192"/>
        <v>0.32504556549499414</v>
      </c>
      <c r="AB321" s="727">
        <f t="shared" ca="1" si="192"/>
        <v>275.06356950091032</v>
      </c>
      <c r="AC321" s="727">
        <f t="shared" ca="1" si="192"/>
        <v>46.289160192404452</v>
      </c>
      <c r="AD321" s="727">
        <f t="shared" ca="1" si="192"/>
        <v>440.97703498857214</v>
      </c>
      <c r="AE321" s="727">
        <f t="shared" ca="1" si="192"/>
        <v>14.582643924864573</v>
      </c>
      <c r="AF321" s="727">
        <f t="shared" ca="1" si="192"/>
        <v>146.53695618908614</v>
      </c>
      <c r="AG321" s="727">
        <f t="shared" ca="1" si="192"/>
        <v>164.6662001917461</v>
      </c>
      <c r="AH321" s="727">
        <f t="shared" ca="1" si="192"/>
        <v>24.739257215048838</v>
      </c>
      <c r="AI321" s="727">
        <f t="shared" ca="1" si="192"/>
        <v>47.336071693921269</v>
      </c>
      <c r="AJ321" s="727">
        <f t="shared" ca="1" si="192"/>
        <v>1016.0408317674286</v>
      </c>
      <c r="AK321" s="727">
        <f t="shared" ca="1" si="192"/>
        <v>4.1185040295210289</v>
      </c>
      <c r="AL321" s="727">
        <f t="shared" ca="1" si="192"/>
        <v>10.8386439204713</v>
      </c>
      <c r="AM321" s="727">
        <f t="shared" ca="1" si="192"/>
        <v>4.9574115526387041</v>
      </c>
      <c r="AN321" s="727">
        <f t="shared" ca="1" si="192"/>
        <v>6.034285707618066</v>
      </c>
      <c r="AO321" s="727">
        <f t="shared" ca="1" si="192"/>
        <v>45.410118945880903</v>
      </c>
      <c r="AP321" s="727">
        <f t="shared" ca="1" si="192"/>
        <v>6.1655187886320766</v>
      </c>
    </row>
    <row r="327" spans="1:42">
      <c r="E327" s="533" t="s">
        <v>914</v>
      </c>
    </row>
    <row r="328" spans="1:42" ht="15" thickBot="1">
      <c r="C328" s="539" t="s">
        <v>545</v>
      </c>
      <c r="D328" s="539" t="s">
        <v>554</v>
      </c>
      <c r="E328" s="539" t="s">
        <v>552</v>
      </c>
      <c r="F328" s="540" t="s">
        <v>88</v>
      </c>
      <c r="G328" s="540" t="s">
        <v>89</v>
      </c>
      <c r="H328" s="540" t="s">
        <v>90</v>
      </c>
      <c r="I328" s="540" t="s">
        <v>91</v>
      </c>
      <c r="J328" s="540" t="s">
        <v>92</v>
      </c>
      <c r="K328" s="540" t="s">
        <v>93</v>
      </c>
      <c r="L328" s="540" t="s">
        <v>94</v>
      </c>
      <c r="M328" s="540" t="s">
        <v>95</v>
      </c>
      <c r="N328" s="540" t="s">
        <v>96</v>
      </c>
      <c r="O328" s="540" t="s">
        <v>97</v>
      </c>
      <c r="P328" s="540" t="s">
        <v>98</v>
      </c>
      <c r="Q328" s="540" t="s">
        <v>99</v>
      </c>
      <c r="R328" s="540" t="s">
        <v>205</v>
      </c>
      <c r="S328" s="540" t="s">
        <v>118</v>
      </c>
      <c r="T328" s="540" t="s">
        <v>100</v>
      </c>
      <c r="U328" s="540" t="s">
        <v>101</v>
      </c>
      <c r="V328" s="540" t="s">
        <v>102</v>
      </c>
      <c r="W328" s="540" t="s">
        <v>103</v>
      </c>
      <c r="X328" s="540" t="s">
        <v>104</v>
      </c>
      <c r="Y328" s="540" t="s">
        <v>105</v>
      </c>
      <c r="Z328" s="540" t="s">
        <v>106</v>
      </c>
      <c r="AA328" s="540" t="s">
        <v>107</v>
      </c>
      <c r="AB328" s="540" t="s">
        <v>108</v>
      </c>
      <c r="AC328" s="540" t="s">
        <v>109</v>
      </c>
      <c r="AD328" s="540" t="s">
        <v>110</v>
      </c>
      <c r="AE328" s="540" t="s">
        <v>111</v>
      </c>
      <c r="AF328" s="540" t="s">
        <v>112</v>
      </c>
      <c r="AG328" s="540" t="s">
        <v>113</v>
      </c>
      <c r="AH328" s="540" t="s">
        <v>114</v>
      </c>
      <c r="AI328" s="540" t="s">
        <v>115</v>
      </c>
      <c r="AJ328" s="540" t="s">
        <v>52</v>
      </c>
      <c r="AK328" s="540" t="s">
        <v>116</v>
      </c>
      <c r="AL328" s="540" t="s">
        <v>117</v>
      </c>
      <c r="AM328" s="540" t="s">
        <v>119</v>
      </c>
      <c r="AN328" s="540" t="s">
        <v>120</v>
      </c>
      <c r="AO328" s="540" t="s">
        <v>121</v>
      </c>
      <c r="AP328" s="540" t="s">
        <v>122</v>
      </c>
    </row>
    <row r="329" spans="1:42">
      <c r="C329" t="str">
        <f>C182</f>
        <v>R_ES-SH-FL_ELC-R</v>
      </c>
      <c r="D329" t="str">
        <f>D182</f>
        <v>UP</v>
      </c>
      <c r="E329" t="str">
        <f>E182</f>
        <v>R_ES-FL-SpHeat</v>
      </c>
      <c r="F329" s="794">
        <f t="shared" ref="F329:AP329" ca="1" si="193">F182*F93</f>
        <v>1.5700814104922411E-2</v>
      </c>
      <c r="G329" s="794">
        <f t="shared" ca="1" si="193"/>
        <v>2.4516998850709504E-2</v>
      </c>
      <c r="H329" s="496">
        <f t="shared" ca="1" si="193"/>
        <v>1.0913274215452285E-2</v>
      </c>
      <c r="I329" s="496">
        <f t="shared" ca="1" si="193"/>
        <v>2.0628315996102445E-2</v>
      </c>
      <c r="J329" s="496">
        <f t="shared" ca="1" si="193"/>
        <v>1.1165600402009122E-2</v>
      </c>
      <c r="K329" s="496">
        <f t="shared" ca="1" si="193"/>
        <v>1.8711414554354915E-2</v>
      </c>
      <c r="L329" s="496">
        <f t="shared" ca="1" si="193"/>
        <v>1.7097983484127593E-2</v>
      </c>
      <c r="M329" s="496">
        <f t="shared" ca="1" si="193"/>
        <v>4.4242334833915894E-3</v>
      </c>
      <c r="N329" s="496">
        <f t="shared" ca="1" si="193"/>
        <v>5.0715622236659572E-3</v>
      </c>
      <c r="O329" s="496">
        <f t="shared" ca="1" si="193"/>
        <v>1.7912641887893998E-2</v>
      </c>
      <c r="P329" s="496">
        <f t="shared" ca="1" si="193"/>
        <v>1.1646663274379103E-2</v>
      </c>
      <c r="Q329" s="496">
        <f t="shared" ca="1" si="193"/>
        <v>1.6617750832510277E-2</v>
      </c>
      <c r="R329" s="496">
        <f t="shared" ca="1" si="193"/>
        <v>2.3190737559264426E-2</v>
      </c>
      <c r="S329" s="496">
        <f t="shared" ca="1" si="193"/>
        <v>1.8551710944761341E-2</v>
      </c>
      <c r="T329" s="496">
        <f t="shared" ca="1" si="193"/>
        <v>1.6734596967265376E-2</v>
      </c>
      <c r="U329" s="496">
        <f t="shared" ca="1" si="193"/>
        <v>1.2201476653753375E-2</v>
      </c>
      <c r="V329" s="496">
        <f t="shared" ca="1" si="193"/>
        <v>4.0479714842683145E-2</v>
      </c>
      <c r="W329" s="496">
        <f t="shared" ca="1" si="193"/>
        <v>2.0540240014384264E-3</v>
      </c>
      <c r="X329" s="496">
        <f t="shared" ca="1" si="193"/>
        <v>1.1535468266013784E-2</v>
      </c>
      <c r="Y329" s="496">
        <f t="shared" ca="1" si="193"/>
        <v>2.7613832152224752E-2</v>
      </c>
      <c r="Z329" s="496">
        <f t="shared" ca="1" si="193"/>
        <v>1.6087681985124617E-2</v>
      </c>
      <c r="AA329" s="496">
        <f t="shared" ca="1" si="193"/>
        <v>7.6198637608243342E-3</v>
      </c>
      <c r="AB329" s="496">
        <f t="shared" ca="1" si="193"/>
        <v>1.8732759571930244E-2</v>
      </c>
      <c r="AC329" s="496">
        <f t="shared" ca="1" si="193"/>
        <v>1.6015750040154698E-2</v>
      </c>
      <c r="AD329" s="496">
        <f t="shared" ca="1" si="193"/>
        <v>1.9306618088710672E-2</v>
      </c>
      <c r="AE329" s="496">
        <f t="shared" ca="1" si="193"/>
        <v>2.8413692357961784E-3</v>
      </c>
      <c r="AF329" s="496">
        <f t="shared" ca="1" si="193"/>
        <v>1.1440900144574996E-2</v>
      </c>
      <c r="AG329" s="496">
        <f t="shared" ca="1" si="193"/>
        <v>2.4900880659669573E-2</v>
      </c>
      <c r="AH329" s="496">
        <f t="shared" ca="1" si="193"/>
        <v>1.9230143473646745E-2</v>
      </c>
      <c r="AI329" s="496">
        <f t="shared" ca="1" si="193"/>
        <v>1.8640441914297014E-2</v>
      </c>
      <c r="AJ329" s="496">
        <f t="shared" ca="1" si="193"/>
        <v>1.3305599155056181E-2</v>
      </c>
      <c r="AK329" s="496">
        <f t="shared" ca="1" si="193"/>
        <v>6.695892148136184E-3</v>
      </c>
      <c r="AL329" s="496">
        <f t="shared" ca="1" si="193"/>
        <v>9.8525250010584146E-3</v>
      </c>
      <c r="AM329" s="496">
        <f t="shared" ca="1" si="193"/>
        <v>1.7006688308460874E-2</v>
      </c>
      <c r="AN329" s="496">
        <f t="shared" ca="1" si="193"/>
        <v>9.6157440286669237E-3</v>
      </c>
      <c r="AO329" s="496">
        <f t="shared" ca="1" si="193"/>
        <v>1.3970494701193636E-2</v>
      </c>
      <c r="AP329" s="496">
        <f t="shared" ca="1" si="193"/>
        <v>9.5210658214531039E-3</v>
      </c>
    </row>
    <row r="330" spans="1:42">
      <c r="C330" t="str">
        <f t="shared" ref="C330:E337" si="194">C185</f>
        <v>R_ES-SH-FL_GAS</v>
      </c>
      <c r="D330" t="str">
        <f t="shared" si="194"/>
        <v>UP</v>
      </c>
      <c r="E330" t="str">
        <f t="shared" si="194"/>
        <v>R_ES-FL-SpHeat</v>
      </c>
      <c r="F330" s="794">
        <f t="shared" ref="F330:AP330" ca="1" si="195">F185*F96</f>
        <v>2.0395742408385639E-2</v>
      </c>
      <c r="G330" s="794">
        <f t="shared" ca="1" si="195"/>
        <v>2.314433063830736E-2</v>
      </c>
      <c r="H330" s="496">
        <f t="shared" ca="1" si="195"/>
        <v>9.2803735479916379E-3</v>
      </c>
      <c r="I330" s="496">
        <f t="shared" ca="1" si="195"/>
        <v>2.0628315996102445E-2</v>
      </c>
      <c r="J330" s="496">
        <f t="shared" ca="1" si="195"/>
        <v>4.4007084569871589E-2</v>
      </c>
      <c r="K330" s="496">
        <f t="shared" ca="1" si="195"/>
        <v>1.9557792177388924E-2</v>
      </c>
      <c r="L330" s="496">
        <f t="shared" ca="1" si="195"/>
        <v>1.8579296551759387E-2</v>
      </c>
      <c r="M330" s="496">
        <f t="shared" ca="1" si="195"/>
        <v>1.5852145130032195E-2</v>
      </c>
      <c r="N330" s="496">
        <f t="shared" ca="1" si="195"/>
        <v>2.0685857858673856E-2</v>
      </c>
      <c r="O330" s="496">
        <f t="shared" ca="1" si="195"/>
        <v>1.731499674084892E-2</v>
      </c>
      <c r="P330" s="496">
        <f t="shared" ca="1" si="195"/>
        <v>2.6032756471809946E-2</v>
      </c>
      <c r="Q330" s="496">
        <f t="shared" ca="1" si="195"/>
        <v>1.698210413942057E-2</v>
      </c>
      <c r="R330" s="496">
        <f t="shared" ca="1" si="195"/>
        <v>2.102718479727736E-2</v>
      </c>
      <c r="S330" s="496">
        <f t="shared" ca="1" si="195"/>
        <v>1.7316648670919643E-2</v>
      </c>
      <c r="T330" s="496">
        <f t="shared" ca="1" si="195"/>
        <v>1.436107649434591E-2</v>
      </c>
      <c r="U330" s="496">
        <f t="shared" ca="1" si="195"/>
        <v>1.1384930979989718E-2</v>
      </c>
      <c r="V330" s="496">
        <f t="shared" ca="1" si="195"/>
        <v>1.3903209063225829E-2</v>
      </c>
      <c r="W330" s="496">
        <f t="shared" ca="1" si="195"/>
        <v>2.0251124326170149E-2</v>
      </c>
      <c r="X330" s="496">
        <f t="shared" ca="1" si="195"/>
        <v>1.4576866960587935E-2</v>
      </c>
      <c r="Y330" s="496">
        <f t="shared" ca="1" si="195"/>
        <v>3.2792463690444452E-2</v>
      </c>
      <c r="Z330" s="496">
        <f t="shared" ca="1" si="195"/>
        <v>1.9536442069728436E-2</v>
      </c>
      <c r="AA330" s="496">
        <f t="shared" ca="1" si="195"/>
        <v>6.9069254501922112E-2</v>
      </c>
      <c r="AB330" s="496">
        <f t="shared" ca="1" si="195"/>
        <v>1.996904601973928E-2</v>
      </c>
      <c r="AC330" s="496">
        <f t="shared" ca="1" si="195"/>
        <v>1.6015750040154694E-2</v>
      </c>
      <c r="AD330" s="496">
        <f t="shared" ca="1" si="195"/>
        <v>1.5819845310871598E-2</v>
      </c>
      <c r="AE330" s="496">
        <f t="shared" ca="1" si="195"/>
        <v>5.7618976880737397E-3</v>
      </c>
      <c r="AF330" s="496">
        <f t="shared" ca="1" si="195"/>
        <v>9.4020671124227413E-3</v>
      </c>
      <c r="AG330" s="496">
        <f t="shared" ca="1" si="195"/>
        <v>2.464134768275366E-2</v>
      </c>
      <c r="AH330" s="496">
        <f t="shared" ca="1" si="195"/>
        <v>1.6418621470123549E-2</v>
      </c>
      <c r="AI330" s="496">
        <f t="shared" ca="1" si="195"/>
        <v>1.7694987386899137E-2</v>
      </c>
      <c r="AJ330" s="496">
        <f t="shared" ca="1" si="195"/>
        <v>1.2706649317669154E-2</v>
      </c>
      <c r="AK330" s="496">
        <f t="shared" ca="1" si="195"/>
        <v>1.6695537748086173E-2</v>
      </c>
      <c r="AL330" s="496">
        <f t="shared" ca="1" si="195"/>
        <v>9.8525250010584129E-3</v>
      </c>
      <c r="AM330" s="496">
        <f t="shared" ca="1" si="195"/>
        <v>1.6857908900125031E-2</v>
      </c>
      <c r="AN330" s="496">
        <f t="shared" ca="1" si="195"/>
        <v>1.6875855208356324E-2</v>
      </c>
      <c r="AO330" s="496">
        <f t="shared" ca="1" si="195"/>
        <v>1.3970494701193634E-2</v>
      </c>
      <c r="AP330" s="496">
        <f t="shared" ca="1" si="195"/>
        <v>1.5494624563375966E-2</v>
      </c>
    </row>
    <row r="331" spans="1:42">
      <c r="C331" t="str">
        <f t="shared" si="194"/>
        <v>R_ES-SH-FL_HET</v>
      </c>
      <c r="D331" t="str">
        <f t="shared" si="194"/>
        <v>UP</v>
      </c>
      <c r="E331" t="str">
        <f t="shared" si="194"/>
        <v>R_ES-FL-SpHeat</v>
      </c>
      <c r="F331" s="794">
        <f t="shared" ref="F331:AP331" ca="1" si="196">F186*F97</f>
        <v>1.971581578727272E-2</v>
      </c>
      <c r="G331" s="794">
        <f t="shared" ca="1" si="196"/>
        <v>1.6751290155949481E-2</v>
      </c>
      <c r="H331" s="496">
        <f t="shared" ca="1" si="196"/>
        <v>8.0775826299781788E-3</v>
      </c>
      <c r="I331" s="496">
        <f t="shared" ca="1" si="196"/>
        <v>2.0628315996102445E-2</v>
      </c>
      <c r="J331" s="496">
        <f t="shared" ca="1" si="196"/>
        <v>5.0293810936996114E-2</v>
      </c>
      <c r="K331" s="496">
        <f t="shared" ca="1" si="196"/>
        <v>1.6867462820767058E-2</v>
      </c>
      <c r="L331" s="496">
        <f t="shared" ca="1" si="196"/>
        <v>1.8514196818203221E-2</v>
      </c>
      <c r="M331" s="496">
        <f t="shared" ca="1" si="196"/>
        <v>1.5328679632731436E-2</v>
      </c>
      <c r="N331" s="496">
        <f t="shared" ca="1" si="196"/>
        <v>1.9261349623337899E-2</v>
      </c>
      <c r="O331" s="496">
        <f t="shared" ca="1" si="196"/>
        <v>2.4247956907263338E-2</v>
      </c>
      <c r="P331" s="496">
        <f t="shared" ca="1" si="196"/>
        <v>2.5886460286141371E-2</v>
      </c>
      <c r="Q331" s="496">
        <f t="shared" ca="1" si="196"/>
        <v>1.6350954978326646E-2</v>
      </c>
      <c r="R331" s="496">
        <f t="shared" ca="1" si="196"/>
        <v>1.9824805678653166E-2</v>
      </c>
      <c r="S331" s="496">
        <f t="shared" ca="1" si="196"/>
        <v>1.6258568132464207E-2</v>
      </c>
      <c r="T331" s="496">
        <f t="shared" ca="1" si="196"/>
        <v>1.3135570894758229E-2</v>
      </c>
      <c r="U331" s="496">
        <f t="shared" ca="1" si="196"/>
        <v>6.661120078806081E-3</v>
      </c>
      <c r="V331" s="496">
        <f t="shared" ca="1" si="196"/>
        <v>4.0479714842683139E-2</v>
      </c>
      <c r="W331" s="496">
        <f t="shared" ca="1" si="196"/>
        <v>1.9883100335957363E-2</v>
      </c>
      <c r="X331" s="496">
        <f t="shared" ca="1" si="196"/>
        <v>1.2922632054819921E-2</v>
      </c>
      <c r="Y331" s="496">
        <f t="shared" ca="1" si="196"/>
        <v>1.5363466583298922E-2</v>
      </c>
      <c r="Z331" s="496">
        <f t="shared" ca="1" si="196"/>
        <v>1.7224663131463626E-2</v>
      </c>
      <c r="AA331" s="496">
        <f t="shared" ca="1" si="196"/>
        <v>7.8936290859339564E-2</v>
      </c>
      <c r="AB331" s="496">
        <f t="shared" ca="1" si="196"/>
        <v>1.9588997875175724E-2</v>
      </c>
      <c r="AC331" s="496">
        <f t="shared" ca="1" si="196"/>
        <v>1.6015750040154691E-2</v>
      </c>
      <c r="AD331" s="496">
        <f t="shared" ca="1" si="196"/>
        <v>1.4466673634378802E-2</v>
      </c>
      <c r="AE331" s="496">
        <f t="shared" ca="1" si="196"/>
        <v>5.3852971986357084E-3</v>
      </c>
      <c r="AF331" s="496">
        <f t="shared" ca="1" si="196"/>
        <v>8.5973017722960534E-3</v>
      </c>
      <c r="AG331" s="496">
        <f t="shared" ca="1" si="196"/>
        <v>2.2789630114284615E-2</v>
      </c>
      <c r="AH331" s="496">
        <f t="shared" ca="1" si="196"/>
        <v>1.6669123101255876E-2</v>
      </c>
      <c r="AI331" s="496">
        <f t="shared" ca="1" si="196"/>
        <v>1.643093222423736E-2</v>
      </c>
      <c r="AJ331" s="496">
        <f t="shared" ca="1" si="196"/>
        <v>1.1157942332042554E-2</v>
      </c>
      <c r="AK331" s="496">
        <f t="shared" ca="1" si="196"/>
        <v>1.8401008719800098E-2</v>
      </c>
      <c r="AL331" s="496">
        <f t="shared" ca="1" si="196"/>
        <v>9.8525250010584146E-3</v>
      </c>
      <c r="AM331" s="496">
        <f t="shared" ca="1" si="196"/>
        <v>1.9660431256517341E-2</v>
      </c>
      <c r="AN331" s="496">
        <f t="shared" ca="1" si="196"/>
        <v>9.6157440286669255E-3</v>
      </c>
      <c r="AO331" s="496">
        <f t="shared" ca="1" si="196"/>
        <v>1.3970494701193631E-2</v>
      </c>
      <c r="AP331" s="496">
        <f t="shared" ca="1" si="196"/>
        <v>9.5210658214531022E-3</v>
      </c>
    </row>
    <row r="332" spans="1:42">
      <c r="C332" t="str">
        <f t="shared" si="194"/>
        <v>R_ES-SH-FL_OIL</v>
      </c>
      <c r="D332" t="str">
        <f t="shared" si="194"/>
        <v>UP</v>
      </c>
      <c r="E332" t="str">
        <f t="shared" si="194"/>
        <v>R_ES-FL-SpHeat</v>
      </c>
      <c r="F332" s="794">
        <f t="shared" ref="F332:AP332" ca="1" si="197">F187*F98</f>
        <v>1.985329046501285E-2</v>
      </c>
      <c r="G332" s="794">
        <f t="shared" ca="1" si="197"/>
        <v>2.1187596767413556E-2</v>
      </c>
      <c r="H332" s="496">
        <f t="shared" ca="1" si="197"/>
        <v>1.1993928568809356E-2</v>
      </c>
      <c r="I332" s="496">
        <f t="shared" ca="1" si="197"/>
        <v>2.0628315996102438E-2</v>
      </c>
      <c r="J332" s="496">
        <f t="shared" ca="1" si="197"/>
        <v>8.2643232737579977E-3</v>
      </c>
      <c r="K332" s="496">
        <f t="shared" ca="1" si="197"/>
        <v>1.1709351176698631E-2</v>
      </c>
      <c r="L332" s="496">
        <f t="shared" ca="1" si="197"/>
        <v>1.8662604578559533E-2</v>
      </c>
      <c r="M332" s="496">
        <f t="shared" ca="1" si="197"/>
        <v>1.5307582621288163E-2</v>
      </c>
      <c r="N332" s="496">
        <f t="shared" ca="1" si="197"/>
        <v>1.7539964930915732E-2</v>
      </c>
      <c r="O332" s="496">
        <f t="shared" ca="1" si="197"/>
        <v>1.647365970684429E-2</v>
      </c>
      <c r="P332" s="496">
        <f t="shared" ca="1" si="197"/>
        <v>2.5615537746040324E-2</v>
      </c>
      <c r="Q332" s="496">
        <f t="shared" ca="1" si="197"/>
        <v>1.6073962805538584E-2</v>
      </c>
      <c r="R332" s="496">
        <f t="shared" ca="1" si="197"/>
        <v>1.9561105735364182E-2</v>
      </c>
      <c r="S332" s="496">
        <f t="shared" ca="1" si="197"/>
        <v>1.7187104164040356E-2</v>
      </c>
      <c r="T332" s="496">
        <f t="shared" ca="1" si="197"/>
        <v>9.8966195841165353E-3</v>
      </c>
      <c r="U332" s="496">
        <f t="shared" ca="1" si="197"/>
        <v>1.1422103578824826E-2</v>
      </c>
      <c r="V332" s="496">
        <f t="shared" ca="1" si="197"/>
        <v>4.0479714842683139E-2</v>
      </c>
      <c r="W332" s="496">
        <f t="shared" ca="1" si="197"/>
        <v>2.000196539358692E-2</v>
      </c>
      <c r="X332" s="496">
        <f t="shared" ca="1" si="197"/>
        <v>1.5765792209765372E-2</v>
      </c>
      <c r="Y332" s="496">
        <f t="shared" ca="1" si="197"/>
        <v>3.2934330954910905E-2</v>
      </c>
      <c r="Z332" s="496">
        <f t="shared" ca="1" si="197"/>
        <v>1.8780735228312865E-2</v>
      </c>
      <c r="AA332" s="496">
        <f t="shared" ca="1" si="197"/>
        <v>6.9069254501922112E-2</v>
      </c>
      <c r="AB332" s="496">
        <f t="shared" ca="1" si="197"/>
        <v>2.0739111695678443E-2</v>
      </c>
      <c r="AC332" s="496">
        <f t="shared" ca="1" si="197"/>
        <v>1.6015750040154691E-2</v>
      </c>
      <c r="AD332" s="496">
        <f t="shared" ca="1" si="197"/>
        <v>1.5261426053739329E-2</v>
      </c>
      <c r="AE332" s="496">
        <f t="shared" ca="1" si="197"/>
        <v>5.7055044590753022E-3</v>
      </c>
      <c r="AF332" s="496">
        <f t="shared" ca="1" si="197"/>
        <v>6.2161512145421163E-3</v>
      </c>
      <c r="AG332" s="496">
        <f t="shared" ca="1" si="197"/>
        <v>2.5591344010409953E-2</v>
      </c>
      <c r="AH332" s="496">
        <f t="shared" ca="1" si="197"/>
        <v>1.7802421415158538E-2</v>
      </c>
      <c r="AI332" s="496">
        <f t="shared" ca="1" si="197"/>
        <v>1.1623701388786467E-2</v>
      </c>
      <c r="AJ332" s="496">
        <f t="shared" ca="1" si="197"/>
        <v>1.2962851382510861E-2</v>
      </c>
      <c r="AK332" s="496">
        <f t="shared" ca="1" si="197"/>
        <v>6.695892148136184E-3</v>
      </c>
      <c r="AL332" s="496">
        <f t="shared" ca="1" si="197"/>
        <v>1.6339736812500148E-2</v>
      </c>
      <c r="AM332" s="496">
        <f t="shared" ca="1" si="197"/>
        <v>1.7777377793859298E-2</v>
      </c>
      <c r="AN332" s="496">
        <f t="shared" ca="1" si="197"/>
        <v>9.6157440286669237E-3</v>
      </c>
      <c r="AO332" s="496">
        <f t="shared" ca="1" si="197"/>
        <v>1.3970494701193634E-2</v>
      </c>
      <c r="AP332" s="496">
        <f t="shared" ca="1" si="197"/>
        <v>9.5210658214531022E-3</v>
      </c>
    </row>
    <row r="333" spans="1:42">
      <c r="C333" t="str">
        <f t="shared" si="194"/>
        <v>R_ES-SH-FL_BIO</v>
      </c>
      <c r="D333" t="str">
        <f t="shared" si="194"/>
        <v>UP</v>
      </c>
      <c r="E333" t="str">
        <f t="shared" si="194"/>
        <v>R_ES-FL-SpHeat</v>
      </c>
      <c r="F333" s="794">
        <f t="shared" ref="F333:AP333" ca="1" si="198">F188*F99</f>
        <v>2.0848957033734711E-2</v>
      </c>
      <c r="G333" s="794">
        <f t="shared" ca="1" si="198"/>
        <v>2.3627873142524417E-2</v>
      </c>
      <c r="H333" s="496">
        <f t="shared" ca="1" si="198"/>
        <v>8.9011213677867938E-3</v>
      </c>
      <c r="I333" s="496">
        <f t="shared" ca="1" si="198"/>
        <v>2.0628315996102445E-2</v>
      </c>
      <c r="J333" s="496">
        <f t="shared" ca="1" si="198"/>
        <v>7.1680944669515268E-3</v>
      </c>
      <c r="K333" s="496">
        <f t="shared" ca="1" si="198"/>
        <v>1.8263903786435016E-2</v>
      </c>
      <c r="L333" s="496">
        <f t="shared" ca="1" si="198"/>
        <v>2.0473036288709813E-2</v>
      </c>
      <c r="M333" s="496">
        <f t="shared" ca="1" si="198"/>
        <v>1.6297446127165927E-2</v>
      </c>
      <c r="N333" s="496">
        <f t="shared" ca="1" si="198"/>
        <v>2.0265429629901181E-2</v>
      </c>
      <c r="O333" s="496">
        <f t="shared" ca="1" si="198"/>
        <v>1.6406657709221849E-2</v>
      </c>
      <c r="P333" s="496">
        <f t="shared" ca="1" si="198"/>
        <v>2.7965328780905439E-2</v>
      </c>
      <c r="Q333" s="496">
        <f t="shared" ca="1" si="198"/>
        <v>1.754209417002944E-2</v>
      </c>
      <c r="R333" s="496">
        <f t="shared" ca="1" si="198"/>
        <v>2.0068415738624175E-2</v>
      </c>
      <c r="S333" s="496">
        <f t="shared" ca="1" si="198"/>
        <v>1.7400649874834563E-2</v>
      </c>
      <c r="T333" s="496">
        <f t="shared" ca="1" si="198"/>
        <v>1.4927966800038321E-2</v>
      </c>
      <c r="U333" s="496">
        <f t="shared" ca="1" si="198"/>
        <v>1.1224744604776137E-2</v>
      </c>
      <c r="V333" s="496">
        <f t="shared" ca="1" si="198"/>
        <v>1.4988693433497747E-2</v>
      </c>
      <c r="W333" s="496">
        <f t="shared" ca="1" si="198"/>
        <v>2.1431792815838548E-2</v>
      </c>
      <c r="X333" s="496">
        <f t="shared" ca="1" si="198"/>
        <v>1.3684729727215758E-2</v>
      </c>
      <c r="Y333" s="496">
        <f t="shared" ca="1" si="198"/>
        <v>3.5051655393589079E-2</v>
      </c>
      <c r="Z333" s="496">
        <f t="shared" ca="1" si="198"/>
        <v>1.64648457884927E-2</v>
      </c>
      <c r="AA333" s="496">
        <f t="shared" ca="1" si="198"/>
        <v>7.1058704181117564E-3</v>
      </c>
      <c r="AB333" s="496">
        <f t="shared" ca="1" si="198"/>
        <v>1.813653445835612E-2</v>
      </c>
      <c r="AC333" s="496">
        <f t="shared" ca="1" si="198"/>
        <v>1.6015750040154691E-2</v>
      </c>
      <c r="AD333" s="496">
        <f t="shared" ca="1" si="198"/>
        <v>1.5881529372723389E-2</v>
      </c>
      <c r="AE333" s="496">
        <f t="shared" ca="1" si="198"/>
        <v>5.4034144399257673E-3</v>
      </c>
      <c r="AF333" s="496">
        <f t="shared" ca="1" si="198"/>
        <v>9.8012109576921524E-3</v>
      </c>
      <c r="AG333" s="496">
        <f t="shared" ca="1" si="198"/>
        <v>2.4795730434091036E-2</v>
      </c>
      <c r="AH333" s="496">
        <f t="shared" ca="1" si="198"/>
        <v>1.6460885726579017E-2</v>
      </c>
      <c r="AI333" s="496">
        <f t="shared" ca="1" si="198"/>
        <v>1.8174109781179282E-2</v>
      </c>
      <c r="AJ333" s="496">
        <f t="shared" ca="1" si="198"/>
        <v>1.3789195831545913E-2</v>
      </c>
      <c r="AK333" s="496">
        <f t="shared" ca="1" si="198"/>
        <v>6.695892148136184E-3</v>
      </c>
      <c r="AL333" s="496">
        <f t="shared" ca="1" si="198"/>
        <v>9.8525250010584112E-3</v>
      </c>
      <c r="AM333" s="496">
        <f t="shared" ca="1" si="198"/>
        <v>1.7006688308460874E-2</v>
      </c>
      <c r="AN333" s="496">
        <f t="shared" ca="1" si="198"/>
        <v>9.6157440286669237E-3</v>
      </c>
      <c r="AO333" s="496">
        <f t="shared" ca="1" si="198"/>
        <v>1.3970494701193633E-2</v>
      </c>
      <c r="AP333" s="496">
        <f t="shared" ca="1" si="198"/>
        <v>9.5210658214531022E-3</v>
      </c>
    </row>
    <row r="334" spans="1:42">
      <c r="C334" t="str">
        <f t="shared" si="194"/>
        <v>R_ES-SH-FL_COA</v>
      </c>
      <c r="D334" t="str">
        <f t="shared" si="194"/>
        <v>UP</v>
      </c>
      <c r="E334" t="str">
        <f t="shared" si="194"/>
        <v>R_ES-FL-SpHeat</v>
      </c>
      <c r="F334" s="794">
        <f t="shared" ref="F334:AP334" ca="1" si="199">F189*F100</f>
        <v>2.1148643702888853E-2</v>
      </c>
      <c r="G334" s="794">
        <f t="shared" ca="1" si="199"/>
        <v>2.0431358136331342E-2</v>
      </c>
      <c r="H334" s="496">
        <f t="shared" ca="1" si="199"/>
        <v>8.2986044087217815E-3</v>
      </c>
      <c r="I334" s="496">
        <f t="shared" ca="1" si="199"/>
        <v>2.0628315996102445E-2</v>
      </c>
      <c r="J334" s="496">
        <f t="shared" ca="1" si="199"/>
        <v>4.4007084569871589E-2</v>
      </c>
      <c r="K334" s="496">
        <f t="shared" ca="1" si="199"/>
        <v>1.7693676559646716E-2</v>
      </c>
      <c r="L334" s="496">
        <f t="shared" ca="1" si="199"/>
        <v>1.8850838532537922E-2</v>
      </c>
      <c r="M334" s="496">
        <f t="shared" ca="1" si="199"/>
        <v>8.0011702222450142E-3</v>
      </c>
      <c r="N334" s="496">
        <f t="shared" ca="1" si="199"/>
        <v>1.6747168002229123E-2</v>
      </c>
      <c r="O334" s="496">
        <f t="shared" ca="1" si="199"/>
        <v>1.5612219095860485E-2</v>
      </c>
      <c r="P334" s="496">
        <f t="shared" ca="1" si="199"/>
        <v>2.605505459096915E-2</v>
      </c>
      <c r="Q334" s="496">
        <f t="shared" ca="1" si="199"/>
        <v>1.7561195319201483E-2</v>
      </c>
      <c r="R334" s="496">
        <f t="shared" ca="1" si="199"/>
        <v>2.7145941716234172E-2</v>
      </c>
      <c r="S334" s="496">
        <f t="shared" ca="1" si="199"/>
        <v>1.8720701218953258E-2</v>
      </c>
      <c r="T334" s="496">
        <f t="shared" ca="1" si="199"/>
        <v>1.2022129278491887E-2</v>
      </c>
      <c r="U334" s="496">
        <f t="shared" ca="1" si="199"/>
        <v>9.9811711179908467E-3</v>
      </c>
      <c r="V334" s="496">
        <f t="shared" ca="1" si="199"/>
        <v>1.237544870925422E-2</v>
      </c>
      <c r="W334" s="496">
        <f t="shared" ca="1" si="199"/>
        <v>1.8260563370350296E-2</v>
      </c>
      <c r="X334" s="496">
        <f t="shared" ca="1" si="199"/>
        <v>1.3317354348293424E-2</v>
      </c>
      <c r="Y334" s="496">
        <f t="shared" ca="1" si="199"/>
        <v>3.1455897430221334E-2</v>
      </c>
      <c r="Z334" s="496">
        <f t="shared" ca="1" si="199"/>
        <v>2.2915452260775848E-2</v>
      </c>
      <c r="AA334" s="496">
        <f t="shared" ca="1" si="199"/>
        <v>6.9069254501922112E-2</v>
      </c>
      <c r="AB334" s="496">
        <f t="shared" ca="1" si="199"/>
        <v>1.737600990743161E-2</v>
      </c>
      <c r="AC334" s="496">
        <f t="shared" ca="1" si="199"/>
        <v>1.3792829392211518E-2</v>
      </c>
      <c r="AD334" s="496">
        <f t="shared" ca="1" si="199"/>
        <v>1.5270126303830728E-2</v>
      </c>
      <c r="AE334" s="496">
        <f t="shared" ca="1" si="199"/>
        <v>1.2486107466273072E-2</v>
      </c>
      <c r="AF334" s="496">
        <f t="shared" ca="1" si="199"/>
        <v>4.7505818676656783E-3</v>
      </c>
      <c r="AG334" s="496">
        <f t="shared" ca="1" si="199"/>
        <v>1.2072199591150393E-2</v>
      </c>
      <c r="AH334" s="496">
        <f t="shared" ca="1" si="199"/>
        <v>1.6581947190299613E-2</v>
      </c>
      <c r="AI334" s="496">
        <f t="shared" ca="1" si="199"/>
        <v>1.7364285073159656E-2</v>
      </c>
      <c r="AJ334" s="496">
        <f t="shared" ca="1" si="199"/>
        <v>1.2047503996278235E-2</v>
      </c>
      <c r="AK334" s="496">
        <f t="shared" ca="1" si="199"/>
        <v>1.4980415798857775E-2</v>
      </c>
      <c r="AL334" s="496">
        <f t="shared" ca="1" si="199"/>
        <v>9.8525250010584146E-3</v>
      </c>
      <c r="AM334" s="496">
        <f t="shared" ca="1" si="199"/>
        <v>1.8355593151602897E-2</v>
      </c>
      <c r="AN334" s="496">
        <f t="shared" ca="1" si="199"/>
        <v>1.5142209361389207E-2</v>
      </c>
      <c r="AO334" s="496">
        <f t="shared" ca="1" si="199"/>
        <v>1.3970494701193634E-2</v>
      </c>
      <c r="AP334" s="496">
        <f t="shared" ca="1" si="199"/>
        <v>9.5210658214531039E-3</v>
      </c>
    </row>
    <row r="335" spans="1:42">
      <c r="C335" t="str">
        <f t="shared" si="194"/>
        <v>R_ES-SH-FL_LPG</v>
      </c>
      <c r="D335" t="str">
        <f t="shared" si="194"/>
        <v>UP</v>
      </c>
      <c r="E335" t="str">
        <f t="shared" si="194"/>
        <v>R_ES-FL-SpHeat</v>
      </c>
      <c r="F335" s="794">
        <f t="shared" ref="F335:AP335" ca="1" si="200">F190*F101</f>
        <v>1.9705748915318941E-2</v>
      </c>
      <c r="G335" s="794">
        <f t="shared" ca="1" si="200"/>
        <v>2.2100564700527382E-2</v>
      </c>
      <c r="H335" s="496">
        <f t="shared" ca="1" si="200"/>
        <v>8.6880954019776004E-3</v>
      </c>
      <c r="I335" s="496">
        <f t="shared" ca="1" si="200"/>
        <v>1.5794758480577202E-2</v>
      </c>
      <c r="J335" s="496">
        <f t="shared" ca="1" si="200"/>
        <v>8.3278603668922244E-3</v>
      </c>
      <c r="K335" s="496">
        <f t="shared" ca="1" si="200"/>
        <v>1.1709351176698631E-2</v>
      </c>
      <c r="L335" s="496">
        <f t="shared" ca="1" si="200"/>
        <v>1.8592510816789726E-2</v>
      </c>
      <c r="M335" s="496">
        <f t="shared" ca="1" si="200"/>
        <v>1.5798748070997536E-2</v>
      </c>
      <c r="N335" s="496">
        <f t="shared" ca="1" si="200"/>
        <v>1.6568340843266069E-2</v>
      </c>
      <c r="O335" s="496">
        <f t="shared" ca="1" si="200"/>
        <v>1.6277096334571625E-2</v>
      </c>
      <c r="P335" s="496">
        <f t="shared" ca="1" si="200"/>
        <v>1.3027223416286567E-2</v>
      </c>
      <c r="Q335" s="496">
        <f t="shared" ca="1" si="200"/>
        <v>1.680711720546578E-2</v>
      </c>
      <c r="R335" s="496">
        <f t="shared" ca="1" si="200"/>
        <v>3.0041525203496136E-2</v>
      </c>
      <c r="S335" s="496">
        <f t="shared" ca="1" si="200"/>
        <v>1.7322680448196074E-2</v>
      </c>
      <c r="T335" s="496">
        <f t="shared" ca="1" si="200"/>
        <v>1.4337148513469178E-2</v>
      </c>
      <c r="U335" s="496">
        <f t="shared" ca="1" si="200"/>
        <v>1.1094631309686251E-2</v>
      </c>
      <c r="V335" s="496">
        <f t="shared" ca="1" si="200"/>
        <v>1.4479487762105068E-2</v>
      </c>
      <c r="W335" s="496">
        <f t="shared" ca="1" si="200"/>
        <v>2.0169035362208838E-2</v>
      </c>
      <c r="X335" s="496">
        <f t="shared" ca="1" si="200"/>
        <v>1.5303364263125306E-2</v>
      </c>
      <c r="Y335" s="496">
        <f t="shared" ca="1" si="200"/>
        <v>1.559502347960575E-2</v>
      </c>
      <c r="Z335" s="496">
        <f t="shared" ca="1" si="200"/>
        <v>1.5588655105765299E-2</v>
      </c>
      <c r="AA335" s="496">
        <f t="shared" ca="1" si="200"/>
        <v>7.1838044485819132E-3</v>
      </c>
      <c r="AB335" s="496">
        <f t="shared" ca="1" si="200"/>
        <v>1.2448075873158522E-2</v>
      </c>
      <c r="AC335" s="496">
        <f t="shared" ca="1" si="200"/>
        <v>1.6137847530327248E-2</v>
      </c>
      <c r="AD335" s="496">
        <f t="shared" ca="1" si="200"/>
        <v>1.2431310000716272E-2</v>
      </c>
      <c r="AE335" s="496">
        <f t="shared" ca="1" si="200"/>
        <v>5.5139114037082784E-3</v>
      </c>
      <c r="AF335" s="496">
        <f t="shared" ca="1" si="200"/>
        <v>9.9910883299317316E-3</v>
      </c>
      <c r="AG335" s="496">
        <f t="shared" ca="1" si="200"/>
        <v>1.3821577020604095E-2</v>
      </c>
      <c r="AH335" s="496">
        <f t="shared" ca="1" si="200"/>
        <v>1.7121553217151156E-2</v>
      </c>
      <c r="AI335" s="496">
        <f t="shared" ca="1" si="200"/>
        <v>1.1623701388786467E-2</v>
      </c>
      <c r="AJ335" s="496">
        <f t="shared" ca="1" si="200"/>
        <v>1.268229878757258E-2</v>
      </c>
      <c r="AK335" s="496">
        <f t="shared" ca="1" si="200"/>
        <v>1.6578335851620208E-2</v>
      </c>
      <c r="AL335" s="496">
        <f t="shared" ca="1" si="200"/>
        <v>1.6339736812500148E-2</v>
      </c>
      <c r="AM335" s="496">
        <f t="shared" ca="1" si="200"/>
        <v>1.7777377793859298E-2</v>
      </c>
      <c r="AN335" s="496">
        <f t="shared" ca="1" si="200"/>
        <v>1.6757387491727602E-2</v>
      </c>
      <c r="AO335" s="496">
        <f t="shared" ca="1" si="200"/>
        <v>1.3970494701193631E-2</v>
      </c>
      <c r="AP335" s="496">
        <f t="shared" ca="1" si="200"/>
        <v>9.5210658214531022E-3</v>
      </c>
    </row>
    <row r="336" spans="1:42">
      <c r="C336" t="str">
        <f t="shared" si="194"/>
        <v>R_ES-SH-FL_GEO</v>
      </c>
      <c r="D336" t="str">
        <f t="shared" si="194"/>
        <v>UP</v>
      </c>
      <c r="E336" t="str">
        <f t="shared" si="194"/>
        <v>R_ES-FL-SpHeat</v>
      </c>
      <c r="F336" s="794">
        <f t="shared" ref="F336:AP336" ca="1" si="201">F335</f>
        <v>1.9705748915318941E-2</v>
      </c>
      <c r="G336" s="794">
        <f t="shared" ca="1" si="201"/>
        <v>2.2100564700527382E-2</v>
      </c>
      <c r="H336" s="496">
        <f t="shared" ca="1" si="201"/>
        <v>8.6880954019776004E-3</v>
      </c>
      <c r="I336" s="496">
        <f t="shared" ca="1" si="201"/>
        <v>1.5794758480577202E-2</v>
      </c>
      <c r="J336" s="496">
        <f t="shared" ca="1" si="201"/>
        <v>8.3278603668922244E-3</v>
      </c>
      <c r="K336" s="496">
        <f t="shared" ca="1" si="201"/>
        <v>1.1709351176698631E-2</v>
      </c>
      <c r="L336" s="496">
        <f t="shared" ca="1" si="201"/>
        <v>1.8592510816789726E-2</v>
      </c>
      <c r="M336" s="496">
        <f t="shared" ca="1" si="201"/>
        <v>1.5798748070997536E-2</v>
      </c>
      <c r="N336" s="496">
        <f t="shared" ca="1" si="201"/>
        <v>1.6568340843266069E-2</v>
      </c>
      <c r="O336" s="496">
        <f t="shared" ca="1" si="201"/>
        <v>1.6277096334571625E-2</v>
      </c>
      <c r="P336" s="496">
        <f t="shared" ca="1" si="201"/>
        <v>1.3027223416286567E-2</v>
      </c>
      <c r="Q336" s="496">
        <f t="shared" ca="1" si="201"/>
        <v>1.680711720546578E-2</v>
      </c>
      <c r="R336" s="496">
        <f t="shared" ca="1" si="201"/>
        <v>3.0041525203496136E-2</v>
      </c>
      <c r="S336" s="496">
        <f t="shared" ca="1" si="201"/>
        <v>1.7322680448196074E-2</v>
      </c>
      <c r="T336" s="496">
        <f t="shared" ca="1" si="201"/>
        <v>1.4337148513469178E-2</v>
      </c>
      <c r="U336" s="496">
        <f t="shared" ca="1" si="201"/>
        <v>1.1094631309686251E-2</v>
      </c>
      <c r="V336" s="496">
        <f t="shared" ca="1" si="201"/>
        <v>1.4479487762105068E-2</v>
      </c>
      <c r="W336" s="496">
        <f t="shared" ca="1" si="201"/>
        <v>2.0169035362208838E-2</v>
      </c>
      <c r="X336" s="496">
        <f t="shared" ca="1" si="201"/>
        <v>1.5303364263125306E-2</v>
      </c>
      <c r="Y336" s="496">
        <f t="shared" ca="1" si="201"/>
        <v>1.559502347960575E-2</v>
      </c>
      <c r="Z336" s="496">
        <f t="shared" ca="1" si="201"/>
        <v>1.5588655105765299E-2</v>
      </c>
      <c r="AA336" s="496">
        <f t="shared" ca="1" si="201"/>
        <v>7.1838044485819132E-3</v>
      </c>
      <c r="AB336" s="496">
        <f t="shared" ca="1" si="201"/>
        <v>1.2448075873158522E-2</v>
      </c>
      <c r="AC336" s="496">
        <f t="shared" ca="1" si="201"/>
        <v>1.6137847530327248E-2</v>
      </c>
      <c r="AD336" s="496">
        <f t="shared" ca="1" si="201"/>
        <v>1.2431310000716272E-2</v>
      </c>
      <c r="AE336" s="496">
        <f t="shared" ca="1" si="201"/>
        <v>5.5139114037082784E-3</v>
      </c>
      <c r="AF336" s="496">
        <f t="shared" ca="1" si="201"/>
        <v>9.9910883299317316E-3</v>
      </c>
      <c r="AG336" s="496">
        <f t="shared" ca="1" si="201"/>
        <v>1.3821577020604095E-2</v>
      </c>
      <c r="AH336" s="496">
        <f t="shared" ca="1" si="201"/>
        <v>1.7121553217151156E-2</v>
      </c>
      <c r="AI336" s="496">
        <f t="shared" ca="1" si="201"/>
        <v>1.1623701388786467E-2</v>
      </c>
      <c r="AJ336" s="496">
        <f t="shared" ca="1" si="201"/>
        <v>1.268229878757258E-2</v>
      </c>
      <c r="AK336" s="496">
        <f t="shared" ca="1" si="201"/>
        <v>1.6578335851620208E-2</v>
      </c>
      <c r="AL336" s="496">
        <f t="shared" ca="1" si="201"/>
        <v>1.6339736812500148E-2</v>
      </c>
      <c r="AM336" s="496">
        <f t="shared" ca="1" si="201"/>
        <v>1.7777377793859298E-2</v>
      </c>
      <c r="AN336" s="496">
        <f t="shared" ca="1" si="201"/>
        <v>1.6757387491727602E-2</v>
      </c>
      <c r="AO336" s="496">
        <f t="shared" ca="1" si="201"/>
        <v>1.3970494701193631E-2</v>
      </c>
      <c r="AP336" s="496">
        <f t="shared" ca="1" si="201"/>
        <v>9.5210658214531022E-3</v>
      </c>
    </row>
    <row r="337" spans="3:42">
      <c r="C337" t="str">
        <f t="shared" si="194"/>
        <v>R_ES-SH-DH_ELC-R</v>
      </c>
      <c r="D337" t="str">
        <f t="shared" si="194"/>
        <v>UP</v>
      </c>
      <c r="E337" t="str">
        <f t="shared" si="194"/>
        <v>R_ES-DH-SpHeat</v>
      </c>
      <c r="F337" s="794">
        <f t="shared" ref="F337:AP337" ca="1" si="202">F192*F103</f>
        <v>8.4414534662712079E-2</v>
      </c>
      <c r="G337" s="794">
        <f t="shared" ca="1" si="202"/>
        <v>0.1072005696301743</v>
      </c>
      <c r="H337" s="496">
        <f t="shared" ca="1" si="202"/>
        <v>4.7771910546701039E-2</v>
      </c>
      <c r="I337" s="496">
        <f t="shared" ca="1" si="202"/>
        <v>0.11090696852085134</v>
      </c>
      <c r="J337" s="496">
        <f t="shared" ca="1" si="202"/>
        <v>4.9328173198132784E-2</v>
      </c>
      <c r="K337" s="496">
        <f t="shared" ca="1" si="202"/>
        <v>8.9792175714329625E-2</v>
      </c>
      <c r="L337" s="496">
        <f t="shared" ca="1" si="202"/>
        <v>9.9872207857731501E-2</v>
      </c>
      <c r="M337" s="496">
        <f t="shared" ca="1" si="202"/>
        <v>2.581551483251374E-2</v>
      </c>
      <c r="N337" s="496">
        <f t="shared" ca="1" si="202"/>
        <v>2.6763144582098879E-2</v>
      </c>
      <c r="O337" s="496">
        <f t="shared" ca="1" si="202"/>
        <v>6.7911372244253074E-2</v>
      </c>
      <c r="P337" s="496">
        <f t="shared" ca="1" si="202"/>
        <v>7.9021926792288297E-2</v>
      </c>
      <c r="Q337" s="496">
        <f t="shared" ca="1" si="202"/>
        <v>0.10989950189902654</v>
      </c>
      <c r="R337" s="496">
        <f t="shared" ca="1" si="202"/>
        <v>7.3013457582280533E-2</v>
      </c>
      <c r="S337" s="496">
        <f t="shared" ca="1" si="202"/>
        <v>7.083102116357072E-2</v>
      </c>
      <c r="T337" s="496">
        <f t="shared" ca="1" si="202"/>
        <v>9.3166951743743023E-2</v>
      </c>
      <c r="U337" s="496">
        <f t="shared" ca="1" si="202"/>
        <v>0.11597022730482616</v>
      </c>
      <c r="V337" s="496">
        <f t="shared" ca="1" si="202"/>
        <v>0.21389431154719671</v>
      </c>
      <c r="W337" s="496">
        <f t="shared" ca="1" si="202"/>
        <v>8.4081730595558634E-3</v>
      </c>
      <c r="X337" s="496">
        <f t="shared" ca="1" si="202"/>
        <v>6.3779107627691331E-2</v>
      </c>
      <c r="Y337" s="496">
        <f t="shared" ca="1" si="202"/>
        <v>0.12084016086216179</v>
      </c>
      <c r="Z337" s="496">
        <f t="shared" ca="1" si="202"/>
        <v>9.003464409990522E-2</v>
      </c>
      <c r="AA337" s="496">
        <f t="shared" ca="1" si="202"/>
        <v>3.0443533983507461E-2</v>
      </c>
      <c r="AB337" s="496">
        <f t="shared" ca="1" si="202"/>
        <v>9.6298334281070957E-2</v>
      </c>
      <c r="AC337" s="496">
        <f t="shared" ca="1" si="202"/>
        <v>8.8623641373322654E-2</v>
      </c>
      <c r="AD337" s="496">
        <f t="shared" ca="1" si="202"/>
        <v>0.1308226552263092</v>
      </c>
      <c r="AE337" s="496">
        <f t="shared" ca="1" si="202"/>
        <v>1.2153127299260968E-2</v>
      </c>
      <c r="AF337" s="496">
        <f t="shared" ca="1" si="202"/>
        <v>7.3748142212547926E-2</v>
      </c>
      <c r="AG337" s="496">
        <f t="shared" ca="1" si="202"/>
        <v>0.12754704260712674</v>
      </c>
      <c r="AH337" s="496">
        <f t="shared" ca="1" si="202"/>
        <v>0.10089036915281997</v>
      </c>
      <c r="AI337" s="496">
        <f t="shared" ca="1" si="202"/>
        <v>9.1245444042039422E-2</v>
      </c>
      <c r="AJ337" s="496">
        <f t="shared" ca="1" si="202"/>
        <v>9.7508880142473942E-2</v>
      </c>
      <c r="AK337" s="496">
        <f t="shared" ca="1" si="202"/>
        <v>2.6428833989191436E-2</v>
      </c>
      <c r="AL337" s="496">
        <f t="shared" ca="1" si="202"/>
        <v>3.3217734416076485E-2</v>
      </c>
      <c r="AM337" s="496">
        <f t="shared" ca="1" si="202"/>
        <v>6.3862963125648806E-2</v>
      </c>
      <c r="AN337" s="496">
        <f t="shared" ca="1" si="202"/>
        <v>3.5521785705713946E-2</v>
      </c>
      <c r="AO337" s="496">
        <f t="shared" ca="1" si="202"/>
        <v>4.7101446846935277E-2</v>
      </c>
      <c r="AP337" s="496">
        <f t="shared" ca="1" si="202"/>
        <v>3.210022159609207E-2</v>
      </c>
    </row>
    <row r="338" spans="3:42">
      <c r="C338" t="str">
        <f t="shared" ref="C338:E345" si="203">C195</f>
        <v>R_ES-SH-DH_GAS</v>
      </c>
      <c r="D338" t="str">
        <f t="shared" si="203"/>
        <v>UP</v>
      </c>
      <c r="E338" t="str">
        <f t="shared" si="203"/>
        <v>R_ES-DH-SpHeat</v>
      </c>
      <c r="F338" s="794">
        <f t="shared" ref="F338:AP338" ca="1" si="204">F195*F106</f>
        <v>0.10965654984505814</v>
      </c>
      <c r="G338" s="794">
        <f t="shared" ca="1" si="204"/>
        <v>0.10119857831065009</v>
      </c>
      <c r="H338" s="496">
        <f t="shared" ca="1" si="204"/>
        <v>4.0624029619533694E-2</v>
      </c>
      <c r="I338" s="496">
        <f t="shared" ca="1" si="204"/>
        <v>0.11090696852085133</v>
      </c>
      <c r="J338" s="496">
        <f t="shared" ca="1" si="204"/>
        <v>0.19441758718294216</v>
      </c>
      <c r="K338" s="496">
        <f t="shared" ca="1" si="204"/>
        <v>9.3853765394114608E-2</v>
      </c>
      <c r="L338" s="496">
        <f t="shared" ca="1" si="204"/>
        <v>0.10852480754764431</v>
      </c>
      <c r="M338" s="496">
        <f t="shared" ca="1" si="204"/>
        <v>9.2497669769858612E-2</v>
      </c>
      <c r="N338" s="496">
        <f t="shared" ca="1" si="204"/>
        <v>0.10916135507379297</v>
      </c>
      <c r="O338" s="496">
        <f t="shared" ca="1" si="204"/>
        <v>6.5645547788823089E-2</v>
      </c>
      <c r="P338" s="496">
        <f t="shared" ca="1" si="204"/>
        <v>0.17663072483964337</v>
      </c>
      <c r="Q338" s="496">
        <f t="shared" ca="1" si="204"/>
        <v>0.1123091087915771</v>
      </c>
      <c r="R338" s="496">
        <f t="shared" ca="1" si="204"/>
        <v>6.6201752374083642E-2</v>
      </c>
      <c r="S338" s="496">
        <f t="shared" ca="1" si="204"/>
        <v>6.6115514204817039E-2</v>
      </c>
      <c r="T338" s="496">
        <f t="shared" ca="1" si="204"/>
        <v>7.995279021981537E-2</v>
      </c>
      <c r="U338" s="496">
        <f t="shared" ca="1" si="204"/>
        <v>0.10820928245541611</v>
      </c>
      <c r="V338" s="496">
        <f t="shared" ca="1" si="204"/>
        <v>7.3464384381970588E-2</v>
      </c>
      <c r="W338" s="496">
        <f t="shared" ca="1" si="204"/>
        <v>8.2898231892995028E-2</v>
      </c>
      <c r="X338" s="496">
        <f t="shared" ca="1" si="204"/>
        <v>8.0594870127031634E-2</v>
      </c>
      <c r="Y338" s="496">
        <f t="shared" ca="1" si="204"/>
        <v>0.14350223343052557</v>
      </c>
      <c r="Z338" s="496">
        <f t="shared" ca="1" si="204"/>
        <v>0.10933561530821061</v>
      </c>
      <c r="AA338" s="496">
        <f t="shared" ca="1" si="204"/>
        <v>0.27595141627798808</v>
      </c>
      <c r="AB338" s="496">
        <f t="shared" ca="1" si="204"/>
        <v>0.10265363527989788</v>
      </c>
      <c r="AC338" s="496">
        <f t="shared" ca="1" si="204"/>
        <v>8.8623641373322626E-2</v>
      </c>
      <c r="AD338" s="496">
        <f t="shared" ca="1" si="204"/>
        <v>0.10719610028686853</v>
      </c>
      <c r="AE338" s="496">
        <f t="shared" ca="1" si="204"/>
        <v>2.4644835034562468E-2</v>
      </c>
      <c r="AF338" s="496">
        <f t="shared" ca="1" si="204"/>
        <v>6.0605806688004249E-2</v>
      </c>
      <c r="AG338" s="496">
        <f t="shared" ca="1" si="204"/>
        <v>0.12621766538079182</v>
      </c>
      <c r="AH338" s="496">
        <f t="shared" ca="1" si="204"/>
        <v>8.6139803552232719E-2</v>
      </c>
      <c r="AI338" s="496">
        <f t="shared" ca="1" si="204"/>
        <v>8.6617419740329646E-2</v>
      </c>
      <c r="AJ338" s="496">
        <f t="shared" ca="1" si="204"/>
        <v>9.3119530424018562E-2</v>
      </c>
      <c r="AK338" s="496">
        <f t="shared" ca="1" si="204"/>
        <v>6.5897655718255496E-2</v>
      </c>
      <c r="AL338" s="496">
        <f t="shared" ca="1" si="204"/>
        <v>3.3217734416076485E-2</v>
      </c>
      <c r="AM338" s="496">
        <f t="shared" ca="1" si="204"/>
        <v>6.330427152760966E-2</v>
      </c>
      <c r="AN338" s="496">
        <f t="shared" ca="1" si="204"/>
        <v>6.2341563016314612E-2</v>
      </c>
      <c r="AO338" s="496">
        <f t="shared" ca="1" si="204"/>
        <v>4.710144684693527E-2</v>
      </c>
      <c r="AP338" s="496">
        <f t="shared" ca="1" si="204"/>
        <v>5.2240042381800238E-2</v>
      </c>
    </row>
    <row r="339" spans="3:42">
      <c r="C339" t="str">
        <f t="shared" si="203"/>
        <v>R_ES-SH-DH_HET</v>
      </c>
      <c r="D339" t="str">
        <f t="shared" si="203"/>
        <v>UP</v>
      </c>
      <c r="E339" t="str">
        <f t="shared" si="203"/>
        <v>R_ES-DH-SpHeat</v>
      </c>
      <c r="F339" s="794">
        <f t="shared" ref="F339:AP339" ca="1" si="205">F196*F107</f>
        <v>0.10600096301099438</v>
      </c>
      <c r="G339" s="794">
        <f t="shared" ca="1" si="205"/>
        <v>7.3245010847082029E-2</v>
      </c>
      <c r="H339" s="496">
        <f t="shared" ca="1" si="205"/>
        <v>3.535891678471046E-2</v>
      </c>
      <c r="I339" s="496">
        <f t="shared" ca="1" si="205"/>
        <v>0.11090696852085133</v>
      </c>
      <c r="J339" s="496">
        <f t="shared" ca="1" si="205"/>
        <v>0.22219152820907678</v>
      </c>
      <c r="K339" s="496">
        <f t="shared" ca="1" si="205"/>
        <v>8.0943435946949069E-2</v>
      </c>
      <c r="L339" s="496">
        <f t="shared" ca="1" si="205"/>
        <v>0.10814454901439444</v>
      </c>
      <c r="M339" s="496">
        <f t="shared" ca="1" si="205"/>
        <v>8.9443235287454778E-2</v>
      </c>
      <c r="N339" s="496">
        <f t="shared" ca="1" si="205"/>
        <v>0.10164408166190755</v>
      </c>
      <c r="O339" s="496">
        <f t="shared" ca="1" si="205"/>
        <v>9.1930159604467668E-2</v>
      </c>
      <c r="P339" s="496">
        <f t="shared" ca="1" si="205"/>
        <v>0.17563811380577543</v>
      </c>
      <c r="Q339" s="496">
        <f t="shared" ca="1" si="205"/>
        <v>0.10813507951846321</v>
      </c>
      <c r="R339" s="496">
        <f t="shared" ca="1" si="205"/>
        <v>6.2416195465807699E-2</v>
      </c>
      <c r="S339" s="496">
        <f t="shared" ca="1" si="205"/>
        <v>6.2075729128645257E-2</v>
      </c>
      <c r="T339" s="496">
        <f t="shared" ca="1" si="205"/>
        <v>7.3130001402025899E-2</v>
      </c>
      <c r="U339" s="496">
        <f t="shared" ca="1" si="205"/>
        <v>6.3311321372421875E-2</v>
      </c>
      <c r="V339" s="496">
        <f t="shared" ca="1" si="205"/>
        <v>0.21389431154719668</v>
      </c>
      <c r="W339" s="496">
        <f t="shared" ca="1" si="205"/>
        <v>8.1391721064684175E-2</v>
      </c>
      <c r="X339" s="496">
        <f t="shared" ca="1" si="205"/>
        <v>7.1448676521063639E-2</v>
      </c>
      <c r="Y339" s="496">
        <f t="shared" ca="1" si="205"/>
        <v>6.7231659955487744E-2</v>
      </c>
      <c r="Z339" s="496">
        <f t="shared" ca="1" si="205"/>
        <v>9.6397754270381525E-2</v>
      </c>
      <c r="AA339" s="496">
        <f t="shared" ca="1" si="205"/>
        <v>0.31537304717484355</v>
      </c>
      <c r="AB339" s="496">
        <f t="shared" ca="1" si="205"/>
        <v>0.10069994537491869</v>
      </c>
      <c r="AC339" s="496">
        <f t="shared" ca="1" si="205"/>
        <v>8.862364137332264E-2</v>
      </c>
      <c r="AD339" s="496">
        <f t="shared" ca="1" si="205"/>
        <v>9.8026938143482206E-2</v>
      </c>
      <c r="AE339" s="496">
        <f t="shared" ca="1" si="205"/>
        <v>2.3034036398663988E-2</v>
      </c>
      <c r="AF339" s="496">
        <f t="shared" ca="1" si="205"/>
        <v>5.5418282279836535E-2</v>
      </c>
      <c r="AG339" s="496">
        <f t="shared" ca="1" si="205"/>
        <v>0.11673281611662849</v>
      </c>
      <c r="AH339" s="496">
        <f t="shared" ca="1" si="205"/>
        <v>8.7454052823069353E-2</v>
      </c>
      <c r="AI339" s="496">
        <f t="shared" ca="1" si="205"/>
        <v>8.042983710999288E-2</v>
      </c>
      <c r="AJ339" s="496">
        <f t="shared" ca="1" si="205"/>
        <v>8.1769971334085298E-2</v>
      </c>
      <c r="AK339" s="496">
        <f t="shared" ca="1" si="205"/>
        <v>7.262918725843398E-2</v>
      </c>
      <c r="AL339" s="496">
        <f t="shared" ca="1" si="205"/>
        <v>3.3217734416076485E-2</v>
      </c>
      <c r="AM339" s="496">
        <f t="shared" ca="1" si="205"/>
        <v>7.3828212383046335E-2</v>
      </c>
      <c r="AN339" s="496">
        <f t="shared" ca="1" si="205"/>
        <v>3.5521785705713953E-2</v>
      </c>
      <c r="AO339" s="496">
        <f t="shared" ca="1" si="205"/>
        <v>4.710144684693527E-2</v>
      </c>
      <c r="AP339" s="496">
        <f t="shared" ca="1" si="205"/>
        <v>3.2100221596092063E-2</v>
      </c>
    </row>
    <row r="340" spans="3:42">
      <c r="C340" t="str">
        <f t="shared" si="203"/>
        <v>R_ES-SH-DH_OIL</v>
      </c>
      <c r="D340" t="str">
        <f t="shared" si="203"/>
        <v>UP</v>
      </c>
      <c r="E340" t="str">
        <f t="shared" si="203"/>
        <v>R_ES-DH-SpHeat</v>
      </c>
      <c r="F340" s="794">
        <f t="shared" ref="F340:AP340" ca="1" si="206">F197*F108</f>
        <v>0.10674008780234524</v>
      </c>
      <c r="G340" s="794">
        <f t="shared" ca="1" si="206"/>
        <v>9.2642760086250997E-2</v>
      </c>
      <c r="H340" s="496">
        <f t="shared" ca="1" si="206"/>
        <v>5.2502381171857737E-2</v>
      </c>
      <c r="I340" s="496">
        <f t="shared" ca="1" si="206"/>
        <v>0.1109069685208513</v>
      </c>
      <c r="J340" s="496">
        <f t="shared" ca="1" si="206"/>
        <v>3.651070745286028E-2</v>
      </c>
      <c r="K340" s="496">
        <f t="shared" ca="1" si="206"/>
        <v>5.6190734019850461E-2</v>
      </c>
      <c r="L340" s="496">
        <f t="shared" ca="1" si="206"/>
        <v>0.1090114237954916</v>
      </c>
      <c r="M340" s="496">
        <f t="shared" ca="1" si="206"/>
        <v>8.9320133689431064E-2</v>
      </c>
      <c r="N340" s="496">
        <f t="shared" ca="1" si="206"/>
        <v>9.2560161289260506E-2</v>
      </c>
      <c r="O340" s="496">
        <f t="shared" ca="1" si="206"/>
        <v>6.2455825532510952E-2</v>
      </c>
      <c r="P340" s="496">
        <f t="shared" ca="1" si="206"/>
        <v>0.17379992027120816</v>
      </c>
      <c r="Q340" s="496">
        <f t="shared" ca="1" si="206"/>
        <v>0.10630322500781646</v>
      </c>
      <c r="R340" s="496">
        <f t="shared" ca="1" si="206"/>
        <v>6.1585965527041125E-2</v>
      </c>
      <c r="S340" s="496">
        <f t="shared" ca="1" si="206"/>
        <v>6.5620909166192162E-2</v>
      </c>
      <c r="T340" s="496">
        <f t="shared" ca="1" si="206"/>
        <v>5.5097704535291163E-2</v>
      </c>
      <c r="U340" s="496">
        <f t="shared" ca="1" si="206"/>
        <v>0.10856259335857577</v>
      </c>
      <c r="V340" s="496">
        <f t="shared" ca="1" si="206"/>
        <v>0.21389431154719671</v>
      </c>
      <c r="W340" s="496">
        <f t="shared" ca="1" si="206"/>
        <v>8.1878296671679743E-2</v>
      </c>
      <c r="X340" s="496">
        <f t="shared" ca="1" si="206"/>
        <v>8.7168386665755632E-2</v>
      </c>
      <c r="Y340" s="496">
        <f t="shared" ca="1" si="206"/>
        <v>0.14412305501605185</v>
      </c>
      <c r="Z340" s="496">
        <f t="shared" ca="1" si="206"/>
        <v>0.10510630517057695</v>
      </c>
      <c r="AA340" s="496">
        <f t="shared" ca="1" si="206"/>
        <v>0.27595141627798808</v>
      </c>
      <c r="AB340" s="496">
        <f t="shared" ca="1" si="206"/>
        <v>0.10661226409778364</v>
      </c>
      <c r="AC340" s="496">
        <f t="shared" ca="1" si="206"/>
        <v>8.8623641373322626E-2</v>
      </c>
      <c r="AD340" s="496">
        <f t="shared" ca="1" si="206"/>
        <v>0.1034122221570026</v>
      </c>
      <c r="AE340" s="496">
        <f t="shared" ca="1" si="206"/>
        <v>2.4403629462896471E-2</v>
      </c>
      <c r="AF340" s="496">
        <f t="shared" ca="1" si="206"/>
        <v>4.0069364996785747E-2</v>
      </c>
      <c r="AG340" s="496">
        <f t="shared" ca="1" si="206"/>
        <v>0.13108372709709257</v>
      </c>
      <c r="AH340" s="496">
        <f t="shared" ca="1" si="206"/>
        <v>9.3399868329157448E-2</v>
      </c>
      <c r="AI340" s="496">
        <f t="shared" ca="1" si="206"/>
        <v>5.6898318157275848E-2</v>
      </c>
      <c r="AJ340" s="496">
        <f t="shared" ca="1" si="206"/>
        <v>9.4997084087087624E-2</v>
      </c>
      <c r="AK340" s="496">
        <f t="shared" ca="1" si="206"/>
        <v>2.6428833989191436E-2</v>
      </c>
      <c r="AL340" s="496">
        <f t="shared" ca="1" si="206"/>
        <v>5.5089333729973856E-2</v>
      </c>
      <c r="AM340" s="496">
        <f t="shared" ca="1" si="206"/>
        <v>6.6757031229598154E-2</v>
      </c>
      <c r="AN340" s="496">
        <f t="shared" ca="1" si="206"/>
        <v>3.5521785705713946E-2</v>
      </c>
      <c r="AO340" s="496">
        <f t="shared" ca="1" si="206"/>
        <v>4.7101446846935277E-2</v>
      </c>
      <c r="AP340" s="496">
        <f t="shared" ca="1" si="206"/>
        <v>3.2100221596092063E-2</v>
      </c>
    </row>
    <row r="341" spans="3:42">
      <c r="C341" t="str">
        <f t="shared" si="203"/>
        <v>R_ES-SH-DH_BIO</v>
      </c>
      <c r="D341" t="str">
        <f t="shared" si="203"/>
        <v>UP</v>
      </c>
      <c r="E341" t="str">
        <f t="shared" si="203"/>
        <v>R_ES-DH-SpHeat</v>
      </c>
      <c r="F341" s="794">
        <f t="shared" ref="F341:AP341" ca="1" si="207">F198*F109</f>
        <v>0.11209323251931404</v>
      </c>
      <c r="G341" s="794">
        <f t="shared" ca="1" si="207"/>
        <v>0.10331286775562305</v>
      </c>
      <c r="H341" s="496">
        <f t="shared" ca="1" si="207"/>
        <v>3.8963886121834899E-2</v>
      </c>
      <c r="I341" s="496">
        <f t="shared" ca="1" si="207"/>
        <v>0.1109069685208513</v>
      </c>
      <c r="J341" s="496">
        <f t="shared" ca="1" si="207"/>
        <v>3.1667710883038394E-2</v>
      </c>
      <c r="K341" s="496">
        <f t="shared" ca="1" si="207"/>
        <v>8.7644664878610043E-2</v>
      </c>
      <c r="L341" s="496">
        <f t="shared" ca="1" si="207"/>
        <v>0.11958646103518764</v>
      </c>
      <c r="M341" s="496">
        <f t="shared" ca="1" si="207"/>
        <v>9.5096012406971547E-2</v>
      </c>
      <c r="N341" s="496">
        <f t="shared" ca="1" si="207"/>
        <v>0.10694271297165482</v>
      </c>
      <c r="O341" s="496">
        <f t="shared" ca="1" si="207"/>
        <v>6.2201803952102931E-2</v>
      </c>
      <c r="P341" s="496">
        <f t="shared" ca="1" si="207"/>
        <v>0.18974311453722295</v>
      </c>
      <c r="Q341" s="496">
        <f t="shared" ca="1" si="207"/>
        <v>0.11601253569047704</v>
      </c>
      <c r="R341" s="496">
        <f t="shared" ca="1" si="207"/>
        <v>6.3183174641647022E-2</v>
      </c>
      <c r="S341" s="496">
        <f t="shared" ca="1" si="207"/>
        <v>6.6436233467314115E-2</v>
      </c>
      <c r="T341" s="496">
        <f t="shared" ca="1" si="207"/>
        <v>8.3108853186718817E-2</v>
      </c>
      <c r="U341" s="496">
        <f t="shared" ca="1" si="207"/>
        <v>0.1066867740843543</v>
      </c>
      <c r="V341" s="496">
        <f t="shared" ca="1" si="207"/>
        <v>7.9200070341638895E-2</v>
      </c>
      <c r="W341" s="496">
        <f t="shared" ca="1" si="207"/>
        <v>8.7731313191044283E-2</v>
      </c>
      <c r="X341" s="496">
        <f t="shared" ca="1" si="207"/>
        <v>7.5662281755777133E-2</v>
      </c>
      <c r="Y341" s="496">
        <f t="shared" ca="1" si="207"/>
        <v>0.15338862251703497</v>
      </c>
      <c r="Z341" s="496">
        <f t="shared" ca="1" si="207"/>
        <v>9.2145439728200898E-2</v>
      </c>
      <c r="AA341" s="496">
        <f t="shared" ca="1" si="207"/>
        <v>2.8389983646214541E-2</v>
      </c>
      <c r="AB341" s="496">
        <f t="shared" ca="1" si="207"/>
        <v>9.3233356850849561E-2</v>
      </c>
      <c r="AC341" s="496">
        <f t="shared" ca="1" si="207"/>
        <v>8.862364137332264E-2</v>
      </c>
      <c r="AD341" s="496">
        <f t="shared" ca="1" si="207"/>
        <v>0.1076140747202735</v>
      </c>
      <c r="AE341" s="496">
        <f t="shared" ca="1" si="207"/>
        <v>2.3111527608512965E-2</v>
      </c>
      <c r="AF341" s="496">
        <f t="shared" ca="1" si="207"/>
        <v>6.3178691399191036E-2</v>
      </c>
      <c r="AG341" s="496">
        <f t="shared" ca="1" si="207"/>
        <v>0.12700844317021059</v>
      </c>
      <c r="AH341" s="496">
        <f t="shared" ca="1" si="207"/>
        <v>8.6361541702112105E-2</v>
      </c>
      <c r="AI341" s="496">
        <f t="shared" ca="1" si="207"/>
        <v>8.8962736220356123E-2</v>
      </c>
      <c r="AJ341" s="496">
        <f t="shared" ca="1" si="207"/>
        <v>0.10105287465302681</v>
      </c>
      <c r="AK341" s="496">
        <f t="shared" ca="1" si="207"/>
        <v>2.6428833989191432E-2</v>
      </c>
      <c r="AL341" s="496">
        <f t="shared" ca="1" si="207"/>
        <v>3.3217734416076471E-2</v>
      </c>
      <c r="AM341" s="496">
        <f t="shared" ca="1" si="207"/>
        <v>6.3862963125648806E-2</v>
      </c>
      <c r="AN341" s="496">
        <f t="shared" ca="1" si="207"/>
        <v>3.5521785705713946E-2</v>
      </c>
      <c r="AO341" s="496">
        <f t="shared" ca="1" si="207"/>
        <v>4.710144684693527E-2</v>
      </c>
      <c r="AP341" s="496">
        <f t="shared" ca="1" si="207"/>
        <v>3.210022159609207E-2</v>
      </c>
    </row>
    <row r="342" spans="3:42">
      <c r="C342" t="str">
        <f t="shared" si="203"/>
        <v>R_ES-SH-DH_COA</v>
      </c>
      <c r="D342" t="str">
        <f t="shared" si="203"/>
        <v>UP</v>
      </c>
      <c r="E342" t="str">
        <f t="shared" si="203"/>
        <v>R_ES-DH-SpHeat</v>
      </c>
      <c r="F342" s="794">
        <f t="shared" ref="F342:AP342" ca="1" si="208">F199*F110</f>
        <v>0.11370448086301196</v>
      </c>
      <c r="G342" s="794">
        <f t="shared" ca="1" si="208"/>
        <v>8.9336106913813051E-2</v>
      </c>
      <c r="H342" s="496">
        <f t="shared" ca="1" si="208"/>
        <v>3.6326420435270436E-2</v>
      </c>
      <c r="I342" s="496">
        <f t="shared" ca="1" si="208"/>
        <v>0.11090696852085132</v>
      </c>
      <c r="J342" s="496">
        <f t="shared" ca="1" si="208"/>
        <v>0.19441758718294216</v>
      </c>
      <c r="K342" s="496">
        <f t="shared" ca="1" si="208"/>
        <v>8.4908263352358085E-2</v>
      </c>
      <c r="L342" s="496">
        <f t="shared" ca="1" si="208"/>
        <v>0.11011093009663314</v>
      </c>
      <c r="M342" s="496">
        <f t="shared" ca="1" si="208"/>
        <v>4.6687031623722119E-2</v>
      </c>
      <c r="N342" s="496">
        <f t="shared" ca="1" si="208"/>
        <v>8.8376492058569997E-2</v>
      </c>
      <c r="O342" s="496">
        <f t="shared" ca="1" si="208"/>
        <v>5.9189885512888549E-2</v>
      </c>
      <c r="P342" s="496">
        <f t="shared" ca="1" si="208"/>
        <v>0.17678201626949697</v>
      </c>
      <c r="Q342" s="496">
        <f t="shared" ca="1" si="208"/>
        <v>0.116138858849421</v>
      </c>
      <c r="R342" s="496">
        <f t="shared" ca="1" si="208"/>
        <v>8.5465977913131513E-2</v>
      </c>
      <c r="S342" s="496">
        <f t="shared" ca="1" si="208"/>
        <v>7.1476231393687278E-2</v>
      </c>
      <c r="T342" s="496">
        <f t="shared" ca="1" si="208"/>
        <v>6.6931109278416362E-2</v>
      </c>
      <c r="U342" s="496">
        <f t="shared" ca="1" si="208"/>
        <v>9.4867098152885646E-2</v>
      </c>
      <c r="V342" s="496">
        <f t="shared" ca="1" si="208"/>
        <v>6.5391717605738947E-2</v>
      </c>
      <c r="W342" s="496">
        <f t="shared" ca="1" si="208"/>
        <v>7.4749845608118412E-2</v>
      </c>
      <c r="X342" s="496">
        <f t="shared" ca="1" si="208"/>
        <v>7.3631079095276178E-2</v>
      </c>
      <c r="Y342" s="496">
        <f t="shared" ca="1" si="208"/>
        <v>0.13765332115359311</v>
      </c>
      <c r="Z342" s="496">
        <f t="shared" ca="1" si="208"/>
        <v>0.12824623153261194</v>
      </c>
      <c r="AA342" s="496">
        <f t="shared" ca="1" si="208"/>
        <v>0.27595141627798808</v>
      </c>
      <c r="AB342" s="496">
        <f t="shared" ca="1" si="208"/>
        <v>8.9323775502054018E-2</v>
      </c>
      <c r="AC342" s="496">
        <f t="shared" ca="1" si="208"/>
        <v>7.6323042162499355E-2</v>
      </c>
      <c r="AD342" s="496">
        <f t="shared" ca="1" si="208"/>
        <v>0.10347117550724033</v>
      </c>
      <c r="AE342" s="496">
        <f t="shared" ca="1" si="208"/>
        <v>5.3405679064216741E-2</v>
      </c>
      <c r="AF342" s="496">
        <f t="shared" ca="1" si="208"/>
        <v>3.0622292192200102E-2</v>
      </c>
      <c r="AG342" s="496">
        <f t="shared" ca="1" si="208"/>
        <v>6.1836100363633871E-2</v>
      </c>
      <c r="AH342" s="496">
        <f t="shared" ca="1" si="208"/>
        <v>8.6996687029118613E-2</v>
      </c>
      <c r="AI342" s="496">
        <f t="shared" ca="1" si="208"/>
        <v>8.4998623383375008E-2</v>
      </c>
      <c r="AJ342" s="496">
        <f t="shared" ca="1" si="208"/>
        <v>8.8289043544699339E-2</v>
      </c>
      <c r="AK342" s="496">
        <f t="shared" ca="1" si="208"/>
        <v>5.9128031556971307E-2</v>
      </c>
      <c r="AL342" s="496">
        <f t="shared" ca="1" si="208"/>
        <v>3.3217734416076478E-2</v>
      </c>
      <c r="AM342" s="496">
        <f t="shared" ca="1" si="208"/>
        <v>6.8928326745838805E-2</v>
      </c>
      <c r="AN342" s="496">
        <f t="shared" ca="1" si="208"/>
        <v>5.593725399124333E-2</v>
      </c>
      <c r="AO342" s="496">
        <f t="shared" ca="1" si="208"/>
        <v>4.7101446846935277E-2</v>
      </c>
      <c r="AP342" s="496">
        <f t="shared" ca="1" si="208"/>
        <v>3.2100221596092077E-2</v>
      </c>
    </row>
    <row r="343" spans="3:42">
      <c r="C343" t="str">
        <f t="shared" si="203"/>
        <v>R_ES-SH-DH_LPG</v>
      </c>
      <c r="D343" t="str">
        <f t="shared" si="203"/>
        <v>UP</v>
      </c>
      <c r="E343" t="str">
        <f t="shared" si="203"/>
        <v>R_ES-DH-SpHeat</v>
      </c>
      <c r="F343" s="794">
        <f t="shared" ref="F343:AP343" ca="1" si="209">F200*F111</f>
        <v>0.1059468390460962</v>
      </c>
      <c r="G343" s="794">
        <f t="shared" ca="1" si="209"/>
        <v>9.6634712081674498E-2</v>
      </c>
      <c r="H343" s="496">
        <f t="shared" ca="1" si="209"/>
        <v>3.8031383448315324E-2</v>
      </c>
      <c r="I343" s="496">
        <f t="shared" ca="1" si="209"/>
        <v>8.4919621258991967E-2</v>
      </c>
      <c r="J343" s="496">
        <f t="shared" ca="1" si="209"/>
        <v>3.679140608274023E-2</v>
      </c>
      <c r="K343" s="496">
        <f t="shared" ca="1" si="209"/>
        <v>5.6190734019850461E-2</v>
      </c>
      <c r="L343" s="496">
        <f t="shared" ca="1" si="209"/>
        <v>0.10860199430039921</v>
      </c>
      <c r="M343" s="496">
        <f t="shared" ca="1" si="209"/>
        <v>9.2186096573123724E-2</v>
      </c>
      <c r="N343" s="496">
        <f t="shared" ca="1" si="209"/>
        <v>8.743280313206904E-2</v>
      </c>
      <c r="O343" s="496">
        <f t="shared" ca="1" si="209"/>
        <v>6.1710603893651766E-2</v>
      </c>
      <c r="P343" s="496">
        <f t="shared" ca="1" si="209"/>
        <v>8.8388946332224189E-2</v>
      </c>
      <c r="Q343" s="496">
        <f t="shared" ca="1" si="209"/>
        <v>0.11115185369283974</v>
      </c>
      <c r="R343" s="496">
        <f t="shared" ca="1" si="209"/>
        <v>9.458240043237541E-2</v>
      </c>
      <c r="S343" s="496">
        <f t="shared" ca="1" si="209"/>
        <v>6.6138543721889223E-2</v>
      </c>
      <c r="T343" s="496">
        <f t="shared" ca="1" si="209"/>
        <v>7.9819575356975939E-2</v>
      </c>
      <c r="U343" s="496">
        <f t="shared" ca="1" si="209"/>
        <v>0.10545009848883836</v>
      </c>
      <c r="V343" s="496">
        <f t="shared" ca="1" si="209"/>
        <v>7.6509433884792602E-2</v>
      </c>
      <c r="W343" s="496">
        <f t="shared" ca="1" si="209"/>
        <v>8.2562199687537363E-2</v>
      </c>
      <c r="X343" s="496">
        <f t="shared" ca="1" si="209"/>
        <v>8.4611642448817054E-2</v>
      </c>
      <c r="Y343" s="496">
        <f t="shared" ca="1" si="209"/>
        <v>6.824496996781089E-2</v>
      </c>
      <c r="Z343" s="496">
        <f t="shared" ca="1" si="209"/>
        <v>8.7241842282903465E-2</v>
      </c>
      <c r="AA343" s="496">
        <f t="shared" ca="1" si="209"/>
        <v>2.8701352376622552E-2</v>
      </c>
      <c r="AB343" s="496">
        <f t="shared" ca="1" si="209"/>
        <v>6.3991050917333453E-2</v>
      </c>
      <c r="AC343" s="496">
        <f t="shared" ca="1" si="209"/>
        <v>8.9299271559514712E-2</v>
      </c>
      <c r="AD343" s="496">
        <f t="shared" ca="1" si="209"/>
        <v>8.4235207572994533E-2</v>
      </c>
      <c r="AE343" s="496">
        <f t="shared" ca="1" si="209"/>
        <v>2.3584146108816532E-2</v>
      </c>
      <c r="AF343" s="496">
        <f t="shared" ca="1" si="209"/>
        <v>6.4402642598302709E-2</v>
      </c>
      <c r="AG343" s="496">
        <f t="shared" ca="1" si="209"/>
        <v>7.0796743988253294E-2</v>
      </c>
      <c r="AH343" s="496">
        <f t="shared" ca="1" si="209"/>
        <v>8.9827713813746893E-2</v>
      </c>
      <c r="AI343" s="496">
        <f t="shared" ca="1" si="209"/>
        <v>5.6898318157275848E-2</v>
      </c>
      <c r="AJ343" s="496">
        <f t="shared" ca="1" si="209"/>
        <v>9.2941079766297507E-2</v>
      </c>
      <c r="AK343" s="496">
        <f t="shared" ca="1" si="209"/>
        <v>6.5435057247971051E-2</v>
      </c>
      <c r="AL343" s="496">
        <f t="shared" ca="1" si="209"/>
        <v>5.5089333729973856E-2</v>
      </c>
      <c r="AM343" s="496">
        <f t="shared" ca="1" si="209"/>
        <v>6.6757031229598154E-2</v>
      </c>
      <c r="AN343" s="496">
        <f t="shared" ca="1" si="209"/>
        <v>6.1903928150974494E-2</v>
      </c>
      <c r="AO343" s="496">
        <f t="shared" ca="1" si="209"/>
        <v>4.7101446846935263E-2</v>
      </c>
      <c r="AP343" s="496">
        <f t="shared" ca="1" si="209"/>
        <v>3.2100221596092063E-2</v>
      </c>
    </row>
    <row r="344" spans="3:42">
      <c r="C344" t="str">
        <f t="shared" si="203"/>
        <v>R_ES-SH-DH_GEO</v>
      </c>
      <c r="D344" t="str">
        <f t="shared" si="203"/>
        <v>UP</v>
      </c>
      <c r="E344" t="str">
        <f t="shared" si="203"/>
        <v>R_ES-DH-SpHeat</v>
      </c>
      <c r="F344" s="794">
        <f t="shared" ref="F344:AP344" ca="1" si="210">F343</f>
        <v>0.1059468390460962</v>
      </c>
      <c r="G344" s="794">
        <f t="shared" ca="1" si="210"/>
        <v>9.6634712081674498E-2</v>
      </c>
      <c r="H344" s="496">
        <f t="shared" ca="1" si="210"/>
        <v>3.8031383448315324E-2</v>
      </c>
      <c r="I344" s="496">
        <f t="shared" ca="1" si="210"/>
        <v>8.4919621258991967E-2</v>
      </c>
      <c r="J344" s="496">
        <f t="shared" ca="1" si="210"/>
        <v>3.679140608274023E-2</v>
      </c>
      <c r="K344" s="496">
        <f t="shared" ca="1" si="210"/>
        <v>5.6190734019850461E-2</v>
      </c>
      <c r="L344" s="496">
        <f t="shared" ca="1" si="210"/>
        <v>0.10860199430039921</v>
      </c>
      <c r="M344" s="496">
        <f t="shared" ca="1" si="210"/>
        <v>9.2186096573123724E-2</v>
      </c>
      <c r="N344" s="496">
        <f t="shared" ca="1" si="210"/>
        <v>8.743280313206904E-2</v>
      </c>
      <c r="O344" s="496">
        <f t="shared" ca="1" si="210"/>
        <v>6.1710603893651766E-2</v>
      </c>
      <c r="P344" s="496">
        <f t="shared" ca="1" si="210"/>
        <v>8.8388946332224189E-2</v>
      </c>
      <c r="Q344" s="496">
        <f t="shared" ca="1" si="210"/>
        <v>0.11115185369283974</v>
      </c>
      <c r="R344" s="496">
        <f t="shared" ca="1" si="210"/>
        <v>9.458240043237541E-2</v>
      </c>
      <c r="S344" s="496">
        <f t="shared" ca="1" si="210"/>
        <v>6.6138543721889223E-2</v>
      </c>
      <c r="T344" s="496">
        <f t="shared" ca="1" si="210"/>
        <v>7.9819575356975939E-2</v>
      </c>
      <c r="U344" s="496">
        <f t="shared" ca="1" si="210"/>
        <v>0.10545009848883836</v>
      </c>
      <c r="V344" s="496">
        <f t="shared" ca="1" si="210"/>
        <v>7.6509433884792602E-2</v>
      </c>
      <c r="W344" s="496">
        <f t="shared" ca="1" si="210"/>
        <v>8.2562199687537363E-2</v>
      </c>
      <c r="X344" s="496">
        <f t="shared" ca="1" si="210"/>
        <v>8.4611642448817054E-2</v>
      </c>
      <c r="Y344" s="496">
        <f t="shared" ca="1" si="210"/>
        <v>6.824496996781089E-2</v>
      </c>
      <c r="Z344" s="496">
        <f t="shared" ca="1" si="210"/>
        <v>8.7241842282903465E-2</v>
      </c>
      <c r="AA344" s="496">
        <f t="shared" ca="1" si="210"/>
        <v>2.8701352376622552E-2</v>
      </c>
      <c r="AB344" s="496">
        <f t="shared" ca="1" si="210"/>
        <v>6.3991050917333453E-2</v>
      </c>
      <c r="AC344" s="496">
        <f t="shared" ca="1" si="210"/>
        <v>8.9299271559514712E-2</v>
      </c>
      <c r="AD344" s="496">
        <f t="shared" ca="1" si="210"/>
        <v>8.4235207572994533E-2</v>
      </c>
      <c r="AE344" s="496">
        <f t="shared" ca="1" si="210"/>
        <v>2.3584146108816532E-2</v>
      </c>
      <c r="AF344" s="496">
        <f t="shared" ca="1" si="210"/>
        <v>6.4402642598302709E-2</v>
      </c>
      <c r="AG344" s="496">
        <f t="shared" ca="1" si="210"/>
        <v>7.0796743988253294E-2</v>
      </c>
      <c r="AH344" s="496">
        <f t="shared" ca="1" si="210"/>
        <v>8.9827713813746893E-2</v>
      </c>
      <c r="AI344" s="496">
        <f t="shared" ca="1" si="210"/>
        <v>5.6898318157275848E-2</v>
      </c>
      <c r="AJ344" s="496">
        <f t="shared" ca="1" si="210"/>
        <v>9.2941079766297507E-2</v>
      </c>
      <c r="AK344" s="496">
        <f t="shared" ca="1" si="210"/>
        <v>6.5435057247971051E-2</v>
      </c>
      <c r="AL344" s="496">
        <f t="shared" ca="1" si="210"/>
        <v>5.5089333729973856E-2</v>
      </c>
      <c r="AM344" s="496">
        <f t="shared" ca="1" si="210"/>
        <v>6.6757031229598154E-2</v>
      </c>
      <c r="AN344" s="496">
        <f t="shared" ca="1" si="210"/>
        <v>6.1903928150974494E-2</v>
      </c>
      <c r="AO344" s="496">
        <f t="shared" ca="1" si="210"/>
        <v>4.7101446846935263E-2</v>
      </c>
      <c r="AP344" s="496">
        <f t="shared" ca="1" si="210"/>
        <v>3.2100221596092063E-2</v>
      </c>
    </row>
    <row r="345" spans="3:42">
      <c r="C345" t="str">
        <f t="shared" si="203"/>
        <v>R_ES-SH-DH-70_ELC-R</v>
      </c>
      <c r="D345" t="str">
        <f t="shared" si="203"/>
        <v>UP</v>
      </c>
      <c r="E345" t="str">
        <f t="shared" si="203"/>
        <v>R_ES-DH-70-SpHeat</v>
      </c>
      <c r="F345" s="794">
        <f t="shared" ref="F345:AP345" ca="1" si="211">F202*F113</f>
        <v>4.8785568599495073E-2</v>
      </c>
      <c r="G345" s="794">
        <f t="shared" ca="1" si="211"/>
        <v>9.0810441738676501E-2</v>
      </c>
      <c r="H345" s="496">
        <f t="shared" ca="1" si="211"/>
        <v>3.5836458989265636E-2</v>
      </c>
      <c r="I345" s="496">
        <f t="shared" ca="1" si="211"/>
        <v>6.4096302165911848E-2</v>
      </c>
      <c r="J345" s="496">
        <f t="shared" ca="1" si="211"/>
        <v>4.3199202113599344E-2</v>
      </c>
      <c r="K345" s="496">
        <f t="shared" ca="1" si="211"/>
        <v>7.0944332576231631E-2</v>
      </c>
      <c r="L345" s="496">
        <f t="shared" ca="1" si="211"/>
        <v>4.7910851441601877E-2</v>
      </c>
      <c r="M345" s="496">
        <f t="shared" ca="1" si="211"/>
        <v>1.5477782839890835E-2</v>
      </c>
      <c r="N345" s="496">
        <f t="shared" ca="1" si="211"/>
        <v>1.8523745167273651E-2</v>
      </c>
      <c r="O345" s="496">
        <f t="shared" ca="1" si="211"/>
        <v>4.5964299986010669E-2</v>
      </c>
      <c r="P345" s="496">
        <f t="shared" ca="1" si="211"/>
        <v>5.5467318107891295E-2</v>
      </c>
      <c r="Q345" s="496">
        <f t="shared" ca="1" si="211"/>
        <v>4.2118700383645617E-2</v>
      </c>
      <c r="R345" s="496">
        <f t="shared" ca="1" si="211"/>
        <v>6.7525276837386933E-2</v>
      </c>
      <c r="S345" s="496">
        <f t="shared" ca="1" si="211"/>
        <v>5.2972525247394334E-2</v>
      </c>
      <c r="T345" s="496">
        <f t="shared" ca="1" si="211"/>
        <v>6.3594625183608242E-2</v>
      </c>
      <c r="U345" s="496">
        <f t="shared" ca="1" si="211"/>
        <v>6.0294078620282271E-2</v>
      </c>
      <c r="V345" s="496">
        <f t="shared" ca="1" si="211"/>
        <v>0.15013736442091627</v>
      </c>
      <c r="W345" s="496">
        <f t="shared" ca="1" si="211"/>
        <v>6.6701255379362067E-3</v>
      </c>
      <c r="X345" s="496">
        <f t="shared" ca="1" si="211"/>
        <v>4.0541956966768392E-2</v>
      </c>
      <c r="Y345" s="496">
        <f t="shared" ca="1" si="211"/>
        <v>5.5914173858523375E-2</v>
      </c>
      <c r="Z345" s="496">
        <f t="shared" ca="1" si="211"/>
        <v>6.0421234301232814E-2</v>
      </c>
      <c r="AA345" s="496">
        <f t="shared" ca="1" si="211"/>
        <v>2.43060317022149E-2</v>
      </c>
      <c r="AB345" s="496">
        <f t="shared" ca="1" si="211"/>
        <v>6.0355748209920526E-2</v>
      </c>
      <c r="AC345" s="496">
        <f t="shared" ca="1" si="211"/>
        <v>6.0064101019061462E-2</v>
      </c>
      <c r="AD345" s="496">
        <f t="shared" ca="1" si="211"/>
        <v>7.6770606690919535E-2</v>
      </c>
      <c r="AE345" s="496">
        <f t="shared" ca="1" si="211"/>
        <v>1.0431177743621635E-2</v>
      </c>
      <c r="AF345" s="496">
        <f t="shared" ca="1" si="211"/>
        <v>6.4702410228871757E-2</v>
      </c>
      <c r="AG345" s="496">
        <f t="shared" ca="1" si="211"/>
        <v>8.9250660526759257E-2</v>
      </c>
      <c r="AH345" s="496">
        <f t="shared" ca="1" si="211"/>
        <v>6.8467864766928788E-2</v>
      </c>
      <c r="AI345" s="496">
        <f t="shared" ca="1" si="211"/>
        <v>6.8238422613249278E-2</v>
      </c>
      <c r="AJ345" s="496">
        <f t="shared" ca="1" si="211"/>
        <v>5.3420905935168066E-2</v>
      </c>
      <c r="AK345" s="496">
        <f t="shared" ca="1" si="211"/>
        <v>2.4442265723388999E-2</v>
      </c>
      <c r="AL345" s="496">
        <f t="shared" ca="1" si="211"/>
        <v>2.9986050742720601E-2</v>
      </c>
      <c r="AM345" s="496">
        <f t="shared" ca="1" si="211"/>
        <v>5.7351040747846693E-2</v>
      </c>
      <c r="AN345" s="496">
        <f t="shared" ca="1" si="211"/>
        <v>2.6548224197782369E-2</v>
      </c>
      <c r="AO345" s="496">
        <f t="shared" ca="1" si="211"/>
        <v>4.2519045926389318E-2</v>
      </c>
      <c r="AP345" s="496">
        <f t="shared" ca="1" si="211"/>
        <v>2.89772583998727E-2</v>
      </c>
    </row>
    <row r="346" spans="3:42">
      <c r="C346" t="str">
        <f t="shared" ref="C346:E353" si="212">C205</f>
        <v>R_ES-SH-DH-70_GAS</v>
      </c>
      <c r="D346" t="str">
        <f t="shared" si="212"/>
        <v>UP</v>
      </c>
      <c r="E346" t="str">
        <f t="shared" si="212"/>
        <v>R_ES-DH-70-SpHeat</v>
      </c>
      <c r="F346" s="794">
        <f t="shared" ref="F346:AP346" ca="1" si="213">F205*F116</f>
        <v>6.3373649528783174E-2</v>
      </c>
      <c r="G346" s="794">
        <f t="shared" ca="1" si="213"/>
        <v>8.5726107906141741E-2</v>
      </c>
      <c r="H346" s="496">
        <f t="shared" ca="1" si="213"/>
        <v>3.0474422202895667E-2</v>
      </c>
      <c r="I346" s="496">
        <f t="shared" ca="1" si="213"/>
        <v>6.4096302165911848E-2</v>
      </c>
      <c r="J346" s="496">
        <f t="shared" ca="1" si="213"/>
        <v>0.17026141652195131</v>
      </c>
      <c r="K346" s="496">
        <f t="shared" ca="1" si="213"/>
        <v>7.4153373528169184E-2</v>
      </c>
      <c r="L346" s="496">
        <f t="shared" ca="1" si="213"/>
        <v>5.206169007047845E-2</v>
      </c>
      <c r="M346" s="496">
        <f t="shared" ca="1" si="213"/>
        <v>5.5457303686645157E-2</v>
      </c>
      <c r="N346" s="496">
        <f t="shared" ca="1" si="213"/>
        <v>7.5554541705600886E-2</v>
      </c>
      <c r="O346" s="496">
        <f t="shared" ca="1" si="213"/>
        <v>4.4430727160969768E-2</v>
      </c>
      <c r="P346" s="496">
        <f t="shared" ca="1" si="213"/>
        <v>0.12398119104410424</v>
      </c>
      <c r="Q346" s="496">
        <f t="shared" ca="1" si="213"/>
        <v>4.3042176004517395E-2</v>
      </c>
      <c r="R346" s="496">
        <f t="shared" ca="1" si="213"/>
        <v>6.1225585038791816E-2</v>
      </c>
      <c r="S346" s="496">
        <f t="shared" ca="1" si="213"/>
        <v>4.9445930440155897E-2</v>
      </c>
      <c r="T346" s="496">
        <f t="shared" ca="1" si="213"/>
        <v>5.4574799660699329E-2</v>
      </c>
      <c r="U346" s="496">
        <f t="shared" ca="1" si="213"/>
        <v>5.6259085934719684E-2</v>
      </c>
      <c r="V346" s="496">
        <f t="shared" ca="1" si="213"/>
        <v>5.156635055009598E-2</v>
      </c>
      <c r="W346" s="496">
        <f t="shared" ca="1" si="213"/>
        <v>6.5762396858709687E-2</v>
      </c>
      <c r="X346" s="496">
        <f t="shared" ca="1" si="213"/>
        <v>5.1231098677425611E-2</v>
      </c>
      <c r="Y346" s="496">
        <f t="shared" ca="1" si="213"/>
        <v>6.6400183282388156E-2</v>
      </c>
      <c r="Z346" s="496">
        <f t="shared" ca="1" si="213"/>
        <v>7.3373898414885896E-2</v>
      </c>
      <c r="AA346" s="496">
        <f t="shared" ca="1" si="213"/>
        <v>0.22031883275960981</v>
      </c>
      <c r="AB346" s="496">
        <f t="shared" ca="1" si="213"/>
        <v>6.4338983742986772E-2</v>
      </c>
      <c r="AC346" s="496">
        <f t="shared" ca="1" si="213"/>
        <v>6.0064101019061455E-2</v>
      </c>
      <c r="AD346" s="496">
        <f t="shared" ca="1" si="213"/>
        <v>6.2905844860642685E-2</v>
      </c>
      <c r="AE346" s="496">
        <f t="shared" ca="1" si="213"/>
        <v>2.1152963214940358E-2</v>
      </c>
      <c r="AF346" s="496">
        <f t="shared" ca="1" si="213"/>
        <v>5.3172075240584843E-2</v>
      </c>
      <c r="AG346" s="496">
        <f t="shared" ca="1" si="213"/>
        <v>8.832043279968381E-2</v>
      </c>
      <c r="AH346" s="496">
        <f t="shared" ca="1" si="213"/>
        <v>5.8457595806103102E-2</v>
      </c>
      <c r="AI346" s="496">
        <f t="shared" ca="1" si="213"/>
        <v>6.4777328402134945E-2</v>
      </c>
      <c r="AJ346" s="496">
        <f t="shared" ca="1" si="213"/>
        <v>5.1016170714298439E-2</v>
      </c>
      <c r="AK346" s="496">
        <f t="shared" ca="1" si="213"/>
        <v>6.0944346325408315E-2</v>
      </c>
      <c r="AL346" s="496">
        <f t="shared" ca="1" si="213"/>
        <v>2.9986050742720611E-2</v>
      </c>
      <c r="AM346" s="496">
        <f t="shared" ca="1" si="213"/>
        <v>5.6849317322618477E-2</v>
      </c>
      <c r="AN346" s="496">
        <f t="shared" ca="1" si="213"/>
        <v>4.6592753120828299E-2</v>
      </c>
      <c r="AO346" s="496">
        <f t="shared" ca="1" si="213"/>
        <v>4.2519045926389325E-2</v>
      </c>
      <c r="AP346" s="496">
        <f t="shared" ca="1" si="213"/>
        <v>4.7157718285097933E-2</v>
      </c>
    </row>
    <row r="347" spans="3:42">
      <c r="C347" t="str">
        <f t="shared" si="212"/>
        <v>R_ES-SH-DH-70_HET</v>
      </c>
      <c r="D347" t="str">
        <f t="shared" si="212"/>
        <v>UP</v>
      </c>
      <c r="E347" t="str">
        <f t="shared" si="212"/>
        <v>R_ES-DH-70-SpHeat</v>
      </c>
      <c r="F347" s="794">
        <f t="shared" ref="F347:AP347" ca="1" si="214">F206*F117</f>
        <v>6.12609815744172E-2</v>
      </c>
      <c r="G347" s="794">
        <f t="shared" ca="1" si="214"/>
        <v>6.2046422077084419E-2</v>
      </c>
      <c r="H347" s="496">
        <f t="shared" ca="1" si="214"/>
        <v>2.6524758100712732E-2</v>
      </c>
      <c r="I347" s="496">
        <f t="shared" ca="1" si="214"/>
        <v>6.4096302165911834E-2</v>
      </c>
      <c r="J347" s="496">
        <f t="shared" ca="1" si="214"/>
        <v>0.19458447602508722</v>
      </c>
      <c r="K347" s="496">
        <f t="shared" ca="1" si="214"/>
        <v>6.3952989155232551E-2</v>
      </c>
      <c r="L347" s="496">
        <f t="shared" ca="1" si="214"/>
        <v>5.1879271853371565E-2</v>
      </c>
      <c r="M347" s="496">
        <f t="shared" ca="1" si="214"/>
        <v>5.3626006735023699E-2</v>
      </c>
      <c r="N347" s="496">
        <f t="shared" ca="1" si="214"/>
        <v>7.0351563535104925E-2</v>
      </c>
      <c r="O347" s="496">
        <f t="shared" ca="1" si="214"/>
        <v>6.2220881336692027E-2</v>
      </c>
      <c r="P347" s="496">
        <f t="shared" ca="1" si="214"/>
        <v>0.12328445440140409</v>
      </c>
      <c r="Q347" s="496">
        <f t="shared" ca="1" si="214"/>
        <v>4.1442490061369304E-2</v>
      </c>
      <c r="R347" s="496">
        <f t="shared" ca="1" si="214"/>
        <v>5.7724575955268413E-2</v>
      </c>
      <c r="S347" s="496">
        <f t="shared" ca="1" si="214"/>
        <v>4.6424688992183986E-2</v>
      </c>
      <c r="T347" s="496">
        <f t="shared" ca="1" si="214"/>
        <v>4.9917647210679671E-2</v>
      </c>
      <c r="U347" s="496">
        <f t="shared" ca="1" si="214"/>
        <v>3.291618786215747E-2</v>
      </c>
      <c r="V347" s="496">
        <f t="shared" ca="1" si="214"/>
        <v>0.1501373644209163</v>
      </c>
      <c r="W347" s="496">
        <f t="shared" ca="1" si="214"/>
        <v>6.4567295820955314E-2</v>
      </c>
      <c r="X347" s="496">
        <f t="shared" ca="1" si="214"/>
        <v>4.5417210691606695E-2</v>
      </c>
      <c r="Y347" s="496">
        <f t="shared" ca="1" si="214"/>
        <v>3.1108885462642333E-2</v>
      </c>
      <c r="Z347" s="496">
        <f t="shared" ca="1" si="214"/>
        <v>6.4691445777476222E-2</v>
      </c>
      <c r="AA347" s="496">
        <f t="shared" ca="1" si="214"/>
        <v>0.25179295172526839</v>
      </c>
      <c r="AB347" s="496">
        <f t="shared" ca="1" si="214"/>
        <v>6.3114493030187749E-2</v>
      </c>
      <c r="AC347" s="496">
        <f t="shared" ca="1" si="214"/>
        <v>6.0064101019061449E-2</v>
      </c>
      <c r="AD347" s="496">
        <f t="shared" ca="1" si="214"/>
        <v>5.7525109089934835E-2</v>
      </c>
      <c r="AE347" s="496">
        <f t="shared" ca="1" si="214"/>
        <v>1.9770395052319201E-2</v>
      </c>
      <c r="AF347" s="496">
        <f t="shared" ca="1" si="214"/>
        <v>4.8620837443133662E-2</v>
      </c>
      <c r="AG347" s="496">
        <f t="shared" ca="1" si="214"/>
        <v>8.168343797393296E-2</v>
      </c>
      <c r="AH347" s="496">
        <f t="shared" ca="1" si="214"/>
        <v>5.9349493041699272E-2</v>
      </c>
      <c r="AI347" s="496">
        <f t="shared" ca="1" si="214"/>
        <v>6.0149909653547488E-2</v>
      </c>
      <c r="AJ347" s="496">
        <f t="shared" ca="1" si="214"/>
        <v>4.479823725364273E-2</v>
      </c>
      <c r="AK347" s="496">
        <f t="shared" ca="1" si="214"/>
        <v>6.7169890846127844E-2</v>
      </c>
      <c r="AL347" s="496">
        <f t="shared" ca="1" si="214"/>
        <v>2.9986050742720611E-2</v>
      </c>
      <c r="AM347" s="496">
        <f t="shared" ca="1" si="214"/>
        <v>6.6300162245685856E-2</v>
      </c>
      <c r="AN347" s="496">
        <f t="shared" ca="1" si="214"/>
        <v>2.6548224197782373E-2</v>
      </c>
      <c r="AO347" s="496">
        <f t="shared" ca="1" si="214"/>
        <v>4.2519045926389318E-2</v>
      </c>
      <c r="AP347" s="496">
        <f t="shared" ca="1" si="214"/>
        <v>2.8977258399872689E-2</v>
      </c>
    </row>
    <row r="348" spans="3:42">
      <c r="C348" t="str">
        <f t="shared" si="212"/>
        <v>R_ES-SH-DH-70_OIL</v>
      </c>
      <c r="D348" t="str">
        <f t="shared" si="212"/>
        <v>UP</v>
      </c>
      <c r="E348" t="str">
        <f t="shared" si="212"/>
        <v>R_ES-DH-70-SpHeat</v>
      </c>
      <c r="F348" s="794">
        <f t="shared" ref="F348:AP348" ca="1" si="215">F207*F118</f>
        <v>6.1688142884446448E-2</v>
      </c>
      <c r="G348" s="794">
        <f t="shared" ca="1" si="215"/>
        <v>7.8478407310203807E-2</v>
      </c>
      <c r="H348" s="496">
        <f t="shared" ca="1" si="215"/>
        <v>3.9385057205630257E-2</v>
      </c>
      <c r="I348" s="496">
        <f t="shared" ca="1" si="215"/>
        <v>6.409630216591182E-2</v>
      </c>
      <c r="J348" s="496">
        <f t="shared" ca="1" si="215"/>
        <v>3.1974292342662955E-2</v>
      </c>
      <c r="K348" s="496">
        <f t="shared" ca="1" si="215"/>
        <v>4.43960076732016E-2</v>
      </c>
      <c r="L348" s="496">
        <f t="shared" ca="1" si="215"/>
        <v>5.2295130376443184E-2</v>
      </c>
      <c r="M348" s="496">
        <f t="shared" ca="1" si="215"/>
        <v>5.3552200738365641E-2</v>
      </c>
      <c r="N348" s="496">
        <f t="shared" ca="1" si="215"/>
        <v>6.4064252057690979E-2</v>
      </c>
      <c r="O348" s="496">
        <f t="shared" ca="1" si="215"/>
        <v>4.2271834683670545E-2</v>
      </c>
      <c r="P348" s="496">
        <f t="shared" ca="1" si="215"/>
        <v>0.12199418384404706</v>
      </c>
      <c r="Q348" s="496">
        <f t="shared" ca="1" si="215"/>
        <v>4.0740436549322918E-2</v>
      </c>
      <c r="R348" s="496">
        <f t="shared" ca="1" si="215"/>
        <v>5.6956751662182128E-2</v>
      </c>
      <c r="S348" s="496">
        <f t="shared" ca="1" si="215"/>
        <v>4.9076029265986192E-2</v>
      </c>
      <c r="T348" s="496">
        <f t="shared" ca="1" si="215"/>
        <v>3.760902125505413E-2</v>
      </c>
      <c r="U348" s="496">
        <f t="shared" ca="1" si="215"/>
        <v>5.6442775799502978E-2</v>
      </c>
      <c r="V348" s="496">
        <f t="shared" ca="1" si="215"/>
        <v>0.15013736442091627</v>
      </c>
      <c r="W348" s="496">
        <f t="shared" ca="1" si="215"/>
        <v>6.4953291727482154E-2</v>
      </c>
      <c r="X348" s="496">
        <f t="shared" ca="1" si="215"/>
        <v>5.5409633538543356E-2</v>
      </c>
      <c r="Y348" s="496">
        <f t="shared" ca="1" si="215"/>
        <v>6.6687444784032768E-2</v>
      </c>
      <c r="Z348" s="496">
        <f t="shared" ca="1" si="215"/>
        <v>7.0535656077025499E-2</v>
      </c>
      <c r="AA348" s="496">
        <f t="shared" ca="1" si="215"/>
        <v>0.22031883275960981</v>
      </c>
      <c r="AB348" s="496">
        <f t="shared" ca="1" si="215"/>
        <v>6.6820085892599052E-2</v>
      </c>
      <c r="AC348" s="496">
        <f t="shared" ca="1" si="215"/>
        <v>6.0064101019061455E-2</v>
      </c>
      <c r="AD348" s="496">
        <f t="shared" ca="1" si="215"/>
        <v>6.068535316391177E-2</v>
      </c>
      <c r="AE348" s="496">
        <f t="shared" ca="1" si="215"/>
        <v>2.0945933523829261E-2</v>
      </c>
      <c r="AF348" s="496">
        <f t="shared" ca="1" si="215"/>
        <v>3.5154573577736964E-2</v>
      </c>
      <c r="AG348" s="496">
        <f t="shared" ca="1" si="215"/>
        <v>9.1725444891430669E-2</v>
      </c>
      <c r="AH348" s="496">
        <f t="shared" ca="1" si="215"/>
        <v>6.3384539155796754E-2</v>
      </c>
      <c r="AI348" s="496">
        <f t="shared" ca="1" si="215"/>
        <v>4.2551729800453977E-2</v>
      </c>
      <c r="AJ348" s="496">
        <f t="shared" ca="1" si="215"/>
        <v>5.2044801311598811E-2</v>
      </c>
      <c r="AK348" s="496">
        <f t="shared" ca="1" si="215"/>
        <v>2.4442265723389003E-2</v>
      </c>
      <c r="AL348" s="496">
        <f t="shared" ca="1" si="215"/>
        <v>4.9729808057294399E-2</v>
      </c>
      <c r="AM348" s="496">
        <f t="shared" ca="1" si="215"/>
        <v>5.9950009064272676E-2</v>
      </c>
      <c r="AN348" s="496">
        <f t="shared" ca="1" si="215"/>
        <v>2.6548224197782366E-2</v>
      </c>
      <c r="AO348" s="496">
        <f t="shared" ca="1" si="215"/>
        <v>4.2519045926389318E-2</v>
      </c>
      <c r="AP348" s="496">
        <f t="shared" ca="1" si="215"/>
        <v>2.8977258399872693E-2</v>
      </c>
    </row>
    <row r="349" spans="3:42">
      <c r="C349" t="str">
        <f t="shared" si="212"/>
        <v>R_ES-SH-DH-70_BIO</v>
      </c>
      <c r="D349" t="str">
        <f t="shared" si="212"/>
        <v>UP</v>
      </c>
      <c r="E349" t="str">
        <f t="shared" si="212"/>
        <v>R_ES-DH-70-SpHeat</v>
      </c>
      <c r="F349" s="794">
        <f t="shared" ref="F349:AP349" ca="1" si="216">F208*F119</f>
        <v>6.4781877984168165E-2</v>
      </c>
      <c r="G349" s="794">
        <f t="shared" ca="1" si="216"/>
        <v>8.7517139046403264E-2</v>
      </c>
      <c r="H349" s="496">
        <f t="shared" ca="1" si="216"/>
        <v>2.9229053037402083E-2</v>
      </c>
      <c r="I349" s="496">
        <f t="shared" ca="1" si="216"/>
        <v>6.4096302165911834E-2</v>
      </c>
      <c r="J349" s="496">
        <f t="shared" ca="1" si="216"/>
        <v>2.773303275222827E-2</v>
      </c>
      <c r="K349" s="496">
        <f t="shared" ca="1" si="216"/>
        <v>6.9247595396980541E-2</v>
      </c>
      <c r="L349" s="496">
        <f t="shared" ca="1" si="216"/>
        <v>5.736820374738761E-2</v>
      </c>
      <c r="M349" s="496">
        <f t="shared" ca="1" si="216"/>
        <v>5.7015149166070263E-2</v>
      </c>
      <c r="N349" s="496">
        <f t="shared" ca="1" si="216"/>
        <v>7.4018938862245892E-2</v>
      </c>
      <c r="O349" s="496">
        <f t="shared" ca="1" si="216"/>
        <v>4.2099905833774813E-2</v>
      </c>
      <c r="P349" s="496">
        <f t="shared" ca="1" si="216"/>
        <v>0.13318508064834081</v>
      </c>
      <c r="Q349" s="496">
        <f t="shared" ca="1" si="216"/>
        <v>4.4461504802666224E-2</v>
      </c>
      <c r="R349" s="496">
        <f t="shared" ca="1" si="216"/>
        <v>5.8433903836620921E-2</v>
      </c>
      <c r="S349" s="496">
        <f t="shared" ca="1" si="216"/>
        <v>4.9685787341141679E-2</v>
      </c>
      <c r="T349" s="496">
        <f t="shared" ca="1" si="216"/>
        <v>5.6729089756914382E-2</v>
      </c>
      <c r="U349" s="496">
        <f t="shared" ca="1" si="216"/>
        <v>5.5467518637161935E-2</v>
      </c>
      <c r="V349" s="496">
        <f t="shared" ca="1" si="216"/>
        <v>5.5592361185449593E-2</v>
      </c>
      <c r="W349" s="496">
        <f t="shared" ca="1" si="216"/>
        <v>6.9596435331122267E-2</v>
      </c>
      <c r="X349" s="496">
        <f t="shared" ca="1" si="216"/>
        <v>4.809563954479646E-2</v>
      </c>
      <c r="Y349" s="496">
        <f t="shared" ca="1" si="216"/>
        <v>7.0974732623204098E-2</v>
      </c>
      <c r="Z349" s="496">
        <f t="shared" ca="1" si="216"/>
        <v>6.1837765443153614E-2</v>
      </c>
      <c r="AA349" s="496">
        <f t="shared" ca="1" si="216"/>
        <v>2.2666482902546102E-2</v>
      </c>
      <c r="AB349" s="496">
        <f t="shared" ca="1" si="216"/>
        <v>5.8434749187158658E-2</v>
      </c>
      <c r="AC349" s="496">
        <f t="shared" ca="1" si="216"/>
        <v>6.0064101019061455E-2</v>
      </c>
      <c r="AD349" s="496">
        <f t="shared" ca="1" si="216"/>
        <v>6.3151124631017963E-2</v>
      </c>
      <c r="AE349" s="496">
        <f t="shared" ca="1" si="216"/>
        <v>1.9836906705130743E-2</v>
      </c>
      <c r="AF349" s="496">
        <f t="shared" ca="1" si="216"/>
        <v>5.5429377418787715E-2</v>
      </c>
      <c r="AG349" s="496">
        <f t="shared" ca="1" si="216"/>
        <v>8.8873777186138217E-2</v>
      </c>
      <c r="AH349" s="496">
        <f t="shared" ca="1" si="216"/>
        <v>5.8608075359177315E-2</v>
      </c>
      <c r="AI349" s="496">
        <f t="shared" ca="1" si="216"/>
        <v>6.6531286627732819E-2</v>
      </c>
      <c r="AJ349" s="496">
        <f t="shared" ca="1" si="216"/>
        <v>5.5362507531928992E-2</v>
      </c>
      <c r="AK349" s="496">
        <f t="shared" ca="1" si="216"/>
        <v>2.4442265723388999E-2</v>
      </c>
      <c r="AL349" s="496">
        <f t="shared" ca="1" si="216"/>
        <v>2.9986050742720597E-2</v>
      </c>
      <c r="AM349" s="496">
        <f t="shared" ca="1" si="216"/>
        <v>5.7351040747846679E-2</v>
      </c>
      <c r="AN349" s="496">
        <f t="shared" ca="1" si="216"/>
        <v>2.6548224197782369E-2</v>
      </c>
      <c r="AO349" s="496">
        <f t="shared" ca="1" si="216"/>
        <v>4.2519045926389318E-2</v>
      </c>
      <c r="AP349" s="496">
        <f t="shared" ca="1" si="216"/>
        <v>2.8977258399872693E-2</v>
      </c>
    </row>
    <row r="350" spans="3:42">
      <c r="C350" t="str">
        <f t="shared" si="212"/>
        <v>R_ES-SH-DH-70_COA</v>
      </c>
      <c r="D350" t="str">
        <f t="shared" si="212"/>
        <v>UP</v>
      </c>
      <c r="E350" t="str">
        <f t="shared" si="212"/>
        <v>R_ES-DH-70-SpHeat</v>
      </c>
      <c r="F350" s="794">
        <f t="shared" ref="F350:AP350" ca="1" si="217">F209*F120</f>
        <v>6.5713064383718614E-2</v>
      </c>
      <c r="G350" s="794">
        <f t="shared" ca="1" si="217"/>
        <v>7.567731552215079E-2</v>
      </c>
      <c r="H350" s="496">
        <f t="shared" ca="1" si="217"/>
        <v>2.725053826103023E-2</v>
      </c>
      <c r="I350" s="496">
        <f t="shared" ca="1" si="217"/>
        <v>6.4096302165911834E-2</v>
      </c>
      <c r="J350" s="496">
        <f t="shared" ca="1" si="217"/>
        <v>0.17026141652195131</v>
      </c>
      <c r="K350" s="496">
        <f t="shared" ca="1" si="217"/>
        <v>6.70855787357722E-2</v>
      </c>
      <c r="L350" s="496">
        <f t="shared" ca="1" si="217"/>
        <v>5.2822587255419343E-2</v>
      </c>
      <c r="M350" s="496">
        <f t="shared" ca="1" si="217"/>
        <v>2.7991374241391559E-2</v>
      </c>
      <c r="N350" s="496">
        <f t="shared" ca="1" si="217"/>
        <v>6.1168582512741071E-2</v>
      </c>
      <c r="O350" s="496">
        <f t="shared" ca="1" si="217"/>
        <v>4.0061355910567184E-2</v>
      </c>
      <c r="P350" s="496">
        <f t="shared" ca="1" si="217"/>
        <v>0.12408738599792694</v>
      </c>
      <c r="Q350" s="496">
        <f t="shared" ca="1" si="217"/>
        <v>4.4509917827212642E-2</v>
      </c>
      <c r="R350" s="496">
        <f t="shared" ca="1" si="217"/>
        <v>7.9041782294155871E-2</v>
      </c>
      <c r="S350" s="496">
        <f t="shared" ca="1" si="217"/>
        <v>5.3455059801368887E-2</v>
      </c>
      <c r="T350" s="496">
        <f t="shared" ca="1" si="217"/>
        <v>4.568635903631859E-2</v>
      </c>
      <c r="U350" s="496">
        <f t="shared" ca="1" si="217"/>
        <v>4.9322351153743803E-2</v>
      </c>
      <c r="V350" s="496">
        <f t="shared" ca="1" si="217"/>
        <v>4.5899959027737622E-2</v>
      </c>
      <c r="W350" s="496">
        <f t="shared" ca="1" si="217"/>
        <v>5.9298357754524605E-2</v>
      </c>
      <c r="X350" s="496">
        <f t="shared" ca="1" si="217"/>
        <v>4.6804481140173999E-2</v>
      </c>
      <c r="Y350" s="496">
        <f t="shared" ca="1" si="217"/>
        <v>6.3693822287812077E-2</v>
      </c>
      <c r="Z350" s="496">
        <f t="shared" ca="1" si="217"/>
        <v>8.6064599701019484E-2</v>
      </c>
      <c r="AA350" s="496">
        <f t="shared" ca="1" si="217"/>
        <v>0.22031883275960981</v>
      </c>
      <c r="AB350" s="496">
        <f t="shared" ca="1" si="217"/>
        <v>5.5984387929554971E-2</v>
      </c>
      <c r="AC350" s="496">
        <f t="shared" ca="1" si="217"/>
        <v>5.1727449284321547E-2</v>
      </c>
      <c r="AD350" s="496">
        <f t="shared" ca="1" si="217"/>
        <v>6.0719948734964689E-2</v>
      </c>
      <c r="AE350" s="496">
        <f t="shared" ca="1" si="217"/>
        <v>4.583874727219666E-2</v>
      </c>
      <c r="AF350" s="496">
        <f t="shared" ca="1" si="217"/>
        <v>2.6866251164100397E-2</v>
      </c>
      <c r="AG350" s="496">
        <f t="shared" ca="1" si="217"/>
        <v>4.3269625771353876E-2</v>
      </c>
      <c r="AH350" s="496">
        <f t="shared" ca="1" si="217"/>
        <v>5.9039108020887167E-2</v>
      </c>
      <c r="AI350" s="496">
        <f t="shared" ca="1" si="217"/>
        <v>6.3566702369346237E-2</v>
      </c>
      <c r="AJ350" s="496">
        <f t="shared" ca="1" si="217"/>
        <v>4.8369755487048069E-2</v>
      </c>
      <c r="AK350" s="496">
        <f t="shared" ca="1" si="217"/>
        <v>5.4683572480249187E-2</v>
      </c>
      <c r="AL350" s="496">
        <f t="shared" ca="1" si="217"/>
        <v>2.9986050742720604E-2</v>
      </c>
      <c r="AM350" s="496">
        <f t="shared" ca="1" si="217"/>
        <v>6.1899903831644051E-2</v>
      </c>
      <c r="AN350" s="496">
        <f t="shared" ca="1" si="217"/>
        <v>4.180630929623972E-2</v>
      </c>
      <c r="AO350" s="496">
        <f t="shared" ca="1" si="217"/>
        <v>4.2519045926389318E-2</v>
      </c>
      <c r="AP350" s="496">
        <f t="shared" ca="1" si="217"/>
        <v>2.8977258399872693E-2</v>
      </c>
    </row>
    <row r="351" spans="3:42">
      <c r="C351" t="str">
        <f t="shared" si="212"/>
        <v>R_ES-SH-DH-70_LPG</v>
      </c>
      <c r="D351" t="str">
        <f t="shared" si="212"/>
        <v>UP</v>
      </c>
      <c r="E351" t="str">
        <f t="shared" si="212"/>
        <v>R_ES-DH-70-SpHeat</v>
      </c>
      <c r="F351" s="794">
        <f t="shared" ref="F351:AP351" ca="1" si="218">F210*F121</f>
        <v>6.1229701790515442E-2</v>
      </c>
      <c r="G351" s="794">
        <f t="shared" ca="1" si="218"/>
        <v>8.1860021095975719E-2</v>
      </c>
      <c r="H351" s="496">
        <f t="shared" ca="1" si="218"/>
        <v>2.8529529123986559E-2</v>
      </c>
      <c r="I351" s="496">
        <f t="shared" ca="1" si="218"/>
        <v>4.9077472557622105E-2</v>
      </c>
      <c r="J351" s="496">
        <f t="shared" ca="1" si="218"/>
        <v>3.2220114477540911E-2</v>
      </c>
      <c r="K351" s="496">
        <f t="shared" ca="1" si="218"/>
        <v>4.43960076732016E-2</v>
      </c>
      <c r="L351" s="496">
        <f t="shared" ca="1" si="218"/>
        <v>5.209871821998896E-2</v>
      </c>
      <c r="M351" s="496">
        <f t="shared" ca="1" si="218"/>
        <v>5.5270498879184192E-2</v>
      </c>
      <c r="N351" s="496">
        <f t="shared" ca="1" si="218"/>
        <v>6.0515421104967854E-2</v>
      </c>
      <c r="O351" s="496">
        <f t="shared" ca="1" si="218"/>
        <v>4.176744801274019E-2</v>
      </c>
      <c r="P351" s="496">
        <f t="shared" ca="1" si="218"/>
        <v>6.2042245772084385E-2</v>
      </c>
      <c r="Q351" s="496">
        <f t="shared" ca="1" si="218"/>
        <v>4.2598660975523478E-2</v>
      </c>
      <c r="R351" s="496">
        <f t="shared" ca="1" si="218"/>
        <v>8.7472953406478704E-2</v>
      </c>
      <c r="S351" s="496">
        <f t="shared" ca="1" si="218"/>
        <v>4.9463153567177107E-2</v>
      </c>
      <c r="T351" s="496">
        <f t="shared" ca="1" si="218"/>
        <v>5.4483868819745547E-2</v>
      </c>
      <c r="U351" s="496">
        <f t="shared" ca="1" si="218"/>
        <v>5.4824558652373512E-2</v>
      </c>
      <c r="V351" s="496">
        <f t="shared" ca="1" si="218"/>
        <v>5.3703741224854717E-2</v>
      </c>
      <c r="W351" s="496">
        <f t="shared" ca="1" si="218"/>
        <v>6.5495825633389237E-2</v>
      </c>
      <c r="X351" s="496">
        <f t="shared" ca="1" si="218"/>
        <v>5.3784408321796158E-2</v>
      </c>
      <c r="Y351" s="496">
        <f t="shared" ca="1" si="218"/>
        <v>3.1577756008637776E-2</v>
      </c>
      <c r="Z351" s="496">
        <f t="shared" ca="1" si="218"/>
        <v>5.8547016497309159E-2</v>
      </c>
      <c r="AA351" s="496">
        <f t="shared" ca="1" si="218"/>
        <v>2.2915078819054201E-2</v>
      </c>
      <c r="AB351" s="496">
        <f t="shared" ca="1" si="218"/>
        <v>4.0106900972782106E-2</v>
      </c>
      <c r="AC351" s="496">
        <f t="shared" ca="1" si="218"/>
        <v>6.0522005017657296E-2</v>
      </c>
      <c r="AD351" s="496">
        <f t="shared" ca="1" si="218"/>
        <v>4.9431713329220223E-2</v>
      </c>
      <c r="AE351" s="496">
        <f t="shared" ca="1" si="218"/>
        <v>2.0242560942117977E-2</v>
      </c>
      <c r="AF351" s="496">
        <f t="shared" ca="1" si="218"/>
        <v>5.6503202334360542E-2</v>
      </c>
      <c r="AG351" s="496">
        <f t="shared" ca="1" si="218"/>
        <v>4.9539809273025211E-2</v>
      </c>
      <c r="AH351" s="496">
        <f t="shared" ca="1" si="218"/>
        <v>6.0960345505387585E-2</v>
      </c>
      <c r="AI351" s="496">
        <f t="shared" ca="1" si="218"/>
        <v>4.2551729800453977E-2</v>
      </c>
      <c r="AJ351" s="496">
        <f t="shared" ca="1" si="218"/>
        <v>5.0918405302714839E-2</v>
      </c>
      <c r="AK351" s="496">
        <f t="shared" ca="1" si="218"/>
        <v>6.0516519856085083E-2</v>
      </c>
      <c r="AL351" s="496">
        <f t="shared" ca="1" si="218"/>
        <v>4.9729808057294399E-2</v>
      </c>
      <c r="AM351" s="496">
        <f t="shared" ca="1" si="218"/>
        <v>5.9950009064272676E-2</v>
      </c>
      <c r="AN351" s="496">
        <f t="shared" ca="1" si="218"/>
        <v>4.6265674166575538E-2</v>
      </c>
      <c r="AO351" s="496">
        <f t="shared" ca="1" si="218"/>
        <v>4.2519045926389311E-2</v>
      </c>
      <c r="AP351" s="496">
        <f t="shared" ca="1" si="218"/>
        <v>2.8977258399872693E-2</v>
      </c>
    </row>
    <row r="352" spans="3:42">
      <c r="C352" t="str">
        <f t="shared" si="212"/>
        <v>R_ES-SH-DH-70_GEO</v>
      </c>
      <c r="D352" t="str">
        <f t="shared" si="212"/>
        <v>UP</v>
      </c>
      <c r="E352" t="str">
        <f t="shared" si="212"/>
        <v>R_ES-DH-70-SpHeat</v>
      </c>
      <c r="F352" s="794">
        <f t="shared" ref="F352:AP352" ca="1" si="219">F351</f>
        <v>6.1229701790515442E-2</v>
      </c>
      <c r="G352" s="794">
        <f t="shared" ca="1" si="219"/>
        <v>8.1860021095975719E-2</v>
      </c>
      <c r="H352" s="496">
        <f t="shared" ca="1" si="219"/>
        <v>2.8529529123986559E-2</v>
      </c>
      <c r="I352" s="496">
        <f t="shared" ca="1" si="219"/>
        <v>4.9077472557622105E-2</v>
      </c>
      <c r="J352" s="496">
        <f t="shared" ca="1" si="219"/>
        <v>3.2220114477540911E-2</v>
      </c>
      <c r="K352" s="496">
        <f t="shared" ca="1" si="219"/>
        <v>4.43960076732016E-2</v>
      </c>
      <c r="L352" s="496">
        <f t="shared" ca="1" si="219"/>
        <v>5.209871821998896E-2</v>
      </c>
      <c r="M352" s="496">
        <f t="shared" ca="1" si="219"/>
        <v>5.5270498879184192E-2</v>
      </c>
      <c r="N352" s="496">
        <f t="shared" ca="1" si="219"/>
        <v>6.0515421104967854E-2</v>
      </c>
      <c r="O352" s="496">
        <f t="shared" ca="1" si="219"/>
        <v>4.176744801274019E-2</v>
      </c>
      <c r="P352" s="496">
        <f t="shared" ca="1" si="219"/>
        <v>6.2042245772084385E-2</v>
      </c>
      <c r="Q352" s="496">
        <f t="shared" ca="1" si="219"/>
        <v>4.2598660975523478E-2</v>
      </c>
      <c r="R352" s="496">
        <f t="shared" ca="1" si="219"/>
        <v>8.7472953406478704E-2</v>
      </c>
      <c r="S352" s="496">
        <f t="shared" ca="1" si="219"/>
        <v>4.9463153567177107E-2</v>
      </c>
      <c r="T352" s="496">
        <f t="shared" ca="1" si="219"/>
        <v>5.4483868819745547E-2</v>
      </c>
      <c r="U352" s="496">
        <f t="shared" ca="1" si="219"/>
        <v>5.4824558652373512E-2</v>
      </c>
      <c r="V352" s="496">
        <f t="shared" ca="1" si="219"/>
        <v>5.3703741224854717E-2</v>
      </c>
      <c r="W352" s="496">
        <f t="shared" ca="1" si="219"/>
        <v>6.5495825633389237E-2</v>
      </c>
      <c r="X352" s="496">
        <f t="shared" ca="1" si="219"/>
        <v>5.3784408321796158E-2</v>
      </c>
      <c r="Y352" s="496">
        <f t="shared" ca="1" si="219"/>
        <v>3.1577756008637776E-2</v>
      </c>
      <c r="Z352" s="496">
        <f t="shared" ca="1" si="219"/>
        <v>5.8547016497309159E-2</v>
      </c>
      <c r="AA352" s="496">
        <f t="shared" ca="1" si="219"/>
        <v>2.2915078819054201E-2</v>
      </c>
      <c r="AB352" s="496">
        <f t="shared" ca="1" si="219"/>
        <v>4.0106900972782106E-2</v>
      </c>
      <c r="AC352" s="496">
        <f t="shared" ca="1" si="219"/>
        <v>6.0522005017657296E-2</v>
      </c>
      <c r="AD352" s="496">
        <f t="shared" ca="1" si="219"/>
        <v>4.9431713329220223E-2</v>
      </c>
      <c r="AE352" s="496">
        <f t="shared" ca="1" si="219"/>
        <v>2.0242560942117977E-2</v>
      </c>
      <c r="AF352" s="496">
        <f t="shared" ca="1" si="219"/>
        <v>5.6503202334360542E-2</v>
      </c>
      <c r="AG352" s="496">
        <f t="shared" ca="1" si="219"/>
        <v>4.9539809273025211E-2</v>
      </c>
      <c r="AH352" s="496">
        <f t="shared" ca="1" si="219"/>
        <v>6.0960345505387585E-2</v>
      </c>
      <c r="AI352" s="496">
        <f t="shared" ca="1" si="219"/>
        <v>4.2551729800453977E-2</v>
      </c>
      <c r="AJ352" s="496">
        <f t="shared" ca="1" si="219"/>
        <v>5.0918405302714839E-2</v>
      </c>
      <c r="AK352" s="496">
        <f t="shared" ca="1" si="219"/>
        <v>6.0516519856085083E-2</v>
      </c>
      <c r="AL352" s="496">
        <f t="shared" ca="1" si="219"/>
        <v>4.9729808057294399E-2</v>
      </c>
      <c r="AM352" s="496">
        <f t="shared" ca="1" si="219"/>
        <v>5.9950009064272676E-2</v>
      </c>
      <c r="AN352" s="496">
        <f t="shared" ca="1" si="219"/>
        <v>4.6265674166575538E-2</v>
      </c>
      <c r="AO352" s="496">
        <f t="shared" ca="1" si="219"/>
        <v>4.2519045926389311E-2</v>
      </c>
      <c r="AP352" s="496">
        <f t="shared" ca="1" si="219"/>
        <v>2.8977258399872693E-2</v>
      </c>
    </row>
    <row r="353" spans="3:42">
      <c r="C353" t="str">
        <f t="shared" si="212"/>
        <v>R_ES-SH-SD_ELC-R</v>
      </c>
      <c r="D353" t="str">
        <f t="shared" si="212"/>
        <v>UP</v>
      </c>
      <c r="E353" t="str">
        <f t="shared" si="212"/>
        <v>R_ES-SD-SpHeat</v>
      </c>
      <c r="F353" s="794">
        <f t="shared" ref="F353:AP353" ca="1" si="220">F212*F123</f>
        <v>3.5827483297350492E-2</v>
      </c>
      <c r="G353" s="794">
        <f t="shared" ca="1" si="220"/>
        <v>5.5692447547743211E-2</v>
      </c>
      <c r="H353" s="496">
        <f t="shared" ca="1" si="220"/>
        <v>2.129071524432833E-2</v>
      </c>
      <c r="I353" s="496">
        <f t="shared" ca="1" si="220"/>
        <v>4.865706621978852E-2</v>
      </c>
      <c r="J353" s="496">
        <f t="shared" ca="1" si="220"/>
        <v>2.565004099218816E-2</v>
      </c>
      <c r="K353" s="496">
        <f t="shared" ca="1" si="220"/>
        <v>4.2765650525988637E-2</v>
      </c>
      <c r="L353" s="496">
        <f t="shared" ca="1" si="220"/>
        <v>4.1750872593684291E-2</v>
      </c>
      <c r="M353" s="496">
        <f t="shared" ca="1" si="220"/>
        <v>1.0981288979379321E-2</v>
      </c>
      <c r="N353" s="496">
        <f t="shared" ca="1" si="220"/>
        <v>1.1198866622843228E-2</v>
      </c>
      <c r="O353" s="496">
        <f t="shared" ca="1" si="220"/>
        <v>2.9748187418207027E-2</v>
      </c>
      <c r="P353" s="496">
        <f t="shared" ca="1" si="220"/>
        <v>3.2320359964805465E-2</v>
      </c>
      <c r="Q353" s="496">
        <f t="shared" ca="1" si="220"/>
        <v>3.9118779814561619E-2</v>
      </c>
      <c r="R353" s="496">
        <f t="shared" ca="1" si="220"/>
        <v>4.0763257878161957E-2</v>
      </c>
      <c r="S353" s="496">
        <f t="shared" ca="1" si="220"/>
        <v>3.0347995509270784E-2</v>
      </c>
      <c r="T353" s="496">
        <f t="shared" ca="1" si="220"/>
        <v>3.9979543363380173E-2</v>
      </c>
      <c r="U353" s="496">
        <f t="shared" ca="1" si="220"/>
        <v>4.162365856562792E-2</v>
      </c>
      <c r="V353" s="496">
        <f t="shared" ca="1" si="220"/>
        <v>8.8133619566021282E-2</v>
      </c>
      <c r="W353" s="496">
        <f t="shared" ca="1" si="220"/>
        <v>4.290454131194694E-3</v>
      </c>
      <c r="X353" s="496">
        <f t="shared" ca="1" si="220"/>
        <v>2.7870525588483522E-2</v>
      </c>
      <c r="Y353" s="496">
        <f t="shared" ca="1" si="220"/>
        <v>5.0332965792964701E-2</v>
      </c>
      <c r="Z353" s="496">
        <f t="shared" ca="1" si="220"/>
        <v>3.8643232242573641E-2</v>
      </c>
      <c r="AA353" s="496">
        <f t="shared" ca="1" si="220"/>
        <v>1.5868940239210993E-2</v>
      </c>
      <c r="AB353" s="496">
        <f t="shared" ca="1" si="220"/>
        <v>4.457628970123776E-2</v>
      </c>
      <c r="AC353" s="496">
        <f t="shared" ca="1" si="220"/>
        <v>3.4581270606718839E-2</v>
      </c>
      <c r="AD353" s="496">
        <f t="shared" ca="1" si="220"/>
        <v>5.2195068242902085E-2</v>
      </c>
      <c r="AE353" s="496">
        <f t="shared" ca="1" si="220"/>
        <v>6.213969944725263E-3</v>
      </c>
      <c r="AF353" s="496">
        <f t="shared" ca="1" si="220"/>
        <v>3.6160126794049403E-2</v>
      </c>
      <c r="AG353" s="496">
        <f t="shared" ca="1" si="220"/>
        <v>5.3384463329617576E-2</v>
      </c>
      <c r="AH353" s="496">
        <f t="shared" ca="1" si="220"/>
        <v>4.5053036046222676E-2</v>
      </c>
      <c r="AI353" s="496">
        <f t="shared" ca="1" si="220"/>
        <v>4.3009348678929755E-2</v>
      </c>
      <c r="AJ353" s="496">
        <f t="shared" ca="1" si="220"/>
        <v>4.6197411689219502E-2</v>
      </c>
      <c r="AK353" s="496">
        <f t="shared" ca="1" si="220"/>
        <v>1.4311640817654377E-2</v>
      </c>
      <c r="AL353" s="496">
        <f t="shared" ca="1" si="220"/>
        <v>1.5986481698983604E-2</v>
      </c>
      <c r="AM353" s="496">
        <f t="shared" ca="1" si="220"/>
        <v>3.1351502588623383E-2</v>
      </c>
      <c r="AN353" s="496">
        <f t="shared" ca="1" si="220"/>
        <v>1.5835831312766415E-2</v>
      </c>
      <c r="AO353" s="496">
        <f t="shared" ca="1" si="220"/>
        <v>2.2668205139533989E-2</v>
      </c>
      <c r="AP353" s="496">
        <f t="shared" ca="1" si="220"/>
        <v>1.5448663615989537E-2</v>
      </c>
    </row>
    <row r="354" spans="3:42">
      <c r="C354" t="str">
        <f t="shared" ref="C354:E360" si="221">C215</f>
        <v>R_ES-SH-SD_GAS</v>
      </c>
      <c r="D354" t="str">
        <f t="shared" si="221"/>
        <v>UP</v>
      </c>
      <c r="E354" t="str">
        <f t="shared" si="221"/>
        <v>R_ES-SD-SpHeat</v>
      </c>
      <c r="F354" s="794">
        <f t="shared" ref="F354:AP354" ca="1" si="222">F215*F126</f>
        <v>4.6540779069819488E-2</v>
      </c>
      <c r="G354" s="794">
        <f t="shared" ca="1" si="222"/>
        <v>5.2574314986528495E-2</v>
      </c>
      <c r="H354" s="496">
        <f t="shared" ca="1" si="222"/>
        <v>1.8105088048783923E-2</v>
      </c>
      <c r="I354" s="496">
        <f t="shared" ca="1" si="222"/>
        <v>4.8657066219788513E-2</v>
      </c>
      <c r="J354" s="496">
        <f t="shared" ca="1" si="222"/>
        <v>0.10109474479856773</v>
      </c>
      <c r="K354" s="496">
        <f t="shared" ca="1" si="222"/>
        <v>4.4700078814910546E-2</v>
      </c>
      <c r="L354" s="496">
        <f t="shared" ca="1" si="222"/>
        <v>4.5368030910363434E-2</v>
      </c>
      <c r="M354" s="496">
        <f t="shared" ca="1" si="222"/>
        <v>3.9346247721650032E-2</v>
      </c>
      <c r="N354" s="496">
        <f t="shared" ca="1" si="222"/>
        <v>4.567787062877221E-2</v>
      </c>
      <c r="O354" s="496">
        <f t="shared" ca="1" si="222"/>
        <v>2.8755656000722791E-2</v>
      </c>
      <c r="P354" s="496">
        <f t="shared" ca="1" si="222"/>
        <v>7.2242842453936404E-2</v>
      </c>
      <c r="Q354" s="496">
        <f t="shared" ca="1" si="222"/>
        <v>3.9976480530584328E-2</v>
      </c>
      <c r="R354" s="496">
        <f t="shared" ca="1" si="222"/>
        <v>3.6960297366685851E-2</v>
      </c>
      <c r="S354" s="496">
        <f t="shared" ca="1" si="222"/>
        <v>2.8327606961183693E-2</v>
      </c>
      <c r="T354" s="496">
        <f t="shared" ca="1" si="222"/>
        <v>3.4309119100604454E-2</v>
      </c>
      <c r="U354" s="496">
        <f t="shared" ca="1" si="222"/>
        <v>3.8838125363994988E-2</v>
      </c>
      <c r="V354" s="496">
        <f t="shared" ca="1" si="222"/>
        <v>3.0270473571448322E-2</v>
      </c>
      <c r="W354" s="496">
        <f t="shared" ca="1" si="222"/>
        <v>4.230063522417836E-2</v>
      </c>
      <c r="X354" s="496">
        <f t="shared" ca="1" si="222"/>
        <v>3.5218764791884398E-2</v>
      </c>
      <c r="Y354" s="496">
        <f t="shared" ca="1" si="222"/>
        <v>5.9772288905768522E-2</v>
      </c>
      <c r="Z354" s="496">
        <f t="shared" ca="1" si="222"/>
        <v>4.6927286901379775E-2</v>
      </c>
      <c r="AA354" s="496">
        <f t="shared" ca="1" si="222"/>
        <v>0.14384192506078128</v>
      </c>
      <c r="AB354" s="496">
        <f t="shared" ca="1" si="222"/>
        <v>4.7518144724767078E-2</v>
      </c>
      <c r="AC354" s="496">
        <f t="shared" ca="1" si="222"/>
        <v>3.4581270606718832E-2</v>
      </c>
      <c r="AD354" s="496">
        <f t="shared" ca="1" si="222"/>
        <v>4.2768645539009595E-2</v>
      </c>
      <c r="AE354" s="496">
        <f t="shared" ca="1" si="222"/>
        <v>1.2601058182513725E-2</v>
      </c>
      <c r="AF354" s="496">
        <f t="shared" ca="1" si="222"/>
        <v>2.9716187941084219E-2</v>
      </c>
      <c r="AG354" s="496">
        <f t="shared" ca="1" si="222"/>
        <v>5.2828056153568004E-2</v>
      </c>
      <c r="AH354" s="496">
        <f t="shared" ca="1" si="222"/>
        <v>3.8466106398866391E-2</v>
      </c>
      <c r="AI354" s="496">
        <f t="shared" ca="1" si="222"/>
        <v>4.0827888410128958E-2</v>
      </c>
      <c r="AJ354" s="496">
        <f t="shared" ca="1" si="222"/>
        <v>4.4117841134259185E-2</v>
      </c>
      <c r="AK354" s="496">
        <f t="shared" ca="1" si="222"/>
        <v>3.5684645783117808E-2</v>
      </c>
      <c r="AL354" s="496">
        <f t="shared" ca="1" si="222"/>
        <v>1.5986481698983604E-2</v>
      </c>
      <c r="AM354" s="496">
        <f t="shared" ca="1" si="222"/>
        <v>3.1077230612741133E-2</v>
      </c>
      <c r="AN354" s="496">
        <f t="shared" ca="1" si="222"/>
        <v>2.7792253573044667E-2</v>
      </c>
      <c r="AO354" s="496">
        <f t="shared" ca="1" si="222"/>
        <v>2.2668205139533989E-2</v>
      </c>
      <c r="AP354" s="496">
        <f t="shared" ca="1" si="222"/>
        <v>2.5141223390797992E-2</v>
      </c>
    </row>
    <row r="355" spans="3:42">
      <c r="C355" t="str">
        <f t="shared" si="221"/>
        <v>R_ES-SH-SD_HET</v>
      </c>
      <c r="D355" t="str">
        <f t="shared" si="221"/>
        <v>UP</v>
      </c>
      <c r="E355" t="str">
        <f t="shared" si="221"/>
        <v>R_ES-SD-SpHeat</v>
      </c>
      <c r="F355" s="794">
        <f t="shared" ref="F355:AP355" ca="1" si="223">F216*F127</f>
        <v>4.4989263365056785E-2</v>
      </c>
      <c r="G355" s="794">
        <f t="shared" ca="1" si="223"/>
        <v>3.8051979936371598E-2</v>
      </c>
      <c r="H355" s="496">
        <f t="shared" ca="1" si="223"/>
        <v>1.5758562301485316E-2</v>
      </c>
      <c r="I355" s="496">
        <f t="shared" ca="1" si="223"/>
        <v>4.865706621978852E-2</v>
      </c>
      <c r="J355" s="496">
        <f t="shared" ca="1" si="223"/>
        <v>0.11553685119836313</v>
      </c>
      <c r="K355" s="496">
        <f t="shared" ca="1" si="223"/>
        <v>3.8551228618102687E-2</v>
      </c>
      <c r="L355" s="496">
        <f t="shared" ca="1" si="223"/>
        <v>4.5209066510607784E-2</v>
      </c>
      <c r="M355" s="496">
        <f t="shared" ca="1" si="223"/>
        <v>3.8046965954950072E-2</v>
      </c>
      <c r="N355" s="496">
        <f t="shared" ca="1" si="223"/>
        <v>4.2532315664223705E-2</v>
      </c>
      <c r="O355" s="496">
        <f t="shared" ca="1" si="223"/>
        <v>4.0269479572043465E-2</v>
      </c>
      <c r="P355" s="496">
        <f t="shared" ca="1" si="223"/>
        <v>7.1836859618261223E-2</v>
      </c>
      <c r="Q355" s="496">
        <f t="shared" ca="1" si="223"/>
        <v>3.8490732831522892E-2</v>
      </c>
      <c r="R355" s="496">
        <f t="shared" ca="1" si="223"/>
        <v>3.4846829006546731E-2</v>
      </c>
      <c r="S355" s="496">
        <f t="shared" ca="1" si="223"/>
        <v>2.6596735694102005E-2</v>
      </c>
      <c r="T355" s="496">
        <f t="shared" ca="1" si="223"/>
        <v>3.1381342927887516E-2</v>
      </c>
      <c r="U355" s="496">
        <f t="shared" ca="1" si="223"/>
        <v>2.2723494515689054E-2</v>
      </c>
      <c r="V355" s="496">
        <f t="shared" ca="1" si="223"/>
        <v>8.8133619566021268E-2</v>
      </c>
      <c r="W355" s="496">
        <f t="shared" ca="1" si="223"/>
        <v>4.1531905137245861E-2</v>
      </c>
      <c r="X355" s="496">
        <f t="shared" ca="1" si="223"/>
        <v>3.1222013623455072E-2</v>
      </c>
      <c r="Y355" s="496">
        <f t="shared" ca="1" si="223"/>
        <v>2.8003677060673367E-2</v>
      </c>
      <c r="Z355" s="496">
        <f t="shared" ca="1" si="223"/>
        <v>4.1374304782050217E-2</v>
      </c>
      <c r="AA355" s="496">
        <f t="shared" ca="1" si="223"/>
        <v>0.16439077149803577</v>
      </c>
      <c r="AB355" s="496">
        <f t="shared" ca="1" si="223"/>
        <v>4.6613785912738744E-2</v>
      </c>
      <c r="AC355" s="496">
        <f t="shared" ca="1" si="223"/>
        <v>3.4581270606718839E-2</v>
      </c>
      <c r="AD355" s="496">
        <f t="shared" ca="1" si="223"/>
        <v>3.9110372107879619E-2</v>
      </c>
      <c r="AE355" s="496">
        <f t="shared" ca="1" si="223"/>
        <v>1.177744677254468E-2</v>
      </c>
      <c r="AF355" s="496">
        <f t="shared" ca="1" si="223"/>
        <v>2.7172645355212074E-2</v>
      </c>
      <c r="AG355" s="496">
        <f t="shared" ca="1" si="223"/>
        <v>4.8858198621948644E-2</v>
      </c>
      <c r="AH355" s="496">
        <f t="shared" ca="1" si="223"/>
        <v>3.905299016458081E-2</v>
      </c>
      <c r="AI355" s="496">
        <f t="shared" ca="1" si="223"/>
        <v>3.791131650210873E-2</v>
      </c>
      <c r="AJ355" s="496">
        <f t="shared" ca="1" si="223"/>
        <v>3.8740687248349864E-2</v>
      </c>
      <c r="AK355" s="496">
        <f t="shared" ca="1" si="223"/>
        <v>3.9329878924888123E-2</v>
      </c>
      <c r="AL355" s="496">
        <f t="shared" ca="1" si="223"/>
        <v>1.5986481698983607E-2</v>
      </c>
      <c r="AM355" s="496">
        <f t="shared" ca="1" si="223"/>
        <v>3.6243626639849848E-2</v>
      </c>
      <c r="AN355" s="496">
        <f t="shared" ca="1" si="223"/>
        <v>1.5835831312766419E-2</v>
      </c>
      <c r="AO355" s="496">
        <f t="shared" ca="1" si="223"/>
        <v>2.2668205139533985E-2</v>
      </c>
      <c r="AP355" s="496">
        <f t="shared" ca="1" si="223"/>
        <v>1.5448663615989537E-2</v>
      </c>
    </row>
    <row r="356" spans="3:42">
      <c r="C356" t="str">
        <f t="shared" si="221"/>
        <v>R_ES-SH-SD_OIL</v>
      </c>
      <c r="D356" t="str">
        <f t="shared" si="221"/>
        <v>UP</v>
      </c>
      <c r="E356" t="str">
        <f t="shared" si="221"/>
        <v>R_ES-SD-SpHeat</v>
      </c>
      <c r="F356" s="794">
        <f t="shared" ref="F356:AP356" ca="1" si="224">F217*F128</f>
        <v>4.5302965042411138E-2</v>
      </c>
      <c r="G356" s="794">
        <f t="shared" ca="1" si="224"/>
        <v>4.8129427619472469E-2</v>
      </c>
      <c r="H356" s="496">
        <f t="shared" ca="1" si="224"/>
        <v>2.3398964671644273E-2</v>
      </c>
      <c r="I356" s="496">
        <f t="shared" ca="1" si="224"/>
        <v>4.8657066219788506E-2</v>
      </c>
      <c r="J356" s="496">
        <f t="shared" ca="1" si="224"/>
        <v>1.8985117066023949E-2</v>
      </c>
      <c r="K356" s="496">
        <f t="shared" ca="1" si="224"/>
        <v>2.6762168026052337E-2</v>
      </c>
      <c r="L356" s="496">
        <f t="shared" ca="1" si="224"/>
        <v>4.5571457403095331E-2</v>
      </c>
      <c r="M356" s="496">
        <f t="shared" ca="1" si="224"/>
        <v>3.7994601544226826E-2</v>
      </c>
      <c r="N356" s="496">
        <f t="shared" ca="1" si="224"/>
        <v>3.8731207302172457E-2</v>
      </c>
      <c r="O356" s="496">
        <f t="shared" ca="1" si="224"/>
        <v>2.7358416446329463E-2</v>
      </c>
      <c r="P356" s="496">
        <f t="shared" ca="1" si="224"/>
        <v>7.108502934616022E-2</v>
      </c>
      <c r="Q356" s="496">
        <f t="shared" ca="1" si="224"/>
        <v>3.7838683349805127E-2</v>
      </c>
      <c r="R356" s="496">
        <f t="shared" ca="1" si="224"/>
        <v>3.4383313399797472E-2</v>
      </c>
      <c r="S356" s="496">
        <f t="shared" ca="1" si="224"/>
        <v>2.8115690328549152E-2</v>
      </c>
      <c r="T356" s="496">
        <f t="shared" ca="1" si="224"/>
        <v>2.3643373819400692E-2</v>
      </c>
      <c r="U356" s="496">
        <f t="shared" ca="1" si="224"/>
        <v>3.8964934569619601E-2</v>
      </c>
      <c r="V356" s="496">
        <f t="shared" ca="1" si="224"/>
        <v>8.8133619566021282E-2</v>
      </c>
      <c r="W356" s="496">
        <f t="shared" ca="1" si="224"/>
        <v>4.1780190978698679E-2</v>
      </c>
      <c r="X356" s="496">
        <f t="shared" ca="1" si="224"/>
        <v>3.809129417828306E-2</v>
      </c>
      <c r="Y356" s="496">
        <f t="shared" ca="1" si="224"/>
        <v>6.0030876708076004E-2</v>
      </c>
      <c r="Z356" s="496">
        <f t="shared" ca="1" si="224"/>
        <v>4.5112049938893457E-2</v>
      </c>
      <c r="AA356" s="496">
        <f t="shared" ca="1" si="224"/>
        <v>0.14384192506078128</v>
      </c>
      <c r="AB356" s="496">
        <f t="shared" ca="1" si="224"/>
        <v>4.9350585403239222E-2</v>
      </c>
      <c r="AC356" s="496">
        <f t="shared" ca="1" si="224"/>
        <v>3.4581270606718839E-2</v>
      </c>
      <c r="AD356" s="496">
        <f t="shared" ca="1" si="224"/>
        <v>4.1258969887880789E-2</v>
      </c>
      <c r="AE356" s="496">
        <f t="shared" ca="1" si="224"/>
        <v>1.2477728266194662E-2</v>
      </c>
      <c r="AF356" s="496">
        <f t="shared" ca="1" si="224"/>
        <v>1.9646777198331803E-2</v>
      </c>
      <c r="AG356" s="496">
        <f t="shared" ca="1" si="224"/>
        <v>5.4864732880394736E-2</v>
      </c>
      <c r="AH356" s="496">
        <f t="shared" ca="1" si="224"/>
        <v>4.1708120109781227E-2</v>
      </c>
      <c r="AI356" s="496">
        <f t="shared" ca="1" si="224"/>
        <v>2.6819526504177897E-2</v>
      </c>
      <c r="AJ356" s="496">
        <f t="shared" ca="1" si="224"/>
        <v>4.5007381855213698E-2</v>
      </c>
      <c r="AK356" s="496">
        <f t="shared" ca="1" si="224"/>
        <v>1.4311640817654377E-2</v>
      </c>
      <c r="AL356" s="496">
        <f t="shared" ca="1" si="224"/>
        <v>2.6512483195036917E-2</v>
      </c>
      <c r="AM356" s="496">
        <f t="shared" ca="1" si="224"/>
        <v>3.2772253822387847E-2</v>
      </c>
      <c r="AN356" s="496">
        <f t="shared" ca="1" si="224"/>
        <v>1.5835831312766412E-2</v>
      </c>
      <c r="AO356" s="496">
        <f t="shared" ca="1" si="224"/>
        <v>2.2668205139533989E-2</v>
      </c>
      <c r="AP356" s="496">
        <f t="shared" ca="1" si="224"/>
        <v>1.5448663615989539E-2</v>
      </c>
    </row>
    <row r="357" spans="3:42">
      <c r="C357" t="str">
        <f t="shared" si="221"/>
        <v>R_ES-SH-SD_BIO</v>
      </c>
      <c r="D357" t="str">
        <f t="shared" si="221"/>
        <v>UP</v>
      </c>
      <c r="E357" t="str">
        <f t="shared" si="221"/>
        <v>R_ES-SD-SpHeat</v>
      </c>
      <c r="F357" s="794">
        <f t="shared" ref="F357:AP357" ca="1" si="225">F218*F129</f>
        <v>4.7574963623008872E-2</v>
      </c>
      <c r="G357" s="794">
        <f t="shared" ca="1" si="225"/>
        <v>5.3672722900041679E-2</v>
      </c>
      <c r="H357" s="496">
        <f t="shared" ca="1" si="225"/>
        <v>1.7365204672345064E-2</v>
      </c>
      <c r="I357" s="496">
        <f t="shared" ca="1" si="225"/>
        <v>4.8657066219788506E-2</v>
      </c>
      <c r="J357" s="496">
        <f t="shared" ca="1" si="225"/>
        <v>1.6466818647754934E-2</v>
      </c>
      <c r="K357" s="496">
        <f t="shared" ca="1" si="225"/>
        <v>4.1742847623948018E-2</v>
      </c>
      <c r="L357" s="496">
        <f t="shared" ca="1" si="225"/>
        <v>4.9992277188084557E-2</v>
      </c>
      <c r="M357" s="496">
        <f t="shared" ca="1" si="225"/>
        <v>4.0451519166000351E-2</v>
      </c>
      <c r="N357" s="496">
        <f t="shared" ca="1" si="225"/>
        <v>4.4749494035750743E-2</v>
      </c>
      <c r="O357" s="496">
        <f t="shared" ca="1" si="225"/>
        <v>2.7247143748804395E-2</v>
      </c>
      <c r="P357" s="496">
        <f t="shared" ca="1" si="225"/>
        <v>7.760587487073059E-2</v>
      </c>
      <c r="Q357" s="496">
        <f t="shared" ca="1" si="225"/>
        <v>4.1294717091387843E-2</v>
      </c>
      <c r="R357" s="496">
        <f t="shared" ca="1" si="225"/>
        <v>3.5275031847053023E-2</v>
      </c>
      <c r="S357" s="496">
        <f t="shared" ca="1" si="225"/>
        <v>2.8465021141836567E-2</v>
      </c>
      <c r="T357" s="496">
        <f t="shared" ca="1" si="225"/>
        <v>3.5663440068300474E-2</v>
      </c>
      <c r="U357" s="496">
        <f t="shared" ca="1" si="225"/>
        <v>3.8291671588114952E-2</v>
      </c>
      <c r="V357" s="496">
        <f t="shared" ca="1" si="225"/>
        <v>3.2633821902981835E-2</v>
      </c>
      <c r="W357" s="496">
        <f t="shared" ca="1" si="225"/>
        <v>4.4766820621973985E-2</v>
      </c>
      <c r="X357" s="496">
        <f t="shared" ca="1" si="225"/>
        <v>3.3063296715708033E-2</v>
      </c>
      <c r="Y357" s="496">
        <f t="shared" ca="1" si="225"/>
        <v>6.3890218575481772E-2</v>
      </c>
      <c r="Z357" s="496">
        <f t="shared" ca="1" si="225"/>
        <v>3.9549194236384914E-2</v>
      </c>
      <c r="AA357" s="496">
        <f t="shared" ca="1" si="225"/>
        <v>1.4798510387066787E-2</v>
      </c>
      <c r="AB357" s="496">
        <f t="shared" ca="1" si="225"/>
        <v>4.3157518308385524E-2</v>
      </c>
      <c r="AC357" s="496">
        <f t="shared" ca="1" si="225"/>
        <v>3.4581270606718832E-2</v>
      </c>
      <c r="AD357" s="496">
        <f t="shared" ca="1" si="225"/>
        <v>4.2935407206074229E-2</v>
      </c>
      <c r="AE357" s="496">
        <f t="shared" ca="1" si="225"/>
        <v>1.1817068512457767E-2</v>
      </c>
      <c r="AF357" s="496">
        <f t="shared" ca="1" si="225"/>
        <v>3.097772259933837E-2</v>
      </c>
      <c r="AG357" s="496">
        <f t="shared" ca="1" si="225"/>
        <v>5.3159034018975163E-2</v>
      </c>
      <c r="AH357" s="496">
        <f t="shared" ca="1" si="225"/>
        <v>3.856512454047123E-2</v>
      </c>
      <c r="AI357" s="496">
        <f t="shared" ca="1" si="225"/>
        <v>4.1933374117507666E-2</v>
      </c>
      <c r="AJ357" s="496">
        <f t="shared" ca="1" si="225"/>
        <v>4.787647284948636E-2</v>
      </c>
      <c r="AK357" s="496">
        <f t="shared" ca="1" si="225"/>
        <v>1.4311640817654375E-2</v>
      </c>
      <c r="AL357" s="496">
        <f t="shared" ca="1" si="225"/>
        <v>1.59864816989836E-2</v>
      </c>
      <c r="AM357" s="496">
        <f t="shared" ca="1" si="225"/>
        <v>3.1351502588623376E-2</v>
      </c>
      <c r="AN357" s="496">
        <f t="shared" ca="1" si="225"/>
        <v>1.5835831312766415E-2</v>
      </c>
      <c r="AO357" s="496">
        <f t="shared" ca="1" si="225"/>
        <v>2.2668205139533989E-2</v>
      </c>
      <c r="AP357" s="496">
        <f t="shared" ca="1" si="225"/>
        <v>1.5448663615989537E-2</v>
      </c>
    </row>
    <row r="358" spans="3:42">
      <c r="C358" t="str">
        <f t="shared" si="221"/>
        <v>R_ES-SH-SD_COA</v>
      </c>
      <c r="D358" t="str">
        <f t="shared" si="221"/>
        <v>UP</v>
      </c>
      <c r="E358" t="str">
        <f t="shared" si="221"/>
        <v>R_ES-SD-SpHeat</v>
      </c>
      <c r="F358" s="794">
        <f t="shared" ref="F358:AP358" ca="1" si="226">F219*F130</f>
        <v>4.8258814731735301E-2</v>
      </c>
      <c r="G358" s="794">
        <f t="shared" ca="1" si="226"/>
        <v>4.6411567266678742E-2</v>
      </c>
      <c r="H358" s="496">
        <f t="shared" ca="1" si="226"/>
        <v>1.6189753863350601E-2</v>
      </c>
      <c r="I358" s="496">
        <f t="shared" ca="1" si="226"/>
        <v>4.865706621978852E-2</v>
      </c>
      <c r="J358" s="496">
        <f t="shared" ca="1" si="226"/>
        <v>0.10109474479856773</v>
      </c>
      <c r="K358" s="496">
        <f t="shared" ca="1" si="226"/>
        <v>4.0439571581915357E-2</v>
      </c>
      <c r="L358" s="496">
        <f t="shared" ca="1" si="226"/>
        <v>4.6031098262946012E-2</v>
      </c>
      <c r="M358" s="496">
        <f t="shared" ca="1" si="226"/>
        <v>1.9859522042295522E-2</v>
      </c>
      <c r="N358" s="496">
        <f t="shared" ca="1" si="226"/>
        <v>3.6980577679226939E-2</v>
      </c>
      <c r="O358" s="496">
        <f t="shared" ca="1" si="226"/>
        <v>2.5927790137514568E-2</v>
      </c>
      <c r="P358" s="496">
        <f t="shared" ca="1" si="226"/>
        <v>7.2304721399071611E-2</v>
      </c>
      <c r="Q358" s="496">
        <f t="shared" ca="1" si="226"/>
        <v>4.1339681879715547E-2</v>
      </c>
      <c r="R358" s="496">
        <f t="shared" ca="1" si="226"/>
        <v>4.771547345989223E-2</v>
      </c>
      <c r="S358" s="496">
        <f t="shared" ca="1" si="226"/>
        <v>3.0624439881305095E-2</v>
      </c>
      <c r="T358" s="496">
        <f t="shared" ca="1" si="226"/>
        <v>2.872129157038018E-2</v>
      </c>
      <c r="U358" s="496">
        <f t="shared" ca="1" si="226"/>
        <v>3.4049391765426811E-2</v>
      </c>
      <c r="V358" s="496">
        <f t="shared" ca="1" si="226"/>
        <v>2.6944189027491818E-2</v>
      </c>
      <c r="W358" s="496">
        <f t="shared" ca="1" si="226"/>
        <v>3.8142742974471767E-2</v>
      </c>
      <c r="X358" s="496">
        <f t="shared" ca="1" si="226"/>
        <v>3.2175691231238882E-2</v>
      </c>
      <c r="Y358" s="496">
        <f t="shared" ca="1" si="226"/>
        <v>5.7336069858553787E-2</v>
      </c>
      <c r="Z358" s="496">
        <f t="shared" ca="1" si="226"/>
        <v>5.5043799627290481E-2</v>
      </c>
      <c r="AA358" s="496">
        <f t="shared" ca="1" si="226"/>
        <v>0.14384192506078128</v>
      </c>
      <c r="AB358" s="496">
        <f t="shared" ca="1" si="226"/>
        <v>4.1347781596784657E-2</v>
      </c>
      <c r="AC358" s="496">
        <f t="shared" ca="1" si="226"/>
        <v>2.9781531582879578E-2</v>
      </c>
      <c r="AD358" s="496">
        <f t="shared" ca="1" si="226"/>
        <v>4.1282490845573352E-2</v>
      </c>
      <c r="AE358" s="496">
        <f t="shared" ca="1" si="226"/>
        <v>2.7306657489127632E-2</v>
      </c>
      <c r="AF358" s="496">
        <f t="shared" ca="1" si="226"/>
        <v>1.5014696440800395E-2</v>
      </c>
      <c r="AG358" s="496">
        <f t="shared" ca="1" si="226"/>
        <v>2.5881329467411063E-2</v>
      </c>
      <c r="AH358" s="496">
        <f t="shared" ca="1" si="226"/>
        <v>3.8848751466931085E-2</v>
      </c>
      <c r="AI358" s="496">
        <f t="shared" ca="1" si="226"/>
        <v>4.0064854401281713E-2</v>
      </c>
      <c r="AJ358" s="496">
        <f t="shared" ca="1" si="226"/>
        <v>4.1829270178493715E-2</v>
      </c>
      <c r="AK358" s="496">
        <f t="shared" ca="1" si="226"/>
        <v>3.2018784871265374E-2</v>
      </c>
      <c r="AL358" s="496">
        <f t="shared" ca="1" si="226"/>
        <v>1.5986481698983604E-2</v>
      </c>
      <c r="AM358" s="496">
        <f t="shared" ca="1" si="226"/>
        <v>3.3838182706147163E-2</v>
      </c>
      <c r="AN358" s="496">
        <f t="shared" ca="1" si="226"/>
        <v>2.4937173081425616E-2</v>
      </c>
      <c r="AO358" s="496">
        <f t="shared" ca="1" si="226"/>
        <v>2.2668205139533985E-2</v>
      </c>
      <c r="AP358" s="496">
        <f t="shared" ca="1" si="226"/>
        <v>1.5448663615989539E-2</v>
      </c>
    </row>
    <row r="359" spans="3:42">
      <c r="C359" t="str">
        <f t="shared" si="221"/>
        <v>R_ES-SH-SD_LPG</v>
      </c>
      <c r="D359" t="str">
        <f t="shared" si="221"/>
        <v>UP</v>
      </c>
      <c r="E359" t="str">
        <f t="shared" si="221"/>
        <v>R_ES-SD-SpHeat</v>
      </c>
      <c r="F359" s="794">
        <f t="shared" ref="F359:AP359" ca="1" si="227">F220*F131</f>
        <v>4.49662919010059E-2</v>
      </c>
      <c r="G359" s="794">
        <f t="shared" ca="1" si="227"/>
        <v>5.0203311908382571E-2</v>
      </c>
      <c r="H359" s="496">
        <f t="shared" ca="1" si="227"/>
        <v>1.6949612148217913E-2</v>
      </c>
      <c r="I359" s="496">
        <f t="shared" ca="1" si="227"/>
        <v>3.7255906369682242E-2</v>
      </c>
      <c r="J359" s="496">
        <f t="shared" ca="1" si="227"/>
        <v>1.9131076887685144E-2</v>
      </c>
      <c r="K359" s="496">
        <f t="shared" ca="1" si="227"/>
        <v>2.6762168026052337E-2</v>
      </c>
      <c r="L359" s="496">
        <f t="shared" ca="1" si="227"/>
        <v>4.5400298288338914E-2</v>
      </c>
      <c r="M359" s="496">
        <f t="shared" ca="1" si="227"/>
        <v>3.9213712099805072E-2</v>
      </c>
      <c r="N359" s="496">
        <f t="shared" ca="1" si="227"/>
        <v>3.6585697085546355E-2</v>
      </c>
      <c r="O359" s="496">
        <f t="shared" ca="1" si="227"/>
        <v>2.7031976378219032E-2</v>
      </c>
      <c r="P359" s="496">
        <f t="shared" ca="1" si="227"/>
        <v>3.6151517412077921E-2</v>
      </c>
      <c r="Q359" s="496">
        <f t="shared" ca="1" si="227"/>
        <v>3.9564555029426206E-2</v>
      </c>
      <c r="R359" s="496">
        <f t="shared" ca="1" si="227"/>
        <v>5.2805152737982031E-2</v>
      </c>
      <c r="S359" s="496">
        <f t="shared" ca="1" si="227"/>
        <v>2.8337474102292304E-2</v>
      </c>
      <c r="T359" s="496">
        <f t="shared" ca="1" si="227"/>
        <v>3.4251954308949742E-2</v>
      </c>
      <c r="U359" s="496">
        <f t="shared" ca="1" si="227"/>
        <v>3.7847807986736495E-2</v>
      </c>
      <c r="V359" s="496">
        <f t="shared" ca="1" si="227"/>
        <v>3.1525164416193859E-2</v>
      </c>
      <c r="W359" s="496">
        <f t="shared" ca="1" si="227"/>
        <v>4.2129167444684708E-2</v>
      </c>
      <c r="X359" s="496">
        <f t="shared" ca="1" si="227"/>
        <v>3.697403481590128E-2</v>
      </c>
      <c r="Y359" s="496">
        <f t="shared" ca="1" si="227"/>
        <v>2.842574616273379E-2</v>
      </c>
      <c r="Z359" s="496">
        <f t="shared" ca="1" si="227"/>
        <v>3.7444550442908543E-2</v>
      </c>
      <c r="AA359" s="496">
        <f t="shared" ca="1" si="227"/>
        <v>1.4960813875810259E-2</v>
      </c>
      <c r="AB359" s="496">
        <f t="shared" ca="1" si="227"/>
        <v>2.9621318429579682E-2</v>
      </c>
      <c r="AC359" s="496">
        <f t="shared" ca="1" si="227"/>
        <v>3.4844903988700465E-2</v>
      </c>
      <c r="AD359" s="496">
        <f t="shared" ca="1" si="227"/>
        <v>3.3607805927205171E-2</v>
      </c>
      <c r="AE359" s="496">
        <f t="shared" ca="1" si="227"/>
        <v>1.2058721305511791E-2</v>
      </c>
      <c r="AF359" s="496">
        <f t="shared" ca="1" si="227"/>
        <v>3.1577849317406079E-2</v>
      </c>
      <c r="AG359" s="496">
        <f t="shared" ca="1" si="227"/>
        <v>2.9631782172627599E-2</v>
      </c>
      <c r="AH359" s="496">
        <f t="shared" ca="1" si="227"/>
        <v>4.011295887192614E-2</v>
      </c>
      <c r="AI359" s="496">
        <f t="shared" ca="1" si="227"/>
        <v>2.6819526504177897E-2</v>
      </c>
      <c r="AJ359" s="496">
        <f t="shared" ca="1" si="227"/>
        <v>4.4033295414024211E-2</v>
      </c>
      <c r="AK359" s="496">
        <f t="shared" ca="1" si="227"/>
        <v>3.5434141233722447E-2</v>
      </c>
      <c r="AL359" s="496">
        <f t="shared" ca="1" si="227"/>
        <v>2.6512483195036917E-2</v>
      </c>
      <c r="AM359" s="496">
        <f t="shared" ca="1" si="227"/>
        <v>3.2772253822387847E-2</v>
      </c>
      <c r="AN359" s="496">
        <f t="shared" ca="1" si="227"/>
        <v>2.7597153248935778E-2</v>
      </c>
      <c r="AO359" s="496">
        <f t="shared" ca="1" si="227"/>
        <v>2.2668205139533985E-2</v>
      </c>
      <c r="AP359" s="496">
        <f t="shared" ca="1" si="227"/>
        <v>1.5448663615989539E-2</v>
      </c>
    </row>
    <row r="360" spans="3:42">
      <c r="C360" t="str">
        <f t="shared" si="221"/>
        <v>R_ES-SH-SD_GEO</v>
      </c>
      <c r="D360" t="str">
        <f t="shared" si="221"/>
        <v>UP</v>
      </c>
      <c r="E360" t="str">
        <f t="shared" si="221"/>
        <v>R_ES-SD-SpHeat</v>
      </c>
      <c r="F360" s="794">
        <f t="shared" ref="F360:AP360" ca="1" si="228">F359</f>
        <v>4.49662919010059E-2</v>
      </c>
      <c r="G360" s="794">
        <f t="shared" ca="1" si="228"/>
        <v>5.0203311908382571E-2</v>
      </c>
      <c r="H360" s="496">
        <f t="shared" ca="1" si="228"/>
        <v>1.6949612148217913E-2</v>
      </c>
      <c r="I360" s="496">
        <f t="shared" ca="1" si="228"/>
        <v>3.7255906369682242E-2</v>
      </c>
      <c r="J360" s="496">
        <f t="shared" ca="1" si="228"/>
        <v>1.9131076887685144E-2</v>
      </c>
      <c r="K360" s="496">
        <f t="shared" ca="1" si="228"/>
        <v>2.6762168026052337E-2</v>
      </c>
      <c r="L360" s="496">
        <f t="shared" ca="1" si="228"/>
        <v>4.5400298288338914E-2</v>
      </c>
      <c r="M360" s="496">
        <f t="shared" ca="1" si="228"/>
        <v>3.9213712099805072E-2</v>
      </c>
      <c r="N360" s="496">
        <f t="shared" ca="1" si="228"/>
        <v>3.6585697085546355E-2</v>
      </c>
      <c r="O360" s="496">
        <f t="shared" ca="1" si="228"/>
        <v>2.7031976378219032E-2</v>
      </c>
      <c r="P360" s="496">
        <f t="shared" ca="1" si="228"/>
        <v>3.6151517412077921E-2</v>
      </c>
      <c r="Q360" s="496">
        <f t="shared" ca="1" si="228"/>
        <v>3.9564555029426206E-2</v>
      </c>
      <c r="R360" s="496">
        <f t="shared" ca="1" si="228"/>
        <v>5.2805152737982031E-2</v>
      </c>
      <c r="S360" s="496">
        <f t="shared" ca="1" si="228"/>
        <v>2.8337474102292304E-2</v>
      </c>
      <c r="T360" s="496">
        <f t="shared" ca="1" si="228"/>
        <v>3.4251954308949742E-2</v>
      </c>
      <c r="U360" s="496">
        <f t="shared" ca="1" si="228"/>
        <v>3.7847807986736495E-2</v>
      </c>
      <c r="V360" s="496">
        <f t="shared" ca="1" si="228"/>
        <v>3.1525164416193859E-2</v>
      </c>
      <c r="W360" s="496">
        <f t="shared" ca="1" si="228"/>
        <v>4.2129167444684708E-2</v>
      </c>
      <c r="X360" s="496">
        <f t="shared" ca="1" si="228"/>
        <v>3.697403481590128E-2</v>
      </c>
      <c r="Y360" s="496">
        <f t="shared" ca="1" si="228"/>
        <v>2.842574616273379E-2</v>
      </c>
      <c r="Z360" s="496">
        <f t="shared" ca="1" si="228"/>
        <v>3.7444550442908543E-2</v>
      </c>
      <c r="AA360" s="496">
        <f t="shared" ca="1" si="228"/>
        <v>1.4960813875810259E-2</v>
      </c>
      <c r="AB360" s="496">
        <f t="shared" ca="1" si="228"/>
        <v>2.9621318429579682E-2</v>
      </c>
      <c r="AC360" s="496">
        <f t="shared" ca="1" si="228"/>
        <v>3.4844903988700465E-2</v>
      </c>
      <c r="AD360" s="496">
        <f t="shared" ca="1" si="228"/>
        <v>3.3607805927205171E-2</v>
      </c>
      <c r="AE360" s="496">
        <f t="shared" ca="1" si="228"/>
        <v>1.2058721305511791E-2</v>
      </c>
      <c r="AF360" s="496">
        <f t="shared" ca="1" si="228"/>
        <v>3.1577849317406079E-2</v>
      </c>
      <c r="AG360" s="496">
        <f t="shared" ca="1" si="228"/>
        <v>2.9631782172627599E-2</v>
      </c>
      <c r="AH360" s="496">
        <f t="shared" ca="1" si="228"/>
        <v>4.011295887192614E-2</v>
      </c>
      <c r="AI360" s="496">
        <f t="shared" ca="1" si="228"/>
        <v>2.6819526504177897E-2</v>
      </c>
      <c r="AJ360" s="496">
        <f t="shared" ca="1" si="228"/>
        <v>4.4033295414024211E-2</v>
      </c>
      <c r="AK360" s="496">
        <f t="shared" ca="1" si="228"/>
        <v>3.5434141233722447E-2</v>
      </c>
      <c r="AL360" s="496">
        <f t="shared" ca="1" si="228"/>
        <v>2.6512483195036917E-2</v>
      </c>
      <c r="AM360" s="496">
        <f t="shared" ca="1" si="228"/>
        <v>3.2772253822387847E-2</v>
      </c>
      <c r="AN360" s="496">
        <f t="shared" ca="1" si="228"/>
        <v>2.7597153248935778E-2</v>
      </c>
      <c r="AO360" s="496">
        <f t="shared" ca="1" si="228"/>
        <v>2.2668205139533985E-2</v>
      </c>
      <c r="AP360" s="496">
        <f t="shared" ca="1" si="228"/>
        <v>1.5448663615989539E-2</v>
      </c>
    </row>
    <row r="362" spans="3:42">
      <c r="E362" s="533" t="s">
        <v>914</v>
      </c>
    </row>
    <row r="363" spans="3:42" ht="15" thickBot="1">
      <c r="C363" s="539" t="s">
        <v>545</v>
      </c>
      <c r="D363" s="539" t="s">
        <v>554</v>
      </c>
      <c r="E363" s="539" t="s">
        <v>552</v>
      </c>
      <c r="F363" s="540" t="s">
        <v>88</v>
      </c>
      <c r="G363" s="540" t="s">
        <v>89</v>
      </c>
      <c r="H363" s="540" t="s">
        <v>90</v>
      </c>
      <c r="I363" s="540" t="s">
        <v>91</v>
      </c>
      <c r="J363" s="540" t="s">
        <v>92</v>
      </c>
      <c r="K363" s="540" t="s">
        <v>93</v>
      </c>
      <c r="L363" s="540" t="s">
        <v>94</v>
      </c>
      <c r="M363" s="540" t="s">
        <v>95</v>
      </c>
      <c r="N363" s="540" t="s">
        <v>96</v>
      </c>
      <c r="O363" s="540" t="s">
        <v>97</v>
      </c>
      <c r="P363" s="540" t="s">
        <v>98</v>
      </c>
      <c r="Q363" s="540" t="s">
        <v>99</v>
      </c>
      <c r="R363" s="540" t="s">
        <v>205</v>
      </c>
      <c r="S363" s="540" t="s">
        <v>118</v>
      </c>
      <c r="T363" s="540" t="s">
        <v>100</v>
      </c>
      <c r="U363" s="540" t="s">
        <v>101</v>
      </c>
      <c r="V363" s="540" t="s">
        <v>102</v>
      </c>
      <c r="W363" s="540" t="s">
        <v>103</v>
      </c>
      <c r="X363" s="540" t="s">
        <v>104</v>
      </c>
      <c r="Y363" s="540" t="s">
        <v>105</v>
      </c>
      <c r="Z363" s="540" t="s">
        <v>106</v>
      </c>
      <c r="AA363" s="540" t="s">
        <v>107</v>
      </c>
      <c r="AB363" s="540" t="s">
        <v>108</v>
      </c>
      <c r="AC363" s="540" t="s">
        <v>109</v>
      </c>
      <c r="AD363" s="540" t="s">
        <v>110</v>
      </c>
      <c r="AE363" s="540" t="s">
        <v>111</v>
      </c>
      <c r="AF363" s="540" t="s">
        <v>112</v>
      </c>
      <c r="AG363" s="540" t="s">
        <v>113</v>
      </c>
      <c r="AH363" s="540" t="s">
        <v>114</v>
      </c>
      <c r="AI363" s="540" t="s">
        <v>115</v>
      </c>
      <c r="AJ363" s="540" t="s">
        <v>52</v>
      </c>
      <c r="AK363" s="540" t="s">
        <v>116</v>
      </c>
      <c r="AL363" s="540" t="s">
        <v>117</v>
      </c>
      <c r="AM363" s="540" t="s">
        <v>119</v>
      </c>
      <c r="AN363" s="540" t="s">
        <v>120</v>
      </c>
      <c r="AO363" s="540" t="s">
        <v>121</v>
      </c>
      <c r="AP363" s="540" t="s">
        <v>122</v>
      </c>
    </row>
    <row r="364" spans="3:42">
      <c r="C364" t="str">
        <f>C329</f>
        <v>R_ES-SH-FL_ELC-R</v>
      </c>
      <c r="D364" t="s">
        <v>906</v>
      </c>
      <c r="E364" t="str">
        <f>E329</f>
        <v>R_ES-FL-SpHeat</v>
      </c>
      <c r="F364" s="496">
        <f t="shared" ref="F364:AP364" ca="1" si="229">0.5*F329</f>
        <v>7.8504070524612057E-3</v>
      </c>
      <c r="G364" s="496">
        <f t="shared" ca="1" si="229"/>
        <v>1.2258499425354752E-2</v>
      </c>
      <c r="H364" s="496">
        <f t="shared" ca="1" si="229"/>
        <v>5.4566371077261425E-3</v>
      </c>
      <c r="I364" s="496">
        <f t="shared" ca="1" si="229"/>
        <v>1.0314157998051222E-2</v>
      </c>
      <c r="J364" s="496">
        <f t="shared" ca="1" si="229"/>
        <v>5.5828002010045608E-3</v>
      </c>
      <c r="K364" s="496">
        <f t="shared" ca="1" si="229"/>
        <v>9.3557072771774576E-3</v>
      </c>
      <c r="L364" s="496">
        <f t="shared" ca="1" si="229"/>
        <v>8.5489917420637964E-3</v>
      </c>
      <c r="M364" s="496">
        <f t="shared" ca="1" si="229"/>
        <v>2.2121167416957947E-3</v>
      </c>
      <c r="N364" s="496">
        <f t="shared" ca="1" si="229"/>
        <v>2.5357811118329786E-3</v>
      </c>
      <c r="O364" s="496">
        <f t="shared" ca="1" si="229"/>
        <v>8.9563209439469989E-3</v>
      </c>
      <c r="P364" s="496">
        <f t="shared" ca="1" si="229"/>
        <v>5.8233316371895513E-3</v>
      </c>
      <c r="Q364" s="496">
        <f t="shared" ca="1" si="229"/>
        <v>8.3088754162551383E-3</v>
      </c>
      <c r="R364" s="496">
        <f t="shared" ca="1" si="229"/>
        <v>1.1595368779632213E-2</v>
      </c>
      <c r="S364" s="496">
        <f t="shared" ca="1" si="229"/>
        <v>9.2758554723806706E-3</v>
      </c>
      <c r="T364" s="496">
        <f t="shared" ca="1" si="229"/>
        <v>8.3672984836326882E-3</v>
      </c>
      <c r="U364" s="496">
        <f t="shared" ca="1" si="229"/>
        <v>6.1007383268766877E-3</v>
      </c>
      <c r="V364" s="496">
        <f t="shared" ca="1" si="229"/>
        <v>2.0239857421341573E-2</v>
      </c>
      <c r="W364" s="496">
        <f t="shared" ca="1" si="229"/>
        <v>1.0270120007192132E-3</v>
      </c>
      <c r="X364" s="496">
        <f t="shared" ca="1" si="229"/>
        <v>5.767734133006892E-3</v>
      </c>
      <c r="Y364" s="496">
        <f t="shared" ca="1" si="229"/>
        <v>1.3806916076112376E-2</v>
      </c>
      <c r="Z364" s="496">
        <f t="shared" ca="1" si="229"/>
        <v>8.0438409925623084E-3</v>
      </c>
      <c r="AA364" s="496">
        <f t="shared" ca="1" si="229"/>
        <v>3.8099318804121671E-3</v>
      </c>
      <c r="AB364" s="496">
        <f t="shared" ca="1" si="229"/>
        <v>9.3663797859651222E-3</v>
      </c>
      <c r="AC364" s="496">
        <f t="shared" ca="1" si="229"/>
        <v>8.0078750200773489E-3</v>
      </c>
      <c r="AD364" s="496">
        <f t="shared" ca="1" si="229"/>
        <v>9.6533090443553359E-3</v>
      </c>
      <c r="AE364" s="496">
        <f t="shared" ca="1" si="229"/>
        <v>1.4206846178980892E-3</v>
      </c>
      <c r="AF364" s="496">
        <f t="shared" ca="1" si="229"/>
        <v>5.7204500722874982E-3</v>
      </c>
      <c r="AG364" s="496">
        <f t="shared" ca="1" si="229"/>
        <v>1.2450440329834786E-2</v>
      </c>
      <c r="AH364" s="496">
        <f t="shared" ca="1" si="229"/>
        <v>9.6150717368233725E-3</v>
      </c>
      <c r="AI364" s="496">
        <f t="shared" ca="1" si="229"/>
        <v>9.3202209571485069E-3</v>
      </c>
      <c r="AJ364" s="496">
        <f t="shared" ca="1" si="229"/>
        <v>6.6527995775280905E-3</v>
      </c>
      <c r="AK364" s="496">
        <f t="shared" ca="1" si="229"/>
        <v>3.347946074068092E-3</v>
      </c>
      <c r="AL364" s="496">
        <f t="shared" ca="1" si="229"/>
        <v>4.9262625005292073E-3</v>
      </c>
      <c r="AM364" s="496">
        <f t="shared" ca="1" si="229"/>
        <v>8.5033441542304369E-3</v>
      </c>
      <c r="AN364" s="496">
        <f t="shared" ca="1" si="229"/>
        <v>4.8078720143334619E-3</v>
      </c>
      <c r="AO364" s="496">
        <f t="shared" ca="1" si="229"/>
        <v>6.9852473505968181E-3</v>
      </c>
      <c r="AP364" s="496">
        <f t="shared" ca="1" si="229"/>
        <v>4.7605329107265519E-3</v>
      </c>
    </row>
    <row r="365" spans="3:42">
      <c r="C365" t="str">
        <f t="shared" ref="C365:C395" si="230">C330</f>
        <v>R_ES-SH-FL_GAS</v>
      </c>
      <c r="D365" t="s">
        <v>906</v>
      </c>
      <c r="E365" t="str">
        <f t="shared" ref="E365:E395" si="231">E330</f>
        <v>R_ES-FL-SpHeat</v>
      </c>
      <c r="F365" s="496">
        <f t="shared" ref="F365:AP365" ca="1" si="232">0.5*F330</f>
        <v>1.019787120419282E-2</v>
      </c>
      <c r="G365" s="496">
        <f t="shared" ca="1" si="232"/>
        <v>1.157216531915368E-2</v>
      </c>
      <c r="H365" s="496">
        <f t="shared" ca="1" si="232"/>
        <v>4.640186773995819E-3</v>
      </c>
      <c r="I365" s="496">
        <f t="shared" ca="1" si="232"/>
        <v>1.0314157998051222E-2</v>
      </c>
      <c r="J365" s="496">
        <f t="shared" ca="1" si="232"/>
        <v>2.2003542284935795E-2</v>
      </c>
      <c r="K365" s="496">
        <f t="shared" ca="1" si="232"/>
        <v>9.778896088694462E-3</v>
      </c>
      <c r="L365" s="496">
        <f t="shared" ca="1" si="232"/>
        <v>9.2896482758796934E-3</v>
      </c>
      <c r="M365" s="496">
        <f t="shared" ca="1" si="232"/>
        <v>7.9260725650160974E-3</v>
      </c>
      <c r="N365" s="496">
        <f t="shared" ca="1" si="232"/>
        <v>1.0342928929336928E-2</v>
      </c>
      <c r="O365" s="496">
        <f t="shared" ca="1" si="232"/>
        <v>8.6574983704244598E-3</v>
      </c>
      <c r="P365" s="496">
        <f t="shared" ca="1" si="232"/>
        <v>1.3016378235904973E-2</v>
      </c>
      <c r="Q365" s="496">
        <f t="shared" ca="1" si="232"/>
        <v>8.4910520697102851E-3</v>
      </c>
      <c r="R365" s="496">
        <f t="shared" ca="1" si="232"/>
        <v>1.051359239863868E-2</v>
      </c>
      <c r="S365" s="496">
        <f t="shared" ca="1" si="232"/>
        <v>8.6583243354598216E-3</v>
      </c>
      <c r="T365" s="496">
        <f t="shared" ca="1" si="232"/>
        <v>7.180538247172955E-3</v>
      </c>
      <c r="U365" s="496">
        <f t="shared" ca="1" si="232"/>
        <v>5.6924654899948588E-3</v>
      </c>
      <c r="V365" s="496">
        <f t="shared" ca="1" si="232"/>
        <v>6.9516045316129144E-3</v>
      </c>
      <c r="W365" s="496">
        <f t="shared" ca="1" si="232"/>
        <v>1.0125562163085074E-2</v>
      </c>
      <c r="X365" s="496">
        <f t="shared" ca="1" si="232"/>
        <v>7.2884334802939673E-3</v>
      </c>
      <c r="Y365" s="496">
        <f t="shared" ca="1" si="232"/>
        <v>1.6396231845222226E-2</v>
      </c>
      <c r="Z365" s="496">
        <f t="shared" ca="1" si="232"/>
        <v>9.768221034864218E-3</v>
      </c>
      <c r="AA365" s="496">
        <f t="shared" ca="1" si="232"/>
        <v>3.4534627250961056E-2</v>
      </c>
      <c r="AB365" s="496">
        <f t="shared" ca="1" si="232"/>
        <v>9.9845230098696402E-3</v>
      </c>
      <c r="AC365" s="496">
        <f t="shared" ca="1" si="232"/>
        <v>8.0078750200773471E-3</v>
      </c>
      <c r="AD365" s="496">
        <f t="shared" ca="1" si="232"/>
        <v>7.9099226554357992E-3</v>
      </c>
      <c r="AE365" s="496">
        <f t="shared" ca="1" si="232"/>
        <v>2.8809488440368698E-3</v>
      </c>
      <c r="AF365" s="496">
        <f t="shared" ca="1" si="232"/>
        <v>4.7010335562113707E-3</v>
      </c>
      <c r="AG365" s="496">
        <f t="shared" ca="1" si="232"/>
        <v>1.232067384137683E-2</v>
      </c>
      <c r="AH365" s="496">
        <f t="shared" ca="1" si="232"/>
        <v>8.2093107350617745E-3</v>
      </c>
      <c r="AI365" s="496">
        <f t="shared" ca="1" si="232"/>
        <v>8.8474936934495683E-3</v>
      </c>
      <c r="AJ365" s="496">
        <f t="shared" ca="1" si="232"/>
        <v>6.3533246588345768E-3</v>
      </c>
      <c r="AK365" s="496">
        <f t="shared" ca="1" si="232"/>
        <v>8.3477688740430864E-3</v>
      </c>
      <c r="AL365" s="496">
        <f t="shared" ca="1" si="232"/>
        <v>4.9262625005292065E-3</v>
      </c>
      <c r="AM365" s="496">
        <f t="shared" ca="1" si="232"/>
        <v>8.4289544500625157E-3</v>
      </c>
      <c r="AN365" s="496">
        <f t="shared" ca="1" si="232"/>
        <v>8.4379276041781619E-3</v>
      </c>
      <c r="AO365" s="496">
        <f t="shared" ca="1" si="232"/>
        <v>6.9852473505968172E-3</v>
      </c>
      <c r="AP365" s="496">
        <f t="shared" ca="1" si="232"/>
        <v>7.747312281687983E-3</v>
      </c>
    </row>
    <row r="366" spans="3:42">
      <c r="C366" t="str">
        <f t="shared" si="230"/>
        <v>R_ES-SH-FL_HET</v>
      </c>
      <c r="D366" t="s">
        <v>906</v>
      </c>
      <c r="E366" t="str">
        <f t="shared" si="231"/>
        <v>R_ES-FL-SpHeat</v>
      </c>
      <c r="F366" s="496">
        <f t="shared" ref="F366:AP366" ca="1" si="233">0.5*F331</f>
        <v>9.8579078936363602E-3</v>
      </c>
      <c r="G366" s="496">
        <f t="shared" ca="1" si="233"/>
        <v>8.3756450779747405E-3</v>
      </c>
      <c r="H366" s="496">
        <f t="shared" ca="1" si="233"/>
        <v>4.0387913149890894E-3</v>
      </c>
      <c r="I366" s="496">
        <f t="shared" ca="1" si="233"/>
        <v>1.0314157998051222E-2</v>
      </c>
      <c r="J366" s="496">
        <f t="shared" ca="1" si="233"/>
        <v>2.5146905468498057E-2</v>
      </c>
      <c r="K366" s="496">
        <f t="shared" ca="1" si="233"/>
        <v>8.4337314103835291E-3</v>
      </c>
      <c r="L366" s="496">
        <f t="shared" ca="1" si="233"/>
        <v>9.2570984091016103E-3</v>
      </c>
      <c r="M366" s="496">
        <f t="shared" ca="1" si="233"/>
        <v>7.6643398163657181E-3</v>
      </c>
      <c r="N366" s="496">
        <f t="shared" ca="1" si="233"/>
        <v>9.6306748116689496E-3</v>
      </c>
      <c r="O366" s="496">
        <f t="shared" ca="1" si="233"/>
        <v>1.2123978453631669E-2</v>
      </c>
      <c r="P366" s="496">
        <f t="shared" ca="1" si="233"/>
        <v>1.2943230143070686E-2</v>
      </c>
      <c r="Q366" s="496">
        <f t="shared" ca="1" si="233"/>
        <v>8.1754774891633231E-3</v>
      </c>
      <c r="R366" s="496">
        <f t="shared" ca="1" si="233"/>
        <v>9.9124028393265829E-3</v>
      </c>
      <c r="S366" s="496">
        <f t="shared" ca="1" si="233"/>
        <v>8.1292840662321036E-3</v>
      </c>
      <c r="T366" s="496">
        <f t="shared" ca="1" si="233"/>
        <v>6.5677854473791143E-3</v>
      </c>
      <c r="U366" s="496">
        <f t="shared" ca="1" si="233"/>
        <v>3.3305600394030405E-3</v>
      </c>
      <c r="V366" s="496">
        <f t="shared" ca="1" si="233"/>
        <v>2.0239857421341569E-2</v>
      </c>
      <c r="W366" s="496">
        <f t="shared" ca="1" si="233"/>
        <v>9.9415501679786817E-3</v>
      </c>
      <c r="X366" s="496">
        <f t="shared" ca="1" si="233"/>
        <v>6.4613160274099605E-3</v>
      </c>
      <c r="Y366" s="496">
        <f t="shared" ca="1" si="233"/>
        <v>7.6817332916494611E-3</v>
      </c>
      <c r="Z366" s="496">
        <f t="shared" ca="1" si="233"/>
        <v>8.6123315657318129E-3</v>
      </c>
      <c r="AA366" s="496">
        <f t="shared" ca="1" si="233"/>
        <v>3.9468145429669782E-2</v>
      </c>
      <c r="AB366" s="496">
        <f t="shared" ca="1" si="233"/>
        <v>9.794498937587862E-3</v>
      </c>
      <c r="AC366" s="496">
        <f t="shared" ca="1" si="233"/>
        <v>8.0078750200773454E-3</v>
      </c>
      <c r="AD366" s="496">
        <f t="shared" ca="1" si="233"/>
        <v>7.2333368171894011E-3</v>
      </c>
      <c r="AE366" s="496">
        <f t="shared" ca="1" si="233"/>
        <v>2.6926485993178542E-3</v>
      </c>
      <c r="AF366" s="496">
        <f t="shared" ca="1" si="233"/>
        <v>4.2986508861480267E-3</v>
      </c>
      <c r="AG366" s="496">
        <f t="shared" ca="1" si="233"/>
        <v>1.1394815057142307E-2</v>
      </c>
      <c r="AH366" s="496">
        <f t="shared" ca="1" si="233"/>
        <v>8.3345615506279381E-3</v>
      </c>
      <c r="AI366" s="496">
        <f t="shared" ca="1" si="233"/>
        <v>8.2154661121186801E-3</v>
      </c>
      <c r="AJ366" s="496">
        <f t="shared" ca="1" si="233"/>
        <v>5.5789711660212769E-3</v>
      </c>
      <c r="AK366" s="496">
        <f t="shared" ca="1" si="233"/>
        <v>9.200504359900049E-3</v>
      </c>
      <c r="AL366" s="496">
        <f t="shared" ca="1" si="233"/>
        <v>4.9262625005292073E-3</v>
      </c>
      <c r="AM366" s="496">
        <f t="shared" ca="1" si="233"/>
        <v>9.8302156282586706E-3</v>
      </c>
      <c r="AN366" s="496">
        <f t="shared" ca="1" si="233"/>
        <v>4.8078720143334627E-3</v>
      </c>
      <c r="AO366" s="496">
        <f t="shared" ca="1" si="233"/>
        <v>6.9852473505968155E-3</v>
      </c>
      <c r="AP366" s="496">
        <f t="shared" ca="1" si="233"/>
        <v>4.7605329107265511E-3</v>
      </c>
    </row>
    <row r="367" spans="3:42">
      <c r="C367" t="str">
        <f t="shared" si="230"/>
        <v>R_ES-SH-FL_OIL</v>
      </c>
      <c r="D367" t="s">
        <v>906</v>
      </c>
      <c r="E367" t="str">
        <f t="shared" si="231"/>
        <v>R_ES-FL-SpHeat</v>
      </c>
      <c r="F367" s="496">
        <f t="shared" ref="F367:AP367" ca="1" si="234">0.5*F332</f>
        <v>9.9266452325064251E-3</v>
      </c>
      <c r="G367" s="496">
        <f t="shared" ca="1" si="234"/>
        <v>1.0593798383706778E-2</v>
      </c>
      <c r="H367" s="496">
        <f t="shared" ca="1" si="234"/>
        <v>5.9969642844046782E-3</v>
      </c>
      <c r="I367" s="496">
        <f t="shared" ca="1" si="234"/>
        <v>1.0314157998051219E-2</v>
      </c>
      <c r="J367" s="496">
        <f t="shared" ca="1" si="234"/>
        <v>4.1321616368789988E-3</v>
      </c>
      <c r="K367" s="496">
        <f t="shared" ca="1" si="234"/>
        <v>5.8546755883493156E-3</v>
      </c>
      <c r="L367" s="496">
        <f t="shared" ca="1" si="234"/>
        <v>9.3313022892797665E-3</v>
      </c>
      <c r="M367" s="496">
        <f t="shared" ca="1" si="234"/>
        <v>7.6537913106440817E-3</v>
      </c>
      <c r="N367" s="496">
        <f t="shared" ca="1" si="234"/>
        <v>8.7699824654578658E-3</v>
      </c>
      <c r="O367" s="496">
        <f t="shared" ca="1" si="234"/>
        <v>8.2368298534221448E-3</v>
      </c>
      <c r="P367" s="496">
        <f t="shared" ca="1" si="234"/>
        <v>1.2807768873020162E-2</v>
      </c>
      <c r="Q367" s="496">
        <f t="shared" ca="1" si="234"/>
        <v>8.0369814027692922E-3</v>
      </c>
      <c r="R367" s="496">
        <f t="shared" ca="1" si="234"/>
        <v>9.7805528676820908E-3</v>
      </c>
      <c r="S367" s="496">
        <f t="shared" ca="1" si="234"/>
        <v>8.5935520820201779E-3</v>
      </c>
      <c r="T367" s="496">
        <f t="shared" ca="1" si="234"/>
        <v>4.9483097920582676E-3</v>
      </c>
      <c r="U367" s="496">
        <f t="shared" ca="1" si="234"/>
        <v>5.711051789412413E-3</v>
      </c>
      <c r="V367" s="496">
        <f t="shared" ca="1" si="234"/>
        <v>2.0239857421341569E-2</v>
      </c>
      <c r="W367" s="496">
        <f t="shared" ca="1" si="234"/>
        <v>1.000098269679346E-2</v>
      </c>
      <c r="X367" s="496">
        <f t="shared" ca="1" si="234"/>
        <v>7.8828961048826862E-3</v>
      </c>
      <c r="Y367" s="496">
        <f t="shared" ca="1" si="234"/>
        <v>1.6467165477455453E-2</v>
      </c>
      <c r="Z367" s="496">
        <f t="shared" ca="1" si="234"/>
        <v>9.3903676141564325E-3</v>
      </c>
      <c r="AA367" s="496">
        <f t="shared" ca="1" si="234"/>
        <v>3.4534627250961056E-2</v>
      </c>
      <c r="AB367" s="496">
        <f t="shared" ca="1" si="234"/>
        <v>1.0369555847839221E-2</v>
      </c>
      <c r="AC367" s="496">
        <f t="shared" ca="1" si="234"/>
        <v>8.0078750200773454E-3</v>
      </c>
      <c r="AD367" s="496">
        <f t="shared" ca="1" si="234"/>
        <v>7.6307130268696644E-3</v>
      </c>
      <c r="AE367" s="496">
        <f t="shared" ca="1" si="234"/>
        <v>2.8527522295376511E-3</v>
      </c>
      <c r="AF367" s="496">
        <f t="shared" ca="1" si="234"/>
        <v>3.1080756072710582E-3</v>
      </c>
      <c r="AG367" s="496">
        <f t="shared" ca="1" si="234"/>
        <v>1.2795672005204976E-2</v>
      </c>
      <c r="AH367" s="496">
        <f t="shared" ca="1" si="234"/>
        <v>8.9012107075792692E-3</v>
      </c>
      <c r="AI367" s="496">
        <f t="shared" ca="1" si="234"/>
        <v>5.8118506943932334E-3</v>
      </c>
      <c r="AJ367" s="496">
        <f t="shared" ca="1" si="234"/>
        <v>6.4814256912554304E-3</v>
      </c>
      <c r="AK367" s="496">
        <f t="shared" ca="1" si="234"/>
        <v>3.347946074068092E-3</v>
      </c>
      <c r="AL367" s="496">
        <f t="shared" ca="1" si="234"/>
        <v>8.1698684062500738E-3</v>
      </c>
      <c r="AM367" s="496">
        <f t="shared" ca="1" si="234"/>
        <v>8.8886888969296491E-3</v>
      </c>
      <c r="AN367" s="496">
        <f t="shared" ca="1" si="234"/>
        <v>4.8078720143334619E-3</v>
      </c>
      <c r="AO367" s="496">
        <f t="shared" ca="1" si="234"/>
        <v>6.9852473505968172E-3</v>
      </c>
      <c r="AP367" s="496">
        <f t="shared" ca="1" si="234"/>
        <v>4.7605329107265511E-3</v>
      </c>
    </row>
    <row r="368" spans="3:42">
      <c r="C368" t="str">
        <f t="shared" si="230"/>
        <v>R_ES-SH-FL_BIO</v>
      </c>
      <c r="D368" t="s">
        <v>906</v>
      </c>
      <c r="E368" t="str">
        <f t="shared" si="231"/>
        <v>R_ES-FL-SpHeat</v>
      </c>
      <c r="F368" s="496">
        <f t="shared" ref="F368:AP368" ca="1" si="235">0.5*F333</f>
        <v>1.0424478516867355E-2</v>
      </c>
      <c r="G368" s="496">
        <f t="shared" ca="1" si="235"/>
        <v>1.1813936571262208E-2</v>
      </c>
      <c r="H368" s="496">
        <f t="shared" ca="1" si="235"/>
        <v>4.4505606838933969E-3</v>
      </c>
      <c r="I368" s="496">
        <f t="shared" ca="1" si="235"/>
        <v>1.0314157998051222E-2</v>
      </c>
      <c r="J368" s="496">
        <f t="shared" ca="1" si="235"/>
        <v>3.5840472334757634E-3</v>
      </c>
      <c r="K368" s="496">
        <f t="shared" ca="1" si="235"/>
        <v>9.1319518932175079E-3</v>
      </c>
      <c r="L368" s="496">
        <f t="shared" ca="1" si="235"/>
        <v>1.0236518144354907E-2</v>
      </c>
      <c r="M368" s="496">
        <f t="shared" ca="1" si="235"/>
        <v>8.1487230635829636E-3</v>
      </c>
      <c r="N368" s="496">
        <f t="shared" ca="1" si="235"/>
        <v>1.0132714814950591E-2</v>
      </c>
      <c r="O368" s="496">
        <f t="shared" ca="1" si="235"/>
        <v>8.2033288546109247E-3</v>
      </c>
      <c r="P368" s="496">
        <f t="shared" ca="1" si="235"/>
        <v>1.3982664390452719E-2</v>
      </c>
      <c r="Q368" s="496">
        <f t="shared" ca="1" si="235"/>
        <v>8.7710470850147198E-3</v>
      </c>
      <c r="R368" s="496">
        <f t="shared" ca="1" si="235"/>
        <v>1.0034207869312087E-2</v>
      </c>
      <c r="S368" s="496">
        <f t="shared" ca="1" si="235"/>
        <v>8.7003249374172816E-3</v>
      </c>
      <c r="T368" s="496">
        <f t="shared" ca="1" si="235"/>
        <v>7.4639834000191606E-3</v>
      </c>
      <c r="U368" s="496">
        <f t="shared" ca="1" si="235"/>
        <v>5.6123723023880686E-3</v>
      </c>
      <c r="V368" s="496">
        <f t="shared" ca="1" si="235"/>
        <v>7.4943467167488736E-3</v>
      </c>
      <c r="W368" s="496">
        <f t="shared" ca="1" si="235"/>
        <v>1.0715896407919274E-2</v>
      </c>
      <c r="X368" s="496">
        <f t="shared" ca="1" si="235"/>
        <v>6.8423648636078789E-3</v>
      </c>
      <c r="Y368" s="496">
        <f t="shared" ca="1" si="235"/>
        <v>1.752582769679454E-2</v>
      </c>
      <c r="Z368" s="496">
        <f t="shared" ca="1" si="235"/>
        <v>8.2324228942463502E-3</v>
      </c>
      <c r="AA368" s="496">
        <f t="shared" ca="1" si="235"/>
        <v>3.5529352090558782E-3</v>
      </c>
      <c r="AB368" s="496">
        <f t="shared" ca="1" si="235"/>
        <v>9.0682672291780599E-3</v>
      </c>
      <c r="AC368" s="496">
        <f t="shared" ca="1" si="235"/>
        <v>8.0078750200773454E-3</v>
      </c>
      <c r="AD368" s="496">
        <f t="shared" ca="1" si="235"/>
        <v>7.9407646863616944E-3</v>
      </c>
      <c r="AE368" s="496">
        <f t="shared" ca="1" si="235"/>
        <v>2.7017072199628837E-3</v>
      </c>
      <c r="AF368" s="496">
        <f t="shared" ca="1" si="235"/>
        <v>4.9006054788460762E-3</v>
      </c>
      <c r="AG368" s="496">
        <f t="shared" ca="1" si="235"/>
        <v>1.2397865217045518E-2</v>
      </c>
      <c r="AH368" s="496">
        <f t="shared" ca="1" si="235"/>
        <v>8.2304428632895086E-3</v>
      </c>
      <c r="AI368" s="496">
        <f t="shared" ca="1" si="235"/>
        <v>9.0870548905896409E-3</v>
      </c>
      <c r="AJ368" s="496">
        <f t="shared" ca="1" si="235"/>
        <v>6.8945979157729563E-3</v>
      </c>
      <c r="AK368" s="496">
        <f t="shared" ca="1" si="235"/>
        <v>3.347946074068092E-3</v>
      </c>
      <c r="AL368" s="496">
        <f t="shared" ca="1" si="235"/>
        <v>4.9262625005292056E-3</v>
      </c>
      <c r="AM368" s="496">
        <f t="shared" ca="1" si="235"/>
        <v>8.5033441542304369E-3</v>
      </c>
      <c r="AN368" s="496">
        <f t="shared" ca="1" si="235"/>
        <v>4.8078720143334619E-3</v>
      </c>
      <c r="AO368" s="496">
        <f t="shared" ca="1" si="235"/>
        <v>6.9852473505968163E-3</v>
      </c>
      <c r="AP368" s="496">
        <f t="shared" ca="1" si="235"/>
        <v>4.7605329107265511E-3</v>
      </c>
    </row>
    <row r="369" spans="3:42">
      <c r="C369" t="str">
        <f t="shared" si="230"/>
        <v>R_ES-SH-FL_COA</v>
      </c>
      <c r="D369" t="s">
        <v>906</v>
      </c>
      <c r="E369" t="str">
        <f t="shared" si="231"/>
        <v>R_ES-FL-SpHeat</v>
      </c>
      <c r="F369" s="496">
        <f t="shared" ref="F369:AP369" ca="1" si="236">0.5*F334</f>
        <v>1.0574321851444426E-2</v>
      </c>
      <c r="G369" s="496">
        <f t="shared" ca="1" si="236"/>
        <v>1.0215679068165671E-2</v>
      </c>
      <c r="H369" s="496">
        <f t="shared" ca="1" si="236"/>
        <v>4.1493022043608907E-3</v>
      </c>
      <c r="I369" s="496">
        <f t="shared" ca="1" si="236"/>
        <v>1.0314157998051222E-2</v>
      </c>
      <c r="J369" s="496">
        <f t="shared" ca="1" si="236"/>
        <v>2.2003542284935795E-2</v>
      </c>
      <c r="K369" s="496">
        <f t="shared" ca="1" si="236"/>
        <v>8.8468382798233582E-3</v>
      </c>
      <c r="L369" s="496">
        <f t="shared" ca="1" si="236"/>
        <v>9.4254192662689609E-3</v>
      </c>
      <c r="M369" s="496">
        <f t="shared" ca="1" si="236"/>
        <v>4.0005851111225071E-3</v>
      </c>
      <c r="N369" s="496">
        <f t="shared" ca="1" si="236"/>
        <v>8.3735840011145615E-3</v>
      </c>
      <c r="O369" s="496">
        <f t="shared" ca="1" si="236"/>
        <v>7.8061095479302423E-3</v>
      </c>
      <c r="P369" s="496">
        <f t="shared" ca="1" si="236"/>
        <v>1.3027527295484575E-2</v>
      </c>
      <c r="Q369" s="496">
        <f t="shared" ca="1" si="236"/>
        <v>8.7805976596007414E-3</v>
      </c>
      <c r="R369" s="496">
        <f t="shared" ca="1" si="236"/>
        <v>1.3572970858117086E-2</v>
      </c>
      <c r="S369" s="496">
        <f t="shared" ca="1" si="236"/>
        <v>9.3603506094766288E-3</v>
      </c>
      <c r="T369" s="496">
        <f t="shared" ca="1" si="236"/>
        <v>6.0110646392459435E-3</v>
      </c>
      <c r="U369" s="496">
        <f t="shared" ca="1" si="236"/>
        <v>4.9905855589954234E-3</v>
      </c>
      <c r="V369" s="496">
        <f t="shared" ca="1" si="236"/>
        <v>6.1877243546271101E-3</v>
      </c>
      <c r="W369" s="496">
        <f t="shared" ca="1" si="236"/>
        <v>9.130281685175148E-3</v>
      </c>
      <c r="X369" s="496">
        <f t="shared" ca="1" si="236"/>
        <v>6.6586771741467118E-3</v>
      </c>
      <c r="Y369" s="496">
        <f t="shared" ca="1" si="236"/>
        <v>1.5727948715110667E-2</v>
      </c>
      <c r="Z369" s="496">
        <f t="shared" ca="1" si="236"/>
        <v>1.1457726130387924E-2</v>
      </c>
      <c r="AA369" s="496">
        <f t="shared" ca="1" si="236"/>
        <v>3.4534627250961056E-2</v>
      </c>
      <c r="AB369" s="496">
        <f t="shared" ca="1" si="236"/>
        <v>8.6880049537158052E-3</v>
      </c>
      <c r="AC369" s="496">
        <f t="shared" ca="1" si="236"/>
        <v>6.896414696105759E-3</v>
      </c>
      <c r="AD369" s="496">
        <f t="shared" ca="1" si="236"/>
        <v>7.6350631519153641E-3</v>
      </c>
      <c r="AE369" s="496">
        <f t="shared" ca="1" si="236"/>
        <v>6.243053733136536E-3</v>
      </c>
      <c r="AF369" s="496">
        <f t="shared" ca="1" si="236"/>
        <v>2.3752909338328391E-3</v>
      </c>
      <c r="AG369" s="496">
        <f t="shared" ca="1" si="236"/>
        <v>6.0360997955751965E-3</v>
      </c>
      <c r="AH369" s="496">
        <f t="shared" ca="1" si="236"/>
        <v>8.2909735951498063E-3</v>
      </c>
      <c r="AI369" s="496">
        <f t="shared" ca="1" si="236"/>
        <v>8.6821425365798278E-3</v>
      </c>
      <c r="AJ369" s="496">
        <f t="shared" ca="1" si="236"/>
        <v>6.0237519981391173E-3</v>
      </c>
      <c r="AK369" s="496">
        <f t="shared" ca="1" si="236"/>
        <v>7.4902078994288877E-3</v>
      </c>
      <c r="AL369" s="496">
        <f t="shared" ca="1" si="236"/>
        <v>4.9262625005292073E-3</v>
      </c>
      <c r="AM369" s="496">
        <f t="shared" ca="1" si="236"/>
        <v>9.1777965758014484E-3</v>
      </c>
      <c r="AN369" s="496">
        <f t="shared" ca="1" si="236"/>
        <v>7.5711046806946035E-3</v>
      </c>
      <c r="AO369" s="496">
        <f t="shared" ca="1" si="236"/>
        <v>6.9852473505968172E-3</v>
      </c>
      <c r="AP369" s="496">
        <f t="shared" ca="1" si="236"/>
        <v>4.7605329107265519E-3</v>
      </c>
    </row>
    <row r="370" spans="3:42">
      <c r="C370" t="str">
        <f t="shared" si="230"/>
        <v>R_ES-SH-FL_LPG</v>
      </c>
      <c r="D370" t="s">
        <v>906</v>
      </c>
      <c r="E370" t="str">
        <f t="shared" si="231"/>
        <v>R_ES-FL-SpHeat</v>
      </c>
      <c r="F370" s="496">
        <f t="shared" ref="F370:AP370" ca="1" si="237">0.5*F335</f>
        <v>9.8528744576594704E-3</v>
      </c>
      <c r="G370" s="496">
        <f t="shared" ca="1" si="237"/>
        <v>1.1050282350263691E-2</v>
      </c>
      <c r="H370" s="496">
        <f t="shared" ca="1" si="237"/>
        <v>4.3440477009888002E-3</v>
      </c>
      <c r="I370" s="496">
        <f t="shared" ca="1" si="237"/>
        <v>7.897379240288601E-3</v>
      </c>
      <c r="J370" s="496">
        <f t="shared" ca="1" si="237"/>
        <v>4.1639301834461122E-3</v>
      </c>
      <c r="K370" s="496">
        <f t="shared" ca="1" si="237"/>
        <v>5.8546755883493156E-3</v>
      </c>
      <c r="L370" s="496">
        <f t="shared" ca="1" si="237"/>
        <v>9.2962554083948629E-3</v>
      </c>
      <c r="M370" s="496">
        <f t="shared" ca="1" si="237"/>
        <v>7.8993740354987678E-3</v>
      </c>
      <c r="N370" s="496">
        <f t="shared" ca="1" si="237"/>
        <v>8.2841704216330345E-3</v>
      </c>
      <c r="O370" s="496">
        <f t="shared" ca="1" si="237"/>
        <v>8.1385481672858126E-3</v>
      </c>
      <c r="P370" s="496">
        <f t="shared" ca="1" si="237"/>
        <v>6.5136117081432835E-3</v>
      </c>
      <c r="Q370" s="496">
        <f t="shared" ca="1" si="237"/>
        <v>8.4035586027328898E-3</v>
      </c>
      <c r="R370" s="496">
        <f t="shared" ca="1" si="237"/>
        <v>1.5020762601748068E-2</v>
      </c>
      <c r="S370" s="496">
        <f t="shared" ca="1" si="237"/>
        <v>8.661340224098037E-3</v>
      </c>
      <c r="T370" s="496">
        <f t="shared" ca="1" si="237"/>
        <v>7.1685742567345889E-3</v>
      </c>
      <c r="U370" s="496">
        <f t="shared" ca="1" si="237"/>
        <v>5.5473156548431256E-3</v>
      </c>
      <c r="V370" s="496">
        <f t="shared" ca="1" si="237"/>
        <v>7.2397438810525338E-3</v>
      </c>
      <c r="W370" s="496">
        <f t="shared" ca="1" si="237"/>
        <v>1.0084517681104419E-2</v>
      </c>
      <c r="X370" s="496">
        <f t="shared" ca="1" si="237"/>
        <v>7.6516821315626531E-3</v>
      </c>
      <c r="Y370" s="496">
        <f t="shared" ca="1" si="237"/>
        <v>7.7975117398028752E-3</v>
      </c>
      <c r="Z370" s="496">
        <f t="shared" ca="1" si="237"/>
        <v>7.7943275528826496E-3</v>
      </c>
      <c r="AA370" s="496">
        <f t="shared" ca="1" si="237"/>
        <v>3.5919022242909566E-3</v>
      </c>
      <c r="AB370" s="496">
        <f t="shared" ca="1" si="237"/>
        <v>6.2240379365792612E-3</v>
      </c>
      <c r="AC370" s="496">
        <f t="shared" ca="1" si="237"/>
        <v>8.0689237651636238E-3</v>
      </c>
      <c r="AD370" s="496">
        <f t="shared" ca="1" si="237"/>
        <v>6.2156550003581359E-3</v>
      </c>
      <c r="AE370" s="496">
        <f t="shared" ca="1" si="237"/>
        <v>2.7569557018541392E-3</v>
      </c>
      <c r="AF370" s="496">
        <f t="shared" ca="1" si="237"/>
        <v>4.9955441649658658E-3</v>
      </c>
      <c r="AG370" s="496">
        <f t="shared" ca="1" si="237"/>
        <v>6.9107885103020473E-3</v>
      </c>
      <c r="AH370" s="496">
        <f t="shared" ca="1" si="237"/>
        <v>8.5607766085755779E-3</v>
      </c>
      <c r="AI370" s="496">
        <f t="shared" ca="1" si="237"/>
        <v>5.8118506943932334E-3</v>
      </c>
      <c r="AJ370" s="496">
        <f t="shared" ca="1" si="237"/>
        <v>6.34114939378629E-3</v>
      </c>
      <c r="AK370" s="496">
        <f t="shared" ca="1" si="237"/>
        <v>8.289167925810104E-3</v>
      </c>
      <c r="AL370" s="496">
        <f t="shared" ca="1" si="237"/>
        <v>8.1698684062500738E-3</v>
      </c>
      <c r="AM370" s="496">
        <f t="shared" ca="1" si="237"/>
        <v>8.8886888969296491E-3</v>
      </c>
      <c r="AN370" s="496">
        <f t="shared" ca="1" si="237"/>
        <v>8.3786937458638008E-3</v>
      </c>
      <c r="AO370" s="496">
        <f t="shared" ca="1" si="237"/>
        <v>6.9852473505968155E-3</v>
      </c>
      <c r="AP370" s="496">
        <f t="shared" ca="1" si="237"/>
        <v>4.7605329107265511E-3</v>
      </c>
    </row>
    <row r="371" spans="3:42">
      <c r="C371" t="str">
        <f t="shared" si="230"/>
        <v>R_ES-SH-FL_GEO</v>
      </c>
      <c r="D371" t="s">
        <v>906</v>
      </c>
      <c r="E371" t="str">
        <f t="shared" si="231"/>
        <v>R_ES-FL-SpHeat</v>
      </c>
      <c r="F371" s="496">
        <f t="shared" ref="F371:AP371" ca="1" si="238">0.5*F336</f>
        <v>9.8528744576594704E-3</v>
      </c>
      <c r="G371" s="496">
        <f t="shared" ca="1" si="238"/>
        <v>1.1050282350263691E-2</v>
      </c>
      <c r="H371" s="496">
        <f t="shared" ca="1" si="238"/>
        <v>4.3440477009888002E-3</v>
      </c>
      <c r="I371" s="496">
        <f t="shared" ca="1" si="238"/>
        <v>7.897379240288601E-3</v>
      </c>
      <c r="J371" s="496">
        <f t="shared" ca="1" si="238"/>
        <v>4.1639301834461122E-3</v>
      </c>
      <c r="K371" s="496">
        <f t="shared" ca="1" si="238"/>
        <v>5.8546755883493156E-3</v>
      </c>
      <c r="L371" s="496">
        <f t="shared" ca="1" si="238"/>
        <v>9.2962554083948629E-3</v>
      </c>
      <c r="M371" s="496">
        <f t="shared" ca="1" si="238"/>
        <v>7.8993740354987678E-3</v>
      </c>
      <c r="N371" s="496">
        <f t="shared" ca="1" si="238"/>
        <v>8.2841704216330345E-3</v>
      </c>
      <c r="O371" s="496">
        <f t="shared" ca="1" si="238"/>
        <v>8.1385481672858126E-3</v>
      </c>
      <c r="P371" s="496">
        <f t="shared" ca="1" si="238"/>
        <v>6.5136117081432835E-3</v>
      </c>
      <c r="Q371" s="496">
        <f t="shared" ca="1" si="238"/>
        <v>8.4035586027328898E-3</v>
      </c>
      <c r="R371" s="496">
        <f t="shared" ca="1" si="238"/>
        <v>1.5020762601748068E-2</v>
      </c>
      <c r="S371" s="496">
        <f t="shared" ca="1" si="238"/>
        <v>8.661340224098037E-3</v>
      </c>
      <c r="T371" s="496">
        <f t="shared" ca="1" si="238"/>
        <v>7.1685742567345889E-3</v>
      </c>
      <c r="U371" s="496">
        <f t="shared" ca="1" si="238"/>
        <v>5.5473156548431256E-3</v>
      </c>
      <c r="V371" s="496">
        <f t="shared" ca="1" si="238"/>
        <v>7.2397438810525338E-3</v>
      </c>
      <c r="W371" s="496">
        <f t="shared" ca="1" si="238"/>
        <v>1.0084517681104419E-2</v>
      </c>
      <c r="X371" s="496">
        <f t="shared" ca="1" si="238"/>
        <v>7.6516821315626531E-3</v>
      </c>
      <c r="Y371" s="496">
        <f t="shared" ca="1" si="238"/>
        <v>7.7975117398028752E-3</v>
      </c>
      <c r="Z371" s="496">
        <f t="shared" ca="1" si="238"/>
        <v>7.7943275528826496E-3</v>
      </c>
      <c r="AA371" s="496">
        <f t="shared" ca="1" si="238"/>
        <v>3.5919022242909566E-3</v>
      </c>
      <c r="AB371" s="496">
        <f t="shared" ca="1" si="238"/>
        <v>6.2240379365792612E-3</v>
      </c>
      <c r="AC371" s="496">
        <f t="shared" ca="1" si="238"/>
        <v>8.0689237651636238E-3</v>
      </c>
      <c r="AD371" s="496">
        <f t="shared" ca="1" si="238"/>
        <v>6.2156550003581359E-3</v>
      </c>
      <c r="AE371" s="496">
        <f t="shared" ca="1" si="238"/>
        <v>2.7569557018541392E-3</v>
      </c>
      <c r="AF371" s="496">
        <f t="shared" ca="1" si="238"/>
        <v>4.9955441649658658E-3</v>
      </c>
      <c r="AG371" s="496">
        <f t="shared" ca="1" si="238"/>
        <v>6.9107885103020473E-3</v>
      </c>
      <c r="AH371" s="496">
        <f t="shared" ca="1" si="238"/>
        <v>8.5607766085755779E-3</v>
      </c>
      <c r="AI371" s="496">
        <f t="shared" ca="1" si="238"/>
        <v>5.8118506943932334E-3</v>
      </c>
      <c r="AJ371" s="496">
        <f t="shared" ca="1" si="238"/>
        <v>6.34114939378629E-3</v>
      </c>
      <c r="AK371" s="496">
        <f t="shared" ca="1" si="238"/>
        <v>8.289167925810104E-3</v>
      </c>
      <c r="AL371" s="496">
        <f t="shared" ca="1" si="238"/>
        <v>8.1698684062500738E-3</v>
      </c>
      <c r="AM371" s="496">
        <f t="shared" ca="1" si="238"/>
        <v>8.8886888969296491E-3</v>
      </c>
      <c r="AN371" s="496">
        <f t="shared" ca="1" si="238"/>
        <v>8.3786937458638008E-3</v>
      </c>
      <c r="AO371" s="496">
        <f t="shared" ca="1" si="238"/>
        <v>6.9852473505968155E-3</v>
      </c>
      <c r="AP371" s="496">
        <f t="shared" ca="1" si="238"/>
        <v>4.7605329107265511E-3</v>
      </c>
    </row>
    <row r="372" spans="3:42">
      <c r="C372" t="str">
        <f t="shared" si="230"/>
        <v>R_ES-SH-DH_ELC-R</v>
      </c>
      <c r="D372" t="s">
        <v>906</v>
      </c>
      <c r="E372" t="str">
        <f t="shared" si="231"/>
        <v>R_ES-DH-SpHeat</v>
      </c>
      <c r="F372" s="496">
        <f t="shared" ref="F372:AP372" ca="1" si="239">0.5*F337</f>
        <v>4.220726733135604E-2</v>
      </c>
      <c r="G372" s="496">
        <f t="shared" ca="1" si="239"/>
        <v>5.3600284815087149E-2</v>
      </c>
      <c r="H372" s="496">
        <f t="shared" ca="1" si="239"/>
        <v>2.388595527335052E-2</v>
      </c>
      <c r="I372" s="496">
        <f t="shared" ca="1" si="239"/>
        <v>5.5453484260425671E-2</v>
      </c>
      <c r="J372" s="496">
        <f t="shared" ca="1" si="239"/>
        <v>2.4664086599066392E-2</v>
      </c>
      <c r="K372" s="496">
        <f t="shared" ca="1" si="239"/>
        <v>4.4896087857164813E-2</v>
      </c>
      <c r="L372" s="496">
        <f t="shared" ca="1" si="239"/>
        <v>4.9936103928865751E-2</v>
      </c>
      <c r="M372" s="496">
        <f t="shared" ca="1" si="239"/>
        <v>1.290775741625687E-2</v>
      </c>
      <c r="N372" s="496">
        <f t="shared" ca="1" si="239"/>
        <v>1.3381572291049439E-2</v>
      </c>
      <c r="O372" s="496">
        <f t="shared" ca="1" si="239"/>
        <v>3.3955686122126537E-2</v>
      </c>
      <c r="P372" s="496">
        <f t="shared" ca="1" si="239"/>
        <v>3.9510963396144148E-2</v>
      </c>
      <c r="Q372" s="496">
        <f t="shared" ca="1" si="239"/>
        <v>5.4949750949513272E-2</v>
      </c>
      <c r="R372" s="496">
        <f t="shared" ca="1" si="239"/>
        <v>3.6506728791140267E-2</v>
      </c>
      <c r="S372" s="496">
        <f t="shared" ca="1" si="239"/>
        <v>3.541551058178536E-2</v>
      </c>
      <c r="T372" s="496">
        <f t="shared" ca="1" si="239"/>
        <v>4.6583475871871512E-2</v>
      </c>
      <c r="U372" s="496">
        <f t="shared" ca="1" si="239"/>
        <v>5.798511365241308E-2</v>
      </c>
      <c r="V372" s="496">
        <f t="shared" ca="1" si="239"/>
        <v>0.10694715577359835</v>
      </c>
      <c r="W372" s="496">
        <f t="shared" ca="1" si="239"/>
        <v>4.2040865297779317E-3</v>
      </c>
      <c r="X372" s="496">
        <f t="shared" ca="1" si="239"/>
        <v>3.1889553813845666E-2</v>
      </c>
      <c r="Y372" s="496">
        <f t="shared" ca="1" si="239"/>
        <v>6.0420080431080894E-2</v>
      </c>
      <c r="Z372" s="496">
        <f t="shared" ca="1" si="239"/>
        <v>4.501732204995261E-2</v>
      </c>
      <c r="AA372" s="496">
        <f t="shared" ca="1" si="239"/>
        <v>1.5221766991753731E-2</v>
      </c>
      <c r="AB372" s="496">
        <f t="shared" ca="1" si="239"/>
        <v>4.8149167140535479E-2</v>
      </c>
      <c r="AC372" s="496">
        <f t="shared" ca="1" si="239"/>
        <v>4.4311820686661327E-2</v>
      </c>
      <c r="AD372" s="496">
        <f t="shared" ca="1" si="239"/>
        <v>6.5411327613154602E-2</v>
      </c>
      <c r="AE372" s="496">
        <f t="shared" ca="1" si="239"/>
        <v>6.0765636496304841E-3</v>
      </c>
      <c r="AF372" s="496">
        <f t="shared" ca="1" si="239"/>
        <v>3.6874071106273963E-2</v>
      </c>
      <c r="AG372" s="496">
        <f t="shared" ca="1" si="239"/>
        <v>6.3773521303563369E-2</v>
      </c>
      <c r="AH372" s="496">
        <f t="shared" ca="1" si="239"/>
        <v>5.0445184576409986E-2</v>
      </c>
      <c r="AI372" s="496">
        <f t="shared" ca="1" si="239"/>
        <v>4.5622722021019711E-2</v>
      </c>
      <c r="AJ372" s="496">
        <f t="shared" ca="1" si="239"/>
        <v>4.8754440071236971E-2</v>
      </c>
      <c r="AK372" s="496">
        <f t="shared" ca="1" si="239"/>
        <v>1.3214416994595718E-2</v>
      </c>
      <c r="AL372" s="496">
        <f t="shared" ca="1" si="239"/>
        <v>1.6608867208038242E-2</v>
      </c>
      <c r="AM372" s="496">
        <f t="shared" ca="1" si="239"/>
        <v>3.1931481562824403E-2</v>
      </c>
      <c r="AN372" s="496">
        <f t="shared" ca="1" si="239"/>
        <v>1.7760892852856973E-2</v>
      </c>
      <c r="AO372" s="496">
        <f t="shared" ca="1" si="239"/>
        <v>2.3550723423467639E-2</v>
      </c>
      <c r="AP372" s="496">
        <f t="shared" ca="1" si="239"/>
        <v>1.6050110798046035E-2</v>
      </c>
    </row>
    <row r="373" spans="3:42">
      <c r="C373" t="str">
        <f t="shared" si="230"/>
        <v>R_ES-SH-DH_GAS</v>
      </c>
      <c r="D373" t="s">
        <v>906</v>
      </c>
      <c r="E373" t="str">
        <f t="shared" si="231"/>
        <v>R_ES-DH-SpHeat</v>
      </c>
      <c r="F373" s="496">
        <f t="shared" ref="F373:AP373" ca="1" si="240">0.5*F338</f>
        <v>5.482827492252907E-2</v>
      </c>
      <c r="G373" s="496">
        <f t="shared" ca="1" si="240"/>
        <v>5.0599289155325043E-2</v>
      </c>
      <c r="H373" s="496">
        <f t="shared" ca="1" si="240"/>
        <v>2.0312014809766847E-2</v>
      </c>
      <c r="I373" s="496">
        <f t="shared" ca="1" si="240"/>
        <v>5.5453484260425664E-2</v>
      </c>
      <c r="J373" s="496">
        <f t="shared" ca="1" si="240"/>
        <v>9.7208793591471082E-2</v>
      </c>
      <c r="K373" s="496">
        <f t="shared" ca="1" si="240"/>
        <v>4.6926882697057304E-2</v>
      </c>
      <c r="L373" s="496">
        <f t="shared" ca="1" si="240"/>
        <v>5.4262403773822153E-2</v>
      </c>
      <c r="M373" s="496">
        <f t="shared" ca="1" si="240"/>
        <v>4.6248834884929306E-2</v>
      </c>
      <c r="N373" s="496">
        <f t="shared" ca="1" si="240"/>
        <v>5.4580677536896487E-2</v>
      </c>
      <c r="O373" s="496">
        <f t="shared" ca="1" si="240"/>
        <v>3.2822773894411544E-2</v>
      </c>
      <c r="P373" s="496">
        <f t="shared" ca="1" si="240"/>
        <v>8.8315362419821686E-2</v>
      </c>
      <c r="Q373" s="496">
        <f t="shared" ca="1" si="240"/>
        <v>5.615455439578855E-2</v>
      </c>
      <c r="R373" s="496">
        <f t="shared" ca="1" si="240"/>
        <v>3.3100876187041821E-2</v>
      </c>
      <c r="S373" s="496">
        <f t="shared" ca="1" si="240"/>
        <v>3.3057757102408519E-2</v>
      </c>
      <c r="T373" s="496">
        <f t="shared" ca="1" si="240"/>
        <v>3.9976395109907685E-2</v>
      </c>
      <c r="U373" s="496">
        <f t="shared" ca="1" si="240"/>
        <v>5.4104641227708056E-2</v>
      </c>
      <c r="V373" s="496">
        <f t="shared" ca="1" si="240"/>
        <v>3.6732192190985294E-2</v>
      </c>
      <c r="W373" s="496">
        <f t="shared" ca="1" si="240"/>
        <v>4.1449115946497514E-2</v>
      </c>
      <c r="X373" s="496">
        <f t="shared" ca="1" si="240"/>
        <v>4.0297435063515817E-2</v>
      </c>
      <c r="Y373" s="496">
        <f t="shared" ca="1" si="240"/>
        <v>7.1751116715262783E-2</v>
      </c>
      <c r="Z373" s="496">
        <f t="shared" ca="1" si="240"/>
        <v>5.4667807654105303E-2</v>
      </c>
      <c r="AA373" s="496">
        <f t="shared" ca="1" si="240"/>
        <v>0.13797570813899404</v>
      </c>
      <c r="AB373" s="496">
        <f t="shared" ca="1" si="240"/>
        <v>5.1326817639948938E-2</v>
      </c>
      <c r="AC373" s="496">
        <f t="shared" ca="1" si="240"/>
        <v>4.4311820686661313E-2</v>
      </c>
      <c r="AD373" s="496">
        <f t="shared" ca="1" si="240"/>
        <v>5.3598050143434266E-2</v>
      </c>
      <c r="AE373" s="496">
        <f t="shared" ca="1" si="240"/>
        <v>1.2322417517281234E-2</v>
      </c>
      <c r="AF373" s="496">
        <f t="shared" ca="1" si="240"/>
        <v>3.0302903344002124E-2</v>
      </c>
      <c r="AG373" s="496">
        <f t="shared" ca="1" si="240"/>
        <v>6.3108832690395911E-2</v>
      </c>
      <c r="AH373" s="496">
        <f t="shared" ca="1" si="240"/>
        <v>4.3069901776116359E-2</v>
      </c>
      <c r="AI373" s="496">
        <f t="shared" ca="1" si="240"/>
        <v>4.3308709870164823E-2</v>
      </c>
      <c r="AJ373" s="496">
        <f t="shared" ca="1" si="240"/>
        <v>4.6559765212009281E-2</v>
      </c>
      <c r="AK373" s="496">
        <f t="shared" ca="1" si="240"/>
        <v>3.2948827859127748E-2</v>
      </c>
      <c r="AL373" s="496">
        <f t="shared" ca="1" si="240"/>
        <v>1.6608867208038242E-2</v>
      </c>
      <c r="AM373" s="496">
        <f t="shared" ca="1" si="240"/>
        <v>3.165213576380483E-2</v>
      </c>
      <c r="AN373" s="496">
        <f t="shared" ca="1" si="240"/>
        <v>3.1170781508157306E-2</v>
      </c>
      <c r="AO373" s="496">
        <f t="shared" ca="1" si="240"/>
        <v>2.3550723423467635E-2</v>
      </c>
      <c r="AP373" s="496">
        <f t="shared" ca="1" si="240"/>
        <v>2.6120021190900119E-2</v>
      </c>
    </row>
    <row r="374" spans="3:42">
      <c r="C374" t="str">
        <f t="shared" si="230"/>
        <v>R_ES-SH-DH_HET</v>
      </c>
      <c r="D374" t="s">
        <v>906</v>
      </c>
      <c r="E374" t="str">
        <f t="shared" si="231"/>
        <v>R_ES-DH-SpHeat</v>
      </c>
      <c r="F374" s="496">
        <f t="shared" ref="F374:AP374" ca="1" si="241">0.5*F339</f>
        <v>5.3000481505497188E-2</v>
      </c>
      <c r="G374" s="496">
        <f t="shared" ca="1" si="241"/>
        <v>3.6622505423541014E-2</v>
      </c>
      <c r="H374" s="496">
        <f t="shared" ca="1" si="241"/>
        <v>1.767945839235523E-2</v>
      </c>
      <c r="I374" s="496">
        <f t="shared" ca="1" si="241"/>
        <v>5.5453484260425664E-2</v>
      </c>
      <c r="J374" s="496">
        <f t="shared" ca="1" si="241"/>
        <v>0.11109576410453839</v>
      </c>
      <c r="K374" s="496">
        <f t="shared" ca="1" si="241"/>
        <v>4.0471717973474534E-2</v>
      </c>
      <c r="L374" s="496">
        <f t="shared" ca="1" si="241"/>
        <v>5.4072274507197218E-2</v>
      </c>
      <c r="M374" s="496">
        <f t="shared" ca="1" si="241"/>
        <v>4.4721617643727389E-2</v>
      </c>
      <c r="N374" s="496">
        <f t="shared" ca="1" si="241"/>
        <v>5.0822040830953777E-2</v>
      </c>
      <c r="O374" s="496">
        <f t="shared" ca="1" si="241"/>
        <v>4.5965079802233834E-2</v>
      </c>
      <c r="P374" s="496">
        <f t="shared" ca="1" si="241"/>
        <v>8.7819056902887715E-2</v>
      </c>
      <c r="Q374" s="496">
        <f t="shared" ca="1" si="241"/>
        <v>5.4067539759231606E-2</v>
      </c>
      <c r="R374" s="496">
        <f t="shared" ca="1" si="241"/>
        <v>3.1208097732903849E-2</v>
      </c>
      <c r="S374" s="496">
        <f t="shared" ca="1" si="241"/>
        <v>3.1037864564322629E-2</v>
      </c>
      <c r="T374" s="496">
        <f t="shared" ca="1" si="241"/>
        <v>3.6565000701012949E-2</v>
      </c>
      <c r="U374" s="496">
        <f t="shared" ca="1" si="241"/>
        <v>3.1655660686210937E-2</v>
      </c>
      <c r="V374" s="496">
        <f t="shared" ca="1" si="241"/>
        <v>0.10694715577359834</v>
      </c>
      <c r="W374" s="496">
        <f t="shared" ca="1" si="241"/>
        <v>4.0695860532342087E-2</v>
      </c>
      <c r="X374" s="496">
        <f t="shared" ca="1" si="241"/>
        <v>3.572433826053182E-2</v>
      </c>
      <c r="Y374" s="496">
        <f t="shared" ca="1" si="241"/>
        <v>3.3615829977743872E-2</v>
      </c>
      <c r="Z374" s="496">
        <f t="shared" ca="1" si="241"/>
        <v>4.8198877135190762E-2</v>
      </c>
      <c r="AA374" s="496">
        <f t="shared" ca="1" si="241"/>
        <v>0.15768652358742177</v>
      </c>
      <c r="AB374" s="496">
        <f t="shared" ca="1" si="241"/>
        <v>5.0349972687459346E-2</v>
      </c>
      <c r="AC374" s="496">
        <f t="shared" ca="1" si="241"/>
        <v>4.431182068666132E-2</v>
      </c>
      <c r="AD374" s="496">
        <f t="shared" ca="1" si="241"/>
        <v>4.9013469071741103E-2</v>
      </c>
      <c r="AE374" s="496">
        <f t="shared" ca="1" si="241"/>
        <v>1.1517018199331994E-2</v>
      </c>
      <c r="AF374" s="496">
        <f t="shared" ca="1" si="241"/>
        <v>2.7709141139918268E-2</v>
      </c>
      <c r="AG374" s="496">
        <f t="shared" ca="1" si="241"/>
        <v>5.8366408058314244E-2</v>
      </c>
      <c r="AH374" s="496">
        <f t="shared" ca="1" si="241"/>
        <v>4.3727026411534677E-2</v>
      </c>
      <c r="AI374" s="496">
        <f t="shared" ca="1" si="241"/>
        <v>4.021491855499644E-2</v>
      </c>
      <c r="AJ374" s="496">
        <f t="shared" ca="1" si="241"/>
        <v>4.0884985667042649E-2</v>
      </c>
      <c r="AK374" s="496">
        <f t="shared" ca="1" si="241"/>
        <v>3.631459362921699E-2</v>
      </c>
      <c r="AL374" s="496">
        <f t="shared" ca="1" si="241"/>
        <v>1.6608867208038242E-2</v>
      </c>
      <c r="AM374" s="496">
        <f t="shared" ca="1" si="241"/>
        <v>3.6914106191523167E-2</v>
      </c>
      <c r="AN374" s="496">
        <f t="shared" ca="1" si="241"/>
        <v>1.7760892852856976E-2</v>
      </c>
      <c r="AO374" s="496">
        <f t="shared" ca="1" si="241"/>
        <v>2.3550723423467635E-2</v>
      </c>
      <c r="AP374" s="496">
        <f t="shared" ca="1" si="241"/>
        <v>1.6050110798046031E-2</v>
      </c>
    </row>
    <row r="375" spans="3:42">
      <c r="C375" t="str">
        <f t="shared" si="230"/>
        <v>R_ES-SH-DH_OIL</v>
      </c>
      <c r="D375" t="s">
        <v>906</v>
      </c>
      <c r="E375" t="str">
        <f t="shared" si="231"/>
        <v>R_ES-DH-SpHeat</v>
      </c>
      <c r="F375" s="496">
        <f t="shared" ref="F375:AP375" ca="1" si="242">0.5*F340</f>
        <v>5.3370043901172622E-2</v>
      </c>
      <c r="G375" s="496">
        <f t="shared" ca="1" si="242"/>
        <v>4.6321380043125499E-2</v>
      </c>
      <c r="H375" s="496">
        <f t="shared" ca="1" si="242"/>
        <v>2.6251190585928869E-2</v>
      </c>
      <c r="I375" s="496">
        <f t="shared" ca="1" si="242"/>
        <v>5.5453484260425651E-2</v>
      </c>
      <c r="J375" s="496">
        <f t="shared" ca="1" si="242"/>
        <v>1.825535372643014E-2</v>
      </c>
      <c r="K375" s="496">
        <f t="shared" ca="1" si="242"/>
        <v>2.809536700992523E-2</v>
      </c>
      <c r="L375" s="496">
        <f t="shared" ca="1" si="242"/>
        <v>5.45057118977458E-2</v>
      </c>
      <c r="M375" s="496">
        <f t="shared" ca="1" si="242"/>
        <v>4.4660066844715532E-2</v>
      </c>
      <c r="N375" s="496">
        <f t="shared" ca="1" si="242"/>
        <v>4.6280080644630253E-2</v>
      </c>
      <c r="O375" s="496">
        <f t="shared" ca="1" si="242"/>
        <v>3.1227912766255476E-2</v>
      </c>
      <c r="P375" s="496">
        <f t="shared" ca="1" si="242"/>
        <v>8.6899960135604082E-2</v>
      </c>
      <c r="Q375" s="496">
        <f t="shared" ca="1" si="242"/>
        <v>5.3151612503908229E-2</v>
      </c>
      <c r="R375" s="496">
        <f t="shared" ca="1" si="242"/>
        <v>3.0792982763520563E-2</v>
      </c>
      <c r="S375" s="496">
        <f t="shared" ca="1" si="242"/>
        <v>3.2810454583096081E-2</v>
      </c>
      <c r="T375" s="496">
        <f t="shared" ca="1" si="242"/>
        <v>2.7548852267645581E-2</v>
      </c>
      <c r="U375" s="496">
        <f t="shared" ca="1" si="242"/>
        <v>5.4281296679287883E-2</v>
      </c>
      <c r="V375" s="496">
        <f t="shared" ca="1" si="242"/>
        <v>0.10694715577359835</v>
      </c>
      <c r="W375" s="496">
        <f t="shared" ca="1" si="242"/>
        <v>4.0939148335839871E-2</v>
      </c>
      <c r="X375" s="496">
        <f t="shared" ca="1" si="242"/>
        <v>4.3584193332877816E-2</v>
      </c>
      <c r="Y375" s="496">
        <f t="shared" ca="1" si="242"/>
        <v>7.2061527508025927E-2</v>
      </c>
      <c r="Z375" s="496">
        <f t="shared" ca="1" si="242"/>
        <v>5.2553152585288476E-2</v>
      </c>
      <c r="AA375" s="496">
        <f t="shared" ca="1" si="242"/>
        <v>0.13797570813899404</v>
      </c>
      <c r="AB375" s="496">
        <f t="shared" ca="1" si="242"/>
        <v>5.330613204889182E-2</v>
      </c>
      <c r="AC375" s="496">
        <f t="shared" ca="1" si="242"/>
        <v>4.4311820686661313E-2</v>
      </c>
      <c r="AD375" s="496">
        <f t="shared" ca="1" si="242"/>
        <v>5.1706111078501302E-2</v>
      </c>
      <c r="AE375" s="496">
        <f t="shared" ca="1" si="242"/>
        <v>1.2201814731448235E-2</v>
      </c>
      <c r="AF375" s="496">
        <f t="shared" ca="1" si="242"/>
        <v>2.0034682498392874E-2</v>
      </c>
      <c r="AG375" s="496">
        <f t="shared" ca="1" si="242"/>
        <v>6.5541863548546284E-2</v>
      </c>
      <c r="AH375" s="496">
        <f t="shared" ca="1" si="242"/>
        <v>4.6699934164578724E-2</v>
      </c>
      <c r="AI375" s="496">
        <f t="shared" ca="1" si="242"/>
        <v>2.8449159078637924E-2</v>
      </c>
      <c r="AJ375" s="496">
        <f t="shared" ca="1" si="242"/>
        <v>4.7498542043543812E-2</v>
      </c>
      <c r="AK375" s="496">
        <f t="shared" ca="1" si="242"/>
        <v>1.3214416994595718E-2</v>
      </c>
      <c r="AL375" s="496">
        <f t="shared" ca="1" si="242"/>
        <v>2.7544666864986928E-2</v>
      </c>
      <c r="AM375" s="496">
        <f t="shared" ca="1" si="242"/>
        <v>3.3378515614799077E-2</v>
      </c>
      <c r="AN375" s="496">
        <f t="shared" ca="1" si="242"/>
        <v>1.7760892852856973E-2</v>
      </c>
      <c r="AO375" s="496">
        <f t="shared" ca="1" si="242"/>
        <v>2.3550723423467639E-2</v>
      </c>
      <c r="AP375" s="496">
        <f t="shared" ca="1" si="242"/>
        <v>1.6050110798046031E-2</v>
      </c>
    </row>
    <row r="376" spans="3:42">
      <c r="C376" t="str">
        <f t="shared" si="230"/>
        <v>R_ES-SH-DH_BIO</v>
      </c>
      <c r="D376" t="s">
        <v>906</v>
      </c>
      <c r="E376" t="str">
        <f t="shared" si="231"/>
        <v>R_ES-DH-SpHeat</v>
      </c>
      <c r="F376" s="496">
        <f t="shared" ref="F376:AP376" ca="1" si="243">0.5*F341</f>
        <v>5.6046616259657019E-2</v>
      </c>
      <c r="G376" s="496">
        <f t="shared" ca="1" si="243"/>
        <v>5.1656433877811526E-2</v>
      </c>
      <c r="H376" s="496">
        <f t="shared" ca="1" si="243"/>
        <v>1.948194306091745E-2</v>
      </c>
      <c r="I376" s="496">
        <f t="shared" ca="1" si="243"/>
        <v>5.5453484260425651E-2</v>
      </c>
      <c r="J376" s="496">
        <f t="shared" ca="1" si="243"/>
        <v>1.5833855441519197E-2</v>
      </c>
      <c r="K376" s="496">
        <f t="shared" ca="1" si="243"/>
        <v>4.3822332439305021E-2</v>
      </c>
      <c r="L376" s="496">
        <f t="shared" ca="1" si="243"/>
        <v>5.9793230517593818E-2</v>
      </c>
      <c r="M376" s="496">
        <f t="shared" ca="1" si="243"/>
        <v>4.7548006203485774E-2</v>
      </c>
      <c r="N376" s="496">
        <f t="shared" ca="1" si="243"/>
        <v>5.3471356485827411E-2</v>
      </c>
      <c r="O376" s="496">
        <f t="shared" ca="1" si="243"/>
        <v>3.1100901976051466E-2</v>
      </c>
      <c r="P376" s="496">
        <f t="shared" ca="1" si="243"/>
        <v>9.4871557268611476E-2</v>
      </c>
      <c r="Q376" s="496">
        <f t="shared" ca="1" si="243"/>
        <v>5.8006267845238518E-2</v>
      </c>
      <c r="R376" s="496">
        <f t="shared" ca="1" si="243"/>
        <v>3.1591587320823511E-2</v>
      </c>
      <c r="S376" s="496">
        <f t="shared" ca="1" si="243"/>
        <v>3.3218116733657058E-2</v>
      </c>
      <c r="T376" s="496">
        <f t="shared" ca="1" si="243"/>
        <v>4.1554426593359409E-2</v>
      </c>
      <c r="U376" s="496">
        <f t="shared" ca="1" si="243"/>
        <v>5.334338704217715E-2</v>
      </c>
      <c r="V376" s="496">
        <f t="shared" ca="1" si="243"/>
        <v>3.9600035170819448E-2</v>
      </c>
      <c r="W376" s="496">
        <f t="shared" ca="1" si="243"/>
        <v>4.3865656595522141E-2</v>
      </c>
      <c r="X376" s="496">
        <f t="shared" ca="1" si="243"/>
        <v>3.7831140877888567E-2</v>
      </c>
      <c r="Y376" s="496">
        <f t="shared" ca="1" si="243"/>
        <v>7.6694311258517486E-2</v>
      </c>
      <c r="Z376" s="496">
        <f t="shared" ca="1" si="243"/>
        <v>4.6072719864100449E-2</v>
      </c>
      <c r="AA376" s="496">
        <f t="shared" ca="1" si="243"/>
        <v>1.419499182310727E-2</v>
      </c>
      <c r="AB376" s="496">
        <f t="shared" ca="1" si="243"/>
        <v>4.661667842542478E-2</v>
      </c>
      <c r="AC376" s="496">
        <f t="shared" ca="1" si="243"/>
        <v>4.431182068666132E-2</v>
      </c>
      <c r="AD376" s="496">
        <f t="shared" ca="1" si="243"/>
        <v>5.3807037360136749E-2</v>
      </c>
      <c r="AE376" s="496">
        <f t="shared" ca="1" si="243"/>
        <v>1.1555763804256483E-2</v>
      </c>
      <c r="AF376" s="496">
        <f t="shared" ca="1" si="243"/>
        <v>3.1589345699595518E-2</v>
      </c>
      <c r="AG376" s="496">
        <f t="shared" ca="1" si="243"/>
        <v>6.3504221585105297E-2</v>
      </c>
      <c r="AH376" s="496">
        <f t="shared" ca="1" si="243"/>
        <v>4.3180770851056052E-2</v>
      </c>
      <c r="AI376" s="496">
        <f t="shared" ca="1" si="243"/>
        <v>4.4481368110178061E-2</v>
      </c>
      <c r="AJ376" s="496">
        <f t="shared" ca="1" si="243"/>
        <v>5.0526437326513407E-2</v>
      </c>
      <c r="AK376" s="496">
        <f t="shared" ca="1" si="243"/>
        <v>1.3214416994595716E-2</v>
      </c>
      <c r="AL376" s="496">
        <f t="shared" ca="1" si="243"/>
        <v>1.6608867208038235E-2</v>
      </c>
      <c r="AM376" s="496">
        <f t="shared" ca="1" si="243"/>
        <v>3.1931481562824403E-2</v>
      </c>
      <c r="AN376" s="496">
        <f t="shared" ca="1" si="243"/>
        <v>1.7760892852856973E-2</v>
      </c>
      <c r="AO376" s="496">
        <f t="shared" ca="1" si="243"/>
        <v>2.3550723423467635E-2</v>
      </c>
      <c r="AP376" s="496">
        <f t="shared" ca="1" si="243"/>
        <v>1.6050110798046035E-2</v>
      </c>
    </row>
    <row r="377" spans="3:42">
      <c r="C377" t="str">
        <f t="shared" si="230"/>
        <v>R_ES-SH-DH_COA</v>
      </c>
      <c r="D377" t="s">
        <v>906</v>
      </c>
      <c r="E377" t="str">
        <f t="shared" si="231"/>
        <v>R_ES-DH-SpHeat</v>
      </c>
      <c r="F377" s="496">
        <f t="shared" ref="F377:AP377" ca="1" si="244">0.5*F342</f>
        <v>5.6852240431505982E-2</v>
      </c>
      <c r="G377" s="496">
        <f t="shared" ca="1" si="244"/>
        <v>4.4668053456906526E-2</v>
      </c>
      <c r="H377" s="496">
        <f t="shared" ca="1" si="244"/>
        <v>1.8163210217635218E-2</v>
      </c>
      <c r="I377" s="496">
        <f t="shared" ca="1" si="244"/>
        <v>5.5453484260425658E-2</v>
      </c>
      <c r="J377" s="496">
        <f t="shared" ca="1" si="244"/>
        <v>9.7208793591471082E-2</v>
      </c>
      <c r="K377" s="496">
        <f t="shared" ca="1" si="244"/>
        <v>4.2454131676179042E-2</v>
      </c>
      <c r="L377" s="496">
        <f t="shared" ca="1" si="244"/>
        <v>5.5055465048316571E-2</v>
      </c>
      <c r="M377" s="496">
        <f t="shared" ca="1" si="244"/>
        <v>2.334351581186106E-2</v>
      </c>
      <c r="N377" s="496">
        <f t="shared" ca="1" si="244"/>
        <v>4.4188246029284999E-2</v>
      </c>
      <c r="O377" s="496">
        <f t="shared" ca="1" si="244"/>
        <v>2.9594942756444274E-2</v>
      </c>
      <c r="P377" s="496">
        <f t="shared" ca="1" si="244"/>
        <v>8.8391008134748483E-2</v>
      </c>
      <c r="Q377" s="496">
        <f t="shared" ca="1" si="244"/>
        <v>5.8069429424710502E-2</v>
      </c>
      <c r="R377" s="496">
        <f t="shared" ca="1" si="244"/>
        <v>4.2732988956565757E-2</v>
      </c>
      <c r="S377" s="496">
        <f t="shared" ca="1" si="244"/>
        <v>3.5738115696843639E-2</v>
      </c>
      <c r="T377" s="496">
        <f t="shared" ca="1" si="244"/>
        <v>3.3465554639208181E-2</v>
      </c>
      <c r="U377" s="496">
        <f t="shared" ca="1" si="244"/>
        <v>4.7433549076442823E-2</v>
      </c>
      <c r="V377" s="496">
        <f t="shared" ca="1" si="244"/>
        <v>3.2695858802869474E-2</v>
      </c>
      <c r="W377" s="496">
        <f t="shared" ca="1" si="244"/>
        <v>3.7374922804059206E-2</v>
      </c>
      <c r="X377" s="496">
        <f t="shared" ca="1" si="244"/>
        <v>3.6815539547638089E-2</v>
      </c>
      <c r="Y377" s="496">
        <f t="shared" ca="1" si="244"/>
        <v>6.8826660576796553E-2</v>
      </c>
      <c r="Z377" s="496">
        <f t="shared" ca="1" si="244"/>
        <v>6.4123115766305971E-2</v>
      </c>
      <c r="AA377" s="496">
        <f t="shared" ca="1" si="244"/>
        <v>0.13797570813899404</v>
      </c>
      <c r="AB377" s="496">
        <f t="shared" ca="1" si="244"/>
        <v>4.4661887751027009E-2</v>
      </c>
      <c r="AC377" s="496">
        <f t="shared" ca="1" si="244"/>
        <v>3.8161521081249677E-2</v>
      </c>
      <c r="AD377" s="496">
        <f t="shared" ca="1" si="244"/>
        <v>5.1735587753620166E-2</v>
      </c>
      <c r="AE377" s="496">
        <f t="shared" ca="1" si="244"/>
        <v>2.670283953210837E-2</v>
      </c>
      <c r="AF377" s="496">
        <f t="shared" ca="1" si="244"/>
        <v>1.5311146096100051E-2</v>
      </c>
      <c r="AG377" s="496">
        <f t="shared" ca="1" si="244"/>
        <v>3.0918050181816936E-2</v>
      </c>
      <c r="AH377" s="496">
        <f t="shared" ca="1" si="244"/>
        <v>4.3498343514559307E-2</v>
      </c>
      <c r="AI377" s="496">
        <f t="shared" ca="1" si="244"/>
        <v>4.2499311691687504E-2</v>
      </c>
      <c r="AJ377" s="496">
        <f t="shared" ca="1" si="244"/>
        <v>4.4144521772349669E-2</v>
      </c>
      <c r="AK377" s="496">
        <f t="shared" ca="1" si="244"/>
        <v>2.9564015778485653E-2</v>
      </c>
      <c r="AL377" s="496">
        <f t="shared" ca="1" si="244"/>
        <v>1.6608867208038239E-2</v>
      </c>
      <c r="AM377" s="496">
        <f t="shared" ca="1" si="244"/>
        <v>3.4464163372919403E-2</v>
      </c>
      <c r="AN377" s="496">
        <f t="shared" ca="1" si="244"/>
        <v>2.7968626995621665E-2</v>
      </c>
      <c r="AO377" s="496">
        <f t="shared" ca="1" si="244"/>
        <v>2.3550723423467639E-2</v>
      </c>
      <c r="AP377" s="496">
        <f t="shared" ca="1" si="244"/>
        <v>1.6050110798046038E-2</v>
      </c>
    </row>
    <row r="378" spans="3:42">
      <c r="C378" t="str">
        <f t="shared" si="230"/>
        <v>R_ES-SH-DH_LPG</v>
      </c>
      <c r="D378" t="s">
        <v>906</v>
      </c>
      <c r="E378" t="str">
        <f t="shared" si="231"/>
        <v>R_ES-DH-SpHeat</v>
      </c>
      <c r="F378" s="496">
        <f t="shared" ref="F378:AP378" ca="1" si="245">0.5*F343</f>
        <v>5.2973419523048099E-2</v>
      </c>
      <c r="G378" s="496">
        <f t="shared" ca="1" si="245"/>
        <v>4.8317356040837249E-2</v>
      </c>
      <c r="H378" s="496">
        <f t="shared" ca="1" si="245"/>
        <v>1.9015691724157662E-2</v>
      </c>
      <c r="I378" s="496">
        <f t="shared" ca="1" si="245"/>
        <v>4.2459810629495984E-2</v>
      </c>
      <c r="J378" s="496">
        <f t="shared" ca="1" si="245"/>
        <v>1.8395703041370115E-2</v>
      </c>
      <c r="K378" s="496">
        <f t="shared" ca="1" si="245"/>
        <v>2.809536700992523E-2</v>
      </c>
      <c r="L378" s="496">
        <f t="shared" ca="1" si="245"/>
        <v>5.4300997150199606E-2</v>
      </c>
      <c r="M378" s="496">
        <f t="shared" ca="1" si="245"/>
        <v>4.6093048286561862E-2</v>
      </c>
      <c r="N378" s="496">
        <f t="shared" ca="1" si="245"/>
        <v>4.371640156603452E-2</v>
      </c>
      <c r="O378" s="496">
        <f t="shared" ca="1" si="245"/>
        <v>3.0855301946825883E-2</v>
      </c>
      <c r="P378" s="496">
        <f t="shared" ca="1" si="245"/>
        <v>4.4194473166112094E-2</v>
      </c>
      <c r="Q378" s="496">
        <f t="shared" ca="1" si="245"/>
        <v>5.5575926846419869E-2</v>
      </c>
      <c r="R378" s="496">
        <f t="shared" ca="1" si="245"/>
        <v>4.7291200216187705E-2</v>
      </c>
      <c r="S378" s="496">
        <f t="shared" ca="1" si="245"/>
        <v>3.3069271860944612E-2</v>
      </c>
      <c r="T378" s="496">
        <f t="shared" ca="1" si="245"/>
        <v>3.9909787678487969E-2</v>
      </c>
      <c r="U378" s="496">
        <f t="shared" ca="1" si="245"/>
        <v>5.2725049244419182E-2</v>
      </c>
      <c r="V378" s="496">
        <f t="shared" ca="1" si="245"/>
        <v>3.8254716942396301E-2</v>
      </c>
      <c r="W378" s="496">
        <f t="shared" ca="1" si="245"/>
        <v>4.1281099843768682E-2</v>
      </c>
      <c r="X378" s="496">
        <f t="shared" ca="1" si="245"/>
        <v>4.2305821224408527E-2</v>
      </c>
      <c r="Y378" s="496">
        <f t="shared" ca="1" si="245"/>
        <v>3.4122484983905445E-2</v>
      </c>
      <c r="Z378" s="496">
        <f t="shared" ca="1" si="245"/>
        <v>4.3620921141451732E-2</v>
      </c>
      <c r="AA378" s="496">
        <f t="shared" ca="1" si="245"/>
        <v>1.4350676188311276E-2</v>
      </c>
      <c r="AB378" s="496">
        <f t="shared" ca="1" si="245"/>
        <v>3.1995525458666726E-2</v>
      </c>
      <c r="AC378" s="496">
        <f t="shared" ca="1" si="245"/>
        <v>4.4649635779757356E-2</v>
      </c>
      <c r="AD378" s="496">
        <f t="shared" ca="1" si="245"/>
        <v>4.2117603786497267E-2</v>
      </c>
      <c r="AE378" s="496">
        <f t="shared" ca="1" si="245"/>
        <v>1.1792073054408266E-2</v>
      </c>
      <c r="AF378" s="496">
        <f t="shared" ca="1" si="245"/>
        <v>3.2201321299151354E-2</v>
      </c>
      <c r="AG378" s="496">
        <f t="shared" ca="1" si="245"/>
        <v>3.5398371994126647E-2</v>
      </c>
      <c r="AH378" s="496">
        <f t="shared" ca="1" si="245"/>
        <v>4.4913856906873446E-2</v>
      </c>
      <c r="AI378" s="496">
        <f t="shared" ca="1" si="245"/>
        <v>2.8449159078637924E-2</v>
      </c>
      <c r="AJ378" s="496">
        <f t="shared" ca="1" si="245"/>
        <v>4.6470539883148754E-2</v>
      </c>
      <c r="AK378" s="496">
        <f t="shared" ca="1" si="245"/>
        <v>3.2717528623985526E-2</v>
      </c>
      <c r="AL378" s="496">
        <f t="shared" ca="1" si="245"/>
        <v>2.7544666864986928E-2</v>
      </c>
      <c r="AM378" s="496">
        <f t="shared" ca="1" si="245"/>
        <v>3.3378515614799077E-2</v>
      </c>
      <c r="AN378" s="496">
        <f t="shared" ca="1" si="245"/>
        <v>3.0951964075487247E-2</v>
      </c>
      <c r="AO378" s="496">
        <f t="shared" ca="1" si="245"/>
        <v>2.3550723423467632E-2</v>
      </c>
      <c r="AP378" s="496">
        <f t="shared" ca="1" si="245"/>
        <v>1.6050110798046031E-2</v>
      </c>
    </row>
    <row r="379" spans="3:42">
      <c r="C379" t="str">
        <f t="shared" si="230"/>
        <v>R_ES-SH-DH_GEO</v>
      </c>
      <c r="D379" t="s">
        <v>906</v>
      </c>
      <c r="E379" t="str">
        <f t="shared" si="231"/>
        <v>R_ES-DH-SpHeat</v>
      </c>
      <c r="F379" s="496">
        <f t="shared" ref="F379:AP379" ca="1" si="246">0.5*F344</f>
        <v>5.2973419523048099E-2</v>
      </c>
      <c r="G379" s="496">
        <f t="shared" ca="1" si="246"/>
        <v>4.8317356040837249E-2</v>
      </c>
      <c r="H379" s="496">
        <f t="shared" ca="1" si="246"/>
        <v>1.9015691724157662E-2</v>
      </c>
      <c r="I379" s="496">
        <f t="shared" ca="1" si="246"/>
        <v>4.2459810629495984E-2</v>
      </c>
      <c r="J379" s="496">
        <f t="shared" ca="1" si="246"/>
        <v>1.8395703041370115E-2</v>
      </c>
      <c r="K379" s="496">
        <f t="shared" ca="1" si="246"/>
        <v>2.809536700992523E-2</v>
      </c>
      <c r="L379" s="496">
        <f t="shared" ca="1" si="246"/>
        <v>5.4300997150199606E-2</v>
      </c>
      <c r="M379" s="496">
        <f t="shared" ca="1" si="246"/>
        <v>4.6093048286561862E-2</v>
      </c>
      <c r="N379" s="496">
        <f t="shared" ca="1" si="246"/>
        <v>4.371640156603452E-2</v>
      </c>
      <c r="O379" s="496">
        <f t="shared" ca="1" si="246"/>
        <v>3.0855301946825883E-2</v>
      </c>
      <c r="P379" s="496">
        <f t="shared" ca="1" si="246"/>
        <v>4.4194473166112094E-2</v>
      </c>
      <c r="Q379" s="496">
        <f t="shared" ca="1" si="246"/>
        <v>5.5575926846419869E-2</v>
      </c>
      <c r="R379" s="496">
        <f t="shared" ca="1" si="246"/>
        <v>4.7291200216187705E-2</v>
      </c>
      <c r="S379" s="496">
        <f t="shared" ca="1" si="246"/>
        <v>3.3069271860944612E-2</v>
      </c>
      <c r="T379" s="496">
        <f t="shared" ca="1" si="246"/>
        <v>3.9909787678487969E-2</v>
      </c>
      <c r="U379" s="496">
        <f t="shared" ca="1" si="246"/>
        <v>5.2725049244419182E-2</v>
      </c>
      <c r="V379" s="496">
        <f t="shared" ca="1" si="246"/>
        <v>3.8254716942396301E-2</v>
      </c>
      <c r="W379" s="496">
        <f t="shared" ca="1" si="246"/>
        <v>4.1281099843768682E-2</v>
      </c>
      <c r="X379" s="496">
        <f t="shared" ca="1" si="246"/>
        <v>4.2305821224408527E-2</v>
      </c>
      <c r="Y379" s="496">
        <f t="shared" ca="1" si="246"/>
        <v>3.4122484983905445E-2</v>
      </c>
      <c r="Z379" s="496">
        <f t="shared" ca="1" si="246"/>
        <v>4.3620921141451732E-2</v>
      </c>
      <c r="AA379" s="496">
        <f t="shared" ca="1" si="246"/>
        <v>1.4350676188311276E-2</v>
      </c>
      <c r="AB379" s="496">
        <f t="shared" ca="1" si="246"/>
        <v>3.1995525458666726E-2</v>
      </c>
      <c r="AC379" s="496">
        <f t="shared" ca="1" si="246"/>
        <v>4.4649635779757356E-2</v>
      </c>
      <c r="AD379" s="496">
        <f t="shared" ca="1" si="246"/>
        <v>4.2117603786497267E-2</v>
      </c>
      <c r="AE379" s="496">
        <f t="shared" ca="1" si="246"/>
        <v>1.1792073054408266E-2</v>
      </c>
      <c r="AF379" s="496">
        <f t="shared" ca="1" si="246"/>
        <v>3.2201321299151354E-2</v>
      </c>
      <c r="AG379" s="496">
        <f t="shared" ca="1" si="246"/>
        <v>3.5398371994126647E-2</v>
      </c>
      <c r="AH379" s="496">
        <f t="shared" ca="1" si="246"/>
        <v>4.4913856906873446E-2</v>
      </c>
      <c r="AI379" s="496">
        <f t="shared" ca="1" si="246"/>
        <v>2.8449159078637924E-2</v>
      </c>
      <c r="AJ379" s="496">
        <f t="shared" ca="1" si="246"/>
        <v>4.6470539883148754E-2</v>
      </c>
      <c r="AK379" s="496">
        <f t="shared" ca="1" si="246"/>
        <v>3.2717528623985526E-2</v>
      </c>
      <c r="AL379" s="496">
        <f t="shared" ca="1" si="246"/>
        <v>2.7544666864986928E-2</v>
      </c>
      <c r="AM379" s="496">
        <f t="shared" ca="1" si="246"/>
        <v>3.3378515614799077E-2</v>
      </c>
      <c r="AN379" s="496">
        <f t="shared" ca="1" si="246"/>
        <v>3.0951964075487247E-2</v>
      </c>
      <c r="AO379" s="496">
        <f t="shared" ca="1" si="246"/>
        <v>2.3550723423467632E-2</v>
      </c>
      <c r="AP379" s="496">
        <f t="shared" ca="1" si="246"/>
        <v>1.6050110798046031E-2</v>
      </c>
    </row>
    <row r="380" spans="3:42">
      <c r="C380" t="str">
        <f t="shared" si="230"/>
        <v>R_ES-SH-DH-70_ELC-R</v>
      </c>
      <c r="D380" t="s">
        <v>906</v>
      </c>
      <c r="E380" t="str">
        <f t="shared" si="231"/>
        <v>R_ES-DH-70-SpHeat</v>
      </c>
      <c r="F380" s="496">
        <f t="shared" ref="F380:AP380" ca="1" si="247">0.5*F345</f>
        <v>2.4392784299747537E-2</v>
      </c>
      <c r="G380" s="496">
        <f t="shared" ca="1" si="247"/>
        <v>4.540522086933825E-2</v>
      </c>
      <c r="H380" s="496">
        <f t="shared" ca="1" si="247"/>
        <v>1.7918229494632818E-2</v>
      </c>
      <c r="I380" s="496">
        <f t="shared" ca="1" si="247"/>
        <v>3.2048151082955924E-2</v>
      </c>
      <c r="J380" s="496">
        <f t="shared" ca="1" si="247"/>
        <v>2.1599601056799672E-2</v>
      </c>
      <c r="K380" s="496">
        <f t="shared" ca="1" si="247"/>
        <v>3.5472166288115815E-2</v>
      </c>
      <c r="L380" s="496">
        <f t="shared" ca="1" si="247"/>
        <v>2.3955425720800939E-2</v>
      </c>
      <c r="M380" s="496">
        <f t="shared" ca="1" si="247"/>
        <v>7.7388914199454173E-3</v>
      </c>
      <c r="N380" s="496">
        <f t="shared" ca="1" si="247"/>
        <v>9.2618725836368255E-3</v>
      </c>
      <c r="O380" s="496">
        <f t="shared" ca="1" si="247"/>
        <v>2.2982149993005335E-2</v>
      </c>
      <c r="P380" s="496">
        <f t="shared" ca="1" si="247"/>
        <v>2.7733659053945647E-2</v>
      </c>
      <c r="Q380" s="496">
        <f t="shared" ca="1" si="247"/>
        <v>2.1059350191822809E-2</v>
      </c>
      <c r="R380" s="496">
        <f t="shared" ca="1" si="247"/>
        <v>3.3762638418693466E-2</v>
      </c>
      <c r="S380" s="496">
        <f t="shared" ca="1" si="247"/>
        <v>2.6486262623697167E-2</v>
      </c>
      <c r="T380" s="496">
        <f t="shared" ca="1" si="247"/>
        <v>3.1797312591804121E-2</v>
      </c>
      <c r="U380" s="496">
        <f t="shared" ca="1" si="247"/>
        <v>3.0147039310141135E-2</v>
      </c>
      <c r="V380" s="496">
        <f t="shared" ca="1" si="247"/>
        <v>7.5068682210458135E-2</v>
      </c>
      <c r="W380" s="496">
        <f t="shared" ca="1" si="247"/>
        <v>3.3350627689681034E-3</v>
      </c>
      <c r="X380" s="496">
        <f t="shared" ca="1" si="247"/>
        <v>2.0270978483384196E-2</v>
      </c>
      <c r="Y380" s="496">
        <f t="shared" ca="1" si="247"/>
        <v>2.7957086929261687E-2</v>
      </c>
      <c r="Z380" s="496">
        <f t="shared" ca="1" si="247"/>
        <v>3.0210617150616407E-2</v>
      </c>
      <c r="AA380" s="496">
        <f t="shared" ca="1" si="247"/>
        <v>1.215301585110745E-2</v>
      </c>
      <c r="AB380" s="496">
        <f t="shared" ca="1" si="247"/>
        <v>3.0177874104960263E-2</v>
      </c>
      <c r="AC380" s="496">
        <f t="shared" ca="1" si="247"/>
        <v>3.0032050509530731E-2</v>
      </c>
      <c r="AD380" s="496">
        <f t="shared" ca="1" si="247"/>
        <v>3.8385303345459768E-2</v>
      </c>
      <c r="AE380" s="496">
        <f t="shared" ca="1" si="247"/>
        <v>5.2155888718108173E-3</v>
      </c>
      <c r="AF380" s="496">
        <f t="shared" ca="1" si="247"/>
        <v>3.2351205114435878E-2</v>
      </c>
      <c r="AG380" s="496">
        <f t="shared" ca="1" si="247"/>
        <v>4.4625330263379628E-2</v>
      </c>
      <c r="AH380" s="496">
        <f t="shared" ca="1" si="247"/>
        <v>3.4233932383464394E-2</v>
      </c>
      <c r="AI380" s="496">
        <f t="shared" ca="1" si="247"/>
        <v>3.4119211306624639E-2</v>
      </c>
      <c r="AJ380" s="496">
        <f t="shared" ca="1" si="247"/>
        <v>2.6710452967584033E-2</v>
      </c>
      <c r="AK380" s="496">
        <f t="shared" ca="1" si="247"/>
        <v>1.22211328616945E-2</v>
      </c>
      <c r="AL380" s="496">
        <f t="shared" ca="1" si="247"/>
        <v>1.49930253713603E-2</v>
      </c>
      <c r="AM380" s="496">
        <f t="shared" ca="1" si="247"/>
        <v>2.8675520373923347E-2</v>
      </c>
      <c r="AN380" s="496">
        <f t="shared" ca="1" si="247"/>
        <v>1.3274112098891185E-2</v>
      </c>
      <c r="AO380" s="496">
        <f t="shared" ca="1" si="247"/>
        <v>2.1259522963194659E-2</v>
      </c>
      <c r="AP380" s="496">
        <f t="shared" ca="1" si="247"/>
        <v>1.448862919993635E-2</v>
      </c>
    </row>
    <row r="381" spans="3:42">
      <c r="C381" t="str">
        <f t="shared" si="230"/>
        <v>R_ES-SH-DH-70_GAS</v>
      </c>
      <c r="D381" t="s">
        <v>906</v>
      </c>
      <c r="E381" t="str">
        <f t="shared" si="231"/>
        <v>R_ES-DH-70-SpHeat</v>
      </c>
      <c r="F381" s="496">
        <f t="shared" ref="F381:AP381" ca="1" si="248">0.5*F346</f>
        <v>3.1686824764391587E-2</v>
      </c>
      <c r="G381" s="496">
        <f t="shared" ca="1" si="248"/>
        <v>4.286305395307087E-2</v>
      </c>
      <c r="H381" s="496">
        <f t="shared" ca="1" si="248"/>
        <v>1.5237211101447833E-2</v>
      </c>
      <c r="I381" s="496">
        <f t="shared" ca="1" si="248"/>
        <v>3.2048151082955924E-2</v>
      </c>
      <c r="J381" s="496">
        <f t="shared" ca="1" si="248"/>
        <v>8.5130708260975657E-2</v>
      </c>
      <c r="K381" s="496">
        <f t="shared" ca="1" si="248"/>
        <v>3.7076686764084592E-2</v>
      </c>
      <c r="L381" s="496">
        <f t="shared" ca="1" si="248"/>
        <v>2.6030845035239225E-2</v>
      </c>
      <c r="M381" s="496">
        <f t="shared" ca="1" si="248"/>
        <v>2.7728651843322578E-2</v>
      </c>
      <c r="N381" s="496">
        <f t="shared" ca="1" si="248"/>
        <v>3.7777270852800443E-2</v>
      </c>
      <c r="O381" s="496">
        <f t="shared" ca="1" si="248"/>
        <v>2.2215363580484884E-2</v>
      </c>
      <c r="P381" s="496">
        <f t="shared" ca="1" si="248"/>
        <v>6.1990595522052119E-2</v>
      </c>
      <c r="Q381" s="496">
        <f t="shared" ca="1" si="248"/>
        <v>2.1521088002258697E-2</v>
      </c>
      <c r="R381" s="496">
        <f t="shared" ca="1" si="248"/>
        <v>3.0612792519395908E-2</v>
      </c>
      <c r="S381" s="496">
        <f t="shared" ca="1" si="248"/>
        <v>2.4722965220077948E-2</v>
      </c>
      <c r="T381" s="496">
        <f t="shared" ca="1" si="248"/>
        <v>2.7287399830349664E-2</v>
      </c>
      <c r="U381" s="496">
        <f t="shared" ca="1" si="248"/>
        <v>2.8129542967359842E-2</v>
      </c>
      <c r="V381" s="496">
        <f t="shared" ca="1" si="248"/>
        <v>2.578317527504799E-2</v>
      </c>
      <c r="W381" s="496">
        <f t="shared" ca="1" si="248"/>
        <v>3.2881198429354844E-2</v>
      </c>
      <c r="X381" s="496">
        <f t="shared" ca="1" si="248"/>
        <v>2.5615549338712806E-2</v>
      </c>
      <c r="Y381" s="496">
        <f t="shared" ca="1" si="248"/>
        <v>3.3200091641194078E-2</v>
      </c>
      <c r="Z381" s="496">
        <f t="shared" ca="1" si="248"/>
        <v>3.6686949207442948E-2</v>
      </c>
      <c r="AA381" s="496">
        <f t="shared" ca="1" si="248"/>
        <v>0.11015941637980491</v>
      </c>
      <c r="AB381" s="496">
        <f t="shared" ca="1" si="248"/>
        <v>3.2169491871493386E-2</v>
      </c>
      <c r="AC381" s="496">
        <f t="shared" ca="1" si="248"/>
        <v>3.0032050509530728E-2</v>
      </c>
      <c r="AD381" s="496">
        <f t="shared" ca="1" si="248"/>
        <v>3.1452922430321342E-2</v>
      </c>
      <c r="AE381" s="496">
        <f t="shared" ca="1" si="248"/>
        <v>1.0576481607470179E-2</v>
      </c>
      <c r="AF381" s="496">
        <f t="shared" ca="1" si="248"/>
        <v>2.6586037620292421E-2</v>
      </c>
      <c r="AG381" s="496">
        <f t="shared" ca="1" si="248"/>
        <v>4.4160216399841905E-2</v>
      </c>
      <c r="AH381" s="496">
        <f t="shared" ca="1" si="248"/>
        <v>2.9228797903051551E-2</v>
      </c>
      <c r="AI381" s="496">
        <f t="shared" ca="1" si="248"/>
        <v>3.2388664201067473E-2</v>
      </c>
      <c r="AJ381" s="496">
        <f t="shared" ca="1" si="248"/>
        <v>2.550808535714922E-2</v>
      </c>
      <c r="AK381" s="496">
        <f t="shared" ca="1" si="248"/>
        <v>3.0472173162704157E-2</v>
      </c>
      <c r="AL381" s="496">
        <f t="shared" ca="1" si="248"/>
        <v>1.4993025371360305E-2</v>
      </c>
      <c r="AM381" s="496">
        <f t="shared" ca="1" si="248"/>
        <v>2.8424658661309238E-2</v>
      </c>
      <c r="AN381" s="496">
        <f t="shared" ca="1" si="248"/>
        <v>2.329637656041415E-2</v>
      </c>
      <c r="AO381" s="496">
        <f t="shared" ca="1" si="248"/>
        <v>2.1259522963194662E-2</v>
      </c>
      <c r="AP381" s="496">
        <f t="shared" ca="1" si="248"/>
        <v>2.3578859142548966E-2</v>
      </c>
    </row>
    <row r="382" spans="3:42">
      <c r="C382" t="str">
        <f t="shared" si="230"/>
        <v>R_ES-SH-DH-70_HET</v>
      </c>
      <c r="D382" t="s">
        <v>906</v>
      </c>
      <c r="E382" t="str">
        <f t="shared" si="231"/>
        <v>R_ES-DH-70-SpHeat</v>
      </c>
      <c r="F382" s="496">
        <f t="shared" ref="F382:AP382" ca="1" si="249">0.5*F347</f>
        <v>3.06304907872086E-2</v>
      </c>
      <c r="G382" s="496">
        <f t="shared" ca="1" si="249"/>
        <v>3.102321103854221E-2</v>
      </c>
      <c r="H382" s="496">
        <f t="shared" ca="1" si="249"/>
        <v>1.3262379050356366E-2</v>
      </c>
      <c r="I382" s="496">
        <f t="shared" ca="1" si="249"/>
        <v>3.2048151082955917E-2</v>
      </c>
      <c r="J382" s="496">
        <f t="shared" ca="1" si="249"/>
        <v>9.7292238012543608E-2</v>
      </c>
      <c r="K382" s="496">
        <f t="shared" ca="1" si="249"/>
        <v>3.1976494577616275E-2</v>
      </c>
      <c r="L382" s="496">
        <f t="shared" ca="1" si="249"/>
        <v>2.5939635926685783E-2</v>
      </c>
      <c r="M382" s="496">
        <f t="shared" ca="1" si="249"/>
        <v>2.6813003367511849E-2</v>
      </c>
      <c r="N382" s="496">
        <f t="shared" ca="1" si="249"/>
        <v>3.5175781767552462E-2</v>
      </c>
      <c r="O382" s="496">
        <f t="shared" ca="1" si="249"/>
        <v>3.1110440668346014E-2</v>
      </c>
      <c r="P382" s="496">
        <f t="shared" ca="1" si="249"/>
        <v>6.1642227200702046E-2</v>
      </c>
      <c r="Q382" s="496">
        <f t="shared" ca="1" si="249"/>
        <v>2.0721245030684652E-2</v>
      </c>
      <c r="R382" s="496">
        <f t="shared" ca="1" si="249"/>
        <v>2.8862287977634207E-2</v>
      </c>
      <c r="S382" s="496">
        <f t="shared" ca="1" si="249"/>
        <v>2.3212344496091993E-2</v>
      </c>
      <c r="T382" s="496">
        <f t="shared" ca="1" si="249"/>
        <v>2.4958823605339835E-2</v>
      </c>
      <c r="U382" s="496">
        <f t="shared" ca="1" si="249"/>
        <v>1.6458093931078735E-2</v>
      </c>
      <c r="V382" s="496">
        <f t="shared" ca="1" si="249"/>
        <v>7.5068682210458149E-2</v>
      </c>
      <c r="W382" s="496">
        <f t="shared" ca="1" si="249"/>
        <v>3.2283647910477657E-2</v>
      </c>
      <c r="X382" s="496">
        <f t="shared" ca="1" si="249"/>
        <v>2.2708605345803348E-2</v>
      </c>
      <c r="Y382" s="496">
        <f t="shared" ca="1" si="249"/>
        <v>1.5554442731321167E-2</v>
      </c>
      <c r="Z382" s="496">
        <f t="shared" ca="1" si="249"/>
        <v>3.2345722888738111E-2</v>
      </c>
      <c r="AA382" s="496">
        <f t="shared" ca="1" si="249"/>
        <v>0.12589647586263419</v>
      </c>
      <c r="AB382" s="496">
        <f t="shared" ca="1" si="249"/>
        <v>3.1557246515093874E-2</v>
      </c>
      <c r="AC382" s="496">
        <f t="shared" ca="1" si="249"/>
        <v>3.0032050509530724E-2</v>
      </c>
      <c r="AD382" s="496">
        <f t="shared" ca="1" si="249"/>
        <v>2.8762554544967418E-2</v>
      </c>
      <c r="AE382" s="496">
        <f t="shared" ca="1" si="249"/>
        <v>9.8851975261596003E-3</v>
      </c>
      <c r="AF382" s="496">
        <f t="shared" ca="1" si="249"/>
        <v>2.4310418721566831E-2</v>
      </c>
      <c r="AG382" s="496">
        <f t="shared" ca="1" si="249"/>
        <v>4.084171898696648E-2</v>
      </c>
      <c r="AH382" s="496">
        <f t="shared" ca="1" si="249"/>
        <v>2.9674746520849636E-2</v>
      </c>
      <c r="AI382" s="496">
        <f t="shared" ca="1" si="249"/>
        <v>3.0074954826773744E-2</v>
      </c>
      <c r="AJ382" s="496">
        <f t="shared" ca="1" si="249"/>
        <v>2.2399118626821365E-2</v>
      </c>
      <c r="AK382" s="496">
        <f t="shared" ca="1" si="249"/>
        <v>3.3584945423063922E-2</v>
      </c>
      <c r="AL382" s="496">
        <f t="shared" ca="1" si="249"/>
        <v>1.4993025371360305E-2</v>
      </c>
      <c r="AM382" s="496">
        <f t="shared" ca="1" si="249"/>
        <v>3.3150081122842928E-2</v>
      </c>
      <c r="AN382" s="496">
        <f t="shared" ca="1" si="249"/>
        <v>1.3274112098891186E-2</v>
      </c>
      <c r="AO382" s="496">
        <f t="shared" ca="1" si="249"/>
        <v>2.1259522963194659E-2</v>
      </c>
      <c r="AP382" s="496">
        <f t="shared" ca="1" si="249"/>
        <v>1.4488629199936345E-2</v>
      </c>
    </row>
    <row r="383" spans="3:42">
      <c r="C383" t="str">
        <f t="shared" si="230"/>
        <v>R_ES-SH-DH-70_OIL</v>
      </c>
      <c r="D383" t="s">
        <v>906</v>
      </c>
      <c r="E383" t="str">
        <f t="shared" si="231"/>
        <v>R_ES-DH-70-SpHeat</v>
      </c>
      <c r="F383" s="496">
        <f t="shared" ref="F383:AP383" ca="1" si="250">0.5*F348</f>
        <v>3.0844071442223224E-2</v>
      </c>
      <c r="G383" s="496">
        <f t="shared" ca="1" si="250"/>
        <v>3.9239203655101904E-2</v>
      </c>
      <c r="H383" s="496">
        <f t="shared" ca="1" si="250"/>
        <v>1.9692528602815128E-2</v>
      </c>
      <c r="I383" s="496">
        <f t="shared" ca="1" si="250"/>
        <v>3.204815108295591E-2</v>
      </c>
      <c r="J383" s="496">
        <f t="shared" ca="1" si="250"/>
        <v>1.5987146171331477E-2</v>
      </c>
      <c r="K383" s="496">
        <f t="shared" ca="1" si="250"/>
        <v>2.21980038366008E-2</v>
      </c>
      <c r="L383" s="496">
        <f t="shared" ca="1" si="250"/>
        <v>2.6147565188221592E-2</v>
      </c>
      <c r="M383" s="496">
        <f t="shared" ca="1" si="250"/>
        <v>2.677610036918282E-2</v>
      </c>
      <c r="N383" s="496">
        <f t="shared" ca="1" si="250"/>
        <v>3.203212602884549E-2</v>
      </c>
      <c r="O383" s="496">
        <f t="shared" ca="1" si="250"/>
        <v>2.1135917341835272E-2</v>
      </c>
      <c r="P383" s="496">
        <f t="shared" ca="1" si="250"/>
        <v>6.099709192202353E-2</v>
      </c>
      <c r="Q383" s="496">
        <f t="shared" ca="1" si="250"/>
        <v>2.0370218274661459E-2</v>
      </c>
      <c r="R383" s="496">
        <f t="shared" ca="1" si="250"/>
        <v>2.8478375831091064E-2</v>
      </c>
      <c r="S383" s="496">
        <f t="shared" ca="1" si="250"/>
        <v>2.4538014632993096E-2</v>
      </c>
      <c r="T383" s="496">
        <f t="shared" ca="1" si="250"/>
        <v>1.8804510627527065E-2</v>
      </c>
      <c r="U383" s="496">
        <f t="shared" ca="1" si="250"/>
        <v>2.8221387899751489E-2</v>
      </c>
      <c r="V383" s="496">
        <f t="shared" ca="1" si="250"/>
        <v>7.5068682210458135E-2</v>
      </c>
      <c r="W383" s="496">
        <f t="shared" ca="1" si="250"/>
        <v>3.2476645863741077E-2</v>
      </c>
      <c r="X383" s="496">
        <f t="shared" ca="1" si="250"/>
        <v>2.7704816769271678E-2</v>
      </c>
      <c r="Y383" s="496">
        <f t="shared" ca="1" si="250"/>
        <v>3.3343722392016384E-2</v>
      </c>
      <c r="Z383" s="496">
        <f t="shared" ca="1" si="250"/>
        <v>3.526782803851275E-2</v>
      </c>
      <c r="AA383" s="496">
        <f t="shared" ca="1" si="250"/>
        <v>0.11015941637980491</v>
      </c>
      <c r="AB383" s="496">
        <f t="shared" ca="1" si="250"/>
        <v>3.3410042946299526E-2</v>
      </c>
      <c r="AC383" s="496">
        <f t="shared" ca="1" si="250"/>
        <v>3.0032050509530728E-2</v>
      </c>
      <c r="AD383" s="496">
        <f t="shared" ca="1" si="250"/>
        <v>3.0342676581955885E-2</v>
      </c>
      <c r="AE383" s="496">
        <f t="shared" ca="1" si="250"/>
        <v>1.0472966761914631E-2</v>
      </c>
      <c r="AF383" s="496">
        <f t="shared" ca="1" si="250"/>
        <v>1.7577286788868482E-2</v>
      </c>
      <c r="AG383" s="496">
        <f t="shared" ca="1" si="250"/>
        <v>4.5862722445715334E-2</v>
      </c>
      <c r="AH383" s="496">
        <f t="shared" ca="1" si="250"/>
        <v>3.1692269577898377E-2</v>
      </c>
      <c r="AI383" s="496">
        <f t="shared" ca="1" si="250"/>
        <v>2.1275864900226989E-2</v>
      </c>
      <c r="AJ383" s="496">
        <f t="shared" ca="1" si="250"/>
        <v>2.6022400655799405E-2</v>
      </c>
      <c r="AK383" s="496">
        <f t="shared" ca="1" si="250"/>
        <v>1.2221132861694501E-2</v>
      </c>
      <c r="AL383" s="496">
        <f t="shared" ca="1" si="250"/>
        <v>2.4864904028647199E-2</v>
      </c>
      <c r="AM383" s="496">
        <f t="shared" ca="1" si="250"/>
        <v>2.9975004532136338E-2</v>
      </c>
      <c r="AN383" s="496">
        <f t="shared" ca="1" si="250"/>
        <v>1.3274112098891183E-2</v>
      </c>
      <c r="AO383" s="496">
        <f t="shared" ca="1" si="250"/>
        <v>2.1259522963194659E-2</v>
      </c>
      <c r="AP383" s="496">
        <f t="shared" ca="1" si="250"/>
        <v>1.4488629199936346E-2</v>
      </c>
    </row>
    <row r="384" spans="3:42">
      <c r="C384" t="str">
        <f t="shared" si="230"/>
        <v>R_ES-SH-DH-70_BIO</v>
      </c>
      <c r="D384" t="s">
        <v>906</v>
      </c>
      <c r="E384" t="str">
        <f t="shared" si="231"/>
        <v>R_ES-DH-70-SpHeat</v>
      </c>
      <c r="F384" s="496">
        <f t="shared" ref="F384:AP384" ca="1" si="251">0.5*F349</f>
        <v>3.2390938992084083E-2</v>
      </c>
      <c r="G384" s="496">
        <f t="shared" ca="1" si="251"/>
        <v>4.3758569523201632E-2</v>
      </c>
      <c r="H384" s="496">
        <f t="shared" ca="1" si="251"/>
        <v>1.4614526518701041E-2</v>
      </c>
      <c r="I384" s="496">
        <f t="shared" ca="1" si="251"/>
        <v>3.2048151082955917E-2</v>
      </c>
      <c r="J384" s="496">
        <f t="shared" ca="1" si="251"/>
        <v>1.3866516376114135E-2</v>
      </c>
      <c r="K384" s="496">
        <f t="shared" ca="1" si="251"/>
        <v>3.462379769849027E-2</v>
      </c>
      <c r="L384" s="496">
        <f t="shared" ca="1" si="251"/>
        <v>2.8684101873693805E-2</v>
      </c>
      <c r="M384" s="496">
        <f t="shared" ca="1" si="251"/>
        <v>2.8507574583035131E-2</v>
      </c>
      <c r="N384" s="496">
        <f t="shared" ca="1" si="251"/>
        <v>3.7009469431122946E-2</v>
      </c>
      <c r="O384" s="496">
        <f t="shared" ca="1" si="251"/>
        <v>2.1049952916887407E-2</v>
      </c>
      <c r="P384" s="496">
        <f t="shared" ca="1" si="251"/>
        <v>6.6592540324170404E-2</v>
      </c>
      <c r="Q384" s="496">
        <f t="shared" ca="1" si="251"/>
        <v>2.2230752401333112E-2</v>
      </c>
      <c r="R384" s="496">
        <f t="shared" ca="1" si="251"/>
        <v>2.921695191831046E-2</v>
      </c>
      <c r="S384" s="496">
        <f t="shared" ca="1" si="251"/>
        <v>2.484289367057084E-2</v>
      </c>
      <c r="T384" s="496">
        <f t="shared" ca="1" si="251"/>
        <v>2.8364544878457191E-2</v>
      </c>
      <c r="U384" s="496">
        <f t="shared" ca="1" si="251"/>
        <v>2.7733759318580967E-2</v>
      </c>
      <c r="V384" s="496">
        <f t="shared" ca="1" si="251"/>
        <v>2.7796180592724797E-2</v>
      </c>
      <c r="W384" s="496">
        <f t="shared" ca="1" si="251"/>
        <v>3.4798217665561133E-2</v>
      </c>
      <c r="X384" s="496">
        <f t="shared" ca="1" si="251"/>
        <v>2.404781977239823E-2</v>
      </c>
      <c r="Y384" s="496">
        <f t="shared" ca="1" si="251"/>
        <v>3.5487366311602049E-2</v>
      </c>
      <c r="Z384" s="496">
        <f t="shared" ca="1" si="251"/>
        <v>3.0918882721576807E-2</v>
      </c>
      <c r="AA384" s="496">
        <f t="shared" ca="1" si="251"/>
        <v>1.1333241451273051E-2</v>
      </c>
      <c r="AB384" s="496">
        <f t="shared" ca="1" si="251"/>
        <v>2.9217374593579329E-2</v>
      </c>
      <c r="AC384" s="496">
        <f t="shared" ca="1" si="251"/>
        <v>3.0032050509530728E-2</v>
      </c>
      <c r="AD384" s="496">
        <f t="shared" ca="1" si="251"/>
        <v>3.1575562315508982E-2</v>
      </c>
      <c r="AE384" s="496">
        <f t="shared" ca="1" si="251"/>
        <v>9.9184533525653717E-3</v>
      </c>
      <c r="AF384" s="496">
        <f t="shared" ca="1" si="251"/>
        <v>2.7714688709393857E-2</v>
      </c>
      <c r="AG384" s="496">
        <f t="shared" ca="1" si="251"/>
        <v>4.4436888593069108E-2</v>
      </c>
      <c r="AH384" s="496">
        <f t="shared" ca="1" si="251"/>
        <v>2.9304037679588658E-2</v>
      </c>
      <c r="AI384" s="496">
        <f t="shared" ca="1" si="251"/>
        <v>3.326564331386641E-2</v>
      </c>
      <c r="AJ384" s="496">
        <f t="shared" ca="1" si="251"/>
        <v>2.7681253765964496E-2</v>
      </c>
      <c r="AK384" s="496">
        <f t="shared" ca="1" si="251"/>
        <v>1.22211328616945E-2</v>
      </c>
      <c r="AL384" s="496">
        <f t="shared" ca="1" si="251"/>
        <v>1.4993025371360299E-2</v>
      </c>
      <c r="AM384" s="496">
        <f t="shared" ca="1" si="251"/>
        <v>2.867552037392334E-2</v>
      </c>
      <c r="AN384" s="496">
        <f t="shared" ca="1" si="251"/>
        <v>1.3274112098891185E-2</v>
      </c>
      <c r="AO384" s="496">
        <f t="shared" ca="1" si="251"/>
        <v>2.1259522963194659E-2</v>
      </c>
      <c r="AP384" s="496">
        <f t="shared" ca="1" si="251"/>
        <v>1.4488629199936346E-2</v>
      </c>
    </row>
    <row r="385" spans="3:42">
      <c r="C385" t="str">
        <f t="shared" si="230"/>
        <v>R_ES-SH-DH-70_COA</v>
      </c>
      <c r="D385" t="s">
        <v>906</v>
      </c>
      <c r="E385" t="str">
        <f t="shared" si="231"/>
        <v>R_ES-DH-70-SpHeat</v>
      </c>
      <c r="F385" s="496">
        <f t="shared" ref="F385:AP385" ca="1" si="252">0.5*F350</f>
        <v>3.2856532191859307E-2</v>
      </c>
      <c r="G385" s="496">
        <f t="shared" ca="1" si="252"/>
        <v>3.7838657761075395E-2</v>
      </c>
      <c r="H385" s="496">
        <f t="shared" ca="1" si="252"/>
        <v>1.3625269130515115E-2</v>
      </c>
      <c r="I385" s="496">
        <f t="shared" ca="1" si="252"/>
        <v>3.2048151082955917E-2</v>
      </c>
      <c r="J385" s="496">
        <f t="shared" ca="1" si="252"/>
        <v>8.5130708260975657E-2</v>
      </c>
      <c r="K385" s="496">
        <f t="shared" ca="1" si="252"/>
        <v>3.35427893678861E-2</v>
      </c>
      <c r="L385" s="496">
        <f t="shared" ca="1" si="252"/>
        <v>2.6411293627709671E-2</v>
      </c>
      <c r="M385" s="496">
        <f t="shared" ca="1" si="252"/>
        <v>1.3995687120695779E-2</v>
      </c>
      <c r="N385" s="496">
        <f t="shared" ca="1" si="252"/>
        <v>3.0584291256370535E-2</v>
      </c>
      <c r="O385" s="496">
        <f t="shared" ca="1" si="252"/>
        <v>2.0030677955283592E-2</v>
      </c>
      <c r="P385" s="496">
        <f t="shared" ca="1" si="252"/>
        <v>6.2043692998963472E-2</v>
      </c>
      <c r="Q385" s="496">
        <f t="shared" ca="1" si="252"/>
        <v>2.2254958913606321E-2</v>
      </c>
      <c r="R385" s="496">
        <f t="shared" ca="1" si="252"/>
        <v>3.9520891147077936E-2</v>
      </c>
      <c r="S385" s="496">
        <f t="shared" ca="1" si="252"/>
        <v>2.6727529900684444E-2</v>
      </c>
      <c r="T385" s="496">
        <f t="shared" ca="1" si="252"/>
        <v>2.2843179518159295E-2</v>
      </c>
      <c r="U385" s="496">
        <f t="shared" ca="1" si="252"/>
        <v>2.4661175576871901E-2</v>
      </c>
      <c r="V385" s="496">
        <f t="shared" ca="1" si="252"/>
        <v>2.2949979513868811E-2</v>
      </c>
      <c r="W385" s="496">
        <f t="shared" ca="1" si="252"/>
        <v>2.9649178877262303E-2</v>
      </c>
      <c r="X385" s="496">
        <f t="shared" ca="1" si="252"/>
        <v>2.3402240570087E-2</v>
      </c>
      <c r="Y385" s="496">
        <f t="shared" ca="1" si="252"/>
        <v>3.1846911143906038E-2</v>
      </c>
      <c r="Z385" s="496">
        <f t="shared" ca="1" si="252"/>
        <v>4.3032299850509742E-2</v>
      </c>
      <c r="AA385" s="496">
        <f t="shared" ca="1" si="252"/>
        <v>0.11015941637980491</v>
      </c>
      <c r="AB385" s="496">
        <f t="shared" ca="1" si="252"/>
        <v>2.7992193964777486E-2</v>
      </c>
      <c r="AC385" s="496">
        <f t="shared" ca="1" si="252"/>
        <v>2.5863724642160774E-2</v>
      </c>
      <c r="AD385" s="496">
        <f t="shared" ca="1" si="252"/>
        <v>3.0359974367482345E-2</v>
      </c>
      <c r="AE385" s="496">
        <f t="shared" ca="1" si="252"/>
        <v>2.291937363609833E-2</v>
      </c>
      <c r="AF385" s="496">
        <f t="shared" ca="1" si="252"/>
        <v>1.3433125582050199E-2</v>
      </c>
      <c r="AG385" s="496">
        <f t="shared" ca="1" si="252"/>
        <v>2.1634812885676938E-2</v>
      </c>
      <c r="AH385" s="496">
        <f t="shared" ca="1" si="252"/>
        <v>2.9519554010443583E-2</v>
      </c>
      <c r="AI385" s="496">
        <f t="shared" ca="1" si="252"/>
        <v>3.1783351184673118E-2</v>
      </c>
      <c r="AJ385" s="496">
        <f t="shared" ca="1" si="252"/>
        <v>2.4184877743524034E-2</v>
      </c>
      <c r="AK385" s="496">
        <f t="shared" ca="1" si="252"/>
        <v>2.7341786240124594E-2</v>
      </c>
      <c r="AL385" s="496">
        <f t="shared" ca="1" si="252"/>
        <v>1.4993025371360302E-2</v>
      </c>
      <c r="AM385" s="496">
        <f t="shared" ca="1" si="252"/>
        <v>3.0949951915822026E-2</v>
      </c>
      <c r="AN385" s="496">
        <f t="shared" ca="1" si="252"/>
        <v>2.090315464811986E-2</v>
      </c>
      <c r="AO385" s="496">
        <f t="shared" ca="1" si="252"/>
        <v>2.1259522963194659E-2</v>
      </c>
      <c r="AP385" s="496">
        <f t="shared" ca="1" si="252"/>
        <v>1.4488629199936346E-2</v>
      </c>
    </row>
    <row r="386" spans="3:42">
      <c r="C386" t="str">
        <f t="shared" si="230"/>
        <v>R_ES-SH-DH-70_LPG</v>
      </c>
      <c r="D386" t="s">
        <v>906</v>
      </c>
      <c r="E386" t="str">
        <f t="shared" si="231"/>
        <v>R_ES-DH-70-SpHeat</v>
      </c>
      <c r="F386" s="496">
        <f t="shared" ref="F386:AP386" ca="1" si="253">0.5*F351</f>
        <v>3.0614850895257721E-2</v>
      </c>
      <c r="G386" s="496">
        <f t="shared" ca="1" si="253"/>
        <v>4.0930010547987859E-2</v>
      </c>
      <c r="H386" s="496">
        <f t="shared" ca="1" si="253"/>
        <v>1.4264764561993279E-2</v>
      </c>
      <c r="I386" s="496">
        <f t="shared" ca="1" si="253"/>
        <v>2.4538736278811053E-2</v>
      </c>
      <c r="J386" s="496">
        <f t="shared" ca="1" si="253"/>
        <v>1.6110057238770455E-2</v>
      </c>
      <c r="K386" s="496">
        <f t="shared" ca="1" si="253"/>
        <v>2.21980038366008E-2</v>
      </c>
      <c r="L386" s="496">
        <f t="shared" ca="1" si="253"/>
        <v>2.604935910999448E-2</v>
      </c>
      <c r="M386" s="496">
        <f t="shared" ca="1" si="253"/>
        <v>2.7635249439592096E-2</v>
      </c>
      <c r="N386" s="496">
        <f t="shared" ca="1" si="253"/>
        <v>3.0257710552483927E-2</v>
      </c>
      <c r="O386" s="496">
        <f t="shared" ca="1" si="253"/>
        <v>2.0883724006370095E-2</v>
      </c>
      <c r="P386" s="496">
        <f t="shared" ca="1" si="253"/>
        <v>3.1021122886042193E-2</v>
      </c>
      <c r="Q386" s="496">
        <f t="shared" ca="1" si="253"/>
        <v>2.1299330487761739E-2</v>
      </c>
      <c r="R386" s="496">
        <f t="shared" ca="1" si="253"/>
        <v>4.3736476703239352E-2</v>
      </c>
      <c r="S386" s="496">
        <f t="shared" ca="1" si="253"/>
        <v>2.4731576783588553E-2</v>
      </c>
      <c r="T386" s="496">
        <f t="shared" ca="1" si="253"/>
        <v>2.7241934409872774E-2</v>
      </c>
      <c r="U386" s="496">
        <f t="shared" ca="1" si="253"/>
        <v>2.7412279326186756E-2</v>
      </c>
      <c r="V386" s="496">
        <f t="shared" ca="1" si="253"/>
        <v>2.6851870612427359E-2</v>
      </c>
      <c r="W386" s="496">
        <f t="shared" ca="1" si="253"/>
        <v>3.2747912816694619E-2</v>
      </c>
      <c r="X386" s="496">
        <f t="shared" ca="1" si="253"/>
        <v>2.6892204160898079E-2</v>
      </c>
      <c r="Y386" s="496">
        <f t="shared" ca="1" si="253"/>
        <v>1.5788878004318888E-2</v>
      </c>
      <c r="Z386" s="496">
        <f t="shared" ca="1" si="253"/>
        <v>2.927350824865458E-2</v>
      </c>
      <c r="AA386" s="496">
        <f t="shared" ca="1" si="253"/>
        <v>1.1457539409527101E-2</v>
      </c>
      <c r="AB386" s="496">
        <f t="shared" ca="1" si="253"/>
        <v>2.0053450486391053E-2</v>
      </c>
      <c r="AC386" s="496">
        <f t="shared" ca="1" si="253"/>
        <v>3.0261002508828648E-2</v>
      </c>
      <c r="AD386" s="496">
        <f t="shared" ca="1" si="253"/>
        <v>2.4715856664610111E-2</v>
      </c>
      <c r="AE386" s="496">
        <f t="shared" ca="1" si="253"/>
        <v>1.0121280471058989E-2</v>
      </c>
      <c r="AF386" s="496">
        <f t="shared" ca="1" si="253"/>
        <v>2.8251601167180271E-2</v>
      </c>
      <c r="AG386" s="496">
        <f t="shared" ca="1" si="253"/>
        <v>2.4769904636512605E-2</v>
      </c>
      <c r="AH386" s="496">
        <f t="shared" ca="1" si="253"/>
        <v>3.0480172752693793E-2</v>
      </c>
      <c r="AI386" s="496">
        <f t="shared" ca="1" si="253"/>
        <v>2.1275864900226989E-2</v>
      </c>
      <c r="AJ386" s="496">
        <f t="shared" ca="1" si="253"/>
        <v>2.545920265135742E-2</v>
      </c>
      <c r="AK386" s="496">
        <f t="shared" ca="1" si="253"/>
        <v>3.0258259928042541E-2</v>
      </c>
      <c r="AL386" s="496">
        <f t="shared" ca="1" si="253"/>
        <v>2.4864904028647199E-2</v>
      </c>
      <c r="AM386" s="496">
        <f t="shared" ca="1" si="253"/>
        <v>2.9975004532136338E-2</v>
      </c>
      <c r="AN386" s="496">
        <f t="shared" ca="1" si="253"/>
        <v>2.3132837083287769E-2</v>
      </c>
      <c r="AO386" s="496">
        <f t="shared" ca="1" si="253"/>
        <v>2.1259522963194655E-2</v>
      </c>
      <c r="AP386" s="496">
        <f t="shared" ca="1" si="253"/>
        <v>1.4488629199936346E-2</v>
      </c>
    </row>
    <row r="387" spans="3:42">
      <c r="C387" t="str">
        <f t="shared" si="230"/>
        <v>R_ES-SH-DH-70_GEO</v>
      </c>
      <c r="D387" t="s">
        <v>906</v>
      </c>
      <c r="E387" t="str">
        <f t="shared" si="231"/>
        <v>R_ES-DH-70-SpHeat</v>
      </c>
      <c r="F387" s="496">
        <f t="shared" ref="F387:AP387" ca="1" si="254">0.5*F352</f>
        <v>3.0614850895257721E-2</v>
      </c>
      <c r="G387" s="496">
        <f t="shared" ca="1" si="254"/>
        <v>4.0930010547987859E-2</v>
      </c>
      <c r="H387" s="496">
        <f t="shared" ca="1" si="254"/>
        <v>1.4264764561993279E-2</v>
      </c>
      <c r="I387" s="496">
        <f t="shared" ca="1" si="254"/>
        <v>2.4538736278811053E-2</v>
      </c>
      <c r="J387" s="496">
        <f t="shared" ca="1" si="254"/>
        <v>1.6110057238770455E-2</v>
      </c>
      <c r="K387" s="496">
        <f t="shared" ca="1" si="254"/>
        <v>2.21980038366008E-2</v>
      </c>
      <c r="L387" s="496">
        <f t="shared" ca="1" si="254"/>
        <v>2.604935910999448E-2</v>
      </c>
      <c r="M387" s="496">
        <f t="shared" ca="1" si="254"/>
        <v>2.7635249439592096E-2</v>
      </c>
      <c r="N387" s="496">
        <f t="shared" ca="1" si="254"/>
        <v>3.0257710552483927E-2</v>
      </c>
      <c r="O387" s="496">
        <f t="shared" ca="1" si="254"/>
        <v>2.0883724006370095E-2</v>
      </c>
      <c r="P387" s="496">
        <f t="shared" ca="1" si="254"/>
        <v>3.1021122886042193E-2</v>
      </c>
      <c r="Q387" s="496">
        <f t="shared" ca="1" si="254"/>
        <v>2.1299330487761739E-2</v>
      </c>
      <c r="R387" s="496">
        <f t="shared" ca="1" si="254"/>
        <v>4.3736476703239352E-2</v>
      </c>
      <c r="S387" s="496">
        <f t="shared" ca="1" si="254"/>
        <v>2.4731576783588553E-2</v>
      </c>
      <c r="T387" s="496">
        <f t="shared" ca="1" si="254"/>
        <v>2.7241934409872774E-2</v>
      </c>
      <c r="U387" s="496">
        <f t="shared" ca="1" si="254"/>
        <v>2.7412279326186756E-2</v>
      </c>
      <c r="V387" s="496">
        <f t="shared" ca="1" si="254"/>
        <v>2.6851870612427359E-2</v>
      </c>
      <c r="W387" s="496">
        <f t="shared" ca="1" si="254"/>
        <v>3.2747912816694619E-2</v>
      </c>
      <c r="X387" s="496">
        <f t="shared" ca="1" si="254"/>
        <v>2.6892204160898079E-2</v>
      </c>
      <c r="Y387" s="496">
        <f t="shared" ca="1" si="254"/>
        <v>1.5788878004318888E-2</v>
      </c>
      <c r="Z387" s="496">
        <f t="shared" ca="1" si="254"/>
        <v>2.927350824865458E-2</v>
      </c>
      <c r="AA387" s="496">
        <f t="shared" ca="1" si="254"/>
        <v>1.1457539409527101E-2</v>
      </c>
      <c r="AB387" s="496">
        <f t="shared" ca="1" si="254"/>
        <v>2.0053450486391053E-2</v>
      </c>
      <c r="AC387" s="496">
        <f t="shared" ca="1" si="254"/>
        <v>3.0261002508828648E-2</v>
      </c>
      <c r="AD387" s="496">
        <f t="shared" ca="1" si="254"/>
        <v>2.4715856664610111E-2</v>
      </c>
      <c r="AE387" s="496">
        <f t="shared" ca="1" si="254"/>
        <v>1.0121280471058989E-2</v>
      </c>
      <c r="AF387" s="496">
        <f t="shared" ca="1" si="254"/>
        <v>2.8251601167180271E-2</v>
      </c>
      <c r="AG387" s="496">
        <f t="shared" ca="1" si="254"/>
        <v>2.4769904636512605E-2</v>
      </c>
      <c r="AH387" s="496">
        <f t="shared" ca="1" si="254"/>
        <v>3.0480172752693793E-2</v>
      </c>
      <c r="AI387" s="496">
        <f t="shared" ca="1" si="254"/>
        <v>2.1275864900226989E-2</v>
      </c>
      <c r="AJ387" s="496">
        <f t="shared" ca="1" si="254"/>
        <v>2.545920265135742E-2</v>
      </c>
      <c r="AK387" s="496">
        <f t="shared" ca="1" si="254"/>
        <v>3.0258259928042541E-2</v>
      </c>
      <c r="AL387" s="496">
        <f t="shared" ca="1" si="254"/>
        <v>2.4864904028647199E-2</v>
      </c>
      <c r="AM387" s="496">
        <f t="shared" ca="1" si="254"/>
        <v>2.9975004532136338E-2</v>
      </c>
      <c r="AN387" s="496">
        <f t="shared" ca="1" si="254"/>
        <v>2.3132837083287769E-2</v>
      </c>
      <c r="AO387" s="496">
        <f t="shared" ca="1" si="254"/>
        <v>2.1259522963194655E-2</v>
      </c>
      <c r="AP387" s="496">
        <f t="shared" ca="1" si="254"/>
        <v>1.4488629199936346E-2</v>
      </c>
    </row>
    <row r="388" spans="3:42">
      <c r="C388" t="str">
        <f t="shared" si="230"/>
        <v>R_ES-SH-SD_ELC-R</v>
      </c>
      <c r="D388" t="s">
        <v>906</v>
      </c>
      <c r="E388" t="str">
        <f t="shared" si="231"/>
        <v>R_ES-SD-SpHeat</v>
      </c>
      <c r="F388" s="496">
        <f t="shared" ref="F388:AP388" ca="1" si="255">0.5*F353</f>
        <v>1.7913741648675246E-2</v>
      </c>
      <c r="G388" s="496">
        <f t="shared" ca="1" si="255"/>
        <v>2.7846223773871605E-2</v>
      </c>
      <c r="H388" s="496">
        <f t="shared" ca="1" si="255"/>
        <v>1.0645357622164165E-2</v>
      </c>
      <c r="I388" s="496">
        <f t="shared" ca="1" si="255"/>
        <v>2.432853310989426E-2</v>
      </c>
      <c r="J388" s="496">
        <f t="shared" ca="1" si="255"/>
        <v>1.282502049609408E-2</v>
      </c>
      <c r="K388" s="496">
        <f t="shared" ca="1" si="255"/>
        <v>2.1382825262994318E-2</v>
      </c>
      <c r="L388" s="496">
        <f t="shared" ca="1" si="255"/>
        <v>2.0875436296842145E-2</v>
      </c>
      <c r="M388" s="496">
        <f t="shared" ca="1" si="255"/>
        <v>5.4906444896896606E-3</v>
      </c>
      <c r="N388" s="496">
        <f t="shared" ca="1" si="255"/>
        <v>5.5994333114216142E-3</v>
      </c>
      <c r="O388" s="496">
        <f t="shared" ca="1" si="255"/>
        <v>1.4874093709103513E-2</v>
      </c>
      <c r="P388" s="496">
        <f t="shared" ca="1" si="255"/>
        <v>1.6160179982402732E-2</v>
      </c>
      <c r="Q388" s="496">
        <f t="shared" ca="1" si="255"/>
        <v>1.9559389907280809E-2</v>
      </c>
      <c r="R388" s="496">
        <f t="shared" ca="1" si="255"/>
        <v>2.0381628939080979E-2</v>
      </c>
      <c r="S388" s="496">
        <f t="shared" ca="1" si="255"/>
        <v>1.5173997754635392E-2</v>
      </c>
      <c r="T388" s="496">
        <f t="shared" ca="1" si="255"/>
        <v>1.9989771681690086E-2</v>
      </c>
      <c r="U388" s="496">
        <f t="shared" ca="1" si="255"/>
        <v>2.081182928281396E-2</v>
      </c>
      <c r="V388" s="496">
        <f t="shared" ca="1" si="255"/>
        <v>4.4066809783010641E-2</v>
      </c>
      <c r="W388" s="496">
        <f t="shared" ca="1" si="255"/>
        <v>2.145227065597347E-3</v>
      </c>
      <c r="X388" s="496">
        <f t="shared" ca="1" si="255"/>
        <v>1.3935262794241761E-2</v>
      </c>
      <c r="Y388" s="496">
        <f t="shared" ca="1" si="255"/>
        <v>2.5166482896482351E-2</v>
      </c>
      <c r="Z388" s="496">
        <f t="shared" ca="1" si="255"/>
        <v>1.9321616121286821E-2</v>
      </c>
      <c r="AA388" s="496">
        <f t="shared" ca="1" si="255"/>
        <v>7.9344701196054964E-3</v>
      </c>
      <c r="AB388" s="496">
        <f t="shared" ca="1" si="255"/>
        <v>2.228814485061888E-2</v>
      </c>
      <c r="AC388" s="496">
        <f t="shared" ca="1" si="255"/>
        <v>1.729063530335942E-2</v>
      </c>
      <c r="AD388" s="496">
        <f t="shared" ca="1" si="255"/>
        <v>2.6097534121451042E-2</v>
      </c>
      <c r="AE388" s="496">
        <f t="shared" ca="1" si="255"/>
        <v>3.1069849723626315E-3</v>
      </c>
      <c r="AF388" s="496">
        <f t="shared" ca="1" si="255"/>
        <v>1.8080063397024702E-2</v>
      </c>
      <c r="AG388" s="496">
        <f t="shared" ca="1" si="255"/>
        <v>2.6692231664808788E-2</v>
      </c>
      <c r="AH388" s="496">
        <f t="shared" ca="1" si="255"/>
        <v>2.2526518023111338E-2</v>
      </c>
      <c r="AI388" s="496">
        <f t="shared" ca="1" si="255"/>
        <v>2.1504674339464878E-2</v>
      </c>
      <c r="AJ388" s="496">
        <f t="shared" ca="1" si="255"/>
        <v>2.3098705844609751E-2</v>
      </c>
      <c r="AK388" s="496">
        <f t="shared" ca="1" si="255"/>
        <v>7.1558204088271885E-3</v>
      </c>
      <c r="AL388" s="496">
        <f t="shared" ca="1" si="255"/>
        <v>7.993240849491802E-3</v>
      </c>
      <c r="AM388" s="496">
        <f t="shared" ca="1" si="255"/>
        <v>1.5675751294311691E-2</v>
      </c>
      <c r="AN388" s="496">
        <f t="shared" ca="1" si="255"/>
        <v>7.9179156563832075E-3</v>
      </c>
      <c r="AO388" s="496">
        <f t="shared" ca="1" si="255"/>
        <v>1.1334102569766994E-2</v>
      </c>
      <c r="AP388" s="496">
        <f t="shared" ca="1" si="255"/>
        <v>7.7243318079947684E-3</v>
      </c>
    </row>
    <row r="389" spans="3:42">
      <c r="C389" t="str">
        <f t="shared" si="230"/>
        <v>R_ES-SH-SD_GAS</v>
      </c>
      <c r="D389" t="s">
        <v>906</v>
      </c>
      <c r="E389" t="str">
        <f t="shared" si="231"/>
        <v>R_ES-SD-SpHeat</v>
      </c>
      <c r="F389" s="496">
        <f t="shared" ref="F389:AP389" ca="1" si="256">0.5*F354</f>
        <v>2.3270389534909744E-2</v>
      </c>
      <c r="G389" s="496">
        <f t="shared" ca="1" si="256"/>
        <v>2.6287157493264247E-2</v>
      </c>
      <c r="H389" s="496">
        <f t="shared" ca="1" si="256"/>
        <v>9.0525440243919616E-3</v>
      </c>
      <c r="I389" s="496">
        <f t="shared" ca="1" si="256"/>
        <v>2.4328533109894256E-2</v>
      </c>
      <c r="J389" s="496">
        <f t="shared" ca="1" si="256"/>
        <v>5.0547372399283863E-2</v>
      </c>
      <c r="K389" s="496">
        <f t="shared" ca="1" si="256"/>
        <v>2.2350039407455273E-2</v>
      </c>
      <c r="L389" s="496">
        <f t="shared" ca="1" si="256"/>
        <v>2.2684015455181717E-2</v>
      </c>
      <c r="M389" s="496">
        <f t="shared" ca="1" si="256"/>
        <v>1.9673123860825016E-2</v>
      </c>
      <c r="N389" s="496">
        <f t="shared" ca="1" si="256"/>
        <v>2.2838935314386105E-2</v>
      </c>
      <c r="O389" s="496">
        <f t="shared" ca="1" si="256"/>
        <v>1.4377828000361395E-2</v>
      </c>
      <c r="P389" s="496">
        <f t="shared" ca="1" si="256"/>
        <v>3.6121421226968202E-2</v>
      </c>
      <c r="Q389" s="496">
        <f t="shared" ca="1" si="256"/>
        <v>1.9988240265292164E-2</v>
      </c>
      <c r="R389" s="496">
        <f t="shared" ca="1" si="256"/>
        <v>1.8480148683342926E-2</v>
      </c>
      <c r="S389" s="496">
        <f t="shared" ca="1" si="256"/>
        <v>1.4163803480591847E-2</v>
      </c>
      <c r="T389" s="496">
        <f t="shared" ca="1" si="256"/>
        <v>1.7154559550302227E-2</v>
      </c>
      <c r="U389" s="496">
        <f t="shared" ca="1" si="256"/>
        <v>1.9419062681997494E-2</v>
      </c>
      <c r="V389" s="496">
        <f t="shared" ca="1" si="256"/>
        <v>1.5135236785724161E-2</v>
      </c>
      <c r="W389" s="496">
        <f t="shared" ca="1" si="256"/>
        <v>2.115031761208918E-2</v>
      </c>
      <c r="X389" s="496">
        <f t="shared" ca="1" si="256"/>
        <v>1.7609382395942199E-2</v>
      </c>
      <c r="Y389" s="496">
        <f t="shared" ca="1" si="256"/>
        <v>2.9886144452884261E-2</v>
      </c>
      <c r="Z389" s="496">
        <f t="shared" ca="1" si="256"/>
        <v>2.3463643450689887E-2</v>
      </c>
      <c r="AA389" s="496">
        <f t="shared" ca="1" si="256"/>
        <v>7.1920962530390639E-2</v>
      </c>
      <c r="AB389" s="496">
        <f t="shared" ca="1" si="256"/>
        <v>2.3759072362383539E-2</v>
      </c>
      <c r="AC389" s="496">
        <f t="shared" ca="1" si="256"/>
        <v>1.7290635303359416E-2</v>
      </c>
      <c r="AD389" s="496">
        <f t="shared" ca="1" si="256"/>
        <v>2.1384322769504797E-2</v>
      </c>
      <c r="AE389" s="496">
        <f t="shared" ca="1" si="256"/>
        <v>6.3005290912568623E-3</v>
      </c>
      <c r="AF389" s="496">
        <f t="shared" ca="1" si="256"/>
        <v>1.485809397054211E-2</v>
      </c>
      <c r="AG389" s="496">
        <f t="shared" ca="1" si="256"/>
        <v>2.6414028076784002E-2</v>
      </c>
      <c r="AH389" s="496">
        <f t="shared" ca="1" si="256"/>
        <v>1.9233053199433196E-2</v>
      </c>
      <c r="AI389" s="496">
        <f t="shared" ca="1" si="256"/>
        <v>2.0413944205064479E-2</v>
      </c>
      <c r="AJ389" s="496">
        <f t="shared" ca="1" si="256"/>
        <v>2.2058920567129593E-2</v>
      </c>
      <c r="AK389" s="496">
        <f t="shared" ca="1" si="256"/>
        <v>1.7842322891558904E-2</v>
      </c>
      <c r="AL389" s="496">
        <f t="shared" ca="1" si="256"/>
        <v>7.993240849491802E-3</v>
      </c>
      <c r="AM389" s="496">
        <f t="shared" ca="1" si="256"/>
        <v>1.5538615306370566E-2</v>
      </c>
      <c r="AN389" s="496">
        <f t="shared" ca="1" si="256"/>
        <v>1.3896126786522333E-2</v>
      </c>
      <c r="AO389" s="496">
        <f t="shared" ca="1" si="256"/>
        <v>1.1334102569766994E-2</v>
      </c>
      <c r="AP389" s="496">
        <f t="shared" ca="1" si="256"/>
        <v>1.2570611695398996E-2</v>
      </c>
    </row>
    <row r="390" spans="3:42">
      <c r="C390" t="str">
        <f t="shared" si="230"/>
        <v>R_ES-SH-SD_HET</v>
      </c>
      <c r="D390" t="s">
        <v>906</v>
      </c>
      <c r="E390" t="str">
        <f t="shared" si="231"/>
        <v>R_ES-SD-SpHeat</v>
      </c>
      <c r="F390" s="496">
        <f t="shared" ref="F390:AP390" ca="1" si="257">0.5*F355</f>
        <v>2.2494631682528392E-2</v>
      </c>
      <c r="G390" s="496">
        <f t="shared" ca="1" si="257"/>
        <v>1.9025989968185799E-2</v>
      </c>
      <c r="H390" s="496">
        <f t="shared" ca="1" si="257"/>
        <v>7.8792811507426581E-3</v>
      </c>
      <c r="I390" s="496">
        <f t="shared" ca="1" si="257"/>
        <v>2.432853310989426E-2</v>
      </c>
      <c r="J390" s="496">
        <f t="shared" ca="1" si="257"/>
        <v>5.7768425599181564E-2</v>
      </c>
      <c r="K390" s="496">
        <f t="shared" ca="1" si="257"/>
        <v>1.9275614309051343E-2</v>
      </c>
      <c r="L390" s="496">
        <f t="shared" ca="1" si="257"/>
        <v>2.2604533255303892E-2</v>
      </c>
      <c r="M390" s="496">
        <f t="shared" ca="1" si="257"/>
        <v>1.9023482977475036E-2</v>
      </c>
      <c r="N390" s="496">
        <f t="shared" ca="1" si="257"/>
        <v>2.1266157832111852E-2</v>
      </c>
      <c r="O390" s="496">
        <f t="shared" ca="1" si="257"/>
        <v>2.0134739786021733E-2</v>
      </c>
      <c r="P390" s="496">
        <f t="shared" ca="1" si="257"/>
        <v>3.5918429809130611E-2</v>
      </c>
      <c r="Q390" s="496">
        <f t="shared" ca="1" si="257"/>
        <v>1.9245366415761446E-2</v>
      </c>
      <c r="R390" s="496">
        <f t="shared" ca="1" si="257"/>
        <v>1.7423414503273366E-2</v>
      </c>
      <c r="S390" s="496">
        <f t="shared" ca="1" si="257"/>
        <v>1.3298367847051002E-2</v>
      </c>
      <c r="T390" s="496">
        <f t="shared" ca="1" si="257"/>
        <v>1.5690671463943758E-2</v>
      </c>
      <c r="U390" s="496">
        <f t="shared" ca="1" si="257"/>
        <v>1.1361747257844527E-2</v>
      </c>
      <c r="V390" s="496">
        <f t="shared" ca="1" si="257"/>
        <v>4.4066809783010634E-2</v>
      </c>
      <c r="W390" s="496">
        <f t="shared" ca="1" si="257"/>
        <v>2.0765952568622931E-2</v>
      </c>
      <c r="X390" s="496">
        <f t="shared" ca="1" si="257"/>
        <v>1.5611006811727536E-2</v>
      </c>
      <c r="Y390" s="496">
        <f t="shared" ca="1" si="257"/>
        <v>1.4001838530336683E-2</v>
      </c>
      <c r="Z390" s="496">
        <f t="shared" ca="1" si="257"/>
        <v>2.0687152391025108E-2</v>
      </c>
      <c r="AA390" s="496">
        <f t="shared" ca="1" si="257"/>
        <v>8.2195385749017885E-2</v>
      </c>
      <c r="AB390" s="496">
        <f t="shared" ca="1" si="257"/>
        <v>2.3306892956369372E-2</v>
      </c>
      <c r="AC390" s="496">
        <f t="shared" ca="1" si="257"/>
        <v>1.729063530335942E-2</v>
      </c>
      <c r="AD390" s="496">
        <f t="shared" ca="1" si="257"/>
        <v>1.955518605393981E-2</v>
      </c>
      <c r="AE390" s="496">
        <f t="shared" ca="1" si="257"/>
        <v>5.8887233862723399E-3</v>
      </c>
      <c r="AF390" s="496">
        <f t="shared" ca="1" si="257"/>
        <v>1.3586322677606037E-2</v>
      </c>
      <c r="AG390" s="496">
        <f t="shared" ca="1" si="257"/>
        <v>2.4429099310974322E-2</v>
      </c>
      <c r="AH390" s="496">
        <f t="shared" ca="1" si="257"/>
        <v>1.9526495082290405E-2</v>
      </c>
      <c r="AI390" s="496">
        <f t="shared" ca="1" si="257"/>
        <v>1.8955658251054365E-2</v>
      </c>
      <c r="AJ390" s="496">
        <f t="shared" ca="1" si="257"/>
        <v>1.9370343624174932E-2</v>
      </c>
      <c r="AK390" s="496">
        <f t="shared" ca="1" si="257"/>
        <v>1.9664939462444062E-2</v>
      </c>
      <c r="AL390" s="496">
        <f t="shared" ca="1" si="257"/>
        <v>7.9932408494918037E-3</v>
      </c>
      <c r="AM390" s="496">
        <f t="shared" ca="1" si="257"/>
        <v>1.8121813319924924E-2</v>
      </c>
      <c r="AN390" s="496">
        <f t="shared" ca="1" si="257"/>
        <v>7.9179156563832093E-3</v>
      </c>
      <c r="AO390" s="496">
        <f t="shared" ca="1" si="257"/>
        <v>1.1334102569766993E-2</v>
      </c>
      <c r="AP390" s="496">
        <f t="shared" ca="1" si="257"/>
        <v>7.7243318079947684E-3</v>
      </c>
    </row>
    <row r="391" spans="3:42">
      <c r="C391" t="str">
        <f t="shared" si="230"/>
        <v>R_ES-SH-SD_OIL</v>
      </c>
      <c r="D391" t="s">
        <v>906</v>
      </c>
      <c r="E391" t="str">
        <f t="shared" si="231"/>
        <v>R_ES-SD-SpHeat</v>
      </c>
      <c r="F391" s="496">
        <f t="shared" ref="F391:AP391" ca="1" si="258">0.5*F356</f>
        <v>2.2651482521205569E-2</v>
      </c>
      <c r="G391" s="496">
        <f t="shared" ca="1" si="258"/>
        <v>2.4064713809736234E-2</v>
      </c>
      <c r="H391" s="496">
        <f t="shared" ca="1" si="258"/>
        <v>1.1699482335822136E-2</v>
      </c>
      <c r="I391" s="496">
        <f t="shared" ca="1" si="258"/>
        <v>2.4328533109894253E-2</v>
      </c>
      <c r="J391" s="496">
        <f t="shared" ca="1" si="258"/>
        <v>9.4925585330119747E-3</v>
      </c>
      <c r="K391" s="496">
        <f t="shared" ca="1" si="258"/>
        <v>1.3381084013026168E-2</v>
      </c>
      <c r="L391" s="496">
        <f t="shared" ca="1" si="258"/>
        <v>2.2785728701547665E-2</v>
      </c>
      <c r="M391" s="496">
        <f t="shared" ca="1" si="258"/>
        <v>1.8997300772113413E-2</v>
      </c>
      <c r="N391" s="496">
        <f t="shared" ca="1" si="258"/>
        <v>1.9365603651086229E-2</v>
      </c>
      <c r="O391" s="496">
        <f t="shared" ca="1" si="258"/>
        <v>1.3679208223164731E-2</v>
      </c>
      <c r="P391" s="496">
        <f t="shared" ca="1" si="258"/>
        <v>3.554251467308011E-2</v>
      </c>
      <c r="Q391" s="496">
        <f t="shared" ca="1" si="258"/>
        <v>1.8919341674902564E-2</v>
      </c>
      <c r="R391" s="496">
        <f t="shared" ca="1" si="258"/>
        <v>1.7191656699898736E-2</v>
      </c>
      <c r="S391" s="496">
        <f t="shared" ca="1" si="258"/>
        <v>1.4057845164274576E-2</v>
      </c>
      <c r="T391" s="496">
        <f t="shared" ca="1" si="258"/>
        <v>1.1821686909700346E-2</v>
      </c>
      <c r="U391" s="496">
        <f t="shared" ca="1" si="258"/>
        <v>1.9482467284809801E-2</v>
      </c>
      <c r="V391" s="496">
        <f t="shared" ca="1" si="258"/>
        <v>4.4066809783010641E-2</v>
      </c>
      <c r="W391" s="496">
        <f t="shared" ca="1" si="258"/>
        <v>2.089009548934934E-2</v>
      </c>
      <c r="X391" s="496">
        <f t="shared" ca="1" si="258"/>
        <v>1.904564708914153E-2</v>
      </c>
      <c r="Y391" s="496">
        <f t="shared" ca="1" si="258"/>
        <v>3.0015438354038002E-2</v>
      </c>
      <c r="Z391" s="496">
        <f t="shared" ca="1" si="258"/>
        <v>2.2556024969446729E-2</v>
      </c>
      <c r="AA391" s="496">
        <f t="shared" ca="1" si="258"/>
        <v>7.1920962530390639E-2</v>
      </c>
      <c r="AB391" s="496">
        <f t="shared" ca="1" si="258"/>
        <v>2.4675292701619611E-2</v>
      </c>
      <c r="AC391" s="496">
        <f t="shared" ca="1" si="258"/>
        <v>1.729063530335942E-2</v>
      </c>
      <c r="AD391" s="496">
        <f t="shared" ca="1" si="258"/>
        <v>2.0629484943940395E-2</v>
      </c>
      <c r="AE391" s="496">
        <f t="shared" ca="1" si="258"/>
        <v>6.2388641330973311E-3</v>
      </c>
      <c r="AF391" s="496">
        <f t="shared" ca="1" si="258"/>
        <v>9.8233885991659015E-3</v>
      </c>
      <c r="AG391" s="496">
        <f t="shared" ca="1" si="258"/>
        <v>2.7432366440197368E-2</v>
      </c>
      <c r="AH391" s="496">
        <f t="shared" ca="1" si="258"/>
        <v>2.0854060054890614E-2</v>
      </c>
      <c r="AI391" s="496">
        <f t="shared" ca="1" si="258"/>
        <v>1.3409763252088949E-2</v>
      </c>
      <c r="AJ391" s="496">
        <f t="shared" ca="1" si="258"/>
        <v>2.2503690927606849E-2</v>
      </c>
      <c r="AK391" s="496">
        <f t="shared" ca="1" si="258"/>
        <v>7.1558204088271885E-3</v>
      </c>
      <c r="AL391" s="496">
        <f t="shared" ca="1" si="258"/>
        <v>1.3256241597518459E-2</v>
      </c>
      <c r="AM391" s="496">
        <f t="shared" ca="1" si="258"/>
        <v>1.6386126911193923E-2</v>
      </c>
      <c r="AN391" s="496">
        <f t="shared" ca="1" si="258"/>
        <v>7.9179156563832058E-3</v>
      </c>
      <c r="AO391" s="496">
        <f t="shared" ca="1" si="258"/>
        <v>1.1334102569766994E-2</v>
      </c>
      <c r="AP391" s="496">
        <f t="shared" ca="1" si="258"/>
        <v>7.7243318079947693E-3</v>
      </c>
    </row>
    <row r="392" spans="3:42">
      <c r="C392" t="str">
        <f t="shared" si="230"/>
        <v>R_ES-SH-SD_BIO</v>
      </c>
      <c r="D392" t="s">
        <v>906</v>
      </c>
      <c r="E392" t="str">
        <f t="shared" si="231"/>
        <v>R_ES-SD-SpHeat</v>
      </c>
      <c r="F392" s="496">
        <f t="shared" ref="F392:AP392" ca="1" si="259">0.5*F357</f>
        <v>2.3787481811504436E-2</v>
      </c>
      <c r="G392" s="496">
        <f t="shared" ca="1" si="259"/>
        <v>2.683636145002084E-2</v>
      </c>
      <c r="H392" s="496">
        <f t="shared" ca="1" si="259"/>
        <v>8.6826023361725319E-3</v>
      </c>
      <c r="I392" s="496">
        <f t="shared" ca="1" si="259"/>
        <v>2.4328533109894253E-2</v>
      </c>
      <c r="J392" s="496">
        <f t="shared" ca="1" si="259"/>
        <v>8.2334093238774671E-3</v>
      </c>
      <c r="K392" s="496">
        <f t="shared" ca="1" si="259"/>
        <v>2.0871423811974009E-2</v>
      </c>
      <c r="L392" s="496">
        <f t="shared" ca="1" si="259"/>
        <v>2.4996138594042278E-2</v>
      </c>
      <c r="M392" s="496">
        <f t="shared" ca="1" si="259"/>
        <v>2.0225759583000175E-2</v>
      </c>
      <c r="N392" s="496">
        <f t="shared" ca="1" si="259"/>
        <v>2.2374747017875372E-2</v>
      </c>
      <c r="O392" s="496">
        <f t="shared" ca="1" si="259"/>
        <v>1.3623571874402197E-2</v>
      </c>
      <c r="P392" s="496">
        <f t="shared" ca="1" si="259"/>
        <v>3.8802937435365295E-2</v>
      </c>
      <c r="Q392" s="496">
        <f t="shared" ca="1" si="259"/>
        <v>2.0647358545693922E-2</v>
      </c>
      <c r="R392" s="496">
        <f t="shared" ca="1" si="259"/>
        <v>1.7637515923526512E-2</v>
      </c>
      <c r="S392" s="496">
        <f t="shared" ca="1" si="259"/>
        <v>1.4232510570918283E-2</v>
      </c>
      <c r="T392" s="496">
        <f t="shared" ca="1" si="259"/>
        <v>1.7831720034150237E-2</v>
      </c>
      <c r="U392" s="496">
        <f t="shared" ca="1" si="259"/>
        <v>1.9145835794057476E-2</v>
      </c>
      <c r="V392" s="496">
        <f t="shared" ca="1" si="259"/>
        <v>1.6316910951490918E-2</v>
      </c>
      <c r="W392" s="496">
        <f t="shared" ca="1" si="259"/>
        <v>2.2383410310986993E-2</v>
      </c>
      <c r="X392" s="496">
        <f t="shared" ca="1" si="259"/>
        <v>1.6531648357854017E-2</v>
      </c>
      <c r="Y392" s="496">
        <f t="shared" ca="1" si="259"/>
        <v>3.1945109287740886E-2</v>
      </c>
      <c r="Z392" s="496">
        <f t="shared" ca="1" si="259"/>
        <v>1.9774597118192457E-2</v>
      </c>
      <c r="AA392" s="496">
        <f t="shared" ca="1" si="259"/>
        <v>7.3992551935333937E-3</v>
      </c>
      <c r="AB392" s="496">
        <f t="shared" ca="1" si="259"/>
        <v>2.1578759154192762E-2</v>
      </c>
      <c r="AC392" s="496">
        <f t="shared" ca="1" si="259"/>
        <v>1.7290635303359416E-2</v>
      </c>
      <c r="AD392" s="496">
        <f t="shared" ca="1" si="259"/>
        <v>2.1467703603037114E-2</v>
      </c>
      <c r="AE392" s="496">
        <f t="shared" ca="1" si="259"/>
        <v>5.9085342562288836E-3</v>
      </c>
      <c r="AF392" s="496">
        <f t="shared" ca="1" si="259"/>
        <v>1.5488861299669185E-2</v>
      </c>
      <c r="AG392" s="496">
        <f t="shared" ca="1" si="259"/>
        <v>2.6579517009487581E-2</v>
      </c>
      <c r="AH392" s="496">
        <f t="shared" ca="1" si="259"/>
        <v>1.9282562270235615E-2</v>
      </c>
      <c r="AI392" s="496">
        <f t="shared" ca="1" si="259"/>
        <v>2.0966687058753833E-2</v>
      </c>
      <c r="AJ392" s="496">
        <f t="shared" ca="1" si="259"/>
        <v>2.393823642474318E-2</v>
      </c>
      <c r="AK392" s="496">
        <f t="shared" ca="1" si="259"/>
        <v>7.1558204088271876E-3</v>
      </c>
      <c r="AL392" s="496">
        <f t="shared" ca="1" si="259"/>
        <v>7.9932408494918002E-3</v>
      </c>
      <c r="AM392" s="496">
        <f t="shared" ca="1" si="259"/>
        <v>1.5675751294311688E-2</v>
      </c>
      <c r="AN392" s="496">
        <f t="shared" ca="1" si="259"/>
        <v>7.9179156563832075E-3</v>
      </c>
      <c r="AO392" s="496">
        <f t="shared" ca="1" si="259"/>
        <v>1.1334102569766994E-2</v>
      </c>
      <c r="AP392" s="496">
        <f t="shared" ca="1" si="259"/>
        <v>7.7243318079947684E-3</v>
      </c>
    </row>
    <row r="393" spans="3:42">
      <c r="C393" t="str">
        <f t="shared" si="230"/>
        <v>R_ES-SH-SD_COA</v>
      </c>
      <c r="D393" t="s">
        <v>906</v>
      </c>
      <c r="E393" t="str">
        <f t="shared" si="231"/>
        <v>R_ES-SD-SpHeat</v>
      </c>
      <c r="F393" s="496">
        <f t="shared" ref="F393:AP393" ca="1" si="260">0.5*F358</f>
        <v>2.4129407365867651E-2</v>
      </c>
      <c r="G393" s="496">
        <f t="shared" ca="1" si="260"/>
        <v>2.3205783633339371E-2</v>
      </c>
      <c r="H393" s="496">
        <f t="shared" ca="1" si="260"/>
        <v>8.0948769316753003E-3</v>
      </c>
      <c r="I393" s="496">
        <f t="shared" ca="1" si="260"/>
        <v>2.432853310989426E-2</v>
      </c>
      <c r="J393" s="496">
        <f t="shared" ca="1" si="260"/>
        <v>5.0547372399283863E-2</v>
      </c>
      <c r="K393" s="496">
        <f t="shared" ca="1" si="260"/>
        <v>2.0219785790957678E-2</v>
      </c>
      <c r="L393" s="496">
        <f t="shared" ca="1" si="260"/>
        <v>2.3015549131473006E-2</v>
      </c>
      <c r="M393" s="496">
        <f t="shared" ca="1" si="260"/>
        <v>9.9297610211477611E-3</v>
      </c>
      <c r="N393" s="496">
        <f t="shared" ca="1" si="260"/>
        <v>1.849028883961347E-2</v>
      </c>
      <c r="O393" s="496">
        <f t="shared" ca="1" si="260"/>
        <v>1.2963895068757284E-2</v>
      </c>
      <c r="P393" s="496">
        <f t="shared" ca="1" si="260"/>
        <v>3.6152360699535806E-2</v>
      </c>
      <c r="Q393" s="496">
        <f t="shared" ca="1" si="260"/>
        <v>2.0669840939857773E-2</v>
      </c>
      <c r="R393" s="496">
        <f t="shared" ca="1" si="260"/>
        <v>2.3857736729946115E-2</v>
      </c>
      <c r="S393" s="496">
        <f t="shared" ca="1" si="260"/>
        <v>1.5312219940652547E-2</v>
      </c>
      <c r="T393" s="496">
        <f t="shared" ca="1" si="260"/>
        <v>1.436064578519009E-2</v>
      </c>
      <c r="U393" s="496">
        <f t="shared" ca="1" si="260"/>
        <v>1.7024695882713405E-2</v>
      </c>
      <c r="V393" s="496">
        <f t="shared" ca="1" si="260"/>
        <v>1.3472094513745909E-2</v>
      </c>
      <c r="W393" s="496">
        <f t="shared" ca="1" si="260"/>
        <v>1.9071371487235884E-2</v>
      </c>
      <c r="X393" s="496">
        <f t="shared" ca="1" si="260"/>
        <v>1.6087845615619441E-2</v>
      </c>
      <c r="Y393" s="496">
        <f t="shared" ca="1" si="260"/>
        <v>2.8668034929276894E-2</v>
      </c>
      <c r="Z393" s="496">
        <f t="shared" ca="1" si="260"/>
        <v>2.752189981364524E-2</v>
      </c>
      <c r="AA393" s="496">
        <f t="shared" ca="1" si="260"/>
        <v>7.1920962530390639E-2</v>
      </c>
      <c r="AB393" s="496">
        <f t="shared" ca="1" si="260"/>
        <v>2.0673890798392328E-2</v>
      </c>
      <c r="AC393" s="496">
        <f t="shared" ca="1" si="260"/>
        <v>1.4890765791439789E-2</v>
      </c>
      <c r="AD393" s="496">
        <f t="shared" ca="1" si="260"/>
        <v>2.0641245422786676E-2</v>
      </c>
      <c r="AE393" s="496">
        <f t="shared" ca="1" si="260"/>
        <v>1.3653328744563816E-2</v>
      </c>
      <c r="AF393" s="496">
        <f t="shared" ca="1" si="260"/>
        <v>7.5073482204001977E-3</v>
      </c>
      <c r="AG393" s="496">
        <f t="shared" ca="1" si="260"/>
        <v>1.2940664733705531E-2</v>
      </c>
      <c r="AH393" s="496">
        <f t="shared" ca="1" si="260"/>
        <v>1.9424375733465542E-2</v>
      </c>
      <c r="AI393" s="496">
        <f t="shared" ca="1" si="260"/>
        <v>2.0032427200640857E-2</v>
      </c>
      <c r="AJ393" s="496">
        <f t="shared" ca="1" si="260"/>
        <v>2.0914635089246857E-2</v>
      </c>
      <c r="AK393" s="496">
        <f t="shared" ca="1" si="260"/>
        <v>1.6009392435632687E-2</v>
      </c>
      <c r="AL393" s="496">
        <f t="shared" ca="1" si="260"/>
        <v>7.993240849491802E-3</v>
      </c>
      <c r="AM393" s="496">
        <f t="shared" ca="1" si="260"/>
        <v>1.6919091353073581E-2</v>
      </c>
      <c r="AN393" s="496">
        <f t="shared" ca="1" si="260"/>
        <v>1.2468586540712808E-2</v>
      </c>
      <c r="AO393" s="496">
        <f t="shared" ca="1" si="260"/>
        <v>1.1334102569766993E-2</v>
      </c>
      <c r="AP393" s="496">
        <f t="shared" ca="1" si="260"/>
        <v>7.7243318079947693E-3</v>
      </c>
    </row>
    <row r="394" spans="3:42">
      <c r="C394" t="str">
        <f t="shared" si="230"/>
        <v>R_ES-SH-SD_LPG</v>
      </c>
      <c r="D394" t="s">
        <v>906</v>
      </c>
      <c r="E394" t="str">
        <f t="shared" si="231"/>
        <v>R_ES-SD-SpHeat</v>
      </c>
      <c r="F394" s="496">
        <f t="shared" ref="F394:AP394" ca="1" si="261">0.5*F359</f>
        <v>2.248314595050295E-2</v>
      </c>
      <c r="G394" s="496">
        <f t="shared" ca="1" si="261"/>
        <v>2.5101655954191286E-2</v>
      </c>
      <c r="H394" s="496">
        <f t="shared" ca="1" si="261"/>
        <v>8.4748060741089565E-3</v>
      </c>
      <c r="I394" s="496">
        <f t="shared" ca="1" si="261"/>
        <v>1.8627953184841121E-2</v>
      </c>
      <c r="J394" s="496">
        <f t="shared" ca="1" si="261"/>
        <v>9.5655384438425722E-3</v>
      </c>
      <c r="K394" s="496">
        <f t="shared" ca="1" si="261"/>
        <v>1.3381084013026168E-2</v>
      </c>
      <c r="L394" s="496">
        <f t="shared" ca="1" si="261"/>
        <v>2.2700149144169457E-2</v>
      </c>
      <c r="M394" s="496">
        <f t="shared" ca="1" si="261"/>
        <v>1.9606856049902536E-2</v>
      </c>
      <c r="N394" s="496">
        <f t="shared" ca="1" si="261"/>
        <v>1.8292848542773178E-2</v>
      </c>
      <c r="O394" s="496">
        <f t="shared" ca="1" si="261"/>
        <v>1.3515988189109516E-2</v>
      </c>
      <c r="P394" s="496">
        <f t="shared" ca="1" si="261"/>
        <v>1.8075758706038961E-2</v>
      </c>
      <c r="Q394" s="496">
        <f t="shared" ca="1" si="261"/>
        <v>1.9782277514713103E-2</v>
      </c>
      <c r="R394" s="496">
        <f t="shared" ca="1" si="261"/>
        <v>2.6402576368991015E-2</v>
      </c>
      <c r="S394" s="496">
        <f t="shared" ca="1" si="261"/>
        <v>1.4168737051146152E-2</v>
      </c>
      <c r="T394" s="496">
        <f t="shared" ca="1" si="261"/>
        <v>1.7125977154474871E-2</v>
      </c>
      <c r="U394" s="496">
        <f t="shared" ca="1" si="261"/>
        <v>1.8923903993368248E-2</v>
      </c>
      <c r="V394" s="496">
        <f t="shared" ca="1" si="261"/>
        <v>1.5762582208096929E-2</v>
      </c>
      <c r="W394" s="496">
        <f t="shared" ca="1" si="261"/>
        <v>2.1064583722342354E-2</v>
      </c>
      <c r="X394" s="496">
        <f t="shared" ca="1" si="261"/>
        <v>1.848701740795064E-2</v>
      </c>
      <c r="Y394" s="496">
        <f t="shared" ca="1" si="261"/>
        <v>1.4212873081366895E-2</v>
      </c>
      <c r="Z394" s="496">
        <f t="shared" ca="1" si="261"/>
        <v>1.8722275221454272E-2</v>
      </c>
      <c r="AA394" s="496">
        <f t="shared" ca="1" si="261"/>
        <v>7.4804069379051296E-3</v>
      </c>
      <c r="AB394" s="496">
        <f t="shared" ca="1" si="261"/>
        <v>1.4810659214789841E-2</v>
      </c>
      <c r="AC394" s="496">
        <f t="shared" ca="1" si="261"/>
        <v>1.7422451994350233E-2</v>
      </c>
      <c r="AD394" s="496">
        <f t="shared" ca="1" si="261"/>
        <v>1.6803902963602586E-2</v>
      </c>
      <c r="AE394" s="496">
        <f t="shared" ca="1" si="261"/>
        <v>6.0293606527558954E-3</v>
      </c>
      <c r="AF394" s="496">
        <f t="shared" ca="1" si="261"/>
        <v>1.5788924658703039E-2</v>
      </c>
      <c r="AG394" s="496">
        <f t="shared" ca="1" si="261"/>
        <v>1.4815891086313799E-2</v>
      </c>
      <c r="AH394" s="496">
        <f t="shared" ca="1" si="261"/>
        <v>2.005647943596307E-2</v>
      </c>
      <c r="AI394" s="496">
        <f t="shared" ca="1" si="261"/>
        <v>1.3409763252088949E-2</v>
      </c>
      <c r="AJ394" s="496">
        <f t="shared" ca="1" si="261"/>
        <v>2.2016647707012105E-2</v>
      </c>
      <c r="AK394" s="496">
        <f t="shared" ca="1" si="261"/>
        <v>1.7717070616861223E-2</v>
      </c>
      <c r="AL394" s="496">
        <f t="shared" ca="1" si="261"/>
        <v>1.3256241597518459E-2</v>
      </c>
      <c r="AM394" s="496">
        <f t="shared" ca="1" si="261"/>
        <v>1.6386126911193923E-2</v>
      </c>
      <c r="AN394" s="496">
        <f t="shared" ca="1" si="261"/>
        <v>1.3798576624467889E-2</v>
      </c>
      <c r="AO394" s="496">
        <f t="shared" ca="1" si="261"/>
        <v>1.1334102569766993E-2</v>
      </c>
      <c r="AP394" s="496">
        <f t="shared" ca="1" si="261"/>
        <v>7.7243318079947693E-3</v>
      </c>
    </row>
    <row r="395" spans="3:42">
      <c r="C395" t="str">
        <f t="shared" si="230"/>
        <v>R_ES-SH-SD_GEO</v>
      </c>
      <c r="D395" t="s">
        <v>906</v>
      </c>
      <c r="E395" t="str">
        <f t="shared" si="231"/>
        <v>R_ES-SD-SpHeat</v>
      </c>
      <c r="F395" s="496">
        <f t="shared" ref="F395:AP395" ca="1" si="262">0.5*F360</f>
        <v>2.248314595050295E-2</v>
      </c>
      <c r="G395" s="496">
        <f t="shared" ca="1" si="262"/>
        <v>2.5101655954191286E-2</v>
      </c>
      <c r="H395" s="496">
        <f t="shared" ca="1" si="262"/>
        <v>8.4748060741089565E-3</v>
      </c>
      <c r="I395" s="496">
        <f t="shared" ca="1" si="262"/>
        <v>1.8627953184841121E-2</v>
      </c>
      <c r="J395" s="496">
        <f t="shared" ca="1" si="262"/>
        <v>9.5655384438425722E-3</v>
      </c>
      <c r="K395" s="496">
        <f t="shared" ca="1" si="262"/>
        <v>1.3381084013026168E-2</v>
      </c>
      <c r="L395" s="496">
        <f t="shared" ca="1" si="262"/>
        <v>2.2700149144169457E-2</v>
      </c>
      <c r="M395" s="496">
        <f t="shared" ca="1" si="262"/>
        <v>1.9606856049902536E-2</v>
      </c>
      <c r="N395" s="496">
        <f t="shared" ca="1" si="262"/>
        <v>1.8292848542773178E-2</v>
      </c>
      <c r="O395" s="496">
        <f t="shared" ca="1" si="262"/>
        <v>1.3515988189109516E-2</v>
      </c>
      <c r="P395" s="496">
        <f t="shared" ca="1" si="262"/>
        <v>1.8075758706038961E-2</v>
      </c>
      <c r="Q395" s="496">
        <f t="shared" ca="1" si="262"/>
        <v>1.9782277514713103E-2</v>
      </c>
      <c r="R395" s="496">
        <f t="shared" ca="1" si="262"/>
        <v>2.6402576368991015E-2</v>
      </c>
      <c r="S395" s="496">
        <f t="shared" ca="1" si="262"/>
        <v>1.4168737051146152E-2</v>
      </c>
      <c r="T395" s="496">
        <f t="shared" ca="1" si="262"/>
        <v>1.7125977154474871E-2</v>
      </c>
      <c r="U395" s="496">
        <f t="shared" ca="1" si="262"/>
        <v>1.8923903993368248E-2</v>
      </c>
      <c r="V395" s="496">
        <f t="shared" ca="1" si="262"/>
        <v>1.5762582208096929E-2</v>
      </c>
      <c r="W395" s="496">
        <f t="shared" ca="1" si="262"/>
        <v>2.1064583722342354E-2</v>
      </c>
      <c r="X395" s="496">
        <f t="shared" ca="1" si="262"/>
        <v>1.848701740795064E-2</v>
      </c>
      <c r="Y395" s="496">
        <f t="shared" ca="1" si="262"/>
        <v>1.4212873081366895E-2</v>
      </c>
      <c r="Z395" s="496">
        <f t="shared" ca="1" si="262"/>
        <v>1.8722275221454272E-2</v>
      </c>
      <c r="AA395" s="496">
        <f t="shared" ca="1" si="262"/>
        <v>7.4804069379051296E-3</v>
      </c>
      <c r="AB395" s="496">
        <f t="shared" ca="1" si="262"/>
        <v>1.4810659214789841E-2</v>
      </c>
      <c r="AC395" s="496">
        <f t="shared" ca="1" si="262"/>
        <v>1.7422451994350233E-2</v>
      </c>
      <c r="AD395" s="496">
        <f t="shared" ca="1" si="262"/>
        <v>1.6803902963602586E-2</v>
      </c>
      <c r="AE395" s="496">
        <f t="shared" ca="1" si="262"/>
        <v>6.0293606527558954E-3</v>
      </c>
      <c r="AF395" s="496">
        <f t="shared" ca="1" si="262"/>
        <v>1.5788924658703039E-2</v>
      </c>
      <c r="AG395" s="496">
        <f t="shared" ca="1" si="262"/>
        <v>1.4815891086313799E-2</v>
      </c>
      <c r="AH395" s="496">
        <f t="shared" ca="1" si="262"/>
        <v>2.005647943596307E-2</v>
      </c>
      <c r="AI395" s="496">
        <f t="shared" ca="1" si="262"/>
        <v>1.3409763252088949E-2</v>
      </c>
      <c r="AJ395" s="496">
        <f t="shared" ca="1" si="262"/>
        <v>2.2016647707012105E-2</v>
      </c>
      <c r="AK395" s="496">
        <f t="shared" ca="1" si="262"/>
        <v>1.7717070616861223E-2</v>
      </c>
      <c r="AL395" s="496">
        <f t="shared" ca="1" si="262"/>
        <v>1.3256241597518459E-2</v>
      </c>
      <c r="AM395" s="496">
        <f t="shared" ca="1" si="262"/>
        <v>1.6386126911193923E-2</v>
      </c>
      <c r="AN395" s="496">
        <f t="shared" ca="1" si="262"/>
        <v>1.3798576624467889E-2</v>
      </c>
      <c r="AO395" s="496">
        <f t="shared" ca="1" si="262"/>
        <v>1.1334102569766993E-2</v>
      </c>
      <c r="AP395" s="496">
        <f t="shared" ca="1" si="262"/>
        <v>7.7243318079947693E-3</v>
      </c>
    </row>
    <row r="396" spans="3:42">
      <c r="F396" s="496"/>
      <c r="G396" s="496"/>
      <c r="H396" s="496"/>
      <c r="I396" s="496"/>
      <c r="J396" s="496"/>
      <c r="K396" s="496"/>
      <c r="L396" s="496"/>
      <c r="M396" s="496"/>
      <c r="N396" s="496"/>
      <c r="O396" s="496"/>
      <c r="P396" s="496"/>
      <c r="Q396" s="496"/>
      <c r="R396" s="496"/>
      <c r="S396" s="496"/>
      <c r="T396" s="496"/>
      <c r="U396" s="496"/>
      <c r="V396" s="496"/>
      <c r="W396" s="496"/>
      <c r="X396" s="496"/>
      <c r="Y396" s="496"/>
      <c r="Z396" s="496"/>
      <c r="AA396" s="496"/>
      <c r="AB396" s="496"/>
      <c r="AC396" s="496"/>
      <c r="AD396" s="496"/>
      <c r="AE396" s="496"/>
      <c r="AF396" s="496"/>
      <c r="AG396" s="496"/>
      <c r="AH396" s="496"/>
      <c r="AI396" s="496"/>
      <c r="AJ396" s="496"/>
      <c r="AK396" s="496"/>
      <c r="AL396" s="496"/>
      <c r="AM396" s="496"/>
      <c r="AN396" s="496"/>
      <c r="AO396" s="496"/>
      <c r="AP396" s="496"/>
    </row>
  </sheetData>
  <conditionalFormatting sqref="F269:AP26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72:AP27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75:AP27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78:AP27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81:AP28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82:AP28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83:AP28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84:AP28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92:AP30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3"/>
  <dimension ref="A1:AN199"/>
  <sheetViews>
    <sheetView zoomScale="115" zoomScaleNormal="115" workbookViewId="0">
      <pane xSplit="3" ySplit="3" topLeftCell="M70" activePane="bottomRight" state="frozen"/>
      <selection pane="topRight" activeCell="D1" sqref="D1"/>
      <selection pane="bottomLeft" activeCell="A4" sqref="A4"/>
      <selection pane="bottomRight" activeCell="AA81" sqref="AA81"/>
    </sheetView>
  </sheetViews>
  <sheetFormatPr defaultColWidth="9.109375" defaultRowHeight="14.4"/>
  <cols>
    <col min="2" max="2" width="24.44140625" bestFit="1" customWidth="1"/>
    <col min="3" max="3" width="31.33203125" customWidth="1"/>
    <col min="4" max="4" width="9.5546875" customWidth="1"/>
    <col min="5" max="9" width="6.6640625" customWidth="1"/>
    <col min="10" max="10" width="12" customWidth="1"/>
    <col min="11" max="14" width="6.6640625" customWidth="1"/>
    <col min="15" max="15" width="12.88671875" customWidth="1"/>
    <col min="16" max="20" width="6.6640625" customWidth="1"/>
    <col min="21" max="21" width="7.109375" bestFit="1" customWidth="1"/>
    <col min="22" max="25" width="6.6640625" customWidth="1"/>
    <col min="26" max="26" width="7.5546875" customWidth="1"/>
    <col min="27" max="27" width="6.6640625" customWidth="1"/>
    <col min="28" max="28" width="7.109375" customWidth="1"/>
    <col min="29" max="33" width="6.6640625" customWidth="1"/>
    <col min="34" max="34" width="7.109375" bestFit="1" customWidth="1"/>
    <col min="35" max="40" width="6.6640625" customWidth="1"/>
  </cols>
  <sheetData>
    <row r="1" spans="1:40" ht="21">
      <c r="A1" s="3" t="s">
        <v>692</v>
      </c>
      <c r="B1" s="606"/>
      <c r="C1" s="606"/>
    </row>
    <row r="2" spans="1:40">
      <c r="A2" t="s">
        <v>693</v>
      </c>
      <c r="B2" s="606"/>
      <c r="C2" s="606"/>
    </row>
    <row r="3" spans="1:40">
      <c r="A3">
        <v>1</v>
      </c>
      <c r="B3" t="s">
        <v>687</v>
      </c>
      <c r="D3" s="247" t="s">
        <v>88</v>
      </c>
      <c r="E3" s="248" t="s">
        <v>89</v>
      </c>
      <c r="F3" s="248" t="s">
        <v>90</v>
      </c>
      <c r="G3" s="248" t="s">
        <v>91</v>
      </c>
      <c r="H3" s="248" t="s">
        <v>92</v>
      </c>
      <c r="I3" s="248" t="s">
        <v>93</v>
      </c>
      <c r="J3" s="248" t="s">
        <v>94</v>
      </c>
      <c r="K3" s="248" t="s">
        <v>95</v>
      </c>
      <c r="L3" s="248" t="s">
        <v>96</v>
      </c>
      <c r="M3" s="248" t="s">
        <v>97</v>
      </c>
      <c r="N3" s="248" t="s">
        <v>98</v>
      </c>
      <c r="O3" s="248" t="s">
        <v>99</v>
      </c>
      <c r="P3" s="248" t="s">
        <v>205</v>
      </c>
      <c r="Q3" s="248" t="s">
        <v>118</v>
      </c>
      <c r="R3" s="248" t="s">
        <v>100</v>
      </c>
      <c r="S3" s="248" t="s">
        <v>101</v>
      </c>
      <c r="T3" s="248" t="s">
        <v>102</v>
      </c>
      <c r="U3" s="248" t="s">
        <v>103</v>
      </c>
      <c r="V3" s="248" t="s">
        <v>104</v>
      </c>
      <c r="W3" s="248" t="s">
        <v>105</v>
      </c>
      <c r="X3" s="248" t="s">
        <v>106</v>
      </c>
      <c r="Y3" s="248" t="s">
        <v>107</v>
      </c>
      <c r="Z3" s="248" t="s">
        <v>108</v>
      </c>
      <c r="AA3" s="248" t="s">
        <v>109</v>
      </c>
      <c r="AB3" s="248" t="s">
        <v>110</v>
      </c>
      <c r="AC3" s="248" t="s">
        <v>111</v>
      </c>
      <c r="AD3" s="248" t="s">
        <v>112</v>
      </c>
      <c r="AE3" s="248" t="s">
        <v>113</v>
      </c>
      <c r="AF3" s="248" t="s">
        <v>114</v>
      </c>
      <c r="AG3" s="248" t="s">
        <v>115</v>
      </c>
      <c r="AH3" s="248" t="s">
        <v>52</v>
      </c>
      <c r="AI3" s="248" t="s">
        <v>116</v>
      </c>
      <c r="AJ3" s="248" t="s">
        <v>117</v>
      </c>
      <c r="AK3" s="248" t="s">
        <v>119</v>
      </c>
      <c r="AL3" s="248" t="s">
        <v>120</v>
      </c>
      <c r="AM3" s="248" t="s">
        <v>121</v>
      </c>
      <c r="AN3" s="249" t="s">
        <v>122</v>
      </c>
    </row>
    <row r="4" spans="1:40">
      <c r="A4">
        <v>2</v>
      </c>
      <c r="B4" s="608" t="s">
        <v>524</v>
      </c>
      <c r="C4" s="609" t="s">
        <v>525</v>
      </c>
      <c r="D4" s="620">
        <v>288.5</v>
      </c>
      <c r="E4" s="621">
        <v>401.73999999999995</v>
      </c>
      <c r="F4" s="621">
        <v>217.52000000000004</v>
      </c>
      <c r="G4" s="622">
        <f>G69/(41.868/1000)</f>
        <v>348.3793818039785</v>
      </c>
      <c r="H4" s="621">
        <v>43.25</v>
      </c>
      <c r="I4" s="621">
        <v>384.11</v>
      </c>
      <c r="J4" s="621">
        <v>3403.9099999999994</v>
      </c>
      <c r="K4" s="621">
        <v>219.3</v>
      </c>
      <c r="L4" s="621">
        <v>59.790000000000006</v>
      </c>
      <c r="M4" s="621">
        <v>1588.09</v>
      </c>
      <c r="N4" s="621">
        <v>187.94</v>
      </c>
      <c r="O4" s="621">
        <v>3305.88</v>
      </c>
      <c r="P4" s="621">
        <v>508.34</v>
      </c>
      <c r="Q4" s="621">
        <v>153.31</v>
      </c>
      <c r="R4" s="621">
        <v>395.14000000000004</v>
      </c>
      <c r="S4" s="621">
        <v>133.37</v>
      </c>
      <c r="T4" s="622">
        <f>T69/(41.868/1000)</f>
        <v>10.06075688834448</v>
      </c>
      <c r="U4" s="621">
        <v>2431.36</v>
      </c>
      <c r="V4" s="621">
        <v>105.04</v>
      </c>
      <c r="W4" s="621">
        <v>18.62</v>
      </c>
      <c r="X4" s="621">
        <v>69.03</v>
      </c>
      <c r="Y4" s="621">
        <v>11.66</v>
      </c>
      <c r="Z4" s="621">
        <v>685.94</v>
      </c>
      <c r="AA4" s="622">
        <f>AA69/(41.868/1000)</f>
        <v>419.22254425546384</v>
      </c>
      <c r="AB4" s="621">
        <v>1454.72</v>
      </c>
      <c r="AC4" s="621">
        <v>972.6</v>
      </c>
      <c r="AD4" s="621">
        <v>715.67</v>
      </c>
      <c r="AE4" s="621">
        <v>312.7</v>
      </c>
      <c r="AF4" s="621">
        <v>66.19</v>
      </c>
      <c r="AG4" s="621">
        <v>154.36000000000001</v>
      </c>
      <c r="AH4" s="621">
        <v>1612.3599999999997</v>
      </c>
      <c r="AI4" s="622" t="e">
        <f t="shared" ref="AI4:AN14" si="0">AI69/(41.868/1000)</f>
        <v>#DIV/0!</v>
      </c>
      <c r="AJ4" s="622">
        <f t="shared" si="0"/>
        <v>73.061606532804433</v>
      </c>
      <c r="AK4" s="622" t="e">
        <f t="shared" si="0"/>
        <v>#DIV/0!</v>
      </c>
      <c r="AL4" s="622">
        <f t="shared" si="0"/>
        <v>54.656632359237896</v>
      </c>
      <c r="AM4" s="622">
        <f t="shared" si="0"/>
        <v>252.39342390760385</v>
      </c>
      <c r="AN4" s="623">
        <f t="shared" si="0"/>
        <v>39.623539575145543</v>
      </c>
    </row>
    <row r="5" spans="1:40">
      <c r="A5">
        <v>3</v>
      </c>
      <c r="B5" s="610"/>
      <c r="C5" s="611" t="s">
        <v>526</v>
      </c>
      <c r="D5" s="624">
        <v>20.09</v>
      </c>
      <c r="E5" s="488">
        <v>0</v>
      </c>
      <c r="F5" s="488">
        <v>17.72</v>
      </c>
      <c r="G5" s="209">
        <f t="shared" ref="G5:G14" si="1">G70/(41.868/1000)</f>
        <v>0</v>
      </c>
      <c r="H5" s="488">
        <v>0</v>
      </c>
      <c r="I5" s="488">
        <v>16.54</v>
      </c>
      <c r="J5" s="488">
        <v>0</v>
      </c>
      <c r="K5" s="488">
        <v>0</v>
      </c>
      <c r="L5" s="488">
        <v>5.9</v>
      </c>
      <c r="M5" s="488">
        <v>27.29</v>
      </c>
      <c r="N5" s="488">
        <v>0</v>
      </c>
      <c r="O5" s="488">
        <v>0</v>
      </c>
      <c r="P5" s="488">
        <v>37.25</v>
      </c>
      <c r="Q5" s="488">
        <v>0</v>
      </c>
      <c r="R5" s="488">
        <v>14.4</v>
      </c>
      <c r="S5" s="488">
        <v>0</v>
      </c>
      <c r="T5" s="209">
        <f t="shared" ref="T5:T14" si="2">T70/(41.868/1000)</f>
        <v>0</v>
      </c>
      <c r="U5" s="488">
        <v>0</v>
      </c>
      <c r="V5" s="488">
        <v>17.68</v>
      </c>
      <c r="W5" s="488">
        <v>0</v>
      </c>
      <c r="X5" s="488">
        <v>22.59</v>
      </c>
      <c r="Y5" s="488">
        <v>0</v>
      </c>
      <c r="Z5" s="488">
        <v>0</v>
      </c>
      <c r="AA5" s="209">
        <f t="shared" ref="AA5:AA14" si="3">AA70/(41.868/1000)</f>
        <v>0</v>
      </c>
      <c r="AB5" s="488">
        <v>55.1</v>
      </c>
      <c r="AC5" s="488">
        <v>272.69</v>
      </c>
      <c r="AD5" s="488">
        <v>255.95000000000002</v>
      </c>
      <c r="AE5" s="488">
        <v>0</v>
      </c>
      <c r="AF5" s="488">
        <v>10.6</v>
      </c>
      <c r="AG5" s="488">
        <v>0</v>
      </c>
      <c r="AH5" s="488">
        <v>0</v>
      </c>
      <c r="AI5" s="209">
        <f t="shared" si="0"/>
        <v>11.218168425897131</v>
      </c>
      <c r="AJ5" s="209">
        <f t="shared" si="0"/>
        <v>0</v>
      </c>
      <c r="AK5" s="209">
        <f t="shared" si="0"/>
        <v>14.043238644416569</v>
      </c>
      <c r="AL5" s="209">
        <f t="shared" si="0"/>
        <v>0</v>
      </c>
      <c r="AM5" s="209">
        <f t="shared" si="0"/>
        <v>0</v>
      </c>
      <c r="AN5" s="210">
        <f t="shared" si="0"/>
        <v>0</v>
      </c>
    </row>
    <row r="6" spans="1:40">
      <c r="A6">
        <v>4</v>
      </c>
      <c r="B6" s="610"/>
      <c r="C6" s="611" t="s">
        <v>510</v>
      </c>
      <c r="D6" s="624">
        <v>223.9</v>
      </c>
      <c r="E6" s="488">
        <v>247.33999999999997</v>
      </c>
      <c r="F6" s="488">
        <v>165.69</v>
      </c>
      <c r="G6" s="209">
        <f t="shared" si="1"/>
        <v>344.35511295170863</v>
      </c>
      <c r="H6" s="488">
        <v>11.05</v>
      </c>
      <c r="I6" s="488">
        <v>252.53</v>
      </c>
      <c r="J6" s="488">
        <v>2897.85</v>
      </c>
      <c r="K6" s="488">
        <v>197.17</v>
      </c>
      <c r="L6" s="488">
        <v>48.27</v>
      </c>
      <c r="M6" s="488">
        <v>690.42</v>
      </c>
      <c r="N6" s="488">
        <v>183.69</v>
      </c>
      <c r="O6" s="488">
        <v>2119.98</v>
      </c>
      <c r="P6" s="488">
        <v>427.38</v>
      </c>
      <c r="Q6" s="488">
        <v>89.15</v>
      </c>
      <c r="R6" s="488">
        <v>135.41</v>
      </c>
      <c r="S6" s="488">
        <v>85.52</v>
      </c>
      <c r="T6" s="209">
        <f t="shared" si="2"/>
        <v>9.6893683392222894</v>
      </c>
      <c r="U6" s="488">
        <v>433.23</v>
      </c>
      <c r="V6" s="488">
        <v>57.030000000000008</v>
      </c>
      <c r="W6" s="488">
        <v>10.9</v>
      </c>
      <c r="X6" s="488">
        <v>25.379999999999995</v>
      </c>
      <c r="Y6" s="488">
        <v>3.46</v>
      </c>
      <c r="Z6" s="488">
        <v>353.54500000000002</v>
      </c>
      <c r="AA6" s="209">
        <f t="shared" si="3"/>
        <v>414.67830756562762</v>
      </c>
      <c r="AB6" s="488">
        <v>635.73</v>
      </c>
      <c r="AC6" s="488">
        <v>258.41000000000003</v>
      </c>
      <c r="AD6" s="488">
        <v>58.65</v>
      </c>
      <c r="AE6" s="488">
        <v>309.22000000000003</v>
      </c>
      <c r="AF6" s="488">
        <v>28.7</v>
      </c>
      <c r="AG6" s="488">
        <v>79.48</v>
      </c>
      <c r="AH6" s="488">
        <v>706.01</v>
      </c>
      <c r="AI6" s="209">
        <f t="shared" si="0"/>
        <v>66.945818316693376</v>
      </c>
      <c r="AJ6" s="209">
        <f t="shared" si="0"/>
        <v>70.808815764301556</v>
      </c>
      <c r="AK6" s="209">
        <f t="shared" si="0"/>
        <v>33.10479078168575</v>
      </c>
      <c r="AL6" s="209">
        <f t="shared" si="0"/>
        <v>50.360300928551922</v>
      </c>
      <c r="AM6" s="209">
        <f t="shared" si="0"/>
        <v>228.12061049532733</v>
      </c>
      <c r="AN6" s="210">
        <f t="shared" si="0"/>
        <v>34.929210696011225</v>
      </c>
    </row>
    <row r="7" spans="1:40">
      <c r="A7">
        <v>5</v>
      </c>
      <c r="B7" s="610"/>
      <c r="C7" s="611" t="s">
        <v>527</v>
      </c>
      <c r="D7" s="624">
        <v>28.2</v>
      </c>
      <c r="E7" s="488">
        <v>129.91</v>
      </c>
      <c r="F7" s="488">
        <v>4.25</v>
      </c>
      <c r="G7" s="209">
        <f t="shared" si="1"/>
        <v>4.0242688522698247</v>
      </c>
      <c r="H7" s="488">
        <v>0</v>
      </c>
      <c r="I7" s="488">
        <v>112.88000000000001</v>
      </c>
      <c r="J7" s="488">
        <v>77.040000000000006</v>
      </c>
      <c r="K7" s="488">
        <v>10.06</v>
      </c>
      <c r="L7" s="488">
        <v>2.4300000000000002</v>
      </c>
      <c r="M7" s="488">
        <v>558.01</v>
      </c>
      <c r="N7" s="488">
        <v>0.8899999999999999</v>
      </c>
      <c r="O7" s="488">
        <v>605.54999999999995</v>
      </c>
      <c r="P7" s="488">
        <v>17.59</v>
      </c>
      <c r="Q7" s="488">
        <v>28.479999999999997</v>
      </c>
      <c r="R7" s="488">
        <v>187.47</v>
      </c>
      <c r="S7" s="488">
        <v>30.459999999999997</v>
      </c>
      <c r="T7" s="209">
        <f t="shared" si="2"/>
        <v>0</v>
      </c>
      <c r="U7" s="488">
        <v>1543.57</v>
      </c>
      <c r="V7" s="488">
        <v>6.79</v>
      </c>
      <c r="W7" s="488">
        <v>6.4699999999999989</v>
      </c>
      <c r="X7" s="488">
        <v>5.95</v>
      </c>
      <c r="Y7" s="488">
        <v>0</v>
      </c>
      <c r="Z7" s="488">
        <v>310.36</v>
      </c>
      <c r="AA7" s="209">
        <f t="shared" si="3"/>
        <v>7.9500436258570423E-2</v>
      </c>
      <c r="AB7" s="488">
        <v>204.26000000000002</v>
      </c>
      <c r="AC7" s="488">
        <v>87.53</v>
      </c>
      <c r="AD7" s="488">
        <v>201.83</v>
      </c>
      <c r="AE7" s="488">
        <v>3.4800000000000004</v>
      </c>
      <c r="AF7" s="488">
        <v>6.95</v>
      </c>
      <c r="AG7" s="488">
        <v>66.5</v>
      </c>
      <c r="AH7" s="488">
        <v>835.17</v>
      </c>
      <c r="AI7" s="209">
        <f t="shared" si="0"/>
        <v>0</v>
      </c>
      <c r="AJ7" s="209">
        <f t="shared" si="0"/>
        <v>2.2527907685028752</v>
      </c>
      <c r="AK7" s="209">
        <f t="shared" si="0"/>
        <v>0</v>
      </c>
      <c r="AL7" s="209">
        <f t="shared" si="0"/>
        <v>0</v>
      </c>
      <c r="AM7" s="209">
        <f t="shared" si="0"/>
        <v>11.240948241288446</v>
      </c>
      <c r="AN7" s="210">
        <f t="shared" si="0"/>
        <v>0</v>
      </c>
    </row>
    <row r="8" spans="1:40">
      <c r="A8">
        <v>6</v>
      </c>
      <c r="B8" s="610"/>
      <c r="C8" s="611" t="s">
        <v>528</v>
      </c>
      <c r="D8" s="624">
        <v>15.719999999999999</v>
      </c>
      <c r="E8" s="488">
        <v>24.499999999999996</v>
      </c>
      <c r="F8" s="488">
        <v>20.16</v>
      </c>
      <c r="G8" s="209">
        <f t="shared" si="1"/>
        <v>0</v>
      </c>
      <c r="H8" s="488">
        <v>32.19</v>
      </c>
      <c r="I8" s="488">
        <v>2.15</v>
      </c>
      <c r="J8" s="488">
        <v>429.02</v>
      </c>
      <c r="K8" s="488">
        <v>12.07</v>
      </c>
      <c r="L8" s="488">
        <v>3.19</v>
      </c>
      <c r="M8" s="488">
        <v>298.62</v>
      </c>
      <c r="N8" s="488">
        <v>3.3599999999999994</v>
      </c>
      <c r="O8" s="488">
        <v>580.34</v>
      </c>
      <c r="P8" s="488">
        <v>26.12</v>
      </c>
      <c r="Q8" s="488">
        <v>35.69</v>
      </c>
      <c r="R8" s="488">
        <v>57.180000000000007</v>
      </c>
      <c r="S8" s="488">
        <v>17.39</v>
      </c>
      <c r="T8" s="209">
        <f t="shared" si="2"/>
        <v>0.37138854912219077</v>
      </c>
      <c r="U8" s="488">
        <v>454.56</v>
      </c>
      <c r="V8" s="488">
        <v>23.53</v>
      </c>
      <c r="W8" s="488">
        <v>1.24</v>
      </c>
      <c r="X8" s="488">
        <v>15.109999999999998</v>
      </c>
      <c r="Y8" s="488">
        <v>8.19</v>
      </c>
      <c r="Z8" s="488">
        <v>22.035</v>
      </c>
      <c r="AA8" s="209">
        <f t="shared" si="3"/>
        <v>4.4647362535776418</v>
      </c>
      <c r="AB8" s="488">
        <v>391.39</v>
      </c>
      <c r="AC8" s="488">
        <v>353.97</v>
      </c>
      <c r="AD8" s="488">
        <v>199.25</v>
      </c>
      <c r="AE8" s="488">
        <v>0</v>
      </c>
      <c r="AF8" s="488">
        <v>19.95</v>
      </c>
      <c r="AG8" s="488">
        <v>8.3699999999999992</v>
      </c>
      <c r="AH8" s="488">
        <v>71.180000000000007</v>
      </c>
      <c r="AI8" s="209">
        <f t="shared" si="0"/>
        <v>42.150282668238908</v>
      </c>
      <c r="AJ8" s="209">
        <f t="shared" si="0"/>
        <v>0</v>
      </c>
      <c r="AK8" s="209">
        <f t="shared" si="0"/>
        <v>0</v>
      </c>
      <c r="AL8" s="209">
        <f t="shared" si="0"/>
        <v>4.2963314306859743</v>
      </c>
      <c r="AM8" s="209">
        <f t="shared" si="0"/>
        <v>13.031865170988098</v>
      </c>
      <c r="AN8" s="210">
        <f t="shared" si="0"/>
        <v>4.6943288791343196</v>
      </c>
    </row>
    <row r="9" spans="1:40">
      <c r="A9">
        <v>7</v>
      </c>
      <c r="B9" s="612"/>
      <c r="C9" s="613" t="s">
        <v>529</v>
      </c>
      <c r="D9" s="625">
        <v>0.57999999999999996</v>
      </c>
      <c r="E9" s="626">
        <v>0</v>
      </c>
      <c r="F9" s="626">
        <v>9.6999999999999993</v>
      </c>
      <c r="G9" s="627">
        <f t="shared" si="1"/>
        <v>0</v>
      </c>
      <c r="H9" s="626">
        <v>0</v>
      </c>
      <c r="I9" s="626">
        <v>0</v>
      </c>
      <c r="J9" s="626">
        <v>0</v>
      </c>
      <c r="K9" s="626">
        <v>0</v>
      </c>
      <c r="L9" s="626">
        <v>0</v>
      </c>
      <c r="M9" s="626">
        <v>13.76</v>
      </c>
      <c r="N9" s="626">
        <v>0</v>
      </c>
      <c r="O9" s="626">
        <v>0</v>
      </c>
      <c r="P9" s="626">
        <v>0</v>
      </c>
      <c r="Q9" s="626">
        <v>0</v>
      </c>
      <c r="R9" s="626">
        <v>0.68</v>
      </c>
      <c r="S9" s="626">
        <v>0</v>
      </c>
      <c r="T9" s="627">
        <f t="shared" si="2"/>
        <v>0</v>
      </c>
      <c r="U9" s="626">
        <v>0</v>
      </c>
      <c r="V9" s="626">
        <v>0</v>
      </c>
      <c r="W9" s="626">
        <v>0</v>
      </c>
      <c r="X9" s="626">
        <v>0</v>
      </c>
      <c r="Y9" s="626">
        <v>0</v>
      </c>
      <c r="Z9" s="626">
        <v>0</v>
      </c>
      <c r="AA9" s="627">
        <f t="shared" si="3"/>
        <v>0</v>
      </c>
      <c r="AB9" s="626">
        <v>168.24</v>
      </c>
      <c r="AC9" s="626">
        <v>0</v>
      </c>
      <c r="AD9" s="626">
        <v>0</v>
      </c>
      <c r="AE9" s="626">
        <v>0</v>
      </c>
      <c r="AF9" s="626">
        <v>0</v>
      </c>
      <c r="AG9" s="626">
        <v>0</v>
      </c>
      <c r="AH9" s="626">
        <v>0</v>
      </c>
      <c r="AI9" s="627" t="e">
        <f t="shared" si="0"/>
        <v>#DIV/0!</v>
      </c>
      <c r="AJ9" s="627">
        <f t="shared" si="0"/>
        <v>0</v>
      </c>
      <c r="AK9" s="627" t="e">
        <f t="shared" si="0"/>
        <v>#DIV/0!</v>
      </c>
      <c r="AL9" s="627">
        <f t="shared" si="0"/>
        <v>0</v>
      </c>
      <c r="AM9" s="627">
        <f t="shared" si="0"/>
        <v>0</v>
      </c>
      <c r="AN9" s="628">
        <f t="shared" si="0"/>
        <v>0</v>
      </c>
    </row>
    <row r="10" spans="1:40">
      <c r="A10">
        <v>8</v>
      </c>
      <c r="B10" s="614" t="s">
        <v>530</v>
      </c>
      <c r="C10" s="615" t="s">
        <v>525</v>
      </c>
      <c r="D10" s="620">
        <v>7.9299999999999988</v>
      </c>
      <c r="E10" s="621">
        <v>37.04</v>
      </c>
      <c r="F10" s="621">
        <v>9.01</v>
      </c>
      <c r="G10" s="622">
        <f t="shared" si="1"/>
        <v>9.0798951569750201</v>
      </c>
      <c r="H10" s="621">
        <v>25.480000000000004</v>
      </c>
      <c r="I10" s="621">
        <v>1.94</v>
      </c>
      <c r="J10" s="621">
        <v>76.41</v>
      </c>
      <c r="K10" s="621">
        <v>4.96</v>
      </c>
      <c r="L10" s="621">
        <v>4.9999999999999996E-2</v>
      </c>
      <c r="M10" s="621">
        <v>145.99</v>
      </c>
      <c r="N10" s="621">
        <v>1.67</v>
      </c>
      <c r="O10" s="621">
        <v>411.44</v>
      </c>
      <c r="P10" s="621">
        <v>59.900000000000006</v>
      </c>
      <c r="Q10" s="621">
        <v>54.459999999999994</v>
      </c>
      <c r="R10" s="621">
        <v>2.1800000000000002</v>
      </c>
      <c r="S10" s="621">
        <v>2.6</v>
      </c>
      <c r="T10" s="622">
        <f t="shared" si="2"/>
        <v>8.8089962036590044E-2</v>
      </c>
      <c r="U10" s="621">
        <v>309.19</v>
      </c>
      <c r="V10" s="621">
        <v>0.09</v>
      </c>
      <c r="W10" s="621">
        <v>5.22</v>
      </c>
      <c r="X10" s="621">
        <v>0.01</v>
      </c>
      <c r="Y10" s="621">
        <v>6.41</v>
      </c>
      <c r="Z10" s="621">
        <v>37.534999999999997</v>
      </c>
      <c r="AA10" s="622">
        <f t="shared" si="3"/>
        <v>3.7700080223996859</v>
      </c>
      <c r="AB10" s="621">
        <v>3.57</v>
      </c>
      <c r="AC10" s="621">
        <v>16.07</v>
      </c>
      <c r="AD10" s="621">
        <v>3.81</v>
      </c>
      <c r="AE10" s="621">
        <v>5.6</v>
      </c>
      <c r="AF10" s="621">
        <v>3.41</v>
      </c>
      <c r="AG10" s="621">
        <v>2.0699999999999998</v>
      </c>
      <c r="AH10" s="621">
        <v>26.590000000000003</v>
      </c>
      <c r="AI10" s="622">
        <f t="shared" si="0"/>
        <v>9.3828782750010138</v>
      </c>
      <c r="AJ10" s="622">
        <f t="shared" si="0"/>
        <v>43.255727498865532</v>
      </c>
      <c r="AK10" s="622">
        <f t="shared" si="0"/>
        <v>4.6398450274298675</v>
      </c>
      <c r="AL10" s="622">
        <f t="shared" si="0"/>
        <v>30.764127746146244</v>
      </c>
      <c r="AM10" s="622">
        <f t="shared" si="0"/>
        <v>139.35444136371871</v>
      </c>
      <c r="AN10" s="623">
        <f t="shared" si="0"/>
        <v>21.33757503650893</v>
      </c>
    </row>
    <row r="11" spans="1:40">
      <c r="A11">
        <v>9</v>
      </c>
      <c r="B11" s="612"/>
      <c r="C11" s="613" t="s">
        <v>510</v>
      </c>
      <c r="D11" s="625">
        <v>7.9299999999999988</v>
      </c>
      <c r="E11" s="626">
        <v>37.04</v>
      </c>
      <c r="F11" s="626">
        <v>9.01</v>
      </c>
      <c r="G11" s="627">
        <f t="shared" si="1"/>
        <v>9.0798951569750201</v>
      </c>
      <c r="H11" s="626">
        <v>25.480000000000004</v>
      </c>
      <c r="I11" s="626">
        <v>1.94</v>
      </c>
      <c r="J11" s="626">
        <v>76.41</v>
      </c>
      <c r="K11" s="626">
        <v>4.96</v>
      </c>
      <c r="L11" s="626">
        <v>4.9999999999999996E-2</v>
      </c>
      <c r="M11" s="626">
        <v>145.99</v>
      </c>
      <c r="N11" s="626">
        <v>1.67</v>
      </c>
      <c r="O11" s="626">
        <v>411.44</v>
      </c>
      <c r="P11" s="626">
        <v>59.900000000000006</v>
      </c>
      <c r="Q11" s="626">
        <v>54.459999999999994</v>
      </c>
      <c r="R11" s="626">
        <v>2.1800000000000002</v>
      </c>
      <c r="S11" s="626">
        <v>2.6</v>
      </c>
      <c r="T11" s="627">
        <f t="shared" si="2"/>
        <v>8.8089962036590044E-2</v>
      </c>
      <c r="U11" s="626">
        <v>309.19</v>
      </c>
      <c r="V11" s="626">
        <v>0.09</v>
      </c>
      <c r="W11" s="626">
        <v>5.22</v>
      </c>
      <c r="X11" s="626">
        <v>0.01</v>
      </c>
      <c r="Y11" s="626">
        <v>6.41</v>
      </c>
      <c r="Z11" s="626">
        <v>37.534999999999997</v>
      </c>
      <c r="AA11" s="627">
        <f t="shared" si="3"/>
        <v>3.7700080223996859</v>
      </c>
      <c r="AB11" s="626">
        <v>3.57</v>
      </c>
      <c r="AC11" s="626">
        <v>16.07</v>
      </c>
      <c r="AD11" s="626">
        <v>3.81</v>
      </c>
      <c r="AE11" s="626">
        <v>5.6</v>
      </c>
      <c r="AF11" s="626">
        <v>3.41</v>
      </c>
      <c r="AG11" s="626">
        <v>2.0699999999999998</v>
      </c>
      <c r="AH11" s="626">
        <v>26.590000000000003</v>
      </c>
      <c r="AI11" s="627">
        <f t="shared" si="0"/>
        <v>9.3828782750010138</v>
      </c>
      <c r="AJ11" s="627">
        <f t="shared" si="0"/>
        <v>43.255727498865532</v>
      </c>
      <c r="AK11" s="627">
        <f t="shared" si="0"/>
        <v>4.6398450274298675</v>
      </c>
      <c r="AL11" s="627">
        <f t="shared" si="0"/>
        <v>30.764127746146244</v>
      </c>
      <c r="AM11" s="627">
        <f t="shared" si="0"/>
        <v>139.35444136371871</v>
      </c>
      <c r="AN11" s="628">
        <f t="shared" si="0"/>
        <v>21.33757503650893</v>
      </c>
    </row>
    <row r="12" spans="1:40">
      <c r="A12" s="764">
        <v>10</v>
      </c>
      <c r="B12" s="614" t="s">
        <v>531</v>
      </c>
      <c r="C12" s="615" t="s">
        <v>958</v>
      </c>
      <c r="D12" s="621">
        <f t="shared" ref="D12" si="4">SUM(D13:D21)</f>
        <v>4396.6324035537646</v>
      </c>
      <c r="E12" s="621">
        <f t="shared" ref="E12" si="5">SUM(E13:E21)</f>
        <v>6620.0021273769253</v>
      </c>
      <c r="F12" s="621">
        <f t="shared" ref="F12" si="6">SUM(F13:F21)</f>
        <v>1193.059329826671</v>
      </c>
      <c r="G12" s="622">
        <f t="shared" si="1"/>
        <v>4499.3299858914143</v>
      </c>
      <c r="H12" s="621">
        <f t="shared" ref="H12" si="7">SUM(H13:H21)</f>
        <v>129.95414146590392</v>
      </c>
      <c r="I12" s="621">
        <f t="shared" ref="I12" si="8">SUM(I13:I21)</f>
        <v>5556.0421484943854</v>
      </c>
      <c r="J12" s="621">
        <f t="shared" ref="J12" si="9">SUM(J13:J21)</f>
        <v>43263.187270289629</v>
      </c>
      <c r="K12" s="621">
        <f t="shared" ref="K12" si="10">SUM(K13:K21)</f>
        <v>3430.8986820973223</v>
      </c>
      <c r="L12" s="621">
        <f t="shared" ref="L12" si="11">SUM(L13:L21)</f>
        <v>727.85918578484166</v>
      </c>
      <c r="M12" s="621">
        <f t="shared" ref="M12" si="12">SUM(M13:M21)</f>
        <v>8127.748806536757</v>
      </c>
      <c r="N12" s="621">
        <f t="shared" ref="N12" si="13">SUM(N13:N21)</f>
        <v>4287.4226628720135</v>
      </c>
      <c r="O12" s="621">
        <f t="shared" ref="O12" si="14">SUM(O13:O21)</f>
        <v>27902.461772928338</v>
      </c>
      <c r="P12" s="621">
        <f t="shared" ref="P12" si="15">SUM(P13:P21)</f>
        <v>2637.2135605888675</v>
      </c>
      <c r="Q12" s="621">
        <f t="shared" ref="Q12" si="16">SUM(Q13:Q21)</f>
        <v>1779.0107086083303</v>
      </c>
      <c r="R12" s="621">
        <f t="shared" ref="R12" si="17">SUM(R13:R21)</f>
        <v>4916.123913651687</v>
      </c>
      <c r="S12" s="621">
        <f t="shared" ref="S12:U12" si="18">SUM(S13:S21)</f>
        <v>2181.470111980193</v>
      </c>
      <c r="T12" s="622">
        <f t="shared" si="2"/>
        <v>349.8136759941649</v>
      </c>
      <c r="U12" s="621">
        <f t="shared" si="18"/>
        <v>22041.118213869875</v>
      </c>
      <c r="V12" s="621">
        <f t="shared" ref="V12" si="19">SUM(V13:V21)</f>
        <v>1124.1949083813606</v>
      </c>
      <c r="W12" s="621">
        <f t="shared" ref="W12" si="20">SUM(W13:W21)</f>
        <v>386.19494889588725</v>
      </c>
      <c r="X12" s="621">
        <f t="shared" ref="X12" si="21">SUM(X13:X21)</f>
        <v>995.28829531322299</v>
      </c>
      <c r="Y12" s="621">
        <f t="shared" ref="Y12" si="22">SUM(Y13:Y21)</f>
        <v>10.607602882611529</v>
      </c>
      <c r="Z12" s="621">
        <f t="shared" ref="Z12:AD12" si="23">SUM(Z13:Z21)</f>
        <v>8232.876100842901</v>
      </c>
      <c r="AA12" s="622">
        <f t="shared" si="3"/>
        <v>1868.4574639891666</v>
      </c>
      <c r="AB12" s="621">
        <f t="shared" si="23"/>
        <v>15441.756646628579</v>
      </c>
      <c r="AC12" s="621">
        <f t="shared" si="23"/>
        <v>554.52983227122274</v>
      </c>
      <c r="AD12" s="621">
        <f t="shared" si="23"/>
        <v>5541.8882841483946</v>
      </c>
      <c r="AE12" s="621">
        <f>SUM(AE13:AE21)</f>
        <v>5487.5601679679639</v>
      </c>
      <c r="AF12" s="621">
        <f t="shared" ref="AF12:AH12" si="24">SUM(AF13:AF21)</f>
        <v>831.57419463102121</v>
      </c>
      <c r="AG12" s="621">
        <f t="shared" si="24"/>
        <v>1589.1688457195262</v>
      </c>
      <c r="AH12" s="621">
        <f t="shared" si="24"/>
        <v>31250.662898665778</v>
      </c>
      <c r="AI12" s="622" t="e">
        <f t="shared" si="0"/>
        <v>#DIV/0!</v>
      </c>
      <c r="AJ12" s="622">
        <f t="shared" si="0"/>
        <v>408.88482621153059</v>
      </c>
      <c r="AK12" s="622" t="e">
        <f t="shared" si="0"/>
        <v>#DIV/0!</v>
      </c>
      <c r="AL12" s="622">
        <f t="shared" si="0"/>
        <v>242.29120267790174</v>
      </c>
      <c r="AM12" s="622">
        <f t="shared" si="0"/>
        <v>1712.5344949309429</v>
      </c>
      <c r="AN12" s="623">
        <f t="shared" si="0"/>
        <v>256.4353283868677</v>
      </c>
    </row>
    <row r="13" spans="1:40">
      <c r="A13" s="764">
        <v>11</v>
      </c>
      <c r="B13" s="610"/>
      <c r="C13" s="611" t="s">
        <v>526</v>
      </c>
      <c r="D13" s="488">
        <f>'IDEES okt 2017'!C41</f>
        <v>1407.8586544322354</v>
      </c>
      <c r="E13" s="488">
        <f>'IDEES okt 2017'!D41</f>
        <v>462.74021334765843</v>
      </c>
      <c r="F13" s="488">
        <f>'IDEES okt 2017'!E41</f>
        <v>631.2426213304326</v>
      </c>
      <c r="G13" s="209">
        <f t="shared" si="1"/>
        <v>454.16363325050816</v>
      </c>
      <c r="H13" s="488">
        <f>'IDEES okt 2017'!G41</f>
        <v>5.3167539012970275</v>
      </c>
      <c r="I13" s="488">
        <f>'IDEES okt 2017'!H41</f>
        <v>1428.2440068368001</v>
      </c>
      <c r="J13" s="488">
        <f>'IDEES okt 2017'!I41</f>
        <v>5485.5321670674566</v>
      </c>
      <c r="K13" s="488">
        <f>'IDEES okt 2017'!J41</f>
        <v>810.28737801255613</v>
      </c>
      <c r="L13" s="488">
        <f>'IDEES okt 2017'!K41</f>
        <v>357.56243119385738</v>
      </c>
      <c r="M13" s="488">
        <f>'IDEES okt 2017'!L41</f>
        <v>2037.5657435542448</v>
      </c>
      <c r="N13" s="488">
        <f>'IDEES okt 2017'!M41</f>
        <v>1301.0589144497435</v>
      </c>
      <c r="O13" s="488">
        <f>'IDEES okt 2017'!N41</f>
        <v>6635.9205968249653</v>
      </c>
      <c r="P13" s="488">
        <f>'IDEES okt 2017'!O41</f>
        <v>546.75870520837407</v>
      </c>
      <c r="Q13" s="488">
        <f>'IDEES okt 2017'!P41</f>
        <v>1067.1119824819766</v>
      </c>
      <c r="R13" s="488">
        <f>'IDEES okt 2017'!Q41</f>
        <v>1474.7623383704945</v>
      </c>
      <c r="S13" s="488">
        <f>'IDEES okt 2017'!R41</f>
        <v>23.45743284168632</v>
      </c>
      <c r="T13" s="209">
        <f t="shared" si="2"/>
        <v>0</v>
      </c>
      <c r="U13" s="488">
        <f>'IDEES okt 2017'!T41</f>
        <v>6318.539238110242</v>
      </c>
      <c r="V13" s="488">
        <f>'IDEES okt 2017'!U41</f>
        <v>485.03048308158282</v>
      </c>
      <c r="W13" s="488">
        <f>'IDEES okt 2017'!V41</f>
        <v>16.205722015872585</v>
      </c>
      <c r="X13" s="488">
        <f>'IDEES okt 2017'!W41</f>
        <v>492.30549385383802</v>
      </c>
      <c r="Y13" s="488">
        <f>'IDEES okt 2017'!X41</f>
        <v>0.74042227954523998</v>
      </c>
      <c r="Z13" s="488">
        <f>'IDEES okt 2017'!Y41</f>
        <v>346.19151013409703</v>
      </c>
      <c r="AA13" s="209">
        <f t="shared" si="3"/>
        <v>638.66941642106758</v>
      </c>
      <c r="AB13" s="488">
        <f>'IDEES okt 2017'!AA41</f>
        <v>2266.6931767457922</v>
      </c>
      <c r="AC13" s="488">
        <f>'IDEES okt 2017'!AB41</f>
        <v>396.47410923881262</v>
      </c>
      <c r="AD13" s="488">
        <f>'IDEES okt 2017'!AC41</f>
        <v>2780.0264149472396</v>
      </c>
      <c r="AE13" s="488">
        <f>'IDEES okt 2017'!AD41</f>
        <v>533.97847177101335</v>
      </c>
      <c r="AF13" s="488">
        <f>'IDEES okt 2017'!AE41</f>
        <v>415.27127988787817</v>
      </c>
      <c r="AG13" s="488">
        <f>'IDEES okt 2017'!AF41</f>
        <v>38.847278188446268</v>
      </c>
      <c r="AH13" s="488">
        <f>'IDEES okt 2017'!AG41</f>
        <v>970.74246360782467</v>
      </c>
      <c r="AI13" s="209">
        <f t="shared" si="0"/>
        <v>164.66124143229473</v>
      </c>
      <c r="AJ13" s="209">
        <f t="shared" si="0"/>
        <v>172.84443677349563</v>
      </c>
      <c r="AK13" s="209">
        <f t="shared" si="0"/>
        <v>206.12786518532633</v>
      </c>
      <c r="AL13" s="209">
        <f t="shared" si="0"/>
        <v>175.76604228665164</v>
      </c>
      <c r="AM13" s="209">
        <f t="shared" si="0"/>
        <v>948.88768125435399</v>
      </c>
      <c r="AN13" s="210">
        <f t="shared" si="0"/>
        <v>213.88900168561037</v>
      </c>
    </row>
    <row r="14" spans="1:40">
      <c r="A14" s="764">
        <v>12</v>
      </c>
      <c r="B14" s="610"/>
      <c r="C14" s="611" t="s">
        <v>532</v>
      </c>
      <c r="D14" s="488">
        <f>'IDEES okt 2017'!C43</f>
        <v>517.34335420720618</v>
      </c>
      <c r="E14" s="488">
        <f>'IDEES okt 2017'!D43</f>
        <v>9.6556478918177255</v>
      </c>
      <c r="F14" s="488">
        <f>'IDEES okt 2017'!E43</f>
        <v>270.47206389365442</v>
      </c>
      <c r="G14" s="209">
        <f t="shared" si="1"/>
        <v>144.63789742727212</v>
      </c>
      <c r="H14" s="488">
        <f>'IDEES okt 2017'!G43</f>
        <v>0</v>
      </c>
      <c r="I14" s="488">
        <f>'IDEES okt 2017'!H43</f>
        <v>1088.9487529212488</v>
      </c>
      <c r="J14" s="488">
        <f>'IDEES okt 2017'!I43</f>
        <v>3921.8311685362892</v>
      </c>
      <c r="K14" s="488">
        <f>'IDEES okt 2017'!J43</f>
        <v>1571.4490805184005</v>
      </c>
      <c r="L14" s="488">
        <f>'IDEES okt 2017'!K43</f>
        <v>304.60401623616474</v>
      </c>
      <c r="M14" s="488">
        <f>'IDEES okt 2017'!L43</f>
        <v>0</v>
      </c>
      <c r="N14" s="488">
        <f>'IDEES okt 2017'!M43</f>
        <v>1527.7910261579202</v>
      </c>
      <c r="O14" s="488">
        <f>'IDEES okt 2017'!N43</f>
        <v>1534.9307494639379</v>
      </c>
      <c r="P14" s="488">
        <f>'IDEES okt 2017'!O43</f>
        <v>39.386246251921044</v>
      </c>
      <c r="Q14" s="488">
        <f>'IDEES okt 2017'!P43</f>
        <v>127.95056240784683</v>
      </c>
      <c r="R14" s="488">
        <f>'IDEES okt 2017'!Q43</f>
        <v>505.98180138161854</v>
      </c>
      <c r="S14" s="488">
        <f>'IDEES okt 2017'!R43</f>
        <v>0</v>
      </c>
      <c r="T14" s="209">
        <f t="shared" si="2"/>
        <v>142.19115873556137</v>
      </c>
      <c r="U14" s="488">
        <f>'IDEES okt 2017'!T43</f>
        <v>101.11955849613167</v>
      </c>
      <c r="V14" s="488">
        <f>'IDEES okt 2017'!U43</f>
        <v>450.47750348685457</v>
      </c>
      <c r="W14" s="488">
        <f>'IDEES okt 2017'!V43</f>
        <v>0</v>
      </c>
      <c r="X14" s="488">
        <f>'IDEES okt 2017'!W43</f>
        <v>355.68988267102662</v>
      </c>
      <c r="Y14" s="488">
        <f>'IDEES okt 2017'!X43</f>
        <v>0</v>
      </c>
      <c r="Z14" s="488">
        <f>'IDEES okt 2017'!Y43</f>
        <v>245.87557287352317</v>
      </c>
      <c r="AA14" s="209">
        <f t="shared" si="3"/>
        <v>81.628645194374059</v>
      </c>
      <c r="AB14" s="488">
        <f>'IDEES okt 2017'!AA43</f>
        <v>3956.4861918393167</v>
      </c>
      <c r="AC14" s="488">
        <f>'IDEES okt 2017'!AB43</f>
        <v>0.57042357111121422</v>
      </c>
      <c r="AD14" s="488">
        <f>'IDEES okt 2017'!AC43</f>
        <v>978.25695964056115</v>
      </c>
      <c r="AE14" s="488">
        <f>'IDEES okt 2017'!AD43</f>
        <v>2825.9437652681781</v>
      </c>
      <c r="AF14" s="488">
        <f>'IDEES okt 2017'!AE43</f>
        <v>80.364789000856021</v>
      </c>
      <c r="AG14" s="488">
        <f>'IDEES okt 2017'!AF43</f>
        <v>419.08285164486745</v>
      </c>
      <c r="AH14" s="488">
        <f>'IDEES okt 2017'!AG43</f>
        <v>41.425110271067467</v>
      </c>
      <c r="AI14" s="209">
        <f t="shared" si="0"/>
        <v>0</v>
      </c>
      <c r="AJ14" s="209">
        <f t="shared" si="0"/>
        <v>82.788825988173713</v>
      </c>
      <c r="AK14" s="209">
        <f t="shared" si="0"/>
        <v>0</v>
      </c>
      <c r="AL14" s="209">
        <f t="shared" si="0"/>
        <v>29.252912511092259</v>
      </c>
      <c r="AM14" s="209">
        <f t="shared" si="0"/>
        <v>327.82585791594397</v>
      </c>
      <c r="AN14" s="210">
        <f t="shared" si="0"/>
        <v>3.0003250744862369</v>
      </c>
    </row>
    <row r="15" spans="1:40">
      <c r="A15" s="764"/>
      <c r="B15" s="610"/>
      <c r="C15" s="611" t="s">
        <v>959</v>
      </c>
      <c r="D15" s="488">
        <f>'IDEES okt 2017'!C44</f>
        <v>57.127592726801439</v>
      </c>
      <c r="E15" s="488">
        <f>'IDEES okt 2017'!D44</f>
        <v>26.503421683453475</v>
      </c>
      <c r="F15" s="488">
        <f>'IDEES okt 2017'!E44</f>
        <v>9.6442885507267526</v>
      </c>
      <c r="G15" s="209"/>
      <c r="H15" s="488">
        <f>'IDEES okt 2017'!G44</f>
        <v>9.1405673635977109</v>
      </c>
      <c r="I15" s="488">
        <f>'IDEES okt 2017'!H44</f>
        <v>14.701198077133022</v>
      </c>
      <c r="J15" s="488">
        <f>'IDEES okt 2017'!I44</f>
        <v>137.54790559231515</v>
      </c>
      <c r="K15" s="488">
        <f>'IDEES okt 2017'!J44</f>
        <v>36.002517031282821</v>
      </c>
      <c r="L15" s="488">
        <f>'IDEES okt 2017'!K44</f>
        <v>0</v>
      </c>
      <c r="M15" s="488">
        <f>'IDEES okt 2017'!L44</f>
        <v>211.91291570985766</v>
      </c>
      <c r="N15" s="488">
        <f>'IDEES okt 2017'!M44</f>
        <v>388.86197630522082</v>
      </c>
      <c r="O15" s="488">
        <f>'IDEES okt 2017'!N44</f>
        <v>293.59512169819419</v>
      </c>
      <c r="P15" s="488">
        <f>'IDEES okt 2017'!O44</f>
        <v>22.513778570456843</v>
      </c>
      <c r="Q15" s="488">
        <f>'IDEES okt 2017'!P44</f>
        <v>5.4700317885480487</v>
      </c>
      <c r="R15" s="488">
        <f>'IDEES okt 2017'!Q44</f>
        <v>1.2732799326918525</v>
      </c>
      <c r="S15" s="488">
        <f>'IDEES okt 2017'!R44</f>
        <v>4.2077079564633175</v>
      </c>
      <c r="T15" s="209"/>
      <c r="U15" s="488">
        <f>'IDEES okt 2017'!T44</f>
        <v>29.476060530169832</v>
      </c>
      <c r="V15" s="488">
        <f>'IDEES okt 2017'!U44</f>
        <v>0</v>
      </c>
      <c r="W15" s="488">
        <f>'IDEES okt 2017'!V44</f>
        <v>1.5914570028041828</v>
      </c>
      <c r="X15" s="488">
        <f>'IDEES okt 2017'!W44</f>
        <v>0</v>
      </c>
      <c r="Y15" s="488">
        <f>'IDEES okt 2017'!X44</f>
        <v>0.63792594546426939</v>
      </c>
      <c r="Z15" s="488">
        <f>'IDEES okt 2017'!Y44</f>
        <v>31.0499557280978</v>
      </c>
      <c r="AA15" s="209"/>
      <c r="AB15" s="488">
        <f>'IDEES okt 2017'!AA44</f>
        <v>7.1664759271288467</v>
      </c>
      <c r="AC15" s="488">
        <f>'IDEES okt 2017'!AB44</f>
        <v>1.3657176012020975</v>
      </c>
      <c r="AD15" s="488">
        <f>'IDEES okt 2017'!AC44</f>
        <v>2.2695718870796742</v>
      </c>
      <c r="AE15" s="488">
        <f>'IDEES okt 2017'!AD44</f>
        <v>649.29139227279416</v>
      </c>
      <c r="AF15" s="488">
        <f>'IDEES okt 2017'!AE44</f>
        <v>2.9466883035749731</v>
      </c>
      <c r="AG15" s="488">
        <f>'IDEES okt 2017'!AF44</f>
        <v>2.1929828175776356</v>
      </c>
      <c r="AH15" s="488">
        <f>'IDEES okt 2017'!AG44</f>
        <v>101.0447624461532</v>
      </c>
      <c r="AI15" s="209"/>
      <c r="AJ15" s="209"/>
      <c r="AK15" s="209"/>
      <c r="AL15" s="209"/>
      <c r="AM15" s="209"/>
      <c r="AN15" s="210"/>
    </row>
    <row r="16" spans="1:40">
      <c r="A16" s="764">
        <v>13</v>
      </c>
      <c r="B16" s="610"/>
      <c r="C16" s="611" t="s">
        <v>510</v>
      </c>
      <c r="D16" s="488">
        <f>'IDEES okt 2017'!C45</f>
        <v>301.66612634400957</v>
      </c>
      <c r="E16" s="488">
        <f>'IDEES okt 2017'!D45</f>
        <v>237.81122366477467</v>
      </c>
      <c r="F16" s="488">
        <f>'IDEES okt 2017'!E45</f>
        <v>76.997832933542469</v>
      </c>
      <c r="G16" s="209">
        <f t="shared" ref="G16:G31" si="25">G81/(41.868/1000)</f>
        <v>227.36800478053198</v>
      </c>
      <c r="H16" s="488">
        <f>'IDEES okt 2017'!G45</f>
        <v>14.333833386351172</v>
      </c>
      <c r="I16" s="488">
        <f>'IDEES okt 2017'!H45</f>
        <v>257.11486747528448</v>
      </c>
      <c r="J16" s="488">
        <f>'IDEES okt 2017'!I45</f>
        <v>1913.3689260645988</v>
      </c>
      <c r="K16" s="488">
        <f>'IDEES okt 2017'!J45</f>
        <v>28.939020786052762</v>
      </c>
      <c r="L16" s="488">
        <f>'IDEES okt 2017'!K45</f>
        <v>12.827863651189572</v>
      </c>
      <c r="M16" s="488">
        <f>'IDEES okt 2017'!L45</f>
        <v>1206.8986519056762</v>
      </c>
      <c r="N16" s="488">
        <f>'IDEES okt 2017'!M45</f>
        <v>434.64813216956964</v>
      </c>
      <c r="O16" s="488">
        <f>'IDEES okt 2017'!N45</f>
        <v>2857.5343480324536</v>
      </c>
      <c r="P16" s="488">
        <f>'IDEES okt 2017'!O45</f>
        <v>38.837570374916268</v>
      </c>
      <c r="Q16" s="488">
        <f>'IDEES okt 2017'!P45</f>
        <v>7.5448649323096122</v>
      </c>
      <c r="R16" s="488">
        <f>'IDEES okt 2017'!Q45</f>
        <v>168.4915105177634</v>
      </c>
      <c r="S16" s="488">
        <f>'IDEES okt 2017'!R45</f>
        <v>113.89229059517822</v>
      </c>
      <c r="T16" s="209">
        <f t="shared" ref="T16:T31" si="26">T81/(41.868/1000)</f>
        <v>22.927028420414466</v>
      </c>
      <c r="U16" s="488">
        <f>'IDEES okt 2017'!T45</f>
        <v>63.02687330970776</v>
      </c>
      <c r="V16" s="488">
        <f>'IDEES okt 2017'!U45</f>
        <v>3.1661614911415064</v>
      </c>
      <c r="W16" s="488">
        <f>'IDEES okt 2017'!V45</f>
        <v>6.5680342497128201</v>
      </c>
      <c r="X16" s="488">
        <f>'IDEES okt 2017'!W45</f>
        <v>4.2637576661595116</v>
      </c>
      <c r="Y16" s="488">
        <f>'IDEES okt 2017'!X45</f>
        <v>3.8664780932243845</v>
      </c>
      <c r="Z16" s="488">
        <f>'IDEES okt 2017'!Y45</f>
        <v>113.14712441180252</v>
      </c>
      <c r="AA16" s="209">
        <f>AA81/(41.868/1000)</f>
        <v>981.21373964090799</v>
      </c>
      <c r="AB16" s="488">
        <f>'IDEES okt 2017'!AA45</f>
        <v>58.974129143179319</v>
      </c>
      <c r="AC16" s="488">
        <f>'IDEES okt 2017'!AB45</f>
        <v>15.935144499407397</v>
      </c>
      <c r="AD16" s="488">
        <f>'IDEES okt 2017'!AC45</f>
        <v>67.356599544327494</v>
      </c>
      <c r="AE16" s="488">
        <f>'IDEES okt 2017'!AD45</f>
        <v>1299.2381166651905</v>
      </c>
      <c r="AF16" s="488">
        <f>'IDEES okt 2017'!AE45</f>
        <v>23.267648192073281</v>
      </c>
      <c r="AG16" s="488">
        <f>'IDEES okt 2017'!AF45</f>
        <v>55.645891408730108</v>
      </c>
      <c r="AH16" s="488">
        <f>'IDEES okt 2017'!AG45</f>
        <v>3043.9094600095505</v>
      </c>
      <c r="AI16" s="209">
        <f t="shared" ref="AI16:AN20" si="27">AI81/(41.868/1000)</f>
        <v>6.0836092708618494</v>
      </c>
      <c r="AJ16" s="209">
        <f t="shared" si="27"/>
        <v>5.9926298481037668</v>
      </c>
      <c r="AK16" s="209">
        <f t="shared" si="27"/>
        <v>3.0083523836646542</v>
      </c>
      <c r="AL16" s="209">
        <f t="shared" si="27"/>
        <v>4.2620490011933878</v>
      </c>
      <c r="AM16" s="209">
        <f t="shared" si="27"/>
        <v>19.306104256458269</v>
      </c>
      <c r="AN16" s="210">
        <f t="shared" si="27"/>
        <v>2.9560984508534927</v>
      </c>
    </row>
    <row r="17" spans="1:40">
      <c r="A17" s="764">
        <v>14</v>
      </c>
      <c r="B17" s="610"/>
      <c r="C17" s="611" t="s">
        <v>527</v>
      </c>
      <c r="D17" s="488">
        <f>'IDEES okt 2017'!C40</f>
        <v>958.41108772122288</v>
      </c>
      <c r="E17" s="488">
        <f>'IDEES okt 2017'!D40</f>
        <v>3173.6577365951675</v>
      </c>
      <c r="F17" s="488">
        <f>'IDEES okt 2017'!E40</f>
        <v>29.067508968033003</v>
      </c>
      <c r="G17" s="209">
        <f t="shared" si="25"/>
        <v>991.84740876170849</v>
      </c>
      <c r="H17" s="488">
        <f>'IDEES okt 2017'!G40</f>
        <v>0</v>
      </c>
      <c r="I17" s="488">
        <f>'IDEES okt 2017'!H40</f>
        <v>1874.2400809726073</v>
      </c>
      <c r="J17" s="488">
        <f>'IDEES okt 2017'!I40</f>
        <v>18987.77819675321</v>
      </c>
      <c r="K17" s="488">
        <f>'IDEES okt 2017'!J40</f>
        <v>591.92387440365542</v>
      </c>
      <c r="L17" s="488">
        <f>'IDEES okt 2017'!K40</f>
        <v>40.932882071904501</v>
      </c>
      <c r="M17" s="488">
        <f>'IDEES okt 2017'!L40</f>
        <v>2648.7012424710601</v>
      </c>
      <c r="N17" s="488">
        <f>'IDEES okt 2017'!M40</f>
        <v>38.18603664132997</v>
      </c>
      <c r="O17" s="488">
        <f>'IDEES okt 2017'!N40</f>
        <v>10458.069177678068</v>
      </c>
      <c r="P17" s="488">
        <f>'IDEES okt 2017'!O40</f>
        <v>174.7555481398534</v>
      </c>
      <c r="Q17" s="488">
        <f>'IDEES okt 2017'!P40</f>
        <v>420.79240415570251</v>
      </c>
      <c r="R17" s="488">
        <f>'IDEES okt 2017'!Q40</f>
        <v>2583.1661367895658</v>
      </c>
      <c r="S17" s="488">
        <f>'IDEES okt 2017'!R40</f>
        <v>535.38537890201951</v>
      </c>
      <c r="T17" s="209">
        <f t="shared" si="26"/>
        <v>0</v>
      </c>
      <c r="U17" s="488">
        <f>'IDEES okt 2017'!T40</f>
        <v>13470.985276060401</v>
      </c>
      <c r="V17" s="488">
        <f>'IDEES okt 2017'!U40</f>
        <v>119.22649356173054</v>
      </c>
      <c r="W17" s="488">
        <f>'IDEES okt 2017'!V40</f>
        <v>194.07143541128508</v>
      </c>
      <c r="X17" s="488">
        <f>'IDEES okt 2017'!W40</f>
        <v>95.369041074723469</v>
      </c>
      <c r="Y17" s="488">
        <f>'IDEES okt 2017'!X40</f>
        <v>0</v>
      </c>
      <c r="Z17" s="488">
        <f>'IDEES okt 2017'!Y40</f>
        <v>7482.6504966529574</v>
      </c>
      <c r="AA17" s="209">
        <f t="shared" ref="AA17:AA31" si="28">AA82/(41.868/1000)</f>
        <v>3.4110186201926833</v>
      </c>
      <c r="AB17" s="488">
        <f>'IDEES okt 2017'!AA40</f>
        <v>2691.7186591054342</v>
      </c>
      <c r="AC17" s="488">
        <f>'IDEES okt 2017'!AB40</f>
        <v>69.109905877648856</v>
      </c>
      <c r="AD17" s="488">
        <f>'IDEES okt 2017'!AC40</f>
        <v>1670.3682144302572</v>
      </c>
      <c r="AE17" s="488">
        <f>'IDEES okt 2017'!AD40</f>
        <v>118.83506443017059</v>
      </c>
      <c r="AF17" s="488">
        <f>'IDEES okt 2017'!AE40</f>
        <v>80.146609183187053</v>
      </c>
      <c r="AG17" s="488">
        <f>'IDEES okt 2017'!AF40</f>
        <v>1020.5815901155252</v>
      </c>
      <c r="AH17" s="488">
        <f>'IDEES okt 2017'!AG40</f>
        <v>23968.05239924556</v>
      </c>
      <c r="AI17" s="209">
        <f t="shared" si="27"/>
        <v>0</v>
      </c>
      <c r="AJ17" s="209">
        <f t="shared" si="27"/>
        <v>33.28501557366917</v>
      </c>
      <c r="AK17" s="209">
        <f t="shared" si="27"/>
        <v>0</v>
      </c>
      <c r="AL17" s="209">
        <f t="shared" si="27"/>
        <v>0</v>
      </c>
      <c r="AM17" s="209">
        <f t="shared" si="27"/>
        <v>166.08516978376343</v>
      </c>
      <c r="AN17" s="210">
        <f t="shared" si="27"/>
        <v>0</v>
      </c>
    </row>
    <row r="18" spans="1:40">
      <c r="A18" s="764">
        <v>15</v>
      </c>
      <c r="B18" s="610"/>
      <c r="C18" s="611" t="s">
        <v>533</v>
      </c>
      <c r="D18" s="488">
        <f>'IDEES okt 2017'!C39</f>
        <v>1092.0818098378927</v>
      </c>
      <c r="E18" s="488">
        <f>'IDEES okt 2017'!D39</f>
        <v>2575.1368261899656</v>
      </c>
      <c r="F18" s="488">
        <f>'IDEES okt 2017'!E39</f>
        <v>2.0295905743564049</v>
      </c>
      <c r="G18" s="209">
        <f t="shared" si="25"/>
        <v>2463.5880488367698</v>
      </c>
      <c r="H18" s="488">
        <f>'IDEES okt 2017'!G39</f>
        <v>87.551758191769409</v>
      </c>
      <c r="I18" s="488">
        <f>'IDEES okt 2017'!H39</f>
        <v>0</v>
      </c>
      <c r="J18" s="488">
        <f>'IDEES okt 2017'!I39</f>
        <v>11784.156451309165</v>
      </c>
      <c r="K18" s="488">
        <f>'IDEES okt 2017'!J39</f>
        <v>388.34155223389166</v>
      </c>
      <c r="L18" s="488">
        <f>'IDEES okt 2017'!K39</f>
        <v>3.4855642783214429</v>
      </c>
      <c r="M18" s="488">
        <f>'IDEES okt 2017'!L39</f>
        <v>1524.6664476138565</v>
      </c>
      <c r="N18" s="488">
        <f>'IDEES okt 2017'!M39</f>
        <v>588.80294802081278</v>
      </c>
      <c r="O18" s="488">
        <f>'IDEES okt 2017'!N39</f>
        <v>5642.6680759082637</v>
      </c>
      <c r="P18" s="488">
        <f>'IDEES okt 2017'!O39</f>
        <v>1814.7706343489492</v>
      </c>
      <c r="Q18" s="488">
        <f>'IDEES okt 2017'!P39</f>
        <v>128.40268922714404</v>
      </c>
      <c r="R18" s="488">
        <f>'IDEES okt 2017'!Q39</f>
        <v>0</v>
      </c>
      <c r="S18" s="488">
        <f>'IDEES okt 2017'!R39</f>
        <v>1059.1730741711624</v>
      </c>
      <c r="T18" s="209">
        <f t="shared" si="26"/>
        <v>1.8350703801781967</v>
      </c>
      <c r="U18" s="488">
        <f>'IDEES okt 2017'!T39</f>
        <v>1578.999055854672</v>
      </c>
      <c r="V18" s="488">
        <f>'IDEES okt 2017'!U39</f>
        <v>6.042936418473861</v>
      </c>
      <c r="W18" s="488">
        <f>'IDEES okt 2017'!V39</f>
        <v>167.28058968161864</v>
      </c>
      <c r="X18" s="488">
        <f>'IDEES okt 2017'!W39</f>
        <v>26.115508453322477</v>
      </c>
      <c r="Y18" s="488">
        <f>'IDEES okt 2017'!X39</f>
        <v>0</v>
      </c>
      <c r="Z18" s="488">
        <f>'IDEES okt 2017'!Y39</f>
        <v>12.050669398205844</v>
      </c>
      <c r="AA18" s="209">
        <f t="shared" si="28"/>
        <v>163.53464411262439</v>
      </c>
      <c r="AB18" s="488">
        <f>'IDEES okt 2017'!AA39</f>
        <v>91.189658543341636</v>
      </c>
      <c r="AC18" s="488">
        <f>'IDEES okt 2017'!AB39</f>
        <v>43.131704564907842</v>
      </c>
      <c r="AD18" s="488">
        <f>'IDEES okt 2017'!AC39</f>
        <v>18.603590367389291</v>
      </c>
      <c r="AE18" s="488">
        <f>'IDEES okt 2017'!AD39</f>
        <v>60.273357560616873</v>
      </c>
      <c r="AF18" s="488">
        <f>'IDEES okt 2017'!AE39</f>
        <v>212.62091971285099</v>
      </c>
      <c r="AG18" s="488">
        <f>'IDEES okt 2017'!AF39</f>
        <v>0</v>
      </c>
      <c r="AH18" s="488">
        <f>'IDEES okt 2017'!AG39</f>
        <v>2376.1447133282231</v>
      </c>
      <c r="AI18" s="209">
        <f t="shared" si="27"/>
        <v>3.6426849812534301</v>
      </c>
      <c r="AJ18" s="209">
        <f t="shared" si="27"/>
        <v>0</v>
      </c>
      <c r="AK18" s="209">
        <f t="shared" si="27"/>
        <v>0</v>
      </c>
      <c r="AL18" s="209">
        <f t="shared" si="27"/>
        <v>29.00742554013938</v>
      </c>
      <c r="AM18" s="209">
        <f t="shared" si="27"/>
        <v>0.89755747100290706</v>
      </c>
      <c r="AN18" s="210">
        <f t="shared" si="27"/>
        <v>12.337947390606541</v>
      </c>
    </row>
    <row r="19" spans="1:40">
      <c r="A19" s="764">
        <v>16</v>
      </c>
      <c r="B19" s="610"/>
      <c r="C19" s="611" t="s">
        <v>534</v>
      </c>
      <c r="D19" s="488">
        <f>'IDEES okt 2017'!C42</f>
        <v>0</v>
      </c>
      <c r="E19" s="488">
        <f>'IDEES okt 2017'!D42</f>
        <v>0</v>
      </c>
      <c r="F19" s="488">
        <f>'IDEES okt 2017'!E42</f>
        <v>0</v>
      </c>
      <c r="G19" s="209">
        <f t="shared" si="25"/>
        <v>208.32903410719402</v>
      </c>
      <c r="H19" s="488">
        <f>'IDEES okt 2017'!G42</f>
        <v>0.76430686920798996</v>
      </c>
      <c r="I19" s="488">
        <f>'IDEES okt 2017'!H42</f>
        <v>0</v>
      </c>
      <c r="J19" s="488">
        <f>'IDEES okt 2017'!I42</f>
        <v>14.187450196129781</v>
      </c>
      <c r="K19" s="488">
        <f>'IDEES okt 2017'!J42</f>
        <v>0</v>
      </c>
      <c r="L19" s="488">
        <f>'IDEES okt 2017'!K42</f>
        <v>0</v>
      </c>
      <c r="M19" s="488">
        <f>'IDEES okt 2017'!L42</f>
        <v>9.0283657954951835</v>
      </c>
      <c r="N19" s="488">
        <f>'IDEES okt 2017'!M42</f>
        <v>0</v>
      </c>
      <c r="O19" s="488">
        <f>'IDEES okt 2017'!N42</f>
        <v>14.402407566638001</v>
      </c>
      <c r="P19" s="488">
        <f>'IDEES okt 2017'!O42</f>
        <v>0.19107769439658284</v>
      </c>
      <c r="Q19" s="488">
        <f>'IDEES okt 2017'!P42</f>
        <v>0</v>
      </c>
      <c r="R19" s="488">
        <f>'IDEES okt 2017'!Q42</f>
        <v>0</v>
      </c>
      <c r="S19" s="488">
        <f>'IDEES okt 2017'!R42</f>
        <v>0</v>
      </c>
      <c r="T19" s="209">
        <f t="shared" si="26"/>
        <v>182.86041845801088</v>
      </c>
      <c r="U19" s="488">
        <f>'IDEES okt 2017'!T42</f>
        <v>1.3375358869092508</v>
      </c>
      <c r="V19" s="488">
        <f>'IDEES okt 2017'!U42</f>
        <v>0</v>
      </c>
      <c r="W19" s="488">
        <f>'IDEES okt 2017'!V42</f>
        <v>0</v>
      </c>
      <c r="X19" s="488">
        <f>'IDEES okt 2017'!W42</f>
        <v>0</v>
      </c>
      <c r="Y19" s="488">
        <f>'IDEES okt 2017'!X42</f>
        <v>0</v>
      </c>
      <c r="Z19" s="488">
        <f>'IDEES okt 2017'!Y42</f>
        <v>0</v>
      </c>
      <c r="AA19" s="209">
        <f t="shared" si="28"/>
        <v>0</v>
      </c>
      <c r="AB19" s="488">
        <f>'IDEES okt 2017'!AA42</f>
        <v>10.509219451609805</v>
      </c>
      <c r="AC19" s="488">
        <f>'IDEES okt 2017'!AB42</f>
        <v>0</v>
      </c>
      <c r="AD19" s="488">
        <f>'IDEES okt 2017'!AC42</f>
        <v>15.023402828146448</v>
      </c>
      <c r="AE19" s="488">
        <f>'IDEES okt 2017'!AD42</f>
        <v>0</v>
      </c>
      <c r="AF19" s="488">
        <f>'IDEES okt 2017'!AE42</f>
        <v>8.359826501137011</v>
      </c>
      <c r="AG19" s="488">
        <f>'IDEES okt 2017'!AF42</f>
        <v>0</v>
      </c>
      <c r="AH19" s="488">
        <f>'IDEES okt 2017'!AG42</f>
        <v>0</v>
      </c>
      <c r="AI19" s="209">
        <f t="shared" si="27"/>
        <v>0</v>
      </c>
      <c r="AJ19" s="209">
        <f t="shared" si="27"/>
        <v>0</v>
      </c>
      <c r="AK19" s="209">
        <f t="shared" si="27"/>
        <v>0</v>
      </c>
      <c r="AL19" s="209">
        <f t="shared" si="27"/>
        <v>0</v>
      </c>
      <c r="AM19" s="209">
        <f t="shared" si="27"/>
        <v>0</v>
      </c>
      <c r="AN19" s="210">
        <f t="shared" si="27"/>
        <v>0</v>
      </c>
    </row>
    <row r="20" spans="1:40">
      <c r="A20" s="764">
        <v>17</v>
      </c>
      <c r="B20" s="610"/>
      <c r="C20" s="611" t="s">
        <v>528</v>
      </c>
      <c r="D20" s="488">
        <f>'IDEES okt 2017'!C38</f>
        <v>9.2541582434215588</v>
      </c>
      <c r="E20" s="488">
        <f>'IDEES okt 2017'!D38</f>
        <v>14.173120063931398</v>
      </c>
      <c r="F20" s="488">
        <f>'IDEES okt 2017'!E38</f>
        <v>3.6256499387230519</v>
      </c>
      <c r="G20" s="209">
        <f t="shared" si="25"/>
        <v>0</v>
      </c>
      <c r="H20" s="488">
        <f>'IDEES okt 2017'!G38</f>
        <v>12.846921753680611</v>
      </c>
      <c r="I20" s="488">
        <f>'IDEES okt 2017'!H38</f>
        <v>0</v>
      </c>
      <c r="J20" s="488">
        <f>'IDEES okt 2017'!I38</f>
        <v>168.20949899999997</v>
      </c>
      <c r="K20" s="488">
        <f>'IDEES okt 2017'!J38</f>
        <v>3.955259111482671</v>
      </c>
      <c r="L20" s="488">
        <f>'IDEES okt 2017'!K38</f>
        <v>0</v>
      </c>
      <c r="M20" s="488">
        <f>'IDEES okt 2017'!L38</f>
        <v>319.71955378291233</v>
      </c>
      <c r="N20" s="488">
        <f>'IDEES okt 2017'!M38</f>
        <v>0</v>
      </c>
      <c r="O20" s="488">
        <f>'IDEES okt 2017'!N38</f>
        <v>267.6416013670742</v>
      </c>
      <c r="P20" s="488">
        <f>'IDEES okt 2017'!O38</f>
        <v>0</v>
      </c>
      <c r="Q20" s="488">
        <f>'IDEES okt 2017'!P38</f>
        <v>15.791186762853403</v>
      </c>
      <c r="R20" s="488">
        <f>'IDEES okt 2017'!Q38</f>
        <v>41.185951563970342</v>
      </c>
      <c r="S20" s="488">
        <f>'IDEES okt 2017'!R38</f>
        <v>23.111004946343009</v>
      </c>
      <c r="T20" s="209">
        <f t="shared" si="26"/>
        <v>0</v>
      </c>
      <c r="U20" s="488">
        <f>'IDEES okt 2017'!T38</f>
        <v>474.00409307789977</v>
      </c>
      <c r="V20" s="488">
        <f>'IDEES okt 2017'!U38</f>
        <v>0</v>
      </c>
      <c r="W20" s="488">
        <f>'IDEES okt 2017'!V38</f>
        <v>0</v>
      </c>
      <c r="X20" s="488">
        <f>'IDEES okt 2017'!W38</f>
        <v>0</v>
      </c>
      <c r="Y20" s="488">
        <f>'IDEES okt 2017'!X38</f>
        <v>5.3627765643776346</v>
      </c>
      <c r="Z20" s="488">
        <f>'IDEES okt 2017'!Y38</f>
        <v>0</v>
      </c>
      <c r="AA20" s="209">
        <f t="shared" si="28"/>
        <v>0</v>
      </c>
      <c r="AB20" s="488">
        <f>'IDEES okt 2017'!AA38</f>
        <v>0</v>
      </c>
      <c r="AC20" s="488">
        <f>'IDEES okt 2017'!AB38</f>
        <v>27.942826918132695</v>
      </c>
      <c r="AD20" s="488">
        <f>'IDEES okt 2017'!AC38</f>
        <v>0</v>
      </c>
      <c r="AE20" s="488">
        <f>'IDEES okt 2017'!AD38</f>
        <v>0</v>
      </c>
      <c r="AF20" s="488">
        <f>'IDEES okt 2017'!AE38</f>
        <v>7.2585615690222358</v>
      </c>
      <c r="AG20" s="488">
        <f>'IDEES okt 2017'!AF38</f>
        <v>0</v>
      </c>
      <c r="AH20" s="488">
        <f>'IDEES okt 2017'!AG38</f>
        <v>76.081158586717294</v>
      </c>
      <c r="AI20" s="209">
        <f t="shared" si="27"/>
        <v>0</v>
      </c>
      <c r="AJ20" s="209">
        <f t="shared" si="27"/>
        <v>0</v>
      </c>
      <c r="AK20" s="209">
        <f t="shared" si="27"/>
        <v>0</v>
      </c>
      <c r="AL20" s="209">
        <f t="shared" si="27"/>
        <v>1.9009294485032053</v>
      </c>
      <c r="AM20" s="209">
        <f t="shared" si="27"/>
        <v>5.7660021513980837</v>
      </c>
      <c r="AN20" s="210">
        <f t="shared" si="27"/>
        <v>2.0770250506210801</v>
      </c>
    </row>
    <row r="21" spans="1:40">
      <c r="A21" s="764">
        <v>18</v>
      </c>
      <c r="B21" s="612"/>
      <c r="C21" s="613" t="s">
        <v>529</v>
      </c>
      <c r="D21" s="626">
        <f>'IDEES okt 2017'!C37</f>
        <v>52.889620040974513</v>
      </c>
      <c r="E21" s="626">
        <f>'IDEES okt 2017'!D37</f>
        <v>120.3239379401564</v>
      </c>
      <c r="F21" s="626">
        <f>'IDEES okt 2017'!E37</f>
        <v>169.97977363720236</v>
      </c>
      <c r="G21" s="627">
        <f t="shared" si="25"/>
        <v>9.3959587274290612</v>
      </c>
      <c r="H21" s="626">
        <f>'IDEES okt 2017'!G37</f>
        <v>0</v>
      </c>
      <c r="I21" s="626">
        <f>'IDEES okt 2017'!H37</f>
        <v>892.79324221131151</v>
      </c>
      <c r="J21" s="626">
        <f>'IDEES okt 2017'!I37</f>
        <v>850.57550577046879</v>
      </c>
      <c r="K21" s="626">
        <f>'IDEES okt 2017'!J37</f>
        <v>0</v>
      </c>
      <c r="L21" s="626">
        <f>'IDEES okt 2017'!K37</f>
        <v>8.4464283534040767</v>
      </c>
      <c r="M21" s="626">
        <f>'IDEES okt 2017'!L37</f>
        <v>169.25588570365503</v>
      </c>
      <c r="N21" s="626">
        <f>'IDEES okt 2017'!M37</f>
        <v>8.0736291274166785</v>
      </c>
      <c r="O21" s="626">
        <f>'IDEES okt 2017'!N37</f>
        <v>197.69969438874136</v>
      </c>
      <c r="P21" s="626">
        <f>'IDEES okt 2017'!O37</f>
        <v>0</v>
      </c>
      <c r="Q21" s="626">
        <f>'IDEES okt 2017'!P37</f>
        <v>5.9469868519493492</v>
      </c>
      <c r="R21" s="626">
        <f>'IDEES okt 2017'!Q37</f>
        <v>141.26289509558197</v>
      </c>
      <c r="S21" s="626">
        <f>'IDEES okt 2017'!R37</f>
        <v>422.24322256734052</v>
      </c>
      <c r="T21" s="627">
        <f t="shared" si="26"/>
        <v>0</v>
      </c>
      <c r="U21" s="626">
        <f>'IDEES okt 2017'!T37</f>
        <v>3.6305225437419093</v>
      </c>
      <c r="V21" s="626">
        <f>'IDEES okt 2017'!U37</f>
        <v>60.251330341577273</v>
      </c>
      <c r="W21" s="626">
        <f>'IDEES okt 2017'!V37</f>
        <v>0.47771053459395668</v>
      </c>
      <c r="X21" s="626">
        <f>'IDEES okt 2017'!W37</f>
        <v>21.544611594152819</v>
      </c>
      <c r="Y21" s="626">
        <f>'IDEES okt 2017'!X37</f>
        <v>0</v>
      </c>
      <c r="Z21" s="626">
        <f>'IDEES okt 2017'!Y37</f>
        <v>1.9107716442184972</v>
      </c>
      <c r="AA21" s="627">
        <f t="shared" si="28"/>
        <v>0</v>
      </c>
      <c r="AB21" s="626">
        <f>'IDEES okt 2017'!AA37</f>
        <v>6359.019135872777</v>
      </c>
      <c r="AC21" s="626">
        <f>'IDEES okt 2017'!AB37</f>
        <v>0</v>
      </c>
      <c r="AD21" s="626">
        <f>'IDEES okt 2017'!AC37</f>
        <v>9.9835305033940802</v>
      </c>
      <c r="AE21" s="626">
        <f>'IDEES okt 2017'!AD37</f>
        <v>0</v>
      </c>
      <c r="AF21" s="626">
        <f>'IDEES okt 2017'!AE37</f>
        <v>1.33787228044149</v>
      </c>
      <c r="AG21" s="626">
        <f>'IDEES okt 2017'!AF37</f>
        <v>52.818251544379606</v>
      </c>
      <c r="AH21" s="626">
        <f>'IDEES okt 2017'!AG37</f>
        <v>673.26283117068408</v>
      </c>
      <c r="AI21" s="627" t="e">
        <f t="shared" ref="AI21:AN31" si="29">AI86/(41.868/1000)</f>
        <v>#DIV/0!</v>
      </c>
      <c r="AJ21" s="627">
        <f t="shared" si="29"/>
        <v>113.97391802808825</v>
      </c>
      <c r="AK21" s="627" t="e">
        <f t="shared" si="29"/>
        <v>#DIV/0!</v>
      </c>
      <c r="AL21" s="627">
        <f t="shared" si="29"/>
        <v>2.1018438903219638</v>
      </c>
      <c r="AM21" s="627">
        <f t="shared" si="29"/>
        <v>243.76612209802232</v>
      </c>
      <c r="AN21" s="628">
        <f t="shared" si="29"/>
        <v>22.174930734689976</v>
      </c>
    </row>
    <row r="22" spans="1:40">
      <c r="A22">
        <v>19</v>
      </c>
      <c r="B22" s="614" t="s">
        <v>535</v>
      </c>
      <c r="C22" s="615" t="s">
        <v>525</v>
      </c>
      <c r="D22" s="620">
        <v>836.55</v>
      </c>
      <c r="E22" s="621">
        <v>1138.93</v>
      </c>
      <c r="F22" s="621">
        <v>381.1</v>
      </c>
      <c r="G22" s="622">
        <f t="shared" si="25"/>
        <v>744.99350781643841</v>
      </c>
      <c r="H22" s="621">
        <v>64.55</v>
      </c>
      <c r="I22" s="621">
        <v>755.84</v>
      </c>
      <c r="J22" s="621">
        <v>7517.25</v>
      </c>
      <c r="K22" s="621">
        <v>624.64</v>
      </c>
      <c r="L22" s="621">
        <v>135.9</v>
      </c>
      <c r="M22" s="621">
        <v>3210.7400000000002</v>
      </c>
      <c r="N22" s="621">
        <v>697.73</v>
      </c>
      <c r="O22" s="621">
        <v>5885.41</v>
      </c>
      <c r="P22" s="621">
        <v>693.49</v>
      </c>
      <c r="Q22" s="621">
        <v>274.38</v>
      </c>
      <c r="R22" s="621">
        <v>624.05999999999995</v>
      </c>
      <c r="S22" s="621">
        <v>524.74</v>
      </c>
      <c r="T22" s="622">
        <f t="shared" si="26"/>
        <v>34.24942772230758</v>
      </c>
      <c r="U22" s="621">
        <v>4856.7700000000004</v>
      </c>
      <c r="V22" s="621">
        <v>217.56999999999996</v>
      </c>
      <c r="W22" s="621">
        <v>45.15</v>
      </c>
      <c r="X22" s="621">
        <v>227.43000000000004</v>
      </c>
      <c r="Y22" s="621">
        <v>12.92</v>
      </c>
      <c r="Z22" s="621">
        <v>1629.53</v>
      </c>
      <c r="AA22" s="622">
        <f t="shared" si="28"/>
        <v>676.16201619716014</v>
      </c>
      <c r="AB22" s="621">
        <v>2965.95</v>
      </c>
      <c r="AC22" s="621">
        <v>583.85</v>
      </c>
      <c r="AD22" s="621">
        <v>1075.22</v>
      </c>
      <c r="AE22" s="621">
        <v>883.03000000000009</v>
      </c>
      <c r="AF22" s="621">
        <v>235.76000000000002</v>
      </c>
      <c r="AG22" s="621">
        <v>326.32</v>
      </c>
      <c r="AH22" s="621">
        <v>6674.34</v>
      </c>
      <c r="AI22" s="622" t="e">
        <f t="shared" si="29"/>
        <v>#DIV/0!</v>
      </c>
      <c r="AJ22" s="622">
        <f t="shared" si="29"/>
        <v>87.547861443756148</v>
      </c>
      <c r="AK22" s="622" t="e">
        <f t="shared" si="29"/>
        <v>#DIV/0!</v>
      </c>
      <c r="AL22" s="622">
        <f t="shared" si="29"/>
        <v>61.766760981648886</v>
      </c>
      <c r="AM22" s="622">
        <f t="shared" si="29"/>
        <v>323.91900506183856</v>
      </c>
      <c r="AN22" s="623">
        <f t="shared" si="29"/>
        <v>41.981880060150964</v>
      </c>
    </row>
    <row r="23" spans="1:40">
      <c r="A23">
        <v>20</v>
      </c>
      <c r="B23" s="610"/>
      <c r="C23" s="611" t="s">
        <v>526</v>
      </c>
      <c r="D23" s="624">
        <v>105.93000000000002</v>
      </c>
      <c r="E23" s="488">
        <v>28.470000000000002</v>
      </c>
      <c r="F23" s="488">
        <v>28.98</v>
      </c>
      <c r="G23" s="209">
        <f t="shared" si="25"/>
        <v>15.914469357689052</v>
      </c>
      <c r="H23" s="488">
        <v>0.18</v>
      </c>
      <c r="I23" s="488">
        <v>32.56</v>
      </c>
      <c r="J23" s="488">
        <v>192.22</v>
      </c>
      <c r="K23" s="488">
        <v>105.78</v>
      </c>
      <c r="L23" s="488">
        <v>57.030000000000008</v>
      </c>
      <c r="M23" s="488">
        <v>43.34</v>
      </c>
      <c r="N23" s="488">
        <v>148.80000000000001</v>
      </c>
      <c r="O23" s="488">
        <v>367.64</v>
      </c>
      <c r="P23" s="488">
        <v>13.549999999999999</v>
      </c>
      <c r="Q23" s="488">
        <v>18.13</v>
      </c>
      <c r="R23" s="488">
        <v>22.75</v>
      </c>
      <c r="S23" s="488">
        <v>5.14</v>
      </c>
      <c r="T23" s="209">
        <f t="shared" si="26"/>
        <v>0</v>
      </c>
      <c r="U23" s="488">
        <v>38.53</v>
      </c>
      <c r="V23" s="488">
        <v>82.41</v>
      </c>
      <c r="W23" s="488">
        <v>1.3</v>
      </c>
      <c r="X23" s="488">
        <v>117.83</v>
      </c>
      <c r="Y23" s="488">
        <v>0</v>
      </c>
      <c r="Z23" s="488">
        <v>43.835000000000001</v>
      </c>
      <c r="AA23" s="209">
        <f t="shared" si="28"/>
        <v>73.04358634954481</v>
      </c>
      <c r="AB23" s="488">
        <v>359.52</v>
      </c>
      <c r="AC23" s="488">
        <v>98.220000000000013</v>
      </c>
      <c r="AD23" s="488">
        <v>466.94</v>
      </c>
      <c r="AE23" s="488">
        <v>24.59</v>
      </c>
      <c r="AF23" s="488">
        <v>80.900000000000006</v>
      </c>
      <c r="AG23" s="488">
        <v>2.06</v>
      </c>
      <c r="AH23" s="488">
        <v>0</v>
      </c>
      <c r="AI23" s="209">
        <f t="shared" si="29"/>
        <v>4.080702877071305</v>
      </c>
      <c r="AJ23" s="209">
        <f t="shared" si="29"/>
        <v>2.9365893084762575</v>
      </c>
      <c r="AK23" s="209">
        <f t="shared" si="29"/>
        <v>5.108345869311262</v>
      </c>
      <c r="AL23" s="209">
        <f t="shared" si="29"/>
        <v>2.9862267493663119</v>
      </c>
      <c r="AM23" s="209">
        <f t="shared" si="29"/>
        <v>16.121394889717678</v>
      </c>
      <c r="AN23" s="210">
        <f t="shared" si="29"/>
        <v>3.6339275204658397</v>
      </c>
    </row>
    <row r="24" spans="1:40">
      <c r="A24">
        <v>21</v>
      </c>
      <c r="B24" s="610"/>
      <c r="C24" s="611" t="s">
        <v>532</v>
      </c>
      <c r="D24" s="624">
        <v>108.81</v>
      </c>
      <c r="E24" s="488">
        <v>1.4</v>
      </c>
      <c r="F24" s="488">
        <v>80.95</v>
      </c>
      <c r="G24" s="209">
        <f t="shared" si="25"/>
        <v>20.134004741448624</v>
      </c>
      <c r="H24" s="488">
        <v>0</v>
      </c>
      <c r="I24" s="488">
        <v>81.92</v>
      </c>
      <c r="J24" s="488">
        <v>545.92999999999995</v>
      </c>
      <c r="K24" s="488">
        <v>264.67</v>
      </c>
      <c r="L24" s="488">
        <v>53.73</v>
      </c>
      <c r="M24" s="488">
        <v>0</v>
      </c>
      <c r="N24" s="488">
        <v>216.52999999999997</v>
      </c>
      <c r="O24" s="488">
        <v>265.7</v>
      </c>
      <c r="P24" s="488">
        <v>6.3499999999999988</v>
      </c>
      <c r="Q24" s="488">
        <v>20.71</v>
      </c>
      <c r="R24" s="488">
        <v>66.34</v>
      </c>
      <c r="S24" s="488">
        <v>0</v>
      </c>
      <c r="T24" s="209">
        <f t="shared" si="26"/>
        <v>20.152397202147611</v>
      </c>
      <c r="U24" s="488">
        <v>13.45</v>
      </c>
      <c r="V24" s="488">
        <v>81.81</v>
      </c>
      <c r="W24" s="488">
        <v>0</v>
      </c>
      <c r="X24" s="488">
        <v>67.38</v>
      </c>
      <c r="Y24" s="488">
        <v>0</v>
      </c>
      <c r="Z24" s="488">
        <v>51.32</v>
      </c>
      <c r="AA24" s="209">
        <f t="shared" si="28"/>
        <v>11.569023669674854</v>
      </c>
      <c r="AB24" s="488">
        <v>735.04</v>
      </c>
      <c r="AC24" s="488">
        <v>2.74</v>
      </c>
      <c r="AD24" s="488">
        <v>163.98</v>
      </c>
      <c r="AE24" s="488">
        <v>357.57</v>
      </c>
      <c r="AF24" s="488">
        <v>16.36</v>
      </c>
      <c r="AG24" s="488">
        <v>79.06</v>
      </c>
      <c r="AH24" s="488">
        <v>0</v>
      </c>
      <c r="AI24" s="209">
        <f t="shared" si="29"/>
        <v>0</v>
      </c>
      <c r="AJ24" s="209">
        <f t="shared" si="29"/>
        <v>13.400148885237952</v>
      </c>
      <c r="AK24" s="209">
        <f t="shared" si="29"/>
        <v>0</v>
      </c>
      <c r="AL24" s="209">
        <f t="shared" si="29"/>
        <v>4.7348585790004085</v>
      </c>
      <c r="AM24" s="209">
        <f t="shared" si="29"/>
        <v>53.061693435923758</v>
      </c>
      <c r="AN24" s="210">
        <f t="shared" si="29"/>
        <v>0.48563078679206573</v>
      </c>
    </row>
    <row r="25" spans="1:40">
      <c r="A25">
        <v>22</v>
      </c>
      <c r="B25" s="610"/>
      <c r="C25" s="611" t="s">
        <v>510</v>
      </c>
      <c r="D25" s="624">
        <v>195.57999999999998</v>
      </c>
      <c r="E25" s="488">
        <v>152.09</v>
      </c>
      <c r="F25" s="488">
        <v>256.43</v>
      </c>
      <c r="G25" s="209">
        <f t="shared" si="25"/>
        <v>162.17374841683142</v>
      </c>
      <c r="H25" s="488">
        <v>6.68</v>
      </c>
      <c r="I25" s="488">
        <v>363.23</v>
      </c>
      <c r="J25" s="488">
        <v>1364.74</v>
      </c>
      <c r="K25" s="488">
        <v>87.49</v>
      </c>
      <c r="L25" s="488">
        <v>16.89</v>
      </c>
      <c r="M25" s="488">
        <v>995.66</v>
      </c>
      <c r="N25" s="488">
        <v>249.31</v>
      </c>
      <c r="O25" s="488">
        <v>1869.5900000000001</v>
      </c>
      <c r="P25" s="488">
        <v>363.68</v>
      </c>
      <c r="Q25" s="488">
        <v>80.069999999999993</v>
      </c>
      <c r="R25" s="488">
        <v>122</v>
      </c>
      <c r="S25" s="488">
        <v>114.06000000000002</v>
      </c>
      <c r="T25" s="209">
        <f t="shared" si="26"/>
        <v>13.150723613977405</v>
      </c>
      <c r="U25" s="488">
        <v>549.29</v>
      </c>
      <c r="V25" s="488">
        <v>23.58</v>
      </c>
      <c r="W25" s="488">
        <v>4.82</v>
      </c>
      <c r="X25" s="488">
        <v>11.17</v>
      </c>
      <c r="Y25" s="488">
        <v>3.8399999999999994</v>
      </c>
      <c r="Z25" s="488">
        <v>96.765000000000001</v>
      </c>
      <c r="AA25" s="209">
        <f t="shared" si="28"/>
        <v>562.81479045776382</v>
      </c>
      <c r="AB25" s="488">
        <v>149.5</v>
      </c>
      <c r="AC25" s="488">
        <v>127.51000000000002</v>
      </c>
      <c r="AD25" s="488">
        <v>99.220000000000013</v>
      </c>
      <c r="AE25" s="488">
        <v>467.98</v>
      </c>
      <c r="AF25" s="488">
        <v>58.76</v>
      </c>
      <c r="AG25" s="488">
        <v>45.72</v>
      </c>
      <c r="AH25" s="488">
        <v>1007.6299999999999</v>
      </c>
      <c r="AI25" s="209">
        <f t="shared" si="29"/>
        <v>56.967699015899306</v>
      </c>
      <c r="AJ25" s="209">
        <f t="shared" si="29"/>
        <v>63.59688029442092</v>
      </c>
      <c r="AK25" s="209">
        <f t="shared" si="29"/>
        <v>28.170598323467342</v>
      </c>
      <c r="AL25" s="209">
        <f t="shared" si="29"/>
        <v>45.23106332416323</v>
      </c>
      <c r="AM25" s="209">
        <f t="shared" si="29"/>
        <v>204.88634080045827</v>
      </c>
      <c r="AN25" s="210">
        <f t="shared" si="29"/>
        <v>31.371642180926735</v>
      </c>
    </row>
    <row r="26" spans="1:40">
      <c r="A26">
        <v>23</v>
      </c>
      <c r="B26" s="610"/>
      <c r="C26" s="611" t="s">
        <v>527</v>
      </c>
      <c r="D26" s="624">
        <v>165.5</v>
      </c>
      <c r="E26" s="488">
        <v>538.25</v>
      </c>
      <c r="F26" s="488">
        <v>5.22</v>
      </c>
      <c r="G26" s="209">
        <f t="shared" si="25"/>
        <v>159.96834340446043</v>
      </c>
      <c r="H26" s="488">
        <v>0</v>
      </c>
      <c r="I26" s="488">
        <v>251.75</v>
      </c>
      <c r="J26" s="488">
        <v>3062.4099999999994</v>
      </c>
      <c r="K26" s="488">
        <v>100.29</v>
      </c>
      <c r="L26" s="488">
        <v>6.8</v>
      </c>
      <c r="M26" s="488">
        <v>1068.79</v>
      </c>
      <c r="N26" s="488">
        <v>5.31</v>
      </c>
      <c r="O26" s="488">
        <v>2036.3300000000002</v>
      </c>
      <c r="P26" s="488">
        <v>18.670000000000002</v>
      </c>
      <c r="Q26" s="488">
        <v>96.259999999999991</v>
      </c>
      <c r="R26" s="488">
        <v>355.28</v>
      </c>
      <c r="S26" s="488">
        <v>126.48999999999998</v>
      </c>
      <c r="T26" s="209">
        <f t="shared" si="26"/>
        <v>0</v>
      </c>
      <c r="U26" s="488">
        <v>3254.66</v>
      </c>
      <c r="V26" s="488">
        <v>19.190000000000001</v>
      </c>
      <c r="W26" s="488">
        <v>19.89</v>
      </c>
      <c r="X26" s="488">
        <v>19.62</v>
      </c>
      <c r="Y26" s="488">
        <v>0</v>
      </c>
      <c r="Z26" s="488">
        <v>1400.87</v>
      </c>
      <c r="AA26" s="209">
        <f t="shared" si="28"/>
        <v>0.47432282756517857</v>
      </c>
      <c r="AB26" s="488">
        <v>527.5</v>
      </c>
      <c r="AC26" s="488">
        <v>95.03</v>
      </c>
      <c r="AD26" s="488">
        <v>303.23</v>
      </c>
      <c r="AE26" s="488">
        <v>15.27</v>
      </c>
      <c r="AF26" s="488">
        <v>17.45</v>
      </c>
      <c r="AG26" s="488">
        <v>194.66</v>
      </c>
      <c r="AH26" s="488">
        <v>5052.79</v>
      </c>
      <c r="AI26" s="209">
        <f t="shared" si="29"/>
        <v>0</v>
      </c>
      <c r="AJ26" s="209">
        <f t="shared" si="29"/>
        <v>7.6142429556210258</v>
      </c>
      <c r="AK26" s="209">
        <f t="shared" si="29"/>
        <v>0</v>
      </c>
      <c r="AL26" s="209">
        <f t="shared" si="29"/>
        <v>0</v>
      </c>
      <c r="AM26" s="209">
        <f t="shared" si="29"/>
        <v>37.993457784635744</v>
      </c>
      <c r="AN26" s="210">
        <f t="shared" si="29"/>
        <v>0</v>
      </c>
    </row>
    <row r="27" spans="1:40">
      <c r="A27">
        <v>24</v>
      </c>
      <c r="B27" s="610"/>
      <c r="C27" s="611" t="s">
        <v>533</v>
      </c>
      <c r="D27" s="624">
        <v>141.30000000000001</v>
      </c>
      <c r="E27" s="488">
        <v>392.43</v>
      </c>
      <c r="F27" s="488">
        <v>0</v>
      </c>
      <c r="G27" s="209">
        <f t="shared" si="25"/>
        <v>358.91099577964314</v>
      </c>
      <c r="H27" s="488">
        <v>4.24</v>
      </c>
      <c r="I27" s="488">
        <v>0</v>
      </c>
      <c r="J27" s="488">
        <v>1716.79</v>
      </c>
      <c r="K27" s="488">
        <v>50.55</v>
      </c>
      <c r="L27" s="488">
        <v>0.35</v>
      </c>
      <c r="M27" s="488">
        <v>320.51</v>
      </c>
      <c r="N27" s="488">
        <v>70.27</v>
      </c>
      <c r="O27" s="488">
        <v>791.67</v>
      </c>
      <c r="P27" s="488">
        <v>89.34</v>
      </c>
      <c r="Q27" s="488">
        <v>21.94</v>
      </c>
      <c r="R27" s="488">
        <v>0</v>
      </c>
      <c r="S27" s="488">
        <v>173.32</v>
      </c>
      <c r="T27" s="209">
        <f t="shared" si="26"/>
        <v>0.21900433081826856</v>
      </c>
      <c r="U27" s="488">
        <v>325.25</v>
      </c>
      <c r="V27" s="488">
        <v>0.85</v>
      </c>
      <c r="W27" s="488">
        <v>17.73</v>
      </c>
      <c r="X27" s="488">
        <v>4.79</v>
      </c>
      <c r="Y27" s="488">
        <v>0</v>
      </c>
      <c r="Z27" s="488">
        <v>10.050000000000001</v>
      </c>
      <c r="AA27" s="209">
        <f t="shared" si="28"/>
        <v>19.516851062688488</v>
      </c>
      <c r="AB27" s="488">
        <v>16.11</v>
      </c>
      <c r="AC27" s="488">
        <v>50.739999999999995</v>
      </c>
      <c r="AD27" s="488">
        <v>13.21</v>
      </c>
      <c r="AE27" s="488">
        <v>7.29</v>
      </c>
      <c r="AF27" s="488">
        <v>47.13</v>
      </c>
      <c r="AG27" s="488">
        <v>0</v>
      </c>
      <c r="AH27" s="488">
        <v>393.19999999999993</v>
      </c>
      <c r="AI27" s="209">
        <f t="shared" si="29"/>
        <v>0.17932705657976031</v>
      </c>
      <c r="AJ27" s="209">
        <f t="shared" si="29"/>
        <v>0</v>
      </c>
      <c r="AK27" s="209">
        <f t="shared" si="29"/>
        <v>0</v>
      </c>
      <c r="AL27" s="209">
        <f t="shared" si="29"/>
        <v>4.9564609602905385</v>
      </c>
      <c r="AM27" s="209">
        <f t="shared" si="29"/>
        <v>0.15336447415807589</v>
      </c>
      <c r="AN27" s="210">
        <f t="shared" si="29"/>
        <v>2.1081689751142947</v>
      </c>
    </row>
    <row r="28" spans="1:40">
      <c r="A28">
        <v>25</v>
      </c>
      <c r="B28" s="610"/>
      <c r="C28" s="611" t="s">
        <v>528</v>
      </c>
      <c r="D28" s="624">
        <v>13.730000000000002</v>
      </c>
      <c r="E28" s="488">
        <v>15.06</v>
      </c>
      <c r="F28" s="488">
        <v>0.25</v>
      </c>
      <c r="G28" s="209">
        <f t="shared" si="25"/>
        <v>0</v>
      </c>
      <c r="H28" s="488">
        <v>1.79</v>
      </c>
      <c r="I28" s="488">
        <v>3.09</v>
      </c>
      <c r="J28" s="488">
        <v>202.05</v>
      </c>
      <c r="K28" s="488">
        <v>5.36</v>
      </c>
      <c r="L28" s="488">
        <v>1.1200000000000001</v>
      </c>
      <c r="M28" s="488">
        <v>631.94000000000005</v>
      </c>
      <c r="N28" s="488">
        <v>6.58</v>
      </c>
      <c r="O28" s="488">
        <v>511.8</v>
      </c>
      <c r="P28" s="488">
        <v>22.22</v>
      </c>
      <c r="Q28" s="488">
        <v>32.049999999999997</v>
      </c>
      <c r="R28" s="488">
        <v>51.51</v>
      </c>
      <c r="S28" s="488">
        <v>23.2</v>
      </c>
      <c r="T28" s="209">
        <f t="shared" si="26"/>
        <v>0.72730257536429044</v>
      </c>
      <c r="U28" s="488">
        <v>576.33000000000004</v>
      </c>
      <c r="V28" s="488">
        <v>9.73</v>
      </c>
      <c r="W28" s="488">
        <v>0.55000000000000004</v>
      </c>
      <c r="X28" s="488">
        <v>6.6499999999999995</v>
      </c>
      <c r="Y28" s="488">
        <v>9.08</v>
      </c>
      <c r="Z28" s="488">
        <v>6.0299999999999994</v>
      </c>
      <c r="AA28" s="209">
        <f t="shared" si="28"/>
        <v>8.7434418299228831</v>
      </c>
      <c r="AB28" s="488">
        <v>92.04</v>
      </c>
      <c r="AC28" s="488">
        <v>174.67</v>
      </c>
      <c r="AD28" s="488">
        <v>28.65</v>
      </c>
      <c r="AE28" s="488">
        <v>0</v>
      </c>
      <c r="AF28" s="488">
        <v>10.09</v>
      </c>
      <c r="AG28" s="488">
        <v>4.8099999999999996</v>
      </c>
      <c r="AH28" s="488">
        <v>101.59</v>
      </c>
      <c r="AI28" s="209">
        <f t="shared" si="29"/>
        <v>35.856787170301246</v>
      </c>
      <c r="AJ28" s="209">
        <f t="shared" si="29"/>
        <v>0</v>
      </c>
      <c r="AK28" s="209">
        <f t="shared" si="29"/>
        <v>0</v>
      </c>
      <c r="AL28" s="209">
        <f t="shared" si="29"/>
        <v>3.858151368828397</v>
      </c>
      <c r="AM28" s="209">
        <f t="shared" si="29"/>
        <v>11.702753676945044</v>
      </c>
      <c r="AN28" s="210">
        <f t="shared" si="29"/>
        <v>4.2155573151094128</v>
      </c>
    </row>
    <row r="29" spans="1:40">
      <c r="A29">
        <v>26</v>
      </c>
      <c r="B29" s="610"/>
      <c r="C29" s="611" t="s">
        <v>536</v>
      </c>
      <c r="D29" s="624">
        <v>102.32</v>
      </c>
      <c r="E29" s="488">
        <v>11.23</v>
      </c>
      <c r="F29" s="488">
        <v>6.45</v>
      </c>
      <c r="G29" s="209">
        <f t="shared" si="25"/>
        <v>27.89194611636572</v>
      </c>
      <c r="H29" s="488">
        <v>51.66</v>
      </c>
      <c r="I29" s="488">
        <v>6.83</v>
      </c>
      <c r="J29" s="488">
        <v>433.10000000000008</v>
      </c>
      <c r="K29" s="488">
        <v>10.51</v>
      </c>
      <c r="L29" s="488">
        <v>0</v>
      </c>
      <c r="M29" s="488">
        <v>150.5</v>
      </c>
      <c r="N29" s="488">
        <v>0.93</v>
      </c>
      <c r="O29" s="488">
        <v>42.68</v>
      </c>
      <c r="P29" s="488">
        <v>179.68</v>
      </c>
      <c r="Q29" s="488">
        <v>5.21</v>
      </c>
      <c r="R29" s="488">
        <v>5.09</v>
      </c>
      <c r="S29" s="488">
        <v>5.35</v>
      </c>
      <c r="T29" s="209">
        <f t="shared" si="26"/>
        <v>0</v>
      </c>
      <c r="U29" s="488">
        <v>99.26</v>
      </c>
      <c r="V29" s="488">
        <v>0</v>
      </c>
      <c r="W29" s="488">
        <v>0.86</v>
      </c>
      <c r="X29" s="488">
        <v>0</v>
      </c>
      <c r="Y29" s="488">
        <v>0</v>
      </c>
      <c r="Z29" s="488">
        <v>20.66</v>
      </c>
      <c r="AA29" s="209">
        <f t="shared" si="28"/>
        <v>0</v>
      </c>
      <c r="AB29" s="488">
        <v>0</v>
      </c>
      <c r="AC29" s="488">
        <v>34.94</v>
      </c>
      <c r="AD29" s="488">
        <v>0</v>
      </c>
      <c r="AE29" s="488">
        <v>10.32</v>
      </c>
      <c r="AF29" s="488">
        <v>5.0599999999999996</v>
      </c>
      <c r="AG29" s="488">
        <v>0</v>
      </c>
      <c r="AH29" s="488">
        <v>86.96</v>
      </c>
      <c r="AI29" s="209">
        <f t="shared" si="29"/>
        <v>2.0060666857743383</v>
      </c>
      <c r="AJ29" s="209">
        <f t="shared" si="29"/>
        <v>0</v>
      </c>
      <c r="AK29" s="209">
        <f t="shared" si="29"/>
        <v>0</v>
      </c>
      <c r="AL29" s="209">
        <f t="shared" si="29"/>
        <v>0</v>
      </c>
      <c r="AM29" s="209">
        <f t="shared" si="29"/>
        <v>0</v>
      </c>
      <c r="AN29" s="210">
        <f t="shared" si="29"/>
        <v>0.16695328174261967</v>
      </c>
    </row>
    <row r="30" spans="1:40">
      <c r="A30">
        <v>27</v>
      </c>
      <c r="B30" s="612"/>
      <c r="C30" s="613" t="s">
        <v>529</v>
      </c>
      <c r="D30" s="625">
        <v>3.38</v>
      </c>
      <c r="E30" s="626">
        <v>0</v>
      </c>
      <c r="F30" s="626">
        <v>2.83</v>
      </c>
      <c r="G30" s="627">
        <f t="shared" si="25"/>
        <v>0</v>
      </c>
      <c r="H30" s="626">
        <v>0</v>
      </c>
      <c r="I30" s="626">
        <v>16.46</v>
      </c>
      <c r="J30" s="626">
        <v>0</v>
      </c>
      <c r="K30" s="626">
        <v>0</v>
      </c>
      <c r="L30" s="626">
        <v>0</v>
      </c>
      <c r="M30" s="626">
        <v>0</v>
      </c>
      <c r="N30" s="626">
        <v>0</v>
      </c>
      <c r="O30" s="626">
        <v>0</v>
      </c>
      <c r="P30" s="626">
        <v>0</v>
      </c>
      <c r="Q30" s="626">
        <v>0</v>
      </c>
      <c r="R30" s="626">
        <v>1.08</v>
      </c>
      <c r="S30" s="626">
        <v>77.19</v>
      </c>
      <c r="T30" s="627">
        <f t="shared" si="26"/>
        <v>0</v>
      </c>
      <c r="U30" s="626">
        <v>0</v>
      </c>
      <c r="V30" s="626">
        <v>0</v>
      </c>
      <c r="W30" s="626">
        <v>0</v>
      </c>
      <c r="X30" s="626">
        <v>0</v>
      </c>
      <c r="Y30" s="626">
        <v>0</v>
      </c>
      <c r="Z30" s="626">
        <v>0</v>
      </c>
      <c r="AA30" s="627">
        <f t="shared" si="28"/>
        <v>0</v>
      </c>
      <c r="AB30" s="626">
        <v>1086.25</v>
      </c>
      <c r="AC30" s="626">
        <v>0</v>
      </c>
      <c r="AD30" s="626">
        <v>0</v>
      </c>
      <c r="AE30" s="626">
        <v>0</v>
      </c>
      <c r="AF30" s="626">
        <v>0</v>
      </c>
      <c r="AG30" s="626">
        <v>0</v>
      </c>
      <c r="AH30" s="626">
        <v>32.159999999999997</v>
      </c>
      <c r="AI30" s="627" t="e">
        <f t="shared" si="29"/>
        <v>#DIV/0!</v>
      </c>
      <c r="AJ30" s="627">
        <f t="shared" si="29"/>
        <v>0</v>
      </c>
      <c r="AK30" s="627" t="e">
        <f t="shared" si="29"/>
        <v>#DIV/0!</v>
      </c>
      <c r="AL30" s="627">
        <f t="shared" si="29"/>
        <v>0</v>
      </c>
      <c r="AM30" s="627">
        <f t="shared" si="29"/>
        <v>0</v>
      </c>
      <c r="AN30" s="628">
        <f t="shared" si="29"/>
        <v>0</v>
      </c>
    </row>
    <row r="31" spans="1:40">
      <c r="A31">
        <v>28</v>
      </c>
      <c r="B31" s="616" t="s">
        <v>537</v>
      </c>
      <c r="C31" s="617" t="s">
        <v>510</v>
      </c>
      <c r="D31" s="640">
        <v>835.72</v>
      </c>
      <c r="E31" s="641">
        <v>1064.17</v>
      </c>
      <c r="F31" s="641">
        <v>415.54000000000008</v>
      </c>
      <c r="G31" s="642">
        <f t="shared" si="25"/>
        <v>858.08514755035856</v>
      </c>
      <c r="H31" s="641">
        <v>83.17</v>
      </c>
      <c r="I31" s="641">
        <v>492.48</v>
      </c>
      <c r="J31" s="641">
        <v>7221.04</v>
      </c>
      <c r="K31" s="641">
        <v>560.16999999999996</v>
      </c>
      <c r="L31" s="641">
        <v>101.74000000000001</v>
      </c>
      <c r="M31" s="641">
        <v>4153.8100000000004</v>
      </c>
      <c r="N31" s="641">
        <v>644.85</v>
      </c>
      <c r="O31" s="641">
        <v>7713.24</v>
      </c>
      <c r="P31" s="641">
        <v>531.07000000000005</v>
      </c>
      <c r="Q31" s="641">
        <v>260.89</v>
      </c>
      <c r="R31" s="641">
        <v>436.15</v>
      </c>
      <c r="S31" s="641">
        <v>407.41</v>
      </c>
      <c r="T31" s="642">
        <f t="shared" si="26"/>
        <v>34.014857496583893</v>
      </c>
      <c r="U31" s="641">
        <v>4223.6899999999996</v>
      </c>
      <c r="V31" s="641">
        <v>136.13</v>
      </c>
      <c r="W31" s="641">
        <v>49.79999999999999</v>
      </c>
      <c r="X31" s="641">
        <v>126.14999999999999</v>
      </c>
      <c r="Y31" s="641">
        <v>27.55</v>
      </c>
      <c r="Z31" s="641">
        <v>1506.67</v>
      </c>
      <c r="AA31" s="642">
        <f t="shared" si="28"/>
        <v>1455.7423193080463</v>
      </c>
      <c r="AB31" s="641">
        <v>1549.1299999999999</v>
      </c>
      <c r="AC31" s="641">
        <v>802.09999999999991</v>
      </c>
      <c r="AD31" s="641">
        <v>790.59</v>
      </c>
      <c r="AE31" s="641">
        <v>1029.83</v>
      </c>
      <c r="AF31" s="641">
        <v>161.04</v>
      </c>
      <c r="AG31" s="641">
        <v>208.67</v>
      </c>
      <c r="AH31" s="641">
        <v>5686.21</v>
      </c>
      <c r="AI31" s="642">
        <f t="shared" si="29"/>
        <v>83.188066202083263</v>
      </c>
      <c r="AJ31" s="642">
        <f t="shared" si="29"/>
        <v>207.21606219572215</v>
      </c>
      <c r="AK31" s="642">
        <f t="shared" si="29"/>
        <v>41.136602649702496</v>
      </c>
      <c r="AL31" s="642">
        <f t="shared" si="29"/>
        <v>147.3751980846877</v>
      </c>
      <c r="AM31" s="642">
        <f t="shared" si="29"/>
        <v>667.5758392835213</v>
      </c>
      <c r="AN31" s="643">
        <f t="shared" si="29"/>
        <v>102.2174063766951</v>
      </c>
    </row>
    <row r="32" spans="1:40">
      <c r="A32">
        <v>29</v>
      </c>
      <c r="B32" s="618" t="s">
        <v>686</v>
      </c>
      <c r="C32" s="619"/>
      <c r="D32" s="638">
        <f t="shared" ref="D32:AN32" si="30">SUM(D4,D10,D12,D22,D31)</f>
        <v>6365.3324035537653</v>
      </c>
      <c r="E32" s="638">
        <f t="shared" si="30"/>
        <v>9261.8821273769245</v>
      </c>
      <c r="F32" s="638">
        <f t="shared" si="30"/>
        <v>2216.2293298266709</v>
      </c>
      <c r="G32" s="638">
        <f t="shared" si="30"/>
        <v>6459.8679182191645</v>
      </c>
      <c r="H32" s="638">
        <f t="shared" si="30"/>
        <v>346.40414146590393</v>
      </c>
      <c r="I32" s="638">
        <f t="shared" si="30"/>
        <v>7190.4121484943862</v>
      </c>
      <c r="J32" s="638">
        <f t="shared" si="30"/>
        <v>61481.79727028963</v>
      </c>
      <c r="K32" s="638">
        <f t="shared" si="30"/>
        <v>4839.9686820973229</v>
      </c>
      <c r="L32" s="638">
        <f t="shared" si="30"/>
        <v>1025.3391857848417</v>
      </c>
      <c r="M32" s="638">
        <f t="shared" si="30"/>
        <v>17226.378806536755</v>
      </c>
      <c r="N32" s="638">
        <f t="shared" si="30"/>
        <v>5819.612662872014</v>
      </c>
      <c r="O32" s="638">
        <f t="shared" si="30"/>
        <v>45218.431772928336</v>
      </c>
      <c r="P32" s="638">
        <f t="shared" si="30"/>
        <v>4430.0135605888672</v>
      </c>
      <c r="Q32" s="638">
        <f t="shared" si="30"/>
        <v>2522.0507086083303</v>
      </c>
      <c r="R32" s="638">
        <f t="shared" si="30"/>
        <v>6373.6539136516858</v>
      </c>
      <c r="S32" s="638">
        <f t="shared" si="30"/>
        <v>3249.5901119801929</v>
      </c>
      <c r="T32" s="638">
        <f t="shared" si="30"/>
        <v>428.22680806343743</v>
      </c>
      <c r="U32" s="638">
        <f t="shared" si="30"/>
        <v>33862.128213869873</v>
      </c>
      <c r="V32" s="638">
        <f t="shared" si="30"/>
        <v>1583.0249083813605</v>
      </c>
      <c r="W32" s="638">
        <f t="shared" si="30"/>
        <v>504.98494889588721</v>
      </c>
      <c r="X32" s="638">
        <f t="shared" si="30"/>
        <v>1417.9082953132231</v>
      </c>
      <c r="Y32" s="638">
        <f t="shared" si="30"/>
        <v>69.147602882611537</v>
      </c>
      <c r="Z32" s="638">
        <f t="shared" si="30"/>
        <v>12092.551100842902</v>
      </c>
      <c r="AA32" s="638">
        <f t="shared" si="30"/>
        <v>4423.3543517722364</v>
      </c>
      <c r="AB32" s="638">
        <f t="shared" si="30"/>
        <v>21415.126646628582</v>
      </c>
      <c r="AC32" s="638">
        <f t="shared" si="30"/>
        <v>2929.1498322712227</v>
      </c>
      <c r="AD32" s="638">
        <f t="shared" si="30"/>
        <v>8127.1782841483946</v>
      </c>
      <c r="AE32" s="638">
        <f t="shared" si="30"/>
        <v>7718.7201679679638</v>
      </c>
      <c r="AF32" s="638">
        <f t="shared" si="30"/>
        <v>1297.9741946310212</v>
      </c>
      <c r="AG32" s="638">
        <f t="shared" si="30"/>
        <v>2280.5888457195265</v>
      </c>
      <c r="AH32" s="638">
        <f t="shared" si="30"/>
        <v>45250.162898665782</v>
      </c>
      <c r="AI32" s="638" t="e">
        <f t="shared" si="30"/>
        <v>#DIV/0!</v>
      </c>
      <c r="AJ32" s="638">
        <f t="shared" si="30"/>
        <v>819.96608388267873</v>
      </c>
      <c r="AK32" s="638" t="e">
        <f t="shared" si="30"/>
        <v>#DIV/0!</v>
      </c>
      <c r="AL32" s="638">
        <f t="shared" si="30"/>
        <v>536.85392184962245</v>
      </c>
      <c r="AM32" s="638">
        <f t="shared" si="30"/>
        <v>3095.7772045476254</v>
      </c>
      <c r="AN32" s="639">
        <f t="shared" si="30"/>
        <v>461.59572943536818</v>
      </c>
    </row>
    <row r="33" spans="1:40">
      <c r="A33" s="629"/>
      <c r="B33" s="606"/>
      <c r="C33" s="606"/>
      <c r="D33" s="630"/>
      <c r="E33" s="467"/>
      <c r="F33" s="467"/>
      <c r="G33" s="467"/>
      <c r="H33" s="467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67"/>
      <c r="X33" s="467"/>
      <c r="Y33" s="467"/>
      <c r="Z33" s="467"/>
      <c r="AA33" s="467"/>
      <c r="AB33" s="467"/>
      <c r="AC33" s="467"/>
      <c r="AD33" s="467"/>
      <c r="AE33" s="467"/>
      <c r="AF33" s="467"/>
      <c r="AG33" s="467"/>
      <c r="AH33" s="467"/>
      <c r="AI33" s="467"/>
      <c r="AJ33" s="467"/>
      <c r="AK33" s="467"/>
      <c r="AL33" s="467"/>
      <c r="AM33" s="467"/>
      <c r="AN33" s="467"/>
    </row>
    <row r="34" spans="1:40" ht="21">
      <c r="A34" s="3" t="s">
        <v>691</v>
      </c>
      <c r="B34" s="606"/>
      <c r="C34" s="606"/>
      <c r="D34" s="630"/>
      <c r="E34" s="467"/>
      <c r="F34" s="467"/>
      <c r="G34" s="467"/>
      <c r="H34" s="467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67"/>
      <c r="X34" s="467"/>
      <c r="Y34" s="467"/>
      <c r="Z34" s="467"/>
      <c r="AA34" s="467"/>
      <c r="AB34" s="467"/>
      <c r="AC34" s="467"/>
      <c r="AD34" s="467"/>
      <c r="AE34" s="467"/>
      <c r="AF34" s="467"/>
      <c r="AG34" s="467"/>
      <c r="AH34" s="467"/>
      <c r="AI34" s="467"/>
      <c r="AJ34" s="467"/>
      <c r="AK34" s="467"/>
      <c r="AL34" s="467"/>
      <c r="AM34" s="467"/>
      <c r="AN34" s="467"/>
    </row>
    <row r="35" spans="1:40">
      <c r="A35" t="s">
        <v>693</v>
      </c>
      <c r="B35" s="606"/>
      <c r="C35" s="606"/>
      <c r="D35" s="630"/>
      <c r="E35" s="467"/>
      <c r="F35" s="467"/>
      <c r="G35" s="467"/>
      <c r="H35" s="467"/>
      <c r="I35" s="467"/>
      <c r="J35" s="467"/>
      <c r="K35" s="467"/>
      <c r="L35" s="467"/>
      <c r="M35" s="467"/>
      <c r="N35" s="467"/>
      <c r="O35" s="467"/>
      <c r="P35" s="467"/>
      <c r="Q35" s="467"/>
      <c r="R35" s="467"/>
      <c r="S35" s="467"/>
      <c r="T35" s="467"/>
      <c r="U35" s="467"/>
      <c r="V35" s="467"/>
      <c r="W35" s="467"/>
      <c r="X35" s="467"/>
      <c r="Y35" s="467"/>
      <c r="Z35" s="467"/>
      <c r="AA35" s="467"/>
      <c r="AB35" s="467"/>
      <c r="AC35" s="467"/>
      <c r="AD35" s="467"/>
      <c r="AE35" s="467"/>
      <c r="AF35" s="467"/>
      <c r="AG35" s="467"/>
      <c r="AH35" s="467"/>
      <c r="AI35" s="467"/>
      <c r="AJ35" s="467"/>
      <c r="AK35" s="467"/>
      <c r="AL35" s="467"/>
      <c r="AM35" s="467"/>
      <c r="AN35" s="467"/>
    </row>
    <row r="36" spans="1:40">
      <c r="B36" t="s">
        <v>687</v>
      </c>
      <c r="D36" s="247" t="s">
        <v>88</v>
      </c>
      <c r="E36" s="248" t="s">
        <v>89</v>
      </c>
      <c r="F36" s="248" t="s">
        <v>90</v>
      </c>
      <c r="G36" s="248" t="s">
        <v>91</v>
      </c>
      <c r="H36" s="248" t="s">
        <v>92</v>
      </c>
      <c r="I36" s="248" t="s">
        <v>93</v>
      </c>
      <c r="J36" s="248" t="s">
        <v>94</v>
      </c>
      <c r="K36" s="248" t="s">
        <v>95</v>
      </c>
      <c r="L36" s="248" t="s">
        <v>96</v>
      </c>
      <c r="M36" s="248" t="s">
        <v>97</v>
      </c>
      <c r="N36" s="248" t="s">
        <v>98</v>
      </c>
      <c r="O36" s="248" t="s">
        <v>99</v>
      </c>
      <c r="P36" s="248" t="s">
        <v>205</v>
      </c>
      <c r="Q36" s="248" t="s">
        <v>118</v>
      </c>
      <c r="R36" s="248" t="s">
        <v>100</v>
      </c>
      <c r="S36" s="248" t="s">
        <v>101</v>
      </c>
      <c r="T36" s="248" t="s">
        <v>102</v>
      </c>
      <c r="U36" s="248" t="s">
        <v>103</v>
      </c>
      <c r="V36" s="248" t="s">
        <v>104</v>
      </c>
      <c r="W36" s="248" t="s">
        <v>105</v>
      </c>
      <c r="X36" s="248" t="s">
        <v>106</v>
      </c>
      <c r="Y36" s="248" t="s">
        <v>107</v>
      </c>
      <c r="Z36" s="248" t="s">
        <v>108</v>
      </c>
      <c r="AA36" s="248" t="s">
        <v>109</v>
      </c>
      <c r="AB36" s="248" t="s">
        <v>110</v>
      </c>
      <c r="AC36" s="248" t="s">
        <v>111</v>
      </c>
      <c r="AD36" s="248" t="s">
        <v>112</v>
      </c>
      <c r="AE36" s="248" t="s">
        <v>113</v>
      </c>
      <c r="AF36" s="248" t="s">
        <v>114</v>
      </c>
      <c r="AG36" s="248" t="s">
        <v>115</v>
      </c>
      <c r="AH36" s="248" t="s">
        <v>52</v>
      </c>
      <c r="AI36" s="248" t="s">
        <v>116</v>
      </c>
      <c r="AJ36" s="248" t="s">
        <v>117</v>
      </c>
      <c r="AK36" s="248" t="s">
        <v>119</v>
      </c>
      <c r="AL36" s="248" t="s">
        <v>120</v>
      </c>
      <c r="AM36" s="248" t="s">
        <v>121</v>
      </c>
      <c r="AN36" s="249" t="s">
        <v>122</v>
      </c>
    </row>
    <row r="37" spans="1:40">
      <c r="B37" s="608" t="s">
        <v>524</v>
      </c>
      <c r="C37" s="609" t="s">
        <v>525</v>
      </c>
      <c r="D37" s="620">
        <v>214.58</v>
      </c>
      <c r="E37" s="621">
        <v>280.33</v>
      </c>
      <c r="F37" s="621">
        <v>150.94999999999999</v>
      </c>
      <c r="G37" s="622">
        <f>G102/(41.868/1000)</f>
        <v>291.23018661704748</v>
      </c>
      <c r="H37" s="621">
        <v>22.33</v>
      </c>
      <c r="I37" s="621">
        <v>259.64999999999998</v>
      </c>
      <c r="J37" s="621">
        <v>2663.65</v>
      </c>
      <c r="K37" s="621">
        <v>175.79</v>
      </c>
      <c r="L37" s="621">
        <v>43.05</v>
      </c>
      <c r="M37" s="621">
        <v>960.87</v>
      </c>
      <c r="N37" s="621">
        <v>156.94</v>
      </c>
      <c r="O37" s="621">
        <v>2340.6799999999998</v>
      </c>
      <c r="P37" s="621">
        <v>378.99</v>
      </c>
      <c r="Q37" s="621">
        <v>100.94</v>
      </c>
      <c r="R37" s="621">
        <v>224.05</v>
      </c>
      <c r="S37" s="621">
        <v>93.22</v>
      </c>
      <c r="T37" s="622">
        <f>T102/(41.868/1000)</f>
        <v>8.3099081375429318</v>
      </c>
      <c r="U37" s="621">
        <v>1344.43</v>
      </c>
      <c r="V37" s="621">
        <v>64.34</v>
      </c>
      <c r="W37" s="621">
        <v>12.999999999999998</v>
      </c>
      <c r="X37" s="621">
        <v>37.32</v>
      </c>
      <c r="Y37" s="621">
        <v>6.33</v>
      </c>
      <c r="Z37" s="621">
        <v>455.46</v>
      </c>
      <c r="AA37" s="622">
        <f>AA102/(41.868/1000)</f>
        <v>350.42251224553962</v>
      </c>
      <c r="AB37" s="621">
        <v>852.89</v>
      </c>
      <c r="AC37" s="621">
        <v>477.51</v>
      </c>
      <c r="AD37" s="621">
        <v>303.64999999999998</v>
      </c>
      <c r="AE37" s="621">
        <v>264.13</v>
      </c>
      <c r="AF37" s="621">
        <v>40.32</v>
      </c>
      <c r="AG37" s="621">
        <v>98.94</v>
      </c>
      <c r="AH37" s="621">
        <v>1017.5400000000001</v>
      </c>
      <c r="AI37" s="622">
        <f t="shared" ref="AI37:AN48" si="31">AI102/(41.868/1000)</f>
        <v>76.052729964410418</v>
      </c>
      <c r="AJ37" s="622">
        <f t="shared" si="31"/>
        <v>58.391424522595592</v>
      </c>
      <c r="AK37" s="622">
        <f t="shared" si="31"/>
        <v>31.449149285822934</v>
      </c>
      <c r="AL37" s="622">
        <f t="shared" si="31"/>
        <v>42.639266267322029</v>
      </c>
      <c r="AM37" s="622">
        <f t="shared" si="31"/>
        <v>195.55223271573271</v>
      </c>
      <c r="AN37" s="623">
        <f t="shared" si="31"/>
        <v>30.311222081796853</v>
      </c>
    </row>
    <row r="38" spans="1:40">
      <c r="B38" s="610"/>
      <c r="C38" s="611" t="s">
        <v>526</v>
      </c>
      <c r="D38" s="624">
        <v>6.98</v>
      </c>
      <c r="E38" s="488">
        <v>0</v>
      </c>
      <c r="F38" s="488">
        <v>5.63</v>
      </c>
      <c r="G38" s="209">
        <f t="shared" ref="G38:G48" si="32">G103/(41.868/1000)</f>
        <v>0</v>
      </c>
      <c r="H38" s="488">
        <v>0</v>
      </c>
      <c r="I38" s="488">
        <v>5.32</v>
      </c>
      <c r="J38" s="488">
        <v>0</v>
      </c>
      <c r="K38" s="488">
        <v>0</v>
      </c>
      <c r="L38" s="488">
        <v>1.9</v>
      </c>
      <c r="M38" s="488">
        <v>9.01</v>
      </c>
      <c r="N38" s="488">
        <v>0</v>
      </c>
      <c r="O38" s="488">
        <v>0</v>
      </c>
      <c r="P38" s="488">
        <v>12.300000000000002</v>
      </c>
      <c r="Q38" s="488">
        <v>0</v>
      </c>
      <c r="R38" s="488">
        <v>4.7</v>
      </c>
      <c r="S38" s="488">
        <v>0</v>
      </c>
      <c r="T38" s="209">
        <f t="shared" ref="T38:T48" si="33">T103/(41.868/1000)</f>
        <v>0</v>
      </c>
      <c r="U38" s="488">
        <v>0</v>
      </c>
      <c r="V38" s="488">
        <v>5.69</v>
      </c>
      <c r="W38" s="488">
        <v>0</v>
      </c>
      <c r="X38" s="488">
        <v>7.4599999999999991</v>
      </c>
      <c r="Y38" s="488">
        <v>0</v>
      </c>
      <c r="Z38" s="488">
        <v>0</v>
      </c>
      <c r="AA38" s="209">
        <f t="shared" ref="AA38:AA48" si="34">AA103/(41.868/1000)</f>
        <v>0</v>
      </c>
      <c r="AB38" s="488">
        <v>18.2</v>
      </c>
      <c r="AC38" s="488">
        <v>86.58</v>
      </c>
      <c r="AD38" s="488">
        <v>82.35</v>
      </c>
      <c r="AE38" s="488">
        <v>0</v>
      </c>
      <c r="AF38" s="488">
        <v>3.7299999999999995</v>
      </c>
      <c r="AG38" s="488">
        <v>0</v>
      </c>
      <c r="AH38" s="488">
        <v>0</v>
      </c>
      <c r="AI38" s="209">
        <f t="shared" si="31"/>
        <v>3.7019955805460536</v>
      </c>
      <c r="AJ38" s="209">
        <f t="shared" si="31"/>
        <v>0</v>
      </c>
      <c r="AK38" s="209">
        <f t="shared" si="31"/>
        <v>4.6342687526574675</v>
      </c>
      <c r="AL38" s="209">
        <f t="shared" si="31"/>
        <v>0</v>
      </c>
      <c r="AM38" s="209">
        <f t="shared" si="31"/>
        <v>0</v>
      </c>
      <c r="AN38" s="210">
        <f t="shared" si="31"/>
        <v>0</v>
      </c>
    </row>
    <row r="39" spans="1:40">
      <c r="B39" s="610"/>
      <c r="C39" s="611" t="s">
        <v>510</v>
      </c>
      <c r="D39" s="624">
        <v>186.59</v>
      </c>
      <c r="E39" s="488">
        <v>206.12</v>
      </c>
      <c r="F39" s="488">
        <v>132.03</v>
      </c>
      <c r="G39" s="209">
        <f t="shared" si="32"/>
        <v>289.25829487943525</v>
      </c>
      <c r="H39" s="488">
        <v>8.8699999999999992</v>
      </c>
      <c r="I39" s="488">
        <v>202.58</v>
      </c>
      <c r="J39" s="488">
        <v>2429.6999999999998</v>
      </c>
      <c r="K39" s="488">
        <v>165.32</v>
      </c>
      <c r="L39" s="488">
        <v>38.72</v>
      </c>
      <c r="M39" s="488">
        <v>561.11</v>
      </c>
      <c r="N39" s="488">
        <v>154.94</v>
      </c>
      <c r="O39" s="488">
        <v>1777.5</v>
      </c>
      <c r="P39" s="488">
        <v>347.34</v>
      </c>
      <c r="Q39" s="488">
        <v>72.45</v>
      </c>
      <c r="R39" s="488">
        <v>109.34</v>
      </c>
      <c r="S39" s="488">
        <v>70.84</v>
      </c>
      <c r="T39" s="209">
        <f t="shared" si="33"/>
        <v>8.1390694049467243</v>
      </c>
      <c r="U39" s="488">
        <v>365.43</v>
      </c>
      <c r="V39" s="488">
        <v>45.75</v>
      </c>
      <c r="W39" s="488">
        <v>9.1999999999999993</v>
      </c>
      <c r="X39" s="488">
        <v>20.63</v>
      </c>
      <c r="Y39" s="488">
        <v>2.82</v>
      </c>
      <c r="Z39" s="488">
        <v>294.63</v>
      </c>
      <c r="AA39" s="209">
        <f t="shared" si="34"/>
        <v>348.32977835512725</v>
      </c>
      <c r="AB39" s="488">
        <v>516.66</v>
      </c>
      <c r="AC39" s="488">
        <v>205.92000000000002</v>
      </c>
      <c r="AD39" s="488">
        <v>47.05</v>
      </c>
      <c r="AE39" s="488">
        <v>262.38</v>
      </c>
      <c r="AF39" s="488">
        <v>24.06</v>
      </c>
      <c r="AG39" s="488">
        <v>64.599999999999994</v>
      </c>
      <c r="AH39" s="488">
        <v>584.75</v>
      </c>
      <c r="AI39" s="209">
        <f t="shared" si="31"/>
        <v>54.226112836521644</v>
      </c>
      <c r="AJ39" s="209">
        <f t="shared" si="31"/>
        <v>57.355140769084265</v>
      </c>
      <c r="AK39" s="209">
        <f t="shared" si="31"/>
        <v>26.814880533165461</v>
      </c>
      <c r="AL39" s="209">
        <f t="shared" si="31"/>
        <v>40.791843752127058</v>
      </c>
      <c r="AM39" s="209">
        <f t="shared" si="31"/>
        <v>184.77769450121514</v>
      </c>
      <c r="AN39" s="210">
        <f t="shared" si="31"/>
        <v>28.292660663769094</v>
      </c>
    </row>
    <row r="40" spans="1:40">
      <c r="B40" s="610"/>
      <c r="C40" s="611" t="s">
        <v>527</v>
      </c>
      <c r="D40" s="624">
        <v>13.71</v>
      </c>
      <c r="E40" s="488">
        <v>63.15</v>
      </c>
      <c r="F40" s="488">
        <v>1.8899999999999997</v>
      </c>
      <c r="G40" s="209">
        <f t="shared" si="32"/>
        <v>1.9718917376122143</v>
      </c>
      <c r="H40" s="488">
        <v>0</v>
      </c>
      <c r="I40" s="488">
        <v>50.849999999999994</v>
      </c>
      <c r="J40" s="488">
        <v>37.909999999999997</v>
      </c>
      <c r="K40" s="488">
        <v>4.95</v>
      </c>
      <c r="L40" s="488">
        <v>1.0900000000000001</v>
      </c>
      <c r="M40" s="488">
        <v>258</v>
      </c>
      <c r="N40" s="488">
        <v>0.45</v>
      </c>
      <c r="O40" s="488">
        <v>297.99</v>
      </c>
      <c r="P40" s="488">
        <v>8.1300000000000008</v>
      </c>
      <c r="Q40" s="488">
        <v>13.170000000000002</v>
      </c>
      <c r="R40" s="488">
        <v>85.56</v>
      </c>
      <c r="S40" s="488">
        <v>14.63</v>
      </c>
      <c r="T40" s="209">
        <f t="shared" si="33"/>
        <v>0</v>
      </c>
      <c r="U40" s="488">
        <v>768.77</v>
      </c>
      <c r="V40" s="488">
        <v>3.0600000000000005</v>
      </c>
      <c r="W40" s="488">
        <v>3.22</v>
      </c>
      <c r="X40" s="488">
        <v>2.75</v>
      </c>
      <c r="Y40" s="488">
        <v>0</v>
      </c>
      <c r="Z40" s="488">
        <v>150.88</v>
      </c>
      <c r="AA40" s="209">
        <f t="shared" si="34"/>
        <v>3.8955213766699505E-2</v>
      </c>
      <c r="AB40" s="488">
        <v>94.44</v>
      </c>
      <c r="AC40" s="488">
        <v>38.909999999999997</v>
      </c>
      <c r="AD40" s="488">
        <v>90.91</v>
      </c>
      <c r="AE40" s="488">
        <v>1.75</v>
      </c>
      <c r="AF40" s="488">
        <v>3.4199999999999995</v>
      </c>
      <c r="AG40" s="488">
        <v>30.75</v>
      </c>
      <c r="AH40" s="488">
        <v>401.04999999999995</v>
      </c>
      <c r="AI40" s="209">
        <f t="shared" si="31"/>
        <v>0</v>
      </c>
      <c r="AJ40" s="209">
        <f t="shared" si="31"/>
        <v>1.0362837535113227</v>
      </c>
      <c r="AK40" s="209">
        <f t="shared" si="31"/>
        <v>0</v>
      </c>
      <c r="AL40" s="209">
        <f t="shared" si="31"/>
        <v>0</v>
      </c>
      <c r="AM40" s="209">
        <f t="shared" si="31"/>
        <v>5.1708361909926852</v>
      </c>
      <c r="AN40" s="210">
        <f t="shared" si="31"/>
        <v>0</v>
      </c>
    </row>
    <row r="41" spans="1:40">
      <c r="B41" s="610"/>
      <c r="C41" s="611" t="s">
        <v>528</v>
      </c>
      <c r="D41" s="624">
        <v>7.1</v>
      </c>
      <c r="E41" s="488">
        <v>11.06</v>
      </c>
      <c r="F41" s="488">
        <v>8.32</v>
      </c>
      <c r="G41" s="209">
        <f t="shared" si="32"/>
        <v>0</v>
      </c>
      <c r="H41" s="488">
        <v>13.47</v>
      </c>
      <c r="I41" s="488">
        <v>0.9</v>
      </c>
      <c r="J41" s="488">
        <v>196.04</v>
      </c>
      <c r="K41" s="488">
        <v>5.52</v>
      </c>
      <c r="L41" s="488">
        <v>1.33</v>
      </c>
      <c r="M41" s="488">
        <v>128.21</v>
      </c>
      <c r="N41" s="488">
        <v>1.55</v>
      </c>
      <c r="O41" s="488">
        <v>265.19</v>
      </c>
      <c r="P41" s="488">
        <v>11.21</v>
      </c>
      <c r="Q41" s="488">
        <v>15.32</v>
      </c>
      <c r="R41" s="488">
        <v>24.230000000000004</v>
      </c>
      <c r="S41" s="488">
        <v>7.76</v>
      </c>
      <c r="T41" s="209">
        <f t="shared" si="33"/>
        <v>0.17083873259620777</v>
      </c>
      <c r="U41" s="488">
        <v>210.22</v>
      </c>
      <c r="V41" s="488">
        <v>9.84</v>
      </c>
      <c r="W41" s="488">
        <v>0.56999999999999995</v>
      </c>
      <c r="X41" s="488">
        <v>6.4900000000000011</v>
      </c>
      <c r="Y41" s="488">
        <v>3.52</v>
      </c>
      <c r="Z41" s="488">
        <v>9.9450000000000003</v>
      </c>
      <c r="AA41" s="209">
        <f t="shared" si="34"/>
        <v>2.0537786766457153</v>
      </c>
      <c r="AB41" s="488">
        <v>168.03</v>
      </c>
      <c r="AC41" s="488">
        <v>146.1</v>
      </c>
      <c r="AD41" s="488">
        <v>83.34</v>
      </c>
      <c r="AE41" s="488">
        <v>0</v>
      </c>
      <c r="AF41" s="488">
        <v>9.11</v>
      </c>
      <c r="AG41" s="488">
        <v>3.5900000000000003</v>
      </c>
      <c r="AH41" s="488">
        <v>31.74</v>
      </c>
      <c r="AI41" s="209">
        <f t="shared" si="31"/>
        <v>18.124621547342731</v>
      </c>
      <c r="AJ41" s="209">
        <f t="shared" si="31"/>
        <v>0</v>
      </c>
      <c r="AK41" s="209">
        <f t="shared" si="31"/>
        <v>0</v>
      </c>
      <c r="AL41" s="209">
        <f t="shared" si="31"/>
        <v>1.847422515194969</v>
      </c>
      <c r="AM41" s="209">
        <f t="shared" si="31"/>
        <v>5.6037020235248827</v>
      </c>
      <c r="AN41" s="210">
        <f t="shared" si="31"/>
        <v>2.0185614180277573</v>
      </c>
    </row>
    <row r="42" spans="1:40">
      <c r="B42" s="612"/>
      <c r="C42" s="613" t="s">
        <v>529</v>
      </c>
      <c r="D42" s="625">
        <v>0.19999999999999998</v>
      </c>
      <c r="E42" s="626">
        <v>0</v>
      </c>
      <c r="F42" s="626">
        <v>3.08</v>
      </c>
      <c r="G42" s="627">
        <f t="shared" si="32"/>
        <v>0</v>
      </c>
      <c r="H42" s="626">
        <v>0</v>
      </c>
      <c r="I42" s="626">
        <v>0</v>
      </c>
      <c r="J42" s="626">
        <v>0</v>
      </c>
      <c r="K42" s="626">
        <v>0</v>
      </c>
      <c r="L42" s="626">
        <v>0</v>
      </c>
      <c r="M42" s="626">
        <v>4.54</v>
      </c>
      <c r="N42" s="626">
        <v>0</v>
      </c>
      <c r="O42" s="626">
        <v>0</v>
      </c>
      <c r="P42" s="626">
        <v>0</v>
      </c>
      <c r="Q42" s="626">
        <v>0</v>
      </c>
      <c r="R42" s="626">
        <v>0.22</v>
      </c>
      <c r="S42" s="626">
        <v>0</v>
      </c>
      <c r="T42" s="627">
        <f t="shared" si="33"/>
        <v>0</v>
      </c>
      <c r="U42" s="626">
        <v>0</v>
      </c>
      <c r="V42" s="626">
        <v>0</v>
      </c>
      <c r="W42" s="626">
        <v>0</v>
      </c>
      <c r="X42" s="626">
        <v>0</v>
      </c>
      <c r="Y42" s="626">
        <v>0</v>
      </c>
      <c r="Z42" s="626">
        <v>0</v>
      </c>
      <c r="AA42" s="627">
        <f t="shared" si="34"/>
        <v>0</v>
      </c>
      <c r="AB42" s="626">
        <v>55.56</v>
      </c>
      <c r="AC42" s="626">
        <v>0</v>
      </c>
      <c r="AD42" s="626">
        <v>0</v>
      </c>
      <c r="AE42" s="626">
        <v>0</v>
      </c>
      <c r="AF42" s="626">
        <v>0</v>
      </c>
      <c r="AG42" s="626">
        <v>0</v>
      </c>
      <c r="AH42" s="626">
        <v>0</v>
      </c>
      <c r="AI42" s="627">
        <f t="shared" si="31"/>
        <v>0</v>
      </c>
      <c r="AJ42" s="627">
        <f t="shared" si="31"/>
        <v>0</v>
      </c>
      <c r="AK42" s="627">
        <f t="shared" si="31"/>
        <v>0</v>
      </c>
      <c r="AL42" s="627">
        <f t="shared" si="31"/>
        <v>0</v>
      </c>
      <c r="AM42" s="627">
        <f t="shared" si="31"/>
        <v>0</v>
      </c>
      <c r="AN42" s="628">
        <f t="shared" si="31"/>
        <v>0</v>
      </c>
    </row>
    <row r="43" spans="1:40">
      <c r="B43" s="614" t="s">
        <v>530</v>
      </c>
      <c r="C43" s="615" t="s">
        <v>525</v>
      </c>
      <c r="D43" s="620">
        <v>16.63</v>
      </c>
      <c r="E43" s="621">
        <v>75.989999999999995</v>
      </c>
      <c r="F43" s="621">
        <v>17.14</v>
      </c>
      <c r="G43" s="622">
        <f t="shared" si="32"/>
        <v>19.884970393775291</v>
      </c>
      <c r="H43" s="621">
        <v>45.82</v>
      </c>
      <c r="I43" s="621">
        <v>3.7900000000000005</v>
      </c>
      <c r="J43" s="621">
        <v>167.31</v>
      </c>
      <c r="K43" s="621">
        <v>10.63</v>
      </c>
      <c r="L43" s="621">
        <v>0.11</v>
      </c>
      <c r="M43" s="621">
        <v>292.48</v>
      </c>
      <c r="N43" s="621">
        <v>3.58</v>
      </c>
      <c r="O43" s="621">
        <v>863.48</v>
      </c>
      <c r="P43" s="621">
        <v>117.04999999999998</v>
      </c>
      <c r="Q43" s="621">
        <v>107.5</v>
      </c>
      <c r="R43" s="621">
        <v>4.2</v>
      </c>
      <c r="S43" s="621">
        <v>5.39</v>
      </c>
      <c r="T43" s="622">
        <f t="shared" si="33"/>
        <v>0.18851251875830269</v>
      </c>
      <c r="U43" s="621">
        <v>628.41</v>
      </c>
      <c r="V43" s="621">
        <v>0.17</v>
      </c>
      <c r="W43" s="621">
        <v>10.95</v>
      </c>
      <c r="X43" s="621">
        <v>0.02</v>
      </c>
      <c r="Y43" s="621">
        <v>11.86</v>
      </c>
      <c r="Z43" s="621">
        <v>79.81</v>
      </c>
      <c r="AA43" s="622">
        <f t="shared" si="34"/>
        <v>8.0678171679353277</v>
      </c>
      <c r="AB43" s="621">
        <v>7.15</v>
      </c>
      <c r="AC43" s="621">
        <v>32.659999999999997</v>
      </c>
      <c r="AD43" s="621">
        <v>7.26</v>
      </c>
      <c r="AE43" s="621">
        <v>11.22</v>
      </c>
      <c r="AF43" s="621">
        <v>7.05</v>
      </c>
      <c r="AG43" s="621">
        <v>3.94</v>
      </c>
      <c r="AH43" s="621">
        <v>55.06</v>
      </c>
      <c r="AI43" s="622">
        <f t="shared" si="31"/>
        <v>18.296612636251975</v>
      </c>
      <c r="AJ43" s="622">
        <f t="shared" si="31"/>
        <v>85.213783172765105</v>
      </c>
      <c r="AK43" s="622">
        <f t="shared" si="31"/>
        <v>9.1404947040368381</v>
      </c>
      <c r="AL43" s="622">
        <f t="shared" si="31"/>
        <v>59.990049104985175</v>
      </c>
      <c r="AM43" s="622">
        <f t="shared" si="31"/>
        <v>274.52824948652585</v>
      </c>
      <c r="AN43" s="623">
        <f t="shared" si="31"/>
        <v>42.035022821922595</v>
      </c>
    </row>
    <row r="44" spans="1:40">
      <c r="B44" s="612"/>
      <c r="C44" s="613" t="s">
        <v>510</v>
      </c>
      <c r="D44" s="625">
        <v>16.63</v>
      </c>
      <c r="E44" s="626">
        <v>75.989999999999995</v>
      </c>
      <c r="F44" s="626">
        <v>17.14</v>
      </c>
      <c r="G44" s="627">
        <f t="shared" si="32"/>
        <v>19.884970393775291</v>
      </c>
      <c r="H44" s="626">
        <v>45.82</v>
      </c>
      <c r="I44" s="626">
        <v>3.7900000000000005</v>
      </c>
      <c r="J44" s="626">
        <v>167.31</v>
      </c>
      <c r="K44" s="626">
        <v>10.63</v>
      </c>
      <c r="L44" s="626">
        <v>0.11</v>
      </c>
      <c r="M44" s="626">
        <v>292.48</v>
      </c>
      <c r="N44" s="626">
        <v>3.58</v>
      </c>
      <c r="O44" s="626">
        <v>863.48</v>
      </c>
      <c r="P44" s="626">
        <v>117.04999999999998</v>
      </c>
      <c r="Q44" s="626">
        <v>107.5</v>
      </c>
      <c r="R44" s="626">
        <v>4.2</v>
      </c>
      <c r="S44" s="626">
        <v>5.39</v>
      </c>
      <c r="T44" s="627">
        <f t="shared" si="33"/>
        <v>0.18851251875830269</v>
      </c>
      <c r="U44" s="626">
        <v>628.41</v>
      </c>
      <c r="V44" s="626">
        <v>0.17</v>
      </c>
      <c r="W44" s="626">
        <v>10.95</v>
      </c>
      <c r="X44" s="626">
        <v>0.02</v>
      </c>
      <c r="Y44" s="626">
        <v>11.86</v>
      </c>
      <c r="Z44" s="626">
        <v>79.81</v>
      </c>
      <c r="AA44" s="627">
        <f t="shared" si="34"/>
        <v>8.0678171679353277</v>
      </c>
      <c r="AB44" s="626">
        <v>7.15</v>
      </c>
      <c r="AC44" s="626">
        <v>32.659999999999997</v>
      </c>
      <c r="AD44" s="626">
        <v>7.26</v>
      </c>
      <c r="AE44" s="626">
        <v>11.22</v>
      </c>
      <c r="AF44" s="626">
        <v>7.05</v>
      </c>
      <c r="AG44" s="626">
        <v>3.94</v>
      </c>
      <c r="AH44" s="626">
        <v>55.06</v>
      </c>
      <c r="AI44" s="627">
        <f t="shared" si="31"/>
        <v>18.296612636251975</v>
      </c>
      <c r="AJ44" s="627">
        <f t="shared" si="31"/>
        <v>85.213783172765105</v>
      </c>
      <c r="AK44" s="627">
        <f t="shared" si="31"/>
        <v>9.1404947040368381</v>
      </c>
      <c r="AL44" s="627">
        <f t="shared" si="31"/>
        <v>59.990049104985175</v>
      </c>
      <c r="AM44" s="627">
        <f t="shared" si="31"/>
        <v>274.52824948652585</v>
      </c>
      <c r="AN44" s="628">
        <f t="shared" si="31"/>
        <v>42.035022821922595</v>
      </c>
    </row>
    <row r="45" spans="1:40">
      <c r="A45" s="764"/>
      <c r="B45" s="614" t="s">
        <v>531</v>
      </c>
      <c r="C45" s="615" t="s">
        <v>525</v>
      </c>
      <c r="D45" s="621">
        <f t="shared" ref="D45" si="35">SUM(D46:D54)</f>
        <v>2947.4320072817445</v>
      </c>
      <c r="E45" s="621">
        <f t="shared" ref="E45" si="36">SUM(E46:E54)</f>
        <v>4318.669772141322</v>
      </c>
      <c r="F45" s="621">
        <f t="shared" ref="F45" si="37">SUM(F46:F54)</f>
        <v>656.19885084923362</v>
      </c>
      <c r="G45" s="622">
        <f t="shared" si="32"/>
        <v>3215.7626562230439</v>
      </c>
      <c r="H45" s="621">
        <f t="shared" ref="H45" si="38">SUM(H46:H54)</f>
        <v>75.089646973648414</v>
      </c>
      <c r="I45" s="621">
        <f t="shared" ref="I45" si="39">SUM(I46:I54)</f>
        <v>3292.9226230808054</v>
      </c>
      <c r="J45" s="621">
        <f t="shared" ref="J45" si="40">SUM(J46:J54)</f>
        <v>31488.399387027992</v>
      </c>
      <c r="K45" s="621">
        <f t="shared" ref="K45" si="41">SUM(K46:K54)</f>
        <v>2625.9554983238968</v>
      </c>
      <c r="L45" s="621">
        <f t="shared" ref="L45" si="42">SUM(L46:L54)</f>
        <v>457.5839938211833</v>
      </c>
      <c r="M45" s="621">
        <f t="shared" ref="M45" si="43">SUM(M46:M54)</f>
        <v>5099.3258203687155</v>
      </c>
      <c r="N45" s="621">
        <f t="shared" ref="N45" si="44">SUM(N46:N54)</f>
        <v>3526.845131722554</v>
      </c>
      <c r="O45" s="621">
        <f t="shared" ref="O45" si="45">SUM(O46:O54)</f>
        <v>18962.476666511709</v>
      </c>
      <c r="P45" s="621">
        <f t="shared" ref="P45" si="46">SUM(P46:P54)</f>
        <v>1526.1540191583608</v>
      </c>
      <c r="Q45" s="621">
        <f t="shared" ref="Q45" si="47">SUM(Q46:Q54)</f>
        <v>991.11403133420458</v>
      </c>
      <c r="R45" s="621">
        <f t="shared" ref="R45" si="48">SUM(R46:R54)</f>
        <v>2889.7325033247776</v>
      </c>
      <c r="S45" s="621">
        <f t="shared" ref="S45" si="49">SUM(S46:S54)</f>
        <v>1380.0255459833945</v>
      </c>
      <c r="T45" s="622">
        <f t="shared" si="33"/>
        <v>289.89705914150176</v>
      </c>
      <c r="U45" s="793">
        <f t="shared" ref="U45" si="50">SUM(U46:U54)</f>
        <v>13684.091282578012</v>
      </c>
      <c r="V45" s="621">
        <f t="shared" ref="V45" si="51">SUM(V46:V54)</f>
        <v>670.20604419479105</v>
      </c>
      <c r="W45" s="621">
        <f t="shared" ref="W45" si="52">SUM(W46:W54)</f>
        <v>259.50346169152385</v>
      </c>
      <c r="X45" s="621">
        <f t="shared" ref="X45" si="53">SUM(X46:X54)</f>
        <v>620.88115200203367</v>
      </c>
      <c r="Y45" s="621">
        <f t="shared" ref="Y45" si="54">SUM(Y46:Y54)</f>
        <v>6.818448480938935</v>
      </c>
      <c r="Z45" s="621">
        <f t="shared" ref="Z45" si="55">SUM(Z46:Z54)</f>
        <v>5796.5904219035583</v>
      </c>
      <c r="AA45" s="622">
        <f t="shared" si="34"/>
        <v>1344.9701485844107</v>
      </c>
      <c r="AB45" s="621">
        <f t="shared" ref="AB45" si="56">SUM(AB46:AB54)</f>
        <v>9255.8685151764457</v>
      </c>
      <c r="AC45" s="621">
        <f t="shared" ref="AC45" si="57">SUM(AC46:AC54)</f>
        <v>312.52752008969378</v>
      </c>
      <c r="AD45" s="621">
        <f t="shared" ref="AD45" si="58">SUM(AD46:AD54)</f>
        <v>3073.8911475605946</v>
      </c>
      <c r="AE45" s="621">
        <f>SUM(AE46:AE54)</f>
        <v>4501.5785864529053</v>
      </c>
      <c r="AF45" s="621">
        <f t="shared" ref="AF45:AH45" si="59">SUM(AF46:AF54)</f>
        <v>518.95293670790034</v>
      </c>
      <c r="AG45" s="621">
        <f t="shared" si="59"/>
        <v>994.09703790801029</v>
      </c>
      <c r="AH45" s="621">
        <f t="shared" si="59"/>
        <v>21357.220890586952</v>
      </c>
      <c r="AI45" s="622">
        <f t="shared" si="31"/>
        <v>86.393449180161227</v>
      </c>
      <c r="AJ45" s="622">
        <f t="shared" si="31"/>
        <v>227.36115492741183</v>
      </c>
      <c r="AK45" s="622">
        <f t="shared" si="31"/>
        <v>103.99112880990549</v>
      </c>
      <c r="AL45" s="622">
        <f t="shared" si="31"/>
        <v>126.58061079529968</v>
      </c>
      <c r="AM45" s="622">
        <f t="shared" si="31"/>
        <v>952.563546204006</v>
      </c>
      <c r="AN45" s="623">
        <f t="shared" si="31"/>
        <v>129.33347407625615</v>
      </c>
    </row>
    <row r="46" spans="1:40">
      <c r="A46" s="764"/>
      <c r="B46" s="610"/>
      <c r="C46" s="611" t="s">
        <v>526</v>
      </c>
      <c r="D46" s="488">
        <f>'IDEES okt 2017'!C69</f>
        <v>782.73617453182328</v>
      </c>
      <c r="E46" s="488">
        <f>'IDEES okt 2017'!D69</f>
        <v>255.8872485120321</v>
      </c>
      <c r="F46" s="488">
        <f>'IDEES okt 2017'!E69</f>
        <v>297.92080328910714</v>
      </c>
      <c r="G46" s="209">
        <f t="shared" si="32"/>
        <v>282.75221342599968</v>
      </c>
      <c r="H46" s="488">
        <f>'IDEES okt 2017'!G69</f>
        <v>2.1209621236444742</v>
      </c>
      <c r="I46" s="488">
        <f>'IDEES okt 2017'!H69</f>
        <v>702.75220759104047</v>
      </c>
      <c r="J46" s="488">
        <f>'IDEES okt 2017'!I69</f>
        <v>3415.1707633585797</v>
      </c>
      <c r="K46" s="488">
        <f>'IDEES okt 2017'!J69</f>
        <v>480.88139669316735</v>
      </c>
      <c r="L46" s="488">
        <f>'IDEES okt 2017'!K69</f>
        <v>183.62510593789898</v>
      </c>
      <c r="M46" s="488">
        <f>'IDEES okt 2017'!L69</f>
        <v>1011.6529592760795</v>
      </c>
      <c r="N46" s="488">
        <f>'IDEES okt 2017'!M69</f>
        <v>758.85074407626189</v>
      </c>
      <c r="O46" s="488">
        <f>'IDEES okt 2017'!N69</f>
        <v>3716.0512362849377</v>
      </c>
      <c r="P46" s="488">
        <f>'IDEES okt 2017'!O69</f>
        <v>265.24085523996604</v>
      </c>
      <c r="Q46" s="488">
        <f>'IDEES okt 2017'!P69</f>
        <v>527.26691516637266</v>
      </c>
      <c r="R46" s="488">
        <f>'IDEES okt 2017'!Q69</f>
        <v>732.76129583256363</v>
      </c>
      <c r="S46" s="488">
        <f>'IDEES okt 2017'!R69</f>
        <v>12.537058485144174</v>
      </c>
      <c r="T46" s="209">
        <f t="shared" si="33"/>
        <v>0</v>
      </c>
      <c r="U46" s="792">
        <f>'IDEES okt 2017'!T69</f>
        <v>3399.809572639097</v>
      </c>
      <c r="V46" s="488">
        <f>'IDEES okt 2017'!U69</f>
        <v>233.76116699700637</v>
      </c>
      <c r="W46" s="488">
        <f>'IDEES okt 2017'!V69</f>
        <v>8.9664005030604184</v>
      </c>
      <c r="X46" s="488">
        <f>'IDEES okt 2017'!W69</f>
        <v>254.5361295593116</v>
      </c>
      <c r="Y46" s="488">
        <f>'IDEES okt 2017'!X69</f>
        <v>0.50216800058811939</v>
      </c>
      <c r="Z46" s="488">
        <f>'IDEES okt 2017'!Y69</f>
        <v>199.36247953782703</v>
      </c>
      <c r="AA46" s="209">
        <f t="shared" si="34"/>
        <v>379.03125400654312</v>
      </c>
      <c r="AB46" s="488">
        <f>'IDEES okt 2017'!AA69</f>
        <v>1153.9686781889097</v>
      </c>
      <c r="AC46" s="488">
        <f>'IDEES okt 2017'!AB69</f>
        <v>205.14031923693054</v>
      </c>
      <c r="AD46" s="488">
        <f>'IDEES okt 2017'!AC69</f>
        <v>1322.5866714256695</v>
      </c>
      <c r="AE46" s="488">
        <f>'IDEES okt 2017'!AD69</f>
        <v>274.2182724929491</v>
      </c>
      <c r="AF46" s="488">
        <f>'IDEES okt 2017'!AE69</f>
        <v>229.59964844346209</v>
      </c>
      <c r="AG46" s="488">
        <f>'IDEES okt 2017'!AF69</f>
        <v>18.674748676127766</v>
      </c>
      <c r="AH46" s="488">
        <f>'IDEES okt 2017'!AG69</f>
        <v>555.50256302786659</v>
      </c>
      <c r="AI46" s="209">
        <f t="shared" si="31"/>
        <v>79.879639933179547</v>
      </c>
      <c r="AJ46" s="209">
        <f t="shared" si="31"/>
        <v>85.403551339814001</v>
      </c>
      <c r="AK46" s="209">
        <f t="shared" si="31"/>
        <v>101.84910805078756</v>
      </c>
      <c r="AL46" s="209">
        <f t="shared" si="31"/>
        <v>85.266745520746909</v>
      </c>
      <c r="AM46" s="209">
        <f t="shared" si="31"/>
        <v>468.85152518920933</v>
      </c>
      <c r="AN46" s="210">
        <f t="shared" si="31"/>
        <v>105.68393566763424</v>
      </c>
    </row>
    <row r="47" spans="1:40">
      <c r="A47" s="764"/>
      <c r="B47" s="610"/>
      <c r="C47" s="611" t="s">
        <v>532</v>
      </c>
      <c r="D47" s="488">
        <f>'IDEES okt 2017'!C71</f>
        <v>434.13663977662617</v>
      </c>
      <c r="E47" s="488">
        <f>'IDEES okt 2017'!D71</f>
        <v>7.6642610050208884</v>
      </c>
      <c r="F47" s="488">
        <f>'IDEES okt 2017'!E71</f>
        <v>186.69483415894518</v>
      </c>
      <c r="G47" s="209">
        <f t="shared" si="32"/>
        <v>131.34295357377758</v>
      </c>
      <c r="H47" s="488">
        <f>'IDEES okt 2017'!G71</f>
        <v>0</v>
      </c>
      <c r="I47" s="488">
        <f>'IDEES okt 2017'!H71</f>
        <v>788.69379694090344</v>
      </c>
      <c r="J47" s="488">
        <f>'IDEES okt 2017'!I71</f>
        <v>3561.3411025437822</v>
      </c>
      <c r="K47" s="488">
        <f>'IDEES okt 2017'!J71</f>
        <v>1371.0745257960987</v>
      </c>
      <c r="L47" s="488">
        <f>'IDEES okt 2017'!K71</f>
        <v>230.58003214952763</v>
      </c>
      <c r="M47" s="488">
        <f>'IDEES okt 2017'!L71</f>
        <v>0</v>
      </c>
      <c r="N47" s="488">
        <f>'IDEES okt 2017'!M71</f>
        <v>1330.419651873294</v>
      </c>
      <c r="O47" s="488">
        <f>'IDEES okt 2017'!N71</f>
        <v>1292.2283435064016</v>
      </c>
      <c r="P47" s="488">
        <f>'IDEES okt 2017'!O71</f>
        <v>28.785867423142335</v>
      </c>
      <c r="Q47" s="488">
        <f>'IDEES okt 2017'!P71</f>
        <v>94.493821010576809</v>
      </c>
      <c r="R47" s="488">
        <f>'IDEES okt 2017'!Q71</f>
        <v>356.80541443336978</v>
      </c>
      <c r="S47" s="488">
        <f>'IDEES okt 2017'!R71</f>
        <v>0</v>
      </c>
      <c r="T47" s="209">
        <f t="shared" si="33"/>
        <v>124.06044710748414</v>
      </c>
      <c r="U47" s="488">
        <f>'IDEES okt 2017'!T71</f>
        <v>81.415395466961854</v>
      </c>
      <c r="V47" s="488">
        <f>'IDEES okt 2017'!U71</f>
        <v>325.76405406310994</v>
      </c>
      <c r="W47" s="488">
        <f>'IDEES okt 2017'!V71</f>
        <v>0</v>
      </c>
      <c r="X47" s="488">
        <f>'IDEES okt 2017'!W71</f>
        <v>271.65539687448279</v>
      </c>
      <c r="Y47" s="488">
        <f>'IDEES okt 2017'!X71</f>
        <v>0</v>
      </c>
      <c r="Z47" s="488">
        <f>'IDEES okt 2017'!Y71</f>
        <v>211.73143610449645</v>
      </c>
      <c r="AA47" s="209">
        <f t="shared" si="34"/>
        <v>71.220224306812284</v>
      </c>
      <c r="AB47" s="488">
        <f>'IDEES okt 2017'!AA71</f>
        <v>3011.2603507534268</v>
      </c>
      <c r="AC47" s="488">
        <f>'IDEES okt 2017'!AB71</f>
        <v>0.45741018682296664</v>
      </c>
      <c r="AD47" s="488">
        <f>'IDEES okt 2017'!AC71</f>
        <v>674.92380921068309</v>
      </c>
      <c r="AE47" s="488">
        <f>'IDEES okt 2017'!AD71</f>
        <v>2151.319430285389</v>
      </c>
      <c r="AF47" s="488">
        <f>'IDEES okt 2017'!AE71</f>
        <v>64.91577099543828</v>
      </c>
      <c r="AG47" s="488">
        <f>'IDEES okt 2017'!AF71</f>
        <v>293.34891964534279</v>
      </c>
      <c r="AH47" s="488">
        <f>'IDEES okt 2017'!AG71</f>
        <v>34.064539755666637</v>
      </c>
      <c r="AI47" s="209">
        <f t="shared" si="31"/>
        <v>0</v>
      </c>
      <c r="AJ47" s="209">
        <f t="shared" si="31"/>
        <v>61.141056024951972</v>
      </c>
      <c r="AK47" s="209">
        <f t="shared" si="31"/>
        <v>0</v>
      </c>
      <c r="AL47" s="209">
        <f t="shared" si="31"/>
        <v>21.37980999506933</v>
      </c>
      <c r="AM47" s="209">
        <f t="shared" si="31"/>
        <v>242.10536755443161</v>
      </c>
      <c r="AN47" s="210">
        <f t="shared" si="31"/>
        <v>2.215794719669486</v>
      </c>
    </row>
    <row r="48" spans="1:40">
      <c r="A48" s="764"/>
      <c r="B48" s="610"/>
      <c r="C48" s="611" t="s">
        <v>959</v>
      </c>
      <c r="D48" s="488">
        <f>'IDEES okt 2017'!C72</f>
        <v>97.016280526086533</v>
      </c>
      <c r="E48" s="488">
        <f>'IDEES okt 2017'!D72</f>
        <v>43.723216015694661</v>
      </c>
      <c r="F48" s="488">
        <f>'IDEES okt 2017'!E72</f>
        <v>14.957236380277134</v>
      </c>
      <c r="G48" s="209">
        <f t="shared" si="32"/>
        <v>0</v>
      </c>
      <c r="H48" s="488">
        <f>'IDEES okt 2017'!G72</f>
        <v>14.827432456105443</v>
      </c>
      <c r="I48" s="488">
        <f>'IDEES okt 2017'!H72</f>
        <v>21.219542922509099</v>
      </c>
      <c r="J48" s="488">
        <f>'IDEES okt 2017'!I72</f>
        <v>285.5055306561319</v>
      </c>
      <c r="K48" s="488">
        <f>'IDEES okt 2017'!J72</f>
        <v>74.70302365533361</v>
      </c>
      <c r="L48" s="488">
        <f>'IDEES okt 2017'!K72</f>
        <v>0</v>
      </c>
      <c r="M48" s="488">
        <f>'IDEES okt 2017'!L72</f>
        <v>336.32908157627202</v>
      </c>
      <c r="N48" s="488">
        <f>'IDEES okt 2017'!M72</f>
        <v>670.46067396993703</v>
      </c>
      <c r="O48" s="488">
        <f>'IDEES okt 2017'!N72</f>
        <v>504.6814706302128</v>
      </c>
      <c r="P48" s="488">
        <f>'IDEES okt 2017'!O72</f>
        <v>33.635400814357773</v>
      </c>
      <c r="Q48" s="488">
        <f>'IDEES okt 2017'!P72</f>
        <v>9.3360470268441258</v>
      </c>
      <c r="R48" s="488">
        <f>'IDEES okt 2017'!Q72</f>
        <v>1.8687648285652372</v>
      </c>
      <c r="S48" s="488">
        <f>'IDEES okt 2017'!R72</f>
        <v>7.175540750545057</v>
      </c>
      <c r="T48" s="209">
        <f t="shared" si="33"/>
        <v>0</v>
      </c>
      <c r="U48" s="488">
        <f>'IDEES okt 2017'!T72</f>
        <v>57.818076080929337</v>
      </c>
      <c r="V48" s="488">
        <f>'IDEES okt 2017'!U72</f>
        <v>0</v>
      </c>
      <c r="W48" s="488">
        <f>'IDEES okt 2017'!V72</f>
        <v>2.8778269444275217</v>
      </c>
      <c r="X48" s="488">
        <f>'IDEES okt 2017'!W72</f>
        <v>0</v>
      </c>
      <c r="Y48" s="488">
        <f>'IDEES okt 2017'!X72</f>
        <v>0.87195228805457203</v>
      </c>
      <c r="Z48" s="488">
        <f>'IDEES okt 2017'!Y72</f>
        <v>59.274196317418657</v>
      </c>
      <c r="AA48" s="209">
        <f t="shared" si="34"/>
        <v>0</v>
      </c>
      <c r="AB48" s="488">
        <f>'IDEES okt 2017'!AA72</f>
        <v>12.913400198865542</v>
      </c>
      <c r="AC48" s="488">
        <f>'IDEES okt 2017'!AB72</f>
        <v>2.568232962475181</v>
      </c>
      <c r="AD48" s="488">
        <f>'IDEES okt 2017'!AC72</f>
        <v>3.7441634225702871</v>
      </c>
      <c r="AE48" s="488">
        <f>'IDEES okt 2017'!AD72</f>
        <v>1011.067153422093</v>
      </c>
      <c r="AF48" s="488">
        <f>'IDEES okt 2017'!AE72</f>
        <v>5.3848002025077575</v>
      </c>
      <c r="AG48" s="488">
        <f>'IDEES okt 2017'!AF72</f>
        <v>3.1765069679814046</v>
      </c>
      <c r="AH48" s="488">
        <f>'IDEES okt 2017'!AG72</f>
        <v>163.24072791190974</v>
      </c>
      <c r="AI48" s="209">
        <f t="shared" si="31"/>
        <v>0</v>
      </c>
      <c r="AJ48" s="209">
        <f t="shared" si="31"/>
        <v>0</v>
      </c>
      <c r="AK48" s="209">
        <f t="shared" si="31"/>
        <v>0</v>
      </c>
      <c r="AL48" s="209">
        <f t="shared" si="31"/>
        <v>0</v>
      </c>
      <c r="AM48" s="209">
        <f t="shared" si="31"/>
        <v>0</v>
      </c>
      <c r="AN48" s="210">
        <f t="shared" si="31"/>
        <v>0</v>
      </c>
    </row>
    <row r="49" spans="1:40">
      <c r="A49" s="764"/>
      <c r="B49" s="610"/>
      <c r="C49" s="611" t="s">
        <v>510</v>
      </c>
      <c r="D49" s="488">
        <f>'IDEES okt 2017'!C73</f>
        <v>247.1517412901454</v>
      </c>
      <c r="E49" s="488">
        <f>'IDEES okt 2017'!D73</f>
        <v>190.01188077167959</v>
      </c>
      <c r="F49" s="488">
        <f>'IDEES okt 2017'!E73</f>
        <v>56.523192555649892</v>
      </c>
      <c r="G49" s="209">
        <f t="shared" ref="G49:G63" si="60">G114/(41.868/1000)</f>
        <v>196.32675267842779</v>
      </c>
      <c r="H49" s="488">
        <f>'IDEES okt 2017'!G73</f>
        <v>10.122299240775586</v>
      </c>
      <c r="I49" s="488">
        <f>'IDEES okt 2017'!H73</f>
        <v>181.4768803381084</v>
      </c>
      <c r="J49" s="488">
        <f>'IDEES okt 2017'!I73</f>
        <v>1652.1476198582429</v>
      </c>
      <c r="K49" s="488">
        <f>'IDEES okt 2017'!J73</f>
        <v>23.15664260947489</v>
      </c>
      <c r="L49" s="488">
        <f>'IDEES okt 2017'!K73</f>
        <v>9.7105130875292716</v>
      </c>
      <c r="M49" s="488">
        <f>'IDEES okt 2017'!L73</f>
        <v>864.57332433841225</v>
      </c>
      <c r="N49" s="488">
        <f>'IDEES okt 2017'!M73</f>
        <v>355.25127950865533</v>
      </c>
      <c r="O49" s="488">
        <f>'IDEES okt 2017'!N73</f>
        <v>2333.8004113498405</v>
      </c>
      <c r="P49" s="488">
        <f>'IDEES okt 2017'!O73</f>
        <v>28.072915222975684</v>
      </c>
      <c r="Q49" s="488">
        <f>'IDEES okt 2017'!P73</f>
        <v>5.3721290755377087</v>
      </c>
      <c r="R49" s="488">
        <f>'IDEES okt 2017'!Q73</f>
        <v>122.86010461582589</v>
      </c>
      <c r="S49" s="488">
        <f>'IDEES okt 2017'!R73</f>
        <v>86.502828485778394</v>
      </c>
      <c r="T49" s="209">
        <f t="shared" ref="T49:T63" si="61">T114/(41.868/1000)</f>
        <v>18.345921486213047</v>
      </c>
      <c r="U49" s="488">
        <f>'IDEES okt 2017'!T73</f>
        <v>48.004062274201353</v>
      </c>
      <c r="V49" s="488">
        <f>'IDEES okt 2017'!U73</f>
        <v>2.2968176715920738</v>
      </c>
      <c r="W49" s="488">
        <f>'IDEES okt 2017'!V73</f>
        <v>5.1288138762494802</v>
      </c>
      <c r="X49" s="488">
        <f>'IDEES okt 2017'!W73</f>
        <v>3.2383780854343414</v>
      </c>
      <c r="Y49" s="488">
        <f>'IDEES okt 2017'!X73</f>
        <v>2.6118513869556272</v>
      </c>
      <c r="Z49" s="488">
        <f>'IDEES okt 2017'!Y73</f>
        <v>93.286247913454901</v>
      </c>
      <c r="AA49" s="209">
        <f t="shared" ref="AA49:AA63" si="62">AA114/(41.868/1000)</f>
        <v>785.1549663809493</v>
      </c>
      <c r="AB49" s="488">
        <f>'IDEES okt 2017'!AA73</f>
        <v>45.747740774377164</v>
      </c>
      <c r="AC49" s="488">
        <f>'IDEES okt 2017'!AB73</f>
        <v>11.921780937364769</v>
      </c>
      <c r="AD49" s="488">
        <f>'IDEES okt 2017'!AC73</f>
        <v>48.793460249615748</v>
      </c>
      <c r="AE49" s="488">
        <f>'IDEES okt 2017'!AD73</f>
        <v>948.07647821445823</v>
      </c>
      <c r="AF49" s="488">
        <f>'IDEES okt 2017'!AE73</f>
        <v>18.005792451292102</v>
      </c>
      <c r="AG49" s="488">
        <f>'IDEES okt 2017'!AF73</f>
        <v>38.051872837889427</v>
      </c>
      <c r="AH49" s="488">
        <f>'IDEES okt 2017'!AG73</f>
        <v>2351.3550416716721</v>
      </c>
      <c r="AI49" s="209">
        <f t="shared" ref="AI49:AN53" si="63">AI114/(41.868/1000)</f>
        <v>4.3974081195593282</v>
      </c>
      <c r="AJ49" s="209">
        <f t="shared" si="63"/>
        <v>4.2668995846528022</v>
      </c>
      <c r="AK49" s="209">
        <f t="shared" si="63"/>
        <v>2.1420207591179272</v>
      </c>
      <c r="AL49" s="209">
        <f t="shared" si="63"/>
        <v>3.0807318565928217</v>
      </c>
      <c r="AM49" s="209">
        <f t="shared" si="63"/>
        <v>13.746420239723614</v>
      </c>
      <c r="AN49" s="210">
        <f t="shared" si="63"/>
        <v>2.1048146760025199</v>
      </c>
    </row>
    <row r="50" spans="1:40">
      <c r="A50" s="764"/>
      <c r="B50" s="610"/>
      <c r="C50" s="611" t="s">
        <v>527</v>
      </c>
      <c r="D50" s="488">
        <f>'IDEES okt 2017'!C68</f>
        <v>652.04155859340915</v>
      </c>
      <c r="E50" s="488">
        <f>'IDEES okt 2017'!D68</f>
        <v>2124.5139870353642</v>
      </c>
      <c r="F50" s="488">
        <f>'IDEES okt 2017'!E68</f>
        <v>18.441381697804584</v>
      </c>
      <c r="G50" s="209">
        <f t="shared" si="60"/>
        <v>723.21621732291726</v>
      </c>
      <c r="H50" s="488">
        <f>'IDEES okt 2017'!G68</f>
        <v>0</v>
      </c>
      <c r="I50" s="488">
        <f>'IDEES okt 2017'!H68</f>
        <v>1170.0170628938733</v>
      </c>
      <c r="J50" s="488">
        <f>'IDEES okt 2017'!I68</f>
        <v>13845.142913632997</v>
      </c>
      <c r="K50" s="488">
        <f>'IDEES okt 2017'!J68</f>
        <v>418.94837013809519</v>
      </c>
      <c r="L50" s="488">
        <f>'IDEES okt 2017'!K68</f>
        <v>27.145342555012725</v>
      </c>
      <c r="M50" s="488">
        <f>'IDEES okt 2017'!L68</f>
        <v>1706.2910898927832</v>
      </c>
      <c r="N50" s="488">
        <f>'IDEES okt 2017'!M68</f>
        <v>26.752255188801865</v>
      </c>
      <c r="O50" s="488">
        <f>'IDEES okt 2017'!N68</f>
        <v>7162.5143731436174</v>
      </c>
      <c r="P50" s="488">
        <f>'IDEES okt 2017'!O68</f>
        <v>115.88426813045679</v>
      </c>
      <c r="Q50" s="488">
        <f>'IDEES okt 2017'!P68</f>
        <v>266.46475029606188</v>
      </c>
      <c r="R50" s="488">
        <f>'IDEES okt 2017'!Q68</f>
        <v>1584.2668913027715</v>
      </c>
      <c r="S50" s="488">
        <f>'IDEES okt 2017'!R68</f>
        <v>364.29754735951025</v>
      </c>
      <c r="T50" s="209">
        <f t="shared" si="61"/>
        <v>0</v>
      </c>
      <c r="U50" s="792">
        <f>'IDEES okt 2017'!T68</f>
        <v>8812.3476941642821</v>
      </c>
      <c r="V50" s="488">
        <f>'IDEES okt 2017'!U68</f>
        <v>75.149665787892445</v>
      </c>
      <c r="W50" s="488">
        <f>'IDEES okt 2017'!V68</f>
        <v>133.59437827335029</v>
      </c>
      <c r="X50" s="488">
        <f>'IDEES okt 2017'!W68</f>
        <v>63.627062033610578</v>
      </c>
      <c r="Y50" s="488">
        <f>'IDEES okt 2017'!X68</f>
        <v>0</v>
      </c>
      <c r="Z50" s="488">
        <f>'IDEES okt 2017'!Y68</f>
        <v>5223.6125552601034</v>
      </c>
      <c r="AA50" s="209">
        <f t="shared" si="62"/>
        <v>2.4142305340870598</v>
      </c>
      <c r="AB50" s="488">
        <f>'IDEES okt 2017'!AA68</f>
        <v>1769.8390714001221</v>
      </c>
      <c r="AC50" s="488">
        <f>'IDEES okt 2017'!AB68</f>
        <v>46.147232033056547</v>
      </c>
      <c r="AD50" s="488">
        <f>'IDEES okt 2017'!AC68</f>
        <v>997.01110877911538</v>
      </c>
      <c r="AE50" s="488">
        <f>'IDEES okt 2017'!AD68</f>
        <v>78.253026964228823</v>
      </c>
      <c r="AF50" s="488">
        <f>'IDEES okt 2017'!AE68</f>
        <v>53.778111352363538</v>
      </c>
      <c r="AG50" s="488">
        <f>'IDEES okt 2017'!AF68</f>
        <v>615.44819404638042</v>
      </c>
      <c r="AH50" s="488">
        <f>'IDEES okt 2017'!AG68</f>
        <v>16289.583652375684</v>
      </c>
      <c r="AI50" s="209">
        <f t="shared" si="63"/>
        <v>0</v>
      </c>
      <c r="AJ50" s="209">
        <f t="shared" si="63"/>
        <v>21.077574775224445</v>
      </c>
      <c r="AK50" s="209">
        <f t="shared" si="63"/>
        <v>0</v>
      </c>
      <c r="AL50" s="209">
        <f t="shared" si="63"/>
        <v>0</v>
      </c>
      <c r="AM50" s="209">
        <f t="shared" si="63"/>
        <v>105.17262872913912</v>
      </c>
      <c r="AN50" s="210">
        <f t="shared" si="63"/>
        <v>0</v>
      </c>
    </row>
    <row r="51" spans="1:40">
      <c r="A51" s="764"/>
      <c r="B51" s="610"/>
      <c r="C51" s="611" t="s">
        <v>533</v>
      </c>
      <c r="D51" s="488">
        <f>'IDEES okt 2017'!C67</f>
        <v>699.34048576643363</v>
      </c>
      <c r="E51" s="488">
        <f>'IDEES okt 2017'!D67</f>
        <v>1623.9610716535119</v>
      </c>
      <c r="F51" s="488">
        <f>'IDEES okt 2017'!E67</f>
        <v>1.215197202824625</v>
      </c>
      <c r="G51" s="209">
        <f t="shared" si="60"/>
        <v>1690.4966848699783</v>
      </c>
      <c r="H51" s="488">
        <f>'IDEES okt 2017'!G67</f>
        <v>41.160315075933575</v>
      </c>
      <c r="I51" s="488">
        <f>'IDEES okt 2017'!H67</f>
        <v>0</v>
      </c>
      <c r="J51" s="488">
        <f>'IDEES okt 2017'!I67</f>
        <v>8086.2047631435071</v>
      </c>
      <c r="K51" s="488">
        <f>'IDEES okt 2017'!J67</f>
        <v>254.44512402805401</v>
      </c>
      <c r="L51" s="488">
        <f>'IDEES okt 2017'!K67</f>
        <v>2.2652094798357045</v>
      </c>
      <c r="M51" s="488">
        <f>'IDEES okt 2017'!L67</f>
        <v>894.59372579631383</v>
      </c>
      <c r="N51" s="488">
        <f>'IDEES okt 2017'!M67</f>
        <v>380.52438188092424</v>
      </c>
      <c r="O51" s="488">
        <f>'IDEES okt 2017'!N67</f>
        <v>3653.1983609884551</v>
      </c>
      <c r="P51" s="488">
        <f>'IDEES okt 2017'!O67</f>
        <v>1054.3823131330621</v>
      </c>
      <c r="Q51" s="488">
        <f>'IDEES okt 2017'!P67</f>
        <v>75.657559963310121</v>
      </c>
      <c r="R51" s="488">
        <f>'IDEES okt 2017'!Q67</f>
        <v>0</v>
      </c>
      <c r="S51" s="488">
        <f>'IDEES okt 2017'!R67</f>
        <v>674.99206874095796</v>
      </c>
      <c r="T51" s="209">
        <f t="shared" si="61"/>
        <v>1.2023557813958279</v>
      </c>
      <c r="U51" s="488">
        <f>'IDEES okt 2017'!T67</f>
        <v>983.67196344564036</v>
      </c>
      <c r="V51" s="488">
        <f>'IDEES okt 2017'!U67</f>
        <v>4.0040451416000433</v>
      </c>
      <c r="W51" s="488">
        <f>'IDEES okt 2017'!V67</f>
        <v>108.67317048262582</v>
      </c>
      <c r="X51" s="488">
        <f>'IDEES okt 2017'!W67</f>
        <v>17.116397544830416</v>
      </c>
      <c r="Y51" s="488">
        <f>'IDEES okt 2017'!X67</f>
        <v>0</v>
      </c>
      <c r="Z51" s="488">
        <f>'IDEES okt 2017'!Y67</f>
        <v>8.2394522887391144</v>
      </c>
      <c r="AA51" s="209">
        <f t="shared" si="62"/>
        <v>107.14947335601889</v>
      </c>
      <c r="AB51" s="488">
        <f>'IDEES okt 2017'!AA67</f>
        <v>58.758193527999929</v>
      </c>
      <c r="AC51" s="488">
        <f>'IDEES okt 2017'!AB67</f>
        <v>28.179170555780843</v>
      </c>
      <c r="AD51" s="488">
        <f>'IDEES okt 2017'!AC67</f>
        <v>10.959961357674908</v>
      </c>
      <c r="AE51" s="488">
        <f>'IDEES okt 2017'!AD67</f>
        <v>38.644225073787958</v>
      </c>
      <c r="AF51" s="488">
        <f>'IDEES okt 2017'!AE67</f>
        <v>134.77682891252607</v>
      </c>
      <c r="AG51" s="488">
        <f>'IDEES okt 2017'!AF67</f>
        <v>0</v>
      </c>
      <c r="AH51" s="488">
        <f>'IDEES okt 2017'!AG67</f>
        <v>1550.3085116803179</v>
      </c>
      <c r="AI51" s="209">
        <f t="shared" si="63"/>
        <v>2.1164011274223324</v>
      </c>
      <c r="AJ51" s="209">
        <f t="shared" si="63"/>
        <v>0</v>
      </c>
      <c r="AK51" s="209">
        <f t="shared" si="63"/>
        <v>0</v>
      </c>
      <c r="AL51" s="209">
        <f t="shared" si="63"/>
        <v>16.853323422890629</v>
      </c>
      <c r="AM51" s="209">
        <f t="shared" si="63"/>
        <v>0.52885970373090929</v>
      </c>
      <c r="AN51" s="210">
        <f t="shared" si="63"/>
        <v>7.269777604717401</v>
      </c>
    </row>
    <row r="52" spans="1:40">
      <c r="A52" s="764"/>
      <c r="B52" s="610"/>
      <c r="C52" s="611" t="s">
        <v>534</v>
      </c>
      <c r="D52" s="488">
        <f>'IDEES okt 2017'!C70</f>
        <v>0</v>
      </c>
      <c r="E52" s="488">
        <f>'IDEES okt 2017'!D70</f>
        <v>0</v>
      </c>
      <c r="F52" s="488">
        <f>'IDEES okt 2017'!E70</f>
        <v>0</v>
      </c>
      <c r="G52" s="209">
        <f t="shared" si="60"/>
        <v>185.98100020889552</v>
      </c>
      <c r="H52" s="488">
        <f>'IDEES okt 2017'!G70</f>
        <v>0.555532013855913</v>
      </c>
      <c r="I52" s="488">
        <f>'IDEES okt 2017'!H70</f>
        <v>0</v>
      </c>
      <c r="J52" s="488">
        <f>'IDEES okt 2017'!I70</f>
        <v>12.665523023221233</v>
      </c>
      <c r="K52" s="488">
        <f>'IDEES okt 2017'!J70</f>
        <v>0</v>
      </c>
      <c r="L52" s="488">
        <f>'IDEES okt 2017'!K70</f>
        <v>0</v>
      </c>
      <c r="M52" s="488">
        <f>'IDEES okt 2017'!L70</f>
        <v>7.2870958360554079</v>
      </c>
      <c r="N52" s="488">
        <f>'IDEES okt 2017'!M70</f>
        <v>0</v>
      </c>
      <c r="O52" s="488">
        <f>'IDEES okt 2017'!N70</f>
        <v>12.057478789546566</v>
      </c>
      <c r="P52" s="488">
        <f>'IDEES okt 2017'!O70</f>
        <v>0.15239919439996943</v>
      </c>
      <c r="Q52" s="488">
        <f>'IDEES okt 2017'!P70</f>
        <v>0</v>
      </c>
      <c r="R52" s="488">
        <f>'IDEES okt 2017'!Q70</f>
        <v>0</v>
      </c>
      <c r="S52" s="488">
        <f>'IDEES okt 2017'!R70</f>
        <v>0</v>
      </c>
      <c r="T52" s="209">
        <f t="shared" si="61"/>
        <v>146.28833476640872</v>
      </c>
      <c r="U52" s="488">
        <f>'IDEES okt 2017'!T70</f>
        <v>1.0617003915736931</v>
      </c>
      <c r="V52" s="488">
        <f>'IDEES okt 2017'!U70</f>
        <v>0</v>
      </c>
      <c r="W52" s="488">
        <f>'IDEES okt 2017'!V70</f>
        <v>0</v>
      </c>
      <c r="X52" s="488">
        <f>'IDEES okt 2017'!W70</f>
        <v>0</v>
      </c>
      <c r="Y52" s="488">
        <f>'IDEES okt 2017'!X70</f>
        <v>0</v>
      </c>
      <c r="Z52" s="488">
        <f>'IDEES okt 2017'!Y70</f>
        <v>0</v>
      </c>
      <c r="AA52" s="209">
        <f t="shared" si="62"/>
        <v>0</v>
      </c>
      <c r="AB52" s="488">
        <f>'IDEES okt 2017'!AA70</f>
        <v>8.5334327296403742</v>
      </c>
      <c r="AC52" s="488">
        <f>'IDEES okt 2017'!AB70</f>
        <v>0</v>
      </c>
      <c r="AD52" s="488">
        <f>'IDEES okt 2017'!AC70</f>
        <v>11.140583464269845</v>
      </c>
      <c r="AE52" s="488">
        <f>'IDEES okt 2017'!AD70</f>
        <v>0</v>
      </c>
      <c r="AF52" s="488">
        <f>'IDEES okt 2017'!AE70</f>
        <v>7.035143851157768</v>
      </c>
      <c r="AG52" s="488">
        <f>'IDEES okt 2017'!AF70</f>
        <v>0</v>
      </c>
      <c r="AH52" s="488">
        <f>'IDEES okt 2017'!AG70</f>
        <v>0</v>
      </c>
      <c r="AI52" s="209">
        <f t="shared" si="63"/>
        <v>0</v>
      </c>
      <c r="AJ52" s="209">
        <f t="shared" si="63"/>
        <v>0</v>
      </c>
      <c r="AK52" s="209">
        <f t="shared" si="63"/>
        <v>0</v>
      </c>
      <c r="AL52" s="209">
        <f t="shared" si="63"/>
        <v>0</v>
      </c>
      <c r="AM52" s="209">
        <f t="shared" si="63"/>
        <v>0</v>
      </c>
      <c r="AN52" s="210">
        <f t="shared" si="63"/>
        <v>0</v>
      </c>
    </row>
    <row r="53" spans="1:40">
      <c r="A53" s="764"/>
      <c r="B53" s="610"/>
      <c r="C53" s="611" t="s">
        <v>528</v>
      </c>
      <c r="D53" s="488">
        <f>'IDEES okt 2017'!C66</f>
        <v>6.13106962059189</v>
      </c>
      <c r="E53" s="488">
        <f>'IDEES okt 2017'!D66</f>
        <v>9.2829421630014561</v>
      </c>
      <c r="F53" s="488">
        <f>'IDEES okt 2017'!E66</f>
        <v>2.0952333895794619</v>
      </c>
      <c r="G53" s="209">
        <f t="shared" si="60"/>
        <v>0</v>
      </c>
      <c r="H53" s="488">
        <f>'IDEES okt 2017'!G66</f>
        <v>6.3031060633334279</v>
      </c>
      <c r="I53" s="488">
        <f>'IDEES okt 2017'!H66</f>
        <v>0</v>
      </c>
      <c r="J53" s="488">
        <f>'IDEES okt 2017'!I66</f>
        <v>119.0376985806917</v>
      </c>
      <c r="K53" s="488">
        <f>'IDEES okt 2017'!J66</f>
        <v>2.7464154036728807</v>
      </c>
      <c r="L53" s="488">
        <f>'IDEES okt 2017'!K66</f>
        <v>0</v>
      </c>
      <c r="M53" s="488">
        <f>'IDEES okt 2017'!L66</f>
        <v>195.72844776527776</v>
      </c>
      <c r="N53" s="488">
        <f>'IDEES okt 2017'!M66</f>
        <v>0</v>
      </c>
      <c r="O53" s="488">
        <f>'IDEES okt 2017'!N66</f>
        <v>178.33842310535255</v>
      </c>
      <c r="P53" s="488">
        <f>'IDEES okt 2017'!O66</f>
        <v>0</v>
      </c>
      <c r="Q53" s="488">
        <f>'IDEES okt 2017'!P66</f>
        <v>9.6283598224832652</v>
      </c>
      <c r="R53" s="488">
        <f>'IDEES okt 2017'!Q66</f>
        <v>24.409295249285599</v>
      </c>
      <c r="S53" s="488">
        <f>'IDEES okt 2017'!R66</f>
        <v>14.916302210989784</v>
      </c>
      <c r="T53" s="209">
        <f t="shared" si="61"/>
        <v>0</v>
      </c>
      <c r="U53" s="488">
        <f>'IDEES okt 2017'!T66</f>
        <v>298.08867292165081</v>
      </c>
      <c r="V53" s="488">
        <f>'IDEES okt 2017'!U66</f>
        <v>0</v>
      </c>
      <c r="W53" s="488">
        <f>'IDEES okt 2017'!V66</f>
        <v>0</v>
      </c>
      <c r="X53" s="488">
        <f>'IDEES okt 2017'!W66</f>
        <v>0</v>
      </c>
      <c r="Y53" s="488">
        <f>'IDEES okt 2017'!X66</f>
        <v>2.8324768053406166</v>
      </c>
      <c r="Z53" s="488">
        <f>'IDEES okt 2017'!Y66</f>
        <v>0</v>
      </c>
      <c r="AA53" s="209">
        <f t="shared" si="62"/>
        <v>0</v>
      </c>
      <c r="AB53" s="488">
        <f>'IDEES okt 2017'!AA66</f>
        <v>0</v>
      </c>
      <c r="AC53" s="488">
        <f>'IDEES okt 2017'!AB66</f>
        <v>18.113374177263008</v>
      </c>
      <c r="AD53" s="488">
        <f>'IDEES okt 2017'!AC66</f>
        <v>0</v>
      </c>
      <c r="AE53" s="488">
        <f>'IDEES okt 2017'!AD66</f>
        <v>0</v>
      </c>
      <c r="AF53" s="488">
        <f>'IDEES okt 2017'!AE66</f>
        <v>4.7371628392232701</v>
      </c>
      <c r="AG53" s="488">
        <f>'IDEES okt 2017'!AF66</f>
        <v>0</v>
      </c>
      <c r="AH53" s="488">
        <f>'IDEES okt 2017'!AG66</f>
        <v>50.519273912684547</v>
      </c>
      <c r="AI53" s="209">
        <f t="shared" si="63"/>
        <v>0</v>
      </c>
      <c r="AJ53" s="209">
        <f t="shared" si="63"/>
        <v>0</v>
      </c>
      <c r="AK53" s="209">
        <f t="shared" si="63"/>
        <v>0</v>
      </c>
      <c r="AL53" s="209">
        <f t="shared" si="63"/>
        <v>0</v>
      </c>
      <c r="AM53" s="209">
        <f t="shared" si="63"/>
        <v>3.5157043156167225</v>
      </c>
      <c r="AN53" s="210">
        <f t="shared" si="63"/>
        <v>1.2664244206606834</v>
      </c>
    </row>
    <row r="54" spans="1:40">
      <c r="A54" s="764"/>
      <c r="B54" s="612"/>
      <c r="C54" s="613" t="s">
        <v>529</v>
      </c>
      <c r="D54" s="626">
        <f>'IDEES okt 2017'!C65</f>
        <v>28.878057176628463</v>
      </c>
      <c r="E54" s="626">
        <f>'IDEES okt 2017'!D65</f>
        <v>63.625164985016909</v>
      </c>
      <c r="F54" s="626">
        <f>'IDEES okt 2017'!E65</f>
        <v>78.350972175045641</v>
      </c>
      <c r="G54" s="627">
        <f t="shared" si="60"/>
        <v>5.646834143047851</v>
      </c>
      <c r="H54" s="626">
        <f>'IDEES okt 2017'!G65</f>
        <v>0</v>
      </c>
      <c r="I54" s="626">
        <f>'IDEES okt 2017'!H65</f>
        <v>428.76313239437064</v>
      </c>
      <c r="J54" s="626">
        <f>'IDEES okt 2017'!I65</f>
        <v>511.18347223084265</v>
      </c>
      <c r="K54" s="626">
        <f>'IDEES okt 2017'!J65</f>
        <v>0</v>
      </c>
      <c r="L54" s="626">
        <f>'IDEES okt 2017'!K65</f>
        <v>4.2577906113789705</v>
      </c>
      <c r="M54" s="626">
        <f>'IDEES okt 2017'!L65</f>
        <v>82.870095887521913</v>
      </c>
      <c r="N54" s="626">
        <f>'IDEES okt 2017'!M65</f>
        <v>4.5861452246793135</v>
      </c>
      <c r="O54" s="626">
        <f>'IDEES okt 2017'!N65</f>
        <v>109.6065687133454</v>
      </c>
      <c r="P54" s="626">
        <f>'IDEES okt 2017'!O65</f>
        <v>0</v>
      </c>
      <c r="Q54" s="626">
        <f>'IDEES okt 2017'!P65</f>
        <v>2.8944489730179934</v>
      </c>
      <c r="R54" s="626">
        <f>'IDEES okt 2017'!Q65</f>
        <v>66.760737062396004</v>
      </c>
      <c r="S54" s="626">
        <f>'IDEES okt 2017'!R65</f>
        <v>219.60419995046894</v>
      </c>
      <c r="T54" s="627">
        <f t="shared" si="61"/>
        <v>0</v>
      </c>
      <c r="U54" s="626">
        <f>'IDEES okt 2017'!T65</f>
        <v>1.8741451936748552</v>
      </c>
      <c r="V54" s="626">
        <f>'IDEES okt 2017'!U65</f>
        <v>29.230294533590179</v>
      </c>
      <c r="W54" s="626">
        <f>'IDEES okt 2017'!V65</f>
        <v>0.26287161181033303</v>
      </c>
      <c r="X54" s="626">
        <f>'IDEES okt 2017'!W65</f>
        <v>10.707787904363961</v>
      </c>
      <c r="Y54" s="626">
        <f>'IDEES okt 2017'!X65</f>
        <v>0</v>
      </c>
      <c r="Z54" s="626">
        <f>'IDEES okt 2017'!Y65</f>
        <v>1.0840544815189006</v>
      </c>
      <c r="AA54" s="627">
        <f t="shared" si="62"/>
        <v>0</v>
      </c>
      <c r="AB54" s="626">
        <f>'IDEES okt 2017'!AA65</f>
        <v>3194.8476476031051</v>
      </c>
      <c r="AC54" s="626">
        <f>'IDEES okt 2017'!AB65</f>
        <v>0</v>
      </c>
      <c r="AD54" s="626">
        <f>'IDEES okt 2017'!AC65</f>
        <v>4.7313896509965039</v>
      </c>
      <c r="AE54" s="626">
        <f>'IDEES okt 2017'!AD65</f>
        <v>0</v>
      </c>
      <c r="AF54" s="626">
        <f>'IDEES okt 2017'!AE65</f>
        <v>0.71967765992954724</v>
      </c>
      <c r="AG54" s="626">
        <f>'IDEES okt 2017'!AF65</f>
        <v>25.396795734288471</v>
      </c>
      <c r="AH54" s="626">
        <f>'IDEES okt 2017'!AG65</f>
        <v>362.64658025114778</v>
      </c>
      <c r="AI54" s="627">
        <f t="shared" ref="AI54:AN63" si="64">AI119/(41.868/1000)</f>
        <v>0</v>
      </c>
      <c r="AJ54" s="627">
        <f t="shared" si="64"/>
        <v>55.472073202768648</v>
      </c>
      <c r="AK54" s="627">
        <f t="shared" si="64"/>
        <v>0</v>
      </c>
      <c r="AL54" s="627">
        <f t="shared" si="64"/>
        <v>0</v>
      </c>
      <c r="AM54" s="627">
        <f t="shared" si="64"/>
        <v>118.64304047215487</v>
      </c>
      <c r="AN54" s="628">
        <f t="shared" si="64"/>
        <v>10.792726987571822</v>
      </c>
    </row>
    <row r="55" spans="1:40">
      <c r="B55" s="614" t="s">
        <v>535</v>
      </c>
      <c r="C55" s="615" t="s">
        <v>525</v>
      </c>
      <c r="D55" s="620">
        <v>596.51</v>
      </c>
      <c r="E55" s="621">
        <v>680.12</v>
      </c>
      <c r="F55" s="621">
        <v>242.95</v>
      </c>
      <c r="G55" s="622">
        <f t="shared" si="60"/>
        <v>530.47966825161404</v>
      </c>
      <c r="H55" s="621">
        <v>57.829999999999991</v>
      </c>
      <c r="I55" s="621">
        <v>466.32000000000005</v>
      </c>
      <c r="J55" s="621">
        <v>5515.27</v>
      </c>
      <c r="K55" s="621">
        <v>478.79</v>
      </c>
      <c r="L55" s="621">
        <v>87</v>
      </c>
      <c r="M55" s="621">
        <v>1964.0800000000002</v>
      </c>
      <c r="N55" s="621">
        <v>527.71</v>
      </c>
      <c r="O55" s="621">
        <v>3922.13</v>
      </c>
      <c r="P55" s="621">
        <v>493</v>
      </c>
      <c r="Q55" s="621">
        <v>163.62</v>
      </c>
      <c r="R55" s="621">
        <v>351.96</v>
      </c>
      <c r="S55" s="621">
        <v>318.38</v>
      </c>
      <c r="T55" s="622">
        <f t="shared" si="61"/>
        <v>29.652577581436375</v>
      </c>
      <c r="U55" s="621">
        <v>2902.21</v>
      </c>
      <c r="V55" s="621">
        <v>132.44</v>
      </c>
      <c r="W55" s="621">
        <v>28.18</v>
      </c>
      <c r="X55" s="621">
        <v>134.34</v>
      </c>
      <c r="Y55" s="621">
        <v>6.3100000000000005</v>
      </c>
      <c r="Z55" s="621">
        <v>1072.56</v>
      </c>
      <c r="AA55" s="622">
        <f t="shared" si="62"/>
        <v>516.59995638308396</v>
      </c>
      <c r="AB55" s="621">
        <v>1740.44</v>
      </c>
      <c r="AC55" s="621">
        <v>353.2</v>
      </c>
      <c r="AD55" s="621">
        <v>548.35</v>
      </c>
      <c r="AE55" s="621">
        <v>656.54</v>
      </c>
      <c r="AF55" s="621">
        <v>145</v>
      </c>
      <c r="AG55" s="621">
        <v>190.7</v>
      </c>
      <c r="AH55" s="621">
        <v>4181.3599999999997</v>
      </c>
      <c r="AI55" s="622">
        <f t="shared" si="64"/>
        <v>59.125591239622359</v>
      </c>
      <c r="AJ55" s="622">
        <f t="shared" si="64"/>
        <v>58.972456481837284</v>
      </c>
      <c r="AK55" s="622">
        <f t="shared" si="64"/>
        <v>21.070889600526964</v>
      </c>
      <c r="AL55" s="622">
        <f t="shared" si="64"/>
        <v>38.935529522678038</v>
      </c>
      <c r="AM55" s="622">
        <f t="shared" si="64"/>
        <v>214.39675175387853</v>
      </c>
      <c r="AN55" s="623">
        <f t="shared" si="64"/>
        <v>26.414015603098523</v>
      </c>
    </row>
    <row r="56" spans="1:40">
      <c r="B56" s="610"/>
      <c r="C56" s="611" t="s">
        <v>526</v>
      </c>
      <c r="D56" s="624">
        <v>52.720000000000006</v>
      </c>
      <c r="E56" s="488">
        <v>13.480000000000002</v>
      </c>
      <c r="F56" s="488">
        <v>11.6</v>
      </c>
      <c r="G56" s="209">
        <f t="shared" si="60"/>
        <v>8.7529581467289788</v>
      </c>
      <c r="H56" s="488">
        <v>5.9999999999999991E-2</v>
      </c>
      <c r="I56" s="488">
        <v>13.83</v>
      </c>
      <c r="J56" s="488">
        <v>105.00999999999999</v>
      </c>
      <c r="K56" s="488">
        <v>55.219999999999992</v>
      </c>
      <c r="L56" s="488">
        <v>25.610000000000003</v>
      </c>
      <c r="M56" s="488">
        <v>19.47</v>
      </c>
      <c r="N56" s="488">
        <v>77.67</v>
      </c>
      <c r="O56" s="488">
        <v>182.97</v>
      </c>
      <c r="P56" s="488">
        <v>5.76</v>
      </c>
      <c r="Q56" s="488">
        <v>7.88</v>
      </c>
      <c r="R56" s="488">
        <v>9.33</v>
      </c>
      <c r="S56" s="488">
        <v>2.48</v>
      </c>
      <c r="T56" s="209">
        <f t="shared" si="61"/>
        <v>0</v>
      </c>
      <c r="U56" s="488">
        <v>17.86</v>
      </c>
      <c r="V56" s="488">
        <v>35.01</v>
      </c>
      <c r="W56" s="488">
        <v>0.65</v>
      </c>
      <c r="X56" s="488">
        <v>52.920000000000009</v>
      </c>
      <c r="Y56" s="488">
        <v>0</v>
      </c>
      <c r="Z56" s="488">
        <v>22.454999999999998</v>
      </c>
      <c r="AA56" s="209">
        <f t="shared" si="62"/>
        <v>37.9826649017633</v>
      </c>
      <c r="AB56" s="488">
        <v>161.46</v>
      </c>
      <c r="AC56" s="488">
        <v>45.54</v>
      </c>
      <c r="AD56" s="488">
        <v>187.01</v>
      </c>
      <c r="AE56" s="488">
        <v>11.04</v>
      </c>
      <c r="AF56" s="488">
        <v>39.08</v>
      </c>
      <c r="AG56" s="488">
        <v>0.83</v>
      </c>
      <c r="AH56" s="488">
        <v>0</v>
      </c>
      <c r="AI56" s="209">
        <f t="shared" si="64"/>
        <v>1.7138952083699481</v>
      </c>
      <c r="AJ56" s="209">
        <f t="shared" si="64"/>
        <v>1.2627334026447907</v>
      </c>
      <c r="AK56" s="209">
        <f t="shared" si="64"/>
        <v>2.1965887238038424</v>
      </c>
      <c r="AL56" s="209">
        <f t="shared" si="64"/>
        <v>1.2542152347338509</v>
      </c>
      <c r="AM56" s="209">
        <f t="shared" si="64"/>
        <v>6.9321998025786016</v>
      </c>
      <c r="AN56" s="210">
        <f t="shared" si="64"/>
        <v>1.5625888338003111</v>
      </c>
    </row>
    <row r="57" spans="1:40">
      <c r="B57" s="610"/>
      <c r="C57" s="611" t="s">
        <v>532</v>
      </c>
      <c r="D57" s="624">
        <v>97.27</v>
      </c>
      <c r="E57" s="488">
        <v>1.21</v>
      </c>
      <c r="F57" s="488">
        <v>63.510000000000005</v>
      </c>
      <c r="G57" s="209">
        <f t="shared" si="60"/>
        <v>19.127304504376195</v>
      </c>
      <c r="H57" s="488">
        <v>0</v>
      </c>
      <c r="I57" s="488">
        <v>66.59</v>
      </c>
      <c r="J57" s="488">
        <v>516.07000000000005</v>
      </c>
      <c r="K57" s="488">
        <v>243.45</v>
      </c>
      <c r="L57" s="488">
        <v>45.15</v>
      </c>
      <c r="M57" s="488">
        <v>0</v>
      </c>
      <c r="N57" s="488">
        <v>199.17</v>
      </c>
      <c r="O57" s="488">
        <v>237.51000000000002</v>
      </c>
      <c r="P57" s="488">
        <v>5.16</v>
      </c>
      <c r="Q57" s="488">
        <v>17.07</v>
      </c>
      <c r="R57" s="488">
        <v>52.810000000000009</v>
      </c>
      <c r="S57" s="488">
        <v>0</v>
      </c>
      <c r="T57" s="209">
        <f t="shared" si="61"/>
        <v>18.540205425975802</v>
      </c>
      <c r="U57" s="488">
        <v>11.52</v>
      </c>
      <c r="V57" s="488">
        <v>66.5</v>
      </c>
      <c r="W57" s="488">
        <v>0</v>
      </c>
      <c r="X57" s="488">
        <v>56.63</v>
      </c>
      <c r="Y57" s="488">
        <v>0</v>
      </c>
      <c r="Z57" s="488">
        <v>46.674999999999997</v>
      </c>
      <c r="AA57" s="209">
        <f t="shared" si="62"/>
        <v>10.643501776100866</v>
      </c>
      <c r="AB57" s="488">
        <v>617.77</v>
      </c>
      <c r="AC57" s="488">
        <v>2.34</v>
      </c>
      <c r="AD57" s="488">
        <v>128.66999999999999</v>
      </c>
      <c r="AE57" s="488">
        <v>300.52</v>
      </c>
      <c r="AF57" s="488">
        <v>14.369999999999997</v>
      </c>
      <c r="AG57" s="488">
        <v>62.029999999999994</v>
      </c>
      <c r="AH57" s="488">
        <v>0</v>
      </c>
      <c r="AI57" s="209">
        <f t="shared" si="64"/>
        <v>0</v>
      </c>
      <c r="AJ57" s="209">
        <f t="shared" si="64"/>
        <v>10.988122085895119</v>
      </c>
      <c r="AK57" s="209">
        <f t="shared" si="64"/>
        <v>0</v>
      </c>
      <c r="AL57" s="209">
        <f t="shared" si="64"/>
        <v>3.8352354489903311</v>
      </c>
      <c r="AM57" s="209">
        <f t="shared" si="64"/>
        <v>43.510588617457479</v>
      </c>
      <c r="AN57" s="210">
        <f t="shared" si="64"/>
        <v>0.39821724516949386</v>
      </c>
    </row>
    <row r="58" spans="1:40">
      <c r="B58" s="610"/>
      <c r="C58" s="611" t="s">
        <v>510</v>
      </c>
      <c r="D58" s="624">
        <v>149.25</v>
      </c>
      <c r="E58" s="488">
        <v>110.39999999999999</v>
      </c>
      <c r="F58" s="488">
        <v>157.47</v>
      </c>
      <c r="G58" s="209">
        <f t="shared" si="60"/>
        <v>136.22594867013839</v>
      </c>
      <c r="H58" s="488">
        <v>3.61</v>
      </c>
      <c r="I58" s="488">
        <v>236.6</v>
      </c>
      <c r="J58" s="488">
        <v>1143.19</v>
      </c>
      <c r="K58" s="488">
        <v>70.02</v>
      </c>
      <c r="L58" s="488">
        <v>11.63</v>
      </c>
      <c r="M58" s="488">
        <v>685.63</v>
      </c>
      <c r="N58" s="488">
        <v>199.55</v>
      </c>
      <c r="O58" s="488">
        <v>1426.76</v>
      </c>
      <c r="P58" s="488">
        <v>236.88</v>
      </c>
      <c r="Q58" s="488">
        <v>53.349999999999994</v>
      </c>
      <c r="R58" s="488">
        <v>76.739999999999995</v>
      </c>
      <c r="S58" s="488">
        <v>84.49</v>
      </c>
      <c r="T58" s="209">
        <f t="shared" si="61"/>
        <v>10.520578891181923</v>
      </c>
      <c r="U58" s="488">
        <v>390.53</v>
      </c>
      <c r="V58" s="488">
        <v>15.359999999999998</v>
      </c>
      <c r="W58" s="488">
        <v>3.6800000000000006</v>
      </c>
      <c r="X58" s="488">
        <v>7.69</v>
      </c>
      <c r="Y58" s="488">
        <v>2.21</v>
      </c>
      <c r="Z58" s="488">
        <v>76.010000000000005</v>
      </c>
      <c r="AA58" s="209">
        <f t="shared" si="62"/>
        <v>450.25183236621109</v>
      </c>
      <c r="AB58" s="488">
        <v>102.95</v>
      </c>
      <c r="AC58" s="488">
        <v>90.66</v>
      </c>
      <c r="AD58" s="488">
        <v>60.93</v>
      </c>
      <c r="AE58" s="488">
        <v>322.26</v>
      </c>
      <c r="AF58" s="488">
        <v>43.53</v>
      </c>
      <c r="AG58" s="488">
        <v>28.08</v>
      </c>
      <c r="AH58" s="488">
        <v>746.44</v>
      </c>
      <c r="AI58" s="209">
        <f t="shared" si="64"/>
        <v>37.029004360334547</v>
      </c>
      <c r="AJ58" s="209">
        <f t="shared" si="64"/>
        <v>42.60990979726202</v>
      </c>
      <c r="AK58" s="209">
        <f t="shared" si="64"/>
        <v>18.874300876723122</v>
      </c>
      <c r="AL58" s="209">
        <f t="shared" si="64"/>
        <v>29.4001911607061</v>
      </c>
      <c r="AM58" s="209">
        <f t="shared" si="64"/>
        <v>137.27384833630705</v>
      </c>
      <c r="AN58" s="210">
        <f t="shared" si="64"/>
        <v>21.019000261220913</v>
      </c>
    </row>
    <row r="59" spans="1:40">
      <c r="B59" s="610"/>
      <c r="C59" s="611" t="s">
        <v>527</v>
      </c>
      <c r="D59" s="624">
        <v>102.96000000000001</v>
      </c>
      <c r="E59" s="488">
        <v>318.51</v>
      </c>
      <c r="F59" s="488">
        <v>2.61</v>
      </c>
      <c r="G59" s="209">
        <f t="shared" si="60"/>
        <v>108.7784735150331</v>
      </c>
      <c r="H59" s="488">
        <v>0</v>
      </c>
      <c r="I59" s="488">
        <v>133.68</v>
      </c>
      <c r="J59" s="488">
        <v>2091.2399999999998</v>
      </c>
      <c r="K59" s="488">
        <v>65.44</v>
      </c>
      <c r="L59" s="488">
        <v>3.82</v>
      </c>
      <c r="M59" s="488">
        <v>599.99</v>
      </c>
      <c r="N59" s="488">
        <v>3.47</v>
      </c>
      <c r="O59" s="488">
        <v>1266.8499999999999</v>
      </c>
      <c r="P59" s="488">
        <v>9.91</v>
      </c>
      <c r="Q59" s="488">
        <v>52.28</v>
      </c>
      <c r="R59" s="488">
        <v>182.18</v>
      </c>
      <c r="S59" s="488">
        <v>76.39</v>
      </c>
      <c r="T59" s="209">
        <f t="shared" si="61"/>
        <v>0</v>
      </c>
      <c r="U59" s="488">
        <v>1886.4</v>
      </c>
      <c r="V59" s="488">
        <v>10.19</v>
      </c>
      <c r="W59" s="488">
        <v>12.37</v>
      </c>
      <c r="X59" s="488">
        <v>11.01</v>
      </c>
      <c r="Y59" s="488">
        <v>0</v>
      </c>
      <c r="Z59" s="488">
        <v>897.04500000000007</v>
      </c>
      <c r="AA59" s="209">
        <f t="shared" si="62"/>
        <v>0.3083098379173661</v>
      </c>
      <c r="AB59" s="488">
        <v>296.13</v>
      </c>
      <c r="AC59" s="488">
        <v>55.08</v>
      </c>
      <c r="AD59" s="488">
        <v>151.80000000000001</v>
      </c>
      <c r="AE59" s="488">
        <v>8.57</v>
      </c>
      <c r="AF59" s="488">
        <v>10.54</v>
      </c>
      <c r="AG59" s="488">
        <v>97.45</v>
      </c>
      <c r="AH59" s="488">
        <v>3051.38</v>
      </c>
      <c r="AI59" s="209">
        <f t="shared" si="64"/>
        <v>0</v>
      </c>
      <c r="AJ59" s="209">
        <f t="shared" si="64"/>
        <v>4.1116911960353546</v>
      </c>
      <c r="AK59" s="209">
        <f t="shared" si="64"/>
        <v>0</v>
      </c>
      <c r="AL59" s="209">
        <f t="shared" si="64"/>
        <v>0</v>
      </c>
      <c r="AM59" s="209">
        <f t="shared" si="64"/>
        <v>20.516467203703304</v>
      </c>
      <c r="AN59" s="210">
        <f t="shared" si="64"/>
        <v>0</v>
      </c>
    </row>
    <row r="60" spans="1:40">
      <c r="B60" s="610"/>
      <c r="C60" s="611" t="s">
        <v>533</v>
      </c>
      <c r="D60" s="624">
        <v>82.04</v>
      </c>
      <c r="E60" s="488">
        <v>216.74</v>
      </c>
      <c r="F60" s="488">
        <v>0</v>
      </c>
      <c r="G60" s="209">
        <f t="shared" si="60"/>
        <v>229.70303729897162</v>
      </c>
      <c r="H60" s="488">
        <v>1.7400000000000002</v>
      </c>
      <c r="I60" s="488">
        <v>0</v>
      </c>
      <c r="J60" s="488">
        <v>1094.2</v>
      </c>
      <c r="K60" s="488">
        <v>30.79</v>
      </c>
      <c r="L60" s="488">
        <v>0.18</v>
      </c>
      <c r="M60" s="488">
        <v>167.93</v>
      </c>
      <c r="N60" s="488">
        <v>42.79</v>
      </c>
      <c r="O60" s="488">
        <v>459.68</v>
      </c>
      <c r="P60" s="488">
        <v>44.28</v>
      </c>
      <c r="Q60" s="488">
        <v>11.12</v>
      </c>
      <c r="R60" s="488">
        <v>0</v>
      </c>
      <c r="S60" s="488">
        <v>97.689999999999984</v>
      </c>
      <c r="T60" s="209">
        <f t="shared" si="61"/>
        <v>0.13359264179914382</v>
      </c>
      <c r="U60" s="488">
        <v>175.95</v>
      </c>
      <c r="V60" s="488">
        <v>0.41999999999999993</v>
      </c>
      <c r="W60" s="488">
        <v>10.3</v>
      </c>
      <c r="X60" s="488">
        <v>2.5099999999999998</v>
      </c>
      <c r="Y60" s="488">
        <v>0</v>
      </c>
      <c r="Z60" s="488">
        <v>6.004999999999999</v>
      </c>
      <c r="AA60" s="209">
        <f t="shared" si="62"/>
        <v>11.905279148239977</v>
      </c>
      <c r="AB60" s="488">
        <v>8.44</v>
      </c>
      <c r="AC60" s="488">
        <v>27.45</v>
      </c>
      <c r="AD60" s="488">
        <v>6.17</v>
      </c>
      <c r="AE60" s="488">
        <v>3.82</v>
      </c>
      <c r="AF60" s="488">
        <v>26.57</v>
      </c>
      <c r="AG60" s="488">
        <v>0</v>
      </c>
      <c r="AH60" s="488">
        <v>221.62</v>
      </c>
      <c r="AI60" s="209">
        <f t="shared" si="64"/>
        <v>8.9663528289880154E-2</v>
      </c>
      <c r="AJ60" s="209">
        <f t="shared" si="64"/>
        <v>0</v>
      </c>
      <c r="AK60" s="209">
        <f t="shared" si="64"/>
        <v>0</v>
      </c>
      <c r="AL60" s="209">
        <f t="shared" si="64"/>
        <v>2.4782304801452693</v>
      </c>
      <c r="AM60" s="209">
        <f t="shared" si="64"/>
        <v>7.8215881820618699E-2</v>
      </c>
      <c r="AN60" s="210">
        <f t="shared" si="64"/>
        <v>1.0751661773082903</v>
      </c>
    </row>
    <row r="61" spans="1:40">
      <c r="B61" s="610"/>
      <c r="C61" s="611" t="s">
        <v>528</v>
      </c>
      <c r="D61" s="624">
        <v>8.1999999999999993</v>
      </c>
      <c r="E61" s="488">
        <v>8.56</v>
      </c>
      <c r="F61" s="488">
        <v>0.11999999999999998</v>
      </c>
      <c r="G61" s="209">
        <f t="shared" si="60"/>
        <v>0</v>
      </c>
      <c r="H61" s="488">
        <v>0.76</v>
      </c>
      <c r="I61" s="488">
        <v>1.5699999999999998</v>
      </c>
      <c r="J61" s="488">
        <v>132.46</v>
      </c>
      <c r="K61" s="488">
        <v>3.35</v>
      </c>
      <c r="L61" s="488">
        <v>0.6</v>
      </c>
      <c r="M61" s="488">
        <v>340.57</v>
      </c>
      <c r="N61" s="488">
        <v>4.12</v>
      </c>
      <c r="O61" s="488">
        <v>305.67</v>
      </c>
      <c r="P61" s="488">
        <v>11.33</v>
      </c>
      <c r="Q61" s="488">
        <v>16.71</v>
      </c>
      <c r="R61" s="488">
        <v>25.360000000000003</v>
      </c>
      <c r="S61" s="488">
        <v>13.45</v>
      </c>
      <c r="T61" s="209">
        <f t="shared" si="61"/>
        <v>0.45820062247950299</v>
      </c>
      <c r="U61" s="488">
        <v>320.68</v>
      </c>
      <c r="V61" s="488">
        <v>4.96</v>
      </c>
      <c r="W61" s="488">
        <v>0.33</v>
      </c>
      <c r="X61" s="488">
        <v>3.58</v>
      </c>
      <c r="Y61" s="488">
        <v>4.0999999999999996</v>
      </c>
      <c r="Z61" s="488">
        <v>3.71</v>
      </c>
      <c r="AA61" s="209">
        <f t="shared" si="62"/>
        <v>5.5083683528514165</v>
      </c>
      <c r="AB61" s="488">
        <v>49.6</v>
      </c>
      <c r="AC61" s="488">
        <v>97.19</v>
      </c>
      <c r="AD61" s="488">
        <v>13.77</v>
      </c>
      <c r="AE61" s="488">
        <v>0</v>
      </c>
      <c r="AF61" s="488">
        <v>5.85</v>
      </c>
      <c r="AG61" s="488">
        <v>2.31</v>
      </c>
      <c r="AH61" s="488">
        <v>58.900000000000006</v>
      </c>
      <c r="AI61" s="209">
        <f t="shared" si="64"/>
        <v>18.286961456853636</v>
      </c>
      <c r="AJ61" s="209">
        <f t="shared" si="64"/>
        <v>0</v>
      </c>
      <c r="AK61" s="209">
        <f t="shared" si="64"/>
        <v>0</v>
      </c>
      <c r="AL61" s="209">
        <f t="shared" si="64"/>
        <v>1.9676571981024824</v>
      </c>
      <c r="AM61" s="209">
        <f t="shared" si="64"/>
        <v>6.0854319120114226</v>
      </c>
      <c r="AN61" s="210">
        <f t="shared" si="64"/>
        <v>2.192089803856895</v>
      </c>
    </row>
    <row r="62" spans="1:40">
      <c r="B62" s="610"/>
      <c r="C62" s="611" t="s">
        <v>536</v>
      </c>
      <c r="D62" s="624">
        <v>102.32</v>
      </c>
      <c r="E62" s="488">
        <v>11.23</v>
      </c>
      <c r="F62" s="488">
        <v>6.45</v>
      </c>
      <c r="G62" s="209">
        <f t="shared" si="60"/>
        <v>27.89194611636572</v>
      </c>
      <c r="H62" s="488">
        <v>51.66</v>
      </c>
      <c r="I62" s="488">
        <v>6.83</v>
      </c>
      <c r="J62" s="488">
        <v>433.10000000000008</v>
      </c>
      <c r="K62" s="488">
        <v>10.51</v>
      </c>
      <c r="L62" s="488">
        <v>0</v>
      </c>
      <c r="M62" s="488">
        <v>150.5</v>
      </c>
      <c r="N62" s="488">
        <v>0.93</v>
      </c>
      <c r="O62" s="488">
        <v>42.68</v>
      </c>
      <c r="P62" s="488">
        <v>179.68</v>
      </c>
      <c r="Q62" s="488">
        <v>5.21</v>
      </c>
      <c r="R62" s="488">
        <v>5.09</v>
      </c>
      <c r="S62" s="488">
        <v>5.35</v>
      </c>
      <c r="T62" s="209">
        <f t="shared" si="61"/>
        <v>0</v>
      </c>
      <c r="U62" s="488">
        <v>99.26</v>
      </c>
      <c r="V62" s="488">
        <v>0</v>
      </c>
      <c r="W62" s="488">
        <v>0.86</v>
      </c>
      <c r="X62" s="488">
        <v>0</v>
      </c>
      <c r="Y62" s="488">
        <v>0</v>
      </c>
      <c r="Z62" s="488">
        <v>20.66</v>
      </c>
      <c r="AA62" s="209">
        <f t="shared" si="62"/>
        <v>0</v>
      </c>
      <c r="AB62" s="488">
        <v>0</v>
      </c>
      <c r="AC62" s="488">
        <v>34.94</v>
      </c>
      <c r="AD62" s="488">
        <v>0</v>
      </c>
      <c r="AE62" s="488">
        <v>10.32</v>
      </c>
      <c r="AF62" s="488">
        <v>5.0599999999999996</v>
      </c>
      <c r="AG62" s="488">
        <v>0</v>
      </c>
      <c r="AH62" s="488">
        <v>86.96</v>
      </c>
      <c r="AI62" s="209">
        <f t="shared" si="64"/>
        <v>2.0060666857743383</v>
      </c>
      <c r="AJ62" s="209">
        <f t="shared" si="64"/>
        <v>0</v>
      </c>
      <c r="AK62" s="209">
        <f t="shared" si="64"/>
        <v>0</v>
      </c>
      <c r="AL62" s="209">
        <f t="shared" si="64"/>
        <v>0</v>
      </c>
      <c r="AM62" s="209">
        <f t="shared" si="64"/>
        <v>0</v>
      </c>
      <c r="AN62" s="210">
        <f t="shared" si="64"/>
        <v>0.16695328174261967</v>
      </c>
    </row>
    <row r="63" spans="1:40">
      <c r="B63" s="612"/>
      <c r="C63" s="613" t="s">
        <v>529</v>
      </c>
      <c r="D63" s="625">
        <v>1.7400000000000002</v>
      </c>
      <c r="E63" s="626">
        <v>0</v>
      </c>
      <c r="F63" s="626">
        <v>1.17</v>
      </c>
      <c r="G63" s="627">
        <f t="shared" si="60"/>
        <v>0</v>
      </c>
      <c r="H63" s="626">
        <v>0</v>
      </c>
      <c r="I63" s="626">
        <v>7.22</v>
      </c>
      <c r="J63" s="626">
        <v>0</v>
      </c>
      <c r="K63" s="626">
        <v>0</v>
      </c>
      <c r="L63" s="626">
        <v>0</v>
      </c>
      <c r="M63" s="626">
        <v>0</v>
      </c>
      <c r="N63" s="626">
        <v>0</v>
      </c>
      <c r="O63" s="626">
        <v>0</v>
      </c>
      <c r="P63" s="626">
        <v>0</v>
      </c>
      <c r="Q63" s="626">
        <v>0</v>
      </c>
      <c r="R63" s="626">
        <v>0.46000000000000008</v>
      </c>
      <c r="S63" s="626">
        <v>38.54</v>
      </c>
      <c r="T63" s="627">
        <f t="shared" si="61"/>
        <v>0</v>
      </c>
      <c r="U63" s="626">
        <v>0</v>
      </c>
      <c r="V63" s="626">
        <v>0</v>
      </c>
      <c r="W63" s="626">
        <v>0</v>
      </c>
      <c r="X63" s="626">
        <v>0</v>
      </c>
      <c r="Y63" s="626">
        <v>0</v>
      </c>
      <c r="Z63" s="626">
        <v>0</v>
      </c>
      <c r="AA63" s="627">
        <f t="shared" si="62"/>
        <v>0</v>
      </c>
      <c r="AB63" s="626">
        <v>504.09</v>
      </c>
      <c r="AC63" s="626">
        <v>0</v>
      </c>
      <c r="AD63" s="626">
        <v>0</v>
      </c>
      <c r="AE63" s="626">
        <v>0</v>
      </c>
      <c r="AF63" s="626">
        <v>0</v>
      </c>
      <c r="AG63" s="626">
        <v>0</v>
      </c>
      <c r="AH63" s="626">
        <v>16.059999999999999</v>
      </c>
      <c r="AI63" s="627">
        <f t="shared" si="64"/>
        <v>0</v>
      </c>
      <c r="AJ63" s="627">
        <f t="shared" si="64"/>
        <v>0</v>
      </c>
      <c r="AK63" s="627">
        <f t="shared" si="64"/>
        <v>0</v>
      </c>
      <c r="AL63" s="627">
        <f t="shared" si="64"/>
        <v>0</v>
      </c>
      <c r="AM63" s="627">
        <f t="shared" si="64"/>
        <v>0</v>
      </c>
      <c r="AN63" s="628">
        <f t="shared" si="64"/>
        <v>0</v>
      </c>
    </row>
    <row r="65" spans="1:40">
      <c r="D65" s="650"/>
      <c r="E65" s="650"/>
      <c r="F65" s="650"/>
      <c r="G65" s="650"/>
      <c r="H65" s="650"/>
      <c r="I65" s="650"/>
      <c r="J65" s="650"/>
      <c r="K65" s="650"/>
      <c r="L65" s="650"/>
      <c r="M65" s="650"/>
      <c r="N65" s="650"/>
      <c r="O65" s="650"/>
      <c r="P65" s="650"/>
      <c r="Q65" s="650"/>
      <c r="R65" s="650"/>
      <c r="S65" s="650"/>
      <c r="T65" s="650"/>
      <c r="U65" s="650"/>
      <c r="V65" s="650"/>
      <c r="W65" s="650"/>
      <c r="X65" s="650"/>
      <c r="Y65" s="650"/>
      <c r="Z65" s="650"/>
      <c r="AA65" s="650"/>
      <c r="AB65" s="650"/>
      <c r="AC65" s="650"/>
      <c r="AD65" s="650"/>
      <c r="AE65" s="650"/>
      <c r="AF65" s="650"/>
      <c r="AG65" s="650"/>
      <c r="AH65" s="650"/>
      <c r="AI65" s="650"/>
      <c r="AJ65" s="650"/>
      <c r="AK65" s="650"/>
      <c r="AL65" s="650"/>
      <c r="AM65" s="650"/>
      <c r="AN65" s="650"/>
    </row>
    <row r="66" spans="1:40" ht="21">
      <c r="A66" s="3" t="s">
        <v>690</v>
      </c>
      <c r="B66" s="606"/>
      <c r="C66" s="606"/>
    </row>
    <row r="67" spans="1:40">
      <c r="A67" t="s">
        <v>693</v>
      </c>
      <c r="B67" s="606"/>
      <c r="C67" s="606"/>
    </row>
    <row r="68" spans="1:40">
      <c r="B68" t="s">
        <v>688</v>
      </c>
      <c r="D68" s="247" t="s">
        <v>88</v>
      </c>
      <c r="E68" s="248" t="s">
        <v>89</v>
      </c>
      <c r="F68" s="248" t="s">
        <v>90</v>
      </c>
      <c r="G68" s="248" t="s">
        <v>91</v>
      </c>
      <c r="H68" s="248" t="s">
        <v>92</v>
      </c>
      <c r="I68" s="248" t="s">
        <v>93</v>
      </c>
      <c r="J68" s="248" t="s">
        <v>94</v>
      </c>
      <c r="K68" s="248" t="s">
        <v>95</v>
      </c>
      <c r="L68" s="248" t="s">
        <v>96</v>
      </c>
      <c r="M68" s="248" t="s">
        <v>97</v>
      </c>
      <c r="N68" s="248" t="s">
        <v>98</v>
      </c>
      <c r="O68" s="248" t="s">
        <v>99</v>
      </c>
      <c r="P68" s="248" t="s">
        <v>205</v>
      </c>
      <c r="Q68" s="248" t="s">
        <v>118</v>
      </c>
      <c r="R68" s="248" t="s">
        <v>100</v>
      </c>
      <c r="S68" s="248" t="s">
        <v>101</v>
      </c>
      <c r="T68" s="248" t="s">
        <v>102</v>
      </c>
      <c r="U68" s="248" t="s">
        <v>103</v>
      </c>
      <c r="V68" s="248" t="s">
        <v>104</v>
      </c>
      <c r="W68" s="248" t="s">
        <v>105</v>
      </c>
      <c r="X68" s="248" t="s">
        <v>106</v>
      </c>
      <c r="Y68" s="248" t="s">
        <v>107</v>
      </c>
      <c r="Z68" s="248" t="s">
        <v>108</v>
      </c>
      <c r="AA68" s="248" t="s">
        <v>109</v>
      </c>
      <c r="AB68" s="248" t="s">
        <v>110</v>
      </c>
      <c r="AC68" s="248" t="s">
        <v>111</v>
      </c>
      <c r="AD68" s="248" t="s">
        <v>112</v>
      </c>
      <c r="AE68" s="248" t="s">
        <v>113</v>
      </c>
      <c r="AF68" s="248" t="s">
        <v>114</v>
      </c>
      <c r="AG68" s="248" t="s">
        <v>115</v>
      </c>
      <c r="AH68" s="248" t="s">
        <v>52</v>
      </c>
      <c r="AI68" s="248" t="s">
        <v>116</v>
      </c>
      <c r="AJ68" s="248" t="s">
        <v>117</v>
      </c>
      <c r="AK68" s="248" t="s">
        <v>119</v>
      </c>
      <c r="AL68" s="248" t="s">
        <v>120</v>
      </c>
      <c r="AM68" s="248" t="s">
        <v>121</v>
      </c>
      <c r="AN68" s="249" t="s">
        <v>122</v>
      </c>
    </row>
    <row r="69" spans="1:40">
      <c r="B69" s="631" t="s">
        <v>524</v>
      </c>
      <c r="C69" s="632" t="s">
        <v>525</v>
      </c>
      <c r="D69" s="645">
        <f t="shared" ref="D69:F96" si="65">D4*(41.868/1000)</f>
        <v>12.078918</v>
      </c>
      <c r="E69" s="646">
        <f t="shared" si="65"/>
        <v>16.82005032</v>
      </c>
      <c r="F69" s="646">
        <f t="shared" si="65"/>
        <v>9.1071273600000016</v>
      </c>
      <c r="G69" s="647">
        <f>SUM(G70:G74)</f>
        <v>14.585947957368973</v>
      </c>
      <c r="H69" s="646">
        <f t="shared" ref="H69:S69" si="66">H4*(41.868/1000)</f>
        <v>1.810791</v>
      </c>
      <c r="I69" s="646">
        <f t="shared" si="66"/>
        <v>16.081917480000001</v>
      </c>
      <c r="J69" s="646">
        <f t="shared" si="66"/>
        <v>142.51490387999999</v>
      </c>
      <c r="K69" s="646">
        <f t="shared" si="66"/>
        <v>9.1816524000000008</v>
      </c>
      <c r="L69" s="646">
        <f t="shared" si="66"/>
        <v>2.5032877200000003</v>
      </c>
      <c r="M69" s="646">
        <f t="shared" si="66"/>
        <v>66.490152120000005</v>
      </c>
      <c r="N69" s="646">
        <f t="shared" si="66"/>
        <v>7.8686719200000006</v>
      </c>
      <c r="O69" s="646">
        <f t="shared" si="66"/>
        <v>138.41058384000002</v>
      </c>
      <c r="P69" s="646">
        <f t="shared" si="66"/>
        <v>21.28317912</v>
      </c>
      <c r="Q69" s="646">
        <f t="shared" si="66"/>
        <v>6.4187830800000008</v>
      </c>
      <c r="R69" s="646">
        <f t="shared" si="66"/>
        <v>16.543721520000002</v>
      </c>
      <c r="S69" s="646">
        <f t="shared" si="66"/>
        <v>5.5839351600000002</v>
      </c>
      <c r="T69" s="647">
        <f>SUM(T70:T74)</f>
        <v>0.4212237694012067</v>
      </c>
      <c r="U69" s="646">
        <f t="shared" ref="U69:Z78" si="67">U4*(41.868/1000)</f>
        <v>101.79618048000002</v>
      </c>
      <c r="V69" s="646">
        <f t="shared" si="67"/>
        <v>4.3978147200000004</v>
      </c>
      <c r="W69" s="646">
        <f t="shared" si="67"/>
        <v>0.77958216000000014</v>
      </c>
      <c r="X69" s="646">
        <f t="shared" si="67"/>
        <v>2.8901480400000001</v>
      </c>
      <c r="Y69" s="646">
        <f t="shared" si="67"/>
        <v>0.48818088000000004</v>
      </c>
      <c r="Z69" s="646">
        <f t="shared" si="67"/>
        <v>28.718935920000003</v>
      </c>
      <c r="AA69" s="647">
        <f>SUM(AA70:AA74)</f>
        <v>17.552009482887762</v>
      </c>
      <c r="AB69" s="646">
        <f t="shared" ref="AB69:AH78" si="68">AB4*(41.868/1000)</f>
        <v>60.906216960000002</v>
      </c>
      <c r="AC69" s="646">
        <f t="shared" si="68"/>
        <v>40.720816800000001</v>
      </c>
      <c r="AD69" s="646">
        <f t="shared" si="68"/>
        <v>29.963671560000002</v>
      </c>
      <c r="AE69" s="646">
        <f t="shared" si="68"/>
        <v>13.092123600000001</v>
      </c>
      <c r="AF69" s="646">
        <f t="shared" si="68"/>
        <v>2.7712429200000002</v>
      </c>
      <c r="AG69" s="646">
        <f t="shared" si="68"/>
        <v>6.4627444800000013</v>
      </c>
      <c r="AH69" s="646">
        <f t="shared" si="68"/>
        <v>67.506288479999995</v>
      </c>
      <c r="AI69" s="647" t="e">
        <f t="shared" ref="AI69:AN69" si="69">SUM(AI70:AI74)</f>
        <v>#DIV/0!</v>
      </c>
      <c r="AJ69" s="647">
        <f t="shared" si="69"/>
        <v>3.0589433423154562</v>
      </c>
      <c r="AK69" s="647" t="e">
        <f t="shared" si="69"/>
        <v>#DIV/0!</v>
      </c>
      <c r="AL69" s="647">
        <f t="shared" si="69"/>
        <v>2.2883638836165723</v>
      </c>
      <c r="AM69" s="647">
        <f t="shared" si="69"/>
        <v>10.567207872163559</v>
      </c>
      <c r="AN69" s="648">
        <f t="shared" si="69"/>
        <v>1.6589583549321938</v>
      </c>
    </row>
    <row r="70" spans="1:40">
      <c r="B70" s="408"/>
      <c r="C70" s="633" t="s">
        <v>526</v>
      </c>
      <c r="D70" s="649">
        <f t="shared" si="65"/>
        <v>0.84112812000000003</v>
      </c>
      <c r="E70" s="650">
        <f t="shared" si="65"/>
        <v>0</v>
      </c>
      <c r="F70" s="650">
        <f t="shared" si="65"/>
        <v>0.74190095999999994</v>
      </c>
      <c r="G70" s="651">
        <f>INDEX('Eurostat-IEA'!$D$7:$L$7,MATCH('IDEES okt 2017 template'!G$68,'Eurostat-IEA'!$D$2:$L$2,0))*$J70/SUM($J$70,$J$78,$J$88)</f>
        <v>0</v>
      </c>
      <c r="H70" s="650">
        <f t="shared" ref="H70:S70" si="70">H5*(41.868/1000)</f>
        <v>0</v>
      </c>
      <c r="I70" s="650">
        <f t="shared" si="70"/>
        <v>0.69249671999999995</v>
      </c>
      <c r="J70" s="650">
        <f t="shared" si="70"/>
        <v>0</v>
      </c>
      <c r="K70" s="650">
        <f t="shared" si="70"/>
        <v>0</v>
      </c>
      <c r="L70" s="650">
        <f t="shared" si="70"/>
        <v>0.24702120000000002</v>
      </c>
      <c r="M70" s="650">
        <f t="shared" si="70"/>
        <v>1.14257772</v>
      </c>
      <c r="N70" s="650">
        <f t="shared" si="70"/>
        <v>0</v>
      </c>
      <c r="O70" s="650">
        <f t="shared" si="70"/>
        <v>0</v>
      </c>
      <c r="P70" s="650">
        <f t="shared" si="70"/>
        <v>1.5595830000000002</v>
      </c>
      <c r="Q70" s="650">
        <f t="shared" si="70"/>
        <v>0</v>
      </c>
      <c r="R70" s="650">
        <f t="shared" si="70"/>
        <v>0.60289920000000008</v>
      </c>
      <c r="S70" s="650">
        <f t="shared" si="70"/>
        <v>0</v>
      </c>
      <c r="T70" s="651">
        <f>INDEX('Eurostat-IEA'!$D$7:$L$7,MATCH('IDEES okt 2017 template'!T$68,'Eurostat-IEA'!$D$2:$L$2,0))*$N70/SUM($N$70,$N$78,$N$88)</f>
        <v>0</v>
      </c>
      <c r="U70" s="650">
        <f t="shared" si="67"/>
        <v>0</v>
      </c>
      <c r="V70" s="650">
        <f t="shared" si="67"/>
        <v>0.74022624000000004</v>
      </c>
      <c r="W70" s="650">
        <f t="shared" si="67"/>
        <v>0</v>
      </c>
      <c r="X70" s="650">
        <f t="shared" si="67"/>
        <v>0.94579812000000008</v>
      </c>
      <c r="Y70" s="650">
        <f t="shared" si="67"/>
        <v>0</v>
      </c>
      <c r="Z70" s="650">
        <f t="shared" si="67"/>
        <v>0</v>
      </c>
      <c r="AA70" s="651">
        <f>INDEX('Eurostat-IEA'!$D$7:$L$7,MATCH('IDEES okt 2017 template'!AA$68,'Eurostat-IEA'!$D$2:$L$2,0))*$N70/SUM($N$70,$N$78,$N$88)</f>
        <v>0</v>
      </c>
      <c r="AB70" s="650">
        <f t="shared" si="68"/>
        <v>2.3069268000000003</v>
      </c>
      <c r="AC70" s="650">
        <f t="shared" si="68"/>
        <v>11.416984920000001</v>
      </c>
      <c r="AD70" s="650">
        <f t="shared" si="68"/>
        <v>10.716114600000001</v>
      </c>
      <c r="AE70" s="650">
        <f t="shared" si="68"/>
        <v>0</v>
      </c>
      <c r="AF70" s="650">
        <f t="shared" si="68"/>
        <v>0.4438008</v>
      </c>
      <c r="AG70" s="650">
        <f t="shared" si="68"/>
        <v>0</v>
      </c>
      <c r="AH70" s="650">
        <f t="shared" si="68"/>
        <v>0</v>
      </c>
      <c r="AI70" s="651">
        <f>INDEX('Eurostat-IEA'!$D$7:$L$7,MATCH('IDEES okt 2017 template'!AI$68,'Eurostat-IEA'!$D$2:$L$2,0))*$P70/SUM($P$70,$P$78,$P$88)</f>
        <v>0.46968227565546111</v>
      </c>
      <c r="AJ70" s="651">
        <f>INDEX('Eurostat-IEA'!$D$7:$L$7,MATCH('IDEES okt 2017 template'!AJ$68,'Eurostat-IEA'!$D$2:$L$2,0))*$Q70/SUM($Q$70,$Q$78,$Q$88)</f>
        <v>0</v>
      </c>
      <c r="AK70" s="651">
        <f>INDEX('Eurostat-IEA'!$D$7:$L$7,MATCH('IDEES okt 2017 template'!AK$68,'Eurostat-IEA'!$D$2:$L$2,0))*$P70/SUM($P$70,$P$78,$P$88)</f>
        <v>0.5879623155644329</v>
      </c>
      <c r="AL70" s="651">
        <f>INDEX('Eurostat-IEA'!$D$7:$L$7,MATCH('IDEES okt 2017 template'!AL$68,'Eurostat-IEA'!$D$2:$L$2,0))*$Q70/SUM($Q$70,$Q$78,$Q$88)</f>
        <v>0</v>
      </c>
      <c r="AM70" s="651">
        <f>INDEX('Eurostat-IEA'!$D$7:$L$7,MATCH('IDEES okt 2017 template'!AM$68,'Eurostat-IEA'!$D$2:$L$2,0))*$Q70/SUM($Q$70,$Q$78,$Q$88)</f>
        <v>0</v>
      </c>
      <c r="AN70" s="652">
        <f>INDEX('Eurostat-IEA'!$D$7:$L$7,MATCH('IDEES okt 2017 template'!AN$68,'Eurostat-IEA'!$D$2:$L$2,0))*$Q70/SUM($Q$70,$Q$78,$Q$88)</f>
        <v>0</v>
      </c>
    </row>
    <row r="71" spans="1:40">
      <c r="B71" s="408"/>
      <c r="C71" s="633" t="s">
        <v>510</v>
      </c>
      <c r="D71" s="649">
        <f t="shared" si="65"/>
        <v>9.3742452000000007</v>
      </c>
      <c r="E71" s="650">
        <f t="shared" si="65"/>
        <v>10.35563112</v>
      </c>
      <c r="F71" s="650">
        <f t="shared" si="65"/>
        <v>6.93710892</v>
      </c>
      <c r="G71" s="651">
        <f>INDEX('Eurostat-IEA'!$D$10:$L$10,MATCH('IDEES okt 2017 template'!G$68,'Eurostat-IEA'!$D$2:$L$2,0))*$J71/SUM($J$71,$J$76,$J$81,$J$90,$J$96)</f>
        <v>14.417459869062139</v>
      </c>
      <c r="H71" s="650">
        <f t="shared" ref="H71:S71" si="71">H6*(41.868/1000)</f>
        <v>0.46264140000000004</v>
      </c>
      <c r="I71" s="650">
        <f t="shared" si="71"/>
        <v>10.57292604</v>
      </c>
      <c r="J71" s="650">
        <f t="shared" si="71"/>
        <v>121.3271838</v>
      </c>
      <c r="K71" s="650">
        <f t="shared" si="71"/>
        <v>8.2551135599999999</v>
      </c>
      <c r="L71" s="650">
        <f t="shared" si="71"/>
        <v>2.0209683600000004</v>
      </c>
      <c r="M71" s="650">
        <f t="shared" si="71"/>
        <v>28.906504559999998</v>
      </c>
      <c r="N71" s="650">
        <f t="shared" si="71"/>
        <v>7.6907329200000003</v>
      </c>
      <c r="O71" s="650">
        <f t="shared" si="71"/>
        <v>88.759322640000008</v>
      </c>
      <c r="P71" s="650">
        <f t="shared" si="71"/>
        <v>17.893545840000002</v>
      </c>
      <c r="Q71" s="650">
        <f t="shared" si="71"/>
        <v>3.7325322000000005</v>
      </c>
      <c r="R71" s="650">
        <f t="shared" si="71"/>
        <v>5.6693458799999998</v>
      </c>
      <c r="S71" s="650">
        <f t="shared" si="71"/>
        <v>3.5805513599999998</v>
      </c>
      <c r="T71" s="651">
        <f>INDEX('Eurostat-IEA'!$D$10:$L$10,MATCH('IDEES okt 2017 template'!T$68,'Eurostat-IEA'!$D$2:$L$2,0))*$N71/SUM($N$71,$N$76,$N$81,$N$90,$N$96)</f>
        <v>0.40567447362655884</v>
      </c>
      <c r="U71" s="650">
        <f t="shared" si="67"/>
        <v>18.138473640000001</v>
      </c>
      <c r="V71" s="650">
        <f t="shared" si="67"/>
        <v>2.3877320400000004</v>
      </c>
      <c r="W71" s="650">
        <f t="shared" si="67"/>
        <v>0.45636120000000002</v>
      </c>
      <c r="X71" s="650">
        <f t="shared" si="67"/>
        <v>1.0626098399999999</v>
      </c>
      <c r="Y71" s="650">
        <f t="shared" si="67"/>
        <v>0.14486328000000001</v>
      </c>
      <c r="Z71" s="650">
        <f t="shared" si="67"/>
        <v>14.802222060000002</v>
      </c>
      <c r="AA71" s="651">
        <f>INDEX('Eurostat-IEA'!$D$10:$L$10,MATCH('IDEES okt 2017 template'!AA$68,'Eurostat-IEA'!$D$2:$L$2,0))*$N71/SUM($N$71,$N$76,$N$81,$N$90,$N$96)</f>
        <v>17.361751381157699</v>
      </c>
      <c r="AB71" s="650">
        <f t="shared" si="68"/>
        <v>26.616743640000003</v>
      </c>
      <c r="AC71" s="650">
        <f t="shared" si="68"/>
        <v>10.819109880000001</v>
      </c>
      <c r="AD71" s="650">
        <f t="shared" si="68"/>
        <v>2.4555582</v>
      </c>
      <c r="AE71" s="650">
        <f t="shared" si="68"/>
        <v>12.946422960000001</v>
      </c>
      <c r="AF71" s="650">
        <f t="shared" si="68"/>
        <v>1.2016116000000001</v>
      </c>
      <c r="AG71" s="650">
        <f t="shared" si="68"/>
        <v>3.3276686400000002</v>
      </c>
      <c r="AH71" s="650">
        <f t="shared" si="68"/>
        <v>29.559226680000002</v>
      </c>
      <c r="AI71" s="651">
        <f>INDEX('Eurostat-IEA'!$D$10:$L$10,MATCH('IDEES okt 2017 template'!AI$68,'Eurostat-IEA'!$D$2:$L$2,0))*$P71/SUM($P$71,$P$76,$P$81,$P$90,$P$96)</f>
        <v>2.8028875212833184</v>
      </c>
      <c r="AJ71" s="651">
        <f>INDEX('Eurostat-IEA'!$D$10:$L$10,MATCH('IDEES okt 2017 template'!AJ$68,'Eurostat-IEA'!$D$2:$L$2,0))*$Q71/SUM($Q$71,$Q$76,$Q$81,$Q$90,$Q$96)</f>
        <v>2.9646234984197779</v>
      </c>
      <c r="AK71" s="651">
        <f>INDEX('Eurostat-IEA'!$D$10:$L$10,MATCH('IDEES okt 2017 template'!AK$68,'Eurostat-IEA'!$D$2:$L$2,0))*$P71/SUM($P$71,$P$76,$P$81,$P$90,$P$96)</f>
        <v>1.3860313804476192</v>
      </c>
      <c r="AL71" s="651">
        <f>INDEX('Eurostat-IEA'!$D$10:$L$10,MATCH('IDEES okt 2017 template'!AL$68,'Eurostat-IEA'!$D$2:$L$2,0))*$Q71/SUM($Q$71,$Q$76,$Q$81,$Q$90,$Q$96)</f>
        <v>2.1084850792766119</v>
      </c>
      <c r="AM71" s="651">
        <f>INDEX('Eurostat-IEA'!$D$10:$L$10,MATCH('IDEES okt 2017 template'!AM$68,'Eurostat-IEA'!$D$2:$L$2,0))*$Q71/SUM($Q$71,$Q$76,$Q$81,$Q$90,$Q$96)</f>
        <v>9.5509537202183648</v>
      </c>
      <c r="AN71" s="652">
        <f>INDEX('Eurostat-IEA'!$D$10:$L$10,MATCH('IDEES okt 2017 template'!AN$68,'Eurostat-IEA'!$D$2:$L$2,0))*$Q71/SUM($Q$71,$Q$76,$Q$81,$Q$90,$Q$96)</f>
        <v>1.4624161934205981</v>
      </c>
    </row>
    <row r="72" spans="1:40">
      <c r="B72" s="408"/>
      <c r="C72" s="633" t="s">
        <v>527</v>
      </c>
      <c r="D72" s="649">
        <f t="shared" si="65"/>
        <v>1.1806776000000001</v>
      </c>
      <c r="E72" s="650">
        <f t="shared" si="65"/>
        <v>5.4390718800000002</v>
      </c>
      <c r="F72" s="650">
        <f t="shared" si="65"/>
        <v>0.17793900000000001</v>
      </c>
      <c r="G72" s="651">
        <f>INDEX('Eurostat-IEA'!$D$6:$L$6,MATCH('IDEES okt 2017 template'!G$68,'Eurostat-IEA'!$D$2:$L$2,0))*$J72/SUM($J$72,$J$82,$J$91)</f>
        <v>0.16848808830683304</v>
      </c>
      <c r="H72" s="650">
        <f t="shared" ref="H72:S72" si="72">H7*(41.868/1000)</f>
        <v>0</v>
      </c>
      <c r="I72" s="650">
        <f t="shared" si="72"/>
        <v>4.7260598400000005</v>
      </c>
      <c r="J72" s="650">
        <f t="shared" si="72"/>
        <v>3.2255107200000004</v>
      </c>
      <c r="K72" s="650">
        <f t="shared" si="72"/>
        <v>0.42119208000000002</v>
      </c>
      <c r="L72" s="650">
        <f t="shared" si="72"/>
        <v>0.10173924000000001</v>
      </c>
      <c r="M72" s="650">
        <f t="shared" si="72"/>
        <v>23.362762679999999</v>
      </c>
      <c r="N72" s="650">
        <f t="shared" si="72"/>
        <v>3.726252E-2</v>
      </c>
      <c r="O72" s="650">
        <f t="shared" si="72"/>
        <v>25.3531674</v>
      </c>
      <c r="P72" s="650">
        <f t="shared" si="72"/>
        <v>0.73645811999999999</v>
      </c>
      <c r="Q72" s="650">
        <f t="shared" si="72"/>
        <v>1.19240064</v>
      </c>
      <c r="R72" s="650">
        <f t="shared" si="72"/>
        <v>7.8489939600000005</v>
      </c>
      <c r="S72" s="650">
        <f t="shared" si="72"/>
        <v>1.27529928</v>
      </c>
      <c r="T72" s="651">
        <f>INDEX('Eurostat-IEA'!$D$6:$L$6,MATCH('IDEES okt 2017 template'!T$68,'Eurostat-IEA'!$D$2:$L$2,0))*$N72/SUM($N$72,$N$82,$N$91)</f>
        <v>0</v>
      </c>
      <c r="U72" s="650">
        <f t="shared" si="67"/>
        <v>64.626188760000005</v>
      </c>
      <c r="V72" s="650">
        <f t="shared" si="67"/>
        <v>0.28428372000000002</v>
      </c>
      <c r="W72" s="650">
        <f t="shared" si="67"/>
        <v>0.27088595999999998</v>
      </c>
      <c r="X72" s="650">
        <f t="shared" si="67"/>
        <v>0.24911460000000002</v>
      </c>
      <c r="Y72" s="650">
        <f t="shared" si="67"/>
        <v>0</v>
      </c>
      <c r="Z72" s="650">
        <f t="shared" si="67"/>
        <v>12.994152480000002</v>
      </c>
      <c r="AA72" s="651">
        <f>INDEX('Eurostat-IEA'!$D$6:$L$6,MATCH('IDEES okt 2017 template'!AA$68,'Eurostat-IEA'!$D$2:$L$2,0))*$N72/SUM($N$72,$N$82,$N$91)</f>
        <v>3.3285242652738266E-3</v>
      </c>
      <c r="AB72" s="650">
        <f t="shared" si="68"/>
        <v>8.551957680000001</v>
      </c>
      <c r="AC72" s="650">
        <f t="shared" si="68"/>
        <v>3.6647060400000004</v>
      </c>
      <c r="AD72" s="650">
        <f t="shared" si="68"/>
        <v>8.4502184400000004</v>
      </c>
      <c r="AE72" s="650">
        <f t="shared" si="68"/>
        <v>0.14570064000000002</v>
      </c>
      <c r="AF72" s="650">
        <f t="shared" si="68"/>
        <v>0.29098260000000004</v>
      </c>
      <c r="AG72" s="650">
        <f t="shared" si="68"/>
        <v>2.7842220000000002</v>
      </c>
      <c r="AH72" s="650">
        <f t="shared" si="68"/>
        <v>34.96689756</v>
      </c>
      <c r="AI72" s="651">
        <f>INDEX('Eurostat-IEA'!$D$6:$L$6,MATCH('IDEES okt 2017 template'!AI$68,'Eurostat-IEA'!$D$2:$L$2,0))*$P72/SUM($P$72,$P$82,$P$91)</f>
        <v>0</v>
      </c>
      <c r="AJ72" s="651">
        <f>INDEX('Eurostat-IEA'!$D$6:$L$6,MATCH('IDEES okt 2017 template'!AJ$68,'Eurostat-IEA'!$D$2:$L$2,0))*$Q72/SUM($Q$72,$Q$82,$Q$91)</f>
        <v>9.4319843895678393E-2</v>
      </c>
      <c r="AK72" s="651">
        <f>INDEX('Eurostat-IEA'!$D$6:$L$6,MATCH('IDEES okt 2017 template'!AK$68,'Eurostat-IEA'!$D$2:$L$2,0))*$P72/SUM($P$72,$P$82,$P$91)</f>
        <v>0</v>
      </c>
      <c r="AL72" s="651">
        <f>INDEX('Eurostat-IEA'!$D$6:$L$6,MATCH('IDEES okt 2017 template'!AL$68,'Eurostat-IEA'!$D$2:$L$2,0))*$Q72/SUM($Q$72,$Q$82,$Q$91)</f>
        <v>0</v>
      </c>
      <c r="AM72" s="651">
        <f>INDEX('Eurostat-IEA'!$D$6:$L$6,MATCH('IDEES okt 2017 template'!AM$68,'Eurostat-IEA'!$D$2:$L$2,0))*$Q72/SUM($Q$72,$Q$82,$Q$91)</f>
        <v>0.47063602096626472</v>
      </c>
      <c r="AN72" s="652">
        <f>INDEX('Eurostat-IEA'!$D$6:$L$6,MATCH('IDEES okt 2017 template'!AN$68,'Eurostat-IEA'!$D$2:$L$2,0))*$Q72/SUM($Q$72,$Q$82,$Q$91)</f>
        <v>0</v>
      </c>
    </row>
    <row r="73" spans="1:40">
      <c r="B73" s="408"/>
      <c r="C73" s="633" t="s">
        <v>528</v>
      </c>
      <c r="D73" s="649">
        <f t="shared" si="65"/>
        <v>0.65816496000000002</v>
      </c>
      <c r="E73" s="650">
        <f t="shared" si="65"/>
        <v>1.025766</v>
      </c>
      <c r="F73" s="650">
        <f t="shared" si="65"/>
        <v>0.84405888000000007</v>
      </c>
      <c r="G73" s="651">
        <f>INDEX('Eurostat-IEA'!$D$4:$L$4,MATCH('IDEES okt 2017 template'!G$68,'Eurostat-IEA'!$D$2:$L$2,0))*$J73/SUM($J$73,$J$85,$J$93)</f>
        <v>0</v>
      </c>
      <c r="H73" s="650">
        <f t="shared" ref="H73:S73" si="73">H8*(41.868/1000)</f>
        <v>1.3477309200000001</v>
      </c>
      <c r="I73" s="650">
        <f t="shared" si="73"/>
        <v>9.0016200000000005E-2</v>
      </c>
      <c r="J73" s="650">
        <f t="shared" si="73"/>
        <v>17.962209359999999</v>
      </c>
      <c r="K73" s="650">
        <f t="shared" si="73"/>
        <v>0.50534676000000001</v>
      </c>
      <c r="L73" s="650">
        <f t="shared" si="73"/>
        <v>0.13355892</v>
      </c>
      <c r="M73" s="650">
        <f t="shared" si="73"/>
        <v>12.502622160000001</v>
      </c>
      <c r="N73" s="650">
        <f t="shared" si="73"/>
        <v>0.14067647999999999</v>
      </c>
      <c r="O73" s="650">
        <f t="shared" si="73"/>
        <v>24.297675120000005</v>
      </c>
      <c r="P73" s="650">
        <f t="shared" si="73"/>
        <v>1.09359216</v>
      </c>
      <c r="Q73" s="650">
        <f t="shared" si="73"/>
        <v>1.4942689199999999</v>
      </c>
      <c r="R73" s="650">
        <f t="shared" si="73"/>
        <v>2.3940122400000003</v>
      </c>
      <c r="S73" s="650">
        <f t="shared" si="73"/>
        <v>0.72808452000000001</v>
      </c>
      <c r="T73" s="651">
        <f>INDEX('Eurostat-IEA'!$D$4:$L$4,MATCH('IDEES okt 2017 template'!T$68,'Eurostat-IEA'!$D$2:$L$2,0))*$N73/SUM($N$73,$N$85,$N$93)</f>
        <v>1.5549295774647885E-2</v>
      </c>
      <c r="U73" s="650">
        <f t="shared" si="67"/>
        <v>19.031518080000001</v>
      </c>
      <c r="V73" s="650">
        <f t="shared" si="67"/>
        <v>0.98515404000000006</v>
      </c>
      <c r="W73" s="650">
        <f t="shared" si="67"/>
        <v>5.1916320000000002E-2</v>
      </c>
      <c r="X73" s="650">
        <f t="shared" si="67"/>
        <v>0.63262547999999996</v>
      </c>
      <c r="Y73" s="650">
        <f t="shared" si="67"/>
        <v>0.34289892</v>
      </c>
      <c r="Z73" s="650">
        <f t="shared" si="67"/>
        <v>0.9225613800000001</v>
      </c>
      <c r="AA73" s="651">
        <f>INDEX('Eurostat-IEA'!$D$4:$L$4,MATCH('IDEES okt 2017 template'!AA$68,'Eurostat-IEA'!$D$2:$L$2,0))*$N73/SUM($N$73,$N$85,$N$93)</f>
        <v>0.18692957746478872</v>
      </c>
      <c r="AB73" s="650">
        <f t="shared" si="68"/>
        <v>16.38671652</v>
      </c>
      <c r="AC73" s="650">
        <f t="shared" si="68"/>
        <v>14.820015960000003</v>
      </c>
      <c r="AD73" s="650">
        <f t="shared" si="68"/>
        <v>8.3421990000000008</v>
      </c>
      <c r="AE73" s="650">
        <f t="shared" si="68"/>
        <v>0</v>
      </c>
      <c r="AF73" s="650">
        <f t="shared" si="68"/>
        <v>0.83526659999999997</v>
      </c>
      <c r="AG73" s="650">
        <f t="shared" si="68"/>
        <v>0.35043515999999997</v>
      </c>
      <c r="AH73" s="650">
        <f t="shared" si="68"/>
        <v>2.9801642400000006</v>
      </c>
      <c r="AI73" s="651">
        <f>INDEX('Eurostat-IEA'!$D$4:$L$4,MATCH('IDEES okt 2017 template'!AI$68,'Eurostat-IEA'!$D$2:$L$2,0))*$P73/SUM($P$73,$P$85,$P$93)</f>
        <v>1.7647480347538267</v>
      </c>
      <c r="AJ73" s="651">
        <f>INDEX('Eurostat-IEA'!$D$4:$L$4,MATCH('IDEES okt 2017 template'!AJ$68,'Eurostat-IEA'!$D$2:$L$2,0))*$Q73/SUM($Q$73,$Q$85,$Q$93)</f>
        <v>0</v>
      </c>
      <c r="AK73" s="651">
        <f>INDEX('Eurostat-IEA'!$D$4:$L$4,MATCH('IDEES okt 2017 template'!AK$68,'Eurostat-IEA'!$D$2:$L$2,0))*$P73/SUM($P$73,$P$85,$P$93)</f>
        <v>0</v>
      </c>
      <c r="AL73" s="651">
        <f>INDEX('Eurostat-IEA'!$D$4:$L$4,MATCH('IDEES okt 2017 template'!AL$68,'Eurostat-IEA'!$D$2:$L$2,0))*$Q73/SUM($Q$73,$Q$85,$Q$93)</f>
        <v>0.1798788043399604</v>
      </c>
      <c r="AM73" s="651">
        <f>INDEX('Eurostat-IEA'!$D$4:$L$4,MATCH('IDEES okt 2017 template'!AM$68,'Eurostat-IEA'!$D$2:$L$2,0))*$Q73/SUM($Q$73,$Q$85,$Q$93)</f>
        <v>0.54561813097892975</v>
      </c>
      <c r="AN73" s="652">
        <f>INDEX('Eurostat-IEA'!$D$4:$L$4,MATCH('IDEES okt 2017 template'!AN$68,'Eurostat-IEA'!$D$2:$L$2,0))*$Q73/SUM($Q$73,$Q$85,$Q$93)</f>
        <v>0.1965421615115957</v>
      </c>
    </row>
    <row r="74" spans="1:40">
      <c r="B74" s="547"/>
      <c r="C74" s="619" t="s">
        <v>529</v>
      </c>
      <c r="D74" s="653">
        <f t="shared" si="65"/>
        <v>2.428344E-2</v>
      </c>
      <c r="E74" s="654">
        <f t="shared" si="65"/>
        <v>0</v>
      </c>
      <c r="F74" s="654">
        <f t="shared" si="65"/>
        <v>0.40611959999999997</v>
      </c>
      <c r="G74" s="655">
        <f>INDEX('Eurostat-IEA'!$D$3:$L$3,MATCH('IDEES okt 2017 template'!G$68,'Eurostat-IEA'!$D$2:$L$2,0))*$J74/SUM($J$74,$J$86,$J$95)</f>
        <v>0</v>
      </c>
      <c r="H74" s="654">
        <f t="shared" ref="H74:S74" si="74">H9*(41.868/1000)</f>
        <v>0</v>
      </c>
      <c r="I74" s="654">
        <f t="shared" si="74"/>
        <v>0</v>
      </c>
      <c r="J74" s="654">
        <f t="shared" si="74"/>
        <v>0</v>
      </c>
      <c r="K74" s="654">
        <f t="shared" si="74"/>
        <v>0</v>
      </c>
      <c r="L74" s="654">
        <f t="shared" si="74"/>
        <v>0</v>
      </c>
      <c r="M74" s="654">
        <f t="shared" si="74"/>
        <v>0.57610368000000001</v>
      </c>
      <c r="N74" s="654">
        <f t="shared" si="74"/>
        <v>0</v>
      </c>
      <c r="O74" s="654">
        <f t="shared" si="74"/>
        <v>0</v>
      </c>
      <c r="P74" s="654">
        <f t="shared" si="74"/>
        <v>0</v>
      </c>
      <c r="Q74" s="654">
        <f t="shared" si="74"/>
        <v>0</v>
      </c>
      <c r="R74" s="654">
        <f t="shared" si="74"/>
        <v>2.8470240000000004E-2</v>
      </c>
      <c r="S74" s="654">
        <f t="shared" si="74"/>
        <v>0</v>
      </c>
      <c r="T74" s="655">
        <f>INDEX('Eurostat-IEA'!$D$3:$L$3,MATCH('IDEES okt 2017 template'!T$68,'Eurostat-IEA'!$D$2:$L$2,0))*$N74/SUM($N$74,$N$86,$N$95)</f>
        <v>0</v>
      </c>
      <c r="U74" s="654">
        <f t="shared" si="67"/>
        <v>0</v>
      </c>
      <c r="V74" s="654">
        <f t="shared" si="67"/>
        <v>0</v>
      </c>
      <c r="W74" s="654">
        <f t="shared" si="67"/>
        <v>0</v>
      </c>
      <c r="X74" s="654">
        <f t="shared" si="67"/>
        <v>0</v>
      </c>
      <c r="Y74" s="654">
        <f t="shared" si="67"/>
        <v>0</v>
      </c>
      <c r="Z74" s="654">
        <f t="shared" si="67"/>
        <v>0</v>
      </c>
      <c r="AA74" s="655">
        <f>INDEX('Eurostat-IEA'!$D$3:$L$3,MATCH('IDEES okt 2017 template'!AA$68,'Eurostat-IEA'!$D$2:$L$2,0))*$N74/SUM($N$74,$N$86,$N$95)</f>
        <v>0</v>
      </c>
      <c r="AB74" s="654">
        <f t="shared" si="68"/>
        <v>7.0438723200000011</v>
      </c>
      <c r="AC74" s="654">
        <f t="shared" si="68"/>
        <v>0</v>
      </c>
      <c r="AD74" s="654">
        <f t="shared" si="68"/>
        <v>0</v>
      </c>
      <c r="AE74" s="654">
        <f t="shared" si="68"/>
        <v>0</v>
      </c>
      <c r="AF74" s="654">
        <f t="shared" si="68"/>
        <v>0</v>
      </c>
      <c r="AG74" s="654">
        <f t="shared" si="68"/>
        <v>0</v>
      </c>
      <c r="AH74" s="654">
        <f t="shared" si="68"/>
        <v>0</v>
      </c>
      <c r="AI74" s="655" t="e">
        <f>INDEX('Eurostat-IEA'!$D$3:$L$3,MATCH('IDEES okt 2017 template'!AI$68,'Eurostat-IEA'!$D$2:$L$2,0))*$P74/SUM($P$74,$P$86,$P$95)</f>
        <v>#DIV/0!</v>
      </c>
      <c r="AJ74" s="655">
        <f>INDEX('Eurostat-IEA'!$D$3:$L$3,MATCH('IDEES okt 2017 template'!AJ$68,'Eurostat-IEA'!$D$2:$L$2,0))*$Q74/SUM($Q$74,$Q$86,$Q$95)</f>
        <v>0</v>
      </c>
      <c r="AK74" s="655" t="e">
        <f>INDEX('Eurostat-IEA'!$D$3:$L$3,MATCH('IDEES okt 2017 template'!AK$68,'Eurostat-IEA'!$D$2:$L$2,0))*$P74/SUM($P$74,$P$86,$P$95)</f>
        <v>#DIV/0!</v>
      </c>
      <c r="AL74" s="655">
        <f>INDEX('Eurostat-IEA'!$D$3:$L$3,MATCH('IDEES okt 2017 template'!AL$68,'Eurostat-IEA'!$D$2:$L$2,0))*$Q74/SUM($Q$74,$Q$86,$Q$95)</f>
        <v>0</v>
      </c>
      <c r="AM74" s="655">
        <f>INDEX('Eurostat-IEA'!$D$3:$L$3,MATCH('IDEES okt 2017 template'!AM$68,'Eurostat-IEA'!$D$2:$L$2,0))*$Q74/SUM($Q$74,$Q$86,$Q$95)</f>
        <v>0</v>
      </c>
      <c r="AN74" s="656">
        <f>INDEX('Eurostat-IEA'!$D$3:$L$3,MATCH('IDEES okt 2017 template'!AN$68,'Eurostat-IEA'!$D$2:$L$2,0))*$Q74/SUM($Q$74,$Q$86,$Q$95)</f>
        <v>0</v>
      </c>
    </row>
    <row r="75" spans="1:40">
      <c r="B75" s="634" t="s">
        <v>530</v>
      </c>
      <c r="C75" s="635" t="s">
        <v>525</v>
      </c>
      <c r="D75" s="645">
        <f t="shared" si="65"/>
        <v>0.33201323999999999</v>
      </c>
      <c r="E75" s="646">
        <f t="shared" si="65"/>
        <v>1.55079072</v>
      </c>
      <c r="F75" s="646">
        <f t="shared" si="65"/>
        <v>0.37723068000000004</v>
      </c>
      <c r="G75" s="647">
        <f>G76</f>
        <v>0.38015705043223014</v>
      </c>
      <c r="H75" s="646">
        <f t="shared" ref="H75:S75" si="75">H10*(41.868/1000)</f>
        <v>1.0667966400000002</v>
      </c>
      <c r="I75" s="646">
        <f t="shared" si="75"/>
        <v>8.1223920000000005E-2</v>
      </c>
      <c r="J75" s="646">
        <f t="shared" si="75"/>
        <v>3.1991338800000002</v>
      </c>
      <c r="K75" s="646">
        <f t="shared" si="75"/>
        <v>0.20766528000000001</v>
      </c>
      <c r="L75" s="646">
        <f t="shared" si="75"/>
        <v>2.0934E-3</v>
      </c>
      <c r="M75" s="646">
        <f t="shared" si="75"/>
        <v>6.1123093200000005</v>
      </c>
      <c r="N75" s="646">
        <f t="shared" si="75"/>
        <v>6.9919560000000006E-2</v>
      </c>
      <c r="O75" s="646">
        <f t="shared" si="75"/>
        <v>17.22616992</v>
      </c>
      <c r="P75" s="646">
        <f t="shared" si="75"/>
        <v>2.5078932000000003</v>
      </c>
      <c r="Q75" s="646">
        <f t="shared" si="75"/>
        <v>2.28013128</v>
      </c>
      <c r="R75" s="646">
        <f t="shared" si="75"/>
        <v>9.1272240000000018E-2</v>
      </c>
      <c r="S75" s="646">
        <f t="shared" si="75"/>
        <v>0.1088568</v>
      </c>
      <c r="T75" s="647">
        <f>T76</f>
        <v>3.6881505305479522E-3</v>
      </c>
      <c r="U75" s="646">
        <f t="shared" si="67"/>
        <v>12.94516692</v>
      </c>
      <c r="V75" s="646">
        <f t="shared" si="67"/>
        <v>3.7681200000000002E-3</v>
      </c>
      <c r="W75" s="646">
        <f t="shared" si="67"/>
        <v>0.21855095999999999</v>
      </c>
      <c r="X75" s="646">
        <f t="shared" si="67"/>
        <v>4.1868000000000005E-4</v>
      </c>
      <c r="Y75" s="646">
        <f t="shared" si="67"/>
        <v>0.26837388000000001</v>
      </c>
      <c r="Z75" s="646">
        <f t="shared" si="67"/>
        <v>1.5715153799999999</v>
      </c>
      <c r="AA75" s="647">
        <f>AA76</f>
        <v>0.15784269588183006</v>
      </c>
      <c r="AB75" s="646">
        <f t="shared" si="68"/>
        <v>0.14946876000000001</v>
      </c>
      <c r="AC75" s="646">
        <f t="shared" si="68"/>
        <v>0.67281876000000007</v>
      </c>
      <c r="AD75" s="646">
        <f t="shared" si="68"/>
        <v>0.15951708000000001</v>
      </c>
      <c r="AE75" s="646">
        <f t="shared" si="68"/>
        <v>0.2344608</v>
      </c>
      <c r="AF75" s="646">
        <f t="shared" si="68"/>
        <v>0.14276988000000002</v>
      </c>
      <c r="AG75" s="646">
        <f t="shared" si="68"/>
        <v>8.6666759999999995E-2</v>
      </c>
      <c r="AH75" s="646">
        <f t="shared" si="68"/>
        <v>1.1132701200000001</v>
      </c>
      <c r="AI75" s="647">
        <f t="shared" ref="AI75:AN75" si="76">AI76</f>
        <v>0.39284234761774245</v>
      </c>
      <c r="AJ75" s="647">
        <f t="shared" si="76"/>
        <v>1.8110307989225023</v>
      </c>
      <c r="AK75" s="647">
        <f t="shared" si="76"/>
        <v>0.19426103160843369</v>
      </c>
      <c r="AL75" s="647">
        <f t="shared" si="76"/>
        <v>1.288032500475651</v>
      </c>
      <c r="AM75" s="647">
        <f t="shared" si="76"/>
        <v>5.8344917510161753</v>
      </c>
      <c r="AN75" s="648">
        <f t="shared" si="76"/>
        <v>0.893361591628556</v>
      </c>
    </row>
    <row r="76" spans="1:40">
      <c r="B76" s="547"/>
      <c r="C76" s="619" t="s">
        <v>510</v>
      </c>
      <c r="D76" s="653">
        <f t="shared" si="65"/>
        <v>0.33201323999999999</v>
      </c>
      <c r="E76" s="654">
        <f t="shared" si="65"/>
        <v>1.55079072</v>
      </c>
      <c r="F76" s="654">
        <f t="shared" si="65"/>
        <v>0.37723068000000004</v>
      </c>
      <c r="G76" s="655">
        <f>INDEX('Eurostat-IEA'!$D$10:$L$10,MATCH('IDEES okt 2017 template'!G$68,'Eurostat-IEA'!$D$2:$L$2,0))*$J76/SUM($J$71,$J$76,$J$81,$J$90,$J$96)</f>
        <v>0.38015705043223014</v>
      </c>
      <c r="H76" s="654">
        <f t="shared" ref="H76:S76" si="77">H11*(41.868/1000)</f>
        <v>1.0667966400000002</v>
      </c>
      <c r="I76" s="654">
        <f t="shared" si="77"/>
        <v>8.1223920000000005E-2</v>
      </c>
      <c r="J76" s="654">
        <f t="shared" si="77"/>
        <v>3.1991338800000002</v>
      </c>
      <c r="K76" s="654">
        <f t="shared" si="77"/>
        <v>0.20766528000000001</v>
      </c>
      <c r="L76" s="654">
        <f t="shared" si="77"/>
        <v>2.0934E-3</v>
      </c>
      <c r="M76" s="654">
        <f t="shared" si="77"/>
        <v>6.1123093200000005</v>
      </c>
      <c r="N76" s="654">
        <f t="shared" si="77"/>
        <v>6.9919560000000006E-2</v>
      </c>
      <c r="O76" s="654">
        <f t="shared" si="77"/>
        <v>17.22616992</v>
      </c>
      <c r="P76" s="654">
        <f t="shared" si="77"/>
        <v>2.5078932000000003</v>
      </c>
      <c r="Q76" s="654">
        <f t="shared" si="77"/>
        <v>2.28013128</v>
      </c>
      <c r="R76" s="654">
        <f t="shared" si="77"/>
        <v>9.1272240000000018E-2</v>
      </c>
      <c r="S76" s="654">
        <f t="shared" si="77"/>
        <v>0.1088568</v>
      </c>
      <c r="T76" s="655">
        <f>INDEX('Eurostat-IEA'!$D$10:$L$10,MATCH('IDEES okt 2017 template'!T$68,'Eurostat-IEA'!$D$2:$L$2,0))*$N76/SUM($N$71,$N$76,$N$81,$N$90,$N$96)</f>
        <v>3.6881505305479522E-3</v>
      </c>
      <c r="U76" s="654">
        <f t="shared" si="67"/>
        <v>12.94516692</v>
      </c>
      <c r="V76" s="654">
        <f t="shared" si="67"/>
        <v>3.7681200000000002E-3</v>
      </c>
      <c r="W76" s="654">
        <f t="shared" si="67"/>
        <v>0.21855095999999999</v>
      </c>
      <c r="X76" s="654">
        <f t="shared" si="67"/>
        <v>4.1868000000000005E-4</v>
      </c>
      <c r="Y76" s="654">
        <f t="shared" si="67"/>
        <v>0.26837388000000001</v>
      </c>
      <c r="Z76" s="654">
        <f t="shared" si="67"/>
        <v>1.5715153799999999</v>
      </c>
      <c r="AA76" s="655">
        <f>INDEX('Eurostat-IEA'!$D$10:$L$10,MATCH('IDEES okt 2017 template'!AA$68,'Eurostat-IEA'!$D$2:$L$2,0))*$N76/SUM($N$71,$N$76,$N$81,$N$90,$N$96)</f>
        <v>0.15784269588183006</v>
      </c>
      <c r="AB76" s="654">
        <f t="shared" si="68"/>
        <v>0.14946876000000001</v>
      </c>
      <c r="AC76" s="654">
        <f t="shared" si="68"/>
        <v>0.67281876000000007</v>
      </c>
      <c r="AD76" s="654">
        <f t="shared" si="68"/>
        <v>0.15951708000000001</v>
      </c>
      <c r="AE76" s="654">
        <f t="shared" si="68"/>
        <v>0.2344608</v>
      </c>
      <c r="AF76" s="654">
        <f t="shared" si="68"/>
        <v>0.14276988000000002</v>
      </c>
      <c r="AG76" s="654">
        <f t="shared" si="68"/>
        <v>8.6666759999999995E-2</v>
      </c>
      <c r="AH76" s="654">
        <f t="shared" si="68"/>
        <v>1.1132701200000001</v>
      </c>
      <c r="AI76" s="655">
        <f>INDEX('Eurostat-IEA'!$D$10:$L$10,MATCH('IDEES okt 2017 template'!AI$68,'Eurostat-IEA'!$D$2:$L$2,0))*$P76/SUM($P$71,$P$76,$P$81,$P$90,$P$96)</f>
        <v>0.39284234761774245</v>
      </c>
      <c r="AJ76" s="655">
        <f>INDEX('Eurostat-IEA'!$D$10:$L$10,MATCH('IDEES okt 2017 template'!AJ$68,'Eurostat-IEA'!$D$2:$L$2,0))*$Q76/SUM($Q$71,$Q$76,$Q$81,$Q$90,$Q$96)</f>
        <v>1.8110307989225023</v>
      </c>
      <c r="AK76" s="655">
        <f>INDEX('Eurostat-IEA'!$D$10:$L$10,MATCH('IDEES okt 2017 template'!AK$68,'Eurostat-IEA'!$D$2:$L$2,0))*$P76/SUM($P$71,$P$76,$P$81,$P$90,$P$96)</f>
        <v>0.19426103160843369</v>
      </c>
      <c r="AL76" s="655">
        <f>INDEX('Eurostat-IEA'!$D$10:$L$10,MATCH('IDEES okt 2017 template'!AL$68,'Eurostat-IEA'!$D$2:$L$2,0))*$Q76/SUM($Q$71,$Q$76,$Q$81,$Q$90,$Q$96)</f>
        <v>1.288032500475651</v>
      </c>
      <c r="AM76" s="655">
        <f>INDEX('Eurostat-IEA'!$D$10:$L$10,MATCH('IDEES okt 2017 template'!AM$68,'Eurostat-IEA'!$D$2:$L$2,0))*$Q76/SUM($Q$71,$Q$76,$Q$81,$Q$90,$Q$96)</f>
        <v>5.8344917510161753</v>
      </c>
      <c r="AN76" s="656">
        <f>INDEX('Eurostat-IEA'!$D$10:$L$10,MATCH('IDEES okt 2017 template'!AN$68,'Eurostat-IEA'!$D$2:$L$2,0))*$Q76/SUM($Q$71,$Q$76,$Q$81,$Q$90,$Q$96)</f>
        <v>0.893361591628556</v>
      </c>
    </row>
    <row r="77" spans="1:40">
      <c r="A77" s="764"/>
      <c r="B77" s="634" t="s">
        <v>531</v>
      </c>
      <c r="C77" s="635" t="s">
        <v>525</v>
      </c>
      <c r="D77" s="645">
        <f t="shared" si="65"/>
        <v>184.07820547198904</v>
      </c>
      <c r="E77" s="646">
        <f t="shared" si="65"/>
        <v>277.16624906901711</v>
      </c>
      <c r="F77" s="646">
        <f t="shared" si="65"/>
        <v>49.951008021183064</v>
      </c>
      <c r="G77" s="647">
        <f>SUM(G78:G86)</f>
        <v>188.37794784930173</v>
      </c>
      <c r="H77" s="646">
        <f t="shared" ref="H77:S77" si="78">H12*(41.868/1000)</f>
        <v>5.4409199948944655</v>
      </c>
      <c r="I77" s="646">
        <f t="shared" si="78"/>
        <v>232.62037267316293</v>
      </c>
      <c r="J77" s="646">
        <f t="shared" si="78"/>
        <v>1811.3431246324863</v>
      </c>
      <c r="K77" s="646">
        <f t="shared" si="78"/>
        <v>143.64486602205071</v>
      </c>
      <c r="L77" s="646">
        <f t="shared" si="78"/>
        <v>30.474008390439753</v>
      </c>
      <c r="M77" s="646">
        <f t="shared" si="78"/>
        <v>340.29258703208097</v>
      </c>
      <c r="N77" s="646">
        <f t="shared" si="78"/>
        <v>179.50581204912547</v>
      </c>
      <c r="O77" s="646">
        <f t="shared" si="78"/>
        <v>1168.2202695089638</v>
      </c>
      <c r="P77" s="646">
        <f t="shared" si="78"/>
        <v>110.41485735473471</v>
      </c>
      <c r="Q77" s="646">
        <f t="shared" si="78"/>
        <v>74.483620348013574</v>
      </c>
      <c r="R77" s="646">
        <f t="shared" si="78"/>
        <v>205.82827601676885</v>
      </c>
      <c r="S77" s="646">
        <f t="shared" si="78"/>
        <v>91.333790648386724</v>
      </c>
      <c r="T77" s="647">
        <f>SUM(T78:T86)</f>
        <v>14.645998986523697</v>
      </c>
      <c r="U77" s="646">
        <f t="shared" si="67"/>
        <v>922.817537378304</v>
      </c>
      <c r="V77" s="646">
        <f t="shared" si="67"/>
        <v>47.067792424110806</v>
      </c>
      <c r="W77" s="646">
        <f t="shared" si="67"/>
        <v>16.169210120373009</v>
      </c>
      <c r="X77" s="646">
        <f t="shared" si="67"/>
        <v>41.670730348174025</v>
      </c>
      <c r="Y77" s="646">
        <f t="shared" si="67"/>
        <v>0.44411911748917954</v>
      </c>
      <c r="Z77" s="646">
        <f t="shared" si="67"/>
        <v>344.69405659009061</v>
      </c>
      <c r="AA77" s="647">
        <f>SUM(AA78:AA86)</f>
        <v>78.228577102298431</v>
      </c>
      <c r="AB77" s="646">
        <f t="shared" si="68"/>
        <v>646.5154672810454</v>
      </c>
      <c r="AC77" s="646">
        <f t="shared" si="68"/>
        <v>23.217055017531557</v>
      </c>
      <c r="AD77" s="646">
        <f t="shared" si="68"/>
        <v>232.02777868072499</v>
      </c>
      <c r="AE77" s="646">
        <f t="shared" si="68"/>
        <v>229.75316911248274</v>
      </c>
      <c r="AF77" s="646">
        <f t="shared" si="68"/>
        <v>34.816348380811597</v>
      </c>
      <c r="AG77" s="646">
        <f t="shared" si="68"/>
        <v>66.535321232585133</v>
      </c>
      <c r="AH77" s="646">
        <f t="shared" si="68"/>
        <v>1308.4027542413389</v>
      </c>
      <c r="AI77" s="647" t="e">
        <f t="shared" ref="AI77:AN77" si="79">SUM(AI78:AI86)</f>
        <v>#DIV/0!</v>
      </c>
      <c r="AJ77" s="647">
        <f t="shared" si="79"/>
        <v>17.119189903824363</v>
      </c>
      <c r="AK77" s="647" t="e">
        <f t="shared" si="79"/>
        <v>#DIV/0!</v>
      </c>
      <c r="AL77" s="647">
        <f t="shared" si="79"/>
        <v>10.144248073718391</v>
      </c>
      <c r="AM77" s="647">
        <f t="shared" si="79"/>
        <v>71.700394233768719</v>
      </c>
      <c r="AN77" s="648">
        <f t="shared" si="79"/>
        <v>10.736434328901376</v>
      </c>
    </row>
    <row r="78" spans="1:40">
      <c r="A78" s="764"/>
      <c r="B78" s="408"/>
      <c r="C78" s="633" t="s">
        <v>526</v>
      </c>
      <c r="D78" s="649">
        <f t="shared" si="65"/>
        <v>58.944226143768837</v>
      </c>
      <c r="E78" s="650">
        <f t="shared" si="65"/>
        <v>19.374007252439764</v>
      </c>
      <c r="F78" s="650">
        <f t="shared" si="65"/>
        <v>26.428866069862554</v>
      </c>
      <c r="G78" s="651">
        <f>INDEX('Eurostat-IEA'!$D$7:$L$7,MATCH('IDEES okt 2017 template'!G$68,'Eurostat-IEA'!$D$2:$L$2,0))*$J78/SUM($J$70,$J$78,$J$88)</f>
        <v>19.014922996932277</v>
      </c>
      <c r="H78" s="650">
        <f t="shared" ref="H78:S78" si="80">H13*(41.868/1000)</f>
        <v>0.22260185233950397</v>
      </c>
      <c r="I78" s="650">
        <f t="shared" si="80"/>
        <v>59.797720078243145</v>
      </c>
      <c r="J78" s="650">
        <f t="shared" si="80"/>
        <v>229.66826077078028</v>
      </c>
      <c r="K78" s="650">
        <f t="shared" si="80"/>
        <v>33.925111942629705</v>
      </c>
      <c r="L78" s="650">
        <f t="shared" si="80"/>
        <v>14.970423869224421</v>
      </c>
      <c r="M78" s="650">
        <f t="shared" si="80"/>
        <v>85.308802551129133</v>
      </c>
      <c r="N78" s="650">
        <f t="shared" si="80"/>
        <v>54.472734630181861</v>
      </c>
      <c r="O78" s="650">
        <f t="shared" si="80"/>
        <v>277.83272354786766</v>
      </c>
      <c r="P78" s="650">
        <f t="shared" si="80"/>
        <v>22.891693469664208</v>
      </c>
      <c r="Q78" s="650">
        <f t="shared" si="80"/>
        <v>44.6778444825554</v>
      </c>
      <c r="R78" s="650">
        <f t="shared" si="80"/>
        <v>61.745349582895869</v>
      </c>
      <c r="S78" s="650">
        <f t="shared" si="80"/>
        <v>0.98211579821572292</v>
      </c>
      <c r="T78" s="651">
        <f>INDEX('Eurostat-IEA'!$D$7:$L$7,MATCH('IDEES okt 2017 template'!T$68,'Eurostat-IEA'!$D$2:$L$2,0))*$N78/SUM($N$70,$N$78,$N$88)</f>
        <v>0</v>
      </c>
      <c r="U78" s="650">
        <f t="shared" si="67"/>
        <v>264.54460082119965</v>
      </c>
      <c r="V78" s="650">
        <f t="shared" si="67"/>
        <v>20.30725626565971</v>
      </c>
      <c r="W78" s="650">
        <f t="shared" si="67"/>
        <v>0.67850116936055338</v>
      </c>
      <c r="X78" s="650">
        <f t="shared" si="67"/>
        <v>20.611846416672492</v>
      </c>
      <c r="Y78" s="650">
        <f t="shared" si="67"/>
        <v>3.1000000000000111E-2</v>
      </c>
      <c r="Z78" s="650">
        <f t="shared" si="67"/>
        <v>14.494346146294376</v>
      </c>
      <c r="AA78" s="651">
        <f>INDEX('Eurostat-IEA'!$D$7:$L$7,MATCH('IDEES okt 2017 template'!AA$68,'Eurostat-IEA'!$D$2:$L$2,0))*$N78/SUM($N$70,$N$78,$N$88)</f>
        <v>26.739811126717257</v>
      </c>
      <c r="AB78" s="650">
        <f t="shared" si="68"/>
        <v>94.901909923992832</v>
      </c>
      <c r="AC78" s="650">
        <f t="shared" si="68"/>
        <v>16.599578005610606</v>
      </c>
      <c r="AD78" s="650">
        <f t="shared" si="68"/>
        <v>116.39414594101103</v>
      </c>
      <c r="AE78" s="650">
        <f t="shared" si="68"/>
        <v>22.356610656108789</v>
      </c>
      <c r="AF78" s="650">
        <f t="shared" si="68"/>
        <v>17.386577946345685</v>
      </c>
      <c r="AG78" s="650">
        <f t="shared" si="68"/>
        <v>1.6264578431938683</v>
      </c>
      <c r="AH78" s="650">
        <f t="shared" si="68"/>
        <v>40.643045466332403</v>
      </c>
      <c r="AI78" s="651">
        <f>INDEX('Eurostat-IEA'!$D$7:$L$7,MATCH('IDEES okt 2017 template'!AI$68,'Eurostat-IEA'!$D$2:$L$2,0))*$P78/SUM($P$70,$P$78,$P$88)</f>
        <v>6.8940368562873164</v>
      </c>
      <c r="AJ78" s="651">
        <f>INDEX('Eurostat-IEA'!$D$7:$L$7,MATCH('IDEES okt 2017 template'!AJ$68,'Eurostat-IEA'!$D$2:$L$2,0))*$Q78/SUM($Q$70,$Q$78,$Q$88)</f>
        <v>7.236650878832716</v>
      </c>
      <c r="AK78" s="651">
        <f>INDEX('Eurostat-IEA'!$D$7:$L$7,MATCH('IDEES okt 2017 template'!AK$68,'Eurostat-IEA'!$D$2:$L$2,0))*$P78/SUM($P$70,$P$78,$P$88)</f>
        <v>8.6301614595792433</v>
      </c>
      <c r="AL78" s="651">
        <f>INDEX('Eurostat-IEA'!$D$7:$L$7,MATCH('IDEES okt 2017 template'!AL$68,'Eurostat-IEA'!$D$2:$L$2,0))*$Q78/SUM($Q$70,$Q$78,$Q$88)</f>
        <v>7.3589726584575308</v>
      </c>
      <c r="AM78" s="651">
        <f>INDEX('Eurostat-IEA'!$D$7:$L$7,MATCH('IDEES okt 2017 template'!AM$68,'Eurostat-IEA'!$D$2:$L$2,0))*$Q78/SUM($Q$70,$Q$78,$Q$88)</f>
        <v>39.728029438757297</v>
      </c>
      <c r="AN78" s="652">
        <f>INDEX('Eurostat-IEA'!$D$7:$L$7,MATCH('IDEES okt 2017 template'!AN$68,'Eurostat-IEA'!$D$2:$L$2,0))*$Q78/SUM($Q$70,$Q$78,$Q$88)</f>
        <v>8.9551047225731359</v>
      </c>
    </row>
    <row r="79" spans="1:40">
      <c r="A79" s="764"/>
      <c r="B79" s="408"/>
      <c r="C79" s="633" t="s">
        <v>532</v>
      </c>
      <c r="D79" s="649">
        <f t="shared" si="65"/>
        <v>21.660131553947309</v>
      </c>
      <c r="E79" s="650">
        <f t="shared" si="65"/>
        <v>0.40426266593462457</v>
      </c>
      <c r="F79" s="650">
        <f t="shared" si="65"/>
        <v>11.324124371099524</v>
      </c>
      <c r="G79" s="651">
        <f>INDEX('Eurostat-IEA'!$D$11:$L$11,MATCH('IDEES okt 2017 template'!G$68,'Eurostat-IEA'!$D$2:$L$2,0))*$J79/SUM($J$79,$J$89)</f>
        <v>6.0556994894850291</v>
      </c>
      <c r="H79" s="650">
        <f t="shared" ref="H79:S79" si="81">H14*(41.868/1000)</f>
        <v>0</v>
      </c>
      <c r="I79" s="650">
        <f t="shared" si="81"/>
        <v>45.592106387306849</v>
      </c>
      <c r="J79" s="650">
        <f t="shared" si="81"/>
        <v>164.19922736427736</v>
      </c>
      <c r="K79" s="650">
        <f t="shared" si="81"/>
        <v>65.793430103144388</v>
      </c>
      <c r="L79" s="650">
        <f t="shared" si="81"/>
        <v>12.753160951775746</v>
      </c>
      <c r="M79" s="650">
        <f t="shared" si="81"/>
        <v>0</v>
      </c>
      <c r="N79" s="650">
        <f t="shared" si="81"/>
        <v>63.965554683179811</v>
      </c>
      <c r="O79" s="650">
        <f t="shared" si="81"/>
        <v>64.264480618556149</v>
      </c>
      <c r="P79" s="650">
        <f t="shared" si="81"/>
        <v>1.6490233580754303</v>
      </c>
      <c r="Q79" s="650">
        <f t="shared" si="81"/>
        <v>5.3570341468917313</v>
      </c>
      <c r="R79" s="650">
        <f t="shared" si="81"/>
        <v>21.184446060245605</v>
      </c>
      <c r="S79" s="650">
        <f t="shared" si="81"/>
        <v>0</v>
      </c>
      <c r="T79" s="651">
        <f>INDEX('Eurostat-IEA'!$D$11:$L$11,MATCH('IDEES okt 2017 template'!T$68,'Eurostat-IEA'!$D$2:$L$2,0))*$N79/SUM($N$79,$N$89)</f>
        <v>5.9532594339404836</v>
      </c>
      <c r="U79" s="650">
        <f t="shared" ref="U79:Z88" si="82">U14*(41.868/1000)</f>
        <v>4.2336736751160409</v>
      </c>
      <c r="V79" s="650">
        <f t="shared" si="82"/>
        <v>18.860592115987629</v>
      </c>
      <c r="W79" s="650">
        <f t="shared" si="82"/>
        <v>0</v>
      </c>
      <c r="X79" s="650">
        <f t="shared" si="82"/>
        <v>14.892024007670544</v>
      </c>
      <c r="Y79" s="650">
        <f t="shared" si="82"/>
        <v>0</v>
      </c>
      <c r="Z79" s="650">
        <f t="shared" si="82"/>
        <v>10.294318485068668</v>
      </c>
      <c r="AA79" s="651">
        <f>INDEX('Eurostat-IEA'!$D$11:$L$11,MATCH('IDEES okt 2017 template'!AA$68,'Eurostat-IEA'!$D$2:$L$2,0))*$N79/SUM($N$79,$N$89)</f>
        <v>3.4176281169980531</v>
      </c>
      <c r="AB79" s="650">
        <f t="shared" ref="AB79:AH88" si="83">AB14*(41.868/1000)</f>
        <v>165.65016387992853</v>
      </c>
      <c r="AC79" s="650">
        <f t="shared" si="83"/>
        <v>2.3882494075284318E-2</v>
      </c>
      <c r="AD79" s="650">
        <f t="shared" si="83"/>
        <v>40.957662386231014</v>
      </c>
      <c r="AE79" s="650">
        <f t="shared" si="83"/>
        <v>118.31661356424809</v>
      </c>
      <c r="AF79" s="650">
        <f t="shared" si="83"/>
        <v>3.3647129858878402</v>
      </c>
      <c r="AG79" s="650">
        <f t="shared" si="83"/>
        <v>17.546160832667312</v>
      </c>
      <c r="AH79" s="650">
        <f t="shared" si="83"/>
        <v>1.7343865168290529</v>
      </c>
      <c r="AI79" s="651">
        <f>INDEX('Eurostat-IEA'!$D$11:$L$11,MATCH('IDEES okt 2017 template'!AI$68,'Eurostat-IEA'!$D$2:$L$2,0))*$P79/SUM($P$79,$P$89)</f>
        <v>0</v>
      </c>
      <c r="AJ79" s="651">
        <f>INDEX('Eurostat-IEA'!$D$11:$L$11,MATCH('IDEES okt 2017 template'!AJ$68,'Eurostat-IEA'!$D$2:$L$2,0))*$Q79/SUM($Q$79,$Q$89)</f>
        <v>3.4662025664728571</v>
      </c>
      <c r="AK79" s="651">
        <f>INDEX('Eurostat-IEA'!$D$11:$L$11,MATCH('IDEES okt 2017 template'!AK$68,'Eurostat-IEA'!$D$2:$L$2,0))*$P79/SUM($P$79,$P$89)</f>
        <v>0</v>
      </c>
      <c r="AL79" s="651">
        <f>INDEX('Eurostat-IEA'!$D$11:$L$11,MATCH('IDEES okt 2017 template'!AL$68,'Eurostat-IEA'!$D$2:$L$2,0))*$Q79/SUM($Q$79,$Q$89)</f>
        <v>1.2247609410144107</v>
      </c>
      <c r="AM79" s="651">
        <f>INDEX('Eurostat-IEA'!$D$11:$L$11,MATCH('IDEES okt 2017 template'!AM$68,'Eurostat-IEA'!$D$2:$L$2,0))*$Q79/SUM($Q$79,$Q$89)</f>
        <v>13.725413019224742</v>
      </c>
      <c r="AN79" s="652">
        <f>INDEX('Eurostat-IEA'!$D$11:$L$11,MATCH('IDEES okt 2017 template'!AN$68,'Eurostat-IEA'!$D$2:$L$2,0))*$Q79/SUM($Q$79,$Q$89)</f>
        <v>0.12561761021858978</v>
      </c>
    </row>
    <row r="80" spans="1:40">
      <c r="A80" s="764"/>
      <c r="B80" s="408"/>
      <c r="C80" s="633" t="s">
        <v>959</v>
      </c>
      <c r="D80" s="649">
        <f t="shared" si="65"/>
        <v>2.3918180522857226</v>
      </c>
      <c r="E80" s="650">
        <f t="shared" si="65"/>
        <v>1.1096452590428301</v>
      </c>
      <c r="F80" s="650">
        <f t="shared" si="65"/>
        <v>0.4037870730418277</v>
      </c>
      <c r="G80" s="651">
        <v>0</v>
      </c>
      <c r="H80" s="650">
        <f t="shared" ref="H80:S80" si="84">H15*(41.868/1000)</f>
        <v>0.382697274379109</v>
      </c>
      <c r="I80" s="650">
        <f t="shared" si="84"/>
        <v>0.61550976109340538</v>
      </c>
      <c r="J80" s="650">
        <f t="shared" si="84"/>
        <v>5.7588557113390513</v>
      </c>
      <c r="K80" s="650">
        <f t="shared" si="84"/>
        <v>1.5073533830657493</v>
      </c>
      <c r="L80" s="650">
        <f t="shared" si="84"/>
        <v>0</v>
      </c>
      <c r="M80" s="650">
        <f t="shared" si="84"/>
        <v>8.8723699549403214</v>
      </c>
      <c r="N80" s="650">
        <f t="shared" si="84"/>
        <v>16.280873223946987</v>
      </c>
      <c r="O80" s="650">
        <f t="shared" si="84"/>
        <v>12.292240555259996</v>
      </c>
      <c r="P80" s="650">
        <f t="shared" si="84"/>
        <v>0.94260688118788716</v>
      </c>
      <c r="Q80" s="650">
        <f t="shared" si="84"/>
        <v>0.22901929092292972</v>
      </c>
      <c r="R80" s="650">
        <f t="shared" si="84"/>
        <v>5.3309684221942481E-2</v>
      </c>
      <c r="S80" s="650">
        <f t="shared" si="84"/>
        <v>0.1761683167212062</v>
      </c>
      <c r="T80" s="651">
        <v>0</v>
      </c>
      <c r="U80" s="650">
        <f t="shared" si="82"/>
        <v>1.2341037022771506</v>
      </c>
      <c r="V80" s="650">
        <f t="shared" si="82"/>
        <v>0</v>
      </c>
      <c r="W80" s="650">
        <f t="shared" si="82"/>
        <v>6.6631121793405523E-2</v>
      </c>
      <c r="X80" s="650">
        <f t="shared" si="82"/>
        <v>0</v>
      </c>
      <c r="Y80" s="650">
        <f t="shared" si="82"/>
        <v>2.6708683484698032E-2</v>
      </c>
      <c r="Z80" s="650">
        <f t="shared" si="82"/>
        <v>1.2999995464239988</v>
      </c>
      <c r="AA80" s="651">
        <v>0</v>
      </c>
      <c r="AB80" s="650">
        <f t="shared" si="83"/>
        <v>0.30004601411703058</v>
      </c>
      <c r="AC80" s="650">
        <f t="shared" si="83"/>
        <v>5.717986452712942E-2</v>
      </c>
      <c r="AD80" s="650">
        <f t="shared" si="83"/>
        <v>9.5022435768251798E-2</v>
      </c>
      <c r="AE80" s="650">
        <f t="shared" si="83"/>
        <v>27.184532011677348</v>
      </c>
      <c r="AF80" s="650">
        <f t="shared" si="83"/>
        <v>0.12337194589407698</v>
      </c>
      <c r="AG80" s="650">
        <f t="shared" si="83"/>
        <v>9.1815804606340451E-2</v>
      </c>
      <c r="AH80" s="650">
        <f t="shared" si="83"/>
        <v>4.2305421140955426</v>
      </c>
      <c r="AI80" s="651">
        <v>0</v>
      </c>
      <c r="AJ80" s="651">
        <v>0</v>
      </c>
      <c r="AK80" s="651">
        <v>0</v>
      </c>
      <c r="AL80" s="651">
        <v>0</v>
      </c>
      <c r="AM80" s="651">
        <v>0</v>
      </c>
      <c r="AN80" s="652">
        <v>0</v>
      </c>
    </row>
    <row r="81" spans="1:40">
      <c r="A81" s="764"/>
      <c r="B81" s="408"/>
      <c r="C81" s="633" t="s">
        <v>510</v>
      </c>
      <c r="D81" s="649">
        <f t="shared" si="65"/>
        <v>12.630157377770994</v>
      </c>
      <c r="E81" s="650">
        <f t="shared" si="65"/>
        <v>9.9566803123967862</v>
      </c>
      <c r="F81" s="650">
        <f t="shared" si="65"/>
        <v>3.2237452692615562</v>
      </c>
      <c r="G81" s="651">
        <f>INDEX('Eurostat-IEA'!$D$10:$L$10,MATCH('IDEES okt 2017 template'!G$68,'Eurostat-IEA'!$D$2:$L$2,0))*$J81/SUM($J$71,$J$76,$J$81,$J$90,$J$96)</f>
        <v>9.5194436241513127</v>
      </c>
      <c r="H81" s="650">
        <f t="shared" ref="H81:S81" si="85">H16*(41.868/1000)</f>
        <v>0.60012893621975094</v>
      </c>
      <c r="I81" s="650">
        <f t="shared" si="85"/>
        <v>10.764885271455212</v>
      </c>
      <c r="J81" s="650">
        <f t="shared" si="85"/>
        <v>80.108930196472627</v>
      </c>
      <c r="K81" s="650">
        <f t="shared" si="85"/>
        <v>1.2116189222704572</v>
      </c>
      <c r="L81" s="650">
        <f t="shared" si="85"/>
        <v>0.53707699534800502</v>
      </c>
      <c r="M81" s="650">
        <f t="shared" si="85"/>
        <v>50.530432757986851</v>
      </c>
      <c r="N81" s="650">
        <f t="shared" si="85"/>
        <v>18.197847997675542</v>
      </c>
      <c r="O81" s="650">
        <f t="shared" si="85"/>
        <v>119.63924808342277</v>
      </c>
      <c r="P81" s="650">
        <f t="shared" si="85"/>
        <v>1.6260513964569945</v>
      </c>
      <c r="Q81" s="650">
        <f t="shared" si="85"/>
        <v>0.31588840498593884</v>
      </c>
      <c r="R81" s="650">
        <f t="shared" si="85"/>
        <v>7.0544025623577182</v>
      </c>
      <c r="S81" s="650">
        <f t="shared" si="85"/>
        <v>4.7684424226389224</v>
      </c>
      <c r="T81" s="651">
        <f>INDEX('Eurostat-IEA'!$D$10:$L$10,MATCH('IDEES okt 2017 template'!T$68,'Eurostat-IEA'!$D$2:$L$2,0))*$N81/SUM($N$71,$N$76,$N$81,$N$90,$N$96)</f>
        <v>0.95990882590591287</v>
      </c>
      <c r="U81" s="650">
        <f t="shared" si="82"/>
        <v>2.6388091317308446</v>
      </c>
      <c r="V81" s="650">
        <f t="shared" si="82"/>
        <v>0.13256084931111259</v>
      </c>
      <c r="W81" s="650">
        <f t="shared" si="82"/>
        <v>0.27499045796697635</v>
      </c>
      <c r="X81" s="650">
        <f t="shared" si="82"/>
        <v>0.17851500596676645</v>
      </c>
      <c r="Y81" s="650">
        <f t="shared" si="82"/>
        <v>0.16188170480711855</v>
      </c>
      <c r="Z81" s="650">
        <f t="shared" si="82"/>
        <v>4.7372438048733487</v>
      </c>
      <c r="AA81" s="651">
        <f>INDEX('Eurostat-IEA'!$D$10:$L$10,MATCH('IDEES okt 2017 template'!AA$68,'Eurostat-IEA'!$D$2:$L$2,0))*$N81/SUM($N$71,$N$76,$N$81,$N$90,$N$96)</f>
        <v>41.081456851285537</v>
      </c>
      <c r="AB81" s="650">
        <f t="shared" si="83"/>
        <v>2.4691288389666317</v>
      </c>
      <c r="AC81" s="650">
        <f t="shared" si="83"/>
        <v>0.66717262990118886</v>
      </c>
      <c r="AD81" s="650">
        <f t="shared" si="83"/>
        <v>2.8200861097219039</v>
      </c>
      <c r="AE81" s="650">
        <f t="shared" si="83"/>
        <v>54.396501468538204</v>
      </c>
      <c r="AF81" s="650">
        <f t="shared" si="83"/>
        <v>0.97416989450572422</v>
      </c>
      <c r="AG81" s="650">
        <f t="shared" si="83"/>
        <v>2.3297821815007125</v>
      </c>
      <c r="AH81" s="650">
        <f t="shared" si="83"/>
        <v>127.44240127167987</v>
      </c>
      <c r="AI81" s="651">
        <f>INDEX('Eurostat-IEA'!$D$10:$L$10,MATCH('IDEES okt 2017 template'!AI$68,'Eurostat-IEA'!$D$2:$L$2,0))*$P81/SUM($P$71,$P$76,$P$81,$P$90,$P$96)</f>
        <v>0.25470855295244393</v>
      </c>
      <c r="AJ81" s="651">
        <f>INDEX('Eurostat-IEA'!$D$10:$L$10,MATCH('IDEES okt 2017 template'!AJ$68,'Eurostat-IEA'!$D$2:$L$2,0))*$Q81/SUM($Q$71,$Q$76,$Q$81,$Q$90,$Q$96)</f>
        <v>0.25089942648040853</v>
      </c>
      <c r="AK81" s="651">
        <f>INDEX('Eurostat-IEA'!$D$10:$L$10,MATCH('IDEES okt 2017 template'!AK$68,'Eurostat-IEA'!$D$2:$L$2,0))*$P81/SUM($P$71,$P$76,$P$81,$P$90,$P$96)</f>
        <v>0.12595369759927175</v>
      </c>
      <c r="AL81" s="651">
        <f>INDEX('Eurostat-IEA'!$D$10:$L$10,MATCH('IDEES okt 2017 template'!AL$68,'Eurostat-IEA'!$D$2:$L$2,0))*$Q81/SUM($Q$71,$Q$76,$Q$81,$Q$90,$Q$96)</f>
        <v>0.17844346758196478</v>
      </c>
      <c r="AM81" s="651">
        <f>INDEX('Eurostat-IEA'!$D$10:$L$10,MATCH('IDEES okt 2017 template'!AM$68,'Eurostat-IEA'!$D$2:$L$2,0))*$Q81/SUM($Q$71,$Q$76,$Q$81,$Q$90,$Q$96)</f>
        <v>0.80830797300939483</v>
      </c>
      <c r="AN81" s="652">
        <f>INDEX('Eurostat-IEA'!$D$10:$L$10,MATCH('IDEES okt 2017 template'!AN$68,'Eurostat-IEA'!$D$2:$L$2,0))*$Q81/SUM($Q$71,$Q$76,$Q$81,$Q$90,$Q$96)</f>
        <v>0.12376592994033404</v>
      </c>
    </row>
    <row r="82" spans="1:40">
      <c r="A82" s="764"/>
      <c r="B82" s="408"/>
      <c r="C82" s="633" t="s">
        <v>527</v>
      </c>
      <c r="D82" s="649">
        <f t="shared" si="65"/>
        <v>40.126755420712165</v>
      </c>
      <c r="E82" s="650">
        <f t="shared" si="65"/>
        <v>132.8747021157665</v>
      </c>
      <c r="F82" s="650">
        <f t="shared" si="65"/>
        <v>1.2169984654736059</v>
      </c>
      <c r="G82" s="651">
        <f>INDEX('Eurostat-IEA'!$D$6:$L$6,MATCH('IDEES okt 2017 template'!G$68,'Eurostat-IEA'!$D$2:$L$2,0))*$J82/SUM($J$72,$J$82,$J$91)</f>
        <v>41.526667310035215</v>
      </c>
      <c r="H82" s="650">
        <f t="shared" ref="H82:S82" si="86">H17*(41.868/1000)</f>
        <v>0</v>
      </c>
      <c r="I82" s="650">
        <f t="shared" si="86"/>
        <v>78.470683710161126</v>
      </c>
      <c r="J82" s="650">
        <f t="shared" si="86"/>
        <v>794.98029754166339</v>
      </c>
      <c r="K82" s="650">
        <f t="shared" si="86"/>
        <v>24.782668773532247</v>
      </c>
      <c r="L82" s="650">
        <f t="shared" si="86"/>
        <v>1.7137779065864978</v>
      </c>
      <c r="M82" s="650">
        <f t="shared" si="86"/>
        <v>110.89582361977835</v>
      </c>
      <c r="N82" s="650">
        <f t="shared" si="86"/>
        <v>1.5987729820992034</v>
      </c>
      <c r="O82" s="650">
        <f t="shared" si="86"/>
        <v>437.85844033102535</v>
      </c>
      <c r="P82" s="650">
        <f t="shared" si="86"/>
        <v>7.3166652895193831</v>
      </c>
      <c r="Q82" s="650">
        <f t="shared" si="86"/>
        <v>17.617736377190955</v>
      </c>
      <c r="R82" s="650">
        <f t="shared" si="86"/>
        <v>108.15199981510555</v>
      </c>
      <c r="S82" s="650">
        <f t="shared" si="86"/>
        <v>22.415515043869753</v>
      </c>
      <c r="T82" s="651">
        <f>INDEX('Eurostat-IEA'!$D$6:$L$6,MATCH('IDEES okt 2017 template'!T$68,'Eurostat-IEA'!$D$2:$L$2,0))*$N82/SUM($N$72,$N$82,$N$91)</f>
        <v>0</v>
      </c>
      <c r="U82" s="650">
        <f t="shared" si="82"/>
        <v>564.00321153809693</v>
      </c>
      <c r="V82" s="650">
        <f t="shared" si="82"/>
        <v>4.9917748324425339</v>
      </c>
      <c r="W82" s="650">
        <f t="shared" si="82"/>
        <v>8.1253828577996838</v>
      </c>
      <c r="X82" s="650">
        <f t="shared" si="82"/>
        <v>3.9929110117165223</v>
      </c>
      <c r="Y82" s="650">
        <f t="shared" si="82"/>
        <v>0</v>
      </c>
      <c r="Z82" s="650">
        <f t="shared" si="82"/>
        <v>313.28361099386603</v>
      </c>
      <c r="AA82" s="651">
        <f>INDEX('Eurostat-IEA'!$D$6:$L$6,MATCH('IDEES okt 2017 template'!AA$68,'Eurostat-IEA'!$D$2:$L$2,0))*$N82/SUM($N$72,$N$82,$N$91)</f>
        <v>0.14281252759022728</v>
      </c>
      <c r="AB82" s="650">
        <f t="shared" si="83"/>
        <v>112.69687681942632</v>
      </c>
      <c r="AC82" s="650">
        <f t="shared" si="83"/>
        <v>2.8934935392854024</v>
      </c>
      <c r="AD82" s="650">
        <f t="shared" si="83"/>
        <v>69.934976401766008</v>
      </c>
      <c r="AE82" s="650">
        <f t="shared" si="83"/>
        <v>4.9753864775623828</v>
      </c>
      <c r="AF82" s="650">
        <f t="shared" si="83"/>
        <v>3.3555782332816757</v>
      </c>
      <c r="AG82" s="650">
        <f t="shared" si="83"/>
        <v>42.729710014956808</v>
      </c>
      <c r="AH82" s="650">
        <f t="shared" si="83"/>
        <v>1003.4944178516132</v>
      </c>
      <c r="AI82" s="651">
        <f>INDEX('Eurostat-IEA'!$D$6:$L$6,MATCH('IDEES okt 2017 template'!AI$68,'Eurostat-IEA'!$D$2:$L$2,0))*$P82/SUM($P$72,$P$82,$P$91)</f>
        <v>0</v>
      </c>
      <c r="AJ82" s="651">
        <f>INDEX('Eurostat-IEA'!$D$6:$L$6,MATCH('IDEES okt 2017 template'!AJ$68,'Eurostat-IEA'!$D$2:$L$2,0))*$Q82/SUM($Q$72,$Q$82,$Q$91)</f>
        <v>1.3935770320383809</v>
      </c>
      <c r="AK82" s="651">
        <f>INDEX('Eurostat-IEA'!$D$6:$L$6,MATCH('IDEES okt 2017 template'!AK$68,'Eurostat-IEA'!$D$2:$L$2,0))*$P82/SUM($P$72,$P$82,$P$91)</f>
        <v>0</v>
      </c>
      <c r="AL82" s="651">
        <f>INDEX('Eurostat-IEA'!$D$6:$L$6,MATCH('IDEES okt 2017 template'!AL$68,'Eurostat-IEA'!$D$2:$L$2,0))*$Q82/SUM($Q$72,$Q$82,$Q$91)</f>
        <v>0</v>
      </c>
      <c r="AM82" s="651">
        <f>INDEX('Eurostat-IEA'!$D$6:$L$6,MATCH('IDEES okt 2017 template'!AM$68,'Eurostat-IEA'!$D$2:$L$2,0))*$Q82/SUM($Q$72,$Q$82,$Q$91)</f>
        <v>6.9536538885066079</v>
      </c>
      <c r="AN82" s="652">
        <f>INDEX('Eurostat-IEA'!$D$6:$L$6,MATCH('IDEES okt 2017 template'!AN$68,'Eurostat-IEA'!$D$2:$L$2,0))*$Q82/SUM($Q$72,$Q$82,$Q$91)</f>
        <v>0</v>
      </c>
    </row>
    <row r="83" spans="1:40">
      <c r="A83" s="764"/>
      <c r="B83" s="408"/>
      <c r="C83" s="633" t="s">
        <v>533</v>
      </c>
      <c r="D83" s="649">
        <f t="shared" si="65"/>
        <v>45.723281214292896</v>
      </c>
      <c r="E83" s="650">
        <f t="shared" si="65"/>
        <v>107.81582863892149</v>
      </c>
      <c r="F83" s="650">
        <f t="shared" si="65"/>
        <v>8.4974898167153964E-2</v>
      </c>
      <c r="G83" s="651">
        <f>INDEX('Eurostat-IEA'!$D$5:$L$5,MATCH('IDEES okt 2017 template'!G$68,'Eurostat-IEA'!$D$2:$L$2,0))*$J83/SUM($J$83,$J$92)</f>
        <v>103.14550442869789</v>
      </c>
      <c r="H83" s="650">
        <f t="shared" ref="H83:S83" si="87">H18*(41.868/1000)</f>
        <v>3.6656170119730018</v>
      </c>
      <c r="I83" s="650">
        <f t="shared" si="87"/>
        <v>0</v>
      </c>
      <c r="J83" s="650">
        <f t="shared" si="87"/>
        <v>493.37906230341218</v>
      </c>
      <c r="K83" s="650">
        <f t="shared" si="87"/>
        <v>16.259084108928576</v>
      </c>
      <c r="L83" s="650">
        <f t="shared" si="87"/>
        <v>0.14593360520476217</v>
      </c>
      <c r="M83" s="650">
        <f t="shared" si="87"/>
        <v>63.834734828696945</v>
      </c>
      <c r="N83" s="650">
        <f t="shared" si="87"/>
        <v>24.65200182773539</v>
      </c>
      <c r="O83" s="650">
        <f t="shared" si="87"/>
        <v>236.2472270021272</v>
      </c>
      <c r="P83" s="650">
        <f t="shared" si="87"/>
        <v>75.980816918921803</v>
      </c>
      <c r="Q83" s="650">
        <f t="shared" si="87"/>
        <v>5.3759637925620671</v>
      </c>
      <c r="R83" s="650">
        <f t="shared" si="87"/>
        <v>0</v>
      </c>
      <c r="S83" s="650">
        <f t="shared" si="87"/>
        <v>44.345458269398229</v>
      </c>
      <c r="T83" s="651">
        <f>INDEX('Eurostat-IEA'!$D$5:$L$5,MATCH('IDEES okt 2017 template'!T$68,'Eurostat-IEA'!$D$2:$L$2,0))*$N83/SUM($N$83,$N$92)</f>
        <v>7.6830726677300745E-2</v>
      </c>
      <c r="U83" s="650">
        <f t="shared" si="82"/>
        <v>66.109532470523405</v>
      </c>
      <c r="V83" s="650">
        <f t="shared" si="82"/>
        <v>0.25300566196866364</v>
      </c>
      <c r="W83" s="650">
        <f t="shared" si="82"/>
        <v>7.0037037287900095</v>
      </c>
      <c r="X83" s="650">
        <f t="shared" si="82"/>
        <v>1.0934041079237056</v>
      </c>
      <c r="Y83" s="650">
        <f t="shared" si="82"/>
        <v>0</v>
      </c>
      <c r="Z83" s="650">
        <f t="shared" si="82"/>
        <v>0.50453742636408228</v>
      </c>
      <c r="AA83" s="651">
        <f>INDEX('Eurostat-IEA'!$D$5:$L$5,MATCH('IDEES okt 2017 template'!AA$68,'Eurostat-IEA'!$D$2:$L$2,0))*$N83/SUM($N$83,$N$92)</f>
        <v>6.8468684797073589</v>
      </c>
      <c r="AB83" s="650">
        <f t="shared" si="83"/>
        <v>3.817928623892628</v>
      </c>
      <c r="AC83" s="650">
        <f t="shared" si="83"/>
        <v>1.8058382067235617</v>
      </c>
      <c r="AD83" s="650">
        <f t="shared" si="83"/>
        <v>0.77889512150185491</v>
      </c>
      <c r="AE83" s="650">
        <f t="shared" si="83"/>
        <v>2.5235249343479076</v>
      </c>
      <c r="AF83" s="650">
        <f t="shared" si="83"/>
        <v>8.9020126665376456</v>
      </c>
      <c r="AG83" s="650">
        <f t="shared" si="83"/>
        <v>0</v>
      </c>
      <c r="AH83" s="650">
        <f t="shared" si="83"/>
        <v>99.484426857626048</v>
      </c>
      <c r="AI83" s="651">
        <f>INDEX('Eurostat-IEA'!$D$5:$L$5,MATCH('IDEES okt 2017 template'!AI$68,'Eurostat-IEA'!$D$2:$L$2,0))*$P83/SUM($P$83,$P$92)</f>
        <v>0.15251193479511863</v>
      </c>
      <c r="AJ83" s="651">
        <f>INDEX('Eurostat-IEA'!$D$5:$L$5,MATCH('IDEES okt 2017 template'!AJ$68,'Eurostat-IEA'!$D$2:$L$2,0))*$Q83/SUM($Q$83,$Q$92)</f>
        <v>0</v>
      </c>
      <c r="AK83" s="651">
        <f>INDEX('Eurostat-IEA'!$D$5:$L$5,MATCH('IDEES okt 2017 template'!AK$68,'Eurostat-IEA'!$D$2:$L$2,0))*$P83/SUM($P$83,$P$92)</f>
        <v>0</v>
      </c>
      <c r="AL83" s="651">
        <f>INDEX('Eurostat-IEA'!$D$5:$L$5,MATCH('IDEES okt 2017 template'!AL$68,'Eurostat-IEA'!$D$2:$L$2,0))*$Q83/SUM($Q$83,$Q$92)</f>
        <v>1.2144828925145557</v>
      </c>
      <c r="AM83" s="651">
        <f>INDEX('Eurostat-IEA'!$D$5:$L$5,MATCH('IDEES okt 2017 template'!AM$68,'Eurostat-IEA'!$D$2:$L$2,0))*$Q83/SUM($Q$83,$Q$92)</f>
        <v>3.7578936195949715E-2</v>
      </c>
      <c r="AN83" s="652">
        <f>INDEX('Eurostat-IEA'!$D$5:$L$5,MATCH('IDEES okt 2017 template'!AN$68,'Eurostat-IEA'!$D$2:$L$2,0))*$Q83/SUM($Q$83,$Q$92)</f>
        <v>0.51656518134991469</v>
      </c>
    </row>
    <row r="84" spans="1:40">
      <c r="A84" s="764"/>
      <c r="B84" s="408"/>
      <c r="C84" s="633" t="s">
        <v>534</v>
      </c>
      <c r="D84" s="649">
        <f t="shared" si="65"/>
        <v>0</v>
      </c>
      <c r="E84" s="650">
        <f t="shared" si="65"/>
        <v>0</v>
      </c>
      <c r="F84" s="650">
        <f t="shared" si="65"/>
        <v>0</v>
      </c>
      <c r="G84" s="651">
        <f>INDEX('Eurostat-IEA'!$D$9:$L$9,MATCH('IDEES okt 2017 template'!G$68,'Eurostat-IEA'!$D$2:$L$2,0))</f>
        <v>8.7223199999999999</v>
      </c>
      <c r="H84" s="650">
        <f t="shared" ref="H84:S84" si="88">H19*(41.868/1000)</f>
        <v>3.2000000000000126E-2</v>
      </c>
      <c r="I84" s="650">
        <f t="shared" si="88"/>
        <v>0</v>
      </c>
      <c r="J84" s="650">
        <f t="shared" si="88"/>
        <v>0.5940001648115617</v>
      </c>
      <c r="K84" s="650">
        <f t="shared" si="88"/>
        <v>0</v>
      </c>
      <c r="L84" s="650">
        <f t="shared" si="88"/>
        <v>0</v>
      </c>
      <c r="M84" s="650">
        <f t="shared" si="88"/>
        <v>0.37799961912579239</v>
      </c>
      <c r="N84" s="650">
        <f t="shared" si="88"/>
        <v>0</v>
      </c>
      <c r="O84" s="650">
        <f t="shared" si="88"/>
        <v>0.60299999999999987</v>
      </c>
      <c r="P84" s="650">
        <f t="shared" si="88"/>
        <v>8.0000409089961318E-3</v>
      </c>
      <c r="Q84" s="650">
        <f t="shared" si="88"/>
        <v>0</v>
      </c>
      <c r="R84" s="650">
        <f t="shared" si="88"/>
        <v>0</v>
      </c>
      <c r="S84" s="650">
        <f t="shared" si="88"/>
        <v>0</v>
      </c>
      <c r="T84" s="651">
        <f>INDEX('Eurostat-IEA'!$D$9:$L$9,MATCH('IDEES okt 2017 template'!T$68,'Eurostat-IEA'!$D$2:$L$2,0))</f>
        <v>7.6559999999999997</v>
      </c>
      <c r="U84" s="650">
        <f t="shared" si="82"/>
        <v>5.599995251311652E-2</v>
      </c>
      <c r="V84" s="650">
        <f t="shared" si="82"/>
        <v>0</v>
      </c>
      <c r="W84" s="650">
        <f t="shared" si="82"/>
        <v>0</v>
      </c>
      <c r="X84" s="650">
        <f t="shared" si="82"/>
        <v>0</v>
      </c>
      <c r="Y84" s="650">
        <f t="shared" si="82"/>
        <v>0</v>
      </c>
      <c r="Z84" s="650">
        <f t="shared" si="82"/>
        <v>0</v>
      </c>
      <c r="AA84" s="651">
        <f>INDEX('Eurostat-IEA'!$D$9:$L$9,MATCH('IDEES okt 2017 template'!AA$68,'Eurostat-IEA'!$D$2:$L$2,0))</f>
        <v>0</v>
      </c>
      <c r="AB84" s="650">
        <f t="shared" si="83"/>
        <v>0.43999999999999934</v>
      </c>
      <c r="AC84" s="650">
        <f t="shared" si="83"/>
        <v>0</v>
      </c>
      <c r="AD84" s="650">
        <f t="shared" si="83"/>
        <v>0.62899982960883549</v>
      </c>
      <c r="AE84" s="650">
        <f t="shared" si="83"/>
        <v>0</v>
      </c>
      <c r="AF84" s="650">
        <f t="shared" si="83"/>
        <v>0.35000921594960438</v>
      </c>
      <c r="AG84" s="650">
        <f t="shared" si="83"/>
        <v>0</v>
      </c>
      <c r="AH84" s="650">
        <f t="shared" si="83"/>
        <v>0</v>
      </c>
      <c r="AI84" s="651">
        <f>INDEX('Eurostat-IEA'!$D$9:$L$9,MATCH('IDEES okt 2017 template'!AI$68,'Eurostat-IEA'!$D$2:$L$2,0))</f>
        <v>0</v>
      </c>
      <c r="AJ84" s="651">
        <f>INDEX('Eurostat-IEA'!$D$9:$L$9,MATCH('IDEES okt 2017 template'!AJ$68,'Eurostat-IEA'!$D$2:$L$2,0))</f>
        <v>0</v>
      </c>
      <c r="AK84" s="651">
        <f>INDEX('Eurostat-IEA'!$D$9:$L$9,MATCH('IDEES okt 2017 template'!AK$68,'Eurostat-IEA'!$D$2:$L$2,0))</f>
        <v>0</v>
      </c>
      <c r="AL84" s="651">
        <f>INDEX('Eurostat-IEA'!$D$9:$L$9,MATCH('IDEES okt 2017 template'!AL$68,'Eurostat-IEA'!$D$2:$L$2,0))</f>
        <v>0</v>
      </c>
      <c r="AM84" s="651">
        <f>INDEX('Eurostat-IEA'!$D$9:$L$9,MATCH('IDEES okt 2017 template'!AM$68,'Eurostat-IEA'!$D$2:$L$2,0))</f>
        <v>0</v>
      </c>
      <c r="AN84" s="652">
        <f>INDEX('Eurostat-IEA'!$D$9:$L$9,MATCH('IDEES okt 2017 template'!AN$68,'Eurostat-IEA'!$D$2:$L$2,0))</f>
        <v>0</v>
      </c>
    </row>
    <row r="85" spans="1:40">
      <c r="A85" s="764"/>
      <c r="B85" s="408"/>
      <c r="C85" s="633" t="s">
        <v>528</v>
      </c>
      <c r="D85" s="649">
        <f t="shared" si="65"/>
        <v>0.38745309733557387</v>
      </c>
      <c r="E85" s="650">
        <f t="shared" si="65"/>
        <v>0.59340019083667983</v>
      </c>
      <c r="F85" s="650">
        <f t="shared" si="65"/>
        <v>0.15179871163445674</v>
      </c>
      <c r="G85" s="651">
        <f>INDEX('Eurostat-IEA'!$D$4:$L$4,MATCH('IDEES okt 2017 template'!G$68,'Eurostat-IEA'!$D$2:$L$2,0))*$J85/SUM($J$73,$J$85,$J$93)</f>
        <v>0</v>
      </c>
      <c r="H85" s="650">
        <f t="shared" ref="H85:S85" si="89">H20*(41.868/1000)</f>
        <v>0.53787491998309989</v>
      </c>
      <c r="I85" s="650">
        <f t="shared" si="89"/>
        <v>0</v>
      </c>
      <c r="J85" s="650">
        <f t="shared" si="89"/>
        <v>7.0425953041319991</v>
      </c>
      <c r="K85" s="650">
        <f t="shared" si="89"/>
        <v>0.16559878847955647</v>
      </c>
      <c r="L85" s="650">
        <f t="shared" si="89"/>
        <v>0</v>
      </c>
      <c r="M85" s="650">
        <f t="shared" si="89"/>
        <v>13.386018277782973</v>
      </c>
      <c r="N85" s="650">
        <f t="shared" si="89"/>
        <v>0</v>
      </c>
      <c r="O85" s="650">
        <f t="shared" si="89"/>
        <v>11.205618566036664</v>
      </c>
      <c r="P85" s="650">
        <f t="shared" si="89"/>
        <v>0</v>
      </c>
      <c r="Q85" s="650">
        <f t="shared" si="89"/>
        <v>0.66114540738714633</v>
      </c>
      <c r="R85" s="650">
        <f t="shared" si="89"/>
        <v>1.7243734200803105</v>
      </c>
      <c r="S85" s="650">
        <f t="shared" si="89"/>
        <v>0.96761155509348917</v>
      </c>
      <c r="T85" s="651">
        <f>INDEX('Eurostat-IEA'!$D$4:$L$4,MATCH('IDEES okt 2017 template'!T$68,'Eurostat-IEA'!$D$2:$L$2,0))*$N85/SUM($N$73,$N$85,$N$93)</f>
        <v>0</v>
      </c>
      <c r="U85" s="650">
        <f t="shared" si="82"/>
        <v>19.845603368985508</v>
      </c>
      <c r="V85" s="650">
        <f t="shared" si="82"/>
        <v>0</v>
      </c>
      <c r="W85" s="650">
        <f t="shared" si="82"/>
        <v>0</v>
      </c>
      <c r="X85" s="650">
        <f t="shared" si="82"/>
        <v>0</v>
      </c>
      <c r="Y85" s="650">
        <f t="shared" si="82"/>
        <v>0.22452872919736283</v>
      </c>
      <c r="Z85" s="650">
        <f t="shared" si="82"/>
        <v>0</v>
      </c>
      <c r="AA85" s="651">
        <f>INDEX('Eurostat-IEA'!$D$4:$L$4,MATCH('IDEES okt 2017 template'!AA$68,'Eurostat-IEA'!$D$2:$L$2,0))*$N85/SUM($N$73,$N$85,$N$93)</f>
        <v>0</v>
      </c>
      <c r="AB85" s="650">
        <f t="shared" si="83"/>
        <v>0</v>
      </c>
      <c r="AC85" s="650">
        <f t="shared" si="83"/>
        <v>1.1699102774083798</v>
      </c>
      <c r="AD85" s="650">
        <f t="shared" si="83"/>
        <v>0</v>
      </c>
      <c r="AE85" s="650">
        <f t="shared" si="83"/>
        <v>0</v>
      </c>
      <c r="AF85" s="650">
        <f t="shared" si="83"/>
        <v>0.30390145577182298</v>
      </c>
      <c r="AG85" s="650">
        <f t="shared" si="83"/>
        <v>0</v>
      </c>
      <c r="AH85" s="650">
        <f t="shared" si="83"/>
        <v>3.18536594770868</v>
      </c>
      <c r="AI85" s="651">
        <f>INDEX('Eurostat-IEA'!$D$4:$L$4,MATCH('IDEES okt 2017 template'!AI$68,'Eurostat-IEA'!$D$2:$L$2,0))*$P85/SUM($P$73,$P$85,$P$93)</f>
        <v>0</v>
      </c>
      <c r="AJ85" s="651">
        <f>INDEX('Eurostat-IEA'!$D$4:$L$4,MATCH('IDEES okt 2017 template'!AJ$68,'Eurostat-IEA'!$D$2:$L$2,0))*$Q85/SUM($Q$73,$Q$85,$Q$93)</f>
        <v>0</v>
      </c>
      <c r="AK85" s="651">
        <f>INDEX('Eurostat-IEA'!$D$4:$L$4,MATCH('IDEES okt 2017 template'!AK$68,'Eurostat-IEA'!$D$2:$L$2,0))*$P85/SUM($P$73,$P$85,$P$93)</f>
        <v>0</v>
      </c>
      <c r="AL85" s="651">
        <f>INDEX('Eurostat-IEA'!$D$4:$L$4,MATCH('IDEES okt 2017 template'!AL$68,'Eurostat-IEA'!$D$2:$L$2,0))*$Q85/SUM($Q$73,$Q$85,$Q$93)</f>
        <v>7.9588114149932207E-2</v>
      </c>
      <c r="AM85" s="651">
        <f>INDEX('Eurostat-IEA'!$D$4:$L$4,MATCH('IDEES okt 2017 template'!AM$68,'Eurostat-IEA'!$D$2:$L$2,0))*$Q85/SUM($Q$73,$Q$85,$Q$93)</f>
        <v>0.24141097807473497</v>
      </c>
      <c r="AN85" s="652">
        <f>INDEX('Eurostat-IEA'!$D$4:$L$4,MATCH('IDEES okt 2017 template'!AN$68,'Eurostat-IEA'!$D$2:$L$2,0))*$Q85/SUM($Q$73,$Q$85,$Q$93)</f>
        <v>8.6960884819403381E-2</v>
      </c>
    </row>
    <row r="86" spans="1:40">
      <c r="A86" s="764"/>
      <c r="B86" s="547"/>
      <c r="C86" s="619" t="s">
        <v>529</v>
      </c>
      <c r="D86" s="653">
        <f t="shared" si="65"/>
        <v>2.214382611875521</v>
      </c>
      <c r="E86" s="654">
        <f t="shared" si="65"/>
        <v>5.0377226336784684</v>
      </c>
      <c r="F86" s="654">
        <f t="shared" si="65"/>
        <v>7.1167131626423883</v>
      </c>
      <c r="G86" s="655">
        <f>INDEX('Eurostat-IEA'!$D$3:$L$3,MATCH('IDEES okt 2017 template'!G$68,'Eurostat-IEA'!$D$2:$L$2,0))*$J86/SUM($J$74,$J$86,$J$95)</f>
        <v>0.39338999999999996</v>
      </c>
      <c r="H86" s="654">
        <f t="shared" ref="H86:S86" si="90">H21*(41.868/1000)</f>
        <v>0</v>
      </c>
      <c r="I86" s="654">
        <f t="shared" si="90"/>
        <v>37.379467464903193</v>
      </c>
      <c r="J86" s="654">
        <f t="shared" si="90"/>
        <v>35.611895275597988</v>
      </c>
      <c r="K86" s="654">
        <f t="shared" si="90"/>
        <v>0</v>
      </c>
      <c r="L86" s="654">
        <f t="shared" si="90"/>
        <v>0.35363506230032188</v>
      </c>
      <c r="M86" s="654">
        <f t="shared" si="90"/>
        <v>7.0864054226406292</v>
      </c>
      <c r="N86" s="654">
        <f t="shared" si="90"/>
        <v>0.33802670430668152</v>
      </c>
      <c r="O86" s="654">
        <f t="shared" si="90"/>
        <v>8.2772908046678246</v>
      </c>
      <c r="P86" s="654">
        <f t="shared" si="90"/>
        <v>0</v>
      </c>
      <c r="Q86" s="654">
        <f t="shared" si="90"/>
        <v>0.24898844551741536</v>
      </c>
      <c r="R86" s="654">
        <f t="shared" si="90"/>
        <v>5.9143948918618259</v>
      </c>
      <c r="S86" s="654">
        <f t="shared" si="90"/>
        <v>17.678479242449413</v>
      </c>
      <c r="T86" s="655">
        <f>INDEX('Eurostat-IEA'!$D$3:$L$3,MATCH('IDEES okt 2017 template'!T$68,'Eurostat-IEA'!$D$2:$L$2,0))*$N86/SUM($N$74,$N$86,$N$95)</f>
        <v>0</v>
      </c>
      <c r="U86" s="654">
        <f t="shared" si="82"/>
        <v>0.15200271786138628</v>
      </c>
      <c r="V86" s="654">
        <f t="shared" si="82"/>
        <v>2.5226026987411574</v>
      </c>
      <c r="W86" s="654">
        <f t="shared" si="82"/>
        <v>2.000078466237978E-2</v>
      </c>
      <c r="X86" s="654">
        <f t="shared" si="82"/>
        <v>0.90202979822399032</v>
      </c>
      <c r="Y86" s="654">
        <f t="shared" si="82"/>
        <v>0</v>
      </c>
      <c r="Z86" s="654">
        <f t="shared" si="82"/>
        <v>8.0000187200140044E-2</v>
      </c>
      <c r="AA86" s="655">
        <f>INDEX('Eurostat-IEA'!$D$3:$L$3,MATCH('IDEES okt 2017 template'!AA$68,'Eurostat-IEA'!$D$2:$L$2,0))*$N86/SUM($N$74,$N$86,$N$95)</f>
        <v>0</v>
      </c>
      <c r="AB86" s="654">
        <f t="shared" si="83"/>
        <v>266.23941318072144</v>
      </c>
      <c r="AC86" s="654">
        <f t="shared" si="83"/>
        <v>0</v>
      </c>
      <c r="AD86" s="654">
        <f t="shared" si="83"/>
        <v>0.41799045511610339</v>
      </c>
      <c r="AE86" s="654">
        <f t="shared" si="83"/>
        <v>0</v>
      </c>
      <c r="AF86" s="654">
        <f t="shared" si="83"/>
        <v>5.6014036637524307E-2</v>
      </c>
      <c r="AG86" s="654">
        <f t="shared" si="83"/>
        <v>2.2113945556600854</v>
      </c>
      <c r="AH86" s="654">
        <f t="shared" si="83"/>
        <v>28.188168215454201</v>
      </c>
      <c r="AI86" s="655" t="e">
        <f>INDEX('Eurostat-IEA'!$D$3:$L$3,MATCH('IDEES okt 2017 template'!AI$68,'Eurostat-IEA'!$D$2:$L$2,0))*$P86/SUM($P$74,$P$86,$P$95)</f>
        <v>#DIV/0!</v>
      </c>
      <c r="AJ86" s="655">
        <f>INDEX('Eurostat-IEA'!$D$3:$L$3,MATCH('IDEES okt 2017 template'!AJ$68,'Eurostat-IEA'!$D$2:$L$2,0))*$Q86/SUM($Q$74,$Q$86,$Q$95)</f>
        <v>4.7718599999999993</v>
      </c>
      <c r="AK86" s="655" t="e">
        <f>INDEX('Eurostat-IEA'!$D$3:$L$3,MATCH('IDEES okt 2017 template'!AK$68,'Eurostat-IEA'!$D$2:$L$2,0))*$P86/SUM($P$74,$P$86,$P$95)</f>
        <v>#DIV/0!</v>
      </c>
      <c r="AL86" s="655">
        <f>INDEX('Eurostat-IEA'!$D$3:$L$3,MATCH('IDEES okt 2017 template'!AL$68,'Eurostat-IEA'!$D$2:$L$2,0))*$Q86/SUM($Q$74,$Q$86,$Q$95)</f>
        <v>8.7999999999999995E-2</v>
      </c>
      <c r="AM86" s="655">
        <f>INDEX('Eurostat-IEA'!$D$3:$L$3,MATCH('IDEES okt 2017 template'!AM$68,'Eurostat-IEA'!$D$2:$L$2,0))*$Q86/SUM($Q$74,$Q$86,$Q$95)</f>
        <v>10.206</v>
      </c>
      <c r="AN86" s="656">
        <f>INDEX('Eurostat-IEA'!$D$3:$L$3,MATCH('IDEES okt 2017 template'!AN$68,'Eurostat-IEA'!$D$2:$L$2,0))*$Q86/SUM($Q$74,$Q$86,$Q$95)</f>
        <v>0.92841999999999991</v>
      </c>
    </row>
    <row r="87" spans="1:40">
      <c r="B87" s="634" t="s">
        <v>535</v>
      </c>
      <c r="C87" s="635" t="s">
        <v>525</v>
      </c>
      <c r="D87" s="645">
        <f t="shared" si="65"/>
        <v>35.0246754</v>
      </c>
      <c r="E87" s="646">
        <f t="shared" si="65"/>
        <v>47.684721240000009</v>
      </c>
      <c r="F87" s="646">
        <f t="shared" si="65"/>
        <v>15.955894800000001</v>
      </c>
      <c r="G87" s="647">
        <f>SUM(G88:G95)</f>
        <v>31.191388185258646</v>
      </c>
      <c r="H87" s="646">
        <f t="shared" ref="H87:S87" si="91">H22*(41.868/1000)</f>
        <v>2.7025793999999999</v>
      </c>
      <c r="I87" s="646">
        <f t="shared" si="91"/>
        <v>31.645509120000003</v>
      </c>
      <c r="J87" s="646">
        <f t="shared" si="91"/>
        <v>314.73222300000003</v>
      </c>
      <c r="K87" s="646">
        <f t="shared" si="91"/>
        <v>26.15242752</v>
      </c>
      <c r="L87" s="646">
        <f t="shared" si="91"/>
        <v>5.6898612000000002</v>
      </c>
      <c r="M87" s="646">
        <f t="shared" si="91"/>
        <v>134.42726232000001</v>
      </c>
      <c r="N87" s="646">
        <f t="shared" si="91"/>
        <v>29.212559640000002</v>
      </c>
      <c r="O87" s="646">
        <f t="shared" si="91"/>
        <v>246.41034587999999</v>
      </c>
      <c r="P87" s="646">
        <f t="shared" si="91"/>
        <v>29.035039320000003</v>
      </c>
      <c r="Q87" s="646">
        <f t="shared" si="91"/>
        <v>11.48774184</v>
      </c>
      <c r="R87" s="646">
        <f t="shared" si="91"/>
        <v>26.128144079999998</v>
      </c>
      <c r="S87" s="646">
        <f t="shared" si="91"/>
        <v>21.969814320000001</v>
      </c>
      <c r="T87" s="647">
        <f>SUM(T88:T95)</f>
        <v>1.4339550398775738</v>
      </c>
      <c r="U87" s="646">
        <f t="shared" si="82"/>
        <v>203.34324636000002</v>
      </c>
      <c r="V87" s="646">
        <f t="shared" si="82"/>
        <v>9.1092207599999995</v>
      </c>
      <c r="W87" s="646">
        <f t="shared" si="82"/>
        <v>1.8903402</v>
      </c>
      <c r="X87" s="646">
        <f t="shared" si="82"/>
        <v>9.5220392400000016</v>
      </c>
      <c r="Y87" s="646">
        <f t="shared" si="82"/>
        <v>0.54093456000000006</v>
      </c>
      <c r="Z87" s="646">
        <f t="shared" si="82"/>
        <v>68.225162040000001</v>
      </c>
      <c r="AA87" s="647">
        <f>SUM(AA88:AA95)</f>
        <v>28.3095512941427</v>
      </c>
      <c r="AB87" s="646">
        <f t="shared" si="83"/>
        <v>124.1783946</v>
      </c>
      <c r="AC87" s="646">
        <f t="shared" si="83"/>
        <v>24.444631800000003</v>
      </c>
      <c r="AD87" s="646">
        <f t="shared" si="83"/>
        <v>45.017310960000003</v>
      </c>
      <c r="AE87" s="646">
        <f t="shared" si="83"/>
        <v>36.970700040000004</v>
      </c>
      <c r="AF87" s="646">
        <f t="shared" si="83"/>
        <v>9.8707996800000011</v>
      </c>
      <c r="AG87" s="646">
        <f t="shared" si="83"/>
        <v>13.66236576</v>
      </c>
      <c r="AH87" s="646">
        <f t="shared" si="83"/>
        <v>279.44126712000002</v>
      </c>
      <c r="AI87" s="647" t="e">
        <f t="shared" ref="AI87:AN87" si="92">SUM(AI88:AI95)</f>
        <v>#DIV/0!</v>
      </c>
      <c r="AJ87" s="647">
        <f t="shared" si="92"/>
        <v>3.6654538629271824</v>
      </c>
      <c r="AK87" s="647" t="e">
        <f t="shared" si="92"/>
        <v>#DIV/0!</v>
      </c>
      <c r="AL87" s="647">
        <f t="shared" si="92"/>
        <v>2.5860507487796758</v>
      </c>
      <c r="AM87" s="647">
        <f t="shared" si="92"/>
        <v>13.561840903929058</v>
      </c>
      <c r="AN87" s="648">
        <f t="shared" si="92"/>
        <v>1.7576973543584007</v>
      </c>
    </row>
    <row r="88" spans="1:40">
      <c r="B88" s="408"/>
      <c r="C88" s="633" t="s">
        <v>526</v>
      </c>
      <c r="D88" s="649">
        <f t="shared" si="65"/>
        <v>4.4350772400000009</v>
      </c>
      <c r="E88" s="650">
        <f t="shared" si="65"/>
        <v>1.1919819600000001</v>
      </c>
      <c r="F88" s="650">
        <f t="shared" si="65"/>
        <v>1.21333464</v>
      </c>
      <c r="G88" s="651">
        <f>INDEX('Eurostat-IEA'!$D$7:$L$7,MATCH('IDEES okt 2017 template'!G$68,'Eurostat-IEA'!$D$2:$L$2,0))*$J88/SUM($J$70,$J$78,$J$88)</f>
        <v>0.66630700306772528</v>
      </c>
      <c r="H88" s="650">
        <f t="shared" ref="H88:S88" si="93">H23*(41.868/1000)</f>
        <v>7.5362400000000005E-3</v>
      </c>
      <c r="I88" s="650">
        <f t="shared" si="93"/>
        <v>1.3632220800000001</v>
      </c>
      <c r="J88" s="650">
        <f t="shared" si="93"/>
        <v>8.0478669600000003</v>
      </c>
      <c r="K88" s="650">
        <f t="shared" si="93"/>
        <v>4.4287970400000001</v>
      </c>
      <c r="L88" s="650">
        <f t="shared" si="93"/>
        <v>2.3877320400000004</v>
      </c>
      <c r="M88" s="650">
        <f t="shared" si="93"/>
        <v>1.8145591200000002</v>
      </c>
      <c r="N88" s="650">
        <f t="shared" si="93"/>
        <v>6.229958400000001</v>
      </c>
      <c r="O88" s="650">
        <f t="shared" si="93"/>
        <v>15.39235152</v>
      </c>
      <c r="P88" s="650">
        <f t="shared" si="93"/>
        <v>0.56731140000000002</v>
      </c>
      <c r="Q88" s="650">
        <f t="shared" si="93"/>
        <v>0.75906684000000002</v>
      </c>
      <c r="R88" s="650">
        <f t="shared" si="93"/>
        <v>0.95249700000000004</v>
      </c>
      <c r="S88" s="650">
        <f t="shared" si="93"/>
        <v>0.21520152000000001</v>
      </c>
      <c r="T88" s="651">
        <f>INDEX('Eurostat-IEA'!$D$7:$L$7,MATCH('IDEES okt 2017 template'!T$68,'Eurostat-IEA'!$D$2:$L$2,0))*$N88/SUM($N$70,$N$78,$N$88)</f>
        <v>0</v>
      </c>
      <c r="U88" s="650">
        <f t="shared" si="82"/>
        <v>1.6131740400000001</v>
      </c>
      <c r="V88" s="650">
        <f t="shared" si="82"/>
        <v>3.4503418799999999</v>
      </c>
      <c r="W88" s="650">
        <f t="shared" si="82"/>
        <v>5.4428400000000002E-2</v>
      </c>
      <c r="X88" s="650">
        <f t="shared" si="82"/>
        <v>4.93330644</v>
      </c>
      <c r="Y88" s="650">
        <f t="shared" si="82"/>
        <v>0</v>
      </c>
      <c r="Z88" s="650">
        <f t="shared" si="82"/>
        <v>1.8352837800000001</v>
      </c>
      <c r="AA88" s="651">
        <f>INDEX('Eurostat-IEA'!$D$7:$L$7,MATCH('IDEES okt 2017 template'!AA$68,'Eurostat-IEA'!$D$2:$L$2,0))*$N88/SUM($N$70,$N$78,$N$88)</f>
        <v>3.058188873282742</v>
      </c>
      <c r="AB88" s="650">
        <f t="shared" si="83"/>
        <v>15.05238336</v>
      </c>
      <c r="AC88" s="650">
        <f t="shared" si="83"/>
        <v>4.1122749600000006</v>
      </c>
      <c r="AD88" s="650">
        <f t="shared" si="83"/>
        <v>19.549843920000001</v>
      </c>
      <c r="AE88" s="650">
        <f t="shared" si="83"/>
        <v>1.0295341200000001</v>
      </c>
      <c r="AF88" s="650">
        <f t="shared" si="83"/>
        <v>3.3871212000000006</v>
      </c>
      <c r="AG88" s="650">
        <f t="shared" si="83"/>
        <v>8.6248080000000005E-2</v>
      </c>
      <c r="AH88" s="650">
        <f t="shared" si="83"/>
        <v>0</v>
      </c>
      <c r="AI88" s="651">
        <f>INDEX('Eurostat-IEA'!$D$7:$L$7,MATCH('IDEES okt 2017 template'!AI$68,'Eurostat-IEA'!$D$2:$L$2,0))*$P88/SUM($P$70,$P$78,$P$88)</f>
        <v>0.17085086805722141</v>
      </c>
      <c r="AJ88" s="651">
        <f>INDEX('Eurostat-IEA'!$D$7:$L$7,MATCH('IDEES okt 2017 template'!AJ$68,'Eurostat-IEA'!$D$2:$L$2,0))*$Q88/SUM($Q$70,$Q$78,$Q$88)</f>
        <v>0.12294912116728396</v>
      </c>
      <c r="AK88" s="651">
        <f>INDEX('Eurostat-IEA'!$D$7:$L$7,MATCH('IDEES okt 2017 template'!AK$68,'Eurostat-IEA'!$D$2:$L$2,0))*$P88/SUM($P$70,$P$78,$P$88)</f>
        <v>0.21387622485632393</v>
      </c>
      <c r="AL88" s="651">
        <f>INDEX('Eurostat-IEA'!$D$7:$L$7,MATCH('IDEES okt 2017 template'!AL$68,'Eurostat-IEA'!$D$2:$L$2,0))*$Q88/SUM($Q$70,$Q$78,$Q$88)</f>
        <v>0.12502734154246875</v>
      </c>
      <c r="AM88" s="651">
        <f>INDEX('Eurostat-IEA'!$D$7:$L$7,MATCH('IDEES okt 2017 template'!AM$68,'Eurostat-IEA'!$D$2:$L$2,0))*$Q88/SUM($Q$70,$Q$78,$Q$88)</f>
        <v>0.67497056124269983</v>
      </c>
      <c r="AN88" s="652">
        <f>INDEX('Eurostat-IEA'!$D$7:$L$7,MATCH('IDEES okt 2017 template'!AN$68,'Eurostat-IEA'!$D$2:$L$2,0))*$Q88/SUM($Q$70,$Q$78,$Q$88)</f>
        <v>0.15214527742686379</v>
      </c>
    </row>
    <row r="89" spans="1:40">
      <c r="B89" s="408"/>
      <c r="C89" s="633" t="s">
        <v>532</v>
      </c>
      <c r="D89" s="649">
        <f t="shared" si="65"/>
        <v>4.5556570800000005</v>
      </c>
      <c r="E89" s="650">
        <f t="shared" si="65"/>
        <v>5.8615199999999999E-2</v>
      </c>
      <c r="F89" s="650">
        <f t="shared" si="65"/>
        <v>3.3892146000000003</v>
      </c>
      <c r="G89" s="651">
        <f>INDEX('Eurostat-IEA'!$D$11:$L$11,MATCH('IDEES okt 2017 template'!G$68,'Eurostat-IEA'!$D$2:$L$2,0))*$J89/SUM($J$79,$J$89)</f>
        <v>0.84297051051497107</v>
      </c>
      <c r="H89" s="650">
        <f t="shared" ref="H89:S89" si="94">H24*(41.868/1000)</f>
        <v>0</v>
      </c>
      <c r="I89" s="650">
        <f t="shared" si="94"/>
        <v>3.4298265600000004</v>
      </c>
      <c r="J89" s="650">
        <f t="shared" si="94"/>
        <v>22.856997239999998</v>
      </c>
      <c r="K89" s="650">
        <f t="shared" si="94"/>
        <v>11.081203560000001</v>
      </c>
      <c r="L89" s="650">
        <f t="shared" si="94"/>
        <v>2.24956764</v>
      </c>
      <c r="M89" s="650">
        <f t="shared" si="94"/>
        <v>0</v>
      </c>
      <c r="N89" s="650">
        <f t="shared" si="94"/>
        <v>9.0656780399999999</v>
      </c>
      <c r="O89" s="650">
        <f t="shared" si="94"/>
        <v>11.124327600000001</v>
      </c>
      <c r="P89" s="650">
        <f t="shared" si="94"/>
        <v>0.26586179999999998</v>
      </c>
      <c r="Q89" s="650">
        <f t="shared" si="94"/>
        <v>0.8670862800000001</v>
      </c>
      <c r="R89" s="650">
        <f t="shared" si="94"/>
        <v>2.7775231200000001</v>
      </c>
      <c r="S89" s="650">
        <f t="shared" si="94"/>
        <v>0</v>
      </c>
      <c r="T89" s="651">
        <f>INDEX('Eurostat-IEA'!$D$11:$L$11,MATCH('IDEES okt 2017 template'!T$68,'Eurostat-IEA'!$D$2:$L$2,0))*$N89/SUM($N$79,$N$89)</f>
        <v>0.84374056605951619</v>
      </c>
      <c r="U89" s="650">
        <f t="shared" ref="U89:Z96" si="95">U24*(41.868/1000)</f>
        <v>0.56312459999999998</v>
      </c>
      <c r="V89" s="650">
        <f t="shared" si="95"/>
        <v>3.4252210800000005</v>
      </c>
      <c r="W89" s="650">
        <f t="shared" si="95"/>
        <v>0</v>
      </c>
      <c r="X89" s="650">
        <f t="shared" si="95"/>
        <v>2.8210658400000002</v>
      </c>
      <c r="Y89" s="650">
        <f t="shared" si="95"/>
        <v>0</v>
      </c>
      <c r="Z89" s="650">
        <f t="shared" si="95"/>
        <v>2.1486657600000001</v>
      </c>
      <c r="AA89" s="651">
        <f>INDEX('Eurostat-IEA'!$D$11:$L$11,MATCH('IDEES okt 2017 template'!AA$68,'Eurostat-IEA'!$D$2:$L$2,0))*$N89/SUM($N$79,$N$89)</f>
        <v>0.48437188300194678</v>
      </c>
      <c r="AB89" s="650">
        <f t="shared" ref="AB89:AH96" si="96">AB24*(41.868/1000)</f>
        <v>30.774654720000001</v>
      </c>
      <c r="AC89" s="650">
        <f t="shared" si="96"/>
        <v>0.11471832000000001</v>
      </c>
      <c r="AD89" s="650">
        <f t="shared" si="96"/>
        <v>6.8655146399999998</v>
      </c>
      <c r="AE89" s="650">
        <f t="shared" si="96"/>
        <v>14.97074076</v>
      </c>
      <c r="AF89" s="650">
        <f t="shared" si="96"/>
        <v>0.68496047999999998</v>
      </c>
      <c r="AG89" s="650">
        <f t="shared" si="96"/>
        <v>3.3100840800000002</v>
      </c>
      <c r="AH89" s="650">
        <f t="shared" si="96"/>
        <v>0</v>
      </c>
      <c r="AI89" s="651">
        <f>INDEX('Eurostat-IEA'!$D$11:$L$11,MATCH('IDEES okt 2017 template'!AI$68,'Eurostat-IEA'!$D$2:$L$2,0))*$P89/SUM($P$79,$P$89)</f>
        <v>0</v>
      </c>
      <c r="AJ89" s="651">
        <f>INDEX('Eurostat-IEA'!$D$11:$L$11,MATCH('IDEES okt 2017 template'!AJ$68,'Eurostat-IEA'!$D$2:$L$2,0))*$Q89/SUM($Q$79,$Q$89)</f>
        <v>0.56103743352714264</v>
      </c>
      <c r="AK89" s="651">
        <f>INDEX('Eurostat-IEA'!$D$11:$L$11,MATCH('IDEES okt 2017 template'!AK$68,'Eurostat-IEA'!$D$2:$L$2,0))*$P89/SUM($P$79,$P$89)</f>
        <v>0</v>
      </c>
      <c r="AL89" s="651">
        <f>INDEX('Eurostat-IEA'!$D$11:$L$11,MATCH('IDEES okt 2017 template'!AL$68,'Eurostat-IEA'!$D$2:$L$2,0))*$Q89/SUM($Q$79,$Q$89)</f>
        <v>0.19823905898558913</v>
      </c>
      <c r="AM89" s="651">
        <f>INDEX('Eurostat-IEA'!$D$11:$L$11,MATCH('IDEES okt 2017 template'!AM$68,'Eurostat-IEA'!$D$2:$L$2,0))*$Q89/SUM($Q$79,$Q$89)</f>
        <v>2.221586980775256</v>
      </c>
      <c r="AN89" s="652">
        <f>INDEX('Eurostat-IEA'!$D$11:$L$11,MATCH('IDEES okt 2017 template'!AN$68,'Eurostat-IEA'!$D$2:$L$2,0))*$Q89/SUM($Q$79,$Q$89)</f>
        <v>2.033238978141021E-2</v>
      </c>
    </row>
    <row r="90" spans="1:40">
      <c r="B90" s="408"/>
      <c r="C90" s="633" t="s">
        <v>510</v>
      </c>
      <c r="D90" s="649">
        <f t="shared" si="65"/>
        <v>8.1885434400000001</v>
      </c>
      <c r="E90" s="650">
        <f t="shared" si="65"/>
        <v>6.3677041200000009</v>
      </c>
      <c r="F90" s="650">
        <f t="shared" si="65"/>
        <v>10.736211240000001</v>
      </c>
      <c r="G90" s="651">
        <f>INDEX('Eurostat-IEA'!$D$10:$L$10,MATCH('IDEES okt 2017 template'!G$68,'Eurostat-IEA'!$D$2:$L$2,0))*$J90/SUM($J$71,$J$76,$J$81,$J$90,$J$96)</f>
        <v>6.7898904987158986</v>
      </c>
      <c r="H90" s="650">
        <f t="shared" ref="H90:S90" si="97">H25*(41.868/1000)</f>
        <v>0.27967824000000002</v>
      </c>
      <c r="I90" s="650">
        <f t="shared" si="97"/>
        <v>15.207713640000001</v>
      </c>
      <c r="J90" s="650">
        <f t="shared" si="97"/>
        <v>57.138934320000004</v>
      </c>
      <c r="K90" s="650">
        <f t="shared" si="97"/>
        <v>3.66303132</v>
      </c>
      <c r="L90" s="650">
        <f t="shared" si="97"/>
        <v>0.70715052000000012</v>
      </c>
      <c r="M90" s="650">
        <f t="shared" si="97"/>
        <v>41.686292880000003</v>
      </c>
      <c r="N90" s="650">
        <f t="shared" si="97"/>
        <v>10.438111080000001</v>
      </c>
      <c r="O90" s="650">
        <f t="shared" si="97"/>
        <v>78.275994120000007</v>
      </c>
      <c r="P90" s="650">
        <f t="shared" si="97"/>
        <v>15.22655424</v>
      </c>
      <c r="Q90" s="650">
        <f t="shared" si="97"/>
        <v>3.3523707599999999</v>
      </c>
      <c r="R90" s="650">
        <f t="shared" si="97"/>
        <v>5.1078960000000002</v>
      </c>
      <c r="S90" s="650">
        <f t="shared" si="97"/>
        <v>4.7754640800000008</v>
      </c>
      <c r="T90" s="651">
        <f>INDEX('Eurostat-IEA'!$D$10:$L$10,MATCH('IDEES okt 2017 template'!T$68,'Eurostat-IEA'!$D$2:$L$2,0))*$N90/SUM($N$71,$N$76,$N$81,$N$90,$N$96)</f>
        <v>0.55059449627000601</v>
      </c>
      <c r="U90" s="650">
        <f t="shared" si="95"/>
        <v>22.997673719999998</v>
      </c>
      <c r="V90" s="650">
        <f t="shared" si="95"/>
        <v>0.98724743999999998</v>
      </c>
      <c r="W90" s="650">
        <f t="shared" si="95"/>
        <v>0.20180376000000003</v>
      </c>
      <c r="X90" s="650">
        <f t="shared" si="95"/>
        <v>0.46766556000000004</v>
      </c>
      <c r="Y90" s="650">
        <f t="shared" si="95"/>
        <v>0.16077311999999999</v>
      </c>
      <c r="Z90" s="650">
        <f t="shared" si="95"/>
        <v>4.0513570200000002</v>
      </c>
      <c r="AA90" s="651">
        <f>INDEX('Eurostat-IEA'!$D$10:$L$10,MATCH('IDEES okt 2017 template'!AA$68,'Eurostat-IEA'!$D$2:$L$2,0))*$N90/SUM($N$71,$N$76,$N$81,$N$90,$N$96)</f>
        <v>23.563929646885658</v>
      </c>
      <c r="AB90" s="650">
        <f t="shared" si="96"/>
        <v>6.2592660000000002</v>
      </c>
      <c r="AC90" s="650">
        <f t="shared" si="96"/>
        <v>5.3385886800000009</v>
      </c>
      <c r="AD90" s="650">
        <f t="shared" si="96"/>
        <v>4.1541429600000006</v>
      </c>
      <c r="AE90" s="650">
        <f t="shared" si="96"/>
        <v>19.593386640000002</v>
      </c>
      <c r="AF90" s="650">
        <f t="shared" si="96"/>
        <v>2.46016368</v>
      </c>
      <c r="AG90" s="650">
        <f t="shared" si="96"/>
        <v>1.91420496</v>
      </c>
      <c r="AH90" s="650">
        <f t="shared" si="96"/>
        <v>42.187452839999999</v>
      </c>
      <c r="AI90" s="651">
        <f>INDEX('Eurostat-IEA'!$D$10:$L$10,MATCH('IDEES okt 2017 template'!AI$68,'Eurostat-IEA'!$D$2:$L$2,0))*$P90/SUM($P$71,$P$76,$P$81,$P$90,$P$96)</f>
        <v>2.3851236223976722</v>
      </c>
      <c r="AJ90" s="651">
        <f>INDEX('Eurostat-IEA'!$D$10:$L$10,MATCH('IDEES okt 2017 template'!AJ$68,'Eurostat-IEA'!$D$2:$L$2,0))*$Q90/SUM($Q$71,$Q$76,$Q$81,$Q$90,$Q$96)</f>
        <v>2.6626741841668151</v>
      </c>
      <c r="AK90" s="651">
        <f>INDEX('Eurostat-IEA'!$D$10:$L$10,MATCH('IDEES okt 2017 template'!AK$68,'Eurostat-IEA'!$D$2:$L$2,0))*$P90/SUM($P$71,$P$76,$P$81,$P$90,$P$96)</f>
        <v>1.1794466106069308</v>
      </c>
      <c r="AL90" s="651">
        <f>INDEX('Eurostat-IEA'!$D$10:$L$10,MATCH('IDEES okt 2017 template'!AL$68,'Eurostat-IEA'!$D$2:$L$2,0))*$Q90/SUM($Q$71,$Q$76,$Q$81,$Q$90,$Q$96)</f>
        <v>1.8937341592560661</v>
      </c>
      <c r="AM90" s="651">
        <f>INDEX('Eurostat-IEA'!$D$10:$L$10,MATCH('IDEES okt 2017 template'!AM$68,'Eurostat-IEA'!$D$2:$L$2,0))*$Q90/SUM($Q$71,$Q$76,$Q$81,$Q$90,$Q$96)</f>
        <v>8.5781813166335876</v>
      </c>
      <c r="AN90" s="652">
        <f>INDEX('Eurostat-IEA'!$D$10:$L$10,MATCH('IDEES okt 2017 template'!AN$68,'Eurostat-IEA'!$D$2:$L$2,0))*$Q90/SUM($Q$71,$Q$76,$Q$81,$Q$90,$Q$96)</f>
        <v>1.3134679148310406</v>
      </c>
    </row>
    <row r="91" spans="1:40">
      <c r="B91" s="408"/>
      <c r="C91" s="633" t="s">
        <v>527</v>
      </c>
      <c r="D91" s="649">
        <f t="shared" si="65"/>
        <v>6.9291540000000005</v>
      </c>
      <c r="E91" s="650">
        <f t="shared" si="65"/>
        <v>22.535451000000002</v>
      </c>
      <c r="F91" s="650">
        <f t="shared" si="65"/>
        <v>0.21855095999999999</v>
      </c>
      <c r="G91" s="651">
        <f>INDEX('Eurostat-IEA'!$D$6:$L$6,MATCH('IDEES okt 2017 template'!G$68,'Eurostat-IEA'!$D$2:$L$2,0))*$J91/SUM($J$72,$J$82,$J$91)</f>
        <v>6.6975546016579495</v>
      </c>
      <c r="H91" s="650">
        <f t="shared" ref="H91:S91" si="98">H26*(41.868/1000)</f>
        <v>0</v>
      </c>
      <c r="I91" s="650">
        <f t="shared" si="98"/>
        <v>10.540269</v>
      </c>
      <c r="J91" s="650">
        <f t="shared" si="98"/>
        <v>128.21698187999999</v>
      </c>
      <c r="K91" s="650">
        <f t="shared" si="98"/>
        <v>4.1989417200000005</v>
      </c>
      <c r="L91" s="650">
        <f t="shared" si="98"/>
        <v>0.28470240000000002</v>
      </c>
      <c r="M91" s="650">
        <f t="shared" si="98"/>
        <v>44.748099719999999</v>
      </c>
      <c r="N91" s="650">
        <f t="shared" si="98"/>
        <v>0.22231908</v>
      </c>
      <c r="O91" s="650">
        <f t="shared" si="98"/>
        <v>85.257064440000008</v>
      </c>
      <c r="P91" s="650">
        <f t="shared" si="98"/>
        <v>0.78167556000000016</v>
      </c>
      <c r="Q91" s="650">
        <f t="shared" si="98"/>
        <v>4.0302136800000001</v>
      </c>
      <c r="R91" s="650">
        <f t="shared" si="98"/>
        <v>14.874863039999999</v>
      </c>
      <c r="S91" s="650">
        <f t="shared" si="98"/>
        <v>5.2958833199999997</v>
      </c>
      <c r="T91" s="651">
        <f>INDEX('Eurostat-IEA'!$D$6:$L$6,MATCH('IDEES okt 2017 template'!T$68,'Eurostat-IEA'!$D$2:$L$2,0))*$N91/SUM($N$72,$N$82,$N$91)</f>
        <v>0</v>
      </c>
      <c r="U91" s="650">
        <f t="shared" si="95"/>
        <v>136.26610488</v>
      </c>
      <c r="V91" s="650">
        <f t="shared" si="95"/>
        <v>0.80344692000000006</v>
      </c>
      <c r="W91" s="650">
        <f t="shared" si="95"/>
        <v>0.83275452000000005</v>
      </c>
      <c r="X91" s="650">
        <f t="shared" si="95"/>
        <v>0.82145016000000004</v>
      </c>
      <c r="Y91" s="650">
        <f t="shared" si="95"/>
        <v>0</v>
      </c>
      <c r="Z91" s="650">
        <f t="shared" si="95"/>
        <v>58.651625160000002</v>
      </c>
      <c r="AA91" s="651">
        <f>INDEX('Eurostat-IEA'!$D$6:$L$6,MATCH('IDEES okt 2017 template'!AA$68,'Eurostat-IEA'!$D$2:$L$2,0))*$N91/SUM($N$72,$N$82,$N$91)</f>
        <v>1.9858948144498897E-2</v>
      </c>
      <c r="AB91" s="650">
        <f t="shared" si="96"/>
        <v>22.085370000000001</v>
      </c>
      <c r="AC91" s="650">
        <f t="shared" si="96"/>
        <v>3.9787160400000001</v>
      </c>
      <c r="AD91" s="650">
        <f t="shared" si="96"/>
        <v>12.695633640000002</v>
      </c>
      <c r="AE91" s="650">
        <f t="shared" si="96"/>
        <v>0.63932436000000004</v>
      </c>
      <c r="AF91" s="650">
        <f t="shared" si="96"/>
        <v>0.73059660000000004</v>
      </c>
      <c r="AG91" s="650">
        <f t="shared" si="96"/>
        <v>8.1500248800000001</v>
      </c>
      <c r="AH91" s="650">
        <f t="shared" si="96"/>
        <v>211.55021172000002</v>
      </c>
      <c r="AI91" s="651">
        <f>INDEX('Eurostat-IEA'!$D$6:$L$6,MATCH('IDEES okt 2017 template'!AI$68,'Eurostat-IEA'!$D$2:$L$2,0))*$P91/SUM($P$72,$P$82,$P$91)</f>
        <v>0</v>
      </c>
      <c r="AJ91" s="651">
        <f>INDEX('Eurostat-IEA'!$D$6:$L$6,MATCH('IDEES okt 2017 template'!AJ$68,'Eurostat-IEA'!$D$2:$L$2,0))*$Q91/SUM($Q$72,$Q$82,$Q$91)</f>
        <v>0.31879312406594112</v>
      </c>
      <c r="AK91" s="651">
        <f>INDEX('Eurostat-IEA'!$D$6:$L$6,MATCH('IDEES okt 2017 template'!AK$68,'Eurostat-IEA'!$D$2:$L$2,0))*$P91/SUM($P$72,$P$82,$P$91)</f>
        <v>0</v>
      </c>
      <c r="AL91" s="651">
        <f>INDEX('Eurostat-IEA'!$D$6:$L$6,MATCH('IDEES okt 2017 template'!AL$68,'Eurostat-IEA'!$D$2:$L$2,0))*$Q91/SUM($Q$72,$Q$82,$Q$91)</f>
        <v>0</v>
      </c>
      <c r="AM91" s="651">
        <f>INDEX('Eurostat-IEA'!$D$6:$L$6,MATCH('IDEES okt 2017 template'!AM$68,'Eurostat-IEA'!$D$2:$L$2,0))*$Q91/SUM($Q$72,$Q$82,$Q$91)</f>
        <v>1.5907100905271294</v>
      </c>
      <c r="AN91" s="652">
        <f>INDEX('Eurostat-IEA'!$D$6:$L$6,MATCH('IDEES okt 2017 template'!AN$68,'Eurostat-IEA'!$D$2:$L$2,0))*$Q91/SUM($Q$72,$Q$82,$Q$91)</f>
        <v>0</v>
      </c>
    </row>
    <row r="92" spans="1:40">
      <c r="B92" s="408"/>
      <c r="C92" s="633" t="s">
        <v>533</v>
      </c>
      <c r="D92" s="649">
        <f t="shared" si="65"/>
        <v>5.9159484000000004</v>
      </c>
      <c r="E92" s="650">
        <f t="shared" si="65"/>
        <v>16.430259240000002</v>
      </c>
      <c r="F92" s="650">
        <f t="shared" si="65"/>
        <v>0</v>
      </c>
      <c r="G92" s="651">
        <f>INDEX('Eurostat-IEA'!$D$5:$L$5,MATCH('IDEES okt 2017 template'!G$68,'Eurostat-IEA'!$D$2:$L$2,0))*$J92/SUM($J$83,$J$92)</f>
        <v>15.026885571302101</v>
      </c>
      <c r="H92" s="650">
        <f t="shared" ref="H92:S92" si="99">H27*(41.868/1000)</f>
        <v>0.17752032000000001</v>
      </c>
      <c r="I92" s="650">
        <f t="shared" si="99"/>
        <v>0</v>
      </c>
      <c r="J92" s="650">
        <f t="shared" si="99"/>
        <v>71.878563720000002</v>
      </c>
      <c r="K92" s="650">
        <f t="shared" si="99"/>
        <v>2.1164274000000001</v>
      </c>
      <c r="L92" s="650">
        <f t="shared" si="99"/>
        <v>1.46538E-2</v>
      </c>
      <c r="M92" s="650">
        <f t="shared" si="99"/>
        <v>13.41911268</v>
      </c>
      <c r="N92" s="650">
        <f t="shared" si="99"/>
        <v>2.9420643599999998</v>
      </c>
      <c r="O92" s="650">
        <f t="shared" si="99"/>
        <v>33.145639559999999</v>
      </c>
      <c r="P92" s="650">
        <f t="shared" si="99"/>
        <v>3.7404871200000005</v>
      </c>
      <c r="Q92" s="650">
        <f t="shared" si="99"/>
        <v>0.91858392000000011</v>
      </c>
      <c r="R92" s="650">
        <f t="shared" si="99"/>
        <v>0</v>
      </c>
      <c r="S92" s="650">
        <f t="shared" si="99"/>
        <v>7.2565617600000003</v>
      </c>
      <c r="T92" s="651">
        <f>INDEX('Eurostat-IEA'!$D$5:$L$5,MATCH('IDEES okt 2017 template'!T$68,'Eurostat-IEA'!$D$2:$L$2,0))*$N92/SUM($N$83,$N$92)</f>
        <v>9.1692733226992687E-3</v>
      </c>
      <c r="U92" s="650">
        <f t="shared" si="95"/>
        <v>13.617567000000001</v>
      </c>
      <c r="V92" s="650">
        <f t="shared" si="95"/>
        <v>3.5587800000000003E-2</v>
      </c>
      <c r="W92" s="650">
        <f t="shared" si="95"/>
        <v>0.74231964000000006</v>
      </c>
      <c r="X92" s="650">
        <f t="shared" si="95"/>
        <v>0.20054772000000001</v>
      </c>
      <c r="Y92" s="650">
        <f t="shared" si="95"/>
        <v>0</v>
      </c>
      <c r="Z92" s="650">
        <f t="shared" si="95"/>
        <v>0.42077340000000008</v>
      </c>
      <c r="AA92" s="651">
        <f>INDEX('Eurostat-IEA'!$D$5:$L$5,MATCH('IDEES okt 2017 template'!AA$68,'Eurostat-IEA'!$D$2:$L$2,0))*$N92/SUM($N$83,$N$92)</f>
        <v>0.81713152029264169</v>
      </c>
      <c r="AB92" s="650">
        <f t="shared" si="96"/>
        <v>0.67449347999999998</v>
      </c>
      <c r="AC92" s="650">
        <f t="shared" si="96"/>
        <v>2.12438232</v>
      </c>
      <c r="AD92" s="650">
        <f t="shared" si="96"/>
        <v>0.55307628000000009</v>
      </c>
      <c r="AE92" s="650">
        <f t="shared" si="96"/>
        <v>0.30521772000000003</v>
      </c>
      <c r="AF92" s="650">
        <f t="shared" si="96"/>
        <v>1.9732388400000003</v>
      </c>
      <c r="AG92" s="650">
        <f t="shared" si="96"/>
        <v>0</v>
      </c>
      <c r="AH92" s="650">
        <f t="shared" si="96"/>
        <v>16.462497599999999</v>
      </c>
      <c r="AI92" s="651">
        <f>INDEX('Eurostat-IEA'!$D$5:$L$5,MATCH('IDEES okt 2017 template'!AI$68,'Eurostat-IEA'!$D$2:$L$2,0))*$P92/SUM($P$83,$P$92)</f>
        <v>7.5080652048814048E-3</v>
      </c>
      <c r="AJ92" s="651">
        <f>INDEX('Eurostat-IEA'!$D$5:$L$5,MATCH('IDEES okt 2017 template'!AJ$68,'Eurostat-IEA'!$D$2:$L$2,0))*$Q92/SUM($Q$83,$Q$92)</f>
        <v>0</v>
      </c>
      <c r="AK92" s="651">
        <f>INDEX('Eurostat-IEA'!$D$5:$L$5,MATCH('IDEES okt 2017 template'!AK$68,'Eurostat-IEA'!$D$2:$L$2,0))*$P92/SUM($P$83,$P$92)</f>
        <v>0</v>
      </c>
      <c r="AL92" s="651">
        <f>INDEX('Eurostat-IEA'!$D$5:$L$5,MATCH('IDEES okt 2017 template'!AL$68,'Eurostat-IEA'!$D$2:$L$2,0))*$Q92/SUM($Q$83,$Q$92)</f>
        <v>0.20751710748544427</v>
      </c>
      <c r="AM92" s="651">
        <f>INDEX('Eurostat-IEA'!$D$5:$L$5,MATCH('IDEES okt 2017 template'!AM$68,'Eurostat-IEA'!$D$2:$L$2,0))*$Q92/SUM($Q$83,$Q$92)</f>
        <v>6.4210638040503214E-3</v>
      </c>
      <c r="AN92" s="652">
        <f>INDEX('Eurostat-IEA'!$D$5:$L$5,MATCH('IDEES okt 2017 template'!AN$68,'Eurostat-IEA'!$D$2:$L$2,0))*$Q92/SUM($Q$83,$Q$92)</f>
        <v>8.8264818650085286E-2</v>
      </c>
    </row>
    <row r="93" spans="1:40">
      <c r="B93" s="408"/>
      <c r="C93" s="633" t="s">
        <v>528</v>
      </c>
      <c r="D93" s="649">
        <f t="shared" si="65"/>
        <v>0.5748476400000001</v>
      </c>
      <c r="E93" s="650">
        <f t="shared" si="65"/>
        <v>0.63053208000000005</v>
      </c>
      <c r="F93" s="650">
        <f t="shared" si="65"/>
        <v>1.0467000000000001E-2</v>
      </c>
      <c r="G93" s="651">
        <f>INDEX('Eurostat-IEA'!$D$4:$L$4,MATCH('IDEES okt 2017 template'!G$68,'Eurostat-IEA'!$D$2:$L$2,0))*$J93/SUM($J$73,$J$85,$J$93)</f>
        <v>0</v>
      </c>
      <c r="H93" s="650">
        <f t="shared" ref="H93:S93" si="100">H28*(41.868/1000)</f>
        <v>7.4943720000000005E-2</v>
      </c>
      <c r="I93" s="650">
        <f t="shared" si="100"/>
        <v>0.12937212000000001</v>
      </c>
      <c r="J93" s="650">
        <f t="shared" si="100"/>
        <v>8.4594294000000012</v>
      </c>
      <c r="K93" s="650">
        <f t="shared" si="100"/>
        <v>0.22441248000000003</v>
      </c>
      <c r="L93" s="650">
        <f t="shared" si="100"/>
        <v>4.6892160000000009E-2</v>
      </c>
      <c r="M93" s="650">
        <f t="shared" si="100"/>
        <v>26.458063920000004</v>
      </c>
      <c r="N93" s="650">
        <f t="shared" si="100"/>
        <v>0.27549144000000003</v>
      </c>
      <c r="O93" s="650">
        <f t="shared" si="100"/>
        <v>21.428042400000002</v>
      </c>
      <c r="P93" s="650">
        <f t="shared" si="100"/>
        <v>0.93030696000000002</v>
      </c>
      <c r="Q93" s="650">
        <f t="shared" si="100"/>
        <v>1.3418694</v>
      </c>
      <c r="R93" s="650">
        <f t="shared" si="100"/>
        <v>2.1566206800000001</v>
      </c>
      <c r="S93" s="650">
        <f t="shared" si="100"/>
        <v>0.97133760000000002</v>
      </c>
      <c r="T93" s="651">
        <f>INDEX('Eurostat-IEA'!$D$4:$L$4,MATCH('IDEES okt 2017 template'!T$68,'Eurostat-IEA'!$D$2:$L$2,0))*$N93/SUM($N$73,$N$85,$N$93)</f>
        <v>3.0450704225352114E-2</v>
      </c>
      <c r="U93" s="650">
        <f t="shared" si="95"/>
        <v>24.129784440000002</v>
      </c>
      <c r="V93" s="650">
        <f t="shared" si="95"/>
        <v>0.40737564000000004</v>
      </c>
      <c r="W93" s="650">
        <f t="shared" si="95"/>
        <v>2.3027400000000003E-2</v>
      </c>
      <c r="X93" s="650">
        <f t="shared" si="95"/>
        <v>0.27842220000000001</v>
      </c>
      <c r="Y93" s="650">
        <f t="shared" si="95"/>
        <v>0.38016144000000002</v>
      </c>
      <c r="Z93" s="650">
        <f t="shared" si="95"/>
        <v>0.25246404</v>
      </c>
      <c r="AA93" s="651">
        <f>INDEX('Eurostat-IEA'!$D$4:$L$4,MATCH('IDEES okt 2017 template'!AA$68,'Eurostat-IEA'!$D$2:$L$2,0))*$N93/SUM($N$73,$N$85,$N$93)</f>
        <v>0.36607042253521127</v>
      </c>
      <c r="AB93" s="650">
        <f t="shared" si="96"/>
        <v>3.8535307200000006</v>
      </c>
      <c r="AC93" s="650">
        <f t="shared" si="96"/>
        <v>7.3130835599999999</v>
      </c>
      <c r="AD93" s="650">
        <f t="shared" si="96"/>
        <v>1.1995182</v>
      </c>
      <c r="AE93" s="650">
        <f t="shared" si="96"/>
        <v>0</v>
      </c>
      <c r="AF93" s="650">
        <f t="shared" si="96"/>
        <v>0.42244812000000004</v>
      </c>
      <c r="AG93" s="650">
        <f t="shared" si="96"/>
        <v>0.20138507999999999</v>
      </c>
      <c r="AH93" s="650">
        <f t="shared" si="96"/>
        <v>4.2533701200000005</v>
      </c>
      <c r="AI93" s="651">
        <f>INDEX('Eurostat-IEA'!$D$4:$L$4,MATCH('IDEES okt 2017 template'!AI$68,'Eurostat-IEA'!$D$2:$L$2,0))*$P93/SUM($P$73,$P$85,$P$93)</f>
        <v>1.5012519652461727</v>
      </c>
      <c r="AJ93" s="651">
        <f>INDEX('Eurostat-IEA'!$D$4:$L$4,MATCH('IDEES okt 2017 template'!AJ$68,'Eurostat-IEA'!$D$2:$L$2,0))*$Q93/SUM($Q$73,$Q$85,$Q$93)</f>
        <v>0</v>
      </c>
      <c r="AK93" s="651">
        <f>INDEX('Eurostat-IEA'!$D$4:$L$4,MATCH('IDEES okt 2017 template'!AK$68,'Eurostat-IEA'!$D$2:$L$2,0))*$P93/SUM($P$73,$P$85,$P$93)</f>
        <v>0</v>
      </c>
      <c r="AL93" s="651">
        <f>INDEX('Eurostat-IEA'!$D$4:$L$4,MATCH('IDEES okt 2017 template'!AL$68,'Eurostat-IEA'!$D$2:$L$2,0))*$Q93/SUM($Q$73,$Q$85,$Q$93)</f>
        <v>0.16153308151010734</v>
      </c>
      <c r="AM93" s="651">
        <f>INDEX('Eurostat-IEA'!$D$4:$L$4,MATCH('IDEES okt 2017 template'!AM$68,'Eurostat-IEA'!$D$2:$L$2,0))*$Q93/SUM($Q$73,$Q$85,$Q$93)</f>
        <v>0.48997089094633511</v>
      </c>
      <c r="AN93" s="652">
        <f>INDEX('Eurostat-IEA'!$D$4:$L$4,MATCH('IDEES okt 2017 template'!AN$68,'Eurostat-IEA'!$D$2:$L$2,0))*$Q93/SUM($Q$73,$Q$85,$Q$93)</f>
        <v>0.17649695366900092</v>
      </c>
    </row>
    <row r="94" spans="1:40">
      <c r="B94" s="408"/>
      <c r="C94" s="633" t="s">
        <v>536</v>
      </c>
      <c r="D94" s="649">
        <f t="shared" si="65"/>
        <v>4.28393376</v>
      </c>
      <c r="E94" s="650">
        <f t="shared" si="65"/>
        <v>0.47017764000000006</v>
      </c>
      <c r="F94" s="650">
        <f t="shared" si="65"/>
        <v>0.27004860000000003</v>
      </c>
      <c r="G94" s="651">
        <f>INDEX('Eurostat-IEA'!$D$8:$L$8,MATCH('IDEES okt 2017 template'!G$68,'Eurostat-IEA'!$D$2:$L$2,0))</f>
        <v>1.16778</v>
      </c>
      <c r="H94" s="650">
        <f t="shared" ref="H94:S94" si="101">H29*(41.868/1000)</f>
        <v>2.16290088</v>
      </c>
      <c r="I94" s="650">
        <f t="shared" si="101"/>
        <v>0.28595844000000004</v>
      </c>
      <c r="J94" s="650">
        <f t="shared" si="101"/>
        <v>18.133030800000004</v>
      </c>
      <c r="K94" s="650">
        <f t="shared" si="101"/>
        <v>0.44003268000000001</v>
      </c>
      <c r="L94" s="650">
        <f t="shared" si="101"/>
        <v>0</v>
      </c>
      <c r="M94" s="650">
        <f t="shared" si="101"/>
        <v>6.3011340000000002</v>
      </c>
      <c r="N94" s="650">
        <f t="shared" si="101"/>
        <v>3.8937240000000005E-2</v>
      </c>
      <c r="O94" s="650">
        <f t="shared" si="101"/>
        <v>1.7869262400000001</v>
      </c>
      <c r="P94" s="650">
        <f t="shared" si="101"/>
        <v>7.522842240000001</v>
      </c>
      <c r="Q94" s="650">
        <f t="shared" si="101"/>
        <v>0.21813228000000001</v>
      </c>
      <c r="R94" s="650">
        <f t="shared" si="101"/>
        <v>0.21310812000000001</v>
      </c>
      <c r="S94" s="650">
        <f t="shared" si="101"/>
        <v>0.22399379999999999</v>
      </c>
      <c r="T94" s="651">
        <f>INDEX('Eurostat-IEA'!$D$8:$L$8,MATCH('IDEES okt 2017 template'!T$68,'Eurostat-IEA'!$D$2:$L$2,0))</f>
        <v>0</v>
      </c>
      <c r="U94" s="650">
        <f t="shared" si="95"/>
        <v>4.1558176800000002</v>
      </c>
      <c r="V94" s="650">
        <f t="shared" si="95"/>
        <v>0</v>
      </c>
      <c r="W94" s="650">
        <f t="shared" si="95"/>
        <v>3.600648E-2</v>
      </c>
      <c r="X94" s="650">
        <f t="shared" si="95"/>
        <v>0</v>
      </c>
      <c r="Y94" s="650">
        <f t="shared" si="95"/>
        <v>0</v>
      </c>
      <c r="Z94" s="650">
        <f t="shared" si="95"/>
        <v>0.86499288000000008</v>
      </c>
      <c r="AA94" s="651">
        <f>INDEX('Eurostat-IEA'!$D$8:$L$8,MATCH('IDEES okt 2017 template'!AA$68,'Eurostat-IEA'!$D$2:$L$2,0))</f>
        <v>0</v>
      </c>
      <c r="AB94" s="650">
        <f t="shared" si="96"/>
        <v>0</v>
      </c>
      <c r="AC94" s="650">
        <f t="shared" si="96"/>
        <v>1.4628679200000001</v>
      </c>
      <c r="AD94" s="650">
        <f t="shared" si="96"/>
        <v>0</v>
      </c>
      <c r="AE94" s="650">
        <f t="shared" si="96"/>
        <v>0.43207776000000003</v>
      </c>
      <c r="AF94" s="650">
        <f t="shared" si="96"/>
        <v>0.21185208</v>
      </c>
      <c r="AG94" s="650">
        <f t="shared" si="96"/>
        <v>0</v>
      </c>
      <c r="AH94" s="650">
        <f t="shared" si="96"/>
        <v>3.6408412800000001</v>
      </c>
      <c r="AI94" s="651">
        <f>INDEX('Eurostat-IEA'!$D$8:$L$8,MATCH('IDEES okt 2017 template'!AI$68,'Eurostat-IEA'!$D$2:$L$2,0))</f>
        <v>8.3989999999999995E-2</v>
      </c>
      <c r="AJ94" s="651">
        <f>INDEX('Eurostat-IEA'!$D$8:$L$8,MATCH('IDEES okt 2017 template'!AJ$68,'Eurostat-IEA'!$D$2:$L$2,0))</f>
        <v>0</v>
      </c>
      <c r="AK94" s="651">
        <f>INDEX('Eurostat-IEA'!$D$8:$L$8,MATCH('IDEES okt 2017 template'!AK$68,'Eurostat-IEA'!$D$2:$L$2,0))</f>
        <v>0</v>
      </c>
      <c r="AL94" s="651">
        <f>INDEX('Eurostat-IEA'!$D$8:$L$8,MATCH('IDEES okt 2017 template'!AL$68,'Eurostat-IEA'!$D$2:$L$2,0))</f>
        <v>0</v>
      </c>
      <c r="AM94" s="651">
        <f>INDEX('Eurostat-IEA'!$D$8:$L$8,MATCH('IDEES okt 2017 template'!AM$68,'Eurostat-IEA'!$D$2:$L$2,0))</f>
        <v>0</v>
      </c>
      <c r="AN94" s="652">
        <f>INDEX('Eurostat-IEA'!$D$8:$L$8,MATCH('IDEES okt 2017 template'!AN$68,'Eurostat-IEA'!$D$2:$L$2,0))</f>
        <v>6.9900000000000006E-3</v>
      </c>
    </row>
    <row r="95" spans="1:40">
      <c r="B95" s="547"/>
      <c r="C95" s="619" t="s">
        <v>529</v>
      </c>
      <c r="D95" s="653">
        <f t="shared" si="65"/>
        <v>0.14151384</v>
      </c>
      <c r="E95" s="654">
        <f t="shared" si="65"/>
        <v>0</v>
      </c>
      <c r="F95" s="654">
        <f t="shared" si="65"/>
        <v>0.11848644000000001</v>
      </c>
      <c r="G95" s="655">
        <f>INDEX('Eurostat-IEA'!$D$3:$L$3,MATCH('IDEES okt 2017 template'!G$68,'Eurostat-IEA'!$D$2:$L$2,0))*$J95/SUM($J$74,$J$86,$J$95)</f>
        <v>0</v>
      </c>
      <c r="H95" s="654">
        <f t="shared" ref="H95:S95" si="102">H30*(41.868/1000)</f>
        <v>0</v>
      </c>
      <c r="I95" s="654">
        <f t="shared" si="102"/>
        <v>0.68914728000000003</v>
      </c>
      <c r="J95" s="654">
        <f t="shared" si="102"/>
        <v>0</v>
      </c>
      <c r="K95" s="654">
        <f t="shared" si="102"/>
        <v>0</v>
      </c>
      <c r="L95" s="654">
        <f t="shared" si="102"/>
        <v>0</v>
      </c>
      <c r="M95" s="654">
        <f t="shared" si="102"/>
        <v>0</v>
      </c>
      <c r="N95" s="654">
        <f t="shared" si="102"/>
        <v>0</v>
      </c>
      <c r="O95" s="654">
        <f t="shared" si="102"/>
        <v>0</v>
      </c>
      <c r="P95" s="654">
        <f t="shared" si="102"/>
        <v>0</v>
      </c>
      <c r="Q95" s="654">
        <f t="shared" si="102"/>
        <v>0</v>
      </c>
      <c r="R95" s="654">
        <f t="shared" si="102"/>
        <v>4.5217440000000005E-2</v>
      </c>
      <c r="S95" s="654">
        <f t="shared" si="102"/>
        <v>3.2317909199999999</v>
      </c>
      <c r="T95" s="655">
        <f>INDEX('Eurostat-IEA'!$D$3:$L$3,MATCH('IDEES okt 2017 template'!T$68,'Eurostat-IEA'!$D$2:$L$2,0))*$N95/SUM($N$74,$N$86,$N$95)</f>
        <v>0</v>
      </c>
      <c r="U95" s="654">
        <f t="shared" si="95"/>
        <v>0</v>
      </c>
      <c r="V95" s="654">
        <f t="shared" si="95"/>
        <v>0</v>
      </c>
      <c r="W95" s="654">
        <f t="shared" si="95"/>
        <v>0</v>
      </c>
      <c r="X95" s="654">
        <f t="shared" si="95"/>
        <v>0</v>
      </c>
      <c r="Y95" s="654">
        <f t="shared" si="95"/>
        <v>0</v>
      </c>
      <c r="Z95" s="654">
        <f t="shared" si="95"/>
        <v>0</v>
      </c>
      <c r="AA95" s="655">
        <f>INDEX('Eurostat-IEA'!$D$3:$L$3,MATCH('IDEES okt 2017 template'!AA$68,'Eurostat-IEA'!$D$2:$L$2,0))*$N95/SUM($N$74,$N$86,$N$95)</f>
        <v>0</v>
      </c>
      <c r="AB95" s="654">
        <f t="shared" si="96"/>
        <v>45.479115</v>
      </c>
      <c r="AC95" s="654">
        <f t="shared" si="96"/>
        <v>0</v>
      </c>
      <c r="AD95" s="654">
        <f t="shared" si="96"/>
        <v>0</v>
      </c>
      <c r="AE95" s="654">
        <f t="shared" si="96"/>
        <v>0</v>
      </c>
      <c r="AF95" s="654">
        <f t="shared" si="96"/>
        <v>0</v>
      </c>
      <c r="AG95" s="654">
        <f t="shared" si="96"/>
        <v>0</v>
      </c>
      <c r="AH95" s="654">
        <f t="shared" si="96"/>
        <v>1.3464748799999999</v>
      </c>
      <c r="AI95" s="655" t="e">
        <f>INDEX('Eurostat-IEA'!$D$3:$L$3,MATCH('IDEES okt 2017 template'!AI$68,'Eurostat-IEA'!$D$2:$L$2,0))*$P95/SUM($P$74,$P$86,$P$95)</f>
        <v>#DIV/0!</v>
      </c>
      <c r="AJ95" s="655">
        <f>INDEX('Eurostat-IEA'!$D$3:$L$3,MATCH('IDEES okt 2017 template'!AJ$68,'Eurostat-IEA'!$D$2:$L$2,0))*$Q95/SUM($Q$74,$Q$86,$Q$95)</f>
        <v>0</v>
      </c>
      <c r="AK95" s="655" t="e">
        <f>INDEX('Eurostat-IEA'!$D$3:$L$3,MATCH('IDEES okt 2017 template'!AK$68,'Eurostat-IEA'!$D$2:$L$2,0))*$P95/SUM($P$74,$P$86,$P$95)</f>
        <v>#DIV/0!</v>
      </c>
      <c r="AL95" s="655">
        <f>INDEX('Eurostat-IEA'!$D$3:$L$3,MATCH('IDEES okt 2017 template'!AL$68,'Eurostat-IEA'!$D$2:$L$2,0))*$Q95/SUM($Q$74,$Q$86,$Q$95)</f>
        <v>0</v>
      </c>
      <c r="AM95" s="655">
        <f>INDEX('Eurostat-IEA'!$D$3:$L$3,MATCH('IDEES okt 2017 template'!AM$68,'Eurostat-IEA'!$D$2:$L$2,0))*$Q95/SUM($Q$74,$Q$86,$Q$95)</f>
        <v>0</v>
      </c>
      <c r="AN95" s="656">
        <f>INDEX('Eurostat-IEA'!$D$3:$L$3,MATCH('IDEES okt 2017 template'!AN$68,'Eurostat-IEA'!$D$2:$L$2,0))*$Q95/SUM($Q$74,$Q$86,$Q$95)</f>
        <v>0</v>
      </c>
    </row>
    <row r="96" spans="1:40">
      <c r="B96" s="636" t="s">
        <v>537</v>
      </c>
      <c r="C96" s="637" t="s">
        <v>510</v>
      </c>
      <c r="D96" s="657">
        <f t="shared" si="65"/>
        <v>34.989924960000003</v>
      </c>
      <c r="E96" s="658">
        <f t="shared" si="65"/>
        <v>44.554669560000008</v>
      </c>
      <c r="F96" s="658">
        <f t="shared" si="65"/>
        <v>17.397828720000003</v>
      </c>
      <c r="G96" s="659">
        <f>INDEX('Eurostat-IEA'!$D$10:$L$10,MATCH('IDEES okt 2017 template'!G$68,'Eurostat-IEA'!$D$2:$L$2,0))*$J96/SUM($J$71,$J$76,$J$81,$J$90,$J$96)</f>
        <v>35.926308957638412</v>
      </c>
      <c r="H96" s="658">
        <f t="shared" ref="H96:S96" si="103">H31*(41.868/1000)</f>
        <v>3.4821615600000002</v>
      </c>
      <c r="I96" s="658">
        <f t="shared" si="103"/>
        <v>20.619152640000003</v>
      </c>
      <c r="J96" s="658">
        <f t="shared" si="103"/>
        <v>302.33050272000003</v>
      </c>
      <c r="K96" s="658">
        <f t="shared" si="103"/>
        <v>23.45319756</v>
      </c>
      <c r="L96" s="658">
        <f t="shared" si="103"/>
        <v>4.2596503200000004</v>
      </c>
      <c r="M96" s="658">
        <f t="shared" si="103"/>
        <v>173.91171708000002</v>
      </c>
      <c r="N96" s="658">
        <f t="shared" si="103"/>
        <v>26.998579800000002</v>
      </c>
      <c r="O96" s="658">
        <f t="shared" si="103"/>
        <v>322.93793232000002</v>
      </c>
      <c r="P96" s="658">
        <f t="shared" si="103"/>
        <v>22.234838760000002</v>
      </c>
      <c r="Q96" s="658">
        <f t="shared" si="103"/>
        <v>10.922942519999999</v>
      </c>
      <c r="R96" s="658">
        <f t="shared" si="103"/>
        <v>18.260728199999999</v>
      </c>
      <c r="S96" s="658">
        <f t="shared" si="103"/>
        <v>17.057441880000002</v>
      </c>
      <c r="T96" s="659">
        <f>INDEX('Eurostat-IEA'!$D$10:$L$10,MATCH('IDEES okt 2017 template'!T$68,'Eurostat-IEA'!$D$2:$L$2,0))*$N96/SUM($N$71,$N$76,$N$81,$N$90,$N$96)</f>
        <v>1.4241340536669744</v>
      </c>
      <c r="U96" s="658">
        <f t="shared" si="95"/>
        <v>176.83745292</v>
      </c>
      <c r="V96" s="658">
        <f t="shared" si="95"/>
        <v>5.6994908400000002</v>
      </c>
      <c r="W96" s="658">
        <f t="shared" si="95"/>
        <v>2.0850263999999998</v>
      </c>
      <c r="X96" s="658">
        <f t="shared" si="95"/>
        <v>5.2816482000000002</v>
      </c>
      <c r="Y96" s="658">
        <f t="shared" si="95"/>
        <v>1.1534634000000001</v>
      </c>
      <c r="Z96" s="658">
        <f t="shared" si="95"/>
        <v>63.081259560000007</v>
      </c>
      <c r="AA96" s="659">
        <f>INDEX('Eurostat-IEA'!$D$10:$L$10,MATCH('IDEES okt 2017 template'!AA$68,'Eurostat-IEA'!$D$2:$L$2,0))*$N96/SUM($N$71,$N$76,$N$81,$N$90,$N$96)</f>
        <v>60.949019424789284</v>
      </c>
      <c r="AB96" s="658">
        <f t="shared" si="96"/>
        <v>64.858974840000002</v>
      </c>
      <c r="AC96" s="658">
        <f t="shared" si="96"/>
        <v>33.5823228</v>
      </c>
      <c r="AD96" s="658">
        <f t="shared" si="96"/>
        <v>33.100422120000005</v>
      </c>
      <c r="AE96" s="658">
        <f t="shared" si="96"/>
        <v>43.116922439999996</v>
      </c>
      <c r="AF96" s="658">
        <f t="shared" si="96"/>
        <v>6.7424227200000004</v>
      </c>
      <c r="AG96" s="658">
        <f t="shared" si="96"/>
        <v>8.7365955599999996</v>
      </c>
      <c r="AH96" s="658">
        <f t="shared" si="96"/>
        <v>238.07024028000001</v>
      </c>
      <c r="AI96" s="659">
        <f>INDEX('Eurostat-IEA'!$D$10:$L$10,MATCH('IDEES okt 2017 template'!AI$68,'Eurostat-IEA'!$D$2:$L$2,0))*$P96/SUM($P$71,$P$76,$P$81,$P$90,$P$96)</f>
        <v>3.4829179557488223</v>
      </c>
      <c r="AJ96" s="659">
        <f>INDEX('Eurostat-IEA'!$D$10:$L$10,MATCH('IDEES okt 2017 template'!AJ$68,'Eurostat-IEA'!$D$2:$L$2,0))*$Q96/SUM($Q$71,$Q$76,$Q$81,$Q$90,$Q$96)</f>
        <v>8.6757220920104956</v>
      </c>
      <c r="AK96" s="659">
        <f>INDEX('Eurostat-IEA'!$D$10:$L$10,MATCH('IDEES okt 2017 template'!AK$68,'Eurostat-IEA'!$D$2:$L$2,0))*$P96/SUM($P$71,$P$76,$P$81,$P$90,$P$96)</f>
        <v>1.7223072797377443</v>
      </c>
      <c r="AL96" s="659">
        <f>INDEX('Eurostat-IEA'!$D$10:$L$10,MATCH('IDEES okt 2017 template'!AL$68,'Eurostat-IEA'!$D$2:$L$2,0))*$Q96/SUM($Q$71,$Q$76,$Q$81,$Q$90,$Q$96)</f>
        <v>6.1703047934097048</v>
      </c>
      <c r="AM96" s="659">
        <f>INDEX('Eurostat-IEA'!$D$10:$L$10,MATCH('IDEES okt 2017 template'!AM$68,'Eurostat-IEA'!$D$2:$L$2,0))*$Q96/SUM($Q$71,$Q$76,$Q$81,$Q$90,$Q$96)</f>
        <v>27.950065239122473</v>
      </c>
      <c r="AN96" s="660">
        <f>INDEX('Eurostat-IEA'!$D$10:$L$10,MATCH('IDEES okt 2017 template'!AN$68,'Eurostat-IEA'!$D$2:$L$2,0))*$Q96/SUM($Q$71,$Q$76,$Q$81,$Q$90,$Q$96)</f>
        <v>4.2796383701794705</v>
      </c>
    </row>
    <row r="97" spans="1:40">
      <c r="B97" s="618" t="s">
        <v>686</v>
      </c>
      <c r="C97" s="619"/>
      <c r="D97" s="661">
        <f t="shared" ref="D97:AN97" si="104">SUM(D69,D75,D77,D87,D96)</f>
        <v>266.50373707198906</v>
      </c>
      <c r="E97" s="661">
        <f t="shared" si="104"/>
        <v>387.7764809090171</v>
      </c>
      <c r="F97" s="661">
        <f t="shared" si="104"/>
        <v>92.789089581183077</v>
      </c>
      <c r="G97" s="661">
        <f t="shared" si="104"/>
        <v>270.46174999999999</v>
      </c>
      <c r="H97" s="661">
        <f t="shared" si="104"/>
        <v>14.503248594894465</v>
      </c>
      <c r="I97" s="661">
        <f t="shared" si="104"/>
        <v>301.04817583316293</v>
      </c>
      <c r="J97" s="661">
        <f t="shared" si="104"/>
        <v>2574.119888112486</v>
      </c>
      <c r="K97" s="661">
        <f t="shared" si="104"/>
        <v>202.63980878205072</v>
      </c>
      <c r="L97" s="661">
        <f t="shared" si="104"/>
        <v>42.928901030439754</v>
      </c>
      <c r="M97" s="661">
        <f t="shared" si="104"/>
        <v>721.23402787208101</v>
      </c>
      <c r="N97" s="661">
        <f t="shared" si="104"/>
        <v>243.65554296912546</v>
      </c>
      <c r="O97" s="661">
        <f t="shared" si="104"/>
        <v>1893.2053014689639</v>
      </c>
      <c r="P97" s="661">
        <f t="shared" si="104"/>
        <v>185.47580775473472</v>
      </c>
      <c r="Q97" s="661">
        <f t="shared" si="104"/>
        <v>105.59321906801358</v>
      </c>
      <c r="R97" s="661">
        <f t="shared" si="104"/>
        <v>266.85214205676886</v>
      </c>
      <c r="S97" s="661">
        <f t="shared" si="104"/>
        <v>136.05383880838673</v>
      </c>
      <c r="T97" s="661">
        <f t="shared" si="104"/>
        <v>17.929000000000002</v>
      </c>
      <c r="U97" s="661">
        <f t="shared" si="104"/>
        <v>1417.739584058304</v>
      </c>
      <c r="V97" s="661">
        <f t="shared" si="104"/>
        <v>66.278086864110804</v>
      </c>
      <c r="W97" s="661">
        <f t="shared" si="104"/>
        <v>21.142709840373008</v>
      </c>
      <c r="X97" s="661">
        <f t="shared" si="104"/>
        <v>59.364984508174025</v>
      </c>
      <c r="Y97" s="661">
        <f t="shared" si="104"/>
        <v>2.89507183748918</v>
      </c>
      <c r="Z97" s="661">
        <f t="shared" si="104"/>
        <v>506.29092949009066</v>
      </c>
      <c r="AA97" s="661">
        <f t="shared" si="104"/>
        <v>185.197</v>
      </c>
      <c r="AB97" s="661">
        <f t="shared" si="104"/>
        <v>896.60852244104547</v>
      </c>
      <c r="AC97" s="661">
        <f t="shared" si="104"/>
        <v>122.63764517753155</v>
      </c>
      <c r="AD97" s="661">
        <f t="shared" si="104"/>
        <v>340.26870040072498</v>
      </c>
      <c r="AE97" s="661">
        <f t="shared" si="104"/>
        <v>323.16737599248273</v>
      </c>
      <c r="AF97" s="661">
        <f t="shared" si="104"/>
        <v>54.343583580811604</v>
      </c>
      <c r="AG97" s="661">
        <f t="shared" si="104"/>
        <v>95.483693792585129</v>
      </c>
      <c r="AH97" s="661">
        <f t="shared" si="104"/>
        <v>1894.5338202413388</v>
      </c>
      <c r="AI97" s="661" t="e">
        <f t="shared" si="104"/>
        <v>#DIV/0!</v>
      </c>
      <c r="AJ97" s="661">
        <f t="shared" si="104"/>
        <v>34.33034</v>
      </c>
      <c r="AK97" s="661" t="e">
        <f t="shared" si="104"/>
        <v>#DIV/0!</v>
      </c>
      <c r="AL97" s="661">
        <f t="shared" si="104"/>
        <v>22.476999999999997</v>
      </c>
      <c r="AM97" s="661">
        <f t="shared" si="104"/>
        <v>129.61399999999998</v>
      </c>
      <c r="AN97" s="662">
        <f t="shared" si="104"/>
        <v>19.326089999999997</v>
      </c>
    </row>
    <row r="98" spans="1:40">
      <c r="B98" s="542"/>
      <c r="D98" s="644"/>
      <c r="E98" s="644"/>
      <c r="F98" s="644"/>
      <c r="G98" s="644"/>
      <c r="H98" s="644"/>
      <c r="I98" s="644"/>
      <c r="J98" s="644"/>
      <c r="K98" s="644"/>
      <c r="L98" s="644"/>
      <c r="M98" s="644"/>
      <c r="N98" s="644"/>
      <c r="O98" s="644"/>
      <c r="P98" s="644"/>
      <c r="Q98" s="644"/>
      <c r="R98" s="644"/>
      <c r="S98" s="644"/>
      <c r="T98" s="644"/>
      <c r="U98" s="644"/>
      <c r="V98" s="644"/>
      <c r="W98" s="644"/>
      <c r="X98" s="644"/>
      <c r="Y98" s="644"/>
      <c r="Z98" s="644"/>
      <c r="AA98" s="644"/>
      <c r="AB98" s="644"/>
      <c r="AC98" s="644"/>
      <c r="AD98" s="644"/>
      <c r="AE98" s="644"/>
      <c r="AF98" s="644"/>
      <c r="AG98" s="644"/>
      <c r="AH98" s="644"/>
      <c r="AI98" s="644"/>
      <c r="AJ98" s="644"/>
      <c r="AK98" s="644"/>
      <c r="AL98" s="644"/>
      <c r="AM98" s="644"/>
      <c r="AN98" s="644"/>
    </row>
    <row r="99" spans="1:40" ht="21">
      <c r="A99" s="3" t="s">
        <v>689</v>
      </c>
      <c r="B99" s="606"/>
      <c r="C99" s="606"/>
      <c r="D99" s="630"/>
      <c r="E99" s="467"/>
      <c r="F99" s="467"/>
      <c r="G99" s="467"/>
      <c r="H99" s="467"/>
      <c r="I99" s="467"/>
      <c r="J99" s="467"/>
      <c r="K99" s="467"/>
      <c r="L99" s="467"/>
      <c r="M99" s="693"/>
      <c r="N99" s="467"/>
      <c r="O99" s="467"/>
      <c r="P99" s="467"/>
      <c r="Q99" s="467"/>
      <c r="R99" s="467"/>
      <c r="S99" s="467"/>
      <c r="T99" s="467"/>
      <c r="U99" s="467"/>
      <c r="V99" s="467"/>
      <c r="W99" s="467"/>
      <c r="X99" s="467"/>
      <c r="Y99" s="467"/>
      <c r="Z99" s="467"/>
      <c r="AA99" s="467"/>
      <c r="AB99" s="467"/>
      <c r="AC99" s="467"/>
      <c r="AD99" s="467"/>
      <c r="AE99" s="467"/>
      <c r="AF99" s="467"/>
      <c r="AG99" s="467"/>
      <c r="AH99" s="467"/>
      <c r="AI99" s="467"/>
      <c r="AJ99" s="467"/>
      <c r="AK99" s="467"/>
      <c r="AL99" s="467"/>
      <c r="AM99" s="467"/>
      <c r="AN99" s="467"/>
    </row>
    <row r="100" spans="1:40">
      <c r="A100" t="s">
        <v>693</v>
      </c>
      <c r="B100" s="606"/>
      <c r="C100" s="606"/>
      <c r="D100" s="630"/>
      <c r="E100" s="467"/>
      <c r="F100" s="467"/>
      <c r="G100" s="467"/>
      <c r="H100" s="467"/>
      <c r="I100" s="467"/>
      <c r="J100" s="467"/>
      <c r="K100" s="467"/>
      <c r="L100" s="467"/>
      <c r="M100" s="467"/>
      <c r="N100" s="467"/>
      <c r="O100" s="467"/>
      <c r="P100" s="467"/>
      <c r="Q100" s="467"/>
      <c r="R100" s="467"/>
      <c r="S100" s="467"/>
      <c r="T100" s="467"/>
      <c r="U100" s="467"/>
      <c r="V100" s="467"/>
      <c r="W100" s="467"/>
      <c r="X100" s="467"/>
      <c r="Y100" s="467"/>
      <c r="Z100" s="467"/>
      <c r="AA100" s="467"/>
      <c r="AB100" s="467"/>
      <c r="AC100" s="467"/>
      <c r="AD100" s="467"/>
      <c r="AE100" s="467"/>
      <c r="AF100" s="467"/>
      <c r="AG100" s="467"/>
      <c r="AH100" s="467"/>
      <c r="AI100" s="467"/>
      <c r="AJ100" s="467"/>
      <c r="AK100" s="467"/>
      <c r="AL100" s="467"/>
      <c r="AM100" s="467"/>
      <c r="AN100" s="467"/>
    </row>
    <row r="101" spans="1:40">
      <c r="B101" t="s">
        <v>688</v>
      </c>
      <c r="D101" s="247" t="s">
        <v>88</v>
      </c>
      <c r="E101" s="248" t="s">
        <v>89</v>
      </c>
      <c r="F101" s="248" t="s">
        <v>90</v>
      </c>
      <c r="G101" s="248" t="s">
        <v>91</v>
      </c>
      <c r="H101" s="248" t="s">
        <v>92</v>
      </c>
      <c r="I101" s="248" t="s">
        <v>93</v>
      </c>
      <c r="J101" s="248" t="s">
        <v>94</v>
      </c>
      <c r="K101" s="248" t="s">
        <v>95</v>
      </c>
      <c r="L101" s="248" t="s">
        <v>96</v>
      </c>
      <c r="M101" s="248" t="s">
        <v>97</v>
      </c>
      <c r="N101" s="248" t="s">
        <v>98</v>
      </c>
      <c r="O101" s="248" t="s">
        <v>99</v>
      </c>
      <c r="P101" s="248" t="s">
        <v>205</v>
      </c>
      <c r="Q101" s="248" t="s">
        <v>118</v>
      </c>
      <c r="R101" s="248" t="s">
        <v>100</v>
      </c>
      <c r="S101" s="248" t="s">
        <v>101</v>
      </c>
      <c r="T101" s="248" t="s">
        <v>102</v>
      </c>
      <c r="U101" s="248" t="s">
        <v>103</v>
      </c>
      <c r="V101" s="248" t="s">
        <v>104</v>
      </c>
      <c r="W101" s="248" t="s">
        <v>105</v>
      </c>
      <c r="X101" s="248" t="s">
        <v>106</v>
      </c>
      <c r="Y101" s="248" t="s">
        <v>107</v>
      </c>
      <c r="Z101" s="248" t="s">
        <v>108</v>
      </c>
      <c r="AA101" s="248" t="s">
        <v>109</v>
      </c>
      <c r="AB101" s="248" t="s">
        <v>110</v>
      </c>
      <c r="AC101" s="248" t="s">
        <v>111</v>
      </c>
      <c r="AD101" s="248" t="s">
        <v>112</v>
      </c>
      <c r="AE101" s="248" t="s">
        <v>113</v>
      </c>
      <c r="AF101" s="248" t="s">
        <v>114</v>
      </c>
      <c r="AG101" s="248" t="s">
        <v>115</v>
      </c>
      <c r="AH101" s="248" t="s">
        <v>52</v>
      </c>
      <c r="AI101" s="248" t="s">
        <v>116</v>
      </c>
      <c r="AJ101" s="248" t="s">
        <v>117</v>
      </c>
      <c r="AK101" s="248" t="s">
        <v>119</v>
      </c>
      <c r="AL101" s="248" t="s">
        <v>120</v>
      </c>
      <c r="AM101" s="248" t="s">
        <v>121</v>
      </c>
      <c r="AN101" s="249" t="s">
        <v>122</v>
      </c>
    </row>
    <row r="102" spans="1:40">
      <c r="B102" s="631" t="s">
        <v>524</v>
      </c>
      <c r="C102" s="632" t="s">
        <v>525</v>
      </c>
      <c r="D102" s="645">
        <f t="shared" ref="D102:F128" si="105">D37*(41.868/1000)</f>
        <v>8.9840354400000013</v>
      </c>
      <c r="E102" s="646">
        <f t="shared" si="105"/>
        <v>11.73685644</v>
      </c>
      <c r="F102" s="646">
        <f t="shared" si="105"/>
        <v>6.3199746000000001</v>
      </c>
      <c r="G102" s="647">
        <f>SUM(G103:G107)</f>
        <v>12.193225453282544</v>
      </c>
      <c r="H102" s="646">
        <f t="shared" ref="H102:S102" si="106">H37*(41.868/1000)</f>
        <v>0.93491243999999996</v>
      </c>
      <c r="I102" s="646">
        <f t="shared" si="106"/>
        <v>10.871026199999999</v>
      </c>
      <c r="J102" s="646">
        <f t="shared" si="106"/>
        <v>111.52169820000002</v>
      </c>
      <c r="K102" s="646">
        <f t="shared" si="106"/>
        <v>7.3599757200000004</v>
      </c>
      <c r="L102" s="646">
        <f t="shared" si="106"/>
        <v>1.8024173999999999</v>
      </c>
      <c r="M102" s="646">
        <f t="shared" si="106"/>
        <v>40.229705160000002</v>
      </c>
      <c r="N102" s="646">
        <f t="shared" si="106"/>
        <v>6.5707639200000001</v>
      </c>
      <c r="O102" s="646">
        <f t="shared" si="106"/>
        <v>97.999590240000003</v>
      </c>
      <c r="P102" s="646">
        <f t="shared" si="106"/>
        <v>15.867553320000001</v>
      </c>
      <c r="Q102" s="646">
        <f t="shared" si="106"/>
        <v>4.2261559200000001</v>
      </c>
      <c r="R102" s="646">
        <f t="shared" si="106"/>
        <v>9.3805254000000016</v>
      </c>
      <c r="S102" s="646">
        <f t="shared" si="106"/>
        <v>3.9029349600000001</v>
      </c>
      <c r="T102" s="647">
        <f>SUM(T103:T107)</f>
        <v>0.34791923390264745</v>
      </c>
      <c r="U102" s="646">
        <f t="shared" ref="U102:Z111" si="107">U37*(41.868/1000)</f>
        <v>56.288595240000006</v>
      </c>
      <c r="V102" s="646">
        <f t="shared" si="107"/>
        <v>2.6937871200000001</v>
      </c>
      <c r="W102" s="646">
        <f t="shared" si="107"/>
        <v>0.54428399999999999</v>
      </c>
      <c r="X102" s="646">
        <f t="shared" si="107"/>
        <v>1.5625137600000001</v>
      </c>
      <c r="Y102" s="646">
        <f t="shared" si="107"/>
        <v>0.26502444000000003</v>
      </c>
      <c r="Z102" s="646">
        <f t="shared" si="107"/>
        <v>19.069199279999999</v>
      </c>
      <c r="AA102" s="647">
        <f>SUM(AA103:AA107)</f>
        <v>14.671489742696254</v>
      </c>
      <c r="AB102" s="646">
        <f t="shared" ref="AB102:AH111" si="108">AB37*(41.868/1000)</f>
        <v>35.708798520000002</v>
      </c>
      <c r="AC102" s="646">
        <f t="shared" si="108"/>
        <v>19.992388680000001</v>
      </c>
      <c r="AD102" s="646">
        <f t="shared" si="108"/>
        <v>12.7132182</v>
      </c>
      <c r="AE102" s="646">
        <f t="shared" si="108"/>
        <v>11.05859484</v>
      </c>
      <c r="AF102" s="646">
        <f t="shared" si="108"/>
        <v>1.6881177600000001</v>
      </c>
      <c r="AG102" s="646">
        <f t="shared" si="108"/>
        <v>4.14241992</v>
      </c>
      <c r="AH102" s="646">
        <f t="shared" si="108"/>
        <v>42.602364720000004</v>
      </c>
      <c r="AI102" s="647">
        <f t="shared" ref="AI102:AN102" si="109">SUM(AI103:AI107)</f>
        <v>3.1841756981499358</v>
      </c>
      <c r="AJ102" s="647">
        <f t="shared" si="109"/>
        <v>2.4447321619120324</v>
      </c>
      <c r="AK102" s="647">
        <f t="shared" si="109"/>
        <v>1.3167129822988346</v>
      </c>
      <c r="AL102" s="647">
        <f t="shared" si="109"/>
        <v>1.7852208000802388</v>
      </c>
      <c r="AM102" s="647">
        <f t="shared" si="109"/>
        <v>8.1873808793422977</v>
      </c>
      <c r="AN102" s="647">
        <f t="shared" si="109"/>
        <v>1.2690702461206707</v>
      </c>
    </row>
    <row r="103" spans="1:40">
      <c r="B103" s="408"/>
      <c r="C103" s="633" t="s">
        <v>526</v>
      </c>
      <c r="D103" s="649">
        <f t="shared" si="105"/>
        <v>0.29223864000000005</v>
      </c>
      <c r="E103" s="650">
        <f t="shared" si="105"/>
        <v>0</v>
      </c>
      <c r="F103" s="650">
        <f t="shared" si="105"/>
        <v>0.23571684000000001</v>
      </c>
      <c r="G103" s="651">
        <f>IFERROR(G70*G134,0)</f>
        <v>0</v>
      </c>
      <c r="H103" s="650">
        <f t="shared" ref="H103:S103" si="110">H38*(41.868/1000)</f>
        <v>0</v>
      </c>
      <c r="I103" s="650">
        <f t="shared" si="110"/>
        <v>0.22273776000000003</v>
      </c>
      <c r="J103" s="650">
        <f t="shared" si="110"/>
        <v>0</v>
      </c>
      <c r="K103" s="650">
        <f t="shared" si="110"/>
        <v>0</v>
      </c>
      <c r="L103" s="650">
        <f t="shared" si="110"/>
        <v>7.95492E-2</v>
      </c>
      <c r="M103" s="650">
        <f t="shared" si="110"/>
        <v>0.37723068000000004</v>
      </c>
      <c r="N103" s="650">
        <f t="shared" si="110"/>
        <v>0</v>
      </c>
      <c r="O103" s="650">
        <f t="shared" si="110"/>
        <v>0</v>
      </c>
      <c r="P103" s="650">
        <f t="shared" si="110"/>
        <v>0.51497640000000011</v>
      </c>
      <c r="Q103" s="650">
        <f t="shared" si="110"/>
        <v>0</v>
      </c>
      <c r="R103" s="650">
        <f t="shared" si="110"/>
        <v>0.19677960000000003</v>
      </c>
      <c r="S103" s="650">
        <f t="shared" si="110"/>
        <v>0</v>
      </c>
      <c r="T103" s="651">
        <f>IFERROR(T70*T134,0)</f>
        <v>0</v>
      </c>
      <c r="U103" s="650">
        <f t="shared" si="107"/>
        <v>0</v>
      </c>
      <c r="V103" s="650">
        <f t="shared" si="107"/>
        <v>0.23822892000000004</v>
      </c>
      <c r="W103" s="650">
        <f t="shared" si="107"/>
        <v>0</v>
      </c>
      <c r="X103" s="650">
        <f t="shared" si="107"/>
        <v>0.31233527999999999</v>
      </c>
      <c r="Y103" s="650">
        <f t="shared" si="107"/>
        <v>0</v>
      </c>
      <c r="Z103" s="650">
        <f t="shared" si="107"/>
        <v>0</v>
      </c>
      <c r="AA103" s="651">
        <f>IFERROR(AA70*AA134,0)</f>
        <v>0</v>
      </c>
      <c r="AB103" s="650">
        <f t="shared" si="108"/>
        <v>0.76199760000000005</v>
      </c>
      <c r="AC103" s="650">
        <f t="shared" si="108"/>
        <v>3.6249314400000001</v>
      </c>
      <c r="AD103" s="650">
        <f t="shared" si="108"/>
        <v>3.4478298000000001</v>
      </c>
      <c r="AE103" s="650">
        <f t="shared" si="108"/>
        <v>0</v>
      </c>
      <c r="AF103" s="650">
        <f t="shared" si="108"/>
        <v>0.15616764</v>
      </c>
      <c r="AG103" s="650">
        <f t="shared" si="108"/>
        <v>0</v>
      </c>
      <c r="AH103" s="650">
        <f t="shared" si="108"/>
        <v>0</v>
      </c>
      <c r="AI103" s="651">
        <f t="shared" ref="AI103:AN107" si="111">IFERROR(AI70*AI134,0)</f>
        <v>0.15499515096630218</v>
      </c>
      <c r="AJ103" s="651">
        <f t="shared" si="111"/>
        <v>0</v>
      </c>
      <c r="AK103" s="651">
        <f t="shared" si="111"/>
        <v>0.19402756413626288</v>
      </c>
      <c r="AL103" s="651">
        <f t="shared" si="111"/>
        <v>0</v>
      </c>
      <c r="AM103" s="651">
        <f t="shared" si="111"/>
        <v>0</v>
      </c>
      <c r="AN103" s="652">
        <f t="shared" si="111"/>
        <v>0</v>
      </c>
    </row>
    <row r="104" spans="1:40">
      <c r="B104" s="408"/>
      <c r="C104" s="633" t="s">
        <v>510</v>
      </c>
      <c r="D104" s="649">
        <f t="shared" si="105"/>
        <v>7.812150120000001</v>
      </c>
      <c r="E104" s="650">
        <f t="shared" si="105"/>
        <v>8.6298321600000012</v>
      </c>
      <c r="F104" s="650">
        <f t="shared" si="105"/>
        <v>5.5278320400000007</v>
      </c>
      <c r="G104" s="651">
        <f>IFERROR(G71*G135,0)</f>
        <v>12.110666290012196</v>
      </c>
      <c r="H104" s="650">
        <f t="shared" ref="H104:S104" si="112">H39*(41.868/1000)</f>
        <v>0.37136915999999998</v>
      </c>
      <c r="I104" s="650">
        <f t="shared" si="112"/>
        <v>8.4816194400000011</v>
      </c>
      <c r="J104" s="650">
        <f t="shared" si="112"/>
        <v>101.7266796</v>
      </c>
      <c r="K104" s="650">
        <f t="shared" si="112"/>
        <v>6.9216177600000002</v>
      </c>
      <c r="L104" s="650">
        <f t="shared" si="112"/>
        <v>1.6211289600000001</v>
      </c>
      <c r="M104" s="650">
        <f t="shared" si="112"/>
        <v>23.492553480000002</v>
      </c>
      <c r="N104" s="650">
        <f t="shared" si="112"/>
        <v>6.4870279200000001</v>
      </c>
      <c r="O104" s="650">
        <f t="shared" si="112"/>
        <v>74.420370000000005</v>
      </c>
      <c r="P104" s="650">
        <f t="shared" si="112"/>
        <v>14.54243112</v>
      </c>
      <c r="Q104" s="650">
        <f t="shared" si="112"/>
        <v>3.0333366000000002</v>
      </c>
      <c r="R104" s="650">
        <f t="shared" si="112"/>
        <v>4.5778471200000004</v>
      </c>
      <c r="S104" s="650">
        <f t="shared" si="112"/>
        <v>2.9659291200000002</v>
      </c>
      <c r="T104" s="651">
        <f>IFERROR(T71*T135,0)</f>
        <v>0.34076655784630944</v>
      </c>
      <c r="U104" s="650">
        <f t="shared" si="107"/>
        <v>15.299823240000002</v>
      </c>
      <c r="V104" s="650">
        <f t="shared" si="107"/>
        <v>1.9154610000000001</v>
      </c>
      <c r="W104" s="650">
        <f t="shared" si="107"/>
        <v>0.38518560000000002</v>
      </c>
      <c r="X104" s="650">
        <f t="shared" si="107"/>
        <v>0.86373684000000006</v>
      </c>
      <c r="Y104" s="650">
        <f t="shared" si="107"/>
        <v>0.11806775999999999</v>
      </c>
      <c r="Z104" s="650">
        <f t="shared" si="107"/>
        <v>12.335568840000001</v>
      </c>
      <c r="AA104" s="651">
        <f>IFERROR(AA71*AA135,0)</f>
        <v>14.583871160172468</v>
      </c>
      <c r="AB104" s="650">
        <f t="shared" si="108"/>
        <v>21.63152088</v>
      </c>
      <c r="AC104" s="650">
        <f t="shared" si="108"/>
        <v>8.6214585600000007</v>
      </c>
      <c r="AD104" s="650">
        <f t="shared" si="108"/>
        <v>1.9698894</v>
      </c>
      <c r="AE104" s="650">
        <f t="shared" si="108"/>
        <v>10.98532584</v>
      </c>
      <c r="AF104" s="650">
        <f t="shared" si="108"/>
        <v>1.00734408</v>
      </c>
      <c r="AG104" s="650">
        <f t="shared" si="108"/>
        <v>2.7046728</v>
      </c>
      <c r="AH104" s="650">
        <f t="shared" si="108"/>
        <v>24.482313000000001</v>
      </c>
      <c r="AI104" s="651">
        <f t="shared" si="111"/>
        <v>2.2703388922394883</v>
      </c>
      <c r="AJ104" s="651">
        <f t="shared" si="111"/>
        <v>2.4013450337200202</v>
      </c>
      <c r="AK104" s="651">
        <f t="shared" si="111"/>
        <v>1.1226854181625716</v>
      </c>
      <c r="AL104" s="651">
        <f t="shared" si="111"/>
        <v>1.7078729142140558</v>
      </c>
      <c r="AM104" s="651">
        <f t="shared" si="111"/>
        <v>7.7362725133768757</v>
      </c>
      <c r="AN104" s="652">
        <f t="shared" si="111"/>
        <v>1.1845571166706845</v>
      </c>
    </row>
    <row r="105" spans="1:40">
      <c r="B105" s="408"/>
      <c r="C105" s="633" t="s">
        <v>527</v>
      </c>
      <c r="D105" s="649">
        <f t="shared" si="105"/>
        <v>0.57401028000000009</v>
      </c>
      <c r="E105" s="650">
        <f t="shared" si="105"/>
        <v>2.6439642000000001</v>
      </c>
      <c r="F105" s="650">
        <f t="shared" si="105"/>
        <v>7.9130519999999996E-2</v>
      </c>
      <c r="G105" s="651">
        <f>IFERROR(G72*G136,0)</f>
        <v>8.2559163270348193E-2</v>
      </c>
      <c r="H105" s="650">
        <f t="shared" ref="H105:S105" si="113">H40*(41.868/1000)</f>
        <v>0</v>
      </c>
      <c r="I105" s="650">
        <f t="shared" si="113"/>
        <v>2.1289878</v>
      </c>
      <c r="J105" s="650">
        <f t="shared" si="113"/>
        <v>1.58721588</v>
      </c>
      <c r="K105" s="650">
        <f t="shared" si="113"/>
        <v>0.20724660000000003</v>
      </c>
      <c r="L105" s="650">
        <f t="shared" si="113"/>
        <v>4.5636120000000009E-2</v>
      </c>
      <c r="M105" s="650">
        <f t="shared" si="113"/>
        <v>10.801944000000001</v>
      </c>
      <c r="N105" s="650">
        <f t="shared" si="113"/>
        <v>1.8840600000000002E-2</v>
      </c>
      <c r="O105" s="650">
        <f t="shared" si="113"/>
        <v>12.47624532</v>
      </c>
      <c r="P105" s="650">
        <f t="shared" si="113"/>
        <v>0.34038684000000008</v>
      </c>
      <c r="Q105" s="650">
        <f t="shared" si="113"/>
        <v>0.55140156000000007</v>
      </c>
      <c r="R105" s="650">
        <f t="shared" si="113"/>
        <v>3.5822260800000003</v>
      </c>
      <c r="S105" s="650">
        <f t="shared" si="113"/>
        <v>0.61252884000000007</v>
      </c>
      <c r="T105" s="651">
        <f>IFERROR(T72*T136,0)</f>
        <v>0</v>
      </c>
      <c r="U105" s="650">
        <f t="shared" si="107"/>
        <v>32.186862359999999</v>
      </c>
      <c r="V105" s="650">
        <f t="shared" si="107"/>
        <v>0.12811608000000002</v>
      </c>
      <c r="W105" s="650">
        <f t="shared" si="107"/>
        <v>0.13481496000000001</v>
      </c>
      <c r="X105" s="650">
        <f t="shared" si="107"/>
        <v>0.115137</v>
      </c>
      <c r="Y105" s="650">
        <f t="shared" si="107"/>
        <v>0</v>
      </c>
      <c r="Z105" s="650">
        <f t="shared" si="107"/>
        <v>6.3170438400000002</v>
      </c>
      <c r="AA105" s="651">
        <f>IFERROR(AA72*AA136,0)</f>
        <v>1.630976889984175E-3</v>
      </c>
      <c r="AB105" s="650">
        <f t="shared" si="108"/>
        <v>3.95401392</v>
      </c>
      <c r="AC105" s="650">
        <f t="shared" si="108"/>
        <v>1.62908388</v>
      </c>
      <c r="AD105" s="650">
        <f t="shared" si="108"/>
        <v>3.80621988</v>
      </c>
      <c r="AE105" s="650">
        <f t="shared" si="108"/>
        <v>7.3269000000000001E-2</v>
      </c>
      <c r="AF105" s="650">
        <f t="shared" si="108"/>
        <v>0.14318855999999999</v>
      </c>
      <c r="AG105" s="650">
        <f t="shared" si="108"/>
        <v>1.2874410000000001</v>
      </c>
      <c r="AH105" s="650">
        <f t="shared" si="108"/>
        <v>16.7911614</v>
      </c>
      <c r="AI105" s="651">
        <f t="shared" si="111"/>
        <v>0</v>
      </c>
      <c r="AJ105" s="651">
        <f t="shared" si="111"/>
        <v>4.3387128192012063E-2</v>
      </c>
      <c r="AK105" s="651">
        <f t="shared" si="111"/>
        <v>0</v>
      </c>
      <c r="AL105" s="651">
        <f t="shared" si="111"/>
        <v>0</v>
      </c>
      <c r="AM105" s="651">
        <f t="shared" si="111"/>
        <v>0.21649256964448177</v>
      </c>
      <c r="AN105" s="652">
        <f t="shared" si="111"/>
        <v>0</v>
      </c>
    </row>
    <row r="106" spans="1:40">
      <c r="B106" s="408"/>
      <c r="C106" s="633" t="s">
        <v>528</v>
      </c>
      <c r="D106" s="649">
        <f t="shared" si="105"/>
        <v>0.29726279999999999</v>
      </c>
      <c r="E106" s="650">
        <f t="shared" si="105"/>
        <v>0.46306008000000004</v>
      </c>
      <c r="F106" s="650">
        <f t="shared" si="105"/>
        <v>0.34834176000000006</v>
      </c>
      <c r="G106" s="651">
        <f>IFERROR(G73*G137,0)</f>
        <v>0</v>
      </c>
      <c r="H106" s="650">
        <f t="shared" ref="H106:S106" si="114">H41*(41.868/1000)</f>
        <v>0.5639619600000001</v>
      </c>
      <c r="I106" s="650">
        <f t="shared" si="114"/>
        <v>3.7681200000000005E-2</v>
      </c>
      <c r="J106" s="650">
        <f t="shared" si="114"/>
        <v>8.2078027200000001</v>
      </c>
      <c r="K106" s="650">
        <f t="shared" si="114"/>
        <v>0.23111135999999999</v>
      </c>
      <c r="L106" s="650">
        <f t="shared" si="114"/>
        <v>5.5684440000000009E-2</v>
      </c>
      <c r="M106" s="650">
        <f t="shared" si="114"/>
        <v>5.367896280000001</v>
      </c>
      <c r="N106" s="650">
        <f t="shared" si="114"/>
        <v>6.4895400000000006E-2</v>
      </c>
      <c r="O106" s="650">
        <f t="shared" si="114"/>
        <v>11.102974920000001</v>
      </c>
      <c r="P106" s="650">
        <f t="shared" si="114"/>
        <v>0.46934028000000005</v>
      </c>
      <c r="Q106" s="650">
        <f t="shared" si="114"/>
        <v>0.64141776000000006</v>
      </c>
      <c r="R106" s="650">
        <f t="shared" si="114"/>
        <v>1.0144616400000002</v>
      </c>
      <c r="S106" s="650">
        <f t="shared" si="114"/>
        <v>0.32489568000000002</v>
      </c>
      <c r="T106" s="651">
        <f>IFERROR(T73*T137,0)</f>
        <v>7.1526760563380273E-3</v>
      </c>
      <c r="U106" s="650">
        <f t="shared" si="107"/>
        <v>8.8014909600000006</v>
      </c>
      <c r="V106" s="650">
        <f t="shared" si="107"/>
        <v>0.41198112000000003</v>
      </c>
      <c r="W106" s="650">
        <f t="shared" si="107"/>
        <v>2.3864759999999999E-2</v>
      </c>
      <c r="X106" s="650">
        <f t="shared" si="107"/>
        <v>0.27172332000000005</v>
      </c>
      <c r="Y106" s="650">
        <f t="shared" si="107"/>
        <v>0.14737536000000001</v>
      </c>
      <c r="Z106" s="650">
        <f t="shared" si="107"/>
        <v>0.41637726000000003</v>
      </c>
      <c r="AA106" s="651">
        <f>IFERROR(AA73*AA137,0)</f>
        <v>8.5987605633802811E-2</v>
      </c>
      <c r="AB106" s="650">
        <f t="shared" si="108"/>
        <v>7.0350800400000004</v>
      </c>
      <c r="AC106" s="650">
        <f t="shared" si="108"/>
        <v>6.1169148</v>
      </c>
      <c r="AD106" s="650">
        <f t="shared" si="108"/>
        <v>3.4892791200000004</v>
      </c>
      <c r="AE106" s="650">
        <f t="shared" si="108"/>
        <v>0</v>
      </c>
      <c r="AF106" s="650">
        <f t="shared" si="108"/>
        <v>0.38141747999999998</v>
      </c>
      <c r="AG106" s="650">
        <f t="shared" si="108"/>
        <v>0.15030612000000002</v>
      </c>
      <c r="AH106" s="650">
        <f t="shared" si="108"/>
        <v>1.32889032</v>
      </c>
      <c r="AI106" s="651">
        <f t="shared" si="111"/>
        <v>0.75884165494414546</v>
      </c>
      <c r="AJ106" s="651">
        <f t="shared" si="111"/>
        <v>0</v>
      </c>
      <c r="AK106" s="651">
        <f t="shared" si="111"/>
        <v>0</v>
      </c>
      <c r="AL106" s="651">
        <f t="shared" si="111"/>
        <v>7.7347885866182964E-2</v>
      </c>
      <c r="AM106" s="651">
        <f t="shared" si="111"/>
        <v>0.23461579632093979</v>
      </c>
      <c r="AN106" s="652">
        <f t="shared" si="111"/>
        <v>8.4513129449986152E-2</v>
      </c>
    </row>
    <row r="107" spans="1:40">
      <c r="B107" s="547"/>
      <c r="C107" s="619" t="s">
        <v>529</v>
      </c>
      <c r="D107" s="653">
        <f t="shared" si="105"/>
        <v>8.3736000000000001E-3</v>
      </c>
      <c r="E107" s="654">
        <f t="shared" si="105"/>
        <v>0</v>
      </c>
      <c r="F107" s="654">
        <f t="shared" si="105"/>
        <v>0.12895344</v>
      </c>
      <c r="G107" s="655">
        <f>IFERROR(G74*G138,0)</f>
        <v>0</v>
      </c>
      <c r="H107" s="654">
        <f t="shared" ref="H107:S107" si="115">H42*(41.868/1000)</f>
        <v>0</v>
      </c>
      <c r="I107" s="654">
        <f t="shared" si="115"/>
        <v>0</v>
      </c>
      <c r="J107" s="654">
        <f t="shared" si="115"/>
        <v>0</v>
      </c>
      <c r="K107" s="654">
        <f t="shared" si="115"/>
        <v>0</v>
      </c>
      <c r="L107" s="654">
        <f t="shared" si="115"/>
        <v>0</v>
      </c>
      <c r="M107" s="654">
        <f t="shared" si="115"/>
        <v>0.19008072000000001</v>
      </c>
      <c r="N107" s="654">
        <f t="shared" si="115"/>
        <v>0</v>
      </c>
      <c r="O107" s="654">
        <f t="shared" si="115"/>
        <v>0</v>
      </c>
      <c r="P107" s="654">
        <f t="shared" si="115"/>
        <v>0</v>
      </c>
      <c r="Q107" s="654">
        <f t="shared" si="115"/>
        <v>0</v>
      </c>
      <c r="R107" s="654">
        <f t="shared" si="115"/>
        <v>9.2109600000000007E-3</v>
      </c>
      <c r="S107" s="654">
        <f t="shared" si="115"/>
        <v>0</v>
      </c>
      <c r="T107" s="655">
        <f>IFERROR(T74*T138,0)</f>
        <v>0</v>
      </c>
      <c r="U107" s="654">
        <f t="shared" si="107"/>
        <v>0</v>
      </c>
      <c r="V107" s="654">
        <f t="shared" si="107"/>
        <v>0</v>
      </c>
      <c r="W107" s="654">
        <f t="shared" si="107"/>
        <v>0</v>
      </c>
      <c r="X107" s="654">
        <f t="shared" si="107"/>
        <v>0</v>
      </c>
      <c r="Y107" s="654">
        <f t="shared" si="107"/>
        <v>0</v>
      </c>
      <c r="Z107" s="654">
        <f t="shared" si="107"/>
        <v>0</v>
      </c>
      <c r="AA107" s="655">
        <f>IFERROR(AA74*AA138,0)</f>
        <v>0</v>
      </c>
      <c r="AB107" s="654">
        <f t="shared" si="108"/>
        <v>2.3261860800000003</v>
      </c>
      <c r="AC107" s="654">
        <f t="shared" si="108"/>
        <v>0</v>
      </c>
      <c r="AD107" s="654">
        <f t="shared" si="108"/>
        <v>0</v>
      </c>
      <c r="AE107" s="654">
        <f t="shared" si="108"/>
        <v>0</v>
      </c>
      <c r="AF107" s="654">
        <f t="shared" si="108"/>
        <v>0</v>
      </c>
      <c r="AG107" s="654">
        <f t="shared" si="108"/>
        <v>0</v>
      </c>
      <c r="AH107" s="654">
        <f t="shared" si="108"/>
        <v>0</v>
      </c>
      <c r="AI107" s="655">
        <f t="shared" si="111"/>
        <v>0</v>
      </c>
      <c r="AJ107" s="655">
        <f t="shared" si="111"/>
        <v>0</v>
      </c>
      <c r="AK107" s="655">
        <f t="shared" si="111"/>
        <v>0</v>
      </c>
      <c r="AL107" s="655">
        <f t="shared" si="111"/>
        <v>0</v>
      </c>
      <c r="AM107" s="655">
        <f t="shared" si="111"/>
        <v>0</v>
      </c>
      <c r="AN107" s="656">
        <f t="shared" si="111"/>
        <v>0</v>
      </c>
    </row>
    <row r="108" spans="1:40">
      <c r="B108" s="634" t="s">
        <v>530</v>
      </c>
      <c r="C108" s="635" t="s">
        <v>525</v>
      </c>
      <c r="D108" s="645">
        <f t="shared" si="105"/>
        <v>0.69626484</v>
      </c>
      <c r="E108" s="646">
        <f t="shared" si="105"/>
        <v>3.1815493199999998</v>
      </c>
      <c r="F108" s="646">
        <f t="shared" si="105"/>
        <v>0.71761752000000012</v>
      </c>
      <c r="G108" s="647">
        <f>G109</f>
        <v>0.83254394044658397</v>
      </c>
      <c r="H108" s="646">
        <f t="shared" ref="H108:S108" si="116">H43*(41.868/1000)</f>
        <v>1.9183917600000002</v>
      </c>
      <c r="I108" s="646">
        <f t="shared" si="116"/>
        <v>0.15867972000000002</v>
      </c>
      <c r="J108" s="646">
        <f t="shared" si="116"/>
        <v>7.0049350800000001</v>
      </c>
      <c r="K108" s="646">
        <f t="shared" si="116"/>
        <v>0.44505684000000006</v>
      </c>
      <c r="L108" s="646">
        <f t="shared" si="116"/>
        <v>4.6054800000000003E-3</v>
      </c>
      <c r="M108" s="646">
        <f t="shared" si="116"/>
        <v>12.245552640000001</v>
      </c>
      <c r="N108" s="646">
        <f t="shared" si="116"/>
        <v>0.14988744000000001</v>
      </c>
      <c r="O108" s="646">
        <f t="shared" si="116"/>
        <v>36.152180640000005</v>
      </c>
      <c r="P108" s="646">
        <f t="shared" si="116"/>
        <v>4.9006493999999998</v>
      </c>
      <c r="Q108" s="646">
        <f t="shared" si="116"/>
        <v>4.5008100000000004</v>
      </c>
      <c r="R108" s="646">
        <f t="shared" si="116"/>
        <v>0.17584560000000002</v>
      </c>
      <c r="S108" s="646">
        <f t="shared" si="116"/>
        <v>0.22566852000000001</v>
      </c>
      <c r="T108" s="647">
        <f>T109</f>
        <v>7.8926421353726177E-3</v>
      </c>
      <c r="U108" s="646">
        <f t="shared" si="107"/>
        <v>26.31026988</v>
      </c>
      <c r="V108" s="646">
        <f t="shared" si="107"/>
        <v>7.1175600000000011E-3</v>
      </c>
      <c r="W108" s="646">
        <f t="shared" si="107"/>
        <v>0.45845459999999999</v>
      </c>
      <c r="X108" s="646">
        <f t="shared" si="107"/>
        <v>8.373600000000001E-4</v>
      </c>
      <c r="Y108" s="646">
        <f t="shared" si="107"/>
        <v>0.49655448000000002</v>
      </c>
      <c r="Z108" s="646">
        <f t="shared" si="107"/>
        <v>3.3414850800000004</v>
      </c>
      <c r="AA108" s="647">
        <f>AA109</f>
        <v>0.33778336918711632</v>
      </c>
      <c r="AB108" s="646">
        <f t="shared" si="108"/>
        <v>0.29935620000000002</v>
      </c>
      <c r="AC108" s="646">
        <f t="shared" si="108"/>
        <v>1.3674088799999999</v>
      </c>
      <c r="AD108" s="646">
        <f t="shared" si="108"/>
        <v>0.30396168000000001</v>
      </c>
      <c r="AE108" s="646">
        <f t="shared" si="108"/>
        <v>0.46975896000000006</v>
      </c>
      <c r="AF108" s="646">
        <f t="shared" si="108"/>
        <v>0.29516940000000003</v>
      </c>
      <c r="AG108" s="646">
        <f t="shared" si="108"/>
        <v>0.16495992000000001</v>
      </c>
      <c r="AH108" s="646">
        <f t="shared" si="108"/>
        <v>2.3052520800000003</v>
      </c>
      <c r="AI108" s="647">
        <f t="shared" ref="AI108:AN108" si="117">AI109</f>
        <v>0.76604257785459773</v>
      </c>
      <c r="AJ108" s="647">
        <f t="shared" si="117"/>
        <v>3.5677306738773296</v>
      </c>
      <c r="AK108" s="647">
        <f t="shared" si="117"/>
        <v>0.38269423226861438</v>
      </c>
      <c r="AL108" s="647">
        <f t="shared" si="117"/>
        <v>2.5116633759275193</v>
      </c>
      <c r="AM108" s="647">
        <f t="shared" si="117"/>
        <v>11.493948749501865</v>
      </c>
      <c r="AN108" s="647">
        <f t="shared" si="117"/>
        <v>1.7599223355082554</v>
      </c>
    </row>
    <row r="109" spans="1:40">
      <c r="B109" s="547"/>
      <c r="C109" s="619" t="s">
        <v>510</v>
      </c>
      <c r="D109" s="653">
        <f t="shared" si="105"/>
        <v>0.69626484</v>
      </c>
      <c r="E109" s="654">
        <f t="shared" si="105"/>
        <v>3.1815493199999998</v>
      </c>
      <c r="F109" s="654">
        <f t="shared" si="105"/>
        <v>0.71761752000000012</v>
      </c>
      <c r="G109" s="655">
        <f>IFERROR(G76*G140,0)</f>
        <v>0.83254394044658397</v>
      </c>
      <c r="H109" s="654">
        <f t="shared" ref="H109:S109" si="118">H44*(41.868/1000)</f>
        <v>1.9183917600000002</v>
      </c>
      <c r="I109" s="654">
        <f t="shared" si="118"/>
        <v>0.15867972000000002</v>
      </c>
      <c r="J109" s="654">
        <f t="shared" si="118"/>
        <v>7.0049350800000001</v>
      </c>
      <c r="K109" s="654">
        <f t="shared" si="118"/>
        <v>0.44505684000000006</v>
      </c>
      <c r="L109" s="654">
        <f t="shared" si="118"/>
        <v>4.6054800000000003E-3</v>
      </c>
      <c r="M109" s="654">
        <f t="shared" si="118"/>
        <v>12.245552640000001</v>
      </c>
      <c r="N109" s="654">
        <f t="shared" si="118"/>
        <v>0.14988744000000001</v>
      </c>
      <c r="O109" s="654">
        <f t="shared" si="118"/>
        <v>36.152180640000005</v>
      </c>
      <c r="P109" s="654">
        <f t="shared" si="118"/>
        <v>4.9006493999999998</v>
      </c>
      <c r="Q109" s="654">
        <f t="shared" si="118"/>
        <v>4.5008100000000004</v>
      </c>
      <c r="R109" s="654">
        <f t="shared" si="118"/>
        <v>0.17584560000000002</v>
      </c>
      <c r="S109" s="654">
        <f t="shared" si="118"/>
        <v>0.22566852000000001</v>
      </c>
      <c r="T109" s="655">
        <f>IFERROR(T76*T140,0)</f>
        <v>7.8926421353726177E-3</v>
      </c>
      <c r="U109" s="654">
        <f t="shared" si="107"/>
        <v>26.31026988</v>
      </c>
      <c r="V109" s="654">
        <f t="shared" si="107"/>
        <v>7.1175600000000011E-3</v>
      </c>
      <c r="W109" s="654">
        <f t="shared" si="107"/>
        <v>0.45845459999999999</v>
      </c>
      <c r="X109" s="654">
        <f t="shared" si="107"/>
        <v>8.373600000000001E-4</v>
      </c>
      <c r="Y109" s="654">
        <f t="shared" si="107"/>
        <v>0.49655448000000002</v>
      </c>
      <c r="Z109" s="654">
        <f t="shared" si="107"/>
        <v>3.3414850800000004</v>
      </c>
      <c r="AA109" s="655">
        <f>IFERROR(AA76*AA140,0)</f>
        <v>0.33778336918711632</v>
      </c>
      <c r="AB109" s="654">
        <f t="shared" si="108"/>
        <v>0.29935620000000002</v>
      </c>
      <c r="AC109" s="654">
        <f t="shared" si="108"/>
        <v>1.3674088799999999</v>
      </c>
      <c r="AD109" s="654">
        <f t="shared" si="108"/>
        <v>0.30396168000000001</v>
      </c>
      <c r="AE109" s="654">
        <f t="shared" si="108"/>
        <v>0.46975896000000006</v>
      </c>
      <c r="AF109" s="654">
        <f t="shared" si="108"/>
        <v>0.29516940000000003</v>
      </c>
      <c r="AG109" s="654">
        <f t="shared" si="108"/>
        <v>0.16495992000000001</v>
      </c>
      <c r="AH109" s="654">
        <f t="shared" si="108"/>
        <v>2.3052520800000003</v>
      </c>
      <c r="AI109" s="655">
        <f t="shared" ref="AI109:AN109" si="119">IFERROR(AI76*AI140,0)</f>
        <v>0.76604257785459773</v>
      </c>
      <c r="AJ109" s="655">
        <f t="shared" si="119"/>
        <v>3.5677306738773296</v>
      </c>
      <c r="AK109" s="655">
        <f t="shared" si="119"/>
        <v>0.38269423226861438</v>
      </c>
      <c r="AL109" s="655">
        <f t="shared" si="119"/>
        <v>2.5116633759275193</v>
      </c>
      <c r="AM109" s="655">
        <f t="shared" si="119"/>
        <v>11.493948749501865</v>
      </c>
      <c r="AN109" s="656">
        <f t="shared" si="119"/>
        <v>1.7599223355082554</v>
      </c>
    </row>
    <row r="110" spans="1:40">
      <c r="A110" s="764"/>
      <c r="B110" s="634" t="s">
        <v>531</v>
      </c>
      <c r="C110" s="635" t="s">
        <v>525</v>
      </c>
      <c r="D110" s="645">
        <f t="shared" si="105"/>
        <v>123.40308328087208</v>
      </c>
      <c r="E110" s="646">
        <f t="shared" si="105"/>
        <v>180.81406602001289</v>
      </c>
      <c r="F110" s="646">
        <f t="shared" si="105"/>
        <v>27.473733487355716</v>
      </c>
      <c r="G110" s="647">
        <f>SUM(G111:G119)</f>
        <v>134.63755089074641</v>
      </c>
      <c r="H110" s="646">
        <f t="shared" ref="H110:S110" si="120">H45*(41.868/1000)</f>
        <v>3.1438533394927122</v>
      </c>
      <c r="I110" s="646">
        <f t="shared" si="120"/>
        <v>137.86808438314716</v>
      </c>
      <c r="J110" s="646">
        <f t="shared" si="120"/>
        <v>1318.356305536088</v>
      </c>
      <c r="K110" s="646">
        <f t="shared" si="120"/>
        <v>109.94350480382492</v>
      </c>
      <c r="L110" s="646">
        <f t="shared" si="120"/>
        <v>19.158126653305303</v>
      </c>
      <c r="M110" s="646">
        <f t="shared" si="120"/>
        <v>213.4985734471974</v>
      </c>
      <c r="N110" s="646">
        <f t="shared" si="120"/>
        <v>147.66195197495989</v>
      </c>
      <c r="O110" s="646">
        <f t="shared" si="120"/>
        <v>793.9209730735123</v>
      </c>
      <c r="P110" s="646">
        <f t="shared" si="120"/>
        <v>63.897016474122253</v>
      </c>
      <c r="Q110" s="646">
        <f t="shared" si="120"/>
        <v>41.495962263900481</v>
      </c>
      <c r="R110" s="646">
        <f t="shared" si="120"/>
        <v>120.98732044920179</v>
      </c>
      <c r="S110" s="646">
        <f t="shared" si="120"/>
        <v>57.778909559232766</v>
      </c>
      <c r="T110" s="647">
        <f>SUM(T111:T119)</f>
        <v>12.137410072136396</v>
      </c>
      <c r="U110" s="646">
        <f t="shared" si="107"/>
        <v>572.92553381897631</v>
      </c>
      <c r="V110" s="646">
        <f t="shared" si="107"/>
        <v>28.060186658347511</v>
      </c>
      <c r="W110" s="646">
        <f t="shared" si="107"/>
        <v>10.864890934100721</v>
      </c>
      <c r="X110" s="646">
        <f t="shared" si="107"/>
        <v>25.995052072021146</v>
      </c>
      <c r="Y110" s="646">
        <f t="shared" si="107"/>
        <v>0.28547480099995137</v>
      </c>
      <c r="Z110" s="646">
        <f t="shared" si="107"/>
        <v>242.69164778425818</v>
      </c>
      <c r="AA110" s="647">
        <f>SUM(AA111:AA119)</f>
        <v>56.311210180932115</v>
      </c>
      <c r="AB110" s="646">
        <f t="shared" si="108"/>
        <v>387.52470299340746</v>
      </c>
      <c r="AC110" s="646">
        <f t="shared" si="108"/>
        <v>13.084902211115301</v>
      </c>
      <c r="AD110" s="646">
        <f t="shared" si="108"/>
        <v>128.69767456606698</v>
      </c>
      <c r="AE110" s="646">
        <f t="shared" si="108"/>
        <v>188.47209225761026</v>
      </c>
      <c r="AF110" s="646">
        <f t="shared" si="108"/>
        <v>21.727521554086373</v>
      </c>
      <c r="AG110" s="646">
        <f t="shared" si="108"/>
        <v>41.620854783132579</v>
      </c>
      <c r="AH110" s="646">
        <f t="shared" si="108"/>
        <v>894.18412424709459</v>
      </c>
      <c r="AI110" s="647">
        <f t="shared" ref="AI110:AN110" si="121">SUM(AI111:AI119)</f>
        <v>3.6171209302749903</v>
      </c>
      <c r="AJ110" s="647">
        <f t="shared" si="121"/>
        <v>9.5191568345008797</v>
      </c>
      <c r="AK110" s="647">
        <f t="shared" si="121"/>
        <v>4.3539005810131233</v>
      </c>
      <c r="AL110" s="647">
        <f t="shared" si="121"/>
        <v>5.2996770127776074</v>
      </c>
      <c r="AM110" s="647">
        <f t="shared" si="121"/>
        <v>39.881930552469328</v>
      </c>
      <c r="AN110" s="647">
        <f t="shared" si="121"/>
        <v>5.4149338926246928</v>
      </c>
    </row>
    <row r="111" spans="1:40">
      <c r="A111" s="764"/>
      <c r="B111" s="408"/>
      <c r="C111" s="633" t="s">
        <v>526</v>
      </c>
      <c r="D111" s="649">
        <f t="shared" si="105"/>
        <v>32.771598155298378</v>
      </c>
      <c r="E111" s="650">
        <f t="shared" si="105"/>
        <v>10.713487320701761</v>
      </c>
      <c r="F111" s="650">
        <f t="shared" si="105"/>
        <v>12.473348192108338</v>
      </c>
      <c r="G111" s="651">
        <f t="shared" ref="G111:G119" si="122">IFERROR(G78*G142,0)</f>
        <v>11.838269671719756</v>
      </c>
      <c r="H111" s="650">
        <f t="shared" ref="H111:S111" si="123">H46*(41.868/1000)</f>
        <v>8.8800442192746853E-2</v>
      </c>
      <c r="I111" s="650">
        <f t="shared" si="123"/>
        <v>29.422829427421686</v>
      </c>
      <c r="J111" s="650">
        <f t="shared" si="123"/>
        <v>142.98636952029702</v>
      </c>
      <c r="K111" s="650">
        <f t="shared" si="123"/>
        <v>20.13354231674953</v>
      </c>
      <c r="L111" s="650">
        <f t="shared" si="123"/>
        <v>7.6880159354079547</v>
      </c>
      <c r="M111" s="650">
        <f t="shared" si="123"/>
        <v>42.355886098970899</v>
      </c>
      <c r="N111" s="650">
        <f t="shared" si="123"/>
        <v>31.771562952984933</v>
      </c>
      <c r="O111" s="650">
        <f t="shared" si="123"/>
        <v>155.58363316077777</v>
      </c>
      <c r="P111" s="650">
        <f t="shared" si="123"/>
        <v>11.105104127186898</v>
      </c>
      <c r="Q111" s="650">
        <f t="shared" si="123"/>
        <v>22.075611204185691</v>
      </c>
      <c r="R111" s="650">
        <f t="shared" si="123"/>
        <v>30.679249933917777</v>
      </c>
      <c r="S111" s="650">
        <f t="shared" si="123"/>
        <v>0.52490156465601634</v>
      </c>
      <c r="T111" s="651">
        <f t="shared" ref="T111:T119" si="124">IFERROR(T78*T142,0)</f>
        <v>0</v>
      </c>
      <c r="U111" s="650">
        <f t="shared" si="107"/>
        <v>142.34322718725372</v>
      </c>
      <c r="V111" s="650">
        <f t="shared" si="107"/>
        <v>9.7871125398306624</v>
      </c>
      <c r="W111" s="650">
        <f t="shared" si="107"/>
        <v>0.37540525626213361</v>
      </c>
      <c r="X111" s="650">
        <f t="shared" si="107"/>
        <v>10.656918672389258</v>
      </c>
      <c r="Y111" s="650">
        <f t="shared" si="107"/>
        <v>2.1024769848623386E-2</v>
      </c>
      <c r="Z111" s="650">
        <f t="shared" si="107"/>
        <v>8.3469082932897418</v>
      </c>
      <c r="AA111" s="651">
        <f t="shared" ref="AA111:AA119" si="125">IFERROR(AA78*AA142,0)</f>
        <v>15.869280542745949</v>
      </c>
      <c r="AB111" s="650">
        <f t="shared" si="108"/>
        <v>48.314360618413275</v>
      </c>
      <c r="AC111" s="650">
        <f t="shared" si="108"/>
        <v>8.588814885811809</v>
      </c>
      <c r="AD111" s="650">
        <f t="shared" si="108"/>
        <v>55.374058759249934</v>
      </c>
      <c r="AE111" s="650">
        <f t="shared" si="108"/>
        <v>11.480970632734794</v>
      </c>
      <c r="AF111" s="650">
        <f t="shared" si="108"/>
        <v>9.6128780810308712</v>
      </c>
      <c r="AG111" s="650">
        <f t="shared" si="108"/>
        <v>0.78187437757211742</v>
      </c>
      <c r="AH111" s="650">
        <f t="shared" si="108"/>
        <v>23.257781308850721</v>
      </c>
      <c r="AI111" s="651">
        <f t="shared" ref="AI111:AN119" si="126">IFERROR(AI78*AI142,0)</f>
        <v>3.3444007647223617</v>
      </c>
      <c r="AJ111" s="651">
        <f t="shared" si="126"/>
        <v>3.5756758874953327</v>
      </c>
      <c r="AK111" s="651">
        <f t="shared" si="126"/>
        <v>4.264218455870374</v>
      </c>
      <c r="AL111" s="651">
        <f t="shared" si="126"/>
        <v>3.5699481014626318</v>
      </c>
      <c r="AM111" s="651">
        <f t="shared" si="126"/>
        <v>19.629875656621817</v>
      </c>
      <c r="AN111" s="652">
        <f t="shared" si="126"/>
        <v>4.424775018532511</v>
      </c>
    </row>
    <row r="112" spans="1:40">
      <c r="A112" s="764"/>
      <c r="B112" s="408"/>
      <c r="C112" s="633" t="s">
        <v>532</v>
      </c>
      <c r="D112" s="649">
        <f t="shared" si="105"/>
        <v>18.176432834167784</v>
      </c>
      <c r="E112" s="650">
        <f t="shared" si="105"/>
        <v>0.32088727975821457</v>
      </c>
      <c r="F112" s="650">
        <f t="shared" si="105"/>
        <v>7.8165393165667174</v>
      </c>
      <c r="G112" s="651">
        <f t="shared" si="122"/>
        <v>5.4990667802269204</v>
      </c>
      <c r="H112" s="650">
        <f t="shared" ref="H112:S112" si="127">H47*(41.868/1000)</f>
        <v>0</v>
      </c>
      <c r="I112" s="650">
        <f t="shared" si="127"/>
        <v>33.021031890321744</v>
      </c>
      <c r="J112" s="650">
        <f t="shared" si="127"/>
        <v>149.10622928130309</v>
      </c>
      <c r="K112" s="650">
        <f t="shared" si="127"/>
        <v>57.404148246031063</v>
      </c>
      <c r="L112" s="650">
        <f t="shared" si="127"/>
        <v>9.6539247860364235</v>
      </c>
      <c r="M112" s="650">
        <f t="shared" si="127"/>
        <v>0</v>
      </c>
      <c r="N112" s="650">
        <f t="shared" si="127"/>
        <v>55.702009984631076</v>
      </c>
      <c r="O112" s="650">
        <f t="shared" si="127"/>
        <v>54.103016285926024</v>
      </c>
      <c r="P112" s="650">
        <f t="shared" si="127"/>
        <v>1.2052066972721234</v>
      </c>
      <c r="Q112" s="650">
        <f t="shared" si="127"/>
        <v>3.9562672980708302</v>
      </c>
      <c r="R112" s="650">
        <f t="shared" si="127"/>
        <v>14.938729091496327</v>
      </c>
      <c r="S112" s="650">
        <f t="shared" si="127"/>
        <v>0</v>
      </c>
      <c r="T112" s="651">
        <f t="shared" si="124"/>
        <v>5.1941627994961461</v>
      </c>
      <c r="U112" s="650">
        <f t="shared" ref="U112:Z121" si="128">U47*(41.868/1000)</f>
        <v>3.4086997774107592</v>
      </c>
      <c r="V112" s="650">
        <f t="shared" si="128"/>
        <v>13.639089415514288</v>
      </c>
      <c r="W112" s="650">
        <f t="shared" si="128"/>
        <v>0</v>
      </c>
      <c r="X112" s="650">
        <f t="shared" si="128"/>
        <v>11.373668156340846</v>
      </c>
      <c r="Y112" s="650">
        <f t="shared" si="128"/>
        <v>0</v>
      </c>
      <c r="Z112" s="650">
        <f t="shared" si="128"/>
        <v>8.8647717668230577</v>
      </c>
      <c r="AA112" s="651">
        <f t="shared" si="125"/>
        <v>2.981848351277617</v>
      </c>
      <c r="AB112" s="650">
        <f t="shared" ref="AB112:AH121" si="129">AB47*(41.868/1000)</f>
        <v>126.07544836534449</v>
      </c>
      <c r="AC112" s="650">
        <f t="shared" si="129"/>
        <v>1.9150849701903967E-2</v>
      </c>
      <c r="AD112" s="650">
        <f t="shared" si="129"/>
        <v>28.25771004403288</v>
      </c>
      <c r="AE112" s="650">
        <f t="shared" si="129"/>
        <v>90.071441907188671</v>
      </c>
      <c r="AF112" s="650">
        <f t="shared" si="129"/>
        <v>2.7178935000370101</v>
      </c>
      <c r="AG112" s="650">
        <f t="shared" si="129"/>
        <v>12.281932567711213</v>
      </c>
      <c r="AH112" s="650">
        <f t="shared" si="129"/>
        <v>1.4262141504902508</v>
      </c>
      <c r="AI112" s="651">
        <f t="shared" si="126"/>
        <v>0</v>
      </c>
      <c r="AJ112" s="651">
        <f t="shared" si="126"/>
        <v>2.5598537336526892</v>
      </c>
      <c r="AK112" s="651">
        <f t="shared" si="126"/>
        <v>0</v>
      </c>
      <c r="AL112" s="651">
        <f t="shared" si="126"/>
        <v>0.89512988487356271</v>
      </c>
      <c r="AM112" s="651">
        <f t="shared" si="126"/>
        <v>10.136467528768943</v>
      </c>
      <c r="AN112" s="652">
        <f t="shared" si="126"/>
        <v>9.277089332312205E-2</v>
      </c>
    </row>
    <row r="113" spans="1:40">
      <c r="A113" s="764"/>
      <c r="B113" s="408"/>
      <c r="C113" s="633" t="s">
        <v>959</v>
      </c>
      <c r="D113" s="649">
        <f t="shared" si="105"/>
        <v>4.0618776330661914</v>
      </c>
      <c r="E113" s="650">
        <f t="shared" si="105"/>
        <v>1.8306036081451043</v>
      </c>
      <c r="F113" s="650">
        <f t="shared" si="105"/>
        <v>0.62622957276944313</v>
      </c>
      <c r="G113" s="651">
        <f t="shared" si="122"/>
        <v>0</v>
      </c>
      <c r="H113" s="650">
        <f t="shared" ref="H113:S113" si="130">H48*(41.868/1000)</f>
        <v>0.62079494207222274</v>
      </c>
      <c r="I113" s="650">
        <f t="shared" si="130"/>
        <v>0.88841982307961098</v>
      </c>
      <c r="J113" s="650">
        <f t="shared" si="130"/>
        <v>11.953545557510932</v>
      </c>
      <c r="K113" s="650">
        <f t="shared" si="130"/>
        <v>3.1276661944015078</v>
      </c>
      <c r="L113" s="650">
        <f t="shared" si="130"/>
        <v>0</v>
      </c>
      <c r="M113" s="650">
        <f t="shared" si="130"/>
        <v>14.081425987435358</v>
      </c>
      <c r="N113" s="650">
        <f t="shared" si="130"/>
        <v>28.070847497773325</v>
      </c>
      <c r="O113" s="650">
        <f t="shared" si="130"/>
        <v>21.130003812345752</v>
      </c>
      <c r="P113" s="650">
        <f t="shared" si="130"/>
        <v>1.4082469612955313</v>
      </c>
      <c r="Q113" s="650">
        <f t="shared" si="130"/>
        <v>0.39088161691990986</v>
      </c>
      <c r="R113" s="650">
        <f t="shared" si="130"/>
        <v>7.8241445842369362E-2</v>
      </c>
      <c r="S113" s="650">
        <f t="shared" si="130"/>
        <v>0.30042554014382045</v>
      </c>
      <c r="T113" s="651">
        <f>IFERROR(T80*T144,0)</f>
        <v>0</v>
      </c>
      <c r="U113" s="650">
        <f t="shared" si="128"/>
        <v>2.4207272093563494</v>
      </c>
      <c r="V113" s="650">
        <f t="shared" si="128"/>
        <v>0</v>
      </c>
      <c r="W113" s="650">
        <f t="shared" si="128"/>
        <v>0.12048885850929149</v>
      </c>
      <c r="X113" s="650">
        <f t="shared" si="128"/>
        <v>0</v>
      </c>
      <c r="Y113" s="650">
        <f t="shared" si="128"/>
        <v>3.6506898396268826E-2</v>
      </c>
      <c r="Z113" s="650">
        <f t="shared" si="128"/>
        <v>2.4816920514176846</v>
      </c>
      <c r="AA113" s="651">
        <f t="shared" si="125"/>
        <v>0</v>
      </c>
      <c r="AB113" s="650">
        <f t="shared" si="129"/>
        <v>0.54065823952610259</v>
      </c>
      <c r="AC113" s="650">
        <f t="shared" si="129"/>
        <v>0.10752677767291088</v>
      </c>
      <c r="AD113" s="650">
        <f t="shared" si="129"/>
        <v>0.15676063417617278</v>
      </c>
      <c r="AE113" s="650">
        <f t="shared" si="129"/>
        <v>42.331359579476192</v>
      </c>
      <c r="AF113" s="650">
        <f t="shared" si="129"/>
        <v>0.22545081487859481</v>
      </c>
      <c r="AG113" s="650">
        <f t="shared" si="129"/>
        <v>0.13299399373544546</v>
      </c>
      <c r="AH113" s="650">
        <f t="shared" si="129"/>
        <v>6.8345627962158373</v>
      </c>
      <c r="AI113" s="651">
        <f t="shared" si="126"/>
        <v>0</v>
      </c>
      <c r="AJ113" s="651">
        <f t="shared" si="126"/>
        <v>0</v>
      </c>
      <c r="AK113" s="651">
        <f t="shared" si="126"/>
        <v>0</v>
      </c>
      <c r="AL113" s="651">
        <f t="shared" si="126"/>
        <v>0</v>
      </c>
      <c r="AM113" s="651">
        <f t="shared" si="126"/>
        <v>0</v>
      </c>
      <c r="AN113" s="652">
        <f t="shared" si="126"/>
        <v>0</v>
      </c>
    </row>
    <row r="114" spans="1:40">
      <c r="A114" s="764"/>
      <c r="B114" s="408"/>
      <c r="C114" s="633" t="s">
        <v>510</v>
      </c>
      <c r="D114" s="649">
        <f t="shared" si="105"/>
        <v>10.347749104335808</v>
      </c>
      <c r="E114" s="650">
        <f t="shared" si="105"/>
        <v>7.9554174241486812</v>
      </c>
      <c r="F114" s="650">
        <f t="shared" si="105"/>
        <v>2.3665130259199496</v>
      </c>
      <c r="G114" s="651">
        <f t="shared" si="122"/>
        <v>8.2198084811404151</v>
      </c>
      <c r="H114" s="650">
        <f t="shared" ref="H114:S114" si="131">H49*(41.868/1000)</f>
        <v>0.42380042461279227</v>
      </c>
      <c r="I114" s="650">
        <f t="shared" si="131"/>
        <v>7.5980740259959232</v>
      </c>
      <c r="J114" s="650">
        <f t="shared" si="131"/>
        <v>69.172116548224921</v>
      </c>
      <c r="K114" s="650">
        <f t="shared" si="131"/>
        <v>0.96952231277349477</v>
      </c>
      <c r="L114" s="650">
        <f t="shared" si="131"/>
        <v>0.40655976194867555</v>
      </c>
      <c r="M114" s="650">
        <f t="shared" si="131"/>
        <v>36.197955943400643</v>
      </c>
      <c r="N114" s="650">
        <f t="shared" si="131"/>
        <v>14.873660570468383</v>
      </c>
      <c r="O114" s="650">
        <f t="shared" si="131"/>
        <v>97.711555622395124</v>
      </c>
      <c r="P114" s="650">
        <f t="shared" si="131"/>
        <v>1.175356814555546</v>
      </c>
      <c r="Q114" s="650">
        <f t="shared" si="131"/>
        <v>0.22492030013461281</v>
      </c>
      <c r="R114" s="650">
        <f t="shared" si="131"/>
        <v>5.1439068600553988</v>
      </c>
      <c r="S114" s="650">
        <f t="shared" si="131"/>
        <v>3.62170042304257</v>
      </c>
      <c r="T114" s="651">
        <f t="shared" si="124"/>
        <v>0.76810704078476788</v>
      </c>
      <c r="U114" s="650">
        <f t="shared" si="128"/>
        <v>2.0098340792962626</v>
      </c>
      <c r="V114" s="650">
        <f t="shared" si="128"/>
        <v>9.6163162274216951E-2</v>
      </c>
      <c r="W114" s="650">
        <f t="shared" si="128"/>
        <v>0.21473317937081324</v>
      </c>
      <c r="X114" s="650">
        <f t="shared" si="128"/>
        <v>0.13558441368096502</v>
      </c>
      <c r="Y114" s="650">
        <f t="shared" si="128"/>
        <v>0.10935299386905821</v>
      </c>
      <c r="Z114" s="650">
        <f t="shared" si="128"/>
        <v>3.90570862764053</v>
      </c>
      <c r="AA114" s="651">
        <f>IFERROR(AA81*AA145,0)</f>
        <v>32.872868132437588</v>
      </c>
      <c r="AB114" s="650">
        <f t="shared" si="129"/>
        <v>1.9153664107416233</v>
      </c>
      <c r="AC114" s="650">
        <f t="shared" si="129"/>
        <v>0.49914112428558816</v>
      </c>
      <c r="AD114" s="650">
        <f t="shared" si="129"/>
        <v>2.0428845937309124</v>
      </c>
      <c r="AE114" s="650">
        <f t="shared" si="129"/>
        <v>39.694065989882937</v>
      </c>
      <c r="AF114" s="650">
        <f t="shared" si="129"/>
        <v>0.75386651835069773</v>
      </c>
      <c r="AG114" s="650">
        <f t="shared" si="129"/>
        <v>1.5931558119767546</v>
      </c>
      <c r="AH114" s="650">
        <f t="shared" si="129"/>
        <v>98.446532884709569</v>
      </c>
      <c r="AI114" s="651">
        <f t="shared" si="126"/>
        <v>0.18411068314970996</v>
      </c>
      <c r="AJ114" s="651">
        <f t="shared" si="126"/>
        <v>0.17864655181024353</v>
      </c>
      <c r="AK114" s="651">
        <f t="shared" si="126"/>
        <v>8.9682125142749383E-2</v>
      </c>
      <c r="AL114" s="651">
        <f t="shared" si="126"/>
        <v>0.12898408137182826</v>
      </c>
      <c r="AM114" s="651">
        <f t="shared" si="126"/>
        <v>0.57553512259674833</v>
      </c>
      <c r="AN114" s="652">
        <f t="shared" si="126"/>
        <v>8.8124380854873507E-2</v>
      </c>
    </row>
    <row r="115" spans="1:40">
      <c r="A115" s="764"/>
      <c r="B115" s="408"/>
      <c r="C115" s="633" t="s">
        <v>527</v>
      </c>
      <c r="D115" s="649">
        <f t="shared" si="105"/>
        <v>27.299675975188855</v>
      </c>
      <c r="E115" s="650">
        <f t="shared" si="105"/>
        <v>88.949151609196633</v>
      </c>
      <c r="F115" s="650">
        <f t="shared" si="105"/>
        <v>0.77210376892368238</v>
      </c>
      <c r="G115" s="651">
        <f t="shared" si="122"/>
        <v>30.279616586875903</v>
      </c>
      <c r="H115" s="650">
        <f t="shared" ref="H115:S115" si="132">H50*(41.868/1000)</f>
        <v>0</v>
      </c>
      <c r="I115" s="650">
        <f t="shared" si="132"/>
        <v>48.986274389240691</v>
      </c>
      <c r="J115" s="650">
        <f t="shared" si="132"/>
        <v>579.66844350798635</v>
      </c>
      <c r="K115" s="650">
        <f t="shared" si="132"/>
        <v>17.540530360941769</v>
      </c>
      <c r="L115" s="650">
        <f t="shared" si="132"/>
        <v>1.1365212020932729</v>
      </c>
      <c r="M115" s="650">
        <f t="shared" si="132"/>
        <v>71.43899535163105</v>
      </c>
      <c r="N115" s="650">
        <f t="shared" si="132"/>
        <v>1.1200634202447566</v>
      </c>
      <c r="O115" s="650">
        <f t="shared" si="132"/>
        <v>299.880151774777</v>
      </c>
      <c r="P115" s="650">
        <f t="shared" si="132"/>
        <v>4.8518425380859656</v>
      </c>
      <c r="Q115" s="650">
        <f t="shared" si="132"/>
        <v>11.156346165395519</v>
      </c>
      <c r="R115" s="650">
        <f t="shared" si="132"/>
        <v>66.330086205064433</v>
      </c>
      <c r="S115" s="650">
        <f t="shared" si="132"/>
        <v>15.252409712847976</v>
      </c>
      <c r="T115" s="651">
        <f t="shared" si="124"/>
        <v>0</v>
      </c>
      <c r="U115" s="650">
        <f t="shared" si="128"/>
        <v>368.95537325927017</v>
      </c>
      <c r="V115" s="650">
        <f t="shared" si="128"/>
        <v>3.1463662072074809</v>
      </c>
      <c r="W115" s="650">
        <f t="shared" si="128"/>
        <v>5.5933294295486302</v>
      </c>
      <c r="X115" s="650">
        <f t="shared" si="128"/>
        <v>2.663937833223208</v>
      </c>
      <c r="Y115" s="650">
        <f t="shared" si="128"/>
        <v>0</v>
      </c>
      <c r="Z115" s="650">
        <f t="shared" si="128"/>
        <v>218.70221046363002</v>
      </c>
      <c r="AA115" s="651">
        <f t="shared" si="125"/>
        <v>0.10107900400115703</v>
      </c>
      <c r="AB115" s="650">
        <f t="shared" si="129"/>
        <v>74.099622241380317</v>
      </c>
      <c r="AC115" s="650">
        <f t="shared" si="129"/>
        <v>1.9320923107600116</v>
      </c>
      <c r="AD115" s="650">
        <f t="shared" si="129"/>
        <v>41.742861102364003</v>
      </c>
      <c r="AE115" s="650">
        <f t="shared" si="129"/>
        <v>3.2762977329383327</v>
      </c>
      <c r="AF115" s="650">
        <f t="shared" si="129"/>
        <v>2.2515819661007566</v>
      </c>
      <c r="AG115" s="650">
        <f t="shared" si="129"/>
        <v>25.767584988333859</v>
      </c>
      <c r="AH115" s="650">
        <f t="shared" si="129"/>
        <v>682.01228835766517</v>
      </c>
      <c r="AI115" s="651">
        <f t="shared" si="126"/>
        <v>0</v>
      </c>
      <c r="AJ115" s="651">
        <f t="shared" si="126"/>
        <v>0.88247590068909709</v>
      </c>
      <c r="AK115" s="651">
        <f t="shared" si="126"/>
        <v>0</v>
      </c>
      <c r="AL115" s="651">
        <f t="shared" si="126"/>
        <v>0</v>
      </c>
      <c r="AM115" s="651">
        <f t="shared" si="126"/>
        <v>4.403367619631597</v>
      </c>
      <c r="AN115" s="652">
        <f t="shared" si="126"/>
        <v>0</v>
      </c>
    </row>
    <row r="116" spans="1:40">
      <c r="A116" s="764"/>
      <c r="B116" s="408"/>
      <c r="C116" s="633" t="s">
        <v>533</v>
      </c>
      <c r="D116" s="649">
        <f t="shared" si="105"/>
        <v>29.279987458069044</v>
      </c>
      <c r="E116" s="650">
        <f t="shared" si="105"/>
        <v>67.99200214798924</v>
      </c>
      <c r="F116" s="650">
        <f t="shared" si="105"/>
        <v>5.08778764878614E-2</v>
      </c>
      <c r="G116" s="651">
        <f t="shared" si="122"/>
        <v>70.77771520213625</v>
      </c>
      <c r="H116" s="650">
        <f t="shared" ref="H116:S116" si="133">H51*(41.868/1000)</f>
        <v>1.7233000715991871</v>
      </c>
      <c r="I116" s="650">
        <f t="shared" si="133"/>
        <v>0</v>
      </c>
      <c r="J116" s="650">
        <f t="shared" si="133"/>
        <v>338.55322102329239</v>
      </c>
      <c r="K116" s="650">
        <f t="shared" si="133"/>
        <v>10.653108452806565</v>
      </c>
      <c r="L116" s="650">
        <f t="shared" si="133"/>
        <v>9.4839790501761279E-2</v>
      </c>
      <c r="M116" s="650">
        <f t="shared" si="133"/>
        <v>37.45485011164007</v>
      </c>
      <c r="N116" s="650">
        <f t="shared" si="133"/>
        <v>15.931794820590538</v>
      </c>
      <c r="O116" s="650">
        <f t="shared" si="133"/>
        <v>152.95210897786464</v>
      </c>
      <c r="P116" s="650">
        <f t="shared" si="133"/>
        <v>44.144878686255048</v>
      </c>
      <c r="Q116" s="650">
        <f t="shared" si="133"/>
        <v>3.1676307205438685</v>
      </c>
      <c r="R116" s="650">
        <f t="shared" si="133"/>
        <v>0</v>
      </c>
      <c r="S116" s="650">
        <f t="shared" si="133"/>
        <v>28.260567934046431</v>
      </c>
      <c r="T116" s="651">
        <f t="shared" si="124"/>
        <v>5.0340231855480526E-2</v>
      </c>
      <c r="U116" s="650">
        <f t="shared" si="128"/>
        <v>41.184377765542074</v>
      </c>
      <c r="V116" s="650">
        <f t="shared" si="128"/>
        <v>0.16764136198851062</v>
      </c>
      <c r="W116" s="650">
        <f t="shared" si="128"/>
        <v>4.5499283017665784</v>
      </c>
      <c r="X116" s="650">
        <f t="shared" si="128"/>
        <v>0.71662933240695992</v>
      </c>
      <c r="Y116" s="650">
        <f t="shared" si="128"/>
        <v>0</v>
      </c>
      <c r="Z116" s="650">
        <f t="shared" si="128"/>
        <v>0.34496938842492925</v>
      </c>
      <c r="AA116" s="651">
        <f t="shared" si="125"/>
        <v>4.4861341504697991</v>
      </c>
      <c r="AB116" s="650">
        <f t="shared" si="129"/>
        <v>2.4600880466303012</v>
      </c>
      <c r="AC116" s="650">
        <f t="shared" si="129"/>
        <v>1.1798055128294325</v>
      </c>
      <c r="AD116" s="650">
        <f t="shared" si="129"/>
        <v>0.45887166212313307</v>
      </c>
      <c r="AE116" s="650">
        <f t="shared" si="129"/>
        <v>1.6179564153893542</v>
      </c>
      <c r="AF116" s="650">
        <f t="shared" si="129"/>
        <v>5.6428362729096415</v>
      </c>
      <c r="AG116" s="650">
        <f t="shared" si="129"/>
        <v>0</v>
      </c>
      <c r="AH116" s="650">
        <f t="shared" si="129"/>
        <v>64.90831676703155</v>
      </c>
      <c r="AI116" s="651">
        <f t="shared" si="126"/>
        <v>8.8609482402918216E-2</v>
      </c>
      <c r="AJ116" s="651">
        <f t="shared" si="126"/>
        <v>0</v>
      </c>
      <c r="AK116" s="651">
        <f t="shared" si="126"/>
        <v>0</v>
      </c>
      <c r="AL116" s="651">
        <f t="shared" si="126"/>
        <v>0.70561494506958489</v>
      </c>
      <c r="AM116" s="651">
        <f t="shared" si="126"/>
        <v>2.2142298075805714E-2</v>
      </c>
      <c r="AN116" s="652">
        <f t="shared" si="126"/>
        <v>0.30437104875430815</v>
      </c>
    </row>
    <row r="117" spans="1:40">
      <c r="A117" s="764"/>
      <c r="B117" s="408"/>
      <c r="C117" s="633" t="s">
        <v>534</v>
      </c>
      <c r="D117" s="649">
        <f t="shared" si="105"/>
        <v>0</v>
      </c>
      <c r="E117" s="650">
        <f t="shared" si="105"/>
        <v>0</v>
      </c>
      <c r="F117" s="650">
        <f t="shared" si="105"/>
        <v>0</v>
      </c>
      <c r="G117" s="651">
        <f t="shared" si="122"/>
        <v>7.7866525167460381</v>
      </c>
      <c r="H117" s="650">
        <f t="shared" ref="H117:S117" si="134">H52*(41.868/1000)</f>
        <v>2.3259014356119368E-2</v>
      </c>
      <c r="I117" s="650">
        <f t="shared" si="134"/>
        <v>0</v>
      </c>
      <c r="J117" s="650">
        <f t="shared" si="134"/>
        <v>0.53028011793622665</v>
      </c>
      <c r="K117" s="650">
        <f t="shared" si="134"/>
        <v>0</v>
      </c>
      <c r="L117" s="650">
        <f t="shared" si="134"/>
        <v>0</v>
      </c>
      <c r="M117" s="650">
        <f t="shared" si="134"/>
        <v>0.30509612846396783</v>
      </c>
      <c r="N117" s="650">
        <f t="shared" si="134"/>
        <v>0</v>
      </c>
      <c r="O117" s="650">
        <f t="shared" si="134"/>
        <v>0.50482252196073563</v>
      </c>
      <c r="P117" s="650">
        <f t="shared" si="134"/>
        <v>6.3806494711379207E-3</v>
      </c>
      <c r="Q117" s="650">
        <f t="shared" si="134"/>
        <v>0</v>
      </c>
      <c r="R117" s="650">
        <f t="shared" si="134"/>
        <v>0</v>
      </c>
      <c r="S117" s="650">
        <f t="shared" si="134"/>
        <v>0</v>
      </c>
      <c r="T117" s="651">
        <f>IFERROR(T84*T148,0)</f>
        <v>6.1248000000000005</v>
      </c>
      <c r="U117" s="650">
        <f t="shared" si="128"/>
        <v>4.4451271994407383E-2</v>
      </c>
      <c r="V117" s="650">
        <f t="shared" si="128"/>
        <v>0</v>
      </c>
      <c r="W117" s="650">
        <f t="shared" si="128"/>
        <v>0</v>
      </c>
      <c r="X117" s="650">
        <f t="shared" si="128"/>
        <v>0</v>
      </c>
      <c r="Y117" s="650">
        <f t="shared" si="128"/>
        <v>0</v>
      </c>
      <c r="Z117" s="650">
        <f t="shared" si="128"/>
        <v>0</v>
      </c>
      <c r="AA117" s="651">
        <f t="shared" si="125"/>
        <v>0</v>
      </c>
      <c r="AB117" s="650">
        <f t="shared" si="129"/>
        <v>0.35727776152458324</v>
      </c>
      <c r="AC117" s="650">
        <f t="shared" si="129"/>
        <v>0</v>
      </c>
      <c r="AD117" s="650">
        <f t="shared" si="129"/>
        <v>0.46643394848204989</v>
      </c>
      <c r="AE117" s="650">
        <f t="shared" si="129"/>
        <v>0</v>
      </c>
      <c r="AF117" s="650">
        <f t="shared" si="129"/>
        <v>0.29454740276027347</v>
      </c>
      <c r="AG117" s="650">
        <f t="shared" si="129"/>
        <v>0</v>
      </c>
      <c r="AH117" s="650">
        <f t="shared" si="129"/>
        <v>0</v>
      </c>
      <c r="AI117" s="651">
        <f t="shared" si="126"/>
        <v>0</v>
      </c>
      <c r="AJ117" s="651">
        <f t="shared" si="126"/>
        <v>0</v>
      </c>
      <c r="AK117" s="651">
        <f t="shared" si="126"/>
        <v>0</v>
      </c>
      <c r="AL117" s="651">
        <f t="shared" si="126"/>
        <v>0</v>
      </c>
      <c r="AM117" s="651">
        <f t="shared" si="126"/>
        <v>0</v>
      </c>
      <c r="AN117" s="652">
        <f t="shared" si="126"/>
        <v>0</v>
      </c>
    </row>
    <row r="118" spans="1:40">
      <c r="A118" s="764"/>
      <c r="B118" s="408"/>
      <c r="C118" s="633" t="s">
        <v>528</v>
      </c>
      <c r="D118" s="649">
        <f t="shared" si="105"/>
        <v>0.25669562287494124</v>
      </c>
      <c r="E118" s="650">
        <f t="shared" si="105"/>
        <v>0.38865822248054499</v>
      </c>
      <c r="F118" s="650">
        <f t="shared" si="105"/>
        <v>8.772323155491292E-2</v>
      </c>
      <c r="G118" s="651">
        <f t="shared" si="122"/>
        <v>0</v>
      </c>
      <c r="H118" s="650">
        <f t="shared" ref="H118:S118" si="135">H53*(41.868/1000)</f>
        <v>0.26389844465964396</v>
      </c>
      <c r="I118" s="650">
        <f t="shared" si="135"/>
        <v>0</v>
      </c>
      <c r="J118" s="650">
        <f t="shared" si="135"/>
        <v>4.9838703641764006</v>
      </c>
      <c r="K118" s="650">
        <f t="shared" si="135"/>
        <v>0.11498692012097618</v>
      </c>
      <c r="L118" s="650">
        <f t="shared" si="135"/>
        <v>0</v>
      </c>
      <c r="M118" s="650">
        <f t="shared" si="135"/>
        <v>8.1947586510366506</v>
      </c>
      <c r="N118" s="650">
        <f t="shared" si="135"/>
        <v>0</v>
      </c>
      <c r="O118" s="650">
        <f t="shared" si="135"/>
        <v>7.4666730985749012</v>
      </c>
      <c r="P118" s="650">
        <f t="shared" si="135"/>
        <v>0</v>
      </c>
      <c r="Q118" s="650">
        <f t="shared" si="135"/>
        <v>0.40312016904772935</v>
      </c>
      <c r="R118" s="650">
        <f t="shared" si="135"/>
        <v>1.0219683734970895</v>
      </c>
      <c r="S118" s="650">
        <f t="shared" si="135"/>
        <v>0.62451574096972029</v>
      </c>
      <c r="T118" s="651">
        <f t="shared" si="124"/>
        <v>0</v>
      </c>
      <c r="U118" s="650">
        <f t="shared" si="128"/>
        <v>12.480376557883677</v>
      </c>
      <c r="V118" s="650">
        <f t="shared" si="128"/>
        <v>0</v>
      </c>
      <c r="W118" s="650">
        <f t="shared" si="128"/>
        <v>0</v>
      </c>
      <c r="X118" s="650">
        <f t="shared" si="128"/>
        <v>0</v>
      </c>
      <c r="Y118" s="650">
        <f t="shared" si="128"/>
        <v>0.11859013888600095</v>
      </c>
      <c r="Z118" s="650">
        <f t="shared" si="128"/>
        <v>0</v>
      </c>
      <c r="AA118" s="651">
        <f t="shared" si="125"/>
        <v>0</v>
      </c>
      <c r="AB118" s="650">
        <f t="shared" si="129"/>
        <v>0</v>
      </c>
      <c r="AC118" s="650">
        <f t="shared" si="129"/>
        <v>0.75837075005364762</v>
      </c>
      <c r="AD118" s="650">
        <f t="shared" si="129"/>
        <v>0</v>
      </c>
      <c r="AE118" s="650">
        <f t="shared" si="129"/>
        <v>0</v>
      </c>
      <c r="AF118" s="650">
        <f t="shared" si="129"/>
        <v>0.19833553375259988</v>
      </c>
      <c r="AG118" s="650">
        <f t="shared" si="129"/>
        <v>0</v>
      </c>
      <c r="AH118" s="650">
        <f t="shared" si="129"/>
        <v>2.1151409601762765</v>
      </c>
      <c r="AI118" s="651">
        <f t="shared" si="126"/>
        <v>0</v>
      </c>
      <c r="AJ118" s="651">
        <f t="shared" si="126"/>
        <v>0</v>
      </c>
      <c r="AK118" s="651">
        <f t="shared" si="126"/>
        <v>0</v>
      </c>
      <c r="AL118" s="651">
        <f t="shared" si="126"/>
        <v>0</v>
      </c>
      <c r="AM118" s="651">
        <f t="shared" si="126"/>
        <v>0.14719550828624095</v>
      </c>
      <c r="AN118" s="652">
        <f t="shared" si="126"/>
        <v>5.3022657644221496E-2</v>
      </c>
    </row>
    <row r="119" spans="1:40">
      <c r="A119" s="764"/>
      <c r="B119" s="547"/>
      <c r="C119" s="619" t="s">
        <v>529</v>
      </c>
      <c r="D119" s="653">
        <f t="shared" si="105"/>
        <v>1.2090664978710806</v>
      </c>
      <c r="E119" s="654">
        <f t="shared" si="105"/>
        <v>2.6638584075926879</v>
      </c>
      <c r="F119" s="654">
        <f t="shared" si="105"/>
        <v>3.2803985030248111</v>
      </c>
      <c r="G119" s="655">
        <f t="shared" si="122"/>
        <v>0.23642165190112743</v>
      </c>
      <c r="H119" s="654">
        <f t="shared" ref="H119:S119" si="136">H54*(41.868/1000)</f>
        <v>0</v>
      </c>
      <c r="I119" s="654">
        <f t="shared" si="136"/>
        <v>17.95145482708751</v>
      </c>
      <c r="J119" s="654">
        <f t="shared" si="136"/>
        <v>21.40222961536092</v>
      </c>
      <c r="K119" s="654">
        <f t="shared" si="136"/>
        <v>0</v>
      </c>
      <c r="L119" s="654">
        <f t="shared" si="136"/>
        <v>0.17826517731721475</v>
      </c>
      <c r="M119" s="654">
        <f t="shared" si="136"/>
        <v>3.4696051746187675</v>
      </c>
      <c r="N119" s="654">
        <f t="shared" si="136"/>
        <v>0.19201272826687352</v>
      </c>
      <c r="O119" s="654">
        <f t="shared" si="136"/>
        <v>4.5890078188903454</v>
      </c>
      <c r="P119" s="654">
        <f t="shared" si="136"/>
        <v>0</v>
      </c>
      <c r="Q119" s="654">
        <f t="shared" si="136"/>
        <v>0.12118478960231735</v>
      </c>
      <c r="R119" s="654">
        <f t="shared" si="136"/>
        <v>2.7951385393283958</v>
      </c>
      <c r="S119" s="654">
        <f t="shared" si="136"/>
        <v>9.1943886435262332</v>
      </c>
      <c r="T119" s="655">
        <f t="shared" si="124"/>
        <v>0</v>
      </c>
      <c r="U119" s="654">
        <f t="shared" si="128"/>
        <v>7.8466710968778844E-2</v>
      </c>
      <c r="V119" s="654">
        <f t="shared" si="128"/>
        <v>1.2238139715323537</v>
      </c>
      <c r="W119" s="654">
        <f t="shared" si="128"/>
        <v>1.1005908643275024E-2</v>
      </c>
      <c r="X119" s="654">
        <f t="shared" si="128"/>
        <v>0.44831366397991035</v>
      </c>
      <c r="Y119" s="654">
        <f t="shared" si="128"/>
        <v>0</v>
      </c>
      <c r="Z119" s="654">
        <f t="shared" si="128"/>
        <v>4.5387193032233333E-2</v>
      </c>
      <c r="AA119" s="655">
        <f t="shared" si="125"/>
        <v>0</v>
      </c>
      <c r="AB119" s="654">
        <f t="shared" si="129"/>
        <v>133.76188130984681</v>
      </c>
      <c r="AC119" s="654">
        <f t="shared" si="129"/>
        <v>0</v>
      </c>
      <c r="AD119" s="654">
        <f t="shared" si="129"/>
        <v>0.19809382190792163</v>
      </c>
      <c r="AE119" s="654">
        <f t="shared" si="129"/>
        <v>0</v>
      </c>
      <c r="AF119" s="654">
        <f t="shared" si="129"/>
        <v>3.0131464265930285E-2</v>
      </c>
      <c r="AG119" s="654">
        <f t="shared" si="129"/>
        <v>1.0633130438031897</v>
      </c>
      <c r="AH119" s="654">
        <f t="shared" si="129"/>
        <v>15.183287021955056</v>
      </c>
      <c r="AI119" s="655">
        <f t="shared" si="126"/>
        <v>0</v>
      </c>
      <c r="AJ119" s="655">
        <f t="shared" si="126"/>
        <v>2.3225047608535179</v>
      </c>
      <c r="AK119" s="655">
        <f t="shared" si="126"/>
        <v>0</v>
      </c>
      <c r="AL119" s="655">
        <f t="shared" si="126"/>
        <v>0</v>
      </c>
      <c r="AM119" s="655">
        <f t="shared" si="126"/>
        <v>4.9673468184881804</v>
      </c>
      <c r="AN119" s="656">
        <f t="shared" si="126"/>
        <v>0.45186989351565704</v>
      </c>
    </row>
    <row r="120" spans="1:40">
      <c r="B120" s="634" t="s">
        <v>535</v>
      </c>
      <c r="C120" s="635" t="s">
        <v>525</v>
      </c>
      <c r="D120" s="645">
        <f t="shared" si="105"/>
        <v>24.974680680000002</v>
      </c>
      <c r="E120" s="646">
        <f t="shared" si="105"/>
        <v>28.475264160000002</v>
      </c>
      <c r="F120" s="646">
        <f t="shared" si="105"/>
        <v>10.1718306</v>
      </c>
      <c r="G120" s="647">
        <f>SUM(G121:G128)</f>
        <v>22.210122750358579</v>
      </c>
      <c r="H120" s="646">
        <f t="shared" ref="H120:S120" si="137">H55*(41.868/1000)</f>
        <v>2.4212264399999999</v>
      </c>
      <c r="I120" s="646">
        <f t="shared" si="137"/>
        <v>19.523885760000002</v>
      </c>
      <c r="J120" s="646">
        <f t="shared" si="137"/>
        <v>230.91332436000002</v>
      </c>
      <c r="K120" s="646">
        <f t="shared" si="137"/>
        <v>20.045979720000002</v>
      </c>
      <c r="L120" s="646">
        <f t="shared" si="137"/>
        <v>3.6425160000000001</v>
      </c>
      <c r="M120" s="646">
        <f t="shared" si="137"/>
        <v>82.232101440000008</v>
      </c>
      <c r="N120" s="646">
        <f t="shared" si="137"/>
        <v>22.094162280000003</v>
      </c>
      <c r="O120" s="646">
        <f t="shared" si="137"/>
        <v>164.21173884000001</v>
      </c>
      <c r="P120" s="646">
        <f t="shared" si="137"/>
        <v>20.640924000000002</v>
      </c>
      <c r="Q120" s="646">
        <f t="shared" si="137"/>
        <v>6.8504421600000009</v>
      </c>
      <c r="R120" s="646">
        <f t="shared" si="137"/>
        <v>14.73586128</v>
      </c>
      <c r="S120" s="646">
        <f t="shared" si="137"/>
        <v>13.329933840000001</v>
      </c>
      <c r="T120" s="647">
        <f>SUM(T121:T128)</f>
        <v>1.2414941181795782</v>
      </c>
      <c r="U120" s="646">
        <f t="shared" si="128"/>
        <v>121.50972828</v>
      </c>
      <c r="V120" s="646">
        <f t="shared" si="128"/>
        <v>5.5449979200000001</v>
      </c>
      <c r="W120" s="646">
        <f t="shared" si="128"/>
        <v>1.1798402400000001</v>
      </c>
      <c r="X120" s="646">
        <f t="shared" si="128"/>
        <v>5.6245471200000008</v>
      </c>
      <c r="Y120" s="646">
        <f t="shared" si="128"/>
        <v>0.26418708000000002</v>
      </c>
      <c r="Z120" s="646">
        <f t="shared" si="128"/>
        <v>44.905942080000003</v>
      </c>
      <c r="AA120" s="647">
        <f>SUM(AA121:AA128)</f>
        <v>21.629006973846963</v>
      </c>
      <c r="AB120" s="646">
        <f t="shared" si="129"/>
        <v>72.868741920000005</v>
      </c>
      <c r="AC120" s="646">
        <f t="shared" si="129"/>
        <v>14.7877776</v>
      </c>
      <c r="AD120" s="646">
        <f t="shared" si="129"/>
        <v>22.958317800000003</v>
      </c>
      <c r="AE120" s="646">
        <f t="shared" si="129"/>
        <v>27.488016720000001</v>
      </c>
      <c r="AF120" s="646">
        <f t="shared" si="129"/>
        <v>6.0708600000000006</v>
      </c>
      <c r="AG120" s="646">
        <f t="shared" si="129"/>
        <v>7.9842275999999996</v>
      </c>
      <c r="AH120" s="646">
        <f t="shared" si="129"/>
        <v>175.06518048000001</v>
      </c>
      <c r="AI120" s="647">
        <f t="shared" ref="AI120:AN120" si="138">SUM(AI121:AI128)</f>
        <v>2.4754702540205091</v>
      </c>
      <c r="AJ120" s="647">
        <f t="shared" si="138"/>
        <v>2.4690588079815634</v>
      </c>
      <c r="AK120" s="647">
        <f t="shared" si="138"/>
        <v>0.88219600579486301</v>
      </c>
      <c r="AL120" s="647">
        <f t="shared" si="138"/>
        <v>1.6301527500554842</v>
      </c>
      <c r="AM120" s="647">
        <f t="shared" si="138"/>
        <v>8.9763632024313864</v>
      </c>
      <c r="AN120" s="647">
        <f t="shared" si="138"/>
        <v>1.1059020052705291</v>
      </c>
    </row>
    <row r="121" spans="1:40">
      <c r="B121" s="408"/>
      <c r="C121" s="633" t="s">
        <v>526</v>
      </c>
      <c r="D121" s="649">
        <f t="shared" si="105"/>
        <v>2.2072809600000003</v>
      </c>
      <c r="E121" s="650">
        <f t="shared" si="105"/>
        <v>0.5643806400000001</v>
      </c>
      <c r="F121" s="650">
        <f t="shared" si="105"/>
        <v>0.48566880000000001</v>
      </c>
      <c r="G121" s="651">
        <f t="shared" ref="G121:G125" si="139">IFERROR(G88*G152,0)</f>
        <v>0.36646885168724891</v>
      </c>
      <c r="H121" s="650">
        <f t="shared" ref="H121:S121" si="140">H56*(41.868/1000)</f>
        <v>2.5120799999999999E-3</v>
      </c>
      <c r="I121" s="650">
        <f t="shared" si="140"/>
        <v>0.57903444000000004</v>
      </c>
      <c r="J121" s="650">
        <f t="shared" si="140"/>
        <v>4.3965586800000001</v>
      </c>
      <c r="K121" s="650">
        <f t="shared" si="140"/>
        <v>2.3119509599999999</v>
      </c>
      <c r="L121" s="650">
        <f t="shared" si="140"/>
        <v>1.0722394800000001</v>
      </c>
      <c r="M121" s="650">
        <f t="shared" si="140"/>
        <v>0.81516995999999997</v>
      </c>
      <c r="N121" s="650">
        <f t="shared" si="140"/>
        <v>3.2518875600000001</v>
      </c>
      <c r="O121" s="650">
        <f t="shared" si="140"/>
        <v>7.66058796</v>
      </c>
      <c r="P121" s="650">
        <f t="shared" si="140"/>
        <v>0.24115968000000002</v>
      </c>
      <c r="Q121" s="650">
        <f t="shared" si="140"/>
        <v>0.32991984000000002</v>
      </c>
      <c r="R121" s="650">
        <f t="shared" si="140"/>
        <v>0.39062844000000002</v>
      </c>
      <c r="S121" s="650">
        <f t="shared" si="140"/>
        <v>0.10383264</v>
      </c>
      <c r="T121" s="651">
        <f t="shared" ref="T121:T125" si="141">IFERROR(T88*T152,0)</f>
        <v>0</v>
      </c>
      <c r="U121" s="650">
        <f t="shared" si="128"/>
        <v>0.74776248000000001</v>
      </c>
      <c r="V121" s="650">
        <f t="shared" si="128"/>
        <v>1.46579868</v>
      </c>
      <c r="W121" s="650">
        <f t="shared" si="128"/>
        <v>2.7214200000000001E-2</v>
      </c>
      <c r="X121" s="650">
        <f t="shared" si="128"/>
        <v>2.2156545600000004</v>
      </c>
      <c r="Y121" s="650">
        <f t="shared" si="128"/>
        <v>0</v>
      </c>
      <c r="Z121" s="650">
        <f t="shared" si="128"/>
        <v>0.94014593999999996</v>
      </c>
      <c r="AA121" s="651">
        <f t="shared" ref="AA121:AA125" si="142">IFERROR(AA88*AA152,0)</f>
        <v>1.5902582141070258</v>
      </c>
      <c r="AB121" s="650">
        <f t="shared" si="129"/>
        <v>6.7600072800000008</v>
      </c>
      <c r="AC121" s="650">
        <f t="shared" si="129"/>
        <v>1.9066687200000001</v>
      </c>
      <c r="AD121" s="650">
        <f t="shared" si="129"/>
        <v>7.8297346800000005</v>
      </c>
      <c r="AE121" s="650">
        <f t="shared" si="129"/>
        <v>0.46222271999999998</v>
      </c>
      <c r="AF121" s="650">
        <f t="shared" si="129"/>
        <v>1.63620144</v>
      </c>
      <c r="AG121" s="650">
        <f t="shared" si="129"/>
        <v>3.475044E-2</v>
      </c>
      <c r="AH121" s="650">
        <f t="shared" si="129"/>
        <v>0</v>
      </c>
      <c r="AI121" s="651">
        <f t="shared" ref="AI121:AN125" si="143">IFERROR(AI88*AI152,0)</f>
        <v>7.1757364584032993E-2</v>
      </c>
      <c r="AJ121" s="651">
        <f t="shared" si="143"/>
        <v>5.2868122101932098E-2</v>
      </c>
      <c r="AK121" s="651">
        <f t="shared" si="143"/>
        <v>9.1966776688219287E-2</v>
      </c>
      <c r="AL121" s="651">
        <f t="shared" si="143"/>
        <v>5.2511483447836876E-2</v>
      </c>
      <c r="AM121" s="651">
        <f t="shared" si="143"/>
        <v>0.29023734133436091</v>
      </c>
      <c r="AN121" s="652">
        <f t="shared" si="143"/>
        <v>6.542246929355143E-2</v>
      </c>
    </row>
    <row r="122" spans="1:40">
      <c r="B122" s="408"/>
      <c r="C122" s="633" t="s">
        <v>532</v>
      </c>
      <c r="D122" s="649">
        <f t="shared" si="105"/>
        <v>4.0725003600000003</v>
      </c>
      <c r="E122" s="650">
        <f t="shared" si="105"/>
        <v>5.0660280000000002E-2</v>
      </c>
      <c r="F122" s="650">
        <f t="shared" si="105"/>
        <v>2.6590366800000003</v>
      </c>
      <c r="G122" s="651">
        <f t="shared" si="139"/>
        <v>0.80082198498922252</v>
      </c>
      <c r="H122" s="650">
        <f t="shared" ref="H122:S122" si="144">H57*(41.868/1000)</f>
        <v>0</v>
      </c>
      <c r="I122" s="650">
        <f t="shared" si="144"/>
        <v>2.7879901200000003</v>
      </c>
      <c r="J122" s="650">
        <f t="shared" si="144"/>
        <v>21.606818760000003</v>
      </c>
      <c r="K122" s="650">
        <f t="shared" si="144"/>
        <v>10.1927646</v>
      </c>
      <c r="L122" s="650">
        <f t="shared" si="144"/>
        <v>1.8903402</v>
      </c>
      <c r="M122" s="650">
        <f t="shared" si="144"/>
        <v>0</v>
      </c>
      <c r="N122" s="650">
        <f t="shared" si="144"/>
        <v>8.3388495599999999</v>
      </c>
      <c r="O122" s="650">
        <f t="shared" si="144"/>
        <v>9.9440686800000009</v>
      </c>
      <c r="P122" s="650">
        <f t="shared" si="144"/>
        <v>0.21603888000000002</v>
      </c>
      <c r="Q122" s="650">
        <f t="shared" si="144"/>
        <v>0.71468676000000009</v>
      </c>
      <c r="R122" s="650">
        <f t="shared" si="144"/>
        <v>2.2110490800000004</v>
      </c>
      <c r="S122" s="650">
        <f t="shared" si="144"/>
        <v>0</v>
      </c>
      <c r="T122" s="651">
        <f t="shared" si="141"/>
        <v>0.77624132077475494</v>
      </c>
      <c r="U122" s="650">
        <f t="shared" ref="U122:Z128" si="145">U57*(41.868/1000)</f>
        <v>0.48231936000000003</v>
      </c>
      <c r="V122" s="650">
        <f t="shared" si="145"/>
        <v>2.7842220000000002</v>
      </c>
      <c r="W122" s="650">
        <f t="shared" si="145"/>
        <v>0</v>
      </c>
      <c r="X122" s="650">
        <f t="shared" si="145"/>
        <v>2.3709848400000002</v>
      </c>
      <c r="Y122" s="650">
        <f t="shared" si="145"/>
        <v>0</v>
      </c>
      <c r="Z122" s="650">
        <f t="shared" si="145"/>
        <v>1.9541888999999999</v>
      </c>
      <c r="AA122" s="651">
        <f t="shared" si="142"/>
        <v>0.44562213236179105</v>
      </c>
      <c r="AB122" s="650">
        <f t="shared" ref="AB122:AH128" si="146">AB57*(41.868/1000)</f>
        <v>25.864794360000001</v>
      </c>
      <c r="AC122" s="650">
        <f t="shared" si="146"/>
        <v>9.7971119999999995E-2</v>
      </c>
      <c r="AD122" s="650">
        <f t="shared" si="146"/>
        <v>5.3871555600000001</v>
      </c>
      <c r="AE122" s="650">
        <f t="shared" si="146"/>
        <v>12.58217136</v>
      </c>
      <c r="AF122" s="650">
        <f t="shared" si="146"/>
        <v>0.60164315999999995</v>
      </c>
      <c r="AG122" s="650">
        <f t="shared" si="146"/>
        <v>2.59707204</v>
      </c>
      <c r="AH122" s="650">
        <f t="shared" si="146"/>
        <v>0</v>
      </c>
      <c r="AI122" s="651">
        <f t="shared" si="143"/>
        <v>0</v>
      </c>
      <c r="AJ122" s="651">
        <f t="shared" si="143"/>
        <v>0.46005069549225691</v>
      </c>
      <c r="AK122" s="651">
        <f t="shared" si="143"/>
        <v>0</v>
      </c>
      <c r="AL122" s="651">
        <f t="shared" si="143"/>
        <v>0.1605736377783272</v>
      </c>
      <c r="AM122" s="651">
        <f t="shared" si="143"/>
        <v>1.8217013242357099</v>
      </c>
      <c r="AN122" s="652">
        <f t="shared" si="143"/>
        <v>1.667255962075637E-2</v>
      </c>
    </row>
    <row r="123" spans="1:40">
      <c r="B123" s="408"/>
      <c r="C123" s="633" t="s">
        <v>510</v>
      </c>
      <c r="D123" s="649">
        <f t="shared" si="105"/>
        <v>6.248799</v>
      </c>
      <c r="E123" s="650">
        <f t="shared" si="105"/>
        <v>4.6222272000000002</v>
      </c>
      <c r="F123" s="650">
        <f t="shared" si="105"/>
        <v>6.59295396</v>
      </c>
      <c r="G123" s="651">
        <f t="shared" si="139"/>
        <v>5.7035080189213545</v>
      </c>
      <c r="H123" s="650">
        <f t="shared" ref="H123:S123" si="147">H58*(41.868/1000)</f>
        <v>0.15114348</v>
      </c>
      <c r="I123" s="650">
        <f t="shared" si="147"/>
        <v>9.9059688000000001</v>
      </c>
      <c r="J123" s="650">
        <f t="shared" si="147"/>
        <v>47.863078920000007</v>
      </c>
      <c r="K123" s="650">
        <f t="shared" si="147"/>
        <v>2.93159736</v>
      </c>
      <c r="L123" s="650">
        <f t="shared" si="147"/>
        <v>0.48692484000000008</v>
      </c>
      <c r="M123" s="650">
        <f t="shared" si="147"/>
        <v>28.705956840000002</v>
      </c>
      <c r="N123" s="650">
        <f t="shared" si="147"/>
        <v>8.3547594000000007</v>
      </c>
      <c r="O123" s="650">
        <f t="shared" si="147"/>
        <v>59.735587680000002</v>
      </c>
      <c r="P123" s="650">
        <f t="shared" si="147"/>
        <v>9.9176918399999998</v>
      </c>
      <c r="Q123" s="650">
        <f t="shared" si="147"/>
        <v>2.2336578</v>
      </c>
      <c r="R123" s="650">
        <f t="shared" si="147"/>
        <v>3.21295032</v>
      </c>
      <c r="S123" s="650">
        <f t="shared" si="147"/>
        <v>3.5374273199999999</v>
      </c>
      <c r="T123" s="651">
        <f t="shared" si="141"/>
        <v>0.44047559701600481</v>
      </c>
      <c r="U123" s="650">
        <f t="shared" si="145"/>
        <v>16.350710039999999</v>
      </c>
      <c r="V123" s="650">
        <f t="shared" si="145"/>
        <v>0.64309247999999997</v>
      </c>
      <c r="W123" s="650">
        <f t="shared" si="145"/>
        <v>0.15407424000000003</v>
      </c>
      <c r="X123" s="650">
        <f t="shared" si="145"/>
        <v>0.32196492000000004</v>
      </c>
      <c r="Y123" s="650">
        <f t="shared" si="145"/>
        <v>9.2528280000000004E-2</v>
      </c>
      <c r="Z123" s="650">
        <f t="shared" si="145"/>
        <v>3.1823866800000005</v>
      </c>
      <c r="AA123" s="651">
        <f t="shared" si="142"/>
        <v>18.851143717508528</v>
      </c>
      <c r="AB123" s="650">
        <f t="shared" si="146"/>
        <v>4.3103106000000002</v>
      </c>
      <c r="AC123" s="650">
        <f t="shared" si="146"/>
        <v>3.7957528800000002</v>
      </c>
      <c r="AD123" s="650">
        <f t="shared" si="146"/>
        <v>2.5510172400000002</v>
      </c>
      <c r="AE123" s="650">
        <f t="shared" si="146"/>
        <v>13.492381680000001</v>
      </c>
      <c r="AF123" s="650">
        <f t="shared" si="146"/>
        <v>1.8225140400000002</v>
      </c>
      <c r="AG123" s="650">
        <f t="shared" si="146"/>
        <v>1.17565344</v>
      </c>
      <c r="AH123" s="650">
        <f t="shared" si="146"/>
        <v>31.251949920000005</v>
      </c>
      <c r="AI123" s="651">
        <f t="shared" si="143"/>
        <v>1.550330354558487</v>
      </c>
      <c r="AJ123" s="651">
        <f t="shared" si="143"/>
        <v>1.7839917033917663</v>
      </c>
      <c r="AK123" s="651">
        <f t="shared" si="143"/>
        <v>0.79022922910664373</v>
      </c>
      <c r="AL123" s="651">
        <f t="shared" si="143"/>
        <v>1.2309272035164431</v>
      </c>
      <c r="AM123" s="651">
        <f t="shared" si="143"/>
        <v>5.7473814821445037</v>
      </c>
      <c r="AN123" s="652">
        <f t="shared" si="143"/>
        <v>0.88002350293679732</v>
      </c>
    </row>
    <row r="124" spans="1:40">
      <c r="B124" s="408"/>
      <c r="C124" s="633" t="s">
        <v>527</v>
      </c>
      <c r="D124" s="649">
        <f t="shared" si="105"/>
        <v>4.3107292800000003</v>
      </c>
      <c r="E124" s="650">
        <f t="shared" si="105"/>
        <v>13.33537668</v>
      </c>
      <c r="F124" s="650">
        <f t="shared" si="105"/>
        <v>0.10927547999999999</v>
      </c>
      <c r="G124" s="651">
        <f t="shared" si="139"/>
        <v>4.554337129127406</v>
      </c>
      <c r="H124" s="650">
        <f t="shared" ref="H124:S124" si="148">H59*(41.868/1000)</f>
        <v>0</v>
      </c>
      <c r="I124" s="650">
        <f t="shared" si="148"/>
        <v>5.5969142400000003</v>
      </c>
      <c r="J124" s="650">
        <f t="shared" si="148"/>
        <v>87.55603631999999</v>
      </c>
      <c r="K124" s="650">
        <f t="shared" si="148"/>
        <v>2.7398419199999999</v>
      </c>
      <c r="L124" s="650">
        <f t="shared" si="148"/>
        <v>0.15993576000000001</v>
      </c>
      <c r="M124" s="650">
        <f t="shared" si="148"/>
        <v>25.120381320000003</v>
      </c>
      <c r="N124" s="650">
        <f t="shared" si="148"/>
        <v>0.14528196000000002</v>
      </c>
      <c r="O124" s="650">
        <f t="shared" si="148"/>
        <v>53.040475799999996</v>
      </c>
      <c r="P124" s="650">
        <f t="shared" si="148"/>
        <v>0.41491188000000001</v>
      </c>
      <c r="Q124" s="650">
        <f t="shared" si="148"/>
        <v>2.1888590400000001</v>
      </c>
      <c r="R124" s="650">
        <f t="shared" si="148"/>
        <v>7.6275122400000006</v>
      </c>
      <c r="S124" s="650">
        <f t="shared" si="148"/>
        <v>3.1982965200000004</v>
      </c>
      <c r="T124" s="651">
        <f t="shared" si="141"/>
        <v>0</v>
      </c>
      <c r="U124" s="650">
        <f t="shared" si="145"/>
        <v>78.979795200000012</v>
      </c>
      <c r="V124" s="650">
        <f t="shared" si="145"/>
        <v>0.42663492000000003</v>
      </c>
      <c r="W124" s="650">
        <f t="shared" si="145"/>
        <v>0.51790716000000003</v>
      </c>
      <c r="X124" s="650">
        <f t="shared" si="145"/>
        <v>0.46096668000000002</v>
      </c>
      <c r="Y124" s="650">
        <f t="shared" si="145"/>
        <v>0</v>
      </c>
      <c r="Z124" s="650">
        <f t="shared" si="145"/>
        <v>37.557480060000003</v>
      </c>
      <c r="AA124" s="651">
        <f t="shared" si="142"/>
        <v>1.2908316293924284E-2</v>
      </c>
      <c r="AB124" s="650">
        <f t="shared" si="146"/>
        <v>12.39837084</v>
      </c>
      <c r="AC124" s="650">
        <f t="shared" si="146"/>
        <v>2.30608944</v>
      </c>
      <c r="AD124" s="650">
        <f t="shared" si="146"/>
        <v>6.3555624000000011</v>
      </c>
      <c r="AE124" s="650">
        <f t="shared" si="146"/>
        <v>0.35880876000000006</v>
      </c>
      <c r="AF124" s="650">
        <f t="shared" si="146"/>
        <v>0.44128871999999997</v>
      </c>
      <c r="AG124" s="650">
        <f t="shared" si="146"/>
        <v>4.0800366000000006</v>
      </c>
      <c r="AH124" s="650">
        <f t="shared" si="146"/>
        <v>127.75517784000002</v>
      </c>
      <c r="AI124" s="651">
        <f t="shared" si="143"/>
        <v>0</v>
      </c>
      <c r="AJ124" s="651">
        <f t="shared" si="143"/>
        <v>0.17214828699560822</v>
      </c>
      <c r="AK124" s="651">
        <f t="shared" si="143"/>
        <v>0</v>
      </c>
      <c r="AL124" s="651">
        <f t="shared" si="143"/>
        <v>0</v>
      </c>
      <c r="AM124" s="651">
        <f t="shared" si="143"/>
        <v>0.85898344888464995</v>
      </c>
      <c r="AN124" s="652">
        <f t="shared" si="143"/>
        <v>0</v>
      </c>
    </row>
    <row r="125" spans="1:40">
      <c r="B125" s="408"/>
      <c r="C125" s="633" t="s">
        <v>533</v>
      </c>
      <c r="D125" s="649">
        <f t="shared" si="105"/>
        <v>3.4348507200000005</v>
      </c>
      <c r="E125" s="650">
        <f t="shared" si="105"/>
        <v>9.0744703200000014</v>
      </c>
      <c r="F125" s="650">
        <f t="shared" si="105"/>
        <v>0</v>
      </c>
      <c r="G125" s="651">
        <f t="shared" si="139"/>
        <v>9.6172067656333446</v>
      </c>
      <c r="H125" s="650">
        <f t="shared" ref="H125:S125" si="149">H60*(41.868/1000)</f>
        <v>7.285032000000001E-2</v>
      </c>
      <c r="I125" s="650">
        <f t="shared" si="149"/>
        <v>0</v>
      </c>
      <c r="J125" s="650">
        <f t="shared" si="149"/>
        <v>45.811965600000008</v>
      </c>
      <c r="K125" s="650">
        <f t="shared" si="149"/>
        <v>1.2891157200000001</v>
      </c>
      <c r="L125" s="650">
        <f t="shared" si="149"/>
        <v>7.5362400000000005E-3</v>
      </c>
      <c r="M125" s="650">
        <f t="shared" si="149"/>
        <v>7.030893240000001</v>
      </c>
      <c r="N125" s="650">
        <f t="shared" si="149"/>
        <v>1.79153172</v>
      </c>
      <c r="O125" s="650">
        <f t="shared" si="149"/>
        <v>19.24588224</v>
      </c>
      <c r="P125" s="650">
        <f t="shared" si="149"/>
        <v>1.8539150400000002</v>
      </c>
      <c r="Q125" s="650">
        <f t="shared" si="149"/>
        <v>0.46557216000000001</v>
      </c>
      <c r="R125" s="650">
        <f t="shared" si="149"/>
        <v>0</v>
      </c>
      <c r="S125" s="650">
        <f t="shared" si="149"/>
        <v>4.0900849199999998</v>
      </c>
      <c r="T125" s="651">
        <f t="shared" si="141"/>
        <v>5.5932567268465539E-3</v>
      </c>
      <c r="U125" s="650">
        <f t="shared" si="145"/>
        <v>7.3666745999999996</v>
      </c>
      <c r="V125" s="650">
        <f t="shared" si="145"/>
        <v>1.7584559999999999E-2</v>
      </c>
      <c r="W125" s="650">
        <f t="shared" si="145"/>
        <v>0.43124040000000008</v>
      </c>
      <c r="X125" s="650">
        <f t="shared" si="145"/>
        <v>0.10508868</v>
      </c>
      <c r="Y125" s="650">
        <f t="shared" si="145"/>
        <v>0</v>
      </c>
      <c r="Z125" s="650">
        <f t="shared" si="145"/>
        <v>0.25141733999999999</v>
      </c>
      <c r="AA125" s="651">
        <f t="shared" si="142"/>
        <v>0.49845022737851141</v>
      </c>
      <c r="AB125" s="650">
        <f t="shared" si="146"/>
        <v>0.35336592</v>
      </c>
      <c r="AC125" s="650">
        <f t="shared" si="146"/>
        <v>1.1492766000000001</v>
      </c>
      <c r="AD125" s="650">
        <f t="shared" si="146"/>
        <v>0.25832556000000001</v>
      </c>
      <c r="AE125" s="650">
        <f t="shared" si="146"/>
        <v>0.15993576000000001</v>
      </c>
      <c r="AF125" s="650">
        <f t="shared" si="146"/>
        <v>1.1124327600000001</v>
      </c>
      <c r="AG125" s="650">
        <f t="shared" si="146"/>
        <v>0</v>
      </c>
      <c r="AH125" s="650">
        <f t="shared" si="146"/>
        <v>9.278786160000001</v>
      </c>
      <c r="AI125" s="651">
        <f t="shared" si="143"/>
        <v>3.7540326024407024E-3</v>
      </c>
      <c r="AJ125" s="651">
        <f t="shared" si="143"/>
        <v>0</v>
      </c>
      <c r="AK125" s="651">
        <f t="shared" si="143"/>
        <v>0</v>
      </c>
      <c r="AL125" s="651">
        <f t="shared" si="143"/>
        <v>0.10375855374272214</v>
      </c>
      <c r="AM125" s="651">
        <f t="shared" si="143"/>
        <v>3.2747425400656638E-3</v>
      </c>
      <c r="AN125" s="652">
        <f t="shared" si="143"/>
        <v>4.5015057511543499E-2</v>
      </c>
    </row>
    <row r="126" spans="1:40">
      <c r="B126" s="408"/>
      <c r="C126" s="633" t="s">
        <v>528</v>
      </c>
      <c r="D126" s="649">
        <f t="shared" si="105"/>
        <v>0.3433176</v>
      </c>
      <c r="E126" s="650">
        <f t="shared" si="105"/>
        <v>0.35839008000000006</v>
      </c>
      <c r="F126" s="650">
        <f t="shared" si="105"/>
        <v>5.0241599999999997E-3</v>
      </c>
      <c r="G126" s="651">
        <f>IFERROR(G93*G157,0)</f>
        <v>0</v>
      </c>
      <c r="H126" s="650">
        <f t="shared" ref="H126:S126" si="150">H61*(41.868/1000)</f>
        <v>3.1819680000000003E-2</v>
      </c>
      <c r="I126" s="650">
        <f t="shared" si="150"/>
        <v>6.5732760000000001E-2</v>
      </c>
      <c r="J126" s="650">
        <f t="shared" si="150"/>
        <v>5.5458352800000004</v>
      </c>
      <c r="K126" s="650">
        <f t="shared" si="150"/>
        <v>0.14025780000000002</v>
      </c>
      <c r="L126" s="650">
        <f t="shared" si="150"/>
        <v>2.5120800000000002E-2</v>
      </c>
      <c r="M126" s="650">
        <f t="shared" si="150"/>
        <v>14.258984760000001</v>
      </c>
      <c r="N126" s="650">
        <f t="shared" si="150"/>
        <v>0.17249616000000001</v>
      </c>
      <c r="O126" s="650">
        <f t="shared" si="150"/>
        <v>12.797791560000002</v>
      </c>
      <c r="P126" s="650">
        <f t="shared" si="150"/>
        <v>0.47436444000000005</v>
      </c>
      <c r="Q126" s="650">
        <f t="shared" si="150"/>
        <v>0.69961428000000003</v>
      </c>
      <c r="R126" s="650">
        <f t="shared" si="150"/>
        <v>1.0617724800000001</v>
      </c>
      <c r="S126" s="650">
        <f t="shared" si="150"/>
        <v>0.56312459999999998</v>
      </c>
      <c r="T126" s="651">
        <f>IFERROR(T93*T157,0)</f>
        <v>1.9183943661971833E-2</v>
      </c>
      <c r="U126" s="650">
        <f t="shared" si="145"/>
        <v>13.426230240000001</v>
      </c>
      <c r="V126" s="650">
        <f t="shared" si="145"/>
        <v>0.20766528000000001</v>
      </c>
      <c r="W126" s="650">
        <f t="shared" si="145"/>
        <v>1.3816440000000001E-2</v>
      </c>
      <c r="X126" s="650">
        <f t="shared" si="145"/>
        <v>0.14988744000000001</v>
      </c>
      <c r="Y126" s="650">
        <f t="shared" si="145"/>
        <v>0.1716588</v>
      </c>
      <c r="Z126" s="650">
        <f t="shared" si="145"/>
        <v>0.15533028000000002</v>
      </c>
      <c r="AA126" s="651">
        <f>IFERROR(AA93*AA157,0)</f>
        <v>0.2306243661971831</v>
      </c>
      <c r="AB126" s="650">
        <f t="shared" si="146"/>
        <v>2.0766528000000002</v>
      </c>
      <c r="AC126" s="650">
        <f t="shared" si="146"/>
        <v>4.0691509200000002</v>
      </c>
      <c r="AD126" s="650">
        <f t="shared" si="146"/>
        <v>0.57652236000000001</v>
      </c>
      <c r="AE126" s="650">
        <f t="shared" si="146"/>
        <v>0</v>
      </c>
      <c r="AF126" s="650">
        <f t="shared" si="146"/>
        <v>0.2449278</v>
      </c>
      <c r="AG126" s="650">
        <f t="shared" si="146"/>
        <v>9.6715080000000009E-2</v>
      </c>
      <c r="AH126" s="650">
        <f t="shared" si="146"/>
        <v>2.4660252000000003</v>
      </c>
      <c r="AI126" s="651">
        <f t="shared" ref="AI126:AN128" si="151">IFERROR(AI93*AI157,0)</f>
        <v>0.76563850227554808</v>
      </c>
      <c r="AJ126" s="651">
        <f t="shared" si="151"/>
        <v>0</v>
      </c>
      <c r="AK126" s="651">
        <f t="shared" si="151"/>
        <v>0</v>
      </c>
      <c r="AL126" s="651">
        <f t="shared" si="151"/>
        <v>8.2381871570154738E-2</v>
      </c>
      <c r="AM126" s="651">
        <f t="shared" si="151"/>
        <v>0.25478486329209427</v>
      </c>
      <c r="AN126" s="652">
        <f t="shared" si="151"/>
        <v>9.1778415907880481E-2</v>
      </c>
    </row>
    <row r="127" spans="1:40">
      <c r="B127" s="408"/>
      <c r="C127" s="633" t="s">
        <v>536</v>
      </c>
      <c r="D127" s="649">
        <f t="shared" si="105"/>
        <v>4.28393376</v>
      </c>
      <c r="E127" s="650">
        <f t="shared" si="105"/>
        <v>0.47017764000000006</v>
      </c>
      <c r="F127" s="650">
        <f t="shared" si="105"/>
        <v>0.27004860000000003</v>
      </c>
      <c r="G127" s="651">
        <f>IFERROR(G94*G158,0)</f>
        <v>1.16778</v>
      </c>
      <c r="H127" s="650">
        <f t="shared" ref="H127:S127" si="152">H62*(41.868/1000)</f>
        <v>2.16290088</v>
      </c>
      <c r="I127" s="650">
        <f t="shared" si="152"/>
        <v>0.28595844000000004</v>
      </c>
      <c r="J127" s="650">
        <f t="shared" si="152"/>
        <v>18.133030800000004</v>
      </c>
      <c r="K127" s="650">
        <f t="shared" si="152"/>
        <v>0.44003268000000001</v>
      </c>
      <c r="L127" s="650">
        <f t="shared" si="152"/>
        <v>0</v>
      </c>
      <c r="M127" s="650">
        <f t="shared" si="152"/>
        <v>6.3011340000000002</v>
      </c>
      <c r="N127" s="650">
        <f t="shared" si="152"/>
        <v>3.8937240000000005E-2</v>
      </c>
      <c r="O127" s="650">
        <f t="shared" si="152"/>
        <v>1.7869262400000001</v>
      </c>
      <c r="P127" s="650">
        <f t="shared" si="152"/>
        <v>7.522842240000001</v>
      </c>
      <c r="Q127" s="650">
        <f t="shared" si="152"/>
        <v>0.21813228000000001</v>
      </c>
      <c r="R127" s="650">
        <f t="shared" si="152"/>
        <v>0.21310812000000001</v>
      </c>
      <c r="S127" s="650">
        <f t="shared" si="152"/>
        <v>0.22399379999999999</v>
      </c>
      <c r="T127" s="651">
        <f>IFERROR(T94*T158,0)</f>
        <v>0</v>
      </c>
      <c r="U127" s="650">
        <f t="shared" si="145"/>
        <v>4.1558176800000002</v>
      </c>
      <c r="V127" s="650">
        <f t="shared" si="145"/>
        <v>0</v>
      </c>
      <c r="W127" s="650">
        <f t="shared" si="145"/>
        <v>3.600648E-2</v>
      </c>
      <c r="X127" s="650">
        <f t="shared" si="145"/>
        <v>0</v>
      </c>
      <c r="Y127" s="650">
        <f t="shared" si="145"/>
        <v>0</v>
      </c>
      <c r="Z127" s="650">
        <f t="shared" si="145"/>
        <v>0.86499288000000008</v>
      </c>
      <c r="AA127" s="651">
        <f>IFERROR(AA94*AA158,0)</f>
        <v>0</v>
      </c>
      <c r="AB127" s="650">
        <f t="shared" si="146"/>
        <v>0</v>
      </c>
      <c r="AC127" s="650">
        <f t="shared" si="146"/>
        <v>1.4628679200000001</v>
      </c>
      <c r="AD127" s="650">
        <f t="shared" si="146"/>
        <v>0</v>
      </c>
      <c r="AE127" s="650">
        <f t="shared" si="146"/>
        <v>0.43207776000000003</v>
      </c>
      <c r="AF127" s="650">
        <f t="shared" si="146"/>
        <v>0.21185208</v>
      </c>
      <c r="AG127" s="650">
        <f t="shared" si="146"/>
        <v>0</v>
      </c>
      <c r="AH127" s="650">
        <f t="shared" si="146"/>
        <v>3.6408412800000001</v>
      </c>
      <c r="AI127" s="651">
        <f t="shared" si="151"/>
        <v>8.3989999999999995E-2</v>
      </c>
      <c r="AJ127" s="651">
        <f t="shared" si="151"/>
        <v>0</v>
      </c>
      <c r="AK127" s="651">
        <f t="shared" si="151"/>
        <v>0</v>
      </c>
      <c r="AL127" s="651">
        <f t="shared" si="151"/>
        <v>0</v>
      </c>
      <c r="AM127" s="651">
        <f t="shared" si="151"/>
        <v>0</v>
      </c>
      <c r="AN127" s="652">
        <f t="shared" si="151"/>
        <v>6.9900000000000006E-3</v>
      </c>
    </row>
    <row r="128" spans="1:40">
      <c r="B128" s="547"/>
      <c r="C128" s="619" t="s">
        <v>529</v>
      </c>
      <c r="D128" s="653">
        <f t="shared" si="105"/>
        <v>7.285032000000001E-2</v>
      </c>
      <c r="E128" s="654">
        <f t="shared" si="105"/>
        <v>0</v>
      </c>
      <c r="F128" s="654">
        <f t="shared" si="105"/>
        <v>4.8985559999999997E-2</v>
      </c>
      <c r="G128" s="655">
        <f>IFERROR(G95*G159,0)</f>
        <v>0</v>
      </c>
      <c r="H128" s="654">
        <f t="shared" ref="H128:S128" si="153">H63*(41.868/1000)</f>
        <v>0</v>
      </c>
      <c r="I128" s="654">
        <f t="shared" si="153"/>
        <v>0.30228695999999999</v>
      </c>
      <c r="J128" s="654">
        <f t="shared" si="153"/>
        <v>0</v>
      </c>
      <c r="K128" s="654">
        <f t="shared" si="153"/>
        <v>0</v>
      </c>
      <c r="L128" s="654">
        <f t="shared" si="153"/>
        <v>0</v>
      </c>
      <c r="M128" s="654">
        <f t="shared" si="153"/>
        <v>0</v>
      </c>
      <c r="N128" s="654">
        <f t="shared" si="153"/>
        <v>0</v>
      </c>
      <c r="O128" s="654">
        <f t="shared" si="153"/>
        <v>0</v>
      </c>
      <c r="P128" s="654">
        <f t="shared" si="153"/>
        <v>0</v>
      </c>
      <c r="Q128" s="654">
        <f t="shared" si="153"/>
        <v>0</v>
      </c>
      <c r="R128" s="654">
        <f t="shared" si="153"/>
        <v>1.9259280000000004E-2</v>
      </c>
      <c r="S128" s="654">
        <f t="shared" si="153"/>
        <v>1.61359272</v>
      </c>
      <c r="T128" s="655">
        <f>IFERROR(T95*T159,0)</f>
        <v>0</v>
      </c>
      <c r="U128" s="654">
        <f t="shared" si="145"/>
        <v>0</v>
      </c>
      <c r="V128" s="654">
        <f t="shared" si="145"/>
        <v>0</v>
      </c>
      <c r="W128" s="654">
        <f t="shared" si="145"/>
        <v>0</v>
      </c>
      <c r="X128" s="654">
        <f t="shared" si="145"/>
        <v>0</v>
      </c>
      <c r="Y128" s="654">
        <f t="shared" si="145"/>
        <v>0</v>
      </c>
      <c r="Z128" s="654">
        <f t="shared" si="145"/>
        <v>0</v>
      </c>
      <c r="AA128" s="655">
        <f>IFERROR(AA95*AA159,0)</f>
        <v>0</v>
      </c>
      <c r="AB128" s="654">
        <f t="shared" si="146"/>
        <v>21.105240120000001</v>
      </c>
      <c r="AC128" s="654">
        <f t="shared" si="146"/>
        <v>0</v>
      </c>
      <c r="AD128" s="654">
        <f t="shared" si="146"/>
        <v>0</v>
      </c>
      <c r="AE128" s="654">
        <f t="shared" si="146"/>
        <v>0</v>
      </c>
      <c r="AF128" s="654">
        <f t="shared" si="146"/>
        <v>0</v>
      </c>
      <c r="AG128" s="654">
        <f t="shared" si="146"/>
        <v>0</v>
      </c>
      <c r="AH128" s="654">
        <f t="shared" si="146"/>
        <v>0.67240007999999996</v>
      </c>
      <c r="AI128" s="655">
        <f t="shared" si="151"/>
        <v>0</v>
      </c>
      <c r="AJ128" s="655">
        <f t="shared" si="151"/>
        <v>0</v>
      </c>
      <c r="AK128" s="655">
        <f t="shared" si="151"/>
        <v>0</v>
      </c>
      <c r="AL128" s="655">
        <f t="shared" si="151"/>
        <v>0</v>
      </c>
      <c r="AM128" s="655">
        <f t="shared" si="151"/>
        <v>0</v>
      </c>
      <c r="AN128" s="656">
        <f t="shared" si="151"/>
        <v>0</v>
      </c>
    </row>
    <row r="129" spans="1:40">
      <c r="D129" s="496"/>
      <c r="E129" s="467"/>
      <c r="F129" s="467"/>
      <c r="G129" s="467"/>
      <c r="H129" s="467"/>
      <c r="I129" s="467"/>
      <c r="J129" s="467"/>
      <c r="K129" s="467"/>
      <c r="L129" s="467"/>
      <c r="M129" s="467"/>
      <c r="N129" s="467"/>
      <c r="O129" s="467"/>
      <c r="P129" s="467"/>
      <c r="Q129" s="467"/>
      <c r="R129" s="467"/>
      <c r="S129" s="467"/>
      <c r="T129" s="467"/>
      <c r="U129" s="467"/>
      <c r="V129" s="467"/>
      <c r="W129" s="467"/>
      <c r="X129" s="467"/>
      <c r="Y129" s="467"/>
      <c r="Z129" s="467"/>
      <c r="AA129" s="467"/>
      <c r="AB129" s="467"/>
      <c r="AC129" s="467"/>
      <c r="AD129" s="467"/>
      <c r="AE129" s="693"/>
      <c r="AF129" s="467"/>
      <c r="AG129" s="467"/>
      <c r="AH129" s="467"/>
      <c r="AI129" s="467"/>
      <c r="AJ129" s="467"/>
      <c r="AK129" s="467"/>
      <c r="AL129" s="467"/>
      <c r="AM129" s="467"/>
      <c r="AN129" s="467"/>
    </row>
    <row r="130" spans="1:40" ht="21">
      <c r="A130" s="3" t="s">
        <v>538</v>
      </c>
      <c r="B130" s="606"/>
      <c r="D130" s="509">
        <v>2</v>
      </c>
      <c r="E130" s="509">
        <v>3</v>
      </c>
      <c r="F130" s="509">
        <v>4</v>
      </c>
      <c r="G130" s="509">
        <v>5</v>
      </c>
      <c r="H130" s="509">
        <v>6</v>
      </c>
      <c r="I130" s="509">
        <v>7</v>
      </c>
      <c r="J130" s="509">
        <v>8</v>
      </c>
      <c r="K130" s="509">
        <v>9</v>
      </c>
      <c r="L130" s="509">
        <v>10</v>
      </c>
      <c r="M130" s="509">
        <v>11</v>
      </c>
      <c r="N130" s="509">
        <v>12</v>
      </c>
      <c r="O130" s="509">
        <v>13</v>
      </c>
      <c r="P130" s="509">
        <v>14</v>
      </c>
      <c r="Q130" s="509">
        <v>15</v>
      </c>
      <c r="R130" s="509">
        <v>16</v>
      </c>
      <c r="S130" s="509">
        <v>17</v>
      </c>
      <c r="T130" s="509">
        <v>18</v>
      </c>
      <c r="U130" s="509">
        <v>19</v>
      </c>
      <c r="V130" s="509">
        <v>20</v>
      </c>
      <c r="W130" s="509">
        <v>21</v>
      </c>
      <c r="X130" s="509">
        <v>22</v>
      </c>
      <c r="Y130" s="509">
        <v>23</v>
      </c>
      <c r="Z130" s="509">
        <v>24</v>
      </c>
      <c r="AA130" s="509">
        <v>25</v>
      </c>
      <c r="AB130" s="509">
        <v>26</v>
      </c>
      <c r="AC130" s="509">
        <v>27</v>
      </c>
      <c r="AD130" s="509">
        <v>28</v>
      </c>
      <c r="AE130" s="509">
        <v>29</v>
      </c>
      <c r="AF130" s="509">
        <v>30</v>
      </c>
      <c r="AG130" s="509">
        <v>31</v>
      </c>
      <c r="AH130" s="509">
        <v>32</v>
      </c>
      <c r="AI130" s="509">
        <v>33</v>
      </c>
      <c r="AJ130" s="509">
        <v>34</v>
      </c>
      <c r="AK130" s="509">
        <v>35</v>
      </c>
      <c r="AL130" s="509">
        <v>36</v>
      </c>
      <c r="AM130" s="509">
        <v>37</v>
      </c>
      <c r="AN130" s="509">
        <v>38</v>
      </c>
    </row>
    <row r="131" spans="1:40">
      <c r="A131" t="s">
        <v>693</v>
      </c>
      <c r="D131" s="663" t="s">
        <v>88</v>
      </c>
      <c r="E131" s="165" t="s">
        <v>89</v>
      </c>
      <c r="F131" s="165" t="s">
        <v>90</v>
      </c>
      <c r="G131" s="165" t="s">
        <v>91</v>
      </c>
      <c r="H131" s="165" t="s">
        <v>92</v>
      </c>
      <c r="I131" s="165" t="s">
        <v>93</v>
      </c>
      <c r="J131" s="165" t="s">
        <v>94</v>
      </c>
      <c r="K131" s="165" t="s">
        <v>95</v>
      </c>
      <c r="L131" s="165" t="s">
        <v>96</v>
      </c>
      <c r="M131" s="165" t="s">
        <v>97</v>
      </c>
      <c r="N131" s="165" t="s">
        <v>98</v>
      </c>
      <c r="O131" s="165" t="s">
        <v>99</v>
      </c>
      <c r="P131" s="165" t="s">
        <v>205</v>
      </c>
      <c r="Q131" s="165" t="s">
        <v>118</v>
      </c>
      <c r="R131" s="165" t="s">
        <v>100</v>
      </c>
      <c r="S131" s="165" t="s">
        <v>101</v>
      </c>
      <c r="T131" s="165" t="s">
        <v>102</v>
      </c>
      <c r="U131" s="165" t="s">
        <v>103</v>
      </c>
      <c r="V131" s="165" t="s">
        <v>104</v>
      </c>
      <c r="W131" s="165" t="s">
        <v>105</v>
      </c>
      <c r="X131" s="165" t="s">
        <v>106</v>
      </c>
      <c r="Y131" s="165" t="s">
        <v>107</v>
      </c>
      <c r="Z131" s="165" t="s">
        <v>108</v>
      </c>
      <c r="AA131" s="165" t="s">
        <v>109</v>
      </c>
      <c r="AB131" s="165" t="s">
        <v>110</v>
      </c>
      <c r="AC131" s="165" t="s">
        <v>111</v>
      </c>
      <c r="AD131" s="165" t="s">
        <v>112</v>
      </c>
      <c r="AE131" s="165" t="s">
        <v>113</v>
      </c>
      <c r="AF131" s="165" t="s">
        <v>114</v>
      </c>
      <c r="AG131" s="165" t="s">
        <v>115</v>
      </c>
      <c r="AH131" s="165" t="s">
        <v>52</v>
      </c>
      <c r="AI131" s="165" t="s">
        <v>116</v>
      </c>
      <c r="AJ131" s="165" t="s">
        <v>117</v>
      </c>
      <c r="AK131" s="165" t="s">
        <v>119</v>
      </c>
      <c r="AL131" s="165" t="s">
        <v>120</v>
      </c>
      <c r="AM131" s="165" t="s">
        <v>121</v>
      </c>
      <c r="AN131" s="166" t="s">
        <v>122</v>
      </c>
    </row>
    <row r="132" spans="1:40">
      <c r="B132" s="675"/>
      <c r="C132" s="676"/>
      <c r="D132" s="672">
        <v>0.69</v>
      </c>
      <c r="E132" s="672">
        <v>0.65</v>
      </c>
      <c r="F132" s="672">
        <v>0.57999999999999996</v>
      </c>
      <c r="G132" s="673">
        <f t="shared" ref="G132:G150" si="154">$J132</f>
        <v>0.74</v>
      </c>
      <c r="H132" s="672">
        <v>0.74</v>
      </c>
      <c r="I132" s="672">
        <v>0.61</v>
      </c>
      <c r="J132" s="672">
        <v>0.74</v>
      </c>
      <c r="K132" s="672">
        <v>0.77</v>
      </c>
      <c r="L132" s="672">
        <v>0.64</v>
      </c>
      <c r="M132" s="672">
        <v>0.63</v>
      </c>
      <c r="N132" s="672">
        <v>0.78</v>
      </c>
      <c r="O132" s="672">
        <v>0.69</v>
      </c>
      <c r="P132" s="672">
        <v>0.64</v>
      </c>
      <c r="Q132" s="672">
        <v>0.66</v>
      </c>
      <c r="R132" s="672">
        <v>0.59</v>
      </c>
      <c r="S132" s="672">
        <v>0.64</v>
      </c>
      <c r="T132" s="673">
        <f t="shared" ref="T132:T150" si="155">$K132</f>
        <v>0.77</v>
      </c>
      <c r="U132" s="672">
        <v>0.63</v>
      </c>
      <c r="V132" s="672">
        <v>0.6</v>
      </c>
      <c r="W132" s="672">
        <v>0.69</v>
      </c>
      <c r="X132" s="672">
        <v>0.6</v>
      </c>
      <c r="Y132" s="672">
        <v>0.78</v>
      </c>
      <c r="Z132" s="672">
        <v>0.71</v>
      </c>
      <c r="AA132" s="673">
        <f t="shared" ref="AA132:AA150" si="156">$K132</f>
        <v>0.77</v>
      </c>
      <c r="AB132" s="672">
        <v>0.6</v>
      </c>
      <c r="AC132" s="672">
        <v>0.56000000000000005</v>
      </c>
      <c r="AD132" s="672">
        <v>0.52</v>
      </c>
      <c r="AE132" s="672">
        <v>0.8</v>
      </c>
      <c r="AF132" s="672">
        <v>0.62</v>
      </c>
      <c r="AG132" s="672">
        <v>0.61</v>
      </c>
      <c r="AH132" s="672">
        <v>0.68</v>
      </c>
      <c r="AI132" s="673">
        <f t="shared" ref="AI132:AI157" si="157">$P132</f>
        <v>0.64</v>
      </c>
      <c r="AJ132" s="673">
        <f t="shared" ref="AJ132:AN147" si="158">$Q132</f>
        <v>0.66</v>
      </c>
      <c r="AK132" s="673">
        <f t="shared" si="158"/>
        <v>0.66</v>
      </c>
      <c r="AL132" s="673">
        <f t="shared" ref="AK132:AL147" si="159">$P132</f>
        <v>0.64</v>
      </c>
      <c r="AM132" s="673">
        <f>$Q132</f>
        <v>0.66</v>
      </c>
      <c r="AN132" s="674">
        <f t="shared" si="158"/>
        <v>0.66</v>
      </c>
    </row>
    <row r="133" spans="1:40">
      <c r="B133" s="677" t="s">
        <v>524</v>
      </c>
      <c r="C133" s="611"/>
      <c r="D133">
        <v>0.74</v>
      </c>
      <c r="E133">
        <v>0.7</v>
      </c>
      <c r="F133">
        <v>0.69</v>
      </c>
      <c r="G133" s="207">
        <f t="shared" si="154"/>
        <v>0.78</v>
      </c>
      <c r="H133">
        <v>0.52</v>
      </c>
      <c r="I133">
        <v>0.68</v>
      </c>
      <c r="J133">
        <v>0.78</v>
      </c>
      <c r="K133">
        <v>0.8</v>
      </c>
      <c r="L133">
        <v>0.72</v>
      </c>
      <c r="M133">
        <v>0.61</v>
      </c>
      <c r="N133">
        <v>0.84</v>
      </c>
      <c r="O133">
        <v>0.71</v>
      </c>
      <c r="P133">
        <v>0.75</v>
      </c>
      <c r="Q133">
        <v>0.66</v>
      </c>
      <c r="R133">
        <v>0.56999999999999995</v>
      </c>
      <c r="S133">
        <v>0.7</v>
      </c>
      <c r="T133" s="207">
        <f t="shared" si="155"/>
        <v>0.8</v>
      </c>
      <c r="U133" s="764">
        <v>0.7</v>
      </c>
      <c r="V133">
        <v>0.61</v>
      </c>
      <c r="W133">
        <v>0.7</v>
      </c>
      <c r="X133">
        <v>0.54</v>
      </c>
      <c r="Y133">
        <v>0.54</v>
      </c>
      <c r="Z133">
        <v>0.66500000000000004</v>
      </c>
      <c r="AA133" s="207">
        <f t="shared" si="156"/>
        <v>0.8</v>
      </c>
      <c r="AB133">
        <v>0.59</v>
      </c>
      <c r="AC133">
        <v>0.49</v>
      </c>
      <c r="AD133">
        <v>0.42</v>
      </c>
      <c r="AE133">
        <v>0.84</v>
      </c>
      <c r="AF133">
        <v>0.61</v>
      </c>
      <c r="AG133">
        <v>0.64</v>
      </c>
      <c r="AH133">
        <v>0.63</v>
      </c>
      <c r="AI133" s="207">
        <f t="shared" si="157"/>
        <v>0.75</v>
      </c>
      <c r="AJ133" s="207">
        <f t="shared" si="158"/>
        <v>0.66</v>
      </c>
      <c r="AK133" s="207">
        <f t="shared" si="158"/>
        <v>0.66</v>
      </c>
      <c r="AL133" s="207">
        <f t="shared" si="159"/>
        <v>0.75</v>
      </c>
      <c r="AM133" s="207">
        <f t="shared" si="158"/>
        <v>0.66</v>
      </c>
      <c r="AN133" s="666">
        <f t="shared" si="158"/>
        <v>0.66</v>
      </c>
    </row>
    <row r="134" spans="1:40">
      <c r="B134" s="677"/>
      <c r="C134" s="611" t="s">
        <v>526</v>
      </c>
      <c r="D134">
        <v>0.35</v>
      </c>
      <c r="F134">
        <v>0.32</v>
      </c>
      <c r="G134" s="207">
        <f>$D134</f>
        <v>0.35</v>
      </c>
      <c r="I134">
        <v>0.32</v>
      </c>
      <c r="L134">
        <v>0.32</v>
      </c>
      <c r="M134">
        <v>0.33</v>
      </c>
      <c r="P134">
        <v>0.33</v>
      </c>
      <c r="R134">
        <v>0.33</v>
      </c>
      <c r="T134" s="207">
        <f>$D134</f>
        <v>0.35</v>
      </c>
      <c r="V134">
        <v>0.32</v>
      </c>
      <c r="X134">
        <v>0.33</v>
      </c>
      <c r="Z134" s="496"/>
      <c r="AA134" s="207">
        <f>$D134</f>
        <v>0.35</v>
      </c>
      <c r="AB134">
        <v>0.33</v>
      </c>
      <c r="AC134">
        <v>0.32</v>
      </c>
      <c r="AD134">
        <v>0.32</v>
      </c>
      <c r="AF134">
        <v>0.35</v>
      </c>
      <c r="AI134" s="207">
        <f>$P134</f>
        <v>0.33</v>
      </c>
      <c r="AJ134" s="207"/>
      <c r="AK134" s="207">
        <f t="shared" si="159"/>
        <v>0.33</v>
      </c>
      <c r="AL134" s="207">
        <f t="shared" si="159"/>
        <v>0.33</v>
      </c>
      <c r="AM134" s="207"/>
      <c r="AN134" s="666"/>
    </row>
    <row r="135" spans="1:40">
      <c r="B135" s="677"/>
      <c r="C135" s="611" t="s">
        <v>510</v>
      </c>
      <c r="D135">
        <v>0.83</v>
      </c>
      <c r="E135">
        <v>0.83</v>
      </c>
      <c r="F135">
        <v>0.8</v>
      </c>
      <c r="G135" s="207">
        <f t="shared" si="154"/>
        <v>0.84</v>
      </c>
      <c r="H135">
        <v>0.8</v>
      </c>
      <c r="I135">
        <v>0.8</v>
      </c>
      <c r="J135">
        <v>0.84</v>
      </c>
      <c r="K135">
        <v>0.84</v>
      </c>
      <c r="L135">
        <v>0.8</v>
      </c>
      <c r="M135">
        <v>0.81</v>
      </c>
      <c r="N135">
        <v>0.84</v>
      </c>
      <c r="O135">
        <v>0.84</v>
      </c>
      <c r="P135">
        <v>0.81</v>
      </c>
      <c r="Q135">
        <v>0.81</v>
      </c>
      <c r="R135">
        <v>0.81</v>
      </c>
      <c r="S135">
        <v>0.83</v>
      </c>
      <c r="T135" s="207">
        <f t="shared" si="155"/>
        <v>0.84</v>
      </c>
      <c r="U135">
        <v>0.84</v>
      </c>
      <c r="V135">
        <v>0.8</v>
      </c>
      <c r="W135">
        <v>0.84</v>
      </c>
      <c r="X135">
        <v>0.81</v>
      </c>
      <c r="Y135">
        <v>0.81</v>
      </c>
      <c r="Z135">
        <v>0.83499999999999996</v>
      </c>
      <c r="AA135" s="207">
        <f t="shared" si="156"/>
        <v>0.84</v>
      </c>
      <c r="AB135">
        <v>0.81</v>
      </c>
      <c r="AC135">
        <v>0.8</v>
      </c>
      <c r="AD135">
        <v>0.8</v>
      </c>
      <c r="AE135">
        <v>0.85</v>
      </c>
      <c r="AF135">
        <v>0.84</v>
      </c>
      <c r="AG135">
        <v>0.81</v>
      </c>
      <c r="AH135">
        <v>0.83</v>
      </c>
      <c r="AI135" s="207">
        <f t="shared" si="157"/>
        <v>0.81</v>
      </c>
      <c r="AJ135" s="207">
        <f t="shared" si="158"/>
        <v>0.81</v>
      </c>
      <c r="AK135" s="207">
        <f t="shared" si="158"/>
        <v>0.81</v>
      </c>
      <c r="AL135" s="207">
        <f t="shared" si="159"/>
        <v>0.81</v>
      </c>
      <c r="AM135" s="207">
        <f t="shared" si="158"/>
        <v>0.81</v>
      </c>
      <c r="AN135" s="666">
        <f t="shared" si="158"/>
        <v>0.81</v>
      </c>
    </row>
    <row r="136" spans="1:40">
      <c r="B136" s="677"/>
      <c r="C136" s="611" t="s">
        <v>527</v>
      </c>
      <c r="D136">
        <v>0.49</v>
      </c>
      <c r="E136">
        <v>0.49</v>
      </c>
      <c r="F136">
        <v>0.44</v>
      </c>
      <c r="G136" s="207">
        <f t="shared" si="154"/>
        <v>0.49</v>
      </c>
      <c r="I136">
        <v>0.45</v>
      </c>
      <c r="J136">
        <v>0.49</v>
      </c>
      <c r="K136">
        <v>0.49</v>
      </c>
      <c r="L136">
        <v>0.45</v>
      </c>
      <c r="M136">
        <v>0.46</v>
      </c>
      <c r="N136">
        <v>0.5</v>
      </c>
      <c r="O136">
        <v>0.49</v>
      </c>
      <c r="P136">
        <v>0.46</v>
      </c>
      <c r="Q136">
        <v>0.46</v>
      </c>
      <c r="R136">
        <v>0.46</v>
      </c>
      <c r="S136">
        <v>0.48</v>
      </c>
      <c r="T136" s="207">
        <f t="shared" si="155"/>
        <v>0.49</v>
      </c>
      <c r="U136">
        <v>0.5</v>
      </c>
      <c r="V136">
        <v>0.45</v>
      </c>
      <c r="W136">
        <v>0.5</v>
      </c>
      <c r="X136">
        <v>0.46</v>
      </c>
      <c r="Z136">
        <v>0.48499999999999999</v>
      </c>
      <c r="AA136" s="207">
        <f t="shared" si="156"/>
        <v>0.49</v>
      </c>
      <c r="AB136">
        <v>0.46</v>
      </c>
      <c r="AC136">
        <v>0.44</v>
      </c>
      <c r="AD136">
        <v>0.45</v>
      </c>
      <c r="AE136">
        <v>0.5</v>
      </c>
      <c r="AF136">
        <v>0.49</v>
      </c>
      <c r="AG136">
        <v>0.46</v>
      </c>
      <c r="AH136">
        <v>0.48</v>
      </c>
      <c r="AI136" s="207">
        <f t="shared" si="157"/>
        <v>0.46</v>
      </c>
      <c r="AJ136" s="207">
        <f t="shared" si="158"/>
        <v>0.46</v>
      </c>
      <c r="AK136" s="207">
        <f t="shared" si="158"/>
        <v>0.46</v>
      </c>
      <c r="AL136" s="207">
        <f t="shared" si="159"/>
        <v>0.46</v>
      </c>
      <c r="AM136" s="207">
        <f t="shared" si="158"/>
        <v>0.46</v>
      </c>
      <c r="AN136" s="666">
        <f t="shared" si="158"/>
        <v>0.46</v>
      </c>
    </row>
    <row r="137" spans="1:40">
      <c r="B137" s="677"/>
      <c r="C137" s="611" t="s">
        <v>528</v>
      </c>
      <c r="D137">
        <v>0.45</v>
      </c>
      <c r="E137">
        <v>0.45</v>
      </c>
      <c r="F137">
        <v>0.41</v>
      </c>
      <c r="G137" s="207">
        <f t="shared" si="154"/>
        <v>0.46</v>
      </c>
      <c r="H137">
        <v>0.42</v>
      </c>
      <c r="I137">
        <v>0.42</v>
      </c>
      <c r="J137">
        <v>0.46</v>
      </c>
      <c r="K137">
        <v>0.46</v>
      </c>
      <c r="L137">
        <v>0.42</v>
      </c>
      <c r="M137">
        <v>0.43</v>
      </c>
      <c r="N137">
        <v>0.46</v>
      </c>
      <c r="O137">
        <v>0.46</v>
      </c>
      <c r="P137">
        <v>0.43</v>
      </c>
      <c r="Q137">
        <v>0.43</v>
      </c>
      <c r="R137">
        <v>0.42</v>
      </c>
      <c r="S137">
        <v>0.45</v>
      </c>
      <c r="T137" s="207">
        <f t="shared" si="155"/>
        <v>0.46</v>
      </c>
      <c r="U137">
        <v>0.46</v>
      </c>
      <c r="V137">
        <v>0.42</v>
      </c>
      <c r="W137">
        <v>0.46</v>
      </c>
      <c r="X137">
        <v>0.43</v>
      </c>
      <c r="Y137">
        <v>0.43</v>
      </c>
      <c r="Z137">
        <v>0.45</v>
      </c>
      <c r="AA137" s="207">
        <f t="shared" si="156"/>
        <v>0.46</v>
      </c>
      <c r="AB137">
        <v>0.43</v>
      </c>
      <c r="AC137">
        <v>0.41</v>
      </c>
      <c r="AD137">
        <v>0.42</v>
      </c>
      <c r="AF137">
        <v>0.46</v>
      </c>
      <c r="AG137">
        <v>0.43</v>
      </c>
      <c r="AH137">
        <v>0.45</v>
      </c>
      <c r="AI137" s="207">
        <f t="shared" si="157"/>
        <v>0.43</v>
      </c>
      <c r="AJ137" s="207">
        <f t="shared" si="158"/>
        <v>0.43</v>
      </c>
      <c r="AK137" s="207">
        <f t="shared" si="158"/>
        <v>0.43</v>
      </c>
      <c r="AL137" s="207">
        <f t="shared" si="159"/>
        <v>0.43</v>
      </c>
      <c r="AM137" s="207">
        <f t="shared" si="158"/>
        <v>0.43</v>
      </c>
      <c r="AN137" s="666">
        <f t="shared" si="158"/>
        <v>0.43</v>
      </c>
    </row>
    <row r="138" spans="1:40">
      <c r="B138" s="678"/>
      <c r="C138" s="613" t="s">
        <v>529</v>
      </c>
      <c r="D138" s="575">
        <v>0.35</v>
      </c>
      <c r="E138" s="575"/>
      <c r="F138" s="575">
        <v>0.32</v>
      </c>
      <c r="G138" s="669">
        <f>$D138</f>
        <v>0.35</v>
      </c>
      <c r="H138" s="575"/>
      <c r="I138" s="575"/>
      <c r="J138" s="575"/>
      <c r="K138" s="575"/>
      <c r="L138" s="575"/>
      <c r="M138" s="575">
        <v>0.33</v>
      </c>
      <c r="N138" s="575"/>
      <c r="O138" s="575"/>
      <c r="P138" s="575"/>
      <c r="Q138" s="575"/>
      <c r="R138" s="575">
        <v>0.33</v>
      </c>
      <c r="S138" s="575"/>
      <c r="T138" s="669">
        <f>$D138</f>
        <v>0.35</v>
      </c>
      <c r="U138" s="575"/>
      <c r="V138" s="575"/>
      <c r="W138" s="575"/>
      <c r="X138" s="575"/>
      <c r="Y138" s="575"/>
      <c r="Z138" s="575"/>
      <c r="AA138" s="669">
        <f>$D138</f>
        <v>0.35</v>
      </c>
      <c r="AB138" s="575">
        <v>0.33</v>
      </c>
      <c r="AC138" s="575"/>
      <c r="AD138" s="575"/>
      <c r="AE138" s="575"/>
      <c r="AF138" s="575"/>
      <c r="AG138" s="575"/>
      <c r="AH138" s="575"/>
      <c r="AI138" s="669"/>
      <c r="AJ138" s="669"/>
      <c r="AK138" s="669"/>
      <c r="AL138" s="669"/>
      <c r="AM138" s="669"/>
      <c r="AN138" s="670"/>
    </row>
    <row r="139" spans="1:40">
      <c r="B139" s="677" t="s">
        <v>530</v>
      </c>
      <c r="C139" s="611"/>
      <c r="D139">
        <v>2.1</v>
      </c>
      <c r="E139">
        <v>2.0499999999999998</v>
      </c>
      <c r="F139">
        <v>1.9</v>
      </c>
      <c r="G139" s="207">
        <f t="shared" si="154"/>
        <v>2.19</v>
      </c>
      <c r="H139">
        <v>1.8</v>
      </c>
      <c r="I139">
        <v>1.95</v>
      </c>
      <c r="J139">
        <v>2.19</v>
      </c>
      <c r="K139">
        <v>2.14</v>
      </c>
      <c r="L139">
        <v>2</v>
      </c>
      <c r="M139">
        <v>2</v>
      </c>
      <c r="N139">
        <v>2.14</v>
      </c>
      <c r="O139">
        <v>2.1</v>
      </c>
      <c r="P139">
        <v>1.95</v>
      </c>
      <c r="Q139">
        <v>1.97</v>
      </c>
      <c r="R139">
        <v>1.92</v>
      </c>
      <c r="S139">
        <v>2.0699999999999998</v>
      </c>
      <c r="T139" s="207">
        <f t="shared" si="155"/>
        <v>2.14</v>
      </c>
      <c r="U139">
        <v>2.0299999999999998</v>
      </c>
      <c r="V139">
        <v>1.95</v>
      </c>
      <c r="W139">
        <v>2.1</v>
      </c>
      <c r="X139">
        <v>2</v>
      </c>
      <c r="Y139">
        <v>1.85</v>
      </c>
      <c r="Z139">
        <v>2.125</v>
      </c>
      <c r="AA139" s="207">
        <f t="shared" si="156"/>
        <v>2.14</v>
      </c>
      <c r="AB139">
        <v>2</v>
      </c>
      <c r="AC139">
        <v>2.0299999999999998</v>
      </c>
      <c r="AD139">
        <v>1.9</v>
      </c>
      <c r="AE139">
        <v>2</v>
      </c>
      <c r="AF139">
        <v>2.0699999999999998</v>
      </c>
      <c r="AG139">
        <v>1.9</v>
      </c>
      <c r="AH139">
        <v>2.0699999999999998</v>
      </c>
      <c r="AI139" s="207">
        <f t="shared" si="157"/>
        <v>1.95</v>
      </c>
      <c r="AJ139" s="207">
        <f t="shared" si="158"/>
        <v>1.97</v>
      </c>
      <c r="AK139" s="207">
        <f t="shared" si="158"/>
        <v>1.97</v>
      </c>
      <c r="AL139" s="207">
        <f t="shared" si="159"/>
        <v>1.95</v>
      </c>
      <c r="AM139" s="207">
        <f t="shared" si="158"/>
        <v>1.97</v>
      </c>
      <c r="AN139" s="666">
        <f t="shared" si="158"/>
        <v>1.97</v>
      </c>
    </row>
    <row r="140" spans="1:40">
      <c r="B140" s="678"/>
      <c r="C140" s="613" t="s">
        <v>510</v>
      </c>
      <c r="D140" s="575">
        <v>2.1</v>
      </c>
      <c r="E140" s="575">
        <v>2.0499999999999998</v>
      </c>
      <c r="F140" s="575">
        <v>1.9</v>
      </c>
      <c r="G140" s="669">
        <f t="shared" si="154"/>
        <v>2.19</v>
      </c>
      <c r="H140" s="575">
        <v>1.8</v>
      </c>
      <c r="I140" s="575">
        <v>1.95</v>
      </c>
      <c r="J140" s="575">
        <v>2.19</v>
      </c>
      <c r="K140" s="575">
        <v>2.14</v>
      </c>
      <c r="L140" s="575">
        <v>2</v>
      </c>
      <c r="M140" s="575">
        <v>2</v>
      </c>
      <c r="N140" s="575">
        <v>2.14</v>
      </c>
      <c r="O140" s="575">
        <v>2.1</v>
      </c>
      <c r="P140" s="575">
        <v>1.95</v>
      </c>
      <c r="Q140" s="575">
        <v>1.97</v>
      </c>
      <c r="R140" s="575">
        <v>1.92</v>
      </c>
      <c r="S140" s="575">
        <v>2.0699999999999998</v>
      </c>
      <c r="T140" s="669">
        <f t="shared" si="155"/>
        <v>2.14</v>
      </c>
      <c r="U140" s="575">
        <v>2.0299999999999998</v>
      </c>
      <c r="V140" s="575">
        <v>1.95</v>
      </c>
      <c r="W140" s="575">
        <v>2.1</v>
      </c>
      <c r="X140" s="575">
        <v>2</v>
      </c>
      <c r="Y140" s="575">
        <v>1.85</v>
      </c>
      <c r="Z140" s="575">
        <v>2.125</v>
      </c>
      <c r="AA140" s="669">
        <f t="shared" si="156"/>
        <v>2.14</v>
      </c>
      <c r="AB140" s="575">
        <v>2</v>
      </c>
      <c r="AC140" s="575">
        <v>2.0299999999999998</v>
      </c>
      <c r="AD140" s="575">
        <v>1.9</v>
      </c>
      <c r="AE140" s="575">
        <v>2</v>
      </c>
      <c r="AF140" s="575">
        <v>2.0699999999999998</v>
      </c>
      <c r="AG140" s="575">
        <v>1.9</v>
      </c>
      <c r="AH140" s="575">
        <v>2.0699999999999998</v>
      </c>
      <c r="AI140" s="669">
        <f t="shared" si="157"/>
        <v>1.95</v>
      </c>
      <c r="AJ140" s="669">
        <f t="shared" si="158"/>
        <v>1.97</v>
      </c>
      <c r="AK140" s="669">
        <f t="shared" si="158"/>
        <v>1.97</v>
      </c>
      <c r="AL140" s="669">
        <f t="shared" si="159"/>
        <v>1.95</v>
      </c>
      <c r="AM140" s="669">
        <f t="shared" si="158"/>
        <v>1.97</v>
      </c>
      <c r="AN140" s="670">
        <f t="shared" si="158"/>
        <v>1.97</v>
      </c>
    </row>
    <row r="141" spans="1:40">
      <c r="A141" s="764"/>
      <c r="B141" s="677" t="s">
        <v>531</v>
      </c>
      <c r="C141" s="611"/>
      <c r="D141" s="496">
        <f t="shared" ref="D141:AH141" si="160">IFERROR(D110/D77,"")</f>
        <v>0.67038399773866864</v>
      </c>
      <c r="E141" s="496">
        <f t="shared" si="160"/>
        <v>0.65236682542465119</v>
      </c>
      <c r="F141" s="496">
        <f t="shared" si="160"/>
        <v>0.55001359483485779</v>
      </c>
      <c r="G141" s="667">
        <f t="shared" si="154"/>
        <v>0.72783355489511514</v>
      </c>
      <c r="H141" s="496">
        <f t="shared" si="160"/>
        <v>0.57781649839416394</v>
      </c>
      <c r="I141" s="496">
        <f t="shared" si="160"/>
        <v>0.59267416176335963</v>
      </c>
      <c r="J141" s="496">
        <f t="shared" si="160"/>
        <v>0.72783355489511514</v>
      </c>
      <c r="K141" s="496">
        <f t="shared" si="160"/>
        <v>0.76538415780865887</v>
      </c>
      <c r="L141" s="496">
        <f t="shared" si="160"/>
        <v>0.62867104346258407</v>
      </c>
      <c r="M141" s="496">
        <f t="shared" si="160"/>
        <v>0.62739707411572232</v>
      </c>
      <c r="N141" s="496">
        <f t="shared" si="160"/>
        <v>0.82260262377771454</v>
      </c>
      <c r="O141" s="496">
        <f t="shared" si="160"/>
        <v>0.67959869709093457</v>
      </c>
      <c r="P141" s="496">
        <f t="shared" si="160"/>
        <v>0.57869944321747824</v>
      </c>
      <c r="Q141" s="496">
        <f t="shared" si="160"/>
        <v>0.55711527004214889</v>
      </c>
      <c r="R141" s="496">
        <f t="shared" si="160"/>
        <v>0.58780709235180562</v>
      </c>
      <c r="S141" s="496">
        <f t="shared" si="160"/>
        <v>0.63261263053964079</v>
      </c>
      <c r="T141" s="667">
        <f t="shared" si="155"/>
        <v>0.76538415780865887</v>
      </c>
      <c r="U141" s="496">
        <f t="shared" si="160"/>
        <v>0.62084378613635793</v>
      </c>
      <c r="V141" s="496">
        <f t="shared" si="160"/>
        <v>0.5961653439257858</v>
      </c>
      <c r="W141" s="496">
        <f t="shared" si="160"/>
        <v>0.67194939352115224</v>
      </c>
      <c r="X141" s="496">
        <f t="shared" si="160"/>
        <v>0.62382040954941476</v>
      </c>
      <c r="Y141" s="496">
        <f t="shared" si="160"/>
        <v>0.64278881443761904</v>
      </c>
      <c r="Z141" s="496">
        <f t="shared" si="160"/>
        <v>0.70407842300822299</v>
      </c>
      <c r="AA141" s="667">
        <f t="shared" si="156"/>
        <v>0.76538415780865887</v>
      </c>
      <c r="AB141" s="496">
        <f t="shared" si="160"/>
        <v>0.59940515363563207</v>
      </c>
      <c r="AC141" s="496">
        <f t="shared" si="160"/>
        <v>0.56359009362878665</v>
      </c>
      <c r="AD141" s="496">
        <f t="shared" si="160"/>
        <v>0.55466494269704503</v>
      </c>
      <c r="AE141" s="496">
        <f t="shared" si="160"/>
        <v>0.82032423311357217</v>
      </c>
      <c r="AF141" s="496">
        <f t="shared" si="160"/>
        <v>0.62406089565846323</v>
      </c>
      <c r="AG141" s="496">
        <f t="shared" si="160"/>
        <v>0.62554525945159345</v>
      </c>
      <c r="AH141" s="496">
        <f t="shared" si="160"/>
        <v>0.68341657134891631</v>
      </c>
      <c r="AI141" s="667">
        <f t="shared" si="157"/>
        <v>0.57869944321747824</v>
      </c>
      <c r="AJ141" s="667">
        <f t="shared" si="158"/>
        <v>0.55711527004214889</v>
      </c>
      <c r="AK141" s="667">
        <f t="shared" si="158"/>
        <v>0.55711527004214889</v>
      </c>
      <c r="AL141" s="667">
        <f t="shared" si="159"/>
        <v>0.57869944321747824</v>
      </c>
      <c r="AM141" s="667">
        <f t="shared" si="158"/>
        <v>0.55711527004214889</v>
      </c>
      <c r="AN141" s="741">
        <f t="shared" si="158"/>
        <v>0.55711527004214889</v>
      </c>
    </row>
    <row r="142" spans="1:40">
      <c r="A142" s="764"/>
      <c r="B142" s="677"/>
      <c r="C142" s="611" t="s">
        <v>526</v>
      </c>
      <c r="D142" s="496">
        <f t="shared" ref="D142:AH142" si="161">IFERROR(D111/D78,"")</f>
        <v>0.55597639156999534</v>
      </c>
      <c r="E142" s="496">
        <f t="shared" si="161"/>
        <v>0.55298251833536471</v>
      </c>
      <c r="F142" s="496">
        <f t="shared" si="161"/>
        <v>0.47195926450783238</v>
      </c>
      <c r="G142" s="667">
        <f t="shared" si="154"/>
        <v>0.62257783918607779</v>
      </c>
      <c r="H142" s="496">
        <f t="shared" si="161"/>
        <v>0.39892049980478939</v>
      </c>
      <c r="I142" s="496">
        <f t="shared" si="161"/>
        <v>0.49203931837071685</v>
      </c>
      <c r="J142" s="496">
        <f t="shared" si="161"/>
        <v>0.62257783918607779</v>
      </c>
      <c r="K142" s="496">
        <f t="shared" si="161"/>
        <v>0.5934701807556918</v>
      </c>
      <c r="L142" s="496">
        <f t="shared" si="161"/>
        <v>0.51354697786564751</v>
      </c>
      <c r="M142" s="496">
        <f t="shared" si="161"/>
        <v>0.49650076935009424</v>
      </c>
      <c r="N142" s="496">
        <f t="shared" si="161"/>
        <v>0.58325625046518548</v>
      </c>
      <c r="O142" s="496">
        <f t="shared" si="161"/>
        <v>0.55999031062290383</v>
      </c>
      <c r="P142" s="496">
        <f t="shared" si="161"/>
        <v>0.48511501090573517</v>
      </c>
      <c r="Q142" s="496">
        <f t="shared" si="161"/>
        <v>0.49410645163969763</v>
      </c>
      <c r="R142" s="496">
        <f t="shared" si="161"/>
        <v>0.49686737772420453</v>
      </c>
      <c r="S142" s="496">
        <f t="shared" si="161"/>
        <v>0.53445995432477611</v>
      </c>
      <c r="T142" s="667">
        <f>$K142</f>
        <v>0.5934701807556918</v>
      </c>
      <c r="U142" s="496">
        <f t="shared" si="161"/>
        <v>0.53806891822925773</v>
      </c>
      <c r="V142" s="496">
        <f t="shared" si="161"/>
        <v>0.48195149614480498</v>
      </c>
      <c r="W142" s="496">
        <f t="shared" si="161"/>
        <v>0.55328608588240247</v>
      </c>
      <c r="X142" s="496">
        <f t="shared" si="161"/>
        <v>0.51702882201611489</v>
      </c>
      <c r="Y142" s="496">
        <f t="shared" si="161"/>
        <v>0.67821838221365516</v>
      </c>
      <c r="Z142" s="496">
        <f t="shared" si="161"/>
        <v>0.57587339291077388</v>
      </c>
      <c r="AA142" s="667">
        <f t="shared" si="156"/>
        <v>0.5934701807556918</v>
      </c>
      <c r="AB142" s="496">
        <f t="shared" si="161"/>
        <v>0.50909787439587217</v>
      </c>
      <c r="AC142" s="496">
        <f t="shared" si="161"/>
        <v>0.51741164039885934</v>
      </c>
      <c r="AD142" s="496">
        <f t="shared" si="161"/>
        <v>0.47574608079785818</v>
      </c>
      <c r="AE142" s="496">
        <f t="shared" si="161"/>
        <v>0.51353806752445719</v>
      </c>
      <c r="AF142" s="496">
        <f t="shared" si="161"/>
        <v>0.55289074771906499</v>
      </c>
      <c r="AG142" s="496">
        <f t="shared" si="161"/>
        <v>0.48072219076810135</v>
      </c>
      <c r="AH142" s="496">
        <f t="shared" si="161"/>
        <v>0.57224504320466918</v>
      </c>
      <c r="AI142" s="667">
        <f t="shared" si="157"/>
        <v>0.48511501090573517</v>
      </c>
      <c r="AJ142" s="667">
        <f t="shared" si="158"/>
        <v>0.49410645163969763</v>
      </c>
      <c r="AK142" s="667">
        <f t="shared" si="158"/>
        <v>0.49410645163969763</v>
      </c>
      <c r="AL142" s="667">
        <f t="shared" si="159"/>
        <v>0.48511501090573517</v>
      </c>
      <c r="AM142" s="667">
        <f t="shared" si="158"/>
        <v>0.49410645163969763</v>
      </c>
      <c r="AN142" s="741">
        <f t="shared" si="158"/>
        <v>0.49410645163969763</v>
      </c>
    </row>
    <row r="143" spans="1:40">
      <c r="A143" s="764"/>
      <c r="B143" s="677"/>
      <c r="C143" s="611" t="s">
        <v>532</v>
      </c>
      <c r="D143" s="496">
        <f t="shared" ref="D143:AH143" si="162">IFERROR(D112/D79,"")</f>
        <v>0.83916539421272995</v>
      </c>
      <c r="E143" s="496">
        <f t="shared" si="162"/>
        <v>0.79375937180928535</v>
      </c>
      <c r="F143" s="496">
        <f t="shared" si="162"/>
        <v>0.69025551648968375</v>
      </c>
      <c r="G143" s="667">
        <f t="shared" si="154"/>
        <v>0.90808118695047002</v>
      </c>
      <c r="H143" s="496" t="str">
        <f t="shared" si="162"/>
        <v/>
      </c>
      <c r="I143" s="496">
        <f t="shared" si="162"/>
        <v>0.72427081148229255</v>
      </c>
      <c r="J143" s="496">
        <f t="shared" si="162"/>
        <v>0.90808118695047002</v>
      </c>
      <c r="K143" s="496">
        <f t="shared" si="162"/>
        <v>0.87249058387803391</v>
      </c>
      <c r="L143" s="496">
        <f t="shared" si="162"/>
        <v>0.75698290192849915</v>
      </c>
      <c r="M143" s="496" t="str">
        <f t="shared" si="162"/>
        <v/>
      </c>
      <c r="N143" s="496">
        <f t="shared" si="162"/>
        <v>0.87081258437485742</v>
      </c>
      <c r="O143" s="496">
        <f t="shared" si="162"/>
        <v>0.84188054995816719</v>
      </c>
      <c r="P143" s="496">
        <f t="shared" si="162"/>
        <v>0.73086090101156365</v>
      </c>
      <c r="Q143" s="496">
        <f t="shared" si="162"/>
        <v>0.73851821541334461</v>
      </c>
      <c r="R143" s="496">
        <f t="shared" si="162"/>
        <v>0.7051744024371781</v>
      </c>
      <c r="S143" s="496" t="str">
        <f t="shared" si="162"/>
        <v/>
      </c>
      <c r="T143" s="667">
        <f t="shared" si="155"/>
        <v>0.87249058387803391</v>
      </c>
      <c r="U143" s="667">
        <f t="shared" si="162"/>
        <v>0.80513994204272965</v>
      </c>
      <c r="V143" s="496">
        <f t="shared" si="162"/>
        <v>0.72315276909852633</v>
      </c>
      <c r="W143" s="496" t="str">
        <f t="shared" si="162"/>
        <v/>
      </c>
      <c r="X143" s="496">
        <f t="shared" si="162"/>
        <v>0.7637422656908508</v>
      </c>
      <c r="Y143" s="496" t="str">
        <f t="shared" si="162"/>
        <v/>
      </c>
      <c r="Z143" s="496">
        <f t="shared" si="162"/>
        <v>0.86113245667315541</v>
      </c>
      <c r="AA143" s="667">
        <f t="shared" si="156"/>
        <v>0.87249058387803391</v>
      </c>
      <c r="AB143" s="496">
        <f t="shared" si="162"/>
        <v>0.7610946189991713</v>
      </c>
      <c r="AC143" s="496">
        <f t="shared" si="162"/>
        <v>0.80187813054763535</v>
      </c>
      <c r="AD143" s="496">
        <f t="shared" si="162"/>
        <v>0.68992487358195631</v>
      </c>
      <c r="AE143" s="496">
        <f t="shared" si="162"/>
        <v>0.76127467811845573</v>
      </c>
      <c r="AF143" s="496">
        <f t="shared" si="162"/>
        <v>0.80776384536699042</v>
      </c>
      <c r="AG143" s="496">
        <f t="shared" si="162"/>
        <v>0.69997834197694131</v>
      </c>
      <c r="AH143" s="496">
        <f t="shared" si="162"/>
        <v>0.82231621190054682</v>
      </c>
      <c r="AI143" s="667">
        <f t="shared" si="157"/>
        <v>0.73086090101156365</v>
      </c>
      <c r="AJ143" s="667">
        <f t="shared" si="158"/>
        <v>0.73851821541334461</v>
      </c>
      <c r="AK143" s="667">
        <f t="shared" si="158"/>
        <v>0.73851821541334461</v>
      </c>
      <c r="AL143" s="667">
        <f t="shared" si="159"/>
        <v>0.73086090101156365</v>
      </c>
      <c r="AM143" s="667">
        <f t="shared" si="158"/>
        <v>0.73851821541334461</v>
      </c>
      <c r="AN143" s="741">
        <f t="shared" si="158"/>
        <v>0.73851821541334461</v>
      </c>
    </row>
    <row r="144" spans="1:40">
      <c r="A144" s="764"/>
      <c r="B144" s="677"/>
      <c r="C144" s="611" t="s">
        <v>959</v>
      </c>
      <c r="D144" s="496">
        <f t="shared" ref="D144:AH144" si="163">IFERROR(D113/D80,"")</f>
        <v>1.6982385550541728</v>
      </c>
      <c r="E144" s="496">
        <f t="shared" si="163"/>
        <v>1.6497196678190347</v>
      </c>
      <c r="F144" s="496">
        <f t="shared" si="163"/>
        <v>1.5508905920437253</v>
      </c>
      <c r="G144" s="667">
        <f t="shared" si="154"/>
        <v>2.0756806832257806</v>
      </c>
      <c r="H144" s="496">
        <f t="shared" si="163"/>
        <v>1.6221566852792595</v>
      </c>
      <c r="I144" s="496">
        <f t="shared" si="163"/>
        <v>1.4433886824173219</v>
      </c>
      <c r="J144" s="496">
        <f t="shared" si="163"/>
        <v>2.0756806832257806</v>
      </c>
      <c r="K144" s="496">
        <f t="shared" si="163"/>
        <v>2.0749389158103493</v>
      </c>
      <c r="L144" s="496" t="str">
        <f t="shared" si="163"/>
        <v/>
      </c>
      <c r="M144" s="496">
        <f t="shared" si="163"/>
        <v>1.5871098769494529</v>
      </c>
      <c r="N144" s="496">
        <f t="shared" si="163"/>
        <v>1.724161051538984</v>
      </c>
      <c r="O144" s="496">
        <f t="shared" si="163"/>
        <v>1.7189709001670954</v>
      </c>
      <c r="P144" s="496">
        <f t="shared" si="163"/>
        <v>1.4939918107969228</v>
      </c>
      <c r="Q144" s="496">
        <f t="shared" si="163"/>
        <v>1.7067628466784948</v>
      </c>
      <c r="R144" s="496">
        <f t="shared" si="163"/>
        <v>1.4676779085133815</v>
      </c>
      <c r="S144" s="496">
        <f t="shared" si="163"/>
        <v>1.7053324101362479</v>
      </c>
      <c r="T144" s="667">
        <f t="shared" si="155"/>
        <v>2.0749389158103493</v>
      </c>
      <c r="U144" s="667">
        <f t="shared" si="163"/>
        <v>1.9615265758377176</v>
      </c>
      <c r="V144" s="496" t="str">
        <f t="shared" si="163"/>
        <v/>
      </c>
      <c r="W144" s="496">
        <f t="shared" si="163"/>
        <v>1.8082970129615357</v>
      </c>
      <c r="X144" s="496" t="str">
        <f t="shared" si="163"/>
        <v/>
      </c>
      <c r="Y144" s="496">
        <f t="shared" si="163"/>
        <v>1.366855031143126</v>
      </c>
      <c r="Z144" s="496">
        <f t="shared" si="163"/>
        <v>1.9089945517629228</v>
      </c>
      <c r="AA144" s="667">
        <f t="shared" si="156"/>
        <v>2.0749389158103493</v>
      </c>
      <c r="AB144" s="496">
        <f t="shared" si="163"/>
        <v>1.801917752905803</v>
      </c>
      <c r="AC144" s="496">
        <f t="shared" si="163"/>
        <v>1.8805007420382045</v>
      </c>
      <c r="AD144" s="496">
        <f t="shared" si="163"/>
        <v>1.649722330403032</v>
      </c>
      <c r="AE144" s="496">
        <f t="shared" si="163"/>
        <v>1.557185518635833</v>
      </c>
      <c r="AF144" s="496">
        <f t="shared" si="163"/>
        <v>1.8274074648393674</v>
      </c>
      <c r="AG144" s="496">
        <f t="shared" si="163"/>
        <v>1.4484869386665638</v>
      </c>
      <c r="AH144" s="496">
        <f t="shared" si="163"/>
        <v>1.6155288404869157</v>
      </c>
      <c r="AI144" s="667">
        <f t="shared" si="157"/>
        <v>1.4939918107969228</v>
      </c>
      <c r="AJ144" s="667">
        <f t="shared" si="158"/>
        <v>1.7067628466784948</v>
      </c>
      <c r="AK144" s="667">
        <f t="shared" si="158"/>
        <v>1.7067628466784948</v>
      </c>
      <c r="AL144" s="667">
        <f t="shared" si="159"/>
        <v>1.4939918107969228</v>
      </c>
      <c r="AM144" s="667">
        <f t="shared" si="158"/>
        <v>1.7067628466784948</v>
      </c>
      <c r="AN144" s="741">
        <f t="shared" si="158"/>
        <v>1.7067628466784948</v>
      </c>
    </row>
    <row r="145" spans="1:40">
      <c r="A145" s="764"/>
      <c r="B145" s="677"/>
      <c r="C145" s="611" t="s">
        <v>510</v>
      </c>
      <c r="D145" s="496">
        <f t="shared" ref="D145:AH145" si="164">IFERROR(D114/D81,"")</f>
        <v>0.81928900763721191</v>
      </c>
      <c r="E145" s="496">
        <f t="shared" si="164"/>
        <v>0.79900299844352862</v>
      </c>
      <c r="F145" s="496">
        <f t="shared" si="164"/>
        <v>0.73408809575765033</v>
      </c>
      <c r="G145" s="667">
        <f t="shared" si="154"/>
        <v>0.86347572459868804</v>
      </c>
      <c r="H145" s="496">
        <f t="shared" si="164"/>
        <v>0.70618228689710782</v>
      </c>
      <c r="I145" s="496">
        <f t="shared" si="164"/>
        <v>0.70582025115896152</v>
      </c>
      <c r="J145" s="496">
        <f t="shared" si="164"/>
        <v>0.86347572459868804</v>
      </c>
      <c r="K145" s="496">
        <f t="shared" si="164"/>
        <v>0.8001874970363646</v>
      </c>
      <c r="L145" s="496">
        <f t="shared" si="164"/>
        <v>0.75698599171100345</v>
      </c>
      <c r="M145" s="496">
        <f t="shared" si="164"/>
        <v>0.71635950787853064</v>
      </c>
      <c r="N145" s="496">
        <f t="shared" si="164"/>
        <v>0.81733074000663342</v>
      </c>
      <c r="O145" s="496">
        <f t="shared" si="164"/>
        <v>0.81671823576041058</v>
      </c>
      <c r="P145" s="496">
        <f t="shared" si="164"/>
        <v>0.72282882147300664</v>
      </c>
      <c r="Q145" s="496">
        <f t="shared" si="164"/>
        <v>0.71202455229284123</v>
      </c>
      <c r="R145" s="496">
        <f t="shared" si="164"/>
        <v>0.72917682462626643</v>
      </c>
      <c r="S145" s="496">
        <f t="shared" si="164"/>
        <v>0.75951434494584302</v>
      </c>
      <c r="T145" s="667">
        <f t="shared" si="155"/>
        <v>0.8001874970363646</v>
      </c>
      <c r="U145" s="496">
        <f t="shared" si="164"/>
        <v>0.76164435507238615</v>
      </c>
      <c r="V145" s="496">
        <f t="shared" si="164"/>
        <v>0.72542657031811564</v>
      </c>
      <c r="W145" s="496">
        <f t="shared" si="164"/>
        <v>0.78087502002196951</v>
      </c>
      <c r="X145" s="496">
        <f t="shared" si="164"/>
        <v>0.75951269724745896</v>
      </c>
      <c r="Y145" s="496">
        <f t="shared" si="164"/>
        <v>0.67551175099960736</v>
      </c>
      <c r="Z145" s="496">
        <f t="shared" si="164"/>
        <v>0.82446857044229116</v>
      </c>
      <c r="AA145" s="667">
        <f t="shared" si="156"/>
        <v>0.8001874970363646</v>
      </c>
      <c r="AB145" s="496">
        <f t="shared" si="164"/>
        <v>0.77572558406601155</v>
      </c>
      <c r="AC145" s="496">
        <f t="shared" si="164"/>
        <v>0.74814388647734709</v>
      </c>
      <c r="AD145" s="496">
        <f t="shared" si="164"/>
        <v>0.72440504092705404</v>
      </c>
      <c r="AE145" s="496">
        <f t="shared" si="164"/>
        <v>0.72971725971827717</v>
      </c>
      <c r="AF145" s="496">
        <f t="shared" si="164"/>
        <v>0.77385528191999364</v>
      </c>
      <c r="AG145" s="496">
        <f t="shared" si="164"/>
        <v>0.68382178584202868</v>
      </c>
      <c r="AH145" s="496">
        <f t="shared" si="164"/>
        <v>0.77247864056518112</v>
      </c>
      <c r="AI145" s="667">
        <f t="shared" si="157"/>
        <v>0.72282882147300664</v>
      </c>
      <c r="AJ145" s="667">
        <f t="shared" si="158"/>
        <v>0.71202455229284123</v>
      </c>
      <c r="AK145" s="667">
        <f t="shared" si="158"/>
        <v>0.71202455229284123</v>
      </c>
      <c r="AL145" s="667">
        <f t="shared" si="159"/>
        <v>0.72282882147300664</v>
      </c>
      <c r="AM145" s="667">
        <f t="shared" si="158"/>
        <v>0.71202455229284123</v>
      </c>
      <c r="AN145" s="741">
        <f t="shared" si="158"/>
        <v>0.71202455229284123</v>
      </c>
    </row>
    <row r="146" spans="1:40">
      <c r="A146" s="764"/>
      <c r="B146" s="677"/>
      <c r="C146" s="611" t="s">
        <v>527</v>
      </c>
      <c r="D146" s="496">
        <f t="shared" ref="D146:AH146" si="165">IFERROR(D115/D82,"")</f>
        <v>0.68033599250582877</v>
      </c>
      <c r="E146" s="496">
        <f t="shared" si="165"/>
        <v>0.66942126825390791</v>
      </c>
      <c r="F146" s="496">
        <f t="shared" si="165"/>
        <v>0.63443282044173432</v>
      </c>
      <c r="G146" s="667">
        <f t="shared" si="154"/>
        <v>0.72916076700329424</v>
      </c>
      <c r="H146" s="496" t="str">
        <f t="shared" si="165"/>
        <v/>
      </c>
      <c r="I146" s="496">
        <f t="shared" si="165"/>
        <v>0.62426210749196631</v>
      </c>
      <c r="J146" s="496">
        <f t="shared" si="165"/>
        <v>0.72916076700329424</v>
      </c>
      <c r="K146" s="496">
        <f t="shared" si="165"/>
        <v>0.70777407071166432</v>
      </c>
      <c r="L146" s="496">
        <f t="shared" si="165"/>
        <v>0.66316714536074017</v>
      </c>
      <c r="M146" s="496">
        <f t="shared" si="165"/>
        <v>0.64419915033562947</v>
      </c>
      <c r="N146" s="496">
        <f t="shared" si="165"/>
        <v>0.70057690040152121</v>
      </c>
      <c r="O146" s="496">
        <f t="shared" si="165"/>
        <v>0.6848792307122471</v>
      </c>
      <c r="P146" s="496">
        <f t="shared" si="165"/>
        <v>0.66312211179536862</v>
      </c>
      <c r="Q146" s="496">
        <f t="shared" si="165"/>
        <v>0.63324515286987926</v>
      </c>
      <c r="R146" s="496">
        <f t="shared" si="165"/>
        <v>0.61330429690122223</v>
      </c>
      <c r="S146" s="496">
        <f t="shared" si="165"/>
        <v>0.68043985083533653</v>
      </c>
      <c r="T146" s="667">
        <f t="shared" si="155"/>
        <v>0.70777407071166432</v>
      </c>
      <c r="U146" s="530">
        <f t="shared" si="165"/>
        <v>0.65417246872245549</v>
      </c>
      <c r="V146" s="496">
        <f t="shared" si="165"/>
        <v>0.6303101227159974</v>
      </c>
      <c r="W146" s="496">
        <f t="shared" si="165"/>
        <v>0.68837733894342035</v>
      </c>
      <c r="X146" s="496">
        <f t="shared" si="165"/>
        <v>0.66716684278871552</v>
      </c>
      <c r="Y146" s="496" t="str">
        <f t="shared" si="165"/>
        <v/>
      </c>
      <c r="Z146" s="496">
        <f t="shared" si="165"/>
        <v>0.69809655784359603</v>
      </c>
      <c r="AA146" s="667">
        <f t="shared" si="156"/>
        <v>0.70777407071166432</v>
      </c>
      <c r="AB146" s="496">
        <f t="shared" si="165"/>
        <v>0.65751265103921019</v>
      </c>
      <c r="AC146" s="496">
        <f t="shared" si="165"/>
        <v>0.66773686705282043</v>
      </c>
      <c r="AD146" s="496">
        <f t="shared" si="165"/>
        <v>0.59688103507117085</v>
      </c>
      <c r="AE146" s="496">
        <f t="shared" si="165"/>
        <v>0.65850115316941293</v>
      </c>
      <c r="AF146" s="496">
        <f t="shared" si="165"/>
        <v>0.67099671340362788</v>
      </c>
      <c r="AG146" s="496">
        <f t="shared" si="165"/>
        <v>0.60303673905847599</v>
      </c>
      <c r="AH146" s="496">
        <f t="shared" si="165"/>
        <v>0.67963735146408599</v>
      </c>
      <c r="AI146" s="667">
        <f t="shared" si="157"/>
        <v>0.66312211179536862</v>
      </c>
      <c r="AJ146" s="667">
        <f t="shared" si="158"/>
        <v>0.63324515286987926</v>
      </c>
      <c r="AK146" s="667">
        <f t="shared" si="158"/>
        <v>0.63324515286987926</v>
      </c>
      <c r="AL146" s="667">
        <f t="shared" si="159"/>
        <v>0.66312211179536862</v>
      </c>
      <c r="AM146" s="667">
        <f t="shared" si="158"/>
        <v>0.63324515286987926</v>
      </c>
      <c r="AN146" s="741">
        <f t="shared" si="158"/>
        <v>0.63324515286987926</v>
      </c>
    </row>
    <row r="147" spans="1:40">
      <c r="A147" s="764"/>
      <c r="B147" s="677"/>
      <c r="C147" s="611" t="s">
        <v>533</v>
      </c>
      <c r="D147" s="496">
        <f t="shared" ref="D147:AH147" si="166">IFERROR(D116/D83,"")</f>
        <v>0.64037371510678565</v>
      </c>
      <c r="E147" s="496">
        <f t="shared" si="166"/>
        <v>0.6306309843955894</v>
      </c>
      <c r="F147" s="496">
        <f t="shared" si="166"/>
        <v>0.59874007012964725</v>
      </c>
      <c r="G147" s="667">
        <f t="shared" si="154"/>
        <v>0.68619292323169789</v>
      </c>
      <c r="H147" s="496">
        <f t="shared" si="166"/>
        <v>0.47012551119507945</v>
      </c>
      <c r="I147" s="496" t="str">
        <f t="shared" si="166"/>
        <v/>
      </c>
      <c r="J147" s="496">
        <f t="shared" si="166"/>
        <v>0.68619292323169789</v>
      </c>
      <c r="K147" s="496">
        <f t="shared" si="166"/>
        <v>0.65520962813375672</v>
      </c>
      <c r="L147" s="496">
        <f t="shared" si="166"/>
        <v>0.64988314630266131</v>
      </c>
      <c r="M147" s="496">
        <f t="shared" si="166"/>
        <v>0.58674717161670131</v>
      </c>
      <c r="N147" s="496">
        <f t="shared" si="166"/>
        <v>0.64626779325750527</v>
      </c>
      <c r="O147" s="496">
        <f t="shared" si="166"/>
        <v>0.64742393347324845</v>
      </c>
      <c r="P147" s="496">
        <f t="shared" si="166"/>
        <v>0.58100031661098761</v>
      </c>
      <c r="Q147" s="496">
        <f t="shared" si="166"/>
        <v>0.58922099232261471</v>
      </c>
      <c r="R147" s="496" t="str">
        <f t="shared" si="166"/>
        <v/>
      </c>
      <c r="S147" s="496">
        <f t="shared" si="166"/>
        <v>0.63728212621828728</v>
      </c>
      <c r="T147" s="667">
        <f t="shared" si="155"/>
        <v>0.65520962813375672</v>
      </c>
      <c r="U147" s="496">
        <f t="shared" si="166"/>
        <v>0.62297185029867153</v>
      </c>
      <c r="V147" s="496">
        <f t="shared" si="166"/>
        <v>0.66259925048346968</v>
      </c>
      <c r="W147" s="496">
        <f t="shared" si="166"/>
        <v>0.64964602701043206</v>
      </c>
      <c r="X147" s="496">
        <f t="shared" si="166"/>
        <v>0.65541123104776566</v>
      </c>
      <c r="Y147" s="496" t="str">
        <f t="shared" si="166"/>
        <v/>
      </c>
      <c r="Z147" s="496">
        <f t="shared" si="166"/>
        <v>0.68373399157111059</v>
      </c>
      <c r="AA147" s="667">
        <f t="shared" si="156"/>
        <v>0.65520962813375672</v>
      </c>
      <c r="AB147" s="496">
        <f t="shared" si="166"/>
        <v>0.64435150286337217</v>
      </c>
      <c r="AC147" s="496">
        <f t="shared" si="166"/>
        <v>0.65332847009036477</v>
      </c>
      <c r="AD147" s="496">
        <f t="shared" si="166"/>
        <v>0.58913151393006935</v>
      </c>
      <c r="AE147" s="496">
        <f t="shared" si="166"/>
        <v>0.64114936744520135</v>
      </c>
      <c r="AF147" s="496">
        <f t="shared" si="166"/>
        <v>0.6338831997084059</v>
      </c>
      <c r="AG147" s="496" t="str">
        <f t="shared" si="166"/>
        <v/>
      </c>
      <c r="AH147" s="496">
        <f t="shared" si="166"/>
        <v>0.65244700921806598</v>
      </c>
      <c r="AI147" s="667">
        <f t="shared" si="157"/>
        <v>0.58100031661098761</v>
      </c>
      <c r="AJ147" s="667">
        <f t="shared" si="158"/>
        <v>0.58922099232261471</v>
      </c>
      <c r="AK147" s="667">
        <f t="shared" si="158"/>
        <v>0.58922099232261471</v>
      </c>
      <c r="AL147" s="667">
        <f t="shared" si="159"/>
        <v>0.58100031661098761</v>
      </c>
      <c r="AM147" s="667">
        <f t="shared" si="158"/>
        <v>0.58922099232261471</v>
      </c>
      <c r="AN147" s="741">
        <f t="shared" si="158"/>
        <v>0.58922099232261471</v>
      </c>
    </row>
    <row r="148" spans="1:40">
      <c r="A148" s="764"/>
      <c r="B148" s="677"/>
      <c r="C148" s="611" t="s">
        <v>534</v>
      </c>
      <c r="D148" s="496" t="str">
        <f t="shared" ref="D148:AH148" si="167">IFERROR(D117/D84,"")</f>
        <v/>
      </c>
      <c r="E148" s="496" t="str">
        <f t="shared" si="167"/>
        <v/>
      </c>
      <c r="F148" s="496" t="str">
        <f t="shared" si="167"/>
        <v/>
      </c>
      <c r="G148" s="667">
        <f t="shared" si="154"/>
        <v>0.89272722357652989</v>
      </c>
      <c r="H148" s="667">
        <f t="shared" si="167"/>
        <v>0.7268441986287274</v>
      </c>
      <c r="I148" s="496" t="str">
        <f t="shared" si="167"/>
        <v/>
      </c>
      <c r="J148" s="496">
        <f t="shared" si="167"/>
        <v>0.89272722357652989</v>
      </c>
      <c r="K148" s="496" t="str">
        <f t="shared" si="167"/>
        <v/>
      </c>
      <c r="L148" s="496" t="str">
        <f t="shared" si="167"/>
        <v/>
      </c>
      <c r="M148" s="667">
        <f t="shared" si="167"/>
        <v>0.80713342825468981</v>
      </c>
      <c r="N148" s="496" t="str">
        <f t="shared" si="167"/>
        <v/>
      </c>
      <c r="O148" s="496">
        <f t="shared" si="167"/>
        <v>0.83718494520851694</v>
      </c>
      <c r="P148" s="667">
        <f t="shared" si="167"/>
        <v>0.79757710538240023</v>
      </c>
      <c r="Q148" s="496" t="str">
        <f t="shared" si="167"/>
        <v/>
      </c>
      <c r="R148" s="496" t="str">
        <f t="shared" si="167"/>
        <v/>
      </c>
      <c r="S148" s="496" t="str">
        <f t="shared" si="167"/>
        <v/>
      </c>
      <c r="T148" s="667">
        <v>0.8</v>
      </c>
      <c r="U148" s="496">
        <f t="shared" si="167"/>
        <v>0.79377338728985236</v>
      </c>
      <c r="V148" s="496" t="str">
        <f t="shared" si="167"/>
        <v/>
      </c>
      <c r="W148" s="496" t="str">
        <f t="shared" si="167"/>
        <v/>
      </c>
      <c r="X148" s="496" t="str">
        <f t="shared" si="167"/>
        <v/>
      </c>
      <c r="Y148" s="496" t="str">
        <f t="shared" si="167"/>
        <v/>
      </c>
      <c r="Z148" s="496" t="str">
        <f t="shared" si="167"/>
        <v/>
      </c>
      <c r="AA148" s="667">
        <v>0.8</v>
      </c>
      <c r="AB148" s="496">
        <f t="shared" si="167"/>
        <v>0.81199491255587219</v>
      </c>
      <c r="AC148" s="496" t="str">
        <f t="shared" si="167"/>
        <v/>
      </c>
      <c r="AD148" s="496">
        <f t="shared" si="167"/>
        <v>0.74154860864130501</v>
      </c>
      <c r="AE148" s="496" t="str">
        <f t="shared" si="167"/>
        <v/>
      </c>
      <c r="AF148" s="667">
        <f t="shared" si="167"/>
        <v>0.84154184900858009</v>
      </c>
      <c r="AG148" s="496" t="str">
        <f t="shared" si="167"/>
        <v/>
      </c>
      <c r="AH148" s="496" t="str">
        <f t="shared" si="167"/>
        <v/>
      </c>
      <c r="AI148" s="667">
        <f t="shared" si="157"/>
        <v>0.79757710538240023</v>
      </c>
      <c r="AJ148" s="667">
        <v>0.8</v>
      </c>
      <c r="AK148" s="667">
        <v>0.8</v>
      </c>
      <c r="AL148" s="667">
        <f t="shared" ref="AL148:AL150" si="168">$P148</f>
        <v>0.79757710538240023</v>
      </c>
      <c r="AM148" s="667">
        <v>0.8</v>
      </c>
      <c r="AN148" s="741">
        <v>0.8</v>
      </c>
    </row>
    <row r="149" spans="1:40">
      <c r="A149" s="764"/>
      <c r="B149" s="677"/>
      <c r="C149" s="611" t="s">
        <v>528</v>
      </c>
      <c r="D149" s="496">
        <f t="shared" ref="D149:AH149" si="169">IFERROR(D118/D85,"")</f>
        <v>0.66252050800517071</v>
      </c>
      <c r="E149" s="496">
        <f t="shared" si="169"/>
        <v>0.65496814541388393</v>
      </c>
      <c r="F149" s="496">
        <f t="shared" si="169"/>
        <v>0.57789180560476283</v>
      </c>
      <c r="G149" s="667">
        <f t="shared" si="154"/>
        <v>0.70767524597818177</v>
      </c>
      <c r="H149" s="496">
        <f t="shared" si="169"/>
        <v>0.49063162243730513</v>
      </c>
      <c r="I149" s="496" t="str">
        <f t="shared" si="169"/>
        <v/>
      </c>
      <c r="J149" s="496">
        <f t="shared" si="169"/>
        <v>0.70767524597818177</v>
      </c>
      <c r="K149" s="496">
        <f t="shared" si="169"/>
        <v>0.69437053964420492</v>
      </c>
      <c r="L149" s="496" t="str">
        <f t="shared" si="169"/>
        <v/>
      </c>
      <c r="M149" s="496">
        <f t="shared" si="169"/>
        <v>0.61218791734638867</v>
      </c>
      <c r="N149" s="496" t="str">
        <f t="shared" si="169"/>
        <v/>
      </c>
      <c r="O149" s="496">
        <f t="shared" si="169"/>
        <v>0.66633296989117508</v>
      </c>
      <c r="P149" s="496" t="str">
        <f t="shared" si="169"/>
        <v/>
      </c>
      <c r="Q149" s="496">
        <f t="shared" si="169"/>
        <v>0.60972996944932967</v>
      </c>
      <c r="R149" s="496">
        <f t="shared" si="169"/>
        <v>0.59266070886750999</v>
      </c>
      <c r="S149" s="496">
        <f t="shared" si="169"/>
        <v>0.64541988743549117</v>
      </c>
      <c r="T149" s="667">
        <f t="shared" si="155"/>
        <v>0.69437053964420492</v>
      </c>
      <c r="U149" s="496">
        <f t="shared" si="169"/>
        <v>0.62887362635634814</v>
      </c>
      <c r="V149" s="496" t="str">
        <f t="shared" si="169"/>
        <v/>
      </c>
      <c r="W149" s="496" t="str">
        <f t="shared" si="169"/>
        <v/>
      </c>
      <c r="X149" s="496" t="str">
        <f t="shared" si="169"/>
        <v/>
      </c>
      <c r="Y149" s="496">
        <f t="shared" si="169"/>
        <v>0.52817356295531837</v>
      </c>
      <c r="Z149" s="496" t="str">
        <f t="shared" si="169"/>
        <v/>
      </c>
      <c r="AA149" s="667">
        <f t="shared" si="156"/>
        <v>0.69437053964420492</v>
      </c>
      <c r="AB149" s="496" t="str">
        <f t="shared" si="169"/>
        <v/>
      </c>
      <c r="AC149" s="496">
        <f t="shared" si="169"/>
        <v>0.6482298383886439</v>
      </c>
      <c r="AD149" s="496" t="str">
        <f t="shared" si="169"/>
        <v/>
      </c>
      <c r="AE149" s="496" t="str">
        <f t="shared" si="169"/>
        <v/>
      </c>
      <c r="AF149" s="496">
        <f t="shared" si="169"/>
        <v>0.65263107492816785</v>
      </c>
      <c r="AG149" s="496" t="str">
        <f t="shared" si="169"/>
        <v/>
      </c>
      <c r="AH149" s="496">
        <f t="shared" si="169"/>
        <v>0.66401819913274163</v>
      </c>
      <c r="AI149" s="667" t="str">
        <f t="shared" si="157"/>
        <v/>
      </c>
      <c r="AJ149" s="667">
        <f t="shared" ref="AJ149:AN150" si="170">$Q149</f>
        <v>0.60972996944932967</v>
      </c>
      <c r="AK149" s="667">
        <f t="shared" si="170"/>
        <v>0.60972996944932967</v>
      </c>
      <c r="AL149" s="667" t="str">
        <f t="shared" si="168"/>
        <v/>
      </c>
      <c r="AM149" s="667">
        <f t="shared" si="170"/>
        <v>0.60972996944932967</v>
      </c>
      <c r="AN149" s="741">
        <f t="shared" si="170"/>
        <v>0.60972996944932967</v>
      </c>
    </row>
    <row r="150" spans="1:40">
      <c r="A150" s="764"/>
      <c r="B150" s="678"/>
      <c r="C150" s="613" t="s">
        <v>529</v>
      </c>
      <c r="D150" s="842">
        <f t="shared" ref="D150:AH150" si="171">IFERROR(D119/D86,"")</f>
        <v>0.54600613795780961</v>
      </c>
      <c r="E150" s="842">
        <f t="shared" si="171"/>
        <v>0.52878226954856766</v>
      </c>
      <c r="F150" s="842">
        <f t="shared" si="171"/>
        <v>0.46094291396266152</v>
      </c>
      <c r="G150" s="671">
        <f t="shared" si="154"/>
        <v>0.60098541371444991</v>
      </c>
      <c r="H150" s="842" t="str">
        <f t="shared" si="171"/>
        <v/>
      </c>
      <c r="I150" s="842">
        <f t="shared" si="171"/>
        <v>0.48024907909516684</v>
      </c>
      <c r="J150" s="842">
        <f t="shared" si="171"/>
        <v>0.60098541371444991</v>
      </c>
      <c r="K150" s="842" t="str">
        <f t="shared" si="171"/>
        <v/>
      </c>
      <c r="L150" s="842">
        <f t="shared" si="171"/>
        <v>0.50409361605050462</v>
      </c>
      <c r="M150" s="842">
        <f t="shared" si="171"/>
        <v>0.48961426388809093</v>
      </c>
      <c r="N150" s="842">
        <f t="shared" si="171"/>
        <v>0.56804011582666591</v>
      </c>
      <c r="O150" s="842">
        <f t="shared" si="171"/>
        <v>0.55440939882195028</v>
      </c>
      <c r="P150" s="842" t="str">
        <f t="shared" si="171"/>
        <v/>
      </c>
      <c r="Q150" s="842">
        <f t="shared" si="171"/>
        <v>0.48670848701628261</v>
      </c>
      <c r="R150" s="842">
        <f t="shared" si="171"/>
        <v>0.47259924141597154</v>
      </c>
      <c r="S150" s="842">
        <f t="shared" si="171"/>
        <v>0.52008934238238924</v>
      </c>
      <c r="T150" s="671" t="str">
        <f t="shared" si="155"/>
        <v/>
      </c>
      <c r="U150" s="842">
        <f t="shared" si="171"/>
        <v>0.51621913129430952</v>
      </c>
      <c r="V150" s="842">
        <f t="shared" si="171"/>
        <v>0.48513940468828798</v>
      </c>
      <c r="W150" s="842">
        <f t="shared" si="171"/>
        <v>0.55027384320458417</v>
      </c>
      <c r="X150" s="842">
        <f t="shared" si="171"/>
        <v>0.49700538148805806</v>
      </c>
      <c r="Y150" s="842" t="str">
        <f t="shared" si="171"/>
        <v/>
      </c>
      <c r="Z150" s="842">
        <f t="shared" si="171"/>
        <v>0.56733858532963388</v>
      </c>
      <c r="AA150" s="671" t="str">
        <f t="shared" si="156"/>
        <v/>
      </c>
      <c r="AB150" s="842">
        <f t="shared" si="171"/>
        <v>0.50241201973747662</v>
      </c>
      <c r="AC150" s="842" t="str">
        <f t="shared" si="171"/>
        <v/>
      </c>
      <c r="AD150" s="842">
        <f t="shared" si="171"/>
        <v>0.47391948663731559</v>
      </c>
      <c r="AE150" s="842" t="str">
        <f t="shared" si="171"/>
        <v/>
      </c>
      <c r="AF150" s="842">
        <f t="shared" si="171"/>
        <v>0.53792702820037341</v>
      </c>
      <c r="AG150" s="842">
        <f t="shared" si="171"/>
        <v>0.48083370788882057</v>
      </c>
      <c r="AH150" s="842">
        <f t="shared" si="171"/>
        <v>0.5386404290588418</v>
      </c>
      <c r="AI150" s="671" t="str">
        <f t="shared" si="157"/>
        <v/>
      </c>
      <c r="AJ150" s="671">
        <f t="shared" si="170"/>
        <v>0.48670848701628261</v>
      </c>
      <c r="AK150" s="671">
        <f t="shared" si="170"/>
        <v>0.48670848701628261</v>
      </c>
      <c r="AL150" s="671" t="str">
        <f t="shared" si="168"/>
        <v/>
      </c>
      <c r="AM150" s="671">
        <f t="shared" si="170"/>
        <v>0.48670848701628261</v>
      </c>
      <c r="AN150" s="743">
        <f t="shared" si="170"/>
        <v>0.48670848701628261</v>
      </c>
    </row>
    <row r="151" spans="1:40">
      <c r="B151" s="677" t="s">
        <v>535</v>
      </c>
      <c r="C151" s="611"/>
      <c r="D151">
        <v>0.71</v>
      </c>
      <c r="E151">
        <v>0.6</v>
      </c>
      <c r="F151">
        <v>0.64</v>
      </c>
      <c r="G151" s="207">
        <f t="shared" ref="G151:G158" si="172">$J151</f>
        <v>0.73</v>
      </c>
      <c r="H151">
        <v>0.9</v>
      </c>
      <c r="I151">
        <v>0.62</v>
      </c>
      <c r="J151">
        <v>0.73</v>
      </c>
      <c r="K151">
        <v>0.77</v>
      </c>
      <c r="L151">
        <v>0.64</v>
      </c>
      <c r="M151">
        <v>0.61</v>
      </c>
      <c r="N151">
        <v>0.76</v>
      </c>
      <c r="O151">
        <v>0.67</v>
      </c>
      <c r="P151">
        <v>0.71</v>
      </c>
      <c r="Q151">
        <v>0.6</v>
      </c>
      <c r="R151">
        <v>0.56000000000000005</v>
      </c>
      <c r="S151">
        <v>0.61</v>
      </c>
      <c r="T151" s="207">
        <f t="shared" ref="T151:T158" si="173">$K151</f>
        <v>0.77</v>
      </c>
      <c r="U151">
        <v>0.6</v>
      </c>
      <c r="V151">
        <v>0.61</v>
      </c>
      <c r="W151">
        <v>0.62</v>
      </c>
      <c r="X151">
        <v>0.59</v>
      </c>
      <c r="Y151">
        <v>0.49</v>
      </c>
      <c r="Z151">
        <v>0.66</v>
      </c>
      <c r="AA151" s="207">
        <f t="shared" ref="AA151:AA158" si="174">$K151</f>
        <v>0.77</v>
      </c>
      <c r="AB151">
        <v>0.59</v>
      </c>
      <c r="AC151">
        <v>0.6</v>
      </c>
      <c r="AD151">
        <v>0.51</v>
      </c>
      <c r="AE151">
        <v>0.74</v>
      </c>
      <c r="AF151">
        <v>0.62</v>
      </c>
      <c r="AG151">
        <v>0.57999999999999996</v>
      </c>
      <c r="AH151">
        <v>0.63</v>
      </c>
      <c r="AI151" s="207">
        <f t="shared" si="157"/>
        <v>0.71</v>
      </c>
      <c r="AJ151" s="207">
        <f t="shared" ref="AJ151:AN157" si="175">$Q151</f>
        <v>0.6</v>
      </c>
      <c r="AK151" s="207">
        <f t="shared" si="175"/>
        <v>0.6</v>
      </c>
      <c r="AL151" s="207">
        <f t="shared" ref="AL151:AL157" si="176">$P151</f>
        <v>0.71</v>
      </c>
      <c r="AM151" s="207">
        <f t="shared" si="175"/>
        <v>0.6</v>
      </c>
      <c r="AN151" s="666">
        <f t="shared" si="175"/>
        <v>0.6</v>
      </c>
    </row>
    <row r="152" spans="1:40">
      <c r="B152" s="677"/>
      <c r="C152" s="611" t="s">
        <v>526</v>
      </c>
      <c r="D152">
        <v>0.5</v>
      </c>
      <c r="E152">
        <v>0.47</v>
      </c>
      <c r="F152">
        <v>0.4</v>
      </c>
      <c r="G152" s="207">
        <f t="shared" si="172"/>
        <v>0.55000000000000004</v>
      </c>
      <c r="H152">
        <v>0.35</v>
      </c>
      <c r="I152">
        <v>0.42</v>
      </c>
      <c r="J152">
        <v>0.55000000000000004</v>
      </c>
      <c r="K152">
        <v>0.52</v>
      </c>
      <c r="L152">
        <v>0.45</v>
      </c>
      <c r="M152">
        <v>0.45</v>
      </c>
      <c r="N152">
        <v>0.52</v>
      </c>
      <c r="O152">
        <v>0.5</v>
      </c>
      <c r="P152">
        <v>0.42</v>
      </c>
      <c r="Q152">
        <v>0.43</v>
      </c>
      <c r="R152">
        <v>0.41</v>
      </c>
      <c r="S152">
        <v>0.48</v>
      </c>
      <c r="T152" s="207">
        <f t="shared" si="173"/>
        <v>0.52</v>
      </c>
      <c r="U152">
        <v>0.46</v>
      </c>
      <c r="V152">
        <v>0.42</v>
      </c>
      <c r="W152">
        <v>0.5</v>
      </c>
      <c r="X152">
        <v>0.45</v>
      </c>
      <c r="Z152">
        <v>0.51</v>
      </c>
      <c r="AA152" s="207">
        <f t="shared" si="174"/>
        <v>0.52</v>
      </c>
      <c r="AB152">
        <v>0.45</v>
      </c>
      <c r="AC152">
        <v>0.46</v>
      </c>
      <c r="AD152">
        <v>0.4</v>
      </c>
      <c r="AE152">
        <v>0.45</v>
      </c>
      <c r="AF152">
        <v>0.48</v>
      </c>
      <c r="AG152">
        <v>0.4</v>
      </c>
      <c r="AI152" s="207">
        <f t="shared" si="157"/>
        <v>0.42</v>
      </c>
      <c r="AJ152" s="207">
        <f t="shared" si="175"/>
        <v>0.43</v>
      </c>
      <c r="AK152" s="207">
        <f t="shared" si="175"/>
        <v>0.43</v>
      </c>
      <c r="AL152" s="207">
        <f t="shared" si="176"/>
        <v>0.42</v>
      </c>
      <c r="AM152" s="207">
        <f t="shared" si="175"/>
        <v>0.43</v>
      </c>
      <c r="AN152" s="666">
        <f t="shared" si="175"/>
        <v>0.43</v>
      </c>
    </row>
    <row r="153" spans="1:40">
      <c r="B153" s="677"/>
      <c r="C153" s="611" t="s">
        <v>532</v>
      </c>
      <c r="D153">
        <v>0.89</v>
      </c>
      <c r="E153">
        <v>0.87</v>
      </c>
      <c r="F153">
        <v>0.78</v>
      </c>
      <c r="G153" s="207">
        <f t="shared" si="172"/>
        <v>0.95</v>
      </c>
      <c r="I153">
        <v>0.81</v>
      </c>
      <c r="J153">
        <v>0.95</v>
      </c>
      <c r="K153">
        <v>0.92</v>
      </c>
      <c r="L153">
        <v>0.84</v>
      </c>
      <c r="N153">
        <v>0.92</v>
      </c>
      <c r="O153">
        <v>0.89</v>
      </c>
      <c r="P153">
        <v>0.81</v>
      </c>
      <c r="Q153">
        <v>0.82</v>
      </c>
      <c r="R153">
        <v>0.8</v>
      </c>
      <c r="T153" s="207">
        <f t="shared" si="173"/>
        <v>0.92</v>
      </c>
      <c r="U153" s="667">
        <f>U122/U89</f>
        <v>0.85650557620817858</v>
      </c>
      <c r="V153">
        <v>0.81</v>
      </c>
      <c r="X153">
        <v>0.84</v>
      </c>
      <c r="Z153">
        <v>0.91</v>
      </c>
      <c r="AA153" s="207">
        <f t="shared" si="174"/>
        <v>0.92</v>
      </c>
      <c r="AB153">
        <v>0.84</v>
      </c>
      <c r="AC153">
        <v>0.86</v>
      </c>
      <c r="AD153">
        <v>0.78</v>
      </c>
      <c r="AE153">
        <v>0.84</v>
      </c>
      <c r="AF153">
        <v>0.88</v>
      </c>
      <c r="AG153">
        <v>0.78</v>
      </c>
      <c r="AI153" s="207">
        <f t="shared" si="157"/>
        <v>0.81</v>
      </c>
      <c r="AJ153" s="207">
        <f t="shared" si="175"/>
        <v>0.82</v>
      </c>
      <c r="AK153" s="207">
        <f t="shared" si="175"/>
        <v>0.82</v>
      </c>
      <c r="AL153" s="207">
        <f t="shared" si="176"/>
        <v>0.81</v>
      </c>
      <c r="AM153" s="207">
        <f t="shared" si="175"/>
        <v>0.82</v>
      </c>
      <c r="AN153" s="666">
        <f t="shared" si="175"/>
        <v>0.82</v>
      </c>
    </row>
    <row r="154" spans="1:40">
      <c r="B154" s="677"/>
      <c r="C154" s="611" t="s">
        <v>510</v>
      </c>
      <c r="D154">
        <v>0.76</v>
      </c>
      <c r="E154">
        <v>0.73</v>
      </c>
      <c r="F154">
        <v>0.61</v>
      </c>
      <c r="G154" s="207">
        <f t="shared" si="172"/>
        <v>0.84</v>
      </c>
      <c r="H154">
        <v>0.54</v>
      </c>
      <c r="I154">
        <v>0.65</v>
      </c>
      <c r="J154">
        <v>0.84</v>
      </c>
      <c r="K154">
        <v>0.8</v>
      </c>
      <c r="L154">
        <v>0.69</v>
      </c>
      <c r="M154">
        <v>0.69</v>
      </c>
      <c r="N154">
        <v>0.8</v>
      </c>
      <c r="O154">
        <v>0.76</v>
      </c>
      <c r="P154">
        <v>0.65</v>
      </c>
      <c r="Q154">
        <v>0.67</v>
      </c>
      <c r="R154">
        <v>0.63</v>
      </c>
      <c r="S154">
        <v>0.74</v>
      </c>
      <c r="T154" s="207">
        <f t="shared" si="173"/>
        <v>0.8</v>
      </c>
      <c r="U154">
        <v>0.71</v>
      </c>
      <c r="V154">
        <v>0.65</v>
      </c>
      <c r="W154">
        <v>0.76</v>
      </c>
      <c r="X154">
        <v>0.69</v>
      </c>
      <c r="Y154">
        <v>0.57999999999999996</v>
      </c>
      <c r="Z154">
        <v>0.78500000000000003</v>
      </c>
      <c r="AA154" s="207">
        <f t="shared" si="174"/>
        <v>0.8</v>
      </c>
      <c r="AB154">
        <v>0.69</v>
      </c>
      <c r="AC154">
        <v>0.71</v>
      </c>
      <c r="AD154">
        <v>0.61</v>
      </c>
      <c r="AE154">
        <v>0.69</v>
      </c>
      <c r="AF154">
        <v>0.74</v>
      </c>
      <c r="AG154">
        <v>0.61</v>
      </c>
      <c r="AH154">
        <v>0.74</v>
      </c>
      <c r="AI154" s="207">
        <f t="shared" si="157"/>
        <v>0.65</v>
      </c>
      <c r="AJ154" s="207">
        <f t="shared" si="175"/>
        <v>0.67</v>
      </c>
      <c r="AK154" s="207">
        <f t="shared" si="175"/>
        <v>0.67</v>
      </c>
      <c r="AL154" s="207">
        <f t="shared" si="176"/>
        <v>0.65</v>
      </c>
      <c r="AM154" s="207">
        <f t="shared" si="175"/>
        <v>0.67</v>
      </c>
      <c r="AN154" s="666">
        <f t="shared" si="175"/>
        <v>0.67</v>
      </c>
    </row>
    <row r="155" spans="1:40">
      <c r="B155" s="677"/>
      <c r="C155" s="611" t="s">
        <v>527</v>
      </c>
      <c r="D155">
        <v>0.62</v>
      </c>
      <c r="E155">
        <v>0.59</v>
      </c>
      <c r="F155">
        <v>0.5</v>
      </c>
      <c r="G155" s="207">
        <f t="shared" si="172"/>
        <v>0.68</v>
      </c>
      <c r="I155">
        <v>0.53</v>
      </c>
      <c r="J155">
        <v>0.68</v>
      </c>
      <c r="K155">
        <v>0.65</v>
      </c>
      <c r="L155">
        <v>0.56000000000000005</v>
      </c>
      <c r="M155">
        <v>0.56000000000000005</v>
      </c>
      <c r="N155">
        <v>0.65</v>
      </c>
      <c r="O155">
        <v>0.62</v>
      </c>
      <c r="P155">
        <v>0.53</v>
      </c>
      <c r="Q155">
        <v>0.54</v>
      </c>
      <c r="R155">
        <v>0.51</v>
      </c>
      <c r="S155">
        <v>0.6</v>
      </c>
      <c r="T155" s="207">
        <f t="shared" si="173"/>
        <v>0.65</v>
      </c>
      <c r="U155">
        <v>0.57999999999999996</v>
      </c>
      <c r="V155">
        <v>0.53</v>
      </c>
      <c r="W155">
        <v>0.62</v>
      </c>
      <c r="X155">
        <v>0.56000000000000005</v>
      </c>
      <c r="Z155">
        <v>0.64</v>
      </c>
      <c r="AA155" s="207">
        <f t="shared" si="174"/>
        <v>0.65</v>
      </c>
      <c r="AB155">
        <v>0.56000000000000005</v>
      </c>
      <c r="AC155">
        <v>0.57999999999999996</v>
      </c>
      <c r="AD155">
        <v>0.5</v>
      </c>
      <c r="AE155">
        <v>0.56000000000000005</v>
      </c>
      <c r="AF155">
        <v>0.6</v>
      </c>
      <c r="AG155">
        <v>0.5</v>
      </c>
      <c r="AH155">
        <v>0.6</v>
      </c>
      <c r="AI155" s="207">
        <f t="shared" si="157"/>
        <v>0.53</v>
      </c>
      <c r="AJ155" s="207">
        <f t="shared" si="175"/>
        <v>0.54</v>
      </c>
      <c r="AK155" s="207">
        <f t="shared" si="175"/>
        <v>0.54</v>
      </c>
      <c r="AL155" s="207">
        <f t="shared" si="176"/>
        <v>0.53</v>
      </c>
      <c r="AM155" s="207">
        <f t="shared" si="175"/>
        <v>0.54</v>
      </c>
      <c r="AN155" s="666">
        <f t="shared" si="175"/>
        <v>0.54</v>
      </c>
    </row>
    <row r="156" spans="1:40">
      <c r="B156" s="677"/>
      <c r="C156" s="611" t="s">
        <v>533</v>
      </c>
      <c r="D156">
        <v>0.57999999999999996</v>
      </c>
      <c r="E156">
        <v>0.55000000000000004</v>
      </c>
      <c r="G156" s="207">
        <f t="shared" si="172"/>
        <v>0.64</v>
      </c>
      <c r="H156">
        <v>0.41</v>
      </c>
      <c r="J156">
        <v>0.64</v>
      </c>
      <c r="K156">
        <v>0.61</v>
      </c>
      <c r="L156">
        <v>0.52</v>
      </c>
      <c r="M156">
        <v>0.52</v>
      </c>
      <c r="N156">
        <v>0.61</v>
      </c>
      <c r="O156">
        <v>0.57999999999999996</v>
      </c>
      <c r="P156">
        <v>0.5</v>
      </c>
      <c r="Q156">
        <v>0.51</v>
      </c>
      <c r="S156">
        <v>0.56000000000000005</v>
      </c>
      <c r="T156" s="207">
        <f t="shared" si="173"/>
        <v>0.61</v>
      </c>
      <c r="U156">
        <v>0.54</v>
      </c>
      <c r="W156">
        <v>0.57999999999999996</v>
      </c>
      <c r="X156">
        <v>0.52</v>
      </c>
      <c r="Z156">
        <v>0.6</v>
      </c>
      <c r="AA156" s="207">
        <f t="shared" si="174"/>
        <v>0.61</v>
      </c>
      <c r="AB156">
        <v>0.52</v>
      </c>
      <c r="AC156">
        <v>0.54</v>
      </c>
      <c r="AD156">
        <v>0.47</v>
      </c>
      <c r="AE156">
        <v>0.52</v>
      </c>
      <c r="AF156">
        <v>0.56000000000000005</v>
      </c>
      <c r="AH156">
        <v>0.56000000000000005</v>
      </c>
      <c r="AI156" s="207">
        <f t="shared" si="157"/>
        <v>0.5</v>
      </c>
      <c r="AJ156" s="207">
        <f t="shared" si="175"/>
        <v>0.51</v>
      </c>
      <c r="AK156" s="207">
        <f t="shared" si="175"/>
        <v>0.51</v>
      </c>
      <c r="AL156" s="207">
        <f t="shared" si="176"/>
        <v>0.5</v>
      </c>
      <c r="AM156" s="207">
        <f t="shared" si="175"/>
        <v>0.51</v>
      </c>
      <c r="AN156" s="666">
        <f t="shared" si="175"/>
        <v>0.51</v>
      </c>
    </row>
    <row r="157" spans="1:40">
      <c r="B157" s="677"/>
      <c r="C157" s="611" t="s">
        <v>528</v>
      </c>
      <c r="D157">
        <v>0.6</v>
      </c>
      <c r="E157">
        <v>0.56999999999999995</v>
      </c>
      <c r="F157">
        <v>0.48</v>
      </c>
      <c r="G157" s="207">
        <f t="shared" si="172"/>
        <v>0.66</v>
      </c>
      <c r="H157">
        <v>0.42</v>
      </c>
      <c r="I157">
        <v>0.51</v>
      </c>
      <c r="J157">
        <v>0.66</v>
      </c>
      <c r="K157">
        <v>0.63</v>
      </c>
      <c r="L157">
        <v>0.54</v>
      </c>
      <c r="M157">
        <v>0.54</v>
      </c>
      <c r="N157">
        <v>0.63</v>
      </c>
      <c r="O157">
        <v>0.6</v>
      </c>
      <c r="P157">
        <v>0.51</v>
      </c>
      <c r="Q157">
        <v>0.52</v>
      </c>
      <c r="R157">
        <v>0.49</v>
      </c>
      <c r="S157">
        <v>0.57999999999999996</v>
      </c>
      <c r="T157" s="207">
        <f t="shared" si="173"/>
        <v>0.63</v>
      </c>
      <c r="U157">
        <v>0.56000000000000005</v>
      </c>
      <c r="V157">
        <v>0.51</v>
      </c>
      <c r="W157">
        <v>0.6</v>
      </c>
      <c r="X157">
        <v>0.54</v>
      </c>
      <c r="Y157">
        <v>0.45</v>
      </c>
      <c r="Z157">
        <v>0.61499999999999999</v>
      </c>
      <c r="AA157" s="207">
        <f t="shared" si="174"/>
        <v>0.63</v>
      </c>
      <c r="AB157">
        <v>0.54</v>
      </c>
      <c r="AC157">
        <v>0.56000000000000005</v>
      </c>
      <c r="AD157">
        <v>0.48</v>
      </c>
      <c r="AF157">
        <v>0.57999999999999996</v>
      </c>
      <c r="AG157">
        <v>0.48</v>
      </c>
      <c r="AH157">
        <v>0.57999999999999996</v>
      </c>
      <c r="AI157" s="207">
        <f t="shared" si="157"/>
        <v>0.51</v>
      </c>
      <c r="AJ157" s="207">
        <f t="shared" si="175"/>
        <v>0.52</v>
      </c>
      <c r="AK157" s="207">
        <f t="shared" si="175"/>
        <v>0.52</v>
      </c>
      <c r="AL157" s="207">
        <f t="shared" si="176"/>
        <v>0.51</v>
      </c>
      <c r="AM157" s="207">
        <f t="shared" si="175"/>
        <v>0.52</v>
      </c>
      <c r="AN157" s="666">
        <f t="shared" si="175"/>
        <v>0.52</v>
      </c>
    </row>
    <row r="158" spans="1:40">
      <c r="B158" s="677"/>
      <c r="C158" s="611" t="s">
        <v>536</v>
      </c>
      <c r="D158">
        <v>1</v>
      </c>
      <c r="E158">
        <v>1</v>
      </c>
      <c r="F158">
        <v>1</v>
      </c>
      <c r="G158" s="207">
        <f t="shared" si="172"/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 s="207">
        <f t="shared" si="173"/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 s="207">
        <f t="shared" si="174"/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 s="207">
        <f>$P158</f>
        <v>1</v>
      </c>
      <c r="AJ158" s="207">
        <f>$Q158</f>
        <v>1</v>
      </c>
      <c r="AK158" s="207">
        <f>$Q158</f>
        <v>1</v>
      </c>
      <c r="AL158" s="207">
        <f>$P158</f>
        <v>1</v>
      </c>
      <c r="AM158" s="207">
        <f>$Q158</f>
        <v>1</v>
      </c>
      <c r="AN158" s="666">
        <f>$Q158</f>
        <v>1</v>
      </c>
    </row>
    <row r="159" spans="1:40">
      <c r="B159" s="612"/>
      <c r="C159" s="613" t="s">
        <v>529</v>
      </c>
      <c r="D159" s="575">
        <v>0.51</v>
      </c>
      <c r="E159" s="575"/>
      <c r="F159" s="575">
        <v>0.41</v>
      </c>
      <c r="G159" s="669"/>
      <c r="H159" s="575"/>
      <c r="I159" s="575">
        <v>0.44</v>
      </c>
      <c r="J159" s="575"/>
      <c r="K159" s="575"/>
      <c r="L159" s="575"/>
      <c r="M159" s="575"/>
      <c r="N159" s="575"/>
      <c r="O159" s="575"/>
      <c r="P159" s="575"/>
      <c r="Q159" s="575"/>
      <c r="R159" s="575">
        <v>0.42</v>
      </c>
      <c r="S159" s="575">
        <v>0.5</v>
      </c>
      <c r="T159" s="669"/>
      <c r="U159" s="575"/>
      <c r="V159" s="575"/>
      <c r="W159" s="575"/>
      <c r="X159" s="575"/>
      <c r="Y159" s="575"/>
      <c r="Z159" s="575"/>
      <c r="AA159" s="669">
        <f>$D159</f>
        <v>0.51</v>
      </c>
      <c r="AB159" s="575">
        <v>0.46</v>
      </c>
      <c r="AC159" s="575"/>
      <c r="AD159" s="575"/>
      <c r="AE159" s="575"/>
      <c r="AF159" s="575"/>
      <c r="AG159" s="575"/>
      <c r="AH159" s="575">
        <v>0.5</v>
      </c>
      <c r="AI159" s="669"/>
      <c r="AJ159" s="669"/>
      <c r="AK159" s="669"/>
      <c r="AL159" s="669"/>
      <c r="AM159" s="669"/>
      <c r="AN159" s="670"/>
    </row>
    <row r="162" spans="1:40" ht="21">
      <c r="A162" s="3" t="s">
        <v>596</v>
      </c>
      <c r="B162" s="3"/>
      <c r="C162" s="3"/>
      <c r="D162">
        <v>2</v>
      </c>
      <c r="E162">
        <v>3</v>
      </c>
      <c r="F162">
        <v>4</v>
      </c>
      <c r="G162">
        <v>5</v>
      </c>
      <c r="H162">
        <v>6</v>
      </c>
      <c r="I162">
        <v>7</v>
      </c>
      <c r="J162">
        <v>8</v>
      </c>
      <c r="K162">
        <v>9</v>
      </c>
      <c r="L162">
        <v>10</v>
      </c>
      <c r="M162">
        <v>11</v>
      </c>
      <c r="N162">
        <v>12</v>
      </c>
      <c r="O162">
        <v>13</v>
      </c>
      <c r="P162">
        <v>14</v>
      </c>
      <c r="Q162">
        <v>15</v>
      </c>
      <c r="R162">
        <v>16</v>
      </c>
      <c r="S162">
        <v>17</v>
      </c>
      <c r="T162">
        <v>18</v>
      </c>
      <c r="U162">
        <v>19</v>
      </c>
      <c r="V162">
        <v>20</v>
      </c>
      <c r="W162">
        <v>21</v>
      </c>
      <c r="X162">
        <v>22</v>
      </c>
      <c r="Y162">
        <v>23</v>
      </c>
      <c r="Z162">
        <v>24</v>
      </c>
      <c r="AA162">
        <v>25</v>
      </c>
      <c r="AB162">
        <v>26</v>
      </c>
      <c r="AC162">
        <v>27</v>
      </c>
      <c r="AD162">
        <v>28</v>
      </c>
      <c r="AE162">
        <v>29</v>
      </c>
      <c r="AF162">
        <v>30</v>
      </c>
      <c r="AG162">
        <v>31</v>
      </c>
      <c r="AH162">
        <v>32</v>
      </c>
      <c r="AI162">
        <v>33</v>
      </c>
      <c r="AJ162">
        <v>34</v>
      </c>
      <c r="AK162">
        <v>35</v>
      </c>
      <c r="AL162">
        <v>36</v>
      </c>
      <c r="AM162">
        <v>37</v>
      </c>
      <c r="AN162">
        <v>38</v>
      </c>
    </row>
    <row r="163" spans="1:40">
      <c r="D163" s="663" t="s">
        <v>88</v>
      </c>
      <c r="E163" s="165" t="s">
        <v>89</v>
      </c>
      <c r="F163" s="165" t="s">
        <v>90</v>
      </c>
      <c r="G163" s="165" t="s">
        <v>91</v>
      </c>
      <c r="H163" s="165" t="s">
        <v>92</v>
      </c>
      <c r="I163" s="165" t="s">
        <v>93</v>
      </c>
      <c r="J163" s="165" t="s">
        <v>94</v>
      </c>
      <c r="K163" s="165" t="s">
        <v>95</v>
      </c>
      <c r="L163" s="165" t="s">
        <v>96</v>
      </c>
      <c r="M163" s="165" t="s">
        <v>97</v>
      </c>
      <c r="N163" s="165" t="s">
        <v>98</v>
      </c>
      <c r="O163" s="165" t="s">
        <v>99</v>
      </c>
      <c r="P163" s="165" t="s">
        <v>205</v>
      </c>
      <c r="Q163" s="165" t="s">
        <v>118</v>
      </c>
      <c r="R163" s="165" t="s">
        <v>100</v>
      </c>
      <c r="S163" s="165" t="s">
        <v>101</v>
      </c>
      <c r="T163" s="165" t="s">
        <v>102</v>
      </c>
      <c r="U163" s="165" t="s">
        <v>103</v>
      </c>
      <c r="V163" s="165" t="s">
        <v>104</v>
      </c>
      <c r="W163" s="165" t="s">
        <v>105</v>
      </c>
      <c r="X163" s="165" t="s">
        <v>106</v>
      </c>
      <c r="Y163" s="165" t="s">
        <v>107</v>
      </c>
      <c r="Z163" s="165" t="s">
        <v>108</v>
      </c>
      <c r="AA163" s="165" t="s">
        <v>109</v>
      </c>
      <c r="AB163" s="165" t="s">
        <v>110</v>
      </c>
      <c r="AC163" s="165" t="s">
        <v>111</v>
      </c>
      <c r="AD163" s="165" t="s">
        <v>112</v>
      </c>
      <c r="AE163" s="165" t="s">
        <v>113</v>
      </c>
      <c r="AF163" s="165" t="s">
        <v>114</v>
      </c>
      <c r="AG163" s="165" t="s">
        <v>115</v>
      </c>
      <c r="AH163" s="165" t="s">
        <v>52</v>
      </c>
      <c r="AI163" s="165" t="s">
        <v>116</v>
      </c>
      <c r="AJ163" s="165" t="s">
        <v>117</v>
      </c>
      <c r="AK163" s="165" t="s">
        <v>119</v>
      </c>
      <c r="AL163" s="165" t="s">
        <v>120</v>
      </c>
      <c r="AM163" s="165" t="s">
        <v>121</v>
      </c>
      <c r="AN163" s="166" t="s">
        <v>122</v>
      </c>
    </row>
    <row r="164" spans="1:40">
      <c r="B164" s="686" t="s">
        <v>524</v>
      </c>
      <c r="C164" s="687"/>
      <c r="D164" s="664"/>
      <c r="E164" s="665"/>
      <c r="F164" s="665"/>
      <c r="G164" s="665"/>
      <c r="H164" s="665"/>
      <c r="I164" s="665"/>
      <c r="J164" s="665"/>
      <c r="K164" s="665"/>
      <c r="L164" s="665"/>
      <c r="M164" s="665"/>
      <c r="N164" s="665"/>
      <c r="O164" s="665"/>
      <c r="P164" s="665"/>
      <c r="Q164" s="665"/>
      <c r="R164" s="665"/>
      <c r="S164" s="665"/>
      <c r="T164" s="665"/>
      <c r="U164" s="665"/>
      <c r="V164" s="665"/>
      <c r="W164" s="665"/>
      <c r="X164" s="665"/>
      <c r="Y164" s="665"/>
      <c r="Z164" s="665"/>
      <c r="AA164" s="665"/>
      <c r="AB164" s="665"/>
      <c r="AC164" s="665"/>
      <c r="AD164" s="665"/>
      <c r="AE164" s="665"/>
      <c r="AF164" s="665"/>
      <c r="AG164" s="665"/>
      <c r="AH164" s="665"/>
      <c r="AI164" s="665"/>
      <c r="AJ164" s="665"/>
      <c r="AK164" s="665"/>
      <c r="AL164" s="665"/>
      <c r="AM164" s="665"/>
      <c r="AN164" s="679"/>
    </row>
    <row r="165" spans="1:40">
      <c r="B165" s="688"/>
      <c r="C165" s="633" t="s">
        <v>526</v>
      </c>
      <c r="D165" s="680">
        <f t="shared" ref="D165:AN165" si="177">IFERROR(D103/D$102,"")</f>
        <v>3.2528660639388571E-2</v>
      </c>
      <c r="E165" s="681">
        <f t="shared" si="177"/>
        <v>0</v>
      </c>
      <c r="F165" s="681">
        <f t="shared" si="177"/>
        <v>3.7297118251076518E-2</v>
      </c>
      <c r="G165" s="681">
        <f t="shared" si="177"/>
        <v>0</v>
      </c>
      <c r="H165" s="681">
        <f t="shared" si="177"/>
        <v>0</v>
      </c>
      <c r="I165" s="681">
        <f t="shared" si="177"/>
        <v>2.0489119969189298E-2</v>
      </c>
      <c r="J165" s="681">
        <f t="shared" si="177"/>
        <v>0</v>
      </c>
      <c r="K165" s="681">
        <f t="shared" si="177"/>
        <v>0</v>
      </c>
      <c r="L165" s="681">
        <f t="shared" si="177"/>
        <v>4.4134727061556328E-2</v>
      </c>
      <c r="M165" s="681">
        <f t="shared" si="177"/>
        <v>9.3769188339733796E-3</v>
      </c>
      <c r="N165" s="681">
        <f t="shared" si="177"/>
        <v>0</v>
      </c>
      <c r="O165" s="681">
        <f t="shared" si="177"/>
        <v>0</v>
      </c>
      <c r="P165" s="681">
        <f t="shared" si="177"/>
        <v>3.245468218158791E-2</v>
      </c>
      <c r="Q165" s="681">
        <f t="shared" si="177"/>
        <v>0</v>
      </c>
      <c r="R165" s="681">
        <f t="shared" si="177"/>
        <v>2.0977460388306182E-2</v>
      </c>
      <c r="S165" s="681">
        <f t="shared" si="177"/>
        <v>0</v>
      </c>
      <c r="T165" s="681">
        <f t="shared" si="177"/>
        <v>0</v>
      </c>
      <c r="U165" s="681">
        <f t="shared" si="177"/>
        <v>0</v>
      </c>
      <c r="V165" s="681">
        <f t="shared" si="177"/>
        <v>8.8436431457880021E-2</v>
      </c>
      <c r="W165" s="681">
        <f t="shared" si="177"/>
        <v>0</v>
      </c>
      <c r="X165" s="681">
        <f t="shared" si="177"/>
        <v>0.19989281886387994</v>
      </c>
      <c r="Y165" s="681">
        <f t="shared" si="177"/>
        <v>0</v>
      </c>
      <c r="Z165" s="681">
        <f t="shared" si="177"/>
        <v>0</v>
      </c>
      <c r="AA165" s="681">
        <f t="shared" si="177"/>
        <v>0</v>
      </c>
      <c r="AB165" s="681">
        <f t="shared" si="177"/>
        <v>2.1339211387165991E-2</v>
      </c>
      <c r="AC165" s="681">
        <f t="shared" si="177"/>
        <v>0.1813155745429415</v>
      </c>
      <c r="AD165" s="681">
        <f t="shared" si="177"/>
        <v>0.2712003951918327</v>
      </c>
      <c r="AE165" s="681">
        <f t="shared" si="177"/>
        <v>0</v>
      </c>
      <c r="AF165" s="681">
        <f t="shared" si="177"/>
        <v>9.2509920634920625E-2</v>
      </c>
      <c r="AG165" s="681">
        <f t="shared" si="177"/>
        <v>0</v>
      </c>
      <c r="AH165" s="681">
        <f t="shared" si="177"/>
        <v>0</v>
      </c>
      <c r="AI165" s="681">
        <f t="shared" si="177"/>
        <v>4.8676695527937477E-2</v>
      </c>
      <c r="AJ165" s="681">
        <f t="shared" si="177"/>
        <v>0</v>
      </c>
      <c r="AK165" s="681">
        <f t="shared" si="177"/>
        <v>0.14735752342740049</v>
      </c>
      <c r="AL165" s="681">
        <f t="shared" si="177"/>
        <v>0</v>
      </c>
      <c r="AM165" s="681">
        <f t="shared" si="177"/>
        <v>0</v>
      </c>
      <c r="AN165" s="682">
        <f t="shared" si="177"/>
        <v>0</v>
      </c>
    </row>
    <row r="166" spans="1:40">
      <c r="B166" s="688"/>
      <c r="C166" s="633" t="s">
        <v>510</v>
      </c>
      <c r="D166" s="680">
        <f t="shared" ref="D166:AN166" si="178">IFERROR(D104/D$102,"")</f>
        <v>0.86955913878273838</v>
      </c>
      <c r="E166" s="681">
        <f t="shared" si="178"/>
        <v>0.73527628152534519</v>
      </c>
      <c r="F166" s="681">
        <f t="shared" si="178"/>
        <v>0.87466048360384241</v>
      </c>
      <c r="G166" s="681">
        <f t="shared" si="178"/>
        <v>0.9932290956493286</v>
      </c>
      <c r="H166" s="681">
        <f t="shared" si="178"/>
        <v>0.39722346618898341</v>
      </c>
      <c r="I166" s="681">
        <f t="shared" si="178"/>
        <v>0.78020412093202407</v>
      </c>
      <c r="J166" s="681">
        <f t="shared" si="178"/>
        <v>0.91216939162427479</v>
      </c>
      <c r="K166" s="681">
        <f t="shared" si="178"/>
        <v>0.94044029808293983</v>
      </c>
      <c r="L166" s="681">
        <f t="shared" si="178"/>
        <v>0.89941927990708481</v>
      </c>
      <c r="M166" s="681">
        <f t="shared" si="178"/>
        <v>0.58396036924870176</v>
      </c>
      <c r="N166" s="681">
        <f t="shared" si="178"/>
        <v>0.9872562762839302</v>
      </c>
      <c r="O166" s="681">
        <f t="shared" si="178"/>
        <v>0.75939470581198631</v>
      </c>
      <c r="P166" s="681">
        <f t="shared" si="178"/>
        <v>0.91648856170347492</v>
      </c>
      <c r="Q166" s="681">
        <f t="shared" si="178"/>
        <v>0.71775312066574204</v>
      </c>
      <c r="R166" s="681">
        <f t="shared" si="178"/>
        <v>0.48801606784199952</v>
      </c>
      <c r="S166" s="681">
        <f t="shared" si="178"/>
        <v>0.75992276335550313</v>
      </c>
      <c r="T166" s="681">
        <f t="shared" si="178"/>
        <v>0.97944156183575803</v>
      </c>
      <c r="U166" s="681">
        <f t="shared" si="178"/>
        <v>0.27181035829310563</v>
      </c>
      <c r="V166" s="681">
        <f t="shared" si="178"/>
        <v>0.71106621075536214</v>
      </c>
      <c r="W166" s="681">
        <f t="shared" si="178"/>
        <v>0.70769230769230773</v>
      </c>
      <c r="X166" s="681">
        <f t="shared" si="178"/>
        <v>0.55278670953912112</v>
      </c>
      <c r="Y166" s="681">
        <f t="shared" si="178"/>
        <v>0.44549763033175349</v>
      </c>
      <c r="Z166" s="681">
        <f t="shared" si="178"/>
        <v>0.64688446844947967</v>
      </c>
      <c r="AA166" s="681">
        <f t="shared" si="178"/>
        <v>0.99402796961587325</v>
      </c>
      <c r="AB166" s="681">
        <f t="shared" si="178"/>
        <v>0.60577565688424062</v>
      </c>
      <c r="AC166" s="681">
        <f t="shared" si="178"/>
        <v>0.43123704215618519</v>
      </c>
      <c r="AD166" s="681">
        <f t="shared" si="178"/>
        <v>0.15494813107195785</v>
      </c>
      <c r="AE166" s="681">
        <f t="shared" si="178"/>
        <v>0.99337447469049334</v>
      </c>
      <c r="AF166" s="681">
        <f t="shared" si="178"/>
        <v>0.59672619047619047</v>
      </c>
      <c r="AG166" s="681">
        <f t="shared" si="178"/>
        <v>0.65292096219931273</v>
      </c>
      <c r="AH166" s="681">
        <f t="shared" si="178"/>
        <v>0.57467028323210878</v>
      </c>
      <c r="AI166" s="681">
        <f t="shared" si="178"/>
        <v>0.71300678965629838</v>
      </c>
      <c r="AJ166" s="681">
        <f t="shared" si="178"/>
        <v>0.98225280917559532</v>
      </c>
      <c r="AK166" s="681">
        <f t="shared" si="178"/>
        <v>0.85264247657259939</v>
      </c>
      <c r="AL166" s="681">
        <f t="shared" si="178"/>
        <v>0.95667321047194476</v>
      </c>
      <c r="AM166" s="681">
        <f t="shared" si="178"/>
        <v>0.94490199337084457</v>
      </c>
      <c r="AN166" s="682">
        <f t="shared" si="178"/>
        <v>0.93340547561624088</v>
      </c>
    </row>
    <row r="167" spans="1:40">
      <c r="B167" s="688"/>
      <c r="C167" s="633" t="s">
        <v>527</v>
      </c>
      <c r="D167" s="680">
        <f t="shared" ref="D167:AN167" si="179">IFERROR(D105/D$102,"")</f>
        <v>6.389225463696524E-2</v>
      </c>
      <c r="E167" s="681">
        <f t="shared" si="179"/>
        <v>0.22527021724396248</v>
      </c>
      <c r="F167" s="681">
        <f t="shared" si="179"/>
        <v>1.2520702219277906E-2</v>
      </c>
      <c r="G167" s="681">
        <f t="shared" si="179"/>
        <v>6.7709043506714132E-3</v>
      </c>
      <c r="H167" s="681">
        <f t="shared" si="179"/>
        <v>0</v>
      </c>
      <c r="I167" s="681">
        <f t="shared" si="179"/>
        <v>0.19584055459272098</v>
      </c>
      <c r="J167" s="681">
        <f t="shared" si="179"/>
        <v>1.4232350346329282E-2</v>
      </c>
      <c r="K167" s="681">
        <f t="shared" si="179"/>
        <v>2.8158598327549921E-2</v>
      </c>
      <c r="L167" s="681">
        <f t="shared" si="179"/>
        <v>2.5319396051103372E-2</v>
      </c>
      <c r="M167" s="681">
        <f t="shared" si="179"/>
        <v>0.26850666583408789</v>
      </c>
      <c r="N167" s="681">
        <f t="shared" si="179"/>
        <v>2.8673378361157133E-3</v>
      </c>
      <c r="O167" s="681">
        <f t="shared" si="179"/>
        <v>0.12730915802245502</v>
      </c>
      <c r="P167" s="681">
        <f t="shared" si="179"/>
        <v>2.1451753344415424E-2</v>
      </c>
      <c r="Q167" s="681">
        <f t="shared" si="179"/>
        <v>0.13047354864275809</v>
      </c>
      <c r="R167" s="681">
        <f t="shared" si="179"/>
        <v>0.38187904485605889</v>
      </c>
      <c r="S167" s="681">
        <f t="shared" si="179"/>
        <v>0.15694057069298437</v>
      </c>
      <c r="T167" s="681">
        <f t="shared" si="179"/>
        <v>0</v>
      </c>
      <c r="U167" s="681">
        <f t="shared" si="179"/>
        <v>0.57181854019919209</v>
      </c>
      <c r="V167" s="681">
        <f t="shared" si="179"/>
        <v>4.7559838358719311E-2</v>
      </c>
      <c r="W167" s="681">
        <f t="shared" si="179"/>
        <v>0.24769230769230771</v>
      </c>
      <c r="X167" s="681">
        <f t="shared" si="179"/>
        <v>7.3687031082529469E-2</v>
      </c>
      <c r="Y167" s="681">
        <f t="shared" si="179"/>
        <v>0</v>
      </c>
      <c r="Z167" s="681">
        <f t="shared" si="179"/>
        <v>0.33126948579458132</v>
      </c>
      <c r="AA167" s="681">
        <f t="shared" si="179"/>
        <v>1.1116641313102551E-4</v>
      </c>
      <c r="AB167" s="681">
        <f t="shared" si="179"/>
        <v>0.11072940238483274</v>
      </c>
      <c r="AC167" s="681">
        <f t="shared" si="179"/>
        <v>8.1485204498335115E-2</v>
      </c>
      <c r="AD167" s="681">
        <f t="shared" si="179"/>
        <v>0.2993907459245842</v>
      </c>
      <c r="AE167" s="681">
        <f t="shared" si="179"/>
        <v>6.6255253095066826E-3</v>
      </c>
      <c r="AF167" s="681">
        <f t="shared" si="179"/>
        <v>8.4821428571428562E-2</v>
      </c>
      <c r="AG167" s="681">
        <f t="shared" si="179"/>
        <v>0.31079442086112796</v>
      </c>
      <c r="AH167" s="681">
        <f t="shared" si="179"/>
        <v>0.3941368398293924</v>
      </c>
      <c r="AI167" s="681">
        <f t="shared" si="179"/>
        <v>0</v>
      </c>
      <c r="AJ167" s="681">
        <f t="shared" si="179"/>
        <v>1.774719082440461E-2</v>
      </c>
      <c r="AK167" s="681">
        <f t="shared" si="179"/>
        <v>0</v>
      </c>
      <c r="AL167" s="681">
        <f t="shared" si="179"/>
        <v>0</v>
      </c>
      <c r="AM167" s="681">
        <f t="shared" si="179"/>
        <v>2.6442225277526467E-2</v>
      </c>
      <c r="AN167" s="682">
        <f t="shared" si="179"/>
        <v>0</v>
      </c>
    </row>
    <row r="168" spans="1:40">
      <c r="B168" s="688"/>
      <c r="C168" s="633" t="s">
        <v>528</v>
      </c>
      <c r="D168" s="680">
        <f t="shared" ref="D168:AN168" si="180">IFERROR(D106/D$102,"")</f>
        <v>3.3087892627458287E-2</v>
      </c>
      <c r="E168" s="681">
        <f t="shared" si="180"/>
        <v>3.9453501230692398E-2</v>
      </c>
      <c r="F168" s="681">
        <f t="shared" si="180"/>
        <v>5.5117588605498515E-2</v>
      </c>
      <c r="G168" s="681">
        <f t="shared" si="180"/>
        <v>0</v>
      </c>
      <c r="H168" s="681">
        <f t="shared" si="180"/>
        <v>0.60322436184505168</v>
      </c>
      <c r="I168" s="681">
        <f t="shared" si="180"/>
        <v>3.4662045060658586E-3</v>
      </c>
      <c r="J168" s="681">
        <f t="shared" si="180"/>
        <v>7.3598258029395749E-2</v>
      </c>
      <c r="K168" s="681">
        <f t="shared" si="180"/>
        <v>3.1401103589510204E-2</v>
      </c>
      <c r="L168" s="681">
        <f t="shared" si="180"/>
        <v>3.0894308943089435E-2</v>
      </c>
      <c r="M168" s="681">
        <f t="shared" si="180"/>
        <v>0.13343116134336594</v>
      </c>
      <c r="N168" s="681">
        <f t="shared" si="180"/>
        <v>9.8763858799541231E-3</v>
      </c>
      <c r="O168" s="681">
        <f t="shared" si="180"/>
        <v>0.11329613616555874</v>
      </c>
      <c r="P168" s="681">
        <f t="shared" si="180"/>
        <v>2.9578616850048815E-2</v>
      </c>
      <c r="Q168" s="681">
        <f t="shared" si="180"/>
        <v>0.15177333069149992</v>
      </c>
      <c r="R168" s="681">
        <f t="shared" si="180"/>
        <v>0.10814550323588484</v>
      </c>
      <c r="S168" s="681">
        <f t="shared" si="180"/>
        <v>8.3243939068869344E-2</v>
      </c>
      <c r="T168" s="681">
        <f t="shared" si="180"/>
        <v>2.0558438164242004E-2</v>
      </c>
      <c r="U168" s="681">
        <f t="shared" si="180"/>
        <v>0.15636366341125979</v>
      </c>
      <c r="V168" s="681">
        <f t="shared" si="180"/>
        <v>0.15293751942803854</v>
      </c>
      <c r="W168" s="681">
        <f t="shared" si="180"/>
        <v>4.3846153846153847E-2</v>
      </c>
      <c r="X168" s="681">
        <f t="shared" si="180"/>
        <v>0.17390139335476959</v>
      </c>
      <c r="Y168" s="681">
        <f t="shared" si="180"/>
        <v>0.55608214849921012</v>
      </c>
      <c r="Z168" s="681">
        <f t="shared" si="180"/>
        <v>2.1835067843498882E-2</v>
      </c>
      <c r="AA168" s="681">
        <f t="shared" si="180"/>
        <v>5.8608639709957925E-3</v>
      </c>
      <c r="AB168" s="681">
        <f t="shared" si="180"/>
        <v>0.19701251040579676</v>
      </c>
      <c r="AC168" s="681">
        <f t="shared" si="180"/>
        <v>0.30596217880253812</v>
      </c>
      <c r="AD168" s="681">
        <f t="shared" si="180"/>
        <v>0.27446072781162528</v>
      </c>
      <c r="AE168" s="681">
        <f t="shared" si="180"/>
        <v>0</v>
      </c>
      <c r="AF168" s="681">
        <f t="shared" si="180"/>
        <v>0.22594246031746029</v>
      </c>
      <c r="AG168" s="681">
        <f t="shared" si="180"/>
        <v>3.6284616939559332E-2</v>
      </c>
      <c r="AH168" s="681">
        <f t="shared" si="180"/>
        <v>3.1192876938498728E-2</v>
      </c>
      <c r="AI168" s="681">
        <f t="shared" si="180"/>
        <v>0.23831651481576419</v>
      </c>
      <c r="AJ168" s="681">
        <f t="shared" si="180"/>
        <v>0</v>
      </c>
      <c r="AK168" s="681">
        <f t="shared" si="180"/>
        <v>0</v>
      </c>
      <c r="AL168" s="681">
        <f t="shared" si="180"/>
        <v>4.3326789528055284E-2</v>
      </c>
      <c r="AM168" s="681">
        <f t="shared" si="180"/>
        <v>2.865578135162887E-2</v>
      </c>
      <c r="AN168" s="682">
        <f t="shared" si="180"/>
        <v>6.6594524383759096E-2</v>
      </c>
    </row>
    <row r="169" spans="1:40">
      <c r="B169" s="618"/>
      <c r="C169" s="619" t="s">
        <v>529</v>
      </c>
      <c r="D169" s="683">
        <f t="shared" ref="D169:AN169" si="181">IFERROR(D107/D$102,"")</f>
        <v>9.3205331344952921E-4</v>
      </c>
      <c r="E169" s="684">
        <f t="shared" si="181"/>
        <v>0</v>
      </c>
      <c r="F169" s="684">
        <f t="shared" si="181"/>
        <v>2.0404107320304735E-2</v>
      </c>
      <c r="G169" s="684">
        <f t="shared" si="181"/>
        <v>0</v>
      </c>
      <c r="H169" s="684">
        <f t="shared" si="181"/>
        <v>0</v>
      </c>
      <c r="I169" s="684">
        <f t="shared" si="181"/>
        <v>0</v>
      </c>
      <c r="J169" s="684">
        <f t="shared" si="181"/>
        <v>0</v>
      </c>
      <c r="K169" s="684">
        <f t="shared" si="181"/>
        <v>0</v>
      </c>
      <c r="L169" s="684">
        <f t="shared" si="181"/>
        <v>0</v>
      </c>
      <c r="M169" s="684">
        <f t="shared" si="181"/>
        <v>4.7248847398711586E-3</v>
      </c>
      <c r="N169" s="684">
        <f t="shared" si="181"/>
        <v>0</v>
      </c>
      <c r="O169" s="684">
        <f t="shared" si="181"/>
        <v>0</v>
      </c>
      <c r="P169" s="684">
        <f t="shared" si="181"/>
        <v>0</v>
      </c>
      <c r="Q169" s="684">
        <f t="shared" si="181"/>
        <v>0</v>
      </c>
      <c r="R169" s="684">
        <f t="shared" si="181"/>
        <v>9.8192367775050199E-4</v>
      </c>
      <c r="S169" s="684">
        <f t="shared" si="181"/>
        <v>0</v>
      </c>
      <c r="T169" s="684">
        <f t="shared" si="181"/>
        <v>0</v>
      </c>
      <c r="U169" s="684">
        <f t="shared" si="181"/>
        <v>0</v>
      </c>
      <c r="V169" s="684">
        <f t="shared" si="181"/>
        <v>0</v>
      </c>
      <c r="W169" s="684">
        <f t="shared" si="181"/>
        <v>0</v>
      </c>
      <c r="X169" s="684">
        <f t="shared" si="181"/>
        <v>0</v>
      </c>
      <c r="Y169" s="684">
        <f t="shared" si="181"/>
        <v>0</v>
      </c>
      <c r="Z169" s="684">
        <f t="shared" si="181"/>
        <v>0</v>
      </c>
      <c r="AA169" s="684">
        <f t="shared" si="181"/>
        <v>0</v>
      </c>
      <c r="AB169" s="684">
        <f t="shared" si="181"/>
        <v>6.5143218937963862E-2</v>
      </c>
      <c r="AC169" s="684">
        <f t="shared" si="181"/>
        <v>0</v>
      </c>
      <c r="AD169" s="684">
        <f t="shared" si="181"/>
        <v>0</v>
      </c>
      <c r="AE169" s="684">
        <f t="shared" si="181"/>
        <v>0</v>
      </c>
      <c r="AF169" s="684">
        <f t="shared" si="181"/>
        <v>0</v>
      </c>
      <c r="AG169" s="684">
        <f t="shared" si="181"/>
        <v>0</v>
      </c>
      <c r="AH169" s="684">
        <f t="shared" si="181"/>
        <v>0</v>
      </c>
      <c r="AI169" s="684">
        <f t="shared" si="181"/>
        <v>0</v>
      </c>
      <c r="AJ169" s="684">
        <f t="shared" si="181"/>
        <v>0</v>
      </c>
      <c r="AK169" s="684">
        <f t="shared" si="181"/>
        <v>0</v>
      </c>
      <c r="AL169" s="684">
        <f t="shared" si="181"/>
        <v>0</v>
      </c>
      <c r="AM169" s="684">
        <f t="shared" si="181"/>
        <v>0</v>
      </c>
      <c r="AN169" s="685">
        <f t="shared" si="181"/>
        <v>0</v>
      </c>
    </row>
    <row r="170" spans="1:40">
      <c r="B170" s="688" t="s">
        <v>530</v>
      </c>
      <c r="C170" s="689"/>
      <c r="D170" s="517"/>
      <c r="AN170" s="607"/>
    </row>
    <row r="171" spans="1:40">
      <c r="B171" s="618"/>
      <c r="C171" s="619" t="s">
        <v>510</v>
      </c>
      <c r="D171" s="683">
        <v>1</v>
      </c>
      <c r="E171" s="684">
        <v>1</v>
      </c>
      <c r="F171" s="684">
        <v>1</v>
      </c>
      <c r="G171" s="684">
        <v>1</v>
      </c>
      <c r="H171" s="684">
        <v>1</v>
      </c>
      <c r="I171" s="684">
        <v>1</v>
      </c>
      <c r="J171" s="684">
        <v>1</v>
      </c>
      <c r="K171" s="684">
        <v>1</v>
      </c>
      <c r="L171" s="684">
        <v>1</v>
      </c>
      <c r="M171" s="684">
        <v>1</v>
      </c>
      <c r="N171" s="684">
        <v>1</v>
      </c>
      <c r="O171" s="684">
        <v>1</v>
      </c>
      <c r="P171" s="684">
        <v>1</v>
      </c>
      <c r="Q171" s="684">
        <v>1</v>
      </c>
      <c r="R171" s="684">
        <v>1</v>
      </c>
      <c r="S171" s="684">
        <v>1</v>
      </c>
      <c r="T171" s="684">
        <v>1</v>
      </c>
      <c r="U171" s="684">
        <v>1</v>
      </c>
      <c r="V171" s="684">
        <v>1</v>
      </c>
      <c r="W171" s="684">
        <v>1</v>
      </c>
      <c r="X171" s="684">
        <v>1</v>
      </c>
      <c r="Y171" s="684">
        <v>1</v>
      </c>
      <c r="Z171" s="684">
        <v>1</v>
      </c>
      <c r="AA171" s="684">
        <v>1</v>
      </c>
      <c r="AB171" s="684">
        <v>1</v>
      </c>
      <c r="AC171" s="684">
        <v>1</v>
      </c>
      <c r="AD171" s="684">
        <v>1</v>
      </c>
      <c r="AE171" s="684">
        <v>1</v>
      </c>
      <c r="AF171" s="684">
        <v>1</v>
      </c>
      <c r="AG171" s="684">
        <v>1</v>
      </c>
      <c r="AH171" s="684">
        <v>1</v>
      </c>
      <c r="AI171" s="684">
        <v>1</v>
      </c>
      <c r="AJ171" s="684">
        <v>1</v>
      </c>
      <c r="AK171" s="684">
        <v>1</v>
      </c>
      <c r="AL171" s="684">
        <v>1</v>
      </c>
      <c r="AM171" s="684">
        <v>1</v>
      </c>
      <c r="AN171" s="685">
        <v>1</v>
      </c>
    </row>
    <row r="172" spans="1:40">
      <c r="A172" s="764"/>
      <c r="B172" s="688" t="s">
        <v>531</v>
      </c>
      <c r="C172" s="689"/>
      <c r="D172" s="517"/>
      <c r="AE172" s="681"/>
      <c r="AN172" s="607"/>
    </row>
    <row r="173" spans="1:40">
      <c r="A173" s="764"/>
      <c r="B173" s="688"/>
      <c r="C173" s="633" t="s">
        <v>526</v>
      </c>
      <c r="D173" s="681">
        <f ca="1">'IDEES okt 2017'!C28/'IDEES okt 2017'!C$23</f>
        <v>0.26139755430803785</v>
      </c>
      <c r="E173" s="681">
        <f ca="1">'IDEES okt 2017'!D28/'IDEES okt 2017'!D$23</f>
        <v>5.6697226710013114E-2</v>
      </c>
      <c r="F173" s="681">
        <f ca="1">'IDEES okt 2017'!E28/'IDEES okt 2017'!E$23</f>
        <v>0.45516940451343946</v>
      </c>
      <c r="G173" s="849">
        <f t="shared" ref="G173:AA173" si="182">IFERROR(G111/G$110,"")</f>
        <v>8.7926953464313173E-2</v>
      </c>
      <c r="H173" s="681">
        <f ca="1">'IDEES okt 2017'!G28/'IDEES okt 2017'!G$23</f>
        <v>4.2298008697642483E-2</v>
      </c>
      <c r="I173" s="681">
        <f ca="1">'IDEES okt 2017'!H28/'IDEES okt 2017'!H$23</f>
        <v>0.21497000246223888</v>
      </c>
      <c r="J173" s="681">
        <f ca="1">'IDEES okt 2017'!I28/'IDEES okt 2017'!I$23</f>
        <v>9.9980568688010599E-2</v>
      </c>
      <c r="K173" s="681">
        <f ca="1">'IDEES okt 2017'!J28/'IDEES okt 2017'!J$23</f>
        <v>0.17625305557432466</v>
      </c>
      <c r="L173" s="681">
        <f ca="1">'IDEES okt 2017'!K28/'IDEES okt 2017'!K$23</f>
        <v>0.36769851927427716</v>
      </c>
      <c r="M173" s="681">
        <f ca="1">'IDEES okt 2017'!L28/'IDEES okt 2017'!L$23</f>
        <v>0.21981325841938013</v>
      </c>
      <c r="N173" s="681">
        <f ca="1">'IDEES okt 2017'!M28/'IDEES okt 2017'!M$23</f>
        <v>0.21692518069308131</v>
      </c>
      <c r="O173" s="681">
        <f ca="1">'IDEES okt 2017'!N28/'IDEES okt 2017'!N$23</f>
        <v>0.19294492992474391</v>
      </c>
      <c r="P173" s="681">
        <f ca="1">'IDEES okt 2017'!O28/'IDEES okt 2017'!O$23</f>
        <v>0.17552438700542114</v>
      </c>
      <c r="Q173" s="681">
        <f ca="1">'IDEES okt 2017'!P28/'IDEES okt 2017'!P$23</f>
        <v>0.53250988199798377</v>
      </c>
      <c r="R173" s="681">
        <f ca="1">'IDEES okt 2017'!Q28/'IDEES okt 2017'!Q$23</f>
        <v>0.24401240936089352</v>
      </c>
      <c r="S173" s="681">
        <f ca="1">'IDEES okt 2017'!R28/'IDEES okt 2017'!R$23</f>
        <v>9.1067827931305828E-3</v>
      </c>
      <c r="T173" s="849">
        <f t="shared" si="182"/>
        <v>0</v>
      </c>
      <c r="U173" s="681">
        <f ca="1">'IDEES okt 2017'!T28/'IDEES okt 2017'!T$23</f>
        <v>0.23145638905167282</v>
      </c>
      <c r="V173" s="681">
        <f ca="1">'IDEES okt 2017'!U28/'IDEES okt 2017'!U$23</f>
        <v>0.34099630578850632</v>
      </c>
      <c r="W173" s="681">
        <f ca="1">'IDEES okt 2017'!V28/'IDEES okt 2017'!V$23</f>
        <v>3.2696946446213022E-2</v>
      </c>
      <c r="X173" s="681">
        <f ca="1">'IDEES okt 2017'!W28/'IDEES okt 2017'!W$23</f>
        <v>0.42862369677934925</v>
      </c>
      <c r="Y173" s="681">
        <f ca="1">'IDEES okt 2017'!X28/'IDEES okt 2017'!X$23</f>
        <v>8.7492009692428901E-2</v>
      </c>
      <c r="Z173" s="681">
        <f ca="1">'IDEES okt 2017'!Y28/'IDEES okt 2017'!Y$23</f>
        <v>3.8058600671397318E-2</v>
      </c>
      <c r="AA173" s="849">
        <f t="shared" si="182"/>
        <v>0.28181387847564932</v>
      </c>
      <c r="AB173" s="681">
        <f ca="1">'IDEES okt 2017'!AA28/'IDEES okt 2017'!AA$23</f>
        <v>0.11937284513534714</v>
      </c>
      <c r="AC173" s="681">
        <f ca="1">'IDEES okt 2017'!AB28/'IDEES okt 2017'!AB$23</f>
        <v>0.64921001539749812</v>
      </c>
      <c r="AD173" s="681">
        <f ca="1">'IDEES okt 2017'!AC28/'IDEES okt 2017'!AC$23</f>
        <v>0.4120735899966444</v>
      </c>
      <c r="AE173" s="681">
        <f ca="1">'IDEES okt 2017'!AD28/'IDEES okt 2017'!AD$23</f>
        <v>5.9018510308427266E-2</v>
      </c>
      <c r="AF173" s="681">
        <f ca="1">'IDEES okt 2017'!AE28/'IDEES okt 2017'!AE$23</f>
        <v>0.45956587045906266</v>
      </c>
      <c r="AG173" s="681">
        <f ca="1">'IDEES okt 2017'!AF28/'IDEES okt 2017'!AF$23</f>
        <v>1.7974825398349145E-2</v>
      </c>
      <c r="AH173" s="681">
        <f ca="1">'IDEES okt 2017'!AG28/'IDEES okt 2017'!AG$23</f>
        <v>2.4331136170228994E-2</v>
      </c>
      <c r="AI173" s="849">
        <f t="shared" ref="AI173:AN173" si="183">IFERROR(AI111/AI$110,"")</f>
        <v>0.92460297269300995</v>
      </c>
      <c r="AJ173" s="849">
        <f t="shared" si="183"/>
        <v>0.37562947534762592</v>
      </c>
      <c r="AK173" s="849">
        <f t="shared" si="183"/>
        <v>0.97940188953008178</v>
      </c>
      <c r="AL173" s="849">
        <f t="shared" si="183"/>
        <v>0.67361616431632132</v>
      </c>
      <c r="AM173" s="849">
        <f t="shared" si="183"/>
        <v>0.49219973518574855</v>
      </c>
      <c r="AN173" s="851">
        <f t="shared" si="183"/>
        <v>0.81714294325166026</v>
      </c>
    </row>
    <row r="174" spans="1:40">
      <c r="A174" s="764"/>
      <c r="B174" s="688"/>
      <c r="C174" s="633" t="s">
        <v>532</v>
      </c>
      <c r="D174" s="681">
        <f ca="1">'IDEES okt 2017'!C30/'IDEES okt 2017'!C$23</f>
        <v>0.15331411400930309</v>
      </c>
      <c r="E174" s="681">
        <f ca="1">'IDEES okt 2017'!D30/'IDEES okt 2017'!D$23</f>
        <v>2.3952995184724078E-3</v>
      </c>
      <c r="F174" s="681">
        <f ca="1">'IDEES okt 2017'!E30/'IDEES okt 2017'!E$23</f>
        <v>0.31431698236554023</v>
      </c>
      <c r="G174" s="849">
        <f t="shared" ref="G174:AA175" si="184">IFERROR(G112/G$110,"")</f>
        <v>4.0843484925607548E-2</v>
      </c>
      <c r="H174" s="681">
        <f ca="1">'IDEES okt 2017'!G30/'IDEES okt 2017'!G$23</f>
        <v>0</v>
      </c>
      <c r="I174" s="681">
        <f ca="1">'IDEES okt 2017'!H30/'IDEES okt 2017'!H$23</f>
        <v>0.26123292733559755</v>
      </c>
      <c r="J174" s="681">
        <f ca="1">'IDEES okt 2017'!I30/'IDEES okt 2017'!I$23</f>
        <v>0.11529066144361448</v>
      </c>
      <c r="K174" s="681">
        <f ca="1">'IDEES okt 2017'!J30/'IDEES okt 2017'!J$23</f>
        <v>0.5342869255557412</v>
      </c>
      <c r="L174" s="681">
        <f ca="1">'IDEES okt 2017'!K30/'IDEES okt 2017'!K$23</f>
        <v>0.48579229001597729</v>
      </c>
      <c r="M174" s="681">
        <f ca="1">'IDEES okt 2017'!L30/'IDEES okt 2017'!L$23</f>
        <v>0</v>
      </c>
      <c r="N174" s="681">
        <f ca="1">'IDEES okt 2017'!M30/'IDEES okt 2017'!M$23</f>
        <v>0.4108558881175936</v>
      </c>
      <c r="O174" s="681">
        <f ca="1">'IDEES okt 2017'!N30/'IDEES okt 2017'!N$23</f>
        <v>7.1982886122224254E-2</v>
      </c>
      <c r="P174" s="681">
        <f ca="1">'IDEES okt 2017'!O30/'IDEES okt 2017'!O$23</f>
        <v>1.928326264407234E-2</v>
      </c>
      <c r="Q174" s="681">
        <f ca="1">'IDEES okt 2017'!P30/'IDEES okt 2017'!P$23</f>
        <v>0.10213714978153879</v>
      </c>
      <c r="R174" s="681">
        <f ca="1">'IDEES okt 2017'!Q30/'IDEES okt 2017'!Q$23</f>
        <v>0.1350307049621568</v>
      </c>
      <c r="S174" s="681">
        <f ca="1">'IDEES okt 2017'!R30/'IDEES okt 2017'!R$23</f>
        <v>0</v>
      </c>
      <c r="T174" s="849">
        <f>IFERROR(T112/T$110,"")</f>
        <v>0.42794655273453103</v>
      </c>
      <c r="U174" s="681">
        <f ca="1">'IDEES okt 2017'!T30/'IDEES okt 2017'!T$23</f>
        <v>5.9744167784799053E-3</v>
      </c>
      <c r="V174" s="681">
        <f ca="1">'IDEES okt 2017'!U30/'IDEES okt 2017'!U$23</f>
        <v>0.50322906194432382</v>
      </c>
      <c r="W174" s="681">
        <f ca="1">'IDEES okt 2017'!V30/'IDEES okt 2017'!V$23</f>
        <v>0</v>
      </c>
      <c r="X174" s="681">
        <f ca="1">'IDEES okt 2017'!W30/'IDEES okt 2017'!W$23</f>
        <v>0.43727234291661249</v>
      </c>
      <c r="Y174" s="681">
        <f ca="1">'IDEES okt 2017'!X30/'IDEES okt 2017'!X$23</f>
        <v>0</v>
      </c>
      <c r="Z174" s="681">
        <f ca="1">'IDEES okt 2017'!Y30/'IDEES okt 2017'!Y$23</f>
        <v>3.7422846581219145E-2</v>
      </c>
      <c r="AA174" s="849">
        <f t="shared" si="184"/>
        <v>5.295301489164797E-2</v>
      </c>
      <c r="AB174" s="681">
        <f ca="1">'IDEES okt 2017'!AA30/'IDEES okt 2017'!AA$23</f>
        <v>0.34196642480598399</v>
      </c>
      <c r="AC174" s="681">
        <f ca="1">'IDEES okt 2017'!AB30/'IDEES okt 2017'!AB$23</f>
        <v>1.4524414011898008E-3</v>
      </c>
      <c r="AD174" s="681">
        <f ca="1">'IDEES okt 2017'!AC30/'IDEES okt 2017'!AC$23</f>
        <v>0.23973031404564049</v>
      </c>
      <c r="AE174" s="681">
        <f ca="1">'IDEES okt 2017'!AD30/'IDEES okt 2017'!AD$23</f>
        <v>0.50377473380844129</v>
      </c>
      <c r="AF174" s="681">
        <f ca="1">'IDEES okt 2017'!AE30/'IDEES okt 2017'!AE$23</f>
        <v>0.12831198256199139</v>
      </c>
      <c r="AG174" s="681">
        <f ca="1">'IDEES okt 2017'!AF30/'IDEES okt 2017'!AF$23</f>
        <v>0.312309611900351</v>
      </c>
      <c r="AH174" s="681">
        <f ca="1">'IDEES okt 2017'!AG30/'IDEES okt 2017'!AG$23</f>
        <v>1.8438843349418911E-3</v>
      </c>
      <c r="AI174" s="849">
        <f t="shared" ref="AI174:AN175" si="185">IFERROR(AI112/AI$110,"")</f>
        <v>0</v>
      </c>
      <c r="AJ174" s="849">
        <f t="shared" si="185"/>
        <v>0.26891601621425648</v>
      </c>
      <c r="AK174" s="849">
        <f t="shared" si="185"/>
        <v>0</v>
      </c>
      <c r="AL174" s="849">
        <f t="shared" si="185"/>
        <v>0.16890272420666202</v>
      </c>
      <c r="AM174" s="849">
        <f t="shared" si="185"/>
        <v>0.25416190711814313</v>
      </c>
      <c r="AN174" s="851">
        <f t="shared" si="185"/>
        <v>1.713241475569607E-2</v>
      </c>
    </row>
    <row r="175" spans="1:40">
      <c r="A175" s="764"/>
      <c r="B175" s="688"/>
      <c r="C175" s="633" t="s">
        <v>966</v>
      </c>
      <c r="D175" s="797">
        <f ca="1">'IDEES okt 2017'!C31/'IDEES okt 2017'!C$23</f>
        <v>3.0562709596930335E-2</v>
      </c>
      <c r="E175" s="797">
        <f ca="1">'IDEES okt 2017'!D31/'IDEES okt 2017'!D$23</f>
        <v>1.4042900405778554E-3</v>
      </c>
      <c r="F175" s="797">
        <f ca="1">'IDEES okt 2017'!E31/'IDEES okt 2017'!E$23</f>
        <v>0</v>
      </c>
      <c r="G175" s="849">
        <f t="shared" si="184"/>
        <v>0</v>
      </c>
      <c r="H175" s="797">
        <f ca="1">'IDEES okt 2017'!G31/'IDEES okt 2017'!G$23</f>
        <v>0</v>
      </c>
      <c r="I175" s="797">
        <f ca="1">'IDEES okt 2017'!H31/'IDEES okt 2017'!H$23</f>
        <v>4.8053131554930449E-3</v>
      </c>
      <c r="J175" s="797">
        <f ca="1">'IDEES okt 2017'!I31/'IDEES okt 2017'!I$23</f>
        <v>1.0166363008583734E-2</v>
      </c>
      <c r="K175" s="797">
        <f ca="1">'IDEES okt 2017'!J31/'IDEES okt 2017'!J$23</f>
        <v>2.3088845349249893E-2</v>
      </c>
      <c r="L175" s="797">
        <f ca="1">'IDEES okt 2017'!K31/'IDEES okt 2017'!K$23</f>
        <v>6.0733249439857577E-2</v>
      </c>
      <c r="M175" s="797">
        <f ca="1">'IDEES okt 2017'!L31/'IDEES okt 2017'!L$23</f>
        <v>6.3645954239453344E-3</v>
      </c>
      <c r="N175" s="797">
        <f ca="1">'IDEES okt 2017'!M31/'IDEES okt 2017'!M$23</f>
        <v>0.13573749499799917</v>
      </c>
      <c r="O175" s="797">
        <f ca="1">'IDEES okt 2017'!N31/'IDEES okt 2017'!N$23</f>
        <v>3.1682746121179432E-2</v>
      </c>
      <c r="P175" s="797">
        <f ca="1">'IDEES okt 2017'!O31/'IDEES okt 2017'!O$23</f>
        <v>0</v>
      </c>
      <c r="Q175" s="797">
        <f ca="1">'IDEES okt 2017'!P31/'IDEES okt 2017'!P$23</f>
        <v>0</v>
      </c>
      <c r="R175" s="797">
        <f ca="1">'IDEES okt 2017'!Q31/'IDEES okt 2017'!Q$23</f>
        <v>2.7845022369561874E-4</v>
      </c>
      <c r="S175" s="797">
        <f ca="1">'IDEES okt 2017'!R31/'IDEES okt 2017'!R$23</f>
        <v>1.6791093378469553E-3</v>
      </c>
      <c r="T175" s="849">
        <f>IFERROR(T113/T$110,"")</f>
        <v>0</v>
      </c>
      <c r="U175" s="797">
        <f ca="1">'IDEES okt 2017'!T31/'IDEES okt 2017'!T$23</f>
        <v>3.1280243597610426E-2</v>
      </c>
      <c r="V175" s="797">
        <f ca="1">'IDEES okt 2017'!U31/'IDEES okt 2017'!U$23</f>
        <v>9.5799204027608993E-4</v>
      </c>
      <c r="W175" s="797">
        <f ca="1">'IDEES okt 2017'!V31/'IDEES okt 2017'!V$23</f>
        <v>0</v>
      </c>
      <c r="X175" s="797">
        <f ca="1">'IDEES okt 2017'!W31/'IDEES okt 2017'!W$23</f>
        <v>0</v>
      </c>
      <c r="Y175" s="797">
        <f ca="1">'IDEES okt 2017'!X31/'IDEES okt 2017'!X$23</f>
        <v>0</v>
      </c>
      <c r="Z175" s="797">
        <f ca="1">'IDEES okt 2017'!Y31/'IDEES okt 2017'!Y$23</f>
        <v>4.8677863712670638E-3</v>
      </c>
      <c r="AA175" s="849">
        <f>IFERROR(AA113/AA$110,"")</f>
        <v>0</v>
      </c>
      <c r="AB175" s="797">
        <f ca="1">'IDEES okt 2017'!AA31/'IDEES okt 2017'!AA$23</f>
        <v>4.705182286675394E-4</v>
      </c>
      <c r="AC175" s="797">
        <f ca="1">'IDEES okt 2017'!AB31/'IDEES okt 2017'!AB$23</f>
        <v>3.9566655848862452E-2</v>
      </c>
      <c r="AD175" s="797">
        <f ca="1">'IDEES okt 2017'!AC31/'IDEES okt 2017'!AC$23</f>
        <v>0</v>
      </c>
      <c r="AE175" s="797">
        <f ca="1">'IDEES okt 2017'!AD31/'IDEES okt 2017'!AD$23</f>
        <v>0.2090129465857139</v>
      </c>
      <c r="AF175" s="797">
        <f ca="1">'IDEES okt 2017'!AE31/'IDEES okt 2017'!AE$23</f>
        <v>0</v>
      </c>
      <c r="AG175" s="797">
        <f ca="1">'IDEES okt 2017'!AF31/'IDEES okt 2017'!AF$23</f>
        <v>1.0598302200127466E-3</v>
      </c>
      <c r="AH175" s="797">
        <f ca="1">'IDEES okt 2017'!AG31/'IDEES okt 2017'!AG$23</f>
        <v>1.9744879451197399E-3</v>
      </c>
      <c r="AI175" s="849">
        <f t="shared" si="185"/>
        <v>0</v>
      </c>
      <c r="AJ175" s="849">
        <f t="shared" si="185"/>
        <v>0</v>
      </c>
      <c r="AK175" s="849">
        <f t="shared" si="185"/>
        <v>0</v>
      </c>
      <c r="AL175" s="849">
        <f t="shared" si="185"/>
        <v>0</v>
      </c>
      <c r="AM175" s="849">
        <f t="shared" si="185"/>
        <v>0</v>
      </c>
      <c r="AN175" s="851">
        <f t="shared" si="185"/>
        <v>0</v>
      </c>
    </row>
    <row r="176" spans="1:40">
      <c r="A176" s="764"/>
      <c r="B176" s="688"/>
      <c r="C176" s="633" t="s">
        <v>510</v>
      </c>
      <c r="D176" s="797">
        <f ca="1">'IDEES okt 2017'!C32/'IDEES okt 2017'!C$23</f>
        <v>7.5201845703904882E-2</v>
      </c>
      <c r="E176" s="797">
        <f ca="1">'IDEES okt 2017'!D32/'IDEES okt 2017'!D$23</f>
        <v>3.9170030171617187E-2</v>
      </c>
      <c r="F176" s="797">
        <f ca="1">'IDEES okt 2017'!E32/'IDEES okt 2017'!E$23</f>
        <v>7.0435008363289725E-2</v>
      </c>
      <c r="G176" s="849">
        <f t="shared" ref="G176:T176" si="186">IFERROR(G114/G$110,"")</f>
        <v>6.1051381481311243E-2</v>
      </c>
      <c r="H176" s="797">
        <f ca="1">'IDEES okt 2017'!G32/'IDEES okt 2017'!G$23</f>
        <v>0.12959487296864272</v>
      </c>
      <c r="I176" s="797">
        <f ca="1">'IDEES okt 2017'!H32/'IDEES okt 2017'!H$23</f>
        <v>4.9380293212805161E-2</v>
      </c>
      <c r="J176" s="797">
        <f ca="1">'IDEES okt 2017'!I32/'IDEES okt 2017'!I$23</f>
        <v>4.7748414310224432E-2</v>
      </c>
      <c r="K176" s="797">
        <f ca="1">'IDEES okt 2017'!J32/'IDEES okt 2017'!J$23</f>
        <v>8.1759641831654906E-3</v>
      </c>
      <c r="L176" s="797">
        <f ca="1">'IDEES okt 2017'!K32/'IDEES okt 2017'!K$23</f>
        <v>1.6965862762480591E-2</v>
      </c>
      <c r="M176" s="797">
        <f ca="1">'IDEES okt 2017'!L32/'IDEES okt 2017'!L$23</f>
        <v>0.16569727256154407</v>
      </c>
      <c r="N176" s="797">
        <f ca="1">'IDEES okt 2017'!M32/'IDEES okt 2017'!M$23</f>
        <v>0.10810402930124301</v>
      </c>
      <c r="O176" s="797">
        <f ca="1">'IDEES okt 2017'!N32/'IDEES okt 2017'!N$23</f>
        <v>9.6233169807885974E-2</v>
      </c>
      <c r="P176" s="797">
        <f ca="1">'IDEES okt 2017'!O32/'IDEES okt 2017'!O$23</f>
        <v>1.6076188421441619E-2</v>
      </c>
      <c r="Q176" s="797">
        <f ca="1">'IDEES okt 2017'!P32/'IDEES okt 2017'!P$23</f>
        <v>5.0889137335361993E-3</v>
      </c>
      <c r="R176" s="797">
        <f ca="1">'IDEES okt 2017'!Q32/'IDEES okt 2017'!Q$23</f>
        <v>3.6217583992691635E-2</v>
      </c>
      <c r="S176" s="797">
        <f ca="1">'IDEES okt 2017'!R32/'IDEES okt 2017'!R$23</f>
        <v>5.6125664967118093E-2</v>
      </c>
      <c r="T176" s="849">
        <f t="shared" si="186"/>
        <v>6.3284262146509784E-2</v>
      </c>
      <c r="U176" s="797">
        <f ca="1">'IDEES okt 2017'!T32/'IDEES okt 2017'!T$23</f>
        <v>2.8190639341380782E-3</v>
      </c>
      <c r="V176" s="797">
        <f ca="1">'IDEES okt 2017'!U32/'IDEES okt 2017'!U$23</f>
        <v>3.0167122540815461E-3</v>
      </c>
      <c r="W176" s="797">
        <f ca="1">'IDEES okt 2017'!V32/'IDEES okt 2017'!V$23</f>
        <v>2.3740390257112335E-2</v>
      </c>
      <c r="X176" s="797">
        <f ca="1">'IDEES okt 2017'!W32/'IDEES okt 2017'!W$23</f>
        <v>5.5810830901893748E-3</v>
      </c>
      <c r="Y176" s="797">
        <f ca="1">'IDEES okt 2017'!X32/'IDEES okt 2017'!X$23</f>
        <v>0.42436337688980064</v>
      </c>
      <c r="Z176" s="797">
        <f ca="1">'IDEES okt 2017'!Y32/'IDEES okt 2017'!Y$23</f>
        <v>1.2373892876829428E-2</v>
      </c>
      <c r="AA176" s="849">
        <f>IFERROR(AA114/AA$110,"")</f>
        <v>0.58377129574758935</v>
      </c>
      <c r="AB176" s="797">
        <f ca="1">'IDEES okt 2017'!AA32/'IDEES okt 2017'!AA$23</f>
        <v>3.4223283845666252E-3</v>
      </c>
      <c r="AC176" s="797">
        <f ca="1">'IDEES okt 2017'!AB32/'IDEES okt 2017'!AB$23</f>
        <v>3.2182356393657234E-2</v>
      </c>
      <c r="AD176" s="797">
        <f ca="1">'IDEES okt 2017'!AC32/'IDEES okt 2017'!AC$23</f>
        <v>1.3023622490939052E-2</v>
      </c>
      <c r="AE176" s="797">
        <f ca="1">'IDEES okt 2017'!AD32/'IDEES okt 2017'!AD$23</f>
        <v>0.20318770449524257</v>
      </c>
      <c r="AF176" s="797">
        <f ca="1">'IDEES okt 2017'!AE32/'IDEES okt 2017'!AE$23</f>
        <v>3.0850305215724554E-2</v>
      </c>
      <c r="AG176" s="797">
        <f ca="1">'IDEES okt 2017'!AF32/'IDEES okt 2017'!AF$23</f>
        <v>3.4649597844133927E-2</v>
      </c>
      <c r="AH176" s="797">
        <f ca="1">'IDEES okt 2017'!AG32/'IDEES okt 2017'!AG$23</f>
        <v>0.1047585905759616</v>
      </c>
      <c r="AI176" s="849">
        <f t="shared" ref="AI176:AN176" si="187">IFERROR(AI114/AI$110,"")</f>
        <v>5.0899786514937727E-2</v>
      </c>
      <c r="AJ176" s="849">
        <f t="shared" si="187"/>
        <v>1.8767056254684614E-2</v>
      </c>
      <c r="AK176" s="849">
        <f t="shared" si="187"/>
        <v>2.0598110469918208E-2</v>
      </c>
      <c r="AL176" s="849">
        <f t="shared" si="187"/>
        <v>2.4338102314696828E-2</v>
      </c>
      <c r="AM176" s="849">
        <f t="shared" si="187"/>
        <v>1.4430974494566274E-2</v>
      </c>
      <c r="AN176" s="851">
        <f t="shared" si="187"/>
        <v>1.6274322568351506E-2</v>
      </c>
    </row>
    <row r="177" spans="1:40">
      <c r="A177" s="764"/>
      <c r="B177" s="688"/>
      <c r="C177" s="633" t="s">
        <v>527</v>
      </c>
      <c r="D177" s="681">
        <f ca="1">'IDEES okt 2017'!C27/'IDEES okt 2017'!C$23</f>
        <v>0.22259028592929003</v>
      </c>
      <c r="E177" s="681">
        <f ca="1">'IDEES okt 2017'!D27/'IDEES okt 2017'!D$23</f>
        <v>0.48056570206551069</v>
      </c>
      <c r="F177" s="681">
        <f ca="1">'IDEES okt 2017'!E27/'IDEES okt 2017'!E$23</f>
        <v>2.7023708890266913E-2</v>
      </c>
      <c r="G177" s="849">
        <f t="shared" ref="G177:AA177" si="188">IFERROR(G115/G$110,"")</f>
        <v>0.22489726221659168</v>
      </c>
      <c r="H177" s="681">
        <f ca="1">'IDEES okt 2017'!G27/'IDEES okt 2017'!G$23</f>
        <v>0</v>
      </c>
      <c r="I177" s="681">
        <f ca="1">'IDEES okt 2017'!H27/'IDEES okt 2017'!H$23</f>
        <v>0.33422707010093478</v>
      </c>
      <c r="J177" s="681">
        <f ca="1">'IDEES okt 2017'!I27/'IDEES okt 2017'!I$23</f>
        <v>0.4466358826654746</v>
      </c>
      <c r="K177" s="681">
        <f ca="1">'IDEES okt 2017'!J27/'IDEES okt 2017'!J$23</f>
        <v>0.15786676081484211</v>
      </c>
      <c r="L177" s="681">
        <f ca="1">'IDEES okt 2017'!K27/'IDEES okt 2017'!K$23</f>
        <v>5.3252184408504898E-2</v>
      </c>
      <c r="M177" s="681">
        <f ca="1">'IDEES okt 2017'!L27/'IDEES okt 2017'!L$23</f>
        <v>0.35129595908073846</v>
      </c>
      <c r="N177" s="681">
        <f ca="1">'IDEES okt 2017'!M27/'IDEES okt 2017'!M$23</f>
        <v>8.21511743308731E-3</v>
      </c>
      <c r="O177" s="681">
        <f ca="1">'IDEES okt 2017'!N27/'IDEES okt 2017'!N$23</f>
        <v>0.38415555925018746</v>
      </c>
      <c r="P177" s="681">
        <f ca="1">'IDEES okt 2017'!O27/'IDEES okt 2017'!O$23</f>
        <v>7.3190292963800627E-2</v>
      </c>
      <c r="Q177" s="681">
        <f ca="1">'IDEES okt 2017'!P27/'IDEES okt 2017'!P$23</f>
        <v>0.27041983214990761</v>
      </c>
      <c r="R177" s="681">
        <f ca="1">'IDEES okt 2017'!Q27/'IDEES okt 2017'!Q$23</f>
        <v>0.54839236844722816</v>
      </c>
      <c r="S177" s="681">
        <f ca="1">'IDEES okt 2017'!R27/'IDEES okt 2017'!R$23</f>
        <v>0.26089853476019975</v>
      </c>
      <c r="T177" s="849">
        <f t="shared" si="188"/>
        <v>0</v>
      </c>
      <c r="U177" s="681">
        <f ca="1">'IDEES okt 2017'!T27/'IDEES okt 2017'!T$23</f>
        <v>0.63491497066467806</v>
      </c>
      <c r="V177" s="681">
        <f ca="1">'IDEES okt 2017'!U27/'IDEES okt 2017'!U$23</f>
        <v>0.10291445897148367</v>
      </c>
      <c r="W177" s="681">
        <f ca="1">'IDEES okt 2017'!V27/'IDEES okt 2017'!V$23</f>
        <v>0.52072896137046343</v>
      </c>
      <c r="X177" s="681">
        <f ca="1">'IDEES okt 2017'!W27/'IDEES okt 2017'!W$23</f>
        <v>9.0298556003642533E-2</v>
      </c>
      <c r="Y177" s="681">
        <f ca="1">'IDEES okt 2017'!X27/'IDEES okt 2017'!X$23</f>
        <v>0</v>
      </c>
      <c r="Z177" s="681">
        <f ca="1">'IDEES okt 2017'!Y27/'IDEES okt 2017'!Y$23</f>
        <v>0.90568533226166648</v>
      </c>
      <c r="AA177" s="849">
        <f t="shared" si="188"/>
        <v>1.7950067788701869E-3</v>
      </c>
      <c r="AB177" s="681">
        <f ca="1">'IDEES okt 2017'!AA27/'IDEES okt 2017'!AA$23</f>
        <v>0.18379571918912915</v>
      </c>
      <c r="AC177" s="681">
        <f ca="1">'IDEES okt 2017'!AB27/'IDEES okt 2017'!AB$23</f>
        <v>0.13695647745370082</v>
      </c>
      <c r="AD177" s="681">
        <f ca="1">'IDEES okt 2017'!AC27/'IDEES okt 2017'!AC$23</f>
        <v>0.32382250410501684</v>
      </c>
      <c r="AE177" s="681">
        <f ca="1">'IDEES okt 2017'!AD27/'IDEES okt 2017'!AD$23</f>
        <v>1.6947492415852489E-2</v>
      </c>
      <c r="AF177" s="681">
        <f ca="1">'IDEES okt 2017'!AE27/'IDEES okt 2017'!AE$23</f>
        <v>0.10791917220033481</v>
      </c>
      <c r="AG177" s="681">
        <f ca="1">'IDEES okt 2017'!AF27/'IDEES okt 2017'!AF$23</f>
        <v>0.60842115470938485</v>
      </c>
      <c r="AH177" s="681">
        <f ca="1">'IDEES okt 2017'!AG27/'IDEES okt 2017'!AG$23</f>
        <v>0.7742731542815291</v>
      </c>
      <c r="AI177" s="849">
        <f t="shared" ref="AI177:AN177" si="189">IFERROR(AI115/AI$110,"")</f>
        <v>0</v>
      </c>
      <c r="AJ177" s="849">
        <f t="shared" si="189"/>
        <v>9.2705259092978082E-2</v>
      </c>
      <c r="AK177" s="849">
        <f t="shared" si="189"/>
        <v>0</v>
      </c>
      <c r="AL177" s="849">
        <f t="shared" si="189"/>
        <v>0</v>
      </c>
      <c r="AM177" s="849">
        <f t="shared" si="189"/>
        <v>0.11041009195476266</v>
      </c>
      <c r="AN177" s="851">
        <f t="shared" si="189"/>
        <v>0</v>
      </c>
    </row>
    <row r="178" spans="1:40">
      <c r="A178" s="764"/>
      <c r="B178" s="688"/>
      <c r="C178" s="633" t="s">
        <v>533</v>
      </c>
      <c r="D178" s="681">
        <f ca="1">'IDEES okt 2017'!C26/'IDEES okt 2017'!C$23</f>
        <v>0.24525994304923854</v>
      </c>
      <c r="E178" s="681">
        <f ca="1">'IDEES okt 2017'!D26/'IDEES okt 2017'!D$23</f>
        <v>0.40126540405501243</v>
      </c>
      <c r="F178" s="681">
        <f ca="1">'IDEES okt 2017'!E26/'IDEES okt 2017'!E$23</f>
        <v>1.3778510059798106E-3</v>
      </c>
      <c r="G178" s="849">
        <f t="shared" ref="G178:AA178" si="190">IFERROR(G116/G$110,"")</f>
        <v>0.52569075071463423</v>
      </c>
      <c r="H178" s="681">
        <f ca="1">'IDEES okt 2017'!G26/'IDEES okt 2017'!G$23</f>
        <v>0.71197070267795837</v>
      </c>
      <c r="I178" s="681">
        <f ca="1">'IDEES okt 2017'!H26/'IDEES okt 2017'!H$23</f>
        <v>0</v>
      </c>
      <c r="J178" s="681">
        <f ca="1">'IDEES okt 2017'!I26/'IDEES okt 2017'!I$23</f>
        <v>0.25969160781631279</v>
      </c>
      <c r="K178" s="681">
        <f ca="1">'IDEES okt 2017'!J26/'IDEES okt 2017'!J$23</f>
        <v>9.9290055443431682E-2</v>
      </c>
      <c r="L178" s="681">
        <f ca="1">'IDEES okt 2017'!K26/'IDEES okt 2017'!K$23</f>
        <v>5.2407722477628713E-3</v>
      </c>
      <c r="M178" s="681">
        <f ca="1">'IDEES okt 2017'!L26/'IDEES okt 2017'!L$23</f>
        <v>0.19358789732469986</v>
      </c>
      <c r="N178" s="681">
        <f ca="1">'IDEES okt 2017'!M26/'IDEES okt 2017'!M$23</f>
        <v>0.11875517524761173</v>
      </c>
      <c r="O178" s="681">
        <f ca="1">'IDEES okt 2017'!N26/'IDEES okt 2017'!N$23</f>
        <v>0.20700622748005967</v>
      </c>
      <c r="P178" s="681">
        <f ca="1">'IDEES okt 2017'!O26/'IDEES okt 2017'!O$23</f>
        <v>0.71583816034447856</v>
      </c>
      <c r="Q178" s="681">
        <f ca="1">'IDEES okt 2017'!P26/'IDEES okt 2017'!P$23</f>
        <v>7.7359248211605683E-2</v>
      </c>
      <c r="R178" s="681">
        <f ca="1">'IDEES okt 2017'!Q26/'IDEES okt 2017'!Q$23</f>
        <v>0</v>
      </c>
      <c r="S178" s="681">
        <f ca="1">'IDEES okt 2017'!R26/'IDEES okt 2017'!R$23</f>
        <v>0.48183502991231009</v>
      </c>
      <c r="T178" s="849">
        <f t="shared" si="190"/>
        <v>4.1475266598304666E-3</v>
      </c>
      <c r="U178" s="681">
        <f ca="1">'IDEES okt 2017'!T26/'IDEES okt 2017'!T$23</f>
        <v>7.1754758162752272E-2</v>
      </c>
      <c r="V178" s="681">
        <f ca="1">'IDEES okt 2017'!U26/'IDEES okt 2017'!U$23</f>
        <v>5.0698685427894496E-3</v>
      </c>
      <c r="W178" s="681">
        <f ca="1">'IDEES okt 2017'!V26/'IDEES okt 2017'!V$23</f>
        <v>0.42176553481071377</v>
      </c>
      <c r="X178" s="681">
        <f ca="1">'IDEES okt 2017'!W26/'IDEES okt 2017'!W$23</f>
        <v>2.5268774740285084E-2</v>
      </c>
      <c r="Y178" s="681">
        <f ca="1">'IDEES okt 2017'!X26/'IDEES okt 2017'!X$23</f>
        <v>0</v>
      </c>
      <c r="Z178" s="681">
        <f ca="1">'IDEES okt 2017'!Y26/'IDEES okt 2017'!Y$23</f>
        <v>1.3755357678123753E-3</v>
      </c>
      <c r="AA178" s="849">
        <f t="shared" si="190"/>
        <v>7.9666804106243064E-2</v>
      </c>
      <c r="AB178" s="681">
        <f ca="1">'IDEES okt 2017'!AA26/'IDEES okt 2017'!AA$23</f>
        <v>6.3252422712128916E-3</v>
      </c>
      <c r="AC178" s="681">
        <f ca="1">'IDEES okt 2017'!AB26/'IDEES okt 2017'!AB$23</f>
        <v>8.4457188415071396E-2</v>
      </c>
      <c r="AD178" s="681">
        <f ca="1">'IDEES okt 2017'!AC26/'IDEES okt 2017'!AC$23</f>
        <v>5.3841584071159234E-3</v>
      </c>
      <c r="AE178" s="681">
        <f ca="1">'IDEES okt 2017'!AD26/'IDEES okt 2017'!AD$23</f>
        <v>8.0586123863223957E-3</v>
      </c>
      <c r="AF178" s="681">
        <f ca="1">'IDEES okt 2017'!AE26/'IDEES okt 2017'!AE$23</f>
        <v>0.24943988995038668</v>
      </c>
      <c r="AG178" s="681">
        <f ca="1">'IDEES okt 2017'!AF26/'IDEES okt 2017'!AF$23</f>
        <v>0</v>
      </c>
      <c r="AH178" s="681">
        <f ca="1">'IDEES okt 2017'!AG26/'IDEES okt 2017'!AG$23</f>
        <v>7.223253407877743E-2</v>
      </c>
      <c r="AI178" s="849">
        <f t="shared" ref="AI178:AN178" si="191">IFERROR(AI116/AI$110,"")</f>
        <v>2.4497240792052177E-2</v>
      </c>
      <c r="AJ178" s="849">
        <f t="shared" si="191"/>
        <v>0</v>
      </c>
      <c r="AK178" s="849">
        <f t="shared" si="191"/>
        <v>0</v>
      </c>
      <c r="AL178" s="849">
        <f t="shared" si="191"/>
        <v>0.13314300916231986</v>
      </c>
      <c r="AM178" s="849">
        <f t="shared" si="191"/>
        <v>5.5519624474233869E-4</v>
      </c>
      <c r="AN178" s="851">
        <f t="shared" si="191"/>
        <v>5.620955948675032E-2</v>
      </c>
    </row>
    <row r="179" spans="1:40">
      <c r="A179" s="764"/>
      <c r="B179" s="688"/>
      <c r="C179" s="633" t="s">
        <v>534</v>
      </c>
      <c r="D179" s="681">
        <f ca="1">'IDEES okt 2017'!C29/'IDEES okt 2017'!C$23</f>
        <v>0</v>
      </c>
      <c r="E179" s="681">
        <f ca="1">'IDEES okt 2017'!D29/'IDEES okt 2017'!D$23</f>
        <v>0</v>
      </c>
      <c r="F179" s="681">
        <f ca="1">'IDEES okt 2017'!E29/'IDEES okt 2017'!E$23</f>
        <v>0</v>
      </c>
      <c r="G179" s="849">
        <f t="shared" ref="G179:AA179" si="192">IFERROR(G117/G$110,"")</f>
        <v>5.7834181216387621E-2</v>
      </c>
      <c r="H179" s="681">
        <f ca="1">'IDEES okt 2017'!G29/'IDEES okt 2017'!G$23</f>
        <v>7.9402401215173026E-3</v>
      </c>
      <c r="I179" s="681">
        <f ca="1">'IDEES okt 2017'!H29/'IDEES okt 2017'!H$23</f>
        <v>0</v>
      </c>
      <c r="J179" s="681">
        <f ca="1">'IDEES okt 2017'!I29/'IDEES okt 2017'!I$23</f>
        <v>3.9622136905438984E-4</v>
      </c>
      <c r="K179" s="681">
        <f ca="1">'IDEES okt 2017'!J29/'IDEES okt 2017'!J$23</f>
        <v>0</v>
      </c>
      <c r="L179" s="681">
        <f ca="1">'IDEES okt 2017'!K29/'IDEES okt 2017'!K$23</f>
        <v>0</v>
      </c>
      <c r="M179" s="681">
        <f ca="1">'IDEES okt 2017'!L29/'IDEES okt 2017'!L$23</f>
        <v>1.4520000468245917E-3</v>
      </c>
      <c r="N179" s="681">
        <f ca="1">'IDEES okt 2017'!M29/'IDEES okt 2017'!M$23</f>
        <v>0</v>
      </c>
      <c r="O179" s="681">
        <f ca="1">'IDEES okt 2017'!N29/'IDEES okt 2017'!N$23</f>
        <v>6.450550181526008E-4</v>
      </c>
      <c r="P179" s="681">
        <f ca="1">'IDEES okt 2017'!O29/'IDEES okt 2017'!O$23</f>
        <v>8.7708620785582534E-5</v>
      </c>
      <c r="Q179" s="681">
        <f ca="1">'IDEES okt 2017'!P29/'IDEES okt 2017'!P$23</f>
        <v>0</v>
      </c>
      <c r="R179" s="681">
        <f ca="1">'IDEES okt 2017'!Q29/'IDEES okt 2017'!Q$23</f>
        <v>0</v>
      </c>
      <c r="S179" s="681">
        <f ca="1">'IDEES okt 2017'!R29/'IDEES okt 2017'!R$23</f>
        <v>0</v>
      </c>
      <c r="T179" s="849">
        <f>IFERROR(T117/T$110,"")</f>
        <v>0.50462165845912865</v>
      </c>
      <c r="U179" s="681">
        <f ca="1">'IDEES okt 2017'!T29/'IDEES okt 2017'!T$23</f>
        <v>8.6205536759417504E-5</v>
      </c>
      <c r="V179" s="681">
        <f ca="1">'IDEES okt 2017'!U29/'IDEES okt 2017'!U$23</f>
        <v>0</v>
      </c>
      <c r="W179" s="681">
        <f ca="1">'IDEES okt 2017'!V29/'IDEES okt 2017'!V$23</f>
        <v>0</v>
      </c>
      <c r="X179" s="681">
        <f ca="1">'IDEES okt 2017'!W29/'IDEES okt 2017'!W$23</f>
        <v>0</v>
      </c>
      <c r="Y179" s="681">
        <f ca="1">'IDEES okt 2017'!X29/'IDEES okt 2017'!X$23</f>
        <v>0</v>
      </c>
      <c r="Z179" s="681">
        <f ca="1">'IDEES okt 2017'!Y29/'IDEES okt 2017'!Y$23</f>
        <v>0</v>
      </c>
      <c r="AA179" s="849">
        <f t="shared" si="192"/>
        <v>0</v>
      </c>
      <c r="AB179" s="681">
        <f ca="1">'IDEES okt 2017'!AA29/'IDEES okt 2017'!AA$23</f>
        <v>9.2172490429766091E-4</v>
      </c>
      <c r="AC179" s="681">
        <f ca="1">'IDEES okt 2017'!AB29/'IDEES okt 2017'!AB$23</f>
        <v>0</v>
      </c>
      <c r="AD179" s="681">
        <f ca="1">'IDEES okt 2017'!AC29/'IDEES okt 2017'!AC$23</f>
        <v>2.9244197528457377E-3</v>
      </c>
      <c r="AE179" s="681">
        <f ca="1">'IDEES okt 2017'!AD29/'IDEES okt 2017'!AD$23</f>
        <v>0</v>
      </c>
      <c r="AF179" s="681">
        <f ca="1">'IDEES okt 2017'!AE29/'IDEES okt 2017'!AE$23</f>
        <v>1.336677978445246E-2</v>
      </c>
      <c r="AG179" s="681">
        <f ca="1">'IDEES okt 2017'!AF29/'IDEES okt 2017'!AF$23</f>
        <v>0</v>
      </c>
      <c r="AH179" s="681">
        <f ca="1">'IDEES okt 2017'!AG29/'IDEES okt 2017'!AG$23</f>
        <v>0</v>
      </c>
      <c r="AI179" s="849">
        <f t="shared" ref="AI179:AN179" si="193">IFERROR(AI117/AI$110,"")</f>
        <v>0</v>
      </c>
      <c r="AJ179" s="849">
        <f t="shared" si="193"/>
        <v>0</v>
      </c>
      <c r="AK179" s="849">
        <f t="shared" si="193"/>
        <v>0</v>
      </c>
      <c r="AL179" s="849">
        <f t="shared" si="193"/>
        <v>0</v>
      </c>
      <c r="AM179" s="849">
        <f t="shared" si="193"/>
        <v>0</v>
      </c>
      <c r="AN179" s="851">
        <f t="shared" si="193"/>
        <v>0</v>
      </c>
    </row>
    <row r="180" spans="1:40">
      <c r="A180" s="764"/>
      <c r="B180" s="688"/>
      <c r="C180" s="633" t="s">
        <v>528</v>
      </c>
      <c r="D180" s="681">
        <f ca="1">'IDEES okt 2017'!C25/'IDEES okt 2017'!C$23</f>
        <v>2.1662758178951059E-3</v>
      </c>
      <c r="E180" s="681">
        <f ca="1">'IDEES okt 2017'!D25/'IDEES okt 2017'!D$23</f>
        <v>2.1989739080724149E-3</v>
      </c>
      <c r="F180" s="681">
        <f ca="1">'IDEES okt 2017'!E25/'IDEES okt 2017'!E$23</f>
        <v>3.2796294659928069E-3</v>
      </c>
      <c r="G180" s="849">
        <f t="shared" ref="G180:AA180" si="194">IFERROR(G118/G$110,"")</f>
        <v>0</v>
      </c>
      <c r="H180" s="681">
        <f ca="1">'IDEES okt 2017'!G25/'IDEES okt 2017'!G$23</f>
        <v>0.10819617553423916</v>
      </c>
      <c r="I180" s="681">
        <f ca="1">'IDEES okt 2017'!H25/'IDEES okt 2017'!H$23</f>
        <v>0</v>
      </c>
      <c r="J180" s="681">
        <f ca="1">'IDEES okt 2017'!I25/'IDEES okt 2017'!I$23</f>
        <v>3.8373544316206336E-3</v>
      </c>
      <c r="K180" s="681">
        <f ca="1">'IDEES okt 2017'!J25/'IDEES okt 2017'!J$23</f>
        <v>1.0383930792449022E-3</v>
      </c>
      <c r="L180" s="681">
        <f ca="1">'IDEES okt 2017'!K25/'IDEES okt 2017'!K$23</f>
        <v>0</v>
      </c>
      <c r="M180" s="681">
        <f ca="1">'IDEES okt 2017'!L25/'IDEES okt 2017'!L$23</f>
        <v>4.2866641952355948E-2</v>
      </c>
      <c r="N180" s="681">
        <f ca="1">'IDEES okt 2017'!M25/'IDEES okt 2017'!M$23</f>
        <v>0</v>
      </c>
      <c r="O180" s="681">
        <f ca="1">'IDEES okt 2017'!N25/'IDEES okt 2017'!N$23</f>
        <v>9.6646205883958777E-3</v>
      </c>
      <c r="P180" s="681">
        <f ca="1">'IDEES okt 2017'!O25/'IDEES okt 2017'!O$23</f>
        <v>0</v>
      </c>
      <c r="Q180" s="681">
        <f ca="1">'IDEES okt 2017'!P25/'IDEES okt 2017'!P$23</f>
        <v>9.7678692323758358E-3</v>
      </c>
      <c r="R180" s="681">
        <f ca="1">'IDEES okt 2017'!Q25/'IDEES okt 2017'!Q$23</f>
        <v>8.4633540310411638E-3</v>
      </c>
      <c r="S180" s="681">
        <f ca="1">'IDEES okt 2017'!R25/'IDEES okt 2017'!R$23</f>
        <v>1.0962108441828213E-2</v>
      </c>
      <c r="T180" s="849">
        <f t="shared" si="194"/>
        <v>0</v>
      </c>
      <c r="U180" s="681">
        <f ca="1">'IDEES okt 2017'!T25/'IDEES okt 2017'!T$23</f>
        <v>2.1564203889842079E-2</v>
      </c>
      <c r="V180" s="681">
        <f ca="1">'IDEES okt 2017'!U25/'IDEES okt 2017'!U$23</f>
        <v>0</v>
      </c>
      <c r="W180" s="681">
        <f ca="1">'IDEES okt 2017'!V25/'IDEES okt 2017'!V$23</f>
        <v>0</v>
      </c>
      <c r="X180" s="681">
        <f ca="1">'IDEES okt 2017'!W25/'IDEES okt 2017'!W$23</f>
        <v>0</v>
      </c>
      <c r="Y180" s="681">
        <f ca="1">'IDEES okt 2017'!X25/'IDEES okt 2017'!X$23</f>
        <v>0.48814461341777043</v>
      </c>
      <c r="Z180" s="681">
        <f ca="1">'IDEES okt 2017'!Y25/'IDEES okt 2017'!Y$23</f>
        <v>0</v>
      </c>
      <c r="AA180" s="849">
        <f t="shared" si="194"/>
        <v>0</v>
      </c>
      <c r="AB180" s="681">
        <f ca="1">'IDEES okt 2017'!AA25/'IDEES okt 2017'!AA$23</f>
        <v>0</v>
      </c>
      <c r="AC180" s="681">
        <f ca="1">'IDEES okt 2017'!AB25/'IDEES okt 2017'!AB$23</f>
        <v>5.6174865090020329E-2</v>
      </c>
      <c r="AD180" s="681">
        <f ca="1">'IDEES okt 2017'!AC25/'IDEES okt 2017'!AC$23</f>
        <v>0</v>
      </c>
      <c r="AE180" s="681">
        <f ca="1">'IDEES okt 2017'!AD25/'IDEES okt 2017'!AD$23</f>
        <v>0</v>
      </c>
      <c r="AF180" s="681">
        <f ca="1">'IDEES okt 2017'!AE25/'IDEES okt 2017'!AE$23</f>
        <v>9.1160123198923779E-3</v>
      </c>
      <c r="AG180" s="681">
        <f ca="1">'IDEES okt 2017'!AF25/'IDEES okt 2017'!AF$23</f>
        <v>0</v>
      </c>
      <c r="AH180" s="681">
        <f ca="1">'IDEES okt 2017'!AG25/'IDEES okt 2017'!AG$23</f>
        <v>2.4058823215650838E-3</v>
      </c>
      <c r="AI180" s="849">
        <f t="shared" ref="AI180:AN180" si="195">IFERROR(AI118/AI$110,"")</f>
        <v>0</v>
      </c>
      <c r="AJ180" s="849">
        <f t="shared" si="195"/>
        <v>0</v>
      </c>
      <c r="AK180" s="849">
        <f t="shared" si="195"/>
        <v>0</v>
      </c>
      <c r="AL180" s="849">
        <f t="shared" si="195"/>
        <v>0</v>
      </c>
      <c r="AM180" s="849">
        <f t="shared" si="195"/>
        <v>3.690781921717358E-3</v>
      </c>
      <c r="AN180" s="851">
        <f t="shared" si="195"/>
        <v>9.7919307411010112E-3</v>
      </c>
    </row>
    <row r="181" spans="1:40">
      <c r="A181" s="764"/>
      <c r="B181" s="618"/>
      <c r="C181" s="619" t="s">
        <v>529</v>
      </c>
      <c r="D181" s="684">
        <f ca="1">'IDEES okt 2017'!C24/'IDEES okt 2017'!C$23</f>
        <v>9.5072715854001288E-3</v>
      </c>
      <c r="E181" s="684">
        <f ca="1">'IDEES okt 2017'!D24/'IDEES okt 2017'!D$23</f>
        <v>1.6303073530723917E-2</v>
      </c>
      <c r="F181" s="684">
        <f ca="1">'IDEES okt 2017'!E24/'IDEES okt 2017'!E$23</f>
        <v>0.1283974153954909</v>
      </c>
      <c r="G181" s="850">
        <f t="shared" ref="G181:AA181" si="196">IFERROR(G119/G$110,"")</f>
        <v>1.7559859811545086E-3</v>
      </c>
      <c r="H181" s="684">
        <f ca="1">'IDEES okt 2017'!G24/'IDEES okt 2017'!G$23</f>
        <v>0</v>
      </c>
      <c r="I181" s="684">
        <f ca="1">'IDEES okt 2017'!H24/'IDEES okt 2017'!H$23</f>
        <v>0.1353843937329306</v>
      </c>
      <c r="J181" s="684">
        <f ca="1">'IDEES okt 2017'!I24/'IDEES okt 2017'!I$23</f>
        <v>1.6252926267104374E-2</v>
      </c>
      <c r="K181" s="684">
        <f ca="1">'IDEES okt 2017'!J24/'IDEES okt 2017'!J$23</f>
        <v>0</v>
      </c>
      <c r="L181" s="684">
        <f ca="1">'IDEES okt 2017'!K24/'IDEES okt 2017'!K$23</f>
        <v>1.0317121851139638E-2</v>
      </c>
      <c r="M181" s="684">
        <f ca="1">'IDEES okt 2017'!L24/'IDEES okt 2017'!L$23</f>
        <v>1.8922375190511646E-2</v>
      </c>
      <c r="N181" s="684">
        <f ca="1">'IDEES okt 2017'!M24/'IDEES okt 2017'!M$23</f>
        <v>1.4071142093837934E-3</v>
      </c>
      <c r="O181" s="684">
        <f ca="1">'IDEES okt 2017'!N24/'IDEES okt 2017'!N$23</f>
        <v>5.684805687170837E-3</v>
      </c>
      <c r="P181" s="684">
        <f ca="1">'IDEES okt 2017'!O24/'IDEES okt 2017'!O$23</f>
        <v>0</v>
      </c>
      <c r="Q181" s="684">
        <f ca="1">'IDEES okt 2017'!P24/'IDEES okt 2017'!P$23</f>
        <v>2.7171048930519832E-3</v>
      </c>
      <c r="R181" s="684">
        <f ca="1">'IDEES okt 2017'!Q24/'IDEES okt 2017'!Q$23</f>
        <v>2.7605128982293156E-2</v>
      </c>
      <c r="S181" s="684">
        <f ca="1">'IDEES okt 2017'!R24/'IDEES okt 2017'!R$23</f>
        <v>0.1793927697875663</v>
      </c>
      <c r="T181" s="850">
        <f t="shared" si="196"/>
        <v>0</v>
      </c>
      <c r="U181" s="684">
        <f ca="1">'IDEES okt 2017'!T24/'IDEES okt 2017'!T$23</f>
        <v>1.4974838406688867E-4</v>
      </c>
      <c r="V181" s="684">
        <f ca="1">'IDEES okt 2017'!U24/'IDEES okt 2017'!U$23</f>
        <v>4.3815600458539043E-2</v>
      </c>
      <c r="W181" s="684">
        <f ca="1">'IDEES okt 2017'!V24/'IDEES okt 2017'!V$23</f>
        <v>1.06816711549745E-3</v>
      </c>
      <c r="X181" s="684">
        <f ca="1">'IDEES okt 2017'!W24/'IDEES okt 2017'!W$23</f>
        <v>1.2955546469921392E-2</v>
      </c>
      <c r="Y181" s="684">
        <f ca="1">'IDEES okt 2017'!X24/'IDEES okt 2017'!X$23</f>
        <v>0</v>
      </c>
      <c r="Z181" s="684">
        <f ca="1">'IDEES okt 2017'!Y24/'IDEES okt 2017'!Y$23</f>
        <v>2.160054698083109E-4</v>
      </c>
      <c r="AA181" s="850">
        <f t="shared" si="196"/>
        <v>0</v>
      </c>
      <c r="AB181" s="684">
        <f ca="1">'IDEES okt 2017'!AA24/'IDEES okt 2017'!AA$23</f>
        <v>0.34372519708079519</v>
      </c>
      <c r="AC181" s="684">
        <f ca="1">'IDEES okt 2017'!AB24/'IDEES okt 2017'!AB$23</f>
        <v>0</v>
      </c>
      <c r="AD181" s="684">
        <f ca="1">'IDEES okt 2017'!AC24/'IDEES okt 2017'!AC$23</f>
        <v>3.041391201797515E-3</v>
      </c>
      <c r="AE181" s="684">
        <f ca="1">'IDEES okt 2017'!AD24/'IDEES okt 2017'!AD$23</f>
        <v>0</v>
      </c>
      <c r="AF181" s="684">
        <f ca="1">'IDEES okt 2017'!AE24/'IDEES okt 2017'!AE$23</f>
        <v>1.4299875081551011E-3</v>
      </c>
      <c r="AG181" s="684">
        <f ca="1">'IDEES okt 2017'!AF24/'IDEES okt 2017'!AF$23</f>
        <v>2.5584979927768401E-2</v>
      </c>
      <c r="AH181" s="684">
        <f ca="1">'IDEES okt 2017'!AG24/'IDEES okt 2017'!AG$23</f>
        <v>1.8180330291876125E-2</v>
      </c>
      <c r="AI181" s="850">
        <f t="shared" ref="AI181:AN181" si="197">IFERROR(AI119/AI$110,"")</f>
        <v>0</v>
      </c>
      <c r="AJ181" s="850">
        <f t="shared" si="197"/>
        <v>0.24398219309045499</v>
      </c>
      <c r="AK181" s="850">
        <f t="shared" si="197"/>
        <v>0</v>
      </c>
      <c r="AL181" s="850">
        <f t="shared" si="197"/>
        <v>0</v>
      </c>
      <c r="AM181" s="850">
        <f t="shared" si="197"/>
        <v>0.12455131308031984</v>
      </c>
      <c r="AN181" s="852">
        <f t="shared" si="197"/>
        <v>8.3448829196440935E-2</v>
      </c>
    </row>
    <row r="182" spans="1:40">
      <c r="B182" s="688" t="s">
        <v>535</v>
      </c>
      <c r="C182" s="689"/>
      <c r="D182" s="517"/>
      <c r="AN182" s="607"/>
    </row>
    <row r="183" spans="1:40">
      <c r="B183" s="688"/>
      <c r="C183" s="633" t="s">
        <v>526</v>
      </c>
      <c r="D183" s="680">
        <f>IFERROR(D121/D$120,"")</f>
        <v>8.8380748017635916E-2</v>
      </c>
      <c r="E183" s="681">
        <f t="shared" ref="E183:AH183" si="198">IFERROR(E121/E$120,"")</f>
        <v>1.9820031759101336E-2</v>
      </c>
      <c r="F183" s="681">
        <f t="shared" si="198"/>
        <v>4.7746449886807985E-2</v>
      </c>
      <c r="G183" s="681">
        <f t="shared" si="198"/>
        <v>1.6500082228556451E-2</v>
      </c>
      <c r="H183" s="681">
        <f t="shared" si="198"/>
        <v>1.0375237765865469E-3</v>
      </c>
      <c r="I183" s="681">
        <f t="shared" si="198"/>
        <v>2.9657745753988676E-2</v>
      </c>
      <c r="J183" s="681">
        <f t="shared" si="198"/>
        <v>1.9039865682006499E-2</v>
      </c>
      <c r="K183" s="681">
        <f t="shared" si="198"/>
        <v>0.11533240042607404</v>
      </c>
      <c r="L183" s="681">
        <f t="shared" si="198"/>
        <v>0.29436781609195406</v>
      </c>
      <c r="M183" s="681">
        <f t="shared" si="198"/>
        <v>9.9130381654515074E-3</v>
      </c>
      <c r="N183" s="681">
        <f t="shared" si="198"/>
        <v>0.14718311193648026</v>
      </c>
      <c r="O183" s="681">
        <f t="shared" si="198"/>
        <v>4.6650671956309453E-2</v>
      </c>
      <c r="P183" s="681">
        <f t="shared" si="198"/>
        <v>1.1683569979716025E-2</v>
      </c>
      <c r="Q183" s="681">
        <f t="shared" si="198"/>
        <v>4.8160371592714822E-2</v>
      </c>
      <c r="R183" s="681">
        <f t="shared" si="198"/>
        <v>2.6508694169792024E-2</v>
      </c>
      <c r="S183" s="681">
        <f t="shared" si="198"/>
        <v>7.7894340096739748E-3</v>
      </c>
      <c r="T183" s="681">
        <f t="shared" si="198"/>
        <v>0</v>
      </c>
      <c r="U183" s="681">
        <f t="shared" si="198"/>
        <v>6.153930969847116E-3</v>
      </c>
      <c r="V183" s="681">
        <f t="shared" si="198"/>
        <v>0.26434611899728178</v>
      </c>
      <c r="W183" s="681">
        <f t="shared" si="198"/>
        <v>2.3066004258339247E-2</v>
      </c>
      <c r="X183" s="681">
        <f t="shared" si="198"/>
        <v>0.39392585975882094</v>
      </c>
      <c r="Y183" s="681">
        <f t="shared" si="198"/>
        <v>0</v>
      </c>
      <c r="Z183" s="681">
        <f t="shared" si="198"/>
        <v>2.0935891698366522E-2</v>
      </c>
      <c r="AA183" s="681">
        <f t="shared" si="198"/>
        <v>7.3524328510777698E-2</v>
      </c>
      <c r="AB183" s="681">
        <f t="shared" si="198"/>
        <v>9.2769644457723344E-2</v>
      </c>
      <c r="AC183" s="681">
        <f t="shared" si="198"/>
        <v>0.12893544733861836</v>
      </c>
      <c r="AD183" s="681">
        <f t="shared" si="198"/>
        <v>0.34104130573538793</v>
      </c>
      <c r="AE183" s="681">
        <f t="shared" si="198"/>
        <v>1.6815426325890271E-2</v>
      </c>
      <c r="AF183" s="681">
        <f t="shared" si="198"/>
        <v>0.26951724137931032</v>
      </c>
      <c r="AG183" s="681">
        <f t="shared" si="198"/>
        <v>4.3523859465128475E-3</v>
      </c>
      <c r="AH183" s="681">
        <f t="shared" si="198"/>
        <v>0</v>
      </c>
      <c r="AI183" s="681">
        <f t="shared" ref="AI183:AN183" si="199">IFERROR(AI121/AI$120,"")</f>
        <v>2.8987366932601601E-2</v>
      </c>
      <c r="AJ183" s="681">
        <f t="shared" si="199"/>
        <v>2.1412257144717985E-2</v>
      </c>
      <c r="AK183" s="681">
        <f t="shared" si="199"/>
        <v>0.1042475550604616</v>
      </c>
      <c r="AL183" s="681">
        <f t="shared" si="199"/>
        <v>3.221261531844153E-2</v>
      </c>
      <c r="AM183" s="681">
        <f t="shared" si="199"/>
        <v>3.2333511332935556E-2</v>
      </c>
      <c r="AN183" s="682">
        <f t="shared" si="199"/>
        <v>5.9157564577837607E-2</v>
      </c>
    </row>
    <row r="184" spans="1:40">
      <c r="B184" s="688"/>
      <c r="C184" s="633" t="s">
        <v>532</v>
      </c>
      <c r="D184" s="680">
        <f t="shared" ref="D184:AH184" si="200">IFERROR(D122/D$120,"")</f>
        <v>0.16306516236106686</v>
      </c>
      <c r="E184" s="681">
        <f t="shared" si="200"/>
        <v>1.7790978062694818E-3</v>
      </c>
      <c r="F184" s="681">
        <f t="shared" si="200"/>
        <v>0.26141181313027373</v>
      </c>
      <c r="G184" s="681">
        <f t="shared" si="200"/>
        <v>3.6056621297885144E-2</v>
      </c>
      <c r="H184" s="681">
        <f t="shared" si="200"/>
        <v>0</v>
      </c>
      <c r="I184" s="681">
        <f t="shared" si="200"/>
        <v>0.14279893635271917</v>
      </c>
      <c r="J184" s="681">
        <f t="shared" si="200"/>
        <v>9.3571121631397927E-2</v>
      </c>
      <c r="K184" s="681">
        <f t="shared" si="200"/>
        <v>0.50846926627540256</v>
      </c>
      <c r="L184" s="681">
        <f t="shared" si="200"/>
        <v>0.51896551724137929</v>
      </c>
      <c r="M184" s="681">
        <f t="shared" si="200"/>
        <v>0</v>
      </c>
      <c r="N184" s="681">
        <f t="shared" si="200"/>
        <v>0.37742320592749801</v>
      </c>
      <c r="O184" s="681">
        <f t="shared" si="200"/>
        <v>6.0556381354009176E-2</v>
      </c>
      <c r="P184" s="681">
        <f t="shared" si="200"/>
        <v>1.0466531440162272E-2</v>
      </c>
      <c r="Q184" s="681">
        <f t="shared" si="200"/>
        <v>0.10432709937660432</v>
      </c>
      <c r="R184" s="681">
        <f t="shared" si="200"/>
        <v>0.15004545971133088</v>
      </c>
      <c r="S184" s="681">
        <f t="shared" si="200"/>
        <v>0</v>
      </c>
      <c r="T184" s="681">
        <f t="shared" si="200"/>
        <v>0.62524768293946442</v>
      </c>
      <c r="U184" s="681">
        <f t="shared" si="200"/>
        <v>3.9693888450525634E-3</v>
      </c>
      <c r="V184" s="681">
        <f t="shared" si="200"/>
        <v>0.5021141649048626</v>
      </c>
      <c r="W184" s="681">
        <f t="shared" si="200"/>
        <v>0</v>
      </c>
      <c r="X184" s="681">
        <f t="shared" si="200"/>
        <v>0.42154235521810329</v>
      </c>
      <c r="Y184" s="681">
        <f t="shared" si="200"/>
        <v>0</v>
      </c>
      <c r="Z184" s="681">
        <f t="shared" si="200"/>
        <v>4.3517378981129257E-2</v>
      </c>
      <c r="AA184" s="681">
        <f t="shared" si="200"/>
        <v>2.0602986207393696E-2</v>
      </c>
      <c r="AB184" s="681">
        <f t="shared" si="200"/>
        <v>0.35495047229436233</v>
      </c>
      <c r="AC184" s="681">
        <f t="shared" si="200"/>
        <v>6.6251415628539069E-3</v>
      </c>
      <c r="AD184" s="681">
        <f t="shared" si="200"/>
        <v>0.23464940275371565</v>
      </c>
      <c r="AE184" s="681">
        <f t="shared" si="200"/>
        <v>0.45773296371888994</v>
      </c>
      <c r="AF184" s="681">
        <f t="shared" si="200"/>
        <v>9.9103448275862052E-2</v>
      </c>
      <c r="AG184" s="681">
        <f t="shared" si="200"/>
        <v>0.32527530152071316</v>
      </c>
      <c r="AH184" s="681">
        <f t="shared" si="200"/>
        <v>0</v>
      </c>
      <c r="AI184" s="681">
        <f t="shared" ref="AI184:AN184" si="201">IFERROR(AI122/AI$120,"")</f>
        <v>0</v>
      </c>
      <c r="AJ184" s="681">
        <f t="shared" si="201"/>
        <v>0.18632634184535476</v>
      </c>
      <c r="AK184" s="681">
        <f t="shared" si="201"/>
        <v>0</v>
      </c>
      <c r="AL184" s="681">
        <f t="shared" si="201"/>
        <v>9.8502203411834799E-2</v>
      </c>
      <c r="AM184" s="681">
        <f t="shared" si="201"/>
        <v>0.2029442529400185</v>
      </c>
      <c r="AN184" s="682">
        <f t="shared" si="201"/>
        <v>1.5075982809776964E-2</v>
      </c>
    </row>
    <row r="185" spans="1:40">
      <c r="B185" s="688"/>
      <c r="C185" s="633" t="s">
        <v>510</v>
      </c>
      <c r="D185" s="680">
        <f t="shared" ref="D185:AH185" si="202">IFERROR(D123/D$120,"")</f>
        <v>0.25020536118422154</v>
      </c>
      <c r="E185" s="681">
        <f t="shared" si="202"/>
        <v>0.16232429571252133</v>
      </c>
      <c r="F185" s="681">
        <f t="shared" si="202"/>
        <v>0.64815805721341846</v>
      </c>
      <c r="G185" s="681">
        <f t="shared" si="202"/>
        <v>0.25679768108572348</v>
      </c>
      <c r="H185" s="681">
        <f t="shared" si="202"/>
        <v>6.2424347224623901E-2</v>
      </c>
      <c r="I185" s="681">
        <f t="shared" si="202"/>
        <v>0.50737690856064499</v>
      </c>
      <c r="J185" s="681">
        <f t="shared" si="202"/>
        <v>0.20727725025248084</v>
      </c>
      <c r="K185" s="681">
        <f t="shared" si="202"/>
        <v>0.14624365588253721</v>
      </c>
      <c r="L185" s="681">
        <f t="shared" si="202"/>
        <v>0.13367816091954024</v>
      </c>
      <c r="M185" s="681">
        <f t="shared" si="202"/>
        <v>0.34908455867378113</v>
      </c>
      <c r="N185" s="681">
        <f t="shared" si="202"/>
        <v>0.37814329840253169</v>
      </c>
      <c r="O185" s="681">
        <f t="shared" si="202"/>
        <v>0.36377172607741198</v>
      </c>
      <c r="P185" s="681">
        <f t="shared" si="202"/>
        <v>0.48048681541582144</v>
      </c>
      <c r="Q185" s="681">
        <f t="shared" si="202"/>
        <v>0.32606038381615937</v>
      </c>
      <c r="R185" s="681">
        <f t="shared" si="202"/>
        <v>0.21803614047050801</v>
      </c>
      <c r="S185" s="681">
        <f t="shared" si="202"/>
        <v>0.26537470946667502</v>
      </c>
      <c r="T185" s="681">
        <f t="shared" si="202"/>
        <v>0.35479475139349104</v>
      </c>
      <c r="U185" s="681">
        <f t="shared" si="202"/>
        <v>0.1345629709772897</v>
      </c>
      <c r="V185" s="681">
        <f t="shared" si="202"/>
        <v>0.11597704620960433</v>
      </c>
      <c r="W185" s="681">
        <f t="shared" si="202"/>
        <v>0.13058907026259761</v>
      </c>
      <c r="X185" s="681">
        <f t="shared" si="202"/>
        <v>5.7242816733660863E-2</v>
      </c>
      <c r="Y185" s="681">
        <f t="shared" si="202"/>
        <v>0.35023771790808239</v>
      </c>
      <c r="Z185" s="681">
        <f t="shared" si="202"/>
        <v>7.0867830237935414E-2</v>
      </c>
      <c r="AA185" s="681">
        <f t="shared" si="202"/>
        <v>0.87156769334360429</v>
      </c>
      <c r="AB185" s="681">
        <f t="shared" si="202"/>
        <v>5.9151708763301232E-2</v>
      </c>
      <c r="AC185" s="681">
        <f t="shared" si="202"/>
        <v>0.25668176670441678</v>
      </c>
      <c r="AD185" s="681">
        <f t="shared" si="202"/>
        <v>0.11111516367283668</v>
      </c>
      <c r="AE185" s="681">
        <f t="shared" si="202"/>
        <v>0.49084594998019926</v>
      </c>
      <c r="AF185" s="681">
        <f t="shared" si="202"/>
        <v>0.30020689655172411</v>
      </c>
      <c r="AG185" s="681">
        <f t="shared" si="202"/>
        <v>0.14724698479286838</v>
      </c>
      <c r="AH185" s="681">
        <f t="shared" si="202"/>
        <v>0.17851608089234128</v>
      </c>
      <c r="AI185" s="681">
        <f t="shared" ref="AI185:AN185" si="203">IFERROR(AI123/AI$120,"")</f>
        <v>0.6262771091838143</v>
      </c>
      <c r="AJ185" s="681">
        <f t="shared" si="203"/>
        <v>0.72253917064460926</v>
      </c>
      <c r="AK185" s="681">
        <f t="shared" si="203"/>
        <v>0.89575244493953843</v>
      </c>
      <c r="AL185" s="681">
        <f t="shared" si="203"/>
        <v>0.75509930187496055</v>
      </c>
      <c r="AM185" s="681">
        <f t="shared" si="203"/>
        <v>0.64027951549328321</v>
      </c>
      <c r="AN185" s="682">
        <f t="shared" si="203"/>
        <v>0.79575179242171945</v>
      </c>
    </row>
    <row r="186" spans="1:40">
      <c r="B186" s="688"/>
      <c r="C186" s="633" t="s">
        <v>527</v>
      </c>
      <c r="D186" s="680">
        <f t="shared" ref="D186:AH186" si="204">IFERROR(D124/D$120,"")</f>
        <v>0.17260397981592931</v>
      </c>
      <c r="E186" s="681">
        <f t="shared" si="204"/>
        <v>0.46831441510321703</v>
      </c>
      <c r="F186" s="681">
        <f t="shared" si="204"/>
        <v>1.0742951224531797E-2</v>
      </c>
      <c r="G186" s="681">
        <f t="shared" si="204"/>
        <v>0.20505681937547496</v>
      </c>
      <c r="H186" s="681">
        <f t="shared" si="204"/>
        <v>0</v>
      </c>
      <c r="I186" s="681">
        <f t="shared" si="204"/>
        <v>0.28667009778692742</v>
      </c>
      <c r="J186" s="681">
        <f t="shared" si="204"/>
        <v>0.37917273315721617</v>
      </c>
      <c r="K186" s="681">
        <f t="shared" si="204"/>
        <v>0.13667787547776686</v>
      </c>
      <c r="L186" s="681">
        <f t="shared" si="204"/>
        <v>4.3908045977011499E-2</v>
      </c>
      <c r="M186" s="681">
        <f t="shared" si="204"/>
        <v>0.30548144678424505</v>
      </c>
      <c r="N186" s="681">
        <f t="shared" si="204"/>
        <v>6.5755812851755703E-3</v>
      </c>
      <c r="O186" s="681">
        <f t="shared" si="204"/>
        <v>0.32300051247663891</v>
      </c>
      <c r="P186" s="681">
        <f t="shared" si="204"/>
        <v>2.0101419878296146E-2</v>
      </c>
      <c r="Q186" s="681">
        <f t="shared" si="204"/>
        <v>0.31952084097298616</v>
      </c>
      <c r="R186" s="681">
        <f t="shared" si="204"/>
        <v>0.51761563814069789</v>
      </c>
      <c r="S186" s="681">
        <f t="shared" si="204"/>
        <v>0.23993341290282055</v>
      </c>
      <c r="T186" s="681">
        <f t="shared" si="204"/>
        <v>0</v>
      </c>
      <c r="U186" s="681">
        <f t="shared" si="204"/>
        <v>0.64998742337735738</v>
      </c>
      <c r="V186" s="681">
        <f t="shared" si="204"/>
        <v>7.6940501359106017E-2</v>
      </c>
      <c r="W186" s="681">
        <f t="shared" si="204"/>
        <v>0.43896380411639457</v>
      </c>
      <c r="X186" s="681">
        <f t="shared" si="204"/>
        <v>8.1956230460026785E-2</v>
      </c>
      <c r="Y186" s="681">
        <f t="shared" si="204"/>
        <v>0</v>
      </c>
      <c r="Z186" s="681">
        <f t="shared" si="204"/>
        <v>0.83635880510181249</v>
      </c>
      <c r="AA186" s="681">
        <f t="shared" si="204"/>
        <v>5.9680577612890718E-4</v>
      </c>
      <c r="AB186" s="681">
        <f t="shared" si="204"/>
        <v>0.17014662958792029</v>
      </c>
      <c r="AC186" s="681">
        <f t="shared" si="204"/>
        <v>0.15594563986409965</v>
      </c>
      <c r="AD186" s="681">
        <f t="shared" si="204"/>
        <v>0.27683049147442329</v>
      </c>
      <c r="AE186" s="681">
        <f t="shared" si="204"/>
        <v>1.3053279312760839E-2</v>
      </c>
      <c r="AF186" s="681">
        <f t="shared" si="204"/>
        <v>7.2689655172413783E-2</v>
      </c>
      <c r="AG186" s="681">
        <f t="shared" si="204"/>
        <v>0.51101206082852657</v>
      </c>
      <c r="AH186" s="681">
        <f t="shared" si="204"/>
        <v>0.7297577821570016</v>
      </c>
      <c r="AI186" s="681">
        <f t="shared" ref="AI186:AN186" si="205">IFERROR(AI124/AI$120,"")</f>
        <v>0</v>
      </c>
      <c r="AJ186" s="681">
        <f t="shared" si="205"/>
        <v>6.9722230365318077E-2</v>
      </c>
      <c r="AK186" s="681">
        <f t="shared" si="205"/>
        <v>0</v>
      </c>
      <c r="AL186" s="681">
        <f t="shared" si="205"/>
        <v>0</v>
      </c>
      <c r="AM186" s="681">
        <f t="shared" si="205"/>
        <v>9.5693927430652651E-2</v>
      </c>
      <c r="AN186" s="682">
        <f t="shared" si="205"/>
        <v>0</v>
      </c>
    </row>
    <row r="187" spans="1:40">
      <c r="B187" s="688"/>
      <c r="C187" s="633" t="s">
        <v>533</v>
      </c>
      <c r="D187" s="680">
        <f t="shared" ref="D187:AH187" si="206">IFERROR(D125/D$120,"")</f>
        <v>0.1375333188043788</v>
      </c>
      <c r="E187" s="681">
        <f t="shared" si="206"/>
        <v>0.31867905663706408</v>
      </c>
      <c r="F187" s="681">
        <f t="shared" si="206"/>
        <v>0</v>
      </c>
      <c r="G187" s="681">
        <f t="shared" si="206"/>
        <v>0.43301006814462906</v>
      </c>
      <c r="H187" s="681">
        <f t="shared" si="206"/>
        <v>3.0088189521009862E-2</v>
      </c>
      <c r="I187" s="681">
        <f t="shared" si="206"/>
        <v>0</v>
      </c>
      <c r="J187" s="681">
        <f t="shared" si="206"/>
        <v>0.19839463888440639</v>
      </c>
      <c r="K187" s="681">
        <f t="shared" si="206"/>
        <v>6.4307942939493309E-2</v>
      </c>
      <c r="L187" s="681">
        <f t="shared" si="206"/>
        <v>2.0689655172413794E-3</v>
      </c>
      <c r="M187" s="681">
        <f t="shared" si="206"/>
        <v>8.5500590607307247E-2</v>
      </c>
      <c r="N187" s="681">
        <f t="shared" si="206"/>
        <v>8.1086202649182315E-2</v>
      </c>
      <c r="O187" s="681">
        <f t="shared" si="206"/>
        <v>0.11720162258772657</v>
      </c>
      <c r="P187" s="681">
        <f t="shared" si="206"/>
        <v>8.9817444219066941E-2</v>
      </c>
      <c r="Q187" s="681">
        <f t="shared" si="206"/>
        <v>6.7962351790734621E-2</v>
      </c>
      <c r="R187" s="681">
        <f t="shared" si="206"/>
        <v>0</v>
      </c>
      <c r="S187" s="681">
        <f t="shared" si="206"/>
        <v>0.30683460016332681</v>
      </c>
      <c r="T187" s="681">
        <f t="shared" si="206"/>
        <v>4.5052623648737314E-3</v>
      </c>
      <c r="U187" s="681">
        <f t="shared" si="206"/>
        <v>6.0626212438107507E-2</v>
      </c>
      <c r="V187" s="681">
        <f t="shared" si="206"/>
        <v>3.1712473572938688E-3</v>
      </c>
      <c r="W187" s="681">
        <f t="shared" si="206"/>
        <v>0.36550745209368352</v>
      </c>
      <c r="X187" s="681">
        <f t="shared" si="206"/>
        <v>1.8683936281077861E-2</v>
      </c>
      <c r="Y187" s="681">
        <f t="shared" si="206"/>
        <v>0</v>
      </c>
      <c r="Z187" s="681">
        <f t="shared" si="206"/>
        <v>5.5987543820392328E-3</v>
      </c>
      <c r="AA187" s="681">
        <f t="shared" si="206"/>
        <v>2.3045451322902616E-2</v>
      </c>
      <c r="AB187" s="681">
        <f t="shared" si="206"/>
        <v>4.8493484406242097E-3</v>
      </c>
      <c r="AC187" s="681">
        <f t="shared" si="206"/>
        <v>7.7718006795016989E-2</v>
      </c>
      <c r="AD187" s="681">
        <f t="shared" si="206"/>
        <v>1.1251937631075043E-2</v>
      </c>
      <c r="AE187" s="681">
        <f t="shared" si="206"/>
        <v>5.818381210588845E-3</v>
      </c>
      <c r="AF187" s="681">
        <f t="shared" si="206"/>
        <v>0.18324137931034484</v>
      </c>
      <c r="AG187" s="681">
        <f t="shared" si="206"/>
        <v>0</v>
      </c>
      <c r="AH187" s="681">
        <f t="shared" si="206"/>
        <v>5.3001894120573212E-2</v>
      </c>
      <c r="AI187" s="681">
        <f t="shared" ref="AI187:AN187" si="207">IFERROR(AI125/AI$120,"")</f>
        <v>1.5164927133919826E-3</v>
      </c>
      <c r="AJ187" s="681">
        <f t="shared" si="207"/>
        <v>0</v>
      </c>
      <c r="AK187" s="681">
        <f t="shared" si="207"/>
        <v>0</v>
      </c>
      <c r="AL187" s="681">
        <f t="shared" si="207"/>
        <v>6.3649589732735531E-2</v>
      </c>
      <c r="AM187" s="681">
        <f t="shared" si="207"/>
        <v>3.6481840877145537E-4</v>
      </c>
      <c r="AN187" s="682">
        <f t="shared" si="207"/>
        <v>4.0704381850299461E-2</v>
      </c>
    </row>
    <row r="188" spans="1:40">
      <c r="B188" s="688"/>
      <c r="C188" s="633" t="s">
        <v>528</v>
      </c>
      <c r="D188" s="680">
        <f t="shared" ref="D188:AH188" si="208">IFERROR(D126/D$120,"")</f>
        <v>1.3746626209116359E-2</v>
      </c>
      <c r="E188" s="681">
        <f t="shared" si="208"/>
        <v>1.2586014232782451E-2</v>
      </c>
      <c r="F188" s="681">
        <f t="shared" si="208"/>
        <v>4.9392879193249639E-4</v>
      </c>
      <c r="G188" s="681">
        <f t="shared" si="208"/>
        <v>0</v>
      </c>
      <c r="H188" s="681">
        <f t="shared" si="208"/>
        <v>1.3141967836762927E-2</v>
      </c>
      <c r="I188" s="681">
        <f t="shared" si="208"/>
        <v>3.366786755875793E-3</v>
      </c>
      <c r="J188" s="681">
        <f t="shared" si="208"/>
        <v>2.4016956558790412E-2</v>
      </c>
      <c r="K188" s="681">
        <f t="shared" si="208"/>
        <v>6.9968044445372713E-3</v>
      </c>
      <c r="L188" s="681">
        <f t="shared" si="208"/>
        <v>6.8965517241379318E-3</v>
      </c>
      <c r="M188" s="681">
        <f t="shared" si="208"/>
        <v>0.17339925053969288</v>
      </c>
      <c r="N188" s="681">
        <f t="shared" si="208"/>
        <v>7.8073184135225779E-3</v>
      </c>
      <c r="O188" s="681">
        <f t="shared" si="208"/>
        <v>7.7934693648604211E-2</v>
      </c>
      <c r="P188" s="681">
        <f t="shared" si="208"/>
        <v>2.2981744421906695E-2</v>
      </c>
      <c r="Q188" s="681">
        <f t="shared" si="208"/>
        <v>0.10212687935460212</v>
      </c>
      <c r="R188" s="681">
        <f t="shared" si="208"/>
        <v>7.205364245937039E-2</v>
      </c>
      <c r="S188" s="681">
        <f t="shared" si="208"/>
        <v>4.2245115899239898E-2</v>
      </c>
      <c r="T188" s="681">
        <f t="shared" si="208"/>
        <v>1.5452303302170728E-2</v>
      </c>
      <c r="U188" s="681">
        <f t="shared" si="208"/>
        <v>0.11049510545411945</v>
      </c>
      <c r="V188" s="681">
        <f t="shared" si="208"/>
        <v>3.7450921171851406E-2</v>
      </c>
      <c r="W188" s="681">
        <f t="shared" si="208"/>
        <v>1.1710432931156849E-2</v>
      </c>
      <c r="X188" s="681">
        <f t="shared" si="208"/>
        <v>2.6648801548310255E-2</v>
      </c>
      <c r="Y188" s="681">
        <f t="shared" si="208"/>
        <v>0.64976228209191755</v>
      </c>
      <c r="Z188" s="681">
        <f t="shared" si="208"/>
        <v>3.4590139479376445E-3</v>
      </c>
      <c r="AA188" s="681">
        <f t="shared" si="208"/>
        <v>1.0662734839192849E-2</v>
      </c>
      <c r="AB188" s="681">
        <f t="shared" si="208"/>
        <v>2.8498540598929006E-2</v>
      </c>
      <c r="AC188" s="681">
        <f t="shared" si="208"/>
        <v>0.27516987542468857</v>
      </c>
      <c r="AD188" s="681">
        <f t="shared" si="208"/>
        <v>2.5111698732561319E-2</v>
      </c>
      <c r="AE188" s="681">
        <f t="shared" si="208"/>
        <v>0</v>
      </c>
      <c r="AF188" s="681">
        <f t="shared" si="208"/>
        <v>4.0344827586206895E-2</v>
      </c>
      <c r="AG188" s="681">
        <f t="shared" si="208"/>
        <v>1.2113266911379131E-2</v>
      </c>
      <c r="AH188" s="681">
        <f t="shared" si="208"/>
        <v>1.4086325980063904E-2</v>
      </c>
      <c r="AI188" s="681">
        <f t="shared" ref="AI188:AN188" si="209">IFERROR(AI126/AI$120,"")</f>
        <v>0.30929012418228186</v>
      </c>
      <c r="AJ188" s="681">
        <f t="shared" si="209"/>
        <v>0</v>
      </c>
      <c r="AK188" s="681">
        <f t="shared" si="209"/>
        <v>0</v>
      </c>
      <c r="AL188" s="681">
        <f t="shared" si="209"/>
        <v>5.0536289662027542E-2</v>
      </c>
      <c r="AM188" s="681">
        <f t="shared" si="209"/>
        <v>2.838397439433844E-2</v>
      </c>
      <c r="AN188" s="682">
        <f t="shared" si="209"/>
        <v>8.298964598172455E-2</v>
      </c>
    </row>
    <row r="189" spans="1:40">
      <c r="B189" s="688"/>
      <c r="C189" s="633" t="s">
        <v>536</v>
      </c>
      <c r="D189" s="680">
        <f t="shared" ref="D189:AH189" si="210">IFERROR(D127/D$120,"")</f>
        <v>0.17153107240448609</v>
      </c>
      <c r="E189" s="681">
        <f t="shared" si="210"/>
        <v>1.6511792036699408E-2</v>
      </c>
      <c r="F189" s="681">
        <f t="shared" si="210"/>
        <v>2.6548672566371685E-2</v>
      </c>
      <c r="G189" s="681">
        <f t="shared" si="210"/>
        <v>5.2578727867730782E-2</v>
      </c>
      <c r="H189" s="681">
        <f t="shared" si="210"/>
        <v>0.89330797164101683</v>
      </c>
      <c r="I189" s="681">
        <f t="shared" si="210"/>
        <v>1.4646594613141191E-2</v>
      </c>
      <c r="J189" s="681">
        <f t="shared" si="210"/>
        <v>7.8527433833701712E-2</v>
      </c>
      <c r="K189" s="681">
        <f t="shared" si="210"/>
        <v>2.1951168570772152E-2</v>
      </c>
      <c r="L189" s="681">
        <f t="shared" si="210"/>
        <v>0</v>
      </c>
      <c r="M189" s="681">
        <f t="shared" si="210"/>
        <v>7.6626206671825986E-2</v>
      </c>
      <c r="N189" s="681">
        <f t="shared" si="210"/>
        <v>1.7623315836349509E-3</v>
      </c>
      <c r="O189" s="681">
        <f t="shared" si="210"/>
        <v>1.0881842264279868E-2</v>
      </c>
      <c r="P189" s="681">
        <f t="shared" si="210"/>
        <v>0.36446247464503045</v>
      </c>
      <c r="Q189" s="681">
        <f t="shared" si="210"/>
        <v>3.1842073096198506E-2</v>
      </c>
      <c r="R189" s="681">
        <f t="shared" si="210"/>
        <v>1.4461870667121264E-2</v>
      </c>
      <c r="S189" s="681">
        <f t="shared" si="210"/>
        <v>1.6803819335385387E-2</v>
      </c>
      <c r="T189" s="681">
        <f t="shared" si="210"/>
        <v>0</v>
      </c>
      <c r="U189" s="681">
        <f t="shared" si="210"/>
        <v>3.4201522288187278E-2</v>
      </c>
      <c r="V189" s="681">
        <f t="shared" si="210"/>
        <v>0</v>
      </c>
      <c r="W189" s="681">
        <f t="shared" si="210"/>
        <v>3.0518097941802696E-2</v>
      </c>
      <c r="X189" s="681">
        <f t="shared" si="210"/>
        <v>0</v>
      </c>
      <c r="Y189" s="681">
        <f t="shared" si="210"/>
        <v>0</v>
      </c>
      <c r="Z189" s="681">
        <f t="shared" si="210"/>
        <v>1.9262325650779445E-2</v>
      </c>
      <c r="AA189" s="681">
        <f t="shared" si="210"/>
        <v>0</v>
      </c>
      <c r="AB189" s="681">
        <f t="shared" si="210"/>
        <v>0</v>
      </c>
      <c r="AC189" s="681">
        <f t="shared" si="210"/>
        <v>9.8924122310305784E-2</v>
      </c>
      <c r="AD189" s="681">
        <f t="shared" si="210"/>
        <v>0</v>
      </c>
      <c r="AE189" s="681">
        <f t="shared" si="210"/>
        <v>1.5718768087245257E-2</v>
      </c>
      <c r="AF189" s="681">
        <f t="shared" si="210"/>
        <v>3.4896551724137928E-2</v>
      </c>
      <c r="AG189" s="681">
        <f t="shared" si="210"/>
        <v>0</v>
      </c>
      <c r="AH189" s="681">
        <f t="shared" si="210"/>
        <v>2.0797061243231867E-2</v>
      </c>
      <c r="AI189" s="681">
        <f t="shared" ref="AI189:AN189" si="211">IFERROR(AI127/AI$120,"")</f>
        <v>3.3928906987910082E-2</v>
      </c>
      <c r="AJ189" s="681">
        <f t="shared" si="211"/>
        <v>0</v>
      </c>
      <c r="AK189" s="681">
        <f t="shared" si="211"/>
        <v>0</v>
      </c>
      <c r="AL189" s="681">
        <f t="shared" si="211"/>
        <v>0</v>
      </c>
      <c r="AM189" s="681">
        <f t="shared" si="211"/>
        <v>0</v>
      </c>
      <c r="AN189" s="682">
        <f t="shared" si="211"/>
        <v>6.3206323586420168E-3</v>
      </c>
    </row>
    <row r="190" spans="1:40">
      <c r="B190" s="547"/>
      <c r="C190" s="619" t="s">
        <v>529</v>
      </c>
      <c r="D190" s="683">
        <f t="shared" ref="D190:AH190" si="212">IFERROR(D128/D$120,"")</f>
        <v>2.9169670248612766E-3</v>
      </c>
      <c r="E190" s="684">
        <f t="shared" si="212"/>
        <v>0</v>
      </c>
      <c r="F190" s="684">
        <f t="shared" si="212"/>
        <v>4.8158057213418398E-3</v>
      </c>
      <c r="G190" s="684">
        <f t="shared" si="212"/>
        <v>0</v>
      </c>
      <c r="H190" s="684">
        <f t="shared" si="212"/>
        <v>0</v>
      </c>
      <c r="I190" s="684">
        <f t="shared" si="212"/>
        <v>1.5482930176702691E-2</v>
      </c>
      <c r="J190" s="684">
        <f t="shared" si="212"/>
        <v>0</v>
      </c>
      <c r="K190" s="684">
        <f t="shared" si="212"/>
        <v>0</v>
      </c>
      <c r="L190" s="684">
        <f t="shared" si="212"/>
        <v>0</v>
      </c>
      <c r="M190" s="684">
        <f t="shared" si="212"/>
        <v>0</v>
      </c>
      <c r="N190" s="684">
        <f t="shared" si="212"/>
        <v>0</v>
      </c>
      <c r="O190" s="684">
        <f t="shared" si="212"/>
        <v>0</v>
      </c>
      <c r="P190" s="684">
        <f t="shared" si="212"/>
        <v>0</v>
      </c>
      <c r="Q190" s="684">
        <f t="shared" si="212"/>
        <v>0</v>
      </c>
      <c r="R190" s="684">
        <f t="shared" si="212"/>
        <v>1.3069667007614505E-3</v>
      </c>
      <c r="S190" s="684">
        <f t="shared" si="212"/>
        <v>0.12105031723098184</v>
      </c>
      <c r="T190" s="684">
        <f t="shared" si="212"/>
        <v>0</v>
      </c>
      <c r="U190" s="684">
        <f t="shared" si="212"/>
        <v>0</v>
      </c>
      <c r="V190" s="684">
        <f t="shared" si="212"/>
        <v>0</v>
      </c>
      <c r="W190" s="684">
        <f t="shared" si="212"/>
        <v>0</v>
      </c>
      <c r="X190" s="684">
        <f t="shared" si="212"/>
        <v>0</v>
      </c>
      <c r="Y190" s="684">
        <f t="shared" si="212"/>
        <v>0</v>
      </c>
      <c r="Z190" s="684">
        <f t="shared" si="212"/>
        <v>0</v>
      </c>
      <c r="AA190" s="684">
        <f t="shared" si="212"/>
        <v>0</v>
      </c>
      <c r="AB190" s="684">
        <f t="shared" si="212"/>
        <v>0.28963365585713957</v>
      </c>
      <c r="AC190" s="684">
        <f t="shared" si="212"/>
        <v>0</v>
      </c>
      <c r="AD190" s="684">
        <f t="shared" si="212"/>
        <v>0</v>
      </c>
      <c r="AE190" s="684">
        <f t="shared" si="212"/>
        <v>0</v>
      </c>
      <c r="AF190" s="684">
        <f t="shared" si="212"/>
        <v>0</v>
      </c>
      <c r="AG190" s="684">
        <f t="shared" si="212"/>
        <v>0</v>
      </c>
      <c r="AH190" s="684">
        <f t="shared" si="212"/>
        <v>3.8408556067882215E-3</v>
      </c>
      <c r="AI190" s="684">
        <f t="shared" ref="AI190:AN190" si="213">IFERROR(AI128/AI$120,"")</f>
        <v>0</v>
      </c>
      <c r="AJ190" s="684">
        <f t="shared" si="213"/>
        <v>0</v>
      </c>
      <c r="AK190" s="684">
        <f t="shared" si="213"/>
        <v>0</v>
      </c>
      <c r="AL190" s="684">
        <f t="shared" si="213"/>
        <v>0</v>
      </c>
      <c r="AM190" s="684">
        <f t="shared" si="213"/>
        <v>0</v>
      </c>
      <c r="AN190" s="685">
        <f t="shared" si="213"/>
        <v>0</v>
      </c>
    </row>
    <row r="192" spans="1:40">
      <c r="C192" s="633" t="s">
        <v>526</v>
      </c>
      <c r="D192" s="797">
        <f ca="1">D111/D173</f>
        <v>125.37071451203958</v>
      </c>
    </row>
    <row r="193" spans="3:4">
      <c r="C193" s="633" t="s">
        <v>532</v>
      </c>
      <c r="D193" s="797">
        <f ca="1">D112/D174</f>
        <v>118.55681358250447</v>
      </c>
    </row>
    <row r="194" spans="3:4">
      <c r="C194" s="633" t="s">
        <v>510</v>
      </c>
      <c r="D194" s="797">
        <f t="shared" ref="D194:D199" ca="1" si="214">D114/D176</f>
        <v>137.59966936288237</v>
      </c>
    </row>
    <row r="195" spans="3:4">
      <c r="C195" s="633" t="s">
        <v>527</v>
      </c>
      <c r="D195" s="797">
        <f t="shared" ca="1" si="214"/>
        <v>122.6454059359136</v>
      </c>
    </row>
    <row r="196" spans="3:4">
      <c r="C196" s="633" t="s">
        <v>533</v>
      </c>
      <c r="D196" s="797">
        <f t="shared" ca="1" si="214"/>
        <v>119.38348795991841</v>
      </c>
    </row>
    <row r="197" spans="3:4">
      <c r="C197" s="633" t="s">
        <v>534</v>
      </c>
      <c r="D197" s="797" t="e">
        <f t="shared" ca="1" si="214"/>
        <v>#DIV/0!</v>
      </c>
    </row>
    <row r="198" spans="3:4">
      <c r="C198" s="633" t="s">
        <v>528</v>
      </c>
      <c r="D198" s="797">
        <f t="shared" ca="1" si="214"/>
        <v>118.49627861532581</v>
      </c>
    </row>
    <row r="199" spans="3:4">
      <c r="C199" s="619" t="s">
        <v>529</v>
      </c>
      <c r="D199" s="797">
        <f t="shared" ca="1" si="214"/>
        <v>127.17281577690358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6"/>
  <dimension ref="A2:AG103"/>
  <sheetViews>
    <sheetView zoomScale="145" zoomScaleNormal="145" workbookViewId="0">
      <pane xSplit="2" ySplit="2" topLeftCell="Y3" activePane="bottomRight" state="frozen"/>
      <selection pane="topRight" activeCell="C1" sqref="C1"/>
      <selection pane="bottomLeft" activeCell="A3" sqref="A3"/>
      <selection pane="bottomRight" activeCell="Z18" sqref="Z18"/>
    </sheetView>
  </sheetViews>
  <sheetFormatPr defaultRowHeight="14.4"/>
  <cols>
    <col min="2" max="2" width="38" bestFit="1" customWidth="1"/>
    <col min="6" max="6" width="9.109375"/>
    <col min="19" max="19" width="9.109375"/>
    <col min="26" max="26" width="9.109375"/>
  </cols>
  <sheetData>
    <row r="2" spans="2:33">
      <c r="B2" s="824"/>
      <c r="C2" s="824" t="s">
        <v>88</v>
      </c>
      <c r="D2" s="824" t="s">
        <v>89</v>
      </c>
      <c r="E2" s="824" t="s">
        <v>90</v>
      </c>
      <c r="F2" s="824" t="s">
        <v>91</v>
      </c>
      <c r="G2" s="824" t="s">
        <v>92</v>
      </c>
      <c r="H2" s="824" t="s">
        <v>93</v>
      </c>
      <c r="I2" s="824" t="s">
        <v>94</v>
      </c>
      <c r="J2" s="824" t="s">
        <v>95</v>
      </c>
      <c r="K2" s="824" t="s">
        <v>96</v>
      </c>
      <c r="L2" s="824" t="s">
        <v>97</v>
      </c>
      <c r="M2" s="824" t="s">
        <v>98</v>
      </c>
      <c r="N2" s="824" t="s">
        <v>99</v>
      </c>
      <c r="O2" s="824" t="s">
        <v>205</v>
      </c>
      <c r="P2" s="824" t="s">
        <v>118</v>
      </c>
      <c r="Q2" s="824" t="s">
        <v>100</v>
      </c>
      <c r="R2" s="824" t="s">
        <v>101</v>
      </c>
      <c r="S2" s="824" t="s">
        <v>102</v>
      </c>
      <c r="T2" s="824" t="s">
        <v>103</v>
      </c>
      <c r="U2" s="824" t="s">
        <v>104</v>
      </c>
      <c r="V2" s="824" t="s">
        <v>105</v>
      </c>
      <c r="W2" s="824" t="s">
        <v>106</v>
      </c>
      <c r="X2" s="824" t="s">
        <v>107</v>
      </c>
      <c r="Y2" s="824" t="s">
        <v>108</v>
      </c>
      <c r="Z2" s="824" t="s">
        <v>109</v>
      </c>
      <c r="AA2" s="824" t="s">
        <v>110</v>
      </c>
      <c r="AB2" s="824" t="s">
        <v>111</v>
      </c>
      <c r="AC2" s="824" t="s">
        <v>112</v>
      </c>
      <c r="AD2" s="824" t="s">
        <v>113</v>
      </c>
      <c r="AE2" s="824" t="s">
        <v>114</v>
      </c>
      <c r="AF2" s="824" t="s">
        <v>115</v>
      </c>
      <c r="AG2" s="824" t="s">
        <v>52</v>
      </c>
    </row>
    <row r="3" spans="2:33">
      <c r="B3" s="825" t="s">
        <v>940</v>
      </c>
      <c r="C3" s="824"/>
      <c r="D3" s="824"/>
      <c r="E3" s="824"/>
      <c r="F3" s="824"/>
      <c r="G3" s="824"/>
      <c r="H3" s="824"/>
      <c r="I3" s="824"/>
      <c r="J3" s="824"/>
      <c r="K3" s="824"/>
      <c r="L3" s="824"/>
      <c r="M3" s="824"/>
      <c r="N3" s="824"/>
      <c r="O3" s="824"/>
      <c r="P3" s="824"/>
      <c r="Q3" s="824"/>
      <c r="R3" s="824"/>
      <c r="S3" s="824"/>
      <c r="T3" s="824"/>
      <c r="U3" s="824"/>
      <c r="V3" s="824"/>
      <c r="W3" s="824"/>
      <c r="X3" s="824"/>
      <c r="Y3" s="824"/>
      <c r="Z3" s="824"/>
      <c r="AA3" s="824"/>
      <c r="AB3" s="824"/>
      <c r="AC3" s="824"/>
      <c r="AD3" s="824"/>
      <c r="AE3" s="824"/>
      <c r="AF3" s="824"/>
      <c r="AG3" s="824"/>
    </row>
    <row r="4" spans="2:33">
      <c r="B4" s="824"/>
      <c r="C4" s="826"/>
      <c r="D4" s="824"/>
      <c r="E4" s="824"/>
      <c r="F4" s="824"/>
      <c r="G4" s="824"/>
      <c r="H4" s="824"/>
      <c r="I4" s="824"/>
      <c r="J4" s="824"/>
      <c r="K4" s="824"/>
      <c r="L4" s="824"/>
      <c r="M4" s="824"/>
      <c r="N4" s="824"/>
      <c r="O4" s="824"/>
      <c r="P4" s="824"/>
      <c r="Q4" s="824"/>
      <c r="R4" s="824"/>
      <c r="S4" s="824"/>
      <c r="T4" s="824"/>
      <c r="U4" s="824"/>
      <c r="V4" s="824"/>
      <c r="W4" s="824"/>
      <c r="X4" s="824"/>
      <c r="Y4" s="824"/>
      <c r="Z4" s="824"/>
      <c r="AA4" s="824"/>
      <c r="AB4" s="824"/>
      <c r="AC4" s="824"/>
      <c r="AD4" s="824"/>
      <c r="AE4" s="824"/>
      <c r="AF4" s="824"/>
      <c r="AG4" s="824"/>
    </row>
    <row r="5" spans="2:33">
      <c r="B5" s="824" t="s">
        <v>941</v>
      </c>
      <c r="C5" s="827"/>
      <c r="D5" s="824"/>
      <c r="E5" s="824"/>
      <c r="F5" s="824"/>
      <c r="G5" s="824"/>
      <c r="H5" s="824"/>
      <c r="I5" s="824"/>
      <c r="J5" s="824"/>
      <c r="K5" s="824"/>
      <c r="L5" s="824"/>
      <c r="M5" s="824"/>
      <c r="N5" s="824"/>
      <c r="O5" s="824"/>
      <c r="P5" s="824"/>
      <c r="Q5" s="824"/>
      <c r="R5" s="824"/>
      <c r="S5" s="824"/>
      <c r="T5" s="824"/>
      <c r="U5" s="824"/>
      <c r="V5" s="824"/>
      <c r="W5" s="824"/>
      <c r="X5" s="824"/>
      <c r="Y5" s="824"/>
      <c r="Z5" s="824"/>
      <c r="AA5" s="824"/>
      <c r="AB5" s="824"/>
      <c r="AC5" s="824"/>
      <c r="AD5" s="824"/>
      <c r="AE5" s="824"/>
      <c r="AF5" s="824"/>
      <c r="AG5" s="824"/>
    </row>
    <row r="6" spans="2:33">
      <c r="B6" s="828" t="s">
        <v>531</v>
      </c>
      <c r="C6" s="827">
        <v>3669439</v>
      </c>
      <c r="D6" s="827">
        <v>4758518</v>
      </c>
      <c r="E6" s="827">
        <v>2611459</v>
      </c>
      <c r="F6" s="827"/>
      <c r="G6" s="827">
        <v>293915</v>
      </c>
      <c r="H6" s="827">
        <v>4178150</v>
      </c>
      <c r="I6" s="827">
        <v>40296678</v>
      </c>
      <c r="J6" s="827">
        <v>2812367</v>
      </c>
      <c r="K6" s="827">
        <v>588389</v>
      </c>
      <c r="L6" s="827">
        <v>17763324</v>
      </c>
      <c r="M6" s="827">
        <v>2582735</v>
      </c>
      <c r="N6" s="827">
        <v>29047105</v>
      </c>
      <c r="O6" s="827">
        <v>4197542</v>
      </c>
      <c r="P6" s="827">
        <v>1559568</v>
      </c>
      <c r="Q6" s="827">
        <v>3871018</v>
      </c>
      <c r="R6" s="827">
        <v>1700721</v>
      </c>
      <c r="S6" s="827"/>
      <c r="T6" s="827">
        <v>24499231</v>
      </c>
      <c r="U6" s="827">
        <v>1315735</v>
      </c>
      <c r="V6" s="827">
        <v>201390</v>
      </c>
      <c r="W6" s="827">
        <v>860944</v>
      </c>
      <c r="X6" s="827">
        <v>152104</v>
      </c>
      <c r="Y6" s="827">
        <v>7452783</v>
      </c>
      <c r="Z6" s="827"/>
      <c r="AA6" s="827">
        <v>13579596</v>
      </c>
      <c r="AB6" s="827">
        <v>3926283</v>
      </c>
      <c r="AC6" s="827">
        <v>7497112</v>
      </c>
      <c r="AD6" s="827">
        <v>4450063</v>
      </c>
      <c r="AE6" s="827">
        <v>798353</v>
      </c>
      <c r="AF6" s="827">
        <v>1933433</v>
      </c>
      <c r="AG6" s="827">
        <v>26725180</v>
      </c>
    </row>
    <row r="7" spans="2:33">
      <c r="B7" s="829" t="s">
        <v>529</v>
      </c>
      <c r="C7" s="827">
        <v>34917</v>
      </c>
      <c r="D7" s="827">
        <v>76979</v>
      </c>
      <c r="E7" s="827">
        <v>328390</v>
      </c>
      <c r="F7" s="827"/>
      <c r="G7" s="827">
        <v>0</v>
      </c>
      <c r="H7" s="827">
        <v>565099</v>
      </c>
      <c r="I7" s="827">
        <v>656317</v>
      </c>
      <c r="J7" s="827">
        <v>0</v>
      </c>
      <c r="K7" s="827">
        <v>6463</v>
      </c>
      <c r="L7" s="827">
        <v>318266</v>
      </c>
      <c r="M7" s="827">
        <v>3475</v>
      </c>
      <c r="N7" s="827">
        <v>166414</v>
      </c>
      <c r="O7" s="827">
        <v>0</v>
      </c>
      <c r="P7" s="827">
        <v>4202</v>
      </c>
      <c r="Q7" s="827">
        <v>106828</v>
      </c>
      <c r="R7" s="827">
        <v>304189</v>
      </c>
      <c r="S7" s="827"/>
      <c r="T7" s="827">
        <v>3773</v>
      </c>
      <c r="U7" s="827">
        <v>57705</v>
      </c>
      <c r="V7" s="827">
        <v>213</v>
      </c>
      <c r="W7" s="827">
        <v>11154</v>
      </c>
      <c r="X7" s="827">
        <v>0</v>
      </c>
      <c r="Y7" s="827">
        <v>1603</v>
      </c>
      <c r="Z7" s="827"/>
      <c r="AA7" s="827">
        <v>4664050</v>
      </c>
      <c r="AB7" s="827">
        <v>0</v>
      </c>
      <c r="AC7" s="827">
        <v>22777</v>
      </c>
      <c r="AD7" s="827">
        <v>0</v>
      </c>
      <c r="AE7" s="827">
        <v>1131</v>
      </c>
      <c r="AF7" s="827">
        <v>49377</v>
      </c>
      <c r="AG7" s="827">
        <v>483495</v>
      </c>
    </row>
    <row r="8" spans="2:33">
      <c r="B8" s="829" t="s">
        <v>942</v>
      </c>
      <c r="C8" s="827">
        <v>7956</v>
      </c>
      <c r="D8" s="827">
        <v>10383</v>
      </c>
      <c r="E8" s="827">
        <v>8388</v>
      </c>
      <c r="F8" s="827"/>
      <c r="G8" s="827">
        <v>25999</v>
      </c>
      <c r="H8" s="827">
        <v>0</v>
      </c>
      <c r="I8" s="827">
        <v>154958</v>
      </c>
      <c r="J8" s="827">
        <v>2913</v>
      </c>
      <c r="K8" s="827">
        <v>0</v>
      </c>
      <c r="L8" s="827">
        <v>720998</v>
      </c>
      <c r="M8" s="827">
        <v>0</v>
      </c>
      <c r="N8" s="827">
        <v>282917</v>
      </c>
      <c r="O8" s="827">
        <v>0</v>
      </c>
      <c r="P8" s="827">
        <v>15106</v>
      </c>
      <c r="Q8" s="827">
        <v>32752</v>
      </c>
      <c r="R8" s="827">
        <v>18588</v>
      </c>
      <c r="S8" s="827"/>
      <c r="T8" s="827">
        <v>543323</v>
      </c>
      <c r="U8" s="827">
        <v>0</v>
      </c>
      <c r="V8" s="827">
        <v>0</v>
      </c>
      <c r="W8" s="827">
        <v>0</v>
      </c>
      <c r="X8" s="827">
        <v>65674</v>
      </c>
      <c r="Y8" s="827">
        <v>0</v>
      </c>
      <c r="Z8" s="827"/>
      <c r="AA8" s="827">
        <v>0</v>
      </c>
      <c r="AB8" s="827">
        <v>227996</v>
      </c>
      <c r="AC8" s="827">
        <v>0</v>
      </c>
      <c r="AD8" s="827">
        <v>0</v>
      </c>
      <c r="AE8" s="827">
        <v>7210</v>
      </c>
      <c r="AF8" s="827">
        <v>0</v>
      </c>
      <c r="AG8" s="827">
        <v>63983</v>
      </c>
    </row>
    <row r="9" spans="2:33">
      <c r="B9" s="829" t="s">
        <v>943</v>
      </c>
      <c r="C9" s="827">
        <v>900757</v>
      </c>
      <c r="D9" s="827">
        <v>1894674</v>
      </c>
      <c r="E9" s="827">
        <v>3524</v>
      </c>
      <c r="F9" s="827"/>
      <c r="G9" s="827">
        <v>171083</v>
      </c>
      <c r="H9" s="827">
        <v>0</v>
      </c>
      <c r="I9" s="827">
        <v>10486728</v>
      </c>
      <c r="J9" s="827">
        <v>278538</v>
      </c>
      <c r="K9" s="827">
        <v>3283</v>
      </c>
      <c r="L9" s="827">
        <v>3256063</v>
      </c>
      <c r="M9" s="827">
        <v>293277</v>
      </c>
      <c r="N9" s="827">
        <v>6059791</v>
      </c>
      <c r="O9" s="827">
        <v>2946319</v>
      </c>
      <c r="P9" s="827">
        <v>119636</v>
      </c>
      <c r="Q9" s="827">
        <v>0</v>
      </c>
      <c r="R9" s="827">
        <v>817028</v>
      </c>
      <c r="S9" s="827"/>
      <c r="T9" s="827">
        <v>1807904</v>
      </c>
      <c r="U9" s="827">
        <v>6677</v>
      </c>
      <c r="V9" s="827">
        <v>84103</v>
      </c>
      <c r="W9" s="827">
        <v>21755</v>
      </c>
      <c r="X9" s="827">
        <v>0</v>
      </c>
      <c r="Y9" s="827">
        <v>10208</v>
      </c>
      <c r="Z9" s="827"/>
      <c r="AA9" s="827">
        <v>85828</v>
      </c>
      <c r="AB9" s="827">
        <v>342785</v>
      </c>
      <c r="AC9" s="827">
        <v>40322</v>
      </c>
      <c r="AD9" s="827">
        <v>35825</v>
      </c>
      <c r="AE9" s="827">
        <v>197286</v>
      </c>
      <c r="AF9" s="827">
        <v>0</v>
      </c>
      <c r="AG9" s="827">
        <v>1920981</v>
      </c>
    </row>
    <row r="10" spans="2:33">
      <c r="B10" s="829" t="s">
        <v>944</v>
      </c>
      <c r="C10" s="827">
        <v>817499</v>
      </c>
      <c r="D10" s="827">
        <v>2269110</v>
      </c>
      <c r="E10" s="827">
        <v>69116</v>
      </c>
      <c r="F10" s="827"/>
      <c r="G10" s="827">
        <v>0</v>
      </c>
      <c r="H10" s="827">
        <v>1395075</v>
      </c>
      <c r="I10" s="827">
        <v>18035812</v>
      </c>
      <c r="J10" s="827">
        <v>442863</v>
      </c>
      <c r="K10" s="827">
        <v>33359</v>
      </c>
      <c r="L10" s="827">
        <v>5908643</v>
      </c>
      <c r="M10" s="827">
        <v>20288</v>
      </c>
      <c r="N10" s="827">
        <v>11245567</v>
      </c>
      <c r="O10" s="827">
        <v>301244</v>
      </c>
      <c r="P10" s="827">
        <v>418204</v>
      </c>
      <c r="Q10" s="827">
        <v>2122202</v>
      </c>
      <c r="R10" s="827">
        <v>442395</v>
      </c>
      <c r="S10" s="827"/>
      <c r="T10" s="827">
        <v>15997062</v>
      </c>
      <c r="U10" s="827">
        <v>135538</v>
      </c>
      <c r="V10" s="827">
        <v>103837</v>
      </c>
      <c r="W10" s="827">
        <v>77742</v>
      </c>
      <c r="X10" s="827">
        <v>0</v>
      </c>
      <c r="Y10" s="827">
        <v>6721189</v>
      </c>
      <c r="Z10" s="827"/>
      <c r="AA10" s="827">
        <v>2493947</v>
      </c>
      <c r="AB10" s="827">
        <v>555863</v>
      </c>
      <c r="AC10" s="827">
        <v>2425109</v>
      </c>
      <c r="AD10" s="827">
        <v>75341</v>
      </c>
      <c r="AE10" s="827">
        <v>85355</v>
      </c>
      <c r="AF10" s="827">
        <v>1174205</v>
      </c>
      <c r="AG10" s="827">
        <v>20591331</v>
      </c>
    </row>
    <row r="11" spans="2:33">
      <c r="B11" s="829" t="s">
        <v>526</v>
      </c>
      <c r="C11" s="827">
        <v>960025</v>
      </c>
      <c r="D11" s="827">
        <v>267710</v>
      </c>
      <c r="E11" s="830">
        <v>1164144</v>
      </c>
      <c r="F11" s="827"/>
      <c r="G11" s="827">
        <v>10164</v>
      </c>
      <c r="H11" s="827">
        <v>897292</v>
      </c>
      <c r="I11" s="827">
        <v>4037362</v>
      </c>
      <c r="J11" s="827">
        <v>494442</v>
      </c>
      <c r="K11" s="827">
        <v>230339</v>
      </c>
      <c r="L11" s="827">
        <v>3697162</v>
      </c>
      <c r="M11" s="827">
        <v>535717</v>
      </c>
      <c r="N11" s="827">
        <v>5648168</v>
      </c>
      <c r="O11" s="827">
        <v>722441</v>
      </c>
      <c r="P11" s="827">
        <v>823526</v>
      </c>
      <c r="Q11" s="827">
        <v>944294</v>
      </c>
      <c r="R11" s="827">
        <v>15442</v>
      </c>
      <c r="S11" s="827"/>
      <c r="T11" s="830">
        <v>5831682</v>
      </c>
      <c r="U11" s="827">
        <v>449091</v>
      </c>
      <c r="V11" s="827">
        <v>6520</v>
      </c>
      <c r="W11" s="827">
        <v>369021</v>
      </c>
      <c r="X11" s="827">
        <v>11771</v>
      </c>
      <c r="Y11" s="827">
        <v>282437</v>
      </c>
      <c r="Z11" s="827"/>
      <c r="AA11" s="827">
        <v>1619785</v>
      </c>
      <c r="AB11" s="830">
        <v>2634938</v>
      </c>
      <c r="AC11" s="830">
        <v>3086022</v>
      </c>
      <c r="AD11" s="827">
        <v>262370</v>
      </c>
      <c r="AE11" s="827">
        <v>363478</v>
      </c>
      <c r="AF11" s="827">
        <v>34690</v>
      </c>
      <c r="AG11" s="827">
        <v>647072</v>
      </c>
    </row>
    <row r="12" spans="2:33">
      <c r="B12" s="829" t="s">
        <v>945</v>
      </c>
      <c r="C12" s="827">
        <v>0</v>
      </c>
      <c r="D12" s="827">
        <v>0</v>
      </c>
      <c r="E12" s="827">
        <v>0</v>
      </c>
      <c r="F12" s="827"/>
      <c r="G12" s="827">
        <v>1908</v>
      </c>
      <c r="H12" s="827">
        <v>0</v>
      </c>
      <c r="I12" s="827">
        <v>16000</v>
      </c>
      <c r="J12" s="827">
        <v>0</v>
      </c>
      <c r="K12" s="827">
        <v>0</v>
      </c>
      <c r="L12" s="827">
        <v>24422</v>
      </c>
      <c r="M12" s="827">
        <v>0</v>
      </c>
      <c r="N12" s="827">
        <v>18883</v>
      </c>
      <c r="O12" s="827">
        <v>361</v>
      </c>
      <c r="P12" s="827">
        <v>0</v>
      </c>
      <c r="Q12" s="827">
        <v>0</v>
      </c>
      <c r="R12" s="827">
        <v>0</v>
      </c>
      <c r="S12" s="827"/>
      <c r="T12" s="827">
        <v>2172</v>
      </c>
      <c r="U12" s="827">
        <v>0</v>
      </c>
      <c r="V12" s="827">
        <v>0</v>
      </c>
      <c r="W12" s="827">
        <v>0</v>
      </c>
      <c r="X12" s="827">
        <v>0</v>
      </c>
      <c r="Y12" s="827">
        <v>0</v>
      </c>
      <c r="Z12" s="827"/>
      <c r="AA12" s="827">
        <v>12507</v>
      </c>
      <c r="AB12" s="827">
        <v>0</v>
      </c>
      <c r="AC12" s="827">
        <v>21901</v>
      </c>
      <c r="AD12" s="827">
        <v>0</v>
      </c>
      <c r="AE12" s="827">
        <v>10572</v>
      </c>
      <c r="AF12" s="827">
        <v>0</v>
      </c>
      <c r="AG12" s="827">
        <v>0</v>
      </c>
    </row>
    <row r="13" spans="2:33">
      <c r="B13" s="829" t="s">
        <v>532</v>
      </c>
      <c r="C13" s="827">
        <v>563071</v>
      </c>
      <c r="D13" s="827">
        <v>11310</v>
      </c>
      <c r="E13" s="827">
        <v>803899</v>
      </c>
      <c r="F13" s="827"/>
      <c r="G13" s="827">
        <v>0</v>
      </c>
      <c r="H13" s="827">
        <v>1090395</v>
      </c>
      <c r="I13" s="827">
        <v>4655606</v>
      </c>
      <c r="J13" s="827">
        <v>1498833</v>
      </c>
      <c r="K13" s="827">
        <v>304317</v>
      </c>
      <c r="L13" s="827">
        <v>0</v>
      </c>
      <c r="M13" s="827">
        <v>1014647</v>
      </c>
      <c r="N13" s="827">
        <v>2107189</v>
      </c>
      <c r="O13" s="827">
        <v>79368</v>
      </c>
      <c r="P13" s="827">
        <v>157955</v>
      </c>
      <c r="Q13" s="827">
        <v>522550</v>
      </c>
      <c r="R13" s="827">
        <v>0</v>
      </c>
      <c r="S13" s="827"/>
      <c r="T13" s="827">
        <v>150529</v>
      </c>
      <c r="U13" s="827">
        <v>662751</v>
      </c>
      <c r="V13" s="827">
        <v>0</v>
      </c>
      <c r="W13" s="827">
        <v>376467</v>
      </c>
      <c r="X13" s="827">
        <v>0</v>
      </c>
      <c r="Y13" s="827">
        <v>277719</v>
      </c>
      <c r="Z13" s="827"/>
      <c r="AA13" s="827">
        <v>4640185</v>
      </c>
      <c r="AB13" s="827">
        <v>5895</v>
      </c>
      <c r="AC13" s="827">
        <v>1795342</v>
      </c>
      <c r="AD13" s="827">
        <v>2239558</v>
      </c>
      <c r="AE13" s="827">
        <v>101484</v>
      </c>
      <c r="AF13" s="827">
        <v>602733</v>
      </c>
      <c r="AG13" s="827">
        <v>49037</v>
      </c>
    </row>
    <row r="14" spans="2:33">
      <c r="B14" s="829" t="s">
        <v>946</v>
      </c>
      <c r="C14" s="827">
        <v>109023</v>
      </c>
      <c r="D14" s="827">
        <v>43401</v>
      </c>
      <c r="E14" s="827">
        <v>53853</v>
      </c>
      <c r="F14" s="827"/>
      <c r="G14" s="827">
        <v>53620</v>
      </c>
      <c r="H14" s="827">
        <v>24174</v>
      </c>
      <c r="I14" s="827">
        <v>325744</v>
      </c>
      <c r="J14" s="827">
        <v>71842</v>
      </c>
      <c r="K14" s="827">
        <v>0</v>
      </c>
      <c r="L14" s="827">
        <v>1050815</v>
      </c>
      <c r="M14" s="827">
        <v>448358</v>
      </c>
      <c r="N14" s="827">
        <v>701097</v>
      </c>
      <c r="O14" s="827">
        <v>81641</v>
      </c>
      <c r="P14" s="827">
        <v>13069</v>
      </c>
      <c r="Q14" s="827">
        <v>2235</v>
      </c>
      <c r="R14" s="827">
        <v>7909</v>
      </c>
      <c r="S14" s="827"/>
      <c r="T14" s="827">
        <v>91758</v>
      </c>
      <c r="U14" s="827">
        <v>0</v>
      </c>
      <c r="V14" s="827">
        <v>1983</v>
      </c>
      <c r="W14" s="827">
        <v>0</v>
      </c>
      <c r="X14" s="827">
        <v>17566</v>
      </c>
      <c r="Y14" s="827">
        <v>67799</v>
      </c>
      <c r="Z14" s="827"/>
      <c r="AA14" s="827">
        <v>16856</v>
      </c>
      <c r="AB14" s="827">
        <v>28188</v>
      </c>
      <c r="AC14" s="827">
        <v>8105</v>
      </c>
      <c r="AD14" s="827">
        <v>933687</v>
      </c>
      <c r="AE14" s="827">
        <v>7437</v>
      </c>
      <c r="AF14" s="827">
        <v>5557</v>
      </c>
      <c r="AG14" s="827">
        <v>183289</v>
      </c>
    </row>
    <row r="15" spans="2:33">
      <c r="B15" s="829" t="s">
        <v>947</v>
      </c>
      <c r="C15" s="827">
        <v>276191</v>
      </c>
      <c r="D15" s="827">
        <v>184951</v>
      </c>
      <c r="E15" s="827">
        <v>180145</v>
      </c>
      <c r="F15" s="827"/>
      <c r="G15" s="827">
        <v>31141</v>
      </c>
      <c r="H15" s="827">
        <v>206115</v>
      </c>
      <c r="I15" s="827">
        <v>1928151</v>
      </c>
      <c r="J15" s="827">
        <v>22936</v>
      </c>
      <c r="K15" s="827">
        <v>10628</v>
      </c>
      <c r="L15" s="827">
        <v>2786955</v>
      </c>
      <c r="M15" s="827">
        <v>266973</v>
      </c>
      <c r="N15" s="827">
        <v>2817079</v>
      </c>
      <c r="O15" s="827">
        <v>66168</v>
      </c>
      <c r="P15" s="827">
        <v>7870</v>
      </c>
      <c r="Q15" s="827">
        <v>140157</v>
      </c>
      <c r="R15" s="827">
        <v>95170</v>
      </c>
      <c r="S15" s="827"/>
      <c r="T15" s="827">
        <v>71028</v>
      </c>
      <c r="U15" s="827">
        <v>3973</v>
      </c>
      <c r="V15" s="827">
        <v>4734</v>
      </c>
      <c r="W15" s="827">
        <v>4805</v>
      </c>
      <c r="X15" s="827">
        <v>57093</v>
      </c>
      <c r="Y15" s="827">
        <v>91828</v>
      </c>
      <c r="Z15" s="827"/>
      <c r="AA15" s="827">
        <v>46438</v>
      </c>
      <c r="AB15" s="827">
        <v>130618</v>
      </c>
      <c r="AC15" s="827">
        <v>97534</v>
      </c>
      <c r="AD15" s="827">
        <v>903282</v>
      </c>
      <c r="AE15" s="827">
        <v>24400</v>
      </c>
      <c r="AF15" s="827">
        <v>66871</v>
      </c>
      <c r="AG15" s="827">
        <v>2785992</v>
      </c>
    </row>
    <row r="16" spans="2:33">
      <c r="B16" s="829"/>
      <c r="C16" s="827"/>
      <c r="D16" s="827"/>
      <c r="E16" s="827"/>
      <c r="F16" s="827"/>
      <c r="G16" s="827"/>
      <c r="H16" s="827"/>
      <c r="I16" s="827"/>
      <c r="J16" s="827"/>
      <c r="K16" s="827"/>
      <c r="L16" s="827"/>
      <c r="M16" s="827"/>
      <c r="N16" s="827"/>
      <c r="O16" s="827"/>
      <c r="P16" s="827"/>
      <c r="Q16" s="827"/>
      <c r="R16" s="827"/>
      <c r="S16" s="827"/>
      <c r="T16" s="827"/>
      <c r="U16" s="827"/>
      <c r="V16" s="827"/>
      <c r="W16" s="827"/>
      <c r="X16" s="827"/>
      <c r="Y16" s="827"/>
      <c r="Z16" s="827"/>
      <c r="AA16" s="827"/>
      <c r="AB16" s="827"/>
      <c r="AC16" s="827"/>
      <c r="AD16" s="827"/>
      <c r="AE16" s="827"/>
      <c r="AF16" s="827"/>
      <c r="AG16" s="827"/>
    </row>
    <row r="17" spans="2:33">
      <c r="B17" s="843" t="s">
        <v>960</v>
      </c>
      <c r="C17" s="844">
        <f>(HLOOKUP(C2,'HP-Stock'!$S$12:$AW$14,2,FALSE)+HLOOKUP(C2,'HP-Stock'!$S$12:$AW$14,3,FALSE))*1000</f>
        <v>90276</v>
      </c>
      <c r="D17" s="844">
        <f>(HLOOKUP(D2,'HP-Stock'!$S$12:$AW$14,2,FALSE)+HLOOKUP(D2,'HP-Stock'!$S$12:$AW$14,3,FALSE))*1000</f>
        <v>4833</v>
      </c>
      <c r="E17" s="844">
        <f>(HLOOKUP(E2,'HP-Stock'!$S$12:$AW$14,2,FALSE)+HLOOKUP(E2,'HP-Stock'!$S$12:$AW$14,3,FALSE))*1000</f>
        <v>0</v>
      </c>
      <c r="F17" s="844">
        <f>(HLOOKUP(F2,'HP-Stock'!$S$12:$AW$14,2,FALSE)+HLOOKUP(F2,'HP-Stock'!$S$12:$AW$14,3,FALSE))*1000</f>
        <v>105312</v>
      </c>
      <c r="G17" s="844">
        <f>(HLOOKUP(G2,'HP-Stock'!$S$12:$AW$14,2,FALSE)+HLOOKUP(G2,'HP-Stock'!$S$12:$AW$14,3,FALSE))*1000</f>
        <v>0</v>
      </c>
      <c r="H17" s="844">
        <f>(HLOOKUP(H2,'HP-Stock'!$S$12:$AW$14,2,FALSE)+HLOOKUP(H2,'HP-Stock'!$S$12:$AW$14,3,FALSE))*1000</f>
        <v>18471</v>
      </c>
      <c r="I17" s="844">
        <f>(HLOOKUP(I2,'HP-Stock'!$S$12:$AW$14,2,FALSE)+HLOOKUP(I2,'HP-Stock'!$S$12:$AW$14,3,FALSE))*1000</f>
        <v>348973.60000000003</v>
      </c>
      <c r="J17" s="844">
        <f>(HLOOKUP(J2,'HP-Stock'!$S$12:$AW$14,2,FALSE)+HLOOKUP(J2,'HP-Stock'!$S$12:$AW$14,3,FALSE))*1000</f>
        <v>59917</v>
      </c>
      <c r="K17" s="844">
        <f>(HLOOKUP(K2,'HP-Stock'!$S$12:$AW$14,2,FALSE)+HLOOKUP(K2,'HP-Stock'!$S$12:$AW$14,3,FALSE))*1000</f>
        <v>39575</v>
      </c>
      <c r="L17" s="844">
        <f>(HLOOKUP(L2,'HP-Stock'!$S$12:$AW$14,2,FALSE)+HLOOKUP(L2,'HP-Stock'!$S$12:$AW$14,3,FALSE))*1000</f>
        <v>67229.95</v>
      </c>
      <c r="M17" s="844">
        <f>(HLOOKUP(M2,'HP-Stock'!$S$12:$AW$14,2,FALSE)+HLOOKUP(M2,'HP-Stock'!$S$12:$AW$14,3,FALSE))*1000</f>
        <v>339207.99999999994</v>
      </c>
      <c r="N17" s="844">
        <f>(HLOOKUP(N2,'HP-Stock'!$S$12:$AW$14,2,FALSE)+HLOOKUP(N2,'HP-Stock'!$S$12:$AW$14,3,FALSE))*1000</f>
        <v>668340.71499999997</v>
      </c>
      <c r="O17" s="844">
        <f>(HLOOKUP(O2,'HP-Stock'!$S$12:$AW$14,2,FALSE)+HLOOKUP(O2,'HP-Stock'!$S$12:$AW$14,3,FALSE))*1000</f>
        <v>0</v>
      </c>
      <c r="P17" s="844">
        <f>(HLOOKUP(P2,'HP-Stock'!$S$12:$AW$14,2,FALSE)+HLOOKUP(P2,'HP-Stock'!$S$12:$AW$14,3,FALSE))*1000</f>
        <v>0</v>
      </c>
      <c r="Q17" s="844">
        <f>(HLOOKUP(Q2,'HP-Stock'!$S$12:$AW$14,2,FALSE)+HLOOKUP(Q2,'HP-Stock'!$S$12:$AW$14,3,FALSE))*1000</f>
        <v>952.02</v>
      </c>
      <c r="R17" s="844">
        <f>(HLOOKUP(R2,'HP-Stock'!$S$12:$AW$14,2,FALSE)+HLOOKUP(R2,'HP-Stock'!$S$12:$AW$14,3,FALSE))*1000</f>
        <v>2206</v>
      </c>
      <c r="S17" s="844">
        <f>(HLOOKUP(S2,'HP-Stock'!$S$12:$AW$14,2,FALSE)+HLOOKUP(S2,'HP-Stock'!$S$12:$AW$14,3,FALSE))*1000</f>
        <v>0</v>
      </c>
      <c r="T17" s="844">
        <f>(HLOOKUP(T2,'HP-Stock'!$S$12:$AW$14,2,FALSE)+HLOOKUP(T2,'HP-Stock'!$S$12:$AW$14,3,FALSE))*1000</f>
        <v>716797.73</v>
      </c>
      <c r="U17" s="844">
        <f>(HLOOKUP(U2,'HP-Stock'!$S$12:$AW$14,2,FALSE)+HLOOKUP(U2,'HP-Stock'!$S$12:$AW$14,3,FALSE))*1000</f>
        <v>1071</v>
      </c>
      <c r="V17" s="844">
        <f>(HLOOKUP(V2,'HP-Stock'!$S$12:$AW$14,2,FALSE)+HLOOKUP(V2,'HP-Stock'!$S$12:$AW$14,3,FALSE))*1000</f>
        <v>0</v>
      </c>
      <c r="W17" s="844">
        <f>(HLOOKUP(W2,'HP-Stock'!$S$12:$AW$14,2,FALSE)+HLOOKUP(W2,'HP-Stock'!$S$12:$AW$14,3,FALSE))*1000</f>
        <v>0</v>
      </c>
      <c r="X17" s="844">
        <f>(HLOOKUP(X2,'HP-Stock'!$S$12:$AW$14,2,FALSE)+HLOOKUP(X2,'HP-Stock'!$S$12:$AW$14,3,FALSE))*1000</f>
        <v>0</v>
      </c>
      <c r="Y17" s="844">
        <f>(HLOOKUP(Y2,'HP-Stock'!$S$12:$AW$14,2,FALSE)+HLOOKUP(Y2,'HP-Stock'!$S$12:$AW$14,3,FALSE))*1000</f>
        <v>27853.500000399999</v>
      </c>
      <c r="Z17" s="844">
        <f>(HLOOKUP(Z2,'HP-Stock'!$S$12:$AW$14,2,FALSE)+HLOOKUP(Z2,'HP-Stock'!$S$12:$AW$14,3,FALSE))*1000</f>
        <v>550371.00000000012</v>
      </c>
      <c r="AA17" s="844">
        <f>(HLOOKUP(AA2,'HP-Stock'!$S$12:$AW$14,2,FALSE)+HLOOKUP(AA2,'HP-Stock'!$S$12:$AW$14,3,FALSE))*1000</f>
        <v>5320</v>
      </c>
      <c r="AB17" s="844">
        <f>(HLOOKUP(AB2,'HP-Stock'!$S$12:$AW$14,2,FALSE)+HLOOKUP(AB2,'HP-Stock'!$S$12:$AW$14,3,FALSE))*1000</f>
        <v>49669.254999999997</v>
      </c>
      <c r="AC17" s="844">
        <f>(HLOOKUP(AC2,'HP-Stock'!$S$12:$AW$14,2,FALSE)+HLOOKUP(AC2,'HP-Stock'!$S$12:$AW$14,3,FALSE))*1000</f>
        <v>0</v>
      </c>
      <c r="AD17" s="844">
        <f>(HLOOKUP(AD2,'HP-Stock'!$S$12:$AW$14,2,FALSE)+HLOOKUP(AD2,'HP-Stock'!$S$12:$AW$14,3,FALSE))*1000</f>
        <v>871793</v>
      </c>
      <c r="AE17" s="844">
        <f>(HLOOKUP(AE2,'HP-Stock'!$S$12:$AW$14,2,FALSE)+HLOOKUP(AE2,'HP-Stock'!$S$12:$AW$14,3,FALSE))*1000</f>
        <v>0</v>
      </c>
      <c r="AF17" s="844">
        <f>(HLOOKUP(AF2,'HP-Stock'!$S$12:$AW$14,2,FALSE)+HLOOKUP(AF2,'HP-Stock'!$S$12:$AW$14,3,FALSE))*1000</f>
        <v>1208.5</v>
      </c>
      <c r="AG17" s="845">
        <f>(HLOOKUP(AG2,'HP-Stock'!$S$12:$AW$14,2,FALSE)+HLOOKUP(AG2,'HP-Stock'!$S$12:$AW$14,3,FALSE))*1000</f>
        <v>41405</v>
      </c>
    </row>
    <row r="18" spans="2:33">
      <c r="B18" s="848" t="s">
        <v>964</v>
      </c>
      <c r="C18" s="827">
        <f ca="1">HLOOKUP(C2,'Dwelling stock'!$G$45:$AQ$65,21,0)*1000</f>
        <v>2953795.6938565145</v>
      </c>
      <c r="D18" s="827">
        <f ca="1">HLOOKUP(D2,'Dwelling stock'!$G$45:$AQ$65,21,0)*1000</f>
        <v>3441596.7217222839</v>
      </c>
      <c r="E18" s="827">
        <f ca="1">HLOOKUP(E2,'Dwelling stock'!$G$45:$AQ$65,21,0)*1000</f>
        <v>1729562.8556711487</v>
      </c>
      <c r="F18" s="827">
        <f ca="1">HLOOKUP(F2,'Dwelling stock'!$G$45:$AQ$65,21,0)*1000</f>
        <v>3433927.5240207622</v>
      </c>
      <c r="G18" s="827">
        <f ca="1">HLOOKUP(G2,'Dwelling stock'!$G$45:$AQ$65,21,0)*1000</f>
        <v>297501.25918967539</v>
      </c>
      <c r="H18" s="827">
        <f ca="1">HLOOKUP(H2,'Dwelling stock'!$G$45:$AQ$65,21,0)*1000</f>
        <v>3843870.1916617961</v>
      </c>
      <c r="I18" s="827">
        <f ca="1">HLOOKUP(I2,'Dwelling stock'!$G$45:$AQ$65,21,0)*1000</f>
        <v>34326297.38927798</v>
      </c>
      <c r="J18" s="827">
        <f ca="1">HLOOKUP(J2,'Dwelling stock'!$G$45:$AQ$65,21,0)*1000</f>
        <v>2595062.6414476191</v>
      </c>
      <c r="K18" s="827">
        <f ca="1">HLOOKUP(K2,'Dwelling stock'!$G$45:$AQ$65,21,0)*1000</f>
        <v>651620.00000000012</v>
      </c>
      <c r="L18" s="827">
        <f ca="1">HLOOKUP(L2,'Dwelling stock'!$G$45:$AQ$65,21,0)*1000</f>
        <v>10563114.467113288</v>
      </c>
      <c r="M18" s="827">
        <f ca="1">HLOOKUP(M2,'Dwelling stock'!$G$45:$AQ$65,21,0)*1000</f>
        <v>2499000</v>
      </c>
      <c r="N18" s="827">
        <f ca="1">HLOOKUP(N2,'Dwelling stock'!$G$45:$AQ$65,21,0)*1000</f>
        <v>21094784.916804433</v>
      </c>
      <c r="O18" s="827">
        <f ca="1">HLOOKUP(O2,'Dwelling stock'!$G$45:$AQ$65,21,0)*1000</f>
        <v>2819973.517730664</v>
      </c>
      <c r="P18" s="827">
        <f ca="1">HLOOKUP(P2,'Dwelling stock'!$G$45:$AQ$65,21,0)*1000</f>
        <v>1368748.1753381519</v>
      </c>
      <c r="Q18" s="827">
        <f ca="1">HLOOKUP(Q2,'Dwelling stock'!$G$45:$AQ$65,21,0)*1000</f>
        <v>3418995.2780956575</v>
      </c>
      <c r="R18" s="827">
        <f ca="1">HLOOKUP(R2,'Dwelling stock'!$G$45:$AQ$65,21,0)*1000</f>
        <v>1313791.7527328222</v>
      </c>
      <c r="S18" s="827">
        <f ca="1">HLOOKUP(S2,'Dwelling stock'!$G$45:$AQ$65,21,0)*1000</f>
        <v>151454.94265628155</v>
      </c>
      <c r="T18" s="827">
        <f ca="1">HLOOKUP(T2,'Dwelling stock'!$G$45:$AQ$65,21,0)*1000</f>
        <v>22915349.996019784</v>
      </c>
      <c r="U18" s="827">
        <f ca="1">HLOOKUP(U2,'Dwelling stock'!$G$45:$AQ$65,21,0)*1000</f>
        <v>1117963.3597909035</v>
      </c>
      <c r="V18" s="827">
        <f ca="1">HLOOKUP(V2,'Dwelling stock'!$G$45:$AQ$65,21,0)*1000</f>
        <v>187999.99899999995</v>
      </c>
      <c r="W18" s="827">
        <f ca="1">HLOOKUP(W2,'Dwelling stock'!$G$45:$AQ$65,21,0)*1000</f>
        <v>834104.65436928219</v>
      </c>
      <c r="X18" s="827">
        <f ca="1">HLOOKUP(X2,'Dwelling stock'!$G$45:$AQ$65,21,0)*1000</f>
        <v>65496.262971786491</v>
      </c>
      <c r="Y18" s="827">
        <f ca="1">HLOOKUP(Y2,'Dwelling stock'!$G$45:$AQ$65,21,0)*1000</f>
        <v>5722005.4201248465</v>
      </c>
      <c r="Z18" s="827">
        <f ca="1">HLOOKUP(Z2,'Dwelling stock'!$G$45:$AQ$65,21,0)*1000</f>
        <v>1979405.892088346</v>
      </c>
      <c r="AA18" s="827">
        <f ca="1">HLOOKUP(AA2,'Dwelling stock'!$G$45:$AQ$65,21,0)*1000</f>
        <v>11306682.028166495</v>
      </c>
      <c r="AB18" s="827">
        <f ca="1">HLOOKUP(AB2,'Dwelling stock'!$G$45:$AQ$65,21,0)*1000</f>
        <v>1255331.1351287223</v>
      </c>
      <c r="AC18" s="827">
        <f ca="1">HLOOKUP(AC2,'Dwelling stock'!$G$45:$AQ$65,21,0)*1000</f>
        <v>4758485.7152633602</v>
      </c>
      <c r="AD18" s="827">
        <f ca="1">HLOOKUP(AD2,'Dwelling stock'!$G$45:$AQ$65,21,0)*1000</f>
        <v>4170999.9990000008</v>
      </c>
      <c r="AE18" s="827">
        <f ca="1">HLOOKUP(AE2,'Dwelling stock'!$G$45:$AQ$65,21,0)*1000</f>
        <v>721358.81171315641</v>
      </c>
      <c r="AF18" s="827">
        <f ca="1">HLOOKUP(AF2,'Dwelling stock'!$G$45:$AQ$65,21,0)*1000</f>
        <v>1140276.9775572782</v>
      </c>
      <c r="AG18" s="827">
        <f ca="1">HLOOKUP(AG2,'Dwelling stock'!$G$45:$AQ$65,21,0)*1000</f>
        <v>20969993.81654318</v>
      </c>
    </row>
    <row r="19" spans="2:33">
      <c r="B19" s="848" t="s">
        <v>963</v>
      </c>
      <c r="C19" s="827">
        <f ca="1">C18-C17</f>
        <v>2863519.6938565145</v>
      </c>
      <c r="D19" s="827">
        <f t="shared" ref="D19:AG19" ca="1" si="0">D18-D17</f>
        <v>3436763.7217222839</v>
      </c>
      <c r="E19" s="827">
        <f t="shared" ca="1" si="0"/>
        <v>1729562.8556711487</v>
      </c>
      <c r="F19" s="827">
        <f t="shared" ca="1" si="0"/>
        <v>3328615.5240207622</v>
      </c>
      <c r="G19" s="827">
        <f t="shared" ca="1" si="0"/>
        <v>297501.25918967539</v>
      </c>
      <c r="H19" s="827">
        <f t="shared" ca="1" si="0"/>
        <v>3825399.1916617961</v>
      </c>
      <c r="I19" s="827">
        <f t="shared" ca="1" si="0"/>
        <v>33977323.789277978</v>
      </c>
      <c r="J19" s="827">
        <f t="shared" ca="1" si="0"/>
        <v>2535145.6414476191</v>
      </c>
      <c r="K19" s="827">
        <f t="shared" ca="1" si="0"/>
        <v>612045.00000000012</v>
      </c>
      <c r="L19" s="827">
        <f t="shared" ca="1" si="0"/>
        <v>10495884.517113289</v>
      </c>
      <c r="M19" s="827">
        <f t="shared" ca="1" si="0"/>
        <v>2159792</v>
      </c>
      <c r="N19" s="827">
        <f t="shared" ca="1" si="0"/>
        <v>20426444.201804433</v>
      </c>
      <c r="O19" s="827">
        <f t="shared" ca="1" si="0"/>
        <v>2819973.517730664</v>
      </c>
      <c r="P19" s="827">
        <f t="shared" ca="1" si="0"/>
        <v>1368748.1753381519</v>
      </c>
      <c r="Q19" s="827">
        <f t="shared" ca="1" si="0"/>
        <v>3418043.2580956575</v>
      </c>
      <c r="R19" s="827">
        <f t="shared" ca="1" si="0"/>
        <v>1311585.7527328222</v>
      </c>
      <c r="S19" s="827">
        <f t="shared" ca="1" si="0"/>
        <v>151454.94265628155</v>
      </c>
      <c r="T19" s="827">
        <f t="shared" ca="1" si="0"/>
        <v>22198552.266019784</v>
      </c>
      <c r="U19" s="827">
        <f t="shared" ca="1" si="0"/>
        <v>1116892.3597909035</v>
      </c>
      <c r="V19" s="827">
        <f t="shared" ca="1" si="0"/>
        <v>187999.99899999995</v>
      </c>
      <c r="W19" s="827">
        <f t="shared" ca="1" si="0"/>
        <v>834104.65436928219</v>
      </c>
      <c r="X19" s="827">
        <f t="shared" ca="1" si="0"/>
        <v>65496.262971786491</v>
      </c>
      <c r="Y19" s="827">
        <f t="shared" ca="1" si="0"/>
        <v>5694151.920124447</v>
      </c>
      <c r="Z19" s="827">
        <f t="shared" ca="1" si="0"/>
        <v>1429034.8920883457</v>
      </c>
      <c r="AA19" s="827">
        <f t="shared" ca="1" si="0"/>
        <v>11301362.028166495</v>
      </c>
      <c r="AB19" s="827">
        <f t="shared" ca="1" si="0"/>
        <v>1205661.8801287224</v>
      </c>
      <c r="AC19" s="827">
        <f t="shared" ca="1" si="0"/>
        <v>4758485.7152633602</v>
      </c>
      <c r="AD19" s="827">
        <f t="shared" ca="1" si="0"/>
        <v>3299206.9990000008</v>
      </c>
      <c r="AE19" s="827">
        <f t="shared" ca="1" si="0"/>
        <v>721358.81171315641</v>
      </c>
      <c r="AF19" s="827">
        <f t="shared" ca="1" si="0"/>
        <v>1139068.4775572782</v>
      </c>
      <c r="AG19" s="827">
        <f t="shared" ca="1" si="0"/>
        <v>20928588.81654318</v>
      </c>
    </row>
    <row r="20" spans="2:33">
      <c r="B20" s="846" t="s">
        <v>961</v>
      </c>
      <c r="C20" s="847">
        <f t="shared" ref="C20:AF20" si="1">SUM(C7:C13,C15)</f>
        <v>3560416</v>
      </c>
      <c r="D20" s="847">
        <f t="shared" si="1"/>
        <v>4715117</v>
      </c>
      <c r="E20" s="847">
        <f t="shared" si="1"/>
        <v>2557606</v>
      </c>
      <c r="F20" s="847">
        <f t="shared" si="1"/>
        <v>0</v>
      </c>
      <c r="G20" s="847">
        <f t="shared" si="1"/>
        <v>240295</v>
      </c>
      <c r="H20" s="847">
        <f t="shared" si="1"/>
        <v>4153976</v>
      </c>
      <c r="I20" s="847">
        <f t="shared" si="1"/>
        <v>39970934</v>
      </c>
      <c r="J20" s="847">
        <f t="shared" si="1"/>
        <v>2740525</v>
      </c>
      <c r="K20" s="847">
        <f t="shared" si="1"/>
        <v>588389</v>
      </c>
      <c r="L20" s="847">
        <f t="shared" si="1"/>
        <v>16712509</v>
      </c>
      <c r="M20" s="847">
        <f t="shared" si="1"/>
        <v>2134377</v>
      </c>
      <c r="N20" s="847">
        <f t="shared" si="1"/>
        <v>28346008</v>
      </c>
      <c r="O20" s="847">
        <f t="shared" si="1"/>
        <v>4115901</v>
      </c>
      <c r="P20" s="847">
        <f t="shared" si="1"/>
        <v>1546499</v>
      </c>
      <c r="Q20" s="847">
        <f t="shared" si="1"/>
        <v>3868783</v>
      </c>
      <c r="R20" s="847">
        <f t="shared" si="1"/>
        <v>1692812</v>
      </c>
      <c r="S20" s="847">
        <f t="shared" si="1"/>
        <v>0</v>
      </c>
      <c r="T20" s="847">
        <f t="shared" si="1"/>
        <v>24407473</v>
      </c>
      <c r="U20" s="847">
        <f t="shared" si="1"/>
        <v>1315735</v>
      </c>
      <c r="V20" s="847">
        <f t="shared" si="1"/>
        <v>199407</v>
      </c>
      <c r="W20" s="847">
        <f t="shared" si="1"/>
        <v>860944</v>
      </c>
      <c r="X20" s="847">
        <f t="shared" si="1"/>
        <v>134538</v>
      </c>
      <c r="Y20" s="847">
        <f t="shared" si="1"/>
        <v>7384984</v>
      </c>
      <c r="Z20" s="847">
        <f t="shared" si="1"/>
        <v>0</v>
      </c>
      <c r="AA20" s="847">
        <f t="shared" si="1"/>
        <v>13562740</v>
      </c>
      <c r="AB20" s="847">
        <f t="shared" si="1"/>
        <v>3898095</v>
      </c>
      <c r="AC20" s="847">
        <f t="shared" si="1"/>
        <v>7489007</v>
      </c>
      <c r="AD20" s="847">
        <f>SUM(AD7:AD13,AD15)</f>
        <v>3516376</v>
      </c>
      <c r="AE20" s="847">
        <f t="shared" si="1"/>
        <v>790916</v>
      </c>
      <c r="AF20" s="847">
        <f t="shared" si="1"/>
        <v>1927876</v>
      </c>
      <c r="AG20" s="847">
        <f>SUM(AG7:AG13,AG15)</f>
        <v>26541891</v>
      </c>
    </row>
    <row r="21" spans="2:33">
      <c r="B21" s="829"/>
      <c r="C21" s="827"/>
      <c r="D21" s="827"/>
      <c r="E21" s="827"/>
      <c r="F21" s="827"/>
      <c r="G21" s="827"/>
      <c r="H21" s="827"/>
      <c r="I21" s="827"/>
      <c r="J21" s="827"/>
      <c r="K21" s="827"/>
      <c r="L21" s="827"/>
      <c r="M21" s="827"/>
      <c r="N21" s="827"/>
      <c r="O21" s="827"/>
      <c r="P21" s="827"/>
      <c r="Q21" s="827"/>
      <c r="R21" s="827"/>
      <c r="S21" s="827"/>
      <c r="T21" s="827"/>
      <c r="U21" s="827"/>
      <c r="V21" s="827"/>
      <c r="W21" s="827"/>
      <c r="X21" s="827"/>
      <c r="Y21" s="827"/>
      <c r="Z21" s="827"/>
      <c r="AA21" s="827"/>
      <c r="AB21" s="827"/>
      <c r="AC21" s="827"/>
      <c r="AD21" s="827"/>
      <c r="AE21" s="827"/>
      <c r="AF21" s="827"/>
      <c r="AG21" s="827"/>
    </row>
    <row r="22" spans="2:33">
      <c r="B22" s="824" t="s">
        <v>965</v>
      </c>
      <c r="C22" s="827"/>
      <c r="D22" s="824"/>
      <c r="E22" s="824"/>
      <c r="F22" s="824"/>
      <c r="G22" s="824"/>
      <c r="H22" s="824"/>
      <c r="I22" s="824"/>
      <c r="J22" s="824"/>
      <c r="K22" s="824"/>
      <c r="L22" s="824"/>
      <c r="M22" s="824"/>
      <c r="N22" s="824"/>
      <c r="O22" s="824"/>
      <c r="P22" s="824"/>
      <c r="Q22" s="824"/>
      <c r="R22" s="824"/>
      <c r="S22" s="824"/>
      <c r="T22" s="824"/>
      <c r="U22" s="824"/>
      <c r="V22" s="824"/>
      <c r="W22" s="824"/>
      <c r="X22" s="824"/>
      <c r="Y22" s="824"/>
      <c r="Z22" s="824"/>
      <c r="AA22" s="824"/>
      <c r="AB22" s="824"/>
      <c r="AC22" s="824"/>
      <c r="AD22" s="824"/>
      <c r="AE22" s="824"/>
      <c r="AF22" s="824"/>
      <c r="AG22" s="824"/>
    </row>
    <row r="23" spans="2:33">
      <c r="B23" s="828" t="s">
        <v>531</v>
      </c>
      <c r="C23" s="827">
        <f ca="1">SUM(C24:C32)</f>
        <v>2953795.6938565145</v>
      </c>
      <c r="D23" s="827">
        <f t="shared" ref="D23:AG23" ca="1" si="2">SUM(D24:D32)</f>
        <v>3441596.7217222839</v>
      </c>
      <c r="E23" s="827">
        <f t="shared" ca="1" si="2"/>
        <v>1729562.855671149</v>
      </c>
      <c r="F23" s="827" t="e">
        <f t="shared" ca="1" si="2"/>
        <v>#DIV/0!</v>
      </c>
      <c r="G23" s="827">
        <f t="shared" ca="1" si="2"/>
        <v>297501.25918967539</v>
      </c>
      <c r="H23" s="827">
        <f t="shared" ca="1" si="2"/>
        <v>3843870.1916617961</v>
      </c>
      <c r="I23" s="827">
        <f t="shared" ca="1" si="2"/>
        <v>34326297.38927798</v>
      </c>
      <c r="J23" s="827">
        <f t="shared" ca="1" si="2"/>
        <v>2595062.6414476191</v>
      </c>
      <c r="K23" s="827">
        <f t="shared" ca="1" si="2"/>
        <v>651620.00000000012</v>
      </c>
      <c r="L23" s="827">
        <f t="shared" ca="1" si="2"/>
        <v>10563114.467113288</v>
      </c>
      <c r="M23" s="827">
        <f t="shared" ca="1" si="2"/>
        <v>2499000</v>
      </c>
      <c r="N23" s="827">
        <f t="shared" ca="1" si="2"/>
        <v>21094784.916804433</v>
      </c>
      <c r="O23" s="827">
        <f t="shared" ca="1" si="2"/>
        <v>2819973.5177306645</v>
      </c>
      <c r="P23" s="827">
        <f t="shared" ca="1" si="2"/>
        <v>1368748.1753381521</v>
      </c>
      <c r="Q23" s="827">
        <f t="shared" ca="1" si="2"/>
        <v>3418995.278095657</v>
      </c>
      <c r="R23" s="827">
        <f t="shared" ca="1" si="2"/>
        <v>1313791.7527328222</v>
      </c>
      <c r="S23" s="827" t="e">
        <f t="shared" ca="1" si="2"/>
        <v>#DIV/0!</v>
      </c>
      <c r="T23" s="827">
        <f t="shared" ca="1" si="2"/>
        <v>22915349.996019784</v>
      </c>
      <c r="U23" s="827">
        <f t="shared" ca="1" si="2"/>
        <v>1117963.3597909035</v>
      </c>
      <c r="V23" s="827">
        <f t="shared" ca="1" si="2"/>
        <v>187999.99899999995</v>
      </c>
      <c r="W23" s="827">
        <f t="shared" ca="1" si="2"/>
        <v>834104.65436928207</v>
      </c>
      <c r="X23" s="827">
        <f t="shared" ca="1" si="2"/>
        <v>65496.262971786491</v>
      </c>
      <c r="Y23" s="827">
        <f t="shared" ca="1" si="2"/>
        <v>5722005.4201248465</v>
      </c>
      <c r="Z23" s="827" t="e">
        <f t="shared" ca="1" si="2"/>
        <v>#DIV/0!</v>
      </c>
      <c r="AA23" s="827">
        <f t="shared" ca="1" si="2"/>
        <v>11306682.028166493</v>
      </c>
      <c r="AB23" s="827">
        <f t="shared" ca="1" si="2"/>
        <v>1255331.1351287223</v>
      </c>
      <c r="AC23" s="827">
        <f t="shared" ca="1" si="2"/>
        <v>4758485.7152633602</v>
      </c>
      <c r="AD23" s="827">
        <f t="shared" ca="1" si="2"/>
        <v>4170999.9990000012</v>
      </c>
      <c r="AE23" s="827">
        <f t="shared" ca="1" si="2"/>
        <v>721358.81171315641</v>
      </c>
      <c r="AF23" s="827">
        <f t="shared" ca="1" si="2"/>
        <v>1140276.9775572782</v>
      </c>
      <c r="AG23" s="827">
        <f t="shared" ca="1" si="2"/>
        <v>20969993.81654318</v>
      </c>
    </row>
    <row r="24" spans="2:33">
      <c r="B24" s="829" t="s">
        <v>529</v>
      </c>
      <c r="C24" s="827">
        <f ca="1">C7*C$19/C$20</f>
        <v>28082.537869279298</v>
      </c>
      <c r="D24" s="827">
        <f t="shared" ref="D24:AG32" ca="1" si="3">D7*D$19/D$20</f>
        <v>56108.60441733677</v>
      </c>
      <c r="E24" s="827">
        <f t="shared" ca="1" si="3"/>
        <v>222071.40043222002</v>
      </c>
      <c r="F24" s="827" t="e">
        <f t="shared" ca="1" si="3"/>
        <v>#DIV/0!</v>
      </c>
      <c r="G24" s="827">
        <f t="shared" ca="1" si="3"/>
        <v>0</v>
      </c>
      <c r="H24" s="827">
        <f t="shared" ca="1" si="3"/>
        <v>520400.03548621596</v>
      </c>
      <c r="I24" s="827">
        <f t="shared" ca="1" si="3"/>
        <v>557902.7804906324</v>
      </c>
      <c r="J24" s="827">
        <f t="shared" ca="1" si="3"/>
        <v>0</v>
      </c>
      <c r="K24" s="827">
        <f t="shared" ca="1" si="3"/>
        <v>6722.8429406396126</v>
      </c>
      <c r="L24" s="827">
        <f t="shared" ca="1" si="3"/>
        <v>199879.21512703915</v>
      </c>
      <c r="M24" s="827">
        <f t="shared" ca="1" si="3"/>
        <v>3516.3784092500996</v>
      </c>
      <c r="N24" s="827">
        <f t="shared" ca="1" si="3"/>
        <v>119919.75326469544</v>
      </c>
      <c r="O24" s="827">
        <f t="shared" ca="1" si="3"/>
        <v>0</v>
      </c>
      <c r="P24" s="827">
        <f t="shared" ca="1" si="3"/>
        <v>3719.032364567267</v>
      </c>
      <c r="Q24" s="827">
        <f t="shared" ca="1" si="3"/>
        <v>94381.805641681873</v>
      </c>
      <c r="R24" s="827">
        <f t="shared" ca="1" si="3"/>
        <v>235684.74144680239</v>
      </c>
      <c r="S24" s="827" t="e">
        <f t="shared" ca="1" si="3"/>
        <v>#DIV/0!</v>
      </c>
      <c r="T24" s="827">
        <f t="shared" ca="1" si="3"/>
        <v>3431.5366322311465</v>
      </c>
      <c r="U24" s="827">
        <f t="shared" ca="1" si="3"/>
        <v>48984.235899884159</v>
      </c>
      <c r="V24" s="827">
        <f t="shared" ca="1" si="3"/>
        <v>200.81541664535345</v>
      </c>
      <c r="W24" s="827">
        <f t="shared" ca="1" si="3"/>
        <v>10806.281610458955</v>
      </c>
      <c r="X24" s="827">
        <f t="shared" ca="1" si="3"/>
        <v>0</v>
      </c>
      <c r="Y24" s="827">
        <f t="shared" ca="1" si="3"/>
        <v>1235.9844690197688</v>
      </c>
      <c r="Z24" s="827" t="e">
        <f t="shared" ca="1" si="3"/>
        <v>#DIV/0!</v>
      </c>
      <c r="AA24" s="827">
        <f t="shared" ca="1" si="3"/>
        <v>3886391.508461413</v>
      </c>
      <c r="AB24" s="827">
        <f t="shared" ca="1" si="3"/>
        <v>0</v>
      </c>
      <c r="AC24" s="827">
        <f t="shared" ca="1" si="3"/>
        <v>14472.416588281138</v>
      </c>
      <c r="AD24" s="827">
        <f t="shared" ca="1" si="3"/>
        <v>0</v>
      </c>
      <c r="AE24" s="827">
        <f t="shared" ca="1" si="3"/>
        <v>1031.5340896474213</v>
      </c>
      <c r="AF24" s="827">
        <f t="shared" ca="1" si="3"/>
        <v>29173.963582899381</v>
      </c>
      <c r="AG24" s="827">
        <f t="shared" ca="1" si="3"/>
        <v>381241.41380335501</v>
      </c>
    </row>
    <row r="25" spans="2:33">
      <c r="B25" s="829" t="s">
        <v>942</v>
      </c>
      <c r="C25" s="827">
        <f t="shared" ref="C25:R32" ca="1" si="4">C8*C$19/C$20</f>
        <v>6398.7361826040633</v>
      </c>
      <c r="D25" s="827">
        <f t="shared" ca="1" si="4"/>
        <v>7567.9813931748613</v>
      </c>
      <c r="E25" s="827">
        <f t="shared" ca="1" si="4"/>
        <v>5672.3253047457647</v>
      </c>
      <c r="F25" s="827" t="e">
        <f t="shared" ca="1" si="4"/>
        <v>#DIV/0!</v>
      </c>
      <c r="G25" s="827">
        <f t="shared" ca="1" si="4"/>
        <v>32188.498460943298</v>
      </c>
      <c r="H25" s="827">
        <f t="shared" ca="1" si="4"/>
        <v>0</v>
      </c>
      <c r="I25" s="827">
        <f t="shared" ca="1" si="4"/>
        <v>131722.16940787365</v>
      </c>
      <c r="J25" s="827">
        <f t="shared" ca="1" si="4"/>
        <v>2694.6950870862024</v>
      </c>
      <c r="K25" s="827">
        <f t="shared" ca="1" si="4"/>
        <v>0</v>
      </c>
      <c r="L25" s="827">
        <f t="shared" ca="1" si="4"/>
        <v>452805.2457634965</v>
      </c>
      <c r="M25" s="827">
        <f t="shared" ca="1" si="4"/>
        <v>0</v>
      </c>
      <c r="N25" s="827">
        <f t="shared" ca="1" si="4"/>
        <v>203873.09261473094</v>
      </c>
      <c r="O25" s="827">
        <f t="shared" ca="1" si="4"/>
        <v>0</v>
      </c>
      <c r="P25" s="827">
        <f t="shared" ca="1" si="4"/>
        <v>13369.753188756102</v>
      </c>
      <c r="Q25" s="827">
        <f t="shared" ca="1" si="4"/>
        <v>28936.167468981581</v>
      </c>
      <c r="R25" s="827">
        <f t="shared" ca="1" si="4"/>
        <v>14401.927663436754</v>
      </c>
      <c r="S25" s="827" t="e">
        <f t="shared" ca="1" si="3"/>
        <v>#DIV/0!</v>
      </c>
      <c r="T25" s="827">
        <f t="shared" ca="1" si="3"/>
        <v>494151.27952126251</v>
      </c>
      <c r="U25" s="827">
        <f t="shared" ca="1" si="3"/>
        <v>0</v>
      </c>
      <c r="V25" s="827">
        <f t="shared" ca="1" si="3"/>
        <v>0</v>
      </c>
      <c r="W25" s="827">
        <f t="shared" ca="1" si="3"/>
        <v>0</v>
      </c>
      <c r="X25" s="827">
        <f t="shared" ca="1" si="3"/>
        <v>31971.64796867135</v>
      </c>
      <c r="Y25" s="827">
        <f t="shared" ca="1" si="3"/>
        <v>0</v>
      </c>
      <c r="Z25" s="827" t="e">
        <f t="shared" ca="1" si="3"/>
        <v>#DIV/0!</v>
      </c>
      <c r="AA25" s="827">
        <f t="shared" ca="1" si="3"/>
        <v>0</v>
      </c>
      <c r="AB25" s="827">
        <f t="shared" ca="1" si="3"/>
        <v>70518.057159158052</v>
      </c>
      <c r="AC25" s="827">
        <f t="shared" ca="1" si="3"/>
        <v>0</v>
      </c>
      <c r="AD25" s="827">
        <f t="shared" ca="1" si="3"/>
        <v>0</v>
      </c>
      <c r="AE25" s="827">
        <f t="shared" ca="1" si="3"/>
        <v>6575.9158146400596</v>
      </c>
      <c r="AF25" s="827">
        <f t="shared" ca="1" si="3"/>
        <v>0</v>
      </c>
      <c r="AG25" s="827">
        <f t="shared" ca="1" si="3"/>
        <v>50451.337406550359</v>
      </c>
    </row>
    <row r="26" spans="2:33">
      <c r="B26" s="829" t="s">
        <v>943</v>
      </c>
      <c r="C26" s="827">
        <f t="shared" ca="1" si="4"/>
        <v>724447.76365433482</v>
      </c>
      <c r="D26" s="827">
        <f t="shared" ca="1" si="3"/>
        <v>1380993.6991362984</v>
      </c>
      <c r="E26" s="827">
        <f t="shared" ca="1" si="3"/>
        <v>2383.0799205918065</v>
      </c>
      <c r="F26" s="827" t="e">
        <f t="shared" ca="1" si="3"/>
        <v>#DIV/0!</v>
      </c>
      <c r="G26" s="827">
        <f t="shared" ca="1" si="3"/>
        <v>211812.18055285059</v>
      </c>
      <c r="H26" s="827">
        <f t="shared" ca="1" si="3"/>
        <v>0</v>
      </c>
      <c r="I26" s="827">
        <f t="shared" ca="1" si="3"/>
        <v>8914251.3594024982</v>
      </c>
      <c r="J26" s="827">
        <f t="shared" ca="1" si="3"/>
        <v>257663.91354851238</v>
      </c>
      <c r="K26" s="827">
        <f t="shared" ca="1" si="3"/>
        <v>3414.9920120872425</v>
      </c>
      <c r="L26" s="827">
        <f t="shared" ca="1" si="3"/>
        <v>2044891.1188885788</v>
      </c>
      <c r="M26" s="827">
        <f t="shared" ca="1" si="3"/>
        <v>296769.18294378172</v>
      </c>
      <c r="N26" s="827">
        <f t="shared" ca="1" si="3"/>
        <v>4366751.8451309502</v>
      </c>
      <c r="O26" s="827">
        <f t="shared" ca="1" si="3"/>
        <v>2018644.6551524666</v>
      </c>
      <c r="P26" s="827">
        <f t="shared" ca="1" si="3"/>
        <v>105885.32983516649</v>
      </c>
      <c r="Q26" s="827">
        <f t="shared" ca="1" si="3"/>
        <v>0</v>
      </c>
      <c r="R26" s="827">
        <f t="shared" ca="1" si="3"/>
        <v>633030.88847656571</v>
      </c>
      <c r="S26" s="827" t="e">
        <f t="shared" ca="1" si="3"/>
        <v>#DIV/0!</v>
      </c>
      <c r="T26" s="827">
        <f t="shared" ca="1" si="3"/>
        <v>1644285.3971792259</v>
      </c>
      <c r="U26" s="827">
        <f t="shared" ca="1" si="3"/>
        <v>5667.9272697951055</v>
      </c>
      <c r="V26" s="827">
        <f t="shared" ca="1" si="3"/>
        <v>79291.920122648633</v>
      </c>
      <c r="W26" s="827">
        <f t="shared" ca="1" si="3"/>
        <v>21076.802621080737</v>
      </c>
      <c r="X26" s="827">
        <f t="shared" ca="1" si="3"/>
        <v>0</v>
      </c>
      <c r="Y26" s="827">
        <f t="shared" ca="1" si="3"/>
        <v>7870.8231189980042</v>
      </c>
      <c r="Z26" s="827" t="e">
        <f t="shared" ca="1" si="3"/>
        <v>#DIV/0!</v>
      </c>
      <c r="AA26" s="827">
        <f t="shared" ca="1" si="3"/>
        <v>71517.503111721817</v>
      </c>
      <c r="AB26" s="827">
        <f t="shared" ca="1" si="3"/>
        <v>106021.73820287194</v>
      </c>
      <c r="AC26" s="827">
        <f t="shared" ca="1" si="3"/>
        <v>25620.440868976249</v>
      </c>
      <c r="AD26" s="827">
        <f t="shared" ca="1" si="3"/>
        <v>33612.472255292108</v>
      </c>
      <c r="AE26" s="827">
        <f t="shared" ca="1" si="3"/>
        <v>179935.66260847144</v>
      </c>
      <c r="AF26" s="827">
        <f t="shared" ca="1" si="3"/>
        <v>0</v>
      </c>
      <c r="AG26" s="827">
        <f t="shared" ca="1" si="3"/>
        <v>1514715.7929852074</v>
      </c>
    </row>
    <row r="27" spans="2:33">
      <c r="B27" s="829" t="s">
        <v>944</v>
      </c>
      <c r="C27" s="827">
        <f t="shared" ca="1" si="4"/>
        <v>657486.22807222721</v>
      </c>
      <c r="D27" s="827">
        <f t="shared" ca="1" si="3"/>
        <v>1653913.3448008294</v>
      </c>
      <c r="E27" s="827">
        <f t="shared" ca="1" si="3"/>
        <v>46739.203119075857</v>
      </c>
      <c r="F27" s="827" t="e">
        <f t="shared" ca="1" si="3"/>
        <v>#DIV/0!</v>
      </c>
      <c r="G27" s="827">
        <f t="shared" ca="1" si="3"/>
        <v>0</v>
      </c>
      <c r="H27" s="827">
        <f t="shared" ca="1" si="3"/>
        <v>1284725.4720074406</v>
      </c>
      <c r="I27" s="827">
        <f t="shared" ca="1" si="3"/>
        <v>15331356.133097747</v>
      </c>
      <c r="J27" s="827">
        <f t="shared" ca="1" si="3"/>
        <v>409674.13331694365</v>
      </c>
      <c r="K27" s="827">
        <f t="shared" ca="1" si="3"/>
        <v>34700.188404269968</v>
      </c>
      <c r="L27" s="827">
        <f t="shared" ca="1" si="3"/>
        <v>3710779.4276041863</v>
      </c>
      <c r="M27" s="827">
        <f t="shared" ca="1" si="3"/>
        <v>20529.578465285187</v>
      </c>
      <c r="N27" s="827">
        <f t="shared" ca="1" si="3"/>
        <v>8103678.8969774256</v>
      </c>
      <c r="O27" s="827">
        <f t="shared" ca="1" si="3"/>
        <v>206394.68791286674</v>
      </c>
      <c r="P27" s="827">
        <f t="shared" ca="1" si="3"/>
        <v>370136.65183043538</v>
      </c>
      <c r="Q27" s="827">
        <f t="shared" ca="1" si="3"/>
        <v>1874950.9182647669</v>
      </c>
      <c r="R27" s="827">
        <f t="shared" ca="1" si="3"/>
        <v>342766.34326802794</v>
      </c>
      <c r="S27" s="827" t="e">
        <f t="shared" ca="1" si="3"/>
        <v>#DIV/0!</v>
      </c>
      <c r="T27" s="827">
        <f t="shared" ca="1" si="3"/>
        <v>14549298.770493733</v>
      </c>
      <c r="U27" s="827">
        <f t="shared" ca="1" si="3"/>
        <v>115054.59432282297</v>
      </c>
      <c r="V27" s="827">
        <f t="shared" ca="1" si="3"/>
        <v>97897.044216918133</v>
      </c>
      <c r="W27" s="827">
        <f t="shared" ca="1" si="3"/>
        <v>75318.445845463517</v>
      </c>
      <c r="X27" s="827">
        <f t="shared" ca="1" si="3"/>
        <v>0</v>
      </c>
      <c r="Y27" s="827">
        <f t="shared" ca="1" si="3"/>
        <v>5182336.3801288279</v>
      </c>
      <c r="Z27" s="827" t="e">
        <f t="shared" ca="1" si="3"/>
        <v>#DIV/0!</v>
      </c>
      <c r="AA27" s="827">
        <f t="shared" ca="1" si="3"/>
        <v>2078119.7550096621</v>
      </c>
      <c r="AB27" s="827">
        <f t="shared" ca="1" si="3"/>
        <v>171925.73030518551</v>
      </c>
      <c r="AC27" s="827">
        <f t="shared" ca="1" si="3"/>
        <v>1540904.7600645334</v>
      </c>
      <c r="AD27" s="827">
        <f t="shared" ca="1" si="3"/>
        <v>70687.990849573267</v>
      </c>
      <c r="AE27" s="827">
        <f t="shared" ca="1" si="3"/>
        <v>77848.445819501023</v>
      </c>
      <c r="AF27" s="827">
        <f t="shared" ca="1" si="3"/>
        <v>693768.63537392649</v>
      </c>
      <c r="AG27" s="827">
        <f t="shared" ca="1" si="3"/>
        <v>16236503.257599048</v>
      </c>
    </row>
    <row r="28" spans="2:33">
      <c r="B28" s="829" t="s">
        <v>526</v>
      </c>
      <c r="C28" s="827">
        <f t="shared" ca="1" si="4"/>
        <v>772114.97029970668</v>
      </c>
      <c r="D28" s="827">
        <f t="shared" ca="1" si="3"/>
        <v>195128.98957592624</v>
      </c>
      <c r="E28" s="827">
        <f t="shared" ca="1" si="3"/>
        <v>787244.09508440073</v>
      </c>
      <c r="F28" s="827" t="e">
        <f t="shared" ca="1" si="3"/>
        <v>#DIV/0!</v>
      </c>
      <c r="G28" s="827">
        <f t="shared" ca="1" si="3"/>
        <v>12583.71084876448</v>
      </c>
      <c r="H28" s="827">
        <f t="shared" ca="1" si="3"/>
        <v>826316.78456606297</v>
      </c>
      <c r="I28" s="827">
        <f t="shared" ca="1" si="3"/>
        <v>3431962.7339337859</v>
      </c>
      <c r="J28" s="827">
        <f t="shared" ca="1" si="3"/>
        <v>457387.71996192099</v>
      </c>
      <c r="K28" s="827">
        <f t="shared" ca="1" si="3"/>
        <v>239599.70912950451</v>
      </c>
      <c r="L28" s="827">
        <f t="shared" ca="1" si="3"/>
        <v>2321912.6100730659</v>
      </c>
      <c r="M28" s="827">
        <f t="shared" ca="1" si="3"/>
        <v>542096.02655201021</v>
      </c>
      <c r="N28" s="827">
        <f t="shared" ca="1" si="3"/>
        <v>4070131.797550376</v>
      </c>
      <c r="O28" s="827">
        <f t="shared" ca="1" si="3"/>
        <v>494974.12307119597</v>
      </c>
      <c r="P28" s="827">
        <f t="shared" ca="1" si="3"/>
        <v>728871.92933427496</v>
      </c>
      <c r="Q28" s="827">
        <f t="shared" ca="1" si="3"/>
        <v>834277.2754016394</v>
      </c>
      <c r="R28" s="827">
        <f t="shared" ca="1" si="3"/>
        <v>11964.416127544135</v>
      </c>
      <c r="S28" s="827" t="e">
        <f t="shared" ca="1" si="3"/>
        <v>#DIV/0!</v>
      </c>
      <c r="T28" s="827">
        <f t="shared" ca="1" si="3"/>
        <v>5303904.1639340045</v>
      </c>
      <c r="U28" s="827">
        <f t="shared" ca="1" si="3"/>
        <v>381221.37569560483</v>
      </c>
      <c r="V28" s="827">
        <f t="shared" ca="1" si="3"/>
        <v>6147.0258991911005</v>
      </c>
      <c r="W28" s="827">
        <f t="shared" ca="1" si="3"/>
        <v>357517.02045662305</v>
      </c>
      <c r="X28" s="827">
        <f t="shared" ca="1" si="3"/>
        <v>5730.3996747454157</v>
      </c>
      <c r="Y28" s="827">
        <f t="shared" ca="1" si="3"/>
        <v>217771.51932410258</v>
      </c>
      <c r="Z28" s="827" t="e">
        <f t="shared" ca="1" si="3"/>
        <v>#DIV/0!</v>
      </c>
      <c r="AA28" s="827">
        <f t="shared" ca="1" si="3"/>
        <v>1349710.8027429315</v>
      </c>
      <c r="AB28" s="827">
        <f t="shared" ca="1" si="3"/>
        <v>814973.54556587664</v>
      </c>
      <c r="AC28" s="827">
        <f t="shared" ca="1" si="3"/>
        <v>1960846.2916363231</v>
      </c>
      <c r="AD28" s="827">
        <f t="shared" ca="1" si="3"/>
        <v>246166.20643743168</v>
      </c>
      <c r="AE28" s="827">
        <f t="shared" ca="1" si="3"/>
        <v>331511.89021827182</v>
      </c>
      <c r="AF28" s="827">
        <f t="shared" ca="1" si="3"/>
        <v>20496.279577349364</v>
      </c>
      <c r="AG28" s="827">
        <f t="shared" ca="1" si="3"/>
        <v>510223.77503917215</v>
      </c>
    </row>
    <row r="29" spans="2:33">
      <c r="B29" s="829" t="s">
        <v>945</v>
      </c>
      <c r="C29" s="827">
        <f t="shared" ca="1" si="4"/>
        <v>0</v>
      </c>
      <c r="D29" s="827">
        <f t="shared" ca="1" si="3"/>
        <v>0</v>
      </c>
      <c r="E29" s="827">
        <f t="shared" ca="1" si="3"/>
        <v>0</v>
      </c>
      <c r="F29" s="827" t="e">
        <f t="shared" ca="1" si="3"/>
        <v>#DIV/0!</v>
      </c>
      <c r="G29" s="827">
        <f t="shared" ca="1" si="3"/>
        <v>2362.2314344197785</v>
      </c>
      <c r="H29" s="827">
        <f t="shared" ca="1" si="3"/>
        <v>0</v>
      </c>
      <c r="I29" s="827">
        <f t="shared" ca="1" si="3"/>
        <v>13600.812546147848</v>
      </c>
      <c r="J29" s="827">
        <f t="shared" ca="1" si="3"/>
        <v>0</v>
      </c>
      <c r="K29" s="827">
        <f t="shared" ca="1" si="3"/>
        <v>0</v>
      </c>
      <c r="L29" s="827">
        <f t="shared" ca="1" si="3"/>
        <v>15337.642700862016</v>
      </c>
      <c r="M29" s="827">
        <f t="shared" ca="1" si="3"/>
        <v>0</v>
      </c>
      <c r="N29" s="827">
        <f t="shared" ca="1" si="3"/>
        <v>13607.296867434494</v>
      </c>
      <c r="O29" s="827">
        <f t="shared" ca="1" si="3"/>
        <v>247.33598789202406</v>
      </c>
      <c r="P29" s="827">
        <f t="shared" ca="1" si="3"/>
        <v>0</v>
      </c>
      <c r="Q29" s="827">
        <f t="shared" ca="1" si="3"/>
        <v>0</v>
      </c>
      <c r="R29" s="827">
        <f t="shared" ca="1" si="3"/>
        <v>0</v>
      </c>
      <c r="S29" s="827" t="e">
        <f t="shared" ca="1" si="3"/>
        <v>#DIV/0!</v>
      </c>
      <c r="T29" s="827">
        <f t="shared" ca="1" si="3"/>
        <v>1975.4300464368011</v>
      </c>
      <c r="U29" s="827">
        <f t="shared" ca="1" si="3"/>
        <v>0</v>
      </c>
      <c r="V29" s="827">
        <f t="shared" ca="1" si="3"/>
        <v>0</v>
      </c>
      <c r="W29" s="827">
        <f t="shared" ca="1" si="3"/>
        <v>0</v>
      </c>
      <c r="X29" s="827">
        <f t="shared" ca="1" si="3"/>
        <v>0</v>
      </c>
      <c r="Y29" s="827">
        <f t="shared" ca="1" si="3"/>
        <v>0</v>
      </c>
      <c r="Z29" s="827" t="e">
        <f t="shared" ca="1" si="3"/>
        <v>#DIV/0!</v>
      </c>
      <c r="AA29" s="827">
        <f t="shared" ca="1" si="3"/>
        <v>10421.650410335844</v>
      </c>
      <c r="AB29" s="827">
        <f t="shared" ca="1" si="3"/>
        <v>0</v>
      </c>
      <c r="AC29" s="827">
        <f t="shared" ca="1" si="3"/>
        <v>13915.80961935045</v>
      </c>
      <c r="AD29" s="827">
        <f t="shared" ca="1" si="3"/>
        <v>0</v>
      </c>
      <c r="AE29" s="827">
        <f t="shared" ca="1" si="3"/>
        <v>9642.2443817440671</v>
      </c>
      <c r="AF29" s="827">
        <f t="shared" ca="1" si="3"/>
        <v>0</v>
      </c>
      <c r="AG29" s="827">
        <f t="shared" ca="1" si="3"/>
        <v>0</v>
      </c>
    </row>
    <row r="30" spans="2:33">
      <c r="B30" s="829" t="s">
        <v>532</v>
      </c>
      <c r="C30" s="827">
        <f t="shared" ca="1" si="4"/>
        <v>452858.56976810616</v>
      </c>
      <c r="D30" s="827">
        <f t="shared" ca="1" si="3"/>
        <v>8243.6549703176042</v>
      </c>
      <c r="E30" s="827">
        <f t="shared" ca="1" si="3"/>
        <v>543630.97760608199</v>
      </c>
      <c r="F30" s="827" t="e">
        <f t="shared" ca="1" si="3"/>
        <v>#DIV/0!</v>
      </c>
      <c r="G30" s="827">
        <f t="shared" ca="1" si="3"/>
        <v>0</v>
      </c>
      <c r="H30" s="827">
        <f t="shared" ca="1" si="3"/>
        <v>1004145.4624658554</v>
      </c>
      <c r="I30" s="827">
        <f t="shared" ca="1" si="3"/>
        <v>3957501.5309200753</v>
      </c>
      <c r="J30" s="827">
        <f t="shared" ca="1" si="3"/>
        <v>1386508.0403236093</v>
      </c>
      <c r="K30" s="827">
        <f t="shared" ca="1" si="3"/>
        <v>316551.97202021116</v>
      </c>
      <c r="L30" s="827">
        <f t="shared" ca="1" si="3"/>
        <v>0</v>
      </c>
      <c r="M30" s="827">
        <f t="shared" ca="1" si="3"/>
        <v>1026728.8644058665</v>
      </c>
      <c r="N30" s="827">
        <f t="shared" ca="1" si="3"/>
        <v>1518463.5004391475</v>
      </c>
      <c r="O30" s="827">
        <f t="shared" ca="1" si="3"/>
        <v>54378.289991728991</v>
      </c>
      <c r="P30" s="827">
        <f t="shared" ca="1" si="3"/>
        <v>139800.03739772076</v>
      </c>
      <c r="Q30" s="827">
        <f t="shared" ca="1" si="3"/>
        <v>461669.3426635419</v>
      </c>
      <c r="R30" s="827">
        <f t="shared" ca="1" si="3"/>
        <v>0</v>
      </c>
      <c r="S30" s="827" t="e">
        <f t="shared" ca="1" si="3"/>
        <v>#DIV/0!</v>
      </c>
      <c r="T30" s="827">
        <f t="shared" ca="1" si="3"/>
        <v>136905.85150096004</v>
      </c>
      <c r="U30" s="827">
        <f t="shared" ca="1" si="3"/>
        <v>562591.65283570101</v>
      </c>
      <c r="V30" s="827">
        <f t="shared" ca="1" si="3"/>
        <v>0</v>
      </c>
      <c r="W30" s="827">
        <f t="shared" ca="1" si="3"/>
        <v>364730.89645370725</v>
      </c>
      <c r="X30" s="827">
        <f t="shared" ca="1" si="3"/>
        <v>0</v>
      </c>
      <c r="Y30" s="827">
        <f t="shared" ca="1" si="3"/>
        <v>214133.73097423653</v>
      </c>
      <c r="Z30" s="827" t="e">
        <f t="shared" ca="1" si="3"/>
        <v>#DIV/0!</v>
      </c>
      <c r="AA30" s="827">
        <f t="shared" ca="1" si="3"/>
        <v>3866505.6295901677</v>
      </c>
      <c r="AB30" s="827">
        <f t="shared" ca="1" si="3"/>
        <v>1823.2949128635446</v>
      </c>
      <c r="AC30" s="827">
        <f t="shared" ca="1" si="3"/>
        <v>1140753.2749017796</v>
      </c>
      <c r="AD30" s="827">
        <f t="shared" ca="1" si="3"/>
        <v>2101244.4142112345</v>
      </c>
      <c r="AE30" s="827">
        <f t="shared" ca="1" si="3"/>
        <v>92558.979269477364</v>
      </c>
      <c r="AF30" s="827">
        <f t="shared" ca="1" si="3"/>
        <v>356119.46031981881</v>
      </c>
      <c r="AG30" s="827">
        <f t="shared" ca="1" si="3"/>
        <v>38666.243102152293</v>
      </c>
    </row>
    <row r="31" spans="2:33">
      <c r="B31" s="829" t="s">
        <v>946</v>
      </c>
      <c r="C31" s="827">
        <f>C17</f>
        <v>90276</v>
      </c>
      <c r="D31" s="827">
        <f t="shared" ref="D31:AG31" si="5">D17</f>
        <v>4833</v>
      </c>
      <c r="E31" s="827">
        <f t="shared" si="5"/>
        <v>0</v>
      </c>
      <c r="F31" s="827">
        <f t="shared" si="5"/>
        <v>105312</v>
      </c>
      <c r="G31" s="827">
        <f t="shared" si="5"/>
        <v>0</v>
      </c>
      <c r="H31" s="827">
        <f t="shared" si="5"/>
        <v>18471</v>
      </c>
      <c r="I31" s="827">
        <f t="shared" si="5"/>
        <v>348973.60000000003</v>
      </c>
      <c r="J31" s="827">
        <f t="shared" si="5"/>
        <v>59917</v>
      </c>
      <c r="K31" s="827">
        <f t="shared" si="5"/>
        <v>39575</v>
      </c>
      <c r="L31" s="827">
        <f t="shared" si="5"/>
        <v>67229.95</v>
      </c>
      <c r="M31" s="827">
        <f t="shared" si="5"/>
        <v>339207.99999999994</v>
      </c>
      <c r="N31" s="827">
        <f t="shared" si="5"/>
        <v>668340.71499999997</v>
      </c>
      <c r="O31" s="827">
        <f t="shared" si="5"/>
        <v>0</v>
      </c>
      <c r="P31" s="827">
        <f t="shared" si="5"/>
        <v>0</v>
      </c>
      <c r="Q31" s="827">
        <f t="shared" si="5"/>
        <v>952.02</v>
      </c>
      <c r="R31" s="827">
        <f t="shared" si="5"/>
        <v>2206</v>
      </c>
      <c r="S31" s="827">
        <f t="shared" si="5"/>
        <v>0</v>
      </c>
      <c r="T31" s="827">
        <f t="shared" si="5"/>
        <v>716797.73</v>
      </c>
      <c r="U31" s="827">
        <f t="shared" si="5"/>
        <v>1071</v>
      </c>
      <c r="V31" s="827">
        <f t="shared" si="5"/>
        <v>0</v>
      </c>
      <c r="W31" s="827">
        <f t="shared" si="5"/>
        <v>0</v>
      </c>
      <c r="X31" s="827">
        <f t="shared" si="5"/>
        <v>0</v>
      </c>
      <c r="Y31" s="827">
        <f t="shared" si="5"/>
        <v>27853.500000399999</v>
      </c>
      <c r="Z31" s="827">
        <f t="shared" si="5"/>
        <v>550371.00000000012</v>
      </c>
      <c r="AA31" s="827">
        <f t="shared" si="5"/>
        <v>5320</v>
      </c>
      <c r="AB31" s="827">
        <f t="shared" si="5"/>
        <v>49669.254999999997</v>
      </c>
      <c r="AC31" s="827">
        <f t="shared" si="5"/>
        <v>0</v>
      </c>
      <c r="AD31" s="827">
        <f t="shared" si="5"/>
        <v>871793</v>
      </c>
      <c r="AE31" s="827">
        <f t="shared" si="5"/>
        <v>0</v>
      </c>
      <c r="AF31" s="827">
        <f t="shared" si="5"/>
        <v>1208.5</v>
      </c>
      <c r="AG31" s="827">
        <f t="shared" si="5"/>
        <v>41405</v>
      </c>
    </row>
    <row r="32" spans="2:33">
      <c r="B32" s="829" t="s">
        <v>947</v>
      </c>
      <c r="C32" s="827">
        <f t="shared" ca="1" si="4"/>
        <v>222130.88801025625</v>
      </c>
      <c r="D32" s="827">
        <f t="shared" ca="1" si="3"/>
        <v>134807.44742840066</v>
      </c>
      <c r="E32" s="827">
        <f t="shared" ca="1" si="3"/>
        <v>121821.77420403264</v>
      </c>
      <c r="F32" s="827" t="e">
        <f t="shared" ca="1" si="3"/>
        <v>#DIV/0!</v>
      </c>
      <c r="G32" s="827">
        <f t="shared" ca="1" si="3"/>
        <v>38554.637892697232</v>
      </c>
      <c r="H32" s="827">
        <f t="shared" ca="1" si="3"/>
        <v>189811.43713622107</v>
      </c>
      <c r="I32" s="827">
        <f t="shared" ca="1" si="3"/>
        <v>1639026.2694792203</v>
      </c>
      <c r="J32" s="827">
        <f t="shared" ca="1" si="3"/>
        <v>21217.139209546564</v>
      </c>
      <c r="K32" s="827">
        <f t="shared" ca="1" si="3"/>
        <v>11055.295493287605</v>
      </c>
      <c r="L32" s="827">
        <f t="shared" ca="1" si="3"/>
        <v>1750279.25695606</v>
      </c>
      <c r="M32" s="827">
        <f t="shared" ca="1" si="3"/>
        <v>270151.96922380629</v>
      </c>
      <c r="N32" s="827">
        <f t="shared" ca="1" si="3"/>
        <v>2030018.0189596727</v>
      </c>
      <c r="O32" s="827">
        <f t="shared" ca="1" si="3"/>
        <v>45334.425614513704</v>
      </c>
      <c r="P32" s="827">
        <f t="shared" ca="1" si="3"/>
        <v>6965.441387230936</v>
      </c>
      <c r="Q32" s="827">
        <f t="shared" ca="1" si="3"/>
        <v>123827.74865504555</v>
      </c>
      <c r="R32" s="827">
        <f t="shared" ca="1" si="3"/>
        <v>73737.435750445235</v>
      </c>
      <c r="S32" s="827" t="e">
        <f t="shared" ca="1" si="3"/>
        <v>#DIV/0!</v>
      </c>
      <c r="T32" s="827">
        <f t="shared" ca="1" si="3"/>
        <v>64599.836711930533</v>
      </c>
      <c r="U32" s="827">
        <f t="shared" ca="1" si="3"/>
        <v>3372.5737670953949</v>
      </c>
      <c r="V32" s="827">
        <f t="shared" ca="1" si="3"/>
        <v>4463.1933445967279</v>
      </c>
      <c r="W32" s="827">
        <f t="shared" ca="1" si="3"/>
        <v>4655.2073819486532</v>
      </c>
      <c r="X32" s="827">
        <f t="shared" ca="1" si="3"/>
        <v>27794.215328369726</v>
      </c>
      <c r="Y32" s="827">
        <f t="shared" ca="1" si="3"/>
        <v>70803.482109262215</v>
      </c>
      <c r="Z32" s="827" t="e">
        <f t="shared" ca="1" si="3"/>
        <v>#DIV/0!</v>
      </c>
      <c r="AA32" s="827">
        <f t="shared" ca="1" si="3"/>
        <v>38695.178840263528</v>
      </c>
      <c r="AB32" s="827">
        <f t="shared" ca="1" si="3"/>
        <v>40399.513982766832</v>
      </c>
      <c r="AC32" s="827">
        <f t="shared" ca="1" si="3"/>
        <v>61972.721584116101</v>
      </c>
      <c r="AD32" s="827">
        <f t="shared" ca="1" si="3"/>
        <v>847495.91524646932</v>
      </c>
      <c r="AE32" s="827">
        <f t="shared" ca="1" si="3"/>
        <v>22254.139511403257</v>
      </c>
      <c r="AF32" s="827">
        <f t="shared" ca="1" si="3"/>
        <v>39510.138703284218</v>
      </c>
      <c r="AG32" s="827">
        <f t="shared" ca="1" si="3"/>
        <v>2196786.9966076934</v>
      </c>
    </row>
    <row r="33" spans="2:33">
      <c r="B33" s="829"/>
      <c r="C33" s="827"/>
      <c r="D33" s="827"/>
      <c r="E33" s="827"/>
      <c r="F33" s="827"/>
      <c r="G33" s="827"/>
      <c r="H33" s="827"/>
      <c r="I33" s="827"/>
      <c r="J33" s="827"/>
      <c r="K33" s="827"/>
      <c r="L33" s="827"/>
      <c r="M33" s="827"/>
      <c r="N33" s="827"/>
      <c r="O33" s="827"/>
      <c r="P33" s="827"/>
      <c r="Q33" s="827"/>
      <c r="R33" s="827"/>
      <c r="S33" s="827"/>
      <c r="T33" s="827"/>
      <c r="U33" s="827"/>
      <c r="V33" s="827"/>
      <c r="W33" s="827"/>
      <c r="X33" s="827"/>
      <c r="Y33" s="827"/>
      <c r="Z33" s="827"/>
      <c r="AA33" s="827"/>
      <c r="AB33" s="827"/>
      <c r="AC33" s="827"/>
      <c r="AD33" s="827"/>
      <c r="AE33" s="827"/>
      <c r="AF33" s="827"/>
      <c r="AG33" s="827"/>
    </row>
    <row r="34" spans="2:33">
      <c r="B34" s="824" t="s">
        <v>948</v>
      </c>
      <c r="C34" s="831"/>
      <c r="D34" s="824"/>
      <c r="E34" s="824"/>
      <c r="F34" s="824"/>
      <c r="G34" s="824"/>
      <c r="H34" s="824"/>
      <c r="I34" s="824"/>
      <c r="J34" s="824"/>
      <c r="K34" s="824"/>
      <c r="L34" s="824"/>
      <c r="M34" s="824"/>
      <c r="N34" s="824"/>
      <c r="O34" s="824"/>
      <c r="P34" s="824"/>
      <c r="Q34" s="824"/>
      <c r="R34" s="824"/>
      <c r="S34" s="824"/>
      <c r="T34" s="824"/>
      <c r="U34" s="824"/>
      <c r="V34" s="824"/>
      <c r="W34" s="824"/>
      <c r="X34" s="824"/>
      <c r="Y34" s="824"/>
      <c r="Z34" s="824"/>
      <c r="AA34" s="824"/>
      <c r="AB34" s="824"/>
      <c r="AC34" s="824"/>
      <c r="AD34" s="824"/>
      <c r="AE34" s="824"/>
      <c r="AF34" s="824"/>
      <c r="AG34" s="824"/>
    </row>
    <row r="35" spans="2:33">
      <c r="B35" s="832" t="s">
        <v>949</v>
      </c>
      <c r="C35" s="827">
        <v>5509.3281965332317</v>
      </c>
      <c r="D35" s="827">
        <v>8336.4578544705946</v>
      </c>
      <c r="E35" s="827">
        <v>1879.4314177695528</v>
      </c>
      <c r="F35" s="827"/>
      <c r="G35" s="827">
        <v>252.9471679678075</v>
      </c>
      <c r="H35" s="827">
        <v>6914.1343987126957</v>
      </c>
      <c r="I35" s="827">
        <v>55185.732606394762</v>
      </c>
      <c r="J35" s="827">
        <v>4349.726134178135</v>
      </c>
      <c r="K35" s="827">
        <v>939.61107052693876</v>
      </c>
      <c r="L35" s="827">
        <v>13501.216311477856</v>
      </c>
      <c r="M35" s="827">
        <v>5312.9689879723792</v>
      </c>
      <c r="N35" s="827">
        <v>37695.127590543576</v>
      </c>
      <c r="O35" s="827">
        <v>4063.3125247307707</v>
      </c>
      <c r="P35" s="827">
        <v>2510.4893366348865</v>
      </c>
      <c r="Q35" s="827">
        <v>6210.3484839342518</v>
      </c>
      <c r="R35" s="827">
        <v>2907.469841774227</v>
      </c>
      <c r="S35" s="827"/>
      <c r="T35" s="827">
        <v>31334.633598492303</v>
      </c>
      <c r="U35" s="827">
        <v>1461.4575986217415</v>
      </c>
      <c r="V35" s="827">
        <v>458.36538336762544</v>
      </c>
      <c r="W35" s="827">
        <v>1274.6753574689756</v>
      </c>
      <c r="X35" s="827">
        <v>44.953723379114976</v>
      </c>
      <c r="Y35" s="827">
        <v>10935.076912034172</v>
      </c>
      <c r="Z35" s="827"/>
      <c r="AA35" s="827">
        <v>20386.841621096159</v>
      </c>
      <c r="AB35" s="827">
        <v>2162.114540726147</v>
      </c>
      <c r="AC35" s="827">
        <v>7398.1846602859123</v>
      </c>
      <c r="AD35" s="827">
        <v>7025.6973105080542</v>
      </c>
      <c r="AE35" s="827">
        <v>1172.8275709846855</v>
      </c>
      <c r="AF35" s="827">
        <v>2086.7223322775476</v>
      </c>
      <c r="AG35" s="827">
        <v>39947.861229022346</v>
      </c>
    </row>
    <row r="36" spans="2:33">
      <c r="B36" s="828" t="s">
        <v>531</v>
      </c>
      <c r="C36" s="827">
        <v>4439.1952278809385</v>
      </c>
      <c r="D36" s="827">
        <v>6665.9010373714809</v>
      </c>
      <c r="E36" s="827">
        <v>1204.9825531414613</v>
      </c>
      <c r="F36" s="827"/>
      <c r="G36" s="827">
        <v>131.96824297513783</v>
      </c>
      <c r="H36" s="827">
        <v>5603.7510487427498</v>
      </c>
      <c r="I36" s="827">
        <v>43847.451965566666</v>
      </c>
      <c r="J36" s="827">
        <v>3453.9529538365109</v>
      </c>
      <c r="K36" s="827">
        <v>732.88199647670035</v>
      </c>
      <c r="L36" s="827">
        <v>8262.7798776511881</v>
      </c>
      <c r="M36" s="827">
        <v>4317.7203114438071</v>
      </c>
      <c r="N36" s="827">
        <v>28379.350325207775</v>
      </c>
      <c r="O36" s="827">
        <v>2682.8270343703307</v>
      </c>
      <c r="P36" s="827">
        <v>1796.3661341080792</v>
      </c>
      <c r="Q36" s="827">
        <v>4973.109111438439</v>
      </c>
      <c r="R36" s="827">
        <v>2205.9776095690354</v>
      </c>
      <c r="S36" s="827"/>
      <c r="T36" s="827">
        <v>22285.306002829955</v>
      </c>
      <c r="U36" s="827">
        <v>1131.4281625373847</v>
      </c>
      <c r="V36" s="827">
        <v>391.0524814359955</v>
      </c>
      <c r="W36" s="827">
        <v>1009.7296481699517</v>
      </c>
      <c r="X36" s="827">
        <v>10.746365280980905</v>
      </c>
      <c r="Y36" s="827">
        <v>8338.8396262995138</v>
      </c>
      <c r="Z36" s="827"/>
      <c r="AA36" s="827">
        <v>15564.701027739413</v>
      </c>
      <c r="AB36" s="827">
        <v>566.38595770202369</v>
      </c>
      <c r="AC36" s="827">
        <v>5604.2128163460711</v>
      </c>
      <c r="AD36" s="827">
        <v>5507.1334879687147</v>
      </c>
      <c r="AE36" s="827">
        <v>837.42505224904824</v>
      </c>
      <c r="AF36" s="827">
        <v>1599.2227697918738</v>
      </c>
      <c r="AG36" s="827">
        <v>31574.917039161595</v>
      </c>
    </row>
    <row r="37" spans="2:33">
      <c r="B37" s="829" t="s">
        <v>529</v>
      </c>
      <c r="C37" s="827">
        <v>52.889620040974513</v>
      </c>
      <c r="D37" s="827">
        <v>120.3239379401564</v>
      </c>
      <c r="E37" s="827">
        <v>169.97977363720236</v>
      </c>
      <c r="F37" s="827"/>
      <c r="G37" s="827">
        <v>0</v>
      </c>
      <c r="H37" s="827">
        <v>892.79324221131151</v>
      </c>
      <c r="I37" s="827">
        <v>850.57550577046879</v>
      </c>
      <c r="J37" s="827">
        <v>0</v>
      </c>
      <c r="K37" s="827">
        <v>8.4464283534040767</v>
      </c>
      <c r="L37" s="827">
        <v>169.25588570365503</v>
      </c>
      <c r="M37" s="827">
        <v>8.0736291274166785</v>
      </c>
      <c r="N37" s="827">
        <v>197.69969438874136</v>
      </c>
      <c r="O37" s="827">
        <v>0</v>
      </c>
      <c r="P37" s="827">
        <v>5.9469868519493492</v>
      </c>
      <c r="Q37" s="827">
        <v>141.26289509558197</v>
      </c>
      <c r="R37" s="827">
        <v>422.24322256734052</v>
      </c>
      <c r="S37" s="827"/>
      <c r="T37" s="827">
        <v>3.6305225437419093</v>
      </c>
      <c r="U37" s="827">
        <v>60.251330341577273</v>
      </c>
      <c r="V37" s="827">
        <v>0.47771053459395668</v>
      </c>
      <c r="W37" s="827">
        <v>21.544611594152819</v>
      </c>
      <c r="X37" s="827">
        <v>0</v>
      </c>
      <c r="Y37" s="827">
        <v>1.9107716442184972</v>
      </c>
      <c r="Z37" s="827"/>
      <c r="AA37" s="827">
        <v>6359.019135872777</v>
      </c>
      <c r="AB37" s="827">
        <v>0</v>
      </c>
      <c r="AC37" s="827">
        <v>9.9835305033940802</v>
      </c>
      <c r="AD37" s="827">
        <v>0</v>
      </c>
      <c r="AE37" s="827">
        <v>1.33787228044149</v>
      </c>
      <c r="AF37" s="827">
        <v>52.818251544379606</v>
      </c>
      <c r="AG37" s="827">
        <v>673.26283117068408</v>
      </c>
    </row>
    <row r="38" spans="2:33">
      <c r="B38" s="829" t="s">
        <v>942</v>
      </c>
      <c r="C38" s="827">
        <v>9.2541582434215588</v>
      </c>
      <c r="D38" s="827">
        <v>14.173120063931398</v>
      </c>
      <c r="E38" s="827">
        <v>3.6256499387230519</v>
      </c>
      <c r="F38" s="827"/>
      <c r="G38" s="827">
        <v>12.846921753680611</v>
      </c>
      <c r="H38" s="827">
        <v>0</v>
      </c>
      <c r="I38" s="827">
        <v>168.20949899999997</v>
      </c>
      <c r="J38" s="827">
        <v>3.955259111482671</v>
      </c>
      <c r="K38" s="827">
        <v>0</v>
      </c>
      <c r="L38" s="827">
        <v>319.71955378291233</v>
      </c>
      <c r="M38" s="827">
        <v>0</v>
      </c>
      <c r="N38" s="827">
        <v>267.6416013670742</v>
      </c>
      <c r="O38" s="827">
        <v>0</v>
      </c>
      <c r="P38" s="827">
        <v>15.791186762853403</v>
      </c>
      <c r="Q38" s="827">
        <v>41.185951563970342</v>
      </c>
      <c r="R38" s="827">
        <v>23.111004946343009</v>
      </c>
      <c r="S38" s="827"/>
      <c r="T38" s="827">
        <v>474.00409307789977</v>
      </c>
      <c r="U38" s="827">
        <v>0</v>
      </c>
      <c r="V38" s="827">
        <v>0</v>
      </c>
      <c r="W38" s="827">
        <v>0</v>
      </c>
      <c r="X38" s="827">
        <v>5.3627765643776346</v>
      </c>
      <c r="Y38" s="827">
        <v>0</v>
      </c>
      <c r="Z38" s="827"/>
      <c r="AA38" s="827">
        <v>0</v>
      </c>
      <c r="AB38" s="827">
        <v>27.942826918132695</v>
      </c>
      <c r="AC38" s="827">
        <v>0</v>
      </c>
      <c r="AD38" s="827">
        <v>0</v>
      </c>
      <c r="AE38" s="827">
        <v>7.2585615690222358</v>
      </c>
      <c r="AF38" s="827">
        <v>0</v>
      </c>
      <c r="AG38" s="827">
        <v>76.081158586717294</v>
      </c>
    </row>
    <row r="39" spans="2:33">
      <c r="B39" s="829" t="s">
        <v>943</v>
      </c>
      <c r="C39" s="827">
        <v>1092.0818098378927</v>
      </c>
      <c r="D39" s="827">
        <v>2575.1368261899656</v>
      </c>
      <c r="E39" s="827">
        <v>2.0295905743564049</v>
      </c>
      <c r="F39" s="827"/>
      <c r="G39" s="827">
        <v>87.551758191769409</v>
      </c>
      <c r="H39" s="827">
        <v>0</v>
      </c>
      <c r="I39" s="827">
        <v>11784.156451309165</v>
      </c>
      <c r="J39" s="827">
        <v>388.34155223389166</v>
      </c>
      <c r="K39" s="827">
        <v>3.4855642783214429</v>
      </c>
      <c r="L39" s="827">
        <v>1524.6664476138565</v>
      </c>
      <c r="M39" s="827">
        <v>588.80294802081278</v>
      </c>
      <c r="N39" s="827">
        <v>5642.6680759082637</v>
      </c>
      <c r="O39" s="827">
        <v>1814.7706343489492</v>
      </c>
      <c r="P39" s="827">
        <v>128.40268922714404</v>
      </c>
      <c r="Q39" s="827">
        <v>0</v>
      </c>
      <c r="R39" s="827">
        <v>1059.1730741711624</v>
      </c>
      <c r="S39" s="827"/>
      <c r="T39" s="827">
        <v>1578.999055854672</v>
      </c>
      <c r="U39" s="827">
        <v>6.042936418473861</v>
      </c>
      <c r="V39" s="827">
        <v>167.28058968161864</v>
      </c>
      <c r="W39" s="827">
        <v>26.115508453322477</v>
      </c>
      <c r="X39" s="827">
        <v>0</v>
      </c>
      <c r="Y39" s="827">
        <v>12.050669398205844</v>
      </c>
      <c r="Z39" s="827"/>
      <c r="AA39" s="827">
        <v>91.189658543341636</v>
      </c>
      <c r="AB39" s="827">
        <v>43.131704564907842</v>
      </c>
      <c r="AC39" s="827">
        <v>18.603590367389291</v>
      </c>
      <c r="AD39" s="827">
        <v>60.273357560616873</v>
      </c>
      <c r="AE39" s="827">
        <v>212.62091971285099</v>
      </c>
      <c r="AF39" s="827">
        <v>0</v>
      </c>
      <c r="AG39" s="827">
        <v>2376.1447133282231</v>
      </c>
    </row>
    <row r="40" spans="2:33">
      <c r="B40" s="829" t="s">
        <v>944</v>
      </c>
      <c r="C40" s="827">
        <v>958.41108772122288</v>
      </c>
      <c r="D40" s="827">
        <v>3173.6577365951675</v>
      </c>
      <c r="E40" s="827">
        <v>29.067508968033003</v>
      </c>
      <c r="F40" s="827"/>
      <c r="G40" s="827">
        <v>0</v>
      </c>
      <c r="H40" s="827">
        <v>1874.2400809726073</v>
      </c>
      <c r="I40" s="827">
        <v>18987.77819675321</v>
      </c>
      <c r="J40" s="827">
        <v>591.92387440365542</v>
      </c>
      <c r="K40" s="827">
        <v>40.932882071904501</v>
      </c>
      <c r="L40" s="827">
        <v>2648.7012424710601</v>
      </c>
      <c r="M40" s="827">
        <v>38.18603664132997</v>
      </c>
      <c r="N40" s="827">
        <v>10458.069177678068</v>
      </c>
      <c r="O40" s="827">
        <v>174.7555481398534</v>
      </c>
      <c r="P40" s="827">
        <v>420.79240415570251</v>
      </c>
      <c r="Q40" s="827">
        <v>2583.1661367895658</v>
      </c>
      <c r="R40" s="827">
        <v>535.38537890201951</v>
      </c>
      <c r="S40" s="827"/>
      <c r="T40" s="827">
        <v>13470.985276060401</v>
      </c>
      <c r="U40" s="827">
        <v>119.22649356173054</v>
      </c>
      <c r="V40" s="827">
        <v>194.07143541128508</v>
      </c>
      <c r="W40" s="827">
        <v>95.369041074723469</v>
      </c>
      <c r="X40" s="827">
        <v>0</v>
      </c>
      <c r="Y40" s="827">
        <v>7482.6504966529574</v>
      </c>
      <c r="Z40" s="827"/>
      <c r="AA40" s="827">
        <v>2691.7186591054342</v>
      </c>
      <c r="AB40" s="827">
        <v>69.109905877648856</v>
      </c>
      <c r="AC40" s="827">
        <v>1670.3682144302572</v>
      </c>
      <c r="AD40" s="827">
        <v>118.83506443017059</v>
      </c>
      <c r="AE40" s="827">
        <v>80.146609183187053</v>
      </c>
      <c r="AF40" s="827">
        <v>1020.5815901155252</v>
      </c>
      <c r="AG40" s="827">
        <v>23968.05239924556</v>
      </c>
    </row>
    <row r="41" spans="2:33">
      <c r="B41" s="829" t="s">
        <v>526</v>
      </c>
      <c r="C41" s="827">
        <v>1407.8586544322354</v>
      </c>
      <c r="D41" s="827">
        <v>462.74021334765843</v>
      </c>
      <c r="E41" s="827">
        <v>631.2426213304326</v>
      </c>
      <c r="F41" s="827"/>
      <c r="G41" s="827">
        <v>5.3167539012970275</v>
      </c>
      <c r="H41" s="827">
        <v>1428.2440068368001</v>
      </c>
      <c r="I41" s="827">
        <v>5485.5321670674566</v>
      </c>
      <c r="J41" s="827">
        <v>810.28737801255613</v>
      </c>
      <c r="K41" s="827">
        <v>357.56243119385738</v>
      </c>
      <c r="L41" s="827">
        <v>2037.5657435542448</v>
      </c>
      <c r="M41" s="827">
        <v>1301.0589144497435</v>
      </c>
      <c r="N41" s="827">
        <v>6635.9205968249653</v>
      </c>
      <c r="O41" s="827">
        <v>546.75870520837407</v>
      </c>
      <c r="P41" s="827">
        <v>1067.1119824819766</v>
      </c>
      <c r="Q41" s="827">
        <v>1474.7623383704945</v>
      </c>
      <c r="R41" s="827">
        <v>23.45743284168632</v>
      </c>
      <c r="S41" s="827"/>
      <c r="T41" s="827">
        <v>6318.539238110242</v>
      </c>
      <c r="U41" s="827">
        <v>485.03048308158282</v>
      </c>
      <c r="V41" s="827">
        <v>16.205722015872585</v>
      </c>
      <c r="W41" s="827">
        <v>492.30549385383802</v>
      </c>
      <c r="X41" s="827">
        <v>0.74042227954523998</v>
      </c>
      <c r="Y41" s="827">
        <v>346.19151013409703</v>
      </c>
      <c r="Z41" s="827"/>
      <c r="AA41" s="827">
        <v>2266.6931767457922</v>
      </c>
      <c r="AB41" s="827">
        <v>396.47410923881262</v>
      </c>
      <c r="AC41" s="827">
        <v>2780.0264149472396</v>
      </c>
      <c r="AD41" s="827">
        <v>533.97847177101335</v>
      </c>
      <c r="AE41" s="827">
        <v>415.27127988787817</v>
      </c>
      <c r="AF41" s="827">
        <v>38.847278188446268</v>
      </c>
      <c r="AG41" s="827">
        <v>970.74246360782467</v>
      </c>
    </row>
    <row r="42" spans="2:33">
      <c r="B42" s="829" t="s">
        <v>945</v>
      </c>
      <c r="C42" s="827">
        <v>0</v>
      </c>
      <c r="D42" s="827">
        <v>0</v>
      </c>
      <c r="E42" s="827">
        <v>0</v>
      </c>
      <c r="F42" s="827"/>
      <c r="G42" s="827">
        <v>0.76430686920798996</v>
      </c>
      <c r="H42" s="827">
        <v>0</v>
      </c>
      <c r="I42" s="827">
        <v>14.187450196129781</v>
      </c>
      <c r="J42" s="827">
        <v>0</v>
      </c>
      <c r="K42" s="827">
        <v>0</v>
      </c>
      <c r="L42" s="827">
        <v>9.0283657954951835</v>
      </c>
      <c r="M42" s="827">
        <v>0</v>
      </c>
      <c r="N42" s="827">
        <v>14.402407566638001</v>
      </c>
      <c r="O42" s="827">
        <v>0.19107769439658284</v>
      </c>
      <c r="P42" s="827">
        <v>0</v>
      </c>
      <c r="Q42" s="827">
        <v>0</v>
      </c>
      <c r="R42" s="827">
        <v>0</v>
      </c>
      <c r="S42" s="827"/>
      <c r="T42" s="827">
        <v>1.3375358869092508</v>
      </c>
      <c r="U42" s="827">
        <v>0</v>
      </c>
      <c r="V42" s="827">
        <v>0</v>
      </c>
      <c r="W42" s="827">
        <v>0</v>
      </c>
      <c r="X42" s="827">
        <v>0</v>
      </c>
      <c r="Y42" s="827">
        <v>0</v>
      </c>
      <c r="Z42" s="827"/>
      <c r="AA42" s="827">
        <v>10.509219451609805</v>
      </c>
      <c r="AB42" s="827">
        <v>0</v>
      </c>
      <c r="AC42" s="827">
        <v>15.023402828146448</v>
      </c>
      <c r="AD42" s="827">
        <v>0</v>
      </c>
      <c r="AE42" s="827">
        <v>8.359826501137011</v>
      </c>
      <c r="AF42" s="827">
        <v>0</v>
      </c>
      <c r="AG42" s="827">
        <v>0</v>
      </c>
    </row>
    <row r="43" spans="2:33">
      <c r="B43" s="829" t="s">
        <v>532</v>
      </c>
      <c r="C43" s="827">
        <v>517.34335420720618</v>
      </c>
      <c r="D43" s="827">
        <v>9.6556478918177255</v>
      </c>
      <c r="E43" s="827">
        <v>270.47206389365442</v>
      </c>
      <c r="F43" s="827"/>
      <c r="G43" s="827">
        <v>0</v>
      </c>
      <c r="H43" s="827">
        <v>1088.9487529212488</v>
      </c>
      <c r="I43" s="827">
        <v>3921.8311685362892</v>
      </c>
      <c r="J43" s="827">
        <v>1571.4490805184005</v>
      </c>
      <c r="K43" s="827">
        <v>304.60401623616474</v>
      </c>
      <c r="L43" s="827">
        <v>0</v>
      </c>
      <c r="M43" s="827">
        <v>1527.7910261579202</v>
      </c>
      <c r="N43" s="827">
        <v>1534.9307494639379</v>
      </c>
      <c r="O43" s="827">
        <v>39.386246251921044</v>
      </c>
      <c r="P43" s="827">
        <v>127.95056240784683</v>
      </c>
      <c r="Q43" s="827">
        <v>505.98180138161854</v>
      </c>
      <c r="R43" s="827">
        <v>0</v>
      </c>
      <c r="S43" s="827"/>
      <c r="T43" s="827">
        <v>101.11955849613167</v>
      </c>
      <c r="U43" s="827">
        <v>450.47750348685457</v>
      </c>
      <c r="V43" s="827">
        <v>0</v>
      </c>
      <c r="W43" s="827">
        <v>355.68988267102662</v>
      </c>
      <c r="X43" s="827">
        <v>0</v>
      </c>
      <c r="Y43" s="827">
        <v>245.87557287352317</v>
      </c>
      <c r="Z43" s="827"/>
      <c r="AA43" s="827">
        <v>3956.4861918393167</v>
      </c>
      <c r="AB43" s="827">
        <v>0.57042357111121422</v>
      </c>
      <c r="AC43" s="827">
        <v>978.25695964056115</v>
      </c>
      <c r="AD43" s="827">
        <v>2825.9437652681781</v>
      </c>
      <c r="AE43" s="827">
        <v>80.364789000856021</v>
      </c>
      <c r="AF43" s="827">
        <v>419.08285164486745</v>
      </c>
      <c r="AG43" s="827">
        <v>41.425110271067467</v>
      </c>
    </row>
    <row r="44" spans="2:33">
      <c r="B44" s="829" t="s">
        <v>946</v>
      </c>
      <c r="C44" s="827">
        <v>57.127592726801439</v>
      </c>
      <c r="D44" s="827">
        <v>26.503421683453475</v>
      </c>
      <c r="E44" s="827">
        <v>9.6442885507267526</v>
      </c>
      <c r="F44" s="827"/>
      <c r="G44" s="827">
        <v>9.1405673635977109</v>
      </c>
      <c r="H44" s="827">
        <v>14.701198077133022</v>
      </c>
      <c r="I44" s="827">
        <v>137.54790559231515</v>
      </c>
      <c r="J44" s="827">
        <v>36.002517031282821</v>
      </c>
      <c r="K44" s="827">
        <v>0</v>
      </c>
      <c r="L44" s="827">
        <v>211.91291570985766</v>
      </c>
      <c r="M44" s="827">
        <v>388.86197630522082</v>
      </c>
      <c r="N44" s="827">
        <v>293.59512169819419</v>
      </c>
      <c r="O44" s="827">
        <v>22.513778570456843</v>
      </c>
      <c r="P44" s="827">
        <v>5.4700317885480487</v>
      </c>
      <c r="Q44" s="827">
        <v>1.2732799326918525</v>
      </c>
      <c r="R44" s="827">
        <v>4.2077079564633175</v>
      </c>
      <c r="S44" s="827"/>
      <c r="T44" s="827">
        <v>29.476060530169832</v>
      </c>
      <c r="U44" s="827">
        <v>0</v>
      </c>
      <c r="V44" s="827">
        <v>1.5914570028041828</v>
      </c>
      <c r="W44" s="827">
        <v>0</v>
      </c>
      <c r="X44" s="827">
        <v>0.63792594546426939</v>
      </c>
      <c r="Y44" s="827">
        <v>31.0499557280978</v>
      </c>
      <c r="Z44" s="827"/>
      <c r="AA44" s="827">
        <v>7.1664759271288467</v>
      </c>
      <c r="AB44" s="827">
        <v>1.3657176012020975</v>
      </c>
      <c r="AC44" s="827">
        <v>2.2695718870796742</v>
      </c>
      <c r="AD44" s="827">
        <v>649.29139227279416</v>
      </c>
      <c r="AE44" s="827">
        <v>2.9466883035749731</v>
      </c>
      <c r="AF44" s="827">
        <v>2.1929828175776356</v>
      </c>
      <c r="AG44" s="827">
        <v>101.0447624461532</v>
      </c>
    </row>
    <row r="45" spans="2:33">
      <c r="B45" s="829" t="s">
        <v>947</v>
      </c>
      <c r="C45" s="827">
        <v>301.66612634400957</v>
      </c>
      <c r="D45" s="827">
        <v>237.81122366477467</v>
      </c>
      <c r="E45" s="827">
        <v>76.997832933542469</v>
      </c>
      <c r="F45" s="827"/>
      <c r="G45" s="827">
        <v>14.333833386351172</v>
      </c>
      <c r="H45" s="827">
        <v>257.11486747528448</v>
      </c>
      <c r="I45" s="827">
        <v>1913.3689260645988</v>
      </c>
      <c r="J45" s="827">
        <v>28.939020786052762</v>
      </c>
      <c r="K45" s="827">
        <v>12.827863651189572</v>
      </c>
      <c r="L45" s="827">
        <v>1206.8986519056762</v>
      </c>
      <c r="M45" s="827">
        <v>434.64813216956964</v>
      </c>
      <c r="N45" s="827">
        <v>2857.5343480324536</v>
      </c>
      <c r="O45" s="827">
        <v>38.837570374916268</v>
      </c>
      <c r="P45" s="827">
        <v>7.5448649323096122</v>
      </c>
      <c r="Q45" s="827">
        <v>168.4915105177634</v>
      </c>
      <c r="R45" s="827">
        <v>113.89229059517822</v>
      </c>
      <c r="S45" s="827"/>
      <c r="T45" s="827">
        <v>63.02687330970776</v>
      </c>
      <c r="U45" s="827">
        <v>3.1661614911415064</v>
      </c>
      <c r="V45" s="827">
        <v>6.5680342497128201</v>
      </c>
      <c r="W45" s="827">
        <v>4.2637576661595116</v>
      </c>
      <c r="X45" s="827">
        <v>3.8664780932243845</v>
      </c>
      <c r="Y45" s="827">
        <v>113.14712441180252</v>
      </c>
      <c r="Z45" s="827"/>
      <c r="AA45" s="827">
        <v>58.974129143179319</v>
      </c>
      <c r="AB45" s="827">
        <v>15.935144499407397</v>
      </c>
      <c r="AC45" s="827">
        <v>67.356599544327494</v>
      </c>
      <c r="AD45" s="827">
        <v>1299.2381166651905</v>
      </c>
      <c r="AE45" s="827">
        <v>23.267648192073281</v>
      </c>
      <c r="AF45" s="827">
        <v>55.645891408730108</v>
      </c>
      <c r="AG45" s="827">
        <v>3043.9094600095505</v>
      </c>
    </row>
    <row r="46" spans="2:33">
      <c r="B46" s="833" t="s">
        <v>950</v>
      </c>
      <c r="C46" s="827">
        <v>42.56282432717483</v>
      </c>
      <c r="D46" s="827">
        <v>45.898909994556107</v>
      </c>
      <c r="E46" s="827">
        <v>11.923223314790166</v>
      </c>
      <c r="F46" s="827"/>
      <c r="G46" s="827">
        <v>2.0141015092339023</v>
      </c>
      <c r="H46" s="827">
        <v>47.708900248363449</v>
      </c>
      <c r="I46" s="827">
        <v>584.26469527704819</v>
      </c>
      <c r="J46" s="827">
        <v>23.054271739188689</v>
      </c>
      <c r="K46" s="827">
        <v>5.0228106918586484</v>
      </c>
      <c r="L46" s="827">
        <v>135.03107111442935</v>
      </c>
      <c r="M46" s="827">
        <v>30.297648571793381</v>
      </c>
      <c r="N46" s="827">
        <v>476.88855227943179</v>
      </c>
      <c r="O46" s="827">
        <v>45.613473781463853</v>
      </c>
      <c r="P46" s="827">
        <v>17.355425499748989</v>
      </c>
      <c r="Q46" s="827">
        <v>56.98519778675189</v>
      </c>
      <c r="R46" s="827">
        <v>24.507497588842448</v>
      </c>
      <c r="S46" s="827"/>
      <c r="T46" s="827">
        <v>244.18778896007953</v>
      </c>
      <c r="U46" s="827">
        <v>7.2332541560239783</v>
      </c>
      <c r="V46" s="827">
        <v>4.8575325401082221</v>
      </c>
      <c r="W46" s="827">
        <v>14.441352856728747</v>
      </c>
      <c r="X46" s="827">
        <v>0.13876239836937684</v>
      </c>
      <c r="Y46" s="827">
        <v>105.96352545661142</v>
      </c>
      <c r="Z46" s="827"/>
      <c r="AA46" s="827">
        <v>122.94438111083591</v>
      </c>
      <c r="AB46" s="827">
        <v>11.856125430801049</v>
      </c>
      <c r="AC46" s="827">
        <v>62.324532197675424</v>
      </c>
      <c r="AD46" s="827">
        <v>19.573320000751274</v>
      </c>
      <c r="AE46" s="827">
        <v>5.8508576180270442</v>
      </c>
      <c r="AF46" s="827">
        <v>10.053924072347325</v>
      </c>
      <c r="AG46" s="827">
        <v>324.25414049582076</v>
      </c>
    </row>
    <row r="47" spans="2:33">
      <c r="B47" s="824"/>
      <c r="C47" s="827"/>
      <c r="D47" s="824"/>
      <c r="E47" s="824"/>
      <c r="F47" s="824"/>
      <c r="G47" s="824"/>
      <c r="H47" s="824"/>
      <c r="I47" s="824"/>
      <c r="J47" s="824"/>
      <c r="K47" s="824"/>
      <c r="L47" s="824"/>
      <c r="M47" s="824"/>
      <c r="N47" s="824"/>
      <c r="O47" s="824"/>
      <c r="P47" s="824"/>
      <c r="Q47" s="824"/>
      <c r="R47" s="824"/>
      <c r="S47" s="824"/>
      <c r="T47" s="824"/>
      <c r="U47" s="824"/>
      <c r="V47" s="824"/>
      <c r="W47" s="824"/>
      <c r="X47" s="824"/>
      <c r="Y47" s="824"/>
      <c r="Z47" s="824"/>
      <c r="AA47" s="824"/>
      <c r="AB47" s="824"/>
      <c r="AC47" s="824"/>
      <c r="AD47" s="824"/>
      <c r="AE47" s="824"/>
      <c r="AF47" s="824"/>
      <c r="AG47" s="824"/>
    </row>
    <row r="48" spans="2:33">
      <c r="B48" s="837" t="s">
        <v>956</v>
      </c>
      <c r="C48" s="831"/>
      <c r="D48" s="824"/>
      <c r="E48" s="824"/>
      <c r="F48" s="824"/>
      <c r="G48" s="824"/>
      <c r="H48" s="824"/>
      <c r="I48" s="824"/>
      <c r="J48" s="824"/>
      <c r="K48" s="824"/>
      <c r="L48" s="824"/>
      <c r="M48" s="824"/>
      <c r="N48" s="824"/>
      <c r="O48" s="824"/>
      <c r="P48" s="824"/>
      <c r="Q48" s="824"/>
      <c r="R48" s="824"/>
      <c r="S48" s="824"/>
      <c r="T48" s="824"/>
      <c r="U48" s="824"/>
      <c r="V48" s="824"/>
      <c r="W48" s="824"/>
      <c r="X48" s="824"/>
      <c r="Y48" s="824"/>
      <c r="Z48" s="824"/>
      <c r="AA48" s="824"/>
      <c r="AB48" s="824"/>
      <c r="AC48" s="824"/>
      <c r="AD48" s="824"/>
      <c r="AE48" s="824"/>
      <c r="AF48" s="824"/>
      <c r="AG48" s="824"/>
    </row>
    <row r="49" spans="1:33">
      <c r="B49" s="832" t="s">
        <v>949</v>
      </c>
      <c r="C49" s="827" t="s">
        <v>957</v>
      </c>
      <c r="D49" s="827"/>
      <c r="E49" s="827"/>
      <c r="F49" s="827"/>
      <c r="G49" s="827"/>
      <c r="H49" s="827"/>
      <c r="I49" s="827"/>
      <c r="J49" s="827"/>
      <c r="K49" s="827"/>
      <c r="L49" s="827"/>
      <c r="M49" s="827"/>
      <c r="N49" s="827"/>
      <c r="O49" s="827"/>
      <c r="P49" s="827"/>
      <c r="Q49" s="827"/>
      <c r="R49" s="827"/>
      <c r="S49" s="827"/>
      <c r="T49" s="827"/>
      <c r="U49" s="827"/>
      <c r="V49" s="827"/>
      <c r="W49" s="827"/>
      <c r="X49" s="827"/>
      <c r="Y49" s="827"/>
      <c r="Z49" s="827"/>
      <c r="AA49" s="827"/>
      <c r="AB49" s="827"/>
      <c r="AC49" s="827"/>
      <c r="AD49" s="827"/>
      <c r="AE49" s="827"/>
      <c r="AF49" s="827"/>
      <c r="AG49" s="827"/>
    </row>
    <row r="50" spans="1:33">
      <c r="A50">
        <v>10</v>
      </c>
      <c r="B50" s="828" t="s">
        <v>531</v>
      </c>
      <c r="C50" s="827">
        <f>C36-HLOOKUP(C$2,'IDEES 2015'!$B$3:$AN$31,$A50,FALSE)</f>
        <v>-488.10477211906164</v>
      </c>
      <c r="D50" s="827">
        <f>D36-HLOOKUP(D$2,'IDEES 2015'!$B$3:$AN$31,$A50,FALSE)</f>
        <v>318.51103737148151</v>
      </c>
      <c r="E50" s="827">
        <f>E36-HLOOKUP(E$2,'IDEES 2015'!$B$3:$AN$31,$A50,FALSE)</f>
        <v>-18.277446858538724</v>
      </c>
      <c r="F50" s="827"/>
      <c r="G50" s="827">
        <f>G36-HLOOKUP(G$2,'IDEES 2015'!$B$3:$AN$31,$A50,FALSE)</f>
        <v>-6.0417570248621644</v>
      </c>
      <c r="H50" s="827">
        <f>H36-HLOOKUP(H$2,'IDEES 2015'!$B$3:$AN$31,$A50,FALSE)</f>
        <v>454.42104874274992</v>
      </c>
      <c r="I50" s="827">
        <f>I36-HLOOKUP(I$2,'IDEES 2015'!$B$3:$AN$31,$A50,FALSE)</f>
        <v>25.051965566664876</v>
      </c>
      <c r="J50" s="827">
        <f>J36-HLOOKUP(J$2,'IDEES 2015'!$B$3:$AN$31,$A50,FALSE)</f>
        <v>-36.657046163489213</v>
      </c>
      <c r="K50" s="827">
        <f>K36-HLOOKUP(K$2,'IDEES 2015'!$B$3:$AN$31,$A50,FALSE)</f>
        <v>2.6319964767003512</v>
      </c>
      <c r="L50" s="827">
        <f>L36-HLOOKUP(L$2,'IDEES 2015'!$B$3:$AN$31,$A50,FALSE)</f>
        <v>21.599877651187853</v>
      </c>
      <c r="M50" s="827">
        <f>M36-HLOOKUP(M$2,'IDEES 2015'!$B$3:$AN$31,$A50,FALSE)</f>
        <v>-62.789688556193141</v>
      </c>
      <c r="N50" s="827">
        <f>N36-HLOOKUP(N$2,'IDEES 2015'!$B$3:$AN$31,$A50,FALSE)</f>
        <v>-2149.0496747922261</v>
      </c>
      <c r="O50" s="827">
        <f>O36-HLOOKUP(O$2,'IDEES 2015'!$B$3:$AN$31,$A50,FALSE)</f>
        <v>-156.25296562966923</v>
      </c>
      <c r="P50" s="827">
        <f>P36-HLOOKUP(P$2,'IDEES 2015'!$B$3:$AN$31,$A50,FALSE)</f>
        <v>649.44613410807915</v>
      </c>
      <c r="Q50" s="827">
        <f>Q36-HLOOKUP(Q$2,'IDEES 2015'!$B$3:$AN$31,$A50,FALSE)</f>
        <v>711.89911143843892</v>
      </c>
      <c r="R50" s="827">
        <f>R36-HLOOKUP(R$2,'IDEES 2015'!$B$3:$AN$31,$A50,FALSE)</f>
        <v>33.027609569035576</v>
      </c>
      <c r="S50" s="827"/>
      <c r="T50" s="827">
        <f>T36-HLOOKUP(T$2,'IDEES 2015'!$B$3:$AN$31,$A50,FALSE)</f>
        <v>2581.1060028299544</v>
      </c>
      <c r="U50" s="827">
        <f>U36-HLOOKUP(U$2,'IDEES 2015'!$B$3:$AN$31,$A50,FALSE)</f>
        <v>5.7681625373845691</v>
      </c>
      <c r="V50" s="827">
        <f>V36-HLOOKUP(V$2,'IDEES 2015'!$B$3:$AN$31,$A50,FALSE)</f>
        <v>24.212481435995528</v>
      </c>
      <c r="W50" s="827">
        <f>W36-HLOOKUP(W$2,'IDEES 2015'!$B$3:$AN$31,$A50,FALSE)</f>
        <v>-79.210351830048353</v>
      </c>
      <c r="X50" s="827">
        <f>X36-HLOOKUP(X$2,'IDEES 2015'!$B$3:$AN$31,$A50,FALSE)</f>
        <v>7.4163652809809051</v>
      </c>
      <c r="Y50" s="827">
        <f>Y36-HLOOKUP(Y$2,'IDEES 2015'!$B$3:$AN$31,$A50,FALSE)</f>
        <v>680.65962629951355</v>
      </c>
      <c r="Z50" s="827"/>
      <c r="AA50" s="827">
        <f>AA36-HLOOKUP(AA$2,'IDEES 2015'!$B$3:$AN$31,$A50,FALSE)</f>
        <v>528.60102773941253</v>
      </c>
      <c r="AB50" s="827">
        <f>AB36-HLOOKUP(AB$2,'IDEES 2015'!$B$3:$AN$31,$A50,FALSE)</f>
        <v>-41.714042297976334</v>
      </c>
      <c r="AC50" s="827">
        <f>AC36-HLOOKUP(AC$2,'IDEES 2015'!$B$3:$AN$31,$A50,FALSE)</f>
        <v>-124.66718365392899</v>
      </c>
      <c r="AD50" s="827">
        <f>AD36-HLOOKUP(AD$2,'IDEES 2015'!$B$3:$AN$31,$A50,FALSE)</f>
        <v>180.09348796871473</v>
      </c>
      <c r="AE50" s="827">
        <f>AE36-HLOOKUP(AE$2,'IDEES 2015'!$B$3:$AN$31,$A50,FALSE)</f>
        <v>28.785052249048249</v>
      </c>
      <c r="AF50" s="827">
        <f>AF36-HLOOKUP(AF$2,'IDEES 2015'!$B$3:$AN$31,$A50,FALSE)</f>
        <v>-16.627230208126321</v>
      </c>
      <c r="AG50" s="827">
        <f>AG36-HLOOKUP(AG$2,'IDEES 2015'!$B$3:$AN$31,$A50,FALSE)</f>
        <v>-228.38296083840396</v>
      </c>
    </row>
    <row r="51" spans="1:33">
      <c r="A51">
        <v>18</v>
      </c>
      <c r="B51" s="829" t="s">
        <v>529</v>
      </c>
      <c r="C51" s="827">
        <f>C37-HLOOKUP(C$2,'IDEES 2015'!$B$3:$AN$31,$A51,FALSE)</f>
        <v>3.1496200409745185</v>
      </c>
      <c r="D51" s="827">
        <f>D37-HLOOKUP(D$2,'IDEES 2015'!$B$3:$AN$31,$A51,FALSE)</f>
        <v>-9.5460620598436066</v>
      </c>
      <c r="E51" s="827">
        <f>E37-HLOOKUP(E$2,'IDEES 2015'!$B$3:$AN$31,$A51,FALSE)</f>
        <v>-11.840226362797637</v>
      </c>
      <c r="F51" s="827"/>
      <c r="G51" s="827">
        <f>G37-HLOOKUP(G$2,'IDEES 2015'!$B$3:$AN$31,$A51,FALSE)</f>
        <v>0</v>
      </c>
      <c r="H51" s="827">
        <f>H37-HLOOKUP(H$2,'IDEES 2015'!$B$3:$AN$31,$A51,FALSE)</f>
        <v>332.14324221131153</v>
      </c>
      <c r="I51" s="827">
        <f>I37-HLOOKUP(I$2,'IDEES 2015'!$B$3:$AN$31,$A51,FALSE)</f>
        <v>-246.45449422953118</v>
      </c>
      <c r="J51" s="827">
        <f>J37-HLOOKUP(J$2,'IDEES 2015'!$B$3:$AN$31,$A51,FALSE)</f>
        <v>-0.47999999999999993</v>
      </c>
      <c r="K51" s="827">
        <f>K37-HLOOKUP(K$2,'IDEES 2015'!$B$3:$AN$31,$A51,FALSE)</f>
        <v>-1.0435716465959235</v>
      </c>
      <c r="L51" s="827">
        <f>L37-HLOOKUP(L$2,'IDEES 2015'!$B$3:$AN$31,$A51,FALSE)</f>
        <v>-9.2241142963449647</v>
      </c>
      <c r="M51" s="827">
        <f>M37-HLOOKUP(M$2,'IDEES 2015'!$B$3:$AN$31,$A51,FALSE)</f>
        <v>-4.8263708725833219</v>
      </c>
      <c r="N51" s="827">
        <f>N37-HLOOKUP(N$2,'IDEES 2015'!$B$3:$AN$31,$A51,FALSE)</f>
        <v>-193.80030561125869</v>
      </c>
      <c r="O51" s="827">
        <f>O37-HLOOKUP(O$2,'IDEES 2015'!$B$3:$AN$31,$A51,FALSE)</f>
        <v>-3.3700000000000006</v>
      </c>
      <c r="P51" s="827">
        <f>P37-HLOOKUP(P$2,'IDEES 2015'!$B$3:$AN$31,$A51,FALSE)</f>
        <v>-3.0131480506510044E-3</v>
      </c>
      <c r="Q51" s="827">
        <f>Q37-HLOOKUP(Q$2,'IDEES 2015'!$B$3:$AN$31,$A51,FALSE)</f>
        <v>-6.2871049044180438</v>
      </c>
      <c r="R51" s="827">
        <f>R37-HLOOKUP(R$2,'IDEES 2015'!$B$3:$AN$31,$A51,FALSE)</f>
        <v>-3.9567774326594645</v>
      </c>
      <c r="S51" s="827"/>
      <c r="T51" s="827">
        <f>T37-HLOOKUP(T$2,'IDEES 2015'!$B$3:$AN$31,$A51,FALSE)</f>
        <v>-0.17947745625809075</v>
      </c>
      <c r="U51" s="827">
        <f>U37-HLOOKUP(U$2,'IDEES 2015'!$B$3:$AN$31,$A51,FALSE)</f>
        <v>-1.588669658422738</v>
      </c>
      <c r="V51" s="827">
        <f>V37-HLOOKUP(V$2,'IDEES 2015'!$B$3:$AN$31,$A51,FALSE)</f>
        <v>-2.2894654060432451E-3</v>
      </c>
      <c r="W51" s="827">
        <f>W37-HLOOKUP(W$2,'IDEES 2015'!$B$3:$AN$31,$A51,FALSE)</f>
        <v>-3.985388405847182</v>
      </c>
      <c r="X51" s="827">
        <f>X37-HLOOKUP(X$2,'IDEES 2015'!$B$3:$AN$31,$A51,FALSE)</f>
        <v>0</v>
      </c>
      <c r="Y51" s="827">
        <f>Y37-HLOOKUP(Y$2,'IDEES 2015'!$B$3:$AN$31,$A51,FALSE)</f>
        <v>-3.6892283557815024</v>
      </c>
      <c r="Z51" s="827"/>
      <c r="AA51" s="827">
        <f>AA37-HLOOKUP(AA$2,'IDEES 2015'!$B$3:$AN$31,$A51,FALSE)</f>
        <v>562.39913587277715</v>
      </c>
      <c r="AB51" s="827">
        <f>AB37-HLOOKUP(AB$2,'IDEES 2015'!$B$3:$AN$31,$A51,FALSE)</f>
        <v>0</v>
      </c>
      <c r="AC51" s="827">
        <f>AC37-HLOOKUP(AC$2,'IDEES 2015'!$B$3:$AN$31,$A51,FALSE)</f>
        <v>3.530503394079787E-3</v>
      </c>
      <c r="AD51" s="827">
        <f>AD37-HLOOKUP(AD$2,'IDEES 2015'!$B$3:$AN$31,$A51,FALSE)</f>
        <v>0</v>
      </c>
      <c r="AE51" s="827">
        <f>AE37-HLOOKUP(AE$2,'IDEES 2015'!$B$3:$AN$31,$A51,FALSE)</f>
        <v>1.33787228044149</v>
      </c>
      <c r="AF51" s="827">
        <f>AF37-HLOOKUP(AF$2,'IDEES 2015'!$B$3:$AN$31,$A51,FALSE)</f>
        <v>-1.1748455620399056E-2</v>
      </c>
      <c r="AG51" s="827">
        <f>AG37-HLOOKUP(AG$2,'IDEES 2015'!$B$3:$AN$31,$A51,FALSE)</f>
        <v>60.242831170684099</v>
      </c>
    </row>
    <row r="52" spans="1:33">
      <c r="A52">
        <v>17</v>
      </c>
      <c r="B52" s="829" t="s">
        <v>942</v>
      </c>
      <c r="C52" s="827">
        <f>C38-HLOOKUP(C$2,'IDEES 2015'!$B$3:$AN$31,$A52,FALSE)</f>
        <v>-8.5458417565784419</v>
      </c>
      <c r="D52" s="827">
        <f>D38-HLOOKUP(D$2,'IDEES 2015'!$B$3:$AN$31,$A52,FALSE)</f>
        <v>6.4931200639313991</v>
      </c>
      <c r="E52" s="827">
        <f>E38-HLOOKUP(E$2,'IDEES 2015'!$B$3:$AN$31,$A52,FALSE)</f>
        <v>3.1556499387230517</v>
      </c>
      <c r="F52" s="827"/>
      <c r="G52" s="827">
        <f>G38-HLOOKUP(G$2,'IDEES 2015'!$B$3:$AN$31,$A52,FALSE)</f>
        <v>-11.403078246319385</v>
      </c>
      <c r="H52" s="827">
        <f>H38-HLOOKUP(H$2,'IDEES 2015'!$B$3:$AN$31,$A52,FALSE)</f>
        <v>0</v>
      </c>
      <c r="I52" s="827">
        <f>I38-HLOOKUP(I$2,'IDEES 2015'!$B$3:$AN$31,$A52,FALSE)</f>
        <v>168.20949899999997</v>
      </c>
      <c r="J52" s="827">
        <f>J38-HLOOKUP(J$2,'IDEES 2015'!$B$3:$AN$31,$A52,FALSE)</f>
        <v>2.705259111482671</v>
      </c>
      <c r="K52" s="827">
        <f>K38-HLOOKUP(K$2,'IDEES 2015'!$B$3:$AN$31,$A52,FALSE)</f>
        <v>0</v>
      </c>
      <c r="L52" s="827">
        <f>L38-HLOOKUP(L$2,'IDEES 2015'!$B$3:$AN$31,$A52,FALSE)</f>
        <v>-136.26044621708769</v>
      </c>
      <c r="M52" s="827">
        <f>M38-HLOOKUP(M$2,'IDEES 2015'!$B$3:$AN$31,$A52,FALSE)</f>
        <v>0</v>
      </c>
      <c r="N52" s="827">
        <f>N38-HLOOKUP(N$2,'IDEES 2015'!$B$3:$AN$31,$A52,FALSE)</f>
        <v>82.011601367074206</v>
      </c>
      <c r="O52" s="827">
        <f>O38-HLOOKUP(O$2,'IDEES 2015'!$B$3:$AN$31,$A52,FALSE)</f>
        <v>0</v>
      </c>
      <c r="P52" s="827">
        <f>P38-HLOOKUP(P$2,'IDEES 2015'!$B$3:$AN$31,$A52,FALSE)</f>
        <v>2.8911867628534029</v>
      </c>
      <c r="Q52" s="827">
        <f>Q38-HLOOKUP(Q$2,'IDEES 2015'!$B$3:$AN$31,$A52,FALSE)</f>
        <v>15.165951563970342</v>
      </c>
      <c r="R52" s="827">
        <f>R38-HLOOKUP(R$2,'IDEES 2015'!$B$3:$AN$31,$A52,FALSE)</f>
        <v>3.2710049463430089</v>
      </c>
      <c r="S52" s="827"/>
      <c r="T52" s="827">
        <f>T38-HLOOKUP(T$2,'IDEES 2015'!$B$3:$AN$31,$A52,FALSE)</f>
        <v>133.72409307789979</v>
      </c>
      <c r="U52" s="827">
        <f>U38-HLOOKUP(U$2,'IDEES 2015'!$B$3:$AN$31,$A52,FALSE)</f>
        <v>0</v>
      </c>
      <c r="V52" s="827">
        <f>V38-HLOOKUP(V$2,'IDEES 2015'!$B$3:$AN$31,$A52,FALSE)</f>
        <v>-0.41000000000000003</v>
      </c>
      <c r="W52" s="827">
        <f>W38-HLOOKUP(W$2,'IDEES 2015'!$B$3:$AN$31,$A52,FALSE)</f>
        <v>0</v>
      </c>
      <c r="X52" s="827">
        <f>X38-HLOOKUP(X$2,'IDEES 2015'!$B$3:$AN$31,$A52,FALSE)</f>
        <v>3.0227765643776348</v>
      </c>
      <c r="Y52" s="827">
        <f>Y38-HLOOKUP(Y$2,'IDEES 2015'!$B$3:$AN$31,$A52,FALSE)</f>
        <v>0</v>
      </c>
      <c r="Z52" s="827"/>
      <c r="AA52" s="827">
        <f>AA38-HLOOKUP(AA$2,'IDEES 2015'!$B$3:$AN$31,$A52,FALSE)</f>
        <v>0</v>
      </c>
      <c r="AB52" s="827">
        <f>AB38-HLOOKUP(AB$2,'IDEES 2015'!$B$3:$AN$31,$A52,FALSE)</f>
        <v>1.7428269181326961</v>
      </c>
      <c r="AC52" s="827">
        <f>AC38-HLOOKUP(AC$2,'IDEES 2015'!$B$3:$AN$31,$A52,FALSE)</f>
        <v>-5.5</v>
      </c>
      <c r="AD52" s="827">
        <f>AD38-HLOOKUP(AD$2,'IDEES 2015'!$B$3:$AN$31,$A52,FALSE)</f>
        <v>0</v>
      </c>
      <c r="AE52" s="827">
        <f>AE38-HLOOKUP(AE$2,'IDEES 2015'!$B$3:$AN$31,$A52,FALSE)</f>
        <v>0.99856156902223603</v>
      </c>
      <c r="AF52" s="827">
        <f>AF38-HLOOKUP(AF$2,'IDEES 2015'!$B$3:$AN$31,$A52,FALSE)</f>
        <v>0</v>
      </c>
      <c r="AG52" s="827">
        <f>AG38-HLOOKUP(AG$2,'IDEES 2015'!$B$3:$AN$31,$A52,FALSE)</f>
        <v>-183.08884141328272</v>
      </c>
    </row>
    <row r="53" spans="1:33">
      <c r="A53">
        <v>15</v>
      </c>
      <c r="B53" s="829" t="s">
        <v>943</v>
      </c>
      <c r="C53" s="827">
        <f>C39-HLOOKUP(C$2,'IDEES 2015'!$B$3:$AN$31,$A53,FALSE)</f>
        <v>-96.838190162107367</v>
      </c>
      <c r="D53" s="827">
        <f>D39-HLOOKUP(D$2,'IDEES 2015'!$B$3:$AN$31,$A53,FALSE)</f>
        <v>2.1268261899654135</v>
      </c>
      <c r="E53" s="827">
        <f>E39-HLOOKUP(E$2,'IDEES 2015'!$B$3:$AN$31,$A53,FALSE)</f>
        <v>-4.094256435949184E-4</v>
      </c>
      <c r="F53" s="827"/>
      <c r="G53" s="827">
        <f>G39-HLOOKUP(G$2,'IDEES 2015'!$B$3:$AN$31,$A53,FALSE)</f>
        <v>5.1617581917694082</v>
      </c>
      <c r="H53" s="827">
        <f>H39-HLOOKUP(H$2,'IDEES 2015'!$B$3:$AN$31,$A53,FALSE)</f>
        <v>0</v>
      </c>
      <c r="I53" s="827">
        <f>I39-HLOOKUP(I$2,'IDEES 2015'!$B$3:$AN$31,$A53,FALSE)</f>
        <v>9.8564513091660046</v>
      </c>
      <c r="J53" s="827">
        <f>J39-HLOOKUP(J$2,'IDEES 2015'!$B$3:$AN$31,$A53,FALSE)</f>
        <v>-15.238447766108322</v>
      </c>
      <c r="K53" s="827">
        <f>K39-HLOOKUP(K$2,'IDEES 2015'!$B$3:$AN$31,$A53,FALSE)</f>
        <v>-0.23443572167855731</v>
      </c>
      <c r="L53" s="827">
        <f>L39-HLOOKUP(L$2,'IDEES 2015'!$B$3:$AN$31,$A53,FALSE)</f>
        <v>-120.6535523861437</v>
      </c>
      <c r="M53" s="827">
        <f>M39-HLOOKUP(M$2,'IDEES 2015'!$B$3:$AN$31,$A53,FALSE)</f>
        <v>-59.957051979187213</v>
      </c>
      <c r="N53" s="827">
        <f>N39-HLOOKUP(N$2,'IDEES 2015'!$B$3:$AN$31,$A53,FALSE)</f>
        <v>-223.76192409173655</v>
      </c>
      <c r="O53" s="827">
        <f>O39-HLOOKUP(O$2,'IDEES 2015'!$B$3:$AN$31,$A53,FALSE)</f>
        <v>-13.909365651050848</v>
      </c>
      <c r="P53" s="827">
        <f>P39-HLOOKUP(P$2,'IDEES 2015'!$B$3:$AN$31,$A53,FALSE)</f>
        <v>-2.6373107728559546</v>
      </c>
      <c r="Q53" s="827">
        <f>Q39-HLOOKUP(Q$2,'IDEES 2015'!$B$3:$AN$31,$A53,FALSE)</f>
        <v>0</v>
      </c>
      <c r="R53" s="827">
        <f>R39-HLOOKUP(R$2,'IDEES 2015'!$B$3:$AN$31,$A53,FALSE)</f>
        <v>33.873074171162443</v>
      </c>
      <c r="S53" s="827"/>
      <c r="T53" s="827">
        <f>T39-HLOOKUP(T$2,'IDEES 2015'!$B$3:$AN$31,$A53,FALSE)</f>
        <v>-180.41094414532836</v>
      </c>
      <c r="U53" s="827">
        <f>U39-HLOOKUP(U$2,'IDEES 2015'!$B$3:$AN$31,$A53,FALSE)</f>
        <v>-0.22706358152613859</v>
      </c>
      <c r="V53" s="827">
        <f>V39-HLOOKUP(V$2,'IDEES 2015'!$B$3:$AN$31,$A53,FALSE)</f>
        <v>-2.2094103183813729</v>
      </c>
      <c r="W53" s="827">
        <f>W39-HLOOKUP(W$2,'IDEES 2015'!$B$3:$AN$31,$A53,FALSE)</f>
        <v>-0.84449154667752779</v>
      </c>
      <c r="X53" s="827">
        <f>X39-HLOOKUP(X$2,'IDEES 2015'!$B$3:$AN$31,$A53,FALSE)</f>
        <v>0</v>
      </c>
      <c r="Y53" s="827">
        <f>Y39-HLOOKUP(Y$2,'IDEES 2015'!$B$3:$AN$31,$A53,FALSE)</f>
        <v>-55.419330601794158</v>
      </c>
      <c r="Z53" s="827"/>
      <c r="AA53" s="827">
        <f>AA39-HLOOKUP(AA$2,'IDEES 2015'!$B$3:$AN$31,$A53,FALSE)</f>
        <v>0.45965854334163225</v>
      </c>
      <c r="AB53" s="827">
        <f>AB39-HLOOKUP(AB$2,'IDEES 2015'!$B$3:$AN$31,$A53,FALSE)</f>
        <v>-32.368295435092158</v>
      </c>
      <c r="AC53" s="827">
        <f>AC39-HLOOKUP(AC$2,'IDEES 2015'!$B$3:$AN$31,$A53,FALSE)</f>
        <v>-59.576409632610719</v>
      </c>
      <c r="AD53" s="827">
        <f>AD39-HLOOKUP(AD$2,'IDEES 2015'!$B$3:$AN$31,$A53,FALSE)</f>
        <v>-2.5766424393831286</v>
      </c>
      <c r="AE53" s="827">
        <f>AE39-HLOOKUP(AE$2,'IDEES 2015'!$B$3:$AN$31,$A53,FALSE)</f>
        <v>-11.90908028714901</v>
      </c>
      <c r="AF53" s="827">
        <f>AF39-HLOOKUP(AF$2,'IDEES 2015'!$B$3:$AN$31,$A53,FALSE)</f>
        <v>0</v>
      </c>
      <c r="AG53" s="827">
        <f>AG39-HLOOKUP(AG$2,'IDEES 2015'!$B$3:$AN$31,$A53,FALSE)</f>
        <v>-41.39528667177683</v>
      </c>
    </row>
    <row r="54" spans="1:33">
      <c r="A54">
        <v>14</v>
      </c>
      <c r="B54" s="829" t="s">
        <v>944</v>
      </c>
      <c r="C54" s="827">
        <f>C40-HLOOKUP(C$2,'IDEES 2015'!$B$3:$AN$31,$A54,FALSE)</f>
        <v>-188.43891227877702</v>
      </c>
      <c r="D54" s="827">
        <f>D40-HLOOKUP(D$2,'IDEES 2015'!$B$3:$AN$31,$A54,FALSE)</f>
        <v>16.037736595167644</v>
      </c>
      <c r="E54" s="827">
        <f>E40-HLOOKUP(E$2,'IDEES 2015'!$B$3:$AN$31,$A54,FALSE)</f>
        <v>-10.792491031966996</v>
      </c>
      <c r="F54" s="827"/>
      <c r="G54" s="827">
        <f>G40-HLOOKUP(G$2,'IDEES 2015'!$B$3:$AN$31,$A54,FALSE)</f>
        <v>0</v>
      </c>
      <c r="H54" s="827">
        <f>H40-HLOOKUP(H$2,'IDEES 2015'!$B$3:$AN$31,$A54,FALSE)</f>
        <v>-143.49991902739271</v>
      </c>
      <c r="I54" s="827">
        <f>I40-HLOOKUP(I$2,'IDEES 2015'!$B$3:$AN$31,$A54,FALSE)</f>
        <v>-848.42180324679066</v>
      </c>
      <c r="J54" s="827">
        <f>J40-HLOOKUP(J$2,'IDEES 2015'!$B$3:$AN$31,$A54,FALSE)</f>
        <v>-48.566125596344591</v>
      </c>
      <c r="K54" s="827">
        <f>K40-HLOOKUP(K$2,'IDEES 2015'!$B$3:$AN$31,$A54,FALSE)</f>
        <v>-4.7371179280955005</v>
      </c>
      <c r="L54" s="827">
        <f>L40-HLOOKUP(L$2,'IDEES 2015'!$B$3:$AN$31,$A54,FALSE)</f>
        <v>-399.42875752893997</v>
      </c>
      <c r="M54" s="827">
        <f>M40-HLOOKUP(M$2,'IDEES 2015'!$B$3:$AN$31,$A54,FALSE)</f>
        <v>-3.5239633586700307</v>
      </c>
      <c r="N54" s="827">
        <f>N40-HLOOKUP(N$2,'IDEES 2015'!$B$3:$AN$31,$A54,FALSE)</f>
        <v>-1968.6308223219312</v>
      </c>
      <c r="O54" s="827">
        <f>O40-HLOOKUP(O$2,'IDEES 2015'!$B$3:$AN$31,$A54,FALSE)</f>
        <v>-43.604451860146611</v>
      </c>
      <c r="P54" s="827">
        <f>P40-HLOOKUP(P$2,'IDEES 2015'!$B$3:$AN$31,$A54,FALSE)</f>
        <v>-52.597595844297473</v>
      </c>
      <c r="Q54" s="827">
        <f>Q40-HLOOKUP(Q$2,'IDEES 2015'!$B$3:$AN$31,$A54,FALSE)</f>
        <v>-112.34386321043439</v>
      </c>
      <c r="R54" s="827">
        <f>R40-HLOOKUP(R$2,'IDEES 2015'!$B$3:$AN$31,$A54,FALSE)</f>
        <v>-15.964621097980512</v>
      </c>
      <c r="S54" s="827"/>
      <c r="T54" s="827">
        <f>T40-HLOOKUP(T$2,'IDEES 2015'!$B$3:$AN$31,$A54,FALSE)</f>
        <v>-428.41472393959884</v>
      </c>
      <c r="U54" s="827">
        <f>U40-HLOOKUP(U$2,'IDEES 2015'!$B$3:$AN$31,$A54,FALSE)</f>
        <v>-13.17350643826947</v>
      </c>
      <c r="V54" s="827">
        <f>V40-HLOOKUP(V$2,'IDEES 2015'!$B$3:$AN$31,$A54,FALSE)</f>
        <v>23.961435411285066</v>
      </c>
      <c r="W54" s="827">
        <f>W40-HLOOKUP(W$2,'IDEES 2015'!$B$3:$AN$31,$A54,FALSE)</f>
        <v>-3.500958925276521</v>
      </c>
      <c r="X54" s="827">
        <f>X40-HLOOKUP(X$2,'IDEES 2015'!$B$3:$AN$31,$A54,FALSE)</f>
        <v>0</v>
      </c>
      <c r="Y54" s="827">
        <f>Y40-HLOOKUP(Y$2,'IDEES 2015'!$B$3:$AN$31,$A54,FALSE)</f>
        <v>552.59049665295697</v>
      </c>
      <c r="Z54" s="827"/>
      <c r="AA54" s="827">
        <f>AA40-HLOOKUP(AA$2,'IDEES 2015'!$B$3:$AN$31,$A54,FALSE)</f>
        <v>-123.23134089456562</v>
      </c>
      <c r="AB54" s="827">
        <f>AB40-HLOOKUP(AB$2,'IDEES 2015'!$B$3:$AN$31,$A54,FALSE)</f>
        <v>-47.340094122351132</v>
      </c>
      <c r="AC54" s="827">
        <f>AC40-HLOOKUP(AC$2,'IDEES 2015'!$B$3:$AN$31,$A54,FALSE)</f>
        <v>-30.27178556974286</v>
      </c>
      <c r="AD54" s="827">
        <f>AD40-HLOOKUP(AD$2,'IDEES 2015'!$B$3:$AN$31,$A54,FALSE)</f>
        <v>-12.804935569829397</v>
      </c>
      <c r="AE54" s="827">
        <f>AE40-HLOOKUP(AE$2,'IDEES 2015'!$B$3:$AN$31,$A54,FALSE)</f>
        <v>-9.1733908168129403</v>
      </c>
      <c r="AF54" s="827">
        <f>AF40-HLOOKUP(AF$2,'IDEES 2015'!$B$3:$AN$31,$A54,FALSE)</f>
        <v>-50.438409884474822</v>
      </c>
      <c r="AG54" s="827">
        <f>AG40-HLOOKUP(AG$2,'IDEES 2015'!$B$3:$AN$31,$A54,FALSE)</f>
        <v>-1375.7476007544392</v>
      </c>
    </row>
    <row r="55" spans="1:33">
      <c r="A55">
        <v>11</v>
      </c>
      <c r="B55" s="829" t="s">
        <v>526</v>
      </c>
      <c r="C55" s="827">
        <f>C41-HLOOKUP(C$2,'IDEES 2015'!$B$3:$AN$31,$A55,FALSE)</f>
        <v>-152.01134556776447</v>
      </c>
      <c r="D55" s="827">
        <f>D41-HLOOKUP(D$2,'IDEES 2015'!$B$3:$AN$31,$A55,FALSE)</f>
        <v>236.05021334765843</v>
      </c>
      <c r="E55" s="827">
        <f>E41-HLOOKUP(E$2,'IDEES 2015'!$B$3:$AN$31,$A55,FALSE)</f>
        <v>-33.087378669567443</v>
      </c>
      <c r="F55" s="827"/>
      <c r="G55" s="827">
        <f>G41-HLOOKUP(G$2,'IDEES 2015'!$B$3:$AN$31,$A55,FALSE)</f>
        <v>-2.2432460987029712</v>
      </c>
      <c r="H55" s="827">
        <f>H41-HLOOKUP(H$2,'IDEES 2015'!$B$3:$AN$31,$A55,FALSE)</f>
        <v>319.27400683680003</v>
      </c>
      <c r="I55" s="827">
        <f>I41-HLOOKUP(I$2,'IDEES 2015'!$B$3:$AN$31,$A55,FALSE)</f>
        <v>-571.41783293254321</v>
      </c>
      <c r="J55" s="827">
        <f>J41-HLOOKUP(J$2,'IDEES 2015'!$B$3:$AN$31,$A55,FALSE)</f>
        <v>-34.182621987444008</v>
      </c>
      <c r="K55" s="827">
        <f>K41-HLOOKUP(K$2,'IDEES 2015'!$B$3:$AN$31,$A55,FALSE)</f>
        <v>-2.9375688061426217</v>
      </c>
      <c r="L55" s="827">
        <f>L41-HLOOKUP(L$2,'IDEES 2015'!$B$3:$AN$31,$A55,FALSE)</f>
        <v>14.785743554244846</v>
      </c>
      <c r="M55" s="827">
        <f>M41-HLOOKUP(M$2,'IDEES 2015'!$B$3:$AN$31,$A55,FALSE)</f>
        <v>55.47891444974357</v>
      </c>
      <c r="N55" s="827">
        <f>N41-HLOOKUP(N$2,'IDEES 2015'!$B$3:$AN$31,$A55,FALSE)</f>
        <v>-992.04940317503406</v>
      </c>
      <c r="O55" s="827">
        <f>O41-HLOOKUP(O$2,'IDEES 2015'!$B$3:$AN$31,$A55,FALSE)</f>
        <v>-7.9912947916259327</v>
      </c>
      <c r="P55" s="827">
        <f>P41-HLOOKUP(P$2,'IDEES 2015'!$B$3:$AN$31,$A55,FALSE)</f>
        <v>763.99198248197661</v>
      </c>
      <c r="Q55" s="827">
        <f>Q41-HLOOKUP(Q$2,'IDEES 2015'!$B$3:$AN$31,$A55,FALSE)</f>
        <v>853.42233837049446</v>
      </c>
      <c r="R55" s="827">
        <f>R41-HLOOKUP(R$2,'IDEES 2015'!$B$3:$AN$31,$A55,FALSE)</f>
        <v>-4.9125671583136814</v>
      </c>
      <c r="S55" s="827"/>
      <c r="T55" s="827">
        <f>T41-HLOOKUP(T$2,'IDEES 2015'!$B$3:$AN$31,$A55,FALSE)</f>
        <v>3192.4692381102413</v>
      </c>
      <c r="U55" s="827">
        <f>U41-HLOOKUP(U$2,'IDEES 2015'!$B$3:$AN$31,$A55,FALSE)</f>
        <v>11.320483081582836</v>
      </c>
      <c r="V55" s="827">
        <f>V41-HLOOKUP(V$2,'IDEES 2015'!$B$3:$AN$31,$A55,FALSE)</f>
        <v>-1.3642779841274155</v>
      </c>
      <c r="W55" s="827">
        <f>W41-HLOOKUP(W$2,'IDEES 2015'!$B$3:$AN$31,$A55,FALSE)</f>
        <v>-101.58450614616197</v>
      </c>
      <c r="X55" s="827">
        <f>X41-HLOOKUP(X$2,'IDEES 2015'!$B$3:$AN$31,$A55,FALSE)</f>
        <v>0.74042227954523998</v>
      </c>
      <c r="Y55" s="827">
        <f>Y41-HLOOKUP(Y$2,'IDEES 2015'!$B$3:$AN$31,$A55,FALSE)</f>
        <v>88.676510134097043</v>
      </c>
      <c r="Z55" s="827"/>
      <c r="AA55" s="827">
        <f>AA41-HLOOKUP(AA$2,'IDEES 2015'!$B$3:$AN$31,$A55,FALSE)</f>
        <v>-11.576823254207739</v>
      </c>
      <c r="AB55" s="827">
        <f>AB41-HLOOKUP(AB$2,'IDEES 2015'!$B$3:$AN$31,$A55,FALSE)</f>
        <v>55.484109238812607</v>
      </c>
      <c r="AC55" s="827">
        <f>AC41-HLOOKUP(AC$2,'IDEES 2015'!$B$3:$AN$31,$A55,FALSE)</f>
        <v>-146.8935850527605</v>
      </c>
      <c r="AD55" s="827">
        <f>AD41-HLOOKUP(AD$2,'IDEES 2015'!$B$3:$AN$31,$A55,FALSE)</f>
        <v>-59.401528228986649</v>
      </c>
      <c r="AE55" s="827">
        <f>AE41-HLOOKUP(AE$2,'IDEES 2015'!$B$3:$AN$31,$A55,FALSE)</f>
        <v>45.291279887878147</v>
      </c>
      <c r="AF55" s="827">
        <f>AF41-HLOOKUP(AF$2,'IDEES 2015'!$B$3:$AN$31,$A55,FALSE)</f>
        <v>-1.9627218115537346</v>
      </c>
      <c r="AG55" s="827">
        <f>AG41-HLOOKUP(AG$2,'IDEES 2015'!$B$3:$AN$31,$A55,FALSE)</f>
        <v>631.20246360782471</v>
      </c>
    </row>
    <row r="56" spans="1:33">
      <c r="A56">
        <v>16</v>
      </c>
      <c r="B56" s="829" t="s">
        <v>945</v>
      </c>
      <c r="C56" s="827">
        <f>C42-HLOOKUP(C$2,'IDEES 2015'!$B$3:$AN$31,$A56,FALSE)</f>
        <v>0</v>
      </c>
      <c r="D56" s="827">
        <f>D42-HLOOKUP(D$2,'IDEES 2015'!$B$3:$AN$31,$A56,FALSE)</f>
        <v>0</v>
      </c>
      <c r="E56" s="827">
        <f>E42-HLOOKUP(E$2,'IDEES 2015'!$B$3:$AN$31,$A56,FALSE)</f>
        <v>0</v>
      </c>
      <c r="F56" s="827"/>
      <c r="G56" s="827">
        <f>G42-HLOOKUP(G$2,'IDEES 2015'!$B$3:$AN$31,$A56,FALSE)</f>
        <v>4.3068692079899495E-3</v>
      </c>
      <c r="H56" s="827">
        <f>H42-HLOOKUP(H$2,'IDEES 2015'!$B$3:$AN$31,$A56,FALSE)</f>
        <v>0</v>
      </c>
      <c r="I56" s="827">
        <f>I42-HLOOKUP(I$2,'IDEES 2015'!$B$3:$AN$31,$A56,FALSE)</f>
        <v>-441.53254980387021</v>
      </c>
      <c r="J56" s="827">
        <f>J42-HLOOKUP(J$2,'IDEES 2015'!$B$3:$AN$31,$A56,FALSE)</f>
        <v>0</v>
      </c>
      <c r="K56" s="827">
        <f>K42-HLOOKUP(K$2,'IDEES 2015'!$B$3:$AN$31,$A56,FALSE)</f>
        <v>0</v>
      </c>
      <c r="L56" s="827">
        <f>L42-HLOOKUP(L$2,'IDEES 2015'!$B$3:$AN$31,$A56,FALSE)</f>
        <v>-1.6342045048158838E-3</v>
      </c>
      <c r="M56" s="827">
        <f>M42-HLOOKUP(M$2,'IDEES 2015'!$B$3:$AN$31,$A56,FALSE)</f>
        <v>0</v>
      </c>
      <c r="N56" s="827">
        <f>N42-HLOOKUP(N$2,'IDEES 2015'!$B$3:$AN$31,$A56,FALSE)</f>
        <v>-39.767592433361997</v>
      </c>
      <c r="O56" s="827">
        <f>O42-HLOOKUP(O$2,'IDEES 2015'!$B$3:$AN$31,$A56,FALSE)</f>
        <v>-16.858922305603418</v>
      </c>
      <c r="P56" s="827">
        <f>P42-HLOOKUP(P$2,'IDEES 2015'!$B$3:$AN$31,$A56,FALSE)</f>
        <v>0</v>
      </c>
      <c r="Q56" s="827">
        <f>Q42-HLOOKUP(Q$2,'IDEES 2015'!$B$3:$AN$31,$A56,FALSE)</f>
        <v>0</v>
      </c>
      <c r="R56" s="827">
        <f>R42-HLOOKUP(R$2,'IDEES 2015'!$B$3:$AN$31,$A56,FALSE)</f>
        <v>0</v>
      </c>
      <c r="S56" s="827"/>
      <c r="T56" s="827">
        <f>T42-HLOOKUP(T$2,'IDEES 2015'!$B$3:$AN$31,$A56,FALSE)</f>
        <v>-2.4641130907492315E-3</v>
      </c>
      <c r="U56" s="827">
        <f>U42-HLOOKUP(U$2,'IDEES 2015'!$B$3:$AN$31,$A56,FALSE)</f>
        <v>0</v>
      </c>
      <c r="V56" s="827">
        <f>V42-HLOOKUP(V$2,'IDEES 2015'!$B$3:$AN$31,$A56,FALSE)</f>
        <v>0</v>
      </c>
      <c r="W56" s="827">
        <f>W42-HLOOKUP(W$2,'IDEES 2015'!$B$3:$AN$31,$A56,FALSE)</f>
        <v>0</v>
      </c>
      <c r="X56" s="827">
        <f>X42-HLOOKUP(X$2,'IDEES 2015'!$B$3:$AN$31,$A56,FALSE)</f>
        <v>0</v>
      </c>
      <c r="Y56" s="827">
        <f>Y42-HLOOKUP(Y$2,'IDEES 2015'!$B$3:$AN$31,$A56,FALSE)</f>
        <v>0</v>
      </c>
      <c r="Z56" s="827"/>
      <c r="AA56" s="827">
        <f>AA42-HLOOKUP(AA$2,'IDEES 2015'!$B$3:$AN$31,$A56,FALSE)</f>
        <v>-7.8054839019436884E-4</v>
      </c>
      <c r="AB56" s="827">
        <f>AB42-HLOOKUP(AB$2,'IDEES 2015'!$B$3:$AN$31,$A56,FALSE)</f>
        <v>0</v>
      </c>
      <c r="AC56" s="827">
        <f>AC42-HLOOKUP(AC$2,'IDEES 2015'!$B$3:$AN$31,$A56,FALSE)</f>
        <v>3.4028281464486554E-3</v>
      </c>
      <c r="AD56" s="827">
        <f>AD42-HLOOKUP(AD$2,'IDEES 2015'!$B$3:$AN$31,$A56,FALSE)</f>
        <v>0</v>
      </c>
      <c r="AE56" s="827">
        <f>AE42-HLOOKUP(AE$2,'IDEES 2015'!$B$3:$AN$31,$A56,FALSE)</f>
        <v>-0.29017349886298938</v>
      </c>
      <c r="AF56" s="827">
        <f>AF42-HLOOKUP(AF$2,'IDEES 2015'!$B$3:$AN$31,$A56,FALSE)</f>
        <v>0</v>
      </c>
      <c r="AG56" s="827">
        <f>AG42-HLOOKUP(AG$2,'IDEES 2015'!$B$3:$AN$31,$A56,FALSE)</f>
        <v>0</v>
      </c>
    </row>
    <row r="57" spans="1:33">
      <c r="A57">
        <v>12</v>
      </c>
      <c r="B57" s="829" t="s">
        <v>532</v>
      </c>
      <c r="C57" s="827">
        <f>C43-HLOOKUP(C$2,'IDEES 2015'!$B$3:$AN$31,$A57,FALSE)</f>
        <v>-157.28664579279382</v>
      </c>
      <c r="D57" s="827">
        <f>D43-HLOOKUP(D$2,'IDEES 2015'!$B$3:$AN$31,$A57,FALSE)</f>
        <v>-7.435210818227489E-2</v>
      </c>
      <c r="E57" s="827">
        <f>E43-HLOOKUP(E$2,'IDEES 2015'!$B$3:$AN$31,$A57,FALSE)</f>
        <v>-3.0279361063455781</v>
      </c>
      <c r="F57" s="827"/>
      <c r="G57" s="827">
        <f>G43-HLOOKUP(G$2,'IDEES 2015'!$B$3:$AN$31,$A57,FALSE)</f>
        <v>0</v>
      </c>
      <c r="H57" s="827">
        <f>H43-HLOOKUP(H$2,'IDEES 2015'!$B$3:$AN$31,$A57,FALSE)</f>
        <v>-27.301247078751203</v>
      </c>
      <c r="I57" s="827">
        <f>I43-HLOOKUP(I$2,'IDEES 2015'!$B$3:$AN$31,$A57,FALSE)</f>
        <v>-56.358831463710885</v>
      </c>
      <c r="J57" s="827">
        <f>J43-HLOOKUP(J$2,'IDEES 2015'!$B$3:$AN$31,$A57,FALSE)</f>
        <v>14.609080518400333</v>
      </c>
      <c r="K57" s="827">
        <f>K43-HLOOKUP(K$2,'IDEES 2015'!$B$3:$AN$31,$A57,FALSE)</f>
        <v>0.73401623616473444</v>
      </c>
      <c r="L57" s="827">
        <f>L43-HLOOKUP(L$2,'IDEES 2015'!$B$3:$AN$31,$A57,FALSE)</f>
        <v>0</v>
      </c>
      <c r="M57" s="827">
        <f>M43-HLOOKUP(M$2,'IDEES 2015'!$B$3:$AN$31,$A57,FALSE)</f>
        <v>50.161026157920105</v>
      </c>
      <c r="N57" s="827">
        <f>N43-HLOOKUP(N$2,'IDEES 2015'!$B$3:$AN$31,$A57,FALSE)</f>
        <v>-585.38925053606226</v>
      </c>
      <c r="O57" s="827">
        <f>O43-HLOOKUP(O$2,'IDEES 2015'!$B$3:$AN$31,$A57,FALSE)</f>
        <v>-0.62375374807895412</v>
      </c>
      <c r="P57" s="827">
        <f>P43-HLOOKUP(P$2,'IDEES 2015'!$B$3:$AN$31,$A57,FALSE)</f>
        <v>-5.2494375921531571</v>
      </c>
      <c r="Q57" s="827">
        <f>Q43-HLOOKUP(Q$2,'IDEES 2015'!$B$3:$AN$31,$A57,FALSE)</f>
        <v>2.6518013816185544</v>
      </c>
      <c r="R57" s="827">
        <f>R43-HLOOKUP(R$2,'IDEES 2015'!$B$3:$AN$31,$A57,FALSE)</f>
        <v>0</v>
      </c>
      <c r="S57" s="827"/>
      <c r="T57" s="827">
        <f>T43-HLOOKUP(T$2,'IDEES 2015'!$B$3:$AN$31,$A57,FALSE)</f>
        <v>-8.0304415038683459</v>
      </c>
      <c r="U57" s="827">
        <f>U43-HLOOKUP(U$2,'IDEES 2015'!$B$3:$AN$31,$A57,FALSE)</f>
        <v>4.9175034868545708</v>
      </c>
      <c r="V57" s="827">
        <f>V43-HLOOKUP(V$2,'IDEES 2015'!$B$3:$AN$31,$A57,FALSE)</f>
        <v>0</v>
      </c>
      <c r="W57" s="827">
        <f>W43-HLOOKUP(W$2,'IDEES 2015'!$B$3:$AN$31,$A57,FALSE)</f>
        <v>16.099882671026648</v>
      </c>
      <c r="X57" s="827">
        <f>X43-HLOOKUP(X$2,'IDEES 2015'!$B$3:$AN$31,$A57,FALSE)</f>
        <v>0</v>
      </c>
      <c r="Y57" s="827">
        <f>Y43-HLOOKUP(Y$2,'IDEES 2015'!$B$3:$AN$31,$A57,FALSE)</f>
        <v>-22.094427126476859</v>
      </c>
      <c r="Z57" s="827"/>
      <c r="AA57" s="827">
        <f>AA43-HLOOKUP(AA$2,'IDEES 2015'!$B$3:$AN$31,$A57,FALSE)</f>
        <v>34.036191839316416</v>
      </c>
      <c r="AB57" s="827">
        <f>AB43-HLOOKUP(AB$2,'IDEES 2015'!$B$3:$AN$31,$A57,FALSE)</f>
        <v>-3.8095764288887857</v>
      </c>
      <c r="AC57" s="827">
        <f>AC43-HLOOKUP(AC$2,'IDEES 2015'!$B$3:$AN$31,$A57,FALSE)</f>
        <v>7.4569596405611946</v>
      </c>
      <c r="AD57" s="827">
        <f>AD43-HLOOKUP(AD$2,'IDEES 2015'!$B$3:$AN$31,$A57,FALSE)</f>
        <v>-50.196234731821733</v>
      </c>
      <c r="AE57" s="827">
        <f>AE43-HLOOKUP(AE$2,'IDEES 2015'!$B$3:$AN$31,$A57,FALSE)</f>
        <v>-4.6652109991439801</v>
      </c>
      <c r="AF57" s="827">
        <f>AF43-HLOOKUP(AF$2,'IDEES 2015'!$B$3:$AN$31,$A57,FALSE)</f>
        <v>7.0028516448674623</v>
      </c>
      <c r="AG57" s="827">
        <f>AG43-HLOOKUP(AG$2,'IDEES 2015'!$B$3:$AN$31,$A57,FALSE)</f>
        <v>-10.494889728932542</v>
      </c>
    </row>
    <row r="58" spans="1:33">
      <c r="B58" s="829" t="s">
        <v>946</v>
      </c>
      <c r="C58" s="827">
        <f t="shared" ref="C58" si="6">C44</f>
        <v>57.127592726801439</v>
      </c>
      <c r="D58" s="827">
        <f t="shared" ref="D58:AG58" si="7">D44</f>
        <v>26.503421683453475</v>
      </c>
      <c r="E58" s="827">
        <f t="shared" si="7"/>
        <v>9.6442885507267526</v>
      </c>
      <c r="F58" s="827"/>
      <c r="G58" s="827">
        <f t="shared" si="7"/>
        <v>9.1405673635977109</v>
      </c>
      <c r="H58" s="827">
        <f t="shared" si="7"/>
        <v>14.701198077133022</v>
      </c>
      <c r="I58" s="827">
        <f t="shared" si="7"/>
        <v>137.54790559231515</v>
      </c>
      <c r="J58" s="827">
        <f t="shared" si="7"/>
        <v>36.002517031282821</v>
      </c>
      <c r="K58" s="827">
        <f t="shared" si="7"/>
        <v>0</v>
      </c>
      <c r="L58" s="827">
        <f t="shared" si="7"/>
        <v>211.91291570985766</v>
      </c>
      <c r="M58" s="827">
        <f t="shared" si="7"/>
        <v>388.86197630522082</v>
      </c>
      <c r="N58" s="827">
        <f t="shared" si="7"/>
        <v>293.59512169819419</v>
      </c>
      <c r="O58" s="827">
        <f>O44</f>
        <v>22.513778570456843</v>
      </c>
      <c r="P58" s="827">
        <f t="shared" si="7"/>
        <v>5.4700317885480487</v>
      </c>
      <c r="Q58" s="827">
        <f t="shared" si="7"/>
        <v>1.2732799326918525</v>
      </c>
      <c r="R58" s="827">
        <f t="shared" si="7"/>
        <v>4.2077079564633175</v>
      </c>
      <c r="S58" s="827"/>
      <c r="T58" s="827">
        <f t="shared" si="7"/>
        <v>29.476060530169832</v>
      </c>
      <c r="U58" s="827">
        <f t="shared" si="7"/>
        <v>0</v>
      </c>
      <c r="V58" s="827">
        <f t="shared" si="7"/>
        <v>1.5914570028041828</v>
      </c>
      <c r="W58" s="827">
        <f t="shared" si="7"/>
        <v>0</v>
      </c>
      <c r="X58" s="827">
        <f t="shared" si="7"/>
        <v>0.63792594546426939</v>
      </c>
      <c r="Y58" s="827">
        <f t="shared" si="7"/>
        <v>31.0499557280978</v>
      </c>
      <c r="Z58" s="827"/>
      <c r="AA58" s="827">
        <f t="shared" si="7"/>
        <v>7.1664759271288467</v>
      </c>
      <c r="AB58" s="827">
        <f t="shared" si="7"/>
        <v>1.3657176012020975</v>
      </c>
      <c r="AC58" s="827">
        <f t="shared" si="7"/>
        <v>2.2695718870796742</v>
      </c>
      <c r="AD58" s="827">
        <f t="shared" si="7"/>
        <v>649.29139227279416</v>
      </c>
      <c r="AE58" s="827">
        <f t="shared" si="7"/>
        <v>2.9466883035749731</v>
      </c>
      <c r="AF58" s="827">
        <f t="shared" si="7"/>
        <v>2.1929828175776356</v>
      </c>
      <c r="AG58" s="827">
        <f t="shared" si="7"/>
        <v>101.0447624461532</v>
      </c>
    </row>
    <row r="59" spans="1:33">
      <c r="A59">
        <v>13</v>
      </c>
      <c r="B59" s="836" t="s">
        <v>947</v>
      </c>
      <c r="C59" s="827">
        <f>C45-HLOOKUP(C$2,'IDEES 2015'!$B$3:$AN$31,$A59,FALSE)</f>
        <v>12.166126344009569</v>
      </c>
      <c r="D59" s="827">
        <f>D45-HLOOKUP(D$2,'IDEES 2015'!$B$3:$AN$31,$A59,FALSE)</f>
        <v>-4.9687763352253285</v>
      </c>
      <c r="E59" s="827">
        <f>E45-HLOOKUP(E$2,'IDEES 2015'!$B$3:$AN$31,$A59,FALSE)</f>
        <v>15.757832933542467</v>
      </c>
      <c r="F59" s="827"/>
      <c r="G59" s="827">
        <f>G45-HLOOKUP(G$2,'IDEES 2015'!$B$3:$AN$31,$A59,FALSE)</f>
        <v>-8.7161666136488289</v>
      </c>
      <c r="H59" s="827">
        <f>H45-HLOOKUP(H$2,'IDEES 2015'!$B$3:$AN$31,$A59,FALSE)</f>
        <v>-88.595132524715495</v>
      </c>
      <c r="I59" s="827">
        <f>I45-HLOOKUP(I$2,'IDEES 2015'!$B$3:$AN$31,$A59,FALSE)</f>
        <v>1289.3989260645988</v>
      </c>
      <c r="J59" s="827">
        <f>J45-HLOOKUP(J$2,'IDEES 2015'!$B$3:$AN$31,$A59,FALSE)</f>
        <v>-14.560979213947238</v>
      </c>
      <c r="K59" s="827">
        <f>K45-HLOOKUP(K$2,'IDEES 2015'!$B$3:$AN$31,$A59,FALSE)</f>
        <v>5.8278636511895723</v>
      </c>
      <c r="L59" s="827">
        <f>L45-HLOOKUP(L$2,'IDEES 2015'!$B$3:$AN$31,$A59,FALSE)</f>
        <v>325.43865190567624</v>
      </c>
      <c r="M59" s="827">
        <f>M45-HLOOKUP(M$2,'IDEES 2015'!$B$3:$AN$31,$A59,FALSE)</f>
        <v>-519.27186783043032</v>
      </c>
      <c r="N59" s="827">
        <f>N45-HLOOKUP(N$2,'IDEES 2015'!$B$3:$AN$31,$A59,FALSE)</f>
        <v>1001.8843480324535</v>
      </c>
      <c r="O59" s="827">
        <f>O45-HLOOKUP(O$2,'IDEES 2015'!$B$3:$AN$31,$A59,FALSE)</f>
        <v>-138.03242962508375</v>
      </c>
      <c r="P59" s="827">
        <f>P45-HLOOKUP(P$2,'IDEES 2015'!$B$3:$AN$31,$A59,FALSE)</f>
        <v>-79.775135067690385</v>
      </c>
      <c r="Q59" s="827">
        <f>Q45-HLOOKUP(Q$2,'IDEES 2015'!$B$3:$AN$31,$A59,FALSE)</f>
        <v>-98.968489482236578</v>
      </c>
      <c r="R59" s="827">
        <f>R45-HLOOKUP(R$2,'IDEES 2015'!$B$3:$AN$31,$A59,FALSE)</f>
        <v>-7.9877094048217572</v>
      </c>
      <c r="S59" s="827"/>
      <c r="T59" s="827">
        <f>T45-HLOOKUP(T$2,'IDEES 2015'!$B$3:$AN$31,$A59,FALSE)</f>
        <v>-401.80312669029223</v>
      </c>
      <c r="U59" s="827">
        <f>U45-HLOOKUP(U$2,'IDEES 2015'!$B$3:$AN$31,$A59,FALSE)</f>
        <v>-2.7038385088584937</v>
      </c>
      <c r="V59" s="827">
        <f>V45-HLOOKUP(V$2,'IDEES 2015'!$B$3:$AN$31,$A59,FALSE)</f>
        <v>-2.221965750287179</v>
      </c>
      <c r="W59" s="827">
        <f>W45-HLOOKUP(W$2,'IDEES 2015'!$B$3:$AN$31,$A59,FALSE)</f>
        <v>0.16375766615951193</v>
      </c>
      <c r="X59" s="827">
        <f>X45-HLOOKUP(X$2,'IDEES 2015'!$B$3:$AN$31,$A59,FALSE)</f>
        <v>2.8764780932243843</v>
      </c>
      <c r="Y59" s="827">
        <f>Y45-HLOOKUP(Y$2,'IDEES 2015'!$B$3:$AN$31,$A59,FALSE)</f>
        <v>-16.41287558819748</v>
      </c>
      <c r="Z59" s="827"/>
      <c r="AA59" s="827">
        <f>AA45-HLOOKUP(AA$2,'IDEES 2015'!$B$3:$AN$31,$A59,FALSE)</f>
        <v>-63.555870856820682</v>
      </c>
      <c r="AB59" s="827">
        <f>AB45-HLOOKUP(AB$2,'IDEES 2015'!$B$3:$AN$31,$A59,FALSE)</f>
        <v>-28.644855500592602</v>
      </c>
      <c r="AC59" s="827">
        <f>AC45-HLOOKUP(AC$2,'IDEES 2015'!$B$3:$AN$31,$A59,FALSE)</f>
        <v>45.516599544327491</v>
      </c>
      <c r="AD59" s="827">
        <f>AD45-HLOOKUP(AD$2,'IDEES 2015'!$B$3:$AN$31,$A59,FALSE)</f>
        <v>-363.79188333480943</v>
      </c>
      <c r="AE59" s="827">
        <f>AE45-HLOOKUP(AE$2,'IDEES 2015'!$B$3:$AN$31,$A59,FALSE)</f>
        <v>-1.6023518079267163</v>
      </c>
      <c r="AF59" s="827">
        <f>AF45-HLOOKUP(AF$2,'IDEES 2015'!$B$3:$AN$31,$A59,FALSE)</f>
        <v>16.535891408730109</v>
      </c>
      <c r="AG59" s="827">
        <f>AG45-HLOOKUP(AG$2,'IDEES 2015'!$B$3:$AN$31,$A59,FALSE)</f>
        <v>265.62946000955026</v>
      </c>
    </row>
    <row r="60" spans="1:33">
      <c r="B60" s="827" t="str">
        <f t="shared" ref="B60:C60" si="8">B46</f>
        <v>Electricity in circulation</v>
      </c>
      <c r="C60" s="827">
        <f t="shared" si="8"/>
        <v>42.56282432717483</v>
      </c>
      <c r="D60" s="827">
        <f t="shared" ref="D60:AG60" si="9">D46</f>
        <v>45.898909994556107</v>
      </c>
      <c r="E60" s="827">
        <f t="shared" si="9"/>
        <v>11.923223314790166</v>
      </c>
      <c r="F60" s="827"/>
      <c r="G60" s="827">
        <f t="shared" si="9"/>
        <v>2.0141015092339023</v>
      </c>
      <c r="H60" s="827">
        <f t="shared" si="9"/>
        <v>47.708900248363449</v>
      </c>
      <c r="I60" s="827">
        <f t="shared" si="9"/>
        <v>584.26469527704819</v>
      </c>
      <c r="J60" s="827">
        <f t="shared" si="9"/>
        <v>23.054271739188689</v>
      </c>
      <c r="K60" s="827">
        <f t="shared" si="9"/>
        <v>5.0228106918586484</v>
      </c>
      <c r="L60" s="827">
        <f t="shared" si="9"/>
        <v>135.03107111442935</v>
      </c>
      <c r="M60" s="827">
        <f t="shared" si="9"/>
        <v>30.297648571793381</v>
      </c>
      <c r="N60" s="827">
        <f t="shared" si="9"/>
        <v>476.88855227943179</v>
      </c>
      <c r="O60" s="827">
        <f>O46</f>
        <v>45.613473781463853</v>
      </c>
      <c r="P60" s="827">
        <f t="shared" si="9"/>
        <v>17.355425499748989</v>
      </c>
      <c r="Q60" s="827">
        <f t="shared" si="9"/>
        <v>56.98519778675189</v>
      </c>
      <c r="R60" s="827">
        <f t="shared" si="9"/>
        <v>24.507497588842448</v>
      </c>
      <c r="S60" s="827"/>
      <c r="T60" s="827">
        <f t="shared" si="9"/>
        <v>244.18778896007953</v>
      </c>
      <c r="U60" s="827">
        <f t="shared" si="9"/>
        <v>7.2332541560239783</v>
      </c>
      <c r="V60" s="827">
        <f t="shared" si="9"/>
        <v>4.8575325401082221</v>
      </c>
      <c r="W60" s="827">
        <f t="shared" si="9"/>
        <v>14.441352856728747</v>
      </c>
      <c r="X60" s="827">
        <f t="shared" si="9"/>
        <v>0.13876239836937684</v>
      </c>
      <c r="Y60" s="827">
        <f t="shared" si="9"/>
        <v>105.96352545661142</v>
      </c>
      <c r="Z60" s="827"/>
      <c r="AA60" s="827">
        <f t="shared" si="9"/>
        <v>122.94438111083591</v>
      </c>
      <c r="AB60" s="827">
        <f t="shared" si="9"/>
        <v>11.856125430801049</v>
      </c>
      <c r="AC60" s="827">
        <f t="shared" si="9"/>
        <v>62.324532197675424</v>
      </c>
      <c r="AD60" s="827">
        <f t="shared" si="9"/>
        <v>19.573320000751274</v>
      </c>
      <c r="AE60" s="827">
        <f t="shared" si="9"/>
        <v>5.8508576180270442</v>
      </c>
      <c r="AF60" s="827">
        <f t="shared" si="9"/>
        <v>10.053924072347325</v>
      </c>
      <c r="AG60" s="827">
        <f t="shared" si="9"/>
        <v>324.25414049582076</v>
      </c>
    </row>
    <row r="61" spans="1:33">
      <c r="B61" s="824"/>
      <c r="C61" s="827"/>
      <c r="D61" s="824"/>
      <c r="E61" s="824"/>
      <c r="F61" s="824"/>
      <c r="G61" s="824"/>
      <c r="H61" s="824"/>
      <c r="I61" s="838">
        <f>I60/I36</f>
        <v>1.3324940654154096E-2</v>
      </c>
      <c r="J61" s="824"/>
      <c r="K61" s="824"/>
      <c r="L61" s="824"/>
      <c r="M61" s="824"/>
      <c r="N61" s="824"/>
      <c r="O61" s="824"/>
      <c r="P61" s="824"/>
      <c r="Q61" s="824"/>
      <c r="R61" s="824"/>
      <c r="S61" s="824"/>
      <c r="T61" s="824"/>
      <c r="U61" s="824"/>
      <c r="V61" s="824"/>
      <c r="W61" s="824"/>
      <c r="X61" s="824"/>
      <c r="Y61" s="824"/>
      <c r="Z61" s="824"/>
      <c r="AA61" s="824"/>
      <c r="AB61" s="824"/>
      <c r="AC61" s="824"/>
      <c r="AD61" s="824"/>
      <c r="AE61" s="824"/>
      <c r="AF61" s="824"/>
      <c r="AG61" s="824"/>
    </row>
    <row r="62" spans="1:33">
      <c r="B62" s="824" t="s">
        <v>951</v>
      </c>
      <c r="C62" s="827"/>
      <c r="D62" s="824"/>
      <c r="E62" s="824"/>
      <c r="F62" s="824"/>
      <c r="G62" s="824"/>
      <c r="H62" s="824"/>
      <c r="I62" s="824"/>
      <c r="J62" s="824"/>
      <c r="K62" s="824"/>
      <c r="L62" s="824"/>
      <c r="M62" s="824"/>
      <c r="N62" s="824"/>
      <c r="O62" s="824"/>
      <c r="P62" s="824"/>
      <c r="Q62" s="824"/>
      <c r="R62" s="824"/>
      <c r="S62" s="824"/>
      <c r="T62" s="824"/>
      <c r="U62" s="824"/>
      <c r="V62" s="824"/>
      <c r="W62" s="824"/>
      <c r="X62" s="824"/>
      <c r="Y62" s="824"/>
      <c r="Z62" s="824"/>
      <c r="AA62" s="824"/>
      <c r="AB62" s="824"/>
      <c r="AC62" s="824"/>
      <c r="AD62" s="824"/>
      <c r="AE62" s="824"/>
      <c r="AF62" s="824"/>
      <c r="AG62" s="824"/>
    </row>
    <row r="63" spans="1:33">
      <c r="B63" s="832" t="s">
        <v>952</v>
      </c>
      <c r="C63" s="827">
        <v>3752.0123669099098</v>
      </c>
      <c r="D63" s="827">
        <v>5376.5648340818298</v>
      </c>
      <c r="E63" s="827">
        <v>1148.888321011807</v>
      </c>
      <c r="F63" s="827"/>
      <c r="G63" s="827">
        <v>191.34573542258013</v>
      </c>
      <c r="H63" s="827">
        <v>4182.5078961143017</v>
      </c>
      <c r="I63" s="827">
        <v>39890.385629666438</v>
      </c>
      <c r="J63" s="827">
        <v>3318.7382645027633</v>
      </c>
      <c r="K63" s="827">
        <v>603.34107548663769</v>
      </c>
      <c r="L63" s="827">
        <v>8632.2481545184492</v>
      </c>
      <c r="M63" s="827">
        <v>4322.6551013375556</v>
      </c>
      <c r="N63" s="827">
        <v>25496.014197404278</v>
      </c>
      <c r="O63" s="827">
        <v>2810.0416589923934</v>
      </c>
      <c r="P63" s="827">
        <v>1567.5933726783294</v>
      </c>
      <c r="Q63" s="827">
        <v>3671.0254932769994</v>
      </c>
      <c r="R63" s="827">
        <v>1836.3579134419751</v>
      </c>
      <c r="S63" s="827"/>
      <c r="T63" s="827">
        <v>19873.312650361233</v>
      </c>
      <c r="U63" s="827">
        <v>881.98066772934351</v>
      </c>
      <c r="V63" s="827">
        <v>306.1819925321555</v>
      </c>
      <c r="W63" s="827">
        <v>798.03500114999099</v>
      </c>
      <c r="X63" s="827">
        <v>36.967770132119867</v>
      </c>
      <c r="Y63" s="827">
        <v>7482.994859754217</v>
      </c>
      <c r="Z63" s="827"/>
      <c r="AA63" s="827">
        <v>12157.763801882336</v>
      </c>
      <c r="AB63" s="827">
        <v>1286.068495805654</v>
      </c>
      <c r="AC63" s="827">
        <v>4050.4792063707559</v>
      </c>
      <c r="AD63" s="827">
        <v>5720.6201765917467</v>
      </c>
      <c r="AE63" s="827">
        <v>742.7810413889631</v>
      </c>
      <c r="AF63" s="827">
        <v>1294.5725204807886</v>
      </c>
      <c r="AG63" s="827">
        <v>26676.451466407198</v>
      </c>
    </row>
    <row r="64" spans="1:33">
      <c r="B64" s="828" t="s">
        <v>531</v>
      </c>
      <c r="C64" s="827">
        <v>2989.9948316089194</v>
      </c>
      <c r="D64" s="827">
        <v>4364.5686821358777</v>
      </c>
      <c r="E64" s="827">
        <v>668.12207416402384</v>
      </c>
      <c r="F64" s="827"/>
      <c r="G64" s="827">
        <v>77.103748482882324</v>
      </c>
      <c r="H64" s="827">
        <v>3340.6315233291684</v>
      </c>
      <c r="I64" s="827">
        <v>32072.664082305044</v>
      </c>
      <c r="J64" s="827">
        <v>2649.0097700630854</v>
      </c>
      <c r="K64" s="827">
        <v>462.60680451304188</v>
      </c>
      <c r="L64" s="827">
        <v>5234.3568914831449</v>
      </c>
      <c r="M64" s="827">
        <v>3557.1427802943467</v>
      </c>
      <c r="N64" s="827">
        <v>19439.365218791143</v>
      </c>
      <c r="O64" s="827">
        <v>1571.7674929398247</v>
      </c>
      <c r="P64" s="827">
        <v>1008.4694568339535</v>
      </c>
      <c r="Q64" s="827">
        <v>2946.7177011115295</v>
      </c>
      <c r="R64" s="827">
        <v>1404.5330435722367</v>
      </c>
      <c r="S64" s="827"/>
      <c r="T64" s="827">
        <v>13928.279071538092</v>
      </c>
      <c r="U64" s="827">
        <v>677.43929835081508</v>
      </c>
      <c r="V64" s="827">
        <v>264.36099423163205</v>
      </c>
      <c r="W64" s="827">
        <v>635.32250485876239</v>
      </c>
      <c r="X64" s="827">
        <v>6.9572108793083123</v>
      </c>
      <c r="Y64" s="827">
        <v>5902.5539473601693</v>
      </c>
      <c r="Z64" s="827"/>
      <c r="AA64" s="827">
        <v>9378.8128962872834</v>
      </c>
      <c r="AB64" s="827">
        <v>324.38364552049489</v>
      </c>
      <c r="AC64" s="827">
        <v>3136.2156797582702</v>
      </c>
      <c r="AD64" s="827">
        <v>4521.1519064536578</v>
      </c>
      <c r="AE64" s="827">
        <v>524.80379432592736</v>
      </c>
      <c r="AF64" s="827">
        <v>1004.1509619803576</v>
      </c>
      <c r="AG64" s="827">
        <v>21681.475031082769</v>
      </c>
    </row>
    <row r="65" spans="2:33">
      <c r="B65" s="829" t="s">
        <v>529</v>
      </c>
      <c r="C65" s="827">
        <v>28.878057176628463</v>
      </c>
      <c r="D65" s="827">
        <v>63.625164985016909</v>
      </c>
      <c r="E65" s="827">
        <v>78.350972175045641</v>
      </c>
      <c r="F65" s="827"/>
      <c r="G65" s="827">
        <v>0</v>
      </c>
      <c r="H65" s="827">
        <v>428.76313239437064</v>
      </c>
      <c r="I65" s="827">
        <v>511.18347223084265</v>
      </c>
      <c r="J65" s="827">
        <v>0</v>
      </c>
      <c r="K65" s="827">
        <v>4.2577906113789705</v>
      </c>
      <c r="L65" s="827">
        <v>82.870095887521913</v>
      </c>
      <c r="M65" s="827">
        <v>4.5861452246793135</v>
      </c>
      <c r="N65" s="827">
        <v>109.6065687133454</v>
      </c>
      <c r="O65" s="827">
        <v>0</v>
      </c>
      <c r="P65" s="827">
        <v>2.8944489730179934</v>
      </c>
      <c r="Q65" s="827">
        <v>66.760737062396004</v>
      </c>
      <c r="R65" s="827">
        <v>219.60419995046894</v>
      </c>
      <c r="S65" s="827"/>
      <c r="T65" s="827">
        <v>1.8741451936748552</v>
      </c>
      <c r="U65" s="827">
        <v>29.230294533590179</v>
      </c>
      <c r="V65" s="827">
        <v>0.26287161181033303</v>
      </c>
      <c r="W65" s="827">
        <v>10.707787904363961</v>
      </c>
      <c r="X65" s="827">
        <v>0</v>
      </c>
      <c r="Y65" s="827">
        <v>1.0840544815189006</v>
      </c>
      <c r="Z65" s="827"/>
      <c r="AA65" s="827">
        <v>3194.8476476031051</v>
      </c>
      <c r="AB65" s="827">
        <v>0</v>
      </c>
      <c r="AC65" s="827">
        <v>4.7313896509965039</v>
      </c>
      <c r="AD65" s="827">
        <v>0</v>
      </c>
      <c r="AE65" s="827">
        <v>0.71967765992954724</v>
      </c>
      <c r="AF65" s="827">
        <v>25.396795734288471</v>
      </c>
      <c r="AG65" s="827">
        <v>362.64658025114778</v>
      </c>
    </row>
    <row r="66" spans="2:33">
      <c r="B66" s="829" t="s">
        <v>942</v>
      </c>
      <c r="C66" s="827">
        <v>6.13106962059189</v>
      </c>
      <c r="D66" s="827">
        <v>9.2829421630014561</v>
      </c>
      <c r="E66" s="827">
        <v>2.0952333895794619</v>
      </c>
      <c r="F66" s="827"/>
      <c r="G66" s="827">
        <v>6.3031060633334279</v>
      </c>
      <c r="H66" s="827">
        <v>0</v>
      </c>
      <c r="I66" s="827">
        <v>119.0376985806917</v>
      </c>
      <c r="J66" s="827">
        <v>2.7464154036728807</v>
      </c>
      <c r="K66" s="827">
        <v>0</v>
      </c>
      <c r="L66" s="827">
        <v>195.72844776527776</v>
      </c>
      <c r="M66" s="827">
        <v>0</v>
      </c>
      <c r="N66" s="827">
        <v>178.33842310535255</v>
      </c>
      <c r="O66" s="827">
        <v>0</v>
      </c>
      <c r="P66" s="827">
        <v>9.6283598224832652</v>
      </c>
      <c r="Q66" s="827">
        <v>24.409295249285599</v>
      </c>
      <c r="R66" s="827">
        <v>14.916302210989784</v>
      </c>
      <c r="S66" s="827"/>
      <c r="T66" s="827">
        <v>298.08867292165081</v>
      </c>
      <c r="U66" s="827">
        <v>0</v>
      </c>
      <c r="V66" s="827">
        <v>0</v>
      </c>
      <c r="W66" s="827">
        <v>0</v>
      </c>
      <c r="X66" s="827">
        <v>2.8324768053406166</v>
      </c>
      <c r="Y66" s="827">
        <v>0</v>
      </c>
      <c r="Z66" s="827"/>
      <c r="AA66" s="827">
        <v>0</v>
      </c>
      <c r="AB66" s="827">
        <v>18.113374177263008</v>
      </c>
      <c r="AC66" s="827">
        <v>0</v>
      </c>
      <c r="AD66" s="827">
        <v>0</v>
      </c>
      <c r="AE66" s="827">
        <v>4.7371628392232701</v>
      </c>
      <c r="AF66" s="827">
        <v>0</v>
      </c>
      <c r="AG66" s="827">
        <v>50.519273912684547</v>
      </c>
    </row>
    <row r="67" spans="2:33">
      <c r="B67" s="829" t="s">
        <v>943</v>
      </c>
      <c r="C67" s="827">
        <v>699.34048576643363</v>
      </c>
      <c r="D67" s="827">
        <v>1623.9610716535119</v>
      </c>
      <c r="E67" s="827">
        <v>1.215197202824625</v>
      </c>
      <c r="F67" s="827"/>
      <c r="G67" s="827">
        <v>41.160315075933575</v>
      </c>
      <c r="H67" s="827">
        <v>0</v>
      </c>
      <c r="I67" s="827">
        <v>8086.2047631435071</v>
      </c>
      <c r="J67" s="827">
        <v>254.44512402805401</v>
      </c>
      <c r="K67" s="827">
        <v>2.2652094798357045</v>
      </c>
      <c r="L67" s="827">
        <v>894.59372579631383</v>
      </c>
      <c r="M67" s="827">
        <v>380.52438188092424</v>
      </c>
      <c r="N67" s="827">
        <v>3653.1983609884551</v>
      </c>
      <c r="O67" s="827">
        <v>1054.3823131330621</v>
      </c>
      <c r="P67" s="827">
        <v>75.657559963310121</v>
      </c>
      <c r="Q67" s="827">
        <v>0</v>
      </c>
      <c r="R67" s="827">
        <v>674.99206874095796</v>
      </c>
      <c r="S67" s="827"/>
      <c r="T67" s="827">
        <v>983.67196344564036</v>
      </c>
      <c r="U67" s="827">
        <v>4.0040451416000433</v>
      </c>
      <c r="V67" s="827">
        <v>108.67317048262582</v>
      </c>
      <c r="W67" s="827">
        <v>17.116397544830416</v>
      </c>
      <c r="X67" s="827">
        <v>0</v>
      </c>
      <c r="Y67" s="827">
        <v>8.2394522887391144</v>
      </c>
      <c r="Z67" s="827"/>
      <c r="AA67" s="827">
        <v>58.758193527999929</v>
      </c>
      <c r="AB67" s="827">
        <v>28.179170555780843</v>
      </c>
      <c r="AC67" s="827">
        <v>10.959961357674908</v>
      </c>
      <c r="AD67" s="827">
        <v>38.644225073787958</v>
      </c>
      <c r="AE67" s="827">
        <v>134.77682891252607</v>
      </c>
      <c r="AF67" s="827">
        <v>0</v>
      </c>
      <c r="AG67" s="827">
        <v>1550.3085116803179</v>
      </c>
    </row>
    <row r="68" spans="2:33">
      <c r="B68" s="829" t="s">
        <v>944</v>
      </c>
      <c r="C68" s="827">
        <v>652.04155859340915</v>
      </c>
      <c r="D68" s="827">
        <v>2124.5139870353642</v>
      </c>
      <c r="E68" s="827">
        <v>18.441381697804584</v>
      </c>
      <c r="F68" s="827"/>
      <c r="G68" s="827">
        <v>0</v>
      </c>
      <c r="H68" s="827">
        <v>1170.0170628938733</v>
      </c>
      <c r="I68" s="827">
        <v>13845.142913632997</v>
      </c>
      <c r="J68" s="827">
        <v>418.94837013809519</v>
      </c>
      <c r="K68" s="827">
        <v>27.145342555012725</v>
      </c>
      <c r="L68" s="827">
        <v>1706.2910898927832</v>
      </c>
      <c r="M68" s="827">
        <v>26.752255188801865</v>
      </c>
      <c r="N68" s="827">
        <v>7162.5143731436174</v>
      </c>
      <c r="O68" s="827">
        <v>115.88426813045679</v>
      </c>
      <c r="P68" s="827">
        <v>266.46475029606188</v>
      </c>
      <c r="Q68" s="827">
        <v>1584.2668913027715</v>
      </c>
      <c r="R68" s="827">
        <v>364.29754735951025</v>
      </c>
      <c r="S68" s="827"/>
      <c r="T68" s="827">
        <v>8812.3476941642821</v>
      </c>
      <c r="U68" s="827">
        <v>75.149665787892445</v>
      </c>
      <c r="V68" s="827">
        <v>133.59437827335029</v>
      </c>
      <c r="W68" s="827">
        <v>63.627062033610578</v>
      </c>
      <c r="X68" s="827">
        <v>0</v>
      </c>
      <c r="Y68" s="827">
        <v>5223.6125552601034</v>
      </c>
      <c r="Z68" s="827"/>
      <c r="AA68" s="827">
        <v>1769.8390714001221</v>
      </c>
      <c r="AB68" s="827">
        <v>46.147232033056547</v>
      </c>
      <c r="AC68" s="827">
        <v>997.01110877911538</v>
      </c>
      <c r="AD68" s="827">
        <v>78.253026964228823</v>
      </c>
      <c r="AE68" s="827">
        <v>53.778111352363538</v>
      </c>
      <c r="AF68" s="827">
        <v>615.44819404638042</v>
      </c>
      <c r="AG68" s="827">
        <v>16289.583652375684</v>
      </c>
    </row>
    <row r="69" spans="2:33">
      <c r="B69" s="829" t="s">
        <v>526</v>
      </c>
      <c r="C69" s="827">
        <v>782.73617453182328</v>
      </c>
      <c r="D69" s="827">
        <v>255.8872485120321</v>
      </c>
      <c r="E69" s="827">
        <v>297.92080328910714</v>
      </c>
      <c r="F69" s="827"/>
      <c r="G69" s="827">
        <v>2.1209621236444742</v>
      </c>
      <c r="H69" s="827">
        <v>702.75220759104047</v>
      </c>
      <c r="I69" s="827">
        <v>3415.1707633585797</v>
      </c>
      <c r="J69" s="827">
        <v>480.88139669316735</v>
      </c>
      <c r="K69" s="827">
        <v>183.62510593789898</v>
      </c>
      <c r="L69" s="827">
        <v>1011.6529592760795</v>
      </c>
      <c r="M69" s="827">
        <v>758.85074407626189</v>
      </c>
      <c r="N69" s="827">
        <v>3716.0512362849377</v>
      </c>
      <c r="O69" s="827">
        <v>265.24085523996604</v>
      </c>
      <c r="P69" s="827">
        <v>527.26691516637266</v>
      </c>
      <c r="Q69" s="827">
        <v>732.76129583256363</v>
      </c>
      <c r="R69" s="827">
        <v>12.537058485144174</v>
      </c>
      <c r="S69" s="827"/>
      <c r="T69" s="827">
        <v>3399.809572639097</v>
      </c>
      <c r="U69" s="827">
        <v>233.76116699700637</v>
      </c>
      <c r="V69" s="827">
        <v>8.9664005030604184</v>
      </c>
      <c r="W69" s="827">
        <v>254.5361295593116</v>
      </c>
      <c r="X69" s="827">
        <v>0.50216800058811939</v>
      </c>
      <c r="Y69" s="827">
        <v>199.36247953782703</v>
      </c>
      <c r="Z69" s="827"/>
      <c r="AA69" s="827">
        <v>1153.9686781889097</v>
      </c>
      <c r="AB69" s="827">
        <v>205.14031923693054</v>
      </c>
      <c r="AC69" s="827">
        <v>1322.5866714256695</v>
      </c>
      <c r="AD69" s="827">
        <v>274.2182724929491</v>
      </c>
      <c r="AE69" s="827">
        <v>229.59964844346209</v>
      </c>
      <c r="AF69" s="827">
        <v>18.674748676127766</v>
      </c>
      <c r="AG69" s="827">
        <v>555.50256302786659</v>
      </c>
    </row>
    <row r="70" spans="2:33">
      <c r="B70" s="829" t="s">
        <v>945</v>
      </c>
      <c r="C70" s="827">
        <v>0</v>
      </c>
      <c r="D70" s="827">
        <v>0</v>
      </c>
      <c r="E70" s="827">
        <v>0</v>
      </c>
      <c r="F70" s="827"/>
      <c r="G70" s="827">
        <v>0.555532013855913</v>
      </c>
      <c r="H70" s="827">
        <v>0</v>
      </c>
      <c r="I70" s="827">
        <v>12.665523023221233</v>
      </c>
      <c r="J70" s="827">
        <v>0</v>
      </c>
      <c r="K70" s="827">
        <v>0</v>
      </c>
      <c r="L70" s="827">
        <v>7.2870958360554079</v>
      </c>
      <c r="M70" s="827">
        <v>0</v>
      </c>
      <c r="N70" s="827">
        <v>12.057478789546566</v>
      </c>
      <c r="O70" s="827">
        <v>0.15239919439996943</v>
      </c>
      <c r="P70" s="827">
        <v>0</v>
      </c>
      <c r="Q70" s="827">
        <v>0</v>
      </c>
      <c r="R70" s="827">
        <v>0</v>
      </c>
      <c r="S70" s="827"/>
      <c r="T70" s="827">
        <v>1.0617003915736931</v>
      </c>
      <c r="U70" s="827">
        <v>0</v>
      </c>
      <c r="V70" s="827">
        <v>0</v>
      </c>
      <c r="W70" s="827">
        <v>0</v>
      </c>
      <c r="X70" s="827">
        <v>0</v>
      </c>
      <c r="Y70" s="827">
        <v>0</v>
      </c>
      <c r="Z70" s="827"/>
      <c r="AA70" s="827">
        <v>8.5334327296403742</v>
      </c>
      <c r="AB70" s="827">
        <v>0</v>
      </c>
      <c r="AC70" s="827">
        <v>11.140583464269845</v>
      </c>
      <c r="AD70" s="827">
        <v>0</v>
      </c>
      <c r="AE70" s="827">
        <v>7.035143851157768</v>
      </c>
      <c r="AF70" s="827">
        <v>0</v>
      </c>
      <c r="AG70" s="827">
        <v>0</v>
      </c>
    </row>
    <row r="71" spans="2:33">
      <c r="B71" s="829" t="s">
        <v>532</v>
      </c>
      <c r="C71" s="827">
        <v>434.13663977662617</v>
      </c>
      <c r="D71" s="827">
        <v>7.6642610050208884</v>
      </c>
      <c r="E71" s="827">
        <v>186.69483415894518</v>
      </c>
      <c r="F71" s="827"/>
      <c r="G71" s="827">
        <v>0</v>
      </c>
      <c r="H71" s="827">
        <v>788.69379694090344</v>
      </c>
      <c r="I71" s="827">
        <v>3561.3411025437822</v>
      </c>
      <c r="J71" s="827">
        <v>1371.0745257960987</v>
      </c>
      <c r="K71" s="827">
        <v>230.58003214952763</v>
      </c>
      <c r="L71" s="827">
        <v>0</v>
      </c>
      <c r="M71" s="827">
        <v>1330.419651873294</v>
      </c>
      <c r="N71" s="827">
        <v>1292.2283435064016</v>
      </c>
      <c r="O71" s="827">
        <v>28.785867423142335</v>
      </c>
      <c r="P71" s="827">
        <v>94.493821010576809</v>
      </c>
      <c r="Q71" s="827">
        <v>356.80541443336978</v>
      </c>
      <c r="R71" s="827">
        <v>0</v>
      </c>
      <c r="S71" s="827"/>
      <c r="T71" s="827">
        <v>81.415395466961854</v>
      </c>
      <c r="U71" s="827">
        <v>325.76405406310994</v>
      </c>
      <c r="V71" s="827">
        <v>0</v>
      </c>
      <c r="W71" s="827">
        <v>271.65539687448279</v>
      </c>
      <c r="X71" s="827">
        <v>0</v>
      </c>
      <c r="Y71" s="827">
        <v>211.73143610449645</v>
      </c>
      <c r="Z71" s="827"/>
      <c r="AA71" s="827">
        <v>3011.2603507534268</v>
      </c>
      <c r="AB71" s="827">
        <v>0.45741018682296664</v>
      </c>
      <c r="AC71" s="827">
        <v>674.92380921068309</v>
      </c>
      <c r="AD71" s="827">
        <v>2151.319430285389</v>
      </c>
      <c r="AE71" s="827">
        <v>64.91577099543828</v>
      </c>
      <c r="AF71" s="827">
        <v>293.34891964534279</v>
      </c>
      <c r="AG71" s="827">
        <v>34.064539755666637</v>
      </c>
    </row>
    <row r="72" spans="2:33">
      <c r="B72" s="829" t="s">
        <v>946</v>
      </c>
      <c r="C72" s="827">
        <v>97.016280526086533</v>
      </c>
      <c r="D72" s="827">
        <v>43.723216015694661</v>
      </c>
      <c r="E72" s="827">
        <v>14.957236380277134</v>
      </c>
      <c r="F72" s="827"/>
      <c r="G72" s="827">
        <v>14.827432456105443</v>
      </c>
      <c r="H72" s="827">
        <v>21.219542922509099</v>
      </c>
      <c r="I72" s="827">
        <v>285.5055306561319</v>
      </c>
      <c r="J72" s="827">
        <v>74.70302365533361</v>
      </c>
      <c r="K72" s="827">
        <v>0</v>
      </c>
      <c r="L72" s="827">
        <v>336.32908157627202</v>
      </c>
      <c r="M72" s="827">
        <v>670.46067396993703</v>
      </c>
      <c r="N72" s="827">
        <v>504.6814706302128</v>
      </c>
      <c r="O72" s="827">
        <v>33.635400814357773</v>
      </c>
      <c r="P72" s="827">
        <v>9.3360470268441258</v>
      </c>
      <c r="Q72" s="827">
        <v>1.8687648285652372</v>
      </c>
      <c r="R72" s="827">
        <v>7.175540750545057</v>
      </c>
      <c r="S72" s="827"/>
      <c r="T72" s="827">
        <v>57.818076080929337</v>
      </c>
      <c r="U72" s="827">
        <v>0</v>
      </c>
      <c r="V72" s="827">
        <v>2.8778269444275217</v>
      </c>
      <c r="W72" s="827">
        <v>0</v>
      </c>
      <c r="X72" s="827">
        <v>0.87195228805457203</v>
      </c>
      <c r="Y72" s="827">
        <v>59.274196317418657</v>
      </c>
      <c r="Z72" s="827"/>
      <c r="AA72" s="827">
        <v>12.913400198865542</v>
      </c>
      <c r="AB72" s="827">
        <v>2.568232962475181</v>
      </c>
      <c r="AC72" s="827">
        <v>3.7441634225702871</v>
      </c>
      <c r="AD72" s="827">
        <v>1011.067153422093</v>
      </c>
      <c r="AE72" s="827">
        <v>5.3848002025077575</v>
      </c>
      <c r="AF72" s="827">
        <v>3.1765069679814046</v>
      </c>
      <c r="AG72" s="827">
        <v>163.24072791190974</v>
      </c>
    </row>
    <row r="73" spans="2:33">
      <c r="B73" s="829" t="s">
        <v>947</v>
      </c>
      <c r="C73" s="827">
        <v>247.1517412901454</v>
      </c>
      <c r="D73" s="827">
        <v>190.01188077167959</v>
      </c>
      <c r="E73" s="827">
        <v>56.523192555649892</v>
      </c>
      <c r="F73" s="827"/>
      <c r="G73" s="827">
        <v>10.122299240775586</v>
      </c>
      <c r="H73" s="827">
        <v>181.4768803381084</v>
      </c>
      <c r="I73" s="827">
        <v>1652.1476198582429</v>
      </c>
      <c r="J73" s="827">
        <v>23.15664260947489</v>
      </c>
      <c r="K73" s="827">
        <v>9.7105130875292716</v>
      </c>
      <c r="L73" s="827">
        <v>864.57332433841225</v>
      </c>
      <c r="M73" s="827">
        <v>355.25127950865533</v>
      </c>
      <c r="N73" s="827">
        <v>2333.8004113498405</v>
      </c>
      <c r="O73" s="827">
        <v>28.072915222975684</v>
      </c>
      <c r="P73" s="827">
        <v>5.3721290755377087</v>
      </c>
      <c r="Q73" s="827">
        <v>122.86010461582589</v>
      </c>
      <c r="R73" s="827">
        <v>86.502828485778394</v>
      </c>
      <c r="S73" s="827"/>
      <c r="T73" s="827">
        <v>48.004062274201353</v>
      </c>
      <c r="U73" s="827">
        <v>2.2968176715920738</v>
      </c>
      <c r="V73" s="827">
        <v>5.1288138762494802</v>
      </c>
      <c r="W73" s="827">
        <v>3.2383780854343414</v>
      </c>
      <c r="X73" s="827">
        <v>2.6118513869556272</v>
      </c>
      <c r="Y73" s="827">
        <v>93.286247913454901</v>
      </c>
      <c r="Z73" s="827"/>
      <c r="AA73" s="827">
        <v>45.747740774377164</v>
      </c>
      <c r="AB73" s="827">
        <v>11.921780937364769</v>
      </c>
      <c r="AC73" s="827">
        <v>48.793460249615748</v>
      </c>
      <c r="AD73" s="827">
        <v>948.07647821445823</v>
      </c>
      <c r="AE73" s="827">
        <v>18.005792451292102</v>
      </c>
      <c r="AF73" s="827">
        <v>38.051872837889427</v>
      </c>
      <c r="AG73" s="827">
        <v>2351.3550416716721</v>
      </c>
    </row>
    <row r="74" spans="2:33">
      <c r="B74" s="833" t="s">
        <v>950</v>
      </c>
      <c r="C74" s="827">
        <v>42.56282432717483</v>
      </c>
      <c r="D74" s="827">
        <v>45.898909994556107</v>
      </c>
      <c r="E74" s="827">
        <v>11.923223314790166</v>
      </c>
      <c r="F74" s="827"/>
      <c r="G74" s="827">
        <v>2.0141015092339023</v>
      </c>
      <c r="H74" s="827">
        <v>47.708900248363449</v>
      </c>
      <c r="I74" s="827">
        <v>584.26469527704819</v>
      </c>
      <c r="J74" s="827">
        <v>23.054271739188689</v>
      </c>
      <c r="K74" s="827">
        <v>5.0228106918586484</v>
      </c>
      <c r="L74" s="827">
        <v>135.03107111442935</v>
      </c>
      <c r="M74" s="827">
        <v>30.297648571793381</v>
      </c>
      <c r="N74" s="827">
        <v>476.88855227943179</v>
      </c>
      <c r="O74" s="827">
        <v>45.613473781463853</v>
      </c>
      <c r="P74" s="827">
        <v>17.355425499748989</v>
      </c>
      <c r="Q74" s="827">
        <v>56.98519778675189</v>
      </c>
      <c r="R74" s="827">
        <v>24.507497588842448</v>
      </c>
      <c r="S74" s="827"/>
      <c r="T74" s="827">
        <v>244.18778896007953</v>
      </c>
      <c r="U74" s="827">
        <v>7.2332541560239783</v>
      </c>
      <c r="V74" s="827">
        <v>4.8575325401082221</v>
      </c>
      <c r="W74" s="827">
        <v>14.441352856728747</v>
      </c>
      <c r="X74" s="827">
        <v>0.13876239836937684</v>
      </c>
      <c r="Y74" s="827">
        <v>105.96352545661142</v>
      </c>
      <c r="Z74" s="827"/>
      <c r="AA74" s="827">
        <v>122.94438111083591</v>
      </c>
      <c r="AB74" s="827">
        <v>11.856125430801049</v>
      </c>
      <c r="AC74" s="827">
        <v>62.324532197675424</v>
      </c>
      <c r="AD74" s="827">
        <v>19.573320000751274</v>
      </c>
      <c r="AE74" s="827">
        <v>5.8508576180270442</v>
      </c>
      <c r="AF74" s="827">
        <v>10.053924072347325</v>
      </c>
      <c r="AG74" s="827">
        <v>324.25414049582076</v>
      </c>
    </row>
    <row r="75" spans="2:33">
      <c r="B75" s="824"/>
      <c r="C75" s="827"/>
      <c r="D75" s="827"/>
      <c r="E75" s="827"/>
      <c r="F75" s="827"/>
      <c r="G75" s="827"/>
      <c r="H75" s="827"/>
      <c r="I75" s="827"/>
      <c r="J75" s="827"/>
      <c r="K75" s="827"/>
      <c r="L75" s="827"/>
      <c r="M75" s="827"/>
      <c r="N75" s="827"/>
      <c r="O75" s="827"/>
      <c r="P75" s="827"/>
      <c r="Q75" s="827"/>
      <c r="R75" s="827"/>
      <c r="S75" s="827"/>
      <c r="T75" s="827"/>
      <c r="U75" s="827"/>
      <c r="V75" s="827"/>
      <c r="W75" s="827"/>
      <c r="X75" s="827"/>
      <c r="Y75" s="827"/>
      <c r="Z75" s="827"/>
      <c r="AA75" s="827"/>
      <c r="AB75" s="827"/>
      <c r="AC75" s="827"/>
      <c r="AD75" s="827"/>
      <c r="AE75" s="827"/>
      <c r="AF75" s="827"/>
      <c r="AG75" s="827"/>
    </row>
    <row r="76" spans="2:33">
      <c r="B76" s="824" t="s">
        <v>953</v>
      </c>
      <c r="C76" s="834"/>
      <c r="D76" s="834"/>
      <c r="E76" s="834"/>
      <c r="F76" s="834"/>
      <c r="G76" s="834"/>
      <c r="H76" s="834"/>
      <c r="I76" s="834"/>
      <c r="J76" s="834"/>
      <c r="K76" s="834"/>
      <c r="L76" s="834"/>
      <c r="M76" s="834"/>
      <c r="N76" s="834"/>
      <c r="O76" s="834"/>
      <c r="P76" s="834"/>
      <c r="Q76" s="834"/>
      <c r="R76" s="834"/>
      <c r="S76" s="834"/>
      <c r="T76" s="834"/>
      <c r="U76" s="834"/>
      <c r="V76" s="834"/>
      <c r="W76" s="834"/>
      <c r="X76" s="834"/>
      <c r="Y76" s="834"/>
      <c r="Z76" s="834"/>
      <c r="AA76" s="834"/>
      <c r="AB76" s="834"/>
      <c r="AC76" s="834"/>
      <c r="AD76" s="834"/>
      <c r="AE76" s="834"/>
      <c r="AF76" s="834"/>
      <c r="AG76" s="834"/>
    </row>
    <row r="77" spans="2:33">
      <c r="B77" s="832" t="s">
        <v>954</v>
      </c>
      <c r="C77" s="834">
        <v>0.68102901716236108</v>
      </c>
      <c r="D77" s="834">
        <v>0.64494596241478486</v>
      </c>
      <c r="E77" s="834">
        <v>0.61129568770073539</v>
      </c>
      <c r="F77" s="834"/>
      <c r="G77" s="834">
        <v>0.75646522141308437</v>
      </c>
      <c r="H77" s="834">
        <v>0.604921405186023</v>
      </c>
      <c r="I77" s="834">
        <v>0.72283874374160351</v>
      </c>
      <c r="J77" s="834">
        <v>0.7629763718744621</v>
      </c>
      <c r="K77" s="834">
        <v>0.64211788729594355</v>
      </c>
      <c r="L77" s="834">
        <v>0.63936818397464479</v>
      </c>
      <c r="M77" s="834">
        <v>0.81360442929805932</v>
      </c>
      <c r="N77" s="834">
        <v>0.6763742644500389</v>
      </c>
      <c r="O77" s="834">
        <v>0.69156424515453252</v>
      </c>
      <c r="P77" s="834">
        <v>0.62441745909965307</v>
      </c>
      <c r="Q77" s="834">
        <v>0.59111425112031835</v>
      </c>
      <c r="R77" s="834">
        <v>0.63159998671606976</v>
      </c>
      <c r="S77" s="834"/>
      <c r="T77" s="834">
        <v>0.6342283399579135</v>
      </c>
      <c r="U77" s="834">
        <v>0.60349384652768168</v>
      </c>
      <c r="V77" s="834">
        <v>0.66798672771191059</v>
      </c>
      <c r="W77" s="834">
        <v>0.6260692155644928</v>
      </c>
      <c r="X77" s="834">
        <v>0.82235168420542226</v>
      </c>
      <c r="Y77" s="834">
        <v>0.68431113196095572</v>
      </c>
      <c r="Z77" s="834"/>
      <c r="AA77" s="834">
        <v>0.59635347288427298</v>
      </c>
      <c r="AB77" s="834">
        <v>0.59481978016471204</v>
      </c>
      <c r="AC77" s="834">
        <v>0.54749636463037676</v>
      </c>
      <c r="AD77" s="834">
        <v>0.81424233407204205</v>
      </c>
      <c r="AE77" s="834">
        <v>0.63332501704861621</v>
      </c>
      <c r="AF77" s="834">
        <v>0.62038561645517587</v>
      </c>
      <c r="AG77" s="834">
        <v>0.66778171961373001</v>
      </c>
    </row>
    <row r="78" spans="2:33">
      <c r="B78" s="828" t="s">
        <v>531</v>
      </c>
      <c r="C78" s="834">
        <v>0.67354434263892493</v>
      </c>
      <c r="D78" s="834">
        <v>0.65476049789315927</v>
      </c>
      <c r="E78" s="834">
        <v>0.55446618079422794</v>
      </c>
      <c r="F78" s="834"/>
      <c r="G78" s="834">
        <v>0.58425986998560175</v>
      </c>
      <c r="H78" s="834">
        <v>0.59614202955691042</v>
      </c>
      <c r="I78" s="834">
        <v>0.73146015662419006</v>
      </c>
      <c r="J78" s="834">
        <v>0.76695015985109838</v>
      </c>
      <c r="K78" s="834">
        <v>0.63121594845692053</v>
      </c>
      <c r="L78" s="834">
        <v>0.63348618370444654</v>
      </c>
      <c r="M78" s="834">
        <v>0.82384742959528801</v>
      </c>
      <c r="N78" s="834">
        <v>0.68498274259380254</v>
      </c>
      <c r="O78" s="834">
        <v>0.58586240290691127</v>
      </c>
      <c r="P78" s="834">
        <v>0.5613941599576372</v>
      </c>
      <c r="Q78" s="834">
        <v>0.59253027333221142</v>
      </c>
      <c r="R78" s="834">
        <v>0.63669415205289837</v>
      </c>
      <c r="S78" s="834"/>
      <c r="T78" s="834">
        <v>0.62499833162575269</v>
      </c>
      <c r="U78" s="834">
        <v>0.59874707098642788</v>
      </c>
      <c r="V78" s="834">
        <v>0.67602433632658243</v>
      </c>
      <c r="W78" s="834">
        <v>0.62920060435011482</v>
      </c>
      <c r="X78" s="834">
        <v>0.64740130243118565</v>
      </c>
      <c r="Y78" s="834">
        <v>0.70783876556929504</v>
      </c>
      <c r="Z78" s="834"/>
      <c r="AA78" s="834">
        <v>0.6025694216401819</v>
      </c>
      <c r="AB78" s="834">
        <v>0.57272543767964235</v>
      </c>
      <c r="AC78" s="834">
        <v>0.55961752034303947</v>
      </c>
      <c r="AD78" s="834">
        <v>0.82096283235750434</v>
      </c>
      <c r="AE78" s="834">
        <v>0.62668747837967942</v>
      </c>
      <c r="AF78" s="834">
        <v>0.62789936520916334</v>
      </c>
      <c r="AG78" s="834">
        <v>0.68666768005096479</v>
      </c>
    </row>
    <row r="79" spans="2:33">
      <c r="B79" s="829" t="s">
        <v>529</v>
      </c>
      <c r="C79" s="834">
        <v>0.54600613795780961</v>
      </c>
      <c r="D79" s="834">
        <v>0.52878226954856766</v>
      </c>
      <c r="E79" s="834">
        <v>0.46094291396266146</v>
      </c>
      <c r="F79" s="834"/>
      <c r="G79" s="834">
        <v>0</v>
      </c>
      <c r="H79" s="834">
        <v>0.4802490790951669</v>
      </c>
      <c r="I79" s="834">
        <v>0.60098541371444991</v>
      </c>
      <c r="J79" s="834">
        <v>0</v>
      </c>
      <c r="K79" s="834">
        <v>0.50409361605050462</v>
      </c>
      <c r="L79" s="834">
        <v>0.48961426388809098</v>
      </c>
      <c r="M79" s="834">
        <v>0.56804011582666591</v>
      </c>
      <c r="N79" s="834">
        <v>0.55440939882195028</v>
      </c>
      <c r="O79" s="834">
        <v>0</v>
      </c>
      <c r="P79" s="834">
        <v>0.48670848701628266</v>
      </c>
      <c r="Q79" s="834">
        <v>0.47259924141597154</v>
      </c>
      <c r="R79" s="834">
        <v>0.52008934238238924</v>
      </c>
      <c r="S79" s="834"/>
      <c r="T79" s="834">
        <v>0.51621913129430952</v>
      </c>
      <c r="U79" s="834">
        <v>0.48513940468828792</v>
      </c>
      <c r="V79" s="834">
        <v>0.55027384320458428</v>
      </c>
      <c r="W79" s="834">
        <v>0.49700538148805806</v>
      </c>
      <c r="X79" s="834">
        <v>0</v>
      </c>
      <c r="Y79" s="834">
        <v>0.56733858532963377</v>
      </c>
      <c r="Z79" s="834"/>
      <c r="AA79" s="834">
        <v>0.50241201973747662</v>
      </c>
      <c r="AB79" s="834">
        <v>0</v>
      </c>
      <c r="AC79" s="834">
        <v>0.47391948663731565</v>
      </c>
      <c r="AD79" s="834">
        <v>0</v>
      </c>
      <c r="AE79" s="834">
        <v>0.53792702820037341</v>
      </c>
      <c r="AF79" s="834">
        <v>0.48083370788882057</v>
      </c>
      <c r="AG79" s="834">
        <v>0.53864042905884169</v>
      </c>
    </row>
    <row r="80" spans="2:33">
      <c r="B80" s="829" t="s">
        <v>942</v>
      </c>
      <c r="C80" s="834">
        <v>0.66252050800517082</v>
      </c>
      <c r="D80" s="834">
        <v>0.65496814541388393</v>
      </c>
      <c r="E80" s="834">
        <v>0.57789180560476272</v>
      </c>
      <c r="F80" s="834"/>
      <c r="G80" s="834">
        <v>0.49063162243730518</v>
      </c>
      <c r="H80" s="834">
        <v>0</v>
      </c>
      <c r="I80" s="834">
        <v>0.70767524597818177</v>
      </c>
      <c r="J80" s="834">
        <v>0.69437053964420492</v>
      </c>
      <c r="K80" s="834">
        <v>0</v>
      </c>
      <c r="L80" s="834">
        <v>0.61218791734638855</v>
      </c>
      <c r="M80" s="834">
        <v>0</v>
      </c>
      <c r="N80" s="834">
        <v>0.66633296989117508</v>
      </c>
      <c r="O80" s="834">
        <v>0</v>
      </c>
      <c r="P80" s="834">
        <v>0.60972996944932967</v>
      </c>
      <c r="Q80" s="834">
        <v>0.5926607088675101</v>
      </c>
      <c r="R80" s="834">
        <v>0.64541988743549117</v>
      </c>
      <c r="S80" s="834"/>
      <c r="T80" s="834">
        <v>0.62887362635634814</v>
      </c>
      <c r="U80" s="834">
        <v>0</v>
      </c>
      <c r="V80" s="834">
        <v>0</v>
      </c>
      <c r="W80" s="834">
        <v>0</v>
      </c>
      <c r="X80" s="834">
        <v>0.52817356295531837</v>
      </c>
      <c r="Y80" s="834">
        <v>0</v>
      </c>
      <c r="Z80" s="834"/>
      <c r="AA80" s="834">
        <v>0</v>
      </c>
      <c r="AB80" s="834">
        <v>0.64822983838864401</v>
      </c>
      <c r="AC80" s="834">
        <v>0</v>
      </c>
      <c r="AD80" s="834">
        <v>0</v>
      </c>
      <c r="AE80" s="834">
        <v>0.65263107492816785</v>
      </c>
      <c r="AF80" s="834">
        <v>0</v>
      </c>
      <c r="AG80" s="834">
        <v>0.66401819913274174</v>
      </c>
    </row>
    <row r="81" spans="2:33">
      <c r="B81" s="829" t="s">
        <v>943</v>
      </c>
      <c r="C81" s="834">
        <v>0.64037371510678576</v>
      </c>
      <c r="D81" s="834">
        <v>0.6306309843955894</v>
      </c>
      <c r="E81" s="834">
        <v>0.59874007012964725</v>
      </c>
      <c r="F81" s="834"/>
      <c r="G81" s="834">
        <v>0.47012551119507939</v>
      </c>
      <c r="H81" s="834">
        <v>0</v>
      </c>
      <c r="I81" s="834">
        <v>0.68619292323169789</v>
      </c>
      <c r="J81" s="834">
        <v>0.65520962813375672</v>
      </c>
      <c r="K81" s="834">
        <v>0.64988314630266131</v>
      </c>
      <c r="L81" s="834">
        <v>0.58674717161670131</v>
      </c>
      <c r="M81" s="834">
        <v>0.64626779325750527</v>
      </c>
      <c r="N81" s="834">
        <v>0.64742393347324856</v>
      </c>
      <c r="O81" s="834">
        <v>0.5810003166109875</v>
      </c>
      <c r="P81" s="834">
        <v>0.58922099232261471</v>
      </c>
      <c r="Q81" s="834">
        <v>0</v>
      </c>
      <c r="R81" s="834">
        <v>0.63728212621828717</v>
      </c>
      <c r="S81" s="834"/>
      <c r="T81" s="834">
        <v>0.62297185029867153</v>
      </c>
      <c r="U81" s="834">
        <v>0.66259925048346979</v>
      </c>
      <c r="V81" s="834">
        <v>0.64964602701043206</v>
      </c>
      <c r="W81" s="834">
        <v>0.65541123104776566</v>
      </c>
      <c r="X81" s="834">
        <v>0</v>
      </c>
      <c r="Y81" s="834">
        <v>0.68373399157111048</v>
      </c>
      <c r="Z81" s="834"/>
      <c r="AA81" s="834">
        <v>0.64435150286337217</v>
      </c>
      <c r="AB81" s="834">
        <v>0.65332847009036477</v>
      </c>
      <c r="AC81" s="834">
        <v>0.58913151393006935</v>
      </c>
      <c r="AD81" s="834">
        <v>0.64114936744520146</v>
      </c>
      <c r="AE81" s="834">
        <v>0.6338831997084059</v>
      </c>
      <c r="AF81" s="834">
        <v>0</v>
      </c>
      <c r="AG81" s="834">
        <v>0.65244700921806598</v>
      </c>
    </row>
    <row r="82" spans="2:33">
      <c r="B82" s="829" t="s">
        <v>944</v>
      </c>
      <c r="C82" s="834">
        <v>0.68033599250582888</v>
      </c>
      <c r="D82" s="834">
        <v>0.66942126825390802</v>
      </c>
      <c r="E82" s="834">
        <v>0.63443282044173432</v>
      </c>
      <c r="F82" s="834"/>
      <c r="G82" s="834">
        <v>0</v>
      </c>
      <c r="H82" s="834">
        <v>0.62426210749196631</v>
      </c>
      <c r="I82" s="834">
        <v>0.72916076700329424</v>
      </c>
      <c r="J82" s="834">
        <v>0.70777407071166443</v>
      </c>
      <c r="K82" s="834">
        <v>0.66316714536074006</v>
      </c>
      <c r="L82" s="834">
        <v>0.64419915033562958</v>
      </c>
      <c r="M82" s="834">
        <v>0.70057690040152121</v>
      </c>
      <c r="N82" s="834">
        <v>0.6848792307122471</v>
      </c>
      <c r="O82" s="834">
        <v>0.66312211179536862</v>
      </c>
      <c r="P82" s="834">
        <v>0.63324515286987937</v>
      </c>
      <c r="Q82" s="834">
        <v>0.61330429690122235</v>
      </c>
      <c r="R82" s="834">
        <v>0.68043985083533642</v>
      </c>
      <c r="S82" s="834"/>
      <c r="T82" s="834">
        <v>0.6541724687224556</v>
      </c>
      <c r="U82" s="834">
        <v>0.6303101227159974</v>
      </c>
      <c r="V82" s="834">
        <v>0.68837733894342024</v>
      </c>
      <c r="W82" s="834">
        <v>0.66716684278871541</v>
      </c>
      <c r="X82" s="834">
        <v>0</v>
      </c>
      <c r="Y82" s="834">
        <v>0.69809655784359592</v>
      </c>
      <c r="Z82" s="834"/>
      <c r="AA82" s="834">
        <v>0.65751265103921019</v>
      </c>
      <c r="AB82" s="834">
        <v>0.66773686705282043</v>
      </c>
      <c r="AC82" s="834">
        <v>0.59688103507117085</v>
      </c>
      <c r="AD82" s="834">
        <v>0.65850115316941293</v>
      </c>
      <c r="AE82" s="834">
        <v>0.67099671340362799</v>
      </c>
      <c r="AF82" s="834">
        <v>0.60303673905847599</v>
      </c>
      <c r="AG82" s="834">
        <v>0.67963735146408599</v>
      </c>
    </row>
    <row r="83" spans="2:33">
      <c r="B83" s="829" t="s">
        <v>526</v>
      </c>
      <c r="C83" s="834">
        <v>0.55597639156999534</v>
      </c>
      <c r="D83" s="834">
        <v>0.55298251833536471</v>
      </c>
      <c r="E83" s="834">
        <v>0.47195926450783243</v>
      </c>
      <c r="F83" s="834"/>
      <c r="G83" s="834">
        <v>0.39892049980478944</v>
      </c>
      <c r="H83" s="834">
        <v>0.49203931837071679</v>
      </c>
      <c r="I83" s="834">
        <v>0.62257783918607779</v>
      </c>
      <c r="J83" s="834">
        <v>0.59347018075569191</v>
      </c>
      <c r="K83" s="834">
        <v>0.51354697786564751</v>
      </c>
      <c r="L83" s="834">
        <v>0.4965007693500943</v>
      </c>
      <c r="M83" s="834">
        <v>0.58325625046518548</v>
      </c>
      <c r="N83" s="834">
        <v>0.55999031062290383</v>
      </c>
      <c r="O83" s="834">
        <v>0.48511501090573517</v>
      </c>
      <c r="P83" s="834">
        <v>0.49410645163969763</v>
      </c>
      <c r="Q83" s="834">
        <v>0.49686737772420453</v>
      </c>
      <c r="R83" s="834">
        <v>0.53445995432477611</v>
      </c>
      <c r="S83" s="834"/>
      <c r="T83" s="834">
        <v>0.53806891822925784</v>
      </c>
      <c r="U83" s="834">
        <v>0.48195149614480498</v>
      </c>
      <c r="V83" s="834">
        <v>0.55328608588240236</v>
      </c>
      <c r="W83" s="834">
        <v>0.517028822016115</v>
      </c>
      <c r="X83" s="834">
        <v>0.67821838221365516</v>
      </c>
      <c r="Y83" s="834">
        <v>0.57587339291077388</v>
      </c>
      <c r="Z83" s="834"/>
      <c r="AA83" s="834">
        <v>0.50909787439587217</v>
      </c>
      <c r="AB83" s="834">
        <v>0.51741164039885923</v>
      </c>
      <c r="AC83" s="834">
        <v>0.47574608079785818</v>
      </c>
      <c r="AD83" s="834">
        <v>0.51353806752445719</v>
      </c>
      <c r="AE83" s="834">
        <v>0.55289074771906499</v>
      </c>
      <c r="AF83" s="834">
        <v>0.4807221907681013</v>
      </c>
      <c r="AG83" s="834">
        <v>0.57224504320466918</v>
      </c>
    </row>
    <row r="84" spans="2:33">
      <c r="B84" s="829" t="s">
        <v>945</v>
      </c>
      <c r="C84" s="834">
        <v>0</v>
      </c>
      <c r="D84" s="834">
        <v>0</v>
      </c>
      <c r="E84" s="834">
        <v>0</v>
      </c>
      <c r="F84" s="834"/>
      <c r="G84" s="834">
        <v>0.7268441986287274</v>
      </c>
      <c r="H84" s="834">
        <v>0</v>
      </c>
      <c r="I84" s="834">
        <v>0.89272722357652989</v>
      </c>
      <c r="J84" s="834">
        <v>0</v>
      </c>
      <c r="K84" s="834">
        <v>0</v>
      </c>
      <c r="L84" s="834">
        <v>0.80713342825468992</v>
      </c>
      <c r="M84" s="834">
        <v>0</v>
      </c>
      <c r="N84" s="834">
        <v>0.83718494520851705</v>
      </c>
      <c r="O84" s="834">
        <v>0.79757710538240034</v>
      </c>
      <c r="P84" s="834">
        <v>0</v>
      </c>
      <c r="Q84" s="834">
        <v>0</v>
      </c>
      <c r="R84" s="834">
        <v>0</v>
      </c>
      <c r="S84" s="834"/>
      <c r="T84" s="834">
        <v>0.79377338728985247</v>
      </c>
      <c r="U84" s="834">
        <v>0</v>
      </c>
      <c r="V84" s="834">
        <v>0</v>
      </c>
      <c r="W84" s="834">
        <v>0</v>
      </c>
      <c r="X84" s="834">
        <v>0</v>
      </c>
      <c r="Y84" s="834">
        <v>0</v>
      </c>
      <c r="Z84" s="834"/>
      <c r="AA84" s="834">
        <v>0.81199491255587208</v>
      </c>
      <c r="AB84" s="834">
        <v>0</v>
      </c>
      <c r="AC84" s="834">
        <v>0.74154860864130501</v>
      </c>
      <c r="AD84" s="834">
        <v>0</v>
      </c>
      <c r="AE84" s="834">
        <v>0.84154184900857998</v>
      </c>
      <c r="AF84" s="834">
        <v>0</v>
      </c>
      <c r="AG84" s="834">
        <v>0</v>
      </c>
    </row>
    <row r="85" spans="2:33">
      <c r="B85" s="829" t="s">
        <v>532</v>
      </c>
      <c r="C85" s="834">
        <v>0.83916539421272995</v>
      </c>
      <c r="D85" s="834">
        <v>0.79375937180928535</v>
      </c>
      <c r="E85" s="834">
        <v>0.69025551648968375</v>
      </c>
      <c r="F85" s="834"/>
      <c r="G85" s="834">
        <v>0</v>
      </c>
      <c r="H85" s="834">
        <v>0.72427081148229266</v>
      </c>
      <c r="I85" s="834">
        <v>0.90808118695047002</v>
      </c>
      <c r="J85" s="834">
        <v>0.87249058387803391</v>
      </c>
      <c r="K85" s="834">
        <v>0.75698290192849904</v>
      </c>
      <c r="L85" s="834">
        <v>0</v>
      </c>
      <c r="M85" s="834">
        <v>0.87081258437485753</v>
      </c>
      <c r="N85" s="834">
        <v>0.84188054995816708</v>
      </c>
      <c r="O85" s="834">
        <v>0.73086090101156365</v>
      </c>
      <c r="P85" s="834">
        <v>0.7385182154133445</v>
      </c>
      <c r="Q85" s="834">
        <v>0.7051744024371781</v>
      </c>
      <c r="R85" s="834">
        <v>0</v>
      </c>
      <c r="S85" s="834"/>
      <c r="T85" s="834">
        <v>0.80513994204272954</v>
      </c>
      <c r="U85" s="834">
        <v>0.72315276909852633</v>
      </c>
      <c r="V85" s="834">
        <v>0</v>
      </c>
      <c r="W85" s="834">
        <v>0.76374226569085091</v>
      </c>
      <c r="X85" s="834">
        <v>0</v>
      </c>
      <c r="Y85" s="834">
        <v>0.86113245667315541</v>
      </c>
      <c r="Z85" s="834"/>
      <c r="AA85" s="834">
        <v>0.7610946189991713</v>
      </c>
      <c r="AB85" s="834">
        <v>0.80187813054763546</v>
      </c>
      <c r="AC85" s="834">
        <v>0.68992487358195631</v>
      </c>
      <c r="AD85" s="834">
        <v>0.76127467811845573</v>
      </c>
      <c r="AE85" s="834">
        <v>0.80776384536699042</v>
      </c>
      <c r="AF85" s="834">
        <v>0.69997834197694131</v>
      </c>
      <c r="AG85" s="834">
        <v>0.82231621190054693</v>
      </c>
    </row>
    <row r="86" spans="2:33">
      <c r="B86" s="829" t="s">
        <v>946</v>
      </c>
      <c r="C86" s="834">
        <v>1.6982385550541725</v>
      </c>
      <c r="D86" s="834">
        <v>1.6497196678190345</v>
      </c>
      <c r="E86" s="834">
        <v>1.5508905920437253</v>
      </c>
      <c r="F86" s="834"/>
      <c r="G86" s="834">
        <v>1.6221566852792595</v>
      </c>
      <c r="H86" s="834">
        <v>1.4433886824173219</v>
      </c>
      <c r="I86" s="834">
        <v>2.0756806832257806</v>
      </c>
      <c r="J86" s="834">
        <v>2.0749389158103493</v>
      </c>
      <c r="K86" s="834">
        <v>0</v>
      </c>
      <c r="L86" s="834">
        <v>1.5871098769494532</v>
      </c>
      <c r="M86" s="834">
        <v>1.724161051538984</v>
      </c>
      <c r="N86" s="834">
        <v>1.7189709001670954</v>
      </c>
      <c r="O86" s="834">
        <v>1.4939918107969228</v>
      </c>
      <c r="P86" s="834">
        <v>1.7067628466784948</v>
      </c>
      <c r="Q86" s="834">
        <v>1.4676779085133815</v>
      </c>
      <c r="R86" s="834">
        <v>1.7053324101362481</v>
      </c>
      <c r="S86" s="834"/>
      <c r="T86" s="834">
        <v>1.9615265758377178</v>
      </c>
      <c r="U86" s="834">
        <v>0</v>
      </c>
      <c r="V86" s="834">
        <v>1.8082970129615354</v>
      </c>
      <c r="W86" s="834">
        <v>0</v>
      </c>
      <c r="X86" s="834">
        <v>1.366855031143126</v>
      </c>
      <c r="Y86" s="834">
        <v>1.9089945517629228</v>
      </c>
      <c r="Z86" s="834"/>
      <c r="AA86" s="834">
        <v>1.8019177529058028</v>
      </c>
      <c r="AB86" s="834">
        <v>1.8805007420382045</v>
      </c>
      <c r="AC86" s="834">
        <v>1.649722330403032</v>
      </c>
      <c r="AD86" s="834">
        <v>1.557185518635833</v>
      </c>
      <c r="AE86" s="834">
        <v>1.8274074648393672</v>
      </c>
      <c r="AF86" s="834">
        <v>1.4484869386665638</v>
      </c>
      <c r="AG86" s="834">
        <v>1.6155288404869159</v>
      </c>
    </row>
    <row r="87" spans="2:33">
      <c r="B87" s="829" t="s">
        <v>947</v>
      </c>
      <c r="C87" s="834">
        <v>0.81928900763721191</v>
      </c>
      <c r="D87" s="834">
        <v>0.79900299844352862</v>
      </c>
      <c r="E87" s="834">
        <v>0.73408809575765044</v>
      </c>
      <c r="F87" s="834"/>
      <c r="G87" s="834">
        <v>0.70618228689710782</v>
      </c>
      <c r="H87" s="834">
        <v>0.70582025115896152</v>
      </c>
      <c r="I87" s="834">
        <v>0.86347572459868804</v>
      </c>
      <c r="J87" s="834">
        <v>0.80018749703636471</v>
      </c>
      <c r="K87" s="834">
        <v>0.75698599171100345</v>
      </c>
      <c r="L87" s="834">
        <v>0.71635950787853064</v>
      </c>
      <c r="M87" s="834">
        <v>0.81733074000663331</v>
      </c>
      <c r="N87" s="834">
        <v>0.81671823576041058</v>
      </c>
      <c r="O87" s="834">
        <v>0.72282882147300664</v>
      </c>
      <c r="P87" s="834">
        <v>0.71202455229284112</v>
      </c>
      <c r="Q87" s="834">
        <v>0.72917682462626643</v>
      </c>
      <c r="R87" s="834">
        <v>0.75951434494584313</v>
      </c>
      <c r="S87" s="834"/>
      <c r="T87" s="834">
        <v>0.76164435507238615</v>
      </c>
      <c r="U87" s="834">
        <v>0.72542657031811564</v>
      </c>
      <c r="V87" s="834">
        <v>0.78087502002196951</v>
      </c>
      <c r="W87" s="834">
        <v>0.75951269724745896</v>
      </c>
      <c r="X87" s="834">
        <v>0.67551175099960736</v>
      </c>
      <c r="Y87" s="834">
        <v>0.82446857044229127</v>
      </c>
      <c r="Z87" s="834"/>
      <c r="AA87" s="834">
        <v>0.77572558406601144</v>
      </c>
      <c r="AB87" s="834">
        <v>0.74814388647734709</v>
      </c>
      <c r="AC87" s="834">
        <v>0.72440504092705404</v>
      </c>
      <c r="AD87" s="834">
        <v>0.72971725971827728</v>
      </c>
      <c r="AE87" s="834">
        <v>0.77385528191999375</v>
      </c>
      <c r="AF87" s="834">
        <v>0.68382178584202868</v>
      </c>
      <c r="AG87" s="834">
        <v>0.77247864056518112</v>
      </c>
    </row>
    <row r="88" spans="2:33">
      <c r="B88" s="833" t="s">
        <v>950</v>
      </c>
      <c r="C88" s="834">
        <v>1</v>
      </c>
      <c r="D88" s="834">
        <v>1</v>
      </c>
      <c r="E88" s="834">
        <v>1</v>
      </c>
      <c r="F88" s="834"/>
      <c r="G88" s="834">
        <v>1</v>
      </c>
      <c r="H88" s="834">
        <v>1</v>
      </c>
      <c r="I88" s="834">
        <v>1</v>
      </c>
      <c r="J88" s="834">
        <v>1</v>
      </c>
      <c r="K88" s="834">
        <v>1</v>
      </c>
      <c r="L88" s="834">
        <v>1</v>
      </c>
      <c r="M88" s="834">
        <v>1</v>
      </c>
      <c r="N88" s="834">
        <v>1</v>
      </c>
      <c r="O88" s="834">
        <v>1</v>
      </c>
      <c r="P88" s="834">
        <v>1</v>
      </c>
      <c r="Q88" s="834">
        <v>1</v>
      </c>
      <c r="R88" s="834">
        <v>1</v>
      </c>
      <c r="S88" s="834"/>
      <c r="T88" s="834">
        <v>1</v>
      </c>
      <c r="U88" s="834">
        <v>1</v>
      </c>
      <c r="V88" s="834">
        <v>1</v>
      </c>
      <c r="W88" s="834">
        <v>1</v>
      </c>
      <c r="X88" s="834">
        <v>1</v>
      </c>
      <c r="Y88" s="834">
        <v>1</v>
      </c>
      <c r="Z88" s="834"/>
      <c r="AA88" s="834">
        <v>1</v>
      </c>
      <c r="AB88" s="834">
        <v>1</v>
      </c>
      <c r="AC88" s="834">
        <v>1</v>
      </c>
      <c r="AD88" s="834">
        <v>1</v>
      </c>
      <c r="AE88" s="834">
        <v>1</v>
      </c>
      <c r="AF88" s="834">
        <v>1</v>
      </c>
      <c r="AG88" s="834">
        <v>1</v>
      </c>
    </row>
    <row r="89" spans="2:33">
      <c r="B89" s="824"/>
      <c r="C89" s="831"/>
      <c r="D89" s="824"/>
      <c r="E89" s="824"/>
      <c r="F89" s="824"/>
      <c r="G89" s="824"/>
      <c r="H89" s="824"/>
      <c r="I89" s="824"/>
      <c r="J89" s="824"/>
      <c r="K89" s="824"/>
      <c r="L89" s="824"/>
      <c r="M89" s="824"/>
      <c r="N89" s="824"/>
      <c r="O89" s="824"/>
      <c r="P89" s="824"/>
      <c r="Q89" s="824"/>
      <c r="R89" s="824"/>
      <c r="S89" s="824"/>
      <c r="T89" s="824"/>
      <c r="U89" s="824"/>
      <c r="V89" s="824"/>
      <c r="W89" s="824"/>
      <c r="X89" s="824"/>
      <c r="Y89" s="824"/>
      <c r="Z89" s="824"/>
      <c r="AA89" s="824"/>
      <c r="AB89" s="824"/>
      <c r="AC89" s="824"/>
      <c r="AD89" s="824"/>
      <c r="AE89" s="824"/>
      <c r="AF89" s="824"/>
      <c r="AG89" s="824"/>
    </row>
    <row r="90" spans="2:33">
      <c r="B90" s="824"/>
      <c r="C90" s="831"/>
      <c r="D90" s="824"/>
      <c r="E90" s="824"/>
      <c r="F90" s="824"/>
      <c r="G90" s="824"/>
      <c r="H90" s="824"/>
      <c r="I90" s="824"/>
      <c r="J90" s="824"/>
      <c r="K90" s="824"/>
      <c r="L90" s="824"/>
      <c r="M90" s="824"/>
      <c r="N90" s="824"/>
      <c r="O90" s="824"/>
      <c r="P90" s="824"/>
      <c r="Q90" s="824"/>
      <c r="R90" s="824"/>
      <c r="S90" s="824"/>
      <c r="T90" s="824"/>
      <c r="U90" s="824"/>
      <c r="V90" s="824"/>
      <c r="W90" s="824"/>
      <c r="X90" s="824"/>
      <c r="Y90" s="824"/>
      <c r="Z90" s="824"/>
      <c r="AA90" s="824"/>
      <c r="AB90" s="824"/>
      <c r="AC90" s="824"/>
      <c r="AD90" s="824"/>
      <c r="AE90" s="824"/>
      <c r="AF90" s="824"/>
      <c r="AG90" s="824"/>
    </row>
    <row r="91" spans="2:33">
      <c r="B91" s="824" t="s">
        <v>876</v>
      </c>
      <c r="C91" s="831"/>
      <c r="D91" s="824"/>
      <c r="E91" s="824"/>
      <c r="F91" s="824"/>
      <c r="G91" s="824"/>
      <c r="H91" s="824"/>
      <c r="I91" s="824"/>
      <c r="J91" s="824"/>
      <c r="K91" s="824"/>
      <c r="L91" s="824"/>
      <c r="M91" s="824"/>
      <c r="N91" s="824"/>
      <c r="O91" s="824"/>
      <c r="P91" s="824"/>
      <c r="Q91" s="824"/>
      <c r="R91" s="824"/>
      <c r="S91" s="824"/>
      <c r="T91" s="824"/>
      <c r="U91" s="824"/>
      <c r="V91" s="824"/>
      <c r="W91" s="824"/>
      <c r="X91" s="824"/>
      <c r="Y91" s="824"/>
      <c r="Z91" s="824"/>
      <c r="AA91" s="824"/>
      <c r="AB91" s="824"/>
      <c r="AC91" s="824"/>
      <c r="AD91" s="824"/>
      <c r="AE91" s="824"/>
      <c r="AF91" s="824"/>
      <c r="AG91" s="824"/>
    </row>
    <row r="92" spans="2:33">
      <c r="B92" s="824" t="s">
        <v>955</v>
      </c>
      <c r="C92" s="831"/>
      <c r="D92" s="824"/>
      <c r="E92" s="824"/>
      <c r="F92" s="824"/>
      <c r="G92" s="824"/>
      <c r="H92" s="824"/>
      <c r="I92" s="824"/>
      <c r="J92" s="824"/>
      <c r="K92" s="824"/>
      <c r="L92" s="824"/>
      <c r="M92" s="824"/>
      <c r="N92" s="824"/>
      <c r="O92" s="824"/>
      <c r="P92" s="824"/>
      <c r="Q92" s="824"/>
      <c r="R92" s="824"/>
      <c r="S92" s="824"/>
      <c r="T92" s="824"/>
      <c r="U92" s="824"/>
      <c r="V92" s="824"/>
      <c r="W92" s="824"/>
      <c r="X92" s="824"/>
      <c r="Y92" s="824"/>
      <c r="Z92" s="824"/>
      <c r="AA92" s="824"/>
      <c r="AB92" s="824"/>
      <c r="AC92" s="824"/>
      <c r="AD92" s="824"/>
      <c r="AE92" s="824"/>
      <c r="AF92" s="824"/>
      <c r="AG92" s="824"/>
    </row>
    <row r="93" spans="2:33">
      <c r="B93" s="828" t="s">
        <v>531</v>
      </c>
      <c r="C93" s="835">
        <v>0.68102901716236108</v>
      </c>
      <c r="D93" s="835">
        <v>0.64494596241478486</v>
      </c>
      <c r="E93" s="835">
        <v>0.61129568770073539</v>
      </c>
      <c r="F93" s="835"/>
      <c r="G93" s="835">
        <v>0.75646522141308437</v>
      </c>
      <c r="H93" s="835">
        <v>0.604921405186023</v>
      </c>
      <c r="I93" s="835">
        <v>0.72283874374160351</v>
      </c>
      <c r="J93" s="835">
        <v>0.7629763718744621</v>
      </c>
      <c r="K93" s="835">
        <v>0.64211788729594355</v>
      </c>
      <c r="L93" s="835">
        <v>0.63936818397464479</v>
      </c>
      <c r="M93" s="835">
        <v>0.81360442929805932</v>
      </c>
      <c r="N93" s="835">
        <v>0.6763742644500389</v>
      </c>
      <c r="O93" s="835">
        <v>0.69156424515453252</v>
      </c>
      <c r="P93" s="835">
        <v>0.62441745909965307</v>
      </c>
      <c r="Q93" s="835">
        <v>0.59111425112031835</v>
      </c>
      <c r="R93" s="835">
        <v>0.63159998671606976</v>
      </c>
      <c r="S93" s="835"/>
      <c r="T93" s="835">
        <v>0.6342283399579135</v>
      </c>
      <c r="U93" s="835">
        <v>0.60349384652768168</v>
      </c>
      <c r="V93" s="835">
        <v>0.66798672771191059</v>
      </c>
      <c r="W93" s="835">
        <v>0.6260692155644928</v>
      </c>
      <c r="X93" s="835">
        <v>0.82235168420542226</v>
      </c>
      <c r="Y93" s="835">
        <v>0.68431113196095572</v>
      </c>
      <c r="Z93" s="835"/>
      <c r="AA93" s="835">
        <v>0.59635347288427298</v>
      </c>
      <c r="AB93" s="835">
        <v>0.59481978016471204</v>
      </c>
      <c r="AC93" s="835">
        <v>0.54749636463037676</v>
      </c>
      <c r="AD93" s="835">
        <v>0.81424233407204205</v>
      </c>
      <c r="AE93" s="835">
        <v>0.63332501704861621</v>
      </c>
      <c r="AF93" s="835">
        <v>0.62038561645517587</v>
      </c>
      <c r="AG93" s="835">
        <v>0.66778171961373001</v>
      </c>
    </row>
    <row r="94" spans="2:33">
      <c r="B94" s="829" t="s">
        <v>529</v>
      </c>
      <c r="C94" s="835">
        <v>0.67354434263892493</v>
      </c>
      <c r="D94" s="835">
        <v>0.65476049789315927</v>
      </c>
      <c r="E94" s="835">
        <v>0.55446618079422794</v>
      </c>
      <c r="F94" s="835"/>
      <c r="G94" s="835">
        <v>0.58425986998560175</v>
      </c>
      <c r="H94" s="835">
        <v>0.59614202955691042</v>
      </c>
      <c r="I94" s="835">
        <v>0.73146015662419006</v>
      </c>
      <c r="J94" s="835">
        <v>0.76695015985109838</v>
      </c>
      <c r="K94" s="835">
        <v>0.63121594845692053</v>
      </c>
      <c r="L94" s="835">
        <v>0.63348618370444654</v>
      </c>
      <c r="M94" s="835">
        <v>0.82384742959528801</v>
      </c>
      <c r="N94" s="835">
        <v>0.68498274259380254</v>
      </c>
      <c r="O94" s="835">
        <v>0.58586240290691127</v>
      </c>
      <c r="P94" s="835">
        <v>0.5613941599576372</v>
      </c>
      <c r="Q94" s="835">
        <v>0.59253027333221142</v>
      </c>
      <c r="R94" s="835">
        <v>0.63669415205289837</v>
      </c>
      <c r="S94" s="835"/>
      <c r="T94" s="835">
        <v>0.62499833162575269</v>
      </c>
      <c r="U94" s="835">
        <v>0.59874707098642788</v>
      </c>
      <c r="V94" s="835">
        <v>0.67602433632658243</v>
      </c>
      <c r="W94" s="835">
        <v>0.62920060435011482</v>
      </c>
      <c r="X94" s="835">
        <v>0.64740130243118565</v>
      </c>
      <c r="Y94" s="835">
        <v>0.70783876556929504</v>
      </c>
      <c r="Z94" s="835"/>
      <c r="AA94" s="835">
        <v>0.6025694216401819</v>
      </c>
      <c r="AB94" s="835">
        <v>0.57272543767964235</v>
      </c>
      <c r="AC94" s="835">
        <v>0.55961752034303947</v>
      </c>
      <c r="AD94" s="835">
        <v>0.82096283235750434</v>
      </c>
      <c r="AE94" s="835">
        <v>0.62668747837967942</v>
      </c>
      <c r="AF94" s="835">
        <v>0.62789936520916334</v>
      </c>
      <c r="AG94" s="835">
        <v>0.68666768005096479</v>
      </c>
    </row>
    <row r="95" spans="2:33">
      <c r="B95" s="829" t="s">
        <v>942</v>
      </c>
      <c r="C95" s="835">
        <v>0.54600613795780961</v>
      </c>
      <c r="D95" s="835">
        <v>0.52878226954856766</v>
      </c>
      <c r="E95" s="835">
        <v>0.46094291396266146</v>
      </c>
      <c r="F95" s="835"/>
      <c r="G95" s="835" t="e">
        <v>#DIV/0!</v>
      </c>
      <c r="H95" s="835">
        <v>0.4802490790951669</v>
      </c>
      <c r="I95" s="835">
        <v>0.60098541371444991</v>
      </c>
      <c r="J95" s="835" t="e">
        <v>#DIV/0!</v>
      </c>
      <c r="K95" s="835">
        <v>0.50409361605050462</v>
      </c>
      <c r="L95" s="835">
        <v>0.48961426388809098</v>
      </c>
      <c r="M95" s="835">
        <v>0.56804011582666591</v>
      </c>
      <c r="N95" s="835">
        <v>0.55440939882195028</v>
      </c>
      <c r="O95" s="835" t="e">
        <v>#DIV/0!</v>
      </c>
      <c r="P95" s="835">
        <v>0.48670848701628266</v>
      </c>
      <c r="Q95" s="835">
        <v>0.47259924141597154</v>
      </c>
      <c r="R95" s="835">
        <v>0.52008934238238924</v>
      </c>
      <c r="S95" s="835"/>
      <c r="T95" s="835">
        <v>0.51621913129430952</v>
      </c>
      <c r="U95" s="835">
        <v>0.48513940468828792</v>
      </c>
      <c r="V95" s="835">
        <v>0.55027384320458428</v>
      </c>
      <c r="W95" s="835">
        <v>0.49700538148805806</v>
      </c>
      <c r="X95" s="835" t="e">
        <v>#DIV/0!</v>
      </c>
      <c r="Y95" s="835">
        <v>0.56733858532963377</v>
      </c>
      <c r="Z95" s="835"/>
      <c r="AA95" s="835">
        <v>0.50241201973747662</v>
      </c>
      <c r="AB95" s="835" t="e">
        <v>#DIV/0!</v>
      </c>
      <c r="AC95" s="835">
        <v>0.47391948663731565</v>
      </c>
      <c r="AD95" s="835" t="e">
        <v>#DIV/0!</v>
      </c>
      <c r="AE95" s="835">
        <v>0.53792702820037341</v>
      </c>
      <c r="AF95" s="835">
        <v>0.48083370788882057</v>
      </c>
      <c r="AG95" s="835">
        <v>0.53864042905884169</v>
      </c>
    </row>
    <row r="96" spans="2:33">
      <c r="B96" s="829" t="s">
        <v>943</v>
      </c>
      <c r="C96" s="835">
        <v>0.66252050800517082</v>
      </c>
      <c r="D96" s="835">
        <v>0.65496814541388393</v>
      </c>
      <c r="E96" s="835">
        <v>0.57789180560476272</v>
      </c>
      <c r="F96" s="835"/>
      <c r="G96" s="835">
        <v>0.49063162243730518</v>
      </c>
      <c r="H96" s="835" t="e">
        <v>#DIV/0!</v>
      </c>
      <c r="I96" s="835">
        <v>0.70767524597818177</v>
      </c>
      <c r="J96" s="835">
        <v>0.69437053964420492</v>
      </c>
      <c r="K96" s="835" t="e">
        <v>#DIV/0!</v>
      </c>
      <c r="L96" s="835">
        <v>0.61218791734638855</v>
      </c>
      <c r="M96" s="835" t="e">
        <v>#DIV/0!</v>
      </c>
      <c r="N96" s="835">
        <v>0.66633296989117508</v>
      </c>
      <c r="O96" s="835" t="e">
        <v>#DIV/0!</v>
      </c>
      <c r="P96" s="835">
        <v>0.60972996944932967</v>
      </c>
      <c r="Q96" s="835">
        <v>0.5926607088675101</v>
      </c>
      <c r="R96" s="835">
        <v>0.64541988743549117</v>
      </c>
      <c r="S96" s="835"/>
      <c r="T96" s="835">
        <v>0.62887362635634814</v>
      </c>
      <c r="U96" s="835" t="e">
        <v>#DIV/0!</v>
      </c>
      <c r="V96" s="835" t="e">
        <v>#DIV/0!</v>
      </c>
      <c r="W96" s="835" t="e">
        <v>#DIV/0!</v>
      </c>
      <c r="X96" s="835">
        <v>0.52817356295531837</v>
      </c>
      <c r="Y96" s="835" t="e">
        <v>#DIV/0!</v>
      </c>
      <c r="Z96" s="835"/>
      <c r="AA96" s="835" t="e">
        <v>#DIV/0!</v>
      </c>
      <c r="AB96" s="835">
        <v>0.64822983838864401</v>
      </c>
      <c r="AC96" s="835" t="e">
        <v>#DIV/0!</v>
      </c>
      <c r="AD96" s="835" t="e">
        <v>#DIV/0!</v>
      </c>
      <c r="AE96" s="835">
        <v>0.65263107492816785</v>
      </c>
      <c r="AF96" s="835" t="e">
        <v>#DIV/0!</v>
      </c>
      <c r="AG96" s="835">
        <v>0.66401819913274174</v>
      </c>
    </row>
    <row r="97" spans="2:33">
      <c r="B97" s="829" t="s">
        <v>944</v>
      </c>
      <c r="C97" s="835">
        <v>0.64037371510678576</v>
      </c>
      <c r="D97" s="835">
        <v>0.6306309843955894</v>
      </c>
      <c r="E97" s="835">
        <v>0.59874007012964725</v>
      </c>
      <c r="F97" s="835"/>
      <c r="G97" s="835">
        <v>0.47012551119507939</v>
      </c>
      <c r="H97" s="835" t="e">
        <v>#DIV/0!</v>
      </c>
      <c r="I97" s="835">
        <v>0.68619292323169789</v>
      </c>
      <c r="J97" s="835">
        <v>0.65520962813375672</v>
      </c>
      <c r="K97" s="835">
        <v>0.64988314630266131</v>
      </c>
      <c r="L97" s="835">
        <v>0.58674717161670131</v>
      </c>
      <c r="M97" s="835">
        <v>0.64626779325750527</v>
      </c>
      <c r="N97" s="835">
        <v>0.64742393347324856</v>
      </c>
      <c r="O97" s="835">
        <v>0.5810003166109875</v>
      </c>
      <c r="P97" s="835">
        <v>0.58922099232261471</v>
      </c>
      <c r="Q97" s="835" t="e">
        <v>#DIV/0!</v>
      </c>
      <c r="R97" s="835">
        <v>0.63728212621828717</v>
      </c>
      <c r="S97" s="835"/>
      <c r="T97" s="835">
        <v>0.62297185029867153</v>
      </c>
      <c r="U97" s="835">
        <v>0.66259925048346979</v>
      </c>
      <c r="V97" s="835">
        <v>0.64964602701043206</v>
      </c>
      <c r="W97" s="835">
        <v>0.65541123104776566</v>
      </c>
      <c r="X97" s="835" t="e">
        <v>#DIV/0!</v>
      </c>
      <c r="Y97" s="835">
        <v>0.68373399157111048</v>
      </c>
      <c r="Z97" s="835"/>
      <c r="AA97" s="835">
        <v>0.64435150286337217</v>
      </c>
      <c r="AB97" s="835">
        <v>0.65332847009036477</v>
      </c>
      <c r="AC97" s="835">
        <v>0.58913151393006935</v>
      </c>
      <c r="AD97" s="835">
        <v>0.64114936744520146</v>
      </c>
      <c r="AE97" s="835">
        <v>0.6338831997084059</v>
      </c>
      <c r="AF97" s="835" t="e">
        <v>#DIV/0!</v>
      </c>
      <c r="AG97" s="835">
        <v>0.65244700921806598</v>
      </c>
    </row>
    <row r="98" spans="2:33">
      <c r="B98" s="829" t="s">
        <v>526</v>
      </c>
      <c r="C98" s="835">
        <v>0.68033599250582888</v>
      </c>
      <c r="D98" s="835">
        <v>0.66942126825390802</v>
      </c>
      <c r="E98" s="835">
        <v>0.63443282044173432</v>
      </c>
      <c r="F98" s="835"/>
      <c r="G98" s="835" t="e">
        <v>#DIV/0!</v>
      </c>
      <c r="H98" s="835">
        <v>0.62426210749196631</v>
      </c>
      <c r="I98" s="835">
        <v>0.72916076700329424</v>
      </c>
      <c r="J98" s="835">
        <v>0.70777407071166443</v>
      </c>
      <c r="K98" s="835">
        <v>0.66316714536074006</v>
      </c>
      <c r="L98" s="835">
        <v>0.64419915033562958</v>
      </c>
      <c r="M98" s="835">
        <v>0.70057690040152121</v>
      </c>
      <c r="N98" s="835">
        <v>0.6848792307122471</v>
      </c>
      <c r="O98" s="835">
        <v>0.66312211179536862</v>
      </c>
      <c r="P98" s="835">
        <v>0.63324515286987937</v>
      </c>
      <c r="Q98" s="835">
        <v>0.61330429690122235</v>
      </c>
      <c r="R98" s="835">
        <v>0.68043985083533642</v>
      </c>
      <c r="S98" s="835"/>
      <c r="T98" s="835">
        <v>0.6541724687224556</v>
      </c>
      <c r="U98" s="835">
        <v>0.6303101227159974</v>
      </c>
      <c r="V98" s="835">
        <v>0.68837733894342024</v>
      </c>
      <c r="W98" s="835">
        <v>0.66716684278871541</v>
      </c>
      <c r="X98" s="835" t="e">
        <v>#DIV/0!</v>
      </c>
      <c r="Y98" s="835">
        <v>0.69809655784359592</v>
      </c>
      <c r="Z98" s="835"/>
      <c r="AA98" s="835">
        <v>0.65751265103921019</v>
      </c>
      <c r="AB98" s="835">
        <v>0.66773686705282043</v>
      </c>
      <c r="AC98" s="835">
        <v>0.59688103507117085</v>
      </c>
      <c r="AD98" s="835">
        <v>0.65850115316941293</v>
      </c>
      <c r="AE98" s="835">
        <v>0.67099671340362799</v>
      </c>
      <c r="AF98" s="835">
        <v>0.60303673905847599</v>
      </c>
      <c r="AG98" s="835">
        <v>0.67963735146408599</v>
      </c>
    </row>
    <row r="99" spans="2:33">
      <c r="B99" s="829" t="s">
        <v>945</v>
      </c>
      <c r="C99" s="835">
        <v>0.55597639156999534</v>
      </c>
      <c r="D99" s="835">
        <v>0.55298251833536471</v>
      </c>
      <c r="E99" s="835">
        <v>0.47195926450783243</v>
      </c>
      <c r="F99" s="835"/>
      <c r="G99" s="835">
        <v>0.39892049980478944</v>
      </c>
      <c r="H99" s="835">
        <v>0.49203931837071679</v>
      </c>
      <c r="I99" s="835">
        <v>0.62257783918607779</v>
      </c>
      <c r="J99" s="835">
        <v>0.59347018075569191</v>
      </c>
      <c r="K99" s="835">
        <v>0.51354697786564751</v>
      </c>
      <c r="L99" s="835">
        <v>0.4965007693500943</v>
      </c>
      <c r="M99" s="835">
        <v>0.58325625046518548</v>
      </c>
      <c r="N99" s="835">
        <v>0.55999031062290383</v>
      </c>
      <c r="O99" s="835">
        <v>0.48511501090573517</v>
      </c>
      <c r="P99" s="835">
        <v>0.49410645163969763</v>
      </c>
      <c r="Q99" s="835">
        <v>0.49686737772420453</v>
      </c>
      <c r="R99" s="835">
        <v>0.53445995432477611</v>
      </c>
      <c r="S99" s="835"/>
      <c r="T99" s="835">
        <v>0.53806891822925784</v>
      </c>
      <c r="U99" s="835">
        <v>0.48195149614480498</v>
      </c>
      <c r="V99" s="835">
        <v>0.55328608588240236</v>
      </c>
      <c r="W99" s="835">
        <v>0.517028822016115</v>
      </c>
      <c r="X99" s="835">
        <v>0.67821838221365516</v>
      </c>
      <c r="Y99" s="835">
        <v>0.57587339291077388</v>
      </c>
      <c r="Z99" s="835"/>
      <c r="AA99" s="835">
        <v>0.50909787439587217</v>
      </c>
      <c r="AB99" s="835">
        <v>0.51741164039885923</v>
      </c>
      <c r="AC99" s="835">
        <v>0.47574608079785818</v>
      </c>
      <c r="AD99" s="835">
        <v>0.51353806752445719</v>
      </c>
      <c r="AE99" s="835">
        <v>0.55289074771906499</v>
      </c>
      <c r="AF99" s="835">
        <v>0.4807221907681013</v>
      </c>
      <c r="AG99" s="835">
        <v>0.57224504320466918</v>
      </c>
    </row>
    <row r="100" spans="2:33">
      <c r="B100" s="829" t="s">
        <v>532</v>
      </c>
      <c r="C100" s="835" t="e">
        <v>#DIV/0!</v>
      </c>
      <c r="D100" s="835" t="e">
        <v>#DIV/0!</v>
      </c>
      <c r="E100" s="835" t="e">
        <v>#DIV/0!</v>
      </c>
      <c r="F100" s="835"/>
      <c r="G100" s="835">
        <v>0.7268441986287274</v>
      </c>
      <c r="H100" s="835" t="e">
        <v>#DIV/0!</v>
      </c>
      <c r="I100" s="835">
        <v>0.89272722357652989</v>
      </c>
      <c r="J100" s="835" t="e">
        <v>#DIV/0!</v>
      </c>
      <c r="K100" s="835" t="e">
        <v>#DIV/0!</v>
      </c>
      <c r="L100" s="835">
        <v>0.80713342825468992</v>
      </c>
      <c r="M100" s="835" t="e">
        <v>#DIV/0!</v>
      </c>
      <c r="N100" s="835">
        <v>0.83718494520851705</v>
      </c>
      <c r="O100" s="835">
        <v>0.79757710538240034</v>
      </c>
      <c r="P100" s="835" t="e">
        <v>#DIV/0!</v>
      </c>
      <c r="Q100" s="835" t="e">
        <v>#DIV/0!</v>
      </c>
      <c r="R100" s="835" t="e">
        <v>#DIV/0!</v>
      </c>
      <c r="S100" s="835"/>
      <c r="T100" s="835">
        <v>0.79377338728985247</v>
      </c>
      <c r="U100" s="835" t="e">
        <v>#DIV/0!</v>
      </c>
      <c r="V100" s="835" t="e">
        <v>#DIV/0!</v>
      </c>
      <c r="W100" s="835" t="e">
        <v>#DIV/0!</v>
      </c>
      <c r="X100" s="835" t="e">
        <v>#DIV/0!</v>
      </c>
      <c r="Y100" s="835" t="e">
        <v>#DIV/0!</v>
      </c>
      <c r="Z100" s="835"/>
      <c r="AA100" s="835">
        <v>0.81199491255587208</v>
      </c>
      <c r="AB100" s="835" t="e">
        <v>#DIV/0!</v>
      </c>
      <c r="AC100" s="835">
        <v>0.74154860864130501</v>
      </c>
      <c r="AD100" s="835" t="e">
        <v>#DIV/0!</v>
      </c>
      <c r="AE100" s="835">
        <v>0.84154184900857998</v>
      </c>
      <c r="AF100" s="835" t="e">
        <v>#DIV/0!</v>
      </c>
      <c r="AG100" s="835" t="e">
        <v>#DIV/0!</v>
      </c>
    </row>
    <row r="101" spans="2:33">
      <c r="B101" s="829" t="s">
        <v>946</v>
      </c>
      <c r="C101" s="835">
        <v>0.83916539421272995</v>
      </c>
      <c r="D101" s="835">
        <v>0.79375937180928535</v>
      </c>
      <c r="E101" s="835">
        <v>0.69025551648968375</v>
      </c>
      <c r="F101" s="835"/>
      <c r="G101" s="835" t="e">
        <v>#DIV/0!</v>
      </c>
      <c r="H101" s="835">
        <v>0.72427081148229266</v>
      </c>
      <c r="I101" s="835">
        <v>0.90808118695047002</v>
      </c>
      <c r="J101" s="835">
        <v>0.87249058387803391</v>
      </c>
      <c r="K101" s="835">
        <v>0.75698290192849904</v>
      </c>
      <c r="L101" s="835" t="e">
        <v>#DIV/0!</v>
      </c>
      <c r="M101" s="835">
        <v>0.87081258437485753</v>
      </c>
      <c r="N101" s="835">
        <v>0.84188054995816708</v>
      </c>
      <c r="O101" s="835">
        <v>0.73086090101156365</v>
      </c>
      <c r="P101" s="835">
        <v>0.7385182154133445</v>
      </c>
      <c r="Q101" s="835">
        <v>0.7051744024371781</v>
      </c>
      <c r="R101" s="835" t="e">
        <v>#DIV/0!</v>
      </c>
      <c r="S101" s="835"/>
      <c r="T101" s="835">
        <v>0.80513994204272954</v>
      </c>
      <c r="U101" s="835">
        <v>0.72315276909852633</v>
      </c>
      <c r="V101" s="835" t="e">
        <v>#DIV/0!</v>
      </c>
      <c r="W101" s="835">
        <v>0.76374226569085091</v>
      </c>
      <c r="X101" s="835" t="e">
        <v>#DIV/0!</v>
      </c>
      <c r="Y101" s="835">
        <v>0.86113245667315541</v>
      </c>
      <c r="Z101" s="835"/>
      <c r="AA101" s="835">
        <v>0.7610946189991713</v>
      </c>
      <c r="AB101" s="835">
        <v>0.80187813054763546</v>
      </c>
      <c r="AC101" s="835">
        <v>0.68992487358195631</v>
      </c>
      <c r="AD101" s="835">
        <v>0.76127467811845573</v>
      </c>
      <c r="AE101" s="835">
        <v>0.80776384536699042</v>
      </c>
      <c r="AF101" s="835">
        <v>0.69997834197694131</v>
      </c>
      <c r="AG101" s="835">
        <v>0.82231621190054693</v>
      </c>
    </row>
    <row r="102" spans="2:33">
      <c r="B102" s="829" t="s">
        <v>947</v>
      </c>
      <c r="C102" s="835">
        <v>1.6982385550541725</v>
      </c>
      <c r="D102" s="835">
        <v>1.6497196678190345</v>
      </c>
      <c r="E102" s="835">
        <v>1.5508905920437253</v>
      </c>
      <c r="F102" s="835"/>
      <c r="G102" s="835">
        <v>1.6221566852792595</v>
      </c>
      <c r="H102" s="835">
        <v>1.4433886824173219</v>
      </c>
      <c r="I102" s="835">
        <v>2.0756806832257806</v>
      </c>
      <c r="J102" s="835">
        <v>2.0749389158103493</v>
      </c>
      <c r="K102" s="835" t="e">
        <v>#DIV/0!</v>
      </c>
      <c r="L102" s="835">
        <v>1.5871098769494532</v>
      </c>
      <c r="M102" s="835">
        <v>1.724161051538984</v>
      </c>
      <c r="N102" s="835">
        <v>1.7189709001670954</v>
      </c>
      <c r="O102" s="835">
        <v>1.4939918107969228</v>
      </c>
      <c r="P102" s="835">
        <v>1.7067628466784948</v>
      </c>
      <c r="Q102" s="835">
        <v>1.4676779085133815</v>
      </c>
      <c r="R102" s="835">
        <v>1.7053324101362481</v>
      </c>
      <c r="S102" s="835"/>
      <c r="T102" s="835">
        <v>1.9615265758377178</v>
      </c>
      <c r="U102" s="835" t="e">
        <v>#DIV/0!</v>
      </c>
      <c r="V102" s="835">
        <v>1.8082970129615354</v>
      </c>
      <c r="W102" s="835" t="e">
        <v>#DIV/0!</v>
      </c>
      <c r="X102" s="835">
        <v>1.366855031143126</v>
      </c>
      <c r="Y102" s="835">
        <v>1.9089945517629228</v>
      </c>
      <c r="Z102" s="835"/>
      <c r="AA102" s="835">
        <v>1.8019177529058028</v>
      </c>
      <c r="AB102" s="835">
        <v>1.8805007420382045</v>
      </c>
      <c r="AC102" s="835">
        <v>1.649722330403032</v>
      </c>
      <c r="AD102" s="835">
        <v>1.557185518635833</v>
      </c>
      <c r="AE102" s="835">
        <v>1.8274074648393672</v>
      </c>
      <c r="AF102" s="835">
        <v>1.4484869386665638</v>
      </c>
      <c r="AG102" s="835">
        <v>1.6155288404869159</v>
      </c>
    </row>
    <row r="103" spans="2:33">
      <c r="B103" s="833" t="s">
        <v>950</v>
      </c>
      <c r="C103" s="835">
        <v>0.81928900763721191</v>
      </c>
      <c r="D103" s="835">
        <v>0.79900299844352862</v>
      </c>
      <c r="E103" s="835">
        <v>0.73408809575765044</v>
      </c>
      <c r="F103" s="835"/>
      <c r="G103" s="835">
        <v>0.70618228689710782</v>
      </c>
      <c r="H103" s="835">
        <v>0.70582025115896152</v>
      </c>
      <c r="I103" s="835">
        <v>0.86347572459868804</v>
      </c>
      <c r="J103" s="835">
        <v>0.80018749703636471</v>
      </c>
      <c r="K103" s="835">
        <v>0.75698599171100345</v>
      </c>
      <c r="L103" s="835">
        <v>0.71635950787853064</v>
      </c>
      <c r="M103" s="835">
        <v>0.81733074000663331</v>
      </c>
      <c r="N103" s="835">
        <v>0.81671823576041058</v>
      </c>
      <c r="O103" s="835">
        <v>0.72282882147300664</v>
      </c>
      <c r="P103" s="835">
        <v>0.71202455229284112</v>
      </c>
      <c r="Q103" s="835">
        <v>0.72917682462626643</v>
      </c>
      <c r="R103" s="835">
        <v>0.75951434494584313</v>
      </c>
      <c r="S103" s="835"/>
      <c r="T103" s="835">
        <v>0.76164435507238615</v>
      </c>
      <c r="U103" s="835">
        <v>0.72542657031811564</v>
      </c>
      <c r="V103" s="835">
        <v>0.78087502002196951</v>
      </c>
      <c r="W103" s="835">
        <v>0.75951269724745896</v>
      </c>
      <c r="X103" s="835">
        <v>0.67551175099960736</v>
      </c>
      <c r="Y103" s="835">
        <v>0.82446857044229127</v>
      </c>
      <c r="Z103" s="835"/>
      <c r="AA103" s="835">
        <v>0.77572558406601144</v>
      </c>
      <c r="AB103" s="835">
        <v>0.74814388647734709</v>
      </c>
      <c r="AC103" s="835">
        <v>0.72440504092705404</v>
      </c>
      <c r="AD103" s="835">
        <v>0.72971725971827728</v>
      </c>
      <c r="AE103" s="835">
        <v>0.77385528191999375</v>
      </c>
      <c r="AF103" s="835">
        <v>0.68382178584202868</v>
      </c>
      <c r="AG103" s="835">
        <v>0.77247864056518112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7"/>
  <dimension ref="A1:AN193"/>
  <sheetViews>
    <sheetView zoomScale="115" zoomScaleNormal="115" workbookViewId="0">
      <selection activeCell="D27" sqref="D27"/>
    </sheetView>
  </sheetViews>
  <sheetFormatPr defaultColWidth="9.109375" defaultRowHeight="14.4"/>
  <cols>
    <col min="2" max="2" width="24.44140625" bestFit="1" customWidth="1"/>
    <col min="3" max="3" width="31.33203125" customWidth="1"/>
    <col min="4" max="4" width="9.5546875" customWidth="1"/>
    <col min="5" max="9" width="6.6640625" customWidth="1"/>
    <col min="10" max="10" width="12" customWidth="1"/>
    <col min="11" max="14" width="6.6640625" customWidth="1"/>
    <col min="15" max="15" width="12.88671875" customWidth="1"/>
    <col min="16" max="20" width="6.6640625" customWidth="1"/>
    <col min="21" max="21" width="7.109375" bestFit="1" customWidth="1"/>
    <col min="22" max="33" width="6.6640625" customWidth="1"/>
    <col min="34" max="34" width="7.109375" bestFit="1" customWidth="1"/>
    <col min="35" max="40" width="6.6640625" customWidth="1"/>
  </cols>
  <sheetData>
    <row r="1" spans="1:40" ht="21">
      <c r="A1" s="3" t="s">
        <v>692</v>
      </c>
      <c r="B1" s="606"/>
      <c r="C1" s="606"/>
    </row>
    <row r="2" spans="1:40">
      <c r="A2" t="s">
        <v>693</v>
      </c>
      <c r="B2" s="606"/>
      <c r="C2" s="606"/>
    </row>
    <row r="3" spans="1:40">
      <c r="A3">
        <v>1</v>
      </c>
      <c r="B3" t="s">
        <v>687</v>
      </c>
      <c r="D3" s="247" t="s">
        <v>88</v>
      </c>
      <c r="E3" s="248" t="s">
        <v>89</v>
      </c>
      <c r="F3" s="248" t="s">
        <v>90</v>
      </c>
      <c r="G3" s="248" t="s">
        <v>91</v>
      </c>
      <c r="H3" s="248" t="s">
        <v>92</v>
      </c>
      <c r="I3" s="248" t="s">
        <v>93</v>
      </c>
      <c r="J3" s="248" t="s">
        <v>94</v>
      </c>
      <c r="K3" s="248" t="s">
        <v>95</v>
      </c>
      <c r="L3" s="248" t="s">
        <v>96</v>
      </c>
      <c r="M3" s="248" t="s">
        <v>97</v>
      </c>
      <c r="N3" s="248" t="s">
        <v>98</v>
      </c>
      <c r="O3" s="248" t="s">
        <v>99</v>
      </c>
      <c r="P3" s="248" t="s">
        <v>205</v>
      </c>
      <c r="Q3" s="248" t="s">
        <v>118</v>
      </c>
      <c r="R3" s="248" t="s">
        <v>100</v>
      </c>
      <c r="S3" s="248" t="s">
        <v>101</v>
      </c>
      <c r="T3" s="248" t="s">
        <v>102</v>
      </c>
      <c r="U3" s="248" t="s">
        <v>103</v>
      </c>
      <c r="V3" s="248" t="s">
        <v>104</v>
      </c>
      <c r="W3" s="248" t="s">
        <v>105</v>
      </c>
      <c r="X3" s="248" t="s">
        <v>106</v>
      </c>
      <c r="Y3" s="248" t="s">
        <v>107</v>
      </c>
      <c r="Z3" s="248" t="s">
        <v>108</v>
      </c>
      <c r="AA3" s="248" t="s">
        <v>109</v>
      </c>
      <c r="AB3" s="248" t="s">
        <v>110</v>
      </c>
      <c r="AC3" s="248" t="s">
        <v>111</v>
      </c>
      <c r="AD3" s="248" t="s">
        <v>112</v>
      </c>
      <c r="AE3" s="248" t="s">
        <v>113</v>
      </c>
      <c r="AF3" s="248" t="s">
        <v>114</v>
      </c>
      <c r="AG3" s="248" t="s">
        <v>115</v>
      </c>
      <c r="AH3" s="248" t="s">
        <v>52</v>
      </c>
      <c r="AI3" s="248" t="s">
        <v>116</v>
      </c>
      <c r="AJ3" s="248" t="s">
        <v>117</v>
      </c>
      <c r="AK3" s="248" t="s">
        <v>119</v>
      </c>
      <c r="AL3" s="248" t="s">
        <v>120</v>
      </c>
      <c r="AM3" s="248" t="s">
        <v>121</v>
      </c>
      <c r="AN3" s="249" t="s">
        <v>122</v>
      </c>
    </row>
    <row r="4" spans="1:40">
      <c r="A4">
        <v>2</v>
      </c>
      <c r="B4" s="608" t="s">
        <v>524</v>
      </c>
      <c r="C4" s="609" t="s">
        <v>525</v>
      </c>
      <c r="D4" s="620">
        <v>288.5</v>
      </c>
      <c r="E4" s="621">
        <v>401.73999999999995</v>
      </c>
      <c r="F4" s="621">
        <v>217.52000000000004</v>
      </c>
      <c r="G4" s="622">
        <f>G67/(41.868/1000)</f>
        <v>384.67289421174485</v>
      </c>
      <c r="H4" s="621">
        <v>43.25</v>
      </c>
      <c r="I4" s="621">
        <v>384.11</v>
      </c>
      <c r="J4" s="621">
        <v>3403.9099999999994</v>
      </c>
      <c r="K4" s="621">
        <v>219.3</v>
      </c>
      <c r="L4" s="621">
        <v>59.790000000000006</v>
      </c>
      <c r="M4" s="621">
        <v>1588.09</v>
      </c>
      <c r="N4" s="621">
        <v>187.94</v>
      </c>
      <c r="O4" s="621">
        <v>3305.88</v>
      </c>
      <c r="P4" s="621">
        <v>508.34</v>
      </c>
      <c r="Q4" s="621">
        <v>153.31</v>
      </c>
      <c r="R4" s="621">
        <v>395.14000000000004</v>
      </c>
      <c r="S4" s="621">
        <v>133.37</v>
      </c>
      <c r="T4" s="622">
        <f>T67/(41.868/1000)</f>
        <v>7.586419609838603</v>
      </c>
      <c r="U4" s="621">
        <v>2431.36</v>
      </c>
      <c r="V4" s="621">
        <v>105.04</v>
      </c>
      <c r="W4" s="621">
        <v>18.62</v>
      </c>
      <c r="X4" s="621">
        <v>69.03</v>
      </c>
      <c r="Y4" s="621">
        <v>11.66</v>
      </c>
      <c r="Z4" s="621">
        <v>685.94</v>
      </c>
      <c r="AA4" s="622">
        <f>AA67/(41.868/1000)</f>
        <v>313.32186856214469</v>
      </c>
      <c r="AB4" s="621">
        <v>1454.72</v>
      </c>
      <c r="AC4" s="621">
        <v>972.6</v>
      </c>
      <c r="AD4" s="621">
        <v>715.67</v>
      </c>
      <c r="AE4" s="621">
        <v>312.7</v>
      </c>
      <c r="AF4" s="621">
        <v>66.19</v>
      </c>
      <c r="AG4" s="621">
        <v>154.36000000000001</v>
      </c>
      <c r="AH4" s="621">
        <v>1612.3599999999997</v>
      </c>
      <c r="AI4" s="622">
        <f t="shared" ref="AI4:AN19" si="0">AI67/(41.868/1000)</f>
        <v>114.23852443834367</v>
      </c>
      <c r="AJ4" s="622">
        <f t="shared" si="0"/>
        <v>62.986109503891484</v>
      </c>
      <c r="AK4" s="622">
        <f t="shared" si="0"/>
        <v>44.031448427044758</v>
      </c>
      <c r="AL4" s="622">
        <f t="shared" si="0"/>
        <v>47.785716758587611</v>
      </c>
      <c r="AM4" s="622">
        <f t="shared" si="0"/>
        <v>220.05074218225465</v>
      </c>
      <c r="AN4" s="623">
        <f t="shared" si="0"/>
        <v>34.919435491619836</v>
      </c>
    </row>
    <row r="5" spans="1:40">
      <c r="A5">
        <v>3</v>
      </c>
      <c r="B5" s="610"/>
      <c r="C5" s="611" t="s">
        <v>526</v>
      </c>
      <c r="D5" s="624">
        <v>20.09</v>
      </c>
      <c r="E5" s="488">
        <v>0</v>
      </c>
      <c r="F5" s="488">
        <v>17.72</v>
      </c>
      <c r="G5" s="209">
        <f t="shared" ref="G5:G30" si="1">G68/(41.868/1000)</f>
        <v>0</v>
      </c>
      <c r="H5" s="488">
        <v>0</v>
      </c>
      <c r="I5" s="488">
        <v>16.54</v>
      </c>
      <c r="J5" s="488">
        <v>0</v>
      </c>
      <c r="K5" s="488">
        <v>0</v>
      </c>
      <c r="L5" s="488">
        <v>5.9</v>
      </c>
      <c r="M5" s="488">
        <v>27.29</v>
      </c>
      <c r="N5" s="488">
        <v>0</v>
      </c>
      <c r="O5" s="488">
        <v>0</v>
      </c>
      <c r="P5" s="488">
        <v>37.25</v>
      </c>
      <c r="Q5" s="488">
        <v>0</v>
      </c>
      <c r="R5" s="488">
        <v>14.4</v>
      </c>
      <c r="S5" s="488">
        <v>0</v>
      </c>
      <c r="T5" s="209">
        <f t="shared" ref="T5:T30" si="2">T68/(41.868/1000)</f>
        <v>0</v>
      </c>
      <c r="U5" s="488">
        <v>0</v>
      </c>
      <c r="V5" s="488">
        <v>17.68</v>
      </c>
      <c r="W5" s="488">
        <v>0</v>
      </c>
      <c r="X5" s="488">
        <v>22.59</v>
      </c>
      <c r="Y5" s="488">
        <v>0</v>
      </c>
      <c r="Z5" s="488">
        <v>0</v>
      </c>
      <c r="AA5" s="209">
        <f t="shared" ref="AA5:AA30" si="3">AA68/(41.868/1000)</f>
        <v>0</v>
      </c>
      <c r="AB5" s="488">
        <v>55.1</v>
      </c>
      <c r="AC5" s="488">
        <v>272.69</v>
      </c>
      <c r="AD5" s="488">
        <v>255.95000000000002</v>
      </c>
      <c r="AE5" s="488">
        <v>0</v>
      </c>
      <c r="AF5" s="488">
        <v>10.6</v>
      </c>
      <c r="AG5" s="488">
        <v>0</v>
      </c>
      <c r="AH5" s="488">
        <v>0</v>
      </c>
      <c r="AI5" s="209">
        <f t="shared" si="0"/>
        <v>11.070125009311457</v>
      </c>
      <c r="AJ5" s="209">
        <f t="shared" si="0"/>
        <v>0</v>
      </c>
      <c r="AK5" s="209">
        <f t="shared" si="0"/>
        <v>13.857913469225938</v>
      </c>
      <c r="AL5" s="209">
        <f t="shared" si="0"/>
        <v>0</v>
      </c>
      <c r="AM5" s="209">
        <f t="shared" si="0"/>
        <v>0</v>
      </c>
      <c r="AN5" s="210">
        <f t="shared" si="0"/>
        <v>0</v>
      </c>
    </row>
    <row r="6" spans="1:40">
      <c r="A6">
        <v>4</v>
      </c>
      <c r="B6" s="610"/>
      <c r="C6" s="611" t="s">
        <v>510</v>
      </c>
      <c r="D6" s="624">
        <v>223.9</v>
      </c>
      <c r="E6" s="488">
        <v>247.33999999999997</v>
      </c>
      <c r="F6" s="488">
        <v>165.69</v>
      </c>
      <c r="G6" s="209">
        <f t="shared" si="1"/>
        <v>380.79722953112605</v>
      </c>
      <c r="H6" s="488">
        <v>11.05</v>
      </c>
      <c r="I6" s="488">
        <v>252.53</v>
      </c>
      <c r="J6" s="488">
        <v>2897.85</v>
      </c>
      <c r="K6" s="488">
        <v>197.17</v>
      </c>
      <c r="L6" s="488">
        <v>48.27</v>
      </c>
      <c r="M6" s="488">
        <v>690.42</v>
      </c>
      <c r="N6" s="488">
        <v>183.69</v>
      </c>
      <c r="O6" s="488">
        <v>2119.98</v>
      </c>
      <c r="P6" s="488">
        <v>427.38</v>
      </c>
      <c r="Q6" s="488">
        <v>89.15</v>
      </c>
      <c r="R6" s="488">
        <v>135.41</v>
      </c>
      <c r="S6" s="488">
        <v>85.52</v>
      </c>
      <c r="T6" s="209">
        <f t="shared" si="2"/>
        <v>7.215031060716413</v>
      </c>
      <c r="U6" s="488">
        <v>433.23</v>
      </c>
      <c r="V6" s="488">
        <v>57.030000000000008</v>
      </c>
      <c r="W6" s="488">
        <v>10.9</v>
      </c>
      <c r="X6" s="488">
        <v>25.379999999999995</v>
      </c>
      <c r="Y6" s="488">
        <v>3.46</v>
      </c>
      <c r="Z6" s="488">
        <v>353.54500000000002</v>
      </c>
      <c r="AA6" s="209">
        <f t="shared" si="3"/>
        <v>308.78347943282557</v>
      </c>
      <c r="AB6" s="488">
        <v>635.73</v>
      </c>
      <c r="AC6" s="488">
        <v>258.41000000000003</v>
      </c>
      <c r="AD6" s="488">
        <v>58.65</v>
      </c>
      <c r="AE6" s="488">
        <v>309.22000000000003</v>
      </c>
      <c r="AF6" s="488">
        <v>28.7</v>
      </c>
      <c r="AG6" s="488">
        <v>79.48</v>
      </c>
      <c r="AH6" s="488">
        <v>706.01</v>
      </c>
      <c r="AI6" s="209">
        <f t="shared" si="0"/>
        <v>61.018116760793305</v>
      </c>
      <c r="AJ6" s="209">
        <f t="shared" si="0"/>
        <v>60.931421787172461</v>
      </c>
      <c r="AK6" s="209">
        <f t="shared" si="0"/>
        <v>30.173534957818816</v>
      </c>
      <c r="AL6" s="209">
        <f t="shared" si="0"/>
        <v>43.335348912211778</v>
      </c>
      <c r="AM6" s="209">
        <f t="shared" si="0"/>
        <v>196.29918939338685</v>
      </c>
      <c r="AN6" s="210">
        <f t="shared" si="0"/>
        <v>30.056800790116547</v>
      </c>
    </row>
    <row r="7" spans="1:40">
      <c r="A7">
        <v>5</v>
      </c>
      <c r="B7" s="610"/>
      <c r="C7" s="611" t="s">
        <v>527</v>
      </c>
      <c r="D7" s="624">
        <v>28.2</v>
      </c>
      <c r="E7" s="488">
        <v>129.91</v>
      </c>
      <c r="F7" s="488">
        <v>4.25</v>
      </c>
      <c r="G7" s="209">
        <f t="shared" si="1"/>
        <v>3.8756646806188528</v>
      </c>
      <c r="H7" s="488">
        <v>0</v>
      </c>
      <c r="I7" s="488">
        <v>112.88000000000001</v>
      </c>
      <c r="J7" s="488">
        <v>77.040000000000006</v>
      </c>
      <c r="K7" s="488">
        <v>10.06</v>
      </c>
      <c r="L7" s="488">
        <v>2.4300000000000002</v>
      </c>
      <c r="M7" s="488">
        <v>558.01</v>
      </c>
      <c r="N7" s="488">
        <v>0.8899999999999999</v>
      </c>
      <c r="O7" s="488">
        <v>605.54999999999995</v>
      </c>
      <c r="P7" s="488">
        <v>17.59</v>
      </c>
      <c r="Q7" s="488">
        <v>28.479999999999997</v>
      </c>
      <c r="R7" s="488">
        <v>187.47</v>
      </c>
      <c r="S7" s="488">
        <v>30.459999999999997</v>
      </c>
      <c r="T7" s="209">
        <f t="shared" si="2"/>
        <v>0</v>
      </c>
      <c r="U7" s="488">
        <v>1543.57</v>
      </c>
      <c r="V7" s="488">
        <v>6.79</v>
      </c>
      <c r="W7" s="488">
        <v>6.4699999999999989</v>
      </c>
      <c r="X7" s="488">
        <v>5.95</v>
      </c>
      <c r="Y7" s="488">
        <v>0</v>
      </c>
      <c r="Z7" s="488">
        <v>310.36</v>
      </c>
      <c r="AA7" s="209">
        <f t="shared" si="3"/>
        <v>7.3652875741486629E-2</v>
      </c>
      <c r="AB7" s="488">
        <v>204.26000000000002</v>
      </c>
      <c r="AC7" s="488">
        <v>87.53</v>
      </c>
      <c r="AD7" s="488">
        <v>201.83</v>
      </c>
      <c r="AE7" s="488">
        <v>3.4800000000000004</v>
      </c>
      <c r="AF7" s="488">
        <v>6.95</v>
      </c>
      <c r="AG7" s="488">
        <v>66.5</v>
      </c>
      <c r="AH7" s="488">
        <v>835.17</v>
      </c>
      <c r="AI7" s="209">
        <f t="shared" si="0"/>
        <v>0</v>
      </c>
      <c r="AJ7" s="209">
        <f t="shared" si="0"/>
        <v>2.0546877167190183</v>
      </c>
      <c r="AK7" s="209">
        <f t="shared" si="0"/>
        <v>0</v>
      </c>
      <c r="AL7" s="209">
        <f t="shared" si="0"/>
        <v>0</v>
      </c>
      <c r="AM7" s="209">
        <f t="shared" si="0"/>
        <v>10.252456019694552</v>
      </c>
      <c r="AN7" s="210">
        <f t="shared" si="0"/>
        <v>0</v>
      </c>
    </row>
    <row r="8" spans="1:40">
      <c r="A8">
        <v>6</v>
      </c>
      <c r="B8" s="610"/>
      <c r="C8" s="611" t="s">
        <v>528</v>
      </c>
      <c r="D8" s="624">
        <v>15.719999999999999</v>
      </c>
      <c r="E8" s="488">
        <v>24.499999999999996</v>
      </c>
      <c r="F8" s="488">
        <v>20.16</v>
      </c>
      <c r="G8" s="209">
        <f t="shared" si="1"/>
        <v>0</v>
      </c>
      <c r="H8" s="488">
        <v>32.19</v>
      </c>
      <c r="I8" s="488">
        <v>2.15</v>
      </c>
      <c r="J8" s="488">
        <v>429.02</v>
      </c>
      <c r="K8" s="488">
        <v>12.07</v>
      </c>
      <c r="L8" s="488">
        <v>3.19</v>
      </c>
      <c r="M8" s="488">
        <v>298.62</v>
      </c>
      <c r="N8" s="488">
        <v>3.3599999999999994</v>
      </c>
      <c r="O8" s="488">
        <v>580.34</v>
      </c>
      <c r="P8" s="488">
        <v>26.12</v>
      </c>
      <c r="Q8" s="488">
        <v>35.69</v>
      </c>
      <c r="R8" s="488">
        <v>57.180000000000007</v>
      </c>
      <c r="S8" s="488">
        <v>17.39</v>
      </c>
      <c r="T8" s="209">
        <f t="shared" si="2"/>
        <v>0.37138854912219077</v>
      </c>
      <c r="U8" s="488">
        <v>454.56</v>
      </c>
      <c r="V8" s="488">
        <v>23.53</v>
      </c>
      <c r="W8" s="488">
        <v>1.24</v>
      </c>
      <c r="X8" s="488">
        <v>15.109999999999998</v>
      </c>
      <c r="Y8" s="488">
        <v>8.19</v>
      </c>
      <c r="Z8" s="488">
        <v>22.035</v>
      </c>
      <c r="AA8" s="209">
        <f t="shared" si="3"/>
        <v>4.4647362535776418</v>
      </c>
      <c r="AB8" s="488">
        <v>391.39</v>
      </c>
      <c r="AC8" s="488">
        <v>353.97</v>
      </c>
      <c r="AD8" s="488">
        <v>199.25</v>
      </c>
      <c r="AE8" s="488">
        <v>0</v>
      </c>
      <c r="AF8" s="488">
        <v>19.95</v>
      </c>
      <c r="AG8" s="488">
        <v>8.3699999999999992</v>
      </c>
      <c r="AH8" s="488">
        <v>71.180000000000007</v>
      </c>
      <c r="AI8" s="209">
        <f t="shared" si="0"/>
        <v>42.150282668238908</v>
      </c>
      <c r="AJ8" s="209">
        <f t="shared" si="0"/>
        <v>0</v>
      </c>
      <c r="AK8" s="209">
        <f t="shared" si="0"/>
        <v>0</v>
      </c>
      <c r="AL8" s="209">
        <f t="shared" si="0"/>
        <v>4.4503678463758352</v>
      </c>
      <c r="AM8" s="209">
        <f t="shared" si="0"/>
        <v>13.499096769173256</v>
      </c>
      <c r="AN8" s="210">
        <f t="shared" si="0"/>
        <v>4.8626347015032882</v>
      </c>
    </row>
    <row r="9" spans="1:40">
      <c r="A9">
        <v>7</v>
      </c>
      <c r="B9" s="612"/>
      <c r="C9" s="613" t="s">
        <v>529</v>
      </c>
      <c r="D9" s="625">
        <v>0.57999999999999996</v>
      </c>
      <c r="E9" s="626">
        <v>0</v>
      </c>
      <c r="F9" s="626">
        <v>9.6999999999999993</v>
      </c>
      <c r="G9" s="627">
        <f t="shared" si="1"/>
        <v>0</v>
      </c>
      <c r="H9" s="626">
        <v>0</v>
      </c>
      <c r="I9" s="626">
        <v>0</v>
      </c>
      <c r="J9" s="626">
        <v>0</v>
      </c>
      <c r="K9" s="626">
        <v>0</v>
      </c>
      <c r="L9" s="626">
        <v>0</v>
      </c>
      <c r="M9" s="626">
        <v>13.76</v>
      </c>
      <c r="N9" s="626">
        <v>0</v>
      </c>
      <c r="O9" s="626">
        <v>0</v>
      </c>
      <c r="P9" s="626">
        <v>0</v>
      </c>
      <c r="Q9" s="626">
        <v>0</v>
      </c>
      <c r="R9" s="626">
        <v>0.68</v>
      </c>
      <c r="S9" s="626">
        <v>0</v>
      </c>
      <c r="T9" s="627">
        <f t="shared" si="2"/>
        <v>0</v>
      </c>
      <c r="U9" s="626">
        <v>0</v>
      </c>
      <c r="V9" s="626">
        <v>0</v>
      </c>
      <c r="W9" s="626">
        <v>0</v>
      </c>
      <c r="X9" s="626">
        <v>0</v>
      </c>
      <c r="Y9" s="626">
        <v>0</v>
      </c>
      <c r="Z9" s="626">
        <v>0</v>
      </c>
      <c r="AA9" s="627">
        <f t="shared" si="3"/>
        <v>0</v>
      </c>
      <c r="AB9" s="626">
        <v>168.24</v>
      </c>
      <c r="AC9" s="626">
        <v>0</v>
      </c>
      <c r="AD9" s="626">
        <v>0</v>
      </c>
      <c r="AE9" s="626">
        <v>0</v>
      </c>
      <c r="AF9" s="626">
        <v>0</v>
      </c>
      <c r="AG9" s="626">
        <v>0</v>
      </c>
      <c r="AH9" s="626">
        <v>0</v>
      </c>
      <c r="AI9" s="627">
        <f t="shared" si="0"/>
        <v>0</v>
      </c>
      <c r="AJ9" s="627">
        <f t="shared" si="0"/>
        <v>0</v>
      </c>
      <c r="AK9" s="627">
        <f t="shared" si="0"/>
        <v>0</v>
      </c>
      <c r="AL9" s="627">
        <f t="shared" si="0"/>
        <v>0</v>
      </c>
      <c r="AM9" s="627">
        <f t="shared" si="0"/>
        <v>0</v>
      </c>
      <c r="AN9" s="628">
        <f t="shared" si="0"/>
        <v>0</v>
      </c>
    </row>
    <row r="10" spans="1:40">
      <c r="A10">
        <v>8</v>
      </c>
      <c r="B10" s="614" t="s">
        <v>530</v>
      </c>
      <c r="C10" s="615" t="s">
        <v>525</v>
      </c>
      <c r="D10" s="620">
        <v>7.9299999999999988</v>
      </c>
      <c r="E10" s="621">
        <v>37.04</v>
      </c>
      <c r="F10" s="621">
        <v>9.01</v>
      </c>
      <c r="G10" s="622">
        <f t="shared" si="1"/>
        <v>10.040794488490896</v>
      </c>
      <c r="H10" s="621">
        <v>25.480000000000004</v>
      </c>
      <c r="I10" s="621">
        <v>1.94</v>
      </c>
      <c r="J10" s="621">
        <v>76.41</v>
      </c>
      <c r="K10" s="621">
        <v>4.96</v>
      </c>
      <c r="L10" s="621">
        <v>4.9999999999999996E-2</v>
      </c>
      <c r="M10" s="621">
        <v>145.99</v>
      </c>
      <c r="N10" s="621">
        <v>1.67</v>
      </c>
      <c r="O10" s="621">
        <v>411.44</v>
      </c>
      <c r="P10" s="621">
        <v>59.900000000000006</v>
      </c>
      <c r="Q10" s="621">
        <v>54.459999999999994</v>
      </c>
      <c r="R10" s="621">
        <v>2.1800000000000002</v>
      </c>
      <c r="S10" s="621">
        <v>2.6</v>
      </c>
      <c r="T10" s="622">
        <f t="shared" si="2"/>
        <v>6.5594762215669927E-2</v>
      </c>
      <c r="U10" s="621">
        <v>309.19</v>
      </c>
      <c r="V10" s="621">
        <v>0.09</v>
      </c>
      <c r="W10" s="621">
        <v>5.22</v>
      </c>
      <c r="X10" s="621">
        <v>0.01</v>
      </c>
      <c r="Y10" s="621">
        <v>6.41</v>
      </c>
      <c r="Z10" s="621">
        <v>37.534999999999997</v>
      </c>
      <c r="AA10" s="622">
        <f t="shared" si="3"/>
        <v>2.8072753587719457</v>
      </c>
      <c r="AB10" s="621">
        <v>3.57</v>
      </c>
      <c r="AC10" s="621">
        <v>16.07</v>
      </c>
      <c r="AD10" s="621">
        <v>3.81</v>
      </c>
      <c r="AE10" s="621">
        <v>5.6</v>
      </c>
      <c r="AF10" s="621">
        <v>3.41</v>
      </c>
      <c r="AG10" s="621">
        <v>2.0699999999999998</v>
      </c>
      <c r="AH10" s="621">
        <v>26.590000000000003</v>
      </c>
      <c r="AI10" s="622">
        <f t="shared" si="0"/>
        <v>8.5520735504036658</v>
      </c>
      <c r="AJ10" s="622">
        <f t="shared" si="0"/>
        <v>37.221819747946292</v>
      </c>
      <c r="AK10" s="622">
        <f t="shared" si="0"/>
        <v>4.2290110533327425</v>
      </c>
      <c r="AL10" s="622">
        <f t="shared" si="0"/>
        <v>26.472721276040982</v>
      </c>
      <c r="AM10" s="622">
        <f t="shared" si="0"/>
        <v>119.91535450772683</v>
      </c>
      <c r="AN10" s="623">
        <f t="shared" si="0"/>
        <v>18.361114649800861</v>
      </c>
    </row>
    <row r="11" spans="1:40">
      <c r="A11">
        <v>9</v>
      </c>
      <c r="B11" s="612"/>
      <c r="C11" s="613" t="s">
        <v>510</v>
      </c>
      <c r="D11" s="625">
        <v>7.9299999999999988</v>
      </c>
      <c r="E11" s="626">
        <v>37.04</v>
      </c>
      <c r="F11" s="626">
        <v>9.01</v>
      </c>
      <c r="G11" s="627">
        <f t="shared" si="1"/>
        <v>10.040794488490896</v>
      </c>
      <c r="H11" s="626">
        <v>25.480000000000004</v>
      </c>
      <c r="I11" s="626">
        <v>1.94</v>
      </c>
      <c r="J11" s="626">
        <v>76.41</v>
      </c>
      <c r="K11" s="626">
        <v>4.96</v>
      </c>
      <c r="L11" s="626">
        <v>4.9999999999999996E-2</v>
      </c>
      <c r="M11" s="626">
        <v>145.99</v>
      </c>
      <c r="N11" s="626">
        <v>1.67</v>
      </c>
      <c r="O11" s="626">
        <v>411.44</v>
      </c>
      <c r="P11" s="626">
        <v>59.900000000000006</v>
      </c>
      <c r="Q11" s="626">
        <v>54.459999999999994</v>
      </c>
      <c r="R11" s="626">
        <v>2.1800000000000002</v>
      </c>
      <c r="S11" s="626">
        <v>2.6</v>
      </c>
      <c r="T11" s="627">
        <f t="shared" si="2"/>
        <v>6.5594762215669927E-2</v>
      </c>
      <c r="U11" s="626">
        <v>309.19</v>
      </c>
      <c r="V11" s="626">
        <v>0.09</v>
      </c>
      <c r="W11" s="626">
        <v>5.22</v>
      </c>
      <c r="X11" s="626">
        <v>0.01</v>
      </c>
      <c r="Y11" s="626">
        <v>6.41</v>
      </c>
      <c r="Z11" s="626">
        <v>37.534999999999997</v>
      </c>
      <c r="AA11" s="627">
        <f t="shared" si="3"/>
        <v>2.8072753587719457</v>
      </c>
      <c r="AB11" s="626">
        <v>3.57</v>
      </c>
      <c r="AC11" s="626">
        <v>16.07</v>
      </c>
      <c r="AD11" s="626">
        <v>3.81</v>
      </c>
      <c r="AE11" s="626">
        <v>5.6</v>
      </c>
      <c r="AF11" s="626">
        <v>3.41</v>
      </c>
      <c r="AG11" s="626">
        <v>2.0699999999999998</v>
      </c>
      <c r="AH11" s="626">
        <v>26.590000000000003</v>
      </c>
      <c r="AI11" s="627">
        <f t="shared" si="0"/>
        <v>8.5520735504036658</v>
      </c>
      <c r="AJ11" s="627">
        <f t="shared" si="0"/>
        <v>37.221819747946292</v>
      </c>
      <c r="AK11" s="627">
        <f t="shared" si="0"/>
        <v>4.2290110533327425</v>
      </c>
      <c r="AL11" s="627">
        <f t="shared" si="0"/>
        <v>26.472721276040982</v>
      </c>
      <c r="AM11" s="627">
        <f t="shared" si="0"/>
        <v>119.91535450772683</v>
      </c>
      <c r="AN11" s="628">
        <f t="shared" si="0"/>
        <v>18.361114649800861</v>
      </c>
    </row>
    <row r="12" spans="1:40">
      <c r="A12">
        <v>10</v>
      </c>
      <c r="B12" s="614" t="s">
        <v>531</v>
      </c>
      <c r="C12" s="615" t="s">
        <v>525</v>
      </c>
      <c r="D12" s="620">
        <v>4927.3</v>
      </c>
      <c r="E12" s="621">
        <v>6347.3899999999994</v>
      </c>
      <c r="F12" s="621">
        <v>1223.26</v>
      </c>
      <c r="G12" s="622">
        <f t="shared" si="1"/>
        <v>4361.4554485241924</v>
      </c>
      <c r="H12" s="621">
        <v>138.01</v>
      </c>
      <c r="I12" s="621">
        <v>5149.33</v>
      </c>
      <c r="J12" s="621">
        <v>43822.400000000001</v>
      </c>
      <c r="K12" s="621">
        <v>3490.61</v>
      </c>
      <c r="L12" s="621">
        <v>730.25</v>
      </c>
      <c r="M12" s="621">
        <v>8241.18</v>
      </c>
      <c r="N12" s="621">
        <v>4380.51</v>
      </c>
      <c r="O12" s="621">
        <v>30528.400000000001</v>
      </c>
      <c r="P12" s="621">
        <v>2839.08</v>
      </c>
      <c r="Q12" s="621">
        <v>1146.92</v>
      </c>
      <c r="R12" s="621">
        <v>4261.21</v>
      </c>
      <c r="S12" s="621">
        <v>2172.9499999999998</v>
      </c>
      <c r="T12" s="622">
        <f t="shared" si="2"/>
        <v>363.77658992068086</v>
      </c>
      <c r="U12" s="621">
        <v>19704.2</v>
      </c>
      <c r="V12" s="621">
        <v>1125.6600000000001</v>
      </c>
      <c r="W12" s="621">
        <v>366.84</v>
      </c>
      <c r="X12" s="621">
        <v>1088.94</v>
      </c>
      <c r="Y12" s="621">
        <v>3.33</v>
      </c>
      <c r="Z12" s="621">
        <v>7658.18</v>
      </c>
      <c r="AA12" s="622">
        <f t="shared" si="3"/>
        <v>2489.2057130295111</v>
      </c>
      <c r="AB12" s="621">
        <v>15036.1</v>
      </c>
      <c r="AC12" s="621">
        <v>608.1</v>
      </c>
      <c r="AD12" s="621">
        <v>5728.88</v>
      </c>
      <c r="AE12" s="621">
        <v>5327.04</v>
      </c>
      <c r="AF12" s="621">
        <v>808.64</v>
      </c>
      <c r="AG12" s="621">
        <v>1615.8500000000001</v>
      </c>
      <c r="AH12" s="621">
        <v>31803.3</v>
      </c>
      <c r="AI12" s="622">
        <f t="shared" si="0"/>
        <v>193.75929677231338</v>
      </c>
      <c r="AJ12" s="622">
        <f t="shared" si="0"/>
        <v>456.91382956936275</v>
      </c>
      <c r="AK12" s="622">
        <f t="shared" si="0"/>
        <v>220.85025669279662</v>
      </c>
      <c r="AL12" s="622">
        <f t="shared" si="0"/>
        <v>273.32772628127299</v>
      </c>
      <c r="AM12" s="622">
        <f t="shared" si="0"/>
        <v>1852.4135762804597</v>
      </c>
      <c r="AN12" s="623">
        <f t="shared" si="0"/>
        <v>274.0103574285888</v>
      </c>
    </row>
    <row r="13" spans="1:40">
      <c r="A13">
        <v>11</v>
      </c>
      <c r="B13" s="610"/>
      <c r="C13" s="611" t="s">
        <v>526</v>
      </c>
      <c r="D13" s="624">
        <v>1559.87</v>
      </c>
      <c r="E13" s="488">
        <v>226.69</v>
      </c>
      <c r="F13" s="488">
        <v>664.33</v>
      </c>
      <c r="G13" s="209">
        <f t="shared" si="1"/>
        <v>455.61883635630323</v>
      </c>
      <c r="H13" s="488">
        <v>7.5599999999999987</v>
      </c>
      <c r="I13" s="488">
        <v>1108.97</v>
      </c>
      <c r="J13" s="488">
        <v>6056.95</v>
      </c>
      <c r="K13" s="488">
        <v>844.47000000000014</v>
      </c>
      <c r="L13" s="488">
        <v>360.5</v>
      </c>
      <c r="M13" s="488">
        <v>2022.78</v>
      </c>
      <c r="N13" s="488">
        <v>1245.58</v>
      </c>
      <c r="O13" s="488">
        <v>7627.9699999999993</v>
      </c>
      <c r="P13" s="488">
        <v>554.75</v>
      </c>
      <c r="Q13" s="488">
        <v>303.12</v>
      </c>
      <c r="R13" s="488">
        <v>621.34</v>
      </c>
      <c r="S13" s="488">
        <v>28.37</v>
      </c>
      <c r="T13" s="209">
        <f t="shared" si="2"/>
        <v>0</v>
      </c>
      <c r="U13" s="488">
        <v>3126.0700000000006</v>
      </c>
      <c r="V13" s="488">
        <v>473.71</v>
      </c>
      <c r="W13" s="488">
        <v>17.57</v>
      </c>
      <c r="X13" s="488">
        <v>593.89</v>
      </c>
      <c r="Y13" s="488">
        <v>0</v>
      </c>
      <c r="Z13" s="488">
        <v>257.51499999999999</v>
      </c>
      <c r="AA13" s="209">
        <f t="shared" si="3"/>
        <v>635.76319367103611</v>
      </c>
      <c r="AB13" s="488">
        <v>2278.27</v>
      </c>
      <c r="AC13" s="488">
        <v>340.99</v>
      </c>
      <c r="AD13" s="488">
        <v>2926.92</v>
      </c>
      <c r="AE13" s="488">
        <v>593.38</v>
      </c>
      <c r="AF13" s="488">
        <v>369.98</v>
      </c>
      <c r="AG13" s="488">
        <v>40.81</v>
      </c>
      <c r="AH13" s="488">
        <v>339.54</v>
      </c>
      <c r="AI13" s="209">
        <f t="shared" si="0"/>
        <v>164.86313688363845</v>
      </c>
      <c r="AJ13" s="209">
        <f t="shared" si="0"/>
        <v>165.86068366059868</v>
      </c>
      <c r="AK13" s="209">
        <f t="shared" si="0"/>
        <v>206.38060394773393</v>
      </c>
      <c r="AL13" s="209">
        <f t="shared" si="0"/>
        <v>168.66424214847552</v>
      </c>
      <c r="AM13" s="209">
        <f t="shared" si="0"/>
        <v>910.54801917755947</v>
      </c>
      <c r="AN13" s="210">
        <f t="shared" si="0"/>
        <v>205.24684918582355</v>
      </c>
    </row>
    <row r="14" spans="1:40">
      <c r="A14">
        <v>12</v>
      </c>
      <c r="B14" s="610"/>
      <c r="C14" s="611" t="s">
        <v>532</v>
      </c>
      <c r="D14" s="624">
        <v>674.63</v>
      </c>
      <c r="E14" s="488">
        <v>9.73</v>
      </c>
      <c r="F14" s="488">
        <v>273.5</v>
      </c>
      <c r="G14" s="209">
        <f t="shared" si="1"/>
        <v>144.88871504040191</v>
      </c>
      <c r="H14" s="488">
        <v>0</v>
      </c>
      <c r="I14" s="488">
        <v>1116.25</v>
      </c>
      <c r="J14" s="488">
        <v>3978.19</v>
      </c>
      <c r="K14" s="488">
        <v>1556.8400000000001</v>
      </c>
      <c r="L14" s="488">
        <v>303.87</v>
      </c>
      <c r="M14" s="488">
        <v>0</v>
      </c>
      <c r="N14" s="488">
        <v>1477.63</v>
      </c>
      <c r="O14" s="488">
        <v>2120.3200000000002</v>
      </c>
      <c r="P14" s="488">
        <v>40.01</v>
      </c>
      <c r="Q14" s="488">
        <v>133.19999999999999</v>
      </c>
      <c r="R14" s="488">
        <v>503.33</v>
      </c>
      <c r="S14" s="488">
        <v>0</v>
      </c>
      <c r="T14" s="209">
        <f t="shared" si="2"/>
        <v>141.59448255196494</v>
      </c>
      <c r="U14" s="488">
        <v>109.15000000000002</v>
      </c>
      <c r="V14" s="488">
        <v>445.56</v>
      </c>
      <c r="W14" s="488">
        <v>0</v>
      </c>
      <c r="X14" s="488">
        <v>339.59</v>
      </c>
      <c r="Y14" s="488">
        <v>0</v>
      </c>
      <c r="Z14" s="488">
        <v>267.97000000000003</v>
      </c>
      <c r="AA14" s="209">
        <f t="shared" si="3"/>
        <v>81.286107241101547</v>
      </c>
      <c r="AB14" s="488">
        <v>3922.4500000000003</v>
      </c>
      <c r="AC14" s="488">
        <v>4.38</v>
      </c>
      <c r="AD14" s="488">
        <v>970.8</v>
      </c>
      <c r="AE14" s="488">
        <v>2876.14</v>
      </c>
      <c r="AF14" s="488">
        <v>85.03</v>
      </c>
      <c r="AG14" s="488">
        <v>412.08</v>
      </c>
      <c r="AH14" s="488">
        <v>51.920000000000009</v>
      </c>
      <c r="AI14" s="209">
        <f t="shared" si="0"/>
        <v>0</v>
      </c>
      <c r="AJ14" s="209">
        <f t="shared" si="0"/>
        <v>83.245867410424495</v>
      </c>
      <c r="AK14" s="209">
        <f t="shared" si="0"/>
        <v>0</v>
      </c>
      <c r="AL14" s="209">
        <f t="shared" si="0"/>
        <v>29.414405231631104</v>
      </c>
      <c r="AM14" s="209">
        <f t="shared" si="0"/>
        <v>329.63564316853211</v>
      </c>
      <c r="AN14" s="210">
        <f t="shared" si="0"/>
        <v>3.0168885759357416</v>
      </c>
    </row>
    <row r="15" spans="1:40">
      <c r="A15">
        <v>13</v>
      </c>
      <c r="B15" s="610"/>
      <c r="C15" s="611" t="s">
        <v>510</v>
      </c>
      <c r="D15" s="624">
        <v>289.5</v>
      </c>
      <c r="E15" s="488">
        <v>242.78</v>
      </c>
      <c r="F15" s="488">
        <v>61.24</v>
      </c>
      <c r="G15" s="209">
        <f t="shared" si="1"/>
        <v>81.993908349478659</v>
      </c>
      <c r="H15" s="488">
        <v>23.05</v>
      </c>
      <c r="I15" s="488">
        <v>345.71</v>
      </c>
      <c r="J15" s="488">
        <v>623.97</v>
      </c>
      <c r="K15" s="488">
        <v>43.5</v>
      </c>
      <c r="L15" s="488">
        <v>7</v>
      </c>
      <c r="M15" s="488">
        <v>881.45999999999992</v>
      </c>
      <c r="N15" s="488">
        <v>953.92</v>
      </c>
      <c r="O15" s="488">
        <v>1855.65</v>
      </c>
      <c r="P15" s="488">
        <v>176.87</v>
      </c>
      <c r="Q15" s="488">
        <v>87.32</v>
      </c>
      <c r="R15" s="488">
        <v>267.45999999999998</v>
      </c>
      <c r="S15" s="488">
        <v>121.87999999999998</v>
      </c>
      <c r="T15" s="209">
        <f t="shared" si="2"/>
        <v>37.468356630402312</v>
      </c>
      <c r="U15" s="488">
        <v>464.83</v>
      </c>
      <c r="V15" s="488">
        <v>5.87</v>
      </c>
      <c r="W15" s="488">
        <v>8.7899999999999991</v>
      </c>
      <c r="X15" s="488">
        <v>4.0999999999999996</v>
      </c>
      <c r="Y15" s="488">
        <v>0.9900000000000001</v>
      </c>
      <c r="Z15" s="488">
        <v>129.56</v>
      </c>
      <c r="AA15" s="209">
        <f t="shared" si="3"/>
        <v>1603.5425809818769</v>
      </c>
      <c r="AB15" s="488">
        <v>122.53</v>
      </c>
      <c r="AC15" s="488">
        <v>44.58</v>
      </c>
      <c r="AD15" s="488">
        <v>21.84</v>
      </c>
      <c r="AE15" s="488">
        <v>1663.03</v>
      </c>
      <c r="AF15" s="488">
        <v>24.869999999999997</v>
      </c>
      <c r="AG15" s="488">
        <v>39.11</v>
      </c>
      <c r="AH15" s="488">
        <v>2778.28</v>
      </c>
      <c r="AI15" s="209">
        <f t="shared" si="0"/>
        <v>25.252174438395599</v>
      </c>
      <c r="AJ15" s="209">
        <f t="shared" si="0"/>
        <v>59.680670223846299</v>
      </c>
      <c r="AK15" s="209">
        <f t="shared" si="0"/>
        <v>12.48723180305446</v>
      </c>
      <c r="AL15" s="209">
        <f t="shared" si="0"/>
        <v>42.44579547968965</v>
      </c>
      <c r="AM15" s="209">
        <f t="shared" si="0"/>
        <v>192.26971640864318</v>
      </c>
      <c r="AN15" s="210">
        <f t="shared" si="0"/>
        <v>29.439818788479819</v>
      </c>
    </row>
    <row r="16" spans="1:40">
      <c r="A16">
        <v>14</v>
      </c>
      <c r="B16" s="610"/>
      <c r="C16" s="611" t="s">
        <v>527</v>
      </c>
      <c r="D16" s="624">
        <v>1146.8499999999999</v>
      </c>
      <c r="E16" s="488">
        <v>3157.62</v>
      </c>
      <c r="F16" s="488">
        <v>39.86</v>
      </c>
      <c r="G16" s="209">
        <f t="shared" si="1"/>
        <v>997.90316378104455</v>
      </c>
      <c r="H16" s="488">
        <v>0</v>
      </c>
      <c r="I16" s="488">
        <v>2017.74</v>
      </c>
      <c r="J16" s="488">
        <v>19836.2</v>
      </c>
      <c r="K16" s="488">
        <v>640.49</v>
      </c>
      <c r="L16" s="488">
        <v>45.67</v>
      </c>
      <c r="M16" s="488">
        <v>3048.13</v>
      </c>
      <c r="N16" s="488">
        <v>41.71</v>
      </c>
      <c r="O16" s="488">
        <v>12426.699999999999</v>
      </c>
      <c r="P16" s="488">
        <v>218.36</v>
      </c>
      <c r="Q16" s="488">
        <v>473.39</v>
      </c>
      <c r="R16" s="488">
        <v>2695.51</v>
      </c>
      <c r="S16" s="488">
        <v>551.35</v>
      </c>
      <c r="T16" s="209">
        <f t="shared" si="2"/>
        <v>0</v>
      </c>
      <c r="U16" s="488">
        <v>13899.4</v>
      </c>
      <c r="V16" s="488">
        <v>132.4</v>
      </c>
      <c r="W16" s="488">
        <v>170.11</v>
      </c>
      <c r="X16" s="488">
        <v>98.86999999999999</v>
      </c>
      <c r="Y16" s="488">
        <v>0</v>
      </c>
      <c r="Z16" s="488">
        <v>6930.06</v>
      </c>
      <c r="AA16" s="209">
        <f t="shared" si="3"/>
        <v>3.4517544350307952</v>
      </c>
      <c r="AB16" s="488">
        <v>2814.95</v>
      </c>
      <c r="AC16" s="488">
        <v>116.44999999999999</v>
      </c>
      <c r="AD16" s="488">
        <v>1700.64</v>
      </c>
      <c r="AE16" s="488">
        <v>131.63999999999999</v>
      </c>
      <c r="AF16" s="488">
        <v>89.32</v>
      </c>
      <c r="AG16" s="488">
        <v>1071.02</v>
      </c>
      <c r="AH16" s="488">
        <v>25343.8</v>
      </c>
      <c r="AI16" s="209">
        <f t="shared" si="0"/>
        <v>0</v>
      </c>
      <c r="AJ16" s="209">
        <f t="shared" si="0"/>
        <v>34.152690246405065</v>
      </c>
      <c r="AK16" s="209">
        <f t="shared" si="0"/>
        <v>0</v>
      </c>
      <c r="AL16" s="209">
        <f t="shared" si="0"/>
        <v>0</v>
      </c>
      <c r="AM16" s="209">
        <f t="shared" si="0"/>
        <v>170.41468241443837</v>
      </c>
      <c r="AN16" s="210">
        <f t="shared" si="0"/>
        <v>0</v>
      </c>
    </row>
    <row r="17" spans="1:40">
      <c r="A17">
        <v>15</v>
      </c>
      <c r="B17" s="610"/>
      <c r="C17" s="611" t="s">
        <v>533</v>
      </c>
      <c r="D17" s="624">
        <v>1188.92</v>
      </c>
      <c r="E17" s="488">
        <v>2573.0100000000002</v>
      </c>
      <c r="F17" s="488">
        <v>2.0299999999999998</v>
      </c>
      <c r="G17" s="209">
        <f t="shared" si="1"/>
        <v>2463.3258321623407</v>
      </c>
      <c r="H17" s="488">
        <v>82.39</v>
      </c>
      <c r="I17" s="488">
        <v>0</v>
      </c>
      <c r="J17" s="488">
        <v>11774.3</v>
      </c>
      <c r="K17" s="488">
        <v>403.58</v>
      </c>
      <c r="L17" s="488">
        <v>3.72</v>
      </c>
      <c r="M17" s="488">
        <v>1645.3200000000002</v>
      </c>
      <c r="N17" s="488">
        <v>648.76</v>
      </c>
      <c r="O17" s="488">
        <v>5866.43</v>
      </c>
      <c r="P17" s="488">
        <v>1828.68</v>
      </c>
      <c r="Q17" s="488">
        <v>131.04</v>
      </c>
      <c r="R17" s="488">
        <v>0</v>
      </c>
      <c r="S17" s="488">
        <v>1025.3</v>
      </c>
      <c r="T17" s="209">
        <f t="shared" si="2"/>
        <v>1.8533322803027226</v>
      </c>
      <c r="U17" s="488">
        <v>1759.4100000000003</v>
      </c>
      <c r="V17" s="488">
        <v>6.27</v>
      </c>
      <c r="W17" s="488">
        <v>169.49</v>
      </c>
      <c r="X17" s="488">
        <v>26.960000000000004</v>
      </c>
      <c r="Y17" s="488">
        <v>0</v>
      </c>
      <c r="Z17" s="488">
        <v>67.47</v>
      </c>
      <c r="AA17" s="209">
        <f t="shared" si="3"/>
        <v>165.16207670046592</v>
      </c>
      <c r="AB17" s="488">
        <v>90.73</v>
      </c>
      <c r="AC17" s="488">
        <v>75.5</v>
      </c>
      <c r="AD17" s="488">
        <v>78.180000000000007</v>
      </c>
      <c r="AE17" s="488">
        <v>62.85</v>
      </c>
      <c r="AF17" s="488">
        <v>224.53</v>
      </c>
      <c r="AG17" s="488">
        <v>0</v>
      </c>
      <c r="AH17" s="488">
        <v>2417.54</v>
      </c>
      <c r="AI17" s="209">
        <f t="shared" si="0"/>
        <v>3.6439854502793501</v>
      </c>
      <c r="AJ17" s="209">
        <f t="shared" si="0"/>
        <v>0</v>
      </c>
      <c r="AK17" s="209">
        <f t="shared" si="0"/>
        <v>0</v>
      </c>
      <c r="AL17" s="209">
        <f t="shared" si="0"/>
        <v>29.092872839693662</v>
      </c>
      <c r="AM17" s="209">
        <f t="shared" si="0"/>
        <v>0.90020140994832798</v>
      </c>
      <c r="AN17" s="210">
        <f t="shared" si="0"/>
        <v>12.374291335887426</v>
      </c>
    </row>
    <row r="18" spans="1:40">
      <c r="A18">
        <v>16</v>
      </c>
      <c r="B18" s="610"/>
      <c r="C18" s="611" t="s">
        <v>534</v>
      </c>
      <c r="D18" s="624">
        <v>0</v>
      </c>
      <c r="E18" s="488">
        <v>0</v>
      </c>
      <c r="F18" s="488">
        <v>0</v>
      </c>
      <c r="G18" s="209">
        <f t="shared" si="1"/>
        <v>208.32903410719402</v>
      </c>
      <c r="H18" s="488">
        <v>0.76</v>
      </c>
      <c r="I18" s="488">
        <v>0</v>
      </c>
      <c r="J18" s="488">
        <v>455.71999999999997</v>
      </c>
      <c r="K18" s="488">
        <v>0</v>
      </c>
      <c r="L18" s="488">
        <v>0</v>
      </c>
      <c r="M18" s="488">
        <v>9.0299999999999994</v>
      </c>
      <c r="N18" s="488">
        <v>0</v>
      </c>
      <c r="O18" s="488">
        <v>54.17</v>
      </c>
      <c r="P18" s="488">
        <v>17.05</v>
      </c>
      <c r="Q18" s="488">
        <v>0</v>
      </c>
      <c r="R18" s="488">
        <v>0</v>
      </c>
      <c r="S18" s="488">
        <v>0</v>
      </c>
      <c r="T18" s="209">
        <f t="shared" si="2"/>
        <v>182.86041845801088</v>
      </c>
      <c r="U18" s="488">
        <v>1.34</v>
      </c>
      <c r="V18" s="488">
        <v>0</v>
      </c>
      <c r="W18" s="488">
        <v>0</v>
      </c>
      <c r="X18" s="488">
        <v>0</v>
      </c>
      <c r="Y18" s="488">
        <v>0</v>
      </c>
      <c r="Z18" s="488">
        <v>0</v>
      </c>
      <c r="AA18" s="209">
        <f t="shared" si="3"/>
        <v>0</v>
      </c>
      <c r="AB18" s="488">
        <v>10.51</v>
      </c>
      <c r="AC18" s="488">
        <v>0</v>
      </c>
      <c r="AD18" s="488">
        <v>15.02</v>
      </c>
      <c r="AE18" s="488">
        <v>0</v>
      </c>
      <c r="AF18" s="488">
        <v>8.65</v>
      </c>
      <c r="AG18" s="488">
        <v>0</v>
      </c>
      <c r="AH18" s="488">
        <v>0</v>
      </c>
      <c r="AI18" s="209">
        <f t="shared" si="0"/>
        <v>0</v>
      </c>
      <c r="AJ18" s="209">
        <f t="shared" si="0"/>
        <v>0</v>
      </c>
      <c r="AK18" s="209">
        <f t="shared" si="0"/>
        <v>0</v>
      </c>
      <c r="AL18" s="209">
        <f t="shared" si="0"/>
        <v>0</v>
      </c>
      <c r="AM18" s="209">
        <f t="shared" si="0"/>
        <v>0</v>
      </c>
      <c r="AN18" s="210">
        <f t="shared" si="0"/>
        <v>0</v>
      </c>
    </row>
    <row r="19" spans="1:40">
      <c r="A19">
        <v>17</v>
      </c>
      <c r="B19" s="610"/>
      <c r="C19" s="611" t="s">
        <v>528</v>
      </c>
      <c r="D19" s="624">
        <v>17.8</v>
      </c>
      <c r="E19" s="488">
        <v>7.6799999999999988</v>
      </c>
      <c r="F19" s="488">
        <v>0.47000000000000003</v>
      </c>
      <c r="G19" s="209">
        <f t="shared" si="1"/>
        <v>0</v>
      </c>
      <c r="H19" s="488">
        <v>24.249999999999996</v>
      </c>
      <c r="I19" s="488">
        <v>0</v>
      </c>
      <c r="J19" s="488">
        <v>0</v>
      </c>
      <c r="K19" s="488">
        <v>1.25</v>
      </c>
      <c r="L19" s="488">
        <v>0</v>
      </c>
      <c r="M19" s="488">
        <v>455.98</v>
      </c>
      <c r="N19" s="488">
        <v>0</v>
      </c>
      <c r="O19" s="488">
        <v>185.63</v>
      </c>
      <c r="P19" s="488">
        <v>0</v>
      </c>
      <c r="Q19" s="488">
        <v>12.9</v>
      </c>
      <c r="R19" s="488">
        <v>26.02</v>
      </c>
      <c r="S19" s="488">
        <v>19.84</v>
      </c>
      <c r="T19" s="209">
        <f t="shared" si="2"/>
        <v>0</v>
      </c>
      <c r="U19" s="488">
        <v>340.28</v>
      </c>
      <c r="V19" s="488">
        <v>0</v>
      </c>
      <c r="W19" s="488">
        <v>0.41000000000000003</v>
      </c>
      <c r="X19" s="488">
        <v>0</v>
      </c>
      <c r="Y19" s="488">
        <v>2.34</v>
      </c>
      <c r="Z19" s="488">
        <v>0</v>
      </c>
      <c r="AA19" s="209">
        <f t="shared" si="3"/>
        <v>0</v>
      </c>
      <c r="AB19" s="488">
        <v>0</v>
      </c>
      <c r="AC19" s="488">
        <v>26.2</v>
      </c>
      <c r="AD19" s="488">
        <v>5.5</v>
      </c>
      <c r="AE19" s="488">
        <v>0</v>
      </c>
      <c r="AF19" s="488">
        <v>6.26</v>
      </c>
      <c r="AG19" s="488">
        <v>0</v>
      </c>
      <c r="AH19" s="488">
        <v>259.17</v>
      </c>
      <c r="AI19" s="209">
        <f t="shared" si="0"/>
        <v>0</v>
      </c>
      <c r="AJ19" s="209">
        <f t="shared" si="0"/>
        <v>0</v>
      </c>
      <c r="AK19" s="209">
        <f t="shared" si="0"/>
        <v>0</v>
      </c>
      <c r="AL19" s="209">
        <f t="shared" si="0"/>
        <v>1.6085666914611456</v>
      </c>
      <c r="AM19" s="209">
        <f t="shared" si="0"/>
        <v>4.8791916033156362</v>
      </c>
      <c r="AN19" s="210">
        <f t="shared" si="0"/>
        <v>1.7575788077722732</v>
      </c>
    </row>
    <row r="20" spans="1:40">
      <c r="A20">
        <v>18</v>
      </c>
      <c r="B20" s="612"/>
      <c r="C20" s="613" t="s">
        <v>529</v>
      </c>
      <c r="D20" s="625">
        <v>49.739999999999995</v>
      </c>
      <c r="E20" s="626">
        <v>129.87</v>
      </c>
      <c r="F20" s="626">
        <v>181.82</v>
      </c>
      <c r="G20" s="627">
        <f t="shared" si="1"/>
        <v>9.3959587274290612</v>
      </c>
      <c r="H20" s="626">
        <v>0</v>
      </c>
      <c r="I20" s="626">
        <v>560.65</v>
      </c>
      <c r="J20" s="626">
        <v>1097.03</v>
      </c>
      <c r="K20" s="626">
        <v>0.47999999999999993</v>
      </c>
      <c r="L20" s="626">
        <v>9.49</v>
      </c>
      <c r="M20" s="626">
        <v>178.48</v>
      </c>
      <c r="N20" s="626">
        <v>12.9</v>
      </c>
      <c r="O20" s="626">
        <v>391.50000000000006</v>
      </c>
      <c r="P20" s="626">
        <v>3.3700000000000006</v>
      </c>
      <c r="Q20" s="626">
        <v>5.95</v>
      </c>
      <c r="R20" s="626">
        <v>147.55000000000001</v>
      </c>
      <c r="S20" s="626">
        <v>426.2</v>
      </c>
      <c r="T20" s="627">
        <f t="shared" si="2"/>
        <v>0</v>
      </c>
      <c r="U20" s="626">
        <v>3.81</v>
      </c>
      <c r="V20" s="626">
        <v>61.840000000000011</v>
      </c>
      <c r="W20" s="626">
        <v>0.47999999999999993</v>
      </c>
      <c r="X20" s="626">
        <v>25.53</v>
      </c>
      <c r="Y20" s="626">
        <v>0</v>
      </c>
      <c r="Z20" s="626">
        <v>5.6</v>
      </c>
      <c r="AA20" s="627">
        <f t="shared" si="3"/>
        <v>0</v>
      </c>
      <c r="AB20" s="626">
        <v>5796.62</v>
      </c>
      <c r="AC20" s="626">
        <v>0</v>
      </c>
      <c r="AD20" s="626">
        <v>9.98</v>
      </c>
      <c r="AE20" s="626">
        <v>0</v>
      </c>
      <c r="AF20" s="626">
        <v>0</v>
      </c>
      <c r="AG20" s="626">
        <v>52.830000000000005</v>
      </c>
      <c r="AH20" s="626">
        <v>613.02</v>
      </c>
      <c r="AI20" s="627">
        <f t="shared" ref="AI20:AN30" si="4">AI83/(41.868/1000)</f>
        <v>0</v>
      </c>
      <c r="AJ20" s="627">
        <f t="shared" si="4"/>
        <v>113.97391802808825</v>
      </c>
      <c r="AK20" s="627">
        <f t="shared" si="4"/>
        <v>1.9824209420082164</v>
      </c>
      <c r="AL20" s="627">
        <f t="shared" si="4"/>
        <v>2.1018438903219638</v>
      </c>
      <c r="AM20" s="627">
        <f t="shared" si="4"/>
        <v>243.76612209802232</v>
      </c>
      <c r="AN20" s="628">
        <f t="shared" si="4"/>
        <v>22.174930734689976</v>
      </c>
    </row>
    <row r="21" spans="1:40">
      <c r="A21">
        <v>19</v>
      </c>
      <c r="B21" s="614" t="s">
        <v>535</v>
      </c>
      <c r="C21" s="615" t="s">
        <v>525</v>
      </c>
      <c r="D21" s="620">
        <v>836.55</v>
      </c>
      <c r="E21" s="621">
        <v>1138.93</v>
      </c>
      <c r="F21" s="621">
        <v>381.1</v>
      </c>
      <c r="G21" s="622">
        <f t="shared" si="1"/>
        <v>754.80493682287022</v>
      </c>
      <c r="H21" s="621">
        <v>64.55</v>
      </c>
      <c r="I21" s="621">
        <v>755.84</v>
      </c>
      <c r="J21" s="621">
        <v>7517.25</v>
      </c>
      <c r="K21" s="621">
        <v>624.64</v>
      </c>
      <c r="L21" s="621">
        <v>135.9</v>
      </c>
      <c r="M21" s="621">
        <v>3210.7400000000002</v>
      </c>
      <c r="N21" s="621">
        <v>697.73</v>
      </c>
      <c r="O21" s="621">
        <v>5885.41</v>
      </c>
      <c r="P21" s="621">
        <v>693.49</v>
      </c>
      <c r="Q21" s="621">
        <v>274.38</v>
      </c>
      <c r="R21" s="621">
        <v>624.05999999999995</v>
      </c>
      <c r="S21" s="621">
        <v>524.74</v>
      </c>
      <c r="T21" s="622">
        <f t="shared" si="2"/>
        <v>31.469591546286303</v>
      </c>
      <c r="U21" s="621">
        <v>4856.7700000000004</v>
      </c>
      <c r="V21" s="621">
        <v>217.56999999999996</v>
      </c>
      <c r="W21" s="621">
        <v>45.15</v>
      </c>
      <c r="X21" s="621">
        <v>227.43000000000004</v>
      </c>
      <c r="Y21" s="621">
        <v>12.92</v>
      </c>
      <c r="Z21" s="621">
        <v>1629.53</v>
      </c>
      <c r="AA21" s="622">
        <f t="shared" si="3"/>
        <v>534.02457559780339</v>
      </c>
      <c r="AB21" s="621">
        <v>2965.95</v>
      </c>
      <c r="AC21" s="621">
        <v>583.85</v>
      </c>
      <c r="AD21" s="621">
        <v>1075.22</v>
      </c>
      <c r="AE21" s="621">
        <v>883.03000000000009</v>
      </c>
      <c r="AF21" s="621">
        <v>235.76000000000002</v>
      </c>
      <c r="AG21" s="621">
        <v>326.32</v>
      </c>
      <c r="AH21" s="621">
        <v>6674.34</v>
      </c>
      <c r="AI21" s="622">
        <f t="shared" si="4"/>
        <v>93.991238945555494</v>
      </c>
      <c r="AJ21" s="622">
        <f t="shared" si="4"/>
        <v>84.533628145545364</v>
      </c>
      <c r="AK21" s="622">
        <f t="shared" si="4"/>
        <v>30.717171679023341</v>
      </c>
      <c r="AL21" s="622">
        <f t="shared" si="4"/>
        <v>62.45049250055289</v>
      </c>
      <c r="AM21" s="622">
        <f t="shared" si="4"/>
        <v>328.94441300353691</v>
      </c>
      <c r="AN21" s="623">
        <f t="shared" si="4"/>
        <v>46.34611453912764</v>
      </c>
    </row>
    <row r="22" spans="1:40">
      <c r="A22">
        <v>20</v>
      </c>
      <c r="B22" s="610"/>
      <c r="C22" s="611" t="s">
        <v>526</v>
      </c>
      <c r="D22" s="624">
        <v>105.93000000000002</v>
      </c>
      <c r="E22" s="488">
        <v>28.470000000000002</v>
      </c>
      <c r="F22" s="488">
        <v>28.98</v>
      </c>
      <c r="G22" s="209">
        <f t="shared" si="1"/>
        <v>14.459266251893876</v>
      </c>
      <c r="H22" s="488">
        <v>0.18</v>
      </c>
      <c r="I22" s="488">
        <v>32.56</v>
      </c>
      <c r="J22" s="488">
        <v>192.22</v>
      </c>
      <c r="K22" s="488">
        <v>105.78</v>
      </c>
      <c r="L22" s="488">
        <v>57.030000000000008</v>
      </c>
      <c r="M22" s="488">
        <v>43.34</v>
      </c>
      <c r="N22" s="488">
        <v>148.80000000000001</v>
      </c>
      <c r="O22" s="488">
        <v>367.64</v>
      </c>
      <c r="P22" s="488">
        <v>13.549999999999999</v>
      </c>
      <c r="Q22" s="488">
        <v>18.13</v>
      </c>
      <c r="R22" s="488">
        <v>22.75</v>
      </c>
      <c r="S22" s="488">
        <v>5.14</v>
      </c>
      <c r="T22" s="209">
        <f t="shared" si="2"/>
        <v>0</v>
      </c>
      <c r="U22" s="488">
        <v>38.53</v>
      </c>
      <c r="V22" s="488">
        <v>82.41</v>
      </c>
      <c r="W22" s="488">
        <v>1.3</v>
      </c>
      <c r="X22" s="488">
        <v>117.83</v>
      </c>
      <c r="Y22" s="488">
        <v>0</v>
      </c>
      <c r="Z22" s="488">
        <v>43.835000000000001</v>
      </c>
      <c r="AA22" s="209">
        <f t="shared" si="3"/>
        <v>75.949809099576242</v>
      </c>
      <c r="AB22" s="488">
        <v>359.52</v>
      </c>
      <c r="AC22" s="488">
        <v>98.220000000000013</v>
      </c>
      <c r="AD22" s="488">
        <v>466.94</v>
      </c>
      <c r="AE22" s="488">
        <v>24.59</v>
      </c>
      <c r="AF22" s="488">
        <v>80.900000000000006</v>
      </c>
      <c r="AG22" s="488">
        <v>2.06</v>
      </c>
      <c r="AH22" s="488">
        <v>0</v>
      </c>
      <c r="AI22" s="209">
        <f t="shared" si="4"/>
        <v>4.0268508423132952</v>
      </c>
      <c r="AJ22" s="209">
        <f t="shared" si="4"/>
        <v>9.9203424213732312</v>
      </c>
      <c r="AK22" s="209">
        <f t="shared" si="4"/>
        <v>5.0409322820942677</v>
      </c>
      <c r="AL22" s="209">
        <f t="shared" si="4"/>
        <v>10.088026887542428</v>
      </c>
      <c r="AM22" s="209">
        <f t="shared" si="4"/>
        <v>54.461056966512125</v>
      </c>
      <c r="AN22" s="210">
        <f t="shared" si="4"/>
        <v>12.276080020252644</v>
      </c>
    </row>
    <row r="23" spans="1:40">
      <c r="A23">
        <v>21</v>
      </c>
      <c r="B23" s="610"/>
      <c r="C23" s="611" t="s">
        <v>532</v>
      </c>
      <c r="D23" s="624">
        <v>108.81</v>
      </c>
      <c r="E23" s="488">
        <v>1.4</v>
      </c>
      <c r="F23" s="488">
        <v>80.95</v>
      </c>
      <c r="G23" s="209">
        <f t="shared" si="1"/>
        <v>19.883187128318809</v>
      </c>
      <c r="H23" s="488">
        <v>0</v>
      </c>
      <c r="I23" s="488">
        <v>81.92</v>
      </c>
      <c r="J23" s="488">
        <v>545.92999999999995</v>
      </c>
      <c r="K23" s="488">
        <v>264.67</v>
      </c>
      <c r="L23" s="488">
        <v>53.73</v>
      </c>
      <c r="M23" s="488">
        <v>0</v>
      </c>
      <c r="N23" s="488">
        <v>216.52999999999997</v>
      </c>
      <c r="O23" s="488">
        <v>265.7</v>
      </c>
      <c r="P23" s="488">
        <v>6.3499999999999988</v>
      </c>
      <c r="Q23" s="488">
        <v>20.71</v>
      </c>
      <c r="R23" s="488">
        <v>66.34</v>
      </c>
      <c r="S23" s="488">
        <v>0</v>
      </c>
      <c r="T23" s="209">
        <f t="shared" si="2"/>
        <v>20.74907338574404</v>
      </c>
      <c r="U23" s="488">
        <v>13.45</v>
      </c>
      <c r="V23" s="488">
        <v>81.81</v>
      </c>
      <c r="W23" s="488">
        <v>0</v>
      </c>
      <c r="X23" s="488">
        <v>67.38</v>
      </c>
      <c r="Y23" s="488">
        <v>0</v>
      </c>
      <c r="Z23" s="488">
        <v>51.32</v>
      </c>
      <c r="AA23" s="209">
        <f t="shared" si="3"/>
        <v>11.911561622947366</v>
      </c>
      <c r="AB23" s="488">
        <v>735.04</v>
      </c>
      <c r="AC23" s="488">
        <v>2.74</v>
      </c>
      <c r="AD23" s="488">
        <v>163.98</v>
      </c>
      <c r="AE23" s="488">
        <v>357.57</v>
      </c>
      <c r="AF23" s="488">
        <v>16.36</v>
      </c>
      <c r="AG23" s="488">
        <v>79.06</v>
      </c>
      <c r="AH23" s="488">
        <v>0</v>
      </c>
      <c r="AI23" s="209">
        <f t="shared" si="4"/>
        <v>0</v>
      </c>
      <c r="AJ23" s="209">
        <f t="shared" si="4"/>
        <v>12.943107462987173</v>
      </c>
      <c r="AK23" s="209">
        <f t="shared" si="4"/>
        <v>0</v>
      </c>
      <c r="AL23" s="209">
        <f t="shared" si="4"/>
        <v>4.5733658584615631</v>
      </c>
      <c r="AM23" s="209">
        <f t="shared" si="4"/>
        <v>51.251908183335601</v>
      </c>
      <c r="AN23" s="210">
        <f t="shared" si="4"/>
        <v>0.46906728534256154</v>
      </c>
    </row>
    <row r="24" spans="1:40">
      <c r="A24">
        <v>22</v>
      </c>
      <c r="B24" s="610"/>
      <c r="C24" s="611" t="s">
        <v>510</v>
      </c>
      <c r="D24" s="624">
        <v>195.57999999999998</v>
      </c>
      <c r="E24" s="488">
        <v>152.09</v>
      </c>
      <c r="F24" s="488">
        <v>256.43</v>
      </c>
      <c r="G24" s="209">
        <f t="shared" si="1"/>
        <v>179.33613231544388</v>
      </c>
      <c r="H24" s="488">
        <v>6.68</v>
      </c>
      <c r="I24" s="488">
        <v>363.23</v>
      </c>
      <c r="J24" s="488">
        <v>1364.74</v>
      </c>
      <c r="K24" s="488">
        <v>87.49</v>
      </c>
      <c r="L24" s="488">
        <v>16.89</v>
      </c>
      <c r="M24" s="488">
        <v>995.66</v>
      </c>
      <c r="N24" s="488">
        <v>249.31</v>
      </c>
      <c r="O24" s="488">
        <v>1869.5900000000001</v>
      </c>
      <c r="P24" s="488">
        <v>363.68</v>
      </c>
      <c r="Q24" s="488">
        <v>80.069999999999993</v>
      </c>
      <c r="R24" s="488">
        <v>122</v>
      </c>
      <c r="S24" s="488">
        <v>114.06000000000002</v>
      </c>
      <c r="T24" s="209">
        <f t="shared" si="2"/>
        <v>9.7924731544842327</v>
      </c>
      <c r="U24" s="488">
        <v>549.29</v>
      </c>
      <c r="V24" s="488">
        <v>23.58</v>
      </c>
      <c r="W24" s="488">
        <v>4.82</v>
      </c>
      <c r="X24" s="488">
        <v>11.17</v>
      </c>
      <c r="Y24" s="488">
        <v>3.8399999999999994</v>
      </c>
      <c r="Z24" s="488">
        <v>96.765000000000001</v>
      </c>
      <c r="AA24" s="209">
        <f t="shared" si="3"/>
        <v>419.09090999726578</v>
      </c>
      <c r="AB24" s="488">
        <v>149.5</v>
      </c>
      <c r="AC24" s="488">
        <v>127.51000000000002</v>
      </c>
      <c r="AD24" s="488">
        <v>99.220000000000013</v>
      </c>
      <c r="AE24" s="488">
        <v>467.98</v>
      </c>
      <c r="AF24" s="488">
        <v>58.76</v>
      </c>
      <c r="AG24" s="488">
        <v>45.72</v>
      </c>
      <c r="AH24" s="488">
        <v>1007.6299999999999</v>
      </c>
      <c r="AI24" s="209">
        <f t="shared" si="4"/>
        <v>51.923507659612767</v>
      </c>
      <c r="AJ24" s="209">
        <f t="shared" si="4"/>
        <v>54.725506926515969</v>
      </c>
      <c r="AK24" s="209">
        <f t="shared" si="4"/>
        <v>25.67623939692907</v>
      </c>
      <c r="AL24" s="209">
        <f t="shared" si="4"/>
        <v>38.921608383632041</v>
      </c>
      <c r="AM24" s="209">
        <f t="shared" si="4"/>
        <v>176.30595731607949</v>
      </c>
      <c r="AN24" s="210">
        <f t="shared" si="4"/>
        <v>26.995491186367147</v>
      </c>
    </row>
    <row r="25" spans="1:40">
      <c r="A25">
        <v>23</v>
      </c>
      <c r="B25" s="610"/>
      <c r="C25" s="611" t="s">
        <v>527</v>
      </c>
      <c r="D25" s="624">
        <v>165.5</v>
      </c>
      <c r="E25" s="488">
        <v>538.25</v>
      </c>
      <c r="F25" s="488">
        <v>5.22</v>
      </c>
      <c r="G25" s="209">
        <f t="shared" si="1"/>
        <v>154.06119255677541</v>
      </c>
      <c r="H25" s="488">
        <v>0</v>
      </c>
      <c r="I25" s="488">
        <v>251.75</v>
      </c>
      <c r="J25" s="488">
        <v>3062.4099999999994</v>
      </c>
      <c r="K25" s="488">
        <v>100.29</v>
      </c>
      <c r="L25" s="488">
        <v>6.8</v>
      </c>
      <c r="M25" s="488">
        <v>1068.79</v>
      </c>
      <c r="N25" s="488">
        <v>5.31</v>
      </c>
      <c r="O25" s="488">
        <v>2036.3300000000002</v>
      </c>
      <c r="P25" s="488">
        <v>18.670000000000002</v>
      </c>
      <c r="Q25" s="488">
        <v>96.259999999999991</v>
      </c>
      <c r="R25" s="488">
        <v>355.28</v>
      </c>
      <c r="S25" s="488">
        <v>126.48999999999998</v>
      </c>
      <c r="T25" s="209">
        <f t="shared" si="2"/>
        <v>0</v>
      </c>
      <c r="U25" s="488">
        <v>3254.66</v>
      </c>
      <c r="V25" s="488">
        <v>19.190000000000001</v>
      </c>
      <c r="W25" s="488">
        <v>19.89</v>
      </c>
      <c r="X25" s="488">
        <v>19.62</v>
      </c>
      <c r="Y25" s="488">
        <v>0</v>
      </c>
      <c r="Z25" s="488">
        <v>1400.87</v>
      </c>
      <c r="AA25" s="209">
        <f t="shared" si="3"/>
        <v>0.43943457324415058</v>
      </c>
      <c r="AB25" s="488">
        <v>527.5</v>
      </c>
      <c r="AC25" s="488">
        <v>95.03</v>
      </c>
      <c r="AD25" s="488">
        <v>303.23</v>
      </c>
      <c r="AE25" s="488">
        <v>15.27</v>
      </c>
      <c r="AF25" s="488">
        <v>17.45</v>
      </c>
      <c r="AG25" s="488">
        <v>194.66</v>
      </c>
      <c r="AH25" s="488">
        <v>5052.79</v>
      </c>
      <c r="AI25" s="209">
        <f t="shared" si="4"/>
        <v>0</v>
      </c>
      <c r="AJ25" s="209">
        <f t="shared" si="4"/>
        <v>6.9446713346689863</v>
      </c>
      <c r="AK25" s="209">
        <f t="shared" si="4"/>
        <v>0</v>
      </c>
      <c r="AL25" s="209">
        <f t="shared" si="4"/>
        <v>0</v>
      </c>
      <c r="AM25" s="209">
        <f t="shared" si="4"/>
        <v>34.652437375554697</v>
      </c>
      <c r="AN25" s="210">
        <f t="shared" si="4"/>
        <v>0</v>
      </c>
    </row>
    <row r="26" spans="1:40">
      <c r="A26">
        <v>24</v>
      </c>
      <c r="B26" s="610"/>
      <c r="C26" s="611" t="s">
        <v>533</v>
      </c>
      <c r="D26" s="624">
        <v>141.30000000000001</v>
      </c>
      <c r="E26" s="488">
        <v>392.43</v>
      </c>
      <c r="F26" s="488">
        <v>0</v>
      </c>
      <c r="G26" s="209">
        <f t="shared" si="1"/>
        <v>359.17321245407243</v>
      </c>
      <c r="H26" s="488">
        <v>4.24</v>
      </c>
      <c r="I26" s="488">
        <v>0</v>
      </c>
      <c r="J26" s="488">
        <v>1716.79</v>
      </c>
      <c r="K26" s="488">
        <v>50.55</v>
      </c>
      <c r="L26" s="488">
        <v>0.35</v>
      </c>
      <c r="M26" s="488">
        <v>320.51</v>
      </c>
      <c r="N26" s="488">
        <v>70.27</v>
      </c>
      <c r="O26" s="488">
        <v>791.67</v>
      </c>
      <c r="P26" s="488">
        <v>89.34</v>
      </c>
      <c r="Q26" s="488">
        <v>21.94</v>
      </c>
      <c r="R26" s="488">
        <v>0</v>
      </c>
      <c r="S26" s="488">
        <v>173.32</v>
      </c>
      <c r="T26" s="209">
        <f t="shared" si="2"/>
        <v>0.2007424306937424</v>
      </c>
      <c r="U26" s="488">
        <v>325.25</v>
      </c>
      <c r="V26" s="488">
        <v>0.85</v>
      </c>
      <c r="W26" s="488">
        <v>17.73</v>
      </c>
      <c r="X26" s="488">
        <v>4.79</v>
      </c>
      <c r="Y26" s="488">
        <v>0</v>
      </c>
      <c r="Z26" s="488">
        <v>10.050000000000001</v>
      </c>
      <c r="AA26" s="209">
        <f t="shared" si="3"/>
        <v>17.889418474846998</v>
      </c>
      <c r="AB26" s="488">
        <v>16.11</v>
      </c>
      <c r="AC26" s="488">
        <v>50.739999999999995</v>
      </c>
      <c r="AD26" s="488">
        <v>13.21</v>
      </c>
      <c r="AE26" s="488">
        <v>7.29</v>
      </c>
      <c r="AF26" s="488">
        <v>47.13</v>
      </c>
      <c r="AG26" s="488">
        <v>0</v>
      </c>
      <c r="AH26" s="488">
        <v>393.19999999999993</v>
      </c>
      <c r="AI26" s="209">
        <f t="shared" si="4"/>
        <v>0.17802658755384057</v>
      </c>
      <c r="AJ26" s="209">
        <f t="shared" si="4"/>
        <v>0</v>
      </c>
      <c r="AK26" s="209">
        <f t="shared" si="4"/>
        <v>0</v>
      </c>
      <c r="AL26" s="209">
        <f t="shared" si="4"/>
        <v>4.8710136607362564</v>
      </c>
      <c r="AM26" s="209">
        <f t="shared" si="4"/>
        <v>0.15072053521265505</v>
      </c>
      <c r="AN26" s="210">
        <f t="shared" si="4"/>
        <v>2.0718250298334109</v>
      </c>
    </row>
    <row r="27" spans="1:40">
      <c r="A27">
        <v>25</v>
      </c>
      <c r="B27" s="610"/>
      <c r="C27" s="611" t="s">
        <v>528</v>
      </c>
      <c r="D27" s="624">
        <v>13.730000000000002</v>
      </c>
      <c r="E27" s="488">
        <v>15.06</v>
      </c>
      <c r="F27" s="488">
        <v>0.25</v>
      </c>
      <c r="G27" s="209">
        <f t="shared" si="1"/>
        <v>0</v>
      </c>
      <c r="H27" s="488">
        <v>1.79</v>
      </c>
      <c r="I27" s="488">
        <v>3.09</v>
      </c>
      <c r="J27" s="488">
        <v>202.05</v>
      </c>
      <c r="K27" s="488">
        <v>5.36</v>
      </c>
      <c r="L27" s="488">
        <v>1.1200000000000001</v>
      </c>
      <c r="M27" s="488">
        <v>631.94000000000005</v>
      </c>
      <c r="N27" s="488">
        <v>6.58</v>
      </c>
      <c r="O27" s="488">
        <v>511.8</v>
      </c>
      <c r="P27" s="488">
        <v>22.22</v>
      </c>
      <c r="Q27" s="488">
        <v>32.049999999999997</v>
      </c>
      <c r="R27" s="488">
        <v>51.51</v>
      </c>
      <c r="S27" s="488">
        <v>23.2</v>
      </c>
      <c r="T27" s="209">
        <f t="shared" si="2"/>
        <v>0.72730257536429044</v>
      </c>
      <c r="U27" s="488">
        <v>576.33000000000004</v>
      </c>
      <c r="V27" s="488">
        <v>9.73</v>
      </c>
      <c r="W27" s="488">
        <v>0.55000000000000004</v>
      </c>
      <c r="X27" s="488">
        <v>6.6499999999999995</v>
      </c>
      <c r="Y27" s="488">
        <v>9.08</v>
      </c>
      <c r="Z27" s="488">
        <v>6.0299999999999994</v>
      </c>
      <c r="AA27" s="209">
        <f t="shared" si="3"/>
        <v>8.7434418299228831</v>
      </c>
      <c r="AB27" s="488">
        <v>92.04</v>
      </c>
      <c r="AC27" s="488">
        <v>174.67</v>
      </c>
      <c r="AD27" s="488">
        <v>28.65</v>
      </c>
      <c r="AE27" s="488">
        <v>0</v>
      </c>
      <c r="AF27" s="488">
        <v>10.09</v>
      </c>
      <c r="AG27" s="488">
        <v>4.8099999999999996</v>
      </c>
      <c r="AH27" s="488">
        <v>101.59</v>
      </c>
      <c r="AI27" s="209">
        <f t="shared" si="4"/>
        <v>35.856787170301246</v>
      </c>
      <c r="AJ27" s="209">
        <f t="shared" si="4"/>
        <v>0</v>
      </c>
      <c r="AK27" s="209">
        <f t="shared" si="4"/>
        <v>0</v>
      </c>
      <c r="AL27" s="209">
        <f t="shared" si="4"/>
        <v>3.9964777101805975</v>
      </c>
      <c r="AM27" s="209">
        <f t="shared" si="4"/>
        <v>12.122332626842336</v>
      </c>
      <c r="AN27" s="210">
        <f t="shared" si="4"/>
        <v>4.366697735589252</v>
      </c>
    </row>
    <row r="28" spans="1:40">
      <c r="A28">
        <v>26</v>
      </c>
      <c r="B28" s="610"/>
      <c r="C28" s="611" t="s">
        <v>536</v>
      </c>
      <c r="D28" s="624">
        <v>102.32</v>
      </c>
      <c r="E28" s="488">
        <v>11.23</v>
      </c>
      <c r="F28" s="488">
        <v>6.45</v>
      </c>
      <c r="G28" s="209">
        <f t="shared" si="1"/>
        <v>27.89194611636572</v>
      </c>
      <c r="H28" s="488">
        <v>51.66</v>
      </c>
      <c r="I28" s="488">
        <v>6.83</v>
      </c>
      <c r="J28" s="488">
        <v>433.10000000000008</v>
      </c>
      <c r="K28" s="488">
        <v>10.51</v>
      </c>
      <c r="L28" s="488">
        <v>0</v>
      </c>
      <c r="M28" s="488">
        <v>150.5</v>
      </c>
      <c r="N28" s="488">
        <v>0.93</v>
      </c>
      <c r="O28" s="488">
        <v>42.68</v>
      </c>
      <c r="P28" s="488">
        <v>179.68</v>
      </c>
      <c r="Q28" s="488">
        <v>5.21</v>
      </c>
      <c r="R28" s="488">
        <v>5.09</v>
      </c>
      <c r="S28" s="488">
        <v>5.35</v>
      </c>
      <c r="T28" s="209">
        <f t="shared" si="2"/>
        <v>0</v>
      </c>
      <c r="U28" s="488">
        <v>99.26</v>
      </c>
      <c r="V28" s="488">
        <v>0</v>
      </c>
      <c r="W28" s="488">
        <v>0.86</v>
      </c>
      <c r="X28" s="488">
        <v>0</v>
      </c>
      <c r="Y28" s="488">
        <v>0</v>
      </c>
      <c r="Z28" s="488">
        <v>20.66</v>
      </c>
      <c r="AA28" s="209">
        <f t="shared" si="3"/>
        <v>0</v>
      </c>
      <c r="AB28" s="488">
        <v>0</v>
      </c>
      <c r="AC28" s="488">
        <v>34.94</v>
      </c>
      <c r="AD28" s="488">
        <v>0</v>
      </c>
      <c r="AE28" s="488">
        <v>10.32</v>
      </c>
      <c r="AF28" s="488">
        <v>5.0599999999999996</v>
      </c>
      <c r="AG28" s="488">
        <v>0</v>
      </c>
      <c r="AH28" s="488">
        <v>86.96</v>
      </c>
      <c r="AI28" s="209">
        <f t="shared" si="4"/>
        <v>2.0060666857743383</v>
      </c>
      <c r="AJ28" s="209">
        <f t="shared" si="4"/>
        <v>0</v>
      </c>
      <c r="AK28" s="209">
        <f t="shared" si="4"/>
        <v>0</v>
      </c>
      <c r="AL28" s="209">
        <f t="shared" si="4"/>
        <v>0</v>
      </c>
      <c r="AM28" s="209">
        <f t="shared" si="4"/>
        <v>0</v>
      </c>
      <c r="AN28" s="210">
        <f t="shared" si="4"/>
        <v>0.16695328174261967</v>
      </c>
    </row>
    <row r="29" spans="1:40">
      <c r="A29">
        <v>27</v>
      </c>
      <c r="B29" s="612"/>
      <c r="C29" s="613" t="s">
        <v>529</v>
      </c>
      <c r="D29" s="625">
        <v>3.38</v>
      </c>
      <c r="E29" s="626">
        <v>0</v>
      </c>
      <c r="F29" s="626">
        <v>2.83</v>
      </c>
      <c r="G29" s="627">
        <f t="shared" si="1"/>
        <v>0</v>
      </c>
      <c r="H29" s="626">
        <v>0</v>
      </c>
      <c r="I29" s="626">
        <v>16.46</v>
      </c>
      <c r="J29" s="626">
        <v>0</v>
      </c>
      <c r="K29" s="626">
        <v>0</v>
      </c>
      <c r="L29" s="626">
        <v>0</v>
      </c>
      <c r="M29" s="626">
        <v>0</v>
      </c>
      <c r="N29" s="626">
        <v>0</v>
      </c>
      <c r="O29" s="626">
        <v>0</v>
      </c>
      <c r="P29" s="626">
        <v>0</v>
      </c>
      <c r="Q29" s="626">
        <v>0</v>
      </c>
      <c r="R29" s="626">
        <v>1.08</v>
      </c>
      <c r="S29" s="626">
        <v>77.19</v>
      </c>
      <c r="T29" s="627">
        <f t="shared" si="2"/>
        <v>0</v>
      </c>
      <c r="U29" s="626">
        <v>0</v>
      </c>
      <c r="V29" s="626">
        <v>0</v>
      </c>
      <c r="W29" s="626">
        <v>0</v>
      </c>
      <c r="X29" s="626">
        <v>0</v>
      </c>
      <c r="Y29" s="626">
        <v>0</v>
      </c>
      <c r="Z29" s="626">
        <v>0</v>
      </c>
      <c r="AA29" s="627">
        <f t="shared" si="3"/>
        <v>0</v>
      </c>
      <c r="AB29" s="626">
        <v>1086.25</v>
      </c>
      <c r="AC29" s="626">
        <v>0</v>
      </c>
      <c r="AD29" s="626">
        <v>0</v>
      </c>
      <c r="AE29" s="626">
        <v>0</v>
      </c>
      <c r="AF29" s="626">
        <v>0</v>
      </c>
      <c r="AG29" s="626">
        <v>0</v>
      </c>
      <c r="AH29" s="626">
        <v>32.159999999999997</v>
      </c>
      <c r="AI29" s="627">
        <f t="shared" si="4"/>
        <v>0</v>
      </c>
      <c r="AJ29" s="627">
        <f t="shared" si="4"/>
        <v>0</v>
      </c>
      <c r="AK29" s="627">
        <f t="shared" si="4"/>
        <v>0</v>
      </c>
      <c r="AL29" s="627">
        <f t="shared" si="4"/>
        <v>0</v>
      </c>
      <c r="AM29" s="627">
        <f t="shared" si="4"/>
        <v>0</v>
      </c>
      <c r="AN29" s="628">
        <f t="shared" si="4"/>
        <v>0</v>
      </c>
    </row>
    <row r="30" spans="1:40">
      <c r="A30">
        <v>28</v>
      </c>
      <c r="B30" s="616" t="s">
        <v>537</v>
      </c>
      <c r="C30" s="617" t="s">
        <v>510</v>
      </c>
      <c r="D30" s="640">
        <v>835.72</v>
      </c>
      <c r="E30" s="641">
        <v>1064.17</v>
      </c>
      <c r="F30" s="641">
        <v>415.54000000000008</v>
      </c>
      <c r="G30" s="642">
        <f t="shared" si="1"/>
        <v>948.89384417186636</v>
      </c>
      <c r="H30" s="641">
        <v>83.17</v>
      </c>
      <c r="I30" s="641">
        <v>492.48</v>
      </c>
      <c r="J30" s="641">
        <v>7221.04</v>
      </c>
      <c r="K30" s="641">
        <v>560.16999999999996</v>
      </c>
      <c r="L30" s="641">
        <v>101.74000000000001</v>
      </c>
      <c r="M30" s="641">
        <v>4153.8100000000004</v>
      </c>
      <c r="N30" s="641">
        <v>644.85</v>
      </c>
      <c r="O30" s="641">
        <v>7713.24</v>
      </c>
      <c r="P30" s="641">
        <v>531.07000000000005</v>
      </c>
      <c r="Q30" s="641">
        <v>260.89</v>
      </c>
      <c r="R30" s="641">
        <v>436.15</v>
      </c>
      <c r="S30" s="641">
        <v>407.41</v>
      </c>
      <c r="T30" s="642">
        <f t="shared" si="2"/>
        <v>25.328612224416023</v>
      </c>
      <c r="U30" s="641">
        <v>4223.6899999999996</v>
      </c>
      <c r="V30" s="641">
        <v>136.13</v>
      </c>
      <c r="W30" s="641">
        <v>49.79999999999999</v>
      </c>
      <c r="X30" s="641">
        <v>126.14999999999999</v>
      </c>
      <c r="Y30" s="641">
        <v>27.55</v>
      </c>
      <c r="Z30" s="641">
        <v>1506.67</v>
      </c>
      <c r="AA30" s="642">
        <f t="shared" si="3"/>
        <v>1083.9949192240056</v>
      </c>
      <c r="AB30" s="641">
        <v>1549.1299999999999</v>
      </c>
      <c r="AC30" s="641">
        <v>802.09999999999991</v>
      </c>
      <c r="AD30" s="641">
        <v>790.59</v>
      </c>
      <c r="AE30" s="641">
        <v>1029.83</v>
      </c>
      <c r="AF30" s="641">
        <v>161.04</v>
      </c>
      <c r="AG30" s="641">
        <v>208.67</v>
      </c>
      <c r="AH30" s="641">
        <v>5686.21</v>
      </c>
      <c r="AI30" s="642">
        <f t="shared" si="4"/>
        <v>75.822198671333467</v>
      </c>
      <c r="AJ30" s="642">
        <f t="shared" si="4"/>
        <v>178.31069691593291</v>
      </c>
      <c r="AK30" s="642">
        <f t="shared" si="4"/>
        <v>37.494171954815016</v>
      </c>
      <c r="AL30" s="642">
        <f t="shared" si="4"/>
        <v>126.81726503316803</v>
      </c>
      <c r="AM30" s="642">
        <f t="shared" si="4"/>
        <v>574.45311857364766</v>
      </c>
      <c r="AN30" s="643">
        <f t="shared" si="4"/>
        <v>87.958707326231121</v>
      </c>
    </row>
    <row r="31" spans="1:40">
      <c r="A31">
        <v>29</v>
      </c>
      <c r="B31" s="618" t="s">
        <v>686</v>
      </c>
      <c r="C31" s="619"/>
      <c r="D31" s="638">
        <f t="shared" ref="D31:F31" si="5">SUM(D4,D10,D12,D21,D30)</f>
        <v>6896.0000000000009</v>
      </c>
      <c r="E31" s="638">
        <f t="shared" si="5"/>
        <v>8989.27</v>
      </c>
      <c r="F31" s="638">
        <f t="shared" si="5"/>
        <v>2246.4299999999998</v>
      </c>
      <c r="G31" s="638">
        <f>SUM(G4,G10,G12,G21,G30)</f>
        <v>6459.8679182191654</v>
      </c>
      <c r="H31" s="638">
        <f t="shared" ref="H31:S31" si="6">SUM(H4,H10,H12,H21,H30)</f>
        <v>354.46000000000004</v>
      </c>
      <c r="I31" s="638">
        <f t="shared" si="6"/>
        <v>6783.7000000000007</v>
      </c>
      <c r="J31" s="638">
        <f t="shared" si="6"/>
        <v>62041.01</v>
      </c>
      <c r="K31" s="638">
        <f t="shared" si="6"/>
        <v>4899.68</v>
      </c>
      <c r="L31" s="638">
        <f t="shared" si="6"/>
        <v>1027.73</v>
      </c>
      <c r="M31" s="638">
        <f t="shared" si="6"/>
        <v>17339.810000000001</v>
      </c>
      <c r="N31" s="638">
        <f t="shared" si="6"/>
        <v>5912.7000000000007</v>
      </c>
      <c r="O31" s="638">
        <f t="shared" si="6"/>
        <v>47844.37</v>
      </c>
      <c r="P31" s="638">
        <f t="shared" si="6"/>
        <v>4631.8799999999992</v>
      </c>
      <c r="Q31" s="638">
        <f t="shared" si="6"/>
        <v>1889.96</v>
      </c>
      <c r="R31" s="638">
        <f t="shared" si="6"/>
        <v>5718.74</v>
      </c>
      <c r="S31" s="638">
        <f t="shared" si="6"/>
        <v>3241.0699999999997</v>
      </c>
      <c r="T31" s="638">
        <f>SUM(T4,T10,T12,T21,T30)</f>
        <v>428.22680806343749</v>
      </c>
      <c r="U31" s="638">
        <f t="shared" ref="U31:Z31" si="7">SUM(U4,U10,U12,U21,U30)</f>
        <v>31525.21</v>
      </c>
      <c r="V31" s="638">
        <f t="shared" si="7"/>
        <v>1584.4900000000002</v>
      </c>
      <c r="W31" s="638">
        <f t="shared" si="7"/>
        <v>485.62999999999994</v>
      </c>
      <c r="X31" s="638">
        <f t="shared" si="7"/>
        <v>1511.5600000000002</v>
      </c>
      <c r="Y31" s="638">
        <f t="shared" si="7"/>
        <v>61.870000000000005</v>
      </c>
      <c r="Z31" s="638">
        <f t="shared" si="7"/>
        <v>11517.855000000001</v>
      </c>
      <c r="AA31" s="638">
        <f>SUM(AA4,AA10,AA12,AA21,AA30)</f>
        <v>4423.3543517722374</v>
      </c>
      <c r="AB31" s="638">
        <f t="shared" ref="AB31:AG31" si="8">SUM(AB4,AB10,AB12,AB21,AB30)</f>
        <v>21009.47</v>
      </c>
      <c r="AC31" s="638">
        <f t="shared" si="8"/>
        <v>2982.72</v>
      </c>
      <c r="AD31" s="638">
        <f t="shared" si="8"/>
        <v>8314.17</v>
      </c>
      <c r="AE31" s="638">
        <f t="shared" si="8"/>
        <v>7558.2</v>
      </c>
      <c r="AF31" s="638">
        <f t="shared" si="8"/>
        <v>1275.04</v>
      </c>
      <c r="AG31" s="638">
        <f t="shared" si="8"/>
        <v>2307.2700000000004</v>
      </c>
      <c r="AH31" s="638">
        <f>SUM(AH4,AH10,AH12,AH21,AH30)</f>
        <v>45802.799999999996</v>
      </c>
      <c r="AI31" s="638">
        <f>SUM(AI4,AI10,AI12,AI21,AI30)</f>
        <v>486.36333237794969</v>
      </c>
      <c r="AJ31" s="638">
        <f>SUM(AJ4,AJ10,AJ12,AJ21,AJ30)</f>
        <v>819.96608388267873</v>
      </c>
      <c r="AK31" s="638">
        <f t="shared" ref="AK31:AM31" si="9">SUM(AK4,AK10,AK12,AK21,AK30)</f>
        <v>337.32205980701247</v>
      </c>
      <c r="AL31" s="638">
        <f t="shared" si="9"/>
        <v>536.85392184962245</v>
      </c>
      <c r="AM31" s="638">
        <f t="shared" si="9"/>
        <v>3095.7772045476258</v>
      </c>
      <c r="AN31" s="639">
        <f>SUM(AN4,AN10,AN12,AN21,AN30)</f>
        <v>461.5957294353683</v>
      </c>
    </row>
    <row r="32" spans="1:40">
      <c r="A32" s="629"/>
      <c r="B32" s="606"/>
      <c r="C32" s="606"/>
      <c r="D32" s="630"/>
      <c r="E32" s="467"/>
      <c r="F32" s="467"/>
      <c r="G32" s="467"/>
      <c r="H32" s="467"/>
      <c r="I32" s="467"/>
      <c r="J32" s="467"/>
      <c r="K32" s="467"/>
      <c r="L32" s="467"/>
      <c r="M32" s="467"/>
      <c r="N32" s="467"/>
      <c r="O32" s="467"/>
      <c r="P32" s="467"/>
      <c r="Q32" s="467"/>
      <c r="R32" s="467"/>
      <c r="S32" s="467"/>
      <c r="T32" s="467"/>
      <c r="U32" s="467"/>
      <c r="V32" s="467"/>
      <c r="W32" s="467"/>
      <c r="X32" s="467"/>
      <c r="Y32" s="467"/>
      <c r="Z32" s="467"/>
      <c r="AA32" s="467"/>
      <c r="AB32" s="467"/>
      <c r="AC32" s="467"/>
      <c r="AD32" s="467"/>
      <c r="AE32" s="467"/>
      <c r="AF32" s="467"/>
      <c r="AG32" s="467"/>
      <c r="AH32" s="467"/>
      <c r="AI32" s="467"/>
      <c r="AJ32" s="467"/>
      <c r="AK32" s="467"/>
      <c r="AL32" s="467"/>
      <c r="AM32" s="467"/>
      <c r="AN32" s="467"/>
    </row>
    <row r="33" spans="1:40" ht="21">
      <c r="A33" s="3" t="s">
        <v>691</v>
      </c>
      <c r="B33" s="606"/>
      <c r="C33" s="606"/>
      <c r="D33" s="630"/>
      <c r="E33" s="467"/>
      <c r="F33" s="467"/>
      <c r="G33" s="467"/>
      <c r="H33" s="467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67"/>
      <c r="X33" s="467"/>
      <c r="Y33" s="467"/>
      <c r="Z33" s="467"/>
      <c r="AA33" s="467"/>
      <c r="AB33" s="467"/>
      <c r="AC33" s="467"/>
      <c r="AD33" s="467"/>
      <c r="AE33" s="467"/>
      <c r="AF33" s="467"/>
      <c r="AG33" s="467"/>
      <c r="AH33" s="467"/>
      <c r="AI33" s="467"/>
      <c r="AJ33" s="467"/>
      <c r="AK33" s="467"/>
      <c r="AL33" s="467"/>
      <c r="AM33" s="467"/>
      <c r="AN33" s="467"/>
    </row>
    <row r="34" spans="1:40">
      <c r="A34" t="s">
        <v>693</v>
      </c>
      <c r="B34" s="606"/>
      <c r="C34" s="606"/>
      <c r="D34" s="630"/>
      <c r="E34" s="467"/>
      <c r="F34" s="467"/>
      <c r="G34" s="467"/>
      <c r="H34" s="467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67"/>
      <c r="X34" s="467"/>
      <c r="Y34" s="467"/>
      <c r="Z34" s="467"/>
      <c r="AA34" s="467"/>
      <c r="AB34" s="467"/>
      <c r="AC34" s="467"/>
      <c r="AD34" s="467"/>
      <c r="AE34" s="467"/>
      <c r="AF34" s="467"/>
      <c r="AG34" s="467"/>
      <c r="AH34" s="467"/>
      <c r="AI34" s="467"/>
      <c r="AJ34" s="467"/>
      <c r="AK34" s="467"/>
      <c r="AL34" s="467"/>
      <c r="AM34" s="467"/>
      <c r="AN34" s="467"/>
    </row>
    <row r="35" spans="1:40">
      <c r="B35" t="s">
        <v>687</v>
      </c>
      <c r="D35" s="247" t="s">
        <v>88</v>
      </c>
      <c r="E35" s="248" t="s">
        <v>89</v>
      </c>
      <c r="F35" s="248" t="s">
        <v>90</v>
      </c>
      <c r="G35" s="248" t="s">
        <v>91</v>
      </c>
      <c r="H35" s="248" t="s">
        <v>92</v>
      </c>
      <c r="I35" s="248" t="s">
        <v>93</v>
      </c>
      <c r="J35" s="248" t="s">
        <v>94</v>
      </c>
      <c r="K35" s="248" t="s">
        <v>95</v>
      </c>
      <c r="L35" s="248" t="s">
        <v>96</v>
      </c>
      <c r="M35" s="248" t="s">
        <v>97</v>
      </c>
      <c r="N35" s="248" t="s">
        <v>98</v>
      </c>
      <c r="O35" s="248" t="s">
        <v>99</v>
      </c>
      <c r="P35" s="248" t="s">
        <v>205</v>
      </c>
      <c r="Q35" s="248" t="s">
        <v>118</v>
      </c>
      <c r="R35" s="248" t="s">
        <v>100</v>
      </c>
      <c r="S35" s="248" t="s">
        <v>101</v>
      </c>
      <c r="T35" s="248" t="s">
        <v>102</v>
      </c>
      <c r="U35" s="248" t="s">
        <v>103</v>
      </c>
      <c r="V35" s="248" t="s">
        <v>104</v>
      </c>
      <c r="W35" s="248" t="s">
        <v>105</v>
      </c>
      <c r="X35" s="248" t="s">
        <v>106</v>
      </c>
      <c r="Y35" s="248" t="s">
        <v>107</v>
      </c>
      <c r="Z35" s="248" t="s">
        <v>108</v>
      </c>
      <c r="AA35" s="248" t="s">
        <v>109</v>
      </c>
      <c r="AB35" s="248" t="s">
        <v>110</v>
      </c>
      <c r="AC35" s="248" t="s">
        <v>111</v>
      </c>
      <c r="AD35" s="248" t="s">
        <v>112</v>
      </c>
      <c r="AE35" s="248" t="s">
        <v>113</v>
      </c>
      <c r="AF35" s="248" t="s">
        <v>114</v>
      </c>
      <c r="AG35" s="248" t="s">
        <v>115</v>
      </c>
      <c r="AH35" s="248" t="s">
        <v>52</v>
      </c>
      <c r="AI35" s="248" t="s">
        <v>116</v>
      </c>
      <c r="AJ35" s="248" t="s">
        <v>117</v>
      </c>
      <c r="AK35" s="248" t="s">
        <v>119</v>
      </c>
      <c r="AL35" s="248" t="s">
        <v>120</v>
      </c>
      <c r="AM35" s="248" t="s">
        <v>121</v>
      </c>
      <c r="AN35" s="249" t="s">
        <v>122</v>
      </c>
    </row>
    <row r="36" spans="1:40">
      <c r="B36" s="608" t="s">
        <v>524</v>
      </c>
      <c r="C36" s="609" t="s">
        <v>525</v>
      </c>
      <c r="D36" s="620">
        <v>214.58</v>
      </c>
      <c r="E36" s="621">
        <v>280.33</v>
      </c>
      <c r="F36" s="621">
        <v>150.94999999999999</v>
      </c>
      <c r="G36" s="622">
        <f>G99/(41.868/1000)</f>
        <v>321.76874849964912</v>
      </c>
      <c r="H36" s="621">
        <v>22.33</v>
      </c>
      <c r="I36" s="621">
        <v>259.64999999999998</v>
      </c>
      <c r="J36" s="621">
        <v>2663.65</v>
      </c>
      <c r="K36" s="621">
        <v>175.79</v>
      </c>
      <c r="L36" s="621">
        <v>43.05</v>
      </c>
      <c r="M36" s="621">
        <v>960.87</v>
      </c>
      <c r="N36" s="621">
        <v>156.94</v>
      </c>
      <c r="O36" s="621">
        <v>2340.6799999999998</v>
      </c>
      <c r="P36" s="621">
        <v>378.99</v>
      </c>
      <c r="Q36" s="621">
        <v>100.94</v>
      </c>
      <c r="R36" s="621">
        <v>224.05</v>
      </c>
      <c r="S36" s="621">
        <v>93.22</v>
      </c>
      <c r="T36" s="622">
        <f>T99/(41.868/1000)</f>
        <v>6.2314648235979933</v>
      </c>
      <c r="U36" s="621">
        <v>1344.43</v>
      </c>
      <c r="V36" s="621">
        <v>64.34</v>
      </c>
      <c r="W36" s="621">
        <v>12.999999999999998</v>
      </c>
      <c r="X36" s="621">
        <v>37.32</v>
      </c>
      <c r="Y36" s="621">
        <v>6.33</v>
      </c>
      <c r="Z36" s="621">
        <v>455.46</v>
      </c>
      <c r="AA36" s="622">
        <f>AA99/(41.868/1000)</f>
        <v>261.46799130933249</v>
      </c>
      <c r="AB36" s="621">
        <v>852.89</v>
      </c>
      <c r="AC36" s="621">
        <v>477.51</v>
      </c>
      <c r="AD36" s="621">
        <v>303.64999999999998</v>
      </c>
      <c r="AE36" s="621">
        <v>264.13</v>
      </c>
      <c r="AF36" s="621">
        <v>40.32</v>
      </c>
      <c r="AG36" s="621">
        <v>98.94</v>
      </c>
      <c r="AH36" s="621">
        <v>1017.5400000000001</v>
      </c>
      <c r="AI36" s="622">
        <f t="shared" ref="AI36:AN51" si="10">AI99/(41.868/1000)</f>
        <v>71.202437376658082</v>
      </c>
      <c r="AJ36" s="622">
        <f t="shared" si="10"/>
        <v>50.299607997300441</v>
      </c>
      <c r="AK36" s="622">
        <f t="shared" si="10"/>
        <v>29.013674760677809</v>
      </c>
      <c r="AL36" s="622">
        <f t="shared" si="10"/>
        <v>37.015290792833156</v>
      </c>
      <c r="AM36" s="622">
        <f t="shared" si="10"/>
        <v>169.52308478844736</v>
      </c>
      <c r="AN36" s="623">
        <f t="shared" si="10"/>
        <v>26.436941561640818</v>
      </c>
    </row>
    <row r="37" spans="1:40">
      <c r="B37" s="610"/>
      <c r="C37" s="611" t="s">
        <v>526</v>
      </c>
      <c r="D37" s="624">
        <v>6.98</v>
      </c>
      <c r="E37" s="488">
        <v>0</v>
      </c>
      <c r="F37" s="488">
        <v>5.63</v>
      </c>
      <c r="G37" s="209">
        <f t="shared" ref="G37:G61" si="11">G100/(41.868/1000)</f>
        <v>0</v>
      </c>
      <c r="H37" s="488">
        <v>0</v>
      </c>
      <c r="I37" s="488">
        <v>5.32</v>
      </c>
      <c r="J37" s="488">
        <v>0</v>
      </c>
      <c r="K37" s="488">
        <v>0</v>
      </c>
      <c r="L37" s="488">
        <v>1.9</v>
      </c>
      <c r="M37" s="488">
        <v>9.01</v>
      </c>
      <c r="N37" s="488">
        <v>0</v>
      </c>
      <c r="O37" s="488">
        <v>0</v>
      </c>
      <c r="P37" s="488">
        <v>12.300000000000002</v>
      </c>
      <c r="Q37" s="488">
        <v>0</v>
      </c>
      <c r="R37" s="488">
        <v>4.7</v>
      </c>
      <c r="S37" s="488">
        <v>0</v>
      </c>
      <c r="T37" s="209">
        <f t="shared" ref="T37:T61" si="12">T100/(41.868/1000)</f>
        <v>0</v>
      </c>
      <c r="U37" s="488">
        <v>0</v>
      </c>
      <c r="V37" s="488">
        <v>5.69</v>
      </c>
      <c r="W37" s="488">
        <v>0</v>
      </c>
      <c r="X37" s="488">
        <v>7.4599999999999991</v>
      </c>
      <c r="Y37" s="488">
        <v>0</v>
      </c>
      <c r="Z37" s="488">
        <v>0</v>
      </c>
      <c r="AA37" s="209">
        <f t="shared" ref="AA37:AA61" si="13">AA100/(41.868/1000)</f>
        <v>0</v>
      </c>
      <c r="AB37" s="488">
        <v>18.2</v>
      </c>
      <c r="AC37" s="488">
        <v>86.58</v>
      </c>
      <c r="AD37" s="488">
        <v>82.35</v>
      </c>
      <c r="AE37" s="488">
        <v>0</v>
      </c>
      <c r="AF37" s="488">
        <v>3.7299999999999995</v>
      </c>
      <c r="AG37" s="488">
        <v>0</v>
      </c>
      <c r="AH37" s="488">
        <v>0</v>
      </c>
      <c r="AI37" s="209">
        <f t="shared" si="10"/>
        <v>3.6531412530727811</v>
      </c>
      <c r="AJ37" s="209">
        <f t="shared" si="10"/>
        <v>0</v>
      </c>
      <c r="AK37" s="209">
        <f t="shared" si="10"/>
        <v>4.5731114448445602</v>
      </c>
      <c r="AL37" s="209">
        <f t="shared" si="10"/>
        <v>0</v>
      </c>
      <c r="AM37" s="209">
        <f t="shared" si="10"/>
        <v>0</v>
      </c>
      <c r="AN37" s="210">
        <f t="shared" si="10"/>
        <v>0</v>
      </c>
    </row>
    <row r="38" spans="1:40">
      <c r="B38" s="610"/>
      <c r="C38" s="611" t="s">
        <v>510</v>
      </c>
      <c r="D38" s="624">
        <v>186.59</v>
      </c>
      <c r="E38" s="488">
        <v>206.12</v>
      </c>
      <c r="F38" s="488">
        <v>132.03</v>
      </c>
      <c r="G38" s="209">
        <f t="shared" si="11"/>
        <v>319.86967280614584</v>
      </c>
      <c r="H38" s="488">
        <v>8.8699999999999992</v>
      </c>
      <c r="I38" s="488">
        <v>202.58</v>
      </c>
      <c r="J38" s="488">
        <v>2429.6999999999998</v>
      </c>
      <c r="K38" s="488">
        <v>165.32</v>
      </c>
      <c r="L38" s="488">
        <v>38.72</v>
      </c>
      <c r="M38" s="488">
        <v>561.11</v>
      </c>
      <c r="N38" s="488">
        <v>154.94</v>
      </c>
      <c r="O38" s="488">
        <v>1777.5</v>
      </c>
      <c r="P38" s="488">
        <v>347.34</v>
      </c>
      <c r="Q38" s="488">
        <v>72.45</v>
      </c>
      <c r="R38" s="488">
        <v>109.34</v>
      </c>
      <c r="S38" s="488">
        <v>70.84</v>
      </c>
      <c r="T38" s="209">
        <f t="shared" si="12"/>
        <v>6.0606260910017866</v>
      </c>
      <c r="U38" s="488">
        <v>365.43</v>
      </c>
      <c r="V38" s="488">
        <v>45.75</v>
      </c>
      <c r="W38" s="488">
        <v>9.1999999999999993</v>
      </c>
      <c r="X38" s="488">
        <v>20.63</v>
      </c>
      <c r="Y38" s="488">
        <v>2.82</v>
      </c>
      <c r="Z38" s="488">
        <v>294.63</v>
      </c>
      <c r="AA38" s="209">
        <f t="shared" si="13"/>
        <v>259.37812272357348</v>
      </c>
      <c r="AB38" s="488">
        <v>516.66</v>
      </c>
      <c r="AC38" s="488">
        <v>205.92000000000002</v>
      </c>
      <c r="AD38" s="488">
        <v>47.05</v>
      </c>
      <c r="AE38" s="488">
        <v>262.38</v>
      </c>
      <c r="AF38" s="488">
        <v>24.06</v>
      </c>
      <c r="AG38" s="488">
        <v>64.599999999999994</v>
      </c>
      <c r="AH38" s="488">
        <v>584.75</v>
      </c>
      <c r="AI38" s="209">
        <f t="shared" si="10"/>
        <v>49.42467457624258</v>
      </c>
      <c r="AJ38" s="209">
        <f t="shared" si="10"/>
        <v>49.3544516476097</v>
      </c>
      <c r="AK38" s="209">
        <f t="shared" si="10"/>
        <v>24.440563315833245</v>
      </c>
      <c r="AL38" s="209">
        <f t="shared" si="10"/>
        <v>35.101632618891543</v>
      </c>
      <c r="AM38" s="209">
        <f t="shared" si="10"/>
        <v>159.00234340864338</v>
      </c>
      <c r="AN38" s="210">
        <f t="shared" si="10"/>
        <v>24.346008639994405</v>
      </c>
    </row>
    <row r="39" spans="1:40">
      <c r="B39" s="610"/>
      <c r="C39" s="611" t="s">
        <v>527</v>
      </c>
      <c r="D39" s="624">
        <v>13.71</v>
      </c>
      <c r="E39" s="488">
        <v>63.15</v>
      </c>
      <c r="F39" s="488">
        <v>1.8899999999999997</v>
      </c>
      <c r="G39" s="209">
        <f t="shared" si="11"/>
        <v>1.899075693503238</v>
      </c>
      <c r="H39" s="488">
        <v>0</v>
      </c>
      <c r="I39" s="488">
        <v>50.849999999999994</v>
      </c>
      <c r="J39" s="488">
        <v>37.909999999999997</v>
      </c>
      <c r="K39" s="488">
        <v>4.95</v>
      </c>
      <c r="L39" s="488">
        <v>1.0900000000000001</v>
      </c>
      <c r="M39" s="488">
        <v>258</v>
      </c>
      <c r="N39" s="488">
        <v>0.45</v>
      </c>
      <c r="O39" s="488">
        <v>297.99</v>
      </c>
      <c r="P39" s="488">
        <v>8.1300000000000008</v>
      </c>
      <c r="Q39" s="488">
        <v>13.170000000000002</v>
      </c>
      <c r="R39" s="488">
        <v>85.56</v>
      </c>
      <c r="S39" s="488">
        <v>14.63</v>
      </c>
      <c r="T39" s="209">
        <f t="shared" si="12"/>
        <v>0</v>
      </c>
      <c r="U39" s="488">
        <v>768.77</v>
      </c>
      <c r="V39" s="488">
        <v>3.0600000000000005</v>
      </c>
      <c r="W39" s="488">
        <v>3.22</v>
      </c>
      <c r="X39" s="488">
        <v>2.75</v>
      </c>
      <c r="Y39" s="488">
        <v>0</v>
      </c>
      <c r="Z39" s="488">
        <v>150.88</v>
      </c>
      <c r="AA39" s="209">
        <f t="shared" si="13"/>
        <v>3.6089909113328447E-2</v>
      </c>
      <c r="AB39" s="488">
        <v>94.44</v>
      </c>
      <c r="AC39" s="488">
        <v>38.909999999999997</v>
      </c>
      <c r="AD39" s="488">
        <v>90.91</v>
      </c>
      <c r="AE39" s="488">
        <v>1.75</v>
      </c>
      <c r="AF39" s="488">
        <v>3.4199999999999995</v>
      </c>
      <c r="AG39" s="488">
        <v>30.75</v>
      </c>
      <c r="AH39" s="488">
        <v>401.04999999999995</v>
      </c>
      <c r="AI39" s="209">
        <f t="shared" si="10"/>
        <v>0</v>
      </c>
      <c r="AJ39" s="209">
        <f t="shared" si="10"/>
        <v>0.94515634969074835</v>
      </c>
      <c r="AK39" s="209">
        <f t="shared" si="10"/>
        <v>0</v>
      </c>
      <c r="AL39" s="209">
        <f t="shared" si="10"/>
        <v>0</v>
      </c>
      <c r="AM39" s="209">
        <f t="shared" si="10"/>
        <v>4.7161297690594948</v>
      </c>
      <c r="AN39" s="210">
        <f t="shared" si="10"/>
        <v>0</v>
      </c>
    </row>
    <row r="40" spans="1:40">
      <c r="B40" s="610"/>
      <c r="C40" s="611" t="s">
        <v>528</v>
      </c>
      <c r="D40" s="624">
        <v>7.1</v>
      </c>
      <c r="E40" s="488">
        <v>11.06</v>
      </c>
      <c r="F40" s="488">
        <v>8.32</v>
      </c>
      <c r="G40" s="209">
        <f t="shared" si="11"/>
        <v>0</v>
      </c>
      <c r="H40" s="488">
        <v>13.47</v>
      </c>
      <c r="I40" s="488">
        <v>0.9</v>
      </c>
      <c r="J40" s="488">
        <v>196.04</v>
      </c>
      <c r="K40" s="488">
        <v>5.52</v>
      </c>
      <c r="L40" s="488">
        <v>1.33</v>
      </c>
      <c r="M40" s="488">
        <v>128.21</v>
      </c>
      <c r="N40" s="488">
        <v>1.55</v>
      </c>
      <c r="O40" s="488">
        <v>265.19</v>
      </c>
      <c r="P40" s="488">
        <v>11.21</v>
      </c>
      <c r="Q40" s="488">
        <v>15.32</v>
      </c>
      <c r="R40" s="488">
        <v>24.230000000000004</v>
      </c>
      <c r="S40" s="488">
        <v>7.76</v>
      </c>
      <c r="T40" s="209">
        <f t="shared" si="12"/>
        <v>0.17083873259620777</v>
      </c>
      <c r="U40" s="488">
        <v>210.22</v>
      </c>
      <c r="V40" s="488">
        <v>9.84</v>
      </c>
      <c r="W40" s="488">
        <v>0.56999999999999995</v>
      </c>
      <c r="X40" s="488">
        <v>6.4900000000000011</v>
      </c>
      <c r="Y40" s="488">
        <v>3.52</v>
      </c>
      <c r="Z40" s="488">
        <v>9.9450000000000003</v>
      </c>
      <c r="AA40" s="209">
        <f t="shared" si="13"/>
        <v>2.0537786766457153</v>
      </c>
      <c r="AB40" s="488">
        <v>168.03</v>
      </c>
      <c r="AC40" s="488">
        <v>146.1</v>
      </c>
      <c r="AD40" s="488">
        <v>83.34</v>
      </c>
      <c r="AE40" s="488">
        <v>0</v>
      </c>
      <c r="AF40" s="488">
        <v>9.11</v>
      </c>
      <c r="AG40" s="488">
        <v>3.5900000000000003</v>
      </c>
      <c r="AH40" s="488">
        <v>31.74</v>
      </c>
      <c r="AI40" s="209">
        <f t="shared" si="10"/>
        <v>18.124621547342731</v>
      </c>
      <c r="AJ40" s="209">
        <f t="shared" si="10"/>
        <v>0</v>
      </c>
      <c r="AK40" s="209">
        <f t="shared" si="10"/>
        <v>0</v>
      </c>
      <c r="AL40" s="209">
        <f t="shared" si="10"/>
        <v>1.9136581739416092</v>
      </c>
      <c r="AM40" s="209">
        <f t="shared" si="10"/>
        <v>5.8046116107445007</v>
      </c>
      <c r="AN40" s="210">
        <f t="shared" si="10"/>
        <v>2.0909329216464139</v>
      </c>
    </row>
    <row r="41" spans="1:40">
      <c r="B41" s="612"/>
      <c r="C41" s="613" t="s">
        <v>529</v>
      </c>
      <c r="D41" s="625">
        <v>0.19999999999999998</v>
      </c>
      <c r="E41" s="626">
        <v>0</v>
      </c>
      <c r="F41" s="626">
        <v>3.08</v>
      </c>
      <c r="G41" s="627">
        <f t="shared" si="11"/>
        <v>0</v>
      </c>
      <c r="H41" s="626">
        <v>0</v>
      </c>
      <c r="I41" s="626">
        <v>0</v>
      </c>
      <c r="J41" s="626">
        <v>0</v>
      </c>
      <c r="K41" s="626">
        <v>0</v>
      </c>
      <c r="L41" s="626">
        <v>0</v>
      </c>
      <c r="M41" s="626">
        <v>4.54</v>
      </c>
      <c r="N41" s="626">
        <v>0</v>
      </c>
      <c r="O41" s="626">
        <v>0</v>
      </c>
      <c r="P41" s="626">
        <v>0</v>
      </c>
      <c r="Q41" s="626">
        <v>0</v>
      </c>
      <c r="R41" s="626">
        <v>0.22</v>
      </c>
      <c r="S41" s="626">
        <v>0</v>
      </c>
      <c r="T41" s="627">
        <f t="shared" si="12"/>
        <v>0</v>
      </c>
      <c r="U41" s="626">
        <v>0</v>
      </c>
      <c r="V41" s="626">
        <v>0</v>
      </c>
      <c r="W41" s="626">
        <v>0</v>
      </c>
      <c r="X41" s="626">
        <v>0</v>
      </c>
      <c r="Y41" s="626">
        <v>0</v>
      </c>
      <c r="Z41" s="626">
        <v>0</v>
      </c>
      <c r="AA41" s="627">
        <f t="shared" si="13"/>
        <v>0</v>
      </c>
      <c r="AB41" s="626">
        <v>55.56</v>
      </c>
      <c r="AC41" s="626">
        <v>0</v>
      </c>
      <c r="AD41" s="626">
        <v>0</v>
      </c>
      <c r="AE41" s="626">
        <v>0</v>
      </c>
      <c r="AF41" s="626">
        <v>0</v>
      </c>
      <c r="AG41" s="626">
        <v>0</v>
      </c>
      <c r="AH41" s="626">
        <v>0</v>
      </c>
      <c r="AI41" s="627">
        <f t="shared" si="10"/>
        <v>0</v>
      </c>
      <c r="AJ41" s="627">
        <f t="shared" si="10"/>
        <v>0</v>
      </c>
      <c r="AK41" s="627">
        <f t="shared" si="10"/>
        <v>0</v>
      </c>
      <c r="AL41" s="627">
        <f t="shared" si="10"/>
        <v>0</v>
      </c>
      <c r="AM41" s="627">
        <f t="shared" si="10"/>
        <v>0</v>
      </c>
      <c r="AN41" s="628">
        <f t="shared" si="10"/>
        <v>0</v>
      </c>
    </row>
    <row r="42" spans="1:40">
      <c r="B42" s="614" t="s">
        <v>530</v>
      </c>
      <c r="C42" s="615" t="s">
        <v>525</v>
      </c>
      <c r="D42" s="620">
        <v>16.63</v>
      </c>
      <c r="E42" s="621">
        <v>75.989999999999995</v>
      </c>
      <c r="F42" s="621">
        <v>17.14</v>
      </c>
      <c r="G42" s="622">
        <f t="shared" si="11"/>
        <v>21.989339929795062</v>
      </c>
      <c r="H42" s="621">
        <v>45.82</v>
      </c>
      <c r="I42" s="621">
        <v>3.7900000000000005</v>
      </c>
      <c r="J42" s="621">
        <v>167.31</v>
      </c>
      <c r="K42" s="621">
        <v>10.63</v>
      </c>
      <c r="L42" s="621">
        <v>0.11</v>
      </c>
      <c r="M42" s="621">
        <v>292.48</v>
      </c>
      <c r="N42" s="621">
        <v>3.58</v>
      </c>
      <c r="O42" s="621">
        <v>863.48</v>
      </c>
      <c r="P42" s="621">
        <v>117.04999999999998</v>
      </c>
      <c r="Q42" s="621">
        <v>107.5</v>
      </c>
      <c r="R42" s="621">
        <v>4.2</v>
      </c>
      <c r="S42" s="621">
        <v>5.39</v>
      </c>
      <c r="T42" s="622">
        <f t="shared" si="12"/>
        <v>0.14037279114153364</v>
      </c>
      <c r="U42" s="621">
        <v>628.41</v>
      </c>
      <c r="V42" s="621">
        <v>0.17</v>
      </c>
      <c r="W42" s="621">
        <v>10.95</v>
      </c>
      <c r="X42" s="621">
        <v>0.02</v>
      </c>
      <c r="Y42" s="621">
        <v>11.86</v>
      </c>
      <c r="Z42" s="621">
        <v>79.81</v>
      </c>
      <c r="AA42" s="622">
        <f t="shared" si="13"/>
        <v>6.0075692677719639</v>
      </c>
      <c r="AB42" s="621">
        <v>7.15</v>
      </c>
      <c r="AC42" s="621">
        <v>32.659999999999997</v>
      </c>
      <c r="AD42" s="621">
        <v>7.26</v>
      </c>
      <c r="AE42" s="621">
        <v>11.22</v>
      </c>
      <c r="AF42" s="621">
        <v>7.05</v>
      </c>
      <c r="AG42" s="621">
        <v>3.94</v>
      </c>
      <c r="AH42" s="621">
        <v>55.06</v>
      </c>
      <c r="AI42" s="622">
        <f t="shared" si="10"/>
        <v>16.676543423287146</v>
      </c>
      <c r="AJ42" s="622">
        <f t="shared" si="10"/>
        <v>73.326984903454189</v>
      </c>
      <c r="AK42" s="622">
        <f t="shared" si="10"/>
        <v>8.3311517750655035</v>
      </c>
      <c r="AL42" s="622">
        <f t="shared" si="10"/>
        <v>51.621806488279915</v>
      </c>
      <c r="AM42" s="622">
        <f t="shared" si="10"/>
        <v>236.23324838022188</v>
      </c>
      <c r="AN42" s="623">
        <f t="shared" si="10"/>
        <v>36.171395860107694</v>
      </c>
    </row>
    <row r="43" spans="1:40">
      <c r="B43" s="612"/>
      <c r="C43" s="613" t="s">
        <v>510</v>
      </c>
      <c r="D43" s="625">
        <v>16.63</v>
      </c>
      <c r="E43" s="626">
        <v>75.989999999999995</v>
      </c>
      <c r="F43" s="626">
        <v>17.14</v>
      </c>
      <c r="G43" s="627">
        <f t="shared" si="11"/>
        <v>21.989339929795062</v>
      </c>
      <c r="H43" s="626">
        <v>45.82</v>
      </c>
      <c r="I43" s="626">
        <v>3.7900000000000005</v>
      </c>
      <c r="J43" s="626">
        <v>167.31</v>
      </c>
      <c r="K43" s="626">
        <v>10.63</v>
      </c>
      <c r="L43" s="626">
        <v>0.11</v>
      </c>
      <c r="M43" s="626">
        <v>292.48</v>
      </c>
      <c r="N43" s="626">
        <v>3.58</v>
      </c>
      <c r="O43" s="626">
        <v>863.48</v>
      </c>
      <c r="P43" s="626">
        <v>117.04999999999998</v>
      </c>
      <c r="Q43" s="626">
        <v>107.5</v>
      </c>
      <c r="R43" s="626">
        <v>4.2</v>
      </c>
      <c r="S43" s="626">
        <v>5.39</v>
      </c>
      <c r="T43" s="627">
        <f t="shared" si="12"/>
        <v>0.14037279114153364</v>
      </c>
      <c r="U43" s="626">
        <v>628.41</v>
      </c>
      <c r="V43" s="626">
        <v>0.17</v>
      </c>
      <c r="W43" s="626">
        <v>10.95</v>
      </c>
      <c r="X43" s="626">
        <v>0.02</v>
      </c>
      <c r="Y43" s="626">
        <v>11.86</v>
      </c>
      <c r="Z43" s="626">
        <v>79.81</v>
      </c>
      <c r="AA43" s="627">
        <f t="shared" si="13"/>
        <v>6.0075692677719639</v>
      </c>
      <c r="AB43" s="626">
        <v>7.15</v>
      </c>
      <c r="AC43" s="626">
        <v>32.659999999999997</v>
      </c>
      <c r="AD43" s="626">
        <v>7.26</v>
      </c>
      <c r="AE43" s="626">
        <v>11.22</v>
      </c>
      <c r="AF43" s="626">
        <v>7.05</v>
      </c>
      <c r="AG43" s="626">
        <v>3.94</v>
      </c>
      <c r="AH43" s="626">
        <v>55.06</v>
      </c>
      <c r="AI43" s="627">
        <f t="shared" si="10"/>
        <v>16.676543423287146</v>
      </c>
      <c r="AJ43" s="627">
        <f t="shared" si="10"/>
        <v>73.326984903454189</v>
      </c>
      <c r="AK43" s="627">
        <f t="shared" si="10"/>
        <v>8.3311517750655035</v>
      </c>
      <c r="AL43" s="627">
        <f t="shared" si="10"/>
        <v>51.621806488279915</v>
      </c>
      <c r="AM43" s="627">
        <f t="shared" si="10"/>
        <v>236.23324838022188</v>
      </c>
      <c r="AN43" s="628">
        <f t="shared" si="10"/>
        <v>36.171395860107694</v>
      </c>
    </row>
    <row r="44" spans="1:40">
      <c r="B44" s="614" t="s">
        <v>531</v>
      </c>
      <c r="C44" s="615" t="s">
        <v>525</v>
      </c>
      <c r="D44" s="620">
        <v>3331.68</v>
      </c>
      <c r="E44" s="621">
        <v>4120.63</v>
      </c>
      <c r="F44" s="621">
        <v>642.27</v>
      </c>
      <c r="G44" s="622">
        <f t="shared" si="11"/>
        <v>3185.8629151704372</v>
      </c>
      <c r="H44" s="621">
        <v>75.78</v>
      </c>
      <c r="I44" s="621">
        <v>3108.4599999999996</v>
      </c>
      <c r="J44" s="621">
        <v>32403.700000000004</v>
      </c>
      <c r="K44" s="621">
        <v>2673.06</v>
      </c>
      <c r="L44" s="621">
        <v>459.91000000000008</v>
      </c>
      <c r="M44" s="621">
        <v>5039.13</v>
      </c>
      <c r="N44" s="621">
        <v>3418.3699999999994</v>
      </c>
      <c r="O44" s="621">
        <v>20565.2</v>
      </c>
      <c r="P44" s="621">
        <v>1646.08</v>
      </c>
      <c r="Q44" s="621">
        <v>697.51</v>
      </c>
      <c r="R44" s="621">
        <v>2521.9899999999998</v>
      </c>
      <c r="S44" s="621">
        <v>1398.2</v>
      </c>
      <c r="T44" s="622">
        <f t="shared" si="12"/>
        <v>330.28056048398594</v>
      </c>
      <c r="U44" s="793">
        <f>SUM(U45:U52)</f>
        <v>14119.711000000001</v>
      </c>
      <c r="V44" s="621">
        <v>675.96</v>
      </c>
      <c r="W44" s="621">
        <v>247.09000000000003</v>
      </c>
      <c r="X44" s="621">
        <v>656.34</v>
      </c>
      <c r="Y44" s="621">
        <v>2.2200000000000002</v>
      </c>
      <c r="Z44" s="621">
        <v>5503.74</v>
      </c>
      <c r="AA44" s="622">
        <f t="shared" si="13"/>
        <v>2068.1931908718552</v>
      </c>
      <c r="AB44" s="621">
        <v>9164.11</v>
      </c>
      <c r="AC44" s="621">
        <v>354.01</v>
      </c>
      <c r="AD44" s="621">
        <v>3042.68</v>
      </c>
      <c r="AE44" s="621">
        <v>4268.6499999999996</v>
      </c>
      <c r="AF44" s="621">
        <v>502.41</v>
      </c>
      <c r="AG44" s="621">
        <v>980.66000000000008</v>
      </c>
      <c r="AH44" s="621">
        <v>21977.4</v>
      </c>
      <c r="AI44" s="622">
        <f t="shared" si="10"/>
        <v>104.81492048036489</v>
      </c>
      <c r="AJ44" s="622">
        <f t="shared" si="10"/>
        <v>271.40902931572191</v>
      </c>
      <c r="AK44" s="622">
        <f t="shared" si="10"/>
        <v>110.4183027624516</v>
      </c>
      <c r="AL44" s="622">
        <f t="shared" si="10"/>
        <v>162.34068858604169</v>
      </c>
      <c r="AM44" s="622">
        <f t="shared" si="10"/>
        <v>1081.4073630738615</v>
      </c>
      <c r="AN44" s="623">
        <f t="shared" si="10"/>
        <v>144.57806724584938</v>
      </c>
    </row>
    <row r="45" spans="1:40">
      <c r="B45" s="610"/>
      <c r="C45" s="611" t="s">
        <v>526</v>
      </c>
      <c r="D45" s="624">
        <v>841.39</v>
      </c>
      <c r="E45" s="488">
        <v>116.86</v>
      </c>
      <c r="F45" s="488">
        <v>294.79000000000002</v>
      </c>
      <c r="G45" s="209">
        <f t="shared" si="11"/>
        <v>268.81511345021892</v>
      </c>
      <c r="H45" s="488">
        <v>2.99</v>
      </c>
      <c r="I45" s="488">
        <v>518.62</v>
      </c>
      <c r="J45" s="488">
        <v>3556.8099999999995</v>
      </c>
      <c r="K45" s="488">
        <v>475.69999999999993</v>
      </c>
      <c r="L45" s="488">
        <v>177.21</v>
      </c>
      <c r="M45" s="488">
        <v>994.34</v>
      </c>
      <c r="N45" s="488">
        <v>701.65</v>
      </c>
      <c r="O45" s="488">
        <v>4114.53</v>
      </c>
      <c r="P45" s="488">
        <v>259.43</v>
      </c>
      <c r="Q45" s="488">
        <v>144.66</v>
      </c>
      <c r="R45" s="488">
        <v>281.66000000000003</v>
      </c>
      <c r="S45" s="488">
        <v>14.9</v>
      </c>
      <c r="T45" s="209">
        <f t="shared" si="12"/>
        <v>0</v>
      </c>
      <c r="U45" s="792">
        <f>U13*U129</f>
        <v>2188.2490000000003</v>
      </c>
      <c r="V45" s="488">
        <v>221.54</v>
      </c>
      <c r="W45" s="488">
        <v>9.48</v>
      </c>
      <c r="X45" s="488">
        <v>291.94</v>
      </c>
      <c r="Y45" s="488">
        <v>0</v>
      </c>
      <c r="Z45" s="488">
        <v>142.6</v>
      </c>
      <c r="AA45" s="209">
        <f t="shared" si="13"/>
        <v>356.02738845578023</v>
      </c>
      <c r="AB45" s="488">
        <v>1119.93</v>
      </c>
      <c r="AC45" s="488">
        <v>172.51</v>
      </c>
      <c r="AD45" s="488">
        <v>1298.8</v>
      </c>
      <c r="AE45" s="488">
        <v>291.69</v>
      </c>
      <c r="AF45" s="488">
        <v>194.26000000000002</v>
      </c>
      <c r="AG45" s="488">
        <v>18.11</v>
      </c>
      <c r="AH45" s="488">
        <v>178.28</v>
      </c>
      <c r="AI45" s="209">
        <f t="shared" si="10"/>
        <v>77.485674335310065</v>
      </c>
      <c r="AJ45" s="209">
        <f t="shared" si="10"/>
        <v>79.61312815708736</v>
      </c>
      <c r="AK45" s="209">
        <f t="shared" si="10"/>
        <v>99.062689894912296</v>
      </c>
      <c r="AL45" s="209">
        <f t="shared" si="10"/>
        <v>79.272193809783488</v>
      </c>
      <c r="AM45" s="209">
        <f t="shared" si="10"/>
        <v>437.06304920522854</v>
      </c>
      <c r="AN45" s="210">
        <f t="shared" si="10"/>
        <v>98.518487609195304</v>
      </c>
    </row>
    <row r="46" spans="1:40">
      <c r="B46" s="610"/>
      <c r="C46" s="611" t="s">
        <v>532</v>
      </c>
      <c r="D46" s="624">
        <v>586.92999999999995</v>
      </c>
      <c r="E46" s="488">
        <v>8.09</v>
      </c>
      <c r="F46" s="488">
        <v>195.75000000000003</v>
      </c>
      <c r="G46" s="209">
        <f t="shared" si="11"/>
        <v>137.6442792883818</v>
      </c>
      <c r="H46" s="488">
        <v>0</v>
      </c>
      <c r="I46" s="488">
        <v>841.96999999999991</v>
      </c>
      <c r="J46" s="488">
        <v>3767.92</v>
      </c>
      <c r="K46" s="488">
        <v>1414.5</v>
      </c>
      <c r="L46" s="488">
        <v>240.93</v>
      </c>
      <c r="M46" s="488">
        <v>0</v>
      </c>
      <c r="N46" s="488">
        <v>1342.53</v>
      </c>
      <c r="O46" s="488">
        <v>1844.68</v>
      </c>
      <c r="P46" s="488">
        <v>30.18</v>
      </c>
      <c r="Q46" s="488">
        <v>102.53000000000002</v>
      </c>
      <c r="R46" s="488">
        <v>368.01</v>
      </c>
      <c r="S46" s="488">
        <v>0</v>
      </c>
      <c r="T46" s="209">
        <f t="shared" si="12"/>
        <v>128.85097912228809</v>
      </c>
      <c r="U46" s="488">
        <v>89.06</v>
      </c>
      <c r="V46" s="488">
        <v>336.08</v>
      </c>
      <c r="W46" s="488">
        <v>0</v>
      </c>
      <c r="X46" s="488">
        <v>269.25</v>
      </c>
      <c r="Y46" s="488">
        <v>0</v>
      </c>
      <c r="Z46" s="488">
        <v>239.33499999999998</v>
      </c>
      <c r="AA46" s="209">
        <f t="shared" si="13"/>
        <v>73.970357589402411</v>
      </c>
      <c r="AB46" s="488">
        <v>3109.95</v>
      </c>
      <c r="AC46" s="488">
        <v>3.58</v>
      </c>
      <c r="AD46" s="488">
        <v>694.81</v>
      </c>
      <c r="AE46" s="488">
        <v>2280.37</v>
      </c>
      <c r="AF46" s="488">
        <v>72.010000000000005</v>
      </c>
      <c r="AG46" s="488">
        <v>294.93</v>
      </c>
      <c r="AH46" s="488">
        <v>43.97</v>
      </c>
      <c r="AI46" s="209">
        <f t="shared" si="10"/>
        <v>0</v>
      </c>
      <c r="AJ46" s="209">
        <f t="shared" si="10"/>
        <v>64.099317906026869</v>
      </c>
      <c r="AK46" s="209">
        <f t="shared" si="10"/>
        <v>0</v>
      </c>
      <c r="AL46" s="209">
        <f t="shared" si="10"/>
        <v>22.060803923723327</v>
      </c>
      <c r="AM46" s="209">
        <f t="shared" si="10"/>
        <v>253.81944523976975</v>
      </c>
      <c r="AN46" s="210">
        <f t="shared" si="10"/>
        <v>2.3230042034705209</v>
      </c>
    </row>
    <row r="47" spans="1:40">
      <c r="B47" s="610"/>
      <c r="C47" s="611" t="s">
        <v>510</v>
      </c>
      <c r="D47" s="624">
        <v>289.33</v>
      </c>
      <c r="E47" s="488">
        <v>215.85000000000002</v>
      </c>
      <c r="F47" s="488">
        <v>42.97</v>
      </c>
      <c r="G47" s="209">
        <f t="shared" si="11"/>
        <v>78.714152015499508</v>
      </c>
      <c r="H47" s="488">
        <v>20.94</v>
      </c>
      <c r="I47" s="488">
        <v>255.42999999999998</v>
      </c>
      <c r="J47" s="488">
        <v>599.39</v>
      </c>
      <c r="K47" s="488">
        <v>41.15</v>
      </c>
      <c r="L47" s="488">
        <v>5.7</v>
      </c>
      <c r="M47" s="488">
        <v>755.87</v>
      </c>
      <c r="N47" s="488">
        <v>894.16</v>
      </c>
      <c r="O47" s="488">
        <v>1738.66</v>
      </c>
      <c r="P47" s="488">
        <v>176.33</v>
      </c>
      <c r="Q47" s="488">
        <v>72.56</v>
      </c>
      <c r="R47" s="488">
        <v>210.91</v>
      </c>
      <c r="S47" s="488">
        <v>111.00999999999999</v>
      </c>
      <c r="T47" s="209">
        <f t="shared" si="12"/>
        <v>35.594938798882197</v>
      </c>
      <c r="U47" s="488">
        <v>402.22</v>
      </c>
      <c r="V47" s="488">
        <v>4.58</v>
      </c>
      <c r="W47" s="488">
        <v>8.08</v>
      </c>
      <c r="X47" s="488">
        <v>3.2499999999999996</v>
      </c>
      <c r="Y47" s="488">
        <v>1</v>
      </c>
      <c r="Z47" s="488">
        <v>121.73</v>
      </c>
      <c r="AA47" s="209">
        <f t="shared" si="13"/>
        <v>1523.3654519327829</v>
      </c>
      <c r="AB47" s="488">
        <v>99.56</v>
      </c>
      <c r="AC47" s="488">
        <v>39.229999999999997</v>
      </c>
      <c r="AD47" s="488">
        <v>15.469999999999999</v>
      </c>
      <c r="AE47" s="488">
        <v>1575.7200000000003</v>
      </c>
      <c r="AF47" s="488">
        <v>21.99</v>
      </c>
      <c r="AG47" s="488">
        <v>29.81</v>
      </c>
      <c r="AH47" s="488">
        <v>2543.1</v>
      </c>
      <c r="AI47" s="209">
        <f t="shared" si="10"/>
        <v>25.252174438395599</v>
      </c>
      <c r="AJ47" s="209">
        <f t="shared" si="10"/>
        <v>49.534956285792425</v>
      </c>
      <c r="AK47" s="209">
        <f t="shared" si="10"/>
        <v>10.364402396535201</v>
      </c>
      <c r="AL47" s="209">
        <f t="shared" si="10"/>
        <v>42.44579547968965</v>
      </c>
      <c r="AM47" s="209">
        <f t="shared" si="10"/>
        <v>159.58386461917382</v>
      </c>
      <c r="AN47" s="210">
        <f t="shared" si="10"/>
        <v>24.435049594438251</v>
      </c>
    </row>
    <row r="48" spans="1:40">
      <c r="B48" s="610"/>
      <c r="C48" s="611" t="s">
        <v>527</v>
      </c>
      <c r="D48" s="624">
        <v>798.21</v>
      </c>
      <c r="E48" s="488">
        <v>2100.27</v>
      </c>
      <c r="F48" s="488">
        <v>22.83</v>
      </c>
      <c r="G48" s="209">
        <f t="shared" si="11"/>
        <v>758.40640447359397</v>
      </c>
      <c r="H48" s="488">
        <v>0</v>
      </c>
      <c r="I48" s="488">
        <v>1217.56</v>
      </c>
      <c r="J48" s="488">
        <v>15030.200000000003</v>
      </c>
      <c r="K48" s="488">
        <v>465.54</v>
      </c>
      <c r="L48" s="488">
        <v>28.970000000000002</v>
      </c>
      <c r="M48" s="488">
        <v>1933.39</v>
      </c>
      <c r="N48" s="488">
        <v>30.31</v>
      </c>
      <c r="O48" s="488">
        <v>8649</v>
      </c>
      <c r="P48" s="488">
        <v>131.76</v>
      </c>
      <c r="Q48" s="488">
        <v>291.5</v>
      </c>
      <c r="R48" s="488">
        <v>1576.64</v>
      </c>
      <c r="S48" s="488">
        <v>373.53</v>
      </c>
      <c r="T48" s="209">
        <f t="shared" si="12"/>
        <v>0</v>
      </c>
      <c r="U48" s="792">
        <f>U16*U141</f>
        <v>10146.562</v>
      </c>
      <c r="V48" s="488">
        <v>79.89</v>
      </c>
      <c r="W48" s="488">
        <v>118.4</v>
      </c>
      <c r="X48" s="488">
        <v>62.710000000000008</v>
      </c>
      <c r="Y48" s="488">
        <v>0</v>
      </c>
      <c r="Z48" s="488">
        <v>4951.63</v>
      </c>
      <c r="AA48" s="209">
        <f t="shared" si="13"/>
        <v>2.5197807375724803</v>
      </c>
      <c r="AB48" s="488">
        <v>1785.48</v>
      </c>
      <c r="AC48" s="488">
        <v>76.02</v>
      </c>
      <c r="AD48" s="488">
        <v>973.74000000000012</v>
      </c>
      <c r="AE48" s="488">
        <v>83.5</v>
      </c>
      <c r="AF48" s="488">
        <v>60.510000000000005</v>
      </c>
      <c r="AG48" s="488">
        <v>613.23</v>
      </c>
      <c r="AH48" s="488">
        <v>17170.099999999999</v>
      </c>
      <c r="AI48" s="209">
        <f t="shared" si="10"/>
        <v>0</v>
      </c>
      <c r="AJ48" s="209">
        <f t="shared" si="10"/>
        <v>21.174667952771141</v>
      </c>
      <c r="AK48" s="209">
        <f t="shared" si="10"/>
        <v>0</v>
      </c>
      <c r="AL48" s="209">
        <f t="shared" si="10"/>
        <v>0</v>
      </c>
      <c r="AM48" s="209">
        <f t="shared" si="10"/>
        <v>105.65710309695179</v>
      </c>
      <c r="AN48" s="210">
        <f t="shared" si="10"/>
        <v>0</v>
      </c>
    </row>
    <row r="49" spans="1:40">
      <c r="B49" s="610"/>
      <c r="C49" s="611" t="s">
        <v>533</v>
      </c>
      <c r="D49" s="624">
        <v>775.76999999999987</v>
      </c>
      <c r="E49" s="488">
        <v>1604.45</v>
      </c>
      <c r="F49" s="488">
        <v>1.0900000000000001</v>
      </c>
      <c r="G49" s="209">
        <f t="shared" si="11"/>
        <v>1748.961340835262</v>
      </c>
      <c r="H49" s="488">
        <v>39.46</v>
      </c>
      <c r="I49" s="488">
        <v>0</v>
      </c>
      <c r="J49" s="488">
        <v>8363.99</v>
      </c>
      <c r="K49" s="488">
        <v>275.01</v>
      </c>
      <c r="L49" s="488">
        <v>2.21</v>
      </c>
      <c r="M49" s="488">
        <v>978.38</v>
      </c>
      <c r="N49" s="488">
        <v>442.08999999999992</v>
      </c>
      <c r="O49" s="488">
        <v>3827.85</v>
      </c>
      <c r="P49" s="488">
        <v>1034.51</v>
      </c>
      <c r="Q49" s="488">
        <v>75.650000000000006</v>
      </c>
      <c r="R49" s="488">
        <v>0</v>
      </c>
      <c r="S49" s="488">
        <v>651.21</v>
      </c>
      <c r="T49" s="209">
        <f t="shared" si="12"/>
        <v>1.2602659506058516</v>
      </c>
      <c r="U49" s="488">
        <v>1076.76</v>
      </c>
      <c r="V49" s="488">
        <v>3.55</v>
      </c>
      <c r="W49" s="488">
        <v>110.59</v>
      </c>
      <c r="X49" s="488">
        <v>16.03</v>
      </c>
      <c r="Y49" s="488">
        <v>0</v>
      </c>
      <c r="Z49" s="488">
        <v>45.195</v>
      </c>
      <c r="AA49" s="209">
        <f t="shared" si="13"/>
        <v>112.31021215631682</v>
      </c>
      <c r="AB49" s="488">
        <v>53.95</v>
      </c>
      <c r="AC49" s="488">
        <v>46.2</v>
      </c>
      <c r="AD49" s="488">
        <v>41.97</v>
      </c>
      <c r="AE49" s="488">
        <v>37.369999999999997</v>
      </c>
      <c r="AF49" s="488">
        <v>142.61000000000001</v>
      </c>
      <c r="AG49" s="488">
        <v>0</v>
      </c>
      <c r="AH49" s="488">
        <v>1535.49</v>
      </c>
      <c r="AI49" s="209">
        <f t="shared" si="10"/>
        <v>2.0770717066592295</v>
      </c>
      <c r="AJ49" s="209">
        <f t="shared" si="10"/>
        <v>0</v>
      </c>
      <c r="AK49" s="209">
        <f t="shared" si="10"/>
        <v>0</v>
      </c>
      <c r="AL49" s="209">
        <f t="shared" si="10"/>
        <v>16.582937518625386</v>
      </c>
      <c r="AM49" s="209">
        <f t="shared" si="10"/>
        <v>0.52211681777003016</v>
      </c>
      <c r="AN49" s="210">
        <f t="shared" si="10"/>
        <v>7.1770889748147058</v>
      </c>
    </row>
    <row r="50" spans="1:40">
      <c r="B50" s="610"/>
      <c r="C50" s="611" t="s">
        <v>534</v>
      </c>
      <c r="D50" s="624">
        <v>0</v>
      </c>
      <c r="E50" s="488">
        <v>0</v>
      </c>
      <c r="F50" s="488">
        <v>0</v>
      </c>
      <c r="G50" s="209">
        <f t="shared" si="11"/>
        <v>187.49613069647464</v>
      </c>
      <c r="H50" s="488">
        <v>0.46000000000000008</v>
      </c>
      <c r="I50" s="488">
        <v>0</v>
      </c>
      <c r="J50" s="488">
        <v>410.05</v>
      </c>
      <c r="K50" s="488">
        <v>0</v>
      </c>
      <c r="L50" s="488">
        <v>0</v>
      </c>
      <c r="M50" s="488">
        <v>6.8</v>
      </c>
      <c r="N50" s="488">
        <v>0</v>
      </c>
      <c r="O50" s="488">
        <v>44.77</v>
      </c>
      <c r="P50" s="488">
        <v>12.22</v>
      </c>
      <c r="Q50" s="488">
        <v>0</v>
      </c>
      <c r="R50" s="488">
        <v>0</v>
      </c>
      <c r="S50" s="488">
        <v>0</v>
      </c>
      <c r="T50" s="209">
        <f t="shared" si="12"/>
        <v>164.57437661220979</v>
      </c>
      <c r="U50" s="488">
        <v>1.04</v>
      </c>
      <c r="V50" s="488">
        <v>0</v>
      </c>
      <c r="W50" s="488">
        <v>0</v>
      </c>
      <c r="X50" s="488">
        <v>0</v>
      </c>
      <c r="Y50" s="488">
        <v>0</v>
      </c>
      <c r="Z50" s="488">
        <v>0</v>
      </c>
      <c r="AA50" s="209">
        <f t="shared" si="13"/>
        <v>0</v>
      </c>
      <c r="AB50" s="488">
        <v>7.9200000000000008</v>
      </c>
      <c r="AC50" s="488">
        <v>0</v>
      </c>
      <c r="AD50" s="488">
        <v>10.220000000000001</v>
      </c>
      <c r="AE50" s="488">
        <v>0</v>
      </c>
      <c r="AF50" s="488">
        <v>6.9600000000000009</v>
      </c>
      <c r="AG50" s="488">
        <v>0</v>
      </c>
      <c r="AH50" s="488">
        <v>0</v>
      </c>
      <c r="AI50" s="209">
        <f t="shared" si="10"/>
        <v>0</v>
      </c>
      <c r="AJ50" s="209">
        <f t="shared" si="10"/>
        <v>0</v>
      </c>
      <c r="AK50" s="209">
        <f t="shared" si="10"/>
        <v>0</v>
      </c>
      <c r="AL50" s="209">
        <f t="shared" si="10"/>
        <v>0</v>
      </c>
      <c r="AM50" s="209">
        <f t="shared" si="10"/>
        <v>0</v>
      </c>
      <c r="AN50" s="210">
        <f t="shared" si="10"/>
        <v>0</v>
      </c>
    </row>
    <row r="51" spans="1:40">
      <c r="B51" s="610"/>
      <c r="C51" s="611" t="s">
        <v>528</v>
      </c>
      <c r="D51" s="624">
        <v>11.92</v>
      </c>
      <c r="E51" s="488">
        <v>4.92</v>
      </c>
      <c r="F51" s="488">
        <v>0.26</v>
      </c>
      <c r="G51" s="209">
        <f t="shared" si="11"/>
        <v>0</v>
      </c>
      <c r="H51" s="488">
        <v>11.92</v>
      </c>
      <c r="I51" s="488">
        <v>0</v>
      </c>
      <c r="J51" s="488">
        <v>0</v>
      </c>
      <c r="K51" s="488">
        <v>0.88</v>
      </c>
      <c r="L51" s="488">
        <v>0</v>
      </c>
      <c r="M51" s="488">
        <v>278.38</v>
      </c>
      <c r="N51" s="488">
        <v>0</v>
      </c>
      <c r="O51" s="488">
        <v>124.35999999999999</v>
      </c>
      <c r="P51" s="488">
        <v>0</v>
      </c>
      <c r="Q51" s="488">
        <v>7.64</v>
      </c>
      <c r="R51" s="488">
        <v>14.65</v>
      </c>
      <c r="S51" s="488">
        <v>12.939999999999998</v>
      </c>
      <c r="T51" s="209">
        <f t="shared" si="12"/>
        <v>0</v>
      </c>
      <c r="U51" s="488">
        <v>213.8</v>
      </c>
      <c r="V51" s="488">
        <v>0</v>
      </c>
      <c r="W51" s="488">
        <v>0.28000000000000003</v>
      </c>
      <c r="X51" s="488">
        <v>0</v>
      </c>
      <c r="Y51" s="488">
        <v>1.22</v>
      </c>
      <c r="Z51" s="488">
        <v>0</v>
      </c>
      <c r="AA51" s="209">
        <f t="shared" si="13"/>
        <v>0</v>
      </c>
      <c r="AB51" s="488">
        <v>0</v>
      </c>
      <c r="AC51" s="488">
        <v>16.46</v>
      </c>
      <c r="AD51" s="488">
        <v>3.03</v>
      </c>
      <c r="AE51" s="488">
        <v>0</v>
      </c>
      <c r="AF51" s="488">
        <v>4.08</v>
      </c>
      <c r="AG51" s="488">
        <v>0</v>
      </c>
      <c r="AH51" s="488">
        <v>169</v>
      </c>
      <c r="AI51" s="209">
        <f t="shared" si="10"/>
        <v>0</v>
      </c>
      <c r="AJ51" s="209">
        <f t="shared" si="10"/>
        <v>0</v>
      </c>
      <c r="AK51" s="209">
        <f t="shared" si="10"/>
        <v>0</v>
      </c>
      <c r="AL51" s="209">
        <f t="shared" si="10"/>
        <v>0.94905434796207577</v>
      </c>
      <c r="AM51" s="209">
        <f t="shared" si="10"/>
        <v>2.8787230459562254</v>
      </c>
      <c r="AN51" s="210">
        <f t="shared" si="10"/>
        <v>1.0369714965856411</v>
      </c>
    </row>
    <row r="52" spans="1:40">
      <c r="B52" s="612"/>
      <c r="C52" s="613" t="s">
        <v>529</v>
      </c>
      <c r="D52" s="625">
        <v>28.13</v>
      </c>
      <c r="E52" s="626">
        <v>70.180000000000007</v>
      </c>
      <c r="F52" s="626">
        <v>84.59</v>
      </c>
      <c r="G52" s="627">
        <f t="shared" si="11"/>
        <v>5.8254944110060176</v>
      </c>
      <c r="H52" s="626">
        <v>0</v>
      </c>
      <c r="I52" s="626">
        <v>274.88</v>
      </c>
      <c r="J52" s="626">
        <v>675.38</v>
      </c>
      <c r="K52" s="626">
        <v>0.28000000000000003</v>
      </c>
      <c r="L52" s="626">
        <v>4.8899999999999997</v>
      </c>
      <c r="M52" s="626">
        <v>91.98</v>
      </c>
      <c r="N52" s="626">
        <v>7.62</v>
      </c>
      <c r="O52" s="626">
        <v>221.38999999999996</v>
      </c>
      <c r="P52" s="626">
        <v>1.65</v>
      </c>
      <c r="Q52" s="626">
        <v>2.98</v>
      </c>
      <c r="R52" s="626">
        <v>70.12</v>
      </c>
      <c r="S52" s="626">
        <v>234.61</v>
      </c>
      <c r="T52" s="627">
        <f t="shared" si="12"/>
        <v>0</v>
      </c>
      <c r="U52" s="626">
        <v>2.02</v>
      </c>
      <c r="V52" s="626">
        <v>30.320000000000004</v>
      </c>
      <c r="W52" s="626">
        <v>0.27</v>
      </c>
      <c r="X52" s="626">
        <v>13.16</v>
      </c>
      <c r="Y52" s="626">
        <v>0</v>
      </c>
      <c r="Z52" s="626">
        <v>3.2499999999999996</v>
      </c>
      <c r="AA52" s="627">
        <f t="shared" si="13"/>
        <v>0</v>
      </c>
      <c r="AB52" s="626">
        <v>2987.33</v>
      </c>
      <c r="AC52" s="626">
        <v>0</v>
      </c>
      <c r="AD52" s="626">
        <v>4.6399999999999997</v>
      </c>
      <c r="AE52" s="626">
        <v>0</v>
      </c>
      <c r="AF52" s="626">
        <v>0</v>
      </c>
      <c r="AG52" s="626">
        <v>24.58</v>
      </c>
      <c r="AH52" s="626">
        <v>337.44</v>
      </c>
      <c r="AI52" s="627">
        <f t="shared" ref="AI52:AN61" si="14">AI115/(41.868/1000)</f>
        <v>0</v>
      </c>
      <c r="AJ52" s="627">
        <f t="shared" si="14"/>
        <v>56.986959014044125</v>
      </c>
      <c r="AK52" s="627">
        <f t="shared" si="14"/>
        <v>0.9912104710041082</v>
      </c>
      <c r="AL52" s="627">
        <f t="shared" si="14"/>
        <v>1.0299035062577624</v>
      </c>
      <c r="AM52" s="627">
        <f t="shared" si="14"/>
        <v>121.88306104901116</v>
      </c>
      <c r="AN52" s="628">
        <f t="shared" si="14"/>
        <v>11.087465367344988</v>
      </c>
    </row>
    <row r="53" spans="1:40">
      <c r="B53" s="614" t="s">
        <v>535</v>
      </c>
      <c r="C53" s="615" t="s">
        <v>525</v>
      </c>
      <c r="D53" s="620">
        <v>596.51</v>
      </c>
      <c r="E53" s="621">
        <v>680.12</v>
      </c>
      <c r="F53" s="621">
        <v>242.95</v>
      </c>
      <c r="G53" s="622">
        <f t="shared" si="11"/>
        <v>540.00838838099673</v>
      </c>
      <c r="H53" s="621">
        <v>57.829999999999991</v>
      </c>
      <c r="I53" s="621">
        <v>466.32000000000005</v>
      </c>
      <c r="J53" s="621">
        <v>5515.27</v>
      </c>
      <c r="K53" s="621">
        <v>478.79</v>
      </c>
      <c r="L53" s="621">
        <v>87</v>
      </c>
      <c r="M53" s="621">
        <v>1964.0800000000002</v>
      </c>
      <c r="N53" s="621">
        <v>527.71</v>
      </c>
      <c r="O53" s="621">
        <v>3922.13</v>
      </c>
      <c r="P53" s="621">
        <v>493</v>
      </c>
      <c r="Q53" s="621">
        <v>163.62</v>
      </c>
      <c r="R53" s="621">
        <v>351.96</v>
      </c>
      <c r="S53" s="621">
        <v>318.38</v>
      </c>
      <c r="T53" s="622">
        <f t="shared" si="12"/>
        <v>27.50377954367459</v>
      </c>
      <c r="U53" s="621">
        <v>2902.21</v>
      </c>
      <c r="V53" s="621">
        <v>132.44</v>
      </c>
      <c r="W53" s="621">
        <v>28.18</v>
      </c>
      <c r="X53" s="621">
        <v>134.34</v>
      </c>
      <c r="Y53" s="621">
        <v>6.3100000000000005</v>
      </c>
      <c r="Z53" s="621">
        <v>1072.56</v>
      </c>
      <c r="AA53" s="622">
        <f t="shared" si="13"/>
        <v>402.43181151782068</v>
      </c>
      <c r="AB53" s="621">
        <v>1740.44</v>
      </c>
      <c r="AC53" s="621">
        <v>353.2</v>
      </c>
      <c r="AD53" s="621">
        <v>548.35</v>
      </c>
      <c r="AE53" s="621">
        <v>656.54</v>
      </c>
      <c r="AF53" s="621">
        <v>145</v>
      </c>
      <c r="AG53" s="621">
        <v>190.7</v>
      </c>
      <c r="AH53" s="621">
        <v>4181.3599999999997</v>
      </c>
      <c r="AI53" s="622">
        <f t="shared" si="14"/>
        <v>55.823598768924775</v>
      </c>
      <c r="AJ53" s="622">
        <f t="shared" si="14"/>
        <v>55.295307522326915</v>
      </c>
      <c r="AK53" s="622">
        <f t="shared" si="14"/>
        <v>19.370681277243012</v>
      </c>
      <c r="AL53" s="622">
        <f t="shared" si="14"/>
        <v>37.714153550042752</v>
      </c>
      <c r="AM53" s="622">
        <f t="shared" si="14"/>
        <v>208.66260722942465</v>
      </c>
      <c r="AN53" s="623">
        <f t="shared" si="14"/>
        <v>27.244595547019603</v>
      </c>
    </row>
    <row r="54" spans="1:40">
      <c r="B54" s="610"/>
      <c r="C54" s="611" t="s">
        <v>526</v>
      </c>
      <c r="D54" s="624">
        <v>52.720000000000006</v>
      </c>
      <c r="E54" s="488">
        <v>13.480000000000002</v>
      </c>
      <c r="F54" s="488">
        <v>11.6</v>
      </c>
      <c r="G54" s="209">
        <f t="shared" si="11"/>
        <v>7.9525964385416321</v>
      </c>
      <c r="H54" s="488">
        <v>5.9999999999999991E-2</v>
      </c>
      <c r="I54" s="488">
        <v>13.83</v>
      </c>
      <c r="J54" s="488">
        <v>105.00999999999999</v>
      </c>
      <c r="K54" s="488">
        <v>55.219999999999992</v>
      </c>
      <c r="L54" s="488">
        <v>25.610000000000003</v>
      </c>
      <c r="M54" s="488">
        <v>19.47</v>
      </c>
      <c r="N54" s="488">
        <v>77.67</v>
      </c>
      <c r="O54" s="488">
        <v>182.97</v>
      </c>
      <c r="P54" s="488">
        <v>5.76</v>
      </c>
      <c r="Q54" s="488">
        <v>7.88</v>
      </c>
      <c r="R54" s="488">
        <v>9.33</v>
      </c>
      <c r="S54" s="488">
        <v>2.48</v>
      </c>
      <c r="T54" s="209">
        <f t="shared" si="12"/>
        <v>0</v>
      </c>
      <c r="U54" s="488">
        <v>17.86</v>
      </c>
      <c r="V54" s="488">
        <v>35.01</v>
      </c>
      <c r="W54" s="488">
        <v>0.65</v>
      </c>
      <c r="X54" s="488">
        <v>52.920000000000009</v>
      </c>
      <c r="Y54" s="488">
        <v>0</v>
      </c>
      <c r="Z54" s="488">
        <v>22.454999999999998</v>
      </c>
      <c r="AA54" s="209">
        <f t="shared" si="13"/>
        <v>39.493900731779654</v>
      </c>
      <c r="AB54" s="488">
        <v>161.46</v>
      </c>
      <c r="AC54" s="488">
        <v>45.54</v>
      </c>
      <c r="AD54" s="488">
        <v>187.01</v>
      </c>
      <c r="AE54" s="488">
        <v>11.04</v>
      </c>
      <c r="AF54" s="488">
        <v>39.08</v>
      </c>
      <c r="AG54" s="488">
        <v>0.83</v>
      </c>
      <c r="AH54" s="488">
        <v>0</v>
      </c>
      <c r="AI54" s="209">
        <f t="shared" si="14"/>
        <v>1.6912773537715837</v>
      </c>
      <c r="AJ54" s="209">
        <f t="shared" si="14"/>
        <v>4.2657472411904891</v>
      </c>
      <c r="AK54" s="209">
        <f t="shared" si="14"/>
        <v>2.167600881300535</v>
      </c>
      <c r="AL54" s="209">
        <f t="shared" si="14"/>
        <v>4.2369712927678194</v>
      </c>
      <c r="AM54" s="209">
        <f t="shared" si="14"/>
        <v>23.418254495600213</v>
      </c>
      <c r="AN54" s="210">
        <f t="shared" si="14"/>
        <v>5.2787144087086366</v>
      </c>
    </row>
    <row r="55" spans="1:40">
      <c r="B55" s="610"/>
      <c r="C55" s="611" t="s">
        <v>532</v>
      </c>
      <c r="D55" s="624">
        <v>97.27</v>
      </c>
      <c r="E55" s="488">
        <v>1.21</v>
      </c>
      <c r="F55" s="488">
        <v>63.510000000000005</v>
      </c>
      <c r="G55" s="209">
        <f t="shared" si="11"/>
        <v>18.889027771902871</v>
      </c>
      <c r="H55" s="488">
        <v>0</v>
      </c>
      <c r="I55" s="488">
        <v>66.59</v>
      </c>
      <c r="J55" s="488">
        <v>516.07000000000005</v>
      </c>
      <c r="K55" s="488">
        <v>243.45</v>
      </c>
      <c r="L55" s="488">
        <v>45.15</v>
      </c>
      <c r="M55" s="488">
        <v>0</v>
      </c>
      <c r="N55" s="488">
        <v>199.17</v>
      </c>
      <c r="O55" s="488">
        <v>237.51000000000002</v>
      </c>
      <c r="P55" s="488">
        <v>5.16</v>
      </c>
      <c r="Q55" s="488">
        <v>17.07</v>
      </c>
      <c r="R55" s="488">
        <v>52.810000000000009</v>
      </c>
      <c r="S55" s="488">
        <v>0</v>
      </c>
      <c r="T55" s="209">
        <f t="shared" si="12"/>
        <v>19.089147514884516</v>
      </c>
      <c r="U55" s="488">
        <v>11.52</v>
      </c>
      <c r="V55" s="488">
        <v>66.5</v>
      </c>
      <c r="W55" s="488">
        <v>0</v>
      </c>
      <c r="X55" s="488">
        <v>56.63</v>
      </c>
      <c r="Y55" s="488">
        <v>0</v>
      </c>
      <c r="Z55" s="488">
        <v>46.674999999999997</v>
      </c>
      <c r="AA55" s="209">
        <f t="shared" si="13"/>
        <v>10.958636693111577</v>
      </c>
      <c r="AB55" s="488">
        <v>617.77</v>
      </c>
      <c r="AC55" s="488">
        <v>2.34</v>
      </c>
      <c r="AD55" s="488">
        <v>128.66999999999999</v>
      </c>
      <c r="AE55" s="488">
        <v>300.52</v>
      </c>
      <c r="AF55" s="488">
        <v>14.369999999999997</v>
      </c>
      <c r="AG55" s="488">
        <v>62.029999999999994</v>
      </c>
      <c r="AH55" s="488">
        <v>0</v>
      </c>
      <c r="AI55" s="209">
        <f t="shared" si="14"/>
        <v>0</v>
      </c>
      <c r="AJ55" s="209">
        <f t="shared" si="14"/>
        <v>10.613348119649482</v>
      </c>
      <c r="AK55" s="209">
        <f t="shared" si="14"/>
        <v>0</v>
      </c>
      <c r="AL55" s="209">
        <f t="shared" si="14"/>
        <v>3.7044263453538666</v>
      </c>
      <c r="AM55" s="209">
        <f t="shared" si="14"/>
        <v>42.026564710335187</v>
      </c>
      <c r="AN55" s="210">
        <f t="shared" si="14"/>
        <v>0.38463517398090047</v>
      </c>
    </row>
    <row r="56" spans="1:40">
      <c r="B56" s="610"/>
      <c r="C56" s="611" t="s">
        <v>510</v>
      </c>
      <c r="D56" s="624">
        <v>149.25</v>
      </c>
      <c r="E56" s="488">
        <v>110.39999999999999</v>
      </c>
      <c r="F56" s="488">
        <v>157.47</v>
      </c>
      <c r="G56" s="209">
        <f t="shared" si="11"/>
        <v>150.64235114497282</v>
      </c>
      <c r="H56" s="488">
        <v>3.61</v>
      </c>
      <c r="I56" s="488">
        <v>236.6</v>
      </c>
      <c r="J56" s="488">
        <v>1143.19</v>
      </c>
      <c r="K56" s="488">
        <v>70.02</v>
      </c>
      <c r="L56" s="488">
        <v>11.63</v>
      </c>
      <c r="M56" s="488">
        <v>685.63</v>
      </c>
      <c r="N56" s="488">
        <v>199.55</v>
      </c>
      <c r="O56" s="488">
        <v>1426.76</v>
      </c>
      <c r="P56" s="488">
        <v>236.88</v>
      </c>
      <c r="Q56" s="488">
        <v>53.349999999999994</v>
      </c>
      <c r="R56" s="488">
        <v>76.739999999999995</v>
      </c>
      <c r="S56" s="488">
        <v>84.49</v>
      </c>
      <c r="T56" s="209">
        <f t="shared" si="12"/>
        <v>7.8339785235873878</v>
      </c>
      <c r="U56" s="488">
        <v>390.53</v>
      </c>
      <c r="V56" s="488">
        <v>15.359999999999998</v>
      </c>
      <c r="W56" s="488">
        <v>3.6800000000000006</v>
      </c>
      <c r="X56" s="488">
        <v>7.69</v>
      </c>
      <c r="Y56" s="488">
        <v>2.21</v>
      </c>
      <c r="Z56" s="488">
        <v>76.010000000000005</v>
      </c>
      <c r="AA56" s="209">
        <f t="shared" si="13"/>
        <v>335.27272799781264</v>
      </c>
      <c r="AB56" s="488">
        <v>102.95</v>
      </c>
      <c r="AC56" s="488">
        <v>90.66</v>
      </c>
      <c r="AD56" s="488">
        <v>60.93</v>
      </c>
      <c r="AE56" s="488">
        <v>322.26</v>
      </c>
      <c r="AF56" s="488">
        <v>43.53</v>
      </c>
      <c r="AG56" s="488">
        <v>28.08</v>
      </c>
      <c r="AH56" s="488">
        <v>746.44</v>
      </c>
      <c r="AI56" s="209">
        <f t="shared" si="14"/>
        <v>33.750279978748303</v>
      </c>
      <c r="AJ56" s="209">
        <f t="shared" si="14"/>
        <v>36.666089640765705</v>
      </c>
      <c r="AK56" s="209">
        <f t="shared" si="14"/>
        <v>17.203080395942479</v>
      </c>
      <c r="AL56" s="209">
        <f t="shared" si="14"/>
        <v>25.299045449360829</v>
      </c>
      <c r="AM56" s="209">
        <f t="shared" si="14"/>
        <v>118.12499140177326</v>
      </c>
      <c r="AN56" s="210">
        <f t="shared" si="14"/>
        <v>18.086979094865988</v>
      </c>
    </row>
    <row r="57" spans="1:40">
      <c r="B57" s="610"/>
      <c r="C57" s="611" t="s">
        <v>527</v>
      </c>
      <c r="D57" s="624">
        <v>102.96000000000001</v>
      </c>
      <c r="E57" s="488">
        <v>318.51</v>
      </c>
      <c r="F57" s="488">
        <v>2.61</v>
      </c>
      <c r="G57" s="209">
        <f t="shared" si="11"/>
        <v>104.76161093860728</v>
      </c>
      <c r="H57" s="488">
        <v>0</v>
      </c>
      <c r="I57" s="488">
        <v>133.68</v>
      </c>
      <c r="J57" s="488">
        <v>2091.2399999999998</v>
      </c>
      <c r="K57" s="488">
        <v>65.44</v>
      </c>
      <c r="L57" s="488">
        <v>3.82</v>
      </c>
      <c r="M57" s="488">
        <v>599.99</v>
      </c>
      <c r="N57" s="488">
        <v>3.47</v>
      </c>
      <c r="O57" s="488">
        <v>1266.8499999999999</v>
      </c>
      <c r="P57" s="488">
        <v>9.91</v>
      </c>
      <c r="Q57" s="488">
        <v>52.28</v>
      </c>
      <c r="R57" s="488">
        <v>182.18</v>
      </c>
      <c r="S57" s="488">
        <v>76.39</v>
      </c>
      <c r="T57" s="209">
        <f t="shared" si="12"/>
        <v>0</v>
      </c>
      <c r="U57" s="488">
        <v>1886.4</v>
      </c>
      <c r="V57" s="488">
        <v>10.19</v>
      </c>
      <c r="W57" s="488">
        <v>12.37</v>
      </c>
      <c r="X57" s="488">
        <v>11.01</v>
      </c>
      <c r="Y57" s="488">
        <v>0</v>
      </c>
      <c r="Z57" s="488">
        <v>897.04500000000007</v>
      </c>
      <c r="AA57" s="209">
        <f t="shared" si="13"/>
        <v>0.2856324726086979</v>
      </c>
      <c r="AB57" s="488">
        <v>296.13</v>
      </c>
      <c r="AC57" s="488">
        <v>55.08</v>
      </c>
      <c r="AD57" s="488">
        <v>151.80000000000001</v>
      </c>
      <c r="AE57" s="488">
        <v>8.57</v>
      </c>
      <c r="AF57" s="488">
        <v>10.54</v>
      </c>
      <c r="AG57" s="488">
        <v>97.45</v>
      </c>
      <c r="AH57" s="488">
        <v>3051.38</v>
      </c>
      <c r="AI57" s="209">
        <f t="shared" si="14"/>
        <v>0</v>
      </c>
      <c r="AJ57" s="209">
        <f t="shared" si="14"/>
        <v>3.750122520721253</v>
      </c>
      <c r="AK57" s="209">
        <f t="shared" si="14"/>
        <v>0</v>
      </c>
      <c r="AL57" s="209">
        <f t="shared" si="14"/>
        <v>0</v>
      </c>
      <c r="AM57" s="209">
        <f t="shared" si="14"/>
        <v>18.712316182799537</v>
      </c>
      <c r="AN57" s="210">
        <f t="shared" si="14"/>
        <v>0</v>
      </c>
    </row>
    <row r="58" spans="1:40">
      <c r="B58" s="610"/>
      <c r="C58" s="611" t="s">
        <v>533</v>
      </c>
      <c r="D58" s="624">
        <v>82.04</v>
      </c>
      <c r="E58" s="488">
        <v>216.74</v>
      </c>
      <c r="F58" s="488">
        <v>0</v>
      </c>
      <c r="G58" s="209">
        <f t="shared" si="11"/>
        <v>229.87085597060636</v>
      </c>
      <c r="H58" s="488">
        <v>1.7400000000000002</v>
      </c>
      <c r="I58" s="488">
        <v>0</v>
      </c>
      <c r="J58" s="488">
        <v>1094.2</v>
      </c>
      <c r="K58" s="488">
        <v>30.79</v>
      </c>
      <c r="L58" s="488">
        <v>0.18</v>
      </c>
      <c r="M58" s="488">
        <v>167.93</v>
      </c>
      <c r="N58" s="488">
        <v>42.79</v>
      </c>
      <c r="O58" s="488">
        <v>459.68</v>
      </c>
      <c r="P58" s="488">
        <v>44.28</v>
      </c>
      <c r="Q58" s="488">
        <v>11.12</v>
      </c>
      <c r="R58" s="488">
        <v>0</v>
      </c>
      <c r="S58" s="488">
        <v>97.689999999999984</v>
      </c>
      <c r="T58" s="209">
        <f t="shared" si="12"/>
        <v>0.12245288272318285</v>
      </c>
      <c r="U58" s="488">
        <v>175.95</v>
      </c>
      <c r="V58" s="488">
        <v>0.41999999999999993</v>
      </c>
      <c r="W58" s="488">
        <v>10.3</v>
      </c>
      <c r="X58" s="488">
        <v>2.5099999999999998</v>
      </c>
      <c r="Y58" s="488">
        <v>0</v>
      </c>
      <c r="Z58" s="488">
        <v>6.004999999999999</v>
      </c>
      <c r="AA58" s="209">
        <f t="shared" si="13"/>
        <v>10.912545269656668</v>
      </c>
      <c r="AB58" s="488">
        <v>8.44</v>
      </c>
      <c r="AC58" s="488">
        <v>27.45</v>
      </c>
      <c r="AD58" s="488">
        <v>6.17</v>
      </c>
      <c r="AE58" s="488">
        <v>3.82</v>
      </c>
      <c r="AF58" s="488">
        <v>26.57</v>
      </c>
      <c r="AG58" s="488">
        <v>0</v>
      </c>
      <c r="AH58" s="488">
        <v>221.62</v>
      </c>
      <c r="AI58" s="209">
        <f t="shared" si="14"/>
        <v>8.9013293776920285E-2</v>
      </c>
      <c r="AJ58" s="209">
        <f t="shared" si="14"/>
        <v>0</v>
      </c>
      <c r="AK58" s="209">
        <f t="shared" si="14"/>
        <v>0</v>
      </c>
      <c r="AL58" s="209">
        <f t="shared" si="14"/>
        <v>2.4355068303681282</v>
      </c>
      <c r="AM58" s="209">
        <f t="shared" si="14"/>
        <v>7.6867472958454072E-2</v>
      </c>
      <c r="AN58" s="210">
        <f t="shared" si="14"/>
        <v>1.0566307652150395</v>
      </c>
    </row>
    <row r="59" spans="1:40">
      <c r="B59" s="610"/>
      <c r="C59" s="611" t="s">
        <v>528</v>
      </c>
      <c r="D59" s="624">
        <v>8.1999999999999993</v>
      </c>
      <c r="E59" s="488">
        <v>8.56</v>
      </c>
      <c r="F59" s="488">
        <v>0.11999999999999998</v>
      </c>
      <c r="G59" s="209">
        <f t="shared" si="11"/>
        <v>0</v>
      </c>
      <c r="H59" s="488">
        <v>0.76</v>
      </c>
      <c r="I59" s="488">
        <v>1.5699999999999998</v>
      </c>
      <c r="J59" s="488">
        <v>132.46</v>
      </c>
      <c r="K59" s="488">
        <v>3.35</v>
      </c>
      <c r="L59" s="488">
        <v>0.6</v>
      </c>
      <c r="M59" s="488">
        <v>340.57</v>
      </c>
      <c r="N59" s="488">
        <v>4.12</v>
      </c>
      <c r="O59" s="488">
        <v>305.67</v>
      </c>
      <c r="P59" s="488">
        <v>11.33</v>
      </c>
      <c r="Q59" s="488">
        <v>16.71</v>
      </c>
      <c r="R59" s="488">
        <v>25.360000000000003</v>
      </c>
      <c r="S59" s="488">
        <v>13.45</v>
      </c>
      <c r="T59" s="209">
        <f t="shared" si="12"/>
        <v>0.45820062247950299</v>
      </c>
      <c r="U59" s="488">
        <v>320.68</v>
      </c>
      <c r="V59" s="488">
        <v>4.96</v>
      </c>
      <c r="W59" s="488">
        <v>0.33</v>
      </c>
      <c r="X59" s="488">
        <v>3.58</v>
      </c>
      <c r="Y59" s="488">
        <v>4.0999999999999996</v>
      </c>
      <c r="Z59" s="488">
        <v>3.71</v>
      </c>
      <c r="AA59" s="209">
        <f t="shared" si="13"/>
        <v>5.5083683528514165</v>
      </c>
      <c r="AB59" s="488">
        <v>49.6</v>
      </c>
      <c r="AC59" s="488">
        <v>97.19</v>
      </c>
      <c r="AD59" s="488">
        <v>13.77</v>
      </c>
      <c r="AE59" s="488">
        <v>0</v>
      </c>
      <c r="AF59" s="488">
        <v>5.85</v>
      </c>
      <c r="AG59" s="488">
        <v>2.31</v>
      </c>
      <c r="AH59" s="488">
        <v>58.900000000000006</v>
      </c>
      <c r="AI59" s="209">
        <f t="shared" si="14"/>
        <v>18.286961456853636</v>
      </c>
      <c r="AJ59" s="209">
        <f t="shared" si="14"/>
        <v>0</v>
      </c>
      <c r="AK59" s="209">
        <f t="shared" si="14"/>
        <v>0</v>
      </c>
      <c r="AL59" s="209">
        <f t="shared" si="14"/>
        <v>2.0382036321921047</v>
      </c>
      <c r="AM59" s="209">
        <f t="shared" si="14"/>
        <v>6.3036129659580151</v>
      </c>
      <c r="AN59" s="210">
        <f t="shared" si="14"/>
        <v>2.2706828225064113</v>
      </c>
    </row>
    <row r="60" spans="1:40">
      <c r="B60" s="610"/>
      <c r="C60" s="611" t="s">
        <v>536</v>
      </c>
      <c r="D60" s="624">
        <v>102.32</v>
      </c>
      <c r="E60" s="488">
        <v>11.23</v>
      </c>
      <c r="F60" s="488">
        <v>6.45</v>
      </c>
      <c r="G60" s="209">
        <f t="shared" si="11"/>
        <v>27.89194611636572</v>
      </c>
      <c r="H60" s="488">
        <v>51.66</v>
      </c>
      <c r="I60" s="488">
        <v>6.83</v>
      </c>
      <c r="J60" s="488">
        <v>433.10000000000008</v>
      </c>
      <c r="K60" s="488">
        <v>10.51</v>
      </c>
      <c r="L60" s="488">
        <v>0</v>
      </c>
      <c r="M60" s="488">
        <v>150.5</v>
      </c>
      <c r="N60" s="488">
        <v>0.93</v>
      </c>
      <c r="O60" s="488">
        <v>42.68</v>
      </c>
      <c r="P60" s="488">
        <v>179.68</v>
      </c>
      <c r="Q60" s="488">
        <v>5.21</v>
      </c>
      <c r="R60" s="488">
        <v>5.09</v>
      </c>
      <c r="S60" s="488">
        <v>5.35</v>
      </c>
      <c r="T60" s="209">
        <f t="shared" si="12"/>
        <v>0</v>
      </c>
      <c r="U60" s="488">
        <v>99.26</v>
      </c>
      <c r="V60" s="488">
        <v>0</v>
      </c>
      <c r="W60" s="488">
        <v>0.86</v>
      </c>
      <c r="X60" s="488">
        <v>0</v>
      </c>
      <c r="Y60" s="488">
        <v>0</v>
      </c>
      <c r="Z60" s="488">
        <v>20.66</v>
      </c>
      <c r="AA60" s="209">
        <f t="shared" si="13"/>
        <v>0</v>
      </c>
      <c r="AB60" s="488">
        <v>0</v>
      </c>
      <c r="AC60" s="488">
        <v>34.94</v>
      </c>
      <c r="AD60" s="488">
        <v>0</v>
      </c>
      <c r="AE60" s="488">
        <v>10.32</v>
      </c>
      <c r="AF60" s="488">
        <v>5.0599999999999996</v>
      </c>
      <c r="AG60" s="488">
        <v>0</v>
      </c>
      <c r="AH60" s="488">
        <v>86.96</v>
      </c>
      <c r="AI60" s="209">
        <f t="shared" si="14"/>
        <v>2.0060666857743383</v>
      </c>
      <c r="AJ60" s="209">
        <f t="shared" si="14"/>
        <v>0</v>
      </c>
      <c r="AK60" s="209">
        <f t="shared" si="14"/>
        <v>0</v>
      </c>
      <c r="AL60" s="209">
        <f t="shared" si="14"/>
        <v>0</v>
      </c>
      <c r="AM60" s="209">
        <f t="shared" si="14"/>
        <v>0</v>
      </c>
      <c r="AN60" s="210">
        <f t="shared" si="14"/>
        <v>0.16695328174261967</v>
      </c>
    </row>
    <row r="61" spans="1:40">
      <c r="B61" s="612"/>
      <c r="C61" s="613" t="s">
        <v>529</v>
      </c>
      <c r="D61" s="625">
        <v>1.7400000000000002</v>
      </c>
      <c r="E61" s="626">
        <v>0</v>
      </c>
      <c r="F61" s="626">
        <v>1.17</v>
      </c>
      <c r="G61" s="627">
        <f t="shared" si="11"/>
        <v>0</v>
      </c>
      <c r="H61" s="626">
        <v>0</v>
      </c>
      <c r="I61" s="626">
        <v>7.22</v>
      </c>
      <c r="J61" s="626">
        <v>0</v>
      </c>
      <c r="K61" s="626">
        <v>0</v>
      </c>
      <c r="L61" s="626">
        <v>0</v>
      </c>
      <c r="M61" s="626">
        <v>0</v>
      </c>
      <c r="N61" s="626">
        <v>0</v>
      </c>
      <c r="O61" s="626">
        <v>0</v>
      </c>
      <c r="P61" s="626">
        <v>0</v>
      </c>
      <c r="Q61" s="626">
        <v>0</v>
      </c>
      <c r="R61" s="626">
        <v>0.46000000000000008</v>
      </c>
      <c r="S61" s="626">
        <v>38.54</v>
      </c>
      <c r="T61" s="627">
        <f t="shared" si="12"/>
        <v>0</v>
      </c>
      <c r="U61" s="626">
        <v>0</v>
      </c>
      <c r="V61" s="626">
        <v>0</v>
      </c>
      <c r="W61" s="626">
        <v>0</v>
      </c>
      <c r="X61" s="626">
        <v>0</v>
      </c>
      <c r="Y61" s="626">
        <v>0</v>
      </c>
      <c r="Z61" s="626">
        <v>0</v>
      </c>
      <c r="AA61" s="627">
        <f t="shared" si="13"/>
        <v>0</v>
      </c>
      <c r="AB61" s="626">
        <v>504.09</v>
      </c>
      <c r="AC61" s="626">
        <v>0</v>
      </c>
      <c r="AD61" s="626">
        <v>0</v>
      </c>
      <c r="AE61" s="626">
        <v>0</v>
      </c>
      <c r="AF61" s="626">
        <v>0</v>
      </c>
      <c r="AG61" s="626">
        <v>0</v>
      </c>
      <c r="AH61" s="626">
        <v>16.059999999999999</v>
      </c>
      <c r="AI61" s="627">
        <f t="shared" si="14"/>
        <v>0</v>
      </c>
      <c r="AJ61" s="627">
        <f t="shared" si="14"/>
        <v>0</v>
      </c>
      <c r="AK61" s="627">
        <f t="shared" si="14"/>
        <v>0</v>
      </c>
      <c r="AL61" s="627">
        <f t="shared" si="14"/>
        <v>0</v>
      </c>
      <c r="AM61" s="627">
        <f t="shared" si="14"/>
        <v>0</v>
      </c>
      <c r="AN61" s="628">
        <f t="shared" si="14"/>
        <v>0</v>
      </c>
    </row>
    <row r="63" spans="1:40">
      <c r="D63" s="650"/>
      <c r="E63" s="650"/>
      <c r="F63" s="650"/>
      <c r="G63" s="650"/>
      <c r="H63" s="650"/>
      <c r="I63" s="650"/>
      <c r="J63" s="650"/>
      <c r="K63" s="650"/>
      <c r="L63" s="650"/>
      <c r="M63" s="650"/>
      <c r="N63" s="650"/>
      <c r="O63" s="650"/>
      <c r="P63" s="650"/>
      <c r="Q63" s="650"/>
      <c r="R63" s="650"/>
      <c r="S63" s="650"/>
      <c r="T63" s="650"/>
      <c r="U63" s="650"/>
      <c r="V63" s="650"/>
      <c r="W63" s="650"/>
      <c r="X63" s="650"/>
      <c r="Y63" s="650"/>
      <c r="Z63" s="650"/>
      <c r="AA63" s="650"/>
      <c r="AB63" s="650"/>
      <c r="AC63" s="650"/>
      <c r="AD63" s="650"/>
      <c r="AE63" s="650"/>
      <c r="AF63" s="650"/>
      <c r="AG63" s="650"/>
      <c r="AH63" s="650"/>
      <c r="AI63" s="650"/>
      <c r="AJ63" s="650"/>
      <c r="AK63" s="650"/>
      <c r="AL63" s="650"/>
      <c r="AM63" s="650"/>
      <c r="AN63" s="650"/>
    </row>
    <row r="64" spans="1:40" ht="21">
      <c r="A64" s="3" t="s">
        <v>690</v>
      </c>
      <c r="B64" s="606"/>
      <c r="C64" s="606"/>
    </row>
    <row r="65" spans="1:40">
      <c r="A65" t="s">
        <v>693</v>
      </c>
      <c r="B65" s="606"/>
      <c r="C65" s="606"/>
    </row>
    <row r="66" spans="1:40">
      <c r="B66" t="s">
        <v>688</v>
      </c>
      <c r="D66" s="247" t="s">
        <v>88</v>
      </c>
      <c r="E66" s="248" t="s">
        <v>89</v>
      </c>
      <c r="F66" s="248" t="s">
        <v>90</v>
      </c>
      <c r="G66" s="248" t="s">
        <v>91</v>
      </c>
      <c r="H66" s="248" t="s">
        <v>92</v>
      </c>
      <c r="I66" s="248" t="s">
        <v>93</v>
      </c>
      <c r="J66" s="248" t="s">
        <v>94</v>
      </c>
      <c r="K66" s="248" t="s">
        <v>95</v>
      </c>
      <c r="L66" s="248" t="s">
        <v>96</v>
      </c>
      <c r="M66" s="248" t="s">
        <v>97</v>
      </c>
      <c r="N66" s="248" t="s">
        <v>98</v>
      </c>
      <c r="O66" s="248" t="s">
        <v>99</v>
      </c>
      <c r="P66" s="248" t="s">
        <v>205</v>
      </c>
      <c r="Q66" s="248" t="s">
        <v>118</v>
      </c>
      <c r="R66" s="248" t="s">
        <v>100</v>
      </c>
      <c r="S66" s="248" t="s">
        <v>101</v>
      </c>
      <c r="T66" s="248" t="s">
        <v>102</v>
      </c>
      <c r="U66" s="248" t="s">
        <v>103</v>
      </c>
      <c r="V66" s="248" t="s">
        <v>104</v>
      </c>
      <c r="W66" s="248" t="s">
        <v>105</v>
      </c>
      <c r="X66" s="248" t="s">
        <v>106</v>
      </c>
      <c r="Y66" s="248" t="s">
        <v>107</v>
      </c>
      <c r="Z66" s="248" t="s">
        <v>108</v>
      </c>
      <c r="AA66" s="248" t="s">
        <v>109</v>
      </c>
      <c r="AB66" s="248" t="s">
        <v>110</v>
      </c>
      <c r="AC66" s="248" t="s">
        <v>111</v>
      </c>
      <c r="AD66" s="248" t="s">
        <v>112</v>
      </c>
      <c r="AE66" s="248" t="s">
        <v>113</v>
      </c>
      <c r="AF66" s="248" t="s">
        <v>114</v>
      </c>
      <c r="AG66" s="248" t="s">
        <v>115</v>
      </c>
      <c r="AH66" s="248" t="s">
        <v>52</v>
      </c>
      <c r="AI66" s="248" t="s">
        <v>116</v>
      </c>
      <c r="AJ66" s="248" t="s">
        <v>117</v>
      </c>
      <c r="AK66" s="248" t="s">
        <v>119</v>
      </c>
      <c r="AL66" s="248" t="s">
        <v>120</v>
      </c>
      <c r="AM66" s="248" t="s">
        <v>121</v>
      </c>
      <c r="AN66" s="249" t="s">
        <v>122</v>
      </c>
    </row>
    <row r="67" spans="1:40">
      <c r="B67" s="631" t="s">
        <v>524</v>
      </c>
      <c r="C67" s="632" t="s">
        <v>525</v>
      </c>
      <c r="D67" s="645">
        <f>D4*(41.868/1000)</f>
        <v>12.078918</v>
      </c>
      <c r="E67" s="646">
        <f t="shared" ref="E67:F67" si="15">E4*(41.868/1000)</f>
        <v>16.82005032</v>
      </c>
      <c r="F67" s="646">
        <f t="shared" si="15"/>
        <v>9.1071273600000016</v>
      </c>
      <c r="G67" s="647">
        <f>SUM(G68:G72)</f>
        <v>16.105484734857335</v>
      </c>
      <c r="H67" s="646">
        <f t="shared" ref="H67:S82" si="16">H4*(41.868/1000)</f>
        <v>1.810791</v>
      </c>
      <c r="I67" s="646">
        <f t="shared" si="16"/>
        <v>16.081917480000001</v>
      </c>
      <c r="J67" s="646">
        <f t="shared" si="16"/>
        <v>142.51490387999999</v>
      </c>
      <c r="K67" s="646">
        <f t="shared" si="16"/>
        <v>9.1816524000000008</v>
      </c>
      <c r="L67" s="646">
        <f t="shared" si="16"/>
        <v>2.5032877200000003</v>
      </c>
      <c r="M67" s="646">
        <f t="shared" si="16"/>
        <v>66.490152120000005</v>
      </c>
      <c r="N67" s="646">
        <f t="shared" si="16"/>
        <v>7.8686719200000006</v>
      </c>
      <c r="O67" s="646">
        <f t="shared" si="16"/>
        <v>138.41058384000002</v>
      </c>
      <c r="P67" s="646">
        <f t="shared" si="16"/>
        <v>21.28317912</v>
      </c>
      <c r="Q67" s="646">
        <f t="shared" si="16"/>
        <v>6.4187830800000008</v>
      </c>
      <c r="R67" s="646">
        <f t="shared" si="16"/>
        <v>16.543721520000002</v>
      </c>
      <c r="S67" s="646">
        <f t="shared" si="16"/>
        <v>5.5839351600000002</v>
      </c>
      <c r="T67" s="647">
        <f>SUM(T68:T72)</f>
        <v>0.31762821622472265</v>
      </c>
      <c r="U67" s="646">
        <f t="shared" ref="U67:Z82" si="17">U4*(41.868/1000)</f>
        <v>101.79618048000002</v>
      </c>
      <c r="V67" s="646">
        <f t="shared" si="17"/>
        <v>4.3978147200000004</v>
      </c>
      <c r="W67" s="646">
        <f t="shared" si="17"/>
        <v>0.77958216000000014</v>
      </c>
      <c r="X67" s="646">
        <f t="shared" si="17"/>
        <v>2.8901480400000001</v>
      </c>
      <c r="Y67" s="646">
        <f t="shared" si="17"/>
        <v>0.48818088000000004</v>
      </c>
      <c r="Z67" s="646">
        <f t="shared" si="17"/>
        <v>28.718935920000003</v>
      </c>
      <c r="AA67" s="647">
        <f>SUM(AA68:AA72)</f>
        <v>13.118159992959875</v>
      </c>
      <c r="AB67" s="646">
        <f t="shared" ref="AB67:AH82" si="18">AB4*(41.868/1000)</f>
        <v>60.906216960000002</v>
      </c>
      <c r="AC67" s="646">
        <f t="shared" si="18"/>
        <v>40.720816800000001</v>
      </c>
      <c r="AD67" s="646">
        <f t="shared" si="18"/>
        <v>29.963671560000002</v>
      </c>
      <c r="AE67" s="646">
        <f t="shared" si="18"/>
        <v>13.092123600000001</v>
      </c>
      <c r="AF67" s="646">
        <f t="shared" si="18"/>
        <v>2.7712429200000002</v>
      </c>
      <c r="AG67" s="646">
        <f t="shared" si="18"/>
        <v>6.4627444800000013</v>
      </c>
      <c r="AH67" s="646">
        <f t="shared" si="18"/>
        <v>67.506288479999995</v>
      </c>
      <c r="AI67" s="647">
        <f t="shared" ref="AI67:AN67" si="19">SUM(AI68:AI72)</f>
        <v>4.7829385411845733</v>
      </c>
      <c r="AJ67" s="647">
        <f t="shared" si="19"/>
        <v>2.6371024327089287</v>
      </c>
      <c r="AK67" s="647">
        <f t="shared" si="19"/>
        <v>1.8435086827435101</v>
      </c>
      <c r="AL67" s="647">
        <f t="shared" si="19"/>
        <v>2.0006923892485462</v>
      </c>
      <c r="AM67" s="647">
        <f t="shared" si="19"/>
        <v>9.2130844736866386</v>
      </c>
      <c r="AN67" s="648">
        <f t="shared" si="19"/>
        <v>1.4620069251631393</v>
      </c>
    </row>
    <row r="68" spans="1:40">
      <c r="B68" s="408"/>
      <c r="C68" s="633" t="s">
        <v>526</v>
      </c>
      <c r="D68" s="649">
        <f t="shared" ref="D68:F83" si="20">D5*(41.868/1000)</f>
        <v>0.84112812000000003</v>
      </c>
      <c r="E68" s="650">
        <f t="shared" si="20"/>
        <v>0</v>
      </c>
      <c r="F68" s="650">
        <f t="shared" si="20"/>
        <v>0.74190095999999994</v>
      </c>
      <c r="G68" s="651">
        <f>INDEX('Eurostat-IEA'!$D$7:$L$7,MATCH('IDEES 2015'!G$66,'Eurostat-IEA'!$D$2:$L$2,0))*$J68/SUM($J$68,$J$76,$J$85)</f>
        <v>0</v>
      </c>
      <c r="H68" s="650">
        <f t="shared" si="16"/>
        <v>0</v>
      </c>
      <c r="I68" s="650">
        <f t="shared" si="16"/>
        <v>0.69249671999999995</v>
      </c>
      <c r="J68" s="650">
        <f t="shared" si="16"/>
        <v>0</v>
      </c>
      <c r="K68" s="650">
        <f t="shared" si="16"/>
        <v>0</v>
      </c>
      <c r="L68" s="650">
        <f t="shared" si="16"/>
        <v>0.24702120000000002</v>
      </c>
      <c r="M68" s="650">
        <f t="shared" si="16"/>
        <v>1.14257772</v>
      </c>
      <c r="N68" s="650">
        <f t="shared" si="16"/>
        <v>0</v>
      </c>
      <c r="O68" s="650">
        <f t="shared" si="16"/>
        <v>0</v>
      </c>
      <c r="P68" s="650">
        <f t="shared" si="16"/>
        <v>1.5595830000000002</v>
      </c>
      <c r="Q68" s="650">
        <f t="shared" si="16"/>
        <v>0</v>
      </c>
      <c r="R68" s="650">
        <f t="shared" si="16"/>
        <v>0.60289920000000008</v>
      </c>
      <c r="S68" s="650">
        <f t="shared" si="16"/>
        <v>0</v>
      </c>
      <c r="T68" s="651">
        <f>INDEX('Eurostat-IEA'!$D$7:$L$7,MATCH('IDEES 2015'!T$66,'Eurostat-IEA'!$D$2:$L$2,0))*$N68/SUM($N$68,$N$76,$N$85)</f>
        <v>0</v>
      </c>
      <c r="U68" s="650">
        <f t="shared" si="17"/>
        <v>0</v>
      </c>
      <c r="V68" s="650">
        <f t="shared" si="17"/>
        <v>0.74022624000000004</v>
      </c>
      <c r="W68" s="650">
        <f t="shared" si="17"/>
        <v>0</v>
      </c>
      <c r="X68" s="650">
        <f t="shared" si="17"/>
        <v>0.94579812000000008</v>
      </c>
      <c r="Y68" s="650">
        <f t="shared" si="17"/>
        <v>0</v>
      </c>
      <c r="Z68" s="650">
        <f t="shared" si="17"/>
        <v>0</v>
      </c>
      <c r="AA68" s="651">
        <f>INDEX('Eurostat-IEA'!$D$7:$L$7,MATCH('IDEES 2015'!AA$66,'Eurostat-IEA'!$D$2:$L$2,0))*$N68/SUM($N$68,$N$76,$N$85)</f>
        <v>0</v>
      </c>
      <c r="AB68" s="650">
        <f t="shared" si="18"/>
        <v>2.3069268000000003</v>
      </c>
      <c r="AC68" s="650">
        <f t="shared" si="18"/>
        <v>11.416984920000001</v>
      </c>
      <c r="AD68" s="650">
        <f t="shared" si="18"/>
        <v>10.716114600000001</v>
      </c>
      <c r="AE68" s="650">
        <f t="shared" si="18"/>
        <v>0</v>
      </c>
      <c r="AF68" s="650">
        <f t="shared" si="18"/>
        <v>0.4438008</v>
      </c>
      <c r="AG68" s="650">
        <f t="shared" si="18"/>
        <v>0</v>
      </c>
      <c r="AH68" s="650">
        <f t="shared" si="18"/>
        <v>0</v>
      </c>
      <c r="AI68" s="651">
        <f>INDEX('Eurostat-IEA'!$D$7:$L$7,MATCH('IDEES 2015'!AI$66,'Eurostat-IEA'!$D$2:$L$2,0))*$P68/SUM($P$68,$P$76,$P$85)</f>
        <v>0.46348399388985212</v>
      </c>
      <c r="AJ68" s="651">
        <f>INDEX('Eurostat-IEA'!$D$7:$L$7,MATCH('IDEES 2015'!AJ$66,'Eurostat-IEA'!$D$2:$L$2,0))*$Q68/SUM($Q$68,$Q$76,$Q$85)</f>
        <v>0</v>
      </c>
      <c r="AK68" s="651">
        <f>INDEX('Eurostat-IEA'!$D$7:$L$7,MATCH('IDEES 2015'!AK$66,'Eurostat-IEA'!$D$2:$L$2,0))*$P68/SUM($P$68,$P$76,$P$85)</f>
        <v>0.58020312112955164</v>
      </c>
      <c r="AL68" s="651">
        <f>INDEX('Eurostat-IEA'!$D$7:$L$7,MATCH('IDEES 2015'!AL$66,'Eurostat-IEA'!$D$2:$L$2,0))*$Q68/SUM($Q$68,$Q$76,$Q$85)</f>
        <v>0</v>
      </c>
      <c r="AM68" s="651">
        <f>INDEX('Eurostat-IEA'!$D$7:$L$7,MATCH('IDEES 2015'!AM$66,'Eurostat-IEA'!$D$2:$L$2,0))*$Q68/SUM($Q$68,$Q$76,$Q$85)</f>
        <v>0</v>
      </c>
      <c r="AN68" s="652">
        <f>INDEX('Eurostat-IEA'!$D$7:$L$7,MATCH('IDEES 2015'!AN$66,'Eurostat-IEA'!$D$2:$L$2,0))*$Q68/SUM($Q$68,$Q$76,$Q$85)</f>
        <v>0</v>
      </c>
    </row>
    <row r="69" spans="1:40">
      <c r="B69" s="408"/>
      <c r="C69" s="633" t="s">
        <v>510</v>
      </c>
      <c r="D69" s="649">
        <f t="shared" si="20"/>
        <v>9.3742452000000007</v>
      </c>
      <c r="E69" s="650">
        <f t="shared" si="20"/>
        <v>10.35563112</v>
      </c>
      <c r="F69" s="650">
        <f t="shared" si="20"/>
        <v>6.93710892</v>
      </c>
      <c r="G69" s="651">
        <f>INDEX('Eurostat-IEA'!$D$10:$L$10,MATCH('IDEES 2015'!G$66,'Eurostat-IEA'!$D$2:$L$2,0))*$J69/SUM($J$69,$J$74,$J$78,$J$87,$J$93)</f>
        <v>15.943218406009185</v>
      </c>
      <c r="H69" s="650">
        <f t="shared" si="16"/>
        <v>0.46264140000000004</v>
      </c>
      <c r="I69" s="650">
        <f t="shared" si="16"/>
        <v>10.57292604</v>
      </c>
      <c r="J69" s="650">
        <f t="shared" si="16"/>
        <v>121.3271838</v>
      </c>
      <c r="K69" s="650">
        <f t="shared" si="16"/>
        <v>8.2551135599999999</v>
      </c>
      <c r="L69" s="650">
        <f t="shared" si="16"/>
        <v>2.0209683600000004</v>
      </c>
      <c r="M69" s="650">
        <f t="shared" si="16"/>
        <v>28.906504559999998</v>
      </c>
      <c r="N69" s="650">
        <f t="shared" si="16"/>
        <v>7.6907329200000003</v>
      </c>
      <c r="O69" s="650">
        <f t="shared" si="16"/>
        <v>88.759322640000008</v>
      </c>
      <c r="P69" s="650">
        <f t="shared" si="16"/>
        <v>17.893545840000002</v>
      </c>
      <c r="Q69" s="650">
        <f t="shared" si="16"/>
        <v>3.7325322000000005</v>
      </c>
      <c r="R69" s="650">
        <f t="shared" si="16"/>
        <v>5.6693458799999998</v>
      </c>
      <c r="S69" s="650">
        <f t="shared" si="16"/>
        <v>3.5805513599999998</v>
      </c>
      <c r="T69" s="651">
        <f>INDEX('Eurostat-IEA'!$D$10:$L$10,MATCH('IDEES 2015'!T$66,'Eurostat-IEA'!$D$2:$L$2,0))*$N69/SUM($N$69,$N$74,$N$78,$N$87,$N$93)</f>
        <v>0.30207892045007478</v>
      </c>
      <c r="U69" s="650">
        <f t="shared" si="17"/>
        <v>18.138473640000001</v>
      </c>
      <c r="V69" s="650">
        <f t="shared" si="17"/>
        <v>2.3877320400000004</v>
      </c>
      <c r="W69" s="650">
        <f t="shared" si="17"/>
        <v>0.45636120000000002</v>
      </c>
      <c r="X69" s="650">
        <f t="shared" si="17"/>
        <v>1.0626098399999999</v>
      </c>
      <c r="Y69" s="650">
        <f t="shared" si="17"/>
        <v>0.14486328000000001</v>
      </c>
      <c r="Z69" s="650">
        <f t="shared" si="17"/>
        <v>14.802222060000002</v>
      </c>
      <c r="AA69" s="651">
        <f>INDEX('Eurostat-IEA'!$D$10:$L$10,MATCH('IDEES 2015'!AA$66,'Eurostat-IEA'!$D$2:$L$2,0))*$N69/SUM($N$69,$N$74,$N$78,$N$87,$N$93)</f>
        <v>12.928146716893542</v>
      </c>
      <c r="AB69" s="650">
        <f t="shared" si="18"/>
        <v>26.616743640000003</v>
      </c>
      <c r="AC69" s="650">
        <f t="shared" si="18"/>
        <v>10.819109880000001</v>
      </c>
      <c r="AD69" s="650">
        <f t="shared" si="18"/>
        <v>2.4555582</v>
      </c>
      <c r="AE69" s="650">
        <f t="shared" si="18"/>
        <v>12.946422960000001</v>
      </c>
      <c r="AF69" s="650">
        <f t="shared" si="18"/>
        <v>1.2016116000000001</v>
      </c>
      <c r="AG69" s="650">
        <f t="shared" si="18"/>
        <v>3.3276686400000002</v>
      </c>
      <c r="AH69" s="650">
        <f t="shared" si="18"/>
        <v>29.559226680000002</v>
      </c>
      <c r="AI69" s="651">
        <f>INDEX('Eurostat-IEA'!$D$10:$L$10,MATCH('IDEES 2015'!AI$66,'Eurostat-IEA'!$D$2:$L$2,0))*$P69/SUM($P$69,$P$74,$P$78,$P$87,$P$93)</f>
        <v>2.5547065125408941</v>
      </c>
      <c r="AJ69" s="651">
        <f>INDEX('Eurostat-IEA'!$D$10:$L$10,MATCH('IDEES 2015'!AJ$66,'Eurostat-IEA'!$D$2:$L$2,0))*$Q69/SUM($Q$69,$Q$74,$Q$78,$Q$87,$Q$93)</f>
        <v>2.5510767673853367</v>
      </c>
      <c r="AK69" s="651">
        <f>INDEX('Eurostat-IEA'!$D$10:$L$10,MATCH('IDEES 2015'!AK$66,'Eurostat-IEA'!$D$2:$L$2,0))*$P69/SUM($P$69,$P$74,$P$78,$P$87,$P$93)</f>
        <v>1.2633055616139583</v>
      </c>
      <c r="AL69" s="651">
        <f>INDEX('Eurostat-IEA'!$D$10:$L$10,MATCH('IDEES 2015'!AL$66,'Eurostat-IEA'!$D$2:$L$2,0))*$Q69/SUM($Q$69,$Q$74,$Q$78,$Q$87,$Q$93)</f>
        <v>1.8143643882564828</v>
      </c>
      <c r="AM69" s="651">
        <f>INDEX('Eurostat-IEA'!$D$10:$L$10,MATCH('IDEES 2015'!AM$66,'Eurostat-IEA'!$D$2:$L$2,0))*$Q69/SUM($Q$69,$Q$74,$Q$78,$Q$87,$Q$93)</f>
        <v>8.2186544615223216</v>
      </c>
      <c r="AN69" s="652">
        <f>INDEX('Eurostat-IEA'!$D$10:$L$10,MATCH('IDEES 2015'!AN$66,'Eurostat-IEA'!$D$2:$L$2,0))*$Q69/SUM($Q$69,$Q$74,$Q$78,$Q$87,$Q$93)</f>
        <v>1.2584181354805997</v>
      </c>
    </row>
    <row r="70" spans="1:40">
      <c r="B70" s="408"/>
      <c r="C70" s="633" t="s">
        <v>527</v>
      </c>
      <c r="D70" s="649">
        <f t="shared" si="20"/>
        <v>1.1806776000000001</v>
      </c>
      <c r="E70" s="650">
        <f t="shared" si="20"/>
        <v>5.4390718800000002</v>
      </c>
      <c r="F70" s="650">
        <f t="shared" si="20"/>
        <v>0.17793900000000001</v>
      </c>
      <c r="G70" s="651">
        <f>INDEX('Eurostat-IEA'!$D$6:$L$6,MATCH('IDEES 2015'!G$66,'Eurostat-IEA'!$D$2:$L$2,0))*$J70/SUM($J$70,$J$79,$J$88)</f>
        <v>0.16226632884815015</v>
      </c>
      <c r="H70" s="650">
        <f t="shared" si="16"/>
        <v>0</v>
      </c>
      <c r="I70" s="650">
        <f t="shared" si="16"/>
        <v>4.7260598400000005</v>
      </c>
      <c r="J70" s="650">
        <f t="shared" si="16"/>
        <v>3.2255107200000004</v>
      </c>
      <c r="K70" s="650">
        <f t="shared" si="16"/>
        <v>0.42119208000000002</v>
      </c>
      <c r="L70" s="650">
        <f t="shared" si="16"/>
        <v>0.10173924000000001</v>
      </c>
      <c r="M70" s="650">
        <f t="shared" si="16"/>
        <v>23.362762679999999</v>
      </c>
      <c r="N70" s="650">
        <f t="shared" si="16"/>
        <v>3.726252E-2</v>
      </c>
      <c r="O70" s="650">
        <f t="shared" si="16"/>
        <v>25.3531674</v>
      </c>
      <c r="P70" s="650">
        <f t="shared" si="16"/>
        <v>0.73645811999999999</v>
      </c>
      <c r="Q70" s="650">
        <f t="shared" si="16"/>
        <v>1.19240064</v>
      </c>
      <c r="R70" s="650">
        <f t="shared" si="16"/>
        <v>7.8489939600000005</v>
      </c>
      <c r="S70" s="650">
        <f t="shared" si="16"/>
        <v>1.27529928</v>
      </c>
      <c r="T70" s="651">
        <f>INDEX('Eurostat-IEA'!$D$6:$L$6,MATCH('IDEES 2015'!T$66,'Eurostat-IEA'!$D$2:$L$2,0))*$N70/SUM($N$70,$N$79,$N$88)</f>
        <v>0</v>
      </c>
      <c r="U70" s="650">
        <f t="shared" si="17"/>
        <v>64.626188760000005</v>
      </c>
      <c r="V70" s="650">
        <f t="shared" si="17"/>
        <v>0.28428372000000002</v>
      </c>
      <c r="W70" s="650">
        <f t="shared" si="17"/>
        <v>0.27088595999999998</v>
      </c>
      <c r="X70" s="650">
        <f t="shared" si="17"/>
        <v>0.24911460000000002</v>
      </c>
      <c r="Y70" s="650">
        <f t="shared" si="17"/>
        <v>0</v>
      </c>
      <c r="Z70" s="650">
        <f t="shared" si="17"/>
        <v>12.994152480000002</v>
      </c>
      <c r="AA70" s="651">
        <f>INDEX('Eurostat-IEA'!$D$6:$L$6,MATCH('IDEES 2015'!AA$66,'Eurostat-IEA'!$D$2:$L$2,0))*$N70/SUM($N$70,$N$79,$N$88)</f>
        <v>3.0836986015445626E-3</v>
      </c>
      <c r="AB70" s="650">
        <f t="shared" si="18"/>
        <v>8.551957680000001</v>
      </c>
      <c r="AC70" s="650">
        <f t="shared" si="18"/>
        <v>3.6647060400000004</v>
      </c>
      <c r="AD70" s="650">
        <f t="shared" si="18"/>
        <v>8.4502184400000004</v>
      </c>
      <c r="AE70" s="650">
        <f t="shared" si="18"/>
        <v>0.14570064000000002</v>
      </c>
      <c r="AF70" s="650">
        <f t="shared" si="18"/>
        <v>0.29098260000000004</v>
      </c>
      <c r="AG70" s="650">
        <f t="shared" si="18"/>
        <v>2.7842220000000002</v>
      </c>
      <c r="AH70" s="650">
        <f t="shared" si="18"/>
        <v>34.96689756</v>
      </c>
      <c r="AI70" s="651">
        <f>INDEX('Eurostat-IEA'!$D$6:$L$6,MATCH('IDEES 2015'!AI$66,'Eurostat-IEA'!$D$2:$L$2,0))*$P70/SUM($P$70,$P$79,$P$88)</f>
        <v>0</v>
      </c>
      <c r="AJ70" s="651">
        <f>INDEX('Eurostat-IEA'!$D$6:$L$6,MATCH('IDEES 2015'!AJ$66,'Eurostat-IEA'!$D$2:$L$2,0))*$Q70/SUM($Q$70,$Q$79,$Q$88)</f>
        <v>8.6025665323591863E-2</v>
      </c>
      <c r="AK70" s="651">
        <f>INDEX('Eurostat-IEA'!$D$6:$L$6,MATCH('IDEES 2015'!AK$66,'Eurostat-IEA'!$D$2:$L$2,0))*$P70/SUM($P$70,$P$79,$P$88)</f>
        <v>0</v>
      </c>
      <c r="AL70" s="651">
        <f>INDEX('Eurostat-IEA'!$D$6:$L$6,MATCH('IDEES 2015'!AL$66,'Eurostat-IEA'!$D$2:$L$2,0))*$Q70/SUM($Q$70,$Q$79,$Q$88)</f>
        <v>0</v>
      </c>
      <c r="AM70" s="651">
        <f>INDEX('Eurostat-IEA'!$D$6:$L$6,MATCH('IDEES 2015'!AM$66,'Eurostat-IEA'!$D$2:$L$2,0))*$Q70/SUM($Q$70,$Q$79,$Q$88)</f>
        <v>0.42924982863257155</v>
      </c>
      <c r="AN70" s="652">
        <f>INDEX('Eurostat-IEA'!$D$6:$L$6,MATCH('IDEES 2015'!AN$66,'Eurostat-IEA'!$D$2:$L$2,0))*$Q70/SUM($Q$70,$Q$79,$Q$88)</f>
        <v>0</v>
      </c>
    </row>
    <row r="71" spans="1:40">
      <c r="B71" s="408"/>
      <c r="C71" s="633" t="s">
        <v>528</v>
      </c>
      <c r="D71" s="649">
        <f t="shared" si="20"/>
        <v>0.65816496000000002</v>
      </c>
      <c r="E71" s="650">
        <f t="shared" si="20"/>
        <v>1.025766</v>
      </c>
      <c r="F71" s="650">
        <f t="shared" si="20"/>
        <v>0.84405888000000007</v>
      </c>
      <c r="G71" s="651">
        <f>INDEX('Eurostat-IEA'!$D$4:$L$4,MATCH('IDEES 2015'!G$66,'Eurostat-IEA'!$D$2:$L$2,0))*$J71/SUM($J$71,$J$82,$J$90)</f>
        <v>0</v>
      </c>
      <c r="H71" s="650">
        <f t="shared" si="16"/>
        <v>1.3477309200000001</v>
      </c>
      <c r="I71" s="650">
        <f t="shared" si="16"/>
        <v>9.0016200000000005E-2</v>
      </c>
      <c r="J71" s="650">
        <f t="shared" si="16"/>
        <v>17.962209359999999</v>
      </c>
      <c r="K71" s="650">
        <f t="shared" si="16"/>
        <v>0.50534676000000001</v>
      </c>
      <c r="L71" s="650">
        <f t="shared" si="16"/>
        <v>0.13355892</v>
      </c>
      <c r="M71" s="650">
        <f t="shared" si="16"/>
        <v>12.502622160000001</v>
      </c>
      <c r="N71" s="650">
        <f t="shared" si="16"/>
        <v>0.14067647999999999</v>
      </c>
      <c r="O71" s="650">
        <f t="shared" si="16"/>
        <v>24.297675120000005</v>
      </c>
      <c r="P71" s="650">
        <f t="shared" si="16"/>
        <v>1.09359216</v>
      </c>
      <c r="Q71" s="650">
        <f t="shared" si="16"/>
        <v>1.4942689199999999</v>
      </c>
      <c r="R71" s="650">
        <f t="shared" si="16"/>
        <v>2.3940122400000003</v>
      </c>
      <c r="S71" s="650">
        <f t="shared" si="16"/>
        <v>0.72808452000000001</v>
      </c>
      <c r="T71" s="651">
        <f>INDEX('Eurostat-IEA'!$D$4:$L$4,MATCH('IDEES 2015'!T$66,'Eurostat-IEA'!$D$2:$L$2,0))*$N71/SUM($N$71,$N$82,$N$90)</f>
        <v>1.5549295774647885E-2</v>
      </c>
      <c r="U71" s="650">
        <f t="shared" si="17"/>
        <v>19.031518080000001</v>
      </c>
      <c r="V71" s="650">
        <f t="shared" si="17"/>
        <v>0.98515404000000006</v>
      </c>
      <c r="W71" s="650">
        <f t="shared" si="17"/>
        <v>5.1916320000000002E-2</v>
      </c>
      <c r="X71" s="650">
        <f t="shared" si="17"/>
        <v>0.63262547999999996</v>
      </c>
      <c r="Y71" s="650">
        <f t="shared" si="17"/>
        <v>0.34289892</v>
      </c>
      <c r="Z71" s="650">
        <f t="shared" si="17"/>
        <v>0.9225613800000001</v>
      </c>
      <c r="AA71" s="651">
        <f>INDEX('Eurostat-IEA'!$D$4:$L$4,MATCH('IDEES 2015'!AA$66,'Eurostat-IEA'!$D$2:$L$2,0))*$N71/SUM($N$71,$N$82,$N$90)</f>
        <v>0.18692957746478872</v>
      </c>
      <c r="AB71" s="650">
        <f t="shared" si="18"/>
        <v>16.38671652</v>
      </c>
      <c r="AC71" s="650">
        <f t="shared" si="18"/>
        <v>14.820015960000003</v>
      </c>
      <c r="AD71" s="650">
        <f t="shared" si="18"/>
        <v>8.3421990000000008</v>
      </c>
      <c r="AE71" s="650">
        <f t="shared" si="18"/>
        <v>0</v>
      </c>
      <c r="AF71" s="650">
        <f t="shared" si="18"/>
        <v>0.83526659999999997</v>
      </c>
      <c r="AG71" s="650">
        <f t="shared" si="18"/>
        <v>0.35043515999999997</v>
      </c>
      <c r="AH71" s="650">
        <f t="shared" si="18"/>
        <v>2.9801642400000006</v>
      </c>
      <c r="AI71" s="651">
        <f>INDEX('Eurostat-IEA'!$D$4:$L$4,MATCH('IDEES 2015'!AI$66,'Eurostat-IEA'!$D$2:$L$2,0))*$P71/SUM($P$71,$P$82,$P$90)</f>
        <v>1.7647480347538267</v>
      </c>
      <c r="AJ71" s="651">
        <f>INDEX('Eurostat-IEA'!$D$4:$L$4,MATCH('IDEES 2015'!AJ$66,'Eurostat-IEA'!$D$2:$L$2,0))*$Q71/SUM($Q$71,$Q$82,$Q$90)</f>
        <v>0</v>
      </c>
      <c r="AK71" s="651">
        <f>INDEX('Eurostat-IEA'!$D$4:$L$4,MATCH('IDEES 2015'!AK$66,'Eurostat-IEA'!$D$2:$L$2,0))*$P71/SUM($P$71,$P$82,$P$90)</f>
        <v>0</v>
      </c>
      <c r="AL71" s="651">
        <f>INDEX('Eurostat-IEA'!$D$4:$L$4,MATCH('IDEES 2015'!AL$66,'Eurostat-IEA'!$D$2:$L$2,0))*$Q71/SUM($Q$71,$Q$82,$Q$90)</f>
        <v>0.18632800099206348</v>
      </c>
      <c r="AM71" s="651">
        <f>INDEX('Eurostat-IEA'!$D$4:$L$4,MATCH('IDEES 2015'!AM$66,'Eurostat-IEA'!$D$2:$L$2,0))*$Q71/SUM($Q$71,$Q$82,$Q$90)</f>
        <v>0.56518018353174593</v>
      </c>
      <c r="AN71" s="652">
        <f>INDEX('Eurostat-IEA'!$D$4:$L$4,MATCH('IDEES 2015'!AN$66,'Eurostat-IEA'!$D$2:$L$2,0))*$Q71/SUM($Q$71,$Q$82,$Q$90)</f>
        <v>0.20358878968253968</v>
      </c>
    </row>
    <row r="72" spans="1:40">
      <c r="B72" s="547"/>
      <c r="C72" s="619" t="s">
        <v>529</v>
      </c>
      <c r="D72" s="653">
        <f t="shared" si="20"/>
        <v>2.428344E-2</v>
      </c>
      <c r="E72" s="654">
        <f t="shared" si="20"/>
        <v>0</v>
      </c>
      <c r="F72" s="654">
        <f t="shared" si="20"/>
        <v>0.40611959999999997</v>
      </c>
      <c r="G72" s="655">
        <f>INDEX('Eurostat-IEA'!$D$3:$L$3,MATCH('IDEES 2015'!G$66,'Eurostat-IEA'!$D$2:$L$2,0))*$J72/SUM($J$72,$J$83,$J$92)</f>
        <v>0</v>
      </c>
      <c r="H72" s="654">
        <f t="shared" si="16"/>
        <v>0</v>
      </c>
      <c r="I72" s="654">
        <f t="shared" si="16"/>
        <v>0</v>
      </c>
      <c r="J72" s="654">
        <f t="shared" si="16"/>
        <v>0</v>
      </c>
      <c r="K72" s="654">
        <f t="shared" si="16"/>
        <v>0</v>
      </c>
      <c r="L72" s="654">
        <f t="shared" si="16"/>
        <v>0</v>
      </c>
      <c r="M72" s="654">
        <f t="shared" si="16"/>
        <v>0.57610368000000001</v>
      </c>
      <c r="N72" s="654">
        <f t="shared" si="16"/>
        <v>0</v>
      </c>
      <c r="O72" s="654">
        <f t="shared" si="16"/>
        <v>0</v>
      </c>
      <c r="P72" s="654">
        <f t="shared" si="16"/>
        <v>0</v>
      </c>
      <c r="Q72" s="654">
        <f t="shared" si="16"/>
        <v>0</v>
      </c>
      <c r="R72" s="654">
        <f t="shared" si="16"/>
        <v>2.8470240000000004E-2</v>
      </c>
      <c r="S72" s="654">
        <f t="shared" si="16"/>
        <v>0</v>
      </c>
      <c r="T72" s="655">
        <f>INDEX('Eurostat-IEA'!$D$3:$L$3,MATCH('IDEES 2015'!T$66,'Eurostat-IEA'!$D$2:$L$2,0))*$N72/SUM($N$72,$N$83,$N$92)</f>
        <v>0</v>
      </c>
      <c r="U72" s="654">
        <f t="shared" si="17"/>
        <v>0</v>
      </c>
      <c r="V72" s="654">
        <f t="shared" si="17"/>
        <v>0</v>
      </c>
      <c r="W72" s="654">
        <f t="shared" si="17"/>
        <v>0</v>
      </c>
      <c r="X72" s="654">
        <f t="shared" si="17"/>
        <v>0</v>
      </c>
      <c r="Y72" s="654">
        <f t="shared" si="17"/>
        <v>0</v>
      </c>
      <c r="Z72" s="654">
        <f t="shared" si="17"/>
        <v>0</v>
      </c>
      <c r="AA72" s="655">
        <f>INDEX('Eurostat-IEA'!$D$3:$L$3,MATCH('IDEES 2015'!AA$66,'Eurostat-IEA'!$D$2:$L$2,0))*$N72/SUM($N$72,$N$83,$N$92)</f>
        <v>0</v>
      </c>
      <c r="AB72" s="654">
        <f t="shared" si="18"/>
        <v>7.0438723200000011</v>
      </c>
      <c r="AC72" s="654">
        <f t="shared" si="18"/>
        <v>0</v>
      </c>
      <c r="AD72" s="654">
        <f t="shared" si="18"/>
        <v>0</v>
      </c>
      <c r="AE72" s="654">
        <f t="shared" si="18"/>
        <v>0</v>
      </c>
      <c r="AF72" s="654">
        <f t="shared" si="18"/>
        <v>0</v>
      </c>
      <c r="AG72" s="654">
        <f t="shared" si="18"/>
        <v>0</v>
      </c>
      <c r="AH72" s="654">
        <f t="shared" si="18"/>
        <v>0</v>
      </c>
      <c r="AI72" s="655">
        <f>INDEX('Eurostat-IEA'!$D$3:$L$3,MATCH('IDEES 2015'!AI$66,'Eurostat-IEA'!$D$2:$L$2,0))*$P72/SUM($P$72,$P$83,$P$92)</f>
        <v>0</v>
      </c>
      <c r="AJ72" s="655">
        <f>INDEX('Eurostat-IEA'!$D$3:$L$3,MATCH('IDEES 2015'!AJ$66,'Eurostat-IEA'!$D$2:$L$2,0))*$Q72/SUM($Q$72,$Q$83,$Q$92)</f>
        <v>0</v>
      </c>
      <c r="AK72" s="655">
        <f>INDEX('Eurostat-IEA'!$D$3:$L$3,MATCH('IDEES 2015'!AK$66,'Eurostat-IEA'!$D$2:$L$2,0))*$P72/SUM($P$72,$P$83,$P$92)</f>
        <v>0</v>
      </c>
      <c r="AL72" s="655">
        <f>INDEX('Eurostat-IEA'!$D$3:$L$3,MATCH('IDEES 2015'!AL$66,'Eurostat-IEA'!$D$2:$L$2,0))*$Q72/SUM($Q$72,$Q$83,$Q$92)</f>
        <v>0</v>
      </c>
      <c r="AM72" s="655">
        <f>INDEX('Eurostat-IEA'!$D$3:$L$3,MATCH('IDEES 2015'!AM$66,'Eurostat-IEA'!$D$2:$L$2,0))*$Q72/SUM($Q$72,$Q$83,$Q$92)</f>
        <v>0</v>
      </c>
      <c r="AN72" s="656">
        <f>INDEX('Eurostat-IEA'!$D$3:$L$3,MATCH('IDEES 2015'!AN$66,'Eurostat-IEA'!$D$2:$L$2,0))*$Q72/SUM($Q$72,$Q$83,$Q$92)</f>
        <v>0</v>
      </c>
    </row>
    <row r="73" spans="1:40">
      <c r="B73" s="634" t="s">
        <v>530</v>
      </c>
      <c r="C73" s="635" t="s">
        <v>525</v>
      </c>
      <c r="D73" s="645">
        <f t="shared" si="20"/>
        <v>0.33201323999999999</v>
      </c>
      <c r="E73" s="646">
        <f t="shared" si="20"/>
        <v>1.55079072</v>
      </c>
      <c r="F73" s="646">
        <f t="shared" si="20"/>
        <v>0.37723068000000004</v>
      </c>
      <c r="G73" s="647">
        <f>G74</f>
        <v>0.42038798364413682</v>
      </c>
      <c r="H73" s="646">
        <f t="shared" si="16"/>
        <v>1.0667966400000002</v>
      </c>
      <c r="I73" s="646">
        <f t="shared" si="16"/>
        <v>8.1223920000000005E-2</v>
      </c>
      <c r="J73" s="646">
        <f t="shared" si="16"/>
        <v>3.1991338800000002</v>
      </c>
      <c r="K73" s="646">
        <f t="shared" si="16"/>
        <v>0.20766528000000001</v>
      </c>
      <c r="L73" s="646">
        <f t="shared" si="16"/>
        <v>2.0934E-3</v>
      </c>
      <c r="M73" s="646">
        <f t="shared" si="16"/>
        <v>6.1123093200000005</v>
      </c>
      <c r="N73" s="646">
        <f t="shared" si="16"/>
        <v>6.9919560000000006E-2</v>
      </c>
      <c r="O73" s="646">
        <f t="shared" si="16"/>
        <v>17.22616992</v>
      </c>
      <c r="P73" s="646">
        <f t="shared" si="16"/>
        <v>2.5078932000000003</v>
      </c>
      <c r="Q73" s="646">
        <f t="shared" si="16"/>
        <v>2.28013128</v>
      </c>
      <c r="R73" s="646">
        <f t="shared" si="16"/>
        <v>9.1272240000000018E-2</v>
      </c>
      <c r="S73" s="646">
        <f t="shared" si="16"/>
        <v>0.1088568</v>
      </c>
      <c r="T73" s="647">
        <f>T74</f>
        <v>2.7463215044456687E-3</v>
      </c>
      <c r="U73" s="646">
        <f t="shared" si="17"/>
        <v>12.94516692</v>
      </c>
      <c r="V73" s="646">
        <f t="shared" si="17"/>
        <v>3.7681200000000002E-3</v>
      </c>
      <c r="W73" s="646">
        <f t="shared" si="17"/>
        <v>0.21855095999999999</v>
      </c>
      <c r="X73" s="646">
        <f t="shared" si="17"/>
        <v>4.1868000000000005E-4</v>
      </c>
      <c r="Y73" s="646">
        <f t="shared" si="17"/>
        <v>0.26837388000000001</v>
      </c>
      <c r="Z73" s="646">
        <f t="shared" si="17"/>
        <v>1.5715153799999999</v>
      </c>
      <c r="AA73" s="647">
        <f>AA74</f>
        <v>0.11753500472106383</v>
      </c>
      <c r="AB73" s="646">
        <f t="shared" si="18"/>
        <v>0.14946876000000001</v>
      </c>
      <c r="AC73" s="646">
        <f t="shared" si="18"/>
        <v>0.67281876000000007</v>
      </c>
      <c r="AD73" s="646">
        <f t="shared" si="18"/>
        <v>0.15951708000000001</v>
      </c>
      <c r="AE73" s="646">
        <f t="shared" si="18"/>
        <v>0.2344608</v>
      </c>
      <c r="AF73" s="646">
        <f t="shared" si="18"/>
        <v>0.14276988000000002</v>
      </c>
      <c r="AG73" s="646">
        <f t="shared" si="18"/>
        <v>8.6666759999999995E-2</v>
      </c>
      <c r="AH73" s="646">
        <f t="shared" si="18"/>
        <v>1.1132701200000001</v>
      </c>
      <c r="AI73" s="647">
        <f t="shared" ref="AI73:AN73" si="21">AI74</f>
        <v>0.35805821540830068</v>
      </c>
      <c r="AJ73" s="647">
        <f t="shared" si="21"/>
        <v>1.5584031492070154</v>
      </c>
      <c r="AK73" s="647">
        <f t="shared" si="21"/>
        <v>0.17706023478093527</v>
      </c>
      <c r="AL73" s="647">
        <f t="shared" si="21"/>
        <v>1.1083598943852839</v>
      </c>
      <c r="AM73" s="647">
        <f t="shared" si="21"/>
        <v>5.0206160625295073</v>
      </c>
      <c r="AN73" s="648">
        <f t="shared" si="21"/>
        <v>0.76874314815786249</v>
      </c>
    </row>
    <row r="74" spans="1:40">
      <c r="B74" s="547"/>
      <c r="C74" s="619" t="s">
        <v>510</v>
      </c>
      <c r="D74" s="653">
        <f t="shared" si="20"/>
        <v>0.33201323999999999</v>
      </c>
      <c r="E74" s="654">
        <f t="shared" si="20"/>
        <v>1.55079072</v>
      </c>
      <c r="F74" s="654">
        <f t="shared" si="20"/>
        <v>0.37723068000000004</v>
      </c>
      <c r="G74" s="655">
        <f>INDEX('Eurostat-IEA'!$D$10:$L$10,MATCH('IDEES 2015'!G$66,'Eurostat-IEA'!$D$2:$L$2,0))*$J74/SUM($J$69,$J$74,$J$78,$J$87,$J$93)</f>
        <v>0.42038798364413682</v>
      </c>
      <c r="H74" s="654">
        <f t="shared" si="16"/>
        <v>1.0667966400000002</v>
      </c>
      <c r="I74" s="654">
        <f t="shared" si="16"/>
        <v>8.1223920000000005E-2</v>
      </c>
      <c r="J74" s="654">
        <f t="shared" si="16"/>
        <v>3.1991338800000002</v>
      </c>
      <c r="K74" s="654">
        <f t="shared" si="16"/>
        <v>0.20766528000000001</v>
      </c>
      <c r="L74" s="654">
        <f t="shared" si="16"/>
        <v>2.0934E-3</v>
      </c>
      <c r="M74" s="654">
        <f t="shared" si="16"/>
        <v>6.1123093200000005</v>
      </c>
      <c r="N74" s="654">
        <f t="shared" si="16"/>
        <v>6.9919560000000006E-2</v>
      </c>
      <c r="O74" s="654">
        <f t="shared" si="16"/>
        <v>17.22616992</v>
      </c>
      <c r="P74" s="654">
        <f t="shared" si="16"/>
        <v>2.5078932000000003</v>
      </c>
      <c r="Q74" s="654">
        <f t="shared" si="16"/>
        <v>2.28013128</v>
      </c>
      <c r="R74" s="654">
        <f t="shared" si="16"/>
        <v>9.1272240000000018E-2</v>
      </c>
      <c r="S74" s="654">
        <f t="shared" si="16"/>
        <v>0.1088568</v>
      </c>
      <c r="T74" s="655">
        <f>INDEX('Eurostat-IEA'!$D$10:$L$10,MATCH('IDEES 2015'!T$66,'Eurostat-IEA'!$D$2:$L$2,0))*$N74/SUM($N$69,$N$74,$N$78,$N$87,$N$93)</f>
        <v>2.7463215044456687E-3</v>
      </c>
      <c r="U74" s="654">
        <f t="shared" si="17"/>
        <v>12.94516692</v>
      </c>
      <c r="V74" s="654">
        <f t="shared" si="17"/>
        <v>3.7681200000000002E-3</v>
      </c>
      <c r="W74" s="654">
        <f t="shared" si="17"/>
        <v>0.21855095999999999</v>
      </c>
      <c r="X74" s="654">
        <f t="shared" si="17"/>
        <v>4.1868000000000005E-4</v>
      </c>
      <c r="Y74" s="654">
        <f t="shared" si="17"/>
        <v>0.26837388000000001</v>
      </c>
      <c r="Z74" s="654">
        <f t="shared" si="17"/>
        <v>1.5715153799999999</v>
      </c>
      <c r="AA74" s="655">
        <f>INDEX('Eurostat-IEA'!$D$10:$L$10,MATCH('IDEES 2015'!AA$66,'Eurostat-IEA'!$D$2:$L$2,0))*$N74/SUM($N$69,$N$74,$N$78,$N$87,$N$93)</f>
        <v>0.11753500472106383</v>
      </c>
      <c r="AB74" s="654">
        <f t="shared" si="18"/>
        <v>0.14946876000000001</v>
      </c>
      <c r="AC74" s="654">
        <f t="shared" si="18"/>
        <v>0.67281876000000007</v>
      </c>
      <c r="AD74" s="654">
        <f t="shared" si="18"/>
        <v>0.15951708000000001</v>
      </c>
      <c r="AE74" s="654">
        <f t="shared" si="18"/>
        <v>0.2344608</v>
      </c>
      <c r="AF74" s="654">
        <f t="shared" si="18"/>
        <v>0.14276988000000002</v>
      </c>
      <c r="AG74" s="654">
        <f t="shared" si="18"/>
        <v>8.6666759999999995E-2</v>
      </c>
      <c r="AH74" s="654">
        <f t="shared" si="18"/>
        <v>1.1132701200000001</v>
      </c>
      <c r="AI74" s="655">
        <f>INDEX('Eurostat-IEA'!$D$10:$L$10,MATCH('IDEES 2015'!AI$66,'Eurostat-IEA'!$D$2:$L$2,0))*$P74/SUM($P$69,$P$74,$P$78,$P$87,$P$93)</f>
        <v>0.35805821540830068</v>
      </c>
      <c r="AJ74" s="655">
        <f>INDEX('Eurostat-IEA'!$D$10:$L$10,MATCH('IDEES 2015'!AJ$66,'Eurostat-IEA'!$D$2:$L$2,0))*$Q74/SUM($Q$69,$Q$74,$Q$78,$Q$87,$Q$93)</f>
        <v>1.5584031492070154</v>
      </c>
      <c r="AK74" s="655">
        <f>INDEX('Eurostat-IEA'!$D$10:$L$10,MATCH('IDEES 2015'!AK$66,'Eurostat-IEA'!$D$2:$L$2,0))*$P74/SUM($P$69,$P$74,$P$78,$P$87,$P$93)</f>
        <v>0.17706023478093527</v>
      </c>
      <c r="AL74" s="655">
        <f>INDEX('Eurostat-IEA'!$D$10:$L$10,MATCH('IDEES 2015'!AL$66,'Eurostat-IEA'!$D$2:$L$2,0))*$Q74/SUM($Q$69,$Q$74,$Q$78,$Q$87,$Q$93)</f>
        <v>1.1083598943852839</v>
      </c>
      <c r="AM74" s="655">
        <f>INDEX('Eurostat-IEA'!$D$10:$L$10,MATCH('IDEES 2015'!AM$66,'Eurostat-IEA'!$D$2:$L$2,0))*$Q74/SUM($Q$69,$Q$74,$Q$78,$Q$87,$Q$93)</f>
        <v>5.0206160625295073</v>
      </c>
      <c r="AN74" s="656">
        <f>INDEX('Eurostat-IEA'!$D$10:$L$10,MATCH('IDEES 2015'!AN$66,'Eurostat-IEA'!$D$2:$L$2,0))*$Q74/SUM($Q$69,$Q$74,$Q$78,$Q$87,$Q$93)</f>
        <v>0.76874314815786249</v>
      </c>
    </row>
    <row r="75" spans="1:40">
      <c r="B75" s="634" t="s">
        <v>531</v>
      </c>
      <c r="C75" s="635" t="s">
        <v>525</v>
      </c>
      <c r="D75" s="645">
        <f t="shared" si="20"/>
        <v>206.29619640000001</v>
      </c>
      <c r="E75" s="646">
        <f t="shared" si="20"/>
        <v>265.75252452000001</v>
      </c>
      <c r="F75" s="646">
        <f t="shared" si="20"/>
        <v>51.215449680000006</v>
      </c>
      <c r="G75" s="647">
        <f>SUM(G76:G83)</f>
        <v>182.60541671881091</v>
      </c>
      <c r="H75" s="646">
        <f t="shared" si="16"/>
        <v>5.7782026799999997</v>
      </c>
      <c r="I75" s="646">
        <f t="shared" si="16"/>
        <v>215.59214844000002</v>
      </c>
      <c r="J75" s="646">
        <f t="shared" si="16"/>
        <v>1834.7562432000002</v>
      </c>
      <c r="K75" s="646">
        <f t="shared" si="16"/>
        <v>146.14485948000001</v>
      </c>
      <c r="L75" s="646">
        <f t="shared" si="16"/>
        <v>30.574107000000001</v>
      </c>
      <c r="M75" s="646">
        <f t="shared" si="16"/>
        <v>345.04172424000001</v>
      </c>
      <c r="N75" s="646">
        <f t="shared" si="16"/>
        <v>183.40319268000002</v>
      </c>
      <c r="O75" s="646">
        <f t="shared" si="16"/>
        <v>1278.1630512000002</v>
      </c>
      <c r="P75" s="646">
        <f t="shared" si="16"/>
        <v>118.86660144000001</v>
      </c>
      <c r="Q75" s="646">
        <f t="shared" si="16"/>
        <v>48.019246560000006</v>
      </c>
      <c r="R75" s="646">
        <f t="shared" si="16"/>
        <v>178.40834028</v>
      </c>
      <c r="S75" s="646">
        <f t="shared" si="16"/>
        <v>90.977070600000005</v>
      </c>
      <c r="T75" s="647">
        <f>SUM(T76:T83)</f>
        <v>15.230598266799067</v>
      </c>
      <c r="U75" s="646">
        <f t="shared" si="17"/>
        <v>824.97544560000006</v>
      </c>
      <c r="V75" s="646">
        <f t="shared" si="17"/>
        <v>47.129132880000007</v>
      </c>
      <c r="W75" s="646">
        <f t="shared" si="17"/>
        <v>15.35885712</v>
      </c>
      <c r="X75" s="646">
        <f t="shared" si="17"/>
        <v>45.591739920000002</v>
      </c>
      <c r="Y75" s="646">
        <f t="shared" si="17"/>
        <v>0.13942044000000001</v>
      </c>
      <c r="Z75" s="646">
        <f t="shared" si="17"/>
        <v>320.63268024000001</v>
      </c>
      <c r="AA75" s="647">
        <f>SUM(AA76:AA83)</f>
        <v>104.21806479311958</v>
      </c>
      <c r="AB75" s="646">
        <f t="shared" si="18"/>
        <v>629.53143480000006</v>
      </c>
      <c r="AC75" s="646">
        <f t="shared" si="18"/>
        <v>25.459930800000002</v>
      </c>
      <c r="AD75" s="646">
        <f t="shared" si="18"/>
        <v>239.85674784000003</v>
      </c>
      <c r="AE75" s="646">
        <f t="shared" si="18"/>
        <v>223.03251072</v>
      </c>
      <c r="AF75" s="646">
        <f t="shared" si="18"/>
        <v>33.856139519999999</v>
      </c>
      <c r="AG75" s="646">
        <f t="shared" si="18"/>
        <v>67.652407800000006</v>
      </c>
      <c r="AH75" s="646">
        <f t="shared" si="18"/>
        <v>1331.5405644</v>
      </c>
      <c r="AI75" s="647">
        <f t="shared" ref="AI75:AN75" si="22">SUM(AI76:AI83)</f>
        <v>8.1123142372632167</v>
      </c>
      <c r="AJ75" s="647">
        <f t="shared" si="22"/>
        <v>19.130068216410081</v>
      </c>
      <c r="AK75" s="647">
        <f t="shared" si="22"/>
        <v>9.2465585472140095</v>
      </c>
      <c r="AL75" s="647">
        <f t="shared" si="22"/>
        <v>11.443685243944339</v>
      </c>
      <c r="AM75" s="647">
        <f t="shared" si="22"/>
        <v>77.556851611710286</v>
      </c>
      <c r="AN75" s="648">
        <f t="shared" si="22"/>
        <v>11.472265644820157</v>
      </c>
    </row>
    <row r="76" spans="1:40">
      <c r="B76" s="408"/>
      <c r="C76" s="633" t="s">
        <v>526</v>
      </c>
      <c r="D76" s="649">
        <f t="shared" si="20"/>
        <v>65.308637160000004</v>
      </c>
      <c r="E76" s="650">
        <f t="shared" si="20"/>
        <v>9.4910569200000001</v>
      </c>
      <c r="F76" s="650">
        <f t="shared" si="20"/>
        <v>27.814168440000003</v>
      </c>
      <c r="G76" s="651">
        <f>INDEX('Eurostat-IEA'!$D$7:$L$7,MATCH('IDEES 2015'!G$66,'Eurostat-IEA'!$D$2:$L$2,0))*$J76/SUM($J$68,$J$76,$J$85)</f>
        <v>19.075849440565705</v>
      </c>
      <c r="H76" s="650">
        <f t="shared" si="16"/>
        <v>0.31652207999999998</v>
      </c>
      <c r="I76" s="650">
        <f t="shared" si="16"/>
        <v>46.430355960000007</v>
      </c>
      <c r="J76" s="650">
        <f t="shared" si="16"/>
        <v>253.59238260000001</v>
      </c>
      <c r="K76" s="650">
        <f t="shared" si="16"/>
        <v>35.356269960000006</v>
      </c>
      <c r="L76" s="650">
        <f t="shared" si="16"/>
        <v>15.093414000000001</v>
      </c>
      <c r="M76" s="650">
        <f t="shared" si="16"/>
        <v>84.689753039999999</v>
      </c>
      <c r="N76" s="650">
        <f t="shared" si="16"/>
        <v>52.149943440000001</v>
      </c>
      <c r="O76" s="650">
        <f t="shared" si="16"/>
        <v>319.36784796000001</v>
      </c>
      <c r="P76" s="650">
        <f t="shared" si="16"/>
        <v>23.226273000000003</v>
      </c>
      <c r="Q76" s="650">
        <f t="shared" si="16"/>
        <v>12.69102816</v>
      </c>
      <c r="R76" s="650">
        <f t="shared" si="16"/>
        <v>26.014263120000003</v>
      </c>
      <c r="S76" s="650">
        <f t="shared" si="16"/>
        <v>1.1877951600000001</v>
      </c>
      <c r="T76" s="651">
        <f>INDEX('Eurostat-IEA'!$D$7:$L$7,MATCH('IDEES 2015'!T$66,'Eurostat-IEA'!$D$2:$L$2,0))*$N76/SUM($N$68,$N$76,$N$85)</f>
        <v>0</v>
      </c>
      <c r="U76" s="650">
        <f t="shared" si="17"/>
        <v>130.88229876000003</v>
      </c>
      <c r="V76" s="650">
        <f t="shared" si="17"/>
        <v>19.83329028</v>
      </c>
      <c r="W76" s="650">
        <f t="shared" si="17"/>
        <v>0.7356207600000001</v>
      </c>
      <c r="X76" s="650">
        <f t="shared" si="17"/>
        <v>24.864986520000002</v>
      </c>
      <c r="Y76" s="650">
        <f t="shared" si="17"/>
        <v>0</v>
      </c>
      <c r="Z76" s="650">
        <f t="shared" si="17"/>
        <v>10.781638020000001</v>
      </c>
      <c r="AA76" s="651">
        <f>INDEX('Eurostat-IEA'!$D$7:$L$7,MATCH('IDEES 2015'!AA$66,'Eurostat-IEA'!$D$2:$L$2,0))*$N76/SUM($N$68,$N$76,$N$85)</f>
        <v>26.61813339261894</v>
      </c>
      <c r="AB76" s="650">
        <f t="shared" si="18"/>
        <v>95.386608360000011</v>
      </c>
      <c r="AC76" s="650">
        <f t="shared" si="18"/>
        <v>14.276569320000002</v>
      </c>
      <c r="AD76" s="650">
        <f t="shared" si="18"/>
        <v>122.54428656</v>
      </c>
      <c r="AE76" s="650">
        <f t="shared" si="18"/>
        <v>24.843633840000003</v>
      </c>
      <c r="AF76" s="650">
        <f t="shared" si="18"/>
        <v>15.490322640000002</v>
      </c>
      <c r="AG76" s="650">
        <f t="shared" si="18"/>
        <v>1.7086330800000002</v>
      </c>
      <c r="AH76" s="650">
        <f t="shared" si="18"/>
        <v>14.215860720000002</v>
      </c>
      <c r="AI76" s="651">
        <f>INDEX('Eurostat-IEA'!$D$7:$L$7,MATCH('IDEES 2015'!AI$66,'Eurostat-IEA'!$D$2:$L$2,0))*$P76/SUM($P$68,$P$76,$P$85)</f>
        <v>6.9024898150441745</v>
      </c>
      <c r="AJ76" s="651">
        <f>INDEX('Eurostat-IEA'!$D$7:$L$7,MATCH('IDEES 2015'!AJ$66,'Eurostat-IEA'!$D$2:$L$2,0))*$Q76/SUM($Q$68,$Q$76,$Q$85)</f>
        <v>6.9442551035019457</v>
      </c>
      <c r="AK76" s="651">
        <f>INDEX('Eurostat-IEA'!$D$7:$L$7,MATCH('IDEES 2015'!AK$66,'Eurostat-IEA'!$D$2:$L$2,0))*$P76/SUM($P$68,$P$76,$P$85)</f>
        <v>8.6407431260837253</v>
      </c>
      <c r="AL76" s="651">
        <f>INDEX('Eurostat-IEA'!$D$7:$L$7,MATCH('IDEES 2015'!AL$66,'Eurostat-IEA'!$D$2:$L$2,0))*$Q76/SUM($Q$68,$Q$76,$Q$85)</f>
        <v>7.0616344902723736</v>
      </c>
      <c r="AM76" s="651">
        <f>INDEX('Eurostat-IEA'!$D$7:$L$7,MATCH('IDEES 2015'!AM$66,'Eurostat-IEA'!$D$2:$L$2,0))*$Q76/SUM($Q$68,$Q$76,$Q$85)</f>
        <v>38.122824466926062</v>
      </c>
      <c r="AN76" s="652">
        <f>INDEX('Eurostat-IEA'!$D$7:$L$7,MATCH('IDEES 2015'!AN$66,'Eurostat-IEA'!$D$2:$L$2,0))*$Q76/SUM($Q$68,$Q$76,$Q$85)</f>
        <v>8.5932750817120613</v>
      </c>
    </row>
    <row r="77" spans="1:40">
      <c r="B77" s="408"/>
      <c r="C77" s="633" t="s">
        <v>532</v>
      </c>
      <c r="D77" s="649">
        <f t="shared" si="20"/>
        <v>28.245408840000003</v>
      </c>
      <c r="E77" s="650">
        <f t="shared" si="20"/>
        <v>0.40737564000000004</v>
      </c>
      <c r="F77" s="650">
        <f t="shared" si="20"/>
        <v>11.450898</v>
      </c>
      <c r="G77" s="651">
        <f>INDEX('Eurostat-IEA'!$D$11:$L$11,MATCH('IDEES 2015'!G$66,'Eurostat-IEA'!$D$2:$L$2,0))*$J77/SUM($J$77,$J$86)</f>
        <v>6.0662007213115476</v>
      </c>
      <c r="H77" s="650">
        <f t="shared" si="16"/>
        <v>0</v>
      </c>
      <c r="I77" s="650">
        <f t="shared" si="16"/>
        <v>46.735155000000006</v>
      </c>
      <c r="J77" s="650">
        <f t="shared" si="16"/>
        <v>166.55885892000001</v>
      </c>
      <c r="K77" s="650">
        <f t="shared" si="16"/>
        <v>65.181777120000007</v>
      </c>
      <c r="L77" s="650">
        <f t="shared" si="16"/>
        <v>12.722429160000001</v>
      </c>
      <c r="M77" s="650">
        <f t="shared" si="16"/>
        <v>0</v>
      </c>
      <c r="N77" s="650">
        <f t="shared" si="16"/>
        <v>61.865412840000005</v>
      </c>
      <c r="O77" s="650">
        <f t="shared" si="16"/>
        <v>88.773557760000017</v>
      </c>
      <c r="P77" s="650">
        <f t="shared" si="16"/>
        <v>1.6751386800000001</v>
      </c>
      <c r="Q77" s="650">
        <f t="shared" si="16"/>
        <v>5.5768176</v>
      </c>
      <c r="R77" s="650">
        <f t="shared" si="16"/>
        <v>21.07342044</v>
      </c>
      <c r="S77" s="650">
        <f t="shared" si="16"/>
        <v>0</v>
      </c>
      <c r="T77" s="651">
        <f>INDEX('Eurostat-IEA'!$D$11:$L$11,MATCH('IDEES 2015'!T$66,'Eurostat-IEA'!$D$2:$L$2,0))*$N77/SUM($N$77,$N$86)</f>
        <v>5.9282777954856689</v>
      </c>
      <c r="U77" s="650">
        <f t="shared" si="17"/>
        <v>4.5698922000000008</v>
      </c>
      <c r="V77" s="650">
        <f t="shared" si="17"/>
        <v>18.65470608</v>
      </c>
      <c r="W77" s="650">
        <f t="shared" si="17"/>
        <v>0</v>
      </c>
      <c r="X77" s="650">
        <f t="shared" si="17"/>
        <v>14.21795412</v>
      </c>
      <c r="Y77" s="650">
        <f t="shared" si="17"/>
        <v>0</v>
      </c>
      <c r="Z77" s="650">
        <f t="shared" si="17"/>
        <v>11.219367960000001</v>
      </c>
      <c r="AA77" s="651">
        <f>INDEX('Eurostat-IEA'!$D$11:$L$11,MATCH('IDEES 2015'!AA$66,'Eurostat-IEA'!$D$2:$L$2,0))*$N77/SUM($N$77,$N$86)</f>
        <v>3.4032867379704399</v>
      </c>
      <c r="AB77" s="650">
        <f t="shared" si="18"/>
        <v>164.22513660000001</v>
      </c>
      <c r="AC77" s="650">
        <f t="shared" si="18"/>
        <v>0.18338184000000002</v>
      </c>
      <c r="AD77" s="650">
        <f t="shared" si="18"/>
        <v>40.645454399999998</v>
      </c>
      <c r="AE77" s="650">
        <f t="shared" si="18"/>
        <v>120.41822952</v>
      </c>
      <c r="AF77" s="650">
        <f t="shared" si="18"/>
        <v>3.5600360400000004</v>
      </c>
      <c r="AG77" s="650">
        <f t="shared" si="18"/>
        <v>17.252965440000001</v>
      </c>
      <c r="AH77" s="650">
        <f t="shared" si="18"/>
        <v>2.1737865600000004</v>
      </c>
      <c r="AI77" s="651">
        <f>INDEX('Eurostat-IEA'!$D$11:$L$11,MATCH('IDEES 2015'!AI$66,'Eurostat-IEA'!$D$2:$L$2,0))*$P77/SUM($P$77,$P$86)</f>
        <v>0</v>
      </c>
      <c r="AJ77" s="651">
        <f>INDEX('Eurostat-IEA'!$D$11:$L$11,MATCH('IDEES 2015'!AJ$66,'Eurostat-IEA'!$D$2:$L$2,0))*$Q77/SUM($Q$77,$Q$86)</f>
        <v>3.4853379767396531</v>
      </c>
      <c r="AK77" s="651">
        <f>INDEX('Eurostat-IEA'!$D$11:$L$11,MATCH('IDEES 2015'!AK$66,'Eurostat-IEA'!$D$2:$L$2,0))*$P77/SUM($P$77,$P$86)</f>
        <v>0</v>
      </c>
      <c r="AL77" s="651">
        <f>INDEX('Eurostat-IEA'!$D$11:$L$11,MATCH('IDEES 2015'!AL$66,'Eurostat-IEA'!$D$2:$L$2,0))*$Q77/SUM($Q$77,$Q$86)</f>
        <v>1.2315223182379311</v>
      </c>
      <c r="AM77" s="651">
        <f>INDEX('Eurostat-IEA'!$D$11:$L$11,MATCH('IDEES 2015'!AM$66,'Eurostat-IEA'!$D$2:$L$2,0))*$Q77/SUM($Q$77,$Q$86)</f>
        <v>13.801185108180103</v>
      </c>
      <c r="AN77" s="652">
        <f>INDEX('Eurostat-IEA'!$D$11:$L$11,MATCH('IDEES 2015'!AN$66,'Eurostat-IEA'!$D$2:$L$2,0))*$Q77/SUM($Q$77,$Q$86)</f>
        <v>0.12631109089727763</v>
      </c>
    </row>
    <row r="78" spans="1:40">
      <c r="B78" s="408"/>
      <c r="C78" s="633" t="s">
        <v>510</v>
      </c>
      <c r="D78" s="649">
        <f t="shared" si="20"/>
        <v>12.120786000000001</v>
      </c>
      <c r="E78" s="650">
        <f t="shared" si="20"/>
        <v>10.164713040000001</v>
      </c>
      <c r="F78" s="650">
        <f t="shared" si="20"/>
        <v>2.5639963200000002</v>
      </c>
      <c r="G78" s="651">
        <f>INDEX('Eurostat-IEA'!$D$10:$L$10,MATCH('IDEES 2015'!G$66,'Eurostat-IEA'!$D$2:$L$2,0))*$J78/SUM($J$69,$J$74,$J$78,$J$87,$J$93)</f>
        <v>3.4329209547759727</v>
      </c>
      <c r="H78" s="650">
        <f t="shared" si="16"/>
        <v>0.96505740000000007</v>
      </c>
      <c r="I78" s="650">
        <f t="shared" si="16"/>
        <v>14.47418628</v>
      </c>
      <c r="J78" s="650">
        <f t="shared" si="16"/>
        <v>26.124375960000002</v>
      </c>
      <c r="K78" s="650">
        <f t="shared" si="16"/>
        <v>1.821258</v>
      </c>
      <c r="L78" s="650">
        <f t="shared" si="16"/>
        <v>0.293076</v>
      </c>
      <c r="M78" s="650">
        <f t="shared" si="16"/>
        <v>36.904967280000001</v>
      </c>
      <c r="N78" s="650">
        <f t="shared" si="16"/>
        <v>39.938722560000002</v>
      </c>
      <c r="O78" s="650">
        <f t="shared" si="16"/>
        <v>77.692354200000011</v>
      </c>
      <c r="P78" s="650">
        <f t="shared" si="16"/>
        <v>7.4051931600000005</v>
      </c>
      <c r="Q78" s="650">
        <f t="shared" si="16"/>
        <v>3.6559137599999998</v>
      </c>
      <c r="R78" s="650">
        <f t="shared" si="16"/>
        <v>11.19801528</v>
      </c>
      <c r="S78" s="650">
        <f t="shared" si="16"/>
        <v>5.1028718399999997</v>
      </c>
      <c r="T78" s="651">
        <f>INDEX('Eurostat-IEA'!$D$10:$L$10,MATCH('IDEES 2015'!T$66,'Eurostat-IEA'!$D$2:$L$2,0))*$N78/SUM($N$69,$N$74,$N$78,$N$87,$N$93)</f>
        <v>1.5687251554016841</v>
      </c>
      <c r="U78" s="650">
        <f t="shared" si="17"/>
        <v>19.46150244</v>
      </c>
      <c r="V78" s="650">
        <f t="shared" si="17"/>
        <v>0.24576516000000001</v>
      </c>
      <c r="W78" s="650">
        <f t="shared" si="17"/>
        <v>0.36801971999999999</v>
      </c>
      <c r="X78" s="650">
        <f t="shared" si="17"/>
        <v>0.1716588</v>
      </c>
      <c r="Y78" s="650">
        <f>Y15*(41.868/1000)</f>
        <v>4.1449320000000005E-2</v>
      </c>
      <c r="Z78" s="650">
        <f t="shared" si="17"/>
        <v>5.4244180800000006</v>
      </c>
      <c r="AA78" s="651">
        <f>INDEX('Eurostat-IEA'!$D$10:$L$10,MATCH('IDEES 2015'!AA$66,'Eurostat-IEA'!$D$2:$L$2,0))*$N78/SUM($N$69,$N$74,$N$78,$N$87,$N$93)</f>
        <v>67.137120780549225</v>
      </c>
      <c r="AB78" s="650">
        <f t="shared" si="18"/>
        <v>5.1300860400000001</v>
      </c>
      <c r="AC78" s="650">
        <f t="shared" si="18"/>
        <v>1.8664754400000001</v>
      </c>
      <c r="AD78" s="650">
        <f t="shared" si="18"/>
        <v>0.91439712000000006</v>
      </c>
      <c r="AE78" s="650">
        <f t="shared" si="18"/>
        <v>69.627740040000006</v>
      </c>
      <c r="AF78" s="650">
        <f t="shared" si="18"/>
        <v>1.04125716</v>
      </c>
      <c r="AG78" s="650">
        <f t="shared" si="18"/>
        <v>1.6374574800000001</v>
      </c>
      <c r="AH78" s="650">
        <f t="shared" si="18"/>
        <v>116.32102704000002</v>
      </c>
      <c r="AI78" s="651">
        <f>INDEX('Eurostat-IEA'!$D$10:$L$10,MATCH('IDEES 2015'!AI$66,'Eurostat-IEA'!$D$2:$L$2,0))*$P78/SUM($P$69,$P$74,$P$78,$P$87,$P$93)</f>
        <v>1.057258039386747</v>
      </c>
      <c r="AJ78" s="651">
        <f>INDEX('Eurostat-IEA'!$D$10:$L$10,MATCH('IDEES 2015'!AJ$66,'Eurostat-IEA'!$D$2:$L$2,0))*$Q78/SUM($Q$69,$Q$74,$Q$78,$Q$87,$Q$93)</f>
        <v>2.4987103009319971</v>
      </c>
      <c r="AK78" s="651">
        <f>INDEX('Eurostat-IEA'!$D$10:$L$10,MATCH('IDEES 2015'!AK$66,'Eurostat-IEA'!$D$2:$L$2,0))*$P78/SUM($P$69,$P$74,$P$78,$P$87,$P$93)</f>
        <v>0.52281542113028412</v>
      </c>
      <c r="AL78" s="651">
        <f>INDEX('Eurostat-IEA'!$D$10:$L$10,MATCH('IDEES 2015'!AL$66,'Eurostat-IEA'!$D$2:$L$2,0))*$Q78/SUM($Q$69,$Q$74,$Q$78,$Q$87,$Q$93)</f>
        <v>1.7771205651436464</v>
      </c>
      <c r="AM78" s="651">
        <f>INDEX('Eurostat-IEA'!$D$10:$L$10,MATCH('IDEES 2015'!AM$66,'Eurostat-IEA'!$D$2:$L$2,0))*$Q78/SUM($Q$69,$Q$74,$Q$78,$Q$87,$Q$93)</f>
        <v>8.0499484865970725</v>
      </c>
      <c r="AN78" s="652">
        <f>INDEX('Eurostat-IEA'!$D$10:$L$10,MATCH('IDEES 2015'!AN$66,'Eurostat-IEA'!$D$2:$L$2,0))*$Q78/SUM($Q$69,$Q$74,$Q$78,$Q$87,$Q$93)</f>
        <v>1.2325863330360731</v>
      </c>
    </row>
    <row r="79" spans="1:40">
      <c r="B79" s="408"/>
      <c r="C79" s="633" t="s">
        <v>527</v>
      </c>
      <c r="D79" s="649">
        <f t="shared" si="20"/>
        <v>48.016315800000001</v>
      </c>
      <c r="E79" s="650">
        <f t="shared" si="20"/>
        <v>132.20323415999999</v>
      </c>
      <c r="F79" s="650">
        <f t="shared" si="20"/>
        <v>1.6688584800000001</v>
      </c>
      <c r="G79" s="651">
        <f>INDEX('Eurostat-IEA'!$D$6:$L$6,MATCH('IDEES 2015'!G$66,'Eurostat-IEA'!$D$2:$L$2,0))*$J79/SUM($J$70,$J$79,$J$88)</f>
        <v>41.780209661184777</v>
      </c>
      <c r="H79" s="650">
        <f t="shared" si="16"/>
        <v>0</v>
      </c>
      <c r="I79" s="650">
        <f t="shared" si="16"/>
        <v>84.478738320000005</v>
      </c>
      <c r="J79" s="650">
        <f t="shared" si="16"/>
        <v>830.50202160000003</v>
      </c>
      <c r="K79" s="650">
        <f t="shared" si="16"/>
        <v>26.816035320000001</v>
      </c>
      <c r="L79" s="650">
        <f t="shared" si="16"/>
        <v>1.9121115600000003</v>
      </c>
      <c r="M79" s="650">
        <f t="shared" si="16"/>
        <v>127.61910684000001</v>
      </c>
      <c r="N79" s="650">
        <f t="shared" si="16"/>
        <v>1.7463142800000002</v>
      </c>
      <c r="O79" s="650">
        <f t="shared" si="16"/>
        <v>520.28107560000001</v>
      </c>
      <c r="P79" s="650">
        <f t="shared" si="16"/>
        <v>9.1422964800000006</v>
      </c>
      <c r="Q79" s="650">
        <f t="shared" si="16"/>
        <v>19.81989252</v>
      </c>
      <c r="R79" s="650">
        <f t="shared" si="16"/>
        <v>112.85561268000002</v>
      </c>
      <c r="S79" s="650">
        <f t="shared" si="16"/>
        <v>23.083921800000002</v>
      </c>
      <c r="T79" s="651">
        <f>INDEX('Eurostat-IEA'!$D$6:$L$6,MATCH('IDEES 2015'!T$66,'Eurostat-IEA'!$D$2:$L$2,0))*$N79/SUM($N$70,$N$79,$N$88)</f>
        <v>0</v>
      </c>
      <c r="U79" s="650">
        <f t="shared" si="17"/>
        <v>581.94007920000001</v>
      </c>
      <c r="V79" s="650">
        <f t="shared" si="17"/>
        <v>5.5433232000000006</v>
      </c>
      <c r="W79" s="650">
        <f t="shared" si="17"/>
        <v>7.1221654800000014</v>
      </c>
      <c r="X79" s="650">
        <f t="shared" si="17"/>
        <v>4.1394891600000001</v>
      </c>
      <c r="Y79" s="650">
        <f t="shared" si="17"/>
        <v>0</v>
      </c>
      <c r="Z79" s="650">
        <f t="shared" si="17"/>
        <v>290.14775208000003</v>
      </c>
      <c r="AA79" s="651">
        <f>INDEX('Eurostat-IEA'!$D$6:$L$6,MATCH('IDEES 2015'!AA$66,'Eurostat-IEA'!$D$2:$L$2,0))*$N79/SUM($N$70,$N$79,$N$88)</f>
        <v>0.14451805468586934</v>
      </c>
      <c r="AB79" s="650">
        <f t="shared" si="18"/>
        <v>117.8563266</v>
      </c>
      <c r="AC79" s="650">
        <f t="shared" si="18"/>
        <v>4.8755286</v>
      </c>
      <c r="AD79" s="650">
        <f t="shared" si="18"/>
        <v>71.20239552000001</v>
      </c>
      <c r="AE79" s="650">
        <f t="shared" si="18"/>
        <v>5.5115035199999998</v>
      </c>
      <c r="AF79" s="650">
        <f t="shared" si="18"/>
        <v>3.7396497599999998</v>
      </c>
      <c r="AG79" s="650">
        <f t="shared" si="18"/>
        <v>44.841465360000001</v>
      </c>
      <c r="AH79" s="650">
        <f t="shared" si="18"/>
        <v>1061.0942184</v>
      </c>
      <c r="AI79" s="651">
        <f>INDEX('Eurostat-IEA'!$D$6:$L$6,MATCH('IDEES 2015'!AI$66,'Eurostat-IEA'!$D$2:$L$2,0))*$P79/SUM($P$70,$P$79,$P$88)</f>
        <v>0</v>
      </c>
      <c r="AJ79" s="651">
        <f>INDEX('Eurostat-IEA'!$D$6:$L$6,MATCH('IDEES 2015'!AJ$66,'Eurostat-IEA'!$D$2:$L$2,0))*$Q79/SUM($Q$70,$Q$79,$Q$88)</f>
        <v>1.4299048352364874</v>
      </c>
      <c r="AK79" s="651">
        <f>INDEX('Eurostat-IEA'!$D$6:$L$6,MATCH('IDEES 2015'!AK$66,'Eurostat-IEA'!$D$2:$L$2,0))*$P79/SUM($P$70,$P$79,$P$88)</f>
        <v>0</v>
      </c>
      <c r="AL79" s="651">
        <f>INDEX('Eurostat-IEA'!$D$6:$L$6,MATCH('IDEES 2015'!AL$66,'Eurostat-IEA'!$D$2:$L$2,0))*$Q79/SUM($Q$70,$Q$79,$Q$88)</f>
        <v>0</v>
      </c>
      <c r="AM79" s="651">
        <f>INDEX('Eurostat-IEA'!$D$6:$L$6,MATCH('IDEES 2015'!AM$66,'Eurostat-IEA'!$D$2:$L$2,0))*$Q79/SUM($Q$70,$Q$79,$Q$88)</f>
        <v>7.1349219233277061</v>
      </c>
      <c r="AN79" s="652">
        <f>INDEX('Eurostat-IEA'!$D$6:$L$6,MATCH('IDEES 2015'!AN$66,'Eurostat-IEA'!$D$2:$L$2,0))*$Q79/SUM($Q$70,$Q$79,$Q$88)</f>
        <v>0</v>
      </c>
    </row>
    <row r="80" spans="1:40">
      <c r="B80" s="408"/>
      <c r="C80" s="633" t="s">
        <v>533</v>
      </c>
      <c r="D80" s="649">
        <f t="shared" si="20"/>
        <v>49.777702560000009</v>
      </c>
      <c r="E80" s="650">
        <f t="shared" si="20"/>
        <v>107.72678268000001</v>
      </c>
      <c r="F80" s="650">
        <f t="shared" si="20"/>
        <v>8.4992039999999991E-2</v>
      </c>
      <c r="G80" s="651">
        <f>INDEX('Eurostat-IEA'!$D$5:$L$5,MATCH('IDEES 2015'!G$66,'Eurostat-IEA'!$D$2:$L$2,0))*$J80/SUM($J$80,$J$89)</f>
        <v>103.13452594097289</v>
      </c>
      <c r="H80" s="650">
        <f t="shared" si="16"/>
        <v>3.4495045200000001</v>
      </c>
      <c r="I80" s="650">
        <f t="shared" si="16"/>
        <v>0</v>
      </c>
      <c r="J80" s="650">
        <f>J17*(41.868/1000)</f>
        <v>492.96639240000002</v>
      </c>
      <c r="K80" s="650">
        <f t="shared" si="16"/>
        <v>16.89708744</v>
      </c>
      <c r="L80" s="650">
        <f t="shared" si="16"/>
        <v>0.15574896000000002</v>
      </c>
      <c r="M80" s="650">
        <f t="shared" si="16"/>
        <v>68.886257760000007</v>
      </c>
      <c r="N80" s="650">
        <f t="shared" si="16"/>
        <v>27.162283680000002</v>
      </c>
      <c r="O80" s="650">
        <f t="shared" si="16"/>
        <v>245.61569124000002</v>
      </c>
      <c r="P80" s="650">
        <f t="shared" si="16"/>
        <v>76.563174240000009</v>
      </c>
      <c r="Q80" s="650">
        <f t="shared" si="16"/>
        <v>5.4863827199999999</v>
      </c>
      <c r="R80" s="650">
        <f t="shared" si="16"/>
        <v>0</v>
      </c>
      <c r="S80" s="650">
        <f t="shared" si="16"/>
        <v>42.927260400000002</v>
      </c>
      <c r="T80" s="651">
        <f>INDEX('Eurostat-IEA'!$D$5:$L$5,MATCH('IDEES 2015'!T$66,'Eurostat-IEA'!$D$2:$L$2,0))*$N80/SUM($N$80,$N$89)</f>
        <v>7.7595315911714396E-2</v>
      </c>
      <c r="U80" s="650">
        <f t="shared" si="17"/>
        <v>73.662977880000014</v>
      </c>
      <c r="V80" s="650">
        <f t="shared" si="17"/>
        <v>0.26251236</v>
      </c>
      <c r="W80" s="650">
        <f t="shared" si="17"/>
        <v>7.0962073200000004</v>
      </c>
      <c r="X80" s="650">
        <f t="shared" si="17"/>
        <v>1.1287612800000002</v>
      </c>
      <c r="Y80" s="650">
        <f t="shared" si="17"/>
        <v>0</v>
      </c>
      <c r="Z80" s="650">
        <f t="shared" si="17"/>
        <v>2.8248339600000003</v>
      </c>
      <c r="AA80" s="651">
        <f>INDEX('Eurostat-IEA'!$D$5:$L$5,MATCH('IDEES 2015'!AA$66,'Eurostat-IEA'!$D$2:$L$2,0))*$N80/SUM($N$80,$N$89)</f>
        <v>6.9150058272951069</v>
      </c>
      <c r="AB80" s="650">
        <f t="shared" si="18"/>
        <v>3.7986836400000006</v>
      </c>
      <c r="AC80" s="650">
        <f t="shared" si="18"/>
        <v>3.1610340000000003</v>
      </c>
      <c r="AD80" s="650">
        <f t="shared" si="18"/>
        <v>3.2732402400000007</v>
      </c>
      <c r="AE80" s="650">
        <f t="shared" si="18"/>
        <v>2.6314038000000002</v>
      </c>
      <c r="AF80" s="650">
        <f t="shared" si="18"/>
        <v>9.40062204</v>
      </c>
      <c r="AG80" s="650">
        <f t="shared" si="18"/>
        <v>0</v>
      </c>
      <c r="AH80" s="650">
        <f t="shared" si="18"/>
        <v>101.21756472</v>
      </c>
      <c r="AI80" s="651">
        <f>INDEX('Eurostat-IEA'!$D$5:$L$5,MATCH('IDEES 2015'!AI$66,'Eurostat-IEA'!$D$2:$L$2,0))*$P80/SUM($P$80,$P$89)</f>
        <v>0.15256638283229584</v>
      </c>
      <c r="AJ80" s="651">
        <f>INDEX('Eurostat-IEA'!$D$5:$L$5,MATCH('IDEES 2015'!AJ$66,'Eurostat-IEA'!$D$2:$L$2,0))*$Q80/SUM($Q$80,$Q$89)</f>
        <v>0</v>
      </c>
      <c r="AK80" s="651">
        <f>INDEX('Eurostat-IEA'!$D$5:$L$5,MATCH('IDEES 2015'!AK$66,'Eurostat-IEA'!$D$2:$L$2,0))*$P80/SUM($P$80,$P$89)</f>
        <v>0</v>
      </c>
      <c r="AL80" s="651">
        <f>INDEX('Eurostat-IEA'!$D$5:$L$5,MATCH('IDEES 2015'!AL$66,'Eurostat-IEA'!$D$2:$L$2,0))*$Q80/SUM($Q$80,$Q$89)</f>
        <v>1.2180604000522943</v>
      </c>
      <c r="AM80" s="651">
        <f>INDEX('Eurostat-IEA'!$D$5:$L$5,MATCH('IDEES 2015'!AM$66,'Eurostat-IEA'!$D$2:$L$2,0))*$Q80/SUM($Q$80,$Q$89)</f>
        <v>3.7689632631716596E-2</v>
      </c>
      <c r="AN80" s="652">
        <f>INDEX('Eurostat-IEA'!$D$5:$L$5,MATCH('IDEES 2015'!AN$66,'Eurostat-IEA'!$D$2:$L$2,0))*$Q80/SUM($Q$80,$Q$89)</f>
        <v>0.51808682965093478</v>
      </c>
    </row>
    <row r="81" spans="1:40">
      <c r="B81" s="408"/>
      <c r="C81" s="633" t="s">
        <v>534</v>
      </c>
      <c r="D81" s="649">
        <f t="shared" si="20"/>
        <v>0</v>
      </c>
      <c r="E81" s="650">
        <f t="shared" si="20"/>
        <v>0</v>
      </c>
      <c r="F81" s="650">
        <f t="shared" si="20"/>
        <v>0</v>
      </c>
      <c r="G81" s="651">
        <f>INDEX('Eurostat-IEA'!$D$9:$L$9,MATCH('IDEES 2015'!G$66,'Eurostat-IEA'!$D$2:$L$2,0))</f>
        <v>8.7223199999999999</v>
      </c>
      <c r="H81" s="650">
        <f t="shared" si="16"/>
        <v>3.1819680000000003E-2</v>
      </c>
      <c r="I81" s="650">
        <f t="shared" si="16"/>
        <v>0</v>
      </c>
      <c r="J81" s="650">
        <f t="shared" si="16"/>
        <v>19.080084960000001</v>
      </c>
      <c r="K81" s="650">
        <f t="shared" si="16"/>
        <v>0</v>
      </c>
      <c r="L81" s="650">
        <f t="shared" si="16"/>
        <v>0</v>
      </c>
      <c r="M81" s="650">
        <f t="shared" si="16"/>
        <v>0.37806803999999999</v>
      </c>
      <c r="N81" s="650">
        <f t="shared" si="16"/>
        <v>0</v>
      </c>
      <c r="O81" s="650">
        <f t="shared" si="16"/>
        <v>2.2679895600000002</v>
      </c>
      <c r="P81" s="650">
        <f t="shared" si="16"/>
        <v>0.71384940000000008</v>
      </c>
      <c r="Q81" s="650">
        <f t="shared" si="16"/>
        <v>0</v>
      </c>
      <c r="R81" s="650">
        <f t="shared" si="16"/>
        <v>0</v>
      </c>
      <c r="S81" s="650">
        <f t="shared" si="16"/>
        <v>0</v>
      </c>
      <c r="T81" s="651">
        <f>INDEX('Eurostat-IEA'!$D$9:$L$9,MATCH('IDEES 2015'!T$66,'Eurostat-IEA'!$D$2:$L$2,0))</f>
        <v>7.6559999999999997</v>
      </c>
      <c r="U81" s="650">
        <f t="shared" si="17"/>
        <v>5.6103120000000006E-2</v>
      </c>
      <c r="V81" s="650">
        <f t="shared" si="17"/>
        <v>0</v>
      </c>
      <c r="W81" s="650">
        <f t="shared" si="17"/>
        <v>0</v>
      </c>
      <c r="X81" s="650">
        <f t="shared" si="17"/>
        <v>0</v>
      </c>
      <c r="Y81" s="650">
        <f t="shared" si="17"/>
        <v>0</v>
      </c>
      <c r="Z81" s="650">
        <f t="shared" si="17"/>
        <v>0</v>
      </c>
      <c r="AA81" s="651">
        <f>INDEX('Eurostat-IEA'!$D$9:$L$9,MATCH('IDEES 2015'!AA$66,'Eurostat-IEA'!$D$2:$L$2,0))</f>
        <v>0</v>
      </c>
      <c r="AB81" s="650">
        <f t="shared" si="18"/>
        <v>0.44003268000000001</v>
      </c>
      <c r="AC81" s="650">
        <f t="shared" si="18"/>
        <v>0</v>
      </c>
      <c r="AD81" s="650">
        <f t="shared" si="18"/>
        <v>0.62885736000000003</v>
      </c>
      <c r="AE81" s="650">
        <f t="shared" si="18"/>
        <v>0</v>
      </c>
      <c r="AF81" s="650">
        <f t="shared" si="18"/>
        <v>0.36215820000000004</v>
      </c>
      <c r="AG81" s="650">
        <f t="shared" si="18"/>
        <v>0</v>
      </c>
      <c r="AH81" s="650">
        <f t="shared" si="18"/>
        <v>0</v>
      </c>
      <c r="AI81" s="651">
        <f>INDEX('Eurostat-IEA'!$D$9:$L$9,MATCH('IDEES 2015'!AI$66,'Eurostat-IEA'!$D$2:$L$2,0))</f>
        <v>0</v>
      </c>
      <c r="AJ81" s="651">
        <f>INDEX('Eurostat-IEA'!$D$9:$L$9,MATCH('IDEES 2015'!AJ$66,'Eurostat-IEA'!$D$2:$L$2,0))</f>
        <v>0</v>
      </c>
      <c r="AK81" s="651">
        <f>INDEX('Eurostat-IEA'!$D$9:$L$9,MATCH('IDEES 2015'!AK$66,'Eurostat-IEA'!$D$2:$L$2,0))</f>
        <v>0</v>
      </c>
      <c r="AL81" s="651">
        <f>INDEX('Eurostat-IEA'!$D$9:$L$9,MATCH('IDEES 2015'!AL$66,'Eurostat-IEA'!$D$2:$L$2,0))</f>
        <v>0</v>
      </c>
      <c r="AM81" s="651">
        <f>INDEX('Eurostat-IEA'!$D$9:$L$9,MATCH('IDEES 2015'!AM$66,'Eurostat-IEA'!$D$2:$L$2,0))</f>
        <v>0</v>
      </c>
      <c r="AN81" s="652">
        <f>INDEX('Eurostat-IEA'!$D$9:$L$9,MATCH('IDEES 2015'!AN$66,'Eurostat-IEA'!$D$2:$L$2,0))</f>
        <v>0</v>
      </c>
    </row>
    <row r="82" spans="1:40">
      <c r="B82" s="408"/>
      <c r="C82" s="633" t="s">
        <v>528</v>
      </c>
      <c r="D82" s="649">
        <f t="shared" si="20"/>
        <v>0.74525040000000009</v>
      </c>
      <c r="E82" s="650">
        <f t="shared" si="20"/>
        <v>0.32154623999999998</v>
      </c>
      <c r="F82" s="650">
        <f t="shared" si="20"/>
        <v>1.9677960000000001E-2</v>
      </c>
      <c r="G82" s="651">
        <f>INDEX('Eurostat-IEA'!$D$4:$L$4,MATCH('IDEES 2015'!G$66,'Eurostat-IEA'!$D$2:$L$2,0))*$J82/SUM($J$71,$J$82,$J$90)</f>
        <v>0</v>
      </c>
      <c r="H82" s="650">
        <f t="shared" si="16"/>
        <v>1.015299</v>
      </c>
      <c r="I82" s="650">
        <f t="shared" si="16"/>
        <v>0</v>
      </c>
      <c r="J82" s="650">
        <f t="shared" si="16"/>
        <v>0</v>
      </c>
      <c r="K82" s="650">
        <f t="shared" si="16"/>
        <v>5.2335000000000007E-2</v>
      </c>
      <c r="L82" s="650">
        <f t="shared" si="16"/>
        <v>0</v>
      </c>
      <c r="M82" s="650">
        <f t="shared" si="16"/>
        <v>19.090970640000002</v>
      </c>
      <c r="N82" s="650">
        <f t="shared" si="16"/>
        <v>0</v>
      </c>
      <c r="O82" s="650">
        <f t="shared" si="16"/>
        <v>7.7719568400000005</v>
      </c>
      <c r="P82" s="650">
        <f t="shared" si="16"/>
        <v>0</v>
      </c>
      <c r="Q82" s="650">
        <f t="shared" si="16"/>
        <v>0.54009720000000006</v>
      </c>
      <c r="R82" s="650">
        <f t="shared" si="16"/>
        <v>1.08940536</v>
      </c>
      <c r="S82" s="650">
        <f t="shared" si="16"/>
        <v>0.83066112000000003</v>
      </c>
      <c r="T82" s="651">
        <f>INDEX('Eurostat-IEA'!$D$4:$L$4,MATCH('IDEES 2015'!T$66,'Eurostat-IEA'!$D$2:$L$2,0))*$N82/SUM($N$71,$N$82,$N$90)</f>
        <v>0</v>
      </c>
      <c r="U82" s="650">
        <f t="shared" si="17"/>
        <v>14.24684304</v>
      </c>
      <c r="V82" s="650">
        <f t="shared" si="17"/>
        <v>0</v>
      </c>
      <c r="W82" s="650">
        <f t="shared" si="17"/>
        <v>1.7165880000000001E-2</v>
      </c>
      <c r="X82" s="650">
        <f t="shared" si="17"/>
        <v>0</v>
      </c>
      <c r="Y82" s="650">
        <f t="shared" si="17"/>
        <v>9.7971119999999995E-2</v>
      </c>
      <c r="Z82" s="650">
        <f t="shared" si="17"/>
        <v>0</v>
      </c>
      <c r="AA82" s="651">
        <f>INDEX('Eurostat-IEA'!$D$4:$L$4,MATCH('IDEES 2015'!AA$66,'Eurostat-IEA'!$D$2:$L$2,0))*$N82/SUM($N$71,$N$82,$N$90)</f>
        <v>0</v>
      </c>
      <c r="AB82" s="650">
        <f t="shared" si="18"/>
        <v>0</v>
      </c>
      <c r="AC82" s="650">
        <f t="shared" si="18"/>
        <v>1.0969416000000001</v>
      </c>
      <c r="AD82" s="650">
        <f t="shared" si="18"/>
        <v>0.23027400000000001</v>
      </c>
      <c r="AE82" s="650">
        <f t="shared" si="18"/>
        <v>0</v>
      </c>
      <c r="AF82" s="650">
        <f t="shared" si="18"/>
        <v>0.26209368</v>
      </c>
      <c r="AG82" s="650">
        <f t="shared" si="18"/>
        <v>0</v>
      </c>
      <c r="AH82" s="650">
        <f t="shared" si="18"/>
        <v>10.850929560000001</v>
      </c>
      <c r="AI82" s="651">
        <f>INDEX('Eurostat-IEA'!$D$4:$L$4,MATCH('IDEES 2015'!AI$66,'Eurostat-IEA'!$D$2:$L$2,0))*$P82/SUM($P$71,$P$82,$P$90)</f>
        <v>0</v>
      </c>
      <c r="AJ82" s="651">
        <f>INDEX('Eurostat-IEA'!$D$4:$L$4,MATCH('IDEES 2015'!AJ$66,'Eurostat-IEA'!$D$2:$L$2,0))*$Q82/SUM($Q$71,$Q$82,$Q$90)</f>
        <v>0</v>
      </c>
      <c r="AK82" s="651">
        <f>INDEX('Eurostat-IEA'!$D$4:$L$4,MATCH('IDEES 2015'!AK$66,'Eurostat-IEA'!$D$2:$L$2,0))*$P82/SUM($P$71,$P$82,$P$90)</f>
        <v>0</v>
      </c>
      <c r="AL82" s="651">
        <f>INDEX('Eurostat-IEA'!$D$4:$L$4,MATCH('IDEES 2015'!AL$66,'Eurostat-IEA'!$D$2:$L$2,0))*$Q82/SUM($Q$71,$Q$82,$Q$90)</f>
        <v>6.7347470238095244E-2</v>
      </c>
      <c r="AM82" s="651">
        <f>INDEX('Eurostat-IEA'!$D$4:$L$4,MATCH('IDEES 2015'!AM$66,'Eurostat-IEA'!$D$2:$L$2,0))*$Q82/SUM($Q$71,$Q$82,$Q$90)</f>
        <v>0.20428199404761907</v>
      </c>
      <c r="AN82" s="652">
        <f>INDEX('Eurostat-IEA'!$D$4:$L$4,MATCH('IDEES 2015'!AN$66,'Eurostat-IEA'!$D$2:$L$2,0))*$Q82/SUM($Q$71,$Q$82,$Q$90)</f>
        <v>7.358630952380954E-2</v>
      </c>
    </row>
    <row r="83" spans="1:40">
      <c r="B83" s="547"/>
      <c r="C83" s="619" t="s">
        <v>529</v>
      </c>
      <c r="D83" s="653">
        <f t="shared" si="20"/>
        <v>2.08251432</v>
      </c>
      <c r="E83" s="654">
        <f t="shared" si="20"/>
        <v>5.4373971600000006</v>
      </c>
      <c r="F83" s="654">
        <f t="shared" si="20"/>
        <v>7.61243976</v>
      </c>
      <c r="G83" s="655">
        <f>INDEX('Eurostat-IEA'!$D$3:$L$3,MATCH('IDEES 2015'!G$66,'Eurostat-IEA'!$D$2:$L$2,0))*$J83/SUM($J$72,$J$83,$J$92)</f>
        <v>0.39338999999999996</v>
      </c>
      <c r="H83" s="654">
        <f t="shared" ref="H83:S93" si="23">H20*(41.868/1000)</f>
        <v>0</v>
      </c>
      <c r="I83" s="654">
        <f t="shared" si="23"/>
        <v>23.473294200000002</v>
      </c>
      <c r="J83" s="654">
        <f t="shared" si="23"/>
        <v>45.930452039999999</v>
      </c>
      <c r="K83" s="654">
        <f t="shared" si="23"/>
        <v>2.0096639999999999E-2</v>
      </c>
      <c r="L83" s="654">
        <f t="shared" si="23"/>
        <v>0.39732732000000004</v>
      </c>
      <c r="M83" s="654">
        <f t="shared" si="23"/>
        <v>7.4726006399999996</v>
      </c>
      <c r="N83" s="654">
        <f t="shared" si="23"/>
        <v>0.54009720000000006</v>
      </c>
      <c r="O83" s="654">
        <f t="shared" si="23"/>
        <v>16.391322000000002</v>
      </c>
      <c r="P83" s="654">
        <f t="shared" si="23"/>
        <v>0.14109516000000003</v>
      </c>
      <c r="Q83" s="654">
        <f t="shared" si="23"/>
        <v>0.24911460000000002</v>
      </c>
      <c r="R83" s="654">
        <f t="shared" si="23"/>
        <v>6.1776234000000008</v>
      </c>
      <c r="S83" s="654">
        <f t="shared" si="23"/>
        <v>17.8441416</v>
      </c>
      <c r="T83" s="655">
        <f>INDEX('Eurostat-IEA'!$D$3:$L$3,MATCH('IDEES 2015'!T$66,'Eurostat-IEA'!$D$2:$L$2,0))*$N83/SUM($N$72,$N$83,$N$92)</f>
        <v>0</v>
      </c>
      <c r="U83" s="654">
        <f t="shared" ref="U83:Z93" si="24">U20*(41.868/1000)</f>
        <v>0.15951708000000001</v>
      </c>
      <c r="V83" s="654">
        <f t="shared" si="24"/>
        <v>2.5891171200000005</v>
      </c>
      <c r="W83" s="654">
        <f t="shared" si="24"/>
        <v>2.0096639999999999E-2</v>
      </c>
      <c r="X83" s="654">
        <f t="shared" si="24"/>
        <v>1.0688900400000001</v>
      </c>
      <c r="Y83" s="654">
        <f t="shared" si="24"/>
        <v>0</v>
      </c>
      <c r="Z83" s="654">
        <f t="shared" si="24"/>
        <v>0.2344608</v>
      </c>
      <c r="AA83" s="655">
        <f>INDEX('Eurostat-IEA'!$D$3:$L$3,MATCH('IDEES 2015'!AA$66,'Eurostat-IEA'!$D$2:$L$2,0))*$N83/SUM($N$72,$N$83,$N$92)</f>
        <v>0</v>
      </c>
      <c r="AB83" s="654">
        <f t="shared" ref="AB83:AH93" si="25">AB20*(41.868/1000)</f>
        <v>242.69288616</v>
      </c>
      <c r="AC83" s="654">
        <f t="shared" si="25"/>
        <v>0</v>
      </c>
      <c r="AD83" s="654">
        <f t="shared" si="25"/>
        <v>0.41784264000000004</v>
      </c>
      <c r="AE83" s="654">
        <f t="shared" si="25"/>
        <v>0</v>
      </c>
      <c r="AF83" s="654">
        <f t="shared" si="25"/>
        <v>0</v>
      </c>
      <c r="AG83" s="654">
        <f t="shared" si="25"/>
        <v>2.2118864400000002</v>
      </c>
      <c r="AH83" s="654">
        <f t="shared" si="25"/>
        <v>25.665921360000002</v>
      </c>
      <c r="AI83" s="655">
        <f>INDEX('Eurostat-IEA'!$D$3:$L$3,MATCH('IDEES 2015'!AI$66,'Eurostat-IEA'!$D$2:$L$2,0))*$P83/SUM($P$72,$P$83,$P$92)</f>
        <v>0</v>
      </c>
      <c r="AJ83" s="655">
        <f>INDEX('Eurostat-IEA'!$D$3:$L$3,MATCH('IDEES 2015'!AJ$66,'Eurostat-IEA'!$D$2:$L$2,0))*$Q83/SUM($Q$72,$Q$83,$Q$92)</f>
        <v>4.7718599999999993</v>
      </c>
      <c r="AK83" s="655">
        <f>INDEX('Eurostat-IEA'!$D$3:$L$3,MATCH('IDEES 2015'!AK$66,'Eurostat-IEA'!$D$2:$L$2,0))*$P83/SUM($P$72,$P$83,$P$92)</f>
        <v>8.3000000000000004E-2</v>
      </c>
      <c r="AL83" s="655">
        <f>INDEX('Eurostat-IEA'!$D$3:$L$3,MATCH('IDEES 2015'!AL$66,'Eurostat-IEA'!$D$2:$L$2,0))*$Q83/SUM($Q$72,$Q$83,$Q$92)</f>
        <v>8.7999999999999995E-2</v>
      </c>
      <c r="AM83" s="655">
        <f>INDEX('Eurostat-IEA'!$D$3:$L$3,MATCH('IDEES 2015'!AM$66,'Eurostat-IEA'!$D$2:$L$2,0))*$Q83/SUM($Q$72,$Q$83,$Q$92)</f>
        <v>10.206</v>
      </c>
      <c r="AN83" s="656">
        <f>INDEX('Eurostat-IEA'!$D$3:$L$3,MATCH('IDEES 2015'!AN$66,'Eurostat-IEA'!$D$2:$L$2,0))*$Q83/SUM($Q$72,$Q$83,$Q$92)</f>
        <v>0.92841999999999991</v>
      </c>
    </row>
    <row r="84" spans="1:40">
      <c r="B84" s="634" t="s">
        <v>535</v>
      </c>
      <c r="C84" s="635" t="s">
        <v>525</v>
      </c>
      <c r="D84" s="645">
        <f t="shared" ref="D84:F93" si="26">D21*(41.868/1000)</f>
        <v>35.0246754</v>
      </c>
      <c r="E84" s="646">
        <f t="shared" si="26"/>
        <v>47.684721240000009</v>
      </c>
      <c r="F84" s="646">
        <f t="shared" si="26"/>
        <v>15.955894800000001</v>
      </c>
      <c r="G84" s="647">
        <f>SUM(G85:G92)</f>
        <v>31.602173094899932</v>
      </c>
      <c r="H84" s="646">
        <f t="shared" si="23"/>
        <v>2.7025793999999999</v>
      </c>
      <c r="I84" s="646">
        <f t="shared" si="23"/>
        <v>31.645509120000003</v>
      </c>
      <c r="J84" s="646">
        <f t="shared" si="23"/>
        <v>314.73222300000003</v>
      </c>
      <c r="K84" s="646">
        <f t="shared" si="23"/>
        <v>26.15242752</v>
      </c>
      <c r="L84" s="646">
        <f t="shared" si="23"/>
        <v>5.6898612000000002</v>
      </c>
      <c r="M84" s="646">
        <f t="shared" si="23"/>
        <v>134.42726232000001</v>
      </c>
      <c r="N84" s="646">
        <f t="shared" si="23"/>
        <v>29.212559640000002</v>
      </c>
      <c r="O84" s="646">
        <f t="shared" si="23"/>
        <v>246.41034587999999</v>
      </c>
      <c r="P84" s="646">
        <f t="shared" si="23"/>
        <v>29.035039320000003</v>
      </c>
      <c r="Q84" s="646">
        <f t="shared" si="23"/>
        <v>11.48774184</v>
      </c>
      <c r="R84" s="646">
        <f t="shared" si="23"/>
        <v>26.128144079999998</v>
      </c>
      <c r="S84" s="646">
        <f t="shared" si="23"/>
        <v>21.969814320000001</v>
      </c>
      <c r="T84" s="647">
        <f>SUM(T85:T92)</f>
        <v>1.317568858859915</v>
      </c>
      <c r="U84" s="646">
        <f t="shared" si="24"/>
        <v>203.34324636000002</v>
      </c>
      <c r="V84" s="646">
        <f t="shared" si="24"/>
        <v>9.1092207599999995</v>
      </c>
      <c r="W84" s="646">
        <f t="shared" si="24"/>
        <v>1.8903402</v>
      </c>
      <c r="X84" s="646">
        <f t="shared" si="24"/>
        <v>9.5220392400000016</v>
      </c>
      <c r="Y84" s="646">
        <f t="shared" si="24"/>
        <v>0.54093456000000006</v>
      </c>
      <c r="Z84" s="646">
        <f t="shared" si="24"/>
        <v>68.225162040000001</v>
      </c>
      <c r="AA84" s="647">
        <f>SUM(AA85:AA92)</f>
        <v>22.358540931128836</v>
      </c>
      <c r="AB84" s="646">
        <f t="shared" si="25"/>
        <v>124.1783946</v>
      </c>
      <c r="AC84" s="646">
        <f t="shared" si="25"/>
        <v>24.444631800000003</v>
      </c>
      <c r="AD84" s="646">
        <f t="shared" si="25"/>
        <v>45.017310960000003</v>
      </c>
      <c r="AE84" s="646">
        <f t="shared" si="25"/>
        <v>36.970700040000004</v>
      </c>
      <c r="AF84" s="646">
        <f t="shared" si="25"/>
        <v>9.8707996800000011</v>
      </c>
      <c r="AG84" s="646">
        <f t="shared" si="25"/>
        <v>13.66236576</v>
      </c>
      <c r="AH84" s="646">
        <f t="shared" si="25"/>
        <v>279.44126712000002</v>
      </c>
      <c r="AI84" s="647">
        <f t="shared" ref="AI84:AN84" si="27">SUM(AI85:AI92)</f>
        <v>3.9352251921725174</v>
      </c>
      <c r="AJ84" s="647">
        <f t="shared" si="27"/>
        <v>3.5392539431976933</v>
      </c>
      <c r="AK84" s="647">
        <f t="shared" si="27"/>
        <v>1.2860665438573493</v>
      </c>
      <c r="AL84" s="647">
        <f t="shared" si="27"/>
        <v>2.6146772200131485</v>
      </c>
      <c r="AM84" s="647">
        <f t="shared" si="27"/>
        <v>13.772244683632085</v>
      </c>
      <c r="AN84" s="648">
        <f t="shared" si="27"/>
        <v>1.9404191235241961</v>
      </c>
    </row>
    <row r="85" spans="1:40">
      <c r="B85" s="408"/>
      <c r="C85" s="633" t="s">
        <v>526</v>
      </c>
      <c r="D85" s="649">
        <f t="shared" si="26"/>
        <v>4.4350772400000009</v>
      </c>
      <c r="E85" s="650">
        <f t="shared" si="26"/>
        <v>1.1919819600000001</v>
      </c>
      <c r="F85" s="650">
        <f t="shared" si="26"/>
        <v>1.21333464</v>
      </c>
      <c r="G85" s="651">
        <f>INDEX('Eurostat-IEA'!$D$7:$L$7,MATCH('IDEES 2015'!G$66,'Eurostat-IEA'!$D$2:$L$2,0))*$J85/SUM($J$68,$J$76,$J$85)</f>
        <v>0.60538055943429281</v>
      </c>
      <c r="H85" s="650">
        <f t="shared" si="23"/>
        <v>7.5362400000000005E-3</v>
      </c>
      <c r="I85" s="650">
        <f t="shared" si="23"/>
        <v>1.3632220800000001</v>
      </c>
      <c r="J85" s="650">
        <f t="shared" si="23"/>
        <v>8.0478669600000003</v>
      </c>
      <c r="K85" s="650">
        <f t="shared" si="23"/>
        <v>4.4287970400000001</v>
      </c>
      <c r="L85" s="650">
        <f t="shared" si="23"/>
        <v>2.3877320400000004</v>
      </c>
      <c r="M85" s="650">
        <f t="shared" si="23"/>
        <v>1.8145591200000002</v>
      </c>
      <c r="N85" s="650">
        <f t="shared" si="23"/>
        <v>6.229958400000001</v>
      </c>
      <c r="O85" s="650">
        <f t="shared" si="23"/>
        <v>15.39235152</v>
      </c>
      <c r="P85" s="650">
        <f t="shared" si="23"/>
        <v>0.56731140000000002</v>
      </c>
      <c r="Q85" s="650">
        <f t="shared" si="23"/>
        <v>0.75906684000000002</v>
      </c>
      <c r="R85" s="650">
        <f t="shared" si="23"/>
        <v>0.95249700000000004</v>
      </c>
      <c r="S85" s="650">
        <f t="shared" si="23"/>
        <v>0.21520152000000001</v>
      </c>
      <c r="T85" s="651">
        <f>INDEX('Eurostat-IEA'!$D$7:$L$7,MATCH('IDEES 2015'!T$66,'Eurostat-IEA'!$D$2:$L$2,0))*$N85/SUM($N$68,$N$76,$N$85)</f>
        <v>0</v>
      </c>
      <c r="U85" s="650">
        <f t="shared" si="24"/>
        <v>1.6131740400000001</v>
      </c>
      <c r="V85" s="650">
        <f t="shared" si="24"/>
        <v>3.4503418799999999</v>
      </c>
      <c r="W85" s="650">
        <f t="shared" si="24"/>
        <v>5.4428400000000002E-2</v>
      </c>
      <c r="X85" s="650">
        <f t="shared" si="24"/>
        <v>4.93330644</v>
      </c>
      <c r="Y85" s="650">
        <f t="shared" si="24"/>
        <v>0</v>
      </c>
      <c r="Z85" s="650">
        <f t="shared" si="24"/>
        <v>1.8352837800000001</v>
      </c>
      <c r="AA85" s="651">
        <f>INDEX('Eurostat-IEA'!$D$7:$L$7,MATCH('IDEES 2015'!AA$66,'Eurostat-IEA'!$D$2:$L$2,0))*$N85/SUM($N$68,$N$76,$N$85)</f>
        <v>3.1798666073810584</v>
      </c>
      <c r="AB85" s="650">
        <f t="shared" si="25"/>
        <v>15.05238336</v>
      </c>
      <c r="AC85" s="650">
        <f t="shared" si="25"/>
        <v>4.1122749600000006</v>
      </c>
      <c r="AD85" s="650">
        <f t="shared" si="25"/>
        <v>19.549843920000001</v>
      </c>
      <c r="AE85" s="650">
        <f t="shared" si="25"/>
        <v>1.0295341200000001</v>
      </c>
      <c r="AF85" s="650">
        <f t="shared" si="25"/>
        <v>3.3871212000000006</v>
      </c>
      <c r="AG85" s="650">
        <f t="shared" si="25"/>
        <v>8.6248080000000005E-2</v>
      </c>
      <c r="AH85" s="650">
        <f t="shared" si="25"/>
        <v>0</v>
      </c>
      <c r="AI85" s="651">
        <f>INDEX('Eurostat-IEA'!$D$7:$L$7,MATCH('IDEES 2015'!AI$66,'Eurostat-IEA'!$D$2:$L$2,0))*$P85/SUM($P$68,$P$76,$P$85)</f>
        <v>0.16859619106597304</v>
      </c>
      <c r="AJ85" s="651">
        <f>INDEX('Eurostat-IEA'!$D$7:$L$7,MATCH('IDEES 2015'!AJ$66,'Eurostat-IEA'!$D$2:$L$2,0))*$Q85/SUM($Q$68,$Q$76,$Q$85)</f>
        <v>0.41534489649805445</v>
      </c>
      <c r="AK85" s="651">
        <f>INDEX('Eurostat-IEA'!$D$7:$L$7,MATCH('IDEES 2015'!AK$66,'Eurostat-IEA'!$D$2:$L$2,0))*$P85/SUM($P$68,$P$76,$P$85)</f>
        <v>0.21105375278672281</v>
      </c>
      <c r="AL85" s="651">
        <f>INDEX('Eurostat-IEA'!$D$7:$L$7,MATCH('IDEES 2015'!AL$66,'Eurostat-IEA'!$D$2:$L$2,0))*$Q85/SUM($Q$68,$Q$76,$Q$85)</f>
        <v>0.42236550972762643</v>
      </c>
      <c r="AM85" s="651">
        <f>INDEX('Eurostat-IEA'!$D$7:$L$7,MATCH('IDEES 2015'!AM$66,'Eurostat-IEA'!$D$2:$L$2,0))*$Q85/SUM($Q$68,$Q$76,$Q$85)</f>
        <v>2.2801755330739297</v>
      </c>
      <c r="AN85" s="652">
        <f>INDEX('Eurostat-IEA'!$D$7:$L$7,MATCH('IDEES 2015'!AN$66,'Eurostat-IEA'!$D$2:$L$2,0))*$Q85/SUM($Q$68,$Q$76,$Q$85)</f>
        <v>0.51397491828793773</v>
      </c>
    </row>
    <row r="86" spans="1:40">
      <c r="B86" s="408"/>
      <c r="C86" s="633" t="s">
        <v>532</v>
      </c>
      <c r="D86" s="649">
        <f t="shared" si="26"/>
        <v>4.5556570800000005</v>
      </c>
      <c r="E86" s="650">
        <f t="shared" si="26"/>
        <v>5.8615199999999999E-2</v>
      </c>
      <c r="F86" s="650">
        <f t="shared" si="26"/>
        <v>3.3892146000000003</v>
      </c>
      <c r="G86" s="651">
        <f>INDEX('Eurostat-IEA'!$D$11:$L$11,MATCH('IDEES 2015'!G$66,'Eurostat-IEA'!$D$2:$L$2,0))*$J86/SUM($J$77,$J$86)</f>
        <v>0.832469278688452</v>
      </c>
      <c r="H86" s="650">
        <f t="shared" si="23"/>
        <v>0</v>
      </c>
      <c r="I86" s="650">
        <f t="shared" si="23"/>
        <v>3.4298265600000004</v>
      </c>
      <c r="J86" s="650">
        <f t="shared" si="23"/>
        <v>22.856997239999998</v>
      </c>
      <c r="K86" s="650">
        <f t="shared" si="23"/>
        <v>11.081203560000001</v>
      </c>
      <c r="L86" s="650">
        <f t="shared" si="23"/>
        <v>2.24956764</v>
      </c>
      <c r="M86" s="650">
        <f t="shared" si="23"/>
        <v>0</v>
      </c>
      <c r="N86" s="650">
        <f t="shared" si="23"/>
        <v>9.0656780399999999</v>
      </c>
      <c r="O86" s="650">
        <f t="shared" si="23"/>
        <v>11.124327600000001</v>
      </c>
      <c r="P86" s="650">
        <f t="shared" si="23"/>
        <v>0.26586179999999998</v>
      </c>
      <c r="Q86" s="650">
        <f t="shared" si="23"/>
        <v>0.8670862800000001</v>
      </c>
      <c r="R86" s="650">
        <f t="shared" si="23"/>
        <v>2.7775231200000001</v>
      </c>
      <c r="S86" s="650">
        <f t="shared" si="23"/>
        <v>0</v>
      </c>
      <c r="T86" s="651">
        <f>INDEX('Eurostat-IEA'!$D$11:$L$11,MATCH('IDEES 2015'!T$66,'Eurostat-IEA'!$D$2:$L$2,0))*$N86/SUM($N$77,$N$86)</f>
        <v>0.86872220451433146</v>
      </c>
      <c r="U86" s="650">
        <f t="shared" si="24"/>
        <v>0.56312459999999998</v>
      </c>
      <c r="V86" s="650">
        <f t="shared" si="24"/>
        <v>3.4252210800000005</v>
      </c>
      <c r="W86" s="650">
        <f t="shared" si="24"/>
        <v>0</v>
      </c>
      <c r="X86" s="650">
        <f t="shared" si="24"/>
        <v>2.8210658400000002</v>
      </c>
      <c r="Y86" s="650">
        <f t="shared" si="24"/>
        <v>0</v>
      </c>
      <c r="Z86" s="650">
        <f t="shared" si="24"/>
        <v>2.1486657600000001</v>
      </c>
      <c r="AA86" s="651">
        <f>INDEX('Eurostat-IEA'!$D$11:$L$11,MATCH('IDEES 2015'!AA$66,'Eurostat-IEA'!$D$2:$L$2,0))*$N86/SUM($N$77,$N$86)</f>
        <v>0.49871326202956034</v>
      </c>
      <c r="AB86" s="650">
        <f t="shared" si="25"/>
        <v>30.774654720000001</v>
      </c>
      <c r="AC86" s="650">
        <f t="shared" si="25"/>
        <v>0.11471832000000001</v>
      </c>
      <c r="AD86" s="650">
        <f t="shared" si="25"/>
        <v>6.8655146399999998</v>
      </c>
      <c r="AE86" s="650">
        <f t="shared" si="25"/>
        <v>14.97074076</v>
      </c>
      <c r="AF86" s="650">
        <f t="shared" si="25"/>
        <v>0.68496047999999998</v>
      </c>
      <c r="AG86" s="650">
        <f t="shared" si="25"/>
        <v>3.3100840800000002</v>
      </c>
      <c r="AH86" s="650">
        <f t="shared" si="25"/>
        <v>0</v>
      </c>
      <c r="AI86" s="651">
        <f>INDEX('Eurostat-IEA'!$D$11:$L$11,MATCH('IDEES 2015'!AI$66,'Eurostat-IEA'!$D$2:$L$2,0))*$P86/SUM($P$77,$P$86)</f>
        <v>0</v>
      </c>
      <c r="AJ86" s="651">
        <f>INDEX('Eurostat-IEA'!$D$11:$L$11,MATCH('IDEES 2015'!AJ$66,'Eurostat-IEA'!$D$2:$L$2,0))*$Q86/SUM($Q$77,$Q$86)</f>
        <v>0.54190202326034698</v>
      </c>
      <c r="AK86" s="651">
        <f>INDEX('Eurostat-IEA'!$D$11:$L$11,MATCH('IDEES 2015'!AK$66,'Eurostat-IEA'!$D$2:$L$2,0))*$P86/SUM($P$77,$P$86)</f>
        <v>0</v>
      </c>
      <c r="AL86" s="651">
        <f>INDEX('Eurostat-IEA'!$D$11:$L$11,MATCH('IDEES 2015'!AL$66,'Eurostat-IEA'!$D$2:$L$2,0))*$Q86/SUM($Q$77,$Q$86)</f>
        <v>0.19147768176206875</v>
      </c>
      <c r="AM86" s="651">
        <f>INDEX('Eurostat-IEA'!$D$11:$L$11,MATCH('IDEES 2015'!AM$66,'Eurostat-IEA'!$D$2:$L$2,0))*$Q86/SUM($Q$77,$Q$86)</f>
        <v>2.1458148918198949</v>
      </c>
      <c r="AN86" s="652">
        <f>INDEX('Eurostat-IEA'!$D$11:$L$11,MATCH('IDEES 2015'!AN$66,'Eurostat-IEA'!$D$2:$L$2,0))*$Q86/SUM($Q$77,$Q$86)</f>
        <v>1.9638909102722368E-2</v>
      </c>
    </row>
    <row r="87" spans="1:40">
      <c r="B87" s="408"/>
      <c r="C87" s="633" t="s">
        <v>510</v>
      </c>
      <c r="D87" s="649">
        <f t="shared" si="26"/>
        <v>8.1885434400000001</v>
      </c>
      <c r="E87" s="650">
        <f t="shared" si="26"/>
        <v>6.3677041200000009</v>
      </c>
      <c r="F87" s="650">
        <f t="shared" si="26"/>
        <v>10.736211240000001</v>
      </c>
      <c r="G87" s="651">
        <f>INDEX('Eurostat-IEA'!$D$10:$L$10,MATCH('IDEES 2015'!G$66,'Eurostat-IEA'!$D$2:$L$2,0))*$J87/SUM($J$69,$J$74,$J$78,$J$87,$J$93)</f>
        <v>7.5084451877830043</v>
      </c>
      <c r="H87" s="650">
        <f t="shared" si="23"/>
        <v>0.27967824000000002</v>
      </c>
      <c r="I87" s="650">
        <f t="shared" si="23"/>
        <v>15.207713640000001</v>
      </c>
      <c r="J87" s="650">
        <f t="shared" si="23"/>
        <v>57.138934320000004</v>
      </c>
      <c r="K87" s="650">
        <f t="shared" si="23"/>
        <v>3.66303132</v>
      </c>
      <c r="L87" s="650">
        <f t="shared" si="23"/>
        <v>0.70715052000000012</v>
      </c>
      <c r="M87" s="650">
        <f t="shared" si="23"/>
        <v>41.686292880000003</v>
      </c>
      <c r="N87" s="650">
        <f t="shared" si="23"/>
        <v>10.438111080000001</v>
      </c>
      <c r="O87" s="650">
        <f t="shared" si="23"/>
        <v>78.275994120000007</v>
      </c>
      <c r="P87" s="650">
        <f t="shared" si="23"/>
        <v>15.22655424</v>
      </c>
      <c r="Q87" s="650">
        <f t="shared" si="23"/>
        <v>3.3523707599999999</v>
      </c>
      <c r="R87" s="650">
        <f t="shared" si="23"/>
        <v>5.1078960000000002</v>
      </c>
      <c r="S87" s="650">
        <f t="shared" si="23"/>
        <v>4.7754640800000008</v>
      </c>
      <c r="T87" s="651">
        <f>INDEX('Eurostat-IEA'!$D$10:$L$10,MATCH('IDEES 2015'!T$66,'Eurostat-IEA'!$D$2:$L$2,0))*$N87/SUM($N$69,$N$74,$N$78,$N$87,$N$93)</f>
        <v>0.40999126603194591</v>
      </c>
      <c r="U87" s="650">
        <f t="shared" si="24"/>
        <v>22.997673719999998</v>
      </c>
      <c r="V87" s="650">
        <f t="shared" si="24"/>
        <v>0.98724743999999998</v>
      </c>
      <c r="W87" s="650">
        <f t="shared" si="24"/>
        <v>0.20180376000000003</v>
      </c>
      <c r="X87" s="650">
        <f t="shared" si="24"/>
        <v>0.46766556000000004</v>
      </c>
      <c r="Y87" s="650">
        <f t="shared" si="24"/>
        <v>0.16077311999999999</v>
      </c>
      <c r="Z87" s="650">
        <f t="shared" si="24"/>
        <v>4.0513570200000002</v>
      </c>
      <c r="AA87" s="651">
        <f>INDEX('Eurostat-IEA'!$D$10:$L$10,MATCH('IDEES 2015'!AA$66,'Eurostat-IEA'!$D$2:$L$2,0))*$N87/SUM($N$69,$N$74,$N$78,$N$87,$N$93)</f>
        <v>17.546498219765525</v>
      </c>
      <c r="AB87" s="650">
        <f t="shared" si="25"/>
        <v>6.2592660000000002</v>
      </c>
      <c r="AC87" s="650">
        <f t="shared" si="25"/>
        <v>5.3385886800000009</v>
      </c>
      <c r="AD87" s="650">
        <f t="shared" si="25"/>
        <v>4.1541429600000006</v>
      </c>
      <c r="AE87" s="650">
        <f t="shared" si="25"/>
        <v>19.593386640000002</v>
      </c>
      <c r="AF87" s="650">
        <f t="shared" si="25"/>
        <v>2.46016368</v>
      </c>
      <c r="AG87" s="650">
        <f t="shared" si="25"/>
        <v>1.91420496</v>
      </c>
      <c r="AH87" s="650">
        <f t="shared" si="25"/>
        <v>42.187452839999999</v>
      </c>
      <c r="AI87" s="651">
        <f>INDEX('Eurostat-IEA'!$D$10:$L$10,MATCH('IDEES 2015'!AI$66,'Eurostat-IEA'!$D$2:$L$2,0))*$P87/SUM($P$69,$P$74,$P$78,$P$87,$P$93)</f>
        <v>2.1739334186926675</v>
      </c>
      <c r="AJ87" s="651">
        <f>INDEX('Eurostat-IEA'!$D$10:$L$10,MATCH('IDEES 2015'!AJ$66,'Eurostat-IEA'!$D$2:$L$2,0))*$Q87/SUM($Q$69,$Q$74,$Q$78,$Q$87,$Q$93)</f>
        <v>2.2912475239993708</v>
      </c>
      <c r="AK87" s="651">
        <f>INDEX('Eurostat-IEA'!$D$10:$L$10,MATCH('IDEES 2015'!AK$66,'Eurostat-IEA'!$D$2:$L$2,0))*$P87/SUM($P$69,$P$74,$P$78,$P$87,$P$93)</f>
        <v>1.0750127910706264</v>
      </c>
      <c r="AL87" s="651">
        <f>INDEX('Eurostat-IEA'!$D$10:$L$10,MATCH('IDEES 2015'!AL$66,'Eurostat-IEA'!$D$2:$L$2,0))*$Q87/SUM($Q$69,$Q$74,$Q$78,$Q$87,$Q$93)</f>
        <v>1.6295698998059065</v>
      </c>
      <c r="AM87" s="651">
        <f>INDEX('Eurostat-IEA'!$D$10:$L$10,MATCH('IDEES 2015'!AM$66,'Eurostat-IEA'!$D$2:$L$2,0))*$Q87/SUM($Q$69,$Q$74,$Q$78,$Q$87,$Q$93)</f>
        <v>7.3815778209096159</v>
      </c>
      <c r="AN87" s="652">
        <f>INDEX('Eurostat-IEA'!$D$10:$L$10,MATCH('IDEES 2015'!AN$66,'Eurostat-IEA'!$D$2:$L$2,0))*$Q87/SUM($Q$69,$Q$74,$Q$78,$Q$87,$Q$93)</f>
        <v>1.1302472249908198</v>
      </c>
    </row>
    <row r="88" spans="1:40">
      <c r="B88" s="408"/>
      <c r="C88" s="633" t="s">
        <v>527</v>
      </c>
      <c r="D88" s="649">
        <f t="shared" si="26"/>
        <v>6.9291540000000005</v>
      </c>
      <c r="E88" s="650">
        <f t="shared" si="26"/>
        <v>22.535451000000002</v>
      </c>
      <c r="F88" s="650">
        <f t="shared" si="26"/>
        <v>0.21855095999999999</v>
      </c>
      <c r="G88" s="651">
        <f>INDEX('Eurostat-IEA'!$D$6:$L$6,MATCH('IDEES 2015'!G$66,'Eurostat-IEA'!$D$2:$L$2,0))*$J88/SUM($J$70,$J$79,$J$88)</f>
        <v>6.4502340099670734</v>
      </c>
      <c r="H88" s="650">
        <f t="shared" si="23"/>
        <v>0</v>
      </c>
      <c r="I88" s="650">
        <f t="shared" si="23"/>
        <v>10.540269</v>
      </c>
      <c r="J88" s="650">
        <f t="shared" si="23"/>
        <v>128.21698187999999</v>
      </c>
      <c r="K88" s="650">
        <f t="shared" si="23"/>
        <v>4.1989417200000005</v>
      </c>
      <c r="L88" s="650">
        <f t="shared" si="23"/>
        <v>0.28470240000000002</v>
      </c>
      <c r="M88" s="650">
        <f t="shared" si="23"/>
        <v>44.748099719999999</v>
      </c>
      <c r="N88" s="650">
        <f t="shared" si="23"/>
        <v>0.22231908</v>
      </c>
      <c r="O88" s="650">
        <f t="shared" si="23"/>
        <v>85.257064440000008</v>
      </c>
      <c r="P88" s="650">
        <f t="shared" si="23"/>
        <v>0.78167556000000016</v>
      </c>
      <c r="Q88" s="650">
        <f t="shared" si="23"/>
        <v>4.0302136800000001</v>
      </c>
      <c r="R88" s="650">
        <f t="shared" si="23"/>
        <v>14.874863039999999</v>
      </c>
      <c r="S88" s="650">
        <f t="shared" si="23"/>
        <v>5.2958833199999997</v>
      </c>
      <c r="T88" s="651">
        <f>INDEX('Eurostat-IEA'!$D$6:$L$6,MATCH('IDEES 2015'!T$66,'Eurostat-IEA'!$D$2:$L$2,0))*$N88/SUM($N$70,$N$79,$N$88)</f>
        <v>0</v>
      </c>
      <c r="U88" s="650">
        <f t="shared" si="24"/>
        <v>136.26610488</v>
      </c>
      <c r="V88" s="650">
        <f t="shared" si="24"/>
        <v>0.80344692000000006</v>
      </c>
      <c r="W88" s="650">
        <f t="shared" si="24"/>
        <v>0.83275452000000005</v>
      </c>
      <c r="X88" s="650">
        <f t="shared" si="24"/>
        <v>0.82145016000000004</v>
      </c>
      <c r="Y88" s="650">
        <f t="shared" si="24"/>
        <v>0</v>
      </c>
      <c r="Z88" s="650">
        <f t="shared" si="24"/>
        <v>58.651625160000002</v>
      </c>
      <c r="AA88" s="651">
        <f>INDEX('Eurostat-IEA'!$D$6:$L$6,MATCH('IDEES 2015'!AA$66,'Eurostat-IEA'!$D$2:$L$2,0))*$N88/SUM($N$70,$N$79,$N$88)</f>
        <v>1.8398246712586098E-2</v>
      </c>
      <c r="AB88" s="650">
        <f t="shared" si="25"/>
        <v>22.085370000000001</v>
      </c>
      <c r="AC88" s="650">
        <f t="shared" si="25"/>
        <v>3.9787160400000001</v>
      </c>
      <c r="AD88" s="650">
        <f t="shared" si="25"/>
        <v>12.695633640000002</v>
      </c>
      <c r="AE88" s="650">
        <f t="shared" si="25"/>
        <v>0.63932436000000004</v>
      </c>
      <c r="AF88" s="650">
        <f t="shared" si="25"/>
        <v>0.73059660000000004</v>
      </c>
      <c r="AG88" s="650">
        <f t="shared" si="25"/>
        <v>8.1500248800000001</v>
      </c>
      <c r="AH88" s="650">
        <f t="shared" si="25"/>
        <v>211.55021172000002</v>
      </c>
      <c r="AI88" s="651">
        <f>INDEX('Eurostat-IEA'!$D$6:$L$6,MATCH('IDEES 2015'!AI$66,'Eurostat-IEA'!$D$2:$L$2,0))*$P88/SUM($P$70,$P$79,$P$88)</f>
        <v>0</v>
      </c>
      <c r="AJ88" s="651">
        <f>INDEX('Eurostat-IEA'!$D$6:$L$6,MATCH('IDEES 2015'!AJ$66,'Eurostat-IEA'!$D$2:$L$2,0))*$Q88/SUM($Q$70,$Q$79,$Q$88)</f>
        <v>0.29075949943992113</v>
      </c>
      <c r="AK88" s="651">
        <f>INDEX('Eurostat-IEA'!$D$6:$L$6,MATCH('IDEES 2015'!AK$66,'Eurostat-IEA'!$D$2:$L$2,0))*$P88/SUM($P$70,$P$79,$P$88)</f>
        <v>0</v>
      </c>
      <c r="AL88" s="651">
        <f>INDEX('Eurostat-IEA'!$D$6:$L$6,MATCH('IDEES 2015'!AL$66,'Eurostat-IEA'!$D$2:$L$2,0))*$Q88/SUM($Q$70,$Q$79,$Q$88)</f>
        <v>0</v>
      </c>
      <c r="AM88" s="651">
        <f>INDEX('Eurostat-IEA'!$D$6:$L$6,MATCH('IDEES 2015'!AM$66,'Eurostat-IEA'!$D$2:$L$2,0))*$Q88/SUM($Q$70,$Q$79,$Q$88)</f>
        <v>1.4508282480397241</v>
      </c>
      <c r="AN88" s="652">
        <f>INDEX('Eurostat-IEA'!$D$6:$L$6,MATCH('IDEES 2015'!AN$66,'Eurostat-IEA'!$D$2:$L$2,0))*$Q88/SUM($Q$70,$Q$79,$Q$88)</f>
        <v>0</v>
      </c>
    </row>
    <row r="89" spans="1:40">
      <c r="B89" s="408"/>
      <c r="C89" s="633" t="s">
        <v>533</v>
      </c>
      <c r="D89" s="649">
        <f t="shared" si="26"/>
        <v>5.9159484000000004</v>
      </c>
      <c r="E89" s="650">
        <f t="shared" si="26"/>
        <v>16.430259240000002</v>
      </c>
      <c r="F89" s="650">
        <f t="shared" si="26"/>
        <v>0</v>
      </c>
      <c r="G89" s="651">
        <f>INDEX('Eurostat-IEA'!$D$5:$L$5,MATCH('IDEES 2015'!G$66,'Eurostat-IEA'!$D$2:$L$2,0))*$J89/SUM($J$80,$J$89)</f>
        <v>15.037864059027106</v>
      </c>
      <c r="H89" s="650">
        <f t="shared" si="23"/>
        <v>0.17752032000000001</v>
      </c>
      <c r="I89" s="650">
        <f t="shared" si="23"/>
        <v>0</v>
      </c>
      <c r="J89" s="650">
        <f t="shared" si="23"/>
        <v>71.878563720000002</v>
      </c>
      <c r="K89" s="650">
        <f t="shared" si="23"/>
        <v>2.1164274000000001</v>
      </c>
      <c r="L89" s="650">
        <f t="shared" si="23"/>
        <v>1.46538E-2</v>
      </c>
      <c r="M89" s="650">
        <f t="shared" si="23"/>
        <v>13.41911268</v>
      </c>
      <c r="N89" s="650">
        <f t="shared" si="23"/>
        <v>2.9420643599999998</v>
      </c>
      <c r="O89" s="650">
        <f t="shared" si="23"/>
        <v>33.145639559999999</v>
      </c>
      <c r="P89" s="650">
        <f t="shared" si="23"/>
        <v>3.7404871200000005</v>
      </c>
      <c r="Q89" s="650">
        <f t="shared" si="23"/>
        <v>0.91858392000000011</v>
      </c>
      <c r="R89" s="650">
        <f t="shared" si="23"/>
        <v>0</v>
      </c>
      <c r="S89" s="650">
        <f t="shared" si="23"/>
        <v>7.2565617600000003</v>
      </c>
      <c r="T89" s="651">
        <f>INDEX('Eurostat-IEA'!$D$5:$L$5,MATCH('IDEES 2015'!T$66,'Eurostat-IEA'!$D$2:$L$2,0))*$N89/SUM($N$80,$N$89)</f>
        <v>8.4046840882856071E-3</v>
      </c>
      <c r="U89" s="650">
        <f t="shared" si="24"/>
        <v>13.617567000000001</v>
      </c>
      <c r="V89" s="650">
        <f t="shared" si="24"/>
        <v>3.5587800000000003E-2</v>
      </c>
      <c r="W89" s="650">
        <f t="shared" si="24"/>
        <v>0.74231964000000006</v>
      </c>
      <c r="X89" s="650">
        <f t="shared" si="24"/>
        <v>0.20054772000000001</v>
      </c>
      <c r="Y89" s="650">
        <f t="shared" si="24"/>
        <v>0</v>
      </c>
      <c r="Z89" s="650">
        <f t="shared" si="24"/>
        <v>0.42077340000000008</v>
      </c>
      <c r="AA89" s="651">
        <f>INDEX('Eurostat-IEA'!$D$5:$L$5,MATCH('IDEES 2015'!AA$66,'Eurostat-IEA'!$D$2:$L$2,0))*$N89/SUM($N$80,$N$89)</f>
        <v>0.7489941727048941</v>
      </c>
      <c r="AB89" s="650">
        <f t="shared" si="25"/>
        <v>0.67449347999999998</v>
      </c>
      <c r="AC89" s="650">
        <f t="shared" si="25"/>
        <v>2.12438232</v>
      </c>
      <c r="AD89" s="650">
        <f t="shared" si="25"/>
        <v>0.55307628000000009</v>
      </c>
      <c r="AE89" s="650">
        <f t="shared" si="25"/>
        <v>0.30521772000000003</v>
      </c>
      <c r="AF89" s="650">
        <f t="shared" si="25"/>
        <v>1.9732388400000003</v>
      </c>
      <c r="AG89" s="650">
        <f t="shared" si="25"/>
        <v>0</v>
      </c>
      <c r="AH89" s="650">
        <f t="shared" si="25"/>
        <v>16.462497599999999</v>
      </c>
      <c r="AI89" s="651">
        <f>INDEX('Eurostat-IEA'!$D$5:$L$5,MATCH('IDEES 2015'!AI$66,'Eurostat-IEA'!$D$2:$L$2,0))*$P89/SUM($P$80,$P$89)</f>
        <v>7.4536171677041969E-3</v>
      </c>
      <c r="AJ89" s="651">
        <f>INDEX('Eurostat-IEA'!$D$5:$L$5,MATCH('IDEES 2015'!AJ$66,'Eurostat-IEA'!$D$2:$L$2,0))*$Q89/SUM($Q$80,$Q$89)</f>
        <v>0</v>
      </c>
      <c r="AK89" s="651">
        <f>INDEX('Eurostat-IEA'!$D$5:$L$5,MATCH('IDEES 2015'!AK$66,'Eurostat-IEA'!$D$2:$L$2,0))*$P89/SUM($P$80,$P$89)</f>
        <v>0</v>
      </c>
      <c r="AL89" s="651">
        <f>INDEX('Eurostat-IEA'!$D$5:$L$5,MATCH('IDEES 2015'!AL$66,'Eurostat-IEA'!$D$2:$L$2,0))*$Q89/SUM($Q$80,$Q$89)</f>
        <v>0.20393959994770561</v>
      </c>
      <c r="AM89" s="651">
        <f>INDEX('Eurostat-IEA'!$D$5:$L$5,MATCH('IDEES 2015'!AM$66,'Eurostat-IEA'!$D$2:$L$2,0))*$Q89/SUM($Q$80,$Q$89)</f>
        <v>6.3103673682834418E-3</v>
      </c>
      <c r="AN89" s="652">
        <f>INDEX('Eurostat-IEA'!$D$5:$L$5,MATCH('IDEES 2015'!AN$66,'Eurostat-IEA'!$D$2:$L$2,0))*$Q89/SUM($Q$80,$Q$89)</f>
        <v>8.6743170349065243E-2</v>
      </c>
    </row>
    <row r="90" spans="1:40">
      <c r="B90" s="408"/>
      <c r="C90" s="633" t="s">
        <v>528</v>
      </c>
      <c r="D90" s="649">
        <f t="shared" si="26"/>
        <v>0.5748476400000001</v>
      </c>
      <c r="E90" s="650">
        <f t="shared" si="26"/>
        <v>0.63053208000000005</v>
      </c>
      <c r="F90" s="650">
        <f t="shared" si="26"/>
        <v>1.0467000000000001E-2</v>
      </c>
      <c r="G90" s="651">
        <f>INDEX('Eurostat-IEA'!$D$4:$L$4,MATCH('IDEES 2015'!G$66,'Eurostat-IEA'!$D$2:$L$2,0))*$J90/SUM($J$71,$J$82,$J$90)</f>
        <v>0</v>
      </c>
      <c r="H90" s="650">
        <f t="shared" si="23"/>
        <v>7.4943720000000005E-2</v>
      </c>
      <c r="I90" s="650">
        <f t="shared" si="23"/>
        <v>0.12937212000000001</v>
      </c>
      <c r="J90" s="650">
        <f t="shared" si="23"/>
        <v>8.4594294000000012</v>
      </c>
      <c r="K90" s="650">
        <f t="shared" si="23"/>
        <v>0.22441248000000003</v>
      </c>
      <c r="L90" s="650">
        <f t="shared" si="23"/>
        <v>4.6892160000000009E-2</v>
      </c>
      <c r="M90" s="650">
        <f t="shared" si="23"/>
        <v>26.458063920000004</v>
      </c>
      <c r="N90" s="650">
        <f t="shared" si="23"/>
        <v>0.27549144000000003</v>
      </c>
      <c r="O90" s="650">
        <f t="shared" si="23"/>
        <v>21.428042400000002</v>
      </c>
      <c r="P90" s="650">
        <f t="shared" si="23"/>
        <v>0.93030696000000002</v>
      </c>
      <c r="Q90" s="650">
        <f t="shared" si="23"/>
        <v>1.3418694</v>
      </c>
      <c r="R90" s="650">
        <f t="shared" si="23"/>
        <v>2.1566206800000001</v>
      </c>
      <c r="S90" s="650">
        <f t="shared" si="23"/>
        <v>0.97133760000000002</v>
      </c>
      <c r="T90" s="651">
        <f>INDEX('Eurostat-IEA'!$D$4:$L$4,MATCH('IDEES 2015'!T$66,'Eurostat-IEA'!$D$2:$L$2,0))*$N90/SUM($N$71,$N$82,$N$90)</f>
        <v>3.0450704225352114E-2</v>
      </c>
      <c r="U90" s="650">
        <f t="shared" si="24"/>
        <v>24.129784440000002</v>
      </c>
      <c r="V90" s="650">
        <f t="shared" si="24"/>
        <v>0.40737564000000004</v>
      </c>
      <c r="W90" s="650">
        <f t="shared" si="24"/>
        <v>2.3027400000000003E-2</v>
      </c>
      <c r="X90" s="650">
        <f t="shared" si="24"/>
        <v>0.27842220000000001</v>
      </c>
      <c r="Y90" s="650">
        <f t="shared" si="24"/>
        <v>0.38016144000000002</v>
      </c>
      <c r="Z90" s="650">
        <f t="shared" si="24"/>
        <v>0.25246404</v>
      </c>
      <c r="AA90" s="651">
        <f>INDEX('Eurostat-IEA'!$D$4:$L$4,MATCH('IDEES 2015'!AA$66,'Eurostat-IEA'!$D$2:$L$2,0))*$N90/SUM($N$71,$N$82,$N$90)</f>
        <v>0.36607042253521127</v>
      </c>
      <c r="AB90" s="650">
        <f t="shared" si="25"/>
        <v>3.8535307200000006</v>
      </c>
      <c r="AC90" s="650">
        <f t="shared" si="25"/>
        <v>7.3130835599999999</v>
      </c>
      <c r="AD90" s="650">
        <f t="shared" si="25"/>
        <v>1.1995182</v>
      </c>
      <c r="AE90" s="650">
        <f t="shared" si="25"/>
        <v>0</v>
      </c>
      <c r="AF90" s="650">
        <f t="shared" si="25"/>
        <v>0.42244812000000004</v>
      </c>
      <c r="AG90" s="650">
        <f t="shared" si="25"/>
        <v>0.20138507999999999</v>
      </c>
      <c r="AH90" s="650">
        <f t="shared" si="25"/>
        <v>4.2533701200000005</v>
      </c>
      <c r="AI90" s="651">
        <f>INDEX('Eurostat-IEA'!$D$4:$L$4,MATCH('IDEES 2015'!AI$66,'Eurostat-IEA'!$D$2:$L$2,0))*$P90/SUM($P$71,$P$82,$P$90)</f>
        <v>1.5012519652461727</v>
      </c>
      <c r="AJ90" s="651">
        <f>INDEX('Eurostat-IEA'!$D$4:$L$4,MATCH('IDEES 2015'!AJ$66,'Eurostat-IEA'!$D$2:$L$2,0))*$Q90/SUM($Q$71,$Q$82,$Q$90)</f>
        <v>0</v>
      </c>
      <c r="AK90" s="651">
        <f>INDEX('Eurostat-IEA'!$D$4:$L$4,MATCH('IDEES 2015'!AK$66,'Eurostat-IEA'!$D$2:$L$2,0))*$P90/SUM($P$71,$P$82,$P$90)</f>
        <v>0</v>
      </c>
      <c r="AL90" s="651">
        <f>INDEX('Eurostat-IEA'!$D$4:$L$4,MATCH('IDEES 2015'!AL$66,'Eurostat-IEA'!$D$2:$L$2,0))*$Q90/SUM($Q$71,$Q$82,$Q$90)</f>
        <v>0.16732452876984127</v>
      </c>
      <c r="AM90" s="651">
        <f>INDEX('Eurostat-IEA'!$D$4:$L$4,MATCH('IDEES 2015'!AM$66,'Eurostat-IEA'!$D$2:$L$2,0))*$Q90/SUM($Q$71,$Q$82,$Q$90)</f>
        <v>0.50753782242063494</v>
      </c>
      <c r="AN90" s="652">
        <f>INDEX('Eurostat-IEA'!$D$4:$L$4,MATCH('IDEES 2015'!AN$66,'Eurostat-IEA'!$D$2:$L$2,0))*$Q90/SUM($Q$71,$Q$82,$Q$90)</f>
        <v>0.18282490079365082</v>
      </c>
    </row>
    <row r="91" spans="1:40">
      <c r="B91" s="408"/>
      <c r="C91" s="633" t="s">
        <v>536</v>
      </c>
      <c r="D91" s="649">
        <f t="shared" si="26"/>
        <v>4.28393376</v>
      </c>
      <c r="E91" s="650">
        <f t="shared" si="26"/>
        <v>0.47017764000000006</v>
      </c>
      <c r="F91" s="650">
        <f t="shared" si="26"/>
        <v>0.27004860000000003</v>
      </c>
      <c r="G91" s="651">
        <f>INDEX('Eurostat-IEA'!$D$8:$L$8,MATCH('IDEES 2015'!G$66,'Eurostat-IEA'!$D$2:$L$2,0))</f>
        <v>1.16778</v>
      </c>
      <c r="H91" s="650">
        <f t="shared" si="23"/>
        <v>2.16290088</v>
      </c>
      <c r="I91" s="650">
        <f t="shared" si="23"/>
        <v>0.28595844000000004</v>
      </c>
      <c r="J91" s="650">
        <f t="shared" si="23"/>
        <v>18.133030800000004</v>
      </c>
      <c r="K91" s="650">
        <f t="shared" si="23"/>
        <v>0.44003268000000001</v>
      </c>
      <c r="L91" s="650">
        <f t="shared" si="23"/>
        <v>0</v>
      </c>
      <c r="M91" s="650">
        <f t="shared" si="23"/>
        <v>6.3011340000000002</v>
      </c>
      <c r="N91" s="650">
        <f t="shared" si="23"/>
        <v>3.8937240000000005E-2</v>
      </c>
      <c r="O91" s="650">
        <f t="shared" si="23"/>
        <v>1.7869262400000001</v>
      </c>
      <c r="P91" s="650">
        <f t="shared" si="23"/>
        <v>7.522842240000001</v>
      </c>
      <c r="Q91" s="650">
        <f t="shared" si="23"/>
        <v>0.21813228000000001</v>
      </c>
      <c r="R91" s="650">
        <f t="shared" si="23"/>
        <v>0.21310812000000001</v>
      </c>
      <c r="S91" s="650">
        <f t="shared" si="23"/>
        <v>0.22399379999999999</v>
      </c>
      <c r="T91" s="651">
        <f>INDEX('Eurostat-IEA'!$D$8:$L$8,MATCH('IDEES 2015'!T$66,'Eurostat-IEA'!$D$2:$L$2,0))</f>
        <v>0</v>
      </c>
      <c r="U91" s="650">
        <f t="shared" si="24"/>
        <v>4.1558176800000002</v>
      </c>
      <c r="V91" s="650">
        <f t="shared" si="24"/>
        <v>0</v>
      </c>
      <c r="W91" s="650">
        <f t="shared" si="24"/>
        <v>3.600648E-2</v>
      </c>
      <c r="X91" s="650">
        <f t="shared" si="24"/>
        <v>0</v>
      </c>
      <c r="Y91" s="650">
        <f t="shared" si="24"/>
        <v>0</v>
      </c>
      <c r="Z91" s="650">
        <f t="shared" si="24"/>
        <v>0.86499288000000008</v>
      </c>
      <c r="AA91" s="651">
        <f>INDEX('Eurostat-IEA'!$D$8:$L$8,MATCH('IDEES 2015'!AA$66,'Eurostat-IEA'!$D$2:$L$2,0))</f>
        <v>0</v>
      </c>
      <c r="AB91" s="650">
        <f t="shared" si="25"/>
        <v>0</v>
      </c>
      <c r="AC91" s="650">
        <f t="shared" si="25"/>
        <v>1.4628679200000001</v>
      </c>
      <c r="AD91" s="650">
        <f t="shared" si="25"/>
        <v>0</v>
      </c>
      <c r="AE91" s="650">
        <f t="shared" si="25"/>
        <v>0.43207776000000003</v>
      </c>
      <c r="AF91" s="650">
        <f t="shared" si="25"/>
        <v>0.21185208</v>
      </c>
      <c r="AG91" s="650">
        <f t="shared" si="25"/>
        <v>0</v>
      </c>
      <c r="AH91" s="650">
        <f t="shared" si="25"/>
        <v>3.6408412800000001</v>
      </c>
      <c r="AI91" s="651">
        <f>INDEX('Eurostat-IEA'!$D$8:$L$8,MATCH('IDEES 2015'!AI$66,'Eurostat-IEA'!$D$2:$L$2,0))</f>
        <v>8.3989999999999995E-2</v>
      </c>
      <c r="AJ91" s="651">
        <f>INDEX('Eurostat-IEA'!$D$8:$L$8,MATCH('IDEES 2015'!AJ$66,'Eurostat-IEA'!$D$2:$L$2,0))</f>
        <v>0</v>
      </c>
      <c r="AK91" s="651">
        <f>INDEX('Eurostat-IEA'!$D$8:$L$8,MATCH('IDEES 2015'!AK$66,'Eurostat-IEA'!$D$2:$L$2,0))</f>
        <v>0</v>
      </c>
      <c r="AL91" s="651">
        <f>INDEX('Eurostat-IEA'!$D$8:$L$8,MATCH('IDEES 2015'!AL$66,'Eurostat-IEA'!$D$2:$L$2,0))</f>
        <v>0</v>
      </c>
      <c r="AM91" s="651">
        <f>INDEX('Eurostat-IEA'!$D$8:$L$8,MATCH('IDEES 2015'!AM$66,'Eurostat-IEA'!$D$2:$L$2,0))</f>
        <v>0</v>
      </c>
      <c r="AN91" s="652">
        <f>INDEX('Eurostat-IEA'!$D$8:$L$8,MATCH('IDEES 2015'!AN$66,'Eurostat-IEA'!$D$2:$L$2,0))</f>
        <v>6.9900000000000006E-3</v>
      </c>
    </row>
    <row r="92" spans="1:40">
      <c r="B92" s="547"/>
      <c r="C92" s="619" t="s">
        <v>529</v>
      </c>
      <c r="D92" s="653">
        <f t="shared" si="26"/>
        <v>0.14151384</v>
      </c>
      <c r="E92" s="654">
        <f t="shared" si="26"/>
        <v>0</v>
      </c>
      <c r="F92" s="654">
        <f t="shared" si="26"/>
        <v>0.11848644000000001</v>
      </c>
      <c r="G92" s="655">
        <f>INDEX('Eurostat-IEA'!$D$3:$L$3,MATCH('IDEES 2015'!G$66,'Eurostat-IEA'!$D$2:$L$2,0))*$J92/SUM($J$72,$J$83,$J$92)</f>
        <v>0</v>
      </c>
      <c r="H92" s="654">
        <f t="shared" si="23"/>
        <v>0</v>
      </c>
      <c r="I92" s="654">
        <f t="shared" si="23"/>
        <v>0.68914728000000003</v>
      </c>
      <c r="J92" s="654">
        <f t="shared" si="23"/>
        <v>0</v>
      </c>
      <c r="K92" s="654">
        <f t="shared" si="23"/>
        <v>0</v>
      </c>
      <c r="L92" s="654">
        <f t="shared" si="23"/>
        <v>0</v>
      </c>
      <c r="M92" s="654">
        <f t="shared" si="23"/>
        <v>0</v>
      </c>
      <c r="N92" s="654">
        <f t="shared" si="23"/>
        <v>0</v>
      </c>
      <c r="O92" s="654">
        <f t="shared" si="23"/>
        <v>0</v>
      </c>
      <c r="P92" s="654">
        <f t="shared" si="23"/>
        <v>0</v>
      </c>
      <c r="Q92" s="654">
        <f t="shared" si="23"/>
        <v>0</v>
      </c>
      <c r="R92" s="654">
        <f t="shared" si="23"/>
        <v>4.5217440000000005E-2</v>
      </c>
      <c r="S92" s="654">
        <f t="shared" si="23"/>
        <v>3.2317909199999999</v>
      </c>
      <c r="T92" s="655">
        <f>INDEX('Eurostat-IEA'!$D$3:$L$3,MATCH('IDEES 2015'!T$66,'Eurostat-IEA'!$D$2:$L$2,0))*$N92/SUM($N$72,$N$83,$N$92)</f>
        <v>0</v>
      </c>
      <c r="U92" s="654">
        <f t="shared" si="24"/>
        <v>0</v>
      </c>
      <c r="V92" s="654">
        <f t="shared" si="24"/>
        <v>0</v>
      </c>
      <c r="W92" s="654">
        <f t="shared" si="24"/>
        <v>0</v>
      </c>
      <c r="X92" s="654">
        <f t="shared" si="24"/>
        <v>0</v>
      </c>
      <c r="Y92" s="654">
        <f t="shared" si="24"/>
        <v>0</v>
      </c>
      <c r="Z92" s="654">
        <f t="shared" si="24"/>
        <v>0</v>
      </c>
      <c r="AA92" s="655">
        <f>INDEX('Eurostat-IEA'!$D$3:$L$3,MATCH('IDEES 2015'!AA$66,'Eurostat-IEA'!$D$2:$L$2,0))*$N92/SUM($N$72,$N$83,$N$92)</f>
        <v>0</v>
      </c>
      <c r="AB92" s="654">
        <f t="shared" si="25"/>
        <v>45.479115</v>
      </c>
      <c r="AC92" s="654">
        <f t="shared" si="25"/>
        <v>0</v>
      </c>
      <c r="AD92" s="654">
        <f t="shared" si="25"/>
        <v>0</v>
      </c>
      <c r="AE92" s="654">
        <f t="shared" si="25"/>
        <v>0</v>
      </c>
      <c r="AF92" s="654">
        <f t="shared" si="25"/>
        <v>0</v>
      </c>
      <c r="AG92" s="654">
        <f t="shared" si="25"/>
        <v>0</v>
      </c>
      <c r="AH92" s="654">
        <f t="shared" si="25"/>
        <v>1.3464748799999999</v>
      </c>
      <c r="AI92" s="655">
        <f>INDEX('Eurostat-IEA'!$D$3:$L$3,MATCH('IDEES 2015'!AI$66,'Eurostat-IEA'!$D$2:$L$2,0))*$P92/SUM($P$72,$P$83,$P$92)</f>
        <v>0</v>
      </c>
      <c r="AJ92" s="655">
        <f>INDEX('Eurostat-IEA'!$D$3:$L$3,MATCH('IDEES 2015'!AJ$66,'Eurostat-IEA'!$D$2:$L$2,0))*$Q92/SUM($Q$72,$Q$83,$Q$92)</f>
        <v>0</v>
      </c>
      <c r="AK92" s="655">
        <f>INDEX('Eurostat-IEA'!$D$3:$L$3,MATCH('IDEES 2015'!AK$66,'Eurostat-IEA'!$D$2:$L$2,0))*$P92/SUM($P$72,$P$83,$P$92)</f>
        <v>0</v>
      </c>
      <c r="AL92" s="655">
        <f>INDEX('Eurostat-IEA'!$D$3:$L$3,MATCH('IDEES 2015'!AL$66,'Eurostat-IEA'!$D$2:$L$2,0))*$Q92/SUM($Q$72,$Q$83,$Q$92)</f>
        <v>0</v>
      </c>
      <c r="AM92" s="655">
        <f>INDEX('Eurostat-IEA'!$D$3:$L$3,MATCH('IDEES 2015'!AM$66,'Eurostat-IEA'!$D$2:$L$2,0))*$Q92/SUM($Q$72,$Q$83,$Q$92)</f>
        <v>0</v>
      </c>
      <c r="AN92" s="656">
        <f>INDEX('Eurostat-IEA'!$D$3:$L$3,MATCH('IDEES 2015'!AN$66,'Eurostat-IEA'!$D$2:$L$2,0))*$Q92/SUM($Q$72,$Q$83,$Q$92)</f>
        <v>0</v>
      </c>
    </row>
    <row r="93" spans="1:40">
      <c r="B93" s="636" t="s">
        <v>537</v>
      </c>
      <c r="C93" s="637" t="s">
        <v>510</v>
      </c>
      <c r="D93" s="657">
        <f t="shared" si="26"/>
        <v>34.989924960000003</v>
      </c>
      <c r="E93" s="658">
        <f t="shared" si="26"/>
        <v>44.554669560000008</v>
      </c>
      <c r="F93" s="658">
        <f t="shared" si="26"/>
        <v>17.397828720000003</v>
      </c>
      <c r="G93" s="659">
        <f>INDEX('Eurostat-IEA'!$D$10:$L$10,MATCH('IDEES 2015'!G$66,'Eurostat-IEA'!$D$2:$L$2,0))*$J93/SUM($J$69,$J$74,$J$78,$J$87,$J$93)</f>
        <v>39.728287467787702</v>
      </c>
      <c r="H93" s="658">
        <f t="shared" si="23"/>
        <v>3.4821615600000002</v>
      </c>
      <c r="I93" s="658">
        <f t="shared" si="23"/>
        <v>20.619152640000003</v>
      </c>
      <c r="J93" s="658">
        <f t="shared" si="23"/>
        <v>302.33050272000003</v>
      </c>
      <c r="K93" s="658">
        <f t="shared" si="23"/>
        <v>23.45319756</v>
      </c>
      <c r="L93" s="658">
        <f t="shared" si="23"/>
        <v>4.2596503200000004</v>
      </c>
      <c r="M93" s="658">
        <f t="shared" si="23"/>
        <v>173.91171708000002</v>
      </c>
      <c r="N93" s="658">
        <f t="shared" si="23"/>
        <v>26.998579800000002</v>
      </c>
      <c r="O93" s="658">
        <f t="shared" si="23"/>
        <v>322.93793232000002</v>
      </c>
      <c r="P93" s="658">
        <f t="shared" si="23"/>
        <v>22.234838760000002</v>
      </c>
      <c r="Q93" s="658">
        <f t="shared" si="23"/>
        <v>10.922942519999999</v>
      </c>
      <c r="R93" s="658">
        <f t="shared" si="23"/>
        <v>18.260728199999999</v>
      </c>
      <c r="S93" s="658">
        <f t="shared" si="23"/>
        <v>17.057441880000002</v>
      </c>
      <c r="T93" s="659">
        <f>INDEX('Eurostat-IEA'!$D$10:$L$10,MATCH('IDEES 2015'!T$66,'Eurostat-IEA'!$D$2:$L$2,0))*$N93/SUM($N$69,$N$74,$N$78,$N$87,$N$93)</f>
        <v>1.0604583366118501</v>
      </c>
      <c r="U93" s="658">
        <f t="shared" si="24"/>
        <v>176.83745292</v>
      </c>
      <c r="V93" s="658">
        <f t="shared" si="24"/>
        <v>5.6994908400000002</v>
      </c>
      <c r="W93" s="658">
        <f t="shared" si="24"/>
        <v>2.0850263999999998</v>
      </c>
      <c r="X93" s="658">
        <f t="shared" si="24"/>
        <v>5.2816482000000002</v>
      </c>
      <c r="Y93" s="658">
        <f t="shared" si="24"/>
        <v>1.1534634000000001</v>
      </c>
      <c r="Z93" s="658">
        <f t="shared" si="24"/>
        <v>63.081259560000007</v>
      </c>
      <c r="AA93" s="659">
        <f>INDEX('Eurostat-IEA'!$D$10:$L$10,MATCH('IDEES 2015'!AA$66,'Eurostat-IEA'!$D$2:$L$2,0))*$N93/SUM($N$69,$N$74,$N$78,$N$87,$N$93)</f>
        <v>45.38469927807067</v>
      </c>
      <c r="AB93" s="658">
        <f t="shared" si="25"/>
        <v>64.858974840000002</v>
      </c>
      <c r="AC93" s="658">
        <f t="shared" si="25"/>
        <v>33.5823228</v>
      </c>
      <c r="AD93" s="658">
        <f t="shared" si="25"/>
        <v>33.100422120000005</v>
      </c>
      <c r="AE93" s="658">
        <f t="shared" si="25"/>
        <v>43.116922439999996</v>
      </c>
      <c r="AF93" s="658">
        <f t="shared" si="25"/>
        <v>6.7424227200000004</v>
      </c>
      <c r="AG93" s="658">
        <f t="shared" si="25"/>
        <v>8.7365955599999996</v>
      </c>
      <c r="AH93" s="658">
        <f t="shared" si="25"/>
        <v>238.07024028000001</v>
      </c>
      <c r="AI93" s="659">
        <f>INDEX('Eurostat-IEA'!$D$10:$L$10,MATCH('IDEES 2015'!AI$66,'Eurostat-IEA'!$D$2:$L$2,0))*$P93/SUM($P$69,$P$74,$P$78,$P$87,$P$93)</f>
        <v>3.1745238139713896</v>
      </c>
      <c r="AJ93" s="659">
        <f>INDEX('Eurostat-IEA'!$D$10:$L$10,MATCH('IDEES 2015'!AJ$66,'Eurostat-IEA'!$D$2:$L$2,0))*$Q93/SUM($Q$69,$Q$74,$Q$78,$Q$87,$Q$93)</f>
        <v>7.4655122584762799</v>
      </c>
      <c r="AK93" s="659">
        <f>INDEX('Eurostat-IEA'!$D$10:$L$10,MATCH('IDEES 2015'!AK$66,'Eurostat-IEA'!$D$2:$L$2,0))*$P93/SUM($P$69,$P$74,$P$78,$P$87,$P$93)</f>
        <v>1.5698059914041951</v>
      </c>
      <c r="AL93" s="659">
        <f>INDEX('Eurostat-IEA'!$D$10:$L$10,MATCH('IDEES 2015'!AL$66,'Eurostat-IEA'!$D$2:$L$2,0))*$Q93/SUM($Q$69,$Q$74,$Q$78,$Q$87,$Q$93)</f>
        <v>5.3095852524086791</v>
      </c>
      <c r="AM93" s="659">
        <f>INDEX('Eurostat-IEA'!$D$10:$L$10,MATCH('IDEES 2015'!AM$66,'Eurostat-IEA'!$D$2:$L$2,0))*$Q93/SUM($Q$69,$Q$74,$Q$78,$Q$87,$Q$93)</f>
        <v>24.051203168441482</v>
      </c>
      <c r="AN93" s="660">
        <f>INDEX('Eurostat-IEA'!$D$10:$L$10,MATCH('IDEES 2015'!AN$66,'Eurostat-IEA'!$D$2:$L$2,0))*$Q93/SUM($Q$69,$Q$74,$Q$78,$Q$87,$Q$93)</f>
        <v>3.6826551583346445</v>
      </c>
    </row>
    <row r="94" spans="1:40">
      <c r="B94" s="618" t="s">
        <v>686</v>
      </c>
      <c r="C94" s="619"/>
      <c r="D94" s="661">
        <f>SUM(D67,D73,D75,D84,D93)</f>
        <v>288.72172800000004</v>
      </c>
      <c r="E94" s="661">
        <f t="shared" ref="E94:AG94" si="28">SUM(E67,E73,E75,E84,E93)</f>
        <v>376.36275636000005</v>
      </c>
      <c r="F94" s="661">
        <f t="shared" si="28"/>
        <v>94.053531240000012</v>
      </c>
      <c r="G94" s="661">
        <f>SUM(G67,G73,G75,G84,G93)</f>
        <v>270.46174999999999</v>
      </c>
      <c r="H94" s="661">
        <f t="shared" si="28"/>
        <v>14.840531279999999</v>
      </c>
      <c r="I94" s="661">
        <f t="shared" si="28"/>
        <v>284.01995160000001</v>
      </c>
      <c r="J94" s="661">
        <f t="shared" si="28"/>
        <v>2597.5330066800002</v>
      </c>
      <c r="K94" s="661">
        <f t="shared" si="28"/>
        <v>205.13980224000002</v>
      </c>
      <c r="L94" s="661">
        <f t="shared" si="28"/>
        <v>43.028999640000002</v>
      </c>
      <c r="M94" s="661">
        <f t="shared" si="28"/>
        <v>725.98316508000005</v>
      </c>
      <c r="N94" s="661">
        <f t="shared" si="28"/>
        <v>247.55292360000004</v>
      </c>
      <c r="O94" s="661">
        <f t="shared" si="28"/>
        <v>2003.1480831600002</v>
      </c>
      <c r="P94" s="661">
        <f t="shared" si="28"/>
        <v>193.92755184000004</v>
      </c>
      <c r="Q94" s="661">
        <f t="shared" si="28"/>
        <v>79.128845280000007</v>
      </c>
      <c r="R94" s="661">
        <f t="shared" si="28"/>
        <v>239.43220631999998</v>
      </c>
      <c r="S94" s="661">
        <f t="shared" si="28"/>
        <v>135.69711876</v>
      </c>
      <c r="T94" s="661">
        <f>SUM(T67,T73,T75,T84,T93)</f>
        <v>17.929000000000002</v>
      </c>
      <c r="U94" s="661">
        <f t="shared" si="28"/>
        <v>1319.8974922800001</v>
      </c>
      <c r="V94" s="661">
        <f t="shared" si="28"/>
        <v>66.339427320000013</v>
      </c>
      <c r="W94" s="661">
        <f t="shared" si="28"/>
        <v>20.332356839999999</v>
      </c>
      <c r="X94" s="661">
        <f t="shared" si="28"/>
        <v>63.285994080000002</v>
      </c>
      <c r="Y94" s="661">
        <f t="shared" si="28"/>
        <v>2.5903731600000004</v>
      </c>
      <c r="Z94" s="661">
        <f t="shared" si="28"/>
        <v>482.22955314000001</v>
      </c>
      <c r="AA94" s="661">
        <f>SUM(AA67,AA73,AA75,AA84,AA93)</f>
        <v>185.197</v>
      </c>
      <c r="AB94" s="661">
        <f t="shared" si="28"/>
        <v>879.62448996000012</v>
      </c>
      <c r="AC94" s="661">
        <f t="shared" si="28"/>
        <v>124.88052096</v>
      </c>
      <c r="AD94" s="661">
        <f t="shared" si="28"/>
        <v>348.09766956000004</v>
      </c>
      <c r="AE94" s="661">
        <f t="shared" si="28"/>
        <v>316.4467176</v>
      </c>
      <c r="AF94" s="661">
        <f t="shared" si="28"/>
        <v>53.383374719999999</v>
      </c>
      <c r="AG94" s="661">
        <f t="shared" si="28"/>
        <v>96.600780360000002</v>
      </c>
      <c r="AH94" s="661">
        <f>SUM(AH67,AH73,AH75,AH84,AH93)</f>
        <v>1917.6716303999999</v>
      </c>
      <c r="AI94" s="661">
        <f>SUM(AI67,AI73,AI75,AI84,AI93)</f>
        <v>20.363059999999997</v>
      </c>
      <c r="AJ94" s="661">
        <f>SUM(AJ67,AJ73,AJ75,AJ84,AJ93)</f>
        <v>34.33034</v>
      </c>
      <c r="AK94" s="661">
        <f t="shared" ref="AK94:AM94" si="29">SUM(AK67,AK73,AK75,AK84,AK93)</f>
        <v>14.122999999999998</v>
      </c>
      <c r="AL94" s="661">
        <f t="shared" si="29"/>
        <v>22.476999999999997</v>
      </c>
      <c r="AM94" s="661">
        <f t="shared" si="29"/>
        <v>129.614</v>
      </c>
      <c r="AN94" s="662">
        <f>SUM(AN67,AN73,AN75,AN84,AN93)</f>
        <v>19.326089999999997</v>
      </c>
    </row>
    <row r="95" spans="1:40">
      <c r="B95" s="542"/>
      <c r="D95" s="644"/>
      <c r="E95" s="644"/>
      <c r="F95" s="644"/>
      <c r="G95" s="644"/>
      <c r="H95" s="644"/>
      <c r="I95" s="644"/>
      <c r="J95" s="644"/>
      <c r="K95" s="644"/>
      <c r="L95" s="644"/>
      <c r="M95" s="644"/>
      <c r="N95" s="644"/>
      <c r="O95" s="644"/>
      <c r="P95" s="644"/>
      <c r="Q95" s="644"/>
      <c r="R95" s="644"/>
      <c r="S95" s="644"/>
      <c r="T95" s="644"/>
      <c r="U95" s="644"/>
      <c r="V95" s="644"/>
      <c r="W95" s="644"/>
      <c r="X95" s="644"/>
      <c r="Y95" s="644"/>
      <c r="Z95" s="644"/>
      <c r="AA95" s="644"/>
      <c r="AB95" s="644"/>
      <c r="AC95" s="644"/>
      <c r="AD95" s="644"/>
      <c r="AE95" s="644"/>
      <c r="AF95" s="644"/>
      <c r="AG95" s="644"/>
      <c r="AH95" s="644"/>
      <c r="AI95" s="644"/>
      <c r="AJ95" s="644"/>
      <c r="AK95" s="644"/>
      <c r="AL95" s="644"/>
      <c r="AM95" s="644"/>
      <c r="AN95" s="644"/>
    </row>
    <row r="96" spans="1:40" ht="21">
      <c r="A96" s="3" t="s">
        <v>689</v>
      </c>
      <c r="B96" s="606"/>
      <c r="C96" s="606"/>
      <c r="D96" s="630"/>
      <c r="E96" s="467"/>
      <c r="F96" s="467"/>
      <c r="G96" s="467"/>
      <c r="H96" s="467"/>
      <c r="I96" s="467"/>
      <c r="J96" s="467"/>
      <c r="K96" s="467"/>
      <c r="L96" s="467"/>
      <c r="M96" s="693"/>
      <c r="N96" s="467"/>
      <c r="O96" s="467"/>
      <c r="P96" s="467"/>
      <c r="Q96" s="467"/>
      <c r="R96" s="467"/>
      <c r="S96" s="467"/>
      <c r="T96" s="467"/>
      <c r="U96" s="467"/>
      <c r="V96" s="467"/>
      <c r="W96" s="467"/>
      <c r="X96" s="467"/>
      <c r="Y96" s="467"/>
      <c r="Z96" s="467"/>
      <c r="AA96" s="467"/>
      <c r="AB96" s="467"/>
      <c r="AC96" s="467"/>
      <c r="AD96" s="467"/>
      <c r="AE96" s="467"/>
      <c r="AF96" s="467"/>
      <c r="AG96" s="467"/>
      <c r="AH96" s="467"/>
      <c r="AI96" s="467"/>
      <c r="AJ96" s="467"/>
      <c r="AK96" s="467"/>
      <c r="AL96" s="467"/>
      <c r="AM96" s="467"/>
      <c r="AN96" s="467"/>
    </row>
    <row r="97" spans="1:40">
      <c r="A97" t="s">
        <v>693</v>
      </c>
      <c r="B97" s="606"/>
      <c r="C97" s="606"/>
      <c r="D97" s="630"/>
      <c r="E97" s="467"/>
      <c r="F97" s="467"/>
      <c r="G97" s="467"/>
      <c r="H97" s="467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67"/>
      <c r="X97" s="467"/>
      <c r="Y97" s="467"/>
      <c r="Z97" s="467"/>
      <c r="AA97" s="467"/>
      <c r="AB97" s="467"/>
      <c r="AC97" s="467"/>
      <c r="AD97" s="467"/>
      <c r="AE97" s="467"/>
      <c r="AF97" s="467"/>
      <c r="AG97" s="467"/>
      <c r="AH97" s="467"/>
      <c r="AI97" s="467"/>
      <c r="AJ97" s="467"/>
      <c r="AK97" s="467"/>
      <c r="AL97" s="467"/>
      <c r="AM97" s="467"/>
      <c r="AN97" s="467"/>
    </row>
    <row r="98" spans="1:40">
      <c r="B98" t="s">
        <v>688</v>
      </c>
      <c r="D98" s="247" t="s">
        <v>88</v>
      </c>
      <c r="E98" s="248" t="s">
        <v>89</v>
      </c>
      <c r="F98" s="248" t="s">
        <v>90</v>
      </c>
      <c r="G98" s="248" t="s">
        <v>91</v>
      </c>
      <c r="H98" s="248" t="s">
        <v>92</v>
      </c>
      <c r="I98" s="248" t="s">
        <v>93</v>
      </c>
      <c r="J98" s="248" t="s">
        <v>94</v>
      </c>
      <c r="K98" s="248" t="s">
        <v>95</v>
      </c>
      <c r="L98" s="248" t="s">
        <v>96</v>
      </c>
      <c r="M98" s="248" t="s">
        <v>97</v>
      </c>
      <c r="N98" s="248" t="s">
        <v>98</v>
      </c>
      <c r="O98" s="248" t="s">
        <v>99</v>
      </c>
      <c r="P98" s="248" t="s">
        <v>205</v>
      </c>
      <c r="Q98" s="248" t="s">
        <v>118</v>
      </c>
      <c r="R98" s="248" t="s">
        <v>100</v>
      </c>
      <c r="S98" s="248" t="s">
        <v>101</v>
      </c>
      <c r="T98" s="248" t="s">
        <v>102</v>
      </c>
      <c r="U98" s="248" t="s">
        <v>103</v>
      </c>
      <c r="V98" s="248" t="s">
        <v>104</v>
      </c>
      <c r="W98" s="248" t="s">
        <v>105</v>
      </c>
      <c r="X98" s="248" t="s">
        <v>106</v>
      </c>
      <c r="Y98" s="248" t="s">
        <v>107</v>
      </c>
      <c r="Z98" s="248" t="s">
        <v>108</v>
      </c>
      <c r="AA98" s="248" t="s">
        <v>109</v>
      </c>
      <c r="AB98" s="248" t="s">
        <v>110</v>
      </c>
      <c r="AC98" s="248" t="s">
        <v>111</v>
      </c>
      <c r="AD98" s="248" t="s">
        <v>112</v>
      </c>
      <c r="AE98" s="248" t="s">
        <v>113</v>
      </c>
      <c r="AF98" s="248" t="s">
        <v>114</v>
      </c>
      <c r="AG98" s="248" t="s">
        <v>115</v>
      </c>
      <c r="AH98" s="248" t="s">
        <v>52</v>
      </c>
      <c r="AI98" s="248" t="s">
        <v>116</v>
      </c>
      <c r="AJ98" s="248" t="s">
        <v>117</v>
      </c>
      <c r="AK98" s="248" t="s">
        <v>119</v>
      </c>
      <c r="AL98" s="248" t="s">
        <v>120</v>
      </c>
      <c r="AM98" s="248" t="s">
        <v>121</v>
      </c>
      <c r="AN98" s="249" t="s">
        <v>122</v>
      </c>
    </row>
    <row r="99" spans="1:40">
      <c r="B99" s="631" t="s">
        <v>524</v>
      </c>
      <c r="C99" s="632" t="s">
        <v>525</v>
      </c>
      <c r="D99" s="645">
        <f>D36*(41.868/1000)</f>
        <v>8.9840354400000013</v>
      </c>
      <c r="E99" s="646">
        <f t="shared" ref="E99:F99" si="30">E36*(41.868/1000)</f>
        <v>11.73685644</v>
      </c>
      <c r="F99" s="646">
        <f t="shared" si="30"/>
        <v>6.3199746000000001</v>
      </c>
      <c r="G99" s="647">
        <f>SUM(G100:G104)</f>
        <v>13.47181396218331</v>
      </c>
      <c r="H99" s="646">
        <f t="shared" ref="H99:S114" si="31">H36*(41.868/1000)</f>
        <v>0.93491243999999996</v>
      </c>
      <c r="I99" s="646">
        <f t="shared" si="31"/>
        <v>10.871026199999999</v>
      </c>
      <c r="J99" s="646">
        <f t="shared" si="31"/>
        <v>111.52169820000002</v>
      </c>
      <c r="K99" s="646">
        <f t="shared" si="31"/>
        <v>7.3599757200000004</v>
      </c>
      <c r="L99" s="646">
        <f t="shared" si="31"/>
        <v>1.8024173999999999</v>
      </c>
      <c r="M99" s="646">
        <f t="shared" si="31"/>
        <v>40.229705160000002</v>
      </c>
      <c r="N99" s="646">
        <f t="shared" si="31"/>
        <v>6.5707639200000001</v>
      </c>
      <c r="O99" s="646">
        <f t="shared" si="31"/>
        <v>97.999590240000003</v>
      </c>
      <c r="P99" s="646">
        <f t="shared" si="31"/>
        <v>15.867553320000001</v>
      </c>
      <c r="Q99" s="646">
        <f t="shared" si="31"/>
        <v>4.2261559200000001</v>
      </c>
      <c r="R99" s="646">
        <f t="shared" si="31"/>
        <v>9.3805254000000016</v>
      </c>
      <c r="S99" s="646">
        <f t="shared" si="31"/>
        <v>3.9029349600000001</v>
      </c>
      <c r="T99" s="647">
        <f>SUM(T100:T104)</f>
        <v>0.26089896923440081</v>
      </c>
      <c r="U99" s="646">
        <f t="shared" ref="U99:Z111" si="32">U36*(41.868/1000)</f>
        <v>56.288595240000006</v>
      </c>
      <c r="V99" s="646">
        <f t="shared" si="32"/>
        <v>2.6937871200000001</v>
      </c>
      <c r="W99" s="646">
        <f t="shared" si="32"/>
        <v>0.54428399999999999</v>
      </c>
      <c r="X99" s="646">
        <f t="shared" si="32"/>
        <v>1.5625137600000001</v>
      </c>
      <c r="Y99" s="646">
        <f t="shared" si="32"/>
        <v>0.26502444000000003</v>
      </c>
      <c r="Z99" s="646">
        <f t="shared" si="32"/>
        <v>19.069199279999999</v>
      </c>
      <c r="AA99" s="647">
        <f>SUM(AA100:AA104)</f>
        <v>10.947141860139133</v>
      </c>
      <c r="AB99" s="646">
        <f t="shared" ref="AB99:AH114" si="33">AB36*(41.868/1000)</f>
        <v>35.708798520000002</v>
      </c>
      <c r="AC99" s="646">
        <f t="shared" si="33"/>
        <v>19.992388680000001</v>
      </c>
      <c r="AD99" s="646">
        <f t="shared" si="33"/>
        <v>12.7132182</v>
      </c>
      <c r="AE99" s="646">
        <f t="shared" si="33"/>
        <v>11.05859484</v>
      </c>
      <c r="AF99" s="646">
        <f t="shared" si="33"/>
        <v>1.6881177600000001</v>
      </c>
      <c r="AG99" s="646">
        <f t="shared" si="33"/>
        <v>4.14241992</v>
      </c>
      <c r="AH99" s="646">
        <f t="shared" si="33"/>
        <v>42.602364720000004</v>
      </c>
      <c r="AI99" s="647">
        <f t="shared" ref="AI99:AN99" si="34">SUM(AI100:AI104)</f>
        <v>2.981103648085921</v>
      </c>
      <c r="AJ99" s="647">
        <f t="shared" si="34"/>
        <v>2.1059439876309751</v>
      </c>
      <c r="AK99" s="647">
        <f t="shared" si="34"/>
        <v>1.2147445348800585</v>
      </c>
      <c r="AL99" s="647">
        <f t="shared" si="34"/>
        <v>1.5497561949143386</v>
      </c>
      <c r="AM99" s="647">
        <f t="shared" si="34"/>
        <v>7.0975925139227147</v>
      </c>
      <c r="AN99" s="647">
        <f t="shared" si="34"/>
        <v>1.1068618693027779</v>
      </c>
    </row>
    <row r="100" spans="1:40">
      <c r="B100" s="408"/>
      <c r="C100" s="633" t="s">
        <v>526</v>
      </c>
      <c r="D100" s="649">
        <f t="shared" ref="D100:F115" si="35">D37*(41.868/1000)</f>
        <v>0.29223864000000005</v>
      </c>
      <c r="E100" s="650">
        <f t="shared" si="35"/>
        <v>0</v>
      </c>
      <c r="F100" s="650">
        <f t="shared" si="35"/>
        <v>0.23571684000000001</v>
      </c>
      <c r="G100" s="651">
        <f t="shared" ref="G100:G124" si="36">IFERROR(G68*G130,0)</f>
        <v>0</v>
      </c>
      <c r="H100" s="650">
        <f t="shared" si="31"/>
        <v>0</v>
      </c>
      <c r="I100" s="650">
        <f t="shared" si="31"/>
        <v>0.22273776000000003</v>
      </c>
      <c r="J100" s="650">
        <f t="shared" si="31"/>
        <v>0</v>
      </c>
      <c r="K100" s="650">
        <f t="shared" si="31"/>
        <v>0</v>
      </c>
      <c r="L100" s="650">
        <f t="shared" si="31"/>
        <v>7.95492E-2</v>
      </c>
      <c r="M100" s="650">
        <f t="shared" si="31"/>
        <v>0.37723068000000004</v>
      </c>
      <c r="N100" s="650">
        <f t="shared" si="31"/>
        <v>0</v>
      </c>
      <c r="O100" s="650">
        <f t="shared" si="31"/>
        <v>0</v>
      </c>
      <c r="P100" s="650">
        <f t="shared" si="31"/>
        <v>0.51497640000000011</v>
      </c>
      <c r="Q100" s="650">
        <f t="shared" si="31"/>
        <v>0</v>
      </c>
      <c r="R100" s="650">
        <f t="shared" si="31"/>
        <v>0.19677960000000003</v>
      </c>
      <c r="S100" s="650">
        <f t="shared" si="31"/>
        <v>0</v>
      </c>
      <c r="T100" s="651">
        <f t="shared" ref="T100:T124" si="37">IFERROR(T68*T130,0)</f>
        <v>0</v>
      </c>
      <c r="U100" s="650">
        <f t="shared" si="32"/>
        <v>0</v>
      </c>
      <c r="V100" s="650">
        <f t="shared" si="32"/>
        <v>0.23822892000000004</v>
      </c>
      <c r="W100" s="650">
        <f t="shared" si="32"/>
        <v>0</v>
      </c>
      <c r="X100" s="650">
        <f t="shared" si="32"/>
        <v>0.31233527999999999</v>
      </c>
      <c r="Y100" s="650">
        <f t="shared" si="32"/>
        <v>0</v>
      </c>
      <c r="Z100" s="650">
        <f t="shared" si="32"/>
        <v>0</v>
      </c>
      <c r="AA100" s="651">
        <f t="shared" ref="AA100:AA124" si="38">IFERROR(AA68*AA130,0)</f>
        <v>0</v>
      </c>
      <c r="AB100" s="650">
        <f t="shared" si="33"/>
        <v>0.76199760000000005</v>
      </c>
      <c r="AC100" s="650">
        <f t="shared" si="33"/>
        <v>3.6249314400000001</v>
      </c>
      <c r="AD100" s="650">
        <f t="shared" si="33"/>
        <v>3.4478298000000001</v>
      </c>
      <c r="AE100" s="650">
        <f t="shared" si="33"/>
        <v>0</v>
      </c>
      <c r="AF100" s="650">
        <f t="shared" si="33"/>
        <v>0.15616764</v>
      </c>
      <c r="AG100" s="650">
        <f t="shared" si="33"/>
        <v>0</v>
      </c>
      <c r="AH100" s="650">
        <f t="shared" si="33"/>
        <v>0</v>
      </c>
      <c r="AI100" s="651">
        <f t="shared" ref="AI100:AN115" si="39">IFERROR(AI68*AI130,0)</f>
        <v>0.1529497179836512</v>
      </c>
      <c r="AJ100" s="651">
        <f t="shared" si="39"/>
        <v>0</v>
      </c>
      <c r="AK100" s="651">
        <f t="shared" si="39"/>
        <v>0.19146702997275206</v>
      </c>
      <c r="AL100" s="651">
        <f t="shared" si="39"/>
        <v>0</v>
      </c>
      <c r="AM100" s="651">
        <f t="shared" si="39"/>
        <v>0</v>
      </c>
      <c r="AN100" s="652">
        <f t="shared" si="39"/>
        <v>0</v>
      </c>
    </row>
    <row r="101" spans="1:40">
      <c r="B101" s="408"/>
      <c r="C101" s="633" t="s">
        <v>510</v>
      </c>
      <c r="D101" s="649">
        <f t="shared" si="35"/>
        <v>7.812150120000001</v>
      </c>
      <c r="E101" s="650">
        <f t="shared" si="35"/>
        <v>8.6298321600000012</v>
      </c>
      <c r="F101" s="650">
        <f t="shared" si="35"/>
        <v>5.5278320400000007</v>
      </c>
      <c r="G101" s="651">
        <f t="shared" si="36"/>
        <v>13.392303461047716</v>
      </c>
      <c r="H101" s="650">
        <f t="shared" si="31"/>
        <v>0.37136915999999998</v>
      </c>
      <c r="I101" s="650">
        <f t="shared" si="31"/>
        <v>8.4816194400000011</v>
      </c>
      <c r="J101" s="650">
        <f t="shared" si="31"/>
        <v>101.7266796</v>
      </c>
      <c r="K101" s="650">
        <f t="shared" si="31"/>
        <v>6.9216177600000002</v>
      </c>
      <c r="L101" s="650">
        <f t="shared" si="31"/>
        <v>1.6211289600000001</v>
      </c>
      <c r="M101" s="650">
        <f t="shared" si="31"/>
        <v>23.492553480000002</v>
      </c>
      <c r="N101" s="650">
        <f t="shared" si="31"/>
        <v>6.4870279200000001</v>
      </c>
      <c r="O101" s="650">
        <f t="shared" si="31"/>
        <v>74.420370000000005</v>
      </c>
      <c r="P101" s="650">
        <f t="shared" si="31"/>
        <v>14.54243112</v>
      </c>
      <c r="Q101" s="650">
        <f t="shared" si="31"/>
        <v>3.0333366000000002</v>
      </c>
      <c r="R101" s="650">
        <f t="shared" si="31"/>
        <v>4.5778471200000004</v>
      </c>
      <c r="S101" s="650">
        <f t="shared" si="31"/>
        <v>2.9659291200000002</v>
      </c>
      <c r="T101" s="651">
        <f t="shared" si="37"/>
        <v>0.2537462931780628</v>
      </c>
      <c r="U101" s="650">
        <f t="shared" si="32"/>
        <v>15.299823240000002</v>
      </c>
      <c r="V101" s="650">
        <f t="shared" si="32"/>
        <v>1.9154610000000001</v>
      </c>
      <c r="W101" s="650">
        <f t="shared" si="32"/>
        <v>0.38518560000000002</v>
      </c>
      <c r="X101" s="650">
        <f t="shared" si="32"/>
        <v>0.86373684000000006</v>
      </c>
      <c r="Y101" s="650">
        <f t="shared" si="32"/>
        <v>0.11806775999999999</v>
      </c>
      <c r="Z101" s="650">
        <f t="shared" si="32"/>
        <v>12.335568840000001</v>
      </c>
      <c r="AA101" s="651">
        <f t="shared" si="38"/>
        <v>10.859643242190575</v>
      </c>
      <c r="AB101" s="650">
        <f t="shared" si="33"/>
        <v>21.63152088</v>
      </c>
      <c r="AC101" s="650">
        <f t="shared" si="33"/>
        <v>8.6214585600000007</v>
      </c>
      <c r="AD101" s="650">
        <f t="shared" si="33"/>
        <v>1.9698894</v>
      </c>
      <c r="AE101" s="650">
        <f t="shared" si="33"/>
        <v>10.98532584</v>
      </c>
      <c r="AF101" s="650">
        <f t="shared" si="33"/>
        <v>1.00734408</v>
      </c>
      <c r="AG101" s="650">
        <f t="shared" si="33"/>
        <v>2.7046728</v>
      </c>
      <c r="AH101" s="650">
        <f t="shared" si="33"/>
        <v>24.482313000000001</v>
      </c>
      <c r="AI101" s="651">
        <f t="shared" si="39"/>
        <v>2.0693122751581243</v>
      </c>
      <c r="AJ101" s="651">
        <f t="shared" si="39"/>
        <v>2.066372181582123</v>
      </c>
      <c r="AK101" s="651">
        <f t="shared" si="39"/>
        <v>1.0232775049073064</v>
      </c>
      <c r="AL101" s="651">
        <f t="shared" si="39"/>
        <v>1.4696351544877513</v>
      </c>
      <c r="AM101" s="651">
        <f t="shared" si="39"/>
        <v>6.657110113833081</v>
      </c>
      <c r="AN101" s="652">
        <f t="shared" si="39"/>
        <v>1.0193186897392859</v>
      </c>
    </row>
    <row r="102" spans="1:40">
      <c r="B102" s="408"/>
      <c r="C102" s="633" t="s">
        <v>527</v>
      </c>
      <c r="D102" s="649">
        <f t="shared" si="35"/>
        <v>0.57401028000000009</v>
      </c>
      <c r="E102" s="650">
        <f t="shared" si="35"/>
        <v>2.6439642000000001</v>
      </c>
      <c r="F102" s="650">
        <f t="shared" si="35"/>
        <v>7.9130519999999996E-2</v>
      </c>
      <c r="G102" s="651">
        <f t="shared" si="36"/>
        <v>7.9510501135593575E-2</v>
      </c>
      <c r="H102" s="650">
        <f t="shared" si="31"/>
        <v>0</v>
      </c>
      <c r="I102" s="650">
        <f t="shared" si="31"/>
        <v>2.1289878</v>
      </c>
      <c r="J102" s="650">
        <f t="shared" si="31"/>
        <v>1.58721588</v>
      </c>
      <c r="K102" s="650">
        <f t="shared" si="31"/>
        <v>0.20724660000000003</v>
      </c>
      <c r="L102" s="650">
        <f t="shared" si="31"/>
        <v>4.5636120000000009E-2</v>
      </c>
      <c r="M102" s="650">
        <f t="shared" si="31"/>
        <v>10.801944000000001</v>
      </c>
      <c r="N102" s="650">
        <f t="shared" si="31"/>
        <v>1.8840600000000002E-2</v>
      </c>
      <c r="O102" s="650">
        <f t="shared" si="31"/>
        <v>12.47624532</v>
      </c>
      <c r="P102" s="650">
        <f t="shared" si="31"/>
        <v>0.34038684000000008</v>
      </c>
      <c r="Q102" s="650">
        <f t="shared" si="31"/>
        <v>0.55140156000000007</v>
      </c>
      <c r="R102" s="650">
        <f t="shared" si="31"/>
        <v>3.5822260800000003</v>
      </c>
      <c r="S102" s="650">
        <f t="shared" si="31"/>
        <v>0.61252884000000007</v>
      </c>
      <c r="T102" s="651">
        <f t="shared" si="37"/>
        <v>0</v>
      </c>
      <c r="U102" s="650">
        <f t="shared" si="32"/>
        <v>32.186862359999999</v>
      </c>
      <c r="V102" s="650">
        <f t="shared" si="32"/>
        <v>0.12811608000000002</v>
      </c>
      <c r="W102" s="650">
        <f t="shared" si="32"/>
        <v>0.13481496000000001</v>
      </c>
      <c r="X102" s="650">
        <f t="shared" si="32"/>
        <v>0.115137</v>
      </c>
      <c r="Y102" s="650">
        <f t="shared" si="32"/>
        <v>0</v>
      </c>
      <c r="Z102" s="650">
        <f t="shared" si="32"/>
        <v>6.3170438400000002</v>
      </c>
      <c r="AA102" s="651">
        <f t="shared" si="38"/>
        <v>1.5110123147568356E-3</v>
      </c>
      <c r="AB102" s="650">
        <f t="shared" si="33"/>
        <v>3.95401392</v>
      </c>
      <c r="AC102" s="650">
        <f t="shared" si="33"/>
        <v>1.62908388</v>
      </c>
      <c r="AD102" s="650">
        <f t="shared" si="33"/>
        <v>3.80621988</v>
      </c>
      <c r="AE102" s="650">
        <f t="shared" si="33"/>
        <v>7.3269000000000001E-2</v>
      </c>
      <c r="AF102" s="650">
        <f t="shared" si="33"/>
        <v>0.14318855999999999</v>
      </c>
      <c r="AG102" s="650">
        <f t="shared" si="33"/>
        <v>1.2874410000000001</v>
      </c>
      <c r="AH102" s="650">
        <f t="shared" si="33"/>
        <v>16.7911614</v>
      </c>
      <c r="AI102" s="651">
        <f t="shared" si="39"/>
        <v>0</v>
      </c>
      <c r="AJ102" s="651">
        <f t="shared" si="39"/>
        <v>3.9571806048852257E-2</v>
      </c>
      <c r="AK102" s="651">
        <f t="shared" si="39"/>
        <v>0</v>
      </c>
      <c r="AL102" s="651">
        <f t="shared" si="39"/>
        <v>0</v>
      </c>
      <c r="AM102" s="651">
        <f t="shared" si="39"/>
        <v>0.19745492117098293</v>
      </c>
      <c r="AN102" s="652">
        <f t="shared" si="39"/>
        <v>0</v>
      </c>
    </row>
    <row r="103" spans="1:40">
      <c r="B103" s="408"/>
      <c r="C103" s="633" t="s">
        <v>528</v>
      </c>
      <c r="D103" s="649">
        <f t="shared" si="35"/>
        <v>0.29726279999999999</v>
      </c>
      <c r="E103" s="650">
        <f t="shared" si="35"/>
        <v>0.46306008000000004</v>
      </c>
      <c r="F103" s="650">
        <f t="shared" si="35"/>
        <v>0.34834176000000006</v>
      </c>
      <c r="G103" s="651">
        <f t="shared" si="36"/>
        <v>0</v>
      </c>
      <c r="H103" s="650">
        <f t="shared" si="31"/>
        <v>0.5639619600000001</v>
      </c>
      <c r="I103" s="650">
        <f t="shared" si="31"/>
        <v>3.7681200000000005E-2</v>
      </c>
      <c r="J103" s="650">
        <f t="shared" si="31"/>
        <v>8.2078027200000001</v>
      </c>
      <c r="K103" s="650">
        <f t="shared" si="31"/>
        <v>0.23111135999999999</v>
      </c>
      <c r="L103" s="650">
        <f t="shared" si="31"/>
        <v>5.5684440000000009E-2</v>
      </c>
      <c r="M103" s="650">
        <f t="shared" si="31"/>
        <v>5.367896280000001</v>
      </c>
      <c r="N103" s="650">
        <f t="shared" si="31"/>
        <v>6.4895400000000006E-2</v>
      </c>
      <c r="O103" s="650">
        <f t="shared" si="31"/>
        <v>11.102974920000001</v>
      </c>
      <c r="P103" s="650">
        <f t="shared" si="31"/>
        <v>0.46934028000000005</v>
      </c>
      <c r="Q103" s="650">
        <f t="shared" si="31"/>
        <v>0.64141776000000006</v>
      </c>
      <c r="R103" s="650">
        <f t="shared" si="31"/>
        <v>1.0144616400000002</v>
      </c>
      <c r="S103" s="650">
        <f t="shared" si="31"/>
        <v>0.32489568000000002</v>
      </c>
      <c r="T103" s="651">
        <f t="shared" si="37"/>
        <v>7.1526760563380273E-3</v>
      </c>
      <c r="U103" s="650">
        <f t="shared" si="32"/>
        <v>8.8014909600000006</v>
      </c>
      <c r="V103" s="650">
        <f t="shared" si="32"/>
        <v>0.41198112000000003</v>
      </c>
      <c r="W103" s="650">
        <f t="shared" si="32"/>
        <v>2.3864759999999999E-2</v>
      </c>
      <c r="X103" s="650">
        <f t="shared" si="32"/>
        <v>0.27172332000000005</v>
      </c>
      <c r="Y103" s="650">
        <f t="shared" si="32"/>
        <v>0.14737536000000001</v>
      </c>
      <c r="Z103" s="650">
        <f t="shared" si="32"/>
        <v>0.41637726000000003</v>
      </c>
      <c r="AA103" s="651">
        <f t="shared" si="38"/>
        <v>8.5987605633802811E-2</v>
      </c>
      <c r="AB103" s="650">
        <f t="shared" si="33"/>
        <v>7.0350800400000004</v>
      </c>
      <c r="AC103" s="650">
        <f t="shared" si="33"/>
        <v>6.1169148</v>
      </c>
      <c r="AD103" s="650">
        <f t="shared" si="33"/>
        <v>3.4892791200000004</v>
      </c>
      <c r="AE103" s="650">
        <f t="shared" si="33"/>
        <v>0</v>
      </c>
      <c r="AF103" s="650">
        <f t="shared" si="33"/>
        <v>0.38141747999999998</v>
      </c>
      <c r="AG103" s="650">
        <f t="shared" si="33"/>
        <v>0.15030612000000002</v>
      </c>
      <c r="AH103" s="650">
        <f t="shared" si="33"/>
        <v>1.32889032</v>
      </c>
      <c r="AI103" s="651">
        <f t="shared" si="39"/>
        <v>0.75884165494414546</v>
      </c>
      <c r="AJ103" s="651">
        <f t="shared" si="39"/>
        <v>0</v>
      </c>
      <c r="AK103" s="651">
        <f t="shared" si="39"/>
        <v>0</v>
      </c>
      <c r="AL103" s="651">
        <f t="shared" si="39"/>
        <v>8.0121040426587298E-2</v>
      </c>
      <c r="AM103" s="651">
        <f t="shared" si="39"/>
        <v>0.24302747891865076</v>
      </c>
      <c r="AN103" s="652">
        <f t="shared" si="39"/>
        <v>8.7543179563492057E-2</v>
      </c>
    </row>
    <row r="104" spans="1:40">
      <c r="B104" s="547"/>
      <c r="C104" s="619" t="s">
        <v>529</v>
      </c>
      <c r="D104" s="653">
        <f t="shared" si="35"/>
        <v>8.3736000000000001E-3</v>
      </c>
      <c r="E104" s="654">
        <f t="shared" si="35"/>
        <v>0</v>
      </c>
      <c r="F104" s="654">
        <f t="shared" si="35"/>
        <v>0.12895344</v>
      </c>
      <c r="G104" s="655">
        <f t="shared" si="36"/>
        <v>0</v>
      </c>
      <c r="H104" s="654">
        <f t="shared" si="31"/>
        <v>0</v>
      </c>
      <c r="I104" s="654">
        <f t="shared" si="31"/>
        <v>0</v>
      </c>
      <c r="J104" s="654">
        <f t="shared" si="31"/>
        <v>0</v>
      </c>
      <c r="K104" s="654">
        <f t="shared" si="31"/>
        <v>0</v>
      </c>
      <c r="L104" s="654">
        <f t="shared" si="31"/>
        <v>0</v>
      </c>
      <c r="M104" s="654">
        <f t="shared" si="31"/>
        <v>0.19008072000000001</v>
      </c>
      <c r="N104" s="654">
        <f t="shared" si="31"/>
        <v>0</v>
      </c>
      <c r="O104" s="654">
        <f t="shared" si="31"/>
        <v>0</v>
      </c>
      <c r="P104" s="654">
        <f t="shared" si="31"/>
        <v>0</v>
      </c>
      <c r="Q104" s="654">
        <f t="shared" si="31"/>
        <v>0</v>
      </c>
      <c r="R104" s="654">
        <f t="shared" si="31"/>
        <v>9.2109600000000007E-3</v>
      </c>
      <c r="S104" s="654">
        <f t="shared" si="31"/>
        <v>0</v>
      </c>
      <c r="T104" s="655">
        <f t="shared" si="37"/>
        <v>0</v>
      </c>
      <c r="U104" s="654">
        <f t="shared" si="32"/>
        <v>0</v>
      </c>
      <c r="V104" s="654">
        <f t="shared" si="32"/>
        <v>0</v>
      </c>
      <c r="W104" s="654">
        <f t="shared" si="32"/>
        <v>0</v>
      </c>
      <c r="X104" s="654">
        <f t="shared" si="32"/>
        <v>0</v>
      </c>
      <c r="Y104" s="654">
        <f t="shared" si="32"/>
        <v>0</v>
      </c>
      <c r="Z104" s="654">
        <f t="shared" si="32"/>
        <v>0</v>
      </c>
      <c r="AA104" s="655">
        <f t="shared" si="38"/>
        <v>0</v>
      </c>
      <c r="AB104" s="654">
        <f t="shared" si="33"/>
        <v>2.3261860800000003</v>
      </c>
      <c r="AC104" s="654">
        <f t="shared" si="33"/>
        <v>0</v>
      </c>
      <c r="AD104" s="654">
        <f t="shared" si="33"/>
        <v>0</v>
      </c>
      <c r="AE104" s="654">
        <f t="shared" si="33"/>
        <v>0</v>
      </c>
      <c r="AF104" s="654">
        <f t="shared" si="33"/>
        <v>0</v>
      </c>
      <c r="AG104" s="654">
        <f t="shared" si="33"/>
        <v>0</v>
      </c>
      <c r="AH104" s="654">
        <f t="shared" si="33"/>
        <v>0</v>
      </c>
      <c r="AI104" s="655">
        <f t="shared" si="39"/>
        <v>0</v>
      </c>
      <c r="AJ104" s="655">
        <f t="shared" si="39"/>
        <v>0</v>
      </c>
      <c r="AK104" s="655">
        <f t="shared" si="39"/>
        <v>0</v>
      </c>
      <c r="AL104" s="655">
        <f t="shared" si="39"/>
        <v>0</v>
      </c>
      <c r="AM104" s="655">
        <f t="shared" si="39"/>
        <v>0</v>
      </c>
      <c r="AN104" s="656">
        <f t="shared" si="39"/>
        <v>0</v>
      </c>
    </row>
    <row r="105" spans="1:40">
      <c r="B105" s="634" t="s">
        <v>530</v>
      </c>
      <c r="C105" s="635" t="s">
        <v>525</v>
      </c>
      <c r="D105" s="645">
        <f t="shared" si="35"/>
        <v>0.69626484</v>
      </c>
      <c r="E105" s="646">
        <f t="shared" si="35"/>
        <v>3.1815493199999998</v>
      </c>
      <c r="F105" s="646">
        <f t="shared" si="35"/>
        <v>0.71761752000000012</v>
      </c>
      <c r="G105" s="647">
        <f>G106</f>
        <v>0.92064968418065962</v>
      </c>
      <c r="H105" s="646">
        <f t="shared" si="31"/>
        <v>1.9183917600000002</v>
      </c>
      <c r="I105" s="646">
        <f t="shared" si="31"/>
        <v>0.15867972000000002</v>
      </c>
      <c r="J105" s="646">
        <f t="shared" si="31"/>
        <v>7.0049350800000001</v>
      </c>
      <c r="K105" s="646">
        <f t="shared" si="31"/>
        <v>0.44505684000000006</v>
      </c>
      <c r="L105" s="646">
        <f t="shared" si="31"/>
        <v>4.6054800000000003E-3</v>
      </c>
      <c r="M105" s="646">
        <f t="shared" si="31"/>
        <v>12.245552640000001</v>
      </c>
      <c r="N105" s="646">
        <f t="shared" si="31"/>
        <v>0.14988744000000001</v>
      </c>
      <c r="O105" s="646">
        <f t="shared" si="31"/>
        <v>36.152180640000005</v>
      </c>
      <c r="P105" s="646">
        <f t="shared" si="31"/>
        <v>4.9006493999999998</v>
      </c>
      <c r="Q105" s="646">
        <f t="shared" si="31"/>
        <v>4.5008100000000004</v>
      </c>
      <c r="R105" s="646">
        <f t="shared" si="31"/>
        <v>0.17584560000000002</v>
      </c>
      <c r="S105" s="646">
        <f t="shared" si="31"/>
        <v>0.22566852000000001</v>
      </c>
      <c r="T105" s="647">
        <f>T106</f>
        <v>5.8771280195137315E-3</v>
      </c>
      <c r="U105" s="646">
        <f t="shared" si="32"/>
        <v>26.31026988</v>
      </c>
      <c r="V105" s="646">
        <f t="shared" si="32"/>
        <v>7.1175600000000011E-3</v>
      </c>
      <c r="W105" s="646">
        <f t="shared" si="32"/>
        <v>0.45845459999999999</v>
      </c>
      <c r="X105" s="646">
        <f t="shared" si="32"/>
        <v>8.373600000000001E-4</v>
      </c>
      <c r="Y105" s="646">
        <f t="shared" si="32"/>
        <v>0.49655448000000002</v>
      </c>
      <c r="Z105" s="646">
        <f t="shared" si="32"/>
        <v>3.3414850800000004</v>
      </c>
      <c r="AA105" s="647">
        <f>AA106</f>
        <v>0.25152491010307659</v>
      </c>
      <c r="AB105" s="646">
        <f t="shared" si="33"/>
        <v>0.29935620000000002</v>
      </c>
      <c r="AC105" s="646">
        <f t="shared" si="33"/>
        <v>1.3674088799999999</v>
      </c>
      <c r="AD105" s="646">
        <f t="shared" si="33"/>
        <v>0.30396168000000001</v>
      </c>
      <c r="AE105" s="646">
        <f t="shared" si="33"/>
        <v>0.46975896000000006</v>
      </c>
      <c r="AF105" s="646">
        <f t="shared" si="33"/>
        <v>0.29516940000000003</v>
      </c>
      <c r="AG105" s="646">
        <f t="shared" si="33"/>
        <v>0.16495992000000001</v>
      </c>
      <c r="AH105" s="646">
        <f t="shared" si="33"/>
        <v>2.3052520800000003</v>
      </c>
      <c r="AI105" s="647">
        <f t="shared" ref="AI105:AN105" si="40">AI106</f>
        <v>0.69821352004618631</v>
      </c>
      <c r="AJ105" s="647">
        <f t="shared" si="40"/>
        <v>3.0700542039378202</v>
      </c>
      <c r="AK105" s="647">
        <f t="shared" si="40"/>
        <v>0.3488086625184425</v>
      </c>
      <c r="AL105" s="647">
        <f t="shared" si="40"/>
        <v>2.1613017940513037</v>
      </c>
      <c r="AM105" s="647">
        <f t="shared" si="40"/>
        <v>9.89061364318313</v>
      </c>
      <c r="AN105" s="647">
        <f t="shared" si="40"/>
        <v>1.5144240018709891</v>
      </c>
    </row>
    <row r="106" spans="1:40">
      <c r="B106" s="547"/>
      <c r="C106" s="619" t="s">
        <v>510</v>
      </c>
      <c r="D106" s="653">
        <f t="shared" si="35"/>
        <v>0.69626484</v>
      </c>
      <c r="E106" s="654">
        <f t="shared" si="35"/>
        <v>3.1815493199999998</v>
      </c>
      <c r="F106" s="654">
        <f t="shared" si="35"/>
        <v>0.71761752000000012</v>
      </c>
      <c r="G106" s="655">
        <f t="shared" si="36"/>
        <v>0.92064968418065962</v>
      </c>
      <c r="H106" s="654">
        <f t="shared" si="31"/>
        <v>1.9183917600000002</v>
      </c>
      <c r="I106" s="654">
        <f t="shared" si="31"/>
        <v>0.15867972000000002</v>
      </c>
      <c r="J106" s="654">
        <f t="shared" si="31"/>
        <v>7.0049350800000001</v>
      </c>
      <c r="K106" s="654">
        <f t="shared" si="31"/>
        <v>0.44505684000000006</v>
      </c>
      <c r="L106" s="654">
        <f t="shared" si="31"/>
        <v>4.6054800000000003E-3</v>
      </c>
      <c r="M106" s="654">
        <f t="shared" si="31"/>
        <v>12.245552640000001</v>
      </c>
      <c r="N106" s="654">
        <f t="shared" si="31"/>
        <v>0.14988744000000001</v>
      </c>
      <c r="O106" s="654">
        <f t="shared" si="31"/>
        <v>36.152180640000005</v>
      </c>
      <c r="P106" s="654">
        <f t="shared" si="31"/>
        <v>4.9006493999999998</v>
      </c>
      <c r="Q106" s="654">
        <f t="shared" si="31"/>
        <v>4.5008100000000004</v>
      </c>
      <c r="R106" s="654">
        <f t="shared" si="31"/>
        <v>0.17584560000000002</v>
      </c>
      <c r="S106" s="654">
        <f t="shared" si="31"/>
        <v>0.22566852000000001</v>
      </c>
      <c r="T106" s="655">
        <f t="shared" si="37"/>
        <v>5.8771280195137315E-3</v>
      </c>
      <c r="U106" s="654">
        <f t="shared" si="32"/>
        <v>26.31026988</v>
      </c>
      <c r="V106" s="654">
        <f t="shared" si="32"/>
        <v>7.1175600000000011E-3</v>
      </c>
      <c r="W106" s="654">
        <f t="shared" si="32"/>
        <v>0.45845459999999999</v>
      </c>
      <c r="X106" s="654">
        <f t="shared" si="32"/>
        <v>8.373600000000001E-4</v>
      </c>
      <c r="Y106" s="654">
        <f t="shared" si="32"/>
        <v>0.49655448000000002</v>
      </c>
      <c r="Z106" s="654">
        <f t="shared" si="32"/>
        <v>3.3414850800000004</v>
      </c>
      <c r="AA106" s="655">
        <f t="shared" si="38"/>
        <v>0.25152491010307659</v>
      </c>
      <c r="AB106" s="654">
        <f t="shared" si="33"/>
        <v>0.29935620000000002</v>
      </c>
      <c r="AC106" s="654">
        <f t="shared" si="33"/>
        <v>1.3674088799999999</v>
      </c>
      <c r="AD106" s="654">
        <f t="shared" si="33"/>
        <v>0.30396168000000001</v>
      </c>
      <c r="AE106" s="654">
        <f t="shared" si="33"/>
        <v>0.46975896000000006</v>
      </c>
      <c r="AF106" s="654">
        <f t="shared" si="33"/>
        <v>0.29516940000000003</v>
      </c>
      <c r="AG106" s="654">
        <f t="shared" si="33"/>
        <v>0.16495992000000001</v>
      </c>
      <c r="AH106" s="654">
        <f t="shared" si="33"/>
        <v>2.3052520800000003</v>
      </c>
      <c r="AI106" s="655">
        <f t="shared" si="39"/>
        <v>0.69821352004618631</v>
      </c>
      <c r="AJ106" s="655">
        <f t="shared" si="39"/>
        <v>3.0700542039378202</v>
      </c>
      <c r="AK106" s="655">
        <f t="shared" si="39"/>
        <v>0.3488086625184425</v>
      </c>
      <c r="AL106" s="655">
        <f t="shared" si="39"/>
        <v>2.1613017940513037</v>
      </c>
      <c r="AM106" s="655">
        <f t="shared" si="39"/>
        <v>9.89061364318313</v>
      </c>
      <c r="AN106" s="656">
        <f t="shared" si="39"/>
        <v>1.5144240018709891</v>
      </c>
    </row>
    <row r="107" spans="1:40">
      <c r="B107" s="634" t="s">
        <v>531</v>
      </c>
      <c r="C107" s="635" t="s">
        <v>525</v>
      </c>
      <c r="D107" s="645">
        <f t="shared" si="35"/>
        <v>139.49077824</v>
      </c>
      <c r="E107" s="646">
        <f t="shared" si="35"/>
        <v>172.52253684000001</v>
      </c>
      <c r="F107" s="646">
        <f t="shared" si="35"/>
        <v>26.890560360000002</v>
      </c>
      <c r="G107" s="647">
        <f>SUM(G108:G115)</f>
        <v>133.38570853235586</v>
      </c>
      <c r="H107" s="646">
        <f t="shared" si="31"/>
        <v>3.17275704</v>
      </c>
      <c r="I107" s="646">
        <f t="shared" si="31"/>
        <v>130.14500328</v>
      </c>
      <c r="J107" s="646">
        <f t="shared" si="31"/>
        <v>1356.6781116000002</v>
      </c>
      <c r="K107" s="646">
        <f t="shared" si="31"/>
        <v>111.91567608</v>
      </c>
      <c r="L107" s="646">
        <f t="shared" si="31"/>
        <v>19.255511880000004</v>
      </c>
      <c r="M107" s="646">
        <f t="shared" si="31"/>
        <v>210.97829484000002</v>
      </c>
      <c r="N107" s="646">
        <f t="shared" si="31"/>
        <v>143.12031515999999</v>
      </c>
      <c r="O107" s="646">
        <f t="shared" si="31"/>
        <v>861.02379360000009</v>
      </c>
      <c r="P107" s="646">
        <f t="shared" si="31"/>
        <v>68.918077440000005</v>
      </c>
      <c r="Q107" s="646">
        <f t="shared" si="31"/>
        <v>29.203348680000001</v>
      </c>
      <c r="R107" s="646">
        <f t="shared" si="31"/>
        <v>105.59067732</v>
      </c>
      <c r="S107" s="646">
        <f t="shared" si="31"/>
        <v>58.539837600000006</v>
      </c>
      <c r="T107" s="647">
        <f>SUM(T108:T115)</f>
        <v>13.828186506343524</v>
      </c>
      <c r="U107" s="646">
        <f t="shared" si="32"/>
        <v>591.16406014800009</v>
      </c>
      <c r="V107" s="646">
        <f t="shared" si="32"/>
        <v>28.301093280000003</v>
      </c>
      <c r="W107" s="646">
        <f t="shared" si="32"/>
        <v>10.345164120000002</v>
      </c>
      <c r="X107" s="646">
        <f t="shared" si="32"/>
        <v>27.479643120000002</v>
      </c>
      <c r="Y107" s="646">
        <f t="shared" si="32"/>
        <v>9.2946960000000009E-2</v>
      </c>
      <c r="Z107" s="646">
        <f t="shared" si="32"/>
        <v>230.43058632</v>
      </c>
      <c r="AA107" s="647">
        <f>SUM(AA108:AA115)</f>
        <v>86.591112515422836</v>
      </c>
      <c r="AB107" s="646">
        <f t="shared" si="33"/>
        <v>383.68295748000003</v>
      </c>
      <c r="AC107" s="646">
        <f t="shared" si="33"/>
        <v>14.82169068</v>
      </c>
      <c r="AD107" s="646">
        <f t="shared" si="33"/>
        <v>127.39092624</v>
      </c>
      <c r="AE107" s="646">
        <f t="shared" si="33"/>
        <v>178.7198382</v>
      </c>
      <c r="AF107" s="646">
        <f t="shared" si="33"/>
        <v>21.034901880000003</v>
      </c>
      <c r="AG107" s="646">
        <f t="shared" si="33"/>
        <v>41.058272880000004</v>
      </c>
      <c r="AH107" s="646">
        <f t="shared" si="33"/>
        <v>920.14978320000012</v>
      </c>
      <c r="AI107" s="647">
        <f t="shared" ref="AI107:AN107" si="41">SUM(AI108:AI115)</f>
        <v>4.3883910906719175</v>
      </c>
      <c r="AJ107" s="647">
        <f t="shared" si="41"/>
        <v>11.363353239390646</v>
      </c>
      <c r="AK107" s="647">
        <f t="shared" si="41"/>
        <v>4.6229935000583238</v>
      </c>
      <c r="AL107" s="647">
        <f t="shared" si="41"/>
        <v>6.7968799497203936</v>
      </c>
      <c r="AM107" s="647">
        <f t="shared" si="41"/>
        <v>45.276363477176432</v>
      </c>
      <c r="AN107" s="647">
        <f t="shared" si="41"/>
        <v>6.0531945194492227</v>
      </c>
    </row>
    <row r="108" spans="1:40">
      <c r="B108" s="408"/>
      <c r="C108" s="633" t="s">
        <v>526</v>
      </c>
      <c r="D108" s="649">
        <f t="shared" si="35"/>
        <v>35.227316520000002</v>
      </c>
      <c r="E108" s="650">
        <f t="shared" si="35"/>
        <v>4.8926944800000003</v>
      </c>
      <c r="F108" s="650">
        <f t="shared" si="35"/>
        <v>12.342267720000002</v>
      </c>
      <c r="G108" s="651">
        <f t="shared" si="36"/>
        <v>11.254751169933765</v>
      </c>
      <c r="H108" s="650">
        <f t="shared" si="31"/>
        <v>0.12518532000000002</v>
      </c>
      <c r="I108" s="650">
        <f t="shared" si="31"/>
        <v>21.713582160000001</v>
      </c>
      <c r="J108" s="650">
        <f t="shared" si="31"/>
        <v>148.91652108</v>
      </c>
      <c r="K108" s="650">
        <f t="shared" si="31"/>
        <v>19.916607599999999</v>
      </c>
      <c r="L108" s="650">
        <f t="shared" si="31"/>
        <v>7.4194282800000009</v>
      </c>
      <c r="M108" s="650">
        <f t="shared" si="31"/>
        <v>41.631027120000006</v>
      </c>
      <c r="N108" s="650">
        <f t="shared" si="31"/>
        <v>29.376682200000001</v>
      </c>
      <c r="O108" s="650">
        <f t="shared" si="31"/>
        <v>172.26714204000001</v>
      </c>
      <c r="P108" s="650">
        <f t="shared" si="31"/>
        <v>10.86181524</v>
      </c>
      <c r="Q108" s="650">
        <f t="shared" si="31"/>
        <v>6.0566248800000002</v>
      </c>
      <c r="R108" s="650">
        <f t="shared" si="31"/>
        <v>11.792540880000002</v>
      </c>
      <c r="S108" s="650">
        <f t="shared" si="31"/>
        <v>0.62383320000000009</v>
      </c>
      <c r="T108" s="651">
        <f t="shared" si="37"/>
        <v>0</v>
      </c>
      <c r="U108" s="650">
        <f t="shared" si="32"/>
        <v>91.617609132000013</v>
      </c>
      <c r="V108" s="650">
        <f t="shared" si="32"/>
        <v>9.2754367200000001</v>
      </c>
      <c r="W108" s="650">
        <f t="shared" si="32"/>
        <v>0.39690864000000003</v>
      </c>
      <c r="X108" s="650">
        <f t="shared" si="32"/>
        <v>12.222943920000001</v>
      </c>
      <c r="Y108" s="650">
        <f t="shared" si="32"/>
        <v>0</v>
      </c>
      <c r="Z108" s="650">
        <f t="shared" si="32"/>
        <v>5.9703768000000004</v>
      </c>
      <c r="AA108" s="651">
        <f t="shared" si="38"/>
        <v>14.906154699866608</v>
      </c>
      <c r="AB108" s="650">
        <f t="shared" si="33"/>
        <v>46.889229240000006</v>
      </c>
      <c r="AC108" s="650">
        <f t="shared" si="33"/>
        <v>7.2226486799999998</v>
      </c>
      <c r="AD108" s="650">
        <f t="shared" si="33"/>
        <v>54.378158400000004</v>
      </c>
      <c r="AE108" s="650">
        <f t="shared" si="33"/>
        <v>12.21247692</v>
      </c>
      <c r="AF108" s="650">
        <f t="shared" si="33"/>
        <v>8.1332776800000008</v>
      </c>
      <c r="AG108" s="650">
        <f t="shared" si="33"/>
        <v>0.75822948000000001</v>
      </c>
      <c r="AH108" s="650">
        <f t="shared" si="33"/>
        <v>7.4642270400000008</v>
      </c>
      <c r="AI108" s="651">
        <f t="shared" si="39"/>
        <v>3.2441702130707619</v>
      </c>
      <c r="AJ108" s="651">
        <f t="shared" si="39"/>
        <v>3.3332424496809336</v>
      </c>
      <c r="AK108" s="651">
        <f t="shared" si="39"/>
        <v>4.1475567005201883</v>
      </c>
      <c r="AL108" s="651">
        <f t="shared" si="39"/>
        <v>3.3189682104280154</v>
      </c>
      <c r="AM108" s="651">
        <f t="shared" si="39"/>
        <v>18.298955744124509</v>
      </c>
      <c r="AN108" s="652">
        <f t="shared" si="39"/>
        <v>4.1247720392217895</v>
      </c>
    </row>
    <row r="109" spans="1:40">
      <c r="B109" s="408"/>
      <c r="C109" s="633" t="s">
        <v>532</v>
      </c>
      <c r="D109" s="649">
        <f t="shared" si="35"/>
        <v>24.57358524</v>
      </c>
      <c r="E109" s="650">
        <f t="shared" si="35"/>
        <v>0.33871212000000001</v>
      </c>
      <c r="F109" s="650">
        <f t="shared" si="35"/>
        <v>8.1956610000000012</v>
      </c>
      <c r="G109" s="651">
        <f t="shared" si="36"/>
        <v>5.7628906852459698</v>
      </c>
      <c r="H109" s="650">
        <f t="shared" si="31"/>
        <v>0</v>
      </c>
      <c r="I109" s="650">
        <f t="shared" si="31"/>
        <v>35.25159996</v>
      </c>
      <c r="J109" s="650">
        <f t="shared" si="31"/>
        <v>157.75527456</v>
      </c>
      <c r="K109" s="650">
        <f t="shared" si="31"/>
        <v>59.222286000000004</v>
      </c>
      <c r="L109" s="650">
        <f t="shared" si="31"/>
        <v>10.087257240000001</v>
      </c>
      <c r="M109" s="650">
        <f t="shared" si="31"/>
        <v>0</v>
      </c>
      <c r="N109" s="650">
        <f t="shared" si="31"/>
        <v>56.209046040000004</v>
      </c>
      <c r="O109" s="650">
        <f t="shared" si="31"/>
        <v>77.23306224000001</v>
      </c>
      <c r="P109" s="650">
        <f t="shared" si="31"/>
        <v>1.2635762400000001</v>
      </c>
      <c r="Q109" s="650">
        <f t="shared" si="31"/>
        <v>4.2927260400000007</v>
      </c>
      <c r="R109" s="650">
        <f t="shared" si="31"/>
        <v>15.40784268</v>
      </c>
      <c r="S109" s="650">
        <f t="shared" si="31"/>
        <v>0</v>
      </c>
      <c r="T109" s="651">
        <f t="shared" si="37"/>
        <v>5.3947327938919587</v>
      </c>
      <c r="U109" s="650">
        <f t="shared" si="32"/>
        <v>3.7287640800000004</v>
      </c>
      <c r="V109" s="650">
        <f t="shared" si="32"/>
        <v>14.070997439999999</v>
      </c>
      <c r="W109" s="650">
        <f t="shared" si="32"/>
        <v>0</v>
      </c>
      <c r="X109" s="650">
        <f t="shared" si="32"/>
        <v>11.272959</v>
      </c>
      <c r="Y109" s="650">
        <f t="shared" si="32"/>
        <v>0</v>
      </c>
      <c r="Z109" s="650">
        <f t="shared" si="32"/>
        <v>10.02047778</v>
      </c>
      <c r="AA109" s="651">
        <f t="shared" si="38"/>
        <v>3.0969909315531003</v>
      </c>
      <c r="AB109" s="650">
        <f t="shared" si="33"/>
        <v>130.20738660000001</v>
      </c>
      <c r="AC109" s="650">
        <f t="shared" si="33"/>
        <v>0.14988744000000001</v>
      </c>
      <c r="AD109" s="650">
        <f t="shared" si="33"/>
        <v>29.09030508</v>
      </c>
      <c r="AE109" s="650">
        <f t="shared" si="33"/>
        <v>95.474531159999998</v>
      </c>
      <c r="AF109" s="650">
        <f t="shared" si="33"/>
        <v>3.0149146800000004</v>
      </c>
      <c r="AG109" s="650">
        <f t="shared" si="33"/>
        <v>12.34812924</v>
      </c>
      <c r="AH109" s="650">
        <f t="shared" si="33"/>
        <v>1.8409359600000001</v>
      </c>
      <c r="AI109" s="651">
        <f t="shared" si="39"/>
        <v>0</v>
      </c>
      <c r="AJ109" s="651">
        <f t="shared" si="39"/>
        <v>2.6837102420895329</v>
      </c>
      <c r="AK109" s="651">
        <f t="shared" si="39"/>
        <v>0</v>
      </c>
      <c r="AL109" s="651">
        <f t="shared" si="39"/>
        <v>0.92364173867844834</v>
      </c>
      <c r="AM109" s="651">
        <f t="shared" si="39"/>
        <v>10.626912533298681</v>
      </c>
      <c r="AN109" s="652">
        <f t="shared" si="39"/>
        <v>9.7259539990903782E-2</v>
      </c>
    </row>
    <row r="110" spans="1:40">
      <c r="B110" s="408"/>
      <c r="C110" s="633" t="s">
        <v>510</v>
      </c>
      <c r="D110" s="649">
        <f t="shared" si="35"/>
        <v>12.11366844</v>
      </c>
      <c r="E110" s="650">
        <f t="shared" si="35"/>
        <v>9.0372078000000009</v>
      </c>
      <c r="F110" s="650">
        <f t="shared" si="35"/>
        <v>1.7990679600000001</v>
      </c>
      <c r="G110" s="651">
        <f t="shared" si="36"/>
        <v>3.2956041165849337</v>
      </c>
      <c r="H110" s="650">
        <f t="shared" si="31"/>
        <v>0.87671592000000009</v>
      </c>
      <c r="I110" s="650">
        <f t="shared" si="31"/>
        <v>10.69434324</v>
      </c>
      <c r="J110" s="650">
        <f t="shared" si="31"/>
        <v>25.09526052</v>
      </c>
      <c r="K110" s="650">
        <f t="shared" si="31"/>
        <v>1.7228682</v>
      </c>
      <c r="L110" s="650">
        <f t="shared" si="31"/>
        <v>0.23864760000000002</v>
      </c>
      <c r="M110" s="650">
        <f t="shared" si="31"/>
        <v>31.646765160000001</v>
      </c>
      <c r="N110" s="650">
        <f t="shared" si="31"/>
        <v>37.43669088</v>
      </c>
      <c r="O110" s="650">
        <f t="shared" si="31"/>
        <v>72.794216880000008</v>
      </c>
      <c r="P110" s="650">
        <f t="shared" si="31"/>
        <v>7.3825844400000014</v>
      </c>
      <c r="Q110" s="650">
        <f t="shared" si="31"/>
        <v>3.0379420800000001</v>
      </c>
      <c r="R110" s="650">
        <f t="shared" si="31"/>
        <v>8.8303798800000006</v>
      </c>
      <c r="S110" s="650">
        <f t="shared" si="31"/>
        <v>4.6477666800000002</v>
      </c>
      <c r="T110" s="651">
        <f t="shared" si="37"/>
        <v>1.4902888976315998</v>
      </c>
      <c r="U110" s="650">
        <f t="shared" si="32"/>
        <v>16.840146960000002</v>
      </c>
      <c r="V110" s="650">
        <f t="shared" si="32"/>
        <v>0.19175544000000003</v>
      </c>
      <c r="W110" s="650">
        <f t="shared" si="32"/>
        <v>0.33829344</v>
      </c>
      <c r="X110" s="650">
        <f t="shared" si="32"/>
        <v>0.136071</v>
      </c>
      <c r="Y110" s="650">
        <f t="shared" si="32"/>
        <v>4.1868000000000002E-2</v>
      </c>
      <c r="Z110" s="650">
        <f t="shared" si="32"/>
        <v>5.0965916400000006</v>
      </c>
      <c r="AA110" s="651">
        <f t="shared" si="38"/>
        <v>63.780264741521762</v>
      </c>
      <c r="AB110" s="650">
        <f t="shared" si="33"/>
        <v>4.1683780800000001</v>
      </c>
      <c r="AC110" s="650">
        <f t="shared" si="33"/>
        <v>1.64248164</v>
      </c>
      <c r="AD110" s="650">
        <f t="shared" si="33"/>
        <v>0.64769796000000002</v>
      </c>
      <c r="AE110" s="650">
        <f t="shared" si="33"/>
        <v>65.972244960000012</v>
      </c>
      <c r="AF110" s="650">
        <f t="shared" si="33"/>
        <v>0.92067732000000002</v>
      </c>
      <c r="AG110" s="650">
        <f t="shared" si="33"/>
        <v>1.2480850800000001</v>
      </c>
      <c r="AH110" s="650">
        <f t="shared" si="33"/>
        <v>106.4745108</v>
      </c>
      <c r="AI110" s="651">
        <f t="shared" si="39"/>
        <v>1.057258039386747</v>
      </c>
      <c r="AJ110" s="651">
        <f t="shared" si="39"/>
        <v>2.0739295497735575</v>
      </c>
      <c r="AK110" s="651">
        <f t="shared" si="39"/>
        <v>0.4339367995381358</v>
      </c>
      <c r="AL110" s="651">
        <f t="shared" si="39"/>
        <v>1.7771205651436464</v>
      </c>
      <c r="AM110" s="651">
        <f t="shared" si="39"/>
        <v>6.6814572438755695</v>
      </c>
      <c r="AN110" s="652">
        <f t="shared" si="39"/>
        <v>1.0230466564199407</v>
      </c>
    </row>
    <row r="111" spans="1:40">
      <c r="B111" s="408"/>
      <c r="C111" s="633" t="s">
        <v>527</v>
      </c>
      <c r="D111" s="649">
        <f t="shared" si="35"/>
        <v>33.419456280000006</v>
      </c>
      <c r="E111" s="650">
        <f t="shared" si="35"/>
        <v>87.934104360000006</v>
      </c>
      <c r="F111" s="650">
        <f t="shared" si="35"/>
        <v>0.95584643999999996</v>
      </c>
      <c r="G111" s="651">
        <f t="shared" si="36"/>
        <v>31.752959342500432</v>
      </c>
      <c r="H111" s="650">
        <f t="shared" si="31"/>
        <v>0</v>
      </c>
      <c r="I111" s="650">
        <f t="shared" si="31"/>
        <v>50.976802079999999</v>
      </c>
      <c r="J111" s="650">
        <f t="shared" si="31"/>
        <v>629.28441360000011</v>
      </c>
      <c r="K111" s="650">
        <f t="shared" si="31"/>
        <v>19.491228720000002</v>
      </c>
      <c r="L111" s="650">
        <f t="shared" si="31"/>
        <v>1.2129159600000001</v>
      </c>
      <c r="M111" s="650">
        <f t="shared" si="31"/>
        <v>80.947172520000009</v>
      </c>
      <c r="N111" s="650">
        <f t="shared" si="31"/>
        <v>1.2690190800000001</v>
      </c>
      <c r="O111" s="650">
        <f t="shared" si="31"/>
        <v>362.116332</v>
      </c>
      <c r="P111" s="650">
        <f t="shared" si="31"/>
        <v>5.5165276800000003</v>
      </c>
      <c r="Q111" s="650">
        <f t="shared" si="31"/>
        <v>12.204522000000001</v>
      </c>
      <c r="R111" s="650">
        <f t="shared" si="31"/>
        <v>66.010763520000012</v>
      </c>
      <c r="S111" s="650">
        <f t="shared" si="31"/>
        <v>15.63895404</v>
      </c>
      <c r="T111" s="651">
        <f t="shared" si="37"/>
        <v>0</v>
      </c>
      <c r="U111" s="650">
        <f>U48*(41.868/1000)</f>
        <v>424.81625781600002</v>
      </c>
      <c r="V111" s="650">
        <f t="shared" si="32"/>
        <v>3.34483452</v>
      </c>
      <c r="W111" s="650">
        <f t="shared" si="32"/>
        <v>4.9571712000000003</v>
      </c>
      <c r="X111" s="650">
        <f t="shared" si="32"/>
        <v>2.6255422800000003</v>
      </c>
      <c r="Y111" s="650">
        <f t="shared" si="32"/>
        <v>0</v>
      </c>
      <c r="Z111" s="650">
        <f t="shared" si="32"/>
        <v>207.31484484000001</v>
      </c>
      <c r="AA111" s="651">
        <f t="shared" si="38"/>
        <v>0.10549817992068461</v>
      </c>
      <c r="AB111" s="650">
        <f t="shared" si="33"/>
        <v>74.754476640000007</v>
      </c>
      <c r="AC111" s="650">
        <f t="shared" si="33"/>
        <v>3.1828053600000001</v>
      </c>
      <c r="AD111" s="650">
        <f t="shared" si="33"/>
        <v>40.768546320000006</v>
      </c>
      <c r="AE111" s="650">
        <f t="shared" si="33"/>
        <v>3.495978</v>
      </c>
      <c r="AF111" s="650">
        <f t="shared" si="33"/>
        <v>2.5334326800000002</v>
      </c>
      <c r="AG111" s="650">
        <f t="shared" si="33"/>
        <v>25.674713640000004</v>
      </c>
      <c r="AH111" s="650">
        <f t="shared" si="33"/>
        <v>718.87774679999995</v>
      </c>
      <c r="AI111" s="651">
        <f t="shared" si="39"/>
        <v>0</v>
      </c>
      <c r="AJ111" s="651">
        <f t="shared" si="39"/>
        <v>0.88654099784662221</v>
      </c>
      <c r="AK111" s="651">
        <f t="shared" si="39"/>
        <v>0</v>
      </c>
      <c r="AL111" s="651">
        <f t="shared" si="39"/>
        <v>0</v>
      </c>
      <c r="AM111" s="651">
        <f t="shared" si="39"/>
        <v>4.4236515924631776</v>
      </c>
      <c r="AN111" s="652">
        <f t="shared" si="39"/>
        <v>0</v>
      </c>
    </row>
    <row r="112" spans="1:40">
      <c r="B112" s="408"/>
      <c r="C112" s="633" t="s">
        <v>533</v>
      </c>
      <c r="D112" s="649">
        <f t="shared" si="35"/>
        <v>32.479938359999998</v>
      </c>
      <c r="E112" s="650">
        <f t="shared" si="35"/>
        <v>67.175112600000006</v>
      </c>
      <c r="F112" s="650">
        <f t="shared" si="35"/>
        <v>4.5636120000000009E-2</v>
      </c>
      <c r="G112" s="651">
        <f t="shared" si="36"/>
        <v>73.225513418090756</v>
      </c>
      <c r="H112" s="650">
        <f t="shared" si="31"/>
        <v>1.6521112800000002</v>
      </c>
      <c r="I112" s="650">
        <f t="shared" si="31"/>
        <v>0</v>
      </c>
      <c r="J112" s="650">
        <f>J49*(41.868/1000)</f>
        <v>350.18353332000004</v>
      </c>
      <c r="K112" s="650">
        <f t="shared" si="31"/>
        <v>11.514118680000001</v>
      </c>
      <c r="L112" s="650">
        <f t="shared" si="31"/>
        <v>9.2528280000000004E-2</v>
      </c>
      <c r="M112" s="650">
        <f t="shared" si="31"/>
        <v>40.962813840000003</v>
      </c>
      <c r="N112" s="650">
        <f t="shared" si="31"/>
        <v>18.509424119999998</v>
      </c>
      <c r="O112" s="650">
        <f t="shared" si="31"/>
        <v>160.2644238</v>
      </c>
      <c r="P112" s="650">
        <f t="shared" si="31"/>
        <v>43.312864680000004</v>
      </c>
      <c r="Q112" s="650">
        <f t="shared" si="31"/>
        <v>3.1673142000000003</v>
      </c>
      <c r="R112" s="650">
        <f t="shared" si="31"/>
        <v>0</v>
      </c>
      <c r="S112" s="650">
        <f t="shared" si="31"/>
        <v>27.264860280000004</v>
      </c>
      <c r="T112" s="651">
        <f t="shared" si="37"/>
        <v>5.2764814819965797E-2</v>
      </c>
      <c r="U112" s="650">
        <f t="shared" ref="U112:Z124" si="42">U49*(41.868/1000)</f>
        <v>45.081787680000005</v>
      </c>
      <c r="V112" s="650">
        <f t="shared" si="42"/>
        <v>0.1486314</v>
      </c>
      <c r="W112" s="650">
        <f t="shared" si="42"/>
        <v>4.6301821200000006</v>
      </c>
      <c r="X112" s="650">
        <f t="shared" si="42"/>
        <v>0.67114404000000005</v>
      </c>
      <c r="Y112" s="650">
        <f t="shared" si="42"/>
        <v>0</v>
      </c>
      <c r="Z112" s="650">
        <f t="shared" si="42"/>
        <v>1.8922242600000001</v>
      </c>
      <c r="AA112" s="651">
        <f t="shared" si="38"/>
        <v>4.7022039625606729</v>
      </c>
      <c r="AB112" s="650">
        <f t="shared" si="33"/>
        <v>2.2587786000000003</v>
      </c>
      <c r="AC112" s="650">
        <f t="shared" si="33"/>
        <v>1.9343016000000002</v>
      </c>
      <c r="AD112" s="650">
        <f t="shared" si="33"/>
        <v>1.7571999600000001</v>
      </c>
      <c r="AE112" s="650">
        <f t="shared" si="33"/>
        <v>1.56460716</v>
      </c>
      <c r="AF112" s="650">
        <f t="shared" si="33"/>
        <v>5.9707954800000005</v>
      </c>
      <c r="AG112" s="650">
        <f t="shared" si="33"/>
        <v>0</v>
      </c>
      <c r="AH112" s="650">
        <f t="shared" si="33"/>
        <v>64.287895320000004</v>
      </c>
      <c r="AI112" s="651">
        <f t="shared" si="39"/>
        <v>8.696283821440863E-2</v>
      </c>
      <c r="AJ112" s="651">
        <f t="shared" si="39"/>
        <v>0</v>
      </c>
      <c r="AK112" s="651">
        <f t="shared" si="39"/>
        <v>0</v>
      </c>
      <c r="AL112" s="651">
        <f t="shared" si="39"/>
        <v>0.69429442802980768</v>
      </c>
      <c r="AM112" s="651">
        <f t="shared" si="39"/>
        <v>2.1859986926395625E-2</v>
      </c>
      <c r="AN112" s="652">
        <f t="shared" si="39"/>
        <v>0.30049036119754213</v>
      </c>
    </row>
    <row r="113" spans="1:40">
      <c r="B113" s="408"/>
      <c r="C113" s="633" t="s">
        <v>534</v>
      </c>
      <c r="D113" s="649">
        <f t="shared" si="35"/>
        <v>0</v>
      </c>
      <c r="E113" s="650">
        <f t="shared" si="35"/>
        <v>0</v>
      </c>
      <c r="F113" s="650">
        <f t="shared" si="35"/>
        <v>0</v>
      </c>
      <c r="G113" s="651">
        <f t="shared" si="36"/>
        <v>7.8500880000000004</v>
      </c>
      <c r="H113" s="650">
        <f t="shared" si="31"/>
        <v>1.9259280000000004E-2</v>
      </c>
      <c r="I113" s="650">
        <f t="shared" si="31"/>
        <v>0</v>
      </c>
      <c r="J113" s="650">
        <f t="shared" si="31"/>
        <v>17.167973400000001</v>
      </c>
      <c r="K113" s="650">
        <f t="shared" si="31"/>
        <v>0</v>
      </c>
      <c r="L113" s="650">
        <f t="shared" si="31"/>
        <v>0</v>
      </c>
      <c r="M113" s="650">
        <f t="shared" si="31"/>
        <v>0.28470240000000002</v>
      </c>
      <c r="N113" s="650">
        <f t="shared" si="31"/>
        <v>0</v>
      </c>
      <c r="O113" s="650">
        <f t="shared" si="31"/>
        <v>1.8744303600000003</v>
      </c>
      <c r="P113" s="650">
        <f t="shared" si="31"/>
        <v>0.51162696000000008</v>
      </c>
      <c r="Q113" s="650">
        <f t="shared" si="31"/>
        <v>0</v>
      </c>
      <c r="R113" s="650">
        <f t="shared" si="31"/>
        <v>0</v>
      </c>
      <c r="S113" s="650">
        <f t="shared" si="31"/>
        <v>0</v>
      </c>
      <c r="T113" s="651">
        <f t="shared" si="37"/>
        <v>6.8903999999999996</v>
      </c>
      <c r="U113" s="650">
        <f t="shared" si="42"/>
        <v>4.3542720000000007E-2</v>
      </c>
      <c r="V113" s="650">
        <f t="shared" si="42"/>
        <v>0</v>
      </c>
      <c r="W113" s="650">
        <f t="shared" si="42"/>
        <v>0</v>
      </c>
      <c r="X113" s="650">
        <f t="shared" si="42"/>
        <v>0</v>
      </c>
      <c r="Y113" s="650">
        <f t="shared" si="42"/>
        <v>0</v>
      </c>
      <c r="Z113" s="650">
        <f t="shared" si="42"/>
        <v>0</v>
      </c>
      <c r="AA113" s="651">
        <f t="shared" si="38"/>
        <v>0</v>
      </c>
      <c r="AB113" s="650">
        <f t="shared" si="33"/>
        <v>0.33159456000000004</v>
      </c>
      <c r="AC113" s="650">
        <f t="shared" si="33"/>
        <v>0</v>
      </c>
      <c r="AD113" s="650">
        <f t="shared" si="33"/>
        <v>0.42789096000000004</v>
      </c>
      <c r="AE113" s="650">
        <f t="shared" si="33"/>
        <v>0</v>
      </c>
      <c r="AF113" s="650">
        <f t="shared" si="33"/>
        <v>0.29140128000000004</v>
      </c>
      <c r="AG113" s="650">
        <f t="shared" si="33"/>
        <v>0</v>
      </c>
      <c r="AH113" s="650">
        <f t="shared" si="33"/>
        <v>0</v>
      </c>
      <c r="AI113" s="651">
        <f t="shared" si="39"/>
        <v>0</v>
      </c>
      <c r="AJ113" s="651">
        <f t="shared" si="39"/>
        <v>0</v>
      </c>
      <c r="AK113" s="651">
        <f t="shared" si="39"/>
        <v>0</v>
      </c>
      <c r="AL113" s="651">
        <f t="shared" si="39"/>
        <v>0</v>
      </c>
      <c r="AM113" s="651">
        <f t="shared" si="39"/>
        <v>0</v>
      </c>
      <c r="AN113" s="652">
        <f t="shared" si="39"/>
        <v>0</v>
      </c>
    </row>
    <row r="114" spans="1:40">
      <c r="B114" s="408"/>
      <c r="C114" s="633" t="s">
        <v>528</v>
      </c>
      <c r="D114" s="649">
        <f t="shared" si="35"/>
        <v>0.49906656000000005</v>
      </c>
      <c r="E114" s="650">
        <f t="shared" si="35"/>
        <v>0.20599056000000002</v>
      </c>
      <c r="F114" s="650">
        <f t="shared" si="35"/>
        <v>1.0885680000000002E-2</v>
      </c>
      <c r="G114" s="651">
        <f t="shared" si="36"/>
        <v>0</v>
      </c>
      <c r="H114" s="650">
        <f t="shared" si="31"/>
        <v>0.49906656000000005</v>
      </c>
      <c r="I114" s="650">
        <f t="shared" si="31"/>
        <v>0</v>
      </c>
      <c r="J114" s="650">
        <f t="shared" si="31"/>
        <v>0</v>
      </c>
      <c r="K114" s="650">
        <f t="shared" si="31"/>
        <v>3.6843840000000003E-2</v>
      </c>
      <c r="L114" s="650">
        <f t="shared" si="31"/>
        <v>0</v>
      </c>
      <c r="M114" s="650">
        <f t="shared" si="31"/>
        <v>11.65521384</v>
      </c>
      <c r="N114" s="650">
        <f t="shared" si="31"/>
        <v>0</v>
      </c>
      <c r="O114" s="650">
        <f t="shared" si="31"/>
        <v>5.20670448</v>
      </c>
      <c r="P114" s="650">
        <f t="shared" si="31"/>
        <v>0</v>
      </c>
      <c r="Q114" s="650">
        <f t="shared" si="31"/>
        <v>0.31987152000000002</v>
      </c>
      <c r="R114" s="650">
        <f t="shared" si="31"/>
        <v>0.61336620000000008</v>
      </c>
      <c r="S114" s="650">
        <f t="shared" si="31"/>
        <v>0.54177191999999996</v>
      </c>
      <c r="T114" s="651">
        <f t="shared" si="37"/>
        <v>0</v>
      </c>
      <c r="U114" s="650">
        <f t="shared" si="42"/>
        <v>8.9513784000000012</v>
      </c>
      <c r="V114" s="650">
        <f t="shared" si="42"/>
        <v>0</v>
      </c>
      <c r="W114" s="650">
        <f t="shared" si="42"/>
        <v>1.1723040000000002E-2</v>
      </c>
      <c r="X114" s="650">
        <f t="shared" si="42"/>
        <v>0</v>
      </c>
      <c r="Y114" s="650">
        <f t="shared" si="42"/>
        <v>5.107896E-2</v>
      </c>
      <c r="Z114" s="650">
        <f t="shared" si="42"/>
        <v>0</v>
      </c>
      <c r="AA114" s="651">
        <f t="shared" si="38"/>
        <v>0</v>
      </c>
      <c r="AB114" s="650">
        <f t="shared" si="33"/>
        <v>0</v>
      </c>
      <c r="AC114" s="650">
        <f t="shared" si="33"/>
        <v>0.68914728000000003</v>
      </c>
      <c r="AD114" s="650">
        <f t="shared" si="33"/>
        <v>0.12686004000000001</v>
      </c>
      <c r="AE114" s="650">
        <f t="shared" si="33"/>
        <v>0</v>
      </c>
      <c r="AF114" s="650">
        <f t="shared" si="33"/>
        <v>0.17082144000000002</v>
      </c>
      <c r="AG114" s="650">
        <f t="shared" si="33"/>
        <v>0</v>
      </c>
      <c r="AH114" s="650">
        <f t="shared" si="33"/>
        <v>7.0756920000000001</v>
      </c>
      <c r="AI114" s="651">
        <f t="shared" si="39"/>
        <v>0</v>
      </c>
      <c r="AJ114" s="651">
        <f t="shared" si="39"/>
        <v>0</v>
      </c>
      <c r="AK114" s="651">
        <f t="shared" si="39"/>
        <v>0</v>
      </c>
      <c r="AL114" s="651">
        <f t="shared" si="39"/>
        <v>3.9735007440476193E-2</v>
      </c>
      <c r="AM114" s="651">
        <f t="shared" si="39"/>
        <v>0.12052637648809525</v>
      </c>
      <c r="AN114" s="652">
        <f t="shared" si="39"/>
        <v>4.3415922619047628E-2</v>
      </c>
    </row>
    <row r="115" spans="1:40">
      <c r="B115" s="547"/>
      <c r="C115" s="619" t="s">
        <v>529</v>
      </c>
      <c r="D115" s="653">
        <f t="shared" si="35"/>
        <v>1.17774684</v>
      </c>
      <c r="E115" s="654">
        <f t="shared" si="35"/>
        <v>2.9382962400000006</v>
      </c>
      <c r="F115" s="654">
        <f t="shared" si="35"/>
        <v>3.5416141200000002</v>
      </c>
      <c r="G115" s="655">
        <f t="shared" si="36"/>
        <v>0.24390179999999997</v>
      </c>
      <c r="H115" s="654">
        <f t="shared" ref="H115:S124" si="43">H52*(41.868/1000)</f>
        <v>0</v>
      </c>
      <c r="I115" s="654">
        <f t="shared" si="43"/>
        <v>11.50867584</v>
      </c>
      <c r="J115" s="654">
        <f t="shared" si="43"/>
        <v>28.276809840000002</v>
      </c>
      <c r="K115" s="654">
        <f t="shared" si="43"/>
        <v>1.1723040000000002E-2</v>
      </c>
      <c r="L115" s="654">
        <f t="shared" si="43"/>
        <v>0.20473452</v>
      </c>
      <c r="M115" s="654">
        <f t="shared" si="43"/>
        <v>3.8510186400000004</v>
      </c>
      <c r="N115" s="654">
        <f t="shared" si="43"/>
        <v>0.31903416000000001</v>
      </c>
      <c r="O115" s="654">
        <f t="shared" si="43"/>
        <v>9.2691565199999992</v>
      </c>
      <c r="P115" s="654">
        <f t="shared" si="43"/>
        <v>6.9082199999999996E-2</v>
      </c>
      <c r="Q115" s="654">
        <f t="shared" si="43"/>
        <v>0.12476664000000001</v>
      </c>
      <c r="R115" s="654">
        <f t="shared" si="43"/>
        <v>2.9357841600000003</v>
      </c>
      <c r="S115" s="654">
        <f t="shared" si="43"/>
        <v>9.8226514800000011</v>
      </c>
      <c r="T115" s="655">
        <f t="shared" si="37"/>
        <v>0</v>
      </c>
      <c r="U115" s="654">
        <f t="shared" si="42"/>
        <v>8.457336E-2</v>
      </c>
      <c r="V115" s="654">
        <f t="shared" si="42"/>
        <v>1.2694377600000002</v>
      </c>
      <c r="W115" s="654">
        <f t="shared" si="42"/>
        <v>1.1304360000000001E-2</v>
      </c>
      <c r="X115" s="654">
        <f t="shared" si="42"/>
        <v>0.55098288000000006</v>
      </c>
      <c r="Y115" s="654">
        <f t="shared" si="42"/>
        <v>0</v>
      </c>
      <c r="Z115" s="654">
        <f t="shared" si="42"/>
        <v>0.136071</v>
      </c>
      <c r="AA115" s="655">
        <f t="shared" si="38"/>
        <v>0</v>
      </c>
      <c r="AB115" s="654">
        <f t="shared" ref="AB115:AH124" si="44">AB52*(41.868/1000)</f>
        <v>125.07353244000001</v>
      </c>
      <c r="AC115" s="654">
        <f t="shared" si="44"/>
        <v>0</v>
      </c>
      <c r="AD115" s="654">
        <f t="shared" si="44"/>
        <v>0.19426752</v>
      </c>
      <c r="AE115" s="654">
        <f t="shared" si="44"/>
        <v>0</v>
      </c>
      <c r="AF115" s="654">
        <f t="shared" si="44"/>
        <v>0</v>
      </c>
      <c r="AG115" s="654">
        <f t="shared" si="44"/>
        <v>1.02911544</v>
      </c>
      <c r="AH115" s="654">
        <f t="shared" si="44"/>
        <v>14.127937920000001</v>
      </c>
      <c r="AI115" s="655">
        <f t="shared" si="39"/>
        <v>0</v>
      </c>
      <c r="AJ115" s="655">
        <f t="shared" si="39"/>
        <v>2.3859299999999997</v>
      </c>
      <c r="AK115" s="655">
        <f t="shared" si="39"/>
        <v>4.1500000000000002E-2</v>
      </c>
      <c r="AL115" s="655">
        <f t="shared" si="39"/>
        <v>4.3119999999999999E-2</v>
      </c>
      <c r="AM115" s="655">
        <f t="shared" si="39"/>
        <v>5.1029999999999998</v>
      </c>
      <c r="AN115" s="656">
        <f t="shared" si="39"/>
        <v>0.46420999999999996</v>
      </c>
    </row>
    <row r="116" spans="1:40">
      <c r="B116" s="634" t="s">
        <v>535</v>
      </c>
      <c r="C116" s="635" t="s">
        <v>525</v>
      </c>
      <c r="D116" s="645">
        <f t="shared" ref="D116:F124" si="45">D53*(41.868/1000)</f>
        <v>24.974680680000002</v>
      </c>
      <c r="E116" s="646">
        <f t="shared" si="45"/>
        <v>28.475264160000002</v>
      </c>
      <c r="F116" s="646">
        <f t="shared" si="45"/>
        <v>10.1718306</v>
      </c>
      <c r="G116" s="647">
        <f>SUM(G117:G124)</f>
        <v>22.609071204735571</v>
      </c>
      <c r="H116" s="646">
        <f t="shared" si="43"/>
        <v>2.4212264399999999</v>
      </c>
      <c r="I116" s="646">
        <f t="shared" si="43"/>
        <v>19.523885760000002</v>
      </c>
      <c r="J116" s="646">
        <f t="shared" si="43"/>
        <v>230.91332436000002</v>
      </c>
      <c r="K116" s="646">
        <f t="shared" si="43"/>
        <v>20.045979720000002</v>
      </c>
      <c r="L116" s="646">
        <f t="shared" si="43"/>
        <v>3.6425160000000001</v>
      </c>
      <c r="M116" s="646">
        <f t="shared" si="43"/>
        <v>82.232101440000008</v>
      </c>
      <c r="N116" s="646">
        <f t="shared" si="43"/>
        <v>22.094162280000003</v>
      </c>
      <c r="O116" s="646">
        <f t="shared" si="43"/>
        <v>164.21173884000001</v>
      </c>
      <c r="P116" s="646">
        <f t="shared" si="43"/>
        <v>20.640924000000002</v>
      </c>
      <c r="Q116" s="646">
        <f t="shared" si="43"/>
        <v>6.8504421600000009</v>
      </c>
      <c r="R116" s="646">
        <f t="shared" si="43"/>
        <v>14.73586128</v>
      </c>
      <c r="S116" s="646">
        <f t="shared" si="43"/>
        <v>13.329933840000001</v>
      </c>
      <c r="T116" s="647">
        <f>SUM(T117:T124)</f>
        <v>1.1515282419345678</v>
      </c>
      <c r="U116" s="646">
        <f t="shared" si="42"/>
        <v>121.50972828</v>
      </c>
      <c r="V116" s="646">
        <f t="shared" si="42"/>
        <v>5.5449979200000001</v>
      </c>
      <c r="W116" s="646">
        <f t="shared" si="42"/>
        <v>1.1798402400000001</v>
      </c>
      <c r="X116" s="646">
        <f t="shared" si="42"/>
        <v>5.6245471200000008</v>
      </c>
      <c r="Y116" s="646">
        <f t="shared" si="42"/>
        <v>0.26418708000000002</v>
      </c>
      <c r="Z116" s="646">
        <f t="shared" si="42"/>
        <v>44.905942080000003</v>
      </c>
      <c r="AA116" s="647">
        <f>SUM(AA117:AA124)</f>
        <v>16.849015084628117</v>
      </c>
      <c r="AB116" s="646">
        <f t="shared" si="44"/>
        <v>72.868741920000005</v>
      </c>
      <c r="AC116" s="646">
        <f t="shared" si="44"/>
        <v>14.7877776</v>
      </c>
      <c r="AD116" s="646">
        <f t="shared" si="44"/>
        <v>22.958317800000003</v>
      </c>
      <c r="AE116" s="646">
        <f t="shared" si="44"/>
        <v>27.488016720000001</v>
      </c>
      <c r="AF116" s="646">
        <f t="shared" si="44"/>
        <v>6.0708600000000006</v>
      </c>
      <c r="AG116" s="646">
        <f t="shared" si="44"/>
        <v>7.9842275999999996</v>
      </c>
      <c r="AH116" s="646">
        <f t="shared" si="44"/>
        <v>175.06518048000001</v>
      </c>
      <c r="AI116" s="647">
        <f t="shared" ref="AI116:AN116" si="46">SUM(AI117:AI124)</f>
        <v>2.3372224332573426</v>
      </c>
      <c r="AJ116" s="647">
        <f t="shared" si="46"/>
        <v>2.3151039353447835</v>
      </c>
      <c r="AK116" s="647">
        <f t="shared" si="46"/>
        <v>0.8110116837156105</v>
      </c>
      <c r="AL116" s="647">
        <f t="shared" si="46"/>
        <v>1.57901618083319</v>
      </c>
      <c r="AM116" s="647">
        <f t="shared" si="46"/>
        <v>8.736286039481552</v>
      </c>
      <c r="AN116" s="647">
        <f t="shared" si="46"/>
        <v>1.1406767263626167</v>
      </c>
    </row>
    <row r="117" spans="1:40">
      <c r="B117" s="408"/>
      <c r="C117" s="633" t="s">
        <v>526</v>
      </c>
      <c r="D117" s="649">
        <f t="shared" si="45"/>
        <v>2.2072809600000003</v>
      </c>
      <c r="E117" s="650">
        <f t="shared" si="45"/>
        <v>0.5643806400000001</v>
      </c>
      <c r="F117" s="650">
        <f t="shared" si="45"/>
        <v>0.48566880000000001</v>
      </c>
      <c r="G117" s="651">
        <f t="shared" si="36"/>
        <v>0.33295930768886106</v>
      </c>
      <c r="H117" s="650">
        <f t="shared" si="43"/>
        <v>2.5120799999999999E-3</v>
      </c>
      <c r="I117" s="650">
        <f t="shared" si="43"/>
        <v>0.57903444000000004</v>
      </c>
      <c r="J117" s="650">
        <f t="shared" si="43"/>
        <v>4.3965586800000001</v>
      </c>
      <c r="K117" s="650">
        <f t="shared" si="43"/>
        <v>2.3119509599999999</v>
      </c>
      <c r="L117" s="650">
        <f t="shared" si="43"/>
        <v>1.0722394800000001</v>
      </c>
      <c r="M117" s="650">
        <f t="shared" si="43"/>
        <v>0.81516995999999997</v>
      </c>
      <c r="N117" s="650">
        <f t="shared" si="43"/>
        <v>3.2518875600000001</v>
      </c>
      <c r="O117" s="650">
        <f t="shared" si="43"/>
        <v>7.66058796</v>
      </c>
      <c r="P117" s="650">
        <f t="shared" si="43"/>
        <v>0.24115968000000002</v>
      </c>
      <c r="Q117" s="650">
        <f t="shared" si="43"/>
        <v>0.32991984000000002</v>
      </c>
      <c r="R117" s="650">
        <f t="shared" si="43"/>
        <v>0.39062844000000002</v>
      </c>
      <c r="S117" s="650">
        <f t="shared" si="43"/>
        <v>0.10383264</v>
      </c>
      <c r="T117" s="651">
        <f t="shared" si="37"/>
        <v>0</v>
      </c>
      <c r="U117" s="650">
        <f t="shared" si="42"/>
        <v>0.74776248000000001</v>
      </c>
      <c r="V117" s="650">
        <f t="shared" si="42"/>
        <v>1.46579868</v>
      </c>
      <c r="W117" s="650">
        <f t="shared" si="42"/>
        <v>2.7214200000000001E-2</v>
      </c>
      <c r="X117" s="650">
        <f t="shared" si="42"/>
        <v>2.2156545600000004</v>
      </c>
      <c r="Y117" s="650">
        <f t="shared" si="42"/>
        <v>0</v>
      </c>
      <c r="Z117" s="650">
        <f t="shared" si="42"/>
        <v>0.94014593999999996</v>
      </c>
      <c r="AA117" s="651">
        <f t="shared" si="38"/>
        <v>1.6535306358381505</v>
      </c>
      <c r="AB117" s="650">
        <f t="shared" si="44"/>
        <v>6.7600072800000008</v>
      </c>
      <c r="AC117" s="650">
        <f t="shared" si="44"/>
        <v>1.9066687200000001</v>
      </c>
      <c r="AD117" s="650">
        <f t="shared" si="44"/>
        <v>7.8297346800000005</v>
      </c>
      <c r="AE117" s="650">
        <f t="shared" si="44"/>
        <v>0.46222271999999998</v>
      </c>
      <c r="AF117" s="650">
        <f t="shared" si="44"/>
        <v>1.63620144</v>
      </c>
      <c r="AG117" s="650">
        <f t="shared" si="44"/>
        <v>3.475044E-2</v>
      </c>
      <c r="AH117" s="650">
        <f t="shared" si="44"/>
        <v>0</v>
      </c>
      <c r="AI117" s="651">
        <f t="shared" ref="AI117:AN124" si="47">IFERROR(AI85*AI147,0)</f>
        <v>7.0810400247708669E-2</v>
      </c>
      <c r="AJ117" s="651">
        <f t="shared" si="47"/>
        <v>0.17859830549416342</v>
      </c>
      <c r="AK117" s="651">
        <f t="shared" si="47"/>
        <v>9.075311369829081E-2</v>
      </c>
      <c r="AL117" s="651">
        <f t="shared" si="47"/>
        <v>0.17739351408560308</v>
      </c>
      <c r="AM117" s="651">
        <f t="shared" si="47"/>
        <v>0.98047547922178979</v>
      </c>
      <c r="AN117" s="652">
        <f t="shared" si="47"/>
        <v>0.22100921486381322</v>
      </c>
    </row>
    <row r="118" spans="1:40">
      <c r="B118" s="408"/>
      <c r="C118" s="633" t="s">
        <v>532</v>
      </c>
      <c r="D118" s="649">
        <f t="shared" si="45"/>
        <v>4.0725003600000003</v>
      </c>
      <c r="E118" s="650">
        <f t="shared" si="45"/>
        <v>5.0660280000000002E-2</v>
      </c>
      <c r="F118" s="650">
        <f t="shared" si="45"/>
        <v>2.6590366800000003</v>
      </c>
      <c r="G118" s="651">
        <f t="shared" si="36"/>
        <v>0.79084581475402937</v>
      </c>
      <c r="H118" s="650">
        <f t="shared" si="43"/>
        <v>0</v>
      </c>
      <c r="I118" s="650">
        <f t="shared" si="43"/>
        <v>2.7879901200000003</v>
      </c>
      <c r="J118" s="650">
        <f t="shared" si="43"/>
        <v>21.606818760000003</v>
      </c>
      <c r="K118" s="650">
        <f t="shared" si="43"/>
        <v>10.1927646</v>
      </c>
      <c r="L118" s="650">
        <f t="shared" si="43"/>
        <v>1.8903402</v>
      </c>
      <c r="M118" s="650">
        <f t="shared" si="43"/>
        <v>0</v>
      </c>
      <c r="N118" s="650">
        <f t="shared" si="43"/>
        <v>8.3388495599999999</v>
      </c>
      <c r="O118" s="650">
        <f t="shared" si="43"/>
        <v>9.9440686800000009</v>
      </c>
      <c r="P118" s="650">
        <f t="shared" si="43"/>
        <v>0.21603888000000002</v>
      </c>
      <c r="Q118" s="650">
        <f t="shared" si="43"/>
        <v>0.71468676000000009</v>
      </c>
      <c r="R118" s="650">
        <f t="shared" si="43"/>
        <v>2.2110490800000004</v>
      </c>
      <c r="S118" s="650">
        <f t="shared" si="43"/>
        <v>0</v>
      </c>
      <c r="T118" s="651">
        <f t="shared" si="37"/>
        <v>0.79922442815318495</v>
      </c>
      <c r="U118" s="650">
        <f t="shared" si="42"/>
        <v>0.48231936000000003</v>
      </c>
      <c r="V118" s="650">
        <f t="shared" si="42"/>
        <v>2.7842220000000002</v>
      </c>
      <c r="W118" s="650">
        <f t="shared" si="42"/>
        <v>0</v>
      </c>
      <c r="X118" s="650">
        <f t="shared" si="42"/>
        <v>2.3709848400000002</v>
      </c>
      <c r="Y118" s="650">
        <f t="shared" si="42"/>
        <v>0</v>
      </c>
      <c r="Z118" s="650">
        <f t="shared" si="42"/>
        <v>1.9541888999999999</v>
      </c>
      <c r="AA118" s="651">
        <f t="shared" si="38"/>
        <v>0.45881620106719556</v>
      </c>
      <c r="AB118" s="650">
        <f t="shared" si="44"/>
        <v>25.864794360000001</v>
      </c>
      <c r="AC118" s="650">
        <f t="shared" si="44"/>
        <v>9.7971119999999995E-2</v>
      </c>
      <c r="AD118" s="650">
        <f t="shared" si="44"/>
        <v>5.3871555600000001</v>
      </c>
      <c r="AE118" s="650">
        <f t="shared" si="44"/>
        <v>12.58217136</v>
      </c>
      <c r="AF118" s="650">
        <f t="shared" si="44"/>
        <v>0.60164315999999995</v>
      </c>
      <c r="AG118" s="650">
        <f t="shared" si="44"/>
        <v>2.59707204</v>
      </c>
      <c r="AH118" s="650">
        <f t="shared" si="44"/>
        <v>0</v>
      </c>
      <c r="AI118" s="651">
        <f t="shared" si="47"/>
        <v>0</v>
      </c>
      <c r="AJ118" s="651">
        <f t="shared" si="47"/>
        <v>0.44435965907348451</v>
      </c>
      <c r="AK118" s="651">
        <f t="shared" si="47"/>
        <v>0</v>
      </c>
      <c r="AL118" s="651">
        <f t="shared" si="47"/>
        <v>0.1550969222272757</v>
      </c>
      <c r="AM118" s="651">
        <f t="shared" si="47"/>
        <v>1.7595682112923137</v>
      </c>
      <c r="AN118" s="652">
        <f t="shared" si="47"/>
        <v>1.6103905464232342E-2</v>
      </c>
    </row>
    <row r="119" spans="1:40">
      <c r="B119" s="408"/>
      <c r="C119" s="633" t="s">
        <v>510</v>
      </c>
      <c r="D119" s="649">
        <f t="shared" si="45"/>
        <v>6.248799</v>
      </c>
      <c r="E119" s="650">
        <f t="shared" si="45"/>
        <v>4.6222272000000002</v>
      </c>
      <c r="F119" s="650">
        <f t="shared" si="45"/>
        <v>6.59295396</v>
      </c>
      <c r="G119" s="651">
        <f t="shared" si="36"/>
        <v>6.307093957737723</v>
      </c>
      <c r="H119" s="650">
        <f t="shared" si="43"/>
        <v>0.15114348</v>
      </c>
      <c r="I119" s="650">
        <f t="shared" si="43"/>
        <v>9.9059688000000001</v>
      </c>
      <c r="J119" s="650">
        <f t="shared" si="43"/>
        <v>47.863078920000007</v>
      </c>
      <c r="K119" s="650">
        <f t="shared" si="43"/>
        <v>2.93159736</v>
      </c>
      <c r="L119" s="650">
        <f t="shared" si="43"/>
        <v>0.48692484000000008</v>
      </c>
      <c r="M119" s="650">
        <f t="shared" si="43"/>
        <v>28.705956840000002</v>
      </c>
      <c r="N119" s="650">
        <f t="shared" si="43"/>
        <v>8.3547594000000007</v>
      </c>
      <c r="O119" s="650">
        <f t="shared" si="43"/>
        <v>59.735587680000002</v>
      </c>
      <c r="P119" s="650">
        <f t="shared" si="43"/>
        <v>9.9176918399999998</v>
      </c>
      <c r="Q119" s="650">
        <f t="shared" si="43"/>
        <v>2.2336578</v>
      </c>
      <c r="R119" s="650">
        <f t="shared" si="43"/>
        <v>3.21295032</v>
      </c>
      <c r="S119" s="650">
        <f t="shared" si="43"/>
        <v>3.5374273199999999</v>
      </c>
      <c r="T119" s="651">
        <f t="shared" si="37"/>
        <v>0.32799301282555676</v>
      </c>
      <c r="U119" s="650">
        <f t="shared" si="42"/>
        <v>16.350710039999999</v>
      </c>
      <c r="V119" s="650">
        <f t="shared" si="42"/>
        <v>0.64309247999999997</v>
      </c>
      <c r="W119" s="650">
        <f t="shared" si="42"/>
        <v>0.15407424000000003</v>
      </c>
      <c r="X119" s="650">
        <f t="shared" si="42"/>
        <v>0.32196492000000004</v>
      </c>
      <c r="Y119" s="650">
        <f t="shared" si="42"/>
        <v>9.2528280000000004E-2</v>
      </c>
      <c r="Z119" s="650">
        <f t="shared" si="42"/>
        <v>3.1823866800000005</v>
      </c>
      <c r="AA119" s="651">
        <f t="shared" si="38"/>
        <v>14.03719857581242</v>
      </c>
      <c r="AB119" s="650">
        <f t="shared" si="44"/>
        <v>4.3103106000000002</v>
      </c>
      <c r="AC119" s="650">
        <f t="shared" si="44"/>
        <v>3.7957528800000002</v>
      </c>
      <c r="AD119" s="650">
        <f t="shared" si="44"/>
        <v>2.5510172400000002</v>
      </c>
      <c r="AE119" s="650">
        <f t="shared" si="44"/>
        <v>13.492381680000001</v>
      </c>
      <c r="AF119" s="650">
        <f t="shared" si="44"/>
        <v>1.8225140400000002</v>
      </c>
      <c r="AG119" s="650">
        <f t="shared" si="44"/>
        <v>1.17565344</v>
      </c>
      <c r="AH119" s="650">
        <f t="shared" si="44"/>
        <v>31.251949920000005</v>
      </c>
      <c r="AI119" s="651">
        <f t="shared" si="47"/>
        <v>1.4130567221502339</v>
      </c>
      <c r="AJ119" s="651">
        <f t="shared" si="47"/>
        <v>1.5351358410795786</v>
      </c>
      <c r="AK119" s="651">
        <f t="shared" si="47"/>
        <v>0.72025857001731974</v>
      </c>
      <c r="AL119" s="651">
        <f t="shared" si="47"/>
        <v>1.0592204348738392</v>
      </c>
      <c r="AM119" s="651">
        <f t="shared" si="47"/>
        <v>4.9456571400094429</v>
      </c>
      <c r="AN119" s="652">
        <f t="shared" si="47"/>
        <v>0.75726564074384928</v>
      </c>
    </row>
    <row r="120" spans="1:40">
      <c r="B120" s="408"/>
      <c r="C120" s="633" t="s">
        <v>527</v>
      </c>
      <c r="D120" s="649">
        <f t="shared" si="45"/>
        <v>4.3107292800000003</v>
      </c>
      <c r="E120" s="650">
        <f t="shared" si="45"/>
        <v>13.33537668</v>
      </c>
      <c r="F120" s="650">
        <f t="shared" si="45"/>
        <v>0.10927547999999999</v>
      </c>
      <c r="G120" s="651">
        <f t="shared" si="36"/>
        <v>4.3861591267776099</v>
      </c>
      <c r="H120" s="650">
        <f t="shared" si="43"/>
        <v>0</v>
      </c>
      <c r="I120" s="650">
        <f t="shared" si="43"/>
        <v>5.5969142400000003</v>
      </c>
      <c r="J120" s="650">
        <f t="shared" si="43"/>
        <v>87.55603631999999</v>
      </c>
      <c r="K120" s="650">
        <f t="shared" si="43"/>
        <v>2.7398419199999999</v>
      </c>
      <c r="L120" s="650">
        <f t="shared" si="43"/>
        <v>0.15993576000000001</v>
      </c>
      <c r="M120" s="650">
        <f t="shared" si="43"/>
        <v>25.120381320000003</v>
      </c>
      <c r="N120" s="650">
        <f t="shared" si="43"/>
        <v>0.14528196000000002</v>
      </c>
      <c r="O120" s="650">
        <f t="shared" si="43"/>
        <v>53.040475799999996</v>
      </c>
      <c r="P120" s="650">
        <f t="shared" si="43"/>
        <v>0.41491188000000001</v>
      </c>
      <c r="Q120" s="650">
        <f t="shared" si="43"/>
        <v>2.1888590400000001</v>
      </c>
      <c r="R120" s="650">
        <f t="shared" si="43"/>
        <v>7.6275122400000006</v>
      </c>
      <c r="S120" s="650">
        <f t="shared" si="43"/>
        <v>3.1982965200000004</v>
      </c>
      <c r="T120" s="651">
        <f t="shared" si="37"/>
        <v>0</v>
      </c>
      <c r="U120" s="650">
        <f t="shared" si="42"/>
        <v>78.979795200000012</v>
      </c>
      <c r="V120" s="650">
        <f t="shared" si="42"/>
        <v>0.42663492000000003</v>
      </c>
      <c r="W120" s="650">
        <f t="shared" si="42"/>
        <v>0.51790716000000003</v>
      </c>
      <c r="X120" s="650">
        <f t="shared" si="42"/>
        <v>0.46096668000000002</v>
      </c>
      <c r="Y120" s="650">
        <f t="shared" si="42"/>
        <v>0</v>
      </c>
      <c r="Z120" s="650">
        <f t="shared" si="42"/>
        <v>37.557480060000003</v>
      </c>
      <c r="AA120" s="651">
        <f t="shared" si="38"/>
        <v>1.1958860363180964E-2</v>
      </c>
      <c r="AB120" s="650">
        <f t="shared" si="44"/>
        <v>12.39837084</v>
      </c>
      <c r="AC120" s="650">
        <f t="shared" si="44"/>
        <v>2.30608944</v>
      </c>
      <c r="AD120" s="650">
        <f t="shared" si="44"/>
        <v>6.3555624000000011</v>
      </c>
      <c r="AE120" s="650">
        <f t="shared" si="44"/>
        <v>0.35880876000000006</v>
      </c>
      <c r="AF120" s="650">
        <f t="shared" si="44"/>
        <v>0.44128871999999997</v>
      </c>
      <c r="AG120" s="650">
        <f t="shared" si="44"/>
        <v>4.0800366000000006</v>
      </c>
      <c r="AH120" s="650">
        <f t="shared" si="44"/>
        <v>127.75517784000002</v>
      </c>
      <c r="AI120" s="651">
        <f t="shared" si="47"/>
        <v>0</v>
      </c>
      <c r="AJ120" s="651">
        <f t="shared" si="47"/>
        <v>0.15701012969755743</v>
      </c>
      <c r="AK120" s="651">
        <f t="shared" si="47"/>
        <v>0</v>
      </c>
      <c r="AL120" s="651">
        <f t="shared" si="47"/>
        <v>0</v>
      </c>
      <c r="AM120" s="651">
        <f t="shared" si="47"/>
        <v>0.78344725394145109</v>
      </c>
      <c r="AN120" s="652">
        <f t="shared" si="47"/>
        <v>0</v>
      </c>
    </row>
    <row r="121" spans="1:40">
      <c r="B121" s="408"/>
      <c r="C121" s="633" t="s">
        <v>533</v>
      </c>
      <c r="D121" s="649">
        <f t="shared" si="45"/>
        <v>3.4348507200000005</v>
      </c>
      <c r="E121" s="650">
        <f t="shared" si="45"/>
        <v>9.0744703200000014</v>
      </c>
      <c r="F121" s="650">
        <f t="shared" si="45"/>
        <v>0</v>
      </c>
      <c r="G121" s="651">
        <f t="shared" si="36"/>
        <v>9.624232997777348</v>
      </c>
      <c r="H121" s="650">
        <f t="shared" si="43"/>
        <v>7.285032000000001E-2</v>
      </c>
      <c r="I121" s="650">
        <f t="shared" si="43"/>
        <v>0</v>
      </c>
      <c r="J121" s="650">
        <f t="shared" si="43"/>
        <v>45.811965600000008</v>
      </c>
      <c r="K121" s="650">
        <f t="shared" si="43"/>
        <v>1.2891157200000001</v>
      </c>
      <c r="L121" s="650">
        <f t="shared" si="43"/>
        <v>7.5362400000000005E-3</v>
      </c>
      <c r="M121" s="650">
        <f t="shared" si="43"/>
        <v>7.030893240000001</v>
      </c>
      <c r="N121" s="650">
        <f t="shared" si="43"/>
        <v>1.79153172</v>
      </c>
      <c r="O121" s="650">
        <f t="shared" si="43"/>
        <v>19.24588224</v>
      </c>
      <c r="P121" s="650">
        <f t="shared" si="43"/>
        <v>1.8539150400000002</v>
      </c>
      <c r="Q121" s="650">
        <f t="shared" si="43"/>
        <v>0.46557216000000001</v>
      </c>
      <c r="R121" s="650">
        <f t="shared" si="43"/>
        <v>0</v>
      </c>
      <c r="S121" s="650">
        <f t="shared" si="43"/>
        <v>4.0900849199999998</v>
      </c>
      <c r="T121" s="651">
        <f t="shared" si="37"/>
        <v>5.1268572938542199E-3</v>
      </c>
      <c r="U121" s="650">
        <f t="shared" si="42"/>
        <v>7.3666745999999996</v>
      </c>
      <c r="V121" s="650">
        <f t="shared" si="42"/>
        <v>1.7584559999999999E-2</v>
      </c>
      <c r="W121" s="650">
        <f t="shared" si="42"/>
        <v>0.43124040000000008</v>
      </c>
      <c r="X121" s="650">
        <f t="shared" si="42"/>
        <v>0.10508868</v>
      </c>
      <c r="Y121" s="650">
        <f t="shared" si="42"/>
        <v>0</v>
      </c>
      <c r="Z121" s="650">
        <f t="shared" si="42"/>
        <v>0.25141733999999999</v>
      </c>
      <c r="AA121" s="651">
        <f t="shared" si="38"/>
        <v>0.4568864453499854</v>
      </c>
      <c r="AB121" s="650">
        <f t="shared" si="44"/>
        <v>0.35336592</v>
      </c>
      <c r="AC121" s="650">
        <f t="shared" si="44"/>
        <v>1.1492766000000001</v>
      </c>
      <c r="AD121" s="650">
        <f t="shared" si="44"/>
        <v>0.25832556000000001</v>
      </c>
      <c r="AE121" s="650">
        <f t="shared" si="44"/>
        <v>0.15993576000000001</v>
      </c>
      <c r="AF121" s="650">
        <f t="shared" si="44"/>
        <v>1.1124327600000001</v>
      </c>
      <c r="AG121" s="650">
        <f t="shared" si="44"/>
        <v>0</v>
      </c>
      <c r="AH121" s="650">
        <f t="shared" si="44"/>
        <v>9.278786160000001</v>
      </c>
      <c r="AI121" s="651">
        <f t="shared" si="47"/>
        <v>3.7268085838520985E-3</v>
      </c>
      <c r="AJ121" s="651">
        <f t="shared" si="47"/>
        <v>0</v>
      </c>
      <c r="AK121" s="651">
        <f t="shared" si="47"/>
        <v>0</v>
      </c>
      <c r="AL121" s="651">
        <f t="shared" si="47"/>
        <v>0.1019697999738528</v>
      </c>
      <c r="AM121" s="651">
        <f t="shared" si="47"/>
        <v>3.2182873578245554E-3</v>
      </c>
      <c r="AN121" s="652">
        <f t="shared" si="47"/>
        <v>4.4239016878023278E-2</v>
      </c>
    </row>
    <row r="122" spans="1:40">
      <c r="B122" s="408"/>
      <c r="C122" s="633" t="s">
        <v>528</v>
      </c>
      <c r="D122" s="649">
        <f t="shared" si="45"/>
        <v>0.3433176</v>
      </c>
      <c r="E122" s="650">
        <f t="shared" si="45"/>
        <v>0.35839008000000006</v>
      </c>
      <c r="F122" s="650">
        <f t="shared" si="45"/>
        <v>5.0241599999999997E-3</v>
      </c>
      <c r="G122" s="651">
        <f t="shared" si="36"/>
        <v>0</v>
      </c>
      <c r="H122" s="650">
        <f t="shared" si="43"/>
        <v>3.1819680000000003E-2</v>
      </c>
      <c r="I122" s="650">
        <f t="shared" si="43"/>
        <v>6.5732760000000001E-2</v>
      </c>
      <c r="J122" s="650">
        <f t="shared" si="43"/>
        <v>5.5458352800000004</v>
      </c>
      <c r="K122" s="650">
        <f t="shared" si="43"/>
        <v>0.14025780000000002</v>
      </c>
      <c r="L122" s="650">
        <f t="shared" si="43"/>
        <v>2.5120800000000002E-2</v>
      </c>
      <c r="M122" s="650">
        <f t="shared" si="43"/>
        <v>14.258984760000001</v>
      </c>
      <c r="N122" s="650">
        <f t="shared" si="43"/>
        <v>0.17249616000000001</v>
      </c>
      <c r="O122" s="650">
        <f t="shared" si="43"/>
        <v>12.797791560000002</v>
      </c>
      <c r="P122" s="650">
        <f t="shared" si="43"/>
        <v>0.47436444000000005</v>
      </c>
      <c r="Q122" s="650">
        <f t="shared" si="43"/>
        <v>0.69961428000000003</v>
      </c>
      <c r="R122" s="650">
        <f t="shared" si="43"/>
        <v>1.0617724800000001</v>
      </c>
      <c r="S122" s="650">
        <f t="shared" si="43"/>
        <v>0.56312459999999998</v>
      </c>
      <c r="T122" s="651">
        <f t="shared" si="37"/>
        <v>1.9183943661971833E-2</v>
      </c>
      <c r="U122" s="650">
        <f t="shared" si="42"/>
        <v>13.426230240000001</v>
      </c>
      <c r="V122" s="650">
        <f t="shared" si="42"/>
        <v>0.20766528000000001</v>
      </c>
      <c r="W122" s="650">
        <f t="shared" si="42"/>
        <v>1.3816440000000001E-2</v>
      </c>
      <c r="X122" s="650">
        <f t="shared" si="42"/>
        <v>0.14988744000000001</v>
      </c>
      <c r="Y122" s="650">
        <f t="shared" si="42"/>
        <v>0.1716588</v>
      </c>
      <c r="Z122" s="650">
        <f t="shared" si="42"/>
        <v>0.15533028000000002</v>
      </c>
      <c r="AA122" s="651">
        <f t="shared" si="38"/>
        <v>0.2306243661971831</v>
      </c>
      <c r="AB122" s="650">
        <f t="shared" si="44"/>
        <v>2.0766528000000002</v>
      </c>
      <c r="AC122" s="650">
        <f t="shared" si="44"/>
        <v>4.0691509200000002</v>
      </c>
      <c r="AD122" s="650">
        <f t="shared" si="44"/>
        <v>0.57652236000000001</v>
      </c>
      <c r="AE122" s="650">
        <f t="shared" si="44"/>
        <v>0</v>
      </c>
      <c r="AF122" s="650">
        <f t="shared" si="44"/>
        <v>0.2449278</v>
      </c>
      <c r="AG122" s="650">
        <f t="shared" si="44"/>
        <v>9.6715080000000009E-2</v>
      </c>
      <c r="AH122" s="650">
        <f t="shared" si="44"/>
        <v>2.4660252000000003</v>
      </c>
      <c r="AI122" s="651">
        <f t="shared" si="47"/>
        <v>0.76563850227554808</v>
      </c>
      <c r="AJ122" s="651">
        <f t="shared" si="47"/>
        <v>0</v>
      </c>
      <c r="AK122" s="651">
        <f t="shared" si="47"/>
        <v>0</v>
      </c>
      <c r="AL122" s="651">
        <f t="shared" si="47"/>
        <v>8.5335509672619048E-2</v>
      </c>
      <c r="AM122" s="651">
        <f t="shared" si="47"/>
        <v>0.26391966765873021</v>
      </c>
      <c r="AN122" s="652">
        <f t="shared" si="47"/>
        <v>9.5068948412698431E-2</v>
      </c>
    </row>
    <row r="123" spans="1:40">
      <c r="B123" s="408"/>
      <c r="C123" s="633" t="s">
        <v>536</v>
      </c>
      <c r="D123" s="649">
        <f t="shared" si="45"/>
        <v>4.28393376</v>
      </c>
      <c r="E123" s="650">
        <f t="shared" si="45"/>
        <v>0.47017764000000006</v>
      </c>
      <c r="F123" s="650">
        <f t="shared" si="45"/>
        <v>0.27004860000000003</v>
      </c>
      <c r="G123" s="651">
        <f t="shared" si="36"/>
        <v>1.16778</v>
      </c>
      <c r="H123" s="650">
        <f t="shared" si="43"/>
        <v>2.16290088</v>
      </c>
      <c r="I123" s="650">
        <f t="shared" si="43"/>
        <v>0.28595844000000004</v>
      </c>
      <c r="J123" s="650">
        <f t="shared" si="43"/>
        <v>18.133030800000004</v>
      </c>
      <c r="K123" s="650">
        <f t="shared" si="43"/>
        <v>0.44003268000000001</v>
      </c>
      <c r="L123" s="650">
        <f t="shared" si="43"/>
        <v>0</v>
      </c>
      <c r="M123" s="650">
        <f t="shared" si="43"/>
        <v>6.3011340000000002</v>
      </c>
      <c r="N123" s="650">
        <f t="shared" si="43"/>
        <v>3.8937240000000005E-2</v>
      </c>
      <c r="O123" s="650">
        <f t="shared" si="43"/>
        <v>1.7869262400000001</v>
      </c>
      <c r="P123" s="650">
        <f t="shared" si="43"/>
        <v>7.522842240000001</v>
      </c>
      <c r="Q123" s="650">
        <f t="shared" si="43"/>
        <v>0.21813228000000001</v>
      </c>
      <c r="R123" s="650">
        <f t="shared" si="43"/>
        <v>0.21310812000000001</v>
      </c>
      <c r="S123" s="650">
        <f t="shared" si="43"/>
        <v>0.22399379999999999</v>
      </c>
      <c r="T123" s="651">
        <f t="shared" si="37"/>
        <v>0</v>
      </c>
      <c r="U123" s="650">
        <f t="shared" si="42"/>
        <v>4.1558176800000002</v>
      </c>
      <c r="V123" s="650">
        <f t="shared" si="42"/>
        <v>0</v>
      </c>
      <c r="W123" s="650">
        <f t="shared" si="42"/>
        <v>3.600648E-2</v>
      </c>
      <c r="X123" s="650">
        <f t="shared" si="42"/>
        <v>0</v>
      </c>
      <c r="Y123" s="650">
        <f t="shared" si="42"/>
        <v>0</v>
      </c>
      <c r="Z123" s="650">
        <f t="shared" si="42"/>
        <v>0.86499288000000008</v>
      </c>
      <c r="AA123" s="651">
        <f t="shared" si="38"/>
        <v>0</v>
      </c>
      <c r="AB123" s="650">
        <f t="shared" si="44"/>
        <v>0</v>
      </c>
      <c r="AC123" s="650">
        <f t="shared" si="44"/>
        <v>1.4628679200000001</v>
      </c>
      <c r="AD123" s="650">
        <f t="shared" si="44"/>
        <v>0</v>
      </c>
      <c r="AE123" s="650">
        <f t="shared" si="44"/>
        <v>0.43207776000000003</v>
      </c>
      <c r="AF123" s="650">
        <f t="shared" si="44"/>
        <v>0.21185208</v>
      </c>
      <c r="AG123" s="650">
        <f t="shared" si="44"/>
        <v>0</v>
      </c>
      <c r="AH123" s="650">
        <f t="shared" si="44"/>
        <v>3.6408412800000001</v>
      </c>
      <c r="AI123" s="651">
        <f t="shared" si="47"/>
        <v>8.3989999999999995E-2</v>
      </c>
      <c r="AJ123" s="651">
        <f t="shared" si="47"/>
        <v>0</v>
      </c>
      <c r="AK123" s="651">
        <f t="shared" si="47"/>
        <v>0</v>
      </c>
      <c r="AL123" s="651">
        <f t="shared" si="47"/>
        <v>0</v>
      </c>
      <c r="AM123" s="651">
        <f t="shared" si="47"/>
        <v>0</v>
      </c>
      <c r="AN123" s="652">
        <f t="shared" si="47"/>
        <v>6.9900000000000006E-3</v>
      </c>
    </row>
    <row r="124" spans="1:40">
      <c r="B124" s="547"/>
      <c r="C124" s="619" t="s">
        <v>529</v>
      </c>
      <c r="D124" s="653">
        <f t="shared" si="45"/>
        <v>7.285032000000001E-2</v>
      </c>
      <c r="E124" s="654">
        <f t="shared" si="45"/>
        <v>0</v>
      </c>
      <c r="F124" s="654">
        <f t="shared" si="45"/>
        <v>4.8985559999999997E-2</v>
      </c>
      <c r="G124" s="655">
        <f t="shared" si="36"/>
        <v>0</v>
      </c>
      <c r="H124" s="654">
        <f t="shared" si="43"/>
        <v>0</v>
      </c>
      <c r="I124" s="654">
        <f t="shared" si="43"/>
        <v>0.30228695999999999</v>
      </c>
      <c r="J124" s="654">
        <f t="shared" si="43"/>
        <v>0</v>
      </c>
      <c r="K124" s="654">
        <f t="shared" si="43"/>
        <v>0</v>
      </c>
      <c r="L124" s="654">
        <f t="shared" si="43"/>
        <v>0</v>
      </c>
      <c r="M124" s="654">
        <f t="shared" si="43"/>
        <v>0</v>
      </c>
      <c r="N124" s="654">
        <f t="shared" si="43"/>
        <v>0</v>
      </c>
      <c r="O124" s="654">
        <f t="shared" si="43"/>
        <v>0</v>
      </c>
      <c r="P124" s="654">
        <f t="shared" si="43"/>
        <v>0</v>
      </c>
      <c r="Q124" s="654">
        <f t="shared" si="43"/>
        <v>0</v>
      </c>
      <c r="R124" s="654">
        <f t="shared" si="43"/>
        <v>1.9259280000000004E-2</v>
      </c>
      <c r="S124" s="654">
        <f t="shared" si="43"/>
        <v>1.61359272</v>
      </c>
      <c r="T124" s="655">
        <f t="shared" si="37"/>
        <v>0</v>
      </c>
      <c r="U124" s="654">
        <f t="shared" si="42"/>
        <v>0</v>
      </c>
      <c r="V124" s="654">
        <f t="shared" si="42"/>
        <v>0</v>
      </c>
      <c r="W124" s="654">
        <f t="shared" si="42"/>
        <v>0</v>
      </c>
      <c r="X124" s="654">
        <f t="shared" si="42"/>
        <v>0</v>
      </c>
      <c r="Y124" s="654">
        <f t="shared" si="42"/>
        <v>0</v>
      </c>
      <c r="Z124" s="654">
        <f t="shared" si="42"/>
        <v>0</v>
      </c>
      <c r="AA124" s="655">
        <f t="shared" si="38"/>
        <v>0</v>
      </c>
      <c r="AB124" s="654">
        <f t="shared" si="44"/>
        <v>21.105240120000001</v>
      </c>
      <c r="AC124" s="654">
        <f t="shared" si="44"/>
        <v>0</v>
      </c>
      <c r="AD124" s="654">
        <f t="shared" si="44"/>
        <v>0</v>
      </c>
      <c r="AE124" s="654">
        <f t="shared" si="44"/>
        <v>0</v>
      </c>
      <c r="AF124" s="654">
        <f t="shared" si="44"/>
        <v>0</v>
      </c>
      <c r="AG124" s="654">
        <f t="shared" si="44"/>
        <v>0</v>
      </c>
      <c r="AH124" s="654">
        <f t="shared" si="44"/>
        <v>0.67240007999999996</v>
      </c>
      <c r="AI124" s="655">
        <f t="shared" si="47"/>
        <v>0</v>
      </c>
      <c r="AJ124" s="655">
        <f t="shared" si="47"/>
        <v>0</v>
      </c>
      <c r="AK124" s="655">
        <f t="shared" si="47"/>
        <v>0</v>
      </c>
      <c r="AL124" s="655">
        <f t="shared" si="47"/>
        <v>0</v>
      </c>
      <c r="AM124" s="655">
        <f t="shared" si="47"/>
        <v>0</v>
      </c>
      <c r="AN124" s="656">
        <f t="shared" si="47"/>
        <v>0</v>
      </c>
    </row>
    <row r="125" spans="1:40">
      <c r="D125" s="496"/>
      <c r="E125" s="467"/>
      <c r="F125" s="467"/>
      <c r="G125" s="467"/>
      <c r="H125" s="467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67"/>
      <c r="X125" s="467"/>
      <c r="Y125" s="467"/>
      <c r="Z125" s="467"/>
      <c r="AA125" s="467"/>
      <c r="AB125" s="467"/>
      <c r="AC125" s="467"/>
      <c r="AD125" s="467"/>
      <c r="AE125" s="693"/>
      <c r="AF125" s="467"/>
      <c r="AG125" s="467"/>
      <c r="AH125" s="467"/>
      <c r="AI125" s="467"/>
      <c r="AJ125" s="467"/>
      <c r="AK125" s="467"/>
      <c r="AL125" s="467"/>
      <c r="AM125" s="467"/>
      <c r="AN125" s="467"/>
    </row>
    <row r="126" spans="1:40" ht="21">
      <c r="A126" s="3" t="s">
        <v>538</v>
      </c>
      <c r="B126" s="606"/>
      <c r="D126" s="509">
        <v>2</v>
      </c>
      <c r="E126" s="509">
        <v>3</v>
      </c>
      <c r="F126" s="509">
        <v>4</v>
      </c>
      <c r="G126" s="509">
        <v>5</v>
      </c>
      <c r="H126" s="509">
        <v>6</v>
      </c>
      <c r="I126" s="509">
        <v>7</v>
      </c>
      <c r="J126" s="509">
        <v>8</v>
      </c>
      <c r="K126" s="509">
        <v>9</v>
      </c>
      <c r="L126" s="509">
        <v>10</v>
      </c>
      <c r="M126" s="509">
        <v>11</v>
      </c>
      <c r="N126" s="509">
        <v>12</v>
      </c>
      <c r="O126" s="509">
        <v>13</v>
      </c>
      <c r="P126" s="509">
        <v>14</v>
      </c>
      <c r="Q126" s="509">
        <v>15</v>
      </c>
      <c r="R126" s="509">
        <v>16</v>
      </c>
      <c r="S126" s="509">
        <v>17</v>
      </c>
      <c r="T126" s="509">
        <v>18</v>
      </c>
      <c r="U126" s="509">
        <v>19</v>
      </c>
      <c r="V126" s="509">
        <v>20</v>
      </c>
      <c r="W126" s="509">
        <v>21</v>
      </c>
      <c r="X126" s="509">
        <v>22</v>
      </c>
      <c r="Y126" s="509">
        <v>23</v>
      </c>
      <c r="Z126" s="509">
        <v>24</v>
      </c>
      <c r="AA126" s="509">
        <v>25</v>
      </c>
      <c r="AB126" s="509">
        <v>26</v>
      </c>
      <c r="AC126" s="509">
        <v>27</v>
      </c>
      <c r="AD126" s="509">
        <v>28</v>
      </c>
      <c r="AE126" s="509">
        <v>29</v>
      </c>
      <c r="AF126" s="509">
        <v>30</v>
      </c>
      <c r="AG126" s="509">
        <v>31</v>
      </c>
      <c r="AH126" s="509">
        <v>32</v>
      </c>
      <c r="AI126" s="509">
        <v>33</v>
      </c>
      <c r="AJ126" s="509">
        <v>34</v>
      </c>
      <c r="AK126" s="509">
        <v>35</v>
      </c>
      <c r="AL126" s="509">
        <v>36</v>
      </c>
      <c r="AM126" s="509">
        <v>37</v>
      </c>
      <c r="AN126" s="509">
        <v>38</v>
      </c>
    </row>
    <row r="127" spans="1:40">
      <c r="A127" t="s">
        <v>693</v>
      </c>
      <c r="D127" s="663" t="s">
        <v>88</v>
      </c>
      <c r="E127" s="165" t="s">
        <v>89</v>
      </c>
      <c r="F127" s="165" t="s">
        <v>90</v>
      </c>
      <c r="G127" s="165" t="s">
        <v>91</v>
      </c>
      <c r="H127" s="165" t="s">
        <v>92</v>
      </c>
      <c r="I127" s="165" t="s">
        <v>93</v>
      </c>
      <c r="J127" s="165" t="s">
        <v>94</v>
      </c>
      <c r="K127" s="165" t="s">
        <v>95</v>
      </c>
      <c r="L127" s="165" t="s">
        <v>96</v>
      </c>
      <c r="M127" s="165" t="s">
        <v>97</v>
      </c>
      <c r="N127" s="165" t="s">
        <v>98</v>
      </c>
      <c r="O127" s="165" t="s">
        <v>99</v>
      </c>
      <c r="P127" s="165" t="s">
        <v>205</v>
      </c>
      <c r="Q127" s="165" t="s">
        <v>118</v>
      </c>
      <c r="R127" s="165" t="s">
        <v>100</v>
      </c>
      <c r="S127" s="165" t="s">
        <v>101</v>
      </c>
      <c r="T127" s="165" t="s">
        <v>102</v>
      </c>
      <c r="U127" s="165" t="s">
        <v>103</v>
      </c>
      <c r="V127" s="165" t="s">
        <v>104</v>
      </c>
      <c r="W127" s="165" t="s">
        <v>105</v>
      </c>
      <c r="X127" s="165" t="s">
        <v>106</v>
      </c>
      <c r="Y127" s="165" t="s">
        <v>107</v>
      </c>
      <c r="Z127" s="165" t="s">
        <v>108</v>
      </c>
      <c r="AA127" s="165" t="s">
        <v>109</v>
      </c>
      <c r="AB127" s="165" t="s">
        <v>110</v>
      </c>
      <c r="AC127" s="165" t="s">
        <v>111</v>
      </c>
      <c r="AD127" s="165" t="s">
        <v>112</v>
      </c>
      <c r="AE127" s="165" t="s">
        <v>113</v>
      </c>
      <c r="AF127" s="165" t="s">
        <v>114</v>
      </c>
      <c r="AG127" s="165" t="s">
        <v>115</v>
      </c>
      <c r="AH127" s="165" t="s">
        <v>52</v>
      </c>
      <c r="AI127" s="165" t="s">
        <v>116</v>
      </c>
      <c r="AJ127" s="165" t="s">
        <v>117</v>
      </c>
      <c r="AK127" s="165" t="s">
        <v>119</v>
      </c>
      <c r="AL127" s="165" t="s">
        <v>120</v>
      </c>
      <c r="AM127" s="165" t="s">
        <v>121</v>
      </c>
      <c r="AN127" s="166" t="s">
        <v>122</v>
      </c>
    </row>
    <row r="128" spans="1:40">
      <c r="B128" s="675"/>
      <c r="C128" s="676"/>
      <c r="D128" s="672">
        <v>0.69</v>
      </c>
      <c r="E128" s="672">
        <v>0.65</v>
      </c>
      <c r="F128" s="672">
        <v>0.57999999999999996</v>
      </c>
      <c r="G128" s="673">
        <f t="shared" ref="G128:G143" si="48">$J128</f>
        <v>0.74</v>
      </c>
      <c r="H128" s="672">
        <v>0.74</v>
      </c>
      <c r="I128" s="672">
        <v>0.61</v>
      </c>
      <c r="J128" s="672">
        <v>0.74</v>
      </c>
      <c r="K128" s="672">
        <v>0.77</v>
      </c>
      <c r="L128" s="672">
        <v>0.64</v>
      </c>
      <c r="M128" s="672">
        <v>0.63</v>
      </c>
      <c r="N128" s="672">
        <v>0.78</v>
      </c>
      <c r="O128" s="672">
        <v>0.69</v>
      </c>
      <c r="P128" s="672">
        <v>0.64</v>
      </c>
      <c r="Q128" s="672">
        <v>0.66</v>
      </c>
      <c r="R128" s="672">
        <v>0.59</v>
      </c>
      <c r="S128" s="672">
        <v>0.64</v>
      </c>
      <c r="T128" s="673">
        <f t="shared" ref="T128:T142" si="49">$K128</f>
        <v>0.77</v>
      </c>
      <c r="U128" s="672">
        <v>0.63</v>
      </c>
      <c r="V128" s="672">
        <v>0.6</v>
      </c>
      <c r="W128" s="672">
        <v>0.69</v>
      </c>
      <c r="X128" s="672">
        <v>0.6</v>
      </c>
      <c r="Y128" s="672">
        <v>0.78</v>
      </c>
      <c r="Z128" s="672">
        <v>0.71</v>
      </c>
      <c r="AA128" s="673">
        <f t="shared" ref="AA128:AA142" si="50">$K128</f>
        <v>0.77</v>
      </c>
      <c r="AB128" s="672">
        <v>0.6</v>
      </c>
      <c r="AC128" s="672">
        <v>0.56000000000000005</v>
      </c>
      <c r="AD128" s="672">
        <v>0.52</v>
      </c>
      <c r="AE128" s="672">
        <v>0.8</v>
      </c>
      <c r="AF128" s="672">
        <v>0.62</v>
      </c>
      <c r="AG128" s="672">
        <v>0.61</v>
      </c>
      <c r="AH128" s="672">
        <v>0.68</v>
      </c>
      <c r="AI128" s="673">
        <f t="shared" ref="AI128:AI152" si="51">$P128</f>
        <v>0.64</v>
      </c>
      <c r="AJ128" s="673">
        <f t="shared" ref="AJ128:AN142" si="52">$Q128</f>
        <v>0.66</v>
      </c>
      <c r="AK128" s="673">
        <f t="shared" si="52"/>
        <v>0.66</v>
      </c>
      <c r="AL128" s="673">
        <f t="shared" ref="AK128:AL142" si="53">$P128</f>
        <v>0.64</v>
      </c>
      <c r="AM128" s="673">
        <f>$Q128</f>
        <v>0.66</v>
      </c>
      <c r="AN128" s="674">
        <f t="shared" si="52"/>
        <v>0.66</v>
      </c>
    </row>
    <row r="129" spans="2:40">
      <c r="B129" s="677" t="s">
        <v>524</v>
      </c>
      <c r="C129" s="611"/>
      <c r="D129">
        <v>0.74</v>
      </c>
      <c r="E129">
        <v>0.7</v>
      </c>
      <c r="F129">
        <v>0.69</v>
      </c>
      <c r="G129" s="207">
        <f t="shared" si="48"/>
        <v>0.78</v>
      </c>
      <c r="H129">
        <v>0.52</v>
      </c>
      <c r="I129">
        <v>0.68</v>
      </c>
      <c r="J129">
        <v>0.78</v>
      </c>
      <c r="K129">
        <v>0.8</v>
      </c>
      <c r="L129">
        <v>0.72</v>
      </c>
      <c r="M129">
        <v>0.61</v>
      </c>
      <c r="N129">
        <v>0.84</v>
      </c>
      <c r="O129">
        <v>0.71</v>
      </c>
      <c r="P129">
        <v>0.75</v>
      </c>
      <c r="Q129">
        <v>0.66</v>
      </c>
      <c r="R129">
        <v>0.56999999999999995</v>
      </c>
      <c r="S129">
        <v>0.7</v>
      </c>
      <c r="T129" s="207">
        <f t="shared" si="49"/>
        <v>0.8</v>
      </c>
      <c r="U129" s="764">
        <v>0.7</v>
      </c>
      <c r="V129">
        <v>0.61</v>
      </c>
      <c r="W129">
        <v>0.7</v>
      </c>
      <c r="X129">
        <v>0.54</v>
      </c>
      <c r="Y129">
        <v>0.54</v>
      </c>
      <c r="Z129">
        <v>0.66500000000000004</v>
      </c>
      <c r="AA129" s="207">
        <f t="shared" si="50"/>
        <v>0.8</v>
      </c>
      <c r="AB129">
        <v>0.59</v>
      </c>
      <c r="AC129">
        <v>0.49</v>
      </c>
      <c r="AD129">
        <v>0.42</v>
      </c>
      <c r="AE129">
        <v>0.84</v>
      </c>
      <c r="AF129">
        <v>0.61</v>
      </c>
      <c r="AG129">
        <v>0.64</v>
      </c>
      <c r="AH129">
        <v>0.63</v>
      </c>
      <c r="AI129" s="207">
        <f t="shared" si="51"/>
        <v>0.75</v>
      </c>
      <c r="AJ129" s="207">
        <f t="shared" si="52"/>
        <v>0.66</v>
      </c>
      <c r="AK129" s="207">
        <f t="shared" si="52"/>
        <v>0.66</v>
      </c>
      <c r="AL129" s="207">
        <f t="shared" si="53"/>
        <v>0.75</v>
      </c>
      <c r="AM129" s="207">
        <f t="shared" si="52"/>
        <v>0.66</v>
      </c>
      <c r="AN129" s="666">
        <f t="shared" si="52"/>
        <v>0.66</v>
      </c>
    </row>
    <row r="130" spans="2:40">
      <c r="B130" s="677"/>
      <c r="C130" s="611" t="s">
        <v>526</v>
      </c>
      <c r="D130">
        <v>0.35</v>
      </c>
      <c r="F130">
        <v>0.32</v>
      </c>
      <c r="G130" s="207">
        <f>$D130</f>
        <v>0.35</v>
      </c>
      <c r="I130">
        <v>0.32</v>
      </c>
      <c r="L130">
        <v>0.32</v>
      </c>
      <c r="M130">
        <v>0.33</v>
      </c>
      <c r="P130">
        <v>0.33</v>
      </c>
      <c r="R130">
        <v>0.33</v>
      </c>
      <c r="T130" s="207">
        <f>$D130</f>
        <v>0.35</v>
      </c>
      <c r="V130">
        <v>0.32</v>
      </c>
      <c r="X130">
        <v>0.33</v>
      </c>
      <c r="Z130" s="496"/>
      <c r="AA130" s="207">
        <f>$D130</f>
        <v>0.35</v>
      </c>
      <c r="AB130">
        <v>0.33</v>
      </c>
      <c r="AC130">
        <v>0.32</v>
      </c>
      <c r="AD130">
        <v>0.32</v>
      </c>
      <c r="AF130">
        <v>0.35</v>
      </c>
      <c r="AI130" s="207">
        <f>$P130</f>
        <v>0.33</v>
      </c>
      <c r="AJ130" s="207"/>
      <c r="AK130" s="207">
        <f t="shared" si="53"/>
        <v>0.33</v>
      </c>
      <c r="AL130" s="207">
        <f t="shared" si="53"/>
        <v>0.33</v>
      </c>
      <c r="AM130" s="207"/>
      <c r="AN130" s="666"/>
    </row>
    <row r="131" spans="2:40">
      <c r="B131" s="677"/>
      <c r="C131" s="611" t="s">
        <v>510</v>
      </c>
      <c r="D131">
        <v>0.83</v>
      </c>
      <c r="E131">
        <v>0.83</v>
      </c>
      <c r="F131">
        <v>0.8</v>
      </c>
      <c r="G131" s="207">
        <f t="shared" si="48"/>
        <v>0.84</v>
      </c>
      <c r="H131">
        <v>0.8</v>
      </c>
      <c r="I131">
        <v>0.8</v>
      </c>
      <c r="J131">
        <v>0.84</v>
      </c>
      <c r="K131">
        <v>0.84</v>
      </c>
      <c r="L131">
        <v>0.8</v>
      </c>
      <c r="M131">
        <v>0.81</v>
      </c>
      <c r="N131">
        <v>0.84</v>
      </c>
      <c r="O131">
        <v>0.84</v>
      </c>
      <c r="P131">
        <v>0.81</v>
      </c>
      <c r="Q131">
        <v>0.81</v>
      </c>
      <c r="R131">
        <v>0.81</v>
      </c>
      <c r="S131">
        <v>0.83</v>
      </c>
      <c r="T131" s="207">
        <f t="shared" si="49"/>
        <v>0.84</v>
      </c>
      <c r="U131">
        <v>0.84</v>
      </c>
      <c r="V131">
        <v>0.8</v>
      </c>
      <c r="W131">
        <v>0.84</v>
      </c>
      <c r="X131">
        <v>0.81</v>
      </c>
      <c r="Y131">
        <v>0.81</v>
      </c>
      <c r="Z131">
        <v>0.83499999999999996</v>
      </c>
      <c r="AA131" s="207">
        <f t="shared" si="50"/>
        <v>0.84</v>
      </c>
      <c r="AB131">
        <v>0.81</v>
      </c>
      <c r="AC131">
        <v>0.8</v>
      </c>
      <c r="AD131">
        <v>0.8</v>
      </c>
      <c r="AE131">
        <v>0.85</v>
      </c>
      <c r="AF131">
        <v>0.84</v>
      </c>
      <c r="AG131">
        <v>0.81</v>
      </c>
      <c r="AH131">
        <v>0.83</v>
      </c>
      <c r="AI131" s="207">
        <f t="shared" si="51"/>
        <v>0.81</v>
      </c>
      <c r="AJ131" s="207">
        <f t="shared" si="52"/>
        <v>0.81</v>
      </c>
      <c r="AK131" s="207">
        <f t="shared" si="52"/>
        <v>0.81</v>
      </c>
      <c r="AL131" s="207">
        <f t="shared" si="53"/>
        <v>0.81</v>
      </c>
      <c r="AM131" s="207">
        <f t="shared" si="52"/>
        <v>0.81</v>
      </c>
      <c r="AN131" s="666">
        <f t="shared" si="52"/>
        <v>0.81</v>
      </c>
    </row>
    <row r="132" spans="2:40">
      <c r="B132" s="677"/>
      <c r="C132" s="611" t="s">
        <v>527</v>
      </c>
      <c r="D132">
        <v>0.49</v>
      </c>
      <c r="E132">
        <v>0.49</v>
      </c>
      <c r="F132">
        <v>0.44</v>
      </c>
      <c r="G132" s="207">
        <f t="shared" si="48"/>
        <v>0.49</v>
      </c>
      <c r="I132">
        <v>0.45</v>
      </c>
      <c r="J132">
        <v>0.49</v>
      </c>
      <c r="K132">
        <v>0.49</v>
      </c>
      <c r="L132">
        <v>0.45</v>
      </c>
      <c r="M132">
        <v>0.46</v>
      </c>
      <c r="N132">
        <v>0.5</v>
      </c>
      <c r="O132">
        <v>0.49</v>
      </c>
      <c r="P132">
        <v>0.46</v>
      </c>
      <c r="Q132">
        <v>0.46</v>
      </c>
      <c r="R132">
        <v>0.46</v>
      </c>
      <c r="S132">
        <v>0.48</v>
      </c>
      <c r="T132" s="207">
        <f t="shared" si="49"/>
        <v>0.49</v>
      </c>
      <c r="U132">
        <v>0.5</v>
      </c>
      <c r="V132">
        <v>0.45</v>
      </c>
      <c r="W132">
        <v>0.5</v>
      </c>
      <c r="X132">
        <v>0.46</v>
      </c>
      <c r="Z132">
        <v>0.48499999999999999</v>
      </c>
      <c r="AA132" s="207">
        <f t="shared" si="50"/>
        <v>0.49</v>
      </c>
      <c r="AB132">
        <v>0.46</v>
      </c>
      <c r="AC132">
        <v>0.44</v>
      </c>
      <c r="AD132">
        <v>0.45</v>
      </c>
      <c r="AE132">
        <v>0.5</v>
      </c>
      <c r="AF132">
        <v>0.49</v>
      </c>
      <c r="AG132">
        <v>0.46</v>
      </c>
      <c r="AH132">
        <v>0.48</v>
      </c>
      <c r="AI132" s="207">
        <f t="shared" si="51"/>
        <v>0.46</v>
      </c>
      <c r="AJ132" s="207">
        <f t="shared" si="52"/>
        <v>0.46</v>
      </c>
      <c r="AK132" s="207">
        <f t="shared" si="52"/>
        <v>0.46</v>
      </c>
      <c r="AL132" s="207">
        <f t="shared" si="53"/>
        <v>0.46</v>
      </c>
      <c r="AM132" s="207">
        <f t="shared" si="52"/>
        <v>0.46</v>
      </c>
      <c r="AN132" s="666">
        <f t="shared" si="52"/>
        <v>0.46</v>
      </c>
    </row>
    <row r="133" spans="2:40">
      <c r="B133" s="677"/>
      <c r="C133" s="611" t="s">
        <v>528</v>
      </c>
      <c r="D133">
        <v>0.45</v>
      </c>
      <c r="E133">
        <v>0.45</v>
      </c>
      <c r="F133">
        <v>0.41</v>
      </c>
      <c r="G133" s="207">
        <f t="shared" si="48"/>
        <v>0.46</v>
      </c>
      <c r="H133">
        <v>0.42</v>
      </c>
      <c r="I133">
        <v>0.42</v>
      </c>
      <c r="J133">
        <v>0.46</v>
      </c>
      <c r="K133">
        <v>0.46</v>
      </c>
      <c r="L133">
        <v>0.42</v>
      </c>
      <c r="M133">
        <v>0.43</v>
      </c>
      <c r="N133">
        <v>0.46</v>
      </c>
      <c r="O133">
        <v>0.46</v>
      </c>
      <c r="P133">
        <v>0.43</v>
      </c>
      <c r="Q133">
        <v>0.43</v>
      </c>
      <c r="R133">
        <v>0.42</v>
      </c>
      <c r="S133">
        <v>0.45</v>
      </c>
      <c r="T133" s="207">
        <f t="shared" si="49"/>
        <v>0.46</v>
      </c>
      <c r="U133">
        <v>0.46</v>
      </c>
      <c r="V133">
        <v>0.42</v>
      </c>
      <c r="W133">
        <v>0.46</v>
      </c>
      <c r="X133">
        <v>0.43</v>
      </c>
      <c r="Y133">
        <v>0.43</v>
      </c>
      <c r="Z133">
        <v>0.45</v>
      </c>
      <c r="AA133" s="207">
        <f t="shared" si="50"/>
        <v>0.46</v>
      </c>
      <c r="AB133">
        <v>0.43</v>
      </c>
      <c r="AC133">
        <v>0.41</v>
      </c>
      <c r="AD133">
        <v>0.42</v>
      </c>
      <c r="AF133">
        <v>0.46</v>
      </c>
      <c r="AG133">
        <v>0.43</v>
      </c>
      <c r="AH133">
        <v>0.45</v>
      </c>
      <c r="AI133" s="207">
        <f t="shared" si="51"/>
        <v>0.43</v>
      </c>
      <c r="AJ133" s="207">
        <f t="shared" si="52"/>
        <v>0.43</v>
      </c>
      <c r="AK133" s="207">
        <f t="shared" si="52"/>
        <v>0.43</v>
      </c>
      <c r="AL133" s="207">
        <f t="shared" si="53"/>
        <v>0.43</v>
      </c>
      <c r="AM133" s="207">
        <f t="shared" si="52"/>
        <v>0.43</v>
      </c>
      <c r="AN133" s="666">
        <f t="shared" si="52"/>
        <v>0.43</v>
      </c>
    </row>
    <row r="134" spans="2:40">
      <c r="B134" s="678"/>
      <c r="C134" s="613" t="s">
        <v>529</v>
      </c>
      <c r="D134" s="575">
        <v>0.35</v>
      </c>
      <c r="E134" s="575"/>
      <c r="F134" s="575">
        <v>0.32</v>
      </c>
      <c r="G134" s="669">
        <f>$D134</f>
        <v>0.35</v>
      </c>
      <c r="H134" s="575"/>
      <c r="I134" s="575"/>
      <c r="J134" s="575"/>
      <c r="K134" s="575"/>
      <c r="L134" s="575"/>
      <c r="M134" s="575">
        <v>0.33</v>
      </c>
      <c r="N134" s="575"/>
      <c r="O134" s="575"/>
      <c r="P134" s="575"/>
      <c r="Q134" s="575"/>
      <c r="R134" s="575">
        <v>0.33</v>
      </c>
      <c r="S134" s="575"/>
      <c r="T134" s="669">
        <f>$D134</f>
        <v>0.35</v>
      </c>
      <c r="U134" s="575"/>
      <c r="V134" s="575"/>
      <c r="W134" s="575"/>
      <c r="X134" s="575"/>
      <c r="Y134" s="575"/>
      <c r="Z134" s="575"/>
      <c r="AA134" s="669">
        <f>$D134</f>
        <v>0.35</v>
      </c>
      <c r="AB134" s="575">
        <v>0.33</v>
      </c>
      <c r="AC134" s="575"/>
      <c r="AD134" s="575"/>
      <c r="AE134" s="575"/>
      <c r="AF134" s="575"/>
      <c r="AG134" s="575"/>
      <c r="AH134" s="575"/>
      <c r="AI134" s="669"/>
      <c r="AJ134" s="669"/>
      <c r="AK134" s="669"/>
      <c r="AL134" s="669"/>
      <c r="AM134" s="669"/>
      <c r="AN134" s="670"/>
    </row>
    <row r="135" spans="2:40">
      <c r="B135" s="677" t="s">
        <v>530</v>
      </c>
      <c r="C135" s="611"/>
      <c r="D135">
        <v>2.1</v>
      </c>
      <c r="E135">
        <v>2.0499999999999998</v>
      </c>
      <c r="F135">
        <v>1.9</v>
      </c>
      <c r="G135" s="207">
        <f t="shared" si="48"/>
        <v>2.19</v>
      </c>
      <c r="H135">
        <v>1.8</v>
      </c>
      <c r="I135">
        <v>1.95</v>
      </c>
      <c r="J135">
        <v>2.19</v>
      </c>
      <c r="K135">
        <v>2.14</v>
      </c>
      <c r="L135">
        <v>2</v>
      </c>
      <c r="M135">
        <v>2</v>
      </c>
      <c r="N135">
        <v>2.14</v>
      </c>
      <c r="O135">
        <v>2.1</v>
      </c>
      <c r="P135">
        <v>1.95</v>
      </c>
      <c r="Q135">
        <v>1.97</v>
      </c>
      <c r="R135">
        <v>1.92</v>
      </c>
      <c r="S135">
        <v>2.0699999999999998</v>
      </c>
      <c r="T135" s="207">
        <f t="shared" si="49"/>
        <v>2.14</v>
      </c>
      <c r="U135">
        <v>2.0299999999999998</v>
      </c>
      <c r="V135">
        <v>1.95</v>
      </c>
      <c r="W135">
        <v>2.1</v>
      </c>
      <c r="X135">
        <v>2</v>
      </c>
      <c r="Y135">
        <v>1.85</v>
      </c>
      <c r="Z135">
        <v>2.125</v>
      </c>
      <c r="AA135" s="207">
        <f t="shared" si="50"/>
        <v>2.14</v>
      </c>
      <c r="AB135">
        <v>2</v>
      </c>
      <c r="AC135">
        <v>2.0299999999999998</v>
      </c>
      <c r="AD135">
        <v>1.9</v>
      </c>
      <c r="AE135">
        <v>2</v>
      </c>
      <c r="AF135">
        <v>2.0699999999999998</v>
      </c>
      <c r="AG135">
        <v>1.9</v>
      </c>
      <c r="AH135">
        <v>2.0699999999999998</v>
      </c>
      <c r="AI135" s="207">
        <f t="shared" si="51"/>
        <v>1.95</v>
      </c>
      <c r="AJ135" s="207">
        <f t="shared" si="52"/>
        <v>1.97</v>
      </c>
      <c r="AK135" s="207">
        <f t="shared" si="52"/>
        <v>1.97</v>
      </c>
      <c r="AL135" s="207">
        <f t="shared" si="53"/>
        <v>1.95</v>
      </c>
      <c r="AM135" s="207">
        <f t="shared" si="52"/>
        <v>1.97</v>
      </c>
      <c r="AN135" s="666">
        <f t="shared" si="52"/>
        <v>1.97</v>
      </c>
    </row>
    <row r="136" spans="2:40">
      <c r="B136" s="678"/>
      <c r="C136" s="613" t="s">
        <v>510</v>
      </c>
      <c r="D136" s="575">
        <v>2.1</v>
      </c>
      <c r="E136" s="575">
        <v>2.0499999999999998</v>
      </c>
      <c r="F136" s="575">
        <v>1.9</v>
      </c>
      <c r="G136" s="669">
        <f t="shared" si="48"/>
        <v>2.19</v>
      </c>
      <c r="H136" s="575">
        <v>1.8</v>
      </c>
      <c r="I136" s="575">
        <v>1.95</v>
      </c>
      <c r="J136" s="575">
        <v>2.19</v>
      </c>
      <c r="K136" s="575">
        <v>2.14</v>
      </c>
      <c r="L136" s="575">
        <v>2</v>
      </c>
      <c r="M136" s="575">
        <v>2</v>
      </c>
      <c r="N136" s="575">
        <v>2.14</v>
      </c>
      <c r="O136" s="575">
        <v>2.1</v>
      </c>
      <c r="P136" s="575">
        <v>1.95</v>
      </c>
      <c r="Q136" s="575">
        <v>1.97</v>
      </c>
      <c r="R136" s="575">
        <v>1.92</v>
      </c>
      <c r="S136" s="575">
        <v>2.0699999999999998</v>
      </c>
      <c r="T136" s="669">
        <f t="shared" si="49"/>
        <v>2.14</v>
      </c>
      <c r="U136" s="575">
        <v>2.0299999999999998</v>
      </c>
      <c r="V136" s="575">
        <v>1.95</v>
      </c>
      <c r="W136" s="575">
        <v>2.1</v>
      </c>
      <c r="X136" s="575">
        <v>2</v>
      </c>
      <c r="Y136" s="575">
        <v>1.85</v>
      </c>
      <c r="Z136" s="575">
        <v>2.125</v>
      </c>
      <c r="AA136" s="669">
        <f t="shared" si="50"/>
        <v>2.14</v>
      </c>
      <c r="AB136" s="575">
        <v>2</v>
      </c>
      <c r="AC136" s="575">
        <v>2.0299999999999998</v>
      </c>
      <c r="AD136" s="575">
        <v>1.9</v>
      </c>
      <c r="AE136" s="575">
        <v>2</v>
      </c>
      <c r="AF136" s="575">
        <v>2.0699999999999998</v>
      </c>
      <c r="AG136" s="575">
        <v>1.9</v>
      </c>
      <c r="AH136" s="575">
        <v>2.0699999999999998</v>
      </c>
      <c r="AI136" s="669">
        <f t="shared" si="51"/>
        <v>1.95</v>
      </c>
      <c r="AJ136" s="669">
        <f t="shared" si="52"/>
        <v>1.97</v>
      </c>
      <c r="AK136" s="669">
        <f t="shared" si="52"/>
        <v>1.97</v>
      </c>
      <c r="AL136" s="669">
        <f t="shared" si="53"/>
        <v>1.95</v>
      </c>
      <c r="AM136" s="669">
        <f t="shared" si="52"/>
        <v>1.97</v>
      </c>
      <c r="AN136" s="670">
        <f t="shared" si="52"/>
        <v>1.97</v>
      </c>
    </row>
    <row r="137" spans="2:40">
      <c r="B137" s="677" t="s">
        <v>531</v>
      </c>
      <c r="C137" s="611"/>
      <c r="D137">
        <v>0.68</v>
      </c>
      <c r="E137">
        <v>0.65</v>
      </c>
      <c r="F137">
        <v>0.53</v>
      </c>
      <c r="G137" s="207">
        <f t="shared" si="48"/>
        <v>0.74</v>
      </c>
      <c r="H137">
        <v>0.55000000000000004</v>
      </c>
      <c r="I137">
        <v>0.6</v>
      </c>
      <c r="J137">
        <v>0.74</v>
      </c>
      <c r="K137">
        <v>0.77</v>
      </c>
      <c r="L137">
        <v>0.63</v>
      </c>
      <c r="M137">
        <v>0.61</v>
      </c>
      <c r="N137">
        <v>0.78</v>
      </c>
      <c r="O137">
        <v>0.67</v>
      </c>
      <c r="P137">
        <v>0.57999999999999996</v>
      </c>
      <c r="Q137">
        <v>0.61</v>
      </c>
      <c r="R137">
        <v>0.59</v>
      </c>
      <c r="S137">
        <v>0.64</v>
      </c>
      <c r="T137" s="207">
        <f t="shared" si="49"/>
        <v>0.77</v>
      </c>
      <c r="U137">
        <v>0.63</v>
      </c>
      <c r="V137">
        <v>0.6</v>
      </c>
      <c r="W137">
        <v>0.67</v>
      </c>
      <c r="X137">
        <v>0.6</v>
      </c>
      <c r="Y137">
        <v>0.67</v>
      </c>
      <c r="Z137">
        <v>0.72</v>
      </c>
      <c r="AA137" s="207">
        <f t="shared" si="50"/>
        <v>0.77</v>
      </c>
      <c r="AB137">
        <v>0.61</v>
      </c>
      <c r="AC137">
        <v>0.57999999999999996</v>
      </c>
      <c r="AD137">
        <v>0.53</v>
      </c>
      <c r="AE137">
        <v>0.8</v>
      </c>
      <c r="AF137">
        <v>0.62</v>
      </c>
      <c r="AG137">
        <v>0.61</v>
      </c>
      <c r="AH137">
        <v>0.69</v>
      </c>
      <c r="AI137" s="207">
        <f t="shared" si="51"/>
        <v>0.57999999999999996</v>
      </c>
      <c r="AJ137" s="207">
        <f t="shared" si="52"/>
        <v>0.61</v>
      </c>
      <c r="AK137" s="207">
        <f t="shared" si="52"/>
        <v>0.61</v>
      </c>
      <c r="AL137" s="207">
        <f t="shared" si="53"/>
        <v>0.57999999999999996</v>
      </c>
      <c r="AM137" s="207">
        <f t="shared" si="52"/>
        <v>0.61</v>
      </c>
      <c r="AN137" s="666">
        <f t="shared" si="52"/>
        <v>0.61</v>
      </c>
    </row>
    <row r="138" spans="2:40">
      <c r="B138" s="677"/>
      <c r="C138" s="611" t="s">
        <v>526</v>
      </c>
      <c r="D138">
        <v>0.54</v>
      </c>
      <c r="E138">
        <v>0.52</v>
      </c>
      <c r="F138">
        <v>0.44</v>
      </c>
      <c r="G138" s="207">
        <f t="shared" si="48"/>
        <v>0.59</v>
      </c>
      <c r="H138">
        <v>0.4</v>
      </c>
      <c r="I138">
        <v>0.47</v>
      </c>
      <c r="J138">
        <v>0.59</v>
      </c>
      <c r="K138">
        <v>0.56000000000000005</v>
      </c>
      <c r="L138">
        <v>0.49</v>
      </c>
      <c r="M138">
        <v>0.49</v>
      </c>
      <c r="N138">
        <v>0.56000000000000005</v>
      </c>
      <c r="O138">
        <v>0.54</v>
      </c>
      <c r="P138">
        <v>0.47</v>
      </c>
      <c r="Q138">
        <v>0.48</v>
      </c>
      <c r="R138">
        <v>0.45</v>
      </c>
      <c r="S138">
        <v>0.53</v>
      </c>
      <c r="T138" s="207">
        <f t="shared" si="49"/>
        <v>0.56000000000000005</v>
      </c>
      <c r="U138">
        <v>0.51</v>
      </c>
      <c r="V138">
        <v>0.47</v>
      </c>
      <c r="W138">
        <v>0.54</v>
      </c>
      <c r="X138">
        <v>0.49</v>
      </c>
      <c r="Z138">
        <v>0.55500000000000005</v>
      </c>
      <c r="AA138" s="207">
        <f t="shared" si="50"/>
        <v>0.56000000000000005</v>
      </c>
      <c r="AB138">
        <v>0.49</v>
      </c>
      <c r="AC138">
        <v>0.51</v>
      </c>
      <c r="AD138">
        <v>0.44</v>
      </c>
      <c r="AE138">
        <v>0.49</v>
      </c>
      <c r="AF138">
        <v>0.53</v>
      </c>
      <c r="AG138">
        <v>0.44</v>
      </c>
      <c r="AH138">
        <v>0.53</v>
      </c>
      <c r="AI138" s="207">
        <f t="shared" si="51"/>
        <v>0.47</v>
      </c>
      <c r="AJ138" s="207">
        <f t="shared" si="52"/>
        <v>0.48</v>
      </c>
      <c r="AK138" s="207">
        <f t="shared" si="52"/>
        <v>0.48</v>
      </c>
      <c r="AL138" s="207">
        <f t="shared" si="53"/>
        <v>0.47</v>
      </c>
      <c r="AM138" s="207">
        <f t="shared" si="52"/>
        <v>0.48</v>
      </c>
      <c r="AN138" s="666">
        <f t="shared" si="52"/>
        <v>0.48</v>
      </c>
    </row>
    <row r="139" spans="2:40">
      <c r="B139" s="677"/>
      <c r="C139" s="611" t="s">
        <v>532</v>
      </c>
      <c r="D139">
        <v>0.87</v>
      </c>
      <c r="E139">
        <v>0.83</v>
      </c>
      <c r="F139">
        <v>0.72</v>
      </c>
      <c r="G139" s="207">
        <f t="shared" si="48"/>
        <v>0.95</v>
      </c>
      <c r="I139">
        <v>0.75</v>
      </c>
      <c r="J139">
        <v>0.95</v>
      </c>
      <c r="K139">
        <v>0.91</v>
      </c>
      <c r="L139">
        <v>0.79</v>
      </c>
      <c r="N139">
        <v>0.91</v>
      </c>
      <c r="O139">
        <v>0.87</v>
      </c>
      <c r="P139">
        <v>0.75</v>
      </c>
      <c r="Q139">
        <v>0.77</v>
      </c>
      <c r="R139">
        <v>0.73</v>
      </c>
      <c r="T139" s="207">
        <f t="shared" si="49"/>
        <v>0.91</v>
      </c>
      <c r="U139" s="667">
        <f>U109/U77</f>
        <v>0.81594136509390736</v>
      </c>
      <c r="V139">
        <v>0.75</v>
      </c>
      <c r="X139">
        <v>0.79</v>
      </c>
      <c r="Z139">
        <v>0.89500000000000002</v>
      </c>
      <c r="AA139" s="207">
        <f t="shared" si="50"/>
        <v>0.91</v>
      </c>
      <c r="AB139">
        <v>0.79</v>
      </c>
      <c r="AC139">
        <v>0.82</v>
      </c>
      <c r="AD139">
        <v>0.72</v>
      </c>
      <c r="AE139">
        <v>0.79</v>
      </c>
      <c r="AF139">
        <v>0.85</v>
      </c>
      <c r="AG139">
        <v>0.72</v>
      </c>
      <c r="AH139">
        <v>0.85</v>
      </c>
      <c r="AI139" s="207">
        <f t="shared" si="51"/>
        <v>0.75</v>
      </c>
      <c r="AJ139" s="207">
        <f t="shared" si="52"/>
        <v>0.77</v>
      </c>
      <c r="AK139" s="207">
        <f t="shared" si="52"/>
        <v>0.77</v>
      </c>
      <c r="AL139" s="207">
        <f t="shared" si="53"/>
        <v>0.75</v>
      </c>
      <c r="AM139" s="207">
        <f t="shared" si="52"/>
        <v>0.77</v>
      </c>
      <c r="AN139" s="668">
        <f t="shared" si="52"/>
        <v>0.77</v>
      </c>
    </row>
    <row r="140" spans="2:40">
      <c r="B140" s="677"/>
      <c r="C140" s="611" t="s">
        <v>510</v>
      </c>
      <c r="D140">
        <v>1</v>
      </c>
      <c r="E140">
        <v>0.89</v>
      </c>
      <c r="F140">
        <v>0.7</v>
      </c>
      <c r="G140" s="207">
        <f t="shared" si="48"/>
        <v>0.96</v>
      </c>
      <c r="H140">
        <v>0.91</v>
      </c>
      <c r="I140">
        <v>0.74</v>
      </c>
      <c r="J140">
        <v>0.96</v>
      </c>
      <c r="K140">
        <v>0.95</v>
      </c>
      <c r="L140">
        <v>0.81</v>
      </c>
      <c r="M140">
        <v>0.86</v>
      </c>
      <c r="N140">
        <v>0.94</v>
      </c>
      <c r="O140">
        <v>0.94</v>
      </c>
      <c r="P140">
        <v>1</v>
      </c>
      <c r="Q140">
        <v>0.83</v>
      </c>
      <c r="R140">
        <v>0.79</v>
      </c>
      <c r="S140">
        <v>0.91</v>
      </c>
      <c r="T140" s="207">
        <f t="shared" si="49"/>
        <v>0.95</v>
      </c>
      <c r="U140">
        <v>0.87</v>
      </c>
      <c r="V140">
        <v>0.78</v>
      </c>
      <c r="W140">
        <v>0.92</v>
      </c>
      <c r="X140">
        <v>0.79</v>
      </c>
      <c r="Y140">
        <v>1.01</v>
      </c>
      <c r="Z140">
        <v>0.94</v>
      </c>
      <c r="AA140" s="207">
        <f t="shared" si="50"/>
        <v>0.95</v>
      </c>
      <c r="AB140">
        <v>0.81</v>
      </c>
      <c r="AC140">
        <v>0.88</v>
      </c>
      <c r="AD140">
        <v>0.71</v>
      </c>
      <c r="AE140">
        <v>0.95</v>
      </c>
      <c r="AF140">
        <v>0.88</v>
      </c>
      <c r="AG140">
        <v>0.76</v>
      </c>
      <c r="AH140">
        <v>0.92</v>
      </c>
      <c r="AI140" s="207">
        <f t="shared" si="51"/>
        <v>1</v>
      </c>
      <c r="AJ140" s="207">
        <f t="shared" si="52"/>
        <v>0.83</v>
      </c>
      <c r="AK140" s="207">
        <f t="shared" si="52"/>
        <v>0.83</v>
      </c>
      <c r="AL140" s="207">
        <f t="shared" si="53"/>
        <v>1</v>
      </c>
      <c r="AM140" s="207">
        <f t="shared" si="52"/>
        <v>0.83</v>
      </c>
      <c r="AN140" s="668">
        <f t="shared" si="52"/>
        <v>0.83</v>
      </c>
    </row>
    <row r="141" spans="2:40">
      <c r="B141" s="677"/>
      <c r="C141" s="611" t="s">
        <v>527</v>
      </c>
      <c r="D141">
        <v>0.7</v>
      </c>
      <c r="E141">
        <v>0.67</v>
      </c>
      <c r="F141">
        <v>0.56999999999999995</v>
      </c>
      <c r="G141" s="207">
        <f t="shared" si="48"/>
        <v>0.76</v>
      </c>
      <c r="I141">
        <v>0.6</v>
      </c>
      <c r="J141">
        <v>0.76</v>
      </c>
      <c r="K141">
        <v>0.73</v>
      </c>
      <c r="L141">
        <v>0.63</v>
      </c>
      <c r="M141">
        <v>0.63</v>
      </c>
      <c r="N141">
        <v>0.73</v>
      </c>
      <c r="O141">
        <v>0.7</v>
      </c>
      <c r="P141">
        <v>0.6</v>
      </c>
      <c r="Q141">
        <v>0.62</v>
      </c>
      <c r="R141">
        <v>0.57999999999999996</v>
      </c>
      <c r="S141">
        <v>0.68</v>
      </c>
      <c r="T141" s="207">
        <f t="shared" si="49"/>
        <v>0.73</v>
      </c>
      <c r="U141" s="764">
        <v>0.73</v>
      </c>
      <c r="V141">
        <v>0.6</v>
      </c>
      <c r="W141">
        <v>0.7</v>
      </c>
      <c r="X141">
        <v>0.63</v>
      </c>
      <c r="Z141">
        <v>0.71499999999999997</v>
      </c>
      <c r="AA141" s="207">
        <f t="shared" si="50"/>
        <v>0.73</v>
      </c>
      <c r="AB141">
        <v>0.63</v>
      </c>
      <c r="AC141">
        <v>0.65</v>
      </c>
      <c r="AD141">
        <v>0.56999999999999995</v>
      </c>
      <c r="AE141">
        <v>0.63</v>
      </c>
      <c r="AF141">
        <v>0.68</v>
      </c>
      <c r="AG141">
        <v>0.56999999999999995</v>
      </c>
      <c r="AH141">
        <v>0.68</v>
      </c>
      <c r="AI141" s="207">
        <f t="shared" si="51"/>
        <v>0.6</v>
      </c>
      <c r="AJ141" s="207">
        <f t="shared" si="52"/>
        <v>0.62</v>
      </c>
      <c r="AK141" s="207">
        <f t="shared" si="52"/>
        <v>0.62</v>
      </c>
      <c r="AL141" s="207">
        <f t="shared" si="53"/>
        <v>0.6</v>
      </c>
      <c r="AM141" s="207">
        <f t="shared" si="52"/>
        <v>0.62</v>
      </c>
      <c r="AN141" s="666">
        <f t="shared" si="52"/>
        <v>0.62</v>
      </c>
    </row>
    <row r="142" spans="2:40">
      <c r="B142" s="677"/>
      <c r="C142" s="611" t="s">
        <v>533</v>
      </c>
      <c r="D142">
        <v>0.65</v>
      </c>
      <c r="E142">
        <v>0.62</v>
      </c>
      <c r="F142">
        <v>0.54</v>
      </c>
      <c r="G142" s="207">
        <f t="shared" si="48"/>
        <v>0.71</v>
      </c>
      <c r="H142">
        <v>0.48</v>
      </c>
      <c r="J142">
        <v>0.71</v>
      </c>
      <c r="K142">
        <v>0.68</v>
      </c>
      <c r="L142">
        <v>0.59</v>
      </c>
      <c r="M142">
        <v>0.59</v>
      </c>
      <c r="N142">
        <v>0.68</v>
      </c>
      <c r="O142">
        <v>0.65</v>
      </c>
      <c r="P142">
        <v>0.56999999999999995</v>
      </c>
      <c r="Q142">
        <v>0.57999999999999996</v>
      </c>
      <c r="S142">
        <v>0.64</v>
      </c>
      <c r="T142" s="207">
        <f t="shared" si="49"/>
        <v>0.68</v>
      </c>
      <c r="U142">
        <v>0.61</v>
      </c>
      <c r="W142">
        <v>0.65</v>
      </c>
      <c r="X142">
        <v>0.59</v>
      </c>
      <c r="Z142">
        <v>0.67</v>
      </c>
      <c r="AA142" s="207">
        <f t="shared" si="50"/>
        <v>0.68</v>
      </c>
      <c r="AB142">
        <v>0.59</v>
      </c>
      <c r="AC142">
        <v>0.61</v>
      </c>
      <c r="AD142">
        <v>0.54</v>
      </c>
      <c r="AE142">
        <v>0.59</v>
      </c>
      <c r="AF142">
        <v>0.64</v>
      </c>
      <c r="AH142">
        <v>0.64</v>
      </c>
      <c r="AI142" s="207">
        <f t="shared" si="51"/>
        <v>0.56999999999999995</v>
      </c>
      <c r="AJ142" s="207">
        <f t="shared" si="52"/>
        <v>0.57999999999999996</v>
      </c>
      <c r="AK142" s="207">
        <f t="shared" si="52"/>
        <v>0.57999999999999996</v>
      </c>
      <c r="AL142" s="207">
        <f t="shared" si="53"/>
        <v>0.56999999999999995</v>
      </c>
      <c r="AM142" s="207">
        <f t="shared" si="52"/>
        <v>0.57999999999999996</v>
      </c>
      <c r="AN142" s="666">
        <f t="shared" si="52"/>
        <v>0.57999999999999996</v>
      </c>
    </row>
    <row r="143" spans="2:40">
      <c r="B143" s="677"/>
      <c r="C143" s="611" t="s">
        <v>534</v>
      </c>
      <c r="G143" s="207">
        <f t="shared" si="48"/>
        <v>0.9</v>
      </c>
      <c r="H143" s="667">
        <f>H113/H81</f>
        <v>0.60526315789473695</v>
      </c>
      <c r="J143">
        <v>0.9</v>
      </c>
      <c r="M143" s="667">
        <f>M113/M81</f>
        <v>0.75304540420819499</v>
      </c>
      <c r="O143">
        <v>0.83</v>
      </c>
      <c r="P143" s="667">
        <f>P113/P81</f>
        <v>0.71671554252199421</v>
      </c>
      <c r="T143" s="207">
        <f>$J143</f>
        <v>0.9</v>
      </c>
      <c r="U143">
        <v>0.78</v>
      </c>
      <c r="Z143">
        <v>0</v>
      </c>
      <c r="AA143" s="207">
        <f>$J143</f>
        <v>0.9</v>
      </c>
      <c r="AB143">
        <v>0.75</v>
      </c>
      <c r="AD143">
        <v>0.68</v>
      </c>
      <c r="AF143" s="667">
        <f>AF113/AF81</f>
        <v>0.80462427745664744</v>
      </c>
      <c r="AI143" s="207"/>
      <c r="AJ143" s="207"/>
      <c r="AK143" s="207"/>
      <c r="AL143" s="207"/>
      <c r="AM143" s="207"/>
      <c r="AN143" s="666"/>
    </row>
    <row r="144" spans="2:40">
      <c r="B144" s="677"/>
      <c r="C144" s="611" t="s">
        <v>528</v>
      </c>
      <c r="D144">
        <v>0.67</v>
      </c>
      <c r="E144">
        <v>0.64</v>
      </c>
      <c r="F144">
        <v>0.55000000000000004</v>
      </c>
      <c r="G144" s="207">
        <f>$D144</f>
        <v>0.67</v>
      </c>
      <c r="H144">
        <v>0.49</v>
      </c>
      <c r="K144">
        <v>0.7</v>
      </c>
      <c r="M144">
        <v>0.61</v>
      </c>
      <c r="O144">
        <v>0.67</v>
      </c>
      <c r="Q144">
        <v>0.59</v>
      </c>
      <c r="R144">
        <v>0.56000000000000005</v>
      </c>
      <c r="S144">
        <v>0.65</v>
      </c>
      <c r="T144" s="207">
        <f t="shared" ref="T144:T153" si="54">$K144</f>
        <v>0.7</v>
      </c>
      <c r="U144">
        <v>0.63</v>
      </c>
      <c r="W144">
        <v>0.67</v>
      </c>
      <c r="Y144">
        <v>0.52</v>
      </c>
      <c r="Z144">
        <v>0</v>
      </c>
      <c r="AA144" s="207">
        <f t="shared" ref="AA144:AA153" si="55">$K144</f>
        <v>0.7</v>
      </c>
      <c r="AC144">
        <v>0.63</v>
      </c>
      <c r="AD144">
        <v>0.55000000000000004</v>
      </c>
      <c r="AF144">
        <v>0.65</v>
      </c>
      <c r="AH144">
        <v>0.65</v>
      </c>
      <c r="AI144" s="207">
        <f>$Q144</f>
        <v>0.59</v>
      </c>
      <c r="AJ144" s="207">
        <f t="shared" ref="AJ144:AN152" si="56">$Q144</f>
        <v>0.59</v>
      </c>
      <c r="AK144" s="207">
        <f t="shared" si="56"/>
        <v>0.59</v>
      </c>
      <c r="AL144" s="207">
        <f>$Q144</f>
        <v>0.59</v>
      </c>
      <c r="AM144" s="207">
        <f t="shared" si="56"/>
        <v>0.59</v>
      </c>
      <c r="AN144" s="666">
        <f t="shared" si="56"/>
        <v>0.59</v>
      </c>
    </row>
    <row r="145" spans="1:40">
      <c r="B145" s="678"/>
      <c r="C145" s="613" t="s">
        <v>529</v>
      </c>
      <c r="D145" s="575">
        <v>0.56999999999999995</v>
      </c>
      <c r="E145" s="575">
        <v>0.54</v>
      </c>
      <c r="F145" s="575">
        <v>0.47</v>
      </c>
      <c r="G145" s="669">
        <f t="shared" ref="G145:G153" si="57">$J145</f>
        <v>0.62</v>
      </c>
      <c r="H145" s="575"/>
      <c r="I145" s="575">
        <v>0.49</v>
      </c>
      <c r="J145" s="575">
        <v>0.62</v>
      </c>
      <c r="K145" s="575"/>
      <c r="L145" s="575">
        <v>0.52</v>
      </c>
      <c r="M145" s="575">
        <v>0.52</v>
      </c>
      <c r="N145" s="575">
        <v>0.59</v>
      </c>
      <c r="O145" s="575">
        <v>0.56999999999999995</v>
      </c>
      <c r="P145" s="575">
        <v>0.49</v>
      </c>
      <c r="Q145" s="575">
        <v>0.5</v>
      </c>
      <c r="R145" s="575">
        <v>0.48</v>
      </c>
      <c r="S145" s="575">
        <v>0.55000000000000004</v>
      </c>
      <c r="T145" s="669">
        <f>$J145</f>
        <v>0.62</v>
      </c>
      <c r="U145" s="575">
        <v>0.53</v>
      </c>
      <c r="V145" s="575">
        <v>0.49</v>
      </c>
      <c r="W145" s="575">
        <v>0.56999999999999995</v>
      </c>
      <c r="X145" s="575">
        <v>0.52</v>
      </c>
      <c r="Y145" s="575"/>
      <c r="Z145" s="575">
        <v>0.57999999999999996</v>
      </c>
      <c r="AA145" s="669">
        <f>$J145</f>
        <v>0.62</v>
      </c>
      <c r="AB145" s="575">
        <v>0.52</v>
      </c>
      <c r="AC145" s="575"/>
      <c r="AD145" s="575">
        <v>0.47</v>
      </c>
      <c r="AE145" s="575"/>
      <c r="AF145" s="575"/>
      <c r="AG145" s="575">
        <v>0.47</v>
      </c>
      <c r="AH145" s="575">
        <v>0.55000000000000004</v>
      </c>
      <c r="AI145" s="669">
        <f t="shared" si="51"/>
        <v>0.49</v>
      </c>
      <c r="AJ145" s="669">
        <f t="shared" si="56"/>
        <v>0.5</v>
      </c>
      <c r="AK145" s="669">
        <f t="shared" si="56"/>
        <v>0.5</v>
      </c>
      <c r="AL145" s="669">
        <f t="shared" ref="AL145:AL152" si="58">$P145</f>
        <v>0.49</v>
      </c>
      <c r="AM145" s="669">
        <f t="shared" si="56"/>
        <v>0.5</v>
      </c>
      <c r="AN145" s="670">
        <f t="shared" si="56"/>
        <v>0.5</v>
      </c>
    </row>
    <row r="146" spans="1:40">
      <c r="B146" s="677" t="s">
        <v>535</v>
      </c>
      <c r="C146" s="611"/>
      <c r="D146">
        <v>0.71</v>
      </c>
      <c r="E146">
        <v>0.6</v>
      </c>
      <c r="F146">
        <v>0.64</v>
      </c>
      <c r="G146" s="207">
        <f t="shared" si="57"/>
        <v>0.73</v>
      </c>
      <c r="H146">
        <v>0.9</v>
      </c>
      <c r="I146">
        <v>0.62</v>
      </c>
      <c r="J146">
        <v>0.73</v>
      </c>
      <c r="K146">
        <v>0.77</v>
      </c>
      <c r="L146">
        <v>0.64</v>
      </c>
      <c r="M146">
        <v>0.61</v>
      </c>
      <c r="N146">
        <v>0.76</v>
      </c>
      <c r="O146">
        <v>0.67</v>
      </c>
      <c r="P146">
        <v>0.71</v>
      </c>
      <c r="Q146">
        <v>0.6</v>
      </c>
      <c r="R146">
        <v>0.56000000000000005</v>
      </c>
      <c r="S146">
        <v>0.61</v>
      </c>
      <c r="T146" s="207">
        <f t="shared" si="54"/>
        <v>0.77</v>
      </c>
      <c r="U146">
        <v>0.6</v>
      </c>
      <c r="V146">
        <v>0.61</v>
      </c>
      <c r="W146">
        <v>0.62</v>
      </c>
      <c r="X146">
        <v>0.59</v>
      </c>
      <c r="Y146">
        <v>0.49</v>
      </c>
      <c r="Z146">
        <v>0.66</v>
      </c>
      <c r="AA146" s="207">
        <f t="shared" si="55"/>
        <v>0.77</v>
      </c>
      <c r="AB146">
        <v>0.59</v>
      </c>
      <c r="AC146">
        <v>0.6</v>
      </c>
      <c r="AD146">
        <v>0.51</v>
      </c>
      <c r="AE146">
        <v>0.74</v>
      </c>
      <c r="AF146">
        <v>0.62</v>
      </c>
      <c r="AG146">
        <v>0.57999999999999996</v>
      </c>
      <c r="AH146">
        <v>0.63</v>
      </c>
      <c r="AI146" s="207">
        <f t="shared" si="51"/>
        <v>0.71</v>
      </c>
      <c r="AJ146" s="207">
        <f t="shared" si="56"/>
        <v>0.6</v>
      </c>
      <c r="AK146" s="207">
        <f t="shared" si="56"/>
        <v>0.6</v>
      </c>
      <c r="AL146" s="207">
        <f t="shared" si="58"/>
        <v>0.71</v>
      </c>
      <c r="AM146" s="207">
        <f t="shared" si="56"/>
        <v>0.6</v>
      </c>
      <c r="AN146" s="666">
        <f t="shared" si="56"/>
        <v>0.6</v>
      </c>
    </row>
    <row r="147" spans="1:40">
      <c r="B147" s="677"/>
      <c r="C147" s="611" t="s">
        <v>526</v>
      </c>
      <c r="D147">
        <v>0.5</v>
      </c>
      <c r="E147">
        <v>0.47</v>
      </c>
      <c r="F147">
        <v>0.4</v>
      </c>
      <c r="G147" s="207">
        <f t="shared" si="57"/>
        <v>0.55000000000000004</v>
      </c>
      <c r="H147">
        <v>0.35</v>
      </c>
      <c r="I147">
        <v>0.42</v>
      </c>
      <c r="J147">
        <v>0.55000000000000004</v>
      </c>
      <c r="K147">
        <v>0.52</v>
      </c>
      <c r="L147">
        <v>0.45</v>
      </c>
      <c r="M147">
        <v>0.45</v>
      </c>
      <c r="N147">
        <v>0.52</v>
      </c>
      <c r="O147">
        <v>0.5</v>
      </c>
      <c r="P147">
        <v>0.42</v>
      </c>
      <c r="Q147">
        <v>0.43</v>
      </c>
      <c r="R147">
        <v>0.41</v>
      </c>
      <c r="S147">
        <v>0.48</v>
      </c>
      <c r="T147" s="207">
        <f t="shared" si="54"/>
        <v>0.52</v>
      </c>
      <c r="U147">
        <v>0.46</v>
      </c>
      <c r="V147">
        <v>0.42</v>
      </c>
      <c r="W147">
        <v>0.5</v>
      </c>
      <c r="X147">
        <v>0.45</v>
      </c>
      <c r="Z147">
        <v>0.51</v>
      </c>
      <c r="AA147" s="207">
        <f t="shared" si="55"/>
        <v>0.52</v>
      </c>
      <c r="AB147">
        <v>0.45</v>
      </c>
      <c r="AC147">
        <v>0.46</v>
      </c>
      <c r="AD147">
        <v>0.4</v>
      </c>
      <c r="AE147">
        <v>0.45</v>
      </c>
      <c r="AF147">
        <v>0.48</v>
      </c>
      <c r="AG147">
        <v>0.4</v>
      </c>
      <c r="AI147" s="207">
        <f t="shared" si="51"/>
        <v>0.42</v>
      </c>
      <c r="AJ147" s="207">
        <f t="shared" si="56"/>
        <v>0.43</v>
      </c>
      <c r="AK147" s="207">
        <f t="shared" si="56"/>
        <v>0.43</v>
      </c>
      <c r="AL147" s="207">
        <f t="shared" si="58"/>
        <v>0.42</v>
      </c>
      <c r="AM147" s="207">
        <f t="shared" si="56"/>
        <v>0.43</v>
      </c>
      <c r="AN147" s="666">
        <f t="shared" si="56"/>
        <v>0.43</v>
      </c>
    </row>
    <row r="148" spans="1:40">
      <c r="B148" s="677"/>
      <c r="C148" s="611" t="s">
        <v>532</v>
      </c>
      <c r="D148">
        <v>0.89</v>
      </c>
      <c r="E148">
        <v>0.87</v>
      </c>
      <c r="F148">
        <v>0.78</v>
      </c>
      <c r="G148" s="207">
        <f t="shared" si="57"/>
        <v>0.95</v>
      </c>
      <c r="I148">
        <v>0.81</v>
      </c>
      <c r="J148">
        <v>0.95</v>
      </c>
      <c r="K148">
        <v>0.92</v>
      </c>
      <c r="L148">
        <v>0.84</v>
      </c>
      <c r="N148">
        <v>0.92</v>
      </c>
      <c r="O148">
        <v>0.89</v>
      </c>
      <c r="P148">
        <v>0.81</v>
      </c>
      <c r="Q148">
        <v>0.82</v>
      </c>
      <c r="R148">
        <v>0.8</v>
      </c>
      <c r="T148" s="207">
        <f t="shared" si="54"/>
        <v>0.92</v>
      </c>
      <c r="U148" s="667">
        <f>U118/U86</f>
        <v>0.85650557620817858</v>
      </c>
      <c r="V148">
        <v>0.81</v>
      </c>
      <c r="X148">
        <v>0.84</v>
      </c>
      <c r="Z148">
        <v>0.91</v>
      </c>
      <c r="AA148" s="207">
        <f t="shared" si="55"/>
        <v>0.92</v>
      </c>
      <c r="AB148">
        <v>0.84</v>
      </c>
      <c r="AC148">
        <v>0.86</v>
      </c>
      <c r="AD148">
        <v>0.78</v>
      </c>
      <c r="AE148">
        <v>0.84</v>
      </c>
      <c r="AF148">
        <v>0.88</v>
      </c>
      <c r="AG148">
        <v>0.78</v>
      </c>
      <c r="AI148" s="207">
        <f t="shared" si="51"/>
        <v>0.81</v>
      </c>
      <c r="AJ148" s="207">
        <f t="shared" si="56"/>
        <v>0.82</v>
      </c>
      <c r="AK148" s="207">
        <f t="shared" si="56"/>
        <v>0.82</v>
      </c>
      <c r="AL148" s="207">
        <f t="shared" si="58"/>
        <v>0.81</v>
      </c>
      <c r="AM148" s="207">
        <f t="shared" si="56"/>
        <v>0.82</v>
      </c>
      <c r="AN148" s="666">
        <f t="shared" si="56"/>
        <v>0.82</v>
      </c>
    </row>
    <row r="149" spans="1:40">
      <c r="B149" s="677"/>
      <c r="C149" s="611" t="s">
        <v>510</v>
      </c>
      <c r="D149">
        <v>0.76</v>
      </c>
      <c r="E149">
        <v>0.73</v>
      </c>
      <c r="F149">
        <v>0.61</v>
      </c>
      <c r="G149" s="207">
        <f t="shared" si="57"/>
        <v>0.84</v>
      </c>
      <c r="H149">
        <v>0.54</v>
      </c>
      <c r="I149">
        <v>0.65</v>
      </c>
      <c r="J149">
        <v>0.84</v>
      </c>
      <c r="K149">
        <v>0.8</v>
      </c>
      <c r="L149">
        <v>0.69</v>
      </c>
      <c r="M149">
        <v>0.69</v>
      </c>
      <c r="N149">
        <v>0.8</v>
      </c>
      <c r="O149">
        <v>0.76</v>
      </c>
      <c r="P149">
        <v>0.65</v>
      </c>
      <c r="Q149">
        <v>0.67</v>
      </c>
      <c r="R149">
        <v>0.63</v>
      </c>
      <c r="S149">
        <v>0.74</v>
      </c>
      <c r="T149" s="207">
        <f t="shared" si="54"/>
        <v>0.8</v>
      </c>
      <c r="U149">
        <v>0.71</v>
      </c>
      <c r="V149">
        <v>0.65</v>
      </c>
      <c r="W149">
        <v>0.76</v>
      </c>
      <c r="X149">
        <v>0.69</v>
      </c>
      <c r="Y149">
        <v>0.57999999999999996</v>
      </c>
      <c r="Z149">
        <v>0.78500000000000003</v>
      </c>
      <c r="AA149" s="207">
        <f t="shared" si="55"/>
        <v>0.8</v>
      </c>
      <c r="AB149">
        <v>0.69</v>
      </c>
      <c r="AC149">
        <v>0.71</v>
      </c>
      <c r="AD149">
        <v>0.61</v>
      </c>
      <c r="AE149">
        <v>0.69</v>
      </c>
      <c r="AF149">
        <v>0.74</v>
      </c>
      <c r="AG149">
        <v>0.61</v>
      </c>
      <c r="AH149">
        <v>0.74</v>
      </c>
      <c r="AI149" s="207">
        <f t="shared" si="51"/>
        <v>0.65</v>
      </c>
      <c r="AJ149" s="207">
        <f t="shared" si="56"/>
        <v>0.67</v>
      </c>
      <c r="AK149" s="207">
        <f t="shared" si="56"/>
        <v>0.67</v>
      </c>
      <c r="AL149" s="207">
        <f t="shared" si="58"/>
        <v>0.65</v>
      </c>
      <c r="AM149" s="207">
        <f t="shared" si="56"/>
        <v>0.67</v>
      </c>
      <c r="AN149" s="666">
        <f t="shared" si="56"/>
        <v>0.67</v>
      </c>
    </row>
    <row r="150" spans="1:40">
      <c r="B150" s="677"/>
      <c r="C150" s="611" t="s">
        <v>527</v>
      </c>
      <c r="D150">
        <v>0.62</v>
      </c>
      <c r="E150">
        <v>0.59</v>
      </c>
      <c r="F150">
        <v>0.5</v>
      </c>
      <c r="G150" s="207">
        <f t="shared" si="57"/>
        <v>0.68</v>
      </c>
      <c r="I150">
        <v>0.53</v>
      </c>
      <c r="J150">
        <v>0.68</v>
      </c>
      <c r="K150">
        <v>0.65</v>
      </c>
      <c r="L150">
        <v>0.56000000000000005</v>
      </c>
      <c r="M150">
        <v>0.56000000000000005</v>
      </c>
      <c r="N150">
        <v>0.65</v>
      </c>
      <c r="O150">
        <v>0.62</v>
      </c>
      <c r="P150">
        <v>0.53</v>
      </c>
      <c r="Q150">
        <v>0.54</v>
      </c>
      <c r="R150">
        <v>0.51</v>
      </c>
      <c r="S150">
        <v>0.6</v>
      </c>
      <c r="T150" s="207">
        <f t="shared" si="54"/>
        <v>0.65</v>
      </c>
      <c r="U150">
        <v>0.57999999999999996</v>
      </c>
      <c r="V150">
        <v>0.53</v>
      </c>
      <c r="W150">
        <v>0.62</v>
      </c>
      <c r="X150">
        <v>0.56000000000000005</v>
      </c>
      <c r="Z150">
        <v>0.64</v>
      </c>
      <c r="AA150" s="207">
        <f t="shared" si="55"/>
        <v>0.65</v>
      </c>
      <c r="AB150">
        <v>0.56000000000000005</v>
      </c>
      <c r="AC150">
        <v>0.57999999999999996</v>
      </c>
      <c r="AD150">
        <v>0.5</v>
      </c>
      <c r="AE150">
        <v>0.56000000000000005</v>
      </c>
      <c r="AF150">
        <v>0.6</v>
      </c>
      <c r="AG150">
        <v>0.5</v>
      </c>
      <c r="AH150">
        <v>0.6</v>
      </c>
      <c r="AI150" s="207">
        <f t="shared" si="51"/>
        <v>0.53</v>
      </c>
      <c r="AJ150" s="207">
        <f t="shared" si="56"/>
        <v>0.54</v>
      </c>
      <c r="AK150" s="207">
        <f t="shared" si="56"/>
        <v>0.54</v>
      </c>
      <c r="AL150" s="207">
        <f t="shared" si="58"/>
        <v>0.53</v>
      </c>
      <c r="AM150" s="207">
        <f t="shared" si="56"/>
        <v>0.54</v>
      </c>
      <c r="AN150" s="666">
        <f t="shared" si="56"/>
        <v>0.54</v>
      </c>
    </row>
    <row r="151" spans="1:40">
      <c r="B151" s="677"/>
      <c r="C151" s="611" t="s">
        <v>533</v>
      </c>
      <c r="D151">
        <v>0.57999999999999996</v>
      </c>
      <c r="E151">
        <v>0.55000000000000004</v>
      </c>
      <c r="G151" s="207">
        <f t="shared" si="57"/>
        <v>0.64</v>
      </c>
      <c r="H151">
        <v>0.41</v>
      </c>
      <c r="J151">
        <v>0.64</v>
      </c>
      <c r="K151">
        <v>0.61</v>
      </c>
      <c r="L151">
        <v>0.52</v>
      </c>
      <c r="M151">
        <v>0.52</v>
      </c>
      <c r="N151">
        <v>0.61</v>
      </c>
      <c r="O151">
        <v>0.57999999999999996</v>
      </c>
      <c r="P151">
        <v>0.5</v>
      </c>
      <c r="Q151">
        <v>0.51</v>
      </c>
      <c r="S151">
        <v>0.56000000000000005</v>
      </c>
      <c r="T151" s="207">
        <f t="shared" si="54"/>
        <v>0.61</v>
      </c>
      <c r="U151">
        <v>0.54</v>
      </c>
      <c r="W151">
        <v>0.57999999999999996</v>
      </c>
      <c r="X151">
        <v>0.52</v>
      </c>
      <c r="Z151">
        <v>0.6</v>
      </c>
      <c r="AA151" s="207">
        <f t="shared" si="55"/>
        <v>0.61</v>
      </c>
      <c r="AB151">
        <v>0.52</v>
      </c>
      <c r="AC151">
        <v>0.54</v>
      </c>
      <c r="AD151">
        <v>0.47</v>
      </c>
      <c r="AE151">
        <v>0.52</v>
      </c>
      <c r="AF151">
        <v>0.56000000000000005</v>
      </c>
      <c r="AH151">
        <v>0.56000000000000005</v>
      </c>
      <c r="AI151" s="207">
        <f t="shared" si="51"/>
        <v>0.5</v>
      </c>
      <c r="AJ151" s="207">
        <f t="shared" si="56"/>
        <v>0.51</v>
      </c>
      <c r="AK151" s="207">
        <f t="shared" si="56"/>
        <v>0.51</v>
      </c>
      <c r="AL151" s="207">
        <f t="shared" si="58"/>
        <v>0.5</v>
      </c>
      <c r="AM151" s="207">
        <f t="shared" si="56"/>
        <v>0.51</v>
      </c>
      <c r="AN151" s="666">
        <f t="shared" si="56"/>
        <v>0.51</v>
      </c>
    </row>
    <row r="152" spans="1:40">
      <c r="B152" s="677"/>
      <c r="C152" s="611" t="s">
        <v>528</v>
      </c>
      <c r="D152">
        <v>0.6</v>
      </c>
      <c r="E152">
        <v>0.56999999999999995</v>
      </c>
      <c r="F152">
        <v>0.48</v>
      </c>
      <c r="G152" s="207">
        <f t="shared" si="57"/>
        <v>0.66</v>
      </c>
      <c r="H152">
        <v>0.42</v>
      </c>
      <c r="I152">
        <v>0.51</v>
      </c>
      <c r="J152">
        <v>0.66</v>
      </c>
      <c r="K152">
        <v>0.63</v>
      </c>
      <c r="L152">
        <v>0.54</v>
      </c>
      <c r="M152">
        <v>0.54</v>
      </c>
      <c r="N152">
        <v>0.63</v>
      </c>
      <c r="O152">
        <v>0.6</v>
      </c>
      <c r="P152">
        <v>0.51</v>
      </c>
      <c r="Q152">
        <v>0.52</v>
      </c>
      <c r="R152">
        <v>0.49</v>
      </c>
      <c r="S152">
        <v>0.57999999999999996</v>
      </c>
      <c r="T152" s="207">
        <f t="shared" si="54"/>
        <v>0.63</v>
      </c>
      <c r="U152">
        <v>0.56000000000000005</v>
      </c>
      <c r="V152">
        <v>0.51</v>
      </c>
      <c r="W152">
        <v>0.6</v>
      </c>
      <c r="X152">
        <v>0.54</v>
      </c>
      <c r="Y152">
        <v>0.45</v>
      </c>
      <c r="Z152">
        <v>0.61499999999999999</v>
      </c>
      <c r="AA152" s="207">
        <f t="shared" si="55"/>
        <v>0.63</v>
      </c>
      <c r="AB152">
        <v>0.54</v>
      </c>
      <c r="AC152">
        <v>0.56000000000000005</v>
      </c>
      <c r="AD152">
        <v>0.48</v>
      </c>
      <c r="AF152">
        <v>0.57999999999999996</v>
      </c>
      <c r="AG152">
        <v>0.48</v>
      </c>
      <c r="AH152">
        <v>0.57999999999999996</v>
      </c>
      <c r="AI152" s="207">
        <f t="shared" si="51"/>
        <v>0.51</v>
      </c>
      <c r="AJ152" s="207">
        <f t="shared" si="56"/>
        <v>0.52</v>
      </c>
      <c r="AK152" s="207">
        <f t="shared" si="56"/>
        <v>0.52</v>
      </c>
      <c r="AL152" s="207">
        <f t="shared" si="58"/>
        <v>0.51</v>
      </c>
      <c r="AM152" s="207">
        <f t="shared" si="56"/>
        <v>0.52</v>
      </c>
      <c r="AN152" s="666">
        <f t="shared" si="56"/>
        <v>0.52</v>
      </c>
    </row>
    <row r="153" spans="1:40">
      <c r="B153" s="677"/>
      <c r="C153" s="611" t="s">
        <v>536</v>
      </c>
      <c r="D153">
        <v>1</v>
      </c>
      <c r="E153">
        <v>1</v>
      </c>
      <c r="F153">
        <v>1</v>
      </c>
      <c r="G153" s="207">
        <f t="shared" si="57"/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 s="207">
        <f t="shared" si="54"/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 s="207">
        <f t="shared" si="55"/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 s="207">
        <f>$P153</f>
        <v>1</v>
      </c>
      <c r="AJ153" s="207">
        <f>$Q153</f>
        <v>1</v>
      </c>
      <c r="AK153" s="207">
        <f>$Q153</f>
        <v>1</v>
      </c>
      <c r="AL153" s="207">
        <f>$P153</f>
        <v>1</v>
      </c>
      <c r="AM153" s="207">
        <f>$Q153</f>
        <v>1</v>
      </c>
      <c r="AN153" s="666">
        <f>$Q153</f>
        <v>1</v>
      </c>
    </row>
    <row r="154" spans="1:40">
      <c r="B154" s="612"/>
      <c r="C154" s="613" t="s">
        <v>529</v>
      </c>
      <c r="D154" s="575">
        <v>0.51</v>
      </c>
      <c r="E154" s="575"/>
      <c r="F154" s="575">
        <v>0.41</v>
      </c>
      <c r="G154" s="669"/>
      <c r="H154" s="575"/>
      <c r="I154" s="575">
        <v>0.44</v>
      </c>
      <c r="J154" s="575"/>
      <c r="K154" s="575"/>
      <c r="L154" s="575"/>
      <c r="M154" s="575"/>
      <c r="N154" s="575"/>
      <c r="O154" s="575"/>
      <c r="P154" s="575"/>
      <c r="Q154" s="575"/>
      <c r="R154" s="575">
        <v>0.42</v>
      </c>
      <c r="S154" s="575">
        <v>0.5</v>
      </c>
      <c r="T154" s="669"/>
      <c r="U154" s="575"/>
      <c r="V154" s="575"/>
      <c r="W154" s="575"/>
      <c r="X154" s="575"/>
      <c r="Y154" s="575"/>
      <c r="Z154" s="575"/>
      <c r="AA154" s="669">
        <f>$D154</f>
        <v>0.51</v>
      </c>
      <c r="AB154" s="575">
        <v>0.46</v>
      </c>
      <c r="AC154" s="575"/>
      <c r="AD154" s="575"/>
      <c r="AE154" s="575"/>
      <c r="AF154" s="575"/>
      <c r="AG154" s="575"/>
      <c r="AH154" s="575">
        <v>0.5</v>
      </c>
      <c r="AI154" s="669"/>
      <c r="AJ154" s="669"/>
      <c r="AK154" s="669"/>
      <c r="AL154" s="669"/>
      <c r="AM154" s="669"/>
      <c r="AN154" s="670"/>
    </row>
    <row r="157" spans="1:40" ht="21">
      <c r="A157" s="3" t="s">
        <v>596</v>
      </c>
      <c r="B157" s="3"/>
      <c r="C157" s="3"/>
      <c r="D157">
        <v>2</v>
      </c>
      <c r="E157">
        <v>3</v>
      </c>
      <c r="F157">
        <v>4</v>
      </c>
      <c r="G157">
        <v>5</v>
      </c>
      <c r="H157">
        <v>6</v>
      </c>
      <c r="I157">
        <v>7</v>
      </c>
      <c r="J157">
        <v>8</v>
      </c>
      <c r="K157">
        <v>9</v>
      </c>
      <c r="L157">
        <v>10</v>
      </c>
      <c r="M157">
        <v>11</v>
      </c>
      <c r="N157">
        <v>12</v>
      </c>
      <c r="O157">
        <v>13</v>
      </c>
      <c r="P157">
        <v>14</v>
      </c>
      <c r="Q157">
        <v>15</v>
      </c>
      <c r="R157">
        <v>16</v>
      </c>
      <c r="S157">
        <v>17</v>
      </c>
      <c r="T157">
        <v>18</v>
      </c>
      <c r="U157">
        <v>19</v>
      </c>
      <c r="V157">
        <v>20</v>
      </c>
      <c r="W157">
        <v>21</v>
      </c>
      <c r="X157">
        <v>22</v>
      </c>
      <c r="Y157">
        <v>23</v>
      </c>
      <c r="Z157">
        <v>24</v>
      </c>
      <c r="AA157">
        <v>25</v>
      </c>
      <c r="AB157">
        <v>26</v>
      </c>
      <c r="AC157">
        <v>27</v>
      </c>
      <c r="AD157">
        <v>28</v>
      </c>
      <c r="AE157">
        <v>29</v>
      </c>
      <c r="AF157">
        <v>30</v>
      </c>
      <c r="AG157">
        <v>31</v>
      </c>
      <c r="AH157">
        <v>32</v>
      </c>
      <c r="AI157">
        <v>33</v>
      </c>
      <c r="AJ157">
        <v>34</v>
      </c>
      <c r="AK157">
        <v>35</v>
      </c>
      <c r="AL157">
        <v>36</v>
      </c>
      <c r="AM157">
        <v>37</v>
      </c>
      <c r="AN157">
        <v>38</v>
      </c>
    </row>
    <row r="158" spans="1:40">
      <c r="D158" s="663" t="s">
        <v>88</v>
      </c>
      <c r="E158" s="165" t="s">
        <v>89</v>
      </c>
      <c r="F158" s="165" t="s">
        <v>90</v>
      </c>
      <c r="G158" s="165" t="s">
        <v>91</v>
      </c>
      <c r="H158" s="165" t="s">
        <v>92</v>
      </c>
      <c r="I158" s="165" t="s">
        <v>93</v>
      </c>
      <c r="J158" s="165" t="s">
        <v>94</v>
      </c>
      <c r="K158" s="165" t="s">
        <v>95</v>
      </c>
      <c r="L158" s="165" t="s">
        <v>96</v>
      </c>
      <c r="M158" s="165" t="s">
        <v>97</v>
      </c>
      <c r="N158" s="165" t="s">
        <v>98</v>
      </c>
      <c r="O158" s="165" t="s">
        <v>99</v>
      </c>
      <c r="P158" s="165" t="s">
        <v>205</v>
      </c>
      <c r="Q158" s="165" t="s">
        <v>118</v>
      </c>
      <c r="R158" s="165" t="s">
        <v>100</v>
      </c>
      <c r="S158" s="165" t="s">
        <v>101</v>
      </c>
      <c r="T158" s="165" t="s">
        <v>102</v>
      </c>
      <c r="U158" s="165" t="s">
        <v>103</v>
      </c>
      <c r="V158" s="165" t="s">
        <v>104</v>
      </c>
      <c r="W158" s="165" t="s">
        <v>105</v>
      </c>
      <c r="X158" s="165" t="s">
        <v>106</v>
      </c>
      <c r="Y158" s="165" t="s">
        <v>107</v>
      </c>
      <c r="Z158" s="165" t="s">
        <v>108</v>
      </c>
      <c r="AA158" s="165" t="s">
        <v>109</v>
      </c>
      <c r="AB158" s="165" t="s">
        <v>110</v>
      </c>
      <c r="AC158" s="165" t="s">
        <v>111</v>
      </c>
      <c r="AD158" s="165" t="s">
        <v>112</v>
      </c>
      <c r="AE158" s="165" t="s">
        <v>113</v>
      </c>
      <c r="AF158" s="165" t="s">
        <v>114</v>
      </c>
      <c r="AG158" s="165" t="s">
        <v>115</v>
      </c>
      <c r="AH158" s="165" t="s">
        <v>52</v>
      </c>
      <c r="AI158" s="165" t="s">
        <v>116</v>
      </c>
      <c r="AJ158" s="165" t="s">
        <v>117</v>
      </c>
      <c r="AK158" s="165" t="s">
        <v>119</v>
      </c>
      <c r="AL158" s="165" t="s">
        <v>120</v>
      </c>
      <c r="AM158" s="165" t="s">
        <v>121</v>
      </c>
      <c r="AN158" s="166" t="s">
        <v>122</v>
      </c>
    </row>
    <row r="159" spans="1:40">
      <c r="B159" s="686" t="s">
        <v>524</v>
      </c>
      <c r="C159" s="687"/>
      <c r="D159" s="664"/>
      <c r="E159" s="665"/>
      <c r="F159" s="665"/>
      <c r="G159" s="665"/>
      <c r="H159" s="665"/>
      <c r="I159" s="665"/>
      <c r="J159" s="665"/>
      <c r="K159" s="665"/>
      <c r="L159" s="665"/>
      <c r="M159" s="665"/>
      <c r="N159" s="665"/>
      <c r="O159" s="665"/>
      <c r="P159" s="665"/>
      <c r="Q159" s="665"/>
      <c r="R159" s="665"/>
      <c r="S159" s="665"/>
      <c r="T159" s="665"/>
      <c r="U159" s="665"/>
      <c r="V159" s="665"/>
      <c r="W159" s="665"/>
      <c r="X159" s="665"/>
      <c r="Y159" s="665"/>
      <c r="Z159" s="665"/>
      <c r="AA159" s="665"/>
      <c r="AB159" s="665"/>
      <c r="AC159" s="665"/>
      <c r="AD159" s="665"/>
      <c r="AE159" s="665"/>
      <c r="AF159" s="665"/>
      <c r="AG159" s="665"/>
      <c r="AH159" s="665"/>
      <c r="AI159" s="665"/>
      <c r="AJ159" s="665"/>
      <c r="AK159" s="665"/>
      <c r="AL159" s="665"/>
      <c r="AM159" s="665"/>
      <c r="AN159" s="679"/>
    </row>
    <row r="160" spans="1:40">
      <c r="B160" s="688"/>
      <c r="C160" s="633" t="s">
        <v>526</v>
      </c>
      <c r="D160" s="680">
        <f>IFERROR(D100/D$99,"")</f>
        <v>3.2528660639388571E-2</v>
      </c>
      <c r="E160" s="681">
        <f t="shared" ref="E160:AG160" si="59">IFERROR(E100/E$99,"")</f>
        <v>0</v>
      </c>
      <c r="F160" s="681">
        <f t="shared" si="59"/>
        <v>3.7297118251076518E-2</v>
      </c>
      <c r="G160" s="681">
        <f t="shared" si="59"/>
        <v>0</v>
      </c>
      <c r="H160" s="681">
        <f t="shared" si="59"/>
        <v>0</v>
      </c>
      <c r="I160" s="681">
        <f t="shared" si="59"/>
        <v>2.0489119969189298E-2</v>
      </c>
      <c r="J160" s="681">
        <f t="shared" si="59"/>
        <v>0</v>
      </c>
      <c r="K160" s="681">
        <f t="shared" si="59"/>
        <v>0</v>
      </c>
      <c r="L160" s="681">
        <f t="shared" si="59"/>
        <v>4.4134727061556328E-2</v>
      </c>
      <c r="M160" s="681">
        <f t="shared" si="59"/>
        <v>9.3769188339733796E-3</v>
      </c>
      <c r="N160" s="681">
        <f t="shared" si="59"/>
        <v>0</v>
      </c>
      <c r="O160" s="681">
        <f t="shared" si="59"/>
        <v>0</v>
      </c>
      <c r="P160" s="681">
        <f t="shared" si="59"/>
        <v>3.245468218158791E-2</v>
      </c>
      <c r="Q160" s="681">
        <f t="shared" si="59"/>
        <v>0</v>
      </c>
      <c r="R160" s="681">
        <f t="shared" si="59"/>
        <v>2.0977460388306182E-2</v>
      </c>
      <c r="S160" s="681">
        <f t="shared" si="59"/>
        <v>0</v>
      </c>
      <c r="T160" s="681">
        <f t="shared" si="59"/>
        <v>0</v>
      </c>
      <c r="U160" s="681">
        <f t="shared" si="59"/>
        <v>0</v>
      </c>
      <c r="V160" s="681">
        <f t="shared" si="59"/>
        <v>8.8436431457880021E-2</v>
      </c>
      <c r="W160" s="681">
        <f t="shared" si="59"/>
        <v>0</v>
      </c>
      <c r="X160" s="681">
        <f t="shared" si="59"/>
        <v>0.19989281886387994</v>
      </c>
      <c r="Y160" s="681">
        <f t="shared" si="59"/>
        <v>0</v>
      </c>
      <c r="Z160" s="681">
        <f t="shared" si="59"/>
        <v>0</v>
      </c>
      <c r="AA160" s="681">
        <f t="shared" si="59"/>
        <v>0</v>
      </c>
      <c r="AB160" s="681">
        <f t="shared" si="59"/>
        <v>2.1339211387165991E-2</v>
      </c>
      <c r="AC160" s="681">
        <f t="shared" si="59"/>
        <v>0.1813155745429415</v>
      </c>
      <c r="AD160" s="681">
        <f t="shared" si="59"/>
        <v>0.2712003951918327</v>
      </c>
      <c r="AE160" s="681">
        <f t="shared" si="59"/>
        <v>0</v>
      </c>
      <c r="AF160" s="681">
        <f t="shared" si="59"/>
        <v>9.2509920634920625E-2</v>
      </c>
      <c r="AG160" s="681">
        <f t="shared" si="59"/>
        <v>0</v>
      </c>
      <c r="AH160" s="681">
        <f>IFERROR(AH100/AH$99,"")</f>
        <v>0</v>
      </c>
      <c r="AI160" s="681">
        <f t="shared" ref="AI160:AN164" si="60">IFERROR(AI100/AI$99,"")</f>
        <v>5.1306407303837197E-2</v>
      </c>
      <c r="AJ160" s="681">
        <f t="shared" si="60"/>
        <v>0</v>
      </c>
      <c r="AK160" s="681">
        <f t="shared" si="60"/>
        <v>0.15761917380567358</v>
      </c>
      <c r="AL160" s="681">
        <f t="shared" si="60"/>
        <v>0</v>
      </c>
      <c r="AM160" s="681">
        <f t="shared" si="60"/>
        <v>0</v>
      </c>
      <c r="AN160" s="682">
        <f t="shared" si="60"/>
        <v>0</v>
      </c>
    </row>
    <row r="161" spans="2:40">
      <c r="B161" s="688"/>
      <c r="C161" s="633" t="s">
        <v>510</v>
      </c>
      <c r="D161" s="680">
        <f t="shared" ref="D161:AH164" si="61">IFERROR(D101/D$99,"")</f>
        <v>0.86955913878273838</v>
      </c>
      <c r="E161" s="681">
        <f t="shared" si="61"/>
        <v>0.73527628152534519</v>
      </c>
      <c r="F161" s="681">
        <f t="shared" si="61"/>
        <v>0.87466048360384241</v>
      </c>
      <c r="G161" s="681">
        <f t="shared" si="61"/>
        <v>0.99409801075350446</v>
      </c>
      <c r="H161" s="681">
        <f t="shared" si="61"/>
        <v>0.39722346618898341</v>
      </c>
      <c r="I161" s="681">
        <f t="shared" si="61"/>
        <v>0.78020412093202407</v>
      </c>
      <c r="J161" s="681">
        <f t="shared" si="61"/>
        <v>0.91216939162427479</v>
      </c>
      <c r="K161" s="681">
        <f t="shared" si="61"/>
        <v>0.94044029808293983</v>
      </c>
      <c r="L161" s="681">
        <f t="shared" si="61"/>
        <v>0.89941927990708481</v>
      </c>
      <c r="M161" s="681">
        <f t="shared" si="61"/>
        <v>0.58396036924870176</v>
      </c>
      <c r="N161" s="681">
        <f t="shared" si="61"/>
        <v>0.9872562762839302</v>
      </c>
      <c r="O161" s="681">
        <f t="shared" si="61"/>
        <v>0.75939470581198631</v>
      </c>
      <c r="P161" s="681">
        <f t="shared" si="61"/>
        <v>0.91648856170347492</v>
      </c>
      <c r="Q161" s="681">
        <f t="shared" si="61"/>
        <v>0.71775312066574204</v>
      </c>
      <c r="R161" s="681">
        <f t="shared" si="61"/>
        <v>0.48801606784199952</v>
      </c>
      <c r="S161" s="681">
        <f t="shared" si="61"/>
        <v>0.75992276335550313</v>
      </c>
      <c r="T161" s="681">
        <f t="shared" si="61"/>
        <v>0.97258449859987062</v>
      </c>
      <c r="U161" s="681">
        <f t="shared" si="61"/>
        <v>0.27181035829310563</v>
      </c>
      <c r="V161" s="681">
        <f t="shared" si="61"/>
        <v>0.71106621075536214</v>
      </c>
      <c r="W161" s="681">
        <f t="shared" si="61"/>
        <v>0.70769230769230773</v>
      </c>
      <c r="X161" s="681">
        <f t="shared" si="61"/>
        <v>0.55278670953912112</v>
      </c>
      <c r="Y161" s="681">
        <f t="shared" si="61"/>
        <v>0.44549763033175349</v>
      </c>
      <c r="Z161" s="681">
        <f t="shared" si="61"/>
        <v>0.64688446844947967</v>
      </c>
      <c r="AA161" s="681">
        <f t="shared" si="61"/>
        <v>0.99200717236823621</v>
      </c>
      <c r="AB161" s="681">
        <f t="shared" si="61"/>
        <v>0.60577565688424062</v>
      </c>
      <c r="AC161" s="681">
        <f t="shared" si="61"/>
        <v>0.43123704215618519</v>
      </c>
      <c r="AD161" s="681">
        <f t="shared" si="61"/>
        <v>0.15494813107195785</v>
      </c>
      <c r="AE161" s="681">
        <f t="shared" si="61"/>
        <v>0.99337447469049334</v>
      </c>
      <c r="AF161" s="681">
        <f t="shared" si="61"/>
        <v>0.59672619047619047</v>
      </c>
      <c r="AG161" s="681">
        <f t="shared" si="61"/>
        <v>0.65292096219931273</v>
      </c>
      <c r="AH161" s="681">
        <f t="shared" si="61"/>
        <v>0.57467028323210878</v>
      </c>
      <c r="AI161" s="681">
        <f t="shared" si="60"/>
        <v>0.69414301528454703</v>
      </c>
      <c r="AJ161" s="681">
        <f t="shared" si="60"/>
        <v>0.98120946887416161</v>
      </c>
      <c r="AK161" s="681">
        <f t="shared" si="60"/>
        <v>0.84238082619432642</v>
      </c>
      <c r="AL161" s="681">
        <f t="shared" si="60"/>
        <v>0.94830087423459797</v>
      </c>
      <c r="AM161" s="681">
        <f t="shared" si="60"/>
        <v>0.937939181599172</v>
      </c>
      <c r="AN161" s="682">
        <f t="shared" si="60"/>
        <v>0.92090866801777516</v>
      </c>
    </row>
    <row r="162" spans="2:40">
      <c r="B162" s="688"/>
      <c r="C162" s="633" t="s">
        <v>527</v>
      </c>
      <c r="D162" s="680">
        <f t="shared" si="61"/>
        <v>6.389225463696524E-2</v>
      </c>
      <c r="E162" s="681">
        <f t="shared" si="61"/>
        <v>0.22527021724396248</v>
      </c>
      <c r="F162" s="681">
        <f t="shared" si="61"/>
        <v>1.2520702219277906E-2</v>
      </c>
      <c r="G162" s="681">
        <f t="shared" si="61"/>
        <v>5.901989246495481E-3</v>
      </c>
      <c r="H162" s="681">
        <f t="shared" si="61"/>
        <v>0</v>
      </c>
      <c r="I162" s="681">
        <f t="shared" si="61"/>
        <v>0.19584055459272098</v>
      </c>
      <c r="J162" s="681">
        <f t="shared" si="61"/>
        <v>1.4232350346329282E-2</v>
      </c>
      <c r="K162" s="681">
        <f t="shared" si="61"/>
        <v>2.8158598327549921E-2</v>
      </c>
      <c r="L162" s="681">
        <f t="shared" si="61"/>
        <v>2.5319396051103372E-2</v>
      </c>
      <c r="M162" s="681">
        <f t="shared" si="61"/>
        <v>0.26850666583408789</v>
      </c>
      <c r="N162" s="681">
        <f t="shared" si="61"/>
        <v>2.8673378361157133E-3</v>
      </c>
      <c r="O162" s="681">
        <f t="shared" si="61"/>
        <v>0.12730915802245502</v>
      </c>
      <c r="P162" s="681">
        <f t="shared" si="61"/>
        <v>2.1451753344415424E-2</v>
      </c>
      <c r="Q162" s="681">
        <f t="shared" si="61"/>
        <v>0.13047354864275809</v>
      </c>
      <c r="R162" s="681">
        <f t="shared" si="61"/>
        <v>0.38187904485605889</v>
      </c>
      <c r="S162" s="681">
        <f t="shared" si="61"/>
        <v>0.15694057069298437</v>
      </c>
      <c r="T162" s="681">
        <f t="shared" si="61"/>
        <v>0</v>
      </c>
      <c r="U162" s="681">
        <f t="shared" si="61"/>
        <v>0.57181854019919209</v>
      </c>
      <c r="V162" s="681">
        <f t="shared" si="61"/>
        <v>4.7559838358719311E-2</v>
      </c>
      <c r="W162" s="681">
        <f t="shared" si="61"/>
        <v>0.24769230769230771</v>
      </c>
      <c r="X162" s="681">
        <f t="shared" si="61"/>
        <v>7.3687031082529469E-2</v>
      </c>
      <c r="Y162" s="681">
        <f t="shared" si="61"/>
        <v>0</v>
      </c>
      <c r="Z162" s="681">
        <f t="shared" si="61"/>
        <v>0.33126948579458132</v>
      </c>
      <c r="AA162" s="681">
        <f t="shared" si="61"/>
        <v>1.3802801992168859E-4</v>
      </c>
      <c r="AB162" s="681">
        <f t="shared" si="61"/>
        <v>0.11072940238483274</v>
      </c>
      <c r="AC162" s="681">
        <f t="shared" si="61"/>
        <v>8.1485204498335115E-2</v>
      </c>
      <c r="AD162" s="681">
        <f t="shared" si="61"/>
        <v>0.2993907459245842</v>
      </c>
      <c r="AE162" s="681">
        <f t="shared" si="61"/>
        <v>6.6255253095066826E-3</v>
      </c>
      <c r="AF162" s="681">
        <f t="shared" si="61"/>
        <v>8.4821428571428562E-2</v>
      </c>
      <c r="AG162" s="681">
        <f t="shared" si="61"/>
        <v>0.31079442086112796</v>
      </c>
      <c r="AH162" s="681">
        <f t="shared" si="61"/>
        <v>0.3941368398293924</v>
      </c>
      <c r="AI162" s="681">
        <f t="shared" si="60"/>
        <v>0</v>
      </c>
      <c r="AJ162" s="681">
        <f t="shared" si="60"/>
        <v>1.8790531125838485E-2</v>
      </c>
      <c r="AK162" s="681">
        <f t="shared" si="60"/>
        <v>0</v>
      </c>
      <c r="AL162" s="681">
        <f t="shared" si="60"/>
        <v>0</v>
      </c>
      <c r="AM162" s="681">
        <f t="shared" si="60"/>
        <v>2.78199855491356E-2</v>
      </c>
      <c r="AN162" s="682">
        <f t="shared" si="60"/>
        <v>0</v>
      </c>
    </row>
    <row r="163" spans="2:40">
      <c r="B163" s="688"/>
      <c r="C163" s="633" t="s">
        <v>528</v>
      </c>
      <c r="D163" s="680">
        <f t="shared" si="61"/>
        <v>3.3087892627458287E-2</v>
      </c>
      <c r="E163" s="681">
        <f t="shared" si="61"/>
        <v>3.9453501230692398E-2</v>
      </c>
      <c r="F163" s="681">
        <f t="shared" si="61"/>
        <v>5.5117588605498515E-2</v>
      </c>
      <c r="G163" s="681">
        <f t="shared" si="61"/>
        <v>0</v>
      </c>
      <c r="H163" s="681">
        <f t="shared" si="61"/>
        <v>0.60322436184505168</v>
      </c>
      <c r="I163" s="681">
        <f t="shared" si="61"/>
        <v>3.4662045060658586E-3</v>
      </c>
      <c r="J163" s="681">
        <f t="shared" si="61"/>
        <v>7.3598258029395749E-2</v>
      </c>
      <c r="K163" s="681">
        <f t="shared" si="61"/>
        <v>3.1401103589510204E-2</v>
      </c>
      <c r="L163" s="681">
        <f t="shared" si="61"/>
        <v>3.0894308943089435E-2</v>
      </c>
      <c r="M163" s="681">
        <f t="shared" si="61"/>
        <v>0.13343116134336594</v>
      </c>
      <c r="N163" s="681">
        <f t="shared" si="61"/>
        <v>9.8763858799541231E-3</v>
      </c>
      <c r="O163" s="681">
        <f t="shared" si="61"/>
        <v>0.11329613616555874</v>
      </c>
      <c r="P163" s="681">
        <f t="shared" si="61"/>
        <v>2.9578616850048815E-2</v>
      </c>
      <c r="Q163" s="681">
        <f t="shared" si="61"/>
        <v>0.15177333069149992</v>
      </c>
      <c r="R163" s="681">
        <f t="shared" si="61"/>
        <v>0.10814550323588484</v>
      </c>
      <c r="S163" s="681">
        <f t="shared" si="61"/>
        <v>8.3243939068869344E-2</v>
      </c>
      <c r="T163" s="681">
        <f t="shared" si="61"/>
        <v>2.7415501400129379E-2</v>
      </c>
      <c r="U163" s="681">
        <f t="shared" si="61"/>
        <v>0.15636366341125979</v>
      </c>
      <c r="V163" s="681">
        <f t="shared" si="61"/>
        <v>0.15293751942803854</v>
      </c>
      <c r="W163" s="681">
        <f t="shared" si="61"/>
        <v>4.3846153846153847E-2</v>
      </c>
      <c r="X163" s="681">
        <f t="shared" si="61"/>
        <v>0.17390139335476959</v>
      </c>
      <c r="Y163" s="681">
        <f t="shared" si="61"/>
        <v>0.55608214849921012</v>
      </c>
      <c r="Z163" s="681">
        <f t="shared" si="61"/>
        <v>2.1835067843498882E-2</v>
      </c>
      <c r="AA163" s="681">
        <f t="shared" si="61"/>
        <v>7.8547996118422409E-3</v>
      </c>
      <c r="AB163" s="681">
        <f t="shared" si="61"/>
        <v>0.19701251040579676</v>
      </c>
      <c r="AC163" s="681">
        <f t="shared" si="61"/>
        <v>0.30596217880253812</v>
      </c>
      <c r="AD163" s="681">
        <f t="shared" si="61"/>
        <v>0.27446072781162528</v>
      </c>
      <c r="AE163" s="681">
        <f t="shared" si="61"/>
        <v>0</v>
      </c>
      <c r="AF163" s="681">
        <f t="shared" si="61"/>
        <v>0.22594246031746029</v>
      </c>
      <c r="AG163" s="681">
        <f t="shared" si="61"/>
        <v>3.6284616939559332E-2</v>
      </c>
      <c r="AH163" s="681">
        <f t="shared" si="61"/>
        <v>3.1192876938498728E-2</v>
      </c>
      <c r="AI163" s="681">
        <f t="shared" si="60"/>
        <v>0.2545505774116158</v>
      </c>
      <c r="AJ163" s="681">
        <f t="shared" si="60"/>
        <v>0</v>
      </c>
      <c r="AK163" s="681">
        <f t="shared" si="60"/>
        <v>0</v>
      </c>
      <c r="AL163" s="681">
        <f t="shared" si="60"/>
        <v>5.1699125765402032E-2</v>
      </c>
      <c r="AM163" s="681">
        <f t="shared" si="60"/>
        <v>3.4240832851692375E-2</v>
      </c>
      <c r="AN163" s="682">
        <f t="shared" si="60"/>
        <v>7.9091331982224927E-2</v>
      </c>
    </row>
    <row r="164" spans="2:40">
      <c r="B164" s="618"/>
      <c r="C164" s="619" t="s">
        <v>529</v>
      </c>
      <c r="D164" s="683">
        <f t="shared" si="61"/>
        <v>9.3205331344952921E-4</v>
      </c>
      <c r="E164" s="684">
        <f t="shared" si="61"/>
        <v>0</v>
      </c>
      <c r="F164" s="684">
        <f t="shared" si="61"/>
        <v>2.0404107320304735E-2</v>
      </c>
      <c r="G164" s="684">
        <f t="shared" si="61"/>
        <v>0</v>
      </c>
      <c r="H164" s="684">
        <f t="shared" si="61"/>
        <v>0</v>
      </c>
      <c r="I164" s="684">
        <f t="shared" si="61"/>
        <v>0</v>
      </c>
      <c r="J164" s="684">
        <f t="shared" si="61"/>
        <v>0</v>
      </c>
      <c r="K164" s="684">
        <f t="shared" si="61"/>
        <v>0</v>
      </c>
      <c r="L164" s="684">
        <f t="shared" si="61"/>
        <v>0</v>
      </c>
      <c r="M164" s="684">
        <f t="shared" si="61"/>
        <v>4.7248847398711586E-3</v>
      </c>
      <c r="N164" s="684">
        <f t="shared" si="61"/>
        <v>0</v>
      </c>
      <c r="O164" s="684">
        <f t="shared" si="61"/>
        <v>0</v>
      </c>
      <c r="P164" s="684">
        <f t="shared" si="61"/>
        <v>0</v>
      </c>
      <c r="Q164" s="684">
        <f t="shared" si="61"/>
        <v>0</v>
      </c>
      <c r="R164" s="684">
        <f t="shared" si="61"/>
        <v>9.8192367775050199E-4</v>
      </c>
      <c r="S164" s="684">
        <f t="shared" si="61"/>
        <v>0</v>
      </c>
      <c r="T164" s="684">
        <f t="shared" si="61"/>
        <v>0</v>
      </c>
      <c r="U164" s="684">
        <f t="shared" si="61"/>
        <v>0</v>
      </c>
      <c r="V164" s="684">
        <f t="shared" si="61"/>
        <v>0</v>
      </c>
      <c r="W164" s="684">
        <f t="shared" si="61"/>
        <v>0</v>
      </c>
      <c r="X164" s="684">
        <f t="shared" si="61"/>
        <v>0</v>
      </c>
      <c r="Y164" s="684">
        <f t="shared" si="61"/>
        <v>0</v>
      </c>
      <c r="Z164" s="684">
        <f t="shared" si="61"/>
        <v>0</v>
      </c>
      <c r="AA164" s="684">
        <f t="shared" si="61"/>
        <v>0</v>
      </c>
      <c r="AB164" s="684">
        <f t="shared" si="61"/>
        <v>6.5143218937963862E-2</v>
      </c>
      <c r="AC164" s="684">
        <f t="shared" si="61"/>
        <v>0</v>
      </c>
      <c r="AD164" s="684">
        <f t="shared" si="61"/>
        <v>0</v>
      </c>
      <c r="AE164" s="684">
        <f t="shared" si="61"/>
        <v>0</v>
      </c>
      <c r="AF164" s="684">
        <f t="shared" si="61"/>
        <v>0</v>
      </c>
      <c r="AG164" s="684">
        <f t="shared" si="61"/>
        <v>0</v>
      </c>
      <c r="AH164" s="684">
        <f t="shared" si="61"/>
        <v>0</v>
      </c>
      <c r="AI164" s="684">
        <f t="shared" si="60"/>
        <v>0</v>
      </c>
      <c r="AJ164" s="684">
        <f t="shared" si="60"/>
        <v>0</v>
      </c>
      <c r="AK164" s="684">
        <f t="shared" si="60"/>
        <v>0</v>
      </c>
      <c r="AL164" s="684">
        <f t="shared" si="60"/>
        <v>0</v>
      </c>
      <c r="AM164" s="684">
        <f t="shared" si="60"/>
        <v>0</v>
      </c>
      <c r="AN164" s="685">
        <f t="shared" si="60"/>
        <v>0</v>
      </c>
    </row>
    <row r="165" spans="2:40">
      <c r="B165" s="688" t="s">
        <v>530</v>
      </c>
      <c r="C165" s="689"/>
      <c r="D165" s="517"/>
      <c r="AN165" s="607"/>
    </row>
    <row r="166" spans="2:40">
      <c r="B166" s="618"/>
      <c r="C166" s="619" t="s">
        <v>510</v>
      </c>
      <c r="D166" s="683">
        <v>1</v>
      </c>
      <c r="E166" s="684">
        <v>1</v>
      </c>
      <c r="F166" s="684">
        <v>1</v>
      </c>
      <c r="G166" s="684">
        <v>1</v>
      </c>
      <c r="H166" s="684">
        <v>1</v>
      </c>
      <c r="I166" s="684">
        <v>1</v>
      </c>
      <c r="J166" s="684">
        <v>1</v>
      </c>
      <c r="K166" s="684">
        <v>1</v>
      </c>
      <c r="L166" s="684">
        <v>1</v>
      </c>
      <c r="M166" s="684">
        <v>1</v>
      </c>
      <c r="N166" s="684">
        <v>1</v>
      </c>
      <c r="O166" s="684">
        <v>1</v>
      </c>
      <c r="P166" s="684">
        <v>1</v>
      </c>
      <c r="Q166" s="684">
        <v>1</v>
      </c>
      <c r="R166" s="684">
        <v>1</v>
      </c>
      <c r="S166" s="684">
        <v>1</v>
      </c>
      <c r="T166" s="684">
        <v>1</v>
      </c>
      <c r="U166" s="684">
        <v>1</v>
      </c>
      <c r="V166" s="684">
        <v>1</v>
      </c>
      <c r="W166" s="684">
        <v>1</v>
      </c>
      <c r="X166" s="684">
        <v>1</v>
      </c>
      <c r="Y166" s="684">
        <v>1</v>
      </c>
      <c r="Z166" s="684">
        <v>1</v>
      </c>
      <c r="AA166" s="684">
        <v>1</v>
      </c>
      <c r="AB166" s="684">
        <v>1</v>
      </c>
      <c r="AC166" s="684">
        <v>1</v>
      </c>
      <c r="AD166" s="684">
        <v>1</v>
      </c>
      <c r="AE166" s="684">
        <v>1</v>
      </c>
      <c r="AF166" s="684">
        <v>1</v>
      </c>
      <c r="AG166" s="684">
        <v>1</v>
      </c>
      <c r="AH166" s="684">
        <v>1</v>
      </c>
      <c r="AI166" s="684">
        <v>1</v>
      </c>
      <c r="AJ166" s="684">
        <v>1</v>
      </c>
      <c r="AK166" s="684">
        <v>1</v>
      </c>
      <c r="AL166" s="684">
        <v>1</v>
      </c>
      <c r="AM166" s="684">
        <v>1</v>
      </c>
      <c r="AN166" s="685">
        <v>1</v>
      </c>
    </row>
    <row r="167" spans="2:40">
      <c r="B167" s="688" t="s">
        <v>531</v>
      </c>
      <c r="C167" s="689"/>
      <c r="D167" s="517"/>
      <c r="AN167" s="607"/>
    </row>
    <row r="168" spans="2:40">
      <c r="B168" s="688"/>
      <c r="C168" s="633" t="s">
        <v>526</v>
      </c>
      <c r="D168" s="680">
        <f>IFERROR(D108/D$107,"")</f>
        <v>0.25254226096143689</v>
      </c>
      <c r="E168" s="681">
        <f t="shared" ref="E168:AN175" si="62">IFERROR(E108/E$107,"")</f>
        <v>2.8359741107549089E-2</v>
      </c>
      <c r="F168" s="681">
        <f t="shared" si="62"/>
        <v>0.45898142525729058</v>
      </c>
      <c r="G168" s="681">
        <f t="shared" si="62"/>
        <v>8.4377489116112162E-2</v>
      </c>
      <c r="H168" s="681">
        <f t="shared" si="62"/>
        <v>3.9456320929005022E-2</v>
      </c>
      <c r="I168" s="681">
        <f t="shared" si="62"/>
        <v>0.16684145847139742</v>
      </c>
      <c r="J168" s="681">
        <f>IFERROR(J108/J$107,"")</f>
        <v>0.10976555146480184</v>
      </c>
      <c r="K168" s="681">
        <f t="shared" si="62"/>
        <v>0.17796083888876418</v>
      </c>
      <c r="L168" s="681">
        <f t="shared" si="62"/>
        <v>0.38531451805788086</v>
      </c>
      <c r="M168" s="681">
        <f t="shared" si="62"/>
        <v>0.19732374437650946</v>
      </c>
      <c r="N168" s="681">
        <f t="shared" si="62"/>
        <v>0.20525864666493096</v>
      </c>
      <c r="O168" s="681">
        <f t="shared" si="62"/>
        <v>0.20007245249256023</v>
      </c>
      <c r="P168" s="681">
        <f t="shared" si="62"/>
        <v>0.15760473367029548</v>
      </c>
      <c r="Q168" s="681">
        <f t="shared" si="62"/>
        <v>0.2073948760591246</v>
      </c>
      <c r="R168" s="681">
        <f t="shared" si="62"/>
        <v>0.11168164822223722</v>
      </c>
      <c r="S168" s="681">
        <f t="shared" si="62"/>
        <v>1.0656558432270062E-2</v>
      </c>
      <c r="T168" s="681">
        <f t="shared" si="62"/>
        <v>0</v>
      </c>
      <c r="U168" s="681">
        <f t="shared" si="62"/>
        <v>0.15497831364962072</v>
      </c>
      <c r="V168" s="681">
        <f t="shared" si="62"/>
        <v>0.32774128646665479</v>
      </c>
      <c r="W168" s="681">
        <f t="shared" si="62"/>
        <v>3.8366587073535956E-2</v>
      </c>
      <c r="X168" s="681">
        <f t="shared" si="62"/>
        <v>0.44479995124478167</v>
      </c>
      <c r="Y168" s="681">
        <f t="shared" si="62"/>
        <v>0</v>
      </c>
      <c r="Z168" s="681">
        <f t="shared" si="62"/>
        <v>2.5909654162442269E-2</v>
      </c>
      <c r="AA168" s="681">
        <f t="shared" si="62"/>
        <v>0.172144164301061</v>
      </c>
      <c r="AB168" s="681">
        <f t="shared" si="62"/>
        <v>0.12220826681478071</v>
      </c>
      <c r="AC168" s="681">
        <f t="shared" si="62"/>
        <v>0.48730261857009688</v>
      </c>
      <c r="AD168" s="681">
        <f t="shared" si="62"/>
        <v>0.42686053084780523</v>
      </c>
      <c r="AE168" s="681">
        <f>IFERROR(AE108/AE$107,"")</f>
        <v>6.8333079545055228E-2</v>
      </c>
      <c r="AF168" s="681">
        <f t="shared" si="62"/>
        <v>0.38665631655420868</v>
      </c>
      <c r="AG168" s="681">
        <f t="shared" si="62"/>
        <v>1.8467154773315928E-2</v>
      </c>
      <c r="AH168" s="681">
        <f t="shared" si="62"/>
        <v>8.1119695687387958E-3</v>
      </c>
      <c r="AI168" s="681">
        <f t="shared" si="62"/>
        <v>0.73926187207121485</v>
      </c>
      <c r="AJ168" s="681">
        <f t="shared" si="62"/>
        <v>0.29333264393527531</v>
      </c>
      <c r="AK168" s="681">
        <f t="shared" si="62"/>
        <v>0.89715823750733426</v>
      </c>
      <c r="AL168" s="681">
        <f t="shared" si="62"/>
        <v>0.48830761098914943</v>
      </c>
      <c r="AM168" s="681">
        <f t="shared" si="62"/>
        <v>0.40416134023990052</v>
      </c>
      <c r="AN168" s="682">
        <f t="shared" si="62"/>
        <v>0.68142069876801192</v>
      </c>
    </row>
    <row r="169" spans="2:40">
      <c r="B169" s="688"/>
      <c r="C169" s="633" t="s">
        <v>532</v>
      </c>
      <c r="D169" s="680">
        <f t="shared" ref="D169:AH175" si="63">IFERROR(D109/D$107,"")</f>
        <v>0.17616637852374778</v>
      </c>
      <c r="E169" s="681">
        <f t="shared" si="63"/>
        <v>1.963292020880302E-3</v>
      </c>
      <c r="F169" s="681">
        <f t="shared" si="63"/>
        <v>0.30477836423933863</v>
      </c>
      <c r="G169" s="681">
        <f t="shared" si="63"/>
        <v>4.3204708725208325E-2</v>
      </c>
      <c r="H169" s="681">
        <f t="shared" si="63"/>
        <v>0</v>
      </c>
      <c r="I169" s="681">
        <f t="shared" si="63"/>
        <v>0.27086402913339724</v>
      </c>
      <c r="J169" s="681">
        <f>IFERROR(J109/J$107,"")</f>
        <v>0.11628054820900081</v>
      </c>
      <c r="K169" s="681">
        <f t="shared" si="63"/>
        <v>0.52916881775942182</v>
      </c>
      <c r="L169" s="681">
        <f t="shared" si="63"/>
        <v>0.52386336457132909</v>
      </c>
      <c r="M169" s="681">
        <f t="shared" si="63"/>
        <v>0</v>
      </c>
      <c r="N169" s="681">
        <f t="shared" si="63"/>
        <v>0.39273981458999468</v>
      </c>
      <c r="O169" s="681">
        <f t="shared" si="63"/>
        <v>8.9699103339622277E-2</v>
      </c>
      <c r="P169" s="681">
        <f t="shared" si="63"/>
        <v>1.8334467340590979E-2</v>
      </c>
      <c r="Q169" s="681">
        <f t="shared" si="63"/>
        <v>0.1469943083253287</v>
      </c>
      <c r="R169" s="681">
        <f t="shared" si="63"/>
        <v>0.14592048342776934</v>
      </c>
      <c r="S169" s="681">
        <f t="shared" si="63"/>
        <v>0</v>
      </c>
      <c r="T169" s="681">
        <f t="shared" si="63"/>
        <v>0.39012583402871998</v>
      </c>
      <c r="U169" s="681">
        <f t="shared" si="63"/>
        <v>6.3074945372465479E-3</v>
      </c>
      <c r="V169" s="681">
        <f t="shared" si="63"/>
        <v>0.49718918279188107</v>
      </c>
      <c r="W169" s="681">
        <f t="shared" si="63"/>
        <v>0</v>
      </c>
      <c r="X169" s="681">
        <f t="shared" si="63"/>
        <v>0.41022945424627477</v>
      </c>
      <c r="Y169" s="681">
        <f t="shared" si="63"/>
        <v>0</v>
      </c>
      <c r="Z169" s="681">
        <f t="shared" si="63"/>
        <v>4.3485884144236465E-2</v>
      </c>
      <c r="AA169" s="681">
        <f t="shared" si="63"/>
        <v>3.5765690514733738E-2</v>
      </c>
      <c r="AB169" s="681">
        <f t="shared" si="63"/>
        <v>0.33936192385294373</v>
      </c>
      <c r="AC169" s="681">
        <f t="shared" si="63"/>
        <v>1.0112708680545748E-2</v>
      </c>
      <c r="AD169" s="681">
        <f t="shared" si="63"/>
        <v>0.22835460843729871</v>
      </c>
      <c r="AE169" s="681">
        <f t="shared" si="63"/>
        <v>0.53421339299310089</v>
      </c>
      <c r="AF169" s="681">
        <f t="shared" si="63"/>
        <v>0.14332915348022532</v>
      </c>
      <c r="AG169" s="681">
        <f t="shared" si="63"/>
        <v>0.30074643607366464</v>
      </c>
      <c r="AH169" s="681">
        <f t="shared" si="63"/>
        <v>2.0006916195728338E-3</v>
      </c>
      <c r="AI169" s="681">
        <f t="shared" si="62"/>
        <v>0</v>
      </c>
      <c r="AJ169" s="681">
        <f t="shared" si="62"/>
        <v>0.23617238552318784</v>
      </c>
      <c r="AK169" s="681">
        <f t="shared" si="62"/>
        <v>0</v>
      </c>
      <c r="AL169" s="681">
        <f t="shared" si="62"/>
        <v>0.13589201891324337</v>
      </c>
      <c r="AM169" s="681">
        <f t="shared" si="62"/>
        <v>0.23471214817540834</v>
      </c>
      <c r="AN169" s="682">
        <f t="shared" si="62"/>
        <v>1.6067473080272562E-2</v>
      </c>
    </row>
    <row r="170" spans="2:40">
      <c r="B170" s="688"/>
      <c r="C170" s="633" t="s">
        <v>510</v>
      </c>
      <c r="D170" s="680">
        <f t="shared" si="63"/>
        <v>8.6842073668539591E-2</v>
      </c>
      <c r="E170" s="681">
        <f t="shared" si="63"/>
        <v>5.2382766712857014E-2</v>
      </c>
      <c r="F170" s="681">
        <f t="shared" si="63"/>
        <v>6.6903327261120707E-2</v>
      </c>
      <c r="G170" s="681">
        <f t="shared" si="63"/>
        <v>2.4707325491212628E-2</v>
      </c>
      <c r="H170" s="681">
        <f t="shared" si="63"/>
        <v>0.276326207442597</v>
      </c>
      <c r="I170" s="681">
        <f t="shared" si="63"/>
        <v>8.2172522728296324E-2</v>
      </c>
      <c r="J170" s="681">
        <f t="shared" si="63"/>
        <v>1.8497578980178186E-2</v>
      </c>
      <c r="K170" s="681">
        <f t="shared" si="63"/>
        <v>1.5394342064899404E-2</v>
      </c>
      <c r="L170" s="681">
        <f t="shared" si="63"/>
        <v>1.2393729207888499E-2</v>
      </c>
      <c r="M170" s="681">
        <f t="shared" si="63"/>
        <v>0.15000009922347707</v>
      </c>
      <c r="N170" s="681">
        <f t="shared" si="63"/>
        <v>0.26157496116570178</v>
      </c>
      <c r="O170" s="681">
        <f t="shared" si="63"/>
        <v>8.4543792426040112E-2</v>
      </c>
      <c r="P170" s="681">
        <f t="shared" si="63"/>
        <v>0.1071211605754277</v>
      </c>
      <c r="Q170" s="681">
        <f t="shared" si="63"/>
        <v>0.104027182405987</v>
      </c>
      <c r="R170" s="681">
        <f t="shared" si="63"/>
        <v>8.3628404553547003E-2</v>
      </c>
      <c r="S170" s="681">
        <f t="shared" si="63"/>
        <v>7.9394936346731504E-2</v>
      </c>
      <c r="T170" s="681">
        <f t="shared" si="63"/>
        <v>0.10777182510142937</v>
      </c>
      <c r="U170" s="681">
        <f>IFERROR(U110/U$107,"")</f>
        <v>2.8486418737607305E-2</v>
      </c>
      <c r="V170" s="681">
        <f t="shared" si="63"/>
        <v>6.775548849044322E-3</v>
      </c>
      <c r="W170" s="681">
        <f t="shared" si="63"/>
        <v>3.2700635396009543E-2</v>
      </c>
      <c r="X170" s="681">
        <f t="shared" si="63"/>
        <v>4.9517018618399E-3</v>
      </c>
      <c r="Y170" s="681">
        <f t="shared" si="63"/>
        <v>0.45045045045045046</v>
      </c>
      <c r="Z170" s="681">
        <f t="shared" si="63"/>
        <v>2.2117687245400402E-2</v>
      </c>
      <c r="AA170" s="681">
        <f t="shared" si="63"/>
        <v>0.73656825612630616</v>
      </c>
      <c r="AB170" s="681">
        <f t="shared" si="63"/>
        <v>1.0864121011205671E-2</v>
      </c>
      <c r="AC170" s="681">
        <f t="shared" si="63"/>
        <v>0.11081607864184627</v>
      </c>
      <c r="AD170" s="681">
        <f t="shared" si="63"/>
        <v>5.084333548056319E-3</v>
      </c>
      <c r="AE170" s="823">
        <v>0.2</v>
      </c>
      <c r="AF170" s="681">
        <f t="shared" si="63"/>
        <v>4.3769033259688297E-2</v>
      </c>
      <c r="AG170" s="681">
        <f t="shared" si="63"/>
        <v>3.0397895295005403E-2</v>
      </c>
      <c r="AH170" s="681">
        <f t="shared" si="63"/>
        <v>0.11571432471538944</v>
      </c>
      <c r="AI170" s="681">
        <f t="shared" si="62"/>
        <v>0.24092156271898446</v>
      </c>
      <c r="AJ170" s="681">
        <f t="shared" si="62"/>
        <v>0.18251034761326937</v>
      </c>
      <c r="AK170" s="681">
        <f t="shared" si="62"/>
        <v>9.3864895015028954E-2</v>
      </c>
      <c r="AL170" s="681">
        <f t="shared" si="62"/>
        <v>0.26146122607576033</v>
      </c>
      <c r="AM170" s="681">
        <f t="shared" si="62"/>
        <v>0.14757053638470005</v>
      </c>
      <c r="AN170" s="682">
        <f t="shared" si="62"/>
        <v>0.16900938060603202</v>
      </c>
    </row>
    <row r="171" spans="2:40">
      <c r="B171" s="688"/>
      <c r="C171" s="633" t="s">
        <v>527</v>
      </c>
      <c r="D171" s="680">
        <f t="shared" si="63"/>
        <v>0.23958183258896418</v>
      </c>
      <c r="E171" s="681">
        <f t="shared" si="63"/>
        <v>0.50969633284230809</v>
      </c>
      <c r="F171" s="681">
        <f t="shared" si="63"/>
        <v>3.5545798495959638E-2</v>
      </c>
      <c r="G171" s="681">
        <f t="shared" si="63"/>
        <v>0.23805368425057322</v>
      </c>
      <c r="H171" s="681">
        <f t="shared" si="63"/>
        <v>0</v>
      </c>
      <c r="I171" s="681">
        <f t="shared" si="63"/>
        <v>0.39169234926619612</v>
      </c>
      <c r="J171" s="681">
        <f t="shared" si="63"/>
        <v>0.46384209210676558</v>
      </c>
      <c r="K171" s="681">
        <f t="shared" si="63"/>
        <v>0.17415995151623984</v>
      </c>
      <c r="L171" s="681">
        <f t="shared" si="63"/>
        <v>6.2990585114478914E-2</v>
      </c>
      <c r="M171" s="681">
        <f t="shared" si="63"/>
        <v>0.38367535665878832</v>
      </c>
      <c r="N171" s="681">
        <f t="shared" si="63"/>
        <v>8.8667990884544398E-3</v>
      </c>
      <c r="O171" s="681">
        <f t="shared" si="63"/>
        <v>0.42056483768696629</v>
      </c>
      <c r="P171" s="681">
        <f t="shared" si="63"/>
        <v>8.0044712286158629E-2</v>
      </c>
      <c r="Q171" s="681">
        <f t="shared" si="63"/>
        <v>0.41791515533827472</v>
      </c>
      <c r="R171" s="681">
        <f t="shared" si="63"/>
        <v>0.62515711799015872</v>
      </c>
      <c r="S171" s="681">
        <f t="shared" si="63"/>
        <v>0.26715062222857955</v>
      </c>
      <c r="T171" s="681">
        <f t="shared" si="63"/>
        <v>0</v>
      </c>
      <c r="U171" s="681">
        <f t="shared" si="63"/>
        <v>0.71860975058200549</v>
      </c>
      <c r="V171" s="681">
        <f t="shared" si="63"/>
        <v>0.11818746671400673</v>
      </c>
      <c r="W171" s="681">
        <f t="shared" si="63"/>
        <v>0.47917762758509042</v>
      </c>
      <c r="X171" s="681">
        <f t="shared" si="63"/>
        <v>9.5544991924916972E-2</v>
      </c>
      <c r="Y171" s="681">
        <f t="shared" si="63"/>
        <v>0</v>
      </c>
      <c r="Z171" s="681">
        <f t="shared" si="63"/>
        <v>0.89968457812323988</v>
      </c>
      <c r="AA171" s="681">
        <f t="shared" si="63"/>
        <v>1.2183488219058764E-3</v>
      </c>
      <c r="AB171" s="681">
        <f t="shared" si="63"/>
        <v>0.194833977331132</v>
      </c>
      <c r="AC171" s="681">
        <f t="shared" si="63"/>
        <v>0.2147396966187396</v>
      </c>
      <c r="AD171" s="681">
        <f t="shared" si="63"/>
        <v>0.32002708138877572</v>
      </c>
      <c r="AE171" s="681">
        <f t="shared" si="63"/>
        <v>1.9561219589331522E-2</v>
      </c>
      <c r="AF171" s="681">
        <f t="shared" si="63"/>
        <v>0.1204394816982146</v>
      </c>
      <c r="AG171" s="681">
        <f t="shared" si="63"/>
        <v>0.62532376154834501</v>
      </c>
      <c r="AH171" s="681">
        <f t="shared" si="63"/>
        <v>0.78126165970496952</v>
      </c>
      <c r="AI171" s="681">
        <f t="shared" si="62"/>
        <v>0</v>
      </c>
      <c r="AJ171" s="681">
        <f t="shared" si="62"/>
        <v>7.8017551612622624E-2</v>
      </c>
      <c r="AK171" s="681">
        <f t="shared" si="62"/>
        <v>0</v>
      </c>
      <c r="AL171" s="681">
        <f t="shared" si="62"/>
        <v>0</v>
      </c>
      <c r="AM171" s="681">
        <f t="shared" si="62"/>
        <v>9.7703332439521479E-2</v>
      </c>
      <c r="AN171" s="682">
        <f t="shared" si="62"/>
        <v>0</v>
      </c>
    </row>
    <row r="172" spans="2:40">
      <c r="B172" s="688"/>
      <c r="C172" s="633" t="s">
        <v>533</v>
      </c>
      <c r="D172" s="680">
        <f t="shared" si="63"/>
        <v>0.23284649185996253</v>
      </c>
      <c r="E172" s="681">
        <f t="shared" si="63"/>
        <v>0.38937007205208912</v>
      </c>
      <c r="F172" s="681">
        <f t="shared" si="63"/>
        <v>1.6971055786507234E-3</v>
      </c>
      <c r="G172" s="681">
        <f t="shared" si="63"/>
        <v>0.54897570529700468</v>
      </c>
      <c r="H172" s="681">
        <f t="shared" si="63"/>
        <v>0.52071786751121674</v>
      </c>
      <c r="I172" s="681">
        <f t="shared" si="63"/>
        <v>0</v>
      </c>
      <c r="J172" s="681">
        <f>IFERROR(J112/J$107,"")</f>
        <v>0.25811836302644448</v>
      </c>
      <c r="K172" s="681">
        <f t="shared" si="63"/>
        <v>0.10288209018877242</v>
      </c>
      <c r="L172" s="681">
        <f t="shared" si="63"/>
        <v>4.8052879911286983E-3</v>
      </c>
      <c r="M172" s="681">
        <f t="shared" si="63"/>
        <v>0.19415653098848412</v>
      </c>
      <c r="N172" s="681">
        <f t="shared" si="63"/>
        <v>0.12932772052176914</v>
      </c>
      <c r="O172" s="681">
        <f t="shared" si="63"/>
        <v>0.18613239842063289</v>
      </c>
      <c r="P172" s="681">
        <f t="shared" si="63"/>
        <v>0.62846884720062213</v>
      </c>
      <c r="Q172" s="681">
        <f t="shared" si="63"/>
        <v>0.10845722641969291</v>
      </c>
      <c r="R172" s="681">
        <f t="shared" si="63"/>
        <v>0</v>
      </c>
      <c r="S172" s="681">
        <f t="shared" si="63"/>
        <v>0.46574881991131456</v>
      </c>
      <c r="T172" s="681">
        <f t="shared" si="63"/>
        <v>3.8157436476403133E-3</v>
      </c>
      <c r="U172" s="681">
        <f t="shared" si="63"/>
        <v>7.625935120060176E-2</v>
      </c>
      <c r="V172" s="681">
        <f t="shared" si="63"/>
        <v>5.2517900467483275E-3</v>
      </c>
      <c r="W172" s="681">
        <f t="shared" si="63"/>
        <v>0.4475697114411753</v>
      </c>
      <c r="X172" s="681">
        <f t="shared" si="63"/>
        <v>2.4423317183167263E-2</v>
      </c>
      <c r="Y172" s="681">
        <f t="shared" si="63"/>
        <v>0</v>
      </c>
      <c r="Z172" s="681">
        <f t="shared" si="63"/>
        <v>8.211688778903074E-3</v>
      </c>
      <c r="AA172" s="681">
        <f t="shared" si="63"/>
        <v>5.4303540235993139E-2</v>
      </c>
      <c r="AB172" s="681">
        <f t="shared" si="63"/>
        <v>5.8870965101902968E-3</v>
      </c>
      <c r="AC172" s="681">
        <f t="shared" si="63"/>
        <v>0.13050478800033899</v>
      </c>
      <c r="AD172" s="681">
        <f t="shared" si="63"/>
        <v>1.3793760763537409E-2</v>
      </c>
      <c r="AE172" s="681">
        <f t="shared" si="63"/>
        <v>8.7545242641116038E-3</v>
      </c>
      <c r="AF172" s="681">
        <f t="shared" si="63"/>
        <v>0.28385183415935189</v>
      </c>
      <c r="AG172" s="681">
        <f t="shared" si="63"/>
        <v>0</v>
      </c>
      <c r="AH172" s="681">
        <f t="shared" si="63"/>
        <v>6.9866772229654095E-2</v>
      </c>
      <c r="AI172" s="681">
        <f t="shared" si="62"/>
        <v>1.9816565209800737E-2</v>
      </c>
      <c r="AJ172" s="681">
        <f t="shared" si="62"/>
        <v>0</v>
      </c>
      <c r="AK172" s="681">
        <f t="shared" si="62"/>
        <v>0</v>
      </c>
      <c r="AL172" s="681">
        <f t="shared" si="62"/>
        <v>0.10214899088490877</v>
      </c>
      <c r="AM172" s="681">
        <f t="shared" si="62"/>
        <v>4.8281233843824769E-4</v>
      </c>
      <c r="AN172" s="682">
        <f t="shared" si="62"/>
        <v>4.9641616543471594E-2</v>
      </c>
    </row>
    <row r="173" spans="2:40">
      <c r="B173" s="688"/>
      <c r="C173" s="633" t="s">
        <v>534</v>
      </c>
      <c r="D173" s="680">
        <f t="shared" si="63"/>
        <v>0</v>
      </c>
      <c r="E173" s="681">
        <f t="shared" si="63"/>
        <v>0</v>
      </c>
      <c r="F173" s="681">
        <f t="shared" si="63"/>
        <v>0</v>
      </c>
      <c r="G173" s="681">
        <f t="shared" si="63"/>
        <v>5.8852541898038319E-2</v>
      </c>
      <c r="H173" s="681">
        <f t="shared" si="63"/>
        <v>6.070203219846926E-3</v>
      </c>
      <c r="I173" s="681">
        <f t="shared" si="63"/>
        <v>0</v>
      </c>
      <c r="J173" s="681">
        <f t="shared" si="63"/>
        <v>1.2654419094115795E-2</v>
      </c>
      <c r="K173" s="681">
        <f t="shared" si="63"/>
        <v>0</v>
      </c>
      <c r="L173" s="681">
        <f t="shared" si="63"/>
        <v>0</v>
      </c>
      <c r="M173" s="681">
        <f t="shared" si="63"/>
        <v>1.3494392881310861E-3</v>
      </c>
      <c r="N173" s="681">
        <f t="shared" si="63"/>
        <v>0</v>
      </c>
      <c r="O173" s="681">
        <f t="shared" si="63"/>
        <v>2.176978585182736E-3</v>
      </c>
      <c r="P173" s="681">
        <f t="shared" si="63"/>
        <v>7.4236975116640756E-3</v>
      </c>
      <c r="Q173" s="681">
        <f t="shared" si="63"/>
        <v>0</v>
      </c>
      <c r="R173" s="681">
        <f t="shared" si="63"/>
        <v>0</v>
      </c>
      <c r="S173" s="681">
        <f t="shared" si="63"/>
        <v>0</v>
      </c>
      <c r="T173" s="681">
        <f t="shared" si="63"/>
        <v>0.49828659722221036</v>
      </c>
      <c r="U173" s="681">
        <f t="shared" si="63"/>
        <v>7.3655898481208296E-5</v>
      </c>
      <c r="V173" s="681">
        <f t="shared" si="63"/>
        <v>0</v>
      </c>
      <c r="W173" s="681">
        <f t="shared" si="63"/>
        <v>0</v>
      </c>
      <c r="X173" s="681">
        <f t="shared" si="63"/>
        <v>0</v>
      </c>
      <c r="Y173" s="681">
        <f t="shared" si="63"/>
        <v>0</v>
      </c>
      <c r="Z173" s="681">
        <f t="shared" si="63"/>
        <v>0</v>
      </c>
      <c r="AA173" s="681">
        <f t="shared" si="63"/>
        <v>0</v>
      </c>
      <c r="AB173" s="681">
        <f t="shared" si="63"/>
        <v>8.6424104468409916E-4</v>
      </c>
      <c r="AC173" s="681">
        <f t="shared" si="63"/>
        <v>0</v>
      </c>
      <c r="AD173" s="681">
        <f t="shared" si="63"/>
        <v>3.358880986498745E-3</v>
      </c>
      <c r="AE173" s="681">
        <f t="shared" si="63"/>
        <v>0</v>
      </c>
      <c r="AF173" s="681">
        <f t="shared" si="63"/>
        <v>1.3853227443721264E-2</v>
      </c>
      <c r="AG173" s="681">
        <f t="shared" si="63"/>
        <v>0</v>
      </c>
      <c r="AH173" s="681">
        <f t="shared" si="63"/>
        <v>0</v>
      </c>
      <c r="AI173" s="681">
        <f t="shared" si="62"/>
        <v>0</v>
      </c>
      <c r="AJ173" s="681">
        <f t="shared" si="62"/>
        <v>0</v>
      </c>
      <c r="AK173" s="681">
        <f t="shared" si="62"/>
        <v>0</v>
      </c>
      <c r="AL173" s="681">
        <f t="shared" si="62"/>
        <v>0</v>
      </c>
      <c r="AM173" s="681">
        <f t="shared" si="62"/>
        <v>0</v>
      </c>
      <c r="AN173" s="682">
        <f t="shared" si="62"/>
        <v>0</v>
      </c>
    </row>
    <row r="174" spans="2:40">
      <c r="B174" s="688"/>
      <c r="C174" s="633" t="s">
        <v>528</v>
      </c>
      <c r="D174" s="680">
        <f t="shared" si="63"/>
        <v>3.5777745761897905E-3</v>
      </c>
      <c r="E174" s="681">
        <f t="shared" si="63"/>
        <v>1.1939921808073036E-3</v>
      </c>
      <c r="F174" s="681">
        <f t="shared" si="63"/>
        <v>4.0481417472402575E-4</v>
      </c>
      <c r="G174" s="681">
        <f t="shared" si="63"/>
        <v>0</v>
      </c>
      <c r="H174" s="681">
        <f t="shared" si="63"/>
        <v>0.15729743995777251</v>
      </c>
      <c r="I174" s="681">
        <f t="shared" si="63"/>
        <v>0</v>
      </c>
      <c r="J174" s="681">
        <f t="shared" si="63"/>
        <v>0</v>
      </c>
      <c r="K174" s="681">
        <f t="shared" si="63"/>
        <v>3.2921071730526068E-4</v>
      </c>
      <c r="L174" s="681">
        <f t="shared" si="63"/>
        <v>0</v>
      </c>
      <c r="M174" s="681">
        <f t="shared" si="63"/>
        <v>5.5243663092637021E-2</v>
      </c>
      <c r="N174" s="681">
        <f t="shared" si="63"/>
        <v>0</v>
      </c>
      <c r="O174" s="681">
        <f t="shared" si="63"/>
        <v>6.0471087079143398E-3</v>
      </c>
      <c r="P174" s="681">
        <f t="shared" si="63"/>
        <v>0</v>
      </c>
      <c r="Q174" s="681">
        <f t="shared" si="63"/>
        <v>1.0953247982107783E-2</v>
      </c>
      <c r="R174" s="681">
        <f t="shared" si="63"/>
        <v>5.8089048727393853E-3</v>
      </c>
      <c r="S174" s="681">
        <f t="shared" si="63"/>
        <v>9.2547561150050049E-3</v>
      </c>
      <c r="T174" s="681">
        <f t="shared" si="63"/>
        <v>0</v>
      </c>
      <c r="U174" s="681">
        <f t="shared" si="63"/>
        <v>1.5141952976233011E-2</v>
      </c>
      <c r="V174" s="681">
        <f t="shared" si="63"/>
        <v>0</v>
      </c>
      <c r="W174" s="681">
        <f t="shared" si="63"/>
        <v>1.1331903355052816E-3</v>
      </c>
      <c r="X174" s="681">
        <f t="shared" si="63"/>
        <v>0</v>
      </c>
      <c r="Y174" s="681">
        <f t="shared" si="63"/>
        <v>0.54954954954954949</v>
      </c>
      <c r="Z174" s="681">
        <f t="shared" si="63"/>
        <v>0</v>
      </c>
      <c r="AA174" s="681">
        <f t="shared" si="63"/>
        <v>0</v>
      </c>
      <c r="AB174" s="681">
        <f t="shared" si="63"/>
        <v>0</v>
      </c>
      <c r="AC174" s="681">
        <f t="shared" si="63"/>
        <v>4.6495861698822069E-2</v>
      </c>
      <c r="AD174" s="681">
        <f t="shared" si="63"/>
        <v>9.9583262124180007E-4</v>
      </c>
      <c r="AE174" s="681">
        <f t="shared" si="63"/>
        <v>0</v>
      </c>
      <c r="AF174" s="681">
        <f t="shared" si="63"/>
        <v>8.120857467009017E-3</v>
      </c>
      <c r="AG174" s="681">
        <f t="shared" si="63"/>
        <v>0</v>
      </c>
      <c r="AH174" s="681">
        <f t="shared" si="63"/>
        <v>7.6897176190086174E-3</v>
      </c>
      <c r="AI174" s="681">
        <f t="shared" si="62"/>
        <v>0</v>
      </c>
      <c r="AJ174" s="681">
        <f t="shared" si="62"/>
        <v>0</v>
      </c>
      <c r="AK174" s="681">
        <f t="shared" si="62"/>
        <v>0</v>
      </c>
      <c r="AL174" s="681">
        <f t="shared" si="62"/>
        <v>5.8460658028998717E-3</v>
      </c>
      <c r="AM174" s="681">
        <f t="shared" si="62"/>
        <v>2.6620153923989929E-3</v>
      </c>
      <c r="AN174" s="682">
        <f t="shared" si="62"/>
        <v>7.1723983889085434E-3</v>
      </c>
    </row>
    <row r="175" spans="2:40">
      <c r="B175" s="618"/>
      <c r="C175" s="619" t="s">
        <v>529</v>
      </c>
      <c r="D175" s="683">
        <f t="shared" si="63"/>
        <v>8.4431878211592946E-3</v>
      </c>
      <c r="E175" s="684">
        <f t="shared" si="63"/>
        <v>1.7031376270133451E-2</v>
      </c>
      <c r="F175" s="684">
        <f t="shared" si="63"/>
        <v>0.13170473476886668</v>
      </c>
      <c r="G175" s="684">
        <f t="shared" si="63"/>
        <v>1.8285452218506288E-3</v>
      </c>
      <c r="H175" s="684">
        <f t="shared" si="63"/>
        <v>0</v>
      </c>
      <c r="I175" s="684">
        <f t="shared" si="63"/>
        <v>8.8429640400712897E-2</v>
      </c>
      <c r="J175" s="684">
        <f t="shared" si="63"/>
        <v>2.0842681545625959E-2</v>
      </c>
      <c r="K175" s="684">
        <f t="shared" si="63"/>
        <v>1.0474886459712841E-4</v>
      </c>
      <c r="L175" s="684">
        <f t="shared" si="63"/>
        <v>1.0632515057293816E-2</v>
      </c>
      <c r="M175" s="684">
        <f t="shared" si="63"/>
        <v>1.8253150841514309E-2</v>
      </c>
      <c r="N175" s="684">
        <f t="shared" si="63"/>
        <v>2.229132598285148E-3</v>
      </c>
      <c r="O175" s="684">
        <f t="shared" si="63"/>
        <v>1.076527337443837E-2</v>
      </c>
      <c r="P175" s="684">
        <f t="shared" si="63"/>
        <v>1.0023814152410574E-3</v>
      </c>
      <c r="Q175" s="684">
        <f t="shared" si="63"/>
        <v>4.2723401815027741E-3</v>
      </c>
      <c r="R175" s="684">
        <f t="shared" si="63"/>
        <v>2.7803440933548512E-2</v>
      </c>
      <c r="S175" s="684">
        <f t="shared" si="63"/>
        <v>0.16779430696609926</v>
      </c>
      <c r="T175" s="684">
        <f t="shared" si="63"/>
        <v>0</v>
      </c>
      <c r="U175" s="684">
        <f t="shared" si="63"/>
        <v>1.4306241820388532E-4</v>
      </c>
      <c r="V175" s="684">
        <f t="shared" si="63"/>
        <v>4.4854725131664594E-2</v>
      </c>
      <c r="W175" s="684">
        <f t="shared" si="63"/>
        <v>1.0927192520943786E-3</v>
      </c>
      <c r="X175" s="684">
        <f t="shared" si="63"/>
        <v>2.0050583539019413E-2</v>
      </c>
      <c r="Y175" s="684">
        <f t="shared" si="63"/>
        <v>0</v>
      </c>
      <c r="Z175" s="684">
        <f t="shared" si="63"/>
        <v>5.9050754577796188E-4</v>
      </c>
      <c r="AA175" s="684">
        <f t="shared" si="63"/>
        <v>0</v>
      </c>
      <c r="AB175" s="684">
        <f t="shared" si="63"/>
        <v>0.3259814646485038</v>
      </c>
      <c r="AC175" s="684">
        <f t="shared" si="63"/>
        <v>0</v>
      </c>
      <c r="AD175" s="684">
        <f t="shared" si="63"/>
        <v>1.5249714067861228E-3</v>
      </c>
      <c r="AE175" s="684">
        <f t="shared" si="63"/>
        <v>0</v>
      </c>
      <c r="AF175" s="684">
        <f t="shared" si="63"/>
        <v>0</v>
      </c>
      <c r="AG175" s="684">
        <f t="shared" si="63"/>
        <v>2.5064752309668994E-2</v>
      </c>
      <c r="AH175" s="684">
        <f t="shared" si="63"/>
        <v>1.5353954516912828E-2</v>
      </c>
      <c r="AI175" s="684">
        <f t="shared" si="62"/>
        <v>0</v>
      </c>
      <c r="AJ175" s="684">
        <f t="shared" si="62"/>
        <v>0.20996707131564485</v>
      </c>
      <c r="AK175" s="684">
        <f t="shared" si="62"/>
        <v>8.9768674776368254E-3</v>
      </c>
      <c r="AL175" s="684">
        <f t="shared" si="62"/>
        <v>6.3440873340382961E-3</v>
      </c>
      <c r="AM175" s="684">
        <f t="shared" si="62"/>
        <v>0.11270781502963227</v>
      </c>
      <c r="AN175" s="685">
        <f t="shared" si="62"/>
        <v>7.6688432613303534E-2</v>
      </c>
    </row>
    <row r="176" spans="2:40">
      <c r="B176" s="688" t="s">
        <v>535</v>
      </c>
      <c r="C176" s="689"/>
      <c r="D176" s="517"/>
      <c r="AN176" s="607"/>
    </row>
    <row r="177" spans="2:40">
      <c r="B177" s="688"/>
      <c r="C177" s="633" t="s">
        <v>526</v>
      </c>
      <c r="D177" s="680">
        <f>IFERROR(D117/D$116,"")</f>
        <v>8.8380748017635916E-2</v>
      </c>
      <c r="E177" s="681">
        <f t="shared" ref="E177:AN184" si="64">IFERROR(E117/E$116,"")</f>
        <v>1.9820031759101336E-2</v>
      </c>
      <c r="F177" s="681">
        <f t="shared" si="64"/>
        <v>4.7746449886807985E-2</v>
      </c>
      <c r="G177" s="681">
        <f t="shared" si="64"/>
        <v>1.4726801675033924E-2</v>
      </c>
      <c r="H177" s="681">
        <f t="shared" si="64"/>
        <v>1.0375237765865469E-3</v>
      </c>
      <c r="I177" s="681">
        <f t="shared" si="64"/>
        <v>2.9657745753988676E-2</v>
      </c>
      <c r="J177" s="681">
        <f t="shared" si="64"/>
        <v>1.9039865682006499E-2</v>
      </c>
      <c r="K177" s="681">
        <f t="shared" si="64"/>
        <v>0.11533240042607404</v>
      </c>
      <c r="L177" s="681">
        <f t="shared" si="64"/>
        <v>0.29436781609195406</v>
      </c>
      <c r="M177" s="681">
        <f t="shared" si="64"/>
        <v>9.9130381654515074E-3</v>
      </c>
      <c r="N177" s="681">
        <f t="shared" si="64"/>
        <v>0.14718311193648026</v>
      </c>
      <c r="O177" s="681">
        <f t="shared" si="64"/>
        <v>4.6650671956309453E-2</v>
      </c>
      <c r="P177" s="681">
        <f t="shared" si="64"/>
        <v>1.1683569979716025E-2</v>
      </c>
      <c r="Q177" s="681">
        <f t="shared" si="64"/>
        <v>4.8160371592714822E-2</v>
      </c>
      <c r="R177" s="681">
        <f t="shared" si="64"/>
        <v>2.6508694169792024E-2</v>
      </c>
      <c r="S177" s="681">
        <f t="shared" si="64"/>
        <v>7.7894340096739748E-3</v>
      </c>
      <c r="T177" s="681">
        <f t="shared" si="64"/>
        <v>0</v>
      </c>
      <c r="U177" s="681">
        <f t="shared" si="64"/>
        <v>6.153930969847116E-3</v>
      </c>
      <c r="V177" s="681">
        <f t="shared" si="64"/>
        <v>0.26434611899728178</v>
      </c>
      <c r="W177" s="681">
        <f t="shared" si="64"/>
        <v>2.3066004258339247E-2</v>
      </c>
      <c r="X177" s="681">
        <f t="shared" si="64"/>
        <v>0.39392585975882094</v>
      </c>
      <c r="Y177" s="681">
        <f t="shared" si="64"/>
        <v>0</v>
      </c>
      <c r="Z177" s="681">
        <f t="shared" si="64"/>
        <v>2.0935891698366522E-2</v>
      </c>
      <c r="AA177" s="681">
        <f t="shared" si="64"/>
        <v>9.8138118313320172E-2</v>
      </c>
      <c r="AB177" s="681">
        <f t="shared" si="64"/>
        <v>9.2769644457723344E-2</v>
      </c>
      <c r="AC177" s="681">
        <f t="shared" si="64"/>
        <v>0.12893544733861836</v>
      </c>
      <c r="AD177" s="681">
        <f t="shared" si="64"/>
        <v>0.34104130573538793</v>
      </c>
      <c r="AE177" s="681">
        <f t="shared" si="64"/>
        <v>1.6815426325890271E-2</v>
      </c>
      <c r="AF177" s="681">
        <f t="shared" si="64"/>
        <v>0.26951724137931032</v>
      </c>
      <c r="AG177" s="681">
        <f t="shared" si="64"/>
        <v>4.3523859465128475E-3</v>
      </c>
      <c r="AH177" s="681">
        <f t="shared" si="64"/>
        <v>0</v>
      </c>
      <c r="AI177" s="681">
        <f t="shared" si="64"/>
        <v>3.0296816956793263E-2</v>
      </c>
      <c r="AJ177" s="681">
        <f t="shared" si="64"/>
        <v>7.7144832578570674E-2</v>
      </c>
      <c r="AK177" s="681">
        <f t="shared" si="64"/>
        <v>0.11190111748145211</v>
      </c>
      <c r="AL177" s="681">
        <f t="shared" si="64"/>
        <v>0.11234432948749069</v>
      </c>
      <c r="AM177" s="681">
        <f t="shared" si="64"/>
        <v>0.11223024003458286</v>
      </c>
      <c r="AN177" s="682">
        <f t="shared" si="64"/>
        <v>0.19375271692319535</v>
      </c>
    </row>
    <row r="178" spans="2:40">
      <c r="B178" s="688"/>
      <c r="C178" s="633" t="s">
        <v>532</v>
      </c>
      <c r="D178" s="680">
        <f t="shared" ref="D178:AH184" si="65">IFERROR(D118/D$116,"")</f>
        <v>0.16306516236106686</v>
      </c>
      <c r="E178" s="681">
        <f t="shared" si="65"/>
        <v>1.7790978062694818E-3</v>
      </c>
      <c r="F178" s="681">
        <f t="shared" si="65"/>
        <v>0.26141181313027373</v>
      </c>
      <c r="G178" s="681">
        <f t="shared" si="65"/>
        <v>3.49791376917944E-2</v>
      </c>
      <c r="H178" s="681">
        <f t="shared" si="65"/>
        <v>0</v>
      </c>
      <c r="I178" s="681">
        <f t="shared" si="65"/>
        <v>0.14279893635271917</v>
      </c>
      <c r="J178" s="681">
        <f t="shared" si="65"/>
        <v>9.3571121631397927E-2</v>
      </c>
      <c r="K178" s="681">
        <f t="shared" si="65"/>
        <v>0.50846926627540256</v>
      </c>
      <c r="L178" s="681">
        <f t="shared" si="65"/>
        <v>0.51896551724137929</v>
      </c>
      <c r="M178" s="681">
        <f t="shared" si="65"/>
        <v>0</v>
      </c>
      <c r="N178" s="681">
        <f t="shared" si="65"/>
        <v>0.37742320592749801</v>
      </c>
      <c r="O178" s="681">
        <f t="shared" si="65"/>
        <v>6.0556381354009176E-2</v>
      </c>
      <c r="P178" s="681">
        <f t="shared" si="65"/>
        <v>1.0466531440162272E-2</v>
      </c>
      <c r="Q178" s="681">
        <f t="shared" si="65"/>
        <v>0.10432709937660432</v>
      </c>
      <c r="R178" s="681">
        <f t="shared" si="65"/>
        <v>0.15004545971133088</v>
      </c>
      <c r="S178" s="681">
        <f t="shared" si="65"/>
        <v>0</v>
      </c>
      <c r="T178" s="681">
        <f t="shared" si="65"/>
        <v>0.69405542916645069</v>
      </c>
      <c r="U178" s="681">
        <f t="shared" si="65"/>
        <v>3.9693888450525634E-3</v>
      </c>
      <c r="V178" s="681">
        <f t="shared" si="65"/>
        <v>0.5021141649048626</v>
      </c>
      <c r="W178" s="681">
        <f t="shared" si="65"/>
        <v>0</v>
      </c>
      <c r="X178" s="681">
        <f t="shared" si="65"/>
        <v>0.42154235521810329</v>
      </c>
      <c r="Y178" s="681">
        <f t="shared" si="65"/>
        <v>0</v>
      </c>
      <c r="Z178" s="681">
        <f t="shared" si="65"/>
        <v>4.3517378981129257E-2</v>
      </c>
      <c r="AA178" s="681">
        <f t="shared" si="65"/>
        <v>2.7231039841954199E-2</v>
      </c>
      <c r="AB178" s="681">
        <f t="shared" si="65"/>
        <v>0.35495047229436233</v>
      </c>
      <c r="AC178" s="681">
        <f t="shared" si="65"/>
        <v>6.6251415628539069E-3</v>
      </c>
      <c r="AD178" s="681">
        <f t="shared" si="65"/>
        <v>0.23464940275371565</v>
      </c>
      <c r="AE178" s="681">
        <f t="shared" si="65"/>
        <v>0.45773296371888994</v>
      </c>
      <c r="AF178" s="681">
        <f t="shared" si="65"/>
        <v>9.9103448275862052E-2</v>
      </c>
      <c r="AG178" s="681">
        <f t="shared" si="65"/>
        <v>0.32527530152071316</v>
      </c>
      <c r="AH178" s="681">
        <f t="shared" si="65"/>
        <v>0</v>
      </c>
      <c r="AI178" s="681">
        <f t="shared" si="64"/>
        <v>0</v>
      </c>
      <c r="AJ178" s="681">
        <f t="shared" si="64"/>
        <v>0.19193939947551727</v>
      </c>
      <c r="AK178" s="681">
        <f t="shared" si="64"/>
        <v>0</v>
      </c>
      <c r="AL178" s="681">
        <f t="shared" si="64"/>
        <v>9.8223770034729249E-2</v>
      </c>
      <c r="AM178" s="681">
        <f t="shared" si="64"/>
        <v>0.20140918043896075</v>
      </c>
      <c r="AN178" s="682">
        <f t="shared" si="64"/>
        <v>1.4117852229337913E-2</v>
      </c>
    </row>
    <row r="179" spans="2:40">
      <c r="B179" s="688"/>
      <c r="C179" s="633" t="s">
        <v>510</v>
      </c>
      <c r="D179" s="680">
        <f t="shared" si="65"/>
        <v>0.25020536118422154</v>
      </c>
      <c r="E179" s="681">
        <f t="shared" si="65"/>
        <v>0.16232429571252133</v>
      </c>
      <c r="F179" s="681">
        <f t="shared" si="65"/>
        <v>0.64815805721341846</v>
      </c>
      <c r="G179" s="681">
        <f t="shared" si="65"/>
        <v>0.27896298351330212</v>
      </c>
      <c r="H179" s="681">
        <f t="shared" si="65"/>
        <v>6.2424347224623901E-2</v>
      </c>
      <c r="I179" s="681">
        <f t="shared" si="65"/>
        <v>0.50737690856064499</v>
      </c>
      <c r="J179" s="681">
        <f t="shared" si="65"/>
        <v>0.20727725025248084</v>
      </c>
      <c r="K179" s="681">
        <f t="shared" si="65"/>
        <v>0.14624365588253721</v>
      </c>
      <c r="L179" s="681">
        <f t="shared" si="65"/>
        <v>0.13367816091954024</v>
      </c>
      <c r="M179" s="681">
        <f t="shared" si="65"/>
        <v>0.34908455867378113</v>
      </c>
      <c r="N179" s="681">
        <f t="shared" si="65"/>
        <v>0.37814329840253169</v>
      </c>
      <c r="O179" s="681">
        <f t="shared" si="65"/>
        <v>0.36377172607741198</v>
      </c>
      <c r="P179" s="681">
        <f t="shared" si="65"/>
        <v>0.48048681541582144</v>
      </c>
      <c r="Q179" s="681">
        <f t="shared" si="65"/>
        <v>0.32606038381615937</v>
      </c>
      <c r="R179" s="681">
        <f t="shared" si="65"/>
        <v>0.21803614047050801</v>
      </c>
      <c r="S179" s="681">
        <f t="shared" si="65"/>
        <v>0.26537470946667502</v>
      </c>
      <c r="T179" s="681">
        <f t="shared" si="65"/>
        <v>0.28483279947570228</v>
      </c>
      <c r="U179" s="681">
        <f t="shared" si="65"/>
        <v>0.1345629709772897</v>
      </c>
      <c r="V179" s="681">
        <f t="shared" si="65"/>
        <v>0.11597704620960433</v>
      </c>
      <c r="W179" s="681">
        <f t="shared" si="65"/>
        <v>0.13058907026259761</v>
      </c>
      <c r="X179" s="681">
        <f t="shared" si="65"/>
        <v>5.7242816733660863E-2</v>
      </c>
      <c r="Y179" s="681">
        <f t="shared" si="65"/>
        <v>0.35023771790808239</v>
      </c>
      <c r="Z179" s="681">
        <f t="shared" si="65"/>
        <v>7.0867830237935414E-2</v>
      </c>
      <c r="AA179" s="681">
        <f t="shared" si="65"/>
        <v>0.83311686204251756</v>
      </c>
      <c r="AB179" s="681">
        <f t="shared" si="65"/>
        <v>5.9151708763301232E-2</v>
      </c>
      <c r="AC179" s="681">
        <f t="shared" si="65"/>
        <v>0.25668176670441678</v>
      </c>
      <c r="AD179" s="681">
        <f t="shared" si="65"/>
        <v>0.11111516367283668</v>
      </c>
      <c r="AE179" s="681">
        <f t="shared" si="65"/>
        <v>0.49084594998019926</v>
      </c>
      <c r="AF179" s="681">
        <f t="shared" si="65"/>
        <v>0.30020689655172411</v>
      </c>
      <c r="AG179" s="681">
        <f t="shared" si="65"/>
        <v>0.14724698479286838</v>
      </c>
      <c r="AH179" s="681">
        <f t="shared" si="65"/>
        <v>0.17851608089234128</v>
      </c>
      <c r="AI179" s="681">
        <f t="shared" si="64"/>
        <v>0.60458803665549432</v>
      </c>
      <c r="AJ179" s="681">
        <f t="shared" si="64"/>
        <v>0.6630958626274176</v>
      </c>
      <c r="AK179" s="681">
        <f t="shared" si="64"/>
        <v>0.88809888251854796</v>
      </c>
      <c r="AL179" s="681">
        <f t="shared" si="64"/>
        <v>0.67081037403614618</v>
      </c>
      <c r="AM179" s="681">
        <f t="shared" si="64"/>
        <v>0.56610522110410877</v>
      </c>
      <c r="AN179" s="682">
        <f t="shared" si="64"/>
        <v>0.66387401727622997</v>
      </c>
    </row>
    <row r="180" spans="2:40">
      <c r="B180" s="688"/>
      <c r="C180" s="633" t="s">
        <v>527</v>
      </c>
      <c r="D180" s="680">
        <f t="shared" si="65"/>
        <v>0.17260397981592931</v>
      </c>
      <c r="E180" s="681">
        <f t="shared" si="65"/>
        <v>0.46831441510321703</v>
      </c>
      <c r="F180" s="681">
        <f t="shared" si="65"/>
        <v>1.0742951224531797E-2</v>
      </c>
      <c r="G180" s="681">
        <f t="shared" si="65"/>
        <v>0.19399996961657184</v>
      </c>
      <c r="H180" s="681">
        <f t="shared" si="65"/>
        <v>0</v>
      </c>
      <c r="I180" s="681">
        <f t="shared" si="65"/>
        <v>0.28667009778692742</v>
      </c>
      <c r="J180" s="681">
        <f t="shared" si="65"/>
        <v>0.37917273315721617</v>
      </c>
      <c r="K180" s="681">
        <f t="shared" si="65"/>
        <v>0.13667787547776686</v>
      </c>
      <c r="L180" s="681">
        <f t="shared" si="65"/>
        <v>4.3908045977011499E-2</v>
      </c>
      <c r="M180" s="681">
        <f t="shared" si="65"/>
        <v>0.30548144678424505</v>
      </c>
      <c r="N180" s="681">
        <f t="shared" si="65"/>
        <v>6.5755812851755703E-3</v>
      </c>
      <c r="O180" s="681">
        <f t="shared" si="65"/>
        <v>0.32300051247663891</v>
      </c>
      <c r="P180" s="681">
        <f t="shared" si="65"/>
        <v>2.0101419878296146E-2</v>
      </c>
      <c r="Q180" s="681">
        <f t="shared" si="65"/>
        <v>0.31952084097298616</v>
      </c>
      <c r="R180" s="681">
        <f t="shared" si="65"/>
        <v>0.51761563814069789</v>
      </c>
      <c r="S180" s="681">
        <f t="shared" si="65"/>
        <v>0.23993341290282055</v>
      </c>
      <c r="T180" s="681">
        <f t="shared" si="65"/>
        <v>0</v>
      </c>
      <c r="U180" s="681">
        <f t="shared" si="65"/>
        <v>0.64998742337735738</v>
      </c>
      <c r="V180" s="681">
        <f t="shared" si="65"/>
        <v>7.6940501359106017E-2</v>
      </c>
      <c r="W180" s="681">
        <f t="shared" si="65"/>
        <v>0.43896380411639457</v>
      </c>
      <c r="X180" s="681">
        <f t="shared" si="65"/>
        <v>8.1956230460026785E-2</v>
      </c>
      <c r="Y180" s="681">
        <f t="shared" si="65"/>
        <v>0</v>
      </c>
      <c r="Z180" s="681">
        <f t="shared" si="65"/>
        <v>0.83635880510181249</v>
      </c>
      <c r="AA180" s="681">
        <f t="shared" si="65"/>
        <v>7.0976613784929222E-4</v>
      </c>
      <c r="AB180" s="681">
        <f t="shared" si="65"/>
        <v>0.17014662958792029</v>
      </c>
      <c r="AC180" s="681">
        <f t="shared" si="65"/>
        <v>0.15594563986409965</v>
      </c>
      <c r="AD180" s="681">
        <f t="shared" si="65"/>
        <v>0.27683049147442329</v>
      </c>
      <c r="AE180" s="681">
        <f t="shared" si="65"/>
        <v>1.3053279312760839E-2</v>
      </c>
      <c r="AF180" s="681">
        <f t="shared" si="65"/>
        <v>7.2689655172413783E-2</v>
      </c>
      <c r="AG180" s="681">
        <f t="shared" si="65"/>
        <v>0.51101206082852657</v>
      </c>
      <c r="AH180" s="681">
        <f t="shared" si="65"/>
        <v>0.7297577821570016</v>
      </c>
      <c r="AI180" s="681">
        <f t="shared" si="64"/>
        <v>0</v>
      </c>
      <c r="AJ180" s="681">
        <f t="shared" si="64"/>
        <v>6.7819905318494578E-2</v>
      </c>
      <c r="AK180" s="681">
        <f t="shared" si="64"/>
        <v>0</v>
      </c>
      <c r="AL180" s="681">
        <f t="shared" si="64"/>
        <v>0</v>
      </c>
      <c r="AM180" s="681">
        <f t="shared" si="64"/>
        <v>8.9677381257990976E-2</v>
      </c>
      <c r="AN180" s="682">
        <f t="shared" si="64"/>
        <v>0</v>
      </c>
    </row>
    <row r="181" spans="2:40">
      <c r="B181" s="688"/>
      <c r="C181" s="633" t="s">
        <v>533</v>
      </c>
      <c r="D181" s="680">
        <f t="shared" si="65"/>
        <v>0.1375333188043788</v>
      </c>
      <c r="E181" s="681">
        <f t="shared" si="65"/>
        <v>0.31867905663706408</v>
      </c>
      <c r="F181" s="681">
        <f t="shared" si="65"/>
        <v>0</v>
      </c>
      <c r="G181" s="681">
        <f t="shared" si="65"/>
        <v>0.42568015778381507</v>
      </c>
      <c r="H181" s="681">
        <f t="shared" si="65"/>
        <v>3.0088189521009862E-2</v>
      </c>
      <c r="I181" s="681">
        <f t="shared" si="65"/>
        <v>0</v>
      </c>
      <c r="J181" s="681">
        <f t="shared" si="65"/>
        <v>0.19839463888440639</v>
      </c>
      <c r="K181" s="681">
        <f t="shared" si="65"/>
        <v>6.4307942939493309E-2</v>
      </c>
      <c r="L181" s="681">
        <f t="shared" si="65"/>
        <v>2.0689655172413794E-3</v>
      </c>
      <c r="M181" s="681">
        <f t="shared" si="65"/>
        <v>8.5500590607307247E-2</v>
      </c>
      <c r="N181" s="681">
        <f t="shared" si="65"/>
        <v>8.1086202649182315E-2</v>
      </c>
      <c r="O181" s="681">
        <f t="shared" si="65"/>
        <v>0.11720162258772657</v>
      </c>
      <c r="P181" s="681">
        <f t="shared" si="65"/>
        <v>8.9817444219066941E-2</v>
      </c>
      <c r="Q181" s="681">
        <f t="shared" si="65"/>
        <v>6.7962351790734621E-2</v>
      </c>
      <c r="R181" s="681">
        <f t="shared" si="65"/>
        <v>0</v>
      </c>
      <c r="S181" s="681">
        <f t="shared" si="65"/>
        <v>0.30683460016332681</v>
      </c>
      <c r="T181" s="681">
        <f t="shared" si="65"/>
        <v>4.4522201950002527E-3</v>
      </c>
      <c r="U181" s="681">
        <f t="shared" si="65"/>
        <v>6.0626212438107507E-2</v>
      </c>
      <c r="V181" s="681">
        <f t="shared" si="65"/>
        <v>3.1712473572938688E-3</v>
      </c>
      <c r="W181" s="681">
        <f t="shared" si="65"/>
        <v>0.36550745209368352</v>
      </c>
      <c r="X181" s="681">
        <f t="shared" si="65"/>
        <v>1.8683936281077861E-2</v>
      </c>
      <c r="Y181" s="681">
        <f t="shared" si="65"/>
        <v>0</v>
      </c>
      <c r="Z181" s="681">
        <f t="shared" si="65"/>
        <v>5.5987543820392328E-3</v>
      </c>
      <c r="AA181" s="681">
        <f t="shared" si="65"/>
        <v>2.7116507585468137E-2</v>
      </c>
      <c r="AB181" s="681">
        <f t="shared" si="65"/>
        <v>4.8493484406242097E-3</v>
      </c>
      <c r="AC181" s="681">
        <f t="shared" si="65"/>
        <v>7.7718006795016989E-2</v>
      </c>
      <c r="AD181" s="681">
        <f t="shared" si="65"/>
        <v>1.1251937631075043E-2</v>
      </c>
      <c r="AE181" s="681">
        <f t="shared" si="65"/>
        <v>5.818381210588845E-3</v>
      </c>
      <c r="AF181" s="681">
        <f t="shared" si="65"/>
        <v>0.18324137931034484</v>
      </c>
      <c r="AG181" s="681">
        <f t="shared" si="65"/>
        <v>0</v>
      </c>
      <c r="AH181" s="681">
        <f t="shared" si="65"/>
        <v>5.3001894120573212E-2</v>
      </c>
      <c r="AI181" s="681">
        <f t="shared" si="64"/>
        <v>1.5945459579806086E-3</v>
      </c>
      <c r="AJ181" s="681">
        <f t="shared" si="64"/>
        <v>0</v>
      </c>
      <c r="AK181" s="681">
        <f t="shared" si="64"/>
        <v>0</v>
      </c>
      <c r="AL181" s="681">
        <f t="shared" si="64"/>
        <v>6.4578058927836329E-2</v>
      </c>
      <c r="AM181" s="681">
        <f t="shared" si="64"/>
        <v>3.6838163760667594E-4</v>
      </c>
      <c r="AN181" s="682">
        <f t="shared" si="64"/>
        <v>3.8783132727790805E-2</v>
      </c>
    </row>
    <row r="182" spans="2:40">
      <c r="B182" s="688"/>
      <c r="C182" s="633" t="s">
        <v>528</v>
      </c>
      <c r="D182" s="680">
        <f t="shared" si="65"/>
        <v>1.3746626209116359E-2</v>
      </c>
      <c r="E182" s="681">
        <f t="shared" si="65"/>
        <v>1.2586014232782451E-2</v>
      </c>
      <c r="F182" s="681">
        <f t="shared" si="65"/>
        <v>4.9392879193249639E-4</v>
      </c>
      <c r="G182" s="681">
        <f t="shared" si="65"/>
        <v>0</v>
      </c>
      <c r="H182" s="681">
        <f t="shared" si="65"/>
        <v>1.3141967836762927E-2</v>
      </c>
      <c r="I182" s="681">
        <f t="shared" si="65"/>
        <v>3.366786755875793E-3</v>
      </c>
      <c r="J182" s="681">
        <f t="shared" si="65"/>
        <v>2.4016956558790412E-2</v>
      </c>
      <c r="K182" s="681">
        <f t="shared" si="65"/>
        <v>6.9968044445372713E-3</v>
      </c>
      <c r="L182" s="681">
        <f t="shared" si="65"/>
        <v>6.8965517241379318E-3</v>
      </c>
      <c r="M182" s="681">
        <f t="shared" si="65"/>
        <v>0.17339925053969288</v>
      </c>
      <c r="N182" s="681">
        <f t="shared" si="65"/>
        <v>7.8073184135225779E-3</v>
      </c>
      <c r="O182" s="681">
        <f t="shared" si="65"/>
        <v>7.7934693648604211E-2</v>
      </c>
      <c r="P182" s="681">
        <f t="shared" si="65"/>
        <v>2.2981744421906695E-2</v>
      </c>
      <c r="Q182" s="681">
        <f t="shared" si="65"/>
        <v>0.10212687935460212</v>
      </c>
      <c r="R182" s="681">
        <f t="shared" si="65"/>
        <v>7.205364245937039E-2</v>
      </c>
      <c r="S182" s="681">
        <f t="shared" si="65"/>
        <v>4.2245115899239898E-2</v>
      </c>
      <c r="T182" s="681">
        <f t="shared" si="65"/>
        <v>1.6659551162846689E-2</v>
      </c>
      <c r="U182" s="681">
        <f t="shared" si="65"/>
        <v>0.11049510545411945</v>
      </c>
      <c r="V182" s="681">
        <f t="shared" si="65"/>
        <v>3.7450921171851406E-2</v>
      </c>
      <c r="W182" s="681">
        <f t="shared" si="65"/>
        <v>1.1710432931156849E-2</v>
      </c>
      <c r="X182" s="681">
        <f t="shared" si="65"/>
        <v>2.6648801548310255E-2</v>
      </c>
      <c r="Y182" s="681">
        <f t="shared" si="65"/>
        <v>0.64976228209191755</v>
      </c>
      <c r="Z182" s="681">
        <f t="shared" si="65"/>
        <v>3.4590139479376445E-3</v>
      </c>
      <c r="AA182" s="681">
        <f t="shared" si="65"/>
        <v>1.3687706078890565E-2</v>
      </c>
      <c r="AB182" s="681">
        <f t="shared" si="65"/>
        <v>2.8498540598929006E-2</v>
      </c>
      <c r="AC182" s="681">
        <f t="shared" si="65"/>
        <v>0.27516987542468857</v>
      </c>
      <c r="AD182" s="681">
        <f t="shared" si="65"/>
        <v>2.5111698732561319E-2</v>
      </c>
      <c r="AE182" s="681">
        <f t="shared" si="65"/>
        <v>0</v>
      </c>
      <c r="AF182" s="681">
        <f t="shared" si="65"/>
        <v>4.0344827586206895E-2</v>
      </c>
      <c r="AG182" s="681">
        <f t="shared" si="65"/>
        <v>1.2113266911379131E-2</v>
      </c>
      <c r="AH182" s="681">
        <f t="shared" si="65"/>
        <v>1.4086325980063904E-2</v>
      </c>
      <c r="AI182" s="681">
        <f t="shared" si="64"/>
        <v>0.32758478242419237</v>
      </c>
      <c r="AJ182" s="681">
        <f t="shared" si="64"/>
        <v>0</v>
      </c>
      <c r="AK182" s="681">
        <f t="shared" si="64"/>
        <v>0</v>
      </c>
      <c r="AL182" s="681">
        <f t="shared" si="64"/>
        <v>5.4043467513797468E-2</v>
      </c>
      <c r="AM182" s="681">
        <f t="shared" si="64"/>
        <v>3.0209595526749983E-2</v>
      </c>
      <c r="AN182" s="682">
        <f t="shared" si="64"/>
        <v>8.3344339562229641E-2</v>
      </c>
    </row>
    <row r="183" spans="2:40">
      <c r="B183" s="688"/>
      <c r="C183" s="633" t="s">
        <v>536</v>
      </c>
      <c r="D183" s="680">
        <f t="shared" si="65"/>
        <v>0.17153107240448609</v>
      </c>
      <c r="E183" s="681">
        <f t="shared" si="65"/>
        <v>1.6511792036699408E-2</v>
      </c>
      <c r="F183" s="681">
        <f t="shared" si="65"/>
        <v>2.6548672566371685E-2</v>
      </c>
      <c r="G183" s="681">
        <f t="shared" si="65"/>
        <v>5.1650949719482649E-2</v>
      </c>
      <c r="H183" s="681">
        <f t="shared" si="65"/>
        <v>0.89330797164101683</v>
      </c>
      <c r="I183" s="681">
        <f t="shared" si="65"/>
        <v>1.4646594613141191E-2</v>
      </c>
      <c r="J183" s="681">
        <f t="shared" si="65"/>
        <v>7.8527433833701712E-2</v>
      </c>
      <c r="K183" s="681">
        <f t="shared" si="65"/>
        <v>2.1951168570772152E-2</v>
      </c>
      <c r="L183" s="681">
        <f t="shared" si="65"/>
        <v>0</v>
      </c>
      <c r="M183" s="681">
        <f t="shared" si="65"/>
        <v>7.6626206671825986E-2</v>
      </c>
      <c r="N183" s="681">
        <f t="shared" si="65"/>
        <v>1.7623315836349509E-3</v>
      </c>
      <c r="O183" s="681">
        <f t="shared" si="65"/>
        <v>1.0881842264279868E-2</v>
      </c>
      <c r="P183" s="681">
        <f t="shared" si="65"/>
        <v>0.36446247464503045</v>
      </c>
      <c r="Q183" s="681">
        <f t="shared" si="65"/>
        <v>3.1842073096198506E-2</v>
      </c>
      <c r="R183" s="681">
        <f t="shared" si="65"/>
        <v>1.4461870667121264E-2</v>
      </c>
      <c r="S183" s="681">
        <f t="shared" si="65"/>
        <v>1.6803819335385387E-2</v>
      </c>
      <c r="T183" s="681">
        <f t="shared" si="65"/>
        <v>0</v>
      </c>
      <c r="U183" s="681">
        <f t="shared" si="65"/>
        <v>3.4201522288187278E-2</v>
      </c>
      <c r="V183" s="681">
        <f t="shared" si="65"/>
        <v>0</v>
      </c>
      <c r="W183" s="681">
        <f t="shared" si="65"/>
        <v>3.0518097941802696E-2</v>
      </c>
      <c r="X183" s="681">
        <f t="shared" si="65"/>
        <v>0</v>
      </c>
      <c r="Y183" s="681">
        <f t="shared" si="65"/>
        <v>0</v>
      </c>
      <c r="Z183" s="681">
        <f t="shared" si="65"/>
        <v>1.9262325650779445E-2</v>
      </c>
      <c r="AA183" s="681">
        <f t="shared" si="65"/>
        <v>0</v>
      </c>
      <c r="AB183" s="681">
        <f t="shared" si="65"/>
        <v>0</v>
      </c>
      <c r="AC183" s="681">
        <f t="shared" si="65"/>
        <v>9.8924122310305784E-2</v>
      </c>
      <c r="AD183" s="681">
        <f t="shared" si="65"/>
        <v>0</v>
      </c>
      <c r="AE183" s="681">
        <f t="shared" si="65"/>
        <v>1.5718768087245257E-2</v>
      </c>
      <c r="AF183" s="681">
        <f t="shared" si="65"/>
        <v>3.4896551724137928E-2</v>
      </c>
      <c r="AG183" s="681">
        <f t="shared" si="65"/>
        <v>0</v>
      </c>
      <c r="AH183" s="681">
        <f t="shared" si="65"/>
        <v>2.0797061243231867E-2</v>
      </c>
      <c r="AI183" s="681">
        <f t="shared" si="64"/>
        <v>3.5935818005539473E-2</v>
      </c>
      <c r="AJ183" s="681">
        <f t="shared" si="64"/>
        <v>0</v>
      </c>
      <c r="AK183" s="681">
        <f t="shared" si="64"/>
        <v>0</v>
      </c>
      <c r="AL183" s="681">
        <f t="shared" si="64"/>
        <v>0</v>
      </c>
      <c r="AM183" s="681">
        <f t="shared" si="64"/>
        <v>0</v>
      </c>
      <c r="AN183" s="682">
        <f t="shared" si="64"/>
        <v>6.1279412812161706E-3</v>
      </c>
    </row>
    <row r="184" spans="2:40">
      <c r="B184" s="547"/>
      <c r="C184" s="619" t="s">
        <v>529</v>
      </c>
      <c r="D184" s="683">
        <f t="shared" si="65"/>
        <v>2.9169670248612766E-3</v>
      </c>
      <c r="E184" s="684">
        <f t="shared" si="65"/>
        <v>0</v>
      </c>
      <c r="F184" s="684">
        <f t="shared" si="65"/>
        <v>4.8158057213418398E-3</v>
      </c>
      <c r="G184" s="684">
        <f t="shared" si="65"/>
        <v>0</v>
      </c>
      <c r="H184" s="684">
        <f t="shared" si="65"/>
        <v>0</v>
      </c>
      <c r="I184" s="684">
        <f t="shared" si="65"/>
        <v>1.5482930176702691E-2</v>
      </c>
      <c r="J184" s="684">
        <f t="shared" si="65"/>
        <v>0</v>
      </c>
      <c r="K184" s="684">
        <f t="shared" si="65"/>
        <v>0</v>
      </c>
      <c r="L184" s="684">
        <f t="shared" si="65"/>
        <v>0</v>
      </c>
      <c r="M184" s="684">
        <f t="shared" si="65"/>
        <v>0</v>
      </c>
      <c r="N184" s="684">
        <f t="shared" si="65"/>
        <v>0</v>
      </c>
      <c r="O184" s="684">
        <f t="shared" si="65"/>
        <v>0</v>
      </c>
      <c r="P184" s="684">
        <f t="shared" si="65"/>
        <v>0</v>
      </c>
      <c r="Q184" s="684">
        <f t="shared" si="65"/>
        <v>0</v>
      </c>
      <c r="R184" s="684">
        <f t="shared" si="65"/>
        <v>1.3069667007614505E-3</v>
      </c>
      <c r="S184" s="684">
        <f t="shared" si="65"/>
        <v>0.12105031723098184</v>
      </c>
      <c r="T184" s="684">
        <f t="shared" si="65"/>
        <v>0</v>
      </c>
      <c r="U184" s="684">
        <f t="shared" si="65"/>
        <v>0</v>
      </c>
      <c r="V184" s="684">
        <f t="shared" si="65"/>
        <v>0</v>
      </c>
      <c r="W184" s="684">
        <f t="shared" si="65"/>
        <v>0</v>
      </c>
      <c r="X184" s="684">
        <f t="shared" si="65"/>
        <v>0</v>
      </c>
      <c r="Y184" s="684">
        <f t="shared" si="65"/>
        <v>0</v>
      </c>
      <c r="Z184" s="684">
        <f t="shared" si="65"/>
        <v>0</v>
      </c>
      <c r="AA184" s="684">
        <f t="shared" si="65"/>
        <v>0</v>
      </c>
      <c r="AB184" s="684">
        <f t="shared" si="65"/>
        <v>0.28963365585713957</v>
      </c>
      <c r="AC184" s="684">
        <f t="shared" si="65"/>
        <v>0</v>
      </c>
      <c r="AD184" s="684">
        <f t="shared" si="65"/>
        <v>0</v>
      </c>
      <c r="AE184" s="684">
        <f t="shared" si="65"/>
        <v>0</v>
      </c>
      <c r="AF184" s="684">
        <f t="shared" si="65"/>
        <v>0</v>
      </c>
      <c r="AG184" s="684">
        <f t="shared" si="65"/>
        <v>0</v>
      </c>
      <c r="AH184" s="684">
        <f t="shared" si="65"/>
        <v>3.8408556067882215E-3</v>
      </c>
      <c r="AI184" s="684">
        <f t="shared" si="64"/>
        <v>0</v>
      </c>
      <c r="AJ184" s="684">
        <f t="shared" si="64"/>
        <v>0</v>
      </c>
      <c r="AK184" s="684">
        <f t="shared" si="64"/>
        <v>0</v>
      </c>
      <c r="AL184" s="684">
        <f t="shared" si="64"/>
        <v>0</v>
      </c>
      <c r="AM184" s="684">
        <f t="shared" si="64"/>
        <v>0</v>
      </c>
      <c r="AN184" s="685">
        <f t="shared" si="64"/>
        <v>0</v>
      </c>
    </row>
    <row r="186" spans="2:40">
      <c r="C186" s="633" t="s">
        <v>526</v>
      </c>
      <c r="D186" s="797">
        <f>D108/D168</f>
        <v>139.49077824</v>
      </c>
    </row>
    <row r="187" spans="2:40">
      <c r="C187" s="633" t="s">
        <v>532</v>
      </c>
      <c r="D187" s="797">
        <f t="shared" ref="D187:D193" si="66">D109/D169</f>
        <v>139.49077824</v>
      </c>
    </row>
    <row r="188" spans="2:40">
      <c r="C188" s="633" t="s">
        <v>510</v>
      </c>
      <c r="D188" s="797">
        <f t="shared" si="66"/>
        <v>139.49077824</v>
      </c>
    </row>
    <row r="189" spans="2:40">
      <c r="C189" s="633" t="s">
        <v>527</v>
      </c>
      <c r="D189" s="797">
        <f t="shared" si="66"/>
        <v>139.49077824</v>
      </c>
    </row>
    <row r="190" spans="2:40">
      <c r="C190" s="633" t="s">
        <v>533</v>
      </c>
      <c r="D190" s="797">
        <f t="shared" si="66"/>
        <v>139.49077824</v>
      </c>
    </row>
    <row r="191" spans="2:40">
      <c r="C191" s="633" t="s">
        <v>534</v>
      </c>
      <c r="D191" s="797" t="e">
        <f t="shared" si="66"/>
        <v>#DIV/0!</v>
      </c>
    </row>
    <row r="192" spans="2:40">
      <c r="C192" s="633" t="s">
        <v>528</v>
      </c>
      <c r="D192" s="797">
        <f>D114/D174</f>
        <v>139.49077824</v>
      </c>
    </row>
    <row r="193" spans="3:4">
      <c r="C193" s="619" t="s">
        <v>529</v>
      </c>
      <c r="D193" s="797">
        <f t="shared" si="66"/>
        <v>139.49077824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2"/>
  <dimension ref="B2:BC36"/>
  <sheetViews>
    <sheetView topLeftCell="H1" zoomScale="115" zoomScaleNormal="115" workbookViewId="0">
      <selection activeCell="S13" sqref="S13:S14"/>
    </sheetView>
  </sheetViews>
  <sheetFormatPr defaultColWidth="9.109375" defaultRowHeight="14.4"/>
  <cols>
    <col min="17" max="17" width="12" bestFit="1" customWidth="1"/>
    <col min="18" max="18" width="21.44140625" bestFit="1" customWidth="1"/>
    <col min="19" max="19" width="9.44140625" bestFit="1" customWidth="1"/>
    <col min="20" max="21" width="9.33203125" bestFit="1" customWidth="1"/>
    <col min="22" max="22" width="9.44140625" bestFit="1" customWidth="1"/>
    <col min="23" max="24" width="9.33203125" bestFit="1" customWidth="1"/>
    <col min="25" max="25" width="10.5546875" bestFit="1" customWidth="1"/>
    <col min="26" max="28" width="9.44140625" bestFit="1" customWidth="1"/>
    <col min="29" max="30" width="10.5546875" bestFit="1" customWidth="1"/>
    <col min="31" max="35" width="9.33203125" bestFit="1" customWidth="1"/>
    <col min="36" max="36" width="10.5546875" bestFit="1" customWidth="1"/>
    <col min="37" max="40" width="9.33203125" bestFit="1" customWidth="1"/>
    <col min="41" max="41" width="9.44140625" bestFit="1" customWidth="1"/>
    <col min="42" max="42" width="10.5546875" bestFit="1" customWidth="1"/>
    <col min="43" max="43" width="9.33203125" bestFit="1" customWidth="1"/>
    <col min="44" max="44" width="9.44140625" bestFit="1" customWidth="1"/>
    <col min="45" max="45" width="9.33203125" bestFit="1" customWidth="1"/>
    <col min="46" max="46" width="10.5546875" bestFit="1" customWidth="1"/>
    <col min="47" max="48" width="9.33203125" bestFit="1" customWidth="1"/>
    <col min="49" max="49" width="9.44140625" bestFit="1" customWidth="1"/>
    <col min="50" max="55" width="9.33203125" bestFit="1" customWidth="1"/>
  </cols>
  <sheetData>
    <row r="2" spans="2:55">
      <c r="B2" t="s">
        <v>919</v>
      </c>
      <c r="K2" t="s">
        <v>920</v>
      </c>
    </row>
    <row r="4" spans="2:55">
      <c r="C4" t="s">
        <v>921</v>
      </c>
      <c r="D4" t="s">
        <v>922</v>
      </c>
      <c r="E4" t="s">
        <v>923</v>
      </c>
      <c r="F4" t="s">
        <v>924</v>
      </c>
      <c r="G4" t="s">
        <v>925</v>
      </c>
      <c r="H4" t="s">
        <v>926</v>
      </c>
      <c r="L4" t="s">
        <v>927</v>
      </c>
      <c r="M4" t="s">
        <v>928</v>
      </c>
      <c r="N4" t="s">
        <v>929</v>
      </c>
      <c r="O4" t="s">
        <v>930</v>
      </c>
      <c r="S4" t="s">
        <v>88</v>
      </c>
      <c r="T4" t="s">
        <v>89</v>
      </c>
      <c r="U4" t="s">
        <v>91</v>
      </c>
      <c r="V4" t="s">
        <v>93</v>
      </c>
      <c r="W4" t="s">
        <v>94</v>
      </c>
      <c r="X4" t="s">
        <v>95</v>
      </c>
      <c r="Y4" t="s">
        <v>96</v>
      </c>
      <c r="Z4" t="s">
        <v>97</v>
      </c>
      <c r="AA4" t="s">
        <v>98</v>
      </c>
      <c r="AB4" t="s">
        <v>99</v>
      </c>
      <c r="AC4" t="s">
        <v>100</v>
      </c>
      <c r="AD4" t="s">
        <v>101</v>
      </c>
      <c r="AE4" t="s">
        <v>103</v>
      </c>
      <c r="AF4" t="s">
        <v>104</v>
      </c>
      <c r="AG4" t="s">
        <v>108</v>
      </c>
      <c r="AH4" t="s">
        <v>109</v>
      </c>
      <c r="AI4" t="s">
        <v>110</v>
      </c>
      <c r="AJ4" t="s">
        <v>111</v>
      </c>
      <c r="AK4" t="s">
        <v>113</v>
      </c>
      <c r="AL4" t="s">
        <v>115</v>
      </c>
      <c r="AM4" t="s">
        <v>52</v>
      </c>
    </row>
    <row r="5" spans="2:55">
      <c r="B5" t="s">
        <v>104</v>
      </c>
      <c r="C5" s="509">
        <v>0</v>
      </c>
      <c r="D5" s="509">
        <v>302</v>
      </c>
      <c r="E5" s="509">
        <v>769</v>
      </c>
      <c r="F5" s="509">
        <v>0</v>
      </c>
      <c r="G5" s="509">
        <v>0</v>
      </c>
      <c r="H5" s="509">
        <v>0</v>
      </c>
      <c r="K5" t="s">
        <v>104</v>
      </c>
      <c r="L5" s="509">
        <f>D5</f>
        <v>302</v>
      </c>
      <c r="M5" s="509">
        <f>F5</f>
        <v>0</v>
      </c>
      <c r="N5" s="509">
        <f>H5</f>
        <v>0</v>
      </c>
      <c r="O5" s="509">
        <f>E5</f>
        <v>769</v>
      </c>
      <c r="P5" s="509"/>
      <c r="Q5" s="509"/>
      <c r="R5" t="s">
        <v>927</v>
      </c>
      <c r="S5" s="509">
        <f>L18</f>
        <v>21063</v>
      </c>
      <c r="T5" s="509">
        <f>L9</f>
        <v>2879</v>
      </c>
      <c r="U5" s="509">
        <f>L17</f>
        <v>59579</v>
      </c>
      <c r="V5" s="509">
        <f>L10</f>
        <v>9724</v>
      </c>
      <c r="W5" s="509">
        <f>L21</f>
        <v>130781</v>
      </c>
      <c r="X5" s="509">
        <f>L16</f>
        <v>4226</v>
      </c>
      <c r="Y5" s="509">
        <f>L13</f>
        <v>1520</v>
      </c>
      <c r="Z5" s="509">
        <f>L19</f>
        <v>0</v>
      </c>
      <c r="AA5" s="509">
        <f>L20</f>
        <v>6326</v>
      </c>
      <c r="AB5" s="509">
        <f>L24</f>
        <v>366053</v>
      </c>
      <c r="AC5" s="509">
        <f>L6</f>
        <v>164</v>
      </c>
      <c r="AD5" s="509">
        <f>L8</f>
        <v>927</v>
      </c>
      <c r="AE5" s="509">
        <f>L23</f>
        <v>1240</v>
      </c>
      <c r="AF5" s="509">
        <f>L5</f>
        <v>302</v>
      </c>
      <c r="AG5" s="509">
        <f>L12</f>
        <v>9070.2649889999993</v>
      </c>
      <c r="AH5" s="509">
        <f>L22</f>
        <v>20941</v>
      </c>
      <c r="AI5" s="509">
        <f>L11</f>
        <v>1200</v>
      </c>
      <c r="AJ5" s="509">
        <f>L14</f>
        <v>0</v>
      </c>
      <c r="AK5" s="509">
        <f>L25</f>
        <v>96565</v>
      </c>
      <c r="AL5" s="509">
        <f>L7</f>
        <v>650</v>
      </c>
      <c r="AM5" s="509">
        <f>L15</f>
        <v>25245</v>
      </c>
    </row>
    <row r="6" spans="2:55">
      <c r="B6" t="s">
        <v>100</v>
      </c>
      <c r="C6" s="509">
        <v>71</v>
      </c>
      <c r="D6" s="509">
        <v>164</v>
      </c>
      <c r="E6" s="509">
        <v>520</v>
      </c>
      <c r="F6" s="509">
        <v>268.02</v>
      </c>
      <c r="G6" s="509">
        <v>663.8</v>
      </c>
      <c r="H6" s="509">
        <v>38</v>
      </c>
      <c r="K6" t="s">
        <v>100</v>
      </c>
      <c r="L6" s="509">
        <f t="shared" ref="L6:L25" si="0">D6</f>
        <v>164</v>
      </c>
      <c r="M6" s="509">
        <f t="shared" ref="M6:M25" si="1">F6</f>
        <v>268.02</v>
      </c>
      <c r="N6" s="509">
        <f t="shared" ref="N6:N25" si="2">H6</f>
        <v>38</v>
      </c>
      <c r="O6" s="509">
        <f t="shared" ref="O6:O25" si="3">E6</f>
        <v>520</v>
      </c>
      <c r="P6" s="509"/>
      <c r="Q6" s="509"/>
      <c r="R6" t="s">
        <v>928</v>
      </c>
      <c r="S6" s="509">
        <f>M18</f>
        <v>0</v>
      </c>
      <c r="T6" s="509">
        <f>M9</f>
        <v>0</v>
      </c>
      <c r="U6" s="509">
        <f>M17</f>
        <v>0</v>
      </c>
      <c r="V6" s="509">
        <f>M10</f>
        <v>0</v>
      </c>
      <c r="W6" s="509">
        <f>M21</f>
        <v>1371.6</v>
      </c>
      <c r="X6" s="509">
        <f>M16</f>
        <v>42163</v>
      </c>
      <c r="Y6" s="509">
        <f>M13</f>
        <v>34320</v>
      </c>
      <c r="Z6" s="509">
        <f>M19</f>
        <v>67229.95</v>
      </c>
      <c r="AA6" s="509">
        <f>M20</f>
        <v>297948</v>
      </c>
      <c r="AB6" s="509">
        <f>M24</f>
        <v>217550.715</v>
      </c>
      <c r="AC6" s="509">
        <f>M6</f>
        <v>268.02</v>
      </c>
      <c r="AD6" s="509">
        <f>M8</f>
        <v>0</v>
      </c>
      <c r="AE6" s="509">
        <f>M23</f>
        <v>715200.73</v>
      </c>
      <c r="AF6" s="509">
        <f>M5</f>
        <v>0</v>
      </c>
      <c r="AG6" s="509">
        <f>M12</f>
        <v>130.5</v>
      </c>
      <c r="AH6" s="509">
        <f>M22</f>
        <v>504182</v>
      </c>
      <c r="AI6" s="509">
        <f>M11</f>
        <v>0</v>
      </c>
      <c r="AJ6" s="509">
        <f>M14</f>
        <v>49669.254999999997</v>
      </c>
      <c r="AK6" s="509">
        <f>M25</f>
        <v>402543</v>
      </c>
      <c r="AL6" s="509">
        <f>M7</f>
        <v>58.5</v>
      </c>
      <c r="AM6" s="509">
        <f>M15</f>
        <v>0</v>
      </c>
    </row>
    <row r="7" spans="2:55">
      <c r="B7" t="s">
        <v>115</v>
      </c>
      <c r="C7" s="509">
        <v>71</v>
      </c>
      <c r="D7" s="509">
        <v>650</v>
      </c>
      <c r="E7" s="509">
        <v>500</v>
      </c>
      <c r="F7" s="509">
        <v>58.5</v>
      </c>
      <c r="G7" s="509">
        <v>100</v>
      </c>
      <c r="H7" s="509">
        <v>0</v>
      </c>
      <c r="K7" t="s">
        <v>115</v>
      </c>
      <c r="L7" s="509">
        <f t="shared" si="0"/>
        <v>650</v>
      </c>
      <c r="M7" s="509">
        <f t="shared" si="1"/>
        <v>58.5</v>
      </c>
      <c r="N7" s="509">
        <f t="shared" si="2"/>
        <v>0</v>
      </c>
      <c r="O7" s="509">
        <f t="shared" si="3"/>
        <v>500</v>
      </c>
      <c r="P7" s="509"/>
      <c r="Q7" s="509"/>
      <c r="R7" t="s">
        <v>929</v>
      </c>
      <c r="S7" s="509">
        <f>N18</f>
        <v>80685</v>
      </c>
      <c r="T7" s="509">
        <f>N9</f>
        <v>1611</v>
      </c>
      <c r="U7" s="509">
        <f>N17</f>
        <v>1487</v>
      </c>
      <c r="V7" s="509">
        <f>N10</f>
        <v>10</v>
      </c>
      <c r="W7" s="509">
        <f>N21</f>
        <v>102515</v>
      </c>
      <c r="X7" s="509">
        <f>N16</f>
        <v>6580</v>
      </c>
      <c r="Y7" s="509">
        <f>N13</f>
        <v>0</v>
      </c>
      <c r="Z7" s="509">
        <f>N19</f>
        <v>0</v>
      </c>
      <c r="AA7" s="509">
        <f>N20</f>
        <v>0</v>
      </c>
      <c r="AB7" s="509">
        <f>N24</f>
        <v>29000</v>
      </c>
      <c r="AC7" s="509">
        <f>N6</f>
        <v>38</v>
      </c>
      <c r="AD7" s="509">
        <f>N8</f>
        <v>3</v>
      </c>
      <c r="AE7" s="509">
        <f>N23</f>
        <v>0</v>
      </c>
      <c r="AF7" s="509">
        <f>N5</f>
        <v>0</v>
      </c>
      <c r="AG7" s="509">
        <f>N12</f>
        <v>5901</v>
      </c>
      <c r="AH7" s="509">
        <f>N22</f>
        <v>0</v>
      </c>
      <c r="AI7" s="509">
        <f>N11</f>
        <v>2060</v>
      </c>
      <c r="AJ7" s="509">
        <f>N14</f>
        <v>427</v>
      </c>
      <c r="AK7" s="509">
        <f>N25</f>
        <v>0</v>
      </c>
      <c r="AL7" s="509">
        <f>N7</f>
        <v>0</v>
      </c>
      <c r="AM7" s="509">
        <f>N15</f>
        <v>0</v>
      </c>
    </row>
    <row r="8" spans="2:55">
      <c r="B8" t="s">
        <v>101</v>
      </c>
      <c r="C8" s="509">
        <v>90</v>
      </c>
      <c r="D8" s="509">
        <v>927</v>
      </c>
      <c r="E8" s="509">
        <v>1279</v>
      </c>
      <c r="F8" s="509">
        <v>0</v>
      </c>
      <c r="G8" s="509">
        <v>0</v>
      </c>
      <c r="H8" s="509">
        <v>3</v>
      </c>
      <c r="K8" t="s">
        <v>101</v>
      </c>
      <c r="L8" s="509">
        <f t="shared" si="0"/>
        <v>927</v>
      </c>
      <c r="M8" s="509">
        <f t="shared" si="1"/>
        <v>0</v>
      </c>
      <c r="N8" s="509">
        <f t="shared" si="2"/>
        <v>3</v>
      </c>
      <c r="O8" s="509">
        <f t="shared" si="3"/>
        <v>1279</v>
      </c>
      <c r="P8" s="509"/>
      <c r="Q8" s="509"/>
      <c r="R8" t="s">
        <v>930</v>
      </c>
      <c r="S8" s="509">
        <f>O18</f>
        <v>69213</v>
      </c>
      <c r="T8" s="509">
        <f>O9</f>
        <v>1954</v>
      </c>
      <c r="U8" s="509">
        <f>O17</f>
        <v>45733</v>
      </c>
      <c r="V8" s="509">
        <f>O10</f>
        <v>8747</v>
      </c>
      <c r="W8" s="509">
        <f>O21</f>
        <v>216821</v>
      </c>
      <c r="X8" s="509">
        <f>O16</f>
        <v>13528</v>
      </c>
      <c r="Y8" s="509">
        <f>O13</f>
        <v>3735</v>
      </c>
      <c r="Z8" s="509">
        <f>O19</f>
        <v>0</v>
      </c>
      <c r="AA8" s="509">
        <f>O20</f>
        <v>34934</v>
      </c>
      <c r="AB8" s="509">
        <f>O24</f>
        <v>84737</v>
      </c>
      <c r="AC8" s="509">
        <f>O6</f>
        <v>520</v>
      </c>
      <c r="AD8" s="509">
        <f>O8</f>
        <v>1279</v>
      </c>
      <c r="AE8" s="509">
        <f>O23</f>
        <v>357</v>
      </c>
      <c r="AF8" s="509">
        <f>O5</f>
        <v>769</v>
      </c>
      <c r="AG8" s="509">
        <f>O12</f>
        <v>18652.7350114</v>
      </c>
      <c r="AH8" s="509">
        <f>O22</f>
        <v>25248</v>
      </c>
      <c r="AI8" s="509">
        <f>O11</f>
        <v>4120</v>
      </c>
      <c r="AJ8" s="509">
        <f>O14</f>
        <v>0</v>
      </c>
      <c r="AK8" s="509">
        <f>O25</f>
        <v>372685</v>
      </c>
      <c r="AL8" s="509">
        <f>O7</f>
        <v>500</v>
      </c>
      <c r="AM8" s="509">
        <f>O15</f>
        <v>16160</v>
      </c>
    </row>
    <row r="9" spans="2:55">
      <c r="B9" t="s">
        <v>89</v>
      </c>
      <c r="C9" s="509">
        <v>135</v>
      </c>
      <c r="D9" s="509">
        <v>2879</v>
      </c>
      <c r="E9" s="509">
        <v>1954</v>
      </c>
      <c r="F9" s="509">
        <v>0</v>
      </c>
      <c r="G9" s="509">
        <v>0</v>
      </c>
      <c r="H9" s="509">
        <v>1611</v>
      </c>
      <c r="K9" t="s">
        <v>89</v>
      </c>
      <c r="L9" s="509">
        <f t="shared" si="0"/>
        <v>2879</v>
      </c>
      <c r="M9" s="509">
        <f t="shared" si="1"/>
        <v>0</v>
      </c>
      <c r="N9" s="509">
        <f t="shared" si="2"/>
        <v>1611</v>
      </c>
      <c r="O9" s="509">
        <f t="shared" si="3"/>
        <v>1954</v>
      </c>
      <c r="P9" s="509"/>
      <c r="Q9" s="509"/>
      <c r="R9" s="509"/>
    </row>
    <row r="10" spans="2:55">
      <c r="B10" t="s">
        <v>93</v>
      </c>
      <c r="C10" s="509">
        <v>0</v>
      </c>
      <c r="D10" s="509">
        <v>9724</v>
      </c>
      <c r="E10" s="509">
        <v>8747</v>
      </c>
      <c r="F10" s="509">
        <v>0</v>
      </c>
      <c r="G10" s="509">
        <v>55</v>
      </c>
      <c r="H10" s="509">
        <v>10</v>
      </c>
      <c r="K10" t="s">
        <v>93</v>
      </c>
      <c r="L10" s="509">
        <f t="shared" si="0"/>
        <v>9724</v>
      </c>
      <c r="M10" s="509">
        <f t="shared" si="1"/>
        <v>0</v>
      </c>
      <c r="N10" s="509">
        <f t="shared" si="2"/>
        <v>10</v>
      </c>
      <c r="O10" s="509">
        <f t="shared" si="3"/>
        <v>8747</v>
      </c>
      <c r="P10" s="509"/>
      <c r="Q10" s="509"/>
      <c r="R10" s="509"/>
    </row>
    <row r="11" spans="2:55">
      <c r="B11" t="s">
        <v>110</v>
      </c>
      <c r="C11" s="509">
        <v>95</v>
      </c>
      <c r="D11" s="509">
        <v>1200</v>
      </c>
      <c r="E11" s="509">
        <v>4120</v>
      </c>
      <c r="F11" s="509">
        <v>0</v>
      </c>
      <c r="G11" s="509">
        <v>770</v>
      </c>
      <c r="H11" s="509">
        <v>2060</v>
      </c>
      <c r="K11" t="s">
        <v>110</v>
      </c>
      <c r="L11" s="509">
        <f t="shared" si="0"/>
        <v>1200</v>
      </c>
      <c r="M11" s="509">
        <f t="shared" si="1"/>
        <v>0</v>
      </c>
      <c r="N11" s="509">
        <f t="shared" si="2"/>
        <v>2060</v>
      </c>
      <c r="O11" s="509">
        <f t="shared" si="3"/>
        <v>4120</v>
      </c>
      <c r="P11" s="509"/>
      <c r="Q11" s="509"/>
    </row>
    <row r="12" spans="2:55" ht="15" thickBot="1">
      <c r="B12" t="s">
        <v>108</v>
      </c>
      <c r="C12" s="509">
        <v>922</v>
      </c>
      <c r="D12" s="509">
        <v>9070.2649889999993</v>
      </c>
      <c r="E12" s="509">
        <v>18652.7350114</v>
      </c>
      <c r="F12" s="509">
        <v>130.5</v>
      </c>
      <c r="G12" s="509">
        <v>361</v>
      </c>
      <c r="H12" s="509">
        <v>5901</v>
      </c>
      <c r="K12" t="s">
        <v>108</v>
      </c>
      <c r="L12" s="509">
        <f t="shared" si="0"/>
        <v>9070.2649889999993</v>
      </c>
      <c r="M12" s="509">
        <f t="shared" si="1"/>
        <v>130.5</v>
      </c>
      <c r="N12" s="509">
        <f t="shared" si="2"/>
        <v>5901</v>
      </c>
      <c r="O12" s="509">
        <f t="shared" si="3"/>
        <v>18652.7350114</v>
      </c>
      <c r="P12" s="509"/>
      <c r="Q12" s="813" t="s">
        <v>931</v>
      </c>
      <c r="R12" s="813" t="s">
        <v>935</v>
      </c>
      <c r="S12" s="540" t="s">
        <v>88</v>
      </c>
      <c r="T12" s="540" t="s">
        <v>89</v>
      </c>
      <c r="U12" s="540" t="s">
        <v>90</v>
      </c>
      <c r="V12" s="540" t="s">
        <v>91</v>
      </c>
      <c r="W12" s="540" t="s">
        <v>92</v>
      </c>
      <c r="X12" s="540" t="s">
        <v>93</v>
      </c>
      <c r="Y12" s="540" t="s">
        <v>94</v>
      </c>
      <c r="Z12" s="540" t="s">
        <v>95</v>
      </c>
      <c r="AA12" s="540" t="s">
        <v>96</v>
      </c>
      <c r="AB12" s="540" t="s">
        <v>97</v>
      </c>
      <c r="AC12" s="540" t="s">
        <v>98</v>
      </c>
      <c r="AD12" s="540" t="s">
        <v>99</v>
      </c>
      <c r="AE12" s="540" t="s">
        <v>205</v>
      </c>
      <c r="AF12" s="540" t="s">
        <v>118</v>
      </c>
      <c r="AG12" s="540" t="s">
        <v>100</v>
      </c>
      <c r="AH12" s="540" t="s">
        <v>101</v>
      </c>
      <c r="AI12" s="540" t="s">
        <v>102</v>
      </c>
      <c r="AJ12" s="540" t="s">
        <v>103</v>
      </c>
      <c r="AK12" s="540" t="s">
        <v>104</v>
      </c>
      <c r="AL12" s="540" t="s">
        <v>105</v>
      </c>
      <c r="AM12" s="540" t="s">
        <v>106</v>
      </c>
      <c r="AN12" s="540" t="s">
        <v>107</v>
      </c>
      <c r="AO12" s="540" t="s">
        <v>108</v>
      </c>
      <c r="AP12" s="540" t="s">
        <v>109</v>
      </c>
      <c r="AQ12" s="540" t="s">
        <v>110</v>
      </c>
      <c r="AR12" s="540" t="s">
        <v>111</v>
      </c>
      <c r="AS12" s="540" t="s">
        <v>112</v>
      </c>
      <c r="AT12" s="540" t="s">
        <v>113</v>
      </c>
      <c r="AU12" s="540" t="s">
        <v>114</v>
      </c>
      <c r="AV12" s="540" t="s">
        <v>115</v>
      </c>
      <c r="AW12" s="540" t="s">
        <v>52</v>
      </c>
      <c r="AX12" s="540" t="s">
        <v>116</v>
      </c>
      <c r="AY12" s="540" t="s">
        <v>117</v>
      </c>
      <c r="AZ12" s="540" t="s">
        <v>119</v>
      </c>
      <c r="BA12" s="540" t="s">
        <v>120</v>
      </c>
      <c r="BB12" s="540" t="s">
        <v>121</v>
      </c>
      <c r="BC12" s="540" t="s">
        <v>122</v>
      </c>
    </row>
    <row r="13" spans="2:55">
      <c r="B13" t="s">
        <v>96</v>
      </c>
      <c r="C13" s="509">
        <v>176</v>
      </c>
      <c r="D13" s="509">
        <v>1520</v>
      </c>
      <c r="E13" s="509">
        <v>3735</v>
      </c>
      <c r="F13" s="509">
        <v>34320</v>
      </c>
      <c r="G13" s="509">
        <v>0</v>
      </c>
      <c r="H13" s="509">
        <v>0</v>
      </c>
      <c r="K13" t="s">
        <v>96</v>
      </c>
      <c r="L13" s="509">
        <f t="shared" si="0"/>
        <v>1520</v>
      </c>
      <c r="M13" s="509">
        <f t="shared" si="1"/>
        <v>34320</v>
      </c>
      <c r="N13" s="509">
        <f t="shared" si="2"/>
        <v>0</v>
      </c>
      <c r="O13" s="509">
        <f t="shared" si="3"/>
        <v>3735</v>
      </c>
      <c r="P13" s="509"/>
      <c r="Q13" s="509" t="s">
        <v>934</v>
      </c>
      <c r="R13" t="s">
        <v>932</v>
      </c>
      <c r="S13" s="467">
        <f>(SUM(S5:S6))/1000</f>
        <v>21.062999999999999</v>
      </c>
      <c r="T13" s="467">
        <f>(SUM(T5:T6))/1000</f>
        <v>2.879</v>
      </c>
      <c r="U13" s="467">
        <v>0</v>
      </c>
      <c r="V13" s="467">
        <f>(SUM(U5:U6))/1000</f>
        <v>59.579000000000001</v>
      </c>
      <c r="W13" s="467">
        <v>0</v>
      </c>
      <c r="X13" s="467">
        <f t="shared" ref="X13:AD13" si="4">(SUM(V5:V6))/1000</f>
        <v>9.7240000000000002</v>
      </c>
      <c r="Y13" s="467">
        <f t="shared" si="4"/>
        <v>132.15260000000001</v>
      </c>
      <c r="Z13" s="467">
        <f t="shared" si="4"/>
        <v>46.389000000000003</v>
      </c>
      <c r="AA13" s="467">
        <f t="shared" si="4"/>
        <v>35.840000000000003</v>
      </c>
      <c r="AB13" s="467">
        <f t="shared" si="4"/>
        <v>67.229950000000002</v>
      </c>
      <c r="AC13" s="467">
        <f t="shared" si="4"/>
        <v>304.274</v>
      </c>
      <c r="AD13" s="467">
        <f t="shared" si="4"/>
        <v>583.60371499999997</v>
      </c>
      <c r="AE13" s="467">
        <v>0</v>
      </c>
      <c r="AF13" s="467">
        <v>0</v>
      </c>
      <c r="AG13" s="467">
        <f>(SUM(AC5:AC6))/1000</f>
        <v>0.43201999999999996</v>
      </c>
      <c r="AH13" s="467">
        <f>(SUM(AD5:AD6))/1000</f>
        <v>0.92700000000000005</v>
      </c>
      <c r="AI13" s="467">
        <v>0</v>
      </c>
      <c r="AJ13" s="467">
        <f>(SUM(AE5:AE6))/1000</f>
        <v>716.44073000000003</v>
      </c>
      <c r="AK13" s="467">
        <f>(SUM(AF5:AF6))/1000</f>
        <v>0.30199999999999999</v>
      </c>
      <c r="AL13" s="467">
        <v>0</v>
      </c>
      <c r="AM13" s="467">
        <v>0</v>
      </c>
      <c r="AN13" s="467">
        <v>0</v>
      </c>
      <c r="AO13" s="467">
        <f>(SUM(AG5:AG6))/1000</f>
        <v>9.2007649889999996</v>
      </c>
      <c r="AP13" s="467">
        <f>(SUM(AH5:AH6))/1000</f>
        <v>525.12300000000005</v>
      </c>
      <c r="AQ13" s="467">
        <f>(SUM(AI5:AI6))/1000</f>
        <v>1.2</v>
      </c>
      <c r="AR13" s="467">
        <f>(SUM(AJ5:AJ6))/1000</f>
        <v>49.669255</v>
      </c>
      <c r="AS13" s="467">
        <v>0</v>
      </c>
      <c r="AT13" s="467">
        <f>(SUM(AK5:AK6))/1000</f>
        <v>499.108</v>
      </c>
      <c r="AU13" s="467">
        <v>0</v>
      </c>
      <c r="AV13" s="467">
        <f>(SUM(AL5:AL6))/1000</f>
        <v>0.70850000000000002</v>
      </c>
      <c r="AW13" s="467">
        <f>(SUM(AM5:AM6))/1000</f>
        <v>25.245000000000001</v>
      </c>
      <c r="AX13" s="467"/>
      <c r="AY13" s="467"/>
      <c r="AZ13" s="467"/>
      <c r="BA13" s="467"/>
      <c r="BB13" s="467"/>
      <c r="BC13" s="467"/>
    </row>
    <row r="14" spans="2:55">
      <c r="B14" t="s">
        <v>111</v>
      </c>
      <c r="C14" s="509">
        <v>0</v>
      </c>
      <c r="D14" s="509">
        <v>0</v>
      </c>
      <c r="E14" s="509">
        <v>0</v>
      </c>
      <c r="F14" s="509">
        <v>49669.254999999997</v>
      </c>
      <c r="G14" s="509">
        <v>4588.6000000000004</v>
      </c>
      <c r="H14" s="509">
        <v>427</v>
      </c>
      <c r="K14" t="s">
        <v>111</v>
      </c>
      <c r="L14" s="509">
        <f t="shared" si="0"/>
        <v>0</v>
      </c>
      <c r="M14" s="509">
        <f t="shared" si="1"/>
        <v>49669.254999999997</v>
      </c>
      <c r="N14" s="509">
        <f t="shared" si="2"/>
        <v>427</v>
      </c>
      <c r="O14" s="509">
        <f t="shared" si="3"/>
        <v>0</v>
      </c>
      <c r="P14" s="509"/>
      <c r="Q14" s="815"/>
      <c r="R14" s="815" t="s">
        <v>933</v>
      </c>
      <c r="S14" s="816">
        <f>(S8)/1000</f>
        <v>69.212999999999994</v>
      </c>
      <c r="T14" s="816">
        <f>(T8)/1000</f>
        <v>1.954</v>
      </c>
      <c r="U14" s="816">
        <v>0</v>
      </c>
      <c r="V14" s="816">
        <f>(U8)/1000</f>
        <v>45.732999999999997</v>
      </c>
      <c r="W14" s="816">
        <v>0</v>
      </c>
      <c r="X14" s="816">
        <f t="shared" ref="X14:AD14" si="5">(V8)/1000</f>
        <v>8.7469999999999999</v>
      </c>
      <c r="Y14" s="816">
        <f t="shared" si="5"/>
        <v>216.821</v>
      </c>
      <c r="Z14" s="816">
        <f t="shared" si="5"/>
        <v>13.528</v>
      </c>
      <c r="AA14" s="816">
        <f t="shared" si="5"/>
        <v>3.7349999999999999</v>
      </c>
      <c r="AB14" s="816">
        <f t="shared" si="5"/>
        <v>0</v>
      </c>
      <c r="AC14" s="816">
        <f t="shared" si="5"/>
        <v>34.933999999999997</v>
      </c>
      <c r="AD14" s="816">
        <f t="shared" si="5"/>
        <v>84.736999999999995</v>
      </c>
      <c r="AE14" s="816">
        <v>0</v>
      </c>
      <c r="AF14" s="816">
        <v>0</v>
      </c>
      <c r="AG14" s="816">
        <f>(AC8)/1000</f>
        <v>0.52</v>
      </c>
      <c r="AH14" s="816">
        <f>(AD8)/1000</f>
        <v>1.2789999999999999</v>
      </c>
      <c r="AI14" s="816">
        <v>0</v>
      </c>
      <c r="AJ14" s="816">
        <f>(AE8)/1000</f>
        <v>0.35699999999999998</v>
      </c>
      <c r="AK14" s="816">
        <f>(AF8)/1000</f>
        <v>0.76900000000000002</v>
      </c>
      <c r="AL14" s="816">
        <v>0</v>
      </c>
      <c r="AM14" s="816">
        <v>0</v>
      </c>
      <c r="AN14" s="816">
        <v>0</v>
      </c>
      <c r="AO14" s="816">
        <f>(AG8)/1000</f>
        <v>18.652735011400001</v>
      </c>
      <c r="AP14" s="816">
        <f>(AH8)/1000</f>
        <v>25.248000000000001</v>
      </c>
      <c r="AQ14" s="816">
        <f>(AI8)/1000</f>
        <v>4.12</v>
      </c>
      <c r="AR14" s="816">
        <f>(AJ8)/1000</f>
        <v>0</v>
      </c>
      <c r="AS14" s="816">
        <v>0</v>
      </c>
      <c r="AT14" s="816">
        <f>(AK8)/1000</f>
        <v>372.685</v>
      </c>
      <c r="AU14" s="816">
        <v>0</v>
      </c>
      <c r="AV14" s="816">
        <f>(AL8)/1000</f>
        <v>0.5</v>
      </c>
      <c r="AW14" s="816">
        <f>(AM8)/1000</f>
        <v>16.16</v>
      </c>
      <c r="AX14" s="816"/>
      <c r="AY14" s="816"/>
      <c r="AZ14" s="816"/>
      <c r="BA14" s="816"/>
      <c r="BB14" s="816"/>
      <c r="BC14" s="816"/>
    </row>
    <row r="15" spans="2:55">
      <c r="B15" t="s">
        <v>52</v>
      </c>
      <c r="C15" s="509">
        <v>8770</v>
      </c>
      <c r="D15" s="509">
        <v>25245</v>
      </c>
      <c r="E15" s="509">
        <v>16160</v>
      </c>
      <c r="F15" s="509">
        <v>0</v>
      </c>
      <c r="G15" s="509">
        <v>0</v>
      </c>
      <c r="H15" s="509">
        <v>0</v>
      </c>
      <c r="K15" t="s">
        <v>52</v>
      </c>
      <c r="L15" s="509">
        <f t="shared" si="0"/>
        <v>25245</v>
      </c>
      <c r="M15" s="509">
        <f t="shared" si="1"/>
        <v>0</v>
      </c>
      <c r="N15" s="509">
        <f t="shared" si="2"/>
        <v>0</v>
      </c>
      <c r="O15" s="509">
        <f t="shared" si="3"/>
        <v>16160</v>
      </c>
      <c r="P15" s="509"/>
      <c r="Q15" s="665" t="s">
        <v>568</v>
      </c>
      <c r="R15" s="665" t="s">
        <v>932</v>
      </c>
      <c r="S15" s="724">
        <f ca="1">S13*'All Stock'!D$13/SUM('All Stock'!D$13:D$16)</f>
        <v>3.8506514872100999</v>
      </c>
      <c r="T15" s="724">
        <f ca="1">T13*'All Stock'!E$13/SUM('All Stock'!E$13:E$16)</f>
        <v>0.48935599739233171</v>
      </c>
      <c r="U15" s="724">
        <f ca="1">U13*'All Stock'!F$13/SUM('All Stock'!F$13:F$16)</f>
        <v>0</v>
      </c>
      <c r="V15" s="724">
        <f ca="1">V13*'All Stock'!G$13/SUM('All Stock'!G$13:G$16)</f>
        <v>7.7667858113629009</v>
      </c>
      <c r="W15" s="724">
        <f ca="1">W13*'All Stock'!H$13/SUM('All Stock'!H$13:H$16)</f>
        <v>0</v>
      </c>
      <c r="X15" s="724">
        <f ca="1">X13*'All Stock'!I$13/SUM('All Stock'!I$13:I$16)</f>
        <v>1.4784355747175515</v>
      </c>
      <c r="Y15" s="724">
        <f ca="1">Y13*'All Stock'!J$13/SUM('All Stock'!J$13:J$16)</f>
        <v>16.214429968408769</v>
      </c>
      <c r="Z15" s="724">
        <f ca="1">Z13*'All Stock'!K$13/SUM('All Stock'!K$13:K$16)</f>
        <v>11.048567898088278</v>
      </c>
      <c r="AA15" s="724">
        <f ca="1">AA13*'All Stock'!L$13/SUM('All Stock'!L$13:L$16)</f>
        <v>2.8543566141869725</v>
      </c>
      <c r="AB15" s="724">
        <f ca="1">AB13*'All Stock'!M$13/SUM('All Stock'!M$13:M$16)</f>
        <v>2.245876591934302</v>
      </c>
      <c r="AC15" s="724">
        <f ca="1">AC13*'All Stock'!N$13/SUM('All Stock'!N$13:N$16)</f>
        <v>38.458637692833101</v>
      </c>
      <c r="AD15" s="724">
        <f ca="1">AD13*'All Stock'!O$13/SUM('All Stock'!O$13:O$16)</f>
        <v>77.744467881663098</v>
      </c>
      <c r="AE15" s="724">
        <f ca="1">AE13*'All Stock'!P$13/SUM('All Stock'!P$13:P$16)</f>
        <v>0</v>
      </c>
      <c r="AF15" s="724">
        <f ca="1">AF13*'All Stock'!Q$13/SUM('All Stock'!Q$13:Q$16)</f>
        <v>0</v>
      </c>
      <c r="AG15" s="724">
        <f ca="1">AG13*'All Stock'!R$13/SUM('All Stock'!R$13:R$16)</f>
        <v>8.6959390093300545E-2</v>
      </c>
      <c r="AH15" s="724">
        <f ca="1">AH13*'All Stock'!S$13/SUM('All Stock'!S$13:S$16)</f>
        <v>0.10554019606712284</v>
      </c>
      <c r="AI15" s="724">
        <f ca="1">AI13*'All Stock'!T$13/SUM('All Stock'!T$13:T$16)</f>
        <v>0</v>
      </c>
      <c r="AJ15" s="724">
        <f ca="1">AJ13*'All Stock'!U$13/SUM('All Stock'!U$13:U$16)</f>
        <v>38.223030970157332</v>
      </c>
      <c r="AK15" s="724">
        <f ca="1">AK13*'All Stock'!V$13/SUM('All Stock'!V$13:V$16)</f>
        <v>3.7478109229556598E-2</v>
      </c>
      <c r="AL15" s="724">
        <f ca="1">AL13*'All Stock'!W$13/SUM('All Stock'!W$13:W$16)</f>
        <v>0</v>
      </c>
      <c r="AM15" s="724">
        <f ca="1">AM13*'All Stock'!X$13/SUM('All Stock'!X$13:X$16)</f>
        <v>0</v>
      </c>
      <c r="AN15" s="724">
        <f ca="1">AN13*'All Stock'!Y$13/SUM('All Stock'!Y$13:Y$16)</f>
        <v>0</v>
      </c>
      <c r="AO15" s="724">
        <f ca="1">AO13*'All Stock'!Z$13/SUM('All Stock'!Z$13:Z$16)</f>
        <v>0.49410211557968015</v>
      </c>
      <c r="AP15" s="724">
        <f ca="1">AP13*'All Stock'!AA$13/SUM('All Stock'!AA$13:AA$16)</f>
        <v>54.569744286686536</v>
      </c>
      <c r="AQ15" s="724">
        <f ca="1">AQ13*'All Stock'!AB$13/SUM('All Stock'!AB$13:AB$16)</f>
        <v>0.15235699265628661</v>
      </c>
      <c r="AR15" s="724">
        <f ca="1">AR13*'All Stock'!AC$13/SUM('All Stock'!AC$13:AC$16)</f>
        <v>5.1713956374040828</v>
      </c>
      <c r="AS15" s="724">
        <f ca="1">AS13*'All Stock'!AD$13/SUM('All Stock'!AD$13:AD$16)</f>
        <v>0</v>
      </c>
      <c r="AT15" s="724">
        <f ca="1">AT13*'All Stock'!AE$13/SUM('All Stock'!AE$13:AE$16)</f>
        <v>86.863651779180003</v>
      </c>
      <c r="AU15" s="724">
        <f ca="1">AU13*'All Stock'!AF$13/SUM('All Stock'!AF$13:AF$16)</f>
        <v>0</v>
      </c>
      <c r="AV15" s="724">
        <f ca="1">AV13*'All Stock'!AG$13/SUM('All Stock'!AG$13:AG$16)</f>
        <v>0.1477373419418242</v>
      </c>
      <c r="AW15" s="724">
        <f ca="1">AW13*'All Stock'!AH$13/SUM('All Stock'!AH$13:AH$16)</f>
        <v>3.0378772949379851</v>
      </c>
      <c r="AX15" s="724">
        <f ca="1">AX13*'All Stock'!AI$13/SUM('All Stock'!AI$13:AI$16)</f>
        <v>0</v>
      </c>
      <c r="AY15" s="724">
        <f ca="1">AY13*'All Stock'!AJ$13/SUM('All Stock'!AJ$13:AJ$16)</f>
        <v>0</v>
      </c>
      <c r="AZ15" s="724">
        <f ca="1">AZ13*'All Stock'!AK$13/SUM('All Stock'!AK$13:AK$16)</f>
        <v>0</v>
      </c>
      <c r="BA15" s="724">
        <f ca="1">BA13*'All Stock'!AL$13/SUM('All Stock'!AL$13:AL$16)</f>
        <v>0</v>
      </c>
      <c r="BB15" s="724">
        <f ca="1">BB13*'All Stock'!AM$13/SUM('All Stock'!AM$13:AM$16)</f>
        <v>0</v>
      </c>
      <c r="BC15" s="724">
        <f ca="1">BC13*'All Stock'!AN$13/SUM('All Stock'!AN$13:AN$16)</f>
        <v>0</v>
      </c>
    </row>
    <row r="16" spans="2:55">
      <c r="B16" t="s">
        <v>95</v>
      </c>
      <c r="C16" s="509">
        <v>4224</v>
      </c>
      <c r="D16" s="509">
        <v>4226</v>
      </c>
      <c r="E16" s="509">
        <v>13528</v>
      </c>
      <c r="F16" s="509">
        <v>42163</v>
      </c>
      <c r="G16" s="509">
        <v>0</v>
      </c>
      <c r="H16" s="509">
        <v>6580</v>
      </c>
      <c r="K16" t="s">
        <v>95</v>
      </c>
      <c r="L16" s="509">
        <f t="shared" si="0"/>
        <v>4226</v>
      </c>
      <c r="M16" s="509">
        <f t="shared" si="1"/>
        <v>42163</v>
      </c>
      <c r="N16" s="509">
        <f t="shared" si="2"/>
        <v>6580</v>
      </c>
      <c r="O16" s="509">
        <f t="shared" si="3"/>
        <v>13528</v>
      </c>
      <c r="P16" s="509"/>
      <c r="R16" t="s">
        <v>933</v>
      </c>
      <c r="S16" s="467">
        <f ca="1">S14*'All Stock'!D$13/SUM('All Stock'!D$13:D$16)</f>
        <v>12.65323749628603</v>
      </c>
      <c r="T16" s="467">
        <f ca="1">T14*'All Stock'!E$13/SUM('All Stock'!E$13:E$16)</f>
        <v>0.33212977384668846</v>
      </c>
      <c r="U16" s="467">
        <f ca="1">U14*'All Stock'!F$13/SUM('All Stock'!F$13:F$16)</f>
        <v>0</v>
      </c>
      <c r="V16" s="467">
        <f ca="1">V14*'All Stock'!G$13/SUM('All Stock'!G$13:G$16)</f>
        <v>5.9618055944386361</v>
      </c>
      <c r="W16" s="467">
        <f ca="1">W14*'All Stock'!H$13/SUM('All Stock'!H$13:H$16)</f>
        <v>0</v>
      </c>
      <c r="X16" s="467">
        <f ca="1">X14*'All Stock'!I$13/SUM('All Stock'!I$13:I$16)</f>
        <v>1.3298926339011128</v>
      </c>
      <c r="Y16" s="467">
        <f ca="1">Y14*'All Stock'!J$13/SUM('All Stock'!J$13:J$16)</f>
        <v>26.602797978854426</v>
      </c>
      <c r="Z16" s="467">
        <f ca="1">Z14*'All Stock'!K$13/SUM('All Stock'!K$13:K$16)</f>
        <v>3.2219928544555438</v>
      </c>
      <c r="AA16" s="467">
        <f ca="1">AA14*'All Stock'!L$13/SUM('All Stock'!L$13:L$16)</f>
        <v>0.29746155005547825</v>
      </c>
      <c r="AB16" s="467">
        <f ca="1">AB14*'All Stock'!M$13/SUM('All Stock'!M$13:M$16)</f>
        <v>0</v>
      </c>
      <c r="AC16" s="467">
        <f ca="1">AC14*'All Stock'!N$13/SUM('All Stock'!N$13:N$16)</f>
        <v>4.4154743723138727</v>
      </c>
      <c r="AD16" s="467">
        <f ca="1">AD14*'All Stock'!O$13/SUM('All Stock'!O$13:O$16)</f>
        <v>11.288195749213978</v>
      </c>
      <c r="AE16" s="467">
        <f ca="1">AE14*'All Stock'!P$13/SUM('All Stock'!P$13:P$16)</f>
        <v>0</v>
      </c>
      <c r="AF16" s="467">
        <f ca="1">AF14*'All Stock'!Q$13/SUM('All Stock'!Q$13:Q$16)</f>
        <v>0</v>
      </c>
      <c r="AG16" s="467">
        <f ca="1">AG14*'All Stock'!R$13/SUM('All Stock'!R$13:R$16)</f>
        <v>0.10466849416350237</v>
      </c>
      <c r="AH16" s="467">
        <f ca="1">AH14*'All Stock'!S$13/SUM('All Stock'!S$13:S$16)</f>
        <v>0.14561586922313927</v>
      </c>
      <c r="AI16" s="467">
        <f ca="1">AI14*'All Stock'!T$13/SUM('All Stock'!T$13:T$16)</f>
        <v>0</v>
      </c>
      <c r="AJ16" s="467">
        <f ca="1">AJ14*'All Stock'!U$13/SUM('All Stock'!U$13:U$16)</f>
        <v>1.904640744859127E-2</v>
      </c>
      <c r="AK16" s="467">
        <f ca="1">AK14*'All Stock'!V$13/SUM('All Stock'!V$13:V$16)</f>
        <v>9.5432668865990153E-2</v>
      </c>
      <c r="AL16" s="467">
        <f ca="1">AL14*'All Stock'!W$13/SUM('All Stock'!W$13:W$16)</f>
        <v>0</v>
      </c>
      <c r="AM16" s="467">
        <f ca="1">AM14*'All Stock'!X$13/SUM('All Stock'!X$13:X$16)</f>
        <v>0</v>
      </c>
      <c r="AN16" s="467">
        <f ca="1">AN14*'All Stock'!Y$13/SUM('All Stock'!Y$13:Y$16)</f>
        <v>0</v>
      </c>
      <c r="AO16" s="467">
        <f ca="1">AO14*'All Stock'!Z$13/SUM('All Stock'!Z$13:Z$16)</f>
        <v>1.0016945157819539</v>
      </c>
      <c r="AP16" s="467">
        <f ca="1">AP14*'All Stock'!AA$13/SUM('All Stock'!AA$13:AA$16)</f>
        <v>2.6237222588807985</v>
      </c>
      <c r="AQ16" s="467">
        <f ca="1">AQ14*'All Stock'!AB$13/SUM('All Stock'!AB$13:AB$16)</f>
        <v>0.52309234145325068</v>
      </c>
      <c r="AR16" s="467">
        <f ca="1">AR14*'All Stock'!AC$13/SUM('All Stock'!AC$13:AC$16)</f>
        <v>0</v>
      </c>
      <c r="AS16" s="467">
        <f ca="1">AS14*'All Stock'!AD$13/SUM('All Stock'!AD$13:AD$16)</f>
        <v>0</v>
      </c>
      <c r="AT16" s="467">
        <f ca="1">AT14*'All Stock'!AE$13/SUM('All Stock'!AE$13:AE$16)</f>
        <v>64.861272637031874</v>
      </c>
      <c r="AU16" s="467">
        <f ca="1">AU14*'All Stock'!AF$13/SUM('All Stock'!AF$13:AF$16)</f>
        <v>0</v>
      </c>
      <c r="AV16" s="467">
        <f ca="1">AV14*'All Stock'!AG$13/SUM('All Stock'!AG$13:AG$16)</f>
        <v>0.10426065062937487</v>
      </c>
      <c r="AW16" s="467">
        <f ca="1">AW14*'All Stock'!AH$13/SUM('All Stock'!AH$13:AH$16)</f>
        <v>1.9446265433233447</v>
      </c>
      <c r="AX16" s="467">
        <f ca="1">AX14*'All Stock'!AI$13/SUM('All Stock'!AI$13:AI$16)</f>
        <v>0</v>
      </c>
      <c r="AY16" s="467">
        <f ca="1">AY14*'All Stock'!AJ$13/SUM('All Stock'!AJ$13:AJ$16)</f>
        <v>0</v>
      </c>
      <c r="AZ16" s="467">
        <f ca="1">AZ14*'All Stock'!AK$13/SUM('All Stock'!AK$13:AK$16)</f>
        <v>0</v>
      </c>
      <c r="BA16" s="467">
        <f ca="1">BA14*'All Stock'!AL$13/SUM('All Stock'!AL$13:AL$16)</f>
        <v>0</v>
      </c>
      <c r="BB16" s="467">
        <f ca="1">BB14*'All Stock'!AM$13/SUM('All Stock'!AM$13:AM$16)</f>
        <v>0</v>
      </c>
      <c r="BC16" s="467">
        <f ca="1">BC14*'All Stock'!AN$13/SUM('All Stock'!AN$13:AN$16)</f>
        <v>0</v>
      </c>
    </row>
    <row r="17" spans="2:55">
      <c r="B17" t="s">
        <v>91</v>
      </c>
      <c r="C17" s="509">
        <v>478</v>
      </c>
      <c r="D17" s="509">
        <v>59579</v>
      </c>
      <c r="E17" s="509">
        <v>45733</v>
      </c>
      <c r="F17" s="509">
        <v>0</v>
      </c>
      <c r="G17" s="509">
        <v>0</v>
      </c>
      <c r="H17" s="509">
        <v>1487</v>
      </c>
      <c r="K17" t="s">
        <v>91</v>
      </c>
      <c r="L17" s="509">
        <f t="shared" si="0"/>
        <v>59579</v>
      </c>
      <c r="M17" s="509">
        <f t="shared" si="1"/>
        <v>0</v>
      </c>
      <c r="N17" s="509">
        <f t="shared" si="2"/>
        <v>1487</v>
      </c>
      <c r="O17" s="509">
        <f t="shared" si="3"/>
        <v>45733</v>
      </c>
      <c r="P17" s="509"/>
      <c r="Q17" t="s">
        <v>891</v>
      </c>
      <c r="R17" t="s">
        <v>932</v>
      </c>
      <c r="S17" s="467">
        <f ca="1">S13*'All Stock'!D$14/SUM('All Stock'!D$13:D$16)</f>
        <v>3.3882891807663227</v>
      </c>
      <c r="T17" s="467">
        <f ca="1">T13*'All Stock'!E$14/SUM('All Stock'!E$13:E$16)</f>
        <v>0.30567172394585662</v>
      </c>
      <c r="U17" s="467">
        <f ca="1">U13*'All Stock'!F$14/SUM('All Stock'!F$13:F$16)</f>
        <v>0</v>
      </c>
      <c r="V17" s="467">
        <f ca="1">V13*'All Stock'!G$14/SUM('All Stock'!G$13:G$16)</f>
        <v>6.8341984262608575</v>
      </c>
      <c r="W17" s="467">
        <f ca="1">W13*'All Stock'!H$14/SUM('All Stock'!H$13:H$16)</f>
        <v>0</v>
      </c>
      <c r="X17" s="467">
        <f ca="1">X13*'All Stock'!I$14/SUM('All Stock'!I$13:I$16)</f>
        <v>1.1197572220122605</v>
      </c>
      <c r="Y17" s="467">
        <f ca="1">Y13*'All Stock'!J$14/SUM('All Stock'!J$13:J$16)</f>
        <v>13.559280456527375</v>
      </c>
      <c r="Z17" s="467">
        <f ca="1">Z13*'All Stock'!K$14/SUM('All Stock'!K$13:K$16)</f>
        <v>6.7804894476782271</v>
      </c>
      <c r="AA17" s="467">
        <f ca="1">AA13*'All Stock'!L$14/SUM('All Stock'!L$13:L$16)</f>
        <v>3.2875343573053684</v>
      </c>
      <c r="AB17" s="467">
        <f ca="1">AB13*'All Stock'!M$14/SUM('All Stock'!M$13:M$16)</f>
        <v>3.9467768370316447</v>
      </c>
      <c r="AC17" s="467">
        <f ca="1">AC13*'All Stock'!N$14/SUM('All Stock'!N$13:N$16)</f>
        <v>57.988728364294921</v>
      </c>
      <c r="AD17" s="467">
        <f ca="1">AD13*'All Stock'!O$14/SUM('All Stock'!O$13:O$16)</f>
        <v>96.518449147186459</v>
      </c>
      <c r="AE17" s="467">
        <f ca="1">AE13*'All Stock'!P$14/SUM('All Stock'!P$13:P$16)</f>
        <v>0</v>
      </c>
      <c r="AF17" s="467">
        <f ca="1">AF13*'All Stock'!Q$14/SUM('All Stock'!Q$13:Q$16)</f>
        <v>0</v>
      </c>
      <c r="AG17" s="467">
        <f ca="1">AG13*'All Stock'!R$14/SUM('All Stock'!R$13:R$16)</f>
        <v>0.10721132167290742</v>
      </c>
      <c r="AH17" s="467">
        <f ca="1">AH13*'All Stock'!S$14/SUM('All Stock'!S$13:S$16)</f>
        <v>0.22290818077905006</v>
      </c>
      <c r="AI17" s="467">
        <f ca="1">AI13*'All Stock'!T$14/SUM('All Stock'!T$13:T$16)</f>
        <v>0</v>
      </c>
      <c r="AJ17" s="467">
        <f ca="1">AJ13*'All Stock'!U$14/SUM('All Stock'!U$13:U$16)</f>
        <v>27.801929756044775</v>
      </c>
      <c r="AK17" s="467">
        <f ca="1">AK13*'All Stock'!V$14/SUM('All Stock'!V$13:V$16)</f>
        <v>3.2925866166340516E-2</v>
      </c>
      <c r="AL17" s="467">
        <f ca="1">AL13*'All Stock'!W$14/SUM('All Stock'!W$13:W$16)</f>
        <v>0</v>
      </c>
      <c r="AM17" s="467">
        <f ca="1">AM13*'All Stock'!X$14/SUM('All Stock'!X$13:X$16)</f>
        <v>0</v>
      </c>
      <c r="AN17" s="467">
        <f ca="1">AN13*'All Stock'!Y$14/SUM('All Stock'!Y$13:Y$16)</f>
        <v>0</v>
      </c>
      <c r="AO17" s="467">
        <f ca="1">AO13*'All Stock'!Z$14/SUM('All Stock'!Z$13:Z$16)</f>
        <v>0.52822230616755061</v>
      </c>
      <c r="AP17" s="467">
        <f ca="1">AP13*'All Stock'!AA$14/SUM('All Stock'!AA$13:AA$16)</f>
        <v>68.423518166516757</v>
      </c>
      <c r="AQ17" s="467">
        <f ca="1">AQ13*'All Stock'!AB$14/SUM('All Stock'!AB$13:AB$16)</f>
        <v>0.20051762533481596</v>
      </c>
      <c r="AR17" s="467">
        <f ca="1">AR13*'All Stock'!AC$14/SUM('All Stock'!AC$13:AC$16)</f>
        <v>11.043627656790516</v>
      </c>
      <c r="AS17" s="467">
        <f ca="1">AS13*'All Stock'!AD$14/SUM('All Stock'!AD$13:AD$16)</f>
        <v>0</v>
      </c>
      <c r="AT17" s="467">
        <f ca="1">AT13*'All Stock'!AE$14/SUM('All Stock'!AE$13:AE$16)</f>
        <v>54.184991445911024</v>
      </c>
      <c r="AU17" s="467">
        <f ca="1">AU13*'All Stock'!AF$14/SUM('All Stock'!AF$13:AF$16)</f>
        <v>0</v>
      </c>
      <c r="AV17" s="467">
        <f ca="1">AV13*'All Stock'!AG$14/SUM('All Stock'!AG$13:AG$16)</f>
        <v>0.12037285052776685</v>
      </c>
      <c r="AW17" s="467">
        <f ca="1">AW13*'All Stock'!AH$14/SUM('All Stock'!AH$13:AH$16)</f>
        <v>1.5500176242387043</v>
      </c>
      <c r="AX17" s="467">
        <f ca="1">AX13*'All Stock'!AI$14/SUM('All Stock'!AI$13:AI$16)</f>
        <v>0</v>
      </c>
      <c r="AY17" s="467">
        <f ca="1">AY13*'All Stock'!AJ$14/SUM('All Stock'!AJ$13:AJ$16)</f>
        <v>0</v>
      </c>
      <c r="AZ17" s="467">
        <f ca="1">AZ13*'All Stock'!AK$14/SUM('All Stock'!AK$13:AK$16)</f>
        <v>0</v>
      </c>
      <c r="BA17" s="467">
        <f ca="1">BA13*'All Stock'!AL$14/SUM('All Stock'!AL$13:AL$16)</f>
        <v>0</v>
      </c>
      <c r="BB17" s="467">
        <f ca="1">BB13*'All Stock'!AM$14/SUM('All Stock'!AM$13:AM$16)</f>
        <v>0</v>
      </c>
      <c r="BC17" s="467">
        <f ca="1">BC13*'All Stock'!AN$14/SUM('All Stock'!AN$13:AN$16)</f>
        <v>0</v>
      </c>
    </row>
    <row r="18" spans="2:55">
      <c r="B18" t="s">
        <v>88</v>
      </c>
      <c r="C18" s="509">
        <v>4036</v>
      </c>
      <c r="D18" s="509">
        <v>21063</v>
      </c>
      <c r="E18" s="509">
        <v>69213</v>
      </c>
      <c r="F18" s="509">
        <v>0</v>
      </c>
      <c r="G18" s="509">
        <v>0</v>
      </c>
      <c r="H18" s="509">
        <v>80685</v>
      </c>
      <c r="K18" t="s">
        <v>88</v>
      </c>
      <c r="L18" s="509">
        <f t="shared" si="0"/>
        <v>21063</v>
      </c>
      <c r="M18" s="509">
        <f t="shared" si="1"/>
        <v>0</v>
      </c>
      <c r="N18" s="509">
        <f>H18</f>
        <v>80685</v>
      </c>
      <c r="O18" s="509">
        <f t="shared" si="3"/>
        <v>69213</v>
      </c>
      <c r="P18" s="509"/>
      <c r="R18" t="s">
        <v>933</v>
      </c>
      <c r="S18" s="467">
        <f ca="1">S14*'All Stock'!D$14/SUM('All Stock'!D$13:D$16)</f>
        <v>11.133915352436949</v>
      </c>
      <c r="T18" s="467">
        <f ca="1">T14*'All Stock'!E$14/SUM('All Stock'!E$13:E$16)</f>
        <v>0.20746180916644805</v>
      </c>
      <c r="U18" s="467">
        <f ca="1">U14*'All Stock'!F$14/SUM('All Stock'!F$13:F$16)</f>
        <v>0</v>
      </c>
      <c r="V18" s="467">
        <f ca="1">V14*'All Stock'!G$14/SUM('All Stock'!G$13:G$16)</f>
        <v>5.2459490194227456</v>
      </c>
      <c r="W18" s="467">
        <f ca="1">W14*'All Stock'!H$14/SUM('All Stock'!H$13:H$16)</f>
        <v>0</v>
      </c>
      <c r="X18" s="467">
        <f ca="1">X14*'All Stock'!I$14/SUM('All Stock'!I$13:I$16)</f>
        <v>1.007251791540646</v>
      </c>
      <c r="Y18" s="467">
        <f ca="1">Y14*'All Stock'!J$14/SUM('All Stock'!J$13:J$16)</f>
        <v>22.246529753215011</v>
      </c>
      <c r="Z18" s="467">
        <f ca="1">Z14*'All Stock'!K$14/SUM('All Stock'!K$13:K$16)</f>
        <v>1.9773321530576442</v>
      </c>
      <c r="AA18" s="467">
        <f ca="1">AA14*'All Stock'!L$14/SUM('All Stock'!L$13:L$16)</f>
        <v>0.34260437568458563</v>
      </c>
      <c r="AB18" s="467">
        <f ca="1">AB14*'All Stock'!M$14/SUM('All Stock'!M$13:M$16)</f>
        <v>0</v>
      </c>
      <c r="AC18" s="467">
        <f ca="1">AC14*'All Stock'!N$14/SUM('All Stock'!N$13:N$16)</f>
        <v>6.6577434702875644</v>
      </c>
      <c r="AD18" s="467">
        <f ca="1">AD14*'All Stock'!O$14/SUM('All Stock'!O$13:O$16)</f>
        <v>14.014105145621182</v>
      </c>
      <c r="AE18" s="467">
        <f ca="1">AE14*'All Stock'!P$14/SUM('All Stock'!P$13:P$16)</f>
        <v>0</v>
      </c>
      <c r="AF18" s="467">
        <f ca="1">AF14*'All Stock'!Q$14/SUM('All Stock'!Q$13:Q$16)</f>
        <v>0</v>
      </c>
      <c r="AG18" s="467">
        <f ca="1">AG14*'All Stock'!R$14/SUM('All Stock'!R$13:R$16)</f>
        <v>0.12904469068541238</v>
      </c>
      <c r="AH18" s="467">
        <f ca="1">AH14*'All Stock'!S$14/SUM('All Stock'!S$13:S$16)</f>
        <v>0.30755076938123521</v>
      </c>
      <c r="AI18" s="467">
        <f ca="1">AI14*'All Stock'!T$14/SUM('All Stock'!T$13:T$16)</f>
        <v>0</v>
      </c>
      <c r="AJ18" s="467">
        <f ca="1">AJ14*'All Stock'!U$14/SUM('All Stock'!U$13:U$16)</f>
        <v>1.3853607852401108E-2</v>
      </c>
      <c r="AK18" s="467">
        <f ca="1">AK14*'All Stock'!V$14/SUM('All Stock'!V$13:V$16)</f>
        <v>8.3841030072569073E-2</v>
      </c>
      <c r="AL18" s="467">
        <f ca="1">AL14*'All Stock'!W$14/SUM('All Stock'!W$13:W$16)</f>
        <v>0</v>
      </c>
      <c r="AM18" s="467">
        <f ca="1">AM14*'All Stock'!X$14/SUM('All Stock'!X$13:X$16)</f>
        <v>0</v>
      </c>
      <c r="AN18" s="467">
        <f ca="1">AN14*'All Stock'!Y$14/SUM('All Stock'!Y$13:Y$16)</f>
        <v>0</v>
      </c>
      <c r="AO18" s="467">
        <f ca="1">AO14*'All Stock'!Z$14/SUM('All Stock'!Z$13:Z$16)</f>
        <v>1.0708664677158315</v>
      </c>
      <c r="AP18" s="467">
        <f ca="1">AP14*'All Stock'!AA$14/SUM('All Stock'!AA$13:AA$16)</f>
        <v>3.289813980092692</v>
      </c>
      <c r="AQ18" s="467">
        <f ca="1">AQ14*'All Stock'!AB$14/SUM('All Stock'!AB$13:AB$16)</f>
        <v>0.68844384698286809</v>
      </c>
      <c r="AR18" s="467">
        <f ca="1">AR14*'All Stock'!AC$14/SUM('All Stock'!AC$13:AC$16)</f>
        <v>0</v>
      </c>
      <c r="AS18" s="467">
        <f ca="1">AS14*'All Stock'!AD$14/SUM('All Stock'!AD$13:AD$16)</f>
        <v>0</v>
      </c>
      <c r="AT18" s="467">
        <f ca="1">AT14*'All Stock'!AE$14/SUM('All Stock'!AE$13:AE$16)</f>
        <v>40.460047799312676</v>
      </c>
      <c r="AU18" s="467">
        <f ca="1">AU14*'All Stock'!AF$14/SUM('All Stock'!AF$13:AF$16)</f>
        <v>0</v>
      </c>
      <c r="AV18" s="467">
        <f ca="1">AV14*'All Stock'!AG$14/SUM('All Stock'!AG$13:AG$16)</f>
        <v>8.4949082941260995E-2</v>
      </c>
      <c r="AW18" s="467">
        <f ca="1">AW14*'All Stock'!AH$14/SUM('All Stock'!AH$13:AH$16)</f>
        <v>0.99220775629619573</v>
      </c>
      <c r="AX18" s="467">
        <f ca="1">AX14*'All Stock'!AI$14/SUM('All Stock'!AI$13:AI$16)</f>
        <v>0</v>
      </c>
      <c r="AY18" s="467">
        <f ca="1">AY14*'All Stock'!AJ$14/SUM('All Stock'!AJ$13:AJ$16)</f>
        <v>0</v>
      </c>
      <c r="AZ18" s="467">
        <f ca="1">AZ14*'All Stock'!AK$14/SUM('All Stock'!AK$13:AK$16)</f>
        <v>0</v>
      </c>
      <c r="BA18" s="467">
        <f ca="1">BA14*'All Stock'!AL$14/SUM('All Stock'!AL$13:AL$16)</f>
        <v>0</v>
      </c>
      <c r="BB18" s="467">
        <f ca="1">BB14*'All Stock'!AM$14/SUM('All Stock'!AM$13:AM$16)</f>
        <v>0</v>
      </c>
      <c r="BC18" s="467">
        <f ca="1">BC14*'All Stock'!AN$14/SUM('All Stock'!AN$13:AN$16)</f>
        <v>0</v>
      </c>
    </row>
    <row r="19" spans="2:55">
      <c r="B19" t="s">
        <v>97</v>
      </c>
      <c r="C19" s="509">
        <v>0</v>
      </c>
      <c r="D19" s="509">
        <v>0</v>
      </c>
      <c r="E19" s="509">
        <v>0</v>
      </c>
      <c r="F19" s="509">
        <v>67229.95</v>
      </c>
      <c r="G19" s="509">
        <v>3259</v>
      </c>
      <c r="H19" s="509">
        <v>0</v>
      </c>
      <c r="K19" t="s">
        <v>97</v>
      </c>
      <c r="L19" s="509">
        <f t="shared" si="0"/>
        <v>0</v>
      </c>
      <c r="M19" s="509">
        <f t="shared" si="1"/>
        <v>67229.95</v>
      </c>
      <c r="N19" s="509">
        <f t="shared" si="2"/>
        <v>0</v>
      </c>
      <c r="O19" s="509">
        <f t="shared" si="3"/>
        <v>0</v>
      </c>
      <c r="P19" s="509"/>
      <c r="Q19" t="s">
        <v>569</v>
      </c>
      <c r="R19" t="s">
        <v>932</v>
      </c>
      <c r="S19" s="467">
        <f ca="1">S13*'All Stock'!D$15/SUM('All Stock'!D$13:D$16)</f>
        <v>3.3546310412573681</v>
      </c>
      <c r="T19" s="467">
        <f ca="1">T13*'All Stock'!E$15/SUM('All Stock'!E$13:E$16)</f>
        <v>1.3264748234726105</v>
      </c>
      <c r="U19" s="467">
        <f ca="1">U13*'All Stock'!F$15/SUM('All Stock'!F$13:F$16)</f>
        <v>0</v>
      </c>
      <c r="V19" s="467">
        <f ca="1">V13*'All Stock'!G$15/SUM('All Stock'!G$13:G$16)</f>
        <v>16.380095762376239</v>
      </c>
      <c r="W19" s="467">
        <f ca="1">W13*'All Stock'!H$15/SUM('All Stock'!H$13:H$16)</f>
        <v>0</v>
      </c>
      <c r="X19" s="467">
        <f ca="1">X13*'All Stock'!I$15/SUM('All Stock'!I$13:I$16)</f>
        <v>1.5400578270938801</v>
      </c>
      <c r="Y19" s="467">
        <f ca="1">Y13*'All Stock'!J$15/SUM('All Stock'!J$13:J$16)</f>
        <v>31.127060898796874</v>
      </c>
      <c r="Z19" s="467">
        <f ca="1">Z13*'All Stock'!K$15/SUM('All Stock'!K$13:K$16)</f>
        <v>9.4921776411786656</v>
      </c>
      <c r="AA19" s="467">
        <f ca="1">AA13*'All Stock'!L$15/SUM('All Stock'!L$13:L$16)</f>
        <v>2.8493839825799205</v>
      </c>
      <c r="AB19" s="467">
        <f ca="1">AB13*'All Stock'!M$15/SUM('All Stock'!M$13:M$16)</f>
        <v>13.728566241420822</v>
      </c>
      <c r="AC19" s="467">
        <f ca="1">AC13*'All Stock'!N$15/SUM('All Stock'!N$13:N$16)</f>
        <v>72.897453052712734</v>
      </c>
      <c r="AD19" s="467">
        <f ca="1">AD13*'All Stock'!O$15/SUM('All Stock'!O$13:O$16)</f>
        <v>154.94417735823043</v>
      </c>
      <c r="AE19" s="467">
        <f ca="1">AE13*'All Stock'!P$15/SUM('All Stock'!P$13:P$16)</f>
        <v>0</v>
      </c>
      <c r="AF19" s="467">
        <f ca="1">AF13*'All Stock'!Q$15/SUM('All Stock'!Q$13:Q$16)</f>
        <v>0</v>
      </c>
      <c r="AG19" s="467">
        <f ca="1">AG13*'All Stock'!R$15/SUM('All Stock'!R$13:R$16)</f>
        <v>7.1712500746205152E-2</v>
      </c>
      <c r="AH19" s="467">
        <f ca="1">AH13*'All Stock'!S$15/SUM('All Stock'!S$13:S$16)</f>
        <v>0.4940406640703256</v>
      </c>
      <c r="AI19" s="467">
        <f ca="1">AI13*'All Stock'!T$15/SUM('All Stock'!T$13:T$16)</f>
        <v>0</v>
      </c>
      <c r="AJ19" s="467">
        <f ca="1">AJ13*'All Stock'!U$15/SUM('All Stock'!U$13:U$16)</f>
        <v>117.41939038239347</v>
      </c>
      <c r="AK19" s="467">
        <f ca="1">AK13*'All Stock'!V$15/SUM('All Stock'!V$13:V$16)</f>
        <v>3.5602010285425249E-2</v>
      </c>
      <c r="AL19" s="467">
        <f ca="1">AL13*'All Stock'!W$15/SUM('All Stock'!W$13:W$16)</f>
        <v>0</v>
      </c>
      <c r="AM19" s="467">
        <f ca="1">AM13*'All Stock'!X$15/SUM('All Stock'!X$13:X$16)</f>
        <v>0</v>
      </c>
      <c r="AN19" s="467">
        <f ca="1">AN13*'All Stock'!Y$15/SUM('All Stock'!Y$13:Y$16)</f>
        <v>0</v>
      </c>
      <c r="AO19" s="467">
        <f ca="1">AO13*'All Stock'!Z$15/SUM('All Stock'!Z$13:Z$16)</f>
        <v>5.3987564370663943</v>
      </c>
      <c r="AP19" s="467">
        <f ca="1">AP13*'All Stock'!AA$15/SUM('All Stock'!AA$13:AA$16)</f>
        <v>96.601380353483819</v>
      </c>
      <c r="AQ19" s="467">
        <f ca="1">AQ13*'All Stock'!AB$15/SUM('All Stock'!AB$13:AB$16)</f>
        <v>0.13241818486987195</v>
      </c>
      <c r="AR19" s="467">
        <f ca="1">AR13*'All Stock'!AC$15/SUM('All Stock'!AC$13:AC$16)</f>
        <v>13.089837154365222</v>
      </c>
      <c r="AS19" s="467">
        <f ca="1">AS13*'All Stock'!AD$15/SUM('All Stock'!AD$13:AD$16)</f>
        <v>0</v>
      </c>
      <c r="AT19" s="467">
        <f ca="1">AT13*'All Stock'!AE$15/SUM('All Stock'!AE$13:AE$16)</f>
        <v>67.667110954329715</v>
      </c>
      <c r="AU19" s="467">
        <f ca="1">AU13*'All Stock'!AF$15/SUM('All Stock'!AF$13:AF$16)</f>
        <v>0</v>
      </c>
      <c r="AV19" s="467">
        <f ca="1">AV13*'All Stock'!AG$15/SUM('All Stock'!AG$13:AG$16)</f>
        <v>7.9788303771010538E-2</v>
      </c>
      <c r="AW19" s="467">
        <f ca="1">AW13*'All Stock'!AH$15/SUM('All Stock'!AH$13:AH$16)</f>
        <v>15.928057779024511</v>
      </c>
      <c r="AX19" s="467">
        <f ca="1">AX13*'All Stock'!AI$15/SUM('All Stock'!AI$13:AI$16)</f>
        <v>0</v>
      </c>
      <c r="AY19" s="467">
        <f ca="1">AY13*'All Stock'!AJ$15/SUM('All Stock'!AJ$13:AJ$16)</f>
        <v>0</v>
      </c>
      <c r="AZ19" s="467">
        <f ca="1">AZ13*'All Stock'!AK$15/SUM('All Stock'!AK$13:AK$16)</f>
        <v>0</v>
      </c>
      <c r="BA19" s="467">
        <f ca="1">BA13*'All Stock'!AL$15/SUM('All Stock'!AL$13:AL$16)</f>
        <v>0</v>
      </c>
      <c r="BB19" s="467">
        <f ca="1">BB13*'All Stock'!AM$15/SUM('All Stock'!AM$13:AM$16)</f>
        <v>0</v>
      </c>
      <c r="BC19" s="467">
        <f ca="1">BC13*'All Stock'!AN$15/SUM('All Stock'!AN$13:AN$16)</f>
        <v>0</v>
      </c>
    </row>
    <row r="20" spans="2:55">
      <c r="B20" t="s">
        <v>98</v>
      </c>
      <c r="C20" s="509">
        <v>12707</v>
      </c>
      <c r="D20" s="509">
        <v>6326</v>
      </c>
      <c r="E20" s="509">
        <v>34934</v>
      </c>
      <c r="F20" s="509">
        <v>297948</v>
      </c>
      <c r="G20" s="509">
        <v>0</v>
      </c>
      <c r="H20" s="509">
        <v>0</v>
      </c>
      <c r="K20" t="s">
        <v>98</v>
      </c>
      <c r="L20" s="509">
        <f t="shared" si="0"/>
        <v>6326</v>
      </c>
      <c r="M20" s="509">
        <f t="shared" si="1"/>
        <v>297948</v>
      </c>
      <c r="N20" s="509">
        <f t="shared" si="2"/>
        <v>0</v>
      </c>
      <c r="O20" s="509">
        <f t="shared" si="3"/>
        <v>34934</v>
      </c>
      <c r="P20" s="509"/>
      <c r="R20" t="s">
        <v>933</v>
      </c>
      <c r="S20" s="467">
        <f ca="1">S14*'All Stock'!D$15/SUM('All Stock'!D$13:D$16)</f>
        <v>11.023314734774068</v>
      </c>
      <c r="T20" s="467">
        <f ca="1">T14*'All Stock'!E$15/SUM('All Stock'!E$13:E$16)</f>
        <v>0.90028892152326534</v>
      </c>
      <c r="U20" s="467">
        <f ca="1">U14*'All Stock'!F$15/SUM('All Stock'!F$13:F$16)</f>
        <v>0</v>
      </c>
      <c r="V20" s="467">
        <f ca="1">V14*'All Stock'!G$15/SUM('All Stock'!G$13:G$16)</f>
        <v>12.573405386138615</v>
      </c>
      <c r="W20" s="467">
        <f ca="1">W14*'All Stock'!H$15/SUM('All Stock'!H$13:H$16)</f>
        <v>0</v>
      </c>
      <c r="X20" s="467">
        <f ca="1">X14*'All Stock'!I$15/SUM('All Stock'!I$13:I$16)</f>
        <v>1.3853235102416872</v>
      </c>
      <c r="Y20" s="467">
        <f ca="1">Y14*'All Stock'!J$15/SUM('All Stock'!J$13:J$16)</f>
        <v>51.069751719890775</v>
      </c>
      <c r="Z20" s="467">
        <f ca="1">Z14*'All Stock'!K$15/SUM('All Stock'!K$13:K$16)</f>
        <v>2.7681169917408215</v>
      </c>
      <c r="AA20" s="467">
        <f ca="1">AA14*'All Stock'!L$15/SUM('All Stock'!L$13:L$16)</f>
        <v>0.29694333635424114</v>
      </c>
      <c r="AB20" s="467">
        <f ca="1">AB14*'All Stock'!M$15/SUM('All Stock'!M$13:M$16)</f>
        <v>0</v>
      </c>
      <c r="AC20" s="467">
        <f ca="1">AC14*'All Stock'!N$15/SUM('All Stock'!N$13:N$16)</f>
        <v>8.3694289520086045</v>
      </c>
      <c r="AD20" s="467">
        <f ca="1">AD14*'All Stock'!O$15/SUM('All Stock'!O$13:O$16)</f>
        <v>22.497294687036689</v>
      </c>
      <c r="AE20" s="467">
        <f ca="1">AE14*'All Stock'!P$15/SUM('All Stock'!P$13:P$16)</f>
        <v>0</v>
      </c>
      <c r="AF20" s="467">
        <f ca="1">AF14*'All Stock'!Q$15/SUM('All Stock'!Q$13:Q$16)</f>
        <v>0</v>
      </c>
      <c r="AG20" s="467">
        <f ca="1">AG14*'All Stock'!R$15/SUM('All Stock'!R$13:R$16)</f>
        <v>8.631660661086682E-2</v>
      </c>
      <c r="AH20" s="467">
        <f ca="1">AH14*'All Stock'!S$15/SUM('All Stock'!S$13:S$16)</f>
        <v>0.68163755053500152</v>
      </c>
      <c r="AI20" s="467">
        <f ca="1">AI14*'All Stock'!T$15/SUM('All Stock'!T$13:T$16)</f>
        <v>0</v>
      </c>
      <c r="AJ20" s="467">
        <f ca="1">AJ14*'All Stock'!U$15/SUM('All Stock'!U$13:U$16)</f>
        <v>5.8509686302333018E-2</v>
      </c>
      <c r="AK20" s="467">
        <f ca="1">AK14*'All Stock'!V$15/SUM('All Stock'!V$13:V$16)</f>
        <v>9.0655450031430537E-2</v>
      </c>
      <c r="AL20" s="467">
        <f ca="1">AL14*'All Stock'!W$15/SUM('All Stock'!W$13:W$16)</f>
        <v>0</v>
      </c>
      <c r="AM20" s="467">
        <f ca="1">AM14*'All Stock'!X$15/SUM('All Stock'!X$13:X$16)</f>
        <v>0</v>
      </c>
      <c r="AN20" s="467">
        <f ca="1">AN14*'All Stock'!Y$15/SUM('All Stock'!Y$13:Y$16)</f>
        <v>0</v>
      </c>
      <c r="AO20" s="467">
        <f ca="1">AO14*'All Stock'!Z$15/SUM('All Stock'!Z$13:Z$16)</f>
        <v>10.944913094952812</v>
      </c>
      <c r="AP20" s="467">
        <f ca="1">AP14*'All Stock'!AA$15/SUM('All Stock'!AA$13:AA$16)</f>
        <v>4.6446102173486192</v>
      </c>
      <c r="AQ20" s="467">
        <f ca="1">AQ14*'All Stock'!AB$15/SUM('All Stock'!AB$13:AB$16)</f>
        <v>0.45463576805322703</v>
      </c>
      <c r="AR20" s="467">
        <f ca="1">AR14*'All Stock'!AC$15/SUM('All Stock'!AC$13:AC$16)</f>
        <v>0</v>
      </c>
      <c r="AS20" s="467">
        <f ca="1">AS14*'All Stock'!AD$15/SUM('All Stock'!AD$13:AD$16)</f>
        <v>0</v>
      </c>
      <c r="AT20" s="467">
        <f ca="1">AT14*'All Stock'!AE$15/SUM('All Stock'!AE$13:AE$16)</f>
        <v>50.527174972179104</v>
      </c>
      <c r="AU20" s="467">
        <f ca="1">AU14*'All Stock'!AF$15/SUM('All Stock'!AF$13:AF$16)</f>
        <v>0</v>
      </c>
      <c r="AV20" s="467">
        <f ca="1">AV14*'All Stock'!AG$15/SUM('All Stock'!AG$13:AG$16)</f>
        <v>5.6307906683846533E-2</v>
      </c>
      <c r="AW20" s="467">
        <f ca="1">AW14*'All Stock'!AH$15/SUM('All Stock'!AH$13:AH$16)</f>
        <v>10.195975983720977</v>
      </c>
      <c r="AX20" s="467">
        <f ca="1">AX14*'All Stock'!AI$15/SUM('All Stock'!AI$13:AI$16)</f>
        <v>0</v>
      </c>
      <c r="AY20" s="467">
        <f ca="1">AY14*'All Stock'!AJ$15/SUM('All Stock'!AJ$13:AJ$16)</f>
        <v>0</v>
      </c>
      <c r="AZ20" s="467">
        <f ca="1">AZ14*'All Stock'!AK$15/SUM('All Stock'!AK$13:AK$16)</f>
        <v>0</v>
      </c>
      <c r="BA20" s="467">
        <f ca="1">BA14*'All Stock'!AL$15/SUM('All Stock'!AL$13:AL$16)</f>
        <v>0</v>
      </c>
      <c r="BB20" s="467">
        <f ca="1">BB14*'All Stock'!AM$15/SUM('All Stock'!AM$13:AM$16)</f>
        <v>0</v>
      </c>
      <c r="BC20" s="467">
        <f ca="1">BC14*'All Stock'!AN$15/SUM('All Stock'!AN$13:AN$16)</f>
        <v>0</v>
      </c>
    </row>
    <row r="21" spans="2:55">
      <c r="B21" t="s">
        <v>94</v>
      </c>
      <c r="C21" s="509">
        <v>0</v>
      </c>
      <c r="D21" s="509">
        <v>130781</v>
      </c>
      <c r="E21" s="509">
        <v>216821</v>
      </c>
      <c r="F21" s="509">
        <v>1371.6</v>
      </c>
      <c r="G21" s="509">
        <v>3313</v>
      </c>
      <c r="H21" s="509">
        <v>102515</v>
      </c>
      <c r="K21" t="s">
        <v>94</v>
      </c>
      <c r="L21" s="509">
        <f t="shared" si="0"/>
        <v>130781</v>
      </c>
      <c r="M21" s="509">
        <f t="shared" si="1"/>
        <v>1371.6</v>
      </c>
      <c r="N21" s="509">
        <f t="shared" si="2"/>
        <v>102515</v>
      </c>
      <c r="O21" s="509">
        <f t="shared" si="3"/>
        <v>216821</v>
      </c>
      <c r="P21" s="509"/>
      <c r="Q21" t="s">
        <v>567</v>
      </c>
      <c r="R21" t="s">
        <v>932</v>
      </c>
      <c r="S21" s="467">
        <f ca="1">S13*'All Stock'!D$16/SUM('All Stock'!D$13:D$16)</f>
        <v>10.469428290766206</v>
      </c>
      <c r="T21" s="467">
        <f ca="1">T13*'All Stock'!E$16/SUM('All Stock'!E$13:E$16)</f>
        <v>0.75749745518920109</v>
      </c>
      <c r="U21" s="467">
        <f ca="1">U13*'All Stock'!F$16/SUM('All Stock'!F$13:F$16)</f>
        <v>0</v>
      </c>
      <c r="V21" s="467">
        <f ca="1">V13*'All Stock'!G$16/SUM('All Stock'!G$13:G$16)</f>
        <v>28.597919999999998</v>
      </c>
      <c r="W21" s="467">
        <f ca="1">W13*'All Stock'!H$16/SUM('All Stock'!H$13:H$16)</f>
        <v>0</v>
      </c>
      <c r="X21" s="467">
        <f ca="1">X13*'All Stock'!I$16/SUM('All Stock'!I$13:I$16)</f>
        <v>5.5857493761763086</v>
      </c>
      <c r="Y21" s="467">
        <f ca="1">Y13*'All Stock'!J$16/SUM('All Stock'!J$13:J$16)</f>
        <v>71.251828676266996</v>
      </c>
      <c r="Z21" s="467">
        <f ca="1">Z13*'All Stock'!K$16/SUM('All Stock'!K$13:K$16)</f>
        <v>19.067765013054835</v>
      </c>
      <c r="AA21" s="467">
        <f ca="1">AA13*'All Stock'!L$16/SUM('All Stock'!L$13:L$16)</f>
        <v>26.84872504592774</v>
      </c>
      <c r="AB21" s="467">
        <f ca="1">AB13*'All Stock'!M$16/SUM('All Stock'!M$13:M$16)</f>
        <v>47.308730329613233</v>
      </c>
      <c r="AC21" s="467">
        <f ca="1">AC13*'All Stock'!N$16/SUM('All Stock'!N$13:N$16)</f>
        <v>134.92918089015924</v>
      </c>
      <c r="AD21" s="467">
        <f ca="1">AD13*'All Stock'!O$16/SUM('All Stock'!O$13:O$16)</f>
        <v>254.39662061292003</v>
      </c>
      <c r="AE21" s="467">
        <f ca="1">AE13*'All Stock'!P$16/SUM('All Stock'!P$13:P$16)</f>
        <v>0</v>
      </c>
      <c r="AF21" s="467">
        <f ca="1">AF13*'All Stock'!Q$16/SUM('All Stock'!Q$13:Q$16)</f>
        <v>0</v>
      </c>
      <c r="AG21" s="467">
        <f ca="1">AG13*'All Stock'!R$16/SUM('All Stock'!R$13:R$16)</f>
        <v>0.16613678748758687</v>
      </c>
      <c r="AH21" s="467">
        <f ca="1">AH13*'All Stock'!S$16/SUM('All Stock'!S$13:S$16)</f>
        <v>0.10451095908350147</v>
      </c>
      <c r="AI21" s="467">
        <f ca="1">AI13*'All Stock'!T$16/SUM('All Stock'!T$13:T$16)</f>
        <v>0</v>
      </c>
      <c r="AJ21" s="467">
        <f ca="1">AJ13*'All Stock'!U$16/SUM('All Stock'!U$13:U$16)</f>
        <v>532.99637889140445</v>
      </c>
      <c r="AK21" s="467">
        <f ca="1">AK13*'All Stock'!V$16/SUM('All Stock'!V$13:V$16)</f>
        <v>0.19599401431867763</v>
      </c>
      <c r="AL21" s="467">
        <f ca="1">AL13*'All Stock'!W$16/SUM('All Stock'!W$13:W$16)</f>
        <v>0</v>
      </c>
      <c r="AM21" s="467">
        <f ca="1">AM13*'All Stock'!X$16/SUM('All Stock'!X$13:X$16)</f>
        <v>0</v>
      </c>
      <c r="AN21" s="467">
        <f ca="1">AN13*'All Stock'!Y$16/SUM('All Stock'!Y$13:Y$16)</f>
        <v>0</v>
      </c>
      <c r="AO21" s="467">
        <f ca="1">AO13*'All Stock'!Z$16/SUM('All Stock'!Z$13:Z$16)</f>
        <v>2.7796841301863751</v>
      </c>
      <c r="AP21" s="467">
        <f ca="1">AP13*'All Stock'!AA$16/SUM('All Stock'!AA$13:AA$16)</f>
        <v>305.52835719331296</v>
      </c>
      <c r="AQ21" s="467">
        <f ca="1">AQ13*'All Stock'!AB$16/SUM('All Stock'!AB$13:AB$16)</f>
        <v>0.71470719713902542</v>
      </c>
      <c r="AR21" s="467">
        <f ca="1">AR13*'All Stock'!AC$16/SUM('All Stock'!AC$13:AC$16)</f>
        <v>20.364394551440174</v>
      </c>
      <c r="AS21" s="467">
        <f ca="1">AS13*'All Stock'!AD$16/SUM('All Stock'!AD$13:AD$16)</f>
        <v>0</v>
      </c>
      <c r="AT21" s="467">
        <f ca="1">AT13*'All Stock'!AE$16/SUM('All Stock'!AE$13:AE$16)</f>
        <v>290.39224582057926</v>
      </c>
      <c r="AU21" s="467">
        <f ca="1">AU13*'All Stock'!AF$16/SUM('All Stock'!AF$13:AF$16)</f>
        <v>0</v>
      </c>
      <c r="AV21" s="467">
        <f ca="1">AV13*'All Stock'!AG$16/SUM('All Stock'!AG$13:AG$16)</f>
        <v>0.36060150375939853</v>
      </c>
      <c r="AW21" s="467">
        <f ca="1">AW13*'All Stock'!AH$16/SUM('All Stock'!AH$13:AH$16)</f>
        <v>4.7290473017988015</v>
      </c>
      <c r="AX21" s="467">
        <f ca="1">AX13*'All Stock'!AI$16/SUM('All Stock'!AI$13:AI$16)</f>
        <v>0</v>
      </c>
      <c r="AY21" s="467">
        <f ca="1">AY13*'All Stock'!AJ$16/SUM('All Stock'!AJ$13:AJ$16)</f>
        <v>0</v>
      </c>
      <c r="AZ21" s="467">
        <f ca="1">AZ13*'All Stock'!AK$16/SUM('All Stock'!AK$13:AK$16)</f>
        <v>0</v>
      </c>
      <c r="BA21" s="467">
        <f ca="1">BA13*'All Stock'!AL$16/SUM('All Stock'!AL$13:AL$16)</f>
        <v>0</v>
      </c>
      <c r="BB21" s="467">
        <f ca="1">BB13*'All Stock'!AM$16/SUM('All Stock'!AM$13:AM$16)</f>
        <v>0</v>
      </c>
      <c r="BC21" s="467">
        <f ca="1">BC13*'All Stock'!AN$16/SUM('All Stock'!AN$13:AN$16)</f>
        <v>0</v>
      </c>
    </row>
    <row r="22" spans="2:55">
      <c r="B22" t="s">
        <v>109</v>
      </c>
      <c r="C22" s="509">
        <v>7632</v>
      </c>
      <c r="D22" s="509">
        <v>20941</v>
      </c>
      <c r="E22" s="509">
        <v>25248</v>
      </c>
      <c r="F22" s="509">
        <v>504182</v>
      </c>
      <c r="G22" s="509">
        <v>0</v>
      </c>
      <c r="H22" s="509">
        <v>0</v>
      </c>
      <c r="K22" t="s">
        <v>109</v>
      </c>
      <c r="L22" s="509">
        <f t="shared" si="0"/>
        <v>20941</v>
      </c>
      <c r="M22" s="509">
        <f t="shared" si="1"/>
        <v>504182</v>
      </c>
      <c r="N22" s="509">
        <f t="shared" si="2"/>
        <v>0</v>
      </c>
      <c r="O22" s="509">
        <f t="shared" si="3"/>
        <v>25248</v>
      </c>
      <c r="P22" s="509"/>
      <c r="Q22" s="815"/>
      <c r="R22" s="575" t="s">
        <v>933</v>
      </c>
      <c r="S22" s="816">
        <f ca="1">S14*'All Stock'!D$16/SUM('All Stock'!D$13:D$16)</f>
        <v>34.402532416502943</v>
      </c>
      <c r="T22" s="816">
        <f ca="1">T14*'All Stock'!E$16/SUM('All Stock'!E$13:E$16)</f>
        <v>0.51411949546359803</v>
      </c>
      <c r="U22" s="816">
        <f ca="1">U14*'All Stock'!F$16/SUM('All Stock'!F$13:F$16)</f>
        <v>0</v>
      </c>
      <c r="V22" s="816">
        <f ca="1">V14*'All Stock'!G$16/SUM('All Stock'!G$13:G$16)</f>
        <v>21.951839999999997</v>
      </c>
      <c r="W22" s="816">
        <f ca="1">W14*'All Stock'!H$16/SUM('All Stock'!H$13:H$16)</f>
        <v>0</v>
      </c>
      <c r="X22" s="816">
        <f ca="1">X14*'All Stock'!I$16/SUM('All Stock'!I$13:I$16)</f>
        <v>5.0245320643165536</v>
      </c>
      <c r="Y22" s="816">
        <f ca="1">Y14*'All Stock'!J$16/SUM('All Stock'!J$13:J$16)</f>
        <v>116.9019205480398</v>
      </c>
      <c r="Z22" s="816">
        <f ca="1">Z14*'All Stock'!K$16/SUM('All Stock'!K$13:K$16)</f>
        <v>5.5605580007459912</v>
      </c>
      <c r="AA22" s="816">
        <f ca="1">AA14*'All Stock'!L$16/SUM('All Stock'!L$13:L$16)</f>
        <v>2.7979907379056947</v>
      </c>
      <c r="AB22" s="816">
        <f ca="1">AB14*'All Stock'!M$16/SUM('All Stock'!M$13:M$16)</f>
        <v>0</v>
      </c>
      <c r="AC22" s="816">
        <f ca="1">AC14*'All Stock'!N$16/SUM('All Stock'!N$13:N$16)</f>
        <v>15.491353205389954</v>
      </c>
      <c r="AD22" s="816">
        <f ca="1">AD14*'All Stock'!O$16/SUM('All Stock'!O$13:O$16)</f>
        <v>36.93740441812816</v>
      </c>
      <c r="AE22" s="816">
        <f ca="1">AE14*'All Stock'!P$16/SUM('All Stock'!P$13:P$16)</f>
        <v>0</v>
      </c>
      <c r="AF22" s="816">
        <f ca="1">AF14*'All Stock'!Q$16/SUM('All Stock'!Q$13:Q$16)</f>
        <v>0</v>
      </c>
      <c r="AG22" s="816">
        <f ca="1">AG14*'All Stock'!R$16/SUM('All Stock'!R$13:R$16)</f>
        <v>0.19997020854021849</v>
      </c>
      <c r="AH22" s="816">
        <f ca="1">AH14*'All Stock'!S$16/SUM('All Stock'!S$13:S$16)</f>
        <v>0.14419581086062391</v>
      </c>
      <c r="AI22" s="816">
        <f ca="1">AI14*'All Stock'!T$16/SUM('All Stock'!T$13:T$16)</f>
        <v>0</v>
      </c>
      <c r="AJ22" s="816">
        <f ca="1">AJ14*'All Stock'!U$16/SUM('All Stock'!U$13:U$16)</f>
        <v>0.26559029839667458</v>
      </c>
      <c r="AK22" s="816">
        <f ca="1">AK14*'All Stock'!V$16/SUM('All Stock'!V$13:V$16)</f>
        <v>0.49907085103001031</v>
      </c>
      <c r="AL22" s="816">
        <f ca="1">AL14*'All Stock'!W$16/SUM('All Stock'!W$13:W$16)</f>
        <v>0</v>
      </c>
      <c r="AM22" s="816">
        <f ca="1">AM14*'All Stock'!X$16/SUM('All Stock'!X$13:X$16)</f>
        <v>0</v>
      </c>
      <c r="AN22" s="816">
        <f ca="1">AN14*'All Stock'!Y$16/SUM('All Stock'!Y$13:Y$16)</f>
        <v>0</v>
      </c>
      <c r="AO22" s="816">
        <f ca="1">AO14*'All Stock'!Z$16/SUM('All Stock'!Z$13:Z$16)</f>
        <v>5.6352609329494037</v>
      </c>
      <c r="AP22" s="816">
        <f ca="1">AP14*'All Stock'!AA$16/SUM('All Stock'!AA$13:AA$16)</f>
        <v>14.68985354367789</v>
      </c>
      <c r="AQ22" s="816">
        <f ca="1">AQ14*'All Stock'!AB$16/SUM('All Stock'!AB$13:AB$16)</f>
        <v>2.4538280435106539</v>
      </c>
      <c r="AR22" s="816">
        <f ca="1">AR14*'All Stock'!AC$16/SUM('All Stock'!AC$13:AC$16)</f>
        <v>0</v>
      </c>
      <c r="AS22" s="816">
        <f ca="1">AS14*'All Stock'!AD$16/SUM('All Stock'!AD$13:AD$16)</f>
        <v>0</v>
      </c>
      <c r="AT22" s="816">
        <f ca="1">AT14*'All Stock'!AE$16/SUM('All Stock'!AE$13:AE$16)</f>
        <v>216.83650459147637</v>
      </c>
      <c r="AU22" s="816">
        <f ca="1">AU14*'All Stock'!AF$16/SUM('All Stock'!AF$13:AF$16)</f>
        <v>0</v>
      </c>
      <c r="AV22" s="816">
        <f ca="1">AV14*'All Stock'!AG$16/SUM('All Stock'!AG$13:AG$16)</f>
        <v>0.25448235974551764</v>
      </c>
      <c r="AW22" s="816">
        <f ca="1">AW14*'All Stock'!AH$16/SUM('All Stock'!AH$13:AH$16)</f>
        <v>3.0271897166594823</v>
      </c>
      <c r="AX22" s="816">
        <f ca="1">AX14*'All Stock'!AI$16/SUM('All Stock'!AI$13:AI$16)</f>
        <v>0</v>
      </c>
      <c r="AY22" s="816">
        <f ca="1">AY14*'All Stock'!AJ$16/SUM('All Stock'!AJ$13:AJ$16)</f>
        <v>0</v>
      </c>
      <c r="AZ22" s="816">
        <f ca="1">AZ14*'All Stock'!AK$16/SUM('All Stock'!AK$13:AK$16)</f>
        <v>0</v>
      </c>
      <c r="BA22" s="816">
        <f ca="1">BA14*'All Stock'!AL$16/SUM('All Stock'!AL$13:AL$16)</f>
        <v>0</v>
      </c>
      <c r="BB22" s="816">
        <f ca="1">BB14*'All Stock'!AM$16/SUM('All Stock'!AM$13:AM$16)</f>
        <v>0</v>
      </c>
      <c r="BC22" s="816">
        <f ca="1">BC14*'All Stock'!AN$16/SUM('All Stock'!AN$13:AN$16)</f>
        <v>0</v>
      </c>
    </row>
    <row r="23" spans="2:55">
      <c r="B23" t="s">
        <v>103</v>
      </c>
      <c r="C23" s="509">
        <v>0</v>
      </c>
      <c r="D23" s="509">
        <v>1240</v>
      </c>
      <c r="E23" s="509">
        <v>357</v>
      </c>
      <c r="F23" s="509">
        <v>715200.73</v>
      </c>
      <c r="G23" s="509">
        <v>62038</v>
      </c>
      <c r="H23" s="509">
        <v>0</v>
      </c>
      <c r="K23" t="s">
        <v>103</v>
      </c>
      <c r="L23" s="509">
        <f t="shared" si="0"/>
        <v>1240</v>
      </c>
      <c r="M23" s="509">
        <f t="shared" si="1"/>
        <v>715200.73</v>
      </c>
      <c r="N23" s="509">
        <f t="shared" si="2"/>
        <v>0</v>
      </c>
      <c r="O23" s="509">
        <f t="shared" si="3"/>
        <v>357</v>
      </c>
      <c r="P23" s="509"/>
      <c r="Q23" s="509"/>
    </row>
    <row r="24" spans="2:55">
      <c r="B24" t="s">
        <v>99</v>
      </c>
      <c r="C24" s="509">
        <v>0</v>
      </c>
      <c r="D24" s="509">
        <v>366053</v>
      </c>
      <c r="E24" s="509">
        <v>84737</v>
      </c>
      <c r="F24" s="509">
        <v>217550.715</v>
      </c>
      <c r="G24" s="509">
        <v>33122</v>
      </c>
      <c r="H24" s="509">
        <v>29000</v>
      </c>
      <c r="K24" t="s">
        <v>99</v>
      </c>
      <c r="L24" s="509">
        <f t="shared" si="0"/>
        <v>366053</v>
      </c>
      <c r="M24" s="509">
        <f t="shared" si="1"/>
        <v>217550.715</v>
      </c>
      <c r="N24" s="509">
        <f t="shared" si="2"/>
        <v>29000</v>
      </c>
      <c r="O24" s="509">
        <f t="shared" si="3"/>
        <v>84737</v>
      </c>
      <c r="P24" s="509"/>
      <c r="Q24" s="509"/>
    </row>
    <row r="25" spans="2:55">
      <c r="B25" t="s">
        <v>113</v>
      </c>
      <c r="C25" s="509">
        <v>176180</v>
      </c>
      <c r="D25" s="509">
        <v>96565</v>
      </c>
      <c r="E25" s="509">
        <v>372685</v>
      </c>
      <c r="F25" s="509">
        <v>402543</v>
      </c>
      <c r="G25" s="509">
        <v>0</v>
      </c>
      <c r="H25" s="509">
        <v>0</v>
      </c>
      <c r="K25" t="s">
        <v>113</v>
      </c>
      <c r="L25" s="509">
        <f t="shared" si="0"/>
        <v>96565</v>
      </c>
      <c r="M25" s="509">
        <f t="shared" si="1"/>
        <v>402543</v>
      </c>
      <c r="N25" s="509">
        <f t="shared" si="2"/>
        <v>0</v>
      </c>
      <c r="O25" s="509">
        <f t="shared" si="3"/>
        <v>372685</v>
      </c>
      <c r="P25" s="509"/>
      <c r="Q25" s="509"/>
    </row>
    <row r="26" spans="2:55">
      <c r="R26" s="509"/>
    </row>
    <row r="27" spans="2:55">
      <c r="R27" s="509"/>
    </row>
    <row r="31" spans="2:55">
      <c r="R31" s="509"/>
    </row>
    <row r="32" spans="2:55">
      <c r="R32" s="509"/>
    </row>
    <row r="36" spans="18:18">
      <c r="R36" s="509"/>
    </row>
  </sheetData>
  <sortState xmlns:xlrd2="http://schemas.microsoft.com/office/spreadsheetml/2017/richdata2" ref="K29:O49">
    <sortCondition ref="K29:K49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A50"/>
  <sheetViews>
    <sheetView zoomScale="85" zoomScaleNormal="85" workbookViewId="0">
      <selection activeCell="C54" sqref="C54"/>
    </sheetView>
  </sheetViews>
  <sheetFormatPr defaultColWidth="9.109375" defaultRowHeight="14.4"/>
  <cols>
    <col min="1" max="1" width="9" style="5" customWidth="1"/>
    <col min="2" max="2" width="48.44140625" style="5" bestFit="1" customWidth="1"/>
    <col min="3" max="3" width="11.109375" style="5" bestFit="1" customWidth="1"/>
    <col min="4" max="16384" width="9.109375" style="5"/>
  </cols>
  <sheetData>
    <row r="1" spans="1:27" ht="21">
      <c r="A1" s="3" t="s">
        <v>861</v>
      </c>
      <c r="B1" s="6"/>
      <c r="D1" s="491" t="s">
        <v>864</v>
      </c>
      <c r="E1" s="491"/>
      <c r="F1" s="491"/>
      <c r="G1" s="491"/>
      <c r="H1" s="491"/>
      <c r="I1" s="491"/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5"/>
      <c r="U1" s="565"/>
      <c r="V1" s="565"/>
      <c r="W1" s="565"/>
      <c r="X1" s="565"/>
      <c r="Y1" s="565"/>
      <c r="Z1" s="565"/>
      <c r="AA1" s="565"/>
    </row>
    <row r="2" spans="1:27">
      <c r="A2" s="2" t="s">
        <v>169</v>
      </c>
      <c r="E2" s="5" t="s">
        <v>860</v>
      </c>
      <c r="F2" s="5">
        <v>3472.7920324482816</v>
      </c>
    </row>
    <row r="3" spans="1:27">
      <c r="A3" s="85" t="s">
        <v>192</v>
      </c>
      <c r="B3" s="85" t="s">
        <v>165</v>
      </c>
      <c r="C3" s="55" t="s">
        <v>518</v>
      </c>
      <c r="F3" s="162" t="s">
        <v>859</v>
      </c>
      <c r="H3" s="5" t="s">
        <v>863</v>
      </c>
    </row>
    <row r="4" spans="1:27">
      <c r="A4" s="94" t="s">
        <v>116</v>
      </c>
      <c r="B4" s="100" t="s">
        <v>200</v>
      </c>
      <c r="C4" s="513">
        <v>1663</v>
      </c>
      <c r="H4" s="556">
        <v>1</v>
      </c>
    </row>
    <row r="5" spans="1:27">
      <c r="A5" s="48" t="s">
        <v>88</v>
      </c>
      <c r="B5" s="44" t="s">
        <v>8</v>
      </c>
      <c r="C5" s="771">
        <v>3574</v>
      </c>
      <c r="E5" s="5" t="s">
        <v>88</v>
      </c>
      <c r="F5" s="5">
        <v>3703.6194164612243</v>
      </c>
      <c r="H5" s="556">
        <f>C5/F5</f>
        <v>0.9650019610856575</v>
      </c>
    </row>
    <row r="6" spans="1:27">
      <c r="A6" s="48" t="s">
        <v>117</v>
      </c>
      <c r="B6" s="44" t="s">
        <v>202</v>
      </c>
      <c r="C6" s="511">
        <v>2922</v>
      </c>
      <c r="H6" s="556">
        <v>1</v>
      </c>
    </row>
    <row r="7" spans="1:27">
      <c r="A7" s="48" t="s">
        <v>89</v>
      </c>
      <c r="B7" s="44" t="s">
        <v>11</v>
      </c>
      <c r="C7" s="771">
        <v>2872</v>
      </c>
      <c r="E7" s="5" t="s">
        <v>89</v>
      </c>
      <c r="F7" s="5">
        <v>3173.9964231972613</v>
      </c>
      <c r="H7" s="556">
        <f t="shared" ref="H7:H23" si="0">C7/F7</f>
        <v>0.90485294155024554</v>
      </c>
    </row>
    <row r="8" spans="1:27">
      <c r="A8" s="48" t="s">
        <v>90</v>
      </c>
      <c r="B8" s="44" t="s">
        <v>13</v>
      </c>
      <c r="C8" s="771">
        <v>2687</v>
      </c>
      <c r="E8" s="5" t="s">
        <v>90</v>
      </c>
      <c r="F8" s="5">
        <v>2595.6858712979592</v>
      </c>
      <c r="H8" s="556">
        <f t="shared" si="0"/>
        <v>1.0351791908688779</v>
      </c>
    </row>
    <row r="9" spans="1:27">
      <c r="A9" s="93" t="s">
        <v>91</v>
      </c>
      <c r="B9" s="44" t="s">
        <v>62</v>
      </c>
      <c r="C9" s="512">
        <v>3482</v>
      </c>
      <c r="H9" s="556">
        <v>1</v>
      </c>
    </row>
    <row r="10" spans="1:27">
      <c r="A10" s="48" t="s">
        <v>92</v>
      </c>
      <c r="B10" s="44" t="s">
        <v>15</v>
      </c>
      <c r="C10" s="771">
        <v>782</v>
      </c>
      <c r="E10" s="5" t="s">
        <v>92</v>
      </c>
      <c r="F10" s="5">
        <v>442.22934912566552</v>
      </c>
      <c r="H10" s="556">
        <f t="shared" si="0"/>
        <v>1.7683132102066432</v>
      </c>
    </row>
    <row r="11" spans="1:27">
      <c r="A11" s="48" t="s">
        <v>93</v>
      </c>
      <c r="B11" s="44" t="s">
        <v>80</v>
      </c>
      <c r="C11" s="771">
        <v>3571</v>
      </c>
      <c r="E11" s="5" t="s">
        <v>93</v>
      </c>
      <c r="F11" s="5">
        <v>3832.4707984375455</v>
      </c>
      <c r="H11" s="556">
        <f t="shared" si="0"/>
        <v>0.93177487522040769</v>
      </c>
    </row>
    <row r="12" spans="1:27">
      <c r="A12" s="48" t="s">
        <v>94</v>
      </c>
      <c r="B12" s="44" t="s">
        <v>81</v>
      </c>
      <c r="C12" s="771">
        <v>3239</v>
      </c>
      <c r="E12" s="5" t="s">
        <v>94</v>
      </c>
      <c r="F12" s="5">
        <v>3610.8122929618821</v>
      </c>
      <c r="H12" s="556">
        <f t="shared" si="0"/>
        <v>0.89702807490530301</v>
      </c>
    </row>
    <row r="13" spans="1:27">
      <c r="A13" s="48" t="s">
        <v>95</v>
      </c>
      <c r="B13" s="44" t="s">
        <v>20</v>
      </c>
      <c r="C13" s="771">
        <v>3503</v>
      </c>
      <c r="E13" s="5" t="s">
        <v>95</v>
      </c>
      <c r="F13" s="5">
        <v>3971.3354669794171</v>
      </c>
      <c r="H13" s="556">
        <f t="shared" si="0"/>
        <v>0.88207103860313485</v>
      </c>
    </row>
    <row r="14" spans="1:27">
      <c r="A14" s="48" t="s">
        <v>96</v>
      </c>
      <c r="B14" s="44" t="s">
        <v>22</v>
      </c>
      <c r="C14" s="771">
        <v>4445</v>
      </c>
      <c r="E14" s="5" t="s">
        <v>96</v>
      </c>
      <c r="F14" s="5">
        <v>4817.6351150026894</v>
      </c>
      <c r="H14" s="556">
        <f t="shared" si="0"/>
        <v>0.92265186007087596</v>
      </c>
    </row>
    <row r="15" spans="1:27">
      <c r="A15" s="48" t="s">
        <v>205</v>
      </c>
      <c r="B15" s="44" t="s">
        <v>28</v>
      </c>
      <c r="C15" s="771">
        <v>1663</v>
      </c>
      <c r="E15" s="5" t="s">
        <v>205</v>
      </c>
      <c r="F15" s="5">
        <v>1342.537330245241</v>
      </c>
      <c r="H15" s="556">
        <f t="shared" si="0"/>
        <v>1.2386992618642643</v>
      </c>
    </row>
    <row r="16" spans="1:27">
      <c r="A16" s="48" t="s">
        <v>97</v>
      </c>
      <c r="B16" s="44" t="s">
        <v>49</v>
      </c>
      <c r="C16" s="771">
        <v>1842</v>
      </c>
      <c r="E16" s="5" t="s">
        <v>97</v>
      </c>
      <c r="F16" s="5">
        <v>1913.0429546110331</v>
      </c>
      <c r="H16" s="556">
        <f t="shared" si="0"/>
        <v>0.96286389992456922</v>
      </c>
    </row>
    <row r="17" spans="1:8">
      <c r="A17" s="48" t="s">
        <v>98</v>
      </c>
      <c r="B17" s="44" t="s">
        <v>24</v>
      </c>
      <c r="C17" s="771">
        <v>5850</v>
      </c>
      <c r="E17" s="5" t="s">
        <v>98</v>
      </c>
      <c r="F17" s="5">
        <v>6058.3191670318356</v>
      </c>
      <c r="H17" s="556">
        <f t="shared" si="0"/>
        <v>0.96561436245131038</v>
      </c>
    </row>
    <row r="18" spans="1:8">
      <c r="A18" s="48" t="s">
        <v>99</v>
      </c>
      <c r="B18" s="44" t="s">
        <v>25</v>
      </c>
      <c r="C18" s="771">
        <v>2483</v>
      </c>
      <c r="E18" s="5" t="s">
        <v>99</v>
      </c>
      <c r="F18" s="5">
        <v>2707.4212745870177</v>
      </c>
      <c r="H18" s="556">
        <f>C18/F18</f>
        <v>0.91710884571472895</v>
      </c>
    </row>
    <row r="19" spans="1:8">
      <c r="A19" s="48" t="s">
        <v>118</v>
      </c>
      <c r="B19" s="44" t="s">
        <v>55</v>
      </c>
      <c r="C19" s="771">
        <v>2595</v>
      </c>
      <c r="E19" s="5" t="s">
        <v>118</v>
      </c>
      <c r="F19" s="5">
        <v>2433.508374885364</v>
      </c>
      <c r="H19" s="556">
        <f t="shared" si="0"/>
        <v>1.0663616475625417</v>
      </c>
    </row>
    <row r="20" spans="1:8">
      <c r="A20" s="48" t="s">
        <v>100</v>
      </c>
      <c r="B20" s="44" t="s">
        <v>30</v>
      </c>
      <c r="C20" s="771">
        <v>2922</v>
      </c>
      <c r="E20" s="5" t="s">
        <v>100</v>
      </c>
      <c r="F20" s="5">
        <v>2936.4712717551874</v>
      </c>
      <c r="H20" s="556">
        <f t="shared" si="0"/>
        <v>0.99507188376253464</v>
      </c>
    </row>
    <row r="21" spans="1:8">
      <c r="A21" s="48" t="s">
        <v>101</v>
      </c>
      <c r="B21" s="44" t="s">
        <v>31</v>
      </c>
      <c r="C21" s="771">
        <v>2906</v>
      </c>
      <c r="E21" s="5" t="s">
        <v>101</v>
      </c>
      <c r="F21" s="5">
        <v>3125.3343785685656</v>
      </c>
      <c r="H21" s="556">
        <f t="shared" si="0"/>
        <v>0.92982050814382844</v>
      </c>
    </row>
    <row r="22" spans="1:8">
      <c r="A22" s="93" t="s">
        <v>102</v>
      </c>
      <c r="B22" s="44" t="s">
        <v>63</v>
      </c>
      <c r="C22" s="511">
        <v>4976</v>
      </c>
      <c r="H22" s="556">
        <v>1</v>
      </c>
    </row>
    <row r="23" spans="1:8">
      <c r="A23" s="48" t="s">
        <v>103</v>
      </c>
      <c r="B23" s="44" t="s">
        <v>33</v>
      </c>
      <c r="C23" s="771">
        <v>1971</v>
      </c>
      <c r="E23" s="5" t="s">
        <v>103</v>
      </c>
      <c r="F23" s="5">
        <v>1992.3128252170713</v>
      </c>
      <c r="H23" s="556">
        <f t="shared" si="0"/>
        <v>0.98930247050196585</v>
      </c>
    </row>
    <row r="24" spans="1:8">
      <c r="A24" s="48" t="s">
        <v>122</v>
      </c>
      <c r="B24" s="44" t="s">
        <v>201</v>
      </c>
      <c r="C24" s="511">
        <v>2687</v>
      </c>
      <c r="H24" s="556">
        <v>1</v>
      </c>
    </row>
    <row r="25" spans="1:8">
      <c r="A25" s="48" t="s">
        <v>104</v>
      </c>
      <c r="B25" s="44" t="s">
        <v>36</v>
      </c>
      <c r="C25" s="771">
        <v>4094</v>
      </c>
      <c r="E25" s="5" t="s">
        <v>104</v>
      </c>
      <c r="F25" s="5">
        <v>4409.3800246969531</v>
      </c>
      <c r="H25" s="556">
        <f t="shared" ref="H25:H27" si="1">C25/F25</f>
        <v>0.92847519993048722</v>
      </c>
    </row>
    <row r="26" spans="1:8">
      <c r="A26" s="48" t="s">
        <v>105</v>
      </c>
      <c r="B26" s="44" t="s">
        <v>38</v>
      </c>
      <c r="C26" s="771">
        <v>3210</v>
      </c>
      <c r="E26" s="5" t="s">
        <v>105</v>
      </c>
      <c r="F26" s="5">
        <v>3357.7400493078612</v>
      </c>
      <c r="H26" s="556">
        <f t="shared" si="1"/>
        <v>0.95600015274013983</v>
      </c>
    </row>
    <row r="27" spans="1:8">
      <c r="A27" s="48" t="s">
        <v>106</v>
      </c>
      <c r="B27" s="44" t="s">
        <v>35</v>
      </c>
      <c r="C27" s="771">
        <v>4265</v>
      </c>
      <c r="E27" s="5" t="s">
        <v>106</v>
      </c>
      <c r="F27" s="5">
        <v>4622.2537690168401</v>
      </c>
      <c r="H27" s="556">
        <f t="shared" si="1"/>
        <v>0.92271004863222206</v>
      </c>
    </row>
    <row r="28" spans="1:8">
      <c r="A28" s="48" t="s">
        <v>119</v>
      </c>
      <c r="B28" s="44" t="s">
        <v>204</v>
      </c>
      <c r="C28" s="511">
        <v>2595</v>
      </c>
      <c r="H28" s="556">
        <v>1</v>
      </c>
    </row>
    <row r="29" spans="1:8">
      <c r="A29" s="48" t="s">
        <v>120</v>
      </c>
      <c r="B29" s="44" t="s">
        <v>203</v>
      </c>
      <c r="C29" s="511">
        <v>2687</v>
      </c>
      <c r="H29" s="556">
        <v>1</v>
      </c>
    </row>
    <row r="30" spans="1:8">
      <c r="A30" s="48" t="s">
        <v>107</v>
      </c>
      <c r="B30" s="44" t="s">
        <v>39</v>
      </c>
      <c r="C30" s="771">
        <v>560</v>
      </c>
      <c r="E30" s="5" t="s">
        <v>107</v>
      </c>
      <c r="F30" s="5">
        <v>384.71603618408568</v>
      </c>
      <c r="H30" s="556">
        <f t="shared" ref="H30:H31" si="2">C30/F30</f>
        <v>1.4556190731078373</v>
      </c>
    </row>
    <row r="31" spans="1:8">
      <c r="A31" s="48" t="s">
        <v>108</v>
      </c>
      <c r="B31" s="44" t="s">
        <v>41</v>
      </c>
      <c r="C31" s="771">
        <v>2902</v>
      </c>
      <c r="E31" s="5" t="s">
        <v>108</v>
      </c>
      <c r="F31" s="5">
        <v>3299.8192701266917</v>
      </c>
      <c r="H31" s="556">
        <f t="shared" si="2"/>
        <v>0.8794421034727099</v>
      </c>
    </row>
    <row r="32" spans="1:8">
      <c r="A32" s="93" t="s">
        <v>109</v>
      </c>
      <c r="B32" s="44" t="s">
        <v>64</v>
      </c>
      <c r="C32" s="512">
        <v>5646</v>
      </c>
      <c r="H32" s="556">
        <v>1</v>
      </c>
    </row>
    <row r="33" spans="1:8">
      <c r="A33" s="48" t="s">
        <v>110</v>
      </c>
      <c r="B33" s="44" t="s">
        <v>42</v>
      </c>
      <c r="C33" s="771">
        <v>3616</v>
      </c>
      <c r="E33" s="5" t="s">
        <v>110</v>
      </c>
      <c r="F33" s="5">
        <v>3880.5917978341636</v>
      </c>
      <c r="H33" s="556">
        <f t="shared" ref="H33:H35" si="3">C33/F33</f>
        <v>0.93181663735365372</v>
      </c>
    </row>
    <row r="34" spans="1:8">
      <c r="A34" s="48" t="s">
        <v>111</v>
      </c>
      <c r="B34" s="44" t="s">
        <v>43</v>
      </c>
      <c r="C34" s="771">
        <v>1282</v>
      </c>
      <c r="E34" s="5" t="s">
        <v>111</v>
      </c>
      <c r="F34" s="5">
        <v>1289.7501560949222</v>
      </c>
      <c r="H34" s="556">
        <f t="shared" si="3"/>
        <v>0.99399096324330916</v>
      </c>
    </row>
    <row r="35" spans="1:8">
      <c r="A35" s="48" t="s">
        <v>112</v>
      </c>
      <c r="B35" s="44" t="s">
        <v>44</v>
      </c>
      <c r="C35" s="771">
        <v>3129</v>
      </c>
      <c r="E35" s="5" t="s">
        <v>112</v>
      </c>
      <c r="F35" s="5">
        <v>2988.3312138375577</v>
      </c>
      <c r="H35" s="556">
        <f t="shared" si="3"/>
        <v>1.0470726891018878</v>
      </c>
    </row>
    <row r="36" spans="1:8">
      <c r="A36" s="48" t="s">
        <v>121</v>
      </c>
      <c r="B36" s="44" t="s">
        <v>53</v>
      </c>
      <c r="C36" s="511">
        <v>2687</v>
      </c>
      <c r="H36" s="556">
        <v>1</v>
      </c>
    </row>
    <row r="37" spans="1:8">
      <c r="A37" s="48" t="s">
        <v>113</v>
      </c>
      <c r="B37" s="44" t="s">
        <v>51</v>
      </c>
      <c r="C37" s="771">
        <v>5444</v>
      </c>
      <c r="E37" s="5" t="s">
        <v>113</v>
      </c>
      <c r="F37" s="5">
        <v>5873.8726577690404</v>
      </c>
      <c r="H37" s="556">
        <f t="shared" ref="H37:H40" si="4">C37/F37</f>
        <v>0.92681614280478619</v>
      </c>
    </row>
    <row r="38" spans="1:8">
      <c r="A38" s="48" t="s">
        <v>114</v>
      </c>
      <c r="B38" s="48" t="s">
        <v>47</v>
      </c>
      <c r="C38" s="771">
        <v>3053</v>
      </c>
      <c r="E38" s="5" t="s">
        <v>114</v>
      </c>
      <c r="F38" s="5">
        <v>3040.8782091287217</v>
      </c>
      <c r="H38" s="556">
        <f t="shared" si="4"/>
        <v>1.0039862796329326</v>
      </c>
    </row>
    <row r="39" spans="1:8">
      <c r="A39" s="48" t="s">
        <v>115</v>
      </c>
      <c r="B39" s="48" t="s">
        <v>45</v>
      </c>
      <c r="C39" s="771">
        <v>3453</v>
      </c>
      <c r="E39" s="5" t="s">
        <v>115</v>
      </c>
      <c r="F39" s="5">
        <v>3467.4437171036229</v>
      </c>
      <c r="H39" s="556">
        <f t="shared" si="4"/>
        <v>0.99583447684172133</v>
      </c>
    </row>
    <row r="40" spans="1:8">
      <c r="A40" s="49" t="s">
        <v>52</v>
      </c>
      <c r="B40" s="49" t="s">
        <v>82</v>
      </c>
      <c r="C40" s="772">
        <v>3115</v>
      </c>
      <c r="E40" s="5" t="s">
        <v>52</v>
      </c>
      <c r="F40" s="5">
        <v>3403.3134369591617</v>
      </c>
      <c r="H40" s="556">
        <f t="shared" si="4"/>
        <v>0.91528448898413306</v>
      </c>
    </row>
    <row r="42" spans="1:8">
      <c r="A42" t="s">
        <v>234</v>
      </c>
    </row>
    <row r="43" spans="1:8">
      <c r="A43" s="207" t="s">
        <v>235</v>
      </c>
    </row>
    <row r="44" spans="1:8">
      <c r="A44" s="5" t="s">
        <v>185</v>
      </c>
    </row>
    <row r="45" spans="1:8">
      <c r="A45" s="5" t="s">
        <v>183</v>
      </c>
    </row>
    <row r="46" spans="1:8">
      <c r="A46" s="5" t="s">
        <v>179</v>
      </c>
    </row>
    <row r="47" spans="1:8">
      <c r="A47" s="5" t="s">
        <v>180</v>
      </c>
    </row>
    <row r="48" spans="1:8">
      <c r="A48" s="5" t="s">
        <v>181</v>
      </c>
    </row>
    <row r="49" spans="1:1">
      <c r="A49" s="5" t="s">
        <v>182</v>
      </c>
    </row>
    <row r="50" spans="1:1">
      <c r="A50" s="5" t="s">
        <v>184</v>
      </c>
    </row>
  </sheetData>
  <sortState xmlns:xlrd2="http://schemas.microsoft.com/office/spreadsheetml/2017/richdata2" ref="A4:C41">
    <sortCondition ref="A4:A41"/>
  </sortState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>
    <tabColor theme="8"/>
  </sheetPr>
  <dimension ref="A2:AW139"/>
  <sheetViews>
    <sheetView zoomScale="71" zoomScaleNormal="85" workbookViewId="0">
      <selection activeCell="D20" sqref="D20"/>
    </sheetView>
  </sheetViews>
  <sheetFormatPr defaultColWidth="8.88671875" defaultRowHeight="14.4"/>
  <cols>
    <col min="1" max="1" width="19" customWidth="1"/>
    <col min="2" max="2" width="2" bestFit="1" customWidth="1"/>
    <col min="3" max="3" width="20.33203125" bestFit="1" customWidth="1"/>
    <col min="4" max="4" width="12" bestFit="1" customWidth="1"/>
    <col min="5" max="5" width="21.44140625" bestFit="1" customWidth="1"/>
    <col min="6" max="6" width="9" bestFit="1" customWidth="1"/>
    <col min="7" max="42" width="8.88671875" bestFit="1" customWidth="1"/>
  </cols>
  <sheetData>
    <row r="2" spans="1:49">
      <c r="E2" s="533" t="s">
        <v>598</v>
      </c>
    </row>
    <row r="3" spans="1:49" ht="15" thickBot="1">
      <c r="C3" s="539" t="s">
        <v>545</v>
      </c>
      <c r="D3" s="539" t="s">
        <v>585</v>
      </c>
      <c r="E3" s="539" t="s">
        <v>592</v>
      </c>
      <c r="F3" s="540" t="str">
        <f>'All Stock'!D$2</f>
        <v>AT</v>
      </c>
      <c r="G3" s="540" t="str">
        <f>'All Stock'!E$2</f>
        <v>BE</v>
      </c>
      <c r="H3" s="540" t="str">
        <f>'All Stock'!F$2</f>
        <v>BG</v>
      </c>
      <c r="I3" s="540" t="str">
        <f>'All Stock'!G$2</f>
        <v>CH</v>
      </c>
      <c r="J3" s="540" t="str">
        <f>'All Stock'!H$2</f>
        <v>CY</v>
      </c>
      <c r="K3" s="540" t="str">
        <f>'All Stock'!I$2</f>
        <v>CZ</v>
      </c>
      <c r="L3" s="540" t="str">
        <f>'All Stock'!J$2</f>
        <v>DE</v>
      </c>
      <c r="M3" s="540" t="str">
        <f>'All Stock'!K$2</f>
        <v>DK</v>
      </c>
      <c r="N3" s="540" t="str">
        <f>'All Stock'!L$2</f>
        <v>EE</v>
      </c>
      <c r="O3" s="540" t="str">
        <f>'All Stock'!M$2</f>
        <v>ES</v>
      </c>
      <c r="P3" s="540" t="str">
        <f>'All Stock'!N$2</f>
        <v>FI</v>
      </c>
      <c r="Q3" s="540" t="str">
        <f>'All Stock'!O$2</f>
        <v>FR</v>
      </c>
      <c r="R3" s="540" t="str">
        <f>'All Stock'!P$2</f>
        <v>EL</v>
      </c>
      <c r="S3" s="540" t="str">
        <f>'All Stock'!Q$2</f>
        <v>HR</v>
      </c>
      <c r="T3" s="540" t="str">
        <f>'All Stock'!R$2</f>
        <v>HU</v>
      </c>
      <c r="U3" s="540" t="str">
        <f>'All Stock'!S$2</f>
        <v>IE</v>
      </c>
      <c r="V3" s="540" t="str">
        <f>'All Stock'!T$2</f>
        <v>IS</v>
      </c>
      <c r="W3" s="540" t="str">
        <f>'All Stock'!U$2</f>
        <v>IT</v>
      </c>
      <c r="X3" s="540" t="str">
        <f>'All Stock'!V$2</f>
        <v>LT</v>
      </c>
      <c r="Y3" s="540" t="str">
        <f>'All Stock'!W$2</f>
        <v>LU</v>
      </c>
      <c r="Z3" s="540" t="str">
        <f>'All Stock'!X$2</f>
        <v>LV</v>
      </c>
      <c r="AA3" s="540" t="str">
        <f>'All Stock'!Y$2</f>
        <v>MT</v>
      </c>
      <c r="AB3" s="540" t="str">
        <f>'All Stock'!Z$2</f>
        <v>NL</v>
      </c>
      <c r="AC3" s="540" t="str">
        <f>'All Stock'!AA$2</f>
        <v>NO</v>
      </c>
      <c r="AD3" s="540" t="str">
        <f>'All Stock'!AB$2</f>
        <v>PL</v>
      </c>
      <c r="AE3" s="540" t="str">
        <f>'All Stock'!AC$2</f>
        <v>PT</v>
      </c>
      <c r="AF3" s="540" t="str">
        <f>'All Stock'!AD$2</f>
        <v>RO</v>
      </c>
      <c r="AG3" s="540" t="str">
        <f>'All Stock'!AE$2</f>
        <v>SE</v>
      </c>
      <c r="AH3" s="540" t="str">
        <f>'All Stock'!AF$2</f>
        <v>SI</v>
      </c>
      <c r="AI3" s="540" t="str">
        <f>'All Stock'!AG$2</f>
        <v>SK</v>
      </c>
      <c r="AJ3" s="540" t="str">
        <f>'All Stock'!AH$2</f>
        <v>UK</v>
      </c>
      <c r="AK3" s="540" t="str">
        <f>'All Stock'!AI$2</f>
        <v>AL</v>
      </c>
      <c r="AL3" s="540" t="str">
        <f>'All Stock'!AJ$2</f>
        <v>BA</v>
      </c>
      <c r="AM3" s="540" t="str">
        <f>'All Stock'!AK$2</f>
        <v>ME</v>
      </c>
      <c r="AN3" s="540" t="str">
        <f>'All Stock'!AL$2</f>
        <v>MK</v>
      </c>
      <c r="AO3" s="540" t="str">
        <f>'All Stock'!AM$2</f>
        <v>RS</v>
      </c>
      <c r="AP3" s="540" t="str">
        <f>'All Stock'!AN$2</f>
        <v>KS</v>
      </c>
      <c r="AR3" s="542" t="s">
        <v>749</v>
      </c>
    </row>
    <row r="4" spans="1:49">
      <c r="A4" t="str">
        <f>TechComm!T23</f>
        <v>Electricity</v>
      </c>
      <c r="C4" t="str">
        <f>TechComm!L48</f>
        <v>R_ES-WH-FL_ELC</v>
      </c>
      <c r="D4" t="s">
        <v>976</v>
      </c>
      <c r="E4" t="str">
        <f>TechComm!C19</f>
        <v>R_ES-FL-WatHeat</v>
      </c>
      <c r="F4" s="694">
        <f ca="1">IFERROR('All Stock'!D$16*VLOOKUP($A4,'IDEES okt 2017 template'!$C$183:$AH$190,'IDEES okt 2017 template'!D$162,FALSE),"")*$AR$4/1000</f>
        <v>0.73469959201092006</v>
      </c>
      <c r="G4" s="694">
        <f ca="1">IFERROR('All Stock'!E$16*VLOOKUP($A4,'IDEES okt 2017 template'!$C$183:$AH$190,'IDEES okt 2017 template'!E$162,FALSE),"")*$AR$4/1000</f>
        <v>0.29397677113181209</v>
      </c>
      <c r="H4" s="694">
        <f ca="1">IFERROR('All Stock'!F$16*VLOOKUP($A4,'IDEES okt 2017 template'!$C$183:$AH$190,'IDEES okt 2017 template'!F$162,FALSE),"")*$AR$4/1000</f>
        <v>1.0075198367235776</v>
      </c>
      <c r="I4" s="694">
        <f ca="1">IFERROR('All Stock'!G$16*VLOOKUP($A4,'IDEES okt 2017 template'!$C$183:$AH$190,'IDEES okt 2017 template'!G$162,FALSE),"")*$AR$4/1000</f>
        <v>0.84655164017757289</v>
      </c>
      <c r="J4" s="694">
        <f ca="1">IFERROR('All Stock'!H$16*VLOOKUP($A4,'IDEES okt 2017 template'!$C$183:$AH$190,'IDEES okt 2017 template'!H$162,FALSE),"")*$AR$4/1000</f>
        <v>1.0430468408477023E-2</v>
      </c>
      <c r="K4" s="694">
        <f ca="1">IFERROR('All Stock'!I$16*VLOOKUP($A4,'IDEES okt 2017 template'!$C$183:$AH$190,'IDEES okt 2017 template'!I$162,FALSE),"")*$AR$4/1000</f>
        <v>2.2406081027546665</v>
      </c>
      <c r="L4" s="694">
        <f ca="1">IFERROR('All Stock'!J$16*VLOOKUP($A4,'IDEES okt 2017 template'!$C$183:$AH$190,'IDEES okt 2017 template'!J$162,FALSE),"")*$AR$4/1000</f>
        <v>7.6723586853981942</v>
      </c>
      <c r="M4" s="694">
        <f ca="1">IFERROR('All Stock'!K$16*VLOOKUP($A4,'IDEES okt 2017 template'!$C$183:$AH$190,'IDEES okt 2017 template'!K$162,FALSE),"")*$AR$4/1000</f>
        <v>0.31198926939075128</v>
      </c>
      <c r="N4" s="694">
        <f ca="1">IFERROR('All Stock'!L$16*VLOOKUP($A4,'IDEES okt 2017 template'!$C$183:$AH$190,'IDEES okt 2017 template'!L$162,FALSE),"")*$AR$4/1000</f>
        <v>0.13050902034187131</v>
      </c>
      <c r="O4" s="694">
        <f ca="1">IFERROR('All Stock'!M$16*VLOOKUP($A4,'IDEES okt 2017 template'!$C$183:$AH$190,'IDEES okt 2017 template'!M$162,FALSE),"")*$AR$4/1000</f>
        <v>5.1895670183204414</v>
      </c>
      <c r="P4" s="694">
        <f ca="1">IFERROR('All Stock'!N$16*VLOOKUP($A4,'IDEES okt 2017 template'!$C$183:$AH$190,'IDEES okt 2017 template'!N$162,FALSE),"")*$AR$4/1000</f>
        <v>0.83809586895941879</v>
      </c>
      <c r="Q4" s="694">
        <f ca="1">IFERROR('All Stock'!O$16*VLOOKUP($A4,'IDEES okt 2017 template'!$C$183:$AH$190,'IDEES okt 2017 template'!O$162,FALSE),"")*$AR$4/1000</f>
        <v>6.6900186458129625</v>
      </c>
      <c r="R4" s="694">
        <f ca="1">IFERROR('All Stock'!P$16*VLOOKUP($A4,'IDEES okt 2017 template'!$C$183:$AH$190,'IDEES okt 2017 template'!P$162,FALSE),"")*$AR$4/1000</f>
        <v>1.6135470999522337</v>
      </c>
      <c r="S4" s="694">
        <f ca="1">IFERROR('All Stock'!Q$16*VLOOKUP($A4,'IDEES okt 2017 template'!$C$183:$AH$190,'IDEES okt 2017 template'!Q$162,FALSE),"")*$AR$4/1000</f>
        <v>0.32933711255236192</v>
      </c>
      <c r="T4" s="694">
        <f ca="1">IFERROR('All Stock'!R$16*VLOOKUP($A4,'IDEES okt 2017 template'!$C$183:$AH$190,'IDEES okt 2017 template'!R$162,FALSE),"")*$AR$4/1000</f>
        <v>0.57334884026103405</v>
      </c>
      <c r="U4" s="694">
        <f ca="1">IFERROR('All Stock'!S$16*VLOOKUP($A4,'IDEES okt 2017 template'!$C$183:$AH$190,'IDEES okt 2017 template'!S$162,FALSE),"")*$AR$4/1000</f>
        <v>7.8613685635203295E-2</v>
      </c>
      <c r="V4" s="694">
        <f ca="1">IFERROR('All Stock'!T$16*VLOOKUP($A4,'IDEES okt 2017 template'!$C$183:$AH$190,'IDEES okt 2017 template'!T$162,FALSE),"")*$AR$4/1000</f>
        <v>4.765754572280706E-2</v>
      </c>
      <c r="W4" s="694">
        <f ca="1">IFERROR('All Stock'!U$16*VLOOKUP($A4,'IDEES okt 2017 template'!$C$183:$AH$190,'IDEES okt 2017 template'!U$162,FALSE),"")*$AR$4/1000</f>
        <v>4.5880278815259139</v>
      </c>
      <c r="X4" s="694">
        <f ca="1">IFERROR('All Stock'!V$16*VLOOKUP($A4,'IDEES okt 2017 template'!$C$183:$AH$190,'IDEES okt 2017 template'!V$162,FALSE),"")*$AR$4/1000</f>
        <v>0.16829277617794239</v>
      </c>
      <c r="Y4" s="694">
        <f ca="1">IFERROR('All Stock'!W$16*VLOOKUP($A4,'IDEES okt 2017 template'!$C$183:$AH$190,'IDEES okt 2017 template'!W$162,FALSE),"")*$AR$4/1000</f>
        <v>1.7760113461244589E-2</v>
      </c>
      <c r="Z4" s="694">
        <f ca="1">IFERROR('All Stock'!X$16*VLOOKUP($A4,'IDEES okt 2017 template'!$C$183:$AH$190,'IDEES okt 2017 template'!X$162,FALSE),"")*$AR$4/1000</f>
        <v>6.5962062456073056E-2</v>
      </c>
      <c r="AA4" s="694">
        <f ca="1">IFERROR('All Stock'!Y$16*VLOOKUP($A4,'IDEES okt 2017 template'!$C$183:$AH$190,'IDEES okt 2017 template'!Y$162,FALSE),"")*$AR$4/1000</f>
        <v>1.1442590196143392E-2</v>
      </c>
      <c r="AB4" s="694">
        <f ca="1">IFERROR('All Stock'!Z$16*VLOOKUP($A4,'IDEES okt 2017 template'!$C$183:$AH$190,'IDEES okt 2017 template'!Z$162,FALSE),"")*$AR$4/1000</f>
        <v>0.2450185167187737</v>
      </c>
      <c r="AC4" s="694">
        <f ca="1">IFERROR('All Stock'!AA$16*VLOOKUP($A4,'IDEES okt 2017 template'!$C$183:$AH$190,'IDEES okt 2017 template'!AA$162,FALSE),"")*$AR$4/1000</f>
        <v>2.0075041998098708</v>
      </c>
      <c r="AD4" s="694">
        <f ca="1">IFERROR('All Stock'!AB$16*VLOOKUP($A4,'IDEES okt 2017 template'!$C$183:$AH$190,'IDEES okt 2017 template'!AB$162,FALSE),"")*$AR$4/1000</f>
        <v>0.79667167961561558</v>
      </c>
      <c r="AE4" s="694">
        <f ca="1">IFERROR('All Stock'!AC$16*VLOOKUP($A4,'IDEES okt 2017 template'!$C$183:$AH$190,'IDEES okt 2017 template'!AC$162,FALSE),"")*$AR$4/1000</f>
        <v>0.26422090314108493</v>
      </c>
      <c r="AF4" s="694">
        <f ca="1">IFERROR('All Stock'!AD$16*VLOOKUP($A4,'IDEES okt 2017 template'!$C$183:$AH$190,'IDEES okt 2017 template'!AD$162,FALSE),"")*$AR$4/1000</f>
        <v>0.45577381025242825</v>
      </c>
      <c r="AG4" s="694">
        <f ca="1">IFERROR('All Stock'!AE$16*VLOOKUP($A4,'IDEES okt 2017 template'!$C$183:$AH$190,'IDEES okt 2017 template'!AE$162,FALSE),"")*$AR$4/1000</f>
        <v>2.3823517339025164</v>
      </c>
      <c r="AH4" s="694">
        <f ca="1">IFERROR('All Stock'!AF$16*VLOOKUP($A4,'IDEES okt 2017 template'!$C$183:$AH$190,'IDEES okt 2017 template'!AF$162,FALSE),"")*$AR$4/1000</f>
        <v>0.27704227879650173</v>
      </c>
      <c r="AI4" s="694">
        <f ca="1">IFERROR('All Stock'!AG$16*VLOOKUP($A4,'IDEES okt 2017 template'!$C$183:$AH$190,'IDEES okt 2017 template'!AG$162,FALSE),"")*$AR$4/1000</f>
        <v>0.17091274165546591</v>
      </c>
      <c r="AJ4" s="694">
        <f ca="1">IFERROR('All Stock'!AH$16*VLOOKUP($A4,'IDEES okt 2017 template'!$C$183:$AH$190,'IDEES okt 2017 template'!AH$162,FALSE),"")*$AR$4/1000</f>
        <v>1.4025034069512168</v>
      </c>
      <c r="AK4" s="694">
        <f ca="1">IFERROR('All Stock'!AI$16*VLOOKUP($A4,'IDEES okt 2017 template'!$C$183:$AN$190,'IDEES okt 2017 template'!AI$162,FALSE),"")*$AR$4/1000</f>
        <v>0.246339492724689</v>
      </c>
      <c r="AL4" s="694">
        <f ca="1">IFERROR('All Stock'!AJ$16*VLOOKUP($A4,'IDEES okt 2017 template'!$C$183:$AN$190,'IDEES okt 2017 template'!AJ$162,FALSE),"")*$AR$4/1000</f>
        <v>0.39188704014303177</v>
      </c>
      <c r="AM4" s="694">
        <f ca="1">IFERROR('All Stock'!AK$16*VLOOKUP($A4,'IDEES okt 2017 template'!$C$183:$AN$190,'IDEES okt 2017 template'!AK$162,FALSE),"")*$AR$4/1000</f>
        <v>0.17655686543970101</v>
      </c>
      <c r="AN4" s="694">
        <f ca="1">IFERROR('All Stock'!AL$16*VLOOKUP($A4,'IDEES okt 2017 template'!$C$183:$AN$190,'IDEES okt 2017 template'!AL$162,FALSE),"")*$AR$4/1000</f>
        <v>0.24298655472543665</v>
      </c>
      <c r="AO4" s="694">
        <f ca="1">IFERROR('All Stock'!AM$16*VLOOKUP($A4,'IDEES okt 2017 template'!$C$183:$AN$190,'IDEES okt 2017 template'!AM$162,FALSE),"")*$AR$4/1000</f>
        <v>1.0260831697375141</v>
      </c>
      <c r="AP4" s="694">
        <f ca="1">IFERROR('All Stock'!AN$16*VLOOKUP($A4,'IDEES okt 2017 template'!$C$183:$AN$190,'IDEES okt 2017 template'!AN$162,FALSE),"")*$AR$4/1000</f>
        <v>0.25405853271442963</v>
      </c>
      <c r="AQ4" s="509"/>
      <c r="AR4" s="530">
        <v>2</v>
      </c>
      <c r="AS4" t="str">
        <f t="shared" ref="AS4:AS27" si="0">A88</f>
        <v>Electricity</v>
      </c>
      <c r="AT4" s="509"/>
    </row>
    <row r="5" spans="1:49">
      <c r="A5" t="str">
        <f>TechComm!T24</f>
        <v>Gases</v>
      </c>
      <c r="C5" t="str">
        <f>TechComm!L49</f>
        <v>R_ES-WH-FL_GAS</v>
      </c>
      <c r="D5" t="str">
        <f>TechComm!U24</f>
        <v>RSDGAS</v>
      </c>
      <c r="E5" t="str">
        <f>E4</f>
        <v>R_ES-FL-WatHeat</v>
      </c>
      <c r="F5" s="694">
        <f ca="1">IFERROR('All Stock'!D$16*VLOOKUP($A5,'IDEES okt 2017 template'!$C$183:$AH$190,'IDEES okt 2017 template'!D$162,FALSE),"")*$AR$5/1000</f>
        <v>0.50683195975507089</v>
      </c>
      <c r="G5" s="694">
        <f ca="1">IFERROR('All Stock'!E$16*VLOOKUP($A5,'IDEES okt 2017 template'!$C$183:$AH$190,'IDEES okt 2017 template'!E$162,FALSE),"")*$AR$5/1000</f>
        <v>0.84813896171370873</v>
      </c>
      <c r="H5" s="694">
        <f ca="1">IFERROR('All Stock'!F$16*VLOOKUP($A5,'IDEES okt 2017 template'!$C$183:$AH$190,'IDEES okt 2017 template'!F$162,FALSE),"")*$AR$5/1000</f>
        <v>1.669922381309797E-2</v>
      </c>
      <c r="I5" s="694">
        <f ca="1">IFERROR('All Stock'!G$16*VLOOKUP($A5,'IDEES okt 2017 template'!$C$183:$AH$190,'IDEES okt 2017 template'!G$162,FALSE),"")*$AR$5/1000</f>
        <v>0.67598424579993344</v>
      </c>
      <c r="J5" s="694">
        <f ca="1">IFERROR('All Stock'!H$16*VLOOKUP($A5,'IDEES okt 2017 template'!$C$183:$AH$190,'IDEES okt 2017 template'!H$162,FALSE),"")*$AR$5/1000</f>
        <v>0</v>
      </c>
      <c r="K5" s="694">
        <f ca="1">IFERROR('All Stock'!I$16*VLOOKUP($A5,'IDEES okt 2017 template'!$C$183:$AH$190,'IDEES okt 2017 template'!I$162,FALSE),"")*$AR$5/1000</f>
        <v>1.2659530480821803</v>
      </c>
      <c r="L5" s="694">
        <f ca="1">IFERROR('All Stock'!J$16*VLOOKUP($A5,'IDEES okt 2017 template'!$C$183:$AH$190,'IDEES okt 2017 template'!J$162,FALSE),"")*$AR$5/1000</f>
        <v>14.035062743071682</v>
      </c>
      <c r="M5" s="694">
        <f ca="1">IFERROR('All Stock'!K$16*VLOOKUP($A5,'IDEES okt 2017 template'!$C$183:$AH$190,'IDEES okt 2017 template'!K$162,FALSE),"")*$AR$5/1000</f>
        <v>0.29158208781677758</v>
      </c>
      <c r="N5" s="694">
        <f ca="1">IFERROR('All Stock'!L$16*VLOOKUP($A5,'IDEES okt 2017 template'!$C$183:$AH$190,'IDEES okt 2017 template'!L$162,FALSE),"")*$AR$5/1000</f>
        <v>4.2867107283400555E-2</v>
      </c>
      <c r="O5" s="694">
        <f ca="1">IFERROR('All Stock'!M$16*VLOOKUP($A5,'IDEES okt 2017 template'!$C$183:$AH$190,'IDEES okt 2017 template'!M$162,FALSE),"")*$AR$5/1000</f>
        <v>4.5413536678997142</v>
      </c>
      <c r="P5" s="694">
        <f ca="1">IFERROR('All Stock'!N$16*VLOOKUP($A5,'IDEES okt 2017 template'!$C$183:$AH$190,'IDEES okt 2017 template'!N$162,FALSE),"")*$AR$5/1000</f>
        <v>1.457375427356143E-2</v>
      </c>
      <c r="Q5" s="694">
        <f ca="1">IFERROR('All Stock'!O$16*VLOOKUP($A5,'IDEES okt 2017 template'!$C$183:$AH$190,'IDEES okt 2017 template'!O$162,FALSE),"")*$AR$5/1000</f>
        <v>5.9402072678293134</v>
      </c>
      <c r="R5" s="694">
        <f ca="1">IFERROR('All Stock'!P$16*VLOOKUP($A5,'IDEES okt 2017 template'!$C$183:$AH$190,'IDEES okt 2017 template'!P$162,FALSE),"")*$AR$5/1000</f>
        <v>6.750359574690408E-2</v>
      </c>
      <c r="S5" s="694">
        <f ca="1">IFERROR('All Stock'!Q$16*VLOOKUP($A5,'IDEES okt 2017 template'!$C$183:$AH$190,'IDEES okt 2017 template'!Q$162,FALSE),"")*$AR$5/1000</f>
        <v>0.32273185087605399</v>
      </c>
      <c r="T5" s="694">
        <f ca="1">IFERROR('All Stock'!R$16*VLOOKUP($A5,'IDEES okt 2017 template'!$C$183:$AH$190,'IDEES okt 2017 template'!R$162,FALSE),"")*$AR$5/1000</f>
        <v>1.361124468579036</v>
      </c>
      <c r="U5" s="694">
        <f ca="1">IFERROR('All Stock'!S$16*VLOOKUP($A5,'IDEES okt 2017 template'!$C$183:$AH$190,'IDEES okt 2017 template'!S$162,FALSE),"")*$AR$5/1000</f>
        <v>7.1077043977668133E-2</v>
      </c>
      <c r="V5" s="694">
        <f ca="1">IFERROR('All Stock'!T$16*VLOOKUP($A5,'IDEES okt 2017 template'!$C$183:$AH$190,'IDEES okt 2017 template'!T$162,FALSE),"")*$AR$5/1000</f>
        <v>0</v>
      </c>
      <c r="W5" s="694">
        <f ca="1">IFERROR('All Stock'!U$16*VLOOKUP($A5,'IDEES okt 2017 template'!$C$183:$AH$190,'IDEES okt 2017 template'!U$162,FALSE),"")*$AR$5/1000</f>
        <v>22.161820591786768</v>
      </c>
      <c r="X5" s="694">
        <f ca="1">IFERROR('All Stock'!V$16*VLOOKUP($A5,'IDEES okt 2017 template'!$C$183:$AH$190,'IDEES okt 2017 template'!V$162,FALSE),"")*$AR$5/1000</f>
        <v>0.11164735607117404</v>
      </c>
      <c r="Y5" s="694">
        <f ca="1">IFERROR('All Stock'!W$16*VLOOKUP($A5,'IDEES okt 2017 template'!$C$183:$AH$190,'IDEES okt 2017 template'!W$162,FALSE),"")*$AR$5/1000</f>
        <v>5.9699077042281383E-2</v>
      </c>
      <c r="Z5" s="694">
        <f ca="1">IFERROR('All Stock'!X$16*VLOOKUP($A5,'IDEES okt 2017 template'!$C$183:$AH$190,'IDEES okt 2017 template'!X$162,FALSE),"")*$AR$5/1000</f>
        <v>9.443983194296024E-2</v>
      </c>
      <c r="AA5" s="694">
        <f ca="1">IFERROR('All Stock'!Y$16*VLOOKUP($A5,'IDEES okt 2017 template'!$C$183:$AH$190,'IDEES okt 2017 template'!Y$162,FALSE),"")*$AR$5/1000</f>
        <v>0</v>
      </c>
      <c r="AB5" s="694">
        <f ca="1">IFERROR('All Stock'!Z$16*VLOOKUP($A5,'IDEES okt 2017 template'!$C$183:$AH$190,'IDEES okt 2017 template'!Z$162,FALSE),"")*$AR$5/1000</f>
        <v>2.8916278822522345</v>
      </c>
      <c r="AC5" s="694">
        <f ca="1">IFERROR('All Stock'!AA$16*VLOOKUP($A5,'IDEES okt 2017 template'!$C$183:$AH$190,'IDEES okt 2017 template'!AA$162,FALSE),"")*$AR$5/1000</f>
        <v>1.3746380358057157E-3</v>
      </c>
      <c r="AD5" s="694">
        <f ca="1">IFERROR('All Stock'!AB$16*VLOOKUP($A5,'IDEES okt 2017 template'!$C$183:$AH$190,'IDEES okt 2017 template'!AB$162,FALSE),"")*$AR$5/1000</f>
        <v>2.2915821708069184</v>
      </c>
      <c r="AE5" s="694">
        <f ca="1">IFERROR('All Stock'!AC$16*VLOOKUP($A5,'IDEES okt 2017 template'!$C$183:$AH$190,'IDEES okt 2017 template'!AC$162,FALSE),"")*$AR$5/1000</f>
        <v>0.16052600204071207</v>
      </c>
      <c r="AF5" s="694">
        <f ca="1">IFERROR('All Stock'!AD$16*VLOOKUP($A5,'IDEES okt 2017 template'!$C$183:$AH$190,'IDEES okt 2017 template'!AD$162,FALSE),"")*$AR$5/1000</f>
        <v>1.1355073756165865</v>
      </c>
      <c r="AG5" s="694">
        <f ca="1">IFERROR('All Stock'!AE$16*VLOOKUP($A5,'IDEES okt 2017 template'!$C$183:$AH$190,'IDEES okt 2017 template'!AE$162,FALSE),"")*$AR$5/1000</f>
        <v>6.3354913298406784E-2</v>
      </c>
      <c r="AH5" s="694">
        <f ca="1">IFERROR('All Stock'!AF$16*VLOOKUP($A5,'IDEES okt 2017 template'!$C$183:$AH$190,'IDEES okt 2017 template'!AF$162,FALSE),"")*$AR$5/1000</f>
        <v>6.7080763117737835E-2</v>
      </c>
      <c r="AI5" s="694">
        <f ca="1">IFERROR('All Stock'!AG$16*VLOOKUP($A5,'IDEES okt 2017 template'!$C$183:$AH$190,'IDEES okt 2017 template'!AG$162,FALSE),"")*$AR$5/1000</f>
        <v>0.59314268783209256</v>
      </c>
      <c r="AJ5" s="694">
        <f ca="1">IFERROR('All Stock'!AH$16*VLOOKUP($A5,'IDEES okt 2017 template'!$C$183:$AH$190,'IDEES okt 2017 template'!AH$162,FALSE),"")*$AR$5/1000</f>
        <v>5.7333085658630347</v>
      </c>
      <c r="AK5" s="694">
        <f ca="1">IFERROR('All Stock'!AI$16*VLOOKUP($A5,'IDEES okt 2017 template'!$C$183:$AN$190,'IDEES okt 2017 template'!AI$162,FALSE),"")*$AR$5/1000</f>
        <v>0</v>
      </c>
      <c r="AL5" s="694">
        <f ca="1">IFERROR('All Stock'!AJ$16*VLOOKUP($A5,'IDEES okt 2017 template'!$C$183:$AN$190,'IDEES okt 2017 template'!AJ$162,FALSE),"")*$AR$5/1000</f>
        <v>3.7815580940281535E-2</v>
      </c>
      <c r="AM5" s="694">
        <f ca="1">IFERROR('All Stock'!AK$16*VLOOKUP($A5,'IDEES okt 2017 template'!$C$183:$AN$190,'IDEES okt 2017 template'!AK$162,FALSE),"")*$AR$5/1000</f>
        <v>0</v>
      </c>
      <c r="AN5" s="694">
        <f ca="1">IFERROR('All Stock'!AL$16*VLOOKUP($A5,'IDEES okt 2017 template'!$C$183:$AN$190,'IDEES okt 2017 template'!AL$162,FALSE),"")*$AR$5/1000</f>
        <v>0</v>
      </c>
      <c r="AO5" s="694">
        <f ca="1">IFERROR('All Stock'!AM$16*VLOOKUP($A5,'IDEES okt 2017 template'!$C$183:$AN$190,'IDEES okt 2017 template'!AM$162,FALSE),"")*$AR$5/1000</f>
        <v>0.1533547864748232</v>
      </c>
      <c r="AP5" s="694">
        <f ca="1">IFERROR('All Stock'!AN$16*VLOOKUP($A5,'IDEES okt 2017 template'!$C$183:$AN$190,'IDEES okt 2017 template'!AN$162,FALSE),"")*$AR$5/1000</f>
        <v>0</v>
      </c>
      <c r="AQ5" s="509"/>
      <c r="AR5" s="530">
        <v>2</v>
      </c>
      <c r="AS5" t="str">
        <f t="shared" si="0"/>
        <v>Gases</v>
      </c>
      <c r="AT5" s="509"/>
    </row>
    <row r="6" spans="1:49">
      <c r="A6" t="str">
        <f>TechComm!T25</f>
        <v>Derived heat</v>
      </c>
      <c r="C6" t="str">
        <f>TechComm!L50</f>
        <v>R_ES-WH-FL_HET</v>
      </c>
      <c r="D6" t="str">
        <f>TechComm!U25</f>
        <v>RSDHET</v>
      </c>
      <c r="E6" t="str">
        <f t="shared" ref="E6:E11" si="1">E5</f>
        <v>R_ES-FL-WatHeat</v>
      </c>
      <c r="F6" s="694">
        <f ca="1">IFERROR('All Stock'!D$16*VLOOKUP($A6,'IDEES okt 2017 template'!$C$183:$AH$190,'IDEES okt 2017 template'!D$162,FALSE),"")*$AR$6/1000</f>
        <v>0.47882230696751882</v>
      </c>
      <c r="G6" s="694">
        <f ca="1">IFERROR('All Stock'!E$16*VLOOKUP($A6,'IDEES okt 2017 template'!$C$183:$AH$190,'IDEES okt 2017 template'!E$162,FALSE),"")*$AR$6/1000</f>
        <v>3.2220280169338094E-3</v>
      </c>
      <c r="H6" s="694">
        <f ca="1">IFERROR('All Stock'!F$16*VLOOKUP($A6,'IDEES okt 2017 template'!$C$183:$AH$190,'IDEES okt 2017 template'!F$162,FALSE),"")*$AR$6/1000</f>
        <v>0.40634777945205058</v>
      </c>
      <c r="I6" s="694">
        <f ca="1">IFERROR('All Stock'!G$16*VLOOKUP($A6,'IDEES okt 2017 template'!$C$183:$AH$190,'IDEES okt 2017 template'!G$162,FALSE),"")*$AR$6/1000</f>
        <v>0.11886319132608097</v>
      </c>
      <c r="J6" s="694">
        <f ca="1">IFERROR('All Stock'!H$16*VLOOKUP($A6,'IDEES okt 2017 template'!$C$183:$AH$190,'IDEES okt 2017 template'!H$162,FALSE),"")*$AR$6/1000</f>
        <v>0</v>
      </c>
      <c r="K6" s="694">
        <f ca="1">IFERROR('All Stock'!I$16*VLOOKUP($A6,'IDEES okt 2017 template'!$C$183:$AH$190,'IDEES okt 2017 template'!I$162,FALSE),"")*$AR$6/1000</f>
        <v>0.63060901759270205</v>
      </c>
      <c r="L6" s="694">
        <f ca="1">IFERROR('All Stock'!J$16*VLOOKUP($A6,'IDEES okt 2017 template'!$C$183:$AH$190,'IDEES okt 2017 template'!J$162,FALSE),"")*$AR$6/1000</f>
        <v>3.4635311249866132</v>
      </c>
      <c r="M6" s="694">
        <f ca="1">IFERROR('All Stock'!K$16*VLOOKUP($A6,'IDEES okt 2017 template'!$C$183:$AH$190,'IDEES okt 2017 template'!K$162,FALSE),"")*$AR$6/1000</f>
        <v>1.084744182136224</v>
      </c>
      <c r="N6" s="694">
        <f ca="1">IFERROR('All Stock'!L$16*VLOOKUP($A6,'IDEES okt 2017 template'!$C$183:$AH$190,'IDEES okt 2017 template'!L$162,FALSE),"")*$AR$6/1000</f>
        <v>0.50666227587579449</v>
      </c>
      <c r="O6" s="694">
        <f ca="1">IFERROR('All Stock'!M$16*VLOOKUP($A6,'IDEES okt 2017 template'!$C$183:$AH$190,'IDEES okt 2017 template'!M$162,FALSE),"")*$AR$6/1000</f>
        <v>0</v>
      </c>
      <c r="P6" s="694">
        <f ca="1">IFERROR('All Stock'!N$16*VLOOKUP($A6,'IDEES okt 2017 template'!$C$183:$AH$190,'IDEES okt 2017 template'!N$162,FALSE),"")*$AR$6/1000</f>
        <v>0.83649989586894224</v>
      </c>
      <c r="Q6" s="694">
        <f ca="1">IFERROR('All Stock'!O$16*VLOOKUP($A6,'IDEES okt 2017 template'!$C$183:$AH$190,'IDEES okt 2017 template'!O$162,FALSE),"")*$AR$6/1000</f>
        <v>1.1136745693508627</v>
      </c>
      <c r="R6" s="694">
        <f ca="1">IFERROR('All Stock'!P$16*VLOOKUP($A6,'IDEES okt 2017 template'!$C$183:$AH$190,'IDEES okt 2017 template'!P$162,FALSE),"")*$AR$6/1000</f>
        <v>3.5148189107368819E-2</v>
      </c>
      <c r="S6" s="694">
        <f ca="1">IFERROR('All Stock'!Q$16*VLOOKUP($A6,'IDEES okt 2017 template'!$C$183:$AH$190,'IDEES okt 2017 template'!Q$162,FALSE),"")*$AR$6/1000</f>
        <v>0.10537552973324871</v>
      </c>
      <c r="T6" s="694">
        <f ca="1">IFERROR('All Stock'!R$16*VLOOKUP($A6,'IDEES okt 2017 template'!$C$183:$AH$190,'IDEES okt 2017 template'!R$162,FALSE),"")*$AR$6/1000</f>
        <v>0.39456023265813422</v>
      </c>
      <c r="U6" s="694">
        <f ca="1">IFERROR('All Stock'!S$16*VLOOKUP($A6,'IDEES okt 2017 template'!$C$183:$AH$190,'IDEES okt 2017 template'!S$162,FALSE),"")*$AR$6/1000</f>
        <v>0</v>
      </c>
      <c r="V6" s="694">
        <f ca="1">IFERROR('All Stock'!T$16*VLOOKUP($A6,'IDEES okt 2017 template'!$C$183:$AH$190,'IDEES okt 2017 template'!T$162,FALSE),"")*$AR$6/1000</f>
        <v>8.39859381254459E-2</v>
      </c>
      <c r="W6" s="694">
        <f ca="1">IFERROR('All Stock'!U$16*VLOOKUP($A6,'IDEES okt 2017 template'!$C$183:$AH$190,'IDEES okt 2017 template'!U$162,FALSE),"")*$AR$6/1000</f>
        <v>0.13533936239259095</v>
      </c>
      <c r="X6" s="694">
        <f ca="1">IFERROR('All Stock'!V$16*VLOOKUP($A6,'IDEES okt 2017 template'!$C$183:$AH$190,'IDEES okt 2017 template'!V$162,FALSE),"")*$AR$6/1000</f>
        <v>0.7286113031141388</v>
      </c>
      <c r="Y6" s="694">
        <f ca="1">IFERROR('All Stock'!W$16*VLOOKUP($A6,'IDEES okt 2017 template'!$C$183:$AH$190,'IDEES okt 2017 template'!W$162,FALSE),"")*$AR$6/1000</f>
        <v>0</v>
      </c>
      <c r="Z6" s="694">
        <f ca="1">IFERROR('All Stock'!X$16*VLOOKUP($A6,'IDEES okt 2017 template'!$C$183:$AH$190,'IDEES okt 2017 template'!X$162,FALSE),"")*$AR$6/1000</f>
        <v>0.48575183314530779</v>
      </c>
      <c r="AA6" s="694">
        <f ca="1">IFERROR('All Stock'!Y$16*VLOOKUP($A6,'IDEES okt 2017 template'!$C$183:$AH$190,'IDEES okt 2017 template'!Y$162,FALSE),"")*$AR$6/1000</f>
        <v>0</v>
      </c>
      <c r="AB6" s="694">
        <f ca="1">IFERROR('All Stock'!Z$16*VLOOKUP($A6,'IDEES okt 2017 template'!$C$183:$AH$190,'IDEES okt 2017 template'!Z$162,FALSE),"")*$AR$6/1000</f>
        <v>0.15045703549333986</v>
      </c>
      <c r="AC6" s="694">
        <f ca="1">IFERROR('All Stock'!AA$16*VLOOKUP($A6,'IDEES okt 2017 template'!$C$183:$AH$190,'IDEES okt 2017 template'!AA$162,FALSE),"")*$AR$6/1000</f>
        <v>4.7455386031227995E-2</v>
      </c>
      <c r="AD6" s="694">
        <f ca="1">IFERROR('All Stock'!AB$16*VLOOKUP($A6,'IDEES okt 2017 template'!$C$183:$AH$190,'IDEES okt 2017 template'!AB$162,FALSE),"")*$AR$6/1000</f>
        <v>4.7805717680052338</v>
      </c>
      <c r="AE6" s="694">
        <f ca="1">IFERROR('All Stock'!AC$16*VLOOKUP($A6,'IDEES okt 2017 template'!$C$183:$AH$190,'IDEES okt 2017 template'!AC$162,FALSE),"")*$AR$6/1000</f>
        <v>6.8197321128407092E-3</v>
      </c>
      <c r="AF6" s="694">
        <f ca="1">IFERROR('All Stock'!AD$16*VLOOKUP($A6,'IDEES okt 2017 template'!$C$183:$AH$190,'IDEES okt 2017 template'!AD$162,FALSE),"")*$AR$6/1000</f>
        <v>0.9624883664070234</v>
      </c>
      <c r="AG6" s="694">
        <f ca="1">IFERROR('All Stock'!AE$16*VLOOKUP($A6,'IDEES okt 2017 template'!$C$183:$AH$190,'IDEES okt 2017 template'!AE$162,FALSE),"")*$AR$6/1000</f>
        <v>2.2216357694792537</v>
      </c>
      <c r="AH6" s="694">
        <f ca="1">IFERROR('All Stock'!AF$16*VLOOKUP($A6,'IDEES okt 2017 template'!$C$183:$AH$190,'IDEES okt 2017 template'!AF$162,FALSE),"")*$AR$6/1000</f>
        <v>9.145641043661222E-2</v>
      </c>
      <c r="AI6" s="694">
        <f ca="1">IFERROR('All Stock'!AG$16*VLOOKUP($A6,'IDEES okt 2017 template'!$C$183:$AH$190,'IDEES okt 2017 template'!AG$162,FALSE),"")*$AR$6/1000</f>
        <v>0.37755403721113073</v>
      </c>
      <c r="AJ6" s="694">
        <f ca="1">IFERROR('All Stock'!AH$16*VLOOKUP($A6,'IDEES okt 2017 template'!$C$183:$AH$190,'IDEES okt 2017 template'!AH$162,FALSE),"")*$AR$6/1000</f>
        <v>0</v>
      </c>
      <c r="AK6" s="694">
        <f ca="1">IFERROR('All Stock'!AI$16*VLOOKUP($A6,'IDEES okt 2017 template'!$C$183:$AN$190,'IDEES okt 2017 template'!AI$162,FALSE),"")*$AR$6/1000</f>
        <v>0</v>
      </c>
      <c r="AL6" s="694">
        <f ca="1">IFERROR('All Stock'!AJ$16*VLOOKUP($A6,'IDEES okt 2017 template'!$C$183:$AN$190,'IDEES okt 2017 template'!AJ$162,FALSE),"")*$AR$6/1000</f>
        <v>0.10105871290176754</v>
      </c>
      <c r="AM6" s="694">
        <f ca="1">IFERROR('All Stock'!AK$16*VLOOKUP($A6,'IDEES okt 2017 template'!$C$183:$AN$190,'IDEES okt 2017 template'!AK$162,FALSE),"")*$AR$6/1000</f>
        <v>0</v>
      </c>
      <c r="AN6" s="694">
        <f ca="1">IFERROR('All Stock'!AL$16*VLOOKUP($A6,'IDEES okt 2017 template'!$C$183:$AN$190,'IDEES okt 2017 template'!AL$162,FALSE),"")*$AR$6/1000</f>
        <v>3.1697435000236987E-2</v>
      </c>
      <c r="AO6" s="694">
        <f ca="1">IFERROR('All Stock'!AM$16*VLOOKUP($A6,'IDEES okt 2017 template'!$C$183:$AN$190,'IDEES okt 2017 template'!AM$162,FALSE),"")*$AR$6/1000</f>
        <v>0.32522933702833795</v>
      </c>
      <c r="AP6" s="694">
        <f ca="1">IFERROR('All Stock'!AN$16*VLOOKUP($A6,'IDEES okt 2017 template'!$C$183:$AN$190,'IDEES okt 2017 template'!AN$162,FALSE),"")*$AR$6/1000</f>
        <v>4.8132873948338439E-3</v>
      </c>
      <c r="AQ6" s="509"/>
      <c r="AR6" s="530">
        <v>2</v>
      </c>
      <c r="AS6" t="str">
        <f t="shared" si="0"/>
        <v>Derived heat</v>
      </c>
      <c r="AT6" s="509"/>
    </row>
    <row r="7" spans="1:49">
      <c r="A7" t="str">
        <f>TechComm!T26</f>
        <v>GDO and other liquids (incl. liq. bio.)</v>
      </c>
      <c r="C7" t="str">
        <f>TechComm!L51</f>
        <v>R_ES-WH-FL_OIL</v>
      </c>
      <c r="D7" t="str">
        <f>TechComm!U26</f>
        <v>RSDOIL</v>
      </c>
      <c r="E7" t="str">
        <f t="shared" si="1"/>
        <v>R_ES-FL-WatHeat</v>
      </c>
      <c r="F7" s="694">
        <f ca="1">IFERROR('All Stock'!D$16*VLOOKUP($A7,'IDEES okt 2017 template'!$C$183:$AH$190,'IDEES okt 2017 template'!D$162,FALSE),"")*$AR$7/1000</f>
        <v>0.40385095161524875</v>
      </c>
      <c r="G7" s="694">
        <f ca="1">IFERROR('All Stock'!E$16*VLOOKUP($A7,'IDEES okt 2017 template'!$C$183:$AH$190,'IDEES okt 2017 template'!E$162,FALSE),"")*$AR$7/1000</f>
        <v>0.57714243999192893</v>
      </c>
      <c r="H7" s="694">
        <f ca="1">IFERROR('All Stock'!F$16*VLOOKUP($A7,'IDEES okt 2017 template'!$C$183:$AH$190,'IDEES okt 2017 template'!F$162,FALSE),"")*$AR$7/1000</f>
        <v>0</v>
      </c>
      <c r="I7" s="694">
        <f ca="1">IFERROR('All Stock'!G$16*VLOOKUP($A7,'IDEES okt 2017 template'!$C$183:$AH$190,'IDEES okt 2017 template'!G$162,FALSE),"")*$AR$7/1000</f>
        <v>1.4274481835327497</v>
      </c>
      <c r="J7" s="694">
        <f ca="1">IFERROR('All Stock'!H$16*VLOOKUP($A7,'IDEES okt 2017 template'!$C$183:$AH$190,'IDEES okt 2017 template'!H$162,FALSE),"")*$AR$7/1000</f>
        <v>5.0274279863573475E-3</v>
      </c>
      <c r="K7" s="694">
        <f ca="1">IFERROR('All Stock'!I$16*VLOOKUP($A7,'IDEES okt 2017 template'!$C$183:$AH$190,'IDEES okt 2017 template'!I$162,FALSE),"")*$AR$7/1000</f>
        <v>0</v>
      </c>
      <c r="L7" s="694">
        <f ca="1">IFERROR('All Stock'!J$16*VLOOKUP($A7,'IDEES okt 2017 template'!$C$183:$AH$190,'IDEES okt 2017 template'!J$162,FALSE),"")*$AR$7/1000</f>
        <v>7.3435691998379138</v>
      </c>
      <c r="M7" s="694">
        <f ca="1">IFERROR('All Stock'!K$16*VLOOKUP($A7,'IDEES okt 2017 template'!$C$183:$AH$190,'IDEES okt 2017 template'!K$162,FALSE),"")*$AR$7/1000</f>
        <v>0.13719151106171429</v>
      </c>
      <c r="N7" s="694">
        <f ca="1">IFERROR('All Stock'!L$16*VLOOKUP($A7,'IDEES okt 2017 template'!$C$183:$AH$190,'IDEES okt 2017 template'!L$162,FALSE),"")*$AR$7/1000</f>
        <v>2.0199160500031675E-3</v>
      </c>
      <c r="O7" s="694">
        <f ca="1">IFERROR('All Stock'!M$16*VLOOKUP($A7,'IDEES okt 2017 template'!$C$183:$AH$190,'IDEES okt 2017 template'!M$162,FALSE),"")*$AR$7/1000</f>
        <v>1.2710703869237807</v>
      </c>
      <c r="P7" s="694">
        <f ca="1">IFERROR('All Stock'!N$16*VLOOKUP($A7,'IDEES okt 2017 template'!$C$183:$AH$190,'IDEES okt 2017 template'!N$162,FALSE),"")*$AR$7/1000</f>
        <v>0.1797149698460212</v>
      </c>
      <c r="Q7" s="694">
        <f ca="1">IFERROR('All Stock'!O$16*VLOOKUP($A7,'IDEES okt 2017 template'!$C$183:$AH$190,'IDEES okt 2017 template'!O$162,FALSE),"")*$AR$7/1000</f>
        <v>2.1554205129855779</v>
      </c>
      <c r="R7" s="694">
        <f ca="1">IFERROR('All Stock'!P$16*VLOOKUP($A7,'IDEES okt 2017 template'!$C$183:$AH$190,'IDEES okt 2017 template'!P$162,FALSE),"")*$AR$7/1000</f>
        <v>0.30162050652602551</v>
      </c>
      <c r="S7" s="694">
        <f ca="1">IFERROR('All Stock'!Q$16*VLOOKUP($A7,'IDEES okt 2017 template'!$C$183:$AH$190,'IDEES okt 2017 template'!Q$162,FALSE),"")*$AR$7/1000</f>
        <v>6.8645336299573839E-2</v>
      </c>
      <c r="T7" s="694">
        <f ca="1">IFERROR('All Stock'!R$16*VLOOKUP($A7,'IDEES okt 2017 template'!$C$183:$AH$190,'IDEES okt 2017 template'!R$162,FALSE),"")*$AR$7/1000</f>
        <v>0</v>
      </c>
      <c r="U7" s="694">
        <f ca="1">IFERROR('All Stock'!S$16*VLOOKUP($A7,'IDEES okt 2017 template'!$C$183:$AH$190,'IDEES okt 2017 template'!S$162,FALSE),"")*$AR$7/1000</f>
        <v>9.0895620188223572E-2</v>
      </c>
      <c r="V7" s="694">
        <f ca="1">IFERROR('All Stock'!T$16*VLOOKUP($A7,'IDEES okt 2017 template'!$C$183:$AH$190,'IDEES okt 2017 template'!T$162,FALSE),"")*$AR$7/1000</f>
        <v>6.0516607504456656E-4</v>
      </c>
      <c r="W7" s="694">
        <f ca="1">IFERROR('All Stock'!U$16*VLOOKUP($A7,'IDEES okt 2017 template'!$C$183:$AH$190,'IDEES okt 2017 template'!U$162,FALSE),"")*$AR$7/1000</f>
        <v>2.067097292793088</v>
      </c>
      <c r="X7" s="694">
        <f ca="1">IFERROR('All Stock'!V$16*VLOOKUP($A7,'IDEES okt 2017 template'!$C$183:$AH$190,'IDEES okt 2017 template'!V$162,FALSE),"")*$AR$7/1000</f>
        <v>4.6017555986156127E-3</v>
      </c>
      <c r="Y7" s="694">
        <f ca="1">IFERROR('All Stock'!W$16*VLOOKUP($A7,'IDEES okt 2017 template'!$C$183:$AH$190,'IDEES okt 2017 template'!W$162,FALSE),"")*$AR$7/1000</f>
        <v>4.9709013220331312E-2</v>
      </c>
      <c r="Z7" s="694">
        <f ca="1">IFERROR('All Stock'!X$16*VLOOKUP($A7,'IDEES okt 2017 template'!$C$183:$AH$190,'IDEES okt 2017 template'!X$162,FALSE),"")*$AR$7/1000</f>
        <v>2.1529879943399655E-2</v>
      </c>
      <c r="AA7" s="694">
        <f ca="1">IFERROR('All Stock'!Y$16*VLOOKUP($A7,'IDEES okt 2017 template'!$C$183:$AH$190,'IDEES okt 2017 template'!Y$162,FALSE),"")*$AR$7/1000</f>
        <v>0</v>
      </c>
      <c r="AB7" s="694">
        <f ca="1">IFERROR('All Stock'!Z$16*VLOOKUP($A7,'IDEES okt 2017 template'!$C$183:$AH$190,'IDEES okt 2017 template'!Z$162,FALSE),"")*$AR$7/1000</f>
        <v>1.9357139756561451E-2</v>
      </c>
      <c r="AC7" s="694">
        <f ca="1">IFERROR('All Stock'!AA$16*VLOOKUP($A7,'IDEES okt 2017 template'!$C$183:$AH$190,'IDEES okt 2017 template'!AA$162,FALSE),"")*$AR$7/1000</f>
        <v>5.3081178513809391E-2</v>
      </c>
      <c r="AD7" s="694">
        <f ca="1">IFERROR('All Stock'!AB$16*VLOOKUP($A7,'IDEES okt 2017 template'!$C$183:$AH$190,'IDEES okt 2017 template'!AB$162,FALSE),"")*$AR$7/1000</f>
        <v>6.5312374705738668E-2</v>
      </c>
      <c r="AE7" s="694">
        <f ca="1">IFERROR('All Stock'!AC$16*VLOOKUP($A7,'IDEES okt 2017 template'!$C$183:$AH$190,'IDEES okt 2017 template'!AC$162,FALSE),"")*$AR$7/1000</f>
        <v>8.0000703631400646E-2</v>
      </c>
      <c r="AF7" s="694">
        <f ca="1">IFERROR('All Stock'!AD$16*VLOOKUP($A7,'IDEES okt 2017 template'!$C$183:$AH$190,'IDEES okt 2017 template'!AD$162,FALSE),"")*$AR$7/1000</f>
        <v>4.6153363027367188E-2</v>
      </c>
      <c r="AG7" s="694">
        <f ca="1">IFERROR('All Stock'!AE$16*VLOOKUP($A7,'IDEES okt 2017 template'!$C$183:$AH$190,'IDEES okt 2017 template'!AE$162,FALSE),"")*$AR$7/1000</f>
        <v>2.8239879673268832E-2</v>
      </c>
      <c r="AH7" s="694">
        <f ca="1">IFERROR('All Stock'!AF$16*VLOOKUP($A7,'IDEES okt 2017 template'!$C$183:$AH$190,'IDEES okt 2017 template'!AF$162,FALSE),"")*$AR$7/1000</f>
        <v>0.16910207552545492</v>
      </c>
      <c r="AI7" s="694">
        <f ca="1">IFERROR('All Stock'!AG$16*VLOOKUP($A7,'IDEES okt 2017 template'!$C$183:$AH$190,'IDEES okt 2017 template'!AG$162,FALSE),"")*$AR$7/1000</f>
        <v>0</v>
      </c>
      <c r="AJ7" s="694">
        <f ca="1">IFERROR('All Stock'!AH$16*VLOOKUP($A7,'IDEES okt 2017 template'!$C$183:$AH$190,'IDEES okt 2017 template'!AH$162,FALSE),"")*$AR$7/1000</f>
        <v>0.41640695172891135</v>
      </c>
      <c r="AK7" s="694">
        <f ca="1">IFERROR('All Stock'!AI$16*VLOOKUP($A7,'IDEES okt 2017 template'!$C$183:$AN$190,'IDEES okt 2017 template'!AI$162,FALSE),"")*$AR$7/1000</f>
        <v>5.964964075160275E-4</v>
      </c>
      <c r="AL7" s="694">
        <f ca="1">IFERROR('All Stock'!AJ$16*VLOOKUP($A7,'IDEES okt 2017 template'!$C$183:$AN$190,'IDEES okt 2017 template'!AJ$162,FALSE),"")*$AR$7/1000</f>
        <v>0</v>
      </c>
      <c r="AM7" s="694">
        <f ca="1">IFERROR('All Stock'!AK$16*VLOOKUP($A7,'IDEES okt 2017 template'!$C$183:$AN$190,'IDEES okt 2017 template'!AK$162,FALSE),"")*$AR$7/1000</f>
        <v>0</v>
      </c>
      <c r="AN7" s="694">
        <f ca="1">IFERROR('All Stock'!AL$16*VLOOKUP($A7,'IDEES okt 2017 template'!$C$183:$AN$190,'IDEES okt 2017 template'!AL$162,FALSE),"")*$AR$7/1000</f>
        <v>2.0482067034682545E-2</v>
      </c>
      <c r="AO7" s="694">
        <f ca="1">IFERROR('All Stock'!AM$16*VLOOKUP($A7,'IDEES okt 2017 template'!$C$183:$AN$190,'IDEES okt 2017 template'!AM$162,FALSE),"")*$AR$7/1000</f>
        <v>5.8464158261008409E-4</v>
      </c>
      <c r="AP7" s="694">
        <f ca="1">IFERROR('All Stock'!AN$16*VLOOKUP($A7,'IDEES okt 2017 template'!$C$183:$AN$190,'IDEES okt 2017 template'!AN$162,FALSE),"")*$AR$7/1000</f>
        <v>1.2995629574974845E-2</v>
      </c>
      <c r="AQ7" s="509"/>
      <c r="AR7" s="530">
        <v>2</v>
      </c>
      <c r="AS7" t="str">
        <f t="shared" si="0"/>
        <v>GDO and other liquids (incl. liq. bio.)</v>
      </c>
      <c r="AT7" s="509"/>
    </row>
    <row r="8" spans="1:49">
      <c r="A8" t="str">
        <f>TechComm!T27</f>
        <v>Biomass and wastes</v>
      </c>
      <c r="C8" t="str">
        <f>TechComm!L52</f>
        <v>R_ES-WH-FL_BIO</v>
      </c>
      <c r="D8" t="str">
        <f>TechComm!U27</f>
        <v>RSDBIO</v>
      </c>
      <c r="E8" t="str">
        <f t="shared" si="1"/>
        <v>R_ES-FL-WatHeat</v>
      </c>
      <c r="F8" s="694">
        <f ca="1">IFERROR('All Stock'!D$16*VLOOKUP($A8,'IDEES okt 2017 template'!$C$183:$AH$190,'IDEES okt 2017 template'!D$162,FALSE),"")*$AR$8/1000</f>
        <v>0.25952001668888242</v>
      </c>
      <c r="G8" s="694">
        <f ca="1">IFERROR('All Stock'!E$16*VLOOKUP($A8,'IDEES okt 2017 template'!$C$183:$AH$190,'IDEES okt 2017 template'!E$162,FALSE),"")*$AR$8/1000</f>
        <v>3.5894989808485746E-2</v>
      </c>
      <c r="H8" s="694">
        <f ca="1">IFERROR('All Stock'!F$16*VLOOKUP($A8,'IDEES okt 2017 template'!$C$183:$AH$190,'IDEES okt 2017 template'!F$162,FALSE),"")*$AR$8/1000</f>
        <v>7.421877250265764E-2</v>
      </c>
      <c r="I8" s="694">
        <f ca="1">IFERROR('All Stock'!G$16*VLOOKUP($A8,'IDEES okt 2017 template'!$C$183:$AH$190,'IDEES okt 2017 template'!G$162,FALSE),"")*$AR$8/1000</f>
        <v>5.4393683052715996E-2</v>
      </c>
      <c r="J8" s="694">
        <f ca="1">IFERROR('All Stock'!H$16*VLOOKUP($A8,'IDEES okt 2017 template'!$C$183:$AH$190,'IDEES okt 2017 template'!H$162,FALSE),"")*$AR$8/1000</f>
        <v>1.7335958573646022E-4</v>
      </c>
      <c r="K8" s="694">
        <f ca="1">IFERROR('All Stock'!I$16*VLOOKUP($A8,'IDEES okt 2017 template'!$C$183:$AH$190,'IDEES okt 2017 template'!I$162,FALSE),"")*$AR$8/1000</f>
        <v>0.13097045672483959</v>
      </c>
      <c r="L8" s="694">
        <f ca="1">IFERROR('All Stock'!J$16*VLOOKUP($A8,'IDEES okt 2017 template'!$C$183:$AH$190,'IDEES okt 2017 template'!J$162,FALSE),"")*$AR$8/1000</f>
        <v>0.70475982606011622</v>
      </c>
      <c r="M8" s="694">
        <f ca="1">IFERROR('All Stock'!K$16*VLOOKUP($A8,'IDEES okt 2017 template'!$C$183:$AH$190,'IDEES okt 2017 template'!K$162,FALSE),"")*$AR$8/1000</f>
        <v>0.24604466517791038</v>
      </c>
      <c r="N8" s="694">
        <f ca="1">IFERROR('All Stock'!L$16*VLOOKUP($A8,'IDEES okt 2017 template'!$C$183:$AH$190,'IDEES okt 2017 template'!L$162,FALSE),"")*$AR$8/1000</f>
        <v>0.28738916689211735</v>
      </c>
      <c r="O8" s="694">
        <f ca="1">IFERROR('All Stock'!M$16*VLOOKUP($A8,'IDEES okt 2017 template'!$C$183:$AH$190,'IDEES okt 2017 template'!M$162,FALSE),"")*$AR$8/1000</f>
        <v>0.14736938267972371</v>
      </c>
      <c r="P8" s="694">
        <f ca="1">IFERROR('All Stock'!N$16*VLOOKUP($A8,'IDEES okt 2017 template'!$C$183:$AH$190,'IDEES okt 2017 template'!N$162,FALSE),"")*$AR$8/1000</f>
        <v>0.32620849983501909</v>
      </c>
      <c r="Q8" s="694">
        <f ca="1">IFERROR('All Stock'!O$16*VLOOKUP($A8,'IDEES okt 2017 template'!$C$183:$AH$190,'IDEES okt 2017 template'!O$162,FALSE),"")*$AR$8/1000</f>
        <v>0.85793876449045237</v>
      </c>
      <c r="R8" s="694">
        <f ca="1">IFERROR('All Stock'!P$16*VLOOKUP($A8,'IDEES okt 2017 template'!$C$183:$AH$190,'IDEES okt 2017 template'!P$162,FALSE),"")*$AR$8/1000</f>
        <v>3.9235187840783801E-2</v>
      </c>
      <c r="S8" s="694">
        <f ca="1">IFERROR('All Stock'!Q$16*VLOOKUP($A8,'IDEES okt 2017 template'!$C$183:$AH$190,'IDEES okt 2017 template'!Q$162,FALSE),"")*$AR$8/1000</f>
        <v>4.8644357018043337E-2</v>
      </c>
      <c r="T8" s="694">
        <f ca="1">IFERROR('All Stock'!R$16*VLOOKUP($A8,'IDEES okt 2017 template'!$C$183:$AH$190,'IDEES okt 2017 template'!R$162,FALSE),"")*$AR$8/1000</f>
        <v>6.9707384410157003E-2</v>
      </c>
      <c r="U8" s="694">
        <f ca="1">IFERROR('All Stock'!S$16*VLOOKUP($A8,'IDEES okt 2017 template'!$C$183:$AH$190,'IDEES okt 2017 template'!S$162,FALSE),"")*$AR$8/1000</f>
        <v>2.3075149766280528E-3</v>
      </c>
      <c r="V8" s="694">
        <f ca="1">IFERROR('All Stock'!T$16*VLOOKUP($A8,'IDEES okt 2017 template'!$C$183:$AH$190,'IDEES okt 2017 template'!T$162,FALSE),"")*$AR$8/1000</f>
        <v>0</v>
      </c>
      <c r="W8" s="694">
        <f ca="1">IFERROR('All Stock'!U$16*VLOOKUP($A8,'IDEES okt 2017 template'!$C$183:$AH$190,'IDEES okt 2017 template'!U$162,FALSE),"")*$AR$8/1000</f>
        <v>0.20982300454268002</v>
      </c>
      <c r="X8" s="694">
        <f ca="1">IFERROR('All Stock'!V$16*VLOOKUP($A8,'IDEES okt 2017 template'!$C$183:$AH$190,'IDEES okt 2017 template'!V$162,FALSE),"")*$AR$8/1000</f>
        <v>0.38358919882745857</v>
      </c>
      <c r="Y8" s="694">
        <f ca="1">IFERROR('All Stock'!W$16*VLOOKUP($A8,'IDEES okt 2017 template'!$C$183:$AH$190,'IDEES okt 2017 template'!W$162,FALSE),"")*$AR$8/1000</f>
        <v>3.1369765624480921E-3</v>
      </c>
      <c r="Z8" s="694">
        <f ca="1">IFERROR('All Stock'!X$16*VLOOKUP($A8,'IDEES okt 2017 template'!$C$183:$AH$190,'IDEES okt 2017 template'!X$162,FALSE),"")*$AR$8/1000</f>
        <v>0.4539287835078526</v>
      </c>
      <c r="AA8" s="694">
        <f ca="1">IFERROR('All Stock'!Y$16*VLOOKUP($A8,'IDEES okt 2017 template'!$C$183:$AH$190,'IDEES okt 2017 template'!Y$162,FALSE),"")*$AR$8/1000</f>
        <v>0</v>
      </c>
      <c r="AB8" s="694">
        <f ca="1">IFERROR('All Stock'!Z$16*VLOOKUP($A8,'IDEES okt 2017 template'!$C$183:$AH$190,'IDEES okt 2017 template'!Z$162,FALSE),"")*$AR$8/1000</f>
        <v>7.2383775725826369E-2</v>
      </c>
      <c r="AC8" s="694">
        <f ca="1">IFERROR('All Stock'!AA$16*VLOOKUP($A8,'IDEES okt 2017 template'!$C$183:$AH$190,'IDEES okt 2017 template'!AA$162,FALSE),"")*$AR$8/1000</f>
        <v>0.16935046973499657</v>
      </c>
      <c r="AD8" s="694">
        <f ca="1">IFERROR('All Stock'!AB$16*VLOOKUP($A8,'IDEES okt 2017 template'!$C$183:$AH$190,'IDEES okt 2017 template'!AB$162,FALSE),"")*$AR$8/1000</f>
        <v>1.2494473957332426</v>
      </c>
      <c r="AE8" s="694">
        <f ca="1">IFERROR('All Stock'!AC$16*VLOOKUP($A8,'IDEES okt 2017 template'!$C$183:$AH$190,'IDEES okt 2017 template'!AC$162,FALSE),"")*$AR$8/1000</f>
        <v>0.13272247881143845</v>
      </c>
      <c r="AF8" s="694">
        <f ca="1">IFERROR('All Stock'!AD$16*VLOOKUP($A8,'IDEES okt 2017 template'!$C$183:$AH$190,'IDEES okt 2017 template'!AD$162,FALSE),"")*$AR$8/1000</f>
        <v>1.398888236587996</v>
      </c>
      <c r="AG8" s="694">
        <f ca="1">IFERROR('All Stock'!AE$16*VLOOKUP($A8,'IDEES okt 2017 template'!$C$183:$AH$190,'IDEES okt 2017 template'!AE$162,FALSE),"")*$AR$8/1000</f>
        <v>8.1614730783478487E-2</v>
      </c>
      <c r="AH8" s="694">
        <f ca="1">IFERROR('All Stock'!AF$16*VLOOKUP($A8,'IDEES okt 2017 template'!$C$183:$AH$190,'IDEES okt 2017 template'!AF$162,FALSE),"")*$AR$8/1000</f>
        <v>0.24872070423540749</v>
      </c>
      <c r="AI8" s="694">
        <f ca="1">IFERROR('All Stock'!AG$16*VLOOKUP($A8,'IDEES okt 2017 template'!$C$183:$AH$190,'IDEES okt 2017 template'!AG$162,FALSE),"")*$AR$8/1000</f>
        <v>5.0519079620383453E-3</v>
      </c>
      <c r="AJ8" s="694">
        <f ca="1">IFERROR('All Stock'!AH$16*VLOOKUP($A8,'IDEES okt 2017 template'!$C$183:$AH$190,'IDEES okt 2017 template'!AH$162,FALSE),"")*$AR$8/1000</f>
        <v>0</v>
      </c>
      <c r="AK8" s="694">
        <f ca="1">IFERROR('All Stock'!AI$16*VLOOKUP($A8,'IDEES okt 2017 template'!$C$183:$AN$190,'IDEES okt 2017 template'!AI$162,FALSE),"")*$AR$8/1000</f>
        <v>1.140187492228089E-2</v>
      </c>
      <c r="AL8" s="694">
        <f ca="1">IFERROR('All Stock'!AJ$16*VLOOKUP($A8,'IDEES okt 2017 template'!$C$183:$AN$190,'IDEES okt 2017 template'!AJ$162,FALSE),"")*$AR$8/1000</f>
        <v>1.1613468744869383E-2</v>
      </c>
      <c r="AM8" s="694">
        <f ca="1">IFERROR('All Stock'!AK$16*VLOOKUP($A8,'IDEES okt 2017 template'!$C$183:$AN$190,'IDEES okt 2017 template'!AK$162,FALSE),"")*$AR$8/1000</f>
        <v>2.054766543502997E-2</v>
      </c>
      <c r="AN8" s="694">
        <f ca="1">IFERROR('All Stock'!AL$16*VLOOKUP($A8,'IDEES okt 2017 template'!$C$183:$AN$190,'IDEES okt 2017 template'!AL$162,FALSE),"")*$AR$8/1000</f>
        <v>1.036583187865279E-2</v>
      </c>
      <c r="AO8" s="694">
        <f ca="1">IFERROR('All Stock'!AM$16*VLOOKUP($A8,'IDEES okt 2017 template'!$C$183:$AN$190,'IDEES okt 2017 template'!AM$162,FALSE),"")*$AR$8/1000</f>
        <v>5.1816231808825351E-2</v>
      </c>
      <c r="AP8" s="694">
        <f ca="1">IFERROR('All Stock'!AN$16*VLOOKUP($A8,'IDEES okt 2017 template'!$C$183:$AN$190,'IDEES okt 2017 template'!AN$162,FALSE),"")*$AR$8/1000</f>
        <v>1.8887150740641324E-2</v>
      </c>
      <c r="AQ8" s="509"/>
      <c r="AR8" s="530">
        <v>2</v>
      </c>
      <c r="AS8" t="str">
        <f t="shared" si="0"/>
        <v>Biomass and wastes</v>
      </c>
      <c r="AT8" s="509"/>
    </row>
    <row r="9" spans="1:49">
      <c r="A9" t="str">
        <f>TechComm!T28</f>
        <v>Solids</v>
      </c>
      <c r="C9" t="str">
        <f>TechComm!L53</f>
        <v>R_ES-WH-FL_COA</v>
      </c>
      <c r="D9" t="str">
        <f>TechComm!U28</f>
        <v>RSDCOA</v>
      </c>
      <c r="E9" t="str">
        <f t="shared" si="1"/>
        <v>R_ES-FL-WatHeat</v>
      </c>
      <c r="F9" s="694">
        <f ca="1">IFERROR('All Stock'!D$16*VLOOKUP($A9,'IDEES okt 2017 template'!$C$183:$AH$190,'IDEES okt 2017 template'!D$162,FALSE),"")*$AR$9/1000</f>
        <v>8.565341977212735E-3</v>
      </c>
      <c r="G9" s="694">
        <f ca="1">IFERROR('All Stock'!E$16*VLOOKUP($A9,'IDEES okt 2017 template'!$C$183:$AH$190,'IDEES okt 2017 template'!E$162,FALSE),"")*$AR$9/1000</f>
        <v>0</v>
      </c>
      <c r="H9" s="694">
        <f ca="1">IFERROR('All Stock'!F$16*VLOOKUP($A9,'IDEES okt 2017 template'!$C$183:$AH$190,'IDEES okt 2017 template'!F$162,FALSE),"")*$AR$9/1000</f>
        <v>7.4858589506990895E-3</v>
      </c>
      <c r="I9" s="694">
        <f ca="1">IFERROR('All Stock'!G$16*VLOOKUP($A9,'IDEES okt 2017 template'!$C$183:$AH$190,'IDEES okt 2017 template'!G$162,FALSE),"")*$AR$9/1000</f>
        <v>0</v>
      </c>
      <c r="J9" s="694">
        <f ca="1">IFERROR('All Stock'!H$16*VLOOKUP($A9,'IDEES okt 2017 template'!$C$183:$AH$190,'IDEES okt 2017 template'!H$162,FALSE),"")*$AR$9/1000</f>
        <v>0</v>
      </c>
      <c r="K9" s="694">
        <f ca="1">IFERROR('All Stock'!I$16*VLOOKUP($A9,'IDEES okt 2017 template'!$C$183:$AH$190,'IDEES okt 2017 template'!I$162,FALSE),"")*$AR$9/1000</f>
        <v>6.8373586229453484E-2</v>
      </c>
      <c r="L9" s="694">
        <f ca="1">IFERROR('All Stock'!J$16*VLOOKUP($A9,'IDEES okt 2017 template'!$C$183:$AH$190,'IDEES okt 2017 template'!J$162,FALSE),"")*$AR$9/1000</f>
        <v>0</v>
      </c>
      <c r="M9" s="694">
        <f ca="1">IFERROR('All Stock'!K$16*VLOOKUP($A9,'IDEES okt 2017 template'!$C$183:$AH$190,'IDEES okt 2017 template'!K$162,FALSE),"")*$AR$9/1000</f>
        <v>0</v>
      </c>
      <c r="N9" s="694">
        <f ca="1">IFERROR('All Stock'!L$16*VLOOKUP($A9,'IDEES okt 2017 template'!$C$183:$AH$190,'IDEES okt 2017 template'!L$162,FALSE),"")*$AR$9/1000</f>
        <v>0</v>
      </c>
      <c r="O9" s="694">
        <f ca="1">IFERROR('All Stock'!M$16*VLOOKUP($A9,'IDEES okt 2017 template'!$C$183:$AH$190,'IDEES okt 2017 template'!M$162,FALSE),"")*$AR$9/1000</f>
        <v>0</v>
      </c>
      <c r="P9" s="694">
        <f ca="1">IFERROR('All Stock'!N$16*VLOOKUP($A9,'IDEES okt 2017 template'!$C$183:$AH$190,'IDEES okt 2017 template'!N$162,FALSE),"")*$AR$9/1000</f>
        <v>0</v>
      </c>
      <c r="Q9" s="694">
        <f ca="1">IFERROR('All Stock'!O$16*VLOOKUP($A9,'IDEES okt 2017 template'!$C$183:$AH$190,'IDEES okt 2017 template'!O$162,FALSE),"")*$AR$9/1000</f>
        <v>0</v>
      </c>
      <c r="R9" s="694">
        <f ca="1">IFERROR('All Stock'!P$16*VLOOKUP($A9,'IDEES okt 2017 template'!$C$183:$AH$190,'IDEES okt 2017 template'!P$162,FALSE),"")*$AR$9/1000</f>
        <v>0</v>
      </c>
      <c r="S9" s="694">
        <f ca="1">IFERROR('All Stock'!Q$16*VLOOKUP($A9,'IDEES okt 2017 template'!$C$183:$AH$190,'IDEES okt 2017 template'!Q$162,FALSE),"")*$AR$9/1000</f>
        <v>0</v>
      </c>
      <c r="T9" s="694">
        <f ca="1">IFERROR('All Stock'!R$16*VLOOKUP($A9,'IDEES okt 2017 template'!$C$183:$AH$190,'IDEES okt 2017 template'!R$162,FALSE),"")*$AR$9/1000</f>
        <v>3.4368056622371091E-3</v>
      </c>
      <c r="U9" s="694">
        <f ca="1">IFERROR('All Stock'!S$16*VLOOKUP($A9,'IDEES okt 2017 template'!$C$183:$AH$190,'IDEES okt 2017 template'!S$162,FALSE),"")*$AR$9/1000</f>
        <v>3.585952709646982E-2</v>
      </c>
      <c r="V9" s="694">
        <f ca="1">IFERROR('All Stock'!T$16*VLOOKUP($A9,'IDEES okt 2017 template'!$C$183:$AH$190,'IDEES okt 2017 template'!T$162,FALSE),"")*$AR$9/1000</f>
        <v>0</v>
      </c>
      <c r="W9" s="694">
        <f ca="1">IFERROR('All Stock'!U$16*VLOOKUP($A9,'IDEES okt 2017 template'!$C$183:$AH$190,'IDEES okt 2017 template'!U$162,FALSE),"")*$AR$9/1000</f>
        <v>0</v>
      </c>
      <c r="X9" s="694">
        <f ca="1">IFERROR('All Stock'!V$16*VLOOKUP($A9,'IDEES okt 2017 template'!$C$183:$AH$190,'IDEES okt 2017 template'!V$162,FALSE),"")*$AR$9/1000</f>
        <v>0</v>
      </c>
      <c r="Y9" s="694">
        <f ca="1">IFERROR('All Stock'!W$16*VLOOKUP($A9,'IDEES okt 2017 template'!$C$183:$AH$190,'IDEES okt 2017 template'!W$162,FALSE),"")*$AR$9/1000</f>
        <v>0</v>
      </c>
      <c r="Z9" s="694">
        <f ca="1">IFERROR('All Stock'!X$16*VLOOKUP($A9,'IDEES okt 2017 template'!$C$183:$AH$190,'IDEES okt 2017 template'!X$162,FALSE),"")*$AR$9/1000</f>
        <v>0</v>
      </c>
      <c r="AA9" s="694">
        <f ca="1">IFERROR('All Stock'!Y$16*VLOOKUP($A9,'IDEES okt 2017 template'!$C$183:$AH$190,'IDEES okt 2017 template'!Y$162,FALSE),"")*$AR$9/1000</f>
        <v>0</v>
      </c>
      <c r="AB9" s="694">
        <f ca="1">IFERROR('All Stock'!Z$16*VLOOKUP($A9,'IDEES okt 2017 template'!$C$183:$AH$190,'IDEES okt 2017 template'!Z$162,FALSE),"")*$AR$9/1000</f>
        <v>0</v>
      </c>
      <c r="AC9" s="694">
        <f ca="1">IFERROR('All Stock'!AA$16*VLOOKUP($A9,'IDEES okt 2017 template'!$C$183:$AH$190,'IDEES okt 2017 template'!AA$162,FALSE),"")*$AR$9/1000</f>
        <v>0</v>
      </c>
      <c r="AD9" s="694">
        <f ca="1">IFERROR('All Stock'!AB$16*VLOOKUP($A9,'IDEES okt 2017 template'!$C$183:$AH$190,'IDEES okt 2017 template'!AB$162,FALSE),"")*$AR$9/1000</f>
        <v>3.9008667020634844</v>
      </c>
      <c r="AE9" s="694">
        <f ca="1">IFERROR('All Stock'!AC$16*VLOOKUP($A9,'IDEES okt 2017 template'!$C$183:$AH$190,'IDEES okt 2017 template'!AC$162,FALSE),"")*$AR$9/1000</f>
        <v>0</v>
      </c>
      <c r="AF9" s="694">
        <f ca="1">IFERROR('All Stock'!AD$16*VLOOKUP($A9,'IDEES okt 2017 template'!$C$183:$AH$190,'IDEES okt 2017 template'!AD$162,FALSE),"")*$AR$9/1000</f>
        <v>0</v>
      </c>
      <c r="AG9" s="694">
        <f ca="1">IFERROR('All Stock'!AE$16*VLOOKUP($A9,'IDEES okt 2017 template'!$C$183:$AH$190,'IDEES okt 2017 template'!AE$162,FALSE),"")*$AR$9/1000</f>
        <v>0</v>
      </c>
      <c r="AH9" s="694">
        <f ca="1">IFERROR('All Stock'!AF$16*VLOOKUP($A9,'IDEES okt 2017 template'!$C$183:$AH$190,'IDEES okt 2017 template'!AF$162,FALSE),"")*$AR$9/1000</f>
        <v>0</v>
      </c>
      <c r="AI9" s="694">
        <f ca="1">IFERROR('All Stock'!AG$16*VLOOKUP($A9,'IDEES okt 2017 template'!$C$183:$AH$190,'IDEES okt 2017 template'!AG$162,FALSE),"")*$AR$9/1000</f>
        <v>0</v>
      </c>
      <c r="AJ9" s="694">
        <f ca="1">IFERROR('All Stock'!AH$16*VLOOKUP($A9,'IDEES okt 2017 template'!$C$183:$AH$190,'IDEES okt 2017 template'!AH$162,FALSE),"")*$AR$9/1000</f>
        <v>3.0175506022770127E-2</v>
      </c>
      <c r="AK9" s="694">
        <f ca="1">IFERROR('All Stock'!AI$16*VLOOKUP($A9,'IDEES okt 2017 template'!$C$183:$AN$190,'IDEES okt 2017 template'!AI$162,FALSE),"")*$AR$9/1000</f>
        <v>0</v>
      </c>
      <c r="AL9" s="694">
        <f ca="1">IFERROR('All Stock'!AJ$16*VLOOKUP($A9,'IDEES okt 2017 template'!$C$183:$AN$190,'IDEES okt 2017 template'!AJ$162,FALSE),"")*$AR$9/1000</f>
        <v>0</v>
      </c>
      <c r="AM9" s="694">
        <f ca="1">IFERROR('All Stock'!AK$16*VLOOKUP($A9,'IDEES okt 2017 template'!$C$183:$AN$190,'IDEES okt 2017 template'!AK$162,FALSE),"")*$AR$9/1000</f>
        <v>0</v>
      </c>
      <c r="AN9" s="694">
        <f ca="1">IFERROR('All Stock'!AL$16*VLOOKUP($A9,'IDEES okt 2017 template'!$C$183:$AN$190,'IDEES okt 2017 template'!AL$162,FALSE),"")*$AR$9/1000</f>
        <v>0</v>
      </c>
      <c r="AO9" s="694">
        <f ca="1">IFERROR('All Stock'!AM$16*VLOOKUP($A9,'IDEES okt 2017 template'!$C$183:$AN$190,'IDEES okt 2017 template'!AM$162,FALSE),"")*$AR$9/1000</f>
        <v>0</v>
      </c>
      <c r="AP9" s="694">
        <f ca="1">IFERROR('All Stock'!AN$16*VLOOKUP($A9,'IDEES okt 2017 template'!$C$183:$AN$190,'IDEES okt 2017 template'!AN$162,FALSE),"")*$AR$9/1000</f>
        <v>0</v>
      </c>
      <c r="AQ9" s="509"/>
      <c r="AR9" s="530">
        <v>2</v>
      </c>
      <c r="AS9" t="str">
        <f t="shared" si="0"/>
        <v>Solids</v>
      </c>
      <c r="AT9" s="509"/>
    </row>
    <row r="10" spans="1:49">
      <c r="A10" t="str">
        <f>TechComm!T29</f>
        <v>LPG</v>
      </c>
      <c r="C10" t="str">
        <f>TechComm!L54</f>
        <v>R_ES-WH-FL_LPG</v>
      </c>
      <c r="D10" t="str">
        <f>TechComm!U29</f>
        <v>RSDLPG</v>
      </c>
      <c r="E10" t="str">
        <f t="shared" si="1"/>
        <v>R_ES-FL-WatHeat</v>
      </c>
      <c r="F10" s="694">
        <f ca="1">IFERROR('All Stock'!D$16*VLOOKUP($A10,'IDEES okt 2017 template'!$C$183:$AH$190,'IDEES okt 2017 template'!D$162,FALSE),"")*$AR$10/1000</f>
        <v>4.036540472019795E-2</v>
      </c>
      <c r="G10" s="694">
        <f ca="1">IFERROR('All Stock'!E$16*VLOOKUP($A10,'IDEES okt 2017 template'!$C$183:$AH$190,'IDEES okt 2017 template'!E$162,FALSE),"")*$AR$10/1000</f>
        <v>2.2793851095002819E-2</v>
      </c>
      <c r="H10" s="694">
        <f ca="1">IFERROR('All Stock'!F$16*VLOOKUP($A10,'IDEES okt 2017 template'!$C$183:$AH$190,'IDEES okt 2017 template'!F$162,FALSE),"")*$AR$10/1000</f>
        <v>7.6778040519990664E-4</v>
      </c>
      <c r="I10" s="694">
        <f ca="1">IFERROR('All Stock'!G$16*VLOOKUP($A10,'IDEES okt 2017 template'!$C$183:$AH$190,'IDEES okt 2017 template'!G$162,FALSE),"")*$AR$10/1000</f>
        <v>0</v>
      </c>
      <c r="J10" s="694">
        <f ca="1">IFERROR('All Stock'!H$16*VLOOKUP($A10,'IDEES okt 2017 template'!$C$183:$AH$190,'IDEES okt 2017 template'!H$162,FALSE),"")*$AR$10/1000</f>
        <v>2.1958880859951633E-3</v>
      </c>
      <c r="K10" s="694">
        <f ca="1">IFERROR('All Stock'!I$16*VLOOKUP($A10,'IDEES okt 2017 template'!$C$183:$AH$190,'IDEES okt 2017 template'!I$162,FALSE),"")*$AR$10/1000</f>
        <v>1.4867940495878388E-2</v>
      </c>
      <c r="L10" s="694">
        <f ca="1">IFERROR('All Stock'!J$16*VLOOKUP($A10,'IDEES okt 2017 template'!$C$183:$AH$190,'IDEES okt 2017 template'!J$162,FALSE),"")*$AR$10/1000</f>
        <v>0.88898663517686893</v>
      </c>
      <c r="M10" s="694">
        <f ca="1">IFERROR('All Stock'!K$16*VLOOKUP($A10,'IDEES okt 2017 template'!$C$183:$AH$190,'IDEES okt 2017 template'!K$162,FALSE),"")*$AR$10/1000</f>
        <v>1.4926650277906557E-2</v>
      </c>
      <c r="N10" s="694">
        <f ca="1">IFERROR('All Stock'!L$16*VLOOKUP($A10,'IDEES okt 2017 template'!$C$183:$AH$190,'IDEES okt 2017 template'!L$162,FALSE),"")*$AR$10/1000</f>
        <v>6.7330535000105583E-3</v>
      </c>
      <c r="O10" s="694">
        <f ca="1">IFERROR('All Stock'!M$16*VLOOKUP($A10,'IDEES okt 2017 template'!$C$183:$AH$190,'IDEES okt 2017 template'!M$162,FALSE),"")*$AR$10/1000</f>
        <v>2.5777909943109147</v>
      </c>
      <c r="P10" s="694">
        <f ca="1">IFERROR('All Stock'!N$16*VLOOKUP($A10,'IDEES okt 2017 template'!$C$183:$AH$190,'IDEES okt 2017 template'!N$162,FALSE),"")*$AR$10/1000</f>
        <v>1.7303708244113283E-2</v>
      </c>
      <c r="Q10" s="694">
        <f ca="1">IFERROR('All Stock'!O$16*VLOOKUP($A10,'IDEES okt 2017 template'!$C$183:$AH$190,'IDEES okt 2017 template'!O$162,FALSE),"")*$AR$10/1000</f>
        <v>1.4332739910466015</v>
      </c>
      <c r="R10" s="694">
        <f ca="1">IFERROR('All Stock'!P$16*VLOOKUP($A10,'IDEES okt 2017 template'!$C$183:$AH$190,'IDEES okt 2017 template'!P$162,FALSE),"")*$AR$10/1000</f>
        <v>7.7176159415986198E-2</v>
      </c>
      <c r="S10" s="694">
        <f ca="1">IFERROR('All Stock'!Q$16*VLOOKUP($A10,'IDEES okt 2017 template'!$C$183:$AH$190,'IDEES okt 2017 template'!Q$162,FALSE),"")*$AR$10/1000</f>
        <v>0.10315319870196753</v>
      </c>
      <c r="T10" s="694">
        <f ca="1">IFERROR('All Stock'!R$16*VLOOKUP($A10,'IDEES okt 2017 template'!$C$183:$AH$190,'IDEES okt 2017 template'!R$162,FALSE),"")*$AR$10/1000</f>
        <v>0.1894725904224632</v>
      </c>
      <c r="U10" s="694">
        <f ca="1">IFERROR('All Stock'!S$16*VLOOKUP($A10,'IDEES okt 2017 template'!$C$183:$AH$190,'IDEES okt 2017 template'!S$162,FALSE),"")*$AR$10/1000</f>
        <v>1.2514546949857786E-2</v>
      </c>
      <c r="V10" s="694">
        <f ca="1">IFERROR('All Stock'!T$16*VLOOKUP($A10,'IDEES okt 2017 template'!$C$183:$AH$190,'IDEES okt 2017 template'!T$162,FALSE),"")*$AR$10/1000</f>
        <v>2.0756193496480066E-3</v>
      </c>
      <c r="W10" s="694">
        <f ca="1">IFERROR('All Stock'!U$16*VLOOKUP($A10,'IDEES okt 2017 template'!$C$183:$AH$190,'IDEES okt 2017 template'!U$162,FALSE),"")*$AR$10/1000</f>
        <v>3.767415514935422</v>
      </c>
      <c r="X10" s="694">
        <f ca="1">IFERROR('All Stock'!V$16*VLOOKUP($A10,'IDEES okt 2017 template'!$C$183:$AH$190,'IDEES okt 2017 template'!V$162,FALSE),"")*$AR$10/1000</f>
        <v>5.4344542307460574E-2</v>
      </c>
      <c r="Y10" s="694">
        <f ca="1">IFERROR('All Stock'!W$16*VLOOKUP($A10,'IDEES okt 2017 template'!$C$183:$AH$190,'IDEES okt 2017 template'!W$162,FALSE),"")*$AR$10/1000</f>
        <v>1.5926188701659548E-3</v>
      </c>
      <c r="Z10" s="694">
        <f ca="1">IFERROR('All Stock'!X$16*VLOOKUP($A10,'IDEES okt 2017 template'!$C$183:$AH$190,'IDEES okt 2017 template'!X$162,FALSE),"")*$AR$10/1000</f>
        <v>3.0707956253932574E-2</v>
      </c>
      <c r="AA10" s="694">
        <f ca="1">IFERROR('All Stock'!Y$16*VLOOKUP($A10,'IDEES okt 2017 template'!$C$183:$AH$190,'IDEES okt 2017 template'!Y$162,FALSE),"")*$AR$10/1000</f>
        <v>2.1228334753026202E-2</v>
      </c>
      <c r="AB10" s="694">
        <f ca="1">IFERROR('All Stock'!Z$16*VLOOKUP($A10,'IDEES okt 2017 template'!$C$183:$AH$190,'IDEES okt 2017 template'!Z$162,FALSE),"")*$AR$10/1000</f>
        <v>1.1959198750515069E-2</v>
      </c>
      <c r="AC10" s="694">
        <f ca="1">IFERROR('All Stock'!AA$16*VLOOKUP($A10,'IDEES okt 2017 template'!$C$183:$AH$190,'IDEES okt 2017 template'!AA$162,FALSE),"")*$AR$10/1000</f>
        <v>2.4559750360893463E-2</v>
      </c>
      <c r="AD10" s="694">
        <f ca="1">IFERROR('All Stock'!AB$16*VLOOKUP($A10,'IDEES okt 2017 template'!$C$183:$AH$190,'IDEES okt 2017 template'!AB$162,FALSE),"")*$AR$10/1000</f>
        <v>0.38382627789154483</v>
      </c>
      <c r="AE10" s="694">
        <f ca="1">IFERROR('All Stock'!AC$16*VLOOKUP($A10,'IDEES okt 2017 template'!$C$183:$AH$190,'IDEES okt 2017 template'!AC$162,FALSE),"")*$AR$10/1000</f>
        <v>0.28325203591751646</v>
      </c>
      <c r="AF10" s="694">
        <f ca="1">IFERROR('All Stock'!AD$16*VLOOKUP($A10,'IDEES okt 2017 template'!$C$183:$AH$190,'IDEES okt 2017 template'!AD$162,FALSE),"")*$AR$10/1000</f>
        <v>0.10300353466561525</v>
      </c>
      <c r="AG10" s="694">
        <f ca="1">IFERROR('All Stock'!AE$16*VLOOKUP($A10,'IDEES okt 2017 template'!$C$183:$AH$190,'IDEES okt 2017 template'!AE$162,FALSE),"")*$AR$10/1000</f>
        <v>0</v>
      </c>
      <c r="AH10" s="694">
        <f ca="1">IFERROR('All Stock'!AF$16*VLOOKUP($A10,'IDEES okt 2017 template'!$C$183:$AH$190,'IDEES okt 2017 template'!AF$162,FALSE),"")*$AR$10/1000</f>
        <v>3.7231732849977842E-2</v>
      </c>
      <c r="AI10" s="694">
        <f ca="1">IFERROR('All Stock'!AG$16*VLOOKUP($A10,'IDEES okt 2017 template'!$C$183:$AH$190,'IDEES okt 2017 template'!AG$162,FALSE),"")*$AR$10/1000</f>
        <v>1.4060129388323586E-2</v>
      </c>
      <c r="AJ10" s="694">
        <f ca="1">IFERROR('All Stock'!AH$16*VLOOKUP($A10,'IDEES okt 2017 template'!$C$183:$AH$190,'IDEES okt 2017 template'!AH$162,FALSE),"")*$AR$10/1000</f>
        <v>0.11066857439235123</v>
      </c>
      <c r="AK10" s="694">
        <f ca="1">IFERROR('All Stock'!AI$16*VLOOKUP($A10,'IDEES okt 2017 template'!$C$183:$AN$190,'IDEES okt 2017 template'!AI$162,FALSE),"")*$AR$10/1000</f>
        <v>0.12165600686749237</v>
      </c>
      <c r="AL10" s="694">
        <f ca="1">IFERROR('All Stock'!AJ$16*VLOOKUP($A10,'IDEES okt 2017 template'!$C$183:$AN$190,'IDEES okt 2017 template'!AJ$162,FALSE),"")*$AR$10/1000</f>
        <v>0</v>
      </c>
      <c r="AM10" s="694">
        <f ca="1">IFERROR('All Stock'!AK$16*VLOOKUP($A10,'IDEES okt 2017 template'!$C$183:$AN$190,'IDEES okt 2017 template'!AK$162,FALSE),"")*$AR$10/1000</f>
        <v>0</v>
      </c>
      <c r="AN10" s="694">
        <f ca="1">IFERROR('All Stock'!AL$16*VLOOKUP($A10,'IDEES okt 2017 template'!$C$183:$AN$190,'IDEES okt 2017 template'!AL$162,FALSE),"")*$AR$10/1000</f>
        <v>1.6262283494490902E-2</v>
      </c>
      <c r="AO10" s="694">
        <f ca="1">IFERROR('All Stock'!AM$16*VLOOKUP($A10,'IDEES okt 2017 template'!$C$183:$AN$190,'IDEES okt 2017 template'!AM$162,FALSE),"")*$AR$10/1000</f>
        <v>4.5486881450288633E-2</v>
      </c>
      <c r="AP10" s="694">
        <f ca="1">IFERROR('All Stock'!AN$16*VLOOKUP($A10,'IDEES okt 2017 template'!$C$183:$AN$190,'IDEES okt 2017 template'!AN$162,FALSE),"")*$AR$10/1000</f>
        <v>2.6495985166984114E-2</v>
      </c>
      <c r="AQ10" s="509"/>
      <c r="AR10" s="530">
        <v>2</v>
      </c>
      <c r="AS10" t="str">
        <f t="shared" si="0"/>
        <v>LPG</v>
      </c>
      <c r="AT10" s="509"/>
    </row>
    <row r="11" spans="1:49">
      <c r="A11" s="692" t="str">
        <f>TechComm!T30</f>
        <v>Solar</v>
      </c>
      <c r="B11" s="692"/>
      <c r="C11" s="692" t="str">
        <f>TechComm!L55</f>
        <v>R_ES-WH-FL_SOL</v>
      </c>
      <c r="D11" s="692" t="str">
        <f>TechComm!U30</f>
        <v>RSDSOL</v>
      </c>
      <c r="E11" s="692" t="str">
        <f t="shared" si="1"/>
        <v>R_ES-FL-WatHeat</v>
      </c>
      <c r="F11" s="694">
        <f ca="1">IFERROR('All Stock'!D$16*VLOOKUP($A11,'IDEES okt 2017 template'!$C$183:$AH$190,'IDEES okt 2017 template'!D$162,FALSE),"")*$AR$10/1000</f>
        <v>0.50368148914276267</v>
      </c>
      <c r="G11" s="694">
        <f ca="1">IFERROR('All Stock'!E$16*VLOOKUP($A11,'IDEES okt 2017 template'!$C$183:$AH$190,'IDEES okt 2017 template'!E$162,FALSE),"")*$AR$10/1000</f>
        <v>2.9903615396831975E-2</v>
      </c>
      <c r="H11" s="694">
        <f ca="1">IFERROR('All Stock'!F$16*VLOOKUP($A11,'IDEES okt 2017 template'!$C$183:$AH$190,'IDEES okt 2017 template'!F$162,FALSE),"")*$AR$10/1000</f>
        <v>4.1268196779494982E-2</v>
      </c>
      <c r="I11" s="694">
        <f ca="1">IFERROR('All Stock'!G$16*VLOOKUP($A11,'IDEES okt 2017 template'!$C$183:$AH$190,'IDEES okt 2017 template'!G$162,FALSE),"")*$AR$10/1000</f>
        <v>0.17332947917087826</v>
      </c>
      <c r="J11" s="694">
        <f ca="1">IFERROR('All Stock'!H$16*VLOOKUP($A11,'IDEES okt 2017 template'!$C$183:$AH$190,'IDEES okt 2017 template'!H$162,FALSE),"")*$AR$10/1000</f>
        <v>0.14926260331909225</v>
      </c>
      <c r="K11" s="694">
        <f ca="1">IFERROR('All Stock'!I$16*VLOOKUP($A11,'IDEES okt 2017 template'!$C$183:$AH$190,'IDEES okt 2017 template'!I$162,FALSE),"")*$AR$10/1000</f>
        <v>6.4680276169967785E-2</v>
      </c>
      <c r="L11" s="694">
        <f ca="1">IFERROR('All Stock'!J$16*VLOOKUP($A11,'IDEES okt 2017 template'!$C$183:$AH$190,'IDEES okt 2017 template'!J$162,FALSE),"")*$AR$10/1000</f>
        <v>2.9066896549532086</v>
      </c>
      <c r="M11" s="694">
        <f ca="1">IFERROR('All Stock'!K$16*VLOOKUP($A11,'IDEES okt 2017 template'!$C$183:$AH$190,'IDEES okt 2017 template'!K$162,FALSE),"")*$AR$10/1000</f>
        <v>4.6829580424118764E-2</v>
      </c>
      <c r="N11" s="694">
        <f ca="1">IFERROR('All Stock'!L$16*VLOOKUP($A11,'IDEES okt 2017 template'!$C$183:$AH$190,'IDEES okt 2017 template'!L$162,FALSE),"")*$AR$10/1000</f>
        <v>0</v>
      </c>
      <c r="O11" s="694">
        <f ca="1">IFERROR('All Stock'!M$16*VLOOKUP($A11,'IDEES okt 2017 template'!$C$183:$AH$190,'IDEES okt 2017 template'!M$162,FALSE),"")*$AR$10/1000</f>
        <v>1.1391418640625792</v>
      </c>
      <c r="P11" s="694">
        <f ca="1">IFERROR('All Stock'!N$16*VLOOKUP($A11,'IDEES okt 2017 template'!$C$183:$AH$190,'IDEES okt 2017 template'!N$162,FALSE),"")*$AR$10/1000</f>
        <v>3.9059341424818816E-3</v>
      </c>
      <c r="Q11" s="694">
        <f ca="1">IFERROR('All Stock'!O$16*VLOOKUP($A11,'IDEES okt 2017 template'!$C$183:$AH$190,'IDEES okt 2017 template'!O$162,FALSE),"")*$AR$10/1000</f>
        <v>0.2001247552519676</v>
      </c>
      <c r="R11" s="694">
        <f ca="1">IFERROR('All Stock'!P$16*VLOOKUP($A11,'IDEES okt 2017 template'!$C$183:$AH$190,'IDEES okt 2017 template'!P$162,FALSE),"")*$AR$10/1000</f>
        <v>1.2239198873666726</v>
      </c>
      <c r="S11" s="694">
        <f ca="1">IFERROR('All Stock'!Q$16*VLOOKUP($A11,'IDEES okt 2017 template'!$C$183:$AH$190,'IDEES okt 2017 template'!Q$162,FALSE),"")*$AR$10/1000</f>
        <v>3.2162068536041345E-2</v>
      </c>
      <c r="T11" s="694">
        <f ca="1">IFERROR('All Stock'!R$16*VLOOKUP($A11,'IDEES okt 2017 template'!$C$183:$AH$190,'IDEES okt 2017 template'!R$162,FALSE),"")*$AR$10/1000</f>
        <v>3.8029001784319311E-2</v>
      </c>
      <c r="U11" s="694">
        <f ca="1">IFERROR('All Stock'!S$16*VLOOKUP($A11,'IDEES okt 2017 template'!$C$183:$AH$190,'IDEES okt 2017 template'!S$162,FALSE),"")*$AR$10/1000</f>
        <v>4.9779052923226135E-3</v>
      </c>
      <c r="V11" s="694">
        <f ca="1">IFERROR('All Stock'!T$16*VLOOKUP($A11,'IDEES okt 2017 template'!$C$183:$AH$190,'IDEES okt 2017 template'!T$162,FALSE),"")*$AR$10/1000</f>
        <v>0</v>
      </c>
      <c r="W11" s="694">
        <f ca="1">IFERROR('All Stock'!U$16*VLOOKUP($A11,'IDEES okt 2017 template'!$C$183:$AH$190,'IDEES okt 2017 template'!U$162,FALSE),"")*$AR$10/1000</f>
        <v>1.1661271797819943</v>
      </c>
      <c r="X11" s="694">
        <f ca="1">IFERROR('All Stock'!V$16*VLOOKUP($A11,'IDEES okt 2017 template'!$C$183:$AH$190,'IDEES okt 2017 template'!V$162,FALSE),"")*$AR$10/1000</f>
        <v>0</v>
      </c>
      <c r="Y11" s="694">
        <f ca="1">IFERROR('All Stock'!W$16*VLOOKUP($A11,'IDEES okt 2017 template'!$C$183:$AH$190,'IDEES okt 2017 template'!W$162,FALSE),"")*$AR$10/1000</f>
        <v>4.1504612980082451E-3</v>
      </c>
      <c r="Z11" s="694">
        <f ca="1">IFERROR('All Stock'!X$16*VLOOKUP($A11,'IDEES okt 2017 template'!$C$183:$AH$190,'IDEES okt 2017 template'!X$162,FALSE),"")*$AR$10/1000</f>
        <v>0</v>
      </c>
      <c r="AA11" s="694">
        <f ca="1">IFERROR('All Stock'!Y$16*VLOOKUP($A11,'IDEES okt 2017 template'!$C$183:$AH$190,'IDEES okt 2017 template'!Y$162,FALSE),"")*$AR$10/1000</f>
        <v>0</v>
      </c>
      <c r="AB11" s="694">
        <f ca="1">IFERROR('All Stock'!Z$16*VLOOKUP($A11,'IDEES okt 2017 template'!$C$183:$AH$190,'IDEES okt 2017 template'!Z$162,FALSE),"")*$AR$10/1000</f>
        <v>6.6597586572949147E-2</v>
      </c>
      <c r="AC11" s="694">
        <f ca="1">IFERROR('All Stock'!AA$16*VLOOKUP($A11,'IDEES okt 2017 template'!$C$183:$AH$190,'IDEES okt 2017 template'!AA$162,FALSE),"")*$AR$10/1000</f>
        <v>0</v>
      </c>
      <c r="AD11" s="694">
        <f ca="1">IFERROR('All Stock'!AB$16*VLOOKUP($A11,'IDEES okt 2017 template'!$C$183:$AH$190,'IDEES okt 2017 template'!AB$162,FALSE),"")*$AR$10/1000</f>
        <v>0</v>
      </c>
      <c r="AE11" s="694">
        <f ca="1">IFERROR('All Stock'!AC$16*VLOOKUP($A11,'IDEES okt 2017 template'!$C$183:$AH$190,'IDEES okt 2017 template'!AC$162,FALSE),"")*$AR$10/1000</f>
        <v>0.10182967522335659</v>
      </c>
      <c r="AF11" s="694">
        <f ca="1">IFERROR('All Stock'!AD$16*VLOOKUP($A11,'IDEES okt 2017 template'!$C$183:$AH$190,'IDEES okt 2017 template'!AD$162,FALSE),"")*$AR$10/1000</f>
        <v>0</v>
      </c>
      <c r="AG11" s="694">
        <f ca="1">IFERROR('All Stock'!AE$16*VLOOKUP($A11,'IDEES okt 2017 template'!$C$183:$AH$190,'IDEES okt 2017 template'!AE$162,FALSE),"")*$AR$10/1000</f>
        <v>7.6292030949773396E-2</v>
      </c>
      <c r="AH11" s="694">
        <f ca="1">IFERROR('All Stock'!AF$16*VLOOKUP($A11,'IDEES okt 2017 template'!$C$183:$AH$190,'IDEES okt 2017 template'!AF$162,FALSE),"")*$AR$10/1000</f>
        <v>3.2203857815536384E-2</v>
      </c>
      <c r="AI11" s="694">
        <f ca="1">IFERROR('All Stock'!AG$16*VLOOKUP($A11,'IDEES okt 2017 template'!$C$183:$AH$190,'IDEES okt 2017 template'!AG$162,FALSE),"")*$AR$10/1000</f>
        <v>0</v>
      </c>
      <c r="AJ11" s="694">
        <f ca="1">IFERROR('All Stock'!AH$16*VLOOKUP($A11,'IDEES okt 2017 template'!$C$183:$AH$190,'IDEES okt 2017 template'!AH$162,FALSE),"")*$AR$10/1000</f>
        <v>0.16339115838979393</v>
      </c>
      <c r="AK11" s="694">
        <f ca="1">IFERROR('All Stock'!AI$16*VLOOKUP($A11,'IDEES okt 2017 template'!$C$183:$AN$190,'IDEES okt 2017 template'!AI$162,FALSE),"")*$AR$10/1000</f>
        <v>1.3345577562298891E-2</v>
      </c>
      <c r="AL11" s="694">
        <f ca="1">IFERROR('All Stock'!AJ$16*VLOOKUP($A11,'IDEES okt 2017 template'!$C$183:$AN$190,'IDEES okt 2017 template'!AJ$162,FALSE),"")*$AR$10/1000</f>
        <v>0</v>
      </c>
      <c r="AM11" s="694">
        <f ca="1">IFERROR('All Stock'!AK$16*VLOOKUP($A11,'IDEES okt 2017 template'!$C$183:$AN$190,'IDEES okt 2017 template'!AK$162,FALSE),"")*$AR$10/1000</f>
        <v>0</v>
      </c>
      <c r="AN11" s="694">
        <f ca="1">IFERROR('All Stock'!AL$16*VLOOKUP($A11,'IDEES okt 2017 template'!$C$183:$AN$190,'IDEES okt 2017 template'!AL$162,FALSE),"")*$AR$10/1000</f>
        <v>0</v>
      </c>
      <c r="AO11" s="694">
        <f ca="1">IFERROR('All Stock'!AM$16*VLOOKUP($A11,'IDEES okt 2017 template'!$C$183:$AN$190,'IDEES okt 2017 template'!AM$162,FALSE),"")*$AR$10/1000</f>
        <v>0</v>
      </c>
      <c r="AP11" s="694">
        <f ca="1">IFERROR('All Stock'!AN$16*VLOOKUP($A11,'IDEES okt 2017 template'!$C$183:$AN$190,'IDEES okt 2017 template'!AN$162,FALSE),"")*$AR$10/1000</f>
        <v>2.0179792218588109E-3</v>
      </c>
      <c r="AQ11" s="509"/>
      <c r="AR11" s="530">
        <v>2</v>
      </c>
      <c r="AS11" t="str">
        <f t="shared" si="0"/>
        <v>Solar</v>
      </c>
      <c r="AT11" s="509"/>
    </row>
    <row r="12" spans="1:49">
      <c r="A12" t="str">
        <f>A4</f>
        <v>Electricity</v>
      </c>
      <c r="C12" t="str">
        <f>TechComm!L56</f>
        <v>R_ES-WH-DH_ELC</v>
      </c>
      <c r="D12" t="str">
        <f t="shared" ref="D12:D27" si="2">D4</f>
        <v>RSDELC-heating</v>
      </c>
      <c r="E12" t="str">
        <f>TechComm!C20</f>
        <v>R_ES-DH-WatHeat</v>
      </c>
      <c r="F12" s="694">
        <f ca="1">IFERROR('All Stock'!D$12*VLOOKUP($A12,'IDEES okt 2017 template'!$C$183:$AH$190,'IDEES okt 2017 template'!D$162,FALSE),"")*$AR$12/1000</f>
        <v>1.2699945516710498</v>
      </c>
      <c r="G12" s="694">
        <f ca="1">IFERROR('All Stock'!E$12*VLOOKUP($A12,'IDEES okt 2017 template'!$C$183:$AH$190,'IDEES okt 2017 template'!E$162,FALSE),"")*$AR$12/1000</f>
        <v>0.77135467874577279</v>
      </c>
      <c r="H12" s="694">
        <f ca="1">IFERROR('All Stock'!F$12*VLOOKUP($A12,'IDEES okt 2017 template'!$C$183:$AH$190,'IDEES okt 2017 template'!F$162,FALSE),"")*$AR$12/1000</f>
        <v>1.9996076318261746</v>
      </c>
      <c r="I12" s="694">
        <f ca="1">IFERROR('All Stock'!G$12*VLOOKUP($A12,'IDEES okt 2017 template'!$C$183:$AH$190,'IDEES okt 2017 template'!G$162,FALSE),"")*$AR$12/1000</f>
        <v>1.0805407486424958</v>
      </c>
      <c r="J12" s="694">
        <f ca="1">IFERROR('All Stock'!H$12*VLOOKUP($A12,'IDEES okt 2017 template'!$C$183:$AH$190,'IDEES okt 2017 template'!H$162,FALSE),"")*$AR$12/1000</f>
        <v>3.3038743255867843E-2</v>
      </c>
      <c r="K12" s="694">
        <f ca="1">IFERROR('All Stock'!I$12*VLOOKUP($A12,'IDEES okt 2017 template'!$C$183:$AH$190,'IDEES okt 2017 template'!I$162,FALSE),"")*$AR$12/1000</f>
        <v>2.6055285695868085</v>
      </c>
      <c r="L12" s="694">
        <f ca="1">IFERROR('All Stock'!J$12*VLOOKUP($A12,'IDEES okt 2017 template'!$C$183:$AH$190,'IDEES okt 2017 template'!J$162,FALSE),"")*$AR$12/1000</f>
        <v>8.0150429125539784</v>
      </c>
      <c r="M12" s="694">
        <f ca="1">IFERROR('All Stock'!K$12*VLOOKUP($A12,'IDEES okt 2017 template'!$C$183:$AH$190,'IDEES okt 2017 template'!K$162,FALSE),"")*$AR$12/1000</f>
        <v>0.72930343060960812</v>
      </c>
      <c r="N12" s="694">
        <f ca="1">IFERROR('All Stock'!L$12*VLOOKUP($A12,'IDEES okt 2017 template'!$C$183:$AH$190,'IDEES okt 2017 template'!L$162,FALSE),"")*$AR$12/1000</f>
        <v>7.463782473514767E-2</v>
      </c>
      <c r="O12" s="694">
        <f ca="1">IFERROR('All Stock'!M$12*VLOOKUP($A12,'IDEES okt 2017 template'!$C$183:$AH$190,'IDEES okt 2017 template'!M$162,FALSE),"")*$AR$12/1000</f>
        <v>1.6982695248288118</v>
      </c>
      <c r="P12" s="694">
        <f ca="1">IFERROR('All Stock'!N$12*VLOOKUP($A12,'IDEES okt 2017 template'!$C$183:$AH$190,'IDEES okt 2017 template'!N$162,FALSE),"")*$AR$12/1000</f>
        <v>1.4976771246076535</v>
      </c>
      <c r="Q12" s="694">
        <f ca="1">IFERROR('All Stock'!O$12*VLOOKUP($A12,'IDEES okt 2017 template'!$C$183:$AH$190,'IDEES okt 2017 template'!O$162,FALSE),"")*$AR$12/1000</f>
        <v>11.456737921556652</v>
      </c>
      <c r="R12" s="694">
        <f ca="1">IFERROR('All Stock'!P$12*VLOOKUP($A12,'IDEES okt 2017 template'!$C$183:$AH$190,'IDEES okt 2017 template'!P$162,FALSE),"")*$AR$12/1000</f>
        <v>1.750924188875548</v>
      </c>
      <c r="S12" s="694">
        <f ca="1">IFERROR('All Stock'!Q$12*VLOOKUP($A12,'IDEES okt 2017 template'!$C$183:$AH$190,'IDEES okt 2017 template'!Q$162,FALSE),"")*$AR$12/1000</f>
        <v>1.0370087231235239</v>
      </c>
      <c r="T12" s="694">
        <f ca="1">IFERROR('All Stock'!R$12*VLOOKUP($A12,'IDEES okt 2017 template'!$C$183:$AH$190,'IDEES okt 2017 template'!R$162,FALSE),"")*$AR$12/1000</f>
        <v>1.6752393327114989</v>
      </c>
      <c r="U12" s="694">
        <f ca="1">IFERROR('All Stock'!S$12*VLOOKUP($A12,'IDEES okt 2017 template'!$C$183:$AH$190,'IDEES okt 2017 template'!S$162,FALSE),"")*$AR$12/1000</f>
        <v>0.6176514327111835</v>
      </c>
      <c r="V12" s="694">
        <f ca="1">IFERROR('All Stock'!T$12*VLOOKUP($A12,'IDEES okt 2017 template'!$C$183:$AH$190,'IDEES okt 2017 template'!T$162,FALSE),"")*$AR$12/1000</f>
        <v>7.7314217830451254E-2</v>
      </c>
      <c r="W12" s="694">
        <f ca="1">IFERROR('All Stock'!U$12*VLOOKUP($A12,'IDEES okt 2017 template'!$C$183:$AH$190,'IDEES okt 2017 template'!U$162,FALSE),"")*$AR$12/1000</f>
        <v>1.4208556225022131</v>
      </c>
      <c r="X12" s="694">
        <f ca="1">IFERROR('All Stock'!V$12*VLOOKUP($A12,'IDEES okt 2017 template'!$C$183:$AH$190,'IDEES okt 2017 template'!V$162,FALSE),"")*$AR$12/1000</f>
        <v>0.151133192951418</v>
      </c>
      <c r="Y12" s="694">
        <f ca="1">IFERROR('All Stock'!W$12*VLOOKUP($A12,'IDEES okt 2017 template'!$C$183:$AH$190,'IDEES okt 2017 template'!W$162,FALSE),"")*$AR$12/1000</f>
        <v>3.4156470411551759E-2</v>
      </c>
      <c r="Z12" s="694">
        <f ca="1">IFERROR('All Stock'!X$12*VLOOKUP($A12,'IDEES okt 2017 template'!$C$183:$AH$190,'IDEES okt 2017 template'!X$162,FALSE),"")*$AR$12/1000</f>
        <v>5.2757517158564832E-2</v>
      </c>
      <c r="AA12" s="694">
        <f ca="1">IFERROR('All Stock'!Y$12*VLOOKUP($A12,'IDEES okt 2017 template'!$C$183:$AH$190,'IDEES okt 2017 template'!Y$162,FALSE),"")*$AR$12/1000</f>
        <v>6.2484556125028236E-3</v>
      </c>
      <c r="AB12" s="694">
        <f ca="1">IFERROR('All Stock'!Z$12*VLOOKUP($A12,'IDEES okt 2017 template'!$C$183:$AH$190,'IDEES okt 2017 template'!Z$162,FALSE),"")*$AR$12/1000</f>
        <v>0.22528496196894282</v>
      </c>
      <c r="AC12" s="694">
        <f ca="1">IFERROR('All Stock'!AA$12*VLOOKUP($A12,'IDEES okt 2017 template'!$C$183:$AH$190,'IDEES okt 2017 template'!AA$162,FALSE),"")*$AR$12/1000</f>
        <v>2.0203483990104676</v>
      </c>
      <c r="AD12" s="694">
        <f ca="1">IFERROR('All Stock'!AB$12*VLOOKUP($A12,'IDEES okt 2017 template'!$C$183:$AH$190,'IDEES okt 2017 template'!AB$162,FALSE),"")*$AR$12/1000</f>
        <v>0.98335799518332589</v>
      </c>
      <c r="AE12" s="694">
        <f ca="1">IFERROR('All Stock'!AC$12*VLOOKUP($A12,'IDEES okt 2017 template'!$C$183:$AH$190,'IDEES okt 2017 template'!AC$162,FALSE),"")*$AR$12/1000</f>
        <v>0.52596065260172897</v>
      </c>
      <c r="AF12" s="694">
        <f ca="1">IFERROR('All Stock'!AD$12*VLOOKUP($A12,'IDEES okt 2017 template'!$C$183:$AH$190,'IDEES okt 2017 template'!AD$162,FALSE),"")*$AR$12/1000</f>
        <v>1.1686425261372611</v>
      </c>
      <c r="AG12" s="694">
        <f ca="1">IFERROR('All Stock'!AE$12*VLOOKUP($A12,'IDEES okt 2017 template'!$C$183:$AH$190,'IDEES okt 2017 template'!AE$162,FALSE),"")*$AR$12/1000</f>
        <v>2.8928757963419405</v>
      </c>
      <c r="AH12" s="694">
        <f ca="1">IFERROR('All Stock'!AF$12*VLOOKUP($A12,'IDEES okt 2017 template'!$C$183:$AH$190,'IDEES okt 2017 template'!AF$162,FALSE),"")*$AR$12/1000</f>
        <v>0.29279892963616505</v>
      </c>
      <c r="AI12" s="694">
        <f ca="1">IFERROR('All Stock'!AG$12*VLOOKUP($A12,'IDEES okt 2017 template'!$C$183:$AH$190,'IDEES okt 2017 template'!AG$162,FALSE),"")*$AR$12/1000</f>
        <v>0.31768758298999555</v>
      </c>
      <c r="AJ12" s="694">
        <f ca="1">IFERROR('All Stock'!AH$12*VLOOKUP($A12,'IDEES okt 2017 template'!$C$183:$AH$190,'IDEES okt 2017 template'!AH$162,FALSE),"")*$AR$12/1000</f>
        <v>3.4016038771868278</v>
      </c>
      <c r="AK12" s="694">
        <f ca="1">IFERROR('All Stock'!AI$12*VLOOKUP($A12,'IDEES okt 2017 template'!$C$183:$AN$190,'IDEES okt 2017 template'!AI$162,FALSE),"")*$AR$12/1000</f>
        <v>0.26731278962960464</v>
      </c>
      <c r="AL12" s="694">
        <f ca="1">IFERROR('All Stock'!AJ$12*VLOOKUP($A12,'IDEES okt 2017 template'!$C$183:$AN$190,'IDEES okt 2017 template'!AJ$162,FALSE),"")*$AR$12/1000</f>
        <v>0.80599592992320046</v>
      </c>
      <c r="AM12" s="694">
        <f ca="1">IFERROR('All Stock'!AK$12*VLOOKUP($A12,'IDEES okt 2017 template'!$C$183:$AN$190,'IDEES okt 2017 template'!AK$162,FALSE),"")*$AR$12/1000</f>
        <v>0.19158888291489556</v>
      </c>
      <c r="AN12" s="694">
        <f ca="1">IFERROR('All Stock'!AL$12*VLOOKUP($A12,'IDEES okt 2017 template'!$C$183:$AN$190,'IDEES okt 2017 template'!AL$162,FALSE),"")*$AR$12/1000</f>
        <v>0.43965702183760691</v>
      </c>
      <c r="AO12" s="694">
        <f ca="1">IFERROR('All Stock'!AM$12*VLOOKUP($A12,'IDEES okt 2017 template'!$C$183:$AN$190,'IDEES okt 2017 template'!AM$162,FALSE),"")*$AR$12/1000</f>
        <v>2.1103501107596867</v>
      </c>
      <c r="AP12" s="694">
        <f ca="1">IFERROR('All Stock'!AN$12*VLOOKUP($A12,'IDEES okt 2017 template'!$C$183:$AN$190,'IDEES okt 2017 template'!AN$162,FALSE),"")*$AR$12/1000</f>
        <v>0.52252338647216579</v>
      </c>
      <c r="AQ12" s="509"/>
      <c r="AR12">
        <v>5</v>
      </c>
      <c r="AS12" t="str">
        <f t="shared" si="0"/>
        <v>Electricity</v>
      </c>
      <c r="AT12" s="509"/>
      <c r="AW12" s="496">
        <f ca="1">AG12*AG99*AG124</f>
        <v>5.9150044921842078</v>
      </c>
    </row>
    <row r="13" spans="1:49">
      <c r="A13" t="str">
        <f t="shared" ref="A13:A27" si="3">A5</f>
        <v>Gases</v>
      </c>
      <c r="C13" t="str">
        <f>TechComm!L57</f>
        <v>R_ES-WH-DH_GAS</v>
      </c>
      <c r="D13" t="str">
        <f t="shared" si="2"/>
        <v>RSDGAS</v>
      </c>
      <c r="E13" t="str">
        <f t="shared" ref="E13:E19" si="4">E12</f>
        <v>R_ES-DH-WatHeat</v>
      </c>
      <c r="F13" s="694">
        <f ca="1">IFERROR('All Stock'!D$12*VLOOKUP($A13,'IDEES okt 2017 template'!$C$183:$AH$190,'IDEES okt 2017 template'!D$162,FALSE),"")*$AR$13/1000</f>
        <v>2.1026514820510758</v>
      </c>
      <c r="G13" s="694">
        <f ca="1">IFERROR('All Stock'!E$12*VLOOKUP($A13,'IDEES okt 2017 template'!$C$183:$AH$190,'IDEES okt 2017 template'!E$162,FALSE),"")*$AR$13/1000</f>
        <v>5.3409604071155661</v>
      </c>
      <c r="H13" s="694">
        <f ca="1">IFERROR('All Stock'!F$12*VLOOKUP($A13,'IDEES okt 2017 template'!$C$183:$AH$190,'IDEES okt 2017 template'!F$162,FALSE),"")*$AR$13/1000</f>
        <v>7.954240303396938E-2</v>
      </c>
      <c r="I13" s="694">
        <f ca="1">IFERROR('All Stock'!G$12*VLOOKUP($A13,'IDEES okt 2017 template'!$C$183:$AH$190,'IDEES okt 2017 template'!G$162,FALSE),"")*$AR$13/1000</f>
        <v>2.0707873826782119</v>
      </c>
      <c r="J13" s="694">
        <f ca="1">IFERROR('All Stock'!H$12*VLOOKUP($A13,'IDEES okt 2017 template'!$C$183:$AH$190,'IDEES okt 2017 template'!H$162,FALSE),"")*$AR$13/1000</f>
        <v>0</v>
      </c>
      <c r="K13" s="694">
        <f ca="1">IFERROR('All Stock'!I$12*VLOOKUP($A13,'IDEES okt 2017 template'!$C$183:$AH$190,'IDEES okt 2017 template'!I$162,FALSE),"")*$AR$13/1000</f>
        <v>3.5331231700662511</v>
      </c>
      <c r="L13" s="694">
        <f ca="1">IFERROR('All Stock'!J$12*VLOOKUP($A13,'IDEES okt 2017 template'!$C$183:$AH$190,'IDEES okt 2017 template'!J$162,FALSE),"")*$AR$13/1000</f>
        <v>35.188645821848084</v>
      </c>
      <c r="M13" s="694">
        <f ca="1">IFERROR('All Stock'!K$12*VLOOKUP($A13,'IDEES okt 2017 template'!$C$183:$AH$190,'IDEES okt 2017 template'!K$162,FALSE),"")*$AR$13/1000</f>
        <v>1.6358394686921252</v>
      </c>
      <c r="N13" s="694">
        <f ca="1">IFERROR('All Stock'!L$12*VLOOKUP($A13,'IDEES okt 2017 template'!$C$183:$AH$190,'IDEES okt 2017 template'!L$162,FALSE),"")*$AR$13/1000</f>
        <v>5.8837452895256569E-2</v>
      </c>
      <c r="O13" s="694">
        <f ca="1">IFERROR('All Stock'!M$12*VLOOKUP($A13,'IDEES okt 2017 template'!$C$183:$AH$190,'IDEES okt 2017 template'!M$162,FALSE),"")*$AR$13/1000</f>
        <v>3.5667449751103266</v>
      </c>
      <c r="P13" s="694">
        <f ca="1">IFERROR('All Stock'!N$12*VLOOKUP($A13,'IDEES okt 2017 template'!$C$183:$AH$190,'IDEES okt 2017 template'!N$162,FALSE),"")*$AR$13/1000</f>
        <v>6.2503909264507843E-2</v>
      </c>
      <c r="Q13" s="694">
        <f ca="1">IFERROR('All Stock'!O$12*VLOOKUP($A13,'IDEES okt 2017 template'!$C$183:$AH$190,'IDEES okt 2017 template'!O$162,FALSE),"")*$AR$13/1000</f>
        <v>24.414424462570931</v>
      </c>
      <c r="R13" s="694">
        <f ca="1">IFERROR('All Stock'!P$12*VLOOKUP($A13,'IDEES okt 2017 template'!$C$183:$AH$190,'IDEES okt 2017 template'!P$162,FALSE),"")*$AR$13/1000</f>
        <v>0.17580201329034126</v>
      </c>
      <c r="S13" s="694">
        <f ca="1">IFERROR('All Stock'!Q$12*VLOOKUP($A13,'IDEES okt 2017 template'!$C$183:$AH$190,'IDEES okt 2017 template'!Q$162,FALSE),"")*$AR$13/1000</f>
        <v>2.4389045643440443</v>
      </c>
      <c r="T13" s="694">
        <f ca="1">IFERROR('All Stock'!R$12*VLOOKUP($A13,'IDEES okt 2017 template'!$C$183:$AH$190,'IDEES okt 2017 template'!R$162,FALSE),"")*$AR$13/1000</f>
        <v>9.5448038040150429</v>
      </c>
      <c r="U13" s="694">
        <f ca="1">IFERROR('All Stock'!S$12*VLOOKUP($A13,'IDEES okt 2017 template'!$C$183:$AH$190,'IDEES okt 2017 template'!S$162,FALSE),"")*$AR$13/1000</f>
        <v>1.3402502434316197</v>
      </c>
      <c r="V13" s="694">
        <f ca="1">IFERROR('All Stock'!T$12*VLOOKUP($A13,'IDEES okt 2017 template'!$C$183:$AH$190,'IDEES okt 2017 template'!T$162,FALSE),"")*$AR$13/1000</f>
        <v>0</v>
      </c>
      <c r="W13" s="694">
        <f ca="1">IFERROR('All Stock'!U$12*VLOOKUP($A13,'IDEES okt 2017 template'!$C$183:$AH$190,'IDEES okt 2017 template'!U$162,FALSE),"")*$AR$13/1000</f>
        <v>16.471781709706352</v>
      </c>
      <c r="X13" s="694">
        <f ca="1">IFERROR('All Stock'!V$12*VLOOKUP($A13,'IDEES okt 2017 template'!$C$183:$AH$190,'IDEES okt 2017 template'!V$162,FALSE),"")*$AR$13/1000</f>
        <v>0.24063238065233589</v>
      </c>
      <c r="Y13" s="694">
        <f ca="1">IFERROR('All Stock'!W$12*VLOOKUP($A13,'IDEES okt 2017 template'!$C$183:$AH$190,'IDEES okt 2017 template'!W$162,FALSE),"")*$AR$13/1000</f>
        <v>0.27555361238536635</v>
      </c>
      <c r="Z13" s="694">
        <f ca="1">IFERROR('All Stock'!X$12*VLOOKUP($A13,'IDEES okt 2017 template'!$C$183:$AH$190,'IDEES okt 2017 template'!X$162,FALSE),"")*$AR$13/1000</f>
        <v>0.18128278717788257</v>
      </c>
      <c r="AA13" s="694">
        <f ca="1">IFERROR('All Stock'!Y$12*VLOOKUP($A13,'IDEES okt 2017 template'!$C$183:$AH$190,'IDEES okt 2017 template'!Y$162,FALSE),"")*$AR$13/1000</f>
        <v>0</v>
      </c>
      <c r="AB13" s="694">
        <f ca="1">IFERROR('All Stock'!Z$12*VLOOKUP($A13,'IDEES okt 2017 template'!$C$183:$AH$190,'IDEES okt 2017 template'!Z$162,FALSE),"")*$AR$13/1000</f>
        <v>6.3809735153615659</v>
      </c>
      <c r="AC13" s="694">
        <f ca="1">IFERROR('All Stock'!AA$12*VLOOKUP($A13,'IDEES okt 2017 template'!$C$183:$AH$190,'IDEES okt 2017 template'!AA$162,FALSE),"")*$AR$13/1000</f>
        <v>3.3202394357594906E-3</v>
      </c>
      <c r="AD13" s="694">
        <f ca="1">IFERROR('All Stock'!AB$12*VLOOKUP($A13,'IDEES okt 2017 template'!$C$183:$AH$190,'IDEES okt 2017 template'!AB$162,FALSE),"")*$AR$13/1000</f>
        <v>6.7885801600071094</v>
      </c>
      <c r="AE13" s="694">
        <f ca="1">IFERROR('All Stock'!AC$12*VLOOKUP($A13,'IDEES okt 2017 template'!$C$183:$AH$190,'IDEES okt 2017 template'!AC$162,FALSE),"")*$AR$13/1000</f>
        <v>0.76690702171550584</v>
      </c>
      <c r="AF13" s="694">
        <f ca="1">IFERROR('All Stock'!AD$12*VLOOKUP($A13,'IDEES okt 2017 template'!$C$183:$AH$190,'IDEES okt 2017 template'!AD$162,FALSE),"")*$AR$13/1000</f>
        <v>6.9876882508177749</v>
      </c>
      <c r="AG13" s="694">
        <f ca="1">IFERROR('All Stock'!AE$12*VLOOKUP($A13,'IDEES okt 2017 template'!$C$183:$AH$190,'IDEES okt 2017 template'!AE$162,FALSE),"")*$AR$13/1000</f>
        <v>0.18463560286464667</v>
      </c>
      <c r="AH13" s="694">
        <f ca="1">IFERROR('All Stock'!AF$12*VLOOKUP($A13,'IDEES okt 2017 template'!$C$183:$AH$190,'IDEES okt 2017 template'!AF$162,FALSE),"")*$AR$13/1000</f>
        <v>0.17015028081958258</v>
      </c>
      <c r="AI13" s="694">
        <f ca="1">IFERROR('All Stock'!AG$12*VLOOKUP($A13,'IDEES okt 2017 template'!$C$183:$AH$190,'IDEES okt 2017 template'!AG$162,FALSE),"")*$AR$13/1000</f>
        <v>2.6460388856730832</v>
      </c>
      <c r="AJ13" s="694">
        <f ca="1">IFERROR('All Stock'!AH$12*VLOOKUP($A13,'IDEES okt 2017 template'!$C$183:$AH$190,'IDEES okt 2017 template'!AH$162,FALSE),"")*$AR$13/1000</f>
        <v>33.373086240084696</v>
      </c>
      <c r="AK13" s="694">
        <f ca="1">IFERROR('All Stock'!AI$12*VLOOKUP($A13,'IDEES okt 2017 template'!$C$183:$AN$190,'IDEES okt 2017 template'!AI$162,FALSE),"")*$AR$13/1000</f>
        <v>0</v>
      </c>
      <c r="AL13" s="694">
        <f ca="1">IFERROR('All Stock'!AJ$12*VLOOKUP($A13,'IDEES okt 2017 template'!$C$183:$AN$190,'IDEES okt 2017 template'!AJ$162,FALSE),"")*$AR$13/1000</f>
        <v>0.18666116224363372</v>
      </c>
      <c r="AM13" s="694">
        <f ca="1">IFERROR('All Stock'!AK$12*VLOOKUP($A13,'IDEES okt 2017 template'!$C$183:$AN$190,'IDEES okt 2017 template'!AK$162,FALSE),"")*$AR$13/1000</f>
        <v>0</v>
      </c>
      <c r="AN13" s="694">
        <f ca="1">IFERROR('All Stock'!AL$12*VLOOKUP($A13,'IDEES okt 2017 template'!$C$183:$AN$190,'IDEES okt 2017 template'!AL$162,FALSE),"")*$AR$13/1000</f>
        <v>0</v>
      </c>
      <c r="AO13" s="694">
        <f ca="1">IFERROR('All Stock'!AM$12*VLOOKUP($A13,'IDEES okt 2017 template'!$C$183:$AN$190,'IDEES okt 2017 template'!AM$162,FALSE),"")*$AR$13/1000</f>
        <v>0.756973236090702</v>
      </c>
      <c r="AP13" s="694">
        <f ca="1">IFERROR('All Stock'!AN$12*VLOOKUP($A13,'IDEES okt 2017 template'!$C$183:$AN$190,'IDEES okt 2017 template'!AN$162,FALSE),"")*$AR$13/1000</f>
        <v>0</v>
      </c>
      <c r="AQ13" s="509"/>
      <c r="AR13">
        <v>12</v>
      </c>
      <c r="AS13" t="str">
        <f t="shared" si="0"/>
        <v>Gases</v>
      </c>
      <c r="AT13" s="509"/>
      <c r="AW13" s="496">
        <f t="shared" ref="AW13:AW19" ca="1" si="5">AG13*AG100*AG125</f>
        <v>0.15730028082299594</v>
      </c>
    </row>
    <row r="14" spans="1:49">
      <c r="A14" t="str">
        <f t="shared" si="3"/>
        <v>Derived heat</v>
      </c>
      <c r="C14" t="str">
        <f>TechComm!L58</f>
        <v>R_ES-WH-DH_HET</v>
      </c>
      <c r="D14" t="str">
        <f t="shared" si="2"/>
        <v>RSDHET</v>
      </c>
      <c r="E14" t="str">
        <f t="shared" si="4"/>
        <v>R_ES-DH-WatHeat</v>
      </c>
      <c r="F14" s="694">
        <f ca="1">IFERROR('All Stock'!D$12*VLOOKUP($A14,'IDEES okt 2017 template'!$C$183:$AH$190,'IDEES okt 2017 template'!D$162,FALSE),"")*$AR$14/1000</f>
        <v>2.4830627143928239</v>
      </c>
      <c r="G14" s="694">
        <f ca="1">IFERROR('All Stock'!E$12*VLOOKUP($A14,'IDEES okt 2017 template'!$C$183:$AH$190,'IDEES okt 2017 template'!E$162,FALSE),"")*$AR$14/1000</f>
        <v>2.5362477208760469E-2</v>
      </c>
      <c r="H14" s="694">
        <f ca="1">IFERROR('All Stock'!F$12*VLOOKUP($A14,'IDEES okt 2017 template'!$C$183:$AH$190,'IDEES okt 2017 template'!F$162,FALSE),"")*$AR$14/1000</f>
        <v>2.4194147589499018</v>
      </c>
      <c r="I14" s="694">
        <f ca="1">IFERROR('All Stock'!G$12*VLOOKUP($A14,'IDEES okt 2017 template'!$C$183:$AH$190,'IDEES okt 2017 template'!G$162,FALSE),"")*$AR$14/1000</f>
        <v>0.45515187371645355</v>
      </c>
      <c r="J14" s="694">
        <f ca="1">IFERROR('All Stock'!H$12*VLOOKUP($A14,'IDEES okt 2017 template'!$C$183:$AH$190,'IDEES okt 2017 template'!H$162,FALSE),"")*$AR$14/1000</f>
        <v>0</v>
      </c>
      <c r="K14" s="694">
        <f ca="1">IFERROR('All Stock'!I$12*VLOOKUP($A14,'IDEES okt 2017 template'!$C$183:$AH$190,'IDEES okt 2017 template'!I$162,FALSE),"")*$AR$14/1000</f>
        <v>2.1999426979981274</v>
      </c>
      <c r="L14" s="694">
        <f ca="1">IFERROR('All Stock'!J$12*VLOOKUP($A14,'IDEES okt 2017 template'!$C$183:$AH$190,'IDEES okt 2017 template'!J$162,FALSE),"")*$AR$14/1000</f>
        <v>10.854686961611977</v>
      </c>
      <c r="M14" s="694">
        <f ca="1">IFERROR('All Stock'!K$12*VLOOKUP($A14,'IDEES okt 2017 template'!$C$183:$AH$190,'IDEES okt 2017 template'!K$162,FALSE),"")*$AR$14/1000</f>
        <v>7.6070659889421224</v>
      </c>
      <c r="N14" s="694">
        <f ca="1">IFERROR('All Stock'!L$12*VLOOKUP($A14,'IDEES okt 2017 template'!$C$183:$AH$190,'IDEES okt 2017 template'!L$162,FALSE),"")*$AR$14/1000</f>
        <v>0.86927715910367587</v>
      </c>
      <c r="O14" s="694">
        <f ca="1">IFERROR('All Stock'!M$12*VLOOKUP($A14,'IDEES okt 2017 template'!$C$183:$AH$190,'IDEES okt 2017 template'!M$162,FALSE),"")*$AR$14/1000</f>
        <v>0</v>
      </c>
      <c r="P14" s="694">
        <f ca="1">IFERROR('All Stock'!N$12*VLOOKUP($A14,'IDEES okt 2017 template'!$C$183:$AH$190,'IDEES okt 2017 template'!N$162,FALSE),"")*$AR$14/1000</f>
        <v>4.4844753631887695</v>
      </c>
      <c r="Q14" s="694">
        <f ca="1">IFERROR('All Stock'!O$12*VLOOKUP($A14,'IDEES okt 2017 template'!$C$183:$AH$190,'IDEES okt 2017 template'!O$162,FALSE),"")*$AR$14/1000</f>
        <v>5.7215435470904437</v>
      </c>
      <c r="R14" s="694">
        <f ca="1">IFERROR('All Stock'!P$12*VLOOKUP($A14,'IDEES okt 2017 template'!$C$183:$AH$190,'IDEES okt 2017 template'!P$162,FALSE),"")*$AR$14/1000</f>
        <v>0.11442209744931393</v>
      </c>
      <c r="S14" s="694">
        <f ca="1">IFERROR('All Stock'!Q$12*VLOOKUP($A14,'IDEES okt 2017 template'!$C$183:$AH$190,'IDEES okt 2017 template'!Q$162,FALSE),"")*$AR$14/1000</f>
        <v>0.99541174716318004</v>
      </c>
      <c r="T14" s="694">
        <f ca="1">IFERROR('All Stock'!R$12*VLOOKUP($A14,'IDEES okt 2017 template'!$C$183:$AH$190,'IDEES okt 2017 template'!R$162,FALSE),"")*$AR$14/1000</f>
        <v>3.4585374965009494</v>
      </c>
      <c r="U14" s="694">
        <f ca="1">IFERROR('All Stock'!S$12*VLOOKUP($A14,'IDEES okt 2017 template'!$C$183:$AH$190,'IDEES okt 2017 template'!S$162,FALSE),"")*$AR$14/1000</f>
        <v>0</v>
      </c>
      <c r="V14" s="694">
        <f ca="1">IFERROR('All Stock'!T$12*VLOOKUP($A14,'IDEES okt 2017 template'!$C$183:$AH$190,'IDEES okt 2017 template'!T$162,FALSE),"")*$AR$14/1000</f>
        <v>0.40874789184652111</v>
      </c>
      <c r="W14" s="694">
        <f ca="1">IFERROR('All Stock'!U$12*VLOOKUP($A14,'IDEES okt 2017 template'!$C$183:$AH$190,'IDEES okt 2017 template'!U$162,FALSE),"")*$AR$14/1000</f>
        <v>0.12573879167714772</v>
      </c>
      <c r="X14" s="694">
        <f ca="1">IFERROR('All Stock'!V$12*VLOOKUP($A14,'IDEES okt 2017 template'!$C$183:$AH$190,'IDEES okt 2017 template'!V$162,FALSE),"")*$AR$14/1000</f>
        <v>1.9629604162635348</v>
      </c>
      <c r="Y14" s="694">
        <f ca="1">IFERROR('All Stock'!W$12*VLOOKUP($A14,'IDEES okt 2017 template'!$C$183:$AH$190,'IDEES okt 2017 template'!W$162,FALSE),"")*$AR$14/1000</f>
        <v>0</v>
      </c>
      <c r="Z14" s="694">
        <f ca="1">IFERROR('All Stock'!X$12*VLOOKUP($A14,'IDEES okt 2017 template'!$C$183:$AH$190,'IDEES okt 2017 template'!X$162,FALSE),"")*$AR$14/1000</f>
        <v>1.1655363576162001</v>
      </c>
      <c r="AA14" s="694">
        <f ca="1">IFERROR('All Stock'!Y$12*VLOOKUP($A14,'IDEES okt 2017 template'!$C$183:$AH$190,'IDEES okt 2017 template'!Y$162,FALSE),"")*$AR$14/1000</f>
        <v>0</v>
      </c>
      <c r="AB14" s="694">
        <f ca="1">IFERROR('All Stock'!Z$12*VLOOKUP($A14,'IDEES okt 2017 template'!$C$183:$AH$190,'IDEES okt 2017 template'!Z$162,FALSE),"")*$AR$14/1000</f>
        <v>0.41501811340219991</v>
      </c>
      <c r="AC14" s="694">
        <f ca="1">IFERROR('All Stock'!AA$12*VLOOKUP($A14,'IDEES okt 2017 template'!$C$183:$AH$190,'IDEES okt 2017 template'!AA$162,FALSE),"")*$AR$14/1000</f>
        <v>0.1432770300580625</v>
      </c>
      <c r="AD14" s="694">
        <f ca="1">IFERROR('All Stock'!AB$12*VLOOKUP($A14,'IDEES okt 2017 template'!$C$183:$AH$190,'IDEES okt 2017 template'!AB$162,FALSE),"")*$AR$14/1000</f>
        <v>17.702449791677605</v>
      </c>
      <c r="AE14" s="694">
        <f ca="1">IFERROR('All Stock'!AC$12*VLOOKUP($A14,'IDEES okt 2017 template'!$C$183:$AH$190,'IDEES okt 2017 template'!AC$162,FALSE),"")*$AR$14/1000</f>
        <v>4.0726271578029313E-2</v>
      </c>
      <c r="AF14" s="694">
        <f ca="1">IFERROR('All Stock'!AD$12*VLOOKUP($A14,'IDEES okt 2017 template'!$C$183:$AH$190,'IDEES okt 2017 template'!AD$162,FALSE),"")*$AR$14/1000</f>
        <v>7.4037042756317764</v>
      </c>
      <c r="AG14" s="694">
        <f ca="1">IFERROR('All Stock'!AE$12*VLOOKUP($A14,'IDEES okt 2017 template'!$C$183:$AH$190,'IDEES okt 2017 template'!AE$162,FALSE),"")*$AR$14/1000</f>
        <v>8.0931580182152292</v>
      </c>
      <c r="AH14" s="694">
        <f ca="1">IFERROR('All Stock'!AF$12*VLOOKUP($A14,'IDEES okt 2017 template'!$C$183:$AH$190,'IDEES okt 2017 template'!AF$162,FALSE),"")*$AR$14/1000</f>
        <v>0.28997385381610552</v>
      </c>
      <c r="AI14" s="694">
        <f ca="1">IFERROR('All Stock'!AG$12*VLOOKUP($A14,'IDEES okt 2017 template'!$C$183:$AH$190,'IDEES okt 2017 template'!AG$162,FALSE),"")*$AR$14/1000</f>
        <v>2.1053590569304941</v>
      </c>
      <c r="AJ14" s="694">
        <f ca="1">IFERROR('All Stock'!AH$12*VLOOKUP($A14,'IDEES okt 2017 template'!$C$183:$AH$190,'IDEES okt 2017 template'!AH$162,FALSE),"")*$AR$14/1000</f>
        <v>0</v>
      </c>
      <c r="AK14" s="694">
        <f ca="1">IFERROR('All Stock'!AI$12*VLOOKUP($A14,'IDEES okt 2017 template'!$C$183:$AN$190,'IDEES okt 2017 template'!AI$162,FALSE),"")*$AR$14/1000</f>
        <v>0</v>
      </c>
      <c r="AL14" s="694">
        <f ca="1">IFERROR('All Stock'!AJ$12*VLOOKUP($A14,'IDEES okt 2017 template'!$C$183:$AN$190,'IDEES okt 2017 template'!AJ$162,FALSE),"")*$AR$14/1000</f>
        <v>0.62354379914456748</v>
      </c>
      <c r="AM14" s="694">
        <f ca="1">IFERROR('All Stock'!AK$12*VLOOKUP($A14,'IDEES okt 2017 template'!$C$183:$AN$190,'IDEES okt 2017 template'!AK$162,FALSE),"")*$AR$14/1000</f>
        <v>0</v>
      </c>
      <c r="AN14" s="694">
        <f ca="1">IFERROR('All Stock'!AL$12*VLOOKUP($A14,'IDEES okt 2017 template'!$C$183:$AN$190,'IDEES okt 2017 template'!AL$162,FALSE),"")*$AR$14/1000</f>
        <v>0.17205890121585954</v>
      </c>
      <c r="AO14" s="694">
        <f ca="1">IFERROR('All Stock'!AM$12*VLOOKUP($A14,'IDEES okt 2017 template'!$C$183:$AN$190,'IDEES okt 2017 template'!AM$162,FALSE),"")*$AR$14/1000</f>
        <v>2.0067021494825696</v>
      </c>
      <c r="AP14" s="694">
        <f ca="1">IFERROR('All Stock'!AN$12*VLOOKUP($A14,'IDEES okt 2017 template'!$C$183:$AN$190,'IDEES okt 2017 template'!AN$162,FALSE),"")*$AR$14/1000</f>
        <v>2.9698532886191731E-2</v>
      </c>
      <c r="AQ14" s="509"/>
      <c r="AR14">
        <v>15</v>
      </c>
      <c r="AS14" t="str">
        <f t="shared" si="0"/>
        <v>Derived heat</v>
      </c>
      <c r="AT14" s="509"/>
      <c r="AW14" s="496">
        <f t="shared" ca="1" si="5"/>
        <v>5.5159720411816497</v>
      </c>
    </row>
    <row r="15" spans="1:49">
      <c r="A15" t="str">
        <f t="shared" si="3"/>
        <v>GDO and other liquids (incl. liq. bio.)</v>
      </c>
      <c r="C15" t="str">
        <f>TechComm!L59</f>
        <v>R_ES-WH-DH_OIL</v>
      </c>
      <c r="D15" t="str">
        <f t="shared" si="2"/>
        <v>RSDOIL</v>
      </c>
      <c r="E15" t="str">
        <f t="shared" si="4"/>
        <v>R_ES-DH-WatHeat</v>
      </c>
      <c r="F15" s="694">
        <f ca="1">IFERROR('All Stock'!D$12*VLOOKUP($A15,'IDEES okt 2017 template'!$C$183:$AH$190,'IDEES okt 2017 template'!D$162,FALSE),"")*$AR$15/1000</f>
        <v>2.0942784526450842</v>
      </c>
      <c r="G15" s="694">
        <f ca="1">IFERROR('All Stock'!E$12*VLOOKUP($A15,'IDEES okt 2017 template'!$C$183:$AH$190,'IDEES okt 2017 template'!E$162,FALSE),"")*$AR$15/1000</f>
        <v>4.5430275291130107</v>
      </c>
      <c r="H15" s="694">
        <f ca="1">IFERROR('All Stock'!F$12*VLOOKUP($A15,'IDEES okt 2017 template'!$C$183:$AH$190,'IDEES okt 2017 template'!F$162,FALSE),"")*$AR$15/1000</f>
        <v>0</v>
      </c>
      <c r="I15" s="694">
        <f ca="1">IFERROR('All Stock'!G$12*VLOOKUP($A15,'IDEES okt 2017 template'!$C$183:$AH$190,'IDEES okt 2017 template'!G$162,FALSE),"")*$AR$15/1000</f>
        <v>5.4659958909038693</v>
      </c>
      <c r="J15" s="694">
        <f ca="1">IFERROR('All Stock'!H$12*VLOOKUP($A15,'IDEES okt 2017 template'!$C$183:$AH$190,'IDEES okt 2017 template'!H$162,FALSE),"")*$AR$15/1000</f>
        <v>4.7773473627598387E-2</v>
      </c>
      <c r="K15" s="694">
        <f ca="1">IFERROR('All Stock'!I$12*VLOOKUP($A15,'IDEES okt 2017 template'!$C$183:$AH$190,'IDEES okt 2017 template'!I$162,FALSE),"")*$AR$15/1000</f>
        <v>0</v>
      </c>
      <c r="L15" s="694">
        <f ca="1">IFERROR('All Stock'!J$12*VLOOKUP($A15,'IDEES okt 2017 template'!$C$183:$AH$190,'IDEES okt 2017 template'!J$162,FALSE),"")*$AR$15/1000</f>
        <v>23.014704349014327</v>
      </c>
      <c r="M15" s="694">
        <f ca="1">IFERROR('All Stock'!K$12*VLOOKUP($A15,'IDEES okt 2017 template'!$C$183:$AH$190,'IDEES okt 2017 template'!K$162,FALSE),"")*$AR$15/1000</f>
        <v>0.9620930860526925</v>
      </c>
      <c r="N15" s="694">
        <f ca="1">IFERROR('All Stock'!L$12*VLOOKUP($A15,'IDEES okt 2017 template'!$C$183:$AH$190,'IDEES okt 2017 template'!L$162,FALSE),"")*$AR$15/1000</f>
        <v>3.4655567804797714E-3</v>
      </c>
      <c r="O15" s="694">
        <f ca="1">IFERROR('All Stock'!M$12*VLOOKUP($A15,'IDEES okt 2017 template'!$C$183:$AH$190,'IDEES okt 2017 template'!M$162,FALSE),"")*$AR$15/1000</f>
        <v>1.2478613886695553</v>
      </c>
      <c r="P15" s="694">
        <f ca="1">IFERROR('All Stock'!N$12*VLOOKUP($A15,'IDEES okt 2017 template'!$C$183:$AH$190,'IDEES okt 2017 template'!N$162,FALSE),"")*$AR$15/1000</f>
        <v>0.96345182904477311</v>
      </c>
      <c r="Q15" s="694">
        <f ca="1">IFERROR('All Stock'!O$12*VLOOKUP($A15,'IDEES okt 2017 template'!$C$183:$AH$190,'IDEES okt 2017 template'!O$162,FALSE),"")*$AR$15/1000</f>
        <v>11.073551167220478</v>
      </c>
      <c r="R15" s="694">
        <f ca="1">IFERROR('All Stock'!P$12*VLOOKUP($A15,'IDEES okt 2017 template'!$C$183:$AH$190,'IDEES okt 2017 template'!P$162,FALSE),"")*$AR$15/1000</f>
        <v>0.98190125485574054</v>
      </c>
      <c r="S15" s="694">
        <f ca="1">IFERROR('All Stock'!Q$12*VLOOKUP($A15,'IDEES okt 2017 template'!$C$183:$AH$190,'IDEES okt 2017 template'!Q$162,FALSE),"")*$AR$15/1000</f>
        <v>0.64844631683975174</v>
      </c>
      <c r="T15" s="694">
        <f ca="1">IFERROR('All Stock'!R$12*VLOOKUP($A15,'IDEES okt 2017 template'!$C$183:$AH$190,'IDEES okt 2017 template'!R$162,FALSE),"")*$AR$15/1000</f>
        <v>0</v>
      </c>
      <c r="U15" s="694">
        <f ca="1">IFERROR('All Stock'!S$12*VLOOKUP($A15,'IDEES okt 2017 template'!$C$183:$AH$190,'IDEES okt 2017 template'!S$162,FALSE),"")*$AR$15/1000</f>
        <v>2.1424441399534446</v>
      </c>
      <c r="V15" s="694">
        <f ca="1">IFERROR('All Stock'!T$12*VLOOKUP($A15,'IDEES okt 2017 template'!$C$183:$AH$190,'IDEES okt 2017 template'!T$162,FALSE),"")*$AR$15/1000</f>
        <v>2.9452592054401948E-3</v>
      </c>
      <c r="W15" s="694">
        <f ca="1">IFERROR('All Stock'!U$12*VLOOKUP($A15,'IDEES okt 2017 template'!$C$183:$AH$190,'IDEES okt 2017 template'!U$162,FALSE),"")*$AR$15/1000</f>
        <v>1.9204635760064352</v>
      </c>
      <c r="X15" s="694">
        <f ca="1">IFERROR('All Stock'!V$12*VLOOKUP($A15,'IDEES okt 2017 template'!$C$183:$AH$190,'IDEES okt 2017 template'!V$162,FALSE),"")*$AR$15/1000</f>
        <v>1.239764473429601E-2</v>
      </c>
      <c r="Y15" s="694">
        <f ca="1">IFERROR('All Stock'!W$12*VLOOKUP($A15,'IDEES okt 2017 template'!$C$183:$AH$190,'IDEES okt 2017 template'!W$162,FALSE),"")*$AR$15/1000</f>
        <v>0.28680297166221447</v>
      </c>
      <c r="Z15" s="694">
        <f ca="1">IFERROR('All Stock'!X$12*VLOOKUP($A15,'IDEES okt 2017 template'!$C$183:$AH$190,'IDEES okt 2017 template'!X$162,FALSE),"")*$AR$15/1000</f>
        <v>5.1659831495967902E-2</v>
      </c>
      <c r="AA15" s="694">
        <f ca="1">IFERROR('All Stock'!Y$12*VLOOKUP($A15,'IDEES okt 2017 template'!$C$183:$AH$190,'IDEES okt 2017 template'!Y$162,FALSE),"")*$AR$15/1000</f>
        <v>0</v>
      </c>
      <c r="AB15" s="694">
        <f ca="1">IFERROR('All Stock'!Z$12*VLOOKUP($A15,'IDEES okt 2017 template'!$C$183:$AH$190,'IDEES okt 2017 template'!Z$162,FALSE),"")*$AR$15/1000</f>
        <v>5.339440323471259E-2</v>
      </c>
      <c r="AC15" s="694">
        <f ca="1">IFERROR('All Stock'!AA$12*VLOOKUP($A15,'IDEES okt 2017 template'!$C$183:$AH$190,'IDEES okt 2017 template'!AA$162,FALSE),"")*$AR$15/1000</f>
        <v>0.16026239054162952</v>
      </c>
      <c r="AD15" s="694">
        <f ca="1">IFERROR('All Stock'!AB$12*VLOOKUP($A15,'IDEES okt 2017 template'!$C$183:$AH$190,'IDEES okt 2017 template'!AB$162,FALSE),"")*$AR$15/1000</f>
        <v>0.24185162154484519</v>
      </c>
      <c r="AE15" s="694">
        <f ca="1">IFERROR('All Stock'!AC$12*VLOOKUP($A15,'IDEES okt 2017 template'!$C$183:$AH$190,'IDEES okt 2017 template'!AC$162,FALSE),"")*$AR$15/1000</f>
        <v>0.47775049351149773</v>
      </c>
      <c r="AF15" s="694">
        <f ca="1">IFERROR('All Stock'!AD$12*VLOOKUP($A15,'IDEES okt 2017 template'!$C$183:$AH$190,'IDEES okt 2017 template'!AD$162,FALSE),"")*$AR$15/1000</f>
        <v>0.35502335727557371</v>
      </c>
      <c r="AG15" s="694">
        <f ca="1">IFERROR('All Stock'!AE$12*VLOOKUP($A15,'IDEES okt 2017 template'!$C$183:$AH$190,'IDEES okt 2017 template'!AE$162,FALSE),"")*$AR$15/1000</f>
        <v>0.10287456285632296</v>
      </c>
      <c r="AH15" s="694">
        <f ca="1">IFERROR('All Stock'!AF$12*VLOOKUP($A15,'IDEES okt 2017 template'!$C$183:$AH$190,'IDEES okt 2017 template'!AF$162,FALSE),"")*$AR$15/1000</f>
        <v>0.53615903242128926</v>
      </c>
      <c r="AI15" s="694">
        <f ca="1">IFERROR('All Stock'!AG$12*VLOOKUP($A15,'IDEES okt 2017 template'!$C$183:$AH$190,'IDEES okt 2017 template'!AG$162,FALSE),"")*$AR$15/1000</f>
        <v>0</v>
      </c>
      <c r="AJ15" s="694">
        <f ca="1">IFERROR('All Stock'!AH$12*VLOOKUP($A15,'IDEES okt 2017 template'!$C$183:$AH$190,'IDEES okt 2017 template'!AH$162,FALSE),"")*$AR$15/1000</f>
        <v>3.0298354238605034</v>
      </c>
      <c r="AK15" s="694">
        <f ca="1">IFERROR('All Stock'!AI$12*VLOOKUP($A15,'IDEES okt 2017 template'!$C$183:$AN$190,'IDEES okt 2017 template'!AI$162,FALSE),"")*$AR$15/1000</f>
        <v>1.9418459898594169E-3</v>
      </c>
      <c r="AL15" s="694">
        <f ca="1">IFERROR('All Stock'!AJ$12*VLOOKUP($A15,'IDEES okt 2017 template'!$C$183:$AN$190,'IDEES okt 2017 template'!AJ$162,FALSE),"")*$AR$15/1000</f>
        <v>0</v>
      </c>
      <c r="AM15" s="694">
        <f ca="1">IFERROR('All Stock'!AK$12*VLOOKUP($A15,'IDEES okt 2017 template'!$C$183:$AN$190,'IDEES okt 2017 template'!AK$162,FALSE),"")*$AR$15/1000</f>
        <v>0</v>
      </c>
      <c r="AN15" s="694">
        <f ca="1">IFERROR('All Stock'!AL$12*VLOOKUP($A15,'IDEES okt 2017 template'!$C$183:$AN$190,'IDEES okt 2017 template'!AL$162,FALSE),"")*$AR$15/1000</f>
        <v>0.11118003550100219</v>
      </c>
      <c r="AO15" s="694">
        <f ca="1">IFERROR('All Stock'!AM$12*VLOOKUP($A15,'IDEES okt 2017 template'!$C$183:$AN$190,'IDEES okt 2017 template'!AM$162,FALSE),"")*$AR$15/1000</f>
        <v>3.607305328665118E-3</v>
      </c>
      <c r="AP15" s="694">
        <f ca="1">IFERROR('All Stock'!AN$12*VLOOKUP($A15,'IDEES okt 2017 template'!$C$183:$AN$190,'IDEES okt 2017 template'!AN$162,FALSE),"")*$AR$15/1000</f>
        <v>8.0184518531638507E-2</v>
      </c>
      <c r="AQ15" s="509"/>
      <c r="AR15">
        <v>15</v>
      </c>
      <c r="AS15" t="str">
        <f t="shared" si="0"/>
        <v>GDO and other liquids (incl. liq. bio.)</v>
      </c>
      <c r="AT15" s="509"/>
      <c r="AW15" s="496">
        <f t="shared" ca="1" si="5"/>
        <v>7.0115177683062371E-2</v>
      </c>
    </row>
    <row r="16" spans="1:49">
      <c r="A16" t="str">
        <f t="shared" si="3"/>
        <v>Biomass and wastes</v>
      </c>
      <c r="C16" t="str">
        <f>TechComm!L60</f>
        <v>R_ES-WH-DH_BIO</v>
      </c>
      <c r="D16" t="str">
        <f t="shared" si="2"/>
        <v>RSDBIO</v>
      </c>
      <c r="E16" t="str">
        <f t="shared" si="4"/>
        <v>R_ES-DH-WatHeat</v>
      </c>
      <c r="F16" s="694">
        <f ca="1">IFERROR('All Stock'!D$12*VLOOKUP($A16,'IDEES okt 2017 template'!$C$183:$AH$190,'IDEES okt 2017 template'!D$162,FALSE),"")*$AR$16/1000</f>
        <v>1.345811311841161</v>
      </c>
      <c r="G16" s="694">
        <f ca="1">IFERROR('All Stock'!E$12*VLOOKUP($A16,'IDEES okt 2017 template'!$C$183:$AH$190,'IDEES okt 2017 template'!E$162,FALSE),"")*$AR$16/1000</f>
        <v>0.2825505725405712</v>
      </c>
      <c r="H16" s="694">
        <f ca="1">IFERROR('All Stock'!F$12*VLOOKUP($A16,'IDEES okt 2017 template'!$C$183:$AH$190,'IDEES okt 2017 template'!F$162,FALSE),"")*$AR$16/1000</f>
        <v>0.44190223907760762</v>
      </c>
      <c r="I16" s="694">
        <f ca="1">IFERROR('All Stock'!G$12*VLOOKUP($A16,'IDEES okt 2017 template'!$C$183:$AH$190,'IDEES okt 2017 template'!G$162,FALSE),"")*$AR$16/1000</f>
        <v>0.20828472198651396</v>
      </c>
      <c r="J16" s="694">
        <f ca="1">IFERROR('All Stock'!H$12*VLOOKUP($A16,'IDEES okt 2017 template'!$C$183:$AH$190,'IDEES okt 2017 template'!H$162,FALSE),"")*$AR$16/1000</f>
        <v>1.6473611595723579E-3</v>
      </c>
      <c r="K16" s="694">
        <f ca="1">IFERROR('All Stock'!I$12*VLOOKUP($A16,'IDEES okt 2017 template'!$C$183:$AH$190,'IDEES okt 2017 template'!I$162,FALSE),"")*$AR$16/1000</f>
        <v>0.45690355178426328</v>
      </c>
      <c r="L16" s="694">
        <f ca="1">IFERROR('All Stock'!J$12*VLOOKUP($A16,'IDEES okt 2017 template'!$C$183:$AH$190,'IDEES okt 2017 template'!J$162,FALSE),"")*$AR$16/1000</f>
        <v>2.2087133098976368</v>
      </c>
      <c r="M16" s="694">
        <f ca="1">IFERROR('All Stock'!K$12*VLOOKUP($A16,'IDEES okt 2017 template'!$C$183:$AH$190,'IDEES okt 2017 template'!K$162,FALSE),"")*$AR$16/1000</f>
        <v>1.7254556743043084</v>
      </c>
      <c r="N16" s="694">
        <f ca="1">IFERROR('All Stock'!L$12*VLOOKUP($A16,'IDEES okt 2017 template'!$C$183:$AH$190,'IDEES okt 2017 template'!L$162,FALSE),"")*$AR$16/1000</f>
        <v>0.49307171748937195</v>
      </c>
      <c r="O16" s="694">
        <f ca="1">IFERROR('All Stock'!M$12*VLOOKUP($A16,'IDEES okt 2017 template'!$C$183:$AH$190,'IDEES okt 2017 template'!M$162,FALSE),"")*$AR$16/1000</f>
        <v>0.14467850436131863</v>
      </c>
      <c r="P16" s="694">
        <f ca="1">IFERROR('All Stock'!N$12*VLOOKUP($A16,'IDEES okt 2017 template'!$C$183:$AH$190,'IDEES okt 2017 template'!N$162,FALSE),"")*$AR$16/1000</f>
        <v>1.7488035419936325</v>
      </c>
      <c r="Q16" s="694">
        <f ca="1">IFERROR('All Stock'!O$12*VLOOKUP($A16,'IDEES okt 2017 template'!$C$183:$AH$190,'IDEES okt 2017 template'!O$162,FALSE),"")*$AR$16/1000</f>
        <v>4.4076915616653549</v>
      </c>
      <c r="R16" s="694">
        <f ca="1">IFERROR('All Stock'!P$12*VLOOKUP($A16,'IDEES okt 2017 template'!$C$183:$AH$190,'IDEES okt 2017 template'!P$162,FALSE),"")*$AR$16/1000</f>
        <v>0.12772699250155975</v>
      </c>
      <c r="S16" s="694">
        <f ca="1">IFERROR('All Stock'!Q$12*VLOOKUP($A16,'IDEES okt 2017 template'!$C$183:$AH$190,'IDEES okt 2017 template'!Q$162,FALSE),"")*$AR$16/1000</f>
        <v>0.45951051948716221</v>
      </c>
      <c r="T16" s="694">
        <f ca="1">IFERROR('All Stock'!R$12*VLOOKUP($A16,'IDEES okt 2017 template'!$C$183:$AH$190,'IDEES okt 2017 template'!R$162,FALSE),"")*$AR$16/1000</f>
        <v>0.6110235720953201</v>
      </c>
      <c r="U16" s="694">
        <f ca="1">IFERROR('All Stock'!S$12*VLOOKUP($A16,'IDEES okt 2017 template'!$C$183:$AH$190,'IDEES okt 2017 template'!S$162,FALSE),"")*$AR$16/1000</f>
        <v>5.4389000584343775E-2</v>
      </c>
      <c r="V16" s="694">
        <f ca="1">IFERROR('All Stock'!T$12*VLOOKUP($A16,'IDEES okt 2017 template'!$C$183:$AH$190,'IDEES okt 2017 template'!T$162,FALSE),"")*$AR$16/1000</f>
        <v>0</v>
      </c>
      <c r="W16" s="694">
        <f ca="1">IFERROR('All Stock'!U$12*VLOOKUP($A16,'IDEES okt 2017 template'!$C$183:$AH$190,'IDEES okt 2017 template'!U$162,FALSE),"")*$AR$16/1000</f>
        <v>0.1949387864022446</v>
      </c>
      <c r="X16" s="694">
        <f ca="1">IFERROR('All Stock'!V$12*VLOOKUP($A16,'IDEES okt 2017 template'!$C$183:$AH$190,'IDEES okt 2017 template'!V$162,FALSE),"")*$AR$16/1000</f>
        <v>1.0334322432088172</v>
      </c>
      <c r="Y16" s="694">
        <f ca="1">IFERROR('All Stock'!W$12*VLOOKUP($A16,'IDEES okt 2017 template'!$C$183:$AH$190,'IDEES okt 2017 template'!W$162,FALSE),"")*$AR$16/1000</f>
        <v>1.8099216658295086E-2</v>
      </c>
      <c r="Z16" s="694">
        <f ca="1">IFERROR('All Stock'!X$12*VLOOKUP($A16,'IDEES okt 2017 template'!$C$183:$AH$190,'IDEES okt 2017 template'!X$162,FALSE),"")*$AR$16/1000</f>
        <v>1.0891785987118014</v>
      </c>
      <c r="AA16" s="694">
        <f ca="1">IFERROR('All Stock'!Y$12*VLOOKUP($A16,'IDEES okt 2017 template'!$C$183:$AH$190,'IDEES okt 2017 template'!Y$162,FALSE),"")*$AR$16/1000</f>
        <v>0</v>
      </c>
      <c r="AB16" s="694">
        <f ca="1">IFERROR('All Stock'!Z$12*VLOOKUP($A16,'IDEES okt 2017 template'!$C$183:$AH$190,'IDEES okt 2017 template'!Z$162,FALSE),"")*$AR$16/1000</f>
        <v>0.19966216896510761</v>
      </c>
      <c r="AC16" s="694">
        <f ca="1">IFERROR('All Stock'!AA$12*VLOOKUP($A16,'IDEES okt 2017 template'!$C$183:$AH$190,'IDEES okt 2017 template'!AA$162,FALSE),"")*$AR$16/1000</f>
        <v>0.51130196952989015</v>
      </c>
      <c r="AD16" s="694">
        <f ca="1">IFERROR('All Stock'!AB$12*VLOOKUP($A16,'IDEES okt 2017 template'!$C$183:$AH$190,'IDEES okt 2017 template'!AB$162,FALSE),"")*$AR$16/1000</f>
        <v>4.626701755287999</v>
      </c>
      <c r="AE16" s="694">
        <f ca="1">IFERROR('All Stock'!AC$12*VLOOKUP($A16,'IDEES okt 2017 template'!$C$183:$AH$190,'IDEES okt 2017 template'!AC$162,FALSE),"")*$AR$16/1000</f>
        <v>0.79259590071087827</v>
      </c>
      <c r="AF16" s="694">
        <f ca="1">IFERROR('All Stock'!AD$12*VLOOKUP($A16,'IDEES okt 2017 template'!$C$183:$AH$190,'IDEES okt 2017 template'!AD$162,FALSE),"")*$AR$16/1000</f>
        <v>10.760602600341171</v>
      </c>
      <c r="AG16" s="694">
        <f ca="1">IFERROR('All Stock'!AE$12*VLOOKUP($A16,'IDEES okt 2017 template'!$C$183:$AH$190,'IDEES okt 2017 template'!AE$162,FALSE),"")*$AR$16/1000</f>
        <v>0.29731287275754059</v>
      </c>
      <c r="AH16" s="694">
        <f ca="1">IFERROR('All Stock'!AF$12*VLOOKUP($A16,'IDEES okt 2017 template'!$C$183:$AH$190,'IDEES okt 2017 template'!AF$162,FALSE),"")*$AR$16/1000</f>
        <v>0.78859973605660438</v>
      </c>
      <c r="AI16" s="694">
        <f ca="1">IFERROR('All Stock'!AG$12*VLOOKUP($A16,'IDEES okt 2017 template'!$C$183:$AH$190,'IDEES okt 2017 template'!AG$162,FALSE),"")*$AR$16/1000</f>
        <v>2.8171014303600035E-2</v>
      </c>
      <c r="AJ16" s="694">
        <f ca="1">IFERROR('All Stock'!AH$12*VLOOKUP($A16,'IDEES okt 2017 template'!$C$183:$AH$190,'IDEES okt 2017 template'!AH$162,FALSE),"")*$AR$16/1000</f>
        <v>0</v>
      </c>
      <c r="AK16" s="694">
        <f ca="1">IFERROR('All Stock'!AI$12*VLOOKUP($A16,'IDEES okt 2017 template'!$C$183:$AN$190,'IDEES okt 2017 template'!AI$162,FALSE),"")*$AR$16/1000</f>
        <v>3.7117885063062829E-2</v>
      </c>
      <c r="AL16" s="694">
        <f ca="1">IFERROR('All Stock'!AJ$12*VLOOKUP($A16,'IDEES okt 2017 template'!$C$183:$AN$190,'IDEES okt 2017 template'!AJ$162,FALSE),"")*$AR$16/1000</f>
        <v>7.1656428372104175E-2</v>
      </c>
      <c r="AM16" s="694">
        <f ca="1">IFERROR('All Stock'!AK$12*VLOOKUP($A16,'IDEES okt 2017 template'!$C$183:$AN$190,'IDEES okt 2017 template'!AK$162,FALSE),"")*$AR$16/1000</f>
        <v>6.6891269122880334E-2</v>
      </c>
      <c r="AN16" s="694">
        <f ca="1">IFERROR('All Stock'!AL$12*VLOOKUP($A16,'IDEES okt 2017 template'!$C$183:$AN$190,'IDEES okt 2017 template'!AL$162,FALSE),"")*$AR$16/1000</f>
        <v>5.6267443823640413E-2</v>
      </c>
      <c r="AO16" s="694">
        <f ca="1">IFERROR('All Stock'!AM$12*VLOOKUP($A16,'IDEES okt 2017 template'!$C$183:$AN$190,'IDEES okt 2017 template'!AM$162,FALSE),"")*$AR$16/1000</f>
        <v>0.31971206748730951</v>
      </c>
      <c r="AP16" s="694">
        <f ca="1">IFERROR('All Stock'!AN$12*VLOOKUP($A16,'IDEES okt 2017 template'!$C$183:$AN$190,'IDEES okt 2017 template'!AN$162,FALSE),"")*$AR$16/1000</f>
        <v>0.11653587691427682</v>
      </c>
      <c r="AQ16" s="509"/>
      <c r="AR16">
        <v>15</v>
      </c>
      <c r="AS16" t="str">
        <f t="shared" si="0"/>
        <v>Biomass and wastes</v>
      </c>
      <c r="AT16" s="509"/>
      <c r="AW16" s="496">
        <f t="shared" ca="1" si="5"/>
        <v>0.20263653445576132</v>
      </c>
    </row>
    <row r="17" spans="1:49">
      <c r="A17" t="str">
        <f t="shared" si="3"/>
        <v>Solids</v>
      </c>
      <c r="C17" t="str">
        <f>TechComm!L61</f>
        <v>R_ES-WH-DH_COA</v>
      </c>
      <c r="D17" t="str">
        <f t="shared" si="2"/>
        <v>RSDCOA</v>
      </c>
      <c r="E17" t="str">
        <f t="shared" si="4"/>
        <v>R_ES-DH-WatHeat</v>
      </c>
      <c r="F17" s="694">
        <f ca="1">IFERROR('All Stock'!D$12*VLOOKUP($A17,'IDEES okt 2017 template'!$C$183:$AH$190,'IDEES okt 2017 template'!D$162,FALSE),"")*$AR$17/1000</f>
        <v>4.4417899897640743E-2</v>
      </c>
      <c r="G17" s="694">
        <f ca="1">IFERROR('All Stock'!E$12*VLOOKUP($A17,'IDEES okt 2017 template'!$C$183:$AH$190,'IDEES okt 2017 template'!E$162,FALSE),"")*$AR$17/1000</f>
        <v>0</v>
      </c>
      <c r="H17" s="694">
        <f ca="1">IFERROR('All Stock'!F$12*VLOOKUP($A17,'IDEES okt 2017 template'!$C$183:$AH$190,'IDEES okt 2017 template'!F$162,FALSE),"")*$AR$17/1000</f>
        <v>4.4571174113862147E-2</v>
      </c>
      <c r="I17" s="694">
        <f ca="1">IFERROR('All Stock'!G$12*VLOOKUP($A17,'IDEES okt 2017 template'!$C$183:$AH$190,'IDEES okt 2017 template'!G$162,FALSE),"")*$AR$17/1000</f>
        <v>0</v>
      </c>
      <c r="J17" s="694">
        <f ca="1">IFERROR('All Stock'!H$12*VLOOKUP($A17,'IDEES okt 2017 template'!$C$183:$AH$190,'IDEES okt 2017 template'!H$162,FALSE),"")*$AR$17/1000</f>
        <v>0</v>
      </c>
      <c r="K17" s="694">
        <f ca="1">IFERROR('All Stock'!I$12*VLOOKUP($A17,'IDEES okt 2017 template'!$C$183:$AH$190,'IDEES okt 2017 template'!I$162,FALSE),"")*$AR$17/1000</f>
        <v>0.23852810150993353</v>
      </c>
      <c r="L17" s="694">
        <f ca="1">IFERROR('All Stock'!J$12*VLOOKUP($A17,'IDEES okt 2017 template'!$C$183:$AH$190,'IDEES okt 2017 template'!J$162,FALSE),"")*$AR$17/1000</f>
        <v>0</v>
      </c>
      <c r="M17" s="694">
        <f ca="1">IFERROR('All Stock'!K$12*VLOOKUP($A17,'IDEES okt 2017 template'!$C$183:$AH$190,'IDEES okt 2017 template'!K$162,FALSE),"")*$AR$17/1000</f>
        <v>0</v>
      </c>
      <c r="N17" s="694">
        <f ca="1">IFERROR('All Stock'!L$12*VLOOKUP($A17,'IDEES okt 2017 template'!$C$183:$AH$190,'IDEES okt 2017 template'!L$162,FALSE),"")*$AR$17/1000</f>
        <v>0</v>
      </c>
      <c r="O17" s="694">
        <f ca="1">IFERROR('All Stock'!M$12*VLOOKUP($A17,'IDEES okt 2017 template'!$C$183:$AH$190,'IDEES okt 2017 template'!M$162,FALSE),"")*$AR$17/1000</f>
        <v>0</v>
      </c>
      <c r="P17" s="694">
        <f ca="1">IFERROR('All Stock'!N$12*VLOOKUP($A17,'IDEES okt 2017 template'!$C$183:$AH$190,'IDEES okt 2017 template'!N$162,FALSE),"")*$AR$17/1000</f>
        <v>0</v>
      </c>
      <c r="Q17" s="694">
        <f ca="1">IFERROR('All Stock'!O$12*VLOOKUP($A17,'IDEES okt 2017 template'!$C$183:$AH$190,'IDEES okt 2017 template'!O$162,FALSE),"")*$AR$17/1000</f>
        <v>0</v>
      </c>
      <c r="R17" s="694">
        <f ca="1">IFERROR('All Stock'!P$12*VLOOKUP($A17,'IDEES okt 2017 template'!$C$183:$AH$190,'IDEES okt 2017 template'!P$162,FALSE),"")*$AR$17/1000</f>
        <v>0</v>
      </c>
      <c r="S17" s="694">
        <f ca="1">IFERROR('All Stock'!Q$12*VLOOKUP($A17,'IDEES okt 2017 template'!$C$183:$AH$190,'IDEES okt 2017 template'!Q$162,FALSE),"")*$AR$17/1000</f>
        <v>0</v>
      </c>
      <c r="T17" s="694">
        <f ca="1">IFERROR('All Stock'!R$12*VLOOKUP($A17,'IDEES okt 2017 template'!$C$183:$AH$190,'IDEES okt 2017 template'!R$162,FALSE),"")*$AR$17/1000</f>
        <v>3.0125492300519537E-2</v>
      </c>
      <c r="U17" s="694">
        <f ca="1">IFERROR('All Stock'!S$12*VLOOKUP($A17,'IDEES okt 2017 template'!$C$183:$AH$190,'IDEES okt 2017 template'!S$162,FALSE),"")*$AR$17/1000</f>
        <v>0.84522261391960041</v>
      </c>
      <c r="V17" s="694">
        <f ca="1">IFERROR('All Stock'!T$12*VLOOKUP($A17,'IDEES okt 2017 template'!$C$183:$AH$190,'IDEES okt 2017 template'!T$162,FALSE),"")*$AR$17/1000</f>
        <v>0</v>
      </c>
      <c r="W17" s="694">
        <f ca="1">IFERROR('All Stock'!U$12*VLOOKUP($A17,'IDEES okt 2017 template'!$C$183:$AH$190,'IDEES okt 2017 template'!U$162,FALSE),"")*$AR$17/1000</f>
        <v>0</v>
      </c>
      <c r="X17" s="694">
        <f ca="1">IFERROR('All Stock'!V$12*VLOOKUP($A17,'IDEES okt 2017 template'!$C$183:$AH$190,'IDEES okt 2017 template'!V$162,FALSE),"")*$AR$17/1000</f>
        <v>0</v>
      </c>
      <c r="Y17" s="694">
        <f ca="1">IFERROR('All Stock'!W$12*VLOOKUP($A17,'IDEES okt 2017 template'!$C$183:$AH$190,'IDEES okt 2017 template'!W$162,FALSE),"")*$AR$17/1000</f>
        <v>0</v>
      </c>
      <c r="Z17" s="694">
        <f ca="1">IFERROR('All Stock'!X$12*VLOOKUP($A17,'IDEES okt 2017 template'!$C$183:$AH$190,'IDEES okt 2017 template'!X$162,FALSE),"")*$AR$17/1000</f>
        <v>0</v>
      </c>
      <c r="AA17" s="694">
        <f ca="1">IFERROR('All Stock'!Y$12*VLOOKUP($A17,'IDEES okt 2017 template'!$C$183:$AH$190,'IDEES okt 2017 template'!Y$162,FALSE),"")*$AR$17/1000</f>
        <v>0</v>
      </c>
      <c r="AB17" s="694">
        <f ca="1">IFERROR('All Stock'!Z$12*VLOOKUP($A17,'IDEES okt 2017 template'!$C$183:$AH$190,'IDEES okt 2017 template'!Z$162,FALSE),"")*$AR$17/1000</f>
        <v>0</v>
      </c>
      <c r="AC17" s="694">
        <f ca="1">IFERROR('All Stock'!AA$12*VLOOKUP($A17,'IDEES okt 2017 template'!$C$183:$AH$190,'IDEES okt 2017 template'!AA$162,FALSE),"")*$AR$17/1000</f>
        <v>0</v>
      </c>
      <c r="AD17" s="694">
        <f ca="1">IFERROR('All Stock'!AB$12*VLOOKUP($A17,'IDEES okt 2017 template'!$C$183:$AH$190,'IDEES okt 2017 template'!AB$162,FALSE),"")*$AR$17/1000</f>
        <v>14.444903306225239</v>
      </c>
      <c r="AE17" s="694">
        <f ca="1">IFERROR('All Stock'!AC$12*VLOOKUP($A17,'IDEES okt 2017 template'!$C$183:$AH$190,'IDEES okt 2017 template'!AC$162,FALSE),"")*$AR$17/1000</f>
        <v>0</v>
      </c>
      <c r="AF17" s="694">
        <f ca="1">IFERROR('All Stock'!AD$12*VLOOKUP($A17,'IDEES okt 2017 template'!$C$183:$AH$190,'IDEES okt 2017 template'!AD$162,FALSE),"")*$AR$17/1000</f>
        <v>0</v>
      </c>
      <c r="AG17" s="694">
        <f ca="1">IFERROR('All Stock'!AE$12*VLOOKUP($A17,'IDEES okt 2017 template'!$C$183:$AH$190,'IDEES okt 2017 template'!AE$162,FALSE),"")*$AR$17/1000</f>
        <v>0</v>
      </c>
      <c r="AH17" s="694">
        <f ca="1">IFERROR('All Stock'!AF$12*VLOOKUP($A17,'IDEES okt 2017 template'!$C$183:$AH$190,'IDEES okt 2017 template'!AF$162,FALSE),"")*$AR$17/1000</f>
        <v>0</v>
      </c>
      <c r="AI17" s="694">
        <f ca="1">IFERROR('All Stock'!AG$12*VLOOKUP($A17,'IDEES okt 2017 template'!$C$183:$AH$190,'IDEES okt 2017 template'!AG$162,FALSE),"")*$AR$17/1000</f>
        <v>0</v>
      </c>
      <c r="AJ17" s="694">
        <f ca="1">IFERROR('All Stock'!AH$12*VLOOKUP($A17,'IDEES okt 2017 template'!$C$183:$AH$190,'IDEES okt 2017 template'!AH$162,FALSE),"")*$AR$17/1000</f>
        <v>0.21956121698041547</v>
      </c>
      <c r="AK17" s="694">
        <f ca="1">IFERROR('All Stock'!AI$12*VLOOKUP($A17,'IDEES okt 2017 template'!$C$183:$AN$190,'IDEES okt 2017 template'!AI$162,FALSE),"")*$AR$17/1000</f>
        <v>0</v>
      </c>
      <c r="AL17" s="694">
        <f ca="1">IFERROR('All Stock'!AJ$12*VLOOKUP($A17,'IDEES okt 2017 template'!$C$183:$AN$190,'IDEES okt 2017 template'!AJ$162,FALSE),"")*$AR$17/1000</f>
        <v>0</v>
      </c>
      <c r="AM17" s="694">
        <f ca="1">IFERROR('All Stock'!AK$12*VLOOKUP($A17,'IDEES okt 2017 template'!$C$183:$AN$190,'IDEES okt 2017 template'!AK$162,FALSE),"")*$AR$17/1000</f>
        <v>0</v>
      </c>
      <c r="AN17" s="694">
        <f ca="1">IFERROR('All Stock'!AL$12*VLOOKUP($A17,'IDEES okt 2017 template'!$C$183:$AN$190,'IDEES okt 2017 template'!AL$162,FALSE),"")*$AR$17/1000</f>
        <v>0</v>
      </c>
      <c r="AO17" s="694">
        <f ca="1">IFERROR('All Stock'!AM$12*VLOOKUP($A17,'IDEES okt 2017 template'!$C$183:$AN$190,'IDEES okt 2017 template'!AM$162,FALSE),"")*$AR$17/1000</f>
        <v>0</v>
      </c>
      <c r="AP17" s="694">
        <f ca="1">IFERROR('All Stock'!AN$12*VLOOKUP($A17,'IDEES okt 2017 template'!$C$183:$AN$190,'IDEES okt 2017 template'!AN$162,FALSE),"")*$AR$17/1000</f>
        <v>0</v>
      </c>
      <c r="AQ17" s="509"/>
      <c r="AR17">
        <v>15</v>
      </c>
      <c r="AS17" t="str">
        <f t="shared" si="0"/>
        <v>Solids</v>
      </c>
      <c r="AT17" s="509"/>
      <c r="AW17" s="496">
        <f t="shared" ca="1" si="5"/>
        <v>0</v>
      </c>
    </row>
    <row r="18" spans="1:49">
      <c r="A18" t="str">
        <f t="shared" si="3"/>
        <v>LPG</v>
      </c>
      <c r="C18" t="str">
        <f>TechComm!L62</f>
        <v>R_ES-WH-DH_LPG</v>
      </c>
      <c r="D18" t="str">
        <f t="shared" si="2"/>
        <v>RSDLPG</v>
      </c>
      <c r="E18" t="str">
        <f t="shared" si="4"/>
        <v>R_ES-DH-WatHeat</v>
      </c>
      <c r="F18" s="694">
        <f ca="1">IFERROR('All Stock'!D$12*VLOOKUP($A18,'IDEES okt 2017 template'!$C$183:$AH$190,'IDEES okt 2017 template'!D$162,FALSE),"")*$AR$18/1000</f>
        <v>0.16746058811984094</v>
      </c>
      <c r="G18" s="694">
        <f ca="1">IFERROR('All Stock'!E$12*VLOOKUP($A18,'IDEES okt 2017 template'!$C$183:$AH$190,'IDEES okt 2017 template'!E$162,FALSE),"")*$AR$18/1000</f>
        <v>0.14353904456660468</v>
      </c>
      <c r="H18" s="694">
        <f ca="1">IFERROR('All Stock'!F$12*VLOOKUP($A18,'IDEES okt 2017 template'!$C$183:$AH$190,'IDEES okt 2017 template'!F$162,FALSE),"")*$AR$18/1000</f>
        <v>3.6571219785733041E-3</v>
      </c>
      <c r="I18" s="694">
        <f ca="1">IFERROR('All Stock'!G$12*VLOOKUP($A18,'IDEES okt 2017 template'!$C$183:$AH$190,'IDEES okt 2017 template'!G$162,FALSE),"")*$AR$18/1000</f>
        <v>0</v>
      </c>
      <c r="J18" s="694">
        <f ca="1">IFERROR('All Stock'!H$12*VLOOKUP($A18,'IDEES okt 2017 template'!$C$183:$AH$190,'IDEES okt 2017 template'!H$162,FALSE),"")*$AR$18/1000</f>
        <v>1.6693259750333225E-2</v>
      </c>
      <c r="K18" s="694">
        <f ca="1">IFERROR('All Stock'!I$12*VLOOKUP($A18,'IDEES okt 2017 template'!$C$183:$AH$190,'IDEES okt 2017 template'!I$162,FALSE),"")*$AR$18/1000</f>
        <v>4.1494639265439955E-2</v>
      </c>
      <c r="L18" s="694">
        <f ca="1">IFERROR('All Stock'!J$12*VLOOKUP($A18,'IDEES okt 2017 template'!$C$183:$AH$190,'IDEES okt 2017 template'!J$162,FALSE),"")*$AR$18/1000</f>
        <v>2.2288632703859896</v>
      </c>
      <c r="M18" s="694">
        <f ca="1">IFERROR('All Stock'!K$12*VLOOKUP($A18,'IDEES okt 2017 template'!$C$183:$AH$190,'IDEES okt 2017 template'!K$162,FALSE),"")*$AR$18/1000</f>
        <v>8.3741782092277214E-2</v>
      </c>
      <c r="N18" s="694">
        <f ca="1">IFERROR('All Stock'!L$12*VLOOKUP($A18,'IDEES okt 2017 template'!$C$183:$AH$190,'IDEES okt 2017 template'!L$162,FALSE),"")*$AR$18/1000</f>
        <v>9.2414847479460587E-3</v>
      </c>
      <c r="O18" s="694">
        <f ca="1">IFERROR('All Stock'!M$12*VLOOKUP($A18,'IDEES okt 2017 template'!$C$183:$AH$190,'IDEES okt 2017 template'!M$162,FALSE),"")*$AR$18/1000</f>
        <v>2.0245776365828161</v>
      </c>
      <c r="P18" s="694">
        <f ca="1">IFERROR('All Stock'!N$12*VLOOKUP($A18,'IDEES okt 2017 template'!$C$183:$AH$190,'IDEES okt 2017 template'!N$162,FALSE),"")*$AR$18/1000</f>
        <v>7.4212134342873853E-2</v>
      </c>
      <c r="Q18" s="694">
        <f ca="1">IFERROR('All Stock'!O$12*VLOOKUP($A18,'IDEES okt 2017 template'!$C$183:$AH$190,'IDEES okt 2017 template'!O$162,FALSE),"")*$AR$18/1000</f>
        <v>5.8907977467530159</v>
      </c>
      <c r="R18" s="694">
        <f ca="1">IFERROR('All Stock'!P$12*VLOOKUP($A18,'IDEES okt 2017 template'!$C$183:$AH$190,'IDEES okt 2017 template'!P$162,FALSE),"")*$AR$18/1000</f>
        <v>0.20099261458925996</v>
      </c>
      <c r="S18" s="694">
        <f ca="1">IFERROR('All Stock'!Q$12*VLOOKUP($A18,'IDEES okt 2017 template'!$C$183:$AH$190,'IDEES okt 2017 template'!Q$162,FALSE),"")*$AR$18/1000</f>
        <v>0.77953510463253606</v>
      </c>
      <c r="T18" s="694">
        <f ca="1">IFERROR('All Stock'!R$12*VLOOKUP($A18,'IDEES okt 2017 template'!$C$183:$AH$190,'IDEES okt 2017 template'!R$162,FALSE),"")*$AR$18/1000</f>
        <v>1.328665190854218</v>
      </c>
      <c r="U18" s="694">
        <f ca="1">IFERROR('All Stock'!S$12*VLOOKUP($A18,'IDEES okt 2017 template'!$C$183:$AH$190,'IDEES okt 2017 template'!S$162,FALSE),"")*$AR$18/1000</f>
        <v>0.23597808318045926</v>
      </c>
      <c r="V18" s="694">
        <f ca="1">IFERROR('All Stock'!T$12*VLOOKUP($A18,'IDEES okt 2017 template'!$C$183:$AH$190,'IDEES okt 2017 template'!T$162,FALSE),"")*$AR$18/1000</f>
        <v>8.0814007904727713E-3</v>
      </c>
      <c r="W18" s="694">
        <f ca="1">IFERROR('All Stock'!U$12*VLOOKUP($A18,'IDEES okt 2017 template'!$C$183:$AH$190,'IDEES okt 2017 template'!U$162,FALSE),"")*$AR$18/1000</f>
        <v>2.8001330357658145</v>
      </c>
      <c r="X18" s="694">
        <f ca="1">IFERROR('All Stock'!V$12*VLOOKUP($A18,'IDEES okt 2017 template'!$C$183:$AH$190,'IDEES okt 2017 template'!V$162,FALSE),"")*$AR$18/1000</f>
        <v>0.11712822453734899</v>
      </c>
      <c r="Y18" s="694">
        <f ca="1">IFERROR('All Stock'!W$12*VLOOKUP($A18,'IDEES okt 2017 template'!$C$183:$AH$190,'IDEES okt 2017 template'!W$162,FALSE),"")*$AR$18/1000</f>
        <v>7.3510664581383119E-3</v>
      </c>
      <c r="Z18" s="694">
        <f ca="1">IFERROR('All Stock'!X$12*VLOOKUP($A18,'IDEES okt 2017 template'!$C$183:$AH$190,'IDEES okt 2017 template'!X$162,FALSE),"")*$AR$18/1000</f>
        <v>5.8945720081455009E-2</v>
      </c>
      <c r="AA18" s="694">
        <f ca="1">IFERROR('All Stock'!Y$12*VLOOKUP($A18,'IDEES okt 2017 template'!$C$183:$AH$190,'IDEES okt 2017 template'!Y$162,FALSE),"")*$AR$18/1000</f>
        <v>2.7821177930781801E-2</v>
      </c>
      <c r="AB18" s="694">
        <f ca="1">IFERROR('All Stock'!Z$12*VLOOKUP($A18,'IDEES okt 2017 template'!$C$183:$AH$190,'IDEES okt 2017 template'!Z$162,FALSE),"")*$AR$18/1000</f>
        <v>2.639043943390957E-2</v>
      </c>
      <c r="AC18" s="694">
        <f ca="1">IFERROR('All Stock'!AA$12*VLOOKUP($A18,'IDEES okt 2017 template'!$C$183:$AH$190,'IDEES okt 2017 template'!AA$162,FALSE),"")*$AR$18/1000</f>
        <v>5.932052624518816E-2</v>
      </c>
      <c r="AD18" s="694">
        <f ca="1">IFERROR('All Stock'!AB$12*VLOOKUP($A18,'IDEES okt 2017 template'!$C$183:$AH$190,'IDEES okt 2017 template'!AB$162,FALSE),"")*$AR$18/1000</f>
        <v>1.1370464861255283</v>
      </c>
      <c r="AE18" s="694">
        <f ca="1">IFERROR('All Stock'!AC$12*VLOOKUP($A18,'IDEES okt 2017 template'!$C$183:$AH$190,'IDEES okt 2017 template'!AC$162,FALSE),"")*$AR$18/1000</f>
        <v>1.3532260973226218</v>
      </c>
      <c r="AF18" s="694">
        <f ca="1">IFERROR('All Stock'!AD$12*VLOOKUP($A18,'IDEES okt 2017 template'!$C$183:$AH$190,'IDEES okt 2017 template'!AD$162,FALSE),"")*$AR$18/1000</f>
        <v>0.63386342038050558</v>
      </c>
      <c r="AG18" s="694">
        <f ca="1">IFERROR('All Stock'!AE$12*VLOOKUP($A18,'IDEES okt 2017 template'!$C$183:$AH$190,'IDEES okt 2017 template'!AE$162,FALSE),"")*$AR$18/1000</f>
        <v>0</v>
      </c>
      <c r="AH18" s="694">
        <f ca="1">IFERROR('All Stock'!AF$12*VLOOKUP($A18,'IDEES okt 2017 template'!$C$183:$AH$190,'IDEES okt 2017 template'!AF$162,FALSE),"")*$AR$18/1000</f>
        <v>9.4438248841988454E-2</v>
      </c>
      <c r="AI18" s="694">
        <f ca="1">IFERROR('All Stock'!AG$12*VLOOKUP($A18,'IDEES okt 2017 template'!$C$183:$AH$190,'IDEES okt 2017 template'!AG$162,FALSE),"")*$AR$18/1000</f>
        <v>6.2722933051870933E-2</v>
      </c>
      <c r="AJ18" s="694">
        <f ca="1">IFERROR('All Stock'!AH$12*VLOOKUP($A18,'IDEES okt 2017 template'!$C$183:$AH$190,'IDEES okt 2017 template'!AH$162,FALSE),"")*$AR$18/1000</f>
        <v>0.64419206376819294</v>
      </c>
      <c r="AK18" s="694">
        <f ca="1">IFERROR('All Stock'!AI$12*VLOOKUP($A18,'IDEES okt 2017 template'!$C$183:$AN$190,'IDEES okt 2017 template'!AI$162,FALSE),"")*$AR$18/1000</f>
        <v>0.31683306199506617</v>
      </c>
      <c r="AL18" s="694">
        <f ca="1">IFERROR('All Stock'!AJ$12*VLOOKUP($A18,'IDEES okt 2017 template'!$C$183:$AN$190,'IDEES okt 2017 template'!AJ$162,FALSE),"")*$AR$18/1000</f>
        <v>0</v>
      </c>
      <c r="AM18" s="694">
        <f ca="1">IFERROR('All Stock'!AK$12*VLOOKUP($A18,'IDEES okt 2017 template'!$C$183:$AN$190,'IDEES okt 2017 template'!AK$162,FALSE),"")*$AR$18/1000</f>
        <v>0</v>
      </c>
      <c r="AN18" s="694">
        <f ca="1">IFERROR('All Stock'!AL$12*VLOOKUP($A18,'IDEES okt 2017 template'!$C$183:$AN$190,'IDEES okt 2017 template'!AL$162,FALSE),"")*$AR$18/1000</f>
        <v>7.0619483987950274E-2</v>
      </c>
      <c r="AO18" s="694">
        <f ca="1">IFERROR('All Stock'!AM$12*VLOOKUP($A18,'IDEES okt 2017 template'!$C$183:$AN$190,'IDEES okt 2017 template'!AM$162,FALSE),"")*$AR$18/1000</f>
        <v>0.22452740238891722</v>
      </c>
      <c r="AP18" s="694">
        <f ca="1">IFERROR('All Stock'!AN$12*VLOOKUP($A18,'IDEES okt 2017 template'!$C$183:$AN$190,'IDEES okt 2017 template'!AN$162,FALSE),"")*$AR$18/1000</f>
        <v>0.13078660338101666</v>
      </c>
      <c r="AQ18" s="509"/>
      <c r="AR18">
        <v>12</v>
      </c>
      <c r="AS18" t="str">
        <f t="shared" si="0"/>
        <v>LPG</v>
      </c>
      <c r="AT18" s="509"/>
      <c r="AW18" s="496">
        <f t="shared" ca="1" si="5"/>
        <v>0</v>
      </c>
    </row>
    <row r="19" spans="1:49">
      <c r="A19" s="692" t="str">
        <f t="shared" si="3"/>
        <v>Solar</v>
      </c>
      <c r="B19" s="692"/>
      <c r="C19" s="692" t="str">
        <f>TechComm!L63</f>
        <v>R_ES-WH-DH_SOL</v>
      </c>
      <c r="D19" s="692" t="str">
        <f t="shared" si="2"/>
        <v>RSDSOL</v>
      </c>
      <c r="E19" s="692" t="str">
        <f t="shared" si="4"/>
        <v>R_ES-DH-WatHeat</v>
      </c>
      <c r="F19" s="694">
        <f ca="1">IFERROR('All Stock'!D$12*VLOOKUP($A19,'IDEES okt 2017 template'!$C$183:$AH$190,'IDEES okt 2017 template'!D$162,FALSE),"")*$AR$18/1000</f>
        <v>2.0895813873685518</v>
      </c>
      <c r="G19" s="694">
        <f ca="1">IFERROR('All Stock'!E$12*VLOOKUP($A19,'IDEES okt 2017 template'!$C$183:$AH$190,'IDEES okt 2017 template'!E$162,FALSE),"")*$AR$18/1000</f>
        <v>0.188311153093805</v>
      </c>
      <c r="H19" s="694">
        <f ca="1">IFERROR('All Stock'!F$12*VLOOKUP($A19,'IDEES okt 2017 template'!$C$183:$AH$190,'IDEES okt 2017 template'!F$162,FALSE),"")*$AR$18/1000</f>
        <v>0.19657030634831515</v>
      </c>
      <c r="I19" s="694">
        <f ca="1">IFERROR('All Stock'!G$12*VLOOKUP($A19,'IDEES okt 2017 template'!$C$183:$AH$190,'IDEES okt 2017 template'!G$162,FALSE),"")*$AR$18/1000</f>
        <v>0.53097169163831426</v>
      </c>
      <c r="J19" s="694">
        <f ca="1">IFERROR('All Stock'!H$12*VLOOKUP($A19,'IDEES okt 2017 template'!$C$183:$AH$190,'IDEES okt 2017 template'!H$162,FALSE),"")*$AR$18/1000</f>
        <v>1.1347023667134399</v>
      </c>
      <c r="K19" s="694">
        <f ca="1">IFERROR('All Stock'!I$12*VLOOKUP($A19,'IDEES okt 2017 template'!$C$183:$AH$190,'IDEES okt 2017 template'!I$162,FALSE),"")*$AR$18/1000</f>
        <v>0.18051489565793311</v>
      </c>
      <c r="L19" s="694">
        <f ca="1">IFERROR('All Stock'!J$12*VLOOKUP($A19,'IDEES okt 2017 template'!$C$183:$AH$190,'IDEES okt 2017 template'!J$162,FALSE),"")*$AR$18/1000</f>
        <v>7.2876391544932231</v>
      </c>
      <c r="M19" s="694">
        <f ca="1">IFERROR('All Stock'!K$12*VLOOKUP($A19,'IDEES okt 2017 template'!$C$183:$AH$190,'IDEES okt 2017 template'!K$162,FALSE),"")*$AR$18/1000</f>
        <v>0.26272421784771144</v>
      </c>
      <c r="N19" s="694">
        <f ca="1">IFERROR('All Stock'!L$12*VLOOKUP($A19,'IDEES okt 2017 template'!$C$183:$AH$190,'IDEES okt 2017 template'!L$162,FALSE),"")*$AR$18/1000</f>
        <v>0</v>
      </c>
      <c r="O19" s="694">
        <f ca="1">IFERROR('All Stock'!M$12*VLOOKUP($A19,'IDEES okt 2017 template'!$C$183:$AH$190,'IDEES okt 2017 template'!M$162,FALSE),"")*$AR$18/1000</f>
        <v>0.89467344248088143</v>
      </c>
      <c r="P19" s="694">
        <f ca="1">IFERROR('All Stock'!N$12*VLOOKUP($A19,'IDEES okt 2017 template'!$C$183:$AH$190,'IDEES okt 2017 template'!N$162,FALSE),"")*$AR$18/1000</f>
        <v>1.6751768189046768E-2</v>
      </c>
      <c r="Q19" s="694">
        <f ca="1">IFERROR('All Stock'!O$12*VLOOKUP($A19,'IDEES okt 2017 template'!$C$183:$AH$190,'IDEES okt 2017 template'!O$162,FALSE),"")*$AR$18/1000</f>
        <v>0.82251855867902868</v>
      </c>
      <c r="R19" s="694">
        <f ca="1">IFERROR('All Stock'!P$12*VLOOKUP($A19,'IDEES okt 2017 template'!$C$183:$AH$190,'IDEES okt 2017 template'!P$162,FALSE),"")*$AR$18/1000</f>
        <v>3.1874980573167022</v>
      </c>
      <c r="S19" s="694">
        <f ca="1">IFERROR('All Stock'!Q$12*VLOOKUP($A19,'IDEES okt 2017 template'!$C$183:$AH$190,'IDEES okt 2017 template'!Q$162,FALSE),"")*$AR$18/1000</f>
        <v>0.24305074177950409</v>
      </c>
      <c r="T19" s="694">
        <f ca="1">IFERROR('All Stock'!R$12*VLOOKUP($A19,'IDEES okt 2017 template'!$C$183:$AH$190,'IDEES okt 2017 template'!R$162,FALSE),"")*$AR$18/1000</f>
        <v>0.26667609706025114</v>
      </c>
      <c r="U19" s="694">
        <f ca="1">IFERROR('All Stock'!S$12*VLOOKUP($A19,'IDEES okt 2017 template'!$C$183:$AH$190,'IDEES okt 2017 template'!S$162,FALSE),"")*$AR$18/1000</f>
        <v>9.386488810523845E-2</v>
      </c>
      <c r="V19" s="694">
        <f ca="1">IFERROR('All Stock'!T$12*VLOOKUP($A19,'IDEES okt 2017 template'!$C$183:$AH$190,'IDEES okt 2017 template'!T$162,FALSE),"")*$AR$18/1000</f>
        <v>0</v>
      </c>
      <c r="W19" s="694">
        <f ca="1">IFERROR('All Stock'!U$12*VLOOKUP($A19,'IDEES okt 2017 template'!$C$183:$AH$190,'IDEES okt 2017 template'!U$162,FALSE),"")*$AR$18/1000</f>
        <v>0.86672447651900564</v>
      </c>
      <c r="X19" s="694">
        <f ca="1">IFERROR('All Stock'!V$12*VLOOKUP($A19,'IDEES okt 2017 template'!$C$183:$AH$190,'IDEES okt 2017 template'!V$162,FALSE),"")*$AR$18/1000</f>
        <v>0</v>
      </c>
      <c r="Y19" s="694">
        <f ca="1">IFERROR('All Stock'!W$12*VLOOKUP($A19,'IDEES okt 2017 template'!$C$183:$AH$190,'IDEES okt 2017 template'!W$162,FALSE),"")*$AR$18/1000</f>
        <v>1.9157324709087722E-2</v>
      </c>
      <c r="Z19" s="694">
        <f ca="1">IFERROR('All Stock'!X$12*VLOOKUP($A19,'IDEES okt 2017 template'!$C$183:$AH$190,'IDEES okt 2017 template'!X$162,FALSE),"")*$AR$18/1000</f>
        <v>0</v>
      </c>
      <c r="AA19" s="694">
        <f ca="1">IFERROR('All Stock'!Y$12*VLOOKUP($A19,'IDEES okt 2017 template'!$C$183:$AH$190,'IDEES okt 2017 template'!Y$162,FALSE),"")*$AR$18/1000</f>
        <v>0</v>
      </c>
      <c r="AB19" s="694">
        <f ca="1">IFERROR('All Stock'!Z$12*VLOOKUP($A19,'IDEES okt 2017 template'!$C$183:$AH$190,'IDEES okt 2017 template'!Z$162,FALSE),"")*$AR$18/1000</f>
        <v>0.14696131501470938</v>
      </c>
      <c r="AC19" s="694">
        <f ca="1">IFERROR('All Stock'!AA$12*VLOOKUP($A19,'IDEES okt 2017 template'!$C$183:$AH$190,'IDEES okt 2017 template'!AA$162,FALSE),"")*$AR$18/1000</f>
        <v>0</v>
      </c>
      <c r="AD19" s="694">
        <f ca="1">IFERROR('All Stock'!AB$12*VLOOKUP($A19,'IDEES okt 2017 template'!$C$183:$AH$190,'IDEES okt 2017 template'!AB$162,FALSE),"")*$AR$18/1000</f>
        <v>0</v>
      </c>
      <c r="AE19" s="694">
        <f ca="1">IFERROR('All Stock'!AC$12*VLOOKUP($A19,'IDEES okt 2017 template'!$C$183:$AH$190,'IDEES okt 2017 template'!AC$162,FALSE),"")*$AR$18/1000</f>
        <v>0.48648749707225442</v>
      </c>
      <c r="AF19" s="694">
        <f ca="1">IFERROR('All Stock'!AD$12*VLOOKUP($A19,'IDEES okt 2017 template'!$C$183:$AH$190,'IDEES okt 2017 template'!AD$162,FALSE),"")*$AR$18/1000</f>
        <v>0</v>
      </c>
      <c r="AG19" s="694">
        <f ca="1">IFERROR('All Stock'!AE$12*VLOOKUP($A19,'IDEES okt 2017 template'!$C$183:$AH$190,'IDEES okt 2017 template'!AE$162,FALSE),"")*$AR$18/1000</f>
        <v>0.22233832223607392</v>
      </c>
      <c r="AH19" s="694">
        <f ca="1">IFERROR('All Stock'!AF$12*VLOOKUP($A19,'IDEES okt 2017 template'!$C$183:$AH$190,'IDEES okt 2017 template'!AF$162,FALSE),"")*$AR$18/1000</f>
        <v>8.1685049425719913E-2</v>
      </c>
      <c r="AI19" s="694">
        <f ca="1">IFERROR('All Stock'!AG$12*VLOOKUP($A19,'IDEES okt 2017 template'!$C$183:$AH$190,'IDEES okt 2017 template'!AG$162,FALSE),"")*$AR$18/1000</f>
        <v>0</v>
      </c>
      <c r="AJ19" s="694">
        <f ca="1">IFERROR('All Stock'!AH$12*VLOOKUP($A19,'IDEES okt 2017 template'!$C$183:$AH$190,'IDEES okt 2017 template'!AH$162,FALSE),"")*$AR$18/1000</f>
        <v>0.95108560042923707</v>
      </c>
      <c r="AK19" s="694">
        <f ca="1">IFERROR('All Stock'!AI$12*VLOOKUP($A19,'IDEES okt 2017 template'!$C$183:$AN$190,'IDEES okt 2017 template'!AI$162,FALSE),"")*$AR$18/1000</f>
        <v>3.4756361909538028E-2</v>
      </c>
      <c r="AL19" s="694">
        <f ca="1">IFERROR('All Stock'!AJ$12*VLOOKUP($A19,'IDEES okt 2017 template'!$C$183:$AN$190,'IDEES okt 2017 template'!AJ$162,FALSE),"")*$AR$18/1000</f>
        <v>0</v>
      </c>
      <c r="AM19" s="694">
        <f ca="1">IFERROR('All Stock'!AK$12*VLOOKUP($A19,'IDEES okt 2017 template'!$C$183:$AN$190,'IDEES okt 2017 template'!AK$162,FALSE),"")*$AR$18/1000</f>
        <v>0</v>
      </c>
      <c r="AN19" s="694">
        <f ca="1">IFERROR('All Stock'!AL$12*VLOOKUP($A19,'IDEES okt 2017 template'!$C$183:$AN$190,'IDEES okt 2017 template'!AL$162,FALSE),"")*$AR$18/1000</f>
        <v>0</v>
      </c>
      <c r="AO19" s="694">
        <f ca="1">IFERROR('All Stock'!AM$12*VLOOKUP($A19,'IDEES okt 2017 template'!$C$183:$AN$190,'IDEES okt 2017 template'!AM$162,FALSE),"")*$AR$18/1000</f>
        <v>0</v>
      </c>
      <c r="AP19" s="694">
        <f ca="1">IFERROR('All Stock'!AN$12*VLOOKUP($A19,'IDEES okt 2017 template'!$C$183:$AN$190,'IDEES okt 2017 template'!AN$162,FALSE),"")*$AR$18/1000</f>
        <v>9.9609297958563863E-3</v>
      </c>
      <c r="AQ19" s="509"/>
      <c r="AR19">
        <v>15</v>
      </c>
      <c r="AS19" t="str">
        <f t="shared" si="0"/>
        <v>Solar</v>
      </c>
      <c r="AT19" s="509"/>
      <c r="AW19" s="496">
        <f t="shared" ca="1" si="5"/>
        <v>0.15153688663648243</v>
      </c>
    </row>
    <row r="20" spans="1:49">
      <c r="A20" t="str">
        <f t="shared" si="3"/>
        <v>Electricity</v>
      </c>
      <c r="C20" t="str">
        <f>TechComm!L64</f>
        <v>R_ES-WH-SD_ELC</v>
      </c>
      <c r="D20" t="str">
        <f t="shared" si="2"/>
        <v>RSDELC-heating</v>
      </c>
      <c r="E20" t="str">
        <f>TechComm!C21</f>
        <v>R_ES-SD-WatHeat</v>
      </c>
      <c r="F20" s="694">
        <f ca="1">IFERROR('All Stock'!D$15*VLOOKUP($A20,'IDEES okt 2017 template'!$C$183:$AH$190,'IDEES okt 2017 template'!D$162,FALSE),"")*$AR$20/1000</f>
        <v>0.58853406053048685</v>
      </c>
      <c r="G20" s="694">
        <f ca="1">IFERROR('All Stock'!E$15*VLOOKUP($A20,'IDEES okt 2017 template'!$C$183:$AH$190,'IDEES okt 2017 template'!E$162,FALSE),"")*$AR$20/1000</f>
        <v>1.2869772133251569</v>
      </c>
      <c r="H20" s="694">
        <f ca="1">IFERROR('All Stock'!F$15*VLOOKUP($A20,'IDEES okt 2017 template'!$C$183:$AH$190,'IDEES okt 2017 template'!F$162,FALSE),"")*$AR$20/1000</f>
        <v>1.0867432781663999</v>
      </c>
      <c r="I20" s="694">
        <f ca="1">IFERROR('All Stock'!G$15*VLOOKUP($A20,'IDEES okt 2017 template'!$C$183:$AH$190,'IDEES okt 2017 template'!G$162,FALSE),"")*$AR$20/1000</f>
        <v>1.2122032768384308</v>
      </c>
      <c r="J20" s="694">
        <f ca="1">IFERROR('All Stock'!H$15*VLOOKUP($A20,'IDEES okt 2017 template'!$C$183:$AH$190,'IDEES okt 2017 template'!H$162,FALSE),"")*$AR$20/1000</f>
        <v>3.3741695240035251E-2</v>
      </c>
      <c r="K20" s="694">
        <f ca="1">IFERROR('All Stock'!I$15*VLOOKUP($A20,'IDEES okt 2017 template'!$C$183:$AH$190,'IDEES okt 2017 template'!I$162,FALSE),"")*$AR$20/1000</f>
        <v>1.5444060472954062</v>
      </c>
      <c r="L20" s="694">
        <f ca="1">IFERROR('All Stock'!J$15*VLOOKUP($A20,'IDEES okt 2017 template'!$C$183:$AH$190,'IDEES okt 2017 template'!J$162,FALSE),"")*$AR$20/1000</f>
        <v>8.379363044942794</v>
      </c>
      <c r="M20" s="694">
        <f ca="1">IFERROR('All Stock'!K$15*VLOOKUP($A20,'IDEES okt 2017 template'!$C$183:$AH$190,'IDEES okt 2017 template'!K$162,FALSE),"")*$AR$20/1000</f>
        <v>0.38828063556098219</v>
      </c>
      <c r="N20" s="694">
        <f ca="1">IFERROR('All Stock'!L$15*VLOOKUP($A20,'IDEES okt 2017 template'!$C$183:$AH$190,'IDEES okt 2017 template'!L$162,FALSE),"")*$AR$20/1000</f>
        <v>3.4626440502128084E-2</v>
      </c>
      <c r="O20" s="694">
        <f ca="1">IFERROR('All Stock'!M$15*VLOOKUP($A20,'IDEES okt 2017 template'!$C$183:$AH$190,'IDEES okt 2017 template'!M$162,FALSE),"")*$AR$20/1000</f>
        <v>3.7649136892344592</v>
      </c>
      <c r="P20" s="694">
        <f ca="1">IFERROR('All Stock'!N$15*VLOOKUP($A20,'IDEES okt 2017 template'!$C$183:$AH$190,'IDEES okt 2017 template'!N$162,FALSE),"")*$AR$20/1000</f>
        <v>1.1319837165334328</v>
      </c>
      <c r="Q20" s="694">
        <f ca="1">IFERROR('All Stock'!O$15*VLOOKUP($A20,'IDEES okt 2017 template'!$C$183:$AH$190,'IDEES okt 2017 template'!O$162,FALSE),"")*$AR$20/1000</f>
        <v>10.186647065999466</v>
      </c>
      <c r="R20" s="694">
        <f ca="1">IFERROR('All Stock'!P$15*VLOOKUP($A20,'IDEES okt 2017 template'!$C$183:$AH$190,'IDEES okt 2017 template'!P$162,FALSE),"")*$AR$20/1000</f>
        <v>0.99000853670066047</v>
      </c>
      <c r="S20" s="694">
        <f ca="1">IFERROR('All Stock'!Q$15*VLOOKUP($A20,'IDEES okt 2017 template'!$C$183:$AH$190,'IDEES okt 2017 template'!Q$162,FALSE),"")*$AR$20/1000</f>
        <v>0.37112127248769927</v>
      </c>
      <c r="T20" s="694">
        <f ca="1">IFERROR('All Stock'!R$15*VLOOKUP($A20,'IDEES okt 2017 template'!$C$183:$AH$190,'IDEES okt 2017 template'!R$162,FALSE),"")*$AR$20/1000</f>
        <v>0.61871124025025659</v>
      </c>
      <c r="U20" s="694">
        <f ca="1">IFERROR('All Stock'!S$15*VLOOKUP($A20,'IDEES okt 2017 template'!$C$183:$AH$190,'IDEES okt 2017 template'!S$162,FALSE),"")*$AR$20/1000</f>
        <v>0.92904987660674054</v>
      </c>
      <c r="V20" s="694">
        <f ca="1">IFERROR('All Stock'!T$15*VLOOKUP($A20,'IDEES okt 2017 template'!$C$183:$AH$190,'IDEES okt 2017 template'!T$162,FALSE),"")*$AR$20/1000</f>
        <v>7.221901149778541E-2</v>
      </c>
      <c r="W20" s="694">
        <f ca="1">IFERROR('All Stock'!U$15*VLOOKUP($A20,'IDEES okt 2017 template'!$C$183:$AH$190,'IDEES okt 2017 template'!U$162,FALSE),"")*$AR$20/1000</f>
        <v>2.52686255592723</v>
      </c>
      <c r="X20" s="694">
        <f ca="1">IFERROR('All Stock'!V$15*VLOOKUP($A20,'IDEES okt 2017 template'!$C$183:$AH$190,'IDEES okt 2017 template'!V$162,FALSE),"")*$AR$20/1000</f>
        <v>7.6425307799296627E-2</v>
      </c>
      <c r="Y20" s="694">
        <f ca="1">IFERROR('All Stock'!W$15*VLOOKUP($A20,'IDEES okt 2017 template'!$C$183:$AH$190,'IDEES okt 2017 template'!W$162,FALSE),"")*$AR$20/1000</f>
        <v>4.4196971329233177E-2</v>
      </c>
      <c r="Z20" s="694">
        <f ca="1">IFERROR('All Stock'!X$15*VLOOKUP($A20,'IDEES okt 2017 template'!$C$183:$AH$190,'IDEES okt 2017 template'!X$162,FALSE),"")*$AR$20/1000</f>
        <v>2.1069826035024313E-2</v>
      </c>
      <c r="AA20" s="694">
        <f ca="1">IFERROR('All Stock'!Y$15*VLOOKUP($A20,'IDEES okt 2017 template'!$C$183:$AH$190,'IDEES okt 2017 template'!Y$162,FALSE),"")*$AR$20/1000</f>
        <v>7.9841377270869401E-2</v>
      </c>
      <c r="AB20" s="694">
        <f ca="1">IFERROR('All Stock'!Z$15*VLOOKUP($A20,'IDEES okt 2017 template'!$C$183:$AH$190,'IDEES okt 2017 template'!Z$162,FALSE),"")*$AR$20/1000</f>
        <v>1.1896992899038923</v>
      </c>
      <c r="AC20" s="694">
        <f ca="1">IFERROR('All Stock'!AA$15*VLOOKUP($A20,'IDEES okt 2017 template'!$C$183:$AH$190,'IDEES okt 2017 template'!AA$162,FALSE),"")*$AR$20/1000</f>
        <v>1.5868222392557507</v>
      </c>
      <c r="AD20" s="694">
        <f ca="1">IFERROR('All Stock'!AB$15*VLOOKUP($A20,'IDEES okt 2017 template'!$C$183:$AH$190,'IDEES okt 2017 template'!AB$162,FALSE),"")*$AR$20/1000</f>
        <v>0.36901061782441807</v>
      </c>
      <c r="AE20" s="694">
        <f ca="1">IFERROR('All Stock'!AC$15*VLOOKUP($A20,'IDEES okt 2017 template'!$C$183:$AH$190,'IDEES okt 2017 template'!AC$162,FALSE),"")*$AR$20/1000</f>
        <v>0.42459015736506578</v>
      </c>
      <c r="AF20" s="694">
        <f ca="1">IFERROR('All Stock'!AD$15*VLOOKUP($A20,'IDEES okt 2017 template'!$C$183:$AH$190,'IDEES okt 2017 template'!AD$162,FALSE),"")*$AR$20/1000</f>
        <v>0.3356225436633869</v>
      </c>
      <c r="AG20" s="694">
        <f ca="1">IFERROR('All Stock'!AE$15*VLOOKUP($A20,'IDEES okt 2017 template'!$C$183:$AH$190,'IDEES okt 2017 template'!AE$162,FALSE),"")*$AR$20/1000</f>
        <v>1.3878371532845961</v>
      </c>
      <c r="AH20" s="694">
        <f ca="1">IFERROR('All Stock'!AF$15*VLOOKUP($A20,'IDEES okt 2017 template'!$C$183:$AH$190,'IDEES okt 2017 template'!AF$162,FALSE),"")*$AR$20/1000</f>
        <v>9.7379824195811648E-2</v>
      </c>
      <c r="AI20" s="694">
        <f ca="1">IFERROR('All Stock'!AG$15*VLOOKUP($A20,'IDEES okt 2017 template'!$C$183:$AH$190,'IDEES okt 2017 template'!AG$162,FALSE),"")*$AR$20/1000</f>
        <v>9.4542296741511711E-2</v>
      </c>
      <c r="AJ20" s="694">
        <f ca="1">IFERROR('All Stock'!AH$15*VLOOKUP($A20,'IDEES okt 2017 template'!$C$183:$AH$190,'IDEES okt 2017 template'!AH$162,FALSE),"")*$AR$20/1000</f>
        <v>11.80954316776473</v>
      </c>
      <c r="AK20" s="694">
        <f ca="1">IFERROR('All Stock'!AI$15*VLOOKUP($A20,'IDEES okt 2017 template'!$C$183:$AN$190,'IDEES okt 2017 template'!AI$162,FALSE),"")*$AR$20/1000</f>
        <v>0.15114414740739332</v>
      </c>
      <c r="AL20" s="694">
        <f ca="1">IFERROR('All Stock'!AJ$15*VLOOKUP($A20,'IDEES okt 2017 template'!$C$183:$AN$190,'IDEES okt 2017 template'!AJ$162,FALSE),"")*$AR$20/1000</f>
        <v>0.28844717355128213</v>
      </c>
      <c r="AM20" s="694">
        <f ca="1">IFERROR('All Stock'!AK$15*VLOOKUP($A20,'IDEES okt 2017 template'!$C$183:$AN$190,'IDEES okt 2017 template'!AK$162,FALSE),"")*$AR$20/1000</f>
        <v>0.10832829361075871</v>
      </c>
      <c r="AN20" s="694">
        <f ca="1">IFERROR('All Stock'!AL$15*VLOOKUP($A20,'IDEES okt 2017 template'!$C$183:$AN$190,'IDEES okt 2017 template'!AL$162,FALSE),"")*$AR$20/1000</f>
        <v>0.23894403360739505</v>
      </c>
      <c r="AO20" s="694">
        <f ca="1">IFERROR('All Stock'!AM$15*VLOOKUP($A20,'IDEES okt 2017 template'!$C$183:$AN$190,'IDEES okt 2017 template'!AM$162,FALSE),"")*$AR$20/1000</f>
        <v>0.75524515950132565</v>
      </c>
      <c r="AP20" s="694">
        <f ca="1">IFERROR('All Stock'!AN$15*VLOOKUP($A20,'IDEES okt 2017 template'!$C$183:$AN$190,'IDEES okt 2017 template'!AN$162,FALSE),"")*$AR$20/1000</f>
        <v>0.18699895166555239</v>
      </c>
      <c r="AQ20" s="509"/>
      <c r="AR20">
        <f t="shared" ref="AR20:AR27" si="6">AR12</f>
        <v>5</v>
      </c>
      <c r="AS20" t="str">
        <f t="shared" si="0"/>
        <v>Electricity</v>
      </c>
      <c r="AT20" s="509"/>
    </row>
    <row r="21" spans="1:49">
      <c r="A21" t="str">
        <f t="shared" si="3"/>
        <v>Gases</v>
      </c>
      <c r="C21" t="str">
        <f>TechComm!L65</f>
        <v>R_ES-WH-SD_GAS</v>
      </c>
      <c r="D21" t="str">
        <f t="shared" si="2"/>
        <v>RSDGAS</v>
      </c>
      <c r="E21" t="str">
        <f t="shared" ref="E21:E27" si="7">E20</f>
        <v>R_ES-SD-WatHeat</v>
      </c>
      <c r="F21" s="694">
        <f ca="1">IFERROR('All Stock'!D$15*VLOOKUP($A21,'IDEES okt 2017 template'!$C$183:$AH$190,'IDEES okt 2017 template'!D$162,FALSE),"")*$AR$21/1000</f>
        <v>0.97439946729196258</v>
      </c>
      <c r="G21" s="694">
        <f ca="1">IFERROR('All Stock'!E$15*VLOOKUP($A21,'IDEES okt 2017 template'!$C$183:$AH$190,'IDEES okt 2017 template'!E$162,FALSE),"")*$AR$21/1000</f>
        <v>8.9111980916564288</v>
      </c>
      <c r="H21" s="694">
        <f ca="1">IFERROR('All Stock'!F$15*VLOOKUP($A21,'IDEES okt 2017 template'!$C$183:$AH$190,'IDEES okt 2017 template'!F$162,FALSE),"")*$AR$21/1000</f>
        <v>4.3229566866287726E-2</v>
      </c>
      <c r="I21" s="694">
        <f ca="1">IFERROR('All Stock'!G$15*VLOOKUP($A21,'IDEES okt 2017 template'!$C$183:$AH$190,'IDEES okt 2017 template'!G$162,FALSE),"")*$AR$21/1000</f>
        <v>2.3231102150213565</v>
      </c>
      <c r="J21" s="694">
        <f ca="1">IFERROR('All Stock'!H$15*VLOOKUP($A21,'IDEES okt 2017 template'!$C$183:$AH$190,'IDEES okt 2017 template'!H$162,FALSE),"")*$AR$21/1000</f>
        <v>0</v>
      </c>
      <c r="K21" s="694">
        <f ca="1">IFERROR('All Stock'!I$15*VLOOKUP($A21,'IDEES okt 2017 template'!$C$183:$AH$190,'IDEES okt 2017 template'!I$162,FALSE),"")*$AR$21/1000</f>
        <v>2.0942302661279788</v>
      </c>
      <c r="L21" s="694">
        <f ca="1">IFERROR('All Stock'!J$15*VLOOKUP($A21,'IDEES okt 2017 template'!$C$183:$AH$190,'IDEES okt 2017 template'!J$162,FALSE),"")*$AR$21/1000</f>
        <v>36.78812972284117</v>
      </c>
      <c r="M21" s="694">
        <f ca="1">IFERROR('All Stock'!K$15*VLOOKUP($A21,'IDEES okt 2017 template'!$C$183:$AH$190,'IDEES okt 2017 template'!K$162,FALSE),"")*$AR$21/1000</f>
        <v>0.87091978718459906</v>
      </c>
      <c r="N21" s="694">
        <f ca="1">IFERROR('All Stock'!L$15*VLOOKUP($A21,'IDEES okt 2017 template'!$C$183:$AH$190,'IDEES okt 2017 template'!L$162,FALSE),"")*$AR$21/1000</f>
        <v>2.7296234438822894E-2</v>
      </c>
      <c r="O21" s="694">
        <f ca="1">IFERROR('All Stock'!M$15*VLOOKUP($A21,'IDEES okt 2017 template'!$C$183:$AH$190,'IDEES okt 2017 template'!M$162,FALSE),"")*$AR$21/1000</f>
        <v>7.9071588970276681</v>
      </c>
      <c r="P21" s="694">
        <f ca="1">IFERROR('All Stock'!N$15*VLOOKUP($A21,'IDEES okt 2017 template'!$C$183:$AH$190,'IDEES okt 2017 template'!N$162,FALSE),"")*$AR$21/1000</f>
        <v>4.7242096673968566E-2</v>
      </c>
      <c r="Q21" s="694">
        <f ca="1">IFERROR('All Stock'!O$15*VLOOKUP($A21,'IDEES okt 2017 template'!$C$183:$AH$190,'IDEES okt 2017 template'!O$162,FALSE),"")*$AR$21/1000</f>
        <v>21.707847995000851</v>
      </c>
      <c r="R21" s="694">
        <f ca="1">IFERROR('All Stock'!P$15*VLOOKUP($A21,'IDEES okt 2017 template'!$C$183:$AH$190,'IDEES okt 2017 template'!P$162,FALSE),"")*$AR$21/1000</f>
        <v>9.9402072935192959E-2</v>
      </c>
      <c r="S21" s="694">
        <f ca="1">IFERROR('All Stock'!Q$15*VLOOKUP($A21,'IDEES okt 2017 template'!$C$183:$AH$190,'IDEES okt 2017 template'!Q$162,FALSE),"")*$AR$21/1000</f>
        <v>0.87282714717107035</v>
      </c>
      <c r="T21" s="694">
        <f ca="1">IFERROR('All Stock'!R$15*VLOOKUP($A21,'IDEES okt 2017 template'!$C$183:$AH$190,'IDEES okt 2017 template'!R$162,FALSE),"")*$AR$21/1000</f>
        <v>3.525154456568937</v>
      </c>
      <c r="U21" s="694">
        <f ca="1">IFERROR('All Stock'!S$15*VLOOKUP($A21,'IDEES okt 2017 template'!$C$183:$AH$190,'IDEES okt 2017 template'!S$162,FALSE),"")*$AR$21/1000</f>
        <v>2.0159579616235459</v>
      </c>
      <c r="V21" s="694">
        <f ca="1">IFERROR('All Stock'!T$15*VLOOKUP($A21,'IDEES okt 2017 template'!$C$183:$AH$190,'IDEES okt 2017 template'!T$162,FALSE),"")*$AR$21/1000</f>
        <v>0</v>
      </c>
      <c r="W21" s="694">
        <f ca="1">IFERROR('All Stock'!U$15*VLOOKUP($A21,'IDEES okt 2017 template'!$C$183:$AH$190,'IDEES okt 2017 template'!U$162,FALSE),"")*$AR$21/1000</f>
        <v>29.29356633601185</v>
      </c>
      <c r="X21" s="694">
        <f ca="1">IFERROR('All Stock'!V$15*VLOOKUP($A21,'IDEES okt 2017 template'!$C$183:$AH$190,'IDEES okt 2017 template'!V$162,FALSE),"")*$AR$21/1000</f>
        <v>0.12168341976169261</v>
      </c>
      <c r="Y21" s="694">
        <f ca="1">IFERROR('All Stock'!W$15*VLOOKUP($A21,'IDEES okt 2017 template'!$C$183:$AH$190,'IDEES okt 2017 template'!W$162,FALSE),"")*$AR$21/1000</f>
        <v>0.35655426217996583</v>
      </c>
      <c r="Z21" s="694">
        <f ca="1">IFERROR('All Stock'!X$15*VLOOKUP($A21,'IDEES okt 2017 template'!$C$183:$AH$190,'IDEES okt 2017 template'!X$162,FALSE),"")*$AR$21/1000</f>
        <v>7.2399100539594585E-2</v>
      </c>
      <c r="AA21" s="694">
        <f ca="1">IFERROR('All Stock'!Y$15*VLOOKUP($A21,'IDEES okt 2017 template'!$C$183:$AH$190,'IDEES okt 2017 template'!Y$162,FALSE),"")*$AR$21/1000</f>
        <v>0</v>
      </c>
      <c r="AB21" s="694">
        <f ca="1">IFERROR('All Stock'!Z$15*VLOOKUP($A21,'IDEES okt 2017 template'!$C$183:$AH$190,'IDEES okt 2017 template'!Z$162,FALSE),"")*$AR$21/1000</f>
        <v>33.697054582665551</v>
      </c>
      <c r="AC21" s="694">
        <f ca="1">IFERROR('All Stock'!AA$15*VLOOKUP($A21,'IDEES okt 2017 template'!$C$183:$AH$190,'IDEES okt 2017 template'!AA$162,FALSE),"")*$AR$21/1000</f>
        <v>2.6077827858292215E-3</v>
      </c>
      <c r="AD21" s="694">
        <f ca="1">IFERROR('All Stock'!AB$15*VLOOKUP($A21,'IDEES okt 2017 template'!$C$183:$AH$190,'IDEES okt 2017 template'!AB$162,FALSE),"")*$AR$21/1000</f>
        <v>2.5474528821294595</v>
      </c>
      <c r="AE21" s="694">
        <f ca="1">IFERROR('All Stock'!AC$15*VLOOKUP($A21,'IDEES okt 2017 template'!$C$183:$AH$190,'IDEES okt 2017 template'!AC$162,FALSE),"")*$AR$21/1000</f>
        <v>0.61909797134792366</v>
      </c>
      <c r="AF21" s="694">
        <f ca="1">IFERROR('All Stock'!AD$15*VLOOKUP($A21,'IDEES okt 2017 template'!$C$183:$AH$190,'IDEES okt 2017 template'!AD$162,FALSE),"")*$AR$21/1000</f>
        <v>2.0067947662472534</v>
      </c>
      <c r="AG21" s="694">
        <f ca="1">IFERROR('All Stock'!AE$15*VLOOKUP($A21,'IDEES okt 2017 template'!$C$183:$AH$190,'IDEES okt 2017 template'!AE$162,FALSE),"")*$AR$21/1000</f>
        <v>8.8577653350578961E-2</v>
      </c>
      <c r="AH21" s="694">
        <f ca="1">IFERROR('All Stock'!AF$15*VLOOKUP($A21,'IDEES okt 2017 template'!$C$183:$AH$190,'IDEES okt 2017 template'!AF$162,FALSE),"")*$AR$21/1000</f>
        <v>5.6589019822128446E-2</v>
      </c>
      <c r="AI21" s="694">
        <f ca="1">IFERROR('All Stock'!AG$15*VLOOKUP($A21,'IDEES okt 2017 template'!$C$183:$AH$190,'IDEES okt 2017 template'!AG$162,FALSE),"")*$AR$21/1000</f>
        <v>0.78744844593677921</v>
      </c>
      <c r="AJ21" s="694">
        <f ca="1">IFERROR('All Stock'!AH$15*VLOOKUP($A21,'IDEES okt 2017 template'!$C$183:$AH$190,'IDEES okt 2017 template'!AH$162,FALSE),"")*$AR$21/1000</f>
        <v>115.86325651761622</v>
      </c>
      <c r="AK21" s="694">
        <f ca="1">IFERROR('All Stock'!AI$15*VLOOKUP($A21,'IDEES okt 2017 template'!$C$183:$AN$190,'IDEES okt 2017 template'!AI$162,FALSE),"")*$AR$21/1000</f>
        <v>0</v>
      </c>
      <c r="AL21" s="694">
        <f ca="1">IFERROR('All Stock'!AJ$15*VLOOKUP($A21,'IDEES okt 2017 template'!$C$183:$AN$190,'IDEES okt 2017 template'!AJ$162,FALSE),"")*$AR$21/1000</f>
        <v>6.6801683063218167E-2</v>
      </c>
      <c r="AM21" s="694">
        <f ca="1">IFERROR('All Stock'!AK$15*VLOOKUP($A21,'IDEES okt 2017 template'!$C$183:$AN$190,'IDEES okt 2017 template'!AK$162,FALSE),"")*$AR$21/1000</f>
        <v>0</v>
      </c>
      <c r="AN21" s="694">
        <f ca="1">IFERROR('All Stock'!AL$15*VLOOKUP($A21,'IDEES okt 2017 template'!$C$183:$AN$190,'IDEES okt 2017 template'!AL$162,FALSE),"")*$AR$21/1000</f>
        <v>0</v>
      </c>
      <c r="AO21" s="694">
        <f ca="1">IFERROR('All Stock'!AM$15*VLOOKUP($A21,'IDEES okt 2017 template'!$C$183:$AN$190,'IDEES okt 2017 template'!AM$162,FALSE),"")*$AR$21/1000</f>
        <v>0.27090309305300792</v>
      </c>
      <c r="AP21" s="694">
        <f ca="1">IFERROR('All Stock'!AN$15*VLOOKUP($A21,'IDEES okt 2017 template'!$C$183:$AN$190,'IDEES okt 2017 template'!AN$162,FALSE),"")*$AR$21/1000</f>
        <v>0</v>
      </c>
      <c r="AQ21" s="509"/>
      <c r="AR21">
        <f t="shared" si="6"/>
        <v>12</v>
      </c>
      <c r="AS21" t="str">
        <f t="shared" si="0"/>
        <v>Gases</v>
      </c>
      <c r="AT21" s="509"/>
    </row>
    <row r="22" spans="1:49">
      <c r="A22" t="str">
        <f t="shared" si="3"/>
        <v>Derived heat</v>
      </c>
      <c r="C22" t="str">
        <f>TechComm!L66</f>
        <v>R_ES-WH-SD_HET</v>
      </c>
      <c r="D22" t="str">
        <f t="shared" si="2"/>
        <v>RSDHET</v>
      </c>
      <c r="E22" t="str">
        <f t="shared" si="7"/>
        <v>R_ES-SD-WatHeat</v>
      </c>
      <c r="F22" s="694">
        <f ca="1">IFERROR('All Stock'!D$15*VLOOKUP($A22,'IDEES okt 2017 template'!$C$183:$AH$190,'IDEES okt 2017 template'!D$162,FALSE),"")*$AR$22/1000</f>
        <v>1.1506875993527725</v>
      </c>
      <c r="G22" s="694">
        <f ca="1">IFERROR('All Stock'!E$15*VLOOKUP($A22,'IDEES okt 2017 template'!$C$183:$AH$190,'IDEES okt 2017 template'!E$162,FALSE),"")*$AR$22/1000</f>
        <v>4.23163703294413E-2</v>
      </c>
      <c r="H22" s="694">
        <f ca="1">IFERROR('All Stock'!F$15*VLOOKUP($A22,'IDEES okt 2017 template'!$C$183:$AH$190,'IDEES okt 2017 template'!F$162,FALSE),"")*$AR$22/1000</f>
        <v>1.3148993255162518</v>
      </c>
      <c r="I22" s="694">
        <f ca="1">IFERROR('All Stock'!G$15*VLOOKUP($A22,'IDEES okt 2017 template'!$C$183:$AH$190,'IDEES okt 2017 template'!G$162,FALSE),"")*$AR$22/1000</f>
        <v>0.51061155580795448</v>
      </c>
      <c r="J22" s="694">
        <f ca="1">IFERROR('All Stock'!H$15*VLOOKUP($A22,'IDEES okt 2017 template'!$C$183:$AH$190,'IDEES okt 2017 template'!H$162,FALSE),"")*$AR$22/1000</f>
        <v>0</v>
      </c>
      <c r="K22" s="694">
        <f ca="1">IFERROR('All Stock'!I$15*VLOOKUP($A22,'IDEES okt 2017 template'!$C$183:$AH$190,'IDEES okt 2017 template'!I$162,FALSE),"")*$AR$22/1000</f>
        <v>1.3039982927650182</v>
      </c>
      <c r="L22" s="694">
        <f ca="1">IFERROR('All Stock'!J$15*VLOOKUP($A22,'IDEES okt 2017 template'!$C$183:$AH$190,'IDEES okt 2017 template'!J$162,FALSE),"")*$AR$22/1000</f>
        <v>11.348081823503428</v>
      </c>
      <c r="M22" s="694">
        <f ca="1">IFERROR('All Stock'!K$15*VLOOKUP($A22,'IDEES okt 2017 template'!$C$183:$AH$190,'IDEES okt 2017 template'!K$162,FALSE),"")*$AR$22/1000</f>
        <v>4.0499966035698858</v>
      </c>
      <c r="N22" s="694">
        <f ca="1">IFERROR('All Stock'!L$15*VLOOKUP($A22,'IDEES okt 2017 template'!$C$183:$AH$190,'IDEES okt 2017 template'!L$162,FALSE),"")*$AR$22/1000</f>
        <v>0.40328042700027927</v>
      </c>
      <c r="O22" s="694">
        <f ca="1">IFERROR('All Stock'!M$15*VLOOKUP($A22,'IDEES okt 2017 template'!$C$183:$AH$190,'IDEES okt 2017 template'!M$162,FALSE),"")*$AR$22/1000</f>
        <v>0</v>
      </c>
      <c r="P22" s="694">
        <f ca="1">IFERROR('All Stock'!N$15*VLOOKUP($A22,'IDEES okt 2017 template'!$C$183:$AH$190,'IDEES okt 2017 template'!N$162,FALSE),"")*$AR$22/1000</f>
        <v>3.3894842919864261</v>
      </c>
      <c r="Q22" s="694">
        <f ca="1">IFERROR('All Stock'!O$15*VLOOKUP($A22,'IDEES okt 2017 template'!$C$183:$AH$190,'IDEES okt 2017 template'!O$162,FALSE),"")*$AR$22/1000</f>
        <v>5.0872547828202368</v>
      </c>
      <c r="R22" s="694">
        <f ca="1">IFERROR('All Stock'!P$15*VLOOKUP($A22,'IDEES okt 2017 template'!$C$183:$AH$190,'IDEES okt 2017 template'!P$162,FALSE),"")*$AR$22/1000</f>
        <v>6.4696606501714909E-2</v>
      </c>
      <c r="S22" s="694">
        <f ca="1">IFERROR('All Stock'!Q$15*VLOOKUP($A22,'IDEES okt 2017 template'!$C$183:$AH$190,'IDEES okt 2017 template'!Q$162,FALSE),"")*$AR$22/1000</f>
        <v>0.3562346834881927</v>
      </c>
      <c r="T22" s="694">
        <f ca="1">IFERROR('All Stock'!R$15*VLOOKUP($A22,'IDEES okt 2017 template'!$C$183:$AH$190,'IDEES okt 2017 template'!R$162,FALSE),"")*$AR$22/1000</f>
        <v>1.2773315323540286</v>
      </c>
      <c r="U22" s="694">
        <f ca="1">IFERROR('All Stock'!S$15*VLOOKUP($A22,'IDEES okt 2017 template'!$C$183:$AH$190,'IDEES okt 2017 template'!S$162,FALSE),"")*$AR$22/1000</f>
        <v>0</v>
      </c>
      <c r="V22" s="694">
        <f ca="1">IFERROR('All Stock'!T$15*VLOOKUP($A22,'IDEES okt 2017 template'!$C$183:$AH$190,'IDEES okt 2017 template'!T$162,FALSE),"")*$AR$22/1000</f>
        <v>0.38181035169617727</v>
      </c>
      <c r="W22" s="694">
        <f ca="1">IFERROR('All Stock'!U$15*VLOOKUP($A22,'IDEES okt 2017 template'!$C$183:$AH$190,'IDEES okt 2017 template'!U$162,FALSE),"")*$AR$22/1000</f>
        <v>0.2236150101985637</v>
      </c>
      <c r="X22" s="694">
        <f ca="1">IFERROR('All Stock'!V$15*VLOOKUP($A22,'IDEES okt 2017 template'!$C$183:$AH$190,'IDEES okt 2017 template'!V$162,FALSE),"")*$AR$22/1000</f>
        <v>0.9926333923150833</v>
      </c>
      <c r="Y22" s="694">
        <f ca="1">IFERROR('All Stock'!W$15*VLOOKUP($A22,'IDEES okt 2017 template'!$C$183:$AH$190,'IDEES okt 2017 template'!W$162,FALSE),"")*$AR$22/1000</f>
        <v>0</v>
      </c>
      <c r="Z22" s="694">
        <f ca="1">IFERROR('All Stock'!X$15*VLOOKUP($A22,'IDEES okt 2017 template'!$C$183:$AH$190,'IDEES okt 2017 template'!X$162,FALSE),"")*$AR$22/1000</f>
        <v>0.46548150131213012</v>
      </c>
      <c r="AA22" s="694">
        <f ca="1">IFERROR('All Stock'!Y$15*VLOOKUP($A22,'IDEES okt 2017 template'!$C$183:$AH$190,'IDEES okt 2017 template'!Y$162,FALSE),"")*$AR$22/1000</f>
        <v>0</v>
      </c>
      <c r="AB22" s="694">
        <f ca="1">IFERROR('All Stock'!Z$15*VLOOKUP($A22,'IDEES okt 2017 template'!$C$183:$AH$190,'IDEES okt 2017 template'!Z$162,FALSE),"")*$AR$22/1000</f>
        <v>2.1916542963924814</v>
      </c>
      <c r="AC22" s="694">
        <f ca="1">IFERROR('All Stock'!AA$15*VLOOKUP($A22,'IDEES okt 2017 template'!$C$183:$AH$190,'IDEES okt 2017 template'!AA$162,FALSE),"")*$AR$22/1000</f>
        <v>0.11253265911067761</v>
      </c>
      <c r="AD22" s="694">
        <f ca="1">IFERROR('All Stock'!AB$15*VLOOKUP($A22,'IDEES okt 2017 template'!$C$183:$AH$190,'IDEES okt 2017 template'!AB$162,FALSE),"")*$AR$22/1000</f>
        <v>6.6429438379812753</v>
      </c>
      <c r="AE22" s="694">
        <f ca="1">IFERROR('All Stock'!AC$15*VLOOKUP($A22,'IDEES okt 2017 template'!$C$183:$AH$190,'IDEES okt 2017 template'!AC$162,FALSE),"")*$AR$22/1000</f>
        <v>3.2876934752953467E-2</v>
      </c>
      <c r="AF22" s="694">
        <f ca="1">IFERROR('All Stock'!AD$15*VLOOKUP($A22,'IDEES okt 2017 template'!$C$183:$AH$190,'IDEES okt 2017 template'!AD$162,FALSE),"")*$AR$22/1000</f>
        <v>2.126270442795076</v>
      </c>
      <c r="AG22" s="694">
        <f ca="1">IFERROR('All Stock'!AE$15*VLOOKUP($A22,'IDEES okt 2017 template'!$C$183:$AH$190,'IDEES okt 2017 template'!AE$162,FALSE),"")*$AR$22/1000</f>
        <v>3.8826365788967308</v>
      </c>
      <c r="AH22" s="694">
        <f ca="1">IFERROR('All Stock'!AF$15*VLOOKUP($A22,'IDEES okt 2017 template'!$C$183:$AH$190,'IDEES okt 2017 template'!AF$162,FALSE),"")*$AR$22/1000</f>
        <v>9.6440253183584665E-2</v>
      </c>
      <c r="AI22" s="694">
        <f ca="1">IFERROR('All Stock'!AG$15*VLOOKUP($A22,'IDEES okt 2017 template'!$C$183:$AH$190,'IDEES okt 2017 template'!AG$162,FALSE),"")*$AR$22/1000</f>
        <v>0.62654472936709094</v>
      </c>
      <c r="AJ22" s="694">
        <f ca="1">IFERROR('All Stock'!AH$15*VLOOKUP($A22,'IDEES okt 2017 template'!$C$183:$AH$190,'IDEES okt 2017 template'!AH$162,FALSE),"")*$AR$22/1000</f>
        <v>0</v>
      </c>
      <c r="AK22" s="694">
        <f ca="1">IFERROR('All Stock'!AI$15*VLOOKUP($A22,'IDEES okt 2017 template'!$C$183:$AN$190,'IDEES okt 2017 template'!AI$162,FALSE),"")*$AR$22/1000</f>
        <v>0</v>
      </c>
      <c r="AL22" s="694">
        <f ca="1">IFERROR('All Stock'!AJ$15*VLOOKUP($A22,'IDEES okt 2017 template'!$C$183:$AN$190,'IDEES okt 2017 template'!AJ$162,FALSE),"")*$AR$22/1000</f>
        <v>0.22315180483084668</v>
      </c>
      <c r="AM22" s="694">
        <f ca="1">IFERROR('All Stock'!AK$15*VLOOKUP($A22,'IDEES okt 2017 template'!$C$183:$AN$190,'IDEES okt 2017 template'!AK$162,FALSE),"")*$AR$22/1000</f>
        <v>0</v>
      </c>
      <c r="AN22" s="694">
        <f ca="1">IFERROR('All Stock'!AL$15*VLOOKUP($A22,'IDEES okt 2017 template'!$C$183:$AN$190,'IDEES okt 2017 template'!AL$162,FALSE),"")*$AR$22/1000</f>
        <v>9.3510272399923669E-2</v>
      </c>
      <c r="AO22" s="694">
        <f ca="1">IFERROR('All Stock'!AM$15*VLOOKUP($A22,'IDEES okt 2017 template'!$C$183:$AN$190,'IDEES okt 2017 template'!AM$162,FALSE),"")*$AR$22/1000</f>
        <v>0.71815196787989177</v>
      </c>
      <c r="AP22" s="694">
        <f ca="1">IFERROR('All Stock'!AN$15*VLOOKUP($A22,'IDEES okt 2017 template'!$C$183:$AN$190,'IDEES okt 2017 template'!AN$162,FALSE),"")*$AR$22/1000</f>
        <v>1.0628413310298063E-2</v>
      </c>
      <c r="AQ22" s="509"/>
      <c r="AR22">
        <f t="shared" si="6"/>
        <v>15</v>
      </c>
      <c r="AS22" t="str">
        <f t="shared" si="0"/>
        <v>Derived heat</v>
      </c>
      <c r="AT22" s="509"/>
    </row>
    <row r="23" spans="1:49">
      <c r="A23" t="str">
        <f t="shared" si="3"/>
        <v>GDO and other liquids (incl. liq. bio.)</v>
      </c>
      <c r="C23" t="str">
        <f>TechComm!L67</f>
        <v>R_ES-WH-SD_OIL</v>
      </c>
      <c r="D23" t="str">
        <f t="shared" si="2"/>
        <v>RSDOIL</v>
      </c>
      <c r="E23" t="str">
        <f t="shared" si="7"/>
        <v>R_ES-SD-WatHeat</v>
      </c>
      <c r="F23" s="694">
        <f ca="1">IFERROR('All Stock'!D$15*VLOOKUP($A23,'IDEES okt 2017 template'!$C$183:$AH$190,'IDEES okt 2017 template'!D$162,FALSE),"")*$AR$23/1000</f>
        <v>0.9705192829330882</v>
      </c>
      <c r="G23" s="694">
        <f ca="1">IFERROR('All Stock'!E$15*VLOOKUP($A23,'IDEES okt 2017 template'!$C$183:$AH$190,'IDEES okt 2017 template'!E$162,FALSE),"")*$AR$23/1000</f>
        <v>7.5798761200025693</v>
      </c>
      <c r="H23" s="694">
        <f ca="1">IFERROR('All Stock'!F$15*VLOOKUP($A23,'IDEES okt 2017 template'!$C$183:$AH$190,'IDEES okt 2017 template'!F$162,FALSE),"")*$AR$23/1000</f>
        <v>0</v>
      </c>
      <c r="I23" s="694">
        <f ca="1">IFERROR('All Stock'!G$15*VLOOKUP($A23,'IDEES okt 2017 template'!$C$183:$AH$190,'IDEES okt 2017 template'!G$162,FALSE),"")*$AR$23/1000</f>
        <v>6.1320206002997217</v>
      </c>
      <c r="J23" s="694">
        <f ca="1">IFERROR('All Stock'!H$15*VLOOKUP($A23,'IDEES okt 2017 template'!$C$183:$AH$190,'IDEES okt 2017 template'!H$162,FALSE),"")*$AR$23/1000</f>
        <v>4.8789930513291974E-2</v>
      </c>
      <c r="K23" s="694">
        <f ca="1">IFERROR('All Stock'!I$15*VLOOKUP($A23,'IDEES okt 2017 template'!$C$183:$AH$190,'IDEES okt 2017 template'!I$162,FALSE),"")*$AR$23/1000</f>
        <v>0</v>
      </c>
      <c r="L23" s="694">
        <f ca="1">IFERROR('All Stock'!J$15*VLOOKUP($A23,'IDEES okt 2017 template'!$C$183:$AH$190,'IDEES okt 2017 template'!J$162,FALSE),"")*$AR$23/1000</f>
        <v>24.060827273969519</v>
      </c>
      <c r="M23" s="694">
        <f ca="1">IFERROR('All Stock'!K$15*VLOOKUP($A23,'IDEES okt 2017 template'!$C$183:$AH$190,'IDEES okt 2017 template'!K$162,FALSE),"")*$AR$23/1000</f>
        <v>0.51221768504381504</v>
      </c>
      <c r="N23" s="694">
        <f ca="1">IFERROR('All Stock'!L$15*VLOOKUP($A23,'IDEES okt 2017 template'!$C$183:$AH$190,'IDEES okt 2017 template'!L$162,FALSE),"")*$AR$23/1000</f>
        <v>1.6077624996688876E-3</v>
      </c>
      <c r="O23" s="694">
        <f ca="1">IFERROR('All Stock'!M$15*VLOOKUP($A23,'IDEES okt 2017 template'!$C$183:$AH$190,'IDEES okt 2017 template'!M$162,FALSE),"")*$AR$23/1000</f>
        <v>2.7663985932637551</v>
      </c>
      <c r="P23" s="694">
        <f ca="1">IFERROR('All Stock'!N$15*VLOOKUP($A23,'IDEES okt 2017 template'!$C$183:$AH$190,'IDEES okt 2017 template'!N$162,FALSE),"")*$AR$23/1000</f>
        <v>0.72820220341466679</v>
      </c>
      <c r="Q23" s="694">
        <f ca="1">IFERROR('All Stock'!O$15*VLOOKUP($A23,'IDEES okt 2017 template'!$C$183:$AH$190,'IDEES okt 2017 template'!O$162,FALSE),"")*$AR$23/1000</f>
        <v>9.8459402912163974</v>
      </c>
      <c r="R23" s="694">
        <f ca="1">IFERROR('All Stock'!P$15*VLOOKUP($A23,'IDEES okt 2017 template'!$C$183:$AH$190,'IDEES okt 2017 template'!P$162,FALSE),"")*$AR$23/1000</f>
        <v>0.55518715811936747</v>
      </c>
      <c r="S23" s="694">
        <f ca="1">IFERROR('All Stock'!Q$15*VLOOKUP($A23,'IDEES okt 2017 template'!$C$183:$AH$190,'IDEES okt 2017 template'!Q$162,FALSE),"")*$AR$23/1000</f>
        <v>0.23206383599230829</v>
      </c>
      <c r="T23" s="694">
        <f ca="1">IFERROR('All Stock'!R$15*VLOOKUP($A23,'IDEES okt 2017 template'!$C$183:$AH$190,'IDEES okt 2017 template'!R$162,FALSE),"")*$AR$23/1000</f>
        <v>0</v>
      </c>
      <c r="U23" s="694">
        <f ca="1">IFERROR('All Stock'!S$15*VLOOKUP($A23,'IDEES okt 2017 template'!$C$183:$AH$190,'IDEES okt 2017 template'!S$162,FALSE),"")*$AR$23/1000</f>
        <v>3.2225902158496562</v>
      </c>
      <c r="V23" s="694">
        <f ca="1">IFERROR('All Stock'!T$15*VLOOKUP($A23,'IDEES okt 2017 template'!$C$183:$AH$190,'IDEES okt 2017 template'!T$162,FALSE),"")*$AR$23/1000</f>
        <v>2.751159028577374E-3</v>
      </c>
      <c r="W23" s="694">
        <f ca="1">IFERROR('All Stock'!U$15*VLOOKUP($A23,'IDEES okt 2017 template'!$C$183:$AH$190,'IDEES okt 2017 template'!U$162,FALSE),"")*$AR$23/1000</f>
        <v>3.415369882329625</v>
      </c>
      <c r="X23" s="694">
        <f ca="1">IFERROR('All Stock'!V$15*VLOOKUP($A23,'IDEES okt 2017 template'!$C$183:$AH$190,'IDEES okt 2017 template'!V$162,FALSE),"")*$AR$23/1000</f>
        <v>6.2692635304110525E-3</v>
      </c>
      <c r="Y23" s="694">
        <f ca="1">IFERROR('All Stock'!W$15*VLOOKUP($A23,'IDEES okt 2017 template'!$C$183:$AH$190,'IDEES okt 2017 template'!W$162,FALSE),"")*$AR$23/1000</f>
        <v>0.37111043860687642</v>
      </c>
      <c r="Z23" s="694">
        <f ca="1">IFERROR('All Stock'!X$15*VLOOKUP($A23,'IDEES okt 2017 template'!$C$183:$AH$190,'IDEES okt 2017 template'!X$162,FALSE),"")*$AR$23/1000</f>
        <v>2.0631442138326798E-2</v>
      </c>
      <c r="AA23" s="694">
        <f ca="1">IFERROR('All Stock'!Y$15*VLOOKUP($A23,'IDEES okt 2017 template'!$C$183:$AH$190,'IDEES okt 2017 template'!Y$162,FALSE),"")*$AR$23/1000</f>
        <v>0</v>
      </c>
      <c r="AB23" s="694">
        <f ca="1">IFERROR('All Stock'!Z$15*VLOOKUP($A23,'IDEES okt 2017 template'!$C$183:$AH$190,'IDEES okt 2017 template'!Z$162,FALSE),"")*$AR$23/1000</f>
        <v>0.28196859239071981</v>
      </c>
      <c r="AC23" s="694">
        <f ca="1">IFERROR('All Stock'!AA$15*VLOOKUP($A23,'IDEES okt 2017 template'!$C$183:$AH$190,'IDEES okt 2017 template'!AA$162,FALSE),"")*$AR$23/1000</f>
        <v>0.12587330262062915</v>
      </c>
      <c r="AD23" s="694">
        <f ca="1">IFERROR('All Stock'!AB$15*VLOOKUP($A23,'IDEES okt 2017 template'!$C$183:$AH$190,'IDEES okt 2017 template'!AB$162,FALSE),"")*$AR$23/1000</f>
        <v>9.0756181090959356E-2</v>
      </c>
      <c r="AE23" s="694">
        <f ca="1">IFERROR('All Stock'!AC$15*VLOOKUP($A23,'IDEES okt 2017 template'!$C$183:$AH$190,'IDEES okt 2017 template'!AC$162,FALSE),"")*$AR$23/1000</f>
        <v>0.38567173460195414</v>
      </c>
      <c r="AF23" s="694">
        <f ca="1">IFERROR('All Stock'!AD$15*VLOOKUP($A23,'IDEES okt 2017 template'!$C$183:$AH$190,'IDEES okt 2017 template'!AD$162,FALSE),"")*$AR$23/1000</f>
        <v>0.10195918731674533</v>
      </c>
      <c r="AG23" s="694">
        <f ca="1">IFERROR('All Stock'!AE$15*VLOOKUP($A23,'IDEES okt 2017 template'!$C$183:$AH$190,'IDEES okt 2017 template'!AE$162,FALSE),"")*$AR$23/1000</f>
        <v>4.935335994737626E-2</v>
      </c>
      <c r="AH23" s="694">
        <f ca="1">IFERROR('All Stock'!AF$15*VLOOKUP($A23,'IDEES okt 2017 template'!$C$183:$AH$190,'IDEES okt 2017 template'!AF$162,FALSE),"")*$AR$23/1000</f>
        <v>0.17831715567765102</v>
      </c>
      <c r="AI23" s="694">
        <f ca="1">IFERROR('All Stock'!AG$15*VLOOKUP($A23,'IDEES okt 2017 template'!$C$183:$AH$190,'IDEES okt 2017 template'!AG$162,FALSE),"")*$AR$23/1000</f>
        <v>0</v>
      </c>
      <c r="AJ23" s="694">
        <f ca="1">IFERROR('All Stock'!AH$15*VLOOKUP($A23,'IDEES okt 2017 template'!$C$183:$AH$190,'IDEES okt 2017 template'!AH$162,FALSE),"")*$AR$23/1000</f>
        <v>10.518853317775116</v>
      </c>
      <c r="AK23" s="694">
        <f ca="1">IFERROR('All Stock'!AI$15*VLOOKUP($A23,'IDEES okt 2017 template'!$C$183:$AN$190,'IDEES okt 2017 template'!AI$162,FALSE),"")*$AR$23/1000</f>
        <v>1.0979596484719139E-3</v>
      </c>
      <c r="AL23" s="694">
        <f ca="1">IFERROR('All Stock'!AJ$15*VLOOKUP($A23,'IDEES okt 2017 template'!$C$183:$AN$190,'IDEES okt 2017 template'!AJ$162,FALSE),"")*$AR$23/1000</f>
        <v>0</v>
      </c>
      <c r="AM23" s="694">
        <f ca="1">IFERROR('All Stock'!AK$15*VLOOKUP($A23,'IDEES okt 2017 template'!$C$183:$AN$190,'IDEES okt 2017 template'!AK$162,FALSE),"")*$AR$23/1000</f>
        <v>0</v>
      </c>
      <c r="AN23" s="694">
        <f ca="1">IFERROR('All Stock'!AL$15*VLOOKUP($A23,'IDEES okt 2017 template'!$C$183:$AN$190,'IDEES okt 2017 template'!AL$162,FALSE),"")*$AR$23/1000</f>
        <v>6.0423932337501193E-2</v>
      </c>
      <c r="AO23" s="694">
        <f ca="1">IFERROR('All Stock'!AM$15*VLOOKUP($A23,'IDEES okt 2017 template'!$C$183:$AN$190,'IDEES okt 2017 template'!AM$162,FALSE),"")*$AR$23/1000</f>
        <v>1.2909705713887143E-3</v>
      </c>
      <c r="AP23" s="694">
        <f ca="1">IFERROR('All Stock'!AN$15*VLOOKUP($A23,'IDEES okt 2017 template'!$C$183:$AN$190,'IDEES okt 2017 template'!AN$162,FALSE),"")*$AR$23/1000</f>
        <v>2.8696171871767869E-2</v>
      </c>
      <c r="AQ23" s="509"/>
      <c r="AR23">
        <f t="shared" si="6"/>
        <v>15</v>
      </c>
      <c r="AS23" t="str">
        <f t="shared" si="0"/>
        <v>GDO and other liquids (incl. liq. bio.)</v>
      </c>
      <c r="AT23" s="509"/>
    </row>
    <row r="24" spans="1:49">
      <c r="A24" t="str">
        <f t="shared" si="3"/>
        <v>Biomass and wastes</v>
      </c>
      <c r="C24" t="str">
        <f>TechComm!L68</f>
        <v>R_ES-WH-SD_BIO</v>
      </c>
      <c r="D24" t="str">
        <f t="shared" si="2"/>
        <v>RSDBIO</v>
      </c>
      <c r="E24" t="str">
        <f t="shared" si="7"/>
        <v>R_ES-SD-WatHeat</v>
      </c>
      <c r="F24" s="694">
        <f ca="1">IFERROR('All Stock'!D$15*VLOOKUP($A24,'IDEES okt 2017 template'!$C$183:$AH$190,'IDEES okt 2017 template'!D$162,FALSE),"")*$AR$24/1000</f>
        <v>0.62366865670687965</v>
      </c>
      <c r="G24" s="694">
        <f ca="1">IFERROR('All Stock'!E$15*VLOOKUP($A24,'IDEES okt 2017 template'!$C$183:$AH$190,'IDEES okt 2017 template'!E$162,FALSE),"")*$AR$24/1000</f>
        <v>0.47142534879410647</v>
      </c>
      <c r="H24" s="694">
        <f ca="1">IFERROR('All Stock'!F$15*VLOOKUP($A24,'IDEES okt 2017 template'!$C$183:$AH$190,'IDEES okt 2017 template'!F$162,FALSE),"")*$AR$24/1000</f>
        <v>0.24016426036826513</v>
      </c>
      <c r="I24" s="694">
        <f ca="1">IFERROR('All Stock'!G$15*VLOOKUP($A24,'IDEES okt 2017 template'!$C$183:$AH$190,'IDEES okt 2017 template'!G$162,FALSE),"")*$AR$24/1000</f>
        <v>0.23366395281680361</v>
      </c>
      <c r="J24" s="694">
        <f ca="1">IFERROR('All Stock'!H$15*VLOOKUP($A24,'IDEES okt 2017 template'!$C$183:$AH$190,'IDEES okt 2017 template'!H$162,FALSE),"")*$AR$24/1000</f>
        <v>1.6824113970100678E-3</v>
      </c>
      <c r="K24" s="694">
        <f ca="1">IFERROR('All Stock'!I$15*VLOOKUP($A24,'IDEES okt 2017 template'!$C$183:$AH$190,'IDEES okt 2017 template'!I$162,FALSE),"")*$AR$24/1000</f>
        <v>0.27082589561405918</v>
      </c>
      <c r="L24" s="694">
        <f ca="1">IFERROR('All Stock'!J$15*VLOOKUP($A24,'IDEES okt 2017 template'!$C$183:$AH$190,'IDEES okt 2017 template'!J$162,FALSE),"")*$AR$24/1000</f>
        <v>2.3091093694384379</v>
      </c>
      <c r="M24" s="694">
        <f ca="1">IFERROR('All Stock'!K$15*VLOOKUP($A24,'IDEES okt 2017 template'!$C$183:$AH$190,'IDEES okt 2017 template'!K$162,FALSE),"")*$AR$24/1000</f>
        <v>0.91863139227409762</v>
      </c>
      <c r="N24" s="694">
        <f ca="1">IFERROR('All Stock'!L$15*VLOOKUP($A24,'IDEES okt 2017 template'!$C$183:$AH$190,'IDEES okt 2017 template'!L$162,FALSE),"")*$AR$24/1000</f>
        <v>0.22874887564733457</v>
      </c>
      <c r="O24" s="694">
        <f ca="1">IFERROR('All Stock'!M$15*VLOOKUP($A24,'IDEES okt 2017 template'!$C$183:$AH$190,'IDEES okt 2017 template'!M$162,FALSE),"")*$AR$24/1000</f>
        <v>0.32073947841865835</v>
      </c>
      <c r="P24" s="694">
        <f ca="1">IFERROR('All Stock'!N$15*VLOOKUP($A24,'IDEES okt 2017 template'!$C$183:$AH$190,'IDEES okt 2017 template'!N$162,FALSE),"")*$AR$24/1000</f>
        <v>1.3217916601826867</v>
      </c>
      <c r="Q24" s="694">
        <f ca="1">IFERROR('All Stock'!O$15*VLOOKUP($A24,'IDEES okt 2017 template'!$C$183:$AH$190,'IDEES okt 2017 template'!O$162,FALSE),"")*$AR$24/1000</f>
        <v>3.9190560717974763</v>
      </c>
      <c r="R24" s="694">
        <f ca="1">IFERROR('All Stock'!P$15*VLOOKUP($A24,'IDEES okt 2017 template'!$C$183:$AH$190,'IDEES okt 2017 template'!P$162,FALSE),"")*$AR$24/1000</f>
        <v>7.2219467722844544E-2</v>
      </c>
      <c r="S24" s="694">
        <f ca="1">IFERROR('All Stock'!Q$15*VLOOKUP($A24,'IDEES okt 2017 template'!$C$183:$AH$190,'IDEES okt 2017 template'!Q$162,FALSE),"")*$AR$24/1000</f>
        <v>0.16444811399454939</v>
      </c>
      <c r="T24" s="694">
        <f ca="1">IFERROR('All Stock'!R$15*VLOOKUP($A24,'IDEES okt 2017 template'!$C$183:$AH$190,'IDEES okt 2017 template'!R$162,FALSE),"")*$AR$24/1000</f>
        <v>0.22566754775351422</v>
      </c>
      <c r="U24" s="694">
        <f ca="1">IFERROR('All Stock'!S$15*VLOOKUP($A24,'IDEES okt 2017 template'!$C$183:$AH$190,'IDEES okt 2017 template'!S$162,FALSE),"")*$AR$24/1000</f>
        <v>8.1810049496439219E-2</v>
      </c>
      <c r="V24" s="694">
        <f ca="1">IFERROR('All Stock'!T$15*VLOOKUP($A24,'IDEES okt 2017 template'!$C$183:$AH$190,'IDEES okt 2017 template'!T$162,FALSE),"")*$AR$24/1000</f>
        <v>0</v>
      </c>
      <c r="W24" s="694">
        <f ca="1">IFERROR('All Stock'!U$15*VLOOKUP($A24,'IDEES okt 2017 template'!$C$183:$AH$190,'IDEES okt 2017 template'!U$162,FALSE),"")*$AR$24/1000</f>
        <v>0.34668090990853712</v>
      </c>
      <c r="X24" s="694">
        <f ca="1">IFERROR('All Stock'!V$15*VLOOKUP($A24,'IDEES okt 2017 template'!$C$183:$AH$190,'IDEES okt 2017 template'!V$162,FALSE),"")*$AR$24/1000</f>
        <v>0.52258789571354991</v>
      </c>
      <c r="Y24" s="694">
        <f ca="1">IFERROR('All Stock'!W$15*VLOOKUP($A24,'IDEES okt 2017 template'!$C$183:$AH$190,'IDEES okt 2017 template'!W$162,FALSE),"")*$AR$24/1000</f>
        <v>2.3419590785870838E-2</v>
      </c>
      <c r="Z24" s="694">
        <f ca="1">IFERROR('All Stock'!X$15*VLOOKUP($A24,'IDEES okt 2017 template'!$C$183:$AH$190,'IDEES okt 2017 template'!X$162,FALSE),"")*$AR$24/1000</f>
        <v>0.43498642149810929</v>
      </c>
      <c r="AA24" s="694">
        <f ca="1">IFERROR('All Stock'!Y$15*VLOOKUP($A24,'IDEES okt 2017 template'!$C$183:$AH$190,'IDEES okt 2017 template'!Y$162,FALSE),"")*$AR$24/1000</f>
        <v>0</v>
      </c>
      <c r="AB24" s="694">
        <f ca="1">IFERROR('All Stock'!Z$15*VLOOKUP($A24,'IDEES okt 2017 template'!$C$183:$AH$190,'IDEES okt 2017 template'!Z$162,FALSE),"")*$AR$24/1000</f>
        <v>1.0543887996891947</v>
      </c>
      <c r="AC24" s="694">
        <f ca="1">IFERROR('All Stock'!AA$15*VLOOKUP($A24,'IDEES okt 2017 template'!$C$183:$AH$190,'IDEES okt 2017 template'!AA$162,FALSE),"")*$AR$24/1000</f>
        <v>0.40158684344872353</v>
      </c>
      <c r="AD24" s="694">
        <f ca="1">IFERROR('All Stock'!AB$15*VLOOKUP($A24,'IDEES okt 2017 template'!$C$183:$AH$190,'IDEES okt 2017 template'!AB$162,FALSE),"")*$AR$24/1000</f>
        <v>1.7361958529557229</v>
      </c>
      <c r="AE24" s="694">
        <f ca="1">IFERROR('All Stock'!AC$15*VLOOKUP($A24,'IDEES okt 2017 template'!$C$183:$AH$190,'IDEES okt 2017 template'!AC$162,FALSE),"")*$AR$24/1000</f>
        <v>0.6398357301920945</v>
      </c>
      <c r="AF24" s="694">
        <f ca="1">IFERROR('All Stock'!AD$15*VLOOKUP($A24,'IDEES okt 2017 template'!$C$183:$AH$190,'IDEES okt 2017 template'!AD$162,FALSE),"")*$AR$24/1000</f>
        <v>3.0903383500979804</v>
      </c>
      <c r="AG24" s="694">
        <f ca="1">IFERROR('All Stock'!AE$15*VLOOKUP($A24,'IDEES okt 2017 template'!$C$183:$AH$190,'IDEES okt 2017 template'!AE$162,FALSE),"")*$AR$24/1000</f>
        <v>0.14263379419346434</v>
      </c>
      <c r="AH24" s="694">
        <f ca="1">IFERROR('All Stock'!AF$15*VLOOKUP($A24,'IDEES okt 2017 template'!$C$183:$AH$190,'IDEES okt 2017 template'!AF$162,FALSE),"")*$AR$24/1000</f>
        <v>0.26227453684164848</v>
      </c>
      <c r="AI24" s="694">
        <f ca="1">IFERROR('All Stock'!AG$15*VLOOKUP($A24,'IDEES okt 2017 template'!$C$183:$AH$190,'IDEES okt 2017 template'!AG$162,FALSE),"")*$AR$24/1000</f>
        <v>8.3835583648990079E-3</v>
      </c>
      <c r="AJ24" s="694">
        <f ca="1">IFERROR('All Stock'!AH$15*VLOOKUP($A24,'IDEES okt 2017 template'!$C$183:$AH$190,'IDEES okt 2017 template'!AH$162,FALSE),"")*$AR$24/1000</f>
        <v>0</v>
      </c>
      <c r="AK24" s="694">
        <f ca="1">IFERROR('All Stock'!AI$15*VLOOKUP($A24,'IDEES okt 2017 template'!$C$183:$AN$190,'IDEES okt 2017 template'!AI$162,FALSE),"")*$AR$24/1000</f>
        <v>2.0987215386124317E-2</v>
      </c>
      <c r="AL24" s="694">
        <f ca="1">IFERROR('All Stock'!AJ$15*VLOOKUP($A24,'IDEES okt 2017 template'!$C$183:$AN$190,'IDEES okt 2017 template'!AJ$162,FALSE),"")*$AR$24/1000</f>
        <v>2.5644167003030408E-2</v>
      </c>
      <c r="AM24" s="694">
        <f ca="1">IFERROR('All Stock'!AK$15*VLOOKUP($A24,'IDEES okt 2017 template'!$C$183:$AN$190,'IDEES okt 2017 template'!AK$162,FALSE),"")*$AR$24/1000</f>
        <v>3.7821698896581879E-2</v>
      </c>
      <c r="AN24" s="694">
        <f ca="1">IFERROR('All Stock'!AL$15*VLOOKUP($A24,'IDEES okt 2017 template'!$C$183:$AN$190,'IDEES okt 2017 template'!AL$162,FALSE),"")*$AR$24/1000</f>
        <v>3.0580132512848048E-2</v>
      </c>
      <c r="AO24" s="694">
        <f ca="1">IFERROR('All Stock'!AM$15*VLOOKUP($A24,'IDEES okt 2017 template'!$C$183:$AN$190,'IDEES okt 2017 template'!AM$162,FALSE),"")*$AR$24/1000</f>
        <v>0.11441750360419117</v>
      </c>
      <c r="AP24" s="694">
        <f ca="1">IFERROR('All Stock'!AN$15*VLOOKUP($A24,'IDEES okt 2017 template'!$C$183:$AN$190,'IDEES okt 2017 template'!AN$162,FALSE),"")*$AR$24/1000</f>
        <v>4.1705476498431239E-2</v>
      </c>
      <c r="AQ24" s="509"/>
      <c r="AR24">
        <f t="shared" si="6"/>
        <v>15</v>
      </c>
      <c r="AS24" t="str">
        <f t="shared" si="0"/>
        <v>Biomass and wastes</v>
      </c>
      <c r="AT24" s="509"/>
    </row>
    <row r="25" spans="1:49">
      <c r="A25" t="str">
        <f t="shared" si="3"/>
        <v>Solids</v>
      </c>
      <c r="C25" t="str">
        <f>TechComm!L69</f>
        <v>R_ES-WH-SD_COA</v>
      </c>
      <c r="D25" t="str">
        <f t="shared" si="2"/>
        <v>RSDCOA</v>
      </c>
      <c r="E25" t="str">
        <f t="shared" si="7"/>
        <v>R_ES-SD-WatHeat</v>
      </c>
      <c r="F25" s="694">
        <f ca="1">IFERROR('All Stock'!D$15*VLOOKUP($A25,'IDEES okt 2017 template'!$C$183:$AH$190,'IDEES okt 2017 template'!D$162,FALSE),"")*$AR$25/1000</f>
        <v>2.0583904830614015E-2</v>
      </c>
      <c r="G25" s="694">
        <f ca="1">IFERROR('All Stock'!E$15*VLOOKUP($A25,'IDEES okt 2017 template'!$C$183:$AH$190,'IDEES okt 2017 template'!E$162,FALSE),"")*$AR$25/1000</f>
        <v>0</v>
      </c>
      <c r="H25" s="694">
        <f ca="1">IFERROR('All Stock'!F$15*VLOOKUP($A25,'IDEES okt 2017 template'!$C$183:$AH$190,'IDEES okt 2017 template'!F$162,FALSE),"")*$AR$25/1000</f>
        <v>2.4223464192316399E-2</v>
      </c>
      <c r="I25" s="694">
        <f ca="1">IFERROR('All Stock'!G$15*VLOOKUP($A25,'IDEES okt 2017 template'!$C$183:$AH$190,'IDEES okt 2017 template'!G$162,FALSE),"")*$AR$25/1000</f>
        <v>0</v>
      </c>
      <c r="J25" s="694">
        <f ca="1">IFERROR('All Stock'!H$15*VLOOKUP($A25,'IDEES okt 2017 template'!$C$183:$AH$190,'IDEES okt 2017 template'!H$162,FALSE),"")*$AR$25/1000</f>
        <v>0</v>
      </c>
      <c r="K25" s="694">
        <f ca="1">IFERROR('All Stock'!I$15*VLOOKUP($A25,'IDEES okt 2017 template'!$C$183:$AH$190,'IDEES okt 2017 template'!I$162,FALSE),"")*$AR$25/1000</f>
        <v>0.14138560855629118</v>
      </c>
      <c r="L25" s="694">
        <f ca="1">IFERROR('All Stock'!J$15*VLOOKUP($A25,'IDEES okt 2017 template'!$C$183:$AH$190,'IDEES okt 2017 template'!J$162,FALSE),"")*$AR$25/1000</f>
        <v>0</v>
      </c>
      <c r="M25" s="694">
        <f ca="1">IFERROR('All Stock'!K$15*VLOOKUP($A25,'IDEES okt 2017 template'!$C$183:$AH$190,'IDEES okt 2017 template'!K$162,FALSE),"")*$AR$25/1000</f>
        <v>0</v>
      </c>
      <c r="N25" s="694">
        <f ca="1">IFERROR('All Stock'!L$15*VLOOKUP($A25,'IDEES okt 2017 template'!$C$183:$AH$190,'IDEES okt 2017 template'!L$162,FALSE),"")*$AR$25/1000</f>
        <v>0</v>
      </c>
      <c r="O25" s="694">
        <f ca="1">IFERROR('All Stock'!M$15*VLOOKUP($A25,'IDEES okt 2017 template'!$C$183:$AH$190,'IDEES okt 2017 template'!M$162,FALSE),"")*$AR$25/1000</f>
        <v>0</v>
      </c>
      <c r="P25" s="694">
        <f ca="1">IFERROR('All Stock'!N$15*VLOOKUP($A25,'IDEES okt 2017 template'!$C$183:$AH$190,'IDEES okt 2017 template'!N$162,FALSE),"")*$AR$25/1000</f>
        <v>0</v>
      </c>
      <c r="Q25" s="694">
        <f ca="1">IFERROR('All Stock'!O$15*VLOOKUP($A25,'IDEES okt 2017 template'!$C$183:$AH$190,'IDEES okt 2017 template'!O$162,FALSE),"")*$AR$25/1000</f>
        <v>0</v>
      </c>
      <c r="R25" s="694">
        <f ca="1">IFERROR('All Stock'!P$15*VLOOKUP($A25,'IDEES okt 2017 template'!$C$183:$AH$190,'IDEES okt 2017 template'!P$162,FALSE),"")*$AR$25/1000</f>
        <v>0</v>
      </c>
      <c r="S25" s="694">
        <f ca="1">IFERROR('All Stock'!Q$15*VLOOKUP($A25,'IDEES okt 2017 template'!$C$183:$AH$190,'IDEES okt 2017 template'!Q$162,FALSE),"")*$AR$25/1000</f>
        <v>0</v>
      </c>
      <c r="T25" s="694">
        <f ca="1">IFERROR('All Stock'!R$15*VLOOKUP($A25,'IDEES okt 2017 template'!$C$183:$AH$190,'IDEES okt 2017 template'!R$162,FALSE),"")*$AR$25/1000</f>
        <v>1.1126159910677016E-2</v>
      </c>
      <c r="U25" s="694">
        <f ca="1">IFERROR('All Stock'!S$15*VLOOKUP($A25,'IDEES okt 2017 template'!$C$183:$AH$190,'IDEES okt 2017 template'!S$162,FALSE),"")*$AR$25/1000</f>
        <v>1.2713545595132127</v>
      </c>
      <c r="V25" s="694">
        <f ca="1">IFERROR('All Stock'!T$15*VLOOKUP($A25,'IDEES okt 2017 template'!$C$183:$AH$190,'IDEES okt 2017 template'!T$162,FALSE),"")*$AR$25/1000</f>
        <v>0</v>
      </c>
      <c r="W25" s="694">
        <f ca="1">IFERROR('All Stock'!U$15*VLOOKUP($A25,'IDEES okt 2017 template'!$C$183:$AH$190,'IDEES okt 2017 template'!U$162,FALSE),"")*$AR$25/1000</f>
        <v>0</v>
      </c>
      <c r="X25" s="694">
        <f ca="1">IFERROR('All Stock'!V$15*VLOOKUP($A25,'IDEES okt 2017 template'!$C$183:$AH$190,'IDEES okt 2017 template'!V$162,FALSE),"")*$AR$25/1000</f>
        <v>0</v>
      </c>
      <c r="Y25" s="694">
        <f ca="1">IFERROR('All Stock'!W$15*VLOOKUP($A25,'IDEES okt 2017 template'!$C$183:$AH$190,'IDEES okt 2017 template'!W$162,FALSE),"")*$AR$25/1000</f>
        <v>0</v>
      </c>
      <c r="Z25" s="694">
        <f ca="1">IFERROR('All Stock'!X$15*VLOOKUP($A25,'IDEES okt 2017 template'!$C$183:$AH$190,'IDEES okt 2017 template'!X$162,FALSE),"")*$AR$25/1000</f>
        <v>0</v>
      </c>
      <c r="AA25" s="694">
        <f ca="1">IFERROR('All Stock'!Y$15*VLOOKUP($A25,'IDEES okt 2017 template'!$C$183:$AH$190,'IDEES okt 2017 template'!Y$162,FALSE),"")*$AR$25/1000</f>
        <v>0</v>
      </c>
      <c r="AB25" s="694">
        <f ca="1">IFERROR('All Stock'!Z$15*VLOOKUP($A25,'IDEES okt 2017 template'!$C$183:$AH$190,'IDEES okt 2017 template'!Z$162,FALSE),"")*$AR$25/1000</f>
        <v>0</v>
      </c>
      <c r="AC25" s="694">
        <f ca="1">IFERROR('All Stock'!AA$15*VLOOKUP($A25,'IDEES okt 2017 template'!$C$183:$AH$190,'IDEES okt 2017 template'!AA$162,FALSE),"")*$AR$25/1000</f>
        <v>0</v>
      </c>
      <c r="AD25" s="694">
        <f ca="1">IFERROR('All Stock'!AB$15*VLOOKUP($A25,'IDEES okt 2017 template'!$C$183:$AH$190,'IDEES okt 2017 template'!AB$162,FALSE),"")*$AR$25/1000</f>
        <v>5.4205311997798225</v>
      </c>
      <c r="AE25" s="694">
        <f ca="1">IFERROR('All Stock'!AC$15*VLOOKUP($A25,'IDEES okt 2017 template'!$C$183:$AH$190,'IDEES okt 2017 template'!AC$162,FALSE),"")*$AR$25/1000</f>
        <v>0</v>
      </c>
      <c r="AF25" s="694">
        <f ca="1">IFERROR('All Stock'!AD$15*VLOOKUP($A25,'IDEES okt 2017 template'!$C$183:$AH$190,'IDEES okt 2017 template'!AD$162,FALSE),"")*$AR$25/1000</f>
        <v>0</v>
      </c>
      <c r="AG25" s="694">
        <f ca="1">IFERROR('All Stock'!AE$15*VLOOKUP($A25,'IDEES okt 2017 template'!$C$183:$AH$190,'IDEES okt 2017 template'!AE$162,FALSE),"")*$AR$25/1000</f>
        <v>0</v>
      </c>
      <c r="AH25" s="694">
        <f ca="1">IFERROR('All Stock'!AF$15*VLOOKUP($A25,'IDEES okt 2017 template'!$C$183:$AH$190,'IDEES okt 2017 template'!AF$162,FALSE),"")*$AR$25/1000</f>
        <v>0</v>
      </c>
      <c r="AI25" s="694">
        <f ca="1">IFERROR('All Stock'!AG$15*VLOOKUP($A25,'IDEES okt 2017 template'!$C$183:$AH$190,'IDEES okt 2017 template'!AG$162,FALSE),"")*$AR$25/1000</f>
        <v>0</v>
      </c>
      <c r="AJ25" s="694">
        <f ca="1">IFERROR('All Stock'!AH$15*VLOOKUP($A25,'IDEES okt 2017 template'!$C$183:$AH$190,'IDEES okt 2017 template'!AH$162,FALSE),"")*$AR$25/1000</f>
        <v>0.76226326271757205</v>
      </c>
      <c r="AK25" s="694">
        <f ca="1">IFERROR('All Stock'!AI$15*VLOOKUP($A25,'IDEES okt 2017 template'!$C$183:$AN$190,'IDEES okt 2017 template'!AI$162,FALSE),"")*$AR$25/1000</f>
        <v>0</v>
      </c>
      <c r="AL25" s="694">
        <f ca="1">IFERROR('All Stock'!AJ$15*VLOOKUP($A25,'IDEES okt 2017 template'!$C$183:$AN$190,'IDEES okt 2017 template'!AJ$162,FALSE),"")*$AR$25/1000</f>
        <v>0</v>
      </c>
      <c r="AM25" s="694">
        <f ca="1">IFERROR('All Stock'!AK$15*VLOOKUP($A25,'IDEES okt 2017 template'!$C$183:$AN$190,'IDEES okt 2017 template'!AK$162,FALSE),"")*$AR$25/1000</f>
        <v>0</v>
      </c>
      <c r="AN25" s="694">
        <f ca="1">IFERROR('All Stock'!AL$15*VLOOKUP($A25,'IDEES okt 2017 template'!$C$183:$AN$190,'IDEES okt 2017 template'!AL$162,FALSE),"")*$AR$25/1000</f>
        <v>0</v>
      </c>
      <c r="AO25" s="694">
        <f ca="1">IFERROR('All Stock'!AM$15*VLOOKUP($A25,'IDEES okt 2017 template'!$C$183:$AN$190,'IDEES okt 2017 template'!AM$162,FALSE),"")*$AR$25/1000</f>
        <v>0</v>
      </c>
      <c r="AP25" s="694">
        <f ca="1">IFERROR('All Stock'!AN$15*VLOOKUP($A25,'IDEES okt 2017 template'!$C$183:$AN$190,'IDEES okt 2017 template'!AN$162,FALSE),"")*$AR$25/1000</f>
        <v>0</v>
      </c>
      <c r="AQ25" s="509"/>
      <c r="AR25">
        <f t="shared" si="6"/>
        <v>15</v>
      </c>
      <c r="AS25" t="str">
        <f t="shared" si="0"/>
        <v>Solids</v>
      </c>
      <c r="AT25" s="509"/>
    </row>
    <row r="26" spans="1:49">
      <c r="A26" t="str">
        <f t="shared" si="3"/>
        <v>LPG</v>
      </c>
      <c r="C26" t="str">
        <f>TechComm!L70</f>
        <v>R_ES-WH-SD_LPG</v>
      </c>
      <c r="D26" t="str">
        <f t="shared" si="2"/>
        <v>RSDLPG</v>
      </c>
      <c r="E26" t="str">
        <f t="shared" si="7"/>
        <v>R_ES-SD-WatHeat</v>
      </c>
      <c r="F26" s="694">
        <f ca="1">IFERROR('All Stock'!D$15*VLOOKUP($A26,'IDEES okt 2017 template'!$C$183:$AH$190,'IDEES okt 2017 template'!D$162,FALSE),"")*$AR$26/1000</f>
        <v>7.7603687177487307E-2</v>
      </c>
      <c r="G26" s="694">
        <f ca="1">IFERROR('All Stock'!E$15*VLOOKUP($A26,'IDEES okt 2017 template'!$C$183:$AH$190,'IDEES okt 2017 template'!E$162,FALSE),"")*$AR$26/1000</f>
        <v>0.2394896727405075</v>
      </c>
      <c r="H26" s="694">
        <f ca="1">IFERROR('All Stock'!F$15*VLOOKUP($A26,'IDEES okt 2017 template'!$C$183:$AH$190,'IDEES okt 2017 template'!F$162,FALSE),"")*$AR$26/1000</f>
        <v>1.9875662927028841E-3</v>
      </c>
      <c r="I26" s="694">
        <f ca="1">IFERROR('All Stock'!G$15*VLOOKUP($A26,'IDEES okt 2017 template'!$C$183:$AH$190,'IDEES okt 2017 template'!G$162,FALSE),"")*$AR$26/1000</f>
        <v>0</v>
      </c>
      <c r="J26" s="694">
        <f ca="1">IFERROR('All Stock'!H$15*VLOOKUP($A26,'IDEES okt 2017 template'!$C$183:$AH$190,'IDEES okt 2017 template'!H$162,FALSE),"")*$AR$26/1000</f>
        <v>1.7048435489702023E-2</v>
      </c>
      <c r="K26" s="694">
        <f ca="1">IFERROR('All Stock'!I$15*VLOOKUP($A26,'IDEES okt 2017 template'!$C$183:$AH$190,'IDEES okt 2017 template'!I$162,FALSE),"")*$AR$26/1000</f>
        <v>2.4595612790401903E-2</v>
      </c>
      <c r="L26" s="694">
        <f ca="1">IFERROR('All Stock'!J$15*VLOOKUP($A26,'IDEES okt 2017 template'!$C$183:$AH$190,'IDEES okt 2017 template'!J$162,FALSE),"")*$AR$26/1000</f>
        <v>2.3301752372217166</v>
      </c>
      <c r="M26" s="694">
        <f ca="1">IFERROR('All Stock'!K$15*VLOOKUP($A26,'IDEES okt 2017 template'!$C$183:$AH$190,'IDEES okt 2017 template'!K$162,FALSE),"")*$AR$26/1000</f>
        <v>4.4584066122683487E-2</v>
      </c>
      <c r="N26" s="694">
        <f ca="1">IFERROR('All Stock'!L$15*VLOOKUP($A26,'IDEES okt 2017 template'!$C$183:$AH$190,'IDEES okt 2017 template'!L$162,FALSE),"")*$AR$26/1000</f>
        <v>4.2873666657837007E-3</v>
      </c>
      <c r="O26" s="694">
        <f ca="1">IFERROR('All Stock'!M$15*VLOOKUP($A26,'IDEES okt 2017 template'!$C$183:$AH$190,'IDEES okt 2017 template'!M$162,FALSE),"")*$AR$26/1000</f>
        <v>4.4883099811008726</v>
      </c>
      <c r="P26" s="694">
        <f ca="1">IFERROR('All Stock'!N$15*VLOOKUP($A26,'IDEES okt 2017 template'!$C$183:$AH$190,'IDEES okt 2017 template'!N$162,FALSE),"")*$AR$26/1000</f>
        <v>5.6091480777161515E-2</v>
      </c>
      <c r="Q26" s="694">
        <f ca="1">IFERROR('All Stock'!O$15*VLOOKUP($A26,'IDEES okt 2017 template'!$C$183:$AH$190,'IDEES okt 2017 template'!O$162,FALSE),"")*$AR$26/1000</f>
        <v>5.2377455078595831</v>
      </c>
      <c r="R26" s="694">
        <f ca="1">IFERROR('All Stock'!P$15*VLOOKUP($A26,'IDEES okt 2017 template'!$C$183:$AH$190,'IDEES okt 2017 template'!P$162,FALSE),"")*$AR$26/1000</f>
        <v>0.11364535684719843</v>
      </c>
      <c r="S26" s="694">
        <f ca="1">IFERROR('All Stock'!Q$15*VLOOKUP($A26,'IDEES okt 2017 template'!$C$183:$AH$190,'IDEES okt 2017 template'!Q$162,FALSE),"")*$AR$26/1000</f>
        <v>0.27897746039075338</v>
      </c>
      <c r="T26" s="694">
        <f ca="1">IFERROR('All Stock'!R$15*VLOOKUP($A26,'IDEES okt 2017 template'!$C$183:$AH$190,'IDEES okt 2017 template'!R$162,FALSE),"")*$AR$26/1000</f>
        <v>0.49071202666916358</v>
      </c>
      <c r="U26" s="694">
        <f ca="1">IFERROR('All Stock'!S$15*VLOOKUP($A26,'IDEES okt 2017 template'!$C$183:$AH$190,'IDEES okt 2017 template'!S$162,FALSE),"")*$AR$26/1000</f>
        <v>0.35495005346035724</v>
      </c>
      <c r="V26" s="694">
        <f ca="1">IFERROR('All Stock'!T$15*VLOOKUP($A26,'IDEES okt 2017 template'!$C$183:$AH$190,'IDEES okt 2017 template'!T$162,FALSE),"")*$AR$26/1000</f>
        <v>7.5488156380920457E-3</v>
      </c>
      <c r="W26" s="694">
        <f ca="1">IFERROR('All Stock'!U$15*VLOOKUP($A26,'IDEES okt 2017 template'!$C$183:$AH$190,'IDEES okt 2017 template'!U$162,FALSE),"")*$AR$26/1000</f>
        <v>4.9797820465607918</v>
      </c>
      <c r="X26" s="694">
        <f ca="1">IFERROR('All Stock'!V$15*VLOOKUP($A26,'IDEES okt 2017 template'!$C$183:$AH$190,'IDEES okt 2017 template'!V$162,FALSE),"")*$AR$26/1000</f>
        <v>5.9229613544454891E-2</v>
      </c>
      <c r="Y26" s="694">
        <f ca="1">IFERROR('All Stock'!W$15*VLOOKUP($A26,'IDEES okt 2017 template'!$C$183:$AH$190,'IDEES okt 2017 template'!W$162,FALSE),"")*$AR$26/1000</f>
        <v>9.5119568730306168E-3</v>
      </c>
      <c r="Z26" s="694">
        <f ca="1">IFERROR('All Stock'!X$15*VLOOKUP($A26,'IDEES okt 2017 template'!$C$183:$AH$190,'IDEES okt 2017 template'!X$162,FALSE),"")*$AR$26/1000</f>
        <v>2.3541215252656549E-2</v>
      </c>
      <c r="AA26" s="694">
        <f ca="1">IFERROR('All Stock'!Y$15*VLOOKUP($A26,'IDEES okt 2017 template'!$C$183:$AH$190,'IDEES okt 2017 template'!Y$162,FALSE),"")*$AR$26/1000</f>
        <v>0.35549282911554519</v>
      </c>
      <c r="AB26" s="694">
        <f ca="1">IFERROR('All Stock'!Z$15*VLOOKUP($A26,'IDEES okt 2017 template'!$C$183:$AH$190,'IDEES okt 2017 template'!Z$162,FALSE),"")*$AR$26/1000</f>
        <v>0.13936432676363972</v>
      </c>
      <c r="AC26" s="694">
        <f ca="1">IFERROR('All Stock'!AA$15*VLOOKUP($A26,'IDEES okt 2017 template'!$C$183:$AH$190,'IDEES okt 2017 template'!AA$162,FALSE),"")*$AR$26/1000</f>
        <v>4.6591533587139147E-2</v>
      </c>
      <c r="AD26" s="694">
        <f ca="1">IFERROR('All Stock'!AB$15*VLOOKUP($A26,'IDEES okt 2017 template'!$C$183:$AH$190,'IDEES okt 2017 template'!AB$162,FALSE),"")*$AR$26/1000</f>
        <v>0.4266830883518089</v>
      </c>
      <c r="AE26" s="694">
        <f ca="1">IFERROR('All Stock'!AC$15*VLOOKUP($A26,'IDEES okt 2017 template'!$C$183:$AH$190,'IDEES okt 2017 template'!AC$162,FALSE),"")*$AR$26/1000</f>
        <v>1.0924134320135204</v>
      </c>
      <c r="AF26" s="694">
        <f ca="1">IFERROR('All Stock'!AD$15*VLOOKUP($A26,'IDEES okt 2017 template'!$C$183:$AH$190,'IDEES okt 2017 template'!AD$162,FALSE),"")*$AR$26/1000</f>
        <v>0.18203928808448402</v>
      </c>
      <c r="AG26" s="694">
        <f ca="1">IFERROR('All Stock'!AE$15*VLOOKUP($A26,'IDEES okt 2017 template'!$C$183:$AH$190,'IDEES okt 2017 template'!AE$162,FALSE),"")*$AR$26/1000</f>
        <v>0</v>
      </c>
      <c r="AH26" s="694">
        <f ca="1">IFERROR('All Stock'!AF$15*VLOOKUP($A26,'IDEES okt 2017 template'!$C$183:$AH$190,'IDEES okt 2017 template'!AF$162,FALSE),"")*$AR$26/1000</f>
        <v>3.140851669444511E-2</v>
      </c>
      <c r="AI26" s="694">
        <f ca="1">IFERROR('All Stock'!AG$15*VLOOKUP($A26,'IDEES okt 2017 template'!$C$183:$AH$190,'IDEES okt 2017 template'!AG$162,FALSE),"")*$AR$26/1000</f>
        <v>1.8666043202811289E-2</v>
      </c>
      <c r="AJ26" s="694">
        <f ca="1">IFERROR('All Stock'!AH$15*VLOOKUP($A26,'IDEES okt 2017 template'!$C$183:$AH$190,'IDEES okt 2017 template'!AH$162,FALSE),"")*$AR$26/1000</f>
        <v>2.2364785142747197</v>
      </c>
      <c r="AK26" s="694">
        <f ca="1">IFERROR('All Stock'!AI$15*VLOOKUP($A26,'IDEES okt 2017 template'!$C$183:$AN$190,'IDEES okt 2017 template'!AI$162,FALSE),"")*$AR$26/1000</f>
        <v>0.17914392757664963</v>
      </c>
      <c r="AL26" s="694">
        <f ca="1">IFERROR('All Stock'!AJ$15*VLOOKUP($A26,'IDEES okt 2017 template'!$C$183:$AN$190,'IDEES okt 2017 template'!AJ$162,FALSE),"")*$AR$26/1000</f>
        <v>0</v>
      </c>
      <c r="AM26" s="694">
        <f ca="1">IFERROR('All Stock'!AK$15*VLOOKUP($A26,'IDEES okt 2017 template'!$C$183:$AN$190,'IDEES okt 2017 template'!AK$162,FALSE),"")*$AR$26/1000</f>
        <v>0</v>
      </c>
      <c r="AN26" s="694">
        <f ca="1">IFERROR('All Stock'!AL$15*VLOOKUP($A26,'IDEES okt 2017 template'!$C$183:$AN$190,'IDEES okt 2017 template'!AL$162,FALSE),"")*$AR$26/1000</f>
        <v>3.8380154341277326E-2</v>
      </c>
      <c r="AO26" s="694">
        <f ca="1">IFERROR('All Stock'!AM$15*VLOOKUP($A26,'IDEES okt 2017 template'!$C$183:$AN$190,'IDEES okt 2017 template'!AM$162,FALSE),"")*$AR$26/1000</f>
        <v>8.0353128594663814E-2</v>
      </c>
      <c r="AP26" s="694">
        <f ca="1">IFERROR('All Stock'!AN$15*VLOOKUP($A26,'IDEES okt 2017 template'!$C$183:$AN$190,'IDEES okt 2017 template'!AN$162,FALSE),"")*$AR$26/1000</f>
        <v>4.6805479634644633E-2</v>
      </c>
      <c r="AQ26" s="509"/>
      <c r="AR26">
        <f t="shared" si="6"/>
        <v>12</v>
      </c>
      <c r="AS26" t="str">
        <f t="shared" si="0"/>
        <v>LPG</v>
      </c>
      <c r="AT26" s="509"/>
    </row>
    <row r="27" spans="1:49">
      <c r="A27" s="692" t="str">
        <f t="shared" si="3"/>
        <v>Solar</v>
      </c>
      <c r="B27" s="692"/>
      <c r="C27" s="692" t="str">
        <f>TechComm!L71</f>
        <v>R_ES-WH-SD_SOL</v>
      </c>
      <c r="D27" s="692" t="str">
        <f t="shared" si="2"/>
        <v>RSDSOL</v>
      </c>
      <c r="E27" s="692" t="str">
        <f t="shared" si="7"/>
        <v>R_ES-SD-WatHeat</v>
      </c>
      <c r="F27" s="694">
        <f ca="1">IFERROR('All Stock'!D$15*VLOOKUP($A27,'IDEES okt 2017 template'!$C$183:$AH$190,'IDEES okt 2017 template'!D$162,FALSE),"")*$AR$26/1000</f>
        <v>0.96834259414640267</v>
      </c>
      <c r="G27" s="694">
        <f ca="1">IFERROR('All Stock'!E$15*VLOOKUP($A27,'IDEES okt 2017 template'!$C$183:$AH$190,'IDEES okt 2017 template'!E$162,FALSE),"")*$AR$26/1000</f>
        <v>0.31419030664438075</v>
      </c>
      <c r="H27" s="694">
        <f ca="1">IFERROR('All Stock'!F$15*VLOOKUP($A27,'IDEES okt 2017 template'!$C$183:$AH$190,'IDEES okt 2017 template'!F$162,FALSE),"")*$AR$26/1000</f>
        <v>0.10683168823278003</v>
      </c>
      <c r="I27" s="694">
        <f ca="1">IFERROR('All Stock'!G$15*VLOOKUP($A27,'IDEES okt 2017 template'!$C$183:$AH$190,'IDEES okt 2017 template'!G$162,FALSE),"")*$AR$26/1000</f>
        <v>0.59566992297239474</v>
      </c>
      <c r="J27" s="694">
        <f ca="1">IFERROR('All Stock'!H$15*VLOOKUP($A27,'IDEES okt 2017 template'!$C$183:$AH$190,'IDEES okt 2017 template'!H$162,FALSE),"")*$AR$26/1000</f>
        <v>1.1588449702605346</v>
      </c>
      <c r="K27" s="694">
        <f ca="1">IFERROR('All Stock'!I$15*VLOOKUP($A27,'IDEES okt 2017 template'!$C$183:$AH$190,'IDEES okt 2017 template'!I$162,FALSE),"")*$AR$26/1000</f>
        <v>0.10699874863595224</v>
      </c>
      <c r="L27" s="694">
        <f ca="1">IFERROR('All Stock'!J$15*VLOOKUP($A27,'IDEES okt 2017 template'!$C$183:$AH$190,'IDEES okt 2017 template'!J$162,FALSE),"")*$AR$26/1000</f>
        <v>7.6188954796974597</v>
      </c>
      <c r="M27" s="694">
        <f ca="1">IFERROR('All Stock'!K$15*VLOOKUP($A27,'IDEES okt 2017 template'!$C$183:$AH$190,'IDEES okt 2017 template'!K$162,FALSE),"")*$AR$26/1000</f>
        <v>0.13987418953713532</v>
      </c>
      <c r="N27" s="694">
        <f ca="1">IFERROR('All Stock'!L$15*VLOOKUP($A27,'IDEES okt 2017 template'!$C$183:$AH$190,'IDEES okt 2017 template'!L$162,FALSE),"")*$AR$26/1000</f>
        <v>0</v>
      </c>
      <c r="O27" s="694">
        <f ca="1">IFERROR('All Stock'!M$15*VLOOKUP($A27,'IDEES okt 2017 template'!$C$183:$AH$190,'IDEES okt 2017 template'!M$162,FALSE),"")*$AR$26/1000</f>
        <v>1.9834120802057764</v>
      </c>
      <c r="P27" s="694">
        <f ca="1">IFERROR('All Stock'!N$15*VLOOKUP($A27,'IDEES okt 2017 template'!$C$183:$AH$190,'IDEES okt 2017 template'!N$162,FALSE),"")*$AR$26/1000</f>
        <v>1.2661426486106849E-2</v>
      </c>
      <c r="Q27" s="694">
        <f ca="1">IFERROR('All Stock'!O$15*VLOOKUP($A27,'IDEES okt 2017 template'!$C$183:$AH$190,'IDEES okt 2017 template'!O$162,FALSE),"")*$AR$26/1000</f>
        <v>0.73133437457207751</v>
      </c>
      <c r="R27" s="694">
        <f ca="1">IFERROR('All Stock'!P$15*VLOOKUP($A27,'IDEES okt 2017 template'!$C$183:$AH$190,'IDEES okt 2017 template'!P$162,FALSE),"")*$AR$26/1000</f>
        <v>1.8022769389500981</v>
      </c>
      <c r="S27" s="694">
        <f ca="1">IFERROR('All Stock'!Q$15*VLOOKUP($A27,'IDEES okt 2017 template'!$C$183:$AH$190,'IDEES okt 2017 template'!Q$162,FALSE),"")*$AR$26/1000</f>
        <v>8.6982200397117002E-2</v>
      </c>
      <c r="T27" s="694">
        <f ca="1">IFERROR('All Stock'!R$15*VLOOKUP($A27,'IDEES okt 2017 template'!$C$183:$AH$190,'IDEES okt 2017 template'!R$162,FALSE),"")*$AR$26/1000</f>
        <v>9.8490702513645237E-2</v>
      </c>
      <c r="U27" s="694">
        <f ca="1">IFERROR('All Stock'!S$15*VLOOKUP($A27,'IDEES okt 2017 template'!$C$183:$AH$190,'IDEES okt 2017 template'!S$162,FALSE),"")*$AR$26/1000</f>
        <v>0.14118831122772574</v>
      </c>
      <c r="V27" s="694">
        <f ca="1">IFERROR('All Stock'!T$15*VLOOKUP($A27,'IDEES okt 2017 template'!$C$183:$AH$190,'IDEES okt 2017 template'!T$162,FALSE),"")*$AR$26/1000</f>
        <v>0</v>
      </c>
      <c r="W27" s="694">
        <f ca="1">IFERROR('All Stock'!U$15*VLOOKUP($A27,'IDEES okt 2017 template'!$C$183:$AH$190,'IDEES okt 2017 template'!U$162,FALSE),"")*$AR$26/1000</f>
        <v>1.5413906883548218</v>
      </c>
      <c r="X27" s="694">
        <f ca="1">IFERROR('All Stock'!V$15*VLOOKUP($A27,'IDEES okt 2017 template'!$C$183:$AH$190,'IDEES okt 2017 template'!V$162,FALSE),"")*$AR$26/1000</f>
        <v>0</v>
      </c>
      <c r="Y27" s="694">
        <f ca="1">IFERROR('All Stock'!W$15*VLOOKUP($A27,'IDEES okt 2017 template'!$C$183:$AH$190,'IDEES okt 2017 template'!W$162,FALSE),"")*$AR$26/1000</f>
        <v>2.4788736093352515E-2</v>
      </c>
      <c r="Z27" s="694">
        <f ca="1">IFERROR('All Stock'!X$15*VLOOKUP($A27,'IDEES okt 2017 template'!$C$183:$AH$190,'IDEES okt 2017 template'!X$162,FALSE),"")*$AR$26/1000</f>
        <v>0</v>
      </c>
      <c r="AA27" s="694">
        <f ca="1">IFERROR('All Stock'!Y$15*VLOOKUP($A27,'IDEES okt 2017 template'!$C$183:$AH$190,'IDEES okt 2017 template'!Y$162,FALSE),"")*$AR$26/1000</f>
        <v>0</v>
      </c>
      <c r="AB27" s="694">
        <f ca="1">IFERROR('All Stock'!Z$15*VLOOKUP($A27,'IDEES okt 2017 template'!$C$183:$AH$190,'IDEES okt 2017 template'!Z$162,FALSE),"")*$AR$26/1000</f>
        <v>0.77608274688323375</v>
      </c>
      <c r="AC27" s="694">
        <f ca="1">IFERROR('All Stock'!AA$15*VLOOKUP($A27,'IDEES okt 2017 template'!$C$183:$AH$190,'IDEES okt 2017 template'!AA$162,FALSE),"")*$AR$26/1000</f>
        <v>0</v>
      </c>
      <c r="AD27" s="694">
        <f ca="1">IFERROR('All Stock'!AB$15*VLOOKUP($A27,'IDEES okt 2017 template'!$C$183:$AH$190,'IDEES okt 2017 template'!AB$162,FALSE),"")*$AR$26/1000</f>
        <v>0</v>
      </c>
      <c r="AE27" s="694">
        <f ca="1">IFERROR('All Stock'!AC$15*VLOOKUP($A27,'IDEES okt 2017 template'!$C$183:$AH$190,'IDEES okt 2017 template'!AC$162,FALSE),"")*$AR$26/1000</f>
        <v>0.39272482060451086</v>
      </c>
      <c r="AF27" s="694">
        <f ca="1">IFERROR('All Stock'!AD$15*VLOOKUP($A27,'IDEES okt 2017 template'!$C$183:$AH$190,'IDEES okt 2017 template'!AD$162,FALSE),"")*$AR$26/1000</f>
        <v>0</v>
      </c>
      <c r="AG27" s="694">
        <f ca="1">IFERROR('All Stock'!AE$15*VLOOKUP($A27,'IDEES okt 2017 template'!$C$183:$AH$190,'IDEES okt 2017 template'!AE$162,FALSE),"")*$AR$26/1000</f>
        <v>0.1066652721794603</v>
      </c>
      <c r="AH27" s="694">
        <f ca="1">IFERROR('All Stock'!AF$15*VLOOKUP($A27,'IDEES okt 2017 template'!$C$183:$AH$190,'IDEES okt 2017 template'!AF$162,FALSE),"")*$AR$26/1000</f>
        <v>2.7167024696391841E-2</v>
      </c>
      <c r="AI27" s="694">
        <f ca="1">IFERROR('All Stock'!AG$15*VLOOKUP($A27,'IDEES okt 2017 template'!$C$183:$AH$190,'IDEES okt 2017 template'!AG$162,FALSE),"")*$AR$26/1000</f>
        <v>0</v>
      </c>
      <c r="AJ27" s="694">
        <f ca="1">IFERROR('All Stock'!AH$15*VLOOKUP($A27,'IDEES okt 2017 template'!$C$183:$AH$190,'IDEES okt 2017 template'!AH$162,FALSE),"")*$AR$26/1000</f>
        <v>3.3019383973061056</v>
      </c>
      <c r="AK27" s="694">
        <f ca="1">IFERROR('All Stock'!AI$15*VLOOKUP($A27,'IDEES okt 2017 template'!$C$183:$AN$190,'IDEES okt 2017 template'!AI$162,FALSE),"")*$AR$26/1000</f>
        <v>1.9651961640439738E-2</v>
      </c>
      <c r="AL27" s="694">
        <f ca="1">IFERROR('All Stock'!AJ$15*VLOOKUP($A27,'IDEES okt 2017 template'!$C$183:$AN$190,'IDEES okt 2017 template'!AJ$162,FALSE),"")*$AR$26/1000</f>
        <v>0</v>
      </c>
      <c r="AM27" s="694">
        <f ca="1">IFERROR('All Stock'!AK$15*VLOOKUP($A27,'IDEES okt 2017 template'!$C$183:$AN$190,'IDEES okt 2017 template'!AK$162,FALSE),"")*$AR$26/1000</f>
        <v>0</v>
      </c>
      <c r="AN27" s="694">
        <f ca="1">IFERROR('All Stock'!AL$15*VLOOKUP($A27,'IDEES okt 2017 template'!$C$183:$AN$190,'IDEES okt 2017 template'!AL$162,FALSE),"")*$AR$26/1000</f>
        <v>0</v>
      </c>
      <c r="AO27" s="694">
        <f ca="1">IFERROR('All Stock'!AM$15*VLOOKUP($A27,'IDEES okt 2017 template'!$C$183:$AN$190,'IDEES okt 2017 template'!AM$162,FALSE),"")*$AR$26/1000</f>
        <v>0</v>
      </c>
      <c r="AP27" s="694">
        <f ca="1">IFERROR('All Stock'!AN$15*VLOOKUP($A27,'IDEES okt 2017 template'!$C$183:$AN$190,'IDEES okt 2017 template'!AN$162,FALSE),"")*$AR$26/1000</f>
        <v>3.5647848070787394E-3</v>
      </c>
      <c r="AQ27" s="509"/>
      <c r="AR27">
        <f t="shared" si="6"/>
        <v>15</v>
      </c>
      <c r="AS27" t="str">
        <f t="shared" si="0"/>
        <v>Solar</v>
      </c>
      <c r="AT27" s="509"/>
    </row>
    <row r="28" spans="1:49">
      <c r="F28" s="509"/>
      <c r="G28" s="509"/>
      <c r="H28" s="509"/>
      <c r="I28" s="509"/>
      <c r="J28" s="509"/>
      <c r="K28" s="509"/>
      <c r="L28" s="509"/>
      <c r="M28" s="509"/>
      <c r="N28" s="509"/>
      <c r="O28" s="509"/>
      <c r="P28" s="509"/>
      <c r="Q28" s="509"/>
      <c r="R28" s="509"/>
      <c r="S28" s="509"/>
      <c r="T28" s="509"/>
      <c r="U28" s="509"/>
      <c r="V28" s="509"/>
      <c r="W28" s="509"/>
      <c r="X28" s="509"/>
      <c r="Y28" s="509"/>
      <c r="Z28" s="509"/>
      <c r="AA28" s="509"/>
      <c r="AB28" s="509"/>
      <c r="AC28" s="509"/>
      <c r="AD28" s="509"/>
      <c r="AE28" s="509"/>
      <c r="AF28" s="509"/>
      <c r="AG28" s="509"/>
      <c r="AH28" s="509"/>
      <c r="AI28" s="509"/>
      <c r="AJ28" s="509"/>
      <c r="AK28" s="509"/>
      <c r="AL28" s="509"/>
      <c r="AM28" s="509"/>
      <c r="AN28" s="509"/>
      <c r="AO28" s="509"/>
      <c r="AP28" s="509"/>
      <c r="AQ28" s="509"/>
      <c r="AR28" s="509"/>
      <c r="AS28" s="509"/>
      <c r="AT28" s="509"/>
    </row>
    <row r="29" spans="1:49">
      <c r="F29" s="509"/>
      <c r="G29" s="509"/>
      <c r="H29" s="509"/>
      <c r="I29" s="509"/>
      <c r="J29" s="509"/>
      <c r="K29" s="509"/>
      <c r="L29" s="509"/>
      <c r="M29" s="509"/>
      <c r="N29" s="509"/>
      <c r="O29" s="509"/>
      <c r="P29" s="509"/>
      <c r="Q29" s="509"/>
      <c r="R29" s="509"/>
      <c r="S29" s="509"/>
      <c r="T29" s="509"/>
      <c r="U29" s="509"/>
      <c r="V29" s="509"/>
      <c r="W29" s="509"/>
      <c r="X29" s="509"/>
      <c r="Y29" s="509"/>
      <c r="Z29" s="509"/>
      <c r="AA29" s="509"/>
      <c r="AB29" s="509"/>
      <c r="AC29" s="509"/>
      <c r="AD29" s="509"/>
      <c r="AE29" s="509"/>
      <c r="AF29" s="509"/>
      <c r="AG29" s="509"/>
      <c r="AH29" s="509"/>
      <c r="AI29" s="509"/>
      <c r="AJ29" s="509"/>
      <c r="AK29" s="509"/>
      <c r="AL29" s="509"/>
      <c r="AM29" s="509"/>
      <c r="AN29" s="509"/>
      <c r="AO29" s="509"/>
      <c r="AP29" s="509"/>
      <c r="AQ29" s="509"/>
      <c r="AR29" s="509"/>
      <c r="AS29" s="509"/>
      <c r="AT29" s="509"/>
    </row>
    <row r="30" spans="1:49">
      <c r="E30" s="533" t="s">
        <v>601</v>
      </c>
      <c r="AQ30" s="509"/>
      <c r="AR30" s="509"/>
      <c r="AS30" s="509"/>
      <c r="AT30" s="509"/>
    </row>
    <row r="31" spans="1:49" ht="15" thickBot="1">
      <c r="C31" s="539" t="s">
        <v>545</v>
      </c>
      <c r="D31" s="539" t="s">
        <v>585</v>
      </c>
      <c r="E31" s="539" t="s">
        <v>552</v>
      </c>
      <c r="F31" s="540" t="str">
        <f>'All Stock'!D$2</f>
        <v>AT</v>
      </c>
      <c r="G31" s="540" t="str">
        <f>'All Stock'!E$2</f>
        <v>BE</v>
      </c>
      <c r="H31" s="540" t="str">
        <f>'All Stock'!F$2</f>
        <v>BG</v>
      </c>
      <c r="I31" s="540" t="str">
        <f>'All Stock'!G$2</f>
        <v>CH</v>
      </c>
      <c r="J31" s="540" t="str">
        <f>'All Stock'!H$2</f>
        <v>CY</v>
      </c>
      <c r="K31" s="540" t="str">
        <f>'All Stock'!I$2</f>
        <v>CZ</v>
      </c>
      <c r="L31" s="540" t="str">
        <f>'All Stock'!J$2</f>
        <v>DE</v>
      </c>
      <c r="M31" s="540" t="str">
        <f>'All Stock'!K$2</f>
        <v>DK</v>
      </c>
      <c r="N31" s="540" t="str">
        <f>'All Stock'!L$2</f>
        <v>EE</v>
      </c>
      <c r="O31" s="540" t="str">
        <f>'All Stock'!M$2</f>
        <v>ES</v>
      </c>
      <c r="P31" s="540" t="str">
        <f>'All Stock'!N$2</f>
        <v>FI</v>
      </c>
      <c r="Q31" s="540" t="str">
        <f>'All Stock'!O$2</f>
        <v>FR</v>
      </c>
      <c r="R31" s="540" t="str">
        <f>'All Stock'!P$2</f>
        <v>EL</v>
      </c>
      <c r="S31" s="540" t="str">
        <f>'All Stock'!Q$2</f>
        <v>HR</v>
      </c>
      <c r="T31" s="540" t="str">
        <f>'All Stock'!R$2</f>
        <v>HU</v>
      </c>
      <c r="U31" s="540" t="str">
        <f>'All Stock'!S$2</f>
        <v>IE</v>
      </c>
      <c r="V31" s="540" t="str">
        <f>'All Stock'!T$2</f>
        <v>IS</v>
      </c>
      <c r="W31" s="540" t="str">
        <f>'All Stock'!U$2</f>
        <v>IT</v>
      </c>
      <c r="X31" s="540" t="str">
        <f>'All Stock'!V$2</f>
        <v>LT</v>
      </c>
      <c r="Y31" s="540" t="str">
        <f>'All Stock'!W$2</f>
        <v>LU</v>
      </c>
      <c r="Z31" s="540" t="str">
        <f>'All Stock'!X$2</f>
        <v>LV</v>
      </c>
      <c r="AA31" s="540" t="str">
        <f>'All Stock'!Y$2</f>
        <v>MT</v>
      </c>
      <c r="AB31" s="540" t="str">
        <f>'All Stock'!Z$2</f>
        <v>NL</v>
      </c>
      <c r="AC31" s="540" t="str">
        <f>'All Stock'!AA$2</f>
        <v>NO</v>
      </c>
      <c r="AD31" s="540" t="str">
        <f>'All Stock'!AB$2</f>
        <v>PL</v>
      </c>
      <c r="AE31" s="540" t="str">
        <f>'All Stock'!AC$2</f>
        <v>PT</v>
      </c>
      <c r="AF31" s="540" t="str">
        <f>'All Stock'!AD$2</f>
        <v>RO</v>
      </c>
      <c r="AG31" s="540" t="str">
        <f>'All Stock'!AE$2</f>
        <v>SE</v>
      </c>
      <c r="AH31" s="540" t="str">
        <f>'All Stock'!AF$2</f>
        <v>SI</v>
      </c>
      <c r="AI31" s="540" t="str">
        <f>'All Stock'!AG$2</f>
        <v>SK</v>
      </c>
      <c r="AJ31" s="540" t="str">
        <f>'All Stock'!AH$2</f>
        <v>UK</v>
      </c>
      <c r="AK31" s="540" t="str">
        <f>'All Stock'!AI$2</f>
        <v>AL</v>
      </c>
      <c r="AL31" s="540" t="str">
        <f>'All Stock'!AJ$2</f>
        <v>BA</v>
      </c>
      <c r="AM31" s="540" t="str">
        <f>'All Stock'!AK$2</f>
        <v>ME</v>
      </c>
      <c r="AN31" s="540" t="str">
        <f>'All Stock'!AL$2</f>
        <v>MK</v>
      </c>
      <c r="AO31" s="540" t="str">
        <f>'All Stock'!AM$2</f>
        <v>RS</v>
      </c>
      <c r="AP31" s="540" t="str">
        <f>'All Stock'!AN$2</f>
        <v>KS</v>
      </c>
      <c r="AQ31" s="509"/>
      <c r="AR31" s="509"/>
      <c r="AS31" s="509"/>
      <c r="AT31" s="509"/>
    </row>
    <row r="32" spans="1:49">
      <c r="A32" t="str">
        <f>A4</f>
        <v>Electricity</v>
      </c>
      <c r="C32" t="str">
        <f>C4</f>
        <v>R_ES-WH-FL_ELC</v>
      </c>
      <c r="E32" t="str">
        <f>E4</f>
        <v>R_ES-FL-WatHeat</v>
      </c>
      <c r="F32" s="694">
        <f>IF('IDEES okt 2017 template'!D154&gt;0,'IDEES okt 2017 template'!D154,0.65)</f>
        <v>0.76</v>
      </c>
      <c r="G32" s="694">
        <f>IF('IDEES okt 2017 template'!E154&gt;0,'IDEES okt 2017 template'!E154,0.65)</f>
        <v>0.73</v>
      </c>
      <c r="H32" s="694">
        <f>IF('IDEES okt 2017 template'!F154&gt;0,'IDEES okt 2017 template'!F154,0.65)</f>
        <v>0.61</v>
      </c>
      <c r="I32" s="694">
        <f>IF('IDEES okt 2017 template'!G154&gt;0,'IDEES okt 2017 template'!G154,0.65)</f>
        <v>0.84</v>
      </c>
      <c r="J32" s="694">
        <f>IF('IDEES okt 2017 template'!H154&gt;0,'IDEES okt 2017 template'!H154,0.65)</f>
        <v>0.54</v>
      </c>
      <c r="K32" s="694">
        <f>IF('IDEES okt 2017 template'!I154&gt;0,'IDEES okt 2017 template'!I154,0.65)</f>
        <v>0.65</v>
      </c>
      <c r="L32" s="694">
        <f>IF('IDEES okt 2017 template'!J154&gt;0,'IDEES okt 2017 template'!J154,0.65)</f>
        <v>0.84</v>
      </c>
      <c r="M32" s="694">
        <f>IF('IDEES okt 2017 template'!K154&gt;0,'IDEES okt 2017 template'!K154,0.65)</f>
        <v>0.8</v>
      </c>
      <c r="N32" s="694">
        <f>IF('IDEES okt 2017 template'!L154&gt;0,'IDEES okt 2017 template'!L154,0.65)</f>
        <v>0.69</v>
      </c>
      <c r="O32" s="694">
        <f>IF('IDEES okt 2017 template'!M154&gt;0,'IDEES okt 2017 template'!M154,0.65)</f>
        <v>0.69</v>
      </c>
      <c r="P32" s="694">
        <f>IF('IDEES okt 2017 template'!N154&gt;0,'IDEES okt 2017 template'!N154,0.65)</f>
        <v>0.8</v>
      </c>
      <c r="Q32" s="694">
        <f>IF('IDEES okt 2017 template'!O154&gt;0,'IDEES okt 2017 template'!O154,0.65)</f>
        <v>0.76</v>
      </c>
      <c r="R32" s="694">
        <f>IF('IDEES okt 2017 template'!P154&gt;0,'IDEES okt 2017 template'!P154,0.65)</f>
        <v>0.65</v>
      </c>
      <c r="S32" s="694">
        <f>IF('IDEES okt 2017 template'!Q154&gt;0,'IDEES okt 2017 template'!Q154,0.65)</f>
        <v>0.67</v>
      </c>
      <c r="T32" s="694">
        <f>IF('IDEES okt 2017 template'!R154&gt;0,'IDEES okt 2017 template'!R154,0.65)</f>
        <v>0.63</v>
      </c>
      <c r="U32" s="694">
        <f>IF('IDEES okt 2017 template'!S154&gt;0,'IDEES okt 2017 template'!S154,0.65)</f>
        <v>0.74</v>
      </c>
      <c r="V32" s="694">
        <f>IF('IDEES okt 2017 template'!T154&gt;0,'IDEES okt 2017 template'!T154,0.65)</f>
        <v>0.8</v>
      </c>
      <c r="W32" s="694">
        <f>IF('IDEES okt 2017 template'!U154&gt;0,'IDEES okt 2017 template'!U154,0.65)</f>
        <v>0.71</v>
      </c>
      <c r="X32" s="694">
        <f>IF('IDEES okt 2017 template'!V154&gt;0,'IDEES okt 2017 template'!V154,0.65)</f>
        <v>0.65</v>
      </c>
      <c r="Y32" s="694">
        <f>IF('IDEES okt 2017 template'!W154&gt;0,'IDEES okt 2017 template'!W154,0.65)</f>
        <v>0.76</v>
      </c>
      <c r="Z32" s="694">
        <f>IF('IDEES okt 2017 template'!X154&gt;0,'IDEES okt 2017 template'!X154,0.65)</f>
        <v>0.69</v>
      </c>
      <c r="AA32" s="694">
        <f>IF('IDEES okt 2017 template'!Y154&gt;0,'IDEES okt 2017 template'!Y154,0.65)</f>
        <v>0.57999999999999996</v>
      </c>
      <c r="AB32" s="694">
        <f>IF('IDEES okt 2017 template'!Z154&gt;0,'IDEES okt 2017 template'!Z154,0.65)</f>
        <v>0.78500000000000003</v>
      </c>
      <c r="AC32" s="694">
        <f>IF('IDEES okt 2017 template'!AA154&gt;0,'IDEES okt 2017 template'!AA154,0.65)</f>
        <v>0.8</v>
      </c>
      <c r="AD32" s="694">
        <f>IF('IDEES okt 2017 template'!AB154&gt;0,'IDEES okt 2017 template'!AB154,0.65)</f>
        <v>0.69</v>
      </c>
      <c r="AE32" s="694">
        <f>IF('IDEES okt 2017 template'!AC154&gt;0,'IDEES okt 2017 template'!AC154,0.65)</f>
        <v>0.71</v>
      </c>
      <c r="AF32" s="694">
        <f>IF('IDEES okt 2017 template'!AD154&gt;0,'IDEES okt 2017 template'!AD154,0.65)</f>
        <v>0.61</v>
      </c>
      <c r="AG32" s="694">
        <f>IF('IDEES okt 2017 template'!AE154&gt;0,'IDEES okt 2017 template'!AE154,0.65)</f>
        <v>0.69</v>
      </c>
      <c r="AH32" s="694">
        <f>IF('IDEES okt 2017 template'!AF154&gt;0,'IDEES okt 2017 template'!AF154,0.65)</f>
        <v>0.74</v>
      </c>
      <c r="AI32" s="694">
        <f>IF('IDEES okt 2017 template'!AG154&gt;0,'IDEES okt 2017 template'!AG154,0.65)</f>
        <v>0.61</v>
      </c>
      <c r="AJ32" s="694">
        <f>IF('IDEES okt 2017 template'!AH154&gt;0,'IDEES okt 2017 template'!AH154,0.65)</f>
        <v>0.74</v>
      </c>
      <c r="AK32" s="694">
        <f>IF('IDEES okt 2017 template'!AI154&gt;0,'IDEES okt 2017 template'!AI154,0.65)</f>
        <v>0.65</v>
      </c>
      <c r="AL32" s="694">
        <f>IF('IDEES okt 2017 template'!AJ154&gt;0,'IDEES okt 2017 template'!AJ154,0.65)</f>
        <v>0.67</v>
      </c>
      <c r="AM32" s="694">
        <f>IF('IDEES okt 2017 template'!AK154&gt;0,'IDEES okt 2017 template'!AK154,0.65)</f>
        <v>0.67</v>
      </c>
      <c r="AN32" s="694">
        <f>IF('IDEES okt 2017 template'!AL154&gt;0,'IDEES okt 2017 template'!AL154,0.65)</f>
        <v>0.65</v>
      </c>
      <c r="AO32" s="694">
        <f>IF('IDEES okt 2017 template'!AM154&gt;0,'IDEES okt 2017 template'!AM154,0.65)</f>
        <v>0.67</v>
      </c>
      <c r="AP32" s="694">
        <f>IF('IDEES okt 2017 template'!AN154&gt;0,'IDEES okt 2017 template'!AN154,0.65)</f>
        <v>0.67</v>
      </c>
      <c r="AQ32" s="509"/>
      <c r="AR32" s="509"/>
      <c r="AS32" s="509"/>
      <c r="AT32" s="509"/>
    </row>
    <row r="33" spans="1:46">
      <c r="A33" t="str">
        <f t="shared" ref="A33:A55" si="8">A5</f>
        <v>Gases</v>
      </c>
      <c r="C33" t="str">
        <f t="shared" ref="C33:C55" si="9">C5</f>
        <v>R_ES-WH-FL_GAS</v>
      </c>
      <c r="E33" t="str">
        <f t="shared" ref="E33:E55" si="10">E5</f>
        <v>R_ES-FL-WatHeat</v>
      </c>
      <c r="F33" s="694">
        <f>IF('IDEES okt 2017 template'!D155&gt;0,'IDEES okt 2017 template'!D155,0.65)</f>
        <v>0.62</v>
      </c>
      <c r="G33" s="694">
        <f>IF('IDEES okt 2017 template'!E155&gt;0,'IDEES okt 2017 template'!E155,0.65)</f>
        <v>0.59</v>
      </c>
      <c r="H33" s="694">
        <f>IF('IDEES okt 2017 template'!F155&gt;0,'IDEES okt 2017 template'!F155,0.65)</f>
        <v>0.5</v>
      </c>
      <c r="I33" s="694">
        <f>IF('IDEES okt 2017 template'!G155&gt;0,'IDEES okt 2017 template'!G155,0.65)</f>
        <v>0.68</v>
      </c>
      <c r="J33" s="694">
        <f>IF('IDEES okt 2017 template'!H155&gt;0,'IDEES okt 2017 template'!H155,0.65)</f>
        <v>0.65</v>
      </c>
      <c r="K33" s="694">
        <f>IF('IDEES okt 2017 template'!I155&gt;0,'IDEES okt 2017 template'!I155,0.65)</f>
        <v>0.53</v>
      </c>
      <c r="L33" s="694">
        <f>IF('IDEES okt 2017 template'!J155&gt;0,'IDEES okt 2017 template'!J155,0.65)</f>
        <v>0.68</v>
      </c>
      <c r="M33" s="694">
        <f>IF('IDEES okt 2017 template'!K155&gt;0,'IDEES okt 2017 template'!K155,0.65)</f>
        <v>0.65</v>
      </c>
      <c r="N33" s="694">
        <f>IF('IDEES okt 2017 template'!L155&gt;0,'IDEES okt 2017 template'!L155,0.65)</f>
        <v>0.56000000000000005</v>
      </c>
      <c r="O33" s="694">
        <f>IF('IDEES okt 2017 template'!M155&gt;0,'IDEES okt 2017 template'!M155,0.65)</f>
        <v>0.56000000000000005</v>
      </c>
      <c r="P33" s="694">
        <f>IF('IDEES okt 2017 template'!N155&gt;0,'IDEES okt 2017 template'!N155,0.65)</f>
        <v>0.65</v>
      </c>
      <c r="Q33" s="694">
        <f>IF('IDEES okt 2017 template'!O155&gt;0,'IDEES okt 2017 template'!O155,0.65)</f>
        <v>0.62</v>
      </c>
      <c r="R33" s="694">
        <f>IF('IDEES okt 2017 template'!P155&gt;0,'IDEES okt 2017 template'!P155,0.65)</f>
        <v>0.53</v>
      </c>
      <c r="S33" s="694">
        <f>IF('IDEES okt 2017 template'!Q155&gt;0,'IDEES okt 2017 template'!Q155,0.65)</f>
        <v>0.54</v>
      </c>
      <c r="T33" s="694">
        <f>IF('IDEES okt 2017 template'!R155&gt;0,'IDEES okt 2017 template'!R155,0.65)</f>
        <v>0.51</v>
      </c>
      <c r="U33" s="694">
        <f>IF('IDEES okt 2017 template'!S155&gt;0,'IDEES okt 2017 template'!S155,0.65)</f>
        <v>0.6</v>
      </c>
      <c r="V33" s="694">
        <f>IF('IDEES okt 2017 template'!T155&gt;0,'IDEES okt 2017 template'!T155,0.65)</f>
        <v>0.65</v>
      </c>
      <c r="W33" s="694">
        <f>IF('IDEES okt 2017 template'!U155&gt;0,'IDEES okt 2017 template'!U155,0.65)</f>
        <v>0.57999999999999996</v>
      </c>
      <c r="X33" s="694">
        <f>IF('IDEES okt 2017 template'!V155&gt;0,'IDEES okt 2017 template'!V155,0.65)</f>
        <v>0.53</v>
      </c>
      <c r="Y33" s="694">
        <f>IF('IDEES okt 2017 template'!W155&gt;0,'IDEES okt 2017 template'!W155,0.65)</f>
        <v>0.62</v>
      </c>
      <c r="Z33" s="694">
        <f>IF('IDEES okt 2017 template'!X155&gt;0,'IDEES okt 2017 template'!X155,0.65)</f>
        <v>0.56000000000000005</v>
      </c>
      <c r="AA33" s="694">
        <f>IF('IDEES okt 2017 template'!Y155&gt;0,'IDEES okt 2017 template'!Y155,0.65)</f>
        <v>0.65</v>
      </c>
      <c r="AB33" s="694">
        <f>IF('IDEES okt 2017 template'!Z155&gt;0,'IDEES okt 2017 template'!Z155,0.65)</f>
        <v>0.64</v>
      </c>
      <c r="AC33" s="694">
        <f>IF('IDEES okt 2017 template'!AA155&gt;0,'IDEES okt 2017 template'!AA155,0.65)</f>
        <v>0.65</v>
      </c>
      <c r="AD33" s="694">
        <f>IF('IDEES okt 2017 template'!AB155&gt;0,'IDEES okt 2017 template'!AB155,0.65)</f>
        <v>0.56000000000000005</v>
      </c>
      <c r="AE33" s="694">
        <f>IF('IDEES okt 2017 template'!AC155&gt;0,'IDEES okt 2017 template'!AC155,0.65)</f>
        <v>0.57999999999999996</v>
      </c>
      <c r="AF33" s="694">
        <f>IF('IDEES okt 2017 template'!AD155&gt;0,'IDEES okt 2017 template'!AD155,0.65)</f>
        <v>0.5</v>
      </c>
      <c r="AG33" s="694">
        <f>IF('IDEES okt 2017 template'!AE155&gt;0,'IDEES okt 2017 template'!AE155,0.65)</f>
        <v>0.56000000000000005</v>
      </c>
      <c r="AH33" s="694">
        <f>IF('IDEES okt 2017 template'!AF155&gt;0,'IDEES okt 2017 template'!AF155,0.65)</f>
        <v>0.6</v>
      </c>
      <c r="AI33" s="694">
        <f>IF('IDEES okt 2017 template'!AG155&gt;0,'IDEES okt 2017 template'!AG155,0.65)</f>
        <v>0.5</v>
      </c>
      <c r="AJ33" s="694">
        <f>IF('IDEES okt 2017 template'!AH155&gt;0,'IDEES okt 2017 template'!AH155,0.65)</f>
        <v>0.6</v>
      </c>
      <c r="AK33" s="694">
        <f>IF('IDEES okt 2017 template'!AI155&gt;0,'IDEES okt 2017 template'!AI155,0.65)</f>
        <v>0.53</v>
      </c>
      <c r="AL33" s="694">
        <f>IF('IDEES okt 2017 template'!AJ155&gt;0,'IDEES okt 2017 template'!AJ155,0.65)</f>
        <v>0.54</v>
      </c>
      <c r="AM33" s="694">
        <f>IF('IDEES okt 2017 template'!AK155&gt;0,'IDEES okt 2017 template'!AK155,0.65)</f>
        <v>0.54</v>
      </c>
      <c r="AN33" s="694">
        <f>IF('IDEES okt 2017 template'!AL155&gt;0,'IDEES okt 2017 template'!AL155,0.65)</f>
        <v>0.53</v>
      </c>
      <c r="AO33" s="694">
        <f>IF('IDEES okt 2017 template'!AM155&gt;0,'IDEES okt 2017 template'!AM155,0.65)</f>
        <v>0.54</v>
      </c>
      <c r="AP33" s="694">
        <f>IF('IDEES okt 2017 template'!AN155&gt;0,'IDEES okt 2017 template'!AN155,0.65)</f>
        <v>0.54</v>
      </c>
      <c r="AQ33" s="509"/>
      <c r="AR33" s="509"/>
      <c r="AS33" s="509"/>
      <c r="AT33" s="509"/>
    </row>
    <row r="34" spans="1:46">
      <c r="A34" t="str">
        <f t="shared" si="8"/>
        <v>Derived heat</v>
      </c>
      <c r="C34" t="str">
        <f t="shared" si="9"/>
        <v>R_ES-WH-FL_HET</v>
      </c>
      <c r="E34" t="str">
        <f t="shared" si="10"/>
        <v>R_ES-FL-WatHeat</v>
      </c>
      <c r="F34" s="694">
        <f>IF('IDEES okt 2017 template'!D153&gt;0,'IDEES okt 2017 template'!D153,0.65)</f>
        <v>0.89</v>
      </c>
      <c r="G34" s="694">
        <f>IF('IDEES okt 2017 template'!E153&gt;0,'IDEES okt 2017 template'!E153,0.65)</f>
        <v>0.87</v>
      </c>
      <c r="H34" s="694">
        <f>IF('IDEES okt 2017 template'!F153&gt;0,'IDEES okt 2017 template'!F153,0.65)</f>
        <v>0.78</v>
      </c>
      <c r="I34" s="694">
        <f>IF('IDEES okt 2017 template'!G153&gt;0,'IDEES okt 2017 template'!G153,0.65)</f>
        <v>0.95</v>
      </c>
      <c r="J34" s="694">
        <f>IF('IDEES okt 2017 template'!H153&gt;0,'IDEES okt 2017 template'!H153,0.65)</f>
        <v>0.65</v>
      </c>
      <c r="K34" s="694">
        <f>IF('IDEES okt 2017 template'!I153&gt;0,'IDEES okt 2017 template'!I153,0.65)</f>
        <v>0.81</v>
      </c>
      <c r="L34" s="694">
        <f>IF('IDEES okt 2017 template'!J153&gt;0,'IDEES okt 2017 template'!J153,0.65)</f>
        <v>0.95</v>
      </c>
      <c r="M34" s="694">
        <f>IF('IDEES okt 2017 template'!K153&gt;0,'IDEES okt 2017 template'!K153,0.65)</f>
        <v>0.92</v>
      </c>
      <c r="N34" s="694">
        <f>IF('IDEES okt 2017 template'!L153&gt;0,'IDEES okt 2017 template'!L153,0.65)</f>
        <v>0.84</v>
      </c>
      <c r="O34" s="694">
        <f>IF('IDEES okt 2017 template'!M153&gt;0,'IDEES okt 2017 template'!M153,0.65)</f>
        <v>0.65</v>
      </c>
      <c r="P34" s="694">
        <f>IF('IDEES okt 2017 template'!N153&gt;0,'IDEES okt 2017 template'!N153,0.65)</f>
        <v>0.92</v>
      </c>
      <c r="Q34" s="694">
        <f>IF('IDEES okt 2017 template'!O153&gt;0,'IDEES okt 2017 template'!O153,0.65)</f>
        <v>0.89</v>
      </c>
      <c r="R34" s="694">
        <f>IF('IDEES okt 2017 template'!P153&gt;0,'IDEES okt 2017 template'!P153,0.65)</f>
        <v>0.81</v>
      </c>
      <c r="S34" s="694">
        <f>IF('IDEES okt 2017 template'!Q153&gt;0,'IDEES okt 2017 template'!Q153,0.65)</f>
        <v>0.82</v>
      </c>
      <c r="T34" s="694">
        <f>IF('IDEES okt 2017 template'!R153&gt;0,'IDEES okt 2017 template'!R153,0.65)</f>
        <v>0.8</v>
      </c>
      <c r="U34" s="694">
        <f>IF('IDEES okt 2017 template'!S153&gt;0,'IDEES okt 2017 template'!S153,0.65)</f>
        <v>0.65</v>
      </c>
      <c r="V34" s="694">
        <f>IF('IDEES okt 2017 template'!T153&gt;0,'IDEES okt 2017 template'!T153,0.65)</f>
        <v>0.92</v>
      </c>
      <c r="W34" s="694">
        <f>IF('IDEES okt 2017 template'!U153&gt;0,'IDEES okt 2017 template'!U153,0.65)</f>
        <v>0.85650557620817858</v>
      </c>
      <c r="X34" s="694">
        <f>IF('IDEES okt 2017 template'!V153&gt;0,'IDEES okt 2017 template'!V153,0.65)</f>
        <v>0.81</v>
      </c>
      <c r="Y34" s="694">
        <f>IF('IDEES okt 2017 template'!W153&gt;0,'IDEES okt 2017 template'!W153,0.65)</f>
        <v>0.65</v>
      </c>
      <c r="Z34" s="694">
        <f>IF('IDEES okt 2017 template'!X153&gt;0,'IDEES okt 2017 template'!X153,0.65)</f>
        <v>0.84</v>
      </c>
      <c r="AA34" s="694">
        <f>IF('IDEES okt 2017 template'!Y153&gt;0,'IDEES okt 2017 template'!Y153,0.65)</f>
        <v>0.65</v>
      </c>
      <c r="AB34" s="694">
        <f>IF('IDEES okt 2017 template'!Z153&gt;0,'IDEES okt 2017 template'!Z153,0.65)</f>
        <v>0.91</v>
      </c>
      <c r="AC34" s="694">
        <f>IF('IDEES okt 2017 template'!AA153&gt;0,'IDEES okt 2017 template'!AA153,0.65)</f>
        <v>0.92</v>
      </c>
      <c r="AD34" s="694">
        <f>IF('IDEES okt 2017 template'!AB153&gt;0,'IDEES okt 2017 template'!AB153,0.65)</f>
        <v>0.84</v>
      </c>
      <c r="AE34" s="694">
        <f>IF('IDEES okt 2017 template'!AC153&gt;0,'IDEES okt 2017 template'!AC153,0.65)</f>
        <v>0.86</v>
      </c>
      <c r="AF34" s="694">
        <f>IF('IDEES okt 2017 template'!AD153&gt;0,'IDEES okt 2017 template'!AD153,0.65)</f>
        <v>0.78</v>
      </c>
      <c r="AG34" s="694">
        <f>IF('IDEES okt 2017 template'!AE153&gt;0,'IDEES okt 2017 template'!AE153,0.65)</f>
        <v>0.84</v>
      </c>
      <c r="AH34" s="694">
        <f>IF('IDEES okt 2017 template'!AF153&gt;0,'IDEES okt 2017 template'!AF153,0.65)</f>
        <v>0.88</v>
      </c>
      <c r="AI34" s="694">
        <f>IF('IDEES okt 2017 template'!AG153&gt;0,'IDEES okt 2017 template'!AG153,0.65)</f>
        <v>0.78</v>
      </c>
      <c r="AJ34" s="694">
        <f>IF('IDEES okt 2017 template'!AH153&gt;0,'IDEES okt 2017 template'!AH153,0.65)</f>
        <v>0.65</v>
      </c>
      <c r="AK34" s="694">
        <f>IF('IDEES okt 2017 template'!AI153&gt;0,'IDEES okt 2017 template'!AI153,0.65)</f>
        <v>0.81</v>
      </c>
      <c r="AL34" s="694">
        <f>IF('IDEES okt 2017 template'!AJ153&gt;0,'IDEES okt 2017 template'!AJ153,0.65)</f>
        <v>0.82</v>
      </c>
      <c r="AM34" s="694">
        <f>IF('IDEES okt 2017 template'!AK153&gt;0,'IDEES okt 2017 template'!AK153,0.65)</f>
        <v>0.82</v>
      </c>
      <c r="AN34" s="694">
        <f>IF('IDEES okt 2017 template'!AL153&gt;0,'IDEES okt 2017 template'!AL153,0.65)</f>
        <v>0.81</v>
      </c>
      <c r="AO34" s="694">
        <f>IF('IDEES okt 2017 template'!AM153&gt;0,'IDEES okt 2017 template'!AM153,0.65)</f>
        <v>0.82</v>
      </c>
      <c r="AP34" s="694">
        <f>IF('IDEES okt 2017 template'!AN153&gt;0,'IDEES okt 2017 template'!AN153,0.65)</f>
        <v>0.82</v>
      </c>
      <c r="AQ34" s="509"/>
      <c r="AR34" s="509"/>
      <c r="AS34" s="509"/>
      <c r="AT34" s="509"/>
    </row>
    <row r="35" spans="1:46">
      <c r="A35" t="str">
        <f t="shared" si="8"/>
        <v>GDO and other liquids (incl. liq. bio.)</v>
      </c>
      <c r="C35" t="str">
        <f t="shared" si="9"/>
        <v>R_ES-WH-FL_OIL</v>
      </c>
      <c r="E35" t="str">
        <f t="shared" si="10"/>
        <v>R_ES-FL-WatHeat</v>
      </c>
      <c r="F35" s="694">
        <f>IF('IDEES okt 2017 template'!D156&gt;0,'IDEES okt 2017 template'!D156,0.65)</f>
        <v>0.57999999999999996</v>
      </c>
      <c r="G35" s="694">
        <f>IF('IDEES okt 2017 template'!E156&gt;0,'IDEES okt 2017 template'!E156,0.65)</f>
        <v>0.55000000000000004</v>
      </c>
      <c r="H35" s="694">
        <f>IF('IDEES okt 2017 template'!F156&gt;0,'IDEES okt 2017 template'!F156,0.65)</f>
        <v>0.65</v>
      </c>
      <c r="I35" s="694">
        <f>IF('IDEES okt 2017 template'!G156&gt;0,'IDEES okt 2017 template'!G156,0.65)</f>
        <v>0.64</v>
      </c>
      <c r="J35" s="694">
        <f>IF('IDEES okt 2017 template'!H156&gt;0,'IDEES okt 2017 template'!H156,0.65)</f>
        <v>0.41</v>
      </c>
      <c r="K35" s="694">
        <f>IF('IDEES okt 2017 template'!I156&gt;0,'IDEES okt 2017 template'!I156,0.65)</f>
        <v>0.65</v>
      </c>
      <c r="L35" s="694">
        <f>IF('IDEES okt 2017 template'!J156&gt;0,'IDEES okt 2017 template'!J156,0.65)</f>
        <v>0.64</v>
      </c>
      <c r="M35" s="694">
        <f>IF('IDEES okt 2017 template'!K156&gt;0,'IDEES okt 2017 template'!K156,0.65)</f>
        <v>0.61</v>
      </c>
      <c r="N35" s="694">
        <f>IF('IDEES okt 2017 template'!L156&gt;0,'IDEES okt 2017 template'!L156,0.65)</f>
        <v>0.52</v>
      </c>
      <c r="O35" s="694">
        <f>IF('IDEES okt 2017 template'!M156&gt;0,'IDEES okt 2017 template'!M156,0.65)</f>
        <v>0.52</v>
      </c>
      <c r="P35" s="694">
        <f>IF('IDEES okt 2017 template'!N156&gt;0,'IDEES okt 2017 template'!N156,0.65)</f>
        <v>0.61</v>
      </c>
      <c r="Q35" s="694">
        <f>IF('IDEES okt 2017 template'!O156&gt;0,'IDEES okt 2017 template'!O156,0.65)</f>
        <v>0.57999999999999996</v>
      </c>
      <c r="R35" s="694">
        <f>IF('IDEES okt 2017 template'!P156&gt;0,'IDEES okt 2017 template'!P156,0.65)</f>
        <v>0.5</v>
      </c>
      <c r="S35" s="694">
        <f>IF('IDEES okt 2017 template'!Q156&gt;0,'IDEES okt 2017 template'!Q156,0.65)</f>
        <v>0.51</v>
      </c>
      <c r="T35" s="694">
        <f>IF('IDEES okt 2017 template'!R156&gt;0,'IDEES okt 2017 template'!R156,0.65)</f>
        <v>0.65</v>
      </c>
      <c r="U35" s="694">
        <f>IF('IDEES okt 2017 template'!S156&gt;0,'IDEES okt 2017 template'!S156,0.65)</f>
        <v>0.56000000000000005</v>
      </c>
      <c r="V35" s="694">
        <f>IF('IDEES okt 2017 template'!T156&gt;0,'IDEES okt 2017 template'!T156,0.65)</f>
        <v>0.61</v>
      </c>
      <c r="W35" s="694">
        <f>IF('IDEES okt 2017 template'!U156&gt;0,'IDEES okt 2017 template'!U156,0.65)</f>
        <v>0.54</v>
      </c>
      <c r="X35" s="694">
        <f>IF('IDEES okt 2017 template'!V156&gt;0,'IDEES okt 2017 template'!V156,0.65)</f>
        <v>0.65</v>
      </c>
      <c r="Y35" s="694">
        <f>IF('IDEES okt 2017 template'!W156&gt;0,'IDEES okt 2017 template'!W156,0.65)</f>
        <v>0.57999999999999996</v>
      </c>
      <c r="Z35" s="694">
        <f>IF('IDEES okt 2017 template'!X156&gt;0,'IDEES okt 2017 template'!X156,0.65)</f>
        <v>0.52</v>
      </c>
      <c r="AA35" s="694">
        <f>IF('IDEES okt 2017 template'!Y156&gt;0,'IDEES okt 2017 template'!Y156,0.65)</f>
        <v>0.65</v>
      </c>
      <c r="AB35" s="694">
        <f>IF('IDEES okt 2017 template'!Z156&gt;0,'IDEES okt 2017 template'!Z156,0.65)</f>
        <v>0.6</v>
      </c>
      <c r="AC35" s="694">
        <f>IF('IDEES okt 2017 template'!AA156&gt;0,'IDEES okt 2017 template'!AA156,0.65)</f>
        <v>0.61</v>
      </c>
      <c r="AD35" s="694">
        <f>IF('IDEES okt 2017 template'!AB156&gt;0,'IDEES okt 2017 template'!AB156,0.65)</f>
        <v>0.52</v>
      </c>
      <c r="AE35" s="694">
        <f>IF('IDEES okt 2017 template'!AC156&gt;0,'IDEES okt 2017 template'!AC156,0.65)</f>
        <v>0.54</v>
      </c>
      <c r="AF35" s="694">
        <f>IF('IDEES okt 2017 template'!AD156&gt;0,'IDEES okt 2017 template'!AD156,0.65)</f>
        <v>0.47</v>
      </c>
      <c r="AG35" s="694">
        <f>IF('IDEES okt 2017 template'!AE156&gt;0,'IDEES okt 2017 template'!AE156,0.65)</f>
        <v>0.52</v>
      </c>
      <c r="AH35" s="694">
        <f>IF('IDEES okt 2017 template'!AF156&gt;0,'IDEES okt 2017 template'!AF156,0.65)</f>
        <v>0.56000000000000005</v>
      </c>
      <c r="AI35" s="694">
        <f>IF('IDEES okt 2017 template'!AG156&gt;0,'IDEES okt 2017 template'!AG156,0.65)</f>
        <v>0.65</v>
      </c>
      <c r="AJ35" s="694">
        <f>IF('IDEES okt 2017 template'!AH156&gt;0,'IDEES okt 2017 template'!AH156,0.65)</f>
        <v>0.56000000000000005</v>
      </c>
      <c r="AK35" s="694">
        <f>IF('IDEES okt 2017 template'!AI156&gt;0,'IDEES okt 2017 template'!AI156,0.65)</f>
        <v>0.5</v>
      </c>
      <c r="AL35" s="694">
        <f>IF('IDEES okt 2017 template'!AJ156&gt;0,'IDEES okt 2017 template'!AJ156,0.65)</f>
        <v>0.51</v>
      </c>
      <c r="AM35" s="694">
        <f>IF('IDEES okt 2017 template'!AK156&gt;0,'IDEES okt 2017 template'!AK156,0.65)</f>
        <v>0.51</v>
      </c>
      <c r="AN35" s="694">
        <f>IF('IDEES okt 2017 template'!AL156&gt;0,'IDEES okt 2017 template'!AL156,0.65)</f>
        <v>0.5</v>
      </c>
      <c r="AO35" s="694">
        <f>IF('IDEES okt 2017 template'!AM156&gt;0,'IDEES okt 2017 template'!AM156,0.65)</f>
        <v>0.51</v>
      </c>
      <c r="AP35" s="694">
        <f>IF('IDEES okt 2017 template'!AN156&gt;0,'IDEES okt 2017 template'!AN156,0.65)</f>
        <v>0.51</v>
      </c>
      <c r="AQ35" s="509"/>
      <c r="AR35" s="509"/>
      <c r="AS35" s="509"/>
      <c r="AT35" s="509"/>
    </row>
    <row r="36" spans="1:46">
      <c r="A36" t="str">
        <f t="shared" si="8"/>
        <v>Biomass and wastes</v>
      </c>
      <c r="C36" t="str">
        <f t="shared" si="9"/>
        <v>R_ES-WH-FL_BIO</v>
      </c>
      <c r="E36" t="str">
        <f t="shared" si="10"/>
        <v>R_ES-FL-WatHeat</v>
      </c>
      <c r="F36" s="694">
        <f>IF('IDEES okt 2017 template'!D152&gt;0,'IDEES okt 2017 template'!D152,0.65)</f>
        <v>0.5</v>
      </c>
      <c r="G36" s="694">
        <f>IF('IDEES okt 2017 template'!E152&gt;0,'IDEES okt 2017 template'!E152,0.65)</f>
        <v>0.47</v>
      </c>
      <c r="H36" s="694">
        <f>IF('IDEES okt 2017 template'!F152&gt;0,'IDEES okt 2017 template'!F152,0.65)</f>
        <v>0.4</v>
      </c>
      <c r="I36" s="694">
        <f>IF('IDEES okt 2017 template'!G152&gt;0,'IDEES okt 2017 template'!G152,0.65)</f>
        <v>0.55000000000000004</v>
      </c>
      <c r="J36" s="694">
        <f>IF('IDEES okt 2017 template'!H152&gt;0,'IDEES okt 2017 template'!H152,0.65)</f>
        <v>0.35</v>
      </c>
      <c r="K36" s="694">
        <f>IF('IDEES okt 2017 template'!I152&gt;0,'IDEES okt 2017 template'!I152,0.65)</f>
        <v>0.42</v>
      </c>
      <c r="L36" s="694">
        <f>IF('IDEES okt 2017 template'!J152&gt;0,'IDEES okt 2017 template'!J152,0.65)</f>
        <v>0.55000000000000004</v>
      </c>
      <c r="M36" s="694">
        <f>IF('IDEES okt 2017 template'!K152&gt;0,'IDEES okt 2017 template'!K152,0.65)</f>
        <v>0.52</v>
      </c>
      <c r="N36" s="694">
        <f>IF('IDEES okt 2017 template'!L152&gt;0,'IDEES okt 2017 template'!L152,0.65)</f>
        <v>0.45</v>
      </c>
      <c r="O36" s="694">
        <f>IF('IDEES okt 2017 template'!M152&gt;0,'IDEES okt 2017 template'!M152,0.65)</f>
        <v>0.45</v>
      </c>
      <c r="P36" s="694">
        <f>IF('IDEES okt 2017 template'!N152&gt;0,'IDEES okt 2017 template'!N152,0.65)</f>
        <v>0.52</v>
      </c>
      <c r="Q36" s="694">
        <f>IF('IDEES okt 2017 template'!O152&gt;0,'IDEES okt 2017 template'!O152,0.65)</f>
        <v>0.5</v>
      </c>
      <c r="R36" s="694">
        <f>IF('IDEES okt 2017 template'!P152&gt;0,'IDEES okt 2017 template'!P152,0.65)</f>
        <v>0.42</v>
      </c>
      <c r="S36" s="694">
        <f>IF('IDEES okt 2017 template'!Q152&gt;0,'IDEES okt 2017 template'!Q152,0.65)</f>
        <v>0.43</v>
      </c>
      <c r="T36" s="694">
        <f>IF('IDEES okt 2017 template'!R152&gt;0,'IDEES okt 2017 template'!R152,0.65)</f>
        <v>0.41</v>
      </c>
      <c r="U36" s="694">
        <f>IF('IDEES okt 2017 template'!S152&gt;0,'IDEES okt 2017 template'!S152,0.65)</f>
        <v>0.48</v>
      </c>
      <c r="V36" s="694">
        <f>IF('IDEES okt 2017 template'!T152&gt;0,'IDEES okt 2017 template'!T152,0.65)</f>
        <v>0.52</v>
      </c>
      <c r="W36" s="694">
        <f>IF('IDEES okt 2017 template'!U152&gt;0,'IDEES okt 2017 template'!U152,0.65)</f>
        <v>0.46</v>
      </c>
      <c r="X36" s="694">
        <f>IF('IDEES okt 2017 template'!V152&gt;0,'IDEES okt 2017 template'!V152,0.65)</f>
        <v>0.42</v>
      </c>
      <c r="Y36" s="694">
        <f>IF('IDEES okt 2017 template'!W152&gt;0,'IDEES okt 2017 template'!W152,0.65)</f>
        <v>0.5</v>
      </c>
      <c r="Z36" s="694">
        <f>IF('IDEES okt 2017 template'!X152&gt;0,'IDEES okt 2017 template'!X152,0.65)</f>
        <v>0.45</v>
      </c>
      <c r="AA36" s="694">
        <f>IF('IDEES okt 2017 template'!Y152&gt;0,'IDEES okt 2017 template'!Y152,0.65)</f>
        <v>0.65</v>
      </c>
      <c r="AB36" s="694">
        <f>IF('IDEES okt 2017 template'!Z152&gt;0,'IDEES okt 2017 template'!Z152,0.65)</f>
        <v>0.51</v>
      </c>
      <c r="AC36" s="694">
        <f>IF('IDEES okt 2017 template'!AA152&gt;0,'IDEES okt 2017 template'!AA152,0.65)</f>
        <v>0.52</v>
      </c>
      <c r="AD36" s="694">
        <f>IF('IDEES okt 2017 template'!AB152&gt;0,'IDEES okt 2017 template'!AB152,0.65)</f>
        <v>0.45</v>
      </c>
      <c r="AE36" s="694">
        <f>IF('IDEES okt 2017 template'!AC152&gt;0,'IDEES okt 2017 template'!AC152,0.65)</f>
        <v>0.46</v>
      </c>
      <c r="AF36" s="694">
        <f>IF('IDEES okt 2017 template'!AD152&gt;0,'IDEES okt 2017 template'!AD152,0.65)</f>
        <v>0.4</v>
      </c>
      <c r="AG36" s="694">
        <f>IF('IDEES okt 2017 template'!AE152&gt;0,'IDEES okt 2017 template'!AE152,0.65)</f>
        <v>0.45</v>
      </c>
      <c r="AH36" s="694">
        <f>IF('IDEES okt 2017 template'!AF152&gt;0,'IDEES okt 2017 template'!AF152,0.65)</f>
        <v>0.48</v>
      </c>
      <c r="AI36" s="694">
        <f>IF('IDEES okt 2017 template'!AG152&gt;0,'IDEES okt 2017 template'!AG152,0.65)</f>
        <v>0.4</v>
      </c>
      <c r="AJ36" s="694">
        <f>IF('IDEES okt 2017 template'!AH152&gt;0,'IDEES okt 2017 template'!AH152,0.65)</f>
        <v>0.65</v>
      </c>
      <c r="AK36" s="694">
        <f>IF('IDEES okt 2017 template'!AI152&gt;0,'IDEES okt 2017 template'!AI152,0.65)</f>
        <v>0.42</v>
      </c>
      <c r="AL36" s="694">
        <f>IF('IDEES okt 2017 template'!AJ152&gt;0,'IDEES okt 2017 template'!AJ152,0.65)</f>
        <v>0.43</v>
      </c>
      <c r="AM36" s="694">
        <f>IF('IDEES okt 2017 template'!AK152&gt;0,'IDEES okt 2017 template'!AK152,0.65)</f>
        <v>0.43</v>
      </c>
      <c r="AN36" s="694">
        <f>IF('IDEES okt 2017 template'!AL152&gt;0,'IDEES okt 2017 template'!AL152,0.65)</f>
        <v>0.42</v>
      </c>
      <c r="AO36" s="694">
        <f>IF('IDEES okt 2017 template'!AM152&gt;0,'IDEES okt 2017 template'!AM152,0.65)</f>
        <v>0.43</v>
      </c>
      <c r="AP36" s="694">
        <f>IF('IDEES okt 2017 template'!AN152&gt;0,'IDEES okt 2017 template'!AN152,0.65)</f>
        <v>0.43</v>
      </c>
      <c r="AQ36" s="509"/>
      <c r="AR36" s="509"/>
      <c r="AS36" s="509"/>
      <c r="AT36" s="509"/>
    </row>
    <row r="37" spans="1:46">
      <c r="A37" t="str">
        <f t="shared" si="8"/>
        <v>Solids</v>
      </c>
      <c r="C37" t="str">
        <f t="shared" si="9"/>
        <v>R_ES-WH-FL_COA</v>
      </c>
      <c r="E37" t="str">
        <f t="shared" si="10"/>
        <v>R_ES-FL-WatHeat</v>
      </c>
      <c r="F37" s="694">
        <f>IF('IDEES okt 2017 template'!D159&gt;0,'IDEES okt 2017 template'!D159,0.65)</f>
        <v>0.51</v>
      </c>
      <c r="G37" s="694">
        <f>IF('IDEES okt 2017 template'!E159&gt;0,'IDEES okt 2017 template'!E159,0.65)</f>
        <v>0.65</v>
      </c>
      <c r="H37" s="694">
        <f>IF('IDEES okt 2017 template'!F159&gt;0,'IDEES okt 2017 template'!F159,0.65)</f>
        <v>0.41</v>
      </c>
      <c r="I37" s="694">
        <f>IF('IDEES okt 2017 template'!G159&gt;0,'IDEES okt 2017 template'!G159,0.65)</f>
        <v>0.65</v>
      </c>
      <c r="J37" s="694">
        <f>IF('IDEES okt 2017 template'!H159&gt;0,'IDEES okt 2017 template'!H159,0.65)</f>
        <v>0.65</v>
      </c>
      <c r="K37" s="694">
        <f>IF('IDEES okt 2017 template'!I159&gt;0,'IDEES okt 2017 template'!I159,0.65)</f>
        <v>0.44</v>
      </c>
      <c r="L37" s="694">
        <f>IF('IDEES okt 2017 template'!J159&gt;0,'IDEES okt 2017 template'!J159,0.65)</f>
        <v>0.65</v>
      </c>
      <c r="M37" s="694">
        <f>IF('IDEES okt 2017 template'!K159&gt;0,'IDEES okt 2017 template'!K159,0.65)</f>
        <v>0.65</v>
      </c>
      <c r="N37" s="694">
        <f>IF('IDEES okt 2017 template'!L159&gt;0,'IDEES okt 2017 template'!L159,0.65)</f>
        <v>0.65</v>
      </c>
      <c r="O37" s="694">
        <f>IF('IDEES okt 2017 template'!M159&gt;0,'IDEES okt 2017 template'!M159,0.65)</f>
        <v>0.65</v>
      </c>
      <c r="P37" s="694">
        <f>IF('IDEES okt 2017 template'!N159&gt;0,'IDEES okt 2017 template'!N159,0.65)</f>
        <v>0.65</v>
      </c>
      <c r="Q37" s="694">
        <f>IF('IDEES okt 2017 template'!O159&gt;0,'IDEES okt 2017 template'!O159,0.65)</f>
        <v>0.65</v>
      </c>
      <c r="R37" s="694">
        <f>IF('IDEES okt 2017 template'!P159&gt;0,'IDEES okt 2017 template'!P159,0.65)</f>
        <v>0.65</v>
      </c>
      <c r="S37" s="694">
        <f>IF('IDEES okt 2017 template'!Q159&gt;0,'IDEES okt 2017 template'!Q159,0.65)</f>
        <v>0.65</v>
      </c>
      <c r="T37" s="694">
        <f>IF('IDEES okt 2017 template'!R159&gt;0,'IDEES okt 2017 template'!R159,0.65)</f>
        <v>0.42</v>
      </c>
      <c r="U37" s="694">
        <f>IF('IDEES okt 2017 template'!S159&gt;0,'IDEES okt 2017 template'!S159,0.65)</f>
        <v>0.5</v>
      </c>
      <c r="V37" s="694">
        <f>IF('IDEES okt 2017 template'!T159&gt;0,'IDEES okt 2017 template'!T159,0.65)</f>
        <v>0.65</v>
      </c>
      <c r="W37" s="694">
        <f>IF('IDEES okt 2017 template'!U159&gt;0,'IDEES okt 2017 template'!U159,0.65)</f>
        <v>0.65</v>
      </c>
      <c r="X37" s="694">
        <f>IF('IDEES okt 2017 template'!V159&gt;0,'IDEES okt 2017 template'!V159,0.65)</f>
        <v>0.65</v>
      </c>
      <c r="Y37" s="694">
        <f>IF('IDEES okt 2017 template'!W159&gt;0,'IDEES okt 2017 template'!W159,0.65)</f>
        <v>0.65</v>
      </c>
      <c r="Z37" s="694">
        <f>IF('IDEES okt 2017 template'!X159&gt;0,'IDEES okt 2017 template'!X159,0.65)</f>
        <v>0.65</v>
      </c>
      <c r="AA37" s="694">
        <f>IF('IDEES okt 2017 template'!Y159&gt;0,'IDEES okt 2017 template'!Y159,0.65)</f>
        <v>0.65</v>
      </c>
      <c r="AB37" s="694">
        <f>IF('IDEES okt 2017 template'!Z159&gt;0,'IDEES okt 2017 template'!Z159,0.65)</f>
        <v>0.65</v>
      </c>
      <c r="AC37" s="694">
        <f>IF('IDEES okt 2017 template'!AA159&gt;0,'IDEES okt 2017 template'!AA159,0.65)</f>
        <v>0.51</v>
      </c>
      <c r="AD37" s="694">
        <f>IF('IDEES okt 2017 template'!AB159&gt;0,'IDEES okt 2017 template'!AB159,0.65)</f>
        <v>0.46</v>
      </c>
      <c r="AE37" s="694">
        <f>IF('IDEES okt 2017 template'!AC159&gt;0,'IDEES okt 2017 template'!AC159,0.65)</f>
        <v>0.65</v>
      </c>
      <c r="AF37" s="694">
        <f>IF('IDEES okt 2017 template'!AD159&gt;0,'IDEES okt 2017 template'!AD159,0.65)</f>
        <v>0.65</v>
      </c>
      <c r="AG37" s="694">
        <f>IF('IDEES okt 2017 template'!AE159&gt;0,'IDEES okt 2017 template'!AE159,0.65)</f>
        <v>0.65</v>
      </c>
      <c r="AH37" s="694">
        <f>IF('IDEES okt 2017 template'!AF159&gt;0,'IDEES okt 2017 template'!AF159,0.65)</f>
        <v>0.65</v>
      </c>
      <c r="AI37" s="694">
        <f>IF('IDEES okt 2017 template'!AG159&gt;0,'IDEES okt 2017 template'!AG159,0.65)</f>
        <v>0.65</v>
      </c>
      <c r="AJ37" s="694">
        <f>IF('IDEES okt 2017 template'!AH159&gt;0,'IDEES okt 2017 template'!AH159,0.65)</f>
        <v>0.5</v>
      </c>
      <c r="AK37" s="694">
        <f>IF('IDEES okt 2017 template'!AI159&gt;0,'IDEES okt 2017 template'!AI159,0.65)</f>
        <v>0.65</v>
      </c>
      <c r="AL37" s="694">
        <f>IF('IDEES okt 2017 template'!AJ159&gt;0,'IDEES okt 2017 template'!AJ159,0.65)</f>
        <v>0.65</v>
      </c>
      <c r="AM37" s="694">
        <f>IF('IDEES okt 2017 template'!AK159&gt;0,'IDEES okt 2017 template'!AK159,0.65)</f>
        <v>0.65</v>
      </c>
      <c r="AN37" s="694">
        <f>IF('IDEES okt 2017 template'!AL159&gt;0,'IDEES okt 2017 template'!AL159,0.65)</f>
        <v>0.65</v>
      </c>
      <c r="AO37" s="694">
        <f>IF('IDEES okt 2017 template'!AM159&gt;0,'IDEES okt 2017 template'!AM159,0.65)</f>
        <v>0.65</v>
      </c>
      <c r="AP37" s="694">
        <f>IF('IDEES okt 2017 template'!AN159&gt;0,'IDEES okt 2017 template'!AN159,0.65)</f>
        <v>0.65</v>
      </c>
      <c r="AQ37" s="509"/>
      <c r="AR37" s="509"/>
      <c r="AS37" s="509"/>
      <c r="AT37" s="509"/>
    </row>
    <row r="38" spans="1:46">
      <c r="A38" t="str">
        <f t="shared" si="8"/>
        <v>LPG</v>
      </c>
      <c r="C38" t="str">
        <f t="shared" si="9"/>
        <v>R_ES-WH-FL_LPG</v>
      </c>
      <c r="E38" t="str">
        <f t="shared" si="10"/>
        <v>R_ES-FL-WatHeat</v>
      </c>
      <c r="F38" s="694">
        <f>IF('IDEES okt 2017 template'!D157&gt;0,'IDEES okt 2017 template'!D157,0.65)</f>
        <v>0.6</v>
      </c>
      <c r="G38" s="694">
        <f>IF('IDEES okt 2017 template'!E157&gt;0,'IDEES okt 2017 template'!E157,0.65)</f>
        <v>0.56999999999999995</v>
      </c>
      <c r="H38" s="694">
        <f>IF('IDEES okt 2017 template'!F157&gt;0,'IDEES okt 2017 template'!F157,0.65)</f>
        <v>0.48</v>
      </c>
      <c r="I38" s="694">
        <f>IF('IDEES okt 2017 template'!G157&gt;0,'IDEES okt 2017 template'!G157,0.65)</f>
        <v>0.66</v>
      </c>
      <c r="J38" s="694">
        <f>IF('IDEES okt 2017 template'!H157&gt;0,'IDEES okt 2017 template'!H157,0.65)</f>
        <v>0.42</v>
      </c>
      <c r="K38" s="694">
        <f>IF('IDEES okt 2017 template'!I157&gt;0,'IDEES okt 2017 template'!I157,0.65)</f>
        <v>0.51</v>
      </c>
      <c r="L38" s="694">
        <f>IF('IDEES okt 2017 template'!J157&gt;0,'IDEES okt 2017 template'!J157,0.65)</f>
        <v>0.66</v>
      </c>
      <c r="M38" s="694">
        <f>IF('IDEES okt 2017 template'!K157&gt;0,'IDEES okt 2017 template'!K157,0.65)</f>
        <v>0.63</v>
      </c>
      <c r="N38" s="694">
        <f>IF('IDEES okt 2017 template'!L157&gt;0,'IDEES okt 2017 template'!L157,0.65)</f>
        <v>0.54</v>
      </c>
      <c r="O38" s="694">
        <f>IF('IDEES okt 2017 template'!M157&gt;0,'IDEES okt 2017 template'!M157,0.65)</f>
        <v>0.54</v>
      </c>
      <c r="P38" s="694">
        <f>IF('IDEES okt 2017 template'!N157&gt;0,'IDEES okt 2017 template'!N157,0.65)</f>
        <v>0.63</v>
      </c>
      <c r="Q38" s="694">
        <f>IF('IDEES okt 2017 template'!O157&gt;0,'IDEES okt 2017 template'!O157,0.65)</f>
        <v>0.6</v>
      </c>
      <c r="R38" s="694">
        <f>IF('IDEES okt 2017 template'!P157&gt;0,'IDEES okt 2017 template'!P157,0.65)</f>
        <v>0.51</v>
      </c>
      <c r="S38" s="694">
        <f>IF('IDEES okt 2017 template'!Q157&gt;0,'IDEES okt 2017 template'!Q157,0.65)</f>
        <v>0.52</v>
      </c>
      <c r="T38" s="694">
        <f>IF('IDEES okt 2017 template'!R157&gt;0,'IDEES okt 2017 template'!R157,0.65)</f>
        <v>0.49</v>
      </c>
      <c r="U38" s="694">
        <f>IF('IDEES okt 2017 template'!S157&gt;0,'IDEES okt 2017 template'!S157,0.65)</f>
        <v>0.57999999999999996</v>
      </c>
      <c r="V38" s="694">
        <f>IF('IDEES okt 2017 template'!T157&gt;0,'IDEES okt 2017 template'!T157,0.65)</f>
        <v>0.63</v>
      </c>
      <c r="W38" s="694">
        <f>IF('IDEES okt 2017 template'!U157&gt;0,'IDEES okt 2017 template'!U157,0.65)</f>
        <v>0.56000000000000005</v>
      </c>
      <c r="X38" s="694">
        <f>IF('IDEES okt 2017 template'!V157&gt;0,'IDEES okt 2017 template'!V157,0.65)</f>
        <v>0.51</v>
      </c>
      <c r="Y38" s="694">
        <f>IF('IDEES okt 2017 template'!W157&gt;0,'IDEES okt 2017 template'!W157,0.65)</f>
        <v>0.6</v>
      </c>
      <c r="Z38" s="694">
        <f>IF('IDEES okt 2017 template'!X157&gt;0,'IDEES okt 2017 template'!X157,0.65)</f>
        <v>0.54</v>
      </c>
      <c r="AA38" s="694">
        <f>IF('IDEES okt 2017 template'!Y157&gt;0,'IDEES okt 2017 template'!Y157,0.65)</f>
        <v>0.45</v>
      </c>
      <c r="AB38" s="694">
        <f>IF('IDEES okt 2017 template'!Z157&gt;0,'IDEES okt 2017 template'!Z157,0.65)</f>
        <v>0.61499999999999999</v>
      </c>
      <c r="AC38" s="694">
        <f>IF('IDEES okt 2017 template'!AA157&gt;0,'IDEES okt 2017 template'!AA157,0.65)</f>
        <v>0.63</v>
      </c>
      <c r="AD38" s="694">
        <f>IF('IDEES okt 2017 template'!AB157&gt;0,'IDEES okt 2017 template'!AB157,0.65)</f>
        <v>0.54</v>
      </c>
      <c r="AE38" s="694">
        <f>IF('IDEES okt 2017 template'!AC157&gt;0,'IDEES okt 2017 template'!AC157,0.65)</f>
        <v>0.56000000000000005</v>
      </c>
      <c r="AF38" s="694">
        <f>IF('IDEES okt 2017 template'!AD157&gt;0,'IDEES okt 2017 template'!AD157,0.65)</f>
        <v>0.48</v>
      </c>
      <c r="AG38" s="694">
        <f>IF('IDEES okt 2017 template'!AE157&gt;0,'IDEES okt 2017 template'!AE157,0.65)</f>
        <v>0.65</v>
      </c>
      <c r="AH38" s="694">
        <f>IF('IDEES okt 2017 template'!AF157&gt;0,'IDEES okt 2017 template'!AF157,0.65)</f>
        <v>0.57999999999999996</v>
      </c>
      <c r="AI38" s="694">
        <f>IF('IDEES okt 2017 template'!AG157&gt;0,'IDEES okt 2017 template'!AG157,0.65)</f>
        <v>0.48</v>
      </c>
      <c r="AJ38" s="694">
        <f>IF('IDEES okt 2017 template'!AH157&gt;0,'IDEES okt 2017 template'!AH157,0.65)</f>
        <v>0.57999999999999996</v>
      </c>
      <c r="AK38" s="694">
        <f>IF('IDEES okt 2017 template'!AI157&gt;0,'IDEES okt 2017 template'!AI157,0.65)</f>
        <v>0.51</v>
      </c>
      <c r="AL38" s="694">
        <f>IF('IDEES okt 2017 template'!AJ157&gt;0,'IDEES okt 2017 template'!AJ157,0.65)</f>
        <v>0.52</v>
      </c>
      <c r="AM38" s="694">
        <f>IF('IDEES okt 2017 template'!AK157&gt;0,'IDEES okt 2017 template'!AK157,0.65)</f>
        <v>0.52</v>
      </c>
      <c r="AN38" s="694">
        <f>IF('IDEES okt 2017 template'!AL157&gt;0,'IDEES okt 2017 template'!AL157,0.65)</f>
        <v>0.51</v>
      </c>
      <c r="AO38" s="694">
        <f>IF('IDEES okt 2017 template'!AM157&gt;0,'IDEES okt 2017 template'!AM157,0.65)</f>
        <v>0.52</v>
      </c>
      <c r="AP38" s="694">
        <f>IF('IDEES okt 2017 template'!AN157&gt;0,'IDEES okt 2017 template'!AN157,0.65)</f>
        <v>0.52</v>
      </c>
      <c r="AQ38" s="509"/>
      <c r="AR38" s="509"/>
      <c r="AS38" s="509"/>
      <c r="AT38" s="509"/>
    </row>
    <row r="39" spans="1:46">
      <c r="A39" t="str">
        <f t="shared" si="8"/>
        <v>Solar</v>
      </c>
      <c r="C39" t="str">
        <f t="shared" si="9"/>
        <v>R_ES-WH-FL_SOL</v>
      </c>
      <c r="E39" t="str">
        <f t="shared" si="10"/>
        <v>R_ES-FL-WatHeat</v>
      </c>
      <c r="F39" s="695">
        <f>F34</f>
        <v>0.89</v>
      </c>
      <c r="G39" s="695">
        <f t="shared" ref="G39:AP39" si="11">G34</f>
        <v>0.87</v>
      </c>
      <c r="H39" s="695">
        <f t="shared" si="11"/>
        <v>0.78</v>
      </c>
      <c r="I39" s="695">
        <f t="shared" si="11"/>
        <v>0.95</v>
      </c>
      <c r="J39" s="695">
        <f t="shared" si="11"/>
        <v>0.65</v>
      </c>
      <c r="K39" s="695">
        <f t="shared" si="11"/>
        <v>0.81</v>
      </c>
      <c r="L39" s="695">
        <f t="shared" si="11"/>
        <v>0.95</v>
      </c>
      <c r="M39" s="695">
        <f t="shared" si="11"/>
        <v>0.92</v>
      </c>
      <c r="N39" s="695">
        <f t="shared" si="11"/>
        <v>0.84</v>
      </c>
      <c r="O39" s="695">
        <f t="shared" si="11"/>
        <v>0.65</v>
      </c>
      <c r="P39" s="695">
        <f t="shared" si="11"/>
        <v>0.92</v>
      </c>
      <c r="Q39" s="695">
        <f t="shared" si="11"/>
        <v>0.89</v>
      </c>
      <c r="R39" s="695">
        <f t="shared" si="11"/>
        <v>0.81</v>
      </c>
      <c r="S39" s="695">
        <f t="shared" si="11"/>
        <v>0.82</v>
      </c>
      <c r="T39" s="695">
        <f t="shared" si="11"/>
        <v>0.8</v>
      </c>
      <c r="U39" s="695">
        <f t="shared" si="11"/>
        <v>0.65</v>
      </c>
      <c r="V39" s="695">
        <f t="shared" si="11"/>
        <v>0.92</v>
      </c>
      <c r="W39" s="695">
        <f t="shared" si="11"/>
        <v>0.85650557620817858</v>
      </c>
      <c r="X39" s="695">
        <f t="shared" si="11"/>
        <v>0.81</v>
      </c>
      <c r="Y39" s="695">
        <f t="shared" si="11"/>
        <v>0.65</v>
      </c>
      <c r="Z39" s="695">
        <f t="shared" si="11"/>
        <v>0.84</v>
      </c>
      <c r="AA39" s="695">
        <f t="shared" si="11"/>
        <v>0.65</v>
      </c>
      <c r="AB39" s="695">
        <f t="shared" si="11"/>
        <v>0.91</v>
      </c>
      <c r="AC39" s="695">
        <f t="shared" si="11"/>
        <v>0.92</v>
      </c>
      <c r="AD39" s="695">
        <f t="shared" si="11"/>
        <v>0.84</v>
      </c>
      <c r="AE39" s="695">
        <f t="shared" si="11"/>
        <v>0.86</v>
      </c>
      <c r="AF39" s="695">
        <f t="shared" si="11"/>
        <v>0.78</v>
      </c>
      <c r="AG39" s="695">
        <f t="shared" si="11"/>
        <v>0.84</v>
      </c>
      <c r="AH39" s="695">
        <f t="shared" si="11"/>
        <v>0.88</v>
      </c>
      <c r="AI39" s="695">
        <f t="shared" si="11"/>
        <v>0.78</v>
      </c>
      <c r="AJ39" s="695">
        <f t="shared" si="11"/>
        <v>0.65</v>
      </c>
      <c r="AK39" s="695">
        <f t="shared" si="11"/>
        <v>0.81</v>
      </c>
      <c r="AL39" s="695">
        <f t="shared" si="11"/>
        <v>0.82</v>
      </c>
      <c r="AM39" s="695">
        <f t="shared" si="11"/>
        <v>0.82</v>
      </c>
      <c r="AN39" s="695">
        <f t="shared" si="11"/>
        <v>0.81</v>
      </c>
      <c r="AO39" s="695">
        <f t="shared" si="11"/>
        <v>0.82</v>
      </c>
      <c r="AP39" s="695">
        <f t="shared" si="11"/>
        <v>0.82</v>
      </c>
      <c r="AQ39" s="509"/>
      <c r="AR39" s="509"/>
      <c r="AS39" s="509"/>
      <c r="AT39" s="509"/>
    </row>
    <row r="40" spans="1:46">
      <c r="A40" t="str">
        <f t="shared" si="8"/>
        <v>Electricity</v>
      </c>
      <c r="C40" t="str">
        <f t="shared" si="9"/>
        <v>R_ES-WH-DH_ELC</v>
      </c>
      <c r="E40" t="str">
        <f t="shared" si="10"/>
        <v>R_ES-DH-WatHeat</v>
      </c>
      <c r="F40" s="694">
        <f>F32</f>
        <v>0.76</v>
      </c>
      <c r="G40" s="694">
        <f t="shared" ref="G40:AP47" si="12">G32</f>
        <v>0.73</v>
      </c>
      <c r="H40" s="694">
        <f t="shared" si="12"/>
        <v>0.61</v>
      </c>
      <c r="I40" s="694">
        <f t="shared" si="12"/>
        <v>0.84</v>
      </c>
      <c r="J40" s="694">
        <f t="shared" si="12"/>
        <v>0.54</v>
      </c>
      <c r="K40" s="694">
        <f t="shared" si="12"/>
        <v>0.65</v>
      </c>
      <c r="L40" s="694">
        <f t="shared" si="12"/>
        <v>0.84</v>
      </c>
      <c r="M40" s="694">
        <f t="shared" si="12"/>
        <v>0.8</v>
      </c>
      <c r="N40" s="694">
        <f t="shared" si="12"/>
        <v>0.69</v>
      </c>
      <c r="O40" s="694">
        <f t="shared" si="12"/>
        <v>0.69</v>
      </c>
      <c r="P40" s="694">
        <f t="shared" si="12"/>
        <v>0.8</v>
      </c>
      <c r="Q40" s="694">
        <f t="shared" si="12"/>
        <v>0.76</v>
      </c>
      <c r="R40" s="694">
        <f t="shared" si="12"/>
        <v>0.65</v>
      </c>
      <c r="S40" s="694">
        <f t="shared" si="12"/>
        <v>0.67</v>
      </c>
      <c r="T40" s="694">
        <f t="shared" si="12"/>
        <v>0.63</v>
      </c>
      <c r="U40" s="694">
        <f t="shared" si="12"/>
        <v>0.74</v>
      </c>
      <c r="V40" s="694">
        <f t="shared" si="12"/>
        <v>0.8</v>
      </c>
      <c r="W40" s="694">
        <f t="shared" si="12"/>
        <v>0.71</v>
      </c>
      <c r="X40" s="694">
        <f t="shared" si="12"/>
        <v>0.65</v>
      </c>
      <c r="Y40" s="694">
        <f t="shared" si="12"/>
        <v>0.76</v>
      </c>
      <c r="Z40" s="694">
        <f t="shared" si="12"/>
        <v>0.69</v>
      </c>
      <c r="AA40" s="694">
        <f t="shared" si="12"/>
        <v>0.57999999999999996</v>
      </c>
      <c r="AB40" s="694">
        <f t="shared" si="12"/>
        <v>0.78500000000000003</v>
      </c>
      <c r="AC40" s="694">
        <f t="shared" si="12"/>
        <v>0.8</v>
      </c>
      <c r="AD40" s="694">
        <f t="shared" si="12"/>
        <v>0.69</v>
      </c>
      <c r="AE40" s="694">
        <f t="shared" si="12"/>
        <v>0.71</v>
      </c>
      <c r="AF40" s="694">
        <f t="shared" si="12"/>
        <v>0.61</v>
      </c>
      <c r="AG40" s="694">
        <f t="shared" si="12"/>
        <v>0.69</v>
      </c>
      <c r="AH40" s="694">
        <f t="shared" si="12"/>
        <v>0.74</v>
      </c>
      <c r="AI40" s="694">
        <f t="shared" si="12"/>
        <v>0.61</v>
      </c>
      <c r="AJ40" s="694">
        <f t="shared" si="12"/>
        <v>0.74</v>
      </c>
      <c r="AK40" s="694">
        <f t="shared" si="12"/>
        <v>0.65</v>
      </c>
      <c r="AL40" s="694">
        <f t="shared" si="12"/>
        <v>0.67</v>
      </c>
      <c r="AM40" s="694">
        <f t="shared" si="12"/>
        <v>0.67</v>
      </c>
      <c r="AN40" s="694">
        <f t="shared" si="12"/>
        <v>0.65</v>
      </c>
      <c r="AO40" s="694">
        <f t="shared" si="12"/>
        <v>0.67</v>
      </c>
      <c r="AP40" s="694">
        <f t="shared" si="12"/>
        <v>0.67</v>
      </c>
      <c r="AQ40" s="509"/>
      <c r="AR40" s="509"/>
      <c r="AS40" s="509"/>
      <c r="AT40" s="509"/>
    </row>
    <row r="41" spans="1:46">
      <c r="A41" t="str">
        <f t="shared" si="8"/>
        <v>Gases</v>
      </c>
      <c r="C41" t="str">
        <f t="shared" si="9"/>
        <v>R_ES-WH-DH_GAS</v>
      </c>
      <c r="E41" t="str">
        <f t="shared" si="10"/>
        <v>R_ES-DH-WatHeat</v>
      </c>
      <c r="F41" s="694">
        <f t="shared" ref="F41:U47" si="13">F33</f>
        <v>0.62</v>
      </c>
      <c r="G41" s="694">
        <f t="shared" si="13"/>
        <v>0.59</v>
      </c>
      <c r="H41" s="694">
        <f t="shared" si="13"/>
        <v>0.5</v>
      </c>
      <c r="I41" s="694">
        <f t="shared" si="13"/>
        <v>0.68</v>
      </c>
      <c r="J41" s="694">
        <f t="shared" si="13"/>
        <v>0.65</v>
      </c>
      <c r="K41" s="694">
        <f t="shared" si="13"/>
        <v>0.53</v>
      </c>
      <c r="L41" s="694">
        <f t="shared" si="13"/>
        <v>0.68</v>
      </c>
      <c r="M41" s="694">
        <f t="shared" si="13"/>
        <v>0.65</v>
      </c>
      <c r="N41" s="694">
        <f t="shared" si="13"/>
        <v>0.56000000000000005</v>
      </c>
      <c r="O41" s="694">
        <f t="shared" si="13"/>
        <v>0.56000000000000005</v>
      </c>
      <c r="P41" s="694">
        <f t="shared" si="13"/>
        <v>0.65</v>
      </c>
      <c r="Q41" s="694">
        <f t="shared" si="13"/>
        <v>0.62</v>
      </c>
      <c r="R41" s="694">
        <f t="shared" si="13"/>
        <v>0.53</v>
      </c>
      <c r="S41" s="694">
        <f t="shared" si="13"/>
        <v>0.54</v>
      </c>
      <c r="T41" s="694">
        <f t="shared" si="13"/>
        <v>0.51</v>
      </c>
      <c r="U41" s="694">
        <f t="shared" si="13"/>
        <v>0.6</v>
      </c>
      <c r="V41" s="694">
        <f t="shared" si="12"/>
        <v>0.65</v>
      </c>
      <c r="W41" s="694">
        <f t="shared" si="12"/>
        <v>0.57999999999999996</v>
      </c>
      <c r="X41" s="694">
        <f t="shared" si="12"/>
        <v>0.53</v>
      </c>
      <c r="Y41" s="694">
        <f t="shared" si="12"/>
        <v>0.62</v>
      </c>
      <c r="Z41" s="694">
        <f t="shared" si="12"/>
        <v>0.56000000000000005</v>
      </c>
      <c r="AA41" s="694">
        <f t="shared" si="12"/>
        <v>0.65</v>
      </c>
      <c r="AB41" s="694">
        <f t="shared" si="12"/>
        <v>0.64</v>
      </c>
      <c r="AC41" s="694">
        <f t="shared" si="12"/>
        <v>0.65</v>
      </c>
      <c r="AD41" s="694">
        <f t="shared" si="12"/>
        <v>0.56000000000000005</v>
      </c>
      <c r="AE41" s="694">
        <f t="shared" si="12"/>
        <v>0.57999999999999996</v>
      </c>
      <c r="AF41" s="694">
        <f t="shared" si="12"/>
        <v>0.5</v>
      </c>
      <c r="AG41" s="694">
        <f t="shared" si="12"/>
        <v>0.56000000000000005</v>
      </c>
      <c r="AH41" s="694">
        <f t="shared" si="12"/>
        <v>0.6</v>
      </c>
      <c r="AI41" s="694">
        <f t="shared" si="12"/>
        <v>0.5</v>
      </c>
      <c r="AJ41" s="694">
        <f t="shared" si="12"/>
        <v>0.6</v>
      </c>
      <c r="AK41" s="694">
        <f t="shared" si="12"/>
        <v>0.53</v>
      </c>
      <c r="AL41" s="694">
        <f t="shared" si="12"/>
        <v>0.54</v>
      </c>
      <c r="AM41" s="694">
        <f t="shared" si="12"/>
        <v>0.54</v>
      </c>
      <c r="AN41" s="694">
        <f t="shared" si="12"/>
        <v>0.53</v>
      </c>
      <c r="AO41" s="694">
        <f t="shared" si="12"/>
        <v>0.54</v>
      </c>
      <c r="AP41" s="694">
        <f t="shared" si="12"/>
        <v>0.54</v>
      </c>
      <c r="AQ41" s="509"/>
      <c r="AR41" s="509"/>
      <c r="AS41" s="509"/>
      <c r="AT41" s="509"/>
    </row>
    <row r="42" spans="1:46">
      <c r="A42" t="str">
        <f t="shared" si="8"/>
        <v>Derived heat</v>
      </c>
      <c r="C42" t="str">
        <f t="shared" si="9"/>
        <v>R_ES-WH-DH_HET</v>
      </c>
      <c r="E42" t="str">
        <f t="shared" si="10"/>
        <v>R_ES-DH-WatHeat</v>
      </c>
      <c r="F42" s="694">
        <f t="shared" si="13"/>
        <v>0.89</v>
      </c>
      <c r="G42" s="694">
        <f t="shared" si="12"/>
        <v>0.87</v>
      </c>
      <c r="H42" s="694">
        <f t="shared" si="12"/>
        <v>0.78</v>
      </c>
      <c r="I42" s="694">
        <f t="shared" si="12"/>
        <v>0.95</v>
      </c>
      <c r="J42" s="694">
        <f t="shared" si="12"/>
        <v>0.65</v>
      </c>
      <c r="K42" s="694">
        <f t="shared" si="12"/>
        <v>0.81</v>
      </c>
      <c r="L42" s="694">
        <f t="shared" si="12"/>
        <v>0.95</v>
      </c>
      <c r="M42" s="694">
        <f t="shared" si="12"/>
        <v>0.92</v>
      </c>
      <c r="N42" s="694">
        <f t="shared" si="12"/>
        <v>0.84</v>
      </c>
      <c r="O42" s="694">
        <f t="shared" si="12"/>
        <v>0.65</v>
      </c>
      <c r="P42" s="694">
        <f t="shared" si="12"/>
        <v>0.92</v>
      </c>
      <c r="Q42" s="694">
        <f t="shared" si="12"/>
        <v>0.89</v>
      </c>
      <c r="R42" s="694">
        <f t="shared" si="12"/>
        <v>0.81</v>
      </c>
      <c r="S42" s="694">
        <f t="shared" si="12"/>
        <v>0.82</v>
      </c>
      <c r="T42" s="694">
        <f t="shared" si="12"/>
        <v>0.8</v>
      </c>
      <c r="U42" s="694">
        <f t="shared" si="12"/>
        <v>0.65</v>
      </c>
      <c r="V42" s="694">
        <f t="shared" si="12"/>
        <v>0.92</v>
      </c>
      <c r="W42" s="694">
        <f t="shared" si="12"/>
        <v>0.85650557620817858</v>
      </c>
      <c r="X42" s="694">
        <f t="shared" si="12"/>
        <v>0.81</v>
      </c>
      <c r="Y42" s="694">
        <f t="shared" si="12"/>
        <v>0.65</v>
      </c>
      <c r="Z42" s="694">
        <f t="shared" si="12"/>
        <v>0.84</v>
      </c>
      <c r="AA42" s="694">
        <f t="shared" si="12"/>
        <v>0.65</v>
      </c>
      <c r="AB42" s="694">
        <f t="shared" si="12"/>
        <v>0.91</v>
      </c>
      <c r="AC42" s="694">
        <f t="shared" si="12"/>
        <v>0.92</v>
      </c>
      <c r="AD42" s="694">
        <f t="shared" si="12"/>
        <v>0.84</v>
      </c>
      <c r="AE42" s="694">
        <f t="shared" si="12"/>
        <v>0.86</v>
      </c>
      <c r="AF42" s="694">
        <f t="shared" si="12"/>
        <v>0.78</v>
      </c>
      <c r="AG42" s="694">
        <f t="shared" si="12"/>
        <v>0.84</v>
      </c>
      <c r="AH42" s="694">
        <f t="shared" si="12"/>
        <v>0.88</v>
      </c>
      <c r="AI42" s="694">
        <f t="shared" si="12"/>
        <v>0.78</v>
      </c>
      <c r="AJ42" s="694">
        <f t="shared" si="12"/>
        <v>0.65</v>
      </c>
      <c r="AK42" s="694">
        <f t="shared" si="12"/>
        <v>0.81</v>
      </c>
      <c r="AL42" s="694">
        <f t="shared" si="12"/>
        <v>0.82</v>
      </c>
      <c r="AM42" s="694">
        <f t="shared" si="12"/>
        <v>0.82</v>
      </c>
      <c r="AN42" s="694">
        <f t="shared" si="12"/>
        <v>0.81</v>
      </c>
      <c r="AO42" s="694">
        <f t="shared" si="12"/>
        <v>0.82</v>
      </c>
      <c r="AP42" s="694">
        <f t="shared" si="12"/>
        <v>0.82</v>
      </c>
      <c r="AQ42" s="509"/>
      <c r="AR42" s="509"/>
      <c r="AS42" s="509"/>
      <c r="AT42" s="509"/>
    </row>
    <row r="43" spans="1:46">
      <c r="A43" t="str">
        <f t="shared" si="8"/>
        <v>GDO and other liquids (incl. liq. bio.)</v>
      </c>
      <c r="C43" t="str">
        <f t="shared" si="9"/>
        <v>R_ES-WH-DH_OIL</v>
      </c>
      <c r="E43" t="str">
        <f t="shared" si="10"/>
        <v>R_ES-DH-WatHeat</v>
      </c>
      <c r="F43" s="694">
        <f t="shared" si="13"/>
        <v>0.57999999999999996</v>
      </c>
      <c r="G43" s="694">
        <f t="shared" si="12"/>
        <v>0.55000000000000004</v>
      </c>
      <c r="H43" s="694">
        <f t="shared" si="12"/>
        <v>0.65</v>
      </c>
      <c r="I43" s="694">
        <f t="shared" si="12"/>
        <v>0.64</v>
      </c>
      <c r="J43" s="694">
        <f t="shared" si="12"/>
        <v>0.41</v>
      </c>
      <c r="K43" s="694">
        <f t="shared" si="12"/>
        <v>0.65</v>
      </c>
      <c r="L43" s="694">
        <f t="shared" si="12"/>
        <v>0.64</v>
      </c>
      <c r="M43" s="694">
        <f t="shared" si="12"/>
        <v>0.61</v>
      </c>
      <c r="N43" s="694">
        <f t="shared" si="12"/>
        <v>0.52</v>
      </c>
      <c r="O43" s="694">
        <f t="shared" si="12"/>
        <v>0.52</v>
      </c>
      <c r="P43" s="694">
        <f t="shared" si="12"/>
        <v>0.61</v>
      </c>
      <c r="Q43" s="694">
        <f t="shared" si="12"/>
        <v>0.57999999999999996</v>
      </c>
      <c r="R43" s="694">
        <f t="shared" si="12"/>
        <v>0.5</v>
      </c>
      <c r="S43" s="694">
        <f t="shared" si="12"/>
        <v>0.51</v>
      </c>
      <c r="T43" s="694">
        <f t="shared" si="12"/>
        <v>0.65</v>
      </c>
      <c r="U43" s="694">
        <f t="shared" si="12"/>
        <v>0.56000000000000005</v>
      </c>
      <c r="V43" s="694">
        <f t="shared" si="12"/>
        <v>0.61</v>
      </c>
      <c r="W43" s="694">
        <f t="shared" si="12"/>
        <v>0.54</v>
      </c>
      <c r="X43" s="694">
        <f t="shared" si="12"/>
        <v>0.65</v>
      </c>
      <c r="Y43" s="694">
        <f t="shared" si="12"/>
        <v>0.57999999999999996</v>
      </c>
      <c r="Z43" s="694">
        <f t="shared" si="12"/>
        <v>0.52</v>
      </c>
      <c r="AA43" s="694">
        <f t="shared" si="12"/>
        <v>0.65</v>
      </c>
      <c r="AB43" s="694">
        <f t="shared" si="12"/>
        <v>0.6</v>
      </c>
      <c r="AC43" s="694">
        <f t="shared" si="12"/>
        <v>0.61</v>
      </c>
      <c r="AD43" s="694">
        <f t="shared" si="12"/>
        <v>0.52</v>
      </c>
      <c r="AE43" s="694">
        <f t="shared" si="12"/>
        <v>0.54</v>
      </c>
      <c r="AF43" s="694">
        <f t="shared" si="12"/>
        <v>0.47</v>
      </c>
      <c r="AG43" s="694">
        <f t="shared" si="12"/>
        <v>0.52</v>
      </c>
      <c r="AH43" s="694">
        <f t="shared" si="12"/>
        <v>0.56000000000000005</v>
      </c>
      <c r="AI43" s="694">
        <f t="shared" si="12"/>
        <v>0.65</v>
      </c>
      <c r="AJ43" s="694">
        <f t="shared" si="12"/>
        <v>0.56000000000000005</v>
      </c>
      <c r="AK43" s="694">
        <f t="shared" si="12"/>
        <v>0.5</v>
      </c>
      <c r="AL43" s="694">
        <f t="shared" si="12"/>
        <v>0.51</v>
      </c>
      <c r="AM43" s="694">
        <f t="shared" si="12"/>
        <v>0.51</v>
      </c>
      <c r="AN43" s="694">
        <f t="shared" si="12"/>
        <v>0.5</v>
      </c>
      <c r="AO43" s="694">
        <f t="shared" si="12"/>
        <v>0.51</v>
      </c>
      <c r="AP43" s="694">
        <f t="shared" si="12"/>
        <v>0.51</v>
      </c>
      <c r="AQ43" s="509"/>
      <c r="AR43" s="509"/>
      <c r="AS43" s="509"/>
      <c r="AT43" s="509"/>
    </row>
    <row r="44" spans="1:46">
      <c r="A44" t="str">
        <f t="shared" si="8"/>
        <v>Biomass and wastes</v>
      </c>
      <c r="C44" t="str">
        <f t="shared" si="9"/>
        <v>R_ES-WH-DH_BIO</v>
      </c>
      <c r="E44" t="str">
        <f t="shared" si="10"/>
        <v>R_ES-DH-WatHeat</v>
      </c>
      <c r="F44" s="694">
        <f t="shared" si="13"/>
        <v>0.5</v>
      </c>
      <c r="G44" s="694">
        <f t="shared" si="12"/>
        <v>0.47</v>
      </c>
      <c r="H44" s="694">
        <f t="shared" si="12"/>
        <v>0.4</v>
      </c>
      <c r="I44" s="694">
        <f t="shared" si="12"/>
        <v>0.55000000000000004</v>
      </c>
      <c r="J44" s="694">
        <f t="shared" si="12"/>
        <v>0.35</v>
      </c>
      <c r="K44" s="694">
        <f t="shared" si="12"/>
        <v>0.42</v>
      </c>
      <c r="L44" s="694">
        <f t="shared" si="12"/>
        <v>0.55000000000000004</v>
      </c>
      <c r="M44" s="694">
        <f t="shared" si="12"/>
        <v>0.52</v>
      </c>
      <c r="N44" s="694">
        <f t="shared" si="12"/>
        <v>0.45</v>
      </c>
      <c r="O44" s="694">
        <f t="shared" si="12"/>
        <v>0.45</v>
      </c>
      <c r="P44" s="694">
        <f t="shared" si="12"/>
        <v>0.52</v>
      </c>
      <c r="Q44" s="694">
        <f t="shared" si="12"/>
        <v>0.5</v>
      </c>
      <c r="R44" s="694">
        <f t="shared" si="12"/>
        <v>0.42</v>
      </c>
      <c r="S44" s="694">
        <f t="shared" si="12"/>
        <v>0.43</v>
      </c>
      <c r="T44" s="694">
        <f t="shared" si="12"/>
        <v>0.41</v>
      </c>
      <c r="U44" s="694">
        <f t="shared" si="12"/>
        <v>0.48</v>
      </c>
      <c r="V44" s="694">
        <f t="shared" si="12"/>
        <v>0.52</v>
      </c>
      <c r="W44" s="694">
        <f t="shared" si="12"/>
        <v>0.46</v>
      </c>
      <c r="X44" s="694">
        <f t="shared" si="12"/>
        <v>0.42</v>
      </c>
      <c r="Y44" s="694">
        <f t="shared" si="12"/>
        <v>0.5</v>
      </c>
      <c r="Z44" s="694">
        <f t="shared" si="12"/>
        <v>0.45</v>
      </c>
      <c r="AA44" s="694">
        <f t="shared" si="12"/>
        <v>0.65</v>
      </c>
      <c r="AB44" s="694">
        <f t="shared" si="12"/>
        <v>0.51</v>
      </c>
      <c r="AC44" s="694">
        <f t="shared" si="12"/>
        <v>0.52</v>
      </c>
      <c r="AD44" s="694">
        <f t="shared" si="12"/>
        <v>0.45</v>
      </c>
      <c r="AE44" s="694">
        <f t="shared" si="12"/>
        <v>0.46</v>
      </c>
      <c r="AF44" s="694">
        <f t="shared" si="12"/>
        <v>0.4</v>
      </c>
      <c r="AG44" s="694">
        <f t="shared" si="12"/>
        <v>0.45</v>
      </c>
      <c r="AH44" s="694">
        <f t="shared" si="12"/>
        <v>0.48</v>
      </c>
      <c r="AI44" s="694">
        <f t="shared" si="12"/>
        <v>0.4</v>
      </c>
      <c r="AJ44" s="694">
        <f t="shared" si="12"/>
        <v>0.65</v>
      </c>
      <c r="AK44" s="694">
        <f t="shared" si="12"/>
        <v>0.42</v>
      </c>
      <c r="AL44" s="694">
        <f t="shared" si="12"/>
        <v>0.43</v>
      </c>
      <c r="AM44" s="694">
        <f t="shared" si="12"/>
        <v>0.43</v>
      </c>
      <c r="AN44" s="694">
        <f t="shared" si="12"/>
        <v>0.42</v>
      </c>
      <c r="AO44" s="694">
        <f t="shared" si="12"/>
        <v>0.43</v>
      </c>
      <c r="AP44" s="694">
        <f t="shared" si="12"/>
        <v>0.43</v>
      </c>
      <c r="AQ44" s="509"/>
      <c r="AR44" s="509"/>
      <c r="AS44" s="509"/>
      <c r="AT44" s="509"/>
    </row>
    <row r="45" spans="1:46">
      <c r="A45" t="str">
        <f t="shared" si="8"/>
        <v>Solids</v>
      </c>
      <c r="C45" t="str">
        <f t="shared" si="9"/>
        <v>R_ES-WH-DH_COA</v>
      </c>
      <c r="E45" t="str">
        <f t="shared" si="10"/>
        <v>R_ES-DH-WatHeat</v>
      </c>
      <c r="F45" s="694">
        <f t="shared" si="13"/>
        <v>0.51</v>
      </c>
      <c r="G45" s="694">
        <f t="shared" si="12"/>
        <v>0.65</v>
      </c>
      <c r="H45" s="694">
        <f t="shared" si="12"/>
        <v>0.41</v>
      </c>
      <c r="I45" s="694">
        <f>I37</f>
        <v>0.65</v>
      </c>
      <c r="J45" s="694">
        <f t="shared" si="12"/>
        <v>0.65</v>
      </c>
      <c r="K45" s="694">
        <f t="shared" si="12"/>
        <v>0.44</v>
      </c>
      <c r="L45" s="694">
        <f t="shared" si="12"/>
        <v>0.65</v>
      </c>
      <c r="M45" s="694">
        <f t="shared" si="12"/>
        <v>0.65</v>
      </c>
      <c r="N45" s="694">
        <f t="shared" si="12"/>
        <v>0.65</v>
      </c>
      <c r="O45" s="694">
        <f t="shared" si="12"/>
        <v>0.65</v>
      </c>
      <c r="P45" s="694">
        <f t="shared" si="12"/>
        <v>0.65</v>
      </c>
      <c r="Q45" s="694">
        <f t="shared" si="12"/>
        <v>0.65</v>
      </c>
      <c r="R45" s="694">
        <f t="shared" si="12"/>
        <v>0.65</v>
      </c>
      <c r="S45" s="694">
        <f t="shared" si="12"/>
        <v>0.65</v>
      </c>
      <c r="T45" s="694">
        <f t="shared" si="12"/>
        <v>0.42</v>
      </c>
      <c r="U45" s="694">
        <f t="shared" si="12"/>
        <v>0.5</v>
      </c>
      <c r="V45" s="694">
        <f t="shared" si="12"/>
        <v>0.65</v>
      </c>
      <c r="W45" s="694">
        <f t="shared" si="12"/>
        <v>0.65</v>
      </c>
      <c r="X45" s="694">
        <f t="shared" si="12"/>
        <v>0.65</v>
      </c>
      <c r="Y45" s="694">
        <f t="shared" si="12"/>
        <v>0.65</v>
      </c>
      <c r="Z45" s="694">
        <f t="shared" si="12"/>
        <v>0.65</v>
      </c>
      <c r="AA45" s="694">
        <f t="shared" si="12"/>
        <v>0.65</v>
      </c>
      <c r="AB45" s="694">
        <f t="shared" si="12"/>
        <v>0.65</v>
      </c>
      <c r="AC45" s="694">
        <f t="shared" si="12"/>
        <v>0.51</v>
      </c>
      <c r="AD45" s="694">
        <f t="shared" si="12"/>
        <v>0.46</v>
      </c>
      <c r="AE45" s="694">
        <f t="shared" si="12"/>
        <v>0.65</v>
      </c>
      <c r="AF45" s="694">
        <f t="shared" si="12"/>
        <v>0.65</v>
      </c>
      <c r="AG45" s="694">
        <f t="shared" si="12"/>
        <v>0.65</v>
      </c>
      <c r="AH45" s="694">
        <f t="shared" si="12"/>
        <v>0.65</v>
      </c>
      <c r="AI45" s="694">
        <f t="shared" si="12"/>
        <v>0.65</v>
      </c>
      <c r="AJ45" s="694">
        <f t="shared" si="12"/>
        <v>0.5</v>
      </c>
      <c r="AK45" s="694">
        <f t="shared" si="12"/>
        <v>0.65</v>
      </c>
      <c r="AL45" s="694">
        <f t="shared" si="12"/>
        <v>0.65</v>
      </c>
      <c r="AM45" s="694">
        <f t="shared" si="12"/>
        <v>0.65</v>
      </c>
      <c r="AN45" s="694">
        <f t="shared" si="12"/>
        <v>0.65</v>
      </c>
      <c r="AO45" s="694">
        <f t="shared" si="12"/>
        <v>0.65</v>
      </c>
      <c r="AP45" s="694">
        <f t="shared" si="12"/>
        <v>0.65</v>
      </c>
      <c r="AQ45" s="509"/>
      <c r="AR45" s="509"/>
      <c r="AS45" s="509"/>
      <c r="AT45" s="509"/>
    </row>
    <row r="46" spans="1:46">
      <c r="A46" t="str">
        <f t="shared" si="8"/>
        <v>LPG</v>
      </c>
      <c r="C46" t="str">
        <f t="shared" si="9"/>
        <v>R_ES-WH-DH_LPG</v>
      </c>
      <c r="E46" t="str">
        <f t="shared" si="10"/>
        <v>R_ES-DH-WatHeat</v>
      </c>
      <c r="F46" s="694">
        <f t="shared" si="13"/>
        <v>0.6</v>
      </c>
      <c r="G46" s="694">
        <f t="shared" si="12"/>
        <v>0.56999999999999995</v>
      </c>
      <c r="H46" s="694">
        <f t="shared" si="12"/>
        <v>0.48</v>
      </c>
      <c r="I46" s="694">
        <f t="shared" si="12"/>
        <v>0.66</v>
      </c>
      <c r="J46" s="694">
        <f t="shared" si="12"/>
        <v>0.42</v>
      </c>
      <c r="K46" s="694">
        <f t="shared" si="12"/>
        <v>0.51</v>
      </c>
      <c r="L46" s="694">
        <f t="shared" si="12"/>
        <v>0.66</v>
      </c>
      <c r="M46" s="694">
        <f t="shared" si="12"/>
        <v>0.63</v>
      </c>
      <c r="N46" s="694">
        <f t="shared" si="12"/>
        <v>0.54</v>
      </c>
      <c r="O46" s="694">
        <f t="shared" si="12"/>
        <v>0.54</v>
      </c>
      <c r="P46" s="694">
        <f t="shared" si="12"/>
        <v>0.63</v>
      </c>
      <c r="Q46" s="694">
        <f t="shared" si="12"/>
        <v>0.6</v>
      </c>
      <c r="R46" s="694">
        <f t="shared" si="12"/>
        <v>0.51</v>
      </c>
      <c r="S46" s="694">
        <f t="shared" si="12"/>
        <v>0.52</v>
      </c>
      <c r="T46" s="694">
        <f t="shared" si="12"/>
        <v>0.49</v>
      </c>
      <c r="U46" s="694">
        <f t="shared" si="12"/>
        <v>0.57999999999999996</v>
      </c>
      <c r="V46" s="694">
        <f t="shared" si="12"/>
        <v>0.63</v>
      </c>
      <c r="W46" s="694">
        <f t="shared" si="12"/>
        <v>0.56000000000000005</v>
      </c>
      <c r="X46" s="694">
        <f t="shared" si="12"/>
        <v>0.51</v>
      </c>
      <c r="Y46" s="694">
        <f t="shared" si="12"/>
        <v>0.6</v>
      </c>
      <c r="Z46" s="694">
        <f t="shared" si="12"/>
        <v>0.54</v>
      </c>
      <c r="AA46" s="694">
        <f t="shared" si="12"/>
        <v>0.45</v>
      </c>
      <c r="AB46" s="694">
        <f t="shared" si="12"/>
        <v>0.61499999999999999</v>
      </c>
      <c r="AC46" s="694">
        <f t="shared" si="12"/>
        <v>0.63</v>
      </c>
      <c r="AD46" s="694">
        <f t="shared" si="12"/>
        <v>0.54</v>
      </c>
      <c r="AE46" s="694">
        <f t="shared" si="12"/>
        <v>0.56000000000000005</v>
      </c>
      <c r="AF46" s="694">
        <f t="shared" si="12"/>
        <v>0.48</v>
      </c>
      <c r="AG46" s="694">
        <f t="shared" si="12"/>
        <v>0.65</v>
      </c>
      <c r="AH46" s="694">
        <f t="shared" si="12"/>
        <v>0.57999999999999996</v>
      </c>
      <c r="AI46" s="694">
        <f t="shared" si="12"/>
        <v>0.48</v>
      </c>
      <c r="AJ46" s="694">
        <f t="shared" si="12"/>
        <v>0.57999999999999996</v>
      </c>
      <c r="AK46" s="694">
        <f t="shared" si="12"/>
        <v>0.51</v>
      </c>
      <c r="AL46" s="694">
        <f t="shared" si="12"/>
        <v>0.52</v>
      </c>
      <c r="AM46" s="694">
        <f t="shared" si="12"/>
        <v>0.52</v>
      </c>
      <c r="AN46" s="694">
        <f t="shared" si="12"/>
        <v>0.51</v>
      </c>
      <c r="AO46" s="694">
        <f t="shared" si="12"/>
        <v>0.52</v>
      </c>
      <c r="AP46" s="694">
        <f t="shared" si="12"/>
        <v>0.52</v>
      </c>
      <c r="AQ46" s="509"/>
      <c r="AR46" s="509"/>
      <c r="AS46" s="509"/>
      <c r="AT46" s="509"/>
    </row>
    <row r="47" spans="1:46">
      <c r="A47" t="str">
        <f t="shared" si="8"/>
        <v>Solar</v>
      </c>
      <c r="C47" t="str">
        <f t="shared" si="9"/>
        <v>R_ES-WH-DH_SOL</v>
      </c>
      <c r="E47" t="str">
        <f t="shared" si="10"/>
        <v>R_ES-DH-WatHeat</v>
      </c>
      <c r="F47" s="695">
        <f t="shared" si="13"/>
        <v>0.89</v>
      </c>
      <c r="G47" s="695">
        <f t="shared" si="12"/>
        <v>0.87</v>
      </c>
      <c r="H47" s="695">
        <f t="shared" si="12"/>
        <v>0.78</v>
      </c>
      <c r="I47" s="695">
        <f t="shared" si="12"/>
        <v>0.95</v>
      </c>
      <c r="J47" s="695">
        <f t="shared" si="12"/>
        <v>0.65</v>
      </c>
      <c r="K47" s="695">
        <f t="shared" si="12"/>
        <v>0.81</v>
      </c>
      <c r="L47" s="695">
        <f t="shared" si="12"/>
        <v>0.95</v>
      </c>
      <c r="M47" s="695">
        <f t="shared" si="12"/>
        <v>0.92</v>
      </c>
      <c r="N47" s="695">
        <f t="shared" si="12"/>
        <v>0.84</v>
      </c>
      <c r="O47" s="695">
        <f t="shared" si="12"/>
        <v>0.65</v>
      </c>
      <c r="P47" s="695">
        <f t="shared" si="12"/>
        <v>0.92</v>
      </c>
      <c r="Q47" s="695">
        <f t="shared" si="12"/>
        <v>0.89</v>
      </c>
      <c r="R47" s="695">
        <f t="shared" si="12"/>
        <v>0.81</v>
      </c>
      <c r="S47" s="695">
        <f t="shared" si="12"/>
        <v>0.82</v>
      </c>
      <c r="T47" s="695">
        <f t="shared" si="12"/>
        <v>0.8</v>
      </c>
      <c r="U47" s="695">
        <f t="shared" si="12"/>
        <v>0.65</v>
      </c>
      <c r="V47" s="695">
        <f t="shared" si="12"/>
        <v>0.92</v>
      </c>
      <c r="W47" s="695">
        <f t="shared" si="12"/>
        <v>0.85650557620817858</v>
      </c>
      <c r="X47" s="695">
        <f t="shared" si="12"/>
        <v>0.81</v>
      </c>
      <c r="Y47" s="695">
        <f t="shared" ref="Y47:AP47" si="14">Y39</f>
        <v>0.65</v>
      </c>
      <c r="Z47" s="695">
        <f t="shared" si="14"/>
        <v>0.84</v>
      </c>
      <c r="AA47" s="695">
        <f t="shared" si="14"/>
        <v>0.65</v>
      </c>
      <c r="AB47" s="695">
        <f t="shared" si="14"/>
        <v>0.91</v>
      </c>
      <c r="AC47" s="695">
        <f t="shared" si="14"/>
        <v>0.92</v>
      </c>
      <c r="AD47" s="695">
        <f t="shared" si="14"/>
        <v>0.84</v>
      </c>
      <c r="AE47" s="695">
        <f t="shared" si="14"/>
        <v>0.86</v>
      </c>
      <c r="AF47" s="695">
        <f t="shared" si="14"/>
        <v>0.78</v>
      </c>
      <c r="AG47" s="695">
        <f t="shared" si="14"/>
        <v>0.84</v>
      </c>
      <c r="AH47" s="695">
        <f t="shared" si="14"/>
        <v>0.88</v>
      </c>
      <c r="AI47" s="695">
        <f t="shared" si="14"/>
        <v>0.78</v>
      </c>
      <c r="AJ47" s="695">
        <f t="shared" si="14"/>
        <v>0.65</v>
      </c>
      <c r="AK47" s="695">
        <f t="shared" si="14"/>
        <v>0.81</v>
      </c>
      <c r="AL47" s="695">
        <f t="shared" si="14"/>
        <v>0.82</v>
      </c>
      <c r="AM47" s="695">
        <f t="shared" si="14"/>
        <v>0.82</v>
      </c>
      <c r="AN47" s="695">
        <f t="shared" si="14"/>
        <v>0.81</v>
      </c>
      <c r="AO47" s="695">
        <f t="shared" si="14"/>
        <v>0.82</v>
      </c>
      <c r="AP47" s="695">
        <f t="shared" si="14"/>
        <v>0.82</v>
      </c>
      <c r="AQ47" s="509"/>
      <c r="AR47" s="509"/>
      <c r="AS47" s="509"/>
      <c r="AT47" s="509"/>
    </row>
    <row r="48" spans="1:46">
      <c r="A48" t="str">
        <f t="shared" si="8"/>
        <v>Electricity</v>
      </c>
      <c r="C48" t="str">
        <f t="shared" si="9"/>
        <v>R_ES-WH-SD_ELC</v>
      </c>
      <c r="E48" t="str">
        <f t="shared" si="10"/>
        <v>R_ES-SD-WatHeat</v>
      </c>
      <c r="F48" s="694">
        <f>F40</f>
        <v>0.76</v>
      </c>
      <c r="G48" s="694">
        <f t="shared" ref="G48:AP55" si="15">G40</f>
        <v>0.73</v>
      </c>
      <c r="H48" s="694">
        <f t="shared" si="15"/>
        <v>0.61</v>
      </c>
      <c r="I48" s="694">
        <f t="shared" si="15"/>
        <v>0.84</v>
      </c>
      <c r="J48" s="694">
        <f t="shared" si="15"/>
        <v>0.54</v>
      </c>
      <c r="K48" s="694">
        <f t="shared" si="15"/>
        <v>0.65</v>
      </c>
      <c r="L48" s="694">
        <f t="shared" si="15"/>
        <v>0.84</v>
      </c>
      <c r="M48" s="694">
        <f t="shared" si="15"/>
        <v>0.8</v>
      </c>
      <c r="N48" s="694">
        <f t="shared" si="15"/>
        <v>0.69</v>
      </c>
      <c r="O48" s="694">
        <f t="shared" si="15"/>
        <v>0.69</v>
      </c>
      <c r="P48" s="694">
        <f t="shared" si="15"/>
        <v>0.8</v>
      </c>
      <c r="Q48" s="694">
        <f t="shared" si="15"/>
        <v>0.76</v>
      </c>
      <c r="R48" s="694">
        <f t="shared" si="15"/>
        <v>0.65</v>
      </c>
      <c r="S48" s="694">
        <f t="shared" si="15"/>
        <v>0.67</v>
      </c>
      <c r="T48" s="694">
        <f t="shared" si="15"/>
        <v>0.63</v>
      </c>
      <c r="U48" s="694">
        <f t="shared" si="15"/>
        <v>0.74</v>
      </c>
      <c r="V48" s="694">
        <f t="shared" si="15"/>
        <v>0.8</v>
      </c>
      <c r="W48" s="694">
        <f t="shared" si="15"/>
        <v>0.71</v>
      </c>
      <c r="X48" s="694">
        <f t="shared" si="15"/>
        <v>0.65</v>
      </c>
      <c r="Y48" s="694">
        <f t="shared" si="15"/>
        <v>0.76</v>
      </c>
      <c r="Z48" s="694">
        <f t="shared" si="15"/>
        <v>0.69</v>
      </c>
      <c r="AA48" s="694">
        <f t="shared" si="15"/>
        <v>0.57999999999999996</v>
      </c>
      <c r="AB48" s="694">
        <f t="shared" si="15"/>
        <v>0.78500000000000003</v>
      </c>
      <c r="AC48" s="694">
        <f t="shared" si="15"/>
        <v>0.8</v>
      </c>
      <c r="AD48" s="694">
        <f t="shared" si="15"/>
        <v>0.69</v>
      </c>
      <c r="AE48" s="694">
        <f t="shared" si="15"/>
        <v>0.71</v>
      </c>
      <c r="AF48" s="694">
        <f t="shared" si="15"/>
        <v>0.61</v>
      </c>
      <c r="AG48" s="694">
        <f t="shared" si="15"/>
        <v>0.69</v>
      </c>
      <c r="AH48" s="694">
        <f t="shared" si="15"/>
        <v>0.74</v>
      </c>
      <c r="AI48" s="694">
        <f t="shared" si="15"/>
        <v>0.61</v>
      </c>
      <c r="AJ48" s="694">
        <f t="shared" si="15"/>
        <v>0.74</v>
      </c>
      <c r="AK48" s="694">
        <f t="shared" si="15"/>
        <v>0.65</v>
      </c>
      <c r="AL48" s="694">
        <f t="shared" si="15"/>
        <v>0.67</v>
      </c>
      <c r="AM48" s="694">
        <f t="shared" si="15"/>
        <v>0.67</v>
      </c>
      <c r="AN48" s="694">
        <f t="shared" si="15"/>
        <v>0.65</v>
      </c>
      <c r="AO48" s="694">
        <f t="shared" si="15"/>
        <v>0.67</v>
      </c>
      <c r="AP48" s="694">
        <f t="shared" si="15"/>
        <v>0.67</v>
      </c>
    </row>
    <row r="49" spans="1:42">
      <c r="A49" t="str">
        <f t="shared" si="8"/>
        <v>Gases</v>
      </c>
      <c r="C49" t="str">
        <f t="shared" si="9"/>
        <v>R_ES-WH-SD_GAS</v>
      </c>
      <c r="E49" t="str">
        <f t="shared" si="10"/>
        <v>R_ES-SD-WatHeat</v>
      </c>
      <c r="F49" s="694">
        <f t="shared" ref="F49:U55" si="16">F41</f>
        <v>0.62</v>
      </c>
      <c r="G49" s="694">
        <f t="shared" si="16"/>
        <v>0.59</v>
      </c>
      <c r="H49" s="694">
        <f t="shared" si="16"/>
        <v>0.5</v>
      </c>
      <c r="I49" s="694">
        <f t="shared" si="16"/>
        <v>0.68</v>
      </c>
      <c r="J49" s="694">
        <f t="shared" si="16"/>
        <v>0.65</v>
      </c>
      <c r="K49" s="694">
        <f t="shared" si="16"/>
        <v>0.53</v>
      </c>
      <c r="L49" s="694">
        <f t="shared" si="16"/>
        <v>0.68</v>
      </c>
      <c r="M49" s="694">
        <f t="shared" si="16"/>
        <v>0.65</v>
      </c>
      <c r="N49" s="694">
        <f t="shared" si="16"/>
        <v>0.56000000000000005</v>
      </c>
      <c r="O49" s="694">
        <f t="shared" si="16"/>
        <v>0.56000000000000005</v>
      </c>
      <c r="P49" s="694">
        <f t="shared" si="16"/>
        <v>0.65</v>
      </c>
      <c r="Q49" s="694">
        <f t="shared" si="16"/>
        <v>0.62</v>
      </c>
      <c r="R49" s="694">
        <f t="shared" si="16"/>
        <v>0.53</v>
      </c>
      <c r="S49" s="694">
        <f t="shared" si="16"/>
        <v>0.54</v>
      </c>
      <c r="T49" s="694">
        <f t="shared" si="16"/>
        <v>0.51</v>
      </c>
      <c r="U49" s="694">
        <f t="shared" si="16"/>
        <v>0.6</v>
      </c>
      <c r="V49" s="694">
        <f t="shared" si="15"/>
        <v>0.65</v>
      </c>
      <c r="W49" s="694">
        <f t="shared" si="15"/>
        <v>0.57999999999999996</v>
      </c>
      <c r="X49" s="694">
        <f t="shared" si="15"/>
        <v>0.53</v>
      </c>
      <c r="Y49" s="694">
        <f t="shared" si="15"/>
        <v>0.62</v>
      </c>
      <c r="Z49" s="694">
        <f t="shared" si="15"/>
        <v>0.56000000000000005</v>
      </c>
      <c r="AA49" s="694">
        <f t="shared" si="15"/>
        <v>0.65</v>
      </c>
      <c r="AB49" s="694">
        <f t="shared" si="15"/>
        <v>0.64</v>
      </c>
      <c r="AC49" s="694">
        <f t="shared" si="15"/>
        <v>0.65</v>
      </c>
      <c r="AD49" s="694">
        <f t="shared" si="15"/>
        <v>0.56000000000000005</v>
      </c>
      <c r="AE49" s="694">
        <f t="shared" si="15"/>
        <v>0.57999999999999996</v>
      </c>
      <c r="AF49" s="694">
        <f t="shared" si="15"/>
        <v>0.5</v>
      </c>
      <c r="AG49" s="694">
        <f t="shared" si="15"/>
        <v>0.56000000000000005</v>
      </c>
      <c r="AH49" s="694">
        <f t="shared" si="15"/>
        <v>0.6</v>
      </c>
      <c r="AI49" s="694">
        <f t="shared" si="15"/>
        <v>0.5</v>
      </c>
      <c r="AJ49" s="694">
        <f t="shared" si="15"/>
        <v>0.6</v>
      </c>
      <c r="AK49" s="694">
        <f t="shared" si="15"/>
        <v>0.53</v>
      </c>
      <c r="AL49" s="694">
        <f t="shared" si="15"/>
        <v>0.54</v>
      </c>
      <c r="AM49" s="694">
        <f t="shared" si="15"/>
        <v>0.54</v>
      </c>
      <c r="AN49" s="694">
        <f t="shared" si="15"/>
        <v>0.53</v>
      </c>
      <c r="AO49" s="694">
        <f t="shared" si="15"/>
        <v>0.54</v>
      </c>
      <c r="AP49" s="694">
        <f t="shared" si="15"/>
        <v>0.54</v>
      </c>
    </row>
    <row r="50" spans="1:42">
      <c r="A50" t="str">
        <f t="shared" si="8"/>
        <v>Derived heat</v>
      </c>
      <c r="C50" t="str">
        <f t="shared" si="9"/>
        <v>R_ES-WH-SD_HET</v>
      </c>
      <c r="E50" t="str">
        <f t="shared" si="10"/>
        <v>R_ES-SD-WatHeat</v>
      </c>
      <c r="F50" s="694">
        <f t="shared" si="16"/>
        <v>0.89</v>
      </c>
      <c r="G50" s="694">
        <f t="shared" si="15"/>
        <v>0.87</v>
      </c>
      <c r="H50" s="694">
        <f t="shared" si="15"/>
        <v>0.78</v>
      </c>
      <c r="I50" s="694">
        <f t="shared" si="15"/>
        <v>0.95</v>
      </c>
      <c r="J50" s="694">
        <f t="shared" si="15"/>
        <v>0.65</v>
      </c>
      <c r="K50" s="694">
        <f t="shared" si="15"/>
        <v>0.81</v>
      </c>
      <c r="L50" s="694">
        <f t="shared" si="15"/>
        <v>0.95</v>
      </c>
      <c r="M50" s="694">
        <f t="shared" si="15"/>
        <v>0.92</v>
      </c>
      <c r="N50" s="694">
        <f t="shared" si="15"/>
        <v>0.84</v>
      </c>
      <c r="O50" s="694">
        <f t="shared" si="15"/>
        <v>0.65</v>
      </c>
      <c r="P50" s="694">
        <f t="shared" si="15"/>
        <v>0.92</v>
      </c>
      <c r="Q50" s="694">
        <f t="shared" si="15"/>
        <v>0.89</v>
      </c>
      <c r="R50" s="694">
        <f t="shared" si="15"/>
        <v>0.81</v>
      </c>
      <c r="S50" s="694">
        <f t="shared" si="15"/>
        <v>0.82</v>
      </c>
      <c r="T50" s="694">
        <f t="shared" si="15"/>
        <v>0.8</v>
      </c>
      <c r="U50" s="694">
        <f t="shared" si="15"/>
        <v>0.65</v>
      </c>
      <c r="V50" s="694">
        <f t="shared" si="15"/>
        <v>0.92</v>
      </c>
      <c r="W50" s="694">
        <f t="shared" si="15"/>
        <v>0.85650557620817858</v>
      </c>
      <c r="X50" s="694">
        <f t="shared" si="15"/>
        <v>0.81</v>
      </c>
      <c r="Y50" s="694">
        <f t="shared" si="15"/>
        <v>0.65</v>
      </c>
      <c r="Z50" s="694">
        <f t="shared" si="15"/>
        <v>0.84</v>
      </c>
      <c r="AA50" s="694">
        <f t="shared" si="15"/>
        <v>0.65</v>
      </c>
      <c r="AB50" s="694">
        <f t="shared" si="15"/>
        <v>0.91</v>
      </c>
      <c r="AC50" s="694">
        <f t="shared" si="15"/>
        <v>0.92</v>
      </c>
      <c r="AD50" s="694">
        <f t="shared" si="15"/>
        <v>0.84</v>
      </c>
      <c r="AE50" s="694">
        <f t="shared" si="15"/>
        <v>0.86</v>
      </c>
      <c r="AF50" s="694">
        <f t="shared" si="15"/>
        <v>0.78</v>
      </c>
      <c r="AG50" s="694">
        <f t="shared" si="15"/>
        <v>0.84</v>
      </c>
      <c r="AH50" s="694">
        <f t="shared" si="15"/>
        <v>0.88</v>
      </c>
      <c r="AI50" s="694">
        <f t="shared" si="15"/>
        <v>0.78</v>
      </c>
      <c r="AJ50" s="694">
        <f t="shared" si="15"/>
        <v>0.65</v>
      </c>
      <c r="AK50" s="694">
        <f t="shared" si="15"/>
        <v>0.81</v>
      </c>
      <c r="AL50" s="694">
        <f t="shared" si="15"/>
        <v>0.82</v>
      </c>
      <c r="AM50" s="694">
        <f t="shared" si="15"/>
        <v>0.82</v>
      </c>
      <c r="AN50" s="694">
        <f t="shared" si="15"/>
        <v>0.81</v>
      </c>
      <c r="AO50" s="694">
        <f t="shared" si="15"/>
        <v>0.82</v>
      </c>
      <c r="AP50" s="694">
        <f t="shared" si="15"/>
        <v>0.82</v>
      </c>
    </row>
    <row r="51" spans="1:42">
      <c r="A51" t="str">
        <f t="shared" si="8"/>
        <v>GDO and other liquids (incl. liq. bio.)</v>
      </c>
      <c r="C51" t="str">
        <f t="shared" si="9"/>
        <v>R_ES-WH-SD_OIL</v>
      </c>
      <c r="E51" t="str">
        <f t="shared" si="10"/>
        <v>R_ES-SD-WatHeat</v>
      </c>
      <c r="F51" s="694">
        <f t="shared" si="16"/>
        <v>0.57999999999999996</v>
      </c>
      <c r="G51" s="694">
        <f t="shared" si="15"/>
        <v>0.55000000000000004</v>
      </c>
      <c r="H51" s="694">
        <f t="shared" si="15"/>
        <v>0.65</v>
      </c>
      <c r="I51" s="694">
        <f t="shared" si="15"/>
        <v>0.64</v>
      </c>
      <c r="J51" s="694">
        <f t="shared" si="15"/>
        <v>0.41</v>
      </c>
      <c r="K51" s="694">
        <f t="shared" si="15"/>
        <v>0.65</v>
      </c>
      <c r="L51" s="694">
        <f t="shared" si="15"/>
        <v>0.64</v>
      </c>
      <c r="M51" s="694">
        <f t="shared" si="15"/>
        <v>0.61</v>
      </c>
      <c r="N51" s="694">
        <f t="shared" si="15"/>
        <v>0.52</v>
      </c>
      <c r="O51" s="694">
        <f t="shared" si="15"/>
        <v>0.52</v>
      </c>
      <c r="P51" s="694">
        <f t="shared" si="15"/>
        <v>0.61</v>
      </c>
      <c r="Q51" s="694">
        <f t="shared" si="15"/>
        <v>0.57999999999999996</v>
      </c>
      <c r="R51" s="694">
        <f t="shared" si="15"/>
        <v>0.5</v>
      </c>
      <c r="S51" s="694">
        <f t="shared" si="15"/>
        <v>0.51</v>
      </c>
      <c r="T51" s="694">
        <f t="shared" si="15"/>
        <v>0.65</v>
      </c>
      <c r="U51" s="694">
        <f t="shared" si="15"/>
        <v>0.56000000000000005</v>
      </c>
      <c r="V51" s="694">
        <f t="shared" si="15"/>
        <v>0.61</v>
      </c>
      <c r="W51" s="694">
        <f t="shared" si="15"/>
        <v>0.54</v>
      </c>
      <c r="X51" s="694">
        <f t="shared" si="15"/>
        <v>0.65</v>
      </c>
      <c r="Y51" s="694">
        <f t="shared" si="15"/>
        <v>0.57999999999999996</v>
      </c>
      <c r="Z51" s="694">
        <f t="shared" si="15"/>
        <v>0.52</v>
      </c>
      <c r="AA51" s="694">
        <f t="shared" si="15"/>
        <v>0.65</v>
      </c>
      <c r="AB51" s="694">
        <f t="shared" si="15"/>
        <v>0.6</v>
      </c>
      <c r="AC51" s="694">
        <f t="shared" si="15"/>
        <v>0.61</v>
      </c>
      <c r="AD51" s="694">
        <f t="shared" si="15"/>
        <v>0.52</v>
      </c>
      <c r="AE51" s="694">
        <f t="shared" si="15"/>
        <v>0.54</v>
      </c>
      <c r="AF51" s="694">
        <f t="shared" si="15"/>
        <v>0.47</v>
      </c>
      <c r="AG51" s="694">
        <f t="shared" si="15"/>
        <v>0.52</v>
      </c>
      <c r="AH51" s="694">
        <f t="shared" si="15"/>
        <v>0.56000000000000005</v>
      </c>
      <c r="AI51" s="694">
        <f t="shared" si="15"/>
        <v>0.65</v>
      </c>
      <c r="AJ51" s="694">
        <f t="shared" si="15"/>
        <v>0.56000000000000005</v>
      </c>
      <c r="AK51" s="694">
        <f t="shared" si="15"/>
        <v>0.5</v>
      </c>
      <c r="AL51" s="694">
        <f t="shared" si="15"/>
        <v>0.51</v>
      </c>
      <c r="AM51" s="694">
        <f t="shared" si="15"/>
        <v>0.51</v>
      </c>
      <c r="AN51" s="694">
        <f t="shared" si="15"/>
        <v>0.5</v>
      </c>
      <c r="AO51" s="694">
        <f t="shared" si="15"/>
        <v>0.51</v>
      </c>
      <c r="AP51" s="694">
        <f t="shared" si="15"/>
        <v>0.51</v>
      </c>
    </row>
    <row r="52" spans="1:42">
      <c r="A52" t="str">
        <f t="shared" si="8"/>
        <v>Biomass and wastes</v>
      </c>
      <c r="C52" t="str">
        <f t="shared" si="9"/>
        <v>R_ES-WH-SD_BIO</v>
      </c>
      <c r="E52" t="str">
        <f t="shared" si="10"/>
        <v>R_ES-SD-WatHeat</v>
      </c>
      <c r="F52" s="694">
        <f t="shared" si="16"/>
        <v>0.5</v>
      </c>
      <c r="G52" s="694">
        <f t="shared" si="15"/>
        <v>0.47</v>
      </c>
      <c r="H52" s="694">
        <f t="shared" si="15"/>
        <v>0.4</v>
      </c>
      <c r="I52" s="694">
        <f t="shared" si="15"/>
        <v>0.55000000000000004</v>
      </c>
      <c r="J52" s="694">
        <f t="shared" si="15"/>
        <v>0.35</v>
      </c>
      <c r="K52" s="694">
        <f t="shared" si="15"/>
        <v>0.42</v>
      </c>
      <c r="L52" s="694">
        <f t="shared" si="15"/>
        <v>0.55000000000000004</v>
      </c>
      <c r="M52" s="694">
        <f t="shared" si="15"/>
        <v>0.52</v>
      </c>
      <c r="N52" s="694">
        <f t="shared" si="15"/>
        <v>0.45</v>
      </c>
      <c r="O52" s="694">
        <f t="shared" si="15"/>
        <v>0.45</v>
      </c>
      <c r="P52" s="694">
        <f t="shared" si="15"/>
        <v>0.52</v>
      </c>
      <c r="Q52" s="694">
        <f t="shared" si="15"/>
        <v>0.5</v>
      </c>
      <c r="R52" s="694">
        <f t="shared" si="15"/>
        <v>0.42</v>
      </c>
      <c r="S52" s="694">
        <f t="shared" si="15"/>
        <v>0.43</v>
      </c>
      <c r="T52" s="694">
        <f t="shared" si="15"/>
        <v>0.41</v>
      </c>
      <c r="U52" s="694">
        <f t="shared" si="15"/>
        <v>0.48</v>
      </c>
      <c r="V52" s="694">
        <f t="shared" si="15"/>
        <v>0.52</v>
      </c>
      <c r="W52" s="694">
        <f t="shared" si="15"/>
        <v>0.46</v>
      </c>
      <c r="X52" s="694">
        <f t="shared" si="15"/>
        <v>0.42</v>
      </c>
      <c r="Y52" s="694">
        <f t="shared" si="15"/>
        <v>0.5</v>
      </c>
      <c r="Z52" s="694">
        <f t="shared" si="15"/>
        <v>0.45</v>
      </c>
      <c r="AA52" s="694">
        <f t="shared" si="15"/>
        <v>0.65</v>
      </c>
      <c r="AB52" s="694">
        <f t="shared" si="15"/>
        <v>0.51</v>
      </c>
      <c r="AC52" s="694">
        <f t="shared" si="15"/>
        <v>0.52</v>
      </c>
      <c r="AD52" s="694">
        <f t="shared" si="15"/>
        <v>0.45</v>
      </c>
      <c r="AE52" s="694">
        <f t="shared" si="15"/>
        <v>0.46</v>
      </c>
      <c r="AF52" s="694">
        <f t="shared" si="15"/>
        <v>0.4</v>
      </c>
      <c r="AG52" s="694">
        <f t="shared" si="15"/>
        <v>0.45</v>
      </c>
      <c r="AH52" s="694">
        <f t="shared" si="15"/>
        <v>0.48</v>
      </c>
      <c r="AI52" s="694">
        <f t="shared" si="15"/>
        <v>0.4</v>
      </c>
      <c r="AJ52" s="694">
        <f t="shared" si="15"/>
        <v>0.65</v>
      </c>
      <c r="AK52" s="694">
        <f t="shared" si="15"/>
        <v>0.42</v>
      </c>
      <c r="AL52" s="694">
        <f t="shared" si="15"/>
        <v>0.43</v>
      </c>
      <c r="AM52" s="694">
        <f t="shared" si="15"/>
        <v>0.43</v>
      </c>
      <c r="AN52" s="694">
        <f t="shared" si="15"/>
        <v>0.42</v>
      </c>
      <c r="AO52" s="694">
        <f t="shared" si="15"/>
        <v>0.43</v>
      </c>
      <c r="AP52" s="694">
        <f t="shared" si="15"/>
        <v>0.43</v>
      </c>
    </row>
    <row r="53" spans="1:42">
      <c r="A53" t="str">
        <f t="shared" si="8"/>
        <v>Solids</v>
      </c>
      <c r="C53" t="str">
        <f t="shared" si="9"/>
        <v>R_ES-WH-SD_COA</v>
      </c>
      <c r="E53" t="str">
        <f t="shared" si="10"/>
        <v>R_ES-SD-WatHeat</v>
      </c>
      <c r="F53" s="694">
        <f t="shared" si="16"/>
        <v>0.51</v>
      </c>
      <c r="G53" s="694">
        <f t="shared" si="15"/>
        <v>0.65</v>
      </c>
      <c r="H53" s="694">
        <f t="shared" si="15"/>
        <v>0.41</v>
      </c>
      <c r="I53" s="694">
        <f t="shared" si="15"/>
        <v>0.65</v>
      </c>
      <c r="J53" s="694">
        <f t="shared" si="15"/>
        <v>0.65</v>
      </c>
      <c r="K53" s="694">
        <f t="shared" si="15"/>
        <v>0.44</v>
      </c>
      <c r="L53" s="694">
        <f t="shared" si="15"/>
        <v>0.65</v>
      </c>
      <c r="M53" s="694">
        <f t="shared" si="15"/>
        <v>0.65</v>
      </c>
      <c r="N53" s="694">
        <f t="shared" si="15"/>
        <v>0.65</v>
      </c>
      <c r="O53" s="694">
        <f t="shared" si="15"/>
        <v>0.65</v>
      </c>
      <c r="P53" s="694">
        <f t="shared" si="15"/>
        <v>0.65</v>
      </c>
      <c r="Q53" s="694">
        <f t="shared" si="15"/>
        <v>0.65</v>
      </c>
      <c r="R53" s="694">
        <f t="shared" si="15"/>
        <v>0.65</v>
      </c>
      <c r="S53" s="694">
        <f t="shared" si="15"/>
        <v>0.65</v>
      </c>
      <c r="T53" s="694">
        <f t="shared" si="15"/>
        <v>0.42</v>
      </c>
      <c r="U53" s="694">
        <f t="shared" si="15"/>
        <v>0.5</v>
      </c>
      <c r="V53" s="694">
        <f t="shared" si="15"/>
        <v>0.65</v>
      </c>
      <c r="W53" s="694">
        <f t="shared" si="15"/>
        <v>0.65</v>
      </c>
      <c r="X53" s="694">
        <f t="shared" si="15"/>
        <v>0.65</v>
      </c>
      <c r="Y53" s="694">
        <f t="shared" si="15"/>
        <v>0.65</v>
      </c>
      <c r="Z53" s="694">
        <f t="shared" si="15"/>
        <v>0.65</v>
      </c>
      <c r="AA53" s="694">
        <f t="shared" si="15"/>
        <v>0.65</v>
      </c>
      <c r="AB53" s="694">
        <f t="shared" si="15"/>
        <v>0.65</v>
      </c>
      <c r="AC53" s="694">
        <f t="shared" si="15"/>
        <v>0.51</v>
      </c>
      <c r="AD53" s="694">
        <f t="shared" si="15"/>
        <v>0.46</v>
      </c>
      <c r="AE53" s="694">
        <f t="shared" si="15"/>
        <v>0.65</v>
      </c>
      <c r="AF53" s="694">
        <f t="shared" si="15"/>
        <v>0.65</v>
      </c>
      <c r="AG53" s="694">
        <f t="shared" si="15"/>
        <v>0.65</v>
      </c>
      <c r="AH53" s="694">
        <f t="shared" si="15"/>
        <v>0.65</v>
      </c>
      <c r="AI53" s="694">
        <f t="shared" si="15"/>
        <v>0.65</v>
      </c>
      <c r="AJ53" s="694">
        <f t="shared" si="15"/>
        <v>0.5</v>
      </c>
      <c r="AK53" s="694">
        <f t="shared" si="15"/>
        <v>0.65</v>
      </c>
      <c r="AL53" s="694">
        <f t="shared" si="15"/>
        <v>0.65</v>
      </c>
      <c r="AM53" s="694">
        <f t="shared" si="15"/>
        <v>0.65</v>
      </c>
      <c r="AN53" s="694">
        <f t="shared" si="15"/>
        <v>0.65</v>
      </c>
      <c r="AO53" s="694">
        <f t="shared" si="15"/>
        <v>0.65</v>
      </c>
      <c r="AP53" s="694">
        <f t="shared" si="15"/>
        <v>0.65</v>
      </c>
    </row>
    <row r="54" spans="1:42">
      <c r="A54" t="str">
        <f t="shared" si="8"/>
        <v>LPG</v>
      </c>
      <c r="C54" t="str">
        <f t="shared" si="9"/>
        <v>R_ES-WH-SD_LPG</v>
      </c>
      <c r="E54" t="str">
        <f t="shared" si="10"/>
        <v>R_ES-SD-WatHeat</v>
      </c>
      <c r="F54" s="694">
        <f t="shared" si="16"/>
        <v>0.6</v>
      </c>
      <c r="G54" s="694">
        <f t="shared" si="15"/>
        <v>0.56999999999999995</v>
      </c>
      <c r="H54" s="694">
        <f t="shared" si="15"/>
        <v>0.48</v>
      </c>
      <c r="I54" s="694">
        <f t="shared" si="15"/>
        <v>0.66</v>
      </c>
      <c r="J54" s="694">
        <f t="shared" si="15"/>
        <v>0.42</v>
      </c>
      <c r="K54" s="694">
        <f t="shared" si="15"/>
        <v>0.51</v>
      </c>
      <c r="L54" s="694">
        <f t="shared" si="15"/>
        <v>0.66</v>
      </c>
      <c r="M54" s="694">
        <f t="shared" si="15"/>
        <v>0.63</v>
      </c>
      <c r="N54" s="694">
        <f t="shared" si="15"/>
        <v>0.54</v>
      </c>
      <c r="O54" s="694">
        <f t="shared" si="15"/>
        <v>0.54</v>
      </c>
      <c r="P54" s="694">
        <f t="shared" si="15"/>
        <v>0.63</v>
      </c>
      <c r="Q54" s="694">
        <f t="shared" si="15"/>
        <v>0.6</v>
      </c>
      <c r="R54" s="694">
        <f t="shared" si="15"/>
        <v>0.51</v>
      </c>
      <c r="S54" s="694">
        <f t="shared" si="15"/>
        <v>0.52</v>
      </c>
      <c r="T54" s="694">
        <f t="shared" si="15"/>
        <v>0.49</v>
      </c>
      <c r="U54" s="694">
        <f t="shared" si="15"/>
        <v>0.57999999999999996</v>
      </c>
      <c r="V54" s="694">
        <f t="shared" si="15"/>
        <v>0.63</v>
      </c>
      <c r="W54" s="694">
        <f t="shared" si="15"/>
        <v>0.56000000000000005</v>
      </c>
      <c r="X54" s="694">
        <f t="shared" si="15"/>
        <v>0.51</v>
      </c>
      <c r="Y54" s="694">
        <f t="shared" si="15"/>
        <v>0.6</v>
      </c>
      <c r="Z54" s="694">
        <f t="shared" si="15"/>
        <v>0.54</v>
      </c>
      <c r="AA54" s="694">
        <f t="shared" si="15"/>
        <v>0.45</v>
      </c>
      <c r="AB54" s="694">
        <f t="shared" si="15"/>
        <v>0.61499999999999999</v>
      </c>
      <c r="AC54" s="694">
        <f t="shared" si="15"/>
        <v>0.63</v>
      </c>
      <c r="AD54" s="694">
        <f t="shared" si="15"/>
        <v>0.54</v>
      </c>
      <c r="AE54" s="694">
        <f t="shared" si="15"/>
        <v>0.56000000000000005</v>
      </c>
      <c r="AF54" s="694">
        <f t="shared" si="15"/>
        <v>0.48</v>
      </c>
      <c r="AG54" s="694">
        <f t="shared" si="15"/>
        <v>0.65</v>
      </c>
      <c r="AH54" s="694">
        <f t="shared" si="15"/>
        <v>0.57999999999999996</v>
      </c>
      <c r="AI54" s="694">
        <f t="shared" si="15"/>
        <v>0.48</v>
      </c>
      <c r="AJ54" s="694">
        <f t="shared" si="15"/>
        <v>0.57999999999999996</v>
      </c>
      <c r="AK54" s="694">
        <f t="shared" si="15"/>
        <v>0.51</v>
      </c>
      <c r="AL54" s="694">
        <f t="shared" si="15"/>
        <v>0.52</v>
      </c>
      <c r="AM54" s="694">
        <f t="shared" si="15"/>
        <v>0.52</v>
      </c>
      <c r="AN54" s="694">
        <f t="shared" si="15"/>
        <v>0.51</v>
      </c>
      <c r="AO54" s="694">
        <f t="shared" si="15"/>
        <v>0.52</v>
      </c>
      <c r="AP54" s="694">
        <f t="shared" si="15"/>
        <v>0.52</v>
      </c>
    </row>
    <row r="55" spans="1:42">
      <c r="A55" t="str">
        <f t="shared" si="8"/>
        <v>Solar</v>
      </c>
      <c r="C55" t="str">
        <f t="shared" si="9"/>
        <v>R_ES-WH-SD_SOL</v>
      </c>
      <c r="E55" t="str">
        <f t="shared" si="10"/>
        <v>R_ES-SD-WatHeat</v>
      </c>
      <c r="F55" s="695">
        <f t="shared" si="16"/>
        <v>0.89</v>
      </c>
      <c r="G55" s="695">
        <f t="shared" si="15"/>
        <v>0.87</v>
      </c>
      <c r="H55" s="695">
        <f t="shared" si="15"/>
        <v>0.78</v>
      </c>
      <c r="I55" s="695">
        <f t="shared" si="15"/>
        <v>0.95</v>
      </c>
      <c r="J55" s="695">
        <f t="shared" si="15"/>
        <v>0.65</v>
      </c>
      <c r="K55" s="695">
        <f t="shared" si="15"/>
        <v>0.81</v>
      </c>
      <c r="L55" s="695">
        <f t="shared" si="15"/>
        <v>0.95</v>
      </c>
      <c r="M55" s="695">
        <f t="shared" si="15"/>
        <v>0.92</v>
      </c>
      <c r="N55" s="695">
        <f t="shared" si="15"/>
        <v>0.84</v>
      </c>
      <c r="O55" s="695">
        <f t="shared" si="15"/>
        <v>0.65</v>
      </c>
      <c r="P55" s="695">
        <f t="shared" si="15"/>
        <v>0.92</v>
      </c>
      <c r="Q55" s="695">
        <f t="shared" si="15"/>
        <v>0.89</v>
      </c>
      <c r="R55" s="695">
        <f t="shared" si="15"/>
        <v>0.81</v>
      </c>
      <c r="S55" s="695">
        <f t="shared" si="15"/>
        <v>0.82</v>
      </c>
      <c r="T55" s="695">
        <f t="shared" si="15"/>
        <v>0.8</v>
      </c>
      <c r="U55" s="695">
        <f t="shared" si="15"/>
        <v>0.65</v>
      </c>
      <c r="V55" s="695">
        <f t="shared" si="15"/>
        <v>0.92</v>
      </c>
      <c r="W55" s="695">
        <f t="shared" si="15"/>
        <v>0.85650557620817858</v>
      </c>
      <c r="X55" s="695">
        <f t="shared" si="15"/>
        <v>0.81</v>
      </c>
      <c r="Y55" s="695">
        <f t="shared" ref="Y55:AP55" si="17">Y47</f>
        <v>0.65</v>
      </c>
      <c r="Z55" s="695">
        <f t="shared" si="17"/>
        <v>0.84</v>
      </c>
      <c r="AA55" s="695">
        <f t="shared" si="17"/>
        <v>0.65</v>
      </c>
      <c r="AB55" s="695">
        <f t="shared" si="17"/>
        <v>0.91</v>
      </c>
      <c r="AC55" s="695">
        <f t="shared" si="17"/>
        <v>0.92</v>
      </c>
      <c r="AD55" s="695">
        <f t="shared" si="17"/>
        <v>0.84</v>
      </c>
      <c r="AE55" s="695">
        <f t="shared" si="17"/>
        <v>0.86</v>
      </c>
      <c r="AF55" s="695">
        <f t="shared" si="17"/>
        <v>0.78</v>
      </c>
      <c r="AG55" s="695">
        <f t="shared" si="17"/>
        <v>0.84</v>
      </c>
      <c r="AH55" s="695">
        <f t="shared" si="17"/>
        <v>0.88</v>
      </c>
      <c r="AI55" s="695">
        <f t="shared" si="17"/>
        <v>0.78</v>
      </c>
      <c r="AJ55" s="695">
        <f t="shared" si="17"/>
        <v>0.65</v>
      </c>
      <c r="AK55" s="695">
        <f t="shared" si="17"/>
        <v>0.81</v>
      </c>
      <c r="AL55" s="695">
        <f t="shared" si="17"/>
        <v>0.82</v>
      </c>
      <c r="AM55" s="695">
        <f t="shared" si="17"/>
        <v>0.82</v>
      </c>
      <c r="AN55" s="695">
        <f t="shared" si="17"/>
        <v>0.81</v>
      </c>
      <c r="AO55" s="695">
        <f t="shared" si="17"/>
        <v>0.82</v>
      </c>
      <c r="AP55" s="695">
        <f t="shared" si="17"/>
        <v>0.82</v>
      </c>
    </row>
    <row r="58" spans="1:42">
      <c r="E58" s="533"/>
    </row>
    <row r="59" spans="1:42" ht="15" thickBot="1">
      <c r="C59" s="539" t="s">
        <v>545</v>
      </c>
      <c r="D59" s="539" t="s">
        <v>585</v>
      </c>
      <c r="E59" s="539" t="s">
        <v>552</v>
      </c>
      <c r="F59" s="540" t="str">
        <f>'All Stock'!D$2</f>
        <v>AT</v>
      </c>
      <c r="G59" s="540" t="str">
        <f>'All Stock'!E$2</f>
        <v>BE</v>
      </c>
      <c r="H59" s="540" t="str">
        <f>'All Stock'!F$2</f>
        <v>BG</v>
      </c>
      <c r="I59" s="540" t="str">
        <f>'All Stock'!G$2</f>
        <v>CH</v>
      </c>
      <c r="J59" s="540" t="str">
        <f>'All Stock'!H$2</f>
        <v>CY</v>
      </c>
      <c r="K59" s="540" t="str">
        <f>'All Stock'!I$2</f>
        <v>CZ</v>
      </c>
      <c r="L59" s="540" t="str">
        <f>'All Stock'!J$2</f>
        <v>DE</v>
      </c>
      <c r="M59" s="540" t="str">
        <f>'All Stock'!K$2</f>
        <v>DK</v>
      </c>
      <c r="N59" s="540" t="str">
        <f>'All Stock'!L$2</f>
        <v>EE</v>
      </c>
      <c r="O59" s="540" t="str">
        <f>'All Stock'!M$2</f>
        <v>ES</v>
      </c>
      <c r="P59" s="540" t="str">
        <f>'All Stock'!N$2</f>
        <v>FI</v>
      </c>
      <c r="Q59" s="540" t="str">
        <f>'All Stock'!O$2</f>
        <v>FR</v>
      </c>
      <c r="R59" s="540" t="str">
        <f>'All Stock'!P$2</f>
        <v>EL</v>
      </c>
      <c r="S59" s="540" t="str">
        <f>'All Stock'!Q$2</f>
        <v>HR</v>
      </c>
      <c r="T59" s="540" t="str">
        <f>'All Stock'!R$2</f>
        <v>HU</v>
      </c>
      <c r="U59" s="540" t="str">
        <f>'All Stock'!S$2</f>
        <v>IE</v>
      </c>
      <c r="V59" s="540" t="str">
        <f>'All Stock'!T$2</f>
        <v>IS</v>
      </c>
      <c r="W59" s="540" t="str">
        <f>'All Stock'!U$2</f>
        <v>IT</v>
      </c>
      <c r="X59" s="540" t="str">
        <f>'All Stock'!V$2</f>
        <v>LT</v>
      </c>
      <c r="Y59" s="540" t="str">
        <f>'All Stock'!W$2</f>
        <v>LU</v>
      </c>
      <c r="Z59" s="540" t="str">
        <f>'All Stock'!X$2</f>
        <v>LV</v>
      </c>
      <c r="AA59" s="540" t="str">
        <f>'All Stock'!Y$2</f>
        <v>MT</v>
      </c>
      <c r="AB59" s="540" t="str">
        <f>'All Stock'!Z$2</f>
        <v>NL</v>
      </c>
      <c r="AC59" s="540" t="str">
        <f>'All Stock'!AA$2</f>
        <v>NO</v>
      </c>
      <c r="AD59" s="540" t="str">
        <f>'All Stock'!AB$2</f>
        <v>PL</v>
      </c>
      <c r="AE59" s="540" t="str">
        <f>'All Stock'!AC$2</f>
        <v>PT</v>
      </c>
      <c r="AF59" s="540" t="str">
        <f>'All Stock'!AD$2</f>
        <v>RO</v>
      </c>
      <c r="AG59" s="540" t="str">
        <f>'All Stock'!AE$2</f>
        <v>SE</v>
      </c>
      <c r="AH59" s="540" t="str">
        <f>'All Stock'!AF$2</f>
        <v>SI</v>
      </c>
      <c r="AI59" s="540" t="str">
        <f>'All Stock'!AG$2</f>
        <v>SK</v>
      </c>
      <c r="AJ59" s="540" t="str">
        <f>'All Stock'!AH$2</f>
        <v>UK</v>
      </c>
      <c r="AK59" s="540" t="str">
        <f>'All Stock'!AI$2</f>
        <v>AL</v>
      </c>
      <c r="AL59" s="540" t="str">
        <f>'All Stock'!AJ$2</f>
        <v>BA</v>
      </c>
      <c r="AM59" s="540" t="str">
        <f>'All Stock'!AK$2</f>
        <v>ME</v>
      </c>
      <c r="AN59" s="540" t="str">
        <f>'All Stock'!AL$2</f>
        <v>MK</v>
      </c>
      <c r="AO59" s="540" t="str">
        <f>'All Stock'!AM$2</f>
        <v>RS</v>
      </c>
      <c r="AP59" s="540" t="str">
        <f>'All Stock'!AN$2</f>
        <v>KS</v>
      </c>
    </row>
    <row r="60" spans="1:42">
      <c r="A60" t="str">
        <f>A32</f>
        <v>Electricity</v>
      </c>
      <c r="C60" t="str">
        <f>C32</f>
        <v>R_ES-WH-FL_ELC</v>
      </c>
      <c r="E60" t="str">
        <f>E32</f>
        <v>R_ES-FL-WatHeat</v>
      </c>
      <c r="F60" s="496"/>
      <c r="G60" s="496"/>
      <c r="H60" s="496"/>
      <c r="I60" s="496"/>
      <c r="J60" s="496"/>
      <c r="K60" s="496"/>
      <c r="L60" s="496"/>
      <c r="M60" s="496"/>
      <c r="N60" s="496"/>
      <c r="O60" s="496"/>
      <c r="P60" s="496"/>
      <c r="Q60" s="496"/>
      <c r="R60" s="496"/>
      <c r="S60" s="496"/>
      <c r="T60" s="496"/>
      <c r="U60" s="496"/>
      <c r="V60" s="496"/>
      <c r="W60" s="496"/>
      <c r="X60" s="496"/>
      <c r="Y60" s="496"/>
      <c r="Z60" s="496"/>
      <c r="AA60" s="496"/>
      <c r="AB60" s="496"/>
      <c r="AC60" s="496"/>
      <c r="AD60" s="496"/>
      <c r="AE60" s="496"/>
      <c r="AF60" s="496"/>
      <c r="AG60" s="496"/>
      <c r="AH60" s="496"/>
      <c r="AI60" s="496"/>
      <c r="AJ60" s="496"/>
      <c r="AK60" s="496"/>
      <c r="AL60" s="496"/>
      <c r="AM60" s="496"/>
      <c r="AN60" s="496"/>
      <c r="AO60" s="496"/>
      <c r="AP60" s="496"/>
    </row>
    <row r="61" spans="1:42">
      <c r="A61" t="str">
        <f t="shared" ref="A61:A83" si="18">A33</f>
        <v>Gases</v>
      </c>
      <c r="C61" t="str">
        <f t="shared" ref="C61:C83" si="19">C33</f>
        <v>R_ES-WH-FL_GAS</v>
      </c>
      <c r="E61" t="str">
        <f t="shared" ref="E61:E83" si="20">E33</f>
        <v>R_ES-FL-WatHeat</v>
      </c>
      <c r="F61" s="496"/>
      <c r="G61" s="496"/>
      <c r="H61" s="496"/>
      <c r="I61" s="496"/>
      <c r="J61" s="496"/>
      <c r="K61" s="496"/>
      <c r="L61" s="496"/>
      <c r="M61" s="496"/>
      <c r="N61" s="496"/>
      <c r="O61" s="496"/>
      <c r="P61" s="496"/>
      <c r="Q61" s="496"/>
      <c r="R61" s="496"/>
      <c r="S61" s="496"/>
      <c r="T61" s="496"/>
      <c r="U61" s="496"/>
      <c r="V61" s="496"/>
      <c r="W61" s="496"/>
      <c r="X61" s="496"/>
      <c r="Y61" s="496"/>
      <c r="Z61" s="496"/>
      <c r="AA61" s="496"/>
      <c r="AB61" s="496"/>
      <c r="AC61" s="496"/>
      <c r="AD61" s="496"/>
      <c r="AE61" s="496"/>
      <c r="AF61" s="496"/>
      <c r="AG61" s="496"/>
      <c r="AH61" s="496"/>
      <c r="AI61" s="496"/>
      <c r="AJ61" s="496"/>
      <c r="AK61" s="496"/>
      <c r="AL61" s="496"/>
      <c r="AM61" s="496"/>
      <c r="AN61" s="496"/>
      <c r="AO61" s="496"/>
      <c r="AP61" s="496"/>
    </row>
    <row r="62" spans="1:42">
      <c r="A62" t="str">
        <f t="shared" si="18"/>
        <v>Derived heat</v>
      </c>
      <c r="C62" t="str">
        <f t="shared" si="19"/>
        <v>R_ES-WH-FL_HET</v>
      </c>
      <c r="E62" t="str">
        <f t="shared" si="20"/>
        <v>R_ES-FL-WatHeat</v>
      </c>
      <c r="F62" s="496"/>
      <c r="G62" s="496"/>
      <c r="H62" s="496"/>
      <c r="I62" s="496"/>
      <c r="J62" s="496"/>
      <c r="K62" s="496"/>
      <c r="L62" s="496"/>
      <c r="M62" s="496"/>
      <c r="N62" s="496"/>
      <c r="O62" s="496"/>
      <c r="P62" s="496"/>
      <c r="Q62" s="496"/>
      <c r="R62" s="496"/>
      <c r="S62" s="496"/>
      <c r="T62" s="496"/>
      <c r="U62" s="496"/>
      <c r="V62" s="496"/>
      <c r="W62" s="496"/>
      <c r="X62" s="496"/>
      <c r="Y62" s="496"/>
      <c r="Z62" s="496"/>
      <c r="AA62" s="496"/>
      <c r="AB62" s="496"/>
      <c r="AC62" s="496"/>
      <c r="AD62" s="496"/>
      <c r="AE62" s="496"/>
      <c r="AF62" s="496"/>
      <c r="AG62" s="496"/>
      <c r="AH62" s="496"/>
      <c r="AI62" s="496"/>
      <c r="AJ62" s="496"/>
      <c r="AK62" s="496"/>
      <c r="AL62" s="496"/>
      <c r="AM62" s="496"/>
      <c r="AN62" s="496"/>
      <c r="AO62" s="496"/>
      <c r="AP62" s="496"/>
    </row>
    <row r="63" spans="1:42">
      <c r="A63" t="str">
        <f t="shared" si="18"/>
        <v>GDO and other liquids (incl. liq. bio.)</v>
      </c>
      <c r="C63" t="str">
        <f t="shared" si="19"/>
        <v>R_ES-WH-FL_OIL</v>
      </c>
      <c r="E63" t="str">
        <f t="shared" si="20"/>
        <v>R_ES-FL-WatHeat</v>
      </c>
      <c r="F63" s="496"/>
      <c r="G63" s="496"/>
      <c r="H63" s="496"/>
      <c r="I63" s="496"/>
      <c r="J63" s="496"/>
      <c r="K63" s="496"/>
      <c r="L63" s="496"/>
      <c r="M63" s="496"/>
      <c r="N63" s="496"/>
      <c r="O63" s="496"/>
      <c r="P63" s="496"/>
      <c r="Q63" s="496"/>
      <c r="R63" s="496"/>
      <c r="S63" s="496"/>
      <c r="T63" s="496"/>
      <c r="U63" s="496"/>
      <c r="V63" s="496"/>
      <c r="W63" s="496"/>
      <c r="X63" s="496"/>
      <c r="Y63" s="496"/>
      <c r="Z63" s="496"/>
      <c r="AA63" s="496"/>
      <c r="AB63" s="496"/>
      <c r="AC63" s="496"/>
      <c r="AD63" s="496"/>
      <c r="AE63" s="496"/>
      <c r="AF63" s="496"/>
      <c r="AG63" s="496"/>
      <c r="AH63" s="496"/>
      <c r="AI63" s="496"/>
      <c r="AJ63" s="496"/>
      <c r="AK63" s="496"/>
      <c r="AL63" s="496"/>
      <c r="AM63" s="496"/>
      <c r="AN63" s="496"/>
      <c r="AO63" s="496"/>
      <c r="AP63" s="496"/>
    </row>
    <row r="64" spans="1:42">
      <c r="A64" t="str">
        <f t="shared" si="18"/>
        <v>Biomass and wastes</v>
      </c>
      <c r="C64" t="str">
        <f t="shared" si="19"/>
        <v>R_ES-WH-FL_BIO</v>
      </c>
      <c r="E64" t="str">
        <f t="shared" si="20"/>
        <v>R_ES-FL-WatHeat</v>
      </c>
      <c r="F64" s="496"/>
      <c r="G64" s="496"/>
      <c r="H64" s="496"/>
      <c r="I64" s="496"/>
      <c r="J64" s="496"/>
      <c r="K64" s="496"/>
      <c r="L64" s="496"/>
      <c r="M64" s="496"/>
      <c r="N64" s="496"/>
      <c r="O64" s="496"/>
      <c r="P64" s="496"/>
      <c r="Q64" s="496"/>
      <c r="R64" s="496"/>
      <c r="S64" s="496"/>
      <c r="T64" s="496"/>
      <c r="U64" s="496"/>
      <c r="V64" s="496"/>
      <c r="W64" s="496"/>
      <c r="X64" s="496"/>
      <c r="Y64" s="496"/>
      <c r="Z64" s="496"/>
      <c r="AA64" s="496"/>
      <c r="AB64" s="496"/>
      <c r="AC64" s="496"/>
      <c r="AD64" s="496"/>
      <c r="AE64" s="496"/>
      <c r="AF64" s="496"/>
      <c r="AG64" s="496"/>
      <c r="AH64" s="496"/>
      <c r="AI64" s="496"/>
      <c r="AJ64" s="496"/>
      <c r="AK64" s="496"/>
      <c r="AL64" s="496"/>
      <c r="AM64" s="496"/>
      <c r="AN64" s="496"/>
      <c r="AO64" s="496"/>
      <c r="AP64" s="496"/>
    </row>
    <row r="65" spans="1:42">
      <c r="A65" t="str">
        <f t="shared" si="18"/>
        <v>Solids</v>
      </c>
      <c r="C65" t="str">
        <f t="shared" si="19"/>
        <v>R_ES-WH-FL_COA</v>
      </c>
      <c r="E65" t="str">
        <f t="shared" si="20"/>
        <v>R_ES-FL-WatHeat</v>
      </c>
      <c r="F65" s="496"/>
      <c r="G65" s="496"/>
      <c r="H65" s="496"/>
      <c r="I65" s="496"/>
      <c r="J65" s="496"/>
      <c r="K65" s="496"/>
      <c r="L65" s="496"/>
      <c r="M65" s="496"/>
      <c r="N65" s="496"/>
      <c r="O65" s="496"/>
      <c r="P65" s="496"/>
      <c r="Q65" s="496"/>
      <c r="R65" s="496"/>
      <c r="S65" s="496"/>
      <c r="T65" s="496"/>
      <c r="U65" s="496"/>
      <c r="V65" s="496"/>
      <c r="W65" s="496"/>
      <c r="X65" s="496"/>
      <c r="Y65" s="496"/>
      <c r="Z65" s="496"/>
      <c r="AA65" s="496"/>
      <c r="AB65" s="496"/>
      <c r="AC65" s="496"/>
      <c r="AD65" s="496"/>
      <c r="AE65" s="496"/>
      <c r="AF65" s="496"/>
      <c r="AG65" s="496"/>
      <c r="AH65" s="496"/>
      <c r="AI65" s="496"/>
      <c r="AJ65" s="496"/>
      <c r="AK65" s="496"/>
      <c r="AL65" s="496"/>
      <c r="AM65" s="496"/>
      <c r="AN65" s="496"/>
      <c r="AO65" s="496"/>
      <c r="AP65" s="496"/>
    </row>
    <row r="66" spans="1:42">
      <c r="A66" t="str">
        <f t="shared" si="18"/>
        <v>LPG</v>
      </c>
      <c r="C66" t="str">
        <f t="shared" si="19"/>
        <v>R_ES-WH-FL_LPG</v>
      </c>
      <c r="E66" t="str">
        <f t="shared" si="20"/>
        <v>R_ES-FL-WatHeat</v>
      </c>
      <c r="F66" s="496"/>
      <c r="G66" s="496"/>
      <c r="H66" s="496"/>
      <c r="I66" s="496"/>
      <c r="J66" s="496"/>
      <c r="K66" s="496"/>
      <c r="L66" s="496"/>
      <c r="M66" s="496"/>
      <c r="N66" s="496"/>
      <c r="O66" s="496"/>
      <c r="P66" s="496"/>
      <c r="Q66" s="496"/>
      <c r="R66" s="496"/>
      <c r="S66" s="496"/>
      <c r="T66" s="496"/>
      <c r="U66" s="496"/>
      <c r="V66" s="496"/>
      <c r="W66" s="496"/>
      <c r="X66" s="496"/>
      <c r="Y66" s="496"/>
      <c r="Z66" s="496"/>
      <c r="AA66" s="496"/>
      <c r="AB66" s="496"/>
      <c r="AC66" s="496"/>
      <c r="AD66" s="496"/>
      <c r="AE66" s="496"/>
      <c r="AF66" s="496"/>
      <c r="AG66" s="496"/>
      <c r="AH66" s="496"/>
      <c r="AI66" s="496"/>
      <c r="AJ66" s="496"/>
      <c r="AK66" s="496"/>
      <c r="AL66" s="496"/>
      <c r="AM66" s="496"/>
      <c r="AN66" s="496"/>
      <c r="AO66" s="496"/>
      <c r="AP66" s="496"/>
    </row>
    <row r="67" spans="1:42">
      <c r="A67" t="str">
        <f t="shared" si="18"/>
        <v>Solar</v>
      </c>
      <c r="C67" t="str">
        <f t="shared" si="19"/>
        <v>R_ES-WH-FL_SOL</v>
      </c>
      <c r="E67" t="str">
        <f t="shared" si="20"/>
        <v>R_ES-FL-WatHeat</v>
      </c>
      <c r="F67" s="496"/>
      <c r="G67" s="496"/>
      <c r="H67" s="496"/>
      <c r="I67" s="496"/>
      <c r="J67" s="496"/>
      <c r="K67" s="496"/>
      <c r="L67" s="496"/>
      <c r="M67" s="496"/>
      <c r="N67" s="496"/>
      <c r="O67" s="496"/>
      <c r="P67" s="496"/>
      <c r="Q67" s="496"/>
      <c r="R67" s="496"/>
      <c r="S67" s="496"/>
      <c r="T67" s="496"/>
      <c r="U67" s="496"/>
      <c r="V67" s="496"/>
      <c r="W67" s="496"/>
      <c r="X67" s="496"/>
      <c r="Y67" s="496"/>
      <c r="Z67" s="496"/>
      <c r="AA67" s="496"/>
      <c r="AB67" s="496"/>
      <c r="AC67" s="496"/>
      <c r="AD67" s="496"/>
      <c r="AE67" s="496"/>
      <c r="AF67" s="496"/>
      <c r="AG67" s="496"/>
      <c r="AH67" s="496"/>
      <c r="AI67" s="496"/>
      <c r="AJ67" s="496"/>
      <c r="AK67" s="496"/>
      <c r="AL67" s="496"/>
      <c r="AM67" s="496"/>
      <c r="AN67" s="496"/>
      <c r="AO67" s="496"/>
      <c r="AP67" s="496"/>
    </row>
    <row r="68" spans="1:42">
      <c r="A68" t="str">
        <f t="shared" si="18"/>
        <v>Electricity</v>
      </c>
      <c r="C68" t="str">
        <f t="shared" si="19"/>
        <v>R_ES-WH-DH_ELC</v>
      </c>
      <c r="E68" t="str">
        <f t="shared" si="20"/>
        <v>R_ES-DH-WatHeat</v>
      </c>
      <c r="F68" s="496"/>
      <c r="G68" s="496"/>
      <c r="H68" s="496"/>
      <c r="I68" s="496"/>
      <c r="J68" s="496"/>
      <c r="K68" s="496"/>
      <c r="L68" s="496"/>
      <c r="M68" s="496"/>
      <c r="N68" s="496"/>
      <c r="O68" s="496"/>
      <c r="P68" s="496"/>
      <c r="Q68" s="496"/>
      <c r="R68" s="496"/>
      <c r="S68" s="496"/>
      <c r="T68" s="496"/>
      <c r="U68" s="496"/>
      <c r="V68" s="496"/>
      <c r="W68" s="496"/>
      <c r="X68" s="496"/>
      <c r="Y68" s="496"/>
      <c r="Z68" s="496"/>
      <c r="AA68" s="496"/>
      <c r="AB68" s="496"/>
      <c r="AC68" s="496"/>
      <c r="AD68" s="496"/>
      <c r="AE68" s="496"/>
      <c r="AF68" s="496"/>
      <c r="AG68" s="496"/>
      <c r="AH68" s="496"/>
      <c r="AI68" s="496"/>
      <c r="AJ68" s="496"/>
      <c r="AK68" s="496"/>
      <c r="AL68" s="496"/>
      <c r="AM68" s="496"/>
      <c r="AN68" s="496"/>
      <c r="AO68" s="496"/>
      <c r="AP68" s="496"/>
    </row>
    <row r="69" spans="1:42">
      <c r="A69" t="str">
        <f t="shared" si="18"/>
        <v>Gases</v>
      </c>
      <c r="C69" t="str">
        <f t="shared" si="19"/>
        <v>R_ES-WH-DH_GAS</v>
      </c>
      <c r="E69" t="str">
        <f t="shared" si="20"/>
        <v>R_ES-DH-WatHeat</v>
      </c>
      <c r="F69" s="496"/>
      <c r="G69" s="496"/>
      <c r="H69" s="496"/>
      <c r="I69" s="496"/>
      <c r="J69" s="496"/>
      <c r="K69" s="496"/>
      <c r="L69" s="496"/>
      <c r="M69" s="496"/>
      <c r="N69" s="496"/>
      <c r="O69" s="496"/>
      <c r="P69" s="496"/>
      <c r="Q69" s="496"/>
      <c r="R69" s="496"/>
      <c r="S69" s="496"/>
      <c r="T69" s="496"/>
      <c r="U69" s="496"/>
      <c r="V69" s="496"/>
      <c r="W69" s="496"/>
      <c r="X69" s="496"/>
      <c r="Y69" s="496"/>
      <c r="Z69" s="496"/>
      <c r="AA69" s="496"/>
      <c r="AB69" s="496"/>
      <c r="AC69" s="496"/>
      <c r="AD69" s="496"/>
      <c r="AE69" s="496"/>
      <c r="AF69" s="496"/>
      <c r="AG69" s="496"/>
      <c r="AH69" s="496"/>
      <c r="AI69" s="496"/>
      <c r="AJ69" s="496"/>
      <c r="AK69" s="496"/>
      <c r="AL69" s="496"/>
      <c r="AM69" s="496"/>
      <c r="AN69" s="496"/>
      <c r="AO69" s="496"/>
      <c r="AP69" s="496"/>
    </row>
    <row r="70" spans="1:42">
      <c r="A70" t="str">
        <f t="shared" si="18"/>
        <v>Derived heat</v>
      </c>
      <c r="C70" t="str">
        <f t="shared" si="19"/>
        <v>R_ES-WH-DH_HET</v>
      </c>
      <c r="E70" t="str">
        <f t="shared" si="20"/>
        <v>R_ES-DH-WatHeat</v>
      </c>
      <c r="F70" s="496"/>
      <c r="G70" s="496"/>
      <c r="H70" s="496"/>
      <c r="I70" s="496"/>
      <c r="J70" s="496"/>
      <c r="K70" s="496"/>
      <c r="L70" s="496"/>
      <c r="M70" s="496"/>
      <c r="N70" s="496"/>
      <c r="O70" s="496"/>
      <c r="P70" s="496"/>
      <c r="Q70" s="496"/>
      <c r="R70" s="496"/>
      <c r="S70" s="496"/>
      <c r="T70" s="496"/>
      <c r="U70" s="496"/>
      <c r="V70" s="496"/>
      <c r="W70" s="496"/>
      <c r="X70" s="496"/>
      <c r="Y70" s="496"/>
      <c r="Z70" s="496"/>
      <c r="AA70" s="496"/>
      <c r="AB70" s="496"/>
      <c r="AC70" s="496"/>
      <c r="AD70" s="496"/>
      <c r="AE70" s="496"/>
      <c r="AF70" s="496"/>
      <c r="AG70" s="496"/>
      <c r="AH70" s="496"/>
      <c r="AI70" s="496"/>
      <c r="AJ70" s="496"/>
      <c r="AK70" s="496"/>
      <c r="AL70" s="496"/>
      <c r="AM70" s="496"/>
      <c r="AN70" s="496"/>
      <c r="AO70" s="496"/>
      <c r="AP70" s="496"/>
    </row>
    <row r="71" spans="1:42">
      <c r="A71" t="str">
        <f t="shared" si="18"/>
        <v>GDO and other liquids (incl. liq. bio.)</v>
      </c>
      <c r="C71" t="str">
        <f t="shared" si="19"/>
        <v>R_ES-WH-DH_OIL</v>
      </c>
      <c r="E71" t="str">
        <f t="shared" si="20"/>
        <v>R_ES-DH-WatHeat</v>
      </c>
      <c r="F71" s="496"/>
      <c r="G71" s="496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496"/>
      <c r="Y71" s="496"/>
      <c r="Z71" s="496"/>
      <c r="AA71" s="496"/>
      <c r="AB71" s="496"/>
      <c r="AC71" s="496"/>
      <c r="AD71" s="496"/>
      <c r="AE71" s="496"/>
      <c r="AF71" s="496"/>
      <c r="AG71" s="496"/>
      <c r="AH71" s="496"/>
      <c r="AI71" s="496"/>
      <c r="AJ71" s="496"/>
      <c r="AK71" s="496"/>
      <c r="AL71" s="496"/>
      <c r="AM71" s="496"/>
      <c r="AN71" s="496"/>
      <c r="AO71" s="496"/>
      <c r="AP71" s="496"/>
    </row>
    <row r="72" spans="1:42">
      <c r="A72" t="str">
        <f t="shared" si="18"/>
        <v>Biomass and wastes</v>
      </c>
      <c r="C72" t="str">
        <f t="shared" si="19"/>
        <v>R_ES-WH-DH_BIO</v>
      </c>
      <c r="E72" t="str">
        <f t="shared" si="20"/>
        <v>R_ES-DH-WatHeat</v>
      </c>
      <c r="F72" s="496"/>
      <c r="G72" s="496"/>
      <c r="H72" s="496"/>
      <c r="I72" s="496"/>
      <c r="J72" s="496"/>
      <c r="K72" s="496"/>
      <c r="L72" s="496"/>
      <c r="M72" s="496"/>
      <c r="N72" s="496"/>
      <c r="O72" s="496"/>
      <c r="P72" s="496"/>
      <c r="Q72" s="496"/>
      <c r="R72" s="496"/>
      <c r="S72" s="496"/>
      <c r="T72" s="496"/>
      <c r="U72" s="496"/>
      <c r="V72" s="496"/>
      <c r="W72" s="496"/>
      <c r="X72" s="496"/>
      <c r="Y72" s="496"/>
      <c r="Z72" s="496"/>
      <c r="AA72" s="496"/>
      <c r="AB72" s="496"/>
      <c r="AC72" s="496"/>
      <c r="AD72" s="496"/>
      <c r="AE72" s="496"/>
      <c r="AF72" s="496"/>
      <c r="AG72" s="496"/>
      <c r="AH72" s="496"/>
      <c r="AI72" s="496"/>
      <c r="AJ72" s="496"/>
      <c r="AK72" s="496"/>
      <c r="AL72" s="496"/>
      <c r="AM72" s="496"/>
      <c r="AN72" s="496"/>
      <c r="AO72" s="496"/>
      <c r="AP72" s="496"/>
    </row>
    <row r="73" spans="1:42">
      <c r="A73" t="str">
        <f t="shared" si="18"/>
        <v>Solids</v>
      </c>
      <c r="C73" t="str">
        <f t="shared" si="19"/>
        <v>R_ES-WH-DH_COA</v>
      </c>
      <c r="E73" t="str">
        <f t="shared" si="20"/>
        <v>R_ES-DH-WatHeat</v>
      </c>
      <c r="F73" s="496"/>
      <c r="G73" s="496"/>
      <c r="H73" s="496"/>
      <c r="I73" s="496"/>
      <c r="J73" s="496"/>
      <c r="K73" s="496"/>
      <c r="L73" s="496"/>
      <c r="M73" s="496"/>
      <c r="N73" s="496"/>
      <c r="O73" s="496"/>
      <c r="P73" s="496"/>
      <c r="Q73" s="496"/>
      <c r="R73" s="496"/>
      <c r="S73" s="496"/>
      <c r="T73" s="496"/>
      <c r="U73" s="496"/>
      <c r="V73" s="496"/>
      <c r="W73" s="496"/>
      <c r="X73" s="496"/>
      <c r="Y73" s="496"/>
      <c r="Z73" s="496"/>
      <c r="AA73" s="496"/>
      <c r="AB73" s="496"/>
      <c r="AC73" s="496"/>
      <c r="AD73" s="496"/>
      <c r="AE73" s="496"/>
      <c r="AF73" s="496"/>
      <c r="AG73" s="496"/>
      <c r="AH73" s="496"/>
      <c r="AI73" s="496"/>
      <c r="AJ73" s="496"/>
      <c r="AK73" s="496"/>
      <c r="AL73" s="496"/>
      <c r="AM73" s="496"/>
      <c r="AN73" s="496"/>
      <c r="AO73" s="496"/>
      <c r="AP73" s="496"/>
    </row>
    <row r="74" spans="1:42">
      <c r="A74" t="str">
        <f t="shared" si="18"/>
        <v>LPG</v>
      </c>
      <c r="C74" t="str">
        <f t="shared" si="19"/>
        <v>R_ES-WH-DH_LPG</v>
      </c>
      <c r="E74" t="str">
        <f t="shared" si="20"/>
        <v>R_ES-DH-WatHeat</v>
      </c>
      <c r="F74" s="496"/>
      <c r="G74" s="496"/>
      <c r="H74" s="496"/>
      <c r="I74" s="496"/>
      <c r="J74" s="496"/>
      <c r="K74" s="496"/>
      <c r="L74" s="496"/>
      <c r="M74" s="496"/>
      <c r="N74" s="496"/>
      <c r="O74" s="496"/>
      <c r="P74" s="496"/>
      <c r="Q74" s="496"/>
      <c r="R74" s="496"/>
      <c r="S74" s="496"/>
      <c r="T74" s="496"/>
      <c r="U74" s="496"/>
      <c r="V74" s="496"/>
      <c r="W74" s="496"/>
      <c r="X74" s="496"/>
      <c r="Y74" s="496"/>
      <c r="Z74" s="496"/>
      <c r="AA74" s="496"/>
      <c r="AB74" s="496"/>
      <c r="AC74" s="496"/>
      <c r="AD74" s="496"/>
      <c r="AE74" s="496"/>
      <c r="AF74" s="496"/>
      <c r="AG74" s="496"/>
      <c r="AH74" s="496"/>
      <c r="AI74" s="496"/>
      <c r="AJ74" s="496"/>
      <c r="AK74" s="496"/>
      <c r="AL74" s="496"/>
      <c r="AM74" s="496"/>
      <c r="AN74" s="496"/>
      <c r="AO74" s="496"/>
      <c r="AP74" s="496"/>
    </row>
    <row r="75" spans="1:42">
      <c r="A75" t="str">
        <f t="shared" si="18"/>
        <v>Solar</v>
      </c>
      <c r="C75" t="str">
        <f t="shared" si="19"/>
        <v>R_ES-WH-DH_SOL</v>
      </c>
      <c r="E75" t="str">
        <f t="shared" si="20"/>
        <v>R_ES-DH-WatHeat</v>
      </c>
      <c r="F75" s="496"/>
      <c r="G75" s="496"/>
      <c r="H75" s="496"/>
      <c r="I75" s="496"/>
      <c r="J75" s="496"/>
      <c r="K75" s="496"/>
      <c r="L75" s="496"/>
      <c r="M75" s="496"/>
      <c r="N75" s="496"/>
      <c r="O75" s="496"/>
      <c r="P75" s="496"/>
      <c r="Q75" s="496"/>
      <c r="R75" s="496"/>
      <c r="S75" s="496"/>
      <c r="T75" s="496"/>
      <c r="U75" s="496"/>
      <c r="V75" s="496"/>
      <c r="W75" s="496"/>
      <c r="X75" s="496"/>
      <c r="Y75" s="496"/>
      <c r="Z75" s="496"/>
      <c r="AA75" s="496"/>
      <c r="AB75" s="496"/>
      <c r="AC75" s="496"/>
      <c r="AD75" s="496"/>
      <c r="AE75" s="496"/>
      <c r="AF75" s="496"/>
      <c r="AG75" s="496"/>
      <c r="AH75" s="496"/>
      <c r="AI75" s="496"/>
      <c r="AJ75" s="496"/>
      <c r="AK75" s="496"/>
      <c r="AL75" s="496"/>
      <c r="AM75" s="496"/>
      <c r="AN75" s="496"/>
      <c r="AO75" s="496"/>
      <c r="AP75" s="496"/>
    </row>
    <row r="76" spans="1:42">
      <c r="A76" t="str">
        <f t="shared" si="18"/>
        <v>Electricity</v>
      </c>
      <c r="C76" t="str">
        <f t="shared" si="19"/>
        <v>R_ES-WH-SD_ELC</v>
      </c>
      <c r="E76" t="str">
        <f t="shared" si="20"/>
        <v>R_ES-SD-WatHeat</v>
      </c>
      <c r="F76" s="496"/>
      <c r="G76" s="496"/>
      <c r="H76" s="496"/>
      <c r="I76" s="496"/>
      <c r="J76" s="496"/>
      <c r="K76" s="496"/>
      <c r="L76" s="496"/>
      <c r="M76" s="496"/>
      <c r="N76" s="496"/>
      <c r="O76" s="496"/>
      <c r="P76" s="496"/>
      <c r="Q76" s="496"/>
      <c r="R76" s="496"/>
      <c r="S76" s="496"/>
      <c r="T76" s="496"/>
      <c r="U76" s="496"/>
      <c r="V76" s="496"/>
      <c r="W76" s="496"/>
      <c r="X76" s="496"/>
      <c r="Y76" s="496"/>
      <c r="Z76" s="496"/>
      <c r="AA76" s="496"/>
      <c r="AB76" s="496"/>
      <c r="AC76" s="496"/>
      <c r="AD76" s="496"/>
      <c r="AE76" s="496"/>
      <c r="AF76" s="496"/>
      <c r="AG76" s="496"/>
      <c r="AH76" s="496"/>
      <c r="AI76" s="496"/>
      <c r="AJ76" s="496"/>
      <c r="AK76" s="496"/>
      <c r="AL76" s="496"/>
      <c r="AM76" s="496"/>
      <c r="AN76" s="496"/>
      <c r="AO76" s="496"/>
      <c r="AP76" s="496"/>
    </row>
    <row r="77" spans="1:42">
      <c r="A77" t="str">
        <f t="shared" si="18"/>
        <v>Gases</v>
      </c>
      <c r="C77" t="str">
        <f t="shared" si="19"/>
        <v>R_ES-WH-SD_GAS</v>
      </c>
      <c r="E77" t="str">
        <f t="shared" si="20"/>
        <v>R_ES-SD-WatHeat</v>
      </c>
      <c r="F77" s="496"/>
      <c r="G77" s="496"/>
      <c r="H77" s="496"/>
      <c r="I77" s="496"/>
      <c r="J77" s="496"/>
      <c r="K77" s="496"/>
      <c r="L77" s="496"/>
      <c r="M77" s="496"/>
      <c r="N77" s="496"/>
      <c r="O77" s="496"/>
      <c r="P77" s="496"/>
      <c r="Q77" s="496"/>
      <c r="R77" s="496"/>
      <c r="S77" s="496"/>
      <c r="T77" s="496"/>
      <c r="U77" s="496"/>
      <c r="V77" s="496"/>
      <c r="W77" s="496"/>
      <c r="X77" s="496"/>
      <c r="Y77" s="496"/>
      <c r="Z77" s="496"/>
      <c r="AA77" s="496"/>
      <c r="AB77" s="496"/>
      <c r="AC77" s="496"/>
      <c r="AD77" s="496"/>
      <c r="AE77" s="496"/>
      <c r="AF77" s="496"/>
      <c r="AG77" s="496"/>
      <c r="AH77" s="496"/>
      <c r="AI77" s="496"/>
      <c r="AJ77" s="496"/>
      <c r="AK77" s="496"/>
      <c r="AL77" s="496"/>
      <c r="AM77" s="496"/>
      <c r="AN77" s="496"/>
      <c r="AO77" s="496"/>
      <c r="AP77" s="496"/>
    </row>
    <row r="78" spans="1:42">
      <c r="A78" t="str">
        <f t="shared" si="18"/>
        <v>Derived heat</v>
      </c>
      <c r="C78" t="str">
        <f t="shared" si="19"/>
        <v>R_ES-WH-SD_HET</v>
      </c>
      <c r="E78" t="str">
        <f t="shared" si="20"/>
        <v>R_ES-SD-WatHeat</v>
      </c>
      <c r="F78" s="496"/>
      <c r="G78" s="496"/>
      <c r="H78" s="496"/>
      <c r="I78" s="496"/>
      <c r="J78" s="496"/>
      <c r="K78" s="496"/>
      <c r="L78" s="496"/>
      <c r="M78" s="496"/>
      <c r="N78" s="496"/>
      <c r="O78" s="496"/>
      <c r="P78" s="496"/>
      <c r="Q78" s="496"/>
      <c r="R78" s="496"/>
      <c r="S78" s="496"/>
      <c r="T78" s="496"/>
      <c r="U78" s="496"/>
      <c r="V78" s="496"/>
      <c r="W78" s="496"/>
      <c r="X78" s="496"/>
      <c r="Y78" s="496"/>
      <c r="Z78" s="496"/>
      <c r="AA78" s="496"/>
      <c r="AB78" s="496"/>
      <c r="AC78" s="496"/>
      <c r="AD78" s="496"/>
      <c r="AE78" s="496"/>
      <c r="AF78" s="496"/>
      <c r="AG78" s="496"/>
      <c r="AH78" s="496"/>
      <c r="AI78" s="496"/>
      <c r="AJ78" s="496"/>
      <c r="AK78" s="496"/>
      <c r="AL78" s="496"/>
      <c r="AM78" s="496"/>
      <c r="AN78" s="496"/>
      <c r="AO78" s="496"/>
      <c r="AP78" s="496"/>
    </row>
    <row r="79" spans="1:42">
      <c r="A79" t="str">
        <f t="shared" si="18"/>
        <v>GDO and other liquids (incl. liq. bio.)</v>
      </c>
      <c r="C79" t="str">
        <f t="shared" si="19"/>
        <v>R_ES-WH-SD_OIL</v>
      </c>
      <c r="E79" t="str">
        <f t="shared" si="20"/>
        <v>R_ES-SD-WatHeat</v>
      </c>
      <c r="F79" s="496"/>
      <c r="G79" s="496"/>
      <c r="H79" s="496"/>
      <c r="I79" s="496"/>
      <c r="J79" s="496"/>
      <c r="K79" s="496"/>
      <c r="L79" s="496"/>
      <c r="M79" s="496"/>
      <c r="N79" s="496"/>
      <c r="O79" s="496"/>
      <c r="P79" s="496"/>
      <c r="Q79" s="496"/>
      <c r="R79" s="496"/>
      <c r="S79" s="496"/>
      <c r="T79" s="496"/>
      <c r="U79" s="496"/>
      <c r="V79" s="496"/>
      <c r="W79" s="496"/>
      <c r="X79" s="496"/>
      <c r="Y79" s="496"/>
      <c r="Z79" s="496"/>
      <c r="AA79" s="496"/>
      <c r="AB79" s="496"/>
      <c r="AC79" s="496"/>
      <c r="AD79" s="496"/>
      <c r="AE79" s="496"/>
      <c r="AF79" s="496"/>
      <c r="AG79" s="496"/>
      <c r="AH79" s="496"/>
      <c r="AI79" s="496"/>
      <c r="AJ79" s="496"/>
      <c r="AK79" s="496"/>
      <c r="AL79" s="496"/>
      <c r="AM79" s="496"/>
      <c r="AN79" s="496"/>
      <c r="AO79" s="496"/>
      <c r="AP79" s="496"/>
    </row>
    <row r="80" spans="1:42">
      <c r="A80" t="str">
        <f t="shared" si="18"/>
        <v>Biomass and wastes</v>
      </c>
      <c r="C80" t="str">
        <f t="shared" si="19"/>
        <v>R_ES-WH-SD_BIO</v>
      </c>
      <c r="E80" t="str">
        <f t="shared" si="20"/>
        <v>R_ES-SD-WatHeat</v>
      </c>
      <c r="F80" s="496"/>
      <c r="G80" s="496"/>
      <c r="H80" s="496"/>
      <c r="I80" s="496"/>
      <c r="J80" s="496"/>
      <c r="K80" s="496"/>
      <c r="L80" s="496"/>
      <c r="M80" s="496"/>
      <c r="N80" s="496"/>
      <c r="O80" s="496"/>
      <c r="P80" s="496"/>
      <c r="Q80" s="496"/>
      <c r="R80" s="496"/>
      <c r="S80" s="496"/>
      <c r="T80" s="496"/>
      <c r="U80" s="496"/>
      <c r="V80" s="496"/>
      <c r="W80" s="496"/>
      <c r="X80" s="496"/>
      <c r="Y80" s="496"/>
      <c r="Z80" s="496"/>
      <c r="AA80" s="496"/>
      <c r="AB80" s="496"/>
      <c r="AC80" s="496"/>
      <c r="AD80" s="496"/>
      <c r="AE80" s="496"/>
      <c r="AF80" s="496"/>
      <c r="AG80" s="496"/>
      <c r="AH80" s="496"/>
      <c r="AI80" s="496"/>
      <c r="AJ80" s="496"/>
      <c r="AK80" s="496"/>
      <c r="AL80" s="496"/>
      <c r="AM80" s="496"/>
      <c r="AN80" s="496"/>
      <c r="AO80" s="496"/>
      <c r="AP80" s="496"/>
    </row>
    <row r="81" spans="1:42">
      <c r="A81" t="str">
        <f t="shared" si="18"/>
        <v>Solids</v>
      </c>
      <c r="C81" t="str">
        <f t="shared" si="19"/>
        <v>R_ES-WH-SD_COA</v>
      </c>
      <c r="E81" t="str">
        <f t="shared" si="20"/>
        <v>R_ES-SD-WatHeat</v>
      </c>
      <c r="F81" s="496"/>
      <c r="G81" s="496"/>
      <c r="H81" s="496"/>
      <c r="I81" s="496"/>
      <c r="J81" s="496"/>
      <c r="K81" s="496"/>
      <c r="L81" s="496"/>
      <c r="M81" s="496"/>
      <c r="N81" s="496"/>
      <c r="O81" s="496"/>
      <c r="P81" s="496"/>
      <c r="Q81" s="496"/>
      <c r="R81" s="496"/>
      <c r="S81" s="496"/>
      <c r="T81" s="496"/>
      <c r="U81" s="496"/>
      <c r="V81" s="496"/>
      <c r="W81" s="496"/>
      <c r="X81" s="496"/>
      <c r="Y81" s="496"/>
      <c r="Z81" s="496"/>
      <c r="AA81" s="496"/>
      <c r="AB81" s="496"/>
      <c r="AC81" s="496"/>
      <c r="AD81" s="496"/>
      <c r="AE81" s="496"/>
      <c r="AF81" s="496"/>
      <c r="AG81" s="496"/>
      <c r="AH81" s="496"/>
      <c r="AI81" s="496"/>
      <c r="AJ81" s="496"/>
      <c r="AK81" s="496"/>
      <c r="AL81" s="496"/>
      <c r="AM81" s="496"/>
      <c r="AN81" s="496"/>
      <c r="AO81" s="496"/>
      <c r="AP81" s="496"/>
    </row>
    <row r="82" spans="1:42">
      <c r="A82" t="str">
        <f t="shared" si="18"/>
        <v>LPG</v>
      </c>
      <c r="C82" t="str">
        <f t="shared" si="19"/>
        <v>R_ES-WH-SD_LPG</v>
      </c>
      <c r="E82" t="str">
        <f t="shared" si="20"/>
        <v>R_ES-SD-WatHeat</v>
      </c>
      <c r="F82" s="496"/>
      <c r="G82" s="496"/>
      <c r="H82" s="496"/>
      <c r="I82" s="496"/>
      <c r="J82" s="496"/>
      <c r="K82" s="496"/>
      <c r="L82" s="496"/>
      <c r="M82" s="496"/>
      <c r="N82" s="496"/>
      <c r="O82" s="496"/>
      <c r="P82" s="496"/>
      <c r="Q82" s="496"/>
      <c r="R82" s="496"/>
      <c r="S82" s="496"/>
      <c r="T82" s="496"/>
      <c r="U82" s="496"/>
      <c r="V82" s="496"/>
      <c r="W82" s="496"/>
      <c r="X82" s="496"/>
      <c r="Y82" s="496"/>
      <c r="Z82" s="496"/>
      <c r="AA82" s="496"/>
      <c r="AB82" s="496"/>
      <c r="AC82" s="496"/>
      <c r="AD82" s="496"/>
      <c r="AE82" s="496"/>
      <c r="AF82" s="496"/>
      <c r="AG82" s="496"/>
      <c r="AH82" s="496"/>
      <c r="AI82" s="496"/>
      <c r="AJ82" s="496"/>
      <c r="AK82" s="496"/>
      <c r="AL82" s="496"/>
      <c r="AM82" s="496"/>
      <c r="AN82" s="496"/>
      <c r="AO82" s="496"/>
      <c r="AP82" s="496"/>
    </row>
    <row r="83" spans="1:42">
      <c r="A83" t="str">
        <f t="shared" si="18"/>
        <v>Solar</v>
      </c>
      <c r="C83" t="str">
        <f t="shared" si="19"/>
        <v>R_ES-WH-SD_SOL</v>
      </c>
      <c r="E83" t="str">
        <f t="shared" si="20"/>
        <v>R_ES-SD-WatHeat</v>
      </c>
      <c r="F83" s="496"/>
      <c r="G83" s="496"/>
      <c r="H83" s="496"/>
      <c r="I83" s="496"/>
      <c r="J83" s="496"/>
      <c r="K83" s="496"/>
      <c r="L83" s="496"/>
      <c r="M83" s="496"/>
      <c r="N83" s="496"/>
      <c r="O83" s="496"/>
      <c r="P83" s="496"/>
      <c r="Q83" s="496"/>
      <c r="R83" s="496"/>
      <c r="S83" s="496"/>
      <c r="T83" s="496"/>
      <c r="U83" s="496"/>
      <c r="V83" s="496"/>
      <c r="W83" s="496"/>
      <c r="X83" s="496"/>
      <c r="Y83" s="496"/>
      <c r="Z83" s="496"/>
      <c r="AA83" s="496"/>
      <c r="AB83" s="496"/>
      <c r="AC83" s="496"/>
      <c r="AD83" s="496"/>
      <c r="AE83" s="496"/>
      <c r="AF83" s="496"/>
      <c r="AG83" s="496"/>
      <c r="AH83" s="496"/>
      <c r="AI83" s="496"/>
      <c r="AJ83" s="496"/>
      <c r="AK83" s="496"/>
      <c r="AL83" s="496"/>
      <c r="AM83" s="496"/>
      <c r="AN83" s="496"/>
      <c r="AO83" s="496"/>
      <c r="AP83" s="496"/>
    </row>
    <row r="86" spans="1:42">
      <c r="E86" s="533" t="s">
        <v>607</v>
      </c>
    </row>
    <row r="87" spans="1:42" ht="15" thickBot="1">
      <c r="C87" s="539" t="s">
        <v>545</v>
      </c>
      <c r="D87" s="539" t="s">
        <v>585</v>
      </c>
      <c r="E87" s="539" t="s">
        <v>552</v>
      </c>
      <c r="F87" s="540" t="str">
        <f>'All Stock'!D$2</f>
        <v>AT</v>
      </c>
      <c r="G87" s="540" t="str">
        <f>'All Stock'!E$2</f>
        <v>BE</v>
      </c>
      <c r="H87" s="540" t="str">
        <f>'All Stock'!F$2</f>
        <v>BG</v>
      </c>
      <c r="I87" s="540" t="str">
        <f>'All Stock'!G$2</f>
        <v>CH</v>
      </c>
      <c r="J87" s="540" t="str">
        <f>'All Stock'!H$2</f>
        <v>CY</v>
      </c>
      <c r="K87" s="540" t="str">
        <f>'All Stock'!I$2</f>
        <v>CZ</v>
      </c>
      <c r="L87" s="540" t="str">
        <f>'All Stock'!J$2</f>
        <v>DE</v>
      </c>
      <c r="M87" s="540" t="str">
        <f>'All Stock'!K$2</f>
        <v>DK</v>
      </c>
      <c r="N87" s="540" t="str">
        <f>'All Stock'!L$2</f>
        <v>EE</v>
      </c>
      <c r="O87" s="540" t="str">
        <f>'All Stock'!M$2</f>
        <v>ES</v>
      </c>
      <c r="P87" s="540" t="str">
        <f>'All Stock'!N$2</f>
        <v>FI</v>
      </c>
      <c r="Q87" s="540" t="str">
        <f>'All Stock'!O$2</f>
        <v>FR</v>
      </c>
      <c r="R87" s="540" t="str">
        <f>'All Stock'!P$2</f>
        <v>EL</v>
      </c>
      <c r="S87" s="540" t="str">
        <f>'All Stock'!Q$2</f>
        <v>HR</v>
      </c>
      <c r="T87" s="540" t="str">
        <f>'All Stock'!R$2</f>
        <v>HU</v>
      </c>
      <c r="U87" s="540" t="str">
        <f>'All Stock'!S$2</f>
        <v>IE</v>
      </c>
      <c r="V87" s="540" t="str">
        <f>'All Stock'!T$2</f>
        <v>IS</v>
      </c>
      <c r="W87" s="540" t="str">
        <f>'All Stock'!U$2</f>
        <v>IT</v>
      </c>
      <c r="X87" s="540" t="str">
        <f>'All Stock'!V$2</f>
        <v>LT</v>
      </c>
      <c r="Y87" s="540" t="str">
        <f>'All Stock'!W$2</f>
        <v>LU</v>
      </c>
      <c r="Z87" s="540" t="str">
        <f>'All Stock'!X$2</f>
        <v>LV</v>
      </c>
      <c r="AA87" s="540" t="str">
        <f>'All Stock'!Y$2</f>
        <v>MT</v>
      </c>
      <c r="AB87" s="540" t="str">
        <f>'All Stock'!Z$2</f>
        <v>NL</v>
      </c>
      <c r="AC87" s="540" t="str">
        <f>'All Stock'!AA$2</f>
        <v>NO</v>
      </c>
      <c r="AD87" s="540" t="str">
        <f>'All Stock'!AB$2</f>
        <v>PL</v>
      </c>
      <c r="AE87" s="540" t="str">
        <f>'All Stock'!AC$2</f>
        <v>PT</v>
      </c>
      <c r="AF87" s="540" t="str">
        <f>'All Stock'!AD$2</f>
        <v>RO</v>
      </c>
      <c r="AG87" s="540" t="str">
        <f>'All Stock'!AE$2</f>
        <v>SE</v>
      </c>
      <c r="AH87" s="540" t="str">
        <f>'All Stock'!AF$2</f>
        <v>SI</v>
      </c>
      <c r="AI87" s="540" t="str">
        <f>'All Stock'!AG$2</f>
        <v>SK</v>
      </c>
      <c r="AJ87" s="540" t="str">
        <f>'All Stock'!AH$2</f>
        <v>UK</v>
      </c>
      <c r="AK87" s="540" t="str">
        <f>'All Stock'!AI$2</f>
        <v>AL</v>
      </c>
      <c r="AL87" s="540" t="str">
        <f>'All Stock'!AJ$2</f>
        <v>BA</v>
      </c>
      <c r="AM87" s="540" t="str">
        <f>'All Stock'!AK$2</f>
        <v>ME</v>
      </c>
      <c r="AN87" s="540" t="str">
        <f>'All Stock'!AL$2</f>
        <v>MK</v>
      </c>
      <c r="AO87" s="540" t="str">
        <f>'All Stock'!AM$2</f>
        <v>RS</v>
      </c>
      <c r="AP87" s="540" t="str">
        <f>'All Stock'!AN$2</f>
        <v>KS</v>
      </c>
    </row>
    <row r="88" spans="1:42">
      <c r="A88" t="str">
        <f t="shared" ref="A88:A111" si="21">A60</f>
        <v>Electricity</v>
      </c>
      <c r="C88" t="str">
        <f t="shared" ref="C88:C111" si="22">C60</f>
        <v>R_ES-WH-FL_ELC</v>
      </c>
      <c r="E88" t="str">
        <f t="shared" ref="E88:E111" si="23">E60</f>
        <v>R_ES-FL-WatHeat</v>
      </c>
      <c r="F88" s="496">
        <v>31.536000000000001</v>
      </c>
      <c r="G88" s="496">
        <v>31.536000000000001</v>
      </c>
      <c r="H88" s="496">
        <v>31.536000000000001</v>
      </c>
      <c r="I88" s="496">
        <v>31.536000000000001</v>
      </c>
      <c r="J88" s="496">
        <v>31.536000000000001</v>
      </c>
      <c r="K88" s="496">
        <v>31.536000000000001</v>
      </c>
      <c r="L88" s="496">
        <v>31.536000000000001</v>
      </c>
      <c r="M88" s="496">
        <v>31.536000000000001</v>
      </c>
      <c r="N88" s="496">
        <v>31.536000000000001</v>
      </c>
      <c r="O88" s="496">
        <v>31.536000000000001</v>
      </c>
      <c r="P88" s="496">
        <v>31.536000000000001</v>
      </c>
      <c r="Q88" s="496">
        <v>31.536000000000001</v>
      </c>
      <c r="R88" s="496">
        <v>31.536000000000001</v>
      </c>
      <c r="S88" s="496">
        <v>31.536000000000001</v>
      </c>
      <c r="T88" s="496">
        <v>31.536000000000001</v>
      </c>
      <c r="U88" s="496">
        <v>31.536000000000001</v>
      </c>
      <c r="V88" s="496">
        <v>31.536000000000001</v>
      </c>
      <c r="W88" s="496">
        <v>31.536000000000001</v>
      </c>
      <c r="X88" s="496">
        <v>31.536000000000001</v>
      </c>
      <c r="Y88" s="496">
        <v>31.536000000000001</v>
      </c>
      <c r="Z88" s="496">
        <v>31.536000000000001</v>
      </c>
      <c r="AA88" s="496">
        <v>31.536000000000001</v>
      </c>
      <c r="AB88" s="496">
        <v>31.536000000000001</v>
      </c>
      <c r="AC88" s="496">
        <v>31.536000000000001</v>
      </c>
      <c r="AD88" s="496">
        <v>31.536000000000001</v>
      </c>
      <c r="AE88" s="496">
        <v>31.536000000000001</v>
      </c>
      <c r="AF88" s="496">
        <v>31.536000000000001</v>
      </c>
      <c r="AG88" s="496">
        <v>31.536000000000001</v>
      </c>
      <c r="AH88" s="496">
        <v>31.536000000000001</v>
      </c>
      <c r="AI88" s="496">
        <v>31.536000000000001</v>
      </c>
      <c r="AJ88" s="496">
        <v>31.536000000000001</v>
      </c>
      <c r="AK88" s="496">
        <v>31.536000000000001</v>
      </c>
      <c r="AL88" s="496">
        <v>31.536000000000001</v>
      </c>
      <c r="AM88" s="496">
        <v>31.536000000000001</v>
      </c>
      <c r="AN88" s="496">
        <v>31.536000000000001</v>
      </c>
      <c r="AO88" s="496">
        <v>31.536000000000001</v>
      </c>
      <c r="AP88" s="496">
        <v>31.536000000000001</v>
      </c>
    </row>
    <row r="89" spans="1:42">
      <c r="A89" t="str">
        <f t="shared" si="21"/>
        <v>Gases</v>
      </c>
      <c r="C89" t="str">
        <f t="shared" si="22"/>
        <v>R_ES-WH-FL_GAS</v>
      </c>
      <c r="E89" t="str">
        <f t="shared" si="23"/>
        <v>R_ES-FL-WatHeat</v>
      </c>
      <c r="F89" s="496">
        <v>31.536000000000001</v>
      </c>
      <c r="G89" s="496">
        <v>31.536000000000001</v>
      </c>
      <c r="H89" s="496">
        <v>31.536000000000001</v>
      </c>
      <c r="I89" s="496">
        <v>31.536000000000001</v>
      </c>
      <c r="J89" s="496">
        <v>31.536000000000001</v>
      </c>
      <c r="K89" s="496">
        <v>31.536000000000001</v>
      </c>
      <c r="L89" s="496">
        <v>31.536000000000001</v>
      </c>
      <c r="M89" s="496">
        <v>31.536000000000001</v>
      </c>
      <c r="N89" s="496">
        <v>31.536000000000001</v>
      </c>
      <c r="O89" s="496">
        <v>31.536000000000001</v>
      </c>
      <c r="P89" s="496">
        <v>31.536000000000001</v>
      </c>
      <c r="Q89" s="496">
        <v>31.536000000000001</v>
      </c>
      <c r="R89" s="496">
        <v>31.536000000000001</v>
      </c>
      <c r="S89" s="496">
        <v>31.536000000000001</v>
      </c>
      <c r="T89" s="496">
        <v>31.536000000000001</v>
      </c>
      <c r="U89" s="496">
        <v>31.536000000000001</v>
      </c>
      <c r="V89" s="496">
        <v>31.536000000000001</v>
      </c>
      <c r="W89" s="496">
        <v>31.536000000000001</v>
      </c>
      <c r="X89" s="496">
        <v>31.536000000000001</v>
      </c>
      <c r="Y89" s="496">
        <v>31.536000000000001</v>
      </c>
      <c r="Z89" s="496">
        <v>31.536000000000001</v>
      </c>
      <c r="AA89" s="496">
        <v>31.536000000000001</v>
      </c>
      <c r="AB89" s="496">
        <v>31.536000000000001</v>
      </c>
      <c r="AC89" s="496">
        <v>31.536000000000001</v>
      </c>
      <c r="AD89" s="496">
        <v>31.536000000000001</v>
      </c>
      <c r="AE89" s="496">
        <v>31.536000000000001</v>
      </c>
      <c r="AF89" s="496">
        <v>31.536000000000001</v>
      </c>
      <c r="AG89" s="496">
        <v>31.536000000000001</v>
      </c>
      <c r="AH89" s="496">
        <v>31.536000000000001</v>
      </c>
      <c r="AI89" s="496">
        <v>31.536000000000001</v>
      </c>
      <c r="AJ89" s="496">
        <v>31.536000000000001</v>
      </c>
      <c r="AK89" s="496">
        <v>31.536000000000001</v>
      </c>
      <c r="AL89" s="496">
        <v>31.536000000000001</v>
      </c>
      <c r="AM89" s="496">
        <v>31.536000000000001</v>
      </c>
      <c r="AN89" s="496">
        <v>31.536000000000001</v>
      </c>
      <c r="AO89" s="496">
        <v>31.536000000000001</v>
      </c>
      <c r="AP89" s="496">
        <v>31.536000000000001</v>
      </c>
    </row>
    <row r="90" spans="1:42">
      <c r="A90" t="str">
        <f t="shared" si="21"/>
        <v>Derived heat</v>
      </c>
      <c r="C90" t="str">
        <f t="shared" si="22"/>
        <v>R_ES-WH-FL_HET</v>
      </c>
      <c r="E90" t="str">
        <f t="shared" si="23"/>
        <v>R_ES-FL-WatHeat</v>
      </c>
      <c r="F90" s="496">
        <v>31.536000000000001</v>
      </c>
      <c r="G90" s="496">
        <v>31.536000000000001</v>
      </c>
      <c r="H90" s="496">
        <v>31.536000000000001</v>
      </c>
      <c r="I90" s="496">
        <v>31.536000000000001</v>
      </c>
      <c r="J90" s="496">
        <v>31.536000000000001</v>
      </c>
      <c r="K90" s="496">
        <v>31.536000000000001</v>
      </c>
      <c r="L90" s="496">
        <v>31.536000000000001</v>
      </c>
      <c r="M90" s="496">
        <v>31.536000000000001</v>
      </c>
      <c r="N90" s="496">
        <v>31.536000000000001</v>
      </c>
      <c r="O90" s="496">
        <v>31.536000000000001</v>
      </c>
      <c r="P90" s="496">
        <v>31.536000000000001</v>
      </c>
      <c r="Q90" s="496">
        <v>31.536000000000001</v>
      </c>
      <c r="R90" s="496">
        <v>31.536000000000001</v>
      </c>
      <c r="S90" s="496">
        <v>31.536000000000001</v>
      </c>
      <c r="T90" s="496">
        <v>31.536000000000001</v>
      </c>
      <c r="U90" s="496">
        <v>31.536000000000001</v>
      </c>
      <c r="V90" s="496">
        <v>31.536000000000001</v>
      </c>
      <c r="W90" s="496">
        <v>31.536000000000001</v>
      </c>
      <c r="X90" s="496">
        <v>31.536000000000001</v>
      </c>
      <c r="Y90" s="496">
        <v>31.536000000000001</v>
      </c>
      <c r="Z90" s="496">
        <v>31.536000000000001</v>
      </c>
      <c r="AA90" s="496">
        <v>31.536000000000001</v>
      </c>
      <c r="AB90" s="496">
        <v>31.536000000000001</v>
      </c>
      <c r="AC90" s="496">
        <v>31.536000000000001</v>
      </c>
      <c r="AD90" s="496">
        <v>31.536000000000001</v>
      </c>
      <c r="AE90" s="496">
        <v>31.536000000000001</v>
      </c>
      <c r="AF90" s="496">
        <v>31.536000000000001</v>
      </c>
      <c r="AG90" s="496">
        <v>31.536000000000001</v>
      </c>
      <c r="AH90" s="496">
        <v>31.536000000000001</v>
      </c>
      <c r="AI90" s="496">
        <v>31.536000000000001</v>
      </c>
      <c r="AJ90" s="496">
        <v>31.536000000000001</v>
      </c>
      <c r="AK90" s="496">
        <v>31.536000000000001</v>
      </c>
      <c r="AL90" s="496">
        <v>31.536000000000001</v>
      </c>
      <c r="AM90" s="496">
        <v>31.536000000000001</v>
      </c>
      <c r="AN90" s="496">
        <v>31.536000000000001</v>
      </c>
      <c r="AO90" s="496">
        <v>31.536000000000001</v>
      </c>
      <c r="AP90" s="496">
        <v>31.536000000000001</v>
      </c>
    </row>
    <row r="91" spans="1:42">
      <c r="A91" t="str">
        <f t="shared" si="21"/>
        <v>GDO and other liquids (incl. liq. bio.)</v>
      </c>
      <c r="C91" t="str">
        <f t="shared" si="22"/>
        <v>R_ES-WH-FL_OIL</v>
      </c>
      <c r="E91" t="str">
        <f t="shared" si="23"/>
        <v>R_ES-FL-WatHeat</v>
      </c>
      <c r="F91" s="496">
        <v>31.536000000000001</v>
      </c>
      <c r="G91" s="496">
        <v>31.536000000000001</v>
      </c>
      <c r="H91" s="496">
        <v>31.536000000000001</v>
      </c>
      <c r="I91" s="496">
        <v>31.536000000000001</v>
      </c>
      <c r="J91" s="496">
        <v>31.536000000000001</v>
      </c>
      <c r="K91" s="496">
        <v>31.536000000000001</v>
      </c>
      <c r="L91" s="496">
        <v>31.536000000000001</v>
      </c>
      <c r="M91" s="496">
        <v>31.536000000000001</v>
      </c>
      <c r="N91" s="496">
        <v>31.536000000000001</v>
      </c>
      <c r="O91" s="496">
        <v>31.536000000000001</v>
      </c>
      <c r="P91" s="496">
        <v>31.536000000000001</v>
      </c>
      <c r="Q91" s="496">
        <v>31.536000000000001</v>
      </c>
      <c r="R91" s="496">
        <v>31.536000000000001</v>
      </c>
      <c r="S91" s="496">
        <v>31.536000000000001</v>
      </c>
      <c r="T91" s="496">
        <v>31.536000000000001</v>
      </c>
      <c r="U91" s="496">
        <v>31.536000000000001</v>
      </c>
      <c r="V91" s="496">
        <v>31.536000000000001</v>
      </c>
      <c r="W91" s="496">
        <v>31.536000000000001</v>
      </c>
      <c r="X91" s="496">
        <v>31.536000000000001</v>
      </c>
      <c r="Y91" s="496">
        <v>31.536000000000001</v>
      </c>
      <c r="Z91" s="496">
        <v>31.536000000000001</v>
      </c>
      <c r="AA91" s="496">
        <v>31.536000000000001</v>
      </c>
      <c r="AB91" s="496">
        <v>31.536000000000001</v>
      </c>
      <c r="AC91" s="496">
        <v>31.536000000000001</v>
      </c>
      <c r="AD91" s="496">
        <v>31.536000000000001</v>
      </c>
      <c r="AE91" s="496">
        <v>31.536000000000001</v>
      </c>
      <c r="AF91" s="496">
        <v>31.536000000000001</v>
      </c>
      <c r="AG91" s="496">
        <v>31.536000000000001</v>
      </c>
      <c r="AH91" s="496">
        <v>31.536000000000001</v>
      </c>
      <c r="AI91" s="496">
        <v>31.536000000000001</v>
      </c>
      <c r="AJ91" s="496">
        <v>31.536000000000001</v>
      </c>
      <c r="AK91" s="496">
        <v>31.536000000000001</v>
      </c>
      <c r="AL91" s="496">
        <v>31.536000000000001</v>
      </c>
      <c r="AM91" s="496">
        <v>31.536000000000001</v>
      </c>
      <c r="AN91" s="496">
        <v>31.536000000000001</v>
      </c>
      <c r="AO91" s="496">
        <v>31.536000000000001</v>
      </c>
      <c r="AP91" s="496">
        <v>31.536000000000001</v>
      </c>
    </row>
    <row r="92" spans="1:42">
      <c r="A92" t="str">
        <f t="shared" si="21"/>
        <v>Biomass and wastes</v>
      </c>
      <c r="C92" t="str">
        <f t="shared" si="22"/>
        <v>R_ES-WH-FL_BIO</v>
      </c>
      <c r="E92" t="str">
        <f t="shared" si="23"/>
        <v>R_ES-FL-WatHeat</v>
      </c>
      <c r="F92" s="496">
        <v>31.536000000000001</v>
      </c>
      <c r="G92" s="496">
        <v>31.536000000000001</v>
      </c>
      <c r="H92" s="496">
        <v>31.536000000000001</v>
      </c>
      <c r="I92" s="496">
        <v>31.536000000000001</v>
      </c>
      <c r="J92" s="496">
        <v>31.536000000000001</v>
      </c>
      <c r="K92" s="496">
        <v>31.536000000000001</v>
      </c>
      <c r="L92" s="496">
        <v>31.536000000000001</v>
      </c>
      <c r="M92" s="496">
        <v>31.536000000000001</v>
      </c>
      <c r="N92" s="496">
        <v>31.536000000000001</v>
      </c>
      <c r="O92" s="496">
        <v>31.536000000000001</v>
      </c>
      <c r="P92" s="496">
        <v>31.536000000000001</v>
      </c>
      <c r="Q92" s="496">
        <v>31.536000000000001</v>
      </c>
      <c r="R92" s="496">
        <v>31.536000000000001</v>
      </c>
      <c r="S92" s="496">
        <v>31.536000000000001</v>
      </c>
      <c r="T92" s="496">
        <v>31.536000000000001</v>
      </c>
      <c r="U92" s="496">
        <v>31.536000000000001</v>
      </c>
      <c r="V92" s="496">
        <v>31.536000000000001</v>
      </c>
      <c r="W92" s="496">
        <v>31.536000000000001</v>
      </c>
      <c r="X92" s="496">
        <v>31.536000000000001</v>
      </c>
      <c r="Y92" s="496">
        <v>31.536000000000001</v>
      </c>
      <c r="Z92" s="496">
        <v>31.536000000000001</v>
      </c>
      <c r="AA92" s="496">
        <v>31.536000000000001</v>
      </c>
      <c r="AB92" s="496">
        <v>31.536000000000001</v>
      </c>
      <c r="AC92" s="496">
        <v>31.536000000000001</v>
      </c>
      <c r="AD92" s="496">
        <v>31.536000000000001</v>
      </c>
      <c r="AE92" s="496">
        <v>31.536000000000001</v>
      </c>
      <c r="AF92" s="496">
        <v>31.536000000000001</v>
      </c>
      <c r="AG92" s="496">
        <v>31.536000000000001</v>
      </c>
      <c r="AH92" s="496">
        <v>31.536000000000001</v>
      </c>
      <c r="AI92" s="496">
        <v>31.536000000000001</v>
      </c>
      <c r="AJ92" s="496">
        <v>31.536000000000001</v>
      </c>
      <c r="AK92" s="496">
        <v>31.536000000000001</v>
      </c>
      <c r="AL92" s="496">
        <v>31.536000000000001</v>
      </c>
      <c r="AM92" s="496">
        <v>31.536000000000001</v>
      </c>
      <c r="AN92" s="496">
        <v>31.536000000000001</v>
      </c>
      <c r="AO92" s="496">
        <v>31.536000000000001</v>
      </c>
      <c r="AP92" s="496">
        <v>31.536000000000001</v>
      </c>
    </row>
    <row r="93" spans="1:42">
      <c r="A93" t="str">
        <f t="shared" si="21"/>
        <v>Solids</v>
      </c>
      <c r="C93" t="str">
        <f t="shared" si="22"/>
        <v>R_ES-WH-FL_COA</v>
      </c>
      <c r="E93" t="str">
        <f t="shared" si="23"/>
        <v>R_ES-FL-WatHeat</v>
      </c>
      <c r="F93" s="496">
        <v>31.536000000000001</v>
      </c>
      <c r="G93" s="496">
        <v>31.536000000000001</v>
      </c>
      <c r="H93" s="496">
        <v>31.536000000000001</v>
      </c>
      <c r="I93" s="496">
        <v>31.536000000000001</v>
      </c>
      <c r="J93" s="496">
        <v>31.536000000000001</v>
      </c>
      <c r="K93" s="496">
        <v>31.536000000000001</v>
      </c>
      <c r="L93" s="496">
        <v>31.536000000000001</v>
      </c>
      <c r="M93" s="496">
        <v>31.536000000000001</v>
      </c>
      <c r="N93" s="496">
        <v>31.536000000000001</v>
      </c>
      <c r="O93" s="496">
        <v>31.536000000000001</v>
      </c>
      <c r="P93" s="496">
        <v>31.536000000000001</v>
      </c>
      <c r="Q93" s="496">
        <v>31.536000000000001</v>
      </c>
      <c r="R93" s="496">
        <v>31.536000000000001</v>
      </c>
      <c r="S93" s="496">
        <v>31.536000000000001</v>
      </c>
      <c r="T93" s="496">
        <v>31.536000000000001</v>
      </c>
      <c r="U93" s="496">
        <v>31.536000000000001</v>
      </c>
      <c r="V93" s="496">
        <v>31.536000000000001</v>
      </c>
      <c r="W93" s="496">
        <v>31.536000000000001</v>
      </c>
      <c r="X93" s="496">
        <v>31.536000000000001</v>
      </c>
      <c r="Y93" s="496">
        <v>31.536000000000001</v>
      </c>
      <c r="Z93" s="496">
        <v>31.536000000000001</v>
      </c>
      <c r="AA93" s="496">
        <v>31.536000000000001</v>
      </c>
      <c r="AB93" s="496">
        <v>31.536000000000001</v>
      </c>
      <c r="AC93" s="496">
        <v>31.536000000000001</v>
      </c>
      <c r="AD93" s="496">
        <v>31.536000000000001</v>
      </c>
      <c r="AE93" s="496">
        <v>31.536000000000001</v>
      </c>
      <c r="AF93" s="496">
        <v>31.536000000000001</v>
      </c>
      <c r="AG93" s="496">
        <v>31.536000000000001</v>
      </c>
      <c r="AH93" s="496">
        <v>31.536000000000001</v>
      </c>
      <c r="AI93" s="496">
        <v>31.536000000000001</v>
      </c>
      <c r="AJ93" s="496">
        <v>31.536000000000001</v>
      </c>
      <c r="AK93" s="496">
        <v>31.536000000000001</v>
      </c>
      <c r="AL93" s="496">
        <v>31.536000000000001</v>
      </c>
      <c r="AM93" s="496">
        <v>31.536000000000001</v>
      </c>
      <c r="AN93" s="496">
        <v>31.536000000000001</v>
      </c>
      <c r="AO93" s="496">
        <v>31.536000000000001</v>
      </c>
      <c r="AP93" s="496">
        <v>31.536000000000001</v>
      </c>
    </row>
    <row r="94" spans="1:42">
      <c r="A94" t="str">
        <f t="shared" si="21"/>
        <v>LPG</v>
      </c>
      <c r="C94" t="str">
        <f t="shared" si="22"/>
        <v>R_ES-WH-FL_LPG</v>
      </c>
      <c r="E94" t="str">
        <f t="shared" si="23"/>
        <v>R_ES-FL-WatHeat</v>
      </c>
      <c r="F94" s="496">
        <v>31.536000000000001</v>
      </c>
      <c r="G94" s="496">
        <v>31.536000000000001</v>
      </c>
      <c r="H94" s="496">
        <v>31.536000000000001</v>
      </c>
      <c r="I94" s="496">
        <v>31.536000000000001</v>
      </c>
      <c r="J94" s="496">
        <v>31.536000000000001</v>
      </c>
      <c r="K94" s="496">
        <v>31.536000000000001</v>
      </c>
      <c r="L94" s="496">
        <v>31.536000000000001</v>
      </c>
      <c r="M94" s="496">
        <v>31.536000000000001</v>
      </c>
      <c r="N94" s="496">
        <v>31.536000000000001</v>
      </c>
      <c r="O94" s="496">
        <v>31.536000000000001</v>
      </c>
      <c r="P94" s="496">
        <v>31.536000000000001</v>
      </c>
      <c r="Q94" s="496">
        <v>31.536000000000001</v>
      </c>
      <c r="R94" s="496">
        <v>31.536000000000001</v>
      </c>
      <c r="S94" s="496">
        <v>31.536000000000001</v>
      </c>
      <c r="T94" s="496">
        <v>31.536000000000001</v>
      </c>
      <c r="U94" s="496">
        <v>31.536000000000001</v>
      </c>
      <c r="V94" s="496">
        <v>31.536000000000001</v>
      </c>
      <c r="W94" s="496">
        <v>31.536000000000001</v>
      </c>
      <c r="X94" s="496">
        <v>31.536000000000001</v>
      </c>
      <c r="Y94" s="496">
        <v>31.536000000000001</v>
      </c>
      <c r="Z94" s="496">
        <v>31.536000000000001</v>
      </c>
      <c r="AA94" s="496">
        <v>31.536000000000001</v>
      </c>
      <c r="AB94" s="496">
        <v>31.536000000000001</v>
      </c>
      <c r="AC94" s="496">
        <v>31.536000000000001</v>
      </c>
      <c r="AD94" s="496">
        <v>31.536000000000001</v>
      </c>
      <c r="AE94" s="496">
        <v>31.536000000000001</v>
      </c>
      <c r="AF94" s="496">
        <v>31.536000000000001</v>
      </c>
      <c r="AG94" s="496">
        <v>31.536000000000001</v>
      </c>
      <c r="AH94" s="496">
        <v>31.536000000000001</v>
      </c>
      <c r="AI94" s="496">
        <v>31.536000000000001</v>
      </c>
      <c r="AJ94" s="496">
        <v>31.536000000000001</v>
      </c>
      <c r="AK94" s="496">
        <v>31.536000000000001</v>
      </c>
      <c r="AL94" s="496">
        <v>31.536000000000001</v>
      </c>
      <c r="AM94" s="496">
        <v>31.536000000000001</v>
      </c>
      <c r="AN94" s="496">
        <v>31.536000000000001</v>
      </c>
      <c r="AO94" s="496">
        <v>31.536000000000001</v>
      </c>
      <c r="AP94" s="496">
        <v>31.536000000000001</v>
      </c>
    </row>
    <row r="95" spans="1:42">
      <c r="A95" t="str">
        <f t="shared" si="21"/>
        <v>Solar</v>
      </c>
      <c r="C95" t="str">
        <f t="shared" si="22"/>
        <v>R_ES-WH-FL_SOL</v>
      </c>
      <c r="E95" t="str">
        <f t="shared" si="23"/>
        <v>R_ES-FL-WatHeat</v>
      </c>
      <c r="F95" s="496">
        <v>31.536000000000001</v>
      </c>
      <c r="G95" s="496">
        <v>31.536000000000001</v>
      </c>
      <c r="H95" s="496">
        <v>31.536000000000001</v>
      </c>
      <c r="I95" s="496">
        <v>31.536000000000001</v>
      </c>
      <c r="J95" s="496">
        <v>31.536000000000001</v>
      </c>
      <c r="K95" s="496">
        <v>31.536000000000001</v>
      </c>
      <c r="L95" s="496">
        <v>31.536000000000001</v>
      </c>
      <c r="M95" s="496">
        <v>31.536000000000001</v>
      </c>
      <c r="N95" s="496">
        <v>31.536000000000001</v>
      </c>
      <c r="O95" s="496">
        <v>31.536000000000001</v>
      </c>
      <c r="P95" s="496">
        <v>31.536000000000001</v>
      </c>
      <c r="Q95" s="496">
        <v>31.536000000000001</v>
      </c>
      <c r="R95" s="496">
        <v>31.536000000000001</v>
      </c>
      <c r="S95" s="496">
        <v>31.536000000000001</v>
      </c>
      <c r="T95" s="496">
        <v>31.536000000000001</v>
      </c>
      <c r="U95" s="496">
        <v>31.536000000000001</v>
      </c>
      <c r="V95" s="496">
        <v>31.536000000000001</v>
      </c>
      <c r="W95" s="496">
        <v>31.536000000000001</v>
      </c>
      <c r="X95" s="496">
        <v>31.536000000000001</v>
      </c>
      <c r="Y95" s="496">
        <v>31.536000000000001</v>
      </c>
      <c r="Z95" s="496">
        <v>31.536000000000001</v>
      </c>
      <c r="AA95" s="496">
        <v>31.536000000000001</v>
      </c>
      <c r="AB95" s="496">
        <v>31.536000000000001</v>
      </c>
      <c r="AC95" s="496">
        <v>31.536000000000001</v>
      </c>
      <c r="AD95" s="496">
        <v>31.536000000000001</v>
      </c>
      <c r="AE95" s="496">
        <v>31.536000000000001</v>
      </c>
      <c r="AF95" s="496">
        <v>31.536000000000001</v>
      </c>
      <c r="AG95" s="496">
        <v>31.536000000000001</v>
      </c>
      <c r="AH95" s="496">
        <v>31.536000000000001</v>
      </c>
      <c r="AI95" s="496">
        <v>31.536000000000001</v>
      </c>
      <c r="AJ95" s="496">
        <v>31.536000000000001</v>
      </c>
      <c r="AK95" s="496">
        <v>31.536000000000001</v>
      </c>
      <c r="AL95" s="496">
        <v>31.536000000000001</v>
      </c>
      <c r="AM95" s="496">
        <v>31.536000000000001</v>
      </c>
      <c r="AN95" s="496">
        <v>31.536000000000001</v>
      </c>
      <c r="AO95" s="496">
        <v>31.536000000000001</v>
      </c>
      <c r="AP95" s="496">
        <v>31.536000000000001</v>
      </c>
    </row>
    <row r="96" spans="1:42">
      <c r="A96" t="str">
        <f t="shared" si="21"/>
        <v>Electricity</v>
      </c>
      <c r="C96" t="str">
        <f t="shared" si="22"/>
        <v>R_ES-WH-DH_ELC</v>
      </c>
      <c r="E96" t="str">
        <f t="shared" si="23"/>
        <v>R_ES-DH-WatHeat</v>
      </c>
      <c r="F96" s="496">
        <v>31.536000000000001</v>
      </c>
      <c r="G96" s="496">
        <v>31.536000000000001</v>
      </c>
      <c r="H96" s="496">
        <v>31.536000000000001</v>
      </c>
      <c r="I96" s="496">
        <v>31.536000000000001</v>
      </c>
      <c r="J96" s="496">
        <v>31.536000000000001</v>
      </c>
      <c r="K96" s="496">
        <v>31.536000000000001</v>
      </c>
      <c r="L96" s="496">
        <v>31.536000000000001</v>
      </c>
      <c r="M96" s="496">
        <v>31.536000000000001</v>
      </c>
      <c r="N96" s="496">
        <v>31.536000000000001</v>
      </c>
      <c r="O96" s="496">
        <v>31.536000000000001</v>
      </c>
      <c r="P96" s="496">
        <v>31.536000000000001</v>
      </c>
      <c r="Q96" s="496">
        <v>31.536000000000001</v>
      </c>
      <c r="R96" s="496">
        <v>31.536000000000001</v>
      </c>
      <c r="S96" s="496">
        <v>31.536000000000001</v>
      </c>
      <c r="T96" s="496">
        <v>31.536000000000001</v>
      </c>
      <c r="U96" s="496">
        <v>31.536000000000001</v>
      </c>
      <c r="V96" s="496">
        <v>31.536000000000001</v>
      </c>
      <c r="W96" s="496">
        <v>31.536000000000001</v>
      </c>
      <c r="X96" s="496">
        <v>31.536000000000001</v>
      </c>
      <c r="Y96" s="496">
        <v>31.536000000000001</v>
      </c>
      <c r="Z96" s="496">
        <v>31.536000000000001</v>
      </c>
      <c r="AA96" s="496">
        <v>31.536000000000001</v>
      </c>
      <c r="AB96" s="496">
        <v>31.536000000000001</v>
      </c>
      <c r="AC96" s="496">
        <v>31.536000000000001</v>
      </c>
      <c r="AD96" s="496">
        <v>31.536000000000001</v>
      </c>
      <c r="AE96" s="496">
        <v>31.536000000000001</v>
      </c>
      <c r="AF96" s="496">
        <v>31.536000000000001</v>
      </c>
      <c r="AG96" s="496">
        <v>31.536000000000001</v>
      </c>
      <c r="AH96" s="496">
        <v>31.536000000000001</v>
      </c>
      <c r="AI96" s="496">
        <v>31.536000000000001</v>
      </c>
      <c r="AJ96" s="496">
        <v>31.536000000000001</v>
      </c>
      <c r="AK96" s="496">
        <v>31.536000000000001</v>
      </c>
      <c r="AL96" s="496">
        <v>31.536000000000001</v>
      </c>
      <c r="AM96" s="496">
        <v>31.536000000000001</v>
      </c>
      <c r="AN96" s="496">
        <v>31.536000000000001</v>
      </c>
      <c r="AO96" s="496">
        <v>31.536000000000001</v>
      </c>
      <c r="AP96" s="496">
        <v>31.536000000000001</v>
      </c>
    </row>
    <row r="97" spans="1:42">
      <c r="A97" t="str">
        <f t="shared" si="21"/>
        <v>Gases</v>
      </c>
      <c r="C97" t="str">
        <f t="shared" si="22"/>
        <v>R_ES-WH-DH_GAS</v>
      </c>
      <c r="E97" t="str">
        <f t="shared" si="23"/>
        <v>R_ES-DH-WatHeat</v>
      </c>
      <c r="F97" s="496">
        <v>31.536000000000001</v>
      </c>
      <c r="G97" s="496">
        <v>31.536000000000001</v>
      </c>
      <c r="H97" s="496">
        <v>31.536000000000001</v>
      </c>
      <c r="I97" s="496">
        <v>31.536000000000001</v>
      </c>
      <c r="J97" s="496">
        <v>31.536000000000001</v>
      </c>
      <c r="K97" s="496">
        <v>31.536000000000001</v>
      </c>
      <c r="L97" s="496">
        <v>31.536000000000001</v>
      </c>
      <c r="M97" s="496">
        <v>31.536000000000001</v>
      </c>
      <c r="N97" s="496">
        <v>31.536000000000001</v>
      </c>
      <c r="O97" s="496">
        <v>31.536000000000001</v>
      </c>
      <c r="P97" s="496">
        <v>31.536000000000001</v>
      </c>
      <c r="Q97" s="496">
        <v>31.536000000000001</v>
      </c>
      <c r="R97" s="496">
        <v>31.536000000000001</v>
      </c>
      <c r="S97" s="496">
        <v>31.536000000000001</v>
      </c>
      <c r="T97" s="496">
        <v>31.536000000000001</v>
      </c>
      <c r="U97" s="496">
        <v>31.536000000000001</v>
      </c>
      <c r="V97" s="496">
        <v>31.536000000000001</v>
      </c>
      <c r="W97" s="496">
        <v>31.536000000000001</v>
      </c>
      <c r="X97" s="496">
        <v>31.536000000000001</v>
      </c>
      <c r="Y97" s="496">
        <v>31.536000000000001</v>
      </c>
      <c r="Z97" s="496">
        <v>31.536000000000001</v>
      </c>
      <c r="AA97" s="496">
        <v>31.536000000000001</v>
      </c>
      <c r="AB97" s="496">
        <v>31.536000000000001</v>
      </c>
      <c r="AC97" s="496">
        <v>31.536000000000001</v>
      </c>
      <c r="AD97" s="496">
        <v>31.536000000000001</v>
      </c>
      <c r="AE97" s="496">
        <v>31.536000000000001</v>
      </c>
      <c r="AF97" s="496">
        <v>31.536000000000001</v>
      </c>
      <c r="AG97" s="496">
        <v>31.536000000000001</v>
      </c>
      <c r="AH97" s="496">
        <v>31.536000000000001</v>
      </c>
      <c r="AI97" s="496">
        <v>31.536000000000001</v>
      </c>
      <c r="AJ97" s="496">
        <v>31.536000000000001</v>
      </c>
      <c r="AK97" s="496">
        <v>31.536000000000001</v>
      </c>
      <c r="AL97" s="496">
        <v>31.536000000000001</v>
      </c>
      <c r="AM97" s="496">
        <v>31.536000000000001</v>
      </c>
      <c r="AN97" s="496">
        <v>31.536000000000001</v>
      </c>
      <c r="AO97" s="496">
        <v>31.536000000000001</v>
      </c>
      <c r="AP97" s="496">
        <v>31.536000000000001</v>
      </c>
    </row>
    <row r="98" spans="1:42">
      <c r="A98" t="str">
        <f t="shared" si="21"/>
        <v>Derived heat</v>
      </c>
      <c r="C98" t="str">
        <f t="shared" si="22"/>
        <v>R_ES-WH-DH_HET</v>
      </c>
      <c r="E98" t="str">
        <f t="shared" si="23"/>
        <v>R_ES-DH-WatHeat</v>
      </c>
      <c r="F98" s="496">
        <v>31.536000000000001</v>
      </c>
      <c r="G98" s="496">
        <v>31.536000000000001</v>
      </c>
      <c r="H98" s="496">
        <v>31.536000000000001</v>
      </c>
      <c r="I98" s="496">
        <v>31.536000000000001</v>
      </c>
      <c r="J98" s="496">
        <v>31.536000000000001</v>
      </c>
      <c r="K98" s="496">
        <v>31.536000000000001</v>
      </c>
      <c r="L98" s="496">
        <v>31.536000000000001</v>
      </c>
      <c r="M98" s="496">
        <v>31.536000000000001</v>
      </c>
      <c r="N98" s="496">
        <v>31.536000000000001</v>
      </c>
      <c r="O98" s="496">
        <v>31.536000000000001</v>
      </c>
      <c r="P98" s="496">
        <v>31.536000000000001</v>
      </c>
      <c r="Q98" s="496">
        <v>31.536000000000001</v>
      </c>
      <c r="R98" s="496">
        <v>31.536000000000001</v>
      </c>
      <c r="S98" s="496">
        <v>31.536000000000001</v>
      </c>
      <c r="T98" s="496">
        <v>31.536000000000001</v>
      </c>
      <c r="U98" s="496">
        <v>31.536000000000001</v>
      </c>
      <c r="V98" s="496">
        <v>31.536000000000001</v>
      </c>
      <c r="W98" s="496">
        <v>31.536000000000001</v>
      </c>
      <c r="X98" s="496">
        <v>31.536000000000001</v>
      </c>
      <c r="Y98" s="496">
        <v>31.536000000000001</v>
      </c>
      <c r="Z98" s="496">
        <v>31.536000000000001</v>
      </c>
      <c r="AA98" s="496">
        <v>31.536000000000001</v>
      </c>
      <c r="AB98" s="496">
        <v>31.536000000000001</v>
      </c>
      <c r="AC98" s="496">
        <v>31.536000000000001</v>
      </c>
      <c r="AD98" s="496">
        <v>31.536000000000001</v>
      </c>
      <c r="AE98" s="496">
        <v>31.536000000000001</v>
      </c>
      <c r="AF98" s="496">
        <v>31.536000000000001</v>
      </c>
      <c r="AG98" s="496">
        <v>31.536000000000001</v>
      </c>
      <c r="AH98" s="496">
        <v>31.536000000000001</v>
      </c>
      <c r="AI98" s="496">
        <v>31.536000000000001</v>
      </c>
      <c r="AJ98" s="496">
        <v>31.536000000000001</v>
      </c>
      <c r="AK98" s="496">
        <v>31.536000000000001</v>
      </c>
      <c r="AL98" s="496">
        <v>31.536000000000001</v>
      </c>
      <c r="AM98" s="496">
        <v>31.536000000000001</v>
      </c>
      <c r="AN98" s="496">
        <v>31.536000000000001</v>
      </c>
      <c r="AO98" s="496">
        <v>31.536000000000001</v>
      </c>
      <c r="AP98" s="496">
        <v>31.536000000000001</v>
      </c>
    </row>
    <row r="99" spans="1:42">
      <c r="A99" t="str">
        <f t="shared" si="21"/>
        <v>GDO and other liquids (incl. liq. bio.)</v>
      </c>
      <c r="C99" t="str">
        <f t="shared" si="22"/>
        <v>R_ES-WH-DH_OIL</v>
      </c>
      <c r="E99" t="str">
        <f t="shared" si="23"/>
        <v>R_ES-DH-WatHeat</v>
      </c>
      <c r="F99" s="496">
        <v>31.536000000000001</v>
      </c>
      <c r="G99" s="496">
        <v>31.536000000000001</v>
      </c>
      <c r="H99" s="496">
        <v>31.536000000000001</v>
      </c>
      <c r="I99" s="496">
        <v>31.536000000000001</v>
      </c>
      <c r="J99" s="496">
        <v>31.536000000000001</v>
      </c>
      <c r="K99" s="496">
        <v>31.536000000000001</v>
      </c>
      <c r="L99" s="496">
        <v>31.536000000000001</v>
      </c>
      <c r="M99" s="496">
        <v>31.536000000000001</v>
      </c>
      <c r="N99" s="496">
        <v>31.536000000000001</v>
      </c>
      <c r="O99" s="496">
        <v>31.536000000000001</v>
      </c>
      <c r="P99" s="496">
        <v>31.536000000000001</v>
      </c>
      <c r="Q99" s="496">
        <v>31.536000000000001</v>
      </c>
      <c r="R99" s="496">
        <v>31.536000000000001</v>
      </c>
      <c r="S99" s="496">
        <v>31.536000000000001</v>
      </c>
      <c r="T99" s="496">
        <v>31.536000000000001</v>
      </c>
      <c r="U99" s="496">
        <v>31.536000000000001</v>
      </c>
      <c r="V99" s="496">
        <v>31.536000000000001</v>
      </c>
      <c r="W99" s="496">
        <v>31.536000000000001</v>
      </c>
      <c r="X99" s="496">
        <v>31.536000000000001</v>
      </c>
      <c r="Y99" s="496">
        <v>31.536000000000001</v>
      </c>
      <c r="Z99" s="496">
        <v>31.536000000000001</v>
      </c>
      <c r="AA99" s="496">
        <v>31.536000000000001</v>
      </c>
      <c r="AB99" s="496">
        <v>31.536000000000001</v>
      </c>
      <c r="AC99" s="496">
        <v>31.536000000000001</v>
      </c>
      <c r="AD99" s="496">
        <v>31.536000000000001</v>
      </c>
      <c r="AE99" s="496">
        <v>31.536000000000001</v>
      </c>
      <c r="AF99" s="496">
        <v>31.536000000000001</v>
      </c>
      <c r="AG99" s="496">
        <v>31.536000000000001</v>
      </c>
      <c r="AH99" s="496">
        <v>31.536000000000001</v>
      </c>
      <c r="AI99" s="496">
        <v>31.536000000000001</v>
      </c>
      <c r="AJ99" s="496">
        <v>31.536000000000001</v>
      </c>
      <c r="AK99" s="496">
        <v>31.536000000000001</v>
      </c>
      <c r="AL99" s="496">
        <v>31.536000000000001</v>
      </c>
      <c r="AM99" s="496">
        <v>31.536000000000001</v>
      </c>
      <c r="AN99" s="496">
        <v>31.536000000000001</v>
      </c>
      <c r="AO99" s="496">
        <v>31.536000000000001</v>
      </c>
      <c r="AP99" s="496">
        <v>31.536000000000001</v>
      </c>
    </row>
    <row r="100" spans="1:42">
      <c r="A100" t="str">
        <f t="shared" si="21"/>
        <v>Biomass and wastes</v>
      </c>
      <c r="C100" t="str">
        <f t="shared" si="22"/>
        <v>R_ES-WH-DH_BIO</v>
      </c>
      <c r="E100" t="str">
        <f t="shared" si="23"/>
        <v>R_ES-DH-WatHeat</v>
      </c>
      <c r="F100" s="496">
        <v>31.536000000000001</v>
      </c>
      <c r="G100" s="496">
        <v>31.536000000000001</v>
      </c>
      <c r="H100" s="496">
        <v>31.536000000000001</v>
      </c>
      <c r="I100" s="496">
        <v>31.536000000000001</v>
      </c>
      <c r="J100" s="496">
        <v>31.536000000000001</v>
      </c>
      <c r="K100" s="496">
        <v>31.536000000000001</v>
      </c>
      <c r="L100" s="496">
        <v>31.536000000000001</v>
      </c>
      <c r="M100" s="496">
        <v>31.536000000000001</v>
      </c>
      <c r="N100" s="496">
        <v>31.536000000000001</v>
      </c>
      <c r="O100" s="496">
        <v>31.536000000000001</v>
      </c>
      <c r="P100" s="496">
        <v>31.536000000000001</v>
      </c>
      <c r="Q100" s="496">
        <v>31.536000000000001</v>
      </c>
      <c r="R100" s="496">
        <v>31.536000000000001</v>
      </c>
      <c r="S100" s="496">
        <v>31.536000000000001</v>
      </c>
      <c r="T100" s="496">
        <v>31.536000000000001</v>
      </c>
      <c r="U100" s="496">
        <v>31.536000000000001</v>
      </c>
      <c r="V100" s="496">
        <v>31.536000000000001</v>
      </c>
      <c r="W100" s="496">
        <v>31.536000000000001</v>
      </c>
      <c r="X100" s="496">
        <v>31.536000000000001</v>
      </c>
      <c r="Y100" s="496">
        <v>31.536000000000001</v>
      </c>
      <c r="Z100" s="496">
        <v>31.536000000000001</v>
      </c>
      <c r="AA100" s="496">
        <v>31.536000000000001</v>
      </c>
      <c r="AB100" s="496">
        <v>31.536000000000001</v>
      </c>
      <c r="AC100" s="496">
        <v>31.536000000000001</v>
      </c>
      <c r="AD100" s="496">
        <v>31.536000000000001</v>
      </c>
      <c r="AE100" s="496">
        <v>31.536000000000001</v>
      </c>
      <c r="AF100" s="496">
        <v>31.536000000000001</v>
      </c>
      <c r="AG100" s="496">
        <v>31.536000000000001</v>
      </c>
      <c r="AH100" s="496">
        <v>31.536000000000001</v>
      </c>
      <c r="AI100" s="496">
        <v>31.536000000000001</v>
      </c>
      <c r="AJ100" s="496">
        <v>31.536000000000001</v>
      </c>
      <c r="AK100" s="496">
        <v>31.536000000000001</v>
      </c>
      <c r="AL100" s="496">
        <v>31.536000000000001</v>
      </c>
      <c r="AM100" s="496">
        <v>31.536000000000001</v>
      </c>
      <c r="AN100" s="496">
        <v>31.536000000000001</v>
      </c>
      <c r="AO100" s="496">
        <v>31.536000000000001</v>
      </c>
      <c r="AP100" s="496">
        <v>31.536000000000001</v>
      </c>
    </row>
    <row r="101" spans="1:42">
      <c r="A101" t="str">
        <f t="shared" si="21"/>
        <v>Solids</v>
      </c>
      <c r="C101" t="str">
        <f t="shared" si="22"/>
        <v>R_ES-WH-DH_COA</v>
      </c>
      <c r="E101" t="str">
        <f t="shared" si="23"/>
        <v>R_ES-DH-WatHeat</v>
      </c>
      <c r="F101" s="496">
        <v>31.536000000000001</v>
      </c>
      <c r="G101" s="496">
        <v>31.536000000000001</v>
      </c>
      <c r="H101" s="496">
        <v>31.536000000000001</v>
      </c>
      <c r="I101" s="496">
        <v>31.536000000000001</v>
      </c>
      <c r="J101" s="496">
        <v>31.536000000000001</v>
      </c>
      <c r="K101" s="496">
        <v>31.536000000000001</v>
      </c>
      <c r="L101" s="496">
        <v>31.536000000000001</v>
      </c>
      <c r="M101" s="496">
        <v>31.536000000000001</v>
      </c>
      <c r="N101" s="496">
        <v>31.536000000000001</v>
      </c>
      <c r="O101" s="496">
        <v>31.536000000000001</v>
      </c>
      <c r="P101" s="496">
        <v>31.536000000000001</v>
      </c>
      <c r="Q101" s="496">
        <v>31.536000000000001</v>
      </c>
      <c r="R101" s="496">
        <v>31.536000000000001</v>
      </c>
      <c r="S101" s="496">
        <v>31.536000000000001</v>
      </c>
      <c r="T101" s="496">
        <v>31.536000000000001</v>
      </c>
      <c r="U101" s="496">
        <v>31.536000000000001</v>
      </c>
      <c r="V101" s="496">
        <v>31.536000000000001</v>
      </c>
      <c r="W101" s="496">
        <v>31.536000000000001</v>
      </c>
      <c r="X101" s="496">
        <v>31.536000000000001</v>
      </c>
      <c r="Y101" s="496">
        <v>31.536000000000001</v>
      </c>
      <c r="Z101" s="496">
        <v>31.536000000000001</v>
      </c>
      <c r="AA101" s="496">
        <v>31.536000000000001</v>
      </c>
      <c r="AB101" s="496">
        <v>31.536000000000001</v>
      </c>
      <c r="AC101" s="496">
        <v>31.536000000000001</v>
      </c>
      <c r="AD101" s="496">
        <v>31.536000000000001</v>
      </c>
      <c r="AE101" s="496">
        <v>31.536000000000001</v>
      </c>
      <c r="AF101" s="496">
        <v>31.536000000000001</v>
      </c>
      <c r="AG101" s="496">
        <v>31.536000000000001</v>
      </c>
      <c r="AH101" s="496">
        <v>31.536000000000001</v>
      </c>
      <c r="AI101" s="496">
        <v>31.536000000000001</v>
      </c>
      <c r="AJ101" s="496">
        <v>31.536000000000001</v>
      </c>
      <c r="AK101" s="496">
        <v>31.536000000000001</v>
      </c>
      <c r="AL101" s="496">
        <v>31.536000000000001</v>
      </c>
      <c r="AM101" s="496">
        <v>31.536000000000001</v>
      </c>
      <c r="AN101" s="496">
        <v>31.536000000000001</v>
      </c>
      <c r="AO101" s="496">
        <v>31.536000000000001</v>
      </c>
      <c r="AP101" s="496">
        <v>31.536000000000001</v>
      </c>
    </row>
    <row r="102" spans="1:42">
      <c r="A102" t="str">
        <f t="shared" si="21"/>
        <v>LPG</v>
      </c>
      <c r="C102" t="str">
        <f t="shared" si="22"/>
        <v>R_ES-WH-DH_LPG</v>
      </c>
      <c r="E102" t="str">
        <f t="shared" si="23"/>
        <v>R_ES-DH-WatHeat</v>
      </c>
      <c r="F102" s="496">
        <v>31.536000000000001</v>
      </c>
      <c r="G102" s="496">
        <v>31.536000000000001</v>
      </c>
      <c r="H102" s="496">
        <v>31.536000000000001</v>
      </c>
      <c r="I102" s="496">
        <v>31.536000000000001</v>
      </c>
      <c r="J102" s="496">
        <v>31.536000000000001</v>
      </c>
      <c r="K102" s="496">
        <v>31.536000000000001</v>
      </c>
      <c r="L102" s="496">
        <v>31.536000000000001</v>
      </c>
      <c r="M102" s="496">
        <v>31.536000000000001</v>
      </c>
      <c r="N102" s="496">
        <v>31.536000000000001</v>
      </c>
      <c r="O102" s="496">
        <v>31.536000000000001</v>
      </c>
      <c r="P102" s="496">
        <v>31.536000000000001</v>
      </c>
      <c r="Q102" s="496">
        <v>31.536000000000001</v>
      </c>
      <c r="R102" s="496">
        <v>31.536000000000001</v>
      </c>
      <c r="S102" s="496">
        <v>31.536000000000001</v>
      </c>
      <c r="T102" s="496">
        <v>31.536000000000001</v>
      </c>
      <c r="U102" s="496">
        <v>31.536000000000001</v>
      </c>
      <c r="V102" s="496">
        <v>31.536000000000001</v>
      </c>
      <c r="W102" s="496">
        <v>31.536000000000001</v>
      </c>
      <c r="X102" s="496">
        <v>31.536000000000001</v>
      </c>
      <c r="Y102" s="496">
        <v>31.536000000000001</v>
      </c>
      <c r="Z102" s="496">
        <v>31.536000000000001</v>
      </c>
      <c r="AA102" s="496">
        <v>31.536000000000001</v>
      </c>
      <c r="AB102" s="496">
        <v>31.536000000000001</v>
      </c>
      <c r="AC102" s="496">
        <v>31.536000000000001</v>
      </c>
      <c r="AD102" s="496">
        <v>31.536000000000001</v>
      </c>
      <c r="AE102" s="496">
        <v>31.536000000000001</v>
      </c>
      <c r="AF102" s="496">
        <v>31.536000000000001</v>
      </c>
      <c r="AG102" s="496">
        <v>31.536000000000001</v>
      </c>
      <c r="AH102" s="496">
        <v>31.536000000000001</v>
      </c>
      <c r="AI102" s="496">
        <v>31.536000000000001</v>
      </c>
      <c r="AJ102" s="496">
        <v>31.536000000000001</v>
      </c>
      <c r="AK102" s="496">
        <v>31.536000000000001</v>
      </c>
      <c r="AL102" s="496">
        <v>31.536000000000001</v>
      </c>
      <c r="AM102" s="496">
        <v>31.536000000000001</v>
      </c>
      <c r="AN102" s="496">
        <v>31.536000000000001</v>
      </c>
      <c r="AO102" s="496">
        <v>31.536000000000001</v>
      </c>
      <c r="AP102" s="496">
        <v>31.536000000000001</v>
      </c>
    </row>
    <row r="103" spans="1:42">
      <c r="A103" t="str">
        <f t="shared" si="21"/>
        <v>Solar</v>
      </c>
      <c r="C103" t="str">
        <f t="shared" si="22"/>
        <v>R_ES-WH-DH_SOL</v>
      </c>
      <c r="E103" t="str">
        <f t="shared" si="23"/>
        <v>R_ES-DH-WatHeat</v>
      </c>
      <c r="F103" s="496">
        <v>31.536000000000001</v>
      </c>
      <c r="G103" s="496">
        <v>31.536000000000001</v>
      </c>
      <c r="H103" s="496">
        <v>31.536000000000001</v>
      </c>
      <c r="I103" s="496">
        <v>31.536000000000001</v>
      </c>
      <c r="J103" s="496">
        <v>31.536000000000001</v>
      </c>
      <c r="K103" s="496">
        <v>31.536000000000001</v>
      </c>
      <c r="L103" s="496">
        <v>31.536000000000001</v>
      </c>
      <c r="M103" s="496">
        <v>31.536000000000001</v>
      </c>
      <c r="N103" s="496">
        <v>31.536000000000001</v>
      </c>
      <c r="O103" s="496">
        <v>31.536000000000001</v>
      </c>
      <c r="P103" s="496">
        <v>31.536000000000001</v>
      </c>
      <c r="Q103" s="496">
        <v>31.536000000000001</v>
      </c>
      <c r="R103" s="496">
        <v>31.536000000000001</v>
      </c>
      <c r="S103" s="496">
        <v>31.536000000000001</v>
      </c>
      <c r="T103" s="496">
        <v>31.536000000000001</v>
      </c>
      <c r="U103" s="496">
        <v>31.536000000000001</v>
      </c>
      <c r="V103" s="496">
        <v>31.536000000000001</v>
      </c>
      <c r="W103" s="496">
        <v>31.536000000000001</v>
      </c>
      <c r="X103" s="496">
        <v>31.536000000000001</v>
      </c>
      <c r="Y103" s="496">
        <v>31.536000000000001</v>
      </c>
      <c r="Z103" s="496">
        <v>31.536000000000001</v>
      </c>
      <c r="AA103" s="496">
        <v>31.536000000000001</v>
      </c>
      <c r="AB103" s="496">
        <v>31.536000000000001</v>
      </c>
      <c r="AC103" s="496">
        <v>31.536000000000001</v>
      </c>
      <c r="AD103" s="496">
        <v>31.536000000000001</v>
      </c>
      <c r="AE103" s="496">
        <v>31.536000000000001</v>
      </c>
      <c r="AF103" s="496">
        <v>31.536000000000001</v>
      </c>
      <c r="AG103" s="496">
        <v>31.536000000000001</v>
      </c>
      <c r="AH103" s="496">
        <v>31.536000000000001</v>
      </c>
      <c r="AI103" s="496">
        <v>31.536000000000001</v>
      </c>
      <c r="AJ103" s="496">
        <v>31.536000000000001</v>
      </c>
      <c r="AK103" s="496">
        <v>31.536000000000001</v>
      </c>
      <c r="AL103" s="496">
        <v>31.536000000000001</v>
      </c>
      <c r="AM103" s="496">
        <v>31.536000000000001</v>
      </c>
      <c r="AN103" s="496">
        <v>31.536000000000001</v>
      </c>
      <c r="AO103" s="496">
        <v>31.536000000000001</v>
      </c>
      <c r="AP103" s="496">
        <v>31.536000000000001</v>
      </c>
    </row>
    <row r="104" spans="1:42">
      <c r="A104" t="str">
        <f t="shared" si="21"/>
        <v>Electricity</v>
      </c>
      <c r="C104" t="str">
        <f t="shared" si="22"/>
        <v>R_ES-WH-SD_ELC</v>
      </c>
      <c r="E104" t="str">
        <f t="shared" si="23"/>
        <v>R_ES-SD-WatHeat</v>
      </c>
      <c r="F104" s="496">
        <v>31.536000000000001</v>
      </c>
      <c r="G104" s="496">
        <v>31.536000000000001</v>
      </c>
      <c r="H104" s="496">
        <v>31.536000000000001</v>
      </c>
      <c r="I104" s="496">
        <v>31.536000000000001</v>
      </c>
      <c r="J104" s="496">
        <v>31.536000000000001</v>
      </c>
      <c r="K104" s="496">
        <v>31.536000000000001</v>
      </c>
      <c r="L104" s="496">
        <v>31.536000000000001</v>
      </c>
      <c r="M104" s="496">
        <v>31.536000000000001</v>
      </c>
      <c r="N104" s="496">
        <v>31.536000000000001</v>
      </c>
      <c r="O104" s="496">
        <v>31.536000000000001</v>
      </c>
      <c r="P104" s="496">
        <v>31.536000000000001</v>
      </c>
      <c r="Q104" s="496">
        <v>31.536000000000001</v>
      </c>
      <c r="R104" s="496">
        <v>31.536000000000001</v>
      </c>
      <c r="S104" s="496">
        <v>31.536000000000001</v>
      </c>
      <c r="T104" s="496">
        <v>31.536000000000001</v>
      </c>
      <c r="U104" s="496">
        <v>31.536000000000001</v>
      </c>
      <c r="V104" s="496">
        <v>31.536000000000001</v>
      </c>
      <c r="W104" s="496">
        <v>31.536000000000001</v>
      </c>
      <c r="X104" s="496">
        <v>31.536000000000001</v>
      </c>
      <c r="Y104" s="496">
        <v>31.536000000000001</v>
      </c>
      <c r="Z104" s="496">
        <v>31.536000000000001</v>
      </c>
      <c r="AA104" s="496">
        <v>31.536000000000001</v>
      </c>
      <c r="AB104" s="496">
        <v>31.536000000000001</v>
      </c>
      <c r="AC104" s="496">
        <v>31.536000000000001</v>
      </c>
      <c r="AD104" s="496">
        <v>31.536000000000001</v>
      </c>
      <c r="AE104" s="496">
        <v>31.536000000000001</v>
      </c>
      <c r="AF104" s="496">
        <v>31.536000000000001</v>
      </c>
      <c r="AG104" s="496">
        <v>31.536000000000001</v>
      </c>
      <c r="AH104" s="496">
        <v>31.536000000000001</v>
      </c>
      <c r="AI104" s="496">
        <v>31.536000000000001</v>
      </c>
      <c r="AJ104" s="496">
        <v>31.536000000000001</v>
      </c>
      <c r="AK104" s="496">
        <v>31.536000000000001</v>
      </c>
      <c r="AL104" s="496">
        <v>31.536000000000001</v>
      </c>
      <c r="AM104" s="496">
        <v>31.536000000000001</v>
      </c>
      <c r="AN104" s="496">
        <v>31.536000000000001</v>
      </c>
      <c r="AO104" s="496">
        <v>31.536000000000001</v>
      </c>
      <c r="AP104" s="496">
        <v>31.536000000000001</v>
      </c>
    </row>
    <row r="105" spans="1:42">
      <c r="A105" t="str">
        <f t="shared" si="21"/>
        <v>Gases</v>
      </c>
      <c r="C105" t="str">
        <f t="shared" si="22"/>
        <v>R_ES-WH-SD_GAS</v>
      </c>
      <c r="E105" t="str">
        <f t="shared" si="23"/>
        <v>R_ES-SD-WatHeat</v>
      </c>
      <c r="F105" s="496">
        <v>31.536000000000001</v>
      </c>
      <c r="G105" s="496">
        <v>31.536000000000001</v>
      </c>
      <c r="H105" s="496">
        <v>31.536000000000001</v>
      </c>
      <c r="I105" s="496">
        <v>31.536000000000001</v>
      </c>
      <c r="J105" s="496">
        <v>31.536000000000001</v>
      </c>
      <c r="K105" s="496">
        <v>31.536000000000001</v>
      </c>
      <c r="L105" s="496">
        <v>31.536000000000001</v>
      </c>
      <c r="M105" s="496">
        <v>31.536000000000001</v>
      </c>
      <c r="N105" s="496">
        <v>31.536000000000001</v>
      </c>
      <c r="O105" s="496">
        <v>31.536000000000001</v>
      </c>
      <c r="P105" s="496">
        <v>31.536000000000001</v>
      </c>
      <c r="Q105" s="496">
        <v>31.536000000000001</v>
      </c>
      <c r="R105" s="496">
        <v>31.536000000000001</v>
      </c>
      <c r="S105" s="496">
        <v>31.536000000000001</v>
      </c>
      <c r="T105" s="496">
        <v>31.536000000000001</v>
      </c>
      <c r="U105" s="496">
        <v>31.536000000000001</v>
      </c>
      <c r="V105" s="496">
        <v>31.536000000000001</v>
      </c>
      <c r="W105" s="496">
        <v>31.536000000000001</v>
      </c>
      <c r="X105" s="496">
        <v>31.536000000000001</v>
      </c>
      <c r="Y105" s="496">
        <v>31.536000000000001</v>
      </c>
      <c r="Z105" s="496">
        <v>31.536000000000001</v>
      </c>
      <c r="AA105" s="496">
        <v>31.536000000000001</v>
      </c>
      <c r="AB105" s="496">
        <v>31.536000000000001</v>
      </c>
      <c r="AC105" s="496">
        <v>31.536000000000001</v>
      </c>
      <c r="AD105" s="496">
        <v>31.536000000000001</v>
      </c>
      <c r="AE105" s="496">
        <v>31.536000000000001</v>
      </c>
      <c r="AF105" s="496">
        <v>31.536000000000001</v>
      </c>
      <c r="AG105" s="496">
        <v>31.536000000000001</v>
      </c>
      <c r="AH105" s="496">
        <v>31.536000000000001</v>
      </c>
      <c r="AI105" s="496">
        <v>31.536000000000001</v>
      </c>
      <c r="AJ105" s="496">
        <v>31.536000000000001</v>
      </c>
      <c r="AK105" s="496">
        <v>31.536000000000001</v>
      </c>
      <c r="AL105" s="496">
        <v>31.536000000000001</v>
      </c>
      <c r="AM105" s="496">
        <v>31.536000000000001</v>
      </c>
      <c r="AN105" s="496">
        <v>31.536000000000001</v>
      </c>
      <c r="AO105" s="496">
        <v>31.536000000000001</v>
      </c>
      <c r="AP105" s="496">
        <v>31.536000000000001</v>
      </c>
    </row>
    <row r="106" spans="1:42">
      <c r="A106" t="str">
        <f t="shared" si="21"/>
        <v>Derived heat</v>
      </c>
      <c r="C106" t="str">
        <f t="shared" si="22"/>
        <v>R_ES-WH-SD_HET</v>
      </c>
      <c r="E106" t="str">
        <f t="shared" si="23"/>
        <v>R_ES-SD-WatHeat</v>
      </c>
      <c r="F106" s="496">
        <v>31.536000000000001</v>
      </c>
      <c r="G106" s="496">
        <v>31.536000000000001</v>
      </c>
      <c r="H106" s="496">
        <v>31.536000000000001</v>
      </c>
      <c r="I106" s="496">
        <v>31.536000000000001</v>
      </c>
      <c r="J106" s="496">
        <v>31.536000000000001</v>
      </c>
      <c r="K106" s="496">
        <v>31.536000000000001</v>
      </c>
      <c r="L106" s="496">
        <v>31.536000000000001</v>
      </c>
      <c r="M106" s="496">
        <v>31.536000000000001</v>
      </c>
      <c r="N106" s="496">
        <v>31.536000000000001</v>
      </c>
      <c r="O106" s="496">
        <v>31.536000000000001</v>
      </c>
      <c r="P106" s="496">
        <v>31.536000000000001</v>
      </c>
      <c r="Q106" s="496">
        <v>31.536000000000001</v>
      </c>
      <c r="R106" s="496">
        <v>31.536000000000001</v>
      </c>
      <c r="S106" s="496">
        <v>31.536000000000001</v>
      </c>
      <c r="T106" s="496">
        <v>31.536000000000001</v>
      </c>
      <c r="U106" s="496">
        <v>31.536000000000001</v>
      </c>
      <c r="V106" s="496">
        <v>31.536000000000001</v>
      </c>
      <c r="W106" s="496">
        <v>31.536000000000001</v>
      </c>
      <c r="X106" s="496">
        <v>31.536000000000001</v>
      </c>
      <c r="Y106" s="496">
        <v>31.536000000000001</v>
      </c>
      <c r="Z106" s="496">
        <v>31.536000000000001</v>
      </c>
      <c r="AA106" s="496">
        <v>31.536000000000001</v>
      </c>
      <c r="AB106" s="496">
        <v>31.536000000000001</v>
      </c>
      <c r="AC106" s="496">
        <v>31.536000000000001</v>
      </c>
      <c r="AD106" s="496">
        <v>31.536000000000001</v>
      </c>
      <c r="AE106" s="496">
        <v>31.536000000000001</v>
      </c>
      <c r="AF106" s="496">
        <v>31.536000000000001</v>
      </c>
      <c r="AG106" s="496">
        <v>31.536000000000001</v>
      </c>
      <c r="AH106" s="496">
        <v>31.536000000000001</v>
      </c>
      <c r="AI106" s="496">
        <v>31.536000000000001</v>
      </c>
      <c r="AJ106" s="496">
        <v>31.536000000000001</v>
      </c>
      <c r="AK106" s="496">
        <v>31.536000000000001</v>
      </c>
      <c r="AL106" s="496">
        <v>31.536000000000001</v>
      </c>
      <c r="AM106" s="496">
        <v>31.536000000000001</v>
      </c>
      <c r="AN106" s="496">
        <v>31.536000000000001</v>
      </c>
      <c r="AO106" s="496">
        <v>31.536000000000001</v>
      </c>
      <c r="AP106" s="496">
        <v>31.536000000000001</v>
      </c>
    </row>
    <row r="107" spans="1:42">
      <c r="A107" t="str">
        <f t="shared" si="21"/>
        <v>GDO and other liquids (incl. liq. bio.)</v>
      </c>
      <c r="C107" t="str">
        <f t="shared" si="22"/>
        <v>R_ES-WH-SD_OIL</v>
      </c>
      <c r="E107" t="str">
        <f t="shared" si="23"/>
        <v>R_ES-SD-WatHeat</v>
      </c>
      <c r="F107" s="496">
        <v>31.536000000000001</v>
      </c>
      <c r="G107" s="496">
        <v>31.536000000000001</v>
      </c>
      <c r="H107" s="496">
        <v>31.536000000000001</v>
      </c>
      <c r="I107" s="496">
        <v>31.536000000000001</v>
      </c>
      <c r="J107" s="496">
        <v>31.536000000000001</v>
      </c>
      <c r="K107" s="496">
        <v>31.536000000000001</v>
      </c>
      <c r="L107" s="496">
        <v>31.536000000000001</v>
      </c>
      <c r="M107" s="496">
        <v>31.536000000000001</v>
      </c>
      <c r="N107" s="496">
        <v>31.536000000000001</v>
      </c>
      <c r="O107" s="496">
        <v>31.536000000000001</v>
      </c>
      <c r="P107" s="496">
        <v>31.536000000000001</v>
      </c>
      <c r="Q107" s="496">
        <v>31.536000000000001</v>
      </c>
      <c r="R107" s="496">
        <v>31.536000000000001</v>
      </c>
      <c r="S107" s="496">
        <v>31.536000000000001</v>
      </c>
      <c r="T107" s="496">
        <v>31.536000000000001</v>
      </c>
      <c r="U107" s="496">
        <v>31.536000000000001</v>
      </c>
      <c r="V107" s="496">
        <v>31.536000000000001</v>
      </c>
      <c r="W107" s="496">
        <v>31.536000000000001</v>
      </c>
      <c r="X107" s="496">
        <v>31.536000000000001</v>
      </c>
      <c r="Y107" s="496">
        <v>31.536000000000001</v>
      </c>
      <c r="Z107" s="496">
        <v>31.536000000000001</v>
      </c>
      <c r="AA107" s="496">
        <v>31.536000000000001</v>
      </c>
      <c r="AB107" s="496">
        <v>31.536000000000001</v>
      </c>
      <c r="AC107" s="496">
        <v>31.536000000000001</v>
      </c>
      <c r="AD107" s="496">
        <v>31.536000000000001</v>
      </c>
      <c r="AE107" s="496">
        <v>31.536000000000001</v>
      </c>
      <c r="AF107" s="496">
        <v>31.536000000000001</v>
      </c>
      <c r="AG107" s="496">
        <v>31.536000000000001</v>
      </c>
      <c r="AH107" s="496">
        <v>31.536000000000001</v>
      </c>
      <c r="AI107" s="496">
        <v>31.536000000000001</v>
      </c>
      <c r="AJ107" s="496">
        <v>31.536000000000001</v>
      </c>
      <c r="AK107" s="496">
        <v>31.536000000000001</v>
      </c>
      <c r="AL107" s="496">
        <v>31.536000000000001</v>
      </c>
      <c r="AM107" s="496">
        <v>31.536000000000001</v>
      </c>
      <c r="AN107" s="496">
        <v>31.536000000000001</v>
      </c>
      <c r="AO107" s="496">
        <v>31.536000000000001</v>
      </c>
      <c r="AP107" s="496">
        <v>31.536000000000001</v>
      </c>
    </row>
    <row r="108" spans="1:42">
      <c r="A108" t="str">
        <f t="shared" si="21"/>
        <v>Biomass and wastes</v>
      </c>
      <c r="C108" t="str">
        <f t="shared" si="22"/>
        <v>R_ES-WH-SD_BIO</v>
      </c>
      <c r="E108" t="str">
        <f t="shared" si="23"/>
        <v>R_ES-SD-WatHeat</v>
      </c>
      <c r="F108" s="496">
        <v>31.536000000000001</v>
      </c>
      <c r="G108" s="496">
        <v>31.536000000000001</v>
      </c>
      <c r="H108" s="496">
        <v>31.536000000000001</v>
      </c>
      <c r="I108" s="496">
        <v>31.536000000000001</v>
      </c>
      <c r="J108" s="496">
        <v>31.536000000000001</v>
      </c>
      <c r="K108" s="496">
        <v>31.536000000000001</v>
      </c>
      <c r="L108" s="496">
        <v>31.536000000000001</v>
      </c>
      <c r="M108" s="496">
        <v>31.536000000000001</v>
      </c>
      <c r="N108" s="496">
        <v>31.536000000000001</v>
      </c>
      <c r="O108" s="496">
        <v>31.536000000000001</v>
      </c>
      <c r="P108" s="496">
        <v>31.536000000000001</v>
      </c>
      <c r="Q108" s="496">
        <v>31.536000000000001</v>
      </c>
      <c r="R108" s="496">
        <v>31.536000000000001</v>
      </c>
      <c r="S108" s="496">
        <v>31.536000000000001</v>
      </c>
      <c r="T108" s="496">
        <v>31.536000000000001</v>
      </c>
      <c r="U108" s="496">
        <v>31.536000000000001</v>
      </c>
      <c r="V108" s="496">
        <v>31.536000000000001</v>
      </c>
      <c r="W108" s="496">
        <v>31.536000000000001</v>
      </c>
      <c r="X108" s="496">
        <v>31.536000000000001</v>
      </c>
      <c r="Y108" s="496">
        <v>31.536000000000001</v>
      </c>
      <c r="Z108" s="496">
        <v>31.536000000000001</v>
      </c>
      <c r="AA108" s="496">
        <v>31.536000000000001</v>
      </c>
      <c r="AB108" s="496">
        <v>31.536000000000001</v>
      </c>
      <c r="AC108" s="496">
        <v>31.536000000000001</v>
      </c>
      <c r="AD108" s="496">
        <v>31.536000000000001</v>
      </c>
      <c r="AE108" s="496">
        <v>31.536000000000001</v>
      </c>
      <c r="AF108" s="496">
        <v>31.536000000000001</v>
      </c>
      <c r="AG108" s="496">
        <v>31.536000000000001</v>
      </c>
      <c r="AH108" s="496">
        <v>31.536000000000001</v>
      </c>
      <c r="AI108" s="496">
        <v>31.536000000000001</v>
      </c>
      <c r="AJ108" s="496">
        <v>31.536000000000001</v>
      </c>
      <c r="AK108" s="496">
        <v>31.536000000000001</v>
      </c>
      <c r="AL108" s="496">
        <v>31.536000000000001</v>
      </c>
      <c r="AM108" s="496">
        <v>31.536000000000001</v>
      </c>
      <c r="AN108" s="496">
        <v>31.536000000000001</v>
      </c>
      <c r="AO108" s="496">
        <v>31.536000000000001</v>
      </c>
      <c r="AP108" s="496">
        <v>31.536000000000001</v>
      </c>
    </row>
    <row r="109" spans="1:42">
      <c r="A109" t="str">
        <f t="shared" si="21"/>
        <v>Solids</v>
      </c>
      <c r="C109" t="str">
        <f t="shared" si="22"/>
        <v>R_ES-WH-SD_COA</v>
      </c>
      <c r="E109" t="str">
        <f t="shared" si="23"/>
        <v>R_ES-SD-WatHeat</v>
      </c>
      <c r="F109" s="496">
        <v>31.536000000000001</v>
      </c>
      <c r="G109" s="496">
        <v>31.536000000000001</v>
      </c>
      <c r="H109" s="496">
        <v>31.536000000000001</v>
      </c>
      <c r="I109" s="496">
        <v>31.536000000000001</v>
      </c>
      <c r="J109" s="496">
        <v>31.536000000000001</v>
      </c>
      <c r="K109" s="496">
        <v>31.536000000000001</v>
      </c>
      <c r="L109" s="496">
        <v>31.536000000000001</v>
      </c>
      <c r="M109" s="496">
        <v>31.536000000000001</v>
      </c>
      <c r="N109" s="496">
        <v>31.536000000000001</v>
      </c>
      <c r="O109" s="496">
        <v>31.536000000000001</v>
      </c>
      <c r="P109" s="496">
        <v>31.536000000000001</v>
      </c>
      <c r="Q109" s="496">
        <v>31.536000000000001</v>
      </c>
      <c r="R109" s="496">
        <v>31.536000000000001</v>
      </c>
      <c r="S109" s="496">
        <v>31.536000000000001</v>
      </c>
      <c r="T109" s="496">
        <v>31.536000000000001</v>
      </c>
      <c r="U109" s="496">
        <v>31.536000000000001</v>
      </c>
      <c r="V109" s="496">
        <v>31.536000000000001</v>
      </c>
      <c r="W109" s="496">
        <v>31.536000000000001</v>
      </c>
      <c r="X109" s="496">
        <v>31.536000000000001</v>
      </c>
      <c r="Y109" s="496">
        <v>31.536000000000001</v>
      </c>
      <c r="Z109" s="496">
        <v>31.536000000000001</v>
      </c>
      <c r="AA109" s="496">
        <v>31.536000000000001</v>
      </c>
      <c r="AB109" s="496">
        <v>31.536000000000001</v>
      </c>
      <c r="AC109" s="496">
        <v>31.536000000000001</v>
      </c>
      <c r="AD109" s="496">
        <v>31.536000000000001</v>
      </c>
      <c r="AE109" s="496">
        <v>31.536000000000001</v>
      </c>
      <c r="AF109" s="496">
        <v>31.536000000000001</v>
      </c>
      <c r="AG109" s="496">
        <v>31.536000000000001</v>
      </c>
      <c r="AH109" s="496">
        <v>31.536000000000001</v>
      </c>
      <c r="AI109" s="496">
        <v>31.536000000000001</v>
      </c>
      <c r="AJ109" s="496">
        <v>31.536000000000001</v>
      </c>
      <c r="AK109" s="496">
        <v>31.536000000000001</v>
      </c>
      <c r="AL109" s="496">
        <v>31.536000000000001</v>
      </c>
      <c r="AM109" s="496">
        <v>31.536000000000001</v>
      </c>
      <c r="AN109" s="496">
        <v>31.536000000000001</v>
      </c>
      <c r="AO109" s="496">
        <v>31.536000000000001</v>
      </c>
      <c r="AP109" s="496">
        <v>31.536000000000001</v>
      </c>
    </row>
    <row r="110" spans="1:42">
      <c r="A110" t="str">
        <f t="shared" si="21"/>
        <v>LPG</v>
      </c>
      <c r="C110" t="str">
        <f t="shared" si="22"/>
        <v>R_ES-WH-SD_LPG</v>
      </c>
      <c r="E110" t="str">
        <f t="shared" si="23"/>
        <v>R_ES-SD-WatHeat</v>
      </c>
      <c r="F110" s="496">
        <v>31.536000000000001</v>
      </c>
      <c r="G110" s="496">
        <v>31.536000000000001</v>
      </c>
      <c r="H110" s="496">
        <v>31.536000000000001</v>
      </c>
      <c r="I110" s="496">
        <v>31.536000000000001</v>
      </c>
      <c r="J110" s="496">
        <v>31.536000000000001</v>
      </c>
      <c r="K110" s="496">
        <v>31.536000000000001</v>
      </c>
      <c r="L110" s="496">
        <v>31.536000000000001</v>
      </c>
      <c r="M110" s="496">
        <v>31.536000000000001</v>
      </c>
      <c r="N110" s="496">
        <v>31.536000000000001</v>
      </c>
      <c r="O110" s="496">
        <v>31.536000000000001</v>
      </c>
      <c r="P110" s="496">
        <v>31.536000000000001</v>
      </c>
      <c r="Q110" s="496">
        <v>31.536000000000001</v>
      </c>
      <c r="R110" s="496">
        <v>31.536000000000001</v>
      </c>
      <c r="S110" s="496">
        <v>31.536000000000001</v>
      </c>
      <c r="T110" s="496">
        <v>31.536000000000001</v>
      </c>
      <c r="U110" s="496">
        <v>31.536000000000001</v>
      </c>
      <c r="V110" s="496">
        <v>31.536000000000001</v>
      </c>
      <c r="W110" s="496">
        <v>31.536000000000001</v>
      </c>
      <c r="X110" s="496">
        <v>31.536000000000001</v>
      </c>
      <c r="Y110" s="496">
        <v>31.536000000000001</v>
      </c>
      <c r="Z110" s="496">
        <v>31.536000000000001</v>
      </c>
      <c r="AA110" s="496">
        <v>31.536000000000001</v>
      </c>
      <c r="AB110" s="496">
        <v>31.536000000000001</v>
      </c>
      <c r="AC110" s="496">
        <v>31.536000000000001</v>
      </c>
      <c r="AD110" s="496">
        <v>31.536000000000001</v>
      </c>
      <c r="AE110" s="496">
        <v>31.536000000000001</v>
      </c>
      <c r="AF110" s="496">
        <v>31.536000000000001</v>
      </c>
      <c r="AG110" s="496">
        <v>31.536000000000001</v>
      </c>
      <c r="AH110" s="496">
        <v>31.536000000000001</v>
      </c>
      <c r="AI110" s="496">
        <v>31.536000000000001</v>
      </c>
      <c r="AJ110" s="496">
        <v>31.536000000000001</v>
      </c>
      <c r="AK110" s="496">
        <v>31.536000000000001</v>
      </c>
      <c r="AL110" s="496">
        <v>31.536000000000001</v>
      </c>
      <c r="AM110" s="496">
        <v>31.536000000000001</v>
      </c>
      <c r="AN110" s="496">
        <v>31.536000000000001</v>
      </c>
      <c r="AO110" s="496">
        <v>31.536000000000001</v>
      </c>
      <c r="AP110" s="496">
        <v>31.536000000000001</v>
      </c>
    </row>
    <row r="111" spans="1:42">
      <c r="A111" t="str">
        <f t="shared" si="21"/>
        <v>Solar</v>
      </c>
      <c r="C111" t="str">
        <f t="shared" si="22"/>
        <v>R_ES-WH-SD_SOL</v>
      </c>
      <c r="E111" t="str">
        <f t="shared" si="23"/>
        <v>R_ES-SD-WatHeat</v>
      </c>
      <c r="F111" s="496">
        <v>31.536000000000001</v>
      </c>
      <c r="G111" s="496">
        <v>31.536000000000001</v>
      </c>
      <c r="H111" s="496">
        <v>31.536000000000001</v>
      </c>
      <c r="I111" s="496">
        <v>31.536000000000001</v>
      </c>
      <c r="J111" s="496">
        <v>31.536000000000001</v>
      </c>
      <c r="K111" s="496">
        <v>31.536000000000001</v>
      </c>
      <c r="L111" s="496">
        <v>31.536000000000001</v>
      </c>
      <c r="M111" s="496">
        <v>31.536000000000001</v>
      </c>
      <c r="N111" s="496">
        <v>31.536000000000001</v>
      </c>
      <c r="O111" s="496">
        <v>31.536000000000001</v>
      </c>
      <c r="P111" s="496">
        <v>31.536000000000001</v>
      </c>
      <c r="Q111" s="496">
        <v>31.536000000000001</v>
      </c>
      <c r="R111" s="496">
        <v>31.536000000000001</v>
      </c>
      <c r="S111" s="496">
        <v>31.536000000000001</v>
      </c>
      <c r="T111" s="496">
        <v>31.536000000000001</v>
      </c>
      <c r="U111" s="496">
        <v>31.536000000000001</v>
      </c>
      <c r="V111" s="496">
        <v>31.536000000000001</v>
      </c>
      <c r="W111" s="496">
        <v>31.536000000000001</v>
      </c>
      <c r="X111" s="496">
        <v>31.536000000000001</v>
      </c>
      <c r="Y111" s="496">
        <v>31.536000000000001</v>
      </c>
      <c r="Z111" s="496">
        <v>31.536000000000001</v>
      </c>
      <c r="AA111" s="496">
        <v>31.536000000000001</v>
      </c>
      <c r="AB111" s="496">
        <v>31.536000000000001</v>
      </c>
      <c r="AC111" s="496">
        <v>31.536000000000001</v>
      </c>
      <c r="AD111" s="496">
        <v>31.536000000000001</v>
      </c>
      <c r="AE111" s="496">
        <v>31.536000000000001</v>
      </c>
      <c r="AF111" s="496">
        <v>31.536000000000001</v>
      </c>
      <c r="AG111" s="496">
        <v>31.536000000000001</v>
      </c>
      <c r="AH111" s="496">
        <v>31.536000000000001</v>
      </c>
      <c r="AI111" s="496">
        <v>31.536000000000001</v>
      </c>
      <c r="AJ111" s="496">
        <v>31.536000000000001</v>
      </c>
      <c r="AK111" s="496">
        <v>31.536000000000001</v>
      </c>
      <c r="AL111" s="496">
        <v>31.536000000000001</v>
      </c>
      <c r="AM111" s="496">
        <v>31.536000000000001</v>
      </c>
      <c r="AN111" s="496">
        <v>31.536000000000001</v>
      </c>
      <c r="AO111" s="496">
        <v>31.536000000000001</v>
      </c>
      <c r="AP111" s="496">
        <v>31.536000000000001</v>
      </c>
    </row>
    <row r="113" spans="1:42">
      <c r="AH113" s="496"/>
    </row>
    <row r="114" spans="1:42">
      <c r="E114" s="533" t="s">
        <v>608</v>
      </c>
    </row>
    <row r="115" spans="1:42" ht="15" thickBot="1">
      <c r="C115" s="539" t="s">
        <v>545</v>
      </c>
      <c r="D115" s="539" t="s">
        <v>585</v>
      </c>
      <c r="E115" s="539" t="s">
        <v>552</v>
      </c>
      <c r="F115" s="540" t="str">
        <f>'All Stock'!D$2</f>
        <v>AT</v>
      </c>
      <c r="G115" s="540" t="str">
        <f>'All Stock'!E$2</f>
        <v>BE</v>
      </c>
      <c r="H115" s="540" t="str">
        <f>'All Stock'!F$2</f>
        <v>BG</v>
      </c>
      <c r="I115" s="540" t="str">
        <f>'All Stock'!G$2</f>
        <v>CH</v>
      </c>
      <c r="J115" s="540" t="str">
        <f>'All Stock'!H$2</f>
        <v>CY</v>
      </c>
      <c r="K115" s="540" t="str">
        <f>'All Stock'!I$2</f>
        <v>CZ</v>
      </c>
      <c r="L115" s="540" t="str">
        <f>'All Stock'!J$2</f>
        <v>DE</v>
      </c>
      <c r="M115" s="540" t="str">
        <f>'All Stock'!K$2</f>
        <v>DK</v>
      </c>
      <c r="N115" s="540" t="str">
        <f>'All Stock'!L$2</f>
        <v>EE</v>
      </c>
      <c r="O115" s="540" t="str">
        <f>'All Stock'!M$2</f>
        <v>ES</v>
      </c>
      <c r="P115" s="540" t="str">
        <f>'All Stock'!N$2</f>
        <v>FI</v>
      </c>
      <c r="Q115" s="540" t="str">
        <f>'All Stock'!O$2</f>
        <v>FR</v>
      </c>
      <c r="R115" s="540" t="str">
        <f>'All Stock'!P$2</f>
        <v>EL</v>
      </c>
      <c r="S115" s="540" t="str">
        <f>'All Stock'!Q$2</f>
        <v>HR</v>
      </c>
      <c r="T115" s="540" t="str">
        <f>'All Stock'!R$2</f>
        <v>HU</v>
      </c>
      <c r="U115" s="540" t="str">
        <f>'All Stock'!S$2</f>
        <v>IE</v>
      </c>
      <c r="V115" s="540" t="str">
        <f>'All Stock'!T$2</f>
        <v>IS</v>
      </c>
      <c r="W115" s="540" t="str">
        <f>'All Stock'!U$2</f>
        <v>IT</v>
      </c>
      <c r="X115" s="540" t="str">
        <f>'All Stock'!V$2</f>
        <v>LT</v>
      </c>
      <c r="Y115" s="540" t="str">
        <f>'All Stock'!W$2</f>
        <v>LU</v>
      </c>
      <c r="Z115" s="540" t="str">
        <f>'All Stock'!X$2</f>
        <v>LV</v>
      </c>
      <c r="AA115" s="540" t="str">
        <f>'All Stock'!Y$2</f>
        <v>MT</v>
      </c>
      <c r="AB115" s="540" t="str">
        <f>'All Stock'!Z$2</f>
        <v>NL</v>
      </c>
      <c r="AC115" s="540" t="str">
        <f>'All Stock'!AA$2</f>
        <v>NO</v>
      </c>
      <c r="AD115" s="540" t="str">
        <f>'All Stock'!AB$2</f>
        <v>PL</v>
      </c>
      <c r="AE115" s="540" t="str">
        <f>'All Stock'!AC$2</f>
        <v>PT</v>
      </c>
      <c r="AF115" s="540" t="str">
        <f>'All Stock'!AD$2</f>
        <v>RO</v>
      </c>
      <c r="AG115" s="540" t="str">
        <f>'All Stock'!AE$2</f>
        <v>SE</v>
      </c>
      <c r="AH115" s="540" t="str">
        <f>'All Stock'!AF$2</f>
        <v>SI</v>
      </c>
      <c r="AI115" s="540" t="str">
        <f>'All Stock'!AG$2</f>
        <v>SK</v>
      </c>
      <c r="AJ115" s="540" t="str">
        <f>'All Stock'!AH$2</f>
        <v>UK</v>
      </c>
      <c r="AK115" s="540" t="str">
        <f>'All Stock'!AI$2</f>
        <v>AL</v>
      </c>
      <c r="AL115" s="540" t="str">
        <f>'All Stock'!AJ$2</f>
        <v>BA</v>
      </c>
      <c r="AM115" s="540" t="str">
        <f>'All Stock'!AK$2</f>
        <v>ME</v>
      </c>
      <c r="AN115" s="540" t="str">
        <f>'All Stock'!AL$2</f>
        <v>MK</v>
      </c>
      <c r="AO115" s="540" t="str">
        <f>'All Stock'!AM$2</f>
        <v>RS</v>
      </c>
      <c r="AP115" s="540" t="str">
        <f>'All Stock'!AN$2</f>
        <v>KS</v>
      </c>
    </row>
    <row r="116" spans="1:42">
      <c r="A116" t="str">
        <f>A88</f>
        <v>Electricity</v>
      </c>
      <c r="C116" t="str">
        <f>C88</f>
        <v>R_ES-WH-FL_ELC</v>
      </c>
      <c r="E116" t="str">
        <f>E88</f>
        <v>R_ES-FL-WatHeat</v>
      </c>
      <c r="F116" s="693">
        <f ca="1">'TechWaterHeat-RES per dwelling'!F$52/('TechWaterHeat-RES'!$AR4*'TechWaterHeat-RES'!F88)*1000*1.1</f>
        <v>9.8114212154323449E-2</v>
      </c>
      <c r="G116" s="693">
        <f ca="1">'TechWaterHeat-RES per dwelling'!G$52/('TechWaterHeat-RES'!$AR4*'TechWaterHeat-RES'!G88)*1000*1.1</f>
        <v>8.3079117969767968E-2</v>
      </c>
      <c r="H116" s="693">
        <f ca="1">'TechWaterHeat-RES per dwelling'!H$52/('TechWaterHeat-RES'!$AR4*'TechWaterHeat-RES'!H88)*1000*1.1</f>
        <v>6.6147178605152249E-2</v>
      </c>
      <c r="I116" s="693">
        <f ca="1">'TechWaterHeat-RES per dwelling'!I$52/('TechWaterHeat-RES'!$AR4*'TechWaterHeat-RES'!I88)*1000*1.1</f>
        <v>7.421169117839499E-2</v>
      </c>
      <c r="J116" s="693">
        <f ca="1">'TechWaterHeat-RES per dwelling'!J$52/('TechWaterHeat-RES'!$AR4*'TechWaterHeat-RES'!J88)*1000*1.1</f>
        <v>8.2562306293762558E-2</v>
      </c>
      <c r="K116" s="693">
        <f ca="1">'TechWaterHeat-RES per dwelling'!K$52/('TechWaterHeat-RES'!$AR4*'TechWaterHeat-RES'!K88)*1000*1.1</f>
        <v>6.213908172319775E-2</v>
      </c>
      <c r="L116" s="693">
        <f ca="1">'TechWaterHeat-RES per dwelling'!L$52/('TechWaterHeat-RES'!$AR4*'TechWaterHeat-RES'!L88)*1000*1.1</f>
        <v>8.0311259575067295E-2</v>
      </c>
      <c r="M116" s="693">
        <f ca="1">'TechWaterHeat-RES per dwelling'!M$52/('TechWaterHeat-RES'!$AR4*'TechWaterHeat-RES'!M88)*1000*1.1</f>
        <v>8.4785725062879666E-2</v>
      </c>
      <c r="N116" s="693">
        <f ca="1">'TechWaterHeat-RES per dwelling'!N$52/('TechWaterHeat-RES'!$AR4*'TechWaterHeat-RES'!N88)*1000*1.1</f>
        <v>7.7938143429807261E-2</v>
      </c>
      <c r="O116" s="693">
        <f ca="1">'TechWaterHeat-RES per dwelling'!O$52/('TechWaterHeat-RES'!$AR4*'TechWaterHeat-RES'!O88)*1000*1.1</f>
        <v>0.1047357756494379</v>
      </c>
      <c r="P116" s="693">
        <f ca="1">'TechWaterHeat-RES per dwelling'!P$52/('TechWaterHeat-RES'!$AR4*'TechWaterHeat-RES'!P88)*1000*1.1</f>
        <v>9.9061125762371652E-2</v>
      </c>
      <c r="Q116" s="693">
        <f ca="1">'TechWaterHeat-RES per dwelling'!Q$52/('TechWaterHeat-RES'!$AR4*'TechWaterHeat-RES'!Q88)*1000*1.1</f>
        <v>8.6800545446925545E-2</v>
      </c>
      <c r="R116" s="693">
        <f ca="1">'TechWaterHeat-RES per dwelling'!R$52/('TechWaterHeat-RES'!$AR4*'TechWaterHeat-RES'!R88)*1000*1.1</f>
        <v>9.0885466316056845E-2</v>
      </c>
      <c r="S116" s="693">
        <f ca="1">'TechWaterHeat-RES per dwelling'!S$52/('TechWaterHeat-RES'!$AR4*'TechWaterHeat-RES'!S88)*1000*1.1</f>
        <v>5.3516627698683955E-2</v>
      </c>
      <c r="T116" s="693">
        <f ca="1">'TechWaterHeat-RES per dwelling'!T$52/('TechWaterHeat-RES'!$AR4*'TechWaterHeat-RES'!T88)*1000*1.1</f>
        <v>4.653093305275334E-2</v>
      </c>
      <c r="U116" s="693">
        <f ca="1">'TechWaterHeat-RES per dwelling'!U$52/('TechWaterHeat-RES'!$AR4*'TechWaterHeat-RES'!U88)*1000*1.1</f>
        <v>9.3761825223416931E-2</v>
      </c>
      <c r="V116" s="693">
        <f ca="1">'TechWaterHeat-RES per dwelling'!V$52/('TechWaterHeat-RES'!$AR4*'TechWaterHeat-RES'!V88)*1000*1.1</f>
        <v>9.1844507818219817E-2</v>
      </c>
      <c r="W116" s="693">
        <f ca="1">'TechWaterHeat-RES per dwelling'!W$52/('TechWaterHeat-RES'!$AR4*'TechWaterHeat-RES'!W88)*1000*1.1</f>
        <v>7.362644872071783E-2</v>
      </c>
      <c r="X116" s="693">
        <f ca="1">'TechWaterHeat-RES per dwelling'!X$52/('TechWaterHeat-RES'!$AR4*'TechWaterHeat-RES'!X88)*1000*1.1</f>
        <v>6.4028054866370185E-2</v>
      </c>
      <c r="Y116" s="693">
        <f ca="1">'TechWaterHeat-RES per dwelling'!Y$52/('TechWaterHeat-RES'!$AR4*'TechWaterHeat-RES'!Y88)*1000*1.1</f>
        <v>6.680801568478123E-2</v>
      </c>
      <c r="Z116" s="693">
        <f ca="1">'TechWaterHeat-RES per dwelling'!Z$52/('TechWaterHeat-RES'!$AR4*'TechWaterHeat-RES'!Z88)*1000*1.1</f>
        <v>8.9825876321693976E-2</v>
      </c>
      <c r="AA116" s="693">
        <f ca="1">'TechWaterHeat-RES per dwelling'!AA$52/('TechWaterHeat-RES'!$AR4*'TechWaterHeat-RES'!AA88)*1000*1.1</f>
        <v>4.0185265556057205E-2</v>
      </c>
      <c r="AB116" s="693">
        <f ca="1">'TechWaterHeat-RES per dwelling'!AB$52/('TechWaterHeat-RES'!$AR4*'TechWaterHeat-RES'!AB88)*1000*1.1</f>
        <v>8.0612653968766185E-2</v>
      </c>
      <c r="AC116" s="693">
        <f ca="1">'TechWaterHeat-RES per dwelling'!AC$52/('TechWaterHeat-RES'!$AR4*'TechWaterHeat-RES'!AC88)*1000*1.1</f>
        <v>0.13437769965648177</v>
      </c>
      <c r="AD116" s="693">
        <f ca="1">'TechWaterHeat-RES per dwelling'!AD$52/('TechWaterHeat-RES'!$AR4*'TechWaterHeat-RES'!AD88)*1000*1.1</f>
        <v>8.0032808079200254E-2</v>
      </c>
      <c r="AE116" s="693">
        <f ca="1">'TechWaterHeat-RES per dwelling'!AE$52/('TechWaterHeat-RES'!$AR4*'TechWaterHeat-RES'!AE88)*1000*1.1</f>
        <v>0.12921221404982278</v>
      </c>
      <c r="AF116" s="693">
        <f ca="1">'TechWaterHeat-RES per dwelling'!AF$52/('TechWaterHeat-RES'!$AR4*'TechWaterHeat-RES'!AF88)*1000*1.1</f>
        <v>5.3629584514042802E-2</v>
      </c>
      <c r="AG116" s="693">
        <f ca="1">'TechWaterHeat-RES per dwelling'!AG$52/('TechWaterHeat-RES'!$AR4*'TechWaterHeat-RES'!AG88)*1000*1.1</f>
        <v>8.1045461002581601E-2</v>
      </c>
      <c r="AH116" s="693">
        <f ca="1">'TechWaterHeat-RES per dwelling'!AH$52/('TechWaterHeat-RES'!$AR4*'TechWaterHeat-RES'!AH88)*1000*1.1</f>
        <v>0.10789593216681902</v>
      </c>
      <c r="AI116" s="693">
        <f ca="1">'TechWaterHeat-RES per dwelling'!AI$52/('TechWaterHeat-RES'!$AR4*'TechWaterHeat-RES'!AI88)*1000*1.1</f>
        <v>8.1901284946787292E-2</v>
      </c>
      <c r="AJ116" s="693">
        <f ca="1">'TechWaterHeat-RES per dwelling'!AJ$52/('TechWaterHeat-RES'!$AR4*'TechWaterHeat-RES'!AJ88)*1000*1.1</f>
        <v>8.0322621390082158E-2</v>
      </c>
      <c r="AK116" s="693">
        <f ca="1">'TechWaterHeat-RES per dwelling'!AK$52/('TechWaterHeat-RES'!$AR4*'TechWaterHeat-RES'!AK88)*1000*1.1</f>
        <v>9.3058422165803137E-2</v>
      </c>
      <c r="AL116" s="693">
        <f ca="1">'TechWaterHeat-RES per dwelling'!AL$52/('TechWaterHeat-RES'!$AR4*'TechWaterHeat-RES'!AL88)*1000*1.1</f>
        <v>4.9096550232436593E-2</v>
      </c>
      <c r="AM116" s="693">
        <f ca="1">'TechWaterHeat-RES per dwelling'!AM$52/('TechWaterHeat-RES'!$AR4*'TechWaterHeat-RES'!AM88)*1000*1.1</f>
        <v>6.6181096238732889E-2</v>
      </c>
      <c r="AN116" s="693">
        <f ca="1">'TechWaterHeat-RES per dwelling'!AN$52/('TechWaterHeat-RES'!$AR4*'TechWaterHeat-RES'!AN88)*1000*1.1</f>
        <v>5.4634777034796488E-2</v>
      </c>
      <c r="AO116" s="693">
        <f ca="1">'TechWaterHeat-RES per dwelling'!AO$52/('TechWaterHeat-RES'!$AR4*'TechWaterHeat-RES'!AO88)*1000*1.1</f>
        <v>6.0409676326461166E-2</v>
      </c>
      <c r="AP116" s="693">
        <f ca="1">'TechWaterHeat-RES per dwelling'!AP$52/('TechWaterHeat-RES'!$AR4*'TechWaterHeat-RES'!AP88)*1000*1.1</f>
        <v>3.7357648729330707E-2</v>
      </c>
    </row>
    <row r="117" spans="1:42">
      <c r="A117" t="str">
        <f t="shared" ref="A117:A139" si="24">A89</f>
        <v>Gases</v>
      </c>
      <c r="C117" t="str">
        <f t="shared" ref="C117:C139" si="25">C89</f>
        <v>R_ES-WH-FL_GAS</v>
      </c>
      <c r="E117" t="str">
        <f t="shared" ref="E117:E139" si="26">E89</f>
        <v>R_ES-FL-WatHeat</v>
      </c>
      <c r="F117" s="693">
        <f ca="1">'TechWaterHeat-RES per dwelling'!F$52/('TechWaterHeat-RES'!$AR5*'TechWaterHeat-RES'!F89)*1000*1.1</f>
        <v>9.8114212154323449E-2</v>
      </c>
      <c r="G117" s="693">
        <f ca="1">'TechWaterHeat-RES per dwelling'!G$52/('TechWaterHeat-RES'!$AR5*'TechWaterHeat-RES'!G89)*1000*1.1</f>
        <v>8.3079117969767968E-2</v>
      </c>
      <c r="H117" s="693">
        <f ca="1">'TechWaterHeat-RES per dwelling'!H$52/('TechWaterHeat-RES'!$AR5*'TechWaterHeat-RES'!H89)*1000*1.1</f>
        <v>6.6147178605152249E-2</v>
      </c>
      <c r="I117" s="693">
        <f ca="1">'TechWaterHeat-RES per dwelling'!I$52/('TechWaterHeat-RES'!$AR5*'TechWaterHeat-RES'!I89)*1000*1.1</f>
        <v>7.421169117839499E-2</v>
      </c>
      <c r="J117" s="693">
        <f ca="1">'TechWaterHeat-RES per dwelling'!J$52/('TechWaterHeat-RES'!$AR5*'TechWaterHeat-RES'!J89)*1000*1.1</f>
        <v>8.2562306293762558E-2</v>
      </c>
      <c r="K117" s="693">
        <f ca="1">'TechWaterHeat-RES per dwelling'!K$52/('TechWaterHeat-RES'!$AR5*'TechWaterHeat-RES'!K89)*1000*1.1</f>
        <v>6.213908172319775E-2</v>
      </c>
      <c r="L117" s="693">
        <f ca="1">'TechWaterHeat-RES per dwelling'!L$52/('TechWaterHeat-RES'!$AR5*'TechWaterHeat-RES'!L89)*1000*1.1</f>
        <v>8.0311259575067295E-2</v>
      </c>
      <c r="M117" s="693">
        <f ca="1">'TechWaterHeat-RES per dwelling'!M$52/('TechWaterHeat-RES'!$AR5*'TechWaterHeat-RES'!M89)*1000*1.1</f>
        <v>8.4785725062879666E-2</v>
      </c>
      <c r="N117" s="693">
        <f ca="1">'TechWaterHeat-RES per dwelling'!N$52/('TechWaterHeat-RES'!$AR5*'TechWaterHeat-RES'!N89)*1000*1.1</f>
        <v>7.7938143429807261E-2</v>
      </c>
      <c r="O117" s="693">
        <f ca="1">'TechWaterHeat-RES per dwelling'!O$52/('TechWaterHeat-RES'!$AR5*'TechWaterHeat-RES'!O89)*1000*1.1</f>
        <v>0.1047357756494379</v>
      </c>
      <c r="P117" s="693">
        <f ca="1">'TechWaterHeat-RES per dwelling'!P$52/('TechWaterHeat-RES'!$AR5*'TechWaterHeat-RES'!P89)*1000*1.1</f>
        <v>9.9061125762371652E-2</v>
      </c>
      <c r="Q117" s="693">
        <f ca="1">'TechWaterHeat-RES per dwelling'!Q$52/('TechWaterHeat-RES'!$AR5*'TechWaterHeat-RES'!Q89)*1000*1.1</f>
        <v>8.6800545446925545E-2</v>
      </c>
      <c r="R117" s="693">
        <f ca="1">'TechWaterHeat-RES per dwelling'!R$52/('TechWaterHeat-RES'!$AR5*'TechWaterHeat-RES'!R89)*1000*1.1</f>
        <v>9.0885466316056845E-2</v>
      </c>
      <c r="S117" s="693">
        <f ca="1">'TechWaterHeat-RES per dwelling'!S$52/('TechWaterHeat-RES'!$AR5*'TechWaterHeat-RES'!S89)*1000*1.1</f>
        <v>5.3516627698683955E-2</v>
      </c>
      <c r="T117" s="693">
        <f ca="1">'TechWaterHeat-RES per dwelling'!T$52/('TechWaterHeat-RES'!$AR5*'TechWaterHeat-RES'!T89)*1000*1.1</f>
        <v>4.653093305275334E-2</v>
      </c>
      <c r="U117" s="693">
        <f ca="1">'TechWaterHeat-RES per dwelling'!U$52/('TechWaterHeat-RES'!$AR5*'TechWaterHeat-RES'!U89)*1000*1.1</f>
        <v>9.3761825223416931E-2</v>
      </c>
      <c r="V117" s="693">
        <f ca="1">'TechWaterHeat-RES per dwelling'!V$52/('TechWaterHeat-RES'!$AR5*'TechWaterHeat-RES'!V89)*1000*1.1</f>
        <v>9.1844507818219817E-2</v>
      </c>
      <c r="W117" s="693">
        <f ca="1">'TechWaterHeat-RES per dwelling'!W$52/('TechWaterHeat-RES'!$AR5*'TechWaterHeat-RES'!W89)*1000*1.1</f>
        <v>7.362644872071783E-2</v>
      </c>
      <c r="X117" s="693">
        <f ca="1">'TechWaterHeat-RES per dwelling'!X$52/('TechWaterHeat-RES'!$AR5*'TechWaterHeat-RES'!X89)*1000*1.1</f>
        <v>6.4028054866370185E-2</v>
      </c>
      <c r="Y117" s="693">
        <f ca="1">'TechWaterHeat-RES per dwelling'!Y$52/('TechWaterHeat-RES'!$AR5*'TechWaterHeat-RES'!Y89)*1000*1.1</f>
        <v>6.680801568478123E-2</v>
      </c>
      <c r="Z117" s="693">
        <f ca="1">'TechWaterHeat-RES per dwelling'!Z$52/('TechWaterHeat-RES'!$AR5*'TechWaterHeat-RES'!Z89)*1000*1.1</f>
        <v>8.9825876321693976E-2</v>
      </c>
      <c r="AA117" s="693">
        <f ca="1">'TechWaterHeat-RES per dwelling'!AA$52/('TechWaterHeat-RES'!$AR5*'TechWaterHeat-RES'!AA89)*1000*1.1</f>
        <v>4.0185265556057205E-2</v>
      </c>
      <c r="AB117" s="693">
        <f ca="1">'TechWaterHeat-RES per dwelling'!AB$52/('TechWaterHeat-RES'!$AR5*'TechWaterHeat-RES'!AB89)*1000*1.1</f>
        <v>8.0612653968766185E-2</v>
      </c>
      <c r="AC117" s="693">
        <f ca="1">'TechWaterHeat-RES per dwelling'!AC$52/('TechWaterHeat-RES'!$AR5*'TechWaterHeat-RES'!AC89)*1000*1.1</f>
        <v>0.13437769965648177</v>
      </c>
      <c r="AD117" s="693">
        <f ca="1">'TechWaterHeat-RES per dwelling'!AD$52/('TechWaterHeat-RES'!$AR5*'TechWaterHeat-RES'!AD89)*1000*1.1</f>
        <v>8.0032808079200254E-2</v>
      </c>
      <c r="AE117" s="693">
        <f ca="1">'TechWaterHeat-RES per dwelling'!AE$52/('TechWaterHeat-RES'!$AR5*'TechWaterHeat-RES'!AE89)*1000*1.1</f>
        <v>0.12921221404982278</v>
      </c>
      <c r="AF117" s="693">
        <f ca="1">'TechWaterHeat-RES per dwelling'!AF$52/('TechWaterHeat-RES'!$AR5*'TechWaterHeat-RES'!AF89)*1000*1.1</f>
        <v>5.3629584514042802E-2</v>
      </c>
      <c r="AG117" s="693">
        <f ca="1">'TechWaterHeat-RES per dwelling'!AG$52/('TechWaterHeat-RES'!$AR5*'TechWaterHeat-RES'!AG89)*1000*1.1</f>
        <v>8.1045461002581601E-2</v>
      </c>
      <c r="AH117" s="693">
        <f ca="1">'TechWaterHeat-RES per dwelling'!AH$52/('TechWaterHeat-RES'!$AR5*'TechWaterHeat-RES'!AH89)*1000*1.1</f>
        <v>0.10789593216681902</v>
      </c>
      <c r="AI117" s="693">
        <f ca="1">'TechWaterHeat-RES per dwelling'!AI$52/('TechWaterHeat-RES'!$AR5*'TechWaterHeat-RES'!AI89)*1000*1.1</f>
        <v>8.1901284946787292E-2</v>
      </c>
      <c r="AJ117" s="693">
        <f ca="1">'TechWaterHeat-RES per dwelling'!AJ$52/('TechWaterHeat-RES'!$AR5*'TechWaterHeat-RES'!AJ89)*1000*1.1</f>
        <v>8.0322621390082158E-2</v>
      </c>
      <c r="AK117" s="693">
        <f ca="1">'TechWaterHeat-RES per dwelling'!AK$52/('TechWaterHeat-RES'!$AR5*'TechWaterHeat-RES'!AK89)*1000*1.1</f>
        <v>9.3058422165803137E-2</v>
      </c>
      <c r="AL117" s="693">
        <f ca="1">'TechWaterHeat-RES per dwelling'!AL$52/('TechWaterHeat-RES'!$AR5*'TechWaterHeat-RES'!AL89)*1000*1.1</f>
        <v>4.9096550232436593E-2</v>
      </c>
      <c r="AM117" s="693">
        <f ca="1">'TechWaterHeat-RES per dwelling'!AM$52/('TechWaterHeat-RES'!$AR5*'TechWaterHeat-RES'!AM89)*1000*1.1</f>
        <v>6.6181096238732889E-2</v>
      </c>
      <c r="AN117" s="693">
        <f ca="1">'TechWaterHeat-RES per dwelling'!AN$52/('TechWaterHeat-RES'!$AR5*'TechWaterHeat-RES'!AN89)*1000*1.1</f>
        <v>5.4634777034796488E-2</v>
      </c>
      <c r="AO117" s="693">
        <f ca="1">'TechWaterHeat-RES per dwelling'!AO$52/('TechWaterHeat-RES'!$AR5*'TechWaterHeat-RES'!AO89)*1000*1.1</f>
        <v>6.0409676326461166E-2</v>
      </c>
      <c r="AP117" s="693">
        <f ca="1">'TechWaterHeat-RES per dwelling'!AP$52/('TechWaterHeat-RES'!$AR5*'TechWaterHeat-RES'!AP89)*1000*1.1</f>
        <v>3.7357648729330707E-2</v>
      </c>
    </row>
    <row r="118" spans="1:42">
      <c r="A118" t="str">
        <f t="shared" si="24"/>
        <v>Derived heat</v>
      </c>
      <c r="C118" t="str">
        <f t="shared" si="25"/>
        <v>R_ES-WH-FL_HET</v>
      </c>
      <c r="E118" t="str">
        <f t="shared" si="26"/>
        <v>R_ES-FL-WatHeat</v>
      </c>
      <c r="F118" s="693">
        <f ca="1">'TechWaterHeat-RES per dwelling'!F$52/('TechWaterHeat-RES'!$AR6*'TechWaterHeat-RES'!F90)*1000*1.1</f>
        <v>9.8114212154323449E-2</v>
      </c>
      <c r="G118" s="693">
        <f ca="1">'TechWaterHeat-RES per dwelling'!G$52/('TechWaterHeat-RES'!$AR6*'TechWaterHeat-RES'!G90)*1000*1.1</f>
        <v>8.3079117969767968E-2</v>
      </c>
      <c r="H118" s="693">
        <f ca="1">'TechWaterHeat-RES per dwelling'!H$52/('TechWaterHeat-RES'!$AR6*'TechWaterHeat-RES'!H90)*1000*1.1</f>
        <v>6.6147178605152249E-2</v>
      </c>
      <c r="I118" s="693">
        <f ca="1">'TechWaterHeat-RES per dwelling'!I$52/('TechWaterHeat-RES'!$AR6*'TechWaterHeat-RES'!I90)*1000*1.1</f>
        <v>7.421169117839499E-2</v>
      </c>
      <c r="J118" s="693">
        <f ca="1">'TechWaterHeat-RES per dwelling'!J$52/('TechWaterHeat-RES'!$AR6*'TechWaterHeat-RES'!J90)*1000*1.1</f>
        <v>8.2562306293762558E-2</v>
      </c>
      <c r="K118" s="693">
        <f ca="1">'TechWaterHeat-RES per dwelling'!K$52/('TechWaterHeat-RES'!$AR6*'TechWaterHeat-RES'!K90)*1000*1.1</f>
        <v>6.213908172319775E-2</v>
      </c>
      <c r="L118" s="693">
        <f ca="1">'TechWaterHeat-RES per dwelling'!L$52/('TechWaterHeat-RES'!$AR6*'TechWaterHeat-RES'!L90)*1000*1.1</f>
        <v>8.0311259575067295E-2</v>
      </c>
      <c r="M118" s="693">
        <f ca="1">'TechWaterHeat-RES per dwelling'!M$52/('TechWaterHeat-RES'!$AR6*'TechWaterHeat-RES'!M90)*1000*1.1</f>
        <v>8.4785725062879666E-2</v>
      </c>
      <c r="N118" s="693">
        <f ca="1">'TechWaterHeat-RES per dwelling'!N$52/('TechWaterHeat-RES'!$AR6*'TechWaterHeat-RES'!N90)*1000*1.1</f>
        <v>7.7938143429807261E-2</v>
      </c>
      <c r="O118" s="693">
        <f ca="1">'TechWaterHeat-RES per dwelling'!O$52/('TechWaterHeat-RES'!$AR6*'TechWaterHeat-RES'!O90)*1000*1.1</f>
        <v>0.1047357756494379</v>
      </c>
      <c r="P118" s="693">
        <f ca="1">'TechWaterHeat-RES per dwelling'!P$52/('TechWaterHeat-RES'!$AR6*'TechWaterHeat-RES'!P90)*1000*1.1</f>
        <v>9.9061125762371652E-2</v>
      </c>
      <c r="Q118" s="693">
        <f ca="1">'TechWaterHeat-RES per dwelling'!Q$52/('TechWaterHeat-RES'!$AR6*'TechWaterHeat-RES'!Q90)*1000*1.1</f>
        <v>8.6800545446925545E-2</v>
      </c>
      <c r="R118" s="693">
        <f ca="1">'TechWaterHeat-RES per dwelling'!R$52/('TechWaterHeat-RES'!$AR6*'TechWaterHeat-RES'!R90)*1000*1.1</f>
        <v>9.0885466316056845E-2</v>
      </c>
      <c r="S118" s="693">
        <f ca="1">'TechWaterHeat-RES per dwelling'!S$52/('TechWaterHeat-RES'!$AR6*'TechWaterHeat-RES'!S90)*1000*1.1</f>
        <v>5.3516627698683955E-2</v>
      </c>
      <c r="T118" s="693">
        <f ca="1">'TechWaterHeat-RES per dwelling'!T$52/('TechWaterHeat-RES'!$AR6*'TechWaterHeat-RES'!T90)*1000*1.1</f>
        <v>4.653093305275334E-2</v>
      </c>
      <c r="U118" s="693">
        <f ca="1">'TechWaterHeat-RES per dwelling'!U$52/('TechWaterHeat-RES'!$AR6*'TechWaterHeat-RES'!U90)*1000*1.1</f>
        <v>9.3761825223416931E-2</v>
      </c>
      <c r="V118" s="693">
        <f ca="1">'TechWaterHeat-RES per dwelling'!V$52/('TechWaterHeat-RES'!$AR6*'TechWaterHeat-RES'!V90)*1000*1.1</f>
        <v>9.1844507818219817E-2</v>
      </c>
      <c r="W118" s="693">
        <f ca="1">'TechWaterHeat-RES per dwelling'!W$52/('TechWaterHeat-RES'!$AR6*'TechWaterHeat-RES'!W90)*1000*1.1</f>
        <v>7.362644872071783E-2</v>
      </c>
      <c r="X118" s="693">
        <f ca="1">'TechWaterHeat-RES per dwelling'!X$52/('TechWaterHeat-RES'!$AR6*'TechWaterHeat-RES'!X90)*1000*1.1</f>
        <v>6.4028054866370185E-2</v>
      </c>
      <c r="Y118" s="693">
        <f ca="1">'TechWaterHeat-RES per dwelling'!Y$52/('TechWaterHeat-RES'!$AR6*'TechWaterHeat-RES'!Y90)*1000*1.1</f>
        <v>6.680801568478123E-2</v>
      </c>
      <c r="Z118" s="693">
        <f ca="1">'TechWaterHeat-RES per dwelling'!Z$52/('TechWaterHeat-RES'!$AR6*'TechWaterHeat-RES'!Z90)*1000*1.1</f>
        <v>8.9825876321693976E-2</v>
      </c>
      <c r="AA118" s="693">
        <f ca="1">'TechWaterHeat-RES per dwelling'!AA$52/('TechWaterHeat-RES'!$AR6*'TechWaterHeat-RES'!AA90)*1000*1.1</f>
        <v>4.0185265556057205E-2</v>
      </c>
      <c r="AB118" s="693">
        <f ca="1">'TechWaterHeat-RES per dwelling'!AB$52/('TechWaterHeat-RES'!$AR6*'TechWaterHeat-RES'!AB90)*1000*1.1</f>
        <v>8.0612653968766185E-2</v>
      </c>
      <c r="AC118" s="693">
        <f ca="1">'TechWaterHeat-RES per dwelling'!AC$52/('TechWaterHeat-RES'!$AR6*'TechWaterHeat-RES'!AC90)*1000*1.1</f>
        <v>0.13437769965648177</v>
      </c>
      <c r="AD118" s="693">
        <f ca="1">'TechWaterHeat-RES per dwelling'!AD$52/('TechWaterHeat-RES'!$AR6*'TechWaterHeat-RES'!AD90)*1000*1.1</f>
        <v>8.0032808079200254E-2</v>
      </c>
      <c r="AE118" s="693">
        <f ca="1">'TechWaterHeat-RES per dwelling'!AE$52/('TechWaterHeat-RES'!$AR6*'TechWaterHeat-RES'!AE90)*1000*1.1</f>
        <v>0.12921221404982278</v>
      </c>
      <c r="AF118" s="693">
        <f ca="1">'TechWaterHeat-RES per dwelling'!AF$52/('TechWaterHeat-RES'!$AR6*'TechWaterHeat-RES'!AF90)*1000*1.1</f>
        <v>5.3629584514042802E-2</v>
      </c>
      <c r="AG118" s="693">
        <f ca="1">'TechWaterHeat-RES per dwelling'!AG$52/('TechWaterHeat-RES'!$AR6*'TechWaterHeat-RES'!AG90)*1000*1.1</f>
        <v>8.1045461002581601E-2</v>
      </c>
      <c r="AH118" s="693">
        <f ca="1">'TechWaterHeat-RES per dwelling'!AH$52/('TechWaterHeat-RES'!$AR6*'TechWaterHeat-RES'!AH90)*1000*1.1</f>
        <v>0.10789593216681902</v>
      </c>
      <c r="AI118" s="693">
        <f ca="1">'TechWaterHeat-RES per dwelling'!AI$52/('TechWaterHeat-RES'!$AR6*'TechWaterHeat-RES'!AI90)*1000*1.1</f>
        <v>8.1901284946787292E-2</v>
      </c>
      <c r="AJ118" s="693">
        <f ca="1">'TechWaterHeat-RES per dwelling'!AJ$52/('TechWaterHeat-RES'!$AR6*'TechWaterHeat-RES'!AJ90)*1000*1.1</f>
        <v>8.0322621390082158E-2</v>
      </c>
      <c r="AK118" s="693">
        <f ca="1">'TechWaterHeat-RES per dwelling'!AK$52/('TechWaterHeat-RES'!$AR6*'TechWaterHeat-RES'!AK90)*1000*1.1</f>
        <v>9.3058422165803137E-2</v>
      </c>
      <c r="AL118" s="693">
        <f ca="1">'TechWaterHeat-RES per dwelling'!AL$52/('TechWaterHeat-RES'!$AR6*'TechWaterHeat-RES'!AL90)*1000*1.1</f>
        <v>4.9096550232436593E-2</v>
      </c>
      <c r="AM118" s="693">
        <f ca="1">'TechWaterHeat-RES per dwelling'!AM$52/('TechWaterHeat-RES'!$AR6*'TechWaterHeat-RES'!AM90)*1000*1.1</f>
        <v>6.6181096238732889E-2</v>
      </c>
      <c r="AN118" s="693">
        <f ca="1">'TechWaterHeat-RES per dwelling'!AN$52/('TechWaterHeat-RES'!$AR6*'TechWaterHeat-RES'!AN90)*1000*1.1</f>
        <v>5.4634777034796488E-2</v>
      </c>
      <c r="AO118" s="693">
        <f ca="1">'TechWaterHeat-RES per dwelling'!AO$52/('TechWaterHeat-RES'!$AR6*'TechWaterHeat-RES'!AO90)*1000*1.1</f>
        <v>6.0409676326461166E-2</v>
      </c>
      <c r="AP118" s="693">
        <f ca="1">'TechWaterHeat-RES per dwelling'!AP$52/('TechWaterHeat-RES'!$AR6*'TechWaterHeat-RES'!AP90)*1000*1.1</f>
        <v>3.7357648729330707E-2</v>
      </c>
    </row>
    <row r="119" spans="1:42">
      <c r="A119" t="str">
        <f t="shared" si="24"/>
        <v>GDO and other liquids (incl. liq. bio.)</v>
      </c>
      <c r="C119" t="str">
        <f t="shared" si="25"/>
        <v>R_ES-WH-FL_OIL</v>
      </c>
      <c r="E119" t="str">
        <f t="shared" si="26"/>
        <v>R_ES-FL-WatHeat</v>
      </c>
      <c r="F119" s="693">
        <f ca="1">'TechWaterHeat-RES per dwelling'!F$52/('TechWaterHeat-RES'!$AR7*'TechWaterHeat-RES'!F91)*1000*1.1</f>
        <v>9.8114212154323449E-2</v>
      </c>
      <c r="G119" s="693">
        <f ca="1">'TechWaterHeat-RES per dwelling'!G$52/('TechWaterHeat-RES'!$AR7*'TechWaterHeat-RES'!G91)*1000*1.1</f>
        <v>8.3079117969767968E-2</v>
      </c>
      <c r="H119" s="693">
        <f ca="1">'TechWaterHeat-RES per dwelling'!H$52/('TechWaterHeat-RES'!$AR7*'TechWaterHeat-RES'!H91)*1000*1.1</f>
        <v>6.6147178605152249E-2</v>
      </c>
      <c r="I119" s="693">
        <f ca="1">'TechWaterHeat-RES per dwelling'!I$52/('TechWaterHeat-RES'!$AR7*'TechWaterHeat-RES'!I91)*1000*1.1</f>
        <v>7.421169117839499E-2</v>
      </c>
      <c r="J119" s="693">
        <f ca="1">'TechWaterHeat-RES per dwelling'!J$52/('TechWaterHeat-RES'!$AR7*'TechWaterHeat-RES'!J91)*1000*1.1</f>
        <v>8.2562306293762558E-2</v>
      </c>
      <c r="K119" s="693">
        <f ca="1">'TechWaterHeat-RES per dwelling'!K$52/('TechWaterHeat-RES'!$AR7*'TechWaterHeat-RES'!K91)*1000*1.1</f>
        <v>6.213908172319775E-2</v>
      </c>
      <c r="L119" s="693">
        <f ca="1">'TechWaterHeat-RES per dwelling'!L$52/('TechWaterHeat-RES'!$AR7*'TechWaterHeat-RES'!L91)*1000*1.1</f>
        <v>8.0311259575067295E-2</v>
      </c>
      <c r="M119" s="693">
        <f ca="1">'TechWaterHeat-RES per dwelling'!M$52/('TechWaterHeat-RES'!$AR7*'TechWaterHeat-RES'!M91)*1000*1.1</f>
        <v>8.4785725062879666E-2</v>
      </c>
      <c r="N119" s="693">
        <f ca="1">'TechWaterHeat-RES per dwelling'!N$52/('TechWaterHeat-RES'!$AR7*'TechWaterHeat-RES'!N91)*1000*1.1</f>
        <v>7.7938143429807261E-2</v>
      </c>
      <c r="O119" s="693">
        <f ca="1">'TechWaterHeat-RES per dwelling'!O$52/('TechWaterHeat-RES'!$AR7*'TechWaterHeat-RES'!O91)*1000*1.1</f>
        <v>0.1047357756494379</v>
      </c>
      <c r="P119" s="693">
        <f ca="1">'TechWaterHeat-RES per dwelling'!P$52/('TechWaterHeat-RES'!$AR7*'TechWaterHeat-RES'!P91)*1000*1.1</f>
        <v>9.9061125762371652E-2</v>
      </c>
      <c r="Q119" s="693">
        <f ca="1">'TechWaterHeat-RES per dwelling'!Q$52/('TechWaterHeat-RES'!$AR7*'TechWaterHeat-RES'!Q91)*1000*1.1</f>
        <v>8.6800545446925545E-2</v>
      </c>
      <c r="R119" s="693">
        <f ca="1">'TechWaterHeat-RES per dwelling'!R$52/('TechWaterHeat-RES'!$AR7*'TechWaterHeat-RES'!R91)*1000*1.1</f>
        <v>9.0885466316056845E-2</v>
      </c>
      <c r="S119" s="693">
        <f ca="1">'TechWaterHeat-RES per dwelling'!S$52/('TechWaterHeat-RES'!$AR7*'TechWaterHeat-RES'!S91)*1000*1.1</f>
        <v>5.3516627698683955E-2</v>
      </c>
      <c r="T119" s="693">
        <f ca="1">'TechWaterHeat-RES per dwelling'!T$52/('TechWaterHeat-RES'!$AR7*'TechWaterHeat-RES'!T91)*1000*1.1</f>
        <v>4.653093305275334E-2</v>
      </c>
      <c r="U119" s="693">
        <f ca="1">'TechWaterHeat-RES per dwelling'!U$52/('TechWaterHeat-RES'!$AR7*'TechWaterHeat-RES'!U91)*1000*1.1</f>
        <v>9.3761825223416931E-2</v>
      </c>
      <c r="V119" s="693">
        <f ca="1">'TechWaterHeat-RES per dwelling'!V$52/('TechWaterHeat-RES'!$AR7*'TechWaterHeat-RES'!V91)*1000*1.1</f>
        <v>9.1844507818219817E-2</v>
      </c>
      <c r="W119" s="693">
        <f ca="1">'TechWaterHeat-RES per dwelling'!W$52/('TechWaterHeat-RES'!$AR7*'TechWaterHeat-RES'!W91)*1000*1.1</f>
        <v>7.362644872071783E-2</v>
      </c>
      <c r="X119" s="693">
        <f ca="1">'TechWaterHeat-RES per dwelling'!X$52/('TechWaterHeat-RES'!$AR7*'TechWaterHeat-RES'!X91)*1000*1.1</f>
        <v>6.4028054866370185E-2</v>
      </c>
      <c r="Y119" s="693">
        <f ca="1">'TechWaterHeat-RES per dwelling'!Y$52/('TechWaterHeat-RES'!$AR7*'TechWaterHeat-RES'!Y91)*1000*1.1</f>
        <v>6.680801568478123E-2</v>
      </c>
      <c r="Z119" s="693">
        <f ca="1">'TechWaterHeat-RES per dwelling'!Z$52/('TechWaterHeat-RES'!$AR7*'TechWaterHeat-RES'!Z91)*1000*1.1</f>
        <v>8.9825876321693976E-2</v>
      </c>
      <c r="AA119" s="693">
        <f ca="1">'TechWaterHeat-RES per dwelling'!AA$52/('TechWaterHeat-RES'!$AR7*'TechWaterHeat-RES'!AA91)*1000*1.1</f>
        <v>4.0185265556057205E-2</v>
      </c>
      <c r="AB119" s="693">
        <f ca="1">'TechWaterHeat-RES per dwelling'!AB$52/('TechWaterHeat-RES'!$AR7*'TechWaterHeat-RES'!AB91)*1000*1.1</f>
        <v>8.0612653968766185E-2</v>
      </c>
      <c r="AC119" s="693">
        <f ca="1">'TechWaterHeat-RES per dwelling'!AC$52/('TechWaterHeat-RES'!$AR7*'TechWaterHeat-RES'!AC91)*1000*1.1</f>
        <v>0.13437769965648177</v>
      </c>
      <c r="AD119" s="693">
        <f ca="1">'TechWaterHeat-RES per dwelling'!AD$52/('TechWaterHeat-RES'!$AR7*'TechWaterHeat-RES'!AD91)*1000*1.1</f>
        <v>8.0032808079200254E-2</v>
      </c>
      <c r="AE119" s="693">
        <f ca="1">'TechWaterHeat-RES per dwelling'!AE$52/('TechWaterHeat-RES'!$AR7*'TechWaterHeat-RES'!AE91)*1000*1.1</f>
        <v>0.12921221404982278</v>
      </c>
      <c r="AF119" s="693">
        <f ca="1">'TechWaterHeat-RES per dwelling'!AF$52/('TechWaterHeat-RES'!$AR7*'TechWaterHeat-RES'!AF91)*1000*1.1</f>
        <v>5.3629584514042802E-2</v>
      </c>
      <c r="AG119" s="693">
        <f ca="1">'TechWaterHeat-RES per dwelling'!AG$52/('TechWaterHeat-RES'!$AR7*'TechWaterHeat-RES'!AG91)*1000*1.1</f>
        <v>8.1045461002581601E-2</v>
      </c>
      <c r="AH119" s="693">
        <f ca="1">'TechWaterHeat-RES per dwelling'!AH$52/('TechWaterHeat-RES'!$AR7*'TechWaterHeat-RES'!AH91)*1000*1.1</f>
        <v>0.10789593216681902</v>
      </c>
      <c r="AI119" s="693">
        <f ca="1">'TechWaterHeat-RES per dwelling'!AI$52/('TechWaterHeat-RES'!$AR7*'TechWaterHeat-RES'!AI91)*1000*1.1</f>
        <v>8.1901284946787292E-2</v>
      </c>
      <c r="AJ119" s="693">
        <f ca="1">'TechWaterHeat-RES per dwelling'!AJ$52/('TechWaterHeat-RES'!$AR7*'TechWaterHeat-RES'!AJ91)*1000*1.1</f>
        <v>8.0322621390082158E-2</v>
      </c>
      <c r="AK119" s="693">
        <f ca="1">'TechWaterHeat-RES per dwelling'!AK$52/('TechWaterHeat-RES'!$AR7*'TechWaterHeat-RES'!AK91)*1000*1.1</f>
        <v>9.3058422165803137E-2</v>
      </c>
      <c r="AL119" s="693">
        <f ca="1">'TechWaterHeat-RES per dwelling'!AL$52/('TechWaterHeat-RES'!$AR7*'TechWaterHeat-RES'!AL91)*1000*1.1</f>
        <v>4.9096550232436593E-2</v>
      </c>
      <c r="AM119" s="693">
        <f ca="1">'TechWaterHeat-RES per dwelling'!AM$52/('TechWaterHeat-RES'!$AR7*'TechWaterHeat-RES'!AM91)*1000*1.1</f>
        <v>6.6181096238732889E-2</v>
      </c>
      <c r="AN119" s="693">
        <f ca="1">'TechWaterHeat-RES per dwelling'!AN$52/('TechWaterHeat-RES'!$AR7*'TechWaterHeat-RES'!AN91)*1000*1.1</f>
        <v>5.4634777034796488E-2</v>
      </c>
      <c r="AO119" s="693">
        <f ca="1">'TechWaterHeat-RES per dwelling'!AO$52/('TechWaterHeat-RES'!$AR7*'TechWaterHeat-RES'!AO91)*1000*1.1</f>
        <v>6.0409676326461166E-2</v>
      </c>
      <c r="AP119" s="693">
        <f ca="1">'TechWaterHeat-RES per dwelling'!AP$52/('TechWaterHeat-RES'!$AR7*'TechWaterHeat-RES'!AP91)*1000*1.1</f>
        <v>3.7357648729330707E-2</v>
      </c>
    </row>
    <row r="120" spans="1:42">
      <c r="A120" t="str">
        <f t="shared" si="24"/>
        <v>Biomass and wastes</v>
      </c>
      <c r="C120" t="str">
        <f t="shared" si="25"/>
        <v>R_ES-WH-FL_BIO</v>
      </c>
      <c r="E120" t="str">
        <f t="shared" si="26"/>
        <v>R_ES-FL-WatHeat</v>
      </c>
      <c r="F120" s="693">
        <f ca="1">'TechWaterHeat-RES per dwelling'!F$52/('TechWaterHeat-RES'!$AR8*'TechWaterHeat-RES'!F92)*1000*1.1</f>
        <v>9.8114212154323449E-2</v>
      </c>
      <c r="G120" s="693">
        <f ca="1">'TechWaterHeat-RES per dwelling'!G$52/('TechWaterHeat-RES'!$AR8*'TechWaterHeat-RES'!G92)*1000*1.1</f>
        <v>8.3079117969767968E-2</v>
      </c>
      <c r="H120" s="693">
        <f ca="1">'TechWaterHeat-RES per dwelling'!H$52/('TechWaterHeat-RES'!$AR8*'TechWaterHeat-RES'!H92)*1000*1.1</f>
        <v>6.6147178605152249E-2</v>
      </c>
      <c r="I120" s="693">
        <f ca="1">'TechWaterHeat-RES per dwelling'!I$52/('TechWaterHeat-RES'!$AR8*'TechWaterHeat-RES'!I92)*1000*1.1</f>
        <v>7.421169117839499E-2</v>
      </c>
      <c r="J120" s="693">
        <f ca="1">'TechWaterHeat-RES per dwelling'!J$52/('TechWaterHeat-RES'!$AR8*'TechWaterHeat-RES'!J92)*1000*1.1</f>
        <v>8.2562306293762558E-2</v>
      </c>
      <c r="K120" s="693">
        <f ca="1">'TechWaterHeat-RES per dwelling'!K$52/('TechWaterHeat-RES'!$AR8*'TechWaterHeat-RES'!K92)*1000*1.1</f>
        <v>6.213908172319775E-2</v>
      </c>
      <c r="L120" s="693">
        <f ca="1">'TechWaterHeat-RES per dwelling'!L$52/('TechWaterHeat-RES'!$AR8*'TechWaterHeat-RES'!L92)*1000*1.1</f>
        <v>8.0311259575067295E-2</v>
      </c>
      <c r="M120" s="693">
        <f ca="1">'TechWaterHeat-RES per dwelling'!M$52/('TechWaterHeat-RES'!$AR8*'TechWaterHeat-RES'!M92)*1000*1.1</f>
        <v>8.4785725062879666E-2</v>
      </c>
      <c r="N120" s="693">
        <f ca="1">'TechWaterHeat-RES per dwelling'!N$52/('TechWaterHeat-RES'!$AR8*'TechWaterHeat-RES'!N92)*1000*1.1</f>
        <v>7.7938143429807261E-2</v>
      </c>
      <c r="O120" s="693">
        <f ca="1">'TechWaterHeat-RES per dwelling'!O$52/('TechWaterHeat-RES'!$AR8*'TechWaterHeat-RES'!O92)*1000*1.1</f>
        <v>0.1047357756494379</v>
      </c>
      <c r="P120" s="693">
        <f ca="1">'TechWaterHeat-RES per dwelling'!P$52/('TechWaterHeat-RES'!$AR8*'TechWaterHeat-RES'!P92)*1000*1.1</f>
        <v>9.9061125762371652E-2</v>
      </c>
      <c r="Q120" s="693">
        <f ca="1">'TechWaterHeat-RES per dwelling'!Q$52/('TechWaterHeat-RES'!$AR8*'TechWaterHeat-RES'!Q92)*1000*1.1</f>
        <v>8.6800545446925545E-2</v>
      </c>
      <c r="R120" s="693">
        <f ca="1">'TechWaterHeat-RES per dwelling'!R$52/('TechWaterHeat-RES'!$AR8*'TechWaterHeat-RES'!R92)*1000*1.1</f>
        <v>9.0885466316056845E-2</v>
      </c>
      <c r="S120" s="693">
        <f ca="1">'TechWaterHeat-RES per dwelling'!S$52/('TechWaterHeat-RES'!$AR8*'TechWaterHeat-RES'!S92)*1000*1.1</f>
        <v>5.3516627698683955E-2</v>
      </c>
      <c r="T120" s="693">
        <f ca="1">'TechWaterHeat-RES per dwelling'!T$52/('TechWaterHeat-RES'!$AR8*'TechWaterHeat-RES'!T92)*1000*1.1</f>
        <v>4.653093305275334E-2</v>
      </c>
      <c r="U120" s="693">
        <f ca="1">'TechWaterHeat-RES per dwelling'!U$52/('TechWaterHeat-RES'!$AR8*'TechWaterHeat-RES'!U92)*1000*1.1</f>
        <v>9.3761825223416931E-2</v>
      </c>
      <c r="V120" s="693">
        <f ca="1">'TechWaterHeat-RES per dwelling'!V$52/('TechWaterHeat-RES'!$AR8*'TechWaterHeat-RES'!V92)*1000*1.1</f>
        <v>9.1844507818219817E-2</v>
      </c>
      <c r="W120" s="693">
        <f ca="1">'TechWaterHeat-RES per dwelling'!W$52/('TechWaterHeat-RES'!$AR8*'TechWaterHeat-RES'!W92)*1000*1.1</f>
        <v>7.362644872071783E-2</v>
      </c>
      <c r="X120" s="693">
        <f ca="1">'TechWaterHeat-RES per dwelling'!X$52/('TechWaterHeat-RES'!$AR8*'TechWaterHeat-RES'!X92)*1000*1.1</f>
        <v>6.4028054866370185E-2</v>
      </c>
      <c r="Y120" s="693">
        <f ca="1">'TechWaterHeat-RES per dwelling'!Y$52/('TechWaterHeat-RES'!$AR8*'TechWaterHeat-RES'!Y92)*1000*1.1</f>
        <v>6.680801568478123E-2</v>
      </c>
      <c r="Z120" s="693">
        <f ca="1">'TechWaterHeat-RES per dwelling'!Z$52/('TechWaterHeat-RES'!$AR8*'TechWaterHeat-RES'!Z92)*1000*1.1</f>
        <v>8.9825876321693976E-2</v>
      </c>
      <c r="AA120" s="693">
        <f ca="1">'TechWaterHeat-RES per dwelling'!AA$52/('TechWaterHeat-RES'!$AR8*'TechWaterHeat-RES'!AA92)*1000*1.1</f>
        <v>4.0185265556057205E-2</v>
      </c>
      <c r="AB120" s="693">
        <f ca="1">'TechWaterHeat-RES per dwelling'!AB$52/('TechWaterHeat-RES'!$AR8*'TechWaterHeat-RES'!AB92)*1000*1.1</f>
        <v>8.0612653968766185E-2</v>
      </c>
      <c r="AC120" s="693">
        <f ca="1">'TechWaterHeat-RES per dwelling'!AC$52/('TechWaterHeat-RES'!$AR8*'TechWaterHeat-RES'!AC92)*1000*1.1</f>
        <v>0.13437769965648177</v>
      </c>
      <c r="AD120" s="693">
        <f ca="1">'TechWaterHeat-RES per dwelling'!AD$52/('TechWaterHeat-RES'!$AR8*'TechWaterHeat-RES'!AD92)*1000*1.1</f>
        <v>8.0032808079200254E-2</v>
      </c>
      <c r="AE120" s="693">
        <f ca="1">'TechWaterHeat-RES per dwelling'!AE$52/('TechWaterHeat-RES'!$AR8*'TechWaterHeat-RES'!AE92)*1000*1.1</f>
        <v>0.12921221404982278</v>
      </c>
      <c r="AF120" s="693">
        <f ca="1">'TechWaterHeat-RES per dwelling'!AF$52/('TechWaterHeat-RES'!$AR8*'TechWaterHeat-RES'!AF92)*1000*1.1</f>
        <v>5.3629584514042802E-2</v>
      </c>
      <c r="AG120" s="693">
        <f ca="1">'TechWaterHeat-RES per dwelling'!AG$52/('TechWaterHeat-RES'!$AR8*'TechWaterHeat-RES'!AG92)*1000*1.1</f>
        <v>8.1045461002581601E-2</v>
      </c>
      <c r="AH120" s="693">
        <f ca="1">'TechWaterHeat-RES per dwelling'!AH$52/('TechWaterHeat-RES'!$AR8*'TechWaterHeat-RES'!AH92)*1000*1.1</f>
        <v>0.10789593216681902</v>
      </c>
      <c r="AI120" s="693">
        <f ca="1">'TechWaterHeat-RES per dwelling'!AI$52/('TechWaterHeat-RES'!$AR8*'TechWaterHeat-RES'!AI92)*1000*1.1</f>
        <v>8.1901284946787292E-2</v>
      </c>
      <c r="AJ120" s="693">
        <f ca="1">'TechWaterHeat-RES per dwelling'!AJ$52/('TechWaterHeat-RES'!$AR8*'TechWaterHeat-RES'!AJ92)*1000*1.1</f>
        <v>8.0322621390082158E-2</v>
      </c>
      <c r="AK120" s="693">
        <f ca="1">'TechWaterHeat-RES per dwelling'!AK$52/('TechWaterHeat-RES'!$AR8*'TechWaterHeat-RES'!AK92)*1000*1.1</f>
        <v>9.3058422165803137E-2</v>
      </c>
      <c r="AL120" s="693">
        <f ca="1">'TechWaterHeat-RES per dwelling'!AL$52/('TechWaterHeat-RES'!$AR8*'TechWaterHeat-RES'!AL92)*1000*1.1</f>
        <v>4.9096550232436593E-2</v>
      </c>
      <c r="AM120" s="693">
        <f ca="1">'TechWaterHeat-RES per dwelling'!AM$52/('TechWaterHeat-RES'!$AR8*'TechWaterHeat-RES'!AM92)*1000*1.1</f>
        <v>6.6181096238732889E-2</v>
      </c>
      <c r="AN120" s="693">
        <f ca="1">'TechWaterHeat-RES per dwelling'!AN$52/('TechWaterHeat-RES'!$AR8*'TechWaterHeat-RES'!AN92)*1000*1.1</f>
        <v>5.4634777034796488E-2</v>
      </c>
      <c r="AO120" s="693">
        <f ca="1">'TechWaterHeat-RES per dwelling'!AO$52/('TechWaterHeat-RES'!$AR8*'TechWaterHeat-RES'!AO92)*1000*1.1</f>
        <v>6.0409676326461166E-2</v>
      </c>
      <c r="AP120" s="693">
        <f ca="1">'TechWaterHeat-RES per dwelling'!AP$52/('TechWaterHeat-RES'!$AR8*'TechWaterHeat-RES'!AP92)*1000*1.1</f>
        <v>3.7357648729330707E-2</v>
      </c>
    </row>
    <row r="121" spans="1:42">
      <c r="A121" t="str">
        <f t="shared" si="24"/>
        <v>Solids</v>
      </c>
      <c r="C121" t="str">
        <f t="shared" si="25"/>
        <v>R_ES-WH-FL_COA</v>
      </c>
      <c r="E121" t="str">
        <f t="shared" si="26"/>
        <v>R_ES-FL-WatHeat</v>
      </c>
      <c r="F121" s="693">
        <f ca="1">'TechWaterHeat-RES per dwelling'!F$52/('TechWaterHeat-RES'!$AR9*'TechWaterHeat-RES'!F93)*1000*1.1</f>
        <v>9.8114212154323449E-2</v>
      </c>
      <c r="G121" s="693">
        <f ca="1">'TechWaterHeat-RES per dwelling'!G$52/('TechWaterHeat-RES'!$AR9*'TechWaterHeat-RES'!G93)*1000*1.1</f>
        <v>8.3079117969767968E-2</v>
      </c>
      <c r="H121" s="693">
        <f ca="1">'TechWaterHeat-RES per dwelling'!H$52/('TechWaterHeat-RES'!$AR9*'TechWaterHeat-RES'!H93)*1000*1.1</f>
        <v>6.6147178605152249E-2</v>
      </c>
      <c r="I121" s="693">
        <f ca="1">'TechWaterHeat-RES per dwelling'!I$52/('TechWaterHeat-RES'!$AR9*'TechWaterHeat-RES'!I93)*1000*1.1</f>
        <v>7.421169117839499E-2</v>
      </c>
      <c r="J121" s="693">
        <f ca="1">'TechWaterHeat-RES per dwelling'!J$52/('TechWaterHeat-RES'!$AR9*'TechWaterHeat-RES'!J93)*1000*1.1</f>
        <v>8.2562306293762558E-2</v>
      </c>
      <c r="K121" s="693">
        <f ca="1">'TechWaterHeat-RES per dwelling'!K$52/('TechWaterHeat-RES'!$AR9*'TechWaterHeat-RES'!K93)*1000*1.1</f>
        <v>6.213908172319775E-2</v>
      </c>
      <c r="L121" s="693">
        <f ca="1">'TechWaterHeat-RES per dwelling'!L$52/('TechWaterHeat-RES'!$AR9*'TechWaterHeat-RES'!L93)*1000*1.1</f>
        <v>8.0311259575067295E-2</v>
      </c>
      <c r="M121" s="693">
        <f ca="1">'TechWaterHeat-RES per dwelling'!M$52/('TechWaterHeat-RES'!$AR9*'TechWaterHeat-RES'!M93)*1000*1.1</f>
        <v>8.4785725062879666E-2</v>
      </c>
      <c r="N121" s="693">
        <f ca="1">'TechWaterHeat-RES per dwelling'!N$52/('TechWaterHeat-RES'!$AR9*'TechWaterHeat-RES'!N93)*1000*1.1</f>
        <v>7.7938143429807261E-2</v>
      </c>
      <c r="O121" s="693">
        <f ca="1">'TechWaterHeat-RES per dwelling'!O$52/('TechWaterHeat-RES'!$AR9*'TechWaterHeat-RES'!O93)*1000*1.1</f>
        <v>0.1047357756494379</v>
      </c>
      <c r="P121" s="693">
        <f ca="1">'TechWaterHeat-RES per dwelling'!P$52/('TechWaterHeat-RES'!$AR9*'TechWaterHeat-RES'!P93)*1000*1.1</f>
        <v>9.9061125762371652E-2</v>
      </c>
      <c r="Q121" s="693">
        <f ca="1">'TechWaterHeat-RES per dwelling'!Q$52/('TechWaterHeat-RES'!$AR9*'TechWaterHeat-RES'!Q93)*1000*1.1</f>
        <v>8.6800545446925545E-2</v>
      </c>
      <c r="R121" s="693">
        <f ca="1">'TechWaterHeat-RES per dwelling'!R$52/('TechWaterHeat-RES'!$AR9*'TechWaterHeat-RES'!R93)*1000*1.1</f>
        <v>9.0885466316056845E-2</v>
      </c>
      <c r="S121" s="693">
        <f ca="1">'TechWaterHeat-RES per dwelling'!S$52/('TechWaterHeat-RES'!$AR9*'TechWaterHeat-RES'!S93)*1000*1.1</f>
        <v>5.3516627698683955E-2</v>
      </c>
      <c r="T121" s="693">
        <f ca="1">'TechWaterHeat-RES per dwelling'!T$52/('TechWaterHeat-RES'!$AR9*'TechWaterHeat-RES'!T93)*1000*1.1</f>
        <v>4.653093305275334E-2</v>
      </c>
      <c r="U121" s="693">
        <f ca="1">'TechWaterHeat-RES per dwelling'!U$52/('TechWaterHeat-RES'!$AR9*'TechWaterHeat-RES'!U93)*1000*1.1</f>
        <v>9.3761825223416931E-2</v>
      </c>
      <c r="V121" s="693">
        <f ca="1">'TechWaterHeat-RES per dwelling'!V$52/('TechWaterHeat-RES'!$AR9*'TechWaterHeat-RES'!V93)*1000*1.1</f>
        <v>9.1844507818219817E-2</v>
      </c>
      <c r="W121" s="693">
        <f ca="1">'TechWaterHeat-RES per dwelling'!W$52/('TechWaterHeat-RES'!$AR9*'TechWaterHeat-RES'!W93)*1000*1.1</f>
        <v>7.362644872071783E-2</v>
      </c>
      <c r="X121" s="693">
        <f ca="1">'TechWaterHeat-RES per dwelling'!X$52/('TechWaterHeat-RES'!$AR9*'TechWaterHeat-RES'!X93)*1000*1.1</f>
        <v>6.4028054866370185E-2</v>
      </c>
      <c r="Y121" s="693">
        <f ca="1">'TechWaterHeat-RES per dwelling'!Y$52/('TechWaterHeat-RES'!$AR9*'TechWaterHeat-RES'!Y93)*1000*1.1</f>
        <v>6.680801568478123E-2</v>
      </c>
      <c r="Z121" s="693">
        <f ca="1">'TechWaterHeat-RES per dwelling'!Z$52/('TechWaterHeat-RES'!$AR9*'TechWaterHeat-RES'!Z93)*1000*1.1</f>
        <v>8.9825876321693976E-2</v>
      </c>
      <c r="AA121" s="693">
        <f ca="1">'TechWaterHeat-RES per dwelling'!AA$52/('TechWaterHeat-RES'!$AR9*'TechWaterHeat-RES'!AA93)*1000*1.1</f>
        <v>4.0185265556057205E-2</v>
      </c>
      <c r="AB121" s="693">
        <f ca="1">'TechWaterHeat-RES per dwelling'!AB$52/('TechWaterHeat-RES'!$AR9*'TechWaterHeat-RES'!AB93)*1000*1.1</f>
        <v>8.0612653968766185E-2</v>
      </c>
      <c r="AC121" s="693">
        <f ca="1">'TechWaterHeat-RES per dwelling'!AC$52/('TechWaterHeat-RES'!$AR9*'TechWaterHeat-RES'!AC93)*1000*1.1</f>
        <v>0.13437769965648177</v>
      </c>
      <c r="AD121" s="693">
        <f ca="1">'TechWaterHeat-RES per dwelling'!AD$52/('TechWaterHeat-RES'!$AR9*'TechWaterHeat-RES'!AD93)*1000*1.1</f>
        <v>8.0032808079200254E-2</v>
      </c>
      <c r="AE121" s="693">
        <f ca="1">'TechWaterHeat-RES per dwelling'!AE$52/('TechWaterHeat-RES'!$AR9*'TechWaterHeat-RES'!AE93)*1000*1.1</f>
        <v>0.12921221404982278</v>
      </c>
      <c r="AF121" s="693">
        <f ca="1">'TechWaterHeat-RES per dwelling'!AF$52/('TechWaterHeat-RES'!$AR9*'TechWaterHeat-RES'!AF93)*1000*1.1</f>
        <v>5.3629584514042802E-2</v>
      </c>
      <c r="AG121" s="693">
        <f ca="1">'TechWaterHeat-RES per dwelling'!AG$52/('TechWaterHeat-RES'!$AR9*'TechWaterHeat-RES'!AG93)*1000*1.1</f>
        <v>8.1045461002581601E-2</v>
      </c>
      <c r="AH121" s="693">
        <f ca="1">'TechWaterHeat-RES per dwelling'!AH$52/('TechWaterHeat-RES'!$AR9*'TechWaterHeat-RES'!AH93)*1000*1.1</f>
        <v>0.10789593216681902</v>
      </c>
      <c r="AI121" s="693">
        <f ca="1">'TechWaterHeat-RES per dwelling'!AI$52/('TechWaterHeat-RES'!$AR9*'TechWaterHeat-RES'!AI93)*1000*1.1</f>
        <v>8.1901284946787292E-2</v>
      </c>
      <c r="AJ121" s="693">
        <f ca="1">'TechWaterHeat-RES per dwelling'!AJ$52/('TechWaterHeat-RES'!$AR9*'TechWaterHeat-RES'!AJ93)*1000*1.1</f>
        <v>8.0322621390082158E-2</v>
      </c>
      <c r="AK121" s="693">
        <f ca="1">'TechWaterHeat-RES per dwelling'!AK$52/('TechWaterHeat-RES'!$AR9*'TechWaterHeat-RES'!AK93)*1000*1.1</f>
        <v>9.3058422165803137E-2</v>
      </c>
      <c r="AL121" s="693">
        <f ca="1">'TechWaterHeat-RES per dwelling'!AL$52/('TechWaterHeat-RES'!$AR9*'TechWaterHeat-RES'!AL93)*1000*1.1</f>
        <v>4.9096550232436593E-2</v>
      </c>
      <c r="AM121" s="693">
        <f ca="1">'TechWaterHeat-RES per dwelling'!AM$52/('TechWaterHeat-RES'!$AR9*'TechWaterHeat-RES'!AM93)*1000*1.1</f>
        <v>6.6181096238732889E-2</v>
      </c>
      <c r="AN121" s="693">
        <f ca="1">'TechWaterHeat-RES per dwelling'!AN$52/('TechWaterHeat-RES'!$AR9*'TechWaterHeat-RES'!AN93)*1000*1.1</f>
        <v>5.4634777034796488E-2</v>
      </c>
      <c r="AO121" s="693">
        <f ca="1">'TechWaterHeat-RES per dwelling'!AO$52/('TechWaterHeat-RES'!$AR9*'TechWaterHeat-RES'!AO93)*1000*1.1</f>
        <v>6.0409676326461166E-2</v>
      </c>
      <c r="AP121" s="693">
        <f ca="1">'TechWaterHeat-RES per dwelling'!AP$52/('TechWaterHeat-RES'!$AR9*'TechWaterHeat-RES'!AP93)*1000*1.1</f>
        <v>3.7357648729330707E-2</v>
      </c>
    </row>
    <row r="122" spans="1:42">
      <c r="A122" t="str">
        <f t="shared" si="24"/>
        <v>LPG</v>
      </c>
      <c r="C122" t="str">
        <f t="shared" si="25"/>
        <v>R_ES-WH-FL_LPG</v>
      </c>
      <c r="E122" t="str">
        <f t="shared" si="26"/>
        <v>R_ES-FL-WatHeat</v>
      </c>
      <c r="F122" s="693">
        <f ca="1">'TechWaterHeat-RES per dwelling'!F$52/('TechWaterHeat-RES'!$AR10*'TechWaterHeat-RES'!F94)*1000*1.1</f>
        <v>9.8114212154323449E-2</v>
      </c>
      <c r="G122" s="693">
        <f ca="1">'TechWaterHeat-RES per dwelling'!G$52/('TechWaterHeat-RES'!$AR10*'TechWaterHeat-RES'!G94)*1000*1.1</f>
        <v>8.3079117969767968E-2</v>
      </c>
      <c r="H122" s="693">
        <f ca="1">'TechWaterHeat-RES per dwelling'!H$52/('TechWaterHeat-RES'!$AR10*'TechWaterHeat-RES'!H94)*1000*1.1</f>
        <v>6.6147178605152249E-2</v>
      </c>
      <c r="I122" s="693">
        <f ca="1">'TechWaterHeat-RES per dwelling'!I$52/('TechWaterHeat-RES'!$AR10*'TechWaterHeat-RES'!I94)*1000*1.1</f>
        <v>7.421169117839499E-2</v>
      </c>
      <c r="J122" s="693">
        <f ca="1">'TechWaterHeat-RES per dwelling'!J$52/('TechWaterHeat-RES'!$AR10*'TechWaterHeat-RES'!J94)*1000*1.1</f>
        <v>8.2562306293762558E-2</v>
      </c>
      <c r="K122" s="693">
        <f ca="1">'TechWaterHeat-RES per dwelling'!K$52/('TechWaterHeat-RES'!$AR10*'TechWaterHeat-RES'!K94)*1000*1.1</f>
        <v>6.213908172319775E-2</v>
      </c>
      <c r="L122" s="693">
        <f ca="1">'TechWaterHeat-RES per dwelling'!L$52/('TechWaterHeat-RES'!$AR10*'TechWaterHeat-RES'!L94)*1000*1.1</f>
        <v>8.0311259575067295E-2</v>
      </c>
      <c r="M122" s="693">
        <f ca="1">'TechWaterHeat-RES per dwelling'!M$52/('TechWaterHeat-RES'!$AR10*'TechWaterHeat-RES'!M94)*1000*1.1</f>
        <v>8.4785725062879666E-2</v>
      </c>
      <c r="N122" s="693">
        <f ca="1">'TechWaterHeat-RES per dwelling'!N$52/('TechWaterHeat-RES'!$AR10*'TechWaterHeat-RES'!N94)*1000*1.1</f>
        <v>7.7938143429807261E-2</v>
      </c>
      <c r="O122" s="693">
        <f ca="1">'TechWaterHeat-RES per dwelling'!O$52/('TechWaterHeat-RES'!$AR10*'TechWaterHeat-RES'!O94)*1000*1.1</f>
        <v>0.1047357756494379</v>
      </c>
      <c r="P122" s="693">
        <f ca="1">'TechWaterHeat-RES per dwelling'!P$52/('TechWaterHeat-RES'!$AR10*'TechWaterHeat-RES'!P94)*1000*1.1</f>
        <v>9.9061125762371652E-2</v>
      </c>
      <c r="Q122" s="693">
        <f ca="1">'TechWaterHeat-RES per dwelling'!Q$52/('TechWaterHeat-RES'!$AR10*'TechWaterHeat-RES'!Q94)*1000*1.1</f>
        <v>8.6800545446925545E-2</v>
      </c>
      <c r="R122" s="693">
        <f ca="1">'TechWaterHeat-RES per dwelling'!R$52/('TechWaterHeat-RES'!$AR10*'TechWaterHeat-RES'!R94)*1000*1.1</f>
        <v>9.0885466316056845E-2</v>
      </c>
      <c r="S122" s="693">
        <f ca="1">'TechWaterHeat-RES per dwelling'!S$52/('TechWaterHeat-RES'!$AR10*'TechWaterHeat-RES'!S94)*1000*1.1</f>
        <v>5.3516627698683955E-2</v>
      </c>
      <c r="T122" s="693">
        <f ca="1">'TechWaterHeat-RES per dwelling'!T$52/('TechWaterHeat-RES'!$AR10*'TechWaterHeat-RES'!T94)*1000*1.1</f>
        <v>4.653093305275334E-2</v>
      </c>
      <c r="U122" s="693">
        <f ca="1">'TechWaterHeat-RES per dwelling'!U$52/('TechWaterHeat-RES'!$AR10*'TechWaterHeat-RES'!U94)*1000*1.1</f>
        <v>9.3761825223416931E-2</v>
      </c>
      <c r="V122" s="693">
        <f ca="1">'TechWaterHeat-RES per dwelling'!V$52/('TechWaterHeat-RES'!$AR10*'TechWaterHeat-RES'!V94)*1000*1.1</f>
        <v>9.1844507818219817E-2</v>
      </c>
      <c r="W122" s="693">
        <f ca="1">'TechWaterHeat-RES per dwelling'!W$52/('TechWaterHeat-RES'!$AR10*'TechWaterHeat-RES'!W94)*1000*1.1</f>
        <v>7.362644872071783E-2</v>
      </c>
      <c r="X122" s="693">
        <f ca="1">'TechWaterHeat-RES per dwelling'!X$52/('TechWaterHeat-RES'!$AR10*'TechWaterHeat-RES'!X94)*1000*1.1</f>
        <v>6.4028054866370185E-2</v>
      </c>
      <c r="Y122" s="693">
        <f ca="1">'TechWaterHeat-RES per dwelling'!Y$52/('TechWaterHeat-RES'!$AR10*'TechWaterHeat-RES'!Y94)*1000*1.1</f>
        <v>6.680801568478123E-2</v>
      </c>
      <c r="Z122" s="693">
        <f ca="1">'TechWaterHeat-RES per dwelling'!Z$52/('TechWaterHeat-RES'!$AR10*'TechWaterHeat-RES'!Z94)*1000*1.1</f>
        <v>8.9825876321693976E-2</v>
      </c>
      <c r="AA122" s="693">
        <f ca="1">'TechWaterHeat-RES per dwelling'!AA$52/('TechWaterHeat-RES'!$AR10*'TechWaterHeat-RES'!AA94)*1000*1.1</f>
        <v>4.0185265556057205E-2</v>
      </c>
      <c r="AB122" s="693">
        <f ca="1">'TechWaterHeat-RES per dwelling'!AB$52/('TechWaterHeat-RES'!$AR10*'TechWaterHeat-RES'!AB94)*1000*1.1</f>
        <v>8.0612653968766185E-2</v>
      </c>
      <c r="AC122" s="693">
        <f ca="1">'TechWaterHeat-RES per dwelling'!AC$52/('TechWaterHeat-RES'!$AR10*'TechWaterHeat-RES'!AC94)*1000*1.1</f>
        <v>0.13437769965648177</v>
      </c>
      <c r="AD122" s="693">
        <f ca="1">'TechWaterHeat-RES per dwelling'!AD$52/('TechWaterHeat-RES'!$AR10*'TechWaterHeat-RES'!AD94)*1000*1.1</f>
        <v>8.0032808079200254E-2</v>
      </c>
      <c r="AE122" s="693">
        <f ca="1">'TechWaterHeat-RES per dwelling'!AE$52/('TechWaterHeat-RES'!$AR10*'TechWaterHeat-RES'!AE94)*1000*1.1</f>
        <v>0.12921221404982278</v>
      </c>
      <c r="AF122" s="693">
        <f ca="1">'TechWaterHeat-RES per dwelling'!AF$52/('TechWaterHeat-RES'!$AR10*'TechWaterHeat-RES'!AF94)*1000*1.1</f>
        <v>5.3629584514042802E-2</v>
      </c>
      <c r="AG122" s="693">
        <f ca="1">'TechWaterHeat-RES per dwelling'!AG$52/('TechWaterHeat-RES'!$AR10*'TechWaterHeat-RES'!AG94)*1000*1.1</f>
        <v>8.1045461002581601E-2</v>
      </c>
      <c r="AH122" s="693">
        <f ca="1">'TechWaterHeat-RES per dwelling'!AH$52/('TechWaterHeat-RES'!$AR10*'TechWaterHeat-RES'!AH94)*1000*1.1</f>
        <v>0.10789593216681902</v>
      </c>
      <c r="AI122" s="693">
        <f ca="1">'TechWaterHeat-RES per dwelling'!AI$52/('TechWaterHeat-RES'!$AR10*'TechWaterHeat-RES'!AI94)*1000*1.1</f>
        <v>8.1901284946787292E-2</v>
      </c>
      <c r="AJ122" s="693">
        <f ca="1">'TechWaterHeat-RES per dwelling'!AJ$52/('TechWaterHeat-RES'!$AR10*'TechWaterHeat-RES'!AJ94)*1000*1.1</f>
        <v>8.0322621390082158E-2</v>
      </c>
      <c r="AK122" s="693">
        <f ca="1">'TechWaterHeat-RES per dwelling'!AK$52/('TechWaterHeat-RES'!$AR10*'TechWaterHeat-RES'!AK94)*1000*1.1</f>
        <v>9.3058422165803137E-2</v>
      </c>
      <c r="AL122" s="693">
        <f ca="1">'TechWaterHeat-RES per dwelling'!AL$52/('TechWaterHeat-RES'!$AR10*'TechWaterHeat-RES'!AL94)*1000*1.1</f>
        <v>4.9096550232436593E-2</v>
      </c>
      <c r="AM122" s="693">
        <f ca="1">'TechWaterHeat-RES per dwelling'!AM$52/('TechWaterHeat-RES'!$AR10*'TechWaterHeat-RES'!AM94)*1000*1.1</f>
        <v>6.6181096238732889E-2</v>
      </c>
      <c r="AN122" s="693">
        <f ca="1">'TechWaterHeat-RES per dwelling'!AN$52/('TechWaterHeat-RES'!$AR10*'TechWaterHeat-RES'!AN94)*1000*1.1</f>
        <v>5.4634777034796488E-2</v>
      </c>
      <c r="AO122" s="693">
        <f ca="1">'TechWaterHeat-RES per dwelling'!AO$52/('TechWaterHeat-RES'!$AR10*'TechWaterHeat-RES'!AO94)*1000*1.1</f>
        <v>6.0409676326461166E-2</v>
      </c>
      <c r="AP122" s="693">
        <f ca="1">'TechWaterHeat-RES per dwelling'!AP$52/('TechWaterHeat-RES'!$AR10*'TechWaterHeat-RES'!AP94)*1000*1.1</f>
        <v>3.7357648729330707E-2</v>
      </c>
    </row>
    <row r="123" spans="1:42">
      <c r="A123" t="str">
        <f t="shared" si="24"/>
        <v>Solar</v>
      </c>
      <c r="C123" t="str">
        <f t="shared" si="25"/>
        <v>R_ES-WH-FL_SOL</v>
      </c>
      <c r="E123" t="str">
        <f t="shared" si="26"/>
        <v>R_ES-FL-WatHeat</v>
      </c>
      <c r="F123" s="693">
        <f ca="1">'TechWaterHeat-RES per dwelling'!F$52/('TechWaterHeat-RES'!$AR11*'TechWaterHeat-RES'!F95)*1000*1.1</f>
        <v>9.8114212154323449E-2</v>
      </c>
      <c r="G123" s="693">
        <f ca="1">'TechWaterHeat-RES per dwelling'!G$52/('TechWaterHeat-RES'!$AR11*'TechWaterHeat-RES'!G95)*1000*1.1</f>
        <v>8.3079117969767968E-2</v>
      </c>
      <c r="H123" s="693">
        <f ca="1">'TechWaterHeat-RES per dwelling'!H$52/('TechWaterHeat-RES'!$AR11*'TechWaterHeat-RES'!H95)*1000*1.1</f>
        <v>6.6147178605152249E-2</v>
      </c>
      <c r="I123" s="693">
        <f ca="1">'TechWaterHeat-RES per dwelling'!I$52/('TechWaterHeat-RES'!$AR11*'TechWaterHeat-RES'!I95)*1000*1.1</f>
        <v>7.421169117839499E-2</v>
      </c>
      <c r="J123" s="693">
        <f ca="1">'TechWaterHeat-RES per dwelling'!J$52/('TechWaterHeat-RES'!$AR11*'TechWaterHeat-RES'!J95)*1000*1.1</f>
        <v>8.2562306293762558E-2</v>
      </c>
      <c r="K123" s="693">
        <f ca="1">'TechWaterHeat-RES per dwelling'!K$52/('TechWaterHeat-RES'!$AR11*'TechWaterHeat-RES'!K95)*1000*1.1</f>
        <v>6.213908172319775E-2</v>
      </c>
      <c r="L123" s="693">
        <f ca="1">'TechWaterHeat-RES per dwelling'!L$52/('TechWaterHeat-RES'!$AR11*'TechWaterHeat-RES'!L95)*1000*1.1</f>
        <v>8.0311259575067295E-2</v>
      </c>
      <c r="M123" s="693">
        <f ca="1">'TechWaterHeat-RES per dwelling'!M$52/('TechWaterHeat-RES'!$AR11*'TechWaterHeat-RES'!M95)*1000*1.1</f>
        <v>8.4785725062879666E-2</v>
      </c>
      <c r="N123" s="693">
        <f ca="1">'TechWaterHeat-RES per dwelling'!N$52/('TechWaterHeat-RES'!$AR11*'TechWaterHeat-RES'!N95)*1000*1.1</f>
        <v>7.7938143429807261E-2</v>
      </c>
      <c r="O123" s="693">
        <f ca="1">'TechWaterHeat-RES per dwelling'!O$52/('TechWaterHeat-RES'!$AR11*'TechWaterHeat-RES'!O95)*1000*1.1</f>
        <v>0.1047357756494379</v>
      </c>
      <c r="P123" s="693">
        <f ca="1">'TechWaterHeat-RES per dwelling'!P$52/('TechWaterHeat-RES'!$AR11*'TechWaterHeat-RES'!P95)*1000*1.1</f>
        <v>9.9061125762371652E-2</v>
      </c>
      <c r="Q123" s="693">
        <f ca="1">'TechWaterHeat-RES per dwelling'!Q$52/('TechWaterHeat-RES'!$AR11*'TechWaterHeat-RES'!Q95)*1000*1.1</f>
        <v>8.6800545446925545E-2</v>
      </c>
      <c r="R123" s="693">
        <f ca="1">'TechWaterHeat-RES per dwelling'!R$52/('TechWaterHeat-RES'!$AR11*'TechWaterHeat-RES'!R95)*1000*1.1</f>
        <v>9.0885466316056845E-2</v>
      </c>
      <c r="S123" s="693">
        <f ca="1">'TechWaterHeat-RES per dwelling'!S$52/('TechWaterHeat-RES'!$AR11*'TechWaterHeat-RES'!S95)*1000*1.1</f>
        <v>5.3516627698683955E-2</v>
      </c>
      <c r="T123" s="693">
        <f ca="1">'TechWaterHeat-RES per dwelling'!T$52/('TechWaterHeat-RES'!$AR11*'TechWaterHeat-RES'!T95)*1000*1.1</f>
        <v>4.653093305275334E-2</v>
      </c>
      <c r="U123" s="693">
        <f ca="1">'TechWaterHeat-RES per dwelling'!U$52/('TechWaterHeat-RES'!$AR11*'TechWaterHeat-RES'!U95)*1000*1.1</f>
        <v>9.3761825223416931E-2</v>
      </c>
      <c r="V123" s="693">
        <f ca="1">'TechWaterHeat-RES per dwelling'!V$52/('TechWaterHeat-RES'!$AR11*'TechWaterHeat-RES'!V95)*1000*1.1</f>
        <v>9.1844507818219817E-2</v>
      </c>
      <c r="W123" s="693">
        <f ca="1">'TechWaterHeat-RES per dwelling'!W$52/('TechWaterHeat-RES'!$AR11*'TechWaterHeat-RES'!W95)*1000*1.1</f>
        <v>7.362644872071783E-2</v>
      </c>
      <c r="X123" s="693">
        <f ca="1">'TechWaterHeat-RES per dwelling'!X$52/('TechWaterHeat-RES'!$AR11*'TechWaterHeat-RES'!X95)*1000*1.1</f>
        <v>6.4028054866370185E-2</v>
      </c>
      <c r="Y123" s="693">
        <f ca="1">'TechWaterHeat-RES per dwelling'!Y$52/('TechWaterHeat-RES'!$AR11*'TechWaterHeat-RES'!Y95)*1000*1.1</f>
        <v>6.680801568478123E-2</v>
      </c>
      <c r="Z123" s="693">
        <f ca="1">'TechWaterHeat-RES per dwelling'!Z$52/('TechWaterHeat-RES'!$AR11*'TechWaterHeat-RES'!Z95)*1000*1.1</f>
        <v>8.9825876321693976E-2</v>
      </c>
      <c r="AA123" s="693">
        <f ca="1">'TechWaterHeat-RES per dwelling'!AA$52/('TechWaterHeat-RES'!$AR11*'TechWaterHeat-RES'!AA95)*1000*1.1</f>
        <v>4.0185265556057205E-2</v>
      </c>
      <c r="AB123" s="693">
        <f ca="1">'TechWaterHeat-RES per dwelling'!AB$52/('TechWaterHeat-RES'!$AR11*'TechWaterHeat-RES'!AB95)*1000*1.1</f>
        <v>8.0612653968766185E-2</v>
      </c>
      <c r="AC123" s="693">
        <f ca="1">'TechWaterHeat-RES per dwelling'!AC$52/('TechWaterHeat-RES'!$AR11*'TechWaterHeat-RES'!AC95)*1000*1.1</f>
        <v>0.13437769965648177</v>
      </c>
      <c r="AD123" s="693">
        <f ca="1">'TechWaterHeat-RES per dwelling'!AD$52/('TechWaterHeat-RES'!$AR11*'TechWaterHeat-RES'!AD95)*1000*1.1</f>
        <v>8.0032808079200254E-2</v>
      </c>
      <c r="AE123" s="693">
        <f ca="1">'TechWaterHeat-RES per dwelling'!AE$52/('TechWaterHeat-RES'!$AR11*'TechWaterHeat-RES'!AE95)*1000*1.1</f>
        <v>0.12921221404982278</v>
      </c>
      <c r="AF123" s="693">
        <f ca="1">'TechWaterHeat-RES per dwelling'!AF$52/('TechWaterHeat-RES'!$AR11*'TechWaterHeat-RES'!AF95)*1000*1.1</f>
        <v>5.3629584514042802E-2</v>
      </c>
      <c r="AG123" s="693">
        <f ca="1">'TechWaterHeat-RES per dwelling'!AG$52/('TechWaterHeat-RES'!$AR11*'TechWaterHeat-RES'!AG95)*1000*1.1</f>
        <v>8.1045461002581601E-2</v>
      </c>
      <c r="AH123" s="693">
        <f ca="1">'TechWaterHeat-RES per dwelling'!AH$52/('TechWaterHeat-RES'!$AR11*'TechWaterHeat-RES'!AH95)*1000*1.1</f>
        <v>0.10789593216681902</v>
      </c>
      <c r="AI123" s="693">
        <f ca="1">'TechWaterHeat-RES per dwelling'!AI$52/('TechWaterHeat-RES'!$AR11*'TechWaterHeat-RES'!AI95)*1000*1.1</f>
        <v>8.1901284946787292E-2</v>
      </c>
      <c r="AJ123" s="693">
        <f ca="1">'TechWaterHeat-RES per dwelling'!AJ$52/('TechWaterHeat-RES'!$AR11*'TechWaterHeat-RES'!AJ95)*1000*1.1</f>
        <v>8.0322621390082158E-2</v>
      </c>
      <c r="AK123" s="693">
        <f ca="1">'TechWaterHeat-RES per dwelling'!AK$52/('TechWaterHeat-RES'!$AR11*'TechWaterHeat-RES'!AK95)*1000*1.1</f>
        <v>9.3058422165803137E-2</v>
      </c>
      <c r="AL123" s="693">
        <f ca="1">'TechWaterHeat-RES per dwelling'!AL$52/('TechWaterHeat-RES'!$AR11*'TechWaterHeat-RES'!AL95)*1000*1.1</f>
        <v>4.9096550232436593E-2</v>
      </c>
      <c r="AM123" s="693">
        <f ca="1">'TechWaterHeat-RES per dwelling'!AM$52/('TechWaterHeat-RES'!$AR11*'TechWaterHeat-RES'!AM95)*1000*1.1</f>
        <v>6.6181096238732889E-2</v>
      </c>
      <c r="AN123" s="693">
        <f ca="1">'TechWaterHeat-RES per dwelling'!AN$52/('TechWaterHeat-RES'!$AR11*'TechWaterHeat-RES'!AN95)*1000*1.1</f>
        <v>5.4634777034796488E-2</v>
      </c>
      <c r="AO123" s="693">
        <f ca="1">'TechWaterHeat-RES per dwelling'!AO$52/('TechWaterHeat-RES'!$AR11*'TechWaterHeat-RES'!AO95)*1000*1.1</f>
        <v>6.0409676326461166E-2</v>
      </c>
      <c r="AP123" s="693">
        <f ca="1">'TechWaterHeat-RES per dwelling'!AP$52/('TechWaterHeat-RES'!$AR11*'TechWaterHeat-RES'!AP95)*1000*1.1</f>
        <v>3.7357648729330707E-2</v>
      </c>
    </row>
    <row r="124" spans="1:42">
      <c r="A124" t="str">
        <f t="shared" si="24"/>
        <v>Electricity</v>
      </c>
      <c r="C124" t="str">
        <f t="shared" si="25"/>
        <v>R_ES-WH-DH_ELC</v>
      </c>
      <c r="E124" t="str">
        <f t="shared" si="26"/>
        <v>R_ES-DH-WatHeat</v>
      </c>
      <c r="F124" s="693">
        <f ca="1">'TechWaterHeat-RES per dwelling'!F$51/('TechWaterHeat-RES'!$AR12*'TechWaterHeat-RES'!F96)*1000*1.1</f>
        <v>7.8491369723458743E-2</v>
      </c>
      <c r="G124" s="693">
        <f ca="1">'TechWaterHeat-RES per dwelling'!G$51/('TechWaterHeat-RES'!$AR12*'TechWaterHeat-RES'!G96)*1000*1.1</f>
        <v>6.6463294375814386E-2</v>
      </c>
      <c r="H124" s="693">
        <f ca="1">'TechWaterHeat-RES per dwelling'!H$51/('TechWaterHeat-RES'!$AR12*'TechWaterHeat-RES'!H96)*1000*1.1</f>
        <v>5.29177428841218E-2</v>
      </c>
      <c r="I124" s="693">
        <f ca="1">'TechWaterHeat-RES per dwelling'!I$51/('TechWaterHeat-RES'!$AR12*'TechWaterHeat-RES'!I96)*1000*1.1</f>
        <v>5.9369352942715975E-2</v>
      </c>
      <c r="J124" s="693">
        <f ca="1">'TechWaterHeat-RES per dwelling'!J$51/('TechWaterHeat-RES'!$AR12*'TechWaterHeat-RES'!J96)*1000*1.1</f>
        <v>6.6049845035010046E-2</v>
      </c>
      <c r="K124" s="693">
        <f ca="1">'TechWaterHeat-RES per dwelling'!K$51/('TechWaterHeat-RES'!$AR12*'TechWaterHeat-RES'!K96)*1000*1.1</f>
        <v>4.9711265378558196E-2</v>
      </c>
      <c r="L124" s="693">
        <f ca="1">'TechWaterHeat-RES per dwelling'!L$51/('TechWaterHeat-RES'!$AR12*'TechWaterHeat-RES'!L96)*1000*1.1</f>
        <v>6.4249007660053842E-2</v>
      </c>
      <c r="M124" s="693">
        <f ca="1">'TechWaterHeat-RES per dwelling'!M$51/('TechWaterHeat-RES'!$AR12*'TechWaterHeat-RES'!M96)*1000*1.1</f>
        <v>6.7828580050303733E-2</v>
      </c>
      <c r="N124" s="693">
        <f ca="1">'TechWaterHeat-RES per dwelling'!N$51/('TechWaterHeat-RES'!$AR12*'TechWaterHeat-RES'!N96)*1000*1.1</f>
        <v>6.2350514743845814E-2</v>
      </c>
      <c r="O124" s="693">
        <f ca="1">'TechWaterHeat-RES per dwelling'!O$51/('TechWaterHeat-RES'!$AR12*'TechWaterHeat-RES'!O96)*1000*1.1</f>
        <v>8.3788620519550314E-2</v>
      </c>
      <c r="P124" s="693">
        <f ca="1">'TechWaterHeat-RES per dwelling'!P$51/('TechWaterHeat-RES'!$AR12*'TechWaterHeat-RES'!P96)*1000*1.1</f>
        <v>7.924890060989731E-2</v>
      </c>
      <c r="Q124" s="693">
        <f ca="1">'TechWaterHeat-RES per dwelling'!Q$51/('TechWaterHeat-RES'!$AR12*'TechWaterHeat-RES'!Q96)*1000*1.1</f>
        <v>6.9440436357540422E-2</v>
      </c>
      <c r="R124" s="693">
        <f ca="1">'TechWaterHeat-RES per dwelling'!R$51/('TechWaterHeat-RES'!$AR12*'TechWaterHeat-RES'!R96)*1000*1.1</f>
        <v>7.2708373052845471E-2</v>
      </c>
      <c r="S124" s="693">
        <f ca="1">'TechWaterHeat-RES per dwelling'!S$51/('TechWaterHeat-RES'!$AR12*'TechWaterHeat-RES'!S96)*1000*1.1</f>
        <v>4.2813302158947165E-2</v>
      </c>
      <c r="T124" s="693">
        <f ca="1">'TechWaterHeat-RES per dwelling'!T$51/('TechWaterHeat-RES'!$AR12*'TechWaterHeat-RES'!T96)*1000*1.1</f>
        <v>3.722474644220268E-2</v>
      </c>
      <c r="U124" s="693">
        <f ca="1">'TechWaterHeat-RES per dwelling'!U$51/('TechWaterHeat-RES'!$AR12*'TechWaterHeat-RES'!U96)*1000*1.1</f>
        <v>7.5009460178733528E-2</v>
      </c>
      <c r="V124" s="693">
        <f ca="1">'TechWaterHeat-RES per dwelling'!V$51/('TechWaterHeat-RES'!$AR12*'TechWaterHeat-RES'!V96)*1000*1.1</f>
        <v>7.3475606254575859E-2</v>
      </c>
      <c r="W124" s="693">
        <f ca="1">'TechWaterHeat-RES per dwelling'!W$51/('TechWaterHeat-RES'!$AR12*'TechWaterHeat-RES'!W96)*1000*1.1</f>
        <v>5.8901158976574268E-2</v>
      </c>
      <c r="X124" s="693">
        <f ca="1">'TechWaterHeat-RES per dwelling'!X$51/('TechWaterHeat-RES'!$AR12*'TechWaterHeat-RES'!X96)*1000*1.1</f>
        <v>5.1222443893096152E-2</v>
      </c>
      <c r="Y124" s="693">
        <f ca="1">'TechWaterHeat-RES per dwelling'!Y$51/('TechWaterHeat-RES'!$AR12*'TechWaterHeat-RES'!Y96)*1000*1.1</f>
        <v>5.3446412547824985E-2</v>
      </c>
      <c r="Z124" s="693">
        <f ca="1">'TechWaterHeat-RES per dwelling'!Z$51/('TechWaterHeat-RES'!$AR12*'TechWaterHeat-RES'!Z96)*1000*1.1</f>
        <v>7.1860701057355189E-2</v>
      </c>
      <c r="AA124" s="693">
        <f ca="1">'TechWaterHeat-RES per dwelling'!AA$51/('TechWaterHeat-RES'!$AR12*'TechWaterHeat-RES'!AA96)*1000*1.1</f>
        <v>3.2148212444845767E-2</v>
      </c>
      <c r="AB124" s="693">
        <f ca="1">'TechWaterHeat-RES per dwelling'!AB$51/('TechWaterHeat-RES'!$AR12*'TechWaterHeat-RES'!AB96)*1000*1.1</f>
        <v>6.4490123175012945E-2</v>
      </c>
      <c r="AC124" s="693">
        <f ca="1">'TechWaterHeat-RES per dwelling'!AC$51/('TechWaterHeat-RES'!$AR12*'TechWaterHeat-RES'!AC96)*1000*1.1</f>
        <v>0.10750215972518543</v>
      </c>
      <c r="AD124" s="693">
        <f ca="1">'TechWaterHeat-RES per dwelling'!AD$51/('TechWaterHeat-RES'!$AR12*'TechWaterHeat-RES'!AD96)*1000*1.1</f>
        <v>6.4026246463360192E-2</v>
      </c>
      <c r="AE124" s="693">
        <f ca="1">'TechWaterHeat-RES per dwelling'!AE$51/('TechWaterHeat-RES'!$AR12*'TechWaterHeat-RES'!AE96)*1000*1.1</f>
        <v>0.10336977123985823</v>
      </c>
      <c r="AF124" s="693">
        <f ca="1">'TechWaterHeat-RES per dwelling'!AF$51/('TechWaterHeat-RES'!$AR12*'TechWaterHeat-RES'!AF96)*1000*1.1</f>
        <v>4.2903667611234243E-2</v>
      </c>
      <c r="AG124" s="693">
        <f ca="1">'TechWaterHeat-RES per dwelling'!AG$51/('TechWaterHeat-RES'!$AR12*'TechWaterHeat-RES'!AG96)*1000*1.1</f>
        <v>6.4836368802065267E-2</v>
      </c>
      <c r="AH124" s="693">
        <f ca="1">'TechWaterHeat-RES per dwelling'!AH$51/('TechWaterHeat-RES'!$AR12*'TechWaterHeat-RES'!AH96)*1000*1.1</f>
        <v>8.63167457334552E-2</v>
      </c>
      <c r="AI124" s="693">
        <f ca="1">'TechWaterHeat-RES per dwelling'!AI$51/('TechWaterHeat-RES'!$AR12*'TechWaterHeat-RES'!AI96)*1000*1.1</f>
        <v>6.5521027957429839E-2</v>
      </c>
      <c r="AJ124" s="693">
        <f ca="1">'TechWaterHeat-RES per dwelling'!AJ$51/('TechWaterHeat-RES'!$AR12*'TechWaterHeat-RES'!AJ96)*1000*1.1</f>
        <v>6.4258097112065718E-2</v>
      </c>
      <c r="AK124" s="693">
        <f ca="1">'TechWaterHeat-RES per dwelling'!AK$51/('TechWaterHeat-RES'!$AR12*'TechWaterHeat-RES'!AK96)*1000*1.1</f>
        <v>7.4446737732642501E-2</v>
      </c>
      <c r="AL124" s="693">
        <f ca="1">'TechWaterHeat-RES per dwelling'!AL$51/('TechWaterHeat-RES'!$AR12*'TechWaterHeat-RES'!AL96)*1000*1.1</f>
        <v>3.9277240185949268E-2</v>
      </c>
      <c r="AM124" s="693">
        <f ca="1">'TechWaterHeat-RES per dwelling'!AM$51/('TechWaterHeat-RES'!$AR12*'TechWaterHeat-RES'!AM96)*1000*1.1</f>
        <v>5.2944876990986302E-2</v>
      </c>
      <c r="AN124" s="693">
        <f ca="1">'TechWaterHeat-RES per dwelling'!AN$51/('TechWaterHeat-RES'!$AR12*'TechWaterHeat-RES'!AN96)*1000*1.1</f>
        <v>4.3707821627837193E-2</v>
      </c>
      <c r="AO124" s="693">
        <f ca="1">'TechWaterHeat-RES per dwelling'!AO$51/('TechWaterHeat-RES'!$AR12*'TechWaterHeat-RES'!AO96)*1000*1.1</f>
        <v>4.8327741061168938E-2</v>
      </c>
      <c r="AP124" s="693">
        <f ca="1">'TechWaterHeat-RES per dwelling'!AP$51/('TechWaterHeat-RES'!$AR12*'TechWaterHeat-RES'!AP96)*1000*1.1</f>
        <v>2.9886118983464566E-2</v>
      </c>
    </row>
    <row r="125" spans="1:42">
      <c r="A125" t="str">
        <f t="shared" si="24"/>
        <v>Gases</v>
      </c>
      <c r="C125" t="str">
        <f t="shared" si="25"/>
        <v>R_ES-WH-DH_GAS</v>
      </c>
      <c r="E125" t="str">
        <f t="shared" si="26"/>
        <v>R_ES-DH-WatHeat</v>
      </c>
      <c r="F125" s="693">
        <f ca="1">'TechWaterHeat-RES per dwelling'!F$51/('TechWaterHeat-RES'!$AR13*'TechWaterHeat-RES'!F97)*1000*1.1</f>
        <v>3.2704737384774481E-2</v>
      </c>
      <c r="G125" s="693">
        <f ca="1">'TechWaterHeat-RES per dwelling'!G$51/('TechWaterHeat-RES'!$AR13*'TechWaterHeat-RES'!G97)*1000*1.1</f>
        <v>2.7693039323255991E-2</v>
      </c>
      <c r="H125" s="693">
        <f ca="1">'TechWaterHeat-RES per dwelling'!H$51/('TechWaterHeat-RES'!$AR13*'TechWaterHeat-RES'!H97)*1000*1.1</f>
        <v>2.2049059535050746E-2</v>
      </c>
      <c r="I125" s="693">
        <f ca="1">'TechWaterHeat-RES per dwelling'!I$51/('TechWaterHeat-RES'!$AR13*'TechWaterHeat-RES'!I97)*1000*1.1</f>
        <v>2.4737230392798328E-2</v>
      </c>
      <c r="J125" s="693">
        <f ca="1">'TechWaterHeat-RES per dwelling'!J$51/('TechWaterHeat-RES'!$AR13*'TechWaterHeat-RES'!J97)*1000*1.1</f>
        <v>2.7520768764587516E-2</v>
      </c>
      <c r="K125" s="693">
        <f ca="1">'TechWaterHeat-RES per dwelling'!K$51/('TechWaterHeat-RES'!$AR13*'TechWaterHeat-RES'!K97)*1000*1.1</f>
        <v>2.0713027241065916E-2</v>
      </c>
      <c r="L125" s="693">
        <f ca="1">'TechWaterHeat-RES per dwelling'!L$51/('TechWaterHeat-RES'!$AR13*'TechWaterHeat-RES'!L97)*1000*1.1</f>
        <v>2.6770419858355765E-2</v>
      </c>
      <c r="M125" s="693">
        <f ca="1">'TechWaterHeat-RES per dwelling'!M$51/('TechWaterHeat-RES'!$AR13*'TechWaterHeat-RES'!M97)*1000*1.1</f>
        <v>2.8261908354293219E-2</v>
      </c>
      <c r="N125" s="693">
        <f ca="1">'TechWaterHeat-RES per dwelling'!N$51/('TechWaterHeat-RES'!$AR13*'TechWaterHeat-RES'!N97)*1000*1.1</f>
        <v>2.597938114326909E-2</v>
      </c>
      <c r="O125" s="693">
        <f ca="1">'TechWaterHeat-RES per dwelling'!O$51/('TechWaterHeat-RES'!$AR13*'TechWaterHeat-RES'!O97)*1000*1.1</f>
        <v>3.4911925216479296E-2</v>
      </c>
      <c r="P125" s="693">
        <f ca="1">'TechWaterHeat-RES per dwelling'!P$51/('TechWaterHeat-RES'!$AR13*'TechWaterHeat-RES'!P97)*1000*1.1</f>
        <v>3.3020375254123879E-2</v>
      </c>
      <c r="Q125" s="693">
        <f ca="1">'TechWaterHeat-RES per dwelling'!Q$51/('TechWaterHeat-RES'!$AR13*'TechWaterHeat-RES'!Q97)*1000*1.1</f>
        <v>2.8933515148975176E-2</v>
      </c>
      <c r="R125" s="693">
        <f ca="1">'TechWaterHeat-RES per dwelling'!R$51/('TechWaterHeat-RES'!$AR13*'TechWaterHeat-RES'!R97)*1000*1.1</f>
        <v>3.0295155438685616E-2</v>
      </c>
      <c r="S125" s="693">
        <f ca="1">'TechWaterHeat-RES per dwelling'!S$51/('TechWaterHeat-RES'!$AR13*'TechWaterHeat-RES'!S97)*1000*1.1</f>
        <v>1.7838875899561318E-2</v>
      </c>
      <c r="T125" s="693">
        <f ca="1">'TechWaterHeat-RES per dwelling'!T$51/('TechWaterHeat-RES'!$AR13*'TechWaterHeat-RES'!T97)*1000*1.1</f>
        <v>1.5510311017584447E-2</v>
      </c>
      <c r="U125" s="693">
        <f ca="1">'TechWaterHeat-RES per dwelling'!U$51/('TechWaterHeat-RES'!$AR13*'TechWaterHeat-RES'!U97)*1000*1.1</f>
        <v>3.125394174113897E-2</v>
      </c>
      <c r="V125" s="693">
        <f ca="1">'TechWaterHeat-RES per dwelling'!V$51/('TechWaterHeat-RES'!$AR13*'TechWaterHeat-RES'!V97)*1000*1.1</f>
        <v>3.0614835939406608E-2</v>
      </c>
      <c r="W125" s="693">
        <f ca="1">'TechWaterHeat-RES per dwelling'!W$51/('TechWaterHeat-RES'!$AR13*'TechWaterHeat-RES'!W97)*1000*1.1</f>
        <v>2.4542149573572612E-2</v>
      </c>
      <c r="X125" s="693">
        <f ca="1">'TechWaterHeat-RES per dwelling'!X$51/('TechWaterHeat-RES'!$AR13*'TechWaterHeat-RES'!X97)*1000*1.1</f>
        <v>2.1342684955456728E-2</v>
      </c>
      <c r="Y125" s="693">
        <f ca="1">'TechWaterHeat-RES per dwelling'!Y$51/('TechWaterHeat-RES'!$AR13*'TechWaterHeat-RES'!Y97)*1000*1.1</f>
        <v>2.2269338561593743E-2</v>
      </c>
      <c r="Z125" s="693">
        <f ca="1">'TechWaterHeat-RES per dwelling'!Z$51/('TechWaterHeat-RES'!$AR13*'TechWaterHeat-RES'!Z97)*1000*1.1</f>
        <v>2.9941958773897995E-2</v>
      </c>
      <c r="AA125" s="693">
        <f ca="1">'TechWaterHeat-RES per dwelling'!AA$51/('TechWaterHeat-RES'!$AR13*'TechWaterHeat-RES'!AA97)*1000*1.1</f>
        <v>1.3395088518685734E-2</v>
      </c>
      <c r="AB125" s="693">
        <f ca="1">'TechWaterHeat-RES per dwelling'!AB$51/('TechWaterHeat-RES'!$AR13*'TechWaterHeat-RES'!AB97)*1000*1.1</f>
        <v>2.6870884656255395E-2</v>
      </c>
      <c r="AC125" s="693">
        <f ca="1">'TechWaterHeat-RES per dwelling'!AC$51/('TechWaterHeat-RES'!$AR13*'TechWaterHeat-RES'!AC97)*1000*1.1</f>
        <v>4.4792566552160594E-2</v>
      </c>
      <c r="AD125" s="693">
        <f ca="1">'TechWaterHeat-RES per dwelling'!AD$51/('TechWaterHeat-RES'!$AR13*'TechWaterHeat-RES'!AD97)*1000*1.1</f>
        <v>2.6677602693066748E-2</v>
      </c>
      <c r="AE125" s="693">
        <f ca="1">'TechWaterHeat-RES per dwelling'!AE$51/('TechWaterHeat-RES'!$AR13*'TechWaterHeat-RES'!AE97)*1000*1.1</f>
        <v>4.3070738016607588E-2</v>
      </c>
      <c r="AF125" s="693">
        <f ca="1">'TechWaterHeat-RES per dwelling'!AF$51/('TechWaterHeat-RES'!$AR13*'TechWaterHeat-RES'!AF97)*1000*1.1</f>
        <v>1.7876528171347602E-2</v>
      </c>
      <c r="AG125" s="693">
        <f ca="1">'TechWaterHeat-RES per dwelling'!AG$51/('TechWaterHeat-RES'!$AR13*'TechWaterHeat-RES'!AG97)*1000*1.1</f>
        <v>2.7015153667527197E-2</v>
      </c>
      <c r="AH125" s="693">
        <f ca="1">'TechWaterHeat-RES per dwelling'!AH$51/('TechWaterHeat-RES'!$AR13*'TechWaterHeat-RES'!AH97)*1000*1.1</f>
        <v>3.5965310722272999E-2</v>
      </c>
      <c r="AI125" s="693">
        <f ca="1">'TechWaterHeat-RES per dwelling'!AI$51/('TechWaterHeat-RES'!$AR13*'TechWaterHeat-RES'!AI97)*1000*1.1</f>
        <v>2.7300428315595763E-2</v>
      </c>
      <c r="AJ125" s="693">
        <f ca="1">'TechWaterHeat-RES per dwelling'!AJ$51/('TechWaterHeat-RES'!$AR13*'TechWaterHeat-RES'!AJ97)*1000*1.1</f>
        <v>2.6774207130027379E-2</v>
      </c>
      <c r="AK125" s="693">
        <f ca="1">'TechWaterHeat-RES per dwelling'!AK$51/('TechWaterHeat-RES'!$AR13*'TechWaterHeat-RES'!AK97)*1000*1.1</f>
        <v>3.1019474055267705E-2</v>
      </c>
      <c r="AL125" s="693">
        <f ca="1">'TechWaterHeat-RES per dwelling'!AL$51/('TechWaterHeat-RES'!$AR13*'TechWaterHeat-RES'!AL97)*1000*1.1</f>
        <v>1.636551674414553E-2</v>
      </c>
      <c r="AM125" s="693">
        <f ca="1">'TechWaterHeat-RES per dwelling'!AM$51/('TechWaterHeat-RES'!$AR13*'TechWaterHeat-RES'!AM97)*1000*1.1</f>
        <v>2.2060365412910961E-2</v>
      </c>
      <c r="AN125" s="693">
        <f ca="1">'TechWaterHeat-RES per dwelling'!AN$51/('TechWaterHeat-RES'!$AR13*'TechWaterHeat-RES'!AN97)*1000*1.1</f>
        <v>1.8211592344932165E-2</v>
      </c>
      <c r="AO125" s="693">
        <f ca="1">'TechWaterHeat-RES per dwelling'!AO$51/('TechWaterHeat-RES'!$AR13*'TechWaterHeat-RES'!AO97)*1000*1.1</f>
        <v>2.0136558775487055E-2</v>
      </c>
      <c r="AP125" s="693">
        <f ca="1">'TechWaterHeat-RES per dwelling'!AP$51/('TechWaterHeat-RES'!$AR13*'TechWaterHeat-RES'!AP97)*1000*1.1</f>
        <v>1.2452549576443568E-2</v>
      </c>
    </row>
    <row r="126" spans="1:42">
      <c r="A126" t="str">
        <f t="shared" si="24"/>
        <v>Derived heat</v>
      </c>
      <c r="C126" t="str">
        <f t="shared" si="25"/>
        <v>R_ES-WH-DH_HET</v>
      </c>
      <c r="E126" t="str">
        <f t="shared" si="26"/>
        <v>R_ES-DH-WatHeat</v>
      </c>
      <c r="F126" s="693">
        <f ca="1">'TechWaterHeat-RES per dwelling'!F$51/('TechWaterHeat-RES'!$AR14*'TechWaterHeat-RES'!F98)*1000*1.1</f>
        <v>2.6163789907819583E-2</v>
      </c>
      <c r="G126" s="693">
        <f ca="1">'TechWaterHeat-RES per dwelling'!G$51/('TechWaterHeat-RES'!$AR14*'TechWaterHeat-RES'!G98)*1000*1.1</f>
        <v>2.2154431458604792E-2</v>
      </c>
      <c r="H126" s="693">
        <f ca="1">'TechWaterHeat-RES per dwelling'!H$51/('TechWaterHeat-RES'!$AR14*'TechWaterHeat-RES'!H98)*1000*1.1</f>
        <v>1.7639247628040599E-2</v>
      </c>
      <c r="I126" s="693">
        <f ca="1">'TechWaterHeat-RES per dwelling'!I$51/('TechWaterHeat-RES'!$AR14*'TechWaterHeat-RES'!I98)*1000*1.1</f>
        <v>1.9789784314238661E-2</v>
      </c>
      <c r="J126" s="693">
        <f ca="1">'TechWaterHeat-RES per dwelling'!J$51/('TechWaterHeat-RES'!$AR14*'TechWaterHeat-RES'!J98)*1000*1.1</f>
        <v>2.2016615011670012E-2</v>
      </c>
      <c r="K126" s="693">
        <f ca="1">'TechWaterHeat-RES per dwelling'!K$51/('TechWaterHeat-RES'!$AR14*'TechWaterHeat-RES'!K98)*1000*1.1</f>
        <v>1.6570421792852733E-2</v>
      </c>
      <c r="L126" s="693">
        <f ca="1">'TechWaterHeat-RES per dwelling'!L$51/('TechWaterHeat-RES'!$AR14*'TechWaterHeat-RES'!L98)*1000*1.1</f>
        <v>2.1416335886684613E-2</v>
      </c>
      <c r="M126" s="693">
        <f ca="1">'TechWaterHeat-RES per dwelling'!M$51/('TechWaterHeat-RES'!$AR14*'TechWaterHeat-RES'!M98)*1000*1.1</f>
        <v>2.2609526683434578E-2</v>
      </c>
      <c r="N126" s="693">
        <f ca="1">'TechWaterHeat-RES per dwelling'!N$51/('TechWaterHeat-RES'!$AR14*'TechWaterHeat-RES'!N98)*1000*1.1</f>
        <v>2.078350491461527E-2</v>
      </c>
      <c r="O126" s="693">
        <f ca="1">'TechWaterHeat-RES per dwelling'!O$51/('TechWaterHeat-RES'!$AR14*'TechWaterHeat-RES'!O98)*1000*1.1</f>
        <v>2.7929540173183436E-2</v>
      </c>
      <c r="P126" s="693">
        <f ca="1">'TechWaterHeat-RES per dwelling'!P$51/('TechWaterHeat-RES'!$AR14*'TechWaterHeat-RES'!P98)*1000*1.1</f>
        <v>2.6416300203299103E-2</v>
      </c>
      <c r="Q126" s="693">
        <f ca="1">'TechWaterHeat-RES per dwelling'!Q$51/('TechWaterHeat-RES'!$AR14*'TechWaterHeat-RES'!Q98)*1000*1.1</f>
        <v>2.3146812119180141E-2</v>
      </c>
      <c r="R126" s="693">
        <f ca="1">'TechWaterHeat-RES per dwelling'!R$51/('TechWaterHeat-RES'!$AR14*'TechWaterHeat-RES'!R98)*1000*1.1</f>
        <v>2.4236124350948494E-2</v>
      </c>
      <c r="S126" s="693">
        <f ca="1">'TechWaterHeat-RES per dwelling'!S$51/('TechWaterHeat-RES'!$AR14*'TechWaterHeat-RES'!S98)*1000*1.1</f>
        <v>1.4271100719649054E-2</v>
      </c>
      <c r="T126" s="693">
        <f ca="1">'TechWaterHeat-RES per dwelling'!T$51/('TechWaterHeat-RES'!$AR14*'TechWaterHeat-RES'!T98)*1000*1.1</f>
        <v>1.2408248814067558E-2</v>
      </c>
      <c r="U126" s="693">
        <f ca="1">'TechWaterHeat-RES per dwelling'!U$51/('TechWaterHeat-RES'!$AR14*'TechWaterHeat-RES'!U98)*1000*1.1</f>
        <v>2.5003153392911179E-2</v>
      </c>
      <c r="V126" s="693">
        <f ca="1">'TechWaterHeat-RES per dwelling'!V$51/('TechWaterHeat-RES'!$AR14*'TechWaterHeat-RES'!V98)*1000*1.1</f>
        <v>2.4491868751525283E-2</v>
      </c>
      <c r="W126" s="693">
        <f ca="1">'TechWaterHeat-RES per dwelling'!W$51/('TechWaterHeat-RES'!$AR14*'TechWaterHeat-RES'!W98)*1000*1.1</f>
        <v>1.9633719658858087E-2</v>
      </c>
      <c r="X126" s="693">
        <f ca="1">'TechWaterHeat-RES per dwelling'!X$51/('TechWaterHeat-RES'!$AR14*'TechWaterHeat-RES'!X98)*1000*1.1</f>
        <v>1.7074147964365384E-2</v>
      </c>
      <c r="Y126" s="693">
        <f ca="1">'TechWaterHeat-RES per dwelling'!Y$51/('TechWaterHeat-RES'!$AR14*'TechWaterHeat-RES'!Y98)*1000*1.1</f>
        <v>1.7815470849274994E-2</v>
      </c>
      <c r="Z126" s="693">
        <f ca="1">'TechWaterHeat-RES per dwelling'!Z$51/('TechWaterHeat-RES'!$AR14*'TechWaterHeat-RES'!Z98)*1000*1.1</f>
        <v>2.3953567019118396E-2</v>
      </c>
      <c r="AA126" s="693">
        <f ca="1">'TechWaterHeat-RES per dwelling'!AA$51/('TechWaterHeat-RES'!$AR14*'TechWaterHeat-RES'!AA98)*1000*1.1</f>
        <v>1.0716070814948589E-2</v>
      </c>
      <c r="AB126" s="693">
        <f ca="1">'TechWaterHeat-RES per dwelling'!AB$51/('TechWaterHeat-RES'!$AR14*'TechWaterHeat-RES'!AB98)*1000*1.1</f>
        <v>2.1496707725004314E-2</v>
      </c>
      <c r="AC126" s="693">
        <f ca="1">'TechWaterHeat-RES per dwelling'!AC$51/('TechWaterHeat-RES'!$AR14*'TechWaterHeat-RES'!AC98)*1000*1.1</f>
        <v>3.5834053241728475E-2</v>
      </c>
      <c r="AD126" s="693">
        <f ca="1">'TechWaterHeat-RES per dwelling'!AD$51/('TechWaterHeat-RES'!$AR14*'TechWaterHeat-RES'!AD98)*1000*1.1</f>
        <v>2.13420821544534E-2</v>
      </c>
      <c r="AE126" s="693">
        <f ca="1">'TechWaterHeat-RES per dwelling'!AE$51/('TechWaterHeat-RES'!$AR14*'TechWaterHeat-RES'!AE98)*1000*1.1</f>
        <v>3.4456590413286081E-2</v>
      </c>
      <c r="AF126" s="693">
        <f ca="1">'TechWaterHeat-RES per dwelling'!AF$51/('TechWaterHeat-RES'!$AR14*'TechWaterHeat-RES'!AF98)*1000*1.1</f>
        <v>1.4301222537078081E-2</v>
      </c>
      <c r="AG126" s="693">
        <f ca="1">'TechWaterHeat-RES per dwelling'!AG$51/('TechWaterHeat-RES'!$AR14*'TechWaterHeat-RES'!AG98)*1000*1.1</f>
        <v>2.161212293402176E-2</v>
      </c>
      <c r="AH126" s="693">
        <f ca="1">'TechWaterHeat-RES per dwelling'!AH$51/('TechWaterHeat-RES'!$AR14*'TechWaterHeat-RES'!AH98)*1000*1.1</f>
        <v>2.8772248577818401E-2</v>
      </c>
      <c r="AI126" s="693">
        <f ca="1">'TechWaterHeat-RES per dwelling'!AI$51/('TechWaterHeat-RES'!$AR14*'TechWaterHeat-RES'!AI98)*1000*1.1</f>
        <v>2.1840342652476613E-2</v>
      </c>
      <c r="AJ126" s="693">
        <f ca="1">'TechWaterHeat-RES per dwelling'!AJ$51/('TechWaterHeat-RES'!$AR14*'TechWaterHeat-RES'!AJ98)*1000*1.1</f>
        <v>2.1419365704021906E-2</v>
      </c>
      <c r="AK126" s="693">
        <f ca="1">'TechWaterHeat-RES per dwelling'!AK$51/('TechWaterHeat-RES'!$AR14*'TechWaterHeat-RES'!AK98)*1000*1.1</f>
        <v>2.4815579244214167E-2</v>
      </c>
      <c r="AL126" s="693">
        <f ca="1">'TechWaterHeat-RES per dwelling'!AL$51/('TechWaterHeat-RES'!$AR14*'TechWaterHeat-RES'!AL98)*1000*1.1</f>
        <v>1.3092413395316426E-2</v>
      </c>
      <c r="AM126" s="693">
        <f ca="1">'TechWaterHeat-RES per dwelling'!AM$51/('TechWaterHeat-RES'!$AR14*'TechWaterHeat-RES'!AM98)*1000*1.1</f>
        <v>1.7648292330328771E-2</v>
      </c>
      <c r="AN126" s="693">
        <f ca="1">'TechWaterHeat-RES per dwelling'!AN$51/('TechWaterHeat-RES'!$AR14*'TechWaterHeat-RES'!AN98)*1000*1.1</f>
        <v>1.456927387594573E-2</v>
      </c>
      <c r="AO126" s="693">
        <f ca="1">'TechWaterHeat-RES per dwelling'!AO$51/('TechWaterHeat-RES'!$AR14*'TechWaterHeat-RES'!AO98)*1000*1.1</f>
        <v>1.6109247020389645E-2</v>
      </c>
      <c r="AP126" s="693">
        <f ca="1">'TechWaterHeat-RES per dwelling'!AP$51/('TechWaterHeat-RES'!$AR14*'TechWaterHeat-RES'!AP98)*1000*1.1</f>
        <v>9.9620396611548555E-3</v>
      </c>
    </row>
    <row r="127" spans="1:42">
      <c r="A127" t="str">
        <f t="shared" si="24"/>
        <v>GDO and other liquids (incl. liq. bio.)</v>
      </c>
      <c r="C127" t="str">
        <f t="shared" si="25"/>
        <v>R_ES-WH-DH_OIL</v>
      </c>
      <c r="E127" t="str">
        <f t="shared" si="26"/>
        <v>R_ES-DH-WatHeat</v>
      </c>
      <c r="F127" s="693">
        <f ca="1">'TechWaterHeat-RES per dwelling'!F$51/('TechWaterHeat-RES'!$AR15*'TechWaterHeat-RES'!F99)*1000*1.1</f>
        <v>2.6163789907819583E-2</v>
      </c>
      <c r="G127" s="693">
        <f ca="1">'TechWaterHeat-RES per dwelling'!G$51/('TechWaterHeat-RES'!$AR15*'TechWaterHeat-RES'!G99)*1000*1.1</f>
        <v>2.2154431458604792E-2</v>
      </c>
      <c r="H127" s="693">
        <f ca="1">'TechWaterHeat-RES per dwelling'!H$51/('TechWaterHeat-RES'!$AR15*'TechWaterHeat-RES'!H99)*1000*1.1</f>
        <v>1.7639247628040599E-2</v>
      </c>
      <c r="I127" s="693">
        <f ca="1">'TechWaterHeat-RES per dwelling'!I$51/('TechWaterHeat-RES'!$AR15*'TechWaterHeat-RES'!I99)*1000*1.1</f>
        <v>1.9789784314238661E-2</v>
      </c>
      <c r="J127" s="693">
        <f ca="1">'TechWaterHeat-RES per dwelling'!J$51/('TechWaterHeat-RES'!$AR15*'TechWaterHeat-RES'!J99)*1000*1.1</f>
        <v>2.2016615011670012E-2</v>
      </c>
      <c r="K127" s="693">
        <f ca="1">'TechWaterHeat-RES per dwelling'!K$51/('TechWaterHeat-RES'!$AR15*'TechWaterHeat-RES'!K99)*1000*1.1</f>
        <v>1.6570421792852733E-2</v>
      </c>
      <c r="L127" s="693">
        <f ca="1">'TechWaterHeat-RES per dwelling'!L$51/('TechWaterHeat-RES'!$AR15*'TechWaterHeat-RES'!L99)*1000*1.1</f>
        <v>2.1416335886684613E-2</v>
      </c>
      <c r="M127" s="693">
        <f ca="1">'TechWaterHeat-RES per dwelling'!M$51/('TechWaterHeat-RES'!$AR15*'TechWaterHeat-RES'!M99)*1000*1.1</f>
        <v>2.2609526683434578E-2</v>
      </c>
      <c r="N127" s="693">
        <f ca="1">'TechWaterHeat-RES per dwelling'!N$51/('TechWaterHeat-RES'!$AR15*'TechWaterHeat-RES'!N99)*1000*1.1</f>
        <v>2.078350491461527E-2</v>
      </c>
      <c r="O127" s="693">
        <f ca="1">'TechWaterHeat-RES per dwelling'!O$51/('TechWaterHeat-RES'!$AR15*'TechWaterHeat-RES'!O99)*1000*1.1</f>
        <v>2.7929540173183436E-2</v>
      </c>
      <c r="P127" s="693">
        <f ca="1">'TechWaterHeat-RES per dwelling'!P$51/('TechWaterHeat-RES'!$AR15*'TechWaterHeat-RES'!P99)*1000*1.1</f>
        <v>2.6416300203299103E-2</v>
      </c>
      <c r="Q127" s="693">
        <f ca="1">'TechWaterHeat-RES per dwelling'!Q$51/('TechWaterHeat-RES'!$AR15*'TechWaterHeat-RES'!Q99)*1000*1.1</f>
        <v>2.3146812119180141E-2</v>
      </c>
      <c r="R127" s="693">
        <f ca="1">'TechWaterHeat-RES per dwelling'!R$51/('TechWaterHeat-RES'!$AR15*'TechWaterHeat-RES'!R99)*1000*1.1</f>
        <v>2.4236124350948494E-2</v>
      </c>
      <c r="S127" s="693">
        <f ca="1">'TechWaterHeat-RES per dwelling'!S$51/('TechWaterHeat-RES'!$AR15*'TechWaterHeat-RES'!S99)*1000*1.1</f>
        <v>1.4271100719649054E-2</v>
      </c>
      <c r="T127" s="693">
        <f ca="1">'TechWaterHeat-RES per dwelling'!T$51/('TechWaterHeat-RES'!$AR15*'TechWaterHeat-RES'!T99)*1000*1.1</f>
        <v>1.2408248814067558E-2</v>
      </c>
      <c r="U127" s="693">
        <f ca="1">'TechWaterHeat-RES per dwelling'!U$51/('TechWaterHeat-RES'!$AR15*'TechWaterHeat-RES'!U99)*1000*1.1</f>
        <v>2.5003153392911179E-2</v>
      </c>
      <c r="V127" s="693">
        <f ca="1">'TechWaterHeat-RES per dwelling'!V$51/('TechWaterHeat-RES'!$AR15*'TechWaterHeat-RES'!V99)*1000*1.1</f>
        <v>2.4491868751525283E-2</v>
      </c>
      <c r="W127" s="693">
        <f ca="1">'TechWaterHeat-RES per dwelling'!W$51/('TechWaterHeat-RES'!$AR15*'TechWaterHeat-RES'!W99)*1000*1.1</f>
        <v>1.9633719658858087E-2</v>
      </c>
      <c r="X127" s="693">
        <f ca="1">'TechWaterHeat-RES per dwelling'!X$51/('TechWaterHeat-RES'!$AR15*'TechWaterHeat-RES'!X99)*1000*1.1</f>
        <v>1.7074147964365384E-2</v>
      </c>
      <c r="Y127" s="693">
        <f ca="1">'TechWaterHeat-RES per dwelling'!Y$51/('TechWaterHeat-RES'!$AR15*'TechWaterHeat-RES'!Y99)*1000*1.1</f>
        <v>1.7815470849274994E-2</v>
      </c>
      <c r="Z127" s="693">
        <f ca="1">'TechWaterHeat-RES per dwelling'!Z$51/('TechWaterHeat-RES'!$AR15*'TechWaterHeat-RES'!Z99)*1000*1.1</f>
        <v>2.3953567019118396E-2</v>
      </c>
      <c r="AA127" s="693">
        <f ca="1">'TechWaterHeat-RES per dwelling'!AA$51/('TechWaterHeat-RES'!$AR15*'TechWaterHeat-RES'!AA99)*1000*1.1</f>
        <v>1.0716070814948589E-2</v>
      </c>
      <c r="AB127" s="693">
        <f ca="1">'TechWaterHeat-RES per dwelling'!AB$51/('TechWaterHeat-RES'!$AR15*'TechWaterHeat-RES'!AB99)*1000*1.1</f>
        <v>2.1496707725004314E-2</v>
      </c>
      <c r="AC127" s="693">
        <f ca="1">'TechWaterHeat-RES per dwelling'!AC$51/('TechWaterHeat-RES'!$AR15*'TechWaterHeat-RES'!AC99)*1000*1.1</f>
        <v>3.5834053241728475E-2</v>
      </c>
      <c r="AD127" s="693">
        <f ca="1">'TechWaterHeat-RES per dwelling'!AD$51/('TechWaterHeat-RES'!$AR15*'TechWaterHeat-RES'!AD99)*1000*1.1</f>
        <v>2.13420821544534E-2</v>
      </c>
      <c r="AE127" s="693">
        <f ca="1">'TechWaterHeat-RES per dwelling'!AE$51/('TechWaterHeat-RES'!$AR15*'TechWaterHeat-RES'!AE99)*1000*1.1</f>
        <v>3.4456590413286081E-2</v>
      </c>
      <c r="AF127" s="693">
        <f ca="1">'TechWaterHeat-RES per dwelling'!AF$51/('TechWaterHeat-RES'!$AR15*'TechWaterHeat-RES'!AF99)*1000*1.1</f>
        <v>1.4301222537078081E-2</v>
      </c>
      <c r="AG127" s="693">
        <f ca="1">'TechWaterHeat-RES per dwelling'!AG$51/('TechWaterHeat-RES'!$AR15*'TechWaterHeat-RES'!AG99)*1000*1.1</f>
        <v>2.161212293402176E-2</v>
      </c>
      <c r="AH127" s="693">
        <f ca="1">'TechWaterHeat-RES per dwelling'!AH$51/('TechWaterHeat-RES'!$AR15*'TechWaterHeat-RES'!AH99)*1000*1.1</f>
        <v>2.8772248577818401E-2</v>
      </c>
      <c r="AI127" s="693">
        <f ca="1">'TechWaterHeat-RES per dwelling'!AI$51/('TechWaterHeat-RES'!$AR15*'TechWaterHeat-RES'!AI99)*1000*1.1</f>
        <v>2.1840342652476613E-2</v>
      </c>
      <c r="AJ127" s="693">
        <f ca="1">'TechWaterHeat-RES per dwelling'!AJ$51/('TechWaterHeat-RES'!$AR15*'TechWaterHeat-RES'!AJ99)*1000*1.1</f>
        <v>2.1419365704021906E-2</v>
      </c>
      <c r="AK127" s="693">
        <f ca="1">'TechWaterHeat-RES per dwelling'!AK$51/('TechWaterHeat-RES'!$AR15*'TechWaterHeat-RES'!AK99)*1000*1.1</f>
        <v>2.4815579244214167E-2</v>
      </c>
      <c r="AL127" s="693">
        <f ca="1">'TechWaterHeat-RES per dwelling'!AL$51/('TechWaterHeat-RES'!$AR15*'TechWaterHeat-RES'!AL99)*1000*1.1</f>
        <v>1.3092413395316426E-2</v>
      </c>
      <c r="AM127" s="693">
        <f ca="1">'TechWaterHeat-RES per dwelling'!AM$51/('TechWaterHeat-RES'!$AR15*'TechWaterHeat-RES'!AM99)*1000*1.1</f>
        <v>1.7648292330328771E-2</v>
      </c>
      <c r="AN127" s="693">
        <f ca="1">'TechWaterHeat-RES per dwelling'!AN$51/('TechWaterHeat-RES'!$AR15*'TechWaterHeat-RES'!AN99)*1000*1.1</f>
        <v>1.456927387594573E-2</v>
      </c>
      <c r="AO127" s="693">
        <f ca="1">'TechWaterHeat-RES per dwelling'!AO$51/('TechWaterHeat-RES'!$AR15*'TechWaterHeat-RES'!AO99)*1000*1.1</f>
        <v>1.6109247020389645E-2</v>
      </c>
      <c r="AP127" s="693">
        <f ca="1">'TechWaterHeat-RES per dwelling'!AP$51/('TechWaterHeat-RES'!$AR15*'TechWaterHeat-RES'!AP99)*1000*1.1</f>
        <v>9.9620396611548555E-3</v>
      </c>
    </row>
    <row r="128" spans="1:42">
      <c r="A128" t="str">
        <f t="shared" si="24"/>
        <v>Biomass and wastes</v>
      </c>
      <c r="C128" t="str">
        <f t="shared" si="25"/>
        <v>R_ES-WH-DH_BIO</v>
      </c>
      <c r="E128" t="str">
        <f t="shared" si="26"/>
        <v>R_ES-DH-WatHeat</v>
      </c>
      <c r="F128" s="693">
        <f ca="1">'TechWaterHeat-RES per dwelling'!F$51/('TechWaterHeat-RES'!$AR16*'TechWaterHeat-RES'!F100)*1000*1.1</f>
        <v>2.6163789907819583E-2</v>
      </c>
      <c r="G128" s="693">
        <f ca="1">'TechWaterHeat-RES per dwelling'!G$51/('TechWaterHeat-RES'!$AR16*'TechWaterHeat-RES'!G100)*1000*1.1</f>
        <v>2.2154431458604792E-2</v>
      </c>
      <c r="H128" s="693">
        <f ca="1">'TechWaterHeat-RES per dwelling'!H$51/('TechWaterHeat-RES'!$AR16*'TechWaterHeat-RES'!H100)*1000*1.1</f>
        <v>1.7639247628040599E-2</v>
      </c>
      <c r="I128" s="693">
        <f ca="1">'TechWaterHeat-RES per dwelling'!I$51/('TechWaterHeat-RES'!$AR16*'TechWaterHeat-RES'!I100)*1000*1.1</f>
        <v>1.9789784314238661E-2</v>
      </c>
      <c r="J128" s="693">
        <f ca="1">'TechWaterHeat-RES per dwelling'!J$51/('TechWaterHeat-RES'!$AR16*'TechWaterHeat-RES'!J100)*1000*1.1</f>
        <v>2.2016615011670012E-2</v>
      </c>
      <c r="K128" s="693">
        <f ca="1">'TechWaterHeat-RES per dwelling'!K$51/('TechWaterHeat-RES'!$AR16*'TechWaterHeat-RES'!K100)*1000*1.1</f>
        <v>1.6570421792852733E-2</v>
      </c>
      <c r="L128" s="693">
        <f ca="1">'TechWaterHeat-RES per dwelling'!L$51/('TechWaterHeat-RES'!$AR16*'TechWaterHeat-RES'!L100)*1000*1.1</f>
        <v>2.1416335886684613E-2</v>
      </c>
      <c r="M128" s="693">
        <f ca="1">'TechWaterHeat-RES per dwelling'!M$51/('TechWaterHeat-RES'!$AR16*'TechWaterHeat-RES'!M100)*1000*1.1</f>
        <v>2.2609526683434578E-2</v>
      </c>
      <c r="N128" s="693">
        <f ca="1">'TechWaterHeat-RES per dwelling'!N$51/('TechWaterHeat-RES'!$AR16*'TechWaterHeat-RES'!N100)*1000*1.1</f>
        <v>2.078350491461527E-2</v>
      </c>
      <c r="O128" s="693">
        <f ca="1">'TechWaterHeat-RES per dwelling'!O$51/('TechWaterHeat-RES'!$AR16*'TechWaterHeat-RES'!O100)*1000*1.1</f>
        <v>2.7929540173183436E-2</v>
      </c>
      <c r="P128" s="693">
        <f ca="1">'TechWaterHeat-RES per dwelling'!P$51/('TechWaterHeat-RES'!$AR16*'TechWaterHeat-RES'!P100)*1000*1.1</f>
        <v>2.6416300203299103E-2</v>
      </c>
      <c r="Q128" s="693">
        <f ca="1">'TechWaterHeat-RES per dwelling'!Q$51/('TechWaterHeat-RES'!$AR16*'TechWaterHeat-RES'!Q100)*1000*1.1</f>
        <v>2.3146812119180141E-2</v>
      </c>
      <c r="R128" s="693">
        <f ca="1">'TechWaterHeat-RES per dwelling'!R$51/('TechWaterHeat-RES'!$AR16*'TechWaterHeat-RES'!R100)*1000*1.1</f>
        <v>2.4236124350948494E-2</v>
      </c>
      <c r="S128" s="693">
        <f ca="1">'TechWaterHeat-RES per dwelling'!S$51/('TechWaterHeat-RES'!$AR16*'TechWaterHeat-RES'!S100)*1000*1.1</f>
        <v>1.4271100719649054E-2</v>
      </c>
      <c r="T128" s="693">
        <f ca="1">'TechWaterHeat-RES per dwelling'!T$51/('TechWaterHeat-RES'!$AR16*'TechWaterHeat-RES'!T100)*1000*1.1</f>
        <v>1.2408248814067558E-2</v>
      </c>
      <c r="U128" s="693">
        <f ca="1">'TechWaterHeat-RES per dwelling'!U$51/('TechWaterHeat-RES'!$AR16*'TechWaterHeat-RES'!U100)*1000*1.1</f>
        <v>2.5003153392911179E-2</v>
      </c>
      <c r="V128" s="693">
        <f ca="1">'TechWaterHeat-RES per dwelling'!V$51/('TechWaterHeat-RES'!$AR16*'TechWaterHeat-RES'!V100)*1000*1.1</f>
        <v>2.4491868751525283E-2</v>
      </c>
      <c r="W128" s="693">
        <f ca="1">'TechWaterHeat-RES per dwelling'!W$51/('TechWaterHeat-RES'!$AR16*'TechWaterHeat-RES'!W100)*1000*1.1</f>
        <v>1.9633719658858087E-2</v>
      </c>
      <c r="X128" s="693">
        <f ca="1">'TechWaterHeat-RES per dwelling'!X$51/('TechWaterHeat-RES'!$AR16*'TechWaterHeat-RES'!X100)*1000*1.1</f>
        <v>1.7074147964365384E-2</v>
      </c>
      <c r="Y128" s="693">
        <f ca="1">'TechWaterHeat-RES per dwelling'!Y$51/('TechWaterHeat-RES'!$AR16*'TechWaterHeat-RES'!Y100)*1000*1.1</f>
        <v>1.7815470849274994E-2</v>
      </c>
      <c r="Z128" s="693">
        <f ca="1">'TechWaterHeat-RES per dwelling'!Z$51/('TechWaterHeat-RES'!$AR16*'TechWaterHeat-RES'!Z100)*1000*1.1</f>
        <v>2.3953567019118396E-2</v>
      </c>
      <c r="AA128" s="693">
        <f ca="1">'TechWaterHeat-RES per dwelling'!AA$51/('TechWaterHeat-RES'!$AR16*'TechWaterHeat-RES'!AA100)*1000*1.1</f>
        <v>1.0716070814948589E-2</v>
      </c>
      <c r="AB128" s="693">
        <f ca="1">'TechWaterHeat-RES per dwelling'!AB$51/('TechWaterHeat-RES'!$AR16*'TechWaterHeat-RES'!AB100)*1000*1.1</f>
        <v>2.1496707725004314E-2</v>
      </c>
      <c r="AC128" s="693">
        <f ca="1">'TechWaterHeat-RES per dwelling'!AC$51/('TechWaterHeat-RES'!$AR16*'TechWaterHeat-RES'!AC100)*1000*1.1</f>
        <v>3.5834053241728475E-2</v>
      </c>
      <c r="AD128" s="693">
        <f ca="1">'TechWaterHeat-RES per dwelling'!AD$51/('TechWaterHeat-RES'!$AR16*'TechWaterHeat-RES'!AD100)*1000*1.1</f>
        <v>2.13420821544534E-2</v>
      </c>
      <c r="AE128" s="693">
        <f ca="1">'TechWaterHeat-RES per dwelling'!AE$51/('TechWaterHeat-RES'!$AR16*'TechWaterHeat-RES'!AE100)*1000*1.1</f>
        <v>3.4456590413286081E-2</v>
      </c>
      <c r="AF128" s="693">
        <f ca="1">'TechWaterHeat-RES per dwelling'!AF$51/('TechWaterHeat-RES'!$AR16*'TechWaterHeat-RES'!AF100)*1000*1.1</f>
        <v>1.4301222537078081E-2</v>
      </c>
      <c r="AG128" s="693">
        <f ca="1">'TechWaterHeat-RES per dwelling'!AG$51/('TechWaterHeat-RES'!$AR16*'TechWaterHeat-RES'!AG100)*1000*1.1</f>
        <v>2.161212293402176E-2</v>
      </c>
      <c r="AH128" s="693">
        <f ca="1">'TechWaterHeat-RES per dwelling'!AH$51/('TechWaterHeat-RES'!$AR16*'TechWaterHeat-RES'!AH100)*1000*1.1</f>
        <v>2.8772248577818401E-2</v>
      </c>
      <c r="AI128" s="693">
        <f ca="1">'TechWaterHeat-RES per dwelling'!AI$51/('TechWaterHeat-RES'!$AR16*'TechWaterHeat-RES'!AI100)*1000*1.1</f>
        <v>2.1840342652476613E-2</v>
      </c>
      <c r="AJ128" s="693">
        <f ca="1">'TechWaterHeat-RES per dwelling'!AJ$51/('TechWaterHeat-RES'!$AR16*'TechWaterHeat-RES'!AJ100)*1000*1.1</f>
        <v>2.1419365704021906E-2</v>
      </c>
      <c r="AK128" s="693">
        <f ca="1">'TechWaterHeat-RES per dwelling'!AK$51/('TechWaterHeat-RES'!$AR16*'TechWaterHeat-RES'!AK100)*1000*1.1</f>
        <v>2.4815579244214167E-2</v>
      </c>
      <c r="AL128" s="693">
        <f ca="1">'TechWaterHeat-RES per dwelling'!AL$51/('TechWaterHeat-RES'!$AR16*'TechWaterHeat-RES'!AL100)*1000*1.1</f>
        <v>1.3092413395316426E-2</v>
      </c>
      <c r="AM128" s="693">
        <f ca="1">'TechWaterHeat-RES per dwelling'!AM$51/('TechWaterHeat-RES'!$AR16*'TechWaterHeat-RES'!AM100)*1000*1.1</f>
        <v>1.7648292330328771E-2</v>
      </c>
      <c r="AN128" s="693">
        <f ca="1">'TechWaterHeat-RES per dwelling'!AN$51/('TechWaterHeat-RES'!$AR16*'TechWaterHeat-RES'!AN100)*1000*1.1</f>
        <v>1.456927387594573E-2</v>
      </c>
      <c r="AO128" s="693">
        <f ca="1">'TechWaterHeat-RES per dwelling'!AO$51/('TechWaterHeat-RES'!$AR16*'TechWaterHeat-RES'!AO100)*1000*1.1</f>
        <v>1.6109247020389645E-2</v>
      </c>
      <c r="AP128" s="693">
        <f ca="1">'TechWaterHeat-RES per dwelling'!AP$51/('TechWaterHeat-RES'!$AR16*'TechWaterHeat-RES'!AP100)*1000*1.1</f>
        <v>9.9620396611548555E-3</v>
      </c>
    </row>
    <row r="129" spans="1:42">
      <c r="A129" t="str">
        <f t="shared" si="24"/>
        <v>Solids</v>
      </c>
      <c r="C129" t="str">
        <f t="shared" si="25"/>
        <v>R_ES-WH-DH_COA</v>
      </c>
      <c r="E129" t="str">
        <f t="shared" si="26"/>
        <v>R_ES-DH-WatHeat</v>
      </c>
      <c r="F129" s="693">
        <f ca="1">'TechWaterHeat-RES per dwelling'!F$51/('TechWaterHeat-RES'!$AR17*'TechWaterHeat-RES'!F101)*1000*1.1</f>
        <v>2.6163789907819583E-2</v>
      </c>
      <c r="G129" s="693">
        <f ca="1">'TechWaterHeat-RES per dwelling'!G$51/('TechWaterHeat-RES'!$AR17*'TechWaterHeat-RES'!G101)*1000*1.1</f>
        <v>2.2154431458604792E-2</v>
      </c>
      <c r="H129" s="693">
        <f ca="1">'TechWaterHeat-RES per dwelling'!H$51/('TechWaterHeat-RES'!$AR17*'TechWaterHeat-RES'!H101)*1000*1.1</f>
        <v>1.7639247628040599E-2</v>
      </c>
      <c r="I129" s="693">
        <f ca="1">'TechWaterHeat-RES per dwelling'!I$51/('TechWaterHeat-RES'!$AR17*'TechWaterHeat-RES'!I101)*1000*1.1</f>
        <v>1.9789784314238661E-2</v>
      </c>
      <c r="J129" s="693">
        <f ca="1">'TechWaterHeat-RES per dwelling'!J$51/('TechWaterHeat-RES'!$AR17*'TechWaterHeat-RES'!J101)*1000*1.1</f>
        <v>2.2016615011670012E-2</v>
      </c>
      <c r="K129" s="693">
        <f ca="1">'TechWaterHeat-RES per dwelling'!K$51/('TechWaterHeat-RES'!$AR17*'TechWaterHeat-RES'!K101)*1000*1.1</f>
        <v>1.6570421792852733E-2</v>
      </c>
      <c r="L129" s="693">
        <f ca="1">'TechWaterHeat-RES per dwelling'!L$51/('TechWaterHeat-RES'!$AR17*'TechWaterHeat-RES'!L101)*1000*1.1</f>
        <v>2.1416335886684613E-2</v>
      </c>
      <c r="M129" s="693">
        <f ca="1">'TechWaterHeat-RES per dwelling'!M$51/('TechWaterHeat-RES'!$AR17*'TechWaterHeat-RES'!M101)*1000*1.1</f>
        <v>2.2609526683434578E-2</v>
      </c>
      <c r="N129" s="693">
        <f ca="1">'TechWaterHeat-RES per dwelling'!N$51/('TechWaterHeat-RES'!$AR17*'TechWaterHeat-RES'!N101)*1000*1.1</f>
        <v>2.078350491461527E-2</v>
      </c>
      <c r="O129" s="693">
        <f ca="1">'TechWaterHeat-RES per dwelling'!O$51/('TechWaterHeat-RES'!$AR17*'TechWaterHeat-RES'!O101)*1000*1.1</f>
        <v>2.7929540173183436E-2</v>
      </c>
      <c r="P129" s="693">
        <f ca="1">'TechWaterHeat-RES per dwelling'!P$51/('TechWaterHeat-RES'!$AR17*'TechWaterHeat-RES'!P101)*1000*1.1</f>
        <v>2.6416300203299103E-2</v>
      </c>
      <c r="Q129" s="693">
        <f ca="1">'TechWaterHeat-RES per dwelling'!Q$51/('TechWaterHeat-RES'!$AR17*'TechWaterHeat-RES'!Q101)*1000*1.1</f>
        <v>2.3146812119180141E-2</v>
      </c>
      <c r="R129" s="693">
        <f ca="1">'TechWaterHeat-RES per dwelling'!R$51/('TechWaterHeat-RES'!$AR17*'TechWaterHeat-RES'!R101)*1000*1.1</f>
        <v>2.4236124350948494E-2</v>
      </c>
      <c r="S129" s="693">
        <f ca="1">'TechWaterHeat-RES per dwelling'!S$51/('TechWaterHeat-RES'!$AR17*'TechWaterHeat-RES'!S101)*1000*1.1</f>
        <v>1.4271100719649054E-2</v>
      </c>
      <c r="T129" s="693">
        <f ca="1">'TechWaterHeat-RES per dwelling'!T$51/('TechWaterHeat-RES'!$AR17*'TechWaterHeat-RES'!T101)*1000*1.1</f>
        <v>1.2408248814067558E-2</v>
      </c>
      <c r="U129" s="693">
        <f ca="1">'TechWaterHeat-RES per dwelling'!U$51/('TechWaterHeat-RES'!$AR17*'TechWaterHeat-RES'!U101)*1000*1.1</f>
        <v>2.5003153392911179E-2</v>
      </c>
      <c r="V129" s="693">
        <f ca="1">'TechWaterHeat-RES per dwelling'!V$51/('TechWaterHeat-RES'!$AR17*'TechWaterHeat-RES'!V101)*1000*1.1</f>
        <v>2.4491868751525283E-2</v>
      </c>
      <c r="W129" s="693">
        <f ca="1">'TechWaterHeat-RES per dwelling'!W$51/('TechWaterHeat-RES'!$AR17*'TechWaterHeat-RES'!W101)*1000*1.1</f>
        <v>1.9633719658858087E-2</v>
      </c>
      <c r="X129" s="693">
        <f ca="1">'TechWaterHeat-RES per dwelling'!X$51/('TechWaterHeat-RES'!$AR17*'TechWaterHeat-RES'!X101)*1000*1.1</f>
        <v>1.7074147964365384E-2</v>
      </c>
      <c r="Y129" s="693">
        <f ca="1">'TechWaterHeat-RES per dwelling'!Y$51/('TechWaterHeat-RES'!$AR17*'TechWaterHeat-RES'!Y101)*1000*1.1</f>
        <v>1.7815470849274994E-2</v>
      </c>
      <c r="Z129" s="693">
        <f ca="1">'TechWaterHeat-RES per dwelling'!Z$51/('TechWaterHeat-RES'!$AR17*'TechWaterHeat-RES'!Z101)*1000*1.1</f>
        <v>2.3953567019118396E-2</v>
      </c>
      <c r="AA129" s="693">
        <f ca="1">'TechWaterHeat-RES per dwelling'!AA$51/('TechWaterHeat-RES'!$AR17*'TechWaterHeat-RES'!AA101)*1000*1.1</f>
        <v>1.0716070814948589E-2</v>
      </c>
      <c r="AB129" s="693">
        <f ca="1">'TechWaterHeat-RES per dwelling'!AB$51/('TechWaterHeat-RES'!$AR17*'TechWaterHeat-RES'!AB101)*1000*1.1</f>
        <v>2.1496707725004314E-2</v>
      </c>
      <c r="AC129" s="693">
        <f ca="1">'TechWaterHeat-RES per dwelling'!AC$51/('TechWaterHeat-RES'!$AR17*'TechWaterHeat-RES'!AC101)*1000*1.1</f>
        <v>3.5834053241728475E-2</v>
      </c>
      <c r="AD129" s="693">
        <f ca="1">'TechWaterHeat-RES per dwelling'!AD$51/('TechWaterHeat-RES'!$AR17*'TechWaterHeat-RES'!AD101)*1000*1.1</f>
        <v>2.13420821544534E-2</v>
      </c>
      <c r="AE129" s="693">
        <f ca="1">'TechWaterHeat-RES per dwelling'!AE$51/('TechWaterHeat-RES'!$AR17*'TechWaterHeat-RES'!AE101)*1000*1.1</f>
        <v>3.4456590413286081E-2</v>
      </c>
      <c r="AF129" s="693">
        <f ca="1">'TechWaterHeat-RES per dwelling'!AF$51/('TechWaterHeat-RES'!$AR17*'TechWaterHeat-RES'!AF101)*1000*1.1</f>
        <v>1.4301222537078081E-2</v>
      </c>
      <c r="AG129" s="693">
        <f ca="1">'TechWaterHeat-RES per dwelling'!AG$51/('TechWaterHeat-RES'!$AR17*'TechWaterHeat-RES'!AG101)*1000*1.1</f>
        <v>2.161212293402176E-2</v>
      </c>
      <c r="AH129" s="693">
        <f ca="1">'TechWaterHeat-RES per dwelling'!AH$51/('TechWaterHeat-RES'!$AR17*'TechWaterHeat-RES'!AH101)*1000*1.1</f>
        <v>2.8772248577818401E-2</v>
      </c>
      <c r="AI129" s="693">
        <f ca="1">'TechWaterHeat-RES per dwelling'!AI$51/('TechWaterHeat-RES'!$AR17*'TechWaterHeat-RES'!AI101)*1000*1.1</f>
        <v>2.1840342652476613E-2</v>
      </c>
      <c r="AJ129" s="693">
        <f ca="1">'TechWaterHeat-RES per dwelling'!AJ$51/('TechWaterHeat-RES'!$AR17*'TechWaterHeat-RES'!AJ101)*1000*1.1</f>
        <v>2.1419365704021906E-2</v>
      </c>
      <c r="AK129" s="693">
        <f ca="1">'TechWaterHeat-RES per dwelling'!AK$51/('TechWaterHeat-RES'!$AR17*'TechWaterHeat-RES'!AK101)*1000*1.1</f>
        <v>2.4815579244214167E-2</v>
      </c>
      <c r="AL129" s="693">
        <f ca="1">'TechWaterHeat-RES per dwelling'!AL$51/('TechWaterHeat-RES'!$AR17*'TechWaterHeat-RES'!AL101)*1000*1.1</f>
        <v>1.3092413395316426E-2</v>
      </c>
      <c r="AM129" s="693">
        <f ca="1">'TechWaterHeat-RES per dwelling'!AM$51/('TechWaterHeat-RES'!$AR17*'TechWaterHeat-RES'!AM101)*1000*1.1</f>
        <v>1.7648292330328771E-2</v>
      </c>
      <c r="AN129" s="693">
        <f ca="1">'TechWaterHeat-RES per dwelling'!AN$51/('TechWaterHeat-RES'!$AR17*'TechWaterHeat-RES'!AN101)*1000*1.1</f>
        <v>1.456927387594573E-2</v>
      </c>
      <c r="AO129" s="693">
        <f ca="1">'TechWaterHeat-RES per dwelling'!AO$51/('TechWaterHeat-RES'!$AR17*'TechWaterHeat-RES'!AO101)*1000*1.1</f>
        <v>1.6109247020389645E-2</v>
      </c>
      <c r="AP129" s="693">
        <f ca="1">'TechWaterHeat-RES per dwelling'!AP$51/('TechWaterHeat-RES'!$AR17*'TechWaterHeat-RES'!AP101)*1000*1.1</f>
        <v>9.9620396611548555E-3</v>
      </c>
    </row>
    <row r="130" spans="1:42">
      <c r="A130" t="str">
        <f t="shared" si="24"/>
        <v>LPG</v>
      </c>
      <c r="C130" t="str">
        <f t="shared" si="25"/>
        <v>R_ES-WH-DH_LPG</v>
      </c>
      <c r="E130" t="str">
        <f t="shared" si="26"/>
        <v>R_ES-DH-WatHeat</v>
      </c>
      <c r="F130" s="693">
        <f ca="1">'TechWaterHeat-RES per dwelling'!F$51/('TechWaterHeat-RES'!$AR18*'TechWaterHeat-RES'!F102)*1000*1.1</f>
        <v>3.2704737384774481E-2</v>
      </c>
      <c r="G130" s="693">
        <f ca="1">'TechWaterHeat-RES per dwelling'!G$51/('TechWaterHeat-RES'!$AR18*'TechWaterHeat-RES'!G102)*1000*1.1</f>
        <v>2.7693039323255991E-2</v>
      </c>
      <c r="H130" s="693">
        <f ca="1">'TechWaterHeat-RES per dwelling'!H$51/('TechWaterHeat-RES'!$AR18*'TechWaterHeat-RES'!H102)*1000*1.1</f>
        <v>2.2049059535050746E-2</v>
      </c>
      <c r="I130" s="693">
        <f ca="1">'TechWaterHeat-RES per dwelling'!I$51/('TechWaterHeat-RES'!$AR18*'TechWaterHeat-RES'!I102)*1000*1.1</f>
        <v>2.4737230392798328E-2</v>
      </c>
      <c r="J130" s="693">
        <f ca="1">'TechWaterHeat-RES per dwelling'!J$51/('TechWaterHeat-RES'!$AR18*'TechWaterHeat-RES'!J102)*1000*1.1</f>
        <v>2.7520768764587516E-2</v>
      </c>
      <c r="K130" s="693">
        <f ca="1">'TechWaterHeat-RES per dwelling'!K$51/('TechWaterHeat-RES'!$AR18*'TechWaterHeat-RES'!K102)*1000*1.1</f>
        <v>2.0713027241065916E-2</v>
      </c>
      <c r="L130" s="693">
        <f ca="1">'TechWaterHeat-RES per dwelling'!L$51/('TechWaterHeat-RES'!$AR18*'TechWaterHeat-RES'!L102)*1000*1.1</f>
        <v>2.6770419858355765E-2</v>
      </c>
      <c r="M130" s="693">
        <f ca="1">'TechWaterHeat-RES per dwelling'!M$51/('TechWaterHeat-RES'!$AR18*'TechWaterHeat-RES'!M102)*1000*1.1</f>
        <v>2.8261908354293219E-2</v>
      </c>
      <c r="N130" s="693">
        <f ca="1">'TechWaterHeat-RES per dwelling'!N$51/('TechWaterHeat-RES'!$AR18*'TechWaterHeat-RES'!N102)*1000*1.1</f>
        <v>2.597938114326909E-2</v>
      </c>
      <c r="O130" s="693">
        <f ca="1">'TechWaterHeat-RES per dwelling'!O$51/('TechWaterHeat-RES'!$AR18*'TechWaterHeat-RES'!O102)*1000*1.1</f>
        <v>3.4911925216479296E-2</v>
      </c>
      <c r="P130" s="693">
        <f ca="1">'TechWaterHeat-RES per dwelling'!P$51/('TechWaterHeat-RES'!$AR18*'TechWaterHeat-RES'!P102)*1000*1.1</f>
        <v>3.3020375254123879E-2</v>
      </c>
      <c r="Q130" s="693">
        <f ca="1">'TechWaterHeat-RES per dwelling'!Q$51/('TechWaterHeat-RES'!$AR18*'TechWaterHeat-RES'!Q102)*1000*1.1</f>
        <v>2.8933515148975176E-2</v>
      </c>
      <c r="R130" s="693">
        <f ca="1">'TechWaterHeat-RES per dwelling'!R$51/('TechWaterHeat-RES'!$AR18*'TechWaterHeat-RES'!R102)*1000*1.1</f>
        <v>3.0295155438685616E-2</v>
      </c>
      <c r="S130" s="693">
        <f ca="1">'TechWaterHeat-RES per dwelling'!S$51/('TechWaterHeat-RES'!$AR18*'TechWaterHeat-RES'!S102)*1000*1.1</f>
        <v>1.7838875899561318E-2</v>
      </c>
      <c r="T130" s="693">
        <f ca="1">'TechWaterHeat-RES per dwelling'!T$51/('TechWaterHeat-RES'!$AR18*'TechWaterHeat-RES'!T102)*1000*1.1</f>
        <v>1.5510311017584447E-2</v>
      </c>
      <c r="U130" s="693">
        <f ca="1">'TechWaterHeat-RES per dwelling'!U$51/('TechWaterHeat-RES'!$AR18*'TechWaterHeat-RES'!U102)*1000*1.1</f>
        <v>3.125394174113897E-2</v>
      </c>
      <c r="V130" s="693">
        <f ca="1">'TechWaterHeat-RES per dwelling'!V$51/('TechWaterHeat-RES'!$AR18*'TechWaterHeat-RES'!V102)*1000*1.1</f>
        <v>3.0614835939406608E-2</v>
      </c>
      <c r="W130" s="693">
        <f ca="1">'TechWaterHeat-RES per dwelling'!W$51/('TechWaterHeat-RES'!$AR18*'TechWaterHeat-RES'!W102)*1000*1.1</f>
        <v>2.4542149573572612E-2</v>
      </c>
      <c r="X130" s="693">
        <f ca="1">'TechWaterHeat-RES per dwelling'!X$51/('TechWaterHeat-RES'!$AR18*'TechWaterHeat-RES'!X102)*1000*1.1</f>
        <v>2.1342684955456728E-2</v>
      </c>
      <c r="Y130" s="693">
        <f ca="1">'TechWaterHeat-RES per dwelling'!Y$51/('TechWaterHeat-RES'!$AR18*'TechWaterHeat-RES'!Y102)*1000*1.1</f>
        <v>2.2269338561593743E-2</v>
      </c>
      <c r="Z130" s="693">
        <f ca="1">'TechWaterHeat-RES per dwelling'!Z$51/('TechWaterHeat-RES'!$AR18*'TechWaterHeat-RES'!Z102)*1000*1.1</f>
        <v>2.9941958773897995E-2</v>
      </c>
      <c r="AA130" s="693">
        <f ca="1">'TechWaterHeat-RES per dwelling'!AA$51/('TechWaterHeat-RES'!$AR18*'TechWaterHeat-RES'!AA102)*1000*1.1</f>
        <v>1.3395088518685734E-2</v>
      </c>
      <c r="AB130" s="693">
        <f ca="1">'TechWaterHeat-RES per dwelling'!AB$51/('TechWaterHeat-RES'!$AR18*'TechWaterHeat-RES'!AB102)*1000*1.1</f>
        <v>2.6870884656255395E-2</v>
      </c>
      <c r="AC130" s="693">
        <f ca="1">'TechWaterHeat-RES per dwelling'!AC$51/('TechWaterHeat-RES'!$AR18*'TechWaterHeat-RES'!AC102)*1000*1.1</f>
        <v>4.4792566552160594E-2</v>
      </c>
      <c r="AD130" s="693">
        <f ca="1">'TechWaterHeat-RES per dwelling'!AD$51/('TechWaterHeat-RES'!$AR18*'TechWaterHeat-RES'!AD102)*1000*1.1</f>
        <v>2.6677602693066748E-2</v>
      </c>
      <c r="AE130" s="693">
        <f ca="1">'TechWaterHeat-RES per dwelling'!AE$51/('TechWaterHeat-RES'!$AR18*'TechWaterHeat-RES'!AE102)*1000*1.1</f>
        <v>4.3070738016607588E-2</v>
      </c>
      <c r="AF130" s="693">
        <f ca="1">'TechWaterHeat-RES per dwelling'!AF$51/('TechWaterHeat-RES'!$AR18*'TechWaterHeat-RES'!AF102)*1000*1.1</f>
        <v>1.7876528171347602E-2</v>
      </c>
      <c r="AG130" s="693">
        <f ca="1">'TechWaterHeat-RES per dwelling'!AG$51/('TechWaterHeat-RES'!$AR18*'TechWaterHeat-RES'!AG102)*1000*1.1</f>
        <v>2.7015153667527197E-2</v>
      </c>
      <c r="AH130" s="693">
        <f ca="1">'TechWaterHeat-RES per dwelling'!AH$51/('TechWaterHeat-RES'!$AR18*'TechWaterHeat-RES'!AH102)*1000*1.1</f>
        <v>3.5965310722272999E-2</v>
      </c>
      <c r="AI130" s="693">
        <f ca="1">'TechWaterHeat-RES per dwelling'!AI$51/('TechWaterHeat-RES'!$AR18*'TechWaterHeat-RES'!AI102)*1000*1.1</f>
        <v>2.7300428315595763E-2</v>
      </c>
      <c r="AJ130" s="693">
        <f ca="1">'TechWaterHeat-RES per dwelling'!AJ$51/('TechWaterHeat-RES'!$AR18*'TechWaterHeat-RES'!AJ102)*1000*1.1</f>
        <v>2.6774207130027379E-2</v>
      </c>
      <c r="AK130" s="693">
        <f ca="1">'TechWaterHeat-RES per dwelling'!AK$51/('TechWaterHeat-RES'!$AR18*'TechWaterHeat-RES'!AK102)*1000*1.1</f>
        <v>3.1019474055267705E-2</v>
      </c>
      <c r="AL130" s="693">
        <f ca="1">'TechWaterHeat-RES per dwelling'!AL$51/('TechWaterHeat-RES'!$AR18*'TechWaterHeat-RES'!AL102)*1000*1.1</f>
        <v>1.636551674414553E-2</v>
      </c>
      <c r="AM130" s="693">
        <f ca="1">'TechWaterHeat-RES per dwelling'!AM$51/('TechWaterHeat-RES'!$AR18*'TechWaterHeat-RES'!AM102)*1000*1.1</f>
        <v>2.2060365412910961E-2</v>
      </c>
      <c r="AN130" s="693">
        <f ca="1">'TechWaterHeat-RES per dwelling'!AN$51/('TechWaterHeat-RES'!$AR18*'TechWaterHeat-RES'!AN102)*1000*1.1</f>
        <v>1.8211592344932165E-2</v>
      </c>
      <c r="AO130" s="693">
        <f ca="1">'TechWaterHeat-RES per dwelling'!AO$51/('TechWaterHeat-RES'!$AR18*'TechWaterHeat-RES'!AO102)*1000*1.1</f>
        <v>2.0136558775487055E-2</v>
      </c>
      <c r="AP130" s="693">
        <f ca="1">'TechWaterHeat-RES per dwelling'!AP$51/('TechWaterHeat-RES'!$AR18*'TechWaterHeat-RES'!AP102)*1000*1.1</f>
        <v>1.2452549576443568E-2</v>
      </c>
    </row>
    <row r="131" spans="1:42">
      <c r="A131" t="str">
        <f t="shared" si="24"/>
        <v>Solar</v>
      </c>
      <c r="C131" t="str">
        <f t="shared" si="25"/>
        <v>R_ES-WH-DH_SOL</v>
      </c>
      <c r="E131" t="str">
        <f t="shared" si="26"/>
        <v>R_ES-DH-WatHeat</v>
      </c>
      <c r="F131" s="693">
        <f ca="1">'TechWaterHeat-RES per dwelling'!F$51/('TechWaterHeat-RES'!$AR19*'TechWaterHeat-RES'!F103)*1000*1.1</f>
        <v>2.6163789907819583E-2</v>
      </c>
      <c r="G131" s="693">
        <f ca="1">'TechWaterHeat-RES per dwelling'!G$51/('TechWaterHeat-RES'!$AR19*'TechWaterHeat-RES'!G103)*1000*1.1</f>
        <v>2.2154431458604792E-2</v>
      </c>
      <c r="H131" s="693">
        <f ca="1">'TechWaterHeat-RES per dwelling'!H$51/('TechWaterHeat-RES'!$AR19*'TechWaterHeat-RES'!H103)*1000*1.1</f>
        <v>1.7639247628040599E-2</v>
      </c>
      <c r="I131" s="693">
        <f ca="1">'TechWaterHeat-RES per dwelling'!I$51/('TechWaterHeat-RES'!$AR19*'TechWaterHeat-RES'!I103)*1000*1.1</f>
        <v>1.9789784314238661E-2</v>
      </c>
      <c r="J131" s="693">
        <f ca="1">'TechWaterHeat-RES per dwelling'!J$51/('TechWaterHeat-RES'!$AR19*'TechWaterHeat-RES'!J103)*1000*1.1</f>
        <v>2.2016615011670012E-2</v>
      </c>
      <c r="K131" s="693">
        <f ca="1">'TechWaterHeat-RES per dwelling'!K$51/('TechWaterHeat-RES'!$AR19*'TechWaterHeat-RES'!K103)*1000*1.1</f>
        <v>1.6570421792852733E-2</v>
      </c>
      <c r="L131" s="693">
        <f ca="1">'TechWaterHeat-RES per dwelling'!L$51/('TechWaterHeat-RES'!$AR19*'TechWaterHeat-RES'!L103)*1000*1.1</f>
        <v>2.1416335886684613E-2</v>
      </c>
      <c r="M131" s="693">
        <f ca="1">'TechWaterHeat-RES per dwelling'!M$51/('TechWaterHeat-RES'!$AR19*'TechWaterHeat-RES'!M103)*1000*1.1</f>
        <v>2.2609526683434578E-2</v>
      </c>
      <c r="N131" s="693">
        <f ca="1">'TechWaterHeat-RES per dwelling'!N$51/('TechWaterHeat-RES'!$AR19*'TechWaterHeat-RES'!N103)*1000*1.1</f>
        <v>2.078350491461527E-2</v>
      </c>
      <c r="O131" s="693">
        <f ca="1">'TechWaterHeat-RES per dwelling'!O$51/('TechWaterHeat-RES'!$AR19*'TechWaterHeat-RES'!O103)*1000*1.1</f>
        <v>2.7929540173183436E-2</v>
      </c>
      <c r="P131" s="693">
        <f ca="1">'TechWaterHeat-RES per dwelling'!P$51/('TechWaterHeat-RES'!$AR19*'TechWaterHeat-RES'!P103)*1000*1.1</f>
        <v>2.6416300203299103E-2</v>
      </c>
      <c r="Q131" s="693">
        <f ca="1">'TechWaterHeat-RES per dwelling'!Q$51/('TechWaterHeat-RES'!$AR19*'TechWaterHeat-RES'!Q103)*1000*1.1</f>
        <v>2.3146812119180141E-2</v>
      </c>
      <c r="R131" s="693">
        <f ca="1">'TechWaterHeat-RES per dwelling'!R$51/('TechWaterHeat-RES'!$AR19*'TechWaterHeat-RES'!R103)*1000*1.1</f>
        <v>2.4236124350948494E-2</v>
      </c>
      <c r="S131" s="693">
        <f ca="1">'TechWaterHeat-RES per dwelling'!S$51/('TechWaterHeat-RES'!$AR19*'TechWaterHeat-RES'!S103)*1000*1.1</f>
        <v>1.4271100719649054E-2</v>
      </c>
      <c r="T131" s="693">
        <f ca="1">'TechWaterHeat-RES per dwelling'!T$51/('TechWaterHeat-RES'!$AR19*'TechWaterHeat-RES'!T103)*1000*1.1</f>
        <v>1.2408248814067558E-2</v>
      </c>
      <c r="U131" s="693">
        <f ca="1">'TechWaterHeat-RES per dwelling'!U$51/('TechWaterHeat-RES'!$AR19*'TechWaterHeat-RES'!U103)*1000*1.1</f>
        <v>2.5003153392911179E-2</v>
      </c>
      <c r="V131" s="693">
        <f ca="1">'TechWaterHeat-RES per dwelling'!V$51/('TechWaterHeat-RES'!$AR19*'TechWaterHeat-RES'!V103)*1000*1.1</f>
        <v>2.4491868751525283E-2</v>
      </c>
      <c r="W131" s="693">
        <f ca="1">'TechWaterHeat-RES per dwelling'!W$51/('TechWaterHeat-RES'!$AR19*'TechWaterHeat-RES'!W103)*1000*1.1</f>
        <v>1.9633719658858087E-2</v>
      </c>
      <c r="X131" s="693">
        <f ca="1">'TechWaterHeat-RES per dwelling'!X$51/('TechWaterHeat-RES'!$AR19*'TechWaterHeat-RES'!X103)*1000*1.1</f>
        <v>1.7074147964365384E-2</v>
      </c>
      <c r="Y131" s="693">
        <f ca="1">'TechWaterHeat-RES per dwelling'!Y$51/('TechWaterHeat-RES'!$AR19*'TechWaterHeat-RES'!Y103)*1000*1.1</f>
        <v>1.7815470849274994E-2</v>
      </c>
      <c r="Z131" s="693">
        <f ca="1">'TechWaterHeat-RES per dwelling'!Z$51/('TechWaterHeat-RES'!$AR19*'TechWaterHeat-RES'!Z103)*1000*1.1</f>
        <v>2.3953567019118396E-2</v>
      </c>
      <c r="AA131" s="693">
        <f ca="1">'TechWaterHeat-RES per dwelling'!AA$51/('TechWaterHeat-RES'!$AR19*'TechWaterHeat-RES'!AA103)*1000*1.1</f>
        <v>1.0716070814948589E-2</v>
      </c>
      <c r="AB131" s="693">
        <f ca="1">'TechWaterHeat-RES per dwelling'!AB$51/('TechWaterHeat-RES'!$AR19*'TechWaterHeat-RES'!AB103)*1000*1.1</f>
        <v>2.1496707725004314E-2</v>
      </c>
      <c r="AC131" s="693">
        <f ca="1">'TechWaterHeat-RES per dwelling'!AC$51/('TechWaterHeat-RES'!$AR19*'TechWaterHeat-RES'!AC103)*1000*1.1</f>
        <v>3.5834053241728475E-2</v>
      </c>
      <c r="AD131" s="693">
        <f ca="1">'TechWaterHeat-RES per dwelling'!AD$51/('TechWaterHeat-RES'!$AR19*'TechWaterHeat-RES'!AD103)*1000*1.1</f>
        <v>2.13420821544534E-2</v>
      </c>
      <c r="AE131" s="693">
        <f ca="1">'TechWaterHeat-RES per dwelling'!AE$51/('TechWaterHeat-RES'!$AR19*'TechWaterHeat-RES'!AE103)*1000*1.1</f>
        <v>3.4456590413286081E-2</v>
      </c>
      <c r="AF131" s="693">
        <f ca="1">'TechWaterHeat-RES per dwelling'!AF$51/('TechWaterHeat-RES'!$AR19*'TechWaterHeat-RES'!AF103)*1000*1.1</f>
        <v>1.4301222537078081E-2</v>
      </c>
      <c r="AG131" s="693">
        <f ca="1">'TechWaterHeat-RES per dwelling'!AG$51/('TechWaterHeat-RES'!$AR19*'TechWaterHeat-RES'!AG103)*1000*1.1</f>
        <v>2.161212293402176E-2</v>
      </c>
      <c r="AH131" s="693">
        <f ca="1">'TechWaterHeat-RES per dwelling'!AH$51/('TechWaterHeat-RES'!$AR19*'TechWaterHeat-RES'!AH103)*1000*1.1</f>
        <v>2.8772248577818401E-2</v>
      </c>
      <c r="AI131" s="693">
        <f ca="1">'TechWaterHeat-RES per dwelling'!AI$51/('TechWaterHeat-RES'!$AR19*'TechWaterHeat-RES'!AI103)*1000*1.1</f>
        <v>2.1840342652476613E-2</v>
      </c>
      <c r="AJ131" s="693">
        <f ca="1">'TechWaterHeat-RES per dwelling'!AJ$51/('TechWaterHeat-RES'!$AR19*'TechWaterHeat-RES'!AJ103)*1000*1.1</f>
        <v>2.1419365704021906E-2</v>
      </c>
      <c r="AK131" s="693">
        <f ca="1">'TechWaterHeat-RES per dwelling'!AK$51/('TechWaterHeat-RES'!$AR19*'TechWaterHeat-RES'!AK103)*1000*1.1</f>
        <v>2.4815579244214167E-2</v>
      </c>
      <c r="AL131" s="693">
        <f ca="1">'TechWaterHeat-RES per dwelling'!AL$51/('TechWaterHeat-RES'!$AR19*'TechWaterHeat-RES'!AL103)*1000*1.1</f>
        <v>1.3092413395316426E-2</v>
      </c>
      <c r="AM131" s="693">
        <f ca="1">'TechWaterHeat-RES per dwelling'!AM$51/('TechWaterHeat-RES'!$AR19*'TechWaterHeat-RES'!AM103)*1000*1.1</f>
        <v>1.7648292330328771E-2</v>
      </c>
      <c r="AN131" s="693">
        <f ca="1">'TechWaterHeat-RES per dwelling'!AN$51/('TechWaterHeat-RES'!$AR19*'TechWaterHeat-RES'!AN103)*1000*1.1</f>
        <v>1.456927387594573E-2</v>
      </c>
      <c r="AO131" s="693">
        <f ca="1">'TechWaterHeat-RES per dwelling'!AO$51/('TechWaterHeat-RES'!$AR19*'TechWaterHeat-RES'!AO103)*1000*1.1</f>
        <v>1.6109247020389645E-2</v>
      </c>
      <c r="AP131" s="693">
        <f ca="1">'TechWaterHeat-RES per dwelling'!AP$51/('TechWaterHeat-RES'!$AR19*'TechWaterHeat-RES'!AP103)*1000*1.1</f>
        <v>9.9620396611548555E-3</v>
      </c>
    </row>
    <row r="132" spans="1:42">
      <c r="A132" t="str">
        <f t="shared" si="24"/>
        <v>Electricity</v>
      </c>
      <c r="C132" t="str">
        <f t="shared" si="25"/>
        <v>R_ES-WH-SD_ELC</v>
      </c>
      <c r="E132" t="str">
        <f t="shared" si="26"/>
        <v>R_ES-SD-WatHeat</v>
      </c>
      <c r="F132" s="693">
        <f ca="1">'TechWaterHeat-RES per dwelling'!F$51/('TechWaterHeat-RES'!$AR20*'TechWaterHeat-RES'!F104)*1000*1.1</f>
        <v>7.8491369723458743E-2</v>
      </c>
      <c r="G132" s="693">
        <f ca="1">'TechWaterHeat-RES per dwelling'!G$51/('TechWaterHeat-RES'!$AR20*'TechWaterHeat-RES'!G104)*1000*1.1</f>
        <v>6.6463294375814386E-2</v>
      </c>
      <c r="H132" s="693">
        <f ca="1">'TechWaterHeat-RES per dwelling'!H$51/('TechWaterHeat-RES'!$AR20*'TechWaterHeat-RES'!H104)*1000*1.1</f>
        <v>5.29177428841218E-2</v>
      </c>
      <c r="I132" s="693">
        <f ca="1">'TechWaterHeat-RES per dwelling'!I$51/('TechWaterHeat-RES'!$AR20*'TechWaterHeat-RES'!I104)*1000*1.1</f>
        <v>5.9369352942715975E-2</v>
      </c>
      <c r="J132" s="693">
        <f ca="1">'TechWaterHeat-RES per dwelling'!J$51/('TechWaterHeat-RES'!$AR20*'TechWaterHeat-RES'!J104)*1000*1.1</f>
        <v>6.6049845035010046E-2</v>
      </c>
      <c r="K132" s="693">
        <f ca="1">'TechWaterHeat-RES per dwelling'!K$51/('TechWaterHeat-RES'!$AR20*'TechWaterHeat-RES'!K104)*1000*1.1</f>
        <v>4.9711265378558196E-2</v>
      </c>
      <c r="L132" s="693">
        <f ca="1">'TechWaterHeat-RES per dwelling'!L$51/('TechWaterHeat-RES'!$AR20*'TechWaterHeat-RES'!L104)*1000*1.1</f>
        <v>6.4249007660053842E-2</v>
      </c>
      <c r="M132" s="693">
        <f ca="1">'TechWaterHeat-RES per dwelling'!M$51/('TechWaterHeat-RES'!$AR20*'TechWaterHeat-RES'!M104)*1000*1.1</f>
        <v>6.7828580050303733E-2</v>
      </c>
      <c r="N132" s="693">
        <f ca="1">'TechWaterHeat-RES per dwelling'!N$51/('TechWaterHeat-RES'!$AR20*'TechWaterHeat-RES'!N104)*1000*1.1</f>
        <v>6.2350514743845814E-2</v>
      </c>
      <c r="O132" s="693">
        <f ca="1">'TechWaterHeat-RES per dwelling'!O$51/('TechWaterHeat-RES'!$AR20*'TechWaterHeat-RES'!O104)*1000*1.1</f>
        <v>8.3788620519550314E-2</v>
      </c>
      <c r="P132" s="693">
        <f ca="1">'TechWaterHeat-RES per dwelling'!P$51/('TechWaterHeat-RES'!$AR20*'TechWaterHeat-RES'!P104)*1000*1.1</f>
        <v>7.924890060989731E-2</v>
      </c>
      <c r="Q132" s="693">
        <f ca="1">'TechWaterHeat-RES per dwelling'!Q$51/('TechWaterHeat-RES'!$AR20*'TechWaterHeat-RES'!Q104)*1000*1.1</f>
        <v>6.9440436357540422E-2</v>
      </c>
      <c r="R132" s="693">
        <f ca="1">'TechWaterHeat-RES per dwelling'!R$51/('TechWaterHeat-RES'!$AR20*'TechWaterHeat-RES'!R104)*1000*1.1</f>
        <v>7.2708373052845471E-2</v>
      </c>
      <c r="S132" s="693">
        <f ca="1">'TechWaterHeat-RES per dwelling'!S$51/('TechWaterHeat-RES'!$AR20*'TechWaterHeat-RES'!S104)*1000*1.1</f>
        <v>4.2813302158947165E-2</v>
      </c>
      <c r="T132" s="693">
        <f ca="1">'TechWaterHeat-RES per dwelling'!T$51/('TechWaterHeat-RES'!$AR20*'TechWaterHeat-RES'!T104)*1000*1.1</f>
        <v>3.722474644220268E-2</v>
      </c>
      <c r="U132" s="693">
        <f ca="1">'TechWaterHeat-RES per dwelling'!U$51/('TechWaterHeat-RES'!$AR20*'TechWaterHeat-RES'!U104)*1000*1.1</f>
        <v>7.5009460178733528E-2</v>
      </c>
      <c r="V132" s="693">
        <f ca="1">'TechWaterHeat-RES per dwelling'!V$51/('TechWaterHeat-RES'!$AR20*'TechWaterHeat-RES'!V104)*1000*1.1</f>
        <v>7.3475606254575859E-2</v>
      </c>
      <c r="W132" s="693">
        <f ca="1">'TechWaterHeat-RES per dwelling'!W$51/('TechWaterHeat-RES'!$AR20*'TechWaterHeat-RES'!W104)*1000*1.1</f>
        <v>5.8901158976574268E-2</v>
      </c>
      <c r="X132" s="693">
        <f ca="1">'TechWaterHeat-RES per dwelling'!X$51/('TechWaterHeat-RES'!$AR20*'TechWaterHeat-RES'!X104)*1000*1.1</f>
        <v>5.1222443893096152E-2</v>
      </c>
      <c r="Y132" s="693">
        <f ca="1">'TechWaterHeat-RES per dwelling'!Y$51/('TechWaterHeat-RES'!$AR20*'TechWaterHeat-RES'!Y104)*1000*1.1</f>
        <v>5.3446412547824985E-2</v>
      </c>
      <c r="Z132" s="693">
        <f ca="1">'TechWaterHeat-RES per dwelling'!Z$51/('TechWaterHeat-RES'!$AR20*'TechWaterHeat-RES'!Z104)*1000*1.1</f>
        <v>7.1860701057355189E-2</v>
      </c>
      <c r="AA132" s="693">
        <f ca="1">'TechWaterHeat-RES per dwelling'!AA$51/('TechWaterHeat-RES'!$AR20*'TechWaterHeat-RES'!AA104)*1000*1.1</f>
        <v>3.2148212444845767E-2</v>
      </c>
      <c r="AB132" s="693">
        <f ca="1">'TechWaterHeat-RES per dwelling'!AB$51/('TechWaterHeat-RES'!$AR20*'TechWaterHeat-RES'!AB104)*1000*1.1</f>
        <v>6.4490123175012945E-2</v>
      </c>
      <c r="AC132" s="693">
        <f ca="1">'TechWaterHeat-RES per dwelling'!AC$51/('TechWaterHeat-RES'!$AR20*'TechWaterHeat-RES'!AC104)*1000*1.1</f>
        <v>0.10750215972518543</v>
      </c>
      <c r="AD132" s="693">
        <f ca="1">'TechWaterHeat-RES per dwelling'!AD$51/('TechWaterHeat-RES'!$AR20*'TechWaterHeat-RES'!AD104)*1000*1.1</f>
        <v>6.4026246463360192E-2</v>
      </c>
      <c r="AE132" s="693">
        <f ca="1">'TechWaterHeat-RES per dwelling'!AE$51/('TechWaterHeat-RES'!$AR20*'TechWaterHeat-RES'!AE104)*1000*1.1</f>
        <v>0.10336977123985823</v>
      </c>
      <c r="AF132" s="693">
        <f ca="1">'TechWaterHeat-RES per dwelling'!AF$51/('TechWaterHeat-RES'!$AR20*'TechWaterHeat-RES'!AF104)*1000*1.1</f>
        <v>4.2903667611234243E-2</v>
      </c>
      <c r="AG132" s="693">
        <f ca="1">'TechWaterHeat-RES per dwelling'!AG$51/('TechWaterHeat-RES'!$AR20*'TechWaterHeat-RES'!AG104)*1000*1.1</f>
        <v>6.4836368802065267E-2</v>
      </c>
      <c r="AH132" s="693">
        <f ca="1">'TechWaterHeat-RES per dwelling'!AH$51/('TechWaterHeat-RES'!$AR20*'TechWaterHeat-RES'!AH104)*1000*1.1</f>
        <v>8.63167457334552E-2</v>
      </c>
      <c r="AI132" s="693">
        <f ca="1">'TechWaterHeat-RES per dwelling'!AI$51/('TechWaterHeat-RES'!$AR20*'TechWaterHeat-RES'!AI104)*1000*1.1</f>
        <v>6.5521027957429839E-2</v>
      </c>
      <c r="AJ132" s="693">
        <f ca="1">'TechWaterHeat-RES per dwelling'!AJ$51/('TechWaterHeat-RES'!$AR20*'TechWaterHeat-RES'!AJ104)*1000*1.1</f>
        <v>6.4258097112065718E-2</v>
      </c>
      <c r="AK132" s="693">
        <f ca="1">'TechWaterHeat-RES per dwelling'!AK$51/('TechWaterHeat-RES'!$AR20*'TechWaterHeat-RES'!AK104)*1000*1.1</f>
        <v>7.4446737732642501E-2</v>
      </c>
      <c r="AL132" s="693">
        <f ca="1">'TechWaterHeat-RES per dwelling'!AL$51/('TechWaterHeat-RES'!$AR20*'TechWaterHeat-RES'!AL104)*1000*1.1</f>
        <v>3.9277240185949268E-2</v>
      </c>
      <c r="AM132" s="693">
        <f ca="1">'TechWaterHeat-RES per dwelling'!AM$51/('TechWaterHeat-RES'!$AR20*'TechWaterHeat-RES'!AM104)*1000*1.1</f>
        <v>5.2944876990986302E-2</v>
      </c>
      <c r="AN132" s="693">
        <f ca="1">'TechWaterHeat-RES per dwelling'!AN$51/('TechWaterHeat-RES'!$AR20*'TechWaterHeat-RES'!AN104)*1000*1.1</f>
        <v>4.3707821627837193E-2</v>
      </c>
      <c r="AO132" s="693">
        <f ca="1">'TechWaterHeat-RES per dwelling'!AO$51/('TechWaterHeat-RES'!$AR20*'TechWaterHeat-RES'!AO104)*1000*1.1</f>
        <v>4.8327741061168938E-2</v>
      </c>
      <c r="AP132" s="693">
        <f ca="1">'TechWaterHeat-RES per dwelling'!AP$51/('TechWaterHeat-RES'!$AR20*'TechWaterHeat-RES'!AP104)*1000*1.1</f>
        <v>2.9886118983464566E-2</v>
      </c>
    </row>
    <row r="133" spans="1:42">
      <c r="A133" t="str">
        <f t="shared" si="24"/>
        <v>Gases</v>
      </c>
      <c r="C133" t="str">
        <f t="shared" si="25"/>
        <v>R_ES-WH-SD_GAS</v>
      </c>
      <c r="E133" t="str">
        <f t="shared" si="26"/>
        <v>R_ES-SD-WatHeat</v>
      </c>
      <c r="F133" s="693">
        <f ca="1">'TechWaterHeat-RES per dwelling'!F$51/('TechWaterHeat-RES'!$AR21*'TechWaterHeat-RES'!F105)*1000*1.1</f>
        <v>3.2704737384774481E-2</v>
      </c>
      <c r="G133" s="693">
        <f ca="1">'TechWaterHeat-RES per dwelling'!G$51/('TechWaterHeat-RES'!$AR21*'TechWaterHeat-RES'!G105)*1000*1.1</f>
        <v>2.7693039323255991E-2</v>
      </c>
      <c r="H133" s="693">
        <f ca="1">'TechWaterHeat-RES per dwelling'!H$51/('TechWaterHeat-RES'!$AR21*'TechWaterHeat-RES'!H105)*1000*1.1</f>
        <v>2.2049059535050746E-2</v>
      </c>
      <c r="I133" s="693">
        <f ca="1">'TechWaterHeat-RES per dwelling'!I$51/('TechWaterHeat-RES'!$AR21*'TechWaterHeat-RES'!I105)*1000*1.1</f>
        <v>2.4737230392798328E-2</v>
      </c>
      <c r="J133" s="693">
        <f ca="1">'TechWaterHeat-RES per dwelling'!J$51/('TechWaterHeat-RES'!$AR21*'TechWaterHeat-RES'!J105)*1000*1.1</f>
        <v>2.7520768764587516E-2</v>
      </c>
      <c r="K133" s="693">
        <f ca="1">'TechWaterHeat-RES per dwelling'!K$51/('TechWaterHeat-RES'!$AR21*'TechWaterHeat-RES'!K105)*1000*1.1</f>
        <v>2.0713027241065916E-2</v>
      </c>
      <c r="L133" s="693">
        <f ca="1">'TechWaterHeat-RES per dwelling'!L$51/('TechWaterHeat-RES'!$AR21*'TechWaterHeat-RES'!L105)*1000*1.1</f>
        <v>2.6770419858355765E-2</v>
      </c>
      <c r="M133" s="693">
        <f ca="1">'TechWaterHeat-RES per dwelling'!M$51/('TechWaterHeat-RES'!$AR21*'TechWaterHeat-RES'!M105)*1000*1.1</f>
        <v>2.8261908354293219E-2</v>
      </c>
      <c r="N133" s="693">
        <f ca="1">'TechWaterHeat-RES per dwelling'!N$51/('TechWaterHeat-RES'!$AR21*'TechWaterHeat-RES'!N105)*1000*1.1</f>
        <v>2.597938114326909E-2</v>
      </c>
      <c r="O133" s="693">
        <f ca="1">'TechWaterHeat-RES per dwelling'!O$51/('TechWaterHeat-RES'!$AR21*'TechWaterHeat-RES'!O105)*1000*1.1</f>
        <v>3.4911925216479296E-2</v>
      </c>
      <c r="P133" s="693">
        <f ca="1">'TechWaterHeat-RES per dwelling'!P$51/('TechWaterHeat-RES'!$AR21*'TechWaterHeat-RES'!P105)*1000*1.1</f>
        <v>3.3020375254123879E-2</v>
      </c>
      <c r="Q133" s="693">
        <f ca="1">'TechWaterHeat-RES per dwelling'!Q$51/('TechWaterHeat-RES'!$AR21*'TechWaterHeat-RES'!Q105)*1000*1.1</f>
        <v>2.8933515148975176E-2</v>
      </c>
      <c r="R133" s="693">
        <f ca="1">'TechWaterHeat-RES per dwelling'!R$51/('TechWaterHeat-RES'!$AR21*'TechWaterHeat-RES'!R105)*1000*1.1</f>
        <v>3.0295155438685616E-2</v>
      </c>
      <c r="S133" s="693">
        <f ca="1">'TechWaterHeat-RES per dwelling'!S$51/('TechWaterHeat-RES'!$AR21*'TechWaterHeat-RES'!S105)*1000*1.1</f>
        <v>1.7838875899561318E-2</v>
      </c>
      <c r="T133" s="693">
        <f ca="1">'TechWaterHeat-RES per dwelling'!T$51/('TechWaterHeat-RES'!$AR21*'TechWaterHeat-RES'!T105)*1000*1.1</f>
        <v>1.5510311017584447E-2</v>
      </c>
      <c r="U133" s="693">
        <f ca="1">'TechWaterHeat-RES per dwelling'!U$51/('TechWaterHeat-RES'!$AR21*'TechWaterHeat-RES'!U105)*1000*1.1</f>
        <v>3.125394174113897E-2</v>
      </c>
      <c r="V133" s="693">
        <f ca="1">'TechWaterHeat-RES per dwelling'!V$51/('TechWaterHeat-RES'!$AR21*'TechWaterHeat-RES'!V105)*1000*1.1</f>
        <v>3.0614835939406608E-2</v>
      </c>
      <c r="W133" s="693">
        <f ca="1">'TechWaterHeat-RES per dwelling'!W$51/('TechWaterHeat-RES'!$AR21*'TechWaterHeat-RES'!W105)*1000*1.1</f>
        <v>2.4542149573572612E-2</v>
      </c>
      <c r="X133" s="693">
        <f ca="1">'TechWaterHeat-RES per dwelling'!X$51/('TechWaterHeat-RES'!$AR21*'TechWaterHeat-RES'!X105)*1000*1.1</f>
        <v>2.1342684955456728E-2</v>
      </c>
      <c r="Y133" s="693">
        <f ca="1">'TechWaterHeat-RES per dwelling'!Y$51/('TechWaterHeat-RES'!$AR21*'TechWaterHeat-RES'!Y105)*1000*1.1</f>
        <v>2.2269338561593743E-2</v>
      </c>
      <c r="Z133" s="693">
        <f ca="1">'TechWaterHeat-RES per dwelling'!Z$51/('TechWaterHeat-RES'!$AR21*'TechWaterHeat-RES'!Z105)*1000*1.1</f>
        <v>2.9941958773897995E-2</v>
      </c>
      <c r="AA133" s="693">
        <f ca="1">'TechWaterHeat-RES per dwelling'!AA$51/('TechWaterHeat-RES'!$AR21*'TechWaterHeat-RES'!AA105)*1000*1.1</f>
        <v>1.3395088518685734E-2</v>
      </c>
      <c r="AB133" s="693">
        <f ca="1">'TechWaterHeat-RES per dwelling'!AB$51/('TechWaterHeat-RES'!$AR21*'TechWaterHeat-RES'!AB105)*1000*1.1</f>
        <v>2.6870884656255395E-2</v>
      </c>
      <c r="AC133" s="693">
        <f ca="1">'TechWaterHeat-RES per dwelling'!AC$51/('TechWaterHeat-RES'!$AR21*'TechWaterHeat-RES'!AC105)*1000*1.1</f>
        <v>4.4792566552160594E-2</v>
      </c>
      <c r="AD133" s="693">
        <f ca="1">'TechWaterHeat-RES per dwelling'!AD$51/('TechWaterHeat-RES'!$AR21*'TechWaterHeat-RES'!AD105)*1000*1.1</f>
        <v>2.6677602693066748E-2</v>
      </c>
      <c r="AE133" s="693">
        <f ca="1">'TechWaterHeat-RES per dwelling'!AE$51/('TechWaterHeat-RES'!$AR21*'TechWaterHeat-RES'!AE105)*1000*1.1</f>
        <v>4.3070738016607588E-2</v>
      </c>
      <c r="AF133" s="693">
        <f ca="1">'TechWaterHeat-RES per dwelling'!AF$51/('TechWaterHeat-RES'!$AR21*'TechWaterHeat-RES'!AF105)*1000*1.1</f>
        <v>1.7876528171347602E-2</v>
      </c>
      <c r="AG133" s="693">
        <f ca="1">'TechWaterHeat-RES per dwelling'!AG$51/('TechWaterHeat-RES'!$AR21*'TechWaterHeat-RES'!AG105)*1000*1.1</f>
        <v>2.7015153667527197E-2</v>
      </c>
      <c r="AH133" s="693">
        <f ca="1">'TechWaterHeat-RES per dwelling'!AH$51/('TechWaterHeat-RES'!$AR21*'TechWaterHeat-RES'!AH105)*1000*1.1</f>
        <v>3.5965310722272999E-2</v>
      </c>
      <c r="AI133" s="693">
        <f ca="1">'TechWaterHeat-RES per dwelling'!AI$51/('TechWaterHeat-RES'!$AR21*'TechWaterHeat-RES'!AI105)*1000*1.1</f>
        <v>2.7300428315595763E-2</v>
      </c>
      <c r="AJ133" s="693">
        <f ca="1">'TechWaterHeat-RES per dwelling'!AJ$51/('TechWaterHeat-RES'!$AR21*'TechWaterHeat-RES'!AJ105)*1000*1.1</f>
        <v>2.6774207130027379E-2</v>
      </c>
      <c r="AK133" s="693">
        <f ca="1">'TechWaterHeat-RES per dwelling'!AK$51/('TechWaterHeat-RES'!$AR21*'TechWaterHeat-RES'!AK105)*1000*1.1</f>
        <v>3.1019474055267705E-2</v>
      </c>
      <c r="AL133" s="693">
        <f ca="1">'TechWaterHeat-RES per dwelling'!AL$51/('TechWaterHeat-RES'!$AR21*'TechWaterHeat-RES'!AL105)*1000*1.1</f>
        <v>1.636551674414553E-2</v>
      </c>
      <c r="AM133" s="693">
        <f ca="1">'TechWaterHeat-RES per dwelling'!AM$51/('TechWaterHeat-RES'!$AR21*'TechWaterHeat-RES'!AM105)*1000*1.1</f>
        <v>2.2060365412910961E-2</v>
      </c>
      <c r="AN133" s="693">
        <f ca="1">'TechWaterHeat-RES per dwelling'!AN$51/('TechWaterHeat-RES'!$AR21*'TechWaterHeat-RES'!AN105)*1000*1.1</f>
        <v>1.8211592344932165E-2</v>
      </c>
      <c r="AO133" s="693">
        <f ca="1">'TechWaterHeat-RES per dwelling'!AO$51/('TechWaterHeat-RES'!$AR21*'TechWaterHeat-RES'!AO105)*1000*1.1</f>
        <v>2.0136558775487055E-2</v>
      </c>
      <c r="AP133" s="693">
        <f ca="1">'TechWaterHeat-RES per dwelling'!AP$51/('TechWaterHeat-RES'!$AR21*'TechWaterHeat-RES'!AP105)*1000*1.1</f>
        <v>1.2452549576443568E-2</v>
      </c>
    </row>
    <row r="134" spans="1:42">
      <c r="A134" t="str">
        <f t="shared" si="24"/>
        <v>Derived heat</v>
      </c>
      <c r="C134" t="str">
        <f t="shared" si="25"/>
        <v>R_ES-WH-SD_HET</v>
      </c>
      <c r="E134" t="str">
        <f t="shared" si="26"/>
        <v>R_ES-SD-WatHeat</v>
      </c>
      <c r="F134" s="693">
        <f ca="1">'TechWaterHeat-RES per dwelling'!F$51/('TechWaterHeat-RES'!$AR22*'TechWaterHeat-RES'!F106)*1000*1.1</f>
        <v>2.6163789907819583E-2</v>
      </c>
      <c r="G134" s="693">
        <f ca="1">'TechWaterHeat-RES per dwelling'!G$51/('TechWaterHeat-RES'!$AR22*'TechWaterHeat-RES'!G106)*1000*1.1</f>
        <v>2.2154431458604792E-2</v>
      </c>
      <c r="H134" s="693">
        <f ca="1">'TechWaterHeat-RES per dwelling'!H$51/('TechWaterHeat-RES'!$AR22*'TechWaterHeat-RES'!H106)*1000*1.1</f>
        <v>1.7639247628040599E-2</v>
      </c>
      <c r="I134" s="693">
        <f ca="1">'TechWaterHeat-RES per dwelling'!I$51/('TechWaterHeat-RES'!$AR22*'TechWaterHeat-RES'!I106)*1000*1.1</f>
        <v>1.9789784314238661E-2</v>
      </c>
      <c r="J134" s="693">
        <f ca="1">'TechWaterHeat-RES per dwelling'!J$51/('TechWaterHeat-RES'!$AR22*'TechWaterHeat-RES'!J106)*1000*1.1</f>
        <v>2.2016615011670012E-2</v>
      </c>
      <c r="K134" s="693">
        <f ca="1">'TechWaterHeat-RES per dwelling'!K$51/('TechWaterHeat-RES'!$AR22*'TechWaterHeat-RES'!K106)*1000*1.1</f>
        <v>1.6570421792852733E-2</v>
      </c>
      <c r="L134" s="693">
        <f ca="1">'TechWaterHeat-RES per dwelling'!L$51/('TechWaterHeat-RES'!$AR22*'TechWaterHeat-RES'!L106)*1000*1.1</f>
        <v>2.1416335886684613E-2</v>
      </c>
      <c r="M134" s="693">
        <f ca="1">'TechWaterHeat-RES per dwelling'!M$51/('TechWaterHeat-RES'!$AR22*'TechWaterHeat-RES'!M106)*1000*1.1</f>
        <v>2.2609526683434578E-2</v>
      </c>
      <c r="N134" s="693">
        <f ca="1">'TechWaterHeat-RES per dwelling'!N$51/('TechWaterHeat-RES'!$AR22*'TechWaterHeat-RES'!N106)*1000*1.1</f>
        <v>2.078350491461527E-2</v>
      </c>
      <c r="O134" s="693">
        <f ca="1">'TechWaterHeat-RES per dwelling'!O$51/('TechWaterHeat-RES'!$AR22*'TechWaterHeat-RES'!O106)*1000*1.1</f>
        <v>2.7929540173183436E-2</v>
      </c>
      <c r="P134" s="693">
        <f ca="1">'TechWaterHeat-RES per dwelling'!P$51/('TechWaterHeat-RES'!$AR22*'TechWaterHeat-RES'!P106)*1000*1.1</f>
        <v>2.6416300203299103E-2</v>
      </c>
      <c r="Q134" s="693">
        <f ca="1">'TechWaterHeat-RES per dwelling'!Q$51/('TechWaterHeat-RES'!$AR22*'TechWaterHeat-RES'!Q106)*1000*1.1</f>
        <v>2.3146812119180141E-2</v>
      </c>
      <c r="R134" s="693">
        <f ca="1">'TechWaterHeat-RES per dwelling'!R$51/('TechWaterHeat-RES'!$AR22*'TechWaterHeat-RES'!R106)*1000*1.1</f>
        <v>2.4236124350948494E-2</v>
      </c>
      <c r="S134" s="693">
        <f ca="1">'TechWaterHeat-RES per dwelling'!S$51/('TechWaterHeat-RES'!$AR22*'TechWaterHeat-RES'!S106)*1000*1.1</f>
        <v>1.4271100719649054E-2</v>
      </c>
      <c r="T134" s="693">
        <f ca="1">'TechWaterHeat-RES per dwelling'!T$51/('TechWaterHeat-RES'!$AR22*'TechWaterHeat-RES'!T106)*1000*1.1</f>
        <v>1.2408248814067558E-2</v>
      </c>
      <c r="U134" s="693">
        <f ca="1">'TechWaterHeat-RES per dwelling'!U$51/('TechWaterHeat-RES'!$AR22*'TechWaterHeat-RES'!U106)*1000*1.1</f>
        <v>2.5003153392911179E-2</v>
      </c>
      <c r="V134" s="693">
        <f ca="1">'TechWaterHeat-RES per dwelling'!V$51/('TechWaterHeat-RES'!$AR22*'TechWaterHeat-RES'!V106)*1000*1.1</f>
        <v>2.4491868751525283E-2</v>
      </c>
      <c r="W134" s="693">
        <f ca="1">'TechWaterHeat-RES per dwelling'!W$51/('TechWaterHeat-RES'!$AR22*'TechWaterHeat-RES'!W106)*1000*1.1</f>
        <v>1.9633719658858087E-2</v>
      </c>
      <c r="X134" s="693">
        <f ca="1">'TechWaterHeat-RES per dwelling'!X$51/('TechWaterHeat-RES'!$AR22*'TechWaterHeat-RES'!X106)*1000*1.1</f>
        <v>1.7074147964365384E-2</v>
      </c>
      <c r="Y134" s="693">
        <f ca="1">'TechWaterHeat-RES per dwelling'!Y$51/('TechWaterHeat-RES'!$AR22*'TechWaterHeat-RES'!Y106)*1000*1.1</f>
        <v>1.7815470849274994E-2</v>
      </c>
      <c r="Z134" s="693">
        <f ca="1">'TechWaterHeat-RES per dwelling'!Z$51/('TechWaterHeat-RES'!$AR22*'TechWaterHeat-RES'!Z106)*1000*1.1</f>
        <v>2.3953567019118396E-2</v>
      </c>
      <c r="AA134" s="693">
        <f ca="1">'TechWaterHeat-RES per dwelling'!AA$51/('TechWaterHeat-RES'!$AR22*'TechWaterHeat-RES'!AA106)*1000*1.1</f>
        <v>1.0716070814948589E-2</v>
      </c>
      <c r="AB134" s="693">
        <f ca="1">'TechWaterHeat-RES per dwelling'!AB$51/('TechWaterHeat-RES'!$AR22*'TechWaterHeat-RES'!AB106)*1000*1.1</f>
        <v>2.1496707725004314E-2</v>
      </c>
      <c r="AC134" s="693">
        <f ca="1">'TechWaterHeat-RES per dwelling'!AC$51/('TechWaterHeat-RES'!$AR22*'TechWaterHeat-RES'!AC106)*1000*1.1</f>
        <v>3.5834053241728475E-2</v>
      </c>
      <c r="AD134" s="693">
        <f ca="1">'TechWaterHeat-RES per dwelling'!AD$51/('TechWaterHeat-RES'!$AR22*'TechWaterHeat-RES'!AD106)*1000*1.1</f>
        <v>2.13420821544534E-2</v>
      </c>
      <c r="AE134" s="693">
        <f ca="1">'TechWaterHeat-RES per dwelling'!AE$51/('TechWaterHeat-RES'!$AR22*'TechWaterHeat-RES'!AE106)*1000*1.1</f>
        <v>3.4456590413286081E-2</v>
      </c>
      <c r="AF134" s="693">
        <f ca="1">'TechWaterHeat-RES per dwelling'!AF$51/('TechWaterHeat-RES'!$AR22*'TechWaterHeat-RES'!AF106)*1000*1.1</f>
        <v>1.4301222537078081E-2</v>
      </c>
      <c r="AG134" s="693">
        <f ca="1">'TechWaterHeat-RES per dwelling'!AG$51/('TechWaterHeat-RES'!$AR22*'TechWaterHeat-RES'!AG106)*1000*1.1</f>
        <v>2.161212293402176E-2</v>
      </c>
      <c r="AH134" s="693">
        <f ca="1">'TechWaterHeat-RES per dwelling'!AH$51/('TechWaterHeat-RES'!$AR22*'TechWaterHeat-RES'!AH106)*1000*1.1</f>
        <v>2.8772248577818401E-2</v>
      </c>
      <c r="AI134" s="693">
        <f ca="1">'TechWaterHeat-RES per dwelling'!AI$51/('TechWaterHeat-RES'!$AR22*'TechWaterHeat-RES'!AI106)*1000*1.1</f>
        <v>2.1840342652476613E-2</v>
      </c>
      <c r="AJ134" s="693">
        <f ca="1">'TechWaterHeat-RES per dwelling'!AJ$51/('TechWaterHeat-RES'!$AR22*'TechWaterHeat-RES'!AJ106)*1000*1.1</f>
        <v>2.1419365704021906E-2</v>
      </c>
      <c r="AK134" s="693">
        <f ca="1">'TechWaterHeat-RES per dwelling'!AK$51/('TechWaterHeat-RES'!$AR22*'TechWaterHeat-RES'!AK106)*1000*1.1</f>
        <v>2.4815579244214167E-2</v>
      </c>
      <c r="AL134" s="693">
        <f ca="1">'TechWaterHeat-RES per dwelling'!AL$51/('TechWaterHeat-RES'!$AR22*'TechWaterHeat-RES'!AL106)*1000*1.1</f>
        <v>1.3092413395316426E-2</v>
      </c>
      <c r="AM134" s="693">
        <f ca="1">'TechWaterHeat-RES per dwelling'!AM$51/('TechWaterHeat-RES'!$AR22*'TechWaterHeat-RES'!AM106)*1000*1.1</f>
        <v>1.7648292330328771E-2</v>
      </c>
      <c r="AN134" s="693">
        <f ca="1">'TechWaterHeat-RES per dwelling'!AN$51/('TechWaterHeat-RES'!$AR22*'TechWaterHeat-RES'!AN106)*1000*1.1</f>
        <v>1.456927387594573E-2</v>
      </c>
      <c r="AO134" s="693">
        <f ca="1">'TechWaterHeat-RES per dwelling'!AO$51/('TechWaterHeat-RES'!$AR22*'TechWaterHeat-RES'!AO106)*1000*1.1</f>
        <v>1.6109247020389645E-2</v>
      </c>
      <c r="AP134" s="693">
        <f ca="1">'TechWaterHeat-RES per dwelling'!AP$51/('TechWaterHeat-RES'!$AR22*'TechWaterHeat-RES'!AP106)*1000*1.1</f>
        <v>9.9620396611548555E-3</v>
      </c>
    </row>
    <row r="135" spans="1:42">
      <c r="A135" t="str">
        <f t="shared" si="24"/>
        <v>GDO and other liquids (incl. liq. bio.)</v>
      </c>
      <c r="C135" t="str">
        <f t="shared" si="25"/>
        <v>R_ES-WH-SD_OIL</v>
      </c>
      <c r="E135" t="str">
        <f t="shared" si="26"/>
        <v>R_ES-SD-WatHeat</v>
      </c>
      <c r="F135" s="693">
        <f ca="1">'TechWaterHeat-RES per dwelling'!F$51/('TechWaterHeat-RES'!$AR23*'TechWaterHeat-RES'!F107)*1000*1.1</f>
        <v>2.6163789907819583E-2</v>
      </c>
      <c r="G135" s="693">
        <f ca="1">'TechWaterHeat-RES per dwelling'!G$51/('TechWaterHeat-RES'!$AR23*'TechWaterHeat-RES'!G107)*1000*1.1</f>
        <v>2.2154431458604792E-2</v>
      </c>
      <c r="H135" s="693">
        <f ca="1">'TechWaterHeat-RES per dwelling'!H$51/('TechWaterHeat-RES'!$AR23*'TechWaterHeat-RES'!H107)*1000*1.1</f>
        <v>1.7639247628040599E-2</v>
      </c>
      <c r="I135" s="693">
        <f ca="1">'TechWaterHeat-RES per dwelling'!I$51/('TechWaterHeat-RES'!$AR23*'TechWaterHeat-RES'!I107)*1000*1.1</f>
        <v>1.9789784314238661E-2</v>
      </c>
      <c r="J135" s="693">
        <f ca="1">'TechWaterHeat-RES per dwelling'!J$51/('TechWaterHeat-RES'!$AR23*'TechWaterHeat-RES'!J107)*1000*1.1</f>
        <v>2.2016615011670012E-2</v>
      </c>
      <c r="K135" s="693">
        <f ca="1">'TechWaterHeat-RES per dwelling'!K$51/('TechWaterHeat-RES'!$AR23*'TechWaterHeat-RES'!K107)*1000*1.1</f>
        <v>1.6570421792852733E-2</v>
      </c>
      <c r="L135" s="693">
        <f ca="1">'TechWaterHeat-RES per dwelling'!L$51/('TechWaterHeat-RES'!$AR23*'TechWaterHeat-RES'!L107)*1000*1.1</f>
        <v>2.1416335886684613E-2</v>
      </c>
      <c r="M135" s="693">
        <f ca="1">'TechWaterHeat-RES per dwelling'!M$51/('TechWaterHeat-RES'!$AR23*'TechWaterHeat-RES'!M107)*1000*1.1</f>
        <v>2.2609526683434578E-2</v>
      </c>
      <c r="N135" s="693">
        <f ca="1">'TechWaterHeat-RES per dwelling'!N$51/('TechWaterHeat-RES'!$AR23*'TechWaterHeat-RES'!N107)*1000*1.1</f>
        <v>2.078350491461527E-2</v>
      </c>
      <c r="O135" s="693">
        <f ca="1">'TechWaterHeat-RES per dwelling'!O$51/('TechWaterHeat-RES'!$AR23*'TechWaterHeat-RES'!O107)*1000*1.1</f>
        <v>2.7929540173183436E-2</v>
      </c>
      <c r="P135" s="693">
        <f ca="1">'TechWaterHeat-RES per dwelling'!P$51/('TechWaterHeat-RES'!$AR23*'TechWaterHeat-RES'!P107)*1000*1.1</f>
        <v>2.6416300203299103E-2</v>
      </c>
      <c r="Q135" s="693">
        <f ca="1">'TechWaterHeat-RES per dwelling'!Q$51/('TechWaterHeat-RES'!$AR23*'TechWaterHeat-RES'!Q107)*1000*1.1</f>
        <v>2.3146812119180141E-2</v>
      </c>
      <c r="R135" s="693">
        <f ca="1">'TechWaterHeat-RES per dwelling'!R$51/('TechWaterHeat-RES'!$AR23*'TechWaterHeat-RES'!R107)*1000*1.1</f>
        <v>2.4236124350948494E-2</v>
      </c>
      <c r="S135" s="693">
        <f ca="1">'TechWaterHeat-RES per dwelling'!S$51/('TechWaterHeat-RES'!$AR23*'TechWaterHeat-RES'!S107)*1000*1.1</f>
        <v>1.4271100719649054E-2</v>
      </c>
      <c r="T135" s="693">
        <f ca="1">'TechWaterHeat-RES per dwelling'!T$51/('TechWaterHeat-RES'!$AR23*'TechWaterHeat-RES'!T107)*1000*1.1</f>
        <v>1.2408248814067558E-2</v>
      </c>
      <c r="U135" s="693">
        <f ca="1">'TechWaterHeat-RES per dwelling'!U$51/('TechWaterHeat-RES'!$AR23*'TechWaterHeat-RES'!U107)*1000*1.1</f>
        <v>2.5003153392911179E-2</v>
      </c>
      <c r="V135" s="693">
        <f ca="1">'TechWaterHeat-RES per dwelling'!V$51/('TechWaterHeat-RES'!$AR23*'TechWaterHeat-RES'!V107)*1000*1.1</f>
        <v>2.4491868751525283E-2</v>
      </c>
      <c r="W135" s="693">
        <f ca="1">'TechWaterHeat-RES per dwelling'!W$51/('TechWaterHeat-RES'!$AR23*'TechWaterHeat-RES'!W107)*1000*1.1</f>
        <v>1.9633719658858087E-2</v>
      </c>
      <c r="X135" s="693">
        <f ca="1">'TechWaterHeat-RES per dwelling'!X$51/('TechWaterHeat-RES'!$AR23*'TechWaterHeat-RES'!X107)*1000*1.1</f>
        <v>1.7074147964365384E-2</v>
      </c>
      <c r="Y135" s="693">
        <f ca="1">'TechWaterHeat-RES per dwelling'!Y$51/('TechWaterHeat-RES'!$AR23*'TechWaterHeat-RES'!Y107)*1000*1.1</f>
        <v>1.7815470849274994E-2</v>
      </c>
      <c r="Z135" s="693">
        <f ca="1">'TechWaterHeat-RES per dwelling'!Z$51/('TechWaterHeat-RES'!$AR23*'TechWaterHeat-RES'!Z107)*1000*1.1</f>
        <v>2.3953567019118396E-2</v>
      </c>
      <c r="AA135" s="693">
        <f ca="1">'TechWaterHeat-RES per dwelling'!AA$51/('TechWaterHeat-RES'!$AR23*'TechWaterHeat-RES'!AA107)*1000*1.1</f>
        <v>1.0716070814948589E-2</v>
      </c>
      <c r="AB135" s="693">
        <f ca="1">'TechWaterHeat-RES per dwelling'!AB$51/('TechWaterHeat-RES'!$AR23*'TechWaterHeat-RES'!AB107)*1000*1.1</f>
        <v>2.1496707725004314E-2</v>
      </c>
      <c r="AC135" s="693">
        <f ca="1">'TechWaterHeat-RES per dwelling'!AC$51/('TechWaterHeat-RES'!$AR23*'TechWaterHeat-RES'!AC107)*1000*1.1</f>
        <v>3.5834053241728475E-2</v>
      </c>
      <c r="AD135" s="693">
        <f ca="1">'TechWaterHeat-RES per dwelling'!AD$51/('TechWaterHeat-RES'!$AR23*'TechWaterHeat-RES'!AD107)*1000*1.1</f>
        <v>2.13420821544534E-2</v>
      </c>
      <c r="AE135" s="693">
        <f ca="1">'TechWaterHeat-RES per dwelling'!AE$51/('TechWaterHeat-RES'!$AR23*'TechWaterHeat-RES'!AE107)*1000*1.1</f>
        <v>3.4456590413286081E-2</v>
      </c>
      <c r="AF135" s="693">
        <f ca="1">'TechWaterHeat-RES per dwelling'!AF$51/('TechWaterHeat-RES'!$AR23*'TechWaterHeat-RES'!AF107)*1000*1.1</f>
        <v>1.4301222537078081E-2</v>
      </c>
      <c r="AG135" s="693">
        <f ca="1">'TechWaterHeat-RES per dwelling'!AG$51/('TechWaterHeat-RES'!$AR23*'TechWaterHeat-RES'!AG107)*1000*1.1</f>
        <v>2.161212293402176E-2</v>
      </c>
      <c r="AH135" s="693">
        <f ca="1">'TechWaterHeat-RES per dwelling'!AH$51/('TechWaterHeat-RES'!$AR23*'TechWaterHeat-RES'!AH107)*1000*1.1</f>
        <v>2.8772248577818401E-2</v>
      </c>
      <c r="AI135" s="693">
        <f ca="1">'TechWaterHeat-RES per dwelling'!AI$51/('TechWaterHeat-RES'!$AR23*'TechWaterHeat-RES'!AI107)*1000*1.1</f>
        <v>2.1840342652476613E-2</v>
      </c>
      <c r="AJ135" s="693">
        <f ca="1">'TechWaterHeat-RES per dwelling'!AJ$51/('TechWaterHeat-RES'!$AR23*'TechWaterHeat-RES'!AJ107)*1000*1.1</f>
        <v>2.1419365704021906E-2</v>
      </c>
      <c r="AK135" s="693">
        <f ca="1">'TechWaterHeat-RES per dwelling'!AK$51/('TechWaterHeat-RES'!$AR23*'TechWaterHeat-RES'!AK107)*1000*1.1</f>
        <v>2.4815579244214167E-2</v>
      </c>
      <c r="AL135" s="693">
        <f ca="1">'TechWaterHeat-RES per dwelling'!AL$51/('TechWaterHeat-RES'!$AR23*'TechWaterHeat-RES'!AL107)*1000*1.1</f>
        <v>1.3092413395316426E-2</v>
      </c>
      <c r="AM135" s="693">
        <f ca="1">'TechWaterHeat-RES per dwelling'!AM$51/('TechWaterHeat-RES'!$AR23*'TechWaterHeat-RES'!AM107)*1000*1.1</f>
        <v>1.7648292330328771E-2</v>
      </c>
      <c r="AN135" s="693">
        <f ca="1">'TechWaterHeat-RES per dwelling'!AN$51/('TechWaterHeat-RES'!$AR23*'TechWaterHeat-RES'!AN107)*1000*1.1</f>
        <v>1.456927387594573E-2</v>
      </c>
      <c r="AO135" s="693">
        <f ca="1">'TechWaterHeat-RES per dwelling'!AO$51/('TechWaterHeat-RES'!$AR23*'TechWaterHeat-RES'!AO107)*1000*1.1</f>
        <v>1.6109247020389645E-2</v>
      </c>
      <c r="AP135" s="693">
        <f ca="1">'TechWaterHeat-RES per dwelling'!AP$51/('TechWaterHeat-RES'!$AR23*'TechWaterHeat-RES'!AP107)*1000*1.1</f>
        <v>9.9620396611548555E-3</v>
      </c>
    </row>
    <row r="136" spans="1:42">
      <c r="A136" t="str">
        <f t="shared" si="24"/>
        <v>Biomass and wastes</v>
      </c>
      <c r="C136" t="str">
        <f t="shared" si="25"/>
        <v>R_ES-WH-SD_BIO</v>
      </c>
      <c r="E136" t="str">
        <f t="shared" si="26"/>
        <v>R_ES-SD-WatHeat</v>
      </c>
      <c r="F136" s="693">
        <f ca="1">'TechWaterHeat-RES per dwelling'!F$51/('TechWaterHeat-RES'!$AR24*'TechWaterHeat-RES'!F108)*1000*1.1</f>
        <v>2.6163789907819583E-2</v>
      </c>
      <c r="G136" s="693">
        <f ca="1">'TechWaterHeat-RES per dwelling'!G$51/('TechWaterHeat-RES'!$AR24*'TechWaterHeat-RES'!G108)*1000*1.1</f>
        <v>2.2154431458604792E-2</v>
      </c>
      <c r="H136" s="693">
        <f ca="1">'TechWaterHeat-RES per dwelling'!H$51/('TechWaterHeat-RES'!$AR24*'TechWaterHeat-RES'!H108)*1000*1.1</f>
        <v>1.7639247628040599E-2</v>
      </c>
      <c r="I136" s="693">
        <f ca="1">'TechWaterHeat-RES per dwelling'!I$51/('TechWaterHeat-RES'!$AR24*'TechWaterHeat-RES'!I108)*1000*1.1</f>
        <v>1.9789784314238661E-2</v>
      </c>
      <c r="J136" s="693">
        <f ca="1">'TechWaterHeat-RES per dwelling'!J$51/('TechWaterHeat-RES'!$AR24*'TechWaterHeat-RES'!J108)*1000*1.1</f>
        <v>2.2016615011670012E-2</v>
      </c>
      <c r="K136" s="693">
        <f ca="1">'TechWaterHeat-RES per dwelling'!K$51/('TechWaterHeat-RES'!$AR24*'TechWaterHeat-RES'!K108)*1000*1.1</f>
        <v>1.6570421792852733E-2</v>
      </c>
      <c r="L136" s="693">
        <f ca="1">'TechWaterHeat-RES per dwelling'!L$51/('TechWaterHeat-RES'!$AR24*'TechWaterHeat-RES'!L108)*1000*1.1</f>
        <v>2.1416335886684613E-2</v>
      </c>
      <c r="M136" s="693">
        <f ca="1">'TechWaterHeat-RES per dwelling'!M$51/('TechWaterHeat-RES'!$AR24*'TechWaterHeat-RES'!M108)*1000*1.1</f>
        <v>2.2609526683434578E-2</v>
      </c>
      <c r="N136" s="693">
        <f ca="1">'TechWaterHeat-RES per dwelling'!N$51/('TechWaterHeat-RES'!$AR24*'TechWaterHeat-RES'!N108)*1000*1.1</f>
        <v>2.078350491461527E-2</v>
      </c>
      <c r="O136" s="693">
        <f ca="1">'TechWaterHeat-RES per dwelling'!O$51/('TechWaterHeat-RES'!$AR24*'TechWaterHeat-RES'!O108)*1000*1.1</f>
        <v>2.7929540173183436E-2</v>
      </c>
      <c r="P136" s="693">
        <f ca="1">'TechWaterHeat-RES per dwelling'!P$51/('TechWaterHeat-RES'!$AR24*'TechWaterHeat-RES'!P108)*1000*1.1</f>
        <v>2.6416300203299103E-2</v>
      </c>
      <c r="Q136" s="693">
        <f ca="1">'TechWaterHeat-RES per dwelling'!Q$51/('TechWaterHeat-RES'!$AR24*'TechWaterHeat-RES'!Q108)*1000*1.1</f>
        <v>2.3146812119180141E-2</v>
      </c>
      <c r="R136" s="693">
        <f ca="1">'TechWaterHeat-RES per dwelling'!R$51/('TechWaterHeat-RES'!$AR24*'TechWaterHeat-RES'!R108)*1000*1.1</f>
        <v>2.4236124350948494E-2</v>
      </c>
      <c r="S136" s="693">
        <f ca="1">'TechWaterHeat-RES per dwelling'!S$51/('TechWaterHeat-RES'!$AR24*'TechWaterHeat-RES'!S108)*1000*1.1</f>
        <v>1.4271100719649054E-2</v>
      </c>
      <c r="T136" s="693">
        <f ca="1">'TechWaterHeat-RES per dwelling'!T$51/('TechWaterHeat-RES'!$AR24*'TechWaterHeat-RES'!T108)*1000*1.1</f>
        <v>1.2408248814067558E-2</v>
      </c>
      <c r="U136" s="693">
        <f ca="1">'TechWaterHeat-RES per dwelling'!U$51/('TechWaterHeat-RES'!$AR24*'TechWaterHeat-RES'!U108)*1000*1.1</f>
        <v>2.5003153392911179E-2</v>
      </c>
      <c r="V136" s="693">
        <f ca="1">'TechWaterHeat-RES per dwelling'!V$51/('TechWaterHeat-RES'!$AR24*'TechWaterHeat-RES'!V108)*1000*1.1</f>
        <v>2.4491868751525283E-2</v>
      </c>
      <c r="W136" s="693">
        <f ca="1">'TechWaterHeat-RES per dwelling'!W$51/('TechWaterHeat-RES'!$AR24*'TechWaterHeat-RES'!W108)*1000*1.1</f>
        <v>1.9633719658858087E-2</v>
      </c>
      <c r="X136" s="693">
        <f ca="1">'TechWaterHeat-RES per dwelling'!X$51/('TechWaterHeat-RES'!$AR24*'TechWaterHeat-RES'!X108)*1000*1.1</f>
        <v>1.7074147964365384E-2</v>
      </c>
      <c r="Y136" s="693">
        <f ca="1">'TechWaterHeat-RES per dwelling'!Y$51/('TechWaterHeat-RES'!$AR24*'TechWaterHeat-RES'!Y108)*1000*1.1</f>
        <v>1.7815470849274994E-2</v>
      </c>
      <c r="Z136" s="693">
        <f ca="1">'TechWaterHeat-RES per dwelling'!Z$51/('TechWaterHeat-RES'!$AR24*'TechWaterHeat-RES'!Z108)*1000*1.1</f>
        <v>2.3953567019118396E-2</v>
      </c>
      <c r="AA136" s="693">
        <f ca="1">'TechWaterHeat-RES per dwelling'!AA$51/('TechWaterHeat-RES'!$AR24*'TechWaterHeat-RES'!AA108)*1000*1.1</f>
        <v>1.0716070814948589E-2</v>
      </c>
      <c r="AB136" s="693">
        <f ca="1">'TechWaterHeat-RES per dwelling'!AB$51/('TechWaterHeat-RES'!$AR24*'TechWaterHeat-RES'!AB108)*1000*1.1</f>
        <v>2.1496707725004314E-2</v>
      </c>
      <c r="AC136" s="693">
        <f ca="1">'TechWaterHeat-RES per dwelling'!AC$51/('TechWaterHeat-RES'!$AR24*'TechWaterHeat-RES'!AC108)*1000*1.1</f>
        <v>3.5834053241728475E-2</v>
      </c>
      <c r="AD136" s="693">
        <f ca="1">'TechWaterHeat-RES per dwelling'!AD$51/('TechWaterHeat-RES'!$AR24*'TechWaterHeat-RES'!AD108)*1000*1.1</f>
        <v>2.13420821544534E-2</v>
      </c>
      <c r="AE136" s="693">
        <f ca="1">'TechWaterHeat-RES per dwelling'!AE$51/('TechWaterHeat-RES'!$AR24*'TechWaterHeat-RES'!AE108)*1000*1.1</f>
        <v>3.4456590413286081E-2</v>
      </c>
      <c r="AF136" s="693">
        <f ca="1">'TechWaterHeat-RES per dwelling'!AF$51/('TechWaterHeat-RES'!$AR24*'TechWaterHeat-RES'!AF108)*1000*1.1</f>
        <v>1.4301222537078081E-2</v>
      </c>
      <c r="AG136" s="693">
        <f ca="1">'TechWaterHeat-RES per dwelling'!AG$51/('TechWaterHeat-RES'!$AR24*'TechWaterHeat-RES'!AG108)*1000*1.1</f>
        <v>2.161212293402176E-2</v>
      </c>
      <c r="AH136" s="693">
        <f ca="1">'TechWaterHeat-RES per dwelling'!AH$51/('TechWaterHeat-RES'!$AR24*'TechWaterHeat-RES'!AH108)*1000*1.1</f>
        <v>2.8772248577818401E-2</v>
      </c>
      <c r="AI136" s="693">
        <f ca="1">'TechWaterHeat-RES per dwelling'!AI$51/('TechWaterHeat-RES'!$AR24*'TechWaterHeat-RES'!AI108)*1000*1.1</f>
        <v>2.1840342652476613E-2</v>
      </c>
      <c r="AJ136" s="693">
        <f ca="1">'TechWaterHeat-RES per dwelling'!AJ$51/('TechWaterHeat-RES'!$AR24*'TechWaterHeat-RES'!AJ108)*1000*1.1</f>
        <v>2.1419365704021906E-2</v>
      </c>
      <c r="AK136" s="693">
        <f ca="1">'TechWaterHeat-RES per dwelling'!AK$51/('TechWaterHeat-RES'!$AR24*'TechWaterHeat-RES'!AK108)*1000*1.1</f>
        <v>2.4815579244214167E-2</v>
      </c>
      <c r="AL136" s="693">
        <f ca="1">'TechWaterHeat-RES per dwelling'!AL$51/('TechWaterHeat-RES'!$AR24*'TechWaterHeat-RES'!AL108)*1000*1.1</f>
        <v>1.3092413395316426E-2</v>
      </c>
      <c r="AM136" s="693">
        <f ca="1">'TechWaterHeat-RES per dwelling'!AM$51/('TechWaterHeat-RES'!$AR24*'TechWaterHeat-RES'!AM108)*1000*1.1</f>
        <v>1.7648292330328771E-2</v>
      </c>
      <c r="AN136" s="693">
        <f ca="1">'TechWaterHeat-RES per dwelling'!AN$51/('TechWaterHeat-RES'!$AR24*'TechWaterHeat-RES'!AN108)*1000*1.1</f>
        <v>1.456927387594573E-2</v>
      </c>
      <c r="AO136" s="693">
        <f ca="1">'TechWaterHeat-RES per dwelling'!AO$51/('TechWaterHeat-RES'!$AR24*'TechWaterHeat-RES'!AO108)*1000*1.1</f>
        <v>1.6109247020389645E-2</v>
      </c>
      <c r="AP136" s="693">
        <f ca="1">'TechWaterHeat-RES per dwelling'!AP$51/('TechWaterHeat-RES'!$AR24*'TechWaterHeat-RES'!AP108)*1000*1.1</f>
        <v>9.9620396611548555E-3</v>
      </c>
    </row>
    <row r="137" spans="1:42">
      <c r="A137" t="str">
        <f t="shared" si="24"/>
        <v>Solids</v>
      </c>
      <c r="C137" t="str">
        <f t="shared" si="25"/>
        <v>R_ES-WH-SD_COA</v>
      </c>
      <c r="E137" t="str">
        <f t="shared" si="26"/>
        <v>R_ES-SD-WatHeat</v>
      </c>
      <c r="F137" s="693">
        <f ca="1">'TechWaterHeat-RES per dwelling'!F$51/('TechWaterHeat-RES'!$AR25*'TechWaterHeat-RES'!F109)*1000*1.1</f>
        <v>2.6163789907819583E-2</v>
      </c>
      <c r="G137" s="693">
        <f ca="1">'TechWaterHeat-RES per dwelling'!G$51/('TechWaterHeat-RES'!$AR25*'TechWaterHeat-RES'!G109)*1000*1.1</f>
        <v>2.2154431458604792E-2</v>
      </c>
      <c r="H137" s="693">
        <f ca="1">'TechWaterHeat-RES per dwelling'!H$51/('TechWaterHeat-RES'!$AR25*'TechWaterHeat-RES'!H109)*1000*1.1</f>
        <v>1.7639247628040599E-2</v>
      </c>
      <c r="I137" s="693">
        <f ca="1">'TechWaterHeat-RES per dwelling'!I$51/('TechWaterHeat-RES'!$AR25*'TechWaterHeat-RES'!I109)*1000*1.1</f>
        <v>1.9789784314238661E-2</v>
      </c>
      <c r="J137" s="693">
        <f ca="1">'TechWaterHeat-RES per dwelling'!J$51/('TechWaterHeat-RES'!$AR25*'TechWaterHeat-RES'!J109)*1000*1.1</f>
        <v>2.2016615011670012E-2</v>
      </c>
      <c r="K137" s="693">
        <f ca="1">'TechWaterHeat-RES per dwelling'!K$51/('TechWaterHeat-RES'!$AR25*'TechWaterHeat-RES'!K109)*1000*1.1</f>
        <v>1.6570421792852733E-2</v>
      </c>
      <c r="L137" s="693">
        <f ca="1">'TechWaterHeat-RES per dwelling'!L$51/('TechWaterHeat-RES'!$AR25*'TechWaterHeat-RES'!L109)*1000*1.1</f>
        <v>2.1416335886684613E-2</v>
      </c>
      <c r="M137" s="693">
        <f ca="1">'TechWaterHeat-RES per dwelling'!M$51/('TechWaterHeat-RES'!$AR25*'TechWaterHeat-RES'!M109)*1000*1.1</f>
        <v>2.2609526683434578E-2</v>
      </c>
      <c r="N137" s="693">
        <f ca="1">'TechWaterHeat-RES per dwelling'!N$51/('TechWaterHeat-RES'!$AR25*'TechWaterHeat-RES'!N109)*1000*1.1</f>
        <v>2.078350491461527E-2</v>
      </c>
      <c r="O137" s="693">
        <f ca="1">'TechWaterHeat-RES per dwelling'!O$51/('TechWaterHeat-RES'!$AR25*'TechWaterHeat-RES'!O109)*1000*1.1</f>
        <v>2.7929540173183436E-2</v>
      </c>
      <c r="P137" s="693">
        <f ca="1">'TechWaterHeat-RES per dwelling'!P$51/('TechWaterHeat-RES'!$AR25*'TechWaterHeat-RES'!P109)*1000*1.1</f>
        <v>2.6416300203299103E-2</v>
      </c>
      <c r="Q137" s="693">
        <f ca="1">'TechWaterHeat-RES per dwelling'!Q$51/('TechWaterHeat-RES'!$AR25*'TechWaterHeat-RES'!Q109)*1000*1.1</f>
        <v>2.3146812119180141E-2</v>
      </c>
      <c r="R137" s="693">
        <f ca="1">'TechWaterHeat-RES per dwelling'!R$51/('TechWaterHeat-RES'!$AR25*'TechWaterHeat-RES'!R109)*1000*1.1</f>
        <v>2.4236124350948494E-2</v>
      </c>
      <c r="S137" s="693">
        <f ca="1">'TechWaterHeat-RES per dwelling'!S$51/('TechWaterHeat-RES'!$AR25*'TechWaterHeat-RES'!S109)*1000*1.1</f>
        <v>1.4271100719649054E-2</v>
      </c>
      <c r="T137" s="693">
        <f ca="1">'TechWaterHeat-RES per dwelling'!T$51/('TechWaterHeat-RES'!$AR25*'TechWaterHeat-RES'!T109)*1000*1.1</f>
        <v>1.2408248814067558E-2</v>
      </c>
      <c r="U137" s="693">
        <f ca="1">'TechWaterHeat-RES per dwelling'!U$51/('TechWaterHeat-RES'!$AR25*'TechWaterHeat-RES'!U109)*1000*1.1</f>
        <v>2.5003153392911179E-2</v>
      </c>
      <c r="V137" s="693">
        <f ca="1">'TechWaterHeat-RES per dwelling'!V$51/('TechWaterHeat-RES'!$AR25*'TechWaterHeat-RES'!V109)*1000*1.1</f>
        <v>2.4491868751525283E-2</v>
      </c>
      <c r="W137" s="693">
        <f ca="1">'TechWaterHeat-RES per dwelling'!W$51/('TechWaterHeat-RES'!$AR25*'TechWaterHeat-RES'!W109)*1000*1.1</f>
        <v>1.9633719658858087E-2</v>
      </c>
      <c r="X137" s="693">
        <f ca="1">'TechWaterHeat-RES per dwelling'!X$51/('TechWaterHeat-RES'!$AR25*'TechWaterHeat-RES'!X109)*1000*1.1</f>
        <v>1.7074147964365384E-2</v>
      </c>
      <c r="Y137" s="693">
        <f ca="1">'TechWaterHeat-RES per dwelling'!Y$51/('TechWaterHeat-RES'!$AR25*'TechWaterHeat-RES'!Y109)*1000*1.1</f>
        <v>1.7815470849274994E-2</v>
      </c>
      <c r="Z137" s="693">
        <f ca="1">'TechWaterHeat-RES per dwelling'!Z$51/('TechWaterHeat-RES'!$AR25*'TechWaterHeat-RES'!Z109)*1000*1.1</f>
        <v>2.3953567019118396E-2</v>
      </c>
      <c r="AA137" s="693">
        <f ca="1">'TechWaterHeat-RES per dwelling'!AA$51/('TechWaterHeat-RES'!$AR25*'TechWaterHeat-RES'!AA109)*1000*1.1</f>
        <v>1.0716070814948589E-2</v>
      </c>
      <c r="AB137" s="693">
        <f ca="1">'TechWaterHeat-RES per dwelling'!AB$51/('TechWaterHeat-RES'!$AR25*'TechWaterHeat-RES'!AB109)*1000*1.1</f>
        <v>2.1496707725004314E-2</v>
      </c>
      <c r="AC137" s="693">
        <f ca="1">'TechWaterHeat-RES per dwelling'!AC$51/('TechWaterHeat-RES'!$AR25*'TechWaterHeat-RES'!AC109)*1000*1.1</f>
        <v>3.5834053241728475E-2</v>
      </c>
      <c r="AD137" s="693">
        <f ca="1">'TechWaterHeat-RES per dwelling'!AD$51/('TechWaterHeat-RES'!$AR25*'TechWaterHeat-RES'!AD109)*1000*1.1</f>
        <v>2.13420821544534E-2</v>
      </c>
      <c r="AE137" s="693">
        <f ca="1">'TechWaterHeat-RES per dwelling'!AE$51/('TechWaterHeat-RES'!$AR25*'TechWaterHeat-RES'!AE109)*1000*1.1</f>
        <v>3.4456590413286081E-2</v>
      </c>
      <c r="AF137" s="693">
        <f ca="1">'TechWaterHeat-RES per dwelling'!AF$51/('TechWaterHeat-RES'!$AR25*'TechWaterHeat-RES'!AF109)*1000*1.1</f>
        <v>1.4301222537078081E-2</v>
      </c>
      <c r="AG137" s="693">
        <f ca="1">'TechWaterHeat-RES per dwelling'!AG$51/('TechWaterHeat-RES'!$AR25*'TechWaterHeat-RES'!AG109)*1000*1.1</f>
        <v>2.161212293402176E-2</v>
      </c>
      <c r="AH137" s="693">
        <f ca="1">'TechWaterHeat-RES per dwelling'!AH$51/('TechWaterHeat-RES'!$AR25*'TechWaterHeat-RES'!AH109)*1000*1.1</f>
        <v>2.8772248577818401E-2</v>
      </c>
      <c r="AI137" s="693">
        <f ca="1">'TechWaterHeat-RES per dwelling'!AI$51/('TechWaterHeat-RES'!$AR25*'TechWaterHeat-RES'!AI109)*1000*1.1</f>
        <v>2.1840342652476613E-2</v>
      </c>
      <c r="AJ137" s="693">
        <f ca="1">'TechWaterHeat-RES per dwelling'!AJ$51/('TechWaterHeat-RES'!$AR25*'TechWaterHeat-RES'!AJ109)*1000*1.1</f>
        <v>2.1419365704021906E-2</v>
      </c>
      <c r="AK137" s="693">
        <f ca="1">'TechWaterHeat-RES per dwelling'!AK$51/('TechWaterHeat-RES'!$AR25*'TechWaterHeat-RES'!AK109)*1000*1.1</f>
        <v>2.4815579244214167E-2</v>
      </c>
      <c r="AL137" s="693">
        <f ca="1">'TechWaterHeat-RES per dwelling'!AL$51/('TechWaterHeat-RES'!$AR25*'TechWaterHeat-RES'!AL109)*1000*1.1</f>
        <v>1.3092413395316426E-2</v>
      </c>
      <c r="AM137" s="693">
        <f ca="1">'TechWaterHeat-RES per dwelling'!AM$51/('TechWaterHeat-RES'!$AR25*'TechWaterHeat-RES'!AM109)*1000*1.1</f>
        <v>1.7648292330328771E-2</v>
      </c>
      <c r="AN137" s="693">
        <f ca="1">'TechWaterHeat-RES per dwelling'!AN$51/('TechWaterHeat-RES'!$AR25*'TechWaterHeat-RES'!AN109)*1000*1.1</f>
        <v>1.456927387594573E-2</v>
      </c>
      <c r="AO137" s="693">
        <f ca="1">'TechWaterHeat-RES per dwelling'!AO$51/('TechWaterHeat-RES'!$AR25*'TechWaterHeat-RES'!AO109)*1000*1.1</f>
        <v>1.6109247020389645E-2</v>
      </c>
      <c r="AP137" s="693">
        <f ca="1">'TechWaterHeat-RES per dwelling'!AP$51/('TechWaterHeat-RES'!$AR25*'TechWaterHeat-RES'!AP109)*1000*1.1</f>
        <v>9.9620396611548555E-3</v>
      </c>
    </row>
    <row r="138" spans="1:42">
      <c r="A138" t="str">
        <f t="shared" si="24"/>
        <v>LPG</v>
      </c>
      <c r="C138" t="str">
        <f t="shared" si="25"/>
        <v>R_ES-WH-SD_LPG</v>
      </c>
      <c r="E138" t="str">
        <f t="shared" si="26"/>
        <v>R_ES-SD-WatHeat</v>
      </c>
      <c r="F138" s="693">
        <f ca="1">'TechWaterHeat-RES per dwelling'!F$51/('TechWaterHeat-RES'!$AR26*'TechWaterHeat-RES'!F110)*1000*1.1</f>
        <v>3.2704737384774481E-2</v>
      </c>
      <c r="G138" s="693">
        <f ca="1">'TechWaterHeat-RES per dwelling'!G$51/('TechWaterHeat-RES'!$AR26*'TechWaterHeat-RES'!G110)*1000*1.1</f>
        <v>2.7693039323255991E-2</v>
      </c>
      <c r="H138" s="693">
        <f ca="1">'TechWaterHeat-RES per dwelling'!H$51/('TechWaterHeat-RES'!$AR26*'TechWaterHeat-RES'!H110)*1000*1.1</f>
        <v>2.2049059535050746E-2</v>
      </c>
      <c r="I138" s="693">
        <f ca="1">'TechWaterHeat-RES per dwelling'!I$51/('TechWaterHeat-RES'!$AR26*'TechWaterHeat-RES'!I110)*1000*1.1</f>
        <v>2.4737230392798328E-2</v>
      </c>
      <c r="J138" s="693">
        <f ca="1">'TechWaterHeat-RES per dwelling'!J$51/('TechWaterHeat-RES'!$AR26*'TechWaterHeat-RES'!J110)*1000*1.1</f>
        <v>2.7520768764587516E-2</v>
      </c>
      <c r="K138" s="693">
        <f ca="1">'TechWaterHeat-RES per dwelling'!K$51/('TechWaterHeat-RES'!$AR26*'TechWaterHeat-RES'!K110)*1000*1.1</f>
        <v>2.0713027241065916E-2</v>
      </c>
      <c r="L138" s="693">
        <f ca="1">'TechWaterHeat-RES per dwelling'!L$51/('TechWaterHeat-RES'!$AR26*'TechWaterHeat-RES'!L110)*1000*1.1</f>
        <v>2.6770419858355765E-2</v>
      </c>
      <c r="M138" s="693">
        <f ca="1">'TechWaterHeat-RES per dwelling'!M$51/('TechWaterHeat-RES'!$AR26*'TechWaterHeat-RES'!M110)*1000*1.1</f>
        <v>2.8261908354293219E-2</v>
      </c>
      <c r="N138" s="693">
        <f ca="1">'TechWaterHeat-RES per dwelling'!N$51/('TechWaterHeat-RES'!$AR26*'TechWaterHeat-RES'!N110)*1000*1.1</f>
        <v>2.597938114326909E-2</v>
      </c>
      <c r="O138" s="693">
        <f ca="1">'TechWaterHeat-RES per dwelling'!O$51/('TechWaterHeat-RES'!$AR26*'TechWaterHeat-RES'!O110)*1000*1.1</f>
        <v>3.4911925216479296E-2</v>
      </c>
      <c r="P138" s="693">
        <f ca="1">'TechWaterHeat-RES per dwelling'!P$51/('TechWaterHeat-RES'!$AR26*'TechWaterHeat-RES'!P110)*1000*1.1</f>
        <v>3.3020375254123879E-2</v>
      </c>
      <c r="Q138" s="693">
        <f ca="1">'TechWaterHeat-RES per dwelling'!Q$51/('TechWaterHeat-RES'!$AR26*'TechWaterHeat-RES'!Q110)*1000*1.1</f>
        <v>2.8933515148975176E-2</v>
      </c>
      <c r="R138" s="693">
        <f ca="1">'TechWaterHeat-RES per dwelling'!R$51/('TechWaterHeat-RES'!$AR26*'TechWaterHeat-RES'!R110)*1000*1.1</f>
        <v>3.0295155438685616E-2</v>
      </c>
      <c r="S138" s="693">
        <f ca="1">'TechWaterHeat-RES per dwelling'!S$51/('TechWaterHeat-RES'!$AR26*'TechWaterHeat-RES'!S110)*1000*1.1</f>
        <v>1.7838875899561318E-2</v>
      </c>
      <c r="T138" s="693">
        <f ca="1">'TechWaterHeat-RES per dwelling'!T$51/('TechWaterHeat-RES'!$AR26*'TechWaterHeat-RES'!T110)*1000*1.1</f>
        <v>1.5510311017584447E-2</v>
      </c>
      <c r="U138" s="693">
        <f ca="1">'TechWaterHeat-RES per dwelling'!U$51/('TechWaterHeat-RES'!$AR26*'TechWaterHeat-RES'!U110)*1000*1.1</f>
        <v>3.125394174113897E-2</v>
      </c>
      <c r="V138" s="693">
        <f ca="1">'TechWaterHeat-RES per dwelling'!V$51/('TechWaterHeat-RES'!$AR26*'TechWaterHeat-RES'!V110)*1000*1.1</f>
        <v>3.0614835939406608E-2</v>
      </c>
      <c r="W138" s="693">
        <f ca="1">'TechWaterHeat-RES per dwelling'!W$51/('TechWaterHeat-RES'!$AR26*'TechWaterHeat-RES'!W110)*1000*1.1</f>
        <v>2.4542149573572612E-2</v>
      </c>
      <c r="X138" s="693">
        <f ca="1">'TechWaterHeat-RES per dwelling'!X$51/('TechWaterHeat-RES'!$AR26*'TechWaterHeat-RES'!X110)*1000*1.1</f>
        <v>2.1342684955456728E-2</v>
      </c>
      <c r="Y138" s="693">
        <f ca="1">'TechWaterHeat-RES per dwelling'!Y$51/('TechWaterHeat-RES'!$AR26*'TechWaterHeat-RES'!Y110)*1000*1.1</f>
        <v>2.2269338561593743E-2</v>
      </c>
      <c r="Z138" s="693">
        <f ca="1">'TechWaterHeat-RES per dwelling'!Z$51/('TechWaterHeat-RES'!$AR26*'TechWaterHeat-RES'!Z110)*1000*1.1</f>
        <v>2.9941958773897995E-2</v>
      </c>
      <c r="AA138" s="693">
        <f ca="1">'TechWaterHeat-RES per dwelling'!AA$51/('TechWaterHeat-RES'!$AR26*'TechWaterHeat-RES'!AA110)*1000*1.1</f>
        <v>1.3395088518685734E-2</v>
      </c>
      <c r="AB138" s="693">
        <f ca="1">'TechWaterHeat-RES per dwelling'!AB$51/('TechWaterHeat-RES'!$AR26*'TechWaterHeat-RES'!AB110)*1000*1.1</f>
        <v>2.6870884656255395E-2</v>
      </c>
      <c r="AC138" s="693">
        <f ca="1">'TechWaterHeat-RES per dwelling'!AC$51/('TechWaterHeat-RES'!$AR26*'TechWaterHeat-RES'!AC110)*1000*1.1</f>
        <v>4.4792566552160594E-2</v>
      </c>
      <c r="AD138" s="693">
        <f ca="1">'TechWaterHeat-RES per dwelling'!AD$51/('TechWaterHeat-RES'!$AR26*'TechWaterHeat-RES'!AD110)*1000*1.1</f>
        <v>2.6677602693066748E-2</v>
      </c>
      <c r="AE138" s="693">
        <f ca="1">'TechWaterHeat-RES per dwelling'!AE$51/('TechWaterHeat-RES'!$AR26*'TechWaterHeat-RES'!AE110)*1000*1.1</f>
        <v>4.3070738016607588E-2</v>
      </c>
      <c r="AF138" s="693">
        <f ca="1">'TechWaterHeat-RES per dwelling'!AF$51/('TechWaterHeat-RES'!$AR26*'TechWaterHeat-RES'!AF110)*1000*1.1</f>
        <v>1.7876528171347602E-2</v>
      </c>
      <c r="AG138" s="693">
        <f ca="1">'TechWaterHeat-RES per dwelling'!AG$51/('TechWaterHeat-RES'!$AR26*'TechWaterHeat-RES'!AG110)*1000*1.1</f>
        <v>2.7015153667527197E-2</v>
      </c>
      <c r="AH138" s="693">
        <f ca="1">'TechWaterHeat-RES per dwelling'!AH$51/('TechWaterHeat-RES'!$AR26*'TechWaterHeat-RES'!AH110)*1000*1.1</f>
        <v>3.5965310722272999E-2</v>
      </c>
      <c r="AI138" s="693">
        <f ca="1">'TechWaterHeat-RES per dwelling'!AI$51/('TechWaterHeat-RES'!$AR26*'TechWaterHeat-RES'!AI110)*1000*1.1</f>
        <v>2.7300428315595763E-2</v>
      </c>
      <c r="AJ138" s="693">
        <f ca="1">'TechWaterHeat-RES per dwelling'!AJ$51/('TechWaterHeat-RES'!$AR26*'TechWaterHeat-RES'!AJ110)*1000*1.1</f>
        <v>2.6774207130027379E-2</v>
      </c>
      <c r="AK138" s="693">
        <f ca="1">'TechWaterHeat-RES per dwelling'!AK$51/('TechWaterHeat-RES'!$AR26*'TechWaterHeat-RES'!AK110)*1000*1.1</f>
        <v>3.1019474055267705E-2</v>
      </c>
      <c r="AL138" s="693">
        <f ca="1">'TechWaterHeat-RES per dwelling'!AL$51/('TechWaterHeat-RES'!$AR26*'TechWaterHeat-RES'!AL110)*1000*1.1</f>
        <v>1.636551674414553E-2</v>
      </c>
      <c r="AM138" s="693">
        <f ca="1">'TechWaterHeat-RES per dwelling'!AM$51/('TechWaterHeat-RES'!$AR26*'TechWaterHeat-RES'!AM110)*1000*1.1</f>
        <v>2.2060365412910961E-2</v>
      </c>
      <c r="AN138" s="693">
        <f ca="1">'TechWaterHeat-RES per dwelling'!AN$51/('TechWaterHeat-RES'!$AR26*'TechWaterHeat-RES'!AN110)*1000*1.1</f>
        <v>1.8211592344932165E-2</v>
      </c>
      <c r="AO138" s="693">
        <f ca="1">'TechWaterHeat-RES per dwelling'!AO$51/('TechWaterHeat-RES'!$AR26*'TechWaterHeat-RES'!AO110)*1000*1.1</f>
        <v>2.0136558775487055E-2</v>
      </c>
      <c r="AP138" s="693">
        <f ca="1">'TechWaterHeat-RES per dwelling'!AP$51/('TechWaterHeat-RES'!$AR26*'TechWaterHeat-RES'!AP110)*1000*1.1</f>
        <v>1.2452549576443568E-2</v>
      </c>
    </row>
    <row r="139" spans="1:42">
      <c r="A139" t="str">
        <f t="shared" si="24"/>
        <v>Solar</v>
      </c>
      <c r="C139" t="str">
        <f t="shared" si="25"/>
        <v>R_ES-WH-SD_SOL</v>
      </c>
      <c r="E139" t="str">
        <f t="shared" si="26"/>
        <v>R_ES-SD-WatHeat</v>
      </c>
      <c r="F139" s="693">
        <f ca="1">'TechWaterHeat-RES per dwelling'!F$51/('TechWaterHeat-RES'!$AR27*'TechWaterHeat-RES'!F111)*1000*1.1</f>
        <v>2.6163789907819583E-2</v>
      </c>
      <c r="G139" s="693">
        <f ca="1">'TechWaterHeat-RES per dwelling'!G$51/('TechWaterHeat-RES'!$AR27*'TechWaterHeat-RES'!G111)*1000*1.1</f>
        <v>2.2154431458604792E-2</v>
      </c>
      <c r="H139" s="693">
        <f ca="1">'TechWaterHeat-RES per dwelling'!H$51/('TechWaterHeat-RES'!$AR27*'TechWaterHeat-RES'!H111)*1000*1.1</f>
        <v>1.7639247628040599E-2</v>
      </c>
      <c r="I139" s="693">
        <f ca="1">'TechWaterHeat-RES per dwelling'!I$51/('TechWaterHeat-RES'!$AR27*'TechWaterHeat-RES'!I111)*1000*1.1</f>
        <v>1.9789784314238661E-2</v>
      </c>
      <c r="J139" s="693">
        <f ca="1">'TechWaterHeat-RES per dwelling'!J$51/('TechWaterHeat-RES'!$AR27*'TechWaterHeat-RES'!J111)*1000*1.1</f>
        <v>2.2016615011670012E-2</v>
      </c>
      <c r="K139" s="693">
        <f ca="1">'TechWaterHeat-RES per dwelling'!K$51/('TechWaterHeat-RES'!$AR27*'TechWaterHeat-RES'!K111)*1000*1.1</f>
        <v>1.6570421792852733E-2</v>
      </c>
      <c r="L139" s="693">
        <f ca="1">'TechWaterHeat-RES per dwelling'!L$51/('TechWaterHeat-RES'!$AR27*'TechWaterHeat-RES'!L111)*1000*1.1</f>
        <v>2.1416335886684613E-2</v>
      </c>
      <c r="M139" s="693">
        <f ca="1">'TechWaterHeat-RES per dwelling'!M$51/('TechWaterHeat-RES'!$AR27*'TechWaterHeat-RES'!M111)*1000*1.1</f>
        <v>2.2609526683434578E-2</v>
      </c>
      <c r="N139" s="693">
        <f ca="1">'TechWaterHeat-RES per dwelling'!N$51/('TechWaterHeat-RES'!$AR27*'TechWaterHeat-RES'!N111)*1000*1.1</f>
        <v>2.078350491461527E-2</v>
      </c>
      <c r="O139" s="693">
        <f ca="1">'TechWaterHeat-RES per dwelling'!O$51/('TechWaterHeat-RES'!$AR27*'TechWaterHeat-RES'!O111)*1000*1.1</f>
        <v>2.7929540173183436E-2</v>
      </c>
      <c r="P139" s="693">
        <f ca="1">'TechWaterHeat-RES per dwelling'!P$51/('TechWaterHeat-RES'!$AR27*'TechWaterHeat-RES'!P111)*1000*1.1</f>
        <v>2.6416300203299103E-2</v>
      </c>
      <c r="Q139" s="693">
        <f ca="1">'TechWaterHeat-RES per dwelling'!Q$51/('TechWaterHeat-RES'!$AR27*'TechWaterHeat-RES'!Q111)*1000*1.1</f>
        <v>2.3146812119180141E-2</v>
      </c>
      <c r="R139" s="693">
        <f ca="1">'TechWaterHeat-RES per dwelling'!R$51/('TechWaterHeat-RES'!$AR27*'TechWaterHeat-RES'!R111)*1000*1.1</f>
        <v>2.4236124350948494E-2</v>
      </c>
      <c r="S139" s="693">
        <f ca="1">'TechWaterHeat-RES per dwelling'!S$51/('TechWaterHeat-RES'!$AR27*'TechWaterHeat-RES'!S111)*1000*1.1</f>
        <v>1.4271100719649054E-2</v>
      </c>
      <c r="T139" s="693">
        <f ca="1">'TechWaterHeat-RES per dwelling'!T$51/('TechWaterHeat-RES'!$AR27*'TechWaterHeat-RES'!T111)*1000*1.1</f>
        <v>1.2408248814067558E-2</v>
      </c>
      <c r="U139" s="693">
        <f ca="1">'TechWaterHeat-RES per dwelling'!U$51/('TechWaterHeat-RES'!$AR27*'TechWaterHeat-RES'!U111)*1000*1.1</f>
        <v>2.5003153392911179E-2</v>
      </c>
      <c r="V139" s="693">
        <f ca="1">'TechWaterHeat-RES per dwelling'!V$51/('TechWaterHeat-RES'!$AR27*'TechWaterHeat-RES'!V111)*1000*1.1</f>
        <v>2.4491868751525283E-2</v>
      </c>
      <c r="W139" s="693">
        <f ca="1">'TechWaterHeat-RES per dwelling'!W$51/('TechWaterHeat-RES'!$AR27*'TechWaterHeat-RES'!W111)*1000*1.1</f>
        <v>1.9633719658858087E-2</v>
      </c>
      <c r="X139" s="693">
        <f ca="1">'TechWaterHeat-RES per dwelling'!X$51/('TechWaterHeat-RES'!$AR27*'TechWaterHeat-RES'!X111)*1000*1.1</f>
        <v>1.7074147964365384E-2</v>
      </c>
      <c r="Y139" s="693">
        <f ca="1">'TechWaterHeat-RES per dwelling'!Y$51/('TechWaterHeat-RES'!$AR27*'TechWaterHeat-RES'!Y111)*1000*1.1</f>
        <v>1.7815470849274994E-2</v>
      </c>
      <c r="Z139" s="693">
        <f ca="1">'TechWaterHeat-RES per dwelling'!Z$51/('TechWaterHeat-RES'!$AR27*'TechWaterHeat-RES'!Z111)*1000*1.1</f>
        <v>2.3953567019118396E-2</v>
      </c>
      <c r="AA139" s="693">
        <f ca="1">'TechWaterHeat-RES per dwelling'!AA$51/('TechWaterHeat-RES'!$AR27*'TechWaterHeat-RES'!AA111)*1000*1.1</f>
        <v>1.0716070814948589E-2</v>
      </c>
      <c r="AB139" s="693">
        <f ca="1">'TechWaterHeat-RES per dwelling'!AB$51/('TechWaterHeat-RES'!$AR27*'TechWaterHeat-RES'!AB111)*1000*1.1</f>
        <v>2.1496707725004314E-2</v>
      </c>
      <c r="AC139" s="693">
        <f ca="1">'TechWaterHeat-RES per dwelling'!AC$51/('TechWaterHeat-RES'!$AR27*'TechWaterHeat-RES'!AC111)*1000*1.1</f>
        <v>3.5834053241728475E-2</v>
      </c>
      <c r="AD139" s="693">
        <f ca="1">'TechWaterHeat-RES per dwelling'!AD$51/('TechWaterHeat-RES'!$AR27*'TechWaterHeat-RES'!AD111)*1000*1.1</f>
        <v>2.13420821544534E-2</v>
      </c>
      <c r="AE139" s="693">
        <f ca="1">'TechWaterHeat-RES per dwelling'!AE$51/('TechWaterHeat-RES'!$AR27*'TechWaterHeat-RES'!AE111)*1000*1.1</f>
        <v>3.4456590413286081E-2</v>
      </c>
      <c r="AF139" s="693">
        <f ca="1">'TechWaterHeat-RES per dwelling'!AF$51/('TechWaterHeat-RES'!$AR27*'TechWaterHeat-RES'!AF111)*1000*1.1</f>
        <v>1.4301222537078081E-2</v>
      </c>
      <c r="AG139" s="693">
        <f ca="1">'TechWaterHeat-RES per dwelling'!AG$51/('TechWaterHeat-RES'!$AR27*'TechWaterHeat-RES'!AG111)*1000*1.1</f>
        <v>2.161212293402176E-2</v>
      </c>
      <c r="AH139" s="693">
        <f ca="1">'TechWaterHeat-RES per dwelling'!AH$51/('TechWaterHeat-RES'!$AR27*'TechWaterHeat-RES'!AH111)*1000*1.1</f>
        <v>2.8772248577818401E-2</v>
      </c>
      <c r="AI139" s="693">
        <f ca="1">'TechWaterHeat-RES per dwelling'!AI$51/('TechWaterHeat-RES'!$AR27*'TechWaterHeat-RES'!AI111)*1000*1.1</f>
        <v>2.1840342652476613E-2</v>
      </c>
      <c r="AJ139" s="693">
        <f ca="1">'TechWaterHeat-RES per dwelling'!AJ$51/('TechWaterHeat-RES'!$AR27*'TechWaterHeat-RES'!AJ111)*1000*1.1</f>
        <v>2.1419365704021906E-2</v>
      </c>
      <c r="AK139" s="693">
        <f ca="1">'TechWaterHeat-RES per dwelling'!AK$51/('TechWaterHeat-RES'!$AR27*'TechWaterHeat-RES'!AK111)*1000*1.1</f>
        <v>2.4815579244214167E-2</v>
      </c>
      <c r="AL139" s="693">
        <f ca="1">'TechWaterHeat-RES per dwelling'!AL$51/('TechWaterHeat-RES'!$AR27*'TechWaterHeat-RES'!AL111)*1000*1.1</f>
        <v>1.3092413395316426E-2</v>
      </c>
      <c r="AM139" s="693">
        <f ca="1">'TechWaterHeat-RES per dwelling'!AM$51/('TechWaterHeat-RES'!$AR27*'TechWaterHeat-RES'!AM111)*1000*1.1</f>
        <v>1.7648292330328771E-2</v>
      </c>
      <c r="AN139" s="693">
        <f ca="1">'TechWaterHeat-RES per dwelling'!AN$51/('TechWaterHeat-RES'!$AR27*'TechWaterHeat-RES'!AN111)*1000*1.1</f>
        <v>1.456927387594573E-2</v>
      </c>
      <c r="AO139" s="693">
        <f ca="1">'TechWaterHeat-RES per dwelling'!AO$51/('TechWaterHeat-RES'!$AR27*'TechWaterHeat-RES'!AO111)*1000*1.1</f>
        <v>1.6109247020389645E-2</v>
      </c>
      <c r="AP139" s="693">
        <f ca="1">'TechWaterHeat-RES per dwelling'!AP$51/('TechWaterHeat-RES'!$AR27*'TechWaterHeat-RES'!AP111)*1000*1.1</f>
        <v>9.9620396611548555E-3</v>
      </c>
    </row>
  </sheetData>
  <conditionalFormatting sqref="F116:AP1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17:AP11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18:AP11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19:AP11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0:AP12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1:AP12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2:AP12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3:AP139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4:AP13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5:AP1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32:AP13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3">
    <tabColor theme="8"/>
  </sheetPr>
  <dimension ref="A3:AW60"/>
  <sheetViews>
    <sheetView topLeftCell="C7" zoomScale="90" zoomScaleNormal="85" workbookViewId="0">
      <selection activeCell="D4" sqref="D4"/>
    </sheetView>
  </sheetViews>
  <sheetFormatPr defaultColWidth="8.88671875" defaultRowHeight="14.4"/>
  <cols>
    <col min="1" max="1" width="19" customWidth="1"/>
    <col min="2" max="2" width="2" bestFit="1" customWidth="1"/>
    <col min="3" max="3" width="20.33203125" bestFit="1" customWidth="1"/>
    <col min="4" max="4" width="12" bestFit="1" customWidth="1"/>
    <col min="5" max="5" width="21.44140625" bestFit="1" customWidth="1"/>
    <col min="6" max="6" width="12.33203125" bestFit="1" customWidth="1"/>
    <col min="7" max="22" width="9" bestFit="1" customWidth="1"/>
    <col min="23" max="23" width="9.6640625" bestFit="1" customWidth="1"/>
    <col min="24" max="42" width="9" bestFit="1" customWidth="1"/>
  </cols>
  <sheetData>
    <row r="3" spans="1:49" ht="15" thickBot="1">
      <c r="F3" s="540" t="str">
        <f>'All Stock'!D$2</f>
        <v>AT</v>
      </c>
      <c r="G3" s="540" t="str">
        <f>'All Stock'!E$2</f>
        <v>BE</v>
      </c>
      <c r="H3" s="540" t="str">
        <f>'All Stock'!F$2</f>
        <v>BG</v>
      </c>
      <c r="I3" s="540" t="str">
        <f>'All Stock'!G$2</f>
        <v>CH</v>
      </c>
      <c r="J3" s="540" t="str">
        <f>'All Stock'!H$2</f>
        <v>CY</v>
      </c>
      <c r="K3" s="540" t="str">
        <f>'All Stock'!I$2</f>
        <v>CZ</v>
      </c>
      <c r="L3" s="540" t="str">
        <f>'All Stock'!J$2</f>
        <v>DE</v>
      </c>
      <c r="M3" s="540" t="str">
        <f>'All Stock'!K$2</f>
        <v>DK</v>
      </c>
      <c r="N3" s="540" t="str">
        <f>'All Stock'!L$2</f>
        <v>EE</v>
      </c>
      <c r="O3" s="540" t="str">
        <f>'All Stock'!M$2</f>
        <v>ES</v>
      </c>
      <c r="P3" s="540" t="str">
        <f>'All Stock'!N$2</f>
        <v>FI</v>
      </c>
      <c r="Q3" s="540" t="str">
        <f>'All Stock'!O$2</f>
        <v>FR</v>
      </c>
      <c r="R3" s="540" t="str">
        <f>'All Stock'!P$2</f>
        <v>EL</v>
      </c>
      <c r="S3" s="540" t="str">
        <f>'All Stock'!Q$2</f>
        <v>HR</v>
      </c>
      <c r="T3" s="540" t="str">
        <f>'All Stock'!R$2</f>
        <v>HU</v>
      </c>
      <c r="U3" s="540" t="str">
        <f>'All Stock'!S$2</f>
        <v>IE</v>
      </c>
      <c r="V3" s="540" t="str">
        <f>'All Stock'!T$2</f>
        <v>IS</v>
      </c>
      <c r="W3" s="540" t="str">
        <f>'All Stock'!U$2</f>
        <v>IT</v>
      </c>
      <c r="X3" s="540" t="str">
        <f>'All Stock'!V$2</f>
        <v>LT</v>
      </c>
      <c r="Y3" s="540" t="str">
        <f>'All Stock'!W$2</f>
        <v>LU</v>
      </c>
      <c r="Z3" s="540" t="str">
        <f>'All Stock'!X$2</f>
        <v>LV</v>
      </c>
      <c r="AA3" s="540" t="str">
        <f>'All Stock'!Y$2</f>
        <v>MT</v>
      </c>
      <c r="AB3" s="540" t="str">
        <f>'All Stock'!Z$2</f>
        <v>NL</v>
      </c>
      <c r="AC3" s="540" t="str">
        <f>'All Stock'!AA$2</f>
        <v>NO</v>
      </c>
      <c r="AD3" s="540" t="str">
        <f>'All Stock'!AB$2</f>
        <v>PL</v>
      </c>
      <c r="AE3" s="540" t="str">
        <f>'All Stock'!AC$2</f>
        <v>PT</v>
      </c>
      <c r="AF3" s="540" t="str">
        <f>'All Stock'!AD$2</f>
        <v>RO</v>
      </c>
      <c r="AG3" s="540" t="str">
        <f>'All Stock'!AE$2</f>
        <v>SE</v>
      </c>
      <c r="AH3" s="540" t="str">
        <f>'All Stock'!AF$2</f>
        <v>SI</v>
      </c>
      <c r="AI3" s="540" t="str">
        <f>'All Stock'!AG$2</f>
        <v>SK</v>
      </c>
      <c r="AJ3" s="540" t="str">
        <f>'All Stock'!AH$2</f>
        <v>UK</v>
      </c>
      <c r="AK3" s="540" t="str">
        <f>'All Stock'!AI$2</f>
        <v>AL</v>
      </c>
      <c r="AL3" s="540" t="str">
        <f>'All Stock'!AJ$2</f>
        <v>BA</v>
      </c>
      <c r="AM3" s="540" t="str">
        <f>'All Stock'!AK$2</f>
        <v>ME</v>
      </c>
      <c r="AN3" s="540" t="str">
        <f>'All Stock'!AL$2</f>
        <v>MK</v>
      </c>
      <c r="AO3" s="540" t="str">
        <f>'All Stock'!AM$2</f>
        <v>RS</v>
      </c>
      <c r="AP3" s="540" t="str">
        <f>'All Stock'!AN$2</f>
        <v>KS</v>
      </c>
      <c r="AR3" s="542" t="s">
        <v>749</v>
      </c>
    </row>
    <row r="4" spans="1:49">
      <c r="A4" t="str">
        <f>TechComm!T23</f>
        <v>Electricity</v>
      </c>
      <c r="C4" t="str">
        <f>TechComm!L48</f>
        <v>R_ES-WH-FL_ELC</v>
      </c>
      <c r="D4" t="s">
        <v>976</v>
      </c>
      <c r="E4" t="str">
        <f>TechComm!C19</f>
        <v>R_ES-FL-WatHeat</v>
      </c>
      <c r="F4" s="795">
        <f ca="1">IFERROR('All Stock'!D$16*VLOOKUP($A4,'IDEES okt 2017 template'!$C$183:$AH$190,'IDEES okt 2017 template'!D$162,FALSE),"")*$AR$4</f>
        <v>367.34979600546001</v>
      </c>
      <c r="G4" s="795">
        <f ca="1">IFERROR('All Stock'!E$16*VLOOKUP($A4,'IDEES okt 2017 template'!$C$183:$AH$190,'IDEES okt 2017 template'!E$162,FALSE),"")*$AR$4</f>
        <v>146.98838556590604</v>
      </c>
      <c r="H4" s="795">
        <f ca="1">IFERROR('All Stock'!F$16*VLOOKUP($A4,'IDEES okt 2017 template'!$C$183:$AH$190,'IDEES okt 2017 template'!F$162,FALSE),"")*$AR$4</f>
        <v>503.75991836178878</v>
      </c>
      <c r="I4" s="795">
        <f ca="1">IFERROR('All Stock'!G$16*VLOOKUP($A4,'IDEES okt 2017 template'!$C$183:$AH$190,'IDEES okt 2017 template'!G$162,FALSE),"")*$AR$4</f>
        <v>423.27582008878647</v>
      </c>
      <c r="J4" s="795">
        <f ca="1">IFERROR('All Stock'!H$16*VLOOKUP($A4,'IDEES okt 2017 template'!$C$183:$AH$190,'IDEES okt 2017 template'!H$162,FALSE),"")*$AR$4</f>
        <v>5.2152342042385111</v>
      </c>
      <c r="K4" s="795">
        <f ca="1">IFERROR('All Stock'!I$16*VLOOKUP($A4,'IDEES okt 2017 template'!$C$183:$AH$190,'IDEES okt 2017 template'!I$162,FALSE),"")*$AR$4</f>
        <v>1120.3040513773333</v>
      </c>
      <c r="L4" s="795">
        <f ca="1">IFERROR('All Stock'!J$16*VLOOKUP($A4,'IDEES okt 2017 template'!$C$183:$AH$190,'IDEES okt 2017 template'!J$162,FALSE),"")*$AR$4</f>
        <v>3836.1793426990971</v>
      </c>
      <c r="M4" s="795">
        <f ca="1">IFERROR('All Stock'!K$16*VLOOKUP($A4,'IDEES okt 2017 template'!$C$183:$AH$190,'IDEES okt 2017 template'!K$162,FALSE),"")*$AR$4</f>
        <v>155.99463469537565</v>
      </c>
      <c r="N4" s="795">
        <f ca="1">IFERROR('All Stock'!L$16*VLOOKUP($A4,'IDEES okt 2017 template'!$C$183:$AH$190,'IDEES okt 2017 template'!L$162,FALSE),"")*$AR$4</f>
        <v>65.25451017093566</v>
      </c>
      <c r="O4" s="795">
        <f ca="1">IFERROR('All Stock'!M$16*VLOOKUP($A4,'IDEES okt 2017 template'!$C$183:$AH$190,'IDEES okt 2017 template'!M$162,FALSE),"")*$AR$4</f>
        <v>2594.7835091602205</v>
      </c>
      <c r="P4" s="795">
        <f ca="1">IFERROR('All Stock'!N$16*VLOOKUP($A4,'IDEES okt 2017 template'!$C$183:$AH$190,'IDEES okt 2017 template'!N$162,FALSE),"")*$AR$4</f>
        <v>419.0479344797094</v>
      </c>
      <c r="Q4" s="795">
        <f ca="1">IFERROR('All Stock'!O$16*VLOOKUP($A4,'IDEES okt 2017 template'!$C$183:$AH$190,'IDEES okt 2017 template'!O$162,FALSE),"")*$AR$4</f>
        <v>3345.0093229064814</v>
      </c>
      <c r="R4" s="795">
        <f ca="1">IFERROR('All Stock'!P$16*VLOOKUP($A4,'IDEES okt 2017 template'!$C$183:$AH$190,'IDEES okt 2017 template'!P$162,FALSE),"")*$AR$4</f>
        <v>806.77354997611678</v>
      </c>
      <c r="S4" s="795">
        <f ca="1">IFERROR('All Stock'!Q$16*VLOOKUP($A4,'IDEES okt 2017 template'!$C$183:$AH$190,'IDEES okt 2017 template'!Q$162,FALSE),"")*$AR$4</f>
        <v>164.66855627618096</v>
      </c>
      <c r="T4" s="795">
        <f ca="1">IFERROR('All Stock'!R$16*VLOOKUP($A4,'IDEES okt 2017 template'!$C$183:$AH$190,'IDEES okt 2017 template'!R$162,FALSE),"")*$AR$4</f>
        <v>286.67442013051703</v>
      </c>
      <c r="U4" s="795">
        <f ca="1">IFERROR('All Stock'!S$16*VLOOKUP($A4,'IDEES okt 2017 template'!$C$183:$AH$190,'IDEES okt 2017 template'!S$162,FALSE),"")*$AR$4</f>
        <v>39.306842817601648</v>
      </c>
      <c r="V4" s="795">
        <f ca="1">IFERROR('All Stock'!T$16*VLOOKUP($A4,'IDEES okt 2017 template'!$C$183:$AH$190,'IDEES okt 2017 template'!T$162,FALSE),"")*$AR$4</f>
        <v>23.828772861403529</v>
      </c>
      <c r="W4" s="795">
        <f ca="1">IFERROR('All Stock'!U$16*VLOOKUP($A4,'IDEES okt 2017 template'!$C$183:$AH$190,'IDEES okt 2017 template'!U$162,FALSE),"")*$AR$4</f>
        <v>2294.0139407629567</v>
      </c>
      <c r="X4" s="795">
        <f ca="1">IFERROR('All Stock'!V$16*VLOOKUP($A4,'IDEES okt 2017 template'!$C$183:$AH$190,'IDEES okt 2017 template'!V$162,FALSE),"")*$AR$4</f>
        <v>84.146388088971193</v>
      </c>
      <c r="Y4" s="795">
        <f ca="1">IFERROR('All Stock'!W$16*VLOOKUP($A4,'IDEES okt 2017 template'!$C$183:$AH$190,'IDEES okt 2017 template'!W$162,FALSE),"")*$AR$4</f>
        <v>8.8800567306222948</v>
      </c>
      <c r="Z4" s="795">
        <f ca="1">IFERROR('All Stock'!X$16*VLOOKUP($A4,'IDEES okt 2017 template'!$C$183:$AH$190,'IDEES okt 2017 template'!X$162,FALSE),"")*$AR$4</f>
        <v>32.981031228036528</v>
      </c>
      <c r="AA4" s="795">
        <f ca="1">IFERROR('All Stock'!Y$16*VLOOKUP($A4,'IDEES okt 2017 template'!$C$183:$AH$190,'IDEES okt 2017 template'!Y$162,FALSE),"")*$AR$4</f>
        <v>5.7212950980716961</v>
      </c>
      <c r="AB4" s="795">
        <f ca="1">IFERROR('All Stock'!Z$16*VLOOKUP($A4,'IDEES okt 2017 template'!$C$183:$AH$190,'IDEES okt 2017 template'!Z$162,FALSE),"")*$AR$4</f>
        <v>122.50925835938685</v>
      </c>
      <c r="AC4" s="795">
        <f ca="1">IFERROR('All Stock'!AA$16*VLOOKUP($A4,'IDEES okt 2017 template'!$C$183:$AH$190,'IDEES okt 2017 template'!AA$162,FALSE),"")*$AR$4</f>
        <v>1003.7520999049353</v>
      </c>
      <c r="AD4" s="795">
        <f ca="1">IFERROR('All Stock'!AB$16*VLOOKUP($A4,'IDEES okt 2017 template'!$C$183:$AH$190,'IDEES okt 2017 template'!AB$162,FALSE),"")*$AR$4</f>
        <v>398.33583980780782</v>
      </c>
      <c r="AE4" s="795">
        <f ca="1">IFERROR('All Stock'!AC$16*VLOOKUP($A4,'IDEES okt 2017 template'!$C$183:$AH$190,'IDEES okt 2017 template'!AC$162,FALSE),"")*$AR$4</f>
        <v>132.11045157054247</v>
      </c>
      <c r="AF4" s="795">
        <f ca="1">IFERROR('All Stock'!AD$16*VLOOKUP($A4,'IDEES okt 2017 template'!$C$183:$AH$190,'IDEES okt 2017 template'!AD$162,FALSE),"")*$AR$4</f>
        <v>227.88690512621412</v>
      </c>
      <c r="AG4" s="795">
        <f ca="1">IFERROR('All Stock'!AE$16*VLOOKUP($A4,'IDEES okt 2017 template'!$C$183:$AH$190,'IDEES okt 2017 template'!AE$162,FALSE),"")*$AR$4</f>
        <v>1191.1758669512583</v>
      </c>
      <c r="AH4" s="795">
        <f ca="1">IFERROR('All Stock'!AF$16*VLOOKUP($A4,'IDEES okt 2017 template'!$C$183:$AH$190,'IDEES okt 2017 template'!AF$162,FALSE),"")*$AR$4</f>
        <v>138.52113939825085</v>
      </c>
      <c r="AI4" s="795">
        <f ca="1">IFERROR('All Stock'!AG$16*VLOOKUP($A4,'IDEES okt 2017 template'!$C$183:$AH$190,'IDEES okt 2017 template'!AG$162,FALSE),"")*$AR$4</f>
        <v>85.456370827732954</v>
      </c>
      <c r="AJ4" s="795">
        <f ca="1">IFERROR('All Stock'!AH$16*VLOOKUP($A4,'IDEES okt 2017 template'!$C$183:$AH$190,'IDEES okt 2017 template'!AH$162,FALSE),"")*$AR$4</f>
        <v>701.25170347560834</v>
      </c>
      <c r="AK4" s="795">
        <f ca="1">IFERROR('All Stock'!AI$16*VLOOKUP($A4,'IDEES okt 2017 template'!$C$183:$AN$190,'IDEES okt 2017 template'!AI$162,FALSE),"")*$AR$4</f>
        <v>123.1697463623445</v>
      </c>
      <c r="AL4" s="795">
        <f ca="1">IFERROR('All Stock'!AJ$16*VLOOKUP($A4,'IDEES okt 2017 template'!$C$183:$AN$190,'IDEES okt 2017 template'!AJ$162,FALSE),"")*$AR$4</f>
        <v>195.94352007151588</v>
      </c>
      <c r="AM4" s="795">
        <f ca="1">IFERROR('All Stock'!AK$16*VLOOKUP($A4,'IDEES okt 2017 template'!$C$183:$AN$190,'IDEES okt 2017 template'!AK$162,FALSE),"")*$AR$4</f>
        <v>88.2784327198505</v>
      </c>
      <c r="AN4" s="795">
        <f ca="1">IFERROR('All Stock'!AL$16*VLOOKUP($A4,'IDEES okt 2017 template'!$C$183:$AN$190,'IDEES okt 2017 template'!AL$162,FALSE),"")*$AR$4</f>
        <v>121.49327736271833</v>
      </c>
      <c r="AO4" s="795">
        <f ca="1">IFERROR('All Stock'!AM$16*VLOOKUP($A4,'IDEES okt 2017 template'!$C$183:$AN$190,'IDEES okt 2017 template'!AM$162,FALSE),"")*$AR$4</f>
        <v>513.04158486875701</v>
      </c>
      <c r="AP4" s="795">
        <f ca="1">IFERROR('All Stock'!AN$16*VLOOKUP($A4,'IDEES okt 2017 template'!$C$183:$AN$190,'IDEES okt 2017 template'!AN$162,FALSE),"")*$AR$4</f>
        <v>127.02926635721481</v>
      </c>
      <c r="AQ4" s="509"/>
      <c r="AR4" s="530">
        <v>1</v>
      </c>
      <c r="AS4" t="e">
        <f>#REF!</f>
        <v>#REF!</v>
      </c>
      <c r="AT4" s="509"/>
    </row>
    <row r="5" spans="1:49">
      <c r="A5" t="str">
        <f>TechComm!T24</f>
        <v>Gases</v>
      </c>
      <c r="C5" t="str">
        <f>TechComm!L49</f>
        <v>R_ES-WH-FL_GAS</v>
      </c>
      <c r="D5" t="str">
        <f>TechComm!U24</f>
        <v>RSDGAS</v>
      </c>
      <c r="E5" t="str">
        <f>E4</f>
        <v>R_ES-FL-WatHeat</v>
      </c>
      <c r="F5" s="795">
        <f ca="1">IFERROR('All Stock'!D$16*VLOOKUP($A5,'IDEES okt 2017 template'!$C$183:$AH$190,'IDEES okt 2017 template'!D$162,FALSE),"")*$AR$5</f>
        <v>253.41597987753542</v>
      </c>
      <c r="G5" s="795">
        <f ca="1">IFERROR('All Stock'!E$16*VLOOKUP($A5,'IDEES okt 2017 template'!$C$183:$AH$190,'IDEES okt 2017 template'!E$162,FALSE),"")*$AR$5</f>
        <v>424.06948085685434</v>
      </c>
      <c r="H5" s="795">
        <f ca="1">IFERROR('All Stock'!F$16*VLOOKUP($A5,'IDEES okt 2017 template'!$C$183:$AH$190,'IDEES okt 2017 template'!F$162,FALSE),"")*$AR$5</f>
        <v>8.3496119065489847</v>
      </c>
      <c r="I5" s="795">
        <f ca="1">IFERROR('All Stock'!G$16*VLOOKUP($A5,'IDEES okt 2017 template'!$C$183:$AH$190,'IDEES okt 2017 template'!G$162,FALSE),"")*$AR$5</f>
        <v>337.99212289996672</v>
      </c>
      <c r="J5" s="795">
        <f ca="1">IFERROR('All Stock'!H$16*VLOOKUP($A5,'IDEES okt 2017 template'!$C$183:$AH$190,'IDEES okt 2017 template'!H$162,FALSE),"")*$AR$5</f>
        <v>0</v>
      </c>
      <c r="K5" s="795">
        <f ca="1">IFERROR('All Stock'!I$16*VLOOKUP($A5,'IDEES okt 2017 template'!$C$183:$AH$190,'IDEES okt 2017 template'!I$162,FALSE),"")*$AR$5</f>
        <v>632.97652404109022</v>
      </c>
      <c r="L5" s="795">
        <f ca="1">IFERROR('All Stock'!J$16*VLOOKUP($A5,'IDEES okt 2017 template'!$C$183:$AH$190,'IDEES okt 2017 template'!J$162,FALSE),"")*$AR$5</f>
        <v>7017.5313715358416</v>
      </c>
      <c r="M5" s="795">
        <f ca="1">IFERROR('All Stock'!K$16*VLOOKUP($A5,'IDEES okt 2017 template'!$C$183:$AH$190,'IDEES okt 2017 template'!K$162,FALSE),"")*$AR$5</f>
        <v>145.79104390838879</v>
      </c>
      <c r="N5" s="795">
        <f ca="1">IFERROR('All Stock'!L$16*VLOOKUP($A5,'IDEES okt 2017 template'!$C$183:$AH$190,'IDEES okt 2017 template'!L$162,FALSE),"")*$AR$5</f>
        <v>21.433553641700279</v>
      </c>
      <c r="O5" s="795">
        <f ca="1">IFERROR('All Stock'!M$16*VLOOKUP($A5,'IDEES okt 2017 template'!$C$183:$AH$190,'IDEES okt 2017 template'!M$162,FALSE),"")*$AR$5</f>
        <v>2270.6768339498572</v>
      </c>
      <c r="P5" s="795">
        <f ca="1">IFERROR('All Stock'!N$16*VLOOKUP($A5,'IDEES okt 2017 template'!$C$183:$AH$190,'IDEES okt 2017 template'!N$162,FALSE),"")*$AR$5</f>
        <v>7.2868771367807152</v>
      </c>
      <c r="Q5" s="795">
        <f ca="1">IFERROR('All Stock'!O$16*VLOOKUP($A5,'IDEES okt 2017 template'!$C$183:$AH$190,'IDEES okt 2017 template'!O$162,FALSE),"")*$AR$5</f>
        <v>2970.1036339146567</v>
      </c>
      <c r="R5" s="795">
        <f ca="1">IFERROR('All Stock'!P$16*VLOOKUP($A5,'IDEES okt 2017 template'!$C$183:$AH$190,'IDEES okt 2017 template'!P$162,FALSE),"")*$AR$5</f>
        <v>33.751797873452041</v>
      </c>
      <c r="S5" s="795">
        <f ca="1">IFERROR('All Stock'!Q$16*VLOOKUP($A5,'IDEES okt 2017 template'!$C$183:$AH$190,'IDEES okt 2017 template'!Q$162,FALSE),"")*$AR$5</f>
        <v>161.36592543802701</v>
      </c>
      <c r="T5" s="795">
        <f ca="1">IFERROR('All Stock'!R$16*VLOOKUP($A5,'IDEES okt 2017 template'!$C$183:$AH$190,'IDEES okt 2017 template'!R$162,FALSE),"")*$AR$5</f>
        <v>680.56223428951796</v>
      </c>
      <c r="U5" s="795">
        <f ca="1">IFERROR('All Stock'!S$16*VLOOKUP($A5,'IDEES okt 2017 template'!$C$183:$AH$190,'IDEES okt 2017 template'!S$162,FALSE),"")*$AR$5</f>
        <v>35.53852198883407</v>
      </c>
      <c r="V5" s="795">
        <f ca="1">IFERROR('All Stock'!T$16*VLOOKUP($A5,'IDEES okt 2017 template'!$C$183:$AH$190,'IDEES okt 2017 template'!T$162,FALSE),"")*$AR$5</f>
        <v>0</v>
      </c>
      <c r="W5" s="795">
        <f ca="1">IFERROR('All Stock'!U$16*VLOOKUP($A5,'IDEES okt 2017 template'!$C$183:$AH$190,'IDEES okt 2017 template'!U$162,FALSE),"")*$AR$5</f>
        <v>11080.910295893384</v>
      </c>
      <c r="X5" s="795">
        <f ca="1">IFERROR('All Stock'!V$16*VLOOKUP($A5,'IDEES okt 2017 template'!$C$183:$AH$190,'IDEES okt 2017 template'!V$162,FALSE),"")*$AR$5</f>
        <v>55.823678035587022</v>
      </c>
      <c r="Y5" s="795">
        <f ca="1">IFERROR('All Stock'!W$16*VLOOKUP($A5,'IDEES okt 2017 template'!$C$183:$AH$190,'IDEES okt 2017 template'!W$162,FALSE),"")*$AR$5</f>
        <v>29.849538521140691</v>
      </c>
      <c r="Z5" s="795">
        <f ca="1">IFERROR('All Stock'!X$16*VLOOKUP($A5,'IDEES okt 2017 template'!$C$183:$AH$190,'IDEES okt 2017 template'!X$162,FALSE),"")*$AR$5</f>
        <v>47.21991597148012</v>
      </c>
      <c r="AA5" s="795">
        <f ca="1">IFERROR('All Stock'!Y$16*VLOOKUP($A5,'IDEES okt 2017 template'!$C$183:$AH$190,'IDEES okt 2017 template'!Y$162,FALSE),"")*$AR$5</f>
        <v>0</v>
      </c>
      <c r="AB5" s="795">
        <f ca="1">IFERROR('All Stock'!Z$16*VLOOKUP($A5,'IDEES okt 2017 template'!$C$183:$AH$190,'IDEES okt 2017 template'!Z$162,FALSE),"")*$AR$5</f>
        <v>1445.8139411261172</v>
      </c>
      <c r="AC5" s="795">
        <f ca="1">IFERROR('All Stock'!AA$16*VLOOKUP($A5,'IDEES okt 2017 template'!$C$183:$AH$190,'IDEES okt 2017 template'!AA$162,FALSE),"")*$AR$5</f>
        <v>0.68731901790285788</v>
      </c>
      <c r="AD5" s="795">
        <f ca="1">IFERROR('All Stock'!AB$16*VLOOKUP($A5,'IDEES okt 2017 template'!$C$183:$AH$190,'IDEES okt 2017 template'!AB$162,FALSE),"")*$AR$5</f>
        <v>1145.7910854034592</v>
      </c>
      <c r="AE5" s="795">
        <f ca="1">IFERROR('All Stock'!AC$16*VLOOKUP($A5,'IDEES okt 2017 template'!$C$183:$AH$190,'IDEES okt 2017 template'!AC$162,FALSE),"")*$AR$5</f>
        <v>80.263001020356043</v>
      </c>
      <c r="AF5" s="795">
        <f ca="1">IFERROR('All Stock'!AD$16*VLOOKUP($A5,'IDEES okt 2017 template'!$C$183:$AH$190,'IDEES okt 2017 template'!AD$162,FALSE),"")*$AR$5</f>
        <v>567.75368780829331</v>
      </c>
      <c r="AG5" s="795">
        <f ca="1">IFERROR('All Stock'!AE$16*VLOOKUP($A5,'IDEES okt 2017 template'!$C$183:$AH$190,'IDEES okt 2017 template'!AE$162,FALSE),"")*$AR$5</f>
        <v>31.677456649203389</v>
      </c>
      <c r="AH5" s="795">
        <f ca="1">IFERROR('All Stock'!AF$16*VLOOKUP($A5,'IDEES okt 2017 template'!$C$183:$AH$190,'IDEES okt 2017 template'!AF$162,FALSE),"")*$AR$5</f>
        <v>33.540381558868916</v>
      </c>
      <c r="AI5" s="795">
        <f ca="1">IFERROR('All Stock'!AG$16*VLOOKUP($A5,'IDEES okt 2017 template'!$C$183:$AH$190,'IDEES okt 2017 template'!AG$162,FALSE),"")*$AR$5</f>
        <v>296.57134391604626</v>
      </c>
      <c r="AJ5" s="795">
        <f ca="1">IFERROR('All Stock'!AH$16*VLOOKUP($A5,'IDEES okt 2017 template'!$C$183:$AH$190,'IDEES okt 2017 template'!AH$162,FALSE),"")*$AR$5</f>
        <v>2866.6542829315172</v>
      </c>
      <c r="AK5" s="795">
        <f ca="1">IFERROR('All Stock'!AI$16*VLOOKUP($A5,'IDEES okt 2017 template'!$C$183:$AN$190,'IDEES okt 2017 template'!AI$162,FALSE),"")*$AR$5</f>
        <v>0</v>
      </c>
      <c r="AL5" s="795">
        <f ca="1">IFERROR('All Stock'!AJ$16*VLOOKUP($A5,'IDEES okt 2017 template'!$C$183:$AN$190,'IDEES okt 2017 template'!AJ$162,FALSE),"")*$AR$5</f>
        <v>18.907790470140768</v>
      </c>
      <c r="AM5" s="795">
        <f ca="1">IFERROR('All Stock'!AK$16*VLOOKUP($A5,'IDEES okt 2017 template'!$C$183:$AN$190,'IDEES okt 2017 template'!AK$162,FALSE),"")*$AR$5</f>
        <v>0</v>
      </c>
      <c r="AN5" s="795">
        <f ca="1">IFERROR('All Stock'!AL$16*VLOOKUP($A5,'IDEES okt 2017 template'!$C$183:$AN$190,'IDEES okt 2017 template'!AL$162,FALSE),"")*$AR$5</f>
        <v>0</v>
      </c>
      <c r="AO5" s="795">
        <f ca="1">IFERROR('All Stock'!AM$16*VLOOKUP($A5,'IDEES okt 2017 template'!$C$183:$AN$190,'IDEES okt 2017 template'!AM$162,FALSE),"")*$AR$5</f>
        <v>76.677393237411607</v>
      </c>
      <c r="AP5" s="795">
        <f ca="1">IFERROR('All Stock'!AN$16*VLOOKUP($A5,'IDEES okt 2017 template'!$C$183:$AN$190,'IDEES okt 2017 template'!AN$162,FALSE),"")*$AR$5</f>
        <v>0</v>
      </c>
      <c r="AQ5" s="509"/>
      <c r="AR5" s="530">
        <v>1</v>
      </c>
      <c r="AS5" t="e">
        <f>#REF!</f>
        <v>#REF!</v>
      </c>
      <c r="AT5" s="509"/>
    </row>
    <row r="6" spans="1:49">
      <c r="A6" t="str">
        <f>TechComm!T25</f>
        <v>Derived heat</v>
      </c>
      <c r="C6" t="str">
        <f>TechComm!L50</f>
        <v>R_ES-WH-FL_HET</v>
      </c>
      <c r="D6" t="str">
        <f>TechComm!U25</f>
        <v>RSDHET</v>
      </c>
      <c r="E6" t="str">
        <f t="shared" ref="E6:E11" si="0">E5</f>
        <v>R_ES-FL-WatHeat</v>
      </c>
      <c r="F6" s="795">
        <f ca="1">IFERROR('All Stock'!D$16*VLOOKUP($A6,'IDEES okt 2017 template'!$C$183:$AH$190,'IDEES okt 2017 template'!D$162,FALSE),"")*$AR$6</f>
        <v>239.41115348375942</v>
      </c>
      <c r="G6" s="795">
        <f ca="1">IFERROR('All Stock'!E$16*VLOOKUP($A6,'IDEES okt 2017 template'!$C$183:$AH$190,'IDEES okt 2017 template'!E$162,FALSE),"")*$AR$6</f>
        <v>1.6110140084669047</v>
      </c>
      <c r="H6" s="795">
        <f ca="1">IFERROR('All Stock'!F$16*VLOOKUP($A6,'IDEES okt 2017 template'!$C$183:$AH$190,'IDEES okt 2017 template'!F$162,FALSE),"")*$AR$6</f>
        <v>203.17388972602529</v>
      </c>
      <c r="I6" s="795">
        <f ca="1">IFERROR('All Stock'!G$16*VLOOKUP($A6,'IDEES okt 2017 template'!$C$183:$AH$190,'IDEES okt 2017 template'!G$162,FALSE),"")*$AR$6</f>
        <v>59.43159566304049</v>
      </c>
      <c r="J6" s="795">
        <f ca="1">IFERROR('All Stock'!H$16*VLOOKUP($A6,'IDEES okt 2017 template'!$C$183:$AH$190,'IDEES okt 2017 template'!H$162,FALSE),"")*$AR$6</f>
        <v>0</v>
      </c>
      <c r="K6" s="795">
        <f ca="1">IFERROR('All Stock'!I$16*VLOOKUP($A6,'IDEES okt 2017 template'!$C$183:$AH$190,'IDEES okt 2017 template'!I$162,FALSE),"")*$AR$6</f>
        <v>315.304508796351</v>
      </c>
      <c r="L6" s="795">
        <f ca="1">IFERROR('All Stock'!J$16*VLOOKUP($A6,'IDEES okt 2017 template'!$C$183:$AH$190,'IDEES okt 2017 template'!J$162,FALSE),"")*$AR$6</f>
        <v>1731.7655624933066</v>
      </c>
      <c r="M6" s="795">
        <f ca="1">IFERROR('All Stock'!K$16*VLOOKUP($A6,'IDEES okt 2017 template'!$C$183:$AH$190,'IDEES okt 2017 template'!K$162,FALSE),"")*$AR$6</f>
        <v>542.37209106811201</v>
      </c>
      <c r="N6" s="795">
        <f ca="1">IFERROR('All Stock'!L$16*VLOOKUP($A6,'IDEES okt 2017 template'!$C$183:$AH$190,'IDEES okt 2017 template'!L$162,FALSE),"")*$AR$6</f>
        <v>253.33113793789724</v>
      </c>
      <c r="O6" s="795">
        <f ca="1">IFERROR('All Stock'!M$16*VLOOKUP($A6,'IDEES okt 2017 template'!$C$183:$AH$190,'IDEES okt 2017 template'!M$162,FALSE),"")*$AR$6</f>
        <v>0</v>
      </c>
      <c r="P6" s="795">
        <f ca="1">IFERROR('All Stock'!N$16*VLOOKUP($A6,'IDEES okt 2017 template'!$C$183:$AH$190,'IDEES okt 2017 template'!N$162,FALSE),"")*$AR$6</f>
        <v>418.24994793447109</v>
      </c>
      <c r="Q6" s="795">
        <f ca="1">IFERROR('All Stock'!O$16*VLOOKUP($A6,'IDEES okt 2017 template'!$C$183:$AH$190,'IDEES okt 2017 template'!O$162,FALSE),"")*$AR$6</f>
        <v>556.83728467543142</v>
      </c>
      <c r="R6" s="795">
        <f ca="1">IFERROR('All Stock'!P$16*VLOOKUP($A6,'IDEES okt 2017 template'!$C$183:$AH$190,'IDEES okt 2017 template'!P$162,FALSE),"")*$AR$6</f>
        <v>17.574094553684411</v>
      </c>
      <c r="S6" s="795">
        <f ca="1">IFERROR('All Stock'!Q$16*VLOOKUP($A6,'IDEES okt 2017 template'!$C$183:$AH$190,'IDEES okt 2017 template'!Q$162,FALSE),"")*$AR$6</f>
        <v>52.687764866624356</v>
      </c>
      <c r="T6" s="795">
        <f ca="1">IFERROR('All Stock'!R$16*VLOOKUP($A6,'IDEES okt 2017 template'!$C$183:$AH$190,'IDEES okt 2017 template'!R$162,FALSE),"")*$AR$6</f>
        <v>197.28011632906711</v>
      </c>
      <c r="U6" s="795">
        <f ca="1">IFERROR('All Stock'!S$16*VLOOKUP($A6,'IDEES okt 2017 template'!$C$183:$AH$190,'IDEES okt 2017 template'!S$162,FALSE),"")*$AR$6</f>
        <v>0</v>
      </c>
      <c r="V6" s="795">
        <f ca="1">IFERROR('All Stock'!T$16*VLOOKUP($A6,'IDEES okt 2017 template'!$C$183:$AH$190,'IDEES okt 2017 template'!T$162,FALSE),"")*$AR$6</f>
        <v>41.992969062722949</v>
      </c>
      <c r="W6" s="795">
        <f ca="1">IFERROR('All Stock'!U$16*VLOOKUP($A6,'IDEES okt 2017 template'!$C$183:$AH$190,'IDEES okt 2017 template'!U$162,FALSE),"")*$AR$6</f>
        <v>67.669681196295471</v>
      </c>
      <c r="X6" s="795">
        <f ca="1">IFERROR('All Stock'!V$16*VLOOKUP($A6,'IDEES okt 2017 template'!$C$183:$AH$190,'IDEES okt 2017 template'!V$162,FALSE),"")*$AR$6</f>
        <v>364.30565155706938</v>
      </c>
      <c r="Y6" s="795">
        <f ca="1">IFERROR('All Stock'!W$16*VLOOKUP($A6,'IDEES okt 2017 template'!$C$183:$AH$190,'IDEES okt 2017 template'!W$162,FALSE),"")*$AR$6</f>
        <v>0</v>
      </c>
      <c r="Z6" s="795">
        <f ca="1">IFERROR('All Stock'!X$16*VLOOKUP($A6,'IDEES okt 2017 template'!$C$183:$AH$190,'IDEES okt 2017 template'!X$162,FALSE),"")*$AR$6</f>
        <v>242.87591657265389</v>
      </c>
      <c r="AA6" s="795">
        <f ca="1">IFERROR('All Stock'!Y$16*VLOOKUP($A6,'IDEES okt 2017 template'!$C$183:$AH$190,'IDEES okt 2017 template'!Y$162,FALSE),"")*$AR$6</f>
        <v>0</v>
      </c>
      <c r="AB6" s="795">
        <f ca="1">IFERROR('All Stock'!Z$16*VLOOKUP($A6,'IDEES okt 2017 template'!$C$183:$AH$190,'IDEES okt 2017 template'!Z$162,FALSE),"")*$AR$6</f>
        <v>75.228517746669922</v>
      </c>
      <c r="AC6" s="795">
        <f ca="1">IFERROR('All Stock'!AA$16*VLOOKUP($A6,'IDEES okt 2017 template'!$C$183:$AH$190,'IDEES okt 2017 template'!AA$162,FALSE),"")*$AR$6</f>
        <v>23.727693015613998</v>
      </c>
      <c r="AD6" s="795">
        <f ca="1">IFERROR('All Stock'!AB$16*VLOOKUP($A6,'IDEES okt 2017 template'!$C$183:$AH$190,'IDEES okt 2017 template'!AB$162,FALSE),"")*$AR$6</f>
        <v>2390.285884002617</v>
      </c>
      <c r="AE6" s="795">
        <f ca="1">IFERROR('All Stock'!AC$16*VLOOKUP($A6,'IDEES okt 2017 template'!$C$183:$AH$190,'IDEES okt 2017 template'!AC$162,FALSE),"")*$AR$6</f>
        <v>3.4098660564203547</v>
      </c>
      <c r="AF6" s="795">
        <f ca="1">IFERROR('All Stock'!AD$16*VLOOKUP($A6,'IDEES okt 2017 template'!$C$183:$AH$190,'IDEES okt 2017 template'!AD$162,FALSE),"")*$AR$6</f>
        <v>481.24418320351168</v>
      </c>
      <c r="AG6" s="795">
        <f ca="1">IFERROR('All Stock'!AE$16*VLOOKUP($A6,'IDEES okt 2017 template'!$C$183:$AH$190,'IDEES okt 2017 template'!AE$162,FALSE),"")*$AR$6</f>
        <v>1110.8178847396268</v>
      </c>
      <c r="AH6" s="795">
        <f ca="1">IFERROR('All Stock'!AF$16*VLOOKUP($A6,'IDEES okt 2017 template'!$C$183:$AH$190,'IDEES okt 2017 template'!AF$162,FALSE),"")*$AR$6</f>
        <v>45.728205218306108</v>
      </c>
      <c r="AI6" s="795">
        <f ca="1">IFERROR('All Stock'!AG$16*VLOOKUP($A6,'IDEES okt 2017 template'!$C$183:$AH$190,'IDEES okt 2017 template'!AG$162,FALSE),"")*$AR$6</f>
        <v>188.77701860556536</v>
      </c>
      <c r="AJ6" s="795">
        <f ca="1">IFERROR('All Stock'!AH$16*VLOOKUP($A6,'IDEES okt 2017 template'!$C$183:$AH$190,'IDEES okt 2017 template'!AH$162,FALSE),"")*$AR$6</f>
        <v>0</v>
      </c>
      <c r="AK6" s="795">
        <f ca="1">IFERROR('All Stock'!AI$16*VLOOKUP($A6,'IDEES okt 2017 template'!$C$183:$AN$190,'IDEES okt 2017 template'!AI$162,FALSE),"")*$AR$6</f>
        <v>0</v>
      </c>
      <c r="AL6" s="795">
        <f ca="1">IFERROR('All Stock'!AJ$16*VLOOKUP($A6,'IDEES okt 2017 template'!$C$183:$AN$190,'IDEES okt 2017 template'!AJ$162,FALSE),"")*$AR$6</f>
        <v>50.529356450883775</v>
      </c>
      <c r="AM6" s="795">
        <f ca="1">IFERROR('All Stock'!AK$16*VLOOKUP($A6,'IDEES okt 2017 template'!$C$183:$AN$190,'IDEES okt 2017 template'!AK$162,FALSE),"")*$AR$6</f>
        <v>0</v>
      </c>
      <c r="AN6" s="795">
        <f ca="1">IFERROR('All Stock'!AL$16*VLOOKUP($A6,'IDEES okt 2017 template'!$C$183:$AN$190,'IDEES okt 2017 template'!AL$162,FALSE),"")*$AR$6</f>
        <v>15.848717500118495</v>
      </c>
      <c r="AO6" s="795">
        <f ca="1">IFERROR('All Stock'!AM$16*VLOOKUP($A6,'IDEES okt 2017 template'!$C$183:$AN$190,'IDEES okt 2017 template'!AM$162,FALSE),"")*$AR$6</f>
        <v>162.61466851416898</v>
      </c>
      <c r="AP6" s="795">
        <f ca="1">IFERROR('All Stock'!AN$16*VLOOKUP($A6,'IDEES okt 2017 template'!$C$183:$AN$190,'IDEES okt 2017 template'!AN$162,FALSE),"")*$AR$6</f>
        <v>2.4066436974169219</v>
      </c>
      <c r="AQ6" s="509"/>
      <c r="AR6" s="530">
        <v>1</v>
      </c>
      <c r="AS6" t="e">
        <f>#REF!</f>
        <v>#REF!</v>
      </c>
      <c r="AT6" s="509"/>
    </row>
    <row r="7" spans="1:49">
      <c r="A7" t="str">
        <f>TechComm!T26</f>
        <v>GDO and other liquids (incl. liq. bio.)</v>
      </c>
      <c r="C7" t="str">
        <f>TechComm!L51</f>
        <v>R_ES-WH-FL_OIL</v>
      </c>
      <c r="D7" t="str">
        <f>TechComm!U26</f>
        <v>RSDOIL</v>
      </c>
      <c r="E7" t="str">
        <f t="shared" si="0"/>
        <v>R_ES-FL-WatHeat</v>
      </c>
      <c r="F7" s="795">
        <f ca="1">IFERROR('All Stock'!D$16*VLOOKUP($A7,'IDEES okt 2017 template'!$C$183:$AH$190,'IDEES okt 2017 template'!D$162,FALSE),"")*$AR$7</f>
        <v>201.92547580762437</v>
      </c>
      <c r="G7" s="795">
        <f ca="1">IFERROR('All Stock'!E$16*VLOOKUP($A7,'IDEES okt 2017 template'!$C$183:$AH$190,'IDEES okt 2017 template'!E$162,FALSE),"")*$AR$7</f>
        <v>288.57121999596444</v>
      </c>
      <c r="H7" s="795">
        <f ca="1">IFERROR('All Stock'!F$16*VLOOKUP($A7,'IDEES okt 2017 template'!$C$183:$AH$190,'IDEES okt 2017 template'!F$162,FALSE),"")*$AR$7</f>
        <v>0</v>
      </c>
      <c r="I7" s="795">
        <f ca="1">IFERROR('All Stock'!G$16*VLOOKUP($A7,'IDEES okt 2017 template'!$C$183:$AH$190,'IDEES okt 2017 template'!G$162,FALSE),"")*$AR$7</f>
        <v>713.72409176637484</v>
      </c>
      <c r="J7" s="795">
        <f ca="1">IFERROR('All Stock'!H$16*VLOOKUP($A7,'IDEES okt 2017 template'!$C$183:$AH$190,'IDEES okt 2017 template'!H$162,FALSE),"")*$AR$7</f>
        <v>2.5137139931786736</v>
      </c>
      <c r="K7" s="795">
        <f ca="1">IFERROR('All Stock'!I$16*VLOOKUP($A7,'IDEES okt 2017 template'!$C$183:$AH$190,'IDEES okt 2017 template'!I$162,FALSE),"")*$AR$7</f>
        <v>0</v>
      </c>
      <c r="L7" s="795">
        <f ca="1">IFERROR('All Stock'!J$16*VLOOKUP($A7,'IDEES okt 2017 template'!$C$183:$AH$190,'IDEES okt 2017 template'!J$162,FALSE),"")*$AR$7</f>
        <v>3671.7845999189567</v>
      </c>
      <c r="M7" s="795">
        <f ca="1">IFERROR('All Stock'!K$16*VLOOKUP($A7,'IDEES okt 2017 template'!$C$183:$AH$190,'IDEES okt 2017 template'!K$162,FALSE),"")*$AR$7</f>
        <v>68.595755530857147</v>
      </c>
      <c r="N7" s="795">
        <f ca="1">IFERROR('All Stock'!L$16*VLOOKUP($A7,'IDEES okt 2017 template'!$C$183:$AH$190,'IDEES okt 2017 template'!L$162,FALSE),"")*$AR$7</f>
        <v>1.0099580250015838</v>
      </c>
      <c r="O7" s="795">
        <f ca="1">IFERROR('All Stock'!M$16*VLOOKUP($A7,'IDEES okt 2017 template'!$C$183:$AH$190,'IDEES okt 2017 template'!M$162,FALSE),"")*$AR$7</f>
        <v>635.53519346189034</v>
      </c>
      <c r="P7" s="795">
        <f ca="1">IFERROR('All Stock'!N$16*VLOOKUP($A7,'IDEES okt 2017 template'!$C$183:$AH$190,'IDEES okt 2017 template'!N$162,FALSE),"")*$AR$7</f>
        <v>89.857484923010603</v>
      </c>
      <c r="Q7" s="795">
        <f ca="1">IFERROR('All Stock'!O$16*VLOOKUP($A7,'IDEES okt 2017 template'!$C$183:$AH$190,'IDEES okt 2017 template'!O$162,FALSE),"")*$AR$7</f>
        <v>1077.7102564927889</v>
      </c>
      <c r="R7" s="795">
        <f ca="1">IFERROR('All Stock'!P$16*VLOOKUP($A7,'IDEES okt 2017 template'!$C$183:$AH$190,'IDEES okt 2017 template'!P$162,FALSE),"")*$AR$7</f>
        <v>150.81025326301275</v>
      </c>
      <c r="S7" s="795">
        <f ca="1">IFERROR('All Stock'!Q$16*VLOOKUP($A7,'IDEES okt 2017 template'!$C$183:$AH$190,'IDEES okt 2017 template'!Q$162,FALSE),"")*$AR$7</f>
        <v>34.322668149786921</v>
      </c>
      <c r="T7" s="795">
        <f ca="1">IFERROR('All Stock'!R$16*VLOOKUP($A7,'IDEES okt 2017 template'!$C$183:$AH$190,'IDEES okt 2017 template'!R$162,FALSE),"")*$AR$7</f>
        <v>0</v>
      </c>
      <c r="U7" s="795">
        <f ca="1">IFERROR('All Stock'!S$16*VLOOKUP($A7,'IDEES okt 2017 template'!$C$183:$AH$190,'IDEES okt 2017 template'!S$162,FALSE),"")*$AR$7</f>
        <v>45.447810094111787</v>
      </c>
      <c r="V7" s="795">
        <f ca="1">IFERROR('All Stock'!T$16*VLOOKUP($A7,'IDEES okt 2017 template'!$C$183:$AH$190,'IDEES okt 2017 template'!T$162,FALSE),"")*$AR$7</f>
        <v>0.30258303752228327</v>
      </c>
      <c r="W7" s="795">
        <f ca="1">IFERROR('All Stock'!U$16*VLOOKUP($A7,'IDEES okt 2017 template'!$C$183:$AH$190,'IDEES okt 2017 template'!U$162,FALSE),"")*$AR$7</f>
        <v>1033.548646396544</v>
      </c>
      <c r="X7" s="795">
        <f ca="1">IFERROR('All Stock'!V$16*VLOOKUP($A7,'IDEES okt 2017 template'!$C$183:$AH$190,'IDEES okt 2017 template'!V$162,FALSE),"")*$AR$7</f>
        <v>2.3008777993078064</v>
      </c>
      <c r="Y7" s="795">
        <f ca="1">IFERROR('All Stock'!W$16*VLOOKUP($A7,'IDEES okt 2017 template'!$C$183:$AH$190,'IDEES okt 2017 template'!W$162,FALSE),"")*$AR$7</f>
        <v>24.854506610165657</v>
      </c>
      <c r="Z7" s="795">
        <f ca="1">IFERROR('All Stock'!X$16*VLOOKUP($A7,'IDEES okt 2017 template'!$C$183:$AH$190,'IDEES okt 2017 template'!X$162,FALSE),"")*$AR$7</f>
        <v>10.764939971699828</v>
      </c>
      <c r="AA7" s="795">
        <f ca="1">IFERROR('All Stock'!Y$16*VLOOKUP($A7,'IDEES okt 2017 template'!$C$183:$AH$190,'IDEES okt 2017 template'!Y$162,FALSE),"")*$AR$7</f>
        <v>0</v>
      </c>
      <c r="AB7" s="795">
        <f ca="1">IFERROR('All Stock'!Z$16*VLOOKUP($A7,'IDEES okt 2017 template'!$C$183:$AH$190,'IDEES okt 2017 template'!Z$162,FALSE),"")*$AR$7</f>
        <v>9.6785698782807259</v>
      </c>
      <c r="AC7" s="795">
        <f ca="1">IFERROR('All Stock'!AA$16*VLOOKUP($A7,'IDEES okt 2017 template'!$C$183:$AH$190,'IDEES okt 2017 template'!AA$162,FALSE),"")*$AR$7</f>
        <v>26.540589256904696</v>
      </c>
      <c r="AD7" s="795">
        <f ca="1">IFERROR('All Stock'!AB$16*VLOOKUP($A7,'IDEES okt 2017 template'!$C$183:$AH$190,'IDEES okt 2017 template'!AB$162,FALSE),"")*$AR$7</f>
        <v>32.656187352869331</v>
      </c>
      <c r="AE7" s="795">
        <f ca="1">IFERROR('All Stock'!AC$16*VLOOKUP($A7,'IDEES okt 2017 template'!$C$183:$AH$190,'IDEES okt 2017 template'!AC$162,FALSE),"")*$AR$7</f>
        <v>40.00035181570032</v>
      </c>
      <c r="AF7" s="795">
        <f ca="1">IFERROR('All Stock'!AD$16*VLOOKUP($A7,'IDEES okt 2017 template'!$C$183:$AH$190,'IDEES okt 2017 template'!AD$162,FALSE),"")*$AR$7</f>
        <v>23.076681513683592</v>
      </c>
      <c r="AG7" s="795">
        <f ca="1">IFERROR('All Stock'!AE$16*VLOOKUP($A7,'IDEES okt 2017 template'!$C$183:$AH$190,'IDEES okt 2017 template'!AE$162,FALSE),"")*$AR$7</f>
        <v>14.119939836634416</v>
      </c>
      <c r="AH7" s="795">
        <f ca="1">IFERROR('All Stock'!AF$16*VLOOKUP($A7,'IDEES okt 2017 template'!$C$183:$AH$190,'IDEES okt 2017 template'!AF$162,FALSE),"")*$AR$7</f>
        <v>84.551037762727461</v>
      </c>
      <c r="AI7" s="795">
        <f ca="1">IFERROR('All Stock'!AG$16*VLOOKUP($A7,'IDEES okt 2017 template'!$C$183:$AH$190,'IDEES okt 2017 template'!AG$162,FALSE),"")*$AR$7</f>
        <v>0</v>
      </c>
      <c r="AJ7" s="795">
        <f ca="1">IFERROR('All Stock'!AH$16*VLOOKUP($A7,'IDEES okt 2017 template'!$C$183:$AH$190,'IDEES okt 2017 template'!AH$162,FALSE),"")*$AR$7</f>
        <v>208.20347586445567</v>
      </c>
      <c r="AK7" s="795">
        <f ca="1">IFERROR('All Stock'!AI$16*VLOOKUP($A7,'IDEES okt 2017 template'!$C$183:$AN$190,'IDEES okt 2017 template'!AI$162,FALSE),"")*$AR$7</f>
        <v>0.29824820375801375</v>
      </c>
      <c r="AL7" s="795">
        <f ca="1">IFERROR('All Stock'!AJ$16*VLOOKUP($A7,'IDEES okt 2017 template'!$C$183:$AN$190,'IDEES okt 2017 template'!AJ$162,FALSE),"")*$AR$7</f>
        <v>0</v>
      </c>
      <c r="AM7" s="795">
        <f ca="1">IFERROR('All Stock'!AK$16*VLOOKUP($A7,'IDEES okt 2017 template'!$C$183:$AN$190,'IDEES okt 2017 template'!AK$162,FALSE),"")*$AR$7</f>
        <v>0</v>
      </c>
      <c r="AN7" s="795">
        <f ca="1">IFERROR('All Stock'!AL$16*VLOOKUP($A7,'IDEES okt 2017 template'!$C$183:$AN$190,'IDEES okt 2017 template'!AL$162,FALSE),"")*$AR$7</f>
        <v>10.241033517341272</v>
      </c>
      <c r="AO7" s="795">
        <f ca="1">IFERROR('All Stock'!AM$16*VLOOKUP($A7,'IDEES okt 2017 template'!$C$183:$AN$190,'IDEES okt 2017 template'!AM$162,FALSE),"")*$AR$7</f>
        <v>0.29232079130504207</v>
      </c>
      <c r="AP7" s="795">
        <f ca="1">IFERROR('All Stock'!AN$16*VLOOKUP($A7,'IDEES okt 2017 template'!$C$183:$AN$190,'IDEES okt 2017 template'!AN$162,FALSE),"")*$AR$7</f>
        <v>6.4978147874874228</v>
      </c>
      <c r="AQ7" s="509"/>
      <c r="AR7" s="530">
        <v>1</v>
      </c>
      <c r="AS7" t="e">
        <f>#REF!</f>
        <v>#REF!</v>
      </c>
      <c r="AT7" s="509"/>
    </row>
    <row r="8" spans="1:49">
      <c r="A8" t="str">
        <f>TechComm!T27</f>
        <v>Biomass and wastes</v>
      </c>
      <c r="C8" t="str">
        <f>TechComm!L52</f>
        <v>R_ES-WH-FL_BIO</v>
      </c>
      <c r="D8" t="str">
        <f>TechComm!U27</f>
        <v>RSDBIO</v>
      </c>
      <c r="E8" t="str">
        <f t="shared" si="0"/>
        <v>R_ES-FL-WatHeat</v>
      </c>
      <c r="F8" s="795">
        <f ca="1">IFERROR('All Stock'!D$16*VLOOKUP($A8,'IDEES okt 2017 template'!$C$183:$AH$190,'IDEES okt 2017 template'!D$162,FALSE),"")*$AR$8</f>
        <v>129.76000834444122</v>
      </c>
      <c r="G8" s="795">
        <f ca="1">IFERROR('All Stock'!E$16*VLOOKUP($A8,'IDEES okt 2017 template'!$C$183:$AH$190,'IDEES okt 2017 template'!E$162,FALSE),"")*$AR$8</f>
        <v>17.947494904242873</v>
      </c>
      <c r="H8" s="795">
        <f ca="1">IFERROR('All Stock'!F$16*VLOOKUP($A8,'IDEES okt 2017 template'!$C$183:$AH$190,'IDEES okt 2017 template'!F$162,FALSE),"")*$AR$8</f>
        <v>37.109386251328822</v>
      </c>
      <c r="I8" s="795">
        <f ca="1">IFERROR('All Stock'!G$16*VLOOKUP($A8,'IDEES okt 2017 template'!$C$183:$AH$190,'IDEES okt 2017 template'!G$162,FALSE),"")*$AR$8</f>
        <v>27.196841526358</v>
      </c>
      <c r="J8" s="795">
        <f ca="1">IFERROR('All Stock'!H$16*VLOOKUP($A8,'IDEES okt 2017 template'!$C$183:$AH$190,'IDEES okt 2017 template'!H$162,FALSE),"")*$AR$8</f>
        <v>8.6679792868230104E-2</v>
      </c>
      <c r="K8" s="795">
        <f ca="1">IFERROR('All Stock'!I$16*VLOOKUP($A8,'IDEES okt 2017 template'!$C$183:$AH$190,'IDEES okt 2017 template'!I$162,FALSE),"")*$AR$8</f>
        <v>65.48522836241979</v>
      </c>
      <c r="L8" s="795">
        <f ca="1">IFERROR('All Stock'!J$16*VLOOKUP($A8,'IDEES okt 2017 template'!$C$183:$AH$190,'IDEES okt 2017 template'!J$162,FALSE),"")*$AR$8</f>
        <v>352.37991303005811</v>
      </c>
      <c r="M8" s="795">
        <f ca="1">IFERROR('All Stock'!K$16*VLOOKUP($A8,'IDEES okt 2017 template'!$C$183:$AH$190,'IDEES okt 2017 template'!K$162,FALSE),"")*$AR$8</f>
        <v>123.02233258895519</v>
      </c>
      <c r="N8" s="795">
        <f ca="1">IFERROR('All Stock'!L$16*VLOOKUP($A8,'IDEES okt 2017 template'!$C$183:$AH$190,'IDEES okt 2017 template'!L$162,FALSE),"")*$AR$8</f>
        <v>143.69458344605869</v>
      </c>
      <c r="O8" s="795">
        <f ca="1">IFERROR('All Stock'!M$16*VLOOKUP($A8,'IDEES okt 2017 template'!$C$183:$AH$190,'IDEES okt 2017 template'!M$162,FALSE),"")*$AR$8</f>
        <v>73.684691339861857</v>
      </c>
      <c r="P8" s="795">
        <f ca="1">IFERROR('All Stock'!N$16*VLOOKUP($A8,'IDEES okt 2017 template'!$C$183:$AH$190,'IDEES okt 2017 template'!N$162,FALSE),"")*$AR$8</f>
        <v>163.10424991750955</v>
      </c>
      <c r="Q8" s="795">
        <f ca="1">IFERROR('All Stock'!O$16*VLOOKUP($A8,'IDEES okt 2017 template'!$C$183:$AH$190,'IDEES okt 2017 template'!O$162,FALSE),"")*$AR$8</f>
        <v>428.9693822452262</v>
      </c>
      <c r="R8" s="795">
        <f ca="1">IFERROR('All Stock'!P$16*VLOOKUP($A8,'IDEES okt 2017 template'!$C$183:$AH$190,'IDEES okt 2017 template'!P$162,FALSE),"")*$AR$8</f>
        <v>19.617593920391901</v>
      </c>
      <c r="S8" s="795">
        <f ca="1">IFERROR('All Stock'!Q$16*VLOOKUP($A8,'IDEES okt 2017 template'!$C$183:$AH$190,'IDEES okt 2017 template'!Q$162,FALSE),"")*$AR$8</f>
        <v>24.322178509021668</v>
      </c>
      <c r="T8" s="795">
        <f ca="1">IFERROR('All Stock'!R$16*VLOOKUP($A8,'IDEES okt 2017 template'!$C$183:$AH$190,'IDEES okt 2017 template'!R$162,FALSE),"")*$AR$8</f>
        <v>34.853692205078502</v>
      </c>
      <c r="U8" s="795">
        <f ca="1">IFERROR('All Stock'!S$16*VLOOKUP($A8,'IDEES okt 2017 template'!$C$183:$AH$190,'IDEES okt 2017 template'!S$162,FALSE),"")*$AR$8</f>
        <v>1.1537574883140265</v>
      </c>
      <c r="V8" s="795">
        <f ca="1">IFERROR('All Stock'!T$16*VLOOKUP($A8,'IDEES okt 2017 template'!$C$183:$AH$190,'IDEES okt 2017 template'!T$162,FALSE),"")*$AR$8</f>
        <v>0</v>
      </c>
      <c r="W8" s="795">
        <f ca="1">IFERROR('All Stock'!U$16*VLOOKUP($A8,'IDEES okt 2017 template'!$C$183:$AH$190,'IDEES okt 2017 template'!U$162,FALSE),"")*$AR$8</f>
        <v>104.91150227134001</v>
      </c>
      <c r="X8" s="795">
        <f ca="1">IFERROR('All Stock'!V$16*VLOOKUP($A8,'IDEES okt 2017 template'!$C$183:$AH$190,'IDEES okt 2017 template'!V$162,FALSE),"")*$AR$8</f>
        <v>191.79459941372929</v>
      </c>
      <c r="Y8" s="795">
        <f ca="1">IFERROR('All Stock'!W$16*VLOOKUP($A8,'IDEES okt 2017 template'!$C$183:$AH$190,'IDEES okt 2017 template'!W$162,FALSE),"")*$AR$8</f>
        <v>1.5684882812240462</v>
      </c>
      <c r="Z8" s="795">
        <f ca="1">IFERROR('All Stock'!X$16*VLOOKUP($A8,'IDEES okt 2017 template'!$C$183:$AH$190,'IDEES okt 2017 template'!X$162,FALSE),"")*$AR$8</f>
        <v>226.96439175392629</v>
      </c>
      <c r="AA8" s="795">
        <f ca="1">IFERROR('All Stock'!Y$16*VLOOKUP($A8,'IDEES okt 2017 template'!$C$183:$AH$190,'IDEES okt 2017 template'!Y$162,FALSE),"")*$AR$8</f>
        <v>0</v>
      </c>
      <c r="AB8" s="795">
        <f ca="1">IFERROR('All Stock'!Z$16*VLOOKUP($A8,'IDEES okt 2017 template'!$C$183:$AH$190,'IDEES okt 2017 template'!Z$162,FALSE),"")*$AR$8</f>
        <v>36.191887862913184</v>
      </c>
      <c r="AC8" s="795">
        <f ca="1">IFERROR('All Stock'!AA$16*VLOOKUP($A8,'IDEES okt 2017 template'!$C$183:$AH$190,'IDEES okt 2017 template'!AA$162,FALSE),"")*$AR$8</f>
        <v>84.67523486749829</v>
      </c>
      <c r="AD8" s="795">
        <f ca="1">IFERROR('All Stock'!AB$16*VLOOKUP($A8,'IDEES okt 2017 template'!$C$183:$AH$190,'IDEES okt 2017 template'!AB$162,FALSE),"")*$AR$8</f>
        <v>624.72369786662125</v>
      </c>
      <c r="AE8" s="795">
        <f ca="1">IFERROR('All Stock'!AC$16*VLOOKUP($A8,'IDEES okt 2017 template'!$C$183:$AH$190,'IDEES okt 2017 template'!AC$162,FALSE),"")*$AR$8</f>
        <v>66.361239405719218</v>
      </c>
      <c r="AF8" s="795">
        <f ca="1">IFERROR('All Stock'!AD$16*VLOOKUP($A8,'IDEES okt 2017 template'!$C$183:$AH$190,'IDEES okt 2017 template'!AD$162,FALSE),"")*$AR$8</f>
        <v>699.44411829399803</v>
      </c>
      <c r="AG8" s="795">
        <f ca="1">IFERROR('All Stock'!AE$16*VLOOKUP($A8,'IDEES okt 2017 template'!$C$183:$AH$190,'IDEES okt 2017 template'!AE$162,FALSE),"")*$AR$8</f>
        <v>40.807365391739246</v>
      </c>
      <c r="AH8" s="795">
        <f ca="1">IFERROR('All Stock'!AF$16*VLOOKUP($A8,'IDEES okt 2017 template'!$C$183:$AH$190,'IDEES okt 2017 template'!AF$162,FALSE),"")*$AR$8</f>
        <v>124.36035211770374</v>
      </c>
      <c r="AI8" s="795">
        <f ca="1">IFERROR('All Stock'!AG$16*VLOOKUP($A8,'IDEES okt 2017 template'!$C$183:$AH$190,'IDEES okt 2017 template'!AG$162,FALSE),"")*$AR$8</f>
        <v>2.5259539810191725</v>
      </c>
      <c r="AJ8" s="795">
        <f ca="1">IFERROR('All Stock'!AH$16*VLOOKUP($A8,'IDEES okt 2017 template'!$C$183:$AH$190,'IDEES okt 2017 template'!AH$162,FALSE),"")*$AR$8</f>
        <v>0</v>
      </c>
      <c r="AK8" s="795">
        <f ca="1">IFERROR('All Stock'!AI$16*VLOOKUP($A8,'IDEES okt 2017 template'!$C$183:$AN$190,'IDEES okt 2017 template'!AI$162,FALSE),"")*$AR$8</f>
        <v>5.7009374611404446</v>
      </c>
      <c r="AL8" s="795">
        <f ca="1">IFERROR('All Stock'!AJ$16*VLOOKUP($A8,'IDEES okt 2017 template'!$C$183:$AN$190,'IDEES okt 2017 template'!AJ$162,FALSE),"")*$AR$8</f>
        <v>5.8067343724346916</v>
      </c>
      <c r="AM8" s="795">
        <f ca="1">IFERROR('All Stock'!AK$16*VLOOKUP($A8,'IDEES okt 2017 template'!$C$183:$AN$190,'IDEES okt 2017 template'!AK$162,FALSE),"")*$AR$8</f>
        <v>10.273832717514985</v>
      </c>
      <c r="AN8" s="795">
        <f ca="1">IFERROR('All Stock'!AL$16*VLOOKUP($A8,'IDEES okt 2017 template'!$C$183:$AN$190,'IDEES okt 2017 template'!AL$162,FALSE),"")*$AR$8</f>
        <v>5.1829159393263948</v>
      </c>
      <c r="AO8" s="795">
        <f ca="1">IFERROR('All Stock'!AM$16*VLOOKUP($A8,'IDEES okt 2017 template'!$C$183:$AN$190,'IDEES okt 2017 template'!AM$162,FALSE),"")*$AR$8</f>
        <v>25.908115904412675</v>
      </c>
      <c r="AP8" s="795">
        <f ca="1">IFERROR('All Stock'!AN$16*VLOOKUP($A8,'IDEES okt 2017 template'!$C$183:$AN$190,'IDEES okt 2017 template'!AN$162,FALSE),"")*$AR$8</f>
        <v>9.4435753703206622</v>
      </c>
      <c r="AQ8" s="509"/>
      <c r="AR8" s="530">
        <v>1</v>
      </c>
      <c r="AS8" t="e">
        <f>#REF!</f>
        <v>#REF!</v>
      </c>
      <c r="AT8" s="509"/>
    </row>
    <row r="9" spans="1:49">
      <c r="A9" t="str">
        <f>TechComm!T28</f>
        <v>Solids</v>
      </c>
      <c r="C9" t="str">
        <f>TechComm!L53</f>
        <v>R_ES-WH-FL_COA</v>
      </c>
      <c r="D9" t="str">
        <f>TechComm!U28</f>
        <v>RSDCOA</v>
      </c>
      <c r="E9" t="str">
        <f t="shared" si="0"/>
        <v>R_ES-FL-WatHeat</v>
      </c>
      <c r="F9" s="795">
        <f ca="1">IFERROR('All Stock'!D$16*VLOOKUP($A9,'IDEES okt 2017 template'!$C$183:$AH$190,'IDEES okt 2017 template'!D$162,FALSE),"")*$AR$9</f>
        <v>4.2826709886063679</v>
      </c>
      <c r="G9" s="795">
        <f ca="1">IFERROR('All Stock'!E$16*VLOOKUP($A9,'IDEES okt 2017 template'!$C$183:$AH$190,'IDEES okt 2017 template'!E$162,FALSE),"")*$AR$9</f>
        <v>0</v>
      </c>
      <c r="H9" s="795">
        <f ca="1">IFERROR('All Stock'!F$16*VLOOKUP($A9,'IDEES okt 2017 template'!$C$183:$AH$190,'IDEES okt 2017 template'!F$162,FALSE),"")*$AR$9</f>
        <v>3.7429294753495448</v>
      </c>
      <c r="I9" s="795">
        <f ca="1">IFERROR('All Stock'!G$16*VLOOKUP($A9,'IDEES okt 2017 template'!$C$183:$AH$190,'IDEES okt 2017 template'!G$162,FALSE),"")*$AR$9</f>
        <v>0</v>
      </c>
      <c r="J9" s="795">
        <f ca="1">IFERROR('All Stock'!H$16*VLOOKUP($A9,'IDEES okt 2017 template'!$C$183:$AH$190,'IDEES okt 2017 template'!H$162,FALSE),"")*$AR$9</f>
        <v>0</v>
      </c>
      <c r="K9" s="795">
        <f ca="1">IFERROR('All Stock'!I$16*VLOOKUP($A9,'IDEES okt 2017 template'!$C$183:$AH$190,'IDEES okt 2017 template'!I$162,FALSE),"")*$AR$9</f>
        <v>34.18679311472674</v>
      </c>
      <c r="L9" s="795">
        <f ca="1">IFERROR('All Stock'!J$16*VLOOKUP($A9,'IDEES okt 2017 template'!$C$183:$AH$190,'IDEES okt 2017 template'!J$162,FALSE),"")*$AR$9</f>
        <v>0</v>
      </c>
      <c r="M9" s="795">
        <f ca="1">IFERROR('All Stock'!K$16*VLOOKUP($A9,'IDEES okt 2017 template'!$C$183:$AH$190,'IDEES okt 2017 template'!K$162,FALSE),"")*$AR$9</f>
        <v>0</v>
      </c>
      <c r="N9" s="795">
        <f ca="1">IFERROR('All Stock'!L$16*VLOOKUP($A9,'IDEES okt 2017 template'!$C$183:$AH$190,'IDEES okt 2017 template'!L$162,FALSE),"")*$AR$9</f>
        <v>0</v>
      </c>
      <c r="O9" s="795">
        <f ca="1">IFERROR('All Stock'!M$16*VLOOKUP($A9,'IDEES okt 2017 template'!$C$183:$AH$190,'IDEES okt 2017 template'!M$162,FALSE),"")*$AR$9</f>
        <v>0</v>
      </c>
      <c r="P9" s="795">
        <f ca="1">IFERROR('All Stock'!N$16*VLOOKUP($A9,'IDEES okt 2017 template'!$C$183:$AH$190,'IDEES okt 2017 template'!N$162,FALSE),"")*$AR$9</f>
        <v>0</v>
      </c>
      <c r="Q9" s="795">
        <f ca="1">IFERROR('All Stock'!O$16*VLOOKUP($A9,'IDEES okt 2017 template'!$C$183:$AH$190,'IDEES okt 2017 template'!O$162,FALSE),"")*$AR$9</f>
        <v>0</v>
      </c>
      <c r="R9" s="795">
        <f ca="1">IFERROR('All Stock'!P$16*VLOOKUP($A9,'IDEES okt 2017 template'!$C$183:$AH$190,'IDEES okt 2017 template'!P$162,FALSE),"")*$AR$9</f>
        <v>0</v>
      </c>
      <c r="S9" s="795">
        <f ca="1">IFERROR('All Stock'!Q$16*VLOOKUP($A9,'IDEES okt 2017 template'!$C$183:$AH$190,'IDEES okt 2017 template'!Q$162,FALSE),"")*$AR$9</f>
        <v>0</v>
      </c>
      <c r="T9" s="795">
        <f ca="1">IFERROR('All Stock'!R$16*VLOOKUP($A9,'IDEES okt 2017 template'!$C$183:$AH$190,'IDEES okt 2017 template'!R$162,FALSE),"")*$AR$9</f>
        <v>1.7184028311185546</v>
      </c>
      <c r="U9" s="795">
        <f ca="1">IFERROR('All Stock'!S$16*VLOOKUP($A9,'IDEES okt 2017 template'!$C$183:$AH$190,'IDEES okt 2017 template'!S$162,FALSE),"")*$AR$9</f>
        <v>17.929763548234909</v>
      </c>
      <c r="V9" s="795">
        <f ca="1">IFERROR('All Stock'!T$16*VLOOKUP($A9,'IDEES okt 2017 template'!$C$183:$AH$190,'IDEES okt 2017 template'!T$162,FALSE),"")*$AR$9</f>
        <v>0</v>
      </c>
      <c r="W9" s="795">
        <f ca="1">IFERROR('All Stock'!U$16*VLOOKUP($A9,'IDEES okt 2017 template'!$C$183:$AH$190,'IDEES okt 2017 template'!U$162,FALSE),"")*$AR$9</f>
        <v>0</v>
      </c>
      <c r="X9" s="795">
        <f ca="1">IFERROR('All Stock'!V$16*VLOOKUP($A9,'IDEES okt 2017 template'!$C$183:$AH$190,'IDEES okt 2017 template'!V$162,FALSE),"")*$AR$9</f>
        <v>0</v>
      </c>
      <c r="Y9" s="795">
        <f ca="1">IFERROR('All Stock'!W$16*VLOOKUP($A9,'IDEES okt 2017 template'!$C$183:$AH$190,'IDEES okt 2017 template'!W$162,FALSE),"")*$AR$9</f>
        <v>0</v>
      </c>
      <c r="Z9" s="795">
        <f ca="1">IFERROR('All Stock'!X$16*VLOOKUP($A9,'IDEES okt 2017 template'!$C$183:$AH$190,'IDEES okt 2017 template'!X$162,FALSE),"")*$AR$9</f>
        <v>0</v>
      </c>
      <c r="AA9" s="795">
        <f ca="1">IFERROR('All Stock'!Y$16*VLOOKUP($A9,'IDEES okt 2017 template'!$C$183:$AH$190,'IDEES okt 2017 template'!Y$162,FALSE),"")*$AR$9</f>
        <v>0</v>
      </c>
      <c r="AB9" s="795">
        <f ca="1">IFERROR('All Stock'!Z$16*VLOOKUP($A9,'IDEES okt 2017 template'!$C$183:$AH$190,'IDEES okt 2017 template'!Z$162,FALSE),"")*$AR$9</f>
        <v>0</v>
      </c>
      <c r="AC9" s="795">
        <f ca="1">IFERROR('All Stock'!AA$16*VLOOKUP($A9,'IDEES okt 2017 template'!$C$183:$AH$190,'IDEES okt 2017 template'!AA$162,FALSE),"")*$AR$9</f>
        <v>0</v>
      </c>
      <c r="AD9" s="795">
        <f ca="1">IFERROR('All Stock'!AB$16*VLOOKUP($A9,'IDEES okt 2017 template'!$C$183:$AH$190,'IDEES okt 2017 template'!AB$162,FALSE),"")*$AR$9</f>
        <v>1950.4333510317422</v>
      </c>
      <c r="AE9" s="795">
        <f ca="1">IFERROR('All Stock'!AC$16*VLOOKUP($A9,'IDEES okt 2017 template'!$C$183:$AH$190,'IDEES okt 2017 template'!AC$162,FALSE),"")*$AR$9</f>
        <v>0</v>
      </c>
      <c r="AF9" s="795">
        <f ca="1">IFERROR('All Stock'!AD$16*VLOOKUP($A9,'IDEES okt 2017 template'!$C$183:$AH$190,'IDEES okt 2017 template'!AD$162,FALSE),"")*$AR$9</f>
        <v>0</v>
      </c>
      <c r="AG9" s="795">
        <f ca="1">IFERROR('All Stock'!AE$16*VLOOKUP($A9,'IDEES okt 2017 template'!$C$183:$AH$190,'IDEES okt 2017 template'!AE$162,FALSE),"")*$AR$9</f>
        <v>0</v>
      </c>
      <c r="AH9" s="795">
        <f ca="1">IFERROR('All Stock'!AF$16*VLOOKUP($A9,'IDEES okt 2017 template'!$C$183:$AH$190,'IDEES okt 2017 template'!AF$162,FALSE),"")*$AR$9</f>
        <v>0</v>
      </c>
      <c r="AI9" s="795">
        <f ca="1">IFERROR('All Stock'!AG$16*VLOOKUP($A9,'IDEES okt 2017 template'!$C$183:$AH$190,'IDEES okt 2017 template'!AG$162,FALSE),"")*$AR$9</f>
        <v>0</v>
      </c>
      <c r="AJ9" s="795">
        <f ca="1">IFERROR('All Stock'!AH$16*VLOOKUP($A9,'IDEES okt 2017 template'!$C$183:$AH$190,'IDEES okt 2017 template'!AH$162,FALSE),"")*$AR$9</f>
        <v>15.087753011385063</v>
      </c>
      <c r="AK9" s="795">
        <f ca="1">IFERROR('All Stock'!AI$16*VLOOKUP($A9,'IDEES okt 2017 template'!$C$183:$AN$190,'IDEES okt 2017 template'!AI$162,FALSE),"")*$AR$9</f>
        <v>0</v>
      </c>
      <c r="AL9" s="795">
        <f ca="1">IFERROR('All Stock'!AJ$16*VLOOKUP($A9,'IDEES okt 2017 template'!$C$183:$AN$190,'IDEES okt 2017 template'!AJ$162,FALSE),"")*$AR$9</f>
        <v>0</v>
      </c>
      <c r="AM9" s="795">
        <f ca="1">IFERROR('All Stock'!AK$16*VLOOKUP($A9,'IDEES okt 2017 template'!$C$183:$AN$190,'IDEES okt 2017 template'!AK$162,FALSE),"")*$AR$9</f>
        <v>0</v>
      </c>
      <c r="AN9" s="795">
        <f ca="1">IFERROR('All Stock'!AL$16*VLOOKUP($A9,'IDEES okt 2017 template'!$C$183:$AN$190,'IDEES okt 2017 template'!AL$162,FALSE),"")*$AR$9</f>
        <v>0</v>
      </c>
      <c r="AO9" s="795">
        <f ca="1">IFERROR('All Stock'!AM$16*VLOOKUP($A9,'IDEES okt 2017 template'!$C$183:$AN$190,'IDEES okt 2017 template'!AM$162,FALSE),"")*$AR$9</f>
        <v>0</v>
      </c>
      <c r="AP9" s="795">
        <f ca="1">IFERROR('All Stock'!AN$16*VLOOKUP($A9,'IDEES okt 2017 template'!$C$183:$AN$190,'IDEES okt 2017 template'!AN$162,FALSE),"")*$AR$9</f>
        <v>0</v>
      </c>
      <c r="AQ9" s="509"/>
      <c r="AR9" s="530">
        <v>1</v>
      </c>
      <c r="AS9" t="e">
        <f>#REF!</f>
        <v>#REF!</v>
      </c>
      <c r="AT9" s="509"/>
    </row>
    <row r="10" spans="1:49">
      <c r="A10" t="str">
        <f>TechComm!T29</f>
        <v>LPG</v>
      </c>
      <c r="C10" t="str">
        <f>TechComm!L54</f>
        <v>R_ES-WH-FL_LPG</v>
      </c>
      <c r="D10" t="str">
        <f>TechComm!U29</f>
        <v>RSDLPG</v>
      </c>
      <c r="E10" t="str">
        <f t="shared" si="0"/>
        <v>R_ES-FL-WatHeat</v>
      </c>
      <c r="F10" s="795">
        <f ca="1">IFERROR('All Stock'!D$16*VLOOKUP($A10,'IDEES okt 2017 template'!$C$183:$AH$190,'IDEES okt 2017 template'!D$162,FALSE),"")*$AR$10</f>
        <v>20.182702360098975</v>
      </c>
      <c r="G10" s="795">
        <f ca="1">IFERROR('All Stock'!E$16*VLOOKUP($A10,'IDEES okt 2017 template'!$C$183:$AH$190,'IDEES okt 2017 template'!E$162,FALSE),"")*$AR$10</f>
        <v>11.396925547501409</v>
      </c>
      <c r="H10" s="795">
        <f ca="1">IFERROR('All Stock'!F$16*VLOOKUP($A10,'IDEES okt 2017 template'!$C$183:$AH$190,'IDEES okt 2017 template'!F$162,FALSE),"")*$AR$10</f>
        <v>0.38389020259995332</v>
      </c>
      <c r="I10" s="795">
        <f ca="1">IFERROR('All Stock'!G$16*VLOOKUP($A10,'IDEES okt 2017 template'!$C$183:$AH$190,'IDEES okt 2017 template'!G$162,FALSE),"")*$AR$10</f>
        <v>0</v>
      </c>
      <c r="J10" s="795">
        <f ca="1">IFERROR('All Stock'!H$16*VLOOKUP($A10,'IDEES okt 2017 template'!$C$183:$AH$190,'IDEES okt 2017 template'!H$162,FALSE),"")*$AR$10</f>
        <v>1.0979440429975815</v>
      </c>
      <c r="K10" s="795">
        <f ca="1">IFERROR('All Stock'!I$16*VLOOKUP($A10,'IDEES okt 2017 template'!$C$183:$AH$190,'IDEES okt 2017 template'!I$162,FALSE),"")*$AR$10</f>
        <v>7.433970247939194</v>
      </c>
      <c r="L10" s="795">
        <f ca="1">IFERROR('All Stock'!J$16*VLOOKUP($A10,'IDEES okt 2017 template'!$C$183:$AH$190,'IDEES okt 2017 template'!J$162,FALSE),"")*$AR$10</f>
        <v>444.49331758843448</v>
      </c>
      <c r="M10" s="795">
        <f ca="1">IFERROR('All Stock'!K$16*VLOOKUP($A10,'IDEES okt 2017 template'!$C$183:$AH$190,'IDEES okt 2017 template'!K$162,FALSE),"")*$AR$10</f>
        <v>7.4633251389532784</v>
      </c>
      <c r="N10" s="795">
        <f ca="1">IFERROR('All Stock'!L$16*VLOOKUP($A10,'IDEES okt 2017 template'!$C$183:$AH$190,'IDEES okt 2017 template'!L$162,FALSE),"")*$AR$10</f>
        <v>3.3665267500052791</v>
      </c>
      <c r="O10" s="795">
        <f ca="1">IFERROR('All Stock'!M$16*VLOOKUP($A10,'IDEES okt 2017 template'!$C$183:$AH$190,'IDEES okt 2017 template'!M$162,FALSE),"")*$AR$10</f>
        <v>1288.8954971554574</v>
      </c>
      <c r="P10" s="795">
        <f ca="1">IFERROR('All Stock'!N$16*VLOOKUP($A10,'IDEES okt 2017 template'!$C$183:$AH$190,'IDEES okt 2017 template'!N$162,FALSE),"")*$AR$10</f>
        <v>8.6518541220566405</v>
      </c>
      <c r="Q10" s="795">
        <f ca="1">IFERROR('All Stock'!O$16*VLOOKUP($A10,'IDEES okt 2017 template'!$C$183:$AH$190,'IDEES okt 2017 template'!O$162,FALSE),"")*$AR$10</f>
        <v>716.6369955233007</v>
      </c>
      <c r="R10" s="795">
        <f ca="1">IFERROR('All Stock'!P$16*VLOOKUP($A10,'IDEES okt 2017 template'!$C$183:$AH$190,'IDEES okt 2017 template'!P$162,FALSE),"")*$AR$10</f>
        <v>38.588079707993096</v>
      </c>
      <c r="S10" s="795">
        <f ca="1">IFERROR('All Stock'!Q$16*VLOOKUP($A10,'IDEES okt 2017 template'!$C$183:$AH$190,'IDEES okt 2017 template'!Q$162,FALSE),"")*$AR$10</f>
        <v>51.576599350983763</v>
      </c>
      <c r="T10" s="795">
        <f ca="1">IFERROR('All Stock'!R$16*VLOOKUP($A10,'IDEES okt 2017 template'!$C$183:$AH$190,'IDEES okt 2017 template'!R$162,FALSE),"")*$AR$10</f>
        <v>94.736295211231607</v>
      </c>
      <c r="U10" s="795">
        <f ca="1">IFERROR('All Stock'!S$16*VLOOKUP($A10,'IDEES okt 2017 template'!$C$183:$AH$190,'IDEES okt 2017 template'!S$162,FALSE),"")*$AR$10</f>
        <v>6.2572734749288932</v>
      </c>
      <c r="V10" s="795">
        <f ca="1">IFERROR('All Stock'!T$16*VLOOKUP($A10,'IDEES okt 2017 template'!$C$183:$AH$190,'IDEES okt 2017 template'!T$162,FALSE),"")*$AR$10</f>
        <v>1.0378096748240033</v>
      </c>
      <c r="W10" s="795">
        <f ca="1">IFERROR('All Stock'!U$16*VLOOKUP($A10,'IDEES okt 2017 template'!$C$183:$AH$190,'IDEES okt 2017 template'!U$162,FALSE),"")*$AR$10</f>
        <v>1883.707757467711</v>
      </c>
      <c r="X10" s="795">
        <f ca="1">IFERROR('All Stock'!V$16*VLOOKUP($A10,'IDEES okt 2017 template'!$C$183:$AH$190,'IDEES okt 2017 template'!V$162,FALSE),"")*$AR$10</f>
        <v>27.172271153730286</v>
      </c>
      <c r="Y10" s="795">
        <f ca="1">IFERROR('All Stock'!W$16*VLOOKUP($A10,'IDEES okt 2017 template'!$C$183:$AH$190,'IDEES okt 2017 template'!W$162,FALSE),"")*$AR$10</f>
        <v>0.79630943508297736</v>
      </c>
      <c r="Z10" s="795">
        <f ca="1">IFERROR('All Stock'!X$16*VLOOKUP($A10,'IDEES okt 2017 template'!$C$183:$AH$190,'IDEES okt 2017 template'!X$162,FALSE),"")*$AR$10</f>
        <v>15.353978126966288</v>
      </c>
      <c r="AA10" s="795">
        <f ca="1">IFERROR('All Stock'!Y$16*VLOOKUP($A10,'IDEES okt 2017 template'!$C$183:$AH$190,'IDEES okt 2017 template'!Y$162,FALSE),"")*$AR$10</f>
        <v>10.614167376513102</v>
      </c>
      <c r="AB10" s="795">
        <f ca="1">IFERROR('All Stock'!Z$16*VLOOKUP($A10,'IDEES okt 2017 template'!$C$183:$AH$190,'IDEES okt 2017 template'!Z$162,FALSE),"")*$AR$10</f>
        <v>5.9795993752575347</v>
      </c>
      <c r="AC10" s="795">
        <f ca="1">IFERROR('All Stock'!AA$16*VLOOKUP($A10,'IDEES okt 2017 template'!$C$183:$AH$190,'IDEES okt 2017 template'!AA$162,FALSE),"")*$AR$10</f>
        <v>12.279875180446732</v>
      </c>
      <c r="AD10" s="795">
        <f ca="1">IFERROR('All Stock'!AB$16*VLOOKUP($A10,'IDEES okt 2017 template'!$C$183:$AH$190,'IDEES okt 2017 template'!AB$162,FALSE),"")*$AR$10</f>
        <v>191.9131389457724</v>
      </c>
      <c r="AE10" s="795">
        <f ca="1">IFERROR('All Stock'!AC$16*VLOOKUP($A10,'IDEES okt 2017 template'!$C$183:$AH$190,'IDEES okt 2017 template'!AC$162,FALSE),"")*$AR$10</f>
        <v>141.62601795875824</v>
      </c>
      <c r="AF10" s="795">
        <f ca="1">IFERROR('All Stock'!AD$16*VLOOKUP($A10,'IDEES okt 2017 template'!$C$183:$AH$190,'IDEES okt 2017 template'!AD$162,FALSE),"")*$AR$10</f>
        <v>51.501767332807624</v>
      </c>
      <c r="AG10" s="795">
        <f ca="1">IFERROR('All Stock'!AE$16*VLOOKUP($A10,'IDEES okt 2017 template'!$C$183:$AH$190,'IDEES okt 2017 template'!AE$162,FALSE),"")*$AR$10</f>
        <v>0</v>
      </c>
      <c r="AH10" s="795">
        <f ca="1">IFERROR('All Stock'!AF$16*VLOOKUP($A10,'IDEES okt 2017 template'!$C$183:$AH$190,'IDEES okt 2017 template'!AF$162,FALSE),"")*$AR$10</f>
        <v>18.615866424988919</v>
      </c>
      <c r="AI10" s="795">
        <f ca="1">IFERROR('All Stock'!AG$16*VLOOKUP($A10,'IDEES okt 2017 template'!$C$183:$AH$190,'IDEES okt 2017 template'!AG$162,FALSE),"")*$AR$10</f>
        <v>7.0300646941617932</v>
      </c>
      <c r="AJ10" s="795">
        <f ca="1">IFERROR('All Stock'!AH$16*VLOOKUP($A10,'IDEES okt 2017 template'!$C$183:$AH$190,'IDEES okt 2017 template'!AH$162,FALSE),"")*$AR$10</f>
        <v>55.334287196175616</v>
      </c>
      <c r="AK10" s="795">
        <f ca="1">IFERROR('All Stock'!AI$16*VLOOKUP($A10,'IDEES okt 2017 template'!$C$183:$AN$190,'IDEES okt 2017 template'!AI$162,FALSE),"")*$AR$10</f>
        <v>60.828003433746183</v>
      </c>
      <c r="AL10" s="795">
        <f ca="1">IFERROR('All Stock'!AJ$16*VLOOKUP($A10,'IDEES okt 2017 template'!$C$183:$AN$190,'IDEES okt 2017 template'!AJ$162,FALSE),"")*$AR$10</f>
        <v>0</v>
      </c>
      <c r="AM10" s="795">
        <f ca="1">IFERROR('All Stock'!AK$16*VLOOKUP($A10,'IDEES okt 2017 template'!$C$183:$AN$190,'IDEES okt 2017 template'!AK$162,FALSE),"")*$AR$10</f>
        <v>0</v>
      </c>
      <c r="AN10" s="795">
        <f ca="1">IFERROR('All Stock'!AL$16*VLOOKUP($A10,'IDEES okt 2017 template'!$C$183:$AN$190,'IDEES okt 2017 template'!AL$162,FALSE),"")*$AR$10</f>
        <v>8.1311417472454508</v>
      </c>
      <c r="AO10" s="795">
        <f ca="1">IFERROR('All Stock'!AM$16*VLOOKUP($A10,'IDEES okt 2017 template'!$C$183:$AN$190,'IDEES okt 2017 template'!AM$162,FALSE),"")*$AR$10</f>
        <v>22.743440725144318</v>
      </c>
      <c r="AP10" s="795">
        <f ca="1">IFERROR('All Stock'!AN$16*VLOOKUP($A10,'IDEES okt 2017 template'!$C$183:$AN$190,'IDEES okt 2017 template'!AN$162,FALSE),"")*$AR$10</f>
        <v>13.247992583492056</v>
      </c>
      <c r="AQ10" s="509"/>
      <c r="AR10" s="530">
        <v>1</v>
      </c>
      <c r="AS10" t="e">
        <f>#REF!</f>
        <v>#REF!</v>
      </c>
      <c r="AT10" s="509"/>
    </row>
    <row r="11" spans="1:49">
      <c r="A11" s="692" t="s">
        <v>536</v>
      </c>
      <c r="B11" s="692"/>
      <c r="C11" s="692" t="str">
        <f>TechComm!L55</f>
        <v>R_ES-WH-FL_SOL</v>
      </c>
      <c r="D11" s="692" t="str">
        <f>TechComm!U30</f>
        <v>RSDSOL</v>
      </c>
      <c r="E11" s="692" t="str">
        <f t="shared" si="0"/>
        <v>R_ES-FL-WatHeat</v>
      </c>
      <c r="F11" s="795">
        <f ca="1">IFERROR('All Stock'!D$16*VLOOKUP($A11,'IDEES okt 2017 template'!$C$183:$AH$190,'IDEES okt 2017 template'!D$162,FALSE),"")*$AR$10</f>
        <v>251.84074457138135</v>
      </c>
      <c r="G11" s="795">
        <f ca="1">IFERROR('All Stock'!E$16*VLOOKUP($A11,'IDEES okt 2017 template'!$C$183:$AH$190,'IDEES okt 2017 template'!E$162,FALSE),"")*$AR$10</f>
        <v>14.951807698415987</v>
      </c>
      <c r="H11" s="795">
        <f ca="1">IFERROR('All Stock'!F$16*VLOOKUP($A11,'IDEES okt 2017 template'!$C$183:$AH$190,'IDEES okt 2017 template'!F$162,FALSE),"")*$AR$10</f>
        <v>20.634098389747493</v>
      </c>
      <c r="I11" s="795">
        <f ca="1">IFERROR('All Stock'!G$16*VLOOKUP($A11,'IDEES okt 2017 template'!$C$183:$AH$190,'IDEES okt 2017 template'!G$162,FALSE),"")*$AR$10</f>
        <v>86.664739585439136</v>
      </c>
      <c r="J11" s="795">
        <f ca="1">IFERROR('All Stock'!H$16*VLOOKUP($A11,'IDEES okt 2017 template'!$C$183:$AH$190,'IDEES okt 2017 template'!H$162,FALSE),"")*$AR$10</f>
        <v>74.631301659546125</v>
      </c>
      <c r="K11" s="795">
        <f ca="1">IFERROR('All Stock'!I$16*VLOOKUP($A11,'IDEES okt 2017 template'!$C$183:$AH$190,'IDEES okt 2017 template'!I$162,FALSE),"")*$AR$10</f>
        <v>32.340138084983892</v>
      </c>
      <c r="L11" s="795">
        <f ca="1">IFERROR('All Stock'!J$16*VLOOKUP($A11,'IDEES okt 2017 template'!$C$183:$AH$190,'IDEES okt 2017 template'!J$162,FALSE),"")*$AR$10</f>
        <v>1453.3448274766042</v>
      </c>
      <c r="M11" s="795">
        <f ca="1">IFERROR('All Stock'!K$16*VLOOKUP($A11,'IDEES okt 2017 template'!$C$183:$AH$190,'IDEES okt 2017 template'!K$162,FALSE),"")*$AR$10</f>
        <v>23.414790212059383</v>
      </c>
      <c r="N11" s="795">
        <f ca="1">IFERROR('All Stock'!L$16*VLOOKUP($A11,'IDEES okt 2017 template'!$C$183:$AH$190,'IDEES okt 2017 template'!L$162,FALSE),"")*$AR$10</f>
        <v>0</v>
      </c>
      <c r="O11" s="795">
        <f ca="1">IFERROR('All Stock'!M$16*VLOOKUP($A11,'IDEES okt 2017 template'!$C$183:$AH$190,'IDEES okt 2017 template'!M$162,FALSE),"")*$AR$10</f>
        <v>569.57093203128966</v>
      </c>
      <c r="P11" s="795">
        <f ca="1">IFERROR('All Stock'!N$16*VLOOKUP($A11,'IDEES okt 2017 template'!$C$183:$AH$190,'IDEES okt 2017 template'!N$162,FALSE),"")*$AR$10</f>
        <v>1.9529670712409408</v>
      </c>
      <c r="Q11" s="795">
        <f ca="1">IFERROR('All Stock'!O$16*VLOOKUP($A11,'IDEES okt 2017 template'!$C$183:$AH$190,'IDEES okt 2017 template'!O$162,FALSE),"")*$AR$10</f>
        <v>100.0623776259838</v>
      </c>
      <c r="R11" s="795">
        <f ca="1">IFERROR('All Stock'!P$16*VLOOKUP($A11,'IDEES okt 2017 template'!$C$183:$AH$190,'IDEES okt 2017 template'!P$162,FALSE),"")*$AR$10</f>
        <v>611.95994368333629</v>
      </c>
      <c r="S11" s="795">
        <f ca="1">IFERROR('All Stock'!Q$16*VLOOKUP($A11,'IDEES okt 2017 template'!$C$183:$AH$190,'IDEES okt 2017 template'!Q$162,FALSE),"")*$AR$10</f>
        <v>16.081034268020673</v>
      </c>
      <c r="T11" s="795">
        <f ca="1">IFERROR('All Stock'!R$16*VLOOKUP($A11,'IDEES okt 2017 template'!$C$183:$AH$190,'IDEES okt 2017 template'!R$162,FALSE),"")*$AR$10</f>
        <v>19.014500892159656</v>
      </c>
      <c r="U11" s="795">
        <f ca="1">IFERROR('All Stock'!S$16*VLOOKUP($A11,'IDEES okt 2017 template'!$C$183:$AH$190,'IDEES okt 2017 template'!S$162,FALSE),"")*$AR$10</f>
        <v>2.488952646161307</v>
      </c>
      <c r="V11" s="795">
        <f ca="1">IFERROR('All Stock'!T$16*VLOOKUP($A11,'IDEES okt 2017 template'!$C$183:$AH$190,'IDEES okt 2017 template'!T$162,FALSE),"")*$AR$10</f>
        <v>0</v>
      </c>
      <c r="W11" s="795">
        <f ca="1">IFERROR('All Stock'!U$16*VLOOKUP($A11,'IDEES okt 2017 template'!$C$183:$AH$190,'IDEES okt 2017 template'!U$162,FALSE),"")*$AR$10</f>
        <v>583.06358989099715</v>
      </c>
      <c r="X11" s="795">
        <f ca="1">IFERROR('All Stock'!V$16*VLOOKUP($A11,'IDEES okt 2017 template'!$C$183:$AH$190,'IDEES okt 2017 template'!V$162,FALSE),"")*$AR$10</f>
        <v>0</v>
      </c>
      <c r="Y11" s="795">
        <f ca="1">IFERROR('All Stock'!W$16*VLOOKUP($A11,'IDEES okt 2017 template'!$C$183:$AH$190,'IDEES okt 2017 template'!W$162,FALSE),"")*$AR$10</f>
        <v>2.0752306490041224</v>
      </c>
      <c r="Z11" s="795">
        <f ca="1">IFERROR('All Stock'!X$16*VLOOKUP($A11,'IDEES okt 2017 template'!$C$183:$AH$190,'IDEES okt 2017 template'!X$162,FALSE),"")*$AR$10</f>
        <v>0</v>
      </c>
      <c r="AA11" s="795">
        <f ca="1">IFERROR('All Stock'!Y$16*VLOOKUP($A11,'IDEES okt 2017 template'!$C$183:$AH$190,'IDEES okt 2017 template'!Y$162,FALSE),"")*$AR$10</f>
        <v>0</v>
      </c>
      <c r="AB11" s="795">
        <f ca="1">IFERROR('All Stock'!Z$16*VLOOKUP($A11,'IDEES okt 2017 template'!$C$183:$AH$190,'IDEES okt 2017 template'!Z$162,FALSE),"")*$AR$10</f>
        <v>33.29879328647457</v>
      </c>
      <c r="AC11" s="795">
        <f ca="1">IFERROR('All Stock'!AA$16*VLOOKUP($A11,'IDEES okt 2017 template'!$C$183:$AH$190,'IDEES okt 2017 template'!AA$162,FALSE),"")*$AR$10</f>
        <v>0</v>
      </c>
      <c r="AD11" s="795">
        <f ca="1">IFERROR('All Stock'!AB$16*VLOOKUP($A11,'IDEES okt 2017 template'!$C$183:$AH$190,'IDEES okt 2017 template'!AB$162,FALSE),"")*$AR$10</f>
        <v>0</v>
      </c>
      <c r="AE11" s="795">
        <f ca="1">IFERROR('All Stock'!AC$16*VLOOKUP($A11,'IDEES okt 2017 template'!$C$183:$AH$190,'IDEES okt 2017 template'!AC$162,FALSE),"")*$AR$10</f>
        <v>50.914837611678294</v>
      </c>
      <c r="AF11" s="795">
        <f ca="1">IFERROR('All Stock'!AD$16*VLOOKUP($A11,'IDEES okt 2017 template'!$C$183:$AH$190,'IDEES okt 2017 template'!AD$162,FALSE),"")*$AR$10</f>
        <v>0</v>
      </c>
      <c r="AG11" s="795">
        <f ca="1">IFERROR('All Stock'!AE$16*VLOOKUP($A11,'IDEES okt 2017 template'!$C$183:$AH$190,'IDEES okt 2017 template'!AE$162,FALSE),"")*$AR$10</f>
        <v>38.146015474886696</v>
      </c>
      <c r="AH11" s="795">
        <f ca="1">IFERROR('All Stock'!AF$16*VLOOKUP($A11,'IDEES okt 2017 template'!$C$183:$AH$190,'IDEES okt 2017 template'!AF$162,FALSE),"")*$AR$10</f>
        <v>16.10192890776819</v>
      </c>
      <c r="AI11" s="795">
        <f ca="1">IFERROR('All Stock'!AG$16*VLOOKUP($A11,'IDEES okt 2017 template'!$C$183:$AH$190,'IDEES okt 2017 template'!AG$162,FALSE),"")*$AR$10</f>
        <v>0</v>
      </c>
      <c r="AJ11" s="795">
        <f ca="1">IFERROR('All Stock'!AH$16*VLOOKUP($A11,'IDEES okt 2017 template'!$C$183:$AH$190,'IDEES okt 2017 template'!AH$162,FALSE),"")*$AR$10</f>
        <v>81.695579194896965</v>
      </c>
      <c r="AK11" s="795">
        <f ca="1">IFERROR('All Stock'!AI$16*VLOOKUP($A11,'IDEES okt 2017 template'!$C$183:$AN$190,'IDEES okt 2017 template'!AI$162,FALSE),"")*$AR$10</f>
        <v>6.6727887811494453</v>
      </c>
      <c r="AL11" s="795">
        <f ca="1">IFERROR('All Stock'!AJ$16*VLOOKUP($A11,'IDEES okt 2017 template'!$C$183:$AN$190,'IDEES okt 2017 template'!AJ$162,FALSE),"")*$AR$10</f>
        <v>0</v>
      </c>
      <c r="AM11" s="795">
        <f ca="1">IFERROR('All Stock'!AK$16*VLOOKUP($A11,'IDEES okt 2017 template'!$C$183:$AN$190,'IDEES okt 2017 template'!AK$162,FALSE),"")*$AR$10</f>
        <v>0</v>
      </c>
      <c r="AN11" s="795">
        <f ca="1">IFERROR('All Stock'!AL$16*VLOOKUP($A11,'IDEES okt 2017 template'!$C$183:$AN$190,'IDEES okt 2017 template'!AL$162,FALSE),"")*$AR$10</f>
        <v>0</v>
      </c>
      <c r="AO11" s="795">
        <f ca="1">IFERROR('All Stock'!AM$16*VLOOKUP($A11,'IDEES okt 2017 template'!$C$183:$AN$190,'IDEES okt 2017 template'!AM$162,FALSE),"")*$AR$10</f>
        <v>0</v>
      </c>
      <c r="AP11" s="795">
        <f ca="1">IFERROR('All Stock'!AN$16*VLOOKUP($A11,'IDEES okt 2017 template'!$C$183:$AN$190,'IDEES okt 2017 template'!AN$162,FALSE),"")*$AR$10</f>
        <v>1.0089896109294054</v>
      </c>
      <c r="AQ11" s="509"/>
      <c r="AR11" s="530">
        <v>1</v>
      </c>
      <c r="AS11" t="e">
        <f>#REF!</f>
        <v>#REF!</v>
      </c>
      <c r="AT11" s="509"/>
    </row>
    <row r="12" spans="1:49">
      <c r="A12" t="str">
        <f>A4</f>
        <v>Electricity</v>
      </c>
      <c r="C12" t="str">
        <f>TechComm!L56</f>
        <v>R_ES-WH-DH_ELC</v>
      </c>
      <c r="D12" t="str">
        <f t="shared" ref="D12:D27" si="1">D4</f>
        <v>RSDELC-heating</v>
      </c>
      <c r="E12" t="str">
        <f>TechComm!C20</f>
        <v>R_ES-DH-WatHeat</v>
      </c>
      <c r="F12" s="795">
        <f ca="1">IFERROR('All Stock'!D$12*VLOOKUP($A12,'IDEES okt 2017 template'!$C$183:$AH$190,'IDEES okt 2017 template'!D$162,FALSE),"")*$AR$12</f>
        <v>253.99891033420994</v>
      </c>
      <c r="G12" s="795">
        <f ca="1">IFERROR('All Stock'!E$12*VLOOKUP($A12,'IDEES okt 2017 template'!$C$183:$AH$190,'IDEES okt 2017 template'!E$162,FALSE),"")*$AR$12</f>
        <v>154.27093574915457</v>
      </c>
      <c r="H12" s="795">
        <f ca="1">IFERROR('All Stock'!F$12*VLOOKUP($A12,'IDEES okt 2017 template'!$C$183:$AH$190,'IDEES okt 2017 template'!F$162,FALSE),"")*$AR$12</f>
        <v>399.92152636523491</v>
      </c>
      <c r="I12" s="795">
        <f ca="1">IFERROR('All Stock'!G$12*VLOOKUP($A12,'IDEES okt 2017 template'!$C$183:$AH$190,'IDEES okt 2017 template'!G$162,FALSE),"")*$AR$12</f>
        <v>216.10814972849917</v>
      </c>
      <c r="J12" s="795">
        <f ca="1">IFERROR('All Stock'!H$12*VLOOKUP($A12,'IDEES okt 2017 template'!$C$183:$AH$190,'IDEES okt 2017 template'!H$162,FALSE),"")*$AR$12</f>
        <v>6.6077486511735684</v>
      </c>
      <c r="K12" s="795">
        <f ca="1">IFERROR('All Stock'!I$12*VLOOKUP($A12,'IDEES okt 2017 template'!$C$183:$AH$190,'IDEES okt 2017 template'!I$162,FALSE),"")*$AR$12</f>
        <v>521.10571391736164</v>
      </c>
      <c r="L12" s="795">
        <f ca="1">IFERROR('All Stock'!J$12*VLOOKUP($A12,'IDEES okt 2017 template'!$C$183:$AH$190,'IDEES okt 2017 template'!J$162,FALSE),"")*$AR$12</f>
        <v>1603.0085825107956</v>
      </c>
      <c r="M12" s="795">
        <f ca="1">IFERROR('All Stock'!K$12*VLOOKUP($A12,'IDEES okt 2017 template'!$C$183:$AH$190,'IDEES okt 2017 template'!K$162,FALSE),"")*$AR$12</f>
        <v>145.86068612192162</v>
      </c>
      <c r="N12" s="795">
        <f ca="1">IFERROR('All Stock'!L$12*VLOOKUP($A12,'IDEES okt 2017 template'!$C$183:$AH$190,'IDEES okt 2017 template'!L$162,FALSE),"")*$AR$12</f>
        <v>14.927564947029534</v>
      </c>
      <c r="O12" s="795">
        <f ca="1">IFERROR('All Stock'!M$12*VLOOKUP($A12,'IDEES okt 2017 template'!$C$183:$AH$190,'IDEES okt 2017 template'!M$162,FALSE),"")*$AR$12</f>
        <v>339.65390496576237</v>
      </c>
      <c r="P12" s="795">
        <f ca="1">IFERROR('All Stock'!N$12*VLOOKUP($A12,'IDEES okt 2017 template'!$C$183:$AH$190,'IDEES okt 2017 template'!N$162,FALSE),"")*$AR$12</f>
        <v>299.5354249215307</v>
      </c>
      <c r="Q12" s="795">
        <f ca="1">IFERROR('All Stock'!O$12*VLOOKUP($A12,'IDEES okt 2017 template'!$C$183:$AH$190,'IDEES okt 2017 template'!O$162,FALSE),"")*$AR$12</f>
        <v>2291.3475843113306</v>
      </c>
      <c r="R12" s="795">
        <f ca="1">IFERROR('All Stock'!P$12*VLOOKUP($A12,'IDEES okt 2017 template'!$C$183:$AH$190,'IDEES okt 2017 template'!P$162,FALSE),"")*$AR$12</f>
        <v>350.1848377751096</v>
      </c>
      <c r="S12" s="795">
        <f ca="1">IFERROR('All Stock'!Q$12*VLOOKUP($A12,'IDEES okt 2017 template'!$C$183:$AH$190,'IDEES okt 2017 template'!Q$162,FALSE),"")*$AR$12</f>
        <v>207.40174462470478</v>
      </c>
      <c r="T12" s="795">
        <f ca="1">IFERROR('All Stock'!R$12*VLOOKUP($A12,'IDEES okt 2017 template'!$C$183:$AH$190,'IDEES okt 2017 template'!R$162,FALSE),"")*$AR$12</f>
        <v>335.0478665422998</v>
      </c>
      <c r="U12" s="795">
        <f ca="1">IFERROR('All Stock'!S$12*VLOOKUP($A12,'IDEES okt 2017 template'!$C$183:$AH$190,'IDEES okt 2017 template'!S$162,FALSE),"")*$AR$12</f>
        <v>123.53028654223669</v>
      </c>
      <c r="V12" s="795">
        <f ca="1">IFERROR('All Stock'!T$12*VLOOKUP($A12,'IDEES okt 2017 template'!$C$183:$AH$190,'IDEES okt 2017 template'!T$162,FALSE),"")*$AR$12</f>
        <v>15.462843566090251</v>
      </c>
      <c r="W12" s="795">
        <f ca="1">IFERROR('All Stock'!U$12*VLOOKUP($A12,'IDEES okt 2017 template'!$C$183:$AH$190,'IDEES okt 2017 template'!U$162,FALSE),"")*$AR$12</f>
        <v>284.1711245004426</v>
      </c>
      <c r="X12" s="795">
        <f ca="1">IFERROR('All Stock'!V$12*VLOOKUP($A12,'IDEES okt 2017 template'!$C$183:$AH$190,'IDEES okt 2017 template'!V$162,FALSE),"")*$AR$12</f>
        <v>30.226638590283603</v>
      </c>
      <c r="Y12" s="795">
        <f ca="1">IFERROR('All Stock'!W$12*VLOOKUP($A12,'IDEES okt 2017 template'!$C$183:$AH$190,'IDEES okt 2017 template'!W$162,FALSE),"")*$AR$12</f>
        <v>6.8312940823103512</v>
      </c>
      <c r="Z12" s="795">
        <f ca="1">IFERROR('All Stock'!X$12*VLOOKUP($A12,'IDEES okt 2017 template'!$C$183:$AH$190,'IDEES okt 2017 template'!X$162,FALSE),"")*$AR$12</f>
        <v>10.551503431712966</v>
      </c>
      <c r="AA12" s="795">
        <f ca="1">IFERROR('All Stock'!Y$12*VLOOKUP($A12,'IDEES okt 2017 template'!$C$183:$AH$190,'IDEES okt 2017 template'!Y$162,FALSE),"")*$AR$12</f>
        <v>1.2496911225005647</v>
      </c>
      <c r="AB12" s="795">
        <f ca="1">IFERROR('All Stock'!Z$12*VLOOKUP($A12,'IDEES okt 2017 template'!$C$183:$AH$190,'IDEES okt 2017 template'!Z$162,FALSE),"")*$AR$12</f>
        <v>45.056992393788562</v>
      </c>
      <c r="AC12" s="795">
        <f ca="1">IFERROR('All Stock'!AA$12*VLOOKUP($A12,'IDEES okt 2017 template'!$C$183:$AH$190,'IDEES okt 2017 template'!AA$162,FALSE),"")*$AR$12</f>
        <v>404.06967980209356</v>
      </c>
      <c r="AD12" s="795">
        <f ca="1">IFERROR('All Stock'!AB$12*VLOOKUP($A12,'IDEES okt 2017 template'!$C$183:$AH$190,'IDEES okt 2017 template'!AB$162,FALSE),"")*$AR$12</f>
        <v>196.67159903666519</v>
      </c>
      <c r="AE12" s="795">
        <f ca="1">IFERROR('All Stock'!AC$12*VLOOKUP($A12,'IDEES okt 2017 template'!$C$183:$AH$190,'IDEES okt 2017 template'!AC$162,FALSE),"")*$AR$12</f>
        <v>105.1921305203458</v>
      </c>
      <c r="AF12" s="795">
        <f ca="1">IFERROR('All Stock'!AD$12*VLOOKUP($A12,'IDEES okt 2017 template'!$C$183:$AH$190,'IDEES okt 2017 template'!AD$162,FALSE),"")*$AR$12</f>
        <v>233.72850522745222</v>
      </c>
      <c r="AG12" s="795">
        <f ca="1">IFERROR('All Stock'!AE$12*VLOOKUP($A12,'IDEES okt 2017 template'!$C$183:$AH$190,'IDEES okt 2017 template'!AE$162,FALSE),"")*$AR$12</f>
        <v>578.57515926838801</v>
      </c>
      <c r="AH12" s="795">
        <f ca="1">IFERROR('All Stock'!AF$12*VLOOKUP($A12,'IDEES okt 2017 template'!$C$183:$AH$190,'IDEES okt 2017 template'!AF$162,FALSE),"")*$AR$12</f>
        <v>58.559785927233008</v>
      </c>
      <c r="AI12" s="795">
        <f ca="1">IFERROR('All Stock'!AG$12*VLOOKUP($A12,'IDEES okt 2017 template'!$C$183:$AH$190,'IDEES okt 2017 template'!AG$162,FALSE),"")*$AR$12</f>
        <v>63.537516597999115</v>
      </c>
      <c r="AJ12" s="795">
        <f ca="1">IFERROR('All Stock'!AH$12*VLOOKUP($A12,'IDEES okt 2017 template'!$C$183:$AH$190,'IDEES okt 2017 template'!AH$162,FALSE),"")*$AR$12</f>
        <v>680.32077543736557</v>
      </c>
      <c r="AK12" s="795">
        <f ca="1">IFERROR('All Stock'!AI$12*VLOOKUP($A12,'IDEES okt 2017 template'!$C$183:$AN$190,'IDEES okt 2017 template'!AI$162,FALSE),"")*$AR$12</f>
        <v>53.462557925920926</v>
      </c>
      <c r="AL12" s="795">
        <f ca="1">IFERROR('All Stock'!AJ$12*VLOOKUP($A12,'IDEES okt 2017 template'!$C$183:$AN$190,'IDEES okt 2017 template'!AJ$162,FALSE),"")*$AR$12</f>
        <v>161.19918598464011</v>
      </c>
      <c r="AM12" s="795">
        <f ca="1">IFERROR('All Stock'!AK$12*VLOOKUP($A12,'IDEES okt 2017 template'!$C$183:$AN$190,'IDEES okt 2017 template'!AK$162,FALSE),"")*$AR$12</f>
        <v>38.317776582979114</v>
      </c>
      <c r="AN12" s="795">
        <f ca="1">IFERROR('All Stock'!AL$12*VLOOKUP($A12,'IDEES okt 2017 template'!$C$183:$AN$190,'IDEES okt 2017 template'!AL$162,FALSE),"")*$AR$12</f>
        <v>87.931404367521381</v>
      </c>
      <c r="AO12" s="795">
        <f ca="1">IFERROR('All Stock'!AM$12*VLOOKUP($A12,'IDEES okt 2017 template'!$C$183:$AN$190,'IDEES okt 2017 template'!AM$162,FALSE),"")*$AR$12</f>
        <v>422.07002215193734</v>
      </c>
      <c r="AP12" s="795">
        <f ca="1">IFERROR('All Stock'!AN$12*VLOOKUP($A12,'IDEES okt 2017 template'!$C$183:$AN$190,'IDEES okt 2017 template'!AN$162,FALSE),"")*$AR$12</f>
        <v>104.50467729443318</v>
      </c>
      <c r="AQ12" s="509"/>
      <c r="AR12">
        <v>1</v>
      </c>
      <c r="AS12" t="e">
        <f>#REF!</f>
        <v>#REF!</v>
      </c>
      <c r="AT12" s="509"/>
      <c r="AW12" s="496" t="e">
        <f ca="1">AG12*#REF!*#REF!</f>
        <v>#REF!</v>
      </c>
    </row>
    <row r="13" spans="1:49">
      <c r="A13" t="str">
        <f t="shared" ref="A13:A27" si="2">A5</f>
        <v>Gases</v>
      </c>
      <c r="C13" t="str">
        <f>TechComm!L57</f>
        <v>R_ES-WH-DH_GAS</v>
      </c>
      <c r="D13" t="str">
        <f t="shared" si="1"/>
        <v>RSDGAS</v>
      </c>
      <c r="E13" t="str">
        <f t="shared" ref="E13:E19" si="3">E12</f>
        <v>R_ES-DH-WatHeat</v>
      </c>
      <c r="F13" s="795">
        <f ca="1">IFERROR('All Stock'!D$12*VLOOKUP($A13,'IDEES okt 2017 template'!$C$183:$AH$190,'IDEES okt 2017 template'!D$162,FALSE),"")*$AR$13</f>
        <v>175.22095683758965</v>
      </c>
      <c r="G13" s="795">
        <f ca="1">IFERROR('All Stock'!E$12*VLOOKUP($A13,'IDEES okt 2017 template'!$C$183:$AH$190,'IDEES okt 2017 template'!E$162,FALSE),"")*$AR$13</f>
        <v>445.08003392629723</v>
      </c>
      <c r="H13" s="795">
        <f ca="1">IFERROR('All Stock'!F$12*VLOOKUP($A13,'IDEES okt 2017 template'!$C$183:$AH$190,'IDEES okt 2017 template'!F$162,FALSE),"")*$AR$13</f>
        <v>6.6285335861641146</v>
      </c>
      <c r="I13" s="795">
        <f ca="1">IFERROR('All Stock'!G$12*VLOOKUP($A13,'IDEES okt 2017 template'!$C$183:$AH$190,'IDEES okt 2017 template'!G$162,FALSE),"")*$AR$13</f>
        <v>172.56561522318432</v>
      </c>
      <c r="J13" s="795">
        <f ca="1">IFERROR('All Stock'!H$12*VLOOKUP($A13,'IDEES okt 2017 template'!$C$183:$AH$190,'IDEES okt 2017 template'!H$162,FALSE),"")*$AR$13</f>
        <v>0</v>
      </c>
      <c r="K13" s="795">
        <f ca="1">IFERROR('All Stock'!I$12*VLOOKUP($A13,'IDEES okt 2017 template'!$C$183:$AH$190,'IDEES okt 2017 template'!I$162,FALSE),"")*$AR$13</f>
        <v>294.42693083885428</v>
      </c>
      <c r="L13" s="795">
        <f ca="1">IFERROR('All Stock'!J$12*VLOOKUP($A13,'IDEES okt 2017 template'!$C$183:$AH$190,'IDEES okt 2017 template'!J$162,FALSE),"")*$AR$13</f>
        <v>2932.3871518206734</v>
      </c>
      <c r="M13" s="795">
        <f ca="1">IFERROR('All Stock'!K$12*VLOOKUP($A13,'IDEES okt 2017 template'!$C$183:$AH$190,'IDEES okt 2017 template'!K$162,FALSE),"")*$AR$13</f>
        <v>136.31995572434377</v>
      </c>
      <c r="N13" s="795">
        <f ca="1">IFERROR('All Stock'!L$12*VLOOKUP($A13,'IDEES okt 2017 template'!$C$183:$AH$190,'IDEES okt 2017 template'!L$162,FALSE),"")*$AR$13</f>
        <v>4.903121074604714</v>
      </c>
      <c r="O13" s="795">
        <f ca="1">IFERROR('All Stock'!M$12*VLOOKUP($A13,'IDEES okt 2017 template'!$C$183:$AH$190,'IDEES okt 2017 template'!M$162,FALSE),"")*$AR$13</f>
        <v>297.22874792586055</v>
      </c>
      <c r="P13" s="795">
        <f ca="1">IFERROR('All Stock'!N$12*VLOOKUP($A13,'IDEES okt 2017 template'!$C$183:$AH$190,'IDEES okt 2017 template'!N$162,FALSE),"")*$AR$13</f>
        <v>5.2086591053756539</v>
      </c>
      <c r="Q13" s="795">
        <f ca="1">IFERROR('All Stock'!O$12*VLOOKUP($A13,'IDEES okt 2017 template'!$C$183:$AH$190,'IDEES okt 2017 template'!O$162,FALSE),"")*$AR$13</f>
        <v>2034.535371880911</v>
      </c>
      <c r="R13" s="795">
        <f ca="1">IFERROR('All Stock'!P$12*VLOOKUP($A13,'IDEES okt 2017 template'!$C$183:$AH$190,'IDEES okt 2017 template'!P$162,FALSE),"")*$AR$13</f>
        <v>14.650167774195104</v>
      </c>
      <c r="S13" s="795">
        <f ca="1">IFERROR('All Stock'!Q$12*VLOOKUP($A13,'IDEES okt 2017 template'!$C$183:$AH$190,'IDEES okt 2017 template'!Q$162,FALSE),"")*$AR$13</f>
        <v>203.24204702867038</v>
      </c>
      <c r="T13" s="795">
        <f ca="1">IFERROR('All Stock'!R$12*VLOOKUP($A13,'IDEES okt 2017 template'!$C$183:$AH$190,'IDEES okt 2017 template'!R$162,FALSE),"")*$AR$13</f>
        <v>795.40031700125348</v>
      </c>
      <c r="U13" s="795">
        <f ca="1">IFERROR('All Stock'!S$12*VLOOKUP($A13,'IDEES okt 2017 template'!$C$183:$AH$190,'IDEES okt 2017 template'!S$162,FALSE),"")*$AR$13</f>
        <v>111.68752028596832</v>
      </c>
      <c r="V13" s="795">
        <f ca="1">IFERROR('All Stock'!T$12*VLOOKUP($A13,'IDEES okt 2017 template'!$C$183:$AH$190,'IDEES okt 2017 template'!T$162,FALSE),"")*$AR$13</f>
        <v>0</v>
      </c>
      <c r="W13" s="795">
        <f ca="1">IFERROR('All Stock'!U$12*VLOOKUP($A13,'IDEES okt 2017 template'!$C$183:$AH$190,'IDEES okt 2017 template'!U$162,FALSE),"")*$AR$13</f>
        <v>1372.6484758088627</v>
      </c>
      <c r="X13" s="795">
        <f ca="1">IFERROR('All Stock'!V$12*VLOOKUP($A13,'IDEES okt 2017 template'!$C$183:$AH$190,'IDEES okt 2017 template'!V$162,FALSE),"")*$AR$13</f>
        <v>20.052698387694658</v>
      </c>
      <c r="Y13" s="795">
        <f ca="1">IFERROR('All Stock'!W$12*VLOOKUP($A13,'IDEES okt 2017 template'!$C$183:$AH$190,'IDEES okt 2017 template'!W$162,FALSE),"")*$AR$13</f>
        <v>22.962801032113866</v>
      </c>
      <c r="Z13" s="795">
        <f ca="1">IFERROR('All Stock'!X$12*VLOOKUP($A13,'IDEES okt 2017 template'!$C$183:$AH$190,'IDEES okt 2017 template'!X$162,FALSE),"")*$AR$13</f>
        <v>15.106898931490214</v>
      </c>
      <c r="AA13" s="795">
        <f ca="1">IFERROR('All Stock'!Y$12*VLOOKUP($A13,'IDEES okt 2017 template'!$C$183:$AH$190,'IDEES okt 2017 template'!Y$162,FALSE),"")*$AR$13</f>
        <v>0</v>
      </c>
      <c r="AB13" s="795">
        <f ca="1">IFERROR('All Stock'!Z$12*VLOOKUP($A13,'IDEES okt 2017 template'!$C$183:$AH$190,'IDEES okt 2017 template'!Z$162,FALSE),"")*$AR$13</f>
        <v>531.74779294679718</v>
      </c>
      <c r="AC13" s="795">
        <f ca="1">IFERROR('All Stock'!AA$12*VLOOKUP($A13,'IDEES okt 2017 template'!$C$183:$AH$190,'IDEES okt 2017 template'!AA$162,FALSE),"")*$AR$13</f>
        <v>0.27668661964662422</v>
      </c>
      <c r="AD13" s="795">
        <f ca="1">IFERROR('All Stock'!AB$12*VLOOKUP($A13,'IDEES okt 2017 template'!$C$183:$AH$190,'IDEES okt 2017 template'!AB$162,FALSE),"")*$AR$13</f>
        <v>565.71501333392575</v>
      </c>
      <c r="AE13" s="795">
        <f ca="1">IFERROR('All Stock'!AC$12*VLOOKUP($A13,'IDEES okt 2017 template'!$C$183:$AH$190,'IDEES okt 2017 template'!AC$162,FALSE),"")*$AR$13</f>
        <v>63.908918476292151</v>
      </c>
      <c r="AF13" s="795">
        <f ca="1">IFERROR('All Stock'!AD$12*VLOOKUP($A13,'IDEES okt 2017 template'!$C$183:$AH$190,'IDEES okt 2017 template'!AD$162,FALSE),"")*$AR$13</f>
        <v>582.30735423481462</v>
      </c>
      <c r="AG13" s="795">
        <f ca="1">IFERROR('All Stock'!AE$12*VLOOKUP($A13,'IDEES okt 2017 template'!$C$183:$AH$190,'IDEES okt 2017 template'!AE$162,FALSE),"")*$AR$13</f>
        <v>15.386300238720555</v>
      </c>
      <c r="AH13" s="795">
        <f ca="1">IFERROR('All Stock'!AF$12*VLOOKUP($A13,'IDEES okt 2017 template'!$C$183:$AH$190,'IDEES okt 2017 template'!AF$162,FALSE),"")*$AR$13</f>
        <v>14.179190068298549</v>
      </c>
      <c r="AI13" s="795">
        <f ca="1">IFERROR('All Stock'!AG$12*VLOOKUP($A13,'IDEES okt 2017 template'!$C$183:$AH$190,'IDEES okt 2017 template'!AG$162,FALSE),"")*$AR$13</f>
        <v>220.50324047275694</v>
      </c>
      <c r="AJ13" s="795">
        <f ca="1">IFERROR('All Stock'!AH$12*VLOOKUP($A13,'IDEES okt 2017 template'!$C$183:$AH$190,'IDEES okt 2017 template'!AH$162,FALSE),"")*$AR$13</f>
        <v>2781.0905200070583</v>
      </c>
      <c r="AK13" s="795">
        <f ca="1">IFERROR('All Stock'!AI$12*VLOOKUP($A13,'IDEES okt 2017 template'!$C$183:$AN$190,'IDEES okt 2017 template'!AI$162,FALSE),"")*$AR$13</f>
        <v>0</v>
      </c>
      <c r="AL13" s="795">
        <f ca="1">IFERROR('All Stock'!AJ$12*VLOOKUP($A13,'IDEES okt 2017 template'!$C$183:$AN$190,'IDEES okt 2017 template'!AJ$162,FALSE),"")*$AR$13</f>
        <v>15.555096853636144</v>
      </c>
      <c r="AM13" s="795">
        <f ca="1">IFERROR('All Stock'!AK$12*VLOOKUP($A13,'IDEES okt 2017 template'!$C$183:$AN$190,'IDEES okt 2017 template'!AK$162,FALSE),"")*$AR$13</f>
        <v>0</v>
      </c>
      <c r="AN13" s="795">
        <f ca="1">IFERROR('All Stock'!AL$12*VLOOKUP($A13,'IDEES okt 2017 template'!$C$183:$AN$190,'IDEES okt 2017 template'!AL$162,FALSE),"")*$AR$13</f>
        <v>0</v>
      </c>
      <c r="AO13" s="795">
        <f ca="1">IFERROR('All Stock'!AM$12*VLOOKUP($A13,'IDEES okt 2017 template'!$C$183:$AN$190,'IDEES okt 2017 template'!AM$162,FALSE),"")*$AR$13</f>
        <v>63.081103007558504</v>
      </c>
      <c r="AP13" s="795">
        <f ca="1">IFERROR('All Stock'!AN$12*VLOOKUP($A13,'IDEES okt 2017 template'!$C$183:$AN$190,'IDEES okt 2017 template'!AN$162,FALSE),"")*$AR$13</f>
        <v>0</v>
      </c>
      <c r="AQ13" s="509"/>
      <c r="AR13">
        <v>1</v>
      </c>
      <c r="AS13" t="e">
        <f>#REF!</f>
        <v>#REF!</v>
      </c>
      <c r="AT13" s="509"/>
      <c r="AW13" s="496" t="e">
        <f ca="1">AG13*#REF!*#REF!</f>
        <v>#REF!</v>
      </c>
    </row>
    <row r="14" spans="1:49">
      <c r="A14" t="str">
        <f t="shared" si="2"/>
        <v>Derived heat</v>
      </c>
      <c r="C14" t="str">
        <f>TechComm!L58</f>
        <v>R_ES-WH-DH_HET</v>
      </c>
      <c r="D14" t="str">
        <f t="shared" si="1"/>
        <v>RSDHET</v>
      </c>
      <c r="E14" t="str">
        <f t="shared" si="3"/>
        <v>R_ES-DH-WatHeat</v>
      </c>
      <c r="F14" s="795">
        <f ca="1">IFERROR('All Stock'!D$12*VLOOKUP($A14,'IDEES okt 2017 template'!$C$183:$AH$190,'IDEES okt 2017 template'!D$162,FALSE),"")*$AR$14</f>
        <v>165.53751429285495</v>
      </c>
      <c r="G14" s="795">
        <f ca="1">IFERROR('All Stock'!E$12*VLOOKUP($A14,'IDEES okt 2017 template'!$C$183:$AH$190,'IDEES okt 2017 template'!E$162,FALSE),"")*$AR$14</f>
        <v>1.6908318139173644</v>
      </c>
      <c r="H14" s="795">
        <f ca="1">IFERROR('All Stock'!F$12*VLOOKUP($A14,'IDEES okt 2017 template'!$C$183:$AH$190,'IDEES okt 2017 template'!F$162,FALSE),"")*$AR$14</f>
        <v>161.29431726332677</v>
      </c>
      <c r="I14" s="795">
        <f ca="1">IFERROR('All Stock'!G$12*VLOOKUP($A14,'IDEES okt 2017 template'!$C$183:$AH$190,'IDEES okt 2017 template'!G$162,FALSE),"")*$AR$14</f>
        <v>30.343458247763571</v>
      </c>
      <c r="J14" s="795">
        <f ca="1">IFERROR('All Stock'!H$12*VLOOKUP($A14,'IDEES okt 2017 template'!$C$183:$AH$190,'IDEES okt 2017 template'!H$162,FALSE),"")*$AR$14</f>
        <v>0</v>
      </c>
      <c r="K14" s="795">
        <f ca="1">IFERROR('All Stock'!I$12*VLOOKUP($A14,'IDEES okt 2017 template'!$C$183:$AH$190,'IDEES okt 2017 template'!I$162,FALSE),"")*$AR$14</f>
        <v>146.66284653320847</v>
      </c>
      <c r="L14" s="795">
        <f ca="1">IFERROR('All Stock'!J$12*VLOOKUP($A14,'IDEES okt 2017 template'!$C$183:$AH$190,'IDEES okt 2017 template'!J$162,FALSE),"")*$AR$14</f>
        <v>723.64579744079845</v>
      </c>
      <c r="M14" s="795">
        <f ca="1">IFERROR('All Stock'!K$12*VLOOKUP($A14,'IDEES okt 2017 template'!$C$183:$AH$190,'IDEES okt 2017 template'!K$162,FALSE),"")*$AR$14</f>
        <v>507.13773259614146</v>
      </c>
      <c r="N14" s="795">
        <f ca="1">IFERROR('All Stock'!L$12*VLOOKUP($A14,'IDEES okt 2017 template'!$C$183:$AH$190,'IDEES okt 2017 template'!L$162,FALSE),"")*$AR$14</f>
        <v>57.951810606911728</v>
      </c>
      <c r="O14" s="795">
        <f ca="1">IFERROR('All Stock'!M$12*VLOOKUP($A14,'IDEES okt 2017 template'!$C$183:$AH$190,'IDEES okt 2017 template'!M$162,FALSE),"")*$AR$14</f>
        <v>0</v>
      </c>
      <c r="P14" s="795">
        <f ca="1">IFERROR('All Stock'!N$12*VLOOKUP($A14,'IDEES okt 2017 template'!$C$183:$AH$190,'IDEES okt 2017 template'!N$162,FALSE),"")*$AR$14</f>
        <v>298.96502421258464</v>
      </c>
      <c r="Q14" s="795">
        <f ca="1">IFERROR('All Stock'!O$12*VLOOKUP($A14,'IDEES okt 2017 template'!$C$183:$AH$190,'IDEES okt 2017 template'!O$162,FALSE),"")*$AR$14</f>
        <v>381.43623647269629</v>
      </c>
      <c r="R14" s="795">
        <f ca="1">IFERROR('All Stock'!P$12*VLOOKUP($A14,'IDEES okt 2017 template'!$C$183:$AH$190,'IDEES okt 2017 template'!P$162,FALSE),"")*$AR$14</f>
        <v>7.6281398299542627</v>
      </c>
      <c r="S14" s="795">
        <f ca="1">IFERROR('All Stock'!Q$12*VLOOKUP($A14,'IDEES okt 2017 template'!$C$183:$AH$190,'IDEES okt 2017 template'!Q$162,FALSE),"")*$AR$14</f>
        <v>66.360783144212007</v>
      </c>
      <c r="T14" s="795">
        <f ca="1">IFERROR('All Stock'!R$12*VLOOKUP($A14,'IDEES okt 2017 template'!$C$183:$AH$190,'IDEES okt 2017 template'!R$162,FALSE),"")*$AR$14</f>
        <v>230.56916643339665</v>
      </c>
      <c r="U14" s="795">
        <f ca="1">IFERROR('All Stock'!S$12*VLOOKUP($A14,'IDEES okt 2017 template'!$C$183:$AH$190,'IDEES okt 2017 template'!S$162,FALSE),"")*$AR$14</f>
        <v>0</v>
      </c>
      <c r="V14" s="795">
        <f ca="1">IFERROR('All Stock'!T$12*VLOOKUP($A14,'IDEES okt 2017 template'!$C$183:$AH$190,'IDEES okt 2017 template'!T$162,FALSE),"")*$AR$14</f>
        <v>27.249859456434741</v>
      </c>
      <c r="W14" s="795">
        <f ca="1">IFERROR('All Stock'!U$12*VLOOKUP($A14,'IDEES okt 2017 template'!$C$183:$AH$190,'IDEES okt 2017 template'!U$162,FALSE),"")*$AR$14</f>
        <v>8.3825861118098466</v>
      </c>
      <c r="X14" s="795">
        <f ca="1">IFERROR('All Stock'!V$12*VLOOKUP($A14,'IDEES okt 2017 template'!$C$183:$AH$190,'IDEES okt 2017 template'!V$162,FALSE),"")*$AR$14</f>
        <v>130.86402775090232</v>
      </c>
      <c r="Y14" s="795">
        <f ca="1">IFERROR('All Stock'!W$12*VLOOKUP($A14,'IDEES okt 2017 template'!$C$183:$AH$190,'IDEES okt 2017 template'!W$162,FALSE),"")*$AR$14</f>
        <v>0</v>
      </c>
      <c r="Z14" s="795">
        <f ca="1">IFERROR('All Stock'!X$12*VLOOKUP($A14,'IDEES okt 2017 template'!$C$183:$AH$190,'IDEES okt 2017 template'!X$162,FALSE),"")*$AR$14</f>
        <v>77.702423841080005</v>
      </c>
      <c r="AA14" s="795">
        <f ca="1">IFERROR('All Stock'!Y$12*VLOOKUP($A14,'IDEES okt 2017 template'!$C$183:$AH$190,'IDEES okt 2017 template'!Y$162,FALSE),"")*$AR$14</f>
        <v>0</v>
      </c>
      <c r="AB14" s="795">
        <f ca="1">IFERROR('All Stock'!Z$12*VLOOKUP($A14,'IDEES okt 2017 template'!$C$183:$AH$190,'IDEES okt 2017 template'!Z$162,FALSE),"")*$AR$14</f>
        <v>27.667874226813325</v>
      </c>
      <c r="AC14" s="795">
        <f ca="1">IFERROR('All Stock'!AA$12*VLOOKUP($A14,'IDEES okt 2017 template'!$C$183:$AH$190,'IDEES okt 2017 template'!AA$162,FALSE),"")*$AR$14</f>
        <v>9.5518020038708347</v>
      </c>
      <c r="AD14" s="795">
        <f ca="1">IFERROR('All Stock'!AB$12*VLOOKUP($A14,'IDEES okt 2017 template'!$C$183:$AH$190,'IDEES okt 2017 template'!AB$162,FALSE),"")*$AR$14</f>
        <v>1180.1633194451738</v>
      </c>
      <c r="AE14" s="795">
        <f ca="1">IFERROR('All Stock'!AC$12*VLOOKUP($A14,'IDEES okt 2017 template'!$C$183:$AH$190,'IDEES okt 2017 template'!AC$162,FALSE),"")*$AR$14</f>
        <v>2.7150847718686206</v>
      </c>
      <c r="AF14" s="795">
        <f ca="1">IFERROR('All Stock'!AD$12*VLOOKUP($A14,'IDEES okt 2017 template'!$C$183:$AH$190,'IDEES okt 2017 template'!AD$162,FALSE),"")*$AR$14</f>
        <v>493.58028504211842</v>
      </c>
      <c r="AG14" s="795">
        <f ca="1">IFERROR('All Stock'!AE$12*VLOOKUP($A14,'IDEES okt 2017 template'!$C$183:$AH$190,'IDEES okt 2017 template'!AE$162,FALSE),"")*$AR$14</f>
        <v>539.54386788101522</v>
      </c>
      <c r="AH14" s="795">
        <f ca="1">IFERROR('All Stock'!AF$12*VLOOKUP($A14,'IDEES okt 2017 template'!$C$183:$AH$190,'IDEES okt 2017 template'!AF$162,FALSE),"")*$AR$14</f>
        <v>19.331590254407036</v>
      </c>
      <c r="AI14" s="795">
        <f ca="1">IFERROR('All Stock'!AG$12*VLOOKUP($A14,'IDEES okt 2017 template'!$C$183:$AH$190,'IDEES okt 2017 template'!AG$162,FALSE),"")*$AR$14</f>
        <v>140.35727046203294</v>
      </c>
      <c r="AJ14" s="795">
        <f ca="1">IFERROR('All Stock'!AH$12*VLOOKUP($A14,'IDEES okt 2017 template'!$C$183:$AH$190,'IDEES okt 2017 template'!AH$162,FALSE),"")*$AR$14</f>
        <v>0</v>
      </c>
      <c r="AK14" s="795">
        <f ca="1">IFERROR('All Stock'!AI$12*VLOOKUP($A14,'IDEES okt 2017 template'!$C$183:$AN$190,'IDEES okt 2017 template'!AI$162,FALSE),"")*$AR$14</f>
        <v>0</v>
      </c>
      <c r="AL14" s="795">
        <f ca="1">IFERROR('All Stock'!AJ$12*VLOOKUP($A14,'IDEES okt 2017 template'!$C$183:$AN$190,'IDEES okt 2017 template'!AJ$162,FALSE),"")*$AR$14</f>
        <v>41.569586609637831</v>
      </c>
      <c r="AM14" s="795">
        <f ca="1">IFERROR('All Stock'!AK$12*VLOOKUP($A14,'IDEES okt 2017 template'!$C$183:$AN$190,'IDEES okt 2017 template'!AK$162,FALSE),"")*$AR$14</f>
        <v>0</v>
      </c>
      <c r="AN14" s="795">
        <f ca="1">IFERROR('All Stock'!AL$12*VLOOKUP($A14,'IDEES okt 2017 template'!$C$183:$AN$190,'IDEES okt 2017 template'!AL$162,FALSE),"")*$AR$14</f>
        <v>11.470593414390637</v>
      </c>
      <c r="AO14" s="795">
        <f ca="1">IFERROR('All Stock'!AM$12*VLOOKUP($A14,'IDEES okt 2017 template'!$C$183:$AN$190,'IDEES okt 2017 template'!AM$162,FALSE),"")*$AR$14</f>
        <v>133.78014329883797</v>
      </c>
      <c r="AP14" s="795">
        <f ca="1">IFERROR('All Stock'!AN$12*VLOOKUP($A14,'IDEES okt 2017 template'!$C$183:$AN$190,'IDEES okt 2017 template'!AN$162,FALSE),"")*$AR$14</f>
        <v>1.9799021924127822</v>
      </c>
      <c r="AQ14" s="509"/>
      <c r="AR14">
        <v>1</v>
      </c>
      <c r="AS14" t="e">
        <f>#REF!</f>
        <v>#REF!</v>
      </c>
      <c r="AT14" s="509"/>
      <c r="AW14" s="496" t="e">
        <f ca="1">AG14*#REF!*#REF!</f>
        <v>#REF!</v>
      </c>
    </row>
    <row r="15" spans="1:49">
      <c r="A15" t="str">
        <f t="shared" si="2"/>
        <v>GDO and other liquids (incl. liq. bio.)</v>
      </c>
      <c r="C15" t="str">
        <f>TechComm!L59</f>
        <v>R_ES-WH-DH_OIL</v>
      </c>
      <c r="D15" t="str">
        <f t="shared" si="1"/>
        <v>RSDOIL</v>
      </c>
      <c r="E15" t="str">
        <f t="shared" si="3"/>
        <v>R_ES-DH-WatHeat</v>
      </c>
      <c r="F15" s="795">
        <f ca="1">IFERROR('All Stock'!D$12*VLOOKUP($A15,'IDEES okt 2017 template'!$C$183:$AH$190,'IDEES okt 2017 template'!D$162,FALSE),"")*$AR$15</f>
        <v>139.61856350967227</v>
      </c>
      <c r="G15" s="795">
        <f ca="1">IFERROR('All Stock'!E$12*VLOOKUP($A15,'IDEES okt 2017 template'!$C$183:$AH$190,'IDEES okt 2017 template'!E$162,FALSE),"")*$AR$15</f>
        <v>302.86850194086742</v>
      </c>
      <c r="H15" s="795">
        <f ca="1">IFERROR('All Stock'!F$12*VLOOKUP($A15,'IDEES okt 2017 template'!$C$183:$AH$190,'IDEES okt 2017 template'!F$162,FALSE),"")*$AR$15</f>
        <v>0</v>
      </c>
      <c r="I15" s="795">
        <f ca="1">IFERROR('All Stock'!G$12*VLOOKUP($A15,'IDEES okt 2017 template'!$C$183:$AH$190,'IDEES okt 2017 template'!G$162,FALSE),"")*$AR$15</f>
        <v>364.39972606025799</v>
      </c>
      <c r="J15" s="795">
        <f ca="1">IFERROR('All Stock'!H$12*VLOOKUP($A15,'IDEES okt 2017 template'!$C$183:$AH$190,'IDEES okt 2017 template'!H$162,FALSE),"")*$AR$15</f>
        <v>3.1848982418398921</v>
      </c>
      <c r="K15" s="795">
        <f ca="1">IFERROR('All Stock'!I$12*VLOOKUP($A15,'IDEES okt 2017 template'!$C$183:$AH$190,'IDEES okt 2017 template'!I$162,FALSE),"")*$AR$15</f>
        <v>0</v>
      </c>
      <c r="L15" s="795">
        <f ca="1">IFERROR('All Stock'!J$12*VLOOKUP($A15,'IDEES okt 2017 template'!$C$183:$AH$190,'IDEES okt 2017 template'!J$162,FALSE),"")*$AR$15</f>
        <v>1534.3136232676218</v>
      </c>
      <c r="M15" s="795">
        <f ca="1">IFERROR('All Stock'!K$12*VLOOKUP($A15,'IDEES okt 2017 template'!$C$183:$AH$190,'IDEES okt 2017 template'!K$162,FALSE),"")*$AR$15</f>
        <v>64.139539070179495</v>
      </c>
      <c r="N15" s="795">
        <f ca="1">IFERROR('All Stock'!L$12*VLOOKUP($A15,'IDEES okt 2017 template'!$C$183:$AH$190,'IDEES okt 2017 template'!L$162,FALSE),"")*$AR$15</f>
        <v>0.23103711869865143</v>
      </c>
      <c r="O15" s="795">
        <f ca="1">IFERROR('All Stock'!M$12*VLOOKUP($A15,'IDEES okt 2017 template'!$C$183:$AH$190,'IDEES okt 2017 template'!M$162,FALSE),"")*$AR$15</f>
        <v>83.190759244637022</v>
      </c>
      <c r="P15" s="795">
        <f ca="1">IFERROR('All Stock'!N$12*VLOOKUP($A15,'IDEES okt 2017 template'!$C$183:$AH$190,'IDEES okt 2017 template'!N$162,FALSE),"")*$AR$15</f>
        <v>64.230121936318213</v>
      </c>
      <c r="Q15" s="795">
        <f ca="1">IFERROR('All Stock'!O$12*VLOOKUP($A15,'IDEES okt 2017 template'!$C$183:$AH$190,'IDEES okt 2017 template'!O$162,FALSE),"")*$AR$15</f>
        <v>738.23674448136512</v>
      </c>
      <c r="R15" s="795">
        <f ca="1">IFERROR('All Stock'!P$12*VLOOKUP($A15,'IDEES okt 2017 template'!$C$183:$AH$190,'IDEES okt 2017 template'!P$162,FALSE),"")*$AR$15</f>
        <v>65.460083657049367</v>
      </c>
      <c r="S15" s="795">
        <f ca="1">IFERROR('All Stock'!Q$12*VLOOKUP($A15,'IDEES okt 2017 template'!$C$183:$AH$190,'IDEES okt 2017 template'!Q$162,FALSE),"")*$AR$15</f>
        <v>43.229754455983446</v>
      </c>
      <c r="T15" s="795">
        <f ca="1">IFERROR('All Stock'!R$12*VLOOKUP($A15,'IDEES okt 2017 template'!$C$183:$AH$190,'IDEES okt 2017 template'!R$162,FALSE),"")*$AR$15</f>
        <v>0</v>
      </c>
      <c r="U15" s="795">
        <f ca="1">IFERROR('All Stock'!S$12*VLOOKUP($A15,'IDEES okt 2017 template'!$C$183:$AH$190,'IDEES okt 2017 template'!S$162,FALSE),"")*$AR$15</f>
        <v>142.82960933022966</v>
      </c>
      <c r="V15" s="795">
        <f ca="1">IFERROR('All Stock'!T$12*VLOOKUP($A15,'IDEES okt 2017 template'!$C$183:$AH$190,'IDEES okt 2017 template'!T$162,FALSE),"")*$AR$15</f>
        <v>0.19635061369601298</v>
      </c>
      <c r="W15" s="795">
        <f ca="1">IFERROR('All Stock'!U$12*VLOOKUP($A15,'IDEES okt 2017 template'!$C$183:$AH$190,'IDEES okt 2017 template'!U$162,FALSE),"")*$AR$15</f>
        <v>128.03090506709569</v>
      </c>
      <c r="X15" s="795">
        <f ca="1">IFERROR('All Stock'!V$12*VLOOKUP($A15,'IDEES okt 2017 template'!$C$183:$AH$190,'IDEES okt 2017 template'!V$162,FALSE),"")*$AR$15</f>
        <v>0.82650964895306733</v>
      </c>
      <c r="Y15" s="795">
        <f ca="1">IFERROR('All Stock'!W$12*VLOOKUP($A15,'IDEES okt 2017 template'!$C$183:$AH$190,'IDEES okt 2017 template'!W$162,FALSE),"")*$AR$15</f>
        <v>19.120198110814297</v>
      </c>
      <c r="Z15" s="795">
        <f ca="1">IFERROR('All Stock'!X$12*VLOOKUP($A15,'IDEES okt 2017 template'!$C$183:$AH$190,'IDEES okt 2017 template'!X$162,FALSE),"")*$AR$15</f>
        <v>3.4439887663978599</v>
      </c>
      <c r="AA15" s="795">
        <f ca="1">IFERROR('All Stock'!Y$12*VLOOKUP($A15,'IDEES okt 2017 template'!$C$183:$AH$190,'IDEES okt 2017 template'!Y$162,FALSE),"")*$AR$15</f>
        <v>0</v>
      </c>
      <c r="AB15" s="795">
        <f ca="1">IFERROR('All Stock'!Z$12*VLOOKUP($A15,'IDEES okt 2017 template'!$C$183:$AH$190,'IDEES okt 2017 template'!Z$162,FALSE),"")*$AR$15</f>
        <v>3.5596268823141726</v>
      </c>
      <c r="AC15" s="795">
        <f ca="1">IFERROR('All Stock'!AA$12*VLOOKUP($A15,'IDEES okt 2017 template'!$C$183:$AH$190,'IDEES okt 2017 template'!AA$162,FALSE),"")*$AR$15</f>
        <v>10.684159369441968</v>
      </c>
      <c r="AD15" s="795">
        <f ca="1">IFERROR('All Stock'!AB$12*VLOOKUP($A15,'IDEES okt 2017 template'!$C$183:$AH$190,'IDEES okt 2017 template'!AB$162,FALSE),"")*$AR$15</f>
        <v>16.123441436323013</v>
      </c>
      <c r="AE15" s="795">
        <f ca="1">IFERROR('All Stock'!AC$12*VLOOKUP($A15,'IDEES okt 2017 template'!$C$183:$AH$190,'IDEES okt 2017 template'!AC$162,FALSE),"")*$AR$15</f>
        <v>31.850032900766514</v>
      </c>
      <c r="AF15" s="795">
        <f ca="1">IFERROR('All Stock'!AD$12*VLOOKUP($A15,'IDEES okt 2017 template'!$C$183:$AH$190,'IDEES okt 2017 template'!AD$162,FALSE),"")*$AR$15</f>
        <v>23.66822381837158</v>
      </c>
      <c r="AG15" s="795">
        <f ca="1">IFERROR('All Stock'!AE$12*VLOOKUP($A15,'IDEES okt 2017 template'!$C$183:$AH$190,'IDEES okt 2017 template'!AE$162,FALSE),"")*$AR$15</f>
        <v>6.8583041904215305</v>
      </c>
      <c r="AH15" s="795">
        <f ca="1">IFERROR('All Stock'!AF$12*VLOOKUP($A15,'IDEES okt 2017 template'!$C$183:$AH$190,'IDEES okt 2017 template'!AF$162,FALSE),"")*$AR$15</f>
        <v>35.743935494752613</v>
      </c>
      <c r="AI15" s="795">
        <f ca="1">IFERROR('All Stock'!AG$12*VLOOKUP($A15,'IDEES okt 2017 template'!$C$183:$AH$190,'IDEES okt 2017 template'!AG$162,FALSE),"")*$AR$15</f>
        <v>0</v>
      </c>
      <c r="AJ15" s="795">
        <f ca="1">IFERROR('All Stock'!AH$12*VLOOKUP($A15,'IDEES okt 2017 template'!$C$183:$AH$190,'IDEES okt 2017 template'!AH$162,FALSE),"")*$AR$15</f>
        <v>201.9890282573669</v>
      </c>
      <c r="AK15" s="795">
        <f ca="1">IFERROR('All Stock'!AI$12*VLOOKUP($A15,'IDEES okt 2017 template'!$C$183:$AN$190,'IDEES okt 2017 template'!AI$162,FALSE),"")*$AR$15</f>
        <v>0.12945639932396114</v>
      </c>
      <c r="AL15" s="795">
        <f ca="1">IFERROR('All Stock'!AJ$12*VLOOKUP($A15,'IDEES okt 2017 template'!$C$183:$AN$190,'IDEES okt 2017 template'!AJ$162,FALSE),"")*$AR$15</f>
        <v>0</v>
      </c>
      <c r="AM15" s="795">
        <f ca="1">IFERROR('All Stock'!AK$12*VLOOKUP($A15,'IDEES okt 2017 template'!$C$183:$AN$190,'IDEES okt 2017 template'!AK$162,FALSE),"")*$AR$15</f>
        <v>0</v>
      </c>
      <c r="AN15" s="795">
        <f ca="1">IFERROR('All Stock'!AL$12*VLOOKUP($A15,'IDEES okt 2017 template'!$C$183:$AN$190,'IDEES okt 2017 template'!AL$162,FALSE),"")*$AR$15</f>
        <v>7.4120023667334793</v>
      </c>
      <c r="AO15" s="795">
        <f ca="1">IFERROR('All Stock'!AM$12*VLOOKUP($A15,'IDEES okt 2017 template'!$C$183:$AN$190,'IDEES okt 2017 template'!AM$162,FALSE),"")*$AR$15</f>
        <v>0.24048702191100788</v>
      </c>
      <c r="AP15" s="795">
        <f ca="1">IFERROR('All Stock'!AN$12*VLOOKUP($A15,'IDEES okt 2017 template'!$C$183:$AN$190,'IDEES okt 2017 template'!AN$162,FALSE),"")*$AR$15</f>
        <v>5.3456345687759006</v>
      </c>
      <c r="AQ15" s="509"/>
      <c r="AR15">
        <v>1</v>
      </c>
      <c r="AS15" t="e">
        <f>#REF!</f>
        <v>#REF!</v>
      </c>
      <c r="AT15" s="509"/>
      <c r="AW15" s="496" t="e">
        <f ca="1">AG15*#REF!*#REF!</f>
        <v>#REF!</v>
      </c>
    </row>
    <row r="16" spans="1:49">
      <c r="A16" t="str">
        <f t="shared" si="2"/>
        <v>Biomass and wastes</v>
      </c>
      <c r="C16" t="str">
        <f>TechComm!L60</f>
        <v>R_ES-WH-DH_BIO</v>
      </c>
      <c r="D16" t="str">
        <f t="shared" si="1"/>
        <v>RSDBIO</v>
      </c>
      <c r="E16" t="str">
        <f t="shared" si="3"/>
        <v>R_ES-DH-WatHeat</v>
      </c>
      <c r="F16" s="795">
        <f ca="1">IFERROR('All Stock'!D$12*VLOOKUP($A16,'IDEES okt 2017 template'!$C$183:$AH$190,'IDEES okt 2017 template'!D$162,FALSE),"")*$AR$16</f>
        <v>89.720754122744054</v>
      </c>
      <c r="G16" s="795">
        <f ca="1">IFERROR('All Stock'!E$12*VLOOKUP($A16,'IDEES okt 2017 template'!$C$183:$AH$190,'IDEES okt 2017 template'!E$162,FALSE),"")*$AR$16</f>
        <v>18.836704836038077</v>
      </c>
      <c r="H16" s="795">
        <f ca="1">IFERROR('All Stock'!F$12*VLOOKUP($A16,'IDEES okt 2017 template'!$C$183:$AH$190,'IDEES okt 2017 template'!F$162,FALSE),"")*$AR$16</f>
        <v>29.460149271840507</v>
      </c>
      <c r="I16" s="795">
        <f ca="1">IFERROR('All Stock'!G$12*VLOOKUP($A16,'IDEES okt 2017 template'!$C$183:$AH$190,'IDEES okt 2017 template'!G$162,FALSE),"")*$AR$16</f>
        <v>13.885648132434264</v>
      </c>
      <c r="J16" s="795">
        <f ca="1">IFERROR('All Stock'!H$12*VLOOKUP($A16,'IDEES okt 2017 template'!$C$183:$AH$190,'IDEES okt 2017 template'!H$162,FALSE),"")*$AR$16</f>
        <v>0.10982407730482385</v>
      </c>
      <c r="K16" s="795">
        <f ca="1">IFERROR('All Stock'!I$12*VLOOKUP($A16,'IDEES okt 2017 template'!$C$183:$AH$190,'IDEES okt 2017 template'!I$162,FALSE),"")*$AR$16</f>
        <v>30.460236785617553</v>
      </c>
      <c r="L16" s="795">
        <f ca="1">IFERROR('All Stock'!J$12*VLOOKUP($A16,'IDEES okt 2017 template'!$C$183:$AH$190,'IDEES okt 2017 template'!J$162,FALSE),"")*$AR$16</f>
        <v>147.24755399317579</v>
      </c>
      <c r="M16" s="795">
        <f ca="1">IFERROR('All Stock'!K$12*VLOOKUP($A16,'IDEES okt 2017 template'!$C$183:$AH$190,'IDEES okt 2017 template'!K$162,FALSE),"")*$AR$16</f>
        <v>115.03037828695389</v>
      </c>
      <c r="N16" s="795">
        <f ca="1">IFERROR('All Stock'!L$12*VLOOKUP($A16,'IDEES okt 2017 template'!$C$183:$AH$190,'IDEES okt 2017 template'!L$162,FALSE),"")*$AR$16</f>
        <v>32.871447832624796</v>
      </c>
      <c r="O16" s="795">
        <f ca="1">IFERROR('All Stock'!M$12*VLOOKUP($A16,'IDEES okt 2017 template'!$C$183:$AH$190,'IDEES okt 2017 template'!M$162,FALSE),"")*$AR$16</f>
        <v>9.6452336240879077</v>
      </c>
      <c r="P16" s="795">
        <f ca="1">IFERROR('All Stock'!N$12*VLOOKUP($A16,'IDEES okt 2017 template'!$C$183:$AH$190,'IDEES okt 2017 template'!N$162,FALSE),"")*$AR$16</f>
        <v>116.5869027995755</v>
      </c>
      <c r="Q16" s="795">
        <f ca="1">IFERROR('All Stock'!O$12*VLOOKUP($A16,'IDEES okt 2017 template'!$C$183:$AH$190,'IDEES okt 2017 template'!O$162,FALSE),"")*$AR$16</f>
        <v>293.84610411102369</v>
      </c>
      <c r="R16" s="795">
        <f ca="1">IFERROR('All Stock'!P$12*VLOOKUP($A16,'IDEES okt 2017 template'!$C$183:$AH$190,'IDEES okt 2017 template'!P$162,FALSE),"")*$AR$16</f>
        <v>8.5151328334373169</v>
      </c>
      <c r="S16" s="795">
        <f ca="1">IFERROR('All Stock'!Q$12*VLOOKUP($A16,'IDEES okt 2017 template'!$C$183:$AH$190,'IDEES okt 2017 template'!Q$162,FALSE),"")*$AR$16</f>
        <v>30.63403463247748</v>
      </c>
      <c r="T16" s="795">
        <f ca="1">IFERROR('All Stock'!R$12*VLOOKUP($A16,'IDEES okt 2017 template'!$C$183:$AH$190,'IDEES okt 2017 template'!R$162,FALSE),"")*$AR$16</f>
        <v>40.73490480635467</v>
      </c>
      <c r="U16" s="795">
        <f ca="1">IFERROR('All Stock'!S$12*VLOOKUP($A16,'IDEES okt 2017 template'!$C$183:$AH$190,'IDEES okt 2017 template'!S$162,FALSE),"")*$AR$16</f>
        <v>3.6259333722895852</v>
      </c>
      <c r="V16" s="795">
        <f ca="1">IFERROR('All Stock'!T$12*VLOOKUP($A16,'IDEES okt 2017 template'!$C$183:$AH$190,'IDEES okt 2017 template'!T$162,FALSE),"")*$AR$16</f>
        <v>0</v>
      </c>
      <c r="W16" s="795">
        <f ca="1">IFERROR('All Stock'!U$12*VLOOKUP($A16,'IDEES okt 2017 template'!$C$183:$AH$190,'IDEES okt 2017 template'!U$162,FALSE),"")*$AR$16</f>
        <v>12.995919093482973</v>
      </c>
      <c r="X16" s="795">
        <f ca="1">IFERROR('All Stock'!V$12*VLOOKUP($A16,'IDEES okt 2017 template'!$C$183:$AH$190,'IDEES okt 2017 template'!V$162,FALSE),"")*$AR$16</f>
        <v>68.895482880587821</v>
      </c>
      <c r="Y16" s="795">
        <f ca="1">IFERROR('All Stock'!W$12*VLOOKUP($A16,'IDEES okt 2017 template'!$C$183:$AH$190,'IDEES okt 2017 template'!W$162,FALSE),"")*$AR$16</f>
        <v>1.2066144438863391</v>
      </c>
      <c r="Z16" s="795">
        <f ca="1">IFERROR('All Stock'!X$12*VLOOKUP($A16,'IDEES okt 2017 template'!$C$183:$AH$190,'IDEES okt 2017 template'!X$162,FALSE),"")*$AR$16</f>
        <v>72.611906580786766</v>
      </c>
      <c r="AA16" s="795">
        <f ca="1">IFERROR('All Stock'!Y$12*VLOOKUP($A16,'IDEES okt 2017 template'!$C$183:$AH$190,'IDEES okt 2017 template'!Y$162,FALSE),"")*$AR$16</f>
        <v>0</v>
      </c>
      <c r="AB16" s="795">
        <f ca="1">IFERROR('All Stock'!Z$12*VLOOKUP($A16,'IDEES okt 2017 template'!$C$183:$AH$190,'IDEES okt 2017 template'!Z$162,FALSE),"")*$AR$16</f>
        <v>13.310811264340508</v>
      </c>
      <c r="AC16" s="795">
        <f ca="1">IFERROR('All Stock'!AA$12*VLOOKUP($A16,'IDEES okt 2017 template'!$C$183:$AH$190,'IDEES okt 2017 template'!AA$162,FALSE),"")*$AR$16</f>
        <v>34.086797968659347</v>
      </c>
      <c r="AD16" s="795">
        <f ca="1">IFERROR('All Stock'!AB$12*VLOOKUP($A16,'IDEES okt 2017 template'!$C$183:$AH$190,'IDEES okt 2017 template'!AB$162,FALSE),"")*$AR$16</f>
        <v>308.44678368586659</v>
      </c>
      <c r="AE16" s="795">
        <f ca="1">IFERROR('All Stock'!AC$12*VLOOKUP($A16,'IDEES okt 2017 template'!$C$183:$AH$190,'IDEES okt 2017 template'!AC$162,FALSE),"")*$AR$16</f>
        <v>52.83972671405855</v>
      </c>
      <c r="AF16" s="795">
        <f ca="1">IFERROR('All Stock'!AD$12*VLOOKUP($A16,'IDEES okt 2017 template'!$C$183:$AH$190,'IDEES okt 2017 template'!AD$162,FALSE),"")*$AR$16</f>
        <v>717.37350668941144</v>
      </c>
      <c r="AG16" s="795">
        <f ca="1">IFERROR('All Stock'!AE$12*VLOOKUP($A16,'IDEES okt 2017 template'!$C$183:$AH$190,'IDEES okt 2017 template'!AE$162,FALSE),"")*$AR$16</f>
        <v>19.820858183836041</v>
      </c>
      <c r="AH16" s="795">
        <f ca="1">IFERROR('All Stock'!AF$12*VLOOKUP($A16,'IDEES okt 2017 template'!$C$183:$AH$190,'IDEES okt 2017 template'!AF$162,FALSE),"")*$AR$16</f>
        <v>52.573315737106959</v>
      </c>
      <c r="AI16" s="795">
        <f ca="1">IFERROR('All Stock'!AG$12*VLOOKUP($A16,'IDEES okt 2017 template'!$C$183:$AH$190,'IDEES okt 2017 template'!AG$162,FALSE),"")*$AR$16</f>
        <v>1.8780676202400024</v>
      </c>
      <c r="AJ16" s="795">
        <f ca="1">IFERROR('All Stock'!AH$12*VLOOKUP($A16,'IDEES okt 2017 template'!$C$183:$AH$190,'IDEES okt 2017 template'!AH$162,FALSE),"")*$AR$16</f>
        <v>0</v>
      </c>
      <c r="AK16" s="795">
        <f ca="1">IFERROR('All Stock'!AI$12*VLOOKUP($A16,'IDEES okt 2017 template'!$C$183:$AN$190,'IDEES okt 2017 template'!AI$162,FALSE),"")*$AR$16</f>
        <v>2.4745256708708552</v>
      </c>
      <c r="AL16" s="795">
        <f ca="1">IFERROR('All Stock'!AJ$12*VLOOKUP($A16,'IDEES okt 2017 template'!$C$183:$AN$190,'IDEES okt 2017 template'!AJ$162,FALSE),"")*$AR$16</f>
        <v>4.7770952248069447</v>
      </c>
      <c r="AM16" s="795">
        <f ca="1">IFERROR('All Stock'!AK$12*VLOOKUP($A16,'IDEES okt 2017 template'!$C$183:$AN$190,'IDEES okt 2017 template'!AK$162,FALSE),"")*$AR$16</f>
        <v>4.4594179415253556</v>
      </c>
      <c r="AN16" s="795">
        <f ca="1">IFERROR('All Stock'!AL$12*VLOOKUP($A16,'IDEES okt 2017 template'!$C$183:$AN$190,'IDEES okt 2017 template'!AL$162,FALSE),"")*$AR$16</f>
        <v>3.7511629215760274</v>
      </c>
      <c r="AO16" s="795">
        <f ca="1">IFERROR('All Stock'!AM$12*VLOOKUP($A16,'IDEES okt 2017 template'!$C$183:$AN$190,'IDEES okt 2017 template'!AM$162,FALSE),"")*$AR$16</f>
        <v>21.314137832487301</v>
      </c>
      <c r="AP16" s="795">
        <f ca="1">IFERROR('All Stock'!AN$12*VLOOKUP($A16,'IDEES okt 2017 template'!$C$183:$AN$190,'IDEES okt 2017 template'!AN$162,FALSE),"")*$AR$16</f>
        <v>7.7690584609517872</v>
      </c>
      <c r="AQ16" s="509"/>
      <c r="AR16">
        <v>1</v>
      </c>
      <c r="AS16" t="e">
        <f>#REF!</f>
        <v>#REF!</v>
      </c>
      <c r="AT16" s="509"/>
      <c r="AW16" s="496" t="e">
        <f ca="1">AG16*#REF!*#REF!</f>
        <v>#REF!</v>
      </c>
    </row>
    <row r="17" spans="1:49">
      <c r="A17" t="str">
        <f t="shared" si="2"/>
        <v>Solids</v>
      </c>
      <c r="C17" t="str">
        <f>TechComm!L61</f>
        <v>R_ES-WH-DH_COA</v>
      </c>
      <c r="D17" t="str">
        <f t="shared" si="1"/>
        <v>RSDCOA</v>
      </c>
      <c r="E17" t="str">
        <f t="shared" si="3"/>
        <v>R_ES-DH-WatHeat</v>
      </c>
      <c r="F17" s="795">
        <f ca="1">IFERROR('All Stock'!D$12*VLOOKUP($A17,'IDEES okt 2017 template'!$C$183:$AH$190,'IDEES okt 2017 template'!D$162,FALSE),"")*$AR$17</f>
        <v>2.9611933265093828</v>
      </c>
      <c r="G17" s="795">
        <f ca="1">IFERROR('All Stock'!E$12*VLOOKUP($A17,'IDEES okt 2017 template'!$C$183:$AH$190,'IDEES okt 2017 template'!E$162,FALSE),"")*$AR$17</f>
        <v>0</v>
      </c>
      <c r="H17" s="795">
        <f ca="1">IFERROR('All Stock'!F$12*VLOOKUP($A17,'IDEES okt 2017 template'!$C$183:$AH$190,'IDEES okt 2017 template'!F$162,FALSE),"")*$AR$17</f>
        <v>2.9714116075908099</v>
      </c>
      <c r="I17" s="795">
        <f ca="1">IFERROR('All Stock'!G$12*VLOOKUP($A17,'IDEES okt 2017 template'!$C$183:$AH$190,'IDEES okt 2017 template'!G$162,FALSE),"")*$AR$17</f>
        <v>0</v>
      </c>
      <c r="J17" s="795">
        <f ca="1">IFERROR('All Stock'!H$12*VLOOKUP($A17,'IDEES okt 2017 template'!$C$183:$AH$190,'IDEES okt 2017 template'!H$162,FALSE),"")*$AR$17</f>
        <v>0</v>
      </c>
      <c r="K17" s="795">
        <f ca="1">IFERROR('All Stock'!I$12*VLOOKUP($A17,'IDEES okt 2017 template'!$C$183:$AH$190,'IDEES okt 2017 template'!I$162,FALSE),"")*$AR$17</f>
        <v>15.901873433995569</v>
      </c>
      <c r="L17" s="795">
        <f ca="1">IFERROR('All Stock'!J$12*VLOOKUP($A17,'IDEES okt 2017 template'!$C$183:$AH$190,'IDEES okt 2017 template'!J$162,FALSE),"")*$AR$17</f>
        <v>0</v>
      </c>
      <c r="M17" s="795">
        <f ca="1">IFERROR('All Stock'!K$12*VLOOKUP($A17,'IDEES okt 2017 template'!$C$183:$AH$190,'IDEES okt 2017 template'!K$162,FALSE),"")*$AR$17</f>
        <v>0</v>
      </c>
      <c r="N17" s="795">
        <f ca="1">IFERROR('All Stock'!L$12*VLOOKUP($A17,'IDEES okt 2017 template'!$C$183:$AH$190,'IDEES okt 2017 template'!L$162,FALSE),"")*$AR$17</f>
        <v>0</v>
      </c>
      <c r="O17" s="795">
        <f ca="1">IFERROR('All Stock'!M$12*VLOOKUP($A17,'IDEES okt 2017 template'!$C$183:$AH$190,'IDEES okt 2017 template'!M$162,FALSE),"")*$AR$17</f>
        <v>0</v>
      </c>
      <c r="P17" s="795">
        <f ca="1">IFERROR('All Stock'!N$12*VLOOKUP($A17,'IDEES okt 2017 template'!$C$183:$AH$190,'IDEES okt 2017 template'!N$162,FALSE),"")*$AR$17</f>
        <v>0</v>
      </c>
      <c r="Q17" s="795">
        <f ca="1">IFERROR('All Stock'!O$12*VLOOKUP($A17,'IDEES okt 2017 template'!$C$183:$AH$190,'IDEES okt 2017 template'!O$162,FALSE),"")*$AR$17</f>
        <v>0</v>
      </c>
      <c r="R17" s="795">
        <f ca="1">IFERROR('All Stock'!P$12*VLOOKUP($A17,'IDEES okt 2017 template'!$C$183:$AH$190,'IDEES okt 2017 template'!P$162,FALSE),"")*$AR$17</f>
        <v>0</v>
      </c>
      <c r="S17" s="795">
        <f ca="1">IFERROR('All Stock'!Q$12*VLOOKUP($A17,'IDEES okt 2017 template'!$C$183:$AH$190,'IDEES okt 2017 template'!Q$162,FALSE),"")*$AR$17</f>
        <v>0</v>
      </c>
      <c r="T17" s="795">
        <f ca="1">IFERROR('All Stock'!R$12*VLOOKUP($A17,'IDEES okt 2017 template'!$C$183:$AH$190,'IDEES okt 2017 template'!R$162,FALSE),"")*$AR$17</f>
        <v>2.0083661533679691</v>
      </c>
      <c r="U17" s="795">
        <f ca="1">IFERROR('All Stock'!S$12*VLOOKUP($A17,'IDEES okt 2017 template'!$C$183:$AH$190,'IDEES okt 2017 template'!S$162,FALSE),"")*$AR$17</f>
        <v>56.348174261306696</v>
      </c>
      <c r="V17" s="795">
        <f ca="1">IFERROR('All Stock'!T$12*VLOOKUP($A17,'IDEES okt 2017 template'!$C$183:$AH$190,'IDEES okt 2017 template'!T$162,FALSE),"")*$AR$17</f>
        <v>0</v>
      </c>
      <c r="W17" s="795">
        <f ca="1">IFERROR('All Stock'!U$12*VLOOKUP($A17,'IDEES okt 2017 template'!$C$183:$AH$190,'IDEES okt 2017 template'!U$162,FALSE),"")*$AR$17</f>
        <v>0</v>
      </c>
      <c r="X17" s="795">
        <f ca="1">IFERROR('All Stock'!V$12*VLOOKUP($A17,'IDEES okt 2017 template'!$C$183:$AH$190,'IDEES okt 2017 template'!V$162,FALSE),"")*$AR$17</f>
        <v>0</v>
      </c>
      <c r="Y17" s="795">
        <f ca="1">IFERROR('All Stock'!W$12*VLOOKUP($A17,'IDEES okt 2017 template'!$C$183:$AH$190,'IDEES okt 2017 template'!W$162,FALSE),"")*$AR$17</f>
        <v>0</v>
      </c>
      <c r="Z17" s="795">
        <f ca="1">IFERROR('All Stock'!X$12*VLOOKUP($A17,'IDEES okt 2017 template'!$C$183:$AH$190,'IDEES okt 2017 template'!X$162,FALSE),"")*$AR$17</f>
        <v>0</v>
      </c>
      <c r="AA17" s="795">
        <f ca="1">IFERROR('All Stock'!Y$12*VLOOKUP($A17,'IDEES okt 2017 template'!$C$183:$AH$190,'IDEES okt 2017 template'!Y$162,FALSE),"")*$AR$17</f>
        <v>0</v>
      </c>
      <c r="AB17" s="795">
        <f ca="1">IFERROR('All Stock'!Z$12*VLOOKUP($A17,'IDEES okt 2017 template'!$C$183:$AH$190,'IDEES okt 2017 template'!Z$162,FALSE),"")*$AR$17</f>
        <v>0</v>
      </c>
      <c r="AC17" s="795">
        <f ca="1">IFERROR('All Stock'!AA$12*VLOOKUP($A17,'IDEES okt 2017 template'!$C$183:$AH$190,'IDEES okt 2017 template'!AA$162,FALSE),"")*$AR$17</f>
        <v>0</v>
      </c>
      <c r="AD17" s="795">
        <f ca="1">IFERROR('All Stock'!AB$12*VLOOKUP($A17,'IDEES okt 2017 template'!$C$183:$AH$190,'IDEES okt 2017 template'!AB$162,FALSE),"")*$AR$17</f>
        <v>962.9935537483492</v>
      </c>
      <c r="AE17" s="795">
        <f ca="1">IFERROR('All Stock'!AC$12*VLOOKUP($A17,'IDEES okt 2017 template'!$C$183:$AH$190,'IDEES okt 2017 template'!AC$162,FALSE),"")*$AR$17</f>
        <v>0</v>
      </c>
      <c r="AF17" s="795">
        <f ca="1">IFERROR('All Stock'!AD$12*VLOOKUP($A17,'IDEES okt 2017 template'!$C$183:$AH$190,'IDEES okt 2017 template'!AD$162,FALSE),"")*$AR$17</f>
        <v>0</v>
      </c>
      <c r="AG17" s="795">
        <f ca="1">IFERROR('All Stock'!AE$12*VLOOKUP($A17,'IDEES okt 2017 template'!$C$183:$AH$190,'IDEES okt 2017 template'!AE$162,FALSE),"")*$AR$17</f>
        <v>0</v>
      </c>
      <c r="AH17" s="795">
        <f ca="1">IFERROR('All Stock'!AF$12*VLOOKUP($A17,'IDEES okt 2017 template'!$C$183:$AH$190,'IDEES okt 2017 template'!AF$162,FALSE),"")*$AR$17</f>
        <v>0</v>
      </c>
      <c r="AI17" s="795">
        <f ca="1">IFERROR('All Stock'!AG$12*VLOOKUP($A17,'IDEES okt 2017 template'!$C$183:$AH$190,'IDEES okt 2017 template'!AG$162,FALSE),"")*$AR$17</f>
        <v>0</v>
      </c>
      <c r="AJ17" s="795">
        <f ca="1">IFERROR('All Stock'!AH$12*VLOOKUP($A17,'IDEES okt 2017 template'!$C$183:$AH$190,'IDEES okt 2017 template'!AH$162,FALSE),"")*$AR$17</f>
        <v>14.637414465361031</v>
      </c>
      <c r="AK17" s="795">
        <f ca="1">IFERROR('All Stock'!AI$12*VLOOKUP($A17,'IDEES okt 2017 template'!$C$183:$AN$190,'IDEES okt 2017 template'!AI$162,FALSE),"")*$AR$17</f>
        <v>0</v>
      </c>
      <c r="AL17" s="795">
        <f ca="1">IFERROR('All Stock'!AJ$12*VLOOKUP($A17,'IDEES okt 2017 template'!$C$183:$AN$190,'IDEES okt 2017 template'!AJ$162,FALSE),"")*$AR$17</f>
        <v>0</v>
      </c>
      <c r="AM17" s="795">
        <f ca="1">IFERROR('All Stock'!AK$12*VLOOKUP($A17,'IDEES okt 2017 template'!$C$183:$AN$190,'IDEES okt 2017 template'!AK$162,FALSE),"")*$AR$17</f>
        <v>0</v>
      </c>
      <c r="AN17" s="795">
        <f ca="1">IFERROR('All Stock'!AL$12*VLOOKUP($A17,'IDEES okt 2017 template'!$C$183:$AN$190,'IDEES okt 2017 template'!AL$162,FALSE),"")*$AR$17</f>
        <v>0</v>
      </c>
      <c r="AO17" s="795">
        <f ca="1">IFERROR('All Stock'!AM$12*VLOOKUP($A17,'IDEES okt 2017 template'!$C$183:$AN$190,'IDEES okt 2017 template'!AM$162,FALSE),"")*$AR$17</f>
        <v>0</v>
      </c>
      <c r="AP17" s="795">
        <f ca="1">IFERROR('All Stock'!AN$12*VLOOKUP($A17,'IDEES okt 2017 template'!$C$183:$AN$190,'IDEES okt 2017 template'!AN$162,FALSE),"")*$AR$17</f>
        <v>0</v>
      </c>
      <c r="AQ17" s="509"/>
      <c r="AR17">
        <v>1</v>
      </c>
      <c r="AS17" t="e">
        <f>#REF!</f>
        <v>#REF!</v>
      </c>
      <c r="AT17" s="509"/>
      <c r="AW17" s="496" t="e">
        <f ca="1">AG17*#REF!*#REF!</f>
        <v>#REF!</v>
      </c>
    </row>
    <row r="18" spans="1:49">
      <c r="A18" t="str">
        <f t="shared" si="2"/>
        <v>LPG</v>
      </c>
      <c r="C18" t="str">
        <f>TechComm!L62</f>
        <v>R_ES-WH-DH_LPG</v>
      </c>
      <c r="D18" t="str">
        <f t="shared" si="1"/>
        <v>RSDLPG</v>
      </c>
      <c r="E18" t="str">
        <f t="shared" si="3"/>
        <v>R_ES-DH-WatHeat</v>
      </c>
      <c r="F18" s="795">
        <f ca="1">IFERROR('All Stock'!D$12*VLOOKUP($A18,'IDEES okt 2017 template'!$C$183:$AH$190,'IDEES okt 2017 template'!D$162,FALSE),"")*$AR$18</f>
        <v>13.955049009986745</v>
      </c>
      <c r="G18" s="795">
        <f ca="1">IFERROR('All Stock'!E$12*VLOOKUP($A18,'IDEES okt 2017 template'!$C$183:$AH$190,'IDEES okt 2017 template'!E$162,FALSE),"")*$AR$18</f>
        <v>11.961587047217057</v>
      </c>
      <c r="H18" s="795">
        <f ca="1">IFERROR('All Stock'!F$12*VLOOKUP($A18,'IDEES okt 2017 template'!$C$183:$AH$190,'IDEES okt 2017 template'!F$162,FALSE),"")*$AR$18</f>
        <v>0.30476016488110869</v>
      </c>
      <c r="I18" s="795">
        <f ca="1">IFERROR('All Stock'!G$12*VLOOKUP($A18,'IDEES okt 2017 template'!$C$183:$AH$190,'IDEES okt 2017 template'!G$162,FALSE),"")*$AR$18</f>
        <v>0</v>
      </c>
      <c r="J18" s="795">
        <f ca="1">IFERROR('All Stock'!H$12*VLOOKUP($A18,'IDEES okt 2017 template'!$C$183:$AH$190,'IDEES okt 2017 template'!H$162,FALSE),"")*$AR$18</f>
        <v>1.3911049791944354</v>
      </c>
      <c r="K18" s="795">
        <f ca="1">IFERROR('All Stock'!I$12*VLOOKUP($A18,'IDEES okt 2017 template'!$C$183:$AH$190,'IDEES okt 2017 template'!I$162,FALSE),"")*$AR$18</f>
        <v>3.4578866054533299</v>
      </c>
      <c r="L18" s="795">
        <f ca="1">IFERROR('All Stock'!J$12*VLOOKUP($A18,'IDEES okt 2017 template'!$C$183:$AH$190,'IDEES okt 2017 template'!J$162,FALSE),"")*$AR$18</f>
        <v>185.73860586549915</v>
      </c>
      <c r="M18" s="795">
        <f ca="1">IFERROR('All Stock'!K$12*VLOOKUP($A18,'IDEES okt 2017 template'!$C$183:$AH$190,'IDEES okt 2017 template'!K$162,FALSE),"")*$AR$18</f>
        <v>6.9784818410231013</v>
      </c>
      <c r="N18" s="795">
        <f ca="1">IFERROR('All Stock'!L$12*VLOOKUP($A18,'IDEES okt 2017 template'!$C$183:$AH$190,'IDEES okt 2017 template'!L$162,FALSE),"")*$AR$18</f>
        <v>0.77012372899550485</v>
      </c>
      <c r="O18" s="795">
        <f ca="1">IFERROR('All Stock'!M$12*VLOOKUP($A18,'IDEES okt 2017 template'!$C$183:$AH$190,'IDEES okt 2017 template'!M$162,FALSE),"")*$AR$18</f>
        <v>168.714803048568</v>
      </c>
      <c r="P18" s="795">
        <f ca="1">IFERROR('All Stock'!N$12*VLOOKUP($A18,'IDEES okt 2017 template'!$C$183:$AH$190,'IDEES okt 2017 template'!N$162,FALSE),"")*$AR$18</f>
        <v>6.1843445285728214</v>
      </c>
      <c r="Q18" s="795">
        <f ca="1">IFERROR('All Stock'!O$12*VLOOKUP($A18,'IDEES okt 2017 template'!$C$183:$AH$190,'IDEES okt 2017 template'!O$162,FALSE),"")*$AR$18</f>
        <v>490.89981222941805</v>
      </c>
      <c r="R18" s="795">
        <f ca="1">IFERROR('All Stock'!P$12*VLOOKUP($A18,'IDEES okt 2017 template'!$C$183:$AH$190,'IDEES okt 2017 template'!P$162,FALSE),"")*$AR$18</f>
        <v>16.749384549104999</v>
      </c>
      <c r="S18" s="795">
        <f ca="1">IFERROR('All Stock'!Q$12*VLOOKUP($A18,'IDEES okt 2017 template'!$C$183:$AH$190,'IDEES okt 2017 template'!Q$162,FALSE),"")*$AR$18</f>
        <v>64.961258719378009</v>
      </c>
      <c r="T18" s="795">
        <f ca="1">IFERROR('All Stock'!R$12*VLOOKUP($A18,'IDEES okt 2017 template'!$C$183:$AH$190,'IDEES okt 2017 template'!R$162,FALSE),"")*$AR$18</f>
        <v>110.72209923785149</v>
      </c>
      <c r="U18" s="795">
        <f ca="1">IFERROR('All Stock'!S$12*VLOOKUP($A18,'IDEES okt 2017 template'!$C$183:$AH$190,'IDEES okt 2017 template'!S$162,FALSE),"")*$AR$18</f>
        <v>19.664840265038272</v>
      </c>
      <c r="V18" s="795">
        <f ca="1">IFERROR('All Stock'!T$12*VLOOKUP($A18,'IDEES okt 2017 template'!$C$183:$AH$190,'IDEES okt 2017 template'!T$162,FALSE),"")*$AR$18</f>
        <v>0.67345006587273104</v>
      </c>
      <c r="W18" s="795">
        <f ca="1">IFERROR('All Stock'!U$12*VLOOKUP($A18,'IDEES okt 2017 template'!$C$183:$AH$190,'IDEES okt 2017 template'!U$162,FALSE),"")*$AR$18</f>
        <v>233.3444196471512</v>
      </c>
      <c r="X18" s="795">
        <f ca="1">IFERROR('All Stock'!V$12*VLOOKUP($A18,'IDEES okt 2017 template'!$C$183:$AH$190,'IDEES okt 2017 template'!V$162,FALSE),"")*$AR$18</f>
        <v>9.7606853781124148</v>
      </c>
      <c r="Y18" s="795">
        <f ca="1">IFERROR('All Stock'!W$12*VLOOKUP($A18,'IDEES okt 2017 template'!$C$183:$AH$190,'IDEES okt 2017 template'!W$162,FALSE),"")*$AR$18</f>
        <v>0.61258887151152597</v>
      </c>
      <c r="Z18" s="795">
        <f ca="1">IFERROR('All Stock'!X$12*VLOOKUP($A18,'IDEES okt 2017 template'!$C$183:$AH$190,'IDEES okt 2017 template'!X$162,FALSE),"")*$AR$18</f>
        <v>4.9121433401212506</v>
      </c>
      <c r="AA18" s="795">
        <f ca="1">IFERROR('All Stock'!Y$12*VLOOKUP($A18,'IDEES okt 2017 template'!$C$183:$AH$190,'IDEES okt 2017 template'!Y$162,FALSE),"")*$AR$18</f>
        <v>2.3184314942318167</v>
      </c>
      <c r="AB18" s="795">
        <f ca="1">IFERROR('All Stock'!Z$12*VLOOKUP($A18,'IDEES okt 2017 template'!$C$183:$AH$190,'IDEES okt 2017 template'!Z$162,FALSE),"")*$AR$18</f>
        <v>2.1992032861591309</v>
      </c>
      <c r="AC18" s="795">
        <f ca="1">IFERROR('All Stock'!AA$12*VLOOKUP($A18,'IDEES okt 2017 template'!$C$183:$AH$190,'IDEES okt 2017 template'!AA$162,FALSE),"")*$AR$18</f>
        <v>4.9433771870990135</v>
      </c>
      <c r="AD18" s="795">
        <f ca="1">IFERROR('All Stock'!AB$12*VLOOKUP($A18,'IDEES okt 2017 template'!$C$183:$AH$190,'IDEES okt 2017 template'!AB$162,FALSE),"")*$AR$18</f>
        <v>94.753873843794011</v>
      </c>
      <c r="AE18" s="795">
        <f ca="1">IFERROR('All Stock'!AC$12*VLOOKUP($A18,'IDEES okt 2017 template'!$C$183:$AH$190,'IDEES okt 2017 template'!AC$162,FALSE),"")*$AR$18</f>
        <v>112.76884144355182</v>
      </c>
      <c r="AF18" s="795">
        <f ca="1">IFERROR('All Stock'!AD$12*VLOOKUP($A18,'IDEES okt 2017 template'!$C$183:$AH$190,'IDEES okt 2017 template'!AD$162,FALSE),"")*$AR$18</f>
        <v>52.821951698375464</v>
      </c>
      <c r="AG18" s="795">
        <f ca="1">IFERROR('All Stock'!AE$12*VLOOKUP($A18,'IDEES okt 2017 template'!$C$183:$AH$190,'IDEES okt 2017 template'!AE$162,FALSE),"")*$AR$18</f>
        <v>0</v>
      </c>
      <c r="AH18" s="795">
        <f ca="1">IFERROR('All Stock'!AF$12*VLOOKUP($A18,'IDEES okt 2017 template'!$C$183:$AH$190,'IDEES okt 2017 template'!AF$162,FALSE),"")*$AR$18</f>
        <v>7.8698540701657045</v>
      </c>
      <c r="AI18" s="795">
        <f ca="1">IFERROR('All Stock'!AG$12*VLOOKUP($A18,'IDEES okt 2017 template'!$C$183:$AH$190,'IDEES okt 2017 template'!AG$162,FALSE),"")*$AR$18</f>
        <v>5.2269110876559113</v>
      </c>
      <c r="AJ18" s="795">
        <f ca="1">IFERROR('All Stock'!AH$12*VLOOKUP($A18,'IDEES okt 2017 template'!$C$183:$AH$190,'IDEES okt 2017 template'!AH$162,FALSE),"")*$AR$18</f>
        <v>53.682671980682748</v>
      </c>
      <c r="AK18" s="795">
        <f ca="1">IFERROR('All Stock'!AI$12*VLOOKUP($A18,'IDEES okt 2017 template'!$C$183:$AN$190,'IDEES okt 2017 template'!AI$162,FALSE),"")*$AR$18</f>
        <v>26.402755166255513</v>
      </c>
      <c r="AL18" s="795">
        <f ca="1">IFERROR('All Stock'!AJ$12*VLOOKUP($A18,'IDEES okt 2017 template'!$C$183:$AN$190,'IDEES okt 2017 template'!AJ$162,FALSE),"")*$AR$18</f>
        <v>0</v>
      </c>
      <c r="AM18" s="795">
        <f ca="1">IFERROR('All Stock'!AK$12*VLOOKUP($A18,'IDEES okt 2017 template'!$C$183:$AN$190,'IDEES okt 2017 template'!AK$162,FALSE),"")*$AR$18</f>
        <v>0</v>
      </c>
      <c r="AN18" s="795">
        <f ca="1">IFERROR('All Stock'!AL$12*VLOOKUP($A18,'IDEES okt 2017 template'!$C$183:$AN$190,'IDEES okt 2017 template'!AL$162,FALSE),"")*$AR$18</f>
        <v>5.8849569989958566</v>
      </c>
      <c r="AO18" s="795">
        <f ca="1">IFERROR('All Stock'!AM$12*VLOOKUP($A18,'IDEES okt 2017 template'!$C$183:$AN$190,'IDEES okt 2017 template'!AM$162,FALSE),"")*$AR$18</f>
        <v>18.710616865743102</v>
      </c>
      <c r="AP18" s="795">
        <f ca="1">IFERROR('All Stock'!AN$12*VLOOKUP($A18,'IDEES okt 2017 template'!$C$183:$AN$190,'IDEES okt 2017 template'!AN$162,FALSE),"")*$AR$18</f>
        <v>10.898883615084722</v>
      </c>
      <c r="AQ18" s="509"/>
      <c r="AR18">
        <v>1</v>
      </c>
      <c r="AS18" t="e">
        <f>#REF!</f>
        <v>#REF!</v>
      </c>
      <c r="AT18" s="509"/>
      <c r="AW18" s="496" t="e">
        <f ca="1">AG18*#REF!*#REF!</f>
        <v>#REF!</v>
      </c>
    </row>
    <row r="19" spans="1:49">
      <c r="A19" s="692" t="str">
        <f t="shared" si="2"/>
        <v>Solar</v>
      </c>
      <c r="B19" s="692"/>
      <c r="C19" s="692" t="str">
        <f>TechComm!L63</f>
        <v>R_ES-WH-DH_SOL</v>
      </c>
      <c r="D19" s="692" t="str">
        <f t="shared" si="1"/>
        <v>RSDSOL</v>
      </c>
      <c r="E19" s="692" t="str">
        <f t="shared" si="3"/>
        <v>R_ES-DH-WatHeat</v>
      </c>
      <c r="F19" s="795">
        <f ca="1">IFERROR('All Stock'!D$12*VLOOKUP($A19,'IDEES okt 2017 template'!$C$183:$AH$190,'IDEES okt 2017 template'!D$162,FALSE),"")*$AR$18</f>
        <v>174.13178228071266</v>
      </c>
      <c r="G19" s="795">
        <f ca="1">IFERROR('All Stock'!E$12*VLOOKUP($A19,'IDEES okt 2017 template'!$C$183:$AH$190,'IDEES okt 2017 template'!E$162,FALSE),"")*$AR$18</f>
        <v>15.692596091150417</v>
      </c>
      <c r="H19" s="795">
        <f ca="1">IFERROR('All Stock'!F$12*VLOOKUP($A19,'IDEES okt 2017 template'!$C$183:$AH$190,'IDEES okt 2017 template'!F$162,FALSE),"")*$AR$18</f>
        <v>16.380858862359595</v>
      </c>
      <c r="I19" s="795">
        <f ca="1">IFERROR('All Stock'!G$12*VLOOKUP($A19,'IDEES okt 2017 template'!$C$183:$AH$190,'IDEES okt 2017 template'!G$162,FALSE),"")*$AR$18</f>
        <v>44.247640969859518</v>
      </c>
      <c r="J19" s="795">
        <f ca="1">IFERROR('All Stock'!H$12*VLOOKUP($A19,'IDEES okt 2017 template'!$C$183:$AH$190,'IDEES okt 2017 template'!H$162,FALSE),"")*$AR$18</f>
        <v>94.558530559453331</v>
      </c>
      <c r="K19" s="795">
        <f ca="1">IFERROR('All Stock'!I$12*VLOOKUP($A19,'IDEES okt 2017 template'!$C$183:$AH$190,'IDEES okt 2017 template'!I$162,FALSE),"")*$AR$18</f>
        <v>15.042907971494426</v>
      </c>
      <c r="L19" s="795">
        <f ca="1">IFERROR('All Stock'!J$12*VLOOKUP($A19,'IDEES okt 2017 template'!$C$183:$AH$190,'IDEES okt 2017 template'!J$162,FALSE),"")*$AR$18</f>
        <v>607.30326287443529</v>
      </c>
      <c r="M19" s="795">
        <f ca="1">IFERROR('All Stock'!K$12*VLOOKUP($A19,'IDEES okt 2017 template'!$C$183:$AH$190,'IDEES okt 2017 template'!K$162,FALSE),"")*$AR$18</f>
        <v>21.893684820642619</v>
      </c>
      <c r="N19" s="795">
        <f ca="1">IFERROR('All Stock'!L$12*VLOOKUP($A19,'IDEES okt 2017 template'!$C$183:$AH$190,'IDEES okt 2017 template'!L$162,FALSE),"")*$AR$18</f>
        <v>0</v>
      </c>
      <c r="O19" s="795">
        <f ca="1">IFERROR('All Stock'!M$12*VLOOKUP($A19,'IDEES okt 2017 template'!$C$183:$AH$190,'IDEES okt 2017 template'!M$162,FALSE),"")*$AR$18</f>
        <v>74.556120206740118</v>
      </c>
      <c r="P19" s="795">
        <f ca="1">IFERROR('All Stock'!N$12*VLOOKUP($A19,'IDEES okt 2017 template'!$C$183:$AH$190,'IDEES okt 2017 template'!N$162,FALSE),"")*$AR$18</f>
        <v>1.3959806824205641</v>
      </c>
      <c r="Q19" s="795">
        <f ca="1">IFERROR('All Stock'!O$12*VLOOKUP($A19,'IDEES okt 2017 template'!$C$183:$AH$190,'IDEES okt 2017 template'!O$162,FALSE),"")*$AR$18</f>
        <v>68.543213223252394</v>
      </c>
      <c r="R19" s="795">
        <f ca="1">IFERROR('All Stock'!P$12*VLOOKUP($A19,'IDEES okt 2017 template'!$C$183:$AH$190,'IDEES okt 2017 template'!P$162,FALSE),"")*$AR$18</f>
        <v>265.6248381097252</v>
      </c>
      <c r="S19" s="795">
        <f ca="1">IFERROR('All Stock'!Q$12*VLOOKUP($A19,'IDEES okt 2017 template'!$C$183:$AH$190,'IDEES okt 2017 template'!Q$162,FALSE),"")*$AR$18</f>
        <v>20.25422848162534</v>
      </c>
      <c r="T19" s="795">
        <f ca="1">IFERROR('All Stock'!R$12*VLOOKUP($A19,'IDEES okt 2017 template'!$C$183:$AH$190,'IDEES okt 2017 template'!R$162,FALSE),"")*$AR$18</f>
        <v>22.223008088354263</v>
      </c>
      <c r="U19" s="795">
        <f ca="1">IFERROR('All Stock'!S$12*VLOOKUP($A19,'IDEES okt 2017 template'!$C$183:$AH$190,'IDEES okt 2017 template'!S$162,FALSE),"")*$AR$18</f>
        <v>7.8220740087698708</v>
      </c>
      <c r="V19" s="795">
        <f ca="1">IFERROR('All Stock'!T$12*VLOOKUP($A19,'IDEES okt 2017 template'!$C$183:$AH$190,'IDEES okt 2017 template'!T$162,FALSE),"")*$AR$18</f>
        <v>0</v>
      </c>
      <c r="W19" s="795">
        <f ca="1">IFERROR('All Stock'!U$12*VLOOKUP($A19,'IDEES okt 2017 template'!$C$183:$AH$190,'IDEES okt 2017 template'!U$162,FALSE),"")*$AR$18</f>
        <v>72.227039709917136</v>
      </c>
      <c r="X19" s="795">
        <f ca="1">IFERROR('All Stock'!V$12*VLOOKUP($A19,'IDEES okt 2017 template'!$C$183:$AH$190,'IDEES okt 2017 template'!V$162,FALSE),"")*$AR$18</f>
        <v>0</v>
      </c>
      <c r="Y19" s="795">
        <f ca="1">IFERROR('All Stock'!W$12*VLOOKUP($A19,'IDEES okt 2017 template'!$C$183:$AH$190,'IDEES okt 2017 template'!W$162,FALSE),"")*$AR$18</f>
        <v>1.5964437257573101</v>
      </c>
      <c r="Z19" s="795">
        <f ca="1">IFERROR('All Stock'!X$12*VLOOKUP($A19,'IDEES okt 2017 template'!$C$183:$AH$190,'IDEES okt 2017 template'!X$162,FALSE),"")*$AR$18</f>
        <v>0</v>
      </c>
      <c r="AA19" s="795">
        <f ca="1">IFERROR('All Stock'!Y$12*VLOOKUP($A19,'IDEES okt 2017 template'!$C$183:$AH$190,'IDEES okt 2017 template'!Y$162,FALSE),"")*$AR$18</f>
        <v>0</v>
      </c>
      <c r="AB19" s="795">
        <f ca="1">IFERROR('All Stock'!Z$12*VLOOKUP($A19,'IDEES okt 2017 template'!$C$183:$AH$190,'IDEES okt 2017 template'!Z$162,FALSE),"")*$AR$18</f>
        <v>12.246776251225782</v>
      </c>
      <c r="AC19" s="795">
        <f ca="1">IFERROR('All Stock'!AA$12*VLOOKUP($A19,'IDEES okt 2017 template'!$C$183:$AH$190,'IDEES okt 2017 template'!AA$162,FALSE),"")*$AR$18</f>
        <v>0</v>
      </c>
      <c r="AD19" s="795">
        <f ca="1">IFERROR('All Stock'!AB$12*VLOOKUP($A19,'IDEES okt 2017 template'!$C$183:$AH$190,'IDEES okt 2017 template'!AB$162,FALSE),"")*$AR$18</f>
        <v>0</v>
      </c>
      <c r="AE19" s="795">
        <f ca="1">IFERROR('All Stock'!AC$12*VLOOKUP($A19,'IDEES okt 2017 template'!$C$183:$AH$190,'IDEES okt 2017 template'!AC$162,FALSE),"")*$AR$18</f>
        <v>40.540624756021202</v>
      </c>
      <c r="AF19" s="795">
        <f ca="1">IFERROR('All Stock'!AD$12*VLOOKUP($A19,'IDEES okt 2017 template'!$C$183:$AH$190,'IDEES okt 2017 template'!AD$162,FALSE),"")*$AR$18</f>
        <v>0</v>
      </c>
      <c r="AG19" s="795">
        <f ca="1">IFERROR('All Stock'!AE$12*VLOOKUP($A19,'IDEES okt 2017 template'!$C$183:$AH$190,'IDEES okt 2017 template'!AE$162,FALSE),"")*$AR$18</f>
        <v>18.528193519672826</v>
      </c>
      <c r="AH19" s="795">
        <f ca="1">IFERROR('All Stock'!AF$12*VLOOKUP($A19,'IDEES okt 2017 template'!$C$183:$AH$190,'IDEES okt 2017 template'!AF$162,FALSE),"")*$AR$18</f>
        <v>6.8070874521433264</v>
      </c>
      <c r="AI19" s="795">
        <f ca="1">IFERROR('All Stock'!AG$12*VLOOKUP($A19,'IDEES okt 2017 template'!$C$183:$AH$190,'IDEES okt 2017 template'!AG$162,FALSE),"")*$AR$18</f>
        <v>0</v>
      </c>
      <c r="AJ19" s="795">
        <f ca="1">IFERROR('All Stock'!AH$12*VLOOKUP($A19,'IDEES okt 2017 template'!$C$183:$AH$190,'IDEES okt 2017 template'!AH$162,FALSE),"")*$AR$18</f>
        <v>79.257133369103087</v>
      </c>
      <c r="AK19" s="795">
        <f ca="1">IFERROR('All Stock'!AI$12*VLOOKUP($A19,'IDEES okt 2017 template'!$C$183:$AN$190,'IDEES okt 2017 template'!AI$162,FALSE),"")*$AR$18</f>
        <v>2.8963634924615023</v>
      </c>
      <c r="AL19" s="795">
        <f ca="1">IFERROR('All Stock'!AJ$12*VLOOKUP($A19,'IDEES okt 2017 template'!$C$183:$AN$190,'IDEES okt 2017 template'!AJ$162,FALSE),"")*$AR$18</f>
        <v>0</v>
      </c>
      <c r="AM19" s="795">
        <f ca="1">IFERROR('All Stock'!AK$12*VLOOKUP($A19,'IDEES okt 2017 template'!$C$183:$AN$190,'IDEES okt 2017 template'!AK$162,FALSE),"")*$AR$18</f>
        <v>0</v>
      </c>
      <c r="AN19" s="795">
        <f ca="1">IFERROR('All Stock'!AL$12*VLOOKUP($A19,'IDEES okt 2017 template'!$C$183:$AN$190,'IDEES okt 2017 template'!AL$162,FALSE),"")*$AR$18</f>
        <v>0</v>
      </c>
      <c r="AO19" s="795">
        <f ca="1">IFERROR('All Stock'!AM$12*VLOOKUP($A19,'IDEES okt 2017 template'!$C$183:$AN$190,'IDEES okt 2017 template'!AM$162,FALSE),"")*$AR$18</f>
        <v>0</v>
      </c>
      <c r="AP19" s="795">
        <f ca="1">IFERROR('All Stock'!AN$12*VLOOKUP($A19,'IDEES okt 2017 template'!$C$183:$AN$190,'IDEES okt 2017 template'!AN$162,FALSE),"")*$AR$18</f>
        <v>0.83007748298803219</v>
      </c>
      <c r="AQ19" s="509"/>
      <c r="AR19">
        <v>1</v>
      </c>
      <c r="AS19" t="e">
        <f>#REF!</f>
        <v>#REF!</v>
      </c>
      <c r="AT19" s="509"/>
      <c r="AW19" s="496" t="e">
        <f ca="1">AG19*#REF!*#REF!</f>
        <v>#REF!</v>
      </c>
    </row>
    <row r="20" spans="1:49">
      <c r="A20" t="str">
        <f t="shared" si="2"/>
        <v>Electricity</v>
      </c>
      <c r="C20" t="str">
        <f>TechComm!L64</f>
        <v>R_ES-WH-SD_ELC</v>
      </c>
      <c r="D20" t="str">
        <f t="shared" si="1"/>
        <v>RSDELC-heating</v>
      </c>
      <c r="E20" t="str">
        <f>TechComm!C21</f>
        <v>R_ES-SD-WatHeat</v>
      </c>
      <c r="F20" s="795">
        <f ca="1">IFERROR('All Stock'!D$15*VLOOKUP($A20,'IDEES okt 2017 template'!$C$183:$AH$190,'IDEES okt 2017 template'!D$162,FALSE),"")*$AR$20</f>
        <v>117.70681210609736</v>
      </c>
      <c r="G20" s="795">
        <f ca="1">IFERROR('All Stock'!E$15*VLOOKUP($A20,'IDEES okt 2017 template'!$C$183:$AH$190,'IDEES okt 2017 template'!E$162,FALSE),"")*$AR$20</f>
        <v>257.3954426650314</v>
      </c>
      <c r="H20" s="795">
        <f ca="1">IFERROR('All Stock'!F$15*VLOOKUP($A20,'IDEES okt 2017 template'!$C$183:$AH$190,'IDEES okt 2017 template'!F$162,FALSE),"")*$AR$20</f>
        <v>217.34865563327998</v>
      </c>
      <c r="I20" s="795">
        <f ca="1">IFERROR('All Stock'!G$15*VLOOKUP($A20,'IDEES okt 2017 template'!$C$183:$AH$190,'IDEES okt 2017 template'!G$162,FALSE),"")*$AR$20</f>
        <v>242.44065536768616</v>
      </c>
      <c r="J20" s="795">
        <f ca="1">IFERROR('All Stock'!H$15*VLOOKUP($A20,'IDEES okt 2017 template'!$C$183:$AH$190,'IDEES okt 2017 template'!H$162,FALSE),"")*$AR$20</f>
        <v>6.7483390480070495</v>
      </c>
      <c r="K20" s="795">
        <f ca="1">IFERROR('All Stock'!I$15*VLOOKUP($A20,'IDEES okt 2017 template'!$C$183:$AH$190,'IDEES okt 2017 template'!I$162,FALSE),"")*$AR$20</f>
        <v>308.88120945908122</v>
      </c>
      <c r="L20" s="795">
        <f ca="1">IFERROR('All Stock'!J$15*VLOOKUP($A20,'IDEES okt 2017 template'!$C$183:$AH$190,'IDEES okt 2017 template'!J$162,FALSE),"")*$AR$20</f>
        <v>1675.8726089885588</v>
      </c>
      <c r="M20" s="795">
        <f ca="1">IFERROR('All Stock'!K$15*VLOOKUP($A20,'IDEES okt 2017 template'!$C$183:$AH$190,'IDEES okt 2017 template'!K$162,FALSE),"")*$AR$20</f>
        <v>77.656127112196444</v>
      </c>
      <c r="N20" s="795">
        <f ca="1">IFERROR('All Stock'!L$15*VLOOKUP($A20,'IDEES okt 2017 template'!$C$183:$AH$190,'IDEES okt 2017 template'!L$162,FALSE),"")*$AR$20</f>
        <v>6.9252881004256164</v>
      </c>
      <c r="O20" s="795">
        <f ca="1">IFERROR('All Stock'!M$15*VLOOKUP($A20,'IDEES okt 2017 template'!$C$183:$AH$190,'IDEES okt 2017 template'!M$162,FALSE),"")*$AR$20</f>
        <v>752.98273784689184</v>
      </c>
      <c r="P20" s="795">
        <f ca="1">IFERROR('All Stock'!N$15*VLOOKUP($A20,'IDEES okt 2017 template'!$C$183:$AH$190,'IDEES okt 2017 template'!N$162,FALSE),"")*$AR$20</f>
        <v>226.39674330668655</v>
      </c>
      <c r="Q20" s="795">
        <f ca="1">IFERROR('All Stock'!O$15*VLOOKUP($A20,'IDEES okt 2017 template'!$C$183:$AH$190,'IDEES okt 2017 template'!O$162,FALSE),"")*$AR$20</f>
        <v>2037.3294131998932</v>
      </c>
      <c r="R20" s="795">
        <f ca="1">IFERROR('All Stock'!P$15*VLOOKUP($A20,'IDEES okt 2017 template'!$C$183:$AH$190,'IDEES okt 2017 template'!P$162,FALSE),"")*$AR$20</f>
        <v>198.0017073401321</v>
      </c>
      <c r="S20" s="795">
        <f ca="1">IFERROR('All Stock'!Q$15*VLOOKUP($A20,'IDEES okt 2017 template'!$C$183:$AH$190,'IDEES okt 2017 template'!Q$162,FALSE),"")*$AR$20</f>
        <v>74.22425449753986</v>
      </c>
      <c r="T20" s="795">
        <f ca="1">IFERROR('All Stock'!R$15*VLOOKUP($A20,'IDEES okt 2017 template'!$C$183:$AH$190,'IDEES okt 2017 template'!R$162,FALSE),"")*$AR$20</f>
        <v>123.7422480500513</v>
      </c>
      <c r="U20" s="795">
        <f ca="1">IFERROR('All Stock'!S$15*VLOOKUP($A20,'IDEES okt 2017 template'!$C$183:$AH$190,'IDEES okt 2017 template'!S$162,FALSE),"")*$AR$20</f>
        <v>185.80997532134811</v>
      </c>
      <c r="V20" s="795">
        <f ca="1">IFERROR('All Stock'!T$15*VLOOKUP($A20,'IDEES okt 2017 template'!$C$183:$AH$190,'IDEES okt 2017 template'!T$162,FALSE),"")*$AR$20</f>
        <v>14.443802299557083</v>
      </c>
      <c r="W20" s="795">
        <f ca="1">IFERROR('All Stock'!U$15*VLOOKUP($A20,'IDEES okt 2017 template'!$C$183:$AH$190,'IDEES okt 2017 template'!U$162,FALSE),"")*$AR$20</f>
        <v>505.372511185446</v>
      </c>
      <c r="X20" s="795">
        <f ca="1">IFERROR('All Stock'!V$15*VLOOKUP($A20,'IDEES okt 2017 template'!$C$183:$AH$190,'IDEES okt 2017 template'!V$162,FALSE),"")*$AR$20</f>
        <v>15.285061559859326</v>
      </c>
      <c r="Y20" s="795">
        <f ca="1">IFERROR('All Stock'!W$15*VLOOKUP($A20,'IDEES okt 2017 template'!$C$183:$AH$190,'IDEES okt 2017 template'!W$162,FALSE),"")*$AR$20</f>
        <v>8.8393942658466358</v>
      </c>
      <c r="Z20" s="795">
        <f ca="1">IFERROR('All Stock'!X$15*VLOOKUP($A20,'IDEES okt 2017 template'!$C$183:$AH$190,'IDEES okt 2017 template'!X$162,FALSE),"")*$AR$20</f>
        <v>4.213965207004863</v>
      </c>
      <c r="AA20" s="795">
        <f ca="1">IFERROR('All Stock'!Y$15*VLOOKUP($A20,'IDEES okt 2017 template'!$C$183:$AH$190,'IDEES okt 2017 template'!Y$162,FALSE),"")*$AR$20</f>
        <v>15.968275454173881</v>
      </c>
      <c r="AB20" s="795">
        <f ca="1">IFERROR('All Stock'!Z$15*VLOOKUP($A20,'IDEES okt 2017 template'!$C$183:$AH$190,'IDEES okt 2017 template'!Z$162,FALSE),"")*$AR$20</f>
        <v>237.93985798077847</v>
      </c>
      <c r="AC20" s="795">
        <f ca="1">IFERROR('All Stock'!AA$15*VLOOKUP($A20,'IDEES okt 2017 template'!$C$183:$AH$190,'IDEES okt 2017 template'!AA$162,FALSE),"")*$AR$20</f>
        <v>317.36444785115015</v>
      </c>
      <c r="AD20" s="795">
        <f ca="1">IFERROR('All Stock'!AB$15*VLOOKUP($A20,'IDEES okt 2017 template'!$C$183:$AH$190,'IDEES okt 2017 template'!AB$162,FALSE),"")*$AR$20</f>
        <v>73.802123564883615</v>
      </c>
      <c r="AE20" s="795">
        <f ca="1">IFERROR('All Stock'!AC$15*VLOOKUP($A20,'IDEES okt 2017 template'!$C$183:$AH$190,'IDEES okt 2017 template'!AC$162,FALSE),"")*$AR$20</f>
        <v>84.918031473013158</v>
      </c>
      <c r="AF20" s="795">
        <f ca="1">IFERROR('All Stock'!AD$15*VLOOKUP($A20,'IDEES okt 2017 template'!$C$183:$AH$190,'IDEES okt 2017 template'!AD$162,FALSE),"")*$AR$20</f>
        <v>67.124508732677384</v>
      </c>
      <c r="AG20" s="795">
        <f ca="1">IFERROR('All Stock'!AE$15*VLOOKUP($A20,'IDEES okt 2017 template'!$C$183:$AH$190,'IDEES okt 2017 template'!AE$162,FALSE),"")*$AR$20</f>
        <v>277.56743065691921</v>
      </c>
      <c r="AH20" s="795">
        <f ca="1">IFERROR('All Stock'!AF$15*VLOOKUP($A20,'IDEES okt 2017 template'!$C$183:$AH$190,'IDEES okt 2017 template'!AF$162,FALSE),"")*$AR$20</f>
        <v>19.47596483916233</v>
      </c>
      <c r="AI20" s="795">
        <f ca="1">IFERROR('All Stock'!AG$15*VLOOKUP($A20,'IDEES okt 2017 template'!$C$183:$AH$190,'IDEES okt 2017 template'!AG$162,FALSE),"")*$AR$20</f>
        <v>18.90845934830234</v>
      </c>
      <c r="AJ20" s="795">
        <f ca="1">IFERROR('All Stock'!AH$15*VLOOKUP($A20,'IDEES okt 2017 template'!$C$183:$AH$190,'IDEES okt 2017 template'!AH$162,FALSE),"")*$AR$20</f>
        <v>2361.908633552946</v>
      </c>
      <c r="AK20" s="795">
        <f ca="1">IFERROR('All Stock'!AI$15*VLOOKUP($A20,'IDEES okt 2017 template'!$C$183:$AN$190,'IDEES okt 2017 template'!AI$162,FALSE),"")*$AR$20</f>
        <v>30.228829481478666</v>
      </c>
      <c r="AL20" s="795">
        <f ca="1">IFERROR('All Stock'!AJ$15*VLOOKUP($A20,'IDEES okt 2017 template'!$C$183:$AN$190,'IDEES okt 2017 template'!AJ$162,FALSE),"")*$AR$20</f>
        <v>57.689434710256421</v>
      </c>
      <c r="AM20" s="795">
        <f ca="1">IFERROR('All Stock'!AK$15*VLOOKUP($A20,'IDEES okt 2017 template'!$C$183:$AN$190,'IDEES okt 2017 template'!AK$162,FALSE),"")*$AR$20</f>
        <v>21.665658722151743</v>
      </c>
      <c r="AN20" s="795">
        <f ca="1">IFERROR('All Stock'!AL$15*VLOOKUP($A20,'IDEES okt 2017 template'!$C$183:$AN$190,'IDEES okt 2017 template'!AL$162,FALSE),"")*$AR$20</f>
        <v>47.788806721479013</v>
      </c>
      <c r="AO20" s="795">
        <f ca="1">IFERROR('All Stock'!AM$15*VLOOKUP($A20,'IDEES okt 2017 template'!$C$183:$AN$190,'IDEES okt 2017 template'!AM$162,FALSE),"")*$AR$20</f>
        <v>151.04903190026513</v>
      </c>
      <c r="AP20" s="795">
        <f ca="1">IFERROR('All Stock'!AN$15*VLOOKUP($A20,'IDEES okt 2017 template'!$C$183:$AN$190,'IDEES okt 2017 template'!AN$162,FALSE),"")*$AR$20</f>
        <v>37.399790333110481</v>
      </c>
      <c r="AQ20" s="509"/>
      <c r="AR20">
        <v>1</v>
      </c>
      <c r="AS20" t="e">
        <f>#REF!</f>
        <v>#REF!</v>
      </c>
      <c r="AT20" s="509"/>
    </row>
    <row r="21" spans="1:49">
      <c r="A21" t="str">
        <f t="shared" si="2"/>
        <v>Gases</v>
      </c>
      <c r="C21" t="str">
        <f>TechComm!L65</f>
        <v>R_ES-WH-SD_GAS</v>
      </c>
      <c r="D21" t="str">
        <f t="shared" si="1"/>
        <v>RSDGAS</v>
      </c>
      <c r="E21" t="str">
        <f t="shared" ref="E21:E27" si="4">E20</f>
        <v>R_ES-SD-WatHeat</v>
      </c>
      <c r="F21" s="795">
        <f ca="1">IFERROR('All Stock'!D$15*VLOOKUP($A21,'IDEES okt 2017 template'!$C$183:$AH$190,'IDEES okt 2017 template'!D$162,FALSE),"")*$AR$21</f>
        <v>81.19995560766354</v>
      </c>
      <c r="G21" s="795">
        <f ca="1">IFERROR('All Stock'!E$15*VLOOKUP($A21,'IDEES okt 2017 template'!$C$183:$AH$190,'IDEES okt 2017 template'!E$162,FALSE),"")*$AR$21</f>
        <v>742.59984097136908</v>
      </c>
      <c r="H21" s="795">
        <f ca="1">IFERROR('All Stock'!F$15*VLOOKUP($A21,'IDEES okt 2017 template'!$C$183:$AH$190,'IDEES okt 2017 template'!F$162,FALSE),"")*$AR$21</f>
        <v>3.6024639055239773</v>
      </c>
      <c r="I21" s="795">
        <f ca="1">IFERROR('All Stock'!G$15*VLOOKUP($A21,'IDEES okt 2017 template'!$C$183:$AH$190,'IDEES okt 2017 template'!G$162,FALSE),"")*$AR$21</f>
        <v>193.59251791844636</v>
      </c>
      <c r="J21" s="795">
        <f ca="1">IFERROR('All Stock'!H$15*VLOOKUP($A21,'IDEES okt 2017 template'!$C$183:$AH$190,'IDEES okt 2017 template'!H$162,FALSE),"")*$AR$21</f>
        <v>0</v>
      </c>
      <c r="K21" s="795">
        <f ca="1">IFERROR('All Stock'!I$15*VLOOKUP($A21,'IDEES okt 2017 template'!$C$183:$AH$190,'IDEES okt 2017 template'!I$162,FALSE),"")*$AR$21</f>
        <v>174.51918884399822</v>
      </c>
      <c r="L21" s="795">
        <f ca="1">IFERROR('All Stock'!J$15*VLOOKUP($A21,'IDEES okt 2017 template'!$C$183:$AH$190,'IDEES okt 2017 template'!J$162,FALSE),"")*$AR$21</f>
        <v>3065.6774769034309</v>
      </c>
      <c r="M21" s="795">
        <f ca="1">IFERROR('All Stock'!K$15*VLOOKUP($A21,'IDEES okt 2017 template'!$C$183:$AH$190,'IDEES okt 2017 template'!K$162,FALSE),"")*$AR$21</f>
        <v>72.57664893204992</v>
      </c>
      <c r="N21" s="795">
        <f ca="1">IFERROR('All Stock'!L$15*VLOOKUP($A21,'IDEES okt 2017 template'!$C$183:$AH$190,'IDEES okt 2017 template'!L$162,FALSE),"")*$AR$21</f>
        <v>2.2746862032352411</v>
      </c>
      <c r="O21" s="795">
        <f ca="1">IFERROR('All Stock'!M$15*VLOOKUP($A21,'IDEES okt 2017 template'!$C$183:$AH$190,'IDEES okt 2017 template'!M$162,FALSE),"")*$AR$21</f>
        <v>658.929908085639</v>
      </c>
      <c r="P21" s="795">
        <f ca="1">IFERROR('All Stock'!N$15*VLOOKUP($A21,'IDEES okt 2017 template'!$C$183:$AH$190,'IDEES okt 2017 template'!N$162,FALSE),"")*$AR$21</f>
        <v>3.9368413894973808</v>
      </c>
      <c r="Q21" s="795">
        <f ca="1">IFERROR('All Stock'!O$15*VLOOKUP($A21,'IDEES okt 2017 template'!$C$183:$AH$190,'IDEES okt 2017 template'!O$162,FALSE),"")*$AR$21</f>
        <v>1808.9873329167376</v>
      </c>
      <c r="R21" s="795">
        <f ca="1">IFERROR('All Stock'!P$15*VLOOKUP($A21,'IDEES okt 2017 template'!$C$183:$AH$190,'IDEES okt 2017 template'!P$162,FALSE),"")*$AR$21</f>
        <v>8.2835060779327474</v>
      </c>
      <c r="S21" s="795">
        <f ca="1">IFERROR('All Stock'!Q$15*VLOOKUP($A21,'IDEES okt 2017 template'!$C$183:$AH$190,'IDEES okt 2017 template'!Q$162,FALSE),"")*$AR$21</f>
        <v>72.735595597589196</v>
      </c>
      <c r="T21" s="795">
        <f ca="1">IFERROR('All Stock'!R$15*VLOOKUP($A21,'IDEES okt 2017 template'!$C$183:$AH$190,'IDEES okt 2017 template'!R$162,FALSE),"")*$AR$21</f>
        <v>293.76287138074474</v>
      </c>
      <c r="U21" s="795">
        <f ca="1">IFERROR('All Stock'!S$15*VLOOKUP($A21,'IDEES okt 2017 template'!$C$183:$AH$190,'IDEES okt 2017 template'!S$162,FALSE),"")*$AR$21</f>
        <v>167.99649680196217</v>
      </c>
      <c r="V21" s="795">
        <f ca="1">IFERROR('All Stock'!T$15*VLOOKUP($A21,'IDEES okt 2017 template'!$C$183:$AH$190,'IDEES okt 2017 template'!T$162,FALSE),"")*$AR$21</f>
        <v>0</v>
      </c>
      <c r="W21" s="795">
        <f ca="1">IFERROR('All Stock'!U$15*VLOOKUP($A21,'IDEES okt 2017 template'!$C$183:$AH$190,'IDEES okt 2017 template'!U$162,FALSE),"")*$AR$21</f>
        <v>2441.1305280009874</v>
      </c>
      <c r="X21" s="795">
        <f ca="1">IFERROR('All Stock'!V$15*VLOOKUP($A21,'IDEES okt 2017 template'!$C$183:$AH$190,'IDEES okt 2017 template'!V$162,FALSE),"")*$AR$21</f>
        <v>10.140284980141052</v>
      </c>
      <c r="Y21" s="795">
        <f ca="1">IFERROR('All Stock'!W$15*VLOOKUP($A21,'IDEES okt 2017 template'!$C$183:$AH$190,'IDEES okt 2017 template'!W$162,FALSE),"")*$AR$21</f>
        <v>29.712855181663819</v>
      </c>
      <c r="Z21" s="795">
        <f ca="1">IFERROR('All Stock'!X$15*VLOOKUP($A21,'IDEES okt 2017 template'!$C$183:$AH$190,'IDEES okt 2017 template'!X$162,FALSE),"")*$AR$21</f>
        <v>6.033258378299549</v>
      </c>
      <c r="AA21" s="795">
        <f ca="1">IFERROR('All Stock'!Y$15*VLOOKUP($A21,'IDEES okt 2017 template'!$C$183:$AH$190,'IDEES okt 2017 template'!Y$162,FALSE),"")*$AR$21</f>
        <v>0</v>
      </c>
      <c r="AB21" s="795">
        <f ca="1">IFERROR('All Stock'!Z$15*VLOOKUP($A21,'IDEES okt 2017 template'!$C$183:$AH$190,'IDEES okt 2017 template'!Z$162,FALSE),"")*$AR$21</f>
        <v>2808.0878818887959</v>
      </c>
      <c r="AC21" s="795">
        <f ca="1">IFERROR('All Stock'!AA$15*VLOOKUP($A21,'IDEES okt 2017 template'!$C$183:$AH$190,'IDEES okt 2017 template'!AA$162,FALSE),"")*$AR$21</f>
        <v>0.21731523215243512</v>
      </c>
      <c r="AD21" s="795">
        <f ca="1">IFERROR('All Stock'!AB$15*VLOOKUP($A21,'IDEES okt 2017 template'!$C$183:$AH$190,'IDEES okt 2017 template'!AB$162,FALSE),"")*$AR$21</f>
        <v>212.28774017745494</v>
      </c>
      <c r="AE21" s="795">
        <f ca="1">IFERROR('All Stock'!AC$15*VLOOKUP($A21,'IDEES okt 2017 template'!$C$183:$AH$190,'IDEES okt 2017 template'!AC$162,FALSE),"")*$AR$21</f>
        <v>51.591497612326975</v>
      </c>
      <c r="AF21" s="795">
        <f ca="1">IFERROR('All Stock'!AD$15*VLOOKUP($A21,'IDEES okt 2017 template'!$C$183:$AH$190,'IDEES okt 2017 template'!AD$162,FALSE),"")*$AR$21</f>
        <v>167.23289718727111</v>
      </c>
      <c r="AG21" s="795">
        <f ca="1">IFERROR('All Stock'!AE$15*VLOOKUP($A21,'IDEES okt 2017 template'!$C$183:$AH$190,'IDEES okt 2017 template'!AE$162,FALSE),"")*$AR$21</f>
        <v>7.3814711125482466</v>
      </c>
      <c r="AH21" s="795">
        <f ca="1">IFERROR('All Stock'!AF$15*VLOOKUP($A21,'IDEES okt 2017 template'!$C$183:$AH$190,'IDEES okt 2017 template'!AF$162,FALSE),"")*$AR$21</f>
        <v>4.7157516518440374</v>
      </c>
      <c r="AI21" s="795">
        <f ca="1">IFERROR('All Stock'!AG$15*VLOOKUP($A21,'IDEES okt 2017 template'!$C$183:$AH$190,'IDEES okt 2017 template'!AG$162,FALSE),"")*$AR$21</f>
        <v>65.620703828064933</v>
      </c>
      <c r="AJ21" s="795">
        <f ca="1">IFERROR('All Stock'!AH$15*VLOOKUP($A21,'IDEES okt 2017 template'!$C$183:$AH$190,'IDEES okt 2017 template'!AH$162,FALSE),"")*$AR$21</f>
        <v>9655.2713764680175</v>
      </c>
      <c r="AK21" s="795">
        <f ca="1">IFERROR('All Stock'!AI$15*VLOOKUP($A21,'IDEES okt 2017 template'!$C$183:$AN$190,'IDEES okt 2017 template'!AI$162,FALSE),"")*$AR$21</f>
        <v>0</v>
      </c>
      <c r="AL21" s="795">
        <f ca="1">IFERROR('All Stock'!AJ$15*VLOOKUP($A21,'IDEES okt 2017 template'!$C$183:$AN$190,'IDEES okt 2017 template'!AJ$162,FALSE),"")*$AR$21</f>
        <v>5.5668069219348473</v>
      </c>
      <c r="AM21" s="795">
        <f ca="1">IFERROR('All Stock'!AK$15*VLOOKUP($A21,'IDEES okt 2017 template'!$C$183:$AN$190,'IDEES okt 2017 template'!AK$162,FALSE),"")*$AR$21</f>
        <v>0</v>
      </c>
      <c r="AN21" s="795">
        <f ca="1">IFERROR('All Stock'!AL$15*VLOOKUP($A21,'IDEES okt 2017 template'!$C$183:$AN$190,'IDEES okt 2017 template'!AL$162,FALSE),"")*$AR$21</f>
        <v>0</v>
      </c>
      <c r="AO21" s="795">
        <f ca="1">IFERROR('All Stock'!AM$15*VLOOKUP($A21,'IDEES okt 2017 template'!$C$183:$AN$190,'IDEES okt 2017 template'!AM$162,FALSE),"")*$AR$21</f>
        <v>22.575257754417326</v>
      </c>
      <c r="AP21" s="795">
        <f ca="1">IFERROR('All Stock'!AN$15*VLOOKUP($A21,'IDEES okt 2017 template'!$C$183:$AN$190,'IDEES okt 2017 template'!AN$162,FALSE),"")*$AR$21</f>
        <v>0</v>
      </c>
      <c r="AQ21" s="509"/>
      <c r="AR21">
        <v>1</v>
      </c>
      <c r="AS21" t="e">
        <f>#REF!</f>
        <v>#REF!</v>
      </c>
      <c r="AT21" s="509"/>
    </row>
    <row r="22" spans="1:49">
      <c r="A22" t="str">
        <f t="shared" si="2"/>
        <v>Derived heat</v>
      </c>
      <c r="C22" t="str">
        <f>TechComm!L66</f>
        <v>R_ES-WH-SD_HET</v>
      </c>
      <c r="D22" t="str">
        <f t="shared" si="1"/>
        <v>RSDHET</v>
      </c>
      <c r="E22" t="str">
        <f t="shared" si="4"/>
        <v>R_ES-SD-WatHeat</v>
      </c>
      <c r="F22" s="795">
        <f ca="1">IFERROR('All Stock'!D$15*VLOOKUP($A22,'IDEES okt 2017 template'!$C$183:$AH$190,'IDEES okt 2017 template'!D$162,FALSE),"")*$AR$22</f>
        <v>76.712506623518181</v>
      </c>
      <c r="G22" s="795">
        <f ca="1">IFERROR('All Stock'!E$15*VLOOKUP($A22,'IDEES okt 2017 template'!$C$183:$AH$190,'IDEES okt 2017 template'!E$162,FALSE),"")*$AR$22</f>
        <v>2.8210913552960868</v>
      </c>
      <c r="H22" s="795">
        <f ca="1">IFERROR('All Stock'!F$15*VLOOKUP($A22,'IDEES okt 2017 template'!$C$183:$AH$190,'IDEES okt 2017 template'!F$162,FALSE),"")*$AR$22</f>
        <v>87.659955034416782</v>
      </c>
      <c r="I22" s="795">
        <f ca="1">IFERROR('All Stock'!G$15*VLOOKUP($A22,'IDEES okt 2017 template'!$C$183:$AH$190,'IDEES okt 2017 template'!G$162,FALSE),"")*$AR$22</f>
        <v>34.040770387196964</v>
      </c>
      <c r="J22" s="795">
        <f ca="1">IFERROR('All Stock'!H$15*VLOOKUP($A22,'IDEES okt 2017 template'!$C$183:$AH$190,'IDEES okt 2017 template'!H$162,FALSE),"")*$AR$22</f>
        <v>0</v>
      </c>
      <c r="K22" s="795">
        <f ca="1">IFERROR('All Stock'!I$15*VLOOKUP($A22,'IDEES okt 2017 template'!$C$183:$AH$190,'IDEES okt 2017 template'!I$162,FALSE),"")*$AR$22</f>
        <v>86.933219517667879</v>
      </c>
      <c r="L22" s="795">
        <f ca="1">IFERROR('All Stock'!J$15*VLOOKUP($A22,'IDEES okt 2017 template'!$C$183:$AH$190,'IDEES okt 2017 template'!J$162,FALSE),"")*$AR$22</f>
        <v>756.53878823356183</v>
      </c>
      <c r="M22" s="795">
        <f ca="1">IFERROR('All Stock'!K$15*VLOOKUP($A22,'IDEES okt 2017 template'!$C$183:$AH$190,'IDEES okt 2017 template'!K$162,FALSE),"")*$AR$22</f>
        <v>269.9997735713257</v>
      </c>
      <c r="N22" s="795">
        <f ca="1">IFERROR('All Stock'!L$15*VLOOKUP($A22,'IDEES okt 2017 template'!$C$183:$AH$190,'IDEES okt 2017 template'!L$162,FALSE),"")*$AR$22</f>
        <v>26.885361800018618</v>
      </c>
      <c r="O22" s="795">
        <f ca="1">IFERROR('All Stock'!M$15*VLOOKUP($A22,'IDEES okt 2017 template'!$C$183:$AH$190,'IDEES okt 2017 template'!M$162,FALSE),"")*$AR$22</f>
        <v>0</v>
      </c>
      <c r="P22" s="795">
        <f ca="1">IFERROR('All Stock'!N$15*VLOOKUP($A22,'IDEES okt 2017 template'!$C$183:$AH$190,'IDEES okt 2017 template'!N$162,FALSE),"")*$AR$22</f>
        <v>225.96561946576173</v>
      </c>
      <c r="Q22" s="795">
        <f ca="1">IFERROR('All Stock'!O$15*VLOOKUP($A22,'IDEES okt 2017 template'!$C$183:$AH$190,'IDEES okt 2017 template'!O$162,FALSE),"")*$AR$22</f>
        <v>339.15031885468244</v>
      </c>
      <c r="R22" s="795">
        <f ca="1">IFERROR('All Stock'!P$15*VLOOKUP($A22,'IDEES okt 2017 template'!$C$183:$AH$190,'IDEES okt 2017 template'!P$162,FALSE),"")*$AR$22</f>
        <v>4.3131071001143271</v>
      </c>
      <c r="S22" s="795">
        <f ca="1">IFERROR('All Stock'!Q$15*VLOOKUP($A22,'IDEES okt 2017 template'!$C$183:$AH$190,'IDEES okt 2017 template'!Q$162,FALSE),"")*$AR$22</f>
        <v>23.748978899212847</v>
      </c>
      <c r="T22" s="795">
        <f ca="1">IFERROR('All Stock'!R$15*VLOOKUP($A22,'IDEES okt 2017 template'!$C$183:$AH$190,'IDEES okt 2017 template'!R$162,FALSE),"")*$AR$22</f>
        <v>85.155435490268587</v>
      </c>
      <c r="U22" s="795">
        <f ca="1">IFERROR('All Stock'!S$15*VLOOKUP($A22,'IDEES okt 2017 template'!$C$183:$AH$190,'IDEES okt 2017 template'!S$162,FALSE),"")*$AR$22</f>
        <v>0</v>
      </c>
      <c r="V22" s="795">
        <f ca="1">IFERROR('All Stock'!T$15*VLOOKUP($A22,'IDEES okt 2017 template'!$C$183:$AH$190,'IDEES okt 2017 template'!T$162,FALSE),"")*$AR$22</f>
        <v>25.454023446411821</v>
      </c>
      <c r="W22" s="795">
        <f ca="1">IFERROR('All Stock'!U$15*VLOOKUP($A22,'IDEES okt 2017 template'!$C$183:$AH$190,'IDEES okt 2017 template'!U$162,FALSE),"")*$AR$22</f>
        <v>14.907667346570914</v>
      </c>
      <c r="X22" s="795">
        <f ca="1">IFERROR('All Stock'!V$15*VLOOKUP($A22,'IDEES okt 2017 template'!$C$183:$AH$190,'IDEES okt 2017 template'!V$162,FALSE),"")*$AR$22</f>
        <v>66.175559487672217</v>
      </c>
      <c r="Y22" s="795">
        <f ca="1">IFERROR('All Stock'!W$15*VLOOKUP($A22,'IDEES okt 2017 template'!$C$183:$AH$190,'IDEES okt 2017 template'!W$162,FALSE),"")*$AR$22</f>
        <v>0</v>
      </c>
      <c r="Z22" s="795">
        <f ca="1">IFERROR('All Stock'!X$15*VLOOKUP($A22,'IDEES okt 2017 template'!$C$183:$AH$190,'IDEES okt 2017 template'!X$162,FALSE),"")*$AR$22</f>
        <v>31.032100087475339</v>
      </c>
      <c r="AA22" s="795">
        <f ca="1">IFERROR('All Stock'!Y$15*VLOOKUP($A22,'IDEES okt 2017 template'!$C$183:$AH$190,'IDEES okt 2017 template'!Y$162,FALSE),"")*$AR$22</f>
        <v>0</v>
      </c>
      <c r="AB22" s="795">
        <f ca="1">IFERROR('All Stock'!Z$15*VLOOKUP($A22,'IDEES okt 2017 template'!$C$183:$AH$190,'IDEES okt 2017 template'!Z$162,FALSE),"")*$AR$22</f>
        <v>146.1102864261654</v>
      </c>
      <c r="AC22" s="795">
        <f ca="1">IFERROR('All Stock'!AA$15*VLOOKUP($A22,'IDEES okt 2017 template'!$C$183:$AH$190,'IDEES okt 2017 template'!AA$162,FALSE),"")*$AR$22</f>
        <v>7.5021772740451746</v>
      </c>
      <c r="AD22" s="795">
        <f ca="1">IFERROR('All Stock'!AB$15*VLOOKUP($A22,'IDEES okt 2017 template'!$C$183:$AH$190,'IDEES okt 2017 template'!AB$162,FALSE),"")*$AR$22</f>
        <v>442.86292253208501</v>
      </c>
      <c r="AE22" s="795">
        <f ca="1">IFERROR('All Stock'!AC$15*VLOOKUP($A22,'IDEES okt 2017 template'!$C$183:$AH$190,'IDEES okt 2017 template'!AC$162,FALSE),"")*$AR$22</f>
        <v>2.1917956501968976</v>
      </c>
      <c r="AF22" s="795">
        <f ca="1">IFERROR('All Stock'!AD$15*VLOOKUP($A22,'IDEES okt 2017 template'!$C$183:$AH$190,'IDEES okt 2017 template'!AD$162,FALSE),"")*$AR$22</f>
        <v>141.75136285300508</v>
      </c>
      <c r="AG22" s="795">
        <f ca="1">IFERROR('All Stock'!AE$15*VLOOKUP($A22,'IDEES okt 2017 template'!$C$183:$AH$190,'IDEES okt 2017 template'!AE$162,FALSE),"")*$AR$22</f>
        <v>258.84243859311539</v>
      </c>
      <c r="AH22" s="795">
        <f ca="1">IFERROR('All Stock'!AF$15*VLOOKUP($A22,'IDEES okt 2017 template'!$C$183:$AH$190,'IDEES okt 2017 template'!AF$162,FALSE),"")*$AR$22</f>
        <v>6.429350212238977</v>
      </c>
      <c r="AI22" s="795">
        <f ca="1">IFERROR('All Stock'!AG$15*VLOOKUP($A22,'IDEES okt 2017 template'!$C$183:$AH$190,'IDEES okt 2017 template'!AG$162,FALSE),"")*$AR$22</f>
        <v>41.76964862447273</v>
      </c>
      <c r="AJ22" s="795">
        <f ca="1">IFERROR('All Stock'!AH$15*VLOOKUP($A22,'IDEES okt 2017 template'!$C$183:$AH$190,'IDEES okt 2017 template'!AH$162,FALSE),"")*$AR$22</f>
        <v>0</v>
      </c>
      <c r="AK22" s="795">
        <f ca="1">IFERROR('All Stock'!AI$15*VLOOKUP($A22,'IDEES okt 2017 template'!$C$183:$AN$190,'IDEES okt 2017 template'!AI$162,FALSE),"")*$AR$22</f>
        <v>0</v>
      </c>
      <c r="AL22" s="795">
        <f ca="1">IFERROR('All Stock'!AJ$15*VLOOKUP($A22,'IDEES okt 2017 template'!$C$183:$AN$190,'IDEES okt 2017 template'!AJ$162,FALSE),"")*$AR$22</f>
        <v>14.876786988723113</v>
      </c>
      <c r="AM22" s="795">
        <f ca="1">IFERROR('All Stock'!AK$15*VLOOKUP($A22,'IDEES okt 2017 template'!$C$183:$AN$190,'IDEES okt 2017 template'!AK$162,FALSE),"")*$AR$22</f>
        <v>0</v>
      </c>
      <c r="AN22" s="795">
        <f ca="1">IFERROR('All Stock'!AL$15*VLOOKUP($A22,'IDEES okt 2017 template'!$C$183:$AN$190,'IDEES okt 2017 template'!AL$162,FALSE),"")*$AR$22</f>
        <v>6.2340181599949114</v>
      </c>
      <c r="AO22" s="795">
        <f ca="1">IFERROR('All Stock'!AM$15*VLOOKUP($A22,'IDEES okt 2017 template'!$C$183:$AN$190,'IDEES okt 2017 template'!AM$162,FALSE),"")*$AR$22</f>
        <v>47.876797858659451</v>
      </c>
      <c r="AP22" s="795">
        <f ca="1">IFERROR('All Stock'!AN$15*VLOOKUP($A22,'IDEES okt 2017 template'!$C$183:$AN$190,'IDEES okt 2017 template'!AN$162,FALSE),"")*$AR$22</f>
        <v>0.70856088735320422</v>
      </c>
      <c r="AQ22" s="509"/>
      <c r="AR22">
        <v>1</v>
      </c>
      <c r="AS22" t="e">
        <f>#REF!</f>
        <v>#REF!</v>
      </c>
      <c r="AT22" s="509"/>
    </row>
    <row r="23" spans="1:49">
      <c r="A23" t="str">
        <f t="shared" si="2"/>
        <v>GDO and other liquids (incl. liq. bio.)</v>
      </c>
      <c r="C23" t="str">
        <f>TechComm!L67</f>
        <v>R_ES-WH-SD_OIL</v>
      </c>
      <c r="D23" t="str">
        <f t="shared" si="1"/>
        <v>RSDOIL</v>
      </c>
      <c r="E23" t="str">
        <f t="shared" si="4"/>
        <v>R_ES-SD-WatHeat</v>
      </c>
      <c r="F23" s="795">
        <f ca="1">IFERROR('All Stock'!D$15*VLOOKUP($A23,'IDEES okt 2017 template'!$C$183:$AH$190,'IDEES okt 2017 template'!D$162,FALSE),"")*$AR$23</f>
        <v>64.701285528872546</v>
      </c>
      <c r="G23" s="795">
        <f ca="1">IFERROR('All Stock'!E$15*VLOOKUP($A23,'IDEES okt 2017 template'!$C$183:$AH$190,'IDEES okt 2017 template'!E$162,FALSE),"")*$AR$23</f>
        <v>505.32507466683796</v>
      </c>
      <c r="H23" s="795">
        <f ca="1">IFERROR('All Stock'!F$15*VLOOKUP($A23,'IDEES okt 2017 template'!$C$183:$AH$190,'IDEES okt 2017 template'!F$162,FALSE),"")*$AR$23</f>
        <v>0</v>
      </c>
      <c r="I23" s="795">
        <f ca="1">IFERROR('All Stock'!G$15*VLOOKUP($A23,'IDEES okt 2017 template'!$C$183:$AH$190,'IDEES okt 2017 template'!G$162,FALSE),"")*$AR$23</f>
        <v>408.80137335331483</v>
      </c>
      <c r="J23" s="795">
        <f ca="1">IFERROR('All Stock'!H$15*VLOOKUP($A23,'IDEES okt 2017 template'!$C$183:$AH$190,'IDEES okt 2017 template'!H$162,FALSE),"")*$AR$23</f>
        <v>3.2526620342194645</v>
      </c>
      <c r="K23" s="795">
        <f ca="1">IFERROR('All Stock'!I$15*VLOOKUP($A23,'IDEES okt 2017 template'!$C$183:$AH$190,'IDEES okt 2017 template'!I$162,FALSE),"")*$AR$23</f>
        <v>0</v>
      </c>
      <c r="L23" s="795">
        <f ca="1">IFERROR('All Stock'!J$15*VLOOKUP($A23,'IDEES okt 2017 template'!$C$183:$AH$190,'IDEES okt 2017 template'!J$162,FALSE),"")*$AR$23</f>
        <v>1604.055151597968</v>
      </c>
      <c r="M23" s="795">
        <f ca="1">IFERROR('All Stock'!K$15*VLOOKUP($A23,'IDEES okt 2017 template'!$C$183:$AH$190,'IDEES okt 2017 template'!K$162,FALSE),"")*$AR$23</f>
        <v>34.147845669587674</v>
      </c>
      <c r="N23" s="795">
        <f ca="1">IFERROR('All Stock'!L$15*VLOOKUP($A23,'IDEES okt 2017 template'!$C$183:$AH$190,'IDEES okt 2017 template'!L$162,FALSE),"")*$AR$23</f>
        <v>0.10718416664459252</v>
      </c>
      <c r="O23" s="795">
        <f ca="1">IFERROR('All Stock'!M$15*VLOOKUP($A23,'IDEES okt 2017 template'!$C$183:$AH$190,'IDEES okt 2017 template'!M$162,FALSE),"")*$AR$23</f>
        <v>184.42657288425033</v>
      </c>
      <c r="P23" s="795">
        <f ca="1">IFERROR('All Stock'!N$15*VLOOKUP($A23,'IDEES okt 2017 template'!$C$183:$AH$190,'IDEES okt 2017 template'!N$162,FALSE),"")*$AR$23</f>
        <v>48.546813560977782</v>
      </c>
      <c r="Q23" s="795">
        <f ca="1">IFERROR('All Stock'!O$15*VLOOKUP($A23,'IDEES okt 2017 template'!$C$183:$AH$190,'IDEES okt 2017 template'!O$162,FALSE),"")*$AR$23</f>
        <v>656.39601941442641</v>
      </c>
      <c r="R23" s="795">
        <f ca="1">IFERROR('All Stock'!P$15*VLOOKUP($A23,'IDEES okt 2017 template'!$C$183:$AH$190,'IDEES okt 2017 template'!P$162,FALSE),"")*$AR$23</f>
        <v>37.012477207957829</v>
      </c>
      <c r="S23" s="795">
        <f ca="1">IFERROR('All Stock'!Q$15*VLOOKUP($A23,'IDEES okt 2017 template'!$C$183:$AH$190,'IDEES okt 2017 template'!Q$162,FALSE),"")*$AR$23</f>
        <v>15.47092239948722</v>
      </c>
      <c r="T23" s="795">
        <f ca="1">IFERROR('All Stock'!R$15*VLOOKUP($A23,'IDEES okt 2017 template'!$C$183:$AH$190,'IDEES okt 2017 template'!R$162,FALSE),"")*$AR$23</f>
        <v>0</v>
      </c>
      <c r="U23" s="795">
        <f ca="1">IFERROR('All Stock'!S$15*VLOOKUP($A23,'IDEES okt 2017 template'!$C$183:$AH$190,'IDEES okt 2017 template'!S$162,FALSE),"")*$AR$23</f>
        <v>214.8393477233104</v>
      </c>
      <c r="V23" s="795">
        <f ca="1">IFERROR('All Stock'!T$15*VLOOKUP($A23,'IDEES okt 2017 template'!$C$183:$AH$190,'IDEES okt 2017 template'!T$162,FALSE),"")*$AR$23</f>
        <v>0.18341060190515829</v>
      </c>
      <c r="W23" s="795">
        <f ca="1">IFERROR('All Stock'!U$15*VLOOKUP($A23,'IDEES okt 2017 template'!$C$183:$AH$190,'IDEES okt 2017 template'!U$162,FALSE),"")*$AR$23</f>
        <v>227.69132548864167</v>
      </c>
      <c r="X23" s="795">
        <f ca="1">IFERROR('All Stock'!V$15*VLOOKUP($A23,'IDEES okt 2017 template'!$C$183:$AH$190,'IDEES okt 2017 template'!V$162,FALSE),"")*$AR$23</f>
        <v>0.41795090202740348</v>
      </c>
      <c r="Y23" s="795">
        <f ca="1">IFERROR('All Stock'!W$15*VLOOKUP($A23,'IDEES okt 2017 template'!$C$183:$AH$190,'IDEES okt 2017 template'!W$162,FALSE),"")*$AR$23</f>
        <v>24.740695907125094</v>
      </c>
      <c r="Z23" s="795">
        <f ca="1">IFERROR('All Stock'!X$15*VLOOKUP($A23,'IDEES okt 2017 template'!$C$183:$AH$190,'IDEES okt 2017 template'!X$162,FALSE),"")*$AR$23</f>
        <v>1.3754294758884531</v>
      </c>
      <c r="AA23" s="795">
        <f ca="1">IFERROR('All Stock'!Y$15*VLOOKUP($A23,'IDEES okt 2017 template'!$C$183:$AH$190,'IDEES okt 2017 template'!Y$162,FALSE),"")*$AR$23</f>
        <v>0</v>
      </c>
      <c r="AB23" s="795">
        <f ca="1">IFERROR('All Stock'!Z$15*VLOOKUP($A23,'IDEES okt 2017 template'!$C$183:$AH$190,'IDEES okt 2017 template'!Z$162,FALSE),"")*$AR$23</f>
        <v>18.797906159381323</v>
      </c>
      <c r="AC23" s="795">
        <f ca="1">IFERROR('All Stock'!AA$15*VLOOKUP($A23,'IDEES okt 2017 template'!$C$183:$AH$190,'IDEES okt 2017 template'!AA$162,FALSE),"")*$AR$23</f>
        <v>8.3915535080419428</v>
      </c>
      <c r="AD23" s="795">
        <f ca="1">IFERROR('All Stock'!AB$15*VLOOKUP($A23,'IDEES okt 2017 template'!$C$183:$AH$190,'IDEES okt 2017 template'!AB$162,FALSE),"")*$AR$23</f>
        <v>6.0504120727306239</v>
      </c>
      <c r="AE23" s="795">
        <f ca="1">IFERROR('All Stock'!AC$15*VLOOKUP($A23,'IDEES okt 2017 template'!$C$183:$AH$190,'IDEES okt 2017 template'!AC$162,FALSE),"")*$AR$23</f>
        <v>25.711448973463611</v>
      </c>
      <c r="AF23" s="795">
        <f ca="1">IFERROR('All Stock'!AD$15*VLOOKUP($A23,'IDEES okt 2017 template'!$C$183:$AH$190,'IDEES okt 2017 template'!AD$162,FALSE),"")*$AR$23</f>
        <v>6.7972791544496882</v>
      </c>
      <c r="AG23" s="795">
        <f ca="1">IFERROR('All Stock'!AE$15*VLOOKUP($A23,'IDEES okt 2017 template'!$C$183:$AH$190,'IDEES okt 2017 template'!AE$162,FALSE),"")*$AR$23</f>
        <v>3.2902239964917506</v>
      </c>
      <c r="AH23" s="795">
        <f ca="1">IFERROR('All Stock'!AF$15*VLOOKUP($A23,'IDEES okt 2017 template'!$C$183:$AH$190,'IDEES okt 2017 template'!AF$162,FALSE),"")*$AR$23</f>
        <v>11.887810378510068</v>
      </c>
      <c r="AI23" s="795">
        <f ca="1">IFERROR('All Stock'!AG$15*VLOOKUP($A23,'IDEES okt 2017 template'!$C$183:$AH$190,'IDEES okt 2017 template'!AG$162,FALSE),"")*$AR$23</f>
        <v>0</v>
      </c>
      <c r="AJ23" s="795">
        <f ca="1">IFERROR('All Stock'!AH$15*VLOOKUP($A23,'IDEES okt 2017 template'!$C$183:$AH$190,'IDEES okt 2017 template'!AH$162,FALSE),"")*$AR$23</f>
        <v>701.25688785167438</v>
      </c>
      <c r="AK23" s="795">
        <f ca="1">IFERROR('All Stock'!AI$15*VLOOKUP($A23,'IDEES okt 2017 template'!$C$183:$AN$190,'IDEES okt 2017 template'!AI$162,FALSE),"")*$AR$23</f>
        <v>7.3197309898127588E-2</v>
      </c>
      <c r="AL23" s="795">
        <f ca="1">IFERROR('All Stock'!AJ$15*VLOOKUP($A23,'IDEES okt 2017 template'!$C$183:$AN$190,'IDEES okt 2017 template'!AJ$162,FALSE),"")*$AR$23</f>
        <v>0</v>
      </c>
      <c r="AM23" s="795">
        <f ca="1">IFERROR('All Stock'!AK$15*VLOOKUP($A23,'IDEES okt 2017 template'!$C$183:$AN$190,'IDEES okt 2017 template'!AK$162,FALSE),"")*$AR$23</f>
        <v>0</v>
      </c>
      <c r="AN23" s="795">
        <f ca="1">IFERROR('All Stock'!AL$15*VLOOKUP($A23,'IDEES okt 2017 template'!$C$183:$AN$190,'IDEES okt 2017 template'!AL$162,FALSE),"")*$AR$23</f>
        <v>4.0282621558334126</v>
      </c>
      <c r="AO23" s="795">
        <f ca="1">IFERROR('All Stock'!AM$15*VLOOKUP($A23,'IDEES okt 2017 template'!$C$183:$AN$190,'IDEES okt 2017 template'!AM$162,FALSE),"")*$AR$23</f>
        <v>8.6064704759247615E-2</v>
      </c>
      <c r="AP23" s="795">
        <f ca="1">IFERROR('All Stock'!AN$15*VLOOKUP($A23,'IDEES okt 2017 template'!$C$183:$AN$190,'IDEES okt 2017 template'!AN$162,FALSE),"")*$AR$23</f>
        <v>1.9130781247845248</v>
      </c>
      <c r="AQ23" s="509"/>
      <c r="AR23">
        <f t="shared" ref="AR23:AR27" si="5">AR15</f>
        <v>1</v>
      </c>
      <c r="AS23" t="e">
        <f>#REF!</f>
        <v>#REF!</v>
      </c>
      <c r="AT23" s="509"/>
    </row>
    <row r="24" spans="1:49">
      <c r="A24" t="str">
        <f t="shared" si="2"/>
        <v>Biomass and wastes</v>
      </c>
      <c r="C24" t="str">
        <f>TechComm!L68</f>
        <v>R_ES-WH-SD_BIO</v>
      </c>
      <c r="D24" t="str">
        <f t="shared" si="1"/>
        <v>RSDBIO</v>
      </c>
      <c r="E24" t="str">
        <f t="shared" si="4"/>
        <v>R_ES-SD-WatHeat</v>
      </c>
      <c r="F24" s="795">
        <f ca="1">IFERROR('All Stock'!D$15*VLOOKUP($A24,'IDEES okt 2017 template'!$C$183:$AH$190,'IDEES okt 2017 template'!D$162,FALSE),"")*$AR$24</f>
        <v>41.577910447125312</v>
      </c>
      <c r="G24" s="795">
        <f ca="1">IFERROR('All Stock'!E$15*VLOOKUP($A24,'IDEES okt 2017 template'!$C$183:$AH$190,'IDEES okt 2017 template'!E$162,FALSE),"")*$AR$24</f>
        <v>31.428356586273765</v>
      </c>
      <c r="H24" s="795">
        <f ca="1">IFERROR('All Stock'!F$15*VLOOKUP($A24,'IDEES okt 2017 template'!$C$183:$AH$190,'IDEES okt 2017 template'!F$162,FALSE),"")*$AR$24</f>
        <v>16.010950691217676</v>
      </c>
      <c r="I24" s="795">
        <f ca="1">IFERROR('All Stock'!G$15*VLOOKUP($A24,'IDEES okt 2017 template'!$C$183:$AH$190,'IDEES okt 2017 template'!G$162,FALSE),"")*$AR$24</f>
        <v>15.577596854453573</v>
      </c>
      <c r="J24" s="795">
        <f ca="1">IFERROR('All Stock'!H$15*VLOOKUP($A24,'IDEES okt 2017 template'!$C$183:$AH$190,'IDEES okt 2017 template'!H$162,FALSE),"")*$AR$24</f>
        <v>0.11216075980067118</v>
      </c>
      <c r="K24" s="795">
        <f ca="1">IFERROR('All Stock'!I$15*VLOOKUP($A24,'IDEES okt 2017 template'!$C$183:$AH$190,'IDEES okt 2017 template'!I$162,FALSE),"")*$AR$24</f>
        <v>18.055059707603945</v>
      </c>
      <c r="L24" s="795">
        <f ca="1">IFERROR('All Stock'!J$15*VLOOKUP($A24,'IDEES okt 2017 template'!$C$183:$AH$190,'IDEES okt 2017 template'!J$162,FALSE),"")*$AR$24</f>
        <v>153.94062462922921</v>
      </c>
      <c r="M24" s="795">
        <f ca="1">IFERROR('All Stock'!K$15*VLOOKUP($A24,'IDEES okt 2017 template'!$C$183:$AH$190,'IDEES okt 2017 template'!K$162,FALSE),"")*$AR$24</f>
        <v>61.242092818273171</v>
      </c>
      <c r="N24" s="795">
        <f ca="1">IFERROR('All Stock'!L$15*VLOOKUP($A24,'IDEES okt 2017 template'!$C$183:$AH$190,'IDEES okt 2017 template'!L$162,FALSE),"")*$AR$24</f>
        <v>15.249925043155637</v>
      </c>
      <c r="O24" s="795">
        <f ca="1">IFERROR('All Stock'!M$15*VLOOKUP($A24,'IDEES okt 2017 template'!$C$183:$AH$190,'IDEES okt 2017 template'!M$162,FALSE),"")*$AR$24</f>
        <v>21.382631894577223</v>
      </c>
      <c r="P24" s="795">
        <f ca="1">IFERROR('All Stock'!N$15*VLOOKUP($A24,'IDEES okt 2017 template'!$C$183:$AH$190,'IDEES okt 2017 template'!N$162,FALSE),"")*$AR$24</f>
        <v>88.119444012179116</v>
      </c>
      <c r="Q24" s="795">
        <f ca="1">IFERROR('All Stock'!O$15*VLOOKUP($A24,'IDEES okt 2017 template'!$C$183:$AH$190,'IDEES okt 2017 template'!O$162,FALSE),"")*$AR$24</f>
        <v>261.27040478649843</v>
      </c>
      <c r="R24" s="795">
        <f ca="1">IFERROR('All Stock'!P$15*VLOOKUP($A24,'IDEES okt 2017 template'!$C$183:$AH$190,'IDEES okt 2017 template'!P$162,FALSE),"")*$AR$24</f>
        <v>4.8146311815229694</v>
      </c>
      <c r="S24" s="795">
        <f ca="1">IFERROR('All Stock'!Q$15*VLOOKUP($A24,'IDEES okt 2017 template'!$C$183:$AH$190,'IDEES okt 2017 template'!Q$162,FALSE),"")*$AR$24</f>
        <v>10.963207599636627</v>
      </c>
      <c r="T24" s="795">
        <f ca="1">IFERROR('All Stock'!R$15*VLOOKUP($A24,'IDEES okt 2017 template'!$C$183:$AH$190,'IDEES okt 2017 template'!R$162,FALSE),"")*$AR$24</f>
        <v>15.044503183567613</v>
      </c>
      <c r="U24" s="795">
        <f ca="1">IFERROR('All Stock'!S$15*VLOOKUP($A24,'IDEES okt 2017 template'!$C$183:$AH$190,'IDEES okt 2017 template'!S$162,FALSE),"")*$AR$24</f>
        <v>5.4540032997626149</v>
      </c>
      <c r="V24" s="795">
        <f ca="1">IFERROR('All Stock'!T$15*VLOOKUP($A24,'IDEES okt 2017 template'!$C$183:$AH$190,'IDEES okt 2017 template'!T$162,FALSE),"")*$AR$24</f>
        <v>0</v>
      </c>
      <c r="W24" s="795">
        <f ca="1">IFERROR('All Stock'!U$15*VLOOKUP($A24,'IDEES okt 2017 template'!$C$183:$AH$190,'IDEES okt 2017 template'!U$162,FALSE),"")*$AR$24</f>
        <v>23.112060660569139</v>
      </c>
      <c r="X24" s="795">
        <f ca="1">IFERROR('All Stock'!V$15*VLOOKUP($A24,'IDEES okt 2017 template'!$C$183:$AH$190,'IDEES okt 2017 template'!V$162,FALSE),"")*$AR$24</f>
        <v>34.839193047569992</v>
      </c>
      <c r="Y24" s="795">
        <f ca="1">IFERROR('All Stock'!W$15*VLOOKUP($A24,'IDEES okt 2017 template'!$C$183:$AH$190,'IDEES okt 2017 template'!W$162,FALSE),"")*$AR$24</f>
        <v>1.5613060523913891</v>
      </c>
      <c r="Z24" s="795">
        <f ca="1">IFERROR('All Stock'!X$15*VLOOKUP($A24,'IDEES okt 2017 template'!$C$183:$AH$190,'IDEES okt 2017 template'!X$162,FALSE),"")*$AR$24</f>
        <v>28.999094766540619</v>
      </c>
      <c r="AA24" s="795">
        <f ca="1">IFERROR('All Stock'!Y$15*VLOOKUP($A24,'IDEES okt 2017 template'!$C$183:$AH$190,'IDEES okt 2017 template'!Y$162,FALSE),"")*$AR$24</f>
        <v>0</v>
      </c>
      <c r="AB24" s="795">
        <f ca="1">IFERROR('All Stock'!Z$15*VLOOKUP($A24,'IDEES okt 2017 template'!$C$183:$AH$190,'IDEES okt 2017 template'!Z$162,FALSE),"")*$AR$24</f>
        <v>70.292586645946315</v>
      </c>
      <c r="AC24" s="795">
        <f ca="1">IFERROR('All Stock'!AA$15*VLOOKUP($A24,'IDEES okt 2017 template'!$C$183:$AH$190,'IDEES okt 2017 template'!AA$162,FALSE),"")*$AR$24</f>
        <v>26.772456229914901</v>
      </c>
      <c r="AD24" s="795">
        <f ca="1">IFERROR('All Stock'!AB$15*VLOOKUP($A24,'IDEES okt 2017 template'!$C$183:$AH$190,'IDEES okt 2017 template'!AB$162,FALSE),"")*$AR$24</f>
        <v>115.74639019704819</v>
      </c>
      <c r="AE24" s="795">
        <f ca="1">IFERROR('All Stock'!AC$15*VLOOKUP($A24,'IDEES okt 2017 template'!$C$183:$AH$190,'IDEES okt 2017 template'!AC$162,FALSE),"")*$AR$24</f>
        <v>42.655715346139637</v>
      </c>
      <c r="AF24" s="795">
        <f ca="1">IFERROR('All Stock'!AD$15*VLOOKUP($A24,'IDEES okt 2017 template'!$C$183:$AH$190,'IDEES okt 2017 template'!AD$162,FALSE),"")*$AR$24</f>
        <v>206.02255667319869</v>
      </c>
      <c r="AG24" s="795">
        <f ca="1">IFERROR('All Stock'!AE$15*VLOOKUP($A24,'IDEES okt 2017 template'!$C$183:$AH$190,'IDEES okt 2017 template'!AE$162,FALSE),"")*$AR$24</f>
        <v>9.5089196128976212</v>
      </c>
      <c r="AH24" s="795">
        <f ca="1">IFERROR('All Stock'!AF$15*VLOOKUP($A24,'IDEES okt 2017 template'!$C$183:$AH$190,'IDEES okt 2017 template'!AF$162,FALSE),"")*$AR$24</f>
        <v>17.484969122776565</v>
      </c>
      <c r="AI24" s="795">
        <f ca="1">IFERROR('All Stock'!AG$15*VLOOKUP($A24,'IDEES okt 2017 template'!$C$183:$AH$190,'IDEES okt 2017 template'!AG$162,FALSE),"")*$AR$24</f>
        <v>0.55890389099326721</v>
      </c>
      <c r="AJ24" s="795">
        <f ca="1">IFERROR('All Stock'!AH$15*VLOOKUP($A24,'IDEES okt 2017 template'!$C$183:$AH$190,'IDEES okt 2017 template'!AH$162,FALSE),"")*$AR$24</f>
        <v>0</v>
      </c>
      <c r="AK24" s="795">
        <f ca="1">IFERROR('All Stock'!AI$15*VLOOKUP($A24,'IDEES okt 2017 template'!$C$183:$AN$190,'IDEES okt 2017 template'!AI$162,FALSE),"")*$AR$24</f>
        <v>1.3991476924082877</v>
      </c>
      <c r="AL24" s="795">
        <f ca="1">IFERROR('All Stock'!AJ$15*VLOOKUP($A24,'IDEES okt 2017 template'!$C$183:$AN$190,'IDEES okt 2017 template'!AJ$162,FALSE),"")*$AR$24</f>
        <v>1.7096111335353605</v>
      </c>
      <c r="AM24" s="795">
        <f ca="1">IFERROR('All Stock'!AK$15*VLOOKUP($A24,'IDEES okt 2017 template'!$C$183:$AN$190,'IDEES okt 2017 template'!AK$162,FALSE),"")*$AR$24</f>
        <v>2.5214465931054586</v>
      </c>
      <c r="AN24" s="795">
        <f ca="1">IFERROR('All Stock'!AL$15*VLOOKUP($A24,'IDEES okt 2017 template'!$C$183:$AN$190,'IDEES okt 2017 template'!AL$162,FALSE),"")*$AR$24</f>
        <v>2.0386755008565367</v>
      </c>
      <c r="AO24" s="795">
        <f ca="1">IFERROR('All Stock'!AM$15*VLOOKUP($A24,'IDEES okt 2017 template'!$C$183:$AN$190,'IDEES okt 2017 template'!AM$162,FALSE),"")*$AR$24</f>
        <v>7.6278335736127447</v>
      </c>
      <c r="AP24" s="795">
        <f ca="1">IFERROR('All Stock'!AN$15*VLOOKUP($A24,'IDEES okt 2017 template'!$C$183:$AN$190,'IDEES okt 2017 template'!AN$162,FALSE),"")*$AR$24</f>
        <v>2.7803650998954157</v>
      </c>
      <c r="AQ24" s="509"/>
      <c r="AR24">
        <f t="shared" si="5"/>
        <v>1</v>
      </c>
      <c r="AS24" t="e">
        <f>#REF!</f>
        <v>#REF!</v>
      </c>
      <c r="AT24" s="509"/>
    </row>
    <row r="25" spans="1:49">
      <c r="A25" t="str">
        <f t="shared" si="2"/>
        <v>Solids</v>
      </c>
      <c r="C25" t="str">
        <f>TechComm!L69</f>
        <v>R_ES-WH-SD_COA</v>
      </c>
      <c r="D25" t="str">
        <f t="shared" si="1"/>
        <v>RSDCOA</v>
      </c>
      <c r="E25" t="str">
        <f t="shared" si="4"/>
        <v>R_ES-SD-WatHeat</v>
      </c>
      <c r="F25" s="795">
        <f ca="1">IFERROR('All Stock'!D$15*VLOOKUP($A25,'IDEES okt 2017 template'!$C$183:$AH$190,'IDEES okt 2017 template'!D$162,FALSE),"")*$AR$25</f>
        <v>1.3722603220409342</v>
      </c>
      <c r="G25" s="795">
        <f ca="1">IFERROR('All Stock'!E$15*VLOOKUP($A25,'IDEES okt 2017 template'!$C$183:$AH$190,'IDEES okt 2017 template'!E$162,FALSE),"")*$AR$25</f>
        <v>0</v>
      </c>
      <c r="H25" s="795">
        <f ca="1">IFERROR('All Stock'!F$15*VLOOKUP($A25,'IDEES okt 2017 template'!$C$183:$AH$190,'IDEES okt 2017 template'!F$162,FALSE),"")*$AR$25</f>
        <v>1.6148976128210932</v>
      </c>
      <c r="I25" s="795">
        <f ca="1">IFERROR('All Stock'!G$15*VLOOKUP($A25,'IDEES okt 2017 template'!$C$183:$AH$190,'IDEES okt 2017 template'!G$162,FALSE),"")*$AR$25</f>
        <v>0</v>
      </c>
      <c r="J25" s="795">
        <f ca="1">IFERROR('All Stock'!H$15*VLOOKUP($A25,'IDEES okt 2017 template'!$C$183:$AH$190,'IDEES okt 2017 template'!H$162,FALSE),"")*$AR$25</f>
        <v>0</v>
      </c>
      <c r="K25" s="795">
        <f ca="1">IFERROR('All Stock'!I$15*VLOOKUP($A25,'IDEES okt 2017 template'!$C$183:$AH$190,'IDEES okt 2017 template'!I$162,FALSE),"")*$AR$25</f>
        <v>9.4257072370860779</v>
      </c>
      <c r="L25" s="795">
        <f ca="1">IFERROR('All Stock'!J$15*VLOOKUP($A25,'IDEES okt 2017 template'!$C$183:$AH$190,'IDEES okt 2017 template'!J$162,FALSE),"")*$AR$25</f>
        <v>0</v>
      </c>
      <c r="M25" s="795">
        <f ca="1">IFERROR('All Stock'!K$15*VLOOKUP($A25,'IDEES okt 2017 template'!$C$183:$AH$190,'IDEES okt 2017 template'!K$162,FALSE),"")*$AR$25</f>
        <v>0</v>
      </c>
      <c r="N25" s="795">
        <f ca="1">IFERROR('All Stock'!L$15*VLOOKUP($A25,'IDEES okt 2017 template'!$C$183:$AH$190,'IDEES okt 2017 template'!L$162,FALSE),"")*$AR$25</f>
        <v>0</v>
      </c>
      <c r="O25" s="795">
        <f ca="1">IFERROR('All Stock'!M$15*VLOOKUP($A25,'IDEES okt 2017 template'!$C$183:$AH$190,'IDEES okt 2017 template'!M$162,FALSE),"")*$AR$25</f>
        <v>0</v>
      </c>
      <c r="P25" s="795">
        <f ca="1">IFERROR('All Stock'!N$15*VLOOKUP($A25,'IDEES okt 2017 template'!$C$183:$AH$190,'IDEES okt 2017 template'!N$162,FALSE),"")*$AR$25</f>
        <v>0</v>
      </c>
      <c r="Q25" s="795">
        <f ca="1">IFERROR('All Stock'!O$15*VLOOKUP($A25,'IDEES okt 2017 template'!$C$183:$AH$190,'IDEES okt 2017 template'!O$162,FALSE),"")*$AR$25</f>
        <v>0</v>
      </c>
      <c r="R25" s="795">
        <f ca="1">IFERROR('All Stock'!P$15*VLOOKUP($A25,'IDEES okt 2017 template'!$C$183:$AH$190,'IDEES okt 2017 template'!P$162,FALSE),"")*$AR$25</f>
        <v>0</v>
      </c>
      <c r="S25" s="795">
        <f ca="1">IFERROR('All Stock'!Q$15*VLOOKUP($A25,'IDEES okt 2017 template'!$C$183:$AH$190,'IDEES okt 2017 template'!Q$162,FALSE),"")*$AR$25</f>
        <v>0</v>
      </c>
      <c r="T25" s="795">
        <f ca="1">IFERROR('All Stock'!R$15*VLOOKUP($A25,'IDEES okt 2017 template'!$C$183:$AH$190,'IDEES okt 2017 template'!R$162,FALSE),"")*$AR$25</f>
        <v>0.74174399404513436</v>
      </c>
      <c r="U25" s="795">
        <f ca="1">IFERROR('All Stock'!S$15*VLOOKUP($A25,'IDEES okt 2017 template'!$C$183:$AH$190,'IDEES okt 2017 template'!S$162,FALSE),"")*$AR$25</f>
        <v>84.756970634214184</v>
      </c>
      <c r="V25" s="795">
        <f ca="1">IFERROR('All Stock'!T$15*VLOOKUP($A25,'IDEES okt 2017 template'!$C$183:$AH$190,'IDEES okt 2017 template'!T$162,FALSE),"")*$AR$25</f>
        <v>0</v>
      </c>
      <c r="W25" s="795">
        <f ca="1">IFERROR('All Stock'!U$15*VLOOKUP($A25,'IDEES okt 2017 template'!$C$183:$AH$190,'IDEES okt 2017 template'!U$162,FALSE),"")*$AR$25</f>
        <v>0</v>
      </c>
      <c r="X25" s="795">
        <f ca="1">IFERROR('All Stock'!V$15*VLOOKUP($A25,'IDEES okt 2017 template'!$C$183:$AH$190,'IDEES okt 2017 template'!V$162,FALSE),"")*$AR$25</f>
        <v>0</v>
      </c>
      <c r="Y25" s="795">
        <f ca="1">IFERROR('All Stock'!W$15*VLOOKUP($A25,'IDEES okt 2017 template'!$C$183:$AH$190,'IDEES okt 2017 template'!W$162,FALSE),"")*$AR$25</f>
        <v>0</v>
      </c>
      <c r="Z25" s="795">
        <f ca="1">IFERROR('All Stock'!X$15*VLOOKUP($A25,'IDEES okt 2017 template'!$C$183:$AH$190,'IDEES okt 2017 template'!X$162,FALSE),"")*$AR$25</f>
        <v>0</v>
      </c>
      <c r="AA25" s="795">
        <f ca="1">IFERROR('All Stock'!Y$15*VLOOKUP($A25,'IDEES okt 2017 template'!$C$183:$AH$190,'IDEES okt 2017 template'!Y$162,FALSE),"")*$AR$25</f>
        <v>0</v>
      </c>
      <c r="AB25" s="795">
        <f ca="1">IFERROR('All Stock'!Z$15*VLOOKUP($A25,'IDEES okt 2017 template'!$C$183:$AH$190,'IDEES okt 2017 template'!Z$162,FALSE),"")*$AR$25</f>
        <v>0</v>
      </c>
      <c r="AC25" s="795">
        <f ca="1">IFERROR('All Stock'!AA$15*VLOOKUP($A25,'IDEES okt 2017 template'!$C$183:$AH$190,'IDEES okt 2017 template'!AA$162,FALSE),"")*$AR$25</f>
        <v>0</v>
      </c>
      <c r="AD25" s="795">
        <f ca="1">IFERROR('All Stock'!AB$15*VLOOKUP($A25,'IDEES okt 2017 template'!$C$183:$AH$190,'IDEES okt 2017 template'!AB$162,FALSE),"")*$AR$25</f>
        <v>361.36874665198815</v>
      </c>
      <c r="AE25" s="795">
        <f ca="1">IFERROR('All Stock'!AC$15*VLOOKUP($A25,'IDEES okt 2017 template'!$C$183:$AH$190,'IDEES okt 2017 template'!AC$162,FALSE),"")*$AR$25</f>
        <v>0</v>
      </c>
      <c r="AF25" s="795">
        <f ca="1">IFERROR('All Stock'!AD$15*VLOOKUP($A25,'IDEES okt 2017 template'!$C$183:$AH$190,'IDEES okt 2017 template'!AD$162,FALSE),"")*$AR$25</f>
        <v>0</v>
      </c>
      <c r="AG25" s="795">
        <f ca="1">IFERROR('All Stock'!AE$15*VLOOKUP($A25,'IDEES okt 2017 template'!$C$183:$AH$190,'IDEES okt 2017 template'!AE$162,FALSE),"")*$AR$25</f>
        <v>0</v>
      </c>
      <c r="AH25" s="795">
        <f ca="1">IFERROR('All Stock'!AF$15*VLOOKUP($A25,'IDEES okt 2017 template'!$C$183:$AH$190,'IDEES okt 2017 template'!AF$162,FALSE),"")*$AR$25</f>
        <v>0</v>
      </c>
      <c r="AI25" s="795">
        <f ca="1">IFERROR('All Stock'!AG$15*VLOOKUP($A25,'IDEES okt 2017 template'!$C$183:$AH$190,'IDEES okt 2017 template'!AG$162,FALSE),"")*$AR$25</f>
        <v>0</v>
      </c>
      <c r="AJ25" s="795">
        <f ca="1">IFERROR('All Stock'!AH$15*VLOOKUP($A25,'IDEES okt 2017 template'!$C$183:$AH$190,'IDEES okt 2017 template'!AH$162,FALSE),"")*$AR$25</f>
        <v>50.817550847838135</v>
      </c>
      <c r="AK25" s="795">
        <f ca="1">IFERROR('All Stock'!AI$15*VLOOKUP($A25,'IDEES okt 2017 template'!$C$183:$AN$190,'IDEES okt 2017 template'!AI$162,FALSE),"")*$AR$25</f>
        <v>0</v>
      </c>
      <c r="AL25" s="795">
        <f ca="1">IFERROR('All Stock'!AJ$15*VLOOKUP($A25,'IDEES okt 2017 template'!$C$183:$AN$190,'IDEES okt 2017 template'!AJ$162,FALSE),"")*$AR$25</f>
        <v>0</v>
      </c>
      <c r="AM25" s="795">
        <f ca="1">IFERROR('All Stock'!AK$15*VLOOKUP($A25,'IDEES okt 2017 template'!$C$183:$AN$190,'IDEES okt 2017 template'!AK$162,FALSE),"")*$AR$25</f>
        <v>0</v>
      </c>
      <c r="AN25" s="795">
        <f ca="1">IFERROR('All Stock'!AL$15*VLOOKUP($A25,'IDEES okt 2017 template'!$C$183:$AN$190,'IDEES okt 2017 template'!AL$162,FALSE),"")*$AR$25</f>
        <v>0</v>
      </c>
      <c r="AO25" s="795">
        <f ca="1">IFERROR('All Stock'!AM$15*VLOOKUP($A25,'IDEES okt 2017 template'!$C$183:$AN$190,'IDEES okt 2017 template'!AM$162,FALSE),"")*$AR$25</f>
        <v>0</v>
      </c>
      <c r="AP25" s="795">
        <f ca="1">IFERROR('All Stock'!AN$15*VLOOKUP($A25,'IDEES okt 2017 template'!$C$183:$AN$190,'IDEES okt 2017 template'!AN$162,FALSE),"")*$AR$25</f>
        <v>0</v>
      </c>
      <c r="AQ25" s="509"/>
      <c r="AR25">
        <f t="shared" si="5"/>
        <v>1</v>
      </c>
      <c r="AS25" t="e">
        <f>#REF!</f>
        <v>#REF!</v>
      </c>
      <c r="AT25" s="509"/>
    </row>
    <row r="26" spans="1:49">
      <c r="A26" t="str">
        <f t="shared" si="2"/>
        <v>LPG</v>
      </c>
      <c r="C26" t="str">
        <f>TechComm!L70</f>
        <v>R_ES-WH-SD_LPG</v>
      </c>
      <c r="D26" t="str">
        <f t="shared" si="1"/>
        <v>RSDLPG</v>
      </c>
      <c r="E26" t="str">
        <f t="shared" si="4"/>
        <v>R_ES-SD-WatHeat</v>
      </c>
      <c r="F26" s="795">
        <f ca="1">IFERROR('All Stock'!D$15*VLOOKUP($A26,'IDEES okt 2017 template'!$C$183:$AH$190,'IDEES okt 2017 template'!D$162,FALSE),"")*$AR$26</f>
        <v>6.4669739314572752</v>
      </c>
      <c r="G26" s="795">
        <f ca="1">IFERROR('All Stock'!E$15*VLOOKUP($A26,'IDEES okt 2017 template'!$C$183:$AH$190,'IDEES okt 2017 template'!E$162,FALSE),"")*$AR$26</f>
        <v>19.957472728375624</v>
      </c>
      <c r="H26" s="795">
        <f ca="1">IFERROR('All Stock'!F$15*VLOOKUP($A26,'IDEES okt 2017 template'!$C$183:$AH$190,'IDEES okt 2017 template'!F$162,FALSE),"")*$AR$26</f>
        <v>0.16563052439190701</v>
      </c>
      <c r="I26" s="795">
        <f ca="1">IFERROR('All Stock'!G$15*VLOOKUP($A26,'IDEES okt 2017 template'!$C$183:$AH$190,'IDEES okt 2017 template'!G$162,FALSE),"")*$AR$26</f>
        <v>0</v>
      </c>
      <c r="J26" s="795">
        <f ca="1">IFERROR('All Stock'!H$15*VLOOKUP($A26,'IDEES okt 2017 template'!$C$183:$AH$190,'IDEES okt 2017 template'!H$162,FALSE),"")*$AR$26</f>
        <v>1.4207029574751684</v>
      </c>
      <c r="K26" s="795">
        <f ca="1">IFERROR('All Stock'!I$15*VLOOKUP($A26,'IDEES okt 2017 template'!$C$183:$AH$190,'IDEES okt 2017 template'!I$162,FALSE),"")*$AR$26</f>
        <v>2.0496343992001584</v>
      </c>
      <c r="L26" s="795">
        <f ca="1">IFERROR('All Stock'!J$15*VLOOKUP($A26,'IDEES okt 2017 template'!$C$183:$AH$190,'IDEES okt 2017 template'!J$162,FALSE),"")*$AR$26</f>
        <v>194.18126976847637</v>
      </c>
      <c r="M26" s="795">
        <f ca="1">IFERROR('All Stock'!K$15*VLOOKUP($A26,'IDEES okt 2017 template'!$C$183:$AH$190,'IDEES okt 2017 template'!K$162,FALSE),"")*$AR$26</f>
        <v>3.7153388435569572</v>
      </c>
      <c r="N26" s="795">
        <f ca="1">IFERROR('All Stock'!L$15*VLOOKUP($A26,'IDEES okt 2017 template'!$C$183:$AH$190,'IDEES okt 2017 template'!L$162,FALSE),"")*$AR$26</f>
        <v>0.35728055548197507</v>
      </c>
      <c r="O26" s="795">
        <f ca="1">IFERROR('All Stock'!M$15*VLOOKUP($A26,'IDEES okt 2017 template'!$C$183:$AH$190,'IDEES okt 2017 template'!M$162,FALSE),"")*$AR$26</f>
        <v>374.02583175840607</v>
      </c>
      <c r="P26" s="795">
        <f ca="1">IFERROR('All Stock'!N$15*VLOOKUP($A26,'IDEES okt 2017 template'!$C$183:$AH$190,'IDEES okt 2017 template'!N$162,FALSE),"")*$AR$26</f>
        <v>4.6742900647634595</v>
      </c>
      <c r="Q26" s="795">
        <f ca="1">IFERROR('All Stock'!O$15*VLOOKUP($A26,'IDEES okt 2017 template'!$C$183:$AH$190,'IDEES okt 2017 template'!O$162,FALSE),"")*$AR$26</f>
        <v>436.47879232163189</v>
      </c>
      <c r="R26" s="795">
        <f ca="1">IFERROR('All Stock'!P$15*VLOOKUP($A26,'IDEES okt 2017 template'!$C$183:$AH$190,'IDEES okt 2017 template'!P$162,FALSE),"")*$AR$26</f>
        <v>9.4704464039332024</v>
      </c>
      <c r="S26" s="795">
        <f ca="1">IFERROR('All Stock'!Q$15*VLOOKUP($A26,'IDEES okt 2017 template'!$C$183:$AH$190,'IDEES okt 2017 template'!Q$162,FALSE),"")*$AR$26</f>
        <v>23.248121699229447</v>
      </c>
      <c r="T26" s="795">
        <f ca="1">IFERROR('All Stock'!R$15*VLOOKUP($A26,'IDEES okt 2017 template'!$C$183:$AH$190,'IDEES okt 2017 template'!R$162,FALSE),"")*$AR$26</f>
        <v>40.892668889096967</v>
      </c>
      <c r="U26" s="795">
        <f ca="1">IFERROR('All Stock'!S$15*VLOOKUP($A26,'IDEES okt 2017 template'!$C$183:$AH$190,'IDEES okt 2017 template'!S$162,FALSE),"")*$AR$26</f>
        <v>29.579171121696437</v>
      </c>
      <c r="V26" s="795">
        <f ca="1">IFERROR('All Stock'!T$15*VLOOKUP($A26,'IDEES okt 2017 template'!$C$183:$AH$190,'IDEES okt 2017 template'!T$162,FALSE),"")*$AR$26</f>
        <v>0.62906796984100388</v>
      </c>
      <c r="W26" s="795">
        <f ca="1">IFERROR('All Stock'!U$15*VLOOKUP($A26,'IDEES okt 2017 template'!$C$183:$AH$190,'IDEES okt 2017 template'!U$162,FALSE),"")*$AR$26</f>
        <v>414.98183721339933</v>
      </c>
      <c r="X26" s="795">
        <f ca="1">IFERROR('All Stock'!V$15*VLOOKUP($A26,'IDEES okt 2017 template'!$C$183:$AH$190,'IDEES okt 2017 template'!V$162,FALSE),"")*$AR$26</f>
        <v>4.9358011287045747</v>
      </c>
      <c r="Y26" s="795">
        <f ca="1">IFERROR('All Stock'!W$15*VLOOKUP($A26,'IDEES okt 2017 template'!$C$183:$AH$190,'IDEES okt 2017 template'!W$162,FALSE),"")*$AR$26</f>
        <v>0.79266307275255143</v>
      </c>
      <c r="Z26" s="795">
        <f ca="1">IFERROR('All Stock'!X$15*VLOOKUP($A26,'IDEES okt 2017 template'!$C$183:$AH$190,'IDEES okt 2017 template'!X$162,FALSE),"")*$AR$26</f>
        <v>1.9617679377213793</v>
      </c>
      <c r="AA26" s="795">
        <f ca="1">IFERROR('All Stock'!Y$15*VLOOKUP($A26,'IDEES okt 2017 template'!$C$183:$AH$190,'IDEES okt 2017 template'!Y$162,FALSE),"")*$AR$26</f>
        <v>29.624402426295433</v>
      </c>
      <c r="AB26" s="795">
        <f ca="1">IFERROR('All Stock'!Z$15*VLOOKUP($A26,'IDEES okt 2017 template'!$C$183:$AH$190,'IDEES okt 2017 template'!Z$162,FALSE),"")*$AR$26</f>
        <v>11.613693896969977</v>
      </c>
      <c r="AC26" s="795">
        <f ca="1">IFERROR('All Stock'!AA$15*VLOOKUP($A26,'IDEES okt 2017 template'!$C$183:$AH$190,'IDEES okt 2017 template'!AA$162,FALSE),"")*$AR$26</f>
        <v>3.882627798928262</v>
      </c>
      <c r="AD26" s="795">
        <f ca="1">IFERROR('All Stock'!AB$15*VLOOKUP($A26,'IDEES okt 2017 template'!$C$183:$AH$190,'IDEES okt 2017 template'!AB$162,FALSE),"")*$AR$26</f>
        <v>35.556924029317408</v>
      </c>
      <c r="AE26" s="795">
        <f ca="1">IFERROR('All Stock'!AC$15*VLOOKUP($A26,'IDEES okt 2017 template'!$C$183:$AH$190,'IDEES okt 2017 template'!AC$162,FALSE),"")*$AR$26</f>
        <v>91.034452667793374</v>
      </c>
      <c r="AF26" s="795">
        <f ca="1">IFERROR('All Stock'!AD$15*VLOOKUP($A26,'IDEES okt 2017 template'!$C$183:$AH$190,'IDEES okt 2017 template'!AD$162,FALSE),"")*$AR$26</f>
        <v>15.169940673707002</v>
      </c>
      <c r="AG26" s="795">
        <f ca="1">IFERROR('All Stock'!AE$15*VLOOKUP($A26,'IDEES okt 2017 template'!$C$183:$AH$190,'IDEES okt 2017 template'!AE$162,FALSE),"")*$AR$26</f>
        <v>0</v>
      </c>
      <c r="AH26" s="795">
        <f ca="1">IFERROR('All Stock'!AF$15*VLOOKUP($A26,'IDEES okt 2017 template'!$C$183:$AH$190,'IDEES okt 2017 template'!AF$162,FALSE),"")*$AR$26</f>
        <v>2.6173763912037593</v>
      </c>
      <c r="AI26" s="795">
        <f ca="1">IFERROR('All Stock'!AG$15*VLOOKUP($A26,'IDEES okt 2017 template'!$C$183:$AH$190,'IDEES okt 2017 template'!AG$162,FALSE),"")*$AR$26</f>
        <v>1.5555036002342739</v>
      </c>
      <c r="AJ26" s="795">
        <f ca="1">IFERROR('All Stock'!AH$15*VLOOKUP($A26,'IDEES okt 2017 template'!$C$183:$AH$190,'IDEES okt 2017 template'!AH$162,FALSE),"")*$AR$26</f>
        <v>186.37320952289332</v>
      </c>
      <c r="AK26" s="795">
        <f ca="1">IFERROR('All Stock'!AI$15*VLOOKUP($A26,'IDEES okt 2017 template'!$C$183:$AN$190,'IDEES okt 2017 template'!AI$162,FALSE),"")*$AR$26</f>
        <v>14.928660631387469</v>
      </c>
      <c r="AL26" s="795">
        <f ca="1">IFERROR('All Stock'!AJ$15*VLOOKUP($A26,'IDEES okt 2017 template'!$C$183:$AN$190,'IDEES okt 2017 template'!AJ$162,FALSE),"")*$AR$26</f>
        <v>0</v>
      </c>
      <c r="AM26" s="795">
        <f ca="1">IFERROR('All Stock'!AK$15*VLOOKUP($A26,'IDEES okt 2017 template'!$C$183:$AN$190,'IDEES okt 2017 template'!AK$162,FALSE),"")*$AR$26</f>
        <v>0</v>
      </c>
      <c r="AN26" s="795">
        <f ca="1">IFERROR('All Stock'!AL$15*VLOOKUP($A26,'IDEES okt 2017 template'!$C$183:$AN$190,'IDEES okt 2017 template'!AL$162,FALSE),"")*$AR$26</f>
        <v>3.1983461951064438</v>
      </c>
      <c r="AO26" s="795">
        <f ca="1">IFERROR('All Stock'!AM$15*VLOOKUP($A26,'IDEES okt 2017 template'!$C$183:$AN$190,'IDEES okt 2017 template'!AM$162,FALSE),"")*$AR$26</f>
        <v>6.6960940495553185</v>
      </c>
      <c r="AP26" s="795">
        <f ca="1">IFERROR('All Stock'!AN$15*VLOOKUP($A26,'IDEES okt 2017 template'!$C$183:$AN$190,'IDEES okt 2017 template'!AN$162,FALSE),"")*$AR$26</f>
        <v>3.9004566362203863</v>
      </c>
      <c r="AQ26" s="509"/>
      <c r="AR26">
        <f t="shared" si="5"/>
        <v>1</v>
      </c>
      <c r="AS26" t="e">
        <f>#REF!</f>
        <v>#REF!</v>
      </c>
      <c r="AT26" s="509"/>
    </row>
    <row r="27" spans="1:49">
      <c r="A27" s="692" t="str">
        <f t="shared" si="2"/>
        <v>Solar</v>
      </c>
      <c r="B27" s="692"/>
      <c r="C27" s="692" t="str">
        <f>TechComm!L71</f>
        <v>R_ES-WH-SD_SOL</v>
      </c>
      <c r="D27" s="692" t="str">
        <f t="shared" si="1"/>
        <v>RSDSOL</v>
      </c>
      <c r="E27" s="692" t="str">
        <f t="shared" si="4"/>
        <v>R_ES-SD-WatHeat</v>
      </c>
      <c r="F27" s="795">
        <f ca="1">IFERROR('All Stock'!D$15*VLOOKUP($A27,'IDEES okt 2017 template'!$C$183:$AH$190,'IDEES okt 2017 template'!D$162,FALSE),"")*$AR$26</f>
        <v>80.695216178866886</v>
      </c>
      <c r="G27" s="795">
        <f ca="1">IFERROR('All Stock'!E$15*VLOOKUP($A27,'IDEES okt 2017 template'!$C$183:$AH$190,'IDEES okt 2017 template'!E$162,FALSE),"")*$AR$26</f>
        <v>26.182525553698397</v>
      </c>
      <c r="H27" s="795">
        <f ca="1">IFERROR('All Stock'!F$15*VLOOKUP($A27,'IDEES okt 2017 template'!$C$183:$AH$190,'IDEES okt 2017 template'!F$162,FALSE),"")*$AR$26</f>
        <v>8.902640686065002</v>
      </c>
      <c r="I27" s="795">
        <f ca="1">IFERROR('All Stock'!G$15*VLOOKUP($A27,'IDEES okt 2017 template'!$C$183:$AH$190,'IDEES okt 2017 template'!G$162,FALSE),"")*$AR$26</f>
        <v>49.639160247699564</v>
      </c>
      <c r="J27" s="795">
        <f ca="1">IFERROR('All Stock'!H$15*VLOOKUP($A27,'IDEES okt 2017 template'!$C$183:$AH$190,'IDEES okt 2017 template'!H$162,FALSE),"")*$AR$26</f>
        <v>96.570414188377882</v>
      </c>
      <c r="K27" s="795">
        <f ca="1">IFERROR('All Stock'!I$15*VLOOKUP($A27,'IDEES okt 2017 template'!$C$183:$AH$190,'IDEES okt 2017 template'!I$162,FALSE),"")*$AR$26</f>
        <v>8.9165623863293533</v>
      </c>
      <c r="L27" s="795">
        <f ca="1">IFERROR('All Stock'!J$15*VLOOKUP($A27,'IDEES okt 2017 template'!$C$183:$AH$190,'IDEES okt 2017 template'!J$162,FALSE),"")*$AR$26</f>
        <v>634.90795664145492</v>
      </c>
      <c r="M27" s="795">
        <f ca="1">IFERROR('All Stock'!K$15*VLOOKUP($A27,'IDEES okt 2017 template'!$C$183:$AH$190,'IDEES okt 2017 template'!K$162,FALSE),"")*$AR$26</f>
        <v>11.656182461427944</v>
      </c>
      <c r="N27" s="795">
        <f ca="1">IFERROR('All Stock'!L$15*VLOOKUP($A27,'IDEES okt 2017 template'!$C$183:$AH$190,'IDEES okt 2017 template'!L$162,FALSE),"")*$AR$26</f>
        <v>0</v>
      </c>
      <c r="O27" s="795">
        <f ca="1">IFERROR('All Stock'!M$15*VLOOKUP($A27,'IDEES okt 2017 template'!$C$183:$AH$190,'IDEES okt 2017 template'!M$162,FALSE),"")*$AR$26</f>
        <v>165.28434001714803</v>
      </c>
      <c r="P27" s="795">
        <f ca="1">IFERROR('All Stock'!N$15*VLOOKUP($A27,'IDEES okt 2017 template'!$C$183:$AH$190,'IDEES okt 2017 template'!N$162,FALSE),"")*$AR$26</f>
        <v>1.0551188738422375</v>
      </c>
      <c r="Q27" s="795">
        <f ca="1">IFERROR('All Stock'!O$15*VLOOKUP($A27,'IDEES okt 2017 template'!$C$183:$AH$190,'IDEES okt 2017 template'!O$162,FALSE),"")*$AR$26</f>
        <v>60.944531214339797</v>
      </c>
      <c r="R27" s="795">
        <f ca="1">IFERROR('All Stock'!P$15*VLOOKUP($A27,'IDEES okt 2017 template'!$C$183:$AH$190,'IDEES okt 2017 template'!P$162,FALSE),"")*$AR$26</f>
        <v>150.18974491250819</v>
      </c>
      <c r="S27" s="795">
        <f ca="1">IFERROR('All Stock'!Q$15*VLOOKUP($A27,'IDEES okt 2017 template'!$C$183:$AH$190,'IDEES okt 2017 template'!Q$162,FALSE),"")*$AR$26</f>
        <v>7.2485166997597492</v>
      </c>
      <c r="T27" s="795">
        <f ca="1">IFERROR('All Stock'!R$15*VLOOKUP($A27,'IDEES okt 2017 template'!$C$183:$AH$190,'IDEES okt 2017 template'!R$162,FALSE),"")*$AR$26</f>
        <v>8.2075585428037687</v>
      </c>
      <c r="U27" s="795">
        <f ca="1">IFERROR('All Stock'!S$15*VLOOKUP($A27,'IDEES okt 2017 template'!$C$183:$AH$190,'IDEES okt 2017 template'!S$162,FALSE),"")*$AR$26</f>
        <v>11.765692602310478</v>
      </c>
      <c r="V27" s="795">
        <f ca="1">IFERROR('All Stock'!T$15*VLOOKUP($A27,'IDEES okt 2017 template'!$C$183:$AH$190,'IDEES okt 2017 template'!T$162,FALSE),"")*$AR$26</f>
        <v>0</v>
      </c>
      <c r="W27" s="795">
        <f ca="1">IFERROR('All Stock'!U$15*VLOOKUP($A27,'IDEES okt 2017 template'!$C$183:$AH$190,'IDEES okt 2017 template'!U$162,FALSE),"")*$AR$26</f>
        <v>128.44922402956848</v>
      </c>
      <c r="X27" s="795">
        <f ca="1">IFERROR('All Stock'!V$15*VLOOKUP($A27,'IDEES okt 2017 template'!$C$183:$AH$190,'IDEES okt 2017 template'!V$162,FALSE),"")*$AR$26</f>
        <v>0</v>
      </c>
      <c r="Y27" s="795">
        <f ca="1">IFERROR('All Stock'!W$15*VLOOKUP($A27,'IDEES okt 2017 template'!$C$183:$AH$190,'IDEES okt 2017 template'!W$162,FALSE),"")*$AR$26</f>
        <v>2.0657280077793763</v>
      </c>
      <c r="Z27" s="795">
        <f ca="1">IFERROR('All Stock'!X$15*VLOOKUP($A27,'IDEES okt 2017 template'!$C$183:$AH$190,'IDEES okt 2017 template'!X$162,FALSE),"")*$AR$26</f>
        <v>0</v>
      </c>
      <c r="AA27" s="795">
        <f ca="1">IFERROR('All Stock'!Y$15*VLOOKUP($A27,'IDEES okt 2017 template'!$C$183:$AH$190,'IDEES okt 2017 template'!Y$162,FALSE),"")*$AR$26</f>
        <v>0</v>
      </c>
      <c r="AB27" s="795">
        <f ca="1">IFERROR('All Stock'!Z$15*VLOOKUP($A27,'IDEES okt 2017 template'!$C$183:$AH$190,'IDEES okt 2017 template'!Z$162,FALSE),"")*$AR$26</f>
        <v>64.673562240269476</v>
      </c>
      <c r="AC27" s="795">
        <f ca="1">IFERROR('All Stock'!AA$15*VLOOKUP($A27,'IDEES okt 2017 template'!$C$183:$AH$190,'IDEES okt 2017 template'!AA$162,FALSE),"")*$AR$26</f>
        <v>0</v>
      </c>
      <c r="AD27" s="795">
        <f ca="1">IFERROR('All Stock'!AB$15*VLOOKUP($A27,'IDEES okt 2017 template'!$C$183:$AH$190,'IDEES okt 2017 template'!AB$162,FALSE),"")*$AR$26</f>
        <v>0</v>
      </c>
      <c r="AE27" s="795">
        <f ca="1">IFERROR('All Stock'!AC$15*VLOOKUP($A27,'IDEES okt 2017 template'!$C$183:$AH$190,'IDEES okt 2017 template'!AC$162,FALSE),"")*$AR$26</f>
        <v>32.727068383709238</v>
      </c>
      <c r="AF27" s="795">
        <f ca="1">IFERROR('All Stock'!AD$15*VLOOKUP($A27,'IDEES okt 2017 template'!$C$183:$AH$190,'IDEES okt 2017 template'!AD$162,FALSE),"")*$AR$26</f>
        <v>0</v>
      </c>
      <c r="AG27" s="795">
        <f ca="1">IFERROR('All Stock'!AE$15*VLOOKUP($A27,'IDEES okt 2017 template'!$C$183:$AH$190,'IDEES okt 2017 template'!AE$162,FALSE),"")*$AR$26</f>
        <v>8.8887726816216919</v>
      </c>
      <c r="AH27" s="795">
        <f ca="1">IFERROR('All Stock'!AF$15*VLOOKUP($A27,'IDEES okt 2017 template'!$C$183:$AH$190,'IDEES okt 2017 template'!AF$162,FALSE),"")*$AR$26</f>
        <v>2.26391872469932</v>
      </c>
      <c r="AI27" s="795">
        <f ca="1">IFERROR('All Stock'!AG$15*VLOOKUP($A27,'IDEES okt 2017 template'!$C$183:$AH$190,'IDEES okt 2017 template'!AG$162,FALSE),"")*$AR$26</f>
        <v>0</v>
      </c>
      <c r="AJ27" s="795">
        <f ca="1">IFERROR('All Stock'!AH$15*VLOOKUP($A27,'IDEES okt 2017 template'!$C$183:$AH$190,'IDEES okt 2017 template'!AH$162,FALSE),"")*$AR$26</f>
        <v>275.16153310884215</v>
      </c>
      <c r="AK27" s="795">
        <f ca="1">IFERROR('All Stock'!AI$15*VLOOKUP($A27,'IDEES okt 2017 template'!$C$183:$AN$190,'IDEES okt 2017 template'!AI$162,FALSE),"")*$AR$26</f>
        <v>1.6376634700366446</v>
      </c>
      <c r="AL27" s="795">
        <f ca="1">IFERROR('All Stock'!AJ$15*VLOOKUP($A27,'IDEES okt 2017 template'!$C$183:$AN$190,'IDEES okt 2017 template'!AJ$162,FALSE),"")*$AR$26</f>
        <v>0</v>
      </c>
      <c r="AM27" s="795">
        <f ca="1">IFERROR('All Stock'!AK$15*VLOOKUP($A27,'IDEES okt 2017 template'!$C$183:$AN$190,'IDEES okt 2017 template'!AK$162,FALSE),"")*$AR$26</f>
        <v>0</v>
      </c>
      <c r="AN27" s="795">
        <f ca="1">IFERROR('All Stock'!AL$15*VLOOKUP($A27,'IDEES okt 2017 template'!$C$183:$AN$190,'IDEES okt 2017 template'!AL$162,FALSE),"")*$AR$26</f>
        <v>0</v>
      </c>
      <c r="AO27" s="795">
        <f ca="1">IFERROR('All Stock'!AM$15*VLOOKUP($A27,'IDEES okt 2017 template'!$C$183:$AN$190,'IDEES okt 2017 template'!AM$162,FALSE),"")*$AR$26</f>
        <v>0</v>
      </c>
      <c r="AP27" s="795">
        <f ca="1">IFERROR('All Stock'!AN$15*VLOOKUP($A27,'IDEES okt 2017 template'!$C$183:$AN$190,'IDEES okt 2017 template'!AN$162,FALSE),"")*$AR$26</f>
        <v>0.29706540058989495</v>
      </c>
      <c r="AQ27" s="509"/>
      <c r="AR27">
        <f t="shared" si="5"/>
        <v>1</v>
      </c>
      <c r="AS27" t="e">
        <f>#REF!</f>
        <v>#REF!</v>
      </c>
      <c r="AT27" s="509"/>
    </row>
    <row r="28" spans="1:49">
      <c r="F28" s="509"/>
      <c r="G28" s="509"/>
      <c r="H28" s="509"/>
      <c r="I28" s="509"/>
      <c r="J28" s="509"/>
      <c r="K28" s="509"/>
      <c r="L28" s="509"/>
      <c r="M28" s="509"/>
      <c r="N28" s="509"/>
      <c r="O28" s="509"/>
      <c r="P28" s="509"/>
      <c r="Q28" s="509"/>
      <c r="R28" s="509"/>
      <c r="S28" s="509"/>
      <c r="T28" s="509"/>
      <c r="U28" s="509"/>
      <c r="V28" s="509"/>
      <c r="W28" s="509"/>
      <c r="X28" s="509"/>
      <c r="Y28" s="509"/>
      <c r="Z28" s="509"/>
      <c r="AA28" s="509"/>
      <c r="AB28" s="509"/>
      <c r="AC28" s="509"/>
      <c r="AD28" s="509"/>
      <c r="AE28" s="509"/>
      <c r="AF28" s="509"/>
      <c r="AG28" s="509"/>
      <c r="AH28" s="509"/>
      <c r="AI28" s="509"/>
      <c r="AJ28" s="509"/>
      <c r="AK28" s="509"/>
      <c r="AL28" s="509"/>
      <c r="AM28" s="509"/>
      <c r="AN28" s="509"/>
      <c r="AO28" s="509"/>
      <c r="AP28" s="509"/>
      <c r="AQ28" s="509"/>
      <c r="AR28" s="509"/>
      <c r="AS28" s="509"/>
      <c r="AT28" s="509"/>
    </row>
    <row r="29" spans="1:49">
      <c r="F29" s="509"/>
      <c r="G29" s="509"/>
      <c r="H29" s="509"/>
      <c r="I29" s="509"/>
      <c r="J29" s="509"/>
      <c r="K29" s="509"/>
      <c r="L29" s="509"/>
      <c r="M29" s="509"/>
      <c r="N29" s="509"/>
      <c r="O29" s="509"/>
      <c r="P29" s="509"/>
      <c r="Q29" s="509"/>
      <c r="R29" s="509"/>
      <c r="S29" s="509"/>
      <c r="T29" s="509"/>
      <c r="U29" s="509"/>
      <c r="V29" s="509"/>
      <c r="W29" s="509"/>
      <c r="X29" s="509"/>
      <c r="Y29" s="509"/>
      <c r="Z29" s="509"/>
      <c r="AA29" s="509"/>
      <c r="AB29" s="509"/>
      <c r="AC29" s="509"/>
      <c r="AD29" s="509"/>
      <c r="AE29" s="509"/>
      <c r="AF29" s="509"/>
      <c r="AG29" s="509"/>
      <c r="AH29" s="509"/>
      <c r="AI29" s="509"/>
      <c r="AJ29" s="509"/>
      <c r="AK29" s="509"/>
      <c r="AL29" s="509"/>
      <c r="AM29" s="509"/>
      <c r="AN29" s="509"/>
      <c r="AO29" s="509"/>
      <c r="AP29" s="509"/>
      <c r="AQ29" s="509"/>
      <c r="AR29" s="509"/>
      <c r="AS29" s="509"/>
      <c r="AT29" s="509"/>
    </row>
    <row r="30" spans="1:49">
      <c r="E30" t="s">
        <v>872</v>
      </c>
      <c r="F30" s="691">
        <f ca="1">'IDEES okt 2017 template'!D120/SUM('All Stock'!D13:D16)</f>
        <v>8.4551144589803152E-3</v>
      </c>
      <c r="G30" s="691">
        <f ca="1">'IDEES okt 2017 template'!E120/SUM('All Stock'!E13:E16)</f>
        <v>8.2738526510886708E-3</v>
      </c>
      <c r="H30" s="691">
        <f ca="1">'IDEES okt 2017 template'!F120/SUM('All Stock'!F13:F16)</f>
        <v>5.8811569447430514E-3</v>
      </c>
      <c r="I30" s="691">
        <f ca="1">'IDEES okt 2017 template'!G120/SUM('All Stock'!G13:G16)</f>
        <v>6.4678484315687877E-3</v>
      </c>
      <c r="J30" s="691">
        <f ca="1">'IDEES okt 2017 template'!H120/SUM('All Stock'!H13:H16)</f>
        <v>8.1385418219568559E-3</v>
      </c>
      <c r="K30" s="691">
        <f ca="1">'IDEES okt 2017 template'!I120/SUM('All Stock'!I13:I16)</f>
        <v>5.0792260889432799E-3</v>
      </c>
      <c r="L30" s="691">
        <f ca="1">'IDEES okt 2017 template'!J120/SUM('All Stock'!J13:J16)</f>
        <v>6.7270093753871388E-3</v>
      </c>
      <c r="M30" s="691">
        <f ca="1">'IDEES okt 2017 template'!K120/SUM('All Stock'!K13:K16)</f>
        <v>7.7246612084930751E-3</v>
      </c>
      <c r="N30" s="691">
        <f ca="1">'IDEES okt 2017 template'!L120/SUM('All Stock'!L13:L16)</f>
        <v>5.5899389214572916E-3</v>
      </c>
      <c r="O30" s="691">
        <f ca="1">'IDEES okt 2017 template'!M120/SUM('All Stock'!M13:M16)</f>
        <v>7.7848348321906038E-3</v>
      </c>
      <c r="P30" s="691">
        <f ca="1">'IDEES okt 2017 template'!N120/SUM('All Stock'!N13:N16)</f>
        <v>8.8412013925570233E-3</v>
      </c>
      <c r="Q30" s="691">
        <f ca="1">'IDEES okt 2017 template'!O120/SUM('All Stock'!O13:O16)</f>
        <v>7.7844708769315958E-3</v>
      </c>
      <c r="R30" s="691">
        <f ca="1">'IDEES okt 2017 template'!P120/SUM('All Stock'!P13:P16)</f>
        <v>7.319545332684722E-3</v>
      </c>
      <c r="S30" s="691">
        <f ca="1">'IDEES okt 2017 template'!Q120/SUM('All Stock'!Q13:Q16)</f>
        <v>5.0048959212731633E-3</v>
      </c>
      <c r="T30" s="691">
        <f ca="1">'IDEES okt 2017 template'!R120/SUM('All Stock'!R13:R16)</f>
        <v>4.309997552324119E-3</v>
      </c>
      <c r="U30" s="691">
        <f ca="1">'IDEES okt 2017 template'!S120/SUM('All Stock'!S13:S16)</f>
        <v>1.0146154299014562E-2</v>
      </c>
      <c r="V30" s="691">
        <f ca="1">'IDEES okt 2017 template'!T120/SUM('All Stock'!T13:T16)</f>
        <v>8.1971185383964591E-3</v>
      </c>
      <c r="W30" s="691">
        <f ca="1">'IDEES okt 2017 template'!U120/SUM('All Stock'!U13:U16)</f>
        <v>5.3025473449502319E-3</v>
      </c>
      <c r="X30" s="691">
        <f ca="1">'IDEES okt 2017 template'!V120/SUM('All Stock'!V13:V16)</f>
        <v>4.9599102434243463E-3</v>
      </c>
      <c r="Y30" s="691">
        <f ca="1">'IDEES okt 2017 template'!W120/SUM('All Stock'!W13:W16)</f>
        <v>6.2757459908284368E-3</v>
      </c>
      <c r="Z30" s="691">
        <f ca="1">'IDEES okt 2017 template'!X120/SUM('All Stock'!X13:X16)</f>
        <v>6.7432151235902963E-3</v>
      </c>
      <c r="AA30" s="691">
        <f ca="1">'IDEES okt 2017 template'!Y120/SUM('All Stock'!Y13:Y16)</f>
        <v>4.033620668003648E-3</v>
      </c>
      <c r="AB30" s="691">
        <f ca="1">'IDEES okt 2017 template'!Z120/SUM('All Stock'!Z13:Z16)</f>
        <v>7.8479377041590116E-3</v>
      </c>
      <c r="AC30" s="691">
        <f ca="1">'IDEES okt 2017 template'!AA120/SUM('All Stock'!AA13:AA16)</f>
        <v>1.0927019597293188E-2</v>
      </c>
      <c r="AD30" s="691">
        <f ca="1">'IDEES okt 2017 template'!AB120/SUM('All Stock'!AB13:AB16)</f>
        <v>6.4447502581636224E-3</v>
      </c>
      <c r="AE30" s="691">
        <f ca="1">'IDEES okt 2017 template'!AC120/SUM('All Stock'!AC13:AC16)</f>
        <v>1.1779981541271699E-2</v>
      </c>
      <c r="AF30" s="691">
        <f ca="1">'IDEES okt 2017 template'!AD120/SUM('All Stock'!AD13:AD16)</f>
        <v>4.8247108794208836E-3</v>
      </c>
      <c r="AG30" s="691">
        <f ca="1">'IDEES okt 2017 template'!AE120/SUM('All Stock'!AE13:AE16)</f>
        <v>6.590270133442884E-3</v>
      </c>
      <c r="AH30" s="691">
        <f ca="1">'IDEES okt 2017 template'!AF120/SUM('All Stock'!AF13:AF16)</f>
        <v>8.4158672513922755E-3</v>
      </c>
      <c r="AI30" s="691">
        <f ca="1">'IDEES okt 2017 template'!AG120/SUM('All Stock'!AG13:AG16)</f>
        <v>7.0020071939924256E-3</v>
      </c>
      <c r="AJ30" s="691">
        <f ca="1">'IDEES okt 2017 template'!AH120/SUM('All Stock'!AH13:AH16)</f>
        <v>8.348365860837377E-3</v>
      </c>
      <c r="AK30" s="691">
        <f ca="1">'IDEES okt 2017 template'!AI120/SUM('All Stock'!AI13:AI16)</f>
        <v>7.4945463476196079E-3</v>
      </c>
      <c r="AL30" s="691">
        <f ca="1">'IDEES okt 2017 template'!AJ120/SUM('All Stock'!AJ13:AJ16)</f>
        <v>4.3005146614141293E-3</v>
      </c>
      <c r="AM30" s="691">
        <f ca="1">'IDEES okt 2017 template'!AK120/SUM('All Stock'!AK13:AK16)</f>
        <v>5.3299559733963036E-3</v>
      </c>
      <c r="AN30" s="691">
        <f ca="1">'IDEES okt 2017 template'!AL120/SUM('All Stock'!AL13:AL16)</f>
        <v>4.7856246222775338E-3</v>
      </c>
      <c r="AO30" s="691">
        <f ca="1">'IDEES okt 2017 template'!AM120/SUM('All Stock'!AM13:AM16)</f>
        <v>5.2914654390847837E-3</v>
      </c>
      <c r="AP30" s="691">
        <f ca="1">'IDEES okt 2017 template'!AN120/SUM('All Stock'!AN13:AN16)</f>
        <v>3.2722689336796692E-3</v>
      </c>
    </row>
    <row r="31" spans="1:49">
      <c r="F31" s="691">
        <v>7.9526111530907762E-3</v>
      </c>
      <c r="G31" s="691">
        <v>8.4703424851439117E-3</v>
      </c>
      <c r="H31" s="691">
        <v>5.9445869460148749E-3</v>
      </c>
      <c r="I31" s="691">
        <v>6.6148507292970388E-3</v>
      </c>
      <c r="J31" s="691">
        <v>8.1013860974676975E-3</v>
      </c>
      <c r="K31" s="691">
        <v>5.2277602966643525E-3</v>
      </c>
      <c r="L31" s="691">
        <v>6.631320588309242E-3</v>
      </c>
      <c r="M31" s="691">
        <v>7.6562969357205418E-3</v>
      </c>
      <c r="N31" s="691">
        <v>5.5899389214572916E-3</v>
      </c>
      <c r="O31" s="691">
        <v>7.8311943562243466E-3</v>
      </c>
      <c r="P31" s="691">
        <v>8.8412013925570233E-3</v>
      </c>
      <c r="Q31" s="691">
        <v>7.4749821372978933E-3</v>
      </c>
      <c r="R31" s="691">
        <v>7.0478689182372403E-3</v>
      </c>
      <c r="S31" s="691">
        <v>5.9659779471769757E-3</v>
      </c>
      <c r="T31" s="691">
        <v>4.6135386667244885E-3</v>
      </c>
      <c r="U31" s="691">
        <v>1.0079996391303594E-2</v>
      </c>
      <c r="V31" s="691">
        <v>7.6031077080653368E-3</v>
      </c>
      <c r="W31" s="691">
        <v>5.2201097309097569E-3</v>
      </c>
      <c r="X31" s="691">
        <v>4.9387550734662959E-3</v>
      </c>
      <c r="Y31" s="691">
        <v>6.2757459908284359E-3</v>
      </c>
      <c r="Z31" s="691">
        <v>6.5585346389810508E-3</v>
      </c>
      <c r="AA31" s="691">
        <v>7.0690547957253328E-3</v>
      </c>
      <c r="AB31" s="691">
        <v>8.0540236355780281E-3</v>
      </c>
      <c r="AC31" s="691">
        <v>7.4082380397791133E-3</v>
      </c>
      <c r="AD31" s="691">
        <v>6.4769349320321964E-3</v>
      </c>
      <c r="AE31" s="691">
        <v>1.1068301424200285E-2</v>
      </c>
      <c r="AF31" s="691">
        <v>4.8493931603018131E-3</v>
      </c>
      <c r="AG31" s="691">
        <v>6.5902701334428831E-3</v>
      </c>
      <c r="AH31" s="691">
        <v>8.5533004154805144E-3</v>
      </c>
      <c r="AI31" s="691">
        <v>7.0498148603464553E-3</v>
      </c>
      <c r="AJ31" s="691">
        <v>8.229731888859157E-3</v>
      </c>
      <c r="AK31" s="691">
        <v>6.4241627631032158E-3</v>
      </c>
      <c r="AL31" s="691">
        <v>3.6906722481585474E-3</v>
      </c>
      <c r="AM31" s="691">
        <v>4.755139453136787E-3</v>
      </c>
      <c r="AN31" s="691">
        <v>4.0932362463646475E-3</v>
      </c>
      <c r="AO31" s="691">
        <v>4.8334219477806301E-3</v>
      </c>
      <c r="AP31" s="691">
        <v>3.1922668548548601E-3</v>
      </c>
    </row>
    <row r="32" spans="1:49">
      <c r="C32" t="s">
        <v>908</v>
      </c>
    </row>
    <row r="33" spans="3:42" ht="15" thickBot="1">
      <c r="F33" s="540" t="str">
        <f>'All Stock'!D$2</f>
        <v>AT</v>
      </c>
      <c r="G33" s="540" t="str">
        <f>'All Stock'!E$2</f>
        <v>BE</v>
      </c>
      <c r="H33" s="540" t="str">
        <f>'All Stock'!F$2</f>
        <v>BG</v>
      </c>
      <c r="I33" s="540" t="str">
        <f>'All Stock'!G$2</f>
        <v>CH</v>
      </c>
      <c r="J33" s="540" t="str">
        <f>'All Stock'!H$2</f>
        <v>CY</v>
      </c>
      <c r="K33" s="540" t="str">
        <f>'All Stock'!I$2</f>
        <v>CZ</v>
      </c>
      <c r="L33" s="540" t="str">
        <f>'All Stock'!J$2</f>
        <v>DE</v>
      </c>
      <c r="M33" s="540" t="str">
        <f>'All Stock'!K$2</f>
        <v>DK</v>
      </c>
      <c r="N33" s="540" t="str">
        <f>'All Stock'!L$2</f>
        <v>EE</v>
      </c>
      <c r="O33" s="540" t="str">
        <f>'All Stock'!M$2</f>
        <v>ES</v>
      </c>
      <c r="P33" s="540" t="str">
        <f>'All Stock'!N$2</f>
        <v>FI</v>
      </c>
      <c r="Q33" s="540" t="str">
        <f>'All Stock'!O$2</f>
        <v>FR</v>
      </c>
      <c r="R33" s="540" t="str">
        <f>'All Stock'!P$2</f>
        <v>EL</v>
      </c>
      <c r="S33" s="540" t="str">
        <f>'All Stock'!Q$2</f>
        <v>HR</v>
      </c>
      <c r="T33" s="540" t="str">
        <f>'All Stock'!R$2</f>
        <v>HU</v>
      </c>
      <c r="U33" s="540" t="str">
        <f>'All Stock'!S$2</f>
        <v>IE</v>
      </c>
      <c r="V33" s="540" t="str">
        <f>'All Stock'!T$2</f>
        <v>IS</v>
      </c>
      <c r="W33" s="540" t="str">
        <f>'All Stock'!U$2</f>
        <v>IT</v>
      </c>
      <c r="X33" s="540" t="str">
        <f>'All Stock'!V$2</f>
        <v>LT</v>
      </c>
      <c r="Y33" s="540" t="str">
        <f>'All Stock'!W$2</f>
        <v>LU</v>
      </c>
      <c r="Z33" s="540" t="str">
        <f>'All Stock'!X$2</f>
        <v>LV</v>
      </c>
      <c r="AA33" s="540" t="str">
        <f>'All Stock'!Y$2</f>
        <v>MT</v>
      </c>
      <c r="AB33" s="540" t="str">
        <f>'All Stock'!Z$2</f>
        <v>NL</v>
      </c>
      <c r="AC33" s="540" t="str">
        <f>'All Stock'!AA$2</f>
        <v>NO</v>
      </c>
      <c r="AD33" s="540" t="str">
        <f>'All Stock'!AB$2</f>
        <v>PL</v>
      </c>
      <c r="AE33" s="540" t="str">
        <f>'All Stock'!AC$2</f>
        <v>PT</v>
      </c>
      <c r="AF33" s="540" t="str">
        <f>'All Stock'!AD$2</f>
        <v>RO</v>
      </c>
      <c r="AG33" s="540" t="str">
        <f>'All Stock'!AE$2</f>
        <v>SE</v>
      </c>
      <c r="AH33" s="540" t="str">
        <f>'All Stock'!AF$2</f>
        <v>SI</v>
      </c>
      <c r="AI33" s="540" t="str">
        <f>'All Stock'!AG$2</f>
        <v>SK</v>
      </c>
      <c r="AJ33" s="540" t="str">
        <f>'All Stock'!AH$2</f>
        <v>UK</v>
      </c>
      <c r="AK33" s="540" t="str">
        <f>'All Stock'!AI$2</f>
        <v>AL</v>
      </c>
      <c r="AL33" s="540" t="str">
        <f>'All Stock'!AJ$2</f>
        <v>BA</v>
      </c>
      <c r="AM33" s="540" t="str">
        <f>'All Stock'!AK$2</f>
        <v>ME</v>
      </c>
      <c r="AN33" s="540" t="str">
        <f>'All Stock'!AL$2</f>
        <v>MK</v>
      </c>
      <c r="AO33" s="540" t="str">
        <f>'All Stock'!AM$2</f>
        <v>RS</v>
      </c>
      <c r="AP33" s="540" t="str">
        <f>'All Stock'!AN$2</f>
        <v>KS</v>
      </c>
    </row>
    <row r="34" spans="3:42">
      <c r="C34" t="s">
        <v>510</v>
      </c>
      <c r="F34" s="794">
        <f ca="1">IF(SUM(F4,F12,F20)=0,F$31,'IDEES okt 2017 template'!D123/((F4+F12+F20)))</f>
        <v>8.4551144589803152E-3</v>
      </c>
      <c r="G34" s="794">
        <f ca="1">IF(SUM(G4,G12,G20)=0,G$31,'IDEES okt 2017 template'!E123/((G4+G12+G20)))</f>
        <v>8.2738526510886725E-3</v>
      </c>
      <c r="H34" s="794">
        <f ca="1">IF(SUM(H4,H12,H20)=0,H$31,'IDEES okt 2017 template'!F123/((H4+H12+H20)))</f>
        <v>5.8811569447430514E-3</v>
      </c>
      <c r="I34" s="794">
        <f ca="1">IF(SUM(I4,I12,I20)=0,I$31,'IDEES okt 2017 template'!G123/((I4+I12+I20)))</f>
        <v>6.4678484315687877E-3</v>
      </c>
      <c r="J34" s="794">
        <f ca="1">IF(SUM(J4,J12,J20)=0,J$31,'IDEES okt 2017 template'!H123/((J4+J12+J20)))</f>
        <v>8.1385418219568559E-3</v>
      </c>
      <c r="K34" s="794">
        <f ca="1">IF(SUM(K4,K12,K20)=0,K$31,'IDEES okt 2017 template'!I123/((K4+K12+K20)))</f>
        <v>5.0792260889432807E-3</v>
      </c>
      <c r="L34" s="794">
        <f ca="1">IF(SUM(L4,L12,L20)=0,L$31,'IDEES okt 2017 template'!J123/((L4+L12+L20)))</f>
        <v>6.7270093753871388E-3</v>
      </c>
      <c r="M34" s="794">
        <f ca="1">IF(SUM(M4,M12,M20)=0,M$31,'IDEES okt 2017 template'!K123/((M4+M12+M20)))</f>
        <v>7.724661208493076E-3</v>
      </c>
      <c r="N34" s="794">
        <f ca="1">IF(SUM(N4,N12,N20)=0,N$31,'IDEES okt 2017 template'!L123/((N4+N12+N20)))</f>
        <v>5.5899389214572916E-3</v>
      </c>
      <c r="O34" s="794">
        <f ca="1">IF(SUM(O4,O12,O20)=0,O$31,'IDEES okt 2017 template'!M123/((O4+O12+O20)))</f>
        <v>7.7848348321906038E-3</v>
      </c>
      <c r="P34" s="794">
        <f ca="1">IF(SUM(P4,P12,P20)=0,P$31,'IDEES okt 2017 template'!N123/((P4+P12+P20)))</f>
        <v>8.8412013925570233E-3</v>
      </c>
      <c r="Q34" s="794">
        <f ca="1">IF(SUM(Q4,Q12,Q20)=0,Q$31,'IDEES okt 2017 template'!O123/((Q4+Q12+Q20)))</f>
        <v>7.7844708769315941E-3</v>
      </c>
      <c r="R34" s="794">
        <f ca="1">IF(SUM(R4,R12,R20)=0,R$31,'IDEES okt 2017 template'!P123/((R4+R12+R20)))</f>
        <v>7.319545332684722E-3</v>
      </c>
      <c r="S34" s="794">
        <f ca="1">IF(SUM(S4,S12,S20)=0,S$31,'IDEES okt 2017 template'!Q123/((S4+S12+S20)))</f>
        <v>5.0048959212731633E-3</v>
      </c>
      <c r="T34" s="794">
        <f ca="1">IF(SUM(T4,T12,T20)=0,T$31,'IDEES okt 2017 template'!R123/((T4+T12+T20)))</f>
        <v>4.309997552324119E-3</v>
      </c>
      <c r="U34" s="794">
        <f ca="1">IF(SUM(U4,U12,U20)=0,U$31,'IDEES okt 2017 template'!S123/((U4+U12+U20)))</f>
        <v>1.0146154299014562E-2</v>
      </c>
      <c r="V34" s="794">
        <f ca="1">IF(SUM(V4,V12,V20)=0,V$31,'IDEES okt 2017 template'!T123/((V4+V12+V20)))</f>
        <v>8.1971185383964574E-3</v>
      </c>
      <c r="W34" s="794">
        <f ca="1">IF(SUM(W4,W12,W20)=0,W$31,'IDEES okt 2017 template'!U123/((W4+W12+W20)))</f>
        <v>5.3025473449502328E-3</v>
      </c>
      <c r="X34" s="794">
        <f ca="1">IF(SUM(X4,X12,X20)=0,X$31,'IDEES okt 2017 template'!V123/((X4+X12+X20)))</f>
        <v>4.9599102434243472E-3</v>
      </c>
      <c r="Y34" s="794">
        <f ca="1">IF(SUM(Y4,Y12,Y20)=0,Y$31,'IDEES okt 2017 template'!W123/((Y4+Y12+Y20)))</f>
        <v>6.2757459908284359E-3</v>
      </c>
      <c r="Z34" s="794">
        <f ca="1">IF(SUM(Z4,Z12,Z20)=0,Z$31,'IDEES okt 2017 template'!X123/((Z4+Z12+Z20)))</f>
        <v>6.7432151235902963E-3</v>
      </c>
      <c r="AA34" s="794">
        <f ca="1">IF(SUM(AA4,AA12,AA20)=0,AA$31,'IDEES okt 2017 template'!Y123/((AA4+AA12+AA20)))</f>
        <v>4.033620668003648E-3</v>
      </c>
      <c r="AB34" s="794">
        <f ca="1">IF(SUM(AB4,AB12,AB20)=0,AB$31,'IDEES okt 2017 template'!Z123/((AB4+AB12+AB20)))</f>
        <v>7.8479377041590116E-3</v>
      </c>
      <c r="AC34" s="794">
        <f ca="1">IF(SUM(AC4,AC12,AC20)=0,AC$31,'IDEES okt 2017 template'!AA123/((AC4+AC12+AC20)))</f>
        <v>1.0927019597293188E-2</v>
      </c>
      <c r="AD34" s="794">
        <f ca="1">IF(SUM(AD4,AD12,AD20)=0,AD$31,'IDEES okt 2017 template'!AB123/((AD4+AD12+AD20)))</f>
        <v>6.4447502581636232E-3</v>
      </c>
      <c r="AE34" s="794">
        <f ca="1">IF(SUM(AE4,AE12,AE20)=0,AE$31,'IDEES okt 2017 template'!AC123/((AE4+AE12+AE20)))</f>
        <v>1.1779981541271699E-2</v>
      </c>
      <c r="AF34" s="794">
        <f ca="1">IF(SUM(AF4,AF12,AF20)=0,AF$31,'IDEES okt 2017 template'!AD123/((AF4+AF12+AF20)))</f>
        <v>4.8247108794208836E-3</v>
      </c>
      <c r="AG34" s="794">
        <f ca="1">IF(SUM(AG4,AG12,AG20)=0,AG$31,'IDEES okt 2017 template'!AE123/((AG4+AG12+AG20)))</f>
        <v>6.5902701334428831E-3</v>
      </c>
      <c r="AH34" s="794">
        <f ca="1">IF(SUM(AH4,AH12,AH20)=0,AH$31,'IDEES okt 2017 template'!AF123/((AH4+AH12+AH20)))</f>
        <v>8.4158672513922773E-3</v>
      </c>
      <c r="AI34" s="794">
        <f ca="1">IF(SUM(AI4,AI12,AI20)=0,AI$31,'IDEES okt 2017 template'!AG123/((AI4+AI12+AI20)))</f>
        <v>7.0020071939924274E-3</v>
      </c>
      <c r="AJ34" s="794">
        <f ca="1">IF(SUM(AJ4,AJ12,AJ20)=0,AJ$31,'IDEES okt 2017 template'!AH123/((AJ4+AJ12+AJ20)))</f>
        <v>8.3483658608373753E-3</v>
      </c>
      <c r="AK34" s="794">
        <f ca="1">IF(SUM(AK4,AK12,AK20)=0,AK$31,'IDEES okt 2017 template'!AI123/((AK4+AK12+AK20)))</f>
        <v>7.4945463476196088E-3</v>
      </c>
      <c r="AL34" s="794">
        <f ca="1">IF(SUM(AL4,AL12,AL20)=0,AL$31,'IDEES okt 2017 template'!AJ123/((AL4+AL12+AL20)))</f>
        <v>4.3005146614141284E-3</v>
      </c>
      <c r="AM34" s="794">
        <f ca="1">IF(SUM(AM4,AM12,AM20)=0,AM$31,'IDEES okt 2017 template'!AK123/((AM4+AM12+AM20)))</f>
        <v>5.3299559733963036E-3</v>
      </c>
      <c r="AN34" s="794">
        <f ca="1">IF(SUM(AN4,AN12,AN20)=0,AN$31,'IDEES okt 2017 template'!AL123/((AN4+AN12+AN20)))</f>
        <v>4.7856246222775338E-3</v>
      </c>
      <c r="AO34" s="794">
        <f ca="1">IF(SUM(AO4,AO12,AO20)=0,AO$31,'IDEES okt 2017 template'!AM123/((AO4+AO12+AO20)))</f>
        <v>5.2914654390847837E-3</v>
      </c>
      <c r="AP34" s="794">
        <f ca="1">IF(SUM(AP4,AP12,AP20)=0,AP$31,'IDEES okt 2017 template'!AN123/((AP4+AP12+AP20)))</f>
        <v>3.2722689336796688E-3</v>
      </c>
    </row>
    <row r="35" spans="3:42">
      <c r="C35" t="s">
        <v>527</v>
      </c>
      <c r="F35" s="794">
        <f ca="1">IF(SUM(F5,F13,F21)=0,F$31,'IDEES okt 2017 template'!D124/((F5+F13+F21)))</f>
        <v>8.4551144589803152E-3</v>
      </c>
      <c r="G35" s="794">
        <f ca="1">IF(SUM(G5,G13,G21)=0,G$31,'IDEES okt 2017 template'!E124/((G5+G13+G21)))</f>
        <v>8.2738526510886725E-3</v>
      </c>
      <c r="H35" s="794">
        <f ca="1">IF(SUM(H5,H13,H21)=0,H$31,'IDEES okt 2017 template'!F124/((H5+H13+H21)))</f>
        <v>5.8811569447430514E-3</v>
      </c>
      <c r="I35" s="794">
        <f ca="1">IF(SUM(I5,I13,I21)=0,I$31,'IDEES okt 2017 template'!G124/((I5+I13+I21)))</f>
        <v>6.4678484315687885E-3</v>
      </c>
      <c r="J35" s="794">
        <f ca="1">IF(SUM(J5,J13,J21)=0,J$31,'IDEES okt 2017 template'!H124/((J5+J13+J21)))</f>
        <v>8.1013860974676975E-3</v>
      </c>
      <c r="K35" s="794">
        <f ca="1">IF(SUM(K5,K13,K21)=0,K$31,'IDEES okt 2017 template'!I124/((K5+K13+K21)))</f>
        <v>5.0792260889432799E-3</v>
      </c>
      <c r="L35" s="794">
        <f ca="1">IF(SUM(L5,L13,L21)=0,L$31,'IDEES okt 2017 template'!J124/((L5+L13+L21)))</f>
        <v>6.727009375387138E-3</v>
      </c>
      <c r="M35" s="794">
        <f ca="1">IF(SUM(M5,M13,M21)=0,M$31,'IDEES okt 2017 template'!K124/((M5+M13+M21)))</f>
        <v>7.724661208493076E-3</v>
      </c>
      <c r="N35" s="794">
        <f ca="1">IF(SUM(N5,N13,N21)=0,N$31,'IDEES okt 2017 template'!L124/((N5+N13+N21)))</f>
        <v>5.5899389214572907E-3</v>
      </c>
      <c r="O35" s="794">
        <f ca="1">IF(SUM(O5,O13,O21)=0,O$31,'IDEES okt 2017 template'!M124/((O5+O13+O21)))</f>
        <v>7.7848348321906038E-3</v>
      </c>
      <c r="P35" s="794">
        <f ca="1">IF(SUM(P5,P13,P21)=0,P$31,'IDEES okt 2017 template'!N124/((P5+P13+P21)))</f>
        <v>8.8412013925570233E-3</v>
      </c>
      <c r="Q35" s="794">
        <f ca="1">IF(SUM(Q5,Q13,Q21)=0,Q$31,'IDEES okt 2017 template'!O124/((Q5+Q13+Q21)))</f>
        <v>7.7844708769315958E-3</v>
      </c>
      <c r="R35" s="794">
        <f ca="1">IF(SUM(R5,R13,R21)=0,R$31,'IDEES okt 2017 template'!P124/((R5+R13+R21)))</f>
        <v>7.3195453326847203E-3</v>
      </c>
      <c r="S35" s="794">
        <f ca="1">IF(SUM(S5,S13,S21)=0,S$31,'IDEES okt 2017 template'!Q124/((S5+S13+S21)))</f>
        <v>5.0048959212731633E-3</v>
      </c>
      <c r="T35" s="794">
        <f ca="1">IF(SUM(T5,T13,T21)=0,T$31,'IDEES okt 2017 template'!R124/((T5+T13+T21)))</f>
        <v>4.3099975523241182E-3</v>
      </c>
      <c r="U35" s="794">
        <f ca="1">IF(SUM(U5,U13,U21)=0,U$31,'IDEES okt 2017 template'!S124/((U5+U13+U21)))</f>
        <v>1.0146154299014562E-2</v>
      </c>
      <c r="V35" s="794">
        <f ca="1">IF(SUM(V5,V13,V21)=0,V$31,'IDEES okt 2017 template'!T124/((V5+V13+V21)))</f>
        <v>7.6031077080653368E-3</v>
      </c>
      <c r="W35" s="794">
        <f ca="1">IF(SUM(W5,W13,W21)=0,W$31,'IDEES okt 2017 template'!U124/((W5+W13+W21)))</f>
        <v>5.3025473449502319E-3</v>
      </c>
      <c r="X35" s="794">
        <f ca="1">IF(SUM(X5,X13,X21)=0,X$31,'IDEES okt 2017 template'!V124/((X5+X13+X21)))</f>
        <v>4.9599102434243463E-3</v>
      </c>
      <c r="Y35" s="794">
        <f ca="1">IF(SUM(Y5,Y13,Y21)=0,Y$31,'IDEES okt 2017 template'!W124/((Y5+Y13+Y21)))</f>
        <v>6.2757459908284359E-3</v>
      </c>
      <c r="Z35" s="794">
        <f ca="1">IF(SUM(Z5,Z13,Z21)=0,Z$31,'IDEES okt 2017 template'!X124/((Z5+Z13+Z21)))</f>
        <v>6.7432151235902972E-3</v>
      </c>
      <c r="AA35" s="794">
        <f ca="1">IF(SUM(AA5,AA13,AA21)=0,AA$31,'IDEES okt 2017 template'!Y124/((AA5+AA13+AA21)))</f>
        <v>7.0690547957253328E-3</v>
      </c>
      <c r="AB35" s="794">
        <f ca="1">IF(SUM(AB5,AB13,AB21)=0,AB$31,'IDEES okt 2017 template'!Z124/((AB5+AB13+AB21)))</f>
        <v>7.8479377041590116E-3</v>
      </c>
      <c r="AC35" s="794">
        <f ca="1">IF(SUM(AC5,AC13,AC21)=0,AC$31,'IDEES okt 2017 template'!AA124/((AC5+AC13+AC21)))</f>
        <v>1.0927019597293188E-2</v>
      </c>
      <c r="AD35" s="794">
        <f ca="1">IF(SUM(AD5,AD13,AD21)=0,AD$31,'IDEES okt 2017 template'!AB124/((AD5+AD13+AD21)))</f>
        <v>6.4447502581636224E-3</v>
      </c>
      <c r="AE35" s="794">
        <f ca="1">IF(SUM(AE5,AE13,AE21)=0,AE$31,'IDEES okt 2017 template'!AC124/((AE5+AE13+AE21)))</f>
        <v>1.1779981541271699E-2</v>
      </c>
      <c r="AF35" s="794">
        <f ca="1">IF(SUM(AF5,AF13,AF21)=0,AF$31,'IDEES okt 2017 template'!AD124/((AF5+AF13+AF21)))</f>
        <v>4.8247108794208819E-3</v>
      </c>
      <c r="AG35" s="794">
        <f ca="1">IF(SUM(AG5,AG13,AG21)=0,AG$31,'IDEES okt 2017 template'!AE124/((AG5+AG13+AG21)))</f>
        <v>6.5902701334428831E-3</v>
      </c>
      <c r="AH35" s="794">
        <f ca="1">IF(SUM(AH5,AH13,AH21)=0,AH$31,'IDEES okt 2017 template'!AF124/((AH5+AH13+AH21)))</f>
        <v>8.4158672513922755E-3</v>
      </c>
      <c r="AI35" s="794">
        <f ca="1">IF(SUM(AI5,AI13,AI21)=0,AI$31,'IDEES okt 2017 template'!AG124/((AI5+AI13+AI21)))</f>
        <v>7.0020071939924248E-3</v>
      </c>
      <c r="AJ35" s="794">
        <f ca="1">IF(SUM(AJ5,AJ13,AJ21)=0,AJ$31,'IDEES okt 2017 template'!AH124/((AJ5+AJ13+AJ21)))</f>
        <v>8.3483658608373753E-3</v>
      </c>
      <c r="AK35" s="794">
        <f ca="1">IF(SUM(AK5,AK13,AK21)=0,AK$31,'IDEES okt 2017 template'!AI124/((AK5+AK13+AK21)))</f>
        <v>6.4241627631032158E-3</v>
      </c>
      <c r="AL35" s="794">
        <f ca="1">IF(SUM(AL5,AL13,AL21)=0,AL$31,'IDEES okt 2017 template'!AJ124/((AL5+AL13+AL21)))</f>
        <v>4.3005146614141293E-3</v>
      </c>
      <c r="AM35" s="794">
        <f ca="1">IF(SUM(AM5,AM13,AM21)=0,AM$31,'IDEES okt 2017 template'!AK124/((AM5+AM13+AM21)))</f>
        <v>4.755139453136787E-3</v>
      </c>
      <c r="AN35" s="794">
        <f ca="1">IF(SUM(AN5,AN13,AN21)=0,AN$31,'IDEES okt 2017 template'!AL124/((AN5+AN13+AN21)))</f>
        <v>4.0932362463646475E-3</v>
      </c>
      <c r="AO35" s="794">
        <f ca="1">IF(SUM(AO5,AO13,AO21)=0,AO$31,'IDEES okt 2017 template'!AM124/((AO5+AO13+AO21)))</f>
        <v>5.2914654390847846E-3</v>
      </c>
      <c r="AP35" s="794">
        <f ca="1">IF(SUM(AP5,AP13,AP21)=0,AP$31,'IDEES okt 2017 template'!AN124/((AP5+AP13+AP21)))</f>
        <v>3.1922668548548601E-3</v>
      </c>
    </row>
    <row r="36" spans="3:42">
      <c r="C36" t="s">
        <v>532</v>
      </c>
      <c r="F36" s="794">
        <f ca="1">IF(SUM(F6,F14,F22)=0,F$31,'IDEES okt 2017 template'!D122/((F6+F14+F22)))</f>
        <v>8.455114458980317E-3</v>
      </c>
      <c r="G36" s="794">
        <f ca="1">IF(SUM(G6,G14,G22)=0,G$31,'IDEES okt 2017 template'!E122/((G6+G14+G22)))</f>
        <v>8.2738526510886708E-3</v>
      </c>
      <c r="H36" s="794">
        <f ca="1">IF(SUM(H6,H14,H22)=0,H$31,'IDEES okt 2017 template'!F122/((H6+H14+H22)))</f>
        <v>5.8811569447430522E-3</v>
      </c>
      <c r="I36" s="794">
        <f ca="1">IF(SUM(I6,I14,I22)=0,I$31,'IDEES okt 2017 template'!G122/((I6+I14+I22)))</f>
        <v>6.4678484315687877E-3</v>
      </c>
      <c r="J36" s="794">
        <f ca="1">IF(SUM(J6,J14,J22)=0,J$31,'IDEES okt 2017 template'!H122/((J6+J14+J22)))</f>
        <v>8.1013860974676975E-3</v>
      </c>
      <c r="K36" s="794">
        <f ca="1">IF(SUM(K6,K14,K22)=0,K$31,'IDEES okt 2017 template'!I122/((K6+K14+K22)))</f>
        <v>5.079226088943279E-3</v>
      </c>
      <c r="L36" s="794">
        <f ca="1">IF(SUM(L6,L14,L22)=0,L$31,'IDEES okt 2017 template'!J122/((L6+L14+L22)))</f>
        <v>6.7270093753871388E-3</v>
      </c>
      <c r="M36" s="794">
        <f ca="1">IF(SUM(M6,M14,M22)=0,M$31,'IDEES okt 2017 template'!K122/((M6+M14+M22)))</f>
        <v>7.724661208493076E-3</v>
      </c>
      <c r="N36" s="794">
        <f ca="1">IF(SUM(N6,N14,N22)=0,N$31,'IDEES okt 2017 template'!L122/((N6+N14+N22)))</f>
        <v>5.5899389214572907E-3</v>
      </c>
      <c r="O36" s="794">
        <f ca="1">IF(SUM(O6,O14,O22)=0,O$31,'IDEES okt 2017 template'!M122/((O6+O14+O22)))</f>
        <v>7.8311943562243466E-3</v>
      </c>
      <c r="P36" s="794">
        <f ca="1">IF(SUM(P6,P14,P22)=0,P$31,'IDEES okt 2017 template'!N122/((P6+P14+P22)))</f>
        <v>8.841201392557025E-3</v>
      </c>
      <c r="Q36" s="794">
        <f ca="1">IF(SUM(Q6,Q14,Q22)=0,Q$31,'IDEES okt 2017 template'!O122/((Q6+Q14+Q22)))</f>
        <v>7.7844708769315958E-3</v>
      </c>
      <c r="R36" s="794">
        <f ca="1">IF(SUM(R6,R14,R22)=0,R$31,'IDEES okt 2017 template'!P122/((R6+R14+R22)))</f>
        <v>7.3195453326847211E-3</v>
      </c>
      <c r="S36" s="794">
        <f ca="1">IF(SUM(S6,S14,S22)=0,S$31,'IDEES okt 2017 template'!Q122/((S6+S14+S22)))</f>
        <v>5.0048959212731633E-3</v>
      </c>
      <c r="T36" s="794">
        <f ca="1">IF(SUM(T6,T14,T22)=0,T$31,'IDEES okt 2017 template'!R122/((T6+T14+T22)))</f>
        <v>4.3099975523241182E-3</v>
      </c>
      <c r="U36" s="794">
        <f ca="1">IF(SUM(U6,U14,U22)=0,U$31,'IDEES okt 2017 template'!S122/((U6+U14+U22)))</f>
        <v>1.0079996391303594E-2</v>
      </c>
      <c r="V36" s="794">
        <f ca="1">IF(SUM(V6,V14,V22)=0,V$31,'IDEES okt 2017 template'!T122/((V6+V14+V22)))</f>
        <v>8.1971185383964591E-3</v>
      </c>
      <c r="W36" s="794">
        <f ca="1">IF(SUM(W6,W14,W22)=0,W$31,'IDEES okt 2017 template'!U122/((W6+W14+W22)))</f>
        <v>5.3025473449502319E-3</v>
      </c>
      <c r="X36" s="794">
        <f ca="1">IF(SUM(X6,X14,X22)=0,X$31,'IDEES okt 2017 template'!V122/((X6+X14+X22)))</f>
        <v>4.9599102434243463E-3</v>
      </c>
      <c r="Y36" s="794">
        <f ca="1">IF(SUM(Y6,Y14,Y22)=0,Y$31,'IDEES okt 2017 template'!W122/((Y6+Y14+Y22)))</f>
        <v>6.2757459908284359E-3</v>
      </c>
      <c r="Z36" s="794">
        <f ca="1">IF(SUM(Z6,Z14,Z22)=0,Z$31,'IDEES okt 2017 template'!X122/((Z6+Z14+Z22)))</f>
        <v>6.7432151235902972E-3</v>
      </c>
      <c r="AA36" s="794">
        <f ca="1">IF(SUM(AA6,AA14,AA22)=0,AA$31,'IDEES okt 2017 template'!Y122/((AA6+AA14+AA22)))</f>
        <v>7.0690547957253328E-3</v>
      </c>
      <c r="AB36" s="794">
        <f ca="1">IF(SUM(AB6,AB14,AB22)=0,AB$31,'IDEES okt 2017 template'!Z122/((AB6+AB14+AB22)))</f>
        <v>7.8479377041590116E-3</v>
      </c>
      <c r="AC36" s="794">
        <f ca="1">IF(SUM(AC6,AC14,AC22)=0,AC$31,'IDEES okt 2017 template'!AA122/((AC6+AC14+AC22)))</f>
        <v>1.0927019597293188E-2</v>
      </c>
      <c r="AD36" s="794">
        <f ca="1">IF(SUM(AD6,AD14,AD22)=0,AD$31,'IDEES okt 2017 template'!AB122/((AD6+AD14+AD22)))</f>
        <v>6.4447502581636224E-3</v>
      </c>
      <c r="AE36" s="794">
        <f ca="1">IF(SUM(AE6,AE14,AE22)=0,AE$31,'IDEES okt 2017 template'!AC122/((AE6+AE14+AE22)))</f>
        <v>1.1779981541271699E-2</v>
      </c>
      <c r="AF36" s="794">
        <f ca="1">IF(SUM(AF6,AF14,AF22)=0,AF$31,'IDEES okt 2017 template'!AD122/((AF6+AF14+AF22)))</f>
        <v>4.8247108794208828E-3</v>
      </c>
      <c r="AG36" s="794">
        <f ca="1">IF(SUM(AG6,AG14,AG22)=0,AG$31,'IDEES okt 2017 template'!AE122/((AG6+AG14+AG22)))</f>
        <v>6.5902701334428831E-3</v>
      </c>
      <c r="AH36" s="794">
        <f ca="1">IF(SUM(AH6,AH14,AH22)=0,AH$31,'IDEES okt 2017 template'!AF122/((AH6+AH14+AH22)))</f>
        <v>8.4158672513922755E-3</v>
      </c>
      <c r="AI36" s="794">
        <f ca="1">IF(SUM(AI6,AI14,AI22)=0,AI$31,'IDEES okt 2017 template'!AG122/((AI6+AI14+AI22)))</f>
        <v>7.0020071939924274E-3</v>
      </c>
      <c r="AJ36" s="794">
        <f ca="1">IF(SUM(AJ6,AJ14,AJ22)=0,AJ$31,'IDEES okt 2017 template'!AH122/((AJ6+AJ14+AJ22)))</f>
        <v>8.229731888859157E-3</v>
      </c>
      <c r="AK36" s="794">
        <f ca="1">IF(SUM(AK6,AK14,AK22)=0,AK$31,'IDEES okt 2017 template'!AI122/((AK6+AK14+AK22)))</f>
        <v>6.4241627631032158E-3</v>
      </c>
      <c r="AL36" s="794">
        <f ca="1">IF(SUM(AL6,AL14,AL22)=0,AL$31,'IDEES okt 2017 template'!AJ122/((AL6+AL14+AL22)))</f>
        <v>4.3005146614141293E-3</v>
      </c>
      <c r="AM36" s="794">
        <f ca="1">IF(SUM(AM6,AM14,AM22)=0,AM$31,'IDEES okt 2017 template'!AK122/((AM6+AM14+AM22)))</f>
        <v>4.755139453136787E-3</v>
      </c>
      <c r="AN36" s="794">
        <f ca="1">IF(SUM(AN6,AN14,AN22)=0,AN$31,'IDEES okt 2017 template'!AL122/((AN6+AN14+AN22)))</f>
        <v>4.7856246222775338E-3</v>
      </c>
      <c r="AO36" s="794">
        <f ca="1">IF(SUM(AO6,AO14,AO22)=0,AO$31,'IDEES okt 2017 template'!AM122/((AO6+AO14+AO22)))</f>
        <v>5.2914654390847837E-3</v>
      </c>
      <c r="AP36" s="794">
        <f ca="1">IF(SUM(AP6,AP14,AP22)=0,AP$31,'IDEES okt 2017 template'!AN122/((AP6+AP14+AP22)))</f>
        <v>3.2722689336796688E-3</v>
      </c>
    </row>
    <row r="37" spans="3:42">
      <c r="C37" t="s">
        <v>533</v>
      </c>
      <c r="F37" s="794">
        <f ca="1">IF(SUM(F7,F15,F23)=0,F$31,'IDEES okt 2017 template'!D125/((F7+F15+F23)))</f>
        <v>8.4551144589803152E-3</v>
      </c>
      <c r="G37" s="794">
        <f ca="1">IF(SUM(G7,G15,G23)=0,G$31,'IDEES okt 2017 template'!E125/((G7+G15+G23)))</f>
        <v>8.2738526510886725E-3</v>
      </c>
      <c r="H37" s="794">
        <f ca="1">IF(SUM(H7,H15,H23)=0,H$31,'IDEES okt 2017 template'!F125/((H7+H15+H23)))</f>
        <v>5.9445869460148749E-3</v>
      </c>
      <c r="I37" s="794">
        <f ca="1">IF(SUM(I7,I15,I23)=0,I$31,'IDEES okt 2017 template'!G125/((I7+I15+I23)))</f>
        <v>6.4678484315687877E-3</v>
      </c>
      <c r="J37" s="794">
        <f ca="1">IF(SUM(J7,J15,J23)=0,J$31,'IDEES okt 2017 template'!H125/((J7+J15+J23)))</f>
        <v>8.1385418219568559E-3</v>
      </c>
      <c r="K37" s="794">
        <f ca="1">IF(SUM(K7,K15,K23)=0,K$31,'IDEES okt 2017 template'!I125/((K7+K15+K23)))</f>
        <v>5.2277602966643525E-3</v>
      </c>
      <c r="L37" s="794">
        <f ca="1">IF(SUM(L7,L15,L23)=0,L$31,'IDEES okt 2017 template'!J125/((L7+L15+L23)))</f>
        <v>6.7270093753871397E-3</v>
      </c>
      <c r="M37" s="794">
        <f ca="1">IF(SUM(M7,M15,M23)=0,M$31,'IDEES okt 2017 template'!K125/((M7+M15+M23)))</f>
        <v>7.7246612084930751E-3</v>
      </c>
      <c r="N37" s="794">
        <f ca="1">IF(SUM(N7,N15,N23)=0,N$31,'IDEES okt 2017 template'!L125/((N7+N15+N23)))</f>
        <v>5.5899389214572907E-3</v>
      </c>
      <c r="O37" s="794">
        <f ca="1">IF(SUM(O7,O15,O23)=0,O$31,'IDEES okt 2017 template'!M125/((O7+O15+O23)))</f>
        <v>7.7848348321906029E-3</v>
      </c>
      <c r="P37" s="794">
        <f ca="1">IF(SUM(P7,P15,P23)=0,P$31,'IDEES okt 2017 template'!N125/((P7+P15+P23)))</f>
        <v>8.841201392557025E-3</v>
      </c>
      <c r="Q37" s="794">
        <f ca="1">IF(SUM(Q7,Q15,Q23)=0,Q$31,'IDEES okt 2017 template'!O125/((Q7+Q15+Q23)))</f>
        <v>7.7844708769315941E-3</v>
      </c>
      <c r="R37" s="794">
        <f ca="1">IF(SUM(R7,R15,R23)=0,R$31,'IDEES okt 2017 template'!P125/((R7+R15+R23)))</f>
        <v>7.319545332684722E-3</v>
      </c>
      <c r="S37" s="794">
        <f ca="1">IF(SUM(S7,S15,S23)=0,S$31,'IDEES okt 2017 template'!Q125/((S7+S15+S23)))</f>
        <v>5.0048959212731633E-3</v>
      </c>
      <c r="T37" s="794">
        <f ca="1">IF(SUM(T7,T15,T23)=0,T$31,'IDEES okt 2017 template'!R125/((T7+T15+T23)))</f>
        <v>4.6135386667244885E-3</v>
      </c>
      <c r="U37" s="794">
        <f ca="1">IF(SUM(U7,U15,U23)=0,U$31,'IDEES okt 2017 template'!S125/((U7+U15+U23)))</f>
        <v>1.0146154299014562E-2</v>
      </c>
      <c r="V37" s="794">
        <f ca="1">IF(SUM(V7,V15,V23)=0,V$31,'IDEES okt 2017 template'!T125/((V7+V15+V23)))</f>
        <v>8.1971185383964574E-3</v>
      </c>
      <c r="W37" s="794">
        <f ca="1">IF(SUM(W7,W15,W23)=0,W$31,'IDEES okt 2017 template'!U125/((W7+W15+W23)))</f>
        <v>5.302547344950231E-3</v>
      </c>
      <c r="X37" s="794">
        <f ca="1">IF(SUM(X7,X15,X23)=0,X$31,'IDEES okt 2017 template'!V125/((X7+X15+X23)))</f>
        <v>4.9599102434243455E-3</v>
      </c>
      <c r="Y37" s="794">
        <f ca="1">IF(SUM(Y7,Y15,Y23)=0,Y$31,'IDEES okt 2017 template'!W125/((Y7+Y15+Y23)))</f>
        <v>6.2757459908284368E-3</v>
      </c>
      <c r="Z37" s="794">
        <f ca="1">IF(SUM(Z7,Z15,Z23)=0,Z$31,'IDEES okt 2017 template'!X125/((Z7+Z15+Z23)))</f>
        <v>6.7432151235902963E-3</v>
      </c>
      <c r="AA37" s="794">
        <f ca="1">IF(SUM(AA7,AA15,AA23)=0,AA$31,'IDEES okt 2017 template'!Y125/((AA7+AA15+AA23)))</f>
        <v>7.0690547957253328E-3</v>
      </c>
      <c r="AB37" s="794">
        <f ca="1">IF(SUM(AB7,AB15,AB23)=0,AB$31,'IDEES okt 2017 template'!Z125/((AB7+AB15+AB23)))</f>
        <v>7.8479377041590116E-3</v>
      </c>
      <c r="AC37" s="794">
        <f ca="1">IF(SUM(AC7,AC15,AC23)=0,AC$31,'IDEES okt 2017 template'!AA125/((AC7+AC15+AC23)))</f>
        <v>1.0927019597293187E-2</v>
      </c>
      <c r="AD37" s="794">
        <f ca="1">IF(SUM(AD7,AD15,AD23)=0,AD$31,'IDEES okt 2017 template'!AB125/((AD7+AD15+AD23)))</f>
        <v>6.4447502581636224E-3</v>
      </c>
      <c r="AE37" s="794">
        <f ca="1">IF(SUM(AE7,AE15,AE23)=0,AE$31,'IDEES okt 2017 template'!AC125/((AE7+AE15+AE23)))</f>
        <v>1.1779981541271701E-2</v>
      </c>
      <c r="AF37" s="794">
        <f ca="1">IF(SUM(AF7,AF15,AF23)=0,AF$31,'IDEES okt 2017 template'!AD125/((AF7+AF15+AF23)))</f>
        <v>4.8247108794208828E-3</v>
      </c>
      <c r="AG37" s="794">
        <f ca="1">IF(SUM(AG7,AG15,AG23)=0,AG$31,'IDEES okt 2017 template'!AE125/((AG7+AG15+AG23)))</f>
        <v>6.5902701334428822E-3</v>
      </c>
      <c r="AH37" s="794">
        <f ca="1">IF(SUM(AH7,AH15,AH23)=0,AH$31,'IDEES okt 2017 template'!AF125/((AH7+AH15+AH23)))</f>
        <v>8.4158672513922738E-3</v>
      </c>
      <c r="AI37" s="794">
        <f ca="1">IF(SUM(AI7,AI15,AI23)=0,AI$31,'IDEES okt 2017 template'!AG125/((AI7+AI15+AI23)))</f>
        <v>7.0498148603464553E-3</v>
      </c>
      <c r="AJ37" s="794">
        <f ca="1">IF(SUM(AJ7,AJ15,AJ23)=0,AJ$31,'IDEES okt 2017 template'!AH125/((AJ7+AJ15+AJ23)))</f>
        <v>8.348365860837377E-3</v>
      </c>
      <c r="AK37" s="794">
        <f ca="1">IF(SUM(AK7,AK15,AK23)=0,AK$31,'IDEES okt 2017 template'!AI125/((AK7+AK15+AK23)))</f>
        <v>7.4945463476196097E-3</v>
      </c>
      <c r="AL37" s="794">
        <f ca="1">IF(SUM(AL7,AL15,AL23)=0,AL$31,'IDEES okt 2017 template'!AJ125/((AL7+AL15+AL23)))</f>
        <v>3.6906722481585474E-3</v>
      </c>
      <c r="AM37" s="794">
        <f ca="1">IF(SUM(AM7,AM15,AM23)=0,AM$31,'IDEES okt 2017 template'!AK125/((AM7+AM15+AM23)))</f>
        <v>4.755139453136787E-3</v>
      </c>
      <c r="AN37" s="794">
        <f ca="1">IF(SUM(AN7,AN15,AN23)=0,AN$31,'IDEES okt 2017 template'!AL125/((AN7+AN15+AN23)))</f>
        <v>4.7856246222775338E-3</v>
      </c>
      <c r="AO37" s="794">
        <f ca="1">IF(SUM(AO7,AO15,AO23)=0,AO$31,'IDEES okt 2017 template'!AM125/((AO7+AO15+AO23)))</f>
        <v>5.2914654390847837E-3</v>
      </c>
      <c r="AP37" s="794">
        <f ca="1">IF(SUM(AP7,AP15,AP23)=0,AP$31,'IDEES okt 2017 template'!AN125/((AP7+AP15+AP23)))</f>
        <v>3.2722689336796684E-3</v>
      </c>
    </row>
    <row r="38" spans="3:42">
      <c r="C38" t="s">
        <v>526</v>
      </c>
      <c r="F38" s="794">
        <f ca="1">IF(SUM(F8,F16,F24)=0,F$31,'IDEES okt 2017 template'!D121/((F8+F16+F24)))</f>
        <v>8.4551144589803152E-3</v>
      </c>
      <c r="G38" s="794">
        <f ca="1">IF(SUM(G8,G16,G24)=0,G$31,'IDEES okt 2017 template'!E121/((G8+G16+G24)))</f>
        <v>8.2738526510886725E-3</v>
      </c>
      <c r="H38" s="794">
        <f ca="1">IF(SUM(H8,H16,H24)=0,H$31,'IDEES okt 2017 template'!F121/((H8+H16+H24)))</f>
        <v>5.8811569447430531E-3</v>
      </c>
      <c r="I38" s="794">
        <f ca="1">IF(SUM(I8,I16,I24)=0,I$31,'IDEES okt 2017 template'!G121/((I8+I16+I24)))</f>
        <v>6.4678484315687877E-3</v>
      </c>
      <c r="J38" s="794">
        <f ca="1">IF(SUM(J8,J16,J24)=0,J$31,'IDEES okt 2017 template'!H121/((J8+J16+J24)))</f>
        <v>8.1385418219568559E-3</v>
      </c>
      <c r="K38" s="794">
        <f ca="1">IF(SUM(K8,K16,K24)=0,K$31,'IDEES okt 2017 template'!I121/((K8+K16+K24)))</f>
        <v>5.0792260889432799E-3</v>
      </c>
      <c r="L38" s="794">
        <f ca="1">IF(SUM(L8,L16,L24)=0,L$31,'IDEES okt 2017 template'!J121/((L8+L16+L24)))</f>
        <v>6.7270093753871388E-3</v>
      </c>
      <c r="M38" s="794">
        <f ca="1">IF(SUM(M8,M16,M24)=0,M$31,'IDEES okt 2017 template'!K121/((M8+M16+M24)))</f>
        <v>7.7246612084930751E-3</v>
      </c>
      <c r="N38" s="794">
        <f ca="1">IF(SUM(N8,N16,N24)=0,N$31,'IDEES okt 2017 template'!L121/((N8+N16+N24)))</f>
        <v>5.5899389214572907E-3</v>
      </c>
      <c r="O38" s="794">
        <f ca="1">IF(SUM(O8,O16,O24)=0,O$31,'IDEES okt 2017 template'!M121/((O8+O16+O24)))</f>
        <v>7.7848348321906029E-3</v>
      </c>
      <c r="P38" s="794">
        <f ca="1">IF(SUM(P8,P16,P24)=0,P$31,'IDEES okt 2017 template'!N121/((P8+P16+P24)))</f>
        <v>8.8412013925570233E-3</v>
      </c>
      <c r="Q38" s="794">
        <f ca="1">IF(SUM(Q8,Q16,Q24)=0,Q$31,'IDEES okt 2017 template'!O121/((Q8+Q16+Q24)))</f>
        <v>7.784470876931595E-3</v>
      </c>
      <c r="R38" s="794">
        <f ca="1">IF(SUM(R8,R16,R24)=0,R$31,'IDEES okt 2017 template'!P121/((R8+R16+R24)))</f>
        <v>7.3195453326847211E-3</v>
      </c>
      <c r="S38" s="794">
        <f ca="1">IF(SUM(S8,S16,S24)=0,S$31,'IDEES okt 2017 template'!Q121/((S8+S16+S24)))</f>
        <v>5.0048959212731633E-3</v>
      </c>
      <c r="T38" s="794">
        <f ca="1">IF(SUM(T8,T16,T24)=0,T$31,'IDEES okt 2017 template'!R121/((T8+T16+T24)))</f>
        <v>4.309997552324119E-3</v>
      </c>
      <c r="U38" s="794">
        <f ca="1">IF(SUM(U8,U16,U24)=0,U$31,'IDEES okt 2017 template'!S121/((U8+U16+U24)))</f>
        <v>1.0146154299014561E-2</v>
      </c>
      <c r="V38" s="794">
        <f ca="1">IF(SUM(V8,V16,V24)=0,V$31,'IDEES okt 2017 template'!T121/((V8+V16+V24)))</f>
        <v>7.6031077080653368E-3</v>
      </c>
      <c r="W38" s="794">
        <f ca="1">IF(SUM(W8,W16,W24)=0,W$31,'IDEES okt 2017 template'!U121/((W8+W16+W24)))</f>
        <v>5.3025473449502328E-3</v>
      </c>
      <c r="X38" s="794">
        <f ca="1">IF(SUM(X8,X16,X24)=0,X$31,'IDEES okt 2017 template'!V121/((X8+X16+X24)))</f>
        <v>4.9599102434243463E-3</v>
      </c>
      <c r="Y38" s="794">
        <f ca="1">IF(SUM(Y8,Y16,Y24)=0,Y$31,'IDEES okt 2017 template'!W121/((Y8+Y16+Y24)))</f>
        <v>6.2757459908284359E-3</v>
      </c>
      <c r="Z38" s="794">
        <f ca="1">IF(SUM(Z8,Z16,Z24)=0,Z$31,'IDEES okt 2017 template'!X121/((Z8+Z16+Z24)))</f>
        <v>6.7432151235902963E-3</v>
      </c>
      <c r="AA38" s="794">
        <f ca="1">IF(SUM(AA8,AA16,AA24)=0,AA$31,'IDEES okt 2017 template'!Y121/((AA8+AA16+AA24)))</f>
        <v>7.0690547957253328E-3</v>
      </c>
      <c r="AB38" s="794">
        <f ca="1">IF(SUM(AB8,AB16,AB24)=0,AB$31,'IDEES okt 2017 template'!Z121/((AB8+AB16+AB24)))</f>
        <v>7.8479377041590116E-3</v>
      </c>
      <c r="AC38" s="794">
        <f ca="1">IF(SUM(AC8,AC16,AC24)=0,AC$31,'IDEES okt 2017 template'!AA121/((AC8+AC16+AC24)))</f>
        <v>1.0927019597293188E-2</v>
      </c>
      <c r="AD38" s="794">
        <f ca="1">IF(SUM(AD8,AD16,AD24)=0,AD$31,'IDEES okt 2017 template'!AB121/((AD8+AD16+AD24)))</f>
        <v>6.4447502581636215E-3</v>
      </c>
      <c r="AE38" s="794">
        <f ca="1">IF(SUM(AE8,AE16,AE24)=0,AE$31,'IDEES okt 2017 template'!AC121/((AE8+AE16+AE24)))</f>
        <v>1.1779981541271699E-2</v>
      </c>
      <c r="AF38" s="794">
        <f ca="1">IF(SUM(AF8,AF16,AF24)=0,AF$31,'IDEES okt 2017 template'!AD121/((AF8+AF16+AF24)))</f>
        <v>4.8247108794208828E-3</v>
      </c>
      <c r="AG38" s="794">
        <f ca="1">IF(SUM(AG8,AG16,AG24)=0,AG$31,'IDEES okt 2017 template'!AE121/((AG8+AG16+AG24)))</f>
        <v>6.5902701334428822E-3</v>
      </c>
      <c r="AH38" s="794">
        <f ca="1">IF(SUM(AH8,AH16,AH24)=0,AH$31,'IDEES okt 2017 template'!AF121/((AH8+AH16+AH24)))</f>
        <v>8.4158672513922755E-3</v>
      </c>
      <c r="AI38" s="794">
        <f ca="1">IF(SUM(AI8,AI16,AI24)=0,AI$31,'IDEES okt 2017 template'!AG121/((AI8+AI16+AI24)))</f>
        <v>7.0020071939924248E-3</v>
      </c>
      <c r="AJ38" s="794">
        <f ca="1">IF(SUM(AJ8,AJ16,AJ24)=0,AJ$31,'IDEES okt 2017 template'!AH121/((AJ8+AJ16+AJ24)))</f>
        <v>8.229731888859157E-3</v>
      </c>
      <c r="AK38" s="794">
        <f ca="1">IF(SUM(AK8,AK16,AK24)=0,AK$31,'IDEES okt 2017 template'!AI121/((AK8+AK16+AK24)))</f>
        <v>7.4945463476196079E-3</v>
      </c>
      <c r="AL38" s="794">
        <f ca="1">IF(SUM(AL8,AL16,AL24)=0,AL$31,'IDEES okt 2017 template'!AJ121/((AL8+AL16+AL24)))</f>
        <v>4.3005146614141293E-3</v>
      </c>
      <c r="AM38" s="794">
        <f ca="1">IF(SUM(AM8,AM16,AM24)=0,AM$31,'IDEES okt 2017 template'!AK121/((AM8+AM16+AM24)))</f>
        <v>5.3299559733963036E-3</v>
      </c>
      <c r="AN38" s="794">
        <f ca="1">IF(SUM(AN8,AN16,AN24)=0,AN$31,'IDEES okt 2017 template'!AL121/((AN8+AN16+AN24)))</f>
        <v>4.7856246222775338E-3</v>
      </c>
      <c r="AO38" s="794">
        <f ca="1">IF(SUM(AO8,AO16,AO24)=0,AO$31,'IDEES okt 2017 template'!AM121/((AO8+AO16+AO24)))</f>
        <v>5.2914654390847837E-3</v>
      </c>
      <c r="AP38" s="794">
        <f ca="1">IF(SUM(AP8,AP16,AP24)=0,AP$31,'IDEES okt 2017 template'!AN121/((AP8+AP16+AP24)))</f>
        <v>3.2722689336796688E-3</v>
      </c>
    </row>
    <row r="39" spans="3:42">
      <c r="C39" t="s">
        <v>529</v>
      </c>
      <c r="F39" s="794">
        <f ca="1">IF(SUM(F9,F17,F25)=0,F$31,'IDEES okt 2017 template'!D128/((F9+F17+F25)))</f>
        <v>8.455114458980317E-3</v>
      </c>
      <c r="G39" s="794">
        <f ca="1">IF(SUM(G9,G17,G25)=0,G$31,'IDEES okt 2017 template'!E128/((G9+G17+G25)))</f>
        <v>8.4703424851439117E-3</v>
      </c>
      <c r="H39" s="794">
        <f ca="1">IF(SUM(H9,H17,H25)=0,H$31,'IDEES okt 2017 template'!F128/((H9+H17+H25)))</f>
        <v>5.8811569447430522E-3</v>
      </c>
      <c r="I39" s="794">
        <f ca="1">IF(SUM(I9,I17,I25)=0,I$31,'IDEES okt 2017 template'!G128/((I9+I17+I25)))</f>
        <v>6.6148507292970388E-3</v>
      </c>
      <c r="J39" s="794">
        <f ca="1">IF(SUM(J9,J17,J25)=0,J$31,'IDEES okt 2017 template'!H128/((J9+J17+J25)))</f>
        <v>8.1013860974676975E-3</v>
      </c>
      <c r="K39" s="794">
        <f ca="1">IF(SUM(K9,K17,K25)=0,K$31,'IDEES okt 2017 template'!I128/((K9+K17+K25)))</f>
        <v>5.0792260889432799E-3</v>
      </c>
      <c r="L39" s="794">
        <f ca="1">IF(SUM(L9,L17,L25)=0,L$31,'IDEES okt 2017 template'!J128/((L9+L17+L25)))</f>
        <v>6.631320588309242E-3</v>
      </c>
      <c r="M39" s="794">
        <f ca="1">IF(SUM(M9,M17,M25)=0,M$31,'IDEES okt 2017 template'!K128/((M9+M17+M25)))</f>
        <v>7.6562969357205418E-3</v>
      </c>
      <c r="N39" s="794">
        <f ca="1">IF(SUM(N9,N17,N25)=0,N$31,'IDEES okt 2017 template'!L128/((N9+N17+N25)))</f>
        <v>5.5899389214572916E-3</v>
      </c>
      <c r="O39" s="794">
        <f ca="1">IF(SUM(O9,O17,O25)=0,O$31,'IDEES okt 2017 template'!M128/((O9+O17+O25)))</f>
        <v>7.8311943562243466E-3</v>
      </c>
      <c r="P39" s="794">
        <f ca="1">IF(SUM(P9,P17,P25)=0,P$31,'IDEES okt 2017 template'!N128/((P9+P17+P25)))</f>
        <v>8.8412013925570233E-3</v>
      </c>
      <c r="Q39" s="794">
        <f ca="1">IF(SUM(Q9,Q17,Q25)=0,Q$31,'IDEES okt 2017 template'!O128/((Q9+Q17+Q25)))</f>
        <v>7.4749821372978933E-3</v>
      </c>
      <c r="R39" s="794">
        <f ca="1">IF(SUM(R9,R17,R25)=0,R$31,'IDEES okt 2017 template'!P128/((R9+R17+R25)))</f>
        <v>7.0478689182372403E-3</v>
      </c>
      <c r="S39" s="794">
        <f ca="1">IF(SUM(S9,S17,S25)=0,S$31,'IDEES okt 2017 template'!Q128/((S9+S17+S25)))</f>
        <v>5.9659779471769757E-3</v>
      </c>
      <c r="T39" s="794">
        <f ca="1">IF(SUM(T9,T17,T25)=0,T$31,'IDEES okt 2017 template'!R128/((T9+T17+T25)))</f>
        <v>4.309997552324119E-3</v>
      </c>
      <c r="U39" s="794">
        <f ca="1">IF(SUM(U9,U17,U25)=0,U$31,'IDEES okt 2017 template'!S128/((U9+U17+U25)))</f>
        <v>1.0146154299014561E-2</v>
      </c>
      <c r="V39" s="794">
        <f ca="1">IF(SUM(V9,V17,V25)=0,V$31,'IDEES okt 2017 template'!T128/((V9+V17+V25)))</f>
        <v>7.6031077080653368E-3</v>
      </c>
      <c r="W39" s="794">
        <f ca="1">IF(SUM(W9,W17,W25)=0,W$31,'IDEES okt 2017 template'!U128/((W9+W17+W25)))</f>
        <v>5.2201097309097569E-3</v>
      </c>
      <c r="X39" s="794">
        <f ca="1">IF(SUM(X9,X17,X25)=0,X$31,'IDEES okt 2017 template'!V128/((X9+X17+X25)))</f>
        <v>4.9387550734662959E-3</v>
      </c>
      <c r="Y39" s="794">
        <f ca="1">IF(SUM(Y9,Y17,Y25)=0,Y$31,'IDEES okt 2017 template'!W128/((Y9+Y17+Y25)))</f>
        <v>6.2757459908284359E-3</v>
      </c>
      <c r="Z39" s="794">
        <f ca="1">IF(SUM(Z9,Z17,Z25)=0,Z$31,'IDEES okt 2017 template'!X128/((Z9+Z17+Z25)))</f>
        <v>6.5585346389810508E-3</v>
      </c>
      <c r="AA39" s="794">
        <f ca="1">IF(SUM(AA9,AA17,AA25)=0,AA$31,'IDEES okt 2017 template'!Y128/((AA9+AA17+AA25)))</f>
        <v>7.0690547957253328E-3</v>
      </c>
      <c r="AB39" s="794">
        <f ca="1">IF(SUM(AB9,AB17,AB25)=0,AB$31,'IDEES okt 2017 template'!Z128/((AB9+AB17+AB25)))</f>
        <v>8.0540236355780281E-3</v>
      </c>
      <c r="AC39" s="794">
        <f ca="1">IF(SUM(AC9,AC17,AC25)=0,AC$31,'IDEES okt 2017 template'!AA128/((AC9+AC17+AC25)))</f>
        <v>7.4082380397791133E-3</v>
      </c>
      <c r="AD39" s="794">
        <f ca="1">IF(SUM(AD9,AD17,AD25)=0,AD$31,'IDEES okt 2017 template'!AB128/((AD9+AD17+AD25)))</f>
        <v>6.4447502581636224E-3</v>
      </c>
      <c r="AE39" s="794">
        <f ca="1">IF(SUM(AE9,AE17,AE25)=0,AE$31,'IDEES okt 2017 template'!AC128/((AE9+AE17+AE25)))</f>
        <v>1.1068301424200285E-2</v>
      </c>
      <c r="AF39" s="794">
        <f ca="1">IF(SUM(AF9,AF17,AF25)=0,AF$31,'IDEES okt 2017 template'!AD128/((AF9+AF17+AF25)))</f>
        <v>4.8493931603018131E-3</v>
      </c>
      <c r="AG39" s="794">
        <f ca="1">IF(SUM(AG9,AG17,AG25)=0,AG$31,'IDEES okt 2017 template'!AE128/((AG9+AG17+AG25)))</f>
        <v>6.5902701334428831E-3</v>
      </c>
      <c r="AH39" s="794">
        <f ca="1">IF(SUM(AH9,AH17,AH25)=0,AH$31,'IDEES okt 2017 template'!AF128/((AH9+AH17+AH25)))</f>
        <v>8.5533004154805144E-3</v>
      </c>
      <c r="AI39" s="794">
        <f ca="1">IF(SUM(AI9,AI17,AI25)=0,AI$31,'IDEES okt 2017 template'!AG128/((AI9+AI17+AI25)))</f>
        <v>7.0498148603464553E-3</v>
      </c>
      <c r="AJ39" s="794">
        <f ca="1">IF(SUM(AJ9,AJ17,AJ25)=0,AJ$31,'IDEES okt 2017 template'!AH128/((AJ9+AJ17+AJ25)))</f>
        <v>8.348365860837377E-3</v>
      </c>
      <c r="AK39" s="794">
        <f ca="1">IF(SUM(AK9,AK17,AK25)=0,AK$31,'IDEES okt 2017 template'!AI128/((AK9+AK17+AK25)))</f>
        <v>6.4241627631032158E-3</v>
      </c>
      <c r="AL39" s="794">
        <f ca="1">IF(SUM(AL9,AL17,AL25)=0,AL$31,'IDEES okt 2017 template'!AJ128/((AL9+AL17+AL25)))</f>
        <v>3.6906722481585474E-3</v>
      </c>
      <c r="AM39" s="794">
        <f ca="1">IF(SUM(AM9,AM17,AM25)=0,AM$31,'IDEES okt 2017 template'!AK128/((AM9+AM17+AM25)))</f>
        <v>4.755139453136787E-3</v>
      </c>
      <c r="AN39" s="794">
        <f ca="1">IF(SUM(AN9,AN17,AN25)=0,AN$31,'IDEES okt 2017 template'!AL128/((AN9+AN17+AN25)))</f>
        <v>4.0932362463646475E-3</v>
      </c>
      <c r="AO39" s="794">
        <f ca="1">IF(SUM(AO9,AO17,AO25)=0,AO$31,'IDEES okt 2017 template'!AM128/((AO9+AO17+AO25)))</f>
        <v>4.8334219477806301E-3</v>
      </c>
      <c r="AP39" s="794">
        <f ca="1">IF(SUM(AP9,AP17,AP25)=0,AP$31,'IDEES okt 2017 template'!AN128/((AP9+AP17+AP25)))</f>
        <v>3.1922668548548601E-3</v>
      </c>
    </row>
    <row r="40" spans="3:42">
      <c r="C40" t="s">
        <v>528</v>
      </c>
      <c r="F40" s="794">
        <f ca="1">IF(SUM(F10,F18,F26)=0,F$31,'IDEES okt 2017 template'!D126/((F10+F18+F26)))</f>
        <v>8.4551144589803135E-3</v>
      </c>
      <c r="G40" s="794">
        <f ca="1">IF(SUM(G10,G18,G26)=0,G$31,'IDEES okt 2017 template'!E126/((G10+G18+G26)))</f>
        <v>8.2738526510886725E-3</v>
      </c>
      <c r="H40" s="794">
        <f ca="1">IF(SUM(H10,H18,H26)=0,H$31,'IDEES okt 2017 template'!F126/((H10+H18+H26)))</f>
        <v>5.8811569447430522E-3</v>
      </c>
      <c r="I40" s="794">
        <f ca="1">IF(SUM(I10,I18,I26)=0,I$31,'IDEES okt 2017 template'!G126/((I10+I18+I26)))</f>
        <v>6.6148507292970388E-3</v>
      </c>
      <c r="J40" s="794">
        <f ca="1">IF(SUM(J10,J18,J26)=0,J$31,'IDEES okt 2017 template'!H126/((J10+J18+J26)))</f>
        <v>8.1385418219568576E-3</v>
      </c>
      <c r="K40" s="794">
        <f ca="1">IF(SUM(K10,K18,K26)=0,K$31,'IDEES okt 2017 template'!I126/((K10+K18+K26)))</f>
        <v>5.0792260889432799E-3</v>
      </c>
      <c r="L40" s="794">
        <f ca="1">IF(SUM(L10,L18,L26)=0,L$31,'IDEES okt 2017 template'!J126/((L10+L18+L26)))</f>
        <v>6.7270093753871388E-3</v>
      </c>
      <c r="M40" s="794">
        <f ca="1">IF(SUM(M10,M18,M26)=0,M$31,'IDEES okt 2017 template'!K126/((M10+M18+M26)))</f>
        <v>7.7246612084930751E-3</v>
      </c>
      <c r="N40" s="794">
        <f ca="1">IF(SUM(N10,N18,N26)=0,N$31,'IDEES okt 2017 template'!L126/((N10+N18+N26)))</f>
        <v>5.5899389214572898E-3</v>
      </c>
      <c r="O40" s="794">
        <f ca="1">IF(SUM(O10,O18,O26)=0,O$31,'IDEES okt 2017 template'!M126/((O10+O18+O26)))</f>
        <v>7.7848348321906029E-3</v>
      </c>
      <c r="P40" s="794">
        <f ca="1">IF(SUM(P10,P18,P26)=0,P$31,'IDEES okt 2017 template'!N126/((P10+P18+P26)))</f>
        <v>8.8412013925570233E-3</v>
      </c>
      <c r="Q40" s="794">
        <f ca="1">IF(SUM(Q10,Q18,Q26)=0,Q$31,'IDEES okt 2017 template'!O126/((Q10+Q18+Q26)))</f>
        <v>7.7844708769315958E-3</v>
      </c>
      <c r="R40" s="794">
        <f ca="1">IF(SUM(R10,R18,R26)=0,R$31,'IDEES okt 2017 template'!P126/((R10+R18+R26)))</f>
        <v>7.3195453326847229E-3</v>
      </c>
      <c r="S40" s="794">
        <f ca="1">IF(SUM(S10,S18,S26)=0,S$31,'IDEES okt 2017 template'!Q126/((S10+S18+S26)))</f>
        <v>5.0048959212731633E-3</v>
      </c>
      <c r="T40" s="794">
        <f ca="1">IF(SUM(T10,T18,T26)=0,T$31,'IDEES okt 2017 template'!R126/((T10+T18+T26)))</f>
        <v>4.309997552324119E-3</v>
      </c>
      <c r="U40" s="794">
        <f ca="1">IF(SUM(U10,U18,U26)=0,U$31,'IDEES okt 2017 template'!S126/((U10+U18+U26)))</f>
        <v>1.0146154299014561E-2</v>
      </c>
      <c r="V40" s="794">
        <f ca="1">IF(SUM(V10,V18,V26)=0,V$31,'IDEES okt 2017 template'!T126/((V10+V18+V26)))</f>
        <v>8.1971185383964574E-3</v>
      </c>
      <c r="W40" s="794">
        <f ca="1">IF(SUM(W10,W18,W26)=0,W$31,'IDEES okt 2017 template'!U126/((W10+W18+W26)))</f>
        <v>5.302547344950231E-3</v>
      </c>
      <c r="X40" s="794">
        <f ca="1">IF(SUM(X10,X18,X26)=0,X$31,'IDEES okt 2017 template'!V126/((X10+X18+X26)))</f>
        <v>4.9599102434243463E-3</v>
      </c>
      <c r="Y40" s="794">
        <f ca="1">IF(SUM(Y10,Y18,Y26)=0,Y$31,'IDEES okt 2017 template'!W126/((Y10+Y18+Y26)))</f>
        <v>6.2757459908284359E-3</v>
      </c>
      <c r="Z40" s="794">
        <f ca="1">IF(SUM(Z10,Z18,Z26)=0,Z$31,'IDEES okt 2017 template'!X126/((Z10+Z18+Z26)))</f>
        <v>6.7432151235902972E-3</v>
      </c>
      <c r="AA40" s="794">
        <f ca="1">IF(SUM(AA10,AA18,AA26)=0,AA$31,'IDEES okt 2017 template'!Y126/((AA10+AA18+AA26)))</f>
        <v>4.033620668003648E-3</v>
      </c>
      <c r="AB40" s="794">
        <f ca="1">IF(SUM(AB10,AB18,AB26)=0,AB$31,'IDEES okt 2017 template'!Z126/((AB10+AB18+AB26)))</f>
        <v>7.8479377041590116E-3</v>
      </c>
      <c r="AC40" s="794">
        <f ca="1">IF(SUM(AC10,AC18,AC26)=0,AC$31,'IDEES okt 2017 template'!AA126/((AC10+AC18+AC26)))</f>
        <v>1.0927019597293188E-2</v>
      </c>
      <c r="AD40" s="794">
        <f ca="1">IF(SUM(AD10,AD18,AD26)=0,AD$31,'IDEES okt 2017 template'!AB126/((AD10+AD18+AD26)))</f>
        <v>6.4447502581636224E-3</v>
      </c>
      <c r="AE40" s="794">
        <f ca="1">IF(SUM(AE10,AE18,AE26)=0,AE$31,'IDEES okt 2017 template'!AC126/((AE10+AE18+AE26)))</f>
        <v>1.1779981541271699E-2</v>
      </c>
      <c r="AF40" s="794">
        <f ca="1">IF(SUM(AF10,AF18,AF26)=0,AF$31,'IDEES okt 2017 template'!AD126/((AF10+AF18+AF26)))</f>
        <v>4.8247108794208828E-3</v>
      </c>
      <c r="AG40" s="794">
        <f ca="1">IF(SUM(AG10,AG18,AG26)=0,AG$31,'IDEES okt 2017 template'!AE126/((AG10+AG18+AG26)))</f>
        <v>6.5902701334428831E-3</v>
      </c>
      <c r="AH40" s="794">
        <f ca="1">IF(SUM(AH10,AH18,AH26)=0,AH$31,'IDEES okt 2017 template'!AF126/((AH10+AH18+AH26)))</f>
        <v>8.4158672513922755E-3</v>
      </c>
      <c r="AI40" s="794">
        <f ca="1">IF(SUM(AI10,AI18,AI26)=0,AI$31,'IDEES okt 2017 template'!AG126/((AI10+AI18+AI26)))</f>
        <v>7.0020071939924256E-3</v>
      </c>
      <c r="AJ40" s="794">
        <f ca="1">IF(SUM(AJ10,AJ18,AJ26)=0,AJ$31,'IDEES okt 2017 template'!AH126/((AJ10+AJ18+AJ26)))</f>
        <v>8.3483658608373753E-3</v>
      </c>
      <c r="AK40" s="794">
        <f ca="1">IF(SUM(AK10,AK18,AK26)=0,AK$31,'IDEES okt 2017 template'!AI126/((AK10+AK18+AK26)))</f>
        <v>7.4945463476196088E-3</v>
      </c>
      <c r="AL40" s="794">
        <f ca="1">IF(SUM(AL10,AL18,AL26)=0,AL$31,'IDEES okt 2017 template'!AJ126/((AL10+AL18+AL26)))</f>
        <v>3.6906722481585474E-3</v>
      </c>
      <c r="AM40" s="794">
        <f ca="1">IF(SUM(AM10,AM18,AM26)=0,AM$31,'IDEES okt 2017 template'!AK126/((AM10+AM18+AM26)))</f>
        <v>4.755139453136787E-3</v>
      </c>
      <c r="AN40" s="794">
        <f ca="1">IF(SUM(AN10,AN18,AN26)=0,AN$31,'IDEES okt 2017 template'!AL126/((AN10+AN18+AN26)))</f>
        <v>4.7856246222775347E-3</v>
      </c>
      <c r="AO40" s="794">
        <f ca="1">IF(SUM(AO10,AO18,AO26)=0,AO$31,'IDEES okt 2017 template'!AM126/((AO10+AO18+AO26)))</f>
        <v>5.2914654390847846E-3</v>
      </c>
      <c r="AP40" s="794">
        <f ca="1">IF(SUM(AP10,AP18,AP26)=0,AP$31,'IDEES okt 2017 template'!AN126/((AP10+AP18+AP26)))</f>
        <v>3.2722689336796688E-3</v>
      </c>
    </row>
    <row r="41" spans="3:42">
      <c r="C41" t="s">
        <v>536</v>
      </c>
      <c r="F41" s="794">
        <f ca="1">IF(SUM(F11,F19,F27)=0,F$31,'IDEES okt 2017 template'!D127/((F11+F19+F27)))</f>
        <v>8.4551144589803152E-3</v>
      </c>
      <c r="G41" s="794">
        <f ca="1">IF(SUM(G11,G19,G27)=0,G$31,'IDEES okt 2017 template'!E127/((G11+G19+G27)))</f>
        <v>8.2738526510886708E-3</v>
      </c>
      <c r="H41" s="794">
        <f ca="1">IF(SUM(H11,H19,H27)=0,H$31,'IDEES okt 2017 template'!F127/((H11+H19+H27)))</f>
        <v>5.8811569447430514E-3</v>
      </c>
      <c r="I41" s="794">
        <f ca="1">IF(SUM(I11,I19,I27)=0,I$31,'IDEES okt 2017 template'!G127/((I11+I19+I27)))</f>
        <v>6.4678484315687885E-3</v>
      </c>
      <c r="J41" s="794">
        <f ca="1">IF(SUM(J11,J19,J27)=0,J$31,'IDEES okt 2017 template'!H127/((J11+J19+J27)))</f>
        <v>8.1385418219568576E-3</v>
      </c>
      <c r="K41" s="794">
        <f ca="1">IF(SUM(K11,K19,K27)=0,K$31,'IDEES okt 2017 template'!I127/((K11+K19+K27)))</f>
        <v>5.079226088943279E-3</v>
      </c>
      <c r="L41" s="794">
        <f ca="1">IF(SUM(L11,L19,L27)=0,L$31,'IDEES okt 2017 template'!J127/((L11+L19+L27)))</f>
        <v>6.727009375387138E-3</v>
      </c>
      <c r="M41" s="794">
        <f ca="1">IF(SUM(M11,M19,M27)=0,M$31,'IDEES okt 2017 template'!K127/((M11+M19+M27)))</f>
        <v>7.724661208493076E-3</v>
      </c>
      <c r="N41" s="794">
        <f ca="1">IF(SUM(N11,N19,N27)=0,N$31,'IDEES okt 2017 template'!L127/((N11+N19+N27)))</f>
        <v>5.5899389214572916E-3</v>
      </c>
      <c r="O41" s="794">
        <f ca="1">IF(SUM(O11,O19,O27)=0,O$31,'IDEES okt 2017 template'!M127/((O11+O19+O27)))</f>
        <v>7.7848348321906038E-3</v>
      </c>
      <c r="P41" s="794">
        <f ca="1">IF(SUM(P11,P19,P27)=0,P$31,'IDEES okt 2017 template'!N127/((P11+P19+P27)))</f>
        <v>8.841201392557025E-3</v>
      </c>
      <c r="Q41" s="794">
        <f ca="1">IF(SUM(Q11,Q19,Q27)=0,Q$31,'IDEES okt 2017 template'!O127/((Q11+Q19+Q27)))</f>
        <v>7.784470876931595E-3</v>
      </c>
      <c r="R41" s="794">
        <f ca="1">IF(SUM(R11,R19,R27)=0,R$31,'IDEES okt 2017 template'!P127/((R11+R19+R27)))</f>
        <v>7.319545332684722E-3</v>
      </c>
      <c r="S41" s="794">
        <f ca="1">IF(SUM(S11,S19,S27)=0,S$31,'IDEES okt 2017 template'!Q127/((S11+S19+S27)))</f>
        <v>5.0048959212731633E-3</v>
      </c>
      <c r="T41" s="794">
        <f ca="1">IF(SUM(T11,T19,T27)=0,T$31,'IDEES okt 2017 template'!R127/((T11+T19+T27)))</f>
        <v>4.309997552324119E-3</v>
      </c>
      <c r="U41" s="794">
        <f ca="1">IF(SUM(U11,U19,U27)=0,U$31,'IDEES okt 2017 template'!S127/((U11+U19+U27)))</f>
        <v>1.0146154299014562E-2</v>
      </c>
      <c r="V41" s="794">
        <f ca="1">IF(SUM(V11,V19,V27)=0,V$31,'IDEES okt 2017 template'!T127/((V11+V19+V27)))</f>
        <v>7.6031077080653368E-3</v>
      </c>
      <c r="W41" s="794">
        <f ca="1">IF(SUM(W11,W19,W27)=0,W$31,'IDEES okt 2017 template'!U127/((W11+W19+W27)))</f>
        <v>5.3025473449502328E-3</v>
      </c>
      <c r="X41" s="794">
        <f ca="1">IF(SUM(X11,X19,X27)=0,X$31,'IDEES okt 2017 template'!V127/((X11+X19+X27)))</f>
        <v>4.9387550734662959E-3</v>
      </c>
      <c r="Y41" s="794">
        <f ca="1">IF(SUM(Y11,Y19,Y27)=0,Y$31,'IDEES okt 2017 template'!W127/((Y11+Y19+Y27)))</f>
        <v>6.2757459908284359E-3</v>
      </c>
      <c r="Z41" s="794">
        <f ca="1">IF(SUM(Z11,Z19,Z27)=0,Z$31,'IDEES okt 2017 template'!X127/((Z11+Z19+Z27)))</f>
        <v>6.5585346389810508E-3</v>
      </c>
      <c r="AA41" s="794">
        <f ca="1">IF(SUM(AA11,AA19,AA27)=0,AA$31,'IDEES okt 2017 template'!Y127/((AA11+AA19+AA27)))</f>
        <v>7.0690547957253328E-3</v>
      </c>
      <c r="AB41" s="794">
        <f ca="1">IF(SUM(AB11,AB19,AB27)=0,AB$31,'IDEES okt 2017 template'!Z127/((AB11+AB19+AB27)))</f>
        <v>7.8479377041590116E-3</v>
      </c>
      <c r="AC41" s="794">
        <f ca="1">IF(SUM(AC11,AC19,AC27)=0,AC$31,'IDEES okt 2017 template'!AA127/((AC11+AC19+AC27)))</f>
        <v>7.4082380397791133E-3</v>
      </c>
      <c r="AD41" s="794">
        <f ca="1">IF(SUM(AD11,AD19,AD27)=0,AD$31,'IDEES okt 2017 template'!AB127/((AD11+AD19+AD27)))</f>
        <v>6.4769349320321964E-3</v>
      </c>
      <c r="AE41" s="794">
        <f ca="1">IF(SUM(AE11,AE19,AE27)=0,AE$31,'IDEES okt 2017 template'!AC127/((AE11+AE19+AE27)))</f>
        <v>1.1779981541271699E-2</v>
      </c>
      <c r="AF41" s="794">
        <f ca="1">IF(SUM(AF11,AF19,AF27)=0,AF$31,'IDEES okt 2017 template'!AD127/((AF11+AF19+AF27)))</f>
        <v>4.8493931603018131E-3</v>
      </c>
      <c r="AG41" s="794">
        <f ca="1">IF(SUM(AG11,AG19,AG27)=0,AG$31,'IDEES okt 2017 template'!AE127/((AG11+AG19+AG27)))</f>
        <v>6.5902701334428831E-3</v>
      </c>
      <c r="AH41" s="794">
        <f ca="1">IF(SUM(AH11,AH19,AH27)=0,AH$31,'IDEES okt 2017 template'!AF127/((AH11+AH19+AH27)))</f>
        <v>8.4158672513922755E-3</v>
      </c>
      <c r="AI41" s="794">
        <f ca="1">IF(SUM(AI11,AI19,AI27)=0,AI$31,'IDEES okt 2017 template'!AG127/((AI11+AI19+AI27)))</f>
        <v>7.0498148603464553E-3</v>
      </c>
      <c r="AJ41" s="794">
        <f ca="1">IF(SUM(AJ11,AJ19,AJ27)=0,AJ$31,'IDEES okt 2017 template'!AH127/((AJ11+AJ19+AJ27)))</f>
        <v>8.3483658608373753E-3</v>
      </c>
      <c r="AK41" s="794">
        <f ca="1">IF(SUM(AK11,AK19,AK27)=0,AK$31,'IDEES okt 2017 template'!AI127/((AK11+AK19+AK27)))</f>
        <v>7.4945463476196088E-3</v>
      </c>
      <c r="AL41" s="794">
        <f ca="1">IF(SUM(AL11,AL19,AL27)=0,AL$31,'IDEES okt 2017 template'!AJ127/((AL11+AL19+AL27)))</f>
        <v>3.6906722481585474E-3</v>
      </c>
      <c r="AM41" s="794">
        <f ca="1">IF(SUM(AM11,AM19,AM27)=0,AM$31,'IDEES okt 2017 template'!AK127/((AM11+AM19+AM27)))</f>
        <v>4.755139453136787E-3</v>
      </c>
      <c r="AN41" s="794">
        <f ca="1">IF(SUM(AN11,AN19,AN27)=0,AN$31,'IDEES okt 2017 template'!AL127/((AN11+AN19+AN27)))</f>
        <v>4.0932362463646475E-3</v>
      </c>
      <c r="AO41" s="794">
        <f ca="1">IF(SUM(AO11,AO19,AO27)=0,AO$31,'IDEES okt 2017 template'!AM127/((AO11+AO19+AO27)))</f>
        <v>4.8334219477806301E-3</v>
      </c>
      <c r="AP41" s="794">
        <f ca="1">IF(SUM(AP11,AP19,AP27)=0,AP$31,'IDEES okt 2017 template'!AN127/((AP11+AP19+AP27)))</f>
        <v>3.2722689336796688E-3</v>
      </c>
    </row>
    <row r="44" spans="3:42">
      <c r="C44" t="s">
        <v>909</v>
      </c>
    </row>
    <row r="46" spans="3:42">
      <c r="C46" t="s">
        <v>911</v>
      </c>
    </row>
    <row r="47" spans="3:42">
      <c r="C47" t="s">
        <v>910</v>
      </c>
      <c r="F47" s="509">
        <f ca="1">SUM('All Stock'!D13:D15)</f>
        <v>1485.6025493659481</v>
      </c>
      <c r="G47" s="509">
        <f ca="1">SUM('All Stock'!E13:E15)</f>
        <v>2536.0737073102914</v>
      </c>
      <c r="H47" s="509">
        <f ca="1">SUM('All Stock'!F13:F15)</f>
        <v>952.34514965732637</v>
      </c>
      <c r="I47" s="509">
        <f ca="1">SUM('All Stock'!G13:G15)</f>
        <v>1785.6423124907965</v>
      </c>
      <c r="J47" s="509">
        <f ca="1">SUM('All Stock'!H13:H15)</f>
        <v>213.95638549684628</v>
      </c>
      <c r="K47" s="509">
        <f ca="1">SUM('All Stock'!I13:I15)</f>
        <v>1635.8389776369522</v>
      </c>
      <c r="L47" s="509">
        <f ca="1">SUM('All Stock'!J13:J15)</f>
        <v>15818.818454535678</v>
      </c>
      <c r="M47" s="509">
        <f ca="1">SUM('All Stock'!K13:K15)</f>
        <v>1528.3863897224137</v>
      </c>
      <c r="N47" s="509">
        <f ca="1">SUM('All Stock'!L13:L15)</f>
        <v>163.47362124923455</v>
      </c>
      <c r="O47" s="509">
        <f ca="1">SUM('All Stock'!M13:M15)</f>
        <v>3130.0056552593642</v>
      </c>
      <c r="P47" s="509">
        <f ca="1">SUM('All Stock'!N13:N15)</f>
        <v>1390.8276847692937</v>
      </c>
      <c r="Q47" s="509">
        <f ca="1">SUM('All Stock'!O13:O15)</f>
        <v>11899.432218627308</v>
      </c>
      <c r="R47" s="509">
        <f ca="1">SUM('All Stock'!P13:P15)</f>
        <v>1140.898204752677</v>
      </c>
      <c r="S47" s="509">
        <f ca="1">SUM('All Stock'!Q13:Q15)</f>
        <v>863.72344847950649</v>
      </c>
      <c r="T47" s="509">
        <f ca="1">SUM('All Stock'!R13:R15)</f>
        <v>2104.1929727902516</v>
      </c>
      <c r="U47" s="509">
        <f ca="1">SUM('All Stock'!S13:S15)</f>
        <v>1165.6734829225725</v>
      </c>
      <c r="V47" s="509">
        <f ca="1">SUM('All Stock'!T13:T15)</f>
        <v>84.292808019808803</v>
      </c>
      <c r="W47" s="509">
        <f ca="1">SUM('All Stock'!U13:U15)</f>
        <v>5867.4658410978491</v>
      </c>
      <c r="X47" s="509">
        <f ca="1">SUM('All Stock'!V13:V15)</f>
        <v>392.41989374250852</v>
      </c>
      <c r="Y47" s="509">
        <f ca="1">SUM('All Stock'!W13:W15)</f>
        <v>119.99999936170212</v>
      </c>
      <c r="Z47" s="509">
        <f ca="1">SUM('All Stock'!X13:X15)</f>
        <v>257.9444807445193</v>
      </c>
      <c r="AA47" s="509">
        <f ca="1">SUM('All Stock'!Y13:Y15)</f>
        <v>49.160800497201699</v>
      </c>
      <c r="AB47" s="509">
        <f ca="1">SUM('All Stock'!Z13:Z15)</f>
        <v>3993.3048524897458</v>
      </c>
      <c r="AC47" s="509">
        <f ca="1">SUM('All Stock'!AA13:AA15)</f>
        <v>827.74308084504423</v>
      </c>
      <c r="AD47" s="509">
        <f ca="1">SUM('All Stock'!AB13:AB15)</f>
        <v>4572.5428437556056</v>
      </c>
      <c r="AE47" s="509">
        <f ca="1">SUM('All Stock'!AC13:AC15)</f>
        <v>740.64536968954758</v>
      </c>
      <c r="AF47" s="509">
        <f ca="1">SUM('All Stock'!AD13:AD15)</f>
        <v>2707.5783719848528</v>
      </c>
      <c r="AG47" s="509">
        <f ca="1">SUM('All Stock'!AE13:AE15)</f>
        <v>1744.2185067633625</v>
      </c>
      <c r="AH47" s="509">
        <f ca="1">SUM('All Stock'!AF13:AF15)</f>
        <v>259.93990032454224</v>
      </c>
      <c r="AI47" s="509">
        <f ca="1">SUM('All Stock'!AG13:AG15)</f>
        <v>559.91622553275249</v>
      </c>
      <c r="AJ47" s="509">
        <f ca="1">SUM('All Stock'!AH13:AH15)</f>
        <v>17041.766734869147</v>
      </c>
      <c r="AK47" s="509">
        <f ca="1">SUM('All Stock'!AI13:AI15)</f>
        <v>133.63315724004198</v>
      </c>
      <c r="AL47" s="509">
        <f ca="1">SUM('All Stock'!AJ13:AJ15)</f>
        <v>302.94360442717078</v>
      </c>
      <c r="AM47" s="509">
        <f ca="1">SUM('All Stock'!AK13:AK15)</f>
        <v>66.964299839761665</v>
      </c>
      <c r="AN47" s="509">
        <f ca="1">SUM('All Stock'!AL13:AL15)</f>
        <v>179.73822880248773</v>
      </c>
      <c r="AO47" s="509">
        <f ca="1">SUM('All Stock'!AM13:AM15)</f>
        <v>895.10759001974463</v>
      </c>
      <c r="AP47" s="509">
        <f ca="1">SUM('All Stock'!AN13:AN15)</f>
        <v>178.32755009660028</v>
      </c>
    </row>
    <row r="48" spans="3:42">
      <c r="C48" t="s">
        <v>541</v>
      </c>
      <c r="F48" s="509">
        <f ca="1">'All Stock'!D16</f>
        <v>1468.1931444905658</v>
      </c>
      <c r="G48" s="509">
        <f ca="1">'All Stock'!E16</f>
        <v>905.52301441199279</v>
      </c>
      <c r="H48" s="509">
        <f ca="1">'All Stock'!F16</f>
        <v>777.21770601382218</v>
      </c>
      <c r="I48" s="509">
        <f ca="1">'All Stock'!G16</f>
        <v>1648.2852115299659</v>
      </c>
      <c r="J48" s="509">
        <f ca="1">'All Stock'!H16</f>
        <v>83.544873692829114</v>
      </c>
      <c r="K48" s="509">
        <f ca="1">'All Stock'!I16</f>
        <v>2208.0312140248443</v>
      </c>
      <c r="L48" s="509">
        <f ca="1">'All Stock'!J16</f>
        <v>18507.478934742299</v>
      </c>
      <c r="M48" s="509">
        <f ca="1">'All Stock'!K16</f>
        <v>1066.6762517252059</v>
      </c>
      <c r="N48" s="509">
        <f ca="1">'All Stock'!L16</f>
        <v>488.14637875076545</v>
      </c>
      <c r="O48" s="509">
        <f ca="1">'All Stock'!M16</f>
        <v>7433.1088118539237</v>
      </c>
      <c r="P48" s="509">
        <f ca="1">'All Stock'!N16</f>
        <v>1108.1723152307063</v>
      </c>
      <c r="Q48" s="509">
        <f ca="1">'All Stock'!O16</f>
        <v>9195.3526981771283</v>
      </c>
      <c r="R48" s="509">
        <f ca="1">'All Stock'!P16</f>
        <v>1679.0753129779873</v>
      </c>
      <c r="S48" s="509">
        <f ca="1">'All Stock'!Q16</f>
        <v>505.02472685864541</v>
      </c>
      <c r="T48" s="509">
        <f ca="1">'All Stock'!R16</f>
        <v>1314.8023053054051</v>
      </c>
      <c r="U48" s="509">
        <f ca="1">'All Stock'!S16</f>
        <v>148.1182698102499</v>
      </c>
      <c r="V48" s="509">
        <f ca="1">'All Stock'!T16</f>
        <v>67.162134636472771</v>
      </c>
      <c r="W48" s="509">
        <f ca="1">'All Stock'!U16</f>
        <v>17047.884154921932</v>
      </c>
      <c r="X48" s="509">
        <f ca="1">'All Stock'!V16</f>
        <v>725.54346604839498</v>
      </c>
      <c r="Y48" s="509">
        <f ca="1">'All Stock'!W16</f>
        <v>67.999999638297879</v>
      </c>
      <c r="Z48" s="509">
        <f ca="1">'All Stock'!X16</f>
        <v>576.16017362476293</v>
      </c>
      <c r="AA48" s="509">
        <f ca="1">'All Stock'!Y16</f>
        <v>16.335462474584798</v>
      </c>
      <c r="AB48" s="509">
        <f ca="1">'All Stock'!Z16</f>
        <v>1728.7005676351</v>
      </c>
      <c r="AC48" s="509">
        <f ca="1">'All Stock'!AA16</f>
        <v>1151.6628112433018</v>
      </c>
      <c r="AD48" s="509">
        <f ca="1">'All Stock'!AB16</f>
        <v>6734.1391844108894</v>
      </c>
      <c r="AE48" s="509">
        <f ca="1">'All Stock'!AC16</f>
        <v>514.68576543917493</v>
      </c>
      <c r="AF48" s="509">
        <f ca="1">'All Stock'!AD16</f>
        <v>2050.9073432785085</v>
      </c>
      <c r="AG48" s="509">
        <f ca="1">'All Stock'!AE16</f>
        <v>2426.7814922366383</v>
      </c>
      <c r="AH48" s="509">
        <f ca="1">'All Stock'!AF16</f>
        <v>461.41891138861422</v>
      </c>
      <c r="AI48" s="509">
        <f ca="1">'All Stock'!AG16</f>
        <v>580.36075202452548</v>
      </c>
      <c r="AJ48" s="509">
        <f ca="1">'All Stock'!AH16</f>
        <v>3928.2270816740383</v>
      </c>
      <c r="AK48" s="509">
        <f ca="1">'All Stock'!AI16</f>
        <v>196.66972424213861</v>
      </c>
      <c r="AL48" s="509">
        <f ca="1">'All Stock'!AJ16</f>
        <v>271.18740136497507</v>
      </c>
      <c r="AM48" s="509">
        <f ca="1">'All Stock'!AK16</f>
        <v>98.552265437365477</v>
      </c>
      <c r="AN48" s="509">
        <f ca="1">'All Stock'!AL16</f>
        <v>160.89708606674995</v>
      </c>
      <c r="AO48" s="509">
        <f ca="1">'All Stock'!AM16</f>
        <v>801.27752404119974</v>
      </c>
      <c r="AP48" s="509">
        <f ca="1">'All Stock'!AN16</f>
        <v>159.63428240686127</v>
      </c>
    </row>
    <row r="50" spans="3:42">
      <c r="C50" t="s">
        <v>912</v>
      </c>
    </row>
    <row r="51" spans="3:42">
      <c r="C51" t="s">
        <v>913</v>
      </c>
      <c r="F51" s="693">
        <f ca="1">'IDEES okt 2017 template'!D120/(F47+0.5*F48)</f>
        <v>1.1251381070904523E-2</v>
      </c>
      <c r="G51" s="693">
        <f ca="1">'IDEES okt 2017 template'!E120/(G47+0.5*G48)</f>
        <v>9.5272111428894649E-3</v>
      </c>
      <c r="H51" s="693">
        <f ca="1">'IDEES okt 2017 template'!F120/(H47+0.5*H48)</f>
        <v>7.585517907243931E-3</v>
      </c>
      <c r="I51" s="693">
        <f ca="1">'IDEES okt 2017 template'!G120/(I47+0.5*I48)</f>
        <v>8.5103268836431416E-3</v>
      </c>
      <c r="J51" s="693">
        <f ca="1">'IDEES okt 2017 template'!H120/(J47+0.5*J48)</f>
        <v>9.4679450592003479E-3</v>
      </c>
      <c r="K51" s="693">
        <f ca="1">'IDEES okt 2017 template'!I120/(K47+0.5*K48)</f>
        <v>7.1258839317191423E-3</v>
      </c>
      <c r="L51" s="693">
        <f ca="1">'IDEES okt 2017 template'!J120/(L47+0.5*L48)</f>
        <v>9.2098032071248077E-3</v>
      </c>
      <c r="M51" s="693">
        <f ca="1">'IDEES okt 2017 template'!K120/(M47+0.5*M48)</f>
        <v>9.7229186384835374E-3</v>
      </c>
      <c r="N51" s="693">
        <f ca="1">'IDEES okt 2017 template'!L120/(N47+0.5*N48)</f>
        <v>8.9376628770996436E-3</v>
      </c>
      <c r="O51" s="693">
        <f ca="1">'IDEES okt 2017 template'!M120/(O47+0.5*O48)</f>
        <v>1.2010717894111539E-2</v>
      </c>
      <c r="P51" s="693">
        <f ca="1">'IDEES okt 2017 template'!N120/(P47+0.5*P48)</f>
        <v>1.135996968015328E-2</v>
      </c>
      <c r="Q51" s="693">
        <f ca="1">'IDEES okt 2017 template'!O120/(Q47+0.5*Q48)</f>
        <v>9.9539709135063395E-3</v>
      </c>
      <c r="R51" s="693">
        <f ca="1">'IDEES okt 2017 template'!P120/(R47+0.5*R48)</f>
        <v>1.0422414784520613E-2</v>
      </c>
      <c r="S51" s="693">
        <f ca="1">'IDEES okt 2017 template'!Q120/(S47+0.5*S48)</f>
        <v>6.1370922585661713E-3</v>
      </c>
      <c r="T51" s="693">
        <f ca="1">'IDEES okt 2017 template'!R120/(T47+0.5*T48)</f>
        <v>5.3359981990968343E-3</v>
      </c>
      <c r="U51" s="693">
        <f ca="1">'IDEES okt 2017 template'!S120/(U47+0.5*U48)</f>
        <v>1.0752265164529731E-2</v>
      </c>
      <c r="V51" s="693">
        <f ca="1">'IDEES okt 2017 template'!T120/(V47+0.5*V48)</f>
        <v>1.0532394176565018E-2</v>
      </c>
      <c r="W51" s="693">
        <f ca="1">'IDEES okt 2017 template'!U120/(W47+0.5*W48)</f>
        <v>8.4432134067511187E-3</v>
      </c>
      <c r="X51" s="693">
        <f ca="1">'IDEES okt 2017 template'!V120/(X47+0.5*X48)</f>
        <v>7.3425045027849098E-3</v>
      </c>
      <c r="Y51" s="693">
        <f ca="1">'IDEES okt 2017 template'!W120/(Y47+0.5*Y48)</f>
        <v>7.6613003004918573E-3</v>
      </c>
      <c r="Z51" s="693">
        <f ca="1">'IDEES okt 2017 template'!X120/(Z47+0.5*Z48)</f>
        <v>1.0300904857021604E-2</v>
      </c>
      <c r="AA51" s="693">
        <f ca="1">'IDEES okt 2017 template'!Y120/(AA47+0.5*AA48)</f>
        <v>4.6083001257302544E-3</v>
      </c>
      <c r="AB51" s="693">
        <f ca="1">'IDEES okt 2017 template'!Z120/(AB47+0.5*AB48)</f>
        <v>9.2443660202145821E-3</v>
      </c>
      <c r="AC51" s="693">
        <f ca="1">'IDEES okt 2017 template'!AA120/(AC47+0.5*AC48)</f>
        <v>1.5409945950424761E-2</v>
      </c>
      <c r="AD51" s="693">
        <f ca="1">'IDEES okt 2017 template'!AB120/(AD47+0.5*AD48)</f>
        <v>9.1778714021296687E-3</v>
      </c>
      <c r="AE51" s="693">
        <f ca="1">'IDEES okt 2017 template'!AC120/(AE47+0.5*AE48)</f>
        <v>1.4817586844637132E-2</v>
      </c>
      <c r="AF51" s="693">
        <f ca="1">'IDEES okt 2017 template'!AD120/(AF47+0.5*AF48)</f>
        <v>6.1500457353994686E-3</v>
      </c>
      <c r="AG51" s="693">
        <f ca="1">'IDEES okt 2017 template'!AE120/(AG47+0.5*AG48)</f>
        <v>9.2939987570087746E-3</v>
      </c>
      <c r="AH51" s="693">
        <f ca="1">'IDEES okt 2017 template'!AF120/(AH47+0.5*AH48)</f>
        <v>1.2373113152046561E-2</v>
      </c>
      <c r="AI51" s="693">
        <f ca="1">'IDEES okt 2017 template'!AG120/(AI47+0.5*AI48)</f>
        <v>9.3921415348432145E-3</v>
      </c>
      <c r="AJ51" s="693">
        <f ca="1">'IDEES okt 2017 template'!AH120/(AJ47+0.5*AJ48)</f>
        <v>9.2111061387550198E-3</v>
      </c>
      <c r="AK51" s="693">
        <f ca="1">'IDEES okt 2017 template'!AI120/(AK47+0.5*AK48)</f>
        <v>1.0671601459711881E-2</v>
      </c>
      <c r="AL51" s="693">
        <f ca="1">'IDEES okt 2017 template'!AJ120/(AL47+0.5*AL48)</f>
        <v>5.6302138477458919E-3</v>
      </c>
      <c r="AM51" s="693">
        <f ca="1">'IDEES okt 2017 template'!AK120/(AM47+0.5*AM48)</f>
        <v>7.5894074581261094E-3</v>
      </c>
      <c r="AN51" s="693">
        <f ca="1">'IDEES okt 2017 template'!AL120/(AN47+0.5*AN48)</f>
        <v>6.2653175584339712E-3</v>
      </c>
      <c r="AO51" s="693">
        <f ca="1">'IDEES okt 2017 template'!AM120/(AO47+0.5*AO48)</f>
        <v>6.927562009568288E-3</v>
      </c>
      <c r="AP51" s="693">
        <f ca="1">'IDEES okt 2017 template'!AN120/(AP47+0.5*AP48)</f>
        <v>4.2840393102842661E-3</v>
      </c>
    </row>
    <row r="52" spans="3:42">
      <c r="C52" t="s">
        <v>58</v>
      </c>
      <c r="F52" s="693">
        <f ca="1">F51/2</f>
        <v>5.6256905354522616E-3</v>
      </c>
      <c r="G52" s="693">
        <f t="shared" ref="G52:AP52" ca="1" si="6">G51/2</f>
        <v>4.7636055714447324E-3</v>
      </c>
      <c r="H52" s="693">
        <f t="shared" ca="1" si="6"/>
        <v>3.7927589536219655E-3</v>
      </c>
      <c r="I52" s="693">
        <f t="shared" ca="1" si="6"/>
        <v>4.2551634418215708E-3</v>
      </c>
      <c r="J52" s="693">
        <f t="shared" ca="1" si="6"/>
        <v>4.733972529600174E-3</v>
      </c>
      <c r="K52" s="693">
        <f t="shared" ca="1" si="6"/>
        <v>3.5629419658595712E-3</v>
      </c>
      <c r="L52" s="693">
        <f t="shared" ca="1" si="6"/>
        <v>4.6049016035624038E-3</v>
      </c>
      <c r="M52" s="693">
        <f t="shared" ca="1" si="6"/>
        <v>4.8614593192417687E-3</v>
      </c>
      <c r="N52" s="693">
        <f t="shared" ca="1" si="6"/>
        <v>4.4688314385498218E-3</v>
      </c>
      <c r="O52" s="693">
        <f t="shared" ca="1" si="6"/>
        <v>6.0053589470557694E-3</v>
      </c>
      <c r="P52" s="693">
        <f t="shared" ca="1" si="6"/>
        <v>5.6799848400766401E-3</v>
      </c>
      <c r="Q52" s="693">
        <f t="shared" ca="1" si="6"/>
        <v>4.9769854567531698E-3</v>
      </c>
      <c r="R52" s="693">
        <f t="shared" ca="1" si="6"/>
        <v>5.2112073922603065E-3</v>
      </c>
      <c r="S52" s="693">
        <f t="shared" ca="1" si="6"/>
        <v>3.0685461292830857E-3</v>
      </c>
      <c r="T52" s="693">
        <f t="shared" ca="1" si="6"/>
        <v>2.6679990995484171E-3</v>
      </c>
      <c r="U52" s="693">
        <f t="shared" ca="1" si="6"/>
        <v>5.3761325822648653E-3</v>
      </c>
      <c r="V52" s="693">
        <f t="shared" ca="1" si="6"/>
        <v>5.2661970882825091E-3</v>
      </c>
      <c r="W52" s="693">
        <f t="shared" ca="1" si="6"/>
        <v>4.2216067033755593E-3</v>
      </c>
      <c r="X52" s="693">
        <f t="shared" ca="1" si="6"/>
        <v>3.6712522513924549E-3</v>
      </c>
      <c r="Y52" s="693">
        <f t="shared" ca="1" si="6"/>
        <v>3.8306501502459287E-3</v>
      </c>
      <c r="Z52" s="693">
        <f t="shared" ca="1" si="6"/>
        <v>5.1504524285108022E-3</v>
      </c>
      <c r="AA52" s="693">
        <f t="shared" ca="1" si="6"/>
        <v>2.3041500628651272E-3</v>
      </c>
      <c r="AB52" s="693">
        <f t="shared" ca="1" si="6"/>
        <v>4.6221830101072911E-3</v>
      </c>
      <c r="AC52" s="693">
        <f t="shared" ca="1" si="6"/>
        <v>7.7049729752123805E-3</v>
      </c>
      <c r="AD52" s="693">
        <f t="shared" ca="1" si="6"/>
        <v>4.5889357010648344E-3</v>
      </c>
      <c r="AE52" s="693">
        <f t="shared" ca="1" si="6"/>
        <v>7.4087934223185659E-3</v>
      </c>
      <c r="AF52" s="693">
        <f t="shared" ca="1" si="6"/>
        <v>3.0750228676997343E-3</v>
      </c>
      <c r="AG52" s="693">
        <f t="shared" ca="1" si="6"/>
        <v>4.6469993785043873E-3</v>
      </c>
      <c r="AH52" s="693">
        <f t="shared" ca="1" si="6"/>
        <v>6.1865565760232805E-3</v>
      </c>
      <c r="AI52" s="693">
        <f t="shared" ca="1" si="6"/>
        <v>4.6960707674216073E-3</v>
      </c>
      <c r="AJ52" s="693">
        <f t="shared" ca="1" si="6"/>
        <v>4.6055530693775099E-3</v>
      </c>
      <c r="AK52" s="693">
        <f t="shared" ca="1" si="6"/>
        <v>5.3358007298559404E-3</v>
      </c>
      <c r="AL52" s="693">
        <f t="shared" ca="1" si="6"/>
        <v>2.815106923872946E-3</v>
      </c>
      <c r="AM52" s="693">
        <f t="shared" ca="1" si="6"/>
        <v>3.7947037290630547E-3</v>
      </c>
      <c r="AN52" s="693">
        <f t="shared" ca="1" si="6"/>
        <v>3.1326587792169856E-3</v>
      </c>
      <c r="AO52" s="693">
        <f t="shared" ca="1" si="6"/>
        <v>3.463781004784144E-3</v>
      </c>
      <c r="AP52" s="693">
        <f t="shared" ca="1" si="6"/>
        <v>2.142019655142133E-3</v>
      </c>
    </row>
    <row r="54" spans="3:42">
      <c r="E54" t="s">
        <v>872</v>
      </c>
      <c r="F54">
        <f ca="1">(F51*F47+F52*F48)/(F47+F48)</f>
        <v>8.4551144589803152E-3</v>
      </c>
    </row>
    <row r="55" spans="3:42">
      <c r="C55" t="s">
        <v>916</v>
      </c>
    </row>
    <row r="56" spans="3:42">
      <c r="C56" t="s">
        <v>913</v>
      </c>
      <c r="F56" s="691">
        <f ca="1">F47*F51/(SUM('TechWaterHeat-RES'!F3:F10)*31.5)</f>
        <v>0.21813095073330854</v>
      </c>
    </row>
    <row r="57" spans="3:42">
      <c r="C57" t="s">
        <v>915</v>
      </c>
      <c r="F57" s="691">
        <f ca="1">F48*F52/(SUM('TechWaterHeat-RES'!F4:F11)*31.5)</f>
        <v>8.9298172176389495E-2</v>
      </c>
      <c r="G57" s="691">
        <f ca="1">G48*G52/(SUM('TechWaterHeat-RES'!G4:G11)*31.5)</f>
        <v>7.5611675108119905E-2</v>
      </c>
      <c r="H57" s="691">
        <f ca="1">H48*H52/(SUM('TechWaterHeat-RES'!H4:H11)*31.5)</f>
        <v>6.020747944129546E-2</v>
      </c>
      <c r="I57" s="691">
        <f ca="1">I48*I52/(SUM('TechWaterHeat-RES'!I4:I11)*31.5)</f>
        <v>6.7542276854310662E-2</v>
      </c>
      <c r="J57" s="691">
        <f ca="1">J48*J52/(SUM('TechWaterHeat-RES'!J4:J11)*31.5)</f>
        <v>7.5142421104764656E-2</v>
      </c>
      <c r="K57" s="691">
        <f ca="1">K48*K52/(SUM('TechWaterHeat-RES'!K4:K11)*31.5)</f>
        <v>5.6554634378723365E-2</v>
      </c>
      <c r="L57" s="691">
        <f ca="1">L48*L52/(SUM('TechWaterHeat-RES'!L4:L11)*31.5)</f>
        <v>7.3093676247022274E-2</v>
      </c>
      <c r="M57" s="691">
        <f ca="1">M48*M52/(SUM('TechWaterHeat-RES'!M4:M11)*31.5)</f>
        <v>7.7167632662241609E-2</v>
      </c>
      <c r="N57" s="691">
        <f ca="1">N48*N52/(SUM('TechWaterHeat-RES'!N4:N11)*31.5)</f>
        <v>7.0941986609268079E-2</v>
      </c>
      <c r="O57" s="691">
        <f ca="1">O48*O52/(SUM('TechWaterHeat-RES'!O4:O11)*31.5)</f>
        <v>9.5322672559886537E-2</v>
      </c>
      <c r="P57" s="691">
        <f ca="1">P48*P52/(SUM('TechWaterHeat-RES'!P4:P11)*31.5)</f>
        <v>9.0160198042924924E-2</v>
      </c>
      <c r="Q57" s="691">
        <f ca="1">Q48*Q52/(SUM('TechWaterHeat-RES'!Q4:Q11)*31.5)</f>
        <v>7.8999970575903786E-2</v>
      </c>
      <c r="R57" s="691">
        <f ca="1">R48*R52/(SUM('TechWaterHeat-RES'!R4:R11)*31.5)</f>
        <v>8.2717577654925503E-2</v>
      </c>
      <c r="S57" s="691">
        <f ca="1">S48*S52/(SUM('TechWaterHeat-RES'!S4:S11)*31.5)</f>
        <v>4.870708141719185E-2</v>
      </c>
      <c r="T57" s="691">
        <f ca="1">T48*T52/(SUM('TechWaterHeat-RES'!T4:T11)*31.5)</f>
        <v>4.2347988851731175E-2</v>
      </c>
      <c r="U57" s="691">
        <f ca="1">U48*U52/(SUM('TechWaterHeat-RES'!U4:U11)*31.5)</f>
        <v>8.5332757596453188E-2</v>
      </c>
      <c r="V57" s="691">
        <f ca="1">V48*V52/(SUM('TechWaterHeat-RES'!V4:V11)*31.5)</f>
        <v>8.3590429972738231E-2</v>
      </c>
      <c r="W57" s="691">
        <f ca="1">W48*W52/(SUM('TechWaterHeat-RES'!W4:W11)*31.5)</f>
        <v>6.7009861104840987E-2</v>
      </c>
      <c r="X57" s="691">
        <f ca="1">X48*X52/(SUM('TechWaterHeat-RES'!X4:X11)*31.5)</f>
        <v>5.8273845260197688E-2</v>
      </c>
      <c r="Y57" s="691">
        <f ca="1">Y48*Y52/(SUM('TechWaterHeat-RES'!Y4:Y11)*31.5)</f>
        <v>6.0782401298406084E-2</v>
      </c>
      <c r="Z57" s="691">
        <f ca="1">Z48*Z52/(SUM('TechWaterHeat-RES'!Z4:Z11)*31.5)</f>
        <v>8.1753213150965121E-2</v>
      </c>
      <c r="AA57" s="691">
        <f ca="1">AA48*AA52/(SUM('TechWaterHeat-RES'!AA4:AA11)*31.5)</f>
        <v>3.6573810521668686E-2</v>
      </c>
      <c r="AB57" s="691">
        <f ca="1">AB48*AB52/(SUM('TechWaterHeat-RES'!AB4:AB11)*31.5)</f>
        <v>7.3367984287417323E-2</v>
      </c>
      <c r="AC57" s="691">
        <f ca="1">AC48*AC52/(SUM('TechWaterHeat-RES'!AC4:AC11)*31.5)</f>
        <v>0.12230115833670445</v>
      </c>
      <c r="AD57" s="691">
        <f ca="1">AD48*AD52/(SUM('TechWaterHeat-RES'!AD4:AD11)*31.5)</f>
        <v>7.284024922325133E-2</v>
      </c>
      <c r="AE57" s="691">
        <f ca="1">AE48*AE52/(SUM('TechWaterHeat-RES'!AE4:AE11)*31.5)</f>
        <v>0.11759989559235817</v>
      </c>
      <c r="AF57" s="691">
        <f ca="1">AF48*AF52/(SUM('TechWaterHeat-RES'!AF4:AF11)*31.5)</f>
        <v>4.8809886788884677E-2</v>
      </c>
      <c r="AG57" s="691">
        <f ca="1">AG48*AG52/(SUM('TechWaterHeat-RES'!AG4:AG11)*31.5)</f>
        <v>7.3763018408309566E-2</v>
      </c>
      <c r="AH57" s="691">
        <f ca="1">AH48*AH52/(SUM('TechWaterHeat-RES'!AH4:AH11)*31.5)</f>
        <v>9.8199310730528261E-2</v>
      </c>
      <c r="AI57" s="691">
        <f ca="1">AI48*AI52/(SUM('TechWaterHeat-RES'!AI4:AI11)*31.5)</f>
        <v>7.4540805832088997E-2</v>
      </c>
      <c r="AJ57" s="691">
        <f ca="1">AJ48*AJ52/(SUM('TechWaterHeat-RES'!AJ4:AJ11)*31.5)</f>
        <v>7.3104016974246178E-2</v>
      </c>
      <c r="AK57" s="691">
        <f ca="1">AK48*AK52/(SUM('TechWaterHeat-RES'!AK4:AK11)*31.5)</f>
        <v>8.4695249680253049E-2</v>
      </c>
      <c r="AL57" s="691">
        <f ca="1">AL48*AL52/(SUM('TechWaterHeat-RES'!AL4:AL11)*31.5)</f>
        <v>4.4684236886872161E-2</v>
      </c>
      <c r="AM57" s="691">
        <f ca="1">AM48*AM52/(SUM('TechWaterHeat-RES'!AM4:AM11)*31.5)</f>
        <v>6.0233392524810379E-2</v>
      </c>
      <c r="AN57" s="691">
        <f ca="1">AN48*AN52/(SUM('TechWaterHeat-RES'!AN4:AN11)*31.5)</f>
        <v>4.9724742527253743E-2</v>
      </c>
      <c r="AO57" s="691">
        <f ca="1">AO48*AO52/(SUM('TechWaterHeat-RES'!AO4:AO11)*31.5)</f>
        <v>5.4980650869589587E-2</v>
      </c>
      <c r="AP57" s="691">
        <f ca="1">AP48*AP52/(SUM('TechWaterHeat-RES'!AP4:AP11)*31.5)</f>
        <v>3.4000311986383057E-2</v>
      </c>
    </row>
    <row r="60" spans="3:42">
      <c r="F60" s="693">
        <f ca="1">F52/(2*31.5)*1000</f>
        <v>8.9296675165908918E-2</v>
      </c>
    </row>
  </sheetData>
  <conditionalFormatting sqref="F34:AP3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4:AP41">
    <cfRule type="colorScale" priority="2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5:AP3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6:AP3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7:AP3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:AP3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9:AP3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0:AP4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1:AP4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theme="8"/>
  </sheetPr>
  <dimension ref="A2:AT34"/>
  <sheetViews>
    <sheetView zoomScale="95" zoomScaleNormal="95" workbookViewId="0">
      <selection activeCell="D5" sqref="D5"/>
    </sheetView>
  </sheetViews>
  <sheetFormatPr defaultColWidth="8.88671875" defaultRowHeight="14.4"/>
  <cols>
    <col min="1" max="1" width="19" customWidth="1"/>
    <col min="2" max="2" width="2" bestFit="1" customWidth="1"/>
    <col min="3" max="3" width="16.44140625" bestFit="1" customWidth="1"/>
    <col min="4" max="4" width="12" bestFit="1" customWidth="1"/>
    <col min="5" max="5" width="18.33203125" bestFit="1" customWidth="1"/>
    <col min="6" max="6" width="9" bestFit="1" customWidth="1"/>
    <col min="7" max="42" width="8.88671875" bestFit="1" customWidth="1"/>
  </cols>
  <sheetData>
    <row r="2" spans="1:46">
      <c r="E2" s="533" t="s">
        <v>598</v>
      </c>
    </row>
    <row r="3" spans="1:46" ht="15" thickBot="1">
      <c r="C3" s="539" t="s">
        <v>545</v>
      </c>
      <c r="D3" s="539" t="s">
        <v>585</v>
      </c>
      <c r="E3" s="539" t="s">
        <v>592</v>
      </c>
      <c r="F3" s="540" t="str">
        <f>'All Stock'!D$2</f>
        <v>AT</v>
      </c>
      <c r="G3" s="540" t="str">
        <f>'All Stock'!E$2</f>
        <v>BE</v>
      </c>
      <c r="H3" s="540" t="str">
        <f>'All Stock'!F$2</f>
        <v>BG</v>
      </c>
      <c r="I3" s="540" t="str">
        <f>'All Stock'!G$2</f>
        <v>CH</v>
      </c>
      <c r="J3" s="540" t="str">
        <f>'All Stock'!H$2</f>
        <v>CY</v>
      </c>
      <c r="K3" s="540" t="str">
        <f>'All Stock'!I$2</f>
        <v>CZ</v>
      </c>
      <c r="L3" s="540" t="str">
        <f>'All Stock'!J$2</f>
        <v>DE</v>
      </c>
      <c r="M3" s="540" t="str">
        <f>'All Stock'!K$2</f>
        <v>DK</v>
      </c>
      <c r="N3" s="540" t="str">
        <f>'All Stock'!L$2</f>
        <v>EE</v>
      </c>
      <c r="O3" s="540" t="str">
        <f>'All Stock'!M$2</f>
        <v>ES</v>
      </c>
      <c r="P3" s="540" t="str">
        <f>'All Stock'!N$2</f>
        <v>FI</v>
      </c>
      <c r="Q3" s="540" t="str">
        <f>'All Stock'!O$2</f>
        <v>FR</v>
      </c>
      <c r="R3" s="540" t="str">
        <f>'All Stock'!P$2</f>
        <v>EL</v>
      </c>
      <c r="S3" s="540" t="str">
        <f>'All Stock'!Q$2</f>
        <v>HR</v>
      </c>
      <c r="T3" s="540" t="str">
        <f>'All Stock'!R$2</f>
        <v>HU</v>
      </c>
      <c r="U3" s="540" t="str">
        <f>'All Stock'!S$2</f>
        <v>IE</v>
      </c>
      <c r="V3" s="540" t="str">
        <f>'All Stock'!T$2</f>
        <v>IS</v>
      </c>
      <c r="W3" s="540" t="str">
        <f>'All Stock'!U$2</f>
        <v>IT</v>
      </c>
      <c r="X3" s="540" t="str">
        <f>'All Stock'!V$2</f>
        <v>LT</v>
      </c>
      <c r="Y3" s="540" t="str">
        <f>'All Stock'!W$2</f>
        <v>LU</v>
      </c>
      <c r="Z3" s="540" t="str">
        <f>'All Stock'!X$2</f>
        <v>LV</v>
      </c>
      <c r="AA3" s="540" t="str">
        <f>'All Stock'!Y$2</f>
        <v>MT</v>
      </c>
      <c r="AB3" s="540" t="str">
        <f>'All Stock'!Z$2</f>
        <v>NL</v>
      </c>
      <c r="AC3" s="540" t="str">
        <f>'All Stock'!AA$2</f>
        <v>NO</v>
      </c>
      <c r="AD3" s="540" t="str">
        <f>'All Stock'!AB$2</f>
        <v>PL</v>
      </c>
      <c r="AE3" s="540" t="str">
        <f>'All Stock'!AC$2</f>
        <v>PT</v>
      </c>
      <c r="AF3" s="540" t="str">
        <f>'All Stock'!AD$2</f>
        <v>RO</v>
      </c>
      <c r="AG3" s="540" t="str">
        <f>'All Stock'!AE$2</f>
        <v>SE</v>
      </c>
      <c r="AH3" s="540" t="str">
        <f>'All Stock'!AF$2</f>
        <v>SI</v>
      </c>
      <c r="AI3" s="540" t="str">
        <f>'All Stock'!AG$2</f>
        <v>SK</v>
      </c>
      <c r="AJ3" s="540" t="str">
        <f>'All Stock'!AH$2</f>
        <v>UK</v>
      </c>
      <c r="AK3" s="540" t="str">
        <f>'All Stock'!AI$2</f>
        <v>AL</v>
      </c>
      <c r="AL3" s="540" t="str">
        <f>'All Stock'!AJ$2</f>
        <v>BA</v>
      </c>
      <c r="AM3" s="540" t="str">
        <f>'All Stock'!AK$2</f>
        <v>ME</v>
      </c>
      <c r="AN3" s="540" t="str">
        <f>'All Stock'!AL$2</f>
        <v>MK</v>
      </c>
      <c r="AO3" s="540" t="str">
        <f>'All Stock'!AM$2</f>
        <v>RS</v>
      </c>
      <c r="AP3" s="540" t="str">
        <f>'All Stock'!AN$2</f>
        <v>KS</v>
      </c>
      <c r="AR3" s="542" t="s">
        <v>749</v>
      </c>
    </row>
    <row r="4" spans="1:46">
      <c r="A4" t="str">
        <f>TechComm!T23</f>
        <v>Electricity</v>
      </c>
      <c r="C4" t="str">
        <f>TechComm!L72</f>
        <v>R_ES-SC-FL_ELC</v>
      </c>
      <c r="D4" t="s">
        <v>977</v>
      </c>
      <c r="E4" t="str">
        <f>TechComm!C16</f>
        <v>R_ES-FL-SpCool</v>
      </c>
      <c r="F4" s="496">
        <f ca="1">IFERROR('All Stock'!D$16*VLOOKUP($A4,'IDEES okt 2017 template'!$C$171:$AH$171,'IDEES okt 2017 template'!D$162,FALSE),"")*$AR$4/1000</f>
        <v>2.9363862889811316</v>
      </c>
      <c r="G4" s="496">
        <f ca="1">IFERROR('All Stock'!E$16*VLOOKUP($A4,'IDEES okt 2017 template'!$C$171:$AH$171,'IDEES okt 2017 template'!E$162,FALSE),"")*$AR$4/1000</f>
        <v>1.8110460288239856</v>
      </c>
      <c r="H4" s="496">
        <f ca="1">IFERROR('All Stock'!F$16*VLOOKUP($A4,'IDEES okt 2017 template'!$C$171:$AH$171,'IDEES okt 2017 template'!F$162,FALSE),"")*$AR$4/1000</f>
        <v>1.5544354120276445</v>
      </c>
      <c r="I4" s="496">
        <f ca="1">IFERROR('All Stock'!G$16*VLOOKUP($A4,'IDEES okt 2017 template'!$C$171:$AH$171,'IDEES okt 2017 template'!G$162,FALSE),"")*$AR$4/1000</f>
        <v>3.2965704230599315</v>
      </c>
      <c r="J4" s="496">
        <f ca="1">IFERROR('All Stock'!H$16*VLOOKUP($A4,'IDEES okt 2017 template'!$C$171:$AH$171,'IDEES okt 2017 template'!H$162,FALSE),"")*$AR$4/1000</f>
        <v>0.16708974738565824</v>
      </c>
      <c r="K4" s="496">
        <f ca="1">IFERROR('All Stock'!I$16*VLOOKUP($A4,'IDEES okt 2017 template'!$C$171:$AH$171,'IDEES okt 2017 template'!I$162,FALSE),"")*$AR$4/1000</f>
        <v>4.4160624280496883</v>
      </c>
      <c r="L4" s="496">
        <f ca="1">IFERROR('All Stock'!J$16*VLOOKUP($A4,'IDEES okt 2017 template'!$C$171:$AH$171,'IDEES okt 2017 template'!J$162,FALSE),"")*$AR$4/1000</f>
        <v>37.014957869484597</v>
      </c>
      <c r="M4" s="496">
        <f ca="1">IFERROR('All Stock'!K$16*VLOOKUP($A4,'IDEES okt 2017 template'!$C$171:$AH$171,'IDEES okt 2017 template'!K$162,FALSE),"")*$AR$4/1000</f>
        <v>2.1333525034504119</v>
      </c>
      <c r="N4" s="496">
        <f ca="1">IFERROR('All Stock'!L$16*VLOOKUP($A4,'IDEES okt 2017 template'!$C$171:$AH$171,'IDEES okt 2017 template'!L$162,FALSE),"")*$AR$4/1000</f>
        <v>0.97629275750153088</v>
      </c>
      <c r="O4" s="496">
        <f ca="1">IFERROR('All Stock'!M$16*VLOOKUP($A4,'IDEES okt 2017 template'!$C$171:$AH$171,'IDEES okt 2017 template'!M$162,FALSE),"")*$AR$4/1000</f>
        <v>14.866217623707847</v>
      </c>
      <c r="P4" s="496">
        <f ca="1">IFERROR('All Stock'!N$16*VLOOKUP($A4,'IDEES okt 2017 template'!$C$171:$AH$171,'IDEES okt 2017 template'!N$162,FALSE),"")*$AR$4/1000</f>
        <v>2.2163446304614127</v>
      </c>
      <c r="Q4" s="496">
        <f ca="1">IFERROR('All Stock'!O$16*VLOOKUP($A4,'IDEES okt 2017 template'!$C$171:$AH$171,'IDEES okt 2017 template'!O$162,FALSE),"")*$AR$4/1000</f>
        <v>18.390705396354257</v>
      </c>
      <c r="R4" s="496">
        <f ca="1">IFERROR('All Stock'!P$16*VLOOKUP($A4,'IDEES okt 2017 template'!$C$171:$AH$171,'IDEES okt 2017 template'!P$162,FALSE),"")*$AR$4/1000</f>
        <v>3.3581506259559748</v>
      </c>
      <c r="S4" s="496">
        <f ca="1">IFERROR('All Stock'!Q$16*VLOOKUP($A4,'IDEES okt 2017 template'!$C$171:$AH$171,'IDEES okt 2017 template'!Q$162,FALSE),"")*$AR$4/1000</f>
        <v>1.0100494537172908</v>
      </c>
      <c r="T4" s="496">
        <f ca="1">IFERROR('All Stock'!R$16*VLOOKUP($A4,'IDEES okt 2017 template'!$C$171:$AH$171,'IDEES okt 2017 template'!R$162,FALSE),"")*$AR$4/1000</f>
        <v>2.62960461061081</v>
      </c>
      <c r="U4" s="496">
        <f ca="1">IFERROR('All Stock'!S$16*VLOOKUP($A4,'IDEES okt 2017 template'!$C$171:$AH$171,'IDEES okt 2017 template'!S$162,FALSE),"")*$AR$4/1000</f>
        <v>0.29623653962049978</v>
      </c>
      <c r="V4" s="496">
        <f ca="1">IFERROR('All Stock'!T$16*VLOOKUP($A4,'IDEES okt 2017 template'!$C$171:$AH$171,'IDEES okt 2017 template'!T$162,FALSE),"")*$AR$4/1000</f>
        <v>0.13432426927294555</v>
      </c>
      <c r="W4" s="496">
        <f ca="1">IFERROR('All Stock'!U$16*VLOOKUP($A4,'IDEES okt 2017 template'!$C$171:$AH$171,'IDEES okt 2017 template'!U$162,FALSE),"")*$AR$4/1000</f>
        <v>34.095768309843862</v>
      </c>
      <c r="X4" s="496">
        <f ca="1">IFERROR('All Stock'!V$16*VLOOKUP($A4,'IDEES okt 2017 template'!$C$171:$AH$171,'IDEES okt 2017 template'!V$162,FALSE),"")*$AR$4/1000</f>
        <v>1.4510869320967898</v>
      </c>
      <c r="Y4" s="496">
        <f ca="1">IFERROR('All Stock'!W$16*VLOOKUP($A4,'IDEES okt 2017 template'!$C$171:$AH$171,'IDEES okt 2017 template'!W$162,FALSE),"")*$AR$4/1000</f>
        <v>0.13599999927659576</v>
      </c>
      <c r="Z4" s="496">
        <f ca="1">IFERROR('All Stock'!X$16*VLOOKUP($A4,'IDEES okt 2017 template'!$C$171:$AH$171,'IDEES okt 2017 template'!X$162,FALSE),"")*$AR$4/1000</f>
        <v>1.1523203472495258</v>
      </c>
      <c r="AA4" s="496">
        <f ca="1">IFERROR('All Stock'!Y$16*VLOOKUP($A4,'IDEES okt 2017 template'!$C$171:$AH$171,'IDEES okt 2017 template'!Y$162,FALSE),"")*$AR$4/1000</f>
        <v>3.2670924949169594E-2</v>
      </c>
      <c r="AB4" s="496">
        <f ca="1">IFERROR('All Stock'!Z$16*VLOOKUP($A4,'IDEES okt 2017 template'!$C$171:$AH$171,'IDEES okt 2017 template'!Z$162,FALSE),"")*$AR$4/1000</f>
        <v>3.4574011352701999</v>
      </c>
      <c r="AC4" s="496">
        <f ca="1">IFERROR('All Stock'!AA$16*VLOOKUP($A4,'IDEES okt 2017 template'!$C$171:$AH$171,'IDEES okt 2017 template'!AA$162,FALSE),"")*$AR$4/1000</f>
        <v>2.3033256224866037</v>
      </c>
      <c r="AD4" s="496">
        <f ca="1">IFERROR('All Stock'!AB$16*VLOOKUP($A4,'IDEES okt 2017 template'!$C$171:$AH$171,'IDEES okt 2017 template'!AB$162,FALSE),"")*$AR$4/1000</f>
        <v>13.468278368821778</v>
      </c>
      <c r="AE4" s="496">
        <f ca="1">IFERROR('All Stock'!AC$16*VLOOKUP($A4,'IDEES okt 2017 template'!$C$171:$AH$171,'IDEES okt 2017 template'!AC$162,FALSE),"")*$AR$4/1000</f>
        <v>1.0293715308783498</v>
      </c>
      <c r="AF4" s="496">
        <f ca="1">IFERROR('All Stock'!AD$16*VLOOKUP($A4,'IDEES okt 2017 template'!$C$171:$AH$171,'IDEES okt 2017 template'!AD$162,FALSE),"")*$AR$4/1000</f>
        <v>4.1018146865570166</v>
      </c>
      <c r="AG4" s="496">
        <f ca="1">IFERROR('All Stock'!AE$16*VLOOKUP($A4,'IDEES okt 2017 template'!$C$171:$AH$171,'IDEES okt 2017 template'!AE$162,FALSE),"")*$AR$4/1000</f>
        <v>4.8535629844732764</v>
      </c>
      <c r="AH4" s="496">
        <f ca="1">IFERROR('All Stock'!AF$16*VLOOKUP($A4,'IDEES okt 2017 template'!$C$171:$AH$171,'IDEES okt 2017 template'!AF$162,FALSE),"")*$AR$4/1000</f>
        <v>0.92283782277722848</v>
      </c>
      <c r="AI4" s="496">
        <f ca="1">IFERROR('All Stock'!AG$16*VLOOKUP($A4,'IDEES okt 2017 template'!$C$171:$AH$171,'IDEES okt 2017 template'!AG$162,FALSE),"")*$AR$4/1000</f>
        <v>1.1607215040490511</v>
      </c>
      <c r="AJ4" s="496">
        <f ca="1">IFERROR('All Stock'!AH$16*VLOOKUP($A4,'IDEES okt 2017 template'!$C$171:$AH$171,'IDEES okt 2017 template'!AH$162,FALSE),"")*$AR$4/1000</f>
        <v>7.8564541633480767</v>
      </c>
      <c r="AK4" s="496">
        <f ca="1">IFERROR('All Stock'!AI$16*VLOOKUP($A4,'IDEES okt 2017 template'!$C$171:$AN$171,'IDEES okt 2017 template'!AI$162,FALSE),"")*$AR$4/1000</f>
        <v>0.39333944848427721</v>
      </c>
      <c r="AL4" s="496">
        <f ca="1">IFERROR('All Stock'!AJ$16*VLOOKUP($A4,'IDEES okt 2017 template'!$C$171:$AN$171,'IDEES okt 2017 template'!AJ$162,FALSE),"")*$AR$4/1000</f>
        <v>0.5423748027299502</v>
      </c>
      <c r="AM4" s="496">
        <f ca="1">IFERROR('All Stock'!AK$16*VLOOKUP($A4,'IDEES okt 2017 template'!$C$171:$AN$171,'IDEES okt 2017 template'!AK$162,FALSE),"")*$AR$4/1000</f>
        <v>0.19710453087473095</v>
      </c>
      <c r="AN4" s="496">
        <f ca="1">IFERROR('All Stock'!AL$16*VLOOKUP($A4,'IDEES okt 2017 template'!$C$171:$AN$171,'IDEES okt 2017 template'!AL$162,FALSE),"")*$AR$4/1000</f>
        <v>0.32179417213349992</v>
      </c>
      <c r="AO4" s="496">
        <f ca="1">IFERROR('All Stock'!AM$16*VLOOKUP($A4,'IDEES okt 2017 template'!$C$171:$AN$171,'IDEES okt 2017 template'!AM$162,FALSE),"")*$AR$4/1000</f>
        <v>1.6025550480823996</v>
      </c>
      <c r="AP4" s="496">
        <f ca="1">IFERROR('All Stock'!AN$16*VLOOKUP($A4,'IDEES okt 2017 template'!$C$171:$AN$171,'IDEES okt 2017 template'!AN$162,FALSE),"")*$AR$4/1000</f>
        <v>0.31926856481372257</v>
      </c>
      <c r="AQ4" s="509"/>
      <c r="AR4" s="530">
        <v>2</v>
      </c>
      <c r="AS4" t="str">
        <f>A25</f>
        <v>Electricity</v>
      </c>
      <c r="AT4" s="509"/>
    </row>
    <row r="5" spans="1:46">
      <c r="A5" t="str">
        <f>A4</f>
        <v>Electricity</v>
      </c>
      <c r="C5" t="str">
        <f>TechComm!L73</f>
        <v>R_ES-SC-DH_ELC</v>
      </c>
      <c r="D5" t="str">
        <f>D4</f>
        <v>RSDELC-other</v>
      </c>
      <c r="E5" t="str">
        <f>TechComm!C17</f>
        <v>R_ES-DH-SpCool</v>
      </c>
      <c r="F5" s="496">
        <f ca="1">IFERROR('All Stock'!D$12*VLOOKUP($A5,'IDEES okt 2017 template'!$C$171:$AH$171,'IDEES okt 2017 template'!D$162,FALSE),"")*$AR$5/1000</f>
        <v>5.0758087103336544</v>
      </c>
      <c r="G5" s="496">
        <f ca="1">IFERROR('All Stock'!E$12*VLOOKUP($A5,'IDEES okt 2017 template'!$C$171:$AH$171,'IDEES okt 2017 template'!E$162,FALSE),"")*$AR$5/1000</f>
        <v>4.751936087939991</v>
      </c>
      <c r="H5" s="496">
        <f ca="1">IFERROR('All Stock'!F$12*VLOOKUP($A5,'IDEES okt 2017 template'!$C$171:$AH$171,'IDEES okt 2017 template'!F$162,FALSE),"")*$AR$5/1000</f>
        <v>3.0850617524110566</v>
      </c>
      <c r="I5" s="496">
        <f ca="1">IFERROR('All Stock'!G$12*VLOOKUP($A5,'IDEES okt 2017 template'!$C$171:$AH$171,'IDEES okt 2017 template'!G$162,FALSE),"")*$AR$5/1000</f>
        <v>4.2077511918099946</v>
      </c>
      <c r="J5" s="496">
        <f ca="1">IFERROR('All Stock'!H$12*VLOOKUP($A5,'IDEES okt 2017 template'!$C$171:$AH$171,'IDEES okt 2017 template'!H$162,FALSE),"")*$AR$5/1000</f>
        <v>0.52926053254483019</v>
      </c>
      <c r="K5" s="496">
        <f ca="1">IFERROR('All Stock'!I$12*VLOOKUP($A5,'IDEES okt 2017 template'!$C$171:$AH$171,'IDEES okt 2017 template'!I$162,FALSE),"")*$AR$5/1000</f>
        <v>5.1352919804299271</v>
      </c>
      <c r="L5" s="496">
        <f ca="1">IFERROR('All Stock'!J$12*VLOOKUP($A5,'IDEES okt 2017 template'!$C$171:$AH$171,'IDEES okt 2017 template'!J$162,FALSE),"")*$AR$5/1000</f>
        <v>38.668222888864996</v>
      </c>
      <c r="M5" s="496">
        <f ca="1">IFERROR('All Stock'!K$12*VLOOKUP($A5,'IDEES okt 2017 template'!$C$171:$AH$171,'IDEES okt 2017 template'!K$162,FALSE),"")*$AR$5/1000</f>
        <v>4.9869064487514185</v>
      </c>
      <c r="N5" s="496">
        <f ca="1">IFERROR('All Stock'!L$12*VLOOKUP($A5,'IDEES okt 2017 template'!$C$171:$AH$171,'IDEES okt 2017 template'!L$162,FALSE),"")*$AR$5/1000</f>
        <v>0.55833970352174089</v>
      </c>
      <c r="O5" s="496">
        <f ca="1">IFERROR('All Stock'!M$12*VLOOKUP($A5,'IDEES okt 2017 template'!$C$171:$AH$171,'IDEES okt 2017 template'!M$162,FALSE),"")*$AR$5/1000</f>
        <v>4.8649230756031274</v>
      </c>
      <c r="P5" s="496">
        <f ca="1">IFERROR('All Stock'!N$12*VLOOKUP($A5,'IDEES okt 2017 template'!$C$171:$AH$171,'IDEES okt 2017 template'!N$162,FALSE),"")*$AR$5/1000</f>
        <v>3.9606073436567524</v>
      </c>
      <c r="Q5" s="496">
        <f ca="1">IFERROR('All Stock'!O$12*VLOOKUP($A5,'IDEES okt 2017 template'!$C$171:$AH$171,'IDEES okt 2017 template'!O$162,FALSE),"")*$AR$5/1000</f>
        <v>31.494305632534552</v>
      </c>
      <c r="R5" s="496">
        <f ca="1">IFERROR('All Stock'!P$12*VLOOKUP($A5,'IDEES okt 2017 template'!$C$171:$AH$171,'IDEES okt 2017 template'!P$162,FALSE),"")*$AR$5/1000</f>
        <v>3.6440629226428793</v>
      </c>
      <c r="S5" s="496">
        <f ca="1">IFERROR('All Stock'!Q$12*VLOOKUP($A5,'IDEES okt 2017 template'!$C$171:$AH$171,'IDEES okt 2017 template'!Q$162,FALSE),"")*$AR$5/1000</f>
        <v>3.1804192554352575</v>
      </c>
      <c r="T5" s="496">
        <f ca="1">IFERROR('All Stock'!R$12*VLOOKUP($A5,'IDEES okt 2017 template'!$C$171:$AH$171,'IDEES okt 2017 template'!R$162,FALSE),"")*$AR$5/1000</f>
        <v>7.683310340645547</v>
      </c>
      <c r="U5" s="496">
        <f ca="1">IFERROR('All Stock'!S$12*VLOOKUP($A5,'IDEES okt 2017 template'!$C$171:$AH$171,'IDEES okt 2017 template'!S$162,FALSE),"")*$AR$5/1000</f>
        <v>2.3274690868337866</v>
      </c>
      <c r="V5" s="496">
        <f ca="1">IFERROR('All Stock'!T$12*VLOOKUP($A5,'IDEES okt 2017 template'!$C$171:$AH$171,'IDEES okt 2017 template'!T$162,FALSE),"")*$AR$5/1000</f>
        <v>0.21791251851046869</v>
      </c>
      <c r="W5" s="496">
        <f ca="1">IFERROR('All Stock'!U$12*VLOOKUP($A5,'IDEES okt 2017 template'!$C$171:$AH$171,'IDEES okt 2017 template'!U$162,FALSE),"")*$AR$5/1000</f>
        <v>10.559038732446032</v>
      </c>
      <c r="X5" s="496">
        <f ca="1">IFERROR('All Stock'!V$12*VLOOKUP($A5,'IDEES okt 2017 template'!$C$171:$AH$171,'IDEES okt 2017 template'!V$162,FALSE),"")*$AR$5/1000</f>
        <v>1.3031302131826694</v>
      </c>
      <c r="Y5" s="496">
        <f ca="1">IFERROR('All Stock'!W$12*VLOOKUP($A5,'IDEES okt 2017 template'!$C$171:$AH$171,'IDEES okt 2017 template'!W$162,FALSE),"")*$AR$5/1000</f>
        <v>0.26155688483628492</v>
      </c>
      <c r="Z5" s="496">
        <f ca="1">IFERROR('All Stock'!X$12*VLOOKUP($A5,'IDEES okt 2017 template'!$C$171:$AH$171,'IDEES okt 2017 template'!X$162,FALSE),"")*$AR$5/1000</f>
        <v>0.92164432445794531</v>
      </c>
      <c r="AA5" s="496">
        <f ca="1">IFERROR('All Stock'!Y$12*VLOOKUP($A5,'IDEES okt 2017 template'!$C$171:$AH$171,'IDEES okt 2017 template'!Y$162,FALSE),"")*$AR$5/1000</f>
        <v>1.7840613083661905E-2</v>
      </c>
      <c r="AB5" s="496">
        <f ca="1">IFERROR('All Stock'!Z$12*VLOOKUP($A5,'IDEES okt 2017 template'!$C$171:$AH$171,'IDEES okt 2017 template'!Z$162,FALSE),"")*$AR$5/1000</f>
        <v>3.1789453862571935</v>
      </c>
      <c r="AC5" s="496">
        <f ca="1">IFERROR('All Stock'!AA$12*VLOOKUP($A5,'IDEES okt 2017 template'!$C$171:$AH$171,'IDEES okt 2017 template'!AA$162,FALSE),"")*$AR$5/1000</f>
        <v>2.318062514754057</v>
      </c>
      <c r="AD5" s="496">
        <f ca="1">IFERROR('All Stock'!AB$12*VLOOKUP($A5,'IDEES okt 2017 template'!$C$171:$AH$171,'IDEES okt 2017 template'!AB$162,FALSE),"")*$AR$5/1000</f>
        <v>16.624337922650486</v>
      </c>
      <c r="AE5" s="496">
        <f ca="1">IFERROR('All Stock'!AC$12*VLOOKUP($A5,'IDEES okt 2017 template'!$C$171:$AH$171,'IDEES okt 2017 template'!AC$162,FALSE),"")*$AR$5/1000</f>
        <v>2.0490767979145228</v>
      </c>
      <c r="AF5" s="496">
        <f ca="1">IFERROR('All Stock'!AD$12*VLOOKUP($A5,'IDEES okt 2017 template'!$C$171:$AH$171,'IDEES okt 2017 template'!AD$162,FALSE),"")*$AR$5/1000</f>
        <v>10.517399133552718</v>
      </c>
      <c r="AG5" s="496">
        <f ca="1">IFERROR('All Stock'!AE$12*VLOOKUP($A5,'IDEES okt 2017 template'!$C$171:$AH$171,'IDEES okt 2017 template'!AE$162,FALSE),"")*$AR$5/1000</f>
        <v>5.8936531847897271</v>
      </c>
      <c r="AH5" s="496">
        <f ca="1">IFERROR('All Stock'!AF$12*VLOOKUP($A5,'IDEES okt 2017 template'!$C$171:$AH$171,'IDEES okt 2017 template'!AF$162,FALSE),"")*$AR$5/1000</f>
        <v>0.9753237950205359</v>
      </c>
      <c r="AI5" s="496">
        <f ca="1">IFERROR('All Stock'!AG$12*VLOOKUP($A5,'IDEES okt 2017 template'!$C$171:$AH$171,'IDEES okt 2017 template'!AG$162,FALSE),"")*$AR$5/1000</f>
        <v>2.1575150312034244</v>
      </c>
      <c r="AJ5" s="496">
        <f ca="1">IFERROR('All Stock'!AH$12*VLOOKUP($A5,'IDEES okt 2017 template'!$C$171:$AH$171,'IDEES okt 2017 template'!AH$162,FALSE),"")*$AR$5/1000</f>
        <v>19.054887717584688</v>
      </c>
      <c r="AK5" s="496">
        <f ca="1">IFERROR('All Stock'!AI$12*VLOOKUP($A5,'IDEES okt 2017 template'!$C$171:$AN$171,'IDEES okt 2017 template'!AI$162,FALSE),"")*$AR$5/1000</f>
        <v>0.42682829327416383</v>
      </c>
      <c r="AL5" s="496">
        <f ca="1">IFERROR('All Stock'!AJ$12*VLOOKUP($A5,'IDEES okt 2017 template'!$C$171:$AN$171,'IDEES okt 2017 template'!AJ$162,FALSE),"")*$AR$5/1000</f>
        <v>1.1155048233636051</v>
      </c>
      <c r="AM5" s="496">
        <f ca="1">IFERROR('All Stock'!AK$12*VLOOKUP($A5,'IDEES okt 2017 template'!$C$171:$AN$171,'IDEES okt 2017 template'!AK$162,FALSE),"")*$AR$5/1000</f>
        <v>0.21388597262252232</v>
      </c>
      <c r="AN5" s="496">
        <f ca="1">IFERROR('All Stock'!AL$12*VLOOKUP($A5,'IDEES okt 2017 template'!$C$171:$AN$171,'IDEES okt 2017 template'!AL$162,FALSE),"")*$AR$5/1000</f>
        <v>0.58225060034608689</v>
      </c>
      <c r="AO5" s="496">
        <f ca="1">IFERROR('All Stock'!AM$12*VLOOKUP($A5,'IDEES okt 2017 template'!$C$171:$AN$171,'IDEES okt 2017 template'!AM$162,FALSE),"")*$AR$5/1000</f>
        <v>3.295982550892377</v>
      </c>
      <c r="AP5" s="496">
        <f ca="1">IFERROR('All Stock'!AN$12*VLOOKUP($A5,'IDEES okt 2017 template'!$C$171:$AN$171,'IDEES okt 2017 template'!AN$162,FALSE),"")*$AR$5/1000</f>
        <v>0.65664116807323192</v>
      </c>
      <c r="AQ5" s="509"/>
      <c r="AR5">
        <v>5</v>
      </c>
      <c r="AS5" t="str">
        <f>A26</f>
        <v>Electricity</v>
      </c>
      <c r="AT5" s="509"/>
    </row>
    <row r="6" spans="1:46">
      <c r="A6" t="str">
        <f>A5</f>
        <v>Electricity</v>
      </c>
      <c r="C6" t="str">
        <f>TechComm!L74</f>
        <v>R_ES-SC-SD_ELC</v>
      </c>
      <c r="D6" t="str">
        <f>D5</f>
        <v>RSDELC-other</v>
      </c>
      <c r="E6" t="str">
        <f>TechComm!C18</f>
        <v>R_ES-SD-SpCool</v>
      </c>
      <c r="F6" s="496">
        <f ca="1">IFERROR('All Stock'!D$15*VLOOKUP($A6,'IDEES okt 2017 template'!$C$171:$AH$171,'IDEES okt 2017 template'!D$162,FALSE),"")*$AR$6/1000</f>
        <v>2.3522040364960848</v>
      </c>
      <c r="G6" s="496">
        <f ca="1">IFERROR('All Stock'!E$15*VLOOKUP($A6,'IDEES okt 2017 template'!$C$171:$AH$171,'IDEES okt 2017 template'!E$162,FALSE),"")*$AR$6/1000</f>
        <v>7.9284324486114652</v>
      </c>
      <c r="H6" s="496">
        <f ca="1">IFERROR('All Stock'!F$15*VLOOKUP($A6,'IDEES okt 2017 template'!$C$171:$AH$171,'IDEES okt 2017 template'!F$162,FALSE),"")*$AR$6/1000</f>
        <v>1.6766639958755751</v>
      </c>
      <c r="I6" s="496">
        <f ca="1">IFERROR('All Stock'!G$15*VLOOKUP($A6,'IDEES okt 2017 template'!$C$171:$AH$171,'IDEES okt 2017 template'!G$162,FALSE),"")*$AR$6/1000</f>
        <v>4.7204603706439876</v>
      </c>
      <c r="J6" s="496">
        <f ca="1">IFERROR('All Stock'!H$15*VLOOKUP($A6,'IDEES okt 2017 template'!$C$171:$AH$171,'IDEES okt 2017 template'!H$162,FALSE),"")*$AR$6/1000</f>
        <v>0.5405213949394011</v>
      </c>
      <c r="K6" s="496">
        <f ca="1">IFERROR('All Stock'!I$15*VLOOKUP($A6,'IDEES okt 2017 template'!$C$171:$AH$171,'IDEES okt 2017 template'!I$162,FALSE),"")*$AR$6/1000</f>
        <v>3.0439029077548345</v>
      </c>
      <c r="L6" s="496">
        <f ca="1">IFERROR('All Stock'!J$15*VLOOKUP($A6,'IDEES okt 2017 template'!$C$171:$AH$171,'IDEES okt 2017 template'!J$162,FALSE),"")*$AR$6/1000</f>
        <v>40.425869383813399</v>
      </c>
      <c r="M6" s="496">
        <f ca="1">IFERROR('All Stock'!K$15*VLOOKUP($A6,'IDEES okt 2017 template'!$C$171:$AH$171,'IDEES okt 2017 template'!K$162,FALSE),"")*$AR$6/1000</f>
        <v>2.6550254998606495</v>
      </c>
      <c r="N6" s="496">
        <f ca="1">IFERROR('All Stock'!L$15*VLOOKUP($A6,'IDEES okt 2017 template'!$C$171:$AH$171,'IDEES okt 2017 template'!L$162,FALSE),"")*$AR$6/1000</f>
        <v>0.25902840272443189</v>
      </c>
      <c r="O6" s="496">
        <f ca="1">IFERROR('All Stock'!M$15*VLOOKUP($A6,'IDEES okt 2017 template'!$C$171:$AH$171,'IDEES okt 2017 template'!M$162,FALSE),"")*$AR$6/1000</f>
        <v>10.785105200693691</v>
      </c>
      <c r="P6" s="496">
        <f ca="1">IFERROR('All Stock'!N$15*VLOOKUP($A6,'IDEES okt 2017 template'!$C$171:$AH$171,'IDEES okt 2017 template'!N$162,FALSE),"")*$AR$6/1000</f>
        <v>2.9935310801897157</v>
      </c>
      <c r="Q6" s="496">
        <f ca="1">IFERROR('All Stock'!O$15*VLOOKUP($A6,'IDEES okt 2017 template'!$C$171:$AH$171,'IDEES okt 2017 template'!O$162,FALSE),"")*$AR$6/1000</f>
        <v>28.002855460601985</v>
      </c>
      <c r="R6" s="496">
        <f ca="1">IFERROR('All Stock'!P$15*VLOOKUP($A6,'IDEES okt 2017 template'!$C$171:$AH$171,'IDEES okt 2017 template'!P$162,FALSE),"")*$AR$6/1000</f>
        <v>2.0604281011205066</v>
      </c>
      <c r="S6" s="496">
        <f ca="1">IFERROR('All Stock'!Q$15*VLOOKUP($A6,'IDEES okt 2017 template'!$C$171:$AH$171,'IDEES okt 2017 template'!Q$162,FALSE),"")*$AR$6/1000</f>
        <v>1.1381979869622749</v>
      </c>
      <c r="T6" s="496">
        <f ca="1">IFERROR('All Stock'!R$15*VLOOKUP($A6,'IDEES okt 2017 template'!$C$171:$AH$171,'IDEES okt 2017 template'!R$162,FALSE),"")*$AR$6/1000</f>
        <v>2.8376545233057113</v>
      </c>
      <c r="U6" s="496">
        <f ca="1">IFERROR('All Stock'!S$15*VLOOKUP($A6,'IDEES okt 2017 template'!$C$171:$AH$171,'IDEES okt 2017 template'!S$162,FALSE),"")*$AR$6/1000</f>
        <v>3.5008983277790753</v>
      </c>
      <c r="V6" s="496">
        <f ca="1">IFERROR('All Stock'!T$15*VLOOKUP($A6,'IDEES okt 2017 template'!$C$171:$AH$171,'IDEES okt 2017 template'!T$162,FALSE),"")*$AR$6/1000</f>
        <v>0.20355152158857537</v>
      </c>
      <c r="W6" s="496">
        <f ca="1">IFERROR('All Stock'!U$15*VLOOKUP($A6,'IDEES okt 2017 template'!$C$171:$AH$171,'IDEES okt 2017 template'!U$162,FALSE),"")*$AR$6/1000</f>
        <v>18.778290473043217</v>
      </c>
      <c r="X6" s="496">
        <f ca="1">IFERROR('All Stock'!V$15*VLOOKUP($A6,'IDEES okt 2017 template'!$C$171:$AH$171,'IDEES okt 2017 template'!V$162,FALSE),"")*$AR$6/1000</f>
        <v>0.65896925552987284</v>
      </c>
      <c r="Y6" s="496">
        <f ca="1">IFERROR('All Stock'!W$15*VLOOKUP($A6,'IDEES okt 2017 template'!$C$171:$AH$171,'IDEES okt 2017 template'!W$162,FALSE),"")*$AR$6/1000</f>
        <v>0.33844311197222571</v>
      </c>
      <c r="Z6" s="496">
        <f ca="1">IFERROR('All Stock'!X$15*VLOOKUP($A6,'IDEES okt 2017 template'!$C$171:$AH$171,'IDEES okt 2017 template'!X$162,FALSE),"")*$AR$6/1000</f>
        <v>0.36807807926465103</v>
      </c>
      <c r="AA6" s="496">
        <f ca="1">IFERROR('All Stock'!Y$15*VLOOKUP($A6,'IDEES okt 2017 template'!$C$171:$AH$171,'IDEES okt 2017 template'!Y$162,FALSE),"")*$AR$6/1000</f>
        <v>0.22796338940234659</v>
      </c>
      <c r="AB6" s="496">
        <f ca="1">IFERROR('All Stock'!Z$15*VLOOKUP($A6,'IDEES okt 2017 template'!$C$171:$AH$171,'IDEES okt 2017 template'!Z$162,FALSE),"")*$AR$6/1000</f>
        <v>16.787578876191535</v>
      </c>
      <c r="AC6" s="496">
        <f ca="1">IFERROR('All Stock'!AA$15*VLOOKUP($A6,'IDEES okt 2017 template'!$C$171:$AH$171,'IDEES okt 2017 template'!AA$162,FALSE),"")*$AR$6/1000</f>
        <v>1.8206528894711642</v>
      </c>
      <c r="AD6" s="496">
        <f ca="1">IFERROR('All Stock'!AB$15*VLOOKUP($A6,'IDEES okt 2017 template'!$C$171:$AH$171,'IDEES okt 2017 template'!AB$162,FALSE),"")*$AR$6/1000</f>
        <v>6.23837629612754</v>
      </c>
      <c r="AE6" s="496">
        <f ca="1">IFERROR('All Stock'!AC$15*VLOOKUP($A6,'IDEES okt 2017 template'!$C$171:$AH$171,'IDEES okt 2017 template'!AC$162,FALSE),"")*$AR$6/1000</f>
        <v>1.6541500505332145</v>
      </c>
      <c r="AF6" s="496">
        <f ca="1">IFERROR('All Stock'!AD$15*VLOOKUP($A6,'IDEES okt 2017 template'!$C$171:$AH$171,'IDEES okt 2017 template'!AD$162,FALSE),"")*$AR$6/1000</f>
        <v>3.0204927263715451</v>
      </c>
      <c r="AG6" s="496">
        <f ca="1">IFERROR('All Stock'!AE$15*VLOOKUP($A6,'IDEES okt 2017 template'!$C$171:$AH$171,'IDEES okt 2017 template'!AE$162,FALSE),"")*$AR$6/1000</f>
        <v>2.8274393490270859</v>
      </c>
      <c r="AH6" s="496">
        <f ca="1">IFERROR('All Stock'!AF$15*VLOOKUP($A6,'IDEES okt 2017 template'!$C$171:$AH$171,'IDEES okt 2017 template'!AF$162,FALSE),"")*$AR$6/1000</f>
        <v>0.32437570660217535</v>
      </c>
      <c r="AI6" s="496">
        <f ca="1">IFERROR('All Stock'!AG$15*VLOOKUP($A6,'IDEES okt 2017 template'!$C$171:$AH$171,'IDEES okt 2017 template'!AG$162,FALSE),"")*$AR$6/1000</f>
        <v>0.64206609646033774</v>
      </c>
      <c r="AJ6" s="496">
        <f ca="1">IFERROR('All Stock'!AH$15*VLOOKUP($A6,'IDEES okt 2017 template'!$C$171:$AH$171,'IDEES okt 2017 template'!AH$162,FALSE),"")*$AR$6/1000</f>
        <v>66.153945956761049</v>
      </c>
      <c r="AK6" s="496">
        <f ca="1">IFERROR('All Stock'!AI$15*VLOOKUP($A6,'IDEES okt 2017 template'!$C$171:$AN$171,'IDEES okt 2017 template'!AI$162,FALSE),"")*$AR$6/1000</f>
        <v>0.24133749292604603</v>
      </c>
      <c r="AL6" s="496">
        <f ca="1">IFERROR('All Stock'!AJ$15*VLOOKUP($A6,'IDEES okt 2017 template'!$C$171:$AN$171,'IDEES okt 2017 template'!AJ$162,FALSE),"")*$AR$6/1000</f>
        <v>0.3992131987722487</v>
      </c>
      <c r="AM6" s="496">
        <f ca="1">IFERROR('All Stock'!AK$15*VLOOKUP($A6,'IDEES okt 2017 template'!$C$171:$AN$171,'IDEES okt 2017 template'!AK$162,FALSE),"")*$AR$6/1000</f>
        <v>0.12093552657628601</v>
      </c>
      <c r="AN6" s="496">
        <f ca="1">IFERROR('All Stock'!AL$15*VLOOKUP($A6,'IDEES okt 2017 template'!$C$171:$AN$171,'IDEES okt 2017 template'!AL$162,FALSE),"")*$AR$6/1000</f>
        <v>0.31644054366635155</v>
      </c>
      <c r="AO6" s="496">
        <f ca="1">IFERROR('All Stock'!AM$15*VLOOKUP($A6,'IDEES okt 2017 template'!$C$171:$AN$171,'IDEES okt 2017 template'!AM$162,FALSE),"")*$AR$6/1000</f>
        <v>1.1795553992063466</v>
      </c>
      <c r="AP6" s="496">
        <f ca="1">IFERROR('All Stock'!AN$15*VLOOKUP($A6,'IDEES okt 2017 template'!$C$171:$AN$171,'IDEES okt 2017 template'!AN$162,FALSE),"")*$AR$6/1000</f>
        <v>0.23499658240976953</v>
      </c>
      <c r="AQ6" s="509"/>
      <c r="AR6">
        <f>AR5</f>
        <v>5</v>
      </c>
      <c r="AS6" t="str">
        <f>A27</f>
        <v>Electricity</v>
      </c>
      <c r="AT6" s="509"/>
    </row>
    <row r="7" spans="1:46">
      <c r="F7" s="509"/>
      <c r="G7" s="509"/>
      <c r="H7" s="509"/>
      <c r="I7" s="509"/>
      <c r="J7" s="509"/>
      <c r="K7" s="509"/>
      <c r="L7" s="509"/>
      <c r="M7" s="509"/>
      <c r="N7" s="509"/>
      <c r="O7" s="509"/>
      <c r="P7" s="509"/>
      <c r="Q7" s="509"/>
      <c r="R7" s="509"/>
      <c r="S7" s="509"/>
      <c r="T7" s="509"/>
      <c r="U7" s="509"/>
      <c r="V7" s="509"/>
      <c r="W7" s="509"/>
      <c r="X7" s="509"/>
      <c r="Y7" s="509"/>
      <c r="Z7" s="509"/>
      <c r="AA7" s="509"/>
      <c r="AB7" s="509"/>
      <c r="AC7" s="509"/>
      <c r="AD7" s="509"/>
      <c r="AE7" s="509"/>
      <c r="AF7" s="509"/>
      <c r="AG7" s="509"/>
      <c r="AH7" s="509"/>
      <c r="AI7" s="509"/>
      <c r="AJ7" s="509"/>
      <c r="AK7" s="509"/>
      <c r="AL7" s="509"/>
      <c r="AM7" s="509"/>
      <c r="AN7" s="509"/>
      <c r="AO7" s="509"/>
      <c r="AP7" s="509"/>
      <c r="AQ7" s="509"/>
      <c r="AR7" s="509"/>
      <c r="AS7" s="509"/>
      <c r="AT7" s="509"/>
    </row>
    <row r="8" spans="1:46">
      <c r="F8" s="509"/>
      <c r="G8" s="509"/>
      <c r="H8" s="509"/>
      <c r="I8" s="509"/>
      <c r="J8" s="509"/>
      <c r="K8" s="509"/>
      <c r="L8" s="509"/>
      <c r="M8" s="509"/>
      <c r="N8" s="509"/>
      <c r="O8" s="509"/>
      <c r="P8" s="509"/>
      <c r="Q8" s="509"/>
      <c r="R8" s="509"/>
      <c r="S8" s="509"/>
      <c r="T8" s="509"/>
      <c r="U8" s="509"/>
      <c r="V8" s="509"/>
      <c r="W8" s="509"/>
      <c r="X8" s="509"/>
      <c r="Y8" s="509"/>
      <c r="Z8" s="509"/>
      <c r="AA8" s="509"/>
      <c r="AB8" s="509"/>
      <c r="AC8" s="509"/>
      <c r="AD8" s="509"/>
      <c r="AE8" s="509"/>
      <c r="AF8" s="509"/>
      <c r="AG8" s="509"/>
      <c r="AH8" s="509"/>
      <c r="AI8" s="509"/>
      <c r="AJ8" s="509"/>
      <c r="AK8" s="509"/>
      <c r="AL8" s="509"/>
      <c r="AM8" s="509"/>
      <c r="AN8" s="509"/>
      <c r="AO8" s="509"/>
      <c r="AP8" s="509"/>
      <c r="AQ8" s="509"/>
      <c r="AR8" s="509"/>
      <c r="AS8" s="509"/>
      <c r="AT8" s="509"/>
    </row>
    <row r="9" spans="1:46">
      <c r="E9" s="533" t="s">
        <v>601</v>
      </c>
      <c r="AQ9" s="509"/>
      <c r="AR9" s="509"/>
      <c r="AS9" s="509"/>
      <c r="AT9" s="509"/>
    </row>
    <row r="10" spans="1:46" ht="15" thickBot="1">
      <c r="C10" s="539" t="s">
        <v>545</v>
      </c>
      <c r="D10" s="539" t="s">
        <v>585</v>
      </c>
      <c r="E10" s="539" t="s">
        <v>552</v>
      </c>
      <c r="F10" s="540" t="str">
        <f>'All Stock'!D$2</f>
        <v>AT</v>
      </c>
      <c r="G10" s="540" t="str">
        <f>'All Stock'!E$2</f>
        <v>BE</v>
      </c>
      <c r="H10" s="540" t="str">
        <f>'All Stock'!F$2</f>
        <v>BG</v>
      </c>
      <c r="I10" s="540" t="str">
        <f>'All Stock'!G$2</f>
        <v>CH</v>
      </c>
      <c r="J10" s="540" t="str">
        <f>'All Stock'!H$2</f>
        <v>CY</v>
      </c>
      <c r="K10" s="540" t="str">
        <f>'All Stock'!I$2</f>
        <v>CZ</v>
      </c>
      <c r="L10" s="540" t="str">
        <f>'All Stock'!J$2</f>
        <v>DE</v>
      </c>
      <c r="M10" s="540" t="str">
        <f>'All Stock'!K$2</f>
        <v>DK</v>
      </c>
      <c r="N10" s="540" t="str">
        <f>'All Stock'!L$2</f>
        <v>EE</v>
      </c>
      <c r="O10" s="540" t="str">
        <f>'All Stock'!M$2</f>
        <v>ES</v>
      </c>
      <c r="P10" s="540" t="str">
        <f>'All Stock'!N$2</f>
        <v>FI</v>
      </c>
      <c r="Q10" s="540" t="str">
        <f>'All Stock'!O$2</f>
        <v>FR</v>
      </c>
      <c r="R10" s="540" t="str">
        <f>'All Stock'!P$2</f>
        <v>EL</v>
      </c>
      <c r="S10" s="540" t="str">
        <f>'All Stock'!Q$2</f>
        <v>HR</v>
      </c>
      <c r="T10" s="540" t="str">
        <f>'All Stock'!R$2</f>
        <v>HU</v>
      </c>
      <c r="U10" s="540" t="str">
        <f>'All Stock'!S$2</f>
        <v>IE</v>
      </c>
      <c r="V10" s="540" t="str">
        <f>'All Stock'!T$2</f>
        <v>IS</v>
      </c>
      <c r="W10" s="540" t="str">
        <f>'All Stock'!U$2</f>
        <v>IT</v>
      </c>
      <c r="X10" s="540" t="str">
        <f>'All Stock'!V$2</f>
        <v>LT</v>
      </c>
      <c r="Y10" s="540" t="str">
        <f>'All Stock'!W$2</f>
        <v>LU</v>
      </c>
      <c r="Z10" s="540" t="str">
        <f>'All Stock'!X$2</f>
        <v>LV</v>
      </c>
      <c r="AA10" s="540" t="str">
        <f>'All Stock'!Y$2</f>
        <v>MT</v>
      </c>
      <c r="AB10" s="540" t="str">
        <f>'All Stock'!Z$2</f>
        <v>NL</v>
      </c>
      <c r="AC10" s="540" t="str">
        <f>'All Stock'!AA$2</f>
        <v>NO</v>
      </c>
      <c r="AD10" s="540" t="str">
        <f>'All Stock'!AB$2</f>
        <v>PL</v>
      </c>
      <c r="AE10" s="540" t="str">
        <f>'All Stock'!AC$2</f>
        <v>PT</v>
      </c>
      <c r="AF10" s="540" t="str">
        <f>'All Stock'!AD$2</f>
        <v>RO</v>
      </c>
      <c r="AG10" s="540" t="str">
        <f>'All Stock'!AE$2</f>
        <v>SE</v>
      </c>
      <c r="AH10" s="540" t="str">
        <f>'All Stock'!AF$2</f>
        <v>SI</v>
      </c>
      <c r="AI10" s="540" t="str">
        <f>'All Stock'!AG$2</f>
        <v>SK</v>
      </c>
      <c r="AJ10" s="540" t="str">
        <f>'All Stock'!AH$2</f>
        <v>UK</v>
      </c>
      <c r="AK10" s="540" t="str">
        <f>'All Stock'!AI$2</f>
        <v>AL</v>
      </c>
      <c r="AL10" s="540" t="str">
        <f>'All Stock'!AJ$2</f>
        <v>BA</v>
      </c>
      <c r="AM10" s="540" t="str">
        <f>'All Stock'!AK$2</f>
        <v>ME</v>
      </c>
      <c r="AN10" s="540" t="str">
        <f>'All Stock'!AL$2</f>
        <v>MK</v>
      </c>
      <c r="AO10" s="540" t="str">
        <f>'All Stock'!AM$2</f>
        <v>RS</v>
      </c>
      <c r="AP10" s="540" t="str">
        <f>'All Stock'!AN$2</f>
        <v>KS</v>
      </c>
      <c r="AQ10" s="509"/>
      <c r="AR10" s="509"/>
      <c r="AS10" s="509"/>
      <c r="AT10" s="509"/>
    </row>
    <row r="11" spans="1:46">
      <c r="A11" t="str">
        <f>A4</f>
        <v>Electricity</v>
      </c>
      <c r="C11" t="str">
        <f>C4</f>
        <v>R_ES-SC-FL_ELC</v>
      </c>
      <c r="E11" t="str">
        <f>E4</f>
        <v>R_ES-FL-SpCool</v>
      </c>
      <c r="F11" s="496">
        <f>'IDEES okt 2017 template'!D140</f>
        <v>2.1</v>
      </c>
      <c r="G11" s="496">
        <f>'IDEES okt 2017 template'!E140</f>
        <v>2.0499999999999998</v>
      </c>
      <c r="H11" s="496">
        <f>'IDEES okt 2017 template'!F140</f>
        <v>1.9</v>
      </c>
      <c r="I11" s="496">
        <f>'IDEES okt 2017 template'!G140</f>
        <v>2.19</v>
      </c>
      <c r="J11" s="496">
        <f>'IDEES okt 2017 template'!H140</f>
        <v>1.8</v>
      </c>
      <c r="K11" s="496">
        <f>'IDEES okt 2017 template'!I140</f>
        <v>1.95</v>
      </c>
      <c r="L11" s="496">
        <f>'IDEES okt 2017 template'!J140</f>
        <v>2.19</v>
      </c>
      <c r="M11" s="496">
        <f>'IDEES okt 2017 template'!K140</f>
        <v>2.14</v>
      </c>
      <c r="N11" s="496">
        <f>'IDEES okt 2017 template'!L140</f>
        <v>2</v>
      </c>
      <c r="O11" s="496">
        <f>'IDEES okt 2017 template'!M140</f>
        <v>2</v>
      </c>
      <c r="P11" s="496">
        <f>'IDEES okt 2017 template'!N140</f>
        <v>2.14</v>
      </c>
      <c r="Q11" s="496">
        <f>'IDEES okt 2017 template'!O140</f>
        <v>2.1</v>
      </c>
      <c r="R11" s="496">
        <f>'IDEES okt 2017 template'!P140</f>
        <v>1.95</v>
      </c>
      <c r="S11" s="496">
        <f>'IDEES okt 2017 template'!Q140</f>
        <v>1.97</v>
      </c>
      <c r="T11" s="496">
        <f>'IDEES okt 2017 template'!R140</f>
        <v>1.92</v>
      </c>
      <c r="U11" s="496">
        <f>'IDEES okt 2017 template'!S140</f>
        <v>2.0699999999999998</v>
      </c>
      <c r="V11" s="496">
        <f>'IDEES okt 2017 template'!T140</f>
        <v>2.14</v>
      </c>
      <c r="W11" s="496">
        <f>'IDEES okt 2017 template'!U140</f>
        <v>2.0299999999999998</v>
      </c>
      <c r="X11" s="496">
        <f>'IDEES okt 2017 template'!V140</f>
        <v>1.95</v>
      </c>
      <c r="Y11" s="496">
        <f>'IDEES okt 2017 template'!W140</f>
        <v>2.1</v>
      </c>
      <c r="Z11" s="496">
        <f>'IDEES okt 2017 template'!X140</f>
        <v>2</v>
      </c>
      <c r="AA11" s="496">
        <f>'IDEES okt 2017 template'!Y140</f>
        <v>1.85</v>
      </c>
      <c r="AB11" s="496">
        <f>'IDEES okt 2017 template'!Z140</f>
        <v>2.125</v>
      </c>
      <c r="AC11" s="496">
        <f>'IDEES okt 2017 template'!AA140</f>
        <v>2.14</v>
      </c>
      <c r="AD11" s="496">
        <f>'IDEES okt 2017 template'!AB140</f>
        <v>2</v>
      </c>
      <c r="AE11" s="496">
        <f>'IDEES okt 2017 template'!AC140</f>
        <v>2.0299999999999998</v>
      </c>
      <c r="AF11" s="496">
        <f>'IDEES okt 2017 template'!AD140</f>
        <v>1.9</v>
      </c>
      <c r="AG11" s="496">
        <f>'IDEES okt 2017 template'!AE140</f>
        <v>2</v>
      </c>
      <c r="AH11" s="496">
        <f>'IDEES okt 2017 template'!AF140</f>
        <v>2.0699999999999998</v>
      </c>
      <c r="AI11" s="496">
        <f>'IDEES okt 2017 template'!AG140</f>
        <v>1.9</v>
      </c>
      <c r="AJ11" s="496">
        <f>'IDEES okt 2017 template'!AH140</f>
        <v>2.0699999999999998</v>
      </c>
      <c r="AK11" s="496">
        <f>'IDEES okt 2017 template'!AI140</f>
        <v>1.95</v>
      </c>
      <c r="AL11" s="496">
        <f>'IDEES okt 2017 template'!AJ140</f>
        <v>1.97</v>
      </c>
      <c r="AM11" s="496">
        <f>'IDEES okt 2017 template'!AK140</f>
        <v>1.97</v>
      </c>
      <c r="AN11" s="496">
        <f>'IDEES okt 2017 template'!AL140</f>
        <v>1.95</v>
      </c>
      <c r="AO11" s="496">
        <f>'IDEES okt 2017 template'!AM140</f>
        <v>1.97</v>
      </c>
      <c r="AP11" s="496">
        <f>'IDEES okt 2017 template'!AN140</f>
        <v>1.97</v>
      </c>
      <c r="AQ11" s="509"/>
      <c r="AR11" s="509"/>
      <c r="AS11" s="509"/>
      <c r="AT11" s="509"/>
    </row>
    <row r="12" spans="1:46">
      <c r="A12" t="str">
        <f>A5</f>
        <v>Electricity</v>
      </c>
      <c r="C12" t="str">
        <f>C5</f>
        <v>R_ES-SC-DH_ELC</v>
      </c>
      <c r="E12" t="str">
        <f>E5</f>
        <v>R_ES-DH-SpCool</v>
      </c>
      <c r="F12" s="496">
        <f t="shared" ref="F12:AP13" si="0">F11</f>
        <v>2.1</v>
      </c>
      <c r="G12" s="496">
        <f t="shared" si="0"/>
        <v>2.0499999999999998</v>
      </c>
      <c r="H12" s="496">
        <f t="shared" si="0"/>
        <v>1.9</v>
      </c>
      <c r="I12" s="496">
        <f t="shared" si="0"/>
        <v>2.19</v>
      </c>
      <c r="J12" s="496">
        <f t="shared" si="0"/>
        <v>1.8</v>
      </c>
      <c r="K12" s="496">
        <f t="shared" si="0"/>
        <v>1.95</v>
      </c>
      <c r="L12" s="496">
        <f t="shared" si="0"/>
        <v>2.19</v>
      </c>
      <c r="M12" s="496">
        <f t="shared" si="0"/>
        <v>2.14</v>
      </c>
      <c r="N12" s="496">
        <f t="shared" si="0"/>
        <v>2</v>
      </c>
      <c r="O12" s="496">
        <f t="shared" si="0"/>
        <v>2</v>
      </c>
      <c r="P12" s="496">
        <f t="shared" si="0"/>
        <v>2.14</v>
      </c>
      <c r="Q12" s="496">
        <f t="shared" si="0"/>
        <v>2.1</v>
      </c>
      <c r="R12" s="496">
        <f t="shared" si="0"/>
        <v>1.95</v>
      </c>
      <c r="S12" s="496">
        <f t="shared" si="0"/>
        <v>1.97</v>
      </c>
      <c r="T12" s="496">
        <f t="shared" si="0"/>
        <v>1.92</v>
      </c>
      <c r="U12" s="496">
        <f t="shared" si="0"/>
        <v>2.0699999999999998</v>
      </c>
      <c r="V12" s="496">
        <f t="shared" si="0"/>
        <v>2.14</v>
      </c>
      <c r="W12" s="496">
        <f t="shared" si="0"/>
        <v>2.0299999999999998</v>
      </c>
      <c r="X12" s="496">
        <f t="shared" si="0"/>
        <v>1.95</v>
      </c>
      <c r="Y12" s="496">
        <f t="shared" si="0"/>
        <v>2.1</v>
      </c>
      <c r="Z12" s="496">
        <f t="shared" si="0"/>
        <v>2</v>
      </c>
      <c r="AA12" s="496">
        <f t="shared" si="0"/>
        <v>1.85</v>
      </c>
      <c r="AB12" s="496">
        <f t="shared" si="0"/>
        <v>2.125</v>
      </c>
      <c r="AC12" s="496">
        <f t="shared" si="0"/>
        <v>2.14</v>
      </c>
      <c r="AD12" s="496">
        <f t="shared" si="0"/>
        <v>2</v>
      </c>
      <c r="AE12" s="496">
        <f t="shared" si="0"/>
        <v>2.0299999999999998</v>
      </c>
      <c r="AF12" s="496">
        <f t="shared" si="0"/>
        <v>1.9</v>
      </c>
      <c r="AG12" s="496">
        <f t="shared" si="0"/>
        <v>2</v>
      </c>
      <c r="AH12" s="496">
        <f t="shared" si="0"/>
        <v>2.0699999999999998</v>
      </c>
      <c r="AI12" s="496">
        <f t="shared" si="0"/>
        <v>1.9</v>
      </c>
      <c r="AJ12" s="496">
        <f t="shared" si="0"/>
        <v>2.0699999999999998</v>
      </c>
      <c r="AK12" s="496">
        <f t="shared" si="0"/>
        <v>1.95</v>
      </c>
      <c r="AL12" s="496">
        <f t="shared" si="0"/>
        <v>1.97</v>
      </c>
      <c r="AM12" s="496">
        <f t="shared" si="0"/>
        <v>1.97</v>
      </c>
      <c r="AN12" s="496">
        <f t="shared" si="0"/>
        <v>1.95</v>
      </c>
      <c r="AO12" s="496">
        <f t="shared" si="0"/>
        <v>1.97</v>
      </c>
      <c r="AP12" s="496">
        <f t="shared" si="0"/>
        <v>1.97</v>
      </c>
      <c r="AQ12" s="509"/>
      <c r="AR12" s="509"/>
      <c r="AS12" s="509"/>
      <c r="AT12" s="509"/>
    </row>
    <row r="13" spans="1:46">
      <c r="A13" t="str">
        <f>A6</f>
        <v>Electricity</v>
      </c>
      <c r="C13" t="str">
        <f>C6</f>
        <v>R_ES-SC-SD_ELC</v>
      </c>
      <c r="E13" t="str">
        <f>E6</f>
        <v>R_ES-SD-SpCool</v>
      </c>
      <c r="F13" s="496">
        <f t="shared" si="0"/>
        <v>2.1</v>
      </c>
      <c r="G13" s="496">
        <f t="shared" si="0"/>
        <v>2.0499999999999998</v>
      </c>
      <c r="H13" s="496">
        <f t="shared" si="0"/>
        <v>1.9</v>
      </c>
      <c r="I13" s="496">
        <f t="shared" si="0"/>
        <v>2.19</v>
      </c>
      <c r="J13" s="496">
        <f t="shared" si="0"/>
        <v>1.8</v>
      </c>
      <c r="K13" s="496">
        <f t="shared" si="0"/>
        <v>1.95</v>
      </c>
      <c r="L13" s="496">
        <f t="shared" si="0"/>
        <v>2.19</v>
      </c>
      <c r="M13" s="496">
        <f t="shared" si="0"/>
        <v>2.14</v>
      </c>
      <c r="N13" s="496">
        <f t="shared" si="0"/>
        <v>2</v>
      </c>
      <c r="O13" s="496">
        <f t="shared" si="0"/>
        <v>2</v>
      </c>
      <c r="P13" s="496">
        <f t="shared" si="0"/>
        <v>2.14</v>
      </c>
      <c r="Q13" s="496">
        <f t="shared" si="0"/>
        <v>2.1</v>
      </c>
      <c r="R13" s="496">
        <f t="shared" si="0"/>
        <v>1.95</v>
      </c>
      <c r="S13" s="496">
        <f t="shared" si="0"/>
        <v>1.97</v>
      </c>
      <c r="T13" s="496">
        <f t="shared" si="0"/>
        <v>1.92</v>
      </c>
      <c r="U13" s="496">
        <f t="shared" si="0"/>
        <v>2.0699999999999998</v>
      </c>
      <c r="V13" s="496">
        <f t="shared" si="0"/>
        <v>2.14</v>
      </c>
      <c r="W13" s="496">
        <f t="shared" si="0"/>
        <v>2.0299999999999998</v>
      </c>
      <c r="X13" s="496">
        <f t="shared" si="0"/>
        <v>1.95</v>
      </c>
      <c r="Y13" s="496">
        <f t="shared" si="0"/>
        <v>2.1</v>
      </c>
      <c r="Z13" s="496">
        <f t="shared" si="0"/>
        <v>2</v>
      </c>
      <c r="AA13" s="496">
        <f t="shared" si="0"/>
        <v>1.85</v>
      </c>
      <c r="AB13" s="496">
        <f t="shared" si="0"/>
        <v>2.125</v>
      </c>
      <c r="AC13" s="496">
        <f t="shared" si="0"/>
        <v>2.14</v>
      </c>
      <c r="AD13" s="496">
        <f t="shared" si="0"/>
        <v>2</v>
      </c>
      <c r="AE13" s="496">
        <f t="shared" si="0"/>
        <v>2.0299999999999998</v>
      </c>
      <c r="AF13" s="496">
        <f t="shared" si="0"/>
        <v>1.9</v>
      </c>
      <c r="AG13" s="496">
        <f t="shared" si="0"/>
        <v>2</v>
      </c>
      <c r="AH13" s="496">
        <f t="shared" si="0"/>
        <v>2.0699999999999998</v>
      </c>
      <c r="AI13" s="496">
        <f t="shared" si="0"/>
        <v>1.9</v>
      </c>
      <c r="AJ13" s="496">
        <f t="shared" si="0"/>
        <v>2.0699999999999998</v>
      </c>
      <c r="AK13" s="496">
        <f t="shared" si="0"/>
        <v>1.95</v>
      </c>
      <c r="AL13" s="496">
        <f t="shared" si="0"/>
        <v>1.97</v>
      </c>
      <c r="AM13" s="496">
        <f t="shared" si="0"/>
        <v>1.97</v>
      </c>
      <c r="AN13" s="496">
        <f t="shared" si="0"/>
        <v>1.95</v>
      </c>
      <c r="AO13" s="496">
        <f t="shared" si="0"/>
        <v>1.97</v>
      </c>
      <c r="AP13" s="496">
        <f t="shared" si="0"/>
        <v>1.97</v>
      </c>
    </row>
    <row r="16" spans="1:46">
      <c r="E16" s="533"/>
    </row>
    <row r="17" spans="1:42" ht="15" thickBot="1">
      <c r="C17" s="539" t="s">
        <v>545</v>
      </c>
      <c r="D17" s="539" t="s">
        <v>585</v>
      </c>
      <c r="E17" s="539" t="s">
        <v>552</v>
      </c>
      <c r="F17" s="540" t="str">
        <f>'All Stock'!D$2</f>
        <v>AT</v>
      </c>
      <c r="G17" s="540" t="str">
        <f>'All Stock'!E$2</f>
        <v>BE</v>
      </c>
      <c r="H17" s="540" t="str">
        <f>'All Stock'!F$2</f>
        <v>BG</v>
      </c>
      <c r="I17" s="540" t="str">
        <f>'All Stock'!G$2</f>
        <v>CH</v>
      </c>
      <c r="J17" s="540" t="str">
        <f>'All Stock'!H$2</f>
        <v>CY</v>
      </c>
      <c r="K17" s="540" t="str">
        <f>'All Stock'!I$2</f>
        <v>CZ</v>
      </c>
      <c r="L17" s="540" t="str">
        <f>'All Stock'!J$2</f>
        <v>DE</v>
      </c>
      <c r="M17" s="540" t="str">
        <f>'All Stock'!K$2</f>
        <v>DK</v>
      </c>
      <c r="N17" s="540" t="str">
        <f>'All Stock'!L$2</f>
        <v>EE</v>
      </c>
      <c r="O17" s="540" t="str">
        <f>'All Stock'!M$2</f>
        <v>ES</v>
      </c>
      <c r="P17" s="540" t="str">
        <f>'All Stock'!N$2</f>
        <v>FI</v>
      </c>
      <c r="Q17" s="540" t="str">
        <f>'All Stock'!O$2</f>
        <v>FR</v>
      </c>
      <c r="R17" s="540" t="str">
        <f>'All Stock'!P$2</f>
        <v>EL</v>
      </c>
      <c r="S17" s="540" t="str">
        <f>'All Stock'!Q$2</f>
        <v>HR</v>
      </c>
      <c r="T17" s="540" t="str">
        <f>'All Stock'!R$2</f>
        <v>HU</v>
      </c>
      <c r="U17" s="540" t="str">
        <f>'All Stock'!S$2</f>
        <v>IE</v>
      </c>
      <c r="V17" s="540" t="str">
        <f>'All Stock'!T$2</f>
        <v>IS</v>
      </c>
      <c r="W17" s="540" t="str">
        <f>'All Stock'!U$2</f>
        <v>IT</v>
      </c>
      <c r="X17" s="540" t="str">
        <f>'All Stock'!V$2</f>
        <v>LT</v>
      </c>
      <c r="Y17" s="540" t="str">
        <f>'All Stock'!W$2</f>
        <v>LU</v>
      </c>
      <c r="Z17" s="540" t="str">
        <f>'All Stock'!X$2</f>
        <v>LV</v>
      </c>
      <c r="AA17" s="540" t="str">
        <f>'All Stock'!Y$2</f>
        <v>MT</v>
      </c>
      <c r="AB17" s="540" t="str">
        <f>'All Stock'!Z$2</f>
        <v>NL</v>
      </c>
      <c r="AC17" s="540" t="str">
        <f>'All Stock'!AA$2</f>
        <v>NO</v>
      </c>
      <c r="AD17" s="540" t="str">
        <f>'All Stock'!AB$2</f>
        <v>PL</v>
      </c>
      <c r="AE17" s="540" t="str">
        <f>'All Stock'!AC$2</f>
        <v>PT</v>
      </c>
      <c r="AF17" s="540" t="str">
        <f>'All Stock'!AD$2</f>
        <v>RO</v>
      </c>
      <c r="AG17" s="540" t="str">
        <f>'All Stock'!AE$2</f>
        <v>SE</v>
      </c>
      <c r="AH17" s="540" t="str">
        <f>'All Stock'!AF$2</f>
        <v>SI</v>
      </c>
      <c r="AI17" s="540" t="str">
        <f>'All Stock'!AG$2</f>
        <v>SK</v>
      </c>
      <c r="AJ17" s="540" t="str">
        <f>'All Stock'!AH$2</f>
        <v>UK</v>
      </c>
      <c r="AK17" s="540" t="str">
        <f>'All Stock'!AI$2</f>
        <v>AL</v>
      </c>
      <c r="AL17" s="540" t="str">
        <f>'All Stock'!AJ$2</f>
        <v>BA</v>
      </c>
      <c r="AM17" s="540" t="str">
        <f>'All Stock'!AK$2</f>
        <v>ME</v>
      </c>
      <c r="AN17" s="540" t="str">
        <f>'All Stock'!AL$2</f>
        <v>MK</v>
      </c>
      <c r="AO17" s="540" t="str">
        <f>'All Stock'!AM$2</f>
        <v>RS</v>
      </c>
      <c r="AP17" s="540" t="str">
        <f>'All Stock'!AN$2</f>
        <v>KS</v>
      </c>
    </row>
    <row r="18" spans="1:42">
      <c r="A18" t="str">
        <f>A11</f>
        <v>Electricity</v>
      </c>
      <c r="C18" t="str">
        <f>C11</f>
        <v>R_ES-SC-FL_ELC</v>
      </c>
      <c r="E18" t="str">
        <f>E11</f>
        <v>R_ES-FL-SpCool</v>
      </c>
      <c r="F18" s="496"/>
      <c r="G18" s="496"/>
      <c r="H18" s="496"/>
      <c r="I18" s="496"/>
      <c r="J18" s="496"/>
      <c r="K18" s="496"/>
      <c r="L18" s="496"/>
      <c r="M18" s="496"/>
      <c r="N18" s="496"/>
      <c r="O18" s="496"/>
      <c r="P18" s="496"/>
      <c r="Q18" s="496"/>
      <c r="R18" s="496"/>
      <c r="S18" s="496"/>
      <c r="T18" s="496"/>
      <c r="U18" s="496"/>
      <c r="V18" s="496"/>
      <c r="W18" s="496"/>
      <c r="X18" s="496"/>
      <c r="Y18" s="496"/>
      <c r="Z18" s="496"/>
      <c r="AA18" s="496"/>
      <c r="AB18" s="496"/>
      <c r="AC18" s="496"/>
      <c r="AD18" s="496"/>
      <c r="AE18" s="496"/>
      <c r="AF18" s="496"/>
      <c r="AG18" s="496"/>
      <c r="AH18" s="496"/>
      <c r="AI18" s="496"/>
      <c r="AJ18" s="496"/>
      <c r="AK18" s="496"/>
      <c r="AL18" s="496"/>
      <c r="AM18" s="496"/>
      <c r="AN18" s="496"/>
      <c r="AO18" s="496"/>
      <c r="AP18" s="496"/>
    </row>
    <row r="19" spans="1:42">
      <c r="A19" t="str">
        <f>A12</f>
        <v>Electricity</v>
      </c>
      <c r="C19" t="str">
        <f>C12</f>
        <v>R_ES-SC-DH_ELC</v>
      </c>
      <c r="E19" t="str">
        <f>E12</f>
        <v>R_ES-DH-SpCool</v>
      </c>
      <c r="F19" s="496"/>
      <c r="G19" s="496"/>
      <c r="H19" s="496"/>
      <c r="I19" s="496"/>
      <c r="J19" s="496"/>
      <c r="K19" s="496"/>
      <c r="L19" s="496"/>
      <c r="M19" s="496"/>
      <c r="N19" s="496"/>
      <c r="O19" s="496"/>
      <c r="P19" s="496"/>
      <c r="Q19" s="496"/>
      <c r="R19" s="496"/>
      <c r="S19" s="496"/>
      <c r="T19" s="496"/>
      <c r="U19" s="496"/>
      <c r="V19" s="496"/>
      <c r="W19" s="496"/>
      <c r="X19" s="496"/>
      <c r="Y19" s="496"/>
      <c r="Z19" s="496"/>
      <c r="AA19" s="496"/>
      <c r="AB19" s="496"/>
      <c r="AC19" s="496"/>
      <c r="AD19" s="496"/>
      <c r="AE19" s="496"/>
      <c r="AF19" s="496"/>
      <c r="AG19" s="496"/>
      <c r="AH19" s="496"/>
      <c r="AI19" s="496"/>
      <c r="AJ19" s="496"/>
      <c r="AK19" s="496"/>
      <c r="AL19" s="496"/>
      <c r="AM19" s="496"/>
      <c r="AN19" s="496"/>
      <c r="AO19" s="496"/>
      <c r="AP19" s="496"/>
    </row>
    <row r="20" spans="1:42">
      <c r="A20" t="str">
        <f>A13</f>
        <v>Electricity</v>
      </c>
      <c r="C20" t="str">
        <f>C13</f>
        <v>R_ES-SC-SD_ELC</v>
      </c>
      <c r="E20" t="str">
        <f>E13</f>
        <v>R_ES-SD-SpCool</v>
      </c>
      <c r="F20" s="496"/>
      <c r="G20" s="496"/>
      <c r="H20" s="496"/>
      <c r="I20" s="496"/>
      <c r="J20" s="496"/>
      <c r="K20" s="496"/>
      <c r="L20" s="496"/>
      <c r="M20" s="496"/>
      <c r="N20" s="496"/>
      <c r="O20" s="496"/>
      <c r="P20" s="496"/>
      <c r="Q20" s="496"/>
      <c r="R20" s="496"/>
      <c r="S20" s="496"/>
      <c r="T20" s="496"/>
      <c r="U20" s="496"/>
      <c r="V20" s="496"/>
      <c r="W20" s="496"/>
      <c r="X20" s="496"/>
      <c r="Y20" s="496"/>
      <c r="Z20" s="496"/>
      <c r="AA20" s="496"/>
      <c r="AB20" s="496"/>
      <c r="AC20" s="496"/>
      <c r="AD20" s="496"/>
      <c r="AE20" s="496"/>
      <c r="AF20" s="496"/>
      <c r="AG20" s="496"/>
      <c r="AH20" s="496"/>
      <c r="AI20" s="496"/>
      <c r="AJ20" s="496"/>
      <c r="AK20" s="496"/>
      <c r="AL20" s="496"/>
      <c r="AM20" s="496"/>
      <c r="AN20" s="496"/>
      <c r="AO20" s="496"/>
      <c r="AP20" s="496"/>
    </row>
    <row r="23" spans="1:42">
      <c r="E23" s="533" t="s">
        <v>607</v>
      </c>
    </row>
    <row r="24" spans="1:42" ht="15" thickBot="1">
      <c r="C24" s="539" t="s">
        <v>545</v>
      </c>
      <c r="D24" s="539" t="s">
        <v>585</v>
      </c>
      <c r="E24" s="539" t="s">
        <v>552</v>
      </c>
      <c r="F24" s="540" t="str">
        <f>'All Stock'!D$2</f>
        <v>AT</v>
      </c>
      <c r="G24" s="540" t="str">
        <f>'All Stock'!E$2</f>
        <v>BE</v>
      </c>
      <c r="H24" s="540" t="str">
        <f>'All Stock'!F$2</f>
        <v>BG</v>
      </c>
      <c r="I24" s="540" t="str">
        <f>'All Stock'!G$2</f>
        <v>CH</v>
      </c>
      <c r="J24" s="540" t="str">
        <f>'All Stock'!H$2</f>
        <v>CY</v>
      </c>
      <c r="K24" s="540" t="str">
        <f>'All Stock'!I$2</f>
        <v>CZ</v>
      </c>
      <c r="L24" s="540" t="str">
        <f>'All Stock'!J$2</f>
        <v>DE</v>
      </c>
      <c r="M24" s="540" t="str">
        <f>'All Stock'!K$2</f>
        <v>DK</v>
      </c>
      <c r="N24" s="540" t="str">
        <f>'All Stock'!L$2</f>
        <v>EE</v>
      </c>
      <c r="O24" s="540" t="str">
        <f>'All Stock'!M$2</f>
        <v>ES</v>
      </c>
      <c r="P24" s="540" t="str">
        <f>'All Stock'!N$2</f>
        <v>FI</v>
      </c>
      <c r="Q24" s="540" t="str">
        <f>'All Stock'!O$2</f>
        <v>FR</v>
      </c>
      <c r="R24" s="540" t="str">
        <f>'All Stock'!P$2</f>
        <v>EL</v>
      </c>
      <c r="S24" s="540" t="str">
        <f>'All Stock'!Q$2</f>
        <v>HR</v>
      </c>
      <c r="T24" s="540" t="str">
        <f>'All Stock'!R$2</f>
        <v>HU</v>
      </c>
      <c r="U24" s="540" t="str">
        <f>'All Stock'!S$2</f>
        <v>IE</v>
      </c>
      <c r="V24" s="540" t="str">
        <f>'All Stock'!T$2</f>
        <v>IS</v>
      </c>
      <c r="W24" s="540" t="str">
        <f>'All Stock'!U$2</f>
        <v>IT</v>
      </c>
      <c r="X24" s="540" t="str">
        <f>'All Stock'!V$2</f>
        <v>LT</v>
      </c>
      <c r="Y24" s="540" t="str">
        <f>'All Stock'!W$2</f>
        <v>LU</v>
      </c>
      <c r="Z24" s="540" t="str">
        <f>'All Stock'!X$2</f>
        <v>LV</v>
      </c>
      <c r="AA24" s="540" t="str">
        <f>'All Stock'!Y$2</f>
        <v>MT</v>
      </c>
      <c r="AB24" s="540" t="str">
        <f>'All Stock'!Z$2</f>
        <v>NL</v>
      </c>
      <c r="AC24" s="540" t="str">
        <f>'All Stock'!AA$2</f>
        <v>NO</v>
      </c>
      <c r="AD24" s="540" t="str">
        <f>'All Stock'!AB$2</f>
        <v>PL</v>
      </c>
      <c r="AE24" s="540" t="str">
        <f>'All Stock'!AC$2</f>
        <v>PT</v>
      </c>
      <c r="AF24" s="540" t="str">
        <f>'All Stock'!AD$2</f>
        <v>RO</v>
      </c>
      <c r="AG24" s="540" t="str">
        <f>'All Stock'!AE$2</f>
        <v>SE</v>
      </c>
      <c r="AH24" s="540" t="str">
        <f>'All Stock'!AF$2</f>
        <v>SI</v>
      </c>
      <c r="AI24" s="540" t="str">
        <f>'All Stock'!AG$2</f>
        <v>SK</v>
      </c>
      <c r="AJ24" s="540" t="str">
        <f>'All Stock'!AH$2</f>
        <v>UK</v>
      </c>
      <c r="AK24" s="540" t="str">
        <f>'All Stock'!AI$2</f>
        <v>AL</v>
      </c>
      <c r="AL24" s="540" t="str">
        <f>'All Stock'!AJ$2</f>
        <v>BA</v>
      </c>
      <c r="AM24" s="540" t="str">
        <f>'All Stock'!AK$2</f>
        <v>ME</v>
      </c>
      <c r="AN24" s="540" t="str">
        <f>'All Stock'!AL$2</f>
        <v>MK</v>
      </c>
      <c r="AO24" s="540" t="str">
        <f>'All Stock'!AM$2</f>
        <v>RS</v>
      </c>
      <c r="AP24" s="540" t="str">
        <f>'All Stock'!AN$2</f>
        <v>KS</v>
      </c>
    </row>
    <row r="25" spans="1:42">
      <c r="A25" t="str">
        <f>A18</f>
        <v>Electricity</v>
      </c>
      <c r="C25" t="str">
        <f>C18</f>
        <v>R_ES-SC-FL_ELC</v>
      </c>
      <c r="E25" t="str">
        <f>E18</f>
        <v>R_ES-FL-SpCool</v>
      </c>
      <c r="F25" s="496">
        <v>31.536000000000001</v>
      </c>
      <c r="G25" s="496">
        <v>31.536000000000001</v>
      </c>
      <c r="H25" s="496">
        <v>31.536000000000001</v>
      </c>
      <c r="I25" s="496">
        <v>31.536000000000001</v>
      </c>
      <c r="J25" s="496">
        <v>31.536000000000001</v>
      </c>
      <c r="K25" s="496">
        <v>31.536000000000001</v>
      </c>
      <c r="L25" s="496">
        <v>31.536000000000001</v>
      </c>
      <c r="M25" s="496">
        <v>31.536000000000001</v>
      </c>
      <c r="N25" s="496">
        <v>31.536000000000001</v>
      </c>
      <c r="O25" s="496">
        <v>31.536000000000001</v>
      </c>
      <c r="P25" s="496">
        <v>31.536000000000001</v>
      </c>
      <c r="Q25" s="496">
        <v>31.536000000000001</v>
      </c>
      <c r="R25" s="496">
        <v>31.536000000000001</v>
      </c>
      <c r="S25" s="496">
        <v>31.536000000000001</v>
      </c>
      <c r="T25" s="496">
        <v>31.536000000000001</v>
      </c>
      <c r="U25" s="496">
        <v>31.536000000000001</v>
      </c>
      <c r="V25" s="496">
        <v>31.536000000000001</v>
      </c>
      <c r="W25" s="496">
        <v>31.536000000000001</v>
      </c>
      <c r="X25" s="496">
        <v>31.536000000000001</v>
      </c>
      <c r="Y25" s="496">
        <v>31.536000000000001</v>
      </c>
      <c r="Z25" s="496">
        <v>31.536000000000001</v>
      </c>
      <c r="AA25" s="496">
        <v>31.536000000000001</v>
      </c>
      <c r="AB25" s="496">
        <v>31.536000000000001</v>
      </c>
      <c r="AC25" s="496">
        <v>31.536000000000001</v>
      </c>
      <c r="AD25" s="496">
        <v>31.536000000000001</v>
      </c>
      <c r="AE25" s="496">
        <v>31.536000000000001</v>
      </c>
      <c r="AF25" s="496">
        <v>31.536000000000001</v>
      </c>
      <c r="AG25" s="496">
        <v>31.536000000000001</v>
      </c>
      <c r="AH25" s="496">
        <v>31.536000000000001</v>
      </c>
      <c r="AI25" s="496">
        <v>31.536000000000001</v>
      </c>
      <c r="AJ25" s="496">
        <v>31.536000000000001</v>
      </c>
      <c r="AK25" s="496">
        <v>31.536000000000001</v>
      </c>
      <c r="AL25" s="496">
        <v>31.536000000000001</v>
      </c>
      <c r="AM25" s="496">
        <v>31.536000000000001</v>
      </c>
      <c r="AN25" s="496">
        <v>31.536000000000001</v>
      </c>
      <c r="AO25" s="496">
        <v>31.536000000000001</v>
      </c>
      <c r="AP25" s="496">
        <v>31.536000000000001</v>
      </c>
    </row>
    <row r="26" spans="1:42">
      <c r="A26" t="str">
        <f>A19</f>
        <v>Electricity</v>
      </c>
      <c r="C26" t="str">
        <f>C19</f>
        <v>R_ES-SC-DH_ELC</v>
      </c>
      <c r="E26" t="str">
        <f>E19</f>
        <v>R_ES-DH-SpCool</v>
      </c>
      <c r="F26" s="496">
        <v>31.536000000000001</v>
      </c>
      <c r="G26" s="496">
        <v>31.536000000000001</v>
      </c>
      <c r="H26" s="496">
        <v>31.536000000000001</v>
      </c>
      <c r="I26" s="496">
        <v>31.536000000000001</v>
      </c>
      <c r="J26" s="496">
        <v>31.536000000000001</v>
      </c>
      <c r="K26" s="496">
        <v>31.536000000000001</v>
      </c>
      <c r="L26" s="496">
        <v>31.536000000000001</v>
      </c>
      <c r="M26" s="496">
        <v>31.536000000000001</v>
      </c>
      <c r="N26" s="496">
        <v>31.536000000000001</v>
      </c>
      <c r="O26" s="496">
        <v>31.536000000000001</v>
      </c>
      <c r="P26" s="496">
        <v>31.536000000000001</v>
      </c>
      <c r="Q26" s="496">
        <v>31.536000000000001</v>
      </c>
      <c r="R26" s="496">
        <v>31.536000000000001</v>
      </c>
      <c r="S26" s="496">
        <v>31.536000000000001</v>
      </c>
      <c r="T26" s="496">
        <v>31.536000000000001</v>
      </c>
      <c r="U26" s="496">
        <v>31.536000000000001</v>
      </c>
      <c r="V26" s="496">
        <v>31.536000000000001</v>
      </c>
      <c r="W26" s="496">
        <v>31.536000000000001</v>
      </c>
      <c r="X26" s="496">
        <v>31.536000000000001</v>
      </c>
      <c r="Y26" s="496">
        <v>31.536000000000001</v>
      </c>
      <c r="Z26" s="496">
        <v>31.536000000000001</v>
      </c>
      <c r="AA26" s="496">
        <v>31.536000000000001</v>
      </c>
      <c r="AB26" s="496">
        <v>31.536000000000001</v>
      </c>
      <c r="AC26" s="496">
        <v>31.536000000000001</v>
      </c>
      <c r="AD26" s="496">
        <v>31.536000000000001</v>
      </c>
      <c r="AE26" s="496">
        <v>31.536000000000001</v>
      </c>
      <c r="AF26" s="496">
        <v>31.536000000000001</v>
      </c>
      <c r="AG26" s="496">
        <v>31.536000000000001</v>
      </c>
      <c r="AH26" s="496">
        <v>31.536000000000001</v>
      </c>
      <c r="AI26" s="496">
        <v>31.536000000000001</v>
      </c>
      <c r="AJ26" s="496">
        <v>31.536000000000001</v>
      </c>
      <c r="AK26" s="496">
        <v>31.536000000000001</v>
      </c>
      <c r="AL26" s="496">
        <v>31.536000000000001</v>
      </c>
      <c r="AM26" s="496">
        <v>31.536000000000001</v>
      </c>
      <c r="AN26" s="496">
        <v>31.536000000000001</v>
      </c>
      <c r="AO26" s="496">
        <v>31.536000000000001</v>
      </c>
      <c r="AP26" s="496">
        <v>31.536000000000001</v>
      </c>
    </row>
    <row r="27" spans="1:42">
      <c r="A27" t="str">
        <f>A20</f>
        <v>Electricity</v>
      </c>
      <c r="C27" t="str">
        <f>C20</f>
        <v>R_ES-SC-SD_ELC</v>
      </c>
      <c r="E27" t="str">
        <f>E20</f>
        <v>R_ES-SD-SpCool</v>
      </c>
      <c r="F27" s="496">
        <v>31.536000000000001</v>
      </c>
      <c r="G27" s="496">
        <v>31.536000000000001</v>
      </c>
      <c r="H27" s="496">
        <v>31.536000000000001</v>
      </c>
      <c r="I27" s="496">
        <v>31.536000000000001</v>
      </c>
      <c r="J27" s="496">
        <v>31.536000000000001</v>
      </c>
      <c r="K27" s="496">
        <v>31.536000000000001</v>
      </c>
      <c r="L27" s="496">
        <v>31.536000000000001</v>
      </c>
      <c r="M27" s="496">
        <v>31.536000000000001</v>
      </c>
      <c r="N27" s="496">
        <v>31.536000000000001</v>
      </c>
      <c r="O27" s="496">
        <v>31.536000000000001</v>
      </c>
      <c r="P27" s="496">
        <v>31.536000000000001</v>
      </c>
      <c r="Q27" s="496">
        <v>31.536000000000001</v>
      </c>
      <c r="R27" s="496">
        <v>31.536000000000001</v>
      </c>
      <c r="S27" s="496">
        <v>31.536000000000001</v>
      </c>
      <c r="T27" s="496">
        <v>31.536000000000001</v>
      </c>
      <c r="U27" s="496">
        <v>31.536000000000001</v>
      </c>
      <c r="V27" s="496">
        <v>31.536000000000001</v>
      </c>
      <c r="W27" s="496">
        <v>31.536000000000001</v>
      </c>
      <c r="X27" s="496">
        <v>31.536000000000001</v>
      </c>
      <c r="Y27" s="496">
        <v>31.536000000000001</v>
      </c>
      <c r="Z27" s="496">
        <v>31.536000000000001</v>
      </c>
      <c r="AA27" s="496">
        <v>31.536000000000001</v>
      </c>
      <c r="AB27" s="496">
        <v>31.536000000000001</v>
      </c>
      <c r="AC27" s="496">
        <v>31.536000000000001</v>
      </c>
      <c r="AD27" s="496">
        <v>31.536000000000001</v>
      </c>
      <c r="AE27" s="496">
        <v>31.536000000000001</v>
      </c>
      <c r="AF27" s="496">
        <v>31.536000000000001</v>
      </c>
      <c r="AG27" s="496">
        <v>31.536000000000001</v>
      </c>
      <c r="AH27" s="496">
        <v>31.536000000000001</v>
      </c>
      <c r="AI27" s="496">
        <v>31.536000000000001</v>
      </c>
      <c r="AJ27" s="496">
        <v>31.536000000000001</v>
      </c>
      <c r="AK27" s="496">
        <v>31.536000000000001</v>
      </c>
      <c r="AL27" s="496">
        <v>31.536000000000001</v>
      </c>
      <c r="AM27" s="496">
        <v>31.536000000000001</v>
      </c>
      <c r="AN27" s="496">
        <v>31.536000000000001</v>
      </c>
      <c r="AO27" s="496">
        <v>31.536000000000001</v>
      </c>
      <c r="AP27" s="496">
        <v>31.536000000000001</v>
      </c>
    </row>
    <row r="29" spans="1:42">
      <c r="AH29" s="496"/>
    </row>
    <row r="30" spans="1:42">
      <c r="E30" s="533" t="s">
        <v>608</v>
      </c>
    </row>
    <row r="31" spans="1:42" ht="15" thickBot="1">
      <c r="C31" s="539" t="s">
        <v>545</v>
      </c>
      <c r="D31" s="539" t="s">
        <v>585</v>
      </c>
      <c r="E31" s="539" t="s">
        <v>552</v>
      </c>
      <c r="F31" s="540" t="str">
        <f>'All Stock'!D$2</f>
        <v>AT</v>
      </c>
      <c r="G31" s="540" t="str">
        <f>'All Stock'!E$2</f>
        <v>BE</v>
      </c>
      <c r="H31" s="540" t="str">
        <f>'All Stock'!F$2</f>
        <v>BG</v>
      </c>
      <c r="I31" s="540" t="str">
        <f>'All Stock'!G$2</f>
        <v>CH</v>
      </c>
      <c r="J31" s="540" t="str">
        <f>'All Stock'!H$2</f>
        <v>CY</v>
      </c>
      <c r="K31" s="540" t="str">
        <f>'All Stock'!I$2</f>
        <v>CZ</v>
      </c>
      <c r="L31" s="540" t="str">
        <f>'All Stock'!J$2</f>
        <v>DE</v>
      </c>
      <c r="M31" s="540" t="str">
        <f>'All Stock'!K$2</f>
        <v>DK</v>
      </c>
      <c r="N31" s="540" t="str">
        <f>'All Stock'!L$2</f>
        <v>EE</v>
      </c>
      <c r="O31" s="540" t="str">
        <f>'All Stock'!M$2</f>
        <v>ES</v>
      </c>
      <c r="P31" s="540" t="str">
        <f>'All Stock'!N$2</f>
        <v>FI</v>
      </c>
      <c r="Q31" s="540" t="str">
        <f>'All Stock'!O$2</f>
        <v>FR</v>
      </c>
      <c r="R31" s="540" t="str">
        <f>'All Stock'!P$2</f>
        <v>EL</v>
      </c>
      <c r="S31" s="540" t="str">
        <f>'All Stock'!Q$2</f>
        <v>HR</v>
      </c>
      <c r="T31" s="540" t="str">
        <f>'All Stock'!R$2</f>
        <v>HU</v>
      </c>
      <c r="U31" s="540" t="str">
        <f>'All Stock'!S$2</f>
        <v>IE</v>
      </c>
      <c r="V31" s="540" t="str">
        <f>'All Stock'!T$2</f>
        <v>IS</v>
      </c>
      <c r="W31" s="540" t="str">
        <f>'All Stock'!U$2</f>
        <v>IT</v>
      </c>
      <c r="X31" s="540" t="str">
        <f>'All Stock'!V$2</f>
        <v>LT</v>
      </c>
      <c r="Y31" s="540" t="str">
        <f>'All Stock'!W$2</f>
        <v>LU</v>
      </c>
      <c r="Z31" s="540" t="str">
        <f>'All Stock'!X$2</f>
        <v>LV</v>
      </c>
      <c r="AA31" s="540" t="str">
        <f>'All Stock'!Y$2</f>
        <v>MT</v>
      </c>
      <c r="AB31" s="540" t="str">
        <f>'All Stock'!Z$2</f>
        <v>NL</v>
      </c>
      <c r="AC31" s="540" t="str">
        <f>'All Stock'!AA$2</f>
        <v>NO</v>
      </c>
      <c r="AD31" s="540" t="str">
        <f>'All Stock'!AB$2</f>
        <v>PL</v>
      </c>
      <c r="AE31" s="540" t="str">
        <f>'All Stock'!AC$2</f>
        <v>PT</v>
      </c>
      <c r="AF31" s="540" t="str">
        <f>'All Stock'!AD$2</f>
        <v>RO</v>
      </c>
      <c r="AG31" s="540" t="str">
        <f>'All Stock'!AE$2</f>
        <v>SE</v>
      </c>
      <c r="AH31" s="540" t="str">
        <f>'All Stock'!AF$2</f>
        <v>SI</v>
      </c>
      <c r="AI31" s="540" t="str">
        <f>'All Stock'!AG$2</f>
        <v>SK</v>
      </c>
      <c r="AJ31" s="540" t="str">
        <f>'All Stock'!AH$2</f>
        <v>UK</v>
      </c>
      <c r="AK31" s="540" t="str">
        <f>'All Stock'!AI$2</f>
        <v>AL</v>
      </c>
      <c r="AL31" s="540" t="str">
        <f>'All Stock'!AJ$2</f>
        <v>BA</v>
      </c>
      <c r="AM31" s="540" t="str">
        <f>'All Stock'!AK$2</f>
        <v>ME</v>
      </c>
      <c r="AN31" s="540" t="str">
        <f>'All Stock'!AL$2</f>
        <v>MK</v>
      </c>
      <c r="AO31" s="540" t="str">
        <f>'All Stock'!AM$2</f>
        <v>RS</v>
      </c>
      <c r="AP31" s="540" t="str">
        <f>'All Stock'!AN$2</f>
        <v>KS</v>
      </c>
    </row>
    <row r="32" spans="1:42">
      <c r="A32" t="str">
        <f>A25</f>
        <v>Electricity</v>
      </c>
      <c r="C32" t="str">
        <f>C25</f>
        <v>R_ES-SC-FL_ELC</v>
      </c>
      <c r="E32" t="str">
        <f>E25</f>
        <v>R_ES-FL-SpCool</v>
      </c>
      <c r="F32" s="691">
        <f ca="1">'IDEES okt 2017 template'!D109/(SUM(F4:F6)*F25)</f>
        <v>2.1302164424318502E-3</v>
      </c>
      <c r="G32" s="691">
        <f ca="1">'IDEES okt 2017 template'!E109/(SUM(G4:G6)*G25)</f>
        <v>6.9617956665415379E-3</v>
      </c>
      <c r="H32" s="691">
        <f ca="1">'IDEES okt 2017 template'!F109/(SUM(H4:H6)*H25)</f>
        <v>3.6027425053816657E-3</v>
      </c>
      <c r="I32" s="691">
        <f ca="1">'IDEES okt 2017 template'!G109/(SUM(I4:I6)*I25)</f>
        <v>2.1595309593404628E-3</v>
      </c>
      <c r="J32" s="691">
        <f ca="1">'IDEES okt 2017 template'!H109/(SUM(J4:J6)*J25)</f>
        <v>4.9181984589765249E-2</v>
      </c>
      <c r="K32" s="691">
        <f ca="1">'IDEES okt 2017 template'!I109/(SUM(K4:K6)*K25)</f>
        <v>3.9949171238895466E-4</v>
      </c>
      <c r="L32" s="691">
        <f ca="1">'IDEES okt 2017 template'!J109/(SUM(L4:L6)*L25)</f>
        <v>1.9130725294419961E-3</v>
      </c>
      <c r="M32" s="691">
        <f ca="1">'IDEES okt 2017 template'!K109/(SUM(M4:M6)*M25)</f>
        <v>1.4437083530979991E-3</v>
      </c>
      <c r="N32" s="691">
        <f ca="1">'IDEES okt 2017 template'!L109/(SUM(N4:N6)*N25)</f>
        <v>8.1419411961886873E-5</v>
      </c>
      <c r="O32" s="691">
        <f ca="1">'IDEES okt 2017 template'!M109/(SUM(O4:O6)*O25)</f>
        <v>1.2724498557687267E-2</v>
      </c>
      <c r="P32" s="691">
        <f ca="1">'IDEES okt 2017 template'!N109/(SUM(P4:P6)*P25)</f>
        <v>5.1828235385553624E-4</v>
      </c>
      <c r="Q32" s="691">
        <f ca="1">'IDEES okt 2017 template'!O109/(SUM(Q4:Q6)*Q25)</f>
        <v>1.4718314668544161E-2</v>
      </c>
      <c r="R32" s="691">
        <f ca="1">'IDEES okt 2017 template'!P109/(SUM(R4:R6)*R25)</f>
        <v>1.7147160735873617E-2</v>
      </c>
      <c r="S32" s="691">
        <f ca="1">'IDEES okt 2017 template'!Q109/(SUM(S4:S6)*S25)</f>
        <v>2.6783388227772945E-2</v>
      </c>
      <c r="T32" s="691">
        <f ca="1">'IDEES okt 2017 template'!R109/(SUM(T4:T6)*T25)</f>
        <v>4.2401413931513133E-4</v>
      </c>
      <c r="U32" s="691">
        <f ca="1">'IDEES okt 2017 template'!S109/(SUM(U4:U6)*U25)</f>
        <v>1.1683860507482804E-3</v>
      </c>
      <c r="V32" s="691">
        <f ca="1">'IDEES okt 2017 template'!T109/(SUM(V4:V6)*V25)</f>
        <v>4.5030461435534183E-4</v>
      </c>
      <c r="W32" s="691">
        <f ca="1">'IDEES okt 2017 template'!U109/(SUM(W4:W6)*W25)</f>
        <v>1.3152332419677922E-2</v>
      </c>
      <c r="X32" s="691">
        <f ca="1">'IDEES okt 2017 template'!V109/(SUM(X4:X6)*X25)</f>
        <v>6.612482312083704E-5</v>
      </c>
      <c r="Y32" s="691">
        <f ca="1">'IDEES okt 2017 template'!W109/(SUM(Y4:Y6)*Y25)</f>
        <v>1.9752038148542289E-2</v>
      </c>
      <c r="Z32" s="691">
        <f ca="1">'IDEES okt 2017 template'!X109/(SUM(Z4:Z6)*Z25)</f>
        <v>1.0873073948011418E-5</v>
      </c>
      <c r="AA32" s="691">
        <f ca="1">'IDEES okt 2017 template'!Y109/(SUM(AA4:AA6)*AA25)</f>
        <v>5.654239472985078E-2</v>
      </c>
      <c r="AB32" s="691">
        <f ca="1">'IDEES okt 2017 template'!Z109/(SUM(AB4:AB6)*AB25)</f>
        <v>4.5234859232420269E-3</v>
      </c>
      <c r="AC32" s="691">
        <f ca="1">'IDEES okt 2017 template'!AA109/(SUM(AC4:AC6)*AC25)</f>
        <v>1.6626780748656284E-3</v>
      </c>
      <c r="AD32" s="691">
        <f ca="1">'IDEES okt 2017 template'!AB109/(SUM(AD4:AD6)*AD25)</f>
        <v>2.6127892895197528E-4</v>
      </c>
      <c r="AE32" s="691">
        <f ca="1">'IDEES okt 2017 template'!AC109/(SUM(AE4:AE6)*AE25)</f>
        <v>9.1620390462388915E-3</v>
      </c>
      <c r="AF32" s="691">
        <f ca="1">'IDEES okt 2017 template'!AD109/(SUM(AF4:AF6)*AF25)</f>
        <v>5.4641281125837604E-4</v>
      </c>
      <c r="AG32" s="691">
        <f ca="1">'IDEES okt 2017 template'!AE109/(SUM(AG4:AG6)*AG25)</f>
        <v>1.0973360527668061E-3</v>
      </c>
      <c r="AH32" s="691">
        <f ca="1">'IDEES okt 2017 template'!AF109/(SUM(AH4:AH6)*AH25)</f>
        <v>4.211294978589227E-3</v>
      </c>
      <c r="AI32" s="691">
        <f ca="1">'IDEES okt 2017 template'!AG109/(SUM(AI4:AI6)*AI25)</f>
        <v>1.3208194512640389E-3</v>
      </c>
      <c r="AJ32" s="691">
        <f ca="1">'IDEES okt 2017 template'!AH109/(SUM(AJ4:AJ6)*AJ25)</f>
        <v>7.8546003161163223E-4</v>
      </c>
      <c r="AK32" s="691">
        <f ca="1">'IDEES okt 2017 template'!AI109/(SUM(AK4:AK6)*AK25)</f>
        <v>2.2883590208291484E-2</v>
      </c>
      <c r="AL32" s="691">
        <f ca="1">'IDEES okt 2017 template'!AJ109/(SUM(AL4:AL6)*AL25)</f>
        <v>5.4996058590660153E-2</v>
      </c>
      <c r="AM32" s="691">
        <f ca="1">'IDEES okt 2017 template'!AK109/(SUM(AM4:AM6)*AM25)</f>
        <v>2.2813612819336089E-2</v>
      </c>
      <c r="AN32" s="691">
        <f ca="1">'IDEES okt 2017 template'!AL109/(SUM(AN4:AN6)*AN25)</f>
        <v>6.5256273164681119E-2</v>
      </c>
      <c r="AO32" s="691">
        <f ca="1">'IDEES okt 2017 template'!AM109/(SUM(AO4:AO6)*AO25)</f>
        <v>5.996465075934565E-2</v>
      </c>
      <c r="AP32" s="691">
        <f ca="1">'IDEES okt 2017 template'!AN109/(SUM(AP4:AP6)*AP25)</f>
        <v>4.608677852412791E-2</v>
      </c>
    </row>
    <row r="33" spans="1:42">
      <c r="A33" t="str">
        <f>A26</f>
        <v>Electricity</v>
      </c>
      <c r="C33" t="str">
        <f>C26</f>
        <v>R_ES-SC-DH_ELC</v>
      </c>
      <c r="E33" t="str">
        <f>E26</f>
        <v>R_ES-DH-SpCool</v>
      </c>
      <c r="F33" s="691">
        <f ca="1">F32</f>
        <v>2.1302164424318502E-3</v>
      </c>
      <c r="G33" s="691">
        <f t="shared" ref="G33:AP34" ca="1" si="1">G32</f>
        <v>6.9617956665415379E-3</v>
      </c>
      <c r="H33" s="691">
        <f t="shared" ca="1" si="1"/>
        <v>3.6027425053816657E-3</v>
      </c>
      <c r="I33" s="691">
        <f t="shared" ca="1" si="1"/>
        <v>2.1595309593404628E-3</v>
      </c>
      <c r="J33" s="691">
        <f t="shared" ca="1" si="1"/>
        <v>4.9181984589765249E-2</v>
      </c>
      <c r="K33" s="691">
        <f t="shared" ca="1" si="1"/>
        <v>3.9949171238895466E-4</v>
      </c>
      <c r="L33" s="691">
        <f t="shared" ca="1" si="1"/>
        <v>1.9130725294419961E-3</v>
      </c>
      <c r="M33" s="691">
        <f t="shared" ca="1" si="1"/>
        <v>1.4437083530979991E-3</v>
      </c>
      <c r="N33" s="691">
        <f t="shared" ca="1" si="1"/>
        <v>8.1419411961886873E-5</v>
      </c>
      <c r="O33" s="691">
        <f t="shared" ca="1" si="1"/>
        <v>1.2724498557687267E-2</v>
      </c>
      <c r="P33" s="691">
        <f t="shared" ca="1" si="1"/>
        <v>5.1828235385553624E-4</v>
      </c>
      <c r="Q33" s="691">
        <f t="shared" ca="1" si="1"/>
        <v>1.4718314668544161E-2</v>
      </c>
      <c r="R33" s="691">
        <f t="shared" ca="1" si="1"/>
        <v>1.7147160735873617E-2</v>
      </c>
      <c r="S33" s="691">
        <f t="shared" ca="1" si="1"/>
        <v>2.6783388227772945E-2</v>
      </c>
      <c r="T33" s="691">
        <f t="shared" ca="1" si="1"/>
        <v>4.2401413931513133E-4</v>
      </c>
      <c r="U33" s="691">
        <f t="shared" ca="1" si="1"/>
        <v>1.1683860507482804E-3</v>
      </c>
      <c r="V33" s="691">
        <f t="shared" ca="1" si="1"/>
        <v>4.5030461435534183E-4</v>
      </c>
      <c r="W33" s="691">
        <f t="shared" ca="1" si="1"/>
        <v>1.3152332419677922E-2</v>
      </c>
      <c r="X33" s="691">
        <f t="shared" ca="1" si="1"/>
        <v>6.612482312083704E-5</v>
      </c>
      <c r="Y33" s="691">
        <f t="shared" ca="1" si="1"/>
        <v>1.9752038148542289E-2</v>
      </c>
      <c r="Z33" s="691">
        <f t="shared" ca="1" si="1"/>
        <v>1.0873073948011418E-5</v>
      </c>
      <c r="AA33" s="691">
        <f t="shared" ca="1" si="1"/>
        <v>5.654239472985078E-2</v>
      </c>
      <c r="AB33" s="691">
        <f t="shared" ca="1" si="1"/>
        <v>4.5234859232420269E-3</v>
      </c>
      <c r="AC33" s="691">
        <f t="shared" ca="1" si="1"/>
        <v>1.6626780748656284E-3</v>
      </c>
      <c r="AD33" s="691">
        <f t="shared" ca="1" si="1"/>
        <v>2.6127892895197528E-4</v>
      </c>
      <c r="AE33" s="691">
        <f t="shared" ca="1" si="1"/>
        <v>9.1620390462388915E-3</v>
      </c>
      <c r="AF33" s="691">
        <f t="shared" ca="1" si="1"/>
        <v>5.4641281125837604E-4</v>
      </c>
      <c r="AG33" s="691">
        <f t="shared" ca="1" si="1"/>
        <v>1.0973360527668061E-3</v>
      </c>
      <c r="AH33" s="691">
        <f t="shared" ca="1" si="1"/>
        <v>4.211294978589227E-3</v>
      </c>
      <c r="AI33" s="691">
        <f t="shared" ca="1" si="1"/>
        <v>1.3208194512640389E-3</v>
      </c>
      <c r="AJ33" s="691">
        <f t="shared" ca="1" si="1"/>
        <v>7.8546003161163223E-4</v>
      </c>
      <c r="AK33" s="691">
        <f t="shared" ca="1" si="1"/>
        <v>2.2883590208291484E-2</v>
      </c>
      <c r="AL33" s="691">
        <f t="shared" ca="1" si="1"/>
        <v>5.4996058590660153E-2</v>
      </c>
      <c r="AM33" s="691">
        <f t="shared" ca="1" si="1"/>
        <v>2.2813612819336089E-2</v>
      </c>
      <c r="AN33" s="691">
        <f t="shared" ca="1" si="1"/>
        <v>6.5256273164681119E-2</v>
      </c>
      <c r="AO33" s="691">
        <f t="shared" ca="1" si="1"/>
        <v>5.996465075934565E-2</v>
      </c>
      <c r="AP33" s="691">
        <f t="shared" ca="1" si="1"/>
        <v>4.608677852412791E-2</v>
      </c>
    </row>
    <row r="34" spans="1:42">
      <c r="A34" t="str">
        <f>A27</f>
        <v>Electricity</v>
      </c>
      <c r="C34" t="str">
        <f>C27</f>
        <v>R_ES-SC-SD_ELC</v>
      </c>
      <c r="E34" t="str">
        <f>E27</f>
        <v>R_ES-SD-SpCool</v>
      </c>
      <c r="F34" s="691">
        <f ca="1">F33</f>
        <v>2.1302164424318502E-3</v>
      </c>
      <c r="G34" s="691">
        <f t="shared" ca="1" si="1"/>
        <v>6.9617956665415379E-3</v>
      </c>
      <c r="H34" s="691">
        <f t="shared" ca="1" si="1"/>
        <v>3.6027425053816657E-3</v>
      </c>
      <c r="I34" s="691">
        <f t="shared" ca="1" si="1"/>
        <v>2.1595309593404628E-3</v>
      </c>
      <c r="J34" s="691">
        <f t="shared" ca="1" si="1"/>
        <v>4.9181984589765249E-2</v>
      </c>
      <c r="K34" s="691">
        <f t="shared" ca="1" si="1"/>
        <v>3.9949171238895466E-4</v>
      </c>
      <c r="L34" s="691">
        <f t="shared" ca="1" si="1"/>
        <v>1.9130725294419961E-3</v>
      </c>
      <c r="M34" s="691">
        <f t="shared" ca="1" si="1"/>
        <v>1.4437083530979991E-3</v>
      </c>
      <c r="N34" s="691">
        <f t="shared" ca="1" si="1"/>
        <v>8.1419411961886873E-5</v>
      </c>
      <c r="O34" s="691">
        <f t="shared" ca="1" si="1"/>
        <v>1.2724498557687267E-2</v>
      </c>
      <c r="P34" s="691">
        <f t="shared" ca="1" si="1"/>
        <v>5.1828235385553624E-4</v>
      </c>
      <c r="Q34" s="691">
        <f t="shared" ca="1" si="1"/>
        <v>1.4718314668544161E-2</v>
      </c>
      <c r="R34" s="691">
        <f t="shared" ca="1" si="1"/>
        <v>1.7147160735873617E-2</v>
      </c>
      <c r="S34" s="691">
        <f t="shared" ca="1" si="1"/>
        <v>2.6783388227772945E-2</v>
      </c>
      <c r="T34" s="691">
        <f t="shared" ca="1" si="1"/>
        <v>4.2401413931513133E-4</v>
      </c>
      <c r="U34" s="691">
        <f t="shared" ca="1" si="1"/>
        <v>1.1683860507482804E-3</v>
      </c>
      <c r="V34" s="691">
        <f t="shared" ca="1" si="1"/>
        <v>4.5030461435534183E-4</v>
      </c>
      <c r="W34" s="691">
        <f t="shared" ca="1" si="1"/>
        <v>1.3152332419677922E-2</v>
      </c>
      <c r="X34" s="691">
        <f t="shared" ca="1" si="1"/>
        <v>6.612482312083704E-5</v>
      </c>
      <c r="Y34" s="691">
        <f t="shared" ca="1" si="1"/>
        <v>1.9752038148542289E-2</v>
      </c>
      <c r="Z34" s="691">
        <f t="shared" ca="1" si="1"/>
        <v>1.0873073948011418E-5</v>
      </c>
      <c r="AA34" s="691">
        <f t="shared" ca="1" si="1"/>
        <v>5.654239472985078E-2</v>
      </c>
      <c r="AB34" s="691">
        <f t="shared" ca="1" si="1"/>
        <v>4.5234859232420269E-3</v>
      </c>
      <c r="AC34" s="691">
        <f t="shared" ca="1" si="1"/>
        <v>1.6626780748656284E-3</v>
      </c>
      <c r="AD34" s="691">
        <f t="shared" ca="1" si="1"/>
        <v>2.6127892895197528E-4</v>
      </c>
      <c r="AE34" s="691">
        <f t="shared" ca="1" si="1"/>
        <v>9.1620390462388915E-3</v>
      </c>
      <c r="AF34" s="691">
        <f t="shared" ca="1" si="1"/>
        <v>5.4641281125837604E-4</v>
      </c>
      <c r="AG34" s="691">
        <f t="shared" ca="1" si="1"/>
        <v>1.0973360527668061E-3</v>
      </c>
      <c r="AH34" s="691">
        <f t="shared" ca="1" si="1"/>
        <v>4.211294978589227E-3</v>
      </c>
      <c r="AI34" s="691">
        <f t="shared" ca="1" si="1"/>
        <v>1.3208194512640389E-3</v>
      </c>
      <c r="AJ34" s="691">
        <f t="shared" ca="1" si="1"/>
        <v>7.8546003161163223E-4</v>
      </c>
      <c r="AK34" s="691">
        <f t="shared" ca="1" si="1"/>
        <v>2.2883590208291484E-2</v>
      </c>
      <c r="AL34" s="691">
        <f t="shared" ca="1" si="1"/>
        <v>5.4996058590660153E-2</v>
      </c>
      <c r="AM34" s="691">
        <f t="shared" ca="1" si="1"/>
        <v>2.2813612819336089E-2</v>
      </c>
      <c r="AN34" s="691">
        <f t="shared" ca="1" si="1"/>
        <v>6.5256273164681119E-2</v>
      </c>
      <c r="AO34" s="691">
        <f t="shared" ca="1" si="1"/>
        <v>5.996465075934565E-2</v>
      </c>
      <c r="AP34" s="691">
        <f t="shared" ca="1" si="1"/>
        <v>4.608677852412791E-2</v>
      </c>
    </row>
  </sheetData>
  <conditionalFormatting sqref="F32:AP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4">
    <tabColor theme="8"/>
  </sheetPr>
  <dimension ref="C2:AP17"/>
  <sheetViews>
    <sheetView zoomScale="72" zoomScaleNormal="70" workbookViewId="0">
      <selection activeCell="L20" sqref="L20"/>
    </sheetView>
  </sheetViews>
  <sheetFormatPr defaultColWidth="8.88671875" defaultRowHeight="14.4"/>
  <cols>
    <col min="1" max="1" width="19" customWidth="1"/>
    <col min="2" max="2" width="2" bestFit="1" customWidth="1"/>
    <col min="3" max="3" width="16.44140625" bestFit="1" customWidth="1"/>
    <col min="4" max="4" width="12" bestFit="1" customWidth="1"/>
    <col min="5" max="5" width="18.33203125" bestFit="1" customWidth="1"/>
    <col min="6" max="6" width="12.44140625" customWidth="1"/>
    <col min="7" max="7" width="11.88671875" bestFit="1" customWidth="1"/>
    <col min="8" max="8" width="11.109375" bestFit="1" customWidth="1"/>
    <col min="9" max="9" width="11.88671875" bestFit="1" customWidth="1"/>
    <col min="10" max="10" width="16.44140625" customWidth="1"/>
    <col min="11" max="11" width="16.44140625" bestFit="1" customWidth="1"/>
    <col min="12" max="12" width="11.88671875" bestFit="1" customWidth="1"/>
    <col min="13" max="13" width="11.109375" bestFit="1" customWidth="1"/>
    <col min="14" max="14" width="16.44140625" bestFit="1" customWidth="1"/>
    <col min="15" max="15" width="10.5546875" bestFit="1" customWidth="1"/>
    <col min="16" max="16" width="15.109375" bestFit="1" customWidth="1"/>
    <col min="17" max="17" width="10.5546875" bestFit="1" customWidth="1"/>
    <col min="18" max="18" width="11.109375" bestFit="1" customWidth="1"/>
    <col min="19" max="19" width="11.88671875" bestFit="1" customWidth="1"/>
    <col min="20" max="20" width="15.109375" bestFit="1" customWidth="1"/>
    <col min="21" max="21" width="11.109375" bestFit="1" customWidth="1"/>
    <col min="22" max="22" width="16.44140625" bestFit="1" customWidth="1"/>
    <col min="23" max="23" width="10.77734375" bestFit="1" customWidth="1"/>
    <col min="24" max="24" width="16.44140625" bestFit="1" customWidth="1"/>
    <col min="25" max="25" width="11.88671875" bestFit="1" customWidth="1"/>
    <col min="26" max="26" width="15.109375" bestFit="1" customWidth="1"/>
    <col min="27" max="27" width="10.77734375" bestFit="1" customWidth="1"/>
    <col min="28" max="28" width="11.5546875" bestFit="1" customWidth="1"/>
    <col min="29" max="29" width="10.5546875" bestFit="1" customWidth="1"/>
    <col min="30" max="30" width="15.109375" bestFit="1" customWidth="1"/>
    <col min="31" max="31" width="10.5546875" bestFit="1" customWidth="1"/>
    <col min="32" max="32" width="15.44140625" bestFit="1" customWidth="1"/>
    <col min="33" max="33" width="10.109375" bestFit="1" customWidth="1"/>
    <col min="34" max="34" width="11" bestFit="1" customWidth="1"/>
    <col min="35" max="35" width="10.5546875" bestFit="1" customWidth="1"/>
    <col min="36" max="36" width="10.109375" bestFit="1" customWidth="1"/>
    <col min="37" max="39" width="10.5546875" bestFit="1" customWidth="1"/>
    <col min="40" max="42" width="11" bestFit="1" customWidth="1"/>
  </cols>
  <sheetData>
    <row r="2" spans="3:42" ht="15" thickBot="1">
      <c r="F2" s="540" t="str">
        <f>'All Stock'!D$2</f>
        <v>AT</v>
      </c>
      <c r="G2" s="540" t="str">
        <f>'All Stock'!E$2</f>
        <v>BE</v>
      </c>
      <c r="H2" s="540" t="str">
        <f>'All Stock'!F$2</f>
        <v>BG</v>
      </c>
      <c r="I2" s="540" t="str">
        <f>'All Stock'!G$2</f>
        <v>CH</v>
      </c>
      <c r="J2" s="540" t="str">
        <f>'All Stock'!H$2</f>
        <v>CY</v>
      </c>
      <c r="K2" s="540" t="str">
        <f>'All Stock'!I$2</f>
        <v>CZ</v>
      </c>
      <c r="L2" s="540" t="str">
        <f>'All Stock'!J$2</f>
        <v>DE</v>
      </c>
      <c r="M2" s="540" t="str">
        <f>'All Stock'!K$2</f>
        <v>DK</v>
      </c>
      <c r="N2" s="540" t="str">
        <f>'All Stock'!L$2</f>
        <v>EE</v>
      </c>
      <c r="O2" s="540" t="str">
        <f>'All Stock'!M$2</f>
        <v>ES</v>
      </c>
      <c r="P2" s="540" t="str">
        <f>'All Stock'!N$2</f>
        <v>FI</v>
      </c>
      <c r="Q2" s="540" t="str">
        <f>'All Stock'!O$2</f>
        <v>FR</v>
      </c>
      <c r="R2" s="540" t="str">
        <f>'All Stock'!P$2</f>
        <v>EL</v>
      </c>
      <c r="S2" s="540" t="str">
        <f>'All Stock'!Q$2</f>
        <v>HR</v>
      </c>
      <c r="T2" s="540" t="str">
        <f>'All Stock'!R$2</f>
        <v>HU</v>
      </c>
      <c r="U2" s="540" t="str">
        <f>'All Stock'!S$2</f>
        <v>IE</v>
      </c>
      <c r="V2" s="540" t="str">
        <f>'All Stock'!T$2</f>
        <v>IS</v>
      </c>
      <c r="W2" s="540" t="str">
        <f>'All Stock'!U$2</f>
        <v>IT</v>
      </c>
      <c r="X2" s="540" t="str">
        <f>'All Stock'!V$2</f>
        <v>LT</v>
      </c>
      <c r="Y2" s="540" t="str">
        <f>'All Stock'!W$2</f>
        <v>LU</v>
      </c>
      <c r="Z2" s="540" t="str">
        <f>'All Stock'!X$2</f>
        <v>LV</v>
      </c>
      <c r="AA2" s="540" t="str">
        <f>'All Stock'!Y$2</f>
        <v>MT</v>
      </c>
      <c r="AB2" s="540" t="str">
        <f>'All Stock'!Z$2</f>
        <v>NL</v>
      </c>
      <c r="AC2" s="540" t="str">
        <f>'All Stock'!AA$2</f>
        <v>NO</v>
      </c>
      <c r="AD2" s="540" t="str">
        <f>'All Stock'!AB$2</f>
        <v>PL</v>
      </c>
      <c r="AE2" s="540" t="str">
        <f>'All Stock'!AC$2</f>
        <v>PT</v>
      </c>
      <c r="AF2" s="540" t="str">
        <f>'All Stock'!AD$2</f>
        <v>RO</v>
      </c>
      <c r="AG2" s="540" t="str">
        <f>'All Stock'!AE$2</f>
        <v>SE</v>
      </c>
      <c r="AH2" s="540" t="str">
        <f>'All Stock'!AF$2</f>
        <v>SI</v>
      </c>
      <c r="AI2" s="540" t="str">
        <f>'All Stock'!AG$2</f>
        <v>SK</v>
      </c>
      <c r="AJ2" s="540" t="str">
        <f>'All Stock'!AH$2</f>
        <v>UK</v>
      </c>
      <c r="AK2" s="540" t="str">
        <f>'All Stock'!AI$2</f>
        <v>AL</v>
      </c>
      <c r="AL2" s="540" t="str">
        <f>'All Stock'!AJ$2</f>
        <v>BA</v>
      </c>
      <c r="AM2" s="540" t="str">
        <f>'All Stock'!AK$2</f>
        <v>ME</v>
      </c>
      <c r="AN2" s="540" t="str">
        <f>'All Stock'!AL$2</f>
        <v>MK</v>
      </c>
      <c r="AO2" s="540" t="str">
        <f>'All Stock'!AM$2</f>
        <v>RS</v>
      </c>
      <c r="AP2" s="540" t="str">
        <f>'All Stock'!AN$2</f>
        <v>KS</v>
      </c>
    </row>
    <row r="3" spans="3:42">
      <c r="C3" t="s">
        <v>907</v>
      </c>
      <c r="F3" s="796">
        <f ca="1">'IDEES okt 2017 template'!D108/SUM('All Stock'!D13:D16)</f>
        <v>2.3571868611229086E-4</v>
      </c>
      <c r="G3" s="796">
        <f ca="1">'IDEES okt 2017 template'!E108/SUM('All Stock'!E13:E16)</f>
        <v>9.2443989730669302E-4</v>
      </c>
      <c r="H3" s="796">
        <f ca="1">'IDEES okt 2017 template'!F108/SUM('All Stock'!F13:F16)</f>
        <v>4.1491265706069532E-4</v>
      </c>
      <c r="I3" s="796">
        <f ca="1">'IDEES okt 2017 template'!G108/SUM('All Stock'!G13:G16)</f>
        <v>2.4244656726818856E-4</v>
      </c>
      <c r="J3" s="796">
        <f ca="1">'IDEES okt 2017 template'!H108/SUM('All Stock'!H13:H16)</f>
        <v>6.4483483707775072E-3</v>
      </c>
      <c r="K3" s="796">
        <f ca="1">'IDEES okt 2017 template'!I108/SUM('All Stock'!I13:I16)</f>
        <v>4.1281237941960521E-5</v>
      </c>
      <c r="L3" s="796">
        <f ca="1">'IDEES okt 2017 template'!J108/SUM('All Stock'!J13:J16)</f>
        <v>2.0406905529484905E-4</v>
      </c>
      <c r="M3" s="796">
        <f ca="1">'IDEES okt 2017 template'!K108/SUM('All Stock'!K13:K16)</f>
        <v>1.7150138609052276E-4</v>
      </c>
      <c r="N3" s="796">
        <f ca="1">'IDEES okt 2017 template'!L108/SUM('All Stock'!L13:L16)</f>
        <v>7.0677388662103685E-6</v>
      </c>
      <c r="O3" s="796">
        <f ca="1">'IDEES okt 2017 template'!M108/SUM('All Stock'!M13:M16)</f>
        <v>1.1592748216565046E-3</v>
      </c>
      <c r="P3" s="796">
        <f ca="1">'IDEES okt 2017 template'!N108/SUM('All Stock'!N13:N16)</f>
        <v>5.9978967587034821E-5</v>
      </c>
      <c r="Q3" s="796">
        <f ca="1">'IDEES okt 2017 template'!O108/SUM('All Stock'!O13:O16)</f>
        <v>1.7137970727163288E-3</v>
      </c>
      <c r="R3" s="796">
        <f ca="1">'IDEES okt 2017 template'!P108/SUM('All Stock'!P13:P16)</f>
        <v>1.7378352559650034E-3</v>
      </c>
      <c r="S3" s="796">
        <f ca="1">'IDEES okt 2017 template'!Q108/SUM('All Stock'!Q13:Q16)</f>
        <v>3.2882673972427882E-3</v>
      </c>
      <c r="T3" s="796">
        <f ca="1">'IDEES okt 2017 template'!R108/SUM('All Stock'!R13:R16)</f>
        <v>5.1431951698378513E-5</v>
      </c>
      <c r="U3" s="796">
        <f ca="1">'IDEES okt 2017 template'!S108/SUM('All Stock'!S13:S16)</f>
        <v>1.717688663599739E-4</v>
      </c>
      <c r="V3" s="796">
        <f ca="1">'IDEES okt 2017 template'!T108/SUM('All Stock'!T13:T16)</f>
        <v>5.2112146338363639E-5</v>
      </c>
      <c r="W3" s="796">
        <f ca="1">'IDEES okt 2017 template'!U108/SUM('All Stock'!U13:U16)</f>
        <v>1.1481504705173559E-3</v>
      </c>
      <c r="X3" s="796">
        <f ca="1">'IDEES okt 2017 template'!V108/SUM('All Stock'!V13:V16)</f>
        <v>6.3665413876633871E-6</v>
      </c>
      <c r="Y3" s="796">
        <f ca="1">'IDEES okt 2017 template'!W108/SUM('All Stock'!W13:W16)</f>
        <v>2.4385883108435547E-3</v>
      </c>
      <c r="Z3" s="796">
        <f ca="1">'IDEES okt 2017 template'!X108/SUM('All Stock'!X13:X16)</f>
        <v>1.0039028023805711E-6</v>
      </c>
      <c r="AA3" s="796">
        <f ca="1">'IDEES okt 2017 template'!Y108/SUM('All Stock'!Y13:Y16)</f>
        <v>7.5814169766280923E-3</v>
      </c>
      <c r="AB3" s="796">
        <f ca="1">'IDEES okt 2017 template'!Z108/SUM('All Stock'!Z13:Z16)</f>
        <v>5.839709742755004E-4</v>
      </c>
      <c r="AC3" s="796">
        <f ca="1">'IDEES okt 2017 template'!AA108/SUM('All Stock'!AA13:AA16)</f>
        <v>1.7064886516566971E-4</v>
      </c>
      <c r="AD3" s="796">
        <f ca="1">'IDEES okt 2017 template'!AB108/SUM('All Stock'!AB13:AB16)</f>
        <v>2.6476043038467225E-5</v>
      </c>
      <c r="AE3" s="796">
        <f ca="1">'IDEES okt 2017 template'!AC108/SUM('All Stock'!AC13:AC16)</f>
        <v>1.0892814188503219E-3</v>
      </c>
      <c r="AF3" s="796">
        <f ca="1">'IDEES okt 2017 template'!AD108/SUM('All Stock'!AD13:AD16)</f>
        <v>6.387781705953426E-5</v>
      </c>
      <c r="AG3" s="796">
        <f ca="1">'IDEES okt 2017 template'!AE108/SUM('All Stock'!AE13:AE16)</f>
        <v>1.1262502040580796E-4</v>
      </c>
      <c r="AH3" s="796">
        <f ca="1">'IDEES okt 2017 template'!AF108/SUM('All Stock'!AF13:AF16)</f>
        <v>4.0918526980907271E-4</v>
      </c>
      <c r="AI3" s="796">
        <f ca="1">'IDEES okt 2017 template'!AG108/SUM('All Stock'!AG13:AG16)</f>
        <v>1.4466653562837E-4</v>
      </c>
      <c r="AJ3" s="796">
        <f ca="1">'IDEES okt 2017 template'!AH108/SUM('All Stock'!AH13:AH16)</f>
        <v>1.0993098520522174E-4</v>
      </c>
      <c r="AK3" s="796">
        <f ca="1">'IDEES okt 2017 template'!AI108/SUM('All Stock'!AI13:AI16)</f>
        <v>2.3192125191796868E-3</v>
      </c>
      <c r="AL3" s="796">
        <f ca="1">'IDEES okt 2017 template'!AJ108/SUM('All Stock'!AJ13:AJ16)</f>
        <v>6.2141403928443542E-3</v>
      </c>
      <c r="AM3" s="796">
        <f ca="1">'IDEES okt 2017 template'!AK108/SUM('All Stock'!AK13:AK16)</f>
        <v>2.3121204311354763E-3</v>
      </c>
      <c r="AN3" s="796">
        <f ca="1">'IDEES okt 2017 template'!AL108/SUM('All Stock'!AL13:AL16)</f>
        <v>7.3734673602227387E-3</v>
      </c>
      <c r="AO3" s="796">
        <f ca="1">'IDEES okt 2017 template'!AM108/SUM('All Stock'!AM13:AM16)</f>
        <v>6.7755538846876089E-3</v>
      </c>
      <c r="AP3" s="796">
        <f ca="1">'IDEES okt 2017 template'!AN108/SUM('All Stock'!AN13:AN16)</f>
        <v>5.2074588496327599E-3</v>
      </c>
    </row>
    <row r="7" spans="3:42">
      <c r="C7" t="s">
        <v>909</v>
      </c>
    </row>
    <row r="9" spans="3:42">
      <c r="C9" t="s">
        <v>911</v>
      </c>
    </row>
    <row r="10" spans="3:42">
      <c r="C10" t="s">
        <v>910</v>
      </c>
      <c r="F10" s="509">
        <f ca="1">SUM('All Stock'!D13:D15)</f>
        <v>1485.6025493659481</v>
      </c>
      <c r="G10" s="509">
        <f ca="1">SUM('All Stock'!E13:E15)</f>
        <v>2536.0737073102914</v>
      </c>
      <c r="H10" s="509">
        <f ca="1">SUM('All Stock'!F13:F15)</f>
        <v>952.34514965732637</v>
      </c>
      <c r="I10" s="509">
        <f ca="1">SUM('All Stock'!G13:G15)</f>
        <v>1785.6423124907965</v>
      </c>
      <c r="J10" s="509">
        <f ca="1">SUM('All Stock'!H13:H15)</f>
        <v>213.95638549684628</v>
      </c>
      <c r="K10" s="509">
        <f ca="1">SUM('All Stock'!I13:I15)</f>
        <v>1635.8389776369522</v>
      </c>
      <c r="L10" s="509">
        <f ca="1">SUM('All Stock'!J13:J15)</f>
        <v>15818.818454535678</v>
      </c>
      <c r="M10" s="509">
        <f ca="1">SUM('All Stock'!K13:K15)</f>
        <v>1528.3863897224137</v>
      </c>
      <c r="N10" s="509">
        <f ca="1">SUM('All Stock'!L13:L15)</f>
        <v>163.47362124923455</v>
      </c>
      <c r="O10" s="509">
        <f ca="1">SUM('All Stock'!M13:M15)</f>
        <v>3130.0056552593642</v>
      </c>
      <c r="P10" s="509">
        <f ca="1">SUM('All Stock'!N13:N15)</f>
        <v>1390.8276847692937</v>
      </c>
      <c r="Q10" s="509">
        <f ca="1">SUM('All Stock'!O13:O15)</f>
        <v>11899.432218627308</v>
      </c>
      <c r="R10" s="509">
        <f ca="1">SUM('All Stock'!P13:P15)</f>
        <v>1140.898204752677</v>
      </c>
      <c r="S10" s="509">
        <f ca="1">SUM('All Stock'!Q13:Q15)</f>
        <v>863.72344847950649</v>
      </c>
      <c r="T10" s="509">
        <f ca="1">SUM('All Stock'!R13:R15)</f>
        <v>2104.1929727902516</v>
      </c>
      <c r="U10" s="509">
        <f ca="1">SUM('All Stock'!S13:S15)</f>
        <v>1165.6734829225725</v>
      </c>
      <c r="V10" s="509">
        <f ca="1">SUM('All Stock'!T13:T15)</f>
        <v>84.292808019808803</v>
      </c>
      <c r="W10" s="509">
        <f ca="1">SUM('All Stock'!U13:U15)</f>
        <v>5867.4658410978491</v>
      </c>
      <c r="X10" s="509">
        <f ca="1">SUM('All Stock'!V13:V15)</f>
        <v>392.41989374250852</v>
      </c>
      <c r="Y10" s="509">
        <f ca="1">SUM('All Stock'!W13:W15)</f>
        <v>119.99999936170212</v>
      </c>
      <c r="Z10" s="509">
        <f ca="1">SUM('All Stock'!X13:X15)</f>
        <v>257.9444807445193</v>
      </c>
      <c r="AA10" s="509">
        <f ca="1">SUM('All Stock'!Y13:Y15)</f>
        <v>49.160800497201699</v>
      </c>
      <c r="AB10" s="509">
        <f ca="1">SUM('All Stock'!Z13:Z15)</f>
        <v>3993.3048524897458</v>
      </c>
      <c r="AC10" s="509">
        <f ca="1">SUM('All Stock'!AA13:AA15)</f>
        <v>827.74308084504423</v>
      </c>
      <c r="AD10" s="509">
        <f ca="1">SUM('All Stock'!AB13:AB15)</f>
        <v>4572.5428437556056</v>
      </c>
      <c r="AE10" s="509">
        <f ca="1">SUM('All Stock'!AC13:AC15)</f>
        <v>740.64536968954758</v>
      </c>
      <c r="AF10" s="509">
        <f ca="1">SUM('All Stock'!AD13:AD15)</f>
        <v>2707.5783719848528</v>
      </c>
      <c r="AG10" s="509">
        <f ca="1">SUM('All Stock'!AE13:AE15)</f>
        <v>1744.2185067633625</v>
      </c>
      <c r="AH10" s="509">
        <f ca="1">SUM('All Stock'!AF13:AF15)</f>
        <v>259.93990032454224</v>
      </c>
      <c r="AI10" s="509">
        <f ca="1">SUM('All Stock'!AG13:AG15)</f>
        <v>559.91622553275249</v>
      </c>
      <c r="AJ10" s="509">
        <f ca="1">SUM('All Stock'!AH13:AH15)</f>
        <v>17041.766734869147</v>
      </c>
      <c r="AK10" s="509">
        <f ca="1">SUM('All Stock'!AI13:AI15)</f>
        <v>133.63315724004198</v>
      </c>
      <c r="AL10" s="509">
        <f ca="1">SUM('All Stock'!AJ13:AJ15)</f>
        <v>302.94360442717078</v>
      </c>
      <c r="AM10" s="509">
        <f ca="1">SUM('All Stock'!AK13:AK15)</f>
        <v>66.964299839761665</v>
      </c>
      <c r="AN10" s="509">
        <f ca="1">SUM('All Stock'!AL13:AL15)</f>
        <v>179.73822880248773</v>
      </c>
      <c r="AO10" s="509">
        <f ca="1">SUM('All Stock'!AM13:AM15)</f>
        <v>895.10759001974463</v>
      </c>
      <c r="AP10" s="509">
        <f ca="1">SUM('All Stock'!AN13:AN15)</f>
        <v>178.32755009660028</v>
      </c>
    </row>
    <row r="11" spans="3:42">
      <c r="C11" t="s">
        <v>541</v>
      </c>
      <c r="F11" s="509">
        <f ca="1">'All Stock'!D16</f>
        <v>1468.1931444905658</v>
      </c>
      <c r="G11" s="509">
        <f ca="1">'All Stock'!E16</f>
        <v>905.52301441199279</v>
      </c>
      <c r="H11" s="509">
        <f ca="1">'All Stock'!F16</f>
        <v>777.21770601382218</v>
      </c>
      <c r="I11" s="509">
        <f ca="1">'All Stock'!G16</f>
        <v>1648.2852115299659</v>
      </c>
      <c r="J11" s="509">
        <f ca="1">'All Stock'!H16</f>
        <v>83.544873692829114</v>
      </c>
      <c r="K11" s="509">
        <f ca="1">'All Stock'!I16</f>
        <v>2208.0312140248443</v>
      </c>
      <c r="L11" s="509">
        <f ca="1">'All Stock'!J16</f>
        <v>18507.478934742299</v>
      </c>
      <c r="M11" s="509">
        <f ca="1">'All Stock'!K16</f>
        <v>1066.6762517252059</v>
      </c>
      <c r="N11" s="509">
        <f ca="1">'All Stock'!L16</f>
        <v>488.14637875076545</v>
      </c>
      <c r="O11" s="509">
        <f ca="1">'All Stock'!M16</f>
        <v>7433.1088118539237</v>
      </c>
      <c r="P11" s="509">
        <f ca="1">'All Stock'!N16</f>
        <v>1108.1723152307063</v>
      </c>
      <c r="Q11" s="509">
        <f ca="1">'All Stock'!O16</f>
        <v>9195.3526981771283</v>
      </c>
      <c r="R11" s="509">
        <f ca="1">'All Stock'!P16</f>
        <v>1679.0753129779873</v>
      </c>
      <c r="S11" s="509">
        <f ca="1">'All Stock'!Q16</f>
        <v>505.02472685864541</v>
      </c>
      <c r="T11" s="509">
        <f ca="1">'All Stock'!R16</f>
        <v>1314.8023053054051</v>
      </c>
      <c r="U11" s="509">
        <f ca="1">'All Stock'!S16</f>
        <v>148.1182698102499</v>
      </c>
      <c r="V11" s="509">
        <f ca="1">'All Stock'!T16</f>
        <v>67.162134636472771</v>
      </c>
      <c r="W11" s="509">
        <f ca="1">'All Stock'!U16</f>
        <v>17047.884154921932</v>
      </c>
      <c r="X11" s="509">
        <f ca="1">'All Stock'!V16</f>
        <v>725.54346604839498</v>
      </c>
      <c r="Y11" s="509">
        <f ca="1">'All Stock'!W16</f>
        <v>67.999999638297879</v>
      </c>
      <c r="Z11" s="509">
        <f ca="1">'All Stock'!X16</f>
        <v>576.16017362476293</v>
      </c>
      <c r="AA11" s="509">
        <f ca="1">'All Stock'!Y16</f>
        <v>16.335462474584798</v>
      </c>
      <c r="AB11" s="509">
        <f ca="1">'All Stock'!Z16</f>
        <v>1728.7005676351</v>
      </c>
      <c r="AC11" s="509">
        <f ca="1">'All Stock'!AA16</f>
        <v>1151.6628112433018</v>
      </c>
      <c r="AD11" s="509">
        <f ca="1">'All Stock'!AB16</f>
        <v>6734.1391844108894</v>
      </c>
      <c r="AE11" s="509">
        <f ca="1">'All Stock'!AC16</f>
        <v>514.68576543917493</v>
      </c>
      <c r="AF11" s="509">
        <f ca="1">'All Stock'!AD16</f>
        <v>2050.9073432785085</v>
      </c>
      <c r="AG11" s="509">
        <f ca="1">'All Stock'!AE16</f>
        <v>2426.7814922366383</v>
      </c>
      <c r="AH11" s="509">
        <f ca="1">'All Stock'!AF16</f>
        <v>461.41891138861422</v>
      </c>
      <c r="AI11" s="509">
        <f ca="1">'All Stock'!AG16</f>
        <v>580.36075202452548</v>
      </c>
      <c r="AJ11" s="509">
        <f ca="1">'All Stock'!AH16</f>
        <v>3928.2270816740383</v>
      </c>
      <c r="AK11" s="509">
        <f ca="1">'All Stock'!AI16</f>
        <v>196.66972424213861</v>
      </c>
      <c r="AL11" s="509">
        <f ca="1">'All Stock'!AJ16</f>
        <v>271.18740136497507</v>
      </c>
      <c r="AM11" s="509">
        <f ca="1">'All Stock'!AK16</f>
        <v>98.552265437365477</v>
      </c>
      <c r="AN11" s="509">
        <f ca="1">'All Stock'!AL16</f>
        <v>160.89708606674995</v>
      </c>
      <c r="AO11" s="509">
        <f ca="1">'All Stock'!AM16</f>
        <v>801.27752404119974</v>
      </c>
      <c r="AP11" s="509">
        <f ca="1">'All Stock'!AN16</f>
        <v>159.63428240686127</v>
      </c>
    </row>
    <row r="13" spans="3:42">
      <c r="C13" t="s">
        <v>912</v>
      </c>
    </row>
    <row r="14" spans="3:42">
      <c r="C14" t="s">
        <v>913</v>
      </c>
      <c r="F14" s="691">
        <f ca="1">'IDEES okt 2017 template'!D109/(F10+0.5*F11)</f>
        <v>3.1367532348014655E-4</v>
      </c>
      <c r="G14" s="691">
        <f ca="1">'IDEES okt 2017 template'!E109/(G10+0.5*G11)</f>
        <v>1.0644779961597516E-3</v>
      </c>
      <c r="H14" s="691">
        <f ca="1">'IDEES okt 2017 template'!F109/(H10+0.5*H11)</f>
        <v>5.3515446359399461E-4</v>
      </c>
      <c r="I14" s="691">
        <f ca="1">'IDEES okt 2017 template'!G109/(I10+0.5*I11)</f>
        <v>3.1900864114235337E-4</v>
      </c>
      <c r="J14" s="691">
        <f ca="1">'IDEES okt 2017 template'!H109/(J10+0.5*J11)</f>
        <v>7.5016642333141969E-3</v>
      </c>
      <c r="K14" s="691">
        <f ca="1">'IDEES okt 2017 template'!I109/(K10+0.5*K11)</f>
        <v>5.7915380213620588E-5</v>
      </c>
      <c r="L14" s="691">
        <f ca="1">'IDEES okt 2017 template'!J109/(L10+0.5*L11)</f>
        <v>2.7938653494462675E-4</v>
      </c>
      <c r="M14" s="691">
        <f ca="1">'IDEES okt 2017 template'!K109/(M10+0.5*M11)</f>
        <v>2.1586629864257817E-4</v>
      </c>
      <c r="N14" s="691">
        <f ca="1">'IDEES okt 2017 template'!L109/(N10+0.5*N11)</f>
        <v>1.1300493292884607E-5</v>
      </c>
      <c r="O14" s="691">
        <f ca="1">'IDEES okt 2017 template'!M109/(O10+0.5*O11)</f>
        <v>1.7885701039009323E-3</v>
      </c>
      <c r="P14" s="691">
        <f ca="1">'IDEES okt 2017 template'!N109/(P10+0.5*P11)</f>
        <v>7.7066364963613988E-5</v>
      </c>
      <c r="Q14" s="691">
        <f ca="1">'IDEES okt 2017 template'!O109/(Q10+0.5*Q11)</f>
        <v>2.1914252725928145E-3</v>
      </c>
      <c r="R14" s="691">
        <f ca="1">'IDEES okt 2017 template'!P109/(R10+0.5*R11)</f>
        <v>2.474530731294397E-3</v>
      </c>
      <c r="S14" s="691">
        <f ca="1">'IDEES okt 2017 template'!Q109/(S10+0.5*S11)</f>
        <v>4.0321318774958039E-3</v>
      </c>
      <c r="T14" s="691">
        <f ca="1">'IDEES okt 2017 template'!R109/(T10+0.5*T11)</f>
        <v>6.3675396170606618E-5</v>
      </c>
      <c r="U14" s="691">
        <f ca="1">'IDEES okt 2017 template'!S109/(U10+0.5*U11)</f>
        <v>1.8202999320565127E-4</v>
      </c>
      <c r="V14" s="691">
        <f ca="1">'IDEES okt 2017 template'!T109/(V10+0.5*V11)</f>
        <v>6.6958366412724304E-5</v>
      </c>
      <c r="W14" s="691">
        <f ca="1">'IDEES okt 2017 template'!U109/(W10+0.5*W11)</f>
        <v>1.8281929071075043E-3</v>
      </c>
      <c r="X14" s="691">
        <f ca="1">'IDEES okt 2017 template'!V109/(X10+0.5*X11)</f>
        <v>9.4248396668184444E-6</v>
      </c>
      <c r="Y14" s="691">
        <f ca="1">'IDEES okt 2017 template'!W109/(Y10+0.5*Y11)</f>
        <v>2.976977937912911E-3</v>
      </c>
      <c r="Z14" s="691">
        <f ca="1">'IDEES okt 2017 template'!X109/(Z10+0.5*Z11)</f>
        <v>1.5335573704066702E-6</v>
      </c>
      <c r="AA14" s="691">
        <f ca="1">'IDEES okt 2017 template'!Y109/(AA10+0.5*AA11)</f>
        <v>8.6615593488368961E-3</v>
      </c>
      <c r="AB14" s="691">
        <f ca="1">'IDEES okt 2017 template'!Z109/(AB10+0.5*AB11)</f>
        <v>6.8788026038014277E-4</v>
      </c>
      <c r="AC14" s="691">
        <f ca="1">'IDEES okt 2017 template'!AA109/(AC10+0.5*AC11)</f>
        <v>2.406593824866675E-4</v>
      </c>
      <c r="AD14" s="691">
        <f ca="1">'IDEES okt 2017 template'!AB109/(AD10+0.5*AD11)</f>
        <v>3.770413259016521E-5</v>
      </c>
      <c r="AE14" s="691">
        <f ca="1">'IDEES okt 2017 template'!AC109/(AE10+0.5*AE11)</f>
        <v>1.3701653067549509E-3</v>
      </c>
      <c r="AF14" s="691">
        <f ca="1">'IDEES okt 2017 template'!AD109/(AF10+0.5*AF11)</f>
        <v>8.1424878342299878E-5</v>
      </c>
      <c r="AG14" s="691">
        <f ca="1">'IDEES okt 2017 template'!AE109/(AG10+0.5*AG11)</f>
        <v>1.5883063644810439E-4</v>
      </c>
      <c r="AH14" s="691">
        <f ca="1">'IDEES okt 2017 template'!AF109/(AH10+0.5*AH11)</f>
        <v>6.0158929463398803E-4</v>
      </c>
      <c r="AI14" s="691">
        <f ca="1">'IDEES okt 2017 template'!AG109/(AI10+0.5*AI11)</f>
        <v>1.9404844073037371E-4</v>
      </c>
      <c r="AJ14" s="691">
        <f ca="1">'IDEES okt 2017 template'!AH109/(AJ10+0.5*AJ11)</f>
        <v>1.2129151854895332E-4</v>
      </c>
      <c r="AK14" s="691">
        <f ca="1">'IDEES okt 2017 template'!AI109/(AK10+0.5*AK11)</f>
        <v>3.3023628859031521E-3</v>
      </c>
      <c r="AL14" s="691">
        <f ca="1">'IDEES okt 2017 template'!AJ109/(AL10+0.5*AL11)</f>
        <v>8.1355237794084635E-3</v>
      </c>
      <c r="AM14" s="691">
        <f ca="1">'IDEES okt 2017 template'!AK109/(AM10+0.5*AM11)</f>
        <v>3.2922643511000349E-3</v>
      </c>
      <c r="AN14" s="691">
        <f ca="1">'IDEES okt 2017 template'!AL109/(AN10+0.5*AN11)</f>
        <v>9.6533092678208372E-3</v>
      </c>
      <c r="AO14" s="691">
        <f ca="1">'IDEES okt 2017 template'!AM109/(AO10+0.5*AO11)</f>
        <v>8.8705237189384643E-3</v>
      </c>
      <c r="AP14" s="691">
        <f ca="1">'IDEES okt 2017 template'!AN109/(AP10+0.5*AP11)</f>
        <v>6.8175809723035148E-3</v>
      </c>
    </row>
    <row r="15" spans="3:42">
      <c r="C15" t="s">
        <v>58</v>
      </c>
      <c r="F15" s="691">
        <f ca="1">F14/2</f>
        <v>1.5683766174007328E-4</v>
      </c>
      <c r="G15" s="691">
        <f t="shared" ref="G15:AP15" ca="1" si="0">G14/2</f>
        <v>5.3223899807987578E-4</v>
      </c>
      <c r="H15" s="691">
        <f t="shared" ca="1" si="0"/>
        <v>2.675772317969973E-4</v>
      </c>
      <c r="I15" s="691">
        <f t="shared" ca="1" si="0"/>
        <v>1.5950432057117668E-4</v>
      </c>
      <c r="J15" s="691">
        <f t="shared" ca="1" si="0"/>
        <v>3.7508321166570984E-3</v>
      </c>
      <c r="K15" s="691">
        <f t="shared" ca="1" si="0"/>
        <v>2.8957690106810294E-5</v>
      </c>
      <c r="L15" s="691">
        <f t="shared" ca="1" si="0"/>
        <v>1.3969326747231337E-4</v>
      </c>
      <c r="M15" s="691">
        <f t="shared" ca="1" si="0"/>
        <v>1.0793314932128908E-4</v>
      </c>
      <c r="N15" s="691">
        <f t="shared" ca="1" si="0"/>
        <v>5.6502466464423034E-6</v>
      </c>
      <c r="O15" s="691">
        <f t="shared" ca="1" si="0"/>
        <v>8.9428505195046615E-4</v>
      </c>
      <c r="P15" s="691">
        <f t="shared" ca="1" si="0"/>
        <v>3.8533182481806994E-5</v>
      </c>
      <c r="Q15" s="691">
        <f t="shared" ca="1" si="0"/>
        <v>1.0957126362964073E-3</v>
      </c>
      <c r="R15" s="691">
        <f t="shared" ca="1" si="0"/>
        <v>1.2372653656471985E-3</v>
      </c>
      <c r="S15" s="691">
        <f t="shared" ca="1" si="0"/>
        <v>2.0160659387479019E-3</v>
      </c>
      <c r="T15" s="691">
        <f t="shared" ca="1" si="0"/>
        <v>3.1837698085303309E-5</v>
      </c>
      <c r="U15" s="691">
        <f t="shared" ca="1" si="0"/>
        <v>9.1014996602825635E-5</v>
      </c>
      <c r="V15" s="691">
        <f t="shared" ca="1" si="0"/>
        <v>3.3479183206362152E-5</v>
      </c>
      <c r="W15" s="691">
        <f t="shared" ca="1" si="0"/>
        <v>9.1409645355375216E-4</v>
      </c>
      <c r="X15" s="691">
        <f t="shared" ca="1" si="0"/>
        <v>4.7124198334092222E-6</v>
      </c>
      <c r="Y15" s="691">
        <f t="shared" ca="1" si="0"/>
        <v>1.4884889689564555E-3</v>
      </c>
      <c r="Z15" s="691">
        <f t="shared" ca="1" si="0"/>
        <v>7.6677868520333511E-7</v>
      </c>
      <c r="AA15" s="691">
        <f t="shared" ca="1" si="0"/>
        <v>4.330779674418448E-3</v>
      </c>
      <c r="AB15" s="691">
        <f t="shared" ca="1" si="0"/>
        <v>3.4394013019007139E-4</v>
      </c>
      <c r="AC15" s="691">
        <f t="shared" ca="1" si="0"/>
        <v>1.2032969124333375E-4</v>
      </c>
      <c r="AD15" s="691">
        <f t="shared" ca="1" si="0"/>
        <v>1.8852066295082605E-5</v>
      </c>
      <c r="AE15" s="691">
        <f t="shared" ca="1" si="0"/>
        <v>6.8508265337747544E-4</v>
      </c>
      <c r="AF15" s="691">
        <f t="shared" ca="1" si="0"/>
        <v>4.0712439171149939E-5</v>
      </c>
      <c r="AG15" s="691">
        <f t="shared" ca="1" si="0"/>
        <v>7.9415318224052196E-5</v>
      </c>
      <c r="AH15" s="691">
        <f t="shared" ca="1" si="0"/>
        <v>3.0079464731699401E-4</v>
      </c>
      <c r="AI15" s="691">
        <f t="shared" ca="1" si="0"/>
        <v>9.7024220365186857E-5</v>
      </c>
      <c r="AJ15" s="691">
        <f t="shared" ca="1" si="0"/>
        <v>6.0645759274476658E-5</v>
      </c>
      <c r="AK15" s="691">
        <f t="shared" ca="1" si="0"/>
        <v>1.6511814429515761E-3</v>
      </c>
      <c r="AL15" s="691">
        <f t="shared" ca="1" si="0"/>
        <v>4.0677618897042318E-3</v>
      </c>
      <c r="AM15" s="691">
        <f t="shared" ca="1" si="0"/>
        <v>1.6461321755500175E-3</v>
      </c>
      <c r="AN15" s="691">
        <f t="shared" ca="1" si="0"/>
        <v>4.8266546339104186E-3</v>
      </c>
      <c r="AO15" s="691">
        <f t="shared" ca="1" si="0"/>
        <v>4.4352618594692321E-3</v>
      </c>
      <c r="AP15" s="691">
        <f t="shared" ca="1" si="0"/>
        <v>3.4087904861517574E-3</v>
      </c>
    </row>
    <row r="17" spans="5:42">
      <c r="E17" t="s">
        <v>872</v>
      </c>
      <c r="F17">
        <f ca="1">(F14*F10+F15*F11)/(F10+F11)</f>
        <v>2.3571868611229089E-4</v>
      </c>
      <c r="G17">
        <f t="shared" ref="G17:AP17" ca="1" si="1">(G14*G10+G15*G11)/(G10+G11)</f>
        <v>9.2443989730669291E-4</v>
      </c>
      <c r="H17">
        <f t="shared" ca="1" si="1"/>
        <v>4.1491265706069516E-4</v>
      </c>
      <c r="I17">
        <f t="shared" ca="1" si="1"/>
        <v>2.4244656726818856E-4</v>
      </c>
      <c r="J17">
        <f t="shared" ca="1" si="1"/>
        <v>6.4483483707775072E-3</v>
      </c>
      <c r="K17">
        <f t="shared" ca="1" si="1"/>
        <v>4.1281237941960521E-5</v>
      </c>
      <c r="L17">
        <f t="shared" ca="1" si="1"/>
        <v>2.0406905529484902E-4</v>
      </c>
      <c r="M17">
        <f t="shared" ca="1" si="1"/>
        <v>1.7150138609052274E-4</v>
      </c>
      <c r="N17">
        <f t="shared" ca="1" si="1"/>
        <v>7.0677388662103685E-6</v>
      </c>
      <c r="O17">
        <f t="shared" ca="1" si="1"/>
        <v>1.1592748216565046E-3</v>
      </c>
      <c r="P17">
        <f t="shared" ca="1" si="1"/>
        <v>5.9978967587034821E-5</v>
      </c>
      <c r="Q17">
        <f t="shared" ca="1" si="1"/>
        <v>1.713797072716329E-3</v>
      </c>
      <c r="R17">
        <f t="shared" ca="1" si="1"/>
        <v>1.7378352559650034E-3</v>
      </c>
      <c r="S17">
        <f t="shared" ca="1" si="1"/>
        <v>3.2882673972427882E-3</v>
      </c>
      <c r="T17">
        <f t="shared" ca="1" si="1"/>
        <v>5.1431951698378513E-5</v>
      </c>
      <c r="U17">
        <f t="shared" ca="1" si="1"/>
        <v>1.717688663599739E-4</v>
      </c>
      <c r="V17">
        <f t="shared" ca="1" si="1"/>
        <v>5.2112146338363639E-5</v>
      </c>
      <c r="W17">
        <f t="shared" ca="1" si="1"/>
        <v>1.1481504705173559E-3</v>
      </c>
      <c r="X17">
        <f t="shared" ca="1" si="1"/>
        <v>6.3665413876633863E-6</v>
      </c>
      <c r="Y17">
        <f t="shared" ca="1" si="1"/>
        <v>2.4385883108435547E-3</v>
      </c>
      <c r="Z17">
        <f t="shared" ca="1" si="1"/>
        <v>1.0039028023805709E-6</v>
      </c>
      <c r="AA17">
        <f t="shared" ca="1" si="1"/>
        <v>7.5814169766280923E-3</v>
      </c>
      <c r="AB17">
        <f t="shared" ca="1" si="1"/>
        <v>5.839709742755004E-4</v>
      </c>
      <c r="AC17">
        <f t="shared" ca="1" si="1"/>
        <v>1.7064886516566968E-4</v>
      </c>
      <c r="AD17">
        <f t="shared" ca="1" si="1"/>
        <v>2.6476043038467225E-5</v>
      </c>
      <c r="AE17">
        <f t="shared" ca="1" si="1"/>
        <v>1.0892814188503217E-3</v>
      </c>
      <c r="AF17">
        <f t="shared" ca="1" si="1"/>
        <v>6.387781705953426E-5</v>
      </c>
      <c r="AG17">
        <f t="shared" ca="1" si="1"/>
        <v>1.1262502040580794E-4</v>
      </c>
      <c r="AH17">
        <f t="shared" ca="1" si="1"/>
        <v>4.0918526980907271E-4</v>
      </c>
      <c r="AI17">
        <f t="shared" ca="1" si="1"/>
        <v>1.4466653562837E-4</v>
      </c>
      <c r="AJ17">
        <f t="shared" ca="1" si="1"/>
        <v>1.0993098520522177E-4</v>
      </c>
      <c r="AK17">
        <f t="shared" ca="1" si="1"/>
        <v>2.3192125191796868E-3</v>
      </c>
      <c r="AL17">
        <f t="shared" ca="1" si="1"/>
        <v>6.2141403928443551E-3</v>
      </c>
      <c r="AM17">
        <f t="shared" ca="1" si="1"/>
        <v>2.3121204311354758E-3</v>
      </c>
      <c r="AN17">
        <f t="shared" ca="1" si="1"/>
        <v>7.3734673602227369E-3</v>
      </c>
      <c r="AO17">
        <f t="shared" ca="1" si="1"/>
        <v>6.7755538846876089E-3</v>
      </c>
      <c r="AP17">
        <f t="shared" ca="1" si="1"/>
        <v>5.2074588496327599E-3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9">
    <tabColor theme="8"/>
  </sheetPr>
  <dimension ref="A2:AT94"/>
  <sheetViews>
    <sheetView zoomScale="101" zoomScaleNormal="70" workbookViewId="0">
      <selection activeCell="D5" sqref="D5"/>
    </sheetView>
  </sheetViews>
  <sheetFormatPr defaultColWidth="8.88671875" defaultRowHeight="14.4"/>
  <cols>
    <col min="1" max="1" width="19" customWidth="1"/>
    <col min="2" max="2" width="2" bestFit="1" customWidth="1"/>
    <col min="3" max="3" width="16.44140625" bestFit="1" customWidth="1"/>
    <col min="4" max="4" width="12" bestFit="1" customWidth="1"/>
    <col min="5" max="5" width="18.33203125" bestFit="1" customWidth="1"/>
    <col min="6" max="6" width="9" bestFit="1" customWidth="1"/>
    <col min="7" max="42" width="8.88671875" bestFit="1" customWidth="1"/>
  </cols>
  <sheetData>
    <row r="2" spans="1:46">
      <c r="E2" s="533" t="s">
        <v>598</v>
      </c>
    </row>
    <row r="3" spans="1:46" ht="15" thickBot="1">
      <c r="C3" s="539" t="s">
        <v>545</v>
      </c>
      <c r="D3" s="539" t="s">
        <v>585</v>
      </c>
      <c r="E3" s="539" t="s">
        <v>592</v>
      </c>
      <c r="F3" s="540" t="str">
        <f>'All Stock'!D$2</f>
        <v>AT</v>
      </c>
      <c r="G3" s="540" t="str">
        <f>'All Stock'!E$2</f>
        <v>BE</v>
      </c>
      <c r="H3" s="540" t="str">
        <f>'All Stock'!F$2</f>
        <v>BG</v>
      </c>
      <c r="I3" s="540" t="str">
        <f>'All Stock'!G$2</f>
        <v>CH</v>
      </c>
      <c r="J3" s="540" t="str">
        <f>'All Stock'!H$2</f>
        <v>CY</v>
      </c>
      <c r="K3" s="540" t="str">
        <f>'All Stock'!I$2</f>
        <v>CZ</v>
      </c>
      <c r="L3" s="540" t="str">
        <f>'All Stock'!J$2</f>
        <v>DE</v>
      </c>
      <c r="M3" s="540" t="str">
        <f>'All Stock'!K$2</f>
        <v>DK</v>
      </c>
      <c r="N3" s="540" t="str">
        <f>'All Stock'!L$2</f>
        <v>EE</v>
      </c>
      <c r="O3" s="540" t="str">
        <f>'All Stock'!M$2</f>
        <v>ES</v>
      </c>
      <c r="P3" s="540" t="str">
        <f>'All Stock'!N$2</f>
        <v>FI</v>
      </c>
      <c r="Q3" s="540" t="str">
        <f>'All Stock'!O$2</f>
        <v>FR</v>
      </c>
      <c r="R3" s="540" t="str">
        <f>'All Stock'!P$2</f>
        <v>EL</v>
      </c>
      <c r="S3" s="540" t="str">
        <f>'All Stock'!Q$2</f>
        <v>HR</v>
      </c>
      <c r="T3" s="540" t="str">
        <f>'All Stock'!R$2</f>
        <v>HU</v>
      </c>
      <c r="U3" s="540" t="str">
        <f>'All Stock'!S$2</f>
        <v>IE</v>
      </c>
      <c r="V3" s="540" t="str">
        <f>'All Stock'!T$2</f>
        <v>IS</v>
      </c>
      <c r="W3" s="540" t="str">
        <f>'All Stock'!U$2</f>
        <v>IT</v>
      </c>
      <c r="X3" s="540" t="str">
        <f>'All Stock'!V$2</f>
        <v>LT</v>
      </c>
      <c r="Y3" s="540" t="str">
        <f>'All Stock'!W$2</f>
        <v>LU</v>
      </c>
      <c r="Z3" s="540" t="str">
        <f>'All Stock'!X$2</f>
        <v>LV</v>
      </c>
      <c r="AA3" s="540" t="str">
        <f>'All Stock'!Y$2</f>
        <v>MT</v>
      </c>
      <c r="AB3" s="540" t="str">
        <f>'All Stock'!Z$2</f>
        <v>NL</v>
      </c>
      <c r="AC3" s="540" t="str">
        <f>'All Stock'!AA$2</f>
        <v>NO</v>
      </c>
      <c r="AD3" s="540" t="str">
        <f>'All Stock'!AB$2</f>
        <v>PL</v>
      </c>
      <c r="AE3" s="540" t="str">
        <f>'All Stock'!AC$2</f>
        <v>PT</v>
      </c>
      <c r="AF3" s="540" t="str">
        <f>'All Stock'!AD$2</f>
        <v>RO</v>
      </c>
      <c r="AG3" s="540" t="str">
        <f>'All Stock'!AE$2</f>
        <v>SE</v>
      </c>
      <c r="AH3" s="540" t="str">
        <f>'All Stock'!AF$2</f>
        <v>SI</v>
      </c>
      <c r="AI3" s="540" t="str">
        <f>'All Stock'!AG$2</f>
        <v>SK</v>
      </c>
      <c r="AJ3" s="540" t="str">
        <f>'All Stock'!AH$2</f>
        <v>UK</v>
      </c>
      <c r="AK3" s="540" t="str">
        <f>'All Stock'!AI$2</f>
        <v>AL</v>
      </c>
      <c r="AL3" s="540" t="str">
        <f>'All Stock'!AJ$2</f>
        <v>BA</v>
      </c>
      <c r="AM3" s="540" t="str">
        <f>'All Stock'!AK$2</f>
        <v>ME</v>
      </c>
      <c r="AN3" s="540" t="str">
        <f>'All Stock'!AL$2</f>
        <v>MK</v>
      </c>
      <c r="AO3" s="540" t="str">
        <f>'All Stock'!AM$2</f>
        <v>RS</v>
      </c>
      <c r="AP3" s="540" t="str">
        <f>'All Stock'!AN$2</f>
        <v>KS</v>
      </c>
      <c r="AR3" s="542" t="s">
        <v>750</v>
      </c>
    </row>
    <row r="4" spans="1:46">
      <c r="A4" t="str">
        <f>TechComm!T23</f>
        <v>Electricity</v>
      </c>
      <c r="C4" t="str">
        <f>TechComm!L75</f>
        <v>R_ES-CK-FL_ELC</v>
      </c>
      <c r="D4" t="s">
        <v>977</v>
      </c>
      <c r="E4" t="str">
        <f>TechComm!C13</f>
        <v>R_ES-FL-Cook</v>
      </c>
      <c r="F4" s="509">
        <f ca="1">IFERROR('All Stock'!D$16*VLOOKUP($A4,'IDEES okt 2017 template'!$C$165:$AH$169,'IDEES okt 2017 template'!D$162,FALSE),"")*$AR$4</f>
        <v>1276.6807662899371</v>
      </c>
      <c r="G4" s="509">
        <f ca="1">IFERROR('All Stock'!E$16*VLOOKUP($A4,'IDEES okt 2017 template'!$C$165:$AH$169,'IDEES okt 2017 template'!E$162,FALSE),"")*$AR$4</f>
        <v>665.80959487247162</v>
      </c>
      <c r="H4" s="509">
        <f ca="1">IFERROR('All Stock'!F$16*VLOOKUP($A4,'IDEES okt 2017 template'!$C$165:$AH$169,'IDEES okt 2017 template'!F$162,FALSE),"")*$AR$4</f>
        <v>679.80161460751867</v>
      </c>
      <c r="I4" s="509">
        <f ca="1">IFERROR('All Stock'!G$16*VLOOKUP($A4,'IDEES okt 2017 template'!$C$165:$AH$169,'IDEES okt 2017 template'!G$162,FALSE),"")*$AR$4</f>
        <v>1637.1248300200702</v>
      </c>
      <c r="J4" s="509">
        <f ca="1">IFERROR('All Stock'!H$16*VLOOKUP($A4,'IDEES okt 2017 template'!$C$165:$AH$169,'IDEES okt 2017 template'!H$162,FALSE),"")*$AR$4</f>
        <v>33.185984310586392</v>
      </c>
      <c r="K4" s="509">
        <f ca="1">IFERROR('All Stock'!I$16*VLOOKUP($A4,'IDEES okt 2017 template'!$C$165:$AH$169,'IDEES okt 2017 template'!I$162,FALSE),"")*$AR$4</f>
        <v>1722.7150523287235</v>
      </c>
      <c r="L4" s="509">
        <f ca="1">IFERROR('All Stock'!J$16*VLOOKUP($A4,'IDEES okt 2017 template'!$C$165:$AH$169,'IDEES okt 2017 template'!J$162,FALSE),"")*$AR$4</f>
        <v>16881.955800402964</v>
      </c>
      <c r="M4" s="509">
        <f ca="1">IFERROR('All Stock'!K$16*VLOOKUP($A4,'IDEES okt 2017 template'!$C$165:$AH$169,'IDEES okt 2017 template'!K$162,FALSE),"")*$AR$4</f>
        <v>1003.1453321304456</v>
      </c>
      <c r="N4" s="509">
        <f ca="1">IFERROR('All Stock'!L$16*VLOOKUP($A4,'IDEES okt 2017 template'!$C$165:$AH$169,'IDEES okt 2017 template'!L$162,FALSE),"")*$AR$4</f>
        <v>439.04826446526454</v>
      </c>
      <c r="O4" s="509">
        <f ca="1">IFERROR('All Stock'!M$16*VLOOKUP($A4,'IDEES okt 2017 template'!$C$165:$AH$169,'IDEES okt 2017 template'!M$162,FALSE),"")*$AR$4</f>
        <v>4340.6409664359962</v>
      </c>
      <c r="P4" s="509">
        <f ca="1">IFERROR('All Stock'!N$16*VLOOKUP($A4,'IDEES okt 2017 template'!$C$165:$AH$169,'IDEES okt 2017 template'!N$162,FALSE),"")*$AR$4</f>
        <v>1094.0500734156087</v>
      </c>
      <c r="Q4" s="509">
        <f ca="1">IFERROR('All Stock'!O$16*VLOOKUP($A4,'IDEES okt 2017 template'!$C$165:$AH$169,'IDEES okt 2017 template'!O$162,FALSE),"")*$AR$4</f>
        <v>6982.902157069675</v>
      </c>
      <c r="R4" s="509">
        <f ca="1">IFERROR('All Stock'!P$16*VLOOKUP($A4,'IDEES okt 2017 template'!$C$165:$AH$169,'IDEES okt 2017 template'!P$162,FALSE),"")*$AR$4</f>
        <v>1538.8533185830076</v>
      </c>
      <c r="S4" s="509">
        <f ca="1">IFERROR('All Stock'!Q$16*VLOOKUP($A4,'IDEES okt 2017 template'!$C$165:$AH$169,'IDEES okt 2017 template'!Q$162,FALSE),"")*$AR$4</f>
        <v>362.48307371615675</v>
      </c>
      <c r="T4" s="509">
        <f ca="1">IFERROR('All Stock'!R$16*VLOOKUP($A4,'IDEES okt 2017 template'!$C$165:$AH$169,'IDEES okt 2017 template'!R$162,FALSE),"")*$AR$4</f>
        <v>641.64465102473991</v>
      </c>
      <c r="U4" s="509">
        <f ca="1">IFERROR('All Stock'!S$16*VLOOKUP($A4,'IDEES okt 2017 template'!$C$165:$AH$169,'IDEES okt 2017 template'!S$162,FALSE),"")*$AR$4</f>
        <v>112.5584448976411</v>
      </c>
      <c r="V4" s="509">
        <f ca="1">IFERROR('All Stock'!T$16*VLOOKUP($A4,'IDEES okt 2017 template'!$C$165:$AH$169,'IDEES okt 2017 template'!T$162,FALSE),"")*$AR$4</f>
        <v>65.781386044570354</v>
      </c>
      <c r="W4" s="509">
        <f ca="1">IFERROR('All Stock'!U$16*VLOOKUP($A4,'IDEES okt 2017 template'!$C$165:$AH$169,'IDEES okt 2017 template'!U$162,FALSE),"")*$AR$4</f>
        <v>4633.7915002886884</v>
      </c>
      <c r="X4" s="509">
        <f ca="1">IFERROR('All Stock'!V$16*VLOOKUP($A4,'IDEES okt 2017 template'!$C$165:$AH$169,'IDEES okt 2017 template'!V$162,FALSE),"")*$AR$4</f>
        <v>515.9094431413439</v>
      </c>
      <c r="Y4" s="509">
        <f ca="1">IFERROR('All Stock'!W$16*VLOOKUP($A4,'IDEES okt 2017 template'!$C$165:$AH$169,'IDEES okt 2017 template'!W$162,FALSE),"")*$AR$4</f>
        <v>48.12307666710312</v>
      </c>
      <c r="Z4" s="509">
        <f ca="1">IFERROR('All Stock'!X$16*VLOOKUP($A4,'IDEES okt 2017 template'!$C$165:$AH$169,'IDEES okt 2017 template'!X$162,FALSE),"")*$AR$4</f>
        <v>318.49368654552143</v>
      </c>
      <c r="AA4" s="509">
        <f ca="1">IFERROR('All Stock'!Y$16*VLOOKUP($A4,'IDEES okt 2017 template'!$C$165:$AH$169,'IDEES okt 2017 template'!Y$162,FALSE),"")*$AR$4</f>
        <v>7.2774098228008093</v>
      </c>
      <c r="AB4" s="509">
        <f ca="1">IFERROR('All Stock'!Z$16*VLOOKUP($A4,'IDEES okt 2017 template'!$C$165:$AH$169,'IDEES okt 2017 template'!Z$162,FALSE),"")*$AR$4</f>
        <v>1118.2695478029455</v>
      </c>
      <c r="AC4" s="509">
        <f ca="1">IFERROR('All Stock'!AA$16*VLOOKUP($A4,'IDEES okt 2017 template'!$C$165:$AH$169,'IDEES okt 2017 template'!AA$162,FALSE),"")*$AR$4</f>
        <v>1144.785045942288</v>
      </c>
      <c r="AD4" s="509">
        <f ca="1">IFERROR('All Stock'!AB$16*VLOOKUP($A4,'IDEES okt 2017 template'!$C$165:$AH$169,'IDEES okt 2017 template'!AB$162,FALSE),"")*$AR$4</f>
        <v>4079.3775879864111</v>
      </c>
      <c r="AE4" s="509">
        <f ca="1">IFERROR('All Stock'!AC$16*VLOOKUP($A4,'IDEES okt 2017 template'!$C$165:$AH$169,'IDEES okt 2017 template'!AC$162,FALSE),"")*$AR$4</f>
        <v>221.95156712788193</v>
      </c>
      <c r="AF4" s="509">
        <f ca="1">IFERROR('All Stock'!AD$16*VLOOKUP($A4,'IDEES okt 2017 template'!$C$165:$AH$169,'IDEES okt 2017 template'!AD$162,FALSE),"")*$AR$4</f>
        <v>317.78425984275918</v>
      </c>
      <c r="AG4" s="509">
        <f ca="1">IFERROR('All Stock'!AE$16*VLOOKUP($A4,'IDEES okt 2017 template'!$C$165:$AH$169,'IDEES okt 2017 template'!AE$162,FALSE),"")*$AR$4</f>
        <v>2410.7027900391822</v>
      </c>
      <c r="AH4" s="509">
        <f ca="1">IFERROR('All Stock'!AF$16*VLOOKUP($A4,'IDEES okt 2017 template'!$C$165:$AH$169,'IDEES okt 2017 template'!AF$162,FALSE),"")*$AR$4</f>
        <v>275.34074920659867</v>
      </c>
      <c r="AI4" s="509">
        <f ca="1">IFERROR('All Stock'!AG$16*VLOOKUP($A4,'IDEES okt 2017 template'!$C$165:$AH$169,'IDEES okt 2017 template'!AG$162,FALSE),"")*$AR$4</f>
        <v>378.92970063456988</v>
      </c>
      <c r="AJ4" s="509">
        <f ca="1">IFERROR('All Stock'!AH$16*VLOOKUP($A4,'IDEES okt 2017 template'!$C$165:$AH$169,'IDEES okt 2017 template'!AH$162,FALSE),"")*$AR$4</f>
        <v>2257.4353696256599</v>
      </c>
      <c r="AK4" s="509">
        <f ca="1">IFERROR('All Stock'!AI$16*VLOOKUP($A4,'IDEES okt 2017 template'!$C$165:$AN$169,'IDEES okt 2017 template'!AI$162,FALSE),"")*$AR$4</f>
        <v>140.22684870447674</v>
      </c>
      <c r="AL4" s="509">
        <f ca="1">IFERROR('All Stock'!AJ$16*VLOOKUP($A4,'IDEES okt 2017 template'!$C$165:$AN$169,'IDEES okt 2017 template'!AJ$162,FALSE),"")*$AR$4</f>
        <v>266.37458680377642</v>
      </c>
      <c r="AM4" s="509">
        <f ca="1">IFERROR('All Stock'!AK$16*VLOOKUP($A4,'IDEES okt 2017 template'!$C$165:$AN$169,'IDEES okt 2017 template'!AK$162,FALSE),"")*$AR$4</f>
        <v>84.029847674355494</v>
      </c>
      <c r="AN4" s="509">
        <f ca="1">IFERROR('All Stock'!AL$16*VLOOKUP($A4,'IDEES okt 2017 template'!$C$165:$AN$169,'IDEES okt 2017 template'!AL$162,FALSE),"")*$AR$4</f>
        <v>153.9259318830585</v>
      </c>
      <c r="AO4" s="509">
        <f ca="1">IFERROR('All Stock'!AM$16*VLOOKUP($A4,'IDEES okt 2017 template'!$C$165:$AN$169,'IDEES okt 2017 template'!AM$162,FALSE),"")*$AR$4</f>
        <v>757.12872970978447</v>
      </c>
      <c r="AP4" s="509">
        <f ca="1">IFERROR('All Stock'!AN$16*VLOOKUP($A4,'IDEES okt 2017 template'!$C$165:$AN$169,'IDEES okt 2017 template'!AN$162,FALSE),"")*$AR$4</f>
        <v>149.00351329463365</v>
      </c>
      <c r="AQ4" s="509"/>
      <c r="AR4" s="467">
        <v>1</v>
      </c>
      <c r="AS4" t="str">
        <f t="shared" ref="AS4:AS18" si="0">A61</f>
        <v>Electricity</v>
      </c>
      <c r="AT4" s="509"/>
    </row>
    <row r="5" spans="1:46">
      <c r="A5" t="str">
        <f>TechComm!T24</f>
        <v>Gases</v>
      </c>
      <c r="C5" t="str">
        <f>TechComm!L76</f>
        <v>R_ES-CK-FL_GAS</v>
      </c>
      <c r="D5" t="str">
        <f>TechComm!U24</f>
        <v>RSDGAS</v>
      </c>
      <c r="E5" t="str">
        <f>E4</f>
        <v>R_ES-FL-Cook</v>
      </c>
      <c r="F5" s="509">
        <f ca="1">IFERROR('All Stock'!D$16*VLOOKUP($A5,'IDEES okt 2017 template'!$C$165:$AH$169,'IDEES okt 2017 template'!D$162,FALSE),"")*$AR$5</f>
        <v>93.806170244037929</v>
      </c>
      <c r="G5" s="509">
        <f ca="1">IFERROR('All Stock'!E$16*VLOOKUP($A5,'IDEES okt 2017 template'!$C$165:$AH$169,'IDEES okt 2017 template'!E$162,FALSE),"")*$AR$5</f>
        <v>203.98736617599738</v>
      </c>
      <c r="H5" s="509">
        <f ca="1">IFERROR('All Stock'!F$16*VLOOKUP($A5,'IDEES okt 2017 template'!$C$165:$AH$169,'IDEES okt 2017 template'!F$162,FALSE),"")*$AR$5</f>
        <v>9.7313114565493475</v>
      </c>
      <c r="I5" s="509">
        <f ca="1">IFERROR('All Stock'!G$16*VLOOKUP($A5,'IDEES okt 2017 template'!$C$165:$AH$169,'IDEES okt 2017 template'!G$162,FALSE),"")*$AR$5</f>
        <v>11.160381509895597</v>
      </c>
      <c r="J5" s="509">
        <f ca="1">IFERROR('All Stock'!H$16*VLOOKUP($A5,'IDEES okt 2017 template'!$C$165:$AH$169,'IDEES okt 2017 template'!H$162,FALSE),"")*$AR$5</f>
        <v>0</v>
      </c>
      <c r="K5" s="509">
        <f ca="1">IFERROR('All Stock'!I$16*VLOOKUP($A5,'IDEES okt 2017 template'!$C$165:$AH$169,'IDEES okt 2017 template'!I$162,FALSE),"")*$AR$5</f>
        <v>432.42205751266454</v>
      </c>
      <c r="L5" s="509">
        <f ca="1">IFERROR('All Stock'!J$16*VLOOKUP($A5,'IDEES okt 2017 template'!$C$165:$AH$169,'IDEES okt 2017 template'!J$162,FALSE),"")*$AR$5</f>
        <v>263.40492422656149</v>
      </c>
      <c r="M5" s="509">
        <f ca="1">IFERROR('All Stock'!K$16*VLOOKUP($A5,'IDEES okt 2017 template'!$C$165:$AH$169,'IDEES okt 2017 template'!K$162,FALSE),"")*$AR$5</f>
        <v>30.036108117866604</v>
      </c>
      <c r="N5" s="509">
        <f ca="1">IFERROR('All Stock'!L$16*VLOOKUP($A5,'IDEES okt 2017 template'!$C$165:$AH$169,'IDEES okt 2017 template'!L$162,FALSE),"")*$AR$5</f>
        <v>12.359571494502543</v>
      </c>
      <c r="O5" s="509">
        <f ca="1">IFERROR('All Stock'!M$16*VLOOKUP($A5,'IDEES okt 2017 template'!$C$165:$AH$169,'IDEES okt 2017 template'!M$162,FALSE),"")*$AR$5</f>
        <v>1995.8392638528755</v>
      </c>
      <c r="P5" s="509">
        <f ca="1">IFERROR('All Stock'!N$16*VLOOKUP($A5,'IDEES okt 2017 template'!$C$165:$AH$169,'IDEES okt 2017 template'!N$162,FALSE),"")*$AR$5</f>
        <v>3.1775044083969535</v>
      </c>
      <c r="Q5" s="509">
        <f ca="1">IFERROR('All Stock'!O$16*VLOOKUP($A5,'IDEES okt 2017 template'!$C$165:$AH$169,'IDEES okt 2017 template'!O$162,FALSE),"")*$AR$5</f>
        <v>1170.65260972444</v>
      </c>
      <c r="R5" s="509">
        <f ca="1">IFERROR('All Stock'!P$16*VLOOKUP($A5,'IDEES okt 2017 template'!$C$165:$AH$169,'IDEES okt 2017 template'!P$162,FALSE),"")*$AR$5</f>
        <v>36.019109460700911</v>
      </c>
      <c r="S5" s="509">
        <f ca="1">IFERROR('All Stock'!Q$16*VLOOKUP($A5,'IDEES okt 2017 template'!$C$165:$AH$169,'IDEES okt 2017 template'!Q$162,FALSE),"")*$AR$5</f>
        <v>65.892368265587095</v>
      </c>
      <c r="T5" s="509">
        <f ca="1">IFERROR('All Stock'!R$16*VLOOKUP($A5,'IDEES okt 2017 template'!$C$165:$AH$169,'IDEES okt 2017 template'!R$162,FALSE),"")*$AR$5</f>
        <v>502.09544852457242</v>
      </c>
      <c r="U5" s="509">
        <f ca="1">IFERROR('All Stock'!S$16*VLOOKUP($A5,'IDEES okt 2017 template'!$C$165:$AH$169,'IDEES okt 2017 template'!S$162,FALSE),"")*$AR$5</f>
        <v>23.245765794078057</v>
      </c>
      <c r="V5" s="509">
        <f ca="1">IFERROR('All Stock'!T$16*VLOOKUP($A5,'IDEES okt 2017 template'!$C$165:$AH$169,'IDEES okt 2017 template'!T$162,FALSE),"")*$AR$5</f>
        <v>0</v>
      </c>
      <c r="W5" s="509">
        <f ca="1">IFERROR('All Stock'!U$16*VLOOKUP($A5,'IDEES okt 2017 template'!$C$165:$AH$169,'IDEES okt 2017 template'!U$162,FALSE),"")*$AR$5</f>
        <v>9748.2962309523973</v>
      </c>
      <c r="X5" s="509">
        <f ca="1">IFERROR('All Stock'!V$16*VLOOKUP($A5,'IDEES okt 2017 template'!$C$165:$AH$169,'IDEES okt 2017 template'!V$162,FALSE),"")*$AR$5</f>
        <v>34.506729967486621</v>
      </c>
      <c r="Y5" s="509">
        <f ca="1">IFERROR('All Stock'!W$16*VLOOKUP($A5,'IDEES okt 2017 template'!$C$165:$AH$169,'IDEES okt 2017 template'!W$162,FALSE),"")*$AR$5</f>
        <v>16.843076833486091</v>
      </c>
      <c r="Z5" s="509">
        <f ca="1">IFERROR('All Stock'!X$16*VLOOKUP($A5,'IDEES okt 2017 template'!$C$165:$AH$169,'IDEES okt 2017 template'!X$162,FALSE),"")*$AR$5</f>
        <v>42.455532622403481</v>
      </c>
      <c r="AA5" s="509">
        <f ca="1">IFERROR('All Stock'!Y$16*VLOOKUP($A5,'IDEES okt 2017 template'!$C$165:$AH$169,'IDEES okt 2017 template'!Y$162,FALSE),"")*$AR$5</f>
        <v>0</v>
      </c>
      <c r="AB5" s="509">
        <f ca="1">IFERROR('All Stock'!Z$16*VLOOKUP($A5,'IDEES okt 2017 template'!$C$165:$AH$169,'IDEES okt 2017 template'!Z$162,FALSE),"")*$AR$5</f>
        <v>572.66574813328043</v>
      </c>
      <c r="AC5" s="509">
        <f ca="1">IFERROR('All Stock'!AA$16*VLOOKUP($A5,'IDEES okt 2017 template'!$C$165:$AH$169,'IDEES okt 2017 template'!AA$162,FALSE),"")*$AR$5</f>
        <v>0.12802622386231113</v>
      </c>
      <c r="AD5" s="509">
        <f ca="1">IFERROR('All Stock'!AB$16*VLOOKUP($A5,'IDEES okt 2017 template'!$C$165:$AH$169,'IDEES okt 2017 template'!AB$162,FALSE),"")*$AR$5</f>
        <v>745.6672074661027</v>
      </c>
      <c r="AE5" s="509">
        <f ca="1">IFERROR('All Stock'!AC$16*VLOOKUP($A5,'IDEES okt 2017 template'!$C$165:$AH$169,'IDEES okt 2017 template'!AC$162,FALSE),"")*$AR$5</f>
        <v>41.939274849193311</v>
      </c>
      <c r="AF5" s="509">
        <f ca="1">IFERROR('All Stock'!AD$16*VLOOKUP($A5,'IDEES okt 2017 template'!$C$165:$AH$169,'IDEES okt 2017 template'!AD$162,FALSE),"")*$AR$5</f>
        <v>614.02267932635993</v>
      </c>
      <c r="AG5" s="509">
        <f ca="1">IFERROR('All Stock'!AE$16*VLOOKUP($A5,'IDEES okt 2017 template'!$C$165:$AH$169,'IDEES okt 2017 template'!AE$162,FALSE),"")*$AR$5</f>
        <v>16.078702197456241</v>
      </c>
      <c r="AH5" s="509">
        <f ca="1">IFERROR('All Stock'!AF$16*VLOOKUP($A5,'IDEES okt 2017 template'!$C$165:$AH$169,'IDEES okt 2017 template'!AF$162,FALSE),"")*$AR$5</f>
        <v>39.138211233855664</v>
      </c>
      <c r="AI5" s="509">
        <f ca="1">IFERROR('All Stock'!AG$16*VLOOKUP($A5,'IDEES okt 2017 template'!$C$165:$AH$169,'IDEES okt 2017 template'!AG$162,FALSE),"")*$AR$5</f>
        <v>180.37288381599109</v>
      </c>
      <c r="AJ5" s="509">
        <f ca="1">IFERROR('All Stock'!AH$16*VLOOKUP($A5,'IDEES okt 2017 template'!$C$165:$AH$169,'IDEES okt 2017 template'!AH$162,FALSE),"")*$AR$5</f>
        <v>1548.259008103242</v>
      </c>
      <c r="AK5" s="509">
        <f ca="1">IFERROR('All Stock'!AI$16*VLOOKUP($A5,'IDEES okt 2017 template'!$C$165:$AN$169,'IDEES okt 2017 template'!AI$162,FALSE),"")*$AR$5</f>
        <v>0</v>
      </c>
      <c r="AL5" s="509">
        <f ca="1">IFERROR('All Stock'!AJ$16*VLOOKUP($A5,'IDEES okt 2017 template'!$C$165:$AN$169,'IDEES okt 2017 template'!AJ$162,FALSE),"")*$AR$5</f>
        <v>4.8128145611986159</v>
      </c>
      <c r="AM5" s="509">
        <f ca="1">IFERROR('All Stock'!AK$16*VLOOKUP($A5,'IDEES okt 2017 template'!$C$165:$AN$169,'IDEES okt 2017 template'!AK$162,FALSE),"")*$AR$5</f>
        <v>0</v>
      </c>
      <c r="AN5" s="509">
        <f ca="1">IFERROR('All Stock'!AL$16*VLOOKUP($A5,'IDEES okt 2017 template'!$C$165:$AN$169,'IDEES okt 2017 template'!AL$162,FALSE),"")*$AR$5</f>
        <v>0</v>
      </c>
      <c r="AO5" s="509">
        <f ca="1">IFERROR('All Stock'!AM$16*VLOOKUP($A5,'IDEES okt 2017 template'!$C$165:$AN$169,'IDEES okt 2017 template'!AM$162,FALSE),"")*$AR$5</f>
        <v>21.187560800516032</v>
      </c>
      <c r="AP5" s="509">
        <f ca="1">IFERROR('All Stock'!AN$16*VLOOKUP($A5,'IDEES okt 2017 template'!$C$165:$AN$169,'IDEES okt 2017 template'!AN$162,FALSE),"")*$AR$5</f>
        <v>0</v>
      </c>
      <c r="AQ5" s="509"/>
      <c r="AR5" s="467">
        <v>1</v>
      </c>
      <c r="AS5" t="str">
        <f t="shared" si="0"/>
        <v>Gases</v>
      </c>
      <c r="AT5" s="509"/>
    </row>
    <row r="6" spans="1:46">
      <c r="A6" t="str">
        <f>TechComm!T27</f>
        <v>Biomass and wastes</v>
      </c>
      <c r="C6" t="str">
        <f>TechComm!L77</f>
        <v>R_ES-CK-FL_BIO</v>
      </c>
      <c r="D6" t="str">
        <f>TechComm!U27</f>
        <v>RSDBIO</v>
      </c>
      <c r="E6" t="str">
        <f>E5</f>
        <v>R_ES-FL-Cook</v>
      </c>
      <c r="F6" s="509">
        <f ca="1">IFERROR('All Stock'!D$16*VLOOKUP($A6,'IDEES okt 2017 template'!$C$165:$AH$169,'IDEES okt 2017 template'!D$162,FALSE),"")*$AR$6</f>
        <v>47.758356550210408</v>
      </c>
      <c r="G6" s="509">
        <f ca="1">IFERROR('All Stock'!E$16*VLOOKUP($A6,'IDEES okt 2017 template'!$C$165:$AH$169,'IDEES okt 2017 template'!E$162,FALSE),"")*$AR$6</f>
        <v>0</v>
      </c>
      <c r="H6" s="509">
        <f ca="1">IFERROR('All Stock'!F$16*VLOOKUP($A6,'IDEES okt 2017 template'!$C$165:$AH$169,'IDEES okt 2017 template'!F$162,FALSE),"")*$AR$6</f>
        <v>28.98798068802795</v>
      </c>
      <c r="I6" s="509">
        <f ca="1">IFERROR('All Stock'!G$16*VLOOKUP($A6,'IDEES okt 2017 template'!$C$165:$AH$169,'IDEES okt 2017 template'!G$162,FALSE),"")*$AR$6</f>
        <v>0</v>
      </c>
      <c r="J6" s="509">
        <f ca="1">IFERROR('All Stock'!H$16*VLOOKUP($A6,'IDEES okt 2017 template'!$C$165:$AH$169,'IDEES okt 2017 template'!H$162,FALSE),"")*$AR$6</f>
        <v>0</v>
      </c>
      <c r="K6" s="509">
        <f ca="1">IFERROR('All Stock'!I$16*VLOOKUP($A6,'IDEES okt 2017 template'!$C$165:$AH$169,'IDEES okt 2017 template'!I$162,FALSE),"")*$AR$6</f>
        <v>45.240616439869726</v>
      </c>
      <c r="L6" s="509">
        <f ca="1">IFERROR('All Stock'!J$16*VLOOKUP($A6,'IDEES okt 2017 template'!$C$165:$AH$169,'IDEES okt 2017 template'!J$162,FALSE),"")*$AR$6</f>
        <v>0</v>
      </c>
      <c r="M6" s="509">
        <f ca="1">IFERROR('All Stock'!K$16*VLOOKUP($A6,'IDEES okt 2017 template'!$C$165:$AH$169,'IDEES okt 2017 template'!K$162,FALSE),"")*$AR$6</f>
        <v>0</v>
      </c>
      <c r="N6" s="509">
        <f ca="1">IFERROR('All Stock'!L$16*VLOOKUP($A6,'IDEES okt 2017 template'!$C$165:$AH$169,'IDEES okt 2017 template'!L$162,FALSE),"")*$AR$6</f>
        <v>21.544207192252134</v>
      </c>
      <c r="O6" s="509">
        <f ca="1">IFERROR('All Stock'!M$16*VLOOKUP($A6,'IDEES okt 2017 template'!$C$165:$AH$169,'IDEES okt 2017 template'!M$162,FALSE),"")*$AR$6</f>
        <v>69.699658012846541</v>
      </c>
      <c r="P6" s="509">
        <f ca="1">IFERROR('All Stock'!N$16*VLOOKUP($A6,'IDEES okt 2017 template'!$C$165:$AH$169,'IDEES okt 2017 template'!N$162,FALSE),"")*$AR$6</f>
        <v>0</v>
      </c>
      <c r="Q6" s="509">
        <f ca="1">IFERROR('All Stock'!O$16*VLOOKUP($A6,'IDEES okt 2017 template'!$C$165:$AH$169,'IDEES okt 2017 template'!O$162,FALSE),"")*$AR$6</f>
        <v>0</v>
      </c>
      <c r="R6" s="509">
        <f ca="1">IFERROR('All Stock'!P$16*VLOOKUP($A6,'IDEES okt 2017 template'!$C$165:$AH$169,'IDEES okt 2017 template'!P$162,FALSE),"")*$AR$6</f>
        <v>54.493855641650825</v>
      </c>
      <c r="S6" s="509">
        <f ca="1">IFERROR('All Stock'!Q$16*VLOOKUP($A6,'IDEES okt 2017 template'!$C$165:$AH$169,'IDEES okt 2017 template'!Q$162,FALSE),"")*$AR$6</f>
        <v>0</v>
      </c>
      <c r="T6" s="509">
        <f ca="1">IFERROR('All Stock'!R$16*VLOOKUP($A6,'IDEES okt 2017 template'!$C$165:$AH$169,'IDEES okt 2017 template'!R$162,FALSE),"")*$AR$6</f>
        <v>27.581213277997787</v>
      </c>
      <c r="U6" s="509">
        <f ca="1">IFERROR('All Stock'!S$16*VLOOKUP($A6,'IDEES okt 2017 template'!$C$165:$AH$169,'IDEES okt 2017 template'!S$162,FALSE),"")*$AR$6</f>
        <v>0</v>
      </c>
      <c r="V6" s="509">
        <f ca="1">IFERROR('All Stock'!T$16*VLOOKUP($A6,'IDEES okt 2017 template'!$C$165:$AH$169,'IDEES okt 2017 template'!T$162,FALSE),"")*$AR$6</f>
        <v>0</v>
      </c>
      <c r="W6" s="509">
        <f ca="1">IFERROR('All Stock'!U$16*VLOOKUP($A6,'IDEES okt 2017 template'!$C$165:$AH$169,'IDEES okt 2017 template'!U$162,FALSE),"")*$AR$6</f>
        <v>0</v>
      </c>
      <c r="X6" s="509">
        <f ca="1">IFERROR('All Stock'!V$16*VLOOKUP($A6,'IDEES okt 2017 template'!$C$165:$AH$169,'IDEES okt 2017 template'!V$162,FALSE),"")*$AR$6</f>
        <v>64.16447500490159</v>
      </c>
      <c r="Y6" s="509">
        <f ca="1">IFERROR('All Stock'!W$16*VLOOKUP($A6,'IDEES okt 2017 template'!$C$165:$AH$169,'IDEES okt 2017 template'!W$162,FALSE),"")*$AR$6</f>
        <v>0</v>
      </c>
      <c r="Z6" s="509">
        <f ca="1">IFERROR('All Stock'!X$16*VLOOKUP($A6,'IDEES okt 2017 template'!$C$165:$AH$169,'IDEES okt 2017 template'!X$162,FALSE),"")*$AR$6</f>
        <v>115.17028122295635</v>
      </c>
      <c r="AA6" s="509">
        <f ca="1">IFERROR('All Stock'!Y$16*VLOOKUP($A6,'IDEES okt 2017 template'!$C$165:$AH$169,'IDEES okt 2017 template'!Y$162,FALSE),"")*$AR$6</f>
        <v>0</v>
      </c>
      <c r="AB6" s="509">
        <f ca="1">IFERROR('All Stock'!Z$16*VLOOKUP($A6,'IDEES okt 2017 template'!$C$165:$AH$169,'IDEES okt 2017 template'!Z$162,FALSE),"")*$AR$6</f>
        <v>0</v>
      </c>
      <c r="AC6" s="509">
        <f ca="1">IFERROR('All Stock'!AA$16*VLOOKUP($A6,'IDEES okt 2017 template'!$C$165:$AH$169,'IDEES okt 2017 template'!AA$162,FALSE),"")*$AR$6</f>
        <v>0</v>
      </c>
      <c r="AD6" s="509">
        <f ca="1">IFERROR('All Stock'!AB$16*VLOOKUP($A6,'IDEES okt 2017 template'!$C$165:$AH$169,'IDEES okt 2017 template'!AB$162,FALSE),"")*$AR$6</f>
        <v>143.70121956674154</v>
      </c>
      <c r="AE6" s="509">
        <f ca="1">IFERROR('All Stock'!AC$16*VLOOKUP($A6,'IDEES okt 2017 template'!$C$165:$AH$169,'IDEES okt 2017 template'!AC$162,FALSE),"")*$AR$6</f>
        <v>93.320545269677623</v>
      </c>
      <c r="AF6" s="509">
        <f ca="1">IFERROR('All Stock'!AD$16*VLOOKUP($A6,'IDEES okt 2017 template'!$C$165:$AH$169,'IDEES okt 2017 template'!AD$162,FALSE),"")*$AR$6</f>
        <v>556.20688199896324</v>
      </c>
      <c r="AG6" s="509">
        <f ca="1">IFERROR('All Stock'!AE$16*VLOOKUP($A6,'IDEES okt 2017 template'!$C$165:$AH$169,'IDEES okt 2017 template'!AE$162,FALSE),"")*$AR$6</f>
        <v>0</v>
      </c>
      <c r="AH6" s="509">
        <f ca="1">IFERROR('All Stock'!AF$16*VLOOKUP($A6,'IDEES okt 2017 template'!$C$165:$AH$169,'IDEES okt 2017 template'!AF$162,FALSE),"")*$AR$6</f>
        <v>42.685826872012171</v>
      </c>
      <c r="AI6" s="509">
        <f ca="1">IFERROR('All Stock'!AG$16*VLOOKUP($A6,'IDEES okt 2017 template'!$C$165:$AH$169,'IDEES okt 2017 template'!AG$162,FALSE),"")*$AR$6</f>
        <v>0</v>
      </c>
      <c r="AJ6" s="509">
        <f ca="1">IFERROR('All Stock'!AH$16*VLOOKUP($A6,'IDEES okt 2017 template'!$C$165:$AH$169,'IDEES okt 2017 template'!AH$162,FALSE),"")*$AR$6</f>
        <v>0</v>
      </c>
      <c r="AK6" s="509">
        <f ca="1">IFERROR('All Stock'!AI$16*VLOOKUP($A6,'IDEES okt 2017 template'!$C$165:$AN$169,'IDEES okt 2017 template'!AI$162,FALSE),"")*$AR$6</f>
        <v>9.5732322864980048</v>
      </c>
      <c r="AL6" s="509">
        <f ca="1">IFERROR('All Stock'!AJ$16*VLOOKUP($A6,'IDEES okt 2017 template'!$C$165:$AN$169,'IDEES okt 2017 template'!AJ$162,FALSE),"")*$AR$6</f>
        <v>0</v>
      </c>
      <c r="AM6" s="509">
        <f ca="1">IFERROR('All Stock'!AK$16*VLOOKUP($A6,'IDEES okt 2017 template'!$C$165:$AN$169,'IDEES okt 2017 template'!AK$162,FALSE),"")*$AR$6</f>
        <v>14.522417763009976</v>
      </c>
      <c r="AN6" s="509">
        <f ca="1">IFERROR('All Stock'!AL$16*VLOOKUP($A6,'IDEES okt 2017 template'!$C$165:$AN$169,'IDEES okt 2017 template'!AL$162,FALSE),"")*$AR$6</f>
        <v>0</v>
      </c>
      <c r="AO6" s="509">
        <f ca="1">IFERROR('All Stock'!AM$16*VLOOKUP($A6,'IDEES okt 2017 template'!$C$165:$AN$169,'IDEES okt 2017 template'!AM$162,FALSE),"")*$AR$6</f>
        <v>0</v>
      </c>
      <c r="AP6" s="509">
        <f ca="1">IFERROR('All Stock'!AN$16*VLOOKUP($A6,'IDEES okt 2017 template'!$C$165:$AN$169,'IDEES okt 2017 template'!AN$162,FALSE),"")*$AR$6</f>
        <v>0</v>
      </c>
      <c r="AQ6" s="509"/>
      <c r="AR6" s="467">
        <v>1</v>
      </c>
      <c r="AS6" t="str">
        <f t="shared" si="0"/>
        <v>Biomass and wastes</v>
      </c>
      <c r="AT6" s="509"/>
    </row>
    <row r="7" spans="1:46">
      <c r="A7" t="str">
        <f>TechComm!T28</f>
        <v>Solids</v>
      </c>
      <c r="C7" t="str">
        <f>TechComm!L78</f>
        <v>R_ES-CK-FL_COA</v>
      </c>
      <c r="D7" t="str">
        <f>TechComm!U28</f>
        <v>RSDCOA</v>
      </c>
      <c r="E7" t="str">
        <f t="shared" ref="E7:E8" si="1">E6</f>
        <v>R_ES-FL-Cook</v>
      </c>
      <c r="F7" s="509">
        <f ca="1">IFERROR('All Stock'!D$16*VLOOKUP($A7,'IDEES okt 2017 template'!$C$165:$AH$169,'IDEES okt 2017 template'!D$162,FALSE),"")*$AR$7</f>
        <v>1.3684342851063154</v>
      </c>
      <c r="G7" s="509">
        <f ca="1">IFERROR('All Stock'!E$16*VLOOKUP($A7,'IDEES okt 2017 template'!$C$165:$AH$169,'IDEES okt 2017 template'!E$162,FALSE),"")*$AR$7</f>
        <v>0</v>
      </c>
      <c r="H7" s="509">
        <f ca="1">IFERROR('All Stock'!F$16*VLOOKUP($A7,'IDEES okt 2017 template'!$C$165:$AH$169,'IDEES okt 2017 template'!F$162,FALSE),"")*$AR$7</f>
        <v>15.858433484747083</v>
      </c>
      <c r="I7" s="509">
        <f ca="1">IFERROR('All Stock'!G$16*VLOOKUP($A7,'IDEES okt 2017 template'!$C$165:$AH$169,'IDEES okt 2017 template'!G$162,FALSE),"")*$AR$7</f>
        <v>0</v>
      </c>
      <c r="J7" s="509">
        <f ca="1">IFERROR('All Stock'!H$16*VLOOKUP($A7,'IDEES okt 2017 template'!$C$165:$AH$169,'IDEES okt 2017 template'!H$162,FALSE),"")*$AR$7</f>
        <v>0</v>
      </c>
      <c r="K7" s="509">
        <f ca="1">IFERROR('All Stock'!I$16*VLOOKUP($A7,'IDEES okt 2017 template'!$C$165:$AH$169,'IDEES okt 2017 template'!I$162,FALSE),"")*$AR$7</f>
        <v>0</v>
      </c>
      <c r="L7" s="509">
        <f ca="1">IFERROR('All Stock'!J$16*VLOOKUP($A7,'IDEES okt 2017 template'!$C$165:$AH$169,'IDEES okt 2017 template'!J$162,FALSE),"")*$AR$7</f>
        <v>0</v>
      </c>
      <c r="M7" s="509">
        <f ca="1">IFERROR('All Stock'!K$16*VLOOKUP($A7,'IDEES okt 2017 template'!$C$165:$AH$169,'IDEES okt 2017 template'!K$162,FALSE),"")*$AR$7</f>
        <v>0</v>
      </c>
      <c r="N7" s="509">
        <f ca="1">IFERROR('All Stock'!L$16*VLOOKUP($A7,'IDEES okt 2017 template'!$C$165:$AH$169,'IDEES okt 2017 template'!L$162,FALSE),"")*$AR$7</f>
        <v>0</v>
      </c>
      <c r="O7" s="509">
        <f ca="1">IFERROR('All Stock'!M$16*VLOOKUP($A7,'IDEES okt 2017 template'!$C$165:$AH$169,'IDEES okt 2017 template'!M$162,FALSE),"")*$AR$7</f>
        <v>35.120582394930445</v>
      </c>
      <c r="P7" s="509">
        <f ca="1">IFERROR('All Stock'!N$16*VLOOKUP($A7,'IDEES okt 2017 template'!$C$165:$AH$169,'IDEES okt 2017 template'!N$162,FALSE),"")*$AR$7</f>
        <v>0</v>
      </c>
      <c r="Q7" s="509">
        <f ca="1">IFERROR('All Stock'!O$16*VLOOKUP($A7,'IDEES okt 2017 template'!$C$165:$AH$169,'IDEES okt 2017 template'!O$162,FALSE),"")*$AR$7</f>
        <v>0</v>
      </c>
      <c r="R7" s="509">
        <f ca="1">IFERROR('All Stock'!P$16*VLOOKUP($A7,'IDEES okt 2017 template'!$C$165:$AH$169,'IDEES okt 2017 template'!P$162,FALSE),"")*$AR$7</f>
        <v>0</v>
      </c>
      <c r="S7" s="509">
        <f ca="1">IFERROR('All Stock'!Q$16*VLOOKUP($A7,'IDEES okt 2017 template'!$C$165:$AH$169,'IDEES okt 2017 template'!Q$162,FALSE),"")*$AR$7</f>
        <v>0</v>
      </c>
      <c r="T7" s="509">
        <f ca="1">IFERROR('All Stock'!R$16*VLOOKUP($A7,'IDEES okt 2017 template'!$C$165:$AH$169,'IDEES okt 2017 template'!R$162,FALSE),"")*$AR$7</f>
        <v>1.2910355151403217</v>
      </c>
      <c r="U7" s="509">
        <f ca="1">IFERROR('All Stock'!S$16*VLOOKUP($A7,'IDEES okt 2017 template'!$C$165:$AH$169,'IDEES okt 2017 template'!S$162,FALSE),"")*$AR$7</f>
        <v>0</v>
      </c>
      <c r="V7" s="509">
        <f ca="1">IFERROR('All Stock'!T$16*VLOOKUP($A7,'IDEES okt 2017 template'!$C$165:$AH$169,'IDEES okt 2017 template'!T$162,FALSE),"")*$AR$7</f>
        <v>0</v>
      </c>
      <c r="W7" s="509">
        <f ca="1">IFERROR('All Stock'!U$16*VLOOKUP($A7,'IDEES okt 2017 template'!$C$165:$AH$169,'IDEES okt 2017 template'!U$162,FALSE),"")*$AR$7</f>
        <v>0</v>
      </c>
      <c r="X7" s="509">
        <f ca="1">IFERROR('All Stock'!V$16*VLOOKUP($A7,'IDEES okt 2017 template'!$C$165:$AH$169,'IDEES okt 2017 template'!V$162,FALSE),"")*$AR$7</f>
        <v>0</v>
      </c>
      <c r="Y7" s="509">
        <f ca="1">IFERROR('All Stock'!W$16*VLOOKUP($A7,'IDEES okt 2017 template'!$C$165:$AH$169,'IDEES okt 2017 template'!W$162,FALSE),"")*$AR$7</f>
        <v>0</v>
      </c>
      <c r="Z7" s="509">
        <f ca="1">IFERROR('All Stock'!X$16*VLOOKUP($A7,'IDEES okt 2017 template'!$C$165:$AH$169,'IDEES okt 2017 template'!X$162,FALSE),"")*$AR$7</f>
        <v>0</v>
      </c>
      <c r="AA7" s="509">
        <f ca="1">IFERROR('All Stock'!Y$16*VLOOKUP($A7,'IDEES okt 2017 template'!$C$165:$AH$169,'IDEES okt 2017 template'!Y$162,FALSE),"")*$AR$7</f>
        <v>0</v>
      </c>
      <c r="AB7" s="509">
        <f ca="1">IFERROR('All Stock'!Z$16*VLOOKUP($A7,'IDEES okt 2017 template'!$C$165:$AH$169,'IDEES okt 2017 template'!Z$162,FALSE),"")*$AR$7</f>
        <v>0</v>
      </c>
      <c r="AC7" s="509">
        <f ca="1">IFERROR('All Stock'!AA$16*VLOOKUP($A7,'IDEES okt 2017 template'!$C$165:$AH$169,'IDEES okt 2017 template'!AA$162,FALSE),"")*$AR$7</f>
        <v>0</v>
      </c>
      <c r="AD7" s="509">
        <f ca="1">IFERROR('All Stock'!AB$16*VLOOKUP($A7,'IDEES okt 2017 template'!$C$165:$AH$169,'IDEES okt 2017 template'!AB$162,FALSE),"")*$AR$7</f>
        <v>438.68350324879998</v>
      </c>
      <c r="AE7" s="509">
        <f ca="1">IFERROR('All Stock'!AC$16*VLOOKUP($A7,'IDEES okt 2017 template'!$C$165:$AH$169,'IDEES okt 2017 template'!AC$162,FALSE),"")*$AR$7</f>
        <v>0</v>
      </c>
      <c r="AF7" s="509">
        <f ca="1">IFERROR('All Stock'!AD$16*VLOOKUP($A7,'IDEES okt 2017 template'!$C$165:$AH$169,'IDEES okt 2017 template'!AD$162,FALSE),"")*$AR$7</f>
        <v>0</v>
      </c>
      <c r="AG7" s="509">
        <f ca="1">IFERROR('All Stock'!AE$16*VLOOKUP($A7,'IDEES okt 2017 template'!$C$165:$AH$169,'IDEES okt 2017 template'!AE$162,FALSE),"")*$AR$7</f>
        <v>0</v>
      </c>
      <c r="AH7" s="509">
        <f ca="1">IFERROR('All Stock'!AF$16*VLOOKUP($A7,'IDEES okt 2017 template'!$C$165:$AH$169,'IDEES okt 2017 template'!AF$162,FALSE),"")*$AR$7</f>
        <v>0</v>
      </c>
      <c r="AI7" s="509">
        <f ca="1">IFERROR('All Stock'!AG$16*VLOOKUP($A7,'IDEES okt 2017 template'!$C$165:$AH$169,'IDEES okt 2017 template'!AG$162,FALSE),"")*$AR$7</f>
        <v>0</v>
      </c>
      <c r="AJ7" s="509">
        <f ca="1">IFERROR('All Stock'!AH$16*VLOOKUP($A7,'IDEES okt 2017 template'!$C$165:$AH$169,'IDEES okt 2017 template'!AH$162,FALSE),"")*$AR$7</f>
        <v>0</v>
      </c>
      <c r="AK7" s="509">
        <f ca="1">IFERROR('All Stock'!AI$16*VLOOKUP($A7,'IDEES okt 2017 template'!$C$165:$AN$169,'IDEES okt 2017 template'!AI$162,FALSE),"")*$AR$7</f>
        <v>0</v>
      </c>
      <c r="AL7" s="509">
        <f ca="1">IFERROR('All Stock'!AJ$16*VLOOKUP($A7,'IDEES okt 2017 template'!$C$165:$AN$169,'IDEES okt 2017 template'!AJ$162,FALSE),"")*$AR$7</f>
        <v>0</v>
      </c>
      <c r="AM7" s="509">
        <f ca="1">IFERROR('All Stock'!AK$16*VLOOKUP($A7,'IDEES okt 2017 template'!$C$165:$AN$169,'IDEES okt 2017 template'!AK$162,FALSE),"")*$AR$7</f>
        <v>0</v>
      </c>
      <c r="AN7" s="509">
        <f ca="1">IFERROR('All Stock'!AL$16*VLOOKUP($A7,'IDEES okt 2017 template'!$C$165:$AN$169,'IDEES okt 2017 template'!AL$162,FALSE),"")*$AR$7</f>
        <v>0</v>
      </c>
      <c r="AO7" s="509">
        <f ca="1">IFERROR('All Stock'!AM$16*VLOOKUP($A7,'IDEES okt 2017 template'!$C$165:$AN$169,'IDEES okt 2017 template'!AM$162,FALSE),"")*$AR$7</f>
        <v>0</v>
      </c>
      <c r="AP7" s="509">
        <f ca="1">IFERROR('All Stock'!AN$16*VLOOKUP($A7,'IDEES okt 2017 template'!$C$165:$AN$169,'IDEES okt 2017 template'!AN$162,FALSE),"")*$AR$7</f>
        <v>0</v>
      </c>
      <c r="AQ7" s="509"/>
      <c r="AR7" s="467">
        <v>1</v>
      </c>
      <c r="AS7" t="str">
        <f t="shared" si="0"/>
        <v>Solids</v>
      </c>
      <c r="AT7" s="509"/>
    </row>
    <row r="8" spans="1:46">
      <c r="A8" t="str">
        <f>TechComm!T29</f>
        <v>LPG</v>
      </c>
      <c r="C8" t="str">
        <f>TechComm!L79</f>
        <v>R_ES-CK-FL_LPG</v>
      </c>
      <c r="D8" t="str">
        <f>TechComm!U29</f>
        <v>RSDLPG</v>
      </c>
      <c r="E8" t="str">
        <f t="shared" si="1"/>
        <v>R_ES-FL-Cook</v>
      </c>
      <c r="F8" s="509">
        <f ca="1">IFERROR('All Stock'!D$16*VLOOKUP($A8,'IDEES okt 2017 template'!$C$165:$AH$169,'IDEES okt 2017 template'!D$162,FALSE),"")*$AR$8</f>
        <v>48.57941712127419</v>
      </c>
      <c r="G8" s="509">
        <f ca="1">IFERROR('All Stock'!E$16*VLOOKUP($A8,'IDEES okt 2017 template'!$C$165:$AH$169,'IDEES okt 2017 template'!E$162,FALSE),"")*$AR$8</f>
        <v>35.726053363523846</v>
      </c>
      <c r="H8" s="509">
        <f ca="1">IFERROR('All Stock'!F$16*VLOOKUP($A8,'IDEES okt 2017 template'!$C$165:$AH$169,'IDEES okt 2017 template'!F$162,FALSE),"")*$AR$8</f>
        <v>42.838365776979138</v>
      </c>
      <c r="I8" s="509">
        <f ca="1">IFERROR('All Stock'!G$16*VLOOKUP($A8,'IDEES okt 2017 template'!$C$165:$AH$169,'IDEES okt 2017 template'!G$162,FALSE),"")*$AR$8</f>
        <v>0</v>
      </c>
      <c r="J8" s="509">
        <f ca="1">IFERROR('All Stock'!H$16*VLOOKUP($A8,'IDEES okt 2017 template'!$C$165:$AH$169,'IDEES okt 2017 template'!H$162,FALSE),"")*$AR$8</f>
        <v>50.396303118782292</v>
      </c>
      <c r="K8" s="509">
        <f ca="1">IFERROR('All Stock'!I$16*VLOOKUP($A8,'IDEES okt 2017 template'!$C$165:$AH$169,'IDEES okt 2017 template'!I$162,FALSE),"")*$AR$8</f>
        <v>7.6534877435869832</v>
      </c>
      <c r="L8" s="509">
        <f ca="1">IFERROR('All Stock'!J$16*VLOOKUP($A8,'IDEES okt 2017 template'!$C$165:$AH$169,'IDEES okt 2017 template'!J$162,FALSE),"")*$AR$8</f>
        <v>1362.1182101127702</v>
      </c>
      <c r="M8" s="509">
        <f ca="1">IFERROR('All Stock'!K$16*VLOOKUP($A8,'IDEES okt 2017 template'!$C$165:$AH$169,'IDEES okt 2017 template'!K$162,FALSE),"")*$AR$8</f>
        <v>33.494811476893652</v>
      </c>
      <c r="N8" s="509">
        <f ca="1">IFERROR('All Stock'!L$16*VLOOKUP($A8,'IDEES okt 2017 template'!$C$165:$AH$169,'IDEES okt 2017 template'!L$162,FALSE),"")*$AR$8</f>
        <v>15.080945034576496</v>
      </c>
      <c r="O8" s="509">
        <f ca="1">IFERROR('All Stock'!M$16*VLOOKUP($A8,'IDEES okt 2017 template'!$C$165:$AH$169,'IDEES okt 2017 template'!M$162,FALSE),"")*$AR$8</f>
        <v>991.808341157276</v>
      </c>
      <c r="P8" s="509">
        <f ca="1">IFERROR('All Stock'!N$16*VLOOKUP($A8,'IDEES okt 2017 template'!$C$165:$AH$169,'IDEES okt 2017 template'!N$162,FALSE),"")*$AR$8</f>
        <v>10.944737406700618</v>
      </c>
      <c r="Q8" s="509">
        <f ca="1">IFERROR('All Stock'!O$16*VLOOKUP($A8,'IDEES okt 2017 template'!$C$165:$AH$169,'IDEES okt 2017 template'!O$162,FALSE),"")*$AR$8</f>
        <v>1041.797931383014</v>
      </c>
      <c r="R8" s="509">
        <f ca="1">IFERROR('All Stock'!P$16*VLOOKUP($A8,'IDEES okt 2017 template'!$C$165:$AH$169,'IDEES okt 2017 template'!P$162,FALSE),"")*$AR$8</f>
        <v>49.664725344951684</v>
      </c>
      <c r="S8" s="509">
        <f ca="1">IFERROR('All Stock'!Q$16*VLOOKUP($A8,'IDEES okt 2017 template'!$C$165:$AH$169,'IDEES okt 2017 template'!Q$162,FALSE),"")*$AR$8</f>
        <v>76.649284876901618</v>
      </c>
      <c r="T8" s="509">
        <f ca="1">IFERROR('All Stock'!R$16*VLOOKUP($A8,'IDEES okt 2017 template'!$C$165:$AH$169,'IDEES okt 2017 template'!R$162,FALSE),"")*$AR$8</f>
        <v>142.18995696295454</v>
      </c>
      <c r="U8" s="509">
        <f ca="1">IFERROR('All Stock'!S$16*VLOOKUP($A8,'IDEES okt 2017 template'!$C$165:$AH$169,'IDEES okt 2017 template'!S$162,FALSE),"")*$AR$8</f>
        <v>12.329948227070792</v>
      </c>
      <c r="V8" s="509">
        <f ca="1">IFERROR('All Stock'!T$16*VLOOKUP($A8,'IDEES okt 2017 template'!$C$165:$AH$169,'IDEES okt 2017 template'!T$162,FALSE),"")*$AR$8</f>
        <v>1.3807485919024216</v>
      </c>
      <c r="W8" s="509">
        <f ca="1">IFERROR('All Stock'!U$16*VLOOKUP($A8,'IDEES okt 2017 template'!$C$165:$AH$169,'IDEES okt 2017 template'!U$162,FALSE),"")*$AR$8</f>
        <v>2665.6696198743621</v>
      </c>
      <c r="X8" s="509">
        <f ca="1">IFERROR('All Stock'!V$16*VLOOKUP($A8,'IDEES okt 2017 template'!$C$165:$AH$169,'IDEES okt 2017 template'!V$162,FALSE),"")*$AR$8</f>
        <v>110.96281793466282</v>
      </c>
      <c r="Y8" s="509">
        <f ca="1">IFERROR('All Stock'!W$16*VLOOKUP($A8,'IDEES okt 2017 template'!$C$165:$AH$169,'IDEES okt 2017 template'!W$162,FALSE),"")*$AR$8</f>
        <v>2.9815384456792149</v>
      </c>
      <c r="Z8" s="509">
        <f ca="1">IFERROR('All Stock'!X$16*VLOOKUP($A8,'IDEES okt 2017 template'!$C$165:$AH$169,'IDEES okt 2017 template'!X$162,FALSE),"")*$AR$8</f>
        <v>100.19505698887224</v>
      </c>
      <c r="AA8" s="509">
        <f ca="1">IFERROR('All Stock'!Y$16*VLOOKUP($A8,'IDEES okt 2017 template'!$C$165:$AH$169,'IDEES okt 2017 template'!Y$162,FALSE),"")*$AR$8</f>
        <v>9.0838590695953378</v>
      </c>
      <c r="AB8" s="509">
        <f ca="1">IFERROR('All Stock'!Z$16*VLOOKUP($A8,'IDEES okt 2017 template'!$C$165:$AH$169,'IDEES okt 2017 template'!Z$162,FALSE),"")*$AR$8</f>
        <v>37.746294175407435</v>
      </c>
      <c r="AC8" s="509">
        <f ca="1">IFERROR('All Stock'!AA$16*VLOOKUP($A8,'IDEES okt 2017 template'!$C$165:$AH$169,'IDEES okt 2017 template'!AA$162,FALSE),"")*$AR$8</f>
        <v>6.7497390771515953</v>
      </c>
      <c r="AD8" s="509">
        <f ca="1">IFERROR('All Stock'!AB$16*VLOOKUP($A8,'IDEES okt 2017 template'!$C$165:$AH$169,'IDEES okt 2017 template'!AB$162,FALSE),"")*$AR$8</f>
        <v>1326.7096661428341</v>
      </c>
      <c r="AE8" s="509">
        <f ca="1">IFERROR('All Stock'!AC$16*VLOOKUP($A8,'IDEES okt 2017 template'!$C$165:$AH$169,'IDEES okt 2017 template'!AC$162,FALSE),"")*$AR$8</f>
        <v>157.47437819242202</v>
      </c>
      <c r="AF8" s="509">
        <f ca="1">IFERROR('All Stock'!AD$16*VLOOKUP($A8,'IDEES okt 2017 template'!$C$165:$AH$169,'IDEES okt 2017 template'!AD$162,FALSE),"")*$AR$8</f>
        <v>562.89352211042626</v>
      </c>
      <c r="AG8" s="509">
        <f ca="1">IFERROR('All Stock'!AE$16*VLOOKUP($A8,'IDEES okt 2017 template'!$C$165:$AH$169,'IDEES okt 2017 template'!AE$162,FALSE),"")*$AR$8</f>
        <v>0</v>
      </c>
      <c r="AH8" s="509">
        <f ca="1">IFERROR('All Stock'!AF$16*VLOOKUP($A8,'IDEES okt 2017 template'!$C$165:$AH$169,'IDEES okt 2017 template'!AF$162,FALSE),"")*$AR$8</f>
        <v>104.25412407614769</v>
      </c>
      <c r="AI8" s="509">
        <f ca="1">IFERROR('All Stock'!AG$16*VLOOKUP($A8,'IDEES okt 2017 template'!$C$165:$AH$169,'IDEES okt 2017 template'!AG$162,FALSE),"")*$AR$8</f>
        <v>21.058167573964489</v>
      </c>
      <c r="AJ8" s="509">
        <f ca="1">IFERROR('All Stock'!AH$16*VLOOKUP($A8,'IDEES okt 2017 template'!$C$165:$AH$169,'IDEES okt 2017 template'!AH$162,FALSE),"")*$AR$8</f>
        <v>122.53270394513628</v>
      </c>
      <c r="AK8" s="509">
        <f ca="1">IFERROR('All Stock'!AI$16*VLOOKUP($A8,'IDEES okt 2017 template'!$C$165:$AN$169,'IDEES okt 2017 template'!AI$162,FALSE),"")*$AR$8</f>
        <v>46.869643251163886</v>
      </c>
      <c r="AL8" s="509">
        <f ca="1">IFERROR('All Stock'!AJ$16*VLOOKUP($A8,'IDEES okt 2017 template'!$C$165:$AN$169,'IDEES okt 2017 template'!AJ$162,FALSE),"")*$AR$8</f>
        <v>0</v>
      </c>
      <c r="AM8" s="509">
        <f ca="1">IFERROR('All Stock'!AK$16*VLOOKUP($A8,'IDEES okt 2017 template'!$C$165:$AN$169,'IDEES okt 2017 template'!AK$162,FALSE),"")*$AR$8</f>
        <v>0</v>
      </c>
      <c r="AN8" s="509">
        <f ca="1">IFERROR('All Stock'!AL$16*VLOOKUP($A8,'IDEES okt 2017 template'!$C$165:$AN$169,'IDEES okt 2017 template'!AL$162,FALSE),"")*$AR$8</f>
        <v>6.9711541836914712</v>
      </c>
      <c r="AO8" s="509">
        <f ca="1">IFERROR('All Stock'!AM$16*VLOOKUP($A8,'IDEES okt 2017 template'!$C$165:$AN$169,'IDEES okt 2017 template'!AM$162,FALSE),"")*$AR$8</f>
        <v>22.961233530899165</v>
      </c>
      <c r="AP8" s="509">
        <f ca="1">IFERROR('All Stock'!AN$16*VLOOKUP($A8,'IDEES okt 2017 template'!$C$165:$AN$169,'IDEES okt 2017 template'!AN$162,FALSE),"")*$AR$8</f>
        <v>10.630769112227609</v>
      </c>
      <c r="AQ8" s="509"/>
      <c r="AR8" s="467">
        <v>1</v>
      </c>
      <c r="AS8" t="str">
        <f t="shared" si="0"/>
        <v>LPG</v>
      </c>
      <c r="AT8" s="509"/>
    </row>
    <row r="9" spans="1:46">
      <c r="A9" t="str">
        <f t="shared" ref="A9:A18" si="2">A4</f>
        <v>Electricity</v>
      </c>
      <c r="C9" t="str">
        <f>TechComm!L80</f>
        <v>R_ES-CK-DH_ELC</v>
      </c>
      <c r="D9" t="str">
        <f t="shared" ref="D9:D18" si="3">D4</f>
        <v>RSDELC-other</v>
      </c>
      <c r="E9" t="str">
        <f>TechComm!C14</f>
        <v>R_ES-DH-Cook</v>
      </c>
      <c r="F9" s="509">
        <f ca="1">IFERROR('All Stock'!D$12*VLOOKUP($A9,'IDEES okt 2017 template'!$C$165:$AH$169,'IDEES okt 2017 template'!D$162,FALSE),"")*$AR$9</f>
        <v>882.74317015673091</v>
      </c>
      <c r="G9" s="509">
        <f ca="1">IFERROR('All Stock'!E$12*VLOOKUP($A9,'IDEES okt 2017 template'!$C$165:$AH$169,'IDEES okt 2017 template'!E$162,FALSE),"")*$AR$9</f>
        <v>698.79717935732242</v>
      </c>
      <c r="H9" s="509">
        <f ca="1">IFERROR('All Stock'!F$12*VLOOKUP($A9,'IDEES okt 2017 template'!$C$165:$AH$169,'IDEES okt 2017 template'!F$162,FALSE),"")*$AR$9</f>
        <v>539.67632086231447</v>
      </c>
      <c r="I9" s="509">
        <f ca="1">IFERROR('All Stock'!G$12*VLOOKUP($A9,'IDEES okt 2017 template'!$C$165:$AH$169,'IDEES okt 2017 template'!G$162,FALSE),"")*$AR$9</f>
        <v>835.85218219176511</v>
      </c>
      <c r="J9" s="509">
        <f ca="1">IFERROR('All Stock'!H$12*VLOOKUP($A9,'IDEES okt 2017 template'!$C$165:$AH$169,'IDEES okt 2017 template'!H$162,FALSE),"")*$AR$9</f>
        <v>42.046940650896943</v>
      </c>
      <c r="K9" s="509">
        <f ca="1">IFERROR('All Stock'!I$12*VLOOKUP($A9,'IDEES okt 2017 template'!$C$165:$AH$169,'IDEES okt 2017 template'!I$162,FALSE),"")*$AR$9</f>
        <v>801.31519306412076</v>
      </c>
      <c r="L9" s="509">
        <f ca="1">IFERROR('All Stock'!J$12*VLOOKUP($A9,'IDEES okt 2017 template'!$C$165:$AH$169,'IDEES okt 2017 template'!J$162,FALSE),"")*$AR$9</f>
        <v>7054.3938695455681</v>
      </c>
      <c r="M9" s="509">
        <f ca="1">IFERROR('All Stock'!K$12*VLOOKUP($A9,'IDEES okt 2017 template'!$C$165:$AH$169,'IDEES okt 2017 template'!K$162,FALSE),"")*$AR$9</f>
        <v>937.97755743510379</v>
      </c>
      <c r="N9" s="509">
        <f ca="1">IFERROR('All Stock'!L$12*VLOOKUP($A9,'IDEES okt 2017 template'!$C$165:$AH$169,'IDEES okt 2017 template'!L$162,FALSE),"")*$AR$9</f>
        <v>100.43629881701189</v>
      </c>
      <c r="O9" s="509">
        <f ca="1">IFERROR('All Stock'!M$12*VLOOKUP($A9,'IDEES okt 2017 template'!$C$165:$AH$169,'IDEES okt 2017 template'!M$162,FALSE),"")*$AR$9</f>
        <v>568.18445511914649</v>
      </c>
      <c r="P9" s="509">
        <f ca="1">IFERROR('All Stock'!N$12*VLOOKUP($A9,'IDEES okt 2017 template'!$C$165:$AH$169,'IDEES okt 2017 template'!N$162,FALSE),"")*$AR$9</f>
        <v>782.02689158427063</v>
      </c>
      <c r="Q9" s="509">
        <f ca="1">IFERROR('All Stock'!O$12*VLOOKUP($A9,'IDEES okt 2017 template'!$C$165:$AH$169,'IDEES okt 2017 template'!O$162,FALSE),"")*$AR$9</f>
        <v>4783.3217921142723</v>
      </c>
      <c r="R9" s="509">
        <f ca="1">IFERROR('All Stock'!P$12*VLOOKUP($A9,'IDEES okt 2017 template'!$C$165:$AH$169,'IDEES okt 2017 template'!P$162,FALSE),"")*$AR$9</f>
        <v>667.94839734598668</v>
      </c>
      <c r="S9" s="509">
        <f ca="1">IFERROR('All Stock'!Q$12*VLOOKUP($A9,'IDEES okt 2017 template'!$C$165:$AH$169,'IDEES okt 2017 template'!Q$162,FALSE),"")*$AR$9</f>
        <v>456.55116912281437</v>
      </c>
      <c r="T9" s="509">
        <f ca="1">IFERROR('All Stock'!R$12*VLOOKUP($A9,'IDEES okt 2017 template'!$C$165:$AH$169,'IDEES okt 2017 template'!R$162,FALSE),"")*$AR$9</f>
        <v>749.91578009032264</v>
      </c>
      <c r="U9" s="509">
        <f ca="1">IFERROR('All Stock'!S$12*VLOOKUP($A9,'IDEES okt 2017 template'!$C$165:$AH$169,'IDEES okt 2017 template'!S$162,FALSE),"")*$AR$9</f>
        <v>353.73934801824811</v>
      </c>
      <c r="V9" s="509">
        <f ca="1">IFERROR('All Stock'!T$12*VLOOKUP($A9,'IDEES okt 2017 template'!$C$165:$AH$169,'IDEES okt 2017 template'!T$162,FALSE),"")*$AR$9</f>
        <v>42.686515494691399</v>
      </c>
      <c r="W9" s="509">
        <f ca="1">IFERROR('All Stock'!U$12*VLOOKUP($A9,'IDEES okt 2017 template'!$C$165:$AH$169,'IDEES okt 2017 template'!U$162,FALSE),"")*$AR$9</f>
        <v>574.01122021938716</v>
      </c>
      <c r="X9" s="509">
        <f ca="1">IFERROR('All Stock'!V$12*VLOOKUP($A9,'IDEES okt 2017 template'!$C$165:$AH$169,'IDEES okt 2017 template'!V$162,FALSE),"")*$AR$9</f>
        <v>185.32237256172562</v>
      </c>
      <c r="Y9" s="509">
        <f ca="1">IFERROR('All Stock'!W$12*VLOOKUP($A9,'IDEES okt 2017 template'!$C$165:$AH$169,'IDEES okt 2017 template'!W$162,FALSE),"")*$AR$9</f>
        <v>37.020359084520322</v>
      </c>
      <c r="Z9" s="509">
        <f ca="1">IFERROR('All Stock'!X$12*VLOOKUP($A9,'IDEES okt 2017 template'!$C$165:$AH$169,'IDEES okt 2017 template'!X$162,FALSE),"")*$AR$9</f>
        <v>101.89454669650274</v>
      </c>
      <c r="AA9" s="509">
        <f ca="1">IFERROR('All Stock'!Y$12*VLOOKUP($A9,'IDEES okt 2017 template'!$C$165:$AH$169,'IDEES okt 2017 template'!Y$162,FALSE),"")*$AR$9</f>
        <v>1.5895901704874114</v>
      </c>
      <c r="AB9" s="509">
        <f ca="1">IFERROR('All Stock'!Z$12*VLOOKUP($A9,'IDEES okt 2017 template'!$C$165:$AH$169,'IDEES okt 2017 template'!Z$162,FALSE),"")*$AR$9</f>
        <v>411.28207928378208</v>
      </c>
      <c r="AC9" s="509">
        <f ca="1">IFERROR('All Stock'!AA$12*VLOOKUP($A9,'IDEES okt 2017 template'!$C$165:$AH$169,'IDEES okt 2017 template'!AA$162,FALSE),"")*$AR$9</f>
        <v>460.84379499672804</v>
      </c>
      <c r="AD9" s="509">
        <f ca="1">IFERROR('All Stock'!AB$12*VLOOKUP($A9,'IDEES okt 2017 template'!$C$165:$AH$169,'IDEES okt 2017 template'!AB$162,FALSE),"")*$AR$9</f>
        <v>2014.1238450718383</v>
      </c>
      <c r="AE9" s="509">
        <f ca="1">IFERROR('All Stock'!AC$12*VLOOKUP($A9,'IDEES okt 2017 template'!$C$165:$AH$169,'IDEES okt 2017 template'!AC$162,FALSE),"")*$AR$9</f>
        <v>176.72756349670524</v>
      </c>
      <c r="AF9" s="509">
        <f ca="1">IFERROR('All Stock'!AD$12*VLOOKUP($A9,'IDEES okt 2017 template'!$C$165:$AH$169,'IDEES okt 2017 template'!AD$162,FALSE),"")*$AR$9</f>
        <v>325.93026789636451</v>
      </c>
      <c r="AG9" s="509">
        <f ca="1">IFERROR('All Stock'!AE$12*VLOOKUP($A9,'IDEES okt 2017 template'!$C$165:$AH$169,'IDEES okt 2017 template'!AE$162,FALSE),"")*$AR$9</f>
        <v>1170.9209272896896</v>
      </c>
      <c r="AH9" s="509">
        <f ca="1">IFERROR('All Stock'!AF$12*VLOOKUP($A9,'IDEES okt 2017 template'!$C$165:$AH$169,'IDEES okt 2017 template'!AF$162,FALSE),"")*$AR$9</f>
        <v>116.40025053667706</v>
      </c>
      <c r="AI9" s="509">
        <f ca="1">IFERROR('All Stock'!AG$12*VLOOKUP($A9,'IDEES okt 2017 template'!$C$165:$AH$169,'IDEES okt 2017 template'!AG$162,FALSE),"")*$AR$9</f>
        <v>281.73735802656404</v>
      </c>
      <c r="AJ9" s="509">
        <f ca="1">IFERROR('All Stock'!AH$12*VLOOKUP($A9,'IDEES okt 2017 template'!$C$165:$AH$169,'IDEES okt 2017 template'!AH$162,FALSE),"")*$AR$9</f>
        <v>2190.0555443240846</v>
      </c>
      <c r="AK9" s="509">
        <f ca="1">IFERROR('All Stock'!AI$12*VLOOKUP($A9,'IDEES okt 2017 template'!$C$165:$AN$169,'IDEES okt 2017 template'!AI$162,FALSE),"")*$AR$9</f>
        <v>60.866294224377718</v>
      </c>
      <c r="AL9" s="509">
        <f ca="1">IFERROR('All Stock'!AJ$12*VLOOKUP($A9,'IDEES okt 2017 template'!$C$165:$AN$169,'IDEES okt 2017 template'!AJ$162,FALSE),"")*$AR$9</f>
        <v>219.14154927956545</v>
      </c>
      <c r="AM9" s="509">
        <f ca="1">IFERROR('All Stock'!AK$12*VLOOKUP($A9,'IDEES okt 2017 template'!$C$165:$AN$169,'IDEES okt 2017 template'!AK$162,FALSE),"")*$AR$9</f>
        <v>36.473653080201323</v>
      </c>
      <c r="AN9" s="509">
        <f ca="1">IFERROR('All Stock'!AL$12*VLOOKUP($A9,'IDEES okt 2017 template'!$C$165:$AN$169,'IDEES okt 2017 template'!AL$162,FALSE),"")*$AR$9</f>
        <v>111.40471022646165</v>
      </c>
      <c r="AO9" s="509">
        <f ca="1">IFERROR('All Stock'!AM$12*VLOOKUP($A9,'IDEES okt 2017 template'!$C$165:$AN$169,'IDEES okt 2017 template'!AM$162,FALSE),"")*$AR$9</f>
        <v>622.87609649074557</v>
      </c>
      <c r="AP9" s="509">
        <f ca="1">IFERROR('All Stock'!AN$12*VLOOKUP($A9,'IDEES okt 2017 template'!$C$165:$AN$169,'IDEES okt 2017 template'!AN$162,FALSE),"")*$AR$9</f>
        <v>122.58249235891981</v>
      </c>
      <c r="AQ9" s="509"/>
      <c r="AR9" s="467">
        <v>1</v>
      </c>
      <c r="AS9" t="str">
        <f t="shared" si="0"/>
        <v>Electricity</v>
      </c>
      <c r="AT9" s="509"/>
    </row>
    <row r="10" spans="1:46">
      <c r="A10" t="str">
        <f t="shared" si="2"/>
        <v>Gases</v>
      </c>
      <c r="C10" t="str">
        <f>TechComm!L81</f>
        <v>R_ES-CK-DH_GAS</v>
      </c>
      <c r="D10" t="str">
        <f t="shared" si="3"/>
        <v>RSDGAS</v>
      </c>
      <c r="E10" t="str">
        <f t="shared" ref="E10:E13" si="4">E9</f>
        <v>R_ES-DH-Cook</v>
      </c>
      <c r="F10" s="509">
        <f ca="1">IFERROR('All Stock'!D$12*VLOOKUP($A10,'IDEES okt 2017 template'!$C$165:$AH$169,'IDEES okt 2017 template'!D$162,FALSE),"")*$AR$10</f>
        <v>64.860972521832792</v>
      </c>
      <c r="G10" s="509">
        <f ca="1">IFERROR('All Stock'!E$12*VLOOKUP($A10,'IDEES okt 2017 template'!$C$165:$AH$169,'IDEES okt 2017 template'!E$162,FALSE),"")*$AR$10</f>
        <v>214.09393497193338</v>
      </c>
      <c r="H10" s="509">
        <f ca="1">IFERROR('All Stock'!F$12*VLOOKUP($A10,'IDEES okt 2017 template'!$C$165:$AH$169,'IDEES okt 2017 template'!F$162,FALSE),"")*$AR$10</f>
        <v>7.7254279060045006</v>
      </c>
      <c r="I10" s="509">
        <f ca="1">IFERROR('All Stock'!G$12*VLOOKUP($A10,'IDEES okt 2017 template'!$C$165:$AH$169,'IDEES okt 2017 template'!G$162,FALSE),"")*$AR$10</f>
        <v>5.6980561702338237</v>
      </c>
      <c r="J10" s="509">
        <f ca="1">IFERROR('All Stock'!H$12*VLOOKUP($A10,'IDEES okt 2017 template'!$C$165:$AH$169,'IDEES okt 2017 template'!H$162,FALSE),"")*$AR$10</f>
        <v>0</v>
      </c>
      <c r="K10" s="509">
        <f ca="1">IFERROR('All Stock'!I$12*VLOOKUP($A10,'IDEES okt 2017 template'!$C$165:$AH$169,'IDEES okt 2017 template'!I$162,FALSE),"")*$AR$10</f>
        <v>201.13968588858987</v>
      </c>
      <c r="L10" s="509">
        <f ca="1">IFERROR('All Stock'!J$12*VLOOKUP($A10,'IDEES okt 2017 template'!$C$165:$AH$169,'IDEES okt 2017 template'!J$162,FALSE),"")*$AR$10</f>
        <v>110.06793908485513</v>
      </c>
      <c r="M10" s="509">
        <f ca="1">IFERROR('All Stock'!K$12*VLOOKUP($A10,'IDEES okt 2017 template'!$C$165:$AH$169,'IDEES okt 2017 template'!K$162,FALSE),"")*$AR$10</f>
        <v>28.084859117491924</v>
      </c>
      <c r="N10" s="509">
        <f ca="1">IFERROR('All Stock'!L$12*VLOOKUP($A10,'IDEES okt 2017 template'!$C$165:$AH$169,'IDEES okt 2017 template'!L$162,FALSE),"")*$AR$10</f>
        <v>2.8273648169045189</v>
      </c>
      <c r="O10" s="509">
        <f ca="1">IFERROR('All Stock'!M$12*VLOOKUP($A10,'IDEES okt 2017 template'!$C$165:$AH$169,'IDEES okt 2017 template'!M$162,FALSE),"")*$AR$10</f>
        <v>261.25285491390241</v>
      </c>
      <c r="P10" s="509">
        <f ca="1">IFERROR('All Stock'!N$12*VLOOKUP($A10,'IDEES okt 2017 template'!$C$165:$AH$169,'IDEES okt 2017 template'!N$162,FALSE),"")*$AR$10</f>
        <v>2.2712798580929512</v>
      </c>
      <c r="Q10" s="509">
        <f ca="1">IFERROR('All Stock'!O$12*VLOOKUP($A10,'IDEES okt 2017 template'!$C$165:$AH$169,'IDEES okt 2017 template'!O$162,FALSE),"")*$AR$10</f>
        <v>801.90270651596722</v>
      </c>
      <c r="R10" s="509">
        <f ca="1">IFERROR('All Stock'!P$12*VLOOKUP($A10,'IDEES okt 2017 template'!$C$165:$AH$169,'IDEES okt 2017 template'!P$162,FALSE),"")*$AR$10</f>
        <v>15.634307797612925</v>
      </c>
      <c r="S10" s="509">
        <f ca="1">IFERROR('All Stock'!Q$12*VLOOKUP($A10,'IDEES okt 2017 template'!$C$165:$AH$169,'IDEES okt 2017 template'!Q$162,FALSE),"")*$AR$10</f>
        <v>82.992117285679299</v>
      </c>
      <c r="T10" s="509">
        <f ca="1">IFERROR('All Stock'!R$12*VLOOKUP($A10,'IDEES okt 2017 template'!$C$165:$AH$169,'IDEES okt 2017 template'!R$162,FALSE),"")*$AR$10</f>
        <v>586.81904284368034</v>
      </c>
      <c r="U10" s="509">
        <f ca="1">IFERROR('All Stock'!S$12*VLOOKUP($A10,'IDEES okt 2017 template'!$C$165:$AH$169,'IDEES okt 2017 template'!S$162,FALSE),"")*$AR$10</f>
        <v>73.054865351594728</v>
      </c>
      <c r="V10" s="509">
        <f ca="1">IFERROR('All Stock'!T$12*VLOOKUP($A10,'IDEES okt 2017 template'!$C$165:$AH$169,'IDEES okt 2017 template'!T$162,FALSE),"")*$AR$10</f>
        <v>0</v>
      </c>
      <c r="W10" s="509">
        <f ca="1">IFERROR('All Stock'!U$12*VLOOKUP($A10,'IDEES okt 2017 template'!$C$165:$AH$169,'IDEES okt 2017 template'!U$162,FALSE),"")*$AR$10</f>
        <v>1207.5708227788034</v>
      </c>
      <c r="X10" s="509">
        <f ca="1">IFERROR('All Stock'!V$12*VLOOKUP($A10,'IDEES okt 2017 template'!$C$165:$AH$169,'IDEES okt 2017 template'!V$162,FALSE),"")*$AR$10</f>
        <v>12.395332459866239</v>
      </c>
      <c r="Y10" s="509">
        <f ca="1">IFERROR('All Stock'!W$12*VLOOKUP($A10,'IDEES okt 2017 template'!$C$165:$AH$169,'IDEES okt 2017 template'!W$162,FALSE),"")*$AR$10</f>
        <v>12.957125679582113</v>
      </c>
      <c r="Z10" s="509">
        <f ca="1">IFERROR('All Stock'!X$12*VLOOKUP($A10,'IDEES okt 2017 template'!$C$165:$AH$169,'IDEES okt 2017 template'!X$162,FALSE),"")*$AR$10</f>
        <v>13.582646796673899</v>
      </c>
      <c r="AA10" s="509">
        <f ca="1">IFERROR('All Stock'!Y$12*VLOOKUP($A10,'IDEES okt 2017 template'!$C$165:$AH$169,'IDEES okt 2017 template'!Y$162,FALSE),"")*$AR$10</f>
        <v>0</v>
      </c>
      <c r="AB10" s="509">
        <f ca="1">IFERROR('All Stock'!Z$12*VLOOKUP($A10,'IDEES okt 2017 template'!$C$165:$AH$169,'IDEES okt 2017 template'!Z$162,FALSE),"")*$AR$10</f>
        <v>210.61752069489543</v>
      </c>
      <c r="AC10" s="509">
        <f ca="1">IFERROR('All Stock'!AA$12*VLOOKUP($A10,'IDEES okt 2017 template'!$C$165:$AH$169,'IDEES okt 2017 template'!AA$162,FALSE),"")*$AR$10</f>
        <v>5.153813903573868E-2</v>
      </c>
      <c r="AD10" s="509">
        <f ca="1">IFERROR('All Stock'!AB$12*VLOOKUP($A10,'IDEES okt 2017 template'!$C$165:$AH$169,'IDEES okt 2017 template'!AB$162,FALSE),"")*$AR$10</f>
        <v>368.16060064372004</v>
      </c>
      <c r="AE10" s="509">
        <f ca="1">IFERROR('All Stock'!AC$12*VLOOKUP($A10,'IDEES okt 2017 template'!$C$165:$AH$169,'IDEES okt 2017 template'!AC$162,FALSE),"")*$AR$10</f>
        <v>33.393888382171724</v>
      </c>
      <c r="AF10" s="509">
        <f ca="1">IFERROR('All Stock'!AD$12*VLOOKUP($A10,'IDEES okt 2017 template'!$C$165:$AH$169,'IDEES okt 2017 template'!AD$162,FALSE),"")*$AR$10</f>
        <v>629.76239435618481</v>
      </c>
      <c r="AG10" s="509">
        <f ca="1">IFERROR('All Stock'!AE$12*VLOOKUP($A10,'IDEES okt 2017 template'!$C$165:$AH$169,'IDEES okt 2017 template'!AE$162,FALSE),"")*$AR$10</f>
        <v>7.8097096682557998</v>
      </c>
      <c r="AH10" s="509">
        <f ca="1">IFERROR('All Stock'!AF$12*VLOOKUP($A10,'IDEES okt 2017 template'!$C$165:$AH$169,'IDEES okt 2017 template'!AF$162,FALSE),"")*$AR$10</f>
        <v>16.545671522669807</v>
      </c>
      <c r="AI10" s="509">
        <f ca="1">IFERROR('All Stock'!AG$12*VLOOKUP($A10,'IDEES okt 2017 template'!$C$165:$AH$169,'IDEES okt 2017 template'!AG$162,FALSE),"")*$AR$10</f>
        <v>134.10872692440935</v>
      </c>
      <c r="AJ10" s="509">
        <f ca="1">IFERROR('All Stock'!AH$12*VLOOKUP($A10,'IDEES okt 2017 template'!$C$165:$AH$169,'IDEES okt 2017 template'!AH$162,FALSE),"")*$AR$10</f>
        <v>1502.0466456625463</v>
      </c>
      <c r="AK10" s="509">
        <f ca="1">IFERROR('All Stock'!AI$12*VLOOKUP($A10,'IDEES okt 2017 template'!$C$165:$AN$169,'IDEES okt 2017 template'!AI$162,FALSE),"")*$AR$10</f>
        <v>0</v>
      </c>
      <c r="AL10" s="509">
        <f ca="1">IFERROR('All Stock'!AJ$12*VLOOKUP($A10,'IDEES okt 2017 template'!$C$165:$AN$169,'IDEES okt 2017 template'!AJ$162,FALSE),"")*$AR$10</f>
        <v>3.9594153931555311</v>
      </c>
      <c r="AM10" s="509">
        <f ca="1">IFERROR('All Stock'!AK$12*VLOOKUP($A10,'IDEES okt 2017 template'!$C$165:$AN$169,'IDEES okt 2017 template'!AK$162,FALSE),"")*$AR$10</f>
        <v>0</v>
      </c>
      <c r="AN10" s="509">
        <f ca="1">IFERROR('All Stock'!AL$12*VLOOKUP($A10,'IDEES okt 2017 template'!$C$165:$AN$169,'IDEES okt 2017 template'!AL$162,FALSE),"")*$AR$10</f>
        <v>0</v>
      </c>
      <c r="AO10" s="509">
        <f ca="1">IFERROR('All Stock'!AM$12*VLOOKUP($A10,'IDEES okt 2017 template'!$C$165:$AN$169,'IDEES okt 2017 template'!AM$162,FALSE),"")*$AR$10</f>
        <v>17.430622624298515</v>
      </c>
      <c r="AP10" s="509">
        <f ca="1">IFERROR('All Stock'!AN$12*VLOOKUP($A10,'IDEES okt 2017 template'!$C$165:$AN$169,'IDEES okt 2017 template'!AN$162,FALSE),"")*$AR$10</f>
        <v>0</v>
      </c>
      <c r="AQ10" s="509"/>
      <c r="AR10" s="467">
        <v>1</v>
      </c>
      <c r="AS10" t="str">
        <f t="shared" si="0"/>
        <v>Gases</v>
      </c>
      <c r="AT10" s="509"/>
    </row>
    <row r="11" spans="1:46">
      <c r="A11" t="str">
        <f t="shared" si="2"/>
        <v>Biomass and wastes</v>
      </c>
      <c r="C11" t="str">
        <f>TechComm!L82</f>
        <v>R_ES-CK-DH_BIO</v>
      </c>
      <c r="D11" t="str">
        <f t="shared" si="3"/>
        <v>RSDBIO</v>
      </c>
      <c r="E11" t="str">
        <f>E10</f>
        <v>R_ES-DH-Cook</v>
      </c>
      <c r="F11" s="509">
        <f ca="1">IFERROR('All Stock'!D$12*VLOOKUP($A11,'IDEES okt 2017 template'!$C$165:$AH$169,'IDEES okt 2017 template'!D$162,FALSE),"")*$AR$11</f>
        <v>33.021851801779199</v>
      </c>
      <c r="G11" s="509">
        <f ca="1">IFERROR('All Stock'!E$12*VLOOKUP($A11,'IDEES okt 2017 template'!$C$165:$AH$169,'IDEES okt 2017 template'!E$162,FALSE),"")*$AR$11</f>
        <v>0</v>
      </c>
      <c r="H11" s="509">
        <f ca="1">IFERROR('All Stock'!F$12*VLOOKUP($A11,'IDEES okt 2017 template'!$C$165:$AH$169,'IDEES okt 2017 template'!F$162,FALSE),"")*$AR$11</f>
        <v>23.012782598309705</v>
      </c>
      <c r="I11" s="509">
        <f ca="1">IFERROR('All Stock'!G$12*VLOOKUP($A11,'IDEES okt 2017 template'!$C$165:$AH$169,'IDEES okt 2017 template'!G$162,FALSE),"")*$AR$11</f>
        <v>0</v>
      </c>
      <c r="J11" s="509">
        <f ca="1">IFERROR('All Stock'!H$12*VLOOKUP($A11,'IDEES okt 2017 template'!$C$165:$AH$169,'IDEES okt 2017 template'!H$162,FALSE),"")*$AR$11</f>
        <v>0</v>
      </c>
      <c r="K11" s="509">
        <f ca="1">IFERROR('All Stock'!I$12*VLOOKUP($A11,'IDEES okt 2017 template'!$C$165:$AH$169,'IDEES okt 2017 template'!I$162,FALSE),"")*$AR$11</f>
        <v>21.043522692768896</v>
      </c>
      <c r="L11" s="509">
        <f ca="1">IFERROR('All Stock'!J$12*VLOOKUP($A11,'IDEES okt 2017 template'!$C$165:$AH$169,'IDEES okt 2017 template'!J$162,FALSE),"")*$AR$11</f>
        <v>0</v>
      </c>
      <c r="M11" s="509">
        <f ca="1">IFERROR('All Stock'!K$12*VLOOKUP($A11,'IDEES okt 2017 template'!$C$165:$AH$169,'IDEES okt 2017 template'!K$162,FALSE),"")*$AR$11</f>
        <v>0</v>
      </c>
      <c r="N11" s="509">
        <f ca="1">IFERROR('All Stock'!L$12*VLOOKUP($A11,'IDEES okt 2017 template'!$C$165:$AH$169,'IDEES okt 2017 template'!L$162,FALSE),"")*$AR$11</f>
        <v>4.928434084512463</v>
      </c>
      <c r="O11" s="509">
        <f ca="1">IFERROR('All Stock'!M$12*VLOOKUP($A11,'IDEES okt 2017 template'!$C$165:$AH$169,'IDEES okt 2017 template'!M$162,FALSE),"")*$AR$11</f>
        <v>9.1235977626909346</v>
      </c>
      <c r="P11" s="509">
        <f ca="1">IFERROR('All Stock'!N$12*VLOOKUP($A11,'IDEES okt 2017 template'!$C$165:$AH$169,'IDEES okt 2017 template'!N$162,FALSE),"")*$AR$11</f>
        <v>0</v>
      </c>
      <c r="Q11" s="509">
        <f ca="1">IFERROR('All Stock'!O$12*VLOOKUP($A11,'IDEES okt 2017 template'!$C$165:$AH$169,'IDEES okt 2017 template'!O$162,FALSE),"")*$AR$11</f>
        <v>0</v>
      </c>
      <c r="R11" s="509">
        <f ca="1">IFERROR('All Stock'!P$12*VLOOKUP($A11,'IDEES okt 2017 template'!$C$165:$AH$169,'IDEES okt 2017 template'!P$162,FALSE),"")*$AR$11</f>
        <v>23.653380800816603</v>
      </c>
      <c r="S11" s="509">
        <f ca="1">IFERROR('All Stock'!Q$12*VLOOKUP($A11,'IDEES okt 2017 template'!$C$165:$AH$169,'IDEES okt 2017 template'!Q$162,FALSE),"")*$AR$11</f>
        <v>0</v>
      </c>
      <c r="T11" s="509">
        <f ca="1">IFERROR('All Stock'!R$12*VLOOKUP($A11,'IDEES okt 2017 template'!$C$165:$AH$169,'IDEES okt 2017 template'!R$162,FALSE),"")*$AR$11</f>
        <v>32.235267664391046</v>
      </c>
      <c r="U11" s="509">
        <f ca="1">IFERROR('All Stock'!S$12*VLOOKUP($A11,'IDEES okt 2017 template'!$C$165:$AH$169,'IDEES okt 2017 template'!S$162,FALSE),"")*$AR$11</f>
        <v>0</v>
      </c>
      <c r="V11" s="509">
        <f ca="1">IFERROR('All Stock'!T$12*VLOOKUP($A11,'IDEES okt 2017 template'!$C$165:$AH$169,'IDEES okt 2017 template'!T$162,FALSE),"")*$AR$11</f>
        <v>0</v>
      </c>
      <c r="W11" s="509">
        <f ca="1">IFERROR('All Stock'!U$12*VLOOKUP($A11,'IDEES okt 2017 template'!$C$165:$AH$169,'IDEES okt 2017 template'!U$162,FALSE),"")*$AR$11</f>
        <v>0</v>
      </c>
      <c r="X11" s="509">
        <f ca="1">IFERROR('All Stock'!V$12*VLOOKUP($A11,'IDEES okt 2017 template'!$C$165:$AH$169,'IDEES okt 2017 template'!V$162,FALSE),"")*$AR$11</f>
        <v>23.048837155764346</v>
      </c>
      <c r="Y11" s="509">
        <f ca="1">IFERROR('All Stock'!W$12*VLOOKUP($A11,'IDEES okt 2017 template'!$C$165:$AH$169,'IDEES okt 2017 template'!W$162,FALSE),"")*$AR$11</f>
        <v>0</v>
      </c>
      <c r="Z11" s="509">
        <f ca="1">IFERROR('All Stock'!X$12*VLOOKUP($A11,'IDEES okt 2017 template'!$C$165:$AH$169,'IDEES okt 2017 template'!X$162,FALSE),"")*$AR$11</f>
        <v>36.846016401159012</v>
      </c>
      <c r="AA11" s="509">
        <f ca="1">IFERROR('All Stock'!Y$12*VLOOKUP($A11,'IDEES okt 2017 template'!$C$165:$AH$169,'IDEES okt 2017 template'!Y$162,FALSE),"")*$AR$11</f>
        <v>0</v>
      </c>
      <c r="AB11" s="509">
        <f ca="1">IFERROR('All Stock'!Z$12*VLOOKUP($A11,'IDEES okt 2017 template'!$C$165:$AH$169,'IDEES okt 2017 template'!Z$162,FALSE),"")*$AR$11</f>
        <v>0</v>
      </c>
      <c r="AC11" s="509">
        <f ca="1">IFERROR('All Stock'!AA$12*VLOOKUP($A11,'IDEES okt 2017 template'!$C$165:$AH$169,'IDEES okt 2017 template'!AA$162,FALSE),"")*$AR$11</f>
        <v>0</v>
      </c>
      <c r="AD11" s="509">
        <f ca="1">IFERROR('All Stock'!AB$12*VLOOKUP($A11,'IDEES okt 2017 template'!$C$165:$AH$169,'IDEES okt 2017 template'!AB$162,FALSE),"")*$AR$11</f>
        <v>70.950052220623746</v>
      </c>
      <c r="AE11" s="509">
        <f ca="1">IFERROR('All Stock'!AC$12*VLOOKUP($A11,'IDEES okt 2017 template'!$C$165:$AH$169,'IDEES okt 2017 template'!AC$162,FALSE),"")*$AR$11</f>
        <v>74.305907379296528</v>
      </c>
      <c r="AF11" s="509">
        <f ca="1">IFERROR('All Stock'!AD$12*VLOOKUP($A11,'IDEES okt 2017 template'!$C$165:$AH$169,'IDEES okt 2017 template'!AD$162,FALSE),"")*$AR$11</f>
        <v>570.46456028194723</v>
      </c>
      <c r="AG11" s="509">
        <f ca="1">IFERROR('All Stock'!AE$12*VLOOKUP($A11,'IDEES okt 2017 template'!$C$165:$AH$169,'IDEES okt 2017 template'!AE$162,FALSE),"")*$AR$11</f>
        <v>0</v>
      </c>
      <c r="AH11" s="509">
        <f ca="1">IFERROR('All Stock'!AF$12*VLOOKUP($A11,'IDEES okt 2017 template'!$C$165:$AH$169,'IDEES okt 2017 template'!AF$162,FALSE),"")*$AR$11</f>
        <v>18.045425374139874</v>
      </c>
      <c r="AI11" s="509">
        <f ca="1">IFERROR('All Stock'!AG$12*VLOOKUP($A11,'IDEES okt 2017 template'!$C$165:$AH$169,'IDEES okt 2017 template'!AG$162,FALSE),"")*$AR$11</f>
        <v>0</v>
      </c>
      <c r="AJ11" s="509">
        <f ca="1">IFERROR('All Stock'!AH$12*VLOOKUP($A11,'IDEES okt 2017 template'!$C$165:$AH$169,'IDEES okt 2017 template'!AH$162,FALSE),"")*$AR$11</f>
        <v>0</v>
      </c>
      <c r="AK11" s="509">
        <f ca="1">IFERROR('All Stock'!AI$12*VLOOKUP($A11,'IDEES okt 2017 template'!$C$165:$AN$169,'IDEES okt 2017 template'!AI$162,FALSE),"")*$AR$11</f>
        <v>4.1553181748831358</v>
      </c>
      <c r="AL11" s="509">
        <f ca="1">IFERROR('All Stock'!AJ$12*VLOOKUP($A11,'IDEES okt 2017 template'!$C$165:$AN$169,'IDEES okt 2017 template'!AJ$162,FALSE),"")*$AR$11</f>
        <v>0</v>
      </c>
      <c r="AM11" s="509">
        <f ca="1">IFERROR('All Stock'!AK$12*VLOOKUP($A11,'IDEES okt 2017 template'!$C$165:$AN$169,'IDEES okt 2017 template'!AK$162,FALSE),"")*$AR$11</f>
        <v>6.3035414443031348</v>
      </c>
      <c r="AN11" s="509">
        <f ca="1">IFERROR('All Stock'!AL$12*VLOOKUP($A11,'IDEES okt 2017 template'!$C$165:$AN$169,'IDEES okt 2017 template'!AL$162,FALSE),"")*$AR$11</f>
        <v>0</v>
      </c>
      <c r="AO11" s="509">
        <f ca="1">IFERROR('All Stock'!AM$12*VLOOKUP($A11,'IDEES okt 2017 template'!$C$165:$AN$169,'IDEES okt 2017 template'!AM$162,FALSE),"")*$AR$11</f>
        <v>0</v>
      </c>
      <c r="AP11" s="509">
        <f ca="1">IFERROR('All Stock'!AN$12*VLOOKUP($A11,'IDEES okt 2017 template'!$C$165:$AN$169,'IDEES okt 2017 template'!AN$162,FALSE),"")*$AR$11</f>
        <v>0</v>
      </c>
      <c r="AQ11" s="509"/>
      <c r="AR11" s="467">
        <v>1</v>
      </c>
      <c r="AS11" t="str">
        <f t="shared" si="0"/>
        <v>Biomass and wastes</v>
      </c>
      <c r="AT11" s="509"/>
    </row>
    <row r="12" spans="1:46">
      <c r="A12" t="str">
        <f t="shared" si="2"/>
        <v>Solids</v>
      </c>
      <c r="C12" t="str">
        <f>TechComm!L83</f>
        <v>R_ES-CK-DH_COA</v>
      </c>
      <c r="D12" t="str">
        <f t="shared" si="3"/>
        <v>RSDCOA</v>
      </c>
      <c r="E12" t="str">
        <f t="shared" si="4"/>
        <v>R_ES-DH-Cook</v>
      </c>
      <c r="F12" s="509">
        <f ca="1">IFERROR('All Stock'!D$12*VLOOKUP($A12,'IDEES okt 2017 template'!$C$165:$AH$169,'IDEES okt 2017 template'!D$162,FALSE),"")*$AR$12</f>
        <v>0.94618486538049285</v>
      </c>
      <c r="G12" s="509">
        <f ca="1">IFERROR('All Stock'!E$12*VLOOKUP($A12,'IDEES okt 2017 template'!$C$165:$AH$169,'IDEES okt 2017 template'!E$162,FALSE),"")*$AR$12</f>
        <v>0</v>
      </c>
      <c r="H12" s="509">
        <f ca="1">IFERROR('All Stock'!F$12*VLOOKUP($A12,'IDEES okt 2017 template'!$C$165:$AH$169,'IDEES okt 2017 template'!F$162,FALSE),"")*$AR$12</f>
        <v>12.589586217192519</v>
      </c>
      <c r="I12" s="509">
        <f ca="1">IFERROR('All Stock'!G$12*VLOOKUP($A12,'IDEES okt 2017 template'!$C$165:$AH$169,'IDEES okt 2017 template'!G$162,FALSE),"")*$AR$12</f>
        <v>0</v>
      </c>
      <c r="J12" s="509">
        <f ca="1">IFERROR('All Stock'!H$12*VLOOKUP($A12,'IDEES okt 2017 template'!$C$165:$AH$169,'IDEES okt 2017 template'!H$162,FALSE),"")*$AR$12</f>
        <v>0</v>
      </c>
      <c r="K12" s="509">
        <f ca="1">IFERROR('All Stock'!I$12*VLOOKUP($A12,'IDEES okt 2017 template'!$C$165:$AH$169,'IDEES okt 2017 template'!I$162,FALSE),"")*$AR$12</f>
        <v>0</v>
      </c>
      <c r="L12" s="509">
        <f ca="1">IFERROR('All Stock'!J$12*VLOOKUP($A12,'IDEES okt 2017 template'!$C$165:$AH$169,'IDEES okt 2017 template'!J$162,FALSE),"")*$AR$12</f>
        <v>0</v>
      </c>
      <c r="M12" s="509">
        <f ca="1">IFERROR('All Stock'!K$12*VLOOKUP($A12,'IDEES okt 2017 template'!$C$165:$AH$169,'IDEES okt 2017 template'!K$162,FALSE),"")*$AR$12</f>
        <v>0</v>
      </c>
      <c r="N12" s="509">
        <f ca="1">IFERROR('All Stock'!L$12*VLOOKUP($A12,'IDEES okt 2017 template'!$C$165:$AH$169,'IDEES okt 2017 template'!L$162,FALSE),"")*$AR$12</f>
        <v>0</v>
      </c>
      <c r="O12" s="509">
        <f ca="1">IFERROR('All Stock'!M$12*VLOOKUP($A12,'IDEES okt 2017 template'!$C$165:$AH$169,'IDEES okt 2017 template'!M$162,FALSE),"")*$AR$12</f>
        <v>4.5972401601128565</v>
      </c>
      <c r="P12" s="509">
        <f ca="1">IFERROR('All Stock'!N$12*VLOOKUP($A12,'IDEES okt 2017 template'!$C$165:$AH$169,'IDEES okt 2017 template'!N$162,FALSE),"")*$AR$12</f>
        <v>0</v>
      </c>
      <c r="Q12" s="509">
        <f ca="1">IFERROR('All Stock'!O$12*VLOOKUP($A12,'IDEES okt 2017 template'!$C$165:$AH$169,'IDEES okt 2017 template'!O$162,FALSE),"")*$AR$12</f>
        <v>0</v>
      </c>
      <c r="R12" s="509">
        <f ca="1">IFERROR('All Stock'!P$12*VLOOKUP($A12,'IDEES okt 2017 template'!$C$165:$AH$169,'IDEES okt 2017 template'!P$162,FALSE),"")*$AR$12</f>
        <v>0</v>
      </c>
      <c r="S12" s="509">
        <f ca="1">IFERROR('All Stock'!Q$12*VLOOKUP($A12,'IDEES okt 2017 template'!$C$165:$AH$169,'IDEES okt 2017 template'!Q$162,FALSE),"")*$AR$12</f>
        <v>0</v>
      </c>
      <c r="T12" s="509">
        <f ca="1">IFERROR('All Stock'!R$12*VLOOKUP($A12,'IDEES okt 2017 template'!$C$165:$AH$169,'IDEES okt 2017 template'!R$162,FALSE),"")*$AR$12</f>
        <v>1.5088848693970274</v>
      </c>
      <c r="U12" s="509">
        <f ca="1">IFERROR('All Stock'!S$12*VLOOKUP($A12,'IDEES okt 2017 template'!$C$165:$AH$169,'IDEES okt 2017 template'!S$162,FALSE),"")*$AR$12</f>
        <v>0</v>
      </c>
      <c r="V12" s="509">
        <f ca="1">IFERROR('All Stock'!T$12*VLOOKUP($A12,'IDEES okt 2017 template'!$C$165:$AH$169,'IDEES okt 2017 template'!T$162,FALSE),"")*$AR$12</f>
        <v>0</v>
      </c>
      <c r="W12" s="509">
        <f ca="1">IFERROR('All Stock'!U$12*VLOOKUP($A12,'IDEES okt 2017 template'!$C$165:$AH$169,'IDEES okt 2017 template'!U$162,FALSE),"")*$AR$12</f>
        <v>0</v>
      </c>
      <c r="X12" s="509">
        <f ca="1">IFERROR('All Stock'!V$12*VLOOKUP($A12,'IDEES okt 2017 template'!$C$165:$AH$169,'IDEES okt 2017 template'!V$162,FALSE),"")*$AR$12</f>
        <v>0</v>
      </c>
      <c r="Y12" s="509">
        <f ca="1">IFERROR('All Stock'!W$12*VLOOKUP($A12,'IDEES okt 2017 template'!$C$165:$AH$169,'IDEES okt 2017 template'!W$162,FALSE),"")*$AR$12</f>
        <v>0</v>
      </c>
      <c r="Z12" s="509">
        <f ca="1">IFERROR('All Stock'!X$12*VLOOKUP($A12,'IDEES okt 2017 template'!$C$165:$AH$169,'IDEES okt 2017 template'!X$162,FALSE),"")*$AR$12</f>
        <v>0</v>
      </c>
      <c r="AA12" s="509">
        <f ca="1">IFERROR('All Stock'!Y$12*VLOOKUP($A12,'IDEES okt 2017 template'!$C$165:$AH$169,'IDEES okt 2017 template'!Y$162,FALSE),"")*$AR$12</f>
        <v>0</v>
      </c>
      <c r="AB12" s="509">
        <f ca="1">IFERROR('All Stock'!Z$12*VLOOKUP($A12,'IDEES okt 2017 template'!$C$165:$AH$169,'IDEES okt 2017 template'!Z$162,FALSE),"")*$AR$12</f>
        <v>0</v>
      </c>
      <c r="AC12" s="509">
        <f ca="1">IFERROR('All Stock'!AA$12*VLOOKUP($A12,'IDEES okt 2017 template'!$C$165:$AH$169,'IDEES okt 2017 template'!AA$162,FALSE),"")*$AR$12</f>
        <v>0</v>
      </c>
      <c r="AD12" s="509">
        <f ca="1">IFERROR('All Stock'!AB$12*VLOOKUP($A12,'IDEES okt 2017 template'!$C$165:$AH$169,'IDEES okt 2017 template'!AB$162,FALSE),"")*$AR$12</f>
        <v>216.59257699878322</v>
      </c>
      <c r="AE12" s="509">
        <f ca="1">IFERROR('All Stock'!AC$12*VLOOKUP($A12,'IDEES okt 2017 template'!$C$165:$AH$169,'IDEES okt 2017 template'!AC$162,FALSE),"")*$AR$12</f>
        <v>0</v>
      </c>
      <c r="AF12" s="509">
        <f ca="1">IFERROR('All Stock'!AD$12*VLOOKUP($A12,'IDEES okt 2017 template'!$C$165:$AH$169,'IDEES okt 2017 template'!AD$162,FALSE),"")*$AR$12</f>
        <v>0</v>
      </c>
      <c r="AG12" s="509">
        <f ca="1">IFERROR('All Stock'!AE$12*VLOOKUP($A12,'IDEES okt 2017 template'!$C$165:$AH$169,'IDEES okt 2017 template'!AE$162,FALSE),"")*$AR$12</f>
        <v>0</v>
      </c>
      <c r="AH12" s="509">
        <f ca="1">IFERROR('All Stock'!AF$12*VLOOKUP($A12,'IDEES okt 2017 template'!$C$165:$AH$169,'IDEES okt 2017 template'!AF$162,FALSE),"")*$AR$12</f>
        <v>0</v>
      </c>
      <c r="AI12" s="509">
        <f ca="1">IFERROR('All Stock'!AG$12*VLOOKUP($A12,'IDEES okt 2017 template'!$C$165:$AH$169,'IDEES okt 2017 template'!AG$162,FALSE),"")*$AR$12</f>
        <v>0</v>
      </c>
      <c r="AJ12" s="509">
        <f ca="1">IFERROR('All Stock'!AH$12*VLOOKUP($A12,'IDEES okt 2017 template'!$C$165:$AH$169,'IDEES okt 2017 template'!AH$162,FALSE),"")*$AR$12</f>
        <v>0</v>
      </c>
      <c r="AK12" s="509">
        <f ca="1">IFERROR('All Stock'!AI$12*VLOOKUP($A12,'IDEES okt 2017 template'!$C$165:$AN$169,'IDEES okt 2017 template'!AI$162,FALSE),"")*$AR$12</f>
        <v>0</v>
      </c>
      <c r="AL12" s="509">
        <f ca="1">IFERROR('All Stock'!AJ$12*VLOOKUP($A12,'IDEES okt 2017 template'!$C$165:$AN$169,'IDEES okt 2017 template'!AJ$162,FALSE),"")*$AR$12</f>
        <v>0</v>
      </c>
      <c r="AM12" s="509">
        <f ca="1">IFERROR('All Stock'!AK$12*VLOOKUP($A12,'IDEES okt 2017 template'!$C$165:$AN$169,'IDEES okt 2017 template'!AK$162,FALSE),"")*$AR$12</f>
        <v>0</v>
      </c>
      <c r="AN12" s="509">
        <f ca="1">IFERROR('All Stock'!AL$12*VLOOKUP($A12,'IDEES okt 2017 template'!$C$165:$AN$169,'IDEES okt 2017 template'!AL$162,FALSE),"")*$AR$12</f>
        <v>0</v>
      </c>
      <c r="AO12" s="509">
        <f ca="1">IFERROR('All Stock'!AM$12*VLOOKUP($A12,'IDEES okt 2017 template'!$C$165:$AN$169,'IDEES okt 2017 template'!AM$162,FALSE),"")*$AR$12</f>
        <v>0</v>
      </c>
      <c r="AP12" s="509">
        <f ca="1">IFERROR('All Stock'!AN$12*VLOOKUP($A12,'IDEES okt 2017 template'!$C$165:$AN$169,'IDEES okt 2017 template'!AN$162,FALSE),"")*$AR$12</f>
        <v>0</v>
      </c>
      <c r="AQ12" s="509"/>
      <c r="AR12" s="467">
        <v>1</v>
      </c>
      <c r="AS12" t="str">
        <f t="shared" si="0"/>
        <v>Solids</v>
      </c>
      <c r="AT12" s="509"/>
    </row>
    <row r="13" spans="1:46">
      <c r="A13" t="str">
        <f t="shared" si="2"/>
        <v>LPG</v>
      </c>
      <c r="C13" t="str">
        <f>TechComm!L84</f>
        <v>R_ES-CK-DH_LPG</v>
      </c>
      <c r="D13" t="str">
        <f t="shared" si="3"/>
        <v>RSDLPG</v>
      </c>
      <c r="E13" t="str">
        <f t="shared" si="4"/>
        <v>R_ES-DH-Cook</v>
      </c>
      <c r="F13" s="509">
        <f ca="1">IFERROR('All Stock'!D$12*VLOOKUP($A13,'IDEES okt 2017 template'!$C$165:$AH$169,'IDEES okt 2017 template'!D$162,FALSE),"")*$AR$13</f>
        <v>33.589562721007496</v>
      </c>
      <c r="G13" s="509">
        <f ca="1">IFERROR('All Stock'!E$12*VLOOKUP($A13,'IDEES okt 2017 template'!$C$165:$AH$169,'IDEES okt 2017 template'!E$162,FALSE),"")*$AR$13</f>
        <v>37.496103258742409</v>
      </c>
      <c r="H13" s="509">
        <f ca="1">IFERROR('All Stock'!F$12*VLOOKUP($A13,'IDEES okt 2017 template'!$C$165:$AH$169,'IDEES okt 2017 template'!F$162,FALSE),"")*$AR$13</f>
        <v>34.00823289839019</v>
      </c>
      <c r="I13" s="509">
        <f ca="1">IFERROR('All Stock'!G$12*VLOOKUP($A13,'IDEES okt 2017 template'!$C$165:$AH$169,'IDEES okt 2017 template'!G$162,FALSE),"")*$AR$13</f>
        <v>0</v>
      </c>
      <c r="J13" s="509">
        <f ca="1">IFERROR('All Stock'!H$12*VLOOKUP($A13,'IDEES okt 2017 template'!$C$165:$AH$169,'IDEES okt 2017 template'!H$162,FALSE),"")*$AR$13</f>
        <v>63.852569398825487</v>
      </c>
      <c r="K13" s="509">
        <f ca="1">IFERROR('All Stock'!I$12*VLOOKUP($A13,'IDEES okt 2017 template'!$C$165:$AH$169,'IDEES okt 2017 template'!I$162,FALSE),"")*$AR$13</f>
        <v>3.5599944405060158</v>
      </c>
      <c r="L13" s="509">
        <f ca="1">IFERROR('All Stock'!J$12*VLOOKUP($A13,'IDEES okt 2017 template'!$C$165:$AH$169,'IDEES okt 2017 template'!J$162,FALSE),"")*$AR$13</f>
        <v>569.18276914257456</v>
      </c>
      <c r="M13" s="509">
        <f ca="1">IFERROR('All Stock'!K$12*VLOOKUP($A13,'IDEES okt 2017 template'!$C$165:$AH$169,'IDEES okt 2017 template'!K$162,FALSE),"")*$AR$13</f>
        <v>31.31887319768795</v>
      </c>
      <c r="N13" s="509">
        <f ca="1">IFERROR('All Stock'!L$12*VLOOKUP($A13,'IDEES okt 2017 template'!$C$165:$AH$169,'IDEES okt 2017 template'!L$162,FALSE),"")*$AR$13</f>
        <v>3.449903859158725</v>
      </c>
      <c r="O13" s="509">
        <f ca="1">IFERROR('All Stock'!M$12*VLOOKUP($A13,'IDEES okt 2017 template'!$C$165:$AH$169,'IDEES okt 2017 template'!M$162,FALSE),"")*$AR$13</f>
        <v>129.82646716477299</v>
      </c>
      <c r="P13" s="509">
        <f ca="1">IFERROR('All Stock'!N$12*VLOOKUP($A13,'IDEES okt 2017 template'!$C$165:$AH$169,'IDEES okt 2017 template'!N$162,FALSE),"")*$AR$13</f>
        <v>7.8232972889868311</v>
      </c>
      <c r="Q13" s="509">
        <f ca="1">IFERROR('All Stock'!O$12*VLOOKUP($A13,'IDEES okt 2017 template'!$C$165:$AH$169,'IDEES okt 2017 template'!O$162,FALSE),"")*$AR$13</f>
        <v>713.63662787667158</v>
      </c>
      <c r="R13" s="509">
        <f ca="1">IFERROR('All Stock'!P$12*VLOOKUP($A13,'IDEES okt 2017 template'!$C$165:$AH$169,'IDEES okt 2017 template'!P$162,FALSE),"")*$AR$13</f>
        <v>21.557268193264559</v>
      </c>
      <c r="S13" s="509">
        <f ca="1">IFERROR('All Stock'!Q$12*VLOOKUP($A13,'IDEES okt 2017 template'!$C$165:$AH$169,'IDEES okt 2017 template'!Q$162,FALSE),"")*$AR$13</f>
        <v>96.540564678557857</v>
      </c>
      <c r="T13" s="509">
        <f ca="1">IFERROR('All Stock'!R$12*VLOOKUP($A13,'IDEES okt 2017 template'!$C$165:$AH$169,'IDEES okt 2017 template'!R$162,FALSE),"")*$AR$13</f>
        <v>166.18309266131808</v>
      </c>
      <c r="U13" s="509">
        <f ca="1">IFERROR('All Stock'!S$12*VLOOKUP($A13,'IDEES okt 2017 template'!$C$165:$AH$169,'IDEES okt 2017 template'!S$162,FALSE),"")*$AR$13</f>
        <v>38.749538969813742</v>
      </c>
      <c r="V13" s="509">
        <f ca="1">IFERROR('All Stock'!T$12*VLOOKUP($A13,'IDEES okt 2017 template'!$C$165:$AH$169,'IDEES okt 2017 template'!T$162,FALSE),"")*$AR$13</f>
        <v>0.89598820740234231</v>
      </c>
      <c r="W13" s="509">
        <f ca="1">IFERROR('All Stock'!U$12*VLOOKUP($A13,'IDEES okt 2017 template'!$C$165:$AH$169,'IDEES okt 2017 template'!U$162,FALSE),"")*$AR$13</f>
        <v>330.20999566132929</v>
      </c>
      <c r="X13" s="509">
        <f ca="1">IFERROR('All Stock'!V$12*VLOOKUP($A13,'IDEES okt 2017 template'!$C$165:$AH$169,'IDEES okt 2017 template'!V$162,FALSE),"")*$AR$13</f>
        <v>39.859500459177703</v>
      </c>
      <c r="Y13" s="509">
        <f ca="1">IFERROR('All Stock'!W$12*VLOOKUP($A13,'IDEES okt 2017 template'!$C$165:$AH$169,'IDEES okt 2017 template'!W$162,FALSE),"")*$AR$13</f>
        <v>2.2936526824104981</v>
      </c>
      <c r="Z13" s="509">
        <f ca="1">IFERROR('All Stock'!X$12*VLOOKUP($A13,'IDEES okt 2017 template'!$C$165:$AH$169,'IDEES okt 2017 template'!X$162,FALSE),"")*$AR$13</f>
        <v>32.055046440150406</v>
      </c>
      <c r="AA13" s="509">
        <f ca="1">IFERROR('All Stock'!Y$12*VLOOKUP($A13,'IDEES okt 2017 template'!$C$165:$AH$169,'IDEES okt 2017 template'!Y$162,FALSE),"")*$AR$13</f>
        <v>1.9841692908211663</v>
      </c>
      <c r="AB13" s="509">
        <f ca="1">IFERROR('All Stock'!Z$12*VLOOKUP($A13,'IDEES okt 2017 template'!$C$165:$AH$169,'IDEES okt 2017 template'!Z$162,FALSE),"")*$AR$13</f>
        <v>13.882497635940716</v>
      </c>
      <c r="AC13" s="509">
        <f ca="1">IFERROR('All Stock'!AA$12*VLOOKUP($A13,'IDEES okt 2017 template'!$C$165:$AH$169,'IDEES okt 2017 template'!AA$162,FALSE),"")*$AR$13</f>
        <v>2.7171698150475909</v>
      </c>
      <c r="AD13" s="509">
        <f ca="1">IFERROR('All Stock'!AB$12*VLOOKUP($A13,'IDEES okt 2017 template'!$C$165:$AH$169,'IDEES okt 2017 template'!AB$162,FALSE),"")*$AR$13</f>
        <v>655.04050959513222</v>
      </c>
      <c r="AE13" s="509">
        <f ca="1">IFERROR('All Stock'!AC$12*VLOOKUP($A13,'IDEES okt 2017 template'!$C$165:$AH$169,'IDEES okt 2017 template'!AC$162,FALSE),"")*$AR$13</f>
        <v>125.38800032473112</v>
      </c>
      <c r="AF13" s="509">
        <f ca="1">IFERROR('All Stock'!AD$12*VLOOKUP($A13,'IDEES okt 2017 template'!$C$165:$AH$169,'IDEES okt 2017 template'!AD$162,FALSE),"")*$AR$13</f>
        <v>577.32260417604732</v>
      </c>
      <c r="AG13" s="509">
        <f ca="1">IFERROR('All Stock'!AE$12*VLOOKUP($A13,'IDEES okt 2017 template'!$C$165:$AH$169,'IDEES okt 2017 template'!AE$162,FALSE),"")*$AR$13</f>
        <v>0</v>
      </c>
      <c r="AH13" s="509">
        <f ca="1">IFERROR('All Stock'!AF$12*VLOOKUP($A13,'IDEES okt 2017 template'!$C$165:$AH$169,'IDEES okt 2017 template'!AF$162,FALSE),"")*$AR$13</f>
        <v>44.073411570620443</v>
      </c>
      <c r="AI13" s="509">
        <f ca="1">IFERROR('All Stock'!AG$12*VLOOKUP($A13,'IDEES okt 2017 template'!$C$165:$AH$169,'IDEES okt 2017 template'!AG$162,FALSE),"")*$AR$13</f>
        <v>15.656921289711532</v>
      </c>
      <c r="AJ13" s="509">
        <f ca="1">IFERROR('All Stock'!AH$12*VLOOKUP($A13,'IDEES okt 2017 template'!$C$165:$AH$169,'IDEES okt 2017 template'!AH$162,FALSE),"")*$AR$13</f>
        <v>118.875353530306</v>
      </c>
      <c r="AK13" s="509">
        <f ca="1">IFERROR('All Stock'!AI$12*VLOOKUP($A13,'IDEES okt 2017 template'!$C$165:$AN$169,'IDEES okt 2017 template'!AI$162,FALSE),"")*$AR$13</f>
        <v>20.344046255571921</v>
      </c>
      <c r="AL13" s="509">
        <f ca="1">IFERROR('All Stock'!AJ$12*VLOOKUP($A13,'IDEES okt 2017 template'!$C$165:$AN$169,'IDEES okt 2017 template'!AJ$162,FALSE),"")*$AR$13</f>
        <v>0</v>
      </c>
      <c r="AM13" s="509">
        <f ca="1">IFERROR('All Stock'!AK$12*VLOOKUP($A13,'IDEES okt 2017 template'!$C$165:$AN$169,'IDEES okt 2017 template'!AK$162,FALSE),"")*$AR$13</f>
        <v>0</v>
      </c>
      <c r="AN13" s="509">
        <f ca="1">IFERROR('All Stock'!AL$12*VLOOKUP($A13,'IDEES okt 2017 template'!$C$165:$AN$169,'IDEES okt 2017 template'!AL$162,FALSE),"")*$AR$13</f>
        <v>5.045409842755749</v>
      </c>
      <c r="AO13" s="509">
        <f ca="1">IFERROR('All Stock'!AM$12*VLOOKUP($A13,'IDEES okt 2017 template'!$C$165:$AN$169,'IDEES okt 2017 template'!AM$162,FALSE),"")*$AR$13</f>
        <v>18.889791063431186</v>
      </c>
      <c r="AP13" s="509">
        <f ca="1">IFERROR('All Stock'!AN$12*VLOOKUP($A13,'IDEES okt 2017 template'!$C$165:$AN$169,'IDEES okt 2017 template'!AN$162,FALSE),"")*$AR$13</f>
        <v>8.7457412557265801</v>
      </c>
      <c r="AQ13" s="509"/>
      <c r="AR13" s="467">
        <v>1</v>
      </c>
      <c r="AS13" t="str">
        <f t="shared" si="0"/>
        <v>LPG</v>
      </c>
      <c r="AT13" s="509"/>
    </row>
    <row r="14" spans="1:46">
      <c r="A14" t="str">
        <f t="shared" si="2"/>
        <v>Electricity</v>
      </c>
      <c r="C14" t="str">
        <f>TechComm!L85</f>
        <v>R_ES-CK-SD_ELC</v>
      </c>
      <c r="D14" t="str">
        <f t="shared" si="3"/>
        <v>RSDELC-other</v>
      </c>
      <c r="E14" t="str">
        <f>TechComm!C15</f>
        <v>R_ES-SD-Cook</v>
      </c>
      <c r="F14" s="509">
        <f ca="1">IFERROR('All Stock'!D$15*VLOOKUP($A14,'IDEES okt 2017 template'!$C$165:$AH$169,'IDEES okt 2017 template'!D$162,FALSE),"")*$AR$14</f>
        <v>409.07610324336332</v>
      </c>
      <c r="G14" s="509">
        <f ca="1">IFERROR('All Stock'!E$15*VLOOKUP($A14,'IDEES okt 2017 template'!$C$165:$AH$169,'IDEES okt 2017 template'!E$162,FALSE),"")*$AR$14</f>
        <v>1165.9176658279853</v>
      </c>
      <c r="H14" s="509">
        <f ca="1">IFERROR('All Stock'!F$15*VLOOKUP($A14,'IDEES okt 2017 template'!$C$165:$AH$169,'IDEES okt 2017 template'!F$162,FALSE),"")*$AR$14</f>
        <v>293.3023482947363</v>
      </c>
      <c r="I14" s="509">
        <f ca="1">IFERROR('All Stock'!G$15*VLOOKUP($A14,'IDEES okt 2017 template'!$C$165:$AH$169,'IDEES okt 2017 template'!G$162,FALSE),"")*$AR$14</f>
        <v>937.6997169966445</v>
      </c>
      <c r="J14" s="509">
        <f ca="1">IFERROR('All Stock'!H$15*VLOOKUP($A14,'IDEES okt 2017 template'!$C$165:$AH$169,'IDEES okt 2017 template'!H$162,FALSE),"")*$AR$14</f>
        <v>42.941556409426674</v>
      </c>
      <c r="K14" s="509">
        <f ca="1">IFERROR('All Stock'!I$15*VLOOKUP($A14,'IDEES okt 2017 template'!$C$165:$AH$169,'IDEES okt 2017 template'!I$162,FALSE),"")*$AR$14</f>
        <v>474.97311846945848</v>
      </c>
      <c r="L14" s="509">
        <f ca="1">IFERROR('All Stock'!J$15*VLOOKUP($A14,'IDEES okt 2017 template'!$C$165:$AH$169,'IDEES okt 2017 template'!J$162,FALSE),"")*$AR$14</f>
        <v>7375.0481363430936</v>
      </c>
      <c r="M14" s="509">
        <f ca="1">IFERROR('All Stock'!K$15*VLOOKUP($A14,'IDEES okt 2017 template'!$C$165:$AH$169,'IDEES okt 2017 template'!K$162,FALSE),"")*$AR$14</f>
        <v>499.37859450135119</v>
      </c>
      <c r="N14" s="509">
        <f ca="1">IFERROR('All Stock'!L$15*VLOOKUP($A14,'IDEES okt 2017 template'!$C$165:$AH$169,'IDEES okt 2017 template'!L$162,FALSE),"")*$AR$14</f>
        <v>46.595027890778177</v>
      </c>
      <c r="O14" s="509">
        <f ca="1">IFERROR('All Stock'!M$15*VLOOKUP($A14,'IDEES okt 2017 template'!$C$165:$AH$169,'IDEES okt 2017 template'!M$162,FALSE),"")*$AR$14</f>
        <v>1259.6148030766365</v>
      </c>
      <c r="P14" s="509">
        <f ca="1">IFERROR('All Stock'!N$15*VLOOKUP($A14,'IDEES okt 2017 template'!$C$165:$AH$169,'IDEES okt 2017 template'!N$162,FALSE),"")*$AR$14</f>
        <v>591.07646943366194</v>
      </c>
      <c r="Q14" s="509">
        <f ca="1">IFERROR('All Stock'!O$15*VLOOKUP($A14,'IDEES okt 2017 template'!$C$165:$AH$169,'IDEES okt 2017 template'!O$162,FALSE),"")*$AR$14</f>
        <v>4253.0440368798836</v>
      </c>
      <c r="R14" s="509">
        <f ca="1">IFERROR('All Stock'!P$15*VLOOKUP($A14,'IDEES okt 2017 template'!$C$165:$AH$169,'IDEES okt 2017 template'!P$162,FALSE),"")*$AR$14</f>
        <v>377.67175737787107</v>
      </c>
      <c r="S14" s="509">
        <f ca="1">IFERROR('All Stock'!Q$15*VLOOKUP($A14,'IDEES okt 2017 template'!$C$165:$AH$169,'IDEES okt 2017 template'!Q$162,FALSE),"")*$AR$14</f>
        <v>163.38903141552765</v>
      </c>
      <c r="T14" s="509">
        <f ca="1">IFERROR('All Stock'!R$15*VLOOKUP($A14,'IDEES okt 2017 template'!$C$165:$AH$169,'IDEES okt 2017 template'!R$162,FALSE),"")*$AR$14</f>
        <v>276.96420047154334</v>
      </c>
      <c r="U14" s="509">
        <f ca="1">IFERROR('All Stock'!S$15*VLOOKUP($A14,'IDEES okt 2017 template'!$C$165:$AH$169,'IDEES okt 2017 template'!S$162,FALSE),"")*$AR$14</f>
        <v>532.08246629450696</v>
      </c>
      <c r="V14" s="509">
        <f ca="1">IFERROR('All Stock'!T$15*VLOOKUP($A14,'IDEES okt 2017 template'!$C$165:$AH$169,'IDEES okt 2017 template'!T$162,FALSE),"")*$AR$14</f>
        <v>39.873364043751856</v>
      </c>
      <c r="W14" s="509">
        <f ca="1">IFERROR('All Stock'!U$15*VLOOKUP($A14,'IDEES okt 2017 template'!$C$165:$AH$169,'IDEES okt 2017 template'!U$162,FALSE),"")*$AR$14</f>
        <v>1020.8267723219777</v>
      </c>
      <c r="X14" s="509">
        <f ca="1">IFERROR('All Stock'!V$15*VLOOKUP($A14,'IDEES okt 2017 template'!$C$165:$AH$169,'IDEES okt 2017 template'!V$162,FALSE),"")*$AR$14</f>
        <v>93.714154306781722</v>
      </c>
      <c r="Y14" s="509">
        <f ca="1">IFERROR('All Stock'!W$15*VLOOKUP($A14,'IDEES okt 2017 template'!$C$165:$AH$169,'IDEES okt 2017 template'!W$162,FALSE),"")*$AR$14</f>
        <v>47.902717386838106</v>
      </c>
      <c r="Z14" s="509">
        <f ca="1">IFERROR('All Stock'!X$15*VLOOKUP($A14,'IDEES okt 2017 template'!$C$165:$AH$169,'IDEES okt 2017 template'!X$162,FALSE),"")*$AR$14</f>
        <v>40.693734058037251</v>
      </c>
      <c r="AA14" s="509">
        <f ca="1">IFERROR('All Stock'!Y$15*VLOOKUP($A14,'IDEES okt 2017 template'!$C$165:$AH$169,'IDEES okt 2017 template'!Y$162,FALSE),"")*$AR$14</f>
        <v>20.311429956228036</v>
      </c>
      <c r="AB14" s="509">
        <f ca="1">IFERROR('All Stock'!Z$15*VLOOKUP($A14,'IDEES okt 2017 template'!$C$165:$AH$169,'IDEES okt 2017 template'!Z$162,FALSE),"")*$AR$14</f>
        <v>2171.924807575775</v>
      </c>
      <c r="AC14" s="509">
        <f ca="1">IFERROR('All Stock'!AA$15*VLOOKUP($A14,'IDEES okt 2017 template'!$C$165:$AH$169,'IDEES okt 2017 template'!AA$162,FALSE),"")*$AR$14</f>
        <v>361.95597901925885</v>
      </c>
      <c r="AD14" s="509">
        <f ca="1">IFERROR('All Stock'!AB$15*VLOOKUP($A14,'IDEES okt 2017 template'!$C$165:$AH$169,'IDEES okt 2017 template'!AB$162,FALSE),"")*$AR$14</f>
        <v>755.81129973554732</v>
      </c>
      <c r="AE14" s="509">
        <f ca="1">IFERROR('All Stock'!AC$15*VLOOKUP($A14,'IDEES okt 2017 template'!$C$165:$AH$169,'IDEES okt 2017 template'!AC$162,FALSE),"")*$AR$14</f>
        <v>142.66615501488951</v>
      </c>
      <c r="AF14" s="509">
        <f ca="1">IFERROR('All Stock'!AD$15*VLOOKUP($A14,'IDEES okt 2017 template'!$C$165:$AH$169,'IDEES okt 2017 template'!AD$162,FALSE),"")*$AR$14</f>
        <v>93.603940573542687</v>
      </c>
      <c r="AG14" s="509">
        <f ca="1">IFERROR('All Stock'!AE$15*VLOOKUP($A14,'IDEES okt 2017 template'!$C$165:$AH$169,'IDEES okt 2017 template'!AE$162,FALSE),"")*$AR$14</f>
        <v>561.74121561180243</v>
      </c>
      <c r="AH14" s="509">
        <f ca="1">IFERROR('All Stock'!AF$15*VLOOKUP($A14,'IDEES okt 2017 template'!$C$165:$AH$169,'IDEES okt 2017 template'!AF$162,FALSE),"")*$AR$14</f>
        <v>38.712695936747707</v>
      </c>
      <c r="AI14" s="509">
        <f ca="1">IFERROR('All Stock'!AG$15*VLOOKUP($A14,'IDEES okt 2017 template'!$C$165:$AH$169,'IDEES okt 2017 template'!AG$162,FALSE),"")*$AR$14</f>
        <v>83.843682699288081</v>
      </c>
      <c r="AJ14" s="509">
        <f ca="1">IFERROR('All Stock'!AH$15*VLOOKUP($A14,'IDEES okt 2017 template'!$C$165:$AH$169,'IDEES okt 2017 template'!AH$162,FALSE),"")*$AR$14</f>
        <v>7603.3413719786986</v>
      </c>
      <c r="AK14" s="509">
        <f ca="1">IFERROR('All Stock'!AI$15*VLOOKUP($A14,'IDEES okt 2017 template'!$C$165:$AN$169,'IDEES okt 2017 template'!AI$162,FALSE),"")*$AR$14</f>
        <v>34.415054210979939</v>
      </c>
      <c r="AL14" s="509">
        <f ca="1">IFERROR('All Stock'!AJ$15*VLOOKUP($A14,'IDEES okt 2017 template'!$C$165:$AN$169,'IDEES okt 2017 template'!AJ$162,FALSE),"")*$AR$14</f>
        <v>78.425657190803321</v>
      </c>
      <c r="AM14" s="509">
        <f ca="1">IFERROR('All Stock'!AK$15*VLOOKUP($A14,'IDEES okt 2017 template'!$C$165:$AN$169,'IDEES okt 2017 template'!AK$162,FALSE),"")*$AR$14</f>
        <v>20.622953377123185</v>
      </c>
      <c r="AN14" s="509">
        <f ca="1">IFERROR('All Stock'!AL$15*VLOOKUP($A14,'IDEES okt 2017 template'!$C$165:$AN$169,'IDEES okt 2017 template'!AL$162,FALSE),"")*$AR$14</f>
        <v>60.546038166555242</v>
      </c>
      <c r="AO14" s="509">
        <f ca="1">IFERROR('All Stock'!AM$15*VLOOKUP($A14,'IDEES okt 2017 template'!$C$165:$AN$169,'IDEES okt 2017 template'!AM$162,FALSE),"")*$AR$14</f>
        <v>222.91284960028381</v>
      </c>
      <c r="AP14" s="509">
        <f ca="1">IFERROR('All Stock'!AN$15*VLOOKUP($A14,'IDEES okt 2017 template'!$C$165:$AN$169,'IDEES okt 2017 template'!AN$162,FALSE),"")*$AR$14</f>
        <v>43.869419354476413</v>
      </c>
      <c r="AQ14" s="509"/>
      <c r="AR14" s="467">
        <v>1</v>
      </c>
      <c r="AS14" t="str">
        <f t="shared" si="0"/>
        <v>Electricity</v>
      </c>
      <c r="AT14" s="509"/>
    </row>
    <row r="15" spans="1:46">
      <c r="A15" t="str">
        <f t="shared" si="2"/>
        <v>Gases</v>
      </c>
      <c r="C15" t="str">
        <f>TechComm!L86</f>
        <v>R_ES-CK-SD_GAS</v>
      </c>
      <c r="D15" t="str">
        <f t="shared" si="3"/>
        <v>RSDGAS</v>
      </c>
      <c r="E15" t="str">
        <f t="shared" ref="E15:E18" si="5">E14</f>
        <v>R_ES-SD-Cook</v>
      </c>
      <c r="F15" s="509">
        <f ca="1">IFERROR('All Stock'!D$15*VLOOKUP($A15,'IDEES okt 2017 template'!$C$165:$AH$169,'IDEES okt 2017 template'!D$162,FALSE),"")*$AR$15</f>
        <v>30.057523851581067</v>
      </c>
      <c r="G15" s="509">
        <f ca="1">IFERROR('All Stock'!E$15*VLOOKUP($A15,'IDEES okt 2017 template'!$C$165:$AH$169,'IDEES okt 2017 template'!E$162,FALSE),"")*$AR$15</f>
        <v>357.20794002055726</v>
      </c>
      <c r="H15" s="509">
        <f ca="1">IFERROR('All Stock'!F$15*VLOOKUP($A15,'IDEES okt 2017 template'!$C$165:$AH$169,'IDEES okt 2017 template'!F$162,FALSE),"")*$AR$15</f>
        <v>4.1986021228285351</v>
      </c>
      <c r="I15" s="509">
        <f ca="1">IFERROR('All Stock'!G$15*VLOOKUP($A15,'IDEES okt 2017 template'!$C$165:$AH$169,'IDEES okt 2017 template'!G$162,FALSE),"")*$AR$15</f>
        <v>6.3923571321530739</v>
      </c>
      <c r="J15" s="509">
        <f ca="1">IFERROR('All Stock'!H$15*VLOOKUP($A15,'IDEES okt 2017 template'!$C$165:$AH$169,'IDEES okt 2017 template'!H$162,FALSE),"")*$AR$15</f>
        <v>0</v>
      </c>
      <c r="K15" s="509">
        <f ca="1">IFERROR('All Stock'!I$15*VLOOKUP($A15,'IDEES okt 2017 template'!$C$165:$AH$169,'IDEES okt 2017 template'!I$162,FALSE),"")*$AR$15</f>
        <v>119.22392671622056</v>
      </c>
      <c r="L15" s="509">
        <f ca="1">IFERROR('All Stock'!J$15*VLOOKUP($A15,'IDEES okt 2017 template'!$C$165:$AH$169,'IDEES okt 2017 template'!J$162,FALSE),"")*$AR$15</f>
        <v>115.0710272250758</v>
      </c>
      <c r="M15" s="509">
        <f ca="1">IFERROR('All Stock'!K$15*VLOOKUP($A15,'IDEES okt 2017 template'!$C$165:$AH$169,'IDEES okt 2017 template'!K$162,FALSE),"")*$AR$15</f>
        <v>14.952359319995699</v>
      </c>
      <c r="N15" s="509">
        <f ca="1">IFERROR('All Stock'!L$15*VLOOKUP($A15,'IDEES okt 2017 template'!$C$165:$AH$169,'IDEES okt 2017 template'!L$162,FALSE),"")*$AR$15</f>
        <v>1.3116885434129191</v>
      </c>
      <c r="O15" s="509">
        <f ca="1">IFERROR('All Stock'!M$15*VLOOKUP($A15,'IDEES okt 2017 template'!$C$165:$AH$169,'IDEES okt 2017 template'!M$162,FALSE),"")*$AR$15</f>
        <v>579.17452762162895</v>
      </c>
      <c r="P15" s="509">
        <f ca="1">IFERROR('All Stock'!N$15*VLOOKUP($A15,'IDEES okt 2017 template'!$C$165:$AH$169,'IDEES okt 2017 template'!N$162,FALSE),"")*$AR$15</f>
        <v>1.7166929859632627</v>
      </c>
      <c r="Q15" s="509">
        <f ca="1">IFERROR('All Stock'!O$15*VLOOKUP($A15,'IDEES okt 2017 template'!$C$165:$AH$169,'IDEES okt 2017 template'!O$162,FALSE),"")*$AR$15</f>
        <v>713.00399018274913</v>
      </c>
      <c r="R15" s="509">
        <f ca="1">IFERROR('All Stock'!P$15*VLOOKUP($A15,'IDEES okt 2017 template'!$C$165:$AH$169,'IDEES okt 2017 template'!P$162,FALSE),"")*$AR$15</f>
        <v>8.839959081827871</v>
      </c>
      <c r="S15" s="509">
        <f ca="1">IFERROR('All Stock'!Q$15*VLOOKUP($A15,'IDEES okt 2017 template'!$C$165:$AH$169,'IDEES okt 2017 template'!Q$162,FALSE),"")*$AR$15</f>
        <v>29.700946083402339</v>
      </c>
      <c r="T15" s="509">
        <f ca="1">IFERROR('All Stock'!R$15*VLOOKUP($A15,'IDEES okt 2017 template'!$C$165:$AH$169,'IDEES okt 2017 template'!R$162,FALSE),"")*$AR$15</f>
        <v>216.72815979829201</v>
      </c>
      <c r="U15" s="509">
        <f ca="1">IFERROR('All Stock'!S$15*VLOOKUP($A15,'IDEES okt 2017 template'!$C$165:$AH$169,'IDEES okt 2017 template'!S$162,FALSE),"")*$AR$15</f>
        <v>109.88659629995254</v>
      </c>
      <c r="V15" s="509">
        <f ca="1">IFERROR('All Stock'!T$15*VLOOKUP($A15,'IDEES okt 2017 template'!$C$165:$AH$169,'IDEES okt 2017 template'!T$162,FALSE),"")*$AR$15</f>
        <v>0</v>
      </c>
      <c r="W15" s="509">
        <f ca="1">IFERROR('All Stock'!U$15*VLOOKUP($A15,'IDEES okt 2017 template'!$C$165:$AH$169,'IDEES okt 2017 template'!U$162,FALSE),"")*$AR$15</f>
        <v>2147.5549291463935</v>
      </c>
      <c r="X15" s="509">
        <f ca="1">IFERROR('All Stock'!V$15*VLOOKUP($A15,'IDEES okt 2017 template'!$C$165:$AH$169,'IDEES okt 2017 template'!V$162,FALSE),"")*$AR$15</f>
        <v>6.2680942552732706</v>
      </c>
      <c r="Y15" s="509">
        <f ca="1">IFERROR('All Stock'!W$15*VLOOKUP($A15,'IDEES okt 2017 template'!$C$165:$AH$169,'IDEES okt 2017 template'!W$162,FALSE),"")*$AR$15</f>
        <v>16.765951085393336</v>
      </c>
      <c r="Z15" s="509">
        <f ca="1">IFERROR('All Stock'!X$15*VLOOKUP($A15,'IDEES okt 2017 template'!$C$165:$AH$169,'IDEES okt 2017 template'!X$162,FALSE),"")*$AR$15</f>
        <v>5.4245161735144167</v>
      </c>
      <c r="AA15" s="509">
        <f ca="1">IFERROR('All Stock'!Y$15*VLOOKUP($A15,'IDEES okt 2017 template'!$C$165:$AH$169,'IDEES okt 2017 template'!Y$162,FALSE),"")*$AR$15</f>
        <v>0</v>
      </c>
      <c r="AB15" s="509">
        <f ca="1">IFERROR('All Stock'!Z$15*VLOOKUP($A15,'IDEES okt 2017 template'!$C$165:$AH$169,'IDEES okt 2017 template'!Z$162,FALSE),"")*$AR$15</f>
        <v>1112.242524410389</v>
      </c>
      <c r="AC15" s="509">
        <f ca="1">IFERROR('All Stock'!AA$15*VLOOKUP($A15,'IDEES okt 2017 template'!$C$165:$AH$169,'IDEES okt 2017 template'!AA$162,FALSE),"")*$AR$15</f>
        <v>4.0479090255829353E-2</v>
      </c>
      <c r="AD15" s="509">
        <f ca="1">IFERROR('All Stock'!AB$15*VLOOKUP($A15,'IDEES okt 2017 template'!$C$165:$AH$169,'IDEES okt 2017 template'!AB$162,FALSE),"")*$AR$15</f>
        <v>138.15433582438177</v>
      </c>
      <c r="AE15" s="509">
        <f ca="1">IFERROR('All Stock'!AC$15*VLOOKUP($A15,'IDEES okt 2017 template'!$C$165:$AH$169,'IDEES okt 2017 template'!AC$162,FALSE),"")*$AR$15</f>
        <v>26.957751027726069</v>
      </c>
      <c r="AF15" s="509">
        <f ca="1">IFERROR('All Stock'!AD$15*VLOOKUP($A15,'IDEES okt 2017 template'!$C$165:$AH$169,'IDEES okt 2017 template'!AD$162,FALSE),"")*$AR$15</f>
        <v>180.86151408163158</v>
      </c>
      <c r="AG15" s="509">
        <f ca="1">IFERROR('All Stock'!AE$15*VLOOKUP($A15,'IDEES okt 2017 template'!$C$165:$AH$169,'IDEES okt 2017 template'!AE$162,FALSE),"")*$AR$15</f>
        <v>3.7466541936148112</v>
      </c>
      <c r="AH15" s="509">
        <f ca="1">IFERROR('All Stock'!AF$15*VLOOKUP($A15,'IDEES okt 2017 template'!$C$165:$AH$169,'IDEES okt 2017 template'!AF$162,FALSE),"")*$AR$15</f>
        <v>5.502802165572616</v>
      </c>
      <c r="AI15" s="509">
        <f ca="1">IFERROR('All Stock'!AG$15*VLOOKUP($A15,'IDEES okt 2017 template'!$C$165:$AH$169,'IDEES okt 2017 template'!AG$162,FALSE),"")*$AR$15</f>
        <v>39.910112120791155</v>
      </c>
      <c r="AJ15" s="509">
        <f ca="1">IFERROR('All Stock'!AH$15*VLOOKUP($A15,'IDEES okt 2017 template'!$C$165:$AH$169,'IDEES okt 2017 template'!AH$162,FALSE),"")*$AR$15</f>
        <v>5214.7414403284429</v>
      </c>
      <c r="AK15" s="509">
        <f ca="1">IFERROR('All Stock'!AI$15*VLOOKUP($A15,'IDEES okt 2017 template'!$C$165:$AN$169,'IDEES okt 2017 template'!AI$162,FALSE),"")*$AR$15</f>
        <v>0</v>
      </c>
      <c r="AL15" s="509">
        <f ca="1">IFERROR('All Stock'!AJ$15*VLOOKUP($A15,'IDEES okt 2017 template'!$C$165:$AN$169,'IDEES okt 2017 template'!AJ$162,FALSE),"")*$AR$15</f>
        <v>1.4169825636464131</v>
      </c>
      <c r="AM15" s="509">
        <f ca="1">IFERROR('All Stock'!AK$15*VLOOKUP($A15,'IDEES okt 2017 template'!$C$165:$AN$169,'IDEES okt 2017 template'!AK$162,FALSE),"")*$AR$15</f>
        <v>0</v>
      </c>
      <c r="AN15" s="509">
        <f ca="1">IFERROR('All Stock'!AL$15*VLOOKUP($A15,'IDEES okt 2017 template'!$C$165:$AN$169,'IDEES okt 2017 template'!AL$162,FALSE),"")*$AR$15</f>
        <v>0</v>
      </c>
      <c r="AO15" s="509">
        <f ca="1">IFERROR('All Stock'!AM$15*VLOOKUP($A15,'IDEES okt 2017 template'!$C$165:$AN$169,'IDEES okt 2017 template'!AM$162,FALSE),"")*$AR$15</f>
        <v>6.2380139186273746</v>
      </c>
      <c r="AP15" s="509">
        <f ca="1">IFERROR('All Stock'!AN$15*VLOOKUP($A15,'IDEES okt 2017 template'!$C$165:$AN$169,'IDEES okt 2017 template'!AN$162,FALSE),"")*$AR$15</f>
        <v>0</v>
      </c>
      <c r="AQ15" s="509"/>
      <c r="AR15" s="467">
        <v>1</v>
      </c>
      <c r="AS15" t="str">
        <f t="shared" si="0"/>
        <v>Gases</v>
      </c>
      <c r="AT15" s="509"/>
    </row>
    <row r="16" spans="1:46">
      <c r="A16" t="str">
        <f t="shared" si="2"/>
        <v>Biomass and wastes</v>
      </c>
      <c r="C16" t="str">
        <f>TechComm!L87</f>
        <v>R_ES-CK-SD_BIO</v>
      </c>
      <c r="D16" t="str">
        <f t="shared" si="3"/>
        <v>RSDBIO</v>
      </c>
      <c r="E16" t="str">
        <f>E15</f>
        <v>R_ES-SD-Cook</v>
      </c>
      <c r="F16" s="509">
        <f ca="1">IFERROR('All Stock'!D$15*VLOOKUP($A16,'IDEES okt 2017 template'!$C$165:$AH$169,'IDEES okt 2017 template'!D$162,FALSE),"")*$AR$16</f>
        <v>15.302809371556224</v>
      </c>
      <c r="G16" s="509">
        <f ca="1">IFERROR('All Stock'!E$15*VLOOKUP($A16,'IDEES okt 2017 template'!$C$165:$AH$169,'IDEES okt 2017 template'!E$162,FALSE),"")*$AR$16</f>
        <v>0</v>
      </c>
      <c r="H16" s="509">
        <f ca="1">IFERROR('All Stock'!F$15*VLOOKUP($A16,'IDEES okt 2017 template'!$C$165:$AH$169,'IDEES okt 2017 template'!F$162,FALSE),"")*$AR$16</f>
        <v>12.50694706429876</v>
      </c>
      <c r="I16" s="509">
        <f ca="1">IFERROR('All Stock'!G$15*VLOOKUP($A16,'IDEES okt 2017 template'!$C$165:$AH$169,'IDEES okt 2017 template'!G$162,FALSE),"")*$AR$16</f>
        <v>0</v>
      </c>
      <c r="J16" s="509">
        <f ca="1">IFERROR('All Stock'!H$15*VLOOKUP($A16,'IDEES okt 2017 template'!$C$165:$AH$169,'IDEES okt 2017 template'!H$162,FALSE),"")*$AR$16</f>
        <v>0</v>
      </c>
      <c r="K16" s="509">
        <f ca="1">IFERROR('All Stock'!I$15*VLOOKUP($A16,'IDEES okt 2017 template'!$C$165:$AH$169,'IDEES okt 2017 template'!I$162,FALSE),"")*$AR$16</f>
        <v>12.47337837031059</v>
      </c>
      <c r="L16" s="509">
        <f ca="1">IFERROR('All Stock'!J$15*VLOOKUP($A16,'IDEES okt 2017 template'!$C$165:$AH$169,'IDEES okt 2017 template'!J$162,FALSE),"")*$AR$16</f>
        <v>0</v>
      </c>
      <c r="M16" s="509">
        <f ca="1">IFERROR('All Stock'!K$15*VLOOKUP($A16,'IDEES okt 2017 template'!$C$165:$AH$169,'IDEES okt 2017 template'!K$162,FALSE),"")*$AR$16</f>
        <v>0</v>
      </c>
      <c r="N16" s="509">
        <f ca="1">IFERROR('All Stock'!L$15*VLOOKUP($A16,'IDEES okt 2017 template'!$C$165:$AH$169,'IDEES okt 2017 template'!L$162,FALSE),"")*$AR$16</f>
        <v>2.2864295710867388</v>
      </c>
      <c r="O16" s="509">
        <f ca="1">IFERROR('All Stock'!M$15*VLOOKUP($A16,'IDEES okt 2017 template'!$C$165:$AH$169,'IDEES okt 2017 template'!M$162,FALSE),"")*$AR$16</f>
        <v>20.226211216553786</v>
      </c>
      <c r="P16" s="509">
        <f ca="1">IFERROR('All Stock'!N$15*VLOOKUP($A16,'IDEES okt 2017 template'!$C$165:$AH$169,'IDEES okt 2017 template'!N$162,FALSE),"")*$AR$16</f>
        <v>0</v>
      </c>
      <c r="Q16" s="509">
        <f ca="1">IFERROR('All Stock'!O$15*VLOOKUP($A16,'IDEES okt 2017 template'!$C$165:$AH$169,'IDEES okt 2017 template'!O$162,FALSE),"")*$AR$16</f>
        <v>0</v>
      </c>
      <c r="R16" s="509">
        <f ca="1">IFERROR('All Stock'!P$15*VLOOKUP($A16,'IDEES okt 2017 template'!$C$165:$AH$169,'IDEES okt 2017 template'!P$162,FALSE),"")*$AR$16</f>
        <v>13.374107835975746</v>
      </c>
      <c r="S16" s="509">
        <f ca="1">IFERROR('All Stock'!Q$15*VLOOKUP($A16,'IDEES okt 2017 template'!$C$165:$AH$169,'IDEES okt 2017 template'!Q$162,FALSE),"")*$AR$16</f>
        <v>0</v>
      </c>
      <c r="T16" s="509">
        <f ca="1">IFERROR('All Stock'!R$15*VLOOKUP($A16,'IDEES okt 2017 template'!$C$165:$AH$169,'IDEES okt 2017 template'!R$162,FALSE),"")*$AR$16</f>
        <v>11.905357071668684</v>
      </c>
      <c r="U16" s="509">
        <f ca="1">IFERROR('All Stock'!S$15*VLOOKUP($A16,'IDEES okt 2017 template'!$C$165:$AH$169,'IDEES okt 2017 template'!S$162,FALSE),"")*$AR$16</f>
        <v>0</v>
      </c>
      <c r="V16" s="509">
        <f ca="1">IFERROR('All Stock'!T$15*VLOOKUP($A16,'IDEES okt 2017 template'!$C$165:$AH$169,'IDEES okt 2017 template'!T$162,FALSE),"")*$AR$16</f>
        <v>0</v>
      </c>
      <c r="W16" s="509">
        <f ca="1">IFERROR('All Stock'!U$15*VLOOKUP($A16,'IDEES okt 2017 template'!$C$165:$AH$169,'IDEES okt 2017 template'!U$162,FALSE),"")*$AR$16</f>
        <v>0</v>
      </c>
      <c r="X16" s="509">
        <f ca="1">IFERROR('All Stock'!V$15*VLOOKUP($A16,'IDEES okt 2017 template'!$C$165:$AH$169,'IDEES okt 2017 template'!V$162,FALSE),"")*$AR$16</f>
        <v>11.655377879903565</v>
      </c>
      <c r="Y16" s="509">
        <f ca="1">IFERROR('All Stock'!W$15*VLOOKUP($A16,'IDEES okt 2017 template'!$C$165:$AH$169,'IDEES okt 2017 template'!W$162,FALSE),"")*$AR$16</f>
        <v>0</v>
      </c>
      <c r="Z16" s="509">
        <f ca="1">IFERROR('All Stock'!X$15*VLOOKUP($A16,'IDEES okt 2017 template'!$C$165:$AH$169,'IDEES okt 2017 template'!X$162,FALSE),"")*$AR$16</f>
        <v>14.715232965242746</v>
      </c>
      <c r="AA16" s="509">
        <f ca="1">IFERROR('All Stock'!Y$15*VLOOKUP($A16,'IDEES okt 2017 template'!$C$165:$AH$169,'IDEES okt 2017 template'!Y$162,FALSE),"")*$AR$16</f>
        <v>0</v>
      </c>
      <c r="AB16" s="509">
        <f ca="1">IFERROR('All Stock'!Z$15*VLOOKUP($A16,'IDEES okt 2017 template'!$C$165:$AH$169,'IDEES okt 2017 template'!Z$162,FALSE),"")*$AR$16</f>
        <v>0</v>
      </c>
      <c r="AC16" s="509">
        <f ca="1">IFERROR('All Stock'!AA$15*VLOOKUP($A16,'IDEES okt 2017 template'!$C$165:$AH$169,'IDEES okt 2017 template'!AA$162,FALSE),"")*$AR$16</f>
        <v>0</v>
      </c>
      <c r="AD16" s="509">
        <f ca="1">IFERROR('All Stock'!AB$15*VLOOKUP($A16,'IDEES okt 2017 template'!$C$165:$AH$169,'IDEES okt 2017 template'!AB$162,FALSE),"")*$AR$16</f>
        <v>26.624406099150239</v>
      </c>
      <c r="AE16" s="509">
        <f ca="1">IFERROR('All Stock'!AC$15*VLOOKUP($A16,'IDEES okt 2017 template'!$C$165:$AH$169,'IDEES okt 2017 template'!AC$162,FALSE),"")*$AR$16</f>
        <v>59.984633358533095</v>
      </c>
      <c r="AF16" s="509">
        <f ca="1">IFERROR('All Stock'!AD$15*VLOOKUP($A16,'IDEES okt 2017 template'!$C$165:$AH$169,'IDEES okt 2017 template'!AD$162,FALSE),"")*$AR$16</f>
        <v>163.83176421320383</v>
      </c>
      <c r="AG16" s="509">
        <f ca="1">IFERROR('All Stock'!AE$15*VLOOKUP($A16,'IDEES okt 2017 template'!$C$165:$AH$169,'IDEES okt 2017 template'!AE$162,FALSE),"")*$AR$16</f>
        <v>0</v>
      </c>
      <c r="AH16" s="509">
        <f ca="1">IFERROR('All Stock'!AF$15*VLOOKUP($A16,'IDEES okt 2017 template'!$C$165:$AH$169,'IDEES okt 2017 template'!AF$162,FALSE),"")*$AR$16</f>
        <v>6.0015941747327073</v>
      </c>
      <c r="AI16" s="509">
        <f ca="1">IFERROR('All Stock'!AG$15*VLOOKUP($A16,'IDEES okt 2017 template'!$C$165:$AH$169,'IDEES okt 2017 template'!AG$162,FALSE),"")*$AR$16</f>
        <v>0</v>
      </c>
      <c r="AJ16" s="509">
        <f ca="1">IFERROR('All Stock'!AH$15*VLOOKUP($A16,'IDEES okt 2017 template'!$C$165:$AH$169,'IDEES okt 2017 template'!AH$162,FALSE),"")*$AR$16</f>
        <v>0</v>
      </c>
      <c r="AK16" s="509">
        <f ca="1">IFERROR('All Stock'!AI$15*VLOOKUP($A16,'IDEES okt 2017 template'!$C$165:$AN$169,'IDEES okt 2017 template'!AI$162,FALSE),"")*$AR$16</f>
        <v>2.3495023325273814</v>
      </c>
      <c r="AL16" s="509">
        <f ca="1">IFERROR('All Stock'!AJ$15*VLOOKUP($A16,'IDEES okt 2017 template'!$C$165:$AN$169,'IDEES okt 2017 template'!AJ$162,FALSE),"")*$AR$16</f>
        <v>0</v>
      </c>
      <c r="AM16" s="509">
        <f ca="1">IFERROR('All Stock'!AK$15*VLOOKUP($A16,'IDEES okt 2017 template'!$C$165:$AN$169,'IDEES okt 2017 template'!AK$162,FALSE),"")*$AR$16</f>
        <v>3.5641519381340161</v>
      </c>
      <c r="AN16" s="509">
        <f ca="1">IFERROR('All Stock'!AL$15*VLOOKUP($A16,'IDEES okt 2017 template'!$C$165:$AN$169,'IDEES okt 2017 template'!AL$162,FALSE),"")*$AR$16</f>
        <v>0</v>
      </c>
      <c r="AO16" s="509">
        <f ca="1">IFERROR('All Stock'!AM$15*VLOOKUP($A16,'IDEES okt 2017 template'!$C$165:$AN$169,'IDEES okt 2017 template'!AM$162,FALSE),"")*$AR$16</f>
        <v>0</v>
      </c>
      <c r="AP16" s="509">
        <f ca="1">IFERROR('All Stock'!AN$15*VLOOKUP($A16,'IDEES okt 2017 template'!$C$165:$AN$169,'IDEES okt 2017 template'!AN$162,FALSE),"")*$AR$16</f>
        <v>0</v>
      </c>
      <c r="AQ16" s="509"/>
      <c r="AR16" s="467">
        <v>1</v>
      </c>
      <c r="AS16" t="str">
        <f t="shared" si="0"/>
        <v>Biomass and wastes</v>
      </c>
      <c r="AT16" s="509"/>
    </row>
    <row r="17" spans="1:46">
      <c r="A17" t="str">
        <f t="shared" si="2"/>
        <v>Solids</v>
      </c>
      <c r="C17" t="str">
        <f>TechComm!L88</f>
        <v>R_ES-CK-SD_COA</v>
      </c>
      <c r="D17" t="str">
        <f t="shared" si="3"/>
        <v>RSDCOA</v>
      </c>
      <c r="E17" t="str">
        <f t="shared" si="5"/>
        <v>R_ES-SD-Cook</v>
      </c>
      <c r="F17" s="509">
        <f ca="1">IFERROR('All Stock'!D$15*VLOOKUP($A17,'IDEES okt 2017 template'!$C$165:$AH$169,'IDEES okt 2017 template'!D$162,FALSE),"")*$AR$17</f>
        <v>0.43847591322510665</v>
      </c>
      <c r="G17" s="509">
        <f ca="1">IFERROR('All Stock'!E$15*VLOOKUP($A17,'IDEES okt 2017 template'!$C$165:$AH$169,'IDEES okt 2017 template'!E$162,FALSE),"")*$AR$17</f>
        <v>0</v>
      </c>
      <c r="H17" s="509">
        <f ca="1">IFERROR('All Stock'!F$15*VLOOKUP($A17,'IDEES okt 2017 template'!$C$165:$AH$169,'IDEES okt 2017 template'!F$162,FALSE),"")*$AR$17</f>
        <v>6.8421664223872423</v>
      </c>
      <c r="I17" s="509">
        <f ca="1">IFERROR('All Stock'!G$15*VLOOKUP($A17,'IDEES okt 2017 template'!$C$165:$AH$169,'IDEES okt 2017 template'!G$162,FALSE),"")*$AR$17</f>
        <v>0</v>
      </c>
      <c r="J17" s="509">
        <f ca="1">IFERROR('All Stock'!H$15*VLOOKUP($A17,'IDEES okt 2017 template'!$C$165:$AH$169,'IDEES okt 2017 template'!H$162,FALSE),"")*$AR$17</f>
        <v>0</v>
      </c>
      <c r="K17" s="509">
        <f ca="1">IFERROR('All Stock'!I$15*VLOOKUP($A17,'IDEES okt 2017 template'!$C$165:$AH$169,'IDEES okt 2017 template'!I$162,FALSE),"")*$AR$17</f>
        <v>0</v>
      </c>
      <c r="L17" s="509">
        <f ca="1">IFERROR('All Stock'!J$15*VLOOKUP($A17,'IDEES okt 2017 template'!$C$165:$AH$169,'IDEES okt 2017 template'!J$162,FALSE),"")*$AR$17</f>
        <v>0</v>
      </c>
      <c r="M17" s="509">
        <f ca="1">IFERROR('All Stock'!K$15*VLOOKUP($A17,'IDEES okt 2017 template'!$C$165:$AH$169,'IDEES okt 2017 template'!K$162,FALSE),"")*$AR$17</f>
        <v>0</v>
      </c>
      <c r="N17" s="509">
        <f ca="1">IFERROR('All Stock'!L$15*VLOOKUP($A17,'IDEES okt 2017 template'!$C$165:$AH$169,'IDEES okt 2017 template'!L$162,FALSE),"")*$AR$17</f>
        <v>0</v>
      </c>
      <c r="O17" s="509">
        <f ca="1">IFERROR('All Stock'!M$15*VLOOKUP($A17,'IDEES okt 2017 template'!$C$165:$AH$169,'IDEES okt 2017 template'!M$162,FALSE),"")*$AR$17</f>
        <v>10.191675796132539</v>
      </c>
      <c r="P17" s="509">
        <f ca="1">IFERROR('All Stock'!N$15*VLOOKUP($A17,'IDEES okt 2017 template'!$C$165:$AH$169,'IDEES okt 2017 template'!N$162,FALSE),"")*$AR$17</f>
        <v>0</v>
      </c>
      <c r="Q17" s="509">
        <f ca="1">IFERROR('All Stock'!O$15*VLOOKUP($A17,'IDEES okt 2017 template'!$C$165:$AH$169,'IDEES okt 2017 template'!O$162,FALSE),"")*$AR$17</f>
        <v>0</v>
      </c>
      <c r="R17" s="509">
        <f ca="1">IFERROR('All Stock'!P$15*VLOOKUP($A17,'IDEES okt 2017 template'!$C$165:$AH$169,'IDEES okt 2017 template'!P$162,FALSE),"")*$AR$17</f>
        <v>0</v>
      </c>
      <c r="S17" s="509">
        <f ca="1">IFERROR('All Stock'!Q$15*VLOOKUP($A17,'IDEES okt 2017 template'!$C$165:$AH$169,'IDEES okt 2017 template'!Q$162,FALSE),"")*$AR$17</f>
        <v>0</v>
      </c>
      <c r="T17" s="509">
        <f ca="1">IFERROR('All Stock'!R$15*VLOOKUP($A17,'IDEES okt 2017 template'!$C$165:$AH$169,'IDEES okt 2017 template'!R$162,FALSE),"")*$AR$17</f>
        <v>0.55727203314193829</v>
      </c>
      <c r="U17" s="509">
        <f ca="1">IFERROR('All Stock'!S$15*VLOOKUP($A17,'IDEES okt 2017 template'!$C$165:$AH$169,'IDEES okt 2017 template'!S$162,FALSE),"")*$AR$17</f>
        <v>0</v>
      </c>
      <c r="V17" s="509">
        <f ca="1">IFERROR('All Stock'!T$15*VLOOKUP($A17,'IDEES okt 2017 template'!$C$165:$AH$169,'IDEES okt 2017 template'!T$162,FALSE),"")*$AR$17</f>
        <v>0</v>
      </c>
      <c r="W17" s="509">
        <f ca="1">IFERROR('All Stock'!U$15*VLOOKUP($A17,'IDEES okt 2017 template'!$C$165:$AH$169,'IDEES okt 2017 template'!U$162,FALSE),"")*$AR$17</f>
        <v>0</v>
      </c>
      <c r="X17" s="509">
        <f ca="1">IFERROR('All Stock'!V$15*VLOOKUP($A17,'IDEES okt 2017 template'!$C$165:$AH$169,'IDEES okt 2017 template'!V$162,FALSE),"")*$AR$17</f>
        <v>0</v>
      </c>
      <c r="Y17" s="509">
        <f ca="1">IFERROR('All Stock'!W$15*VLOOKUP($A17,'IDEES okt 2017 template'!$C$165:$AH$169,'IDEES okt 2017 template'!W$162,FALSE),"")*$AR$17</f>
        <v>0</v>
      </c>
      <c r="Z17" s="509">
        <f ca="1">IFERROR('All Stock'!X$15*VLOOKUP($A17,'IDEES okt 2017 template'!$C$165:$AH$169,'IDEES okt 2017 template'!X$162,FALSE),"")*$AR$17</f>
        <v>0</v>
      </c>
      <c r="AA17" s="509">
        <f ca="1">IFERROR('All Stock'!Y$15*VLOOKUP($A17,'IDEES okt 2017 template'!$C$165:$AH$169,'IDEES okt 2017 template'!Y$162,FALSE),"")*$AR$17</f>
        <v>0</v>
      </c>
      <c r="AB17" s="509">
        <f ca="1">IFERROR('All Stock'!Z$15*VLOOKUP($A17,'IDEES okt 2017 template'!$C$165:$AH$169,'IDEES okt 2017 template'!Z$162,FALSE),"")*$AR$17</f>
        <v>0</v>
      </c>
      <c r="AC17" s="509">
        <f ca="1">IFERROR('All Stock'!AA$15*VLOOKUP($A17,'IDEES okt 2017 template'!$C$165:$AH$169,'IDEES okt 2017 template'!AA$162,FALSE),"")*$AR$17</f>
        <v>0</v>
      </c>
      <c r="AD17" s="509">
        <f ca="1">IFERROR('All Stock'!AB$15*VLOOKUP($A17,'IDEES okt 2017 template'!$C$165:$AH$169,'IDEES okt 2017 template'!AB$162,FALSE),"")*$AR$17</f>
        <v>81.277582575208086</v>
      </c>
      <c r="AE17" s="509">
        <f ca="1">IFERROR('All Stock'!AC$15*VLOOKUP($A17,'IDEES okt 2017 template'!$C$165:$AH$169,'IDEES okt 2017 template'!AC$162,FALSE),"")*$AR$17</f>
        <v>0</v>
      </c>
      <c r="AF17" s="509">
        <f ca="1">IFERROR('All Stock'!AD$15*VLOOKUP($A17,'IDEES okt 2017 template'!$C$165:$AH$169,'IDEES okt 2017 template'!AD$162,FALSE),"")*$AR$17</f>
        <v>0</v>
      </c>
      <c r="AG17" s="509">
        <f ca="1">IFERROR('All Stock'!AE$15*VLOOKUP($A17,'IDEES okt 2017 template'!$C$165:$AH$169,'IDEES okt 2017 template'!AE$162,FALSE),"")*$AR$17</f>
        <v>0</v>
      </c>
      <c r="AH17" s="509">
        <f ca="1">IFERROR('All Stock'!AF$15*VLOOKUP($A17,'IDEES okt 2017 template'!$C$165:$AH$169,'IDEES okt 2017 template'!AF$162,FALSE),"")*$AR$17</f>
        <v>0</v>
      </c>
      <c r="AI17" s="509">
        <f ca="1">IFERROR('All Stock'!AG$15*VLOOKUP($A17,'IDEES okt 2017 template'!$C$165:$AH$169,'IDEES okt 2017 template'!AG$162,FALSE),"")*$AR$17</f>
        <v>0</v>
      </c>
      <c r="AJ17" s="509">
        <f ca="1">IFERROR('All Stock'!AH$15*VLOOKUP($A17,'IDEES okt 2017 template'!$C$165:$AH$169,'IDEES okt 2017 template'!AH$162,FALSE),"")*$AR$17</f>
        <v>0</v>
      </c>
      <c r="AK17" s="509">
        <f ca="1">IFERROR('All Stock'!AI$15*VLOOKUP($A17,'IDEES okt 2017 template'!$C$165:$AN$169,'IDEES okt 2017 template'!AI$162,FALSE),"")*$AR$17</f>
        <v>0</v>
      </c>
      <c r="AL17" s="509">
        <f ca="1">IFERROR('All Stock'!AJ$15*VLOOKUP($A17,'IDEES okt 2017 template'!$C$165:$AN$169,'IDEES okt 2017 template'!AJ$162,FALSE),"")*$AR$17</f>
        <v>0</v>
      </c>
      <c r="AM17" s="509">
        <f ca="1">IFERROR('All Stock'!AK$15*VLOOKUP($A17,'IDEES okt 2017 template'!$C$165:$AN$169,'IDEES okt 2017 template'!AK$162,FALSE),"")*$AR$17</f>
        <v>0</v>
      </c>
      <c r="AN17" s="509">
        <f ca="1">IFERROR('All Stock'!AL$15*VLOOKUP($A17,'IDEES okt 2017 template'!$C$165:$AN$169,'IDEES okt 2017 template'!AL$162,FALSE),"")*$AR$17</f>
        <v>0</v>
      </c>
      <c r="AO17" s="509">
        <f ca="1">IFERROR('All Stock'!AM$15*VLOOKUP($A17,'IDEES okt 2017 template'!$C$165:$AN$169,'IDEES okt 2017 template'!AM$162,FALSE),"")*$AR$17</f>
        <v>0</v>
      </c>
      <c r="AP17" s="509">
        <f ca="1">IFERROR('All Stock'!AN$15*VLOOKUP($A17,'IDEES okt 2017 template'!$C$165:$AN$169,'IDEES okt 2017 template'!AN$162,FALSE),"")*$AR$17</f>
        <v>0</v>
      </c>
      <c r="AQ17" s="509"/>
      <c r="AR17" s="467">
        <v>1</v>
      </c>
      <c r="AS17" t="str">
        <f t="shared" si="0"/>
        <v>Solids</v>
      </c>
      <c r="AT17" s="509"/>
    </row>
    <row r="18" spans="1:46">
      <c r="A18" t="str">
        <f t="shared" si="2"/>
        <v>LPG</v>
      </c>
      <c r="C18" t="str">
        <f>TechComm!L89</f>
        <v>R_ES-CK-SD_LPG</v>
      </c>
      <c r="D18" t="str">
        <f t="shared" si="3"/>
        <v>RSDLPG</v>
      </c>
      <c r="E18" t="str">
        <f t="shared" si="5"/>
        <v>R_ES-SD-Cook</v>
      </c>
      <c r="F18" s="509">
        <f ca="1">IFERROR('All Stock'!D$15*VLOOKUP($A18,'IDEES okt 2017 template'!$C$165:$AH$169,'IDEES okt 2017 template'!D$162,FALSE),"")*$AR$18</f>
        <v>15.565894919491287</v>
      </c>
      <c r="G18" s="509">
        <f ca="1">IFERROR('All Stock'!E$15*VLOOKUP($A18,'IDEES okt 2017 template'!$C$165:$AH$169,'IDEES okt 2017 template'!E$162,FALSE),"")*$AR$18</f>
        <v>62.560883873750797</v>
      </c>
      <c r="H18" s="509">
        <f ca="1">IFERROR('All Stock'!F$15*VLOOKUP($A18,'IDEES okt 2017 template'!$C$165:$AH$169,'IDEES okt 2017 template'!F$162,FALSE),"")*$AR$18</f>
        <v>18.482735270864243</v>
      </c>
      <c r="I18" s="509">
        <f ca="1">IFERROR('All Stock'!G$15*VLOOKUP($A18,'IDEES okt 2017 template'!$C$165:$AH$169,'IDEES okt 2017 template'!G$162,FALSE),"")*$AR$18</f>
        <v>0</v>
      </c>
      <c r="J18" s="509">
        <f ca="1">IFERROR('All Stock'!H$15*VLOOKUP($A18,'IDEES okt 2017 template'!$C$165:$AH$169,'IDEES okt 2017 template'!H$162,FALSE),"")*$AR$18</f>
        <v>65.211134705183483</v>
      </c>
      <c r="K18" s="509">
        <f ca="1">IFERROR('All Stock'!I$15*VLOOKUP($A18,'IDEES okt 2017 template'!$C$165:$AH$169,'IDEES okt 2017 template'!I$162,FALSE),"")*$AR$18</f>
        <v>2.1101579949773552</v>
      </c>
      <c r="L18" s="509">
        <f ca="1">IFERROR('All Stock'!J$15*VLOOKUP($A18,'IDEES okt 2017 template'!$C$165:$AH$169,'IDEES okt 2017 template'!J$162,FALSE),"")*$AR$18</f>
        <v>595.05471319450965</v>
      </c>
      <c r="M18" s="509">
        <f ca="1">IFERROR('All Stock'!K$15*VLOOKUP($A18,'IDEES okt 2017 template'!$C$165:$AH$169,'IDEES okt 2017 template'!K$162,FALSE),"")*$AR$18</f>
        <v>16.674146150783077</v>
      </c>
      <c r="N18" s="509">
        <f ca="1">IFERROR('All Stock'!L$15*VLOOKUP($A18,'IDEES okt 2017 template'!$C$165:$AH$169,'IDEES okt 2017 template'!L$162,FALSE),"")*$AR$18</f>
        <v>1.6005006997607176</v>
      </c>
      <c r="O18" s="509">
        <f ca="1">IFERROR('All Stock'!M$15*VLOOKUP($A18,'IDEES okt 2017 template'!$C$165:$AH$169,'IDEES okt 2017 template'!M$162,FALSE),"")*$AR$18</f>
        <v>287.81382242778704</v>
      </c>
      <c r="P18" s="509">
        <f ca="1">IFERROR('All Stock'!N$15*VLOOKUP($A18,'IDEES okt 2017 template'!$C$165:$AH$169,'IDEES okt 2017 template'!N$162,FALSE),"")*$AR$18</f>
        <v>5.9130536183179041</v>
      </c>
      <c r="Q18" s="509">
        <f ca="1">IFERROR('All Stock'!O$15*VLOOKUP($A18,'IDEES okt 2017 template'!$C$165:$AH$169,'IDEES okt 2017 template'!O$162,FALSE),"")*$AR$18</f>
        <v>634.52306505776448</v>
      </c>
      <c r="R18" s="509">
        <f ca="1">IFERROR('All Stock'!P$15*VLOOKUP($A18,'IDEES okt 2017 template'!$C$165:$AH$169,'IDEES okt 2017 template'!P$162,FALSE),"")*$AR$18</f>
        <v>12.188922670023421</v>
      </c>
      <c r="S18" s="509">
        <f ca="1">IFERROR('All Stock'!Q$15*VLOOKUP($A18,'IDEES okt 2017 template'!$C$165:$AH$169,'IDEES okt 2017 template'!Q$162,FALSE),"")*$AR$18</f>
        <v>34.549619893524969</v>
      </c>
      <c r="T18" s="509">
        <f ca="1">IFERROR('All Stock'!R$15*VLOOKUP($A18,'IDEES okt 2017 template'!$C$165:$AH$169,'IDEES okt 2017 template'!R$162,FALSE),"")*$AR$18</f>
        <v>61.375915286496209</v>
      </c>
      <c r="U18" s="509">
        <f ca="1">IFERROR('All Stock'!S$15*VLOOKUP($A18,'IDEES okt 2017 template'!$C$165:$AH$169,'IDEES okt 2017 template'!S$162,FALSE),"")*$AR$18</f>
        <v>58.285713416789584</v>
      </c>
      <c r="V18" s="509">
        <f ca="1">IFERROR('All Stock'!T$15*VLOOKUP($A18,'IDEES okt 2017 template'!$C$165:$AH$169,'IDEES okt 2017 template'!T$162,FALSE),"")*$AR$18</f>
        <v>0.83694027396321957</v>
      </c>
      <c r="W18" s="509">
        <f ca="1">IFERROR('All Stock'!U$15*VLOOKUP($A18,'IDEES okt 2017 template'!$C$165:$AH$169,'IDEES okt 2017 template'!U$162,FALSE),"")*$AR$18</f>
        <v>587.24845819315919</v>
      </c>
      <c r="X18" s="509">
        <f ca="1">IFERROR('All Stock'!V$15*VLOOKUP($A18,'IDEES okt 2017 template'!$C$165:$AH$169,'IDEES okt 2017 template'!V$162,FALSE),"")*$AR$18</f>
        <v>20.156224664016005</v>
      </c>
      <c r="Y18" s="509">
        <f ca="1">IFERROR('All Stock'!W$15*VLOOKUP($A18,'IDEES okt 2017 template'!$C$165:$AH$169,'IDEES okt 2017 template'!W$162,FALSE),"")*$AR$18</f>
        <v>2.9678857511410563</v>
      </c>
      <c r="Z18" s="509">
        <f ca="1">IFERROR('All Stock'!X$15*VLOOKUP($A18,'IDEES okt 2017 template'!$C$165:$AH$169,'IDEES okt 2017 template'!X$162,FALSE),"")*$AR$18</f>
        <v>12.801858169494027</v>
      </c>
      <c r="AA18" s="509">
        <f ca="1">IFERROR('All Stock'!Y$15*VLOOKUP($A18,'IDEES okt 2017 template'!$C$165:$AH$169,'IDEES okt 2017 template'!Y$162,FALSE),"")*$AR$18</f>
        <v>25.353274271603791</v>
      </c>
      <c r="AB18" s="509">
        <f ca="1">IFERROR('All Stock'!Z$15*VLOOKUP($A18,'IDEES okt 2017 template'!$C$165:$AH$169,'IDEES okt 2017 template'!Z$162,FALSE),"")*$AR$18</f>
        <v>73.311584737946177</v>
      </c>
      <c r="AC18" s="509">
        <f ca="1">IFERROR('All Stock'!AA$15*VLOOKUP($A18,'IDEES okt 2017 template'!$C$165:$AH$169,'IDEES okt 2017 template'!AA$162,FALSE),"")*$AR$18</f>
        <v>2.1341197847181861</v>
      </c>
      <c r="AD18" s="509">
        <f ca="1">IFERROR('All Stock'!AB$15*VLOOKUP($A18,'IDEES okt 2017 template'!$C$165:$AH$169,'IDEES okt 2017 template'!AB$162,FALSE),"")*$AR$18</f>
        <v>245.80763499122054</v>
      </c>
      <c r="AE18" s="509">
        <f ca="1">IFERROR('All Stock'!AC$15*VLOOKUP($A18,'IDEES okt 2017 template'!$C$165:$AH$169,'IDEES okt 2017 template'!AC$162,FALSE),"")*$AR$18</f>
        <v>101.22147070549416</v>
      </c>
      <c r="AF18" s="509">
        <f ca="1">IFERROR('All Stock'!AD$15*VLOOKUP($A18,'IDEES okt 2017 template'!$C$165:$AH$169,'IDEES okt 2017 template'!AD$162,FALSE),"")*$AR$18</f>
        <v>165.80132640593092</v>
      </c>
      <c r="AG18" s="509">
        <f ca="1">IFERROR('All Stock'!AE$15*VLOOKUP($A18,'IDEES okt 2017 template'!$C$165:$AH$169,'IDEES okt 2017 template'!AE$162,FALSE),"")*$AR$18</f>
        <v>0</v>
      </c>
      <c r="AH18" s="509">
        <f ca="1">IFERROR('All Stock'!AF$15*VLOOKUP($A18,'IDEES okt 2017 template'!$C$165:$AH$169,'IDEES okt 2017 template'!AF$162,FALSE),"")*$AR$18</f>
        <v>14.658049043382027</v>
      </c>
      <c r="AI18" s="509">
        <f ca="1">IFERROR('All Stock'!AG$15*VLOOKUP($A18,'IDEES okt 2017 template'!$C$165:$AH$169,'IDEES okt 2017 template'!AG$162,FALSE),"")*$AR$18</f>
        <v>4.6594244719883013</v>
      </c>
      <c r="AJ18" s="509">
        <f ca="1">IFERROR('All Stock'!AH$15*VLOOKUP($A18,'IDEES okt 2017 template'!$C$165:$AH$169,'IDEES okt 2017 template'!AH$162,FALSE),"")*$AR$18</f>
        <v>412.70637904506862</v>
      </c>
      <c r="AK18" s="509">
        <f ca="1">IFERROR('All Stock'!AI$15*VLOOKUP($A18,'IDEES okt 2017 template'!$C$165:$AN$169,'IDEES okt 2017 template'!AI$162,FALSE),"")*$AR$18</f>
        <v>11.502942041701886</v>
      </c>
      <c r="AL18" s="509">
        <f ca="1">IFERROR('All Stock'!AJ$15*VLOOKUP($A18,'IDEES okt 2017 template'!$C$165:$AN$169,'IDEES okt 2017 template'!AJ$162,FALSE),"")*$AR$18</f>
        <v>0</v>
      </c>
      <c r="AM18" s="509">
        <f ca="1">IFERROR('All Stock'!AK$15*VLOOKUP($A18,'IDEES okt 2017 template'!$C$165:$AN$169,'IDEES okt 2017 template'!AK$162,FALSE),"")*$AR$18</f>
        <v>0</v>
      </c>
      <c r="AN18" s="509">
        <f ca="1">IFERROR('All Stock'!AL$15*VLOOKUP($A18,'IDEES okt 2017 template'!$C$165:$AN$169,'IDEES okt 2017 template'!AL$162,FALSE),"")*$AR$18</f>
        <v>2.7420705667150806</v>
      </c>
      <c r="AO18" s="509">
        <f ca="1">IFERROR('All Stock'!AM$15*VLOOKUP($A18,'IDEES okt 2017 template'!$C$165:$AN$169,'IDEES okt 2017 template'!AM$162,FALSE),"")*$AR$18</f>
        <v>6.7602163223580733</v>
      </c>
      <c r="AP18" s="509">
        <f ca="1">IFERROR('All Stock'!AN$15*VLOOKUP($A18,'IDEES okt 2017 template'!$C$165:$AN$169,'IDEES okt 2017 template'!AN$162,FALSE),"")*$AR$18</f>
        <v>3.12989712747749</v>
      </c>
      <c r="AQ18" s="509"/>
      <c r="AR18" s="467">
        <v>1</v>
      </c>
      <c r="AS18" t="str">
        <f t="shared" si="0"/>
        <v>LPG</v>
      </c>
      <c r="AT18" s="509"/>
    </row>
    <row r="19" spans="1:46">
      <c r="F19" s="509"/>
      <c r="G19" s="509"/>
      <c r="H19" s="509"/>
      <c r="I19" s="509"/>
      <c r="J19" s="509"/>
      <c r="K19" s="509"/>
      <c r="L19" s="509"/>
      <c r="M19" s="509"/>
      <c r="N19" s="509"/>
      <c r="O19" s="509"/>
      <c r="P19" s="509"/>
      <c r="Q19" s="509"/>
      <c r="R19" s="509"/>
      <c r="S19" s="509"/>
      <c r="T19" s="509"/>
      <c r="U19" s="509"/>
      <c r="V19" s="509"/>
      <c r="W19" s="509"/>
      <c r="X19" s="509"/>
      <c r="Y19" s="509"/>
      <c r="Z19" s="509"/>
      <c r="AA19" s="509"/>
      <c r="AB19" s="509"/>
      <c r="AC19" s="509"/>
      <c r="AD19" s="509"/>
      <c r="AE19" s="509"/>
      <c r="AF19" s="509"/>
      <c r="AG19" s="509"/>
      <c r="AH19" s="509"/>
      <c r="AI19" s="509"/>
      <c r="AJ19" s="509"/>
      <c r="AK19" s="509"/>
      <c r="AL19" s="509"/>
      <c r="AM19" s="509"/>
      <c r="AN19" s="509"/>
      <c r="AO19" s="509"/>
      <c r="AP19" s="509"/>
      <c r="AQ19" s="509"/>
      <c r="AR19" s="509"/>
      <c r="AS19" s="509"/>
      <c r="AT19" s="509"/>
    </row>
    <row r="20" spans="1:46">
      <c r="F20" s="509"/>
      <c r="G20" s="509"/>
      <c r="H20" s="509"/>
      <c r="I20" s="509"/>
      <c r="J20" s="509"/>
      <c r="K20" s="509"/>
      <c r="L20" s="509"/>
      <c r="M20" s="509"/>
      <c r="N20" s="509"/>
      <c r="O20" s="509"/>
      <c r="P20" s="509"/>
      <c r="Q20" s="509"/>
      <c r="R20" s="509"/>
      <c r="S20" s="509"/>
      <c r="T20" s="509"/>
      <c r="U20" s="509"/>
      <c r="V20" s="509"/>
      <c r="W20" s="509"/>
      <c r="X20" s="509"/>
      <c r="Y20" s="509"/>
      <c r="Z20" s="509"/>
      <c r="AA20" s="509"/>
      <c r="AB20" s="509"/>
      <c r="AC20" s="509"/>
      <c r="AD20" s="509"/>
      <c r="AE20" s="509"/>
      <c r="AF20" s="509"/>
      <c r="AG20" s="509"/>
      <c r="AH20" s="509"/>
      <c r="AI20" s="509"/>
      <c r="AJ20" s="509"/>
      <c r="AK20" s="509"/>
      <c r="AL20" s="509"/>
      <c r="AM20" s="509"/>
      <c r="AN20" s="509"/>
      <c r="AO20" s="509"/>
      <c r="AP20" s="509"/>
      <c r="AQ20" s="509"/>
      <c r="AR20" s="509"/>
      <c r="AS20" s="509"/>
      <c r="AT20" s="509"/>
    </row>
    <row r="21" spans="1:46">
      <c r="E21" s="533" t="s">
        <v>601</v>
      </c>
      <c r="AQ21" s="509"/>
      <c r="AR21" s="509"/>
      <c r="AS21" s="509"/>
      <c r="AT21" s="509"/>
    </row>
    <row r="22" spans="1:46" ht="15" thickBot="1">
      <c r="C22" s="539" t="s">
        <v>545</v>
      </c>
      <c r="D22" s="539" t="s">
        <v>585</v>
      </c>
      <c r="E22" s="539" t="s">
        <v>552</v>
      </c>
      <c r="F22" s="540" t="str">
        <f>'All Stock'!D$2</f>
        <v>AT</v>
      </c>
      <c r="G22" s="540" t="str">
        <f>'All Stock'!E$2</f>
        <v>BE</v>
      </c>
      <c r="H22" s="540" t="str">
        <f>'All Stock'!F$2</f>
        <v>BG</v>
      </c>
      <c r="I22" s="540" t="str">
        <f>'All Stock'!G$2</f>
        <v>CH</v>
      </c>
      <c r="J22" s="540" t="str">
        <f>'All Stock'!H$2</f>
        <v>CY</v>
      </c>
      <c r="K22" s="540" t="str">
        <f>'All Stock'!I$2</f>
        <v>CZ</v>
      </c>
      <c r="L22" s="540" t="str">
        <f>'All Stock'!J$2</f>
        <v>DE</v>
      </c>
      <c r="M22" s="540" t="str">
        <f>'All Stock'!K$2</f>
        <v>DK</v>
      </c>
      <c r="N22" s="540" t="str">
        <f>'All Stock'!L$2</f>
        <v>EE</v>
      </c>
      <c r="O22" s="540" t="str">
        <f>'All Stock'!M$2</f>
        <v>ES</v>
      </c>
      <c r="P22" s="540" t="str">
        <f>'All Stock'!N$2</f>
        <v>FI</v>
      </c>
      <c r="Q22" s="540" t="str">
        <f>'All Stock'!O$2</f>
        <v>FR</v>
      </c>
      <c r="R22" s="540" t="str">
        <f>'All Stock'!P$2</f>
        <v>EL</v>
      </c>
      <c r="S22" s="540" t="str">
        <f>'All Stock'!Q$2</f>
        <v>HR</v>
      </c>
      <c r="T22" s="540" t="str">
        <f>'All Stock'!R$2</f>
        <v>HU</v>
      </c>
      <c r="U22" s="540" t="str">
        <f>'All Stock'!S$2</f>
        <v>IE</v>
      </c>
      <c r="V22" s="540" t="str">
        <f>'All Stock'!T$2</f>
        <v>IS</v>
      </c>
      <c r="W22" s="540" t="str">
        <f>'All Stock'!U$2</f>
        <v>IT</v>
      </c>
      <c r="X22" s="540" t="str">
        <f>'All Stock'!V$2</f>
        <v>LT</v>
      </c>
      <c r="Y22" s="540" t="str">
        <f>'All Stock'!W$2</f>
        <v>LU</v>
      </c>
      <c r="Z22" s="540" t="str">
        <f>'All Stock'!X$2</f>
        <v>LV</v>
      </c>
      <c r="AA22" s="540" t="str">
        <f>'All Stock'!Y$2</f>
        <v>MT</v>
      </c>
      <c r="AB22" s="540" t="str">
        <f>'All Stock'!Z$2</f>
        <v>NL</v>
      </c>
      <c r="AC22" s="540" t="str">
        <f>'All Stock'!AA$2</f>
        <v>NO</v>
      </c>
      <c r="AD22" s="540" t="str">
        <f>'All Stock'!AB$2</f>
        <v>PL</v>
      </c>
      <c r="AE22" s="540" t="str">
        <f>'All Stock'!AC$2</f>
        <v>PT</v>
      </c>
      <c r="AF22" s="540" t="str">
        <f>'All Stock'!AD$2</f>
        <v>RO</v>
      </c>
      <c r="AG22" s="540" t="str">
        <f>'All Stock'!AE$2</f>
        <v>SE</v>
      </c>
      <c r="AH22" s="540" t="str">
        <f>'All Stock'!AF$2</f>
        <v>SI</v>
      </c>
      <c r="AI22" s="540" t="str">
        <f>'All Stock'!AG$2</f>
        <v>SK</v>
      </c>
      <c r="AJ22" s="540" t="str">
        <f>'All Stock'!AH$2</f>
        <v>UK</v>
      </c>
      <c r="AK22" s="540" t="str">
        <f>'All Stock'!AI$2</f>
        <v>AL</v>
      </c>
      <c r="AL22" s="540" t="str">
        <f>'All Stock'!AJ$2</f>
        <v>BA</v>
      </c>
      <c r="AM22" s="540" t="str">
        <f>'All Stock'!AK$2</f>
        <v>ME</v>
      </c>
      <c r="AN22" s="540" t="str">
        <f>'All Stock'!AL$2</f>
        <v>MK</v>
      </c>
      <c r="AO22" s="540" t="str">
        <f>'All Stock'!AM$2</f>
        <v>RS</v>
      </c>
      <c r="AP22" s="540" t="str">
        <f>'All Stock'!AN$2</f>
        <v>KS</v>
      </c>
      <c r="AQ22" s="509"/>
      <c r="AR22" s="509"/>
      <c r="AS22" s="509"/>
      <c r="AT22" s="509"/>
    </row>
    <row r="23" spans="1:46">
      <c r="A23" t="str">
        <f t="shared" ref="A23:A37" si="6">A4</f>
        <v>Electricity</v>
      </c>
      <c r="C23" t="str">
        <f t="shared" ref="C23:C37" si="7">C4</f>
        <v>R_ES-CK-FL_ELC</v>
      </c>
      <c r="E23" t="str">
        <f t="shared" ref="E23:E37" si="8">E4</f>
        <v>R_ES-FL-Cook</v>
      </c>
      <c r="F23" s="496">
        <f>'IDEES okt 2017 template'!D135</f>
        <v>0.83</v>
      </c>
      <c r="G23" s="496">
        <f>'IDEES okt 2017 template'!E135</f>
        <v>0.83</v>
      </c>
      <c r="H23" s="496">
        <f>'IDEES okt 2017 template'!F135</f>
        <v>0.8</v>
      </c>
      <c r="I23" s="496">
        <f>'IDEES okt 2017 template'!G135</f>
        <v>0.84</v>
      </c>
      <c r="J23" s="496">
        <f>'IDEES okt 2017 template'!H135</f>
        <v>0.8</v>
      </c>
      <c r="K23" s="496">
        <f>'IDEES okt 2017 template'!I135</f>
        <v>0.8</v>
      </c>
      <c r="L23" s="496">
        <f>'IDEES okt 2017 template'!J135</f>
        <v>0.84</v>
      </c>
      <c r="M23" s="496">
        <f>'IDEES okt 2017 template'!K135</f>
        <v>0.84</v>
      </c>
      <c r="N23" s="496">
        <f>'IDEES okt 2017 template'!L135</f>
        <v>0.8</v>
      </c>
      <c r="O23" s="496">
        <f>'IDEES okt 2017 template'!M135</f>
        <v>0.81</v>
      </c>
      <c r="P23" s="496">
        <f>'IDEES okt 2017 template'!N135</f>
        <v>0.84</v>
      </c>
      <c r="Q23" s="496">
        <f>'IDEES okt 2017 template'!O135</f>
        <v>0.84</v>
      </c>
      <c r="R23" s="496">
        <f>'IDEES okt 2017 template'!P135</f>
        <v>0.81</v>
      </c>
      <c r="S23" s="496">
        <f>'IDEES okt 2017 template'!Q135</f>
        <v>0.81</v>
      </c>
      <c r="T23" s="496">
        <f>'IDEES okt 2017 template'!R135</f>
        <v>0.81</v>
      </c>
      <c r="U23" s="496">
        <f>'IDEES okt 2017 template'!S135</f>
        <v>0.83</v>
      </c>
      <c r="V23" s="496">
        <f>'IDEES okt 2017 template'!T135</f>
        <v>0.84</v>
      </c>
      <c r="W23" s="496">
        <f>'IDEES okt 2017 template'!U135</f>
        <v>0.84</v>
      </c>
      <c r="X23" s="496">
        <f>'IDEES okt 2017 template'!V135</f>
        <v>0.8</v>
      </c>
      <c r="Y23" s="496">
        <f>'IDEES okt 2017 template'!W135</f>
        <v>0.84</v>
      </c>
      <c r="Z23" s="496">
        <f>'IDEES okt 2017 template'!X135</f>
        <v>0.81</v>
      </c>
      <c r="AA23" s="496">
        <f>'IDEES okt 2017 template'!Y135</f>
        <v>0.81</v>
      </c>
      <c r="AB23" s="496">
        <f>'IDEES okt 2017 template'!Z135</f>
        <v>0.83499999999999996</v>
      </c>
      <c r="AC23" s="496">
        <f>'IDEES okt 2017 template'!AA135</f>
        <v>0.84</v>
      </c>
      <c r="AD23" s="496">
        <f>'IDEES okt 2017 template'!AB135</f>
        <v>0.81</v>
      </c>
      <c r="AE23" s="496">
        <f>'IDEES okt 2017 template'!AC135</f>
        <v>0.8</v>
      </c>
      <c r="AF23" s="496">
        <f>'IDEES okt 2017 template'!AD135</f>
        <v>0.8</v>
      </c>
      <c r="AG23" s="496">
        <f>'IDEES okt 2017 template'!AE135</f>
        <v>0.85</v>
      </c>
      <c r="AH23" s="496">
        <f>'IDEES okt 2017 template'!AF135</f>
        <v>0.84</v>
      </c>
      <c r="AI23" s="496">
        <f>'IDEES okt 2017 template'!AG135</f>
        <v>0.81</v>
      </c>
      <c r="AJ23" s="496">
        <f>'IDEES okt 2017 template'!AH135</f>
        <v>0.83</v>
      </c>
      <c r="AK23" s="496">
        <f>'IDEES okt 2017 template'!AI135</f>
        <v>0.81</v>
      </c>
      <c r="AL23" s="496">
        <f>'IDEES okt 2017 template'!AJ135</f>
        <v>0.81</v>
      </c>
      <c r="AM23" s="496">
        <f>'IDEES okt 2017 template'!AK135</f>
        <v>0.81</v>
      </c>
      <c r="AN23" s="496">
        <f>'IDEES okt 2017 template'!AL135</f>
        <v>0.81</v>
      </c>
      <c r="AO23" s="496">
        <f>'IDEES okt 2017 template'!AM135</f>
        <v>0.81</v>
      </c>
      <c r="AP23" s="496">
        <f>'IDEES okt 2017 template'!AN135</f>
        <v>0.81</v>
      </c>
      <c r="AQ23" s="509"/>
      <c r="AR23" s="509"/>
      <c r="AS23" s="509"/>
      <c r="AT23" s="509"/>
    </row>
    <row r="24" spans="1:46">
      <c r="A24" t="str">
        <f t="shared" si="6"/>
        <v>Gases</v>
      </c>
      <c r="C24" t="str">
        <f t="shared" si="7"/>
        <v>R_ES-CK-FL_GAS</v>
      </c>
      <c r="E24" t="str">
        <f t="shared" si="8"/>
        <v>R_ES-FL-Cook</v>
      </c>
      <c r="F24" s="496">
        <f>'IDEES okt 2017 template'!D136</f>
        <v>0.49</v>
      </c>
      <c r="G24" s="496">
        <f>'IDEES okt 2017 template'!E136</f>
        <v>0.49</v>
      </c>
      <c r="H24" s="496">
        <f>'IDEES okt 2017 template'!F136</f>
        <v>0.44</v>
      </c>
      <c r="I24" s="496">
        <f>'IDEES okt 2017 template'!G136</f>
        <v>0.49</v>
      </c>
      <c r="J24" s="496">
        <f>'IDEES okt 2017 template'!H136</f>
        <v>0</v>
      </c>
      <c r="K24" s="496">
        <f>'IDEES okt 2017 template'!I136</f>
        <v>0.45</v>
      </c>
      <c r="L24" s="496">
        <f>'IDEES okt 2017 template'!J136</f>
        <v>0.49</v>
      </c>
      <c r="M24" s="496">
        <f>'IDEES okt 2017 template'!K136</f>
        <v>0.49</v>
      </c>
      <c r="N24" s="496">
        <f>'IDEES okt 2017 template'!L136</f>
        <v>0.45</v>
      </c>
      <c r="O24" s="496">
        <f>'IDEES okt 2017 template'!M136</f>
        <v>0.46</v>
      </c>
      <c r="P24" s="496">
        <f>'IDEES okt 2017 template'!N136</f>
        <v>0.5</v>
      </c>
      <c r="Q24" s="496">
        <f>'IDEES okt 2017 template'!O136</f>
        <v>0.49</v>
      </c>
      <c r="R24" s="496">
        <f>'IDEES okt 2017 template'!P136</f>
        <v>0.46</v>
      </c>
      <c r="S24" s="496">
        <f>'IDEES okt 2017 template'!Q136</f>
        <v>0.46</v>
      </c>
      <c r="T24" s="496">
        <f>'IDEES okt 2017 template'!R136</f>
        <v>0.46</v>
      </c>
      <c r="U24" s="496">
        <f>'IDEES okt 2017 template'!S136</f>
        <v>0.48</v>
      </c>
      <c r="V24" s="496">
        <f>'IDEES okt 2017 template'!T136</f>
        <v>0.49</v>
      </c>
      <c r="W24" s="496">
        <f>'IDEES okt 2017 template'!U136</f>
        <v>0.5</v>
      </c>
      <c r="X24" s="496">
        <f>'IDEES okt 2017 template'!V136</f>
        <v>0.45</v>
      </c>
      <c r="Y24" s="496">
        <f>'IDEES okt 2017 template'!W136</f>
        <v>0.5</v>
      </c>
      <c r="Z24" s="496">
        <f>'IDEES okt 2017 template'!X136</f>
        <v>0.46</v>
      </c>
      <c r="AA24" s="496">
        <f>'IDEES okt 2017 template'!Y136</f>
        <v>0</v>
      </c>
      <c r="AB24" s="496">
        <f>'IDEES okt 2017 template'!Z136</f>
        <v>0.48499999999999999</v>
      </c>
      <c r="AC24" s="496">
        <f>'IDEES okt 2017 template'!AA136</f>
        <v>0.49</v>
      </c>
      <c r="AD24" s="496">
        <f>'IDEES okt 2017 template'!AB136</f>
        <v>0.46</v>
      </c>
      <c r="AE24" s="496">
        <f>'IDEES okt 2017 template'!AC136</f>
        <v>0.44</v>
      </c>
      <c r="AF24" s="496">
        <f>'IDEES okt 2017 template'!AD136</f>
        <v>0.45</v>
      </c>
      <c r="AG24" s="496">
        <f>'IDEES okt 2017 template'!AE136</f>
        <v>0.5</v>
      </c>
      <c r="AH24" s="496">
        <f>'IDEES okt 2017 template'!AF136</f>
        <v>0.49</v>
      </c>
      <c r="AI24" s="496">
        <f>'IDEES okt 2017 template'!AG136</f>
        <v>0.46</v>
      </c>
      <c r="AJ24" s="496">
        <f>'IDEES okt 2017 template'!AH136</f>
        <v>0.48</v>
      </c>
      <c r="AK24" s="496">
        <f>'IDEES okt 2017 template'!AI136</f>
        <v>0.46</v>
      </c>
      <c r="AL24" s="496">
        <f>'IDEES okt 2017 template'!AJ136</f>
        <v>0.46</v>
      </c>
      <c r="AM24" s="496">
        <f>'IDEES okt 2017 template'!AK136</f>
        <v>0.46</v>
      </c>
      <c r="AN24" s="496">
        <f>'IDEES okt 2017 template'!AL136</f>
        <v>0.46</v>
      </c>
      <c r="AO24" s="496">
        <f>'IDEES okt 2017 template'!AM136</f>
        <v>0.46</v>
      </c>
      <c r="AP24" s="496">
        <f>'IDEES okt 2017 template'!AN136</f>
        <v>0.46</v>
      </c>
      <c r="AQ24" s="509"/>
      <c r="AR24" s="509"/>
      <c r="AS24" s="509"/>
      <c r="AT24" s="509"/>
    </row>
    <row r="25" spans="1:46">
      <c r="A25" t="str">
        <f t="shared" si="6"/>
        <v>Biomass and wastes</v>
      </c>
      <c r="C25" t="str">
        <f t="shared" si="7"/>
        <v>R_ES-CK-FL_BIO</v>
      </c>
      <c r="E25" t="str">
        <f t="shared" si="8"/>
        <v>R_ES-FL-Cook</v>
      </c>
      <c r="F25" s="496">
        <f>'IDEES okt 2017 template'!D134</f>
        <v>0.35</v>
      </c>
      <c r="G25" s="496">
        <f>'IDEES okt 2017 template'!E134</f>
        <v>0</v>
      </c>
      <c r="H25" s="496">
        <f>'IDEES okt 2017 template'!F134</f>
        <v>0.32</v>
      </c>
      <c r="I25" s="496">
        <f>'IDEES okt 2017 template'!G134</f>
        <v>0.35</v>
      </c>
      <c r="J25" s="496">
        <f>'IDEES okt 2017 template'!H134</f>
        <v>0</v>
      </c>
      <c r="K25" s="496">
        <f>'IDEES okt 2017 template'!I134</f>
        <v>0.32</v>
      </c>
      <c r="L25" s="496">
        <f>'IDEES okt 2017 template'!J134</f>
        <v>0</v>
      </c>
      <c r="M25" s="496">
        <f>'IDEES okt 2017 template'!K134</f>
        <v>0</v>
      </c>
      <c r="N25" s="496">
        <f>'IDEES okt 2017 template'!L134</f>
        <v>0.32</v>
      </c>
      <c r="O25" s="496">
        <f>'IDEES okt 2017 template'!M134</f>
        <v>0.33</v>
      </c>
      <c r="P25" s="496">
        <f>'IDEES okt 2017 template'!N134</f>
        <v>0</v>
      </c>
      <c r="Q25" s="496">
        <f>'IDEES okt 2017 template'!O134</f>
        <v>0</v>
      </c>
      <c r="R25" s="496">
        <f>'IDEES okt 2017 template'!P134</f>
        <v>0.33</v>
      </c>
      <c r="S25" s="496">
        <f>'IDEES okt 2017 template'!Q134</f>
        <v>0</v>
      </c>
      <c r="T25" s="496">
        <f>'IDEES okt 2017 template'!R134</f>
        <v>0.33</v>
      </c>
      <c r="U25" s="496">
        <f>'IDEES okt 2017 template'!S134</f>
        <v>0</v>
      </c>
      <c r="V25" s="496">
        <f>'IDEES okt 2017 template'!T134</f>
        <v>0.35</v>
      </c>
      <c r="W25" s="496">
        <f>'IDEES okt 2017 template'!U134</f>
        <v>0</v>
      </c>
      <c r="X25" s="496">
        <f>'IDEES okt 2017 template'!V134</f>
        <v>0.32</v>
      </c>
      <c r="Y25" s="496">
        <f>'IDEES okt 2017 template'!W134</f>
        <v>0</v>
      </c>
      <c r="Z25" s="496">
        <f>'IDEES okt 2017 template'!X134</f>
        <v>0.33</v>
      </c>
      <c r="AA25" s="496">
        <f>'IDEES okt 2017 template'!Y134</f>
        <v>0</v>
      </c>
      <c r="AB25" s="496">
        <f>'IDEES okt 2017 template'!Z134</f>
        <v>0</v>
      </c>
      <c r="AC25" s="496">
        <f>'IDEES okt 2017 template'!AA134</f>
        <v>0.35</v>
      </c>
      <c r="AD25" s="496">
        <f>'IDEES okt 2017 template'!AB134</f>
        <v>0.33</v>
      </c>
      <c r="AE25" s="496">
        <f>'IDEES okt 2017 template'!AC134</f>
        <v>0.32</v>
      </c>
      <c r="AF25" s="496">
        <f>'IDEES okt 2017 template'!AD134</f>
        <v>0.32</v>
      </c>
      <c r="AG25" s="496">
        <f>'IDEES okt 2017 template'!AE134</f>
        <v>0</v>
      </c>
      <c r="AH25" s="496">
        <f>'IDEES okt 2017 template'!AF134</f>
        <v>0.35</v>
      </c>
      <c r="AI25" s="496">
        <f>'IDEES okt 2017 template'!AG134</f>
        <v>0</v>
      </c>
      <c r="AJ25" s="496">
        <f>'IDEES okt 2017 template'!AH134</f>
        <v>0</v>
      </c>
      <c r="AK25" s="496">
        <f>'IDEES okt 2017 template'!AI134</f>
        <v>0.33</v>
      </c>
      <c r="AL25" s="496">
        <f>'IDEES okt 2017 template'!AJ134</f>
        <v>0</v>
      </c>
      <c r="AM25" s="496">
        <f>'IDEES okt 2017 template'!AK134</f>
        <v>0.33</v>
      </c>
      <c r="AN25" s="496">
        <f>'IDEES okt 2017 template'!AL134</f>
        <v>0.33</v>
      </c>
      <c r="AO25" s="496">
        <f>'IDEES okt 2017 template'!AM134</f>
        <v>0</v>
      </c>
      <c r="AP25" s="496">
        <f>'IDEES okt 2017 template'!AN134</f>
        <v>0</v>
      </c>
      <c r="AQ25" s="509"/>
      <c r="AR25" s="509"/>
      <c r="AS25" s="509"/>
      <c r="AT25" s="509"/>
    </row>
    <row r="26" spans="1:46">
      <c r="A26" t="str">
        <f t="shared" si="6"/>
        <v>Solids</v>
      </c>
      <c r="C26" t="str">
        <f t="shared" si="7"/>
        <v>R_ES-CK-FL_COA</v>
      </c>
      <c r="E26" t="str">
        <f t="shared" si="8"/>
        <v>R_ES-FL-Cook</v>
      </c>
      <c r="F26" s="496">
        <f>'IDEES okt 2017 template'!D138</f>
        <v>0.35</v>
      </c>
      <c r="G26" s="496">
        <f>'IDEES okt 2017 template'!E138</f>
        <v>0</v>
      </c>
      <c r="H26" s="496">
        <f>'IDEES okt 2017 template'!F138</f>
        <v>0.32</v>
      </c>
      <c r="I26" s="496">
        <f>'IDEES okt 2017 template'!G138</f>
        <v>0.35</v>
      </c>
      <c r="J26" s="496">
        <f>'IDEES okt 2017 template'!H138</f>
        <v>0</v>
      </c>
      <c r="K26" s="496">
        <f>'IDEES okt 2017 template'!I138</f>
        <v>0</v>
      </c>
      <c r="L26" s="496">
        <f>'IDEES okt 2017 template'!J138</f>
        <v>0</v>
      </c>
      <c r="M26" s="496">
        <f>'IDEES okt 2017 template'!K138</f>
        <v>0</v>
      </c>
      <c r="N26" s="496">
        <f>'IDEES okt 2017 template'!L138</f>
        <v>0</v>
      </c>
      <c r="O26" s="496">
        <f>'IDEES okt 2017 template'!M138</f>
        <v>0.33</v>
      </c>
      <c r="P26" s="496">
        <f>'IDEES okt 2017 template'!N138</f>
        <v>0</v>
      </c>
      <c r="Q26" s="496">
        <f>'IDEES okt 2017 template'!O138</f>
        <v>0</v>
      </c>
      <c r="R26" s="496">
        <f>'IDEES okt 2017 template'!P138</f>
        <v>0</v>
      </c>
      <c r="S26" s="496">
        <f>'IDEES okt 2017 template'!Q138</f>
        <v>0</v>
      </c>
      <c r="T26" s="496">
        <f>'IDEES okt 2017 template'!R138</f>
        <v>0.33</v>
      </c>
      <c r="U26" s="496">
        <f>'IDEES okt 2017 template'!S138</f>
        <v>0</v>
      </c>
      <c r="V26" s="496">
        <f>'IDEES okt 2017 template'!T138</f>
        <v>0.35</v>
      </c>
      <c r="W26" s="496">
        <f>'IDEES okt 2017 template'!U138</f>
        <v>0</v>
      </c>
      <c r="X26" s="496">
        <f>'IDEES okt 2017 template'!V138</f>
        <v>0</v>
      </c>
      <c r="Y26" s="496">
        <f>'IDEES okt 2017 template'!W138</f>
        <v>0</v>
      </c>
      <c r="Z26" s="496">
        <f>'IDEES okt 2017 template'!X138</f>
        <v>0</v>
      </c>
      <c r="AA26" s="496">
        <f>'IDEES okt 2017 template'!Y138</f>
        <v>0</v>
      </c>
      <c r="AB26" s="496">
        <f>'IDEES okt 2017 template'!Z138</f>
        <v>0</v>
      </c>
      <c r="AC26" s="496">
        <f>'IDEES okt 2017 template'!AA138</f>
        <v>0.35</v>
      </c>
      <c r="AD26" s="496">
        <f>'IDEES okt 2017 template'!AB138</f>
        <v>0.33</v>
      </c>
      <c r="AE26" s="496">
        <f>'IDEES okt 2017 template'!AC138</f>
        <v>0</v>
      </c>
      <c r="AF26" s="496">
        <f>'IDEES okt 2017 template'!AD138</f>
        <v>0</v>
      </c>
      <c r="AG26" s="496">
        <f>'IDEES okt 2017 template'!AE138</f>
        <v>0</v>
      </c>
      <c r="AH26" s="496">
        <f>'IDEES okt 2017 template'!AF138</f>
        <v>0</v>
      </c>
      <c r="AI26" s="496">
        <f>'IDEES okt 2017 template'!AG138</f>
        <v>0</v>
      </c>
      <c r="AJ26" s="496">
        <f>'IDEES okt 2017 template'!AH138</f>
        <v>0</v>
      </c>
      <c r="AK26" s="496">
        <f>'IDEES okt 2017 template'!AI138</f>
        <v>0</v>
      </c>
      <c r="AL26" s="496">
        <f>'IDEES okt 2017 template'!AJ138</f>
        <v>0</v>
      </c>
      <c r="AM26" s="496">
        <f>'IDEES okt 2017 template'!AK138</f>
        <v>0</v>
      </c>
      <c r="AN26" s="496">
        <f>'IDEES okt 2017 template'!AL138</f>
        <v>0</v>
      </c>
      <c r="AO26" s="496">
        <f>'IDEES okt 2017 template'!AM138</f>
        <v>0</v>
      </c>
      <c r="AP26" s="496">
        <f>'IDEES okt 2017 template'!AN138</f>
        <v>0</v>
      </c>
      <c r="AQ26" s="509"/>
      <c r="AR26" s="509"/>
      <c r="AS26" s="509"/>
      <c r="AT26" s="509"/>
    </row>
    <row r="27" spans="1:46">
      <c r="A27" t="str">
        <f t="shared" si="6"/>
        <v>LPG</v>
      </c>
      <c r="C27" t="str">
        <f t="shared" si="7"/>
        <v>R_ES-CK-FL_LPG</v>
      </c>
      <c r="E27" t="str">
        <f t="shared" si="8"/>
        <v>R_ES-FL-Cook</v>
      </c>
      <c r="F27" s="496">
        <f>'IDEES okt 2017 template'!D137</f>
        <v>0.45</v>
      </c>
      <c r="G27" s="496">
        <f>'IDEES okt 2017 template'!E137</f>
        <v>0.45</v>
      </c>
      <c r="H27" s="496">
        <f>'IDEES okt 2017 template'!F137</f>
        <v>0.41</v>
      </c>
      <c r="I27" s="496">
        <f>'IDEES okt 2017 template'!G137</f>
        <v>0.46</v>
      </c>
      <c r="J27" s="496">
        <f>'IDEES okt 2017 template'!H137</f>
        <v>0.42</v>
      </c>
      <c r="K27" s="496">
        <f>'IDEES okt 2017 template'!I137</f>
        <v>0.42</v>
      </c>
      <c r="L27" s="496">
        <f>'IDEES okt 2017 template'!J137</f>
        <v>0.46</v>
      </c>
      <c r="M27" s="496">
        <f>'IDEES okt 2017 template'!K137</f>
        <v>0.46</v>
      </c>
      <c r="N27" s="496">
        <f>'IDEES okt 2017 template'!L137</f>
        <v>0.42</v>
      </c>
      <c r="O27" s="496">
        <f>'IDEES okt 2017 template'!M137</f>
        <v>0.43</v>
      </c>
      <c r="P27" s="496">
        <f>'IDEES okt 2017 template'!N137</f>
        <v>0.46</v>
      </c>
      <c r="Q27" s="496">
        <f>'IDEES okt 2017 template'!O137</f>
        <v>0.46</v>
      </c>
      <c r="R27" s="496">
        <f>'IDEES okt 2017 template'!P137</f>
        <v>0.43</v>
      </c>
      <c r="S27" s="496">
        <f>'IDEES okt 2017 template'!Q137</f>
        <v>0.43</v>
      </c>
      <c r="T27" s="496">
        <f>'IDEES okt 2017 template'!R137</f>
        <v>0.42</v>
      </c>
      <c r="U27" s="496">
        <f>'IDEES okt 2017 template'!S137</f>
        <v>0.45</v>
      </c>
      <c r="V27" s="496">
        <f>'IDEES okt 2017 template'!T137</f>
        <v>0.46</v>
      </c>
      <c r="W27" s="496">
        <f>'IDEES okt 2017 template'!U137</f>
        <v>0.46</v>
      </c>
      <c r="X27" s="496">
        <f>'IDEES okt 2017 template'!V137</f>
        <v>0.42</v>
      </c>
      <c r="Y27" s="496">
        <f>'IDEES okt 2017 template'!W137</f>
        <v>0.46</v>
      </c>
      <c r="Z27" s="496">
        <f>'IDEES okt 2017 template'!X137</f>
        <v>0.43</v>
      </c>
      <c r="AA27" s="496">
        <f>'IDEES okt 2017 template'!Y137</f>
        <v>0.43</v>
      </c>
      <c r="AB27" s="496">
        <f>'IDEES okt 2017 template'!Z137</f>
        <v>0.45</v>
      </c>
      <c r="AC27" s="496">
        <f>'IDEES okt 2017 template'!AA137</f>
        <v>0.46</v>
      </c>
      <c r="AD27" s="496">
        <f>'IDEES okt 2017 template'!AB137</f>
        <v>0.43</v>
      </c>
      <c r="AE27" s="496">
        <f>'IDEES okt 2017 template'!AC137</f>
        <v>0.41</v>
      </c>
      <c r="AF27" s="496">
        <f>'IDEES okt 2017 template'!AD137</f>
        <v>0.42</v>
      </c>
      <c r="AG27" s="496">
        <f>'IDEES okt 2017 template'!AE137</f>
        <v>0</v>
      </c>
      <c r="AH27" s="496">
        <f>'IDEES okt 2017 template'!AF137</f>
        <v>0.46</v>
      </c>
      <c r="AI27" s="496">
        <f>'IDEES okt 2017 template'!AG137</f>
        <v>0.43</v>
      </c>
      <c r="AJ27" s="496">
        <f>'IDEES okt 2017 template'!AH137</f>
        <v>0.45</v>
      </c>
      <c r="AK27" s="496">
        <f>'IDEES okt 2017 template'!AI137</f>
        <v>0.43</v>
      </c>
      <c r="AL27" s="496">
        <f>'IDEES okt 2017 template'!AJ137</f>
        <v>0.43</v>
      </c>
      <c r="AM27" s="496">
        <f>'IDEES okt 2017 template'!AK137</f>
        <v>0.43</v>
      </c>
      <c r="AN27" s="496">
        <f>'IDEES okt 2017 template'!AL137</f>
        <v>0.43</v>
      </c>
      <c r="AO27" s="496">
        <f>'IDEES okt 2017 template'!AM137</f>
        <v>0.43</v>
      </c>
      <c r="AP27" s="496">
        <f>'IDEES okt 2017 template'!AN137</f>
        <v>0.43</v>
      </c>
      <c r="AQ27" s="509"/>
      <c r="AR27" s="509"/>
      <c r="AS27" s="509"/>
      <c r="AT27" s="509"/>
    </row>
    <row r="28" spans="1:46">
      <c r="A28" t="str">
        <f t="shared" si="6"/>
        <v>Electricity</v>
      </c>
      <c r="C28" t="str">
        <f t="shared" si="7"/>
        <v>R_ES-CK-DH_ELC</v>
      </c>
      <c r="E28" t="str">
        <f t="shared" si="8"/>
        <v>R_ES-DH-Cook</v>
      </c>
      <c r="F28" s="496">
        <f t="shared" ref="F28:AP34" si="9">F23</f>
        <v>0.83</v>
      </c>
      <c r="G28" s="496">
        <f t="shared" si="9"/>
        <v>0.83</v>
      </c>
      <c r="H28" s="496">
        <f t="shared" si="9"/>
        <v>0.8</v>
      </c>
      <c r="I28" s="496">
        <f t="shared" si="9"/>
        <v>0.84</v>
      </c>
      <c r="J28" s="496">
        <f t="shared" si="9"/>
        <v>0.8</v>
      </c>
      <c r="K28" s="496">
        <f t="shared" si="9"/>
        <v>0.8</v>
      </c>
      <c r="L28" s="496">
        <f t="shared" si="9"/>
        <v>0.84</v>
      </c>
      <c r="M28" s="496">
        <f t="shared" si="9"/>
        <v>0.84</v>
      </c>
      <c r="N28" s="496">
        <f t="shared" si="9"/>
        <v>0.8</v>
      </c>
      <c r="O28" s="496">
        <f t="shared" si="9"/>
        <v>0.81</v>
      </c>
      <c r="P28" s="496">
        <f t="shared" si="9"/>
        <v>0.84</v>
      </c>
      <c r="Q28" s="496">
        <f t="shared" si="9"/>
        <v>0.84</v>
      </c>
      <c r="R28" s="496">
        <f t="shared" si="9"/>
        <v>0.81</v>
      </c>
      <c r="S28" s="496">
        <f t="shared" si="9"/>
        <v>0.81</v>
      </c>
      <c r="T28" s="496">
        <f t="shared" si="9"/>
        <v>0.81</v>
      </c>
      <c r="U28" s="496">
        <f t="shared" si="9"/>
        <v>0.83</v>
      </c>
      <c r="V28" s="496">
        <f t="shared" si="9"/>
        <v>0.84</v>
      </c>
      <c r="W28" s="496">
        <f t="shared" si="9"/>
        <v>0.84</v>
      </c>
      <c r="X28" s="496">
        <f t="shared" si="9"/>
        <v>0.8</v>
      </c>
      <c r="Y28" s="496">
        <f t="shared" si="9"/>
        <v>0.84</v>
      </c>
      <c r="Z28" s="496">
        <f t="shared" si="9"/>
        <v>0.81</v>
      </c>
      <c r="AA28" s="496">
        <f t="shared" si="9"/>
        <v>0.81</v>
      </c>
      <c r="AB28" s="496">
        <f t="shared" si="9"/>
        <v>0.83499999999999996</v>
      </c>
      <c r="AC28" s="496">
        <f t="shared" si="9"/>
        <v>0.84</v>
      </c>
      <c r="AD28" s="496">
        <f t="shared" si="9"/>
        <v>0.81</v>
      </c>
      <c r="AE28" s="496">
        <f t="shared" si="9"/>
        <v>0.8</v>
      </c>
      <c r="AF28" s="496">
        <f t="shared" si="9"/>
        <v>0.8</v>
      </c>
      <c r="AG28" s="496">
        <f t="shared" si="9"/>
        <v>0.85</v>
      </c>
      <c r="AH28" s="496">
        <f t="shared" si="9"/>
        <v>0.84</v>
      </c>
      <c r="AI28" s="496">
        <f t="shared" si="9"/>
        <v>0.81</v>
      </c>
      <c r="AJ28" s="496">
        <f t="shared" si="9"/>
        <v>0.83</v>
      </c>
      <c r="AK28" s="496">
        <f t="shared" si="9"/>
        <v>0.81</v>
      </c>
      <c r="AL28" s="496">
        <f t="shared" si="9"/>
        <v>0.81</v>
      </c>
      <c r="AM28" s="496">
        <f t="shared" si="9"/>
        <v>0.81</v>
      </c>
      <c r="AN28" s="496">
        <f t="shared" si="9"/>
        <v>0.81</v>
      </c>
      <c r="AO28" s="496">
        <f t="shared" si="9"/>
        <v>0.81</v>
      </c>
      <c r="AP28" s="496">
        <f t="shared" si="9"/>
        <v>0.81</v>
      </c>
      <c r="AQ28" s="509"/>
      <c r="AR28" s="509"/>
      <c r="AS28" s="509"/>
      <c r="AT28" s="509"/>
    </row>
    <row r="29" spans="1:46">
      <c r="A29" t="str">
        <f t="shared" si="6"/>
        <v>Gases</v>
      </c>
      <c r="C29" t="str">
        <f t="shared" si="7"/>
        <v>R_ES-CK-DH_GAS</v>
      </c>
      <c r="E29" t="str">
        <f t="shared" si="8"/>
        <v>R_ES-DH-Cook</v>
      </c>
      <c r="F29" s="496">
        <f t="shared" si="9"/>
        <v>0.49</v>
      </c>
      <c r="G29" s="496">
        <f t="shared" si="9"/>
        <v>0.49</v>
      </c>
      <c r="H29" s="496">
        <f t="shared" si="9"/>
        <v>0.44</v>
      </c>
      <c r="I29" s="496">
        <f t="shared" si="9"/>
        <v>0.49</v>
      </c>
      <c r="J29" s="496">
        <f t="shared" si="9"/>
        <v>0</v>
      </c>
      <c r="K29" s="496">
        <f t="shared" si="9"/>
        <v>0.45</v>
      </c>
      <c r="L29" s="496">
        <f t="shared" si="9"/>
        <v>0.49</v>
      </c>
      <c r="M29" s="496">
        <f t="shared" si="9"/>
        <v>0.49</v>
      </c>
      <c r="N29" s="496">
        <f t="shared" si="9"/>
        <v>0.45</v>
      </c>
      <c r="O29" s="496">
        <f t="shared" si="9"/>
        <v>0.46</v>
      </c>
      <c r="P29" s="496">
        <f t="shared" si="9"/>
        <v>0.5</v>
      </c>
      <c r="Q29" s="496">
        <f t="shared" si="9"/>
        <v>0.49</v>
      </c>
      <c r="R29" s="496">
        <f t="shared" si="9"/>
        <v>0.46</v>
      </c>
      <c r="S29" s="496">
        <f t="shared" si="9"/>
        <v>0.46</v>
      </c>
      <c r="T29" s="496">
        <f t="shared" si="9"/>
        <v>0.46</v>
      </c>
      <c r="U29" s="496">
        <f t="shared" si="9"/>
        <v>0.48</v>
      </c>
      <c r="V29" s="496">
        <f t="shared" si="9"/>
        <v>0.49</v>
      </c>
      <c r="W29" s="496">
        <f t="shared" si="9"/>
        <v>0.5</v>
      </c>
      <c r="X29" s="496">
        <f t="shared" si="9"/>
        <v>0.45</v>
      </c>
      <c r="Y29" s="496">
        <f t="shared" si="9"/>
        <v>0.5</v>
      </c>
      <c r="Z29" s="496">
        <f t="shared" si="9"/>
        <v>0.46</v>
      </c>
      <c r="AA29" s="496">
        <f t="shared" si="9"/>
        <v>0</v>
      </c>
      <c r="AB29" s="496">
        <f t="shared" si="9"/>
        <v>0.48499999999999999</v>
      </c>
      <c r="AC29" s="496">
        <f t="shared" si="9"/>
        <v>0.49</v>
      </c>
      <c r="AD29" s="496">
        <f t="shared" si="9"/>
        <v>0.46</v>
      </c>
      <c r="AE29" s="496">
        <f t="shared" si="9"/>
        <v>0.44</v>
      </c>
      <c r="AF29" s="496">
        <f t="shared" si="9"/>
        <v>0.45</v>
      </c>
      <c r="AG29" s="496">
        <f t="shared" si="9"/>
        <v>0.5</v>
      </c>
      <c r="AH29" s="496">
        <f t="shared" si="9"/>
        <v>0.49</v>
      </c>
      <c r="AI29" s="496">
        <f t="shared" si="9"/>
        <v>0.46</v>
      </c>
      <c r="AJ29" s="496">
        <f t="shared" si="9"/>
        <v>0.48</v>
      </c>
      <c r="AK29" s="496">
        <f t="shared" si="9"/>
        <v>0.46</v>
      </c>
      <c r="AL29" s="496">
        <f t="shared" si="9"/>
        <v>0.46</v>
      </c>
      <c r="AM29" s="496">
        <f t="shared" si="9"/>
        <v>0.46</v>
      </c>
      <c r="AN29" s="496">
        <f t="shared" si="9"/>
        <v>0.46</v>
      </c>
      <c r="AO29" s="496">
        <f t="shared" si="9"/>
        <v>0.46</v>
      </c>
      <c r="AP29" s="496">
        <f t="shared" si="9"/>
        <v>0.46</v>
      </c>
      <c r="AQ29" s="509"/>
      <c r="AR29" s="509"/>
      <c r="AS29" s="509"/>
      <c r="AT29" s="509"/>
    </row>
    <row r="30" spans="1:46">
      <c r="A30" t="str">
        <f t="shared" si="6"/>
        <v>Biomass and wastes</v>
      </c>
      <c r="C30" t="str">
        <f t="shared" si="7"/>
        <v>R_ES-CK-DH_BIO</v>
      </c>
      <c r="E30" t="str">
        <f t="shared" si="8"/>
        <v>R_ES-DH-Cook</v>
      </c>
      <c r="F30" s="496">
        <f t="shared" si="9"/>
        <v>0.35</v>
      </c>
      <c r="G30" s="496">
        <f t="shared" si="9"/>
        <v>0</v>
      </c>
      <c r="H30" s="496">
        <f t="shared" si="9"/>
        <v>0.32</v>
      </c>
      <c r="I30" s="496">
        <f>I25</f>
        <v>0.35</v>
      </c>
      <c r="J30" s="496">
        <f t="shared" si="9"/>
        <v>0</v>
      </c>
      <c r="K30" s="496">
        <f t="shared" si="9"/>
        <v>0.32</v>
      </c>
      <c r="L30" s="496">
        <f t="shared" si="9"/>
        <v>0</v>
      </c>
      <c r="M30" s="496">
        <f t="shared" si="9"/>
        <v>0</v>
      </c>
      <c r="N30" s="496">
        <f t="shared" si="9"/>
        <v>0.32</v>
      </c>
      <c r="O30" s="496">
        <f t="shared" si="9"/>
        <v>0.33</v>
      </c>
      <c r="P30" s="496">
        <f t="shared" si="9"/>
        <v>0</v>
      </c>
      <c r="Q30" s="496">
        <f t="shared" si="9"/>
        <v>0</v>
      </c>
      <c r="R30" s="496">
        <f t="shared" si="9"/>
        <v>0.33</v>
      </c>
      <c r="S30" s="496">
        <f t="shared" si="9"/>
        <v>0</v>
      </c>
      <c r="T30" s="496">
        <f t="shared" si="9"/>
        <v>0.33</v>
      </c>
      <c r="U30" s="496">
        <f t="shared" si="9"/>
        <v>0</v>
      </c>
      <c r="V30" s="496">
        <f t="shared" si="9"/>
        <v>0.35</v>
      </c>
      <c r="W30" s="496">
        <f t="shared" si="9"/>
        <v>0</v>
      </c>
      <c r="X30" s="496">
        <f t="shared" si="9"/>
        <v>0.32</v>
      </c>
      <c r="Y30" s="496">
        <f t="shared" si="9"/>
        <v>0</v>
      </c>
      <c r="Z30" s="496">
        <f t="shared" si="9"/>
        <v>0.33</v>
      </c>
      <c r="AA30" s="496">
        <f t="shared" si="9"/>
        <v>0</v>
      </c>
      <c r="AB30" s="496">
        <f t="shared" si="9"/>
        <v>0</v>
      </c>
      <c r="AC30" s="496">
        <f t="shared" si="9"/>
        <v>0.35</v>
      </c>
      <c r="AD30" s="496">
        <f t="shared" si="9"/>
        <v>0.33</v>
      </c>
      <c r="AE30" s="496">
        <f t="shared" si="9"/>
        <v>0.32</v>
      </c>
      <c r="AF30" s="496">
        <f t="shared" si="9"/>
        <v>0.32</v>
      </c>
      <c r="AG30" s="496">
        <f t="shared" si="9"/>
        <v>0</v>
      </c>
      <c r="AH30" s="496">
        <f t="shared" si="9"/>
        <v>0.35</v>
      </c>
      <c r="AI30" s="496">
        <f t="shared" si="9"/>
        <v>0</v>
      </c>
      <c r="AJ30" s="496">
        <f t="shared" si="9"/>
        <v>0</v>
      </c>
      <c r="AK30" s="496">
        <f t="shared" si="9"/>
        <v>0.33</v>
      </c>
      <c r="AL30" s="496">
        <f t="shared" si="9"/>
        <v>0</v>
      </c>
      <c r="AM30" s="496">
        <f t="shared" si="9"/>
        <v>0.33</v>
      </c>
      <c r="AN30" s="496">
        <f t="shared" si="9"/>
        <v>0.33</v>
      </c>
      <c r="AO30" s="496">
        <f t="shared" si="9"/>
        <v>0</v>
      </c>
      <c r="AP30" s="496">
        <f t="shared" si="9"/>
        <v>0</v>
      </c>
      <c r="AQ30" s="509"/>
      <c r="AR30" s="509"/>
      <c r="AS30" s="509"/>
      <c r="AT30" s="509"/>
    </row>
    <row r="31" spans="1:46">
      <c r="A31" t="str">
        <f t="shared" si="6"/>
        <v>Solids</v>
      </c>
      <c r="C31" t="str">
        <f t="shared" si="7"/>
        <v>R_ES-CK-DH_COA</v>
      </c>
      <c r="E31" t="str">
        <f t="shared" si="8"/>
        <v>R_ES-DH-Cook</v>
      </c>
      <c r="F31" s="496">
        <f t="shared" si="9"/>
        <v>0.35</v>
      </c>
      <c r="G31" s="496">
        <f t="shared" si="9"/>
        <v>0</v>
      </c>
      <c r="H31" s="496">
        <f t="shared" si="9"/>
        <v>0.32</v>
      </c>
      <c r="I31" s="496">
        <f t="shared" si="9"/>
        <v>0.35</v>
      </c>
      <c r="J31" s="496">
        <f t="shared" si="9"/>
        <v>0</v>
      </c>
      <c r="K31" s="496">
        <f t="shared" si="9"/>
        <v>0</v>
      </c>
      <c r="L31" s="496">
        <f t="shared" si="9"/>
        <v>0</v>
      </c>
      <c r="M31" s="496">
        <f t="shared" si="9"/>
        <v>0</v>
      </c>
      <c r="N31" s="496">
        <f t="shared" si="9"/>
        <v>0</v>
      </c>
      <c r="O31" s="496">
        <f t="shared" si="9"/>
        <v>0.33</v>
      </c>
      <c r="P31" s="496">
        <f t="shared" si="9"/>
        <v>0</v>
      </c>
      <c r="Q31" s="496">
        <f t="shared" si="9"/>
        <v>0</v>
      </c>
      <c r="R31" s="496">
        <f t="shared" si="9"/>
        <v>0</v>
      </c>
      <c r="S31" s="496">
        <f t="shared" si="9"/>
        <v>0</v>
      </c>
      <c r="T31" s="496">
        <f t="shared" si="9"/>
        <v>0.33</v>
      </c>
      <c r="U31" s="496">
        <f t="shared" si="9"/>
        <v>0</v>
      </c>
      <c r="V31" s="496">
        <f t="shared" si="9"/>
        <v>0.35</v>
      </c>
      <c r="W31" s="496">
        <f t="shared" si="9"/>
        <v>0</v>
      </c>
      <c r="X31" s="496">
        <f t="shared" si="9"/>
        <v>0</v>
      </c>
      <c r="Y31" s="496">
        <f t="shared" si="9"/>
        <v>0</v>
      </c>
      <c r="Z31" s="496">
        <f t="shared" si="9"/>
        <v>0</v>
      </c>
      <c r="AA31" s="496">
        <f t="shared" si="9"/>
        <v>0</v>
      </c>
      <c r="AB31" s="496">
        <f t="shared" si="9"/>
        <v>0</v>
      </c>
      <c r="AC31" s="496">
        <f t="shared" si="9"/>
        <v>0.35</v>
      </c>
      <c r="AD31" s="496">
        <f t="shared" si="9"/>
        <v>0.33</v>
      </c>
      <c r="AE31" s="496">
        <f t="shared" si="9"/>
        <v>0</v>
      </c>
      <c r="AF31" s="496">
        <f t="shared" si="9"/>
        <v>0</v>
      </c>
      <c r="AG31" s="496">
        <f t="shared" si="9"/>
        <v>0</v>
      </c>
      <c r="AH31" s="496">
        <f t="shared" si="9"/>
        <v>0</v>
      </c>
      <c r="AI31" s="496">
        <f t="shared" si="9"/>
        <v>0</v>
      </c>
      <c r="AJ31" s="496">
        <f t="shared" si="9"/>
        <v>0</v>
      </c>
      <c r="AK31" s="496">
        <f t="shared" si="9"/>
        <v>0</v>
      </c>
      <c r="AL31" s="496">
        <f t="shared" si="9"/>
        <v>0</v>
      </c>
      <c r="AM31" s="496">
        <f t="shared" si="9"/>
        <v>0</v>
      </c>
      <c r="AN31" s="496">
        <f t="shared" si="9"/>
        <v>0</v>
      </c>
      <c r="AO31" s="496">
        <f t="shared" si="9"/>
        <v>0</v>
      </c>
      <c r="AP31" s="496">
        <f t="shared" si="9"/>
        <v>0</v>
      </c>
      <c r="AQ31" s="509"/>
      <c r="AR31" s="509"/>
      <c r="AS31" s="509"/>
      <c r="AT31" s="509"/>
    </row>
    <row r="32" spans="1:46">
      <c r="A32" t="str">
        <f t="shared" si="6"/>
        <v>LPG</v>
      </c>
      <c r="C32" t="str">
        <f t="shared" si="7"/>
        <v>R_ES-CK-DH_LPG</v>
      </c>
      <c r="E32" t="str">
        <f t="shared" si="8"/>
        <v>R_ES-DH-Cook</v>
      </c>
      <c r="F32" s="496">
        <f t="shared" si="9"/>
        <v>0.45</v>
      </c>
      <c r="G32" s="496">
        <f t="shared" si="9"/>
        <v>0.45</v>
      </c>
      <c r="H32" s="496">
        <f t="shared" si="9"/>
        <v>0.41</v>
      </c>
      <c r="I32" s="496">
        <f t="shared" si="9"/>
        <v>0.46</v>
      </c>
      <c r="J32" s="496">
        <f t="shared" si="9"/>
        <v>0.42</v>
      </c>
      <c r="K32" s="496">
        <f t="shared" si="9"/>
        <v>0.42</v>
      </c>
      <c r="L32" s="496">
        <f t="shared" si="9"/>
        <v>0.46</v>
      </c>
      <c r="M32" s="496">
        <f t="shared" si="9"/>
        <v>0.46</v>
      </c>
      <c r="N32" s="496">
        <f t="shared" si="9"/>
        <v>0.42</v>
      </c>
      <c r="O32" s="496">
        <f t="shared" si="9"/>
        <v>0.43</v>
      </c>
      <c r="P32" s="496">
        <f t="shared" si="9"/>
        <v>0.46</v>
      </c>
      <c r="Q32" s="496">
        <f t="shared" si="9"/>
        <v>0.46</v>
      </c>
      <c r="R32" s="496">
        <f t="shared" si="9"/>
        <v>0.43</v>
      </c>
      <c r="S32" s="496">
        <f t="shared" si="9"/>
        <v>0.43</v>
      </c>
      <c r="T32" s="496">
        <f t="shared" si="9"/>
        <v>0.42</v>
      </c>
      <c r="U32" s="496">
        <f t="shared" si="9"/>
        <v>0.45</v>
      </c>
      <c r="V32" s="496">
        <f t="shared" si="9"/>
        <v>0.46</v>
      </c>
      <c r="W32" s="496">
        <f t="shared" si="9"/>
        <v>0.46</v>
      </c>
      <c r="X32" s="496">
        <f t="shared" si="9"/>
        <v>0.42</v>
      </c>
      <c r="Y32" s="496">
        <f t="shared" si="9"/>
        <v>0.46</v>
      </c>
      <c r="Z32" s="496">
        <f t="shared" si="9"/>
        <v>0.43</v>
      </c>
      <c r="AA32" s="496">
        <f t="shared" si="9"/>
        <v>0.43</v>
      </c>
      <c r="AB32" s="496">
        <f t="shared" si="9"/>
        <v>0.45</v>
      </c>
      <c r="AC32" s="496">
        <f t="shared" si="9"/>
        <v>0.46</v>
      </c>
      <c r="AD32" s="496">
        <f t="shared" si="9"/>
        <v>0.43</v>
      </c>
      <c r="AE32" s="496">
        <f t="shared" si="9"/>
        <v>0.41</v>
      </c>
      <c r="AF32" s="496">
        <f t="shared" si="9"/>
        <v>0.42</v>
      </c>
      <c r="AG32" s="496">
        <f t="shared" si="9"/>
        <v>0</v>
      </c>
      <c r="AH32" s="496">
        <f t="shared" si="9"/>
        <v>0.46</v>
      </c>
      <c r="AI32" s="496">
        <f t="shared" si="9"/>
        <v>0.43</v>
      </c>
      <c r="AJ32" s="496">
        <f t="shared" si="9"/>
        <v>0.45</v>
      </c>
      <c r="AK32" s="496">
        <f t="shared" si="9"/>
        <v>0.43</v>
      </c>
      <c r="AL32" s="496">
        <f t="shared" si="9"/>
        <v>0.43</v>
      </c>
      <c r="AM32" s="496">
        <f t="shared" si="9"/>
        <v>0.43</v>
      </c>
      <c r="AN32" s="496">
        <f t="shared" si="9"/>
        <v>0.43</v>
      </c>
      <c r="AO32" s="496">
        <f t="shared" si="9"/>
        <v>0.43</v>
      </c>
      <c r="AP32" s="496">
        <f t="shared" si="9"/>
        <v>0.43</v>
      </c>
      <c r="AQ32" s="509"/>
      <c r="AR32" s="509"/>
      <c r="AS32" s="509"/>
      <c r="AT32" s="509"/>
    </row>
    <row r="33" spans="1:42">
      <c r="A33" t="str">
        <f t="shared" si="6"/>
        <v>Electricity</v>
      </c>
      <c r="C33" t="str">
        <f t="shared" si="7"/>
        <v>R_ES-CK-SD_ELC</v>
      </c>
      <c r="E33" t="str">
        <f t="shared" si="8"/>
        <v>R_ES-SD-Cook</v>
      </c>
      <c r="F33" s="496">
        <f t="shared" si="9"/>
        <v>0.83</v>
      </c>
      <c r="G33" s="496">
        <f t="shared" si="9"/>
        <v>0.83</v>
      </c>
      <c r="H33" s="496">
        <f t="shared" si="9"/>
        <v>0.8</v>
      </c>
      <c r="I33" s="496">
        <f t="shared" si="9"/>
        <v>0.84</v>
      </c>
      <c r="J33" s="496">
        <f t="shared" si="9"/>
        <v>0.8</v>
      </c>
      <c r="K33" s="496">
        <f t="shared" si="9"/>
        <v>0.8</v>
      </c>
      <c r="L33" s="496">
        <f t="shared" si="9"/>
        <v>0.84</v>
      </c>
      <c r="M33" s="496">
        <f t="shared" si="9"/>
        <v>0.84</v>
      </c>
      <c r="N33" s="496">
        <f t="shared" si="9"/>
        <v>0.8</v>
      </c>
      <c r="O33" s="496">
        <f t="shared" si="9"/>
        <v>0.81</v>
      </c>
      <c r="P33" s="496">
        <f t="shared" si="9"/>
        <v>0.84</v>
      </c>
      <c r="Q33" s="496">
        <f t="shared" si="9"/>
        <v>0.84</v>
      </c>
      <c r="R33" s="496">
        <f t="shared" si="9"/>
        <v>0.81</v>
      </c>
      <c r="S33" s="496">
        <f t="shared" si="9"/>
        <v>0.81</v>
      </c>
      <c r="T33" s="496">
        <f t="shared" si="9"/>
        <v>0.81</v>
      </c>
      <c r="U33" s="496">
        <f t="shared" si="9"/>
        <v>0.83</v>
      </c>
      <c r="V33" s="496">
        <f t="shared" si="9"/>
        <v>0.84</v>
      </c>
      <c r="W33" s="496">
        <f t="shared" si="9"/>
        <v>0.84</v>
      </c>
      <c r="X33" s="496">
        <f t="shared" si="9"/>
        <v>0.8</v>
      </c>
      <c r="Y33" s="496">
        <f t="shared" si="9"/>
        <v>0.84</v>
      </c>
      <c r="Z33" s="496">
        <f t="shared" si="9"/>
        <v>0.81</v>
      </c>
      <c r="AA33" s="496">
        <f t="shared" si="9"/>
        <v>0.81</v>
      </c>
      <c r="AB33" s="496">
        <f t="shared" si="9"/>
        <v>0.83499999999999996</v>
      </c>
      <c r="AC33" s="496">
        <f t="shared" si="9"/>
        <v>0.84</v>
      </c>
      <c r="AD33" s="496">
        <f t="shared" si="9"/>
        <v>0.81</v>
      </c>
      <c r="AE33" s="496">
        <f t="shared" si="9"/>
        <v>0.8</v>
      </c>
      <c r="AF33" s="496">
        <f t="shared" si="9"/>
        <v>0.8</v>
      </c>
      <c r="AG33" s="496">
        <f t="shared" si="9"/>
        <v>0.85</v>
      </c>
      <c r="AH33" s="496">
        <f t="shared" si="9"/>
        <v>0.84</v>
      </c>
      <c r="AI33" s="496">
        <f t="shared" si="9"/>
        <v>0.81</v>
      </c>
      <c r="AJ33" s="496">
        <f t="shared" si="9"/>
        <v>0.83</v>
      </c>
      <c r="AK33" s="496">
        <f t="shared" si="9"/>
        <v>0.81</v>
      </c>
      <c r="AL33" s="496">
        <f t="shared" si="9"/>
        <v>0.81</v>
      </c>
      <c r="AM33" s="496">
        <f t="shared" si="9"/>
        <v>0.81</v>
      </c>
      <c r="AN33" s="496">
        <f t="shared" si="9"/>
        <v>0.81</v>
      </c>
      <c r="AO33" s="496">
        <f t="shared" si="9"/>
        <v>0.81</v>
      </c>
      <c r="AP33" s="496">
        <f t="shared" si="9"/>
        <v>0.81</v>
      </c>
    </row>
    <row r="34" spans="1:42">
      <c r="A34" t="str">
        <f t="shared" si="6"/>
        <v>Gases</v>
      </c>
      <c r="C34" t="str">
        <f t="shared" si="7"/>
        <v>R_ES-CK-SD_GAS</v>
      </c>
      <c r="E34" t="str">
        <f t="shared" si="8"/>
        <v>R_ES-SD-Cook</v>
      </c>
      <c r="F34" s="496">
        <f t="shared" si="9"/>
        <v>0.49</v>
      </c>
      <c r="G34" s="496">
        <f t="shared" si="9"/>
        <v>0.49</v>
      </c>
      <c r="H34" s="496">
        <f t="shared" si="9"/>
        <v>0.44</v>
      </c>
      <c r="I34" s="496">
        <f t="shared" si="9"/>
        <v>0.49</v>
      </c>
      <c r="J34" s="496">
        <f t="shared" si="9"/>
        <v>0</v>
      </c>
      <c r="K34" s="496">
        <f t="shared" si="9"/>
        <v>0.45</v>
      </c>
      <c r="L34" s="496">
        <f t="shared" si="9"/>
        <v>0.49</v>
      </c>
      <c r="M34" s="496">
        <f t="shared" si="9"/>
        <v>0.49</v>
      </c>
      <c r="N34" s="496">
        <f t="shared" si="9"/>
        <v>0.45</v>
      </c>
      <c r="O34" s="496">
        <f t="shared" si="9"/>
        <v>0.46</v>
      </c>
      <c r="P34" s="496">
        <f t="shared" si="9"/>
        <v>0.5</v>
      </c>
      <c r="Q34" s="496">
        <f t="shared" si="9"/>
        <v>0.49</v>
      </c>
      <c r="R34" s="496">
        <f t="shared" si="9"/>
        <v>0.46</v>
      </c>
      <c r="S34" s="496">
        <f t="shared" si="9"/>
        <v>0.46</v>
      </c>
      <c r="T34" s="496">
        <f t="shared" si="9"/>
        <v>0.46</v>
      </c>
      <c r="U34" s="496">
        <f t="shared" si="9"/>
        <v>0.48</v>
      </c>
      <c r="V34" s="496">
        <f t="shared" si="9"/>
        <v>0.49</v>
      </c>
      <c r="W34" s="496">
        <f t="shared" si="9"/>
        <v>0.5</v>
      </c>
      <c r="X34" s="496">
        <f t="shared" si="9"/>
        <v>0.45</v>
      </c>
      <c r="Y34" s="496">
        <f t="shared" si="9"/>
        <v>0.5</v>
      </c>
      <c r="Z34" s="496">
        <f t="shared" si="9"/>
        <v>0.46</v>
      </c>
      <c r="AA34" s="496">
        <f t="shared" si="9"/>
        <v>0</v>
      </c>
      <c r="AB34" s="496">
        <f t="shared" si="9"/>
        <v>0.48499999999999999</v>
      </c>
      <c r="AC34" s="496">
        <f t="shared" si="9"/>
        <v>0.49</v>
      </c>
      <c r="AD34" s="496">
        <f t="shared" si="9"/>
        <v>0.46</v>
      </c>
      <c r="AE34" s="496">
        <f t="shared" si="9"/>
        <v>0.44</v>
      </c>
      <c r="AF34" s="496">
        <f t="shared" si="9"/>
        <v>0.45</v>
      </c>
      <c r="AG34" s="496">
        <f t="shared" si="9"/>
        <v>0.5</v>
      </c>
      <c r="AH34" s="496">
        <f t="shared" si="9"/>
        <v>0.49</v>
      </c>
      <c r="AI34" s="496">
        <f t="shared" si="9"/>
        <v>0.46</v>
      </c>
      <c r="AJ34" s="496">
        <f t="shared" si="9"/>
        <v>0.48</v>
      </c>
      <c r="AK34" s="496">
        <f t="shared" si="9"/>
        <v>0.46</v>
      </c>
      <c r="AL34" s="496">
        <f t="shared" si="9"/>
        <v>0.46</v>
      </c>
      <c r="AM34" s="496">
        <f t="shared" ref="AM34:AP34" si="10">AM29</f>
        <v>0.46</v>
      </c>
      <c r="AN34" s="496">
        <f t="shared" si="10"/>
        <v>0.46</v>
      </c>
      <c r="AO34" s="496">
        <f t="shared" si="10"/>
        <v>0.46</v>
      </c>
      <c r="AP34" s="496">
        <f t="shared" si="10"/>
        <v>0.46</v>
      </c>
    </row>
    <row r="35" spans="1:42">
      <c r="A35" t="str">
        <f t="shared" si="6"/>
        <v>Biomass and wastes</v>
      </c>
      <c r="C35" t="str">
        <f t="shared" si="7"/>
        <v>R_ES-CK-SD_BIO</v>
      </c>
      <c r="E35" t="str">
        <f t="shared" si="8"/>
        <v>R_ES-SD-Cook</v>
      </c>
      <c r="F35" s="496">
        <f t="shared" ref="F35:AP37" si="11">F30</f>
        <v>0.35</v>
      </c>
      <c r="G35" s="496">
        <f t="shared" si="11"/>
        <v>0</v>
      </c>
      <c r="H35" s="496">
        <f t="shared" si="11"/>
        <v>0.32</v>
      </c>
      <c r="I35" s="496">
        <f t="shared" si="11"/>
        <v>0.35</v>
      </c>
      <c r="J35" s="496">
        <f t="shared" si="11"/>
        <v>0</v>
      </c>
      <c r="K35" s="496">
        <f t="shared" si="11"/>
        <v>0.32</v>
      </c>
      <c r="L35" s="496">
        <f t="shared" si="11"/>
        <v>0</v>
      </c>
      <c r="M35" s="496">
        <f t="shared" si="11"/>
        <v>0</v>
      </c>
      <c r="N35" s="496">
        <f t="shared" si="11"/>
        <v>0.32</v>
      </c>
      <c r="O35" s="496">
        <f t="shared" si="11"/>
        <v>0.33</v>
      </c>
      <c r="P35" s="496">
        <f t="shared" si="11"/>
        <v>0</v>
      </c>
      <c r="Q35" s="496">
        <f t="shared" si="11"/>
        <v>0</v>
      </c>
      <c r="R35" s="496">
        <f t="shared" si="11"/>
        <v>0.33</v>
      </c>
      <c r="S35" s="496">
        <f t="shared" si="11"/>
        <v>0</v>
      </c>
      <c r="T35" s="496">
        <f t="shared" si="11"/>
        <v>0.33</v>
      </c>
      <c r="U35" s="496">
        <f t="shared" si="11"/>
        <v>0</v>
      </c>
      <c r="V35" s="496">
        <f t="shared" si="11"/>
        <v>0.35</v>
      </c>
      <c r="W35" s="496">
        <f t="shared" si="11"/>
        <v>0</v>
      </c>
      <c r="X35" s="496">
        <f t="shared" si="11"/>
        <v>0.32</v>
      </c>
      <c r="Y35" s="496">
        <f t="shared" si="11"/>
        <v>0</v>
      </c>
      <c r="Z35" s="496">
        <f t="shared" si="11"/>
        <v>0.33</v>
      </c>
      <c r="AA35" s="496">
        <f t="shared" si="11"/>
        <v>0</v>
      </c>
      <c r="AB35" s="496">
        <f t="shared" si="11"/>
        <v>0</v>
      </c>
      <c r="AC35" s="496">
        <f t="shared" si="11"/>
        <v>0.35</v>
      </c>
      <c r="AD35" s="496">
        <f t="shared" si="11"/>
        <v>0.33</v>
      </c>
      <c r="AE35" s="496">
        <f t="shared" si="11"/>
        <v>0.32</v>
      </c>
      <c r="AF35" s="496">
        <f t="shared" si="11"/>
        <v>0.32</v>
      </c>
      <c r="AG35" s="496">
        <f t="shared" si="11"/>
        <v>0</v>
      </c>
      <c r="AH35" s="496">
        <f t="shared" si="11"/>
        <v>0.35</v>
      </c>
      <c r="AI35" s="496">
        <f t="shared" si="11"/>
        <v>0</v>
      </c>
      <c r="AJ35" s="496">
        <f t="shared" si="11"/>
        <v>0</v>
      </c>
      <c r="AK35" s="496">
        <f t="shared" si="11"/>
        <v>0.33</v>
      </c>
      <c r="AL35" s="496">
        <f t="shared" si="11"/>
        <v>0</v>
      </c>
      <c r="AM35" s="496">
        <f t="shared" si="11"/>
        <v>0.33</v>
      </c>
      <c r="AN35" s="496">
        <f t="shared" si="11"/>
        <v>0.33</v>
      </c>
      <c r="AO35" s="496">
        <f t="shared" si="11"/>
        <v>0</v>
      </c>
      <c r="AP35" s="496">
        <f t="shared" si="11"/>
        <v>0</v>
      </c>
    </row>
    <row r="36" spans="1:42">
      <c r="A36" t="str">
        <f t="shared" si="6"/>
        <v>Solids</v>
      </c>
      <c r="C36" t="str">
        <f t="shared" si="7"/>
        <v>R_ES-CK-SD_COA</v>
      </c>
      <c r="E36" t="str">
        <f t="shared" si="8"/>
        <v>R_ES-SD-Cook</v>
      </c>
      <c r="F36" s="496">
        <f t="shared" si="11"/>
        <v>0.35</v>
      </c>
      <c r="G36" s="496">
        <f t="shared" si="11"/>
        <v>0</v>
      </c>
      <c r="H36" s="496">
        <f t="shared" si="11"/>
        <v>0.32</v>
      </c>
      <c r="I36" s="496">
        <f t="shared" si="11"/>
        <v>0.35</v>
      </c>
      <c r="J36" s="496">
        <f t="shared" si="11"/>
        <v>0</v>
      </c>
      <c r="K36" s="496">
        <f t="shared" si="11"/>
        <v>0</v>
      </c>
      <c r="L36" s="496">
        <f t="shared" si="11"/>
        <v>0</v>
      </c>
      <c r="M36" s="496">
        <f t="shared" si="11"/>
        <v>0</v>
      </c>
      <c r="N36" s="496">
        <f t="shared" si="11"/>
        <v>0</v>
      </c>
      <c r="O36" s="496">
        <f t="shared" si="11"/>
        <v>0.33</v>
      </c>
      <c r="P36" s="496">
        <f t="shared" si="11"/>
        <v>0</v>
      </c>
      <c r="Q36" s="496">
        <f t="shared" si="11"/>
        <v>0</v>
      </c>
      <c r="R36" s="496">
        <f t="shared" si="11"/>
        <v>0</v>
      </c>
      <c r="S36" s="496">
        <f t="shared" si="11"/>
        <v>0</v>
      </c>
      <c r="T36" s="496">
        <f t="shared" si="11"/>
        <v>0.33</v>
      </c>
      <c r="U36" s="496">
        <f t="shared" si="11"/>
        <v>0</v>
      </c>
      <c r="V36" s="496">
        <f t="shared" si="11"/>
        <v>0.35</v>
      </c>
      <c r="W36" s="496">
        <f t="shared" si="11"/>
        <v>0</v>
      </c>
      <c r="X36" s="496">
        <f t="shared" si="11"/>
        <v>0</v>
      </c>
      <c r="Y36" s="496">
        <f t="shared" si="11"/>
        <v>0</v>
      </c>
      <c r="Z36" s="496">
        <f t="shared" si="11"/>
        <v>0</v>
      </c>
      <c r="AA36" s="496">
        <f t="shared" si="11"/>
        <v>0</v>
      </c>
      <c r="AB36" s="496">
        <f t="shared" si="11"/>
        <v>0</v>
      </c>
      <c r="AC36" s="496">
        <f t="shared" si="11"/>
        <v>0.35</v>
      </c>
      <c r="AD36" s="496">
        <f t="shared" si="11"/>
        <v>0.33</v>
      </c>
      <c r="AE36" s="496">
        <f t="shared" si="11"/>
        <v>0</v>
      </c>
      <c r="AF36" s="496">
        <f t="shared" si="11"/>
        <v>0</v>
      </c>
      <c r="AG36" s="496">
        <f t="shared" si="11"/>
        <v>0</v>
      </c>
      <c r="AH36" s="496">
        <f t="shared" si="11"/>
        <v>0</v>
      </c>
      <c r="AI36" s="496">
        <f t="shared" si="11"/>
        <v>0</v>
      </c>
      <c r="AJ36" s="496">
        <f t="shared" si="11"/>
        <v>0</v>
      </c>
      <c r="AK36" s="496">
        <f t="shared" si="11"/>
        <v>0</v>
      </c>
      <c r="AL36" s="496">
        <f t="shared" si="11"/>
        <v>0</v>
      </c>
      <c r="AM36" s="496">
        <f t="shared" si="11"/>
        <v>0</v>
      </c>
      <c r="AN36" s="496">
        <f t="shared" si="11"/>
        <v>0</v>
      </c>
      <c r="AO36" s="496">
        <f t="shared" si="11"/>
        <v>0</v>
      </c>
      <c r="AP36" s="496">
        <f t="shared" si="11"/>
        <v>0</v>
      </c>
    </row>
    <row r="37" spans="1:42">
      <c r="A37" t="str">
        <f t="shared" si="6"/>
        <v>LPG</v>
      </c>
      <c r="C37" t="str">
        <f t="shared" si="7"/>
        <v>R_ES-CK-SD_LPG</v>
      </c>
      <c r="E37" t="str">
        <f t="shared" si="8"/>
        <v>R_ES-SD-Cook</v>
      </c>
      <c r="F37" s="496">
        <f t="shared" si="11"/>
        <v>0.45</v>
      </c>
      <c r="G37" s="496">
        <f t="shared" si="11"/>
        <v>0.45</v>
      </c>
      <c r="H37" s="496">
        <f t="shared" si="11"/>
        <v>0.41</v>
      </c>
      <c r="I37" s="496">
        <f t="shared" si="11"/>
        <v>0.46</v>
      </c>
      <c r="J37" s="496">
        <f t="shared" si="11"/>
        <v>0.42</v>
      </c>
      <c r="K37" s="496">
        <f t="shared" si="11"/>
        <v>0.42</v>
      </c>
      <c r="L37" s="496">
        <f t="shared" si="11"/>
        <v>0.46</v>
      </c>
      <c r="M37" s="496">
        <f t="shared" si="11"/>
        <v>0.46</v>
      </c>
      <c r="N37" s="496">
        <f t="shared" si="11"/>
        <v>0.42</v>
      </c>
      <c r="O37" s="496">
        <f t="shared" si="11"/>
        <v>0.43</v>
      </c>
      <c r="P37" s="496">
        <f t="shared" si="11"/>
        <v>0.46</v>
      </c>
      <c r="Q37" s="496">
        <f t="shared" si="11"/>
        <v>0.46</v>
      </c>
      <c r="R37" s="496">
        <f t="shared" si="11"/>
        <v>0.43</v>
      </c>
      <c r="S37" s="496">
        <f t="shared" si="11"/>
        <v>0.43</v>
      </c>
      <c r="T37" s="496">
        <f t="shared" si="11"/>
        <v>0.42</v>
      </c>
      <c r="U37" s="496">
        <f t="shared" si="11"/>
        <v>0.45</v>
      </c>
      <c r="V37" s="496">
        <f t="shared" si="11"/>
        <v>0.46</v>
      </c>
      <c r="W37" s="496">
        <f t="shared" si="11"/>
        <v>0.46</v>
      </c>
      <c r="X37" s="496">
        <f t="shared" si="11"/>
        <v>0.42</v>
      </c>
      <c r="Y37" s="496">
        <f t="shared" si="11"/>
        <v>0.46</v>
      </c>
      <c r="Z37" s="496">
        <f t="shared" si="11"/>
        <v>0.43</v>
      </c>
      <c r="AA37" s="496">
        <f t="shared" si="11"/>
        <v>0.43</v>
      </c>
      <c r="AB37" s="496">
        <f t="shared" si="11"/>
        <v>0.45</v>
      </c>
      <c r="AC37" s="496">
        <f t="shared" si="11"/>
        <v>0.46</v>
      </c>
      <c r="AD37" s="496">
        <f t="shared" si="11"/>
        <v>0.43</v>
      </c>
      <c r="AE37" s="496">
        <f t="shared" si="11"/>
        <v>0.41</v>
      </c>
      <c r="AF37" s="496">
        <f t="shared" si="11"/>
        <v>0.42</v>
      </c>
      <c r="AG37" s="496">
        <f t="shared" si="11"/>
        <v>0</v>
      </c>
      <c r="AH37" s="496">
        <f t="shared" si="11"/>
        <v>0.46</v>
      </c>
      <c r="AI37" s="496">
        <f t="shared" si="11"/>
        <v>0.43</v>
      </c>
      <c r="AJ37" s="496">
        <f t="shared" si="11"/>
        <v>0.45</v>
      </c>
      <c r="AK37" s="496">
        <f t="shared" si="11"/>
        <v>0.43</v>
      </c>
      <c r="AL37" s="496">
        <f t="shared" si="11"/>
        <v>0.43</v>
      </c>
      <c r="AM37" s="496">
        <f t="shared" si="11"/>
        <v>0.43</v>
      </c>
      <c r="AN37" s="496">
        <f t="shared" si="11"/>
        <v>0.43</v>
      </c>
      <c r="AO37" s="496">
        <f t="shared" si="11"/>
        <v>0.43</v>
      </c>
      <c r="AP37" s="496">
        <f t="shared" si="11"/>
        <v>0.43</v>
      </c>
    </row>
    <row r="40" spans="1:42">
      <c r="E40" s="533"/>
    </row>
    <row r="41" spans="1:42" ht="15" thickBot="1">
      <c r="C41" s="539" t="s">
        <v>545</v>
      </c>
      <c r="D41" s="539" t="s">
        <v>585</v>
      </c>
      <c r="E41" s="539" t="s">
        <v>552</v>
      </c>
      <c r="F41" s="540" t="str">
        <f>'All Stock'!D$2</f>
        <v>AT</v>
      </c>
      <c r="G41" s="540" t="str">
        <f>'All Stock'!E$2</f>
        <v>BE</v>
      </c>
      <c r="H41" s="540" t="str">
        <f>'All Stock'!F$2</f>
        <v>BG</v>
      </c>
      <c r="I41" s="540" t="str">
        <f>'All Stock'!G$2</f>
        <v>CH</v>
      </c>
      <c r="J41" s="540" t="str">
        <f>'All Stock'!H$2</f>
        <v>CY</v>
      </c>
      <c r="K41" s="540" t="str">
        <f>'All Stock'!I$2</f>
        <v>CZ</v>
      </c>
      <c r="L41" s="540" t="str">
        <f>'All Stock'!J$2</f>
        <v>DE</v>
      </c>
      <c r="M41" s="540" t="str">
        <f>'All Stock'!K$2</f>
        <v>DK</v>
      </c>
      <c r="N41" s="540" t="str">
        <f>'All Stock'!L$2</f>
        <v>EE</v>
      </c>
      <c r="O41" s="540" t="str">
        <f>'All Stock'!M$2</f>
        <v>ES</v>
      </c>
      <c r="P41" s="540" t="str">
        <f>'All Stock'!N$2</f>
        <v>FI</v>
      </c>
      <c r="Q41" s="540" t="str">
        <f>'All Stock'!O$2</f>
        <v>FR</v>
      </c>
      <c r="R41" s="540" t="str">
        <f>'All Stock'!P$2</f>
        <v>EL</v>
      </c>
      <c r="S41" s="540" t="str">
        <f>'All Stock'!Q$2</f>
        <v>HR</v>
      </c>
      <c r="T41" s="540" t="str">
        <f>'All Stock'!R$2</f>
        <v>HU</v>
      </c>
      <c r="U41" s="540" t="str">
        <f>'All Stock'!S$2</f>
        <v>IE</v>
      </c>
      <c r="V41" s="540" t="str">
        <f>'All Stock'!T$2</f>
        <v>IS</v>
      </c>
      <c r="W41" s="540" t="str">
        <f>'All Stock'!U$2</f>
        <v>IT</v>
      </c>
      <c r="X41" s="540" t="str">
        <f>'All Stock'!V$2</f>
        <v>LT</v>
      </c>
      <c r="Y41" s="540" t="str">
        <f>'All Stock'!W$2</f>
        <v>LU</v>
      </c>
      <c r="Z41" s="540" t="str">
        <f>'All Stock'!X$2</f>
        <v>LV</v>
      </c>
      <c r="AA41" s="540" t="str">
        <f>'All Stock'!Y$2</f>
        <v>MT</v>
      </c>
      <c r="AB41" s="540" t="str">
        <f>'All Stock'!Z$2</f>
        <v>NL</v>
      </c>
      <c r="AC41" s="540" t="str">
        <f>'All Stock'!AA$2</f>
        <v>NO</v>
      </c>
      <c r="AD41" s="540" t="str">
        <f>'All Stock'!AB$2</f>
        <v>PL</v>
      </c>
      <c r="AE41" s="540" t="str">
        <f>'All Stock'!AC$2</f>
        <v>PT</v>
      </c>
      <c r="AF41" s="540" t="str">
        <f>'All Stock'!AD$2</f>
        <v>RO</v>
      </c>
      <c r="AG41" s="540" t="str">
        <f>'All Stock'!AE$2</f>
        <v>SE</v>
      </c>
      <c r="AH41" s="540" t="str">
        <f>'All Stock'!AF$2</f>
        <v>SI</v>
      </c>
      <c r="AI41" s="540" t="str">
        <f>'All Stock'!AG$2</f>
        <v>SK</v>
      </c>
      <c r="AJ41" s="540" t="str">
        <f>'All Stock'!AH$2</f>
        <v>UK</v>
      </c>
      <c r="AK41" s="540" t="str">
        <f>'All Stock'!AI$2</f>
        <v>AL</v>
      </c>
      <c r="AL41" s="540" t="str">
        <f>'All Stock'!AJ$2</f>
        <v>BA</v>
      </c>
      <c r="AM41" s="540" t="str">
        <f>'All Stock'!AK$2</f>
        <v>ME</v>
      </c>
      <c r="AN41" s="540" t="str">
        <f>'All Stock'!AL$2</f>
        <v>MK</v>
      </c>
      <c r="AO41" s="540" t="str">
        <f>'All Stock'!AM$2</f>
        <v>RS</v>
      </c>
      <c r="AP41" s="540" t="str">
        <f>'All Stock'!AN$2</f>
        <v>KS</v>
      </c>
    </row>
    <row r="42" spans="1:42">
      <c r="A42" t="str">
        <f t="shared" ref="A42:A56" si="12">A23</f>
        <v>Electricity</v>
      </c>
      <c r="C42" t="str">
        <f t="shared" ref="C42:C56" si="13">C23</f>
        <v>R_ES-CK-FL_ELC</v>
      </c>
      <c r="E42" t="str">
        <f t="shared" ref="E42:E56" si="14">E23</f>
        <v>R_ES-FL-Cook</v>
      </c>
      <c r="F42" s="496"/>
      <c r="G42" s="496"/>
      <c r="H42" s="496"/>
      <c r="I42" s="496"/>
      <c r="J42" s="496"/>
      <c r="K42" s="496"/>
      <c r="L42" s="496"/>
      <c r="M42" s="496"/>
      <c r="N42" s="496"/>
      <c r="O42" s="496"/>
      <c r="P42" s="496"/>
      <c r="Q42" s="496"/>
      <c r="R42" s="496"/>
      <c r="S42" s="496"/>
      <c r="T42" s="496"/>
      <c r="U42" s="496"/>
      <c r="V42" s="496"/>
      <c r="W42" s="496"/>
      <c r="X42" s="496"/>
      <c r="Y42" s="496"/>
      <c r="Z42" s="496"/>
      <c r="AA42" s="496"/>
      <c r="AB42" s="496"/>
      <c r="AC42" s="496"/>
      <c r="AD42" s="496"/>
      <c r="AE42" s="496"/>
      <c r="AF42" s="496"/>
      <c r="AG42" s="496"/>
      <c r="AH42" s="496"/>
      <c r="AI42" s="496"/>
      <c r="AJ42" s="496"/>
      <c r="AK42" s="496"/>
      <c r="AL42" s="496"/>
      <c r="AM42" s="496"/>
      <c r="AN42" s="496"/>
      <c r="AO42" s="496"/>
      <c r="AP42" s="496"/>
    </row>
    <row r="43" spans="1:42">
      <c r="A43" t="str">
        <f t="shared" si="12"/>
        <v>Gases</v>
      </c>
      <c r="C43" t="str">
        <f t="shared" si="13"/>
        <v>R_ES-CK-FL_GAS</v>
      </c>
      <c r="E43" t="str">
        <f t="shared" si="14"/>
        <v>R_ES-FL-Cook</v>
      </c>
      <c r="F43" s="496"/>
      <c r="G43" s="496"/>
      <c r="H43" s="496"/>
      <c r="I43" s="496"/>
      <c r="J43" s="496"/>
      <c r="K43" s="496"/>
      <c r="L43" s="496"/>
      <c r="M43" s="496"/>
      <c r="N43" s="496"/>
      <c r="O43" s="496"/>
      <c r="P43" s="496"/>
      <c r="Q43" s="496"/>
      <c r="R43" s="496"/>
      <c r="S43" s="496"/>
      <c r="T43" s="496"/>
      <c r="U43" s="496"/>
      <c r="V43" s="496"/>
      <c r="W43" s="496"/>
      <c r="X43" s="496"/>
      <c r="Y43" s="496"/>
      <c r="Z43" s="496"/>
      <c r="AA43" s="496"/>
      <c r="AB43" s="496"/>
      <c r="AC43" s="496"/>
      <c r="AD43" s="496"/>
      <c r="AE43" s="496"/>
      <c r="AF43" s="496"/>
      <c r="AG43" s="496"/>
      <c r="AH43" s="496"/>
      <c r="AI43" s="496"/>
      <c r="AJ43" s="496"/>
      <c r="AK43" s="496"/>
      <c r="AL43" s="496"/>
      <c r="AM43" s="496"/>
      <c r="AN43" s="496"/>
      <c r="AO43" s="496"/>
      <c r="AP43" s="496"/>
    </row>
    <row r="44" spans="1:42">
      <c r="A44" t="str">
        <f t="shared" si="12"/>
        <v>Biomass and wastes</v>
      </c>
      <c r="C44" t="str">
        <f t="shared" si="13"/>
        <v>R_ES-CK-FL_BIO</v>
      </c>
      <c r="E44" t="str">
        <f t="shared" si="14"/>
        <v>R_ES-FL-Cook</v>
      </c>
      <c r="F44" s="496"/>
      <c r="G44" s="496"/>
      <c r="H44" s="496"/>
      <c r="I44" s="496"/>
      <c r="J44" s="496"/>
      <c r="K44" s="496"/>
      <c r="L44" s="496"/>
      <c r="M44" s="496"/>
      <c r="N44" s="496"/>
      <c r="O44" s="496"/>
      <c r="P44" s="496"/>
      <c r="Q44" s="496"/>
      <c r="R44" s="496"/>
      <c r="S44" s="496"/>
      <c r="T44" s="496"/>
      <c r="U44" s="496"/>
      <c r="V44" s="496"/>
      <c r="W44" s="496"/>
      <c r="X44" s="496"/>
      <c r="Y44" s="496"/>
      <c r="Z44" s="496"/>
      <c r="AA44" s="496"/>
      <c r="AB44" s="496"/>
      <c r="AC44" s="496"/>
      <c r="AD44" s="496"/>
      <c r="AE44" s="496"/>
      <c r="AF44" s="496"/>
      <c r="AG44" s="496"/>
      <c r="AH44" s="496"/>
      <c r="AI44" s="496"/>
      <c r="AJ44" s="496"/>
      <c r="AK44" s="496"/>
      <c r="AL44" s="496"/>
      <c r="AM44" s="496"/>
      <c r="AN44" s="496"/>
      <c r="AO44" s="496"/>
      <c r="AP44" s="496"/>
    </row>
    <row r="45" spans="1:42">
      <c r="A45" t="str">
        <f t="shared" si="12"/>
        <v>Solids</v>
      </c>
      <c r="C45" t="str">
        <f t="shared" si="13"/>
        <v>R_ES-CK-FL_COA</v>
      </c>
      <c r="E45" t="str">
        <f t="shared" si="14"/>
        <v>R_ES-FL-Cook</v>
      </c>
      <c r="F45" s="496"/>
      <c r="G45" s="496"/>
      <c r="H45" s="496"/>
      <c r="I45" s="496"/>
      <c r="J45" s="496"/>
      <c r="K45" s="496"/>
      <c r="L45" s="496"/>
      <c r="M45" s="496"/>
      <c r="N45" s="496"/>
      <c r="O45" s="496"/>
      <c r="P45" s="496"/>
      <c r="Q45" s="496"/>
      <c r="R45" s="496"/>
      <c r="S45" s="496"/>
      <c r="T45" s="496"/>
      <c r="U45" s="496"/>
      <c r="V45" s="496"/>
      <c r="W45" s="496"/>
      <c r="X45" s="496"/>
      <c r="Y45" s="496"/>
      <c r="Z45" s="496"/>
      <c r="AA45" s="496"/>
      <c r="AB45" s="496"/>
      <c r="AC45" s="496"/>
      <c r="AD45" s="496"/>
      <c r="AE45" s="496"/>
      <c r="AF45" s="496"/>
      <c r="AG45" s="496"/>
      <c r="AH45" s="496"/>
      <c r="AI45" s="496"/>
      <c r="AJ45" s="496"/>
      <c r="AK45" s="496"/>
      <c r="AL45" s="496"/>
      <c r="AM45" s="496"/>
      <c r="AN45" s="496"/>
      <c r="AO45" s="496"/>
      <c r="AP45" s="496"/>
    </row>
    <row r="46" spans="1:42">
      <c r="A46" t="str">
        <f t="shared" si="12"/>
        <v>LPG</v>
      </c>
      <c r="C46" t="str">
        <f t="shared" si="13"/>
        <v>R_ES-CK-FL_LPG</v>
      </c>
      <c r="E46" t="str">
        <f t="shared" si="14"/>
        <v>R_ES-FL-Cook</v>
      </c>
      <c r="F46" s="496"/>
      <c r="G46" s="496"/>
      <c r="H46" s="496"/>
      <c r="I46" s="496"/>
      <c r="J46" s="496"/>
      <c r="K46" s="496"/>
      <c r="L46" s="496"/>
      <c r="M46" s="496"/>
      <c r="N46" s="496"/>
      <c r="O46" s="496"/>
      <c r="P46" s="496"/>
      <c r="Q46" s="496"/>
      <c r="R46" s="496"/>
      <c r="S46" s="496"/>
      <c r="T46" s="496"/>
      <c r="U46" s="496"/>
      <c r="V46" s="496"/>
      <c r="W46" s="496"/>
      <c r="X46" s="496"/>
      <c r="Y46" s="496"/>
      <c r="Z46" s="496"/>
      <c r="AA46" s="496"/>
      <c r="AB46" s="496"/>
      <c r="AC46" s="496"/>
      <c r="AD46" s="496"/>
      <c r="AE46" s="496"/>
      <c r="AF46" s="496"/>
      <c r="AG46" s="496"/>
      <c r="AH46" s="496"/>
      <c r="AI46" s="496"/>
      <c r="AJ46" s="496"/>
      <c r="AK46" s="496"/>
      <c r="AL46" s="496"/>
      <c r="AM46" s="496"/>
      <c r="AN46" s="496"/>
      <c r="AO46" s="496"/>
      <c r="AP46" s="496"/>
    </row>
    <row r="47" spans="1:42">
      <c r="A47" t="str">
        <f t="shared" si="12"/>
        <v>Electricity</v>
      </c>
      <c r="C47" t="str">
        <f t="shared" si="13"/>
        <v>R_ES-CK-DH_ELC</v>
      </c>
      <c r="E47" t="str">
        <f t="shared" si="14"/>
        <v>R_ES-DH-Cook</v>
      </c>
      <c r="F47" s="496"/>
      <c r="G47" s="496"/>
      <c r="H47" s="496"/>
      <c r="I47" s="496"/>
      <c r="J47" s="496"/>
      <c r="K47" s="496"/>
      <c r="L47" s="496"/>
      <c r="M47" s="496"/>
      <c r="N47" s="496"/>
      <c r="O47" s="496"/>
      <c r="P47" s="496"/>
      <c r="Q47" s="496"/>
      <c r="R47" s="496"/>
      <c r="S47" s="496"/>
      <c r="T47" s="496"/>
      <c r="U47" s="496"/>
      <c r="V47" s="496"/>
      <c r="W47" s="496"/>
      <c r="X47" s="496"/>
      <c r="Y47" s="496"/>
      <c r="Z47" s="496"/>
      <c r="AA47" s="496"/>
      <c r="AB47" s="496"/>
      <c r="AC47" s="496"/>
      <c r="AD47" s="496"/>
      <c r="AE47" s="496"/>
      <c r="AF47" s="496"/>
      <c r="AG47" s="496"/>
      <c r="AH47" s="496"/>
      <c r="AI47" s="496"/>
      <c r="AJ47" s="496"/>
      <c r="AK47" s="496"/>
      <c r="AL47" s="496"/>
      <c r="AM47" s="496"/>
      <c r="AN47" s="496"/>
      <c r="AO47" s="496"/>
      <c r="AP47" s="496"/>
    </row>
    <row r="48" spans="1:42">
      <c r="A48" t="str">
        <f t="shared" si="12"/>
        <v>Gases</v>
      </c>
      <c r="C48" t="str">
        <f t="shared" si="13"/>
        <v>R_ES-CK-DH_GAS</v>
      </c>
      <c r="E48" t="str">
        <f t="shared" si="14"/>
        <v>R_ES-DH-Cook</v>
      </c>
      <c r="F48" s="496"/>
      <c r="G48" s="496"/>
      <c r="H48" s="496"/>
      <c r="I48" s="496"/>
      <c r="J48" s="496"/>
      <c r="K48" s="496"/>
      <c r="L48" s="496"/>
      <c r="M48" s="496"/>
      <c r="N48" s="496"/>
      <c r="O48" s="496"/>
      <c r="P48" s="496"/>
      <c r="Q48" s="496"/>
      <c r="R48" s="496"/>
      <c r="S48" s="496"/>
      <c r="T48" s="496"/>
      <c r="U48" s="496"/>
      <c r="V48" s="496"/>
      <c r="W48" s="496"/>
      <c r="X48" s="496"/>
      <c r="Y48" s="496"/>
      <c r="Z48" s="496"/>
      <c r="AA48" s="496"/>
      <c r="AB48" s="496"/>
      <c r="AC48" s="496"/>
      <c r="AD48" s="496"/>
      <c r="AE48" s="496"/>
      <c r="AF48" s="496"/>
      <c r="AG48" s="496"/>
      <c r="AH48" s="496"/>
      <c r="AI48" s="496"/>
      <c r="AJ48" s="496"/>
      <c r="AK48" s="496"/>
      <c r="AL48" s="496"/>
      <c r="AM48" s="496"/>
      <c r="AN48" s="496"/>
      <c r="AO48" s="496"/>
      <c r="AP48" s="496"/>
    </row>
    <row r="49" spans="1:42">
      <c r="A49" t="str">
        <f t="shared" si="12"/>
        <v>Biomass and wastes</v>
      </c>
      <c r="C49" t="str">
        <f t="shared" si="13"/>
        <v>R_ES-CK-DH_BIO</v>
      </c>
      <c r="E49" t="str">
        <f t="shared" si="14"/>
        <v>R_ES-DH-Cook</v>
      </c>
      <c r="F49" s="496"/>
      <c r="G49" s="496"/>
      <c r="H49" s="496"/>
      <c r="I49" s="496"/>
      <c r="J49" s="496"/>
      <c r="K49" s="496"/>
      <c r="L49" s="496"/>
      <c r="M49" s="496"/>
      <c r="N49" s="496"/>
      <c r="O49" s="496"/>
      <c r="P49" s="496"/>
      <c r="Q49" s="496"/>
      <c r="R49" s="496"/>
      <c r="S49" s="496"/>
      <c r="T49" s="496"/>
      <c r="U49" s="496"/>
      <c r="V49" s="496"/>
      <c r="W49" s="496"/>
      <c r="X49" s="496"/>
      <c r="Y49" s="496"/>
      <c r="Z49" s="496"/>
      <c r="AA49" s="496"/>
      <c r="AB49" s="496"/>
      <c r="AC49" s="496"/>
      <c r="AD49" s="496"/>
      <c r="AE49" s="496"/>
      <c r="AF49" s="496"/>
      <c r="AG49" s="496"/>
      <c r="AH49" s="496"/>
      <c r="AI49" s="496"/>
      <c r="AJ49" s="496"/>
      <c r="AK49" s="496"/>
      <c r="AL49" s="496"/>
      <c r="AM49" s="496"/>
      <c r="AN49" s="496"/>
      <c r="AO49" s="496"/>
      <c r="AP49" s="496"/>
    </row>
    <row r="50" spans="1:42">
      <c r="A50" t="str">
        <f t="shared" si="12"/>
        <v>Solids</v>
      </c>
      <c r="C50" t="str">
        <f t="shared" si="13"/>
        <v>R_ES-CK-DH_COA</v>
      </c>
      <c r="E50" t="str">
        <f t="shared" si="14"/>
        <v>R_ES-DH-Cook</v>
      </c>
      <c r="F50" s="496"/>
      <c r="G50" s="496"/>
      <c r="H50" s="496"/>
      <c r="I50" s="496"/>
      <c r="J50" s="496"/>
      <c r="K50" s="496"/>
      <c r="L50" s="496"/>
      <c r="M50" s="496"/>
      <c r="N50" s="496"/>
      <c r="O50" s="496"/>
      <c r="P50" s="496"/>
      <c r="Q50" s="496"/>
      <c r="R50" s="496"/>
      <c r="S50" s="496"/>
      <c r="T50" s="496"/>
      <c r="U50" s="496"/>
      <c r="V50" s="496"/>
      <c r="W50" s="496"/>
      <c r="X50" s="496"/>
      <c r="Y50" s="496"/>
      <c r="Z50" s="496"/>
      <c r="AA50" s="496"/>
      <c r="AB50" s="496"/>
      <c r="AC50" s="496"/>
      <c r="AD50" s="496"/>
      <c r="AE50" s="496"/>
      <c r="AF50" s="496"/>
      <c r="AG50" s="496"/>
      <c r="AH50" s="496"/>
      <c r="AI50" s="496"/>
      <c r="AJ50" s="496"/>
      <c r="AK50" s="496"/>
      <c r="AL50" s="496"/>
      <c r="AM50" s="496"/>
      <c r="AN50" s="496"/>
      <c r="AO50" s="496"/>
      <c r="AP50" s="496"/>
    </row>
    <row r="51" spans="1:42">
      <c r="A51" t="str">
        <f t="shared" si="12"/>
        <v>LPG</v>
      </c>
      <c r="C51" t="str">
        <f t="shared" si="13"/>
        <v>R_ES-CK-DH_LPG</v>
      </c>
      <c r="E51" t="str">
        <f t="shared" si="14"/>
        <v>R_ES-DH-Cook</v>
      </c>
      <c r="F51" s="496"/>
      <c r="G51" s="496"/>
      <c r="H51" s="496"/>
      <c r="I51" s="496"/>
      <c r="J51" s="496"/>
      <c r="K51" s="496"/>
      <c r="L51" s="496"/>
      <c r="M51" s="496"/>
      <c r="N51" s="496"/>
      <c r="O51" s="496"/>
      <c r="P51" s="496"/>
      <c r="Q51" s="496"/>
      <c r="R51" s="496"/>
      <c r="S51" s="496"/>
      <c r="T51" s="496"/>
      <c r="U51" s="496"/>
      <c r="V51" s="496"/>
      <c r="W51" s="496"/>
      <c r="X51" s="496"/>
      <c r="Y51" s="496"/>
      <c r="Z51" s="496"/>
      <c r="AA51" s="496"/>
      <c r="AB51" s="496"/>
      <c r="AC51" s="496"/>
      <c r="AD51" s="496"/>
      <c r="AE51" s="496"/>
      <c r="AF51" s="496"/>
      <c r="AG51" s="496"/>
      <c r="AH51" s="496"/>
      <c r="AI51" s="496"/>
      <c r="AJ51" s="496"/>
      <c r="AK51" s="496"/>
      <c r="AL51" s="496"/>
      <c r="AM51" s="496"/>
      <c r="AN51" s="496"/>
      <c r="AO51" s="496"/>
      <c r="AP51" s="496"/>
    </row>
    <row r="52" spans="1:42">
      <c r="A52" t="str">
        <f t="shared" si="12"/>
        <v>Electricity</v>
      </c>
      <c r="C52" t="str">
        <f t="shared" si="13"/>
        <v>R_ES-CK-SD_ELC</v>
      </c>
      <c r="E52" t="str">
        <f t="shared" si="14"/>
        <v>R_ES-SD-Cook</v>
      </c>
      <c r="F52" s="496"/>
      <c r="G52" s="496"/>
      <c r="H52" s="496"/>
      <c r="I52" s="496"/>
      <c r="J52" s="496"/>
      <c r="K52" s="496"/>
      <c r="L52" s="496"/>
      <c r="M52" s="496"/>
      <c r="N52" s="496"/>
      <c r="O52" s="496"/>
      <c r="P52" s="496"/>
      <c r="Q52" s="496"/>
      <c r="R52" s="496"/>
      <c r="S52" s="496"/>
      <c r="T52" s="496"/>
      <c r="U52" s="496"/>
      <c r="V52" s="496"/>
      <c r="W52" s="496"/>
      <c r="X52" s="496"/>
      <c r="Y52" s="496"/>
      <c r="Z52" s="496"/>
      <c r="AA52" s="496"/>
      <c r="AB52" s="496"/>
      <c r="AC52" s="496"/>
      <c r="AD52" s="496"/>
      <c r="AE52" s="496"/>
      <c r="AF52" s="496"/>
      <c r="AG52" s="496"/>
      <c r="AH52" s="496"/>
      <c r="AI52" s="496"/>
      <c r="AJ52" s="496"/>
      <c r="AK52" s="496"/>
      <c r="AL52" s="496"/>
      <c r="AM52" s="496"/>
      <c r="AN52" s="496"/>
      <c r="AO52" s="496"/>
      <c r="AP52" s="496"/>
    </row>
    <row r="53" spans="1:42">
      <c r="A53" t="str">
        <f t="shared" si="12"/>
        <v>Gases</v>
      </c>
      <c r="C53" t="str">
        <f t="shared" si="13"/>
        <v>R_ES-CK-SD_GAS</v>
      </c>
      <c r="E53" t="str">
        <f t="shared" si="14"/>
        <v>R_ES-SD-Cook</v>
      </c>
      <c r="F53" s="496"/>
      <c r="G53" s="496"/>
      <c r="H53" s="496"/>
      <c r="I53" s="496"/>
      <c r="J53" s="496"/>
      <c r="K53" s="496"/>
      <c r="L53" s="496"/>
      <c r="M53" s="496"/>
      <c r="N53" s="496"/>
      <c r="O53" s="496"/>
      <c r="P53" s="496"/>
      <c r="Q53" s="496"/>
      <c r="R53" s="496"/>
      <c r="S53" s="496"/>
      <c r="T53" s="496"/>
      <c r="U53" s="496"/>
      <c r="V53" s="496"/>
      <c r="W53" s="496"/>
      <c r="X53" s="496"/>
      <c r="Y53" s="496"/>
      <c r="Z53" s="496"/>
      <c r="AA53" s="496"/>
      <c r="AB53" s="496"/>
      <c r="AC53" s="496"/>
      <c r="AD53" s="496"/>
      <c r="AE53" s="496"/>
      <c r="AF53" s="496"/>
      <c r="AG53" s="496"/>
      <c r="AH53" s="496"/>
      <c r="AI53" s="496"/>
      <c r="AJ53" s="496"/>
      <c r="AK53" s="496"/>
      <c r="AL53" s="496"/>
      <c r="AM53" s="496"/>
      <c r="AN53" s="496"/>
      <c r="AO53" s="496"/>
      <c r="AP53" s="496"/>
    </row>
    <row r="54" spans="1:42">
      <c r="A54" t="str">
        <f t="shared" si="12"/>
        <v>Biomass and wastes</v>
      </c>
      <c r="C54" t="str">
        <f t="shared" si="13"/>
        <v>R_ES-CK-SD_BIO</v>
      </c>
      <c r="E54" t="str">
        <f t="shared" si="14"/>
        <v>R_ES-SD-Cook</v>
      </c>
      <c r="F54" s="496"/>
      <c r="G54" s="496"/>
      <c r="H54" s="496"/>
      <c r="I54" s="496"/>
      <c r="J54" s="496"/>
      <c r="K54" s="496"/>
      <c r="L54" s="496"/>
      <c r="M54" s="496"/>
      <c r="N54" s="496"/>
      <c r="O54" s="496"/>
      <c r="P54" s="496"/>
      <c r="Q54" s="496"/>
      <c r="R54" s="496"/>
      <c r="S54" s="496"/>
      <c r="T54" s="496"/>
      <c r="U54" s="496"/>
      <c r="V54" s="496"/>
      <c r="W54" s="496"/>
      <c r="X54" s="496"/>
      <c r="Y54" s="496"/>
      <c r="Z54" s="496"/>
      <c r="AA54" s="496"/>
      <c r="AB54" s="496"/>
      <c r="AC54" s="496"/>
      <c r="AD54" s="496"/>
      <c r="AE54" s="496"/>
      <c r="AF54" s="496"/>
      <c r="AG54" s="496"/>
      <c r="AH54" s="496"/>
      <c r="AI54" s="496"/>
      <c r="AJ54" s="496"/>
      <c r="AK54" s="496"/>
      <c r="AL54" s="496"/>
      <c r="AM54" s="496"/>
      <c r="AN54" s="496"/>
      <c r="AO54" s="496"/>
      <c r="AP54" s="496"/>
    </row>
    <row r="55" spans="1:42">
      <c r="A55" t="str">
        <f t="shared" si="12"/>
        <v>Solids</v>
      </c>
      <c r="C55" t="str">
        <f t="shared" si="13"/>
        <v>R_ES-CK-SD_COA</v>
      </c>
      <c r="E55" t="str">
        <f t="shared" si="14"/>
        <v>R_ES-SD-Cook</v>
      </c>
      <c r="F55" s="496"/>
      <c r="G55" s="496"/>
      <c r="H55" s="496"/>
      <c r="I55" s="496"/>
      <c r="J55" s="496"/>
      <c r="K55" s="496"/>
      <c r="L55" s="496"/>
      <c r="M55" s="496"/>
      <c r="N55" s="496"/>
      <c r="O55" s="496"/>
      <c r="P55" s="496"/>
      <c r="Q55" s="496"/>
      <c r="R55" s="496"/>
      <c r="S55" s="496"/>
      <c r="T55" s="496"/>
      <c r="U55" s="496"/>
      <c r="V55" s="496"/>
      <c r="W55" s="496"/>
      <c r="X55" s="496"/>
      <c r="Y55" s="496"/>
      <c r="Z55" s="496"/>
      <c r="AA55" s="496"/>
      <c r="AB55" s="496"/>
      <c r="AC55" s="496"/>
      <c r="AD55" s="496"/>
      <c r="AE55" s="496"/>
      <c r="AF55" s="496"/>
      <c r="AG55" s="496"/>
      <c r="AH55" s="496"/>
      <c r="AI55" s="496"/>
      <c r="AJ55" s="496"/>
      <c r="AK55" s="496"/>
      <c r="AL55" s="496"/>
      <c r="AM55" s="496"/>
      <c r="AN55" s="496"/>
      <c r="AO55" s="496"/>
      <c r="AP55" s="496"/>
    </row>
    <row r="56" spans="1:42">
      <c r="A56" t="str">
        <f t="shared" si="12"/>
        <v>LPG</v>
      </c>
      <c r="C56" t="str">
        <f t="shared" si="13"/>
        <v>R_ES-CK-SD_LPG</v>
      </c>
      <c r="E56" t="str">
        <f t="shared" si="14"/>
        <v>R_ES-SD-Cook</v>
      </c>
      <c r="F56" s="496"/>
      <c r="G56" s="496"/>
      <c r="H56" s="496"/>
      <c r="I56" s="496"/>
      <c r="J56" s="496"/>
      <c r="K56" s="496"/>
      <c r="L56" s="496"/>
      <c r="M56" s="496"/>
      <c r="N56" s="496"/>
      <c r="O56" s="496"/>
      <c r="P56" s="496"/>
      <c r="Q56" s="496"/>
      <c r="R56" s="496"/>
      <c r="S56" s="496"/>
      <c r="T56" s="496"/>
      <c r="U56" s="496"/>
      <c r="V56" s="496"/>
      <c r="W56" s="496"/>
      <c r="X56" s="496"/>
      <c r="Y56" s="496"/>
      <c r="Z56" s="496"/>
      <c r="AA56" s="496"/>
      <c r="AB56" s="496"/>
      <c r="AC56" s="496"/>
      <c r="AD56" s="496"/>
      <c r="AE56" s="496"/>
      <c r="AF56" s="496"/>
      <c r="AG56" s="496"/>
      <c r="AH56" s="496"/>
      <c r="AI56" s="496"/>
      <c r="AJ56" s="496"/>
      <c r="AK56" s="496"/>
      <c r="AL56" s="496"/>
      <c r="AM56" s="496"/>
      <c r="AN56" s="496"/>
      <c r="AO56" s="496"/>
      <c r="AP56" s="496"/>
    </row>
    <row r="59" spans="1:42">
      <c r="E59" s="533" t="s">
        <v>607</v>
      </c>
    </row>
    <row r="60" spans="1:42" ht="15" thickBot="1">
      <c r="C60" s="539" t="s">
        <v>545</v>
      </c>
      <c r="D60" s="539" t="s">
        <v>585</v>
      </c>
      <c r="E60" s="539" t="s">
        <v>552</v>
      </c>
      <c r="F60" s="540" t="str">
        <f>'All Stock'!D$2</f>
        <v>AT</v>
      </c>
      <c r="G60" s="540" t="str">
        <f>'All Stock'!E$2</f>
        <v>BE</v>
      </c>
      <c r="H60" s="540" t="str">
        <f>'All Stock'!F$2</f>
        <v>BG</v>
      </c>
      <c r="I60" s="540" t="str">
        <f>'All Stock'!G$2</f>
        <v>CH</v>
      </c>
      <c r="J60" s="540" t="str">
        <f>'All Stock'!H$2</f>
        <v>CY</v>
      </c>
      <c r="K60" s="540" t="str">
        <f>'All Stock'!I$2</f>
        <v>CZ</v>
      </c>
      <c r="L60" s="540" t="str">
        <f>'All Stock'!J$2</f>
        <v>DE</v>
      </c>
      <c r="M60" s="540" t="str">
        <f>'All Stock'!K$2</f>
        <v>DK</v>
      </c>
      <c r="N60" s="540" t="str">
        <f>'All Stock'!L$2</f>
        <v>EE</v>
      </c>
      <c r="O60" s="540" t="str">
        <f>'All Stock'!M$2</f>
        <v>ES</v>
      </c>
      <c r="P60" s="540" t="str">
        <f>'All Stock'!N$2</f>
        <v>FI</v>
      </c>
      <c r="Q60" s="540" t="str">
        <f>'All Stock'!O$2</f>
        <v>FR</v>
      </c>
      <c r="R60" s="540" t="str">
        <f>'All Stock'!P$2</f>
        <v>EL</v>
      </c>
      <c r="S60" s="540" t="str">
        <f>'All Stock'!Q$2</f>
        <v>HR</v>
      </c>
      <c r="T60" s="540" t="str">
        <f>'All Stock'!R$2</f>
        <v>HU</v>
      </c>
      <c r="U60" s="540" t="str">
        <f>'All Stock'!S$2</f>
        <v>IE</v>
      </c>
      <c r="V60" s="540" t="str">
        <f>'All Stock'!T$2</f>
        <v>IS</v>
      </c>
      <c r="W60" s="540" t="str">
        <f>'All Stock'!U$2</f>
        <v>IT</v>
      </c>
      <c r="X60" s="540" t="str">
        <f>'All Stock'!V$2</f>
        <v>LT</v>
      </c>
      <c r="Y60" s="540" t="str">
        <f>'All Stock'!W$2</f>
        <v>LU</v>
      </c>
      <c r="Z60" s="540" t="str">
        <f>'All Stock'!X$2</f>
        <v>LV</v>
      </c>
      <c r="AA60" s="540" t="str">
        <f>'All Stock'!Y$2</f>
        <v>MT</v>
      </c>
      <c r="AB60" s="540" t="str">
        <f>'All Stock'!Z$2</f>
        <v>NL</v>
      </c>
      <c r="AC60" s="540" t="str">
        <f>'All Stock'!AA$2</f>
        <v>NO</v>
      </c>
      <c r="AD60" s="540" t="str">
        <f>'All Stock'!AB$2</f>
        <v>PL</v>
      </c>
      <c r="AE60" s="540" t="str">
        <f>'All Stock'!AC$2</f>
        <v>PT</v>
      </c>
      <c r="AF60" s="540" t="str">
        <f>'All Stock'!AD$2</f>
        <v>RO</v>
      </c>
      <c r="AG60" s="540" t="str">
        <f>'All Stock'!AE$2</f>
        <v>SE</v>
      </c>
      <c r="AH60" s="540" t="str">
        <f>'All Stock'!AF$2</f>
        <v>SI</v>
      </c>
      <c r="AI60" s="540" t="str">
        <f>'All Stock'!AG$2</f>
        <v>SK</v>
      </c>
      <c r="AJ60" s="540" t="str">
        <f>'All Stock'!AH$2</f>
        <v>UK</v>
      </c>
      <c r="AK60" s="540" t="str">
        <f>'All Stock'!AI$2</f>
        <v>AL</v>
      </c>
      <c r="AL60" s="540" t="str">
        <f>'All Stock'!AJ$2</f>
        <v>BA</v>
      </c>
      <c r="AM60" s="540" t="str">
        <f>'All Stock'!AK$2</f>
        <v>ME</v>
      </c>
      <c r="AN60" s="540" t="str">
        <f>'All Stock'!AL$2</f>
        <v>MK</v>
      </c>
      <c r="AO60" s="540" t="str">
        <f>'All Stock'!AM$2</f>
        <v>RS</v>
      </c>
      <c r="AP60" s="540" t="str">
        <f>'All Stock'!AN$2</f>
        <v>KS</v>
      </c>
    </row>
    <row r="61" spans="1:42">
      <c r="A61" t="str">
        <f t="shared" ref="A61:A75" si="15">A42</f>
        <v>Electricity</v>
      </c>
      <c r="C61" t="str">
        <f t="shared" ref="C61:C75" si="16">C42</f>
        <v>R_ES-CK-FL_ELC</v>
      </c>
      <c r="E61" t="str">
        <f t="shared" ref="E61:E75" si="17">E42</f>
        <v>R_ES-FL-Cook</v>
      </c>
      <c r="F61" s="691">
        <f ca="1">IF(SUM(F4,F9,F14)=0,0.002,'IDEES okt 2017 template'!D104/(F4+F9+F14))</f>
        <v>3.0415222889943103E-3</v>
      </c>
      <c r="G61" s="691">
        <f ca="1">IF(SUM(G4,G9,G14)=0,0.002,'IDEES okt 2017 template'!E104/(G4+G9+G14))</f>
        <v>3.4102939388338635E-3</v>
      </c>
      <c r="H61" s="691">
        <f ca="1">IF(SUM(H4,H9,H14)=0,0.002,'IDEES okt 2017 template'!F104/(H4+H9+H14))</f>
        <v>3.6540878403332529E-3</v>
      </c>
      <c r="I61" s="691">
        <f ca="1">IF(SUM(I4,I9,I14)=0,0.002,'IDEES okt 2017 template'!G104/(I4+I9+I14))</f>
        <v>3.5508103674260372E-3</v>
      </c>
      <c r="J61" s="691">
        <f ca="1">IF(SUM(J4,J9,J14)=0,0.002,'IDEES okt 2017 template'!H104/(J4+J9+J14))</f>
        <v>3.1425495224675195E-3</v>
      </c>
      <c r="K61" s="691">
        <f ca="1">IF(SUM(K4,K9,K14)=0,0.002,'IDEES okt 2017 template'!I104/(K4+K9+K14))</f>
        <v>2.8281460241767935E-3</v>
      </c>
      <c r="L61" s="691">
        <f ca="1">IF(SUM(L4,L9,L14)=0,0.002,'IDEES okt 2017 template'!J104/(L4+L9+L14))</f>
        <v>3.2488705943226628E-3</v>
      </c>
      <c r="M61" s="691">
        <f ca="1">IF(SUM(M4,M9,M14)=0,0.002,'IDEES okt 2017 template'!K104/(M4+M9+M14))</f>
        <v>2.836145687756632E-3</v>
      </c>
      <c r="N61" s="691">
        <f ca="1">IF(SUM(N4,N9,N14)=0,0.002,'IDEES okt 2017 template'!L104/(N4+N9+N14))</f>
        <v>2.7660559835486942E-3</v>
      </c>
      <c r="O61" s="691">
        <f ca="1">IF(SUM(O4,O9,O14)=0,0.002,'IDEES okt 2017 template'!M104/(O4+O9+O14))</f>
        <v>3.8085079249353311E-3</v>
      </c>
      <c r="P61" s="691">
        <f ca="1">IF(SUM(P4,P9,P14)=0,0.002,'IDEES okt 2017 template'!N104/(P4+P9+P14))</f>
        <v>2.6293573109243697E-3</v>
      </c>
      <c r="Q61" s="691">
        <f ca="1">IF(SUM(Q4,Q9,Q14)=0,0.002,'IDEES okt 2017 template'!O104/(Q4+Q9+Q14))</f>
        <v>4.6456785706277572E-3</v>
      </c>
      <c r="R61" s="691">
        <f ca="1">IF(SUM(R4,R9,R14)=0,0.002,'IDEES okt 2017 template'!P104/(R4+R9+R14))</f>
        <v>5.6268447984466185E-3</v>
      </c>
      <c r="S61" s="691">
        <f ca="1">IF(SUM(S4,S9,S14)=0,0.002,'IDEES okt 2017 template'!Q104/(S4+S9+S14))</f>
        <v>3.0876066146761586E-3</v>
      </c>
      <c r="T61" s="691">
        <f ca="1">IF(SUM(T4,T9,T14)=0,0.002,'IDEES okt 2017 template'!R104/(T4+T9+T14))</f>
        <v>2.7436497090527873E-3</v>
      </c>
      <c r="U61" s="691">
        <f ca="1">IF(SUM(U4,U9,U14)=0,0.002,'IDEES okt 2017 template'!S104/(U4+U9+U14))</f>
        <v>2.9707409502925356E-3</v>
      </c>
      <c r="V61" s="691">
        <f ca="1">IF(SUM(V4,V9,V14)=0,0.002,'IDEES okt 2017 template'!T104/(V4+V9+V14))</f>
        <v>2.2971797935457971E-3</v>
      </c>
      <c r="W61" s="691">
        <f ca="1">IF(SUM(W4,W9,W14)=0,0.002,'IDEES okt 2017 template'!U104/(W4+W9+W14))</f>
        <v>2.4563707405637226E-3</v>
      </c>
      <c r="X61" s="691">
        <f ca="1">IF(SUM(X4,X9,X14)=0,0.002,'IDEES okt 2017 template'!V104/(X4+X9+X14))</f>
        <v>2.409548664013308E-3</v>
      </c>
      <c r="Y61" s="691">
        <f ca="1">IF(SUM(Y4,Y9,Y14)=0,0.002,'IDEES okt 2017 template'!W104/(Y4+Y9+Y14))</f>
        <v>2.8951276749740835E-3</v>
      </c>
      <c r="Z61" s="691">
        <f ca="1">IF(SUM(Z4,Z9,Z14)=0,0.002,'IDEES okt 2017 template'!X104/(Z4+Z9+Z14))</f>
        <v>1.8732826292421456E-3</v>
      </c>
      <c r="AA61" s="691">
        <f ca="1">IF(SUM(AA4,AA9,AA14)=0,0.002,'IDEES okt 2017 template'!Y104/(AA4+AA9+AA14))</f>
        <v>4.0464055195662584E-3</v>
      </c>
      <c r="AB61" s="691">
        <f ca="1">IF(SUM(AB4,AB9,AB14)=0,0.002,'IDEES okt 2017 template'!Z104/(AB4+AB9+AB14))</f>
        <v>3.3326076925638314E-3</v>
      </c>
      <c r="AC61" s="691">
        <f ca="1">IF(SUM(AC4,AC9,AC14)=0,0.002,'IDEES okt 2017 template'!AA104/(AC4+AC9+AC14))</f>
        <v>7.4120673285544749E-3</v>
      </c>
      <c r="AD61" s="691">
        <f ca="1">IF(SUM(AD4,AD9,AD14)=0,0.002,'IDEES okt 2017 template'!AB104/(AD4+AD9+AD14))</f>
        <v>3.1582031254654983E-3</v>
      </c>
      <c r="AE61" s="691">
        <f ca="1">IF(SUM(AE4,AE9,AE14)=0,0.002,'IDEES okt 2017 template'!AC104/(AE4+AE9+AE14))</f>
        <v>1.5925988068438986E-2</v>
      </c>
      <c r="AF61" s="691">
        <f ca="1">IF(SUM(AF4,AF9,AF14)=0,0.002,'IDEES okt 2017 template'!AD104/(AF4+AF9+AF14))</f>
        <v>2.671694097813716E-3</v>
      </c>
      <c r="AG61" s="691">
        <f ca="1">IF(SUM(AG4,AG9,AG14)=0,0.002,'IDEES okt 2017 template'!AE104/(AG4+AG9+AG14))</f>
        <v>2.6513054046155122E-3</v>
      </c>
      <c r="AH61" s="691">
        <f ca="1">IF(SUM(AH4,AH9,AH14)=0,0.002,'IDEES okt 2017 template'!AF104/(AH4+AH9+AH14))</f>
        <v>2.3401915005250794E-3</v>
      </c>
      <c r="AI61" s="691">
        <f ca="1">IF(SUM(AI4,AI9,AI14)=0,0.002,'IDEES okt 2017 template'!AG104/(AI4+AI9+AI14))</f>
        <v>3.6328190444342452E-3</v>
      </c>
      <c r="AJ61" s="691">
        <f ca="1">IF(SUM(AJ4,AJ9,AJ14)=0,0.002,'IDEES okt 2017 template'!AH104/(AJ4+AJ9+AJ14))</f>
        <v>2.0315868994864022E-3</v>
      </c>
      <c r="AK61" s="691">
        <f ca="1">IF(SUM(AK4,AK9,AK14)=0,0.002,'IDEES okt 2017 template'!AI104/(AK4+AK9+AK14))</f>
        <v>9.6401693011622051E-3</v>
      </c>
      <c r="AL61" s="691">
        <f ca="1">IF(SUM(AL4,AL9,AL14)=0,0.002,'IDEES okt 2017 template'!AJ104/(AL4+AL9+AL14))</f>
        <v>4.2581434154369737E-3</v>
      </c>
      <c r="AM61" s="691">
        <f ca="1">IF(SUM(AM4,AM9,AM14)=0,0.002,'IDEES okt 2017 template'!AK104/(AM4+AM9+AM14))</f>
        <v>7.9551734298874549E-3</v>
      </c>
      <c r="AN61" s="691">
        <f ca="1">IF(SUM(AN4,AN9,AN14)=0,0.002,'IDEES okt 2017 template'!AL104/(AN4+AN9+AN14))</f>
        <v>5.2408564883108062E-3</v>
      </c>
      <c r="AO61" s="691">
        <f ca="1">IF(SUM(AO4,AO9,AO14)=0,0.002,'IDEES okt 2017 template'!AM104/(AO4+AO9+AO14))</f>
        <v>4.826369207958139E-3</v>
      </c>
      <c r="AP61" s="691">
        <f ca="1">IF(SUM(AP4,AP9,AP14)=0,0.002,'IDEES okt 2017 template'!AN104/(AP4+AP9+AP14))</f>
        <v>3.7550697270162079E-3</v>
      </c>
    </row>
    <row r="62" spans="1:42">
      <c r="A62" t="str">
        <f t="shared" si="15"/>
        <v>Gases</v>
      </c>
      <c r="C62" t="str">
        <f t="shared" si="16"/>
        <v>R_ES-CK-FL_GAS</v>
      </c>
      <c r="E62" t="str">
        <f t="shared" si="17"/>
        <v>R_ES-FL-Cook</v>
      </c>
      <c r="F62" s="691">
        <f ca="1">IF(SUM(F5,F10,F15)=0,0.002,'IDEES okt 2017 template'!D105/(F5+F10+F15))</f>
        <v>3.0415222889943103E-3</v>
      </c>
      <c r="G62" s="691">
        <f ca="1">IF(SUM(G5,G10,G15)=0,0.002,'IDEES okt 2017 template'!E105/(G5+G10+G15))</f>
        <v>3.410293938833864E-3</v>
      </c>
      <c r="H62" s="691">
        <f ca="1">IF(SUM(H5,H10,H15)=0,0.002,'IDEES okt 2017 template'!F105/(H5+H10+H15))</f>
        <v>3.6540878403332521E-3</v>
      </c>
      <c r="I62" s="691">
        <f ca="1">IF(SUM(I5,I10,I15)=0,0.002,'IDEES okt 2017 template'!G105/(I5+I10+I15))</f>
        <v>3.5508103674260368E-3</v>
      </c>
      <c r="J62" s="691">
        <f ca="1">IF(SUM(J5,J10,J15)=0,0.002,'IDEES okt 2017 template'!H105/(J5+J10+J15))</f>
        <v>2E-3</v>
      </c>
      <c r="K62" s="691">
        <f ca="1">IF(SUM(K5,K10,K15)=0,0.002,'IDEES okt 2017 template'!I105/(K5+K10+K15))</f>
        <v>2.8281460241767935E-3</v>
      </c>
      <c r="L62" s="691">
        <f ca="1">IF(SUM(L5,L10,L15)=0,0.002,'IDEES okt 2017 template'!J105/(L5+L10+L15))</f>
        <v>3.2488705943226628E-3</v>
      </c>
      <c r="M62" s="691">
        <f ca="1">IF(SUM(M5,M10,M15)=0,0.002,'IDEES okt 2017 template'!K105/(M5+M10+M15))</f>
        <v>2.8361456877566311E-3</v>
      </c>
      <c r="N62" s="691">
        <f ca="1">IF(SUM(N5,N10,N15)=0,0.002,'IDEES okt 2017 template'!L105/(N5+N10+N15))</f>
        <v>2.7660559835486942E-3</v>
      </c>
      <c r="O62" s="691">
        <f ca="1">IF(SUM(O5,O10,O15)=0,0.002,'IDEES okt 2017 template'!M105/(O5+O10+O15))</f>
        <v>3.8085079249353306E-3</v>
      </c>
      <c r="P62" s="691">
        <f ca="1">IF(SUM(P5,P10,P15)=0,0.002,'IDEES okt 2017 template'!N105/(P5+P10+P15))</f>
        <v>2.6293573109243702E-3</v>
      </c>
      <c r="Q62" s="691">
        <f ca="1">IF(SUM(Q5,Q10,Q15)=0,0.002,'IDEES okt 2017 template'!O105/(Q5+Q10+Q15))</f>
        <v>4.645678570627758E-3</v>
      </c>
      <c r="R62" s="691">
        <f ca="1">IF(SUM(R5,R10,R15)=0,0.002,'IDEES okt 2017 template'!P105/(R5+R10+R15))</f>
        <v>5.6268447984466176E-3</v>
      </c>
      <c r="S62" s="691">
        <f ca="1">IF(SUM(S5,S10,S15)=0,0.002,'IDEES okt 2017 template'!Q105/(S5+S10+S15))</f>
        <v>3.087606614676159E-3</v>
      </c>
      <c r="T62" s="691">
        <f ca="1">IF(SUM(T5,T10,T15)=0,0.002,'IDEES okt 2017 template'!R105/(T5+T10+T15))</f>
        <v>2.7436497090527873E-3</v>
      </c>
      <c r="U62" s="691">
        <f ca="1">IF(SUM(U5,U10,U15)=0,0.002,'IDEES okt 2017 template'!S105/(U5+U10+U15))</f>
        <v>2.9707409502925351E-3</v>
      </c>
      <c r="V62" s="691">
        <f ca="1">IF(SUM(V5,V10,V15)=0,0.002,'IDEES okt 2017 template'!T105/(V5+V10+V15))</f>
        <v>2E-3</v>
      </c>
      <c r="W62" s="691">
        <f ca="1">IF(SUM(W5,W10,W15)=0,0.002,'IDEES okt 2017 template'!U105/(W5+W10+W15))</f>
        <v>2.4563707405637226E-3</v>
      </c>
      <c r="X62" s="691">
        <f ca="1">IF(SUM(X5,X10,X15)=0,0.002,'IDEES okt 2017 template'!V105/(X5+X10+X15))</f>
        <v>2.4095486640133075E-3</v>
      </c>
      <c r="Y62" s="691">
        <f ca="1">IF(SUM(Y5,Y10,Y15)=0,0.002,'IDEES okt 2017 template'!W105/(Y5+Y10+Y15))</f>
        <v>2.8951276749740835E-3</v>
      </c>
      <c r="Z62" s="691">
        <f ca="1">IF(SUM(Z5,Z10,Z15)=0,0.002,'IDEES okt 2017 template'!X105/(Z5+Z10+Z15))</f>
        <v>1.8732826292421456E-3</v>
      </c>
      <c r="AA62" s="691">
        <f ca="1">IF(SUM(AA5,AA10,AA15)=0,0.002,'IDEES okt 2017 template'!Y105/(AA5+AA10+AA15))</f>
        <v>2E-3</v>
      </c>
      <c r="AB62" s="691">
        <f ca="1">IF(SUM(AB5,AB10,AB15)=0,0.002,'IDEES okt 2017 template'!Z105/(AB5+AB10+AB15))</f>
        <v>3.3326076925638318E-3</v>
      </c>
      <c r="AC62" s="691">
        <f ca="1">IF(SUM(AC5,AC10,AC15)=0,0.002,'IDEES okt 2017 template'!AA105/(AC5+AC10+AC15))</f>
        <v>7.4120673285544758E-3</v>
      </c>
      <c r="AD62" s="691">
        <f ca="1">IF(SUM(AD5,AD10,AD15)=0,0.002,'IDEES okt 2017 template'!AB105/(AD5+AD10+AD15))</f>
        <v>3.1582031254654979E-3</v>
      </c>
      <c r="AE62" s="691">
        <f ca="1">IF(SUM(AE5,AE10,AE15)=0,0.002,'IDEES okt 2017 template'!AC105/(AE5+AE10+AE15))</f>
        <v>1.5925988068438986E-2</v>
      </c>
      <c r="AF62" s="691">
        <f ca="1">IF(SUM(AF5,AF10,AF15)=0,0.002,'IDEES okt 2017 template'!AD105/(AF5+AF10+AF15))</f>
        <v>2.6716940978137155E-3</v>
      </c>
      <c r="AG62" s="691">
        <f ca="1">IF(SUM(AG5,AG10,AG15)=0,0.002,'IDEES okt 2017 template'!AE105/(AG5+AG10+AG15))</f>
        <v>2.6513054046155126E-3</v>
      </c>
      <c r="AH62" s="691">
        <f ca="1">IF(SUM(AH5,AH10,AH15)=0,0.002,'IDEES okt 2017 template'!AF105/(AH5+AH10+AH15))</f>
        <v>2.3401915005250799E-3</v>
      </c>
      <c r="AI62" s="691">
        <f ca="1">IF(SUM(AI5,AI10,AI15)=0,0.002,'IDEES okt 2017 template'!AG105/(AI5+AI10+AI15))</f>
        <v>3.6328190444342452E-3</v>
      </c>
      <c r="AJ62" s="691">
        <f ca="1">IF(SUM(AJ5,AJ10,AJ15)=0,0.002,'IDEES okt 2017 template'!AH105/(AJ5+AJ10+AJ15))</f>
        <v>2.0315868994864022E-3</v>
      </c>
      <c r="AK62" s="691">
        <f ca="1">IF(SUM(AK5,AK10,AK15)=0,0.002,'IDEES okt 2017 template'!AI105/(AK5+AK10+AK15))</f>
        <v>2E-3</v>
      </c>
      <c r="AL62" s="691">
        <f ca="1">IF(SUM(AL5,AL10,AL15)=0,0.002,'IDEES okt 2017 template'!AJ105/(AL5+AL10+AL15))</f>
        <v>4.2581434154369728E-3</v>
      </c>
      <c r="AM62" s="691">
        <f ca="1">IF(SUM(AM5,AM10,AM15)=0,0.002,'IDEES okt 2017 template'!AK105/(AM5+AM10+AM15))</f>
        <v>2E-3</v>
      </c>
      <c r="AN62" s="691">
        <f ca="1">IF(SUM(AN5,AN10,AN15)=0,0.002,'IDEES okt 2017 template'!AL105/(AN5+AN10+AN15))</f>
        <v>2E-3</v>
      </c>
      <c r="AO62" s="691">
        <f ca="1">IF(SUM(AO5,AO10,AO15)=0,0.002,'IDEES okt 2017 template'!AM105/(AO5+AO10+AO15))</f>
        <v>4.826369207958139E-3</v>
      </c>
      <c r="AP62" s="691">
        <f ca="1">IF(SUM(AP5,AP10,AP15)=0,0.002,'IDEES okt 2017 template'!AN105/(AP5+AP10+AP15))</f>
        <v>2E-3</v>
      </c>
    </row>
    <row r="63" spans="1:42">
      <c r="A63" t="str">
        <f t="shared" si="15"/>
        <v>Biomass and wastes</v>
      </c>
      <c r="C63" t="str">
        <f t="shared" si="16"/>
        <v>R_ES-CK-FL_BIO</v>
      </c>
      <c r="E63" t="str">
        <f t="shared" si="17"/>
        <v>R_ES-FL-Cook</v>
      </c>
      <c r="F63" s="691">
        <f ca="1">IF(SUM(F6,F11,F16)=0,0.002,'IDEES okt 2017 template'!D103/(F6+F11+F16))</f>
        <v>3.0415222889943107E-3</v>
      </c>
      <c r="G63" s="691">
        <f ca="1">IF(SUM(G6,G11,G16)=0,0.002,'IDEES okt 2017 template'!E103/(G6+G11+G16))</f>
        <v>2E-3</v>
      </c>
      <c r="H63" s="691">
        <f ca="1">IF(SUM(H6,H11,H16)=0,0.002,'IDEES okt 2017 template'!F103/(H6+H11+H16))</f>
        <v>3.6540878403332525E-3</v>
      </c>
      <c r="I63" s="691">
        <f ca="1">IF(SUM(I6,I11,I16)=0,0.002,'IDEES okt 2017 template'!G103/(I6+I11+I16))</f>
        <v>2E-3</v>
      </c>
      <c r="J63" s="691">
        <f ca="1">IF(SUM(J6,J11,J16)=0,0.002,'IDEES okt 2017 template'!H103/(J6+J11+J16))</f>
        <v>2E-3</v>
      </c>
      <c r="K63" s="691">
        <f ca="1">IF(SUM(K6,K11,K16)=0,0.002,'IDEES okt 2017 template'!I103/(K6+K11+K16))</f>
        <v>2.8281460241767939E-3</v>
      </c>
      <c r="L63" s="691">
        <f ca="1">IF(SUM(L6,L11,L16)=0,0.002,'IDEES okt 2017 template'!J103/(L6+L11+L16))</f>
        <v>2E-3</v>
      </c>
      <c r="M63" s="691">
        <f ca="1">IF(SUM(M6,M11,M16)=0,0.002,'IDEES okt 2017 template'!K103/(M6+M11+M16))</f>
        <v>2E-3</v>
      </c>
      <c r="N63" s="691">
        <f ca="1">IF(SUM(N6,N11,N16)=0,0.002,'IDEES okt 2017 template'!L103/(N6+N11+N16))</f>
        <v>2.7660559835486938E-3</v>
      </c>
      <c r="O63" s="691">
        <f ca="1">IF(SUM(O6,O11,O16)=0,0.002,'IDEES okt 2017 template'!M103/(O6+O11+O16))</f>
        <v>3.8085079249353311E-3</v>
      </c>
      <c r="P63" s="691">
        <f ca="1">IF(SUM(P6,P11,P16)=0,0.002,'IDEES okt 2017 template'!N103/(P6+P11+P16))</f>
        <v>2E-3</v>
      </c>
      <c r="Q63" s="691">
        <f ca="1">IF(SUM(Q6,Q11,Q16)=0,0.002,'IDEES okt 2017 template'!O103/(Q6+Q11+Q16))</f>
        <v>2E-3</v>
      </c>
      <c r="R63" s="691">
        <f ca="1">IF(SUM(R6,R11,R16)=0,0.002,'IDEES okt 2017 template'!P103/(R6+R11+R16))</f>
        <v>5.6268447984466176E-3</v>
      </c>
      <c r="S63" s="691">
        <f ca="1">IF(SUM(S6,S11,S16)=0,0.002,'IDEES okt 2017 template'!Q103/(S6+S11+S16))</f>
        <v>2E-3</v>
      </c>
      <c r="T63" s="691">
        <f ca="1">IF(SUM(T6,T11,T16)=0,0.002,'IDEES okt 2017 template'!R103/(T6+T11+T16))</f>
        <v>2.7436497090527869E-3</v>
      </c>
      <c r="U63" s="691">
        <f ca="1">IF(SUM(U6,U11,U16)=0,0.002,'IDEES okt 2017 template'!S103/(U6+U11+U16))</f>
        <v>2E-3</v>
      </c>
      <c r="V63" s="691">
        <f ca="1">IF(SUM(V6,V11,V16)=0,0.002,'IDEES okt 2017 template'!T103/(V6+V11+V16))</f>
        <v>2E-3</v>
      </c>
      <c r="W63" s="691">
        <f ca="1">IF(SUM(W6,W11,W16)=0,0.002,'IDEES okt 2017 template'!U103/(W6+W11+W16))</f>
        <v>2E-3</v>
      </c>
      <c r="X63" s="691">
        <f ca="1">IF(SUM(X6,X11,X16)=0,0.002,'IDEES okt 2017 template'!V103/(X6+X11+X16))</f>
        <v>2.4095486640133075E-3</v>
      </c>
      <c r="Y63" s="691">
        <f ca="1">IF(SUM(Y6,Y11,Y16)=0,0.002,'IDEES okt 2017 template'!W103/(Y6+Y11+Y16))</f>
        <v>2E-3</v>
      </c>
      <c r="Z63" s="691">
        <f ca="1">IF(SUM(Z6,Z11,Z16)=0,0.002,'IDEES okt 2017 template'!X103/(Z6+Z11+Z16))</f>
        <v>1.8732826292421458E-3</v>
      </c>
      <c r="AA63" s="691">
        <f ca="1">IF(SUM(AA6,AA11,AA16)=0,0.002,'IDEES okt 2017 template'!Y103/(AA6+AA11+AA16))</f>
        <v>2E-3</v>
      </c>
      <c r="AB63" s="691">
        <f ca="1">IF(SUM(AB6,AB11,AB16)=0,0.002,'IDEES okt 2017 template'!Z103/(AB6+AB11+AB16))</f>
        <v>2E-3</v>
      </c>
      <c r="AC63" s="691">
        <f ca="1">IF(SUM(AC6,AC11,AC16)=0,0.002,'IDEES okt 2017 template'!AA103/(AC6+AC11+AC16))</f>
        <v>2E-3</v>
      </c>
      <c r="AD63" s="691">
        <f ca="1">IF(SUM(AD6,AD11,AD16)=0,0.002,'IDEES okt 2017 template'!AB103/(AD6+AD11+AD16))</f>
        <v>3.1582031254654979E-3</v>
      </c>
      <c r="AE63" s="691">
        <f ca="1">IF(SUM(AE6,AE11,AE16)=0,0.002,'IDEES okt 2017 template'!AC103/(AE6+AE11+AE16))</f>
        <v>1.5925988068438986E-2</v>
      </c>
      <c r="AF63" s="691">
        <f ca="1">IF(SUM(AF6,AF11,AF16)=0,0.002,'IDEES okt 2017 template'!AD103/(AF6+AF11+AF16))</f>
        <v>2.671694097813716E-3</v>
      </c>
      <c r="AG63" s="691">
        <f ca="1">IF(SUM(AG6,AG11,AG16)=0,0.002,'IDEES okt 2017 template'!AE103/(AG6+AG11+AG16))</f>
        <v>2E-3</v>
      </c>
      <c r="AH63" s="691">
        <f ca="1">IF(SUM(AH6,AH11,AH16)=0,0.002,'IDEES okt 2017 template'!AF103/(AH6+AH11+AH16))</f>
        <v>2.3401915005250799E-3</v>
      </c>
      <c r="AI63" s="691">
        <f ca="1">IF(SUM(AI6,AI11,AI16)=0,0.002,'IDEES okt 2017 template'!AG103/(AI6+AI11+AI16))</f>
        <v>2E-3</v>
      </c>
      <c r="AJ63" s="691">
        <f ca="1">IF(SUM(AJ6,AJ11,AJ16)=0,0.002,'IDEES okt 2017 template'!AH103/(AJ6+AJ11+AJ16))</f>
        <v>2E-3</v>
      </c>
      <c r="AK63" s="691">
        <f ca="1">IF(SUM(AK6,AK11,AK16)=0,0.002,'IDEES okt 2017 template'!AI103/(AK6+AK11+AK16))</f>
        <v>9.6401693011622068E-3</v>
      </c>
      <c r="AL63" s="691">
        <f ca="1">IF(SUM(AL6,AL11,AL16)=0,0.002,'IDEES okt 2017 template'!AJ103/(AL6+AL11+AL16))</f>
        <v>2E-3</v>
      </c>
      <c r="AM63" s="691">
        <f ca="1">IF(SUM(AM6,AM11,AM16)=0,0.002,'IDEES okt 2017 template'!AK103/(AM6+AM11+AM16))</f>
        <v>7.9551734298874549E-3</v>
      </c>
      <c r="AN63" s="691">
        <f ca="1">IF(SUM(AN6,AN11,AN16)=0,0.002,'IDEES okt 2017 template'!AL103/(AN6+AN11+AN16))</f>
        <v>2E-3</v>
      </c>
      <c r="AO63" s="691">
        <f ca="1">IF(SUM(AO6,AO11,AO16)=0,0.002,'IDEES okt 2017 template'!AM103/(AO6+AO11+AO16))</f>
        <v>2E-3</v>
      </c>
      <c r="AP63" s="691">
        <f ca="1">IF(SUM(AP6,AP11,AP16)=0,0.002,'IDEES okt 2017 template'!AN103/(AP6+AP11+AP16))</f>
        <v>2E-3</v>
      </c>
    </row>
    <row r="64" spans="1:42">
      <c r="A64" t="str">
        <f t="shared" si="15"/>
        <v>Solids</v>
      </c>
      <c r="C64" t="str">
        <f t="shared" si="16"/>
        <v>R_ES-CK-FL_COA</v>
      </c>
      <c r="E64" t="str">
        <f t="shared" si="17"/>
        <v>R_ES-FL-Cook</v>
      </c>
      <c r="F64" s="691">
        <f ca="1">IF(SUM(F7,F12,F17)=0,0.002,'IDEES okt 2017 template'!D107/(F7+F12+F17))</f>
        <v>3.0415222889943103E-3</v>
      </c>
      <c r="G64" s="691">
        <f ca="1">IF(SUM(G7,G12,G17)=0,0.002,'IDEES okt 2017 template'!E107/(G7+G12+G17))</f>
        <v>2E-3</v>
      </c>
      <c r="H64" s="691">
        <f ca="1">IF(SUM(H7,H12,H17)=0,0.002,'IDEES okt 2017 template'!F107/(H7+H12+H17))</f>
        <v>3.6540878403332529E-3</v>
      </c>
      <c r="I64" s="691">
        <f ca="1">IF(SUM(I7,I12,I17)=0,0.002,'IDEES okt 2017 template'!G107/(I7+I12+I17))</f>
        <v>2E-3</v>
      </c>
      <c r="J64" s="691">
        <f ca="1">IF(SUM(J7,J12,J17)=0,0.002,'IDEES okt 2017 template'!H107/(J7+J12+J17))</f>
        <v>2E-3</v>
      </c>
      <c r="K64" s="691">
        <f ca="1">IF(SUM(K7,K12,K17)=0,0.002,'IDEES okt 2017 template'!I107/(K7+K12+K17))</f>
        <v>2E-3</v>
      </c>
      <c r="L64" s="691">
        <f ca="1">IF(SUM(L7,L12,L17)=0,0.002,'IDEES okt 2017 template'!J107/(L7+L12+L17))</f>
        <v>2E-3</v>
      </c>
      <c r="M64" s="691">
        <f ca="1">IF(SUM(M7,M12,M17)=0,0.002,'IDEES okt 2017 template'!K107/(M7+M12+M17))</f>
        <v>2E-3</v>
      </c>
      <c r="N64" s="691">
        <f ca="1">IF(SUM(N7,N12,N17)=0,0.002,'IDEES okt 2017 template'!L107/(N7+N12+N17))</f>
        <v>2E-3</v>
      </c>
      <c r="O64" s="691">
        <f ca="1">IF(SUM(O7,O12,O17)=0,0.002,'IDEES okt 2017 template'!M107/(O7+O12+O17))</f>
        <v>3.8085079249353306E-3</v>
      </c>
      <c r="P64" s="691">
        <f ca="1">IF(SUM(P7,P12,P17)=0,0.002,'IDEES okt 2017 template'!N107/(P7+P12+P17))</f>
        <v>2E-3</v>
      </c>
      <c r="Q64" s="691">
        <f ca="1">IF(SUM(Q7,Q12,Q17)=0,0.002,'IDEES okt 2017 template'!O107/(Q7+Q12+Q17))</f>
        <v>2E-3</v>
      </c>
      <c r="R64" s="691">
        <f ca="1">IF(SUM(R7,R12,R17)=0,0.002,'IDEES okt 2017 template'!P107/(R7+R12+R17))</f>
        <v>2E-3</v>
      </c>
      <c r="S64" s="691">
        <f ca="1">IF(SUM(S7,S12,S17)=0,0.002,'IDEES okt 2017 template'!Q107/(S7+S12+S17))</f>
        <v>2E-3</v>
      </c>
      <c r="T64" s="691">
        <f ca="1">IF(SUM(T7,T12,T17)=0,0.002,'IDEES okt 2017 template'!R107/(T7+T12+T17))</f>
        <v>2.7436497090527878E-3</v>
      </c>
      <c r="U64" s="691">
        <f ca="1">IF(SUM(U7,U12,U17)=0,0.002,'IDEES okt 2017 template'!S107/(U7+U12+U17))</f>
        <v>2E-3</v>
      </c>
      <c r="V64" s="691">
        <f ca="1">IF(SUM(V7,V12,V17)=0,0.002,'IDEES okt 2017 template'!T107/(V7+V12+V17))</f>
        <v>2E-3</v>
      </c>
      <c r="W64" s="691">
        <f ca="1">IF(SUM(W7,W12,W17)=0,0.002,'IDEES okt 2017 template'!U107/(W7+W12+W17))</f>
        <v>2E-3</v>
      </c>
      <c r="X64" s="691">
        <f ca="1">IF(SUM(X7,X12,X17)=0,0.002,'IDEES okt 2017 template'!V107/(X7+X12+X17))</f>
        <v>2E-3</v>
      </c>
      <c r="Y64" s="691">
        <f ca="1">IF(SUM(Y7,Y12,Y17)=0,0.002,'IDEES okt 2017 template'!W107/(Y7+Y12+Y17))</f>
        <v>2E-3</v>
      </c>
      <c r="Z64" s="691">
        <f ca="1">IF(SUM(Z7,Z12,Z17)=0,0.002,'IDEES okt 2017 template'!X107/(Z7+Z12+Z17))</f>
        <v>2E-3</v>
      </c>
      <c r="AA64" s="691">
        <f ca="1">IF(SUM(AA7,AA12,AA17)=0,0.002,'IDEES okt 2017 template'!Y107/(AA7+AA12+AA17))</f>
        <v>2E-3</v>
      </c>
      <c r="AB64" s="691">
        <f ca="1">IF(SUM(AB7,AB12,AB17)=0,0.002,'IDEES okt 2017 template'!Z107/(AB7+AB12+AB17))</f>
        <v>2E-3</v>
      </c>
      <c r="AC64" s="691">
        <f ca="1">IF(SUM(AC7,AC12,AC17)=0,0.002,'IDEES okt 2017 template'!AA107/(AC7+AC12+AC17))</f>
        <v>2E-3</v>
      </c>
      <c r="AD64" s="691">
        <f ca="1">IF(SUM(AD7,AD12,AD17)=0,0.002,'IDEES okt 2017 template'!AB107/(AD7+AD12+AD17))</f>
        <v>3.1582031254654987E-3</v>
      </c>
      <c r="AE64" s="691">
        <f ca="1">IF(SUM(AE7,AE12,AE17)=0,0.002,'IDEES okt 2017 template'!AC107/(AE7+AE12+AE17))</f>
        <v>2E-3</v>
      </c>
      <c r="AF64" s="691">
        <f ca="1">IF(SUM(AF7,AF12,AF17)=0,0.002,'IDEES okt 2017 template'!AD107/(AF7+AF12+AF17))</f>
        <v>2E-3</v>
      </c>
      <c r="AG64" s="691">
        <f ca="1">IF(SUM(AG7,AG12,AG17)=0,0.002,'IDEES okt 2017 template'!AE107/(AG7+AG12+AG17))</f>
        <v>2E-3</v>
      </c>
      <c r="AH64" s="691">
        <f ca="1">IF(SUM(AH7,AH12,AH17)=0,0.002,'IDEES okt 2017 template'!AF107/(AH7+AH12+AH17))</f>
        <v>2E-3</v>
      </c>
      <c r="AI64" s="691">
        <f ca="1">IF(SUM(AI7,AI12,AI17)=0,0.002,'IDEES okt 2017 template'!AG107/(AI7+AI12+AI17))</f>
        <v>2E-3</v>
      </c>
      <c r="AJ64" s="691">
        <f ca="1">IF(SUM(AJ7,AJ12,AJ17)=0,0.002,'IDEES okt 2017 template'!AH107/(AJ7+AJ12+AJ17))</f>
        <v>2E-3</v>
      </c>
      <c r="AK64" s="691">
        <f ca="1">IF(SUM(AK7,AK12,AK17)=0,0.002,'IDEES okt 2017 template'!AI107/(AK7+AK12+AK17))</f>
        <v>2E-3</v>
      </c>
      <c r="AL64" s="691">
        <f ca="1">IF(SUM(AL7,AL12,AL17)=0,0.002,'IDEES okt 2017 template'!AJ107/(AL7+AL12+AL17))</f>
        <v>2E-3</v>
      </c>
      <c r="AM64" s="691">
        <f ca="1">IF(SUM(AM7,AM12,AM17)=0,0.002,'IDEES okt 2017 template'!AK107/(AM7+AM12+AM17))</f>
        <v>2E-3</v>
      </c>
      <c r="AN64" s="691">
        <f ca="1">IF(SUM(AN7,AN12,AN17)=0,0.002,'IDEES okt 2017 template'!AL107/(AN7+AN12+AN17))</f>
        <v>2E-3</v>
      </c>
      <c r="AO64" s="691">
        <f ca="1">IF(SUM(AO7,AO12,AO17)=0,0.002,'IDEES okt 2017 template'!AM107/(AO7+AO12+AO17))</f>
        <v>2E-3</v>
      </c>
      <c r="AP64" s="691">
        <f ca="1">IF(SUM(AP7,AP12,AP17)=0,0.002,'IDEES okt 2017 template'!AN107/(AP7+AP12+AP17))</f>
        <v>2E-3</v>
      </c>
    </row>
    <row r="65" spans="1:42">
      <c r="A65" t="str">
        <f t="shared" si="15"/>
        <v>LPG</v>
      </c>
      <c r="C65" t="str">
        <f t="shared" si="16"/>
        <v>R_ES-CK-FL_LPG</v>
      </c>
      <c r="E65" t="str">
        <f t="shared" si="17"/>
        <v>R_ES-FL-Cook</v>
      </c>
      <c r="F65" s="691">
        <f ca="1">IF(SUM(F8,F13,F18)=0,0.002,'IDEES okt 2017 template'!D106/(F8+F13+F18))</f>
        <v>3.0415222889943103E-3</v>
      </c>
      <c r="G65" s="691">
        <f ca="1">IF(SUM(G8,G13,G18)=0,0.002,'IDEES okt 2017 template'!E106/(G8+G13+G18))</f>
        <v>3.4102939388338635E-3</v>
      </c>
      <c r="H65" s="691">
        <f ca="1">IF(SUM(H8,H13,H18)=0,0.002,'IDEES okt 2017 template'!F106/(H8+H13+H18))</f>
        <v>3.6540878403332525E-3</v>
      </c>
      <c r="I65" s="691">
        <f ca="1">IF(SUM(I8,I13,I18)=0,0.002,'IDEES okt 2017 template'!G106/(I8+I13+I18))</f>
        <v>2E-3</v>
      </c>
      <c r="J65" s="691">
        <f ca="1">IF(SUM(J8,J13,J18)=0,0.002,'IDEES okt 2017 template'!H106/(J8+J13+J18))</f>
        <v>3.1425495224675186E-3</v>
      </c>
      <c r="K65" s="691">
        <f ca="1">IF(SUM(K8,K13,K18)=0,0.002,'IDEES okt 2017 template'!I106/(K8+K13+K18))</f>
        <v>2.8281460241767935E-3</v>
      </c>
      <c r="L65" s="691">
        <f ca="1">IF(SUM(L8,L13,L18)=0,0.002,'IDEES okt 2017 template'!J106/(L8+L13+L18))</f>
        <v>3.2488705943226628E-3</v>
      </c>
      <c r="M65" s="691">
        <f ca="1">IF(SUM(M8,M13,M18)=0,0.002,'IDEES okt 2017 template'!K106/(M8+M13+M18))</f>
        <v>2.8361456877566324E-3</v>
      </c>
      <c r="N65" s="691">
        <f ca="1">IF(SUM(N8,N13,N18)=0,0.002,'IDEES okt 2017 template'!L106/(N8+N13+N18))</f>
        <v>2.7660559835486938E-3</v>
      </c>
      <c r="O65" s="691">
        <f ca="1">IF(SUM(O8,O13,O18)=0,0.002,'IDEES okt 2017 template'!M106/(O8+O13+O18))</f>
        <v>3.8085079249353306E-3</v>
      </c>
      <c r="P65" s="691">
        <f ca="1">IF(SUM(P8,P13,P18)=0,0.002,'IDEES okt 2017 template'!N106/(P8+P13+P18))</f>
        <v>2.6293573109243702E-3</v>
      </c>
      <c r="Q65" s="691">
        <f ca="1">IF(SUM(Q8,Q13,Q18)=0,0.002,'IDEES okt 2017 template'!O106/(Q8+Q13+Q18))</f>
        <v>4.6456785706277572E-3</v>
      </c>
      <c r="R65" s="691">
        <f ca="1">IF(SUM(R8,R13,R18)=0,0.002,'IDEES okt 2017 template'!P106/(R8+R13+R18))</f>
        <v>5.6268447984466185E-3</v>
      </c>
      <c r="S65" s="691">
        <f ca="1">IF(SUM(S8,S13,S18)=0,0.002,'IDEES okt 2017 template'!Q106/(S8+S13+S18))</f>
        <v>3.0876066146761577E-3</v>
      </c>
      <c r="T65" s="691">
        <f ca="1">IF(SUM(T8,T13,T18)=0,0.002,'IDEES okt 2017 template'!R106/(T8+T13+T18))</f>
        <v>2.7436497090527873E-3</v>
      </c>
      <c r="U65" s="691">
        <f ca="1">IF(SUM(U8,U13,U18)=0,0.002,'IDEES okt 2017 template'!S106/(U8+U13+U18))</f>
        <v>2.9707409502925351E-3</v>
      </c>
      <c r="V65" s="691">
        <f ca="1">IF(SUM(V8,V13,V18)=0,0.002,'IDEES okt 2017 template'!T106/(V8+V13+V18))</f>
        <v>2.2971797935457971E-3</v>
      </c>
      <c r="W65" s="691">
        <f ca="1">IF(SUM(W8,W13,W18)=0,0.002,'IDEES okt 2017 template'!U106/(W8+W13+W18))</f>
        <v>2.4563707405637221E-3</v>
      </c>
      <c r="X65" s="691">
        <f ca="1">IF(SUM(X8,X13,X18)=0,0.002,'IDEES okt 2017 template'!V106/(X8+X13+X18))</f>
        <v>2.4095486640133075E-3</v>
      </c>
      <c r="Y65" s="691">
        <f ca="1">IF(SUM(Y8,Y13,Y18)=0,0.002,'IDEES okt 2017 template'!W106/(Y8+Y13+Y18))</f>
        <v>2.8951276749740835E-3</v>
      </c>
      <c r="Z65" s="691">
        <f ca="1">IF(SUM(Z8,Z13,Z18)=0,0.002,'IDEES okt 2017 template'!X106/(Z8+Z13+Z18))</f>
        <v>1.8732826292421454E-3</v>
      </c>
      <c r="AA65" s="691">
        <f ca="1">IF(SUM(AA8,AA13,AA18)=0,0.002,'IDEES okt 2017 template'!Y106/(AA8+AA13+AA18))</f>
        <v>4.0464055195662584E-3</v>
      </c>
      <c r="AB65" s="691">
        <f ca="1">IF(SUM(AB8,AB13,AB18)=0,0.002,'IDEES okt 2017 template'!Z106/(AB8+AB13+AB18))</f>
        <v>3.3326076925638314E-3</v>
      </c>
      <c r="AC65" s="691">
        <f ca="1">IF(SUM(AC8,AC13,AC18)=0,0.002,'IDEES okt 2017 template'!AA106/(AC8+AC13+AC18))</f>
        <v>7.4120673285544758E-3</v>
      </c>
      <c r="AD65" s="691">
        <f ca="1">IF(SUM(AD8,AD13,AD18)=0,0.002,'IDEES okt 2017 template'!AB106/(AD8+AD13+AD18))</f>
        <v>3.1582031254654983E-3</v>
      </c>
      <c r="AE65" s="691">
        <f ca="1">IF(SUM(AE8,AE13,AE18)=0,0.002,'IDEES okt 2017 template'!AC106/(AE8+AE13+AE18))</f>
        <v>1.5925988068438986E-2</v>
      </c>
      <c r="AF65" s="691">
        <f ca="1">IF(SUM(AF8,AF13,AF18)=0,0.002,'IDEES okt 2017 template'!AD106/(AF8+AF13+AF18))</f>
        <v>2.6716940978137155E-3</v>
      </c>
      <c r="AG65" s="691">
        <f ca="1">IF(SUM(AG8,AG13,AG18)=0,0.002,'IDEES okt 2017 template'!AE106/(AG8+AG13+AG18))</f>
        <v>2E-3</v>
      </c>
      <c r="AH65" s="691">
        <f ca="1">IF(SUM(AH8,AH13,AH18)=0,0.002,'IDEES okt 2017 template'!AF106/(AH8+AH13+AH18))</f>
        <v>2.3401915005250799E-3</v>
      </c>
      <c r="AI65" s="691">
        <f ca="1">IF(SUM(AI8,AI13,AI18)=0,0.002,'IDEES okt 2017 template'!AG106/(AI8+AI13+AI18))</f>
        <v>3.6328190444342452E-3</v>
      </c>
      <c r="AJ65" s="691">
        <f ca="1">IF(SUM(AJ8,AJ13,AJ18)=0,0.002,'IDEES okt 2017 template'!AH106/(AJ8+AJ13+AJ18))</f>
        <v>2.0315868994864022E-3</v>
      </c>
      <c r="AK65" s="691">
        <f ca="1">IF(SUM(AK8,AK13,AK18)=0,0.002,'IDEES okt 2017 template'!AI106/(AK8+AK13+AK18))</f>
        <v>9.6401693011622068E-3</v>
      </c>
      <c r="AL65" s="691">
        <f ca="1">IF(SUM(AL8,AL13,AL18)=0,0.002,'IDEES okt 2017 template'!AJ106/(AL8+AL13+AL18))</f>
        <v>2E-3</v>
      </c>
      <c r="AM65" s="691">
        <f ca="1">IF(SUM(AM8,AM13,AM18)=0,0.002,'IDEES okt 2017 template'!AK106/(AM8+AM13+AM18))</f>
        <v>2E-3</v>
      </c>
      <c r="AN65" s="691">
        <f ca="1">IF(SUM(AN8,AN13,AN18)=0,0.002,'IDEES okt 2017 template'!AL106/(AN8+AN13+AN18))</f>
        <v>5.2408564883108062E-3</v>
      </c>
      <c r="AO65" s="691">
        <f ca="1">IF(SUM(AO8,AO13,AO18)=0,0.002,'IDEES okt 2017 template'!AM106/(AO8+AO13+AO18))</f>
        <v>4.8263692079581382E-3</v>
      </c>
      <c r="AP65" s="691">
        <f ca="1">IF(SUM(AP8,AP13,AP18)=0,0.002,'IDEES okt 2017 template'!AN106/(AP8+AP13+AP18))</f>
        <v>3.755069727016207E-3</v>
      </c>
    </row>
    <row r="66" spans="1:42">
      <c r="A66" t="str">
        <f t="shared" si="15"/>
        <v>Electricity</v>
      </c>
      <c r="C66" t="str">
        <f t="shared" si="16"/>
        <v>R_ES-CK-DH_ELC</v>
      </c>
      <c r="E66" t="str">
        <f t="shared" si="17"/>
        <v>R_ES-DH-Cook</v>
      </c>
      <c r="F66" s="691">
        <f ca="1">F61</f>
        <v>3.0415222889943103E-3</v>
      </c>
      <c r="G66" s="691">
        <f t="shared" ref="G66:AP73" ca="1" si="18">G61</f>
        <v>3.4102939388338635E-3</v>
      </c>
      <c r="H66" s="691">
        <f t="shared" ca="1" si="18"/>
        <v>3.6540878403332529E-3</v>
      </c>
      <c r="I66" s="691">
        <f t="shared" ca="1" si="18"/>
        <v>3.5508103674260372E-3</v>
      </c>
      <c r="J66" s="691">
        <f t="shared" ca="1" si="18"/>
        <v>3.1425495224675195E-3</v>
      </c>
      <c r="K66" s="691">
        <f t="shared" ca="1" si="18"/>
        <v>2.8281460241767935E-3</v>
      </c>
      <c r="L66" s="691">
        <f t="shared" ca="1" si="18"/>
        <v>3.2488705943226628E-3</v>
      </c>
      <c r="M66" s="691">
        <f t="shared" ca="1" si="18"/>
        <v>2.836145687756632E-3</v>
      </c>
      <c r="N66" s="691">
        <f t="shared" ca="1" si="18"/>
        <v>2.7660559835486942E-3</v>
      </c>
      <c r="O66" s="691">
        <f t="shared" ca="1" si="18"/>
        <v>3.8085079249353311E-3</v>
      </c>
      <c r="P66" s="691">
        <f t="shared" ca="1" si="18"/>
        <v>2.6293573109243697E-3</v>
      </c>
      <c r="Q66" s="691">
        <f t="shared" ca="1" si="18"/>
        <v>4.6456785706277572E-3</v>
      </c>
      <c r="R66" s="691">
        <f t="shared" ca="1" si="18"/>
        <v>5.6268447984466185E-3</v>
      </c>
      <c r="S66" s="691">
        <f t="shared" ca="1" si="18"/>
        <v>3.0876066146761586E-3</v>
      </c>
      <c r="T66" s="691">
        <f t="shared" ca="1" si="18"/>
        <v>2.7436497090527873E-3</v>
      </c>
      <c r="U66" s="691">
        <f t="shared" ca="1" si="18"/>
        <v>2.9707409502925356E-3</v>
      </c>
      <c r="V66" s="691">
        <f t="shared" ca="1" si="18"/>
        <v>2.2971797935457971E-3</v>
      </c>
      <c r="W66" s="691">
        <f t="shared" ca="1" si="18"/>
        <v>2.4563707405637226E-3</v>
      </c>
      <c r="X66" s="691">
        <f t="shared" ca="1" si="18"/>
        <v>2.409548664013308E-3</v>
      </c>
      <c r="Y66" s="691">
        <f t="shared" ca="1" si="18"/>
        <v>2.8951276749740835E-3</v>
      </c>
      <c r="Z66" s="691">
        <f t="shared" ca="1" si="18"/>
        <v>1.8732826292421456E-3</v>
      </c>
      <c r="AA66" s="691">
        <f t="shared" ca="1" si="18"/>
        <v>4.0464055195662584E-3</v>
      </c>
      <c r="AB66" s="691">
        <f t="shared" ca="1" si="18"/>
        <v>3.3326076925638314E-3</v>
      </c>
      <c r="AC66" s="691">
        <f t="shared" ca="1" si="18"/>
        <v>7.4120673285544749E-3</v>
      </c>
      <c r="AD66" s="691">
        <f t="shared" ca="1" si="18"/>
        <v>3.1582031254654983E-3</v>
      </c>
      <c r="AE66" s="691">
        <f t="shared" ca="1" si="18"/>
        <v>1.5925988068438986E-2</v>
      </c>
      <c r="AF66" s="691">
        <f t="shared" ca="1" si="18"/>
        <v>2.671694097813716E-3</v>
      </c>
      <c r="AG66" s="691">
        <f t="shared" ca="1" si="18"/>
        <v>2.6513054046155122E-3</v>
      </c>
      <c r="AH66" s="691">
        <f t="shared" ca="1" si="18"/>
        <v>2.3401915005250794E-3</v>
      </c>
      <c r="AI66" s="691">
        <f t="shared" ca="1" si="18"/>
        <v>3.6328190444342452E-3</v>
      </c>
      <c r="AJ66" s="691">
        <f t="shared" ca="1" si="18"/>
        <v>2.0315868994864022E-3</v>
      </c>
      <c r="AK66" s="691">
        <f t="shared" ca="1" si="18"/>
        <v>9.6401693011622051E-3</v>
      </c>
      <c r="AL66" s="691">
        <f t="shared" ca="1" si="18"/>
        <v>4.2581434154369737E-3</v>
      </c>
      <c r="AM66" s="691">
        <f t="shared" ca="1" si="18"/>
        <v>7.9551734298874549E-3</v>
      </c>
      <c r="AN66" s="691">
        <f t="shared" ca="1" si="18"/>
        <v>5.2408564883108062E-3</v>
      </c>
      <c r="AO66" s="691">
        <f t="shared" ca="1" si="18"/>
        <v>4.826369207958139E-3</v>
      </c>
      <c r="AP66" s="691">
        <f t="shared" ca="1" si="18"/>
        <v>3.7550697270162079E-3</v>
      </c>
    </row>
    <row r="67" spans="1:42">
      <c r="A67" t="str">
        <f t="shared" si="15"/>
        <v>Gases</v>
      </c>
      <c r="C67" t="str">
        <f t="shared" si="16"/>
        <v>R_ES-CK-DH_GAS</v>
      </c>
      <c r="E67" t="str">
        <f t="shared" si="17"/>
        <v>R_ES-DH-Cook</v>
      </c>
      <c r="F67" s="691">
        <f t="shared" ref="F67:U75" ca="1" si="19">F62</f>
        <v>3.0415222889943103E-3</v>
      </c>
      <c r="G67" s="691">
        <f t="shared" ca="1" si="19"/>
        <v>3.410293938833864E-3</v>
      </c>
      <c r="H67" s="691">
        <f t="shared" ca="1" si="19"/>
        <v>3.6540878403332521E-3</v>
      </c>
      <c r="I67" s="691">
        <f t="shared" ca="1" si="19"/>
        <v>3.5508103674260368E-3</v>
      </c>
      <c r="J67" s="691">
        <f t="shared" ca="1" si="19"/>
        <v>2E-3</v>
      </c>
      <c r="K67" s="691">
        <f t="shared" ca="1" si="19"/>
        <v>2.8281460241767935E-3</v>
      </c>
      <c r="L67" s="691">
        <f t="shared" ca="1" si="19"/>
        <v>3.2488705943226628E-3</v>
      </c>
      <c r="M67" s="691">
        <f t="shared" ca="1" si="19"/>
        <v>2.8361456877566311E-3</v>
      </c>
      <c r="N67" s="691">
        <f t="shared" ca="1" si="19"/>
        <v>2.7660559835486942E-3</v>
      </c>
      <c r="O67" s="691">
        <f t="shared" ca="1" si="19"/>
        <v>3.8085079249353306E-3</v>
      </c>
      <c r="P67" s="691">
        <f t="shared" ca="1" si="19"/>
        <v>2.6293573109243702E-3</v>
      </c>
      <c r="Q67" s="691">
        <f t="shared" ca="1" si="19"/>
        <v>4.645678570627758E-3</v>
      </c>
      <c r="R67" s="691">
        <f t="shared" ca="1" si="19"/>
        <v>5.6268447984466176E-3</v>
      </c>
      <c r="S67" s="691">
        <f t="shared" ca="1" si="19"/>
        <v>3.087606614676159E-3</v>
      </c>
      <c r="T67" s="691">
        <f t="shared" ca="1" si="19"/>
        <v>2.7436497090527873E-3</v>
      </c>
      <c r="U67" s="691">
        <f t="shared" ca="1" si="19"/>
        <v>2.9707409502925351E-3</v>
      </c>
      <c r="V67" s="691">
        <f t="shared" ca="1" si="18"/>
        <v>2E-3</v>
      </c>
      <c r="W67" s="691">
        <f t="shared" ca="1" si="18"/>
        <v>2.4563707405637226E-3</v>
      </c>
      <c r="X67" s="691">
        <f t="shared" ca="1" si="18"/>
        <v>2.4095486640133075E-3</v>
      </c>
      <c r="Y67" s="691">
        <f t="shared" ca="1" si="18"/>
        <v>2.8951276749740835E-3</v>
      </c>
      <c r="Z67" s="691">
        <f t="shared" ca="1" si="18"/>
        <v>1.8732826292421456E-3</v>
      </c>
      <c r="AA67" s="691">
        <f t="shared" ca="1" si="18"/>
        <v>2E-3</v>
      </c>
      <c r="AB67" s="691">
        <f t="shared" ca="1" si="18"/>
        <v>3.3326076925638318E-3</v>
      </c>
      <c r="AC67" s="691">
        <f t="shared" ca="1" si="18"/>
        <v>7.4120673285544758E-3</v>
      </c>
      <c r="AD67" s="691">
        <f t="shared" ca="1" si="18"/>
        <v>3.1582031254654979E-3</v>
      </c>
      <c r="AE67" s="691">
        <f t="shared" ca="1" si="18"/>
        <v>1.5925988068438986E-2</v>
      </c>
      <c r="AF67" s="691">
        <f t="shared" ca="1" si="18"/>
        <v>2.6716940978137155E-3</v>
      </c>
      <c r="AG67" s="691">
        <f t="shared" ca="1" si="18"/>
        <v>2.6513054046155126E-3</v>
      </c>
      <c r="AH67" s="691">
        <f t="shared" ca="1" si="18"/>
        <v>2.3401915005250799E-3</v>
      </c>
      <c r="AI67" s="691">
        <f t="shared" ca="1" si="18"/>
        <v>3.6328190444342452E-3</v>
      </c>
      <c r="AJ67" s="691">
        <f t="shared" ca="1" si="18"/>
        <v>2.0315868994864022E-3</v>
      </c>
      <c r="AK67" s="691">
        <f t="shared" ca="1" si="18"/>
        <v>2E-3</v>
      </c>
      <c r="AL67" s="691">
        <f t="shared" ca="1" si="18"/>
        <v>4.2581434154369728E-3</v>
      </c>
      <c r="AM67" s="691">
        <f t="shared" ca="1" si="18"/>
        <v>2E-3</v>
      </c>
      <c r="AN67" s="691">
        <f t="shared" ca="1" si="18"/>
        <v>2E-3</v>
      </c>
      <c r="AO67" s="691">
        <f t="shared" ca="1" si="18"/>
        <v>4.826369207958139E-3</v>
      </c>
      <c r="AP67" s="691">
        <f t="shared" ca="1" si="18"/>
        <v>2E-3</v>
      </c>
    </row>
    <row r="68" spans="1:42">
      <c r="A68" t="str">
        <f t="shared" si="15"/>
        <v>Biomass and wastes</v>
      </c>
      <c r="C68" t="str">
        <f t="shared" si="16"/>
        <v>R_ES-CK-DH_BIO</v>
      </c>
      <c r="E68" t="str">
        <f t="shared" si="17"/>
        <v>R_ES-DH-Cook</v>
      </c>
      <c r="F68" s="691">
        <f t="shared" ca="1" si="19"/>
        <v>3.0415222889943107E-3</v>
      </c>
      <c r="G68" s="691">
        <f t="shared" ca="1" si="18"/>
        <v>2E-3</v>
      </c>
      <c r="H68" s="691">
        <f t="shared" ca="1" si="18"/>
        <v>3.6540878403332525E-3</v>
      </c>
      <c r="I68" s="691">
        <f t="shared" ca="1" si="18"/>
        <v>2E-3</v>
      </c>
      <c r="J68" s="691">
        <f t="shared" ca="1" si="18"/>
        <v>2E-3</v>
      </c>
      <c r="K68" s="691">
        <f t="shared" ca="1" si="18"/>
        <v>2.8281460241767939E-3</v>
      </c>
      <c r="L68" s="691">
        <f t="shared" ca="1" si="18"/>
        <v>2E-3</v>
      </c>
      <c r="M68" s="691">
        <f t="shared" ca="1" si="18"/>
        <v>2E-3</v>
      </c>
      <c r="N68" s="691">
        <f t="shared" ca="1" si="18"/>
        <v>2.7660559835486938E-3</v>
      </c>
      <c r="O68" s="691">
        <f t="shared" ca="1" si="18"/>
        <v>3.8085079249353311E-3</v>
      </c>
      <c r="P68" s="691">
        <f t="shared" ca="1" si="18"/>
        <v>2E-3</v>
      </c>
      <c r="Q68" s="691">
        <f t="shared" ca="1" si="18"/>
        <v>2E-3</v>
      </c>
      <c r="R68" s="691">
        <f t="shared" ca="1" si="18"/>
        <v>5.6268447984466176E-3</v>
      </c>
      <c r="S68" s="691">
        <f t="shared" ca="1" si="18"/>
        <v>2E-3</v>
      </c>
      <c r="T68" s="691">
        <f t="shared" ca="1" si="18"/>
        <v>2.7436497090527869E-3</v>
      </c>
      <c r="U68" s="691">
        <f t="shared" ca="1" si="18"/>
        <v>2E-3</v>
      </c>
      <c r="V68" s="691">
        <f t="shared" ca="1" si="18"/>
        <v>2E-3</v>
      </c>
      <c r="W68" s="691">
        <f t="shared" ca="1" si="18"/>
        <v>2E-3</v>
      </c>
      <c r="X68" s="691">
        <f t="shared" ca="1" si="18"/>
        <v>2.4095486640133075E-3</v>
      </c>
      <c r="Y68" s="691">
        <f t="shared" ca="1" si="18"/>
        <v>2E-3</v>
      </c>
      <c r="Z68" s="691">
        <f t="shared" ca="1" si="18"/>
        <v>1.8732826292421458E-3</v>
      </c>
      <c r="AA68" s="691">
        <f t="shared" ca="1" si="18"/>
        <v>2E-3</v>
      </c>
      <c r="AB68" s="691">
        <f t="shared" ca="1" si="18"/>
        <v>2E-3</v>
      </c>
      <c r="AC68" s="691">
        <f t="shared" ca="1" si="18"/>
        <v>2E-3</v>
      </c>
      <c r="AD68" s="691">
        <f t="shared" ca="1" si="18"/>
        <v>3.1582031254654979E-3</v>
      </c>
      <c r="AE68" s="691">
        <f t="shared" ca="1" si="18"/>
        <v>1.5925988068438986E-2</v>
      </c>
      <c r="AF68" s="691">
        <f t="shared" ca="1" si="18"/>
        <v>2.671694097813716E-3</v>
      </c>
      <c r="AG68" s="691">
        <f t="shared" ca="1" si="18"/>
        <v>2E-3</v>
      </c>
      <c r="AH68" s="691">
        <f t="shared" ca="1" si="18"/>
        <v>2.3401915005250799E-3</v>
      </c>
      <c r="AI68" s="691">
        <f t="shared" ca="1" si="18"/>
        <v>2E-3</v>
      </c>
      <c r="AJ68" s="691">
        <f t="shared" ca="1" si="18"/>
        <v>2E-3</v>
      </c>
      <c r="AK68" s="691">
        <f t="shared" ca="1" si="18"/>
        <v>9.6401693011622068E-3</v>
      </c>
      <c r="AL68" s="691">
        <f t="shared" ca="1" si="18"/>
        <v>2E-3</v>
      </c>
      <c r="AM68" s="691">
        <f t="shared" ca="1" si="18"/>
        <v>7.9551734298874549E-3</v>
      </c>
      <c r="AN68" s="691">
        <f t="shared" ca="1" si="18"/>
        <v>2E-3</v>
      </c>
      <c r="AO68" s="691">
        <f t="shared" ca="1" si="18"/>
        <v>2E-3</v>
      </c>
      <c r="AP68" s="691">
        <f t="shared" ca="1" si="18"/>
        <v>2E-3</v>
      </c>
    </row>
    <row r="69" spans="1:42">
      <c r="A69" t="str">
        <f t="shared" si="15"/>
        <v>Solids</v>
      </c>
      <c r="C69" t="str">
        <f t="shared" si="16"/>
        <v>R_ES-CK-DH_COA</v>
      </c>
      <c r="E69" t="str">
        <f t="shared" si="17"/>
        <v>R_ES-DH-Cook</v>
      </c>
      <c r="F69" s="691">
        <f t="shared" ca="1" si="19"/>
        <v>3.0415222889943103E-3</v>
      </c>
      <c r="G69" s="691">
        <f t="shared" ca="1" si="18"/>
        <v>2E-3</v>
      </c>
      <c r="H69" s="691">
        <f t="shared" ca="1" si="18"/>
        <v>3.6540878403332529E-3</v>
      </c>
      <c r="I69" s="691">
        <f t="shared" ca="1" si="18"/>
        <v>2E-3</v>
      </c>
      <c r="J69" s="691">
        <f t="shared" ca="1" si="18"/>
        <v>2E-3</v>
      </c>
      <c r="K69" s="691">
        <f t="shared" ca="1" si="18"/>
        <v>2E-3</v>
      </c>
      <c r="L69" s="691">
        <f t="shared" ca="1" si="18"/>
        <v>2E-3</v>
      </c>
      <c r="M69" s="691">
        <f t="shared" ca="1" si="18"/>
        <v>2E-3</v>
      </c>
      <c r="N69" s="691">
        <f t="shared" ca="1" si="18"/>
        <v>2E-3</v>
      </c>
      <c r="O69" s="691">
        <f t="shared" ca="1" si="18"/>
        <v>3.8085079249353306E-3</v>
      </c>
      <c r="P69" s="691">
        <f t="shared" ca="1" si="18"/>
        <v>2E-3</v>
      </c>
      <c r="Q69" s="691">
        <f t="shared" ca="1" si="18"/>
        <v>2E-3</v>
      </c>
      <c r="R69" s="691">
        <f t="shared" ca="1" si="18"/>
        <v>2E-3</v>
      </c>
      <c r="S69" s="691">
        <f t="shared" ca="1" si="18"/>
        <v>2E-3</v>
      </c>
      <c r="T69" s="691">
        <f t="shared" ca="1" si="18"/>
        <v>2.7436497090527878E-3</v>
      </c>
      <c r="U69" s="691">
        <f t="shared" ca="1" si="18"/>
        <v>2E-3</v>
      </c>
      <c r="V69" s="691">
        <f t="shared" ca="1" si="18"/>
        <v>2E-3</v>
      </c>
      <c r="W69" s="691">
        <f t="shared" ca="1" si="18"/>
        <v>2E-3</v>
      </c>
      <c r="X69" s="691">
        <f t="shared" ca="1" si="18"/>
        <v>2E-3</v>
      </c>
      <c r="Y69" s="691">
        <f t="shared" ca="1" si="18"/>
        <v>2E-3</v>
      </c>
      <c r="Z69" s="691">
        <f t="shared" ca="1" si="18"/>
        <v>2E-3</v>
      </c>
      <c r="AA69" s="691">
        <f t="shared" ca="1" si="18"/>
        <v>2E-3</v>
      </c>
      <c r="AB69" s="691">
        <f t="shared" ca="1" si="18"/>
        <v>2E-3</v>
      </c>
      <c r="AC69" s="691">
        <f t="shared" ca="1" si="18"/>
        <v>2E-3</v>
      </c>
      <c r="AD69" s="691">
        <f t="shared" ca="1" si="18"/>
        <v>3.1582031254654987E-3</v>
      </c>
      <c r="AE69" s="691">
        <f t="shared" ca="1" si="18"/>
        <v>2E-3</v>
      </c>
      <c r="AF69" s="691">
        <f t="shared" ca="1" si="18"/>
        <v>2E-3</v>
      </c>
      <c r="AG69" s="691">
        <f t="shared" ca="1" si="18"/>
        <v>2E-3</v>
      </c>
      <c r="AH69" s="691">
        <f t="shared" ca="1" si="18"/>
        <v>2E-3</v>
      </c>
      <c r="AI69" s="691">
        <f t="shared" ca="1" si="18"/>
        <v>2E-3</v>
      </c>
      <c r="AJ69" s="691">
        <f t="shared" ca="1" si="18"/>
        <v>2E-3</v>
      </c>
      <c r="AK69" s="691">
        <f t="shared" ca="1" si="18"/>
        <v>2E-3</v>
      </c>
      <c r="AL69" s="691">
        <f t="shared" ca="1" si="18"/>
        <v>2E-3</v>
      </c>
      <c r="AM69" s="691">
        <f t="shared" ca="1" si="18"/>
        <v>2E-3</v>
      </c>
      <c r="AN69" s="691">
        <f t="shared" ca="1" si="18"/>
        <v>2E-3</v>
      </c>
      <c r="AO69" s="691">
        <f t="shared" ca="1" si="18"/>
        <v>2E-3</v>
      </c>
      <c r="AP69" s="691">
        <f t="shared" ca="1" si="18"/>
        <v>2E-3</v>
      </c>
    </row>
    <row r="70" spans="1:42">
      <c r="A70" t="str">
        <f t="shared" si="15"/>
        <v>LPG</v>
      </c>
      <c r="C70" t="str">
        <f t="shared" si="16"/>
        <v>R_ES-CK-DH_LPG</v>
      </c>
      <c r="E70" t="str">
        <f t="shared" si="17"/>
        <v>R_ES-DH-Cook</v>
      </c>
      <c r="F70" s="691">
        <f t="shared" ca="1" si="19"/>
        <v>3.0415222889943103E-3</v>
      </c>
      <c r="G70" s="691">
        <f t="shared" ca="1" si="18"/>
        <v>3.4102939388338635E-3</v>
      </c>
      <c r="H70" s="691">
        <f t="shared" ca="1" si="18"/>
        <v>3.6540878403332525E-3</v>
      </c>
      <c r="I70" s="691">
        <f t="shared" ca="1" si="18"/>
        <v>2E-3</v>
      </c>
      <c r="J70" s="691">
        <f t="shared" ca="1" si="18"/>
        <v>3.1425495224675186E-3</v>
      </c>
      <c r="K70" s="691">
        <f t="shared" ca="1" si="18"/>
        <v>2.8281460241767935E-3</v>
      </c>
      <c r="L70" s="691">
        <f t="shared" ca="1" si="18"/>
        <v>3.2488705943226628E-3</v>
      </c>
      <c r="M70" s="691">
        <f t="shared" ca="1" si="18"/>
        <v>2.8361456877566324E-3</v>
      </c>
      <c r="N70" s="691">
        <f t="shared" ca="1" si="18"/>
        <v>2.7660559835486938E-3</v>
      </c>
      <c r="O70" s="691">
        <f t="shared" ca="1" si="18"/>
        <v>3.8085079249353306E-3</v>
      </c>
      <c r="P70" s="691">
        <f t="shared" ca="1" si="18"/>
        <v>2.6293573109243702E-3</v>
      </c>
      <c r="Q70" s="691">
        <f t="shared" ca="1" si="18"/>
        <v>4.6456785706277572E-3</v>
      </c>
      <c r="R70" s="691">
        <f t="shared" ca="1" si="18"/>
        <v>5.6268447984466185E-3</v>
      </c>
      <c r="S70" s="691">
        <f t="shared" ca="1" si="18"/>
        <v>3.0876066146761577E-3</v>
      </c>
      <c r="T70" s="691">
        <f t="shared" ca="1" si="18"/>
        <v>2.7436497090527873E-3</v>
      </c>
      <c r="U70" s="691">
        <f t="shared" ca="1" si="18"/>
        <v>2.9707409502925351E-3</v>
      </c>
      <c r="V70" s="691">
        <f t="shared" ca="1" si="18"/>
        <v>2.2971797935457971E-3</v>
      </c>
      <c r="W70" s="691">
        <f t="shared" ca="1" si="18"/>
        <v>2.4563707405637221E-3</v>
      </c>
      <c r="X70" s="691">
        <f t="shared" ca="1" si="18"/>
        <v>2.4095486640133075E-3</v>
      </c>
      <c r="Y70" s="691">
        <f t="shared" ca="1" si="18"/>
        <v>2.8951276749740835E-3</v>
      </c>
      <c r="Z70" s="691">
        <f t="shared" ca="1" si="18"/>
        <v>1.8732826292421454E-3</v>
      </c>
      <c r="AA70" s="691">
        <f t="shared" ca="1" si="18"/>
        <v>4.0464055195662584E-3</v>
      </c>
      <c r="AB70" s="691">
        <f t="shared" ca="1" si="18"/>
        <v>3.3326076925638314E-3</v>
      </c>
      <c r="AC70" s="691">
        <f t="shared" ca="1" si="18"/>
        <v>7.4120673285544758E-3</v>
      </c>
      <c r="AD70" s="691">
        <f t="shared" ca="1" si="18"/>
        <v>3.1582031254654983E-3</v>
      </c>
      <c r="AE70" s="691">
        <f t="shared" ca="1" si="18"/>
        <v>1.5925988068438986E-2</v>
      </c>
      <c r="AF70" s="691">
        <f t="shared" ca="1" si="18"/>
        <v>2.6716940978137155E-3</v>
      </c>
      <c r="AG70" s="691">
        <f t="shared" ca="1" si="18"/>
        <v>2E-3</v>
      </c>
      <c r="AH70" s="691">
        <f t="shared" ca="1" si="18"/>
        <v>2.3401915005250799E-3</v>
      </c>
      <c r="AI70" s="691">
        <f t="shared" ca="1" si="18"/>
        <v>3.6328190444342452E-3</v>
      </c>
      <c r="AJ70" s="691">
        <f t="shared" ca="1" si="18"/>
        <v>2.0315868994864022E-3</v>
      </c>
      <c r="AK70" s="691">
        <f t="shared" ca="1" si="18"/>
        <v>9.6401693011622068E-3</v>
      </c>
      <c r="AL70" s="691">
        <f t="shared" ca="1" si="18"/>
        <v>2E-3</v>
      </c>
      <c r="AM70" s="691">
        <f t="shared" ca="1" si="18"/>
        <v>2E-3</v>
      </c>
      <c r="AN70" s="691">
        <f t="shared" ca="1" si="18"/>
        <v>5.2408564883108062E-3</v>
      </c>
      <c r="AO70" s="691">
        <f t="shared" ca="1" si="18"/>
        <v>4.8263692079581382E-3</v>
      </c>
      <c r="AP70" s="691">
        <f t="shared" ca="1" si="18"/>
        <v>3.755069727016207E-3</v>
      </c>
    </row>
    <row r="71" spans="1:42">
      <c r="A71" t="str">
        <f t="shared" si="15"/>
        <v>Electricity</v>
      </c>
      <c r="C71" t="str">
        <f t="shared" si="16"/>
        <v>R_ES-CK-SD_ELC</v>
      </c>
      <c r="E71" t="str">
        <f t="shared" si="17"/>
        <v>R_ES-SD-Cook</v>
      </c>
      <c r="F71" s="691">
        <f t="shared" ca="1" si="19"/>
        <v>3.0415222889943103E-3</v>
      </c>
      <c r="G71" s="691">
        <f t="shared" ca="1" si="18"/>
        <v>3.4102939388338635E-3</v>
      </c>
      <c r="H71" s="691">
        <f t="shared" ca="1" si="18"/>
        <v>3.6540878403332529E-3</v>
      </c>
      <c r="I71" s="691">
        <f t="shared" ca="1" si="18"/>
        <v>3.5508103674260372E-3</v>
      </c>
      <c r="J71" s="691">
        <f t="shared" ca="1" si="18"/>
        <v>3.1425495224675195E-3</v>
      </c>
      <c r="K71" s="691">
        <f t="shared" ca="1" si="18"/>
        <v>2.8281460241767935E-3</v>
      </c>
      <c r="L71" s="691">
        <f t="shared" ca="1" si="18"/>
        <v>3.2488705943226628E-3</v>
      </c>
      <c r="M71" s="691">
        <f t="shared" ca="1" si="18"/>
        <v>2.836145687756632E-3</v>
      </c>
      <c r="N71" s="691">
        <f t="shared" ca="1" si="18"/>
        <v>2.7660559835486942E-3</v>
      </c>
      <c r="O71" s="691">
        <f t="shared" ca="1" si="18"/>
        <v>3.8085079249353311E-3</v>
      </c>
      <c r="P71" s="691">
        <f t="shared" ca="1" si="18"/>
        <v>2.6293573109243697E-3</v>
      </c>
      <c r="Q71" s="691">
        <f t="shared" ca="1" si="18"/>
        <v>4.6456785706277572E-3</v>
      </c>
      <c r="R71" s="691">
        <f t="shared" ca="1" si="18"/>
        <v>5.6268447984466185E-3</v>
      </c>
      <c r="S71" s="691">
        <f t="shared" ca="1" si="18"/>
        <v>3.0876066146761586E-3</v>
      </c>
      <c r="T71" s="691">
        <f t="shared" ca="1" si="18"/>
        <v>2.7436497090527873E-3</v>
      </c>
      <c r="U71" s="691">
        <f t="shared" ca="1" si="18"/>
        <v>2.9707409502925356E-3</v>
      </c>
      <c r="V71" s="691">
        <f t="shared" ca="1" si="18"/>
        <v>2.2971797935457971E-3</v>
      </c>
      <c r="W71" s="691">
        <f t="shared" ca="1" si="18"/>
        <v>2.4563707405637226E-3</v>
      </c>
      <c r="X71" s="691">
        <f t="shared" ca="1" si="18"/>
        <v>2.409548664013308E-3</v>
      </c>
      <c r="Y71" s="691">
        <f t="shared" ca="1" si="18"/>
        <v>2.8951276749740835E-3</v>
      </c>
      <c r="Z71" s="691">
        <f t="shared" ca="1" si="18"/>
        <v>1.8732826292421456E-3</v>
      </c>
      <c r="AA71" s="691">
        <f t="shared" ca="1" si="18"/>
        <v>4.0464055195662584E-3</v>
      </c>
      <c r="AB71" s="691">
        <f t="shared" ca="1" si="18"/>
        <v>3.3326076925638314E-3</v>
      </c>
      <c r="AC71" s="691">
        <f t="shared" ca="1" si="18"/>
        <v>7.4120673285544749E-3</v>
      </c>
      <c r="AD71" s="691">
        <f t="shared" ca="1" si="18"/>
        <v>3.1582031254654983E-3</v>
      </c>
      <c r="AE71" s="691">
        <f t="shared" ca="1" si="18"/>
        <v>1.5925988068438986E-2</v>
      </c>
      <c r="AF71" s="691">
        <f t="shared" ca="1" si="18"/>
        <v>2.671694097813716E-3</v>
      </c>
      <c r="AG71" s="691">
        <f t="shared" ca="1" si="18"/>
        <v>2.6513054046155122E-3</v>
      </c>
      <c r="AH71" s="691">
        <f t="shared" ca="1" si="18"/>
        <v>2.3401915005250794E-3</v>
      </c>
      <c r="AI71" s="691">
        <f t="shared" ca="1" si="18"/>
        <v>3.6328190444342452E-3</v>
      </c>
      <c r="AJ71" s="691">
        <f t="shared" ca="1" si="18"/>
        <v>2.0315868994864022E-3</v>
      </c>
      <c r="AK71" s="691">
        <f t="shared" ca="1" si="18"/>
        <v>9.6401693011622051E-3</v>
      </c>
      <c r="AL71" s="691">
        <f t="shared" ca="1" si="18"/>
        <v>4.2581434154369737E-3</v>
      </c>
      <c r="AM71" s="691">
        <f t="shared" ca="1" si="18"/>
        <v>7.9551734298874549E-3</v>
      </c>
      <c r="AN71" s="691">
        <f t="shared" ca="1" si="18"/>
        <v>5.2408564883108062E-3</v>
      </c>
      <c r="AO71" s="691">
        <f t="shared" ca="1" si="18"/>
        <v>4.826369207958139E-3</v>
      </c>
      <c r="AP71" s="691">
        <f t="shared" ca="1" si="18"/>
        <v>3.7550697270162079E-3</v>
      </c>
    </row>
    <row r="72" spans="1:42">
      <c r="A72" t="str">
        <f t="shared" si="15"/>
        <v>Gases</v>
      </c>
      <c r="C72" t="str">
        <f t="shared" si="16"/>
        <v>R_ES-CK-SD_GAS</v>
      </c>
      <c r="E72" t="str">
        <f t="shared" si="17"/>
        <v>R_ES-SD-Cook</v>
      </c>
      <c r="F72" s="691">
        <f t="shared" ca="1" si="19"/>
        <v>3.0415222889943103E-3</v>
      </c>
      <c r="G72" s="691">
        <f t="shared" ca="1" si="18"/>
        <v>3.410293938833864E-3</v>
      </c>
      <c r="H72" s="691">
        <f t="shared" ca="1" si="18"/>
        <v>3.6540878403332521E-3</v>
      </c>
      <c r="I72" s="691">
        <f t="shared" ca="1" si="18"/>
        <v>3.5508103674260368E-3</v>
      </c>
      <c r="J72" s="691">
        <f t="shared" ca="1" si="18"/>
        <v>2E-3</v>
      </c>
      <c r="K72" s="691">
        <f t="shared" ca="1" si="18"/>
        <v>2.8281460241767935E-3</v>
      </c>
      <c r="L72" s="691">
        <f t="shared" ca="1" si="18"/>
        <v>3.2488705943226628E-3</v>
      </c>
      <c r="M72" s="691">
        <f t="shared" ca="1" si="18"/>
        <v>2.8361456877566311E-3</v>
      </c>
      <c r="N72" s="691">
        <f t="shared" ca="1" si="18"/>
        <v>2.7660559835486942E-3</v>
      </c>
      <c r="O72" s="691">
        <f t="shared" ca="1" si="18"/>
        <v>3.8085079249353306E-3</v>
      </c>
      <c r="P72" s="691">
        <f t="shared" ca="1" si="18"/>
        <v>2.6293573109243702E-3</v>
      </c>
      <c r="Q72" s="691">
        <f t="shared" ca="1" si="18"/>
        <v>4.645678570627758E-3</v>
      </c>
      <c r="R72" s="691">
        <f t="shared" ca="1" si="18"/>
        <v>5.6268447984466176E-3</v>
      </c>
      <c r="S72" s="691">
        <f t="shared" ca="1" si="18"/>
        <v>3.087606614676159E-3</v>
      </c>
      <c r="T72" s="691">
        <f t="shared" ca="1" si="18"/>
        <v>2.7436497090527873E-3</v>
      </c>
      <c r="U72" s="691">
        <f t="shared" ca="1" si="18"/>
        <v>2.9707409502925351E-3</v>
      </c>
      <c r="V72" s="691">
        <f t="shared" ca="1" si="18"/>
        <v>2E-3</v>
      </c>
      <c r="W72" s="691">
        <f t="shared" ca="1" si="18"/>
        <v>2.4563707405637226E-3</v>
      </c>
      <c r="X72" s="691">
        <f t="shared" ca="1" si="18"/>
        <v>2.4095486640133075E-3</v>
      </c>
      <c r="Y72" s="691">
        <f t="shared" ca="1" si="18"/>
        <v>2.8951276749740835E-3</v>
      </c>
      <c r="Z72" s="691">
        <f t="shared" ca="1" si="18"/>
        <v>1.8732826292421456E-3</v>
      </c>
      <c r="AA72" s="691">
        <f t="shared" ca="1" si="18"/>
        <v>2E-3</v>
      </c>
      <c r="AB72" s="691">
        <f t="shared" ca="1" si="18"/>
        <v>3.3326076925638318E-3</v>
      </c>
      <c r="AC72" s="691">
        <f t="shared" ca="1" si="18"/>
        <v>7.4120673285544758E-3</v>
      </c>
      <c r="AD72" s="691">
        <f t="shared" ca="1" si="18"/>
        <v>3.1582031254654979E-3</v>
      </c>
      <c r="AE72" s="691">
        <f t="shared" ca="1" si="18"/>
        <v>1.5925988068438986E-2</v>
      </c>
      <c r="AF72" s="691">
        <f t="shared" ca="1" si="18"/>
        <v>2.6716940978137155E-3</v>
      </c>
      <c r="AG72" s="691">
        <f t="shared" ca="1" si="18"/>
        <v>2.6513054046155126E-3</v>
      </c>
      <c r="AH72" s="691">
        <f t="shared" ca="1" si="18"/>
        <v>2.3401915005250799E-3</v>
      </c>
      <c r="AI72" s="691">
        <f t="shared" ca="1" si="18"/>
        <v>3.6328190444342452E-3</v>
      </c>
      <c r="AJ72" s="691">
        <f t="shared" ca="1" si="18"/>
        <v>2.0315868994864022E-3</v>
      </c>
      <c r="AK72" s="691">
        <f t="shared" ca="1" si="18"/>
        <v>2E-3</v>
      </c>
      <c r="AL72" s="691">
        <f t="shared" ca="1" si="18"/>
        <v>4.2581434154369728E-3</v>
      </c>
      <c r="AM72" s="691">
        <f t="shared" ca="1" si="18"/>
        <v>2E-3</v>
      </c>
      <c r="AN72" s="691">
        <f t="shared" ca="1" si="18"/>
        <v>2E-3</v>
      </c>
      <c r="AO72" s="691">
        <f t="shared" ca="1" si="18"/>
        <v>4.826369207958139E-3</v>
      </c>
      <c r="AP72" s="691">
        <f t="shared" ca="1" si="18"/>
        <v>2E-3</v>
      </c>
    </row>
    <row r="73" spans="1:42">
      <c r="A73" t="str">
        <f t="shared" si="15"/>
        <v>Biomass and wastes</v>
      </c>
      <c r="C73" t="str">
        <f t="shared" si="16"/>
        <v>R_ES-CK-SD_BIO</v>
      </c>
      <c r="E73" t="str">
        <f t="shared" si="17"/>
        <v>R_ES-SD-Cook</v>
      </c>
      <c r="F73" s="691">
        <f t="shared" ca="1" si="19"/>
        <v>3.0415222889943107E-3</v>
      </c>
      <c r="G73" s="691">
        <f t="shared" ca="1" si="18"/>
        <v>2E-3</v>
      </c>
      <c r="H73" s="691">
        <f t="shared" ca="1" si="18"/>
        <v>3.6540878403332525E-3</v>
      </c>
      <c r="I73" s="691">
        <f t="shared" ca="1" si="18"/>
        <v>2E-3</v>
      </c>
      <c r="J73" s="691">
        <f t="shared" ca="1" si="18"/>
        <v>2E-3</v>
      </c>
      <c r="K73" s="691">
        <f t="shared" ca="1" si="18"/>
        <v>2.8281460241767939E-3</v>
      </c>
      <c r="L73" s="691">
        <f t="shared" ca="1" si="18"/>
        <v>2E-3</v>
      </c>
      <c r="M73" s="691">
        <f t="shared" ca="1" si="18"/>
        <v>2E-3</v>
      </c>
      <c r="N73" s="691">
        <f t="shared" ca="1" si="18"/>
        <v>2.7660559835486938E-3</v>
      </c>
      <c r="O73" s="691">
        <f t="shared" ca="1" si="18"/>
        <v>3.8085079249353311E-3</v>
      </c>
      <c r="P73" s="691">
        <f t="shared" ca="1" si="18"/>
        <v>2E-3</v>
      </c>
      <c r="Q73" s="691">
        <f t="shared" ca="1" si="18"/>
        <v>2E-3</v>
      </c>
      <c r="R73" s="691">
        <f t="shared" ca="1" si="18"/>
        <v>5.6268447984466176E-3</v>
      </c>
      <c r="S73" s="691">
        <f t="shared" ca="1" si="18"/>
        <v>2E-3</v>
      </c>
      <c r="T73" s="691">
        <f t="shared" ca="1" si="18"/>
        <v>2.7436497090527869E-3</v>
      </c>
      <c r="U73" s="691">
        <f t="shared" ca="1" si="18"/>
        <v>2E-3</v>
      </c>
      <c r="V73" s="691">
        <f t="shared" ca="1" si="18"/>
        <v>2E-3</v>
      </c>
      <c r="W73" s="691">
        <f t="shared" ca="1" si="18"/>
        <v>2E-3</v>
      </c>
      <c r="X73" s="691">
        <f t="shared" ca="1" si="18"/>
        <v>2.4095486640133075E-3</v>
      </c>
      <c r="Y73" s="691">
        <f t="shared" ref="G73:AP75" ca="1" si="20">Y68</f>
        <v>2E-3</v>
      </c>
      <c r="Z73" s="691">
        <f t="shared" ca="1" si="20"/>
        <v>1.8732826292421458E-3</v>
      </c>
      <c r="AA73" s="691">
        <f t="shared" ca="1" si="20"/>
        <v>2E-3</v>
      </c>
      <c r="AB73" s="691">
        <f t="shared" ca="1" si="20"/>
        <v>2E-3</v>
      </c>
      <c r="AC73" s="691">
        <f t="shared" ca="1" si="20"/>
        <v>2E-3</v>
      </c>
      <c r="AD73" s="691">
        <f t="shared" ca="1" si="20"/>
        <v>3.1582031254654979E-3</v>
      </c>
      <c r="AE73" s="691">
        <f t="shared" ca="1" si="20"/>
        <v>1.5925988068438986E-2</v>
      </c>
      <c r="AF73" s="691">
        <f t="shared" ca="1" si="20"/>
        <v>2.671694097813716E-3</v>
      </c>
      <c r="AG73" s="691">
        <f t="shared" ca="1" si="20"/>
        <v>2E-3</v>
      </c>
      <c r="AH73" s="691">
        <f t="shared" ca="1" si="20"/>
        <v>2.3401915005250799E-3</v>
      </c>
      <c r="AI73" s="691">
        <f t="shared" ca="1" si="20"/>
        <v>2E-3</v>
      </c>
      <c r="AJ73" s="691">
        <f t="shared" ca="1" si="20"/>
        <v>2E-3</v>
      </c>
      <c r="AK73" s="691">
        <f t="shared" ca="1" si="20"/>
        <v>9.6401693011622068E-3</v>
      </c>
      <c r="AL73" s="691">
        <f t="shared" ca="1" si="20"/>
        <v>2E-3</v>
      </c>
      <c r="AM73" s="691">
        <f t="shared" ca="1" si="20"/>
        <v>7.9551734298874549E-3</v>
      </c>
      <c r="AN73" s="691">
        <f t="shared" ca="1" si="20"/>
        <v>2E-3</v>
      </c>
      <c r="AO73" s="691">
        <f t="shared" ca="1" si="20"/>
        <v>2E-3</v>
      </c>
      <c r="AP73" s="691">
        <f t="shared" ca="1" si="20"/>
        <v>2E-3</v>
      </c>
    </row>
    <row r="74" spans="1:42">
      <c r="A74" t="str">
        <f t="shared" si="15"/>
        <v>Solids</v>
      </c>
      <c r="C74" t="str">
        <f t="shared" si="16"/>
        <v>R_ES-CK-SD_COA</v>
      </c>
      <c r="E74" t="str">
        <f t="shared" si="17"/>
        <v>R_ES-SD-Cook</v>
      </c>
      <c r="F74" s="691">
        <f t="shared" ca="1" si="19"/>
        <v>3.0415222889943103E-3</v>
      </c>
      <c r="G74" s="691">
        <f t="shared" ca="1" si="20"/>
        <v>2E-3</v>
      </c>
      <c r="H74" s="691">
        <f t="shared" ca="1" si="20"/>
        <v>3.6540878403332529E-3</v>
      </c>
      <c r="I74" s="691">
        <f t="shared" ca="1" si="20"/>
        <v>2E-3</v>
      </c>
      <c r="J74" s="691">
        <f t="shared" ca="1" si="20"/>
        <v>2E-3</v>
      </c>
      <c r="K74" s="691">
        <f t="shared" ca="1" si="20"/>
        <v>2E-3</v>
      </c>
      <c r="L74" s="691">
        <f t="shared" ca="1" si="20"/>
        <v>2E-3</v>
      </c>
      <c r="M74" s="691">
        <f t="shared" ca="1" si="20"/>
        <v>2E-3</v>
      </c>
      <c r="N74" s="691">
        <f t="shared" ca="1" si="20"/>
        <v>2E-3</v>
      </c>
      <c r="O74" s="691">
        <f t="shared" ca="1" si="20"/>
        <v>3.8085079249353306E-3</v>
      </c>
      <c r="P74" s="691">
        <f t="shared" ca="1" si="20"/>
        <v>2E-3</v>
      </c>
      <c r="Q74" s="691">
        <f t="shared" ca="1" si="20"/>
        <v>2E-3</v>
      </c>
      <c r="R74" s="691">
        <f t="shared" ca="1" si="20"/>
        <v>2E-3</v>
      </c>
      <c r="S74" s="691">
        <f t="shared" ca="1" si="20"/>
        <v>2E-3</v>
      </c>
      <c r="T74" s="691">
        <f t="shared" ca="1" si="20"/>
        <v>2.7436497090527878E-3</v>
      </c>
      <c r="U74" s="691">
        <f t="shared" ca="1" si="20"/>
        <v>2E-3</v>
      </c>
      <c r="V74" s="691">
        <f t="shared" ca="1" si="20"/>
        <v>2E-3</v>
      </c>
      <c r="W74" s="691">
        <f t="shared" ca="1" si="20"/>
        <v>2E-3</v>
      </c>
      <c r="X74" s="691">
        <f t="shared" ca="1" si="20"/>
        <v>2E-3</v>
      </c>
      <c r="Y74" s="691">
        <f t="shared" ca="1" si="20"/>
        <v>2E-3</v>
      </c>
      <c r="Z74" s="691">
        <f t="shared" ca="1" si="20"/>
        <v>2E-3</v>
      </c>
      <c r="AA74" s="691">
        <f t="shared" ca="1" si="20"/>
        <v>2E-3</v>
      </c>
      <c r="AB74" s="691">
        <f t="shared" ca="1" si="20"/>
        <v>2E-3</v>
      </c>
      <c r="AC74" s="691">
        <f t="shared" ca="1" si="20"/>
        <v>2E-3</v>
      </c>
      <c r="AD74" s="691">
        <f t="shared" ca="1" si="20"/>
        <v>3.1582031254654987E-3</v>
      </c>
      <c r="AE74" s="691">
        <f t="shared" ca="1" si="20"/>
        <v>2E-3</v>
      </c>
      <c r="AF74" s="691">
        <f t="shared" ca="1" si="20"/>
        <v>2E-3</v>
      </c>
      <c r="AG74" s="691">
        <f t="shared" ca="1" si="20"/>
        <v>2E-3</v>
      </c>
      <c r="AH74" s="691">
        <f t="shared" ca="1" si="20"/>
        <v>2E-3</v>
      </c>
      <c r="AI74" s="691">
        <f t="shared" ca="1" si="20"/>
        <v>2E-3</v>
      </c>
      <c r="AJ74" s="691">
        <f t="shared" ca="1" si="20"/>
        <v>2E-3</v>
      </c>
      <c r="AK74" s="691">
        <f t="shared" ca="1" si="20"/>
        <v>2E-3</v>
      </c>
      <c r="AL74" s="691">
        <f t="shared" ca="1" si="20"/>
        <v>2E-3</v>
      </c>
      <c r="AM74" s="691">
        <f t="shared" ca="1" si="20"/>
        <v>2E-3</v>
      </c>
      <c r="AN74" s="691">
        <f t="shared" ca="1" si="20"/>
        <v>2E-3</v>
      </c>
      <c r="AO74" s="691">
        <f t="shared" ca="1" si="20"/>
        <v>2E-3</v>
      </c>
      <c r="AP74" s="691">
        <f t="shared" ca="1" si="20"/>
        <v>2E-3</v>
      </c>
    </row>
    <row r="75" spans="1:42">
      <c r="A75" t="str">
        <f t="shared" si="15"/>
        <v>LPG</v>
      </c>
      <c r="C75" t="str">
        <f t="shared" si="16"/>
        <v>R_ES-CK-SD_LPG</v>
      </c>
      <c r="E75" t="str">
        <f t="shared" si="17"/>
        <v>R_ES-SD-Cook</v>
      </c>
      <c r="F75" s="691">
        <f t="shared" ca="1" si="19"/>
        <v>3.0415222889943103E-3</v>
      </c>
      <c r="G75" s="691">
        <f t="shared" ca="1" si="20"/>
        <v>3.4102939388338635E-3</v>
      </c>
      <c r="H75" s="691">
        <f t="shared" ca="1" si="20"/>
        <v>3.6540878403332525E-3</v>
      </c>
      <c r="I75" s="691">
        <f t="shared" ca="1" si="20"/>
        <v>2E-3</v>
      </c>
      <c r="J75" s="691">
        <f t="shared" ca="1" si="20"/>
        <v>3.1425495224675186E-3</v>
      </c>
      <c r="K75" s="691">
        <f t="shared" ca="1" si="20"/>
        <v>2.8281460241767935E-3</v>
      </c>
      <c r="L75" s="691">
        <f t="shared" ca="1" si="20"/>
        <v>3.2488705943226628E-3</v>
      </c>
      <c r="M75" s="691">
        <f t="shared" ca="1" si="20"/>
        <v>2.8361456877566324E-3</v>
      </c>
      <c r="N75" s="691">
        <f t="shared" ca="1" si="20"/>
        <v>2.7660559835486938E-3</v>
      </c>
      <c r="O75" s="691">
        <f t="shared" ca="1" si="20"/>
        <v>3.8085079249353306E-3</v>
      </c>
      <c r="P75" s="691">
        <f t="shared" ca="1" si="20"/>
        <v>2.6293573109243702E-3</v>
      </c>
      <c r="Q75" s="691">
        <f t="shared" ca="1" si="20"/>
        <v>4.6456785706277572E-3</v>
      </c>
      <c r="R75" s="691">
        <f t="shared" ca="1" si="20"/>
        <v>5.6268447984466185E-3</v>
      </c>
      <c r="S75" s="691">
        <f t="shared" ca="1" si="20"/>
        <v>3.0876066146761577E-3</v>
      </c>
      <c r="T75" s="691">
        <f t="shared" ca="1" si="20"/>
        <v>2.7436497090527873E-3</v>
      </c>
      <c r="U75" s="691">
        <f t="shared" ca="1" si="20"/>
        <v>2.9707409502925351E-3</v>
      </c>
      <c r="V75" s="691">
        <f t="shared" ca="1" si="20"/>
        <v>2.2971797935457971E-3</v>
      </c>
      <c r="W75" s="691">
        <f t="shared" ca="1" si="20"/>
        <v>2.4563707405637221E-3</v>
      </c>
      <c r="X75" s="691">
        <f t="shared" ca="1" si="20"/>
        <v>2.4095486640133075E-3</v>
      </c>
      <c r="Y75" s="691">
        <f t="shared" ca="1" si="20"/>
        <v>2.8951276749740835E-3</v>
      </c>
      <c r="Z75" s="691">
        <f t="shared" ca="1" si="20"/>
        <v>1.8732826292421454E-3</v>
      </c>
      <c r="AA75" s="691">
        <f t="shared" ca="1" si="20"/>
        <v>4.0464055195662584E-3</v>
      </c>
      <c r="AB75" s="691">
        <f t="shared" ca="1" si="20"/>
        <v>3.3326076925638314E-3</v>
      </c>
      <c r="AC75" s="691">
        <f t="shared" ca="1" si="20"/>
        <v>7.4120673285544758E-3</v>
      </c>
      <c r="AD75" s="691">
        <f t="shared" ca="1" si="20"/>
        <v>3.1582031254654983E-3</v>
      </c>
      <c r="AE75" s="691">
        <f t="shared" ca="1" si="20"/>
        <v>1.5925988068438986E-2</v>
      </c>
      <c r="AF75" s="691">
        <f t="shared" ca="1" si="20"/>
        <v>2.6716940978137155E-3</v>
      </c>
      <c r="AG75" s="691">
        <f t="shared" ca="1" si="20"/>
        <v>2E-3</v>
      </c>
      <c r="AH75" s="691">
        <f t="shared" ca="1" si="20"/>
        <v>2.3401915005250799E-3</v>
      </c>
      <c r="AI75" s="691">
        <f t="shared" ca="1" si="20"/>
        <v>3.6328190444342452E-3</v>
      </c>
      <c r="AJ75" s="691">
        <f t="shared" ca="1" si="20"/>
        <v>2.0315868994864022E-3</v>
      </c>
      <c r="AK75" s="691">
        <f t="shared" ca="1" si="20"/>
        <v>9.6401693011622068E-3</v>
      </c>
      <c r="AL75" s="691">
        <f t="shared" ca="1" si="20"/>
        <v>2E-3</v>
      </c>
      <c r="AM75" s="691">
        <f t="shared" ca="1" si="20"/>
        <v>2E-3</v>
      </c>
      <c r="AN75" s="691">
        <f t="shared" ca="1" si="20"/>
        <v>5.2408564883108062E-3</v>
      </c>
      <c r="AO75" s="691">
        <f t="shared" ca="1" si="20"/>
        <v>4.8263692079581382E-3</v>
      </c>
      <c r="AP75" s="691">
        <f t="shared" ca="1" si="20"/>
        <v>3.755069727016207E-3</v>
      </c>
    </row>
    <row r="77" spans="1:42">
      <c r="AH77" s="496"/>
    </row>
    <row r="78" spans="1:42">
      <c r="E78" s="533" t="s">
        <v>608</v>
      </c>
    </row>
    <row r="79" spans="1:42" ht="15" thickBot="1">
      <c r="C79" s="539" t="s">
        <v>545</v>
      </c>
      <c r="D79" s="539" t="s">
        <v>585</v>
      </c>
      <c r="E79" s="539" t="s">
        <v>552</v>
      </c>
      <c r="F79" s="540" t="str">
        <f>'All Stock'!D$2</f>
        <v>AT</v>
      </c>
      <c r="G79" s="540" t="str">
        <f>'All Stock'!E$2</f>
        <v>BE</v>
      </c>
      <c r="H79" s="540" t="str">
        <f>'All Stock'!F$2</f>
        <v>BG</v>
      </c>
      <c r="I79" s="540" t="str">
        <f>'All Stock'!G$2</f>
        <v>CH</v>
      </c>
      <c r="J79" s="540" t="str">
        <f>'All Stock'!H$2</f>
        <v>CY</v>
      </c>
      <c r="K79" s="540" t="str">
        <f>'All Stock'!I$2</f>
        <v>CZ</v>
      </c>
      <c r="L79" s="540" t="str">
        <f>'All Stock'!J$2</f>
        <v>DE</v>
      </c>
      <c r="M79" s="540" t="str">
        <f>'All Stock'!K$2</f>
        <v>DK</v>
      </c>
      <c r="N79" s="540" t="str">
        <f>'All Stock'!L$2</f>
        <v>EE</v>
      </c>
      <c r="O79" s="540" t="str">
        <f>'All Stock'!M$2</f>
        <v>ES</v>
      </c>
      <c r="P79" s="540" t="str">
        <f>'All Stock'!N$2</f>
        <v>FI</v>
      </c>
      <c r="Q79" s="540" t="str">
        <f>'All Stock'!O$2</f>
        <v>FR</v>
      </c>
      <c r="R79" s="540" t="str">
        <f>'All Stock'!P$2</f>
        <v>EL</v>
      </c>
      <c r="S79" s="540" t="str">
        <f>'All Stock'!Q$2</f>
        <v>HR</v>
      </c>
      <c r="T79" s="540" t="str">
        <f>'All Stock'!R$2</f>
        <v>HU</v>
      </c>
      <c r="U79" s="540" t="str">
        <f>'All Stock'!S$2</f>
        <v>IE</v>
      </c>
      <c r="V79" s="540" t="str">
        <f>'All Stock'!T$2</f>
        <v>IS</v>
      </c>
      <c r="W79" s="540" t="str">
        <f>'All Stock'!U$2</f>
        <v>IT</v>
      </c>
      <c r="X79" s="540" t="str">
        <f>'All Stock'!V$2</f>
        <v>LT</v>
      </c>
      <c r="Y79" s="540" t="str">
        <f>'All Stock'!W$2</f>
        <v>LU</v>
      </c>
      <c r="Z79" s="540" t="str">
        <f>'All Stock'!X$2</f>
        <v>LV</v>
      </c>
      <c r="AA79" s="540" t="str">
        <f>'All Stock'!Y$2</f>
        <v>MT</v>
      </c>
      <c r="AB79" s="540" t="str">
        <f>'All Stock'!Z$2</f>
        <v>NL</v>
      </c>
      <c r="AC79" s="540" t="str">
        <f>'All Stock'!AA$2</f>
        <v>NO</v>
      </c>
      <c r="AD79" s="540" t="str">
        <f>'All Stock'!AB$2</f>
        <v>PL</v>
      </c>
      <c r="AE79" s="540" t="str">
        <f>'All Stock'!AC$2</f>
        <v>PT</v>
      </c>
      <c r="AF79" s="540" t="str">
        <f>'All Stock'!AD$2</f>
        <v>RO</v>
      </c>
      <c r="AG79" s="540" t="str">
        <f>'All Stock'!AE$2</f>
        <v>SE</v>
      </c>
      <c r="AH79" s="540" t="str">
        <f>'All Stock'!AF$2</f>
        <v>SI</v>
      </c>
      <c r="AI79" s="540" t="str">
        <f>'All Stock'!AG$2</f>
        <v>SK</v>
      </c>
      <c r="AJ79" s="540" t="str">
        <f>'All Stock'!AH$2</f>
        <v>UK</v>
      </c>
      <c r="AK79" s="540" t="str">
        <f>'All Stock'!AI$2</f>
        <v>AL</v>
      </c>
      <c r="AL79" s="540" t="str">
        <f>'All Stock'!AJ$2</f>
        <v>BA</v>
      </c>
      <c r="AM79" s="540" t="str">
        <f>'All Stock'!AK$2</f>
        <v>ME</v>
      </c>
      <c r="AN79" s="540" t="str">
        <f>'All Stock'!AL$2</f>
        <v>MK</v>
      </c>
      <c r="AO79" s="540" t="str">
        <f>'All Stock'!AM$2</f>
        <v>RS</v>
      </c>
      <c r="AP79" s="540" t="str">
        <f>'All Stock'!AN$2</f>
        <v>KS</v>
      </c>
    </row>
    <row r="80" spans="1:42">
      <c r="A80" t="str">
        <f t="shared" ref="A80:A94" si="21">A61</f>
        <v>Electricity</v>
      </c>
      <c r="C80" t="str">
        <f t="shared" ref="C80:C94" si="22">C61</f>
        <v>R_ES-CK-FL_ELC</v>
      </c>
      <c r="E80" t="str">
        <f t="shared" ref="E80:E94" si="23">E61</f>
        <v>R_ES-FL-Cook</v>
      </c>
      <c r="F80" s="496">
        <v>1</v>
      </c>
      <c r="G80" s="496">
        <v>1</v>
      </c>
      <c r="H80" s="496">
        <v>1</v>
      </c>
      <c r="I80" s="496">
        <v>1</v>
      </c>
      <c r="J80" s="496">
        <v>1</v>
      </c>
      <c r="K80" s="496">
        <v>1</v>
      </c>
      <c r="L80" s="496">
        <v>1</v>
      </c>
      <c r="M80" s="496">
        <v>1</v>
      </c>
      <c r="N80" s="496">
        <v>1</v>
      </c>
      <c r="O80" s="496">
        <v>1</v>
      </c>
      <c r="P80" s="496">
        <v>1</v>
      </c>
      <c r="Q80" s="496">
        <v>1</v>
      </c>
      <c r="R80" s="496">
        <v>1</v>
      </c>
      <c r="S80" s="496">
        <v>1</v>
      </c>
      <c r="T80" s="496">
        <v>1</v>
      </c>
      <c r="U80" s="496">
        <v>1</v>
      </c>
      <c r="V80" s="496">
        <v>1</v>
      </c>
      <c r="W80" s="496">
        <v>1</v>
      </c>
      <c r="X80" s="496">
        <v>1</v>
      </c>
      <c r="Y80" s="496">
        <v>1</v>
      </c>
      <c r="Z80" s="496">
        <v>1</v>
      </c>
      <c r="AA80" s="496">
        <v>1</v>
      </c>
      <c r="AB80" s="496">
        <v>1</v>
      </c>
      <c r="AC80" s="496">
        <v>1</v>
      </c>
      <c r="AD80" s="496">
        <v>1</v>
      </c>
      <c r="AE80" s="496">
        <v>1</v>
      </c>
      <c r="AF80" s="496">
        <v>1</v>
      </c>
      <c r="AG80" s="496">
        <v>1</v>
      </c>
      <c r="AH80" s="496">
        <v>1</v>
      </c>
      <c r="AI80" s="496">
        <v>1</v>
      </c>
      <c r="AJ80" s="496">
        <v>1</v>
      </c>
      <c r="AK80" s="496">
        <v>1</v>
      </c>
      <c r="AL80" s="496">
        <v>1</v>
      </c>
      <c r="AM80" s="496">
        <v>1</v>
      </c>
      <c r="AN80" s="496">
        <v>1</v>
      </c>
      <c r="AO80" s="496">
        <v>1</v>
      </c>
      <c r="AP80" s="496">
        <v>1</v>
      </c>
    </row>
    <row r="81" spans="1:42">
      <c r="A81" t="str">
        <f t="shared" si="21"/>
        <v>Gases</v>
      </c>
      <c r="C81" t="str">
        <f t="shared" si="22"/>
        <v>R_ES-CK-FL_GAS</v>
      </c>
      <c r="E81" t="str">
        <f t="shared" si="23"/>
        <v>R_ES-FL-Cook</v>
      </c>
      <c r="F81" s="496">
        <v>1</v>
      </c>
      <c r="G81" s="496">
        <v>1</v>
      </c>
      <c r="H81" s="496">
        <v>1</v>
      </c>
      <c r="I81" s="496">
        <v>1</v>
      </c>
      <c r="J81" s="496">
        <v>1</v>
      </c>
      <c r="K81" s="496">
        <v>1</v>
      </c>
      <c r="L81" s="496">
        <v>1</v>
      </c>
      <c r="M81" s="496">
        <v>1</v>
      </c>
      <c r="N81" s="496">
        <v>1</v>
      </c>
      <c r="O81" s="496">
        <v>1</v>
      </c>
      <c r="P81" s="496">
        <v>1</v>
      </c>
      <c r="Q81" s="496">
        <v>1</v>
      </c>
      <c r="R81" s="496">
        <v>1</v>
      </c>
      <c r="S81" s="496">
        <v>1</v>
      </c>
      <c r="T81" s="496">
        <v>1</v>
      </c>
      <c r="U81" s="496">
        <v>1</v>
      </c>
      <c r="V81" s="496">
        <v>1</v>
      </c>
      <c r="W81" s="496">
        <v>1</v>
      </c>
      <c r="X81" s="496">
        <v>1</v>
      </c>
      <c r="Y81" s="496">
        <v>1</v>
      </c>
      <c r="Z81" s="496">
        <v>1</v>
      </c>
      <c r="AA81" s="496">
        <v>1</v>
      </c>
      <c r="AB81" s="496">
        <v>1</v>
      </c>
      <c r="AC81" s="496">
        <v>1</v>
      </c>
      <c r="AD81" s="496">
        <v>1</v>
      </c>
      <c r="AE81" s="496">
        <v>1</v>
      </c>
      <c r="AF81" s="496">
        <v>1</v>
      </c>
      <c r="AG81" s="496">
        <v>1</v>
      </c>
      <c r="AH81" s="496">
        <v>1</v>
      </c>
      <c r="AI81" s="496">
        <v>1</v>
      </c>
      <c r="AJ81" s="496">
        <v>1</v>
      </c>
      <c r="AK81" s="496">
        <v>1</v>
      </c>
      <c r="AL81" s="496">
        <v>1</v>
      </c>
      <c r="AM81" s="496">
        <v>1</v>
      </c>
      <c r="AN81" s="496">
        <v>1</v>
      </c>
      <c r="AO81" s="496">
        <v>1</v>
      </c>
      <c r="AP81" s="496">
        <v>1</v>
      </c>
    </row>
    <row r="82" spans="1:42">
      <c r="A82" t="str">
        <f t="shared" si="21"/>
        <v>Biomass and wastes</v>
      </c>
      <c r="C82" t="str">
        <f t="shared" si="22"/>
        <v>R_ES-CK-FL_BIO</v>
      </c>
      <c r="E82" t="str">
        <f t="shared" si="23"/>
        <v>R_ES-FL-Cook</v>
      </c>
      <c r="F82" s="496">
        <v>1</v>
      </c>
      <c r="G82" s="496">
        <v>1</v>
      </c>
      <c r="H82" s="496">
        <v>1</v>
      </c>
      <c r="I82" s="496">
        <v>1</v>
      </c>
      <c r="J82" s="496">
        <v>1</v>
      </c>
      <c r="K82" s="496">
        <v>1</v>
      </c>
      <c r="L82" s="496">
        <v>1</v>
      </c>
      <c r="M82" s="496">
        <v>1</v>
      </c>
      <c r="N82" s="496">
        <v>1</v>
      </c>
      <c r="O82" s="496">
        <v>1</v>
      </c>
      <c r="P82" s="496">
        <v>1</v>
      </c>
      <c r="Q82" s="496">
        <v>1</v>
      </c>
      <c r="R82" s="496">
        <v>1</v>
      </c>
      <c r="S82" s="496">
        <v>1</v>
      </c>
      <c r="T82" s="496">
        <v>1</v>
      </c>
      <c r="U82" s="496">
        <v>1</v>
      </c>
      <c r="V82" s="496">
        <v>1</v>
      </c>
      <c r="W82" s="496">
        <v>1</v>
      </c>
      <c r="X82" s="496">
        <v>1</v>
      </c>
      <c r="Y82" s="496">
        <v>1</v>
      </c>
      <c r="Z82" s="496">
        <v>1</v>
      </c>
      <c r="AA82" s="496">
        <v>1</v>
      </c>
      <c r="AB82" s="496">
        <v>1</v>
      </c>
      <c r="AC82" s="496">
        <v>1</v>
      </c>
      <c r="AD82" s="496">
        <v>1</v>
      </c>
      <c r="AE82" s="496">
        <v>1</v>
      </c>
      <c r="AF82" s="496">
        <v>1</v>
      </c>
      <c r="AG82" s="496">
        <v>1</v>
      </c>
      <c r="AH82" s="496">
        <v>1</v>
      </c>
      <c r="AI82" s="496">
        <v>1</v>
      </c>
      <c r="AJ82" s="496">
        <v>1</v>
      </c>
      <c r="AK82" s="496">
        <v>1</v>
      </c>
      <c r="AL82" s="496">
        <v>1</v>
      </c>
      <c r="AM82" s="496">
        <v>1</v>
      </c>
      <c r="AN82" s="496">
        <v>1</v>
      </c>
      <c r="AO82" s="496">
        <v>1</v>
      </c>
      <c r="AP82" s="496">
        <v>1</v>
      </c>
    </row>
    <row r="83" spans="1:42">
      <c r="A83" t="str">
        <f t="shared" si="21"/>
        <v>Solids</v>
      </c>
      <c r="C83" t="str">
        <f t="shared" si="22"/>
        <v>R_ES-CK-FL_COA</v>
      </c>
      <c r="E83" t="str">
        <f t="shared" si="23"/>
        <v>R_ES-FL-Cook</v>
      </c>
      <c r="F83" s="496">
        <v>1</v>
      </c>
      <c r="G83" s="496">
        <v>1</v>
      </c>
      <c r="H83" s="496">
        <v>1</v>
      </c>
      <c r="I83" s="496">
        <v>1</v>
      </c>
      <c r="J83" s="496">
        <v>1</v>
      </c>
      <c r="K83" s="496">
        <v>1</v>
      </c>
      <c r="L83" s="496">
        <v>1</v>
      </c>
      <c r="M83" s="496">
        <v>1</v>
      </c>
      <c r="N83" s="496">
        <v>1</v>
      </c>
      <c r="O83" s="496">
        <v>1</v>
      </c>
      <c r="P83" s="496">
        <v>1</v>
      </c>
      <c r="Q83" s="496">
        <v>1</v>
      </c>
      <c r="R83" s="496">
        <v>1</v>
      </c>
      <c r="S83" s="496">
        <v>1</v>
      </c>
      <c r="T83" s="496">
        <v>1</v>
      </c>
      <c r="U83" s="496">
        <v>1</v>
      </c>
      <c r="V83" s="496">
        <v>1</v>
      </c>
      <c r="W83" s="496">
        <v>1</v>
      </c>
      <c r="X83" s="496">
        <v>1</v>
      </c>
      <c r="Y83" s="496">
        <v>1</v>
      </c>
      <c r="Z83" s="496">
        <v>1</v>
      </c>
      <c r="AA83" s="496">
        <v>1</v>
      </c>
      <c r="AB83" s="496">
        <v>1</v>
      </c>
      <c r="AC83" s="496">
        <v>1</v>
      </c>
      <c r="AD83" s="496">
        <v>1</v>
      </c>
      <c r="AE83" s="496">
        <v>1</v>
      </c>
      <c r="AF83" s="496">
        <v>1</v>
      </c>
      <c r="AG83" s="496">
        <v>1</v>
      </c>
      <c r="AH83" s="496">
        <v>1</v>
      </c>
      <c r="AI83" s="496">
        <v>1</v>
      </c>
      <c r="AJ83" s="496">
        <v>1</v>
      </c>
      <c r="AK83" s="496">
        <v>1</v>
      </c>
      <c r="AL83" s="496">
        <v>1</v>
      </c>
      <c r="AM83" s="496">
        <v>1</v>
      </c>
      <c r="AN83" s="496">
        <v>1</v>
      </c>
      <c r="AO83" s="496">
        <v>1</v>
      </c>
      <c r="AP83" s="496">
        <v>1</v>
      </c>
    </row>
    <row r="84" spans="1:42">
      <c r="A84" t="str">
        <f t="shared" si="21"/>
        <v>LPG</v>
      </c>
      <c r="C84" t="str">
        <f t="shared" si="22"/>
        <v>R_ES-CK-FL_LPG</v>
      </c>
      <c r="E84" t="str">
        <f t="shared" si="23"/>
        <v>R_ES-FL-Cook</v>
      </c>
      <c r="F84" s="496">
        <v>1</v>
      </c>
      <c r="G84" s="496">
        <v>1</v>
      </c>
      <c r="H84" s="496">
        <v>1</v>
      </c>
      <c r="I84" s="496">
        <v>1</v>
      </c>
      <c r="J84" s="496">
        <v>1</v>
      </c>
      <c r="K84" s="496">
        <v>1</v>
      </c>
      <c r="L84" s="496">
        <v>1</v>
      </c>
      <c r="M84" s="496">
        <v>1</v>
      </c>
      <c r="N84" s="496">
        <v>1</v>
      </c>
      <c r="O84" s="496">
        <v>1</v>
      </c>
      <c r="P84" s="496">
        <v>1</v>
      </c>
      <c r="Q84" s="496">
        <v>1</v>
      </c>
      <c r="R84" s="496">
        <v>1</v>
      </c>
      <c r="S84" s="496">
        <v>1</v>
      </c>
      <c r="T84" s="496">
        <v>1</v>
      </c>
      <c r="U84" s="496">
        <v>1</v>
      </c>
      <c r="V84" s="496">
        <v>1</v>
      </c>
      <c r="W84" s="496">
        <v>1</v>
      </c>
      <c r="X84" s="496">
        <v>1</v>
      </c>
      <c r="Y84" s="496">
        <v>1</v>
      </c>
      <c r="Z84" s="496">
        <v>1</v>
      </c>
      <c r="AA84" s="496">
        <v>1</v>
      </c>
      <c r="AB84" s="496">
        <v>1</v>
      </c>
      <c r="AC84" s="496">
        <v>1</v>
      </c>
      <c r="AD84" s="496">
        <v>1</v>
      </c>
      <c r="AE84" s="496">
        <v>1</v>
      </c>
      <c r="AF84" s="496">
        <v>1</v>
      </c>
      <c r="AG84" s="496">
        <v>1</v>
      </c>
      <c r="AH84" s="496">
        <v>1</v>
      </c>
      <c r="AI84" s="496">
        <v>1</v>
      </c>
      <c r="AJ84" s="496">
        <v>1</v>
      </c>
      <c r="AK84" s="496">
        <v>1</v>
      </c>
      <c r="AL84" s="496">
        <v>1</v>
      </c>
      <c r="AM84" s="496">
        <v>1</v>
      </c>
      <c r="AN84" s="496">
        <v>1</v>
      </c>
      <c r="AO84" s="496">
        <v>1</v>
      </c>
      <c r="AP84" s="496">
        <v>1</v>
      </c>
    </row>
    <row r="85" spans="1:42">
      <c r="A85" t="str">
        <f t="shared" si="21"/>
        <v>Electricity</v>
      </c>
      <c r="C85" t="str">
        <f t="shared" si="22"/>
        <v>R_ES-CK-DH_ELC</v>
      </c>
      <c r="E85" t="str">
        <f t="shared" si="23"/>
        <v>R_ES-DH-Cook</v>
      </c>
      <c r="F85" s="496">
        <v>1</v>
      </c>
      <c r="G85" s="496">
        <v>1</v>
      </c>
      <c r="H85" s="496">
        <v>1</v>
      </c>
      <c r="I85" s="496">
        <v>1</v>
      </c>
      <c r="J85" s="496">
        <v>1</v>
      </c>
      <c r="K85" s="496">
        <v>1</v>
      </c>
      <c r="L85" s="496">
        <v>1</v>
      </c>
      <c r="M85" s="496">
        <v>1</v>
      </c>
      <c r="N85" s="496">
        <v>1</v>
      </c>
      <c r="O85" s="496">
        <v>1</v>
      </c>
      <c r="P85" s="496">
        <v>1</v>
      </c>
      <c r="Q85" s="496">
        <v>1</v>
      </c>
      <c r="R85" s="496">
        <v>1</v>
      </c>
      <c r="S85" s="496">
        <v>1</v>
      </c>
      <c r="T85" s="496">
        <v>1</v>
      </c>
      <c r="U85" s="496">
        <v>1</v>
      </c>
      <c r="V85" s="496">
        <v>1</v>
      </c>
      <c r="W85" s="496">
        <v>1</v>
      </c>
      <c r="X85" s="496">
        <v>1</v>
      </c>
      <c r="Y85" s="496">
        <v>1</v>
      </c>
      <c r="Z85" s="496">
        <v>1</v>
      </c>
      <c r="AA85" s="496">
        <v>1</v>
      </c>
      <c r="AB85" s="496">
        <v>1</v>
      </c>
      <c r="AC85" s="496">
        <v>1</v>
      </c>
      <c r="AD85" s="496">
        <v>1</v>
      </c>
      <c r="AE85" s="496">
        <v>1</v>
      </c>
      <c r="AF85" s="496">
        <v>1</v>
      </c>
      <c r="AG85" s="496">
        <v>1</v>
      </c>
      <c r="AH85" s="496">
        <v>1</v>
      </c>
      <c r="AI85" s="496">
        <v>1</v>
      </c>
      <c r="AJ85" s="496">
        <v>1</v>
      </c>
      <c r="AK85" s="496">
        <v>1</v>
      </c>
      <c r="AL85" s="496">
        <v>1</v>
      </c>
      <c r="AM85" s="496">
        <v>1</v>
      </c>
      <c r="AN85" s="496">
        <v>1</v>
      </c>
      <c r="AO85" s="496">
        <v>1</v>
      </c>
      <c r="AP85" s="496">
        <v>1</v>
      </c>
    </row>
    <row r="86" spans="1:42">
      <c r="A86" t="str">
        <f t="shared" si="21"/>
        <v>Gases</v>
      </c>
      <c r="C86" t="str">
        <f t="shared" si="22"/>
        <v>R_ES-CK-DH_GAS</v>
      </c>
      <c r="E86" t="str">
        <f t="shared" si="23"/>
        <v>R_ES-DH-Cook</v>
      </c>
      <c r="F86" s="496">
        <v>1</v>
      </c>
      <c r="G86" s="496">
        <v>1</v>
      </c>
      <c r="H86" s="496">
        <v>1</v>
      </c>
      <c r="I86" s="496">
        <v>1</v>
      </c>
      <c r="J86" s="496">
        <v>1</v>
      </c>
      <c r="K86" s="496">
        <v>1</v>
      </c>
      <c r="L86" s="496">
        <v>1</v>
      </c>
      <c r="M86" s="496">
        <v>1</v>
      </c>
      <c r="N86" s="496">
        <v>1</v>
      </c>
      <c r="O86" s="496">
        <v>1</v>
      </c>
      <c r="P86" s="496">
        <v>1</v>
      </c>
      <c r="Q86" s="496">
        <v>1</v>
      </c>
      <c r="R86" s="496">
        <v>1</v>
      </c>
      <c r="S86" s="496">
        <v>1</v>
      </c>
      <c r="T86" s="496">
        <v>1</v>
      </c>
      <c r="U86" s="496">
        <v>1</v>
      </c>
      <c r="V86" s="496">
        <v>1</v>
      </c>
      <c r="W86" s="496">
        <v>1</v>
      </c>
      <c r="X86" s="496">
        <v>1</v>
      </c>
      <c r="Y86" s="496">
        <v>1</v>
      </c>
      <c r="Z86" s="496">
        <v>1</v>
      </c>
      <c r="AA86" s="496">
        <v>1</v>
      </c>
      <c r="AB86" s="496">
        <v>1</v>
      </c>
      <c r="AC86" s="496">
        <v>1</v>
      </c>
      <c r="AD86" s="496">
        <v>1</v>
      </c>
      <c r="AE86" s="496">
        <v>1</v>
      </c>
      <c r="AF86" s="496">
        <v>1</v>
      </c>
      <c r="AG86" s="496">
        <v>1</v>
      </c>
      <c r="AH86" s="496">
        <v>1</v>
      </c>
      <c r="AI86" s="496">
        <v>1</v>
      </c>
      <c r="AJ86" s="496">
        <v>1</v>
      </c>
      <c r="AK86" s="496">
        <v>1</v>
      </c>
      <c r="AL86" s="496">
        <v>1</v>
      </c>
      <c r="AM86" s="496">
        <v>1</v>
      </c>
      <c r="AN86" s="496">
        <v>1</v>
      </c>
      <c r="AO86" s="496">
        <v>1</v>
      </c>
      <c r="AP86" s="496">
        <v>1</v>
      </c>
    </row>
    <row r="87" spans="1:42">
      <c r="A87" t="str">
        <f t="shared" si="21"/>
        <v>Biomass and wastes</v>
      </c>
      <c r="C87" t="str">
        <f t="shared" si="22"/>
        <v>R_ES-CK-DH_BIO</v>
      </c>
      <c r="E87" t="str">
        <f t="shared" si="23"/>
        <v>R_ES-DH-Cook</v>
      </c>
      <c r="F87" s="496">
        <v>1</v>
      </c>
      <c r="G87" s="496">
        <v>1</v>
      </c>
      <c r="H87" s="496">
        <v>1</v>
      </c>
      <c r="I87" s="496">
        <v>1</v>
      </c>
      <c r="J87" s="496">
        <v>1</v>
      </c>
      <c r="K87" s="496">
        <v>1</v>
      </c>
      <c r="L87" s="496">
        <v>1</v>
      </c>
      <c r="M87" s="496">
        <v>1</v>
      </c>
      <c r="N87" s="496">
        <v>1</v>
      </c>
      <c r="O87" s="496">
        <v>1</v>
      </c>
      <c r="P87" s="496">
        <v>1</v>
      </c>
      <c r="Q87" s="496">
        <v>1</v>
      </c>
      <c r="R87" s="496">
        <v>1</v>
      </c>
      <c r="S87" s="496">
        <v>1</v>
      </c>
      <c r="T87" s="496">
        <v>1</v>
      </c>
      <c r="U87" s="496">
        <v>1</v>
      </c>
      <c r="V87" s="496">
        <v>1</v>
      </c>
      <c r="W87" s="496">
        <v>1</v>
      </c>
      <c r="X87" s="496">
        <v>1</v>
      </c>
      <c r="Y87" s="496">
        <v>1</v>
      </c>
      <c r="Z87" s="496">
        <v>1</v>
      </c>
      <c r="AA87" s="496">
        <v>1</v>
      </c>
      <c r="AB87" s="496">
        <v>1</v>
      </c>
      <c r="AC87" s="496">
        <v>1</v>
      </c>
      <c r="AD87" s="496">
        <v>1</v>
      </c>
      <c r="AE87" s="496">
        <v>1</v>
      </c>
      <c r="AF87" s="496">
        <v>1</v>
      </c>
      <c r="AG87" s="496">
        <v>1</v>
      </c>
      <c r="AH87" s="496">
        <v>1</v>
      </c>
      <c r="AI87" s="496">
        <v>1</v>
      </c>
      <c r="AJ87" s="496">
        <v>1</v>
      </c>
      <c r="AK87" s="496">
        <v>1</v>
      </c>
      <c r="AL87" s="496">
        <v>1</v>
      </c>
      <c r="AM87" s="496">
        <v>1</v>
      </c>
      <c r="AN87" s="496">
        <v>1</v>
      </c>
      <c r="AO87" s="496">
        <v>1</v>
      </c>
      <c r="AP87" s="496">
        <v>1</v>
      </c>
    </row>
    <row r="88" spans="1:42">
      <c r="A88" t="str">
        <f t="shared" si="21"/>
        <v>Solids</v>
      </c>
      <c r="C88" t="str">
        <f t="shared" si="22"/>
        <v>R_ES-CK-DH_COA</v>
      </c>
      <c r="E88" t="str">
        <f t="shared" si="23"/>
        <v>R_ES-DH-Cook</v>
      </c>
      <c r="F88" s="496">
        <v>1</v>
      </c>
      <c r="G88" s="496">
        <v>1</v>
      </c>
      <c r="H88" s="496">
        <v>1</v>
      </c>
      <c r="I88" s="496">
        <v>1</v>
      </c>
      <c r="J88" s="496">
        <v>1</v>
      </c>
      <c r="K88" s="496">
        <v>1</v>
      </c>
      <c r="L88" s="496">
        <v>1</v>
      </c>
      <c r="M88" s="496">
        <v>1</v>
      </c>
      <c r="N88" s="496">
        <v>1</v>
      </c>
      <c r="O88" s="496">
        <v>1</v>
      </c>
      <c r="P88" s="496">
        <v>1</v>
      </c>
      <c r="Q88" s="496">
        <v>1</v>
      </c>
      <c r="R88" s="496">
        <v>1</v>
      </c>
      <c r="S88" s="496">
        <v>1</v>
      </c>
      <c r="T88" s="496">
        <v>1</v>
      </c>
      <c r="U88" s="496">
        <v>1</v>
      </c>
      <c r="V88" s="496">
        <v>1</v>
      </c>
      <c r="W88" s="496">
        <v>1</v>
      </c>
      <c r="X88" s="496">
        <v>1</v>
      </c>
      <c r="Y88" s="496">
        <v>1</v>
      </c>
      <c r="Z88" s="496">
        <v>1</v>
      </c>
      <c r="AA88" s="496">
        <v>1</v>
      </c>
      <c r="AB88" s="496">
        <v>1</v>
      </c>
      <c r="AC88" s="496">
        <v>1</v>
      </c>
      <c r="AD88" s="496">
        <v>1</v>
      </c>
      <c r="AE88" s="496">
        <v>1</v>
      </c>
      <c r="AF88" s="496">
        <v>1</v>
      </c>
      <c r="AG88" s="496">
        <v>1</v>
      </c>
      <c r="AH88" s="496">
        <v>1</v>
      </c>
      <c r="AI88" s="496">
        <v>1</v>
      </c>
      <c r="AJ88" s="496">
        <v>1</v>
      </c>
      <c r="AK88" s="496">
        <v>1</v>
      </c>
      <c r="AL88" s="496">
        <v>1</v>
      </c>
      <c r="AM88" s="496">
        <v>1</v>
      </c>
      <c r="AN88" s="496">
        <v>1</v>
      </c>
      <c r="AO88" s="496">
        <v>1</v>
      </c>
      <c r="AP88" s="496">
        <v>1</v>
      </c>
    </row>
    <row r="89" spans="1:42">
      <c r="A89" t="str">
        <f t="shared" si="21"/>
        <v>LPG</v>
      </c>
      <c r="C89" t="str">
        <f t="shared" si="22"/>
        <v>R_ES-CK-DH_LPG</v>
      </c>
      <c r="E89" t="str">
        <f t="shared" si="23"/>
        <v>R_ES-DH-Cook</v>
      </c>
      <c r="F89" s="496">
        <v>1</v>
      </c>
      <c r="G89" s="496">
        <v>1</v>
      </c>
      <c r="H89" s="496">
        <v>1</v>
      </c>
      <c r="I89" s="496">
        <v>1</v>
      </c>
      <c r="J89" s="496">
        <v>1</v>
      </c>
      <c r="K89" s="496">
        <v>1</v>
      </c>
      <c r="L89" s="496">
        <v>1</v>
      </c>
      <c r="M89" s="496">
        <v>1</v>
      </c>
      <c r="N89" s="496">
        <v>1</v>
      </c>
      <c r="O89" s="496">
        <v>1</v>
      </c>
      <c r="P89" s="496">
        <v>1</v>
      </c>
      <c r="Q89" s="496">
        <v>1</v>
      </c>
      <c r="R89" s="496">
        <v>1</v>
      </c>
      <c r="S89" s="496">
        <v>1</v>
      </c>
      <c r="T89" s="496">
        <v>1</v>
      </c>
      <c r="U89" s="496">
        <v>1</v>
      </c>
      <c r="V89" s="496">
        <v>1</v>
      </c>
      <c r="W89" s="496">
        <v>1</v>
      </c>
      <c r="X89" s="496">
        <v>1</v>
      </c>
      <c r="Y89" s="496">
        <v>1</v>
      </c>
      <c r="Z89" s="496">
        <v>1</v>
      </c>
      <c r="AA89" s="496">
        <v>1</v>
      </c>
      <c r="AB89" s="496">
        <v>1</v>
      </c>
      <c r="AC89" s="496">
        <v>1</v>
      </c>
      <c r="AD89" s="496">
        <v>1</v>
      </c>
      <c r="AE89" s="496">
        <v>1</v>
      </c>
      <c r="AF89" s="496">
        <v>1</v>
      </c>
      <c r="AG89" s="496">
        <v>1</v>
      </c>
      <c r="AH89" s="496">
        <v>1</v>
      </c>
      <c r="AI89" s="496">
        <v>1</v>
      </c>
      <c r="AJ89" s="496">
        <v>1</v>
      </c>
      <c r="AK89" s="496">
        <v>1</v>
      </c>
      <c r="AL89" s="496">
        <v>1</v>
      </c>
      <c r="AM89" s="496">
        <v>1</v>
      </c>
      <c r="AN89" s="496">
        <v>1</v>
      </c>
      <c r="AO89" s="496">
        <v>1</v>
      </c>
      <c r="AP89" s="496">
        <v>1</v>
      </c>
    </row>
    <row r="90" spans="1:42">
      <c r="A90" t="str">
        <f t="shared" si="21"/>
        <v>Electricity</v>
      </c>
      <c r="C90" t="str">
        <f t="shared" si="22"/>
        <v>R_ES-CK-SD_ELC</v>
      </c>
      <c r="E90" t="str">
        <f t="shared" si="23"/>
        <v>R_ES-SD-Cook</v>
      </c>
      <c r="F90" s="496">
        <v>1</v>
      </c>
      <c r="G90" s="496">
        <v>1</v>
      </c>
      <c r="H90" s="496">
        <v>1</v>
      </c>
      <c r="I90" s="496">
        <v>1</v>
      </c>
      <c r="J90" s="496">
        <v>1</v>
      </c>
      <c r="K90" s="496">
        <v>1</v>
      </c>
      <c r="L90" s="496">
        <v>1</v>
      </c>
      <c r="M90" s="496">
        <v>1</v>
      </c>
      <c r="N90" s="496">
        <v>1</v>
      </c>
      <c r="O90" s="496">
        <v>1</v>
      </c>
      <c r="P90" s="496">
        <v>1</v>
      </c>
      <c r="Q90" s="496">
        <v>1</v>
      </c>
      <c r="R90" s="496">
        <v>1</v>
      </c>
      <c r="S90" s="496">
        <v>1</v>
      </c>
      <c r="T90" s="496">
        <v>1</v>
      </c>
      <c r="U90" s="496">
        <v>1</v>
      </c>
      <c r="V90" s="496">
        <v>1</v>
      </c>
      <c r="W90" s="496">
        <v>1</v>
      </c>
      <c r="X90" s="496">
        <v>1</v>
      </c>
      <c r="Y90" s="496">
        <v>1</v>
      </c>
      <c r="Z90" s="496">
        <v>1</v>
      </c>
      <c r="AA90" s="496">
        <v>1</v>
      </c>
      <c r="AB90" s="496">
        <v>1</v>
      </c>
      <c r="AC90" s="496">
        <v>1</v>
      </c>
      <c r="AD90" s="496">
        <v>1</v>
      </c>
      <c r="AE90" s="496">
        <v>1</v>
      </c>
      <c r="AF90" s="496">
        <v>1</v>
      </c>
      <c r="AG90" s="496">
        <v>1</v>
      </c>
      <c r="AH90" s="496">
        <v>1</v>
      </c>
      <c r="AI90" s="496">
        <v>1</v>
      </c>
      <c r="AJ90" s="496">
        <v>1</v>
      </c>
      <c r="AK90" s="496">
        <v>1</v>
      </c>
      <c r="AL90" s="496">
        <v>1</v>
      </c>
      <c r="AM90" s="496">
        <v>1</v>
      </c>
      <c r="AN90" s="496">
        <v>1</v>
      </c>
      <c r="AO90" s="496">
        <v>1</v>
      </c>
      <c r="AP90" s="496">
        <v>1</v>
      </c>
    </row>
    <row r="91" spans="1:42">
      <c r="A91" t="str">
        <f t="shared" si="21"/>
        <v>Gases</v>
      </c>
      <c r="C91" t="str">
        <f t="shared" si="22"/>
        <v>R_ES-CK-SD_GAS</v>
      </c>
      <c r="E91" t="str">
        <f t="shared" si="23"/>
        <v>R_ES-SD-Cook</v>
      </c>
      <c r="F91" s="496">
        <v>1</v>
      </c>
      <c r="G91" s="496">
        <v>1</v>
      </c>
      <c r="H91" s="496">
        <v>1</v>
      </c>
      <c r="I91" s="496">
        <v>1</v>
      </c>
      <c r="J91" s="496">
        <v>1</v>
      </c>
      <c r="K91" s="496">
        <v>1</v>
      </c>
      <c r="L91" s="496">
        <v>1</v>
      </c>
      <c r="M91" s="496">
        <v>1</v>
      </c>
      <c r="N91" s="496">
        <v>1</v>
      </c>
      <c r="O91" s="496">
        <v>1</v>
      </c>
      <c r="P91" s="496">
        <v>1</v>
      </c>
      <c r="Q91" s="496">
        <v>1</v>
      </c>
      <c r="R91" s="496">
        <v>1</v>
      </c>
      <c r="S91" s="496">
        <v>1</v>
      </c>
      <c r="T91" s="496">
        <v>1</v>
      </c>
      <c r="U91" s="496">
        <v>1</v>
      </c>
      <c r="V91" s="496">
        <v>1</v>
      </c>
      <c r="W91" s="496">
        <v>1</v>
      </c>
      <c r="X91" s="496">
        <v>1</v>
      </c>
      <c r="Y91" s="496">
        <v>1</v>
      </c>
      <c r="Z91" s="496">
        <v>1</v>
      </c>
      <c r="AA91" s="496">
        <v>1</v>
      </c>
      <c r="AB91" s="496">
        <v>1</v>
      </c>
      <c r="AC91" s="496">
        <v>1</v>
      </c>
      <c r="AD91" s="496">
        <v>1</v>
      </c>
      <c r="AE91" s="496">
        <v>1</v>
      </c>
      <c r="AF91" s="496">
        <v>1</v>
      </c>
      <c r="AG91" s="496">
        <v>1</v>
      </c>
      <c r="AH91" s="496">
        <v>1</v>
      </c>
      <c r="AI91" s="496">
        <v>1</v>
      </c>
      <c r="AJ91" s="496">
        <v>1</v>
      </c>
      <c r="AK91" s="496">
        <v>1</v>
      </c>
      <c r="AL91" s="496">
        <v>1</v>
      </c>
      <c r="AM91" s="496">
        <v>1</v>
      </c>
      <c r="AN91" s="496">
        <v>1</v>
      </c>
      <c r="AO91" s="496">
        <v>1</v>
      </c>
      <c r="AP91" s="496">
        <v>1</v>
      </c>
    </row>
    <row r="92" spans="1:42">
      <c r="A92" t="str">
        <f t="shared" si="21"/>
        <v>Biomass and wastes</v>
      </c>
      <c r="C92" t="str">
        <f t="shared" si="22"/>
        <v>R_ES-CK-SD_BIO</v>
      </c>
      <c r="E92" t="str">
        <f t="shared" si="23"/>
        <v>R_ES-SD-Cook</v>
      </c>
      <c r="F92" s="496">
        <v>1</v>
      </c>
      <c r="G92" s="496">
        <v>1</v>
      </c>
      <c r="H92" s="496">
        <v>1</v>
      </c>
      <c r="I92" s="496">
        <v>1</v>
      </c>
      <c r="J92" s="496">
        <v>1</v>
      </c>
      <c r="K92" s="496">
        <v>1</v>
      </c>
      <c r="L92" s="496">
        <v>1</v>
      </c>
      <c r="M92" s="496">
        <v>1</v>
      </c>
      <c r="N92" s="496">
        <v>1</v>
      </c>
      <c r="O92" s="496">
        <v>1</v>
      </c>
      <c r="P92" s="496">
        <v>1</v>
      </c>
      <c r="Q92" s="496">
        <v>1</v>
      </c>
      <c r="R92" s="496">
        <v>1</v>
      </c>
      <c r="S92" s="496">
        <v>1</v>
      </c>
      <c r="T92" s="496">
        <v>1</v>
      </c>
      <c r="U92" s="496">
        <v>1</v>
      </c>
      <c r="V92" s="496">
        <v>1</v>
      </c>
      <c r="W92" s="496">
        <v>1</v>
      </c>
      <c r="X92" s="496">
        <v>1</v>
      </c>
      <c r="Y92" s="496">
        <v>1</v>
      </c>
      <c r="Z92" s="496">
        <v>1</v>
      </c>
      <c r="AA92" s="496">
        <v>1</v>
      </c>
      <c r="AB92" s="496">
        <v>1</v>
      </c>
      <c r="AC92" s="496">
        <v>1</v>
      </c>
      <c r="AD92" s="496">
        <v>1</v>
      </c>
      <c r="AE92" s="496">
        <v>1</v>
      </c>
      <c r="AF92" s="496">
        <v>1</v>
      </c>
      <c r="AG92" s="496">
        <v>1</v>
      </c>
      <c r="AH92" s="496">
        <v>1</v>
      </c>
      <c r="AI92" s="496">
        <v>1</v>
      </c>
      <c r="AJ92" s="496">
        <v>1</v>
      </c>
      <c r="AK92" s="496">
        <v>1</v>
      </c>
      <c r="AL92" s="496">
        <v>1</v>
      </c>
      <c r="AM92" s="496">
        <v>1</v>
      </c>
      <c r="AN92" s="496">
        <v>1</v>
      </c>
      <c r="AO92" s="496">
        <v>1</v>
      </c>
      <c r="AP92" s="496">
        <v>1</v>
      </c>
    </row>
    <row r="93" spans="1:42">
      <c r="A93" t="str">
        <f t="shared" si="21"/>
        <v>Solids</v>
      </c>
      <c r="C93" t="str">
        <f t="shared" si="22"/>
        <v>R_ES-CK-SD_COA</v>
      </c>
      <c r="E93" t="str">
        <f t="shared" si="23"/>
        <v>R_ES-SD-Cook</v>
      </c>
      <c r="F93" s="496">
        <v>1</v>
      </c>
      <c r="G93" s="496">
        <v>1</v>
      </c>
      <c r="H93" s="496">
        <v>1</v>
      </c>
      <c r="I93" s="496">
        <v>1</v>
      </c>
      <c r="J93" s="496">
        <v>1</v>
      </c>
      <c r="K93" s="496">
        <v>1</v>
      </c>
      <c r="L93" s="496">
        <v>1</v>
      </c>
      <c r="M93" s="496">
        <v>1</v>
      </c>
      <c r="N93" s="496">
        <v>1</v>
      </c>
      <c r="O93" s="496">
        <v>1</v>
      </c>
      <c r="P93" s="496">
        <v>1</v>
      </c>
      <c r="Q93" s="496">
        <v>1</v>
      </c>
      <c r="R93" s="496">
        <v>1</v>
      </c>
      <c r="S93" s="496">
        <v>1</v>
      </c>
      <c r="T93" s="496">
        <v>1</v>
      </c>
      <c r="U93" s="496">
        <v>1</v>
      </c>
      <c r="V93" s="496">
        <v>1</v>
      </c>
      <c r="W93" s="496">
        <v>1</v>
      </c>
      <c r="X93" s="496">
        <v>1</v>
      </c>
      <c r="Y93" s="496">
        <v>1</v>
      </c>
      <c r="Z93" s="496">
        <v>1</v>
      </c>
      <c r="AA93" s="496">
        <v>1</v>
      </c>
      <c r="AB93" s="496">
        <v>1</v>
      </c>
      <c r="AC93" s="496">
        <v>1</v>
      </c>
      <c r="AD93" s="496">
        <v>1</v>
      </c>
      <c r="AE93" s="496">
        <v>1</v>
      </c>
      <c r="AF93" s="496">
        <v>1</v>
      </c>
      <c r="AG93" s="496">
        <v>1</v>
      </c>
      <c r="AH93" s="496">
        <v>1</v>
      </c>
      <c r="AI93" s="496">
        <v>1</v>
      </c>
      <c r="AJ93" s="496">
        <v>1</v>
      </c>
      <c r="AK93" s="496">
        <v>1</v>
      </c>
      <c r="AL93" s="496">
        <v>1</v>
      </c>
      <c r="AM93" s="496">
        <v>1</v>
      </c>
      <c r="AN93" s="496">
        <v>1</v>
      </c>
      <c r="AO93" s="496">
        <v>1</v>
      </c>
      <c r="AP93" s="496">
        <v>1</v>
      </c>
    </row>
    <row r="94" spans="1:42">
      <c r="A94" t="str">
        <f t="shared" si="21"/>
        <v>LPG</v>
      </c>
      <c r="C94" t="str">
        <f t="shared" si="22"/>
        <v>R_ES-CK-SD_LPG</v>
      </c>
      <c r="E94" t="str">
        <f t="shared" si="23"/>
        <v>R_ES-SD-Cook</v>
      </c>
      <c r="F94" s="496">
        <v>1</v>
      </c>
      <c r="G94" s="496">
        <v>1</v>
      </c>
      <c r="H94" s="496">
        <v>1</v>
      </c>
      <c r="I94" s="496">
        <v>1</v>
      </c>
      <c r="J94" s="496">
        <v>1</v>
      </c>
      <c r="K94" s="496">
        <v>1</v>
      </c>
      <c r="L94" s="496">
        <v>1</v>
      </c>
      <c r="M94" s="496">
        <v>1</v>
      </c>
      <c r="N94" s="496">
        <v>1</v>
      </c>
      <c r="O94" s="496">
        <v>1</v>
      </c>
      <c r="P94" s="496">
        <v>1</v>
      </c>
      <c r="Q94" s="496">
        <v>1</v>
      </c>
      <c r="R94" s="496">
        <v>1</v>
      </c>
      <c r="S94" s="496">
        <v>1</v>
      </c>
      <c r="T94" s="496">
        <v>1</v>
      </c>
      <c r="U94" s="496">
        <v>1</v>
      </c>
      <c r="V94" s="496">
        <v>1</v>
      </c>
      <c r="W94" s="496">
        <v>1</v>
      </c>
      <c r="X94" s="496">
        <v>1</v>
      </c>
      <c r="Y94" s="496">
        <v>1</v>
      </c>
      <c r="Z94" s="496">
        <v>1</v>
      </c>
      <c r="AA94" s="496">
        <v>1</v>
      </c>
      <c r="AB94" s="496">
        <v>1</v>
      </c>
      <c r="AC94" s="496">
        <v>1</v>
      </c>
      <c r="AD94" s="496">
        <v>1</v>
      </c>
      <c r="AE94" s="496">
        <v>1</v>
      </c>
      <c r="AF94" s="496">
        <v>1</v>
      </c>
      <c r="AG94" s="496">
        <v>1</v>
      </c>
      <c r="AH94" s="496">
        <v>1</v>
      </c>
      <c r="AI94" s="496">
        <v>1</v>
      </c>
      <c r="AJ94" s="496">
        <v>1</v>
      </c>
      <c r="AK94" s="496">
        <v>1</v>
      </c>
      <c r="AL94" s="496">
        <v>1</v>
      </c>
      <c r="AM94" s="496">
        <v>1</v>
      </c>
      <c r="AN94" s="496">
        <v>1</v>
      </c>
      <c r="AO94" s="496">
        <v>1</v>
      </c>
      <c r="AP94" s="496">
        <v>1</v>
      </c>
    </row>
  </sheetData>
  <conditionalFormatting sqref="F80:AP9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0">
    <tabColor theme="8"/>
  </sheetPr>
  <dimension ref="A2:AT114"/>
  <sheetViews>
    <sheetView topLeftCell="A2" zoomScale="83" zoomScaleNormal="70" workbookViewId="0">
      <selection activeCell="D9" sqref="D9"/>
    </sheetView>
  </sheetViews>
  <sheetFormatPr defaultColWidth="8.88671875" defaultRowHeight="14.4"/>
  <cols>
    <col min="1" max="1" width="19" customWidth="1"/>
    <col min="2" max="2" width="2" bestFit="1" customWidth="1"/>
    <col min="3" max="3" width="17.44140625" bestFit="1" customWidth="1"/>
    <col min="4" max="4" width="12" bestFit="1" customWidth="1"/>
    <col min="5" max="5" width="18.33203125" bestFit="1" customWidth="1"/>
    <col min="6" max="42" width="8" customWidth="1"/>
  </cols>
  <sheetData>
    <row r="2" spans="1:46">
      <c r="E2" s="533" t="s">
        <v>598</v>
      </c>
    </row>
    <row r="3" spans="1:46" ht="15" thickBot="1">
      <c r="A3" t="str">
        <f>'IDEES(ELC)'!B37</f>
        <v>Lighting</v>
      </c>
      <c r="C3" s="539" t="s">
        <v>545</v>
      </c>
      <c r="D3" s="539" t="s">
        <v>585</v>
      </c>
      <c r="E3" s="539" t="s">
        <v>592</v>
      </c>
      <c r="F3" s="540" t="s">
        <v>88</v>
      </c>
      <c r="G3" s="540" t="s">
        <v>89</v>
      </c>
      <c r="H3" s="540" t="s">
        <v>90</v>
      </c>
      <c r="I3" s="540" t="s">
        <v>91</v>
      </c>
      <c r="J3" s="540" t="s">
        <v>92</v>
      </c>
      <c r="K3" s="540" t="s">
        <v>93</v>
      </c>
      <c r="L3" s="540" t="s">
        <v>94</v>
      </c>
      <c r="M3" s="540" t="s">
        <v>95</v>
      </c>
      <c r="N3" s="540" t="s">
        <v>96</v>
      </c>
      <c r="O3" s="540" t="s">
        <v>97</v>
      </c>
      <c r="P3" s="540" t="s">
        <v>98</v>
      </c>
      <c r="Q3" s="540" t="s">
        <v>99</v>
      </c>
      <c r="R3" s="540" t="s">
        <v>205</v>
      </c>
      <c r="S3" s="540" t="s">
        <v>118</v>
      </c>
      <c r="T3" s="540" t="s">
        <v>100</v>
      </c>
      <c r="U3" s="540" t="s">
        <v>101</v>
      </c>
      <c r="V3" s="540" t="s">
        <v>102</v>
      </c>
      <c r="W3" s="540" t="s">
        <v>103</v>
      </c>
      <c r="X3" s="540" t="s">
        <v>104</v>
      </c>
      <c r="Y3" s="540" t="s">
        <v>105</v>
      </c>
      <c r="Z3" s="540" t="s">
        <v>106</v>
      </c>
      <c r="AA3" s="540" t="s">
        <v>107</v>
      </c>
      <c r="AB3" s="540" t="s">
        <v>108</v>
      </c>
      <c r="AC3" s="540" t="s">
        <v>109</v>
      </c>
      <c r="AD3" s="540" t="s">
        <v>110</v>
      </c>
      <c r="AE3" s="540" t="s">
        <v>111</v>
      </c>
      <c r="AF3" s="540" t="s">
        <v>112</v>
      </c>
      <c r="AG3" s="540" t="s">
        <v>113</v>
      </c>
      <c r="AH3" s="540" t="s">
        <v>114</v>
      </c>
      <c r="AI3" s="540" t="s">
        <v>115</v>
      </c>
      <c r="AJ3" s="540" t="s">
        <v>52</v>
      </c>
      <c r="AK3" s="540" t="s">
        <v>116</v>
      </c>
      <c r="AL3" s="540" t="s">
        <v>117</v>
      </c>
      <c r="AM3" s="540" t="s">
        <v>119</v>
      </c>
      <c r="AN3" s="540" t="s">
        <v>120</v>
      </c>
      <c r="AO3" s="540" t="s">
        <v>121</v>
      </c>
      <c r="AP3" s="540" t="s">
        <v>122</v>
      </c>
    </row>
    <row r="4" spans="1:46">
      <c r="A4" t="s">
        <v>510</v>
      </c>
      <c r="C4" t="str">
        <f>CONCATENATE(E4,"ELC00")</f>
        <v>RLIGELC00</v>
      </c>
      <c r="D4" t="str">
        <f>D8</f>
        <v>RSDELC-other</v>
      </c>
      <c r="E4" t="s">
        <v>695</v>
      </c>
      <c r="F4" s="496">
        <f>'IDEES(ELC)'!D37</f>
        <v>58.295655563543718</v>
      </c>
      <c r="G4" s="496">
        <f>'IDEES(ELC)'!E37</f>
        <v>74.896391572734416</v>
      </c>
      <c r="H4" s="496">
        <f>'IDEES(ELC)'!F37</f>
        <v>27.380606656373391</v>
      </c>
      <c r="I4" s="496">
        <f>'IDEES(ELC)'!G37</f>
        <v>59.856094728212717</v>
      </c>
      <c r="J4" s="496">
        <f>'IDEES(ELC)'!H37</f>
        <v>4.450205440254317</v>
      </c>
      <c r="K4" s="496">
        <f>'IDEES(ELC)'!I37</f>
        <v>50.731928172220336</v>
      </c>
      <c r="L4" s="496">
        <f>'IDEES(ELC)'!J37</f>
        <v>579.73034364843136</v>
      </c>
      <c r="M4" s="496">
        <f>'IDEES(ELC)'!K37</f>
        <v>48.740909903553003</v>
      </c>
      <c r="N4" s="496">
        <f>'IDEES(ELC)'!L37</f>
        <v>4.4065409350768237</v>
      </c>
      <c r="O4" s="496">
        <f>'IDEES(ELC)'!M37</f>
        <v>278.62547705694925</v>
      </c>
      <c r="P4" s="496">
        <f>'IDEES(ELC)'!N37</f>
        <v>47.446473688349116</v>
      </c>
      <c r="Q4" s="496">
        <f>'IDEES(ELC)'!O37</f>
        <v>445.84918336874699</v>
      </c>
      <c r="R4" s="496">
        <f>'IDEES(ELC)'!P37</f>
        <v>41.527975195340616</v>
      </c>
      <c r="S4" s="496">
        <f>'IDEES(ELC)'!Q37</f>
        <v>18.963960761750659</v>
      </c>
      <c r="T4" s="496">
        <f>'IDEES(ELC)'!R37</f>
        <v>42.331506480894873</v>
      </c>
      <c r="U4" s="496">
        <f>'IDEES(ELC)'!S37</f>
        <v>29.757737211228278</v>
      </c>
      <c r="V4" s="496">
        <f>'IDEES(ELC)'!T37</f>
        <v>3.0214608144774608</v>
      </c>
      <c r="W4" s="496">
        <f>'IDEES(ELC)'!U37</f>
        <v>403.10324014325903</v>
      </c>
      <c r="X4" s="496">
        <f>'IDEES(ELC)'!V37</f>
        <v>10.337988807914252</v>
      </c>
      <c r="Y4" s="496">
        <f>'IDEES(ELC)'!W37</f>
        <v>4.4381746503155695</v>
      </c>
      <c r="Z4" s="496">
        <f>'IDEES(ELC)'!X37</f>
        <v>8.0399299007598017</v>
      </c>
      <c r="AA4" s="496">
        <f>'IDEES(ELC)'!Y37</f>
        <v>1.9654578885018377</v>
      </c>
      <c r="AB4" s="496">
        <f>'IDEES(ELC)'!Z37</f>
        <v>142.95320314088821</v>
      </c>
      <c r="AC4" s="496">
        <f>'IDEES(ELC)'!AA37</f>
        <v>129.31021022820789</v>
      </c>
      <c r="AD4" s="496">
        <f>'IDEES(ELC)'!AB37</f>
        <v>145.91597848057452</v>
      </c>
      <c r="AE4" s="496">
        <f>'IDEES(ELC)'!AC37</f>
        <v>54.654963664377725</v>
      </c>
      <c r="AF4" s="496">
        <f>'IDEES(ELC)'!AD37</f>
        <v>53.864400403170009</v>
      </c>
      <c r="AG4" s="496">
        <f>'IDEES(ELC)'!AE37</f>
        <v>91.477407802923182</v>
      </c>
      <c r="AH4" s="496">
        <f>'IDEES(ELC)'!AF37</f>
        <v>9.7263295660636864</v>
      </c>
      <c r="AI4" s="496">
        <f>'IDEES(ELC)'!AG37</f>
        <v>16.314478275003943</v>
      </c>
      <c r="AJ4" s="496">
        <f>'IDEES(ELC)'!AH37</f>
        <v>494.91180343421519</v>
      </c>
      <c r="AK4" s="496">
        <f>'IDEES(ELC)'!AI37</f>
        <v>6.0468284825665055</v>
      </c>
      <c r="AL4" s="496">
        <f>'IDEES(ELC)'!AJ37</f>
        <v>15.06225645258462</v>
      </c>
      <c r="AM4" s="496">
        <f>'IDEES(ELC)'!AK37</f>
        <v>2.990164237908592</v>
      </c>
      <c r="AN4" s="496">
        <f>'IDEES(ELC)'!AL37</f>
        <v>10.712504642643722</v>
      </c>
      <c r="AO4" s="496">
        <f>'IDEES(ELC)'!AM37</f>
        <v>48.525188570277713</v>
      </c>
      <c r="AP4" s="496">
        <f>'IDEES(ELC)'!AN37</f>
        <v>7.4300455884043179</v>
      </c>
      <c r="AQ4" s="509"/>
      <c r="AR4" s="509"/>
      <c r="AS4" s="509"/>
      <c r="AT4" s="509"/>
    </row>
    <row r="5" spans="1:46">
      <c r="F5" s="509"/>
      <c r="G5" s="509"/>
      <c r="H5" s="509"/>
      <c r="I5" s="509"/>
      <c r="J5" s="509"/>
      <c r="K5" s="509"/>
      <c r="L5" s="509"/>
      <c r="M5" s="509"/>
      <c r="N5" s="509"/>
      <c r="O5" s="509"/>
      <c r="P5" s="509"/>
      <c r="Q5" s="509"/>
      <c r="R5" s="509"/>
      <c r="S5" s="509"/>
      <c r="T5" s="509"/>
      <c r="U5" s="509"/>
      <c r="V5" s="509"/>
      <c r="W5" s="509"/>
      <c r="X5" s="509"/>
      <c r="Y5" s="509"/>
      <c r="Z5" s="509"/>
      <c r="AA5" s="509"/>
      <c r="AB5" s="509"/>
      <c r="AC5" s="509"/>
      <c r="AD5" s="509"/>
      <c r="AE5" s="509"/>
      <c r="AF5" s="509"/>
      <c r="AG5" s="509"/>
      <c r="AH5" s="509"/>
      <c r="AI5" s="509"/>
      <c r="AJ5" s="509"/>
      <c r="AK5" s="509"/>
      <c r="AL5" s="509"/>
      <c r="AM5" s="509"/>
      <c r="AN5" s="509"/>
      <c r="AO5" s="509"/>
      <c r="AP5" s="509"/>
      <c r="AQ5" s="509"/>
      <c r="AR5" s="509"/>
      <c r="AS5" s="509"/>
      <c r="AT5" s="509"/>
    </row>
    <row r="6" spans="1:46">
      <c r="E6" s="534" t="s">
        <v>584</v>
      </c>
      <c r="AQ6" s="509"/>
      <c r="AR6" s="509"/>
      <c r="AS6" s="509"/>
      <c r="AT6" s="509"/>
    </row>
    <row r="7" spans="1:46" ht="15" thickBot="1">
      <c r="C7" s="539" t="s">
        <v>545</v>
      </c>
      <c r="D7" s="539" t="s">
        <v>585</v>
      </c>
      <c r="E7" s="539" t="s">
        <v>552</v>
      </c>
      <c r="F7" s="540" t="s">
        <v>88</v>
      </c>
      <c r="G7" s="540" t="s">
        <v>89</v>
      </c>
      <c r="H7" s="540" t="s">
        <v>90</v>
      </c>
      <c r="I7" s="540" t="s">
        <v>91</v>
      </c>
      <c r="J7" s="540" t="s">
        <v>92</v>
      </c>
      <c r="K7" s="540" t="s">
        <v>93</v>
      </c>
      <c r="L7" s="540" t="s">
        <v>94</v>
      </c>
      <c r="M7" s="540" t="s">
        <v>95</v>
      </c>
      <c r="N7" s="540" t="s">
        <v>96</v>
      </c>
      <c r="O7" s="540" t="s">
        <v>97</v>
      </c>
      <c r="P7" s="540" t="s">
        <v>98</v>
      </c>
      <c r="Q7" s="540" t="s">
        <v>99</v>
      </c>
      <c r="R7" s="540" t="s">
        <v>205</v>
      </c>
      <c r="S7" s="540" t="s">
        <v>118</v>
      </c>
      <c r="T7" s="540" t="s">
        <v>100</v>
      </c>
      <c r="U7" s="540" t="s">
        <v>101</v>
      </c>
      <c r="V7" s="540" t="s">
        <v>102</v>
      </c>
      <c r="W7" s="540" t="s">
        <v>103</v>
      </c>
      <c r="X7" s="540" t="s">
        <v>104</v>
      </c>
      <c r="Y7" s="540" t="s">
        <v>105</v>
      </c>
      <c r="Z7" s="540" t="s">
        <v>106</v>
      </c>
      <c r="AA7" s="540" t="s">
        <v>107</v>
      </c>
      <c r="AB7" s="540" t="s">
        <v>108</v>
      </c>
      <c r="AC7" s="540" t="s">
        <v>109</v>
      </c>
      <c r="AD7" s="540" t="s">
        <v>110</v>
      </c>
      <c r="AE7" s="540" t="s">
        <v>111</v>
      </c>
      <c r="AF7" s="540" t="s">
        <v>112</v>
      </c>
      <c r="AG7" s="540" t="s">
        <v>113</v>
      </c>
      <c r="AH7" s="540" t="s">
        <v>114</v>
      </c>
      <c r="AI7" s="540" t="s">
        <v>115</v>
      </c>
      <c r="AJ7" s="540" t="s">
        <v>52</v>
      </c>
      <c r="AK7" s="540" t="s">
        <v>116</v>
      </c>
      <c r="AL7" s="540" t="s">
        <v>117</v>
      </c>
      <c r="AM7" s="540" t="s">
        <v>119</v>
      </c>
      <c r="AN7" s="540" t="s">
        <v>120</v>
      </c>
      <c r="AO7" s="540" t="s">
        <v>121</v>
      </c>
      <c r="AP7" s="540" t="s">
        <v>122</v>
      </c>
      <c r="AS7" s="509"/>
      <c r="AT7" s="509"/>
    </row>
    <row r="8" spans="1:46">
      <c r="A8" t="str">
        <f>A4</f>
        <v>Electricity</v>
      </c>
      <c r="C8" t="str">
        <f>C4</f>
        <v>RLIGELC00</v>
      </c>
      <c r="D8" t="s">
        <v>977</v>
      </c>
      <c r="F8" s="496">
        <f>'IDEES(ELC)'!D24/'IDEES(ELC)'!D37</f>
        <v>9.9140470488409654E-2</v>
      </c>
      <c r="G8" s="496">
        <f>'IDEES(ELC)'!E24/'IDEES(ELC)'!E37</f>
        <v>9.3281255308745314E-2</v>
      </c>
      <c r="H8" s="496">
        <f>'IDEES(ELC)'!F24/'IDEES(ELC)'!F37</f>
        <v>0.10595351073146207</v>
      </c>
      <c r="I8" s="667">
        <f>F8</f>
        <v>9.9140470488409654E-2</v>
      </c>
      <c r="J8" s="496">
        <f>'IDEES(ELC)'!H24/'IDEES(ELC)'!H37</f>
        <v>0.10029886646637426</v>
      </c>
      <c r="K8" s="496">
        <f>'IDEES(ELC)'!I24/'IDEES(ELC)'!I37</f>
        <v>9.3740151800578903E-2</v>
      </c>
      <c r="L8" s="496">
        <f>'IDEES(ELC)'!J24/'IDEES(ELC)'!J37</f>
        <v>0.10196711255094912</v>
      </c>
      <c r="M8" s="496">
        <f>'IDEES(ELC)'!K24/'IDEES(ELC)'!K37</f>
        <v>9.8362193514375057E-2</v>
      </c>
      <c r="N8" s="496">
        <f>'IDEES(ELC)'!L24/'IDEES(ELC)'!L37</f>
        <v>0.10029889087874654</v>
      </c>
      <c r="O8" s="496">
        <f>'IDEES(ELC)'!M24/'IDEES(ELC)'!M37</f>
        <v>9.4829110787308046E-2</v>
      </c>
      <c r="P8" s="496">
        <f>'IDEES(ELC)'!N24/'IDEES(ELC)'!N37</f>
        <v>9.6799480318972578E-2</v>
      </c>
      <c r="Q8" s="496">
        <f>'IDEES(ELC)'!O24/'IDEES(ELC)'!O37</f>
        <v>9.9186539506174815E-2</v>
      </c>
      <c r="R8" s="496">
        <f>'IDEES(ELC)'!P24/'IDEES(ELC)'!P37</f>
        <v>9.9564296793933471E-2</v>
      </c>
      <c r="S8" s="496">
        <f>'IDEES(ELC)'!Q24/'IDEES(ELC)'!Q37</f>
        <v>9.9199150052783389E-2</v>
      </c>
      <c r="T8" s="496">
        <f>'IDEES(ELC)'!R24/'IDEES(ELC)'!R37</f>
        <v>9.8803084437536992E-2</v>
      </c>
      <c r="U8" s="496">
        <f>'IDEES(ELC)'!S24/'IDEES(ELC)'!S37</f>
        <v>9.9140860914882292E-2</v>
      </c>
      <c r="V8" s="667">
        <f>AC8</f>
        <v>9.8317527442142935E-2</v>
      </c>
      <c r="W8" s="496">
        <f>'IDEES(ELC)'!U24/'IDEES(ELC)'!U37</f>
        <v>9.6222713293535503E-2</v>
      </c>
      <c r="X8" s="496">
        <f>'IDEES(ELC)'!V24/'IDEES(ELC)'!V37</f>
        <v>0.1002994425382048</v>
      </c>
      <c r="Y8" s="496">
        <f>'IDEES(ELC)'!W24/'IDEES(ELC)'!W37</f>
        <v>9.914156018369262E-2</v>
      </c>
      <c r="Z8" s="496">
        <f>'IDEES(ELC)'!X24/'IDEES(ELC)'!X37</f>
        <v>0.10029973031528448</v>
      </c>
      <c r="AA8" s="496">
        <f>'IDEES(ELC)'!Y24/'IDEES(ELC)'!Y37</f>
        <v>0.10029896125134695</v>
      </c>
      <c r="AB8" s="496">
        <f>'IDEES(ELC)'!Z24/'IDEES(ELC)'!Z37</f>
        <v>9.9141612531984447E-2</v>
      </c>
      <c r="AC8" s="667">
        <f>AG8</f>
        <v>9.8317527442142935E-2</v>
      </c>
      <c r="AD8" s="496">
        <f>'IDEES(ELC)'!AB24/'IDEES(ELC)'!AB37</f>
        <v>0.10029860260950345</v>
      </c>
      <c r="AE8" s="496">
        <f>'IDEES(ELC)'!AC24/'IDEES(ELC)'!AC37</f>
        <v>9.8587312747806383E-2</v>
      </c>
      <c r="AF8" s="496">
        <f>'IDEES(ELC)'!AD24/'IDEES(ELC)'!AD37</f>
        <v>0.1040108613864805</v>
      </c>
      <c r="AG8" s="496">
        <f>'IDEES(ELC)'!AE24/'IDEES(ELC)'!AE37</f>
        <v>9.8317527442142935E-2</v>
      </c>
      <c r="AH8" s="496">
        <f>'IDEES(ELC)'!AF24/'IDEES(ELC)'!AF37</f>
        <v>0.10029943231656399</v>
      </c>
      <c r="AI8" s="496">
        <f>'IDEES(ELC)'!AG24/'IDEES(ELC)'!AG37</f>
        <v>0.10029907278782439</v>
      </c>
      <c r="AJ8" s="496">
        <f>'IDEES(ELC)'!AH24/'IDEES(ELC)'!AH37</f>
        <v>9.9772727539248388E-2</v>
      </c>
      <c r="AK8" s="667">
        <f>R8</f>
        <v>9.9564296793933471E-2</v>
      </c>
      <c r="AL8" s="667">
        <f>AK8</f>
        <v>9.9564296793933471E-2</v>
      </c>
      <c r="AM8" s="667">
        <f>AL8</f>
        <v>9.9564296793933471E-2</v>
      </c>
      <c r="AN8" s="667">
        <f>AM8</f>
        <v>9.9564296793933471E-2</v>
      </c>
      <c r="AO8" s="667">
        <f>AN8</f>
        <v>9.9564296793933471E-2</v>
      </c>
      <c r="AP8" s="667">
        <f>AO8</f>
        <v>9.9564296793933471E-2</v>
      </c>
      <c r="AQ8" s="509"/>
      <c r="AR8" s="509"/>
      <c r="AS8" s="509"/>
      <c r="AT8" s="509"/>
    </row>
    <row r="10" spans="1:46">
      <c r="E10" s="533" t="s">
        <v>607</v>
      </c>
    </row>
    <row r="11" spans="1:46" ht="15" thickBot="1">
      <c r="C11" s="539" t="s">
        <v>545</v>
      </c>
      <c r="D11" s="539" t="s">
        <v>585</v>
      </c>
      <c r="E11" s="539" t="s">
        <v>552</v>
      </c>
      <c r="F11" s="540" t="s">
        <v>88</v>
      </c>
      <c r="G11" s="540" t="s">
        <v>89</v>
      </c>
      <c r="H11" s="540" t="s">
        <v>90</v>
      </c>
      <c r="I11" s="540" t="s">
        <v>91</v>
      </c>
      <c r="J11" s="540" t="s">
        <v>92</v>
      </c>
      <c r="K11" s="540" t="s">
        <v>93</v>
      </c>
      <c r="L11" s="540" t="s">
        <v>94</v>
      </c>
      <c r="M11" s="540" t="s">
        <v>95</v>
      </c>
      <c r="N11" s="540" t="s">
        <v>96</v>
      </c>
      <c r="O11" s="540" t="s">
        <v>97</v>
      </c>
      <c r="P11" s="540" t="s">
        <v>98</v>
      </c>
      <c r="Q11" s="540" t="s">
        <v>99</v>
      </c>
      <c r="R11" s="540" t="s">
        <v>205</v>
      </c>
      <c r="S11" s="540" t="s">
        <v>118</v>
      </c>
      <c r="T11" s="540" t="s">
        <v>100</v>
      </c>
      <c r="U11" s="540" t="s">
        <v>101</v>
      </c>
      <c r="V11" s="540" t="s">
        <v>102</v>
      </c>
      <c r="W11" s="540" t="s">
        <v>103</v>
      </c>
      <c r="X11" s="540" t="s">
        <v>104</v>
      </c>
      <c r="Y11" s="540" t="s">
        <v>105</v>
      </c>
      <c r="Z11" s="540" t="s">
        <v>106</v>
      </c>
      <c r="AA11" s="540" t="s">
        <v>107</v>
      </c>
      <c r="AB11" s="540" t="s">
        <v>108</v>
      </c>
      <c r="AC11" s="540" t="s">
        <v>109</v>
      </c>
      <c r="AD11" s="540" t="s">
        <v>110</v>
      </c>
      <c r="AE11" s="540" t="s">
        <v>111</v>
      </c>
      <c r="AF11" s="540" t="s">
        <v>112</v>
      </c>
      <c r="AG11" s="540" t="s">
        <v>113</v>
      </c>
      <c r="AH11" s="540" t="s">
        <v>114</v>
      </c>
      <c r="AI11" s="540" t="s">
        <v>115</v>
      </c>
      <c r="AJ11" s="540" t="s">
        <v>52</v>
      </c>
      <c r="AK11" s="540" t="s">
        <v>116</v>
      </c>
      <c r="AL11" s="540" t="s">
        <v>117</v>
      </c>
      <c r="AM11" s="540" t="s">
        <v>119</v>
      </c>
      <c r="AN11" s="540" t="s">
        <v>120</v>
      </c>
      <c r="AO11" s="540" t="s">
        <v>121</v>
      </c>
      <c r="AP11" s="540" t="s">
        <v>122</v>
      </c>
    </row>
    <row r="12" spans="1:46">
      <c r="A12" t="str">
        <f>A8</f>
        <v>Electricity</v>
      </c>
      <c r="C12" t="str">
        <f>C8</f>
        <v>RLIGELC00</v>
      </c>
      <c r="F12" s="496">
        <v>1</v>
      </c>
      <c r="G12" s="496">
        <v>1</v>
      </c>
      <c r="H12" s="496">
        <v>1</v>
      </c>
      <c r="I12" s="496">
        <v>1</v>
      </c>
      <c r="J12" s="496">
        <v>1</v>
      </c>
      <c r="K12" s="496">
        <v>1</v>
      </c>
      <c r="L12" s="496">
        <v>1</v>
      </c>
      <c r="M12" s="496">
        <v>1</v>
      </c>
      <c r="N12" s="496">
        <v>1</v>
      </c>
      <c r="O12" s="496">
        <v>1</v>
      </c>
      <c r="P12" s="496">
        <v>1</v>
      </c>
      <c r="Q12" s="496">
        <v>1</v>
      </c>
      <c r="R12" s="496">
        <v>1</v>
      </c>
      <c r="S12" s="496">
        <v>1</v>
      </c>
      <c r="T12" s="496">
        <v>1</v>
      </c>
      <c r="U12" s="496">
        <v>1</v>
      </c>
      <c r="V12" s="496">
        <v>1</v>
      </c>
      <c r="W12" s="496">
        <v>1</v>
      </c>
      <c r="X12" s="496">
        <v>1</v>
      </c>
      <c r="Y12" s="496">
        <v>1</v>
      </c>
      <c r="Z12" s="496">
        <v>1</v>
      </c>
      <c r="AA12" s="496">
        <v>1</v>
      </c>
      <c r="AB12" s="496">
        <v>1</v>
      </c>
      <c r="AC12" s="496">
        <v>1</v>
      </c>
      <c r="AD12" s="496">
        <v>1</v>
      </c>
      <c r="AE12" s="496">
        <v>1</v>
      </c>
      <c r="AF12" s="496">
        <v>1</v>
      </c>
      <c r="AG12" s="496">
        <v>1</v>
      </c>
      <c r="AH12" s="496">
        <v>1</v>
      </c>
      <c r="AI12" s="496">
        <v>1</v>
      </c>
      <c r="AJ12" s="496">
        <v>1</v>
      </c>
      <c r="AK12" s="496">
        <v>1</v>
      </c>
      <c r="AL12" s="496">
        <v>1</v>
      </c>
      <c r="AM12" s="496">
        <v>1</v>
      </c>
      <c r="AN12" s="496">
        <v>1</v>
      </c>
      <c r="AO12" s="496">
        <v>1</v>
      </c>
      <c r="AP12" s="496">
        <v>1</v>
      </c>
    </row>
    <row r="14" spans="1:46">
      <c r="E14" s="533" t="s">
        <v>751</v>
      </c>
    </row>
    <row r="15" spans="1:46" ht="15" thickBot="1">
      <c r="C15" s="539" t="s">
        <v>545</v>
      </c>
      <c r="D15" s="539" t="s">
        <v>585</v>
      </c>
      <c r="E15" s="539" t="s">
        <v>552</v>
      </c>
      <c r="F15" s="540" t="s">
        <v>88</v>
      </c>
      <c r="G15" s="540" t="s">
        <v>89</v>
      </c>
      <c r="H15" s="540" t="s">
        <v>90</v>
      </c>
      <c r="I15" s="540" t="s">
        <v>91</v>
      </c>
      <c r="J15" s="540" t="s">
        <v>92</v>
      </c>
      <c r="K15" s="540" t="s">
        <v>93</v>
      </c>
      <c r="L15" s="540" t="s">
        <v>94</v>
      </c>
      <c r="M15" s="540" t="s">
        <v>95</v>
      </c>
      <c r="N15" s="540" t="s">
        <v>96</v>
      </c>
      <c r="O15" s="540" t="s">
        <v>97</v>
      </c>
      <c r="P15" s="540" t="s">
        <v>98</v>
      </c>
      <c r="Q15" s="540" t="s">
        <v>99</v>
      </c>
      <c r="R15" s="540" t="s">
        <v>205</v>
      </c>
      <c r="S15" s="540" t="s">
        <v>118</v>
      </c>
      <c r="T15" s="540" t="s">
        <v>100</v>
      </c>
      <c r="U15" s="540" t="s">
        <v>101</v>
      </c>
      <c r="V15" s="540" t="s">
        <v>102</v>
      </c>
      <c r="W15" s="540" t="s">
        <v>103</v>
      </c>
      <c r="X15" s="540" t="s">
        <v>104</v>
      </c>
      <c r="Y15" s="540" t="s">
        <v>105</v>
      </c>
      <c r="Z15" s="540" t="s">
        <v>106</v>
      </c>
      <c r="AA15" s="540" t="s">
        <v>107</v>
      </c>
      <c r="AB15" s="540" t="s">
        <v>108</v>
      </c>
      <c r="AC15" s="540" t="s">
        <v>109</v>
      </c>
      <c r="AD15" s="540" t="s">
        <v>110</v>
      </c>
      <c r="AE15" s="540" t="s">
        <v>111</v>
      </c>
      <c r="AF15" s="540" t="s">
        <v>112</v>
      </c>
      <c r="AG15" s="540" t="s">
        <v>113</v>
      </c>
      <c r="AH15" s="540" t="s">
        <v>114</v>
      </c>
      <c r="AI15" s="540" t="s">
        <v>115</v>
      </c>
      <c r="AJ15" s="540" t="s">
        <v>52</v>
      </c>
      <c r="AK15" s="540" t="s">
        <v>116</v>
      </c>
      <c r="AL15" s="540" t="s">
        <v>117</v>
      </c>
      <c r="AM15" s="540" t="s">
        <v>119</v>
      </c>
      <c r="AN15" s="540" t="s">
        <v>120</v>
      </c>
      <c r="AO15" s="540" t="s">
        <v>121</v>
      </c>
      <c r="AP15" s="540" t="s">
        <v>122</v>
      </c>
    </row>
    <row r="16" spans="1:46">
      <c r="A16" t="str">
        <f>A12</f>
        <v>Electricity</v>
      </c>
      <c r="C16" t="str">
        <f>C12</f>
        <v>RLIGELC00</v>
      </c>
      <c r="F16" s="509">
        <v>5</v>
      </c>
      <c r="G16" s="509">
        <v>5</v>
      </c>
      <c r="H16" s="509">
        <v>5</v>
      </c>
      <c r="I16" s="509">
        <v>5</v>
      </c>
      <c r="J16" s="509">
        <v>5</v>
      </c>
      <c r="K16" s="509">
        <v>5</v>
      </c>
      <c r="L16" s="509">
        <v>5</v>
      </c>
      <c r="M16" s="509">
        <v>5</v>
      </c>
      <c r="N16" s="509">
        <v>5</v>
      </c>
      <c r="O16" s="509">
        <v>5</v>
      </c>
      <c r="P16" s="509">
        <v>5</v>
      </c>
      <c r="Q16" s="509">
        <v>5</v>
      </c>
      <c r="R16" s="509">
        <v>5</v>
      </c>
      <c r="S16" s="509">
        <v>5</v>
      </c>
      <c r="T16" s="509">
        <v>5</v>
      </c>
      <c r="U16" s="509">
        <v>5</v>
      </c>
      <c r="V16" s="509">
        <v>5</v>
      </c>
      <c r="W16" s="509">
        <v>5</v>
      </c>
      <c r="X16" s="509">
        <v>5</v>
      </c>
      <c r="Y16" s="509">
        <v>5</v>
      </c>
      <c r="Z16" s="509">
        <v>5</v>
      </c>
      <c r="AA16" s="509">
        <v>5</v>
      </c>
      <c r="AB16" s="509">
        <v>5</v>
      </c>
      <c r="AC16" s="509">
        <v>5</v>
      </c>
      <c r="AD16" s="509">
        <v>5</v>
      </c>
      <c r="AE16" s="509">
        <v>5</v>
      </c>
      <c r="AF16" s="509">
        <v>5</v>
      </c>
      <c r="AG16" s="509">
        <v>5</v>
      </c>
      <c r="AH16" s="509">
        <v>5</v>
      </c>
      <c r="AI16" s="509">
        <v>5</v>
      </c>
      <c r="AJ16" s="509">
        <v>5</v>
      </c>
      <c r="AK16" s="509">
        <v>5</v>
      </c>
      <c r="AL16" s="509">
        <v>5</v>
      </c>
      <c r="AM16" s="509">
        <v>5</v>
      </c>
      <c r="AN16" s="509">
        <v>5</v>
      </c>
      <c r="AO16" s="509">
        <v>5</v>
      </c>
      <c r="AP16" s="509">
        <v>5</v>
      </c>
    </row>
    <row r="17" spans="1:44">
      <c r="A17" s="575"/>
      <c r="B17" s="575"/>
      <c r="C17" s="575"/>
      <c r="D17" s="575"/>
      <c r="E17" s="575"/>
      <c r="F17" s="575"/>
      <c r="G17" s="575"/>
      <c r="H17" s="575"/>
      <c r="I17" s="575"/>
      <c r="J17" s="575"/>
      <c r="K17" s="575"/>
      <c r="L17" s="575"/>
      <c r="M17" s="575"/>
      <c r="N17" s="575"/>
      <c r="O17" s="575"/>
      <c r="P17" s="575"/>
      <c r="Q17" s="575"/>
      <c r="R17" s="575"/>
      <c r="S17" s="575"/>
      <c r="T17" s="575"/>
      <c r="U17" s="575"/>
      <c r="V17" s="575"/>
      <c r="W17" s="575"/>
      <c r="X17" s="575"/>
      <c r="Y17" s="575"/>
      <c r="Z17" s="575"/>
      <c r="AA17" s="575"/>
      <c r="AB17" s="575"/>
      <c r="AC17" s="575"/>
      <c r="AD17" s="575"/>
      <c r="AE17" s="575"/>
      <c r="AF17" s="575"/>
      <c r="AG17" s="575"/>
      <c r="AH17" s="575"/>
      <c r="AI17" s="575"/>
      <c r="AJ17" s="575"/>
      <c r="AK17" s="575"/>
      <c r="AL17" s="575"/>
      <c r="AM17" s="575"/>
      <c r="AN17" s="575"/>
      <c r="AO17" s="575"/>
      <c r="AP17" s="575"/>
      <c r="AQ17" s="575"/>
      <c r="AR17" s="575"/>
    </row>
    <row r="19" spans="1:44">
      <c r="E19" s="533" t="s">
        <v>598</v>
      </c>
    </row>
    <row r="20" spans="1:44" ht="15" thickBot="1">
      <c r="A20" t="str">
        <f>'IDEES(ELC)'!B41</f>
        <v>Refrigerators and freezers</v>
      </c>
      <c r="C20" s="539" t="s">
        <v>545</v>
      </c>
      <c r="D20" s="539" t="s">
        <v>585</v>
      </c>
      <c r="E20" s="539" t="s">
        <v>592</v>
      </c>
      <c r="F20" s="540" t="s">
        <v>88</v>
      </c>
      <c r="G20" s="540" t="s">
        <v>89</v>
      </c>
      <c r="H20" s="540" t="s">
        <v>90</v>
      </c>
      <c r="I20" s="540" t="s">
        <v>91</v>
      </c>
      <c r="J20" s="540" t="s">
        <v>92</v>
      </c>
      <c r="K20" s="540" t="s">
        <v>93</v>
      </c>
      <c r="L20" s="540" t="s">
        <v>94</v>
      </c>
      <c r="M20" s="540" t="s">
        <v>95</v>
      </c>
      <c r="N20" s="540" t="s">
        <v>96</v>
      </c>
      <c r="O20" s="540" t="s">
        <v>97</v>
      </c>
      <c r="P20" s="540" t="s">
        <v>98</v>
      </c>
      <c r="Q20" s="540" t="s">
        <v>99</v>
      </c>
      <c r="R20" s="540" t="s">
        <v>205</v>
      </c>
      <c r="S20" s="540" t="s">
        <v>118</v>
      </c>
      <c r="T20" s="540" t="s">
        <v>100</v>
      </c>
      <c r="U20" s="540" t="s">
        <v>101</v>
      </c>
      <c r="V20" s="540" t="s">
        <v>102</v>
      </c>
      <c r="W20" s="540" t="s">
        <v>103</v>
      </c>
      <c r="X20" s="540" t="s">
        <v>104</v>
      </c>
      <c r="Y20" s="540" t="s">
        <v>105</v>
      </c>
      <c r="Z20" s="540" t="s">
        <v>106</v>
      </c>
      <c r="AA20" s="540" t="s">
        <v>107</v>
      </c>
      <c r="AB20" s="540" t="s">
        <v>108</v>
      </c>
      <c r="AC20" s="540" t="s">
        <v>109</v>
      </c>
      <c r="AD20" s="540" t="s">
        <v>110</v>
      </c>
      <c r="AE20" s="540" t="s">
        <v>111</v>
      </c>
      <c r="AF20" s="540" t="s">
        <v>112</v>
      </c>
      <c r="AG20" s="540" t="s">
        <v>113</v>
      </c>
      <c r="AH20" s="540" t="s">
        <v>114</v>
      </c>
      <c r="AI20" s="540" t="s">
        <v>115</v>
      </c>
      <c r="AJ20" s="540" t="s">
        <v>52</v>
      </c>
      <c r="AK20" s="540" t="s">
        <v>116</v>
      </c>
      <c r="AL20" s="540" t="s">
        <v>117</v>
      </c>
      <c r="AM20" s="540" t="s">
        <v>119</v>
      </c>
      <c r="AN20" s="540" t="s">
        <v>120</v>
      </c>
      <c r="AO20" s="540" t="s">
        <v>121</v>
      </c>
      <c r="AP20" s="540" t="s">
        <v>122</v>
      </c>
    </row>
    <row r="21" spans="1:44">
      <c r="A21" t="str">
        <f>A4</f>
        <v>Electricity</v>
      </c>
      <c r="C21" t="str">
        <f>CONCATENATE(E21,"ELC00")</f>
        <v>RREFELC00</v>
      </c>
      <c r="D21" t="str">
        <f>D4</f>
        <v>RSDELC-other</v>
      </c>
      <c r="E21" t="s">
        <v>697</v>
      </c>
      <c r="F21" s="496">
        <f>'IDEES(ELC)'!D41</f>
        <v>6.0727723622738354</v>
      </c>
      <c r="G21" s="496">
        <f>'IDEES(ELC)'!E41</f>
        <v>6.6047816508583237</v>
      </c>
      <c r="H21" s="496">
        <f>'IDEES(ELC)'!F41</f>
        <v>2.4293827144358389</v>
      </c>
      <c r="I21" s="496">
        <f>'IDEES(ELC)'!G41</f>
        <v>6.2353263594903563</v>
      </c>
      <c r="J21" s="496">
        <f>'IDEES(ELC)'!H41</f>
        <v>0.35670079276572086</v>
      </c>
      <c r="K21" s="496">
        <f>'IDEES(ELC)'!I41</f>
        <v>3.7818813733412027</v>
      </c>
      <c r="L21" s="496">
        <f>'IDEES(ELC)'!J41</f>
        <v>50.565592772855844</v>
      </c>
      <c r="M21" s="496">
        <f>'IDEES(ELC)'!K41</f>
        <v>4.008457291113654</v>
      </c>
      <c r="N21" s="496">
        <f>'IDEES(ELC)'!L41</f>
        <v>0.56783775865856945</v>
      </c>
      <c r="O21" s="496">
        <f>'IDEES(ELC)'!M41</f>
        <v>21.183040841123319</v>
      </c>
      <c r="P21" s="496">
        <f>'IDEES(ELC)'!N41</f>
        <v>4.3461107324954114</v>
      </c>
      <c r="Q21" s="496">
        <f>'IDEES(ELC)'!O41</f>
        <v>52.635037597394827</v>
      </c>
      <c r="R21" s="496">
        <f>'IDEES(ELC)'!P41</f>
        <v>3.7295720456626751</v>
      </c>
      <c r="S21" s="496">
        <f>'IDEES(ELC)'!Q41</f>
        <v>1.683813605707049</v>
      </c>
      <c r="T21" s="496">
        <f>'IDEES(ELC)'!R41</f>
        <v>3.2302693082416112</v>
      </c>
      <c r="U21" s="496">
        <f>'IDEES(ELC)'!S41</f>
        <v>1.9244039820399439</v>
      </c>
      <c r="V21" s="496">
        <f>'IDEES(ELC)'!T41</f>
        <v>0.22283288207740554</v>
      </c>
      <c r="W21" s="496">
        <f>'IDEES(ELC)'!U41</f>
        <v>27.440102372664388</v>
      </c>
      <c r="X21" s="496">
        <f>'IDEES(ELC)'!V41</f>
        <v>0.9986434982036102</v>
      </c>
      <c r="Y21" s="496">
        <f>'IDEES(ELC)'!W41</f>
        <v>0.28655359839845035</v>
      </c>
      <c r="Z21" s="496">
        <f>'IDEES(ELC)'!X41</f>
        <v>0.72074401326741278</v>
      </c>
      <c r="AA21" s="496">
        <f>'IDEES(ELC)'!Y41</f>
        <v>0.2006707879474843</v>
      </c>
      <c r="AB21" s="496">
        <f>'IDEES(ELC)'!Z41</f>
        <v>9.4690153970685724</v>
      </c>
      <c r="AC21" s="496">
        <f>'IDEES(ELC)'!AA41</f>
        <v>9.5366342959407326</v>
      </c>
      <c r="AD21" s="496">
        <f>'IDEES(ELC)'!AB41</f>
        <v>11.633031612357847</v>
      </c>
      <c r="AE21" s="496">
        <f>'IDEES(ELC)'!AC41</f>
        <v>4.6268498820677921</v>
      </c>
      <c r="AF21" s="496">
        <f>'IDEES(ELC)'!AD41</f>
        <v>6.0311446344382356</v>
      </c>
      <c r="AG21" s="496">
        <f>'IDEES(ELC)'!AE41</f>
        <v>6.7464632763145103</v>
      </c>
      <c r="AH21" s="496">
        <f>'IDEES(ELC)'!AF41</f>
        <v>0.8961209952392809</v>
      </c>
      <c r="AI21" s="496">
        <f>'IDEES(ELC)'!AG41</f>
        <v>1.3910979094294933</v>
      </c>
      <c r="AJ21" s="496">
        <f>'IDEES(ELC)'!AH41</f>
        <v>34.487927472942388</v>
      </c>
      <c r="AK21" s="496">
        <f>'IDEES(ELC)'!AI41</f>
        <v>0.53689902643431031</v>
      </c>
      <c r="AL21" s="496">
        <f>'IDEES(ELC)'!AJ41</f>
        <v>1.3373805538906565</v>
      </c>
      <c r="AM21" s="496">
        <f>'IDEES(ELC)'!AK41</f>
        <v>0.2654972392288551</v>
      </c>
      <c r="AN21" s="496">
        <f>'IDEES(ELC)'!AL41</f>
        <v>0.95116528108752851</v>
      </c>
      <c r="AO21" s="496">
        <f>'IDEES(ELC)'!AM41</f>
        <v>4.3085605249159444</v>
      </c>
      <c r="AP21" s="496">
        <f>'IDEES(ELC)'!AN41</f>
        <v>0.65971513071322607</v>
      </c>
      <c r="AQ21" s="509"/>
      <c r="AR21" s="509"/>
    </row>
    <row r="22" spans="1:44">
      <c r="F22" s="509"/>
      <c r="G22" s="509"/>
      <c r="H22" s="509"/>
      <c r="I22" s="509"/>
      <c r="J22" s="509"/>
      <c r="K22" s="509"/>
      <c r="L22" s="509"/>
      <c r="M22" s="509"/>
      <c r="N22" s="509"/>
      <c r="O22" s="509"/>
      <c r="P22" s="509"/>
      <c r="Q22" s="509"/>
      <c r="R22" s="509"/>
      <c r="S22" s="509"/>
      <c r="T22" s="509"/>
      <c r="U22" s="509"/>
      <c r="V22" s="509"/>
      <c r="W22" s="509"/>
      <c r="X22" s="509"/>
      <c r="Y22" s="509"/>
      <c r="Z22" s="509"/>
      <c r="AA22" s="509"/>
      <c r="AB22" s="509"/>
      <c r="AC22" s="509"/>
      <c r="AD22" s="509"/>
      <c r="AE22" s="509"/>
      <c r="AF22" s="509"/>
      <c r="AG22" s="509"/>
      <c r="AH22" s="509"/>
      <c r="AI22" s="509"/>
      <c r="AJ22" s="509"/>
      <c r="AK22" s="509"/>
      <c r="AL22" s="509"/>
      <c r="AM22" s="509"/>
      <c r="AN22" s="509"/>
      <c r="AO22" s="509"/>
      <c r="AP22" s="509"/>
      <c r="AQ22" s="509"/>
      <c r="AR22" s="509"/>
    </row>
    <row r="23" spans="1:44">
      <c r="E23" s="534" t="s">
        <v>584</v>
      </c>
      <c r="AQ23" s="509"/>
      <c r="AR23" s="509"/>
    </row>
    <row r="24" spans="1:44" ht="15" thickBot="1">
      <c r="C24" s="539" t="s">
        <v>545</v>
      </c>
      <c r="D24" s="539" t="s">
        <v>585</v>
      </c>
      <c r="E24" s="539" t="s">
        <v>552</v>
      </c>
      <c r="F24" s="540" t="s">
        <v>88</v>
      </c>
      <c r="G24" s="540" t="s">
        <v>89</v>
      </c>
      <c r="H24" s="540" t="s">
        <v>90</v>
      </c>
      <c r="I24" s="540" t="s">
        <v>91</v>
      </c>
      <c r="J24" s="540" t="s">
        <v>92</v>
      </c>
      <c r="K24" s="540" t="s">
        <v>93</v>
      </c>
      <c r="L24" s="540" t="s">
        <v>94</v>
      </c>
      <c r="M24" s="540" t="s">
        <v>95</v>
      </c>
      <c r="N24" s="540" t="s">
        <v>96</v>
      </c>
      <c r="O24" s="540" t="s">
        <v>97</v>
      </c>
      <c r="P24" s="540" t="s">
        <v>98</v>
      </c>
      <c r="Q24" s="540" t="s">
        <v>99</v>
      </c>
      <c r="R24" s="540" t="s">
        <v>205</v>
      </c>
      <c r="S24" s="540" t="s">
        <v>118</v>
      </c>
      <c r="T24" s="540" t="s">
        <v>100</v>
      </c>
      <c r="U24" s="540" t="s">
        <v>101</v>
      </c>
      <c r="V24" s="540" t="s">
        <v>102</v>
      </c>
      <c r="W24" s="540" t="s">
        <v>103</v>
      </c>
      <c r="X24" s="540" t="s">
        <v>104</v>
      </c>
      <c r="Y24" s="540" t="s">
        <v>105</v>
      </c>
      <c r="Z24" s="540" t="s">
        <v>106</v>
      </c>
      <c r="AA24" s="540" t="s">
        <v>107</v>
      </c>
      <c r="AB24" s="540" t="s">
        <v>108</v>
      </c>
      <c r="AC24" s="540" t="s">
        <v>109</v>
      </c>
      <c r="AD24" s="540" t="s">
        <v>110</v>
      </c>
      <c r="AE24" s="540" t="s">
        <v>111</v>
      </c>
      <c r="AF24" s="540" t="s">
        <v>112</v>
      </c>
      <c r="AG24" s="540" t="s">
        <v>113</v>
      </c>
      <c r="AH24" s="540" t="s">
        <v>114</v>
      </c>
      <c r="AI24" s="540" t="s">
        <v>115</v>
      </c>
      <c r="AJ24" s="540" t="s">
        <v>52</v>
      </c>
      <c r="AK24" s="540" t="s">
        <v>116</v>
      </c>
      <c r="AL24" s="540" t="s">
        <v>117</v>
      </c>
      <c r="AM24" s="540" t="s">
        <v>119</v>
      </c>
      <c r="AN24" s="540" t="s">
        <v>120</v>
      </c>
      <c r="AO24" s="540" t="s">
        <v>121</v>
      </c>
      <c r="AP24" s="540" t="s">
        <v>122</v>
      </c>
    </row>
    <row r="25" spans="1:44">
      <c r="A25" t="str">
        <f>A21</f>
        <v>Electricity</v>
      </c>
      <c r="C25" t="str">
        <f>C21</f>
        <v>RREFELC00</v>
      </c>
      <c r="D25" t="str">
        <f>D21</f>
        <v>RSDELC-other</v>
      </c>
      <c r="F25" s="496">
        <f>'IDEES(ELC)'!D29/'IDEES(ELC)'!D41</f>
        <v>1.469964537359596</v>
      </c>
      <c r="G25" s="496">
        <f>'IDEES(ELC)'!E29/'IDEES(ELC)'!E41</f>
        <v>1.5324574932291146</v>
      </c>
      <c r="H25" s="496">
        <f>'IDEES(ELC)'!F29/'IDEES(ELC)'!F41</f>
        <v>1.6336805100392175</v>
      </c>
      <c r="I25" s="667">
        <f>F25</f>
        <v>1.469964537359596</v>
      </c>
      <c r="J25" s="496">
        <f>'IDEES(ELC)'!H29/'IDEES(ELC)'!H41</f>
        <v>1.7057504091380638</v>
      </c>
      <c r="K25" s="496">
        <f>'IDEES(ELC)'!I29/'IDEES(ELC)'!I41</f>
        <v>1.5920745485151366</v>
      </c>
      <c r="L25" s="496">
        <f>'IDEES(ELC)'!J29/'IDEES(ELC)'!J41</f>
        <v>1.3512031690584132</v>
      </c>
      <c r="M25" s="496">
        <f>'IDEES(ELC)'!K29/'IDEES(ELC)'!K41</f>
        <v>1.3525852970966015</v>
      </c>
      <c r="N25" s="496">
        <f>'IDEES(ELC)'!L29/'IDEES(ELC)'!L41</f>
        <v>1.7125291750538727</v>
      </c>
      <c r="O25" s="496">
        <f>'IDEES(ELC)'!M29/'IDEES(ELC)'!M41</f>
        <v>1.4394021855826764</v>
      </c>
      <c r="P25" s="496">
        <f>'IDEES(ELC)'!N29/'IDEES(ELC)'!N41</f>
        <v>1.4467597571748338</v>
      </c>
      <c r="Q25" s="496">
        <f>'IDEES(ELC)'!O29/'IDEES(ELC)'!O41</f>
        <v>1.5734672807396104</v>
      </c>
      <c r="R25" s="496">
        <f>'IDEES(ELC)'!P29/'IDEES(ELC)'!P41</f>
        <v>1.3855407807470943</v>
      </c>
      <c r="S25" s="496">
        <f>'IDEES(ELC)'!Q29/'IDEES(ELC)'!Q41</f>
        <v>1.5340253558025916</v>
      </c>
      <c r="T25" s="496">
        <f>'IDEES(ELC)'!R29/'IDEES(ELC)'!R41</f>
        <v>1.5537824747906714</v>
      </c>
      <c r="U25" s="496">
        <f>'IDEES(ELC)'!S29/'IDEES(ELC)'!S41</f>
        <v>1.4724804149470851</v>
      </c>
      <c r="V25" s="667">
        <f>AC25</f>
        <v>1.4080856298960671</v>
      </c>
      <c r="W25" s="496">
        <f>'IDEES(ELC)'!U29/'IDEES(ELC)'!U41</f>
        <v>1.4428369994508781</v>
      </c>
      <c r="X25" s="496">
        <f>'IDEES(ELC)'!V29/'IDEES(ELC)'!V41</f>
        <v>1.6334684452803689</v>
      </c>
      <c r="Y25" s="496">
        <f>'IDEES(ELC)'!W29/'IDEES(ELC)'!W41</f>
        <v>1.4281929829788285</v>
      </c>
      <c r="Z25" s="496">
        <f>'IDEES(ELC)'!X29/'IDEES(ELC)'!X41</f>
        <v>1.594970569354538</v>
      </c>
      <c r="AA25" s="496">
        <f>'IDEES(ELC)'!Y29/'IDEES(ELC)'!Y41</f>
        <v>1.7219433136946125</v>
      </c>
      <c r="AB25" s="496">
        <f>'IDEES(ELC)'!Z29/'IDEES(ELC)'!Z41</f>
        <v>1.3108611161243537</v>
      </c>
      <c r="AC25" s="667">
        <f>AG25</f>
        <v>1.4080856298960671</v>
      </c>
      <c r="AD25" s="496">
        <f>'IDEES(ELC)'!AB29/'IDEES(ELC)'!AB41</f>
        <v>1.4663513636358603</v>
      </c>
      <c r="AE25" s="496">
        <f>'IDEES(ELC)'!AC29/'IDEES(ELC)'!AC41</f>
        <v>1.5560253432692879</v>
      </c>
      <c r="AF25" s="496">
        <f>'IDEES(ELC)'!AD29/'IDEES(ELC)'!AD41</f>
        <v>1.406358974640979</v>
      </c>
      <c r="AG25" s="496">
        <f>'IDEES(ELC)'!AE29/'IDEES(ELC)'!AE41</f>
        <v>1.4080856298960671</v>
      </c>
      <c r="AH25" s="496">
        <f>'IDEES(ELC)'!AF29/'IDEES(ELC)'!AF41</f>
        <v>1.734876575216137</v>
      </c>
      <c r="AI25" s="496">
        <f>'IDEES(ELC)'!AG29/'IDEES(ELC)'!AG41</f>
        <v>1.6743011575333329</v>
      </c>
      <c r="AJ25" s="496">
        <f>'IDEES(ELC)'!AH29/'IDEES(ELC)'!AH41</f>
        <v>1.3160865881433481</v>
      </c>
      <c r="AK25" s="667">
        <f>R25</f>
        <v>1.3855407807470943</v>
      </c>
      <c r="AL25" s="667">
        <f>AK25</f>
        <v>1.3855407807470943</v>
      </c>
      <c r="AM25" s="667">
        <f>AL25</f>
        <v>1.3855407807470943</v>
      </c>
      <c r="AN25" s="667">
        <f>AM25</f>
        <v>1.3855407807470943</v>
      </c>
      <c r="AO25" s="667">
        <f>AN25</f>
        <v>1.3855407807470943</v>
      </c>
      <c r="AP25" s="667">
        <f>AO25</f>
        <v>1.3855407807470943</v>
      </c>
      <c r="AQ25" s="509"/>
      <c r="AR25" s="509"/>
    </row>
    <row r="27" spans="1:44">
      <c r="E27" s="533" t="s">
        <v>607</v>
      </c>
    </row>
    <row r="28" spans="1:44" ht="15" thickBot="1">
      <c r="C28" s="539" t="s">
        <v>545</v>
      </c>
      <c r="D28" s="539" t="s">
        <v>585</v>
      </c>
      <c r="E28" s="539" t="s">
        <v>552</v>
      </c>
      <c r="F28" s="540" t="s">
        <v>88</v>
      </c>
      <c r="G28" s="540" t="s">
        <v>89</v>
      </c>
      <c r="H28" s="540" t="s">
        <v>90</v>
      </c>
      <c r="I28" s="540" t="s">
        <v>91</v>
      </c>
      <c r="J28" s="540" t="s">
        <v>92</v>
      </c>
      <c r="K28" s="540" t="s">
        <v>93</v>
      </c>
      <c r="L28" s="540" t="s">
        <v>94</v>
      </c>
      <c r="M28" s="540" t="s">
        <v>95</v>
      </c>
      <c r="N28" s="540" t="s">
        <v>96</v>
      </c>
      <c r="O28" s="540" t="s">
        <v>97</v>
      </c>
      <c r="P28" s="540" t="s">
        <v>98</v>
      </c>
      <c r="Q28" s="540" t="s">
        <v>99</v>
      </c>
      <c r="R28" s="540" t="s">
        <v>205</v>
      </c>
      <c r="S28" s="540" t="s">
        <v>118</v>
      </c>
      <c r="T28" s="540" t="s">
        <v>100</v>
      </c>
      <c r="U28" s="540" t="s">
        <v>101</v>
      </c>
      <c r="V28" s="540" t="s">
        <v>102</v>
      </c>
      <c r="W28" s="540" t="s">
        <v>103</v>
      </c>
      <c r="X28" s="540" t="s">
        <v>104</v>
      </c>
      <c r="Y28" s="540" t="s">
        <v>105</v>
      </c>
      <c r="Z28" s="540" t="s">
        <v>106</v>
      </c>
      <c r="AA28" s="540" t="s">
        <v>107</v>
      </c>
      <c r="AB28" s="540" t="s">
        <v>108</v>
      </c>
      <c r="AC28" s="540" t="s">
        <v>109</v>
      </c>
      <c r="AD28" s="540" t="s">
        <v>110</v>
      </c>
      <c r="AE28" s="540" t="s">
        <v>111</v>
      </c>
      <c r="AF28" s="540" t="s">
        <v>112</v>
      </c>
      <c r="AG28" s="540" t="s">
        <v>113</v>
      </c>
      <c r="AH28" s="540" t="s">
        <v>114</v>
      </c>
      <c r="AI28" s="540" t="s">
        <v>115</v>
      </c>
      <c r="AJ28" s="540" t="s">
        <v>52</v>
      </c>
      <c r="AK28" s="540" t="s">
        <v>116</v>
      </c>
      <c r="AL28" s="540" t="s">
        <v>117</v>
      </c>
      <c r="AM28" s="540" t="s">
        <v>119</v>
      </c>
      <c r="AN28" s="540" t="s">
        <v>120</v>
      </c>
      <c r="AO28" s="540" t="s">
        <v>121</v>
      </c>
      <c r="AP28" s="540" t="s">
        <v>122</v>
      </c>
    </row>
    <row r="29" spans="1:44">
      <c r="A29" t="str">
        <f>A25</f>
        <v>Electricity</v>
      </c>
      <c r="C29" t="str">
        <f>C25</f>
        <v>RREFELC00</v>
      </c>
      <c r="F29" s="496">
        <v>1</v>
      </c>
      <c r="G29" s="496">
        <v>1</v>
      </c>
      <c r="H29" s="496">
        <v>1</v>
      </c>
      <c r="I29" s="496">
        <v>1</v>
      </c>
      <c r="J29" s="496">
        <v>1</v>
      </c>
      <c r="K29" s="496">
        <v>1</v>
      </c>
      <c r="L29" s="496">
        <v>1</v>
      </c>
      <c r="M29" s="496">
        <v>1</v>
      </c>
      <c r="N29" s="496">
        <v>1</v>
      </c>
      <c r="O29" s="496">
        <v>1</v>
      </c>
      <c r="P29" s="496">
        <v>1</v>
      </c>
      <c r="Q29" s="496">
        <v>1</v>
      </c>
      <c r="R29" s="496">
        <v>1</v>
      </c>
      <c r="S29" s="496">
        <v>1</v>
      </c>
      <c r="T29" s="496">
        <v>1</v>
      </c>
      <c r="U29" s="496">
        <v>1</v>
      </c>
      <c r="V29" s="496">
        <v>1</v>
      </c>
      <c r="W29" s="496">
        <v>1</v>
      </c>
      <c r="X29" s="496">
        <v>1</v>
      </c>
      <c r="Y29" s="496">
        <v>1</v>
      </c>
      <c r="Z29" s="496">
        <v>1</v>
      </c>
      <c r="AA29" s="496">
        <v>1</v>
      </c>
      <c r="AB29" s="496">
        <v>1</v>
      </c>
      <c r="AC29" s="496">
        <v>1</v>
      </c>
      <c r="AD29" s="496">
        <v>1</v>
      </c>
      <c r="AE29" s="496">
        <v>1</v>
      </c>
      <c r="AF29" s="496">
        <v>1</v>
      </c>
      <c r="AG29" s="496">
        <v>1</v>
      </c>
      <c r="AH29" s="496">
        <v>1</v>
      </c>
      <c r="AI29" s="496">
        <v>1</v>
      </c>
      <c r="AJ29" s="496">
        <v>1</v>
      </c>
      <c r="AK29" s="496">
        <v>1</v>
      </c>
      <c r="AL29" s="496">
        <v>1</v>
      </c>
      <c r="AM29" s="496">
        <v>1</v>
      </c>
      <c r="AN29" s="496">
        <v>1</v>
      </c>
      <c r="AO29" s="496">
        <v>1</v>
      </c>
      <c r="AP29" s="496">
        <v>1</v>
      </c>
    </row>
    <row r="31" spans="1:44">
      <c r="E31" s="533" t="s">
        <v>751</v>
      </c>
    </row>
    <row r="32" spans="1:44" ht="15" thickBot="1">
      <c r="C32" s="539" t="s">
        <v>545</v>
      </c>
      <c r="D32" s="539" t="s">
        <v>585</v>
      </c>
      <c r="E32" s="539" t="s">
        <v>552</v>
      </c>
      <c r="F32" s="540" t="s">
        <v>88</v>
      </c>
      <c r="G32" s="540" t="s">
        <v>89</v>
      </c>
      <c r="H32" s="540" t="s">
        <v>90</v>
      </c>
      <c r="I32" s="540" t="s">
        <v>91</v>
      </c>
      <c r="J32" s="540" t="s">
        <v>92</v>
      </c>
      <c r="K32" s="540" t="s">
        <v>93</v>
      </c>
      <c r="L32" s="540" t="s">
        <v>94</v>
      </c>
      <c r="M32" s="540" t="s">
        <v>95</v>
      </c>
      <c r="N32" s="540" t="s">
        <v>96</v>
      </c>
      <c r="O32" s="540" t="s">
        <v>97</v>
      </c>
      <c r="P32" s="540" t="s">
        <v>98</v>
      </c>
      <c r="Q32" s="540" t="s">
        <v>99</v>
      </c>
      <c r="R32" s="540" t="s">
        <v>205</v>
      </c>
      <c r="S32" s="540" t="s">
        <v>118</v>
      </c>
      <c r="T32" s="540" t="s">
        <v>100</v>
      </c>
      <c r="U32" s="540" t="s">
        <v>101</v>
      </c>
      <c r="V32" s="540" t="s">
        <v>102</v>
      </c>
      <c r="W32" s="540" t="s">
        <v>103</v>
      </c>
      <c r="X32" s="540" t="s">
        <v>104</v>
      </c>
      <c r="Y32" s="540" t="s">
        <v>105</v>
      </c>
      <c r="Z32" s="540" t="s">
        <v>106</v>
      </c>
      <c r="AA32" s="540" t="s">
        <v>107</v>
      </c>
      <c r="AB32" s="540" t="s">
        <v>108</v>
      </c>
      <c r="AC32" s="540" t="s">
        <v>109</v>
      </c>
      <c r="AD32" s="540" t="s">
        <v>110</v>
      </c>
      <c r="AE32" s="540" t="s">
        <v>111</v>
      </c>
      <c r="AF32" s="540" t="s">
        <v>112</v>
      </c>
      <c r="AG32" s="540" t="s">
        <v>113</v>
      </c>
      <c r="AH32" s="540" t="s">
        <v>114</v>
      </c>
      <c r="AI32" s="540" t="s">
        <v>115</v>
      </c>
      <c r="AJ32" s="540" t="s">
        <v>52</v>
      </c>
      <c r="AK32" s="540" t="s">
        <v>116</v>
      </c>
      <c r="AL32" s="540" t="s">
        <v>117</v>
      </c>
      <c r="AM32" s="540" t="s">
        <v>119</v>
      </c>
      <c r="AN32" s="540" t="s">
        <v>120</v>
      </c>
      <c r="AO32" s="540" t="s">
        <v>121</v>
      </c>
      <c r="AP32" s="540" t="s">
        <v>122</v>
      </c>
    </row>
    <row r="33" spans="1:44">
      <c r="A33" t="str">
        <f>A29</f>
        <v>Electricity</v>
      </c>
      <c r="C33" t="str">
        <f>C29</f>
        <v>RREFELC00</v>
      </c>
      <c r="F33" s="509">
        <v>10</v>
      </c>
      <c r="G33" s="509">
        <v>10</v>
      </c>
      <c r="H33" s="509">
        <v>10</v>
      </c>
      <c r="I33" s="509">
        <v>10</v>
      </c>
      <c r="J33" s="509">
        <v>10</v>
      </c>
      <c r="K33" s="509">
        <v>10</v>
      </c>
      <c r="L33" s="509">
        <v>10</v>
      </c>
      <c r="M33" s="509">
        <v>10</v>
      </c>
      <c r="N33" s="509">
        <v>10</v>
      </c>
      <c r="O33" s="509">
        <v>10</v>
      </c>
      <c r="P33" s="509">
        <v>10</v>
      </c>
      <c r="Q33" s="509">
        <v>10</v>
      </c>
      <c r="R33" s="509">
        <v>10</v>
      </c>
      <c r="S33" s="509">
        <v>10</v>
      </c>
      <c r="T33" s="509">
        <v>10</v>
      </c>
      <c r="U33" s="509">
        <v>10</v>
      </c>
      <c r="V33" s="509">
        <v>10</v>
      </c>
      <c r="W33" s="509">
        <v>10</v>
      </c>
      <c r="X33" s="509">
        <v>10</v>
      </c>
      <c r="Y33" s="509">
        <v>10</v>
      </c>
      <c r="Z33" s="509">
        <v>10</v>
      </c>
      <c r="AA33" s="509">
        <v>10</v>
      </c>
      <c r="AB33" s="509">
        <v>10</v>
      </c>
      <c r="AC33" s="509">
        <v>10</v>
      </c>
      <c r="AD33" s="509">
        <v>10</v>
      </c>
      <c r="AE33" s="509">
        <v>10</v>
      </c>
      <c r="AF33" s="509">
        <v>10</v>
      </c>
      <c r="AG33" s="509">
        <v>10</v>
      </c>
      <c r="AH33" s="509">
        <v>10</v>
      </c>
      <c r="AI33" s="509">
        <v>10</v>
      </c>
      <c r="AJ33" s="509">
        <v>10</v>
      </c>
      <c r="AK33" s="509">
        <v>10</v>
      </c>
      <c r="AL33" s="509">
        <v>10</v>
      </c>
      <c r="AM33" s="509">
        <v>10</v>
      </c>
      <c r="AN33" s="509">
        <v>10</v>
      </c>
      <c r="AO33" s="509">
        <v>10</v>
      </c>
      <c r="AP33" s="509">
        <v>10</v>
      </c>
    </row>
    <row r="34" spans="1:44">
      <c r="A34" s="575"/>
      <c r="B34" s="575"/>
      <c r="C34" s="575"/>
      <c r="D34" s="575"/>
      <c r="E34" s="575"/>
      <c r="F34" s="575"/>
      <c r="G34" s="575"/>
      <c r="H34" s="575"/>
      <c r="I34" s="575"/>
      <c r="J34" s="575"/>
      <c r="K34" s="575"/>
      <c r="L34" s="575"/>
      <c r="M34" s="575"/>
      <c r="N34" s="575"/>
      <c r="O34" s="575"/>
      <c r="P34" s="575"/>
      <c r="Q34" s="575"/>
      <c r="R34" s="575"/>
      <c r="S34" s="575"/>
      <c r="T34" s="575"/>
      <c r="U34" s="575"/>
      <c r="V34" s="575"/>
      <c r="W34" s="575"/>
      <c r="X34" s="575"/>
      <c r="Y34" s="575"/>
      <c r="Z34" s="575"/>
      <c r="AA34" s="575"/>
      <c r="AB34" s="575"/>
      <c r="AC34" s="575"/>
      <c r="AD34" s="575"/>
      <c r="AE34" s="575"/>
      <c r="AF34" s="575"/>
      <c r="AG34" s="575"/>
      <c r="AH34" s="575"/>
      <c r="AI34" s="575"/>
      <c r="AJ34" s="575"/>
      <c r="AK34" s="575"/>
      <c r="AL34" s="575"/>
      <c r="AM34" s="575"/>
      <c r="AN34" s="575"/>
      <c r="AO34" s="575"/>
      <c r="AP34" s="575"/>
      <c r="AQ34" s="575"/>
      <c r="AR34" s="575"/>
    </row>
    <row r="36" spans="1:44">
      <c r="E36" s="533" t="s">
        <v>598</v>
      </c>
    </row>
    <row r="37" spans="1:44" ht="15" thickBot="1">
      <c r="A37" t="str">
        <f>'IDEES(ELC)'!B42</f>
        <v>Washing machine</v>
      </c>
      <c r="C37" s="539" t="s">
        <v>545</v>
      </c>
      <c r="D37" s="539" t="s">
        <v>585</v>
      </c>
      <c r="E37" s="539" t="s">
        <v>592</v>
      </c>
      <c r="F37" s="540" t="s">
        <v>88</v>
      </c>
      <c r="G37" s="540" t="s">
        <v>89</v>
      </c>
      <c r="H37" s="540" t="s">
        <v>90</v>
      </c>
      <c r="I37" s="540" t="s">
        <v>91</v>
      </c>
      <c r="J37" s="540" t="s">
        <v>92</v>
      </c>
      <c r="K37" s="540" t="s">
        <v>93</v>
      </c>
      <c r="L37" s="540" t="s">
        <v>94</v>
      </c>
      <c r="M37" s="540" t="s">
        <v>95</v>
      </c>
      <c r="N37" s="540" t="s">
        <v>96</v>
      </c>
      <c r="O37" s="540" t="s">
        <v>97</v>
      </c>
      <c r="P37" s="540" t="s">
        <v>98</v>
      </c>
      <c r="Q37" s="540" t="s">
        <v>99</v>
      </c>
      <c r="R37" s="540" t="s">
        <v>205</v>
      </c>
      <c r="S37" s="540" t="s">
        <v>118</v>
      </c>
      <c r="T37" s="540" t="s">
        <v>100</v>
      </c>
      <c r="U37" s="540" t="s">
        <v>101</v>
      </c>
      <c r="V37" s="540" t="s">
        <v>102</v>
      </c>
      <c r="W37" s="540" t="s">
        <v>103</v>
      </c>
      <c r="X37" s="540" t="s">
        <v>104</v>
      </c>
      <c r="Y37" s="540" t="s">
        <v>105</v>
      </c>
      <c r="Z37" s="540" t="s">
        <v>106</v>
      </c>
      <c r="AA37" s="540" t="s">
        <v>107</v>
      </c>
      <c r="AB37" s="540" t="s">
        <v>108</v>
      </c>
      <c r="AC37" s="540" t="s">
        <v>109</v>
      </c>
      <c r="AD37" s="540" t="s">
        <v>110</v>
      </c>
      <c r="AE37" s="540" t="s">
        <v>111</v>
      </c>
      <c r="AF37" s="540" t="s">
        <v>112</v>
      </c>
      <c r="AG37" s="540" t="s">
        <v>113</v>
      </c>
      <c r="AH37" s="540" t="s">
        <v>114</v>
      </c>
      <c r="AI37" s="540" t="s">
        <v>115</v>
      </c>
      <c r="AJ37" s="540" t="s">
        <v>52</v>
      </c>
      <c r="AK37" s="540" t="s">
        <v>116</v>
      </c>
      <c r="AL37" s="540" t="s">
        <v>117</v>
      </c>
      <c r="AM37" s="540" t="s">
        <v>119</v>
      </c>
      <c r="AN37" s="540" t="s">
        <v>120</v>
      </c>
      <c r="AO37" s="540" t="s">
        <v>121</v>
      </c>
      <c r="AP37" s="540" t="s">
        <v>122</v>
      </c>
    </row>
    <row r="38" spans="1:44">
      <c r="A38" t="str">
        <f>A21</f>
        <v>Electricity</v>
      </c>
      <c r="C38" t="str">
        <f>CONCATENATE(E38,"ELC00")</f>
        <v>RCWAELC00</v>
      </c>
      <c r="D38" t="str">
        <f>D21</f>
        <v>RSDELC-other</v>
      </c>
      <c r="E38" t="s">
        <v>698</v>
      </c>
      <c r="F38" s="496">
        <f>'IDEES(ELC)'!D42</f>
        <v>3.2983046002720977</v>
      </c>
      <c r="G38" s="496">
        <f>'IDEES(ELC)'!E42</f>
        <v>3.9646632637503556</v>
      </c>
      <c r="H38" s="496">
        <f>'IDEES(ELC)'!F42</f>
        <v>2.0704381599945951</v>
      </c>
      <c r="I38" s="496">
        <f>'IDEES(ELC)'!G42</f>
        <v>3.3865925460121082</v>
      </c>
      <c r="J38" s="496">
        <f>'IDEES(ELC)'!H42</f>
        <v>0.27106908506052602</v>
      </c>
      <c r="K38" s="496">
        <f>'IDEES(ELC)'!I42</f>
        <v>3.7526875306549479</v>
      </c>
      <c r="L38" s="496">
        <f>'IDEES(ELC)'!J42</f>
        <v>35.076023413083519</v>
      </c>
      <c r="M38" s="496">
        <f>'IDEES(ELC)'!K42</f>
        <v>2.1003473468526814</v>
      </c>
      <c r="N38" s="496">
        <f>'IDEES(ELC)'!L42</f>
        <v>0.4854794436938647</v>
      </c>
      <c r="O38" s="496">
        <f>'IDEES(ELC)'!M42</f>
        <v>16.292428717180641</v>
      </c>
      <c r="P38" s="496">
        <f>'IDEES(ELC)'!N42</f>
        <v>2.2611555216946764</v>
      </c>
      <c r="Q38" s="496">
        <f>'IDEES(ELC)'!O42</f>
        <v>25.504081687378701</v>
      </c>
      <c r="R38" s="496">
        <f>'IDEES(ELC)'!P42</f>
        <v>3.7778866448512969</v>
      </c>
      <c r="S38" s="496">
        <f>'IDEES(ELC)'!Q42</f>
        <v>1.4008366561880528</v>
      </c>
      <c r="T38" s="496">
        <f>'IDEES(ELC)'!R42</f>
        <v>3.4264534912473659</v>
      </c>
      <c r="U38" s="496">
        <f>'IDEES(ELC)'!S42</f>
        <v>1.5133886323843666</v>
      </c>
      <c r="V38" s="496">
        <f>'IDEES(ELC)'!T42</f>
        <v>0.13350582346162104</v>
      </c>
      <c r="W38" s="496">
        <f>'IDEES(ELC)'!U42</f>
        <v>22.288798692104251</v>
      </c>
      <c r="X38" s="496">
        <f>'IDEES(ELC)'!V42</f>
        <v>1.0409098412642912</v>
      </c>
      <c r="Y38" s="496">
        <f>'IDEES(ELC)'!W42</f>
        <v>0.17880564246524777</v>
      </c>
      <c r="Z38" s="496">
        <f>'IDEES(ELC)'!X42</f>
        <v>0.64616011176040444</v>
      </c>
      <c r="AA38" s="496">
        <f>'IDEES(ELC)'!Y42</f>
        <v>0.12979686315349076</v>
      </c>
      <c r="AB38" s="496">
        <f>'IDEES(ELC)'!Z42</f>
        <v>6.5363644774994167</v>
      </c>
      <c r="AC38" s="496">
        <f>'IDEES(ELC)'!AA42</f>
        <v>5.7136819434468977</v>
      </c>
      <c r="AD38" s="496">
        <f>'IDEES(ELC)'!AB42</f>
        <v>11.323655817347175</v>
      </c>
      <c r="AE38" s="496">
        <f>'IDEES(ELC)'!AC42</f>
        <v>3.4067323444191828</v>
      </c>
      <c r="AF38" s="496">
        <f>'IDEES(ELC)'!AD42</f>
        <v>5.29084769990701</v>
      </c>
      <c r="AG38" s="496">
        <f>'IDEES(ELC)'!AE42</f>
        <v>4.0420072960555284</v>
      </c>
      <c r="AH38" s="496">
        <f>'IDEES(ELC)'!AF42</f>
        <v>0.72295738674429677</v>
      </c>
      <c r="AI38" s="496">
        <f>'IDEES(ELC)'!AG42</f>
        <v>1.7390860698341499</v>
      </c>
      <c r="AJ38" s="496">
        <f>'IDEES(ELC)'!AH42</f>
        <v>23.320329232939404</v>
      </c>
      <c r="AK38" s="496">
        <f>'IDEES(ELC)'!AI42</f>
        <v>0.44666929543252093</v>
      </c>
      <c r="AL38" s="496">
        <f>'IDEES(ELC)'!AJ42</f>
        <v>1.1126241626824445</v>
      </c>
      <c r="AM38" s="496">
        <f>'IDEES(ELC)'!AK42</f>
        <v>0.22087852453973786</v>
      </c>
      <c r="AN38" s="496">
        <f>'IDEES(ELC)'!AL42</f>
        <v>0.79131513566866807</v>
      </c>
      <c r="AO38" s="496">
        <f>'IDEES(ELC)'!AM42</f>
        <v>3.5844760359759018</v>
      </c>
      <c r="AP38" s="496">
        <f>'IDEES(ELC)'!AN42</f>
        <v>0.54884527278595019</v>
      </c>
      <c r="AQ38" s="509"/>
    </row>
    <row r="39" spans="1:44">
      <c r="F39" s="509"/>
      <c r="G39" s="509"/>
      <c r="H39" s="509"/>
      <c r="I39" s="509"/>
      <c r="J39" s="509"/>
      <c r="K39" s="509"/>
      <c r="L39" s="509"/>
      <c r="M39" s="509"/>
      <c r="N39" s="509"/>
      <c r="O39" s="509"/>
      <c r="P39" s="509"/>
      <c r="Q39" s="509"/>
      <c r="R39" s="509"/>
      <c r="S39" s="509"/>
      <c r="T39" s="509"/>
      <c r="U39" s="509"/>
      <c r="V39" s="509"/>
      <c r="W39" s="509"/>
      <c r="X39" s="509"/>
      <c r="Y39" s="509"/>
      <c r="Z39" s="509"/>
      <c r="AA39" s="509"/>
      <c r="AB39" s="509"/>
      <c r="AC39" s="509"/>
      <c r="AD39" s="509"/>
      <c r="AE39" s="509"/>
      <c r="AF39" s="509"/>
      <c r="AG39" s="509"/>
      <c r="AH39" s="509"/>
      <c r="AI39" s="509"/>
      <c r="AJ39" s="509"/>
      <c r="AK39" s="509"/>
      <c r="AL39" s="509"/>
      <c r="AM39" s="509"/>
      <c r="AN39" s="509"/>
      <c r="AO39" s="509"/>
      <c r="AP39" s="509"/>
      <c r="AQ39" s="509"/>
    </row>
    <row r="40" spans="1:44">
      <c r="E40" s="534" t="s">
        <v>584</v>
      </c>
      <c r="AQ40" s="509"/>
    </row>
    <row r="41" spans="1:44" ht="15" thickBot="1">
      <c r="C41" s="539" t="s">
        <v>545</v>
      </c>
      <c r="D41" s="539" t="s">
        <v>585</v>
      </c>
      <c r="E41" s="539" t="s">
        <v>552</v>
      </c>
      <c r="F41" s="540" t="s">
        <v>88</v>
      </c>
      <c r="G41" s="540" t="s">
        <v>89</v>
      </c>
      <c r="H41" s="540" t="s">
        <v>90</v>
      </c>
      <c r="I41" s="540" t="s">
        <v>91</v>
      </c>
      <c r="J41" s="540" t="s">
        <v>92</v>
      </c>
      <c r="K41" s="540" t="s">
        <v>93</v>
      </c>
      <c r="L41" s="540" t="s">
        <v>94</v>
      </c>
      <c r="M41" s="540" t="s">
        <v>95</v>
      </c>
      <c r="N41" s="540" t="s">
        <v>96</v>
      </c>
      <c r="O41" s="540" t="s">
        <v>97</v>
      </c>
      <c r="P41" s="540" t="s">
        <v>98</v>
      </c>
      <c r="Q41" s="540" t="s">
        <v>99</v>
      </c>
      <c r="R41" s="540" t="s">
        <v>205</v>
      </c>
      <c r="S41" s="540" t="s">
        <v>118</v>
      </c>
      <c r="T41" s="540" t="s">
        <v>100</v>
      </c>
      <c r="U41" s="540" t="s">
        <v>101</v>
      </c>
      <c r="V41" s="540" t="s">
        <v>102</v>
      </c>
      <c r="W41" s="540" t="s">
        <v>103</v>
      </c>
      <c r="X41" s="540" t="s">
        <v>104</v>
      </c>
      <c r="Y41" s="540" t="s">
        <v>105</v>
      </c>
      <c r="Z41" s="540" t="s">
        <v>106</v>
      </c>
      <c r="AA41" s="540" t="s">
        <v>107</v>
      </c>
      <c r="AB41" s="540" t="s">
        <v>108</v>
      </c>
      <c r="AC41" s="540" t="s">
        <v>109</v>
      </c>
      <c r="AD41" s="540" t="s">
        <v>110</v>
      </c>
      <c r="AE41" s="540" t="s">
        <v>111</v>
      </c>
      <c r="AF41" s="540" t="s">
        <v>112</v>
      </c>
      <c r="AG41" s="540" t="s">
        <v>113</v>
      </c>
      <c r="AH41" s="540" t="s">
        <v>114</v>
      </c>
      <c r="AI41" s="540" t="s">
        <v>115</v>
      </c>
      <c r="AJ41" s="540" t="s">
        <v>52</v>
      </c>
      <c r="AK41" s="540" t="s">
        <v>116</v>
      </c>
      <c r="AL41" s="540" t="s">
        <v>117</v>
      </c>
      <c r="AM41" s="540" t="s">
        <v>119</v>
      </c>
      <c r="AN41" s="540" t="s">
        <v>120</v>
      </c>
      <c r="AO41" s="540" t="s">
        <v>121</v>
      </c>
      <c r="AP41" s="540" t="s">
        <v>122</v>
      </c>
    </row>
    <row r="42" spans="1:44">
      <c r="A42" t="str">
        <f>A38</f>
        <v>Electricity</v>
      </c>
      <c r="C42" t="str">
        <f>C38</f>
        <v>RCWAELC00</v>
      </c>
      <c r="D42" t="str">
        <f>D38</f>
        <v>RSDELC-other</v>
      </c>
      <c r="F42" s="496">
        <f>'IDEES(ELC)'!D30/'IDEES(ELC)'!D42</f>
        <v>0.69565673740706468</v>
      </c>
      <c r="G42" s="496">
        <f>'IDEES(ELC)'!E30/'IDEES(ELC)'!E42</f>
        <v>0.71658653625794844</v>
      </c>
      <c r="H42" s="496">
        <f>'IDEES(ELC)'!F30/'IDEES(ELC)'!F42</f>
        <v>0.79621341214282071</v>
      </c>
      <c r="I42" s="667">
        <f>F42</f>
        <v>0.69565673740706468</v>
      </c>
      <c r="J42" s="496">
        <f>'IDEES(ELC)'!H30/'IDEES(ELC)'!H42</f>
        <v>0.89315818314707729</v>
      </c>
      <c r="K42" s="496">
        <f>'IDEES(ELC)'!I30/'IDEES(ELC)'!I42</f>
        <v>0.54314893018664556</v>
      </c>
      <c r="L42" s="496">
        <f>'IDEES(ELC)'!J30/'IDEES(ELC)'!J42</f>
        <v>0.62859133238506781</v>
      </c>
      <c r="M42" s="496">
        <f>'IDEES(ELC)'!K30/'IDEES(ELC)'!K42</f>
        <v>0.63571625445705537</v>
      </c>
      <c r="N42" s="496">
        <f>'IDEES(ELC)'!L30/'IDEES(ELC)'!L42</f>
        <v>0.80383409470593781</v>
      </c>
      <c r="O42" s="496">
        <f>'IDEES(ELC)'!M30/'IDEES(ELC)'!M42</f>
        <v>0.80949437121626733</v>
      </c>
      <c r="P42" s="496">
        <f>'IDEES(ELC)'!N30/'IDEES(ELC)'!N42</f>
        <v>0.70077137994135819</v>
      </c>
      <c r="Q42" s="496">
        <f>'IDEES(ELC)'!O30/'IDEES(ELC)'!O42</f>
        <v>0.78025358073754203</v>
      </c>
      <c r="R42" s="496">
        <f>'IDEES(ELC)'!P30/'IDEES(ELC)'!P42</f>
        <v>0.63344039886993353</v>
      </c>
      <c r="S42" s="496">
        <f>'IDEES(ELC)'!Q30/'IDEES(ELC)'!Q42</f>
        <v>0.70772941414727619</v>
      </c>
      <c r="T42" s="496">
        <f>'IDEES(ELC)'!R30/'IDEES(ELC)'!R42</f>
        <v>0.54783735556166746</v>
      </c>
      <c r="U42" s="496">
        <f>'IDEES(ELC)'!S30/'IDEES(ELC)'!S42</f>
        <v>0.74142936559009331</v>
      </c>
      <c r="V42" s="667">
        <f>AC42</f>
        <v>0.6498218832418251</v>
      </c>
      <c r="W42" s="496">
        <f>'IDEES(ELC)'!U30/'IDEES(ELC)'!U42</f>
        <v>0.65557663909344155</v>
      </c>
      <c r="X42" s="496">
        <f>'IDEES(ELC)'!V30/'IDEES(ELC)'!V42</f>
        <v>0.60000311077991275</v>
      </c>
      <c r="Y42" s="496">
        <f>'IDEES(ELC)'!W30/'IDEES(ELC)'!W42</f>
        <v>0.69303636782091249</v>
      </c>
      <c r="Z42" s="496">
        <f>'IDEES(ELC)'!X30/'IDEES(ELC)'!X42</f>
        <v>0.77359501105408668</v>
      </c>
      <c r="AA42" s="496">
        <f>'IDEES(ELC)'!Y30/'IDEES(ELC)'!Y42</f>
        <v>0.67659419947729438</v>
      </c>
      <c r="AB42" s="496">
        <f>'IDEES(ELC)'!Z30/'IDEES(ELC)'!Z42</f>
        <v>0.63629085708376809</v>
      </c>
      <c r="AC42" s="667">
        <f>AG42</f>
        <v>0.6498218832418251</v>
      </c>
      <c r="AD42" s="496">
        <f>'IDEES(ELC)'!AB30/'IDEES(ELC)'!AB42</f>
        <v>0.57695961139964891</v>
      </c>
      <c r="AE42" s="496">
        <f>'IDEES(ELC)'!AC30/'IDEES(ELC)'!AC42</f>
        <v>0.76877014688000544</v>
      </c>
      <c r="AF42" s="496">
        <f>'IDEES(ELC)'!AD30/'IDEES(ELC)'!AD42</f>
        <v>0.68053957645828345</v>
      </c>
      <c r="AG42" s="496">
        <f>'IDEES(ELC)'!AE30/'IDEES(ELC)'!AE42</f>
        <v>0.6498218832418251</v>
      </c>
      <c r="AH42" s="496">
        <f>'IDEES(ELC)'!AF30/'IDEES(ELC)'!AF42</f>
        <v>0.74352221618578063</v>
      </c>
      <c r="AI42" s="496">
        <f>'IDEES(ELC)'!AG30/'IDEES(ELC)'!AG42</f>
        <v>0.57036849757217345</v>
      </c>
      <c r="AJ42" s="496">
        <f>'IDEES(ELC)'!AH30/'IDEES(ELC)'!AH42</f>
        <v>0.70657715778410923</v>
      </c>
      <c r="AK42" s="667">
        <f>R42</f>
        <v>0.63344039886993353</v>
      </c>
      <c r="AL42" s="667">
        <f>AK42</f>
        <v>0.63344039886993353</v>
      </c>
      <c r="AM42" s="667">
        <f>AL42</f>
        <v>0.63344039886993353</v>
      </c>
      <c r="AN42" s="667">
        <f>AM42</f>
        <v>0.63344039886993353</v>
      </c>
      <c r="AO42" s="667">
        <f>AN42</f>
        <v>0.63344039886993353</v>
      </c>
      <c r="AP42" s="667">
        <f>AO42</f>
        <v>0.63344039886993353</v>
      </c>
      <c r="AQ42" s="509"/>
    </row>
    <row r="44" spans="1:44">
      <c r="E44" s="533" t="s">
        <v>607</v>
      </c>
    </row>
    <row r="45" spans="1:44" ht="15" thickBot="1">
      <c r="C45" s="539" t="s">
        <v>545</v>
      </c>
      <c r="D45" s="539" t="s">
        <v>585</v>
      </c>
      <c r="E45" s="539" t="s">
        <v>552</v>
      </c>
      <c r="F45" s="540" t="s">
        <v>88</v>
      </c>
      <c r="G45" s="540" t="s">
        <v>89</v>
      </c>
      <c r="H45" s="540" t="s">
        <v>90</v>
      </c>
      <c r="I45" s="540" t="s">
        <v>91</v>
      </c>
      <c r="J45" s="540" t="s">
        <v>92</v>
      </c>
      <c r="K45" s="540" t="s">
        <v>93</v>
      </c>
      <c r="L45" s="540" t="s">
        <v>94</v>
      </c>
      <c r="M45" s="540" t="s">
        <v>95</v>
      </c>
      <c r="N45" s="540" t="s">
        <v>96</v>
      </c>
      <c r="O45" s="540" t="s">
        <v>97</v>
      </c>
      <c r="P45" s="540" t="s">
        <v>98</v>
      </c>
      <c r="Q45" s="540" t="s">
        <v>99</v>
      </c>
      <c r="R45" s="540" t="s">
        <v>205</v>
      </c>
      <c r="S45" s="540" t="s">
        <v>118</v>
      </c>
      <c r="T45" s="540" t="s">
        <v>100</v>
      </c>
      <c r="U45" s="540" t="s">
        <v>101</v>
      </c>
      <c r="V45" s="540" t="s">
        <v>102</v>
      </c>
      <c r="W45" s="540" t="s">
        <v>103</v>
      </c>
      <c r="X45" s="540" t="s">
        <v>104</v>
      </c>
      <c r="Y45" s="540" t="s">
        <v>105</v>
      </c>
      <c r="Z45" s="540" t="s">
        <v>106</v>
      </c>
      <c r="AA45" s="540" t="s">
        <v>107</v>
      </c>
      <c r="AB45" s="540" t="s">
        <v>108</v>
      </c>
      <c r="AC45" s="540" t="s">
        <v>109</v>
      </c>
      <c r="AD45" s="540" t="s">
        <v>110</v>
      </c>
      <c r="AE45" s="540" t="s">
        <v>111</v>
      </c>
      <c r="AF45" s="540" t="s">
        <v>112</v>
      </c>
      <c r="AG45" s="540" t="s">
        <v>113</v>
      </c>
      <c r="AH45" s="540" t="s">
        <v>114</v>
      </c>
      <c r="AI45" s="540" t="s">
        <v>115</v>
      </c>
      <c r="AJ45" s="540" t="s">
        <v>52</v>
      </c>
      <c r="AK45" s="540" t="s">
        <v>116</v>
      </c>
      <c r="AL45" s="540" t="s">
        <v>117</v>
      </c>
      <c r="AM45" s="540" t="s">
        <v>119</v>
      </c>
      <c r="AN45" s="540" t="s">
        <v>120</v>
      </c>
      <c r="AO45" s="540" t="s">
        <v>121</v>
      </c>
      <c r="AP45" s="540" t="s">
        <v>122</v>
      </c>
    </row>
    <row r="46" spans="1:44">
      <c r="A46" t="str">
        <f>A42</f>
        <v>Electricity</v>
      </c>
      <c r="C46" t="str">
        <f>C42</f>
        <v>RCWAELC00</v>
      </c>
      <c r="F46" s="496">
        <v>1</v>
      </c>
      <c r="G46" s="496">
        <v>1</v>
      </c>
      <c r="H46" s="496">
        <v>1</v>
      </c>
      <c r="I46" s="496">
        <v>1</v>
      </c>
      <c r="J46" s="496">
        <v>1</v>
      </c>
      <c r="K46" s="496">
        <v>1</v>
      </c>
      <c r="L46" s="496">
        <v>1</v>
      </c>
      <c r="M46" s="496">
        <v>1</v>
      </c>
      <c r="N46" s="496">
        <v>1</v>
      </c>
      <c r="O46" s="496">
        <v>1</v>
      </c>
      <c r="P46" s="496">
        <v>1</v>
      </c>
      <c r="Q46" s="496">
        <v>1</v>
      </c>
      <c r="R46" s="496">
        <v>1</v>
      </c>
      <c r="S46" s="496">
        <v>1</v>
      </c>
      <c r="T46" s="496">
        <v>1</v>
      </c>
      <c r="U46" s="496">
        <v>1</v>
      </c>
      <c r="V46" s="496">
        <v>1</v>
      </c>
      <c r="W46" s="496">
        <v>1</v>
      </c>
      <c r="X46" s="496">
        <v>1</v>
      </c>
      <c r="Y46" s="496">
        <v>1</v>
      </c>
      <c r="Z46" s="496">
        <v>1</v>
      </c>
      <c r="AA46" s="496">
        <v>1</v>
      </c>
      <c r="AB46" s="496">
        <v>1</v>
      </c>
      <c r="AC46" s="496">
        <v>1</v>
      </c>
      <c r="AD46" s="496">
        <v>1</v>
      </c>
      <c r="AE46" s="496">
        <v>1</v>
      </c>
      <c r="AF46" s="496">
        <v>1</v>
      </c>
      <c r="AG46" s="496">
        <v>1</v>
      </c>
      <c r="AH46" s="496">
        <v>1</v>
      </c>
      <c r="AI46" s="496">
        <v>1</v>
      </c>
      <c r="AJ46" s="496">
        <v>1</v>
      </c>
      <c r="AK46" s="496">
        <v>1</v>
      </c>
      <c r="AL46" s="496">
        <v>1</v>
      </c>
      <c r="AM46" s="496">
        <v>1</v>
      </c>
      <c r="AN46" s="496">
        <v>1</v>
      </c>
      <c r="AO46" s="496">
        <v>1</v>
      </c>
      <c r="AP46" s="496">
        <v>1</v>
      </c>
    </row>
    <row r="48" spans="1:44">
      <c r="E48" s="533" t="s">
        <v>751</v>
      </c>
    </row>
    <row r="49" spans="1:44" ht="15" thickBot="1">
      <c r="C49" s="539" t="s">
        <v>545</v>
      </c>
      <c r="D49" s="539" t="s">
        <v>585</v>
      </c>
      <c r="E49" s="539" t="s">
        <v>552</v>
      </c>
      <c r="F49" s="540" t="s">
        <v>88</v>
      </c>
      <c r="G49" s="540" t="s">
        <v>89</v>
      </c>
      <c r="H49" s="540" t="s">
        <v>90</v>
      </c>
      <c r="I49" s="540" t="s">
        <v>91</v>
      </c>
      <c r="J49" s="540" t="s">
        <v>92</v>
      </c>
      <c r="K49" s="540" t="s">
        <v>93</v>
      </c>
      <c r="L49" s="540" t="s">
        <v>94</v>
      </c>
      <c r="M49" s="540" t="s">
        <v>95</v>
      </c>
      <c r="N49" s="540" t="s">
        <v>96</v>
      </c>
      <c r="O49" s="540" t="s">
        <v>97</v>
      </c>
      <c r="P49" s="540" t="s">
        <v>98</v>
      </c>
      <c r="Q49" s="540" t="s">
        <v>99</v>
      </c>
      <c r="R49" s="540" t="s">
        <v>205</v>
      </c>
      <c r="S49" s="540" t="s">
        <v>118</v>
      </c>
      <c r="T49" s="540" t="s">
        <v>100</v>
      </c>
      <c r="U49" s="540" t="s">
        <v>101</v>
      </c>
      <c r="V49" s="540" t="s">
        <v>102</v>
      </c>
      <c r="W49" s="540" t="s">
        <v>103</v>
      </c>
      <c r="X49" s="540" t="s">
        <v>104</v>
      </c>
      <c r="Y49" s="540" t="s">
        <v>105</v>
      </c>
      <c r="Z49" s="540" t="s">
        <v>106</v>
      </c>
      <c r="AA49" s="540" t="s">
        <v>107</v>
      </c>
      <c r="AB49" s="540" t="s">
        <v>108</v>
      </c>
      <c r="AC49" s="540" t="s">
        <v>109</v>
      </c>
      <c r="AD49" s="540" t="s">
        <v>110</v>
      </c>
      <c r="AE49" s="540" t="s">
        <v>111</v>
      </c>
      <c r="AF49" s="540" t="s">
        <v>112</v>
      </c>
      <c r="AG49" s="540" t="s">
        <v>113</v>
      </c>
      <c r="AH49" s="540" t="s">
        <v>114</v>
      </c>
      <c r="AI49" s="540" t="s">
        <v>115</v>
      </c>
      <c r="AJ49" s="540" t="s">
        <v>52</v>
      </c>
      <c r="AK49" s="540" t="s">
        <v>116</v>
      </c>
      <c r="AL49" s="540" t="s">
        <v>117</v>
      </c>
      <c r="AM49" s="540" t="s">
        <v>119</v>
      </c>
      <c r="AN49" s="540" t="s">
        <v>120</v>
      </c>
      <c r="AO49" s="540" t="s">
        <v>121</v>
      </c>
      <c r="AP49" s="540" t="s">
        <v>122</v>
      </c>
    </row>
    <row r="50" spans="1:44">
      <c r="A50" t="str">
        <f>A46</f>
        <v>Electricity</v>
      </c>
      <c r="C50" t="str">
        <f>C46</f>
        <v>RCWAELC00</v>
      </c>
      <c r="F50" s="509">
        <v>10</v>
      </c>
      <c r="G50" s="509">
        <v>10</v>
      </c>
      <c r="H50" s="509">
        <v>10</v>
      </c>
      <c r="I50" s="509">
        <v>10</v>
      </c>
      <c r="J50" s="509">
        <v>10</v>
      </c>
      <c r="K50" s="509">
        <v>10</v>
      </c>
      <c r="L50" s="509">
        <v>10</v>
      </c>
      <c r="M50" s="509">
        <v>10</v>
      </c>
      <c r="N50" s="509">
        <v>10</v>
      </c>
      <c r="O50" s="509">
        <v>10</v>
      </c>
      <c r="P50" s="509">
        <v>10</v>
      </c>
      <c r="Q50" s="509">
        <v>10</v>
      </c>
      <c r="R50" s="509">
        <v>10</v>
      </c>
      <c r="S50" s="509">
        <v>10</v>
      </c>
      <c r="T50" s="509">
        <v>10</v>
      </c>
      <c r="U50" s="509">
        <v>10</v>
      </c>
      <c r="V50" s="509">
        <v>10</v>
      </c>
      <c r="W50" s="509">
        <v>10</v>
      </c>
      <c r="X50" s="509">
        <v>10</v>
      </c>
      <c r="Y50" s="509">
        <v>10</v>
      </c>
      <c r="Z50" s="509">
        <v>10</v>
      </c>
      <c r="AA50" s="509">
        <v>10</v>
      </c>
      <c r="AB50" s="509">
        <v>10</v>
      </c>
      <c r="AC50" s="509">
        <v>10</v>
      </c>
      <c r="AD50" s="509">
        <v>10</v>
      </c>
      <c r="AE50" s="509">
        <v>10</v>
      </c>
      <c r="AF50" s="509">
        <v>10</v>
      </c>
      <c r="AG50" s="509">
        <v>10</v>
      </c>
      <c r="AH50" s="509">
        <v>10</v>
      </c>
      <c r="AI50" s="509">
        <v>10</v>
      </c>
      <c r="AJ50" s="509">
        <v>10</v>
      </c>
      <c r="AK50" s="509">
        <v>10</v>
      </c>
      <c r="AL50" s="509">
        <v>10</v>
      </c>
      <c r="AM50" s="509">
        <v>10</v>
      </c>
      <c r="AN50" s="509">
        <v>10</v>
      </c>
      <c r="AO50" s="509">
        <v>10</v>
      </c>
      <c r="AP50" s="509">
        <v>10</v>
      </c>
    </row>
    <row r="51" spans="1:44">
      <c r="A51" s="575"/>
      <c r="B51" s="575"/>
      <c r="C51" s="575"/>
      <c r="D51" s="575"/>
      <c r="E51" s="575"/>
      <c r="F51" s="575"/>
      <c r="G51" s="575"/>
      <c r="H51" s="575"/>
      <c r="I51" s="575"/>
      <c r="J51" s="575"/>
      <c r="K51" s="575"/>
      <c r="L51" s="575"/>
      <c r="M51" s="575"/>
      <c r="N51" s="575"/>
      <c r="O51" s="575"/>
      <c r="P51" s="575"/>
      <c r="Q51" s="575"/>
      <c r="R51" s="575"/>
      <c r="S51" s="575"/>
      <c r="T51" s="575"/>
      <c r="U51" s="575"/>
      <c r="V51" s="575"/>
      <c r="W51" s="575"/>
      <c r="X51" s="575"/>
      <c r="Y51" s="575"/>
      <c r="Z51" s="575"/>
      <c r="AA51" s="575"/>
      <c r="AB51" s="575"/>
      <c r="AC51" s="575"/>
      <c r="AD51" s="575"/>
      <c r="AE51" s="575"/>
      <c r="AF51" s="575"/>
      <c r="AG51" s="575"/>
      <c r="AH51" s="575"/>
      <c r="AI51" s="575"/>
      <c r="AJ51" s="575"/>
      <c r="AK51" s="575"/>
      <c r="AL51" s="575"/>
      <c r="AM51" s="575"/>
      <c r="AN51" s="575"/>
      <c r="AO51" s="575"/>
      <c r="AP51" s="575"/>
      <c r="AQ51" s="575"/>
      <c r="AR51" s="575"/>
    </row>
    <row r="53" spans="1:44">
      <c r="E53" s="533" t="s">
        <v>598</v>
      </c>
    </row>
    <row r="54" spans="1:44" ht="15" thickBot="1">
      <c r="A54" t="str">
        <f>'IDEES(ELC)'!B39</f>
        <v>Clothes dryer</v>
      </c>
      <c r="C54" s="539" t="s">
        <v>545</v>
      </c>
      <c r="D54" s="539" t="s">
        <v>585</v>
      </c>
      <c r="E54" s="539" t="s">
        <v>592</v>
      </c>
      <c r="F54" s="540" t="s">
        <v>88</v>
      </c>
      <c r="G54" s="540" t="s">
        <v>89</v>
      </c>
      <c r="H54" s="540" t="s">
        <v>90</v>
      </c>
      <c r="I54" s="540" t="s">
        <v>91</v>
      </c>
      <c r="J54" s="540" t="s">
        <v>92</v>
      </c>
      <c r="K54" s="540" t="s">
        <v>93</v>
      </c>
      <c r="L54" s="540" t="s">
        <v>94</v>
      </c>
      <c r="M54" s="540" t="s">
        <v>95</v>
      </c>
      <c r="N54" s="540" t="s">
        <v>96</v>
      </c>
      <c r="O54" s="540" t="s">
        <v>97</v>
      </c>
      <c r="P54" s="540" t="s">
        <v>98</v>
      </c>
      <c r="Q54" s="540" t="s">
        <v>99</v>
      </c>
      <c r="R54" s="540" t="s">
        <v>205</v>
      </c>
      <c r="S54" s="540" t="s">
        <v>118</v>
      </c>
      <c r="T54" s="540" t="s">
        <v>100</v>
      </c>
      <c r="U54" s="540" t="s">
        <v>101</v>
      </c>
      <c r="V54" s="540" t="s">
        <v>102</v>
      </c>
      <c r="W54" s="540" t="s">
        <v>103</v>
      </c>
      <c r="X54" s="540" t="s">
        <v>104</v>
      </c>
      <c r="Y54" s="540" t="s">
        <v>105</v>
      </c>
      <c r="Z54" s="540" t="s">
        <v>106</v>
      </c>
      <c r="AA54" s="540" t="s">
        <v>107</v>
      </c>
      <c r="AB54" s="540" t="s">
        <v>108</v>
      </c>
      <c r="AC54" s="540" t="s">
        <v>109</v>
      </c>
      <c r="AD54" s="540" t="s">
        <v>110</v>
      </c>
      <c r="AE54" s="540" t="s">
        <v>111</v>
      </c>
      <c r="AF54" s="540" t="s">
        <v>112</v>
      </c>
      <c r="AG54" s="540" t="s">
        <v>113</v>
      </c>
      <c r="AH54" s="540" t="s">
        <v>114</v>
      </c>
      <c r="AI54" s="540" t="s">
        <v>115</v>
      </c>
      <c r="AJ54" s="540" t="s">
        <v>52</v>
      </c>
      <c r="AK54" s="540" t="s">
        <v>116</v>
      </c>
      <c r="AL54" s="540" t="s">
        <v>117</v>
      </c>
      <c r="AM54" s="540" t="s">
        <v>119</v>
      </c>
      <c r="AN54" s="540" t="s">
        <v>120</v>
      </c>
      <c r="AO54" s="540" t="s">
        <v>121</v>
      </c>
      <c r="AP54" s="540" t="s">
        <v>122</v>
      </c>
    </row>
    <row r="55" spans="1:44">
      <c r="A55" t="str">
        <f>A38</f>
        <v>Electricity</v>
      </c>
      <c r="C55" t="str">
        <f>CONCATENATE(E55,"ELC00")</f>
        <v>RCDRELC00</v>
      </c>
      <c r="D55" t="str">
        <f>D38</f>
        <v>RSDELC-other</v>
      </c>
      <c r="E55" t="s">
        <v>699</v>
      </c>
      <c r="F55" s="496">
        <f>'IDEES(ELC)'!D39</f>
        <v>1.2907222213727949</v>
      </c>
      <c r="G55" s="496">
        <f>'IDEES(ELC)'!E39</f>
        <v>2.7493834399924246</v>
      </c>
      <c r="H55" s="496">
        <f>'IDEES(ELC)'!F39</f>
        <v>8.89046305229442E-3</v>
      </c>
      <c r="I55" s="496">
        <f>'IDEES(ELC)'!G39</f>
        <v>1.3252718543680575</v>
      </c>
      <c r="J55" s="496">
        <f>'IDEES(ELC)'!H39</f>
        <v>9.2479986647233919E-2</v>
      </c>
      <c r="K55" s="496">
        <f>'IDEES(ELC)'!I39</f>
        <v>0.10344800127822734</v>
      </c>
      <c r="L55" s="496">
        <f>'IDEES(ELC)'!J39</f>
        <v>16.10476707705887</v>
      </c>
      <c r="M55" s="496">
        <f>'IDEES(ELC)'!K39</f>
        <v>1.5412634174721316</v>
      </c>
      <c r="N55" s="496">
        <f>'IDEES(ELC)'!L39</f>
        <v>9.4978138922548003E-3</v>
      </c>
      <c r="O55" s="496">
        <f>'IDEES(ELC)'!M39</f>
        <v>5.1860518506448852</v>
      </c>
      <c r="P55" s="496">
        <f>'IDEES(ELC)'!N39</f>
        <v>1.6592691056517443</v>
      </c>
      <c r="Q55" s="496">
        <f>'IDEES(ELC)'!O39</f>
        <v>9.3494280904607319</v>
      </c>
      <c r="R55" s="496">
        <f>'IDEES(ELC)'!P39</f>
        <v>0.32656084734914204</v>
      </c>
      <c r="S55" s="496">
        <f>'IDEES(ELC)'!Q39</f>
        <v>0.11681093894996852</v>
      </c>
      <c r="T55" s="496">
        <f>'IDEES(ELC)'!R39</f>
        <v>3.9934908638330838E-2</v>
      </c>
      <c r="U55" s="496">
        <f>'IDEES(ELC)'!S39</f>
        <v>1.1614941192735162</v>
      </c>
      <c r="V55" s="496">
        <f>'IDEES(ELC)'!T39</f>
        <v>9.7968435369112511E-2</v>
      </c>
      <c r="W55" s="496">
        <f>'IDEES(ELC)'!U39</f>
        <v>2.0105721521588276</v>
      </c>
      <c r="X55" s="496">
        <f>'IDEES(ELC)'!V39</f>
        <v>2.0364095192914575E-2</v>
      </c>
      <c r="Y55" s="496">
        <f>'IDEES(ELC)'!W39</f>
        <v>0.12217836345092579</v>
      </c>
      <c r="Z55" s="496">
        <f>'IDEES(ELC)'!X39</f>
        <v>1.2849193105037583E-2</v>
      </c>
      <c r="AA55" s="496">
        <f>'IDEES(ELC)'!Y39</f>
        <v>3.1741365360443127E-2</v>
      </c>
      <c r="AB55" s="496">
        <f>'IDEES(ELC)'!Z39</f>
        <v>4.5103406054341431</v>
      </c>
      <c r="AC55" s="496">
        <f>'IDEES(ELC)'!AA39</f>
        <v>4.1927795034136253</v>
      </c>
      <c r="AD55" s="496">
        <f>'IDEES(ELC)'!AB39</f>
        <v>8.2192635855505278E-2</v>
      </c>
      <c r="AE55" s="496">
        <f>'IDEES(ELC)'!AC39</f>
        <v>0.77364313516705663</v>
      </c>
      <c r="AF55" s="496">
        <f>'IDEES(ELC)'!AD39</f>
        <v>1.3443481318386942E-2</v>
      </c>
      <c r="AG55" s="496">
        <f>'IDEES(ELC)'!AE39</f>
        <v>2.9660813309685503</v>
      </c>
      <c r="AH55" s="496">
        <f>'IDEES(ELC)'!AF39</f>
        <v>0.16801649825732765</v>
      </c>
      <c r="AI55" s="496">
        <f>'IDEES(ELC)'!AG39</f>
        <v>4.7940420137546909E-2</v>
      </c>
      <c r="AJ55" s="496">
        <f>'IDEES(ELC)'!AH39</f>
        <v>12.23516820958462</v>
      </c>
      <c r="AK55" s="496">
        <f>'IDEES(ELC)'!AI39</f>
        <v>3.7246212518149163E-2</v>
      </c>
      <c r="AL55" s="496">
        <f>'IDEES(ELC)'!AJ39</f>
        <v>9.2777892816585272E-2</v>
      </c>
      <c r="AM55" s="496">
        <f>'IDEES(ELC)'!AK39</f>
        <v>1.841829861561449E-2</v>
      </c>
      <c r="AN55" s="496">
        <f>'IDEES(ELC)'!AL39</f>
        <v>6.5985040864300584E-2</v>
      </c>
      <c r="AO55" s="496">
        <f>'IDEES(ELC)'!AM39</f>
        <v>0.29889709807093873</v>
      </c>
      <c r="AP55" s="496">
        <f>'IDEES(ELC)'!AN39</f>
        <v>4.5766314986957317E-2</v>
      </c>
      <c r="AQ55" s="509"/>
    </row>
    <row r="56" spans="1:44">
      <c r="F56" s="509"/>
      <c r="G56" s="509"/>
      <c r="H56" s="509"/>
      <c r="I56" s="509"/>
      <c r="J56" s="509"/>
      <c r="K56" s="509"/>
      <c r="L56" s="509"/>
      <c r="M56" s="509"/>
      <c r="N56" s="509"/>
      <c r="O56" s="509"/>
      <c r="P56" s="509"/>
      <c r="Q56" s="509"/>
      <c r="R56" s="509"/>
      <c r="S56" s="509"/>
      <c r="T56" s="509"/>
      <c r="U56" s="509"/>
      <c r="V56" s="509"/>
      <c r="W56" s="509"/>
      <c r="X56" s="509"/>
      <c r="Y56" s="509"/>
      <c r="Z56" s="509"/>
      <c r="AA56" s="509"/>
      <c r="AB56" s="509"/>
      <c r="AC56" s="509"/>
      <c r="AD56" s="509"/>
      <c r="AE56" s="509"/>
      <c r="AF56" s="509"/>
      <c r="AG56" s="509"/>
      <c r="AH56" s="509"/>
      <c r="AI56" s="509"/>
      <c r="AJ56" s="509"/>
      <c r="AK56" s="509"/>
      <c r="AL56" s="509"/>
      <c r="AM56" s="509"/>
      <c r="AN56" s="509"/>
      <c r="AO56" s="509"/>
      <c r="AP56" s="509"/>
      <c r="AQ56" s="509"/>
    </row>
    <row r="57" spans="1:44">
      <c r="E57" s="534" t="s">
        <v>584</v>
      </c>
      <c r="AQ57" s="509"/>
    </row>
    <row r="58" spans="1:44" ht="15" thickBot="1">
      <c r="C58" s="539" t="s">
        <v>545</v>
      </c>
      <c r="D58" s="539" t="s">
        <v>585</v>
      </c>
      <c r="E58" s="539" t="s">
        <v>552</v>
      </c>
      <c r="F58" s="540" t="s">
        <v>88</v>
      </c>
      <c r="G58" s="540" t="s">
        <v>89</v>
      </c>
      <c r="H58" s="540" t="s">
        <v>90</v>
      </c>
      <c r="I58" s="540" t="s">
        <v>91</v>
      </c>
      <c r="J58" s="540" t="s">
        <v>92</v>
      </c>
      <c r="K58" s="540" t="s">
        <v>93</v>
      </c>
      <c r="L58" s="540" t="s">
        <v>94</v>
      </c>
      <c r="M58" s="540" t="s">
        <v>95</v>
      </c>
      <c r="N58" s="540" t="s">
        <v>96</v>
      </c>
      <c r="O58" s="540" t="s">
        <v>97</v>
      </c>
      <c r="P58" s="540" t="s">
        <v>98</v>
      </c>
      <c r="Q58" s="540" t="s">
        <v>99</v>
      </c>
      <c r="R58" s="540" t="s">
        <v>205</v>
      </c>
      <c r="S58" s="540" t="s">
        <v>118</v>
      </c>
      <c r="T58" s="540" t="s">
        <v>100</v>
      </c>
      <c r="U58" s="540" t="s">
        <v>101</v>
      </c>
      <c r="V58" s="540" t="s">
        <v>102</v>
      </c>
      <c r="W58" s="540" t="s">
        <v>103</v>
      </c>
      <c r="X58" s="540" t="s">
        <v>104</v>
      </c>
      <c r="Y58" s="540" t="s">
        <v>105</v>
      </c>
      <c r="Z58" s="540" t="s">
        <v>106</v>
      </c>
      <c r="AA58" s="540" t="s">
        <v>107</v>
      </c>
      <c r="AB58" s="540" t="s">
        <v>108</v>
      </c>
      <c r="AC58" s="540" t="s">
        <v>109</v>
      </c>
      <c r="AD58" s="540" t="s">
        <v>110</v>
      </c>
      <c r="AE58" s="540" t="s">
        <v>111</v>
      </c>
      <c r="AF58" s="540" t="s">
        <v>112</v>
      </c>
      <c r="AG58" s="540" t="s">
        <v>113</v>
      </c>
      <c r="AH58" s="540" t="s">
        <v>114</v>
      </c>
      <c r="AI58" s="540" t="s">
        <v>115</v>
      </c>
      <c r="AJ58" s="540" t="s">
        <v>52</v>
      </c>
      <c r="AK58" s="540" t="s">
        <v>116</v>
      </c>
      <c r="AL58" s="540" t="s">
        <v>117</v>
      </c>
      <c r="AM58" s="540" t="s">
        <v>119</v>
      </c>
      <c r="AN58" s="540" t="s">
        <v>120</v>
      </c>
      <c r="AO58" s="540" t="s">
        <v>121</v>
      </c>
      <c r="AP58" s="540" t="s">
        <v>122</v>
      </c>
    </row>
    <row r="59" spans="1:44">
      <c r="A59" t="str">
        <f>A55</f>
        <v>Electricity</v>
      </c>
      <c r="C59" t="str">
        <f>C55</f>
        <v>RCDRELC00</v>
      </c>
      <c r="D59" t="str">
        <f>D55</f>
        <v>RSDELC-other</v>
      </c>
      <c r="F59" s="496">
        <f>'IDEES(ELC)'!D27/'IDEES(ELC)'!D39</f>
        <v>1.4528305937164092</v>
      </c>
      <c r="G59" s="496">
        <f>'IDEES(ELC)'!E27/'IDEES(ELC)'!E39</f>
        <v>1.4858904731059472</v>
      </c>
      <c r="H59" s="496">
        <f>'IDEES(ELC)'!F27/'IDEES(ELC)'!F39</f>
        <v>1.6097525269290167</v>
      </c>
      <c r="I59" s="667">
        <f>F59</f>
        <v>1.4528305937164092</v>
      </c>
      <c r="J59" s="496">
        <f>'IDEES(ELC)'!H27/'IDEES(ELC)'!H39</f>
        <v>1.7516789609619317</v>
      </c>
      <c r="K59" s="496">
        <f>'IDEES(ELC)'!I27/'IDEES(ELC)'!I39</f>
        <v>1.198285716382322</v>
      </c>
      <c r="L59" s="496">
        <f>'IDEES(ELC)'!J27/'IDEES(ELC)'!J39</f>
        <v>1.3448908423427817</v>
      </c>
      <c r="M59" s="496">
        <f>'IDEES(ELC)'!K27/'IDEES(ELC)'!K39</f>
        <v>1.3580896614240492</v>
      </c>
      <c r="N59" s="496">
        <f>'IDEES(ELC)'!L27/'IDEES(ELC)'!L39</f>
        <v>1.5711563588510529</v>
      </c>
      <c r="O59" s="496">
        <f>'IDEES(ELC)'!M27/'IDEES(ELC)'!M39</f>
        <v>1.6326984302995537</v>
      </c>
      <c r="P59" s="496">
        <f>'IDEES(ELC)'!N27/'IDEES(ELC)'!N39</f>
        <v>1.4609764051792051</v>
      </c>
      <c r="Q59" s="496">
        <f>'IDEES(ELC)'!O27/'IDEES(ELC)'!O39</f>
        <v>1.5834953608665525</v>
      </c>
      <c r="R59" s="496">
        <f>'IDEES(ELC)'!P27/'IDEES(ELC)'!P39</f>
        <v>1.3506548932010507</v>
      </c>
      <c r="S59" s="496">
        <f>'IDEES(ELC)'!Q27/'IDEES(ELC)'!Q39</f>
        <v>1.4718270455272831</v>
      </c>
      <c r="T59" s="496">
        <f>'IDEES(ELC)'!R27/'IDEES(ELC)'!R39</f>
        <v>1.2406208204629763</v>
      </c>
      <c r="U59" s="496">
        <f>'IDEES(ELC)'!S27/'IDEES(ELC)'!S39</f>
        <v>1.5168224186119401</v>
      </c>
      <c r="V59" s="667">
        <f>AC59</f>
        <v>1.3802608987337335</v>
      </c>
      <c r="W59" s="496">
        <f>'IDEES(ELC)'!U27/'IDEES(ELC)'!U39</f>
        <v>1.3592211947557695</v>
      </c>
      <c r="X59" s="496">
        <f>'IDEES(ELC)'!V27/'IDEES(ELC)'!V39</f>
        <v>1.2966457342620989</v>
      </c>
      <c r="Y59" s="496">
        <f>'IDEES(ELC)'!W27/'IDEES(ELC)'!W39</f>
        <v>1.4336778026197463</v>
      </c>
      <c r="Z59" s="496">
        <f>'IDEES(ELC)'!X27/'IDEES(ELC)'!X39</f>
        <v>1.5496890088914077</v>
      </c>
      <c r="AA59" s="496">
        <f>'IDEES(ELC)'!Y27/'IDEES(ELC)'!Y39</f>
        <v>1.4233452445087031</v>
      </c>
      <c r="AB59" s="496">
        <f>'IDEES(ELC)'!Z27/'IDEES(ELC)'!Z39</f>
        <v>1.3586950139899983</v>
      </c>
      <c r="AC59" s="667">
        <f>AG59</f>
        <v>1.3802608987337335</v>
      </c>
      <c r="AD59" s="496">
        <f>'IDEES(ELC)'!AB27/'IDEES(ELC)'!AB39</f>
        <v>1.2578488007338335</v>
      </c>
      <c r="AE59" s="496">
        <f>'IDEES(ELC)'!AC27/'IDEES(ELC)'!AC39</f>
        <v>1.5696323408050183</v>
      </c>
      <c r="AF59" s="496">
        <f>'IDEES(ELC)'!AD27/'IDEES(ELC)'!AD39</f>
        <v>1.4106391648763377</v>
      </c>
      <c r="AG59" s="496">
        <f>'IDEES(ELC)'!AE27/'IDEES(ELC)'!AE39</f>
        <v>1.3802608987337335</v>
      </c>
      <c r="AH59" s="496">
        <f>'IDEES(ELC)'!AF27/'IDEES(ELC)'!AF39</f>
        <v>1.5277628162852461</v>
      </c>
      <c r="AI59" s="496">
        <f>'IDEES(ELC)'!AG27/'IDEES(ELC)'!AG39</f>
        <v>1.2447193167851409</v>
      </c>
      <c r="AJ59" s="496">
        <f>'IDEES(ELC)'!AH27/'IDEES(ELC)'!AH39</f>
        <v>1.4703969481928989</v>
      </c>
      <c r="AK59" s="667">
        <f>R59</f>
        <v>1.3506548932010507</v>
      </c>
      <c r="AL59" s="667">
        <f>AK59</f>
        <v>1.3506548932010507</v>
      </c>
      <c r="AM59" s="667">
        <f>AL59</f>
        <v>1.3506548932010507</v>
      </c>
      <c r="AN59" s="667">
        <f>AM59</f>
        <v>1.3506548932010507</v>
      </c>
      <c r="AO59" s="667">
        <f>AN59</f>
        <v>1.3506548932010507</v>
      </c>
      <c r="AP59" s="667">
        <f>AO59</f>
        <v>1.3506548932010507</v>
      </c>
      <c r="AQ59" s="509"/>
    </row>
    <row r="61" spans="1:44">
      <c r="E61" s="533" t="s">
        <v>607</v>
      </c>
    </row>
    <row r="62" spans="1:44" ht="15" thickBot="1">
      <c r="C62" s="539" t="s">
        <v>545</v>
      </c>
      <c r="D62" s="539" t="s">
        <v>585</v>
      </c>
      <c r="E62" s="539" t="s">
        <v>552</v>
      </c>
      <c r="F62" s="540" t="s">
        <v>88</v>
      </c>
      <c r="G62" s="540" t="s">
        <v>89</v>
      </c>
      <c r="H62" s="540" t="s">
        <v>90</v>
      </c>
      <c r="I62" s="540" t="s">
        <v>91</v>
      </c>
      <c r="J62" s="540" t="s">
        <v>92</v>
      </c>
      <c r="K62" s="540" t="s">
        <v>93</v>
      </c>
      <c r="L62" s="540" t="s">
        <v>94</v>
      </c>
      <c r="M62" s="540" t="s">
        <v>95</v>
      </c>
      <c r="N62" s="540" t="s">
        <v>96</v>
      </c>
      <c r="O62" s="540" t="s">
        <v>97</v>
      </c>
      <c r="P62" s="540" t="s">
        <v>98</v>
      </c>
      <c r="Q62" s="540" t="s">
        <v>99</v>
      </c>
      <c r="R62" s="540" t="s">
        <v>205</v>
      </c>
      <c r="S62" s="540" t="s">
        <v>118</v>
      </c>
      <c r="T62" s="540" t="s">
        <v>100</v>
      </c>
      <c r="U62" s="540" t="s">
        <v>101</v>
      </c>
      <c r="V62" s="540" t="s">
        <v>102</v>
      </c>
      <c r="W62" s="540" t="s">
        <v>103</v>
      </c>
      <c r="X62" s="540" t="s">
        <v>104</v>
      </c>
      <c r="Y62" s="540" t="s">
        <v>105</v>
      </c>
      <c r="Z62" s="540" t="s">
        <v>106</v>
      </c>
      <c r="AA62" s="540" t="s">
        <v>107</v>
      </c>
      <c r="AB62" s="540" t="s">
        <v>108</v>
      </c>
      <c r="AC62" s="540" t="s">
        <v>109</v>
      </c>
      <c r="AD62" s="540" t="s">
        <v>110</v>
      </c>
      <c r="AE62" s="540" t="s">
        <v>111</v>
      </c>
      <c r="AF62" s="540" t="s">
        <v>112</v>
      </c>
      <c r="AG62" s="540" t="s">
        <v>113</v>
      </c>
      <c r="AH62" s="540" t="s">
        <v>114</v>
      </c>
      <c r="AI62" s="540" t="s">
        <v>115</v>
      </c>
      <c r="AJ62" s="540" t="s">
        <v>52</v>
      </c>
      <c r="AK62" s="540" t="s">
        <v>116</v>
      </c>
      <c r="AL62" s="540" t="s">
        <v>117</v>
      </c>
      <c r="AM62" s="540" t="s">
        <v>119</v>
      </c>
      <c r="AN62" s="540" t="s">
        <v>120</v>
      </c>
      <c r="AO62" s="540" t="s">
        <v>121</v>
      </c>
      <c r="AP62" s="540" t="s">
        <v>122</v>
      </c>
    </row>
    <row r="63" spans="1:44">
      <c r="A63" t="str">
        <f>A59</f>
        <v>Electricity</v>
      </c>
      <c r="C63" t="str">
        <f>C59</f>
        <v>RCDRELC00</v>
      </c>
      <c r="F63" s="496">
        <v>1</v>
      </c>
      <c r="G63" s="496">
        <v>1</v>
      </c>
      <c r="H63" s="496">
        <v>1</v>
      </c>
      <c r="I63" s="496">
        <v>1</v>
      </c>
      <c r="J63" s="496">
        <v>1</v>
      </c>
      <c r="K63" s="496">
        <v>1</v>
      </c>
      <c r="L63" s="496">
        <v>1</v>
      </c>
      <c r="M63" s="496">
        <v>1</v>
      </c>
      <c r="N63" s="496">
        <v>1</v>
      </c>
      <c r="O63" s="496">
        <v>1</v>
      </c>
      <c r="P63" s="496">
        <v>1</v>
      </c>
      <c r="Q63" s="496">
        <v>1</v>
      </c>
      <c r="R63" s="496">
        <v>1</v>
      </c>
      <c r="S63" s="496">
        <v>1</v>
      </c>
      <c r="T63" s="496">
        <v>1</v>
      </c>
      <c r="U63" s="496">
        <v>1</v>
      </c>
      <c r="V63" s="496">
        <v>1</v>
      </c>
      <c r="W63" s="496">
        <v>1</v>
      </c>
      <c r="X63" s="496">
        <v>1</v>
      </c>
      <c r="Y63" s="496">
        <v>1</v>
      </c>
      <c r="Z63" s="496">
        <v>1</v>
      </c>
      <c r="AA63" s="496">
        <v>1</v>
      </c>
      <c r="AB63" s="496">
        <v>1</v>
      </c>
      <c r="AC63" s="496">
        <v>1</v>
      </c>
      <c r="AD63" s="496">
        <v>1</v>
      </c>
      <c r="AE63" s="496">
        <v>1</v>
      </c>
      <c r="AF63" s="496">
        <v>1</v>
      </c>
      <c r="AG63" s="496">
        <v>1</v>
      </c>
      <c r="AH63" s="496">
        <v>1</v>
      </c>
      <c r="AI63" s="496">
        <v>1</v>
      </c>
      <c r="AJ63" s="496">
        <v>1</v>
      </c>
      <c r="AK63" s="496">
        <v>1</v>
      </c>
      <c r="AL63" s="496">
        <v>1</v>
      </c>
      <c r="AM63" s="496">
        <v>1</v>
      </c>
      <c r="AN63" s="496">
        <v>1</v>
      </c>
      <c r="AO63" s="496">
        <v>1</v>
      </c>
      <c r="AP63" s="496">
        <v>1</v>
      </c>
    </row>
    <row r="65" spans="1:44">
      <c r="E65" s="533" t="s">
        <v>751</v>
      </c>
    </row>
    <row r="66" spans="1:44" ht="15" thickBot="1">
      <c r="C66" s="539" t="s">
        <v>545</v>
      </c>
      <c r="D66" s="539" t="s">
        <v>585</v>
      </c>
      <c r="E66" s="539" t="s">
        <v>552</v>
      </c>
      <c r="F66" s="540" t="s">
        <v>88</v>
      </c>
      <c r="G66" s="540" t="s">
        <v>89</v>
      </c>
      <c r="H66" s="540" t="s">
        <v>90</v>
      </c>
      <c r="I66" s="540" t="s">
        <v>91</v>
      </c>
      <c r="J66" s="540" t="s">
        <v>92</v>
      </c>
      <c r="K66" s="540" t="s">
        <v>93</v>
      </c>
      <c r="L66" s="540" t="s">
        <v>94</v>
      </c>
      <c r="M66" s="540" t="s">
        <v>95</v>
      </c>
      <c r="N66" s="540" t="s">
        <v>96</v>
      </c>
      <c r="O66" s="540" t="s">
        <v>97</v>
      </c>
      <c r="P66" s="540" t="s">
        <v>98</v>
      </c>
      <c r="Q66" s="540" t="s">
        <v>99</v>
      </c>
      <c r="R66" s="540" t="s">
        <v>205</v>
      </c>
      <c r="S66" s="540" t="s">
        <v>118</v>
      </c>
      <c r="T66" s="540" t="s">
        <v>100</v>
      </c>
      <c r="U66" s="540" t="s">
        <v>101</v>
      </c>
      <c r="V66" s="540" t="s">
        <v>102</v>
      </c>
      <c r="W66" s="540" t="s">
        <v>103</v>
      </c>
      <c r="X66" s="540" t="s">
        <v>104</v>
      </c>
      <c r="Y66" s="540" t="s">
        <v>105</v>
      </c>
      <c r="Z66" s="540" t="s">
        <v>106</v>
      </c>
      <c r="AA66" s="540" t="s">
        <v>107</v>
      </c>
      <c r="AB66" s="540" t="s">
        <v>108</v>
      </c>
      <c r="AC66" s="540" t="s">
        <v>109</v>
      </c>
      <c r="AD66" s="540" t="s">
        <v>110</v>
      </c>
      <c r="AE66" s="540" t="s">
        <v>111</v>
      </c>
      <c r="AF66" s="540" t="s">
        <v>112</v>
      </c>
      <c r="AG66" s="540" t="s">
        <v>113</v>
      </c>
      <c r="AH66" s="540" t="s">
        <v>114</v>
      </c>
      <c r="AI66" s="540" t="s">
        <v>115</v>
      </c>
      <c r="AJ66" s="540" t="s">
        <v>52</v>
      </c>
      <c r="AK66" s="540" t="s">
        <v>116</v>
      </c>
      <c r="AL66" s="540" t="s">
        <v>117</v>
      </c>
      <c r="AM66" s="540" t="s">
        <v>119</v>
      </c>
      <c r="AN66" s="540" t="s">
        <v>120</v>
      </c>
      <c r="AO66" s="540" t="s">
        <v>121</v>
      </c>
      <c r="AP66" s="540" t="s">
        <v>122</v>
      </c>
    </row>
    <row r="67" spans="1:44">
      <c r="A67" t="str">
        <f>A63</f>
        <v>Electricity</v>
      </c>
      <c r="C67" t="str">
        <f>C63</f>
        <v>RCDRELC00</v>
      </c>
      <c r="F67" s="509">
        <v>15</v>
      </c>
      <c r="G67" s="509">
        <v>15</v>
      </c>
      <c r="H67" s="509">
        <v>15</v>
      </c>
      <c r="I67" s="509">
        <v>15</v>
      </c>
      <c r="J67" s="509">
        <v>15</v>
      </c>
      <c r="K67" s="509">
        <v>15</v>
      </c>
      <c r="L67" s="509">
        <v>15</v>
      </c>
      <c r="M67" s="509">
        <v>15</v>
      </c>
      <c r="N67" s="509">
        <v>15</v>
      </c>
      <c r="O67" s="509">
        <v>15</v>
      </c>
      <c r="P67" s="509">
        <v>15</v>
      </c>
      <c r="Q67" s="509">
        <v>15</v>
      </c>
      <c r="R67" s="509">
        <v>15</v>
      </c>
      <c r="S67" s="509">
        <v>15</v>
      </c>
      <c r="T67" s="509">
        <v>15</v>
      </c>
      <c r="U67" s="509">
        <v>15</v>
      </c>
      <c r="V67" s="509">
        <v>15</v>
      </c>
      <c r="W67" s="509">
        <v>15</v>
      </c>
      <c r="X67" s="509">
        <v>15</v>
      </c>
      <c r="Y67" s="509">
        <v>15</v>
      </c>
      <c r="Z67" s="509">
        <v>15</v>
      </c>
      <c r="AA67" s="509">
        <v>15</v>
      </c>
      <c r="AB67" s="509">
        <v>15</v>
      </c>
      <c r="AC67" s="509">
        <v>15</v>
      </c>
      <c r="AD67" s="509">
        <v>15</v>
      </c>
      <c r="AE67" s="509">
        <v>15</v>
      </c>
      <c r="AF67" s="509">
        <v>15</v>
      </c>
      <c r="AG67" s="509">
        <v>15</v>
      </c>
      <c r="AH67" s="509">
        <v>15</v>
      </c>
      <c r="AI67" s="509">
        <v>15</v>
      </c>
      <c r="AJ67" s="509">
        <v>15</v>
      </c>
      <c r="AK67" s="509">
        <v>15</v>
      </c>
      <c r="AL67" s="509">
        <v>15</v>
      </c>
      <c r="AM67" s="509">
        <v>15</v>
      </c>
      <c r="AN67" s="509">
        <v>15</v>
      </c>
      <c r="AO67" s="509">
        <v>15</v>
      </c>
      <c r="AP67" s="509">
        <v>15</v>
      </c>
    </row>
    <row r="68" spans="1:44">
      <c r="A68" s="575"/>
      <c r="B68" s="575"/>
      <c r="C68" s="575"/>
      <c r="D68" s="575"/>
      <c r="E68" s="575"/>
      <c r="F68" s="575"/>
      <c r="G68" s="575"/>
      <c r="H68" s="575"/>
      <c r="I68" s="575"/>
      <c r="J68" s="575"/>
      <c r="K68" s="575"/>
      <c r="L68" s="575"/>
      <c r="M68" s="575"/>
      <c r="N68" s="575"/>
      <c r="O68" s="575"/>
      <c r="P68" s="575"/>
      <c r="Q68" s="575"/>
      <c r="R68" s="575"/>
      <c r="S68" s="575"/>
      <c r="T68" s="575"/>
      <c r="U68" s="575"/>
      <c r="V68" s="575"/>
      <c r="W68" s="575"/>
      <c r="X68" s="575"/>
      <c r="Y68" s="575"/>
      <c r="Z68" s="575"/>
      <c r="AA68" s="575"/>
      <c r="AB68" s="575"/>
      <c r="AC68" s="575"/>
      <c r="AD68" s="575"/>
      <c r="AE68" s="575"/>
      <c r="AF68" s="575"/>
      <c r="AG68" s="575"/>
      <c r="AH68" s="575"/>
      <c r="AI68" s="575"/>
      <c r="AJ68" s="575"/>
      <c r="AK68" s="575"/>
      <c r="AL68" s="575"/>
      <c r="AM68" s="575"/>
      <c r="AN68" s="575"/>
      <c r="AO68" s="575"/>
      <c r="AP68" s="575"/>
      <c r="AQ68" s="575"/>
      <c r="AR68" s="575"/>
    </row>
    <row r="70" spans="1:44">
      <c r="E70" s="533" t="s">
        <v>598</v>
      </c>
    </row>
    <row r="71" spans="1:44" ht="15" thickBot="1">
      <c r="A71" t="str">
        <f>'IDEES(ELC)'!B40</f>
        <v>Dishwasher</v>
      </c>
      <c r="C71" s="539" t="s">
        <v>545</v>
      </c>
      <c r="D71" s="539" t="s">
        <v>585</v>
      </c>
      <c r="E71" s="539" t="s">
        <v>592</v>
      </c>
      <c r="F71" s="540" t="s">
        <v>88</v>
      </c>
      <c r="G71" s="540" t="s">
        <v>89</v>
      </c>
      <c r="H71" s="540" t="s">
        <v>90</v>
      </c>
      <c r="I71" s="540" t="s">
        <v>91</v>
      </c>
      <c r="J71" s="540" t="s">
        <v>92</v>
      </c>
      <c r="K71" s="540" t="s">
        <v>93</v>
      </c>
      <c r="L71" s="540" t="s">
        <v>94</v>
      </c>
      <c r="M71" s="540" t="s">
        <v>95</v>
      </c>
      <c r="N71" s="540" t="s">
        <v>96</v>
      </c>
      <c r="O71" s="540" t="s">
        <v>97</v>
      </c>
      <c r="P71" s="540" t="s">
        <v>98</v>
      </c>
      <c r="Q71" s="540" t="s">
        <v>99</v>
      </c>
      <c r="R71" s="540" t="s">
        <v>205</v>
      </c>
      <c r="S71" s="540" t="s">
        <v>118</v>
      </c>
      <c r="T71" s="540" t="s">
        <v>100</v>
      </c>
      <c r="U71" s="540" t="s">
        <v>101</v>
      </c>
      <c r="V71" s="540" t="s">
        <v>102</v>
      </c>
      <c r="W71" s="540" t="s">
        <v>103</v>
      </c>
      <c r="X71" s="540" t="s">
        <v>104</v>
      </c>
      <c r="Y71" s="540" t="s">
        <v>105</v>
      </c>
      <c r="Z71" s="540" t="s">
        <v>106</v>
      </c>
      <c r="AA71" s="540" t="s">
        <v>107</v>
      </c>
      <c r="AB71" s="540" t="s">
        <v>108</v>
      </c>
      <c r="AC71" s="540" t="s">
        <v>109</v>
      </c>
      <c r="AD71" s="540" t="s">
        <v>110</v>
      </c>
      <c r="AE71" s="540" t="s">
        <v>111</v>
      </c>
      <c r="AF71" s="540" t="s">
        <v>112</v>
      </c>
      <c r="AG71" s="540" t="s">
        <v>113</v>
      </c>
      <c r="AH71" s="540" t="s">
        <v>114</v>
      </c>
      <c r="AI71" s="540" t="s">
        <v>115</v>
      </c>
      <c r="AJ71" s="540" t="s">
        <v>52</v>
      </c>
      <c r="AK71" s="540" t="s">
        <v>116</v>
      </c>
      <c r="AL71" s="540" t="s">
        <v>117</v>
      </c>
      <c r="AM71" s="540" t="s">
        <v>119</v>
      </c>
      <c r="AN71" s="540" t="s">
        <v>120</v>
      </c>
      <c r="AO71" s="540" t="s">
        <v>121</v>
      </c>
      <c r="AP71" s="540" t="s">
        <v>122</v>
      </c>
    </row>
    <row r="72" spans="1:44">
      <c r="A72" t="str">
        <f>A55</f>
        <v>Electricity</v>
      </c>
      <c r="C72" t="str">
        <f>CONCATENATE(E72,"ELC00")</f>
        <v>RDWAELC00</v>
      </c>
      <c r="D72" t="str">
        <f>D55</f>
        <v>RSDELC-other</v>
      </c>
      <c r="E72" t="s">
        <v>700</v>
      </c>
      <c r="F72" s="496">
        <f>'IDEES(ELC)'!D40</f>
        <v>2.2452169223465792</v>
      </c>
      <c r="G72" s="496">
        <f>'IDEES(ELC)'!E40</f>
        <v>1.697939324070304</v>
      </c>
      <c r="H72" s="496">
        <f>'IDEES(ELC)'!F40</f>
        <v>5.9427949608327424E-2</v>
      </c>
      <c r="I72" s="496">
        <f>'IDEES(ELC)'!G40</f>
        <v>2.305316159329827</v>
      </c>
      <c r="J72" s="496">
        <f>'IDEES(ELC)'!H40</f>
        <v>0.10808263315855204</v>
      </c>
      <c r="K72" s="496">
        <f>'IDEES(ELC)'!I40</f>
        <v>0.94047132611322326</v>
      </c>
      <c r="L72" s="496">
        <f>'IDEES(ELC)'!J40</f>
        <v>21.403673306260334</v>
      </c>
      <c r="M72" s="496">
        <f>'IDEES(ELC)'!K40</f>
        <v>1.3802404724110799</v>
      </c>
      <c r="N72" s="496">
        <f>'IDEES(ELC)'!L40</f>
        <v>3.0869858325399343E-2</v>
      </c>
      <c r="O72" s="496">
        <f>'IDEES(ELC)'!M40</f>
        <v>7.7771056904742775</v>
      </c>
      <c r="P72" s="496">
        <f>'IDEES(ELC)'!N40</f>
        <v>1.4518895284846778</v>
      </c>
      <c r="Q72" s="496">
        <f>'IDEES(ELC)'!O40</f>
        <v>12.338945294353985</v>
      </c>
      <c r="R72" s="496">
        <f>'IDEES(ELC)'!P40</f>
        <v>1.168232410277753</v>
      </c>
      <c r="S72" s="496">
        <f>'IDEES(ELC)'!Q40</f>
        <v>0.43329441548593195</v>
      </c>
      <c r="T72" s="496">
        <f>'IDEES(ELC)'!R40</f>
        <v>0.34071684284786885</v>
      </c>
      <c r="U72" s="496">
        <f>'IDEES(ELC)'!S40</f>
        <v>0.88623419955698712</v>
      </c>
      <c r="V72" s="496">
        <f>'IDEES(ELC)'!T40</f>
        <v>8.572414506428723E-2</v>
      </c>
      <c r="W72" s="496">
        <f>'IDEES(ELC)'!U40</f>
        <v>12.521404206570136</v>
      </c>
      <c r="X72" s="496">
        <f>'IDEES(ELC)'!V40</f>
        <v>5.4145731439694963E-2</v>
      </c>
      <c r="Y72" s="496">
        <f>'IDEES(ELC)'!W40</f>
        <v>0.11445707520289904</v>
      </c>
      <c r="Z72" s="496">
        <f>'IDEES(ELC)'!X40</f>
        <v>4.1969100214336072E-2</v>
      </c>
      <c r="AA72" s="496">
        <f>'IDEES(ELC)'!Y40</f>
        <v>1.788538993978972E-2</v>
      </c>
      <c r="AB72" s="496">
        <f>'IDEES(ELC)'!Z40</f>
        <v>3.4511132609879493</v>
      </c>
      <c r="AC72" s="496">
        <f>'IDEES(ELC)'!AA40</f>
        <v>3.6687575648117221</v>
      </c>
      <c r="AD72" s="496">
        <f>'IDEES(ELC)'!AB40</f>
        <v>1.7420725788418114</v>
      </c>
      <c r="AE72" s="496">
        <f>'IDEES(ELC)'!AC40</f>
        <v>1.3208093081380772</v>
      </c>
      <c r="AF72" s="496">
        <f>'IDEES(ELC)'!AD40</f>
        <v>2.686109229334694E-2</v>
      </c>
      <c r="AG72" s="496">
        <f>'IDEES(ELC)'!AE40</f>
        <v>2.595374574784592</v>
      </c>
      <c r="AH72" s="496">
        <f>'IDEES(ELC)'!AF40</f>
        <v>0.32583619264638447</v>
      </c>
      <c r="AI72" s="496">
        <f>'IDEES(ELC)'!AG40</f>
        <v>0.38594639149174098</v>
      </c>
      <c r="AJ72" s="496">
        <f>'IDEES(ELC)'!AH40</f>
        <v>7.9532680495853887</v>
      </c>
      <c r="AK72" s="496">
        <f>'IDEES(ELC)'!AI40</f>
        <v>0.1381597993063696</v>
      </c>
      <c r="AL72" s="496">
        <f>'IDEES(ELC)'!AJ40</f>
        <v>0.34414707389003135</v>
      </c>
      <c r="AM72" s="496">
        <f>'IDEES(ELC)'!AK40</f>
        <v>6.8320193336654803E-2</v>
      </c>
      <c r="AN72" s="496">
        <f>'IDEES(ELC)'!AL40</f>
        <v>0.24476260501902386</v>
      </c>
      <c r="AO72" s="496">
        <f>'IDEES(ELC)'!AM40</f>
        <v>1.1087184519127911</v>
      </c>
      <c r="AP72" s="496">
        <f>'IDEES(ELC)'!AN40</f>
        <v>0.16976396970588739</v>
      </c>
      <c r="AQ72" s="509"/>
    </row>
    <row r="73" spans="1:44">
      <c r="F73" s="509"/>
      <c r="G73" s="509"/>
      <c r="H73" s="509"/>
      <c r="I73" s="509"/>
      <c r="J73" s="509"/>
      <c r="K73" s="509"/>
      <c r="L73" s="509"/>
      <c r="M73" s="509"/>
      <c r="N73" s="509"/>
      <c r="O73" s="509"/>
      <c r="P73" s="509"/>
      <c r="Q73" s="509"/>
      <c r="R73" s="509"/>
      <c r="S73" s="509"/>
      <c r="T73" s="509"/>
      <c r="U73" s="509"/>
      <c r="V73" s="509"/>
      <c r="W73" s="509"/>
      <c r="X73" s="509"/>
      <c r="Y73" s="509"/>
      <c r="Z73" s="509"/>
      <c r="AA73" s="509"/>
      <c r="AB73" s="509"/>
      <c r="AC73" s="509"/>
      <c r="AD73" s="509"/>
      <c r="AE73" s="509"/>
      <c r="AF73" s="509"/>
      <c r="AG73" s="509"/>
      <c r="AH73" s="509"/>
      <c r="AI73" s="509"/>
      <c r="AJ73" s="509"/>
      <c r="AK73" s="509"/>
      <c r="AL73" s="509"/>
      <c r="AM73" s="509"/>
      <c r="AN73" s="509"/>
      <c r="AO73" s="509"/>
      <c r="AP73" s="509"/>
      <c r="AQ73" s="509"/>
    </row>
    <row r="74" spans="1:44">
      <c r="E74" s="534" t="s">
        <v>584</v>
      </c>
      <c r="AQ74" s="509"/>
    </row>
    <row r="75" spans="1:44" ht="15" thickBot="1">
      <c r="C75" s="539" t="s">
        <v>545</v>
      </c>
      <c r="D75" s="539" t="s">
        <v>585</v>
      </c>
      <c r="E75" s="539" t="s">
        <v>552</v>
      </c>
      <c r="F75" s="540" t="s">
        <v>88</v>
      </c>
      <c r="G75" s="540" t="s">
        <v>89</v>
      </c>
      <c r="H75" s="540" t="s">
        <v>90</v>
      </c>
      <c r="I75" s="540" t="s">
        <v>91</v>
      </c>
      <c r="J75" s="540" t="s">
        <v>92</v>
      </c>
      <c r="K75" s="540" t="s">
        <v>93</v>
      </c>
      <c r="L75" s="540" t="s">
        <v>94</v>
      </c>
      <c r="M75" s="540" t="s">
        <v>95</v>
      </c>
      <c r="N75" s="540" t="s">
        <v>96</v>
      </c>
      <c r="O75" s="540" t="s">
        <v>97</v>
      </c>
      <c r="P75" s="540" t="s">
        <v>98</v>
      </c>
      <c r="Q75" s="540" t="s">
        <v>99</v>
      </c>
      <c r="R75" s="540" t="s">
        <v>205</v>
      </c>
      <c r="S75" s="540" t="s">
        <v>118</v>
      </c>
      <c r="T75" s="540" t="s">
        <v>100</v>
      </c>
      <c r="U75" s="540" t="s">
        <v>101</v>
      </c>
      <c r="V75" s="540" t="s">
        <v>102</v>
      </c>
      <c r="W75" s="540" t="s">
        <v>103</v>
      </c>
      <c r="X75" s="540" t="s">
        <v>104</v>
      </c>
      <c r="Y75" s="540" t="s">
        <v>105</v>
      </c>
      <c r="Z75" s="540" t="s">
        <v>106</v>
      </c>
      <c r="AA75" s="540" t="s">
        <v>107</v>
      </c>
      <c r="AB75" s="540" t="s">
        <v>108</v>
      </c>
      <c r="AC75" s="540" t="s">
        <v>109</v>
      </c>
      <c r="AD75" s="540" t="s">
        <v>110</v>
      </c>
      <c r="AE75" s="540" t="s">
        <v>111</v>
      </c>
      <c r="AF75" s="540" t="s">
        <v>112</v>
      </c>
      <c r="AG75" s="540" t="s">
        <v>113</v>
      </c>
      <c r="AH75" s="540" t="s">
        <v>114</v>
      </c>
      <c r="AI75" s="540" t="s">
        <v>115</v>
      </c>
      <c r="AJ75" s="540" t="s">
        <v>52</v>
      </c>
      <c r="AK75" s="540" t="s">
        <v>116</v>
      </c>
      <c r="AL75" s="540" t="s">
        <v>117</v>
      </c>
      <c r="AM75" s="540" t="s">
        <v>119</v>
      </c>
      <c r="AN75" s="540" t="s">
        <v>120</v>
      </c>
      <c r="AO75" s="540" t="s">
        <v>121</v>
      </c>
      <c r="AP75" s="540" t="s">
        <v>122</v>
      </c>
    </row>
    <row r="76" spans="1:44">
      <c r="A76" t="str">
        <f>A72</f>
        <v>Electricity</v>
      </c>
      <c r="C76" t="str">
        <f>C72</f>
        <v>RDWAELC00</v>
      </c>
      <c r="D76" t="str">
        <f>D72</f>
        <v>RSDELC-other</v>
      </c>
      <c r="F76" s="496">
        <f>'IDEES(ELC)'!D28/'IDEES(ELC)'!D40</f>
        <v>0.94166672990790778</v>
      </c>
      <c r="G76" s="496">
        <f>'IDEES(ELC)'!E28/'IDEES(ELC)'!E40</f>
        <v>0.97750478646154348</v>
      </c>
      <c r="H76" s="496">
        <f>'IDEES(ELC)'!F28/'IDEES(ELC)'!F40</f>
        <v>1.1191604596548337</v>
      </c>
      <c r="I76" s="667">
        <f>F76</f>
        <v>0.94166672990790778</v>
      </c>
      <c r="J76" s="496">
        <f>'IDEES(ELC)'!H28/'IDEES(ELC)'!H40</f>
        <v>1.2892961280428787</v>
      </c>
      <c r="K76" s="496">
        <f>'IDEES(ELC)'!I28/'IDEES(ELC)'!I40</f>
        <v>0.68135848037843783</v>
      </c>
      <c r="L76" s="496">
        <f>'IDEES(ELC)'!J28/'IDEES(ELC)'!J40</f>
        <v>0.82820056792845875</v>
      </c>
      <c r="M76" s="496">
        <f>'IDEES(ELC)'!K28/'IDEES(ELC)'!K40</f>
        <v>0.84120604489432549</v>
      </c>
      <c r="N76" s="496">
        <f>'IDEES(ELC)'!L28/'IDEES(ELC)'!L40</f>
        <v>1.0565160930837569</v>
      </c>
      <c r="O76" s="496">
        <f>'IDEES(ELC)'!M28/'IDEES(ELC)'!M40</f>
        <v>1.077328621914234</v>
      </c>
      <c r="P76" s="496">
        <f>'IDEES(ELC)'!N28/'IDEES(ELC)'!N40</f>
        <v>0.95052782083245424</v>
      </c>
      <c r="Q76" s="496">
        <f>'IDEES(ELC)'!O28/'IDEES(ELC)'!O40</f>
        <v>1.0878365108030701</v>
      </c>
      <c r="R76" s="496">
        <f>'IDEES(ELC)'!P28/'IDEES(ELC)'!P40</f>
        <v>0.83333716359447541</v>
      </c>
      <c r="S76" s="496">
        <f>'IDEES(ELC)'!Q28/'IDEES(ELC)'!Q40</f>
        <v>0.96211546334488829</v>
      </c>
      <c r="T76" s="496">
        <f>'IDEES(ELC)'!R28/'IDEES(ELC)'!R40</f>
        <v>0.72018984946266162</v>
      </c>
      <c r="U76" s="496">
        <f>'IDEES(ELC)'!S28/'IDEES(ELC)'!S40</f>
        <v>1.0202179298112957</v>
      </c>
      <c r="V76" s="667">
        <f>AC76</f>
        <v>0.86444861462288514</v>
      </c>
      <c r="W76" s="496">
        <f>'IDEES(ELC)'!U28/'IDEES(ELC)'!U40</f>
        <v>0.87259243769695971</v>
      </c>
      <c r="X76" s="496">
        <f>'IDEES(ELC)'!V28/'IDEES(ELC)'!V40</f>
        <v>0.77546576698782776</v>
      </c>
      <c r="Y76" s="496">
        <f>'IDEES(ELC)'!W28/'IDEES(ELC)'!W40</f>
        <v>0.93736821886990285</v>
      </c>
      <c r="Z76" s="496">
        <f>'IDEES(ELC)'!X28/'IDEES(ELC)'!X40</f>
        <v>1.0781964390206988</v>
      </c>
      <c r="AA76" s="496">
        <f>'IDEES(ELC)'!Y28/'IDEES(ELC)'!Y40</f>
        <v>0.90854739419738095</v>
      </c>
      <c r="AB76" s="496">
        <f>'IDEES(ELC)'!Z28/'IDEES(ELC)'!Z40</f>
        <v>0.84158711927308771</v>
      </c>
      <c r="AC76" s="667">
        <f>AG76</f>
        <v>0.86444861462288514</v>
      </c>
      <c r="AD76" s="496">
        <f>'IDEES(ELC)'!AB28/'IDEES(ELC)'!AB40</f>
        <v>0.73776177411303212</v>
      </c>
      <c r="AE76" s="496">
        <f>'IDEES(ELC)'!AC28/'IDEES(ELC)'!AC40</f>
        <v>1.0214794402849234</v>
      </c>
      <c r="AF76" s="496">
        <f>'IDEES(ELC)'!AD28/'IDEES(ELC)'!AD40</f>
        <v>0.87585977662669923</v>
      </c>
      <c r="AG76" s="496">
        <f>'IDEES(ELC)'!AE28/'IDEES(ELC)'!AE40</f>
        <v>0.86444861462288514</v>
      </c>
      <c r="AH76" s="496">
        <f>'IDEES(ELC)'!AF28/'IDEES(ELC)'!AF40</f>
        <v>1.0243632668585434</v>
      </c>
      <c r="AI76" s="496">
        <f>'IDEES(ELC)'!AG28/'IDEES(ELC)'!AG40</f>
        <v>0.7259216454314108</v>
      </c>
      <c r="AJ76" s="496">
        <f>'IDEES(ELC)'!AH28/'IDEES(ELC)'!AH40</f>
        <v>0.96032574086298561</v>
      </c>
      <c r="AK76" s="667">
        <f>R76</f>
        <v>0.83333716359447541</v>
      </c>
      <c r="AL76" s="667">
        <f>AK76</f>
        <v>0.83333716359447541</v>
      </c>
      <c r="AM76" s="667">
        <f>AL76</f>
        <v>0.83333716359447541</v>
      </c>
      <c r="AN76" s="667">
        <f>AM76</f>
        <v>0.83333716359447541</v>
      </c>
      <c r="AO76" s="667">
        <f>AN76</f>
        <v>0.83333716359447541</v>
      </c>
      <c r="AP76" s="667">
        <f>AO76</f>
        <v>0.83333716359447541</v>
      </c>
      <c r="AQ76" s="509"/>
    </row>
    <row r="78" spans="1:44">
      <c r="E78" s="533" t="s">
        <v>607</v>
      </c>
    </row>
    <row r="79" spans="1:44" ht="15" thickBot="1">
      <c r="C79" s="539" t="s">
        <v>545</v>
      </c>
      <c r="D79" s="539" t="s">
        <v>585</v>
      </c>
      <c r="E79" s="539" t="s">
        <v>552</v>
      </c>
      <c r="F79" s="540" t="s">
        <v>88</v>
      </c>
      <c r="G79" s="540" t="s">
        <v>89</v>
      </c>
      <c r="H79" s="540" t="s">
        <v>90</v>
      </c>
      <c r="I79" s="540" t="s">
        <v>91</v>
      </c>
      <c r="J79" s="540" t="s">
        <v>92</v>
      </c>
      <c r="K79" s="540" t="s">
        <v>93</v>
      </c>
      <c r="L79" s="540" t="s">
        <v>94</v>
      </c>
      <c r="M79" s="540" t="s">
        <v>95</v>
      </c>
      <c r="N79" s="540" t="s">
        <v>96</v>
      </c>
      <c r="O79" s="540" t="s">
        <v>97</v>
      </c>
      <c r="P79" s="540" t="s">
        <v>98</v>
      </c>
      <c r="Q79" s="540" t="s">
        <v>99</v>
      </c>
      <c r="R79" s="540" t="s">
        <v>205</v>
      </c>
      <c r="S79" s="540" t="s">
        <v>118</v>
      </c>
      <c r="T79" s="540" t="s">
        <v>100</v>
      </c>
      <c r="U79" s="540" t="s">
        <v>101</v>
      </c>
      <c r="V79" s="540" t="s">
        <v>102</v>
      </c>
      <c r="W79" s="540" t="s">
        <v>103</v>
      </c>
      <c r="X79" s="540" t="s">
        <v>104</v>
      </c>
      <c r="Y79" s="540" t="s">
        <v>105</v>
      </c>
      <c r="Z79" s="540" t="s">
        <v>106</v>
      </c>
      <c r="AA79" s="540" t="s">
        <v>107</v>
      </c>
      <c r="AB79" s="540" t="s">
        <v>108</v>
      </c>
      <c r="AC79" s="540" t="s">
        <v>109</v>
      </c>
      <c r="AD79" s="540" t="s">
        <v>110</v>
      </c>
      <c r="AE79" s="540" t="s">
        <v>111</v>
      </c>
      <c r="AF79" s="540" t="s">
        <v>112</v>
      </c>
      <c r="AG79" s="540" t="s">
        <v>113</v>
      </c>
      <c r="AH79" s="540" t="s">
        <v>114</v>
      </c>
      <c r="AI79" s="540" t="s">
        <v>115</v>
      </c>
      <c r="AJ79" s="540" t="s">
        <v>52</v>
      </c>
      <c r="AK79" s="540" t="s">
        <v>116</v>
      </c>
      <c r="AL79" s="540" t="s">
        <v>117</v>
      </c>
      <c r="AM79" s="540" t="s">
        <v>119</v>
      </c>
      <c r="AN79" s="540" t="s">
        <v>120</v>
      </c>
      <c r="AO79" s="540" t="s">
        <v>121</v>
      </c>
      <c r="AP79" s="540" t="s">
        <v>122</v>
      </c>
    </row>
    <row r="80" spans="1:44">
      <c r="A80" t="str">
        <f>A76</f>
        <v>Electricity</v>
      </c>
      <c r="C80" t="str">
        <f>C76</f>
        <v>RDWAELC00</v>
      </c>
      <c r="F80" s="496">
        <v>1</v>
      </c>
      <c r="G80" s="496">
        <v>1</v>
      </c>
      <c r="H80" s="496">
        <v>1</v>
      </c>
      <c r="I80" s="496">
        <v>1</v>
      </c>
      <c r="J80" s="496">
        <v>1</v>
      </c>
      <c r="K80" s="496">
        <v>1</v>
      </c>
      <c r="L80" s="496">
        <v>1</v>
      </c>
      <c r="M80" s="496">
        <v>1</v>
      </c>
      <c r="N80" s="496">
        <v>1</v>
      </c>
      <c r="O80" s="496">
        <v>1</v>
      </c>
      <c r="P80" s="496">
        <v>1</v>
      </c>
      <c r="Q80" s="496">
        <v>1</v>
      </c>
      <c r="R80" s="496">
        <v>1</v>
      </c>
      <c r="S80" s="496">
        <v>1</v>
      </c>
      <c r="T80" s="496">
        <v>1</v>
      </c>
      <c r="U80" s="496">
        <v>1</v>
      </c>
      <c r="V80" s="496">
        <v>1</v>
      </c>
      <c r="W80" s="496">
        <v>1</v>
      </c>
      <c r="X80" s="496">
        <v>1</v>
      </c>
      <c r="Y80" s="496">
        <v>1</v>
      </c>
      <c r="Z80" s="496">
        <v>1</v>
      </c>
      <c r="AA80" s="496">
        <v>1</v>
      </c>
      <c r="AB80" s="496">
        <v>1</v>
      </c>
      <c r="AC80" s="496">
        <v>1</v>
      </c>
      <c r="AD80" s="496">
        <v>1</v>
      </c>
      <c r="AE80" s="496">
        <v>1</v>
      </c>
      <c r="AF80" s="496">
        <v>1</v>
      </c>
      <c r="AG80" s="496">
        <v>1</v>
      </c>
      <c r="AH80" s="496">
        <v>1</v>
      </c>
      <c r="AI80" s="496">
        <v>1</v>
      </c>
      <c r="AJ80" s="496">
        <v>1</v>
      </c>
      <c r="AK80" s="496">
        <v>1</v>
      </c>
      <c r="AL80" s="496">
        <v>1</v>
      </c>
      <c r="AM80" s="496">
        <v>1</v>
      </c>
      <c r="AN80" s="496">
        <v>1</v>
      </c>
      <c r="AO80" s="496">
        <v>1</v>
      </c>
      <c r="AP80" s="496">
        <v>1</v>
      </c>
    </row>
    <row r="82" spans="1:44">
      <c r="E82" s="533" t="s">
        <v>751</v>
      </c>
    </row>
    <row r="83" spans="1:44" ht="15" thickBot="1">
      <c r="C83" s="539" t="s">
        <v>545</v>
      </c>
      <c r="D83" s="539" t="s">
        <v>585</v>
      </c>
      <c r="E83" s="539" t="s">
        <v>552</v>
      </c>
      <c r="F83" s="540" t="s">
        <v>88</v>
      </c>
      <c r="G83" s="540" t="s">
        <v>89</v>
      </c>
      <c r="H83" s="540" t="s">
        <v>90</v>
      </c>
      <c r="I83" s="540" t="s">
        <v>91</v>
      </c>
      <c r="J83" s="540" t="s">
        <v>92</v>
      </c>
      <c r="K83" s="540" t="s">
        <v>93</v>
      </c>
      <c r="L83" s="540" t="s">
        <v>94</v>
      </c>
      <c r="M83" s="540" t="s">
        <v>95</v>
      </c>
      <c r="N83" s="540" t="s">
        <v>96</v>
      </c>
      <c r="O83" s="540" t="s">
        <v>97</v>
      </c>
      <c r="P83" s="540" t="s">
        <v>98</v>
      </c>
      <c r="Q83" s="540" t="s">
        <v>99</v>
      </c>
      <c r="R83" s="540" t="s">
        <v>205</v>
      </c>
      <c r="S83" s="540" t="s">
        <v>118</v>
      </c>
      <c r="T83" s="540" t="s">
        <v>100</v>
      </c>
      <c r="U83" s="540" t="s">
        <v>101</v>
      </c>
      <c r="V83" s="540" t="s">
        <v>102</v>
      </c>
      <c r="W83" s="540" t="s">
        <v>103</v>
      </c>
      <c r="X83" s="540" t="s">
        <v>104</v>
      </c>
      <c r="Y83" s="540" t="s">
        <v>105</v>
      </c>
      <c r="Z83" s="540" t="s">
        <v>106</v>
      </c>
      <c r="AA83" s="540" t="s">
        <v>107</v>
      </c>
      <c r="AB83" s="540" t="s">
        <v>108</v>
      </c>
      <c r="AC83" s="540" t="s">
        <v>109</v>
      </c>
      <c r="AD83" s="540" t="s">
        <v>110</v>
      </c>
      <c r="AE83" s="540" t="s">
        <v>111</v>
      </c>
      <c r="AF83" s="540" t="s">
        <v>112</v>
      </c>
      <c r="AG83" s="540" t="s">
        <v>113</v>
      </c>
      <c r="AH83" s="540" t="s">
        <v>114</v>
      </c>
      <c r="AI83" s="540" t="s">
        <v>115</v>
      </c>
      <c r="AJ83" s="540" t="s">
        <v>52</v>
      </c>
      <c r="AK83" s="540" t="s">
        <v>116</v>
      </c>
      <c r="AL83" s="540" t="s">
        <v>117</v>
      </c>
      <c r="AM83" s="540" t="s">
        <v>119</v>
      </c>
      <c r="AN83" s="540" t="s">
        <v>120</v>
      </c>
      <c r="AO83" s="540" t="s">
        <v>121</v>
      </c>
      <c r="AP83" s="540" t="s">
        <v>122</v>
      </c>
    </row>
    <row r="84" spans="1:44">
      <c r="A84" t="str">
        <f>A80</f>
        <v>Electricity</v>
      </c>
      <c r="C84" t="str">
        <f>C80</f>
        <v>RDWAELC00</v>
      </c>
      <c r="F84" s="509">
        <v>15</v>
      </c>
      <c r="G84" s="509">
        <v>15</v>
      </c>
      <c r="H84" s="509">
        <v>15</v>
      </c>
      <c r="I84" s="509">
        <v>15</v>
      </c>
      <c r="J84" s="509">
        <v>15</v>
      </c>
      <c r="K84" s="509">
        <v>15</v>
      </c>
      <c r="L84" s="509">
        <v>15</v>
      </c>
      <c r="M84" s="509">
        <v>15</v>
      </c>
      <c r="N84" s="509">
        <v>15</v>
      </c>
      <c r="O84" s="509">
        <v>15</v>
      </c>
      <c r="P84" s="509">
        <v>15</v>
      </c>
      <c r="Q84" s="509">
        <v>15</v>
      </c>
      <c r="R84" s="509">
        <v>15</v>
      </c>
      <c r="S84" s="509">
        <v>15</v>
      </c>
      <c r="T84" s="509">
        <v>15</v>
      </c>
      <c r="U84" s="509">
        <v>15</v>
      </c>
      <c r="V84" s="509">
        <v>15</v>
      </c>
      <c r="W84" s="509">
        <v>15</v>
      </c>
      <c r="X84" s="509">
        <v>15</v>
      </c>
      <c r="Y84" s="509">
        <v>15</v>
      </c>
      <c r="Z84" s="509">
        <v>15</v>
      </c>
      <c r="AA84" s="509">
        <v>15</v>
      </c>
      <c r="AB84" s="509">
        <v>15</v>
      </c>
      <c r="AC84" s="509">
        <v>15</v>
      </c>
      <c r="AD84" s="509">
        <v>15</v>
      </c>
      <c r="AE84" s="509">
        <v>15</v>
      </c>
      <c r="AF84" s="509">
        <v>15</v>
      </c>
      <c r="AG84" s="509">
        <v>15</v>
      </c>
      <c r="AH84" s="509">
        <v>15</v>
      </c>
      <c r="AI84" s="509">
        <v>15</v>
      </c>
      <c r="AJ84" s="509">
        <v>15</v>
      </c>
      <c r="AK84" s="509">
        <v>15</v>
      </c>
      <c r="AL84" s="509">
        <v>15</v>
      </c>
      <c r="AM84" s="509">
        <v>15</v>
      </c>
      <c r="AN84" s="509">
        <v>15</v>
      </c>
      <c r="AO84" s="509">
        <v>15</v>
      </c>
      <c r="AP84" s="509">
        <v>15</v>
      </c>
    </row>
    <row r="85" spans="1:44">
      <c r="A85" s="575"/>
      <c r="B85" s="575"/>
      <c r="C85" s="575"/>
      <c r="D85" s="575"/>
      <c r="E85" s="575"/>
      <c r="F85" s="575"/>
      <c r="G85" s="575"/>
      <c r="H85" s="575"/>
      <c r="I85" s="575"/>
      <c r="J85" s="575"/>
      <c r="K85" s="575"/>
      <c r="L85" s="575"/>
      <c r="M85" s="575"/>
      <c r="N85" s="575"/>
      <c r="O85" s="575"/>
      <c r="P85" s="575"/>
      <c r="Q85" s="575"/>
      <c r="R85" s="575"/>
      <c r="S85" s="575"/>
      <c r="T85" s="575"/>
      <c r="U85" s="575"/>
      <c r="V85" s="575"/>
      <c r="W85" s="575"/>
      <c r="X85" s="575"/>
      <c r="Y85" s="575"/>
      <c r="Z85" s="575"/>
      <c r="AA85" s="575"/>
      <c r="AB85" s="575"/>
      <c r="AC85" s="575"/>
      <c r="AD85" s="575"/>
      <c r="AE85" s="575"/>
      <c r="AF85" s="575"/>
      <c r="AG85" s="575"/>
      <c r="AH85" s="575"/>
      <c r="AI85" s="575"/>
      <c r="AJ85" s="575"/>
      <c r="AK85" s="575"/>
      <c r="AL85" s="575"/>
      <c r="AM85" s="575"/>
      <c r="AN85" s="575"/>
      <c r="AO85" s="575"/>
      <c r="AP85" s="575"/>
      <c r="AQ85" s="575"/>
      <c r="AR85" s="575"/>
    </row>
    <row r="87" spans="1:44">
      <c r="E87" s="533" t="s">
        <v>598</v>
      </c>
    </row>
    <row r="88" spans="1:44" ht="15" thickBot="1">
      <c r="A88" t="s">
        <v>707</v>
      </c>
      <c r="C88" s="539" t="s">
        <v>545</v>
      </c>
      <c r="D88" s="539" t="s">
        <v>585</v>
      </c>
      <c r="E88" s="539" t="s">
        <v>592</v>
      </c>
      <c r="F88" s="540" t="s">
        <v>88</v>
      </c>
      <c r="G88" s="540" t="s">
        <v>89</v>
      </c>
      <c r="H88" s="540" t="s">
        <v>90</v>
      </c>
      <c r="I88" s="540" t="s">
        <v>91</v>
      </c>
      <c r="J88" s="540" t="s">
        <v>92</v>
      </c>
      <c r="K88" s="540" t="s">
        <v>93</v>
      </c>
      <c r="L88" s="540" t="s">
        <v>94</v>
      </c>
      <c r="M88" s="540" t="s">
        <v>95</v>
      </c>
      <c r="N88" s="540" t="s">
        <v>96</v>
      </c>
      <c r="O88" s="540" t="s">
        <v>97</v>
      </c>
      <c r="P88" s="540" t="s">
        <v>98</v>
      </c>
      <c r="Q88" s="540" t="s">
        <v>99</v>
      </c>
      <c r="R88" s="540" t="s">
        <v>205</v>
      </c>
      <c r="S88" s="540" t="s">
        <v>118</v>
      </c>
      <c r="T88" s="540" t="s">
        <v>100</v>
      </c>
      <c r="U88" s="540" t="s">
        <v>101</v>
      </c>
      <c r="V88" s="540" t="s">
        <v>102</v>
      </c>
      <c r="W88" s="540" t="s">
        <v>103</v>
      </c>
      <c r="X88" s="540" t="s">
        <v>104</v>
      </c>
      <c r="Y88" s="540" t="s">
        <v>105</v>
      </c>
      <c r="Z88" s="540" t="s">
        <v>106</v>
      </c>
      <c r="AA88" s="540" t="s">
        <v>107</v>
      </c>
      <c r="AB88" s="540" t="s">
        <v>108</v>
      </c>
      <c r="AC88" s="540" t="s">
        <v>109</v>
      </c>
      <c r="AD88" s="540" t="s">
        <v>110</v>
      </c>
      <c r="AE88" s="540" t="s">
        <v>111</v>
      </c>
      <c r="AF88" s="540" t="s">
        <v>112</v>
      </c>
      <c r="AG88" s="540" t="s">
        <v>113</v>
      </c>
      <c r="AH88" s="540" t="s">
        <v>114</v>
      </c>
      <c r="AI88" s="540" t="s">
        <v>115</v>
      </c>
      <c r="AJ88" s="540" t="s">
        <v>52</v>
      </c>
      <c r="AK88" s="540" t="s">
        <v>116</v>
      </c>
      <c r="AL88" s="540" t="s">
        <v>117</v>
      </c>
      <c r="AM88" s="540" t="s">
        <v>119</v>
      </c>
      <c r="AN88" s="540" t="s">
        <v>120</v>
      </c>
      <c r="AO88" s="540" t="s">
        <v>121</v>
      </c>
      <c r="AP88" s="540" t="s">
        <v>122</v>
      </c>
    </row>
    <row r="89" spans="1:44">
      <c r="A89" t="str">
        <f>A72</f>
        <v>Electricity</v>
      </c>
      <c r="C89" t="str">
        <f>CONCATENATE(E89,"ELC00")</f>
        <v>ROELELC00</v>
      </c>
      <c r="D89" t="str">
        <f>D72</f>
        <v>RSDELC-other</v>
      </c>
      <c r="E89" t="s">
        <v>701</v>
      </c>
      <c r="F89" s="496">
        <f>'IDEES(ELC)'!D35+'IDEES(ELC)'!D36+'IDEES(ELC)'!D38</f>
        <v>11.837653299771752</v>
      </c>
      <c r="G89" s="496">
        <f>'IDEES(ELC)'!E35+'IDEES(ELC)'!E36+'IDEES(ELC)'!E38</f>
        <v>15.154022442158421</v>
      </c>
      <c r="H89" s="496">
        <f>'IDEES(ELC)'!F35+'IDEES(ELC)'!F36+'IDEES(ELC)'!F38</f>
        <v>5.4094596400361885</v>
      </c>
      <c r="I89" s="496">
        <f>'IDEES(ELC)'!G35+'IDEES(ELC)'!G36+'IDEES(ELC)'!G38</f>
        <v>12.154519756597203</v>
      </c>
      <c r="J89" s="496">
        <f>'IDEES(ELC)'!H35+'IDEES(ELC)'!H36+'IDEES(ELC)'!H38</f>
        <v>1.0792462534899907</v>
      </c>
      <c r="K89" s="496">
        <f>'IDEES(ELC)'!I35+'IDEES(ELC)'!I36+'IDEES(ELC)'!I38</f>
        <v>7.9928152835333144</v>
      </c>
      <c r="L89" s="496">
        <f>'IDEES(ELC)'!J35+'IDEES(ELC)'!J36+'IDEES(ELC)'!J38</f>
        <v>112.53737199622782</v>
      </c>
      <c r="M89" s="496">
        <f>'IDEES(ELC)'!K35+'IDEES(ELC)'!K36+'IDEES(ELC)'!K38</f>
        <v>8.5268829269504884</v>
      </c>
      <c r="N89" s="496">
        <f>'IDEES(ELC)'!L35+'IDEES(ELC)'!L36+'IDEES(ELC)'!L38</f>
        <v>1.5698874428074157</v>
      </c>
      <c r="O89" s="496">
        <f>'IDEES(ELC)'!M35+'IDEES(ELC)'!M36+'IDEES(ELC)'!M38</f>
        <v>57.122913162171571</v>
      </c>
      <c r="P89">
        <f>'IDEES(ELC)'!N35+'IDEES(ELC)'!N36+'IDEES(ELC)'!N38</f>
        <v>9.0886450408654156</v>
      </c>
      <c r="Q89" s="496">
        <f>'IDEES(ELC)'!O35+'IDEES(ELC)'!O36+'IDEES(ELC)'!O38</f>
        <v>105.61309644459644</v>
      </c>
      <c r="R89" s="496">
        <f>'IDEES(ELC)'!P35+'IDEES(ELC)'!P36+'IDEES(ELC)'!P38</f>
        <v>8.0157159808388023</v>
      </c>
      <c r="S89" s="496">
        <f>'IDEES(ELC)'!Q35+'IDEES(ELC)'!Q36+'IDEES(ELC)'!Q38</f>
        <v>3.7821068749666074</v>
      </c>
      <c r="T89" s="496">
        <f>'IDEES(ELC)'!R35+'IDEES(ELC)'!R36+'IDEES(ELC)'!R38</f>
        <v>7.2788819224536674</v>
      </c>
      <c r="U89" s="496">
        <f>'IDEES(ELC)'!S35+'IDEES(ELC)'!S36+'IDEES(ELC)'!S38</f>
        <v>5.7049923250579635</v>
      </c>
      <c r="V89" s="496">
        <f>'IDEES(ELC)'!T35+'IDEES(ELC)'!T36+'IDEES(ELC)'!T38</f>
        <v>0.50301615644774655</v>
      </c>
      <c r="W89" s="496">
        <f>'IDEES(ELC)'!U35+'IDEES(ELC)'!U36+'IDEES(ELC)'!U38</f>
        <v>62.055555831745345</v>
      </c>
      <c r="X89" s="496">
        <f>'IDEES(ELC)'!V35+'IDEES(ELC)'!V36+'IDEES(ELC)'!V38</f>
        <v>2.1782679624990231</v>
      </c>
      <c r="Y89" s="496">
        <f>'IDEES(ELC)'!W35+'IDEES(ELC)'!W36+'IDEES(ELC)'!W38</f>
        <v>0.7199369608933931</v>
      </c>
      <c r="Z89" s="496">
        <f>'IDEES(ELC)'!X35+'IDEES(ELC)'!X36+'IDEES(ELC)'!X38</f>
        <v>1.8401300154975428</v>
      </c>
      <c r="AA89" s="496">
        <f>'IDEES(ELC)'!Y35+'IDEES(ELC)'!Y36+'IDEES(ELC)'!Y38</f>
        <v>0.39459237214410459</v>
      </c>
      <c r="AB89" s="496">
        <f>'IDEES(ELC)'!Z35+'IDEES(ELC)'!Z36+'IDEES(ELC)'!Z38</f>
        <v>23.128926024157902</v>
      </c>
      <c r="AC89" s="496">
        <f>'IDEES(ELC)'!AA35+'IDEES(ELC)'!AA36+'IDEES(ELC)'!AA38</f>
        <v>21.527707599839349</v>
      </c>
      <c r="AD89" s="496">
        <f>'IDEES(ELC)'!AB35+'IDEES(ELC)'!AB36+'IDEES(ELC)'!AB38</f>
        <v>26.12489898533584</v>
      </c>
      <c r="AE89" s="496">
        <f>'IDEES(ELC)'!AC35+'IDEES(ELC)'!AC36+'IDEES(ELC)'!AC38</f>
        <v>11.005491526914611</v>
      </c>
      <c r="AF89" s="496">
        <f>'IDEES(ELC)'!AD35+'IDEES(ELC)'!AD36+'IDEES(ELC)'!AD38</f>
        <v>11.951793052047169</v>
      </c>
      <c r="AG89" s="496">
        <f>'IDEES(ELC)'!AE35+'IDEES(ELC)'!AE36+'IDEES(ELC)'!AE38</f>
        <v>15.229260579633699</v>
      </c>
      <c r="AH89" s="496">
        <f>'IDEES(ELC)'!AF35+'IDEES(ELC)'!AF36+'IDEES(ELC)'!AF38</f>
        <v>2.3032671531121904</v>
      </c>
      <c r="AI89" s="496">
        <f>'IDEES(ELC)'!AG35+'IDEES(ELC)'!AG36+'IDEES(ELC)'!AG38</f>
        <v>3.6463416647718305</v>
      </c>
      <c r="AJ89" s="496">
        <f>'IDEES(ELC)'!AH35+'IDEES(ELC)'!AH36+'IDEES(ELC)'!AH38</f>
        <v>83.499470672838783</v>
      </c>
      <c r="AK89" s="496">
        <f>'IDEES(ELC)'!AI35+'IDEES(ELC)'!AI36+'IDEES(ELC)'!AI38</f>
        <v>1.2059586002617029</v>
      </c>
      <c r="AL89" s="496">
        <f>'IDEES(ELC)'!AJ35+'IDEES(ELC)'!AJ36+'IDEES(ELC)'!AJ38</f>
        <v>3.0039644353583608</v>
      </c>
      <c r="AM89" s="496">
        <f>'IDEES(ELC)'!AK35+'IDEES(ELC)'!AK36+'IDEES(ELC)'!AK38</f>
        <v>0.5963480342293942</v>
      </c>
      <c r="AN89" s="496">
        <f>'IDEES(ELC)'!AL35+'IDEES(ELC)'!AL36+'IDEES(ELC)'!AL38</f>
        <v>2.1364649487554779</v>
      </c>
      <c r="AO89" s="496">
        <f>'IDEES(ELC)'!AM35+'IDEES(ELC)'!AM36+'IDEES(ELC)'!AM38</f>
        <v>9.677696110343355</v>
      </c>
      <c r="AP89" s="496">
        <f>'IDEES(ELC)'!AN35+'IDEES(ELC)'!AN36+'IDEES(ELC)'!AN38</f>
        <v>1.4818226452934886</v>
      </c>
      <c r="AQ89" s="509"/>
    </row>
    <row r="90" spans="1:44">
      <c r="F90" s="509"/>
      <c r="G90" s="509"/>
      <c r="H90" s="509"/>
      <c r="I90" s="509"/>
      <c r="J90" s="509"/>
      <c r="K90" s="509"/>
      <c r="L90" s="509"/>
      <c r="M90" s="509"/>
      <c r="N90" s="509"/>
      <c r="O90" s="509"/>
      <c r="P90" s="509"/>
      <c r="Q90" s="509"/>
      <c r="R90" s="509"/>
      <c r="S90" s="509"/>
      <c r="T90" s="509"/>
      <c r="U90" s="509"/>
      <c r="V90" s="509"/>
      <c r="W90" s="509"/>
      <c r="X90" s="509"/>
      <c r="Y90" s="509"/>
      <c r="Z90" s="509"/>
      <c r="AA90" s="509"/>
      <c r="AB90" s="509"/>
      <c r="AC90" s="509"/>
      <c r="AD90" s="509"/>
      <c r="AE90" s="509"/>
      <c r="AF90" s="509"/>
      <c r="AG90" s="509"/>
      <c r="AH90" s="509"/>
      <c r="AI90" s="509"/>
      <c r="AJ90" s="509"/>
      <c r="AK90" s="509"/>
      <c r="AL90" s="509"/>
      <c r="AM90" s="509"/>
      <c r="AN90" s="509"/>
      <c r="AO90" s="509"/>
      <c r="AP90" s="509"/>
      <c r="AQ90" s="509"/>
    </row>
    <row r="91" spans="1:44">
      <c r="E91" s="534" t="s">
        <v>584</v>
      </c>
      <c r="AQ91" s="509"/>
    </row>
    <row r="92" spans="1:44" ht="15" thickBot="1">
      <c r="C92" s="539" t="s">
        <v>545</v>
      </c>
      <c r="D92" s="539" t="s">
        <v>585</v>
      </c>
      <c r="E92" s="539" t="s">
        <v>552</v>
      </c>
      <c r="F92" s="540" t="s">
        <v>88</v>
      </c>
      <c r="G92" s="540" t="s">
        <v>89</v>
      </c>
      <c r="H92" s="540" t="s">
        <v>90</v>
      </c>
      <c r="I92" s="540" t="s">
        <v>91</v>
      </c>
      <c r="J92" s="540" t="s">
        <v>92</v>
      </c>
      <c r="K92" s="540" t="s">
        <v>93</v>
      </c>
      <c r="L92" s="540" t="s">
        <v>94</v>
      </c>
      <c r="M92" s="540" t="s">
        <v>95</v>
      </c>
      <c r="N92" s="540" t="s">
        <v>96</v>
      </c>
      <c r="O92" s="540" t="s">
        <v>97</v>
      </c>
      <c r="P92" s="540" t="s">
        <v>98</v>
      </c>
      <c r="Q92" s="540" t="s">
        <v>99</v>
      </c>
      <c r="R92" s="540" t="s">
        <v>205</v>
      </c>
      <c r="S92" s="540" t="s">
        <v>118</v>
      </c>
      <c r="T92" s="540" t="s">
        <v>100</v>
      </c>
      <c r="U92" s="540" t="s">
        <v>101</v>
      </c>
      <c r="V92" s="540" t="s">
        <v>102</v>
      </c>
      <c r="W92" s="540" t="s">
        <v>103</v>
      </c>
      <c r="X92" s="540" t="s">
        <v>104</v>
      </c>
      <c r="Y92" s="540" t="s">
        <v>105</v>
      </c>
      <c r="Z92" s="540" t="s">
        <v>106</v>
      </c>
      <c r="AA92" s="540" t="s">
        <v>107</v>
      </c>
      <c r="AB92" s="540" t="s">
        <v>108</v>
      </c>
      <c r="AC92" s="540" t="s">
        <v>109</v>
      </c>
      <c r="AD92" s="540" t="s">
        <v>110</v>
      </c>
      <c r="AE92" s="540" t="s">
        <v>111</v>
      </c>
      <c r="AF92" s="540" t="s">
        <v>112</v>
      </c>
      <c r="AG92" s="540" t="s">
        <v>113</v>
      </c>
      <c r="AH92" s="540" t="s">
        <v>114</v>
      </c>
      <c r="AI92" s="540" t="s">
        <v>115</v>
      </c>
      <c r="AJ92" s="540" t="s">
        <v>52</v>
      </c>
      <c r="AK92" s="540" t="s">
        <v>116</v>
      </c>
      <c r="AL92" s="540" t="s">
        <v>117</v>
      </c>
      <c r="AM92" s="540" t="s">
        <v>119</v>
      </c>
      <c r="AN92" s="540" t="s">
        <v>120</v>
      </c>
      <c r="AO92" s="540" t="s">
        <v>121</v>
      </c>
      <c r="AP92" s="540" t="s">
        <v>122</v>
      </c>
    </row>
    <row r="93" spans="1:44">
      <c r="A93" t="str">
        <f>A89</f>
        <v>Electricity</v>
      </c>
      <c r="C93" t="str">
        <f>C89</f>
        <v>ROELELC00</v>
      </c>
      <c r="D93" t="str">
        <f>D89</f>
        <v>RSDELC-other</v>
      </c>
      <c r="F93" s="496">
        <f>('IDEES(ELC)'!D21+'IDEES(ELC)'!D22+'IDEES(ELC)'!D25)/('IDEES(ELC)'!D35+'IDEES(ELC)'!D36+'IDEES(ELC)'!D38)</f>
        <v>1.1826273836783117</v>
      </c>
      <c r="G93" s="496">
        <f>('IDEES(ELC)'!E21+'IDEES(ELC)'!E22+'IDEES(ELC)'!E25)/('IDEES(ELC)'!E35+'IDEES(ELC)'!E36+'IDEES(ELC)'!E38)</f>
        <v>1.2446124530955625</v>
      </c>
      <c r="H93" s="496">
        <f>('IDEES(ELC)'!F21+'IDEES(ELC)'!F22+'IDEES(ELC)'!F25)/('IDEES(ELC)'!F35+'IDEES(ELC)'!F36+'IDEES(ELC)'!F38)</f>
        <v>1.6265523962650617</v>
      </c>
      <c r="I93" s="667">
        <f>F93</f>
        <v>1.1826273836783117</v>
      </c>
      <c r="J93" s="496">
        <f>('IDEES(ELC)'!H21+'IDEES(ELC)'!H22+'IDEES(ELC)'!H25)/('IDEES(ELC)'!H35+'IDEES(ELC)'!H36+'IDEES(ELC)'!H38)</f>
        <v>1.7455907288887078</v>
      </c>
      <c r="K93" s="496">
        <f>('IDEES(ELC)'!I21+'IDEES(ELC)'!I22+'IDEES(ELC)'!I25)/('IDEES(ELC)'!I35+'IDEES(ELC)'!I36+'IDEES(ELC)'!I38)</f>
        <v>0.88069196836089492</v>
      </c>
      <c r="L93" s="496">
        <f>('IDEES(ELC)'!J21+'IDEES(ELC)'!J22+'IDEES(ELC)'!J25)/('IDEES(ELC)'!J35+'IDEES(ELC)'!J36+'IDEES(ELC)'!J38)</f>
        <v>1.0081829587757127</v>
      </c>
      <c r="M93" s="496">
        <f>('IDEES(ELC)'!K21+'IDEES(ELC)'!K22+'IDEES(ELC)'!K25)/('IDEES(ELC)'!K35+'IDEES(ELC)'!K36+'IDEES(ELC)'!K38)</f>
        <v>1.0141848403555798</v>
      </c>
      <c r="N93" s="496">
        <f>('IDEES(ELC)'!L21+'IDEES(ELC)'!L22+'IDEES(ELC)'!L25)/('IDEES(ELC)'!L35+'IDEES(ELC)'!L36+'IDEES(ELC)'!L38)</f>
        <v>1.5334123638667205</v>
      </c>
      <c r="O93" s="496">
        <f>('IDEES(ELC)'!M21+'IDEES(ELC)'!M22+'IDEES(ELC)'!M25)/('IDEES(ELC)'!M35+'IDEES(ELC)'!M36+'IDEES(ELC)'!M38)</f>
        <v>1.5224105424929624</v>
      </c>
      <c r="P93" s="496">
        <f>('IDEES(ELC)'!N21+'IDEES(ELC)'!N22+'IDEES(ELC)'!N25)/('IDEES(ELC)'!N35+'IDEES(ELC)'!N36+'IDEES(ELC)'!N38)</f>
        <v>1.1805012115401501</v>
      </c>
      <c r="Q93" s="496">
        <f>('IDEES(ELC)'!O21+'IDEES(ELC)'!O22+'IDEES(ELC)'!O25)/('IDEES(ELC)'!O35+'IDEES(ELC)'!O36+'IDEES(ELC)'!O38)</f>
        <v>1.3991597071061959</v>
      </c>
      <c r="R93" s="496">
        <f>('IDEES(ELC)'!P21+'IDEES(ELC)'!P22+'IDEES(ELC)'!P25)/('IDEES(ELC)'!P35+'IDEES(ELC)'!P36+'IDEES(ELC)'!P38)</f>
        <v>1.1383772480727452</v>
      </c>
      <c r="S93" s="496">
        <f>('IDEES(ELC)'!Q21+'IDEES(ELC)'!Q22+'IDEES(ELC)'!Q25)/('IDEES(ELC)'!Q35+'IDEES(ELC)'!Q36+'IDEES(ELC)'!Q38)</f>
        <v>1.2899263700587715</v>
      </c>
      <c r="T93" s="496">
        <f>('IDEES(ELC)'!R21+'IDEES(ELC)'!R22+'IDEES(ELC)'!R25)/('IDEES(ELC)'!R35+'IDEES(ELC)'!R36+'IDEES(ELC)'!R38)</f>
        <v>0.94616772726523635</v>
      </c>
      <c r="U93" s="496">
        <f>('IDEES(ELC)'!S21+'IDEES(ELC)'!S22+'IDEES(ELC)'!S25)/('IDEES(ELC)'!S35+'IDEES(ELC)'!S36+'IDEES(ELC)'!S38)</f>
        <v>1.312095715032175</v>
      </c>
      <c r="V93" s="667">
        <f>AC93</f>
        <v>1.02825707670547</v>
      </c>
      <c r="W93" s="496">
        <f>('IDEES(ELC)'!U21+'IDEES(ELC)'!U22+'IDEES(ELC)'!U25)/('IDEES(ELC)'!U35+'IDEES(ELC)'!U36+'IDEES(ELC)'!U38)</f>
        <v>1.1310411880976934</v>
      </c>
      <c r="X93" s="496">
        <f>('IDEES(ELC)'!V21+'IDEES(ELC)'!V22+'IDEES(ELC)'!V25)/('IDEES(ELC)'!V35+'IDEES(ELC)'!V36+'IDEES(ELC)'!V38)</f>
        <v>1.0734411144703455</v>
      </c>
      <c r="Y93" s="496">
        <f>('IDEES(ELC)'!W21+'IDEES(ELC)'!W22+'IDEES(ELC)'!W25)/('IDEES(ELC)'!W35+'IDEES(ELC)'!W36+'IDEES(ELC)'!W38)</f>
        <v>1.1521221532656165</v>
      </c>
      <c r="Z93" s="496">
        <f>('IDEES(ELC)'!X21+'IDEES(ELC)'!X22+'IDEES(ELC)'!X25)/('IDEES(ELC)'!X35+'IDEES(ELC)'!X36+'IDEES(ELC)'!X38)</f>
        <v>1.5002997555330551</v>
      </c>
      <c r="AA93" s="496">
        <f>('IDEES(ELC)'!Y21+'IDEES(ELC)'!Y22+'IDEES(ELC)'!Y25)/('IDEES(ELC)'!Y35+'IDEES(ELC)'!Y36+'IDEES(ELC)'!Y38)</f>
        <v>1.1696570742412806</v>
      </c>
      <c r="AB93" s="496">
        <f>('IDEES(ELC)'!Z21+'IDEES(ELC)'!Z22+'IDEES(ELC)'!Z25)/('IDEES(ELC)'!Z35+'IDEES(ELC)'!Z36+'IDEES(ELC)'!Z38)</f>
        <v>1.0075968561816739</v>
      </c>
      <c r="AC93" s="667">
        <f>AG93</f>
        <v>1.02825707670547</v>
      </c>
      <c r="AD93" s="496">
        <f>('IDEES(ELC)'!AB21+'IDEES(ELC)'!AB22+'IDEES(ELC)'!AB25)/('IDEES(ELC)'!AB35+'IDEES(ELC)'!AB36+'IDEES(ELC)'!AB38)</f>
        <v>0.966265892862188</v>
      </c>
      <c r="AE93" s="496">
        <f>('IDEES(ELC)'!AC21+'IDEES(ELC)'!AC22+'IDEES(ELC)'!AC25)/('IDEES(ELC)'!AC35+'IDEES(ELC)'!AC36+'IDEES(ELC)'!AC38)</f>
        <v>1.4367497168600276</v>
      </c>
      <c r="AF93" s="496">
        <f>('IDEES(ELC)'!AD21+'IDEES(ELC)'!AD22+'IDEES(ELC)'!AD25)/('IDEES(ELC)'!AD35+'IDEES(ELC)'!AD36+'IDEES(ELC)'!AD38)</f>
        <v>1.2862389684171158</v>
      </c>
      <c r="AG93" s="496">
        <f>('IDEES(ELC)'!AE21+'IDEES(ELC)'!AE22+'IDEES(ELC)'!AE25)/('IDEES(ELC)'!AE35+'IDEES(ELC)'!AE36+'IDEES(ELC)'!AE38)</f>
        <v>1.02825707670547</v>
      </c>
      <c r="AH93" s="496">
        <f>('IDEES(ELC)'!AF21+'IDEES(ELC)'!AF22+'IDEES(ELC)'!AF25)/('IDEES(ELC)'!AF35+'IDEES(ELC)'!AF36+'IDEES(ELC)'!AF38)</f>
        <v>1.3391207154725413</v>
      </c>
      <c r="AI93" s="496">
        <f>('IDEES(ELC)'!AG21+'IDEES(ELC)'!AG22+'IDEES(ELC)'!AG25)/('IDEES(ELC)'!AG35+'IDEES(ELC)'!AG36+'IDEES(ELC)'!AG38)</f>
        <v>0.94329318528499184</v>
      </c>
      <c r="AJ93" s="496">
        <f>('IDEES(ELC)'!AH21+'IDEES(ELC)'!AH22+'IDEES(ELC)'!AH25)/('IDEES(ELC)'!AH35+'IDEES(ELC)'!AH36+'IDEES(ELC)'!AH38)</f>
        <v>1.2119483942180007</v>
      </c>
      <c r="AK93" s="667">
        <f>R93</f>
        <v>1.1383772480727452</v>
      </c>
      <c r="AL93" s="667">
        <f>AK93</f>
        <v>1.1383772480727452</v>
      </c>
      <c r="AM93" s="667">
        <f>AL93</f>
        <v>1.1383772480727452</v>
      </c>
      <c r="AN93" s="667">
        <f>AM93</f>
        <v>1.1383772480727452</v>
      </c>
      <c r="AO93" s="667">
        <f>AN93</f>
        <v>1.1383772480727452</v>
      </c>
      <c r="AP93" s="667">
        <f>AO93</f>
        <v>1.1383772480727452</v>
      </c>
      <c r="AQ93" s="509"/>
    </row>
    <row r="95" spans="1:44">
      <c r="E95" s="533" t="s">
        <v>607</v>
      </c>
    </row>
    <row r="96" spans="1:44" ht="15" thickBot="1">
      <c r="C96" s="539" t="s">
        <v>545</v>
      </c>
      <c r="D96" s="539" t="s">
        <v>585</v>
      </c>
      <c r="E96" s="539" t="s">
        <v>552</v>
      </c>
      <c r="F96" s="540" t="s">
        <v>88</v>
      </c>
      <c r="G96" s="540" t="s">
        <v>89</v>
      </c>
      <c r="H96" s="540" t="s">
        <v>90</v>
      </c>
      <c r="I96" s="540" t="s">
        <v>91</v>
      </c>
      <c r="J96" s="540" t="s">
        <v>92</v>
      </c>
      <c r="K96" s="540" t="s">
        <v>93</v>
      </c>
      <c r="L96" s="540" t="s">
        <v>94</v>
      </c>
      <c r="M96" s="540" t="s">
        <v>95</v>
      </c>
      <c r="N96" s="540" t="s">
        <v>96</v>
      </c>
      <c r="O96" s="540" t="s">
        <v>97</v>
      </c>
      <c r="P96" s="540" t="s">
        <v>98</v>
      </c>
      <c r="Q96" s="540" t="s">
        <v>99</v>
      </c>
      <c r="R96" s="540" t="s">
        <v>205</v>
      </c>
      <c r="S96" s="540" t="s">
        <v>118</v>
      </c>
      <c r="T96" s="540" t="s">
        <v>100</v>
      </c>
      <c r="U96" s="540" t="s">
        <v>101</v>
      </c>
      <c r="V96" s="540" t="s">
        <v>102</v>
      </c>
      <c r="W96" s="540" t="s">
        <v>103</v>
      </c>
      <c r="X96" s="540" t="s">
        <v>104</v>
      </c>
      <c r="Y96" s="540" t="s">
        <v>105</v>
      </c>
      <c r="Z96" s="540" t="s">
        <v>106</v>
      </c>
      <c r="AA96" s="540" t="s">
        <v>107</v>
      </c>
      <c r="AB96" s="540" t="s">
        <v>108</v>
      </c>
      <c r="AC96" s="540" t="s">
        <v>109</v>
      </c>
      <c r="AD96" s="540" t="s">
        <v>110</v>
      </c>
      <c r="AE96" s="540" t="s">
        <v>111</v>
      </c>
      <c r="AF96" s="540" t="s">
        <v>112</v>
      </c>
      <c r="AG96" s="540" t="s">
        <v>113</v>
      </c>
      <c r="AH96" s="540" t="s">
        <v>114</v>
      </c>
      <c r="AI96" s="540" t="s">
        <v>115</v>
      </c>
      <c r="AJ96" s="540" t="s">
        <v>52</v>
      </c>
      <c r="AK96" s="540" t="s">
        <v>116</v>
      </c>
      <c r="AL96" s="540" t="s">
        <v>117</v>
      </c>
      <c r="AM96" s="540" t="s">
        <v>119</v>
      </c>
      <c r="AN96" s="540" t="s">
        <v>120</v>
      </c>
      <c r="AO96" s="540" t="s">
        <v>121</v>
      </c>
      <c r="AP96" s="540" t="s">
        <v>122</v>
      </c>
    </row>
    <row r="97" spans="1:42">
      <c r="A97" t="str">
        <f>A93</f>
        <v>Electricity</v>
      </c>
      <c r="C97" t="str">
        <f>C93</f>
        <v>ROELELC00</v>
      </c>
      <c r="F97" s="496">
        <v>1</v>
      </c>
      <c r="G97" s="496">
        <f>F97</f>
        <v>1</v>
      </c>
      <c r="H97" s="496">
        <f t="shared" ref="H97:AP97" si="0">G97</f>
        <v>1</v>
      </c>
      <c r="I97" s="496">
        <f t="shared" si="0"/>
        <v>1</v>
      </c>
      <c r="J97" s="496">
        <f t="shared" si="0"/>
        <v>1</v>
      </c>
      <c r="K97" s="496">
        <f t="shared" si="0"/>
        <v>1</v>
      </c>
      <c r="L97" s="496">
        <f t="shared" si="0"/>
        <v>1</v>
      </c>
      <c r="M97" s="496">
        <f t="shared" si="0"/>
        <v>1</v>
      </c>
      <c r="N97" s="496">
        <f t="shared" si="0"/>
        <v>1</v>
      </c>
      <c r="O97" s="496">
        <f t="shared" si="0"/>
        <v>1</v>
      </c>
      <c r="P97" s="496">
        <f t="shared" si="0"/>
        <v>1</v>
      </c>
      <c r="Q97" s="496">
        <f t="shared" si="0"/>
        <v>1</v>
      </c>
      <c r="R97" s="496">
        <f t="shared" si="0"/>
        <v>1</v>
      </c>
      <c r="S97" s="496">
        <f t="shared" si="0"/>
        <v>1</v>
      </c>
      <c r="T97" s="496">
        <f t="shared" si="0"/>
        <v>1</v>
      </c>
      <c r="U97" s="496">
        <f t="shared" si="0"/>
        <v>1</v>
      </c>
      <c r="V97" s="496">
        <f t="shared" si="0"/>
        <v>1</v>
      </c>
      <c r="W97" s="496">
        <f t="shared" si="0"/>
        <v>1</v>
      </c>
      <c r="X97" s="496">
        <f t="shared" si="0"/>
        <v>1</v>
      </c>
      <c r="Y97" s="496">
        <f t="shared" si="0"/>
        <v>1</v>
      </c>
      <c r="Z97" s="496">
        <f t="shared" si="0"/>
        <v>1</v>
      </c>
      <c r="AA97" s="496">
        <f t="shared" si="0"/>
        <v>1</v>
      </c>
      <c r="AB97" s="496">
        <f t="shared" si="0"/>
        <v>1</v>
      </c>
      <c r="AC97" s="496">
        <f t="shared" si="0"/>
        <v>1</v>
      </c>
      <c r="AD97" s="496">
        <f t="shared" si="0"/>
        <v>1</v>
      </c>
      <c r="AE97" s="496">
        <f t="shared" si="0"/>
        <v>1</v>
      </c>
      <c r="AF97" s="496">
        <f t="shared" si="0"/>
        <v>1</v>
      </c>
      <c r="AG97" s="496">
        <f t="shared" si="0"/>
        <v>1</v>
      </c>
      <c r="AH97" s="496">
        <f t="shared" si="0"/>
        <v>1</v>
      </c>
      <c r="AI97" s="496">
        <f t="shared" si="0"/>
        <v>1</v>
      </c>
      <c r="AJ97" s="496">
        <f t="shared" si="0"/>
        <v>1</v>
      </c>
      <c r="AK97" s="496">
        <f t="shared" si="0"/>
        <v>1</v>
      </c>
      <c r="AL97" s="496">
        <f t="shared" si="0"/>
        <v>1</v>
      </c>
      <c r="AM97" s="496">
        <f t="shared" si="0"/>
        <v>1</v>
      </c>
      <c r="AN97" s="496">
        <f t="shared" si="0"/>
        <v>1</v>
      </c>
      <c r="AO97" s="496">
        <f t="shared" si="0"/>
        <v>1</v>
      </c>
      <c r="AP97" s="496">
        <f t="shared" si="0"/>
        <v>1</v>
      </c>
    </row>
    <row r="99" spans="1:42">
      <c r="E99" s="533" t="s">
        <v>751</v>
      </c>
    </row>
    <row r="100" spans="1:42" ht="15" thickBot="1">
      <c r="C100" s="539" t="s">
        <v>545</v>
      </c>
      <c r="D100" s="539" t="s">
        <v>585</v>
      </c>
      <c r="E100" s="539" t="s">
        <v>552</v>
      </c>
      <c r="F100" s="540" t="s">
        <v>88</v>
      </c>
      <c r="G100" s="540" t="s">
        <v>89</v>
      </c>
      <c r="H100" s="540" t="s">
        <v>90</v>
      </c>
      <c r="I100" s="540" t="s">
        <v>91</v>
      </c>
      <c r="J100" s="540" t="s">
        <v>92</v>
      </c>
      <c r="K100" s="540" t="s">
        <v>93</v>
      </c>
      <c r="L100" s="540" t="s">
        <v>94</v>
      </c>
      <c r="M100" s="540" t="s">
        <v>95</v>
      </c>
      <c r="N100" s="540" t="s">
        <v>96</v>
      </c>
      <c r="O100" s="540" t="s">
        <v>97</v>
      </c>
      <c r="P100" s="540" t="s">
        <v>98</v>
      </c>
      <c r="Q100" s="540" t="s">
        <v>99</v>
      </c>
      <c r="R100" s="540" t="s">
        <v>205</v>
      </c>
      <c r="S100" s="540" t="s">
        <v>118</v>
      </c>
      <c r="T100" s="540" t="s">
        <v>100</v>
      </c>
      <c r="U100" s="540" t="s">
        <v>101</v>
      </c>
      <c r="V100" s="540" t="s">
        <v>102</v>
      </c>
      <c r="W100" s="540" t="s">
        <v>103</v>
      </c>
      <c r="X100" s="540" t="s">
        <v>104</v>
      </c>
      <c r="Y100" s="540" t="s">
        <v>105</v>
      </c>
      <c r="Z100" s="540" t="s">
        <v>106</v>
      </c>
      <c r="AA100" s="540" t="s">
        <v>107</v>
      </c>
      <c r="AB100" s="540" t="s">
        <v>108</v>
      </c>
      <c r="AC100" s="540" t="s">
        <v>109</v>
      </c>
      <c r="AD100" s="540" t="s">
        <v>110</v>
      </c>
      <c r="AE100" s="540" t="s">
        <v>111</v>
      </c>
      <c r="AF100" s="540" t="s">
        <v>112</v>
      </c>
      <c r="AG100" s="540" t="s">
        <v>113</v>
      </c>
      <c r="AH100" s="540" t="s">
        <v>114</v>
      </c>
      <c r="AI100" s="540" t="s">
        <v>115</v>
      </c>
      <c r="AJ100" s="540" t="s">
        <v>52</v>
      </c>
      <c r="AK100" s="540" t="s">
        <v>116</v>
      </c>
      <c r="AL100" s="540" t="s">
        <v>117</v>
      </c>
      <c r="AM100" s="540" t="s">
        <v>119</v>
      </c>
      <c r="AN100" s="540" t="s">
        <v>120</v>
      </c>
      <c r="AO100" s="540" t="s">
        <v>121</v>
      </c>
      <c r="AP100" s="540" t="s">
        <v>122</v>
      </c>
    </row>
    <row r="101" spans="1:42">
      <c r="A101" t="str">
        <f>A97</f>
        <v>Electricity</v>
      </c>
      <c r="C101" t="str">
        <f>C97</f>
        <v>ROELELC00</v>
      </c>
      <c r="F101" s="509">
        <v>10</v>
      </c>
      <c r="G101" s="509">
        <v>11</v>
      </c>
      <c r="H101" s="509">
        <v>12</v>
      </c>
      <c r="I101" s="509">
        <v>13</v>
      </c>
      <c r="J101" s="509">
        <v>14</v>
      </c>
      <c r="K101" s="509">
        <v>15</v>
      </c>
      <c r="L101" s="509">
        <v>16</v>
      </c>
      <c r="M101" s="509">
        <v>17</v>
      </c>
      <c r="N101" s="509">
        <v>18</v>
      </c>
      <c r="O101" s="509">
        <v>19</v>
      </c>
      <c r="P101" s="509">
        <v>20</v>
      </c>
      <c r="Q101" s="509">
        <v>21</v>
      </c>
      <c r="R101" s="509">
        <v>22</v>
      </c>
      <c r="S101" s="509">
        <v>23</v>
      </c>
      <c r="T101" s="509">
        <v>24</v>
      </c>
      <c r="U101" s="509">
        <v>25</v>
      </c>
      <c r="V101" s="509">
        <v>26</v>
      </c>
      <c r="W101" s="509">
        <v>27</v>
      </c>
      <c r="X101" s="509">
        <v>28</v>
      </c>
      <c r="Y101" s="509">
        <v>29</v>
      </c>
      <c r="Z101" s="509">
        <v>30</v>
      </c>
      <c r="AA101" s="509">
        <v>31</v>
      </c>
      <c r="AB101" s="509">
        <v>32</v>
      </c>
      <c r="AC101" s="509">
        <v>33</v>
      </c>
      <c r="AD101" s="509">
        <v>34</v>
      </c>
      <c r="AE101" s="509">
        <v>35</v>
      </c>
      <c r="AF101" s="509">
        <v>36</v>
      </c>
      <c r="AG101" s="509">
        <v>37</v>
      </c>
      <c r="AH101" s="509">
        <v>38</v>
      </c>
      <c r="AI101" s="509">
        <v>39</v>
      </c>
      <c r="AJ101" s="509">
        <v>40</v>
      </c>
      <c r="AK101" s="509">
        <v>41</v>
      </c>
      <c r="AL101" s="509">
        <v>42</v>
      </c>
      <c r="AM101" s="509">
        <v>43</v>
      </c>
      <c r="AN101" s="509">
        <v>44</v>
      </c>
      <c r="AO101" s="509">
        <v>45</v>
      </c>
      <c r="AP101" s="509">
        <v>46</v>
      </c>
    </row>
    <row r="103" spans="1:42">
      <c r="E103" s="533" t="s">
        <v>853</v>
      </c>
    </row>
    <row r="104" spans="1:42" ht="15" thickBot="1">
      <c r="E104" s="539" t="s">
        <v>552</v>
      </c>
      <c r="F104" s="540" t="str">
        <f>'IDEES(ELC)'!D18</f>
        <v>AT</v>
      </c>
      <c r="G104" s="540" t="str">
        <f>'IDEES(ELC)'!E18</f>
        <v>BE</v>
      </c>
      <c r="H104" s="540" t="str">
        <f>'IDEES(ELC)'!F18</f>
        <v>BG</v>
      </c>
      <c r="I104" s="540" t="str">
        <f>'IDEES(ELC)'!G18</f>
        <v>CH</v>
      </c>
      <c r="J104" s="540" t="str">
        <f>'IDEES(ELC)'!H18</f>
        <v>CY</v>
      </c>
      <c r="K104" s="540" t="str">
        <f>'IDEES(ELC)'!I18</f>
        <v>CZ</v>
      </c>
      <c r="L104" s="540" t="str">
        <f>'IDEES(ELC)'!J18</f>
        <v>DE</v>
      </c>
      <c r="M104" s="540" t="str">
        <f>'IDEES(ELC)'!K18</f>
        <v>DK</v>
      </c>
      <c r="N104" s="540" t="str">
        <f>'IDEES(ELC)'!L18</f>
        <v>EE</v>
      </c>
      <c r="O104" s="540" t="str">
        <f>'IDEES(ELC)'!M18</f>
        <v>ES</v>
      </c>
      <c r="P104" s="540" t="str">
        <f>'IDEES(ELC)'!N18</f>
        <v>FI</v>
      </c>
      <c r="Q104" s="540" t="str">
        <f>'IDEES(ELC)'!O18</f>
        <v>FR</v>
      </c>
      <c r="R104" s="540" t="str">
        <f>'IDEES(ELC)'!P18</f>
        <v>EL</v>
      </c>
      <c r="S104" s="540" t="str">
        <f>'IDEES(ELC)'!Q18</f>
        <v>HR</v>
      </c>
      <c r="T104" s="540" t="str">
        <f>'IDEES(ELC)'!R18</f>
        <v>HU</v>
      </c>
      <c r="U104" s="540" t="str">
        <f>'IDEES(ELC)'!S18</f>
        <v>IE</v>
      </c>
      <c r="V104" s="540" t="str">
        <f>'IDEES(ELC)'!T18</f>
        <v>IS</v>
      </c>
      <c r="W104" s="540" t="str">
        <f>'IDEES(ELC)'!U18</f>
        <v>IT</v>
      </c>
      <c r="X104" s="540" t="str">
        <f>'IDEES(ELC)'!V18</f>
        <v>LT</v>
      </c>
      <c r="Y104" s="540" t="str">
        <f>'IDEES(ELC)'!W18</f>
        <v>LU</v>
      </c>
      <c r="Z104" s="540" t="str">
        <f>'IDEES(ELC)'!X18</f>
        <v>LV</v>
      </c>
      <c r="AA104" s="540" t="str">
        <f>'IDEES(ELC)'!Y18</f>
        <v>MT</v>
      </c>
      <c r="AB104" s="540" t="str">
        <f>'IDEES(ELC)'!Z18</f>
        <v>NL</v>
      </c>
      <c r="AC104" s="540" t="str">
        <f>'IDEES(ELC)'!AA18</f>
        <v>NO</v>
      </c>
      <c r="AD104" s="540" t="str">
        <f>'IDEES(ELC)'!AB18</f>
        <v>PL</v>
      </c>
      <c r="AE104" s="540" t="str">
        <f>'IDEES(ELC)'!AC18</f>
        <v>PT</v>
      </c>
      <c r="AF104" s="540" t="str">
        <f>'IDEES(ELC)'!AD18</f>
        <v>RO</v>
      </c>
      <c r="AG104" s="540" t="str">
        <f>'IDEES(ELC)'!AE18</f>
        <v>SE</v>
      </c>
      <c r="AH104" s="540" t="str">
        <f>'IDEES(ELC)'!AF18</f>
        <v>SI</v>
      </c>
      <c r="AI104" s="540" t="str">
        <f>'IDEES(ELC)'!AG18</f>
        <v>SK</v>
      </c>
      <c r="AJ104" s="540" t="str">
        <f>'IDEES(ELC)'!AH18</f>
        <v>UK</v>
      </c>
      <c r="AK104" s="540" t="str">
        <f>'IDEES(ELC)'!AI18</f>
        <v>AL</v>
      </c>
      <c r="AL104" s="540" t="str">
        <f>'IDEES(ELC)'!AJ18</f>
        <v>BA</v>
      </c>
      <c r="AM104" s="540" t="str">
        <f>'IDEES(ELC)'!AK18</f>
        <v>ME</v>
      </c>
      <c r="AN104" s="540" t="str">
        <f>'IDEES(ELC)'!AL18</f>
        <v>MK</v>
      </c>
      <c r="AO104" s="540" t="str">
        <f>'IDEES(ELC)'!AM18</f>
        <v>RS</v>
      </c>
      <c r="AP104" s="540" t="str">
        <f>'IDEES(ELC)'!AN18</f>
        <v>KS</v>
      </c>
    </row>
    <row r="105" spans="1:42">
      <c r="E105" t="str">
        <f>TechComm!C7</f>
        <v>RLIG</v>
      </c>
      <c r="F105" s="509">
        <f>'IDEES(ELC)'!D37</f>
        <v>58.295655563543718</v>
      </c>
      <c r="G105" s="509">
        <f>'IDEES(ELC)'!E37</f>
        <v>74.896391572734416</v>
      </c>
      <c r="H105" s="509">
        <f>'IDEES(ELC)'!F37</f>
        <v>27.380606656373391</v>
      </c>
      <c r="I105" s="509">
        <f>'IDEES(ELC)'!G37</f>
        <v>59.856094728212717</v>
      </c>
      <c r="J105" s="509">
        <f>'IDEES(ELC)'!H37</f>
        <v>4.450205440254317</v>
      </c>
      <c r="K105" s="509">
        <f>'IDEES(ELC)'!I37</f>
        <v>50.731928172220336</v>
      </c>
      <c r="L105" s="509">
        <f>'IDEES(ELC)'!J37</f>
        <v>579.73034364843136</v>
      </c>
      <c r="M105" s="509">
        <f>'IDEES(ELC)'!K37</f>
        <v>48.740909903553003</v>
      </c>
      <c r="N105" s="509">
        <f>'IDEES(ELC)'!L37</f>
        <v>4.4065409350768237</v>
      </c>
      <c r="O105" s="509">
        <f>'IDEES(ELC)'!M37</f>
        <v>278.62547705694925</v>
      </c>
      <c r="P105" s="509">
        <f>'IDEES(ELC)'!N37</f>
        <v>47.446473688349116</v>
      </c>
      <c r="Q105" s="509">
        <f>'IDEES(ELC)'!O37</f>
        <v>445.84918336874699</v>
      </c>
      <c r="R105" s="509">
        <f>'IDEES(ELC)'!P37</f>
        <v>41.527975195340616</v>
      </c>
      <c r="S105" s="509">
        <f>'IDEES(ELC)'!Q37</f>
        <v>18.963960761750659</v>
      </c>
      <c r="T105" s="509">
        <f>'IDEES(ELC)'!R37</f>
        <v>42.331506480894873</v>
      </c>
      <c r="U105" s="509">
        <f>'IDEES(ELC)'!S37</f>
        <v>29.757737211228278</v>
      </c>
      <c r="V105" s="509">
        <f>'IDEES(ELC)'!T37</f>
        <v>3.0214608144774608</v>
      </c>
      <c r="W105" s="509">
        <f>'IDEES(ELC)'!U37</f>
        <v>403.10324014325903</v>
      </c>
      <c r="X105" s="509">
        <f>'IDEES(ELC)'!V37</f>
        <v>10.337988807914252</v>
      </c>
      <c r="Y105" s="509">
        <f>'IDEES(ELC)'!W37</f>
        <v>4.4381746503155695</v>
      </c>
      <c r="Z105" s="509">
        <f>'IDEES(ELC)'!X37</f>
        <v>8.0399299007598017</v>
      </c>
      <c r="AA105" s="509">
        <f>'IDEES(ELC)'!Y37</f>
        <v>1.9654578885018377</v>
      </c>
      <c r="AB105" s="509">
        <f>'IDEES(ELC)'!Z37</f>
        <v>142.95320314088821</v>
      </c>
      <c r="AC105" s="509">
        <f>'IDEES(ELC)'!AA37</f>
        <v>129.31021022820789</v>
      </c>
      <c r="AD105" s="509">
        <f>'IDEES(ELC)'!AB37</f>
        <v>145.91597848057452</v>
      </c>
      <c r="AE105" s="509">
        <f>'IDEES(ELC)'!AC37</f>
        <v>54.654963664377725</v>
      </c>
      <c r="AF105" s="509">
        <f>'IDEES(ELC)'!AD37</f>
        <v>53.864400403170009</v>
      </c>
      <c r="AG105" s="509">
        <f>'IDEES(ELC)'!AE37</f>
        <v>91.477407802923182</v>
      </c>
      <c r="AH105" s="509">
        <f>'IDEES(ELC)'!AF37</f>
        <v>9.7263295660636864</v>
      </c>
      <c r="AI105" s="509">
        <f>'IDEES(ELC)'!AG37</f>
        <v>16.314478275003943</v>
      </c>
      <c r="AJ105" s="509">
        <f>'IDEES(ELC)'!AH37</f>
        <v>494.91180343421519</v>
      </c>
      <c r="AK105" s="509">
        <f>'IDEES(ELC)'!AI37</f>
        <v>6.0468284825665055</v>
      </c>
      <c r="AL105" s="509">
        <f>'IDEES(ELC)'!AJ37</f>
        <v>15.06225645258462</v>
      </c>
      <c r="AM105" s="509">
        <f>'IDEES(ELC)'!AK37</f>
        <v>2.990164237908592</v>
      </c>
      <c r="AN105" s="509">
        <f>'IDEES(ELC)'!AL37</f>
        <v>10.712504642643722</v>
      </c>
      <c r="AO105" s="509">
        <f>'IDEES(ELC)'!AM37</f>
        <v>48.525188570277713</v>
      </c>
      <c r="AP105" s="509">
        <f>'IDEES(ELC)'!AN37</f>
        <v>7.4300455884043179</v>
      </c>
    </row>
    <row r="106" spans="1:42">
      <c r="E106" t="str">
        <f>TechComm!C8</f>
        <v>RREF</v>
      </c>
      <c r="F106">
        <f>'IDEES(ELC)'!D41</f>
        <v>6.0727723622738354</v>
      </c>
      <c r="G106">
        <f>'IDEES(ELC)'!E41</f>
        <v>6.6047816508583237</v>
      </c>
      <c r="H106">
        <f>'IDEES(ELC)'!F41</f>
        <v>2.4293827144358389</v>
      </c>
      <c r="I106">
        <f>'IDEES(ELC)'!G41</f>
        <v>6.2353263594903563</v>
      </c>
      <c r="J106">
        <f>'IDEES(ELC)'!H41</f>
        <v>0.35670079276572086</v>
      </c>
      <c r="K106">
        <f>'IDEES(ELC)'!I41</f>
        <v>3.7818813733412027</v>
      </c>
      <c r="L106">
        <f>'IDEES(ELC)'!J41</f>
        <v>50.565592772855844</v>
      </c>
      <c r="M106">
        <f>'IDEES(ELC)'!K41</f>
        <v>4.008457291113654</v>
      </c>
      <c r="N106">
        <f>'IDEES(ELC)'!L41</f>
        <v>0.56783775865856945</v>
      </c>
      <c r="O106">
        <f>'IDEES(ELC)'!M41</f>
        <v>21.183040841123319</v>
      </c>
      <c r="P106">
        <f>'IDEES(ELC)'!N41</f>
        <v>4.3461107324954114</v>
      </c>
      <c r="Q106">
        <f>'IDEES(ELC)'!O41</f>
        <v>52.635037597394827</v>
      </c>
      <c r="R106">
        <f>'IDEES(ELC)'!P41</f>
        <v>3.7295720456626751</v>
      </c>
      <c r="S106">
        <f>'IDEES(ELC)'!Q41</f>
        <v>1.683813605707049</v>
      </c>
      <c r="T106">
        <f>'IDEES(ELC)'!R41</f>
        <v>3.2302693082416112</v>
      </c>
      <c r="U106">
        <f>'IDEES(ELC)'!S41</f>
        <v>1.9244039820399439</v>
      </c>
      <c r="V106">
        <f>'IDEES(ELC)'!T41</f>
        <v>0.22283288207740554</v>
      </c>
      <c r="W106">
        <f>'IDEES(ELC)'!U41</f>
        <v>27.440102372664388</v>
      </c>
      <c r="X106">
        <f>'IDEES(ELC)'!V41</f>
        <v>0.9986434982036102</v>
      </c>
      <c r="Y106">
        <f>'IDEES(ELC)'!W41</f>
        <v>0.28655359839845035</v>
      </c>
      <c r="Z106">
        <f>'IDEES(ELC)'!X41</f>
        <v>0.72074401326741278</v>
      </c>
      <c r="AA106">
        <f>'IDEES(ELC)'!Y41</f>
        <v>0.2006707879474843</v>
      </c>
      <c r="AB106">
        <f>'IDEES(ELC)'!Z41</f>
        <v>9.4690153970685724</v>
      </c>
      <c r="AC106">
        <f>'IDEES(ELC)'!AA41</f>
        <v>9.5366342959407326</v>
      </c>
      <c r="AD106">
        <f>'IDEES(ELC)'!AB41</f>
        <v>11.633031612357847</v>
      </c>
      <c r="AE106">
        <f>'IDEES(ELC)'!AC41</f>
        <v>4.6268498820677921</v>
      </c>
      <c r="AF106">
        <f>'IDEES(ELC)'!AD41</f>
        <v>6.0311446344382356</v>
      </c>
      <c r="AG106">
        <f>'IDEES(ELC)'!AE41</f>
        <v>6.7464632763145103</v>
      </c>
      <c r="AH106">
        <f>'IDEES(ELC)'!AF41</f>
        <v>0.8961209952392809</v>
      </c>
      <c r="AI106">
        <f>'IDEES(ELC)'!AG41</f>
        <v>1.3910979094294933</v>
      </c>
      <c r="AJ106">
        <f>'IDEES(ELC)'!AH41</f>
        <v>34.487927472942388</v>
      </c>
      <c r="AK106">
        <f>'IDEES(ELC)'!AI41</f>
        <v>0.53689902643431031</v>
      </c>
      <c r="AL106">
        <f>'IDEES(ELC)'!AJ41</f>
        <v>1.3373805538906565</v>
      </c>
      <c r="AM106">
        <f>'IDEES(ELC)'!AK41</f>
        <v>0.2654972392288551</v>
      </c>
      <c r="AN106">
        <f>'IDEES(ELC)'!AL41</f>
        <v>0.95116528108752851</v>
      </c>
      <c r="AO106">
        <f>'IDEES(ELC)'!AM41</f>
        <v>4.3085605249159444</v>
      </c>
      <c r="AP106">
        <f>'IDEES(ELC)'!AN41</f>
        <v>0.65971513071322607</v>
      </c>
    </row>
    <row r="107" spans="1:42">
      <c r="E107" t="str">
        <f>TechComm!C9</f>
        <v>RCWA</v>
      </c>
      <c r="F107">
        <f>'IDEES(ELC)'!D42</f>
        <v>3.2983046002720977</v>
      </c>
      <c r="G107">
        <f>'IDEES(ELC)'!E42</f>
        <v>3.9646632637503556</v>
      </c>
      <c r="H107">
        <f>'IDEES(ELC)'!F42</f>
        <v>2.0704381599945951</v>
      </c>
      <c r="I107">
        <f>'IDEES(ELC)'!G42</f>
        <v>3.3865925460121082</v>
      </c>
      <c r="J107">
        <f>'IDEES(ELC)'!H42</f>
        <v>0.27106908506052602</v>
      </c>
      <c r="K107">
        <f>'IDEES(ELC)'!I42</f>
        <v>3.7526875306549479</v>
      </c>
      <c r="L107">
        <f>'IDEES(ELC)'!J42</f>
        <v>35.076023413083519</v>
      </c>
      <c r="M107">
        <f>'IDEES(ELC)'!K42</f>
        <v>2.1003473468526814</v>
      </c>
      <c r="N107">
        <f>'IDEES(ELC)'!L42</f>
        <v>0.4854794436938647</v>
      </c>
      <c r="O107">
        <f>'IDEES(ELC)'!M42</f>
        <v>16.292428717180641</v>
      </c>
      <c r="P107">
        <f>'IDEES(ELC)'!N42</f>
        <v>2.2611555216946764</v>
      </c>
      <c r="Q107">
        <f>'IDEES(ELC)'!O42</f>
        <v>25.504081687378701</v>
      </c>
      <c r="R107">
        <f>'IDEES(ELC)'!P42</f>
        <v>3.7778866448512969</v>
      </c>
      <c r="S107">
        <f>'IDEES(ELC)'!Q42</f>
        <v>1.4008366561880528</v>
      </c>
      <c r="T107">
        <f>'IDEES(ELC)'!R42</f>
        <v>3.4264534912473659</v>
      </c>
      <c r="U107">
        <f>'IDEES(ELC)'!S42</f>
        <v>1.5133886323843666</v>
      </c>
      <c r="V107">
        <f>'IDEES(ELC)'!T42</f>
        <v>0.13350582346162104</v>
      </c>
      <c r="W107">
        <f>'IDEES(ELC)'!U42</f>
        <v>22.288798692104251</v>
      </c>
      <c r="X107">
        <f>'IDEES(ELC)'!V42</f>
        <v>1.0409098412642912</v>
      </c>
      <c r="Y107">
        <f>'IDEES(ELC)'!W42</f>
        <v>0.17880564246524777</v>
      </c>
      <c r="Z107">
        <f>'IDEES(ELC)'!X42</f>
        <v>0.64616011176040444</v>
      </c>
      <c r="AA107">
        <f>'IDEES(ELC)'!Y42</f>
        <v>0.12979686315349076</v>
      </c>
      <c r="AB107">
        <f>'IDEES(ELC)'!Z42</f>
        <v>6.5363644774994167</v>
      </c>
      <c r="AC107">
        <f>'IDEES(ELC)'!AA42</f>
        <v>5.7136819434468977</v>
      </c>
      <c r="AD107">
        <f>'IDEES(ELC)'!AB42</f>
        <v>11.323655817347175</v>
      </c>
      <c r="AE107">
        <f>'IDEES(ELC)'!AC42</f>
        <v>3.4067323444191828</v>
      </c>
      <c r="AF107">
        <f>'IDEES(ELC)'!AD42</f>
        <v>5.29084769990701</v>
      </c>
      <c r="AG107">
        <f>'IDEES(ELC)'!AE42</f>
        <v>4.0420072960555284</v>
      </c>
      <c r="AH107">
        <f>'IDEES(ELC)'!AF42</f>
        <v>0.72295738674429677</v>
      </c>
      <c r="AI107">
        <f>'IDEES(ELC)'!AG42</f>
        <v>1.7390860698341499</v>
      </c>
      <c r="AJ107">
        <f>'IDEES(ELC)'!AH42</f>
        <v>23.320329232939404</v>
      </c>
      <c r="AK107">
        <f>'IDEES(ELC)'!AI42</f>
        <v>0.44666929543252093</v>
      </c>
      <c r="AL107">
        <f>'IDEES(ELC)'!AJ42</f>
        <v>1.1126241626824445</v>
      </c>
      <c r="AM107">
        <f>'IDEES(ELC)'!AK42</f>
        <v>0.22087852453973786</v>
      </c>
      <c r="AN107">
        <f>'IDEES(ELC)'!AL42</f>
        <v>0.79131513566866807</v>
      </c>
      <c r="AO107">
        <f>'IDEES(ELC)'!AM42</f>
        <v>3.5844760359759018</v>
      </c>
      <c r="AP107">
        <f>'IDEES(ELC)'!AN42</f>
        <v>0.54884527278595019</v>
      </c>
    </row>
    <row r="108" spans="1:42">
      <c r="E108" t="str">
        <f>TechComm!C10</f>
        <v>RCDR</v>
      </c>
      <c r="F108">
        <f>'IDEES(ELC)'!D39</f>
        <v>1.2907222213727949</v>
      </c>
      <c r="G108">
        <f>'IDEES(ELC)'!E39</f>
        <v>2.7493834399924246</v>
      </c>
      <c r="H108">
        <f>'IDEES(ELC)'!F39</f>
        <v>8.89046305229442E-3</v>
      </c>
      <c r="I108">
        <f>'IDEES(ELC)'!G39</f>
        <v>1.3252718543680575</v>
      </c>
      <c r="J108">
        <f>'IDEES(ELC)'!H39</f>
        <v>9.2479986647233919E-2</v>
      </c>
      <c r="K108">
        <f>'IDEES(ELC)'!I39</f>
        <v>0.10344800127822734</v>
      </c>
      <c r="L108">
        <f>'IDEES(ELC)'!J39</f>
        <v>16.10476707705887</v>
      </c>
      <c r="M108">
        <f>'IDEES(ELC)'!K39</f>
        <v>1.5412634174721316</v>
      </c>
      <c r="N108">
        <f>'IDEES(ELC)'!L39</f>
        <v>9.4978138922548003E-3</v>
      </c>
      <c r="O108">
        <f>'IDEES(ELC)'!M39</f>
        <v>5.1860518506448852</v>
      </c>
      <c r="P108">
        <f>'IDEES(ELC)'!N39</f>
        <v>1.6592691056517443</v>
      </c>
      <c r="Q108">
        <f>'IDEES(ELC)'!O39</f>
        <v>9.3494280904607319</v>
      </c>
      <c r="R108">
        <f>'IDEES(ELC)'!P39</f>
        <v>0.32656084734914204</v>
      </c>
      <c r="S108">
        <f>'IDEES(ELC)'!Q39</f>
        <v>0.11681093894996852</v>
      </c>
      <c r="T108">
        <f>'IDEES(ELC)'!R39</f>
        <v>3.9934908638330838E-2</v>
      </c>
      <c r="U108">
        <f>'IDEES(ELC)'!S39</f>
        <v>1.1614941192735162</v>
      </c>
      <c r="V108">
        <f>'IDEES(ELC)'!T39</f>
        <v>9.7968435369112511E-2</v>
      </c>
      <c r="W108">
        <f>'IDEES(ELC)'!U39</f>
        <v>2.0105721521588276</v>
      </c>
      <c r="X108">
        <f>'IDEES(ELC)'!V39</f>
        <v>2.0364095192914575E-2</v>
      </c>
      <c r="Y108">
        <f>'IDEES(ELC)'!W39</f>
        <v>0.12217836345092579</v>
      </c>
      <c r="Z108">
        <f>'IDEES(ELC)'!X39</f>
        <v>1.2849193105037583E-2</v>
      </c>
      <c r="AA108">
        <f>'IDEES(ELC)'!Y39</f>
        <v>3.1741365360443127E-2</v>
      </c>
      <c r="AB108">
        <f>'IDEES(ELC)'!Z39</f>
        <v>4.5103406054341431</v>
      </c>
      <c r="AC108">
        <f>'IDEES(ELC)'!AA39</f>
        <v>4.1927795034136253</v>
      </c>
      <c r="AD108">
        <f>'IDEES(ELC)'!AB39</f>
        <v>8.2192635855505278E-2</v>
      </c>
      <c r="AE108">
        <f>'IDEES(ELC)'!AC39</f>
        <v>0.77364313516705663</v>
      </c>
      <c r="AF108">
        <f>'IDEES(ELC)'!AD39</f>
        <v>1.3443481318386942E-2</v>
      </c>
      <c r="AG108">
        <f>'IDEES(ELC)'!AE39</f>
        <v>2.9660813309685503</v>
      </c>
      <c r="AH108">
        <f>'IDEES(ELC)'!AF39</f>
        <v>0.16801649825732765</v>
      </c>
      <c r="AI108">
        <f>'IDEES(ELC)'!AG39</f>
        <v>4.7940420137546909E-2</v>
      </c>
      <c r="AJ108">
        <f>'IDEES(ELC)'!AH39</f>
        <v>12.23516820958462</v>
      </c>
      <c r="AK108">
        <f>'IDEES(ELC)'!AI39</f>
        <v>3.7246212518149163E-2</v>
      </c>
      <c r="AL108">
        <f>'IDEES(ELC)'!AJ39</f>
        <v>9.2777892816585272E-2</v>
      </c>
      <c r="AM108">
        <f>'IDEES(ELC)'!AK39</f>
        <v>1.841829861561449E-2</v>
      </c>
      <c r="AN108">
        <f>'IDEES(ELC)'!AL39</f>
        <v>6.5985040864300584E-2</v>
      </c>
      <c r="AO108">
        <f>'IDEES(ELC)'!AM39</f>
        <v>0.29889709807093873</v>
      </c>
      <c r="AP108">
        <f>'IDEES(ELC)'!AN39</f>
        <v>4.5766314986957317E-2</v>
      </c>
    </row>
    <row r="109" spans="1:42">
      <c r="E109" t="str">
        <f>TechComm!C11</f>
        <v>RDWA</v>
      </c>
      <c r="F109">
        <f>'IDEES(ELC)'!D40</f>
        <v>2.2452169223465792</v>
      </c>
      <c r="G109">
        <f>'IDEES(ELC)'!E40</f>
        <v>1.697939324070304</v>
      </c>
      <c r="H109">
        <f>'IDEES(ELC)'!F40</f>
        <v>5.9427949608327424E-2</v>
      </c>
      <c r="I109">
        <f>'IDEES(ELC)'!G40</f>
        <v>2.305316159329827</v>
      </c>
      <c r="J109">
        <f>'IDEES(ELC)'!H40</f>
        <v>0.10808263315855204</v>
      </c>
      <c r="K109">
        <f>'IDEES(ELC)'!I40</f>
        <v>0.94047132611322326</v>
      </c>
      <c r="L109">
        <f>'IDEES(ELC)'!J40</f>
        <v>21.403673306260334</v>
      </c>
      <c r="M109">
        <f>'IDEES(ELC)'!K40</f>
        <v>1.3802404724110799</v>
      </c>
      <c r="N109">
        <f>'IDEES(ELC)'!L40</f>
        <v>3.0869858325399343E-2</v>
      </c>
      <c r="O109">
        <f>'IDEES(ELC)'!M40</f>
        <v>7.7771056904742775</v>
      </c>
      <c r="P109">
        <f>'IDEES(ELC)'!N40</f>
        <v>1.4518895284846778</v>
      </c>
      <c r="Q109">
        <f>'IDEES(ELC)'!O40</f>
        <v>12.338945294353985</v>
      </c>
      <c r="R109">
        <f>'IDEES(ELC)'!P40</f>
        <v>1.168232410277753</v>
      </c>
      <c r="S109">
        <f>'IDEES(ELC)'!Q40</f>
        <v>0.43329441548593195</v>
      </c>
      <c r="T109">
        <f>'IDEES(ELC)'!R40</f>
        <v>0.34071684284786885</v>
      </c>
      <c r="U109">
        <f>'IDEES(ELC)'!S40</f>
        <v>0.88623419955698712</v>
      </c>
      <c r="V109">
        <f>'IDEES(ELC)'!T40</f>
        <v>8.572414506428723E-2</v>
      </c>
      <c r="W109">
        <f>'IDEES(ELC)'!U40</f>
        <v>12.521404206570136</v>
      </c>
      <c r="X109">
        <f>'IDEES(ELC)'!V40</f>
        <v>5.4145731439694963E-2</v>
      </c>
      <c r="Y109">
        <f>'IDEES(ELC)'!W40</f>
        <v>0.11445707520289904</v>
      </c>
      <c r="Z109">
        <f>'IDEES(ELC)'!X40</f>
        <v>4.1969100214336072E-2</v>
      </c>
      <c r="AA109">
        <f>'IDEES(ELC)'!Y40</f>
        <v>1.788538993978972E-2</v>
      </c>
      <c r="AB109">
        <f>'IDEES(ELC)'!Z40</f>
        <v>3.4511132609879493</v>
      </c>
      <c r="AC109">
        <f>'IDEES(ELC)'!AA40</f>
        <v>3.6687575648117221</v>
      </c>
      <c r="AD109">
        <f>'IDEES(ELC)'!AB40</f>
        <v>1.7420725788418114</v>
      </c>
      <c r="AE109">
        <f>'IDEES(ELC)'!AC40</f>
        <v>1.3208093081380772</v>
      </c>
      <c r="AF109">
        <f>'IDEES(ELC)'!AD40</f>
        <v>2.686109229334694E-2</v>
      </c>
      <c r="AG109">
        <f>'IDEES(ELC)'!AE40</f>
        <v>2.595374574784592</v>
      </c>
      <c r="AH109">
        <f>'IDEES(ELC)'!AF40</f>
        <v>0.32583619264638447</v>
      </c>
      <c r="AI109">
        <f>'IDEES(ELC)'!AG40</f>
        <v>0.38594639149174098</v>
      </c>
      <c r="AJ109">
        <f>'IDEES(ELC)'!AH40</f>
        <v>7.9532680495853887</v>
      </c>
      <c r="AK109">
        <f>'IDEES(ELC)'!AI40</f>
        <v>0.1381597993063696</v>
      </c>
      <c r="AL109">
        <f>'IDEES(ELC)'!AJ40</f>
        <v>0.34414707389003135</v>
      </c>
      <c r="AM109">
        <f>'IDEES(ELC)'!AK40</f>
        <v>6.8320193336654803E-2</v>
      </c>
      <c r="AN109">
        <f>'IDEES(ELC)'!AL40</f>
        <v>0.24476260501902386</v>
      </c>
      <c r="AO109">
        <f>'IDEES(ELC)'!AM40</f>
        <v>1.1087184519127911</v>
      </c>
      <c r="AP109">
        <f>'IDEES(ELC)'!AN40</f>
        <v>0.16976396970588739</v>
      </c>
    </row>
    <row r="110" spans="1:42">
      <c r="E110" t="str">
        <f>TechComm!C12</f>
        <v>ROEL</v>
      </c>
      <c r="F110">
        <f>'IDEES(ELC)'!D35+'IDEES(ELC)'!D36+'IDEES(ELC)'!D38</f>
        <v>11.837653299771752</v>
      </c>
      <c r="G110">
        <f>'IDEES(ELC)'!E35+'IDEES(ELC)'!E36+'IDEES(ELC)'!E38</f>
        <v>15.154022442158421</v>
      </c>
      <c r="H110">
        <f>'IDEES(ELC)'!F35+'IDEES(ELC)'!F36+'IDEES(ELC)'!F38</f>
        <v>5.4094596400361885</v>
      </c>
      <c r="I110">
        <f>'IDEES(ELC)'!G35+'IDEES(ELC)'!G36+'IDEES(ELC)'!G38</f>
        <v>12.154519756597203</v>
      </c>
      <c r="J110">
        <f>'IDEES(ELC)'!H35+'IDEES(ELC)'!H36+'IDEES(ELC)'!H38</f>
        <v>1.0792462534899907</v>
      </c>
      <c r="K110">
        <f>'IDEES(ELC)'!I35+'IDEES(ELC)'!I36+'IDEES(ELC)'!I38</f>
        <v>7.9928152835333144</v>
      </c>
      <c r="L110">
        <f>'IDEES(ELC)'!J35+'IDEES(ELC)'!J36+'IDEES(ELC)'!J38</f>
        <v>112.53737199622782</v>
      </c>
      <c r="M110">
        <f>'IDEES(ELC)'!K35+'IDEES(ELC)'!K36+'IDEES(ELC)'!K38</f>
        <v>8.5268829269504884</v>
      </c>
      <c r="N110">
        <f>'IDEES(ELC)'!L35+'IDEES(ELC)'!L36+'IDEES(ELC)'!L38</f>
        <v>1.5698874428074157</v>
      </c>
      <c r="O110">
        <f>'IDEES(ELC)'!M35+'IDEES(ELC)'!M36+'IDEES(ELC)'!M38</f>
        <v>57.122913162171571</v>
      </c>
      <c r="P110">
        <f>'IDEES(ELC)'!N35+'IDEES(ELC)'!N36+'IDEES(ELC)'!N38</f>
        <v>9.0886450408654156</v>
      </c>
      <c r="Q110">
        <f>'IDEES(ELC)'!O35+'IDEES(ELC)'!O36+'IDEES(ELC)'!O38</f>
        <v>105.61309644459644</v>
      </c>
      <c r="R110">
        <f>'IDEES(ELC)'!P35+'IDEES(ELC)'!P36+'IDEES(ELC)'!P38</f>
        <v>8.0157159808388023</v>
      </c>
      <c r="S110">
        <f>'IDEES(ELC)'!Q35+'IDEES(ELC)'!Q36+'IDEES(ELC)'!Q38</f>
        <v>3.7821068749666074</v>
      </c>
      <c r="T110">
        <f>'IDEES(ELC)'!R35+'IDEES(ELC)'!R36+'IDEES(ELC)'!R38</f>
        <v>7.2788819224536674</v>
      </c>
      <c r="U110">
        <f>'IDEES(ELC)'!S35+'IDEES(ELC)'!S36+'IDEES(ELC)'!S38</f>
        <v>5.7049923250579635</v>
      </c>
      <c r="V110">
        <f>'IDEES(ELC)'!T35+'IDEES(ELC)'!T36+'IDEES(ELC)'!T38</f>
        <v>0.50301615644774655</v>
      </c>
      <c r="W110">
        <f>'IDEES(ELC)'!U35+'IDEES(ELC)'!U36+'IDEES(ELC)'!U38</f>
        <v>62.055555831745345</v>
      </c>
      <c r="X110">
        <f>'IDEES(ELC)'!V35+'IDEES(ELC)'!V36+'IDEES(ELC)'!V38</f>
        <v>2.1782679624990231</v>
      </c>
      <c r="Y110">
        <f>'IDEES(ELC)'!W35+'IDEES(ELC)'!W36+'IDEES(ELC)'!W38</f>
        <v>0.7199369608933931</v>
      </c>
      <c r="Z110">
        <f>'IDEES(ELC)'!X35+'IDEES(ELC)'!X36+'IDEES(ELC)'!X38</f>
        <v>1.8401300154975428</v>
      </c>
      <c r="AA110">
        <f>'IDEES(ELC)'!Y35+'IDEES(ELC)'!Y36+'IDEES(ELC)'!Y38</f>
        <v>0.39459237214410459</v>
      </c>
      <c r="AB110">
        <f>'IDEES(ELC)'!Z35+'IDEES(ELC)'!Z36+'IDEES(ELC)'!Z38</f>
        <v>23.128926024157902</v>
      </c>
      <c r="AC110">
        <f>'IDEES(ELC)'!AA35+'IDEES(ELC)'!AA36+'IDEES(ELC)'!AA38</f>
        <v>21.527707599839349</v>
      </c>
      <c r="AD110">
        <f>'IDEES(ELC)'!AB35+'IDEES(ELC)'!AB36+'IDEES(ELC)'!AB38</f>
        <v>26.12489898533584</v>
      </c>
      <c r="AE110">
        <f>'IDEES(ELC)'!AC35+'IDEES(ELC)'!AC36+'IDEES(ELC)'!AC38</f>
        <v>11.005491526914611</v>
      </c>
      <c r="AF110">
        <f>'IDEES(ELC)'!AD35+'IDEES(ELC)'!AD36+'IDEES(ELC)'!AD38</f>
        <v>11.951793052047169</v>
      </c>
      <c r="AG110">
        <f>'IDEES(ELC)'!AE35+'IDEES(ELC)'!AE36+'IDEES(ELC)'!AE38</f>
        <v>15.229260579633699</v>
      </c>
      <c r="AH110">
        <f>'IDEES(ELC)'!AF35+'IDEES(ELC)'!AF36+'IDEES(ELC)'!AF38</f>
        <v>2.3032671531121904</v>
      </c>
      <c r="AI110">
        <f>'IDEES(ELC)'!AG35+'IDEES(ELC)'!AG36+'IDEES(ELC)'!AG38</f>
        <v>3.6463416647718305</v>
      </c>
      <c r="AJ110">
        <f>'IDEES(ELC)'!AH35+'IDEES(ELC)'!AH36+'IDEES(ELC)'!AH38</f>
        <v>83.499470672838783</v>
      </c>
      <c r="AK110">
        <f>'IDEES(ELC)'!AI35+'IDEES(ELC)'!AI36+'IDEES(ELC)'!AI38</f>
        <v>1.2059586002617029</v>
      </c>
      <c r="AL110">
        <f>'IDEES(ELC)'!AJ35+'IDEES(ELC)'!AJ36+'IDEES(ELC)'!AJ38</f>
        <v>3.0039644353583608</v>
      </c>
      <c r="AM110">
        <f>'IDEES(ELC)'!AK35+'IDEES(ELC)'!AK36+'IDEES(ELC)'!AK38</f>
        <v>0.5963480342293942</v>
      </c>
      <c r="AN110">
        <f>'IDEES(ELC)'!AL35+'IDEES(ELC)'!AL36+'IDEES(ELC)'!AL38</f>
        <v>2.1364649487554779</v>
      </c>
      <c r="AO110">
        <f>'IDEES(ELC)'!AM35+'IDEES(ELC)'!AM36+'IDEES(ELC)'!AM38</f>
        <v>9.677696110343355</v>
      </c>
      <c r="AP110">
        <f>'IDEES(ELC)'!AN35+'IDEES(ELC)'!AN36+'IDEES(ELC)'!AN38</f>
        <v>1.4818226452934886</v>
      </c>
    </row>
    <row r="114" spans="16:16">
      <c r="P114" t="s">
        <v>969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1">
    <tabColor theme="8"/>
  </sheetPr>
  <dimension ref="A4:BC410"/>
  <sheetViews>
    <sheetView tabSelected="1" topLeftCell="A90" zoomScale="90" zoomScaleNormal="90" workbookViewId="0">
      <selection activeCell="I115" sqref="I115:AS115"/>
    </sheetView>
  </sheetViews>
  <sheetFormatPr defaultRowHeight="11.4" customHeight="1"/>
  <cols>
    <col min="1" max="5" width="9.109375" style="798"/>
    <col min="6" max="6" width="12.33203125" style="798" bestFit="1" customWidth="1"/>
    <col min="7" max="7" width="9.6640625" style="798" bestFit="1" customWidth="1"/>
    <col min="8" max="8" width="18.5546875" style="798" bestFit="1" customWidth="1"/>
    <col min="9" max="14" width="9" style="798" bestFit="1" customWidth="1"/>
    <col min="15" max="15" width="9.5546875" style="798" bestFit="1" customWidth="1"/>
    <col min="16" max="19" width="9" style="798" bestFit="1" customWidth="1"/>
    <col min="20" max="20" width="9.5546875" style="798" bestFit="1" customWidth="1"/>
    <col min="21" max="25" width="9" style="798" bestFit="1" customWidth="1"/>
    <col min="26" max="26" width="9.5546875" style="798" bestFit="1" customWidth="1"/>
    <col min="27" max="30" width="9" style="798" bestFit="1" customWidth="1"/>
    <col min="31" max="31" width="9.5546875" style="798" bestFit="1" customWidth="1"/>
    <col min="32" max="38" width="9" style="798" bestFit="1" customWidth="1"/>
    <col min="39" max="39" width="9.5546875" style="798" bestFit="1" customWidth="1"/>
    <col min="40" max="45" width="9" style="798" bestFit="1" customWidth="1"/>
    <col min="46" max="47" width="9.109375" style="798"/>
    <col min="48" max="48" width="11" style="798" bestFit="1" customWidth="1"/>
    <col min="49" max="244" width="9.109375" style="798"/>
    <col min="245" max="245" width="13.5546875" style="798" customWidth="1"/>
    <col min="246" max="246" width="12.5546875" style="798" customWidth="1"/>
    <col min="247" max="247" width="43.6640625" style="798" customWidth="1"/>
    <col min="248" max="248" width="14" style="798" customWidth="1"/>
    <col min="249" max="249" width="10.6640625" style="798" bestFit="1" customWidth="1"/>
    <col min="250" max="250" width="10.6640625" style="798" customWidth="1"/>
    <col min="251" max="251" width="10.6640625" style="798" bestFit="1" customWidth="1"/>
    <col min="252" max="252" width="14.33203125" style="798" bestFit="1" customWidth="1"/>
    <col min="253" max="253" width="10" style="798" customWidth="1"/>
    <col min="254" max="254" width="11.44140625" style="798" customWidth="1"/>
    <col min="255" max="255" width="12.109375" style="798" bestFit="1" customWidth="1"/>
    <col min="256" max="256" width="10.6640625" style="798" bestFit="1" customWidth="1"/>
    <col min="257" max="500" width="9.109375" style="798"/>
    <col min="501" max="501" width="13.5546875" style="798" customWidth="1"/>
    <col min="502" max="502" width="12.5546875" style="798" customWidth="1"/>
    <col min="503" max="503" width="43.6640625" style="798" customWidth="1"/>
    <col min="504" max="504" width="14" style="798" customWidth="1"/>
    <col min="505" max="505" width="10.6640625" style="798" bestFit="1" customWidth="1"/>
    <col min="506" max="506" width="10.6640625" style="798" customWidth="1"/>
    <col min="507" max="507" width="10.6640625" style="798" bestFit="1" customWidth="1"/>
    <col min="508" max="508" width="14.33203125" style="798" bestFit="1" customWidth="1"/>
    <col min="509" max="509" width="10" style="798" customWidth="1"/>
    <col min="510" max="510" width="11.44140625" style="798" customWidth="1"/>
    <col min="511" max="511" width="12.109375" style="798" bestFit="1" customWidth="1"/>
    <col min="512" max="512" width="10.6640625" style="798" bestFit="1" customWidth="1"/>
    <col min="513" max="756" width="9.109375" style="798"/>
    <col min="757" max="757" width="13.5546875" style="798" customWidth="1"/>
    <col min="758" max="758" width="12.5546875" style="798" customWidth="1"/>
    <col min="759" max="759" width="43.6640625" style="798" customWidth="1"/>
    <col min="760" max="760" width="14" style="798" customWidth="1"/>
    <col min="761" max="761" width="10.6640625" style="798" bestFit="1" customWidth="1"/>
    <col min="762" max="762" width="10.6640625" style="798" customWidth="1"/>
    <col min="763" max="763" width="10.6640625" style="798" bestFit="1" customWidth="1"/>
    <col min="764" max="764" width="14.33203125" style="798" bestFit="1" customWidth="1"/>
    <col min="765" max="765" width="10" style="798" customWidth="1"/>
    <col min="766" max="766" width="11.44140625" style="798" customWidth="1"/>
    <col min="767" max="767" width="12.109375" style="798" bestFit="1" customWidth="1"/>
    <col min="768" max="768" width="10.6640625" style="798" bestFit="1" customWidth="1"/>
    <col min="769" max="1012" width="9.109375" style="798"/>
    <col min="1013" max="1013" width="13.5546875" style="798" customWidth="1"/>
    <col min="1014" max="1014" width="12.5546875" style="798" customWidth="1"/>
    <col min="1015" max="1015" width="43.6640625" style="798" customWidth="1"/>
    <col min="1016" max="1016" width="14" style="798" customWidth="1"/>
    <col min="1017" max="1017" width="10.6640625" style="798" bestFit="1" customWidth="1"/>
    <col min="1018" max="1018" width="10.6640625" style="798" customWidth="1"/>
    <col min="1019" max="1019" width="10.6640625" style="798" bestFit="1" customWidth="1"/>
    <col min="1020" max="1020" width="14.33203125" style="798" bestFit="1" customWidth="1"/>
    <col min="1021" max="1021" width="10" style="798" customWidth="1"/>
    <col min="1022" max="1022" width="11.44140625" style="798" customWidth="1"/>
    <col min="1023" max="1023" width="12.109375" style="798" bestFit="1" customWidth="1"/>
    <col min="1024" max="1024" width="10.6640625" style="798" bestFit="1" customWidth="1"/>
    <col min="1025" max="1268" width="9.109375" style="798"/>
    <col min="1269" max="1269" width="13.5546875" style="798" customWidth="1"/>
    <col min="1270" max="1270" width="12.5546875" style="798" customWidth="1"/>
    <col min="1271" max="1271" width="43.6640625" style="798" customWidth="1"/>
    <col min="1272" max="1272" width="14" style="798" customWidth="1"/>
    <col min="1273" max="1273" width="10.6640625" style="798" bestFit="1" customWidth="1"/>
    <col min="1274" max="1274" width="10.6640625" style="798" customWidth="1"/>
    <col min="1275" max="1275" width="10.6640625" style="798" bestFit="1" customWidth="1"/>
    <col min="1276" max="1276" width="14.33203125" style="798" bestFit="1" customWidth="1"/>
    <col min="1277" max="1277" width="10" style="798" customWidth="1"/>
    <col min="1278" max="1278" width="11.44140625" style="798" customWidth="1"/>
    <col min="1279" max="1279" width="12.109375" style="798" bestFit="1" customWidth="1"/>
    <col min="1280" max="1280" width="10.6640625" style="798" bestFit="1" customWidth="1"/>
    <col min="1281" max="1524" width="9.109375" style="798"/>
    <col min="1525" max="1525" width="13.5546875" style="798" customWidth="1"/>
    <col min="1526" max="1526" width="12.5546875" style="798" customWidth="1"/>
    <col min="1527" max="1527" width="43.6640625" style="798" customWidth="1"/>
    <col min="1528" max="1528" width="14" style="798" customWidth="1"/>
    <col min="1529" max="1529" width="10.6640625" style="798" bestFit="1" customWidth="1"/>
    <col min="1530" max="1530" width="10.6640625" style="798" customWidth="1"/>
    <col min="1531" max="1531" width="10.6640625" style="798" bestFit="1" customWidth="1"/>
    <col min="1532" max="1532" width="14.33203125" style="798" bestFit="1" customWidth="1"/>
    <col min="1533" max="1533" width="10" style="798" customWidth="1"/>
    <col min="1534" max="1534" width="11.44140625" style="798" customWidth="1"/>
    <col min="1535" max="1535" width="12.109375" style="798" bestFit="1" customWidth="1"/>
    <col min="1536" max="1536" width="10.6640625" style="798" bestFit="1" customWidth="1"/>
    <col min="1537" max="1780" width="9.109375" style="798"/>
    <col min="1781" max="1781" width="13.5546875" style="798" customWidth="1"/>
    <col min="1782" max="1782" width="12.5546875" style="798" customWidth="1"/>
    <col min="1783" max="1783" width="43.6640625" style="798" customWidth="1"/>
    <col min="1784" max="1784" width="14" style="798" customWidth="1"/>
    <col min="1785" max="1785" width="10.6640625" style="798" bestFit="1" customWidth="1"/>
    <col min="1786" max="1786" width="10.6640625" style="798" customWidth="1"/>
    <col min="1787" max="1787" width="10.6640625" style="798" bestFit="1" customWidth="1"/>
    <col min="1788" max="1788" width="14.33203125" style="798" bestFit="1" customWidth="1"/>
    <col min="1789" max="1789" width="10" style="798" customWidth="1"/>
    <col min="1790" max="1790" width="11.44140625" style="798" customWidth="1"/>
    <col min="1791" max="1791" width="12.109375" style="798" bestFit="1" customWidth="1"/>
    <col min="1792" max="1792" width="10.6640625" style="798" bestFit="1" customWidth="1"/>
    <col min="1793" max="2036" width="9.109375" style="798"/>
    <col min="2037" max="2037" width="13.5546875" style="798" customWidth="1"/>
    <col min="2038" max="2038" width="12.5546875" style="798" customWidth="1"/>
    <col min="2039" max="2039" width="43.6640625" style="798" customWidth="1"/>
    <col min="2040" max="2040" width="14" style="798" customWidth="1"/>
    <col min="2041" max="2041" width="10.6640625" style="798" bestFit="1" customWidth="1"/>
    <col min="2042" max="2042" width="10.6640625" style="798" customWidth="1"/>
    <col min="2043" max="2043" width="10.6640625" style="798" bestFit="1" customWidth="1"/>
    <col min="2044" max="2044" width="14.33203125" style="798" bestFit="1" customWidth="1"/>
    <col min="2045" max="2045" width="10" style="798" customWidth="1"/>
    <col min="2046" max="2046" width="11.44140625" style="798" customWidth="1"/>
    <col min="2047" max="2047" width="12.109375" style="798" bestFit="1" customWidth="1"/>
    <col min="2048" max="2048" width="10.6640625" style="798" bestFit="1" customWidth="1"/>
    <col min="2049" max="2292" width="9.109375" style="798"/>
    <col min="2293" max="2293" width="13.5546875" style="798" customWidth="1"/>
    <col min="2294" max="2294" width="12.5546875" style="798" customWidth="1"/>
    <col min="2295" max="2295" width="43.6640625" style="798" customWidth="1"/>
    <col min="2296" max="2296" width="14" style="798" customWidth="1"/>
    <col min="2297" max="2297" width="10.6640625" style="798" bestFit="1" customWidth="1"/>
    <col min="2298" max="2298" width="10.6640625" style="798" customWidth="1"/>
    <col min="2299" max="2299" width="10.6640625" style="798" bestFit="1" customWidth="1"/>
    <col min="2300" max="2300" width="14.33203125" style="798" bestFit="1" customWidth="1"/>
    <col min="2301" max="2301" width="10" style="798" customWidth="1"/>
    <col min="2302" max="2302" width="11.44140625" style="798" customWidth="1"/>
    <col min="2303" max="2303" width="12.109375" style="798" bestFit="1" customWidth="1"/>
    <col min="2304" max="2304" width="10.6640625" style="798" bestFit="1" customWidth="1"/>
    <col min="2305" max="2548" width="9.109375" style="798"/>
    <col min="2549" max="2549" width="13.5546875" style="798" customWidth="1"/>
    <col min="2550" max="2550" width="12.5546875" style="798" customWidth="1"/>
    <col min="2551" max="2551" width="43.6640625" style="798" customWidth="1"/>
    <col min="2552" max="2552" width="14" style="798" customWidth="1"/>
    <col min="2553" max="2553" width="10.6640625" style="798" bestFit="1" customWidth="1"/>
    <col min="2554" max="2554" width="10.6640625" style="798" customWidth="1"/>
    <col min="2555" max="2555" width="10.6640625" style="798" bestFit="1" customWidth="1"/>
    <col min="2556" max="2556" width="14.33203125" style="798" bestFit="1" customWidth="1"/>
    <col min="2557" max="2557" width="10" style="798" customWidth="1"/>
    <col min="2558" max="2558" width="11.44140625" style="798" customWidth="1"/>
    <col min="2559" max="2559" width="12.109375" style="798" bestFit="1" customWidth="1"/>
    <col min="2560" max="2560" width="10.6640625" style="798" bestFit="1" customWidth="1"/>
    <col min="2561" max="2804" width="9.109375" style="798"/>
    <col min="2805" max="2805" width="13.5546875" style="798" customWidth="1"/>
    <col min="2806" max="2806" width="12.5546875" style="798" customWidth="1"/>
    <col min="2807" max="2807" width="43.6640625" style="798" customWidth="1"/>
    <col min="2808" max="2808" width="14" style="798" customWidth="1"/>
    <col min="2809" max="2809" width="10.6640625" style="798" bestFit="1" customWidth="1"/>
    <col min="2810" max="2810" width="10.6640625" style="798" customWidth="1"/>
    <col min="2811" max="2811" width="10.6640625" style="798" bestFit="1" customWidth="1"/>
    <col min="2812" max="2812" width="14.33203125" style="798" bestFit="1" customWidth="1"/>
    <col min="2813" max="2813" width="10" style="798" customWidth="1"/>
    <col min="2814" max="2814" width="11.44140625" style="798" customWidth="1"/>
    <col min="2815" max="2815" width="12.109375" style="798" bestFit="1" customWidth="1"/>
    <col min="2816" max="2816" width="10.6640625" style="798" bestFit="1" customWidth="1"/>
    <col min="2817" max="3060" width="9.109375" style="798"/>
    <col min="3061" max="3061" width="13.5546875" style="798" customWidth="1"/>
    <col min="3062" max="3062" width="12.5546875" style="798" customWidth="1"/>
    <col min="3063" max="3063" width="43.6640625" style="798" customWidth="1"/>
    <col min="3064" max="3064" width="14" style="798" customWidth="1"/>
    <col min="3065" max="3065" width="10.6640625" style="798" bestFit="1" customWidth="1"/>
    <col min="3066" max="3066" width="10.6640625" style="798" customWidth="1"/>
    <col min="3067" max="3067" width="10.6640625" style="798" bestFit="1" customWidth="1"/>
    <col min="3068" max="3068" width="14.33203125" style="798" bestFit="1" customWidth="1"/>
    <col min="3069" max="3069" width="10" style="798" customWidth="1"/>
    <col min="3070" max="3070" width="11.44140625" style="798" customWidth="1"/>
    <col min="3071" max="3071" width="12.109375" style="798" bestFit="1" customWidth="1"/>
    <col min="3072" max="3072" width="10.6640625" style="798" bestFit="1" customWidth="1"/>
    <col min="3073" max="3316" width="9.109375" style="798"/>
    <col min="3317" max="3317" width="13.5546875" style="798" customWidth="1"/>
    <col min="3318" max="3318" width="12.5546875" style="798" customWidth="1"/>
    <col min="3319" max="3319" width="43.6640625" style="798" customWidth="1"/>
    <col min="3320" max="3320" width="14" style="798" customWidth="1"/>
    <col min="3321" max="3321" width="10.6640625" style="798" bestFit="1" customWidth="1"/>
    <col min="3322" max="3322" width="10.6640625" style="798" customWidth="1"/>
    <col min="3323" max="3323" width="10.6640625" style="798" bestFit="1" customWidth="1"/>
    <col min="3324" max="3324" width="14.33203125" style="798" bestFit="1" customWidth="1"/>
    <col min="3325" max="3325" width="10" style="798" customWidth="1"/>
    <col min="3326" max="3326" width="11.44140625" style="798" customWidth="1"/>
    <col min="3327" max="3327" width="12.109375" style="798" bestFit="1" customWidth="1"/>
    <col min="3328" max="3328" width="10.6640625" style="798" bestFit="1" customWidth="1"/>
    <col min="3329" max="3572" width="9.109375" style="798"/>
    <col min="3573" max="3573" width="13.5546875" style="798" customWidth="1"/>
    <col min="3574" max="3574" width="12.5546875" style="798" customWidth="1"/>
    <col min="3575" max="3575" width="43.6640625" style="798" customWidth="1"/>
    <col min="3576" max="3576" width="14" style="798" customWidth="1"/>
    <col min="3577" max="3577" width="10.6640625" style="798" bestFit="1" customWidth="1"/>
    <col min="3578" max="3578" width="10.6640625" style="798" customWidth="1"/>
    <col min="3579" max="3579" width="10.6640625" style="798" bestFit="1" customWidth="1"/>
    <col min="3580" max="3580" width="14.33203125" style="798" bestFit="1" customWidth="1"/>
    <col min="3581" max="3581" width="10" style="798" customWidth="1"/>
    <col min="3582" max="3582" width="11.44140625" style="798" customWidth="1"/>
    <col min="3583" max="3583" width="12.109375" style="798" bestFit="1" customWidth="1"/>
    <col min="3584" max="3584" width="10.6640625" style="798" bestFit="1" customWidth="1"/>
    <col min="3585" max="3828" width="9.109375" style="798"/>
    <col min="3829" max="3829" width="13.5546875" style="798" customWidth="1"/>
    <col min="3830" max="3830" width="12.5546875" style="798" customWidth="1"/>
    <col min="3831" max="3831" width="43.6640625" style="798" customWidth="1"/>
    <col min="3832" max="3832" width="14" style="798" customWidth="1"/>
    <col min="3833" max="3833" width="10.6640625" style="798" bestFit="1" customWidth="1"/>
    <col min="3834" max="3834" width="10.6640625" style="798" customWidth="1"/>
    <col min="3835" max="3835" width="10.6640625" style="798" bestFit="1" customWidth="1"/>
    <col min="3836" max="3836" width="14.33203125" style="798" bestFit="1" customWidth="1"/>
    <col min="3837" max="3837" width="10" style="798" customWidth="1"/>
    <col min="3838" max="3838" width="11.44140625" style="798" customWidth="1"/>
    <col min="3839" max="3839" width="12.109375" style="798" bestFit="1" customWidth="1"/>
    <col min="3840" max="3840" width="10.6640625" style="798" bestFit="1" customWidth="1"/>
    <col min="3841" max="4084" width="9.109375" style="798"/>
    <col min="4085" max="4085" width="13.5546875" style="798" customWidth="1"/>
    <col min="4086" max="4086" width="12.5546875" style="798" customWidth="1"/>
    <col min="4087" max="4087" width="43.6640625" style="798" customWidth="1"/>
    <col min="4088" max="4088" width="14" style="798" customWidth="1"/>
    <col min="4089" max="4089" width="10.6640625" style="798" bestFit="1" customWidth="1"/>
    <col min="4090" max="4090" width="10.6640625" style="798" customWidth="1"/>
    <col min="4091" max="4091" width="10.6640625" style="798" bestFit="1" customWidth="1"/>
    <col min="4092" max="4092" width="14.33203125" style="798" bestFit="1" customWidth="1"/>
    <col min="4093" max="4093" width="10" style="798" customWidth="1"/>
    <col min="4094" max="4094" width="11.44140625" style="798" customWidth="1"/>
    <col min="4095" max="4095" width="12.109375" style="798" bestFit="1" customWidth="1"/>
    <col min="4096" max="4096" width="10.6640625" style="798" bestFit="1" customWidth="1"/>
    <col min="4097" max="4340" width="9.109375" style="798"/>
    <col min="4341" max="4341" width="13.5546875" style="798" customWidth="1"/>
    <col min="4342" max="4342" width="12.5546875" style="798" customWidth="1"/>
    <col min="4343" max="4343" width="43.6640625" style="798" customWidth="1"/>
    <col min="4344" max="4344" width="14" style="798" customWidth="1"/>
    <col min="4345" max="4345" width="10.6640625" style="798" bestFit="1" customWidth="1"/>
    <col min="4346" max="4346" width="10.6640625" style="798" customWidth="1"/>
    <col min="4347" max="4347" width="10.6640625" style="798" bestFit="1" customWidth="1"/>
    <col min="4348" max="4348" width="14.33203125" style="798" bestFit="1" customWidth="1"/>
    <col min="4349" max="4349" width="10" style="798" customWidth="1"/>
    <col min="4350" max="4350" width="11.44140625" style="798" customWidth="1"/>
    <col min="4351" max="4351" width="12.109375" style="798" bestFit="1" customWidth="1"/>
    <col min="4352" max="4352" width="10.6640625" style="798" bestFit="1" customWidth="1"/>
    <col min="4353" max="4596" width="9.109375" style="798"/>
    <col min="4597" max="4597" width="13.5546875" style="798" customWidth="1"/>
    <col min="4598" max="4598" width="12.5546875" style="798" customWidth="1"/>
    <col min="4599" max="4599" width="43.6640625" style="798" customWidth="1"/>
    <col min="4600" max="4600" width="14" style="798" customWidth="1"/>
    <col min="4601" max="4601" width="10.6640625" style="798" bestFit="1" customWidth="1"/>
    <col min="4602" max="4602" width="10.6640625" style="798" customWidth="1"/>
    <col min="4603" max="4603" width="10.6640625" style="798" bestFit="1" customWidth="1"/>
    <col min="4604" max="4604" width="14.33203125" style="798" bestFit="1" customWidth="1"/>
    <col min="4605" max="4605" width="10" style="798" customWidth="1"/>
    <col min="4606" max="4606" width="11.44140625" style="798" customWidth="1"/>
    <col min="4607" max="4607" width="12.109375" style="798" bestFit="1" customWidth="1"/>
    <col min="4608" max="4608" width="10.6640625" style="798" bestFit="1" customWidth="1"/>
    <col min="4609" max="4852" width="9.109375" style="798"/>
    <col min="4853" max="4853" width="13.5546875" style="798" customWidth="1"/>
    <col min="4854" max="4854" width="12.5546875" style="798" customWidth="1"/>
    <col min="4855" max="4855" width="43.6640625" style="798" customWidth="1"/>
    <col min="4856" max="4856" width="14" style="798" customWidth="1"/>
    <col min="4857" max="4857" width="10.6640625" style="798" bestFit="1" customWidth="1"/>
    <col min="4858" max="4858" width="10.6640625" style="798" customWidth="1"/>
    <col min="4859" max="4859" width="10.6640625" style="798" bestFit="1" customWidth="1"/>
    <col min="4860" max="4860" width="14.33203125" style="798" bestFit="1" customWidth="1"/>
    <col min="4861" max="4861" width="10" style="798" customWidth="1"/>
    <col min="4862" max="4862" width="11.44140625" style="798" customWidth="1"/>
    <col min="4863" max="4863" width="12.109375" style="798" bestFit="1" customWidth="1"/>
    <col min="4864" max="4864" width="10.6640625" style="798" bestFit="1" customWidth="1"/>
    <col min="4865" max="5108" width="9.109375" style="798"/>
    <col min="5109" max="5109" width="13.5546875" style="798" customWidth="1"/>
    <col min="5110" max="5110" width="12.5546875" style="798" customWidth="1"/>
    <col min="5111" max="5111" width="43.6640625" style="798" customWidth="1"/>
    <col min="5112" max="5112" width="14" style="798" customWidth="1"/>
    <col min="5113" max="5113" width="10.6640625" style="798" bestFit="1" customWidth="1"/>
    <col min="5114" max="5114" width="10.6640625" style="798" customWidth="1"/>
    <col min="5115" max="5115" width="10.6640625" style="798" bestFit="1" customWidth="1"/>
    <col min="5116" max="5116" width="14.33203125" style="798" bestFit="1" customWidth="1"/>
    <col min="5117" max="5117" width="10" style="798" customWidth="1"/>
    <col min="5118" max="5118" width="11.44140625" style="798" customWidth="1"/>
    <col min="5119" max="5119" width="12.109375" style="798" bestFit="1" customWidth="1"/>
    <col min="5120" max="5120" width="10.6640625" style="798" bestFit="1" customWidth="1"/>
    <col min="5121" max="5364" width="9.109375" style="798"/>
    <col min="5365" max="5365" width="13.5546875" style="798" customWidth="1"/>
    <col min="5366" max="5366" width="12.5546875" style="798" customWidth="1"/>
    <col min="5367" max="5367" width="43.6640625" style="798" customWidth="1"/>
    <col min="5368" max="5368" width="14" style="798" customWidth="1"/>
    <col min="5369" max="5369" width="10.6640625" style="798" bestFit="1" customWidth="1"/>
    <col min="5370" max="5370" width="10.6640625" style="798" customWidth="1"/>
    <col min="5371" max="5371" width="10.6640625" style="798" bestFit="1" customWidth="1"/>
    <col min="5372" max="5372" width="14.33203125" style="798" bestFit="1" customWidth="1"/>
    <col min="5373" max="5373" width="10" style="798" customWidth="1"/>
    <col min="5374" max="5374" width="11.44140625" style="798" customWidth="1"/>
    <col min="5375" max="5375" width="12.109375" style="798" bestFit="1" customWidth="1"/>
    <col min="5376" max="5376" width="10.6640625" style="798" bestFit="1" customWidth="1"/>
    <col min="5377" max="5620" width="9.109375" style="798"/>
    <col min="5621" max="5621" width="13.5546875" style="798" customWidth="1"/>
    <col min="5622" max="5622" width="12.5546875" style="798" customWidth="1"/>
    <col min="5623" max="5623" width="43.6640625" style="798" customWidth="1"/>
    <col min="5624" max="5624" width="14" style="798" customWidth="1"/>
    <col min="5625" max="5625" width="10.6640625" style="798" bestFit="1" customWidth="1"/>
    <col min="5626" max="5626" width="10.6640625" style="798" customWidth="1"/>
    <col min="5627" max="5627" width="10.6640625" style="798" bestFit="1" customWidth="1"/>
    <col min="5628" max="5628" width="14.33203125" style="798" bestFit="1" customWidth="1"/>
    <col min="5629" max="5629" width="10" style="798" customWidth="1"/>
    <col min="5630" max="5630" width="11.44140625" style="798" customWidth="1"/>
    <col min="5631" max="5631" width="12.109375" style="798" bestFit="1" customWidth="1"/>
    <col min="5632" max="5632" width="10.6640625" style="798" bestFit="1" customWidth="1"/>
    <col min="5633" max="5876" width="9.109375" style="798"/>
    <col min="5877" max="5877" width="13.5546875" style="798" customWidth="1"/>
    <col min="5878" max="5878" width="12.5546875" style="798" customWidth="1"/>
    <col min="5879" max="5879" width="43.6640625" style="798" customWidth="1"/>
    <col min="5880" max="5880" width="14" style="798" customWidth="1"/>
    <col min="5881" max="5881" width="10.6640625" style="798" bestFit="1" customWidth="1"/>
    <col min="5882" max="5882" width="10.6640625" style="798" customWidth="1"/>
    <col min="5883" max="5883" width="10.6640625" style="798" bestFit="1" customWidth="1"/>
    <col min="5884" max="5884" width="14.33203125" style="798" bestFit="1" customWidth="1"/>
    <col min="5885" max="5885" width="10" style="798" customWidth="1"/>
    <col min="5886" max="5886" width="11.44140625" style="798" customWidth="1"/>
    <col min="5887" max="5887" width="12.109375" style="798" bestFit="1" customWidth="1"/>
    <col min="5888" max="5888" width="10.6640625" style="798" bestFit="1" customWidth="1"/>
    <col min="5889" max="6132" width="9.109375" style="798"/>
    <col min="6133" max="6133" width="13.5546875" style="798" customWidth="1"/>
    <col min="6134" max="6134" width="12.5546875" style="798" customWidth="1"/>
    <col min="6135" max="6135" width="43.6640625" style="798" customWidth="1"/>
    <col min="6136" max="6136" width="14" style="798" customWidth="1"/>
    <col min="6137" max="6137" width="10.6640625" style="798" bestFit="1" customWidth="1"/>
    <col min="6138" max="6138" width="10.6640625" style="798" customWidth="1"/>
    <col min="6139" max="6139" width="10.6640625" style="798" bestFit="1" customWidth="1"/>
    <col min="6140" max="6140" width="14.33203125" style="798" bestFit="1" customWidth="1"/>
    <col min="6141" max="6141" width="10" style="798" customWidth="1"/>
    <col min="6142" max="6142" width="11.44140625" style="798" customWidth="1"/>
    <col min="6143" max="6143" width="12.109375" style="798" bestFit="1" customWidth="1"/>
    <col min="6144" max="6144" width="10.6640625" style="798" bestFit="1" customWidth="1"/>
    <col min="6145" max="6388" width="9.109375" style="798"/>
    <col min="6389" max="6389" width="13.5546875" style="798" customWidth="1"/>
    <col min="6390" max="6390" width="12.5546875" style="798" customWidth="1"/>
    <col min="6391" max="6391" width="43.6640625" style="798" customWidth="1"/>
    <col min="6392" max="6392" width="14" style="798" customWidth="1"/>
    <col min="6393" max="6393" width="10.6640625" style="798" bestFit="1" customWidth="1"/>
    <col min="6394" max="6394" width="10.6640625" style="798" customWidth="1"/>
    <col min="6395" max="6395" width="10.6640625" style="798" bestFit="1" customWidth="1"/>
    <col min="6396" max="6396" width="14.33203125" style="798" bestFit="1" customWidth="1"/>
    <col min="6397" max="6397" width="10" style="798" customWidth="1"/>
    <col min="6398" max="6398" width="11.44140625" style="798" customWidth="1"/>
    <col min="6399" max="6399" width="12.109375" style="798" bestFit="1" customWidth="1"/>
    <col min="6400" max="6400" width="10.6640625" style="798" bestFit="1" customWidth="1"/>
    <col min="6401" max="6644" width="9.109375" style="798"/>
    <col min="6645" max="6645" width="13.5546875" style="798" customWidth="1"/>
    <col min="6646" max="6646" width="12.5546875" style="798" customWidth="1"/>
    <col min="6647" max="6647" width="43.6640625" style="798" customWidth="1"/>
    <col min="6648" max="6648" width="14" style="798" customWidth="1"/>
    <col min="6649" max="6649" width="10.6640625" style="798" bestFit="1" customWidth="1"/>
    <col min="6650" max="6650" width="10.6640625" style="798" customWidth="1"/>
    <col min="6651" max="6651" width="10.6640625" style="798" bestFit="1" customWidth="1"/>
    <col min="6652" max="6652" width="14.33203125" style="798" bestFit="1" customWidth="1"/>
    <col min="6653" max="6653" width="10" style="798" customWidth="1"/>
    <col min="6654" max="6654" width="11.44140625" style="798" customWidth="1"/>
    <col min="6655" max="6655" width="12.109375" style="798" bestFit="1" customWidth="1"/>
    <col min="6656" max="6656" width="10.6640625" style="798" bestFit="1" customWidth="1"/>
    <col min="6657" max="6900" width="9.109375" style="798"/>
    <col min="6901" max="6901" width="13.5546875" style="798" customWidth="1"/>
    <col min="6902" max="6902" width="12.5546875" style="798" customWidth="1"/>
    <col min="6903" max="6903" width="43.6640625" style="798" customWidth="1"/>
    <col min="6904" max="6904" width="14" style="798" customWidth="1"/>
    <col min="6905" max="6905" width="10.6640625" style="798" bestFit="1" customWidth="1"/>
    <col min="6906" max="6906" width="10.6640625" style="798" customWidth="1"/>
    <col min="6907" max="6907" width="10.6640625" style="798" bestFit="1" customWidth="1"/>
    <col min="6908" max="6908" width="14.33203125" style="798" bestFit="1" customWidth="1"/>
    <col min="6909" max="6909" width="10" style="798" customWidth="1"/>
    <col min="6910" max="6910" width="11.44140625" style="798" customWidth="1"/>
    <col min="6911" max="6911" width="12.109375" style="798" bestFit="1" customWidth="1"/>
    <col min="6912" max="6912" width="10.6640625" style="798" bestFit="1" customWidth="1"/>
    <col min="6913" max="7156" width="9.109375" style="798"/>
    <col min="7157" max="7157" width="13.5546875" style="798" customWidth="1"/>
    <col min="7158" max="7158" width="12.5546875" style="798" customWidth="1"/>
    <col min="7159" max="7159" width="43.6640625" style="798" customWidth="1"/>
    <col min="7160" max="7160" width="14" style="798" customWidth="1"/>
    <col min="7161" max="7161" width="10.6640625" style="798" bestFit="1" customWidth="1"/>
    <col min="7162" max="7162" width="10.6640625" style="798" customWidth="1"/>
    <col min="7163" max="7163" width="10.6640625" style="798" bestFit="1" customWidth="1"/>
    <col min="7164" max="7164" width="14.33203125" style="798" bestFit="1" customWidth="1"/>
    <col min="7165" max="7165" width="10" style="798" customWidth="1"/>
    <col min="7166" max="7166" width="11.44140625" style="798" customWidth="1"/>
    <col min="7167" max="7167" width="12.109375" style="798" bestFit="1" customWidth="1"/>
    <col min="7168" max="7168" width="10.6640625" style="798" bestFit="1" customWidth="1"/>
    <col min="7169" max="7412" width="9.109375" style="798"/>
    <col min="7413" max="7413" width="13.5546875" style="798" customWidth="1"/>
    <col min="7414" max="7414" width="12.5546875" style="798" customWidth="1"/>
    <col min="7415" max="7415" width="43.6640625" style="798" customWidth="1"/>
    <col min="7416" max="7416" width="14" style="798" customWidth="1"/>
    <col min="7417" max="7417" width="10.6640625" style="798" bestFit="1" customWidth="1"/>
    <col min="7418" max="7418" width="10.6640625" style="798" customWidth="1"/>
    <col min="7419" max="7419" width="10.6640625" style="798" bestFit="1" customWidth="1"/>
    <col min="7420" max="7420" width="14.33203125" style="798" bestFit="1" customWidth="1"/>
    <col min="7421" max="7421" width="10" style="798" customWidth="1"/>
    <col min="7422" max="7422" width="11.44140625" style="798" customWidth="1"/>
    <col min="7423" max="7423" width="12.109375" style="798" bestFit="1" customWidth="1"/>
    <col min="7424" max="7424" width="10.6640625" style="798" bestFit="1" customWidth="1"/>
    <col min="7425" max="7668" width="9.109375" style="798"/>
    <col min="7669" max="7669" width="13.5546875" style="798" customWidth="1"/>
    <col min="7670" max="7670" width="12.5546875" style="798" customWidth="1"/>
    <col min="7671" max="7671" width="43.6640625" style="798" customWidth="1"/>
    <col min="7672" max="7672" width="14" style="798" customWidth="1"/>
    <col min="7673" max="7673" width="10.6640625" style="798" bestFit="1" customWidth="1"/>
    <col min="7674" max="7674" width="10.6640625" style="798" customWidth="1"/>
    <col min="7675" max="7675" width="10.6640625" style="798" bestFit="1" customWidth="1"/>
    <col min="7676" max="7676" width="14.33203125" style="798" bestFit="1" customWidth="1"/>
    <col min="7677" max="7677" width="10" style="798" customWidth="1"/>
    <col min="7678" max="7678" width="11.44140625" style="798" customWidth="1"/>
    <col min="7679" max="7679" width="12.109375" style="798" bestFit="1" customWidth="1"/>
    <col min="7680" max="7680" width="10.6640625" style="798" bestFit="1" customWidth="1"/>
    <col min="7681" max="7924" width="9.109375" style="798"/>
    <col min="7925" max="7925" width="13.5546875" style="798" customWidth="1"/>
    <col min="7926" max="7926" width="12.5546875" style="798" customWidth="1"/>
    <col min="7927" max="7927" width="43.6640625" style="798" customWidth="1"/>
    <col min="7928" max="7928" width="14" style="798" customWidth="1"/>
    <col min="7929" max="7929" width="10.6640625" style="798" bestFit="1" customWidth="1"/>
    <col min="7930" max="7930" width="10.6640625" style="798" customWidth="1"/>
    <col min="7931" max="7931" width="10.6640625" style="798" bestFit="1" customWidth="1"/>
    <col min="7932" max="7932" width="14.33203125" style="798" bestFit="1" customWidth="1"/>
    <col min="7933" max="7933" width="10" style="798" customWidth="1"/>
    <col min="7934" max="7934" width="11.44140625" style="798" customWidth="1"/>
    <col min="7935" max="7935" width="12.109375" style="798" bestFit="1" customWidth="1"/>
    <col min="7936" max="7936" width="10.6640625" style="798" bestFit="1" customWidth="1"/>
    <col min="7937" max="8180" width="9.109375" style="798"/>
    <col min="8181" max="8181" width="13.5546875" style="798" customWidth="1"/>
    <col min="8182" max="8182" width="12.5546875" style="798" customWidth="1"/>
    <col min="8183" max="8183" width="43.6640625" style="798" customWidth="1"/>
    <col min="8184" max="8184" width="14" style="798" customWidth="1"/>
    <col min="8185" max="8185" width="10.6640625" style="798" bestFit="1" customWidth="1"/>
    <col min="8186" max="8186" width="10.6640625" style="798" customWidth="1"/>
    <col min="8187" max="8187" width="10.6640625" style="798" bestFit="1" customWidth="1"/>
    <col min="8188" max="8188" width="14.33203125" style="798" bestFit="1" customWidth="1"/>
    <col min="8189" max="8189" width="10" style="798" customWidth="1"/>
    <col min="8190" max="8190" width="11.44140625" style="798" customWidth="1"/>
    <col min="8191" max="8191" width="12.109375" style="798" bestFit="1" customWidth="1"/>
    <col min="8192" max="8192" width="10.6640625" style="798" bestFit="1" customWidth="1"/>
    <col min="8193" max="8436" width="9.109375" style="798"/>
    <col min="8437" max="8437" width="13.5546875" style="798" customWidth="1"/>
    <col min="8438" max="8438" width="12.5546875" style="798" customWidth="1"/>
    <col min="8439" max="8439" width="43.6640625" style="798" customWidth="1"/>
    <col min="8440" max="8440" width="14" style="798" customWidth="1"/>
    <col min="8441" max="8441" width="10.6640625" style="798" bestFit="1" customWidth="1"/>
    <col min="8442" max="8442" width="10.6640625" style="798" customWidth="1"/>
    <col min="8443" max="8443" width="10.6640625" style="798" bestFit="1" customWidth="1"/>
    <col min="8444" max="8444" width="14.33203125" style="798" bestFit="1" customWidth="1"/>
    <col min="8445" max="8445" width="10" style="798" customWidth="1"/>
    <col min="8446" max="8446" width="11.44140625" style="798" customWidth="1"/>
    <col min="8447" max="8447" width="12.109375" style="798" bestFit="1" customWidth="1"/>
    <col min="8448" max="8448" width="10.6640625" style="798" bestFit="1" customWidth="1"/>
    <col min="8449" max="8692" width="9.109375" style="798"/>
    <col min="8693" max="8693" width="13.5546875" style="798" customWidth="1"/>
    <col min="8694" max="8694" width="12.5546875" style="798" customWidth="1"/>
    <col min="8695" max="8695" width="43.6640625" style="798" customWidth="1"/>
    <col min="8696" max="8696" width="14" style="798" customWidth="1"/>
    <col min="8697" max="8697" width="10.6640625" style="798" bestFit="1" customWidth="1"/>
    <col min="8698" max="8698" width="10.6640625" style="798" customWidth="1"/>
    <col min="8699" max="8699" width="10.6640625" style="798" bestFit="1" customWidth="1"/>
    <col min="8700" max="8700" width="14.33203125" style="798" bestFit="1" customWidth="1"/>
    <col min="8701" max="8701" width="10" style="798" customWidth="1"/>
    <col min="8702" max="8702" width="11.44140625" style="798" customWidth="1"/>
    <col min="8703" max="8703" width="12.109375" style="798" bestFit="1" customWidth="1"/>
    <col min="8704" max="8704" width="10.6640625" style="798" bestFit="1" customWidth="1"/>
    <col min="8705" max="8948" width="9.109375" style="798"/>
    <col min="8949" max="8949" width="13.5546875" style="798" customWidth="1"/>
    <col min="8950" max="8950" width="12.5546875" style="798" customWidth="1"/>
    <col min="8951" max="8951" width="43.6640625" style="798" customWidth="1"/>
    <col min="8952" max="8952" width="14" style="798" customWidth="1"/>
    <col min="8953" max="8953" width="10.6640625" style="798" bestFit="1" customWidth="1"/>
    <col min="8954" max="8954" width="10.6640625" style="798" customWidth="1"/>
    <col min="8955" max="8955" width="10.6640625" style="798" bestFit="1" customWidth="1"/>
    <col min="8956" max="8956" width="14.33203125" style="798" bestFit="1" customWidth="1"/>
    <col min="8957" max="8957" width="10" style="798" customWidth="1"/>
    <col min="8958" max="8958" width="11.44140625" style="798" customWidth="1"/>
    <col min="8959" max="8959" width="12.109375" style="798" bestFit="1" customWidth="1"/>
    <col min="8960" max="8960" width="10.6640625" style="798" bestFit="1" customWidth="1"/>
    <col min="8961" max="9204" width="9.109375" style="798"/>
    <col min="9205" max="9205" width="13.5546875" style="798" customWidth="1"/>
    <col min="9206" max="9206" width="12.5546875" style="798" customWidth="1"/>
    <col min="9207" max="9207" width="43.6640625" style="798" customWidth="1"/>
    <col min="9208" max="9208" width="14" style="798" customWidth="1"/>
    <col min="9209" max="9209" width="10.6640625" style="798" bestFit="1" customWidth="1"/>
    <col min="9210" max="9210" width="10.6640625" style="798" customWidth="1"/>
    <col min="9211" max="9211" width="10.6640625" style="798" bestFit="1" customWidth="1"/>
    <col min="9212" max="9212" width="14.33203125" style="798" bestFit="1" customWidth="1"/>
    <col min="9213" max="9213" width="10" style="798" customWidth="1"/>
    <col min="9214" max="9214" width="11.44140625" style="798" customWidth="1"/>
    <col min="9215" max="9215" width="12.109375" style="798" bestFit="1" customWidth="1"/>
    <col min="9216" max="9216" width="10.6640625" style="798" bestFit="1" customWidth="1"/>
    <col min="9217" max="9460" width="9.109375" style="798"/>
    <col min="9461" max="9461" width="13.5546875" style="798" customWidth="1"/>
    <col min="9462" max="9462" width="12.5546875" style="798" customWidth="1"/>
    <col min="9463" max="9463" width="43.6640625" style="798" customWidth="1"/>
    <col min="9464" max="9464" width="14" style="798" customWidth="1"/>
    <col min="9465" max="9465" width="10.6640625" style="798" bestFit="1" customWidth="1"/>
    <col min="9466" max="9466" width="10.6640625" style="798" customWidth="1"/>
    <col min="9467" max="9467" width="10.6640625" style="798" bestFit="1" customWidth="1"/>
    <col min="9468" max="9468" width="14.33203125" style="798" bestFit="1" customWidth="1"/>
    <col min="9469" max="9469" width="10" style="798" customWidth="1"/>
    <col min="9470" max="9470" width="11.44140625" style="798" customWidth="1"/>
    <col min="9471" max="9471" width="12.109375" style="798" bestFit="1" customWidth="1"/>
    <col min="9472" max="9472" width="10.6640625" style="798" bestFit="1" customWidth="1"/>
    <col min="9473" max="9716" width="9.109375" style="798"/>
    <col min="9717" max="9717" width="13.5546875" style="798" customWidth="1"/>
    <col min="9718" max="9718" width="12.5546875" style="798" customWidth="1"/>
    <col min="9719" max="9719" width="43.6640625" style="798" customWidth="1"/>
    <col min="9720" max="9720" width="14" style="798" customWidth="1"/>
    <col min="9721" max="9721" width="10.6640625" style="798" bestFit="1" customWidth="1"/>
    <col min="9722" max="9722" width="10.6640625" style="798" customWidth="1"/>
    <col min="9723" max="9723" width="10.6640625" style="798" bestFit="1" customWidth="1"/>
    <col min="9724" max="9724" width="14.33203125" style="798" bestFit="1" customWidth="1"/>
    <col min="9725" max="9725" width="10" style="798" customWidth="1"/>
    <col min="9726" max="9726" width="11.44140625" style="798" customWidth="1"/>
    <col min="9727" max="9727" width="12.109375" style="798" bestFit="1" customWidth="1"/>
    <col min="9728" max="9728" width="10.6640625" style="798" bestFit="1" customWidth="1"/>
    <col min="9729" max="9972" width="9.109375" style="798"/>
    <col min="9973" max="9973" width="13.5546875" style="798" customWidth="1"/>
    <col min="9974" max="9974" width="12.5546875" style="798" customWidth="1"/>
    <col min="9975" max="9975" width="43.6640625" style="798" customWidth="1"/>
    <col min="9976" max="9976" width="14" style="798" customWidth="1"/>
    <col min="9977" max="9977" width="10.6640625" style="798" bestFit="1" customWidth="1"/>
    <col min="9978" max="9978" width="10.6640625" style="798" customWidth="1"/>
    <col min="9979" max="9979" width="10.6640625" style="798" bestFit="1" customWidth="1"/>
    <col min="9980" max="9980" width="14.33203125" style="798" bestFit="1" customWidth="1"/>
    <col min="9981" max="9981" width="10" style="798" customWidth="1"/>
    <col min="9982" max="9982" width="11.44140625" style="798" customWidth="1"/>
    <col min="9983" max="9983" width="12.109375" style="798" bestFit="1" customWidth="1"/>
    <col min="9984" max="9984" width="10.6640625" style="798" bestFit="1" customWidth="1"/>
    <col min="9985" max="10228" width="9.109375" style="798"/>
    <col min="10229" max="10229" width="13.5546875" style="798" customWidth="1"/>
    <col min="10230" max="10230" width="12.5546875" style="798" customWidth="1"/>
    <col min="10231" max="10231" width="43.6640625" style="798" customWidth="1"/>
    <col min="10232" max="10232" width="14" style="798" customWidth="1"/>
    <col min="10233" max="10233" width="10.6640625" style="798" bestFit="1" customWidth="1"/>
    <col min="10234" max="10234" width="10.6640625" style="798" customWidth="1"/>
    <col min="10235" max="10235" width="10.6640625" style="798" bestFit="1" customWidth="1"/>
    <col min="10236" max="10236" width="14.33203125" style="798" bestFit="1" customWidth="1"/>
    <col min="10237" max="10237" width="10" style="798" customWidth="1"/>
    <col min="10238" max="10238" width="11.44140625" style="798" customWidth="1"/>
    <col min="10239" max="10239" width="12.109375" style="798" bestFit="1" customWidth="1"/>
    <col min="10240" max="10240" width="10.6640625" style="798" bestFit="1" customWidth="1"/>
    <col min="10241" max="10484" width="9.109375" style="798"/>
    <col min="10485" max="10485" width="13.5546875" style="798" customWidth="1"/>
    <col min="10486" max="10486" width="12.5546875" style="798" customWidth="1"/>
    <col min="10487" max="10487" width="43.6640625" style="798" customWidth="1"/>
    <col min="10488" max="10488" width="14" style="798" customWidth="1"/>
    <col min="10489" max="10489" width="10.6640625" style="798" bestFit="1" customWidth="1"/>
    <col min="10490" max="10490" width="10.6640625" style="798" customWidth="1"/>
    <col min="10491" max="10491" width="10.6640625" style="798" bestFit="1" customWidth="1"/>
    <col min="10492" max="10492" width="14.33203125" style="798" bestFit="1" customWidth="1"/>
    <col min="10493" max="10493" width="10" style="798" customWidth="1"/>
    <col min="10494" max="10494" width="11.44140625" style="798" customWidth="1"/>
    <col min="10495" max="10495" width="12.109375" style="798" bestFit="1" customWidth="1"/>
    <col min="10496" max="10496" width="10.6640625" style="798" bestFit="1" customWidth="1"/>
    <col min="10497" max="10740" width="9.109375" style="798"/>
    <col min="10741" max="10741" width="13.5546875" style="798" customWidth="1"/>
    <col min="10742" max="10742" width="12.5546875" style="798" customWidth="1"/>
    <col min="10743" max="10743" width="43.6640625" style="798" customWidth="1"/>
    <col min="10744" max="10744" width="14" style="798" customWidth="1"/>
    <col min="10745" max="10745" width="10.6640625" style="798" bestFit="1" customWidth="1"/>
    <col min="10746" max="10746" width="10.6640625" style="798" customWidth="1"/>
    <col min="10747" max="10747" width="10.6640625" style="798" bestFit="1" customWidth="1"/>
    <col min="10748" max="10748" width="14.33203125" style="798" bestFit="1" customWidth="1"/>
    <col min="10749" max="10749" width="10" style="798" customWidth="1"/>
    <col min="10750" max="10750" width="11.44140625" style="798" customWidth="1"/>
    <col min="10751" max="10751" width="12.109375" style="798" bestFit="1" customWidth="1"/>
    <col min="10752" max="10752" width="10.6640625" style="798" bestFit="1" customWidth="1"/>
    <col min="10753" max="10996" width="9.109375" style="798"/>
    <col min="10997" max="10997" width="13.5546875" style="798" customWidth="1"/>
    <col min="10998" max="10998" width="12.5546875" style="798" customWidth="1"/>
    <col min="10999" max="10999" width="43.6640625" style="798" customWidth="1"/>
    <col min="11000" max="11000" width="14" style="798" customWidth="1"/>
    <col min="11001" max="11001" width="10.6640625" style="798" bestFit="1" customWidth="1"/>
    <col min="11002" max="11002" width="10.6640625" style="798" customWidth="1"/>
    <col min="11003" max="11003" width="10.6640625" style="798" bestFit="1" customWidth="1"/>
    <col min="11004" max="11004" width="14.33203125" style="798" bestFit="1" customWidth="1"/>
    <col min="11005" max="11005" width="10" style="798" customWidth="1"/>
    <col min="11006" max="11006" width="11.44140625" style="798" customWidth="1"/>
    <col min="11007" max="11007" width="12.109375" style="798" bestFit="1" customWidth="1"/>
    <col min="11008" max="11008" width="10.6640625" style="798" bestFit="1" customWidth="1"/>
    <col min="11009" max="11252" width="9.109375" style="798"/>
    <col min="11253" max="11253" width="13.5546875" style="798" customWidth="1"/>
    <col min="11254" max="11254" width="12.5546875" style="798" customWidth="1"/>
    <col min="11255" max="11255" width="43.6640625" style="798" customWidth="1"/>
    <col min="11256" max="11256" width="14" style="798" customWidth="1"/>
    <col min="11257" max="11257" width="10.6640625" style="798" bestFit="1" customWidth="1"/>
    <col min="11258" max="11258" width="10.6640625" style="798" customWidth="1"/>
    <col min="11259" max="11259" width="10.6640625" style="798" bestFit="1" customWidth="1"/>
    <col min="11260" max="11260" width="14.33203125" style="798" bestFit="1" customWidth="1"/>
    <col min="11261" max="11261" width="10" style="798" customWidth="1"/>
    <col min="11262" max="11262" width="11.44140625" style="798" customWidth="1"/>
    <col min="11263" max="11263" width="12.109375" style="798" bestFit="1" customWidth="1"/>
    <col min="11264" max="11264" width="10.6640625" style="798" bestFit="1" customWidth="1"/>
    <col min="11265" max="11508" width="9.109375" style="798"/>
    <col min="11509" max="11509" width="13.5546875" style="798" customWidth="1"/>
    <col min="11510" max="11510" width="12.5546875" style="798" customWidth="1"/>
    <col min="11511" max="11511" width="43.6640625" style="798" customWidth="1"/>
    <col min="11512" max="11512" width="14" style="798" customWidth="1"/>
    <col min="11513" max="11513" width="10.6640625" style="798" bestFit="1" customWidth="1"/>
    <col min="11514" max="11514" width="10.6640625" style="798" customWidth="1"/>
    <col min="11515" max="11515" width="10.6640625" style="798" bestFit="1" customWidth="1"/>
    <col min="11516" max="11516" width="14.33203125" style="798" bestFit="1" customWidth="1"/>
    <col min="11517" max="11517" width="10" style="798" customWidth="1"/>
    <col min="11518" max="11518" width="11.44140625" style="798" customWidth="1"/>
    <col min="11519" max="11519" width="12.109375" style="798" bestFit="1" customWidth="1"/>
    <col min="11520" max="11520" width="10.6640625" style="798" bestFit="1" customWidth="1"/>
    <col min="11521" max="11764" width="9.109375" style="798"/>
    <col min="11765" max="11765" width="13.5546875" style="798" customWidth="1"/>
    <col min="11766" max="11766" width="12.5546875" style="798" customWidth="1"/>
    <col min="11767" max="11767" width="43.6640625" style="798" customWidth="1"/>
    <col min="11768" max="11768" width="14" style="798" customWidth="1"/>
    <col min="11769" max="11769" width="10.6640625" style="798" bestFit="1" customWidth="1"/>
    <col min="11770" max="11770" width="10.6640625" style="798" customWidth="1"/>
    <col min="11771" max="11771" width="10.6640625" style="798" bestFit="1" customWidth="1"/>
    <col min="11772" max="11772" width="14.33203125" style="798" bestFit="1" customWidth="1"/>
    <col min="11773" max="11773" width="10" style="798" customWidth="1"/>
    <col min="11774" max="11774" width="11.44140625" style="798" customWidth="1"/>
    <col min="11775" max="11775" width="12.109375" style="798" bestFit="1" customWidth="1"/>
    <col min="11776" max="11776" width="10.6640625" style="798" bestFit="1" customWidth="1"/>
    <col min="11777" max="12020" width="9.109375" style="798"/>
    <col min="12021" max="12021" width="13.5546875" style="798" customWidth="1"/>
    <col min="12022" max="12022" width="12.5546875" style="798" customWidth="1"/>
    <col min="12023" max="12023" width="43.6640625" style="798" customWidth="1"/>
    <col min="12024" max="12024" width="14" style="798" customWidth="1"/>
    <col min="12025" max="12025" width="10.6640625" style="798" bestFit="1" customWidth="1"/>
    <col min="12026" max="12026" width="10.6640625" style="798" customWidth="1"/>
    <col min="12027" max="12027" width="10.6640625" style="798" bestFit="1" customWidth="1"/>
    <col min="12028" max="12028" width="14.33203125" style="798" bestFit="1" customWidth="1"/>
    <col min="12029" max="12029" width="10" style="798" customWidth="1"/>
    <col min="12030" max="12030" width="11.44140625" style="798" customWidth="1"/>
    <col min="12031" max="12031" width="12.109375" style="798" bestFit="1" customWidth="1"/>
    <col min="12032" max="12032" width="10.6640625" style="798" bestFit="1" customWidth="1"/>
    <col min="12033" max="12276" width="9.109375" style="798"/>
    <col min="12277" max="12277" width="13.5546875" style="798" customWidth="1"/>
    <col min="12278" max="12278" width="12.5546875" style="798" customWidth="1"/>
    <col min="12279" max="12279" width="43.6640625" style="798" customWidth="1"/>
    <col min="12280" max="12280" width="14" style="798" customWidth="1"/>
    <col min="12281" max="12281" width="10.6640625" style="798" bestFit="1" customWidth="1"/>
    <col min="12282" max="12282" width="10.6640625" style="798" customWidth="1"/>
    <col min="12283" max="12283" width="10.6640625" style="798" bestFit="1" customWidth="1"/>
    <col min="12284" max="12284" width="14.33203125" style="798" bestFit="1" customWidth="1"/>
    <col min="12285" max="12285" width="10" style="798" customWidth="1"/>
    <col min="12286" max="12286" width="11.44140625" style="798" customWidth="1"/>
    <col min="12287" max="12287" width="12.109375" style="798" bestFit="1" customWidth="1"/>
    <col min="12288" max="12288" width="10.6640625" style="798" bestFit="1" customWidth="1"/>
    <col min="12289" max="12532" width="9.109375" style="798"/>
    <col min="12533" max="12533" width="13.5546875" style="798" customWidth="1"/>
    <col min="12534" max="12534" width="12.5546875" style="798" customWidth="1"/>
    <col min="12535" max="12535" width="43.6640625" style="798" customWidth="1"/>
    <col min="12536" max="12536" width="14" style="798" customWidth="1"/>
    <col min="12537" max="12537" width="10.6640625" style="798" bestFit="1" customWidth="1"/>
    <col min="12538" max="12538" width="10.6640625" style="798" customWidth="1"/>
    <col min="12539" max="12539" width="10.6640625" style="798" bestFit="1" customWidth="1"/>
    <col min="12540" max="12540" width="14.33203125" style="798" bestFit="1" customWidth="1"/>
    <col min="12541" max="12541" width="10" style="798" customWidth="1"/>
    <col min="12542" max="12542" width="11.44140625" style="798" customWidth="1"/>
    <col min="12543" max="12543" width="12.109375" style="798" bestFit="1" customWidth="1"/>
    <col min="12544" max="12544" width="10.6640625" style="798" bestFit="1" customWidth="1"/>
    <col min="12545" max="12788" width="9.109375" style="798"/>
    <col min="12789" max="12789" width="13.5546875" style="798" customWidth="1"/>
    <col min="12790" max="12790" width="12.5546875" style="798" customWidth="1"/>
    <col min="12791" max="12791" width="43.6640625" style="798" customWidth="1"/>
    <col min="12792" max="12792" width="14" style="798" customWidth="1"/>
    <col min="12793" max="12793" width="10.6640625" style="798" bestFit="1" customWidth="1"/>
    <col min="12794" max="12794" width="10.6640625" style="798" customWidth="1"/>
    <col min="12795" max="12795" width="10.6640625" style="798" bestFit="1" customWidth="1"/>
    <col min="12796" max="12796" width="14.33203125" style="798" bestFit="1" customWidth="1"/>
    <col min="12797" max="12797" width="10" style="798" customWidth="1"/>
    <col min="12798" max="12798" width="11.44140625" style="798" customWidth="1"/>
    <col min="12799" max="12799" width="12.109375" style="798" bestFit="1" customWidth="1"/>
    <col min="12800" max="12800" width="10.6640625" style="798" bestFit="1" customWidth="1"/>
    <col min="12801" max="13044" width="9.109375" style="798"/>
    <col min="13045" max="13045" width="13.5546875" style="798" customWidth="1"/>
    <col min="13046" max="13046" width="12.5546875" style="798" customWidth="1"/>
    <col min="13047" max="13047" width="43.6640625" style="798" customWidth="1"/>
    <col min="13048" max="13048" width="14" style="798" customWidth="1"/>
    <col min="13049" max="13049" width="10.6640625" style="798" bestFit="1" customWidth="1"/>
    <col min="13050" max="13050" width="10.6640625" style="798" customWidth="1"/>
    <col min="13051" max="13051" width="10.6640625" style="798" bestFit="1" customWidth="1"/>
    <col min="13052" max="13052" width="14.33203125" style="798" bestFit="1" customWidth="1"/>
    <col min="13053" max="13053" width="10" style="798" customWidth="1"/>
    <col min="13054" max="13054" width="11.44140625" style="798" customWidth="1"/>
    <col min="13055" max="13055" width="12.109375" style="798" bestFit="1" customWidth="1"/>
    <col min="13056" max="13056" width="10.6640625" style="798" bestFit="1" customWidth="1"/>
    <col min="13057" max="13300" width="9.109375" style="798"/>
    <col min="13301" max="13301" width="13.5546875" style="798" customWidth="1"/>
    <col min="13302" max="13302" width="12.5546875" style="798" customWidth="1"/>
    <col min="13303" max="13303" width="43.6640625" style="798" customWidth="1"/>
    <col min="13304" max="13304" width="14" style="798" customWidth="1"/>
    <col min="13305" max="13305" width="10.6640625" style="798" bestFit="1" customWidth="1"/>
    <col min="13306" max="13306" width="10.6640625" style="798" customWidth="1"/>
    <col min="13307" max="13307" width="10.6640625" style="798" bestFit="1" customWidth="1"/>
    <col min="13308" max="13308" width="14.33203125" style="798" bestFit="1" customWidth="1"/>
    <col min="13309" max="13309" width="10" style="798" customWidth="1"/>
    <col min="13310" max="13310" width="11.44140625" style="798" customWidth="1"/>
    <col min="13311" max="13311" width="12.109375" style="798" bestFit="1" customWidth="1"/>
    <col min="13312" max="13312" width="10.6640625" style="798" bestFit="1" customWidth="1"/>
    <col min="13313" max="13556" width="9.109375" style="798"/>
    <col min="13557" max="13557" width="13.5546875" style="798" customWidth="1"/>
    <col min="13558" max="13558" width="12.5546875" style="798" customWidth="1"/>
    <col min="13559" max="13559" width="43.6640625" style="798" customWidth="1"/>
    <col min="13560" max="13560" width="14" style="798" customWidth="1"/>
    <col min="13561" max="13561" width="10.6640625" style="798" bestFit="1" customWidth="1"/>
    <col min="13562" max="13562" width="10.6640625" style="798" customWidth="1"/>
    <col min="13563" max="13563" width="10.6640625" style="798" bestFit="1" customWidth="1"/>
    <col min="13564" max="13564" width="14.33203125" style="798" bestFit="1" customWidth="1"/>
    <col min="13565" max="13565" width="10" style="798" customWidth="1"/>
    <col min="13566" max="13566" width="11.44140625" style="798" customWidth="1"/>
    <col min="13567" max="13567" width="12.109375" style="798" bestFit="1" customWidth="1"/>
    <col min="13568" max="13568" width="10.6640625" style="798" bestFit="1" customWidth="1"/>
    <col min="13569" max="13812" width="9.109375" style="798"/>
    <col min="13813" max="13813" width="13.5546875" style="798" customWidth="1"/>
    <col min="13814" max="13814" width="12.5546875" style="798" customWidth="1"/>
    <col min="13815" max="13815" width="43.6640625" style="798" customWidth="1"/>
    <col min="13816" max="13816" width="14" style="798" customWidth="1"/>
    <col min="13817" max="13817" width="10.6640625" style="798" bestFit="1" customWidth="1"/>
    <col min="13818" max="13818" width="10.6640625" style="798" customWidth="1"/>
    <col min="13819" max="13819" width="10.6640625" style="798" bestFit="1" customWidth="1"/>
    <col min="13820" max="13820" width="14.33203125" style="798" bestFit="1" customWidth="1"/>
    <col min="13821" max="13821" width="10" style="798" customWidth="1"/>
    <col min="13822" max="13822" width="11.44140625" style="798" customWidth="1"/>
    <col min="13823" max="13823" width="12.109375" style="798" bestFit="1" customWidth="1"/>
    <col min="13824" max="13824" width="10.6640625" style="798" bestFit="1" customWidth="1"/>
    <col min="13825" max="14068" width="9.109375" style="798"/>
    <col min="14069" max="14069" width="13.5546875" style="798" customWidth="1"/>
    <col min="14070" max="14070" width="12.5546875" style="798" customWidth="1"/>
    <col min="14071" max="14071" width="43.6640625" style="798" customWidth="1"/>
    <col min="14072" max="14072" width="14" style="798" customWidth="1"/>
    <col min="14073" max="14073" width="10.6640625" style="798" bestFit="1" customWidth="1"/>
    <col min="14074" max="14074" width="10.6640625" style="798" customWidth="1"/>
    <col min="14075" max="14075" width="10.6640625" style="798" bestFit="1" customWidth="1"/>
    <col min="14076" max="14076" width="14.33203125" style="798" bestFit="1" customWidth="1"/>
    <col min="14077" max="14077" width="10" style="798" customWidth="1"/>
    <col min="14078" max="14078" width="11.44140625" style="798" customWidth="1"/>
    <col min="14079" max="14079" width="12.109375" style="798" bestFit="1" customWidth="1"/>
    <col min="14080" max="14080" width="10.6640625" style="798" bestFit="1" customWidth="1"/>
    <col min="14081" max="14324" width="9.109375" style="798"/>
    <col min="14325" max="14325" width="13.5546875" style="798" customWidth="1"/>
    <col min="14326" max="14326" width="12.5546875" style="798" customWidth="1"/>
    <col min="14327" max="14327" width="43.6640625" style="798" customWidth="1"/>
    <col min="14328" max="14328" width="14" style="798" customWidth="1"/>
    <col min="14329" max="14329" width="10.6640625" style="798" bestFit="1" customWidth="1"/>
    <col min="14330" max="14330" width="10.6640625" style="798" customWidth="1"/>
    <col min="14331" max="14331" width="10.6640625" style="798" bestFit="1" customWidth="1"/>
    <col min="14332" max="14332" width="14.33203125" style="798" bestFit="1" customWidth="1"/>
    <col min="14333" max="14333" width="10" style="798" customWidth="1"/>
    <col min="14334" max="14334" width="11.44140625" style="798" customWidth="1"/>
    <col min="14335" max="14335" width="12.109375" style="798" bestFit="1" customWidth="1"/>
    <col min="14336" max="14336" width="10.6640625" style="798" bestFit="1" customWidth="1"/>
    <col min="14337" max="14580" width="9.109375" style="798"/>
    <col min="14581" max="14581" width="13.5546875" style="798" customWidth="1"/>
    <col min="14582" max="14582" width="12.5546875" style="798" customWidth="1"/>
    <col min="14583" max="14583" width="43.6640625" style="798" customWidth="1"/>
    <col min="14584" max="14584" width="14" style="798" customWidth="1"/>
    <col min="14585" max="14585" width="10.6640625" style="798" bestFit="1" customWidth="1"/>
    <col min="14586" max="14586" width="10.6640625" style="798" customWidth="1"/>
    <col min="14587" max="14587" width="10.6640625" style="798" bestFit="1" customWidth="1"/>
    <col min="14588" max="14588" width="14.33203125" style="798" bestFit="1" customWidth="1"/>
    <col min="14589" max="14589" width="10" style="798" customWidth="1"/>
    <col min="14590" max="14590" width="11.44140625" style="798" customWidth="1"/>
    <col min="14591" max="14591" width="12.109375" style="798" bestFit="1" customWidth="1"/>
    <col min="14592" max="14592" width="10.6640625" style="798" bestFit="1" customWidth="1"/>
    <col min="14593" max="14836" width="9.109375" style="798"/>
    <col min="14837" max="14837" width="13.5546875" style="798" customWidth="1"/>
    <col min="14838" max="14838" width="12.5546875" style="798" customWidth="1"/>
    <col min="14839" max="14839" width="43.6640625" style="798" customWidth="1"/>
    <col min="14840" max="14840" width="14" style="798" customWidth="1"/>
    <col min="14841" max="14841" width="10.6640625" style="798" bestFit="1" customWidth="1"/>
    <col min="14842" max="14842" width="10.6640625" style="798" customWidth="1"/>
    <col min="14843" max="14843" width="10.6640625" style="798" bestFit="1" customWidth="1"/>
    <col min="14844" max="14844" width="14.33203125" style="798" bestFit="1" customWidth="1"/>
    <col min="14845" max="14845" width="10" style="798" customWidth="1"/>
    <col min="14846" max="14846" width="11.44140625" style="798" customWidth="1"/>
    <col min="14847" max="14847" width="12.109375" style="798" bestFit="1" customWidth="1"/>
    <col min="14848" max="14848" width="10.6640625" style="798" bestFit="1" customWidth="1"/>
    <col min="14849" max="15092" width="9.109375" style="798"/>
    <col min="15093" max="15093" width="13.5546875" style="798" customWidth="1"/>
    <col min="15094" max="15094" width="12.5546875" style="798" customWidth="1"/>
    <col min="15095" max="15095" width="43.6640625" style="798" customWidth="1"/>
    <col min="15096" max="15096" width="14" style="798" customWidth="1"/>
    <col min="15097" max="15097" width="10.6640625" style="798" bestFit="1" customWidth="1"/>
    <col min="15098" max="15098" width="10.6640625" style="798" customWidth="1"/>
    <col min="15099" max="15099" width="10.6640625" style="798" bestFit="1" customWidth="1"/>
    <col min="15100" max="15100" width="14.33203125" style="798" bestFit="1" customWidth="1"/>
    <col min="15101" max="15101" width="10" style="798" customWidth="1"/>
    <col min="15102" max="15102" width="11.44140625" style="798" customWidth="1"/>
    <col min="15103" max="15103" width="12.109375" style="798" bestFit="1" customWidth="1"/>
    <col min="15104" max="15104" width="10.6640625" style="798" bestFit="1" customWidth="1"/>
    <col min="15105" max="15348" width="9.109375" style="798"/>
    <col min="15349" max="15349" width="13.5546875" style="798" customWidth="1"/>
    <col min="15350" max="15350" width="12.5546875" style="798" customWidth="1"/>
    <col min="15351" max="15351" width="43.6640625" style="798" customWidth="1"/>
    <col min="15352" max="15352" width="14" style="798" customWidth="1"/>
    <col min="15353" max="15353" width="10.6640625" style="798" bestFit="1" customWidth="1"/>
    <col min="15354" max="15354" width="10.6640625" style="798" customWidth="1"/>
    <col min="15355" max="15355" width="10.6640625" style="798" bestFit="1" customWidth="1"/>
    <col min="15356" max="15356" width="14.33203125" style="798" bestFit="1" customWidth="1"/>
    <col min="15357" max="15357" width="10" style="798" customWidth="1"/>
    <col min="15358" max="15358" width="11.44140625" style="798" customWidth="1"/>
    <col min="15359" max="15359" width="12.109375" style="798" bestFit="1" customWidth="1"/>
    <col min="15360" max="15360" width="10.6640625" style="798" bestFit="1" customWidth="1"/>
    <col min="15361" max="15604" width="9.109375" style="798"/>
    <col min="15605" max="15605" width="13.5546875" style="798" customWidth="1"/>
    <col min="15606" max="15606" width="12.5546875" style="798" customWidth="1"/>
    <col min="15607" max="15607" width="43.6640625" style="798" customWidth="1"/>
    <col min="15608" max="15608" width="14" style="798" customWidth="1"/>
    <col min="15609" max="15609" width="10.6640625" style="798" bestFit="1" customWidth="1"/>
    <col min="15610" max="15610" width="10.6640625" style="798" customWidth="1"/>
    <col min="15611" max="15611" width="10.6640625" style="798" bestFit="1" customWidth="1"/>
    <col min="15612" max="15612" width="14.33203125" style="798" bestFit="1" customWidth="1"/>
    <col min="15613" max="15613" width="10" style="798" customWidth="1"/>
    <col min="15614" max="15614" width="11.44140625" style="798" customWidth="1"/>
    <col min="15615" max="15615" width="12.109375" style="798" bestFit="1" customWidth="1"/>
    <col min="15616" max="15616" width="10.6640625" style="798" bestFit="1" customWidth="1"/>
    <col min="15617" max="15860" width="9.109375" style="798"/>
    <col min="15861" max="15861" width="13.5546875" style="798" customWidth="1"/>
    <col min="15862" max="15862" width="12.5546875" style="798" customWidth="1"/>
    <col min="15863" max="15863" width="43.6640625" style="798" customWidth="1"/>
    <col min="15864" max="15864" width="14" style="798" customWidth="1"/>
    <col min="15865" max="15865" width="10.6640625" style="798" bestFit="1" customWidth="1"/>
    <col min="15866" max="15866" width="10.6640625" style="798" customWidth="1"/>
    <col min="15867" max="15867" width="10.6640625" style="798" bestFit="1" customWidth="1"/>
    <col min="15868" max="15868" width="14.33203125" style="798" bestFit="1" customWidth="1"/>
    <col min="15869" max="15869" width="10" style="798" customWidth="1"/>
    <col min="15870" max="15870" width="11.44140625" style="798" customWidth="1"/>
    <col min="15871" max="15871" width="12.109375" style="798" bestFit="1" customWidth="1"/>
    <col min="15872" max="15872" width="10.6640625" style="798" bestFit="1" customWidth="1"/>
    <col min="15873" max="16116" width="9.109375" style="798"/>
    <col min="16117" max="16117" width="13.5546875" style="798" customWidth="1"/>
    <col min="16118" max="16118" width="12.5546875" style="798" customWidth="1"/>
    <col min="16119" max="16119" width="43.6640625" style="798" customWidth="1"/>
    <col min="16120" max="16120" width="14" style="798" customWidth="1"/>
    <col min="16121" max="16121" width="10.6640625" style="798" bestFit="1" customWidth="1"/>
    <col min="16122" max="16122" width="10.6640625" style="798" customWidth="1"/>
    <col min="16123" max="16123" width="10.6640625" style="798" bestFit="1" customWidth="1"/>
    <col min="16124" max="16124" width="14.33203125" style="798" bestFit="1" customWidth="1"/>
    <col min="16125" max="16125" width="10" style="798" customWidth="1"/>
    <col min="16126" max="16126" width="11.44140625" style="798" customWidth="1"/>
    <col min="16127" max="16127" width="12.109375" style="798" bestFit="1" customWidth="1"/>
    <col min="16128" max="16128" width="10.6640625" style="798" bestFit="1" customWidth="1"/>
    <col min="16129" max="16384" width="9.109375" style="798"/>
  </cols>
  <sheetData>
    <row r="4" spans="6:46" ht="14.4">
      <c r="H4" s="799" t="s">
        <v>855</v>
      </c>
    </row>
    <row r="5" spans="6:46" ht="11.4" customHeight="1" thickBot="1">
      <c r="F5" s="800" t="s">
        <v>545</v>
      </c>
      <c r="G5" s="800" t="s">
        <v>585</v>
      </c>
      <c r="H5" s="800" t="s">
        <v>592</v>
      </c>
      <c r="I5" s="801" t="s">
        <v>88</v>
      </c>
      <c r="J5" s="801" t="s">
        <v>89</v>
      </c>
      <c r="K5" s="801" t="s">
        <v>90</v>
      </c>
      <c r="L5" s="801" t="s">
        <v>91</v>
      </c>
      <c r="M5" s="801" t="s">
        <v>92</v>
      </c>
      <c r="N5" s="801" t="s">
        <v>93</v>
      </c>
      <c r="O5" s="801" t="s">
        <v>94</v>
      </c>
      <c r="P5" s="801" t="s">
        <v>95</v>
      </c>
      <c r="Q5" s="801" t="s">
        <v>96</v>
      </c>
      <c r="R5" s="801" t="s">
        <v>97</v>
      </c>
      <c r="S5" s="801" t="s">
        <v>98</v>
      </c>
      <c r="T5" s="801" t="s">
        <v>99</v>
      </c>
      <c r="U5" s="801" t="s">
        <v>205</v>
      </c>
      <c r="V5" s="801" t="s">
        <v>118</v>
      </c>
      <c r="W5" s="801" t="s">
        <v>100</v>
      </c>
      <c r="X5" s="801" t="s">
        <v>101</v>
      </c>
      <c r="Y5" s="801" t="s">
        <v>102</v>
      </c>
      <c r="Z5" s="801" t="s">
        <v>103</v>
      </c>
      <c r="AA5" s="801" t="s">
        <v>104</v>
      </c>
      <c r="AB5" s="801" t="s">
        <v>105</v>
      </c>
      <c r="AC5" s="801" t="s">
        <v>106</v>
      </c>
      <c r="AD5" s="801" t="s">
        <v>107</v>
      </c>
      <c r="AE5" s="801" t="s">
        <v>108</v>
      </c>
      <c r="AF5" s="801" t="s">
        <v>109</v>
      </c>
      <c r="AG5" s="801" t="s">
        <v>110</v>
      </c>
      <c r="AH5" s="801" t="s">
        <v>111</v>
      </c>
      <c r="AI5" s="801" t="s">
        <v>112</v>
      </c>
      <c r="AJ5" s="801" t="s">
        <v>113</v>
      </c>
      <c r="AK5" s="801" t="s">
        <v>114</v>
      </c>
      <c r="AL5" s="801" t="s">
        <v>115</v>
      </c>
      <c r="AM5" s="801" t="s">
        <v>52</v>
      </c>
      <c r="AN5" s="801" t="s">
        <v>116</v>
      </c>
      <c r="AO5" s="801" t="s">
        <v>117</v>
      </c>
      <c r="AP5" s="801" t="s">
        <v>119</v>
      </c>
      <c r="AQ5" s="801" t="s">
        <v>120</v>
      </c>
      <c r="AR5" s="801" t="s">
        <v>121</v>
      </c>
      <c r="AS5" s="801" t="s">
        <v>122</v>
      </c>
    </row>
    <row r="6" spans="6:46" ht="11.4" customHeight="1">
      <c r="F6" s="798" t="s">
        <v>765</v>
      </c>
      <c r="I6" s="802"/>
      <c r="J6" s="802"/>
      <c r="K6" s="802"/>
      <c r="L6" s="802"/>
      <c r="M6" s="802"/>
      <c r="N6" s="802"/>
      <c r="O6" s="802"/>
      <c r="P6" s="802"/>
      <c r="Q6" s="802"/>
      <c r="R6" s="802"/>
      <c r="S6" s="802"/>
      <c r="T6" s="802"/>
      <c r="U6" s="802"/>
      <c r="V6" s="802"/>
      <c r="W6" s="802"/>
      <c r="X6" s="802"/>
      <c r="Y6" s="802"/>
      <c r="Z6" s="802"/>
      <c r="AA6" s="802"/>
      <c r="AB6" s="802"/>
      <c r="AC6" s="802"/>
      <c r="AD6" s="802"/>
      <c r="AE6" s="802"/>
      <c r="AF6" s="802"/>
      <c r="AG6" s="802"/>
      <c r="AH6" s="802"/>
      <c r="AI6" s="802"/>
      <c r="AJ6" s="802"/>
      <c r="AK6" s="802"/>
      <c r="AL6" s="802"/>
      <c r="AM6" s="802"/>
      <c r="AN6" s="802"/>
      <c r="AO6" s="802"/>
      <c r="AP6" s="802"/>
      <c r="AQ6" s="802"/>
      <c r="AR6" s="802"/>
      <c r="AS6" s="802"/>
    </row>
    <row r="7" spans="6:46" ht="11.4" customHeight="1">
      <c r="F7" s="798" t="s">
        <v>767</v>
      </c>
      <c r="I7" s="802"/>
      <c r="J7" s="802"/>
      <c r="K7" s="802"/>
      <c r="L7" s="802"/>
      <c r="M7" s="802"/>
      <c r="N7" s="802"/>
      <c r="O7" s="802"/>
      <c r="P7" s="802"/>
      <c r="Q7" s="802"/>
      <c r="R7" s="802"/>
      <c r="S7" s="802"/>
      <c r="T7" s="802"/>
      <c r="U7" s="802"/>
      <c r="V7" s="802"/>
      <c r="W7" s="802"/>
      <c r="X7" s="802"/>
      <c r="Y7" s="802"/>
      <c r="Z7" s="802"/>
      <c r="AA7" s="802"/>
      <c r="AB7" s="802"/>
      <c r="AC7" s="802"/>
      <c r="AD7" s="802"/>
      <c r="AE7" s="802"/>
      <c r="AF7" s="802"/>
      <c r="AG7" s="802"/>
      <c r="AH7" s="802"/>
      <c r="AI7" s="802"/>
      <c r="AJ7" s="802"/>
      <c r="AK7" s="802"/>
      <c r="AL7" s="802"/>
      <c r="AM7" s="802"/>
      <c r="AN7" s="802"/>
      <c r="AO7" s="802"/>
      <c r="AP7" s="802"/>
      <c r="AQ7" s="802"/>
      <c r="AR7" s="802"/>
      <c r="AS7" s="802"/>
    </row>
    <row r="8" spans="6:46" ht="11.4" customHeight="1">
      <c r="F8" s="798" t="s">
        <v>769</v>
      </c>
      <c r="I8" s="802"/>
      <c r="J8" s="802"/>
      <c r="K8" s="802"/>
      <c r="L8" s="802"/>
      <c r="M8" s="802"/>
      <c r="N8" s="802"/>
      <c r="O8" s="802"/>
      <c r="P8" s="802"/>
      <c r="Q8" s="802"/>
      <c r="R8" s="802"/>
      <c r="S8" s="802"/>
      <c r="T8" s="802"/>
      <c r="U8" s="802"/>
      <c r="V8" s="802"/>
      <c r="W8" s="802"/>
      <c r="X8" s="802"/>
      <c r="Y8" s="802"/>
      <c r="Z8" s="802"/>
      <c r="AA8" s="802"/>
      <c r="AB8" s="802"/>
      <c r="AC8" s="802"/>
      <c r="AD8" s="802"/>
      <c r="AE8" s="802"/>
      <c r="AF8" s="802"/>
      <c r="AG8" s="802"/>
      <c r="AH8" s="802"/>
      <c r="AI8" s="802"/>
      <c r="AJ8" s="802"/>
      <c r="AK8" s="802"/>
      <c r="AL8" s="802"/>
      <c r="AM8" s="802"/>
      <c r="AN8" s="802"/>
      <c r="AO8" s="802"/>
      <c r="AP8" s="802"/>
      <c r="AQ8" s="802"/>
      <c r="AR8" s="802"/>
      <c r="AS8" s="802"/>
    </row>
    <row r="9" spans="6:46" ht="11.4" customHeight="1">
      <c r="F9" s="798" t="s">
        <v>771</v>
      </c>
      <c r="I9" s="802"/>
      <c r="J9" s="802"/>
      <c r="K9" s="802"/>
      <c r="L9" s="802"/>
      <c r="M9" s="802"/>
      <c r="N9" s="802"/>
      <c r="O9" s="802"/>
      <c r="P9" s="802"/>
      <c r="Q9" s="802"/>
      <c r="R9" s="802"/>
      <c r="S9" s="802"/>
      <c r="T9" s="802"/>
      <c r="U9" s="802"/>
      <c r="V9" s="802"/>
      <c r="W9" s="802"/>
      <c r="X9" s="802"/>
      <c r="Y9" s="802"/>
      <c r="Z9" s="802"/>
      <c r="AA9" s="802"/>
      <c r="AB9" s="802"/>
      <c r="AC9" s="802"/>
      <c r="AD9" s="802"/>
      <c r="AE9" s="802"/>
      <c r="AF9" s="802"/>
      <c r="AG9" s="802"/>
      <c r="AH9" s="802"/>
      <c r="AI9" s="802"/>
      <c r="AJ9" s="802"/>
      <c r="AK9" s="802"/>
      <c r="AL9" s="802"/>
      <c r="AM9" s="802"/>
      <c r="AN9" s="802"/>
      <c r="AO9" s="802"/>
      <c r="AP9" s="802"/>
      <c r="AQ9" s="802"/>
      <c r="AR9" s="802"/>
      <c r="AS9" s="802"/>
    </row>
    <row r="10" spans="6:46" ht="11.4" customHeight="1">
      <c r="F10" s="798" t="s">
        <v>773</v>
      </c>
      <c r="I10" s="802"/>
      <c r="J10" s="802"/>
      <c r="K10" s="802"/>
      <c r="L10" s="802"/>
      <c r="M10" s="802"/>
      <c r="N10" s="802"/>
      <c r="O10" s="802"/>
      <c r="P10" s="802"/>
      <c r="Q10" s="802"/>
      <c r="R10" s="802"/>
      <c r="S10" s="802"/>
      <c r="T10" s="802"/>
      <c r="U10" s="802"/>
      <c r="V10" s="802"/>
      <c r="W10" s="802"/>
      <c r="X10" s="802"/>
      <c r="Y10" s="802"/>
      <c r="Z10" s="802"/>
      <c r="AA10" s="802"/>
      <c r="AB10" s="802"/>
      <c r="AC10" s="802"/>
      <c r="AD10" s="802"/>
      <c r="AE10" s="802"/>
      <c r="AF10" s="802"/>
      <c r="AG10" s="802"/>
      <c r="AH10" s="802"/>
      <c r="AI10" s="802"/>
      <c r="AJ10" s="802"/>
      <c r="AK10" s="802"/>
      <c r="AL10" s="802"/>
      <c r="AM10" s="802"/>
      <c r="AN10" s="802"/>
      <c r="AO10" s="802"/>
      <c r="AP10" s="802"/>
      <c r="AQ10" s="802"/>
      <c r="AR10" s="802"/>
      <c r="AS10" s="802"/>
    </row>
    <row r="11" spans="6:46" ht="11.4" customHeight="1">
      <c r="F11" s="798" t="s">
        <v>775</v>
      </c>
      <c r="I11" s="802"/>
      <c r="J11" s="802"/>
      <c r="K11" s="802"/>
      <c r="L11" s="802"/>
      <c r="M11" s="802"/>
      <c r="N11" s="802"/>
      <c r="O11" s="802"/>
      <c r="P11" s="802"/>
      <c r="Q11" s="802"/>
      <c r="R11" s="802"/>
      <c r="S11" s="802"/>
      <c r="T11" s="802"/>
      <c r="U11" s="802"/>
      <c r="V11" s="802"/>
      <c r="W11" s="802"/>
      <c r="X11" s="802"/>
      <c r="Y11" s="802"/>
      <c r="Z11" s="802"/>
      <c r="AA11" s="802"/>
      <c r="AB11" s="802"/>
      <c r="AC11" s="802"/>
      <c r="AD11" s="802"/>
      <c r="AE11" s="802"/>
      <c r="AF11" s="802"/>
      <c r="AG11" s="802"/>
      <c r="AH11" s="802"/>
      <c r="AI11" s="802"/>
      <c r="AJ11" s="802"/>
      <c r="AK11" s="802"/>
      <c r="AL11" s="802"/>
      <c r="AM11" s="802"/>
      <c r="AN11" s="802"/>
      <c r="AO11" s="802"/>
      <c r="AP11" s="802"/>
      <c r="AQ11" s="802"/>
      <c r="AR11" s="802"/>
      <c r="AS11" s="802"/>
    </row>
    <row r="12" spans="6:46" ht="11.4" customHeight="1">
      <c r="F12" s="798" t="s">
        <v>777</v>
      </c>
      <c r="I12" s="802"/>
      <c r="J12" s="802"/>
      <c r="K12" s="802"/>
      <c r="L12" s="802"/>
      <c r="M12" s="802"/>
      <c r="N12" s="802"/>
      <c r="O12" s="802"/>
      <c r="P12" s="802"/>
      <c r="Q12" s="802"/>
      <c r="R12" s="802"/>
      <c r="S12" s="802"/>
      <c r="T12" s="802"/>
      <c r="U12" s="802"/>
      <c r="V12" s="802"/>
      <c r="W12" s="802"/>
      <c r="X12" s="802"/>
      <c r="Y12" s="802"/>
      <c r="Z12" s="802"/>
      <c r="AA12" s="802"/>
      <c r="AB12" s="802"/>
      <c r="AC12" s="802"/>
      <c r="AD12" s="802"/>
      <c r="AE12" s="802"/>
      <c r="AF12" s="802"/>
      <c r="AG12" s="802"/>
      <c r="AH12" s="802"/>
      <c r="AI12" s="802"/>
      <c r="AJ12" s="802"/>
      <c r="AK12" s="802"/>
      <c r="AL12" s="802"/>
      <c r="AM12" s="802"/>
      <c r="AN12" s="802"/>
      <c r="AO12" s="802"/>
      <c r="AP12" s="802"/>
      <c r="AQ12" s="802"/>
      <c r="AR12" s="802"/>
      <c r="AS12" s="802"/>
    </row>
    <row r="14" spans="6:46" ht="11.4" customHeight="1">
      <c r="H14" s="799" t="s">
        <v>917</v>
      </c>
    </row>
    <row r="15" spans="6:46" ht="11.4" customHeight="1" thickBot="1">
      <c r="F15" s="800" t="s">
        <v>545</v>
      </c>
      <c r="G15" s="800" t="s">
        <v>585</v>
      </c>
      <c r="H15" s="800" t="s">
        <v>592</v>
      </c>
      <c r="I15" s="800">
        <v>0</v>
      </c>
      <c r="J15" s="801" t="s">
        <v>88</v>
      </c>
      <c r="K15" s="801" t="s">
        <v>89</v>
      </c>
      <c r="L15" s="801" t="s">
        <v>90</v>
      </c>
      <c r="M15" s="801" t="s">
        <v>91</v>
      </c>
      <c r="N15" s="801" t="s">
        <v>92</v>
      </c>
      <c r="O15" s="801" t="s">
        <v>93</v>
      </c>
      <c r="P15" s="801" t="s">
        <v>94</v>
      </c>
      <c r="Q15" s="801" t="s">
        <v>95</v>
      </c>
      <c r="R15" s="801" t="s">
        <v>96</v>
      </c>
      <c r="S15" s="801" t="s">
        <v>97</v>
      </c>
      <c r="T15" s="801" t="s">
        <v>98</v>
      </c>
      <c r="U15" s="801" t="s">
        <v>99</v>
      </c>
      <c r="V15" s="801" t="s">
        <v>205</v>
      </c>
      <c r="W15" s="801" t="s">
        <v>118</v>
      </c>
      <c r="X15" s="801" t="s">
        <v>100</v>
      </c>
      <c r="Y15" s="801" t="s">
        <v>101</v>
      </c>
      <c r="Z15" s="801" t="s">
        <v>102</v>
      </c>
      <c r="AA15" s="801" t="s">
        <v>103</v>
      </c>
      <c r="AB15" s="801" t="s">
        <v>104</v>
      </c>
      <c r="AC15" s="801" t="s">
        <v>105</v>
      </c>
      <c r="AD15" s="801" t="s">
        <v>106</v>
      </c>
      <c r="AE15" s="801" t="s">
        <v>107</v>
      </c>
      <c r="AF15" s="801" t="s">
        <v>108</v>
      </c>
      <c r="AG15" s="801" t="s">
        <v>109</v>
      </c>
      <c r="AH15" s="801" t="s">
        <v>110</v>
      </c>
      <c r="AI15" s="801" t="s">
        <v>111</v>
      </c>
      <c r="AJ15" s="801" t="s">
        <v>112</v>
      </c>
      <c r="AK15" s="801" t="s">
        <v>113</v>
      </c>
      <c r="AL15" s="801" t="s">
        <v>114</v>
      </c>
      <c r="AM15" s="801" t="s">
        <v>115</v>
      </c>
      <c r="AN15" s="801" t="s">
        <v>52</v>
      </c>
      <c r="AO15" s="801" t="s">
        <v>116</v>
      </c>
      <c r="AP15" s="801" t="s">
        <v>117</v>
      </c>
      <c r="AQ15" s="801" t="s">
        <v>119</v>
      </c>
      <c r="AR15" s="801" t="s">
        <v>120</v>
      </c>
      <c r="AS15" s="801" t="s">
        <v>121</v>
      </c>
      <c r="AT15" s="801" t="s">
        <v>122</v>
      </c>
    </row>
    <row r="16" spans="6:46" ht="11.4" customHeight="1">
      <c r="F16" s="798" t="s">
        <v>765</v>
      </c>
      <c r="G16" s="798" t="s">
        <v>710</v>
      </c>
      <c r="I16" s="798">
        <v>1</v>
      </c>
      <c r="J16" s="803">
        <f t="shared" ref="J16:AT16" si="0">J25</f>
        <v>0.5510718789407314</v>
      </c>
      <c r="K16" s="803">
        <f t="shared" si="0"/>
        <v>3.1845705315093072E-2</v>
      </c>
      <c r="L16" s="803">
        <f t="shared" si="0"/>
        <v>0</v>
      </c>
      <c r="M16" s="803">
        <f t="shared" si="0"/>
        <v>0</v>
      </c>
      <c r="N16" s="803">
        <f t="shared" si="0"/>
        <v>0</v>
      </c>
      <c r="O16" s="803">
        <f t="shared" si="0"/>
        <v>2.6558484100186464E-2</v>
      </c>
      <c r="P16" s="803">
        <f t="shared" si="0"/>
        <v>2.175410965646225E-2</v>
      </c>
      <c r="Q16" s="803">
        <f t="shared" si="0"/>
        <v>0</v>
      </c>
      <c r="R16" s="803">
        <f t="shared" si="0"/>
        <v>0</v>
      </c>
      <c r="S16" s="803">
        <f t="shared" si="0"/>
        <v>0</v>
      </c>
      <c r="T16" s="803">
        <f t="shared" si="0"/>
        <v>0</v>
      </c>
      <c r="U16" s="803">
        <f t="shared" si="0"/>
        <v>0</v>
      </c>
      <c r="V16" s="803">
        <f t="shared" si="0"/>
        <v>0</v>
      </c>
      <c r="W16" s="803">
        <f t="shared" si="0"/>
        <v>0</v>
      </c>
      <c r="X16" s="803">
        <f t="shared" si="0"/>
        <v>0</v>
      </c>
      <c r="Y16" s="803">
        <f t="shared" si="0"/>
        <v>0</v>
      </c>
      <c r="Z16" s="803">
        <f t="shared" si="0"/>
        <v>0</v>
      </c>
      <c r="AA16" s="803">
        <f t="shared" si="0"/>
        <v>0</v>
      </c>
      <c r="AB16" s="803">
        <f t="shared" si="0"/>
        <v>0</v>
      </c>
      <c r="AC16" s="803">
        <f t="shared" si="0"/>
        <v>0</v>
      </c>
      <c r="AD16" s="803">
        <f t="shared" si="0"/>
        <v>0</v>
      </c>
      <c r="AE16" s="803">
        <f t="shared" si="0"/>
        <v>0</v>
      </c>
      <c r="AF16" s="803">
        <f t="shared" si="0"/>
        <v>0</v>
      </c>
      <c r="AG16" s="803">
        <f t="shared" si="0"/>
        <v>0</v>
      </c>
      <c r="AH16" s="803">
        <f t="shared" si="0"/>
        <v>1.9756958530368074E-2</v>
      </c>
      <c r="AI16" s="803">
        <f t="shared" si="0"/>
        <v>0</v>
      </c>
      <c r="AJ16" s="803">
        <f t="shared" si="0"/>
        <v>0</v>
      </c>
      <c r="AK16" s="803">
        <f t="shared" si="0"/>
        <v>0</v>
      </c>
      <c r="AL16" s="803">
        <f t="shared" si="0"/>
        <v>0</v>
      </c>
      <c r="AM16" s="803">
        <f t="shared" si="0"/>
        <v>6.4195298372513573E-2</v>
      </c>
      <c r="AN16" s="803">
        <f t="shared" si="0"/>
        <v>9.2924682099771762E-3</v>
      </c>
      <c r="AO16" s="803">
        <f t="shared" si="0"/>
        <v>0</v>
      </c>
      <c r="AP16" s="803">
        <f t="shared" si="0"/>
        <v>0</v>
      </c>
      <c r="AQ16" s="803">
        <f t="shared" si="0"/>
        <v>0</v>
      </c>
      <c r="AR16" s="803">
        <f t="shared" si="0"/>
        <v>0</v>
      </c>
      <c r="AS16" s="803">
        <f t="shared" si="0"/>
        <v>0</v>
      </c>
      <c r="AT16" s="803">
        <f t="shared" si="0"/>
        <v>0</v>
      </c>
    </row>
    <row r="17" spans="6:46" ht="11.4" customHeight="1">
      <c r="J17" s="803"/>
      <c r="K17" s="803"/>
      <c r="L17" s="803"/>
      <c r="M17" s="803"/>
      <c r="N17" s="803"/>
      <c r="O17" s="803"/>
      <c r="P17" s="803"/>
      <c r="Q17" s="803"/>
      <c r="R17" s="803"/>
      <c r="S17" s="803"/>
      <c r="T17" s="803"/>
      <c r="U17" s="803"/>
      <c r="V17" s="803"/>
      <c r="W17" s="803"/>
      <c r="X17" s="803"/>
      <c r="Y17" s="803"/>
      <c r="Z17" s="803"/>
      <c r="AA17" s="803"/>
      <c r="AB17" s="803"/>
      <c r="AC17" s="803"/>
      <c r="AD17" s="803"/>
      <c r="AE17" s="803"/>
      <c r="AF17" s="803"/>
      <c r="AG17" s="803"/>
      <c r="AH17" s="803"/>
      <c r="AI17" s="803"/>
      <c r="AJ17" s="803"/>
      <c r="AK17" s="803"/>
      <c r="AL17" s="803"/>
      <c r="AM17" s="803"/>
      <c r="AN17" s="803"/>
      <c r="AO17" s="803"/>
      <c r="AP17" s="803"/>
      <c r="AQ17" s="803"/>
      <c r="AR17" s="803"/>
      <c r="AS17" s="803"/>
      <c r="AT17" s="803"/>
    </row>
    <row r="18" spans="6:46" ht="11.4" customHeight="1">
      <c r="H18" s="799" t="s">
        <v>918</v>
      </c>
    </row>
    <row r="19" spans="6:46" ht="11.4" customHeight="1" thickBot="1">
      <c r="F19" s="800" t="s">
        <v>545</v>
      </c>
      <c r="G19" s="800" t="s">
        <v>585</v>
      </c>
      <c r="H19" s="800" t="s">
        <v>592</v>
      </c>
      <c r="I19" s="800">
        <v>2010</v>
      </c>
      <c r="J19" s="801" t="s">
        <v>88</v>
      </c>
      <c r="K19" s="801" t="s">
        <v>89</v>
      </c>
      <c r="L19" s="801" t="s">
        <v>90</v>
      </c>
      <c r="M19" s="801" t="s">
        <v>91</v>
      </c>
      <c r="N19" s="801" t="s">
        <v>92</v>
      </c>
      <c r="O19" s="801" t="s">
        <v>93</v>
      </c>
      <c r="P19" s="801" t="s">
        <v>94</v>
      </c>
      <c r="Q19" s="801" t="s">
        <v>95</v>
      </c>
      <c r="R19" s="801" t="s">
        <v>96</v>
      </c>
      <c r="S19" s="801" t="s">
        <v>97</v>
      </c>
      <c r="T19" s="801" t="s">
        <v>98</v>
      </c>
      <c r="U19" s="801" t="s">
        <v>99</v>
      </c>
      <c r="V19" s="801" t="s">
        <v>205</v>
      </c>
      <c r="W19" s="801" t="s">
        <v>118</v>
      </c>
      <c r="X19" s="801" t="s">
        <v>100</v>
      </c>
      <c r="Y19" s="801" t="s">
        <v>101</v>
      </c>
      <c r="Z19" s="801" t="s">
        <v>102</v>
      </c>
      <c r="AA19" s="801" t="s">
        <v>103</v>
      </c>
      <c r="AB19" s="801" t="s">
        <v>104</v>
      </c>
      <c r="AC19" s="801" t="s">
        <v>105</v>
      </c>
      <c r="AD19" s="801" t="s">
        <v>106</v>
      </c>
      <c r="AE19" s="801" t="s">
        <v>107</v>
      </c>
      <c r="AF19" s="801" t="s">
        <v>108</v>
      </c>
      <c r="AG19" s="801" t="s">
        <v>109</v>
      </c>
      <c r="AH19" s="801" t="s">
        <v>110</v>
      </c>
      <c r="AI19" s="801" t="s">
        <v>111</v>
      </c>
      <c r="AJ19" s="801" t="s">
        <v>112</v>
      </c>
      <c r="AK19" s="801" t="s">
        <v>113</v>
      </c>
      <c r="AL19" s="801" t="s">
        <v>114</v>
      </c>
      <c r="AM19" s="801" t="s">
        <v>115</v>
      </c>
      <c r="AN19" s="801" t="s">
        <v>52</v>
      </c>
      <c r="AO19" s="801" t="s">
        <v>116</v>
      </c>
      <c r="AP19" s="801" t="s">
        <v>117</v>
      </c>
      <c r="AQ19" s="801" t="s">
        <v>119</v>
      </c>
      <c r="AR19" s="801" t="s">
        <v>120</v>
      </c>
      <c r="AS19" s="801" t="s">
        <v>121</v>
      </c>
      <c r="AT19" s="801" t="s">
        <v>122</v>
      </c>
    </row>
    <row r="20" spans="6:46" ht="11.4" customHeight="1">
      <c r="F20" s="798" t="s">
        <v>765</v>
      </c>
      <c r="G20" s="798" t="s">
        <v>710</v>
      </c>
      <c r="J20" s="803">
        <f>J16</f>
        <v>0.5510718789407314</v>
      </c>
      <c r="K20" s="803">
        <f t="shared" ref="K20:AT20" si="1">K16</f>
        <v>3.1845705315093072E-2</v>
      </c>
      <c r="L20" s="803">
        <f t="shared" si="1"/>
        <v>0</v>
      </c>
      <c r="M20" s="803">
        <f t="shared" si="1"/>
        <v>0</v>
      </c>
      <c r="N20" s="803">
        <f t="shared" si="1"/>
        <v>0</v>
      </c>
      <c r="O20" s="803">
        <f t="shared" si="1"/>
        <v>2.6558484100186464E-2</v>
      </c>
      <c r="P20" s="803">
        <f t="shared" si="1"/>
        <v>2.175410965646225E-2</v>
      </c>
      <c r="Q20" s="803">
        <f t="shared" si="1"/>
        <v>0</v>
      </c>
      <c r="R20" s="803">
        <f t="shared" si="1"/>
        <v>0</v>
      </c>
      <c r="S20" s="803">
        <f t="shared" si="1"/>
        <v>0</v>
      </c>
      <c r="T20" s="803">
        <f t="shared" si="1"/>
        <v>0</v>
      </c>
      <c r="U20" s="803">
        <f t="shared" si="1"/>
        <v>0</v>
      </c>
      <c r="V20" s="803">
        <f t="shared" si="1"/>
        <v>0</v>
      </c>
      <c r="W20" s="803">
        <f t="shared" si="1"/>
        <v>0</v>
      </c>
      <c r="X20" s="803">
        <f t="shared" si="1"/>
        <v>0</v>
      </c>
      <c r="Y20" s="803">
        <f t="shared" si="1"/>
        <v>0</v>
      </c>
      <c r="Z20" s="803">
        <f t="shared" si="1"/>
        <v>0</v>
      </c>
      <c r="AA20" s="803">
        <f t="shared" si="1"/>
        <v>0</v>
      </c>
      <c r="AB20" s="803">
        <f t="shared" si="1"/>
        <v>0</v>
      </c>
      <c r="AC20" s="803">
        <f t="shared" si="1"/>
        <v>0</v>
      </c>
      <c r="AD20" s="803">
        <f t="shared" si="1"/>
        <v>0</v>
      </c>
      <c r="AE20" s="803">
        <f t="shared" si="1"/>
        <v>0</v>
      </c>
      <c r="AF20" s="803">
        <f t="shared" si="1"/>
        <v>0</v>
      </c>
      <c r="AG20" s="803">
        <f t="shared" si="1"/>
        <v>0</v>
      </c>
      <c r="AH20" s="803">
        <f t="shared" si="1"/>
        <v>1.9756958530368074E-2</v>
      </c>
      <c r="AI20" s="803">
        <f t="shared" si="1"/>
        <v>0</v>
      </c>
      <c r="AJ20" s="803">
        <f t="shared" si="1"/>
        <v>0</v>
      </c>
      <c r="AK20" s="803">
        <f t="shared" si="1"/>
        <v>0</v>
      </c>
      <c r="AL20" s="803">
        <f t="shared" si="1"/>
        <v>0</v>
      </c>
      <c r="AM20" s="803">
        <f t="shared" si="1"/>
        <v>6.4195298372513573E-2</v>
      </c>
      <c r="AN20" s="803">
        <f t="shared" si="1"/>
        <v>9.2924682099771762E-3</v>
      </c>
      <c r="AO20" s="803">
        <f t="shared" si="1"/>
        <v>0</v>
      </c>
      <c r="AP20" s="803">
        <f t="shared" si="1"/>
        <v>0</v>
      </c>
      <c r="AQ20" s="803">
        <f t="shared" si="1"/>
        <v>0</v>
      </c>
      <c r="AR20" s="803">
        <f t="shared" si="1"/>
        <v>0</v>
      </c>
      <c r="AS20" s="803">
        <f t="shared" si="1"/>
        <v>0</v>
      </c>
      <c r="AT20" s="803">
        <f t="shared" si="1"/>
        <v>0</v>
      </c>
    </row>
    <row r="22" spans="6:46" ht="11.4" customHeight="1">
      <c r="H22" s="799" t="s">
        <v>708</v>
      </c>
    </row>
    <row r="23" spans="6:46" ht="11.4" customHeight="1" thickBot="1">
      <c r="F23" s="800" t="s">
        <v>545</v>
      </c>
      <c r="G23" s="800" t="s">
        <v>585</v>
      </c>
      <c r="H23" s="800" t="s">
        <v>592</v>
      </c>
      <c r="I23" s="800">
        <v>2010</v>
      </c>
      <c r="J23" s="801" t="s">
        <v>88</v>
      </c>
      <c r="K23" s="801" t="s">
        <v>89</v>
      </c>
      <c r="L23" s="801" t="s">
        <v>90</v>
      </c>
      <c r="M23" s="801" t="s">
        <v>91</v>
      </c>
      <c r="N23" s="801" t="s">
        <v>92</v>
      </c>
      <c r="O23" s="801" t="s">
        <v>93</v>
      </c>
      <c r="P23" s="801" t="s">
        <v>94</v>
      </c>
      <c r="Q23" s="801" t="s">
        <v>95</v>
      </c>
      <c r="R23" s="801" t="s">
        <v>96</v>
      </c>
      <c r="S23" s="801" t="s">
        <v>97</v>
      </c>
      <c r="T23" s="801" t="s">
        <v>98</v>
      </c>
      <c r="U23" s="801" t="s">
        <v>99</v>
      </c>
      <c r="V23" s="801" t="s">
        <v>205</v>
      </c>
      <c r="W23" s="801" t="s">
        <v>118</v>
      </c>
      <c r="X23" s="801" t="s">
        <v>100</v>
      </c>
      <c r="Y23" s="801" t="s">
        <v>101</v>
      </c>
      <c r="Z23" s="801" t="s">
        <v>102</v>
      </c>
      <c r="AA23" s="801" t="s">
        <v>103</v>
      </c>
      <c r="AB23" s="801" t="s">
        <v>104</v>
      </c>
      <c r="AC23" s="801" t="s">
        <v>105</v>
      </c>
      <c r="AD23" s="801" t="s">
        <v>106</v>
      </c>
      <c r="AE23" s="801" t="s">
        <v>107</v>
      </c>
      <c r="AF23" s="801" t="s">
        <v>108</v>
      </c>
      <c r="AG23" s="801" t="s">
        <v>109</v>
      </c>
      <c r="AH23" s="801" t="s">
        <v>110</v>
      </c>
      <c r="AI23" s="801" t="s">
        <v>111</v>
      </c>
      <c r="AJ23" s="801" t="s">
        <v>112</v>
      </c>
      <c r="AK23" s="801" t="s">
        <v>113</v>
      </c>
      <c r="AL23" s="801" t="s">
        <v>114</v>
      </c>
      <c r="AM23" s="801" t="s">
        <v>115</v>
      </c>
      <c r="AN23" s="801" t="s">
        <v>52</v>
      </c>
      <c r="AO23" s="801" t="s">
        <v>116</v>
      </c>
      <c r="AP23" s="801" t="s">
        <v>117</v>
      </c>
      <c r="AQ23" s="801" t="s">
        <v>119</v>
      </c>
      <c r="AR23" s="801" t="s">
        <v>120</v>
      </c>
      <c r="AS23" s="801" t="s">
        <v>121</v>
      </c>
      <c r="AT23" s="801" t="s">
        <v>122</v>
      </c>
    </row>
    <row r="24" spans="6:46" ht="11.4" customHeight="1">
      <c r="F24" s="798" t="s">
        <v>765</v>
      </c>
      <c r="G24" s="798" t="s">
        <v>709</v>
      </c>
      <c r="J24" s="798">
        <v>1</v>
      </c>
      <c r="K24" s="798">
        <v>1</v>
      </c>
      <c r="L24" s="798">
        <v>1</v>
      </c>
      <c r="M24" s="798">
        <v>1</v>
      </c>
      <c r="N24" s="798">
        <v>1</v>
      </c>
      <c r="O24" s="798">
        <v>1</v>
      </c>
      <c r="P24" s="798">
        <v>1</v>
      </c>
      <c r="Q24" s="798">
        <v>1</v>
      </c>
      <c r="R24" s="798">
        <v>1</v>
      </c>
      <c r="S24" s="798">
        <v>1</v>
      </c>
      <c r="T24" s="798">
        <v>1</v>
      </c>
      <c r="U24" s="798">
        <v>1</v>
      </c>
      <c r="V24" s="798">
        <v>1</v>
      </c>
      <c r="W24" s="798">
        <v>1</v>
      </c>
      <c r="X24" s="798">
        <v>1</v>
      </c>
      <c r="Y24" s="798">
        <v>1</v>
      </c>
      <c r="Z24" s="798">
        <v>1</v>
      </c>
      <c r="AA24" s="798">
        <v>1</v>
      </c>
      <c r="AB24" s="798">
        <v>1</v>
      </c>
      <c r="AC24" s="798">
        <v>1</v>
      </c>
      <c r="AD24" s="798">
        <v>1</v>
      </c>
      <c r="AE24" s="798">
        <v>1</v>
      </c>
      <c r="AF24" s="798">
        <v>1</v>
      </c>
      <c r="AG24" s="798">
        <v>1</v>
      </c>
      <c r="AH24" s="798">
        <v>1</v>
      </c>
      <c r="AI24" s="798">
        <v>1</v>
      </c>
      <c r="AJ24" s="798">
        <v>1</v>
      </c>
      <c r="AK24" s="798">
        <v>1</v>
      </c>
      <c r="AL24" s="798">
        <v>1</v>
      </c>
      <c r="AM24" s="798">
        <v>1</v>
      </c>
      <c r="AN24" s="798">
        <v>1</v>
      </c>
      <c r="AO24" s="798">
        <v>1</v>
      </c>
      <c r="AP24" s="798">
        <v>1</v>
      </c>
      <c r="AQ24" s="798">
        <v>1</v>
      </c>
      <c r="AR24" s="798">
        <v>1</v>
      </c>
      <c r="AS24" s="798">
        <v>1</v>
      </c>
      <c r="AT24" s="798">
        <v>1</v>
      </c>
    </row>
    <row r="25" spans="6:46" ht="11.4" customHeight="1">
      <c r="G25" s="798" t="s">
        <v>710</v>
      </c>
      <c r="J25" s="803">
        <v>0.5510718789407314</v>
      </c>
      <c r="K25" s="803">
        <v>3.1845705315093072E-2</v>
      </c>
      <c r="L25" s="803">
        <v>0</v>
      </c>
      <c r="M25" s="803">
        <v>0</v>
      </c>
      <c r="N25" s="803">
        <v>0</v>
      </c>
      <c r="O25" s="803">
        <v>2.6558484100186464E-2</v>
      </c>
      <c r="P25" s="803">
        <v>2.175410965646225E-2</v>
      </c>
      <c r="Q25" s="803">
        <v>0</v>
      </c>
      <c r="R25" s="803">
        <v>0</v>
      </c>
      <c r="S25" s="803">
        <v>0</v>
      </c>
      <c r="T25" s="803">
        <v>0</v>
      </c>
      <c r="U25" s="803">
        <v>0</v>
      </c>
      <c r="V25" s="803">
        <v>0</v>
      </c>
      <c r="W25" s="803">
        <v>0</v>
      </c>
      <c r="X25" s="803">
        <v>0</v>
      </c>
      <c r="Y25" s="803">
        <v>0</v>
      </c>
      <c r="Z25" s="803">
        <v>0</v>
      </c>
      <c r="AA25" s="803">
        <v>0</v>
      </c>
      <c r="AB25" s="803">
        <v>0</v>
      </c>
      <c r="AC25" s="803">
        <v>0</v>
      </c>
      <c r="AD25" s="803">
        <v>0</v>
      </c>
      <c r="AE25" s="803">
        <v>0</v>
      </c>
      <c r="AF25" s="803">
        <v>0</v>
      </c>
      <c r="AG25" s="803">
        <v>0</v>
      </c>
      <c r="AH25" s="803">
        <v>1.9756958530368074E-2</v>
      </c>
      <c r="AI25" s="803">
        <v>0</v>
      </c>
      <c r="AJ25" s="803">
        <v>0</v>
      </c>
      <c r="AK25" s="803">
        <v>0</v>
      </c>
      <c r="AL25" s="803">
        <v>0</v>
      </c>
      <c r="AM25" s="803">
        <v>6.4195298372513573E-2</v>
      </c>
      <c r="AN25" s="803">
        <v>9.2924682099771762E-3</v>
      </c>
      <c r="AO25" s="803">
        <v>0</v>
      </c>
      <c r="AP25" s="803">
        <v>0</v>
      </c>
      <c r="AQ25" s="803">
        <v>0</v>
      </c>
      <c r="AR25" s="803">
        <v>0</v>
      </c>
      <c r="AS25" s="803">
        <v>0</v>
      </c>
      <c r="AT25" s="803">
        <v>0</v>
      </c>
    </row>
    <row r="26" spans="6:46" ht="11.4" customHeight="1">
      <c r="G26" s="798" t="s">
        <v>711</v>
      </c>
      <c r="J26" s="798">
        <v>1</v>
      </c>
      <c r="K26" s="798">
        <v>1</v>
      </c>
      <c r="L26" s="798">
        <v>1</v>
      </c>
      <c r="M26" s="798">
        <v>1</v>
      </c>
      <c r="N26" s="798">
        <v>1</v>
      </c>
      <c r="O26" s="798">
        <v>1</v>
      </c>
      <c r="P26" s="798">
        <v>1</v>
      </c>
      <c r="Q26" s="798">
        <v>1</v>
      </c>
      <c r="R26" s="798">
        <v>1</v>
      </c>
      <c r="S26" s="798">
        <v>1</v>
      </c>
      <c r="T26" s="798">
        <v>1</v>
      </c>
      <c r="U26" s="798">
        <v>1</v>
      </c>
      <c r="V26" s="798">
        <v>1</v>
      </c>
      <c r="W26" s="798">
        <v>1</v>
      </c>
      <c r="X26" s="798">
        <v>1</v>
      </c>
      <c r="Y26" s="798">
        <v>1</v>
      </c>
      <c r="Z26" s="798">
        <v>1</v>
      </c>
      <c r="AA26" s="798">
        <v>1</v>
      </c>
      <c r="AB26" s="798">
        <v>1</v>
      </c>
      <c r="AC26" s="798">
        <v>1</v>
      </c>
      <c r="AD26" s="798">
        <v>1</v>
      </c>
      <c r="AE26" s="798">
        <v>1</v>
      </c>
      <c r="AF26" s="798">
        <v>1</v>
      </c>
      <c r="AG26" s="798">
        <v>1</v>
      </c>
      <c r="AH26" s="798">
        <v>1</v>
      </c>
      <c r="AI26" s="798">
        <v>1</v>
      </c>
      <c r="AJ26" s="798">
        <v>1</v>
      </c>
      <c r="AK26" s="798">
        <v>1</v>
      </c>
      <c r="AL26" s="798">
        <v>1</v>
      </c>
      <c r="AM26" s="798">
        <v>1</v>
      </c>
      <c r="AN26" s="798">
        <v>1</v>
      </c>
      <c r="AO26" s="798">
        <v>1</v>
      </c>
      <c r="AP26" s="798">
        <v>1</v>
      </c>
      <c r="AQ26" s="798">
        <v>1</v>
      </c>
      <c r="AR26" s="798">
        <v>1</v>
      </c>
      <c r="AS26" s="798">
        <v>1</v>
      </c>
      <c r="AT26" s="798">
        <v>1</v>
      </c>
    </row>
    <row r="27" spans="6:46" ht="11.4" customHeight="1">
      <c r="G27" s="798" t="s">
        <v>712</v>
      </c>
      <c r="J27" s="798">
        <v>1</v>
      </c>
      <c r="K27" s="798">
        <v>1</v>
      </c>
      <c r="L27" s="798">
        <v>1</v>
      </c>
      <c r="M27" s="798">
        <v>1</v>
      </c>
      <c r="N27" s="798">
        <v>1</v>
      </c>
      <c r="O27" s="798">
        <v>1</v>
      </c>
      <c r="P27" s="798">
        <v>1</v>
      </c>
      <c r="Q27" s="798">
        <v>1</v>
      </c>
      <c r="R27" s="798">
        <v>1</v>
      </c>
      <c r="S27" s="798">
        <v>1</v>
      </c>
      <c r="T27" s="798">
        <v>1</v>
      </c>
      <c r="U27" s="798">
        <v>1</v>
      </c>
      <c r="V27" s="798">
        <v>1</v>
      </c>
      <c r="W27" s="798">
        <v>1</v>
      </c>
      <c r="X27" s="798">
        <v>1</v>
      </c>
      <c r="Y27" s="798">
        <v>1</v>
      </c>
      <c r="Z27" s="798">
        <v>1</v>
      </c>
      <c r="AA27" s="798">
        <v>1</v>
      </c>
      <c r="AB27" s="798">
        <v>1</v>
      </c>
      <c r="AC27" s="798">
        <v>1</v>
      </c>
      <c r="AD27" s="798">
        <v>1</v>
      </c>
      <c r="AE27" s="798">
        <v>1</v>
      </c>
      <c r="AF27" s="798">
        <v>1</v>
      </c>
      <c r="AG27" s="798">
        <v>1</v>
      </c>
      <c r="AH27" s="798">
        <v>1</v>
      </c>
      <c r="AI27" s="798">
        <v>1</v>
      </c>
      <c r="AJ27" s="798">
        <v>1</v>
      </c>
      <c r="AK27" s="798">
        <v>1</v>
      </c>
      <c r="AL27" s="798">
        <v>1</v>
      </c>
      <c r="AM27" s="798">
        <v>1</v>
      </c>
      <c r="AN27" s="798">
        <v>1</v>
      </c>
      <c r="AO27" s="798">
        <v>1</v>
      </c>
      <c r="AP27" s="798">
        <v>1</v>
      </c>
      <c r="AQ27" s="798">
        <v>1</v>
      </c>
      <c r="AR27" s="798">
        <v>1</v>
      </c>
      <c r="AS27" s="798">
        <v>1</v>
      </c>
      <c r="AT27" s="798">
        <v>1</v>
      </c>
    </row>
    <row r="28" spans="6:46" ht="11.4" customHeight="1">
      <c r="H28" s="798" t="s">
        <v>591</v>
      </c>
    </row>
    <row r="29" spans="6:46" ht="11.4" customHeight="1">
      <c r="F29" s="798" t="s">
        <v>767</v>
      </c>
      <c r="G29" s="798" t="s">
        <v>713</v>
      </c>
    </row>
    <row r="30" spans="6:46" ht="11.4" customHeight="1">
      <c r="H30" s="798" t="s">
        <v>600</v>
      </c>
    </row>
    <row r="31" spans="6:46" ht="11.4" customHeight="1">
      <c r="F31" s="798" t="s">
        <v>769</v>
      </c>
      <c r="G31" s="798" t="s">
        <v>714</v>
      </c>
      <c r="J31" s="798">
        <v>0</v>
      </c>
      <c r="K31" s="798">
        <v>0</v>
      </c>
      <c r="L31" s="798">
        <v>0</v>
      </c>
      <c r="M31" s="798">
        <v>0</v>
      </c>
      <c r="N31" s="798">
        <v>0</v>
      </c>
      <c r="O31" s="798">
        <v>0</v>
      </c>
      <c r="P31" s="798">
        <v>0</v>
      </c>
      <c r="Q31" s="798">
        <v>0</v>
      </c>
      <c r="R31" s="798">
        <v>0</v>
      </c>
      <c r="S31" s="798">
        <v>0</v>
      </c>
      <c r="T31" s="798">
        <v>0</v>
      </c>
      <c r="U31" s="798">
        <v>0</v>
      </c>
      <c r="V31" s="798">
        <v>0</v>
      </c>
      <c r="W31" s="798">
        <v>0</v>
      </c>
      <c r="X31" s="798">
        <v>0</v>
      </c>
      <c r="Y31" s="798">
        <v>0</v>
      </c>
      <c r="Z31" s="798">
        <v>0</v>
      </c>
      <c r="AA31" s="798">
        <v>0</v>
      </c>
      <c r="AB31" s="798">
        <v>0</v>
      </c>
      <c r="AC31" s="798">
        <v>0</v>
      </c>
      <c r="AD31" s="798">
        <v>0</v>
      </c>
      <c r="AE31" s="798">
        <v>0</v>
      </c>
      <c r="AF31" s="798">
        <v>0</v>
      </c>
      <c r="AG31" s="798">
        <v>0</v>
      </c>
      <c r="AH31" s="798">
        <v>0</v>
      </c>
      <c r="AI31" s="798">
        <v>0</v>
      </c>
      <c r="AJ31" s="798">
        <v>0</v>
      </c>
      <c r="AK31" s="798">
        <v>0</v>
      </c>
      <c r="AL31" s="798">
        <v>0</v>
      </c>
      <c r="AM31" s="798">
        <v>0</v>
      </c>
      <c r="AN31" s="798">
        <v>0</v>
      </c>
      <c r="AO31" s="798">
        <v>0</v>
      </c>
      <c r="AP31" s="798">
        <v>0</v>
      </c>
      <c r="AQ31" s="798">
        <v>0</v>
      </c>
      <c r="AR31" s="798">
        <v>0</v>
      </c>
      <c r="AS31" s="798">
        <v>0</v>
      </c>
      <c r="AT31" s="798">
        <v>0</v>
      </c>
    </row>
    <row r="32" spans="6:46" ht="11.4" customHeight="1">
      <c r="G32" s="798" t="s">
        <v>715</v>
      </c>
      <c r="J32" s="798">
        <v>0</v>
      </c>
      <c r="K32" s="798">
        <v>0</v>
      </c>
      <c r="L32" s="798">
        <v>0</v>
      </c>
      <c r="M32" s="798">
        <v>0</v>
      </c>
      <c r="N32" s="798">
        <v>0</v>
      </c>
      <c r="O32" s="798">
        <v>0</v>
      </c>
      <c r="P32" s="798">
        <v>0</v>
      </c>
      <c r="Q32" s="798">
        <v>0</v>
      </c>
      <c r="R32" s="798">
        <v>0</v>
      </c>
      <c r="S32" s="798">
        <v>0</v>
      </c>
      <c r="T32" s="798">
        <v>0</v>
      </c>
      <c r="U32" s="798">
        <v>0</v>
      </c>
      <c r="V32" s="798">
        <v>0</v>
      </c>
      <c r="W32" s="798">
        <v>0</v>
      </c>
      <c r="X32" s="798">
        <v>0</v>
      </c>
      <c r="Y32" s="798">
        <v>0</v>
      </c>
      <c r="Z32" s="798">
        <v>0</v>
      </c>
      <c r="AA32" s="798">
        <v>0</v>
      </c>
      <c r="AB32" s="798">
        <v>0</v>
      </c>
      <c r="AC32" s="798">
        <v>0</v>
      </c>
      <c r="AD32" s="798">
        <v>0</v>
      </c>
      <c r="AE32" s="798">
        <v>0</v>
      </c>
      <c r="AF32" s="798">
        <v>0</v>
      </c>
      <c r="AG32" s="798">
        <v>0</v>
      </c>
      <c r="AH32" s="798">
        <v>0</v>
      </c>
      <c r="AI32" s="798">
        <v>0</v>
      </c>
      <c r="AJ32" s="798">
        <v>0</v>
      </c>
      <c r="AK32" s="798">
        <v>0</v>
      </c>
      <c r="AL32" s="798">
        <v>0</v>
      </c>
      <c r="AM32" s="798">
        <v>0</v>
      </c>
      <c r="AN32" s="798">
        <v>0</v>
      </c>
      <c r="AO32" s="798">
        <v>0</v>
      </c>
      <c r="AP32" s="798">
        <v>0</v>
      </c>
      <c r="AQ32" s="798">
        <v>0</v>
      </c>
      <c r="AR32" s="798">
        <v>0</v>
      </c>
      <c r="AS32" s="798">
        <v>0</v>
      </c>
      <c r="AT32" s="798">
        <v>0</v>
      </c>
    </row>
    <row r="33" spans="6:46" ht="11.4" customHeight="1">
      <c r="G33" s="798" t="s">
        <v>716</v>
      </c>
      <c r="J33" s="798">
        <v>1</v>
      </c>
      <c r="K33" s="798">
        <v>1</v>
      </c>
      <c r="L33" s="798">
        <v>1</v>
      </c>
      <c r="M33" s="798">
        <v>1</v>
      </c>
      <c r="N33" s="798">
        <v>1</v>
      </c>
      <c r="O33" s="798">
        <v>1</v>
      </c>
      <c r="P33" s="798">
        <v>1</v>
      </c>
      <c r="Q33" s="798">
        <v>1</v>
      </c>
      <c r="R33" s="798">
        <v>1</v>
      </c>
      <c r="S33" s="798">
        <v>1</v>
      </c>
      <c r="T33" s="798">
        <v>1</v>
      </c>
      <c r="U33" s="798">
        <v>1</v>
      </c>
      <c r="V33" s="798">
        <v>1</v>
      </c>
      <c r="W33" s="798">
        <v>1</v>
      </c>
      <c r="X33" s="798">
        <v>1</v>
      </c>
      <c r="Y33" s="798">
        <v>1</v>
      </c>
      <c r="Z33" s="798">
        <v>1</v>
      </c>
      <c r="AA33" s="798">
        <v>1</v>
      </c>
      <c r="AB33" s="798">
        <v>1</v>
      </c>
      <c r="AC33" s="798">
        <v>1</v>
      </c>
      <c r="AD33" s="798">
        <v>1</v>
      </c>
      <c r="AE33" s="798">
        <v>1</v>
      </c>
      <c r="AF33" s="798">
        <v>1</v>
      </c>
      <c r="AG33" s="798">
        <v>1</v>
      </c>
      <c r="AH33" s="798">
        <v>1</v>
      </c>
      <c r="AI33" s="798">
        <v>1</v>
      </c>
      <c r="AJ33" s="798">
        <v>1</v>
      </c>
      <c r="AK33" s="798">
        <v>1</v>
      </c>
      <c r="AL33" s="798">
        <v>1</v>
      </c>
      <c r="AM33" s="798">
        <v>1</v>
      </c>
      <c r="AN33" s="798">
        <v>1</v>
      </c>
      <c r="AO33" s="798">
        <v>1</v>
      </c>
      <c r="AP33" s="798">
        <v>1</v>
      </c>
      <c r="AQ33" s="798">
        <v>1</v>
      </c>
      <c r="AR33" s="798">
        <v>1</v>
      </c>
      <c r="AS33" s="798">
        <v>1</v>
      </c>
      <c r="AT33" s="798">
        <v>1</v>
      </c>
    </row>
    <row r="34" spans="6:46" ht="11.4" customHeight="1">
      <c r="G34" s="798" t="s">
        <v>717</v>
      </c>
      <c r="J34" s="798">
        <v>0</v>
      </c>
      <c r="K34" s="798">
        <v>0</v>
      </c>
      <c r="L34" s="798">
        <v>0</v>
      </c>
      <c r="M34" s="798">
        <v>0</v>
      </c>
      <c r="N34" s="798">
        <v>0</v>
      </c>
      <c r="O34" s="798">
        <v>0</v>
      </c>
      <c r="P34" s="798">
        <v>0</v>
      </c>
      <c r="Q34" s="798">
        <v>0</v>
      </c>
      <c r="R34" s="798">
        <v>0</v>
      </c>
      <c r="S34" s="798">
        <v>0</v>
      </c>
      <c r="T34" s="798">
        <v>0</v>
      </c>
      <c r="U34" s="798">
        <v>0</v>
      </c>
      <c r="V34" s="798">
        <v>0</v>
      </c>
      <c r="W34" s="798">
        <v>0</v>
      </c>
      <c r="X34" s="798">
        <v>0</v>
      </c>
      <c r="Y34" s="798">
        <v>0</v>
      </c>
      <c r="Z34" s="798">
        <v>0</v>
      </c>
      <c r="AA34" s="798">
        <v>0</v>
      </c>
      <c r="AB34" s="798">
        <v>0</v>
      </c>
      <c r="AC34" s="798">
        <v>0</v>
      </c>
      <c r="AD34" s="798">
        <v>0</v>
      </c>
      <c r="AE34" s="798">
        <v>0</v>
      </c>
      <c r="AF34" s="798">
        <v>0</v>
      </c>
      <c r="AG34" s="798">
        <v>0</v>
      </c>
      <c r="AH34" s="798">
        <v>0</v>
      </c>
      <c r="AI34" s="798">
        <v>0</v>
      </c>
      <c r="AJ34" s="798">
        <v>0</v>
      </c>
      <c r="AK34" s="798">
        <v>0</v>
      </c>
      <c r="AL34" s="798">
        <v>0</v>
      </c>
      <c r="AM34" s="798">
        <v>0</v>
      </c>
      <c r="AN34" s="798">
        <v>0</v>
      </c>
      <c r="AO34" s="798">
        <v>0</v>
      </c>
      <c r="AP34" s="798">
        <v>0</v>
      </c>
      <c r="AQ34" s="798">
        <v>0</v>
      </c>
      <c r="AR34" s="798">
        <v>0</v>
      </c>
      <c r="AS34" s="798">
        <v>0</v>
      </c>
      <c r="AT34" s="798">
        <v>0</v>
      </c>
    </row>
    <row r="35" spans="6:46" ht="11.4" customHeight="1">
      <c r="G35" s="798" t="s">
        <v>718</v>
      </c>
      <c r="J35" s="798">
        <v>0</v>
      </c>
      <c r="K35" s="798">
        <v>0</v>
      </c>
      <c r="L35" s="798">
        <v>0</v>
      </c>
      <c r="M35" s="798">
        <v>0</v>
      </c>
      <c r="N35" s="798">
        <v>0</v>
      </c>
      <c r="O35" s="798">
        <v>0</v>
      </c>
      <c r="P35" s="798">
        <v>0</v>
      </c>
      <c r="Q35" s="798">
        <v>0</v>
      </c>
      <c r="R35" s="798">
        <v>0</v>
      </c>
      <c r="S35" s="798">
        <v>0</v>
      </c>
      <c r="T35" s="798">
        <v>0</v>
      </c>
      <c r="U35" s="798">
        <v>0</v>
      </c>
      <c r="V35" s="798">
        <v>0</v>
      </c>
      <c r="W35" s="798">
        <v>0</v>
      </c>
      <c r="X35" s="798">
        <v>0</v>
      </c>
      <c r="Y35" s="798">
        <v>0</v>
      </c>
      <c r="Z35" s="798">
        <v>0</v>
      </c>
      <c r="AA35" s="798">
        <v>0</v>
      </c>
      <c r="AB35" s="798">
        <v>0</v>
      </c>
      <c r="AC35" s="798">
        <v>0</v>
      </c>
      <c r="AD35" s="798">
        <v>0</v>
      </c>
      <c r="AE35" s="798">
        <v>0</v>
      </c>
      <c r="AF35" s="798">
        <v>0</v>
      </c>
      <c r="AG35" s="798">
        <v>0</v>
      </c>
      <c r="AH35" s="798">
        <v>0</v>
      </c>
      <c r="AI35" s="798">
        <v>0</v>
      </c>
      <c r="AJ35" s="798">
        <v>0</v>
      </c>
      <c r="AK35" s="798">
        <v>0</v>
      </c>
      <c r="AL35" s="798">
        <v>0</v>
      </c>
      <c r="AM35" s="798">
        <v>0</v>
      </c>
      <c r="AN35" s="798">
        <v>0</v>
      </c>
      <c r="AO35" s="798">
        <v>0</v>
      </c>
      <c r="AP35" s="798">
        <v>0</v>
      </c>
      <c r="AQ35" s="798">
        <v>0</v>
      </c>
      <c r="AR35" s="798">
        <v>0</v>
      </c>
      <c r="AS35" s="798">
        <v>0</v>
      </c>
      <c r="AT35" s="798">
        <v>0</v>
      </c>
    </row>
    <row r="36" spans="6:46" ht="11.4" customHeight="1">
      <c r="G36" s="879" t="s">
        <v>970</v>
      </c>
      <c r="H36" s="880"/>
      <c r="I36" s="880"/>
      <c r="J36" s="798">
        <v>0</v>
      </c>
      <c r="K36" s="798">
        <v>0</v>
      </c>
      <c r="L36" s="798">
        <v>0</v>
      </c>
      <c r="M36" s="798">
        <v>0</v>
      </c>
      <c r="N36" s="798">
        <v>0</v>
      </c>
      <c r="O36" s="798">
        <v>0</v>
      </c>
      <c r="P36" s="798">
        <v>0</v>
      </c>
      <c r="Q36" s="798">
        <v>0</v>
      </c>
      <c r="R36" s="798">
        <v>0</v>
      </c>
      <c r="S36" s="798">
        <v>0</v>
      </c>
      <c r="T36" s="798">
        <v>0</v>
      </c>
      <c r="U36" s="798">
        <v>0</v>
      </c>
      <c r="V36" s="798">
        <v>0</v>
      </c>
      <c r="W36" s="798">
        <v>0</v>
      </c>
      <c r="X36" s="798">
        <v>0</v>
      </c>
      <c r="Y36" s="798">
        <v>0</v>
      </c>
      <c r="Z36" s="798">
        <v>0</v>
      </c>
      <c r="AA36" s="798">
        <v>0</v>
      </c>
      <c r="AB36" s="798">
        <v>0</v>
      </c>
      <c r="AC36" s="798">
        <v>0</v>
      </c>
      <c r="AD36" s="798">
        <v>0</v>
      </c>
      <c r="AE36" s="798">
        <v>0</v>
      </c>
      <c r="AF36" s="798">
        <v>0</v>
      </c>
      <c r="AG36" s="798">
        <v>0</v>
      </c>
      <c r="AH36" s="798">
        <v>0</v>
      </c>
      <c r="AI36" s="798">
        <v>0</v>
      </c>
      <c r="AJ36" s="798">
        <v>0</v>
      </c>
      <c r="AK36" s="798">
        <v>0</v>
      </c>
      <c r="AL36" s="798">
        <v>0</v>
      </c>
      <c r="AM36" s="798">
        <v>0</v>
      </c>
      <c r="AN36" s="798">
        <v>0</v>
      </c>
      <c r="AO36" s="798">
        <v>0</v>
      </c>
      <c r="AP36" s="798">
        <v>0</v>
      </c>
      <c r="AQ36" s="798">
        <v>0</v>
      </c>
      <c r="AR36" s="798">
        <v>0</v>
      </c>
      <c r="AS36" s="798">
        <v>0</v>
      </c>
      <c r="AT36" s="798">
        <v>0</v>
      </c>
    </row>
    <row r="37" spans="6:46" ht="11.4" customHeight="1">
      <c r="G37" s="879" t="s">
        <v>971</v>
      </c>
      <c r="H37" s="880"/>
      <c r="I37" s="880"/>
      <c r="J37" s="798">
        <v>0</v>
      </c>
      <c r="K37" s="798">
        <v>0</v>
      </c>
      <c r="L37" s="798">
        <v>0</v>
      </c>
      <c r="M37" s="798">
        <v>0</v>
      </c>
      <c r="N37" s="798">
        <v>0</v>
      </c>
      <c r="O37" s="798">
        <v>0</v>
      </c>
      <c r="P37" s="798">
        <v>0</v>
      </c>
      <c r="Q37" s="798">
        <v>0</v>
      </c>
      <c r="R37" s="798">
        <v>0</v>
      </c>
      <c r="S37" s="798">
        <v>0</v>
      </c>
      <c r="T37" s="798">
        <v>0</v>
      </c>
      <c r="U37" s="798">
        <v>0</v>
      </c>
      <c r="V37" s="798">
        <v>0</v>
      </c>
      <c r="W37" s="798">
        <v>0</v>
      </c>
      <c r="X37" s="798">
        <v>0</v>
      </c>
      <c r="Y37" s="798">
        <v>0</v>
      </c>
      <c r="Z37" s="798">
        <v>0</v>
      </c>
      <c r="AA37" s="798">
        <v>0</v>
      </c>
      <c r="AB37" s="798">
        <v>0</v>
      </c>
      <c r="AC37" s="798">
        <v>0</v>
      </c>
      <c r="AD37" s="798">
        <v>0</v>
      </c>
      <c r="AE37" s="798">
        <v>0</v>
      </c>
      <c r="AF37" s="798">
        <v>0</v>
      </c>
      <c r="AG37" s="798">
        <v>0</v>
      </c>
      <c r="AH37" s="798">
        <v>0</v>
      </c>
      <c r="AI37" s="798">
        <v>0</v>
      </c>
      <c r="AJ37" s="798">
        <v>0</v>
      </c>
      <c r="AK37" s="798">
        <v>0</v>
      </c>
      <c r="AL37" s="798">
        <v>0</v>
      </c>
      <c r="AM37" s="798">
        <v>0</v>
      </c>
      <c r="AN37" s="798">
        <v>0</v>
      </c>
      <c r="AO37" s="798">
        <v>0</v>
      </c>
      <c r="AP37" s="798">
        <v>0</v>
      </c>
      <c r="AQ37" s="798">
        <v>0</v>
      </c>
      <c r="AR37" s="798">
        <v>0</v>
      </c>
      <c r="AS37" s="798">
        <v>0</v>
      </c>
      <c r="AT37" s="798">
        <v>0</v>
      </c>
    </row>
    <row r="38" spans="6:46" ht="11.4" customHeight="1">
      <c r="G38" s="879" t="s">
        <v>972</v>
      </c>
      <c r="H38" s="880"/>
      <c r="I38" s="880"/>
      <c r="J38" s="798">
        <v>0.1</v>
      </c>
      <c r="K38" s="798">
        <f>J38</f>
        <v>0.1</v>
      </c>
      <c r="L38" s="798">
        <f t="shared" ref="L38:AT38" si="2">K38</f>
        <v>0.1</v>
      </c>
      <c r="M38" s="798">
        <f t="shared" si="2"/>
        <v>0.1</v>
      </c>
      <c r="N38" s="798">
        <f t="shared" si="2"/>
        <v>0.1</v>
      </c>
      <c r="O38" s="798">
        <f t="shared" si="2"/>
        <v>0.1</v>
      </c>
      <c r="P38" s="798">
        <f t="shared" si="2"/>
        <v>0.1</v>
      </c>
      <c r="Q38" s="798">
        <f t="shared" si="2"/>
        <v>0.1</v>
      </c>
      <c r="R38" s="798">
        <f t="shared" si="2"/>
        <v>0.1</v>
      </c>
      <c r="S38" s="798">
        <f t="shared" si="2"/>
        <v>0.1</v>
      </c>
      <c r="T38" s="798">
        <f t="shared" si="2"/>
        <v>0.1</v>
      </c>
      <c r="U38" s="798">
        <f t="shared" si="2"/>
        <v>0.1</v>
      </c>
      <c r="V38" s="798">
        <f t="shared" si="2"/>
        <v>0.1</v>
      </c>
      <c r="W38" s="798">
        <f t="shared" si="2"/>
        <v>0.1</v>
      </c>
      <c r="X38" s="798">
        <f t="shared" si="2"/>
        <v>0.1</v>
      </c>
      <c r="Y38" s="798">
        <f t="shared" si="2"/>
        <v>0.1</v>
      </c>
      <c r="Z38" s="798">
        <f t="shared" si="2"/>
        <v>0.1</v>
      </c>
      <c r="AA38" s="798">
        <f t="shared" si="2"/>
        <v>0.1</v>
      </c>
      <c r="AB38" s="798">
        <f t="shared" si="2"/>
        <v>0.1</v>
      </c>
      <c r="AC38" s="798">
        <f t="shared" si="2"/>
        <v>0.1</v>
      </c>
      <c r="AD38" s="798">
        <f t="shared" si="2"/>
        <v>0.1</v>
      </c>
      <c r="AE38" s="798">
        <f t="shared" si="2"/>
        <v>0.1</v>
      </c>
      <c r="AF38" s="798">
        <f t="shared" si="2"/>
        <v>0.1</v>
      </c>
      <c r="AG38" s="798">
        <f t="shared" si="2"/>
        <v>0.1</v>
      </c>
      <c r="AH38" s="798">
        <f t="shared" si="2"/>
        <v>0.1</v>
      </c>
      <c r="AI38" s="798">
        <f t="shared" si="2"/>
        <v>0.1</v>
      </c>
      <c r="AJ38" s="798">
        <f t="shared" si="2"/>
        <v>0.1</v>
      </c>
      <c r="AK38" s="798">
        <f t="shared" si="2"/>
        <v>0.1</v>
      </c>
      <c r="AL38" s="798">
        <f t="shared" si="2"/>
        <v>0.1</v>
      </c>
      <c r="AM38" s="798">
        <f t="shared" si="2"/>
        <v>0.1</v>
      </c>
      <c r="AN38" s="798">
        <f t="shared" si="2"/>
        <v>0.1</v>
      </c>
      <c r="AO38" s="798">
        <f t="shared" si="2"/>
        <v>0.1</v>
      </c>
      <c r="AP38" s="798">
        <f t="shared" si="2"/>
        <v>0.1</v>
      </c>
      <c r="AQ38" s="798">
        <f t="shared" si="2"/>
        <v>0.1</v>
      </c>
      <c r="AR38" s="798">
        <f t="shared" si="2"/>
        <v>0.1</v>
      </c>
      <c r="AS38" s="798">
        <f t="shared" si="2"/>
        <v>0.1</v>
      </c>
      <c r="AT38" s="798">
        <f t="shared" si="2"/>
        <v>0.1</v>
      </c>
    </row>
    <row r="39" spans="6:46" ht="11.4" customHeight="1">
      <c r="G39" s="879" t="s">
        <v>973</v>
      </c>
      <c r="H39" s="880"/>
      <c r="I39" s="880"/>
      <c r="J39" s="798">
        <v>0.1</v>
      </c>
      <c r="K39" s="798">
        <f>J39</f>
        <v>0.1</v>
      </c>
      <c r="L39" s="798">
        <f t="shared" ref="L39:AT39" si="3">K39</f>
        <v>0.1</v>
      </c>
      <c r="M39" s="798">
        <f t="shared" si="3"/>
        <v>0.1</v>
      </c>
      <c r="N39" s="798">
        <f t="shared" si="3"/>
        <v>0.1</v>
      </c>
      <c r="O39" s="798">
        <f t="shared" si="3"/>
        <v>0.1</v>
      </c>
      <c r="P39" s="798">
        <f t="shared" si="3"/>
        <v>0.1</v>
      </c>
      <c r="Q39" s="798">
        <f t="shared" si="3"/>
        <v>0.1</v>
      </c>
      <c r="R39" s="798">
        <f t="shared" si="3"/>
        <v>0.1</v>
      </c>
      <c r="S39" s="798">
        <f t="shared" si="3"/>
        <v>0.1</v>
      </c>
      <c r="T39" s="798">
        <f t="shared" si="3"/>
        <v>0.1</v>
      </c>
      <c r="U39" s="798">
        <f t="shared" si="3"/>
        <v>0.1</v>
      </c>
      <c r="V39" s="798">
        <f t="shared" si="3"/>
        <v>0.1</v>
      </c>
      <c r="W39" s="798">
        <f t="shared" si="3"/>
        <v>0.1</v>
      </c>
      <c r="X39" s="798">
        <f t="shared" si="3"/>
        <v>0.1</v>
      </c>
      <c r="Y39" s="798">
        <f t="shared" si="3"/>
        <v>0.1</v>
      </c>
      <c r="Z39" s="798">
        <f t="shared" si="3"/>
        <v>0.1</v>
      </c>
      <c r="AA39" s="798">
        <f t="shared" si="3"/>
        <v>0.1</v>
      </c>
      <c r="AB39" s="798">
        <f t="shared" si="3"/>
        <v>0.1</v>
      </c>
      <c r="AC39" s="798">
        <f t="shared" si="3"/>
        <v>0.1</v>
      </c>
      <c r="AD39" s="798">
        <f t="shared" si="3"/>
        <v>0.1</v>
      </c>
      <c r="AE39" s="798">
        <f t="shared" si="3"/>
        <v>0.1</v>
      </c>
      <c r="AF39" s="798">
        <f t="shared" si="3"/>
        <v>0.1</v>
      </c>
      <c r="AG39" s="798">
        <f t="shared" si="3"/>
        <v>0.1</v>
      </c>
      <c r="AH39" s="798">
        <f t="shared" si="3"/>
        <v>0.1</v>
      </c>
      <c r="AI39" s="798">
        <f t="shared" si="3"/>
        <v>0.1</v>
      </c>
      <c r="AJ39" s="798">
        <f t="shared" si="3"/>
        <v>0.1</v>
      </c>
      <c r="AK39" s="798">
        <f t="shared" si="3"/>
        <v>0.1</v>
      </c>
      <c r="AL39" s="798">
        <f t="shared" si="3"/>
        <v>0.1</v>
      </c>
      <c r="AM39" s="798">
        <f t="shared" si="3"/>
        <v>0.1</v>
      </c>
      <c r="AN39" s="798">
        <f t="shared" si="3"/>
        <v>0.1</v>
      </c>
      <c r="AO39" s="798">
        <f t="shared" si="3"/>
        <v>0.1</v>
      </c>
      <c r="AP39" s="798">
        <f t="shared" si="3"/>
        <v>0.1</v>
      </c>
      <c r="AQ39" s="798">
        <f t="shared" si="3"/>
        <v>0.1</v>
      </c>
      <c r="AR39" s="798">
        <f t="shared" si="3"/>
        <v>0.1</v>
      </c>
      <c r="AS39" s="798">
        <f t="shared" si="3"/>
        <v>0.1</v>
      </c>
      <c r="AT39" s="798">
        <f t="shared" si="3"/>
        <v>0.1</v>
      </c>
    </row>
    <row r="40" spans="6:46" ht="11.4" customHeight="1">
      <c r="H40" s="798" t="s">
        <v>589</v>
      </c>
    </row>
    <row r="41" spans="6:46" ht="11.4" customHeight="1">
      <c r="F41" s="798" t="s">
        <v>771</v>
      </c>
      <c r="G41" s="798" t="s">
        <v>719</v>
      </c>
      <c r="J41" s="798">
        <v>1</v>
      </c>
      <c r="K41" s="798">
        <v>1</v>
      </c>
      <c r="L41" s="798">
        <v>1</v>
      </c>
      <c r="M41" s="798">
        <v>1</v>
      </c>
      <c r="N41" s="798">
        <v>1</v>
      </c>
      <c r="O41" s="798">
        <v>1</v>
      </c>
      <c r="P41" s="798">
        <v>1</v>
      </c>
      <c r="Q41" s="798">
        <v>1</v>
      </c>
      <c r="R41" s="798">
        <v>1</v>
      </c>
      <c r="S41" s="798">
        <v>1</v>
      </c>
      <c r="T41" s="798">
        <v>1</v>
      </c>
      <c r="U41" s="798">
        <v>1</v>
      </c>
      <c r="V41" s="798">
        <v>1</v>
      </c>
      <c r="W41" s="798">
        <v>1</v>
      </c>
      <c r="X41" s="798">
        <v>1</v>
      </c>
      <c r="Y41" s="798">
        <v>1</v>
      </c>
      <c r="Z41" s="798">
        <v>1</v>
      </c>
      <c r="AA41" s="798">
        <v>1</v>
      </c>
      <c r="AB41" s="798">
        <v>1</v>
      </c>
      <c r="AC41" s="798">
        <v>1</v>
      </c>
      <c r="AD41" s="798">
        <v>1</v>
      </c>
      <c r="AE41" s="798">
        <v>1</v>
      </c>
      <c r="AF41" s="798">
        <v>1</v>
      </c>
      <c r="AG41" s="798">
        <v>1</v>
      </c>
      <c r="AH41" s="798">
        <v>1</v>
      </c>
      <c r="AI41" s="798">
        <v>1</v>
      </c>
      <c r="AJ41" s="798">
        <v>1</v>
      </c>
      <c r="AK41" s="798">
        <v>1</v>
      </c>
      <c r="AL41" s="798">
        <v>1</v>
      </c>
      <c r="AM41" s="798">
        <v>1</v>
      </c>
      <c r="AN41" s="798">
        <v>1</v>
      </c>
      <c r="AO41" s="798">
        <v>1</v>
      </c>
      <c r="AP41" s="798">
        <v>1</v>
      </c>
      <c r="AQ41" s="798">
        <v>1</v>
      </c>
      <c r="AR41" s="798">
        <v>1</v>
      </c>
      <c r="AS41" s="798">
        <v>1</v>
      </c>
      <c r="AT41" s="798">
        <v>1</v>
      </c>
    </row>
    <row r="42" spans="6:46" ht="11.4" customHeight="1">
      <c r="G42" s="798" t="s">
        <v>720</v>
      </c>
      <c r="J42" s="798">
        <v>0</v>
      </c>
      <c r="K42" s="798">
        <v>0</v>
      </c>
      <c r="L42" s="798">
        <v>0</v>
      </c>
      <c r="M42" s="798">
        <v>0</v>
      </c>
      <c r="N42" s="798">
        <v>0</v>
      </c>
      <c r="O42" s="798">
        <v>0</v>
      </c>
      <c r="P42" s="798">
        <v>0</v>
      </c>
      <c r="Q42" s="798">
        <v>0</v>
      </c>
      <c r="R42" s="798">
        <v>0</v>
      </c>
      <c r="S42" s="798">
        <v>0</v>
      </c>
      <c r="T42" s="798">
        <v>0</v>
      </c>
      <c r="U42" s="798">
        <v>0</v>
      </c>
      <c r="V42" s="798">
        <v>0</v>
      </c>
      <c r="W42" s="798">
        <v>0</v>
      </c>
      <c r="X42" s="798">
        <v>0</v>
      </c>
      <c r="Y42" s="798">
        <v>0</v>
      </c>
      <c r="Z42" s="798">
        <v>0</v>
      </c>
      <c r="AA42" s="798">
        <v>0</v>
      </c>
      <c r="AB42" s="798">
        <v>0</v>
      </c>
      <c r="AC42" s="798">
        <v>0</v>
      </c>
      <c r="AD42" s="798">
        <v>0</v>
      </c>
      <c r="AE42" s="798">
        <v>0</v>
      </c>
      <c r="AF42" s="798">
        <v>0</v>
      </c>
      <c r="AG42" s="798">
        <v>0</v>
      </c>
      <c r="AH42" s="798">
        <v>0</v>
      </c>
      <c r="AI42" s="798">
        <v>0</v>
      </c>
      <c r="AJ42" s="798">
        <v>0</v>
      </c>
      <c r="AK42" s="798">
        <v>0</v>
      </c>
      <c r="AL42" s="798">
        <v>0</v>
      </c>
      <c r="AM42" s="798">
        <v>0</v>
      </c>
      <c r="AN42" s="798">
        <v>0</v>
      </c>
      <c r="AO42" s="798">
        <v>0</v>
      </c>
      <c r="AP42" s="798">
        <v>0</v>
      </c>
      <c r="AQ42" s="798">
        <v>0</v>
      </c>
      <c r="AR42" s="798">
        <v>0</v>
      </c>
      <c r="AS42" s="798">
        <v>0</v>
      </c>
      <c r="AT42" s="798">
        <v>0</v>
      </c>
    </row>
    <row r="43" spans="6:46" ht="11.4" customHeight="1">
      <c r="G43" s="880" t="s">
        <v>881</v>
      </c>
      <c r="H43" s="880"/>
      <c r="I43" s="880"/>
      <c r="J43" s="798">
        <v>0</v>
      </c>
      <c r="K43" s="798">
        <v>0</v>
      </c>
      <c r="L43" s="798">
        <v>0</v>
      </c>
      <c r="M43" s="798">
        <v>0</v>
      </c>
      <c r="N43" s="798">
        <v>0</v>
      </c>
      <c r="O43" s="798">
        <v>0</v>
      </c>
      <c r="P43" s="798">
        <v>0</v>
      </c>
      <c r="Q43" s="798">
        <v>0</v>
      </c>
      <c r="R43" s="798">
        <v>0</v>
      </c>
      <c r="S43" s="798">
        <v>0</v>
      </c>
      <c r="T43" s="798">
        <v>0</v>
      </c>
      <c r="U43" s="798">
        <v>0</v>
      </c>
      <c r="V43" s="798">
        <v>0</v>
      </c>
      <c r="W43" s="798">
        <v>0</v>
      </c>
      <c r="X43" s="798">
        <v>0</v>
      </c>
      <c r="Y43" s="798">
        <v>0</v>
      </c>
      <c r="Z43" s="798">
        <v>0</v>
      </c>
      <c r="AA43" s="798">
        <v>0</v>
      </c>
      <c r="AB43" s="798">
        <v>0</v>
      </c>
      <c r="AC43" s="798">
        <v>0</v>
      </c>
      <c r="AD43" s="798">
        <v>0</v>
      </c>
      <c r="AE43" s="798">
        <v>0</v>
      </c>
      <c r="AF43" s="798">
        <v>0</v>
      </c>
      <c r="AG43" s="798">
        <v>0</v>
      </c>
      <c r="AH43" s="798">
        <v>0</v>
      </c>
      <c r="AI43" s="798">
        <v>0</v>
      </c>
      <c r="AJ43" s="798">
        <v>0</v>
      </c>
      <c r="AK43" s="798">
        <v>0</v>
      </c>
      <c r="AL43" s="798">
        <v>0</v>
      </c>
      <c r="AM43" s="798">
        <v>0</v>
      </c>
      <c r="AN43" s="798">
        <v>0</v>
      </c>
      <c r="AO43" s="798">
        <v>0</v>
      </c>
      <c r="AP43" s="798">
        <v>0</v>
      </c>
      <c r="AQ43" s="798">
        <v>0</v>
      </c>
      <c r="AR43" s="798">
        <v>0</v>
      </c>
      <c r="AS43" s="798">
        <v>0</v>
      </c>
      <c r="AT43" s="798">
        <v>0</v>
      </c>
    </row>
    <row r="44" spans="6:46" ht="11.4" customHeight="1">
      <c r="G44" s="879" t="s">
        <v>722</v>
      </c>
      <c r="H44" s="880"/>
      <c r="I44" s="880"/>
      <c r="J44" s="798">
        <v>0.2</v>
      </c>
      <c r="K44" s="798">
        <f>J44</f>
        <v>0.2</v>
      </c>
      <c r="L44" s="798">
        <f t="shared" ref="L44:AT44" si="4">K44</f>
        <v>0.2</v>
      </c>
      <c r="M44" s="798">
        <f t="shared" si="4"/>
        <v>0.2</v>
      </c>
      <c r="N44" s="798">
        <f t="shared" si="4"/>
        <v>0.2</v>
      </c>
      <c r="O44" s="798">
        <f t="shared" si="4"/>
        <v>0.2</v>
      </c>
      <c r="P44" s="798">
        <f t="shared" si="4"/>
        <v>0.2</v>
      </c>
      <c r="Q44" s="798">
        <f t="shared" si="4"/>
        <v>0.2</v>
      </c>
      <c r="R44" s="798">
        <f t="shared" si="4"/>
        <v>0.2</v>
      </c>
      <c r="S44" s="798">
        <f t="shared" si="4"/>
        <v>0.2</v>
      </c>
      <c r="T44" s="798">
        <f t="shared" si="4"/>
        <v>0.2</v>
      </c>
      <c r="U44" s="798">
        <f t="shared" si="4"/>
        <v>0.2</v>
      </c>
      <c r="V44" s="798">
        <f t="shared" si="4"/>
        <v>0.2</v>
      </c>
      <c r="W44" s="798">
        <f t="shared" si="4"/>
        <v>0.2</v>
      </c>
      <c r="X44" s="798">
        <f t="shared" si="4"/>
        <v>0.2</v>
      </c>
      <c r="Y44" s="798">
        <f t="shared" si="4"/>
        <v>0.2</v>
      </c>
      <c r="Z44" s="798">
        <f t="shared" si="4"/>
        <v>0.2</v>
      </c>
      <c r="AA44" s="798">
        <f t="shared" si="4"/>
        <v>0.2</v>
      </c>
      <c r="AB44" s="798">
        <f t="shared" si="4"/>
        <v>0.2</v>
      </c>
      <c r="AC44" s="798">
        <f t="shared" si="4"/>
        <v>0.2</v>
      </c>
      <c r="AD44" s="798">
        <f t="shared" si="4"/>
        <v>0.2</v>
      </c>
      <c r="AE44" s="798">
        <f t="shared" si="4"/>
        <v>0.2</v>
      </c>
      <c r="AF44" s="798">
        <f t="shared" si="4"/>
        <v>0.2</v>
      </c>
      <c r="AG44" s="798">
        <f t="shared" si="4"/>
        <v>0.2</v>
      </c>
      <c r="AH44" s="798">
        <f t="shared" si="4"/>
        <v>0.2</v>
      </c>
      <c r="AI44" s="798">
        <f t="shared" si="4"/>
        <v>0.2</v>
      </c>
      <c r="AJ44" s="798">
        <f t="shared" si="4"/>
        <v>0.2</v>
      </c>
      <c r="AK44" s="798">
        <f t="shared" si="4"/>
        <v>0.2</v>
      </c>
      <c r="AL44" s="798">
        <f t="shared" si="4"/>
        <v>0.2</v>
      </c>
      <c r="AM44" s="798">
        <f t="shared" si="4"/>
        <v>0.2</v>
      </c>
      <c r="AN44" s="798">
        <f t="shared" si="4"/>
        <v>0.2</v>
      </c>
      <c r="AO44" s="798">
        <f t="shared" si="4"/>
        <v>0.2</v>
      </c>
      <c r="AP44" s="798">
        <f t="shared" si="4"/>
        <v>0.2</v>
      </c>
      <c r="AQ44" s="798">
        <f t="shared" si="4"/>
        <v>0.2</v>
      </c>
      <c r="AR44" s="798">
        <f t="shared" si="4"/>
        <v>0.2</v>
      </c>
      <c r="AS44" s="798">
        <f t="shared" si="4"/>
        <v>0.2</v>
      </c>
      <c r="AT44" s="798">
        <f t="shared" si="4"/>
        <v>0.2</v>
      </c>
    </row>
    <row r="45" spans="6:46" ht="11.4" customHeight="1">
      <c r="H45" s="798" t="s">
        <v>587</v>
      </c>
    </row>
    <row r="46" spans="6:46" ht="11.4" customHeight="1">
      <c r="F46" s="798" t="s">
        <v>773</v>
      </c>
      <c r="G46" s="798" t="s">
        <v>721</v>
      </c>
      <c r="J46" s="798">
        <v>1</v>
      </c>
      <c r="K46" s="798">
        <v>1</v>
      </c>
      <c r="L46" s="798">
        <v>1</v>
      </c>
      <c r="M46" s="798">
        <v>1</v>
      </c>
      <c r="N46" s="798">
        <v>1</v>
      </c>
      <c r="O46" s="798">
        <v>1</v>
      </c>
      <c r="P46" s="798">
        <v>1</v>
      </c>
      <c r="Q46" s="798">
        <v>1</v>
      </c>
      <c r="R46" s="798">
        <v>1</v>
      </c>
      <c r="S46" s="798">
        <v>1</v>
      </c>
      <c r="T46" s="798">
        <v>1</v>
      </c>
      <c r="U46" s="798">
        <v>1</v>
      </c>
      <c r="V46" s="798">
        <v>1</v>
      </c>
      <c r="W46" s="798">
        <v>1</v>
      </c>
      <c r="X46" s="798">
        <v>1</v>
      </c>
      <c r="Y46" s="798">
        <v>1</v>
      </c>
      <c r="Z46" s="798">
        <v>1</v>
      </c>
      <c r="AA46" s="798">
        <v>1</v>
      </c>
      <c r="AB46" s="798">
        <v>1</v>
      </c>
      <c r="AC46" s="798">
        <v>1</v>
      </c>
      <c r="AD46" s="798">
        <v>1</v>
      </c>
      <c r="AE46" s="798">
        <v>1</v>
      </c>
      <c r="AF46" s="798">
        <v>1</v>
      </c>
      <c r="AG46" s="798">
        <v>1</v>
      </c>
      <c r="AH46" s="798">
        <v>1</v>
      </c>
      <c r="AI46" s="798">
        <v>1</v>
      </c>
      <c r="AJ46" s="798">
        <v>1</v>
      </c>
      <c r="AK46" s="798">
        <v>1</v>
      </c>
      <c r="AL46" s="798">
        <v>1</v>
      </c>
      <c r="AM46" s="798">
        <v>1</v>
      </c>
      <c r="AN46" s="798">
        <v>1</v>
      </c>
      <c r="AO46" s="798">
        <v>1</v>
      </c>
      <c r="AP46" s="798">
        <v>1</v>
      </c>
      <c r="AQ46" s="798">
        <v>1</v>
      </c>
      <c r="AR46" s="798">
        <v>1</v>
      </c>
      <c r="AS46" s="798">
        <v>1</v>
      </c>
      <c r="AT46" s="798">
        <v>1</v>
      </c>
    </row>
    <row r="47" spans="6:46" ht="11.4" customHeight="1">
      <c r="H47" s="798" t="s">
        <v>590</v>
      </c>
    </row>
    <row r="48" spans="6:46" ht="11.4" customHeight="1">
      <c r="F48" s="798" t="s">
        <v>775</v>
      </c>
      <c r="G48" s="798" t="s">
        <v>725</v>
      </c>
    </row>
    <row r="49" spans="6:46" ht="11.4" customHeight="1">
      <c r="H49" s="798" t="s">
        <v>778</v>
      </c>
    </row>
    <row r="50" spans="6:46" ht="11.4" customHeight="1">
      <c r="F50" s="798" t="s">
        <v>777</v>
      </c>
      <c r="G50" s="798" t="s">
        <v>726</v>
      </c>
    </row>
    <row r="51" spans="6:46" ht="11.4" customHeight="1">
      <c r="H51" s="798" t="s">
        <v>599</v>
      </c>
    </row>
    <row r="54" spans="6:46" ht="11.4" customHeight="1">
      <c r="H54" s="799" t="s">
        <v>601</v>
      </c>
    </row>
    <row r="55" spans="6:46" ht="11.4" customHeight="1" thickBot="1">
      <c r="F55" s="800" t="s">
        <v>545</v>
      </c>
      <c r="G55" s="800" t="s">
        <v>585</v>
      </c>
      <c r="H55" s="800" t="s">
        <v>592</v>
      </c>
      <c r="I55" s="800">
        <v>2010</v>
      </c>
      <c r="J55" s="801" t="s">
        <v>88</v>
      </c>
      <c r="K55" s="801" t="s">
        <v>89</v>
      </c>
      <c r="L55" s="801" t="s">
        <v>90</v>
      </c>
      <c r="M55" s="801" t="s">
        <v>91</v>
      </c>
      <c r="N55" s="801" t="s">
        <v>92</v>
      </c>
      <c r="O55" s="801" t="s">
        <v>93</v>
      </c>
      <c r="P55" s="801" t="s">
        <v>94</v>
      </c>
      <c r="Q55" s="801" t="s">
        <v>95</v>
      </c>
      <c r="R55" s="801" t="s">
        <v>96</v>
      </c>
      <c r="S55" s="801" t="s">
        <v>97</v>
      </c>
      <c r="T55" s="801" t="s">
        <v>98</v>
      </c>
      <c r="U55" s="801" t="s">
        <v>99</v>
      </c>
      <c r="V55" s="801" t="s">
        <v>205</v>
      </c>
      <c r="W55" s="801" t="s">
        <v>118</v>
      </c>
      <c r="X55" s="801" t="s">
        <v>100</v>
      </c>
      <c r="Y55" s="801" t="s">
        <v>101</v>
      </c>
      <c r="Z55" s="801" t="s">
        <v>102</v>
      </c>
      <c r="AA55" s="801" t="s">
        <v>103</v>
      </c>
      <c r="AB55" s="801" t="s">
        <v>104</v>
      </c>
      <c r="AC55" s="801" t="s">
        <v>105</v>
      </c>
      <c r="AD55" s="801" t="s">
        <v>106</v>
      </c>
      <c r="AE55" s="801" t="s">
        <v>107</v>
      </c>
      <c r="AF55" s="801" t="s">
        <v>108</v>
      </c>
      <c r="AG55" s="801" t="s">
        <v>109</v>
      </c>
      <c r="AH55" s="801" t="s">
        <v>110</v>
      </c>
      <c r="AI55" s="801" t="s">
        <v>111</v>
      </c>
      <c r="AJ55" s="801" t="s">
        <v>112</v>
      </c>
      <c r="AK55" s="801" t="s">
        <v>113</v>
      </c>
      <c r="AL55" s="801" t="s">
        <v>114</v>
      </c>
      <c r="AM55" s="801" t="s">
        <v>115</v>
      </c>
      <c r="AN55" s="801" t="s">
        <v>52</v>
      </c>
      <c r="AO55" s="801" t="s">
        <v>116</v>
      </c>
      <c r="AP55" s="801" t="s">
        <v>117</v>
      </c>
      <c r="AQ55" s="801" t="s">
        <v>119</v>
      </c>
      <c r="AR55" s="801" t="s">
        <v>120</v>
      </c>
      <c r="AS55" s="801" t="s">
        <v>121</v>
      </c>
      <c r="AT55" s="801" t="s">
        <v>122</v>
      </c>
    </row>
    <row r="56" spans="6:46" ht="11.4" customHeight="1">
      <c r="F56" s="798" t="s">
        <v>765</v>
      </c>
      <c r="I56" s="798">
        <v>1</v>
      </c>
    </row>
    <row r="57" spans="6:46" ht="11.4" customHeight="1">
      <c r="F57" s="798" t="s">
        <v>767</v>
      </c>
      <c r="I57" s="798">
        <v>1</v>
      </c>
    </row>
    <row r="58" spans="6:46" ht="11.4" customHeight="1">
      <c r="F58" s="798" t="s">
        <v>769</v>
      </c>
      <c r="I58" s="798">
        <v>1</v>
      </c>
    </row>
    <row r="59" spans="6:46" ht="11.4" customHeight="1">
      <c r="F59" s="798" t="s">
        <v>771</v>
      </c>
      <c r="I59" s="798">
        <v>1</v>
      </c>
    </row>
    <row r="60" spans="6:46" ht="11.4" customHeight="1">
      <c r="F60" s="798" t="s">
        <v>773</v>
      </c>
      <c r="I60" s="798">
        <v>1</v>
      </c>
    </row>
    <row r="61" spans="6:46" ht="11.4" customHeight="1">
      <c r="F61" s="798" t="s">
        <v>775</v>
      </c>
      <c r="I61" s="798">
        <v>1</v>
      </c>
    </row>
    <row r="62" spans="6:46" ht="11.4" customHeight="1">
      <c r="F62" s="798" t="s">
        <v>777</v>
      </c>
      <c r="I62" s="798">
        <v>1</v>
      </c>
    </row>
    <row r="64" spans="6:46" ht="11.4" customHeight="1">
      <c r="H64" s="799"/>
    </row>
    <row r="65" spans="6:45" ht="11.4" customHeight="1" thickBot="1">
      <c r="F65" s="800" t="s">
        <v>545</v>
      </c>
      <c r="G65" s="800" t="s">
        <v>585</v>
      </c>
      <c r="H65" s="800" t="s">
        <v>592</v>
      </c>
      <c r="I65" s="801">
        <v>2010</v>
      </c>
    </row>
    <row r="66" spans="6:45" ht="11.4" customHeight="1">
      <c r="F66" s="798" t="s">
        <v>850</v>
      </c>
      <c r="G66" s="798" t="s">
        <v>735</v>
      </c>
      <c r="H66" s="798" t="s">
        <v>588</v>
      </c>
      <c r="I66" s="798">
        <v>1</v>
      </c>
    </row>
    <row r="70" spans="6:45" ht="11.4" customHeight="1">
      <c r="H70" s="799" t="s">
        <v>727</v>
      </c>
    </row>
    <row r="71" spans="6:45" ht="11.4" customHeight="1" thickBot="1">
      <c r="F71" s="800" t="s">
        <v>545</v>
      </c>
      <c r="G71" s="800" t="s">
        <v>585</v>
      </c>
      <c r="H71" s="800" t="s">
        <v>592</v>
      </c>
      <c r="I71" s="801" t="s">
        <v>88</v>
      </c>
      <c r="J71" s="801" t="s">
        <v>89</v>
      </c>
      <c r="K71" s="801" t="s">
        <v>90</v>
      </c>
      <c r="L71" s="801" t="s">
        <v>91</v>
      </c>
      <c r="M71" s="801" t="s">
        <v>92</v>
      </c>
      <c r="N71" s="801" t="s">
        <v>93</v>
      </c>
      <c r="O71" s="801" t="s">
        <v>94</v>
      </c>
      <c r="P71" s="801" t="s">
        <v>95</v>
      </c>
      <c r="Q71" s="801" t="s">
        <v>96</v>
      </c>
      <c r="R71" s="801" t="s">
        <v>97</v>
      </c>
      <c r="S71" s="801" t="s">
        <v>98</v>
      </c>
      <c r="T71" s="801" t="s">
        <v>99</v>
      </c>
      <c r="U71" s="801" t="s">
        <v>205</v>
      </c>
      <c r="V71" s="801" t="s">
        <v>118</v>
      </c>
      <c r="W71" s="801" t="s">
        <v>100</v>
      </c>
      <c r="X71" s="801" t="s">
        <v>101</v>
      </c>
      <c r="Y71" s="801" t="s">
        <v>102</v>
      </c>
      <c r="Z71" s="801" t="s">
        <v>103</v>
      </c>
      <c r="AA71" s="801" t="s">
        <v>104</v>
      </c>
      <c r="AB71" s="801" t="s">
        <v>105</v>
      </c>
      <c r="AC71" s="801" t="s">
        <v>106</v>
      </c>
      <c r="AD71" s="801" t="s">
        <v>107</v>
      </c>
      <c r="AE71" s="801" t="s">
        <v>108</v>
      </c>
      <c r="AF71" s="801" t="s">
        <v>109</v>
      </c>
      <c r="AG71" s="801" t="s">
        <v>110</v>
      </c>
      <c r="AH71" s="801" t="s">
        <v>111</v>
      </c>
      <c r="AI71" s="801" t="s">
        <v>112</v>
      </c>
      <c r="AJ71" s="801" t="s">
        <v>113</v>
      </c>
      <c r="AK71" s="801" t="s">
        <v>114</v>
      </c>
      <c r="AL71" s="801" t="s">
        <v>115</v>
      </c>
      <c r="AM71" s="801" t="s">
        <v>52</v>
      </c>
      <c r="AN71" s="801" t="s">
        <v>116</v>
      </c>
      <c r="AO71" s="801" t="s">
        <v>117</v>
      </c>
      <c r="AP71" s="801" t="s">
        <v>119</v>
      </c>
      <c r="AQ71" s="801" t="s">
        <v>120</v>
      </c>
      <c r="AR71" s="801" t="s">
        <v>121</v>
      </c>
      <c r="AS71" s="801" t="s">
        <v>122</v>
      </c>
    </row>
    <row r="72" spans="6:45" ht="11.4" customHeight="1">
      <c r="F72" s="798" t="s">
        <v>781</v>
      </c>
      <c r="I72" s="798">
        <v>1</v>
      </c>
      <c r="J72" s="798">
        <v>1</v>
      </c>
      <c r="K72" s="798">
        <v>1</v>
      </c>
      <c r="L72" s="798">
        <v>1</v>
      </c>
      <c r="M72" s="798">
        <v>1</v>
      </c>
      <c r="N72" s="798">
        <v>1</v>
      </c>
      <c r="O72" s="798">
        <v>1</v>
      </c>
      <c r="P72" s="798">
        <v>1</v>
      </c>
      <c r="Q72" s="798">
        <v>1</v>
      </c>
      <c r="R72" s="798">
        <v>1</v>
      </c>
      <c r="S72" s="798">
        <v>1</v>
      </c>
      <c r="T72" s="798">
        <v>1</v>
      </c>
      <c r="U72" s="798">
        <v>1</v>
      </c>
      <c r="V72" s="798">
        <v>1</v>
      </c>
      <c r="W72" s="798">
        <v>1</v>
      </c>
      <c r="X72" s="798">
        <v>1</v>
      </c>
      <c r="Y72" s="798">
        <v>1</v>
      </c>
      <c r="Z72" s="798">
        <v>1</v>
      </c>
      <c r="AA72" s="798">
        <v>1</v>
      </c>
      <c r="AB72" s="798">
        <v>1</v>
      </c>
      <c r="AC72" s="798">
        <v>1</v>
      </c>
      <c r="AD72" s="798">
        <v>1</v>
      </c>
      <c r="AE72" s="798">
        <v>1</v>
      </c>
      <c r="AF72" s="798">
        <v>1</v>
      </c>
      <c r="AG72" s="798">
        <v>1</v>
      </c>
      <c r="AH72" s="798">
        <v>1</v>
      </c>
      <c r="AI72" s="798">
        <v>1</v>
      </c>
      <c r="AJ72" s="798">
        <v>1</v>
      </c>
      <c r="AK72" s="798">
        <v>1</v>
      </c>
      <c r="AL72" s="798">
        <v>1</v>
      </c>
      <c r="AM72" s="798">
        <v>1</v>
      </c>
      <c r="AN72" s="798">
        <v>1</v>
      </c>
      <c r="AO72" s="798">
        <v>1</v>
      </c>
      <c r="AP72" s="798">
        <v>1</v>
      </c>
      <c r="AQ72" s="798">
        <v>1</v>
      </c>
      <c r="AR72" s="798">
        <v>1</v>
      </c>
      <c r="AS72" s="798">
        <v>1</v>
      </c>
    </row>
    <row r="73" spans="6:45" ht="11.4" customHeight="1">
      <c r="F73" s="798" t="s">
        <v>783</v>
      </c>
      <c r="I73" s="798">
        <v>1</v>
      </c>
      <c r="J73" s="798">
        <v>1</v>
      </c>
      <c r="K73" s="798">
        <v>1</v>
      </c>
      <c r="L73" s="798">
        <v>1</v>
      </c>
      <c r="M73" s="798">
        <v>1</v>
      </c>
      <c r="N73" s="798">
        <v>1</v>
      </c>
      <c r="O73" s="798">
        <v>1</v>
      </c>
      <c r="P73" s="798">
        <v>1</v>
      </c>
      <c r="Q73" s="798">
        <v>1</v>
      </c>
      <c r="R73" s="798">
        <v>1</v>
      </c>
      <c r="S73" s="798">
        <v>1</v>
      </c>
      <c r="T73" s="798">
        <v>1</v>
      </c>
      <c r="U73" s="798">
        <v>1</v>
      </c>
      <c r="V73" s="798">
        <v>1</v>
      </c>
      <c r="W73" s="798">
        <v>1</v>
      </c>
      <c r="X73" s="798">
        <v>1</v>
      </c>
      <c r="Y73" s="798">
        <v>1</v>
      </c>
      <c r="Z73" s="798">
        <v>1</v>
      </c>
      <c r="AA73" s="798">
        <v>1</v>
      </c>
      <c r="AB73" s="798">
        <v>1</v>
      </c>
      <c r="AC73" s="798">
        <v>1</v>
      </c>
      <c r="AD73" s="798">
        <v>1</v>
      </c>
      <c r="AE73" s="798">
        <v>1</v>
      </c>
      <c r="AF73" s="798">
        <v>1</v>
      </c>
      <c r="AG73" s="798">
        <v>1</v>
      </c>
      <c r="AH73" s="798">
        <v>1</v>
      </c>
      <c r="AI73" s="798">
        <v>1</v>
      </c>
      <c r="AJ73" s="798">
        <v>1</v>
      </c>
      <c r="AK73" s="798">
        <v>1</v>
      </c>
      <c r="AL73" s="798">
        <v>1</v>
      </c>
      <c r="AM73" s="798">
        <v>1</v>
      </c>
      <c r="AN73" s="798">
        <v>1</v>
      </c>
      <c r="AO73" s="798">
        <v>1</v>
      </c>
      <c r="AP73" s="798">
        <v>1</v>
      </c>
      <c r="AQ73" s="798">
        <v>1</v>
      </c>
      <c r="AR73" s="798">
        <v>1</v>
      </c>
      <c r="AS73" s="798">
        <v>1</v>
      </c>
    </row>
    <row r="74" spans="6:45" ht="11.4" customHeight="1">
      <c r="F74" s="798" t="s">
        <v>785</v>
      </c>
      <c r="I74" s="798">
        <v>1</v>
      </c>
      <c r="J74" s="798">
        <v>1</v>
      </c>
      <c r="K74" s="798">
        <v>1</v>
      </c>
      <c r="L74" s="798">
        <v>1</v>
      </c>
      <c r="M74" s="798">
        <v>1</v>
      </c>
      <c r="N74" s="798">
        <v>1</v>
      </c>
      <c r="O74" s="798">
        <v>1</v>
      </c>
      <c r="P74" s="798">
        <v>1</v>
      </c>
      <c r="Q74" s="798">
        <v>1</v>
      </c>
      <c r="R74" s="798">
        <v>1</v>
      </c>
      <c r="S74" s="798">
        <v>1</v>
      </c>
      <c r="T74" s="798">
        <v>1</v>
      </c>
      <c r="U74" s="798">
        <v>1</v>
      </c>
      <c r="V74" s="798">
        <v>1</v>
      </c>
      <c r="W74" s="798">
        <v>1</v>
      </c>
      <c r="X74" s="798">
        <v>1</v>
      </c>
      <c r="Y74" s="798">
        <v>1</v>
      </c>
      <c r="Z74" s="798">
        <v>1</v>
      </c>
      <c r="AA74" s="798">
        <v>1</v>
      </c>
      <c r="AB74" s="798">
        <v>1</v>
      </c>
      <c r="AC74" s="798">
        <v>1</v>
      </c>
      <c r="AD74" s="798">
        <v>1</v>
      </c>
      <c r="AE74" s="798">
        <v>1</v>
      </c>
      <c r="AF74" s="798">
        <v>1</v>
      </c>
      <c r="AG74" s="798">
        <v>1</v>
      </c>
      <c r="AH74" s="798">
        <v>1</v>
      </c>
      <c r="AI74" s="798">
        <v>1</v>
      </c>
      <c r="AJ74" s="798">
        <v>1</v>
      </c>
      <c r="AK74" s="798">
        <v>1</v>
      </c>
      <c r="AL74" s="798">
        <v>1</v>
      </c>
      <c r="AM74" s="798">
        <v>1</v>
      </c>
      <c r="AN74" s="798">
        <v>1</v>
      </c>
      <c r="AO74" s="798">
        <v>1</v>
      </c>
      <c r="AP74" s="798">
        <v>1</v>
      </c>
      <c r="AQ74" s="798">
        <v>1</v>
      </c>
      <c r="AR74" s="798">
        <v>1</v>
      </c>
      <c r="AS74" s="798">
        <v>1</v>
      </c>
    </row>
    <row r="75" spans="6:45" ht="11.4" customHeight="1">
      <c r="F75" s="798" t="s">
        <v>787</v>
      </c>
      <c r="I75" s="798">
        <v>20</v>
      </c>
      <c r="J75" s="798">
        <v>20</v>
      </c>
      <c r="K75" s="798">
        <v>20</v>
      </c>
      <c r="L75" s="798">
        <v>20</v>
      </c>
      <c r="M75" s="798">
        <v>20</v>
      </c>
      <c r="N75" s="798">
        <v>20</v>
      </c>
      <c r="O75" s="798">
        <v>20</v>
      </c>
      <c r="P75" s="798">
        <v>20</v>
      </c>
      <c r="Q75" s="798">
        <v>20</v>
      </c>
      <c r="R75" s="798">
        <v>20</v>
      </c>
      <c r="S75" s="798">
        <v>20</v>
      </c>
      <c r="T75" s="798">
        <v>20</v>
      </c>
      <c r="U75" s="798">
        <v>20</v>
      </c>
      <c r="V75" s="798">
        <v>20</v>
      </c>
      <c r="W75" s="798">
        <v>20</v>
      </c>
      <c r="X75" s="798">
        <v>20</v>
      </c>
      <c r="Y75" s="798">
        <v>20</v>
      </c>
      <c r="Z75" s="798">
        <v>20</v>
      </c>
      <c r="AA75" s="798">
        <v>20</v>
      </c>
      <c r="AB75" s="798">
        <v>20</v>
      </c>
      <c r="AC75" s="798">
        <v>20</v>
      </c>
      <c r="AD75" s="798">
        <v>20</v>
      </c>
      <c r="AE75" s="798">
        <v>20</v>
      </c>
      <c r="AF75" s="798">
        <v>20</v>
      </c>
      <c r="AG75" s="798">
        <v>20</v>
      </c>
      <c r="AH75" s="798">
        <v>20</v>
      </c>
      <c r="AI75" s="798">
        <v>20</v>
      </c>
      <c r="AJ75" s="798">
        <v>20</v>
      </c>
      <c r="AK75" s="798">
        <v>20</v>
      </c>
      <c r="AL75" s="798">
        <v>20</v>
      </c>
      <c r="AM75" s="798">
        <v>20</v>
      </c>
      <c r="AN75" s="798">
        <v>20</v>
      </c>
      <c r="AO75" s="798">
        <v>20</v>
      </c>
      <c r="AP75" s="798">
        <v>20</v>
      </c>
      <c r="AQ75" s="798">
        <v>20</v>
      </c>
      <c r="AR75" s="798">
        <v>20</v>
      </c>
      <c r="AS75" s="798">
        <v>20</v>
      </c>
    </row>
    <row r="76" spans="6:45" ht="11.4" customHeight="1">
      <c r="F76" s="798" t="s">
        <v>789</v>
      </c>
      <c r="I76" s="798">
        <v>1</v>
      </c>
      <c r="J76" s="798">
        <v>1</v>
      </c>
      <c r="K76" s="798">
        <v>1</v>
      </c>
      <c r="L76" s="798">
        <v>1</v>
      </c>
      <c r="M76" s="798">
        <v>1</v>
      </c>
      <c r="N76" s="798">
        <v>1</v>
      </c>
      <c r="O76" s="798">
        <v>1</v>
      </c>
      <c r="P76" s="798">
        <v>1</v>
      </c>
      <c r="Q76" s="798">
        <v>1</v>
      </c>
      <c r="R76" s="798">
        <v>1</v>
      </c>
      <c r="S76" s="798">
        <v>1</v>
      </c>
      <c r="T76" s="798">
        <v>1</v>
      </c>
      <c r="U76" s="798">
        <v>1</v>
      </c>
      <c r="V76" s="798">
        <v>1</v>
      </c>
      <c r="W76" s="798">
        <v>1</v>
      </c>
      <c r="X76" s="798">
        <v>1</v>
      </c>
      <c r="Y76" s="798">
        <v>1</v>
      </c>
      <c r="Z76" s="798">
        <v>1</v>
      </c>
      <c r="AA76" s="798">
        <v>1</v>
      </c>
      <c r="AB76" s="798">
        <v>1</v>
      </c>
      <c r="AC76" s="798">
        <v>1</v>
      </c>
      <c r="AD76" s="798">
        <v>1</v>
      </c>
      <c r="AE76" s="798">
        <v>1</v>
      </c>
      <c r="AF76" s="798">
        <v>1</v>
      </c>
      <c r="AG76" s="798">
        <v>1</v>
      </c>
      <c r="AH76" s="798">
        <v>1</v>
      </c>
      <c r="AI76" s="798">
        <v>1</v>
      </c>
      <c r="AJ76" s="798">
        <v>1</v>
      </c>
      <c r="AK76" s="798">
        <v>1</v>
      </c>
      <c r="AL76" s="798">
        <v>1</v>
      </c>
      <c r="AM76" s="798">
        <v>1</v>
      </c>
      <c r="AN76" s="798">
        <v>1</v>
      </c>
      <c r="AO76" s="798">
        <v>1</v>
      </c>
      <c r="AP76" s="798">
        <v>1</v>
      </c>
      <c r="AQ76" s="798">
        <v>1</v>
      </c>
      <c r="AR76" s="798">
        <v>1</v>
      </c>
      <c r="AS76" s="798">
        <v>1</v>
      </c>
    </row>
    <row r="77" spans="6:45" ht="11.4" customHeight="1">
      <c r="F77" s="798" t="s">
        <v>791</v>
      </c>
      <c r="I77" s="798">
        <v>1</v>
      </c>
      <c r="J77" s="798">
        <v>1</v>
      </c>
      <c r="K77" s="798">
        <v>1</v>
      </c>
      <c r="L77" s="798">
        <v>1</v>
      </c>
      <c r="M77" s="798">
        <v>1</v>
      </c>
      <c r="N77" s="798">
        <v>1</v>
      </c>
      <c r="O77" s="798">
        <v>1</v>
      </c>
      <c r="P77" s="798">
        <v>1</v>
      </c>
      <c r="Q77" s="798">
        <v>1</v>
      </c>
      <c r="R77" s="798">
        <v>1</v>
      </c>
      <c r="S77" s="798">
        <v>1</v>
      </c>
      <c r="T77" s="798">
        <v>1</v>
      </c>
      <c r="U77" s="798">
        <v>1</v>
      </c>
      <c r="V77" s="798">
        <v>1</v>
      </c>
      <c r="W77" s="798">
        <v>1</v>
      </c>
      <c r="X77" s="798">
        <v>1</v>
      </c>
      <c r="Y77" s="798">
        <v>1</v>
      </c>
      <c r="Z77" s="798">
        <v>1</v>
      </c>
      <c r="AA77" s="798">
        <v>1</v>
      </c>
      <c r="AB77" s="798">
        <v>1</v>
      </c>
      <c r="AC77" s="798">
        <v>1</v>
      </c>
      <c r="AD77" s="798">
        <v>1</v>
      </c>
      <c r="AE77" s="798">
        <v>1</v>
      </c>
      <c r="AF77" s="798">
        <v>1</v>
      </c>
      <c r="AG77" s="798">
        <v>1</v>
      </c>
      <c r="AH77" s="798">
        <v>1</v>
      </c>
      <c r="AI77" s="798">
        <v>1</v>
      </c>
      <c r="AJ77" s="798">
        <v>1</v>
      </c>
      <c r="AK77" s="798">
        <v>1</v>
      </c>
      <c r="AL77" s="798">
        <v>1</v>
      </c>
      <c r="AM77" s="798">
        <v>1</v>
      </c>
      <c r="AN77" s="798">
        <v>1</v>
      </c>
      <c r="AO77" s="798">
        <v>1</v>
      </c>
      <c r="AP77" s="798">
        <v>1</v>
      </c>
      <c r="AQ77" s="798">
        <v>1</v>
      </c>
      <c r="AR77" s="798">
        <v>1</v>
      </c>
      <c r="AS77" s="798">
        <v>1</v>
      </c>
    </row>
    <row r="78" spans="6:45" ht="11.4" customHeight="1">
      <c r="F78" s="798" t="s">
        <v>792</v>
      </c>
      <c r="I78" s="798">
        <v>1</v>
      </c>
      <c r="J78" s="798">
        <v>1</v>
      </c>
      <c r="K78" s="798">
        <v>1</v>
      </c>
      <c r="L78" s="798">
        <v>1</v>
      </c>
      <c r="M78" s="798">
        <v>1</v>
      </c>
      <c r="N78" s="798">
        <v>1</v>
      </c>
      <c r="O78" s="798">
        <v>1</v>
      </c>
      <c r="P78" s="798">
        <v>1</v>
      </c>
      <c r="Q78" s="798">
        <v>1</v>
      </c>
      <c r="R78" s="798">
        <v>1</v>
      </c>
      <c r="S78" s="798">
        <v>1</v>
      </c>
      <c r="T78" s="798">
        <v>1</v>
      </c>
      <c r="U78" s="798">
        <v>1</v>
      </c>
      <c r="V78" s="798">
        <v>1</v>
      </c>
      <c r="W78" s="798">
        <v>1</v>
      </c>
      <c r="X78" s="798">
        <v>1</v>
      </c>
      <c r="Y78" s="798">
        <v>1</v>
      </c>
      <c r="Z78" s="798">
        <v>1</v>
      </c>
      <c r="AA78" s="798">
        <v>1</v>
      </c>
      <c r="AB78" s="798">
        <v>1</v>
      </c>
      <c r="AC78" s="798">
        <v>1</v>
      </c>
      <c r="AD78" s="798">
        <v>1</v>
      </c>
      <c r="AE78" s="798">
        <v>1</v>
      </c>
      <c r="AF78" s="798">
        <v>1</v>
      </c>
      <c r="AG78" s="798">
        <v>1</v>
      </c>
      <c r="AH78" s="798">
        <v>1</v>
      </c>
      <c r="AI78" s="798">
        <v>1</v>
      </c>
      <c r="AJ78" s="798">
        <v>1</v>
      </c>
      <c r="AK78" s="798">
        <v>1</v>
      </c>
      <c r="AL78" s="798">
        <v>1</v>
      </c>
      <c r="AM78" s="798">
        <v>1</v>
      </c>
      <c r="AN78" s="798">
        <v>1</v>
      </c>
      <c r="AO78" s="798">
        <v>1</v>
      </c>
      <c r="AP78" s="798">
        <v>1</v>
      </c>
      <c r="AQ78" s="798">
        <v>1</v>
      </c>
      <c r="AR78" s="798">
        <v>1</v>
      </c>
      <c r="AS78" s="798">
        <v>1</v>
      </c>
    </row>
    <row r="82" spans="6:45" ht="11.4" customHeight="1">
      <c r="H82" s="799" t="s">
        <v>601</v>
      </c>
    </row>
    <row r="83" spans="6:45" ht="11.4" customHeight="1" thickBot="1">
      <c r="F83" s="800" t="s">
        <v>545</v>
      </c>
      <c r="G83" s="800" t="s">
        <v>585</v>
      </c>
      <c r="H83" s="800" t="s">
        <v>592</v>
      </c>
      <c r="I83" s="800">
        <v>2010</v>
      </c>
    </row>
    <row r="84" spans="6:45" ht="11.4" customHeight="1">
      <c r="F84" s="798" t="s">
        <v>781</v>
      </c>
      <c r="I84" s="798">
        <v>1</v>
      </c>
    </row>
    <row r="85" spans="6:45" ht="11.4" customHeight="1">
      <c r="F85" s="798" t="s">
        <v>783</v>
      </c>
      <c r="I85" s="798">
        <v>1</v>
      </c>
    </row>
    <row r="86" spans="6:45" ht="11.4" customHeight="1">
      <c r="F86" s="798" t="s">
        <v>785</v>
      </c>
      <c r="I86" s="798">
        <v>1</v>
      </c>
    </row>
    <row r="87" spans="6:45" ht="11.4" customHeight="1">
      <c r="F87" s="798" t="s">
        <v>787</v>
      </c>
      <c r="I87" s="798">
        <v>1</v>
      </c>
    </row>
    <row r="88" spans="6:45" ht="11.4" customHeight="1">
      <c r="F88" s="798" t="s">
        <v>789</v>
      </c>
      <c r="I88" s="798">
        <v>1</v>
      </c>
    </row>
    <row r="89" spans="6:45" ht="11.4" customHeight="1">
      <c r="F89" s="798" t="s">
        <v>791</v>
      </c>
      <c r="I89" s="798">
        <v>1</v>
      </c>
    </row>
    <row r="90" spans="6:45" ht="11.4" customHeight="1">
      <c r="F90" s="798" t="s">
        <v>792</v>
      </c>
      <c r="I90" s="798">
        <v>1</v>
      </c>
    </row>
    <row r="93" spans="6:45" ht="11.4" customHeight="1">
      <c r="H93" s="799" t="s">
        <v>708</v>
      </c>
    </row>
    <row r="94" spans="6:45" ht="11.4" customHeight="1" thickBot="1">
      <c r="F94" s="800" t="s">
        <v>545</v>
      </c>
      <c r="G94" s="800" t="s">
        <v>585</v>
      </c>
      <c r="H94" s="800" t="s">
        <v>592</v>
      </c>
      <c r="I94" s="801" t="s">
        <v>88</v>
      </c>
      <c r="J94" s="801" t="s">
        <v>89</v>
      </c>
      <c r="K94" s="801" t="s">
        <v>90</v>
      </c>
      <c r="L94" s="801" t="s">
        <v>91</v>
      </c>
      <c r="M94" s="801" t="s">
        <v>92</v>
      </c>
      <c r="N94" s="801" t="s">
        <v>93</v>
      </c>
      <c r="O94" s="801" t="s">
        <v>94</v>
      </c>
      <c r="P94" s="801" t="s">
        <v>95</v>
      </c>
      <c r="Q94" s="801" t="s">
        <v>96</v>
      </c>
      <c r="R94" s="801" t="s">
        <v>97</v>
      </c>
      <c r="S94" s="801" t="s">
        <v>98</v>
      </c>
      <c r="T94" s="801" t="s">
        <v>99</v>
      </c>
      <c r="U94" s="801" t="s">
        <v>205</v>
      </c>
      <c r="V94" s="801" t="s">
        <v>118</v>
      </c>
      <c r="W94" s="801" t="s">
        <v>100</v>
      </c>
      <c r="X94" s="801" t="s">
        <v>101</v>
      </c>
      <c r="Y94" s="801" t="s">
        <v>102</v>
      </c>
      <c r="Z94" s="801" t="s">
        <v>103</v>
      </c>
      <c r="AA94" s="801" t="s">
        <v>104</v>
      </c>
      <c r="AB94" s="801" t="s">
        <v>105</v>
      </c>
      <c r="AC94" s="801" t="s">
        <v>106</v>
      </c>
      <c r="AD94" s="801" t="s">
        <v>107</v>
      </c>
      <c r="AE94" s="801" t="s">
        <v>108</v>
      </c>
      <c r="AF94" s="801" t="s">
        <v>109</v>
      </c>
      <c r="AG94" s="801" t="s">
        <v>110</v>
      </c>
      <c r="AH94" s="801" t="s">
        <v>111</v>
      </c>
      <c r="AI94" s="801" t="s">
        <v>112</v>
      </c>
      <c r="AJ94" s="801" t="s">
        <v>113</v>
      </c>
      <c r="AK94" s="801" t="s">
        <v>114</v>
      </c>
      <c r="AL94" s="801" t="s">
        <v>115</v>
      </c>
      <c r="AM94" s="801" t="s">
        <v>52</v>
      </c>
      <c r="AN94" s="801" t="s">
        <v>116</v>
      </c>
      <c r="AO94" s="801" t="s">
        <v>117</v>
      </c>
      <c r="AP94" s="801" t="s">
        <v>119</v>
      </c>
      <c r="AQ94" s="801" t="s">
        <v>120</v>
      </c>
      <c r="AR94" s="801" t="s">
        <v>121</v>
      </c>
      <c r="AS94" s="801" t="s">
        <v>122</v>
      </c>
    </row>
    <row r="95" spans="6:45" ht="11.4" customHeight="1">
      <c r="F95" s="798" t="s">
        <v>781</v>
      </c>
      <c r="G95" s="798" t="s">
        <v>709</v>
      </c>
      <c r="I95" s="803">
        <v>1</v>
      </c>
      <c r="J95" s="803">
        <v>1</v>
      </c>
      <c r="K95" s="803">
        <v>1</v>
      </c>
      <c r="L95" s="803">
        <v>1</v>
      </c>
      <c r="M95" s="803">
        <v>1</v>
      </c>
      <c r="N95" s="803">
        <v>1</v>
      </c>
      <c r="O95" s="803">
        <v>1</v>
      </c>
      <c r="P95" s="803">
        <v>1</v>
      </c>
      <c r="Q95" s="803">
        <v>1</v>
      </c>
      <c r="R95" s="803">
        <v>1</v>
      </c>
      <c r="S95" s="803">
        <v>1</v>
      </c>
      <c r="T95" s="803">
        <v>1</v>
      </c>
      <c r="U95" s="803">
        <v>1</v>
      </c>
      <c r="V95" s="803">
        <v>1</v>
      </c>
      <c r="W95" s="803">
        <v>1</v>
      </c>
      <c r="X95" s="803">
        <v>1</v>
      </c>
      <c r="Y95" s="803">
        <v>1</v>
      </c>
      <c r="Z95" s="803">
        <v>1</v>
      </c>
      <c r="AA95" s="803">
        <v>1</v>
      </c>
      <c r="AB95" s="803">
        <v>1</v>
      </c>
      <c r="AC95" s="803">
        <v>1</v>
      </c>
      <c r="AD95" s="803">
        <v>1</v>
      </c>
      <c r="AE95" s="803">
        <v>1</v>
      </c>
      <c r="AF95" s="803">
        <v>1</v>
      </c>
      <c r="AG95" s="803">
        <v>1</v>
      </c>
      <c r="AH95" s="803">
        <v>1</v>
      </c>
      <c r="AI95" s="803">
        <v>1</v>
      </c>
      <c r="AJ95" s="803">
        <v>1</v>
      </c>
      <c r="AK95" s="803">
        <v>1</v>
      </c>
      <c r="AL95" s="803">
        <v>1</v>
      </c>
      <c r="AM95" s="803">
        <v>1</v>
      </c>
      <c r="AN95" s="803">
        <v>1</v>
      </c>
      <c r="AO95" s="803">
        <v>1</v>
      </c>
      <c r="AP95" s="803">
        <v>1</v>
      </c>
      <c r="AQ95" s="803">
        <v>1</v>
      </c>
      <c r="AR95" s="803">
        <v>1</v>
      </c>
      <c r="AS95" s="803">
        <v>1</v>
      </c>
    </row>
    <row r="96" spans="6:45" ht="11.4" customHeight="1">
      <c r="G96" s="798" t="s">
        <v>710</v>
      </c>
      <c r="I96" s="803">
        <f t="shared" ref="I96:AS96" si="5">J25</f>
        <v>0.5510718789407314</v>
      </c>
      <c r="J96" s="803">
        <f t="shared" si="5"/>
        <v>3.1845705315093072E-2</v>
      </c>
      <c r="K96" s="803">
        <f t="shared" si="5"/>
        <v>0</v>
      </c>
      <c r="L96" s="803">
        <f t="shared" si="5"/>
        <v>0</v>
      </c>
      <c r="M96" s="803">
        <f t="shared" si="5"/>
        <v>0</v>
      </c>
      <c r="N96" s="803">
        <f t="shared" si="5"/>
        <v>2.6558484100186464E-2</v>
      </c>
      <c r="O96" s="803">
        <f t="shared" si="5"/>
        <v>2.175410965646225E-2</v>
      </c>
      <c r="P96" s="803">
        <f t="shared" si="5"/>
        <v>0</v>
      </c>
      <c r="Q96" s="803">
        <f t="shared" si="5"/>
        <v>0</v>
      </c>
      <c r="R96" s="803">
        <f t="shared" si="5"/>
        <v>0</v>
      </c>
      <c r="S96" s="803">
        <f t="shared" si="5"/>
        <v>0</v>
      </c>
      <c r="T96" s="803">
        <f t="shared" si="5"/>
        <v>0</v>
      </c>
      <c r="U96" s="803">
        <f t="shared" si="5"/>
        <v>0</v>
      </c>
      <c r="V96" s="803">
        <f t="shared" si="5"/>
        <v>0</v>
      </c>
      <c r="W96" s="803">
        <f t="shared" si="5"/>
        <v>0</v>
      </c>
      <c r="X96" s="803">
        <f t="shared" si="5"/>
        <v>0</v>
      </c>
      <c r="Y96" s="803">
        <f t="shared" si="5"/>
        <v>0</v>
      </c>
      <c r="Z96" s="803">
        <f t="shared" si="5"/>
        <v>0</v>
      </c>
      <c r="AA96" s="803">
        <f t="shared" si="5"/>
        <v>0</v>
      </c>
      <c r="AB96" s="803">
        <f t="shared" si="5"/>
        <v>0</v>
      </c>
      <c r="AC96" s="803">
        <f t="shared" si="5"/>
        <v>0</v>
      </c>
      <c r="AD96" s="803">
        <f t="shared" si="5"/>
        <v>0</v>
      </c>
      <c r="AE96" s="803">
        <f t="shared" si="5"/>
        <v>0</v>
      </c>
      <c r="AF96" s="803">
        <f t="shared" si="5"/>
        <v>0</v>
      </c>
      <c r="AG96" s="803">
        <f t="shared" si="5"/>
        <v>1.9756958530368074E-2</v>
      </c>
      <c r="AH96" s="803">
        <f t="shared" si="5"/>
        <v>0</v>
      </c>
      <c r="AI96" s="803">
        <f t="shared" si="5"/>
        <v>0</v>
      </c>
      <c r="AJ96" s="803">
        <f t="shared" si="5"/>
        <v>0</v>
      </c>
      <c r="AK96" s="803">
        <f t="shared" si="5"/>
        <v>0</v>
      </c>
      <c r="AL96" s="803">
        <f t="shared" si="5"/>
        <v>6.4195298372513573E-2</v>
      </c>
      <c r="AM96" s="803">
        <f t="shared" si="5"/>
        <v>9.2924682099771762E-3</v>
      </c>
      <c r="AN96" s="803">
        <f t="shared" si="5"/>
        <v>0</v>
      </c>
      <c r="AO96" s="803">
        <f t="shared" si="5"/>
        <v>0</v>
      </c>
      <c r="AP96" s="803">
        <f t="shared" si="5"/>
        <v>0</v>
      </c>
      <c r="AQ96" s="803">
        <f t="shared" si="5"/>
        <v>0</v>
      </c>
      <c r="AR96" s="803">
        <f t="shared" si="5"/>
        <v>0</v>
      </c>
      <c r="AS96" s="803">
        <f t="shared" si="5"/>
        <v>0</v>
      </c>
    </row>
    <row r="97" spans="3:45" ht="11.4" customHeight="1">
      <c r="G97" s="798" t="s">
        <v>711</v>
      </c>
      <c r="I97" s="803">
        <v>1</v>
      </c>
      <c r="J97" s="803">
        <v>1</v>
      </c>
      <c r="K97" s="803">
        <v>1</v>
      </c>
      <c r="L97" s="803">
        <v>1</v>
      </c>
      <c r="M97" s="803">
        <v>1</v>
      </c>
      <c r="N97" s="803">
        <v>1</v>
      </c>
      <c r="O97" s="803">
        <v>1</v>
      </c>
      <c r="P97" s="803">
        <v>1</v>
      </c>
      <c r="Q97" s="803">
        <v>1</v>
      </c>
      <c r="R97" s="803">
        <v>1</v>
      </c>
      <c r="S97" s="803">
        <v>1</v>
      </c>
      <c r="T97" s="803">
        <v>1</v>
      </c>
      <c r="U97" s="803">
        <v>1</v>
      </c>
      <c r="V97" s="803">
        <v>1</v>
      </c>
      <c r="W97" s="803">
        <v>1</v>
      </c>
      <c r="X97" s="803">
        <v>1</v>
      </c>
      <c r="Y97" s="803">
        <v>1</v>
      </c>
      <c r="Z97" s="803">
        <v>1</v>
      </c>
      <c r="AA97" s="803">
        <v>1</v>
      </c>
      <c r="AB97" s="803">
        <v>1</v>
      </c>
      <c r="AC97" s="803">
        <v>1</v>
      </c>
      <c r="AD97" s="803">
        <v>1</v>
      </c>
      <c r="AE97" s="803">
        <v>1</v>
      </c>
      <c r="AF97" s="803">
        <v>1</v>
      </c>
      <c r="AG97" s="803">
        <v>1</v>
      </c>
      <c r="AH97" s="803">
        <v>1</v>
      </c>
      <c r="AI97" s="803">
        <v>1</v>
      </c>
      <c r="AJ97" s="803">
        <v>1</v>
      </c>
      <c r="AK97" s="803">
        <v>1</v>
      </c>
      <c r="AL97" s="803">
        <v>1</v>
      </c>
      <c r="AM97" s="803">
        <v>1</v>
      </c>
      <c r="AN97" s="803">
        <v>1</v>
      </c>
      <c r="AO97" s="803">
        <v>1</v>
      </c>
      <c r="AP97" s="803">
        <v>1</v>
      </c>
      <c r="AQ97" s="803">
        <v>1</v>
      </c>
      <c r="AR97" s="803">
        <v>1</v>
      </c>
      <c r="AS97" s="803">
        <v>1</v>
      </c>
    </row>
    <row r="98" spans="3:45" ht="11.4" customHeight="1">
      <c r="G98" s="798" t="s">
        <v>712</v>
      </c>
      <c r="I98" s="803">
        <v>1</v>
      </c>
      <c r="J98" s="803">
        <v>1</v>
      </c>
      <c r="K98" s="803">
        <v>1</v>
      </c>
      <c r="L98" s="803">
        <v>1</v>
      </c>
      <c r="M98" s="803">
        <v>1</v>
      </c>
      <c r="N98" s="803">
        <v>1</v>
      </c>
      <c r="O98" s="803">
        <v>1</v>
      </c>
      <c r="P98" s="803">
        <v>1</v>
      </c>
      <c r="Q98" s="803">
        <v>1</v>
      </c>
      <c r="R98" s="803">
        <v>1</v>
      </c>
      <c r="S98" s="803">
        <v>1</v>
      </c>
      <c r="T98" s="803">
        <v>1</v>
      </c>
      <c r="U98" s="803">
        <v>1</v>
      </c>
      <c r="V98" s="803">
        <v>1</v>
      </c>
      <c r="W98" s="803">
        <v>1</v>
      </c>
      <c r="X98" s="803">
        <v>1</v>
      </c>
      <c r="Y98" s="803">
        <v>1</v>
      </c>
      <c r="Z98" s="803">
        <v>1</v>
      </c>
      <c r="AA98" s="803">
        <v>1</v>
      </c>
      <c r="AB98" s="803">
        <v>1</v>
      </c>
      <c r="AC98" s="803">
        <v>1</v>
      </c>
      <c r="AD98" s="803">
        <v>1</v>
      </c>
      <c r="AE98" s="803">
        <v>1</v>
      </c>
      <c r="AF98" s="803">
        <v>1</v>
      </c>
      <c r="AG98" s="803">
        <v>1</v>
      </c>
      <c r="AH98" s="803">
        <v>1</v>
      </c>
      <c r="AI98" s="803">
        <v>1</v>
      </c>
      <c r="AJ98" s="803">
        <v>1</v>
      </c>
      <c r="AK98" s="803">
        <v>1</v>
      </c>
      <c r="AL98" s="803">
        <v>1</v>
      </c>
      <c r="AM98" s="803">
        <v>1</v>
      </c>
      <c r="AN98" s="803">
        <v>1</v>
      </c>
      <c r="AO98" s="803">
        <v>1</v>
      </c>
      <c r="AP98" s="803">
        <v>1</v>
      </c>
      <c r="AQ98" s="803">
        <v>1</v>
      </c>
      <c r="AR98" s="803">
        <v>1</v>
      </c>
      <c r="AS98" s="803">
        <v>1</v>
      </c>
    </row>
    <row r="99" spans="3:45" ht="11.4" customHeight="1">
      <c r="H99" s="798" t="s">
        <v>591</v>
      </c>
      <c r="I99" s="803"/>
      <c r="J99" s="803"/>
      <c r="K99" s="803"/>
      <c r="L99" s="803"/>
      <c r="M99" s="803"/>
      <c r="N99" s="803"/>
      <c r="O99" s="803"/>
      <c r="P99" s="803"/>
      <c r="Q99" s="803"/>
      <c r="R99" s="803"/>
      <c r="S99" s="803"/>
      <c r="T99" s="803"/>
      <c r="U99" s="803"/>
      <c r="V99" s="803"/>
      <c r="W99" s="803"/>
      <c r="X99" s="803"/>
      <c r="Y99" s="803"/>
      <c r="Z99" s="803"/>
      <c r="AA99" s="803"/>
      <c r="AB99" s="803"/>
      <c r="AC99" s="803"/>
      <c r="AD99" s="803"/>
      <c r="AE99" s="803"/>
      <c r="AF99" s="803"/>
      <c r="AG99" s="803"/>
      <c r="AH99" s="803"/>
      <c r="AI99" s="803"/>
      <c r="AJ99" s="803"/>
      <c r="AK99" s="803"/>
      <c r="AL99" s="803"/>
      <c r="AM99" s="803"/>
      <c r="AN99" s="803"/>
      <c r="AO99" s="803"/>
      <c r="AP99" s="803"/>
      <c r="AQ99" s="803"/>
      <c r="AR99" s="803"/>
      <c r="AS99" s="803"/>
    </row>
    <row r="100" spans="3:45" ht="11.4" customHeight="1">
      <c r="F100" s="798" t="s">
        <v>783</v>
      </c>
      <c r="G100" s="798" t="s">
        <v>713</v>
      </c>
      <c r="I100" s="803"/>
      <c r="J100" s="803"/>
      <c r="K100" s="803"/>
      <c r="L100" s="803"/>
      <c r="M100" s="803"/>
      <c r="N100" s="803"/>
      <c r="O100" s="803"/>
      <c r="P100" s="803"/>
      <c r="Q100" s="803"/>
      <c r="R100" s="803"/>
      <c r="S100" s="803"/>
      <c r="T100" s="803"/>
      <c r="U100" s="803"/>
      <c r="V100" s="803"/>
      <c r="W100" s="803"/>
      <c r="X100" s="803"/>
      <c r="Y100" s="803"/>
      <c r="Z100" s="803"/>
      <c r="AA100" s="803"/>
      <c r="AB100" s="803"/>
      <c r="AC100" s="803"/>
      <c r="AD100" s="803"/>
      <c r="AE100" s="803"/>
      <c r="AF100" s="803"/>
      <c r="AG100" s="803"/>
      <c r="AH100" s="803"/>
      <c r="AI100" s="803"/>
      <c r="AJ100" s="803"/>
      <c r="AK100" s="803"/>
      <c r="AL100" s="803"/>
      <c r="AM100" s="803"/>
      <c r="AN100" s="803"/>
      <c r="AO100" s="803"/>
      <c r="AP100" s="803"/>
      <c r="AQ100" s="803"/>
      <c r="AR100" s="803"/>
      <c r="AS100" s="803"/>
    </row>
    <row r="101" spans="3:45" ht="11.4" customHeight="1">
      <c r="H101" s="798" t="s">
        <v>600</v>
      </c>
      <c r="I101" s="803"/>
      <c r="J101" s="803"/>
      <c r="K101" s="803"/>
      <c r="L101" s="803"/>
      <c r="M101" s="803"/>
      <c r="N101" s="803"/>
      <c r="O101" s="803"/>
      <c r="P101" s="803"/>
      <c r="Q101" s="803"/>
      <c r="R101" s="803"/>
      <c r="S101" s="803"/>
      <c r="T101" s="803"/>
      <c r="U101" s="803"/>
      <c r="V101" s="803"/>
      <c r="W101" s="803"/>
      <c r="X101" s="803"/>
      <c r="Y101" s="803"/>
      <c r="Z101" s="803"/>
      <c r="AA101" s="803"/>
      <c r="AB101" s="803"/>
      <c r="AC101" s="803"/>
      <c r="AD101" s="803"/>
      <c r="AE101" s="803"/>
      <c r="AF101" s="803"/>
      <c r="AG101" s="803"/>
      <c r="AH101" s="803"/>
      <c r="AI101" s="803"/>
      <c r="AJ101" s="803"/>
      <c r="AK101" s="803"/>
      <c r="AL101" s="803"/>
      <c r="AM101" s="803"/>
      <c r="AN101" s="803"/>
      <c r="AO101" s="803"/>
      <c r="AP101" s="803"/>
      <c r="AQ101" s="803"/>
      <c r="AR101" s="803"/>
      <c r="AS101" s="803"/>
    </row>
    <row r="102" spans="3:45" ht="11.4" customHeight="1">
      <c r="C102" s="804"/>
      <c r="D102" s="804"/>
      <c r="F102" s="798" t="s">
        <v>785</v>
      </c>
      <c r="G102" s="798" t="s">
        <v>714</v>
      </c>
      <c r="I102" s="803">
        <v>0</v>
      </c>
      <c r="J102" s="803">
        <v>0</v>
      </c>
      <c r="K102" s="803">
        <v>0</v>
      </c>
      <c r="L102" s="803">
        <v>0</v>
      </c>
      <c r="M102" s="803">
        <v>0</v>
      </c>
      <c r="N102" s="803">
        <v>0</v>
      </c>
      <c r="O102" s="803">
        <v>0</v>
      </c>
      <c r="P102" s="803">
        <v>0</v>
      </c>
      <c r="Q102" s="803">
        <v>0</v>
      </c>
      <c r="R102" s="803">
        <v>0</v>
      </c>
      <c r="S102" s="803">
        <v>0</v>
      </c>
      <c r="T102" s="803">
        <v>0</v>
      </c>
      <c r="U102" s="803">
        <v>0</v>
      </c>
      <c r="V102" s="803">
        <v>0</v>
      </c>
      <c r="W102" s="803">
        <v>0</v>
      </c>
      <c r="X102" s="803">
        <v>0</v>
      </c>
      <c r="Y102" s="803">
        <v>0</v>
      </c>
      <c r="Z102" s="803">
        <v>0</v>
      </c>
      <c r="AA102" s="803">
        <v>0</v>
      </c>
      <c r="AB102" s="803">
        <v>0</v>
      </c>
      <c r="AC102" s="803">
        <v>0</v>
      </c>
      <c r="AD102" s="803">
        <v>0</v>
      </c>
      <c r="AE102" s="803">
        <v>0</v>
      </c>
      <c r="AF102" s="803">
        <v>0</v>
      </c>
      <c r="AG102" s="803">
        <v>0</v>
      </c>
      <c r="AH102" s="803">
        <v>0</v>
      </c>
      <c r="AI102" s="803">
        <v>0</v>
      </c>
      <c r="AJ102" s="803">
        <v>0</v>
      </c>
      <c r="AK102" s="803">
        <v>0</v>
      </c>
      <c r="AL102" s="803">
        <v>0</v>
      </c>
      <c r="AM102" s="803">
        <v>0</v>
      </c>
      <c r="AN102" s="803">
        <v>0</v>
      </c>
      <c r="AO102" s="803">
        <v>0</v>
      </c>
      <c r="AP102" s="803">
        <v>0</v>
      </c>
      <c r="AQ102" s="803">
        <v>0</v>
      </c>
      <c r="AR102" s="803">
        <v>0</v>
      </c>
      <c r="AS102" s="803">
        <v>0</v>
      </c>
    </row>
    <row r="103" spans="3:45" ht="11.4" customHeight="1">
      <c r="C103" s="805"/>
      <c r="D103" s="805"/>
      <c r="G103" s="798" t="s">
        <v>715</v>
      </c>
      <c r="I103" s="803">
        <v>0</v>
      </c>
      <c r="J103" s="803">
        <v>0</v>
      </c>
      <c r="K103" s="803">
        <v>0</v>
      </c>
      <c r="L103" s="803">
        <v>0</v>
      </c>
      <c r="M103" s="803">
        <v>0</v>
      </c>
      <c r="N103" s="803">
        <v>0</v>
      </c>
      <c r="O103" s="803">
        <v>0</v>
      </c>
      <c r="P103" s="803">
        <v>0</v>
      </c>
      <c r="Q103" s="803">
        <v>0</v>
      </c>
      <c r="R103" s="803">
        <v>0</v>
      </c>
      <c r="S103" s="803">
        <v>0</v>
      </c>
      <c r="T103" s="803">
        <v>0</v>
      </c>
      <c r="U103" s="803">
        <v>0</v>
      </c>
      <c r="V103" s="803">
        <v>0</v>
      </c>
      <c r="W103" s="803">
        <v>0</v>
      </c>
      <c r="X103" s="803">
        <v>0</v>
      </c>
      <c r="Y103" s="803">
        <v>0</v>
      </c>
      <c r="Z103" s="803">
        <v>0</v>
      </c>
      <c r="AA103" s="803">
        <v>0</v>
      </c>
      <c r="AB103" s="803">
        <v>0</v>
      </c>
      <c r="AC103" s="803">
        <v>0</v>
      </c>
      <c r="AD103" s="803">
        <v>0</v>
      </c>
      <c r="AE103" s="803">
        <v>0</v>
      </c>
      <c r="AF103" s="803">
        <v>0</v>
      </c>
      <c r="AG103" s="803">
        <v>0</v>
      </c>
      <c r="AH103" s="803">
        <v>0</v>
      </c>
      <c r="AI103" s="803">
        <v>0</v>
      </c>
      <c r="AJ103" s="803">
        <v>0</v>
      </c>
      <c r="AK103" s="803">
        <v>0</v>
      </c>
      <c r="AL103" s="803">
        <v>0</v>
      </c>
      <c r="AM103" s="803">
        <v>0</v>
      </c>
      <c r="AN103" s="803">
        <v>0</v>
      </c>
      <c r="AO103" s="803">
        <v>0</v>
      </c>
      <c r="AP103" s="803">
        <v>0</v>
      </c>
      <c r="AQ103" s="803">
        <v>0</v>
      </c>
      <c r="AR103" s="803">
        <v>0</v>
      </c>
      <c r="AS103" s="803">
        <v>0</v>
      </c>
    </row>
    <row r="104" spans="3:45" ht="11.4" customHeight="1">
      <c r="G104" s="798" t="s">
        <v>716</v>
      </c>
      <c r="I104" s="803">
        <v>1</v>
      </c>
      <c r="J104" s="803">
        <v>1</v>
      </c>
      <c r="K104" s="803">
        <v>1</v>
      </c>
      <c r="L104" s="803">
        <v>1</v>
      </c>
      <c r="M104" s="803">
        <v>1</v>
      </c>
      <c r="N104" s="803">
        <v>1</v>
      </c>
      <c r="O104" s="803">
        <v>1</v>
      </c>
      <c r="P104" s="803">
        <v>1</v>
      </c>
      <c r="Q104" s="803">
        <v>1</v>
      </c>
      <c r="R104" s="803">
        <v>1</v>
      </c>
      <c r="S104" s="803">
        <v>1</v>
      </c>
      <c r="T104" s="803">
        <v>1</v>
      </c>
      <c r="U104" s="803">
        <v>1</v>
      </c>
      <c r="V104" s="803">
        <v>1</v>
      </c>
      <c r="W104" s="803">
        <v>1</v>
      </c>
      <c r="X104" s="803">
        <v>1</v>
      </c>
      <c r="Y104" s="803">
        <v>1</v>
      </c>
      <c r="Z104" s="803">
        <v>1</v>
      </c>
      <c r="AA104" s="803">
        <v>1</v>
      </c>
      <c r="AB104" s="803">
        <v>1</v>
      </c>
      <c r="AC104" s="803">
        <v>1</v>
      </c>
      <c r="AD104" s="803">
        <v>1</v>
      </c>
      <c r="AE104" s="803">
        <v>1</v>
      </c>
      <c r="AF104" s="803">
        <v>1</v>
      </c>
      <c r="AG104" s="803">
        <v>1</v>
      </c>
      <c r="AH104" s="803">
        <v>1</v>
      </c>
      <c r="AI104" s="803">
        <v>1</v>
      </c>
      <c r="AJ104" s="803">
        <v>1</v>
      </c>
      <c r="AK104" s="803">
        <v>1</v>
      </c>
      <c r="AL104" s="803">
        <v>1</v>
      </c>
      <c r="AM104" s="803">
        <v>1</v>
      </c>
      <c r="AN104" s="803">
        <v>1</v>
      </c>
      <c r="AO104" s="803">
        <v>1</v>
      </c>
      <c r="AP104" s="803">
        <v>1</v>
      </c>
      <c r="AQ104" s="803">
        <v>1</v>
      </c>
      <c r="AR104" s="803">
        <v>1</v>
      </c>
      <c r="AS104" s="803">
        <v>1</v>
      </c>
    </row>
    <row r="105" spans="3:45" ht="11.4" customHeight="1">
      <c r="G105" s="798" t="s">
        <v>717</v>
      </c>
      <c r="I105" s="803">
        <v>0</v>
      </c>
      <c r="J105" s="803">
        <v>0</v>
      </c>
      <c r="K105" s="803">
        <v>0</v>
      </c>
      <c r="L105" s="803">
        <v>0</v>
      </c>
      <c r="M105" s="803">
        <v>0</v>
      </c>
      <c r="N105" s="803">
        <v>0</v>
      </c>
      <c r="O105" s="803">
        <v>0</v>
      </c>
      <c r="P105" s="803">
        <v>0</v>
      </c>
      <c r="Q105" s="803">
        <v>0</v>
      </c>
      <c r="R105" s="803">
        <v>0</v>
      </c>
      <c r="S105" s="803">
        <v>0</v>
      </c>
      <c r="T105" s="803">
        <v>0</v>
      </c>
      <c r="U105" s="803">
        <v>0</v>
      </c>
      <c r="V105" s="803">
        <v>0</v>
      </c>
      <c r="W105" s="803">
        <v>0</v>
      </c>
      <c r="X105" s="803">
        <v>0</v>
      </c>
      <c r="Y105" s="803">
        <v>0</v>
      </c>
      <c r="Z105" s="803">
        <v>0</v>
      </c>
      <c r="AA105" s="803">
        <v>0</v>
      </c>
      <c r="AB105" s="803">
        <v>0</v>
      </c>
      <c r="AC105" s="803">
        <v>0</v>
      </c>
      <c r="AD105" s="803">
        <v>0</v>
      </c>
      <c r="AE105" s="803">
        <v>0</v>
      </c>
      <c r="AF105" s="803">
        <v>0</v>
      </c>
      <c r="AG105" s="803">
        <v>0</v>
      </c>
      <c r="AH105" s="803">
        <v>0</v>
      </c>
      <c r="AI105" s="803">
        <v>0</v>
      </c>
      <c r="AJ105" s="803">
        <v>0</v>
      </c>
      <c r="AK105" s="803">
        <v>0</v>
      </c>
      <c r="AL105" s="803">
        <v>0</v>
      </c>
      <c r="AM105" s="803">
        <v>0</v>
      </c>
      <c r="AN105" s="803">
        <v>0</v>
      </c>
      <c r="AO105" s="803">
        <v>0</v>
      </c>
      <c r="AP105" s="803">
        <v>0</v>
      </c>
      <c r="AQ105" s="803">
        <v>0</v>
      </c>
      <c r="AR105" s="803">
        <v>0</v>
      </c>
      <c r="AS105" s="803">
        <v>0</v>
      </c>
    </row>
    <row r="106" spans="3:45" ht="11.4" customHeight="1">
      <c r="G106" s="798" t="s">
        <v>718</v>
      </c>
      <c r="I106" s="803">
        <v>0</v>
      </c>
      <c r="J106" s="803">
        <v>0</v>
      </c>
      <c r="K106" s="803">
        <v>0</v>
      </c>
      <c r="L106" s="803">
        <v>0</v>
      </c>
      <c r="M106" s="803">
        <v>0</v>
      </c>
      <c r="N106" s="803">
        <v>0</v>
      </c>
      <c r="O106" s="803">
        <v>0</v>
      </c>
      <c r="P106" s="803">
        <v>0</v>
      </c>
      <c r="Q106" s="803">
        <v>0</v>
      </c>
      <c r="R106" s="803">
        <v>0</v>
      </c>
      <c r="S106" s="803">
        <v>0</v>
      </c>
      <c r="T106" s="803">
        <v>0</v>
      </c>
      <c r="U106" s="803">
        <v>0</v>
      </c>
      <c r="V106" s="803">
        <v>0</v>
      </c>
      <c r="W106" s="803">
        <v>0</v>
      </c>
      <c r="X106" s="803">
        <v>0</v>
      </c>
      <c r="Y106" s="803">
        <v>0</v>
      </c>
      <c r="Z106" s="803">
        <v>0</v>
      </c>
      <c r="AA106" s="803">
        <v>0</v>
      </c>
      <c r="AB106" s="803">
        <v>0</v>
      </c>
      <c r="AC106" s="803">
        <v>0</v>
      </c>
      <c r="AD106" s="803">
        <v>0</v>
      </c>
      <c r="AE106" s="803">
        <v>0</v>
      </c>
      <c r="AF106" s="803">
        <v>0</v>
      </c>
      <c r="AG106" s="803">
        <v>0</v>
      </c>
      <c r="AH106" s="803">
        <v>0</v>
      </c>
      <c r="AI106" s="803">
        <v>0</v>
      </c>
      <c r="AJ106" s="803">
        <v>0</v>
      </c>
      <c r="AK106" s="803">
        <v>0</v>
      </c>
      <c r="AL106" s="803">
        <v>0</v>
      </c>
      <c r="AM106" s="803">
        <v>0</v>
      </c>
      <c r="AN106" s="803">
        <v>0</v>
      </c>
      <c r="AO106" s="803">
        <v>0</v>
      </c>
      <c r="AP106" s="803">
        <v>0</v>
      </c>
      <c r="AQ106" s="803">
        <v>0</v>
      </c>
      <c r="AR106" s="803">
        <v>0</v>
      </c>
      <c r="AS106" s="803">
        <v>0</v>
      </c>
    </row>
    <row r="107" spans="3:45" ht="11.4" customHeight="1">
      <c r="G107" s="879" t="s">
        <v>970</v>
      </c>
      <c r="I107" s="803">
        <v>0</v>
      </c>
      <c r="J107" s="803">
        <v>0</v>
      </c>
      <c r="K107" s="803">
        <v>0</v>
      </c>
      <c r="L107" s="803">
        <v>0</v>
      </c>
      <c r="M107" s="803">
        <v>0</v>
      </c>
      <c r="N107" s="803">
        <v>0</v>
      </c>
      <c r="O107" s="803">
        <v>0</v>
      </c>
      <c r="P107" s="803">
        <v>0</v>
      </c>
      <c r="Q107" s="803">
        <v>0</v>
      </c>
      <c r="R107" s="803">
        <v>0</v>
      </c>
      <c r="S107" s="803">
        <v>0</v>
      </c>
      <c r="T107" s="803">
        <v>0</v>
      </c>
      <c r="U107" s="803">
        <v>0</v>
      </c>
      <c r="V107" s="803">
        <v>0</v>
      </c>
      <c r="W107" s="803">
        <v>0</v>
      </c>
      <c r="X107" s="803">
        <v>0</v>
      </c>
      <c r="Y107" s="803">
        <v>0</v>
      </c>
      <c r="Z107" s="803">
        <v>0</v>
      </c>
      <c r="AA107" s="803">
        <v>0</v>
      </c>
      <c r="AB107" s="803">
        <v>0</v>
      </c>
      <c r="AC107" s="803">
        <v>0</v>
      </c>
      <c r="AD107" s="803">
        <v>0</v>
      </c>
      <c r="AE107" s="803">
        <v>0</v>
      </c>
      <c r="AF107" s="803">
        <v>0</v>
      </c>
      <c r="AG107" s="803">
        <v>0</v>
      </c>
      <c r="AH107" s="803">
        <v>0</v>
      </c>
      <c r="AI107" s="803">
        <v>0</v>
      </c>
      <c r="AJ107" s="803">
        <v>0</v>
      </c>
      <c r="AK107" s="803">
        <v>0</v>
      </c>
      <c r="AL107" s="803">
        <v>0</v>
      </c>
      <c r="AM107" s="803">
        <v>0</v>
      </c>
      <c r="AN107" s="803">
        <v>0</v>
      </c>
      <c r="AO107" s="803">
        <v>0</v>
      </c>
      <c r="AP107" s="803">
        <v>0</v>
      </c>
      <c r="AQ107" s="803">
        <v>0</v>
      </c>
      <c r="AR107" s="803">
        <v>0</v>
      </c>
      <c r="AS107" s="803">
        <v>0</v>
      </c>
    </row>
    <row r="108" spans="3:45" ht="11.4" customHeight="1">
      <c r="G108" s="879" t="s">
        <v>971</v>
      </c>
      <c r="I108" s="803">
        <v>0</v>
      </c>
      <c r="J108" s="803">
        <v>0</v>
      </c>
      <c r="K108" s="803">
        <v>0</v>
      </c>
      <c r="L108" s="803">
        <v>0</v>
      </c>
      <c r="M108" s="803">
        <v>0</v>
      </c>
      <c r="N108" s="803">
        <v>0</v>
      </c>
      <c r="O108" s="803">
        <v>0</v>
      </c>
      <c r="P108" s="803">
        <v>0</v>
      </c>
      <c r="Q108" s="803">
        <v>0</v>
      </c>
      <c r="R108" s="803">
        <v>0</v>
      </c>
      <c r="S108" s="803">
        <v>0</v>
      </c>
      <c r="T108" s="803">
        <v>0</v>
      </c>
      <c r="U108" s="803">
        <v>0</v>
      </c>
      <c r="V108" s="803">
        <v>0</v>
      </c>
      <c r="W108" s="803">
        <v>0</v>
      </c>
      <c r="X108" s="803">
        <v>0</v>
      </c>
      <c r="Y108" s="803">
        <v>0</v>
      </c>
      <c r="Z108" s="803">
        <v>0</v>
      </c>
      <c r="AA108" s="803">
        <v>0</v>
      </c>
      <c r="AB108" s="803">
        <v>0</v>
      </c>
      <c r="AC108" s="803">
        <v>0</v>
      </c>
      <c r="AD108" s="803">
        <v>0</v>
      </c>
      <c r="AE108" s="803">
        <v>0</v>
      </c>
      <c r="AF108" s="803">
        <v>0</v>
      </c>
      <c r="AG108" s="803">
        <v>0</v>
      </c>
      <c r="AH108" s="803">
        <v>0</v>
      </c>
      <c r="AI108" s="803">
        <v>0</v>
      </c>
      <c r="AJ108" s="803">
        <v>0</v>
      </c>
      <c r="AK108" s="803">
        <v>0</v>
      </c>
      <c r="AL108" s="803">
        <v>0</v>
      </c>
      <c r="AM108" s="803">
        <v>0</v>
      </c>
      <c r="AN108" s="803">
        <v>0</v>
      </c>
      <c r="AO108" s="803">
        <v>0</v>
      </c>
      <c r="AP108" s="803">
        <v>0</v>
      </c>
      <c r="AQ108" s="803">
        <v>0</v>
      </c>
      <c r="AR108" s="803">
        <v>0</v>
      </c>
      <c r="AS108" s="803">
        <v>0</v>
      </c>
    </row>
    <row r="109" spans="3:45" ht="11.4" customHeight="1">
      <c r="G109" s="879" t="s">
        <v>972</v>
      </c>
      <c r="I109" s="803">
        <v>0.1</v>
      </c>
      <c r="J109" s="803">
        <v>0.1</v>
      </c>
      <c r="K109" s="803">
        <v>0.1</v>
      </c>
      <c r="L109" s="803">
        <v>0.1</v>
      </c>
      <c r="M109" s="803">
        <v>0.1</v>
      </c>
      <c r="N109" s="803">
        <v>0.1</v>
      </c>
      <c r="O109" s="803">
        <v>0.1</v>
      </c>
      <c r="P109" s="803">
        <v>0.1</v>
      </c>
      <c r="Q109" s="803">
        <v>0.1</v>
      </c>
      <c r="R109" s="803">
        <v>0.1</v>
      </c>
      <c r="S109" s="803">
        <v>0.1</v>
      </c>
      <c r="T109" s="803">
        <v>0.1</v>
      </c>
      <c r="U109" s="803">
        <v>0.1</v>
      </c>
      <c r="V109" s="803">
        <v>0.1</v>
      </c>
      <c r="W109" s="803">
        <v>0.1</v>
      </c>
      <c r="X109" s="803">
        <v>0.1</v>
      </c>
      <c r="Y109" s="803">
        <v>0.1</v>
      </c>
      <c r="Z109" s="803">
        <v>0.1</v>
      </c>
      <c r="AA109" s="803">
        <v>0.1</v>
      </c>
      <c r="AB109" s="803">
        <v>0.1</v>
      </c>
      <c r="AC109" s="803">
        <v>0.1</v>
      </c>
      <c r="AD109" s="803">
        <v>0.1</v>
      </c>
      <c r="AE109" s="803">
        <v>0.1</v>
      </c>
      <c r="AF109" s="803">
        <v>0.1</v>
      </c>
      <c r="AG109" s="803">
        <v>0.1</v>
      </c>
      <c r="AH109" s="803">
        <v>0.1</v>
      </c>
      <c r="AI109" s="803">
        <v>0.1</v>
      </c>
      <c r="AJ109" s="803">
        <v>0.1</v>
      </c>
      <c r="AK109" s="803">
        <v>0.1</v>
      </c>
      <c r="AL109" s="803">
        <v>0.1</v>
      </c>
      <c r="AM109" s="803">
        <v>0.1</v>
      </c>
      <c r="AN109" s="803">
        <v>0.1</v>
      </c>
      <c r="AO109" s="803">
        <v>0.1</v>
      </c>
      <c r="AP109" s="803">
        <v>0.1</v>
      </c>
      <c r="AQ109" s="803">
        <v>0.1</v>
      </c>
      <c r="AR109" s="803">
        <v>0.1</v>
      </c>
      <c r="AS109" s="803">
        <v>0.1</v>
      </c>
    </row>
    <row r="110" spans="3:45" ht="11.4" customHeight="1">
      <c r="G110" s="879" t="s">
        <v>973</v>
      </c>
      <c r="I110" s="803">
        <v>0.1</v>
      </c>
      <c r="J110" s="803">
        <v>0.1</v>
      </c>
      <c r="K110" s="803">
        <v>0.1</v>
      </c>
      <c r="L110" s="803">
        <v>0.1</v>
      </c>
      <c r="M110" s="803">
        <v>0.1</v>
      </c>
      <c r="N110" s="803">
        <v>0.1</v>
      </c>
      <c r="O110" s="803">
        <v>0.1</v>
      </c>
      <c r="P110" s="803">
        <v>0.1</v>
      </c>
      <c r="Q110" s="803">
        <v>0.1</v>
      </c>
      <c r="R110" s="803">
        <v>0.1</v>
      </c>
      <c r="S110" s="803">
        <v>0.1</v>
      </c>
      <c r="T110" s="803">
        <v>0.1</v>
      </c>
      <c r="U110" s="803">
        <v>0.1</v>
      </c>
      <c r="V110" s="803">
        <v>0.1</v>
      </c>
      <c r="W110" s="803">
        <v>0.1</v>
      </c>
      <c r="X110" s="803">
        <v>0.1</v>
      </c>
      <c r="Y110" s="803">
        <v>0.1</v>
      </c>
      <c r="Z110" s="803">
        <v>0.1</v>
      </c>
      <c r="AA110" s="803">
        <v>0.1</v>
      </c>
      <c r="AB110" s="803">
        <v>0.1</v>
      </c>
      <c r="AC110" s="803">
        <v>0.1</v>
      </c>
      <c r="AD110" s="803">
        <v>0.1</v>
      </c>
      <c r="AE110" s="803">
        <v>0.1</v>
      </c>
      <c r="AF110" s="803">
        <v>0.1</v>
      </c>
      <c r="AG110" s="803">
        <v>0.1</v>
      </c>
      <c r="AH110" s="803">
        <v>0.1</v>
      </c>
      <c r="AI110" s="803">
        <v>0.1</v>
      </c>
      <c r="AJ110" s="803">
        <v>0.1</v>
      </c>
      <c r="AK110" s="803">
        <v>0.1</v>
      </c>
      <c r="AL110" s="803">
        <v>0.1</v>
      </c>
      <c r="AM110" s="803">
        <v>0.1</v>
      </c>
      <c r="AN110" s="803">
        <v>0.1</v>
      </c>
      <c r="AO110" s="803">
        <v>0.1</v>
      </c>
      <c r="AP110" s="803">
        <v>0.1</v>
      </c>
      <c r="AQ110" s="803">
        <v>0.1</v>
      </c>
      <c r="AR110" s="803">
        <v>0.1</v>
      </c>
      <c r="AS110" s="803">
        <v>0.1</v>
      </c>
    </row>
    <row r="111" spans="3:45" ht="11.4" customHeight="1">
      <c r="H111" s="798" t="s">
        <v>589</v>
      </c>
      <c r="I111" s="803"/>
      <c r="J111" s="803"/>
      <c r="K111" s="803"/>
      <c r="L111" s="803"/>
      <c r="M111" s="803"/>
      <c r="N111" s="803"/>
      <c r="O111" s="803"/>
      <c r="P111" s="803"/>
      <c r="Q111" s="803"/>
      <c r="R111" s="803"/>
      <c r="S111" s="803"/>
      <c r="T111" s="803"/>
      <c r="U111" s="803"/>
      <c r="V111" s="803"/>
      <c r="W111" s="803"/>
      <c r="X111" s="803"/>
      <c r="Y111" s="803"/>
      <c r="Z111" s="803"/>
      <c r="AA111" s="803"/>
      <c r="AB111" s="803"/>
      <c r="AC111" s="803"/>
      <c r="AD111" s="803"/>
      <c r="AE111" s="803"/>
      <c r="AF111" s="803"/>
      <c r="AG111" s="803"/>
      <c r="AH111" s="803"/>
      <c r="AI111" s="803"/>
      <c r="AJ111" s="803"/>
      <c r="AK111" s="803"/>
      <c r="AL111" s="803"/>
      <c r="AM111" s="803"/>
      <c r="AN111" s="803"/>
      <c r="AO111" s="803"/>
      <c r="AP111" s="803"/>
      <c r="AQ111" s="803"/>
      <c r="AR111" s="803"/>
      <c r="AS111" s="803"/>
    </row>
    <row r="112" spans="3:45" ht="11.4" customHeight="1">
      <c r="F112" s="798" t="s">
        <v>787</v>
      </c>
      <c r="G112" s="798" t="s">
        <v>719</v>
      </c>
      <c r="I112" s="803">
        <v>1</v>
      </c>
      <c r="J112" s="803">
        <v>1</v>
      </c>
      <c r="K112" s="803">
        <v>1</v>
      </c>
      <c r="L112" s="803">
        <v>1</v>
      </c>
      <c r="M112" s="803">
        <v>1</v>
      </c>
      <c r="N112" s="803">
        <v>1</v>
      </c>
      <c r="O112" s="803">
        <v>1</v>
      </c>
      <c r="P112" s="803">
        <v>1</v>
      </c>
      <c r="Q112" s="803">
        <v>1</v>
      </c>
      <c r="R112" s="803">
        <v>1</v>
      </c>
      <c r="S112" s="803">
        <v>1</v>
      </c>
      <c r="T112" s="803">
        <v>1</v>
      </c>
      <c r="U112" s="803">
        <v>1</v>
      </c>
      <c r="V112" s="803">
        <v>1</v>
      </c>
      <c r="W112" s="803">
        <v>1</v>
      </c>
      <c r="X112" s="803">
        <v>1</v>
      </c>
      <c r="Y112" s="803">
        <v>1</v>
      </c>
      <c r="Z112" s="803">
        <v>1</v>
      </c>
      <c r="AA112" s="803">
        <v>1</v>
      </c>
      <c r="AB112" s="803">
        <v>1</v>
      </c>
      <c r="AC112" s="803">
        <v>1</v>
      </c>
      <c r="AD112" s="803">
        <v>1</v>
      </c>
      <c r="AE112" s="803">
        <v>1</v>
      </c>
      <c r="AF112" s="803">
        <v>1</v>
      </c>
      <c r="AG112" s="803">
        <v>1</v>
      </c>
      <c r="AH112" s="803">
        <v>1</v>
      </c>
      <c r="AI112" s="803">
        <v>1</v>
      </c>
      <c r="AJ112" s="803">
        <v>1</v>
      </c>
      <c r="AK112" s="803">
        <v>1</v>
      </c>
      <c r="AL112" s="803">
        <v>1</v>
      </c>
      <c r="AM112" s="803">
        <v>1</v>
      </c>
      <c r="AN112" s="803">
        <v>1</v>
      </c>
      <c r="AO112" s="803">
        <v>1</v>
      </c>
      <c r="AP112" s="803">
        <v>1</v>
      </c>
      <c r="AQ112" s="803">
        <v>1</v>
      </c>
      <c r="AR112" s="803">
        <v>1</v>
      </c>
      <c r="AS112" s="803">
        <v>1</v>
      </c>
    </row>
    <row r="113" spans="6:51" ht="11.4" customHeight="1">
      <c r="G113" s="798" t="s">
        <v>720</v>
      </c>
      <c r="I113" s="803">
        <v>0</v>
      </c>
      <c r="J113" s="803">
        <v>0</v>
      </c>
      <c r="K113" s="803">
        <v>0</v>
      </c>
      <c r="L113" s="803">
        <v>0</v>
      </c>
      <c r="M113" s="803">
        <v>0</v>
      </c>
      <c r="N113" s="803">
        <v>0</v>
      </c>
      <c r="O113" s="803">
        <v>0</v>
      </c>
      <c r="P113" s="803">
        <v>0</v>
      </c>
      <c r="Q113" s="803">
        <v>0</v>
      </c>
      <c r="R113" s="803">
        <v>0</v>
      </c>
      <c r="S113" s="803">
        <v>0</v>
      </c>
      <c r="T113" s="803">
        <v>0</v>
      </c>
      <c r="U113" s="803">
        <v>0</v>
      </c>
      <c r="V113" s="803">
        <v>0</v>
      </c>
      <c r="W113" s="803">
        <v>0</v>
      </c>
      <c r="X113" s="803">
        <v>0</v>
      </c>
      <c r="Y113" s="803">
        <v>0</v>
      </c>
      <c r="Z113" s="803">
        <v>0</v>
      </c>
      <c r="AA113" s="803">
        <v>0</v>
      </c>
      <c r="AB113" s="803">
        <v>0</v>
      </c>
      <c r="AC113" s="803">
        <v>0</v>
      </c>
      <c r="AD113" s="803">
        <v>0</v>
      </c>
      <c r="AE113" s="803">
        <v>0</v>
      </c>
      <c r="AF113" s="803">
        <v>0</v>
      </c>
      <c r="AG113" s="803">
        <v>0</v>
      </c>
      <c r="AH113" s="803">
        <v>0</v>
      </c>
      <c r="AI113" s="803">
        <v>0</v>
      </c>
      <c r="AJ113" s="803">
        <v>0</v>
      </c>
      <c r="AK113" s="803">
        <v>0</v>
      </c>
      <c r="AL113" s="803">
        <v>0</v>
      </c>
      <c r="AM113" s="803">
        <v>0</v>
      </c>
      <c r="AN113" s="803">
        <v>0</v>
      </c>
      <c r="AO113" s="803">
        <v>0</v>
      </c>
      <c r="AP113" s="803">
        <v>0</v>
      </c>
      <c r="AQ113" s="803">
        <v>0</v>
      </c>
      <c r="AR113" s="803">
        <v>0</v>
      </c>
      <c r="AS113" s="803">
        <v>0</v>
      </c>
    </row>
    <row r="114" spans="6:51" ht="11.4" customHeight="1">
      <c r="G114" s="879" t="s">
        <v>881</v>
      </c>
      <c r="I114" s="803">
        <v>0</v>
      </c>
      <c r="J114" s="803">
        <v>0</v>
      </c>
      <c r="K114" s="803">
        <v>0</v>
      </c>
      <c r="L114" s="803">
        <v>0</v>
      </c>
      <c r="M114" s="803">
        <v>0</v>
      </c>
      <c r="N114" s="803">
        <v>0</v>
      </c>
      <c r="O114" s="803">
        <v>0</v>
      </c>
      <c r="P114" s="803">
        <v>0</v>
      </c>
      <c r="Q114" s="803">
        <v>0</v>
      </c>
      <c r="R114" s="803">
        <v>0</v>
      </c>
      <c r="S114" s="803">
        <v>0</v>
      </c>
      <c r="T114" s="803">
        <v>0</v>
      </c>
      <c r="U114" s="803">
        <v>0</v>
      </c>
      <c r="V114" s="803">
        <v>0</v>
      </c>
      <c r="W114" s="803">
        <v>0</v>
      </c>
      <c r="X114" s="803">
        <v>0</v>
      </c>
      <c r="Y114" s="803">
        <v>0</v>
      </c>
      <c r="Z114" s="803">
        <v>0</v>
      </c>
      <c r="AA114" s="803">
        <v>0</v>
      </c>
      <c r="AB114" s="803">
        <v>0</v>
      </c>
      <c r="AC114" s="803">
        <v>0</v>
      </c>
      <c r="AD114" s="803">
        <v>0</v>
      </c>
      <c r="AE114" s="803">
        <v>0</v>
      </c>
      <c r="AF114" s="803">
        <v>0</v>
      </c>
      <c r="AG114" s="803">
        <v>0</v>
      </c>
      <c r="AH114" s="803">
        <v>0</v>
      </c>
      <c r="AI114" s="803">
        <v>0</v>
      </c>
      <c r="AJ114" s="803">
        <v>0</v>
      </c>
      <c r="AK114" s="803">
        <v>0</v>
      </c>
      <c r="AL114" s="803">
        <v>0</v>
      </c>
      <c r="AM114" s="803">
        <v>0</v>
      </c>
      <c r="AN114" s="803">
        <v>0</v>
      </c>
      <c r="AO114" s="803">
        <v>0</v>
      </c>
      <c r="AP114" s="803">
        <v>0</v>
      </c>
      <c r="AQ114" s="803">
        <v>0</v>
      </c>
      <c r="AR114" s="803">
        <v>0</v>
      </c>
      <c r="AS114" s="803">
        <v>0</v>
      </c>
    </row>
    <row r="115" spans="6:51" ht="11.4" customHeight="1">
      <c r="G115" s="879" t="s">
        <v>722</v>
      </c>
      <c r="I115" s="803">
        <v>0.2</v>
      </c>
      <c r="J115" s="803">
        <v>0.2</v>
      </c>
      <c r="K115" s="803">
        <v>0.2</v>
      </c>
      <c r="L115" s="803">
        <v>0.2</v>
      </c>
      <c r="M115" s="803">
        <v>0.2</v>
      </c>
      <c r="N115" s="803">
        <v>0.2</v>
      </c>
      <c r="O115" s="803">
        <v>0.2</v>
      </c>
      <c r="P115" s="803">
        <v>0.2</v>
      </c>
      <c r="Q115" s="803">
        <v>0.2</v>
      </c>
      <c r="R115" s="803">
        <v>0.2</v>
      </c>
      <c r="S115" s="803">
        <v>0.2</v>
      </c>
      <c r="T115" s="803">
        <v>0.2</v>
      </c>
      <c r="U115" s="803">
        <v>0.2</v>
      </c>
      <c r="V115" s="803">
        <v>0.2</v>
      </c>
      <c r="W115" s="803">
        <v>0.2</v>
      </c>
      <c r="X115" s="803">
        <v>0.2</v>
      </c>
      <c r="Y115" s="803">
        <v>0.2</v>
      </c>
      <c r="Z115" s="803">
        <v>0.2</v>
      </c>
      <c r="AA115" s="803">
        <v>0.2</v>
      </c>
      <c r="AB115" s="803">
        <v>0.2</v>
      </c>
      <c r="AC115" s="803">
        <v>0.2</v>
      </c>
      <c r="AD115" s="803">
        <v>0.2</v>
      </c>
      <c r="AE115" s="803">
        <v>0.2</v>
      </c>
      <c r="AF115" s="803">
        <v>0.2</v>
      </c>
      <c r="AG115" s="803">
        <v>0.2</v>
      </c>
      <c r="AH115" s="803">
        <v>0.2</v>
      </c>
      <c r="AI115" s="803">
        <v>0.2</v>
      </c>
      <c r="AJ115" s="803">
        <v>0.2</v>
      </c>
      <c r="AK115" s="803">
        <v>0.2</v>
      </c>
      <c r="AL115" s="803">
        <v>0.2</v>
      </c>
      <c r="AM115" s="803">
        <v>0.2</v>
      </c>
      <c r="AN115" s="803">
        <v>0.2</v>
      </c>
      <c r="AO115" s="803">
        <v>0.2</v>
      </c>
      <c r="AP115" s="803">
        <v>0.2</v>
      </c>
      <c r="AQ115" s="803">
        <v>0.2</v>
      </c>
      <c r="AR115" s="803">
        <v>0.2</v>
      </c>
      <c r="AS115" s="803">
        <v>0.2</v>
      </c>
    </row>
    <row r="116" spans="6:51" ht="11.4" customHeight="1">
      <c r="H116" s="798" t="s">
        <v>587</v>
      </c>
      <c r="I116" s="803"/>
      <c r="J116" s="803"/>
      <c r="K116" s="803"/>
      <c r="L116" s="803"/>
      <c r="M116" s="803"/>
      <c r="N116" s="803"/>
      <c r="O116" s="803"/>
      <c r="P116" s="803"/>
      <c r="Q116" s="803"/>
      <c r="R116" s="803"/>
      <c r="S116" s="803"/>
      <c r="T116" s="803"/>
      <c r="U116" s="803"/>
      <c r="V116" s="803"/>
      <c r="W116" s="803"/>
      <c r="X116" s="803"/>
      <c r="Y116" s="803"/>
      <c r="Z116" s="803"/>
      <c r="AA116" s="803"/>
      <c r="AB116" s="803"/>
      <c r="AC116" s="803"/>
      <c r="AD116" s="803"/>
      <c r="AE116" s="803"/>
      <c r="AF116" s="803"/>
      <c r="AG116" s="803"/>
      <c r="AH116" s="803"/>
      <c r="AI116" s="803"/>
      <c r="AJ116" s="803"/>
      <c r="AK116" s="803"/>
      <c r="AL116" s="803"/>
      <c r="AM116" s="803"/>
      <c r="AN116" s="803"/>
      <c r="AO116" s="803"/>
      <c r="AP116" s="803"/>
      <c r="AQ116" s="803"/>
      <c r="AR116" s="803"/>
      <c r="AS116" s="803"/>
    </row>
    <row r="117" spans="6:51" ht="11.4" customHeight="1">
      <c r="F117" s="798" t="s">
        <v>789</v>
      </c>
      <c r="G117" s="798" t="s">
        <v>721</v>
      </c>
      <c r="I117" s="803">
        <v>1</v>
      </c>
      <c r="J117" s="803">
        <v>1</v>
      </c>
      <c r="K117" s="803">
        <v>1</v>
      </c>
      <c r="L117" s="803">
        <v>1</v>
      </c>
      <c r="M117" s="803">
        <v>1</v>
      </c>
      <c r="N117" s="803">
        <v>1</v>
      </c>
      <c r="O117" s="803">
        <v>1</v>
      </c>
      <c r="P117" s="803">
        <v>1</v>
      </c>
      <c r="Q117" s="803">
        <v>1</v>
      </c>
      <c r="R117" s="803">
        <v>1</v>
      </c>
      <c r="S117" s="803">
        <v>1</v>
      </c>
      <c r="T117" s="803">
        <v>1</v>
      </c>
      <c r="U117" s="803">
        <v>1</v>
      </c>
      <c r="V117" s="803">
        <v>1</v>
      </c>
      <c r="W117" s="803">
        <v>1</v>
      </c>
      <c r="X117" s="803">
        <v>1</v>
      </c>
      <c r="Y117" s="803">
        <v>1</v>
      </c>
      <c r="Z117" s="803">
        <v>1</v>
      </c>
      <c r="AA117" s="803">
        <v>1</v>
      </c>
      <c r="AB117" s="803">
        <v>1</v>
      </c>
      <c r="AC117" s="803">
        <v>1</v>
      </c>
      <c r="AD117" s="803">
        <v>1</v>
      </c>
      <c r="AE117" s="803">
        <v>1</v>
      </c>
      <c r="AF117" s="803">
        <v>1</v>
      </c>
      <c r="AG117" s="803">
        <v>1</v>
      </c>
      <c r="AH117" s="803">
        <v>1</v>
      </c>
      <c r="AI117" s="803">
        <v>1</v>
      </c>
      <c r="AJ117" s="803">
        <v>1</v>
      </c>
      <c r="AK117" s="803">
        <v>1</v>
      </c>
      <c r="AL117" s="803">
        <v>1</v>
      </c>
      <c r="AM117" s="803">
        <v>1</v>
      </c>
      <c r="AN117" s="803">
        <v>1</v>
      </c>
      <c r="AO117" s="803">
        <v>1</v>
      </c>
      <c r="AP117" s="803">
        <v>1</v>
      </c>
      <c r="AQ117" s="803">
        <v>1</v>
      </c>
      <c r="AR117" s="803">
        <v>1</v>
      </c>
      <c r="AS117" s="803">
        <v>1</v>
      </c>
    </row>
    <row r="118" spans="6:51" ht="11.4" customHeight="1">
      <c r="H118" s="798" t="s">
        <v>590</v>
      </c>
      <c r="I118" s="881"/>
      <c r="J118" s="803"/>
      <c r="K118" s="803"/>
      <c r="L118" s="803"/>
      <c r="M118" s="803"/>
      <c r="N118" s="803"/>
      <c r="O118" s="803"/>
      <c r="P118" s="803"/>
      <c r="Q118" s="803"/>
      <c r="R118" s="803"/>
      <c r="S118" s="803"/>
      <c r="T118" s="803"/>
      <c r="U118" s="803"/>
      <c r="V118" s="803"/>
      <c r="W118" s="803"/>
      <c r="X118" s="803"/>
      <c r="Y118" s="803"/>
      <c r="Z118" s="803"/>
      <c r="AA118" s="803"/>
      <c r="AB118" s="803"/>
      <c r="AC118" s="803"/>
      <c r="AD118" s="803"/>
      <c r="AE118" s="803"/>
      <c r="AF118" s="803"/>
      <c r="AG118" s="803"/>
      <c r="AH118" s="803"/>
      <c r="AI118" s="803"/>
      <c r="AJ118" s="803"/>
      <c r="AK118" s="803"/>
      <c r="AL118" s="803"/>
      <c r="AM118" s="803"/>
      <c r="AN118" s="803"/>
      <c r="AO118" s="803"/>
      <c r="AP118" s="803"/>
      <c r="AQ118" s="803"/>
      <c r="AR118" s="803"/>
      <c r="AS118" s="803"/>
      <c r="AT118" s="803"/>
      <c r="AU118" s="803"/>
      <c r="AV118" s="803"/>
      <c r="AW118" s="803"/>
      <c r="AX118" s="803"/>
      <c r="AY118" s="803"/>
    </row>
    <row r="119" spans="6:51" ht="11.4" customHeight="1">
      <c r="F119" s="798" t="s">
        <v>791</v>
      </c>
      <c r="G119" s="798" t="s">
        <v>725</v>
      </c>
      <c r="I119" s="881"/>
      <c r="J119" s="803"/>
      <c r="K119" s="803"/>
      <c r="L119" s="803"/>
      <c r="M119" s="803"/>
      <c r="N119" s="803"/>
      <c r="O119" s="803"/>
      <c r="P119" s="803"/>
      <c r="Q119" s="803"/>
      <c r="R119" s="803"/>
      <c r="S119" s="803"/>
      <c r="T119" s="803"/>
      <c r="U119" s="803"/>
      <c r="V119" s="803"/>
      <c r="W119" s="803"/>
      <c r="X119" s="803"/>
      <c r="Y119" s="803"/>
      <c r="Z119" s="803"/>
      <c r="AA119" s="803"/>
      <c r="AB119" s="803"/>
      <c r="AC119" s="803"/>
      <c r="AD119" s="803"/>
      <c r="AE119" s="803"/>
      <c r="AF119" s="803"/>
      <c r="AG119" s="803"/>
      <c r="AH119" s="803"/>
      <c r="AI119" s="803"/>
      <c r="AJ119" s="803"/>
      <c r="AK119" s="803"/>
      <c r="AL119" s="803"/>
      <c r="AM119" s="803"/>
      <c r="AN119" s="803"/>
      <c r="AO119" s="803"/>
      <c r="AP119" s="803"/>
      <c r="AQ119" s="803"/>
      <c r="AR119" s="803"/>
      <c r="AS119" s="803"/>
      <c r="AT119" s="803"/>
      <c r="AU119" s="803"/>
      <c r="AV119" s="803"/>
      <c r="AW119" s="803"/>
      <c r="AX119" s="803"/>
      <c r="AY119" s="803"/>
    </row>
    <row r="120" spans="6:51" ht="11.4" customHeight="1">
      <c r="H120" s="798" t="s">
        <v>778</v>
      </c>
      <c r="I120" s="881"/>
      <c r="J120" s="803"/>
      <c r="K120" s="803"/>
      <c r="L120" s="803"/>
      <c r="M120" s="803"/>
      <c r="N120" s="803"/>
      <c r="O120" s="803"/>
      <c r="P120" s="803"/>
      <c r="Q120" s="803"/>
      <c r="R120" s="803"/>
      <c r="S120" s="803"/>
      <c r="T120" s="803"/>
      <c r="U120" s="803"/>
      <c r="V120" s="803"/>
      <c r="W120" s="803"/>
      <c r="X120" s="803"/>
      <c r="Y120" s="803"/>
      <c r="Z120" s="803"/>
      <c r="AA120" s="803"/>
      <c r="AB120" s="803"/>
      <c r="AC120" s="803"/>
      <c r="AD120" s="803"/>
      <c r="AE120" s="803"/>
      <c r="AF120" s="803"/>
      <c r="AG120" s="803"/>
      <c r="AH120" s="803"/>
      <c r="AI120" s="803"/>
      <c r="AJ120" s="803"/>
      <c r="AK120" s="803"/>
      <c r="AL120" s="803"/>
      <c r="AM120" s="803"/>
      <c r="AN120" s="803"/>
      <c r="AO120" s="803"/>
      <c r="AP120" s="803"/>
      <c r="AQ120" s="803"/>
      <c r="AR120" s="803"/>
      <c r="AS120" s="803"/>
      <c r="AT120" s="803"/>
      <c r="AU120" s="803"/>
      <c r="AV120" s="803"/>
      <c r="AW120" s="803"/>
      <c r="AX120" s="803"/>
      <c r="AY120" s="803"/>
    </row>
    <row r="121" spans="6:51" ht="11.4" customHeight="1">
      <c r="F121" s="798" t="s">
        <v>792</v>
      </c>
      <c r="G121" s="798" t="s">
        <v>726</v>
      </c>
      <c r="I121" s="881"/>
      <c r="J121" s="803"/>
      <c r="K121" s="803"/>
      <c r="L121" s="803"/>
      <c r="M121" s="803"/>
      <c r="N121" s="803"/>
      <c r="O121" s="803"/>
      <c r="P121" s="803"/>
      <c r="Q121" s="803"/>
      <c r="R121" s="803"/>
      <c r="S121" s="803"/>
      <c r="T121" s="803"/>
      <c r="U121" s="803"/>
      <c r="V121" s="803"/>
      <c r="W121" s="803"/>
      <c r="X121" s="803"/>
      <c r="Y121" s="803"/>
      <c r="Z121" s="803"/>
      <c r="AA121" s="803"/>
      <c r="AB121" s="803"/>
      <c r="AC121" s="803"/>
      <c r="AD121" s="803"/>
      <c r="AE121" s="803"/>
      <c r="AF121" s="803"/>
      <c r="AG121" s="803"/>
      <c r="AH121" s="803"/>
      <c r="AI121" s="803"/>
      <c r="AJ121" s="803"/>
      <c r="AK121" s="803"/>
      <c r="AL121" s="803"/>
      <c r="AM121" s="803"/>
      <c r="AN121" s="803"/>
      <c r="AO121" s="803"/>
      <c r="AP121" s="803"/>
      <c r="AQ121" s="803"/>
      <c r="AR121" s="803"/>
      <c r="AS121" s="803"/>
      <c r="AT121" s="803"/>
      <c r="AU121" s="803"/>
      <c r="AV121" s="803"/>
      <c r="AW121" s="803"/>
      <c r="AX121" s="803"/>
      <c r="AY121" s="803"/>
    </row>
    <row r="122" spans="6:51" ht="11.4" customHeight="1">
      <c r="H122" s="798" t="s">
        <v>599</v>
      </c>
      <c r="I122" s="803"/>
      <c r="J122" s="803"/>
      <c r="K122" s="803"/>
      <c r="L122" s="803"/>
      <c r="M122" s="803"/>
      <c r="N122" s="803"/>
      <c r="O122" s="803"/>
      <c r="P122" s="803"/>
      <c r="Q122" s="803"/>
      <c r="R122" s="803"/>
      <c r="S122" s="803"/>
      <c r="T122" s="803"/>
      <c r="U122" s="803"/>
      <c r="V122" s="803"/>
      <c r="W122" s="803"/>
      <c r="X122" s="803"/>
      <c r="Y122" s="803"/>
      <c r="Z122" s="803"/>
      <c r="AA122" s="803"/>
      <c r="AB122" s="803"/>
      <c r="AC122" s="803"/>
      <c r="AD122" s="803"/>
      <c r="AE122" s="803"/>
      <c r="AF122" s="803"/>
      <c r="AG122" s="803"/>
      <c r="AH122" s="803"/>
      <c r="AI122" s="803"/>
      <c r="AJ122" s="803"/>
      <c r="AK122" s="803"/>
      <c r="AL122" s="803"/>
      <c r="AM122" s="803"/>
      <c r="AN122" s="803"/>
      <c r="AO122" s="803"/>
      <c r="AP122" s="803"/>
      <c r="AQ122" s="803"/>
      <c r="AR122" s="803"/>
      <c r="AS122" s="803"/>
      <c r="AT122" s="803"/>
      <c r="AU122" s="803"/>
      <c r="AV122" s="803"/>
      <c r="AW122" s="803"/>
      <c r="AX122" s="803"/>
      <c r="AY122" s="803"/>
    </row>
    <row r="123" spans="6:51" ht="11.4" customHeight="1">
      <c r="I123" s="803"/>
      <c r="J123" s="803"/>
      <c r="K123" s="803"/>
      <c r="L123" s="803"/>
      <c r="M123" s="803"/>
      <c r="N123" s="803"/>
      <c r="O123" s="803"/>
      <c r="P123" s="803"/>
      <c r="Q123" s="803"/>
      <c r="R123" s="803"/>
      <c r="S123" s="803"/>
      <c r="T123" s="803"/>
      <c r="U123" s="803"/>
      <c r="V123" s="803"/>
      <c r="W123" s="803"/>
      <c r="X123" s="803"/>
      <c r="Y123" s="803"/>
      <c r="Z123" s="803"/>
      <c r="AA123" s="803"/>
      <c r="AB123" s="803"/>
      <c r="AC123" s="803"/>
      <c r="AD123" s="803"/>
      <c r="AE123" s="803"/>
      <c r="AF123" s="803"/>
      <c r="AG123" s="803"/>
      <c r="AH123" s="803"/>
      <c r="AI123" s="803"/>
      <c r="AJ123" s="803"/>
      <c r="AK123" s="803"/>
      <c r="AL123" s="803"/>
      <c r="AM123" s="803"/>
      <c r="AN123" s="803"/>
      <c r="AO123" s="803"/>
      <c r="AP123" s="803"/>
      <c r="AQ123" s="803"/>
      <c r="AR123" s="803"/>
      <c r="AS123" s="803"/>
      <c r="AT123" s="803"/>
      <c r="AU123" s="803"/>
      <c r="AV123" s="803"/>
      <c r="AW123" s="803"/>
      <c r="AX123" s="803"/>
      <c r="AY123" s="803"/>
    </row>
    <row r="124" spans="6:51" ht="11.4" customHeight="1">
      <c r="I124" s="803"/>
      <c r="J124" s="803"/>
      <c r="K124" s="803"/>
      <c r="L124" s="803"/>
      <c r="M124" s="803"/>
      <c r="N124" s="803"/>
      <c r="O124" s="803"/>
      <c r="P124" s="803"/>
      <c r="Q124" s="803"/>
      <c r="R124" s="803"/>
      <c r="S124" s="803"/>
      <c r="T124" s="803"/>
      <c r="U124" s="803"/>
      <c r="V124" s="803"/>
      <c r="W124" s="803"/>
      <c r="X124" s="803"/>
      <c r="Y124" s="803"/>
      <c r="Z124" s="803"/>
      <c r="AA124" s="803"/>
      <c r="AB124" s="803"/>
      <c r="AC124" s="803"/>
      <c r="AD124" s="803"/>
      <c r="AE124" s="803"/>
      <c r="AF124" s="803"/>
      <c r="AG124" s="803"/>
      <c r="AH124" s="803"/>
      <c r="AI124" s="803"/>
      <c r="AJ124" s="803"/>
      <c r="AK124" s="803"/>
      <c r="AL124" s="803"/>
      <c r="AM124" s="803"/>
      <c r="AN124" s="803"/>
      <c r="AO124" s="803"/>
      <c r="AP124" s="803"/>
      <c r="AQ124" s="803"/>
      <c r="AR124" s="803"/>
      <c r="AS124" s="803"/>
      <c r="AT124" s="803"/>
      <c r="AU124" s="803"/>
      <c r="AV124" s="803"/>
      <c r="AW124" s="803"/>
      <c r="AX124" s="803"/>
      <c r="AY124" s="803"/>
    </row>
    <row r="125" spans="6:51" ht="11.4" customHeight="1">
      <c r="H125" s="799" t="s">
        <v>729</v>
      </c>
    </row>
    <row r="126" spans="6:51" ht="11.4" customHeight="1" thickBot="1">
      <c r="F126" s="800" t="s">
        <v>545</v>
      </c>
      <c r="G126" s="800" t="s">
        <v>585</v>
      </c>
      <c r="H126" s="800" t="s">
        <v>592</v>
      </c>
      <c r="I126" s="801">
        <v>2010</v>
      </c>
      <c r="J126" s="806"/>
      <c r="K126" s="806"/>
      <c r="L126" s="806"/>
      <c r="M126" s="806"/>
      <c r="N126" s="806"/>
      <c r="O126" s="806"/>
      <c r="P126" s="806"/>
      <c r="Q126" s="806"/>
      <c r="R126" s="806"/>
      <c r="S126" s="806"/>
      <c r="T126" s="806"/>
      <c r="U126" s="806"/>
      <c r="V126" s="806"/>
      <c r="W126" s="806"/>
      <c r="X126" s="806"/>
      <c r="Y126" s="806"/>
      <c r="Z126" s="806"/>
      <c r="AA126" s="806"/>
      <c r="AB126" s="806"/>
      <c r="AC126" s="806"/>
      <c r="AD126" s="806"/>
      <c r="AE126" s="806"/>
      <c r="AF126" s="806"/>
      <c r="AG126" s="806"/>
      <c r="AH126" s="806"/>
      <c r="AI126" s="806"/>
      <c r="AJ126" s="806"/>
      <c r="AK126" s="806"/>
      <c r="AL126" s="806"/>
      <c r="AM126" s="806"/>
      <c r="AN126" s="806"/>
      <c r="AO126" s="806"/>
      <c r="AP126" s="806"/>
      <c r="AQ126" s="806"/>
      <c r="AR126" s="806"/>
      <c r="AS126" s="806"/>
    </row>
    <row r="127" spans="6:51" ht="11.4" customHeight="1">
      <c r="F127" s="798" t="s">
        <v>781</v>
      </c>
      <c r="I127" s="798">
        <v>40</v>
      </c>
      <c r="J127" s="806"/>
      <c r="K127" s="806"/>
      <c r="L127" s="806"/>
      <c r="M127" s="806"/>
      <c r="N127" s="806"/>
      <c r="O127" s="806"/>
      <c r="P127" s="806"/>
      <c r="Q127" s="806"/>
      <c r="R127" s="806"/>
      <c r="S127" s="806"/>
      <c r="T127" s="806"/>
      <c r="U127" s="806"/>
      <c r="V127" s="806"/>
      <c r="W127" s="806"/>
      <c r="X127" s="806"/>
      <c r="Y127" s="806"/>
      <c r="Z127" s="806"/>
      <c r="AA127" s="806"/>
      <c r="AB127" s="806"/>
      <c r="AC127" s="806"/>
      <c r="AD127" s="806"/>
      <c r="AE127" s="806"/>
      <c r="AF127" s="806"/>
      <c r="AG127" s="806"/>
      <c r="AH127" s="806"/>
      <c r="AI127" s="806"/>
      <c r="AJ127" s="806"/>
      <c r="AK127" s="806"/>
      <c r="AL127" s="806"/>
      <c r="AM127" s="806"/>
      <c r="AN127" s="806"/>
      <c r="AO127" s="806"/>
      <c r="AP127" s="806"/>
      <c r="AQ127" s="806"/>
      <c r="AR127" s="806"/>
      <c r="AS127" s="806"/>
    </row>
    <row r="128" spans="6:51" ht="11.4" customHeight="1">
      <c r="F128" s="798" t="s">
        <v>783</v>
      </c>
      <c r="I128" s="798">
        <v>40</v>
      </c>
      <c r="J128" s="806"/>
      <c r="K128" s="806"/>
      <c r="L128" s="806"/>
      <c r="M128" s="806"/>
      <c r="N128" s="806"/>
      <c r="O128" s="806"/>
      <c r="P128" s="806"/>
      <c r="Q128" s="806"/>
      <c r="R128" s="806"/>
      <c r="S128" s="806"/>
      <c r="T128" s="806"/>
      <c r="U128" s="806"/>
      <c r="V128" s="806"/>
      <c r="W128" s="806"/>
      <c r="X128" s="806"/>
      <c r="Y128" s="806"/>
      <c r="Z128" s="806"/>
      <c r="AA128" s="806"/>
      <c r="AB128" s="806"/>
      <c r="AC128" s="806"/>
      <c r="AD128" s="806"/>
      <c r="AE128" s="806"/>
      <c r="AF128" s="806"/>
      <c r="AG128" s="806"/>
      <c r="AH128" s="806"/>
      <c r="AI128" s="806"/>
      <c r="AJ128" s="806"/>
      <c r="AK128" s="806"/>
      <c r="AL128" s="806"/>
      <c r="AM128" s="806"/>
      <c r="AN128" s="806"/>
      <c r="AO128" s="806"/>
      <c r="AP128" s="806"/>
      <c r="AQ128" s="806"/>
      <c r="AR128" s="806"/>
      <c r="AS128" s="806"/>
    </row>
    <row r="129" spans="6:45" ht="11.4" customHeight="1">
      <c r="F129" s="798" t="s">
        <v>785</v>
      </c>
      <c r="I129" s="798">
        <v>40</v>
      </c>
      <c r="J129" s="806"/>
      <c r="K129" s="806"/>
      <c r="L129" s="806"/>
      <c r="M129" s="806"/>
      <c r="N129" s="806"/>
      <c r="O129" s="806"/>
      <c r="P129" s="806"/>
      <c r="Q129" s="806"/>
      <c r="R129" s="806"/>
      <c r="S129" s="806"/>
      <c r="T129" s="806"/>
      <c r="U129" s="806"/>
      <c r="V129" s="806"/>
      <c r="W129" s="806"/>
      <c r="X129" s="806"/>
      <c r="Y129" s="806"/>
      <c r="Z129" s="806"/>
      <c r="AA129" s="806"/>
      <c r="AB129" s="806"/>
      <c r="AC129" s="806"/>
      <c r="AD129" s="806"/>
      <c r="AE129" s="806"/>
      <c r="AF129" s="806"/>
      <c r="AG129" s="806"/>
      <c r="AH129" s="806"/>
      <c r="AI129" s="806"/>
      <c r="AJ129" s="806"/>
      <c r="AK129" s="806"/>
      <c r="AL129" s="806"/>
      <c r="AM129" s="806"/>
      <c r="AN129" s="806"/>
      <c r="AO129" s="806"/>
      <c r="AP129" s="806"/>
      <c r="AQ129" s="806"/>
      <c r="AR129" s="806"/>
      <c r="AS129" s="806"/>
    </row>
    <row r="130" spans="6:45" ht="11.4" customHeight="1">
      <c r="F130" s="798" t="s">
        <v>787</v>
      </c>
      <c r="I130" s="798">
        <v>40</v>
      </c>
      <c r="J130" s="806"/>
      <c r="K130" s="806"/>
      <c r="L130" s="806"/>
      <c r="M130" s="806"/>
      <c r="N130" s="806"/>
      <c r="O130" s="806"/>
      <c r="P130" s="806"/>
      <c r="Q130" s="806"/>
      <c r="R130" s="806"/>
      <c r="S130" s="806"/>
      <c r="T130" s="806"/>
      <c r="U130" s="806"/>
      <c r="V130" s="806"/>
      <c r="W130" s="806"/>
      <c r="X130" s="806"/>
      <c r="Y130" s="806"/>
      <c r="Z130" s="806"/>
      <c r="AA130" s="806"/>
      <c r="AB130" s="806"/>
      <c r="AC130" s="806"/>
      <c r="AD130" s="806"/>
      <c r="AE130" s="806"/>
      <c r="AF130" s="806"/>
      <c r="AG130" s="806"/>
      <c r="AH130" s="806"/>
      <c r="AI130" s="806"/>
      <c r="AJ130" s="806"/>
      <c r="AK130" s="806"/>
      <c r="AL130" s="806"/>
      <c r="AM130" s="806"/>
      <c r="AN130" s="806"/>
      <c r="AO130" s="806"/>
      <c r="AP130" s="806"/>
      <c r="AQ130" s="806"/>
      <c r="AR130" s="806"/>
      <c r="AS130" s="806"/>
    </row>
    <row r="131" spans="6:45" ht="11.4" customHeight="1">
      <c r="F131" s="798" t="s">
        <v>789</v>
      </c>
      <c r="I131" s="798">
        <v>40</v>
      </c>
      <c r="J131" s="806"/>
      <c r="K131" s="806"/>
      <c r="L131" s="806"/>
      <c r="M131" s="806"/>
      <c r="N131" s="806"/>
      <c r="O131" s="806"/>
      <c r="P131" s="806"/>
      <c r="Q131" s="806"/>
      <c r="R131" s="806"/>
      <c r="S131" s="806"/>
      <c r="T131" s="806"/>
      <c r="U131" s="806"/>
      <c r="V131" s="806"/>
      <c r="W131" s="806"/>
      <c r="X131" s="806"/>
      <c r="Y131" s="806"/>
      <c r="Z131" s="806"/>
      <c r="AA131" s="806"/>
      <c r="AB131" s="806"/>
      <c r="AC131" s="806"/>
      <c r="AD131" s="806"/>
      <c r="AE131" s="806"/>
      <c r="AF131" s="806"/>
      <c r="AG131" s="806"/>
      <c r="AH131" s="806"/>
      <c r="AI131" s="806"/>
      <c r="AJ131" s="806"/>
      <c r="AK131" s="806"/>
      <c r="AL131" s="806"/>
      <c r="AM131" s="806"/>
      <c r="AN131" s="806"/>
      <c r="AO131" s="806"/>
      <c r="AP131" s="806"/>
      <c r="AQ131" s="806"/>
      <c r="AR131" s="806"/>
      <c r="AS131" s="806"/>
    </row>
    <row r="132" spans="6:45" ht="11.4" customHeight="1">
      <c r="F132" s="798" t="s">
        <v>791</v>
      </c>
      <c r="I132" s="798">
        <v>40</v>
      </c>
      <c r="J132" s="806"/>
      <c r="K132" s="806"/>
      <c r="L132" s="806"/>
      <c r="M132" s="806"/>
      <c r="N132" s="806"/>
      <c r="O132" s="806"/>
      <c r="P132" s="806"/>
      <c r="Q132" s="806"/>
      <c r="R132" s="806"/>
      <c r="S132" s="806"/>
      <c r="T132" s="806"/>
      <c r="U132" s="806"/>
      <c r="V132" s="806"/>
      <c r="W132" s="806"/>
      <c r="X132" s="806"/>
      <c r="Y132" s="806"/>
      <c r="Z132" s="806"/>
      <c r="AA132" s="806"/>
      <c r="AB132" s="806"/>
      <c r="AC132" s="806"/>
      <c r="AD132" s="806"/>
      <c r="AE132" s="806"/>
      <c r="AF132" s="806"/>
      <c r="AG132" s="806"/>
      <c r="AH132" s="806"/>
      <c r="AI132" s="806"/>
      <c r="AJ132" s="806"/>
      <c r="AK132" s="806"/>
      <c r="AL132" s="806"/>
      <c r="AM132" s="806"/>
      <c r="AN132" s="806"/>
      <c r="AO132" s="806"/>
      <c r="AP132" s="806"/>
      <c r="AQ132" s="806"/>
      <c r="AR132" s="806"/>
      <c r="AS132" s="806"/>
    </row>
    <row r="133" spans="6:45" ht="11.4" customHeight="1">
      <c r="F133" s="798" t="s">
        <v>792</v>
      </c>
      <c r="I133" s="798">
        <v>60</v>
      </c>
      <c r="J133" s="806"/>
      <c r="K133" s="806"/>
      <c r="L133" s="806"/>
      <c r="M133" s="806"/>
      <c r="N133" s="806"/>
      <c r="O133" s="806"/>
      <c r="P133" s="806"/>
      <c r="Q133" s="806"/>
      <c r="R133" s="806"/>
      <c r="S133" s="806"/>
      <c r="T133" s="806"/>
      <c r="U133" s="806"/>
      <c r="V133" s="806"/>
      <c r="W133" s="806"/>
      <c r="X133" s="806"/>
      <c r="Y133" s="806"/>
      <c r="Z133" s="806"/>
      <c r="AA133" s="806"/>
      <c r="AB133" s="806"/>
      <c r="AC133" s="806"/>
      <c r="AD133" s="806"/>
      <c r="AE133" s="806"/>
      <c r="AF133" s="806"/>
      <c r="AG133" s="806"/>
      <c r="AH133" s="806"/>
      <c r="AI133" s="806"/>
      <c r="AJ133" s="806"/>
      <c r="AK133" s="806"/>
      <c r="AL133" s="806"/>
      <c r="AM133" s="806"/>
      <c r="AN133" s="806"/>
      <c r="AO133" s="806"/>
      <c r="AP133" s="806"/>
      <c r="AQ133" s="806"/>
      <c r="AR133" s="806"/>
      <c r="AS133" s="806"/>
    </row>
    <row r="137" spans="6:45" ht="11.4" customHeight="1">
      <c r="H137" s="799" t="s">
        <v>601</v>
      </c>
    </row>
    <row r="138" spans="6:45" ht="11.4" customHeight="1" thickBot="1">
      <c r="F138" s="800" t="s">
        <v>545</v>
      </c>
      <c r="G138" s="800" t="s">
        <v>585</v>
      </c>
      <c r="H138" s="800" t="s">
        <v>592</v>
      </c>
      <c r="I138" s="801">
        <v>2010</v>
      </c>
      <c r="J138" s="806"/>
      <c r="K138" s="806"/>
      <c r="L138" s="806"/>
      <c r="M138" s="806"/>
      <c r="N138" s="806"/>
      <c r="O138" s="806"/>
      <c r="P138" s="806"/>
      <c r="Q138" s="806"/>
      <c r="R138" s="806"/>
      <c r="S138" s="806"/>
      <c r="T138" s="806"/>
      <c r="U138" s="806"/>
      <c r="V138" s="806"/>
      <c r="W138" s="806"/>
      <c r="X138" s="806"/>
      <c r="Y138" s="806"/>
      <c r="Z138" s="806"/>
      <c r="AA138" s="806"/>
      <c r="AB138" s="806"/>
      <c r="AC138" s="806"/>
      <c r="AD138" s="806"/>
      <c r="AE138" s="806"/>
      <c r="AF138" s="806"/>
      <c r="AG138" s="806"/>
      <c r="AH138" s="806"/>
      <c r="AI138" s="806"/>
      <c r="AJ138" s="806"/>
      <c r="AK138" s="806"/>
      <c r="AL138" s="806"/>
      <c r="AM138" s="806"/>
      <c r="AN138" s="806"/>
      <c r="AO138" s="806"/>
      <c r="AP138" s="806"/>
      <c r="AQ138" s="806"/>
      <c r="AR138" s="806"/>
      <c r="AS138" s="806"/>
    </row>
    <row r="139" spans="6:45" ht="11.4" customHeight="1">
      <c r="F139" s="798" t="s">
        <v>793</v>
      </c>
      <c r="I139" s="798">
        <v>1</v>
      </c>
      <c r="J139" s="806"/>
      <c r="K139" s="806"/>
      <c r="L139" s="806"/>
      <c r="M139" s="806"/>
      <c r="N139" s="806"/>
      <c r="O139" s="806"/>
      <c r="P139" s="806"/>
      <c r="Q139" s="806"/>
      <c r="R139" s="806"/>
      <c r="S139" s="806"/>
      <c r="T139" s="806"/>
      <c r="U139" s="806"/>
      <c r="V139" s="806"/>
      <c r="W139" s="806"/>
      <c r="X139" s="806"/>
      <c r="Y139" s="806"/>
      <c r="Z139" s="806"/>
      <c r="AA139" s="806"/>
      <c r="AB139" s="806"/>
      <c r="AC139" s="806"/>
      <c r="AD139" s="806"/>
      <c r="AE139" s="806"/>
      <c r="AF139" s="806"/>
      <c r="AG139" s="806"/>
      <c r="AH139" s="806"/>
      <c r="AI139" s="806"/>
      <c r="AJ139" s="806"/>
      <c r="AK139" s="806"/>
      <c r="AL139" s="806"/>
      <c r="AM139" s="806"/>
      <c r="AN139" s="806"/>
      <c r="AO139" s="806"/>
      <c r="AP139" s="806"/>
      <c r="AQ139" s="806"/>
      <c r="AR139" s="806"/>
      <c r="AS139" s="806"/>
    </row>
    <row r="142" spans="6:45" ht="11.4" customHeight="1">
      <c r="H142" s="799" t="s">
        <v>730</v>
      </c>
    </row>
    <row r="143" spans="6:45" ht="11.4" customHeight="1" thickBot="1">
      <c r="F143" s="800" t="s">
        <v>545</v>
      </c>
      <c r="G143" s="800" t="s">
        <v>585</v>
      </c>
      <c r="H143" s="800" t="s">
        <v>592</v>
      </c>
      <c r="I143" s="801" t="s">
        <v>88</v>
      </c>
      <c r="J143" s="801" t="s">
        <v>89</v>
      </c>
      <c r="K143" s="801" t="s">
        <v>90</v>
      </c>
      <c r="L143" s="801" t="s">
        <v>91</v>
      </c>
      <c r="M143" s="801" t="s">
        <v>92</v>
      </c>
      <c r="N143" s="801" t="s">
        <v>93</v>
      </c>
      <c r="O143" s="801" t="s">
        <v>94</v>
      </c>
      <c r="P143" s="801" t="s">
        <v>95</v>
      </c>
      <c r="Q143" s="801" t="s">
        <v>96</v>
      </c>
      <c r="R143" s="801" t="s">
        <v>97</v>
      </c>
      <c r="S143" s="801" t="s">
        <v>98</v>
      </c>
      <c r="T143" s="801" t="s">
        <v>99</v>
      </c>
      <c r="U143" s="801" t="s">
        <v>205</v>
      </c>
      <c r="V143" s="801" t="s">
        <v>118</v>
      </c>
      <c r="W143" s="801" t="s">
        <v>100</v>
      </c>
      <c r="X143" s="801" t="s">
        <v>101</v>
      </c>
      <c r="Y143" s="801" t="s">
        <v>102</v>
      </c>
      <c r="Z143" s="801" t="s">
        <v>103</v>
      </c>
      <c r="AA143" s="801" t="s">
        <v>104</v>
      </c>
      <c r="AB143" s="801" t="s">
        <v>105</v>
      </c>
      <c r="AC143" s="801" t="s">
        <v>106</v>
      </c>
      <c r="AD143" s="801" t="s">
        <v>107</v>
      </c>
      <c r="AE143" s="801" t="s">
        <v>108</v>
      </c>
      <c r="AF143" s="801" t="s">
        <v>109</v>
      </c>
      <c r="AG143" s="801" t="s">
        <v>110</v>
      </c>
      <c r="AH143" s="801" t="s">
        <v>111</v>
      </c>
      <c r="AI143" s="801" t="s">
        <v>112</v>
      </c>
      <c r="AJ143" s="801" t="s">
        <v>113</v>
      </c>
      <c r="AK143" s="801" t="s">
        <v>114</v>
      </c>
      <c r="AL143" s="801" t="s">
        <v>115</v>
      </c>
      <c r="AM143" s="801" t="s">
        <v>52</v>
      </c>
      <c r="AN143" s="801" t="s">
        <v>116</v>
      </c>
      <c r="AO143" s="801" t="s">
        <v>117</v>
      </c>
      <c r="AP143" s="801" t="s">
        <v>119</v>
      </c>
      <c r="AQ143" s="801" t="s">
        <v>120</v>
      </c>
      <c r="AR143" s="801" t="s">
        <v>121</v>
      </c>
      <c r="AS143" s="801" t="s">
        <v>122</v>
      </c>
    </row>
    <row r="144" spans="6:45" ht="11.4" customHeight="1">
      <c r="F144" s="798" t="s">
        <v>793</v>
      </c>
      <c r="I144" s="798">
        <v>31.536000000000001</v>
      </c>
      <c r="J144" s="798">
        <v>31.536000000000001</v>
      </c>
      <c r="K144" s="798">
        <v>31.536000000000001</v>
      </c>
      <c r="L144" s="798">
        <v>31.536000000000001</v>
      </c>
      <c r="M144" s="798">
        <v>31.536000000000001</v>
      </c>
      <c r="N144" s="798">
        <v>31.536000000000001</v>
      </c>
      <c r="O144" s="798">
        <v>31.536000000000001</v>
      </c>
      <c r="P144" s="798">
        <v>31.536000000000001</v>
      </c>
      <c r="Q144" s="798">
        <v>31.536000000000001</v>
      </c>
      <c r="R144" s="798">
        <v>31.536000000000001</v>
      </c>
      <c r="S144" s="798">
        <v>31.536000000000001</v>
      </c>
      <c r="T144" s="798">
        <v>31.536000000000001</v>
      </c>
      <c r="U144" s="798">
        <v>31.536000000000001</v>
      </c>
      <c r="V144" s="798">
        <v>31.536000000000001</v>
      </c>
      <c r="W144" s="798">
        <v>31.536000000000001</v>
      </c>
      <c r="X144" s="798">
        <v>31.536000000000001</v>
      </c>
      <c r="Y144" s="798">
        <v>31.536000000000001</v>
      </c>
      <c r="Z144" s="798">
        <v>31.536000000000001</v>
      </c>
      <c r="AA144" s="798">
        <v>31.536000000000001</v>
      </c>
      <c r="AB144" s="798">
        <v>31.536000000000001</v>
      </c>
      <c r="AC144" s="798">
        <v>31.536000000000001</v>
      </c>
      <c r="AD144" s="798">
        <v>31.536000000000001</v>
      </c>
      <c r="AE144" s="798">
        <v>31.536000000000001</v>
      </c>
      <c r="AF144" s="798">
        <v>31.536000000000001</v>
      </c>
      <c r="AG144" s="798">
        <v>31.536000000000001</v>
      </c>
      <c r="AH144" s="798">
        <v>31.536000000000001</v>
      </c>
      <c r="AI144" s="798">
        <v>31.536000000000001</v>
      </c>
      <c r="AJ144" s="798">
        <v>31.536000000000001</v>
      </c>
      <c r="AK144" s="798">
        <v>31.536000000000001</v>
      </c>
      <c r="AL144" s="798">
        <v>31.536000000000001</v>
      </c>
      <c r="AM144" s="798">
        <v>31.536000000000001</v>
      </c>
      <c r="AN144" s="798">
        <v>31.536000000000001</v>
      </c>
      <c r="AO144" s="798">
        <v>31.536000000000001</v>
      </c>
      <c r="AP144" s="798">
        <v>31.536000000000001</v>
      </c>
      <c r="AQ144" s="798">
        <v>31.536000000000001</v>
      </c>
      <c r="AR144" s="798">
        <v>31.536000000000001</v>
      </c>
      <c r="AS144" s="798">
        <v>31.536000000000001</v>
      </c>
    </row>
    <row r="147" spans="6:45" ht="11.4" customHeight="1">
      <c r="H147" s="799" t="s">
        <v>849</v>
      </c>
    </row>
    <row r="148" spans="6:45" ht="11.4" customHeight="1" thickBot="1">
      <c r="F148" s="800" t="s">
        <v>545</v>
      </c>
      <c r="G148" s="800" t="str">
        <f>$G$143</f>
        <v>Comm-IN</v>
      </c>
      <c r="H148" s="800" t="s">
        <v>592</v>
      </c>
      <c r="I148" s="801" t="s">
        <v>88</v>
      </c>
      <c r="J148" s="801" t="s">
        <v>89</v>
      </c>
      <c r="K148" s="801" t="s">
        <v>90</v>
      </c>
      <c r="L148" s="801" t="s">
        <v>91</v>
      </c>
      <c r="M148" s="801" t="s">
        <v>92</v>
      </c>
      <c r="N148" s="801" t="s">
        <v>93</v>
      </c>
      <c r="O148" s="801" t="s">
        <v>94</v>
      </c>
      <c r="P148" s="801" t="s">
        <v>95</v>
      </c>
      <c r="Q148" s="801" t="s">
        <v>96</v>
      </c>
      <c r="R148" s="801" t="s">
        <v>97</v>
      </c>
      <c r="S148" s="801" t="s">
        <v>98</v>
      </c>
      <c r="T148" s="801" t="s">
        <v>99</v>
      </c>
      <c r="U148" s="801" t="s">
        <v>205</v>
      </c>
      <c r="V148" s="801" t="s">
        <v>118</v>
      </c>
      <c r="W148" s="801" t="s">
        <v>100</v>
      </c>
      <c r="X148" s="801" t="s">
        <v>101</v>
      </c>
      <c r="Y148" s="801" t="s">
        <v>102</v>
      </c>
      <c r="Z148" s="801" t="s">
        <v>103</v>
      </c>
      <c r="AA148" s="801" t="s">
        <v>104</v>
      </c>
      <c r="AB148" s="801" t="s">
        <v>105</v>
      </c>
      <c r="AC148" s="801" t="s">
        <v>106</v>
      </c>
      <c r="AD148" s="801" t="s">
        <v>107</v>
      </c>
      <c r="AE148" s="801" t="s">
        <v>108</v>
      </c>
      <c r="AF148" s="801" t="s">
        <v>109</v>
      </c>
      <c r="AG148" s="801" t="s">
        <v>110</v>
      </c>
      <c r="AH148" s="801" t="s">
        <v>111</v>
      </c>
      <c r="AI148" s="801" t="s">
        <v>112</v>
      </c>
      <c r="AJ148" s="801" t="s">
        <v>113</v>
      </c>
      <c r="AK148" s="801" t="s">
        <v>114</v>
      </c>
      <c r="AL148" s="801" t="s">
        <v>115</v>
      </c>
      <c r="AM148" s="801" t="s">
        <v>52</v>
      </c>
      <c r="AN148" s="801" t="s">
        <v>116</v>
      </c>
      <c r="AO148" s="801" t="s">
        <v>117</v>
      </c>
      <c r="AP148" s="801" t="s">
        <v>119</v>
      </c>
      <c r="AQ148" s="801" t="s">
        <v>120</v>
      </c>
      <c r="AR148" s="801" t="s">
        <v>121</v>
      </c>
      <c r="AS148" s="801" t="s">
        <v>122</v>
      </c>
    </row>
    <row r="149" spans="6:45" ht="11.4" customHeight="1">
      <c r="F149" s="798" t="s">
        <v>793</v>
      </c>
      <c r="G149" s="798" t="s">
        <v>731</v>
      </c>
    </row>
    <row r="150" spans="6:45" ht="11.4" customHeight="1">
      <c r="G150" s="798" t="s">
        <v>732</v>
      </c>
    </row>
    <row r="151" spans="6:45" ht="11.4" customHeight="1">
      <c r="H151" s="798" t="s">
        <v>586</v>
      </c>
    </row>
    <row r="154" spans="6:45" ht="11.4" customHeight="1">
      <c r="H154" s="799" t="s">
        <v>733</v>
      </c>
    </row>
    <row r="155" spans="6:45" ht="11.4" customHeight="1" thickBot="1">
      <c r="F155" s="800" t="s">
        <v>545</v>
      </c>
      <c r="G155" s="800" t="str">
        <f>$G$143</f>
        <v>Comm-IN</v>
      </c>
      <c r="H155" s="800" t="s">
        <v>592</v>
      </c>
      <c r="I155" s="801" t="s">
        <v>88</v>
      </c>
      <c r="J155" s="801" t="s">
        <v>89</v>
      </c>
      <c r="K155" s="801" t="s">
        <v>90</v>
      </c>
      <c r="L155" s="801" t="s">
        <v>91</v>
      </c>
      <c r="M155" s="801" t="s">
        <v>92</v>
      </c>
      <c r="N155" s="801" t="s">
        <v>93</v>
      </c>
      <c r="O155" s="801" t="s">
        <v>94</v>
      </c>
      <c r="P155" s="801" t="s">
        <v>95</v>
      </c>
      <c r="Q155" s="801" t="s">
        <v>96</v>
      </c>
      <c r="R155" s="801" t="s">
        <v>97</v>
      </c>
      <c r="S155" s="801" t="s">
        <v>98</v>
      </c>
      <c r="T155" s="801" t="s">
        <v>99</v>
      </c>
      <c r="U155" s="801" t="s">
        <v>205</v>
      </c>
      <c r="V155" s="801" t="s">
        <v>118</v>
      </c>
      <c r="W155" s="801" t="s">
        <v>100</v>
      </c>
      <c r="X155" s="801" t="s">
        <v>101</v>
      </c>
      <c r="Y155" s="801" t="s">
        <v>102</v>
      </c>
      <c r="Z155" s="801" t="s">
        <v>103</v>
      </c>
      <c r="AA155" s="801" t="s">
        <v>104</v>
      </c>
      <c r="AB155" s="801" t="s">
        <v>105</v>
      </c>
      <c r="AC155" s="801" t="s">
        <v>106</v>
      </c>
      <c r="AD155" s="801" t="s">
        <v>107</v>
      </c>
      <c r="AE155" s="801" t="s">
        <v>108</v>
      </c>
      <c r="AF155" s="801" t="s">
        <v>109</v>
      </c>
      <c r="AG155" s="801" t="s">
        <v>110</v>
      </c>
      <c r="AH155" s="801" t="s">
        <v>111</v>
      </c>
      <c r="AI155" s="801" t="s">
        <v>112</v>
      </c>
      <c r="AJ155" s="801" t="s">
        <v>113</v>
      </c>
      <c r="AK155" s="801" t="s">
        <v>114</v>
      </c>
      <c r="AL155" s="801" t="s">
        <v>115</v>
      </c>
      <c r="AM155" s="801" t="s">
        <v>52</v>
      </c>
      <c r="AN155" s="801" t="s">
        <v>116</v>
      </c>
      <c r="AO155" s="801" t="s">
        <v>117</v>
      </c>
      <c r="AP155" s="801" t="s">
        <v>119</v>
      </c>
      <c r="AQ155" s="801" t="s">
        <v>120</v>
      </c>
      <c r="AR155" s="801" t="s">
        <v>121</v>
      </c>
      <c r="AS155" s="801" t="s">
        <v>122</v>
      </c>
    </row>
    <row r="156" spans="6:45" ht="11.4" customHeight="1">
      <c r="F156" s="798" t="s">
        <v>793</v>
      </c>
      <c r="I156" s="798">
        <v>1</v>
      </c>
      <c r="J156" s="798">
        <v>1</v>
      </c>
      <c r="K156" s="798">
        <v>1</v>
      </c>
      <c r="L156" s="798">
        <v>1</v>
      </c>
      <c r="M156" s="798">
        <v>1</v>
      </c>
      <c r="N156" s="798">
        <v>1</v>
      </c>
      <c r="O156" s="798">
        <v>1</v>
      </c>
      <c r="P156" s="798">
        <v>1</v>
      </c>
      <c r="Q156" s="798">
        <v>1</v>
      </c>
      <c r="R156" s="798">
        <v>1</v>
      </c>
      <c r="S156" s="798">
        <v>1</v>
      </c>
      <c r="T156" s="798">
        <v>1</v>
      </c>
      <c r="U156" s="798">
        <v>1</v>
      </c>
      <c r="V156" s="798">
        <v>1</v>
      </c>
      <c r="W156" s="798">
        <v>1</v>
      </c>
      <c r="X156" s="798">
        <v>1</v>
      </c>
      <c r="Y156" s="798">
        <v>1</v>
      </c>
      <c r="Z156" s="798">
        <v>1</v>
      </c>
      <c r="AA156" s="798">
        <v>1</v>
      </c>
      <c r="AB156" s="798">
        <v>1</v>
      </c>
      <c r="AC156" s="798">
        <v>1</v>
      </c>
      <c r="AD156" s="798">
        <v>1</v>
      </c>
      <c r="AE156" s="798">
        <v>1</v>
      </c>
      <c r="AF156" s="798">
        <v>1</v>
      </c>
      <c r="AG156" s="798">
        <v>1</v>
      </c>
      <c r="AH156" s="798">
        <v>1</v>
      </c>
      <c r="AI156" s="798">
        <v>1</v>
      </c>
      <c r="AJ156" s="798">
        <v>1</v>
      </c>
      <c r="AK156" s="798">
        <v>1</v>
      </c>
      <c r="AL156" s="798">
        <v>1</v>
      </c>
      <c r="AM156" s="798">
        <v>1</v>
      </c>
      <c r="AN156" s="798">
        <v>1</v>
      </c>
      <c r="AO156" s="798">
        <v>1</v>
      </c>
      <c r="AP156" s="798">
        <v>1</v>
      </c>
      <c r="AQ156" s="798">
        <v>1</v>
      </c>
      <c r="AR156" s="798">
        <v>1</v>
      </c>
      <c r="AS156" s="798">
        <v>1</v>
      </c>
    </row>
    <row r="161" spans="6:49" ht="11.4" customHeight="1">
      <c r="H161" s="799" t="s">
        <v>598</v>
      </c>
    </row>
    <row r="162" spans="6:49" ht="11.4" customHeight="1" thickBot="1">
      <c r="F162" s="800" t="s">
        <v>545</v>
      </c>
      <c r="G162" s="800" t="s">
        <v>585</v>
      </c>
      <c r="H162" s="800" t="s">
        <v>592</v>
      </c>
      <c r="I162" s="801" t="s">
        <v>88</v>
      </c>
      <c r="J162" s="801" t="s">
        <v>89</v>
      </c>
      <c r="K162" s="801" t="s">
        <v>90</v>
      </c>
      <c r="L162" s="801" t="s">
        <v>91</v>
      </c>
      <c r="M162" s="801" t="s">
        <v>92</v>
      </c>
      <c r="N162" s="801" t="s">
        <v>93</v>
      </c>
      <c r="O162" s="801" t="s">
        <v>94</v>
      </c>
      <c r="P162" s="801" t="s">
        <v>95</v>
      </c>
      <c r="Q162" s="801" t="s">
        <v>96</v>
      </c>
      <c r="R162" s="801" t="s">
        <v>97</v>
      </c>
      <c r="S162" s="801" t="s">
        <v>98</v>
      </c>
      <c r="T162" s="801" t="s">
        <v>99</v>
      </c>
      <c r="U162" s="801" t="s">
        <v>205</v>
      </c>
      <c r="V162" s="801" t="s">
        <v>118</v>
      </c>
      <c r="W162" s="801" t="s">
        <v>100</v>
      </c>
      <c r="X162" s="801" t="s">
        <v>101</v>
      </c>
      <c r="Y162" s="801" t="s">
        <v>102</v>
      </c>
      <c r="Z162" s="801" t="s">
        <v>103</v>
      </c>
      <c r="AA162" s="801" t="s">
        <v>104</v>
      </c>
      <c r="AB162" s="801" t="s">
        <v>105</v>
      </c>
      <c r="AC162" s="801" t="s">
        <v>106</v>
      </c>
      <c r="AD162" s="801" t="s">
        <v>107</v>
      </c>
      <c r="AE162" s="801" t="s">
        <v>108</v>
      </c>
      <c r="AF162" s="801" t="s">
        <v>109</v>
      </c>
      <c r="AG162" s="801" t="s">
        <v>110</v>
      </c>
      <c r="AH162" s="801" t="s">
        <v>111</v>
      </c>
      <c r="AI162" s="801" t="s">
        <v>112</v>
      </c>
      <c r="AJ162" s="801" t="s">
        <v>113</v>
      </c>
      <c r="AK162" s="801" t="s">
        <v>114</v>
      </c>
      <c r="AL162" s="801" t="s">
        <v>115</v>
      </c>
      <c r="AM162" s="801" t="s">
        <v>52</v>
      </c>
      <c r="AN162" s="801" t="s">
        <v>116</v>
      </c>
      <c r="AO162" s="801" t="s">
        <v>117</v>
      </c>
      <c r="AP162" s="801" t="s">
        <v>119</v>
      </c>
      <c r="AQ162" s="801" t="s">
        <v>120</v>
      </c>
      <c r="AR162" s="801" t="s">
        <v>121</v>
      </c>
      <c r="AS162" s="801" t="s">
        <v>122</v>
      </c>
    </row>
    <row r="163" spans="6:49" ht="11.4" customHeight="1">
      <c r="F163" s="798" t="str">
        <f>F66</f>
        <v>RSDHET00</v>
      </c>
      <c r="I163" s="807">
        <f>('IDEES okt 2017 template'!D79+'IDEES okt 2017 template'!D89)/I168/I179</f>
        <v>2.4938916128184272</v>
      </c>
      <c r="J163" s="807">
        <f>('IDEES okt 2017 template'!E79+'IDEES okt 2017 template'!E89)/J168/J179</f>
        <v>4.4033282528027448E-2</v>
      </c>
      <c r="K163" s="807">
        <f>('IDEES okt 2017 template'!F79+'IDEES okt 2017 template'!F89)/K168/K179</f>
        <v>1.3996707544805485</v>
      </c>
      <c r="L163" s="807">
        <f>('IDEES okt 2017 template'!G79+'IDEES okt 2017 template'!G89)/L168/L179</f>
        <v>0.65626617199391168</v>
      </c>
      <c r="M163" s="807">
        <f>('IDEES okt 2017 template'!H79+'IDEES okt 2017 template'!H89)/M168/M179</f>
        <v>0</v>
      </c>
      <c r="N163" s="807">
        <f>('IDEES okt 2017 template'!I79+'IDEES okt 2017 template'!I89)/N168/N179</f>
        <v>4.6634258892034683</v>
      </c>
      <c r="O163" s="807">
        <f>('IDEES okt 2017 template'!J79+'IDEES okt 2017 template'!J89)/O168/O179</f>
        <v>17.794541914409947</v>
      </c>
      <c r="P163" s="807">
        <f>('IDEES okt 2017 template'!K79+'IDEES okt 2017 template'!K89)/P168/P179</f>
        <v>7.3130359268592455</v>
      </c>
      <c r="Q163" s="807">
        <f>('IDEES okt 2017 template'!L79+'IDEES okt 2017 template'!L89)/Q168/Q179</f>
        <v>1.4272002085022588</v>
      </c>
      <c r="R163" s="807">
        <f>('IDEES okt 2017 template'!M79+'IDEES okt 2017 template'!M89)/R168/R179</f>
        <v>0</v>
      </c>
      <c r="S163" s="807">
        <f>('IDEES okt 2017 template'!N79+'IDEES okt 2017 template'!N89)/S168/S179</f>
        <v>6.947415593909799</v>
      </c>
      <c r="T163" s="807">
        <f>('IDEES okt 2017 template'!O79+'IDEES okt 2017 template'!O89)/T168/T179</f>
        <v>7.1716902795430126</v>
      </c>
      <c r="U163" s="807">
        <f>('IDEES okt 2017 template'!P79+'IDEES okt 2017 template'!P89)/U168/U179</f>
        <v>0.18216183010611017</v>
      </c>
      <c r="V163" s="807">
        <f>('IDEES okt 2017 template'!Q79+'IDEES okt 2017 template'!Q89)/V168/V179</f>
        <v>0.59209669205591053</v>
      </c>
      <c r="W163" s="807">
        <f>('IDEES okt 2017 template'!R79+'IDEES okt 2017 template'!R89)/W168/W179</f>
        <v>2.2794871746808987</v>
      </c>
      <c r="X163" s="807">
        <f>('IDEES okt 2017 template'!S79+'IDEES okt 2017 template'!S89)/X168/X179</f>
        <v>0</v>
      </c>
      <c r="Y163" s="807">
        <f>('IDEES okt 2017 template'!T79+'IDEES okt 2017 template'!T89)/Y168/Y179</f>
        <v>0.64659436834094364</v>
      </c>
      <c r="Z163" s="807">
        <f>('IDEES okt 2017 template'!U79+'IDEES okt 2017 template'!U89)/Z168/Z179</f>
        <v>0.45631642647603127</v>
      </c>
      <c r="AA163" s="807">
        <f>('IDEES okt 2017 template'!V79+'IDEES okt 2017 template'!V89)/AA168/AA179</f>
        <v>2.1200355019014108</v>
      </c>
      <c r="AB163" s="807">
        <f>('IDEES okt 2017 template'!W79+'IDEES okt 2017 template'!W89)/AB168/AB179</f>
        <v>0</v>
      </c>
      <c r="AC163" s="807">
        <f>('IDEES okt 2017 template'!X79+'IDEES okt 2017 template'!X89)/AC168/AC179</f>
        <v>1.6850351833780959</v>
      </c>
      <c r="AD163" s="807">
        <f>('IDEES okt 2017 template'!Y79+'IDEES okt 2017 template'!Y89)/AD168/AD179</f>
        <v>0</v>
      </c>
      <c r="AE163" s="807">
        <f>('IDEES okt 2017 template'!Z79+'IDEES okt 2017 template'!Z89)/AE168/AE179</f>
        <v>1.1836933262051625</v>
      </c>
      <c r="AF163" s="807">
        <f>('IDEES okt 2017 template'!AA79+'IDEES okt 2017 template'!AA89)/AF168/AF179</f>
        <v>0.37119482496194828</v>
      </c>
      <c r="AG163" s="807">
        <f>('IDEES okt 2017 template'!AB79+'IDEES okt 2017 template'!AB89)/AG168/AG179</f>
        <v>18.685770414757279</v>
      </c>
      <c r="AH163" s="807">
        <f>('IDEES okt 2017 template'!AC79+'IDEES okt 2017 template'!AC89)/AH168/AH179</f>
        <v>1.3185008949323089E-2</v>
      </c>
      <c r="AI163" s="807">
        <f>('IDEES okt 2017 template'!AD79+'IDEES okt 2017 template'!AD89)/AI168/AI179</f>
        <v>4.5493889865136055</v>
      </c>
      <c r="AJ163" s="807">
        <f>('IDEES okt 2017 template'!AE79+'IDEES okt 2017 template'!AE89)/AJ168/AJ179</f>
        <v>12.679542839064698</v>
      </c>
      <c r="AK163" s="807">
        <f>('IDEES okt 2017 template'!AF79+'IDEES okt 2017 template'!AF89)/AK168/AK179</f>
        <v>0.38524290961642321</v>
      </c>
      <c r="AL163" s="807">
        <f>('IDEES okt 2017 template'!AG79+'IDEES okt 2017 template'!AG89)/AL168/AL179</f>
        <v>1.9840415632293866</v>
      </c>
      <c r="AM163" s="807">
        <f>('IDEES okt 2017 template'!AH79+'IDEES okt 2017 template'!AH89)/AM168/AM179</f>
        <v>0.16499110700428585</v>
      </c>
      <c r="AN163" s="807">
        <f>('IDEES okt 2017 template'!AI79+'IDEES okt 2017 template'!AI89)/AN168/AN179</f>
        <v>0</v>
      </c>
      <c r="AO163" s="807">
        <f>('IDEES okt 2017 template'!AJ79+'IDEES okt 2017 template'!AJ89)/AO168/AO179</f>
        <v>0.38310882800608825</v>
      </c>
      <c r="AP163" s="807">
        <f>('IDEES okt 2017 template'!AK79+'IDEES okt 2017 template'!AK89)/AP168/AP179</f>
        <v>0</v>
      </c>
      <c r="AQ163" s="807">
        <f>('IDEES okt 2017 template'!AL79+'IDEES okt 2017 template'!AL89)/AQ168/AQ179</f>
        <v>0.13536910197869101</v>
      </c>
      <c r="AR163" s="807">
        <f>('IDEES okt 2017 template'!AM79+'IDEES okt 2017 template'!AM89)/AR168/AR179</f>
        <v>1.5170281582952816</v>
      </c>
      <c r="AS163" s="807">
        <f>('IDEES okt 2017 template'!AN79+'IDEES okt 2017 template'!AN89)/AS168/AS179</f>
        <v>1.3884132420091323E-2</v>
      </c>
      <c r="AT163" s="807"/>
      <c r="AU163" s="807"/>
      <c r="AV163" s="807"/>
      <c r="AW163" s="807"/>
    </row>
    <row r="166" spans="6:49" ht="11.4" customHeight="1">
      <c r="H166" s="799" t="s">
        <v>730</v>
      </c>
    </row>
    <row r="167" spans="6:49" ht="11.4" customHeight="1" thickBot="1">
      <c r="F167" s="800" t="s">
        <v>545</v>
      </c>
      <c r="G167" s="800" t="s">
        <v>585</v>
      </c>
      <c r="H167" s="800" t="s">
        <v>592</v>
      </c>
      <c r="I167" s="801" t="s">
        <v>88</v>
      </c>
      <c r="J167" s="801" t="s">
        <v>89</v>
      </c>
      <c r="K167" s="801" t="s">
        <v>90</v>
      </c>
      <c r="L167" s="801" t="s">
        <v>91</v>
      </c>
      <c r="M167" s="801" t="s">
        <v>92</v>
      </c>
      <c r="N167" s="801" t="s">
        <v>93</v>
      </c>
      <c r="O167" s="801" t="s">
        <v>94</v>
      </c>
      <c r="P167" s="801" t="s">
        <v>95</v>
      </c>
      <c r="Q167" s="801" t="s">
        <v>96</v>
      </c>
      <c r="R167" s="801" t="s">
        <v>97</v>
      </c>
      <c r="S167" s="801" t="s">
        <v>98</v>
      </c>
      <c r="T167" s="801" t="s">
        <v>99</v>
      </c>
      <c r="U167" s="801" t="s">
        <v>205</v>
      </c>
      <c r="V167" s="801" t="s">
        <v>118</v>
      </c>
      <c r="W167" s="801" t="s">
        <v>100</v>
      </c>
      <c r="X167" s="801" t="s">
        <v>101</v>
      </c>
      <c r="Y167" s="801" t="s">
        <v>102</v>
      </c>
      <c r="Z167" s="801" t="s">
        <v>103</v>
      </c>
      <c r="AA167" s="801" t="s">
        <v>104</v>
      </c>
      <c r="AB167" s="801" t="s">
        <v>105</v>
      </c>
      <c r="AC167" s="801" t="s">
        <v>106</v>
      </c>
      <c r="AD167" s="801" t="s">
        <v>107</v>
      </c>
      <c r="AE167" s="801" t="s">
        <v>108</v>
      </c>
      <c r="AF167" s="801" t="s">
        <v>109</v>
      </c>
      <c r="AG167" s="801" t="s">
        <v>110</v>
      </c>
      <c r="AH167" s="801" t="s">
        <v>111</v>
      </c>
      <c r="AI167" s="801" t="s">
        <v>112</v>
      </c>
      <c r="AJ167" s="801" t="s">
        <v>113</v>
      </c>
      <c r="AK167" s="801" t="s">
        <v>114</v>
      </c>
      <c r="AL167" s="801" t="s">
        <v>115</v>
      </c>
      <c r="AM167" s="801" t="s">
        <v>52</v>
      </c>
      <c r="AN167" s="801" t="s">
        <v>116</v>
      </c>
      <c r="AO167" s="801" t="s">
        <v>117</v>
      </c>
      <c r="AP167" s="801" t="s">
        <v>119</v>
      </c>
      <c r="AQ167" s="801" t="s">
        <v>120</v>
      </c>
      <c r="AR167" s="801" t="s">
        <v>121</v>
      </c>
      <c r="AS167" s="801" t="s">
        <v>122</v>
      </c>
    </row>
    <row r="168" spans="6:49" ht="11.4" customHeight="1">
      <c r="F168" s="798" t="str">
        <f>F163</f>
        <v>RSDHET00</v>
      </c>
      <c r="I168" s="802">
        <v>31.536000000000001</v>
      </c>
      <c r="J168" s="802">
        <v>31.536000000000001</v>
      </c>
      <c r="K168" s="802">
        <v>31.536000000000001</v>
      </c>
      <c r="L168" s="802">
        <v>31.536000000000001</v>
      </c>
      <c r="M168" s="802">
        <v>31.536000000000001</v>
      </c>
      <c r="N168" s="802">
        <v>31.536000000000001</v>
      </c>
      <c r="O168" s="802">
        <v>31.536000000000001</v>
      </c>
      <c r="P168" s="802">
        <v>31.536000000000001</v>
      </c>
      <c r="Q168" s="802">
        <v>31.536000000000001</v>
      </c>
      <c r="R168" s="802">
        <v>31.536000000000001</v>
      </c>
      <c r="S168" s="802">
        <v>31.536000000000001</v>
      </c>
      <c r="T168" s="802">
        <v>31.536000000000001</v>
      </c>
      <c r="U168" s="802">
        <v>31.536000000000001</v>
      </c>
      <c r="V168" s="802">
        <v>31.536000000000001</v>
      </c>
      <c r="W168" s="802">
        <v>31.536000000000001</v>
      </c>
      <c r="X168" s="802">
        <v>31.536000000000001</v>
      </c>
      <c r="Y168" s="802">
        <v>31.536000000000001</v>
      </c>
      <c r="Z168" s="802">
        <v>31.536000000000001</v>
      </c>
      <c r="AA168" s="802">
        <v>31.536000000000001</v>
      </c>
      <c r="AB168" s="802">
        <v>31.536000000000001</v>
      </c>
      <c r="AC168" s="802">
        <v>31.536000000000001</v>
      </c>
      <c r="AD168" s="802">
        <v>31.536000000000001</v>
      </c>
      <c r="AE168" s="802">
        <v>31.536000000000001</v>
      </c>
      <c r="AF168" s="802">
        <v>31.536000000000001</v>
      </c>
      <c r="AG168" s="802">
        <v>31.536000000000001</v>
      </c>
      <c r="AH168" s="802">
        <v>31.536000000000001</v>
      </c>
      <c r="AI168" s="802">
        <v>31.536000000000001</v>
      </c>
      <c r="AJ168" s="802">
        <v>31.536000000000001</v>
      </c>
      <c r="AK168" s="802">
        <v>31.536000000000001</v>
      </c>
      <c r="AL168" s="802">
        <v>31.536000000000001</v>
      </c>
      <c r="AM168" s="802">
        <v>31.536000000000001</v>
      </c>
      <c r="AN168" s="802">
        <v>31.536000000000001</v>
      </c>
      <c r="AO168" s="802">
        <v>31.536000000000001</v>
      </c>
      <c r="AP168" s="802">
        <v>31.536000000000001</v>
      </c>
      <c r="AQ168" s="802">
        <v>31.536000000000001</v>
      </c>
      <c r="AR168" s="802">
        <v>31.536000000000001</v>
      </c>
      <c r="AS168" s="802">
        <v>31.536000000000001</v>
      </c>
    </row>
    <row r="171" spans="6:49" ht="11.4" customHeight="1">
      <c r="H171" s="799" t="s">
        <v>601</v>
      </c>
    </row>
    <row r="172" spans="6:49" ht="11.4" customHeight="1" thickBot="1">
      <c r="F172" s="800" t="s">
        <v>545</v>
      </c>
      <c r="G172" s="800" t="s">
        <v>585</v>
      </c>
      <c r="H172" s="800" t="s">
        <v>592</v>
      </c>
      <c r="I172" s="801" t="s">
        <v>88</v>
      </c>
      <c r="J172" s="801" t="s">
        <v>89</v>
      </c>
      <c r="K172" s="801" t="s">
        <v>90</v>
      </c>
      <c r="L172" s="801" t="s">
        <v>91</v>
      </c>
      <c r="M172" s="801" t="s">
        <v>92</v>
      </c>
      <c r="N172" s="801" t="s">
        <v>93</v>
      </c>
      <c r="O172" s="801" t="s">
        <v>94</v>
      </c>
      <c r="P172" s="801" t="s">
        <v>95</v>
      </c>
      <c r="Q172" s="801" t="s">
        <v>96</v>
      </c>
      <c r="R172" s="801" t="s">
        <v>97</v>
      </c>
      <c r="S172" s="801" t="s">
        <v>98</v>
      </c>
      <c r="T172" s="801" t="s">
        <v>99</v>
      </c>
      <c r="U172" s="801" t="s">
        <v>205</v>
      </c>
      <c r="V172" s="801" t="s">
        <v>118</v>
      </c>
      <c r="W172" s="801" t="s">
        <v>100</v>
      </c>
      <c r="X172" s="801" t="s">
        <v>101</v>
      </c>
      <c r="Y172" s="801" t="s">
        <v>102</v>
      </c>
      <c r="Z172" s="801" t="s">
        <v>103</v>
      </c>
      <c r="AA172" s="801" t="s">
        <v>104</v>
      </c>
      <c r="AB172" s="801" t="s">
        <v>105</v>
      </c>
      <c r="AC172" s="801" t="s">
        <v>106</v>
      </c>
      <c r="AD172" s="801" t="s">
        <v>107</v>
      </c>
      <c r="AE172" s="801" t="s">
        <v>108</v>
      </c>
      <c r="AF172" s="801" t="s">
        <v>109</v>
      </c>
      <c r="AG172" s="801" t="s">
        <v>110</v>
      </c>
      <c r="AH172" s="801" t="s">
        <v>111</v>
      </c>
      <c r="AI172" s="801" t="s">
        <v>112</v>
      </c>
      <c r="AJ172" s="801" t="s">
        <v>113</v>
      </c>
      <c r="AK172" s="801" t="s">
        <v>114</v>
      </c>
      <c r="AL172" s="801" t="s">
        <v>115</v>
      </c>
      <c r="AM172" s="801" t="s">
        <v>52</v>
      </c>
      <c r="AN172" s="801" t="s">
        <v>116</v>
      </c>
      <c r="AO172" s="801" t="s">
        <v>117</v>
      </c>
      <c r="AP172" s="801" t="s">
        <v>119</v>
      </c>
      <c r="AQ172" s="801" t="s">
        <v>120</v>
      </c>
      <c r="AR172" s="801" t="s">
        <v>121</v>
      </c>
      <c r="AS172" s="801" t="s">
        <v>122</v>
      </c>
    </row>
    <row r="173" spans="6:49" ht="11.4" customHeight="1">
      <c r="F173" s="798" t="str">
        <f>F168</f>
        <v>RSDHET00</v>
      </c>
      <c r="G173" s="798" t="s">
        <v>735</v>
      </c>
      <c r="I173" s="798">
        <v>1</v>
      </c>
      <c r="J173" s="798">
        <v>1</v>
      </c>
      <c r="K173" s="798">
        <v>1</v>
      </c>
      <c r="L173" s="798">
        <v>1</v>
      </c>
      <c r="M173" s="798">
        <v>1</v>
      </c>
      <c r="N173" s="798">
        <v>1</v>
      </c>
      <c r="O173" s="798">
        <v>1</v>
      </c>
      <c r="P173" s="798">
        <v>1</v>
      </c>
      <c r="Q173" s="798">
        <v>1</v>
      </c>
      <c r="R173" s="798">
        <v>1</v>
      </c>
      <c r="S173" s="798">
        <v>1</v>
      </c>
      <c r="T173" s="798">
        <v>1</v>
      </c>
      <c r="U173" s="798">
        <v>1</v>
      </c>
      <c r="V173" s="798">
        <v>1</v>
      </c>
      <c r="W173" s="798">
        <v>1</v>
      </c>
      <c r="X173" s="798">
        <v>1</v>
      </c>
      <c r="Y173" s="798">
        <v>1</v>
      </c>
      <c r="Z173" s="798">
        <v>1</v>
      </c>
      <c r="AA173" s="798">
        <v>1</v>
      </c>
      <c r="AB173" s="798">
        <v>1</v>
      </c>
      <c r="AC173" s="798">
        <v>1</v>
      </c>
      <c r="AD173" s="798">
        <v>1</v>
      </c>
      <c r="AE173" s="798">
        <v>1</v>
      </c>
      <c r="AF173" s="798">
        <v>1</v>
      </c>
      <c r="AG173" s="798">
        <v>1</v>
      </c>
      <c r="AH173" s="798">
        <v>1</v>
      </c>
      <c r="AI173" s="798">
        <v>1</v>
      </c>
      <c r="AJ173" s="798">
        <v>1</v>
      </c>
      <c r="AK173" s="798">
        <v>1</v>
      </c>
      <c r="AL173" s="798">
        <v>1</v>
      </c>
      <c r="AM173" s="798">
        <v>1</v>
      </c>
      <c r="AN173" s="798">
        <v>1</v>
      </c>
      <c r="AO173" s="798">
        <v>1</v>
      </c>
      <c r="AP173" s="798">
        <v>1</v>
      </c>
      <c r="AQ173" s="798">
        <v>1</v>
      </c>
      <c r="AR173" s="798">
        <v>1</v>
      </c>
      <c r="AS173" s="798">
        <v>1</v>
      </c>
    </row>
    <row r="174" spans="6:49" ht="11.4" customHeight="1">
      <c r="H174" s="798" t="s">
        <v>588</v>
      </c>
    </row>
    <row r="177" spans="6:46" ht="11.4" customHeight="1">
      <c r="H177" s="799" t="s">
        <v>734</v>
      </c>
    </row>
    <row r="178" spans="6:46" ht="11.4" customHeight="1" thickBot="1">
      <c r="F178" s="800" t="s">
        <v>545</v>
      </c>
      <c r="G178" s="800" t="s">
        <v>585</v>
      </c>
      <c r="H178" s="800" t="s">
        <v>592</v>
      </c>
      <c r="I178" s="801" t="s">
        <v>88</v>
      </c>
      <c r="J178" s="801" t="s">
        <v>89</v>
      </c>
      <c r="K178" s="801" t="s">
        <v>90</v>
      </c>
      <c r="L178" s="801" t="s">
        <v>91</v>
      </c>
      <c r="M178" s="801" t="s">
        <v>92</v>
      </c>
      <c r="N178" s="801" t="s">
        <v>93</v>
      </c>
      <c r="O178" s="801" t="s">
        <v>94</v>
      </c>
      <c r="P178" s="801" t="s">
        <v>95</v>
      </c>
      <c r="Q178" s="801" t="s">
        <v>96</v>
      </c>
      <c r="R178" s="801" t="s">
        <v>97</v>
      </c>
      <c r="S178" s="801" t="s">
        <v>98</v>
      </c>
      <c r="T178" s="801" t="s">
        <v>99</v>
      </c>
      <c r="U178" s="801" t="s">
        <v>205</v>
      </c>
      <c r="V178" s="801" t="s">
        <v>118</v>
      </c>
      <c r="W178" s="801" t="s">
        <v>100</v>
      </c>
      <c r="X178" s="801" t="s">
        <v>101</v>
      </c>
      <c r="Y178" s="801" t="s">
        <v>102</v>
      </c>
      <c r="Z178" s="801" t="s">
        <v>103</v>
      </c>
      <c r="AA178" s="801" t="s">
        <v>104</v>
      </c>
      <c r="AB178" s="801" t="s">
        <v>105</v>
      </c>
      <c r="AC178" s="801" t="s">
        <v>106</v>
      </c>
      <c r="AD178" s="801" t="s">
        <v>107</v>
      </c>
      <c r="AE178" s="801" t="s">
        <v>108</v>
      </c>
      <c r="AF178" s="801" t="s">
        <v>109</v>
      </c>
      <c r="AG178" s="801" t="s">
        <v>110</v>
      </c>
      <c r="AH178" s="801" t="s">
        <v>111</v>
      </c>
      <c r="AI178" s="801" t="s">
        <v>112</v>
      </c>
      <c r="AJ178" s="801" t="s">
        <v>113</v>
      </c>
      <c r="AK178" s="801" t="s">
        <v>114</v>
      </c>
      <c r="AL178" s="801" t="s">
        <v>115</v>
      </c>
      <c r="AM178" s="801" t="s">
        <v>52</v>
      </c>
      <c r="AN178" s="801" t="s">
        <v>116</v>
      </c>
      <c r="AO178" s="801" t="s">
        <v>117</v>
      </c>
      <c r="AP178" s="801" t="s">
        <v>119</v>
      </c>
      <c r="AQ178" s="801" t="s">
        <v>120</v>
      </c>
      <c r="AR178" s="801" t="s">
        <v>121</v>
      </c>
      <c r="AS178" s="801" t="s">
        <v>122</v>
      </c>
    </row>
    <row r="179" spans="6:46" ht="11.4" customHeight="1">
      <c r="F179" s="798" t="str">
        <f>F173</f>
        <v>RSDHET00</v>
      </c>
      <c r="I179" s="798">
        <f>1/3</f>
        <v>0.33333333333333331</v>
      </c>
      <c r="J179" s="798">
        <f t="shared" ref="J179:AS179" si="6">1/3</f>
        <v>0.33333333333333331</v>
      </c>
      <c r="K179" s="798">
        <f t="shared" si="6"/>
        <v>0.33333333333333331</v>
      </c>
      <c r="L179" s="798">
        <f t="shared" si="6"/>
        <v>0.33333333333333331</v>
      </c>
      <c r="M179" s="798">
        <f t="shared" si="6"/>
        <v>0.33333333333333331</v>
      </c>
      <c r="N179" s="798">
        <f t="shared" si="6"/>
        <v>0.33333333333333331</v>
      </c>
      <c r="O179" s="798">
        <f t="shared" si="6"/>
        <v>0.33333333333333331</v>
      </c>
      <c r="P179" s="798">
        <f t="shared" si="6"/>
        <v>0.33333333333333331</v>
      </c>
      <c r="Q179" s="798">
        <f t="shared" si="6"/>
        <v>0.33333333333333331</v>
      </c>
      <c r="R179" s="798">
        <f t="shared" si="6"/>
        <v>0.33333333333333331</v>
      </c>
      <c r="S179" s="798">
        <f t="shared" si="6"/>
        <v>0.33333333333333331</v>
      </c>
      <c r="T179" s="798">
        <f t="shared" si="6"/>
        <v>0.33333333333333331</v>
      </c>
      <c r="U179" s="798">
        <f t="shared" si="6"/>
        <v>0.33333333333333331</v>
      </c>
      <c r="V179" s="798">
        <f t="shared" si="6"/>
        <v>0.33333333333333331</v>
      </c>
      <c r="W179" s="798">
        <f t="shared" si="6"/>
        <v>0.33333333333333331</v>
      </c>
      <c r="X179" s="798">
        <f t="shared" si="6"/>
        <v>0.33333333333333331</v>
      </c>
      <c r="Y179" s="798">
        <f t="shared" si="6"/>
        <v>0.33333333333333331</v>
      </c>
      <c r="Z179" s="798">
        <f t="shared" si="6"/>
        <v>0.33333333333333331</v>
      </c>
      <c r="AA179" s="798">
        <f t="shared" si="6"/>
        <v>0.33333333333333331</v>
      </c>
      <c r="AB179" s="798">
        <f t="shared" si="6"/>
        <v>0.33333333333333331</v>
      </c>
      <c r="AC179" s="798">
        <f t="shared" si="6"/>
        <v>0.33333333333333331</v>
      </c>
      <c r="AD179" s="798">
        <f t="shared" si="6"/>
        <v>0.33333333333333331</v>
      </c>
      <c r="AE179" s="798">
        <f t="shared" si="6"/>
        <v>0.33333333333333331</v>
      </c>
      <c r="AF179" s="798">
        <f t="shared" si="6"/>
        <v>0.33333333333333331</v>
      </c>
      <c r="AG179" s="798">
        <f t="shared" si="6"/>
        <v>0.33333333333333331</v>
      </c>
      <c r="AH179" s="798">
        <f t="shared" si="6"/>
        <v>0.33333333333333331</v>
      </c>
      <c r="AI179" s="798">
        <f t="shared" si="6"/>
        <v>0.33333333333333331</v>
      </c>
      <c r="AJ179" s="798">
        <f t="shared" si="6"/>
        <v>0.33333333333333331</v>
      </c>
      <c r="AK179" s="798">
        <f t="shared" si="6"/>
        <v>0.33333333333333331</v>
      </c>
      <c r="AL179" s="798">
        <f t="shared" si="6"/>
        <v>0.33333333333333331</v>
      </c>
      <c r="AM179" s="798">
        <f t="shared" si="6"/>
        <v>0.33333333333333331</v>
      </c>
      <c r="AN179" s="798">
        <f t="shared" si="6"/>
        <v>0.33333333333333331</v>
      </c>
      <c r="AO179" s="798">
        <f t="shared" si="6"/>
        <v>0.33333333333333331</v>
      </c>
      <c r="AP179" s="798">
        <f t="shared" si="6"/>
        <v>0.33333333333333331</v>
      </c>
      <c r="AQ179" s="798">
        <f t="shared" si="6"/>
        <v>0.33333333333333331</v>
      </c>
      <c r="AR179" s="798">
        <f t="shared" si="6"/>
        <v>0.33333333333333331</v>
      </c>
      <c r="AS179" s="798">
        <f t="shared" si="6"/>
        <v>0.33333333333333331</v>
      </c>
    </row>
    <row r="181" spans="6:46" ht="11.4" customHeight="1">
      <c r="H181" s="808"/>
    </row>
    <row r="182" spans="6:46" ht="11.4" customHeight="1">
      <c r="H182" s="799" t="s">
        <v>733</v>
      </c>
    </row>
    <row r="183" spans="6:46" ht="11.4" customHeight="1" thickBot="1">
      <c r="F183" s="800" t="s">
        <v>545</v>
      </c>
      <c r="G183" s="800" t="s">
        <v>585</v>
      </c>
      <c r="H183" s="800" t="s">
        <v>592</v>
      </c>
      <c r="I183" s="801" t="s">
        <v>88</v>
      </c>
      <c r="J183" s="801" t="s">
        <v>89</v>
      </c>
      <c r="K183" s="801" t="s">
        <v>90</v>
      </c>
      <c r="L183" s="801" t="s">
        <v>91</v>
      </c>
      <c r="M183" s="801" t="s">
        <v>92</v>
      </c>
      <c r="N183" s="801" t="s">
        <v>93</v>
      </c>
      <c r="O183" s="801" t="s">
        <v>94</v>
      </c>
      <c r="P183" s="801" t="s">
        <v>95</v>
      </c>
      <c r="Q183" s="801" t="s">
        <v>96</v>
      </c>
      <c r="R183" s="801" t="s">
        <v>97</v>
      </c>
      <c r="S183" s="801" t="s">
        <v>98</v>
      </c>
      <c r="T183" s="801" t="s">
        <v>99</v>
      </c>
      <c r="U183" s="801" t="s">
        <v>205</v>
      </c>
      <c r="V183" s="801" t="s">
        <v>118</v>
      </c>
      <c r="W183" s="801" t="s">
        <v>100</v>
      </c>
      <c r="X183" s="801" t="s">
        <v>101</v>
      </c>
      <c r="Y183" s="801" t="s">
        <v>102</v>
      </c>
      <c r="Z183" s="801" t="s">
        <v>103</v>
      </c>
      <c r="AA183" s="801" t="s">
        <v>104</v>
      </c>
      <c r="AB183" s="801" t="s">
        <v>105</v>
      </c>
      <c r="AC183" s="801" t="s">
        <v>106</v>
      </c>
      <c r="AD183" s="801" t="s">
        <v>107</v>
      </c>
      <c r="AE183" s="801" t="s">
        <v>108</v>
      </c>
      <c r="AF183" s="801" t="s">
        <v>109</v>
      </c>
      <c r="AG183" s="801" t="s">
        <v>110</v>
      </c>
      <c r="AH183" s="801" t="s">
        <v>111</v>
      </c>
      <c r="AI183" s="801" t="s">
        <v>112</v>
      </c>
      <c r="AJ183" s="801" t="s">
        <v>113</v>
      </c>
      <c r="AK183" s="801" t="s">
        <v>114</v>
      </c>
      <c r="AL183" s="801" t="s">
        <v>115</v>
      </c>
      <c r="AM183" s="801" t="s">
        <v>52</v>
      </c>
      <c r="AN183" s="801" t="s">
        <v>116</v>
      </c>
      <c r="AO183" s="801" t="s">
        <v>117</v>
      </c>
      <c r="AP183" s="801" t="s">
        <v>119</v>
      </c>
      <c r="AQ183" s="801" t="s">
        <v>120</v>
      </c>
      <c r="AR183" s="801" t="s">
        <v>121</v>
      </c>
      <c r="AS183" s="801" t="s">
        <v>122</v>
      </c>
    </row>
    <row r="184" spans="6:46" ht="11.4" customHeight="1">
      <c r="F184" s="798" t="str">
        <f>F179</f>
        <v>RSDHET00</v>
      </c>
      <c r="I184" s="798">
        <v>1</v>
      </c>
      <c r="J184" s="798">
        <v>1</v>
      </c>
      <c r="K184" s="798">
        <v>1</v>
      </c>
      <c r="L184" s="798">
        <v>1</v>
      </c>
      <c r="M184" s="798">
        <v>1</v>
      </c>
      <c r="N184" s="798">
        <v>1</v>
      </c>
      <c r="O184" s="798">
        <v>1</v>
      </c>
      <c r="P184" s="798">
        <v>1</v>
      </c>
      <c r="Q184" s="798">
        <v>1</v>
      </c>
      <c r="R184" s="798">
        <v>1</v>
      </c>
      <c r="S184" s="798">
        <v>1</v>
      </c>
      <c r="T184" s="798">
        <v>1</v>
      </c>
      <c r="U184" s="798">
        <v>1</v>
      </c>
      <c r="V184" s="798">
        <v>1</v>
      </c>
      <c r="W184" s="798">
        <v>1</v>
      </c>
      <c r="X184" s="798">
        <v>1</v>
      </c>
      <c r="Y184" s="798">
        <v>1</v>
      </c>
      <c r="Z184" s="798">
        <v>1</v>
      </c>
      <c r="AA184" s="798">
        <v>1</v>
      </c>
      <c r="AB184" s="798">
        <v>1</v>
      </c>
      <c r="AC184" s="798">
        <v>1</v>
      </c>
      <c r="AD184" s="798">
        <v>1</v>
      </c>
      <c r="AE184" s="798">
        <v>1</v>
      </c>
      <c r="AF184" s="798">
        <v>1</v>
      </c>
      <c r="AG184" s="798">
        <v>1</v>
      </c>
      <c r="AH184" s="798">
        <v>1</v>
      </c>
      <c r="AI184" s="798">
        <v>1</v>
      </c>
      <c r="AJ184" s="798">
        <v>1</v>
      </c>
      <c r="AK184" s="798">
        <v>1</v>
      </c>
      <c r="AL184" s="798">
        <v>1</v>
      </c>
      <c r="AM184" s="798">
        <v>1</v>
      </c>
      <c r="AN184" s="798">
        <v>1</v>
      </c>
      <c r="AO184" s="798">
        <v>1</v>
      </c>
      <c r="AP184" s="798">
        <v>1</v>
      </c>
      <c r="AQ184" s="798">
        <v>1</v>
      </c>
      <c r="AR184" s="798">
        <v>1</v>
      </c>
      <c r="AS184" s="798">
        <v>1</v>
      </c>
    </row>
    <row r="188" spans="6:46" ht="11.4" customHeight="1">
      <c r="F188" s="809" t="s">
        <v>545</v>
      </c>
      <c r="G188" s="810" t="s">
        <v>585</v>
      </c>
      <c r="H188" s="810" t="s">
        <v>592</v>
      </c>
      <c r="I188" s="809" t="s">
        <v>88</v>
      </c>
      <c r="J188" s="809" t="s">
        <v>89</v>
      </c>
      <c r="K188" s="809" t="s">
        <v>90</v>
      </c>
      <c r="L188" s="809" t="s">
        <v>91</v>
      </c>
      <c r="M188" s="809" t="s">
        <v>92</v>
      </c>
      <c r="N188" s="809" t="s">
        <v>93</v>
      </c>
      <c r="O188" s="809" t="s">
        <v>94</v>
      </c>
      <c r="P188" s="809" t="s">
        <v>95</v>
      </c>
      <c r="Q188" s="809" t="s">
        <v>96</v>
      </c>
      <c r="R188" s="809" t="s">
        <v>97</v>
      </c>
      <c r="S188" s="809" t="s">
        <v>98</v>
      </c>
      <c r="T188" s="809" t="s">
        <v>99</v>
      </c>
      <c r="U188" s="809" t="s">
        <v>205</v>
      </c>
      <c r="V188" s="809" t="s">
        <v>118</v>
      </c>
      <c r="W188" s="809" t="s">
        <v>100</v>
      </c>
      <c r="X188" s="809" t="s">
        <v>101</v>
      </c>
      <c r="Y188" s="809" t="s">
        <v>102</v>
      </c>
      <c r="Z188" s="809" t="s">
        <v>103</v>
      </c>
      <c r="AA188" s="809" t="s">
        <v>104</v>
      </c>
      <c r="AB188" s="809" t="s">
        <v>105</v>
      </c>
      <c r="AC188" s="809" t="s">
        <v>106</v>
      </c>
      <c r="AD188" s="809" t="s">
        <v>107</v>
      </c>
      <c r="AE188" s="809" t="s">
        <v>108</v>
      </c>
      <c r="AF188" s="809" t="s">
        <v>109</v>
      </c>
      <c r="AG188" s="809" t="s">
        <v>110</v>
      </c>
      <c r="AH188" s="809" t="s">
        <v>111</v>
      </c>
      <c r="AI188" s="809" t="s">
        <v>112</v>
      </c>
      <c r="AJ188" s="809" t="s">
        <v>113</v>
      </c>
      <c r="AK188" s="809" t="s">
        <v>114</v>
      </c>
      <c r="AL188" s="809" t="s">
        <v>115</v>
      </c>
      <c r="AM188" s="809" t="s">
        <v>52</v>
      </c>
      <c r="AN188" s="809" t="s">
        <v>116</v>
      </c>
      <c r="AO188" s="809" t="s">
        <v>117</v>
      </c>
      <c r="AP188" s="809" t="s">
        <v>119</v>
      </c>
      <c r="AQ188" s="809" t="s">
        <v>120</v>
      </c>
      <c r="AR188" s="809" t="s">
        <v>121</v>
      </c>
      <c r="AS188" s="809" t="s">
        <v>122</v>
      </c>
      <c r="AT188" s="809"/>
    </row>
    <row r="189" spans="6:46" ht="11.4" customHeight="1">
      <c r="F189" s="809" t="s">
        <v>795</v>
      </c>
      <c r="G189" s="809"/>
      <c r="H189" s="809"/>
      <c r="I189" s="809">
        <v>1</v>
      </c>
      <c r="J189" s="809">
        <v>1</v>
      </c>
      <c r="K189" s="809">
        <v>1</v>
      </c>
      <c r="L189" s="809">
        <v>1</v>
      </c>
      <c r="M189" s="809">
        <v>1</v>
      </c>
      <c r="N189" s="809">
        <v>1</v>
      </c>
      <c r="O189" s="809">
        <v>1</v>
      </c>
      <c r="P189" s="809">
        <v>1</v>
      </c>
      <c r="Q189" s="809">
        <v>1</v>
      </c>
      <c r="R189" s="809">
        <v>1</v>
      </c>
      <c r="S189" s="809">
        <v>1</v>
      </c>
      <c r="T189" s="809">
        <v>1</v>
      </c>
      <c r="U189" s="809">
        <v>1</v>
      </c>
      <c r="V189" s="809">
        <v>1</v>
      </c>
      <c r="W189" s="809">
        <v>1</v>
      </c>
      <c r="X189" s="809">
        <v>1</v>
      </c>
      <c r="Y189" s="809">
        <v>1</v>
      </c>
      <c r="Z189" s="809">
        <v>1</v>
      </c>
      <c r="AA189" s="809">
        <v>1</v>
      </c>
      <c r="AB189" s="809">
        <v>1</v>
      </c>
      <c r="AC189" s="809">
        <v>1</v>
      </c>
      <c r="AD189" s="809">
        <v>1</v>
      </c>
      <c r="AE189" s="809">
        <v>1</v>
      </c>
      <c r="AF189" s="809">
        <v>1</v>
      </c>
      <c r="AG189" s="809">
        <v>1</v>
      </c>
      <c r="AH189" s="809">
        <v>1</v>
      </c>
      <c r="AI189" s="809">
        <v>1</v>
      </c>
      <c r="AJ189" s="809">
        <v>1</v>
      </c>
      <c r="AK189" s="809">
        <v>1</v>
      </c>
      <c r="AL189" s="809">
        <v>1</v>
      </c>
      <c r="AM189" s="809">
        <v>1</v>
      </c>
      <c r="AN189" s="809">
        <v>1</v>
      </c>
      <c r="AO189" s="809">
        <v>1</v>
      </c>
      <c r="AP189" s="809">
        <v>1</v>
      </c>
      <c r="AQ189" s="809">
        <v>1</v>
      </c>
      <c r="AR189" s="809">
        <v>1</v>
      </c>
      <c r="AS189" s="809">
        <v>1</v>
      </c>
      <c r="AT189" s="809"/>
    </row>
    <row r="190" spans="6:46" ht="11.4" customHeight="1">
      <c r="F190" s="809"/>
      <c r="G190" s="809"/>
      <c r="H190" s="809"/>
      <c r="I190" s="809"/>
      <c r="J190" s="809"/>
      <c r="K190" s="809"/>
      <c r="L190" s="809"/>
      <c r="M190" s="809"/>
      <c r="N190" s="809"/>
      <c r="O190" s="809"/>
      <c r="P190" s="809"/>
      <c r="Q190" s="809"/>
      <c r="R190" s="809"/>
      <c r="S190" s="809"/>
      <c r="T190" s="809"/>
      <c r="U190" s="809"/>
      <c r="V190" s="809"/>
      <c r="W190" s="809"/>
      <c r="X190" s="809"/>
      <c r="Y190" s="809"/>
      <c r="Z190" s="809"/>
      <c r="AA190" s="809"/>
      <c r="AB190" s="809"/>
      <c r="AC190" s="809"/>
      <c r="AD190" s="809"/>
      <c r="AE190" s="809"/>
      <c r="AF190" s="809"/>
      <c r="AG190" s="809"/>
      <c r="AH190" s="809"/>
      <c r="AI190" s="809"/>
      <c r="AJ190" s="809"/>
      <c r="AK190" s="809"/>
      <c r="AL190" s="809"/>
      <c r="AM190" s="809"/>
      <c r="AN190" s="809"/>
      <c r="AO190" s="809"/>
      <c r="AP190" s="809"/>
      <c r="AQ190" s="809"/>
      <c r="AR190" s="809"/>
      <c r="AS190" s="809"/>
      <c r="AT190" s="809"/>
    </row>
    <row r="191" spans="6:46" ht="11.4" customHeight="1">
      <c r="F191" s="809"/>
      <c r="G191" s="809"/>
      <c r="H191" s="809"/>
      <c r="I191" s="809"/>
      <c r="J191" s="809"/>
      <c r="K191" s="809"/>
      <c r="L191" s="809"/>
      <c r="M191" s="809"/>
      <c r="N191" s="809"/>
      <c r="O191" s="809"/>
      <c r="P191" s="809"/>
      <c r="Q191" s="809"/>
      <c r="R191" s="809"/>
      <c r="S191" s="809"/>
      <c r="T191" s="809"/>
      <c r="U191" s="809"/>
      <c r="V191" s="809"/>
      <c r="W191" s="809"/>
      <c r="X191" s="809"/>
      <c r="Y191" s="809"/>
      <c r="Z191" s="809"/>
      <c r="AA191" s="809"/>
      <c r="AB191" s="809"/>
      <c r="AC191" s="809"/>
      <c r="AD191" s="809"/>
      <c r="AE191" s="809"/>
      <c r="AF191" s="809"/>
      <c r="AG191" s="809"/>
      <c r="AH191" s="809"/>
      <c r="AI191" s="809"/>
      <c r="AJ191" s="809"/>
      <c r="AK191" s="809"/>
      <c r="AL191" s="809"/>
      <c r="AM191" s="809"/>
      <c r="AN191" s="809"/>
      <c r="AO191" s="809"/>
      <c r="AP191" s="809"/>
      <c r="AQ191" s="809"/>
      <c r="AR191" s="809"/>
      <c r="AS191" s="809"/>
      <c r="AT191" s="809"/>
    </row>
    <row r="192" spans="6:46" ht="11.4" customHeight="1">
      <c r="F192" s="809"/>
      <c r="G192" s="809"/>
      <c r="H192" s="809"/>
      <c r="I192" s="809"/>
      <c r="J192" s="809"/>
      <c r="K192" s="809"/>
      <c r="L192" s="809"/>
      <c r="M192" s="809"/>
      <c r="N192" s="809"/>
      <c r="O192" s="809"/>
      <c r="P192" s="809"/>
      <c r="Q192" s="809"/>
      <c r="R192" s="809"/>
      <c r="S192" s="809"/>
      <c r="T192" s="809"/>
      <c r="U192" s="809"/>
      <c r="V192" s="809"/>
      <c r="W192" s="809"/>
      <c r="X192" s="809"/>
      <c r="Y192" s="809"/>
      <c r="Z192" s="809"/>
      <c r="AA192" s="809"/>
      <c r="AB192" s="809"/>
      <c r="AC192" s="809"/>
      <c r="AD192" s="809"/>
      <c r="AE192" s="809"/>
      <c r="AF192" s="809"/>
      <c r="AG192" s="809"/>
      <c r="AH192" s="809"/>
      <c r="AI192" s="809"/>
      <c r="AJ192" s="809"/>
      <c r="AK192" s="809"/>
      <c r="AL192" s="809"/>
      <c r="AM192" s="809"/>
      <c r="AN192" s="809"/>
      <c r="AO192" s="809"/>
      <c r="AP192" s="809"/>
      <c r="AQ192" s="809"/>
      <c r="AR192" s="809"/>
      <c r="AS192" s="809"/>
      <c r="AT192" s="809"/>
    </row>
    <row r="193" spans="6:46" ht="11.4" customHeight="1">
      <c r="F193" s="809" t="s">
        <v>545</v>
      </c>
      <c r="G193" s="810" t="s">
        <v>585</v>
      </c>
      <c r="H193" s="810" t="s">
        <v>592</v>
      </c>
      <c r="I193" s="809" t="s">
        <v>88</v>
      </c>
      <c r="J193" s="809" t="s">
        <v>89</v>
      </c>
      <c r="K193" s="809" t="s">
        <v>90</v>
      </c>
      <c r="L193" s="809" t="s">
        <v>91</v>
      </c>
      <c r="M193" s="809" t="s">
        <v>92</v>
      </c>
      <c r="N193" s="809" t="s">
        <v>93</v>
      </c>
      <c r="O193" s="809" t="s">
        <v>94</v>
      </c>
      <c r="P193" s="809" t="s">
        <v>95</v>
      </c>
      <c r="Q193" s="809" t="s">
        <v>96</v>
      </c>
      <c r="R193" s="809" t="s">
        <v>97</v>
      </c>
      <c r="S193" s="809" t="s">
        <v>98</v>
      </c>
      <c r="T193" s="809" t="s">
        <v>99</v>
      </c>
      <c r="U193" s="809" t="s">
        <v>205</v>
      </c>
      <c r="V193" s="809" t="s">
        <v>118</v>
      </c>
      <c r="W193" s="809" t="s">
        <v>100</v>
      </c>
      <c r="X193" s="809" t="s">
        <v>101</v>
      </c>
      <c r="Y193" s="809" t="s">
        <v>102</v>
      </c>
      <c r="Z193" s="809" t="s">
        <v>103</v>
      </c>
      <c r="AA193" s="809" t="s">
        <v>104</v>
      </c>
      <c r="AB193" s="809" t="s">
        <v>105</v>
      </c>
      <c r="AC193" s="809" t="s">
        <v>106</v>
      </c>
      <c r="AD193" s="809" t="s">
        <v>107</v>
      </c>
      <c r="AE193" s="809" t="s">
        <v>108</v>
      </c>
      <c r="AF193" s="809" t="s">
        <v>109</v>
      </c>
      <c r="AG193" s="809" t="s">
        <v>110</v>
      </c>
      <c r="AH193" s="809" t="s">
        <v>111</v>
      </c>
      <c r="AI193" s="809" t="s">
        <v>112</v>
      </c>
      <c r="AJ193" s="809" t="s">
        <v>113</v>
      </c>
      <c r="AK193" s="809" t="s">
        <v>114</v>
      </c>
      <c r="AL193" s="809" t="s">
        <v>115</v>
      </c>
      <c r="AM193" s="809" t="s">
        <v>52</v>
      </c>
      <c r="AN193" s="809" t="s">
        <v>116</v>
      </c>
      <c r="AO193" s="809" t="s">
        <v>117</v>
      </c>
      <c r="AP193" s="809" t="s">
        <v>119</v>
      </c>
      <c r="AQ193" s="809" t="s">
        <v>120</v>
      </c>
      <c r="AR193" s="809" t="s">
        <v>121</v>
      </c>
      <c r="AS193" s="809" t="s">
        <v>122</v>
      </c>
      <c r="AT193" s="809"/>
    </row>
    <row r="194" spans="6:46" ht="11.4" customHeight="1">
      <c r="F194" s="809" t="s">
        <v>795</v>
      </c>
      <c r="G194" s="809"/>
      <c r="H194" s="809"/>
      <c r="I194" s="809">
        <v>31.536000000000001</v>
      </c>
      <c r="J194" s="809">
        <v>31.536000000000001</v>
      </c>
      <c r="K194" s="809">
        <v>31.536000000000001</v>
      </c>
      <c r="L194" s="809">
        <v>31.536000000000001</v>
      </c>
      <c r="M194" s="809">
        <v>31.536000000000001</v>
      </c>
      <c r="N194" s="809">
        <v>31.536000000000001</v>
      </c>
      <c r="O194" s="809">
        <v>31.536000000000001</v>
      </c>
      <c r="P194" s="809">
        <v>31.536000000000001</v>
      </c>
      <c r="Q194" s="809">
        <v>31.536000000000001</v>
      </c>
      <c r="R194" s="809">
        <v>31.536000000000001</v>
      </c>
      <c r="S194" s="809">
        <v>31.536000000000001</v>
      </c>
      <c r="T194" s="809">
        <v>31.536000000000001</v>
      </c>
      <c r="U194" s="809">
        <v>31.536000000000001</v>
      </c>
      <c r="V194" s="809">
        <v>31.536000000000001</v>
      </c>
      <c r="W194" s="809">
        <v>31.536000000000001</v>
      </c>
      <c r="X194" s="809">
        <v>31.536000000000001</v>
      </c>
      <c r="Y194" s="809">
        <v>31.536000000000001</v>
      </c>
      <c r="Z194" s="809">
        <v>31.536000000000001</v>
      </c>
      <c r="AA194" s="809">
        <v>31.536000000000001</v>
      </c>
      <c r="AB194" s="809">
        <v>31.536000000000001</v>
      </c>
      <c r="AC194" s="809">
        <v>31.536000000000001</v>
      </c>
      <c r="AD194" s="809">
        <v>31.536000000000001</v>
      </c>
      <c r="AE194" s="809">
        <v>31.536000000000001</v>
      </c>
      <c r="AF194" s="809">
        <v>31.536000000000001</v>
      </c>
      <c r="AG194" s="809">
        <v>31.536000000000001</v>
      </c>
      <c r="AH194" s="809">
        <v>31.536000000000001</v>
      </c>
      <c r="AI194" s="809">
        <v>31.536000000000001</v>
      </c>
      <c r="AJ194" s="809">
        <v>31.536000000000001</v>
      </c>
      <c r="AK194" s="809">
        <v>31.536000000000001</v>
      </c>
      <c r="AL194" s="809">
        <v>31.536000000000001</v>
      </c>
      <c r="AM194" s="809">
        <v>31.536000000000001</v>
      </c>
      <c r="AN194" s="809">
        <v>31.536000000000001</v>
      </c>
      <c r="AO194" s="809">
        <v>31.536000000000001</v>
      </c>
      <c r="AP194" s="809">
        <v>31.536000000000001</v>
      </c>
      <c r="AQ194" s="809">
        <v>31.536000000000001</v>
      </c>
      <c r="AR194" s="809">
        <v>31.536000000000001</v>
      </c>
      <c r="AS194" s="809">
        <v>31.536000000000001</v>
      </c>
      <c r="AT194" s="809"/>
    </row>
    <row r="195" spans="6:46" ht="11.4" customHeight="1">
      <c r="F195" s="809"/>
      <c r="G195" s="809"/>
      <c r="H195" s="809"/>
      <c r="I195" s="809"/>
      <c r="J195" s="809"/>
      <c r="K195" s="809"/>
      <c r="L195" s="809"/>
      <c r="M195" s="809"/>
      <c r="N195" s="809"/>
      <c r="O195" s="809"/>
      <c r="P195" s="809"/>
      <c r="Q195" s="809"/>
      <c r="R195" s="809"/>
      <c r="S195" s="809"/>
      <c r="T195" s="809"/>
      <c r="U195" s="809"/>
      <c r="V195" s="809"/>
      <c r="W195" s="809"/>
      <c r="X195" s="809"/>
      <c r="Y195" s="809"/>
      <c r="Z195" s="809"/>
      <c r="AA195" s="809"/>
      <c r="AB195" s="809"/>
      <c r="AC195" s="809"/>
      <c r="AD195" s="809"/>
      <c r="AE195" s="809"/>
      <c r="AF195" s="809"/>
      <c r="AG195" s="809"/>
      <c r="AH195" s="809"/>
      <c r="AI195" s="809"/>
      <c r="AJ195" s="809"/>
      <c r="AK195" s="809"/>
      <c r="AL195" s="809"/>
      <c r="AM195" s="809"/>
      <c r="AN195" s="809"/>
      <c r="AO195" s="809"/>
      <c r="AP195" s="809"/>
      <c r="AQ195" s="809"/>
      <c r="AR195" s="809"/>
      <c r="AS195" s="809"/>
      <c r="AT195" s="809"/>
    </row>
    <row r="196" spans="6:46" ht="11.4" customHeight="1">
      <c r="F196" s="809"/>
      <c r="G196" s="809"/>
      <c r="H196" s="809"/>
      <c r="I196" s="809"/>
      <c r="J196" s="809"/>
      <c r="K196" s="809"/>
      <c r="L196" s="809"/>
      <c r="M196" s="809"/>
      <c r="N196" s="809"/>
      <c r="O196" s="809"/>
      <c r="P196" s="809"/>
      <c r="Q196" s="809"/>
      <c r="R196" s="809"/>
      <c r="S196" s="809"/>
      <c r="T196" s="809"/>
      <c r="U196" s="809"/>
      <c r="V196" s="809"/>
      <c r="W196" s="809"/>
      <c r="X196" s="809"/>
      <c r="Y196" s="809"/>
      <c r="Z196" s="809"/>
      <c r="AA196" s="809"/>
      <c r="AB196" s="809"/>
      <c r="AC196" s="809"/>
      <c r="AD196" s="809"/>
      <c r="AE196" s="809"/>
      <c r="AF196" s="809"/>
      <c r="AG196" s="809"/>
      <c r="AH196" s="809"/>
      <c r="AI196" s="809"/>
      <c r="AJ196" s="809"/>
      <c r="AK196" s="809"/>
      <c r="AL196" s="809"/>
      <c r="AM196" s="809"/>
      <c r="AN196" s="809"/>
      <c r="AO196" s="809"/>
      <c r="AP196" s="809"/>
      <c r="AQ196" s="809"/>
      <c r="AR196" s="809"/>
      <c r="AS196" s="809"/>
      <c r="AT196" s="809"/>
    </row>
    <row r="197" spans="6:46" ht="11.4" customHeight="1">
      <c r="F197" s="809"/>
      <c r="G197" s="809"/>
      <c r="H197" s="809"/>
      <c r="I197" s="809"/>
      <c r="J197" s="809"/>
      <c r="K197" s="809"/>
      <c r="L197" s="809"/>
      <c r="M197" s="809"/>
      <c r="N197" s="809"/>
      <c r="O197" s="809"/>
      <c r="P197" s="809"/>
      <c r="Q197" s="809"/>
      <c r="R197" s="809"/>
      <c r="S197" s="809"/>
      <c r="T197" s="809"/>
      <c r="U197" s="809"/>
      <c r="V197" s="809"/>
      <c r="W197" s="809"/>
      <c r="X197" s="809"/>
      <c r="Y197" s="809"/>
      <c r="Z197" s="809"/>
      <c r="AA197" s="809"/>
      <c r="AB197" s="809"/>
      <c r="AC197" s="809"/>
      <c r="AD197" s="809"/>
      <c r="AE197" s="809"/>
      <c r="AF197" s="809"/>
      <c r="AG197" s="809"/>
      <c r="AH197" s="809"/>
      <c r="AI197" s="809"/>
      <c r="AJ197" s="809"/>
      <c r="AK197" s="809"/>
      <c r="AL197" s="809"/>
      <c r="AM197" s="809"/>
      <c r="AN197" s="809"/>
      <c r="AO197" s="809"/>
      <c r="AP197" s="809"/>
      <c r="AQ197" s="809"/>
      <c r="AR197" s="809"/>
      <c r="AS197" s="809"/>
      <c r="AT197" s="809"/>
    </row>
    <row r="198" spans="6:46" ht="11.4" customHeight="1">
      <c r="F198" s="809" t="s">
        <v>545</v>
      </c>
      <c r="G198" s="810" t="s">
        <v>585</v>
      </c>
      <c r="H198" s="810" t="s">
        <v>592</v>
      </c>
      <c r="I198" s="809" t="s">
        <v>88</v>
      </c>
      <c r="J198" s="809" t="s">
        <v>89</v>
      </c>
      <c r="K198" s="809" t="s">
        <v>90</v>
      </c>
      <c r="L198" s="809" t="s">
        <v>91</v>
      </c>
      <c r="M198" s="809" t="s">
        <v>92</v>
      </c>
      <c r="N198" s="809" t="s">
        <v>93</v>
      </c>
      <c r="O198" s="809" t="s">
        <v>94</v>
      </c>
      <c r="P198" s="809" t="s">
        <v>95</v>
      </c>
      <c r="Q198" s="809" t="s">
        <v>96</v>
      </c>
      <c r="R198" s="809" t="s">
        <v>97</v>
      </c>
      <c r="S198" s="809" t="s">
        <v>98</v>
      </c>
      <c r="T198" s="809" t="s">
        <v>99</v>
      </c>
      <c r="U198" s="809" t="s">
        <v>205</v>
      </c>
      <c r="V198" s="809" t="s">
        <v>118</v>
      </c>
      <c r="W198" s="809" t="s">
        <v>100</v>
      </c>
      <c r="X198" s="809" t="s">
        <v>101</v>
      </c>
      <c r="Y198" s="809" t="s">
        <v>102</v>
      </c>
      <c r="Z198" s="809" t="s">
        <v>103</v>
      </c>
      <c r="AA198" s="809" t="s">
        <v>104</v>
      </c>
      <c r="AB198" s="809" t="s">
        <v>105</v>
      </c>
      <c r="AC198" s="809" t="s">
        <v>106</v>
      </c>
      <c r="AD198" s="809" t="s">
        <v>107</v>
      </c>
      <c r="AE198" s="809" t="s">
        <v>108</v>
      </c>
      <c r="AF198" s="809" t="s">
        <v>109</v>
      </c>
      <c r="AG198" s="809" t="s">
        <v>110</v>
      </c>
      <c r="AH198" s="809" t="s">
        <v>111</v>
      </c>
      <c r="AI198" s="809" t="s">
        <v>112</v>
      </c>
      <c r="AJ198" s="809" t="s">
        <v>113</v>
      </c>
      <c r="AK198" s="809" t="s">
        <v>114</v>
      </c>
      <c r="AL198" s="809" t="s">
        <v>115</v>
      </c>
      <c r="AM198" s="809" t="s">
        <v>52</v>
      </c>
      <c r="AN198" s="809" t="s">
        <v>116</v>
      </c>
      <c r="AO198" s="809" t="s">
        <v>117</v>
      </c>
      <c r="AP198" s="809" t="s">
        <v>119</v>
      </c>
      <c r="AQ198" s="809" t="s">
        <v>120</v>
      </c>
      <c r="AR198" s="809" t="s">
        <v>121</v>
      </c>
      <c r="AS198" s="809" t="s">
        <v>122</v>
      </c>
      <c r="AT198" s="809"/>
    </row>
    <row r="199" spans="6:46" ht="11.4" customHeight="1">
      <c r="F199" s="809" t="s">
        <v>795</v>
      </c>
      <c r="G199" s="809" t="s">
        <v>735</v>
      </c>
      <c r="H199" s="809"/>
      <c r="I199" s="809">
        <v>1</v>
      </c>
      <c r="J199" s="809">
        <v>1</v>
      </c>
      <c r="K199" s="809">
        <v>1</v>
      </c>
      <c r="L199" s="809">
        <v>1</v>
      </c>
      <c r="M199" s="809">
        <v>1</v>
      </c>
      <c r="N199" s="809">
        <v>1</v>
      </c>
      <c r="O199" s="809">
        <v>1</v>
      </c>
      <c r="P199" s="809">
        <v>1</v>
      </c>
      <c r="Q199" s="809">
        <v>1</v>
      </c>
      <c r="R199" s="809">
        <v>1</v>
      </c>
      <c r="S199" s="809">
        <v>1</v>
      </c>
      <c r="T199" s="809">
        <v>1</v>
      </c>
      <c r="U199" s="809">
        <v>1</v>
      </c>
      <c r="V199" s="809">
        <v>1</v>
      </c>
      <c r="W199" s="809">
        <v>1</v>
      </c>
      <c r="X199" s="809">
        <v>1</v>
      </c>
      <c r="Y199" s="809">
        <v>1</v>
      </c>
      <c r="Z199" s="809">
        <v>1</v>
      </c>
      <c r="AA199" s="809">
        <v>1</v>
      </c>
      <c r="AB199" s="809">
        <v>1</v>
      </c>
      <c r="AC199" s="809">
        <v>1</v>
      </c>
      <c r="AD199" s="809">
        <v>1</v>
      </c>
      <c r="AE199" s="809">
        <v>1</v>
      </c>
      <c r="AF199" s="809">
        <v>1</v>
      </c>
      <c r="AG199" s="809">
        <v>1</v>
      </c>
      <c r="AH199" s="809">
        <v>1</v>
      </c>
      <c r="AI199" s="809">
        <v>1</v>
      </c>
      <c r="AJ199" s="809">
        <v>1</v>
      </c>
      <c r="AK199" s="809">
        <v>1</v>
      </c>
      <c r="AL199" s="809">
        <v>1</v>
      </c>
      <c r="AM199" s="809">
        <v>1</v>
      </c>
      <c r="AN199" s="809">
        <v>1</v>
      </c>
      <c r="AO199" s="809">
        <v>1</v>
      </c>
      <c r="AP199" s="809">
        <v>1</v>
      </c>
      <c r="AQ199" s="809">
        <v>1</v>
      </c>
      <c r="AR199" s="809">
        <v>1</v>
      </c>
      <c r="AS199" s="809">
        <v>1</v>
      </c>
      <c r="AT199" s="809"/>
    </row>
    <row r="200" spans="6:46" ht="11.4" customHeight="1">
      <c r="F200" s="809"/>
      <c r="G200" s="809"/>
      <c r="H200" s="809" t="s">
        <v>588</v>
      </c>
      <c r="I200" s="809"/>
      <c r="J200" s="809"/>
      <c r="K200" s="809"/>
      <c r="L200" s="809"/>
      <c r="M200" s="809"/>
      <c r="N200" s="809"/>
      <c r="O200" s="809"/>
      <c r="P200" s="809"/>
      <c r="Q200" s="809"/>
      <c r="R200" s="809"/>
      <c r="S200" s="809"/>
      <c r="T200" s="809"/>
      <c r="U200" s="809"/>
      <c r="V200" s="809"/>
      <c r="W200" s="809"/>
      <c r="X200" s="809"/>
      <c r="Y200" s="809"/>
      <c r="Z200" s="809"/>
      <c r="AA200" s="809"/>
      <c r="AB200" s="809"/>
      <c r="AC200" s="809"/>
      <c r="AD200" s="809"/>
      <c r="AE200" s="809"/>
      <c r="AF200" s="809"/>
      <c r="AG200" s="809"/>
      <c r="AH200" s="809"/>
      <c r="AI200" s="809"/>
      <c r="AJ200" s="809"/>
      <c r="AK200" s="809"/>
      <c r="AL200" s="809"/>
      <c r="AM200" s="809"/>
      <c r="AN200" s="809"/>
      <c r="AO200" s="809"/>
      <c r="AP200" s="809"/>
      <c r="AQ200" s="809"/>
      <c r="AR200" s="809"/>
      <c r="AS200" s="809"/>
      <c r="AT200" s="809"/>
    </row>
    <row r="201" spans="6:46" ht="11.4" customHeight="1">
      <c r="F201" s="809"/>
      <c r="G201" s="809"/>
      <c r="H201" s="809"/>
      <c r="I201" s="809"/>
      <c r="J201" s="809"/>
      <c r="K201" s="809"/>
      <c r="L201" s="809"/>
      <c r="M201" s="809"/>
      <c r="N201" s="809"/>
      <c r="O201" s="809"/>
      <c r="P201" s="809"/>
      <c r="Q201" s="809"/>
      <c r="R201" s="809"/>
      <c r="S201" s="809"/>
      <c r="T201" s="809"/>
      <c r="U201" s="809"/>
      <c r="V201" s="809"/>
      <c r="W201" s="809"/>
      <c r="X201" s="809"/>
      <c r="Y201" s="809"/>
      <c r="Z201" s="809"/>
      <c r="AA201" s="809"/>
      <c r="AB201" s="809"/>
      <c r="AC201" s="809"/>
      <c r="AD201" s="809"/>
      <c r="AE201" s="809"/>
      <c r="AF201" s="809"/>
      <c r="AG201" s="809"/>
      <c r="AH201" s="809"/>
      <c r="AI201" s="809"/>
      <c r="AJ201" s="809"/>
      <c r="AK201" s="809"/>
      <c r="AL201" s="809"/>
      <c r="AM201" s="809"/>
      <c r="AN201" s="809"/>
      <c r="AO201" s="809"/>
      <c r="AP201" s="809"/>
      <c r="AQ201" s="809"/>
      <c r="AR201" s="809"/>
      <c r="AS201" s="809"/>
      <c r="AT201" s="809"/>
    </row>
    <row r="202" spans="6:46" ht="11.4" customHeight="1">
      <c r="F202" s="809"/>
      <c r="G202" s="809"/>
      <c r="H202" s="809"/>
      <c r="I202" s="809"/>
      <c r="J202" s="809"/>
      <c r="K202" s="809"/>
      <c r="L202" s="809"/>
      <c r="M202" s="809"/>
      <c r="N202" s="809"/>
      <c r="O202" s="809"/>
      <c r="P202" s="809"/>
      <c r="Q202" s="809"/>
      <c r="R202" s="809"/>
      <c r="S202" s="809"/>
      <c r="T202" s="809"/>
      <c r="U202" s="809"/>
      <c r="V202" s="809"/>
      <c r="W202" s="809"/>
      <c r="X202" s="809"/>
      <c r="Y202" s="809"/>
      <c r="Z202" s="809"/>
      <c r="AA202" s="809"/>
      <c r="AB202" s="809"/>
      <c r="AC202" s="809"/>
      <c r="AD202" s="809"/>
      <c r="AE202" s="809"/>
      <c r="AF202" s="809"/>
      <c r="AG202" s="809"/>
      <c r="AH202" s="809"/>
      <c r="AI202" s="809"/>
      <c r="AJ202" s="809"/>
      <c r="AK202" s="809"/>
      <c r="AL202" s="809"/>
      <c r="AM202" s="809"/>
      <c r="AN202" s="809"/>
      <c r="AO202" s="809"/>
      <c r="AP202" s="809"/>
      <c r="AQ202" s="809"/>
      <c r="AR202" s="809"/>
      <c r="AS202" s="809"/>
      <c r="AT202" s="809"/>
    </row>
    <row r="203" spans="6:46" ht="11.4" customHeight="1">
      <c r="F203" s="809"/>
      <c r="G203" s="809"/>
      <c r="H203" s="809"/>
      <c r="I203" s="809"/>
      <c r="J203" s="809"/>
      <c r="K203" s="809"/>
      <c r="L203" s="809"/>
      <c r="M203" s="809"/>
      <c r="N203" s="809"/>
      <c r="O203" s="809"/>
      <c r="P203" s="809"/>
      <c r="Q203" s="809"/>
      <c r="R203" s="809"/>
      <c r="S203" s="809"/>
      <c r="T203" s="809"/>
      <c r="U203" s="809"/>
      <c r="V203" s="809"/>
      <c r="W203" s="809"/>
      <c r="X203" s="809"/>
      <c r="Y203" s="809"/>
      <c r="Z203" s="809"/>
      <c r="AA203" s="809"/>
      <c r="AB203" s="809"/>
      <c r="AC203" s="809"/>
      <c r="AD203" s="809"/>
      <c r="AE203" s="809"/>
      <c r="AF203" s="809"/>
      <c r="AG203" s="809"/>
      <c r="AH203" s="809"/>
      <c r="AI203" s="809"/>
      <c r="AJ203" s="809"/>
      <c r="AK203" s="809"/>
      <c r="AL203" s="809"/>
      <c r="AM203" s="809"/>
      <c r="AN203" s="809"/>
      <c r="AO203" s="809"/>
      <c r="AP203" s="809"/>
      <c r="AQ203" s="809"/>
      <c r="AR203" s="809"/>
      <c r="AS203" s="809"/>
      <c r="AT203" s="809"/>
    </row>
    <row r="204" spans="6:46" ht="11.4" customHeight="1">
      <c r="F204" s="809" t="s">
        <v>545</v>
      </c>
      <c r="G204" s="810" t="s">
        <v>585</v>
      </c>
      <c r="H204" s="810" t="s">
        <v>592</v>
      </c>
      <c r="I204" s="809" t="s">
        <v>88</v>
      </c>
      <c r="J204" s="809" t="s">
        <v>89</v>
      </c>
      <c r="K204" s="809" t="s">
        <v>90</v>
      </c>
      <c r="L204" s="809" t="s">
        <v>91</v>
      </c>
      <c r="M204" s="809" t="s">
        <v>92</v>
      </c>
      <c r="N204" s="809" t="s">
        <v>93</v>
      </c>
      <c r="O204" s="809" t="s">
        <v>94</v>
      </c>
      <c r="P204" s="809" t="s">
        <v>95</v>
      </c>
      <c r="Q204" s="809" t="s">
        <v>96</v>
      </c>
      <c r="R204" s="809" t="s">
        <v>97</v>
      </c>
      <c r="S204" s="809" t="s">
        <v>98</v>
      </c>
      <c r="T204" s="809" t="s">
        <v>99</v>
      </c>
      <c r="U204" s="809" t="s">
        <v>205</v>
      </c>
      <c r="V204" s="809" t="s">
        <v>118</v>
      </c>
      <c r="W204" s="809" t="s">
        <v>100</v>
      </c>
      <c r="X204" s="809" t="s">
        <v>101</v>
      </c>
      <c r="Y204" s="809" t="s">
        <v>102</v>
      </c>
      <c r="Z204" s="809" t="s">
        <v>103</v>
      </c>
      <c r="AA204" s="809" t="s">
        <v>104</v>
      </c>
      <c r="AB204" s="809" t="s">
        <v>105</v>
      </c>
      <c r="AC204" s="809" t="s">
        <v>106</v>
      </c>
      <c r="AD204" s="809" t="s">
        <v>107</v>
      </c>
      <c r="AE204" s="809" t="s">
        <v>108</v>
      </c>
      <c r="AF204" s="809" t="s">
        <v>109</v>
      </c>
      <c r="AG204" s="809" t="s">
        <v>110</v>
      </c>
      <c r="AH204" s="809" t="s">
        <v>111</v>
      </c>
      <c r="AI204" s="809" t="s">
        <v>112</v>
      </c>
      <c r="AJ204" s="809" t="s">
        <v>113</v>
      </c>
      <c r="AK204" s="809" t="s">
        <v>114</v>
      </c>
      <c r="AL204" s="809" t="s">
        <v>115</v>
      </c>
      <c r="AM204" s="809" t="s">
        <v>52</v>
      </c>
      <c r="AN204" s="809" t="s">
        <v>116</v>
      </c>
      <c r="AO204" s="809" t="s">
        <v>117</v>
      </c>
      <c r="AP204" s="809" t="s">
        <v>119</v>
      </c>
      <c r="AQ204" s="809" t="s">
        <v>120</v>
      </c>
      <c r="AR204" s="809" t="s">
        <v>121</v>
      </c>
      <c r="AS204" s="809" t="s">
        <v>122</v>
      </c>
      <c r="AT204" s="809"/>
    </row>
    <row r="205" spans="6:46" ht="11.4" customHeight="1">
      <c r="F205" s="809" t="s">
        <v>795</v>
      </c>
      <c r="G205" s="809"/>
      <c r="H205" s="809"/>
      <c r="I205" s="809">
        <f>1/3</f>
        <v>0.33333333333333331</v>
      </c>
      <c r="J205" s="809">
        <f t="shared" ref="J205:AS205" si="7">1/3</f>
        <v>0.33333333333333331</v>
      </c>
      <c r="K205" s="809">
        <f t="shared" si="7"/>
        <v>0.33333333333333331</v>
      </c>
      <c r="L205" s="809">
        <f t="shared" si="7"/>
        <v>0.33333333333333331</v>
      </c>
      <c r="M205" s="809">
        <f t="shared" si="7"/>
        <v>0.33333333333333331</v>
      </c>
      <c r="N205" s="809">
        <f t="shared" si="7"/>
        <v>0.33333333333333331</v>
      </c>
      <c r="O205" s="809">
        <f t="shared" si="7"/>
        <v>0.33333333333333331</v>
      </c>
      <c r="P205" s="809">
        <f t="shared" si="7"/>
        <v>0.33333333333333331</v>
      </c>
      <c r="Q205" s="809">
        <f t="shared" si="7"/>
        <v>0.33333333333333331</v>
      </c>
      <c r="R205" s="809">
        <f t="shared" si="7"/>
        <v>0.33333333333333331</v>
      </c>
      <c r="S205" s="809">
        <f t="shared" si="7"/>
        <v>0.33333333333333331</v>
      </c>
      <c r="T205" s="809">
        <f t="shared" si="7"/>
        <v>0.33333333333333331</v>
      </c>
      <c r="U205" s="809">
        <f t="shared" si="7"/>
        <v>0.33333333333333331</v>
      </c>
      <c r="V205" s="809">
        <f t="shared" si="7"/>
        <v>0.33333333333333331</v>
      </c>
      <c r="W205" s="809">
        <f t="shared" si="7"/>
        <v>0.33333333333333331</v>
      </c>
      <c r="X205" s="809">
        <f t="shared" si="7"/>
        <v>0.33333333333333331</v>
      </c>
      <c r="Y205" s="809">
        <f t="shared" si="7"/>
        <v>0.33333333333333331</v>
      </c>
      <c r="Z205" s="809">
        <f t="shared" si="7"/>
        <v>0.33333333333333331</v>
      </c>
      <c r="AA205" s="809">
        <f t="shared" si="7"/>
        <v>0.33333333333333331</v>
      </c>
      <c r="AB205" s="809">
        <f t="shared" si="7"/>
        <v>0.33333333333333331</v>
      </c>
      <c r="AC205" s="809">
        <f t="shared" si="7"/>
        <v>0.33333333333333331</v>
      </c>
      <c r="AD205" s="809">
        <f t="shared" si="7"/>
        <v>0.33333333333333331</v>
      </c>
      <c r="AE205" s="809">
        <f t="shared" si="7"/>
        <v>0.33333333333333331</v>
      </c>
      <c r="AF205" s="809">
        <f t="shared" si="7"/>
        <v>0.33333333333333331</v>
      </c>
      <c r="AG205" s="809">
        <f t="shared" si="7"/>
        <v>0.33333333333333331</v>
      </c>
      <c r="AH205" s="809">
        <f t="shared" si="7"/>
        <v>0.33333333333333331</v>
      </c>
      <c r="AI205" s="809">
        <f t="shared" si="7"/>
        <v>0.33333333333333331</v>
      </c>
      <c r="AJ205" s="809">
        <f t="shared" si="7"/>
        <v>0.33333333333333331</v>
      </c>
      <c r="AK205" s="809">
        <f t="shared" si="7"/>
        <v>0.33333333333333331</v>
      </c>
      <c r="AL205" s="809">
        <f t="shared" si="7"/>
        <v>0.33333333333333331</v>
      </c>
      <c r="AM205" s="809">
        <f t="shared" si="7"/>
        <v>0.33333333333333331</v>
      </c>
      <c r="AN205" s="809">
        <f t="shared" si="7"/>
        <v>0.33333333333333331</v>
      </c>
      <c r="AO205" s="809">
        <f t="shared" si="7"/>
        <v>0.33333333333333331</v>
      </c>
      <c r="AP205" s="809">
        <f t="shared" si="7"/>
        <v>0.33333333333333331</v>
      </c>
      <c r="AQ205" s="809">
        <f t="shared" si="7"/>
        <v>0.33333333333333331</v>
      </c>
      <c r="AR205" s="809">
        <f t="shared" si="7"/>
        <v>0.33333333333333331</v>
      </c>
      <c r="AS205" s="809">
        <f t="shared" si="7"/>
        <v>0.33333333333333331</v>
      </c>
      <c r="AT205" s="809"/>
    </row>
    <row r="206" spans="6:46" ht="11.4" customHeight="1">
      <c r="F206" s="809"/>
      <c r="G206" s="809"/>
      <c r="H206" s="809"/>
      <c r="I206" s="809"/>
      <c r="J206" s="809"/>
      <c r="K206" s="809"/>
      <c r="L206" s="809"/>
      <c r="M206" s="809"/>
      <c r="N206" s="809"/>
      <c r="O206" s="809"/>
      <c r="P206" s="809"/>
      <c r="Q206" s="809"/>
      <c r="R206" s="809"/>
      <c r="S206" s="809"/>
      <c r="T206" s="809"/>
      <c r="U206" s="809"/>
      <c r="V206" s="809"/>
      <c r="W206" s="809"/>
      <c r="X206" s="809"/>
      <c r="Y206" s="809"/>
      <c r="Z206" s="809"/>
      <c r="AA206" s="809"/>
      <c r="AB206" s="809"/>
      <c r="AC206" s="809"/>
      <c r="AD206" s="809"/>
      <c r="AE206" s="809"/>
      <c r="AF206" s="809"/>
      <c r="AG206" s="809"/>
      <c r="AH206" s="809"/>
      <c r="AI206" s="809"/>
      <c r="AJ206" s="809"/>
      <c r="AK206" s="809"/>
      <c r="AL206" s="809"/>
      <c r="AM206" s="809"/>
      <c r="AN206" s="809"/>
      <c r="AO206" s="809"/>
      <c r="AP206" s="809"/>
      <c r="AQ206" s="809"/>
      <c r="AR206" s="809"/>
      <c r="AS206" s="809"/>
      <c r="AT206" s="809"/>
    </row>
    <row r="207" spans="6:46" ht="11.4" customHeight="1">
      <c r="F207" s="809"/>
      <c r="G207" s="809"/>
      <c r="H207" s="809"/>
      <c r="I207" s="809"/>
      <c r="J207" s="809"/>
      <c r="K207" s="809"/>
      <c r="L207" s="809"/>
      <c r="M207" s="809"/>
      <c r="N207" s="809"/>
      <c r="O207" s="809"/>
      <c r="P207" s="809"/>
      <c r="Q207" s="809"/>
      <c r="R207" s="809"/>
      <c r="S207" s="809"/>
      <c r="T207" s="809"/>
      <c r="U207" s="809"/>
      <c r="V207" s="809"/>
      <c r="W207" s="809"/>
      <c r="X207" s="809"/>
      <c r="Y207" s="809"/>
      <c r="Z207" s="809"/>
      <c r="AA207" s="809"/>
      <c r="AB207" s="809"/>
      <c r="AC207" s="809"/>
      <c r="AD207" s="809"/>
      <c r="AE207" s="809"/>
      <c r="AF207" s="809"/>
      <c r="AG207" s="809"/>
      <c r="AH207" s="809"/>
      <c r="AI207" s="809"/>
      <c r="AJ207" s="809"/>
      <c r="AK207" s="809"/>
      <c r="AL207" s="809"/>
      <c r="AM207" s="809"/>
      <c r="AN207" s="809"/>
      <c r="AO207" s="809"/>
      <c r="AP207" s="809"/>
      <c r="AQ207" s="809"/>
      <c r="AR207" s="809"/>
      <c r="AS207" s="809"/>
      <c r="AT207" s="809"/>
    </row>
    <row r="208" spans="6:46" ht="11.4" customHeight="1">
      <c r="F208" s="809"/>
      <c r="G208" s="809"/>
      <c r="H208" s="809"/>
      <c r="I208" s="809"/>
      <c r="J208" s="809"/>
      <c r="K208" s="809"/>
      <c r="L208" s="809"/>
      <c r="M208" s="809"/>
      <c r="N208" s="809"/>
      <c r="O208" s="809"/>
      <c r="P208" s="809"/>
      <c r="Q208" s="809"/>
      <c r="R208" s="809"/>
      <c r="S208" s="809"/>
      <c r="T208" s="809"/>
      <c r="U208" s="809"/>
      <c r="V208" s="809"/>
      <c r="W208" s="809"/>
      <c r="X208" s="809"/>
      <c r="Y208" s="809"/>
      <c r="Z208" s="809"/>
      <c r="AA208" s="809"/>
      <c r="AB208" s="809"/>
      <c r="AC208" s="809"/>
      <c r="AD208" s="809"/>
      <c r="AE208" s="809"/>
      <c r="AF208" s="809"/>
      <c r="AG208" s="809"/>
      <c r="AH208" s="809"/>
      <c r="AI208" s="809"/>
      <c r="AJ208" s="809"/>
      <c r="AK208" s="809"/>
      <c r="AL208" s="809"/>
      <c r="AM208" s="809"/>
      <c r="AN208" s="809"/>
      <c r="AO208" s="809"/>
      <c r="AP208" s="809"/>
      <c r="AQ208" s="809"/>
      <c r="AR208" s="809"/>
      <c r="AS208" s="809"/>
      <c r="AT208" s="809"/>
    </row>
    <row r="209" spans="6:47" ht="11.4" customHeight="1">
      <c r="F209" s="809" t="s">
        <v>545</v>
      </c>
      <c r="G209" s="810" t="s">
        <v>585</v>
      </c>
      <c r="H209" s="810" t="s">
        <v>592</v>
      </c>
      <c r="I209" s="809" t="s">
        <v>88</v>
      </c>
      <c r="J209" s="809" t="s">
        <v>89</v>
      </c>
      <c r="K209" s="809" t="s">
        <v>90</v>
      </c>
      <c r="L209" s="809" t="s">
        <v>91</v>
      </c>
      <c r="M209" s="809" t="s">
        <v>92</v>
      </c>
      <c r="N209" s="809" t="s">
        <v>93</v>
      </c>
      <c r="O209" s="809" t="s">
        <v>94</v>
      </c>
      <c r="P209" s="809" t="s">
        <v>95</v>
      </c>
      <c r="Q209" s="809" t="s">
        <v>96</v>
      </c>
      <c r="R209" s="809" t="s">
        <v>97</v>
      </c>
      <c r="S209" s="809" t="s">
        <v>98</v>
      </c>
      <c r="T209" s="809" t="s">
        <v>99</v>
      </c>
      <c r="U209" s="809" t="s">
        <v>205</v>
      </c>
      <c r="V209" s="809" t="s">
        <v>118</v>
      </c>
      <c r="W209" s="809" t="s">
        <v>100</v>
      </c>
      <c r="X209" s="809" t="s">
        <v>101</v>
      </c>
      <c r="Y209" s="809" t="s">
        <v>102</v>
      </c>
      <c r="Z209" s="809" t="s">
        <v>103</v>
      </c>
      <c r="AA209" s="809" t="s">
        <v>104</v>
      </c>
      <c r="AB209" s="809" t="s">
        <v>105</v>
      </c>
      <c r="AC209" s="809" t="s">
        <v>106</v>
      </c>
      <c r="AD209" s="809" t="s">
        <v>107</v>
      </c>
      <c r="AE209" s="809" t="s">
        <v>108</v>
      </c>
      <c r="AF209" s="809" t="s">
        <v>109</v>
      </c>
      <c r="AG209" s="809" t="s">
        <v>110</v>
      </c>
      <c r="AH209" s="809" t="s">
        <v>111</v>
      </c>
      <c r="AI209" s="809" t="s">
        <v>112</v>
      </c>
      <c r="AJ209" s="809" t="s">
        <v>113</v>
      </c>
      <c r="AK209" s="809" t="s">
        <v>114</v>
      </c>
      <c r="AL209" s="809" t="s">
        <v>115</v>
      </c>
      <c r="AM209" s="809" t="s">
        <v>52</v>
      </c>
      <c r="AN209" s="809" t="s">
        <v>116</v>
      </c>
      <c r="AO209" s="809" t="s">
        <v>117</v>
      </c>
      <c r="AP209" s="809" t="s">
        <v>119</v>
      </c>
      <c r="AQ209" s="809" t="s">
        <v>120</v>
      </c>
      <c r="AR209" s="809" t="s">
        <v>121</v>
      </c>
      <c r="AS209" s="809" t="s">
        <v>122</v>
      </c>
      <c r="AT209" s="809"/>
    </row>
    <row r="210" spans="6:47" ht="11.4" customHeight="1">
      <c r="F210" s="809" t="s">
        <v>795</v>
      </c>
      <c r="G210" s="809"/>
      <c r="H210" s="809"/>
      <c r="I210" s="809">
        <v>1</v>
      </c>
      <c r="J210" s="809">
        <v>1</v>
      </c>
      <c r="K210" s="809">
        <v>1</v>
      </c>
      <c r="L210" s="809">
        <v>1</v>
      </c>
      <c r="M210" s="809">
        <v>1</v>
      </c>
      <c r="N210" s="809">
        <v>1</v>
      </c>
      <c r="O210" s="809">
        <v>1</v>
      </c>
      <c r="P210" s="809">
        <v>1</v>
      </c>
      <c r="Q210" s="809">
        <v>1</v>
      </c>
      <c r="R210" s="809">
        <v>1</v>
      </c>
      <c r="S210" s="809">
        <v>1</v>
      </c>
      <c r="T210" s="809">
        <v>1</v>
      </c>
      <c r="U210" s="809">
        <v>1</v>
      </c>
      <c r="V210" s="809">
        <v>1</v>
      </c>
      <c r="W210" s="809">
        <v>1</v>
      </c>
      <c r="X210" s="809">
        <v>1</v>
      </c>
      <c r="Y210" s="809">
        <v>1</v>
      </c>
      <c r="Z210" s="809">
        <v>1</v>
      </c>
      <c r="AA210" s="809">
        <v>1</v>
      </c>
      <c r="AB210" s="809">
        <v>1</v>
      </c>
      <c r="AC210" s="809">
        <v>1</v>
      </c>
      <c r="AD210" s="809">
        <v>1</v>
      </c>
      <c r="AE210" s="809">
        <v>1</v>
      </c>
      <c r="AF210" s="809">
        <v>1</v>
      </c>
      <c r="AG210" s="809">
        <v>1</v>
      </c>
      <c r="AH210" s="809">
        <v>1</v>
      </c>
      <c r="AI210" s="809">
        <v>1</v>
      </c>
      <c r="AJ210" s="809">
        <v>1</v>
      </c>
      <c r="AK210" s="809">
        <v>1</v>
      </c>
      <c r="AL210" s="809">
        <v>1</v>
      </c>
      <c r="AM210" s="809">
        <v>1</v>
      </c>
      <c r="AN210" s="809">
        <v>1</v>
      </c>
      <c r="AO210" s="809">
        <v>1</v>
      </c>
      <c r="AP210" s="809">
        <v>1</v>
      </c>
      <c r="AQ210" s="809">
        <v>1</v>
      </c>
      <c r="AR210" s="809">
        <v>1</v>
      </c>
      <c r="AS210" s="809">
        <v>1</v>
      </c>
      <c r="AT210" s="809"/>
    </row>
    <row r="211" spans="6:47" ht="11.4" customHeight="1">
      <c r="F211" s="809"/>
      <c r="G211" s="809"/>
      <c r="H211" s="809"/>
      <c r="I211" s="809"/>
      <c r="J211" s="809"/>
      <c r="K211" s="809"/>
      <c r="L211" s="809"/>
      <c r="M211" s="809"/>
      <c r="N211" s="809"/>
      <c r="O211" s="809"/>
      <c r="P211" s="809"/>
      <c r="Q211" s="809"/>
      <c r="R211" s="809"/>
      <c r="S211" s="809"/>
      <c r="T211" s="809"/>
      <c r="U211" s="809"/>
      <c r="V211" s="809"/>
      <c r="W211" s="809"/>
      <c r="X211" s="809"/>
      <c r="Y211" s="809"/>
      <c r="Z211" s="809"/>
      <c r="AA211" s="809"/>
      <c r="AB211" s="809"/>
      <c r="AC211" s="809"/>
      <c r="AD211" s="809"/>
      <c r="AE211" s="809"/>
      <c r="AF211" s="809"/>
      <c r="AG211" s="809"/>
      <c r="AH211" s="809"/>
      <c r="AI211" s="809"/>
      <c r="AJ211" s="809"/>
      <c r="AK211" s="809"/>
      <c r="AL211" s="809"/>
      <c r="AM211" s="809"/>
      <c r="AN211" s="809"/>
      <c r="AO211" s="809"/>
      <c r="AP211" s="809"/>
      <c r="AQ211" s="809"/>
      <c r="AR211" s="809"/>
      <c r="AS211" s="809"/>
      <c r="AT211" s="809"/>
    </row>
    <row r="212" spans="6:47" ht="11.4" customHeight="1">
      <c r="F212" s="809"/>
      <c r="G212" s="809"/>
      <c r="H212" s="809"/>
      <c r="I212" s="809"/>
      <c r="J212" s="809"/>
      <c r="K212" s="809"/>
      <c r="L212" s="809"/>
      <c r="M212" s="809"/>
      <c r="N212" s="809"/>
      <c r="O212" s="809"/>
      <c r="P212" s="809"/>
      <c r="Q212" s="809"/>
      <c r="R212" s="809"/>
      <c r="S212" s="809"/>
      <c r="T212" s="809"/>
      <c r="U212" s="809"/>
      <c r="V212" s="809"/>
      <c r="W212" s="809"/>
      <c r="X212" s="809"/>
      <c r="Y212" s="809"/>
      <c r="Z212" s="809"/>
      <c r="AA212" s="809"/>
      <c r="AB212" s="809"/>
      <c r="AC212" s="809"/>
      <c r="AD212" s="809"/>
      <c r="AE212" s="809"/>
      <c r="AF212" s="809"/>
      <c r="AG212" s="809"/>
      <c r="AH212" s="809"/>
      <c r="AI212" s="809"/>
      <c r="AJ212" s="809"/>
      <c r="AK212" s="809"/>
      <c r="AL212" s="809"/>
      <c r="AM212" s="809"/>
      <c r="AN212" s="809"/>
      <c r="AO212" s="809"/>
      <c r="AP212" s="809"/>
      <c r="AQ212" s="809"/>
      <c r="AR212" s="809"/>
      <c r="AS212" s="809"/>
      <c r="AT212" s="809"/>
    </row>
    <row r="214" spans="6:47" ht="11.4" customHeight="1">
      <c r="H214" s="799" t="s">
        <v>736</v>
      </c>
    </row>
    <row r="215" spans="6:47" ht="11.4" customHeight="1" thickBot="1">
      <c r="F215" s="800" t="s">
        <v>545</v>
      </c>
      <c r="G215" s="800" t="s">
        <v>585</v>
      </c>
      <c r="H215" s="800" t="s">
        <v>592</v>
      </c>
      <c r="I215" s="801" t="s">
        <v>88</v>
      </c>
      <c r="J215" s="801" t="s">
        <v>89</v>
      </c>
      <c r="K215" s="801" t="s">
        <v>90</v>
      </c>
      <c r="L215" s="801" t="s">
        <v>91</v>
      </c>
      <c r="M215" s="801" t="s">
        <v>92</v>
      </c>
      <c r="N215" s="801" t="s">
        <v>93</v>
      </c>
      <c r="O215" s="801" t="s">
        <v>94</v>
      </c>
      <c r="P215" s="801" t="s">
        <v>95</v>
      </c>
      <c r="Q215" s="801" t="s">
        <v>96</v>
      </c>
      <c r="R215" s="801" t="s">
        <v>97</v>
      </c>
      <c r="S215" s="801" t="s">
        <v>98</v>
      </c>
      <c r="T215" s="801" t="s">
        <v>99</v>
      </c>
      <c r="U215" s="801" t="s">
        <v>205</v>
      </c>
      <c r="V215" s="801" t="s">
        <v>118</v>
      </c>
      <c r="W215" s="801" t="s">
        <v>100</v>
      </c>
      <c r="X215" s="801" t="s">
        <v>101</v>
      </c>
      <c r="Y215" s="801" t="s">
        <v>102</v>
      </c>
      <c r="Z215" s="801" t="s">
        <v>103</v>
      </c>
      <c r="AA215" s="801" t="s">
        <v>104</v>
      </c>
      <c r="AB215" s="801" t="s">
        <v>105</v>
      </c>
      <c r="AC215" s="801" t="s">
        <v>106</v>
      </c>
      <c r="AD215" s="801" t="s">
        <v>107</v>
      </c>
      <c r="AE215" s="801" t="s">
        <v>108</v>
      </c>
      <c r="AF215" s="801" t="s">
        <v>109</v>
      </c>
      <c r="AG215" s="801" t="s">
        <v>110</v>
      </c>
      <c r="AH215" s="801" t="s">
        <v>111</v>
      </c>
      <c r="AI215" s="801" t="s">
        <v>112</v>
      </c>
      <c r="AJ215" s="801" t="s">
        <v>113</v>
      </c>
      <c r="AK215" s="801" t="s">
        <v>114</v>
      </c>
      <c r="AL215" s="801" t="s">
        <v>115</v>
      </c>
      <c r="AM215" s="801" t="s">
        <v>52</v>
      </c>
      <c r="AN215" s="801" t="s">
        <v>116</v>
      </c>
      <c r="AO215" s="801" t="s">
        <v>117</v>
      </c>
      <c r="AP215" s="801" t="s">
        <v>119</v>
      </c>
      <c r="AQ215" s="801" t="s">
        <v>120</v>
      </c>
      <c r="AR215" s="801" t="s">
        <v>121</v>
      </c>
      <c r="AS215" s="801" t="s">
        <v>122</v>
      </c>
    </row>
    <row r="216" spans="6:47" ht="11.4" customHeight="1">
      <c r="F216" s="798" t="s">
        <v>797</v>
      </c>
      <c r="I216" s="811">
        <v>300</v>
      </c>
      <c r="J216" s="811">
        <v>0</v>
      </c>
      <c r="K216" s="811">
        <v>3000</v>
      </c>
      <c r="L216" s="811">
        <v>0</v>
      </c>
      <c r="M216" s="811">
        <v>190</v>
      </c>
      <c r="N216" s="811">
        <v>600</v>
      </c>
      <c r="O216" s="811">
        <v>3000</v>
      </c>
      <c r="P216" s="811">
        <v>300</v>
      </c>
      <c r="Q216" s="811">
        <v>350</v>
      </c>
      <c r="R216" s="811">
        <v>0</v>
      </c>
      <c r="S216" s="811">
        <v>300</v>
      </c>
      <c r="T216" s="811">
        <v>0</v>
      </c>
      <c r="U216" s="811">
        <v>250</v>
      </c>
      <c r="V216" s="811">
        <v>3000</v>
      </c>
      <c r="W216" s="811">
        <v>300</v>
      </c>
      <c r="X216" s="811">
        <v>0</v>
      </c>
      <c r="Y216" s="811">
        <v>0</v>
      </c>
      <c r="Z216" s="811">
        <v>0</v>
      </c>
      <c r="AA216" s="811">
        <v>350</v>
      </c>
      <c r="AB216" s="811">
        <v>0</v>
      </c>
      <c r="AC216" s="811">
        <v>350</v>
      </c>
      <c r="AD216" s="811">
        <v>190</v>
      </c>
      <c r="AE216" s="811">
        <v>0</v>
      </c>
      <c r="AF216" s="811">
        <v>0</v>
      </c>
      <c r="AG216" s="811">
        <v>3000</v>
      </c>
      <c r="AH216" s="811">
        <v>0</v>
      </c>
      <c r="AI216" s="811">
        <v>100</v>
      </c>
      <c r="AJ216" s="811">
        <v>0</v>
      </c>
      <c r="AK216" s="811">
        <v>0</v>
      </c>
      <c r="AL216" s="811">
        <v>0</v>
      </c>
      <c r="AM216" s="811">
        <v>160</v>
      </c>
      <c r="AN216" s="811">
        <v>300</v>
      </c>
      <c r="AO216" s="811">
        <v>300</v>
      </c>
      <c r="AP216" s="811">
        <v>300</v>
      </c>
      <c r="AQ216" s="811">
        <v>300</v>
      </c>
      <c r="AR216" s="811">
        <v>300</v>
      </c>
      <c r="AS216" s="811">
        <v>300</v>
      </c>
      <c r="AU216" s="798" t="s">
        <v>868</v>
      </c>
    </row>
    <row r="219" spans="6:47" ht="11.4" customHeight="1">
      <c r="H219" s="799" t="s">
        <v>730</v>
      </c>
    </row>
    <row r="220" spans="6:47" ht="11.4" customHeight="1" thickBot="1">
      <c r="F220" s="800" t="s">
        <v>545</v>
      </c>
      <c r="G220" s="800" t="s">
        <v>585</v>
      </c>
      <c r="H220" s="800" t="s">
        <v>592</v>
      </c>
      <c r="I220" s="801" t="s">
        <v>88</v>
      </c>
      <c r="J220" s="801" t="s">
        <v>89</v>
      </c>
      <c r="K220" s="801" t="s">
        <v>90</v>
      </c>
      <c r="L220" s="801" t="s">
        <v>91</v>
      </c>
      <c r="M220" s="801" t="s">
        <v>92</v>
      </c>
      <c r="N220" s="801" t="s">
        <v>93</v>
      </c>
      <c r="O220" s="801" t="s">
        <v>94</v>
      </c>
      <c r="P220" s="801" t="s">
        <v>95</v>
      </c>
      <c r="Q220" s="801" t="s">
        <v>96</v>
      </c>
      <c r="R220" s="801" t="s">
        <v>97</v>
      </c>
      <c r="S220" s="801" t="s">
        <v>98</v>
      </c>
      <c r="T220" s="801" t="s">
        <v>99</v>
      </c>
      <c r="U220" s="801" t="s">
        <v>205</v>
      </c>
      <c r="V220" s="801" t="s">
        <v>118</v>
      </c>
      <c r="W220" s="801" t="s">
        <v>100</v>
      </c>
      <c r="X220" s="801" t="s">
        <v>101</v>
      </c>
      <c r="Y220" s="801" t="s">
        <v>102</v>
      </c>
      <c r="Z220" s="801" t="s">
        <v>103</v>
      </c>
      <c r="AA220" s="801" t="s">
        <v>104</v>
      </c>
      <c r="AB220" s="801" t="s">
        <v>105</v>
      </c>
      <c r="AC220" s="801" t="s">
        <v>106</v>
      </c>
      <c r="AD220" s="801" t="s">
        <v>107</v>
      </c>
      <c r="AE220" s="801" t="s">
        <v>108</v>
      </c>
      <c r="AF220" s="801" t="s">
        <v>109</v>
      </c>
      <c r="AG220" s="801" t="s">
        <v>110</v>
      </c>
      <c r="AH220" s="801" t="s">
        <v>111</v>
      </c>
      <c r="AI220" s="801" t="s">
        <v>112</v>
      </c>
      <c r="AJ220" s="801" t="s">
        <v>113</v>
      </c>
      <c r="AK220" s="801" t="s">
        <v>114</v>
      </c>
      <c r="AL220" s="801" t="s">
        <v>115</v>
      </c>
      <c r="AM220" s="801" t="s">
        <v>52</v>
      </c>
      <c r="AN220" s="801" t="s">
        <v>116</v>
      </c>
      <c r="AO220" s="801" t="s">
        <v>117</v>
      </c>
      <c r="AP220" s="801" t="s">
        <v>119</v>
      </c>
      <c r="AQ220" s="801" t="s">
        <v>120</v>
      </c>
      <c r="AR220" s="801" t="s">
        <v>121</v>
      </c>
      <c r="AS220" s="801" t="s">
        <v>122</v>
      </c>
    </row>
    <row r="221" spans="6:47" ht="11.4" customHeight="1">
      <c r="F221" s="798" t="s">
        <v>797</v>
      </c>
      <c r="I221" s="798">
        <v>31.536000000000001</v>
      </c>
      <c r="J221" s="798">
        <v>31.536000000000001</v>
      </c>
      <c r="K221" s="798">
        <v>31.536000000000001</v>
      </c>
      <c r="L221" s="798">
        <v>31.536000000000001</v>
      </c>
      <c r="M221" s="798">
        <v>31.536000000000001</v>
      </c>
      <c r="N221" s="798">
        <v>31.536000000000001</v>
      </c>
      <c r="O221" s="798">
        <v>31.536000000000001</v>
      </c>
      <c r="P221" s="798">
        <v>31.536000000000001</v>
      </c>
      <c r="Q221" s="798">
        <v>31.536000000000001</v>
      </c>
      <c r="R221" s="798">
        <v>31.536000000000001</v>
      </c>
      <c r="S221" s="798">
        <v>31.536000000000001</v>
      </c>
      <c r="T221" s="798">
        <v>31.536000000000001</v>
      </c>
      <c r="U221" s="798">
        <v>31.536000000000001</v>
      </c>
      <c r="V221" s="798">
        <v>31.536000000000001</v>
      </c>
      <c r="W221" s="798">
        <v>31.536000000000001</v>
      </c>
      <c r="X221" s="798">
        <v>31.536000000000001</v>
      </c>
      <c r="Y221" s="798">
        <v>31.536000000000001</v>
      </c>
      <c r="Z221" s="798">
        <v>31.536000000000001</v>
      </c>
      <c r="AA221" s="798">
        <v>31.536000000000001</v>
      </c>
      <c r="AB221" s="798">
        <v>31.536000000000001</v>
      </c>
      <c r="AC221" s="798">
        <v>31.536000000000001</v>
      </c>
      <c r="AD221" s="798">
        <v>31.536000000000001</v>
      </c>
      <c r="AE221" s="798">
        <v>31.536000000000001</v>
      </c>
      <c r="AF221" s="798">
        <v>31.536000000000001</v>
      </c>
      <c r="AG221" s="798">
        <v>31.536000000000001</v>
      </c>
      <c r="AH221" s="798">
        <v>31.536000000000001</v>
      </c>
      <c r="AI221" s="798">
        <v>31.536000000000001</v>
      </c>
      <c r="AJ221" s="798">
        <v>31.536000000000001</v>
      </c>
      <c r="AK221" s="798">
        <v>31.536000000000001</v>
      </c>
      <c r="AL221" s="798">
        <v>31.536000000000001</v>
      </c>
      <c r="AM221" s="798">
        <v>31.536000000000001</v>
      </c>
      <c r="AN221" s="798">
        <v>31.536000000000001</v>
      </c>
      <c r="AO221" s="798">
        <v>31.536000000000001</v>
      </c>
      <c r="AP221" s="798">
        <v>31.536000000000001</v>
      </c>
      <c r="AQ221" s="798">
        <v>31.536000000000001</v>
      </c>
      <c r="AR221" s="798">
        <v>31.536000000000001</v>
      </c>
      <c r="AS221" s="798">
        <v>31.536000000000001</v>
      </c>
    </row>
    <row r="224" spans="6:47" ht="11.4" customHeight="1">
      <c r="H224" s="799" t="s">
        <v>601</v>
      </c>
    </row>
    <row r="225" spans="6:45" ht="11.4" customHeight="1" thickBot="1">
      <c r="F225" s="800" t="s">
        <v>545</v>
      </c>
      <c r="G225" s="800" t="s">
        <v>585</v>
      </c>
      <c r="H225" s="800" t="s">
        <v>592</v>
      </c>
      <c r="I225" s="801" t="s">
        <v>88</v>
      </c>
      <c r="J225" s="801" t="s">
        <v>89</v>
      </c>
      <c r="K225" s="801" t="s">
        <v>90</v>
      </c>
      <c r="L225" s="801" t="s">
        <v>91</v>
      </c>
      <c r="M225" s="801" t="s">
        <v>92</v>
      </c>
      <c r="N225" s="801" t="s">
        <v>93</v>
      </c>
      <c r="O225" s="801" t="s">
        <v>94</v>
      </c>
      <c r="P225" s="801" t="s">
        <v>95</v>
      </c>
      <c r="Q225" s="801" t="s">
        <v>96</v>
      </c>
      <c r="R225" s="801" t="s">
        <v>97</v>
      </c>
      <c r="S225" s="801" t="s">
        <v>98</v>
      </c>
      <c r="T225" s="801" t="s">
        <v>99</v>
      </c>
      <c r="U225" s="801" t="s">
        <v>205</v>
      </c>
      <c r="V225" s="801" t="s">
        <v>118</v>
      </c>
      <c r="W225" s="801" t="s">
        <v>100</v>
      </c>
      <c r="X225" s="801" t="s">
        <v>101</v>
      </c>
      <c r="Y225" s="801" t="s">
        <v>102</v>
      </c>
      <c r="Z225" s="801" t="s">
        <v>103</v>
      </c>
      <c r="AA225" s="801" t="s">
        <v>104</v>
      </c>
      <c r="AB225" s="801" t="s">
        <v>105</v>
      </c>
      <c r="AC225" s="801" t="s">
        <v>106</v>
      </c>
      <c r="AD225" s="801" t="s">
        <v>107</v>
      </c>
      <c r="AE225" s="801" t="s">
        <v>108</v>
      </c>
      <c r="AF225" s="801" t="s">
        <v>109</v>
      </c>
      <c r="AG225" s="801" t="s">
        <v>110</v>
      </c>
      <c r="AH225" s="801" t="s">
        <v>111</v>
      </c>
      <c r="AI225" s="801" t="s">
        <v>112</v>
      </c>
      <c r="AJ225" s="801" t="s">
        <v>113</v>
      </c>
      <c r="AK225" s="801" t="s">
        <v>114</v>
      </c>
      <c r="AL225" s="801" t="s">
        <v>115</v>
      </c>
      <c r="AM225" s="801" t="s">
        <v>52</v>
      </c>
      <c r="AN225" s="801" t="s">
        <v>116</v>
      </c>
      <c r="AO225" s="801" t="s">
        <v>117</v>
      </c>
      <c r="AP225" s="801" t="s">
        <v>119</v>
      </c>
      <c r="AQ225" s="801" t="s">
        <v>120</v>
      </c>
      <c r="AR225" s="801" t="s">
        <v>121</v>
      </c>
      <c r="AS225" s="801" t="s">
        <v>122</v>
      </c>
    </row>
    <row r="226" spans="6:45" ht="11.4" customHeight="1">
      <c r="F226" s="798" t="s">
        <v>797</v>
      </c>
      <c r="G226" s="798" t="s">
        <v>735</v>
      </c>
      <c r="I226" s="798">
        <v>1</v>
      </c>
      <c r="J226" s="798">
        <v>1</v>
      </c>
      <c r="K226" s="798">
        <v>1</v>
      </c>
      <c r="L226" s="798">
        <v>1</v>
      </c>
      <c r="M226" s="798">
        <v>1</v>
      </c>
      <c r="N226" s="798">
        <v>1</v>
      </c>
      <c r="O226" s="798">
        <v>1</v>
      </c>
      <c r="P226" s="798">
        <v>1</v>
      </c>
      <c r="Q226" s="798">
        <v>1</v>
      </c>
      <c r="R226" s="798">
        <v>1</v>
      </c>
      <c r="S226" s="798">
        <v>1</v>
      </c>
      <c r="T226" s="798">
        <v>1</v>
      </c>
      <c r="U226" s="798">
        <v>1</v>
      </c>
      <c r="V226" s="798">
        <v>1</v>
      </c>
      <c r="W226" s="798">
        <v>1</v>
      </c>
      <c r="X226" s="798">
        <v>1</v>
      </c>
      <c r="Y226" s="798">
        <v>1</v>
      </c>
      <c r="Z226" s="798">
        <v>1</v>
      </c>
      <c r="AA226" s="798">
        <v>1</v>
      </c>
      <c r="AB226" s="798">
        <v>1</v>
      </c>
      <c r="AC226" s="798">
        <v>1</v>
      </c>
      <c r="AD226" s="798">
        <v>1</v>
      </c>
      <c r="AE226" s="798">
        <v>1</v>
      </c>
      <c r="AF226" s="798">
        <v>1</v>
      </c>
      <c r="AG226" s="798">
        <v>1</v>
      </c>
      <c r="AH226" s="798">
        <v>1</v>
      </c>
      <c r="AI226" s="798">
        <v>1</v>
      </c>
      <c r="AJ226" s="798">
        <v>1</v>
      </c>
      <c r="AK226" s="798">
        <v>1</v>
      </c>
      <c r="AL226" s="798">
        <v>1</v>
      </c>
      <c r="AM226" s="798">
        <v>1</v>
      </c>
      <c r="AN226" s="798">
        <v>1</v>
      </c>
      <c r="AO226" s="798">
        <v>1</v>
      </c>
      <c r="AP226" s="798">
        <v>1</v>
      </c>
      <c r="AQ226" s="798">
        <v>1</v>
      </c>
      <c r="AR226" s="798">
        <v>1</v>
      </c>
      <c r="AS226" s="798">
        <v>1</v>
      </c>
    </row>
    <row r="227" spans="6:45" ht="11.4" customHeight="1">
      <c r="H227" s="798" t="s">
        <v>588</v>
      </c>
    </row>
    <row r="230" spans="6:45" ht="11.4" customHeight="1">
      <c r="H230" s="799" t="s">
        <v>734</v>
      </c>
    </row>
    <row r="231" spans="6:45" ht="11.4" customHeight="1" thickBot="1">
      <c r="F231" s="800" t="s">
        <v>545</v>
      </c>
      <c r="G231" s="800" t="s">
        <v>585</v>
      </c>
      <c r="H231" s="800" t="s">
        <v>592</v>
      </c>
      <c r="I231" s="801" t="s">
        <v>88</v>
      </c>
      <c r="J231" s="801" t="s">
        <v>89</v>
      </c>
      <c r="K231" s="801" t="s">
        <v>90</v>
      </c>
      <c r="L231" s="801" t="s">
        <v>91</v>
      </c>
      <c r="M231" s="801" t="s">
        <v>92</v>
      </c>
      <c r="N231" s="801" t="s">
        <v>93</v>
      </c>
      <c r="O231" s="801" t="s">
        <v>94</v>
      </c>
      <c r="P231" s="801" t="s">
        <v>95</v>
      </c>
      <c r="Q231" s="801" t="s">
        <v>96</v>
      </c>
      <c r="R231" s="801" t="s">
        <v>97</v>
      </c>
      <c r="S231" s="801" t="s">
        <v>98</v>
      </c>
      <c r="T231" s="801" t="s">
        <v>99</v>
      </c>
      <c r="U231" s="801" t="s">
        <v>205</v>
      </c>
      <c r="V231" s="801" t="s">
        <v>118</v>
      </c>
      <c r="W231" s="801" t="s">
        <v>100</v>
      </c>
      <c r="X231" s="801" t="s">
        <v>101</v>
      </c>
      <c r="Y231" s="801" t="s">
        <v>102</v>
      </c>
      <c r="Z231" s="801" t="s">
        <v>103</v>
      </c>
      <c r="AA231" s="801" t="s">
        <v>104</v>
      </c>
      <c r="AB231" s="801" t="s">
        <v>105</v>
      </c>
      <c r="AC231" s="801" t="s">
        <v>106</v>
      </c>
      <c r="AD231" s="801" t="s">
        <v>107</v>
      </c>
      <c r="AE231" s="801" t="s">
        <v>108</v>
      </c>
      <c r="AF231" s="801" t="s">
        <v>109</v>
      </c>
      <c r="AG231" s="801" t="s">
        <v>110</v>
      </c>
      <c r="AH231" s="801" t="s">
        <v>111</v>
      </c>
      <c r="AI231" s="801" t="s">
        <v>112</v>
      </c>
      <c r="AJ231" s="801" t="s">
        <v>113</v>
      </c>
      <c r="AK231" s="801" t="s">
        <v>114</v>
      </c>
      <c r="AL231" s="801" t="s">
        <v>115</v>
      </c>
      <c r="AM231" s="801" t="s">
        <v>52</v>
      </c>
      <c r="AN231" s="801" t="s">
        <v>116</v>
      </c>
      <c r="AO231" s="801" t="s">
        <v>117</v>
      </c>
      <c r="AP231" s="801" t="s">
        <v>119</v>
      </c>
      <c r="AQ231" s="801" t="s">
        <v>120</v>
      </c>
      <c r="AR231" s="801" t="s">
        <v>121</v>
      </c>
      <c r="AS231" s="801" t="s">
        <v>122</v>
      </c>
    </row>
    <row r="232" spans="6:45" ht="11.4" customHeight="1">
      <c r="F232" s="798" t="s">
        <v>797</v>
      </c>
      <c r="I232" s="798">
        <f>1/3</f>
        <v>0.33333333333333331</v>
      </c>
      <c r="J232" s="798">
        <f t="shared" ref="J232:AS232" si="8">1/3</f>
        <v>0.33333333333333331</v>
      </c>
      <c r="K232" s="798">
        <f t="shared" si="8"/>
        <v>0.33333333333333331</v>
      </c>
      <c r="L232" s="798">
        <f t="shared" si="8"/>
        <v>0.33333333333333331</v>
      </c>
      <c r="M232" s="798">
        <f t="shared" si="8"/>
        <v>0.33333333333333331</v>
      </c>
      <c r="N232" s="798">
        <f t="shared" si="8"/>
        <v>0.33333333333333331</v>
      </c>
      <c r="O232" s="798">
        <f t="shared" si="8"/>
        <v>0.33333333333333331</v>
      </c>
      <c r="P232" s="798">
        <f t="shared" si="8"/>
        <v>0.33333333333333331</v>
      </c>
      <c r="Q232" s="798">
        <f t="shared" si="8"/>
        <v>0.33333333333333331</v>
      </c>
      <c r="R232" s="798">
        <f t="shared" si="8"/>
        <v>0.33333333333333331</v>
      </c>
      <c r="S232" s="798">
        <f t="shared" si="8"/>
        <v>0.33333333333333331</v>
      </c>
      <c r="T232" s="798">
        <f t="shared" si="8"/>
        <v>0.33333333333333331</v>
      </c>
      <c r="U232" s="798">
        <f t="shared" si="8"/>
        <v>0.33333333333333331</v>
      </c>
      <c r="V232" s="798">
        <f t="shared" si="8"/>
        <v>0.33333333333333331</v>
      </c>
      <c r="W232" s="798">
        <f t="shared" si="8"/>
        <v>0.33333333333333331</v>
      </c>
      <c r="X232" s="798">
        <f t="shared" si="8"/>
        <v>0.33333333333333331</v>
      </c>
      <c r="Y232" s="798">
        <f t="shared" si="8"/>
        <v>0.33333333333333331</v>
      </c>
      <c r="Z232" s="798">
        <f t="shared" si="8"/>
        <v>0.33333333333333331</v>
      </c>
      <c r="AA232" s="798">
        <f t="shared" si="8"/>
        <v>0.33333333333333331</v>
      </c>
      <c r="AB232" s="798">
        <f t="shared" si="8"/>
        <v>0.33333333333333331</v>
      </c>
      <c r="AC232" s="798">
        <f t="shared" si="8"/>
        <v>0.33333333333333331</v>
      </c>
      <c r="AD232" s="798">
        <f t="shared" si="8"/>
        <v>0.33333333333333331</v>
      </c>
      <c r="AE232" s="798">
        <f t="shared" si="8"/>
        <v>0.33333333333333331</v>
      </c>
      <c r="AF232" s="798">
        <f t="shared" si="8"/>
        <v>0.33333333333333331</v>
      </c>
      <c r="AG232" s="798">
        <f t="shared" si="8"/>
        <v>0.33333333333333331</v>
      </c>
      <c r="AH232" s="798">
        <f t="shared" si="8"/>
        <v>0.33333333333333331</v>
      </c>
      <c r="AI232" s="798">
        <f t="shared" si="8"/>
        <v>0.33333333333333331</v>
      </c>
      <c r="AJ232" s="798">
        <f t="shared" si="8"/>
        <v>0.33333333333333331</v>
      </c>
      <c r="AK232" s="798">
        <f t="shared" si="8"/>
        <v>0.33333333333333331</v>
      </c>
      <c r="AL232" s="798">
        <f t="shared" si="8"/>
        <v>0.33333333333333331</v>
      </c>
      <c r="AM232" s="798">
        <f t="shared" si="8"/>
        <v>0.33333333333333331</v>
      </c>
      <c r="AN232" s="798">
        <f t="shared" si="8"/>
        <v>0.33333333333333331</v>
      </c>
      <c r="AO232" s="798">
        <f t="shared" si="8"/>
        <v>0.33333333333333331</v>
      </c>
      <c r="AP232" s="798">
        <f t="shared" si="8"/>
        <v>0.33333333333333331</v>
      </c>
      <c r="AQ232" s="798">
        <f t="shared" si="8"/>
        <v>0.33333333333333331</v>
      </c>
      <c r="AR232" s="798">
        <f t="shared" si="8"/>
        <v>0.33333333333333331</v>
      </c>
      <c r="AS232" s="798">
        <f t="shared" si="8"/>
        <v>0.33333333333333331</v>
      </c>
    </row>
    <row r="235" spans="6:45" ht="11.4" customHeight="1">
      <c r="H235" s="799" t="s">
        <v>733</v>
      </c>
    </row>
    <row r="236" spans="6:45" ht="11.4" customHeight="1" thickBot="1">
      <c r="F236" s="800" t="s">
        <v>545</v>
      </c>
      <c r="G236" s="800" t="s">
        <v>585</v>
      </c>
      <c r="H236" s="800" t="s">
        <v>592</v>
      </c>
      <c r="I236" s="801" t="s">
        <v>88</v>
      </c>
      <c r="J236" s="801" t="s">
        <v>89</v>
      </c>
      <c r="K236" s="801" t="s">
        <v>90</v>
      </c>
      <c r="L236" s="801" t="s">
        <v>91</v>
      </c>
      <c r="M236" s="801" t="s">
        <v>92</v>
      </c>
      <c r="N236" s="801" t="s">
        <v>93</v>
      </c>
      <c r="O236" s="801" t="s">
        <v>94</v>
      </c>
      <c r="P236" s="801" t="s">
        <v>95</v>
      </c>
      <c r="Q236" s="801" t="s">
        <v>96</v>
      </c>
      <c r="R236" s="801" t="s">
        <v>97</v>
      </c>
      <c r="S236" s="801" t="s">
        <v>98</v>
      </c>
      <c r="T236" s="801" t="s">
        <v>99</v>
      </c>
      <c r="U236" s="801" t="s">
        <v>205</v>
      </c>
      <c r="V236" s="801" t="s">
        <v>118</v>
      </c>
      <c r="W236" s="801" t="s">
        <v>100</v>
      </c>
      <c r="X236" s="801" t="s">
        <v>101</v>
      </c>
      <c r="Y236" s="801" t="s">
        <v>102</v>
      </c>
      <c r="Z236" s="801" t="s">
        <v>103</v>
      </c>
      <c r="AA236" s="801" t="s">
        <v>104</v>
      </c>
      <c r="AB236" s="801" t="s">
        <v>105</v>
      </c>
      <c r="AC236" s="801" t="s">
        <v>106</v>
      </c>
      <c r="AD236" s="801" t="s">
        <v>107</v>
      </c>
      <c r="AE236" s="801" t="s">
        <v>108</v>
      </c>
      <c r="AF236" s="801" t="s">
        <v>109</v>
      </c>
      <c r="AG236" s="801" t="s">
        <v>110</v>
      </c>
      <c r="AH236" s="801" t="s">
        <v>111</v>
      </c>
      <c r="AI236" s="801" t="s">
        <v>112</v>
      </c>
      <c r="AJ236" s="801" t="s">
        <v>113</v>
      </c>
      <c r="AK236" s="801" t="s">
        <v>114</v>
      </c>
      <c r="AL236" s="801" t="s">
        <v>115</v>
      </c>
      <c r="AM236" s="801" t="s">
        <v>52</v>
      </c>
      <c r="AN236" s="801" t="s">
        <v>116</v>
      </c>
      <c r="AO236" s="801" t="s">
        <v>117</v>
      </c>
      <c r="AP236" s="801" t="s">
        <v>119</v>
      </c>
      <c r="AQ236" s="801" t="s">
        <v>120</v>
      </c>
      <c r="AR236" s="801" t="s">
        <v>121</v>
      </c>
      <c r="AS236" s="801" t="s">
        <v>122</v>
      </c>
    </row>
    <row r="237" spans="6:45" ht="11.4" customHeight="1">
      <c r="F237" s="798" t="s">
        <v>797</v>
      </c>
      <c r="I237" s="798">
        <v>1</v>
      </c>
      <c r="J237" s="798">
        <v>1</v>
      </c>
      <c r="K237" s="798">
        <v>1</v>
      </c>
      <c r="L237" s="798">
        <v>1</v>
      </c>
      <c r="M237" s="798">
        <v>1</v>
      </c>
      <c r="N237" s="798">
        <v>1</v>
      </c>
      <c r="O237" s="798">
        <v>1</v>
      </c>
      <c r="P237" s="798">
        <v>1</v>
      </c>
      <c r="Q237" s="798">
        <v>1</v>
      </c>
      <c r="R237" s="798">
        <v>1</v>
      </c>
      <c r="S237" s="798">
        <v>1</v>
      </c>
      <c r="T237" s="798">
        <v>1</v>
      </c>
      <c r="U237" s="798">
        <v>1</v>
      </c>
      <c r="V237" s="798">
        <v>1</v>
      </c>
      <c r="W237" s="798">
        <v>1</v>
      </c>
      <c r="X237" s="798">
        <v>1</v>
      </c>
      <c r="Y237" s="798">
        <v>1</v>
      </c>
      <c r="Z237" s="798">
        <v>1</v>
      </c>
      <c r="AA237" s="798">
        <v>1</v>
      </c>
      <c r="AB237" s="798">
        <v>1</v>
      </c>
      <c r="AC237" s="798">
        <v>1</v>
      </c>
      <c r="AD237" s="798">
        <v>1</v>
      </c>
      <c r="AE237" s="798">
        <v>1</v>
      </c>
      <c r="AF237" s="798">
        <v>1</v>
      </c>
      <c r="AG237" s="798">
        <v>1</v>
      </c>
      <c r="AH237" s="798">
        <v>1</v>
      </c>
      <c r="AI237" s="798">
        <v>1</v>
      </c>
      <c r="AJ237" s="798">
        <v>1</v>
      </c>
      <c r="AK237" s="798">
        <v>1</v>
      </c>
      <c r="AL237" s="798">
        <v>1</v>
      </c>
      <c r="AM237" s="798">
        <v>1</v>
      </c>
      <c r="AN237" s="798">
        <v>1</v>
      </c>
      <c r="AO237" s="798">
        <v>1</v>
      </c>
      <c r="AP237" s="798">
        <v>1</v>
      </c>
      <c r="AQ237" s="798">
        <v>1</v>
      </c>
      <c r="AR237" s="798">
        <v>1</v>
      </c>
      <c r="AS237" s="798">
        <v>1</v>
      </c>
    </row>
    <row r="240" spans="6:45" ht="11.4" customHeight="1">
      <c r="H240" s="799" t="s">
        <v>728</v>
      </c>
    </row>
    <row r="241" spans="6:55" ht="11.4" customHeight="1" thickBot="1">
      <c r="F241" s="800" t="s">
        <v>545</v>
      </c>
      <c r="G241" s="800" t="s">
        <v>585</v>
      </c>
      <c r="H241" s="800" t="s">
        <v>592</v>
      </c>
      <c r="I241" s="801" t="s">
        <v>88</v>
      </c>
      <c r="J241" s="801" t="s">
        <v>89</v>
      </c>
      <c r="K241" s="801" t="s">
        <v>90</v>
      </c>
      <c r="L241" s="801" t="s">
        <v>91</v>
      </c>
      <c r="M241" s="801" t="s">
        <v>92</v>
      </c>
      <c r="N241" s="801" t="s">
        <v>93</v>
      </c>
      <c r="O241" s="801" t="s">
        <v>94</v>
      </c>
      <c r="P241" s="801" t="s">
        <v>95</v>
      </c>
      <c r="Q241" s="801" t="s">
        <v>96</v>
      </c>
      <c r="R241" s="801" t="s">
        <v>97</v>
      </c>
      <c r="S241" s="801" t="s">
        <v>98</v>
      </c>
      <c r="T241" s="801" t="s">
        <v>99</v>
      </c>
      <c r="U241" s="801" t="s">
        <v>205</v>
      </c>
      <c r="V241" s="801" t="s">
        <v>118</v>
      </c>
      <c r="W241" s="801" t="s">
        <v>100</v>
      </c>
      <c r="X241" s="801" t="s">
        <v>101</v>
      </c>
      <c r="Y241" s="801" t="s">
        <v>102</v>
      </c>
      <c r="Z241" s="801" t="s">
        <v>103</v>
      </c>
      <c r="AA241" s="801" t="s">
        <v>104</v>
      </c>
      <c r="AB241" s="801" t="s">
        <v>105</v>
      </c>
      <c r="AC241" s="801" t="s">
        <v>106</v>
      </c>
      <c r="AD241" s="801" t="s">
        <v>107</v>
      </c>
      <c r="AE241" s="801" t="s">
        <v>108</v>
      </c>
      <c r="AF241" s="801" t="s">
        <v>109</v>
      </c>
      <c r="AG241" s="801" t="s">
        <v>110</v>
      </c>
      <c r="AH241" s="801" t="s">
        <v>111</v>
      </c>
      <c r="AI241" s="801" t="s">
        <v>112</v>
      </c>
      <c r="AJ241" s="801" t="s">
        <v>113</v>
      </c>
      <c r="AK241" s="801" t="s">
        <v>114</v>
      </c>
      <c r="AL241" s="801" t="s">
        <v>115</v>
      </c>
      <c r="AM241" s="801" t="s">
        <v>52</v>
      </c>
      <c r="AN241" s="801" t="s">
        <v>116</v>
      </c>
      <c r="AO241" s="801" t="s">
        <v>117</v>
      </c>
      <c r="AP241" s="801" t="s">
        <v>119</v>
      </c>
      <c r="AQ241" s="801" t="s">
        <v>120</v>
      </c>
      <c r="AR241" s="801" t="s">
        <v>121</v>
      </c>
      <c r="AS241" s="801" t="s">
        <v>122</v>
      </c>
    </row>
    <row r="242" spans="6:55" ht="11.4" customHeight="1">
      <c r="F242" s="798" t="s">
        <v>797</v>
      </c>
      <c r="I242" s="798">
        <v>2011</v>
      </c>
      <c r="J242" s="798">
        <v>2011</v>
      </c>
      <c r="K242" s="798">
        <v>2011</v>
      </c>
      <c r="L242" s="798">
        <v>2011</v>
      </c>
      <c r="M242" s="798">
        <v>2011</v>
      </c>
      <c r="N242" s="798">
        <v>2011</v>
      </c>
      <c r="O242" s="798">
        <v>2011</v>
      </c>
      <c r="P242" s="798">
        <v>2011</v>
      </c>
      <c r="Q242" s="798">
        <v>2011</v>
      </c>
      <c r="R242" s="798">
        <v>2011</v>
      </c>
      <c r="S242" s="798">
        <v>2011</v>
      </c>
      <c r="T242" s="798">
        <v>2011</v>
      </c>
      <c r="U242" s="798">
        <v>2011</v>
      </c>
      <c r="V242" s="798">
        <v>2011</v>
      </c>
      <c r="W242" s="798">
        <v>2011</v>
      </c>
      <c r="X242" s="798">
        <v>2011</v>
      </c>
      <c r="Y242" s="798">
        <v>2011</v>
      </c>
      <c r="Z242" s="798">
        <v>2011</v>
      </c>
      <c r="AA242" s="798">
        <v>2011</v>
      </c>
      <c r="AB242" s="798">
        <v>2011</v>
      </c>
      <c r="AC242" s="798">
        <v>2011</v>
      </c>
      <c r="AD242" s="798">
        <v>2011</v>
      </c>
      <c r="AE242" s="798">
        <v>2011</v>
      </c>
      <c r="AF242" s="798">
        <v>2011</v>
      </c>
      <c r="AG242" s="798">
        <v>2011</v>
      </c>
      <c r="AH242" s="798">
        <v>2011</v>
      </c>
      <c r="AI242" s="798">
        <v>2011</v>
      </c>
      <c r="AJ242" s="798">
        <v>2011</v>
      </c>
      <c r="AK242" s="798">
        <v>2011</v>
      </c>
      <c r="AL242" s="798">
        <v>2011</v>
      </c>
      <c r="AM242" s="798">
        <v>2011</v>
      </c>
      <c r="AN242" s="798">
        <v>2011</v>
      </c>
      <c r="AO242" s="798">
        <v>2011</v>
      </c>
      <c r="AP242" s="798">
        <v>2011</v>
      </c>
      <c r="AQ242" s="798">
        <v>2011</v>
      </c>
      <c r="AR242" s="798">
        <v>2011</v>
      </c>
      <c r="AS242" s="798">
        <v>2011</v>
      </c>
    </row>
    <row r="245" spans="6:55" ht="11.4" customHeight="1">
      <c r="H245" s="799" t="s">
        <v>729</v>
      </c>
    </row>
    <row r="246" spans="6:55" ht="11.4" customHeight="1" thickBot="1">
      <c r="F246" s="800" t="s">
        <v>545</v>
      </c>
      <c r="G246" s="800" t="s">
        <v>585</v>
      </c>
      <c r="H246" s="800" t="s">
        <v>592</v>
      </c>
      <c r="I246" s="801" t="s">
        <v>88</v>
      </c>
      <c r="J246" s="801" t="s">
        <v>89</v>
      </c>
      <c r="K246" s="801" t="s">
        <v>90</v>
      </c>
      <c r="L246" s="801" t="s">
        <v>91</v>
      </c>
      <c r="M246" s="801" t="s">
        <v>92</v>
      </c>
      <c r="N246" s="801" t="s">
        <v>93</v>
      </c>
      <c r="O246" s="801" t="s">
        <v>94</v>
      </c>
      <c r="P246" s="801" t="s">
        <v>95</v>
      </c>
      <c r="Q246" s="801" t="s">
        <v>96</v>
      </c>
      <c r="R246" s="801" t="s">
        <v>97</v>
      </c>
      <c r="S246" s="801" t="s">
        <v>98</v>
      </c>
      <c r="T246" s="801" t="s">
        <v>99</v>
      </c>
      <c r="U246" s="801" t="s">
        <v>205</v>
      </c>
      <c r="V246" s="801" t="s">
        <v>118</v>
      </c>
      <c r="W246" s="801" t="s">
        <v>100</v>
      </c>
      <c r="X246" s="801" t="s">
        <v>101</v>
      </c>
      <c r="Y246" s="801" t="s">
        <v>102</v>
      </c>
      <c r="Z246" s="801" t="s">
        <v>103</v>
      </c>
      <c r="AA246" s="801" t="s">
        <v>104</v>
      </c>
      <c r="AB246" s="801" t="s">
        <v>105</v>
      </c>
      <c r="AC246" s="801" t="s">
        <v>106</v>
      </c>
      <c r="AD246" s="801" t="s">
        <v>107</v>
      </c>
      <c r="AE246" s="801" t="s">
        <v>108</v>
      </c>
      <c r="AF246" s="801" t="s">
        <v>109</v>
      </c>
      <c r="AG246" s="801" t="s">
        <v>110</v>
      </c>
      <c r="AH246" s="801" t="s">
        <v>111</v>
      </c>
      <c r="AI246" s="801" t="s">
        <v>112</v>
      </c>
      <c r="AJ246" s="801" t="s">
        <v>113</v>
      </c>
      <c r="AK246" s="801" t="s">
        <v>114</v>
      </c>
      <c r="AL246" s="801" t="s">
        <v>115</v>
      </c>
      <c r="AM246" s="801" t="s">
        <v>52</v>
      </c>
      <c r="AN246" s="801" t="s">
        <v>116</v>
      </c>
      <c r="AO246" s="801" t="s">
        <v>117</v>
      </c>
      <c r="AP246" s="801" t="s">
        <v>119</v>
      </c>
      <c r="AQ246" s="801" t="s">
        <v>120</v>
      </c>
      <c r="AR246" s="801" t="s">
        <v>121</v>
      </c>
      <c r="AS246" s="801" t="s">
        <v>122</v>
      </c>
    </row>
    <row r="247" spans="6:55" ht="11.4" customHeight="1">
      <c r="F247" s="798" t="s">
        <v>797</v>
      </c>
      <c r="I247" s="798">
        <v>60</v>
      </c>
      <c r="J247" s="798">
        <v>60</v>
      </c>
      <c r="K247" s="798">
        <v>60</v>
      </c>
      <c r="L247" s="798">
        <v>60</v>
      </c>
      <c r="M247" s="798">
        <v>60</v>
      </c>
      <c r="N247" s="798">
        <v>60</v>
      </c>
      <c r="O247" s="798">
        <v>60</v>
      </c>
      <c r="P247" s="798">
        <v>60</v>
      </c>
      <c r="Q247" s="798">
        <v>60</v>
      </c>
      <c r="R247" s="798">
        <v>60</v>
      </c>
      <c r="S247" s="798">
        <v>60</v>
      </c>
      <c r="T247" s="798">
        <v>60</v>
      </c>
      <c r="U247" s="798">
        <v>60</v>
      </c>
      <c r="V247" s="798">
        <v>60</v>
      </c>
      <c r="W247" s="798">
        <v>60</v>
      </c>
      <c r="X247" s="798">
        <v>60</v>
      </c>
      <c r="Y247" s="798">
        <v>60</v>
      </c>
      <c r="Z247" s="798">
        <v>60</v>
      </c>
      <c r="AA247" s="798">
        <v>60</v>
      </c>
      <c r="AB247" s="798">
        <v>60</v>
      </c>
      <c r="AC247" s="798">
        <v>60</v>
      </c>
      <c r="AD247" s="798">
        <v>60</v>
      </c>
      <c r="AE247" s="798">
        <v>60</v>
      </c>
      <c r="AF247" s="798">
        <v>60</v>
      </c>
      <c r="AG247" s="798">
        <v>60</v>
      </c>
      <c r="AH247" s="798">
        <v>60</v>
      </c>
      <c r="AI247" s="798">
        <v>60</v>
      </c>
      <c r="AJ247" s="798">
        <v>60</v>
      </c>
      <c r="AK247" s="798">
        <v>60</v>
      </c>
      <c r="AL247" s="798">
        <v>60</v>
      </c>
      <c r="AM247" s="798">
        <v>60</v>
      </c>
      <c r="AN247" s="798">
        <v>60</v>
      </c>
      <c r="AO247" s="798">
        <v>60</v>
      </c>
      <c r="AP247" s="798">
        <v>60</v>
      </c>
      <c r="AQ247" s="798">
        <v>60</v>
      </c>
      <c r="AR247" s="798">
        <v>60</v>
      </c>
      <c r="AS247" s="798">
        <v>60</v>
      </c>
    </row>
    <row r="251" spans="6:55" ht="11.4" customHeight="1">
      <c r="F251" s="809" t="s">
        <v>545</v>
      </c>
      <c r="G251" s="810" t="s">
        <v>585</v>
      </c>
      <c r="H251" s="810" t="s">
        <v>592</v>
      </c>
      <c r="I251" s="809" t="s">
        <v>88</v>
      </c>
      <c r="J251" s="809" t="s">
        <v>89</v>
      </c>
      <c r="K251" s="809" t="s">
        <v>90</v>
      </c>
      <c r="L251" s="809" t="s">
        <v>91</v>
      </c>
      <c r="M251" s="809" t="s">
        <v>92</v>
      </c>
      <c r="N251" s="809" t="s">
        <v>93</v>
      </c>
      <c r="O251" s="809" t="s">
        <v>94</v>
      </c>
      <c r="P251" s="809" t="s">
        <v>95</v>
      </c>
      <c r="Q251" s="809" t="s">
        <v>96</v>
      </c>
      <c r="R251" s="809" t="s">
        <v>97</v>
      </c>
      <c r="S251" s="809" t="s">
        <v>98</v>
      </c>
      <c r="T251" s="809" t="s">
        <v>99</v>
      </c>
      <c r="U251" s="809" t="s">
        <v>205</v>
      </c>
      <c r="V251" s="809" t="s">
        <v>118</v>
      </c>
      <c r="W251" s="809" t="s">
        <v>100</v>
      </c>
      <c r="X251" s="809" t="s">
        <v>101</v>
      </c>
      <c r="Y251" s="809" t="s">
        <v>102</v>
      </c>
      <c r="Z251" s="809" t="s">
        <v>103</v>
      </c>
      <c r="AA251" s="809" t="s">
        <v>104</v>
      </c>
      <c r="AB251" s="809" t="s">
        <v>105</v>
      </c>
      <c r="AC251" s="809" t="s">
        <v>106</v>
      </c>
      <c r="AD251" s="809" t="s">
        <v>107</v>
      </c>
      <c r="AE251" s="809" t="s">
        <v>108</v>
      </c>
      <c r="AF251" s="809" t="s">
        <v>109</v>
      </c>
      <c r="AG251" s="809" t="s">
        <v>110</v>
      </c>
      <c r="AH251" s="809" t="s">
        <v>111</v>
      </c>
      <c r="AI251" s="809" t="s">
        <v>112</v>
      </c>
      <c r="AJ251" s="809" t="s">
        <v>113</v>
      </c>
      <c r="AK251" s="809" t="s">
        <v>114</v>
      </c>
      <c r="AL251" s="809" t="s">
        <v>115</v>
      </c>
      <c r="AM251" s="809" t="s">
        <v>52</v>
      </c>
      <c r="AN251" s="809" t="s">
        <v>116</v>
      </c>
      <c r="AO251" s="809" t="s">
        <v>117</v>
      </c>
      <c r="AP251" s="809" t="s">
        <v>119</v>
      </c>
      <c r="AQ251" s="809" t="s">
        <v>120</v>
      </c>
      <c r="AR251" s="809" t="s">
        <v>121</v>
      </c>
      <c r="AS251" s="809" t="s">
        <v>122</v>
      </c>
      <c r="AT251" s="809"/>
      <c r="AU251" s="809"/>
      <c r="AV251" s="809"/>
      <c r="AW251" s="809"/>
      <c r="AX251" s="809"/>
      <c r="AY251" s="809"/>
      <c r="AZ251" s="809"/>
      <c r="BA251" s="809"/>
      <c r="BB251" s="809"/>
      <c r="BC251" s="809"/>
    </row>
    <row r="252" spans="6:55" ht="11.4" customHeight="1">
      <c r="F252" s="809" t="s">
        <v>797</v>
      </c>
      <c r="G252" s="809"/>
      <c r="H252" s="809"/>
      <c r="I252" s="809">
        <v>1</v>
      </c>
      <c r="J252" s="809">
        <v>1</v>
      </c>
      <c r="K252" s="809">
        <v>1</v>
      </c>
      <c r="L252" s="809">
        <v>1</v>
      </c>
      <c r="M252" s="809">
        <v>1</v>
      </c>
      <c r="N252" s="809">
        <v>1</v>
      </c>
      <c r="O252" s="809">
        <v>1</v>
      </c>
      <c r="P252" s="809">
        <v>1</v>
      </c>
      <c r="Q252" s="809">
        <v>1</v>
      </c>
      <c r="R252" s="809">
        <v>1</v>
      </c>
      <c r="S252" s="809">
        <v>1</v>
      </c>
      <c r="T252" s="809">
        <v>1</v>
      </c>
      <c r="U252" s="809">
        <v>1</v>
      </c>
      <c r="V252" s="809">
        <v>1</v>
      </c>
      <c r="W252" s="809">
        <v>1</v>
      </c>
      <c r="X252" s="809">
        <v>1</v>
      </c>
      <c r="Y252" s="809">
        <v>1</v>
      </c>
      <c r="Z252" s="809">
        <v>1</v>
      </c>
      <c r="AA252" s="809">
        <v>1</v>
      </c>
      <c r="AB252" s="809">
        <v>1</v>
      </c>
      <c r="AC252" s="809">
        <v>1</v>
      </c>
      <c r="AD252" s="809">
        <v>1</v>
      </c>
      <c r="AE252" s="809">
        <v>1</v>
      </c>
      <c r="AF252" s="809">
        <v>1</v>
      </c>
      <c r="AG252" s="809">
        <v>1</v>
      </c>
      <c r="AH252" s="809">
        <v>1</v>
      </c>
      <c r="AI252" s="809">
        <v>1</v>
      </c>
      <c r="AJ252" s="809">
        <v>1</v>
      </c>
      <c r="AK252" s="809">
        <v>1</v>
      </c>
      <c r="AL252" s="809">
        <v>1</v>
      </c>
      <c r="AM252" s="809">
        <v>1</v>
      </c>
      <c r="AN252" s="809">
        <v>1</v>
      </c>
      <c r="AO252" s="809">
        <v>1</v>
      </c>
      <c r="AP252" s="809">
        <v>1</v>
      </c>
      <c r="AQ252" s="809">
        <v>1</v>
      </c>
      <c r="AR252" s="809">
        <v>1</v>
      </c>
      <c r="AS252" s="809">
        <v>1</v>
      </c>
      <c r="AT252" s="809"/>
      <c r="AU252" s="809"/>
      <c r="AV252" s="809"/>
      <c r="AW252" s="809"/>
      <c r="AX252" s="809"/>
      <c r="AY252" s="809"/>
      <c r="AZ252" s="809"/>
      <c r="BA252" s="809"/>
      <c r="BB252" s="809"/>
      <c r="BC252" s="809"/>
    </row>
    <row r="253" spans="6:55" ht="11.4" customHeight="1">
      <c r="F253" s="809"/>
      <c r="G253" s="809"/>
      <c r="H253" s="809"/>
      <c r="I253" s="809"/>
      <c r="J253" s="809"/>
      <c r="K253" s="809"/>
      <c r="L253" s="809"/>
      <c r="M253" s="809"/>
      <c r="N253" s="809"/>
      <c r="O253" s="809"/>
      <c r="P253" s="809"/>
      <c r="Q253" s="809"/>
      <c r="R253" s="809"/>
      <c r="S253" s="809"/>
      <c r="T253" s="809"/>
      <c r="U253" s="809"/>
      <c r="V253" s="809"/>
      <c r="W253" s="809"/>
      <c r="X253" s="809"/>
      <c r="Y253" s="809"/>
      <c r="Z253" s="809"/>
      <c r="AA253" s="809"/>
      <c r="AB253" s="809"/>
      <c r="AC253" s="809"/>
      <c r="AD253" s="809"/>
      <c r="AE253" s="809"/>
      <c r="AF253" s="809"/>
      <c r="AG253" s="809"/>
      <c r="AH253" s="809"/>
      <c r="AI253" s="809"/>
      <c r="AJ253" s="809"/>
      <c r="AK253" s="809"/>
      <c r="AL253" s="809"/>
      <c r="AM253" s="809"/>
      <c r="AN253" s="809"/>
      <c r="AO253" s="809"/>
      <c r="AP253" s="809"/>
      <c r="AQ253" s="809"/>
      <c r="AR253" s="809"/>
      <c r="AS253" s="809"/>
      <c r="AT253" s="809"/>
      <c r="AU253" s="809"/>
      <c r="AV253" s="809"/>
      <c r="AW253" s="809"/>
      <c r="AX253" s="809"/>
      <c r="AY253" s="809"/>
      <c r="AZ253" s="809"/>
      <c r="BA253" s="809"/>
      <c r="BB253" s="809"/>
      <c r="BC253" s="809"/>
    </row>
    <row r="254" spans="6:55" ht="11.4" customHeight="1">
      <c r="F254" s="809"/>
      <c r="G254" s="809"/>
      <c r="H254" s="809"/>
      <c r="I254" s="809"/>
      <c r="J254" s="809"/>
      <c r="K254" s="809"/>
      <c r="L254" s="809"/>
      <c r="M254" s="809"/>
      <c r="N254" s="809"/>
      <c r="O254" s="809"/>
      <c r="P254" s="809"/>
      <c r="Q254" s="809"/>
      <c r="R254" s="809"/>
      <c r="S254" s="809"/>
      <c r="T254" s="809"/>
      <c r="U254" s="809"/>
      <c r="V254" s="809"/>
      <c r="W254" s="809"/>
      <c r="X254" s="809"/>
      <c r="Y254" s="809"/>
      <c r="Z254" s="809"/>
      <c r="AA254" s="809"/>
      <c r="AB254" s="809"/>
      <c r="AC254" s="809"/>
      <c r="AD254" s="809"/>
      <c r="AE254" s="809"/>
      <c r="AF254" s="809"/>
      <c r="AG254" s="809"/>
      <c r="AH254" s="809"/>
      <c r="AI254" s="809"/>
      <c r="AJ254" s="809"/>
      <c r="AK254" s="809"/>
      <c r="AL254" s="809"/>
      <c r="AM254" s="809"/>
      <c r="AN254" s="809"/>
      <c r="AO254" s="809"/>
      <c r="AP254" s="809"/>
      <c r="AQ254" s="809"/>
      <c r="AR254" s="809"/>
      <c r="AS254" s="809"/>
      <c r="AT254" s="809"/>
      <c r="AU254" s="809"/>
      <c r="AV254" s="809"/>
      <c r="AW254" s="809"/>
      <c r="AX254" s="809"/>
      <c r="AY254" s="809"/>
      <c r="AZ254" s="809"/>
      <c r="BA254" s="809"/>
      <c r="BB254" s="809"/>
      <c r="BC254" s="809"/>
    </row>
    <row r="255" spans="6:55" ht="11.4" customHeight="1">
      <c r="F255" s="809"/>
      <c r="G255" s="809"/>
      <c r="H255" s="809"/>
      <c r="I255" s="809"/>
      <c r="J255" s="809"/>
      <c r="K255" s="809"/>
      <c r="L255" s="809"/>
      <c r="M255" s="809"/>
      <c r="N255" s="809"/>
      <c r="O255" s="809"/>
      <c r="P255" s="809"/>
      <c r="Q255" s="809"/>
      <c r="R255" s="809"/>
      <c r="S255" s="809"/>
      <c r="T255" s="809"/>
      <c r="U255" s="809"/>
      <c r="V255" s="809"/>
      <c r="W255" s="809"/>
      <c r="X255" s="809"/>
      <c r="Y255" s="809"/>
      <c r="Z255" s="809"/>
      <c r="AA255" s="809"/>
      <c r="AB255" s="809"/>
      <c r="AC255" s="809"/>
      <c r="AD255" s="809"/>
      <c r="AE255" s="809"/>
      <c r="AF255" s="809"/>
      <c r="AG255" s="809"/>
      <c r="AH255" s="809"/>
      <c r="AI255" s="809"/>
      <c r="AJ255" s="809"/>
      <c r="AK255" s="809"/>
      <c r="AL255" s="809"/>
      <c r="AM255" s="809"/>
      <c r="AN255" s="809"/>
      <c r="AO255" s="809"/>
      <c r="AP255" s="809"/>
      <c r="AQ255" s="809"/>
      <c r="AR255" s="809"/>
      <c r="AS255" s="809"/>
      <c r="AT255" s="809"/>
      <c r="AU255" s="809"/>
      <c r="AV255" s="809"/>
      <c r="AW255" s="809"/>
      <c r="AX255" s="809"/>
      <c r="AY255" s="809"/>
      <c r="AZ255" s="809"/>
      <c r="BA255" s="809"/>
      <c r="BB255" s="809"/>
      <c r="BC255" s="809"/>
    </row>
    <row r="256" spans="6:55" ht="11.4" customHeight="1">
      <c r="F256" s="809" t="s">
        <v>545</v>
      </c>
      <c r="G256" s="810" t="s">
        <v>585</v>
      </c>
      <c r="H256" s="810" t="s">
        <v>592</v>
      </c>
      <c r="I256" s="809" t="s">
        <v>88</v>
      </c>
      <c r="J256" s="809" t="s">
        <v>89</v>
      </c>
      <c r="K256" s="809" t="s">
        <v>90</v>
      </c>
      <c r="L256" s="809" t="s">
        <v>91</v>
      </c>
      <c r="M256" s="809" t="s">
        <v>92</v>
      </c>
      <c r="N256" s="809" t="s">
        <v>93</v>
      </c>
      <c r="O256" s="809" t="s">
        <v>94</v>
      </c>
      <c r="P256" s="809" t="s">
        <v>95</v>
      </c>
      <c r="Q256" s="809" t="s">
        <v>96</v>
      </c>
      <c r="R256" s="809" t="s">
        <v>97</v>
      </c>
      <c r="S256" s="809" t="s">
        <v>98</v>
      </c>
      <c r="T256" s="809" t="s">
        <v>99</v>
      </c>
      <c r="U256" s="809" t="s">
        <v>205</v>
      </c>
      <c r="V256" s="809" t="s">
        <v>118</v>
      </c>
      <c r="W256" s="809" t="s">
        <v>100</v>
      </c>
      <c r="X256" s="809" t="s">
        <v>101</v>
      </c>
      <c r="Y256" s="809" t="s">
        <v>102</v>
      </c>
      <c r="Z256" s="809" t="s">
        <v>103</v>
      </c>
      <c r="AA256" s="809" t="s">
        <v>104</v>
      </c>
      <c r="AB256" s="809" t="s">
        <v>105</v>
      </c>
      <c r="AC256" s="809" t="s">
        <v>106</v>
      </c>
      <c r="AD256" s="809" t="s">
        <v>107</v>
      </c>
      <c r="AE256" s="809" t="s">
        <v>108</v>
      </c>
      <c r="AF256" s="809" t="s">
        <v>109</v>
      </c>
      <c r="AG256" s="809" t="s">
        <v>110</v>
      </c>
      <c r="AH256" s="809" t="s">
        <v>111</v>
      </c>
      <c r="AI256" s="809" t="s">
        <v>112</v>
      </c>
      <c r="AJ256" s="809" t="s">
        <v>113</v>
      </c>
      <c r="AK256" s="809" t="s">
        <v>114</v>
      </c>
      <c r="AL256" s="809" t="s">
        <v>115</v>
      </c>
      <c r="AM256" s="809" t="s">
        <v>52</v>
      </c>
      <c r="AN256" s="809" t="s">
        <v>116</v>
      </c>
      <c r="AO256" s="809" t="s">
        <v>117</v>
      </c>
      <c r="AP256" s="809" t="s">
        <v>119</v>
      </c>
      <c r="AQ256" s="809" t="s">
        <v>120</v>
      </c>
      <c r="AR256" s="809" t="s">
        <v>121</v>
      </c>
      <c r="AS256" s="809" t="s">
        <v>122</v>
      </c>
      <c r="AT256" s="809"/>
      <c r="AU256" s="809"/>
      <c r="AV256" s="809"/>
      <c r="AW256" s="809"/>
      <c r="AX256" s="809"/>
      <c r="AY256" s="809"/>
      <c r="AZ256" s="809"/>
      <c r="BA256" s="809"/>
      <c r="BB256" s="809"/>
      <c r="BC256" s="809"/>
    </row>
    <row r="257" spans="6:55" ht="11.4" customHeight="1">
      <c r="F257" s="809" t="s">
        <v>797</v>
      </c>
      <c r="G257" s="809"/>
      <c r="H257" s="809"/>
      <c r="I257" s="809">
        <v>31.536000000000001</v>
      </c>
      <c r="J257" s="809">
        <v>31.536000000000001</v>
      </c>
      <c r="K257" s="809">
        <v>31.536000000000001</v>
      </c>
      <c r="L257" s="809">
        <v>31.536000000000001</v>
      </c>
      <c r="M257" s="809">
        <v>31.536000000000001</v>
      </c>
      <c r="N257" s="809">
        <v>31.536000000000001</v>
      </c>
      <c r="O257" s="809">
        <v>31.536000000000001</v>
      </c>
      <c r="P257" s="809">
        <v>31.536000000000001</v>
      </c>
      <c r="Q257" s="809">
        <v>31.536000000000001</v>
      </c>
      <c r="R257" s="809">
        <v>31.536000000000001</v>
      </c>
      <c r="S257" s="809">
        <v>31.536000000000001</v>
      </c>
      <c r="T257" s="809">
        <v>31.536000000000001</v>
      </c>
      <c r="U257" s="809">
        <v>31.536000000000001</v>
      </c>
      <c r="V257" s="809">
        <v>31.536000000000001</v>
      </c>
      <c r="W257" s="809">
        <v>31.536000000000001</v>
      </c>
      <c r="X257" s="809">
        <v>31.536000000000001</v>
      </c>
      <c r="Y257" s="809">
        <v>31.536000000000001</v>
      </c>
      <c r="Z257" s="809">
        <v>31.536000000000001</v>
      </c>
      <c r="AA257" s="809">
        <v>31.536000000000001</v>
      </c>
      <c r="AB257" s="809">
        <v>31.536000000000001</v>
      </c>
      <c r="AC257" s="809">
        <v>31.536000000000001</v>
      </c>
      <c r="AD257" s="809">
        <v>31.536000000000001</v>
      </c>
      <c r="AE257" s="809">
        <v>31.536000000000001</v>
      </c>
      <c r="AF257" s="809">
        <v>31.536000000000001</v>
      </c>
      <c r="AG257" s="809">
        <v>31.536000000000001</v>
      </c>
      <c r="AH257" s="809">
        <v>31.536000000000001</v>
      </c>
      <c r="AI257" s="809">
        <v>31.536000000000001</v>
      </c>
      <c r="AJ257" s="809">
        <v>31.536000000000001</v>
      </c>
      <c r="AK257" s="809">
        <v>31.536000000000001</v>
      </c>
      <c r="AL257" s="809">
        <v>31.536000000000001</v>
      </c>
      <c r="AM257" s="809">
        <v>31.536000000000001</v>
      </c>
      <c r="AN257" s="809">
        <v>31.536000000000001</v>
      </c>
      <c r="AO257" s="809">
        <v>31.536000000000001</v>
      </c>
      <c r="AP257" s="809">
        <v>31.536000000000001</v>
      </c>
      <c r="AQ257" s="809">
        <v>31.536000000000001</v>
      </c>
      <c r="AR257" s="809">
        <v>31.536000000000001</v>
      </c>
      <c r="AS257" s="809">
        <v>31.536000000000001</v>
      </c>
      <c r="AT257" s="809"/>
      <c r="AU257" s="809"/>
      <c r="AV257" s="809"/>
      <c r="AW257" s="809"/>
      <c r="AX257" s="809"/>
      <c r="AY257" s="809"/>
      <c r="AZ257" s="809"/>
      <c r="BA257" s="809"/>
      <c r="BB257" s="809"/>
      <c r="BC257" s="809"/>
    </row>
    <row r="258" spans="6:55" ht="11.4" customHeight="1">
      <c r="F258" s="809"/>
      <c r="G258" s="809"/>
      <c r="H258" s="809"/>
      <c r="I258" s="809"/>
      <c r="J258" s="809"/>
      <c r="K258" s="809"/>
      <c r="L258" s="809"/>
      <c r="M258" s="809"/>
      <c r="N258" s="809"/>
      <c r="O258" s="809"/>
      <c r="P258" s="809"/>
      <c r="Q258" s="809"/>
      <c r="R258" s="809"/>
      <c r="S258" s="809"/>
      <c r="T258" s="809"/>
      <c r="U258" s="809"/>
      <c r="V258" s="809"/>
      <c r="W258" s="809"/>
      <c r="X258" s="809"/>
      <c r="Y258" s="809"/>
      <c r="Z258" s="809"/>
      <c r="AA258" s="809"/>
      <c r="AB258" s="809"/>
      <c r="AC258" s="809"/>
      <c r="AD258" s="809"/>
      <c r="AE258" s="809"/>
      <c r="AF258" s="809"/>
      <c r="AG258" s="809"/>
      <c r="AH258" s="809"/>
      <c r="AI258" s="809"/>
      <c r="AJ258" s="809"/>
      <c r="AK258" s="809"/>
      <c r="AL258" s="809"/>
      <c r="AM258" s="809"/>
      <c r="AN258" s="809"/>
      <c r="AO258" s="809"/>
      <c r="AP258" s="809"/>
      <c r="AQ258" s="809"/>
      <c r="AR258" s="809"/>
      <c r="AS258" s="809"/>
      <c r="AT258" s="809"/>
      <c r="AU258" s="809"/>
      <c r="AV258" s="809"/>
      <c r="AW258" s="809"/>
      <c r="AX258" s="809"/>
      <c r="AY258" s="809"/>
      <c r="AZ258" s="809"/>
      <c r="BA258" s="809"/>
      <c r="BB258" s="809"/>
      <c r="BC258" s="809"/>
    </row>
    <row r="259" spans="6:55" ht="11.4" customHeight="1">
      <c r="F259" s="809"/>
      <c r="G259" s="809"/>
      <c r="H259" s="809"/>
      <c r="I259" s="809"/>
      <c r="J259" s="809"/>
      <c r="K259" s="809"/>
      <c r="L259" s="809"/>
      <c r="M259" s="809"/>
      <c r="N259" s="809"/>
      <c r="O259" s="809"/>
      <c r="P259" s="809"/>
      <c r="Q259" s="809"/>
      <c r="R259" s="809"/>
      <c r="S259" s="809"/>
      <c r="T259" s="809"/>
      <c r="U259" s="809"/>
      <c r="V259" s="809"/>
      <c r="W259" s="809"/>
      <c r="X259" s="809"/>
      <c r="Y259" s="809"/>
      <c r="Z259" s="809"/>
      <c r="AA259" s="809"/>
      <c r="AB259" s="809"/>
      <c r="AC259" s="809"/>
      <c r="AD259" s="809"/>
      <c r="AE259" s="809"/>
      <c r="AF259" s="809"/>
      <c r="AG259" s="809"/>
      <c r="AH259" s="809"/>
      <c r="AI259" s="809"/>
      <c r="AJ259" s="809"/>
      <c r="AK259" s="809"/>
      <c r="AL259" s="809"/>
      <c r="AM259" s="809"/>
      <c r="AN259" s="809"/>
      <c r="AO259" s="809"/>
      <c r="AP259" s="809"/>
      <c r="AQ259" s="809"/>
      <c r="AR259" s="809"/>
      <c r="AS259" s="809"/>
      <c r="AT259" s="809"/>
      <c r="AU259" s="809"/>
      <c r="AV259" s="809"/>
      <c r="AW259" s="809"/>
      <c r="AX259" s="809"/>
      <c r="AY259" s="809"/>
      <c r="AZ259" s="809"/>
      <c r="BA259" s="809"/>
      <c r="BB259" s="809"/>
      <c r="BC259" s="809"/>
    </row>
    <row r="260" spans="6:55" ht="11.4" customHeight="1">
      <c r="F260" s="809"/>
      <c r="G260" s="809"/>
      <c r="H260" s="809"/>
      <c r="I260" s="809"/>
      <c r="J260" s="809"/>
      <c r="K260" s="809"/>
      <c r="L260" s="809"/>
      <c r="M260" s="809"/>
      <c r="N260" s="809"/>
      <c r="O260" s="809"/>
      <c r="P260" s="809"/>
      <c r="Q260" s="809"/>
      <c r="R260" s="809"/>
      <c r="S260" s="809"/>
      <c r="T260" s="809"/>
      <c r="U260" s="809"/>
      <c r="V260" s="809"/>
      <c r="W260" s="809"/>
      <c r="X260" s="809"/>
      <c r="Y260" s="809"/>
      <c r="Z260" s="809"/>
      <c r="AA260" s="809"/>
      <c r="AB260" s="809"/>
      <c r="AC260" s="809"/>
      <c r="AD260" s="809"/>
      <c r="AE260" s="809"/>
      <c r="AF260" s="809"/>
      <c r="AG260" s="809"/>
      <c r="AH260" s="809"/>
      <c r="AI260" s="809"/>
      <c r="AJ260" s="809"/>
      <c r="AK260" s="809"/>
      <c r="AL260" s="809"/>
      <c r="AM260" s="809"/>
      <c r="AN260" s="809"/>
      <c r="AO260" s="809"/>
      <c r="AP260" s="809"/>
      <c r="AQ260" s="809"/>
      <c r="AR260" s="809"/>
      <c r="AS260" s="809"/>
      <c r="AT260" s="809"/>
      <c r="AU260" s="809"/>
      <c r="AV260" s="809"/>
      <c r="AW260" s="809"/>
      <c r="AX260" s="809"/>
      <c r="AY260" s="809"/>
      <c r="AZ260" s="809"/>
      <c r="BA260" s="809"/>
      <c r="BB260" s="809"/>
      <c r="BC260" s="809"/>
    </row>
    <row r="261" spans="6:55" ht="11.4" customHeight="1">
      <c r="F261" s="809" t="s">
        <v>545</v>
      </c>
      <c r="G261" s="810" t="s">
        <v>585</v>
      </c>
      <c r="H261" s="810" t="s">
        <v>592</v>
      </c>
      <c r="I261" s="809" t="s">
        <v>88</v>
      </c>
      <c r="J261" s="809" t="s">
        <v>89</v>
      </c>
      <c r="K261" s="809" t="s">
        <v>90</v>
      </c>
      <c r="L261" s="809" t="s">
        <v>91</v>
      </c>
      <c r="M261" s="809" t="s">
        <v>92</v>
      </c>
      <c r="N261" s="809" t="s">
        <v>93</v>
      </c>
      <c r="O261" s="809" t="s">
        <v>94</v>
      </c>
      <c r="P261" s="809" t="s">
        <v>95</v>
      </c>
      <c r="Q261" s="809" t="s">
        <v>96</v>
      </c>
      <c r="R261" s="809" t="s">
        <v>97</v>
      </c>
      <c r="S261" s="809" t="s">
        <v>98</v>
      </c>
      <c r="T261" s="809" t="s">
        <v>99</v>
      </c>
      <c r="U261" s="809" t="s">
        <v>205</v>
      </c>
      <c r="V261" s="809" t="s">
        <v>118</v>
      </c>
      <c r="W261" s="809" t="s">
        <v>100</v>
      </c>
      <c r="X261" s="809" t="s">
        <v>101</v>
      </c>
      <c r="Y261" s="809" t="s">
        <v>102</v>
      </c>
      <c r="Z261" s="809" t="s">
        <v>103</v>
      </c>
      <c r="AA261" s="809" t="s">
        <v>104</v>
      </c>
      <c r="AB261" s="809" t="s">
        <v>105</v>
      </c>
      <c r="AC261" s="809" t="s">
        <v>106</v>
      </c>
      <c r="AD261" s="809" t="s">
        <v>107</v>
      </c>
      <c r="AE261" s="809" t="s">
        <v>108</v>
      </c>
      <c r="AF261" s="809" t="s">
        <v>109</v>
      </c>
      <c r="AG261" s="809" t="s">
        <v>110</v>
      </c>
      <c r="AH261" s="809" t="s">
        <v>111</v>
      </c>
      <c r="AI261" s="809" t="s">
        <v>112</v>
      </c>
      <c r="AJ261" s="809" t="s">
        <v>113</v>
      </c>
      <c r="AK261" s="809" t="s">
        <v>114</v>
      </c>
      <c r="AL261" s="809" t="s">
        <v>115</v>
      </c>
      <c r="AM261" s="809" t="s">
        <v>52</v>
      </c>
      <c r="AN261" s="809" t="s">
        <v>116</v>
      </c>
      <c r="AO261" s="809" t="s">
        <v>117</v>
      </c>
      <c r="AP261" s="809" t="s">
        <v>119</v>
      </c>
      <c r="AQ261" s="809" t="s">
        <v>120</v>
      </c>
      <c r="AR261" s="809" t="s">
        <v>121</v>
      </c>
      <c r="AS261" s="809" t="s">
        <v>122</v>
      </c>
      <c r="AT261" s="809"/>
      <c r="AU261" s="809"/>
      <c r="AV261" s="809"/>
      <c r="AW261" s="809"/>
      <c r="AX261" s="809"/>
      <c r="AY261" s="809"/>
      <c r="AZ261" s="809"/>
      <c r="BA261" s="809"/>
      <c r="BB261" s="809"/>
      <c r="BC261" s="809"/>
    </row>
    <row r="262" spans="6:55" ht="11.4" customHeight="1">
      <c r="F262" s="809" t="s">
        <v>797</v>
      </c>
      <c r="G262" s="809" t="s">
        <v>735</v>
      </c>
      <c r="H262" s="809"/>
      <c r="I262" s="809">
        <v>1</v>
      </c>
      <c r="J262" s="809">
        <v>1</v>
      </c>
      <c r="K262" s="809">
        <v>1</v>
      </c>
      <c r="L262" s="809">
        <v>1</v>
      </c>
      <c r="M262" s="809">
        <v>1</v>
      </c>
      <c r="N262" s="809">
        <v>1</v>
      </c>
      <c r="O262" s="809">
        <v>1</v>
      </c>
      <c r="P262" s="809">
        <v>1</v>
      </c>
      <c r="Q262" s="809">
        <v>1</v>
      </c>
      <c r="R262" s="809">
        <v>1</v>
      </c>
      <c r="S262" s="809">
        <v>1</v>
      </c>
      <c r="T262" s="809">
        <v>1</v>
      </c>
      <c r="U262" s="809">
        <v>1</v>
      </c>
      <c r="V262" s="809">
        <v>1</v>
      </c>
      <c r="W262" s="809">
        <v>1</v>
      </c>
      <c r="X262" s="809">
        <v>1</v>
      </c>
      <c r="Y262" s="809">
        <v>1</v>
      </c>
      <c r="Z262" s="809">
        <v>1</v>
      </c>
      <c r="AA262" s="809">
        <v>1</v>
      </c>
      <c r="AB262" s="809">
        <v>1</v>
      </c>
      <c r="AC262" s="809">
        <v>1</v>
      </c>
      <c r="AD262" s="809">
        <v>1</v>
      </c>
      <c r="AE262" s="809">
        <v>1</v>
      </c>
      <c r="AF262" s="809">
        <v>1</v>
      </c>
      <c r="AG262" s="809">
        <v>1</v>
      </c>
      <c r="AH262" s="809">
        <v>1</v>
      </c>
      <c r="AI262" s="809">
        <v>1</v>
      </c>
      <c r="AJ262" s="809">
        <v>1</v>
      </c>
      <c r="AK262" s="809">
        <v>1</v>
      </c>
      <c r="AL262" s="809">
        <v>1</v>
      </c>
      <c r="AM262" s="809">
        <v>1</v>
      </c>
      <c r="AN262" s="809">
        <v>1</v>
      </c>
      <c r="AO262" s="809">
        <v>1</v>
      </c>
      <c r="AP262" s="809">
        <v>1</v>
      </c>
      <c r="AQ262" s="809">
        <v>1</v>
      </c>
      <c r="AR262" s="809">
        <v>1</v>
      </c>
      <c r="AS262" s="809">
        <v>1</v>
      </c>
      <c r="AT262" s="809"/>
      <c r="AU262" s="809"/>
      <c r="AV262" s="809"/>
      <c r="AW262" s="809"/>
      <c r="AX262" s="809"/>
      <c r="AY262" s="809"/>
      <c r="AZ262" s="809"/>
      <c r="BA262" s="809"/>
      <c r="BB262" s="809"/>
      <c r="BC262" s="809"/>
    </row>
    <row r="263" spans="6:55" ht="11.4" customHeight="1">
      <c r="F263" s="809"/>
      <c r="G263" s="809"/>
      <c r="H263" s="809" t="s">
        <v>796</v>
      </c>
      <c r="I263" s="809"/>
      <c r="J263" s="809"/>
      <c r="K263" s="809"/>
      <c r="L263" s="809"/>
      <c r="M263" s="809"/>
      <c r="N263" s="809"/>
      <c r="O263" s="809"/>
      <c r="P263" s="809"/>
      <c r="Q263" s="809"/>
      <c r="R263" s="809"/>
      <c r="S263" s="809"/>
      <c r="T263" s="809"/>
      <c r="U263" s="809"/>
      <c r="V263" s="809"/>
      <c r="W263" s="809"/>
      <c r="X263" s="809"/>
      <c r="Y263" s="809"/>
      <c r="Z263" s="809"/>
      <c r="AA263" s="809"/>
      <c r="AB263" s="809"/>
      <c r="AC263" s="809"/>
      <c r="AD263" s="809"/>
      <c r="AE263" s="809"/>
      <c r="AF263" s="809"/>
      <c r="AG263" s="809"/>
      <c r="AH263" s="809"/>
      <c r="AI263" s="809"/>
      <c r="AJ263" s="809"/>
      <c r="AK263" s="809"/>
      <c r="AL263" s="809"/>
      <c r="AM263" s="809"/>
      <c r="AN263" s="809"/>
      <c r="AO263" s="809"/>
      <c r="AP263" s="809"/>
      <c r="AQ263" s="809"/>
      <c r="AR263" s="809"/>
      <c r="AS263" s="809"/>
      <c r="AT263" s="809"/>
      <c r="AU263" s="809"/>
      <c r="AV263" s="809"/>
      <c r="AW263" s="809"/>
      <c r="AX263" s="809"/>
      <c r="AY263" s="809"/>
      <c r="AZ263" s="809"/>
      <c r="BA263" s="809"/>
      <c r="BB263" s="809"/>
      <c r="BC263" s="809"/>
    </row>
    <row r="264" spans="6:55" ht="11.4" customHeight="1">
      <c r="F264" s="809"/>
      <c r="G264" s="809"/>
      <c r="H264" s="809"/>
      <c r="I264" s="809"/>
      <c r="J264" s="809"/>
      <c r="K264" s="809"/>
      <c r="L264" s="809"/>
      <c r="M264" s="809"/>
      <c r="N264" s="809"/>
      <c r="O264" s="809"/>
      <c r="P264" s="809"/>
      <c r="Q264" s="809"/>
      <c r="R264" s="809"/>
      <c r="S264" s="809"/>
      <c r="T264" s="809"/>
      <c r="U264" s="809"/>
      <c r="V264" s="809"/>
      <c r="W264" s="809"/>
      <c r="X264" s="809"/>
      <c r="Y264" s="809"/>
      <c r="Z264" s="809"/>
      <c r="AA264" s="809"/>
      <c r="AB264" s="809"/>
      <c r="AC264" s="809"/>
      <c r="AD264" s="809"/>
      <c r="AE264" s="809"/>
      <c r="AF264" s="809"/>
      <c r="AG264" s="809"/>
      <c r="AH264" s="809"/>
      <c r="AI264" s="809"/>
      <c r="AJ264" s="809"/>
      <c r="AK264" s="809"/>
      <c r="AL264" s="809"/>
      <c r="AM264" s="809"/>
      <c r="AN264" s="809"/>
      <c r="AO264" s="809"/>
      <c r="AP264" s="809"/>
      <c r="AQ264" s="809"/>
      <c r="AR264" s="809"/>
      <c r="AS264" s="809"/>
      <c r="AT264" s="809"/>
      <c r="AU264" s="809"/>
      <c r="AV264" s="809"/>
      <c r="AW264" s="809"/>
      <c r="AX264" s="809"/>
      <c r="AY264" s="809"/>
      <c r="AZ264" s="809"/>
      <c r="BA264" s="809"/>
      <c r="BB264" s="809"/>
      <c r="BC264" s="809"/>
    </row>
    <row r="265" spans="6:55" ht="11.4" customHeight="1">
      <c r="F265" s="809"/>
      <c r="G265" s="809"/>
      <c r="H265" s="809"/>
      <c r="I265" s="809"/>
      <c r="J265" s="809"/>
      <c r="K265" s="809"/>
      <c r="L265" s="809"/>
      <c r="M265" s="809"/>
      <c r="N265" s="809"/>
      <c r="O265" s="809"/>
      <c r="P265" s="809"/>
      <c r="Q265" s="809"/>
      <c r="R265" s="809"/>
      <c r="S265" s="809"/>
      <c r="T265" s="809"/>
      <c r="U265" s="809"/>
      <c r="V265" s="809"/>
      <c r="W265" s="809"/>
      <c r="X265" s="809"/>
      <c r="Y265" s="809"/>
      <c r="Z265" s="809"/>
      <c r="AA265" s="809"/>
      <c r="AB265" s="809"/>
      <c r="AC265" s="809"/>
      <c r="AD265" s="809"/>
      <c r="AE265" s="809"/>
      <c r="AF265" s="809"/>
      <c r="AG265" s="809"/>
      <c r="AH265" s="809"/>
      <c r="AI265" s="809"/>
      <c r="AJ265" s="809"/>
      <c r="AK265" s="809"/>
      <c r="AL265" s="809"/>
      <c r="AM265" s="809"/>
      <c r="AN265" s="809"/>
      <c r="AO265" s="809"/>
      <c r="AP265" s="809"/>
      <c r="AQ265" s="809"/>
      <c r="AR265" s="809"/>
      <c r="AS265" s="809"/>
      <c r="AT265" s="809"/>
      <c r="AU265" s="809"/>
      <c r="AV265" s="809"/>
      <c r="AW265" s="809"/>
      <c r="AX265" s="809"/>
      <c r="AY265" s="809"/>
      <c r="AZ265" s="809"/>
      <c r="BA265" s="809"/>
      <c r="BB265" s="809"/>
      <c r="BC265" s="809"/>
    </row>
    <row r="266" spans="6:55" ht="11.4" customHeight="1">
      <c r="F266" s="809"/>
      <c r="G266" s="809"/>
      <c r="H266" s="809"/>
      <c r="I266" s="809"/>
      <c r="J266" s="809"/>
      <c r="K266" s="809"/>
      <c r="L266" s="809"/>
      <c r="M266" s="809"/>
      <c r="N266" s="809"/>
      <c r="O266" s="809"/>
      <c r="P266" s="809"/>
      <c r="Q266" s="809"/>
      <c r="R266" s="809"/>
      <c r="S266" s="809"/>
      <c r="T266" s="809"/>
      <c r="U266" s="809"/>
      <c r="V266" s="809"/>
      <c r="W266" s="809"/>
      <c r="X266" s="809"/>
      <c r="Y266" s="809"/>
      <c r="Z266" s="809"/>
      <c r="AA266" s="809"/>
      <c r="AB266" s="809"/>
      <c r="AC266" s="809"/>
      <c r="AD266" s="809"/>
      <c r="AE266" s="809"/>
      <c r="AF266" s="809"/>
      <c r="AG266" s="809"/>
      <c r="AH266" s="809"/>
      <c r="AI266" s="809"/>
      <c r="AJ266" s="809"/>
      <c r="AK266" s="809"/>
      <c r="AL266" s="809"/>
      <c r="AM266" s="809"/>
      <c r="AN266" s="809"/>
      <c r="AO266" s="809"/>
      <c r="AP266" s="809"/>
      <c r="AQ266" s="809"/>
      <c r="AR266" s="809"/>
      <c r="AS266" s="809"/>
      <c r="AT266" s="809"/>
      <c r="AU266" s="809"/>
      <c r="AV266" s="809"/>
      <c r="AW266" s="809"/>
      <c r="AX266" s="809"/>
      <c r="AY266" s="809"/>
      <c r="AZ266" s="809"/>
      <c r="BA266" s="809"/>
      <c r="BB266" s="809"/>
      <c r="BC266" s="809"/>
    </row>
    <row r="267" spans="6:55" ht="11.4" customHeight="1">
      <c r="F267" s="809" t="s">
        <v>545</v>
      </c>
      <c r="G267" s="810" t="s">
        <v>585</v>
      </c>
      <c r="H267" s="810" t="s">
        <v>592</v>
      </c>
      <c r="I267" s="809" t="s">
        <v>88</v>
      </c>
      <c r="J267" s="809" t="s">
        <v>89</v>
      </c>
      <c r="K267" s="809" t="s">
        <v>90</v>
      </c>
      <c r="L267" s="809" t="s">
        <v>91</v>
      </c>
      <c r="M267" s="809" t="s">
        <v>92</v>
      </c>
      <c r="N267" s="809" t="s">
        <v>93</v>
      </c>
      <c r="O267" s="809" t="s">
        <v>94</v>
      </c>
      <c r="P267" s="809" t="s">
        <v>95</v>
      </c>
      <c r="Q267" s="809" t="s">
        <v>96</v>
      </c>
      <c r="R267" s="809" t="s">
        <v>97</v>
      </c>
      <c r="S267" s="809" t="s">
        <v>98</v>
      </c>
      <c r="T267" s="809" t="s">
        <v>99</v>
      </c>
      <c r="U267" s="809" t="s">
        <v>205</v>
      </c>
      <c r="V267" s="809" t="s">
        <v>118</v>
      </c>
      <c r="W267" s="809" t="s">
        <v>100</v>
      </c>
      <c r="X267" s="809" t="s">
        <v>101</v>
      </c>
      <c r="Y267" s="809" t="s">
        <v>102</v>
      </c>
      <c r="Z267" s="809" t="s">
        <v>103</v>
      </c>
      <c r="AA267" s="809" t="s">
        <v>104</v>
      </c>
      <c r="AB267" s="809" t="s">
        <v>105</v>
      </c>
      <c r="AC267" s="809" t="s">
        <v>106</v>
      </c>
      <c r="AD267" s="809" t="s">
        <v>107</v>
      </c>
      <c r="AE267" s="809" t="s">
        <v>108</v>
      </c>
      <c r="AF267" s="809" t="s">
        <v>109</v>
      </c>
      <c r="AG267" s="809" t="s">
        <v>110</v>
      </c>
      <c r="AH267" s="809" t="s">
        <v>111</v>
      </c>
      <c r="AI267" s="809" t="s">
        <v>112</v>
      </c>
      <c r="AJ267" s="809" t="s">
        <v>113</v>
      </c>
      <c r="AK267" s="809" t="s">
        <v>114</v>
      </c>
      <c r="AL267" s="809" t="s">
        <v>115</v>
      </c>
      <c r="AM267" s="809" t="s">
        <v>52</v>
      </c>
      <c r="AN267" s="809" t="s">
        <v>116</v>
      </c>
      <c r="AO267" s="809" t="s">
        <v>117</v>
      </c>
      <c r="AP267" s="809" t="s">
        <v>119</v>
      </c>
      <c r="AQ267" s="809" t="s">
        <v>120</v>
      </c>
      <c r="AR267" s="809" t="s">
        <v>121</v>
      </c>
      <c r="AS267" s="809" t="s">
        <v>122</v>
      </c>
      <c r="AT267" s="809"/>
      <c r="AU267" s="809"/>
      <c r="AV267" s="809"/>
      <c r="AW267" s="809"/>
      <c r="AX267" s="809"/>
      <c r="AY267" s="809"/>
      <c r="AZ267" s="809"/>
      <c r="BA267" s="809"/>
      <c r="BB267" s="809"/>
      <c r="BC267" s="809"/>
    </row>
    <row r="268" spans="6:55" ht="11.4" customHeight="1">
      <c r="F268" s="809" t="s">
        <v>797</v>
      </c>
      <c r="G268" s="809"/>
      <c r="H268" s="809"/>
      <c r="I268" s="809">
        <f>1/3</f>
        <v>0.33333333333333331</v>
      </c>
      <c r="J268" s="809">
        <f t="shared" ref="J268:AS268" si="9">1/3</f>
        <v>0.33333333333333331</v>
      </c>
      <c r="K268" s="809">
        <f t="shared" si="9"/>
        <v>0.33333333333333331</v>
      </c>
      <c r="L268" s="809">
        <f t="shared" si="9"/>
        <v>0.33333333333333331</v>
      </c>
      <c r="M268" s="809">
        <f t="shared" si="9"/>
        <v>0.33333333333333331</v>
      </c>
      <c r="N268" s="809">
        <f t="shared" si="9"/>
        <v>0.33333333333333331</v>
      </c>
      <c r="O268" s="809">
        <f t="shared" si="9"/>
        <v>0.33333333333333331</v>
      </c>
      <c r="P268" s="809">
        <f t="shared" si="9"/>
        <v>0.33333333333333331</v>
      </c>
      <c r="Q268" s="809">
        <f t="shared" si="9"/>
        <v>0.33333333333333331</v>
      </c>
      <c r="R268" s="809">
        <f t="shared" si="9"/>
        <v>0.33333333333333331</v>
      </c>
      <c r="S268" s="809">
        <f t="shared" si="9"/>
        <v>0.33333333333333331</v>
      </c>
      <c r="T268" s="809">
        <f t="shared" si="9"/>
        <v>0.33333333333333331</v>
      </c>
      <c r="U268" s="809">
        <f t="shared" si="9"/>
        <v>0.33333333333333331</v>
      </c>
      <c r="V268" s="809">
        <f t="shared" si="9"/>
        <v>0.33333333333333331</v>
      </c>
      <c r="W268" s="809">
        <f t="shared" si="9"/>
        <v>0.33333333333333331</v>
      </c>
      <c r="X268" s="809">
        <f t="shared" si="9"/>
        <v>0.33333333333333331</v>
      </c>
      <c r="Y268" s="809">
        <f t="shared" si="9"/>
        <v>0.33333333333333331</v>
      </c>
      <c r="Z268" s="809">
        <f t="shared" si="9"/>
        <v>0.33333333333333331</v>
      </c>
      <c r="AA268" s="809">
        <f t="shared" si="9"/>
        <v>0.33333333333333331</v>
      </c>
      <c r="AB268" s="809">
        <f t="shared" si="9"/>
        <v>0.33333333333333331</v>
      </c>
      <c r="AC268" s="809">
        <f t="shared" si="9"/>
        <v>0.33333333333333331</v>
      </c>
      <c r="AD268" s="809">
        <f t="shared" si="9"/>
        <v>0.33333333333333331</v>
      </c>
      <c r="AE268" s="809">
        <f t="shared" si="9"/>
        <v>0.33333333333333331</v>
      </c>
      <c r="AF268" s="809">
        <f t="shared" si="9"/>
        <v>0.33333333333333331</v>
      </c>
      <c r="AG268" s="809">
        <f t="shared" si="9"/>
        <v>0.33333333333333331</v>
      </c>
      <c r="AH268" s="809">
        <f t="shared" si="9"/>
        <v>0.33333333333333331</v>
      </c>
      <c r="AI268" s="809">
        <f t="shared" si="9"/>
        <v>0.33333333333333331</v>
      </c>
      <c r="AJ268" s="809">
        <f t="shared" si="9"/>
        <v>0.33333333333333331</v>
      </c>
      <c r="AK268" s="809">
        <f t="shared" si="9"/>
        <v>0.33333333333333331</v>
      </c>
      <c r="AL268" s="809">
        <f t="shared" si="9"/>
        <v>0.33333333333333331</v>
      </c>
      <c r="AM268" s="809">
        <f t="shared" si="9"/>
        <v>0.33333333333333331</v>
      </c>
      <c r="AN268" s="809">
        <f t="shared" si="9"/>
        <v>0.33333333333333331</v>
      </c>
      <c r="AO268" s="809">
        <f t="shared" si="9"/>
        <v>0.33333333333333331</v>
      </c>
      <c r="AP268" s="809">
        <f t="shared" si="9"/>
        <v>0.33333333333333331</v>
      </c>
      <c r="AQ268" s="809">
        <f t="shared" si="9"/>
        <v>0.33333333333333331</v>
      </c>
      <c r="AR268" s="809">
        <f t="shared" si="9"/>
        <v>0.33333333333333331</v>
      </c>
      <c r="AS268" s="809">
        <f t="shared" si="9"/>
        <v>0.33333333333333331</v>
      </c>
      <c r="AT268" s="809"/>
      <c r="AU268" s="809"/>
      <c r="AV268" s="809"/>
      <c r="AW268" s="809"/>
      <c r="AX268" s="809"/>
      <c r="AY268" s="809"/>
      <c r="AZ268" s="809"/>
      <c r="BA268" s="809"/>
      <c r="BB268" s="809"/>
      <c r="BC268" s="809"/>
    </row>
    <row r="269" spans="6:55" ht="11.4" customHeight="1">
      <c r="F269" s="809"/>
      <c r="G269" s="809"/>
      <c r="H269" s="809"/>
      <c r="I269" s="809"/>
      <c r="J269" s="809"/>
      <c r="K269" s="809"/>
      <c r="L269" s="809"/>
      <c r="M269" s="809"/>
      <c r="N269" s="809"/>
      <c r="O269" s="809"/>
      <c r="P269" s="809"/>
      <c r="Q269" s="809"/>
      <c r="R269" s="809"/>
      <c r="S269" s="809"/>
      <c r="T269" s="809"/>
      <c r="U269" s="809"/>
      <c r="V269" s="809"/>
      <c r="W269" s="809"/>
      <c r="X269" s="809"/>
      <c r="Y269" s="809"/>
      <c r="Z269" s="809"/>
      <c r="AA269" s="809"/>
      <c r="AB269" s="809"/>
      <c r="AC269" s="809"/>
      <c r="AD269" s="809"/>
      <c r="AE269" s="809"/>
      <c r="AF269" s="809"/>
      <c r="AG269" s="809"/>
      <c r="AH269" s="809"/>
      <c r="AI269" s="809"/>
      <c r="AJ269" s="809"/>
      <c r="AK269" s="809"/>
      <c r="AL269" s="809"/>
      <c r="AM269" s="809"/>
      <c r="AN269" s="809"/>
      <c r="AO269" s="809"/>
      <c r="AP269" s="809"/>
      <c r="AQ269" s="809"/>
      <c r="AR269" s="809"/>
      <c r="AS269" s="809"/>
      <c r="AT269" s="809"/>
      <c r="AU269" s="809"/>
      <c r="AV269" s="809"/>
      <c r="AW269" s="809"/>
      <c r="AX269" s="809"/>
      <c r="AY269" s="809"/>
      <c r="AZ269" s="809"/>
      <c r="BA269" s="809"/>
      <c r="BB269" s="809"/>
      <c r="BC269" s="809"/>
    </row>
    <row r="270" spans="6:55" ht="11.4" customHeight="1">
      <c r="F270" s="809"/>
      <c r="G270" s="809"/>
      <c r="H270" s="809"/>
      <c r="I270" s="809"/>
      <c r="J270" s="809"/>
      <c r="K270" s="809"/>
      <c r="L270" s="809"/>
      <c r="M270" s="809"/>
      <c r="N270" s="809"/>
      <c r="O270" s="809"/>
      <c r="P270" s="809"/>
      <c r="Q270" s="809"/>
      <c r="R270" s="809"/>
      <c r="S270" s="809"/>
      <c r="T270" s="809"/>
      <c r="U270" s="809"/>
      <c r="V270" s="809"/>
      <c r="W270" s="809"/>
      <c r="X270" s="809"/>
      <c r="Y270" s="809"/>
      <c r="Z270" s="809"/>
      <c r="AA270" s="809"/>
      <c r="AB270" s="809"/>
      <c r="AC270" s="809"/>
      <c r="AD270" s="809"/>
      <c r="AE270" s="809"/>
      <c r="AF270" s="809"/>
      <c r="AG270" s="809"/>
      <c r="AH270" s="809"/>
      <c r="AI270" s="809"/>
      <c r="AJ270" s="809"/>
      <c r="AK270" s="809"/>
      <c r="AL270" s="809"/>
      <c r="AM270" s="809"/>
      <c r="AN270" s="809"/>
      <c r="AO270" s="809"/>
      <c r="AP270" s="809"/>
      <c r="AQ270" s="809"/>
      <c r="AR270" s="809"/>
      <c r="AS270" s="809"/>
      <c r="AT270" s="809"/>
      <c r="AU270" s="809"/>
      <c r="AV270" s="809"/>
      <c r="AW270" s="809"/>
      <c r="AX270" s="809"/>
      <c r="AY270" s="809"/>
      <c r="AZ270" s="809"/>
      <c r="BA270" s="809"/>
      <c r="BB270" s="809"/>
      <c r="BC270" s="809"/>
    </row>
    <row r="271" spans="6:55" ht="11.4" customHeight="1">
      <c r="F271" s="809"/>
      <c r="G271" s="809"/>
      <c r="H271" s="809"/>
      <c r="I271" s="809"/>
      <c r="J271" s="809"/>
      <c r="K271" s="809"/>
      <c r="L271" s="809"/>
      <c r="M271" s="809"/>
      <c r="N271" s="809"/>
      <c r="O271" s="809"/>
      <c r="P271" s="809"/>
      <c r="Q271" s="809"/>
      <c r="R271" s="809"/>
      <c r="S271" s="809"/>
      <c r="T271" s="809"/>
      <c r="U271" s="809"/>
      <c r="V271" s="809"/>
      <c r="W271" s="809"/>
      <c r="X271" s="809"/>
      <c r="Y271" s="809"/>
      <c r="Z271" s="809"/>
      <c r="AA271" s="809"/>
      <c r="AB271" s="809"/>
      <c r="AC271" s="809"/>
      <c r="AD271" s="809"/>
      <c r="AE271" s="809"/>
      <c r="AF271" s="809"/>
      <c r="AG271" s="809"/>
      <c r="AH271" s="809"/>
      <c r="AI271" s="809"/>
      <c r="AJ271" s="809"/>
      <c r="AK271" s="809"/>
      <c r="AL271" s="809"/>
      <c r="AM271" s="809"/>
      <c r="AN271" s="809"/>
      <c r="AO271" s="809"/>
      <c r="AP271" s="809"/>
      <c r="AQ271" s="809"/>
      <c r="AR271" s="809"/>
      <c r="AS271" s="809"/>
      <c r="AT271" s="809"/>
      <c r="AU271" s="809"/>
      <c r="AV271" s="809"/>
      <c r="AW271" s="809"/>
      <c r="AX271" s="809"/>
      <c r="AY271" s="809"/>
      <c r="AZ271" s="809"/>
      <c r="BA271" s="809"/>
      <c r="BB271" s="809"/>
      <c r="BC271" s="809"/>
    </row>
    <row r="272" spans="6:55" ht="11.4" customHeight="1">
      <c r="F272" s="809" t="s">
        <v>545</v>
      </c>
      <c r="G272" s="810" t="s">
        <v>585</v>
      </c>
      <c r="H272" s="810" t="s">
        <v>592</v>
      </c>
      <c r="I272" s="809" t="s">
        <v>88</v>
      </c>
      <c r="J272" s="809" t="s">
        <v>89</v>
      </c>
      <c r="K272" s="809" t="s">
        <v>90</v>
      </c>
      <c r="L272" s="809" t="s">
        <v>91</v>
      </c>
      <c r="M272" s="809" t="s">
        <v>92</v>
      </c>
      <c r="N272" s="809" t="s">
        <v>93</v>
      </c>
      <c r="O272" s="809" t="s">
        <v>94</v>
      </c>
      <c r="P272" s="809" t="s">
        <v>95</v>
      </c>
      <c r="Q272" s="809" t="s">
        <v>96</v>
      </c>
      <c r="R272" s="809" t="s">
        <v>97</v>
      </c>
      <c r="S272" s="809" t="s">
        <v>98</v>
      </c>
      <c r="T272" s="809" t="s">
        <v>99</v>
      </c>
      <c r="U272" s="809" t="s">
        <v>205</v>
      </c>
      <c r="V272" s="809" t="s">
        <v>118</v>
      </c>
      <c r="W272" s="809" t="s">
        <v>100</v>
      </c>
      <c r="X272" s="809" t="s">
        <v>101</v>
      </c>
      <c r="Y272" s="809" t="s">
        <v>102</v>
      </c>
      <c r="Z272" s="809" t="s">
        <v>103</v>
      </c>
      <c r="AA272" s="809" t="s">
        <v>104</v>
      </c>
      <c r="AB272" s="809" t="s">
        <v>105</v>
      </c>
      <c r="AC272" s="809" t="s">
        <v>106</v>
      </c>
      <c r="AD272" s="809" t="s">
        <v>107</v>
      </c>
      <c r="AE272" s="809" t="s">
        <v>108</v>
      </c>
      <c r="AF272" s="809" t="s">
        <v>109</v>
      </c>
      <c r="AG272" s="809" t="s">
        <v>110</v>
      </c>
      <c r="AH272" s="809" t="s">
        <v>111</v>
      </c>
      <c r="AI272" s="809" t="s">
        <v>112</v>
      </c>
      <c r="AJ272" s="809" t="s">
        <v>113</v>
      </c>
      <c r="AK272" s="809" t="s">
        <v>114</v>
      </c>
      <c r="AL272" s="809" t="s">
        <v>115</v>
      </c>
      <c r="AM272" s="809" t="s">
        <v>52</v>
      </c>
      <c r="AN272" s="809" t="s">
        <v>116</v>
      </c>
      <c r="AO272" s="809" t="s">
        <v>117</v>
      </c>
      <c r="AP272" s="809" t="s">
        <v>119</v>
      </c>
      <c r="AQ272" s="809" t="s">
        <v>120</v>
      </c>
      <c r="AR272" s="809" t="s">
        <v>121</v>
      </c>
      <c r="AS272" s="809" t="s">
        <v>122</v>
      </c>
      <c r="AT272" s="809"/>
      <c r="AU272" s="809"/>
      <c r="AV272" s="809"/>
      <c r="AW272" s="809"/>
      <c r="AX272" s="809"/>
      <c r="AY272" s="809"/>
      <c r="AZ272" s="809"/>
      <c r="BA272" s="809"/>
      <c r="BB272" s="809"/>
      <c r="BC272" s="809"/>
    </row>
    <row r="273" spans="2:55" ht="11.4" customHeight="1">
      <c r="F273" s="809" t="s">
        <v>797</v>
      </c>
      <c r="G273" s="809"/>
      <c r="H273" s="809"/>
      <c r="I273" s="809">
        <v>1</v>
      </c>
      <c r="J273" s="809">
        <v>1</v>
      </c>
      <c r="K273" s="809">
        <v>1</v>
      </c>
      <c r="L273" s="809">
        <v>1</v>
      </c>
      <c r="M273" s="809">
        <v>1</v>
      </c>
      <c r="N273" s="809">
        <v>1</v>
      </c>
      <c r="O273" s="809">
        <v>1</v>
      </c>
      <c r="P273" s="809">
        <v>1</v>
      </c>
      <c r="Q273" s="809">
        <v>1</v>
      </c>
      <c r="R273" s="809">
        <v>1</v>
      </c>
      <c r="S273" s="809">
        <v>1</v>
      </c>
      <c r="T273" s="809">
        <v>1</v>
      </c>
      <c r="U273" s="809">
        <v>1</v>
      </c>
      <c r="V273" s="809">
        <v>1</v>
      </c>
      <c r="W273" s="809">
        <v>1</v>
      </c>
      <c r="X273" s="809">
        <v>1</v>
      </c>
      <c r="Y273" s="809">
        <v>1</v>
      </c>
      <c r="Z273" s="809">
        <v>1</v>
      </c>
      <c r="AA273" s="809">
        <v>1</v>
      </c>
      <c r="AB273" s="809">
        <v>1</v>
      </c>
      <c r="AC273" s="809">
        <v>1</v>
      </c>
      <c r="AD273" s="809">
        <v>1</v>
      </c>
      <c r="AE273" s="809">
        <v>1</v>
      </c>
      <c r="AF273" s="809">
        <v>1</v>
      </c>
      <c r="AG273" s="809">
        <v>1</v>
      </c>
      <c r="AH273" s="809">
        <v>1</v>
      </c>
      <c r="AI273" s="809">
        <v>1</v>
      </c>
      <c r="AJ273" s="809">
        <v>1</v>
      </c>
      <c r="AK273" s="809">
        <v>1</v>
      </c>
      <c r="AL273" s="809">
        <v>1</v>
      </c>
      <c r="AM273" s="809">
        <v>1</v>
      </c>
      <c r="AN273" s="809">
        <v>1</v>
      </c>
      <c r="AO273" s="809">
        <v>1</v>
      </c>
      <c r="AP273" s="809">
        <v>1</v>
      </c>
      <c r="AQ273" s="809">
        <v>1</v>
      </c>
      <c r="AR273" s="809">
        <v>1</v>
      </c>
      <c r="AS273" s="809">
        <v>1</v>
      </c>
      <c r="AT273" s="809"/>
      <c r="AU273" s="809"/>
      <c r="AV273" s="809"/>
      <c r="AW273" s="809"/>
      <c r="AX273" s="809"/>
      <c r="AY273" s="809"/>
      <c r="AZ273" s="809"/>
      <c r="BA273" s="809"/>
      <c r="BB273" s="809"/>
      <c r="BC273" s="809"/>
    </row>
    <row r="274" spans="2:55" ht="11.4" customHeight="1">
      <c r="F274" s="809"/>
      <c r="G274" s="809"/>
      <c r="H274" s="809"/>
      <c r="I274" s="809"/>
      <c r="J274" s="809"/>
      <c r="K274" s="809"/>
      <c r="L274" s="809"/>
      <c r="M274" s="809"/>
      <c r="N274" s="809"/>
      <c r="O274" s="809"/>
      <c r="P274" s="809"/>
      <c r="Q274" s="809"/>
      <c r="R274" s="809"/>
      <c r="S274" s="809"/>
      <c r="T274" s="809"/>
      <c r="U274" s="809"/>
      <c r="V274" s="809"/>
      <c r="W274" s="809"/>
      <c r="X274" s="809"/>
      <c r="Y274" s="809"/>
      <c r="Z274" s="809"/>
      <c r="AA274" s="809"/>
      <c r="AB274" s="809"/>
      <c r="AC274" s="809"/>
      <c r="AD274" s="809"/>
      <c r="AE274" s="809"/>
      <c r="AF274" s="809"/>
      <c r="AG274" s="809"/>
      <c r="AH274" s="809"/>
      <c r="AI274" s="809"/>
      <c r="AJ274" s="809"/>
      <c r="AK274" s="809"/>
      <c r="AL274" s="809"/>
      <c r="AM274" s="809"/>
      <c r="AN274" s="809"/>
      <c r="AO274" s="809"/>
      <c r="AP274" s="809"/>
      <c r="AQ274" s="809"/>
      <c r="AR274" s="809"/>
      <c r="AS274" s="809"/>
      <c r="AT274" s="809"/>
      <c r="AU274" s="809"/>
      <c r="AV274" s="809"/>
      <c r="AW274" s="809"/>
      <c r="AX274" s="809"/>
      <c r="AY274" s="809"/>
      <c r="AZ274" s="809"/>
      <c r="BA274" s="809"/>
      <c r="BB274" s="809"/>
      <c r="BC274" s="809"/>
    </row>
    <row r="275" spans="2:55" ht="11.4" customHeight="1">
      <c r="F275" s="809"/>
      <c r="G275" s="809"/>
      <c r="H275" s="809"/>
      <c r="I275" s="809"/>
      <c r="J275" s="809"/>
      <c r="K275" s="809"/>
      <c r="L275" s="809"/>
      <c r="M275" s="809"/>
      <c r="N275" s="809"/>
      <c r="O275" s="809"/>
      <c r="P275" s="809"/>
      <c r="Q275" s="809"/>
      <c r="R275" s="809"/>
      <c r="S275" s="809"/>
      <c r="T275" s="809"/>
      <c r="U275" s="809"/>
      <c r="V275" s="809"/>
      <c r="W275" s="809"/>
      <c r="X275" s="809"/>
      <c r="Y275" s="809"/>
      <c r="Z275" s="809"/>
      <c r="AA275" s="809"/>
      <c r="AB275" s="809"/>
      <c r="AC275" s="809"/>
      <c r="AD275" s="809"/>
      <c r="AE275" s="809"/>
      <c r="AF275" s="809"/>
      <c r="AG275" s="809"/>
      <c r="AH275" s="809"/>
      <c r="AI275" s="809"/>
      <c r="AJ275" s="809"/>
      <c r="AK275" s="809"/>
      <c r="AL275" s="809"/>
      <c r="AM275" s="809"/>
      <c r="AN275" s="809"/>
      <c r="AO275" s="809"/>
      <c r="AP275" s="809"/>
      <c r="AQ275" s="809"/>
      <c r="AR275" s="809"/>
      <c r="AS275" s="809"/>
      <c r="AT275" s="809"/>
      <c r="AU275" s="809"/>
      <c r="AV275" s="809"/>
      <c r="AW275" s="809"/>
      <c r="AX275" s="809"/>
      <c r="AY275" s="809"/>
      <c r="AZ275" s="809"/>
      <c r="BA275" s="809"/>
      <c r="BB275" s="809"/>
      <c r="BC275" s="809"/>
    </row>
    <row r="276" spans="2:55" ht="11.4" customHeight="1">
      <c r="F276" s="809"/>
      <c r="G276" s="809"/>
      <c r="H276" s="809"/>
      <c r="I276" s="809"/>
      <c r="J276" s="809"/>
      <c r="K276" s="809"/>
      <c r="L276" s="809"/>
      <c r="M276" s="809"/>
      <c r="N276" s="809"/>
      <c r="O276" s="809"/>
      <c r="P276" s="809"/>
      <c r="Q276" s="809"/>
      <c r="R276" s="809"/>
      <c r="S276" s="809"/>
      <c r="T276" s="809"/>
      <c r="U276" s="809"/>
      <c r="V276" s="809"/>
      <c r="W276" s="809"/>
      <c r="X276" s="809"/>
      <c r="Y276" s="809"/>
      <c r="Z276" s="809"/>
      <c r="AA276" s="809"/>
      <c r="AB276" s="809"/>
      <c r="AC276" s="809"/>
      <c r="AD276" s="809"/>
      <c r="AE276" s="809"/>
      <c r="AF276" s="809"/>
      <c r="AG276" s="809"/>
      <c r="AH276" s="809"/>
      <c r="AI276" s="809"/>
      <c r="AJ276" s="809"/>
      <c r="AK276" s="809"/>
      <c r="AL276" s="809"/>
      <c r="AM276" s="809"/>
      <c r="AN276" s="809"/>
      <c r="AO276" s="809"/>
      <c r="AP276" s="809"/>
      <c r="AQ276" s="809"/>
      <c r="AR276" s="809"/>
      <c r="AS276" s="809"/>
      <c r="AT276" s="809"/>
      <c r="AU276" s="809"/>
      <c r="AV276" s="809"/>
      <c r="AW276" s="809"/>
      <c r="AX276" s="809"/>
      <c r="AY276" s="809"/>
      <c r="AZ276" s="809"/>
      <c r="BA276" s="809"/>
      <c r="BB276" s="809"/>
      <c r="BC276" s="809"/>
    </row>
    <row r="277" spans="2:55" ht="11.4" customHeight="1">
      <c r="F277" s="809" t="s">
        <v>545</v>
      </c>
      <c r="G277" s="810" t="s">
        <v>585</v>
      </c>
      <c r="H277" s="810" t="s">
        <v>592</v>
      </c>
      <c r="I277" s="809" t="s">
        <v>88</v>
      </c>
      <c r="J277" s="809" t="s">
        <v>89</v>
      </c>
      <c r="K277" s="809" t="s">
        <v>90</v>
      </c>
      <c r="L277" s="809" t="s">
        <v>91</v>
      </c>
      <c r="M277" s="809" t="s">
        <v>92</v>
      </c>
      <c r="N277" s="809" t="s">
        <v>93</v>
      </c>
      <c r="O277" s="809" t="s">
        <v>94</v>
      </c>
      <c r="P277" s="809" t="s">
        <v>95</v>
      </c>
      <c r="Q277" s="809" t="s">
        <v>96</v>
      </c>
      <c r="R277" s="809" t="s">
        <v>97</v>
      </c>
      <c r="S277" s="809" t="s">
        <v>98</v>
      </c>
      <c r="T277" s="809" t="s">
        <v>99</v>
      </c>
      <c r="U277" s="809" t="s">
        <v>205</v>
      </c>
      <c r="V277" s="809" t="s">
        <v>118</v>
      </c>
      <c r="W277" s="809" t="s">
        <v>100</v>
      </c>
      <c r="X277" s="809" t="s">
        <v>101</v>
      </c>
      <c r="Y277" s="809" t="s">
        <v>102</v>
      </c>
      <c r="Z277" s="809" t="s">
        <v>103</v>
      </c>
      <c r="AA277" s="809" t="s">
        <v>104</v>
      </c>
      <c r="AB277" s="809" t="s">
        <v>105</v>
      </c>
      <c r="AC277" s="809" t="s">
        <v>106</v>
      </c>
      <c r="AD277" s="809" t="s">
        <v>107</v>
      </c>
      <c r="AE277" s="809" t="s">
        <v>108</v>
      </c>
      <c r="AF277" s="809" t="s">
        <v>109</v>
      </c>
      <c r="AG277" s="809" t="s">
        <v>110</v>
      </c>
      <c r="AH277" s="809" t="s">
        <v>111</v>
      </c>
      <c r="AI277" s="809" t="s">
        <v>112</v>
      </c>
      <c r="AJ277" s="809" t="s">
        <v>113</v>
      </c>
      <c r="AK277" s="809" t="s">
        <v>114</v>
      </c>
      <c r="AL277" s="809" t="s">
        <v>115</v>
      </c>
      <c r="AM277" s="809" t="s">
        <v>52</v>
      </c>
      <c r="AN277" s="809" t="s">
        <v>116</v>
      </c>
      <c r="AO277" s="809" t="s">
        <v>117</v>
      </c>
      <c r="AP277" s="809" t="s">
        <v>119</v>
      </c>
      <c r="AQ277" s="809" t="s">
        <v>120</v>
      </c>
      <c r="AR277" s="809" t="s">
        <v>121</v>
      </c>
      <c r="AS277" s="809" t="s">
        <v>122</v>
      </c>
      <c r="AT277" s="809"/>
      <c r="AU277" s="809"/>
      <c r="AV277" s="809"/>
      <c r="AW277" s="809"/>
      <c r="AX277" s="809"/>
      <c r="AY277" s="809"/>
      <c r="AZ277" s="809"/>
      <c r="BA277" s="809"/>
      <c r="BB277" s="809"/>
      <c r="BC277" s="809"/>
    </row>
    <row r="278" spans="2:55" ht="11.4" customHeight="1">
      <c r="F278" s="809" t="s">
        <v>797</v>
      </c>
      <c r="G278" s="809"/>
      <c r="H278" s="809"/>
      <c r="I278" s="809">
        <v>2011</v>
      </c>
      <c r="J278" s="809">
        <v>2011</v>
      </c>
      <c r="K278" s="809">
        <v>2011</v>
      </c>
      <c r="L278" s="809">
        <v>2011</v>
      </c>
      <c r="M278" s="809">
        <v>2011</v>
      </c>
      <c r="N278" s="809">
        <v>2011</v>
      </c>
      <c r="O278" s="809">
        <v>2011</v>
      </c>
      <c r="P278" s="809">
        <v>2011</v>
      </c>
      <c r="Q278" s="809">
        <v>2011</v>
      </c>
      <c r="R278" s="809">
        <v>2011</v>
      </c>
      <c r="S278" s="809">
        <v>2011</v>
      </c>
      <c r="T278" s="809">
        <v>2011</v>
      </c>
      <c r="U278" s="809">
        <v>2011</v>
      </c>
      <c r="V278" s="809">
        <v>2011</v>
      </c>
      <c r="W278" s="809">
        <v>2011</v>
      </c>
      <c r="X278" s="809">
        <v>2011</v>
      </c>
      <c r="Y278" s="809">
        <v>2011</v>
      </c>
      <c r="Z278" s="809">
        <v>2011</v>
      </c>
      <c r="AA278" s="809">
        <v>2011</v>
      </c>
      <c r="AB278" s="809">
        <v>2011</v>
      </c>
      <c r="AC278" s="809">
        <v>2011</v>
      </c>
      <c r="AD278" s="809">
        <v>2011</v>
      </c>
      <c r="AE278" s="809">
        <v>2011</v>
      </c>
      <c r="AF278" s="809">
        <v>2011</v>
      </c>
      <c r="AG278" s="809">
        <v>2011</v>
      </c>
      <c r="AH278" s="809">
        <v>2011</v>
      </c>
      <c r="AI278" s="809">
        <v>2011</v>
      </c>
      <c r="AJ278" s="809">
        <v>2011</v>
      </c>
      <c r="AK278" s="809">
        <v>2011</v>
      </c>
      <c r="AL278" s="809">
        <v>2011</v>
      </c>
      <c r="AM278" s="809">
        <v>2011</v>
      </c>
      <c r="AN278" s="809">
        <v>2011</v>
      </c>
      <c r="AO278" s="809">
        <v>2011</v>
      </c>
      <c r="AP278" s="809">
        <v>2011</v>
      </c>
      <c r="AQ278" s="809">
        <v>2011</v>
      </c>
      <c r="AR278" s="809">
        <v>2011</v>
      </c>
      <c r="AS278" s="809">
        <v>2011</v>
      </c>
      <c r="AT278" s="809"/>
      <c r="AU278" s="809"/>
      <c r="AV278" s="809"/>
      <c r="AW278" s="809"/>
      <c r="AX278" s="809"/>
      <c r="AY278" s="809"/>
      <c r="AZ278" s="809"/>
      <c r="BA278" s="809"/>
      <c r="BB278" s="809"/>
      <c r="BC278" s="809"/>
    </row>
    <row r="279" spans="2:55" ht="11.4" customHeight="1">
      <c r="F279" s="809"/>
      <c r="G279" s="809"/>
      <c r="H279" s="809"/>
      <c r="I279" s="809"/>
      <c r="J279" s="809"/>
      <c r="K279" s="809"/>
      <c r="L279" s="809"/>
      <c r="M279" s="809"/>
      <c r="N279" s="809"/>
      <c r="O279" s="809"/>
      <c r="P279" s="809"/>
      <c r="Q279" s="809"/>
      <c r="R279" s="809"/>
      <c r="S279" s="809"/>
      <c r="T279" s="809"/>
      <c r="U279" s="809"/>
      <c r="V279" s="809"/>
      <c r="W279" s="809"/>
      <c r="X279" s="809"/>
      <c r="Y279" s="809"/>
      <c r="Z279" s="809"/>
      <c r="AA279" s="809"/>
      <c r="AB279" s="809"/>
      <c r="AC279" s="809"/>
      <c r="AD279" s="809"/>
      <c r="AE279" s="809"/>
      <c r="AF279" s="809"/>
      <c r="AG279" s="809"/>
      <c r="AH279" s="809"/>
      <c r="AI279" s="809"/>
      <c r="AJ279" s="809"/>
      <c r="AK279" s="809"/>
      <c r="AL279" s="809"/>
      <c r="AM279" s="809"/>
      <c r="AN279" s="809"/>
      <c r="AO279" s="809"/>
      <c r="AP279" s="809"/>
      <c r="AQ279" s="809"/>
      <c r="AR279" s="809"/>
      <c r="AS279" s="809"/>
      <c r="AT279" s="809"/>
      <c r="AU279" s="809"/>
      <c r="AV279" s="809"/>
      <c r="AW279" s="809"/>
      <c r="AX279" s="809"/>
      <c r="AY279" s="809"/>
      <c r="AZ279" s="809"/>
      <c r="BA279" s="809"/>
      <c r="BB279" s="809"/>
      <c r="BC279" s="809"/>
    </row>
    <row r="280" spans="2:55" ht="11.4" customHeight="1">
      <c r="F280" s="809"/>
      <c r="G280" s="809"/>
      <c r="H280" s="809"/>
      <c r="I280" s="809"/>
      <c r="J280" s="809"/>
      <c r="K280" s="809"/>
      <c r="L280" s="809"/>
      <c r="M280" s="809"/>
      <c r="N280" s="809"/>
      <c r="O280" s="809"/>
      <c r="P280" s="809"/>
      <c r="Q280" s="809"/>
      <c r="R280" s="809"/>
      <c r="S280" s="809"/>
      <c r="T280" s="809"/>
      <c r="U280" s="809"/>
      <c r="V280" s="809"/>
      <c r="W280" s="809"/>
      <c r="X280" s="809"/>
      <c r="Y280" s="809"/>
      <c r="Z280" s="809"/>
      <c r="AA280" s="809"/>
      <c r="AB280" s="809"/>
      <c r="AC280" s="809"/>
      <c r="AD280" s="809"/>
      <c r="AE280" s="809"/>
      <c r="AF280" s="809"/>
      <c r="AG280" s="809"/>
      <c r="AH280" s="809"/>
      <c r="AI280" s="809"/>
      <c r="AJ280" s="809"/>
      <c r="AK280" s="809"/>
      <c r="AL280" s="809"/>
      <c r="AM280" s="809"/>
      <c r="AN280" s="809"/>
      <c r="AO280" s="809"/>
      <c r="AP280" s="809"/>
      <c r="AQ280" s="809"/>
      <c r="AR280" s="809"/>
      <c r="AS280" s="809"/>
      <c r="AT280" s="809"/>
      <c r="AU280" s="809"/>
      <c r="AV280" s="809"/>
      <c r="AW280" s="809"/>
      <c r="AX280" s="809"/>
      <c r="AY280" s="809"/>
      <c r="AZ280" s="809"/>
      <c r="BA280" s="809"/>
      <c r="BB280" s="809"/>
      <c r="BC280" s="809"/>
    </row>
    <row r="281" spans="2:55" ht="11.4" customHeight="1">
      <c r="F281" s="809"/>
      <c r="G281" s="809"/>
      <c r="H281" s="809"/>
      <c r="I281" s="809"/>
      <c r="J281" s="809"/>
      <c r="K281" s="809"/>
      <c r="L281" s="809"/>
      <c r="M281" s="809"/>
      <c r="N281" s="809"/>
      <c r="O281" s="809"/>
      <c r="P281" s="809"/>
      <c r="Q281" s="809"/>
      <c r="R281" s="809"/>
      <c r="S281" s="809"/>
      <c r="T281" s="809"/>
      <c r="U281" s="809"/>
      <c r="V281" s="809"/>
      <c r="W281" s="809"/>
      <c r="X281" s="809"/>
      <c r="Y281" s="809"/>
      <c r="Z281" s="809"/>
      <c r="AA281" s="809"/>
      <c r="AB281" s="809"/>
      <c r="AC281" s="809"/>
      <c r="AD281" s="809"/>
      <c r="AE281" s="809"/>
      <c r="AF281" s="809"/>
      <c r="AG281" s="809"/>
      <c r="AH281" s="809"/>
      <c r="AI281" s="809"/>
      <c r="AJ281" s="809"/>
      <c r="AK281" s="809"/>
      <c r="AL281" s="809"/>
      <c r="AM281" s="809"/>
      <c r="AN281" s="809"/>
      <c r="AO281" s="809"/>
      <c r="AP281" s="809"/>
      <c r="AQ281" s="809"/>
      <c r="AR281" s="809"/>
      <c r="AS281" s="809"/>
      <c r="AT281" s="809"/>
      <c r="AU281" s="809"/>
      <c r="AV281" s="809"/>
      <c r="AW281" s="809"/>
      <c r="AX281" s="809"/>
      <c r="AY281" s="809"/>
      <c r="AZ281" s="809"/>
      <c r="BA281" s="809"/>
      <c r="BB281" s="809"/>
      <c r="BC281" s="809"/>
    </row>
    <row r="282" spans="2:55" ht="11.4" customHeight="1">
      <c r="F282" s="809" t="s">
        <v>545</v>
      </c>
      <c r="G282" s="810" t="s">
        <v>585</v>
      </c>
      <c r="H282" s="810" t="s">
        <v>592</v>
      </c>
      <c r="I282" s="809" t="s">
        <v>88</v>
      </c>
      <c r="J282" s="809" t="s">
        <v>89</v>
      </c>
      <c r="K282" s="809" t="s">
        <v>90</v>
      </c>
      <c r="L282" s="809" t="s">
        <v>91</v>
      </c>
      <c r="M282" s="809" t="s">
        <v>92</v>
      </c>
      <c r="N282" s="809" t="s">
        <v>93</v>
      </c>
      <c r="O282" s="809" t="s">
        <v>94</v>
      </c>
      <c r="P282" s="809" t="s">
        <v>95</v>
      </c>
      <c r="Q282" s="809" t="s">
        <v>96</v>
      </c>
      <c r="R282" s="809" t="s">
        <v>97</v>
      </c>
      <c r="S282" s="809" t="s">
        <v>98</v>
      </c>
      <c r="T282" s="809" t="s">
        <v>99</v>
      </c>
      <c r="U282" s="809" t="s">
        <v>205</v>
      </c>
      <c r="V282" s="809" t="s">
        <v>118</v>
      </c>
      <c r="W282" s="809" t="s">
        <v>100</v>
      </c>
      <c r="X282" s="809" t="s">
        <v>101</v>
      </c>
      <c r="Y282" s="809" t="s">
        <v>102</v>
      </c>
      <c r="Z282" s="809" t="s">
        <v>103</v>
      </c>
      <c r="AA282" s="809" t="s">
        <v>104</v>
      </c>
      <c r="AB282" s="809" t="s">
        <v>105</v>
      </c>
      <c r="AC282" s="809" t="s">
        <v>106</v>
      </c>
      <c r="AD282" s="809" t="s">
        <v>107</v>
      </c>
      <c r="AE282" s="809" t="s">
        <v>108</v>
      </c>
      <c r="AF282" s="809" t="s">
        <v>109</v>
      </c>
      <c r="AG282" s="809" t="s">
        <v>110</v>
      </c>
      <c r="AH282" s="809" t="s">
        <v>111</v>
      </c>
      <c r="AI282" s="809" t="s">
        <v>112</v>
      </c>
      <c r="AJ282" s="809" t="s">
        <v>113</v>
      </c>
      <c r="AK282" s="809" t="s">
        <v>114</v>
      </c>
      <c r="AL282" s="809" t="s">
        <v>115</v>
      </c>
      <c r="AM282" s="809" t="s">
        <v>52</v>
      </c>
      <c r="AN282" s="809" t="s">
        <v>116</v>
      </c>
      <c r="AO282" s="809" t="s">
        <v>117</v>
      </c>
      <c r="AP282" s="809" t="s">
        <v>119</v>
      </c>
      <c r="AQ282" s="809" t="s">
        <v>120</v>
      </c>
      <c r="AR282" s="809" t="s">
        <v>121</v>
      </c>
      <c r="AS282" s="809" t="s">
        <v>122</v>
      </c>
      <c r="AT282" s="809"/>
      <c r="AU282" s="809"/>
      <c r="AV282" s="809"/>
      <c r="AW282" s="809"/>
      <c r="AX282" s="809"/>
      <c r="AY282" s="809"/>
      <c r="AZ282" s="809"/>
      <c r="BA282" s="809"/>
      <c r="BB282" s="809"/>
      <c r="BC282" s="809"/>
    </row>
    <row r="283" spans="2:55" ht="11.4" customHeight="1">
      <c r="F283" s="809" t="s">
        <v>797</v>
      </c>
      <c r="G283" s="809"/>
      <c r="H283" s="809"/>
      <c r="I283" s="809">
        <v>60</v>
      </c>
      <c r="J283" s="809">
        <v>60</v>
      </c>
      <c r="K283" s="809">
        <v>60</v>
      </c>
      <c r="L283" s="809">
        <v>60</v>
      </c>
      <c r="M283" s="809">
        <v>60</v>
      </c>
      <c r="N283" s="809">
        <v>60</v>
      </c>
      <c r="O283" s="809">
        <v>60</v>
      </c>
      <c r="P283" s="809">
        <v>60</v>
      </c>
      <c r="Q283" s="809">
        <v>60</v>
      </c>
      <c r="R283" s="809">
        <v>60</v>
      </c>
      <c r="S283" s="809">
        <v>60</v>
      </c>
      <c r="T283" s="809">
        <v>60</v>
      </c>
      <c r="U283" s="809">
        <v>60</v>
      </c>
      <c r="V283" s="809">
        <v>60</v>
      </c>
      <c r="W283" s="809">
        <v>60</v>
      </c>
      <c r="X283" s="809">
        <v>60</v>
      </c>
      <c r="Y283" s="809">
        <v>60</v>
      </c>
      <c r="Z283" s="809">
        <v>60</v>
      </c>
      <c r="AA283" s="809">
        <v>60</v>
      </c>
      <c r="AB283" s="809">
        <v>60</v>
      </c>
      <c r="AC283" s="809">
        <v>60</v>
      </c>
      <c r="AD283" s="809">
        <v>60</v>
      </c>
      <c r="AE283" s="809">
        <v>60</v>
      </c>
      <c r="AF283" s="809">
        <v>60</v>
      </c>
      <c r="AG283" s="809">
        <v>60</v>
      </c>
      <c r="AH283" s="809">
        <v>60</v>
      </c>
      <c r="AI283" s="809">
        <v>60</v>
      </c>
      <c r="AJ283" s="809">
        <v>60</v>
      </c>
      <c r="AK283" s="809">
        <v>60</v>
      </c>
      <c r="AL283" s="809">
        <v>60</v>
      </c>
      <c r="AM283" s="809">
        <v>60</v>
      </c>
      <c r="AN283" s="809">
        <v>60</v>
      </c>
      <c r="AO283" s="809">
        <v>60</v>
      </c>
      <c r="AP283" s="809">
        <v>60</v>
      </c>
      <c r="AQ283" s="809">
        <v>60</v>
      </c>
      <c r="AR283" s="809">
        <v>60</v>
      </c>
      <c r="AS283" s="809">
        <v>60</v>
      </c>
      <c r="AT283" s="809"/>
      <c r="AU283" s="809"/>
      <c r="AV283" s="809"/>
      <c r="AW283" s="809"/>
      <c r="AX283" s="809"/>
      <c r="AY283" s="809"/>
      <c r="AZ283" s="809"/>
      <c r="BA283" s="809"/>
      <c r="BB283" s="809"/>
      <c r="BC283" s="809"/>
    </row>
    <row r="287" spans="2:55" ht="11.4" customHeight="1">
      <c r="E287" s="798" t="s">
        <v>737</v>
      </c>
    </row>
    <row r="288" spans="2:55" ht="11.4" customHeight="1">
      <c r="B288" s="804"/>
      <c r="H288" s="799" t="s">
        <v>736</v>
      </c>
    </row>
    <row r="289" spans="2:45" ht="11.4" customHeight="1" thickBot="1">
      <c r="B289" s="805"/>
      <c r="F289" s="800" t="s">
        <v>545</v>
      </c>
      <c r="G289" s="800" t="s">
        <v>585</v>
      </c>
      <c r="H289" s="800" t="s">
        <v>592</v>
      </c>
      <c r="I289" s="801" t="s">
        <v>88</v>
      </c>
      <c r="J289" s="801" t="s">
        <v>89</v>
      </c>
      <c r="K289" s="801" t="s">
        <v>90</v>
      </c>
      <c r="L289" s="801" t="s">
        <v>91</v>
      </c>
      <c r="M289" s="801" t="s">
        <v>92</v>
      </c>
      <c r="N289" s="801" t="s">
        <v>93</v>
      </c>
      <c r="O289" s="801" t="s">
        <v>94</v>
      </c>
      <c r="P289" s="801" t="s">
        <v>95</v>
      </c>
      <c r="Q289" s="801" t="s">
        <v>96</v>
      </c>
      <c r="R289" s="801" t="s">
        <v>97</v>
      </c>
      <c r="S289" s="801" t="s">
        <v>98</v>
      </c>
      <c r="T289" s="801" t="s">
        <v>99</v>
      </c>
      <c r="U289" s="801" t="s">
        <v>205</v>
      </c>
      <c r="V289" s="801" t="s">
        <v>118</v>
      </c>
      <c r="W289" s="801" t="s">
        <v>100</v>
      </c>
      <c r="X289" s="801" t="s">
        <v>101</v>
      </c>
      <c r="Y289" s="801" t="s">
        <v>102</v>
      </c>
      <c r="Z289" s="801" t="s">
        <v>103</v>
      </c>
      <c r="AA289" s="801" t="s">
        <v>104</v>
      </c>
      <c r="AB289" s="801" t="s">
        <v>105</v>
      </c>
      <c r="AC289" s="801" t="s">
        <v>106</v>
      </c>
      <c r="AD289" s="801" t="s">
        <v>107</v>
      </c>
      <c r="AE289" s="801" t="s">
        <v>108</v>
      </c>
      <c r="AF289" s="801" t="s">
        <v>109</v>
      </c>
      <c r="AG289" s="801" t="s">
        <v>110</v>
      </c>
      <c r="AH289" s="801" t="s">
        <v>111</v>
      </c>
      <c r="AI289" s="801" t="s">
        <v>112</v>
      </c>
      <c r="AJ289" s="801" t="s">
        <v>113</v>
      </c>
      <c r="AK289" s="801" t="s">
        <v>114</v>
      </c>
      <c r="AL289" s="801" t="s">
        <v>115</v>
      </c>
      <c r="AM289" s="801" t="s">
        <v>52</v>
      </c>
      <c r="AN289" s="801" t="s">
        <v>116</v>
      </c>
      <c r="AO289" s="801" t="s">
        <v>117</v>
      </c>
      <c r="AP289" s="801" t="s">
        <v>119</v>
      </c>
      <c r="AQ289" s="801" t="s">
        <v>120</v>
      </c>
      <c r="AR289" s="801" t="s">
        <v>121</v>
      </c>
      <c r="AS289" s="801" t="s">
        <v>122</v>
      </c>
    </row>
    <row r="290" spans="2:45" ht="11.4" customHeight="1">
      <c r="F290" s="798" t="s">
        <v>798</v>
      </c>
      <c r="I290" s="798">
        <v>150</v>
      </c>
      <c r="J290" s="798">
        <v>150</v>
      </c>
      <c r="K290" s="798">
        <v>150</v>
      </c>
      <c r="L290" s="798">
        <v>150</v>
      </c>
      <c r="M290" s="798">
        <v>150</v>
      </c>
      <c r="N290" s="798">
        <v>150</v>
      </c>
      <c r="O290" s="798">
        <v>150</v>
      </c>
      <c r="P290" s="798">
        <v>150</v>
      </c>
      <c r="Q290" s="798">
        <v>150</v>
      </c>
      <c r="R290" s="798">
        <v>150</v>
      </c>
      <c r="S290" s="798">
        <v>150</v>
      </c>
      <c r="T290" s="798">
        <v>150</v>
      </c>
      <c r="U290" s="798">
        <v>150</v>
      </c>
      <c r="V290" s="798">
        <v>150</v>
      </c>
      <c r="W290" s="798">
        <v>150</v>
      </c>
      <c r="X290" s="798">
        <v>150</v>
      </c>
      <c r="Y290" s="798">
        <v>150</v>
      </c>
      <c r="Z290" s="798">
        <v>150</v>
      </c>
      <c r="AA290" s="798">
        <v>150</v>
      </c>
      <c r="AB290" s="798">
        <v>150</v>
      </c>
      <c r="AC290" s="798">
        <v>150</v>
      </c>
      <c r="AD290" s="798">
        <v>150</v>
      </c>
      <c r="AE290" s="798">
        <v>150</v>
      </c>
      <c r="AF290" s="798">
        <v>150</v>
      </c>
      <c r="AG290" s="798">
        <v>150</v>
      </c>
      <c r="AH290" s="798">
        <v>150</v>
      </c>
      <c r="AI290" s="798">
        <v>150</v>
      </c>
      <c r="AJ290" s="798">
        <v>150</v>
      </c>
      <c r="AK290" s="798">
        <v>150</v>
      </c>
      <c r="AL290" s="798">
        <v>150</v>
      </c>
      <c r="AM290" s="798">
        <v>150</v>
      </c>
      <c r="AN290" s="798">
        <v>150</v>
      </c>
      <c r="AO290" s="798">
        <v>150</v>
      </c>
      <c r="AP290" s="798">
        <v>150</v>
      </c>
      <c r="AQ290" s="798">
        <v>150</v>
      </c>
      <c r="AR290" s="798">
        <v>150</v>
      </c>
      <c r="AS290" s="798">
        <v>150</v>
      </c>
    </row>
    <row r="293" spans="2:45" ht="11.4" customHeight="1">
      <c r="H293" s="799" t="s">
        <v>738</v>
      </c>
    </row>
    <row r="294" spans="2:45" ht="11.4" customHeight="1" thickBot="1">
      <c r="F294" s="800" t="s">
        <v>545</v>
      </c>
      <c r="G294" s="800" t="s">
        <v>585</v>
      </c>
      <c r="H294" s="800" t="s">
        <v>592</v>
      </c>
      <c r="I294" s="801" t="s">
        <v>88</v>
      </c>
      <c r="J294" s="801" t="s">
        <v>89</v>
      </c>
      <c r="K294" s="801" t="s">
        <v>90</v>
      </c>
      <c r="L294" s="801" t="s">
        <v>91</v>
      </c>
      <c r="M294" s="801" t="s">
        <v>92</v>
      </c>
      <c r="N294" s="801" t="s">
        <v>93</v>
      </c>
      <c r="O294" s="801" t="s">
        <v>94</v>
      </c>
      <c r="P294" s="801" t="s">
        <v>95</v>
      </c>
      <c r="Q294" s="801" t="s">
        <v>96</v>
      </c>
      <c r="R294" s="801" t="s">
        <v>97</v>
      </c>
      <c r="S294" s="801" t="s">
        <v>98</v>
      </c>
      <c r="T294" s="801" t="s">
        <v>99</v>
      </c>
      <c r="U294" s="801" t="s">
        <v>205</v>
      </c>
      <c r="V294" s="801" t="s">
        <v>118</v>
      </c>
      <c r="W294" s="801" t="s">
        <v>100</v>
      </c>
      <c r="X294" s="801" t="s">
        <v>101</v>
      </c>
      <c r="Y294" s="801" t="s">
        <v>102</v>
      </c>
      <c r="Z294" s="801" t="s">
        <v>103</v>
      </c>
      <c r="AA294" s="801" t="s">
        <v>104</v>
      </c>
      <c r="AB294" s="801" t="s">
        <v>105</v>
      </c>
      <c r="AC294" s="801" t="s">
        <v>106</v>
      </c>
      <c r="AD294" s="801" t="s">
        <v>107</v>
      </c>
      <c r="AE294" s="801" t="s">
        <v>108</v>
      </c>
      <c r="AF294" s="801" t="s">
        <v>109</v>
      </c>
      <c r="AG294" s="801" t="s">
        <v>110</v>
      </c>
      <c r="AH294" s="801" t="s">
        <v>111</v>
      </c>
      <c r="AI294" s="801" t="s">
        <v>112</v>
      </c>
      <c r="AJ294" s="801" t="s">
        <v>113</v>
      </c>
      <c r="AK294" s="801" t="s">
        <v>114</v>
      </c>
      <c r="AL294" s="801" t="s">
        <v>115</v>
      </c>
      <c r="AM294" s="801" t="s">
        <v>52</v>
      </c>
      <c r="AN294" s="801" t="s">
        <v>116</v>
      </c>
      <c r="AO294" s="801" t="s">
        <v>117</v>
      </c>
      <c r="AP294" s="801" t="s">
        <v>119</v>
      </c>
      <c r="AQ294" s="801" t="s">
        <v>120</v>
      </c>
      <c r="AR294" s="801" t="s">
        <v>121</v>
      </c>
      <c r="AS294" s="801" t="s">
        <v>122</v>
      </c>
    </row>
    <row r="295" spans="2:45" ht="11.4" customHeight="1">
      <c r="F295" s="798" t="s">
        <v>798</v>
      </c>
      <c r="I295" s="798">
        <v>15</v>
      </c>
      <c r="J295" s="798">
        <v>15</v>
      </c>
      <c r="K295" s="798">
        <v>15</v>
      </c>
      <c r="L295" s="798">
        <v>15</v>
      </c>
      <c r="M295" s="798">
        <v>15</v>
      </c>
      <c r="N295" s="798">
        <v>15</v>
      </c>
      <c r="O295" s="798">
        <v>15</v>
      </c>
      <c r="P295" s="798">
        <v>15</v>
      </c>
      <c r="Q295" s="798">
        <v>15</v>
      </c>
      <c r="R295" s="798">
        <v>15</v>
      </c>
      <c r="S295" s="798">
        <v>15</v>
      </c>
      <c r="T295" s="798">
        <v>15</v>
      </c>
      <c r="U295" s="798">
        <v>15</v>
      </c>
      <c r="V295" s="798">
        <v>15</v>
      </c>
      <c r="W295" s="798">
        <v>15</v>
      </c>
      <c r="X295" s="798">
        <v>15</v>
      </c>
      <c r="Y295" s="798">
        <v>15</v>
      </c>
      <c r="Z295" s="798">
        <v>15</v>
      </c>
      <c r="AA295" s="798">
        <v>15</v>
      </c>
      <c r="AB295" s="798">
        <v>15</v>
      </c>
      <c r="AC295" s="798">
        <v>15</v>
      </c>
      <c r="AD295" s="798">
        <v>15</v>
      </c>
      <c r="AE295" s="798">
        <v>15</v>
      </c>
      <c r="AF295" s="798">
        <v>15</v>
      </c>
      <c r="AG295" s="798">
        <v>15</v>
      </c>
      <c r="AH295" s="798">
        <v>15</v>
      </c>
      <c r="AI295" s="798">
        <v>15</v>
      </c>
      <c r="AJ295" s="798">
        <v>15</v>
      </c>
      <c r="AK295" s="798">
        <v>15</v>
      </c>
      <c r="AL295" s="798">
        <v>15</v>
      </c>
      <c r="AM295" s="798">
        <v>15</v>
      </c>
      <c r="AN295" s="798">
        <v>15</v>
      </c>
      <c r="AO295" s="798">
        <v>15</v>
      </c>
      <c r="AP295" s="798">
        <v>15</v>
      </c>
      <c r="AQ295" s="798">
        <v>15</v>
      </c>
      <c r="AR295" s="798">
        <v>15</v>
      </c>
      <c r="AS295" s="798">
        <v>15</v>
      </c>
    </row>
    <row r="298" spans="2:45" ht="11.4" customHeight="1">
      <c r="H298" s="799" t="s">
        <v>739</v>
      </c>
    </row>
    <row r="299" spans="2:45" ht="11.4" customHeight="1" thickBot="1">
      <c r="F299" s="800" t="s">
        <v>545</v>
      </c>
      <c r="G299" s="800" t="s">
        <v>585</v>
      </c>
      <c r="H299" s="800" t="s">
        <v>592</v>
      </c>
      <c r="I299" s="801" t="s">
        <v>88</v>
      </c>
      <c r="J299" s="801" t="s">
        <v>89</v>
      </c>
      <c r="K299" s="801" t="s">
        <v>90</v>
      </c>
      <c r="L299" s="801" t="s">
        <v>91</v>
      </c>
      <c r="M299" s="801" t="s">
        <v>92</v>
      </c>
      <c r="N299" s="801" t="s">
        <v>93</v>
      </c>
      <c r="O299" s="801" t="s">
        <v>94</v>
      </c>
      <c r="P299" s="801" t="s">
        <v>95</v>
      </c>
      <c r="Q299" s="801" t="s">
        <v>96</v>
      </c>
      <c r="R299" s="801" t="s">
        <v>97</v>
      </c>
      <c r="S299" s="801" t="s">
        <v>98</v>
      </c>
      <c r="T299" s="801" t="s">
        <v>99</v>
      </c>
      <c r="U299" s="801" t="s">
        <v>205</v>
      </c>
      <c r="V299" s="801" t="s">
        <v>118</v>
      </c>
      <c r="W299" s="801" t="s">
        <v>100</v>
      </c>
      <c r="X299" s="801" t="s">
        <v>101</v>
      </c>
      <c r="Y299" s="801" t="s">
        <v>102</v>
      </c>
      <c r="Z299" s="801" t="s">
        <v>103</v>
      </c>
      <c r="AA299" s="801" t="s">
        <v>104</v>
      </c>
      <c r="AB299" s="801" t="s">
        <v>105</v>
      </c>
      <c r="AC299" s="801" t="s">
        <v>106</v>
      </c>
      <c r="AD299" s="801" t="s">
        <v>107</v>
      </c>
      <c r="AE299" s="801" t="s">
        <v>108</v>
      </c>
      <c r="AF299" s="801" t="s">
        <v>109</v>
      </c>
      <c r="AG299" s="801" t="s">
        <v>110</v>
      </c>
      <c r="AH299" s="801" t="s">
        <v>111</v>
      </c>
      <c r="AI299" s="801" t="s">
        <v>112</v>
      </c>
      <c r="AJ299" s="801" t="s">
        <v>113</v>
      </c>
      <c r="AK299" s="801" t="s">
        <v>114</v>
      </c>
      <c r="AL299" s="801" t="s">
        <v>115</v>
      </c>
      <c r="AM299" s="801" t="s">
        <v>52</v>
      </c>
      <c r="AN299" s="801" t="s">
        <v>116</v>
      </c>
      <c r="AO299" s="801" t="s">
        <v>117</v>
      </c>
      <c r="AP299" s="801" t="s">
        <v>119</v>
      </c>
      <c r="AQ299" s="801" t="s">
        <v>120</v>
      </c>
      <c r="AR299" s="801" t="s">
        <v>121</v>
      </c>
      <c r="AS299" s="801" t="s">
        <v>122</v>
      </c>
    </row>
    <row r="300" spans="2:45" ht="11.4" customHeight="1">
      <c r="F300" s="798" t="s">
        <v>798</v>
      </c>
      <c r="I300" s="798">
        <v>31.536000000000001</v>
      </c>
      <c r="J300" s="798">
        <v>31.536000000000001</v>
      </c>
      <c r="K300" s="798">
        <v>31.536000000000001</v>
      </c>
      <c r="L300" s="798">
        <v>31.536000000000001</v>
      </c>
      <c r="M300" s="798">
        <v>31.536000000000001</v>
      </c>
      <c r="N300" s="798">
        <v>31.536000000000001</v>
      </c>
      <c r="O300" s="798">
        <v>31.536000000000001</v>
      </c>
      <c r="P300" s="798">
        <v>31.536000000000001</v>
      </c>
      <c r="Q300" s="798">
        <v>31.536000000000001</v>
      </c>
      <c r="R300" s="798">
        <v>31.536000000000001</v>
      </c>
      <c r="S300" s="798">
        <v>31.536000000000001</v>
      </c>
      <c r="T300" s="798">
        <v>31.536000000000001</v>
      </c>
      <c r="U300" s="798">
        <v>31.536000000000001</v>
      </c>
      <c r="V300" s="798">
        <v>31.536000000000001</v>
      </c>
      <c r="W300" s="798">
        <v>31.536000000000001</v>
      </c>
      <c r="X300" s="798">
        <v>31.536000000000001</v>
      </c>
      <c r="Y300" s="798">
        <v>31.536000000000001</v>
      </c>
      <c r="Z300" s="798">
        <v>31.536000000000001</v>
      </c>
      <c r="AA300" s="798">
        <v>31.536000000000001</v>
      </c>
      <c r="AB300" s="798">
        <v>31.536000000000001</v>
      </c>
      <c r="AC300" s="798">
        <v>31.536000000000001</v>
      </c>
      <c r="AD300" s="798">
        <v>31.536000000000001</v>
      </c>
      <c r="AE300" s="798">
        <v>31.536000000000001</v>
      </c>
      <c r="AF300" s="798">
        <v>31.536000000000001</v>
      </c>
      <c r="AG300" s="798">
        <v>31.536000000000001</v>
      </c>
      <c r="AH300" s="798">
        <v>31.536000000000001</v>
      </c>
      <c r="AI300" s="798">
        <v>31.536000000000001</v>
      </c>
      <c r="AJ300" s="798">
        <v>31.536000000000001</v>
      </c>
      <c r="AK300" s="798">
        <v>31.536000000000001</v>
      </c>
      <c r="AL300" s="798">
        <v>31.536000000000001</v>
      </c>
      <c r="AM300" s="798">
        <v>31.536000000000001</v>
      </c>
      <c r="AN300" s="798">
        <v>31.536000000000001</v>
      </c>
      <c r="AO300" s="798">
        <v>31.536000000000001</v>
      </c>
      <c r="AP300" s="798">
        <v>31.536000000000001</v>
      </c>
      <c r="AQ300" s="798">
        <v>31.536000000000001</v>
      </c>
      <c r="AR300" s="798">
        <v>31.536000000000001</v>
      </c>
      <c r="AS300" s="798">
        <v>31.536000000000001</v>
      </c>
    </row>
    <row r="303" spans="2:45" ht="11.4" customHeight="1">
      <c r="D303" s="812" t="s">
        <v>740</v>
      </c>
      <c r="H303" s="799" t="s">
        <v>741</v>
      </c>
    </row>
    <row r="304" spans="2:45" ht="11.4" customHeight="1" thickBot="1">
      <c r="F304" s="800" t="s">
        <v>545</v>
      </c>
      <c r="G304" s="800" t="s">
        <v>585</v>
      </c>
      <c r="H304" s="800" t="s">
        <v>592</v>
      </c>
      <c r="I304" s="801" t="s">
        <v>88</v>
      </c>
      <c r="J304" s="801" t="s">
        <v>89</v>
      </c>
      <c r="K304" s="801" t="s">
        <v>90</v>
      </c>
      <c r="L304" s="801" t="s">
        <v>91</v>
      </c>
      <c r="M304" s="801" t="s">
        <v>92</v>
      </c>
      <c r="N304" s="801" t="s">
        <v>93</v>
      </c>
      <c r="O304" s="801" t="s">
        <v>94</v>
      </c>
      <c r="P304" s="801" t="s">
        <v>95</v>
      </c>
      <c r="Q304" s="801" t="s">
        <v>96</v>
      </c>
      <c r="R304" s="801" t="s">
        <v>97</v>
      </c>
      <c r="S304" s="801" t="s">
        <v>98</v>
      </c>
      <c r="T304" s="801" t="s">
        <v>99</v>
      </c>
      <c r="U304" s="801" t="s">
        <v>205</v>
      </c>
      <c r="V304" s="801" t="s">
        <v>118</v>
      </c>
      <c r="W304" s="801" t="s">
        <v>100</v>
      </c>
      <c r="X304" s="801" t="s">
        <v>101</v>
      </c>
      <c r="Y304" s="801" t="s">
        <v>102</v>
      </c>
      <c r="Z304" s="801" t="s">
        <v>103</v>
      </c>
      <c r="AA304" s="801" t="s">
        <v>104</v>
      </c>
      <c r="AB304" s="801" t="s">
        <v>105</v>
      </c>
      <c r="AC304" s="801" t="s">
        <v>106</v>
      </c>
      <c r="AD304" s="801" t="s">
        <v>107</v>
      </c>
      <c r="AE304" s="801" t="s">
        <v>108</v>
      </c>
      <c r="AF304" s="801" t="s">
        <v>109</v>
      </c>
      <c r="AG304" s="801" t="s">
        <v>110</v>
      </c>
      <c r="AH304" s="801" t="s">
        <v>111</v>
      </c>
      <c r="AI304" s="801" t="s">
        <v>112</v>
      </c>
      <c r="AJ304" s="801" t="s">
        <v>113</v>
      </c>
      <c r="AK304" s="801" t="s">
        <v>114</v>
      </c>
      <c r="AL304" s="801" t="s">
        <v>115</v>
      </c>
      <c r="AM304" s="801" t="s">
        <v>52</v>
      </c>
      <c r="AN304" s="801" t="s">
        <v>116</v>
      </c>
      <c r="AO304" s="801" t="s">
        <v>117</v>
      </c>
      <c r="AP304" s="801" t="s">
        <v>119</v>
      </c>
      <c r="AQ304" s="801" t="s">
        <v>120</v>
      </c>
      <c r="AR304" s="801" t="s">
        <v>121</v>
      </c>
      <c r="AS304" s="801" t="s">
        <v>122</v>
      </c>
    </row>
    <row r="305" spans="6:45" ht="11.4" customHeight="1">
      <c r="F305" s="798" t="s">
        <v>798</v>
      </c>
      <c r="H305" s="798" t="s">
        <v>799</v>
      </c>
      <c r="I305" s="798">
        <v>0.98</v>
      </c>
      <c r="J305" s="798">
        <v>0.98</v>
      </c>
      <c r="K305" s="798">
        <v>0.98</v>
      </c>
      <c r="L305" s="798">
        <v>0.98</v>
      </c>
      <c r="M305" s="798">
        <v>0.98</v>
      </c>
      <c r="N305" s="798">
        <v>0.98</v>
      </c>
      <c r="O305" s="798">
        <v>0.98</v>
      </c>
      <c r="P305" s="798">
        <v>0.98</v>
      </c>
      <c r="Q305" s="798">
        <v>0.98</v>
      </c>
      <c r="R305" s="798">
        <v>0.98</v>
      </c>
      <c r="S305" s="798">
        <v>0.98</v>
      </c>
      <c r="T305" s="798">
        <v>0.98</v>
      </c>
      <c r="U305" s="798">
        <v>0.98</v>
      </c>
      <c r="V305" s="798">
        <v>0.98</v>
      </c>
      <c r="W305" s="798">
        <v>0.98</v>
      </c>
      <c r="X305" s="798">
        <v>0.98</v>
      </c>
      <c r="Y305" s="798">
        <v>0.98</v>
      </c>
      <c r="Z305" s="798">
        <v>0.98</v>
      </c>
      <c r="AA305" s="798">
        <v>0.98</v>
      </c>
      <c r="AB305" s="798">
        <v>0.98</v>
      </c>
      <c r="AC305" s="798">
        <v>0.98</v>
      </c>
      <c r="AD305" s="798">
        <v>0.98</v>
      </c>
      <c r="AE305" s="798">
        <v>0.98</v>
      </c>
      <c r="AF305" s="798">
        <v>0.98</v>
      </c>
      <c r="AG305" s="798">
        <v>0.98</v>
      </c>
      <c r="AH305" s="798">
        <v>0.98</v>
      </c>
      <c r="AI305" s="798">
        <v>0.98</v>
      </c>
      <c r="AJ305" s="798">
        <v>0.98</v>
      </c>
      <c r="AK305" s="798">
        <v>0.98</v>
      </c>
      <c r="AL305" s="798">
        <v>0.98</v>
      </c>
      <c r="AM305" s="798">
        <v>0.98</v>
      </c>
      <c r="AN305" s="798">
        <v>0.98</v>
      </c>
      <c r="AO305" s="798">
        <v>0.98</v>
      </c>
      <c r="AP305" s="798">
        <v>0.98</v>
      </c>
      <c r="AQ305" s="798">
        <v>0.98</v>
      </c>
      <c r="AR305" s="798">
        <v>0.98</v>
      </c>
      <c r="AS305" s="798">
        <v>0.98</v>
      </c>
    </row>
    <row r="308" spans="6:45" ht="11.4" customHeight="1">
      <c r="H308" s="799" t="s">
        <v>742</v>
      </c>
    </row>
    <row r="309" spans="6:45" ht="11.4" customHeight="1" thickBot="1">
      <c r="F309" s="800" t="s">
        <v>545</v>
      </c>
      <c r="G309" s="800" t="s">
        <v>585</v>
      </c>
      <c r="H309" s="800" t="s">
        <v>592</v>
      </c>
      <c r="I309" s="801" t="s">
        <v>88</v>
      </c>
      <c r="J309" s="801" t="s">
        <v>89</v>
      </c>
      <c r="K309" s="801" t="s">
        <v>90</v>
      </c>
      <c r="L309" s="801" t="s">
        <v>91</v>
      </c>
      <c r="M309" s="801" t="s">
        <v>92</v>
      </c>
      <c r="N309" s="801" t="s">
        <v>93</v>
      </c>
      <c r="O309" s="801" t="s">
        <v>94</v>
      </c>
      <c r="P309" s="801" t="s">
        <v>95</v>
      </c>
      <c r="Q309" s="801" t="s">
        <v>96</v>
      </c>
      <c r="R309" s="801" t="s">
        <v>97</v>
      </c>
      <c r="S309" s="801" t="s">
        <v>98</v>
      </c>
      <c r="T309" s="801" t="s">
        <v>99</v>
      </c>
      <c r="U309" s="801" t="s">
        <v>205</v>
      </c>
      <c r="V309" s="801" t="s">
        <v>118</v>
      </c>
      <c r="W309" s="801" t="s">
        <v>100</v>
      </c>
      <c r="X309" s="801" t="s">
        <v>101</v>
      </c>
      <c r="Y309" s="801" t="s">
        <v>102</v>
      </c>
      <c r="Z309" s="801" t="s">
        <v>103</v>
      </c>
      <c r="AA309" s="801" t="s">
        <v>104</v>
      </c>
      <c r="AB309" s="801" t="s">
        <v>105</v>
      </c>
      <c r="AC309" s="801" t="s">
        <v>106</v>
      </c>
      <c r="AD309" s="801" t="s">
        <v>107</v>
      </c>
      <c r="AE309" s="801" t="s">
        <v>108</v>
      </c>
      <c r="AF309" s="801" t="s">
        <v>109</v>
      </c>
      <c r="AG309" s="801" t="s">
        <v>110</v>
      </c>
      <c r="AH309" s="801" t="s">
        <v>111</v>
      </c>
      <c r="AI309" s="801" t="s">
        <v>112</v>
      </c>
      <c r="AJ309" s="801" t="s">
        <v>113</v>
      </c>
      <c r="AK309" s="801" t="s">
        <v>114</v>
      </c>
      <c r="AL309" s="801" t="s">
        <v>115</v>
      </c>
      <c r="AM309" s="801" t="s">
        <v>52</v>
      </c>
      <c r="AN309" s="801" t="s">
        <v>116</v>
      </c>
      <c r="AO309" s="801" t="s">
        <v>117</v>
      </c>
      <c r="AP309" s="801" t="s">
        <v>119</v>
      </c>
      <c r="AQ309" s="801" t="s">
        <v>120</v>
      </c>
      <c r="AR309" s="801" t="s">
        <v>121</v>
      </c>
      <c r="AS309" s="801" t="s">
        <v>122</v>
      </c>
    </row>
    <row r="310" spans="6:45" ht="11.4" customHeight="1">
      <c r="F310" s="798" t="s">
        <v>798</v>
      </c>
      <c r="I310" s="798">
        <v>0.95</v>
      </c>
      <c r="J310" s="798">
        <v>0.95</v>
      </c>
      <c r="K310" s="798">
        <v>0.95</v>
      </c>
      <c r="L310" s="798">
        <v>0.95</v>
      </c>
      <c r="M310" s="798">
        <v>0.95</v>
      </c>
      <c r="N310" s="798">
        <v>0.95</v>
      </c>
      <c r="O310" s="798">
        <v>0.95</v>
      </c>
      <c r="P310" s="798">
        <v>0.95</v>
      </c>
      <c r="Q310" s="798">
        <v>0.95</v>
      </c>
      <c r="R310" s="798">
        <v>0.95</v>
      </c>
      <c r="S310" s="798">
        <v>0.95</v>
      </c>
      <c r="T310" s="798">
        <v>0.95</v>
      </c>
      <c r="U310" s="798">
        <v>0.95</v>
      </c>
      <c r="V310" s="798">
        <v>0.95</v>
      </c>
      <c r="W310" s="798">
        <v>0.95</v>
      </c>
      <c r="X310" s="798">
        <v>0.95</v>
      </c>
      <c r="Y310" s="798">
        <v>0.95</v>
      </c>
      <c r="Z310" s="798">
        <v>0.95</v>
      </c>
      <c r="AA310" s="798">
        <v>0.95</v>
      </c>
      <c r="AB310" s="798">
        <v>0.95</v>
      </c>
      <c r="AC310" s="798">
        <v>0.95</v>
      </c>
      <c r="AD310" s="798">
        <v>0.95</v>
      </c>
      <c r="AE310" s="798">
        <v>0.95</v>
      </c>
      <c r="AF310" s="798">
        <v>0.95</v>
      </c>
      <c r="AG310" s="798">
        <v>0.95</v>
      </c>
      <c r="AH310" s="798">
        <v>0.95</v>
      </c>
      <c r="AI310" s="798">
        <v>0.95</v>
      </c>
      <c r="AJ310" s="798">
        <v>0.95</v>
      </c>
      <c r="AK310" s="798">
        <v>0.95</v>
      </c>
      <c r="AL310" s="798">
        <v>0.95</v>
      </c>
      <c r="AM310" s="798">
        <v>0.95</v>
      </c>
      <c r="AN310" s="798">
        <v>0.95</v>
      </c>
      <c r="AO310" s="798">
        <v>0.95</v>
      </c>
      <c r="AP310" s="798">
        <v>0.95</v>
      </c>
      <c r="AQ310" s="798">
        <v>0.95</v>
      </c>
      <c r="AR310" s="798">
        <v>0.95</v>
      </c>
      <c r="AS310" s="798">
        <v>0.95</v>
      </c>
    </row>
    <row r="313" spans="6:45" ht="11.4" customHeight="1">
      <c r="H313" s="799" t="s">
        <v>743</v>
      </c>
    </row>
    <row r="314" spans="6:45" ht="11.4" customHeight="1" thickBot="1">
      <c r="F314" s="800" t="s">
        <v>545</v>
      </c>
      <c r="G314" s="800" t="s">
        <v>585</v>
      </c>
      <c r="H314" s="800" t="s">
        <v>592</v>
      </c>
      <c r="I314" s="801" t="s">
        <v>88</v>
      </c>
      <c r="J314" s="801" t="s">
        <v>89</v>
      </c>
      <c r="K314" s="801" t="s">
        <v>90</v>
      </c>
      <c r="L314" s="801" t="s">
        <v>91</v>
      </c>
      <c r="M314" s="801" t="s">
        <v>92</v>
      </c>
      <c r="N314" s="801" t="s">
        <v>93</v>
      </c>
      <c r="O314" s="801" t="s">
        <v>94</v>
      </c>
      <c r="P314" s="801" t="s">
        <v>95</v>
      </c>
      <c r="Q314" s="801" t="s">
        <v>96</v>
      </c>
      <c r="R314" s="801" t="s">
        <v>97</v>
      </c>
      <c r="S314" s="801" t="s">
        <v>98</v>
      </c>
      <c r="T314" s="801" t="s">
        <v>99</v>
      </c>
      <c r="U314" s="801" t="s">
        <v>205</v>
      </c>
      <c r="V314" s="801" t="s">
        <v>118</v>
      </c>
      <c r="W314" s="801" t="s">
        <v>100</v>
      </c>
      <c r="X314" s="801" t="s">
        <v>101</v>
      </c>
      <c r="Y314" s="801" t="s">
        <v>102</v>
      </c>
      <c r="Z314" s="801" t="s">
        <v>103</v>
      </c>
      <c r="AA314" s="801" t="s">
        <v>104</v>
      </c>
      <c r="AB314" s="801" t="s">
        <v>105</v>
      </c>
      <c r="AC314" s="801" t="s">
        <v>106</v>
      </c>
      <c r="AD314" s="801" t="s">
        <v>107</v>
      </c>
      <c r="AE314" s="801" t="s">
        <v>108</v>
      </c>
      <c r="AF314" s="801" t="s">
        <v>109</v>
      </c>
      <c r="AG314" s="801" t="s">
        <v>110</v>
      </c>
      <c r="AH314" s="801" t="s">
        <v>111</v>
      </c>
      <c r="AI314" s="801" t="s">
        <v>112</v>
      </c>
      <c r="AJ314" s="801" t="s">
        <v>113</v>
      </c>
      <c r="AK314" s="801" t="s">
        <v>114</v>
      </c>
      <c r="AL314" s="801" t="s">
        <v>115</v>
      </c>
      <c r="AM314" s="801" t="s">
        <v>52</v>
      </c>
      <c r="AN314" s="801" t="s">
        <v>116</v>
      </c>
      <c r="AO314" s="801" t="s">
        <v>117</v>
      </c>
      <c r="AP314" s="801" t="s">
        <v>119</v>
      </c>
      <c r="AQ314" s="801" t="s">
        <v>120</v>
      </c>
      <c r="AR314" s="801" t="s">
        <v>121</v>
      </c>
      <c r="AS314" s="801" t="s">
        <v>122</v>
      </c>
    </row>
    <row r="315" spans="6:45" ht="11.4" customHeight="1">
      <c r="F315" s="798" t="s">
        <v>798</v>
      </c>
      <c r="G315" s="798" t="s">
        <v>735</v>
      </c>
      <c r="I315" s="798">
        <v>0.75</v>
      </c>
      <c r="J315" s="798">
        <v>0.75</v>
      </c>
      <c r="K315" s="798">
        <v>0.75</v>
      </c>
      <c r="L315" s="798">
        <v>0.75</v>
      </c>
      <c r="M315" s="798">
        <v>0.75</v>
      </c>
      <c r="N315" s="798">
        <v>0.75</v>
      </c>
      <c r="O315" s="798">
        <v>0.75</v>
      </c>
      <c r="P315" s="798">
        <v>0.75</v>
      </c>
      <c r="Q315" s="798">
        <v>0.75</v>
      </c>
      <c r="R315" s="798">
        <v>0.75</v>
      </c>
      <c r="S315" s="798">
        <v>0.75</v>
      </c>
      <c r="T315" s="798">
        <v>0.75</v>
      </c>
      <c r="U315" s="798">
        <v>0.75</v>
      </c>
      <c r="V315" s="798">
        <v>0.75</v>
      </c>
      <c r="W315" s="798">
        <v>0.75</v>
      </c>
      <c r="X315" s="798">
        <v>0.75</v>
      </c>
      <c r="Y315" s="798">
        <v>0.75</v>
      </c>
      <c r="Z315" s="798">
        <v>0.75</v>
      </c>
      <c r="AA315" s="798">
        <v>0.75</v>
      </c>
      <c r="AB315" s="798">
        <v>0.75</v>
      </c>
      <c r="AC315" s="798">
        <v>0.75</v>
      </c>
      <c r="AD315" s="798">
        <v>0.75</v>
      </c>
      <c r="AE315" s="798">
        <v>0.75</v>
      </c>
      <c r="AF315" s="798">
        <v>0.75</v>
      </c>
      <c r="AG315" s="798">
        <v>0.75</v>
      </c>
      <c r="AH315" s="798">
        <v>0.75</v>
      </c>
      <c r="AI315" s="798">
        <v>0.75</v>
      </c>
      <c r="AJ315" s="798">
        <v>0.75</v>
      </c>
      <c r="AK315" s="798">
        <v>0.75</v>
      </c>
      <c r="AL315" s="798">
        <v>0.75</v>
      </c>
      <c r="AM315" s="798">
        <v>0.75</v>
      </c>
      <c r="AN315" s="798">
        <v>0.75</v>
      </c>
      <c r="AO315" s="798">
        <v>0.75</v>
      </c>
      <c r="AP315" s="798">
        <v>0.75</v>
      </c>
      <c r="AQ315" s="798">
        <v>0.75</v>
      </c>
      <c r="AR315" s="798">
        <v>0.75</v>
      </c>
      <c r="AS315" s="798">
        <v>0.75</v>
      </c>
    </row>
    <row r="316" spans="6:45" ht="11.4" customHeight="1">
      <c r="G316" s="798" t="s">
        <v>744</v>
      </c>
      <c r="I316" s="798">
        <v>1</v>
      </c>
      <c r="J316" s="798">
        <v>1</v>
      </c>
      <c r="K316" s="798">
        <v>1</v>
      </c>
      <c r="L316" s="798">
        <v>1</v>
      </c>
      <c r="M316" s="798">
        <v>1</v>
      </c>
      <c r="N316" s="798">
        <v>1</v>
      </c>
      <c r="O316" s="798">
        <v>1</v>
      </c>
      <c r="P316" s="798">
        <v>1</v>
      </c>
      <c r="Q316" s="798">
        <v>1</v>
      </c>
      <c r="R316" s="798">
        <v>1</v>
      </c>
      <c r="S316" s="798">
        <v>1</v>
      </c>
      <c r="T316" s="798">
        <v>1</v>
      </c>
      <c r="U316" s="798">
        <v>1</v>
      </c>
      <c r="V316" s="798">
        <v>1</v>
      </c>
      <c r="W316" s="798">
        <v>1</v>
      </c>
      <c r="X316" s="798">
        <v>1</v>
      </c>
      <c r="Y316" s="798">
        <v>1</v>
      </c>
      <c r="Z316" s="798">
        <v>1</v>
      </c>
      <c r="AA316" s="798">
        <v>1</v>
      </c>
      <c r="AB316" s="798">
        <v>1</v>
      </c>
      <c r="AC316" s="798">
        <v>1</v>
      </c>
      <c r="AD316" s="798">
        <v>1</v>
      </c>
      <c r="AE316" s="798">
        <v>1</v>
      </c>
      <c r="AF316" s="798">
        <v>1</v>
      </c>
      <c r="AG316" s="798">
        <v>1</v>
      </c>
      <c r="AH316" s="798">
        <v>1</v>
      </c>
      <c r="AI316" s="798">
        <v>1</v>
      </c>
      <c r="AJ316" s="798">
        <v>1</v>
      </c>
      <c r="AK316" s="798">
        <v>1</v>
      </c>
      <c r="AL316" s="798">
        <v>1</v>
      </c>
      <c r="AM316" s="798">
        <v>1</v>
      </c>
      <c r="AN316" s="798">
        <v>1</v>
      </c>
      <c r="AO316" s="798">
        <v>1</v>
      </c>
      <c r="AP316" s="798">
        <v>1</v>
      </c>
      <c r="AQ316" s="798">
        <v>1</v>
      </c>
      <c r="AR316" s="798">
        <v>1</v>
      </c>
      <c r="AS316" s="798">
        <v>1</v>
      </c>
    </row>
    <row r="320" spans="6:45" ht="11.4" customHeight="1">
      <c r="H320" s="799" t="s">
        <v>729</v>
      </c>
    </row>
    <row r="321" spans="6:45" ht="11.4" customHeight="1" thickBot="1">
      <c r="F321" s="800" t="s">
        <v>545</v>
      </c>
      <c r="G321" s="800" t="s">
        <v>585</v>
      </c>
      <c r="H321" s="800" t="s">
        <v>592</v>
      </c>
      <c r="I321" s="801" t="s">
        <v>88</v>
      </c>
      <c r="J321" s="801" t="s">
        <v>89</v>
      </c>
      <c r="K321" s="801" t="s">
        <v>90</v>
      </c>
      <c r="L321" s="801" t="s">
        <v>91</v>
      </c>
      <c r="M321" s="801" t="s">
        <v>92</v>
      </c>
      <c r="N321" s="801" t="s">
        <v>93</v>
      </c>
      <c r="O321" s="801" t="s">
        <v>94</v>
      </c>
      <c r="P321" s="801" t="s">
        <v>95</v>
      </c>
      <c r="Q321" s="801" t="s">
        <v>96</v>
      </c>
      <c r="R321" s="801" t="s">
        <v>97</v>
      </c>
      <c r="S321" s="801" t="s">
        <v>98</v>
      </c>
      <c r="T321" s="801" t="s">
        <v>99</v>
      </c>
      <c r="U321" s="801" t="s">
        <v>205</v>
      </c>
      <c r="V321" s="801" t="s">
        <v>118</v>
      </c>
      <c r="W321" s="801" t="s">
        <v>100</v>
      </c>
      <c r="X321" s="801" t="s">
        <v>101</v>
      </c>
      <c r="Y321" s="801" t="s">
        <v>102</v>
      </c>
      <c r="Z321" s="801" t="s">
        <v>103</v>
      </c>
      <c r="AA321" s="801" t="s">
        <v>104</v>
      </c>
      <c r="AB321" s="801" t="s">
        <v>105</v>
      </c>
      <c r="AC321" s="801" t="s">
        <v>106</v>
      </c>
      <c r="AD321" s="801" t="s">
        <v>107</v>
      </c>
      <c r="AE321" s="801" t="s">
        <v>108</v>
      </c>
      <c r="AF321" s="801" t="s">
        <v>109</v>
      </c>
      <c r="AG321" s="801" t="s">
        <v>110</v>
      </c>
      <c r="AH321" s="801" t="s">
        <v>111</v>
      </c>
      <c r="AI321" s="801" t="s">
        <v>112</v>
      </c>
      <c r="AJ321" s="801" t="s">
        <v>113</v>
      </c>
      <c r="AK321" s="801" t="s">
        <v>114</v>
      </c>
      <c r="AL321" s="801" t="s">
        <v>115</v>
      </c>
      <c r="AM321" s="801" t="s">
        <v>52</v>
      </c>
      <c r="AN321" s="801" t="s">
        <v>116</v>
      </c>
      <c r="AO321" s="801" t="s">
        <v>117</v>
      </c>
      <c r="AP321" s="801" t="s">
        <v>119</v>
      </c>
      <c r="AQ321" s="801" t="s">
        <v>120</v>
      </c>
      <c r="AR321" s="801" t="s">
        <v>121</v>
      </c>
      <c r="AS321" s="801" t="s">
        <v>122</v>
      </c>
    </row>
    <row r="322" spans="6:45" ht="11.4" customHeight="1">
      <c r="F322" s="798" t="s">
        <v>798</v>
      </c>
      <c r="I322" s="798">
        <v>25</v>
      </c>
      <c r="J322" s="798">
        <v>25</v>
      </c>
      <c r="K322" s="798">
        <v>25</v>
      </c>
      <c r="L322" s="798">
        <v>25</v>
      </c>
      <c r="M322" s="798">
        <v>25</v>
      </c>
      <c r="N322" s="798">
        <v>25</v>
      </c>
      <c r="O322" s="798">
        <v>25</v>
      </c>
      <c r="P322" s="798">
        <v>25</v>
      </c>
      <c r="Q322" s="798">
        <v>25</v>
      </c>
      <c r="R322" s="798">
        <v>25</v>
      </c>
      <c r="S322" s="798">
        <v>25</v>
      </c>
      <c r="T322" s="798">
        <v>25</v>
      </c>
      <c r="U322" s="798">
        <v>25</v>
      </c>
      <c r="V322" s="798">
        <v>25</v>
      </c>
      <c r="W322" s="798">
        <v>25</v>
      </c>
      <c r="X322" s="798">
        <v>25</v>
      </c>
      <c r="Y322" s="798">
        <v>25</v>
      </c>
      <c r="Z322" s="798">
        <v>25</v>
      </c>
      <c r="AA322" s="798">
        <v>25</v>
      </c>
      <c r="AB322" s="798">
        <v>25</v>
      </c>
      <c r="AC322" s="798">
        <v>25</v>
      </c>
      <c r="AD322" s="798">
        <v>25</v>
      </c>
      <c r="AE322" s="798">
        <v>25</v>
      </c>
      <c r="AF322" s="798">
        <v>25</v>
      </c>
      <c r="AG322" s="798">
        <v>25</v>
      </c>
      <c r="AH322" s="798">
        <v>25</v>
      </c>
      <c r="AI322" s="798">
        <v>25</v>
      </c>
      <c r="AJ322" s="798">
        <v>25</v>
      </c>
      <c r="AK322" s="798">
        <v>25</v>
      </c>
      <c r="AL322" s="798">
        <v>25</v>
      </c>
      <c r="AM322" s="798">
        <v>25</v>
      </c>
      <c r="AN322" s="798">
        <v>25</v>
      </c>
      <c r="AO322" s="798">
        <v>25</v>
      </c>
      <c r="AP322" s="798">
        <v>25</v>
      </c>
      <c r="AQ322" s="798">
        <v>25</v>
      </c>
      <c r="AR322" s="798">
        <v>25</v>
      </c>
      <c r="AS322" s="798">
        <v>25</v>
      </c>
    </row>
    <row r="325" spans="6:45" ht="11.4" customHeight="1">
      <c r="H325" s="799" t="s">
        <v>745</v>
      </c>
    </row>
    <row r="326" spans="6:45" ht="11.4" customHeight="1" thickBot="1">
      <c r="F326" s="800" t="s">
        <v>545</v>
      </c>
      <c r="G326" s="800" t="s">
        <v>585</v>
      </c>
      <c r="H326" s="800" t="s">
        <v>592</v>
      </c>
      <c r="I326" s="801" t="s">
        <v>88</v>
      </c>
      <c r="J326" s="801" t="s">
        <v>89</v>
      </c>
      <c r="K326" s="801" t="s">
        <v>90</v>
      </c>
      <c r="L326" s="801" t="s">
        <v>91</v>
      </c>
      <c r="M326" s="801" t="s">
        <v>92</v>
      </c>
      <c r="N326" s="801" t="s">
        <v>93</v>
      </c>
      <c r="O326" s="801" t="s">
        <v>94</v>
      </c>
      <c r="P326" s="801" t="s">
        <v>95</v>
      </c>
      <c r="Q326" s="801" t="s">
        <v>96</v>
      </c>
      <c r="R326" s="801" t="s">
        <v>97</v>
      </c>
      <c r="S326" s="801" t="s">
        <v>98</v>
      </c>
      <c r="T326" s="801" t="s">
        <v>99</v>
      </c>
      <c r="U326" s="801" t="s">
        <v>205</v>
      </c>
      <c r="V326" s="801" t="s">
        <v>118</v>
      </c>
      <c r="W326" s="801" t="s">
        <v>100</v>
      </c>
      <c r="X326" s="801" t="s">
        <v>101</v>
      </c>
      <c r="Y326" s="801" t="s">
        <v>102</v>
      </c>
      <c r="Z326" s="801" t="s">
        <v>103</v>
      </c>
      <c r="AA326" s="801" t="s">
        <v>104</v>
      </c>
      <c r="AB326" s="801" t="s">
        <v>105</v>
      </c>
      <c r="AC326" s="801" t="s">
        <v>106</v>
      </c>
      <c r="AD326" s="801" t="s">
        <v>107</v>
      </c>
      <c r="AE326" s="801" t="s">
        <v>108</v>
      </c>
      <c r="AF326" s="801" t="s">
        <v>109</v>
      </c>
      <c r="AG326" s="801" t="s">
        <v>110</v>
      </c>
      <c r="AH326" s="801" t="s">
        <v>111</v>
      </c>
      <c r="AI326" s="801" t="s">
        <v>112</v>
      </c>
      <c r="AJ326" s="801" t="s">
        <v>113</v>
      </c>
      <c r="AK326" s="801" t="s">
        <v>114</v>
      </c>
      <c r="AL326" s="801" t="s">
        <v>115</v>
      </c>
      <c r="AM326" s="801" t="s">
        <v>52</v>
      </c>
      <c r="AN326" s="801" t="s">
        <v>116</v>
      </c>
      <c r="AO326" s="801" t="s">
        <v>117</v>
      </c>
      <c r="AP326" s="801" t="s">
        <v>119</v>
      </c>
      <c r="AQ326" s="801" t="s">
        <v>120</v>
      </c>
      <c r="AR326" s="801" t="s">
        <v>121</v>
      </c>
      <c r="AS326" s="801" t="s">
        <v>122</v>
      </c>
    </row>
    <row r="327" spans="6:45" ht="11.4" customHeight="1">
      <c r="F327" s="798" t="s">
        <v>798</v>
      </c>
      <c r="G327" s="798" t="s">
        <v>735</v>
      </c>
      <c r="I327" s="798">
        <v>1</v>
      </c>
      <c r="J327" s="798">
        <v>1</v>
      </c>
      <c r="K327" s="798">
        <v>1</v>
      </c>
      <c r="L327" s="798">
        <v>1</v>
      </c>
      <c r="M327" s="798">
        <v>1</v>
      </c>
      <c r="N327" s="798">
        <v>1</v>
      </c>
      <c r="O327" s="798">
        <v>1</v>
      </c>
      <c r="P327" s="798">
        <v>1</v>
      </c>
      <c r="Q327" s="798">
        <v>1</v>
      </c>
      <c r="R327" s="798">
        <v>1</v>
      </c>
      <c r="S327" s="798">
        <v>1</v>
      </c>
      <c r="T327" s="798">
        <v>1</v>
      </c>
      <c r="U327" s="798">
        <v>1</v>
      </c>
      <c r="V327" s="798">
        <v>1</v>
      </c>
      <c r="W327" s="798">
        <v>1</v>
      </c>
      <c r="X327" s="798">
        <v>1</v>
      </c>
      <c r="Y327" s="798">
        <v>1</v>
      </c>
      <c r="Z327" s="798">
        <v>1</v>
      </c>
      <c r="AA327" s="798">
        <v>1</v>
      </c>
      <c r="AB327" s="798">
        <v>1</v>
      </c>
      <c r="AC327" s="798">
        <v>1</v>
      </c>
      <c r="AD327" s="798">
        <v>1</v>
      </c>
      <c r="AE327" s="798">
        <v>1</v>
      </c>
      <c r="AF327" s="798">
        <v>1</v>
      </c>
      <c r="AG327" s="798">
        <v>1</v>
      </c>
      <c r="AH327" s="798">
        <v>1</v>
      </c>
      <c r="AI327" s="798">
        <v>1</v>
      </c>
      <c r="AJ327" s="798">
        <v>1</v>
      </c>
      <c r="AK327" s="798">
        <v>1</v>
      </c>
      <c r="AL327" s="798">
        <v>1</v>
      </c>
      <c r="AM327" s="798">
        <v>1</v>
      </c>
      <c r="AN327" s="798">
        <v>1</v>
      </c>
      <c r="AO327" s="798">
        <v>1</v>
      </c>
      <c r="AP327" s="798">
        <v>1</v>
      </c>
      <c r="AQ327" s="798">
        <v>1</v>
      </c>
      <c r="AR327" s="798">
        <v>1</v>
      </c>
      <c r="AS327" s="798">
        <v>1</v>
      </c>
    </row>
    <row r="328" spans="6:45" ht="11.4" customHeight="1">
      <c r="G328" s="798" t="s">
        <v>744</v>
      </c>
      <c r="I328" s="798">
        <v>0.8</v>
      </c>
      <c r="J328" s="798">
        <v>0.8</v>
      </c>
      <c r="K328" s="798">
        <v>0.8</v>
      </c>
      <c r="L328" s="798">
        <v>0.8</v>
      </c>
      <c r="M328" s="798">
        <v>0.8</v>
      </c>
      <c r="N328" s="798">
        <v>0.8</v>
      </c>
      <c r="O328" s="798">
        <v>0.8</v>
      </c>
      <c r="P328" s="798">
        <v>0.8</v>
      </c>
      <c r="Q328" s="798">
        <v>0.8</v>
      </c>
      <c r="R328" s="798">
        <v>0.8</v>
      </c>
      <c r="S328" s="798">
        <v>0.8</v>
      </c>
      <c r="T328" s="798">
        <v>0.8</v>
      </c>
      <c r="U328" s="798">
        <v>0.8</v>
      </c>
      <c r="V328" s="798">
        <v>0.8</v>
      </c>
      <c r="W328" s="798">
        <v>0.8</v>
      </c>
      <c r="X328" s="798">
        <v>0.8</v>
      </c>
      <c r="Y328" s="798">
        <v>0.8</v>
      </c>
      <c r="Z328" s="798">
        <v>0.8</v>
      </c>
      <c r="AA328" s="798">
        <v>0.8</v>
      </c>
      <c r="AB328" s="798">
        <v>0.8</v>
      </c>
      <c r="AC328" s="798">
        <v>0.8</v>
      </c>
      <c r="AD328" s="798">
        <v>0.8</v>
      </c>
      <c r="AE328" s="798">
        <v>0.8</v>
      </c>
      <c r="AF328" s="798">
        <v>0.8</v>
      </c>
      <c r="AG328" s="798">
        <v>0.8</v>
      </c>
      <c r="AH328" s="798">
        <v>0.8</v>
      </c>
      <c r="AI328" s="798">
        <v>0.8</v>
      </c>
      <c r="AJ328" s="798">
        <v>0.8</v>
      </c>
      <c r="AK328" s="798">
        <v>0.8</v>
      </c>
      <c r="AL328" s="798">
        <v>0.8</v>
      </c>
      <c r="AM328" s="798">
        <v>0.8</v>
      </c>
      <c r="AN328" s="798">
        <v>0.8</v>
      </c>
      <c r="AO328" s="798">
        <v>0.8</v>
      </c>
      <c r="AP328" s="798">
        <v>0.8</v>
      </c>
      <c r="AQ328" s="798">
        <v>0.8</v>
      </c>
      <c r="AR328" s="798">
        <v>0.8</v>
      </c>
      <c r="AS328" s="798">
        <v>0.8</v>
      </c>
    </row>
    <row r="329" spans="6:45" ht="11.4" customHeight="1">
      <c r="H329" s="798" t="s">
        <v>799</v>
      </c>
    </row>
    <row r="331" spans="6:45" ht="11.4" customHeight="1">
      <c r="H331" s="799" t="s">
        <v>746</v>
      </c>
    </row>
    <row r="332" spans="6:45" ht="11.4" customHeight="1" thickBot="1">
      <c r="F332" s="800" t="s">
        <v>545</v>
      </c>
      <c r="G332" s="800" t="s">
        <v>585</v>
      </c>
      <c r="H332" s="800" t="s">
        <v>592</v>
      </c>
      <c r="I332" s="801" t="s">
        <v>88</v>
      </c>
      <c r="J332" s="801" t="s">
        <v>89</v>
      </c>
      <c r="K332" s="801" t="s">
        <v>90</v>
      </c>
      <c r="L332" s="801" t="s">
        <v>91</v>
      </c>
      <c r="M332" s="801" t="s">
        <v>92</v>
      </c>
      <c r="N332" s="801" t="s">
        <v>93</v>
      </c>
      <c r="O332" s="801" t="s">
        <v>94</v>
      </c>
      <c r="P332" s="801" t="s">
        <v>95</v>
      </c>
      <c r="Q332" s="801" t="s">
        <v>96</v>
      </c>
      <c r="R332" s="801" t="s">
        <v>97</v>
      </c>
      <c r="S332" s="801" t="s">
        <v>98</v>
      </c>
      <c r="T332" s="801" t="s">
        <v>99</v>
      </c>
      <c r="U332" s="801" t="s">
        <v>205</v>
      </c>
      <c r="V332" s="801" t="s">
        <v>118</v>
      </c>
      <c r="W332" s="801" t="s">
        <v>100</v>
      </c>
      <c r="X332" s="801" t="s">
        <v>101</v>
      </c>
      <c r="Y332" s="801" t="s">
        <v>102</v>
      </c>
      <c r="Z332" s="801" t="s">
        <v>103</v>
      </c>
      <c r="AA332" s="801" t="s">
        <v>104</v>
      </c>
      <c r="AB332" s="801" t="s">
        <v>105</v>
      </c>
      <c r="AC332" s="801" t="s">
        <v>106</v>
      </c>
      <c r="AD332" s="801" t="s">
        <v>107</v>
      </c>
      <c r="AE332" s="801" t="s">
        <v>108</v>
      </c>
      <c r="AF332" s="801" t="s">
        <v>109</v>
      </c>
      <c r="AG332" s="801" t="s">
        <v>110</v>
      </c>
      <c r="AH332" s="801" t="s">
        <v>111</v>
      </c>
      <c r="AI332" s="801" t="s">
        <v>112</v>
      </c>
      <c r="AJ332" s="801" t="s">
        <v>113</v>
      </c>
      <c r="AK332" s="801" t="s">
        <v>114</v>
      </c>
      <c r="AL332" s="801" t="s">
        <v>115</v>
      </c>
      <c r="AM332" s="801" t="s">
        <v>52</v>
      </c>
      <c r="AN332" s="801" t="s">
        <v>116</v>
      </c>
      <c r="AO332" s="801" t="s">
        <v>117</v>
      </c>
      <c r="AP332" s="801" t="s">
        <v>119</v>
      </c>
      <c r="AQ332" s="801" t="s">
        <v>120</v>
      </c>
      <c r="AR332" s="801" t="s">
        <v>121</v>
      </c>
      <c r="AS332" s="801" t="s">
        <v>122</v>
      </c>
    </row>
    <row r="333" spans="6:45" ht="11.4" customHeight="1">
      <c r="F333" s="798" t="s">
        <v>798</v>
      </c>
      <c r="G333" s="798" t="s">
        <v>735</v>
      </c>
      <c r="I333" s="798">
        <v>1</v>
      </c>
      <c r="J333" s="798">
        <v>1</v>
      </c>
      <c r="K333" s="798">
        <v>1</v>
      </c>
      <c r="L333" s="798">
        <v>1</v>
      </c>
      <c r="M333" s="798">
        <v>1</v>
      </c>
      <c r="N333" s="798">
        <v>1</v>
      </c>
      <c r="O333" s="798">
        <v>1</v>
      </c>
      <c r="P333" s="798">
        <v>1</v>
      </c>
      <c r="Q333" s="798">
        <v>1</v>
      </c>
      <c r="R333" s="798">
        <v>1</v>
      </c>
      <c r="S333" s="798">
        <v>1</v>
      </c>
      <c r="T333" s="798">
        <v>1</v>
      </c>
      <c r="U333" s="798">
        <v>1</v>
      </c>
      <c r="V333" s="798">
        <v>1</v>
      </c>
      <c r="W333" s="798">
        <v>1</v>
      </c>
      <c r="X333" s="798">
        <v>1</v>
      </c>
      <c r="Y333" s="798">
        <v>1</v>
      </c>
      <c r="Z333" s="798">
        <v>1</v>
      </c>
      <c r="AA333" s="798">
        <v>1</v>
      </c>
      <c r="AB333" s="798">
        <v>1</v>
      </c>
      <c r="AC333" s="798">
        <v>1</v>
      </c>
      <c r="AD333" s="798">
        <v>1</v>
      </c>
      <c r="AE333" s="798">
        <v>1</v>
      </c>
      <c r="AF333" s="798">
        <v>1</v>
      </c>
      <c r="AG333" s="798">
        <v>1</v>
      </c>
      <c r="AH333" s="798">
        <v>1</v>
      </c>
      <c r="AI333" s="798">
        <v>1</v>
      </c>
      <c r="AJ333" s="798">
        <v>1</v>
      </c>
      <c r="AK333" s="798">
        <v>1</v>
      </c>
      <c r="AL333" s="798">
        <v>1</v>
      </c>
      <c r="AM333" s="798">
        <v>1</v>
      </c>
      <c r="AN333" s="798">
        <v>1</v>
      </c>
      <c r="AO333" s="798">
        <v>1</v>
      </c>
      <c r="AP333" s="798">
        <v>1</v>
      </c>
      <c r="AQ333" s="798">
        <v>1</v>
      </c>
      <c r="AR333" s="798">
        <v>1</v>
      </c>
      <c r="AS333" s="798">
        <v>1</v>
      </c>
    </row>
    <row r="334" spans="6:45" ht="11.4" customHeight="1">
      <c r="G334" s="798" t="s">
        <v>744</v>
      </c>
      <c r="I334" s="798">
        <v>0.5</v>
      </c>
      <c r="J334" s="798">
        <v>0.5</v>
      </c>
      <c r="K334" s="798">
        <v>0.5</v>
      </c>
      <c r="L334" s="798">
        <v>0.5</v>
      </c>
      <c r="M334" s="798">
        <v>0.5</v>
      </c>
      <c r="N334" s="798">
        <v>0.5</v>
      </c>
      <c r="O334" s="798">
        <v>0.5</v>
      </c>
      <c r="P334" s="798">
        <v>0.5</v>
      </c>
      <c r="Q334" s="798">
        <v>0.5</v>
      </c>
      <c r="R334" s="798">
        <v>0.5</v>
      </c>
      <c r="S334" s="798">
        <v>0.5</v>
      </c>
      <c r="T334" s="798">
        <v>0.5</v>
      </c>
      <c r="U334" s="798">
        <v>0.5</v>
      </c>
      <c r="V334" s="798">
        <v>0.5</v>
      </c>
      <c r="W334" s="798">
        <v>0.5</v>
      </c>
      <c r="X334" s="798">
        <v>0.5</v>
      </c>
      <c r="Y334" s="798">
        <v>0.5</v>
      </c>
      <c r="Z334" s="798">
        <v>0.5</v>
      </c>
      <c r="AA334" s="798">
        <v>0.5</v>
      </c>
      <c r="AB334" s="798">
        <v>0.5</v>
      </c>
      <c r="AC334" s="798">
        <v>0.5</v>
      </c>
      <c r="AD334" s="798">
        <v>0.5</v>
      </c>
      <c r="AE334" s="798">
        <v>0.5</v>
      </c>
      <c r="AF334" s="798">
        <v>0.5</v>
      </c>
      <c r="AG334" s="798">
        <v>0.5</v>
      </c>
      <c r="AH334" s="798">
        <v>0.5</v>
      </c>
      <c r="AI334" s="798">
        <v>0.5</v>
      </c>
      <c r="AJ334" s="798">
        <v>0.5</v>
      </c>
      <c r="AK334" s="798">
        <v>0.5</v>
      </c>
      <c r="AL334" s="798">
        <v>0.5</v>
      </c>
      <c r="AM334" s="798">
        <v>0.5</v>
      </c>
      <c r="AN334" s="798">
        <v>0.5</v>
      </c>
      <c r="AO334" s="798">
        <v>0.5</v>
      </c>
      <c r="AP334" s="798">
        <v>0.5</v>
      </c>
      <c r="AQ334" s="798">
        <v>0.5</v>
      </c>
      <c r="AR334" s="798">
        <v>0.5</v>
      </c>
      <c r="AS334" s="798">
        <v>0.5</v>
      </c>
    </row>
    <row r="335" spans="6:45" ht="11.4" customHeight="1">
      <c r="H335" s="798" t="s">
        <v>799</v>
      </c>
    </row>
    <row r="337" spans="6:45" ht="11.4" customHeight="1">
      <c r="H337" s="799" t="s">
        <v>747</v>
      </c>
    </row>
    <row r="338" spans="6:45" ht="11.4" customHeight="1" thickBot="1">
      <c r="F338" s="800" t="s">
        <v>545</v>
      </c>
      <c r="G338" s="800" t="s">
        <v>585</v>
      </c>
      <c r="H338" s="800" t="s">
        <v>592</v>
      </c>
      <c r="I338" s="801" t="s">
        <v>88</v>
      </c>
      <c r="J338" s="801" t="s">
        <v>89</v>
      </c>
      <c r="K338" s="801" t="s">
        <v>90</v>
      </c>
      <c r="L338" s="801" t="s">
        <v>91</v>
      </c>
      <c r="M338" s="801" t="s">
        <v>92</v>
      </c>
      <c r="N338" s="801" t="s">
        <v>93</v>
      </c>
      <c r="O338" s="801" t="s">
        <v>94</v>
      </c>
      <c r="P338" s="801" t="s">
        <v>95</v>
      </c>
      <c r="Q338" s="801" t="s">
        <v>96</v>
      </c>
      <c r="R338" s="801" t="s">
        <v>97</v>
      </c>
      <c r="S338" s="801" t="s">
        <v>98</v>
      </c>
      <c r="T338" s="801" t="s">
        <v>99</v>
      </c>
      <c r="U338" s="801" t="s">
        <v>205</v>
      </c>
      <c r="V338" s="801" t="s">
        <v>118</v>
      </c>
      <c r="W338" s="801" t="s">
        <v>100</v>
      </c>
      <c r="X338" s="801" t="s">
        <v>101</v>
      </c>
      <c r="Y338" s="801" t="s">
        <v>102</v>
      </c>
      <c r="Z338" s="801" t="s">
        <v>103</v>
      </c>
      <c r="AA338" s="801" t="s">
        <v>104</v>
      </c>
      <c r="AB338" s="801" t="s">
        <v>105</v>
      </c>
      <c r="AC338" s="801" t="s">
        <v>106</v>
      </c>
      <c r="AD338" s="801" t="s">
        <v>107</v>
      </c>
      <c r="AE338" s="801" t="s">
        <v>108</v>
      </c>
      <c r="AF338" s="801" t="s">
        <v>109</v>
      </c>
      <c r="AG338" s="801" t="s">
        <v>110</v>
      </c>
      <c r="AH338" s="801" t="s">
        <v>111</v>
      </c>
      <c r="AI338" s="801" t="s">
        <v>112</v>
      </c>
      <c r="AJ338" s="801" t="s">
        <v>113</v>
      </c>
      <c r="AK338" s="801" t="s">
        <v>114</v>
      </c>
      <c r="AL338" s="801" t="s">
        <v>115</v>
      </c>
      <c r="AM338" s="801" t="s">
        <v>52</v>
      </c>
      <c r="AN338" s="801" t="s">
        <v>116</v>
      </c>
      <c r="AO338" s="801" t="s">
        <v>117</v>
      </c>
      <c r="AP338" s="801" t="s">
        <v>119</v>
      </c>
      <c r="AQ338" s="801" t="s">
        <v>120</v>
      </c>
      <c r="AR338" s="801" t="s">
        <v>121</v>
      </c>
      <c r="AS338" s="801" t="s">
        <v>122</v>
      </c>
    </row>
    <row r="339" spans="6:45" ht="11.4" customHeight="1">
      <c r="F339" s="798" t="s">
        <v>798</v>
      </c>
      <c r="G339" s="798" t="s">
        <v>735</v>
      </c>
      <c r="I339" s="798">
        <v>1</v>
      </c>
      <c r="J339" s="798">
        <v>1</v>
      </c>
      <c r="K339" s="798">
        <v>1</v>
      </c>
      <c r="L339" s="798">
        <v>1</v>
      </c>
      <c r="M339" s="798">
        <v>1</v>
      </c>
      <c r="N339" s="798">
        <v>1</v>
      </c>
      <c r="O339" s="798">
        <v>1</v>
      </c>
      <c r="P339" s="798">
        <v>1</v>
      </c>
      <c r="Q339" s="798">
        <v>1</v>
      </c>
      <c r="R339" s="798">
        <v>1</v>
      </c>
      <c r="S339" s="798">
        <v>1</v>
      </c>
      <c r="T339" s="798">
        <v>1</v>
      </c>
      <c r="U339" s="798">
        <v>1</v>
      </c>
      <c r="V339" s="798">
        <v>1</v>
      </c>
      <c r="W339" s="798">
        <v>1</v>
      </c>
      <c r="X339" s="798">
        <v>1</v>
      </c>
      <c r="Y339" s="798">
        <v>1</v>
      </c>
      <c r="Z339" s="798">
        <v>1</v>
      </c>
      <c r="AA339" s="798">
        <v>1</v>
      </c>
      <c r="AB339" s="798">
        <v>1</v>
      </c>
      <c r="AC339" s="798">
        <v>1</v>
      </c>
      <c r="AD339" s="798">
        <v>1</v>
      </c>
      <c r="AE339" s="798">
        <v>1</v>
      </c>
      <c r="AF339" s="798">
        <v>1</v>
      </c>
      <c r="AG339" s="798">
        <v>1</v>
      </c>
      <c r="AH339" s="798">
        <v>1</v>
      </c>
      <c r="AI339" s="798">
        <v>1</v>
      </c>
      <c r="AJ339" s="798">
        <v>1</v>
      </c>
      <c r="AK339" s="798">
        <v>1</v>
      </c>
      <c r="AL339" s="798">
        <v>1</v>
      </c>
      <c r="AM339" s="798">
        <v>1</v>
      </c>
      <c r="AN339" s="798">
        <v>1</v>
      </c>
      <c r="AO339" s="798">
        <v>1</v>
      </c>
      <c r="AP339" s="798">
        <v>1</v>
      </c>
      <c r="AQ339" s="798">
        <v>1</v>
      </c>
      <c r="AR339" s="798">
        <v>1</v>
      </c>
      <c r="AS339" s="798">
        <v>1</v>
      </c>
    </row>
    <row r="340" spans="6:45" ht="11.4" customHeight="1">
      <c r="G340" s="798" t="s">
        <v>744</v>
      </c>
      <c r="I340" s="798">
        <v>0.05</v>
      </c>
      <c r="J340" s="798">
        <v>0.05</v>
      </c>
      <c r="K340" s="798">
        <v>0.05</v>
      </c>
      <c r="L340" s="798">
        <v>0.05</v>
      </c>
      <c r="M340" s="798">
        <v>0.05</v>
      </c>
      <c r="N340" s="798">
        <v>0.05</v>
      </c>
      <c r="O340" s="798">
        <v>0.05</v>
      </c>
      <c r="P340" s="798">
        <v>0.05</v>
      </c>
      <c r="Q340" s="798">
        <v>0.05</v>
      </c>
      <c r="R340" s="798">
        <v>0.05</v>
      </c>
      <c r="S340" s="798">
        <v>0.05</v>
      </c>
      <c r="T340" s="798">
        <v>0.05</v>
      </c>
      <c r="U340" s="798">
        <v>0.05</v>
      </c>
      <c r="V340" s="798">
        <v>0.05</v>
      </c>
      <c r="W340" s="798">
        <v>0.05</v>
      </c>
      <c r="X340" s="798">
        <v>0.05</v>
      </c>
      <c r="Y340" s="798">
        <v>0.05</v>
      </c>
      <c r="Z340" s="798">
        <v>0.05</v>
      </c>
      <c r="AA340" s="798">
        <v>0.05</v>
      </c>
      <c r="AB340" s="798">
        <v>0.05</v>
      </c>
      <c r="AC340" s="798">
        <v>0.05</v>
      </c>
      <c r="AD340" s="798">
        <v>0.05</v>
      </c>
      <c r="AE340" s="798">
        <v>0.05</v>
      </c>
      <c r="AF340" s="798">
        <v>0.05</v>
      </c>
      <c r="AG340" s="798">
        <v>0.05</v>
      </c>
      <c r="AH340" s="798">
        <v>0.05</v>
      </c>
      <c r="AI340" s="798">
        <v>0.05</v>
      </c>
      <c r="AJ340" s="798">
        <v>0.05</v>
      </c>
      <c r="AK340" s="798">
        <v>0.05</v>
      </c>
      <c r="AL340" s="798">
        <v>0.05</v>
      </c>
      <c r="AM340" s="798">
        <v>0.05</v>
      </c>
      <c r="AN340" s="798">
        <v>0.05</v>
      </c>
      <c r="AO340" s="798">
        <v>0.05</v>
      </c>
      <c r="AP340" s="798">
        <v>0.05</v>
      </c>
      <c r="AQ340" s="798">
        <v>0.05</v>
      </c>
      <c r="AR340" s="798">
        <v>0.05</v>
      </c>
      <c r="AS340" s="798">
        <v>0.05</v>
      </c>
    </row>
    <row r="341" spans="6:45" ht="11.4" customHeight="1">
      <c r="H341" s="798" t="s">
        <v>799</v>
      </c>
    </row>
    <row r="343" spans="6:45" ht="11.4" customHeight="1">
      <c r="H343" s="799" t="s">
        <v>748</v>
      </c>
    </row>
    <row r="344" spans="6:45" ht="11.4" customHeight="1" thickBot="1">
      <c r="F344" s="800" t="s">
        <v>545</v>
      </c>
      <c r="G344" s="800" t="s">
        <v>585</v>
      </c>
      <c r="H344" s="800" t="s">
        <v>592</v>
      </c>
      <c r="I344" s="801" t="s">
        <v>88</v>
      </c>
      <c r="J344" s="801" t="s">
        <v>89</v>
      </c>
      <c r="K344" s="801" t="s">
        <v>90</v>
      </c>
      <c r="L344" s="801" t="s">
        <v>91</v>
      </c>
      <c r="M344" s="801" t="s">
        <v>92</v>
      </c>
      <c r="N344" s="801" t="s">
        <v>93</v>
      </c>
      <c r="O344" s="801" t="s">
        <v>94</v>
      </c>
      <c r="P344" s="801" t="s">
        <v>95</v>
      </c>
      <c r="Q344" s="801" t="s">
        <v>96</v>
      </c>
      <c r="R344" s="801" t="s">
        <v>97</v>
      </c>
      <c r="S344" s="801" t="s">
        <v>98</v>
      </c>
      <c r="T344" s="801" t="s">
        <v>99</v>
      </c>
      <c r="U344" s="801" t="s">
        <v>205</v>
      </c>
      <c r="V344" s="801" t="s">
        <v>118</v>
      </c>
      <c r="W344" s="801" t="s">
        <v>100</v>
      </c>
      <c r="X344" s="801" t="s">
        <v>101</v>
      </c>
      <c r="Y344" s="801" t="s">
        <v>102</v>
      </c>
      <c r="Z344" s="801" t="s">
        <v>103</v>
      </c>
      <c r="AA344" s="801" t="s">
        <v>104</v>
      </c>
      <c r="AB344" s="801" t="s">
        <v>105</v>
      </c>
      <c r="AC344" s="801" t="s">
        <v>106</v>
      </c>
      <c r="AD344" s="801" t="s">
        <v>107</v>
      </c>
      <c r="AE344" s="801" t="s">
        <v>108</v>
      </c>
      <c r="AF344" s="801" t="s">
        <v>109</v>
      </c>
      <c r="AG344" s="801" t="s">
        <v>110</v>
      </c>
      <c r="AH344" s="801" t="s">
        <v>111</v>
      </c>
      <c r="AI344" s="801" t="s">
        <v>112</v>
      </c>
      <c r="AJ344" s="801" t="s">
        <v>113</v>
      </c>
      <c r="AK344" s="801" t="s">
        <v>114</v>
      </c>
      <c r="AL344" s="801" t="s">
        <v>115</v>
      </c>
      <c r="AM344" s="801" t="s">
        <v>52</v>
      </c>
      <c r="AN344" s="801" t="s">
        <v>116</v>
      </c>
      <c r="AO344" s="801" t="s">
        <v>117</v>
      </c>
      <c r="AP344" s="801" t="s">
        <v>119</v>
      </c>
      <c r="AQ344" s="801" t="s">
        <v>120</v>
      </c>
      <c r="AR344" s="801" t="s">
        <v>121</v>
      </c>
      <c r="AS344" s="801" t="s">
        <v>122</v>
      </c>
    </row>
    <row r="345" spans="6:45" ht="11.4" customHeight="1">
      <c r="F345" s="798" t="s">
        <v>798</v>
      </c>
      <c r="G345" s="798" t="s">
        <v>735</v>
      </c>
      <c r="I345" s="798">
        <v>1</v>
      </c>
      <c r="J345" s="798">
        <v>1</v>
      </c>
      <c r="K345" s="798">
        <v>1</v>
      </c>
      <c r="L345" s="798">
        <v>1</v>
      </c>
      <c r="M345" s="798">
        <v>1</v>
      </c>
      <c r="N345" s="798">
        <v>1</v>
      </c>
      <c r="O345" s="798">
        <v>1</v>
      </c>
      <c r="P345" s="798">
        <v>1</v>
      </c>
      <c r="Q345" s="798">
        <v>1</v>
      </c>
      <c r="R345" s="798">
        <v>1</v>
      </c>
      <c r="S345" s="798">
        <v>1</v>
      </c>
      <c r="T345" s="798">
        <v>1</v>
      </c>
      <c r="U345" s="798">
        <v>1</v>
      </c>
      <c r="V345" s="798">
        <v>1</v>
      </c>
      <c r="W345" s="798">
        <v>1</v>
      </c>
      <c r="X345" s="798">
        <v>1</v>
      </c>
      <c r="Y345" s="798">
        <v>1</v>
      </c>
      <c r="Z345" s="798">
        <v>1</v>
      </c>
      <c r="AA345" s="798">
        <v>1</v>
      </c>
      <c r="AB345" s="798">
        <v>1</v>
      </c>
      <c r="AC345" s="798">
        <v>1</v>
      </c>
      <c r="AD345" s="798">
        <v>1</v>
      </c>
      <c r="AE345" s="798">
        <v>1</v>
      </c>
      <c r="AF345" s="798">
        <v>1</v>
      </c>
      <c r="AG345" s="798">
        <v>1</v>
      </c>
      <c r="AH345" s="798">
        <v>1</v>
      </c>
      <c r="AI345" s="798">
        <v>1</v>
      </c>
      <c r="AJ345" s="798">
        <v>1</v>
      </c>
      <c r="AK345" s="798">
        <v>1</v>
      </c>
      <c r="AL345" s="798">
        <v>1</v>
      </c>
      <c r="AM345" s="798">
        <v>1</v>
      </c>
      <c r="AN345" s="798">
        <v>1</v>
      </c>
      <c r="AO345" s="798">
        <v>1</v>
      </c>
      <c r="AP345" s="798">
        <v>1</v>
      </c>
      <c r="AQ345" s="798">
        <v>1</v>
      </c>
      <c r="AR345" s="798">
        <v>1</v>
      </c>
      <c r="AS345" s="798">
        <v>1</v>
      </c>
    </row>
    <row r="346" spans="6:45" ht="11.4" customHeight="1">
      <c r="G346" s="798" t="s">
        <v>744</v>
      </c>
      <c r="I346" s="798">
        <v>0.35</v>
      </c>
      <c r="J346" s="798">
        <v>0.35</v>
      </c>
      <c r="K346" s="798">
        <v>0.35</v>
      </c>
      <c r="L346" s="798">
        <v>0.35</v>
      </c>
      <c r="M346" s="798">
        <v>0.35</v>
      </c>
      <c r="N346" s="798">
        <v>0.35</v>
      </c>
      <c r="O346" s="798">
        <v>0.35</v>
      </c>
      <c r="P346" s="798">
        <v>0.35</v>
      </c>
      <c r="Q346" s="798">
        <v>0.35</v>
      </c>
      <c r="R346" s="798">
        <v>0.35</v>
      </c>
      <c r="S346" s="798">
        <v>0.35</v>
      </c>
      <c r="T346" s="798">
        <v>0.35</v>
      </c>
      <c r="U346" s="798">
        <v>0.35</v>
      </c>
      <c r="V346" s="798">
        <v>0.35</v>
      </c>
      <c r="W346" s="798">
        <v>0.35</v>
      </c>
      <c r="X346" s="798">
        <v>0.35</v>
      </c>
      <c r="Y346" s="798">
        <v>0.35</v>
      </c>
      <c r="Z346" s="798">
        <v>0.35</v>
      </c>
      <c r="AA346" s="798">
        <v>0.35</v>
      </c>
      <c r="AB346" s="798">
        <v>0.35</v>
      </c>
      <c r="AC346" s="798">
        <v>0.35</v>
      </c>
      <c r="AD346" s="798">
        <v>0.35</v>
      </c>
      <c r="AE346" s="798">
        <v>0.35</v>
      </c>
      <c r="AF346" s="798">
        <v>0.35</v>
      </c>
      <c r="AG346" s="798">
        <v>0.35</v>
      </c>
      <c r="AH346" s="798">
        <v>0.35</v>
      </c>
      <c r="AI346" s="798">
        <v>0.35</v>
      </c>
      <c r="AJ346" s="798">
        <v>0.35</v>
      </c>
      <c r="AK346" s="798">
        <v>0.35</v>
      </c>
      <c r="AL346" s="798">
        <v>0.35</v>
      </c>
      <c r="AM346" s="798">
        <v>0.35</v>
      </c>
      <c r="AN346" s="798">
        <v>0.35</v>
      </c>
      <c r="AO346" s="798">
        <v>0.35</v>
      </c>
      <c r="AP346" s="798">
        <v>0.35</v>
      </c>
      <c r="AQ346" s="798">
        <v>0.35</v>
      </c>
      <c r="AR346" s="798">
        <v>0.35</v>
      </c>
      <c r="AS346" s="798">
        <v>0.35</v>
      </c>
    </row>
    <row r="347" spans="6:45" ht="11.4" customHeight="1">
      <c r="H347" s="798" t="s">
        <v>799</v>
      </c>
    </row>
    <row r="351" spans="6:45" ht="11.4" customHeight="1">
      <c r="H351" s="799" t="s">
        <v>736</v>
      </c>
    </row>
    <row r="352" spans="6:45" ht="11.4" customHeight="1" thickBot="1">
      <c r="F352" s="800" t="s">
        <v>545</v>
      </c>
      <c r="G352" s="800" t="s">
        <v>585</v>
      </c>
      <c r="H352" s="800" t="s">
        <v>592</v>
      </c>
      <c r="I352" s="801" t="s">
        <v>88</v>
      </c>
      <c r="J352" s="801" t="s">
        <v>89</v>
      </c>
      <c r="K352" s="801" t="s">
        <v>90</v>
      </c>
      <c r="L352" s="801" t="s">
        <v>91</v>
      </c>
      <c r="M352" s="801" t="s">
        <v>92</v>
      </c>
      <c r="N352" s="801" t="s">
        <v>93</v>
      </c>
      <c r="O352" s="801" t="s">
        <v>94</v>
      </c>
      <c r="P352" s="801" t="s">
        <v>95</v>
      </c>
      <c r="Q352" s="801" t="s">
        <v>96</v>
      </c>
      <c r="R352" s="801" t="s">
        <v>97</v>
      </c>
      <c r="S352" s="801" t="s">
        <v>98</v>
      </c>
      <c r="T352" s="801" t="s">
        <v>99</v>
      </c>
      <c r="U352" s="801" t="s">
        <v>205</v>
      </c>
      <c r="V352" s="801" t="s">
        <v>118</v>
      </c>
      <c r="W352" s="801" t="s">
        <v>100</v>
      </c>
      <c r="X352" s="801" t="s">
        <v>101</v>
      </c>
      <c r="Y352" s="801" t="s">
        <v>102</v>
      </c>
      <c r="Z352" s="801" t="s">
        <v>103</v>
      </c>
      <c r="AA352" s="801" t="s">
        <v>104</v>
      </c>
      <c r="AB352" s="801" t="s">
        <v>105</v>
      </c>
      <c r="AC352" s="801" t="s">
        <v>106</v>
      </c>
      <c r="AD352" s="801" t="s">
        <v>107</v>
      </c>
      <c r="AE352" s="801" t="s">
        <v>108</v>
      </c>
      <c r="AF352" s="801" t="s">
        <v>109</v>
      </c>
      <c r="AG352" s="801" t="s">
        <v>110</v>
      </c>
      <c r="AH352" s="801" t="s">
        <v>111</v>
      </c>
      <c r="AI352" s="801" t="s">
        <v>112</v>
      </c>
      <c r="AJ352" s="801" t="s">
        <v>113</v>
      </c>
      <c r="AK352" s="801" t="s">
        <v>114</v>
      </c>
      <c r="AL352" s="801" t="s">
        <v>115</v>
      </c>
      <c r="AM352" s="801" t="s">
        <v>52</v>
      </c>
      <c r="AN352" s="801" t="s">
        <v>116</v>
      </c>
      <c r="AO352" s="801" t="s">
        <v>117</v>
      </c>
      <c r="AP352" s="801" t="s">
        <v>119</v>
      </c>
      <c r="AQ352" s="801" t="s">
        <v>120</v>
      </c>
      <c r="AR352" s="801" t="s">
        <v>121</v>
      </c>
      <c r="AS352" s="801" t="s">
        <v>122</v>
      </c>
    </row>
    <row r="353" spans="1:45" ht="11.4" customHeight="1">
      <c r="F353" s="798" t="s">
        <v>800</v>
      </c>
      <c r="I353" s="798">
        <v>120</v>
      </c>
      <c r="J353" s="798">
        <v>120</v>
      </c>
      <c r="K353" s="798">
        <v>120</v>
      </c>
      <c r="L353" s="798">
        <v>120</v>
      </c>
      <c r="M353" s="798">
        <v>120</v>
      </c>
      <c r="N353" s="798">
        <v>120</v>
      </c>
      <c r="O353" s="798">
        <v>120</v>
      </c>
      <c r="P353" s="798">
        <v>120</v>
      </c>
      <c r="Q353" s="798">
        <v>120</v>
      </c>
      <c r="R353" s="798">
        <v>120</v>
      </c>
      <c r="S353" s="798">
        <v>120</v>
      </c>
      <c r="T353" s="798">
        <v>120</v>
      </c>
      <c r="U353" s="798">
        <v>120</v>
      </c>
      <c r="V353" s="798">
        <v>120</v>
      </c>
      <c r="W353" s="798">
        <v>120</v>
      </c>
      <c r="X353" s="798">
        <v>120</v>
      </c>
      <c r="Y353" s="798">
        <v>120</v>
      </c>
      <c r="Z353" s="798">
        <v>120</v>
      </c>
      <c r="AA353" s="798">
        <v>120</v>
      </c>
      <c r="AB353" s="798">
        <v>120</v>
      </c>
      <c r="AC353" s="798">
        <v>120</v>
      </c>
      <c r="AD353" s="798">
        <v>120</v>
      </c>
      <c r="AE353" s="798">
        <v>120</v>
      </c>
      <c r="AF353" s="798">
        <v>120</v>
      </c>
      <c r="AG353" s="798">
        <v>120</v>
      </c>
      <c r="AH353" s="798">
        <v>120</v>
      </c>
      <c r="AI353" s="798">
        <v>120</v>
      </c>
      <c r="AJ353" s="798">
        <v>120</v>
      </c>
      <c r="AK353" s="798">
        <v>120</v>
      </c>
      <c r="AL353" s="798">
        <v>120</v>
      </c>
      <c r="AM353" s="798">
        <v>120</v>
      </c>
      <c r="AN353" s="798">
        <v>120</v>
      </c>
      <c r="AO353" s="798">
        <v>120</v>
      </c>
      <c r="AP353" s="798">
        <v>120</v>
      </c>
      <c r="AQ353" s="798">
        <v>120</v>
      </c>
      <c r="AR353" s="798">
        <v>120</v>
      </c>
      <c r="AS353" s="798">
        <v>120</v>
      </c>
    </row>
    <row r="356" spans="1:45" ht="11.4" customHeight="1">
      <c r="H356" s="799" t="s">
        <v>738</v>
      </c>
    </row>
    <row r="357" spans="1:45" ht="11.4" customHeight="1" thickBot="1">
      <c r="F357" s="800" t="s">
        <v>545</v>
      </c>
      <c r="G357" s="800" t="s">
        <v>585</v>
      </c>
      <c r="H357" s="800" t="s">
        <v>592</v>
      </c>
      <c r="I357" s="801" t="s">
        <v>88</v>
      </c>
      <c r="J357" s="801" t="s">
        <v>89</v>
      </c>
      <c r="K357" s="801" t="s">
        <v>90</v>
      </c>
      <c r="L357" s="801" t="s">
        <v>91</v>
      </c>
      <c r="M357" s="801" t="s">
        <v>92</v>
      </c>
      <c r="N357" s="801" t="s">
        <v>93</v>
      </c>
      <c r="O357" s="801" t="s">
        <v>94</v>
      </c>
      <c r="P357" s="801" t="s">
        <v>95</v>
      </c>
      <c r="Q357" s="801" t="s">
        <v>96</v>
      </c>
      <c r="R357" s="801" t="s">
        <v>97</v>
      </c>
      <c r="S357" s="801" t="s">
        <v>98</v>
      </c>
      <c r="T357" s="801" t="s">
        <v>99</v>
      </c>
      <c r="U357" s="801" t="s">
        <v>205</v>
      </c>
      <c r="V357" s="801" t="s">
        <v>118</v>
      </c>
      <c r="W357" s="801" t="s">
        <v>100</v>
      </c>
      <c r="X357" s="801" t="s">
        <v>101</v>
      </c>
      <c r="Y357" s="801" t="s">
        <v>102</v>
      </c>
      <c r="Z357" s="801" t="s">
        <v>103</v>
      </c>
      <c r="AA357" s="801" t="s">
        <v>104</v>
      </c>
      <c r="AB357" s="801" t="s">
        <v>105</v>
      </c>
      <c r="AC357" s="801" t="s">
        <v>106</v>
      </c>
      <c r="AD357" s="801" t="s">
        <v>107</v>
      </c>
      <c r="AE357" s="801" t="s">
        <v>108</v>
      </c>
      <c r="AF357" s="801" t="s">
        <v>109</v>
      </c>
      <c r="AG357" s="801" t="s">
        <v>110</v>
      </c>
      <c r="AH357" s="801" t="s">
        <v>111</v>
      </c>
      <c r="AI357" s="801" t="s">
        <v>112</v>
      </c>
      <c r="AJ357" s="801" t="s">
        <v>113</v>
      </c>
      <c r="AK357" s="801" t="s">
        <v>114</v>
      </c>
      <c r="AL357" s="801" t="s">
        <v>115</v>
      </c>
      <c r="AM357" s="801" t="s">
        <v>52</v>
      </c>
      <c r="AN357" s="801" t="s">
        <v>116</v>
      </c>
      <c r="AO357" s="801" t="s">
        <v>117</v>
      </c>
      <c r="AP357" s="801" t="s">
        <v>119</v>
      </c>
      <c r="AQ357" s="801" t="s">
        <v>120</v>
      </c>
      <c r="AR357" s="801" t="s">
        <v>121</v>
      </c>
      <c r="AS357" s="801" t="s">
        <v>122</v>
      </c>
    </row>
    <row r="358" spans="1:45" ht="11.4" customHeight="1">
      <c r="A358" s="804"/>
      <c r="F358" s="798" t="s">
        <v>800</v>
      </c>
      <c r="I358" s="798">
        <v>15</v>
      </c>
      <c r="J358" s="798">
        <v>15</v>
      </c>
      <c r="K358" s="798">
        <v>15</v>
      </c>
      <c r="L358" s="798">
        <v>15</v>
      </c>
      <c r="M358" s="798">
        <v>15</v>
      </c>
      <c r="N358" s="798">
        <v>15</v>
      </c>
      <c r="O358" s="798">
        <v>15</v>
      </c>
      <c r="P358" s="798">
        <v>15</v>
      </c>
      <c r="Q358" s="798">
        <v>15</v>
      </c>
      <c r="R358" s="798">
        <v>15</v>
      </c>
      <c r="S358" s="798">
        <v>15</v>
      </c>
      <c r="T358" s="798">
        <v>15</v>
      </c>
      <c r="U358" s="798">
        <v>15</v>
      </c>
      <c r="V358" s="798">
        <v>15</v>
      </c>
      <c r="W358" s="798">
        <v>15</v>
      </c>
      <c r="X358" s="798">
        <v>15</v>
      </c>
      <c r="Y358" s="798">
        <v>15</v>
      </c>
      <c r="Z358" s="798">
        <v>15</v>
      </c>
      <c r="AA358" s="798">
        <v>15</v>
      </c>
      <c r="AB358" s="798">
        <v>15</v>
      </c>
      <c r="AC358" s="798">
        <v>15</v>
      </c>
      <c r="AD358" s="798">
        <v>15</v>
      </c>
      <c r="AE358" s="798">
        <v>15</v>
      </c>
      <c r="AF358" s="798">
        <v>15</v>
      </c>
      <c r="AG358" s="798">
        <v>15</v>
      </c>
      <c r="AH358" s="798">
        <v>15</v>
      </c>
      <c r="AI358" s="798">
        <v>15</v>
      </c>
      <c r="AJ358" s="798">
        <v>15</v>
      </c>
      <c r="AK358" s="798">
        <v>15</v>
      </c>
      <c r="AL358" s="798">
        <v>15</v>
      </c>
      <c r="AM358" s="798">
        <v>15</v>
      </c>
      <c r="AN358" s="798">
        <v>15</v>
      </c>
      <c r="AO358" s="798">
        <v>15</v>
      </c>
      <c r="AP358" s="798">
        <v>15</v>
      </c>
      <c r="AQ358" s="798">
        <v>15</v>
      </c>
      <c r="AR358" s="798">
        <v>15</v>
      </c>
      <c r="AS358" s="798">
        <v>15</v>
      </c>
    </row>
    <row r="359" spans="1:45" ht="11.4" customHeight="1">
      <c r="A359" s="805"/>
    </row>
    <row r="361" spans="1:45" ht="11.4" customHeight="1">
      <c r="H361" s="799" t="s">
        <v>739</v>
      </c>
    </row>
    <row r="362" spans="1:45" ht="11.4" customHeight="1" thickBot="1">
      <c r="F362" s="800" t="s">
        <v>545</v>
      </c>
      <c r="G362" s="800" t="s">
        <v>585</v>
      </c>
      <c r="H362" s="800" t="s">
        <v>592</v>
      </c>
      <c r="I362" s="801" t="s">
        <v>88</v>
      </c>
      <c r="J362" s="801" t="s">
        <v>89</v>
      </c>
      <c r="K362" s="801" t="s">
        <v>90</v>
      </c>
      <c r="L362" s="801" t="s">
        <v>91</v>
      </c>
      <c r="M362" s="801" t="s">
        <v>92</v>
      </c>
      <c r="N362" s="801" t="s">
        <v>93</v>
      </c>
      <c r="O362" s="801" t="s">
        <v>94</v>
      </c>
      <c r="P362" s="801" t="s">
        <v>95</v>
      </c>
      <c r="Q362" s="801" t="s">
        <v>96</v>
      </c>
      <c r="R362" s="801" t="s">
        <v>97</v>
      </c>
      <c r="S362" s="801" t="s">
        <v>98</v>
      </c>
      <c r="T362" s="801" t="s">
        <v>99</v>
      </c>
      <c r="U362" s="801" t="s">
        <v>205</v>
      </c>
      <c r="V362" s="801" t="s">
        <v>118</v>
      </c>
      <c r="W362" s="801" t="s">
        <v>100</v>
      </c>
      <c r="X362" s="801" t="s">
        <v>101</v>
      </c>
      <c r="Y362" s="801" t="s">
        <v>102</v>
      </c>
      <c r="Z362" s="801" t="s">
        <v>103</v>
      </c>
      <c r="AA362" s="801" t="s">
        <v>104</v>
      </c>
      <c r="AB362" s="801" t="s">
        <v>105</v>
      </c>
      <c r="AC362" s="801" t="s">
        <v>106</v>
      </c>
      <c r="AD362" s="801" t="s">
        <v>107</v>
      </c>
      <c r="AE362" s="801" t="s">
        <v>108</v>
      </c>
      <c r="AF362" s="801" t="s">
        <v>109</v>
      </c>
      <c r="AG362" s="801" t="s">
        <v>110</v>
      </c>
      <c r="AH362" s="801" t="s">
        <v>111</v>
      </c>
      <c r="AI362" s="801" t="s">
        <v>112</v>
      </c>
      <c r="AJ362" s="801" t="s">
        <v>113</v>
      </c>
      <c r="AK362" s="801" t="s">
        <v>114</v>
      </c>
      <c r="AL362" s="801" t="s">
        <v>115</v>
      </c>
      <c r="AM362" s="801" t="s">
        <v>52</v>
      </c>
      <c r="AN362" s="801" t="s">
        <v>116</v>
      </c>
      <c r="AO362" s="801" t="s">
        <v>117</v>
      </c>
      <c r="AP362" s="801" t="s">
        <v>119</v>
      </c>
      <c r="AQ362" s="801" t="s">
        <v>120</v>
      </c>
      <c r="AR362" s="801" t="s">
        <v>121</v>
      </c>
      <c r="AS362" s="801" t="s">
        <v>122</v>
      </c>
    </row>
    <row r="363" spans="1:45" ht="11.4" customHeight="1">
      <c r="F363" s="798" t="s">
        <v>800</v>
      </c>
      <c r="I363" s="798">
        <v>31.536000000000001</v>
      </c>
      <c r="J363" s="798">
        <v>31.536000000000001</v>
      </c>
      <c r="K363" s="798">
        <v>31.536000000000001</v>
      </c>
      <c r="L363" s="798">
        <v>31.536000000000001</v>
      </c>
      <c r="M363" s="798">
        <v>31.536000000000001</v>
      </c>
      <c r="N363" s="798">
        <v>31.536000000000001</v>
      </c>
      <c r="O363" s="798">
        <v>31.536000000000001</v>
      </c>
      <c r="P363" s="798">
        <v>31.536000000000001</v>
      </c>
      <c r="Q363" s="798">
        <v>31.536000000000001</v>
      </c>
      <c r="R363" s="798">
        <v>31.536000000000001</v>
      </c>
      <c r="S363" s="798">
        <v>31.536000000000001</v>
      </c>
      <c r="T363" s="798">
        <v>31.536000000000001</v>
      </c>
      <c r="U363" s="798">
        <v>31.536000000000001</v>
      </c>
      <c r="V363" s="798">
        <v>31.536000000000001</v>
      </c>
      <c r="W363" s="798">
        <v>31.536000000000001</v>
      </c>
      <c r="X363" s="798">
        <v>31.536000000000001</v>
      </c>
      <c r="Y363" s="798">
        <v>31.536000000000001</v>
      </c>
      <c r="Z363" s="798">
        <v>31.536000000000001</v>
      </c>
      <c r="AA363" s="798">
        <v>31.536000000000001</v>
      </c>
      <c r="AB363" s="798">
        <v>31.536000000000001</v>
      </c>
      <c r="AC363" s="798">
        <v>31.536000000000001</v>
      </c>
      <c r="AD363" s="798">
        <v>31.536000000000001</v>
      </c>
      <c r="AE363" s="798">
        <v>31.536000000000001</v>
      </c>
      <c r="AF363" s="798">
        <v>31.536000000000001</v>
      </c>
      <c r="AG363" s="798">
        <v>31.536000000000001</v>
      </c>
      <c r="AH363" s="798">
        <v>31.536000000000001</v>
      </c>
      <c r="AI363" s="798">
        <v>31.536000000000001</v>
      </c>
      <c r="AJ363" s="798">
        <v>31.536000000000001</v>
      </c>
      <c r="AK363" s="798">
        <v>31.536000000000001</v>
      </c>
      <c r="AL363" s="798">
        <v>31.536000000000001</v>
      </c>
      <c r="AM363" s="798">
        <v>31.536000000000001</v>
      </c>
      <c r="AN363" s="798">
        <v>31.536000000000001</v>
      </c>
      <c r="AO363" s="798">
        <v>31.536000000000001</v>
      </c>
      <c r="AP363" s="798">
        <v>31.536000000000001</v>
      </c>
      <c r="AQ363" s="798">
        <v>31.536000000000001</v>
      </c>
      <c r="AR363" s="798">
        <v>31.536000000000001</v>
      </c>
      <c r="AS363" s="798">
        <v>31.536000000000001</v>
      </c>
    </row>
    <row r="366" spans="1:45" ht="11.4" customHeight="1">
      <c r="D366" s="812" t="s">
        <v>740</v>
      </c>
      <c r="H366" s="799" t="s">
        <v>741</v>
      </c>
    </row>
    <row r="367" spans="1:45" ht="11.4" customHeight="1" thickBot="1">
      <c r="F367" s="800" t="s">
        <v>545</v>
      </c>
      <c r="G367" s="800" t="s">
        <v>585</v>
      </c>
      <c r="H367" s="800" t="s">
        <v>592</v>
      </c>
      <c r="I367" s="801" t="s">
        <v>88</v>
      </c>
      <c r="J367" s="801" t="s">
        <v>89</v>
      </c>
      <c r="K367" s="801" t="s">
        <v>90</v>
      </c>
      <c r="L367" s="801" t="s">
        <v>91</v>
      </c>
      <c r="M367" s="801" t="s">
        <v>92</v>
      </c>
      <c r="N367" s="801" t="s">
        <v>93</v>
      </c>
      <c r="O367" s="801" t="s">
        <v>94</v>
      </c>
      <c r="P367" s="801" t="s">
        <v>95</v>
      </c>
      <c r="Q367" s="801" t="s">
        <v>96</v>
      </c>
      <c r="R367" s="801" t="s">
        <v>97</v>
      </c>
      <c r="S367" s="801" t="s">
        <v>98</v>
      </c>
      <c r="T367" s="801" t="s">
        <v>99</v>
      </c>
      <c r="U367" s="801" t="s">
        <v>205</v>
      </c>
      <c r="V367" s="801" t="s">
        <v>118</v>
      </c>
      <c r="W367" s="801" t="s">
        <v>100</v>
      </c>
      <c r="X367" s="801" t="s">
        <v>101</v>
      </c>
      <c r="Y367" s="801" t="s">
        <v>102</v>
      </c>
      <c r="Z367" s="801" t="s">
        <v>103</v>
      </c>
      <c r="AA367" s="801" t="s">
        <v>104</v>
      </c>
      <c r="AB367" s="801" t="s">
        <v>105</v>
      </c>
      <c r="AC367" s="801" t="s">
        <v>106</v>
      </c>
      <c r="AD367" s="801" t="s">
        <v>107</v>
      </c>
      <c r="AE367" s="801" t="s">
        <v>108</v>
      </c>
      <c r="AF367" s="801" t="s">
        <v>109</v>
      </c>
      <c r="AG367" s="801" t="s">
        <v>110</v>
      </c>
      <c r="AH367" s="801" t="s">
        <v>111</v>
      </c>
      <c r="AI367" s="801" t="s">
        <v>112</v>
      </c>
      <c r="AJ367" s="801" t="s">
        <v>113</v>
      </c>
      <c r="AK367" s="801" t="s">
        <v>114</v>
      </c>
      <c r="AL367" s="801" t="s">
        <v>115</v>
      </c>
      <c r="AM367" s="801" t="s">
        <v>52</v>
      </c>
      <c r="AN367" s="801" t="s">
        <v>116</v>
      </c>
      <c r="AO367" s="801" t="s">
        <v>117</v>
      </c>
      <c r="AP367" s="801" t="s">
        <v>119</v>
      </c>
      <c r="AQ367" s="801" t="s">
        <v>120</v>
      </c>
      <c r="AR367" s="801" t="s">
        <v>121</v>
      </c>
      <c r="AS367" s="801" t="s">
        <v>122</v>
      </c>
    </row>
    <row r="368" spans="1:45" ht="11.4" customHeight="1">
      <c r="F368" s="798" t="s">
        <v>800</v>
      </c>
      <c r="H368" s="798" t="s">
        <v>799</v>
      </c>
      <c r="I368" s="798">
        <v>0.98</v>
      </c>
      <c r="J368" s="798">
        <v>0.98</v>
      </c>
      <c r="K368" s="798">
        <v>0.98</v>
      </c>
      <c r="L368" s="798">
        <v>0.98</v>
      </c>
      <c r="M368" s="798">
        <v>0.98</v>
      </c>
      <c r="N368" s="798">
        <v>0.98</v>
      </c>
      <c r="O368" s="798">
        <v>0.98</v>
      </c>
      <c r="P368" s="798">
        <v>0.98</v>
      </c>
      <c r="Q368" s="798">
        <v>0.98</v>
      </c>
      <c r="R368" s="798">
        <v>0.98</v>
      </c>
      <c r="S368" s="798">
        <v>0.98</v>
      </c>
      <c r="T368" s="798">
        <v>0.98</v>
      </c>
      <c r="U368" s="798">
        <v>0.98</v>
      </c>
      <c r="V368" s="798">
        <v>0.98</v>
      </c>
      <c r="W368" s="798">
        <v>0.98</v>
      </c>
      <c r="X368" s="798">
        <v>0.98</v>
      </c>
      <c r="Y368" s="798">
        <v>0.98</v>
      </c>
      <c r="Z368" s="798">
        <v>0.98</v>
      </c>
      <c r="AA368" s="798">
        <v>0.98</v>
      </c>
      <c r="AB368" s="798">
        <v>0.98</v>
      </c>
      <c r="AC368" s="798">
        <v>0.98</v>
      </c>
      <c r="AD368" s="798">
        <v>0.98</v>
      </c>
      <c r="AE368" s="798">
        <v>0.98</v>
      </c>
      <c r="AF368" s="798">
        <v>0.98</v>
      </c>
      <c r="AG368" s="798">
        <v>0.98</v>
      </c>
      <c r="AH368" s="798">
        <v>0.98</v>
      </c>
      <c r="AI368" s="798">
        <v>0.98</v>
      </c>
      <c r="AJ368" s="798">
        <v>0.98</v>
      </c>
      <c r="AK368" s="798">
        <v>0.98</v>
      </c>
      <c r="AL368" s="798">
        <v>0.98</v>
      </c>
      <c r="AM368" s="798">
        <v>0.98</v>
      </c>
      <c r="AN368" s="798">
        <v>0.98</v>
      </c>
      <c r="AO368" s="798">
        <v>0.98</v>
      </c>
      <c r="AP368" s="798">
        <v>0.98</v>
      </c>
      <c r="AQ368" s="798">
        <v>0.98</v>
      </c>
      <c r="AR368" s="798">
        <v>0.98</v>
      </c>
      <c r="AS368" s="798">
        <v>0.98</v>
      </c>
    </row>
    <row r="371" spans="6:45" ht="11.4" customHeight="1">
      <c r="H371" s="799" t="s">
        <v>742</v>
      </c>
    </row>
    <row r="372" spans="6:45" ht="11.4" customHeight="1" thickBot="1">
      <c r="F372" s="800" t="s">
        <v>545</v>
      </c>
      <c r="G372" s="800" t="s">
        <v>585</v>
      </c>
      <c r="H372" s="800" t="s">
        <v>592</v>
      </c>
      <c r="I372" s="801" t="s">
        <v>88</v>
      </c>
      <c r="J372" s="801" t="s">
        <v>89</v>
      </c>
      <c r="K372" s="801" t="s">
        <v>90</v>
      </c>
      <c r="L372" s="801" t="s">
        <v>91</v>
      </c>
      <c r="M372" s="801" t="s">
        <v>92</v>
      </c>
      <c r="N372" s="801" t="s">
        <v>93</v>
      </c>
      <c r="O372" s="801" t="s">
        <v>94</v>
      </c>
      <c r="P372" s="801" t="s">
        <v>95</v>
      </c>
      <c r="Q372" s="801" t="s">
        <v>96</v>
      </c>
      <c r="R372" s="801" t="s">
        <v>97</v>
      </c>
      <c r="S372" s="801" t="s">
        <v>98</v>
      </c>
      <c r="T372" s="801" t="s">
        <v>99</v>
      </c>
      <c r="U372" s="801" t="s">
        <v>205</v>
      </c>
      <c r="V372" s="801" t="s">
        <v>118</v>
      </c>
      <c r="W372" s="801" t="s">
        <v>100</v>
      </c>
      <c r="X372" s="801" t="s">
        <v>101</v>
      </c>
      <c r="Y372" s="801" t="s">
        <v>102</v>
      </c>
      <c r="Z372" s="801" t="s">
        <v>103</v>
      </c>
      <c r="AA372" s="801" t="s">
        <v>104</v>
      </c>
      <c r="AB372" s="801" t="s">
        <v>105</v>
      </c>
      <c r="AC372" s="801" t="s">
        <v>106</v>
      </c>
      <c r="AD372" s="801" t="s">
        <v>107</v>
      </c>
      <c r="AE372" s="801" t="s">
        <v>108</v>
      </c>
      <c r="AF372" s="801" t="s">
        <v>109</v>
      </c>
      <c r="AG372" s="801" t="s">
        <v>110</v>
      </c>
      <c r="AH372" s="801" t="s">
        <v>111</v>
      </c>
      <c r="AI372" s="801" t="s">
        <v>112</v>
      </c>
      <c r="AJ372" s="801" t="s">
        <v>113</v>
      </c>
      <c r="AK372" s="801" t="s">
        <v>114</v>
      </c>
      <c r="AL372" s="801" t="s">
        <v>115</v>
      </c>
      <c r="AM372" s="801" t="s">
        <v>52</v>
      </c>
      <c r="AN372" s="801" t="s">
        <v>116</v>
      </c>
      <c r="AO372" s="801" t="s">
        <v>117</v>
      </c>
      <c r="AP372" s="801" t="s">
        <v>119</v>
      </c>
      <c r="AQ372" s="801" t="s">
        <v>120</v>
      </c>
      <c r="AR372" s="801" t="s">
        <v>121</v>
      </c>
      <c r="AS372" s="801" t="s">
        <v>122</v>
      </c>
    </row>
    <row r="373" spans="6:45" ht="11.4" customHeight="1">
      <c r="F373" s="798" t="s">
        <v>800</v>
      </c>
      <c r="I373" s="798">
        <v>0.95</v>
      </c>
      <c r="J373" s="798">
        <v>0.95</v>
      </c>
      <c r="K373" s="798">
        <v>0.95</v>
      </c>
      <c r="L373" s="798">
        <v>0.95</v>
      </c>
      <c r="M373" s="798">
        <v>0.95</v>
      </c>
      <c r="N373" s="798">
        <v>0.95</v>
      </c>
      <c r="O373" s="798">
        <v>0.95</v>
      </c>
      <c r="P373" s="798">
        <v>0.95</v>
      </c>
      <c r="Q373" s="798">
        <v>0.95</v>
      </c>
      <c r="R373" s="798">
        <v>0.95</v>
      </c>
      <c r="S373" s="798">
        <v>0.95</v>
      </c>
      <c r="T373" s="798">
        <v>0.95</v>
      </c>
      <c r="U373" s="798">
        <v>0.95</v>
      </c>
      <c r="V373" s="798">
        <v>0.95</v>
      </c>
      <c r="W373" s="798">
        <v>0.95</v>
      </c>
      <c r="X373" s="798">
        <v>0.95</v>
      </c>
      <c r="Y373" s="798">
        <v>0.95</v>
      </c>
      <c r="Z373" s="798">
        <v>0.95</v>
      </c>
      <c r="AA373" s="798">
        <v>0.95</v>
      </c>
      <c r="AB373" s="798">
        <v>0.95</v>
      </c>
      <c r="AC373" s="798">
        <v>0.95</v>
      </c>
      <c r="AD373" s="798">
        <v>0.95</v>
      </c>
      <c r="AE373" s="798">
        <v>0.95</v>
      </c>
      <c r="AF373" s="798">
        <v>0.95</v>
      </c>
      <c r="AG373" s="798">
        <v>0.95</v>
      </c>
      <c r="AH373" s="798">
        <v>0.95</v>
      </c>
      <c r="AI373" s="798">
        <v>0.95</v>
      </c>
      <c r="AJ373" s="798">
        <v>0.95</v>
      </c>
      <c r="AK373" s="798">
        <v>0.95</v>
      </c>
      <c r="AL373" s="798">
        <v>0.95</v>
      </c>
      <c r="AM373" s="798">
        <v>0.95</v>
      </c>
      <c r="AN373" s="798">
        <v>0.95</v>
      </c>
      <c r="AO373" s="798">
        <v>0.95</v>
      </c>
      <c r="AP373" s="798">
        <v>0.95</v>
      </c>
      <c r="AQ373" s="798">
        <v>0.95</v>
      </c>
      <c r="AR373" s="798">
        <v>0.95</v>
      </c>
      <c r="AS373" s="798">
        <v>0.95</v>
      </c>
    </row>
    <row r="376" spans="6:45" ht="11.4" customHeight="1">
      <c r="H376" s="799" t="s">
        <v>743</v>
      </c>
    </row>
    <row r="377" spans="6:45" ht="11.4" customHeight="1" thickBot="1">
      <c r="F377" s="800" t="s">
        <v>545</v>
      </c>
      <c r="G377" s="800" t="s">
        <v>585</v>
      </c>
      <c r="H377" s="800" t="s">
        <v>592</v>
      </c>
      <c r="I377" s="801" t="s">
        <v>88</v>
      </c>
      <c r="J377" s="801" t="s">
        <v>89</v>
      </c>
      <c r="K377" s="801" t="s">
        <v>90</v>
      </c>
      <c r="L377" s="801" t="s">
        <v>91</v>
      </c>
      <c r="M377" s="801" t="s">
        <v>92</v>
      </c>
      <c r="N377" s="801" t="s">
        <v>93</v>
      </c>
      <c r="O377" s="801" t="s">
        <v>94</v>
      </c>
      <c r="P377" s="801" t="s">
        <v>95</v>
      </c>
      <c r="Q377" s="801" t="s">
        <v>96</v>
      </c>
      <c r="R377" s="801" t="s">
        <v>97</v>
      </c>
      <c r="S377" s="801" t="s">
        <v>98</v>
      </c>
      <c r="T377" s="801" t="s">
        <v>99</v>
      </c>
      <c r="U377" s="801" t="s">
        <v>205</v>
      </c>
      <c r="V377" s="801" t="s">
        <v>118</v>
      </c>
      <c r="W377" s="801" t="s">
        <v>100</v>
      </c>
      <c r="X377" s="801" t="s">
        <v>101</v>
      </c>
      <c r="Y377" s="801" t="s">
        <v>102</v>
      </c>
      <c r="Z377" s="801" t="s">
        <v>103</v>
      </c>
      <c r="AA377" s="801" t="s">
        <v>104</v>
      </c>
      <c r="AB377" s="801" t="s">
        <v>105</v>
      </c>
      <c r="AC377" s="801" t="s">
        <v>106</v>
      </c>
      <c r="AD377" s="801" t="s">
        <v>107</v>
      </c>
      <c r="AE377" s="801" t="s">
        <v>108</v>
      </c>
      <c r="AF377" s="801" t="s">
        <v>109</v>
      </c>
      <c r="AG377" s="801" t="s">
        <v>110</v>
      </c>
      <c r="AH377" s="801" t="s">
        <v>111</v>
      </c>
      <c r="AI377" s="801" t="s">
        <v>112</v>
      </c>
      <c r="AJ377" s="801" t="s">
        <v>113</v>
      </c>
      <c r="AK377" s="801" t="s">
        <v>114</v>
      </c>
      <c r="AL377" s="801" t="s">
        <v>115</v>
      </c>
      <c r="AM377" s="801" t="s">
        <v>52</v>
      </c>
      <c r="AN377" s="801" t="s">
        <v>116</v>
      </c>
      <c r="AO377" s="801" t="s">
        <v>117</v>
      </c>
      <c r="AP377" s="801" t="s">
        <v>119</v>
      </c>
      <c r="AQ377" s="801" t="s">
        <v>120</v>
      </c>
      <c r="AR377" s="801" t="s">
        <v>121</v>
      </c>
      <c r="AS377" s="801" t="s">
        <v>122</v>
      </c>
    </row>
    <row r="378" spans="6:45" ht="11.4" customHeight="1">
      <c r="F378" s="798" t="s">
        <v>800</v>
      </c>
      <c r="G378" s="798" t="s">
        <v>731</v>
      </c>
      <c r="I378" s="798">
        <v>4.25</v>
      </c>
      <c r="J378" s="798">
        <v>4.25</v>
      </c>
      <c r="K378" s="798">
        <v>4.25</v>
      </c>
      <c r="L378" s="798">
        <v>4.25</v>
      </c>
      <c r="M378" s="798">
        <v>4.25</v>
      </c>
      <c r="N378" s="798">
        <v>4.25</v>
      </c>
      <c r="O378" s="798">
        <v>4.25</v>
      </c>
      <c r="P378" s="798">
        <v>4.25</v>
      </c>
      <c r="Q378" s="798">
        <v>4.25</v>
      </c>
      <c r="R378" s="798">
        <v>4.25</v>
      </c>
      <c r="S378" s="798">
        <v>4.25</v>
      </c>
      <c r="T378" s="798">
        <v>4.25</v>
      </c>
      <c r="U378" s="798">
        <v>4.25</v>
      </c>
      <c r="V378" s="798">
        <v>4.25</v>
      </c>
      <c r="W378" s="798">
        <v>4.25</v>
      </c>
      <c r="X378" s="798">
        <v>4.25</v>
      </c>
      <c r="Y378" s="798">
        <v>4.25</v>
      </c>
      <c r="Z378" s="798">
        <v>4.25</v>
      </c>
      <c r="AA378" s="798">
        <v>4.25</v>
      </c>
      <c r="AB378" s="798">
        <v>4.25</v>
      </c>
      <c r="AC378" s="798">
        <v>4.25</v>
      </c>
      <c r="AD378" s="798">
        <v>4.25</v>
      </c>
      <c r="AE378" s="798">
        <v>4.25</v>
      </c>
      <c r="AF378" s="798">
        <v>4.25</v>
      </c>
      <c r="AG378" s="798">
        <v>4.25</v>
      </c>
      <c r="AH378" s="798">
        <v>4.25</v>
      </c>
      <c r="AI378" s="798">
        <v>4.25</v>
      </c>
      <c r="AJ378" s="798">
        <v>4.25</v>
      </c>
      <c r="AK378" s="798">
        <v>4.25</v>
      </c>
      <c r="AL378" s="798">
        <v>4.25</v>
      </c>
      <c r="AM378" s="798">
        <v>4.25</v>
      </c>
      <c r="AN378" s="798">
        <v>4.25</v>
      </c>
      <c r="AO378" s="798">
        <v>4.25</v>
      </c>
      <c r="AP378" s="798">
        <v>4.25</v>
      </c>
      <c r="AQ378" s="798">
        <v>4.25</v>
      </c>
      <c r="AR378" s="798">
        <v>4.25</v>
      </c>
      <c r="AS378" s="798">
        <v>4.25</v>
      </c>
    </row>
    <row r="379" spans="6:45" ht="11.4" customHeight="1">
      <c r="G379" s="798" t="s">
        <v>744</v>
      </c>
      <c r="I379" s="798">
        <v>1</v>
      </c>
      <c r="J379" s="798">
        <v>1</v>
      </c>
      <c r="K379" s="798">
        <v>1</v>
      </c>
      <c r="L379" s="798">
        <v>1</v>
      </c>
      <c r="M379" s="798">
        <v>1</v>
      </c>
      <c r="N379" s="798">
        <v>1</v>
      </c>
      <c r="O379" s="798">
        <v>1</v>
      </c>
      <c r="P379" s="798">
        <v>1</v>
      </c>
      <c r="Q379" s="798">
        <v>1</v>
      </c>
      <c r="R379" s="798">
        <v>1</v>
      </c>
      <c r="S379" s="798">
        <v>1</v>
      </c>
      <c r="T379" s="798">
        <v>1</v>
      </c>
      <c r="U379" s="798">
        <v>1</v>
      </c>
      <c r="V379" s="798">
        <v>1</v>
      </c>
      <c r="W379" s="798">
        <v>1</v>
      </c>
      <c r="X379" s="798">
        <v>1</v>
      </c>
      <c r="Y379" s="798">
        <v>1</v>
      </c>
      <c r="Z379" s="798">
        <v>1</v>
      </c>
      <c r="AA379" s="798">
        <v>1</v>
      </c>
      <c r="AB379" s="798">
        <v>1</v>
      </c>
      <c r="AC379" s="798">
        <v>1</v>
      </c>
      <c r="AD379" s="798">
        <v>1</v>
      </c>
      <c r="AE379" s="798">
        <v>1</v>
      </c>
      <c r="AF379" s="798">
        <v>1</v>
      </c>
      <c r="AG379" s="798">
        <v>1</v>
      </c>
      <c r="AH379" s="798">
        <v>1</v>
      </c>
      <c r="AI379" s="798">
        <v>1</v>
      </c>
      <c r="AJ379" s="798">
        <v>1</v>
      </c>
      <c r="AK379" s="798">
        <v>1</v>
      </c>
      <c r="AL379" s="798">
        <v>1</v>
      </c>
      <c r="AM379" s="798">
        <v>1</v>
      </c>
      <c r="AN379" s="798">
        <v>1</v>
      </c>
      <c r="AO379" s="798">
        <v>1</v>
      </c>
      <c r="AP379" s="798">
        <v>1</v>
      </c>
      <c r="AQ379" s="798">
        <v>1</v>
      </c>
      <c r="AR379" s="798">
        <v>1</v>
      </c>
      <c r="AS379" s="798">
        <v>1</v>
      </c>
    </row>
    <row r="383" spans="6:45" ht="11.4" customHeight="1">
      <c r="H383" s="799" t="s">
        <v>729</v>
      </c>
    </row>
    <row r="384" spans="6:45" ht="11.4" customHeight="1" thickBot="1">
      <c r="F384" s="800" t="s">
        <v>545</v>
      </c>
      <c r="G384" s="800" t="s">
        <v>585</v>
      </c>
      <c r="H384" s="800" t="s">
        <v>592</v>
      </c>
      <c r="I384" s="801" t="s">
        <v>88</v>
      </c>
      <c r="J384" s="801" t="s">
        <v>89</v>
      </c>
      <c r="K384" s="801" t="s">
        <v>90</v>
      </c>
      <c r="L384" s="801" t="s">
        <v>91</v>
      </c>
      <c r="M384" s="801" t="s">
        <v>92</v>
      </c>
      <c r="N384" s="801" t="s">
        <v>93</v>
      </c>
      <c r="O384" s="801" t="s">
        <v>94</v>
      </c>
      <c r="P384" s="801" t="s">
        <v>95</v>
      </c>
      <c r="Q384" s="801" t="s">
        <v>96</v>
      </c>
      <c r="R384" s="801" t="s">
        <v>97</v>
      </c>
      <c r="S384" s="801" t="s">
        <v>98</v>
      </c>
      <c r="T384" s="801" t="s">
        <v>99</v>
      </c>
      <c r="U384" s="801" t="s">
        <v>205</v>
      </c>
      <c r="V384" s="801" t="s">
        <v>118</v>
      </c>
      <c r="W384" s="801" t="s">
        <v>100</v>
      </c>
      <c r="X384" s="801" t="s">
        <v>101</v>
      </c>
      <c r="Y384" s="801" t="s">
        <v>102</v>
      </c>
      <c r="Z384" s="801" t="s">
        <v>103</v>
      </c>
      <c r="AA384" s="801" t="s">
        <v>104</v>
      </c>
      <c r="AB384" s="801" t="s">
        <v>105</v>
      </c>
      <c r="AC384" s="801" t="s">
        <v>106</v>
      </c>
      <c r="AD384" s="801" t="s">
        <v>107</v>
      </c>
      <c r="AE384" s="801" t="s">
        <v>108</v>
      </c>
      <c r="AF384" s="801" t="s">
        <v>109</v>
      </c>
      <c r="AG384" s="801" t="s">
        <v>110</v>
      </c>
      <c r="AH384" s="801" t="s">
        <v>111</v>
      </c>
      <c r="AI384" s="801" t="s">
        <v>112</v>
      </c>
      <c r="AJ384" s="801" t="s">
        <v>113</v>
      </c>
      <c r="AK384" s="801" t="s">
        <v>114</v>
      </c>
      <c r="AL384" s="801" t="s">
        <v>115</v>
      </c>
      <c r="AM384" s="801" t="s">
        <v>52</v>
      </c>
      <c r="AN384" s="801" t="s">
        <v>116</v>
      </c>
      <c r="AO384" s="801" t="s">
        <v>117</v>
      </c>
      <c r="AP384" s="801" t="s">
        <v>119</v>
      </c>
      <c r="AQ384" s="801" t="s">
        <v>120</v>
      </c>
      <c r="AR384" s="801" t="s">
        <v>121</v>
      </c>
      <c r="AS384" s="801" t="s">
        <v>122</v>
      </c>
    </row>
    <row r="385" spans="6:45" ht="11.4" customHeight="1">
      <c r="F385" s="798" t="s">
        <v>800</v>
      </c>
      <c r="I385" s="798">
        <v>25</v>
      </c>
      <c r="J385" s="798">
        <v>25</v>
      </c>
      <c r="K385" s="798">
        <v>25</v>
      </c>
      <c r="L385" s="798">
        <v>25</v>
      </c>
      <c r="M385" s="798">
        <v>25</v>
      </c>
      <c r="N385" s="798">
        <v>25</v>
      </c>
      <c r="O385" s="798">
        <v>25</v>
      </c>
      <c r="P385" s="798">
        <v>25</v>
      </c>
      <c r="Q385" s="798">
        <v>25</v>
      </c>
      <c r="R385" s="798">
        <v>25</v>
      </c>
      <c r="S385" s="798">
        <v>25</v>
      </c>
      <c r="T385" s="798">
        <v>25</v>
      </c>
      <c r="U385" s="798">
        <v>25</v>
      </c>
      <c r="V385" s="798">
        <v>25</v>
      </c>
      <c r="W385" s="798">
        <v>25</v>
      </c>
      <c r="X385" s="798">
        <v>25</v>
      </c>
      <c r="Y385" s="798">
        <v>25</v>
      </c>
      <c r="Z385" s="798">
        <v>25</v>
      </c>
      <c r="AA385" s="798">
        <v>25</v>
      </c>
      <c r="AB385" s="798">
        <v>25</v>
      </c>
      <c r="AC385" s="798">
        <v>25</v>
      </c>
      <c r="AD385" s="798">
        <v>25</v>
      </c>
      <c r="AE385" s="798">
        <v>25</v>
      </c>
      <c r="AF385" s="798">
        <v>25</v>
      </c>
      <c r="AG385" s="798">
        <v>25</v>
      </c>
      <c r="AH385" s="798">
        <v>25</v>
      </c>
      <c r="AI385" s="798">
        <v>25</v>
      </c>
      <c r="AJ385" s="798">
        <v>25</v>
      </c>
      <c r="AK385" s="798">
        <v>25</v>
      </c>
      <c r="AL385" s="798">
        <v>25</v>
      </c>
      <c r="AM385" s="798">
        <v>25</v>
      </c>
      <c r="AN385" s="798">
        <v>25</v>
      </c>
      <c r="AO385" s="798">
        <v>25</v>
      </c>
      <c r="AP385" s="798">
        <v>25</v>
      </c>
      <c r="AQ385" s="798">
        <v>25</v>
      </c>
      <c r="AR385" s="798">
        <v>25</v>
      </c>
      <c r="AS385" s="798">
        <v>25</v>
      </c>
    </row>
    <row r="388" spans="6:45" ht="11.4" customHeight="1">
      <c r="H388" s="799" t="s">
        <v>745</v>
      </c>
    </row>
    <row r="389" spans="6:45" ht="11.4" customHeight="1" thickBot="1">
      <c r="F389" s="800" t="s">
        <v>545</v>
      </c>
      <c r="G389" s="800" t="s">
        <v>585</v>
      </c>
      <c r="H389" s="800" t="s">
        <v>592</v>
      </c>
      <c r="I389" s="801" t="s">
        <v>88</v>
      </c>
      <c r="J389" s="801" t="s">
        <v>89</v>
      </c>
      <c r="K389" s="801" t="s">
        <v>90</v>
      </c>
      <c r="L389" s="801" t="s">
        <v>91</v>
      </c>
      <c r="M389" s="801" t="s">
        <v>92</v>
      </c>
      <c r="N389" s="801" t="s">
        <v>93</v>
      </c>
      <c r="O389" s="801" t="s">
        <v>94</v>
      </c>
      <c r="P389" s="801" t="s">
        <v>95</v>
      </c>
      <c r="Q389" s="801" t="s">
        <v>96</v>
      </c>
      <c r="R389" s="801" t="s">
        <v>97</v>
      </c>
      <c r="S389" s="801" t="s">
        <v>98</v>
      </c>
      <c r="T389" s="801" t="s">
        <v>99</v>
      </c>
      <c r="U389" s="801" t="s">
        <v>205</v>
      </c>
      <c r="V389" s="801" t="s">
        <v>118</v>
      </c>
      <c r="W389" s="801" t="s">
        <v>100</v>
      </c>
      <c r="X389" s="801" t="s">
        <v>101</v>
      </c>
      <c r="Y389" s="801" t="s">
        <v>102</v>
      </c>
      <c r="Z389" s="801" t="s">
        <v>103</v>
      </c>
      <c r="AA389" s="801" t="s">
        <v>104</v>
      </c>
      <c r="AB389" s="801" t="s">
        <v>105</v>
      </c>
      <c r="AC389" s="801" t="s">
        <v>106</v>
      </c>
      <c r="AD389" s="801" t="s">
        <v>107</v>
      </c>
      <c r="AE389" s="801" t="s">
        <v>108</v>
      </c>
      <c r="AF389" s="801" t="s">
        <v>109</v>
      </c>
      <c r="AG389" s="801" t="s">
        <v>110</v>
      </c>
      <c r="AH389" s="801" t="s">
        <v>111</v>
      </c>
      <c r="AI389" s="801" t="s">
        <v>112</v>
      </c>
      <c r="AJ389" s="801" t="s">
        <v>113</v>
      </c>
      <c r="AK389" s="801" t="s">
        <v>114</v>
      </c>
      <c r="AL389" s="801" t="s">
        <v>115</v>
      </c>
      <c r="AM389" s="801" t="s">
        <v>52</v>
      </c>
      <c r="AN389" s="801" t="s">
        <v>116</v>
      </c>
      <c r="AO389" s="801" t="s">
        <v>117</v>
      </c>
      <c r="AP389" s="801" t="s">
        <v>119</v>
      </c>
      <c r="AQ389" s="801" t="s">
        <v>120</v>
      </c>
      <c r="AR389" s="801" t="s">
        <v>121</v>
      </c>
      <c r="AS389" s="801" t="s">
        <v>122</v>
      </c>
    </row>
    <row r="390" spans="6:45" ht="11.4" customHeight="1">
      <c r="F390" s="798" t="s">
        <v>800</v>
      </c>
      <c r="G390" s="798" t="s">
        <v>735</v>
      </c>
      <c r="I390" s="798">
        <v>1</v>
      </c>
      <c r="J390" s="798">
        <v>1</v>
      </c>
      <c r="K390" s="798">
        <v>1</v>
      </c>
      <c r="L390" s="798">
        <v>1</v>
      </c>
      <c r="M390" s="798">
        <v>1</v>
      </c>
      <c r="N390" s="798">
        <v>1</v>
      </c>
      <c r="O390" s="798">
        <v>1</v>
      </c>
      <c r="P390" s="798">
        <v>1</v>
      </c>
      <c r="Q390" s="798">
        <v>1</v>
      </c>
      <c r="R390" s="798">
        <v>1</v>
      </c>
      <c r="S390" s="798">
        <v>1</v>
      </c>
      <c r="T390" s="798">
        <v>1</v>
      </c>
      <c r="U390" s="798">
        <v>1</v>
      </c>
      <c r="V390" s="798">
        <v>1</v>
      </c>
      <c r="W390" s="798">
        <v>1</v>
      </c>
      <c r="X390" s="798">
        <v>1</v>
      </c>
      <c r="Y390" s="798">
        <v>1</v>
      </c>
      <c r="Z390" s="798">
        <v>1</v>
      </c>
      <c r="AA390" s="798">
        <v>1</v>
      </c>
      <c r="AB390" s="798">
        <v>1</v>
      </c>
      <c r="AC390" s="798">
        <v>1</v>
      </c>
      <c r="AD390" s="798">
        <v>1</v>
      </c>
      <c r="AE390" s="798">
        <v>1</v>
      </c>
      <c r="AF390" s="798">
        <v>1</v>
      </c>
      <c r="AG390" s="798">
        <v>1</v>
      </c>
      <c r="AH390" s="798">
        <v>1</v>
      </c>
      <c r="AI390" s="798">
        <v>1</v>
      </c>
      <c r="AJ390" s="798">
        <v>1</v>
      </c>
      <c r="AK390" s="798">
        <v>1</v>
      </c>
      <c r="AL390" s="798">
        <v>1</v>
      </c>
      <c r="AM390" s="798">
        <v>1</v>
      </c>
      <c r="AN390" s="798">
        <v>1</v>
      </c>
      <c r="AO390" s="798">
        <v>1</v>
      </c>
      <c r="AP390" s="798">
        <v>1</v>
      </c>
      <c r="AQ390" s="798">
        <v>1</v>
      </c>
      <c r="AR390" s="798">
        <v>1</v>
      </c>
      <c r="AS390" s="798">
        <v>1</v>
      </c>
    </row>
    <row r="391" spans="6:45" ht="11.4" customHeight="1">
      <c r="G391" s="798" t="s">
        <v>744</v>
      </c>
      <c r="I391" s="798">
        <v>0.8</v>
      </c>
      <c r="J391" s="798">
        <v>0.8</v>
      </c>
      <c r="K391" s="798">
        <v>0.8</v>
      </c>
      <c r="L391" s="798">
        <v>0.8</v>
      </c>
      <c r="M391" s="798">
        <v>0.8</v>
      </c>
      <c r="N391" s="798">
        <v>0.8</v>
      </c>
      <c r="O391" s="798">
        <v>0.8</v>
      </c>
      <c r="P391" s="798">
        <v>0.8</v>
      </c>
      <c r="Q391" s="798">
        <v>0.8</v>
      </c>
      <c r="R391" s="798">
        <v>0.8</v>
      </c>
      <c r="S391" s="798">
        <v>0.8</v>
      </c>
      <c r="T391" s="798">
        <v>0.8</v>
      </c>
      <c r="U391" s="798">
        <v>0.8</v>
      </c>
      <c r="V391" s="798">
        <v>0.8</v>
      </c>
      <c r="W391" s="798">
        <v>0.8</v>
      </c>
      <c r="X391" s="798">
        <v>0.8</v>
      </c>
      <c r="Y391" s="798">
        <v>0.8</v>
      </c>
      <c r="Z391" s="798">
        <v>0.8</v>
      </c>
      <c r="AA391" s="798">
        <v>0.8</v>
      </c>
      <c r="AB391" s="798">
        <v>0.8</v>
      </c>
      <c r="AC391" s="798">
        <v>0.8</v>
      </c>
      <c r="AD391" s="798">
        <v>0.8</v>
      </c>
      <c r="AE391" s="798">
        <v>0.8</v>
      </c>
      <c r="AF391" s="798">
        <v>0.8</v>
      </c>
      <c r="AG391" s="798">
        <v>0.8</v>
      </c>
      <c r="AH391" s="798">
        <v>0.8</v>
      </c>
      <c r="AI391" s="798">
        <v>0.8</v>
      </c>
      <c r="AJ391" s="798">
        <v>0.8</v>
      </c>
      <c r="AK391" s="798">
        <v>0.8</v>
      </c>
      <c r="AL391" s="798">
        <v>0.8</v>
      </c>
      <c r="AM391" s="798">
        <v>0.8</v>
      </c>
      <c r="AN391" s="798">
        <v>0.8</v>
      </c>
      <c r="AO391" s="798">
        <v>0.8</v>
      </c>
      <c r="AP391" s="798">
        <v>0.8</v>
      </c>
      <c r="AQ391" s="798">
        <v>0.8</v>
      </c>
      <c r="AR391" s="798">
        <v>0.8</v>
      </c>
      <c r="AS391" s="798">
        <v>0.8</v>
      </c>
    </row>
    <row r="392" spans="6:45" ht="11.4" customHeight="1">
      <c r="H392" s="798" t="s">
        <v>799</v>
      </c>
    </row>
    <row r="394" spans="6:45" ht="11.4" customHeight="1">
      <c r="H394" s="799" t="s">
        <v>746</v>
      </c>
    </row>
    <row r="395" spans="6:45" ht="11.4" customHeight="1" thickBot="1">
      <c r="F395" s="800" t="s">
        <v>545</v>
      </c>
      <c r="G395" s="800" t="s">
        <v>585</v>
      </c>
      <c r="H395" s="800" t="s">
        <v>592</v>
      </c>
      <c r="I395" s="801" t="s">
        <v>88</v>
      </c>
      <c r="J395" s="801" t="s">
        <v>89</v>
      </c>
      <c r="K395" s="801" t="s">
        <v>90</v>
      </c>
      <c r="L395" s="801" t="s">
        <v>91</v>
      </c>
      <c r="M395" s="801" t="s">
        <v>92</v>
      </c>
      <c r="N395" s="801" t="s">
        <v>93</v>
      </c>
      <c r="O395" s="801" t="s">
        <v>94</v>
      </c>
      <c r="P395" s="801" t="s">
        <v>95</v>
      </c>
      <c r="Q395" s="801" t="s">
        <v>96</v>
      </c>
      <c r="R395" s="801" t="s">
        <v>97</v>
      </c>
      <c r="S395" s="801" t="s">
        <v>98</v>
      </c>
      <c r="T395" s="801" t="s">
        <v>99</v>
      </c>
      <c r="U395" s="801" t="s">
        <v>205</v>
      </c>
      <c r="V395" s="801" t="s">
        <v>118</v>
      </c>
      <c r="W395" s="801" t="s">
        <v>100</v>
      </c>
      <c r="X395" s="801" t="s">
        <v>101</v>
      </c>
      <c r="Y395" s="801" t="s">
        <v>102</v>
      </c>
      <c r="Z395" s="801" t="s">
        <v>103</v>
      </c>
      <c r="AA395" s="801" t="s">
        <v>104</v>
      </c>
      <c r="AB395" s="801" t="s">
        <v>105</v>
      </c>
      <c r="AC395" s="801" t="s">
        <v>106</v>
      </c>
      <c r="AD395" s="801" t="s">
        <v>107</v>
      </c>
      <c r="AE395" s="801" t="s">
        <v>108</v>
      </c>
      <c r="AF395" s="801" t="s">
        <v>109</v>
      </c>
      <c r="AG395" s="801" t="s">
        <v>110</v>
      </c>
      <c r="AH395" s="801" t="s">
        <v>111</v>
      </c>
      <c r="AI395" s="801" t="s">
        <v>112</v>
      </c>
      <c r="AJ395" s="801" t="s">
        <v>113</v>
      </c>
      <c r="AK395" s="801" t="s">
        <v>114</v>
      </c>
      <c r="AL395" s="801" t="s">
        <v>115</v>
      </c>
      <c r="AM395" s="801" t="s">
        <v>52</v>
      </c>
      <c r="AN395" s="801" t="s">
        <v>116</v>
      </c>
      <c r="AO395" s="801" t="s">
        <v>117</v>
      </c>
      <c r="AP395" s="801" t="s">
        <v>119</v>
      </c>
      <c r="AQ395" s="801" t="s">
        <v>120</v>
      </c>
      <c r="AR395" s="801" t="s">
        <v>121</v>
      </c>
      <c r="AS395" s="801" t="s">
        <v>122</v>
      </c>
    </row>
    <row r="396" spans="6:45" ht="11.4" customHeight="1">
      <c r="F396" s="798" t="s">
        <v>800</v>
      </c>
      <c r="G396" s="798" t="s">
        <v>735</v>
      </c>
      <c r="I396" s="798">
        <v>1</v>
      </c>
      <c r="J396" s="798">
        <v>1</v>
      </c>
      <c r="K396" s="798">
        <v>1</v>
      </c>
      <c r="L396" s="798">
        <v>1</v>
      </c>
      <c r="M396" s="798">
        <v>1</v>
      </c>
      <c r="N396" s="798">
        <v>1</v>
      </c>
      <c r="O396" s="798">
        <v>1</v>
      </c>
      <c r="P396" s="798">
        <v>1</v>
      </c>
      <c r="Q396" s="798">
        <v>1</v>
      </c>
      <c r="R396" s="798">
        <v>1</v>
      </c>
      <c r="S396" s="798">
        <v>1</v>
      </c>
      <c r="T396" s="798">
        <v>1</v>
      </c>
      <c r="U396" s="798">
        <v>1</v>
      </c>
      <c r="V396" s="798">
        <v>1</v>
      </c>
      <c r="W396" s="798">
        <v>1</v>
      </c>
      <c r="X396" s="798">
        <v>1</v>
      </c>
      <c r="Y396" s="798">
        <v>1</v>
      </c>
      <c r="Z396" s="798">
        <v>1</v>
      </c>
      <c r="AA396" s="798">
        <v>1</v>
      </c>
      <c r="AB396" s="798">
        <v>1</v>
      </c>
      <c r="AC396" s="798">
        <v>1</v>
      </c>
      <c r="AD396" s="798">
        <v>1</v>
      </c>
      <c r="AE396" s="798">
        <v>1</v>
      </c>
      <c r="AF396" s="798">
        <v>1</v>
      </c>
      <c r="AG396" s="798">
        <v>1</v>
      </c>
      <c r="AH396" s="798">
        <v>1</v>
      </c>
      <c r="AI396" s="798">
        <v>1</v>
      </c>
      <c r="AJ396" s="798">
        <v>1</v>
      </c>
      <c r="AK396" s="798">
        <v>1</v>
      </c>
      <c r="AL396" s="798">
        <v>1</v>
      </c>
      <c r="AM396" s="798">
        <v>1</v>
      </c>
      <c r="AN396" s="798">
        <v>1</v>
      </c>
      <c r="AO396" s="798">
        <v>1</v>
      </c>
      <c r="AP396" s="798">
        <v>1</v>
      </c>
      <c r="AQ396" s="798">
        <v>1</v>
      </c>
      <c r="AR396" s="798">
        <v>1</v>
      </c>
      <c r="AS396" s="798">
        <v>1</v>
      </c>
    </row>
    <row r="397" spans="6:45" ht="11.4" customHeight="1">
      <c r="G397" s="798" t="s">
        <v>744</v>
      </c>
      <c r="I397" s="798">
        <v>0.5</v>
      </c>
      <c r="J397" s="798">
        <v>0.5</v>
      </c>
      <c r="K397" s="798">
        <v>0.5</v>
      </c>
      <c r="L397" s="798">
        <v>0.5</v>
      </c>
      <c r="M397" s="798">
        <v>0.5</v>
      </c>
      <c r="N397" s="798">
        <v>0.5</v>
      </c>
      <c r="O397" s="798">
        <v>0.5</v>
      </c>
      <c r="P397" s="798">
        <v>0.5</v>
      </c>
      <c r="Q397" s="798">
        <v>0.5</v>
      </c>
      <c r="R397" s="798">
        <v>0.5</v>
      </c>
      <c r="S397" s="798">
        <v>0.5</v>
      </c>
      <c r="T397" s="798">
        <v>0.5</v>
      </c>
      <c r="U397" s="798">
        <v>0.5</v>
      </c>
      <c r="V397" s="798">
        <v>0.5</v>
      </c>
      <c r="W397" s="798">
        <v>0.5</v>
      </c>
      <c r="X397" s="798">
        <v>0.5</v>
      </c>
      <c r="Y397" s="798">
        <v>0.5</v>
      </c>
      <c r="Z397" s="798">
        <v>0.5</v>
      </c>
      <c r="AA397" s="798">
        <v>0.5</v>
      </c>
      <c r="AB397" s="798">
        <v>0.5</v>
      </c>
      <c r="AC397" s="798">
        <v>0.5</v>
      </c>
      <c r="AD397" s="798">
        <v>0.5</v>
      </c>
      <c r="AE397" s="798">
        <v>0.5</v>
      </c>
      <c r="AF397" s="798">
        <v>0.5</v>
      </c>
      <c r="AG397" s="798">
        <v>0.5</v>
      </c>
      <c r="AH397" s="798">
        <v>0.5</v>
      </c>
      <c r="AI397" s="798">
        <v>0.5</v>
      </c>
      <c r="AJ397" s="798">
        <v>0.5</v>
      </c>
      <c r="AK397" s="798">
        <v>0.5</v>
      </c>
      <c r="AL397" s="798">
        <v>0.5</v>
      </c>
      <c r="AM397" s="798">
        <v>0.5</v>
      </c>
      <c r="AN397" s="798">
        <v>0.5</v>
      </c>
      <c r="AO397" s="798">
        <v>0.5</v>
      </c>
      <c r="AP397" s="798">
        <v>0.5</v>
      </c>
      <c r="AQ397" s="798">
        <v>0.5</v>
      </c>
      <c r="AR397" s="798">
        <v>0.5</v>
      </c>
      <c r="AS397" s="798">
        <v>0.5</v>
      </c>
    </row>
    <row r="398" spans="6:45" ht="11.4" customHeight="1">
      <c r="H398" s="798" t="s">
        <v>799</v>
      </c>
    </row>
    <row r="400" spans="6:45" ht="11.4" customHeight="1">
      <c r="H400" s="799" t="s">
        <v>747</v>
      </c>
    </row>
    <row r="401" spans="6:45" ht="11.4" customHeight="1" thickBot="1">
      <c r="F401" s="800" t="s">
        <v>545</v>
      </c>
      <c r="G401" s="800" t="s">
        <v>585</v>
      </c>
      <c r="H401" s="800" t="s">
        <v>592</v>
      </c>
      <c r="I401" s="801" t="s">
        <v>88</v>
      </c>
      <c r="J401" s="801" t="s">
        <v>89</v>
      </c>
      <c r="K401" s="801" t="s">
        <v>90</v>
      </c>
      <c r="L401" s="801" t="s">
        <v>91</v>
      </c>
      <c r="M401" s="801" t="s">
        <v>92</v>
      </c>
      <c r="N401" s="801" t="s">
        <v>93</v>
      </c>
      <c r="O401" s="801" t="s">
        <v>94</v>
      </c>
      <c r="P401" s="801" t="s">
        <v>95</v>
      </c>
      <c r="Q401" s="801" t="s">
        <v>96</v>
      </c>
      <c r="R401" s="801" t="s">
        <v>97</v>
      </c>
      <c r="S401" s="801" t="s">
        <v>98</v>
      </c>
      <c r="T401" s="801" t="s">
        <v>99</v>
      </c>
      <c r="U401" s="801" t="s">
        <v>205</v>
      </c>
      <c r="V401" s="801" t="s">
        <v>118</v>
      </c>
      <c r="W401" s="801" t="s">
        <v>100</v>
      </c>
      <c r="X401" s="801" t="s">
        <v>101</v>
      </c>
      <c r="Y401" s="801" t="s">
        <v>102</v>
      </c>
      <c r="Z401" s="801" t="s">
        <v>103</v>
      </c>
      <c r="AA401" s="801" t="s">
        <v>104</v>
      </c>
      <c r="AB401" s="801" t="s">
        <v>105</v>
      </c>
      <c r="AC401" s="801" t="s">
        <v>106</v>
      </c>
      <c r="AD401" s="801" t="s">
        <v>107</v>
      </c>
      <c r="AE401" s="801" t="s">
        <v>108</v>
      </c>
      <c r="AF401" s="801" t="s">
        <v>109</v>
      </c>
      <c r="AG401" s="801" t="s">
        <v>110</v>
      </c>
      <c r="AH401" s="801" t="s">
        <v>111</v>
      </c>
      <c r="AI401" s="801" t="s">
        <v>112</v>
      </c>
      <c r="AJ401" s="801" t="s">
        <v>113</v>
      </c>
      <c r="AK401" s="801" t="s">
        <v>114</v>
      </c>
      <c r="AL401" s="801" t="s">
        <v>115</v>
      </c>
      <c r="AM401" s="801" t="s">
        <v>52</v>
      </c>
      <c r="AN401" s="801" t="s">
        <v>116</v>
      </c>
      <c r="AO401" s="801" t="s">
        <v>117</v>
      </c>
      <c r="AP401" s="801" t="s">
        <v>119</v>
      </c>
      <c r="AQ401" s="801" t="s">
        <v>120</v>
      </c>
      <c r="AR401" s="801" t="s">
        <v>121</v>
      </c>
      <c r="AS401" s="801" t="s">
        <v>122</v>
      </c>
    </row>
    <row r="402" spans="6:45" ht="11.4" customHeight="1">
      <c r="F402" s="798" t="s">
        <v>800</v>
      </c>
      <c r="G402" s="798" t="s">
        <v>735</v>
      </c>
      <c r="I402" s="798">
        <v>1</v>
      </c>
      <c r="J402" s="798">
        <v>1</v>
      </c>
      <c r="K402" s="798">
        <v>1</v>
      </c>
      <c r="L402" s="798">
        <v>1</v>
      </c>
      <c r="M402" s="798">
        <v>1</v>
      </c>
      <c r="N402" s="798">
        <v>1</v>
      </c>
      <c r="O402" s="798">
        <v>1</v>
      </c>
      <c r="P402" s="798">
        <v>1</v>
      </c>
      <c r="Q402" s="798">
        <v>1</v>
      </c>
      <c r="R402" s="798">
        <v>1</v>
      </c>
      <c r="S402" s="798">
        <v>1</v>
      </c>
      <c r="T402" s="798">
        <v>1</v>
      </c>
      <c r="U402" s="798">
        <v>1</v>
      </c>
      <c r="V402" s="798">
        <v>1</v>
      </c>
      <c r="W402" s="798">
        <v>1</v>
      </c>
      <c r="X402" s="798">
        <v>1</v>
      </c>
      <c r="Y402" s="798">
        <v>1</v>
      </c>
      <c r="Z402" s="798">
        <v>1</v>
      </c>
      <c r="AA402" s="798">
        <v>1</v>
      </c>
      <c r="AB402" s="798">
        <v>1</v>
      </c>
      <c r="AC402" s="798">
        <v>1</v>
      </c>
      <c r="AD402" s="798">
        <v>1</v>
      </c>
      <c r="AE402" s="798">
        <v>1</v>
      </c>
      <c r="AF402" s="798">
        <v>1</v>
      </c>
      <c r="AG402" s="798">
        <v>1</v>
      </c>
      <c r="AH402" s="798">
        <v>1</v>
      </c>
      <c r="AI402" s="798">
        <v>1</v>
      </c>
      <c r="AJ402" s="798">
        <v>1</v>
      </c>
      <c r="AK402" s="798">
        <v>1</v>
      </c>
      <c r="AL402" s="798">
        <v>1</v>
      </c>
      <c r="AM402" s="798">
        <v>1</v>
      </c>
      <c r="AN402" s="798">
        <v>1</v>
      </c>
      <c r="AO402" s="798">
        <v>1</v>
      </c>
      <c r="AP402" s="798">
        <v>1</v>
      </c>
      <c r="AQ402" s="798">
        <v>1</v>
      </c>
      <c r="AR402" s="798">
        <v>1</v>
      </c>
      <c r="AS402" s="798">
        <v>1</v>
      </c>
    </row>
    <row r="403" spans="6:45" ht="11.4" customHeight="1">
      <c r="G403" s="798" t="s">
        <v>744</v>
      </c>
      <c r="I403" s="798">
        <v>0.05</v>
      </c>
      <c r="J403" s="798">
        <v>0.05</v>
      </c>
      <c r="K403" s="798">
        <v>0.05</v>
      </c>
      <c r="L403" s="798">
        <v>0.05</v>
      </c>
      <c r="M403" s="798">
        <v>0.05</v>
      </c>
      <c r="N403" s="798">
        <v>0.05</v>
      </c>
      <c r="O403" s="798">
        <v>0.05</v>
      </c>
      <c r="P403" s="798">
        <v>0.05</v>
      </c>
      <c r="Q403" s="798">
        <v>0.05</v>
      </c>
      <c r="R403" s="798">
        <v>0.05</v>
      </c>
      <c r="S403" s="798">
        <v>0.05</v>
      </c>
      <c r="T403" s="798">
        <v>0.05</v>
      </c>
      <c r="U403" s="798">
        <v>0.05</v>
      </c>
      <c r="V403" s="798">
        <v>0.05</v>
      </c>
      <c r="W403" s="798">
        <v>0.05</v>
      </c>
      <c r="X403" s="798">
        <v>0.05</v>
      </c>
      <c r="Y403" s="798">
        <v>0.05</v>
      </c>
      <c r="Z403" s="798">
        <v>0.05</v>
      </c>
      <c r="AA403" s="798">
        <v>0.05</v>
      </c>
      <c r="AB403" s="798">
        <v>0.05</v>
      </c>
      <c r="AC403" s="798">
        <v>0.05</v>
      </c>
      <c r="AD403" s="798">
        <v>0.05</v>
      </c>
      <c r="AE403" s="798">
        <v>0.05</v>
      </c>
      <c r="AF403" s="798">
        <v>0.05</v>
      </c>
      <c r="AG403" s="798">
        <v>0.05</v>
      </c>
      <c r="AH403" s="798">
        <v>0.05</v>
      </c>
      <c r="AI403" s="798">
        <v>0.05</v>
      </c>
      <c r="AJ403" s="798">
        <v>0.05</v>
      </c>
      <c r="AK403" s="798">
        <v>0.05</v>
      </c>
      <c r="AL403" s="798">
        <v>0.05</v>
      </c>
      <c r="AM403" s="798">
        <v>0.05</v>
      </c>
      <c r="AN403" s="798">
        <v>0.05</v>
      </c>
      <c r="AO403" s="798">
        <v>0.05</v>
      </c>
      <c r="AP403" s="798">
        <v>0.05</v>
      </c>
      <c r="AQ403" s="798">
        <v>0.05</v>
      </c>
      <c r="AR403" s="798">
        <v>0.05</v>
      </c>
      <c r="AS403" s="798">
        <v>0.05</v>
      </c>
    </row>
    <row r="404" spans="6:45" ht="11.4" customHeight="1">
      <c r="H404" s="798" t="s">
        <v>799</v>
      </c>
    </row>
    <row r="406" spans="6:45" ht="11.4" customHeight="1">
      <c r="H406" s="799" t="s">
        <v>748</v>
      </c>
    </row>
    <row r="407" spans="6:45" ht="11.4" customHeight="1" thickBot="1">
      <c r="F407" s="800" t="s">
        <v>545</v>
      </c>
      <c r="G407" s="800" t="s">
        <v>585</v>
      </c>
      <c r="H407" s="800" t="s">
        <v>592</v>
      </c>
      <c r="I407" s="801" t="s">
        <v>88</v>
      </c>
      <c r="J407" s="801" t="s">
        <v>89</v>
      </c>
      <c r="K407" s="801" t="s">
        <v>90</v>
      </c>
      <c r="L407" s="801" t="s">
        <v>91</v>
      </c>
      <c r="M407" s="801" t="s">
        <v>92</v>
      </c>
      <c r="N407" s="801" t="s">
        <v>93</v>
      </c>
      <c r="O407" s="801" t="s">
        <v>94</v>
      </c>
      <c r="P407" s="801" t="s">
        <v>95</v>
      </c>
      <c r="Q407" s="801" t="s">
        <v>96</v>
      </c>
      <c r="R407" s="801" t="s">
        <v>97</v>
      </c>
      <c r="S407" s="801" t="s">
        <v>98</v>
      </c>
      <c r="T407" s="801" t="s">
        <v>99</v>
      </c>
      <c r="U407" s="801" t="s">
        <v>205</v>
      </c>
      <c r="V407" s="801" t="s">
        <v>118</v>
      </c>
      <c r="W407" s="801" t="s">
        <v>100</v>
      </c>
      <c r="X407" s="801" t="s">
        <v>101</v>
      </c>
      <c r="Y407" s="801" t="s">
        <v>102</v>
      </c>
      <c r="Z407" s="801" t="s">
        <v>103</v>
      </c>
      <c r="AA407" s="801" t="s">
        <v>104</v>
      </c>
      <c r="AB407" s="801" t="s">
        <v>105</v>
      </c>
      <c r="AC407" s="801" t="s">
        <v>106</v>
      </c>
      <c r="AD407" s="801" t="s">
        <v>107</v>
      </c>
      <c r="AE407" s="801" t="s">
        <v>108</v>
      </c>
      <c r="AF407" s="801" t="s">
        <v>109</v>
      </c>
      <c r="AG407" s="801" t="s">
        <v>110</v>
      </c>
      <c r="AH407" s="801" t="s">
        <v>111</v>
      </c>
      <c r="AI407" s="801" t="s">
        <v>112</v>
      </c>
      <c r="AJ407" s="801" t="s">
        <v>113</v>
      </c>
      <c r="AK407" s="801" t="s">
        <v>114</v>
      </c>
      <c r="AL407" s="801" t="s">
        <v>115</v>
      </c>
      <c r="AM407" s="801" t="s">
        <v>52</v>
      </c>
      <c r="AN407" s="801" t="s">
        <v>116</v>
      </c>
      <c r="AO407" s="801" t="s">
        <v>117</v>
      </c>
      <c r="AP407" s="801" t="s">
        <v>119</v>
      </c>
      <c r="AQ407" s="801" t="s">
        <v>120</v>
      </c>
      <c r="AR407" s="801" t="s">
        <v>121</v>
      </c>
      <c r="AS407" s="801" t="s">
        <v>122</v>
      </c>
    </row>
    <row r="408" spans="6:45" ht="11.4" customHeight="1">
      <c r="F408" s="798" t="s">
        <v>800</v>
      </c>
      <c r="G408" s="798" t="s">
        <v>735</v>
      </c>
      <c r="I408" s="798">
        <v>1</v>
      </c>
      <c r="J408" s="798">
        <v>1</v>
      </c>
      <c r="K408" s="798">
        <v>1</v>
      </c>
      <c r="L408" s="798">
        <v>1</v>
      </c>
      <c r="M408" s="798">
        <v>1</v>
      </c>
      <c r="N408" s="798">
        <v>1</v>
      </c>
      <c r="O408" s="798">
        <v>1</v>
      </c>
      <c r="P408" s="798">
        <v>1</v>
      </c>
      <c r="Q408" s="798">
        <v>1</v>
      </c>
      <c r="R408" s="798">
        <v>1</v>
      </c>
      <c r="S408" s="798">
        <v>1</v>
      </c>
      <c r="T408" s="798">
        <v>1</v>
      </c>
      <c r="U408" s="798">
        <v>1</v>
      </c>
      <c r="V408" s="798">
        <v>1</v>
      </c>
      <c r="W408" s="798">
        <v>1</v>
      </c>
      <c r="X408" s="798">
        <v>1</v>
      </c>
      <c r="Y408" s="798">
        <v>1</v>
      </c>
      <c r="Z408" s="798">
        <v>1</v>
      </c>
      <c r="AA408" s="798">
        <v>1</v>
      </c>
      <c r="AB408" s="798">
        <v>1</v>
      </c>
      <c r="AC408" s="798">
        <v>1</v>
      </c>
      <c r="AD408" s="798">
        <v>1</v>
      </c>
      <c r="AE408" s="798">
        <v>1</v>
      </c>
      <c r="AF408" s="798">
        <v>1</v>
      </c>
      <c r="AG408" s="798">
        <v>1</v>
      </c>
      <c r="AH408" s="798">
        <v>1</v>
      </c>
      <c r="AI408" s="798">
        <v>1</v>
      </c>
      <c r="AJ408" s="798">
        <v>1</v>
      </c>
      <c r="AK408" s="798">
        <v>1</v>
      </c>
      <c r="AL408" s="798">
        <v>1</v>
      </c>
      <c r="AM408" s="798">
        <v>1</v>
      </c>
      <c r="AN408" s="798">
        <v>1</v>
      </c>
      <c r="AO408" s="798">
        <v>1</v>
      </c>
      <c r="AP408" s="798">
        <v>1</v>
      </c>
      <c r="AQ408" s="798">
        <v>1</v>
      </c>
      <c r="AR408" s="798">
        <v>1</v>
      </c>
      <c r="AS408" s="798">
        <v>1</v>
      </c>
    </row>
    <row r="409" spans="6:45" ht="11.4" customHeight="1">
      <c r="G409" s="798" t="s">
        <v>744</v>
      </c>
      <c r="I409" s="798">
        <v>0.35</v>
      </c>
      <c r="J409" s="798">
        <v>0.35</v>
      </c>
      <c r="K409" s="798">
        <v>0.35</v>
      </c>
      <c r="L409" s="798">
        <v>0.35</v>
      </c>
      <c r="M409" s="798">
        <v>0.35</v>
      </c>
      <c r="N409" s="798">
        <v>0.35</v>
      </c>
      <c r="O409" s="798">
        <v>0.35</v>
      </c>
      <c r="P409" s="798">
        <v>0.35</v>
      </c>
      <c r="Q409" s="798">
        <v>0.35</v>
      </c>
      <c r="R409" s="798">
        <v>0.35</v>
      </c>
      <c r="S409" s="798">
        <v>0.35</v>
      </c>
      <c r="T409" s="798">
        <v>0.35</v>
      </c>
      <c r="U409" s="798">
        <v>0.35</v>
      </c>
      <c r="V409" s="798">
        <v>0.35</v>
      </c>
      <c r="W409" s="798">
        <v>0.35</v>
      </c>
      <c r="X409" s="798">
        <v>0.35</v>
      </c>
      <c r="Y409" s="798">
        <v>0.35</v>
      </c>
      <c r="Z409" s="798">
        <v>0.35</v>
      </c>
      <c r="AA409" s="798">
        <v>0.35</v>
      </c>
      <c r="AB409" s="798">
        <v>0.35</v>
      </c>
      <c r="AC409" s="798">
        <v>0.35</v>
      </c>
      <c r="AD409" s="798">
        <v>0.35</v>
      </c>
      <c r="AE409" s="798">
        <v>0.35</v>
      </c>
      <c r="AF409" s="798">
        <v>0.35</v>
      </c>
      <c r="AG409" s="798">
        <v>0.35</v>
      </c>
      <c r="AH409" s="798">
        <v>0.35</v>
      </c>
      <c r="AI409" s="798">
        <v>0.35</v>
      </c>
      <c r="AJ409" s="798">
        <v>0.35</v>
      </c>
      <c r="AK409" s="798">
        <v>0.35</v>
      </c>
      <c r="AL409" s="798">
        <v>0.35</v>
      </c>
      <c r="AM409" s="798">
        <v>0.35</v>
      </c>
      <c r="AN409" s="798">
        <v>0.35</v>
      </c>
      <c r="AO409" s="798">
        <v>0.35</v>
      </c>
      <c r="AP409" s="798">
        <v>0.35</v>
      </c>
      <c r="AQ409" s="798">
        <v>0.35</v>
      </c>
      <c r="AR409" s="798">
        <v>0.35</v>
      </c>
      <c r="AS409" s="798">
        <v>0.35</v>
      </c>
    </row>
    <row r="410" spans="6:45" ht="11.4" customHeight="1">
      <c r="H410" s="798" t="s">
        <v>799</v>
      </c>
    </row>
  </sheetData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2">
    <tabColor theme="8"/>
  </sheetPr>
  <dimension ref="B2:S30"/>
  <sheetViews>
    <sheetView zoomScaleNormal="100" workbookViewId="0">
      <selection activeCell="E22" sqref="E22"/>
    </sheetView>
  </sheetViews>
  <sheetFormatPr defaultColWidth="8.88671875" defaultRowHeight="14.4"/>
  <cols>
    <col min="2" max="2" width="13.109375" customWidth="1"/>
    <col min="3" max="3" width="15.33203125" bestFit="1" customWidth="1"/>
    <col min="4" max="19" width="11.33203125" customWidth="1"/>
  </cols>
  <sheetData>
    <row r="2" spans="2:19">
      <c r="B2" t="s">
        <v>802</v>
      </c>
    </row>
    <row r="3" spans="2:19">
      <c r="C3" s="527" t="s">
        <v>801</v>
      </c>
    </row>
    <row r="4" spans="2:19" ht="15" thickBot="1">
      <c r="B4" s="539" t="s">
        <v>545</v>
      </c>
      <c r="C4" s="539" t="s">
        <v>552</v>
      </c>
      <c r="D4" s="539" t="s">
        <v>709</v>
      </c>
      <c r="E4" s="539" t="s">
        <v>710</v>
      </c>
      <c r="F4" s="539" t="s">
        <v>711</v>
      </c>
      <c r="G4" s="539" t="s">
        <v>712</v>
      </c>
      <c r="H4" s="539" t="s">
        <v>713</v>
      </c>
      <c r="I4" s="539" t="s">
        <v>714</v>
      </c>
      <c r="J4" s="539" t="s">
        <v>715</v>
      </c>
      <c r="K4" s="539" t="s">
        <v>716</v>
      </c>
      <c r="L4" s="539" t="s">
        <v>717</v>
      </c>
      <c r="M4" s="539" t="s">
        <v>718</v>
      </c>
      <c r="N4" s="539" t="s">
        <v>719</v>
      </c>
      <c r="O4" s="539" t="s">
        <v>720</v>
      </c>
      <c r="P4" s="539" t="s">
        <v>721</v>
      </c>
      <c r="Q4" s="539" t="s">
        <v>722</v>
      </c>
      <c r="R4" s="539" t="s">
        <v>723</v>
      </c>
      <c r="S4" s="539" t="s">
        <v>724</v>
      </c>
    </row>
    <row r="5" spans="2:19">
      <c r="B5" t="s">
        <v>803</v>
      </c>
      <c r="C5" t="s">
        <v>804</v>
      </c>
      <c r="D5">
        <v>95</v>
      </c>
      <c r="E5">
        <v>105</v>
      </c>
      <c r="F5">
        <v>110.6</v>
      </c>
      <c r="G5">
        <v>110.6</v>
      </c>
      <c r="H5">
        <v>65</v>
      </c>
      <c r="I5">
        <v>72</v>
      </c>
      <c r="J5">
        <v>74</v>
      </c>
      <c r="K5">
        <v>74</v>
      </c>
      <c r="L5">
        <v>78</v>
      </c>
      <c r="M5">
        <v>80</v>
      </c>
      <c r="N5">
        <v>56</v>
      </c>
      <c r="O5">
        <v>46.5</v>
      </c>
      <c r="P5">
        <v>0</v>
      </c>
      <c r="Q5">
        <v>0</v>
      </c>
      <c r="R5">
        <v>45</v>
      </c>
      <c r="S5">
        <v>45</v>
      </c>
    </row>
    <row r="6" spans="2:19">
      <c r="B6" t="s">
        <v>803</v>
      </c>
      <c r="C6" t="s">
        <v>805</v>
      </c>
    </row>
    <row r="7" spans="2:19">
      <c r="B7" t="s">
        <v>803</v>
      </c>
      <c r="C7" t="s">
        <v>806</v>
      </c>
    </row>
    <row r="8" spans="2:19">
      <c r="B8" t="s">
        <v>803</v>
      </c>
      <c r="C8" t="s">
        <v>807</v>
      </c>
    </row>
    <row r="9" spans="2:19">
      <c r="B9" t="s">
        <v>803</v>
      </c>
      <c r="C9" t="s">
        <v>808</v>
      </c>
    </row>
    <row r="10" spans="2:19">
      <c r="B10" t="s">
        <v>803</v>
      </c>
      <c r="C10" t="s">
        <v>809</v>
      </c>
    </row>
    <row r="11" spans="2:19">
      <c r="B11" t="s">
        <v>803</v>
      </c>
      <c r="C11" t="s">
        <v>810</v>
      </c>
    </row>
    <row r="12" spans="2:19">
      <c r="B12" t="s">
        <v>803</v>
      </c>
      <c r="C12" t="s">
        <v>811</v>
      </c>
    </row>
    <row r="13" spans="2:19">
      <c r="B13" t="s">
        <v>803</v>
      </c>
      <c r="C13" t="s">
        <v>812</v>
      </c>
    </row>
    <row r="14" spans="2:19">
      <c r="B14" t="s">
        <v>803</v>
      </c>
      <c r="C14" t="s">
        <v>813</v>
      </c>
    </row>
    <row r="15" spans="2:19">
      <c r="B15" t="s">
        <v>803</v>
      </c>
      <c r="C15" t="s">
        <v>814</v>
      </c>
    </row>
    <row r="17" spans="2:8">
      <c r="B17" t="s">
        <v>815</v>
      </c>
      <c r="H17" t="s">
        <v>975</v>
      </c>
    </row>
    <row r="18" spans="2:8">
      <c r="B18" s="527" t="s">
        <v>974</v>
      </c>
    </row>
    <row r="19" spans="2:8" ht="15" thickBot="1">
      <c r="B19" s="539" t="s">
        <v>552</v>
      </c>
      <c r="C19" s="539" t="s">
        <v>591</v>
      </c>
      <c r="D19" s="539" t="s">
        <v>600</v>
      </c>
      <c r="E19" s="539" t="s">
        <v>589</v>
      </c>
      <c r="F19" s="539" t="s">
        <v>587</v>
      </c>
      <c r="G19" s="539" t="s">
        <v>590</v>
      </c>
    </row>
    <row r="20" spans="2:8">
      <c r="B20" t="s">
        <v>816</v>
      </c>
      <c r="C20">
        <v>97</v>
      </c>
      <c r="D20">
        <v>65</v>
      </c>
      <c r="E20">
        <v>78</v>
      </c>
      <c r="F20">
        <v>56</v>
      </c>
      <c r="G20">
        <v>0</v>
      </c>
    </row>
    <row r="21" spans="2:8">
      <c r="B21" t="s">
        <v>817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2:8">
      <c r="B22" t="s">
        <v>818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2:8">
      <c r="B23" t="s">
        <v>819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2:8">
      <c r="B24" t="s">
        <v>820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2:8">
      <c r="B25" t="s">
        <v>821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2:8">
      <c r="B26" t="s">
        <v>822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2:8">
      <c r="B27" t="s">
        <v>823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2:8">
      <c r="B28" t="s">
        <v>824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2:8">
      <c r="B29" t="s">
        <v>825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2:8">
      <c r="B30" t="s">
        <v>826</v>
      </c>
      <c r="C30">
        <v>0</v>
      </c>
      <c r="D30">
        <v>0</v>
      </c>
      <c r="E30">
        <v>0</v>
      </c>
      <c r="F30">
        <v>0</v>
      </c>
      <c r="G30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4"/>
  <dimension ref="A1:AQ88"/>
  <sheetViews>
    <sheetView zoomScale="85" zoomScaleNormal="85" workbookViewId="0">
      <selection activeCell="N19" sqref="N19"/>
    </sheetView>
  </sheetViews>
  <sheetFormatPr defaultColWidth="9.109375" defaultRowHeight="14.4"/>
  <cols>
    <col min="1" max="1" width="31.44140625" customWidth="1"/>
    <col min="14" max="14" width="9.109375" style="865"/>
  </cols>
  <sheetData>
    <row r="1" spans="1:43" ht="21">
      <c r="A1" s="3" t="s">
        <v>760</v>
      </c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714"/>
      <c r="M1" s="714"/>
      <c r="N1" s="858"/>
      <c r="O1" s="714"/>
      <c r="P1" s="714"/>
      <c r="Q1" s="714"/>
      <c r="R1" s="714"/>
      <c r="S1" s="714"/>
      <c r="T1" s="714"/>
      <c r="U1" s="714"/>
      <c r="V1" s="714"/>
      <c r="W1" s="714"/>
      <c r="X1" s="714"/>
      <c r="Y1" s="714"/>
      <c r="Z1" s="714"/>
      <c r="AA1" s="714"/>
      <c r="AB1" s="714"/>
      <c r="AC1" s="714"/>
      <c r="AD1" s="714"/>
      <c r="AE1" s="714"/>
      <c r="AF1" s="714"/>
      <c r="AG1" s="714"/>
      <c r="AH1" s="714"/>
    </row>
    <row r="2" spans="1:43" ht="15" customHeight="1">
      <c r="A2" t="s">
        <v>693</v>
      </c>
      <c r="B2" s="714"/>
      <c r="C2" s="714"/>
      <c r="D2" s="714"/>
      <c r="E2" s="714"/>
      <c r="F2" s="714"/>
      <c r="G2" s="714"/>
      <c r="H2" s="714"/>
      <c r="I2" s="714"/>
      <c r="J2" s="714"/>
      <c r="K2" s="714"/>
      <c r="L2" s="714"/>
      <c r="M2" s="714"/>
      <c r="N2" s="859"/>
      <c r="O2" s="714"/>
      <c r="P2" s="714"/>
      <c r="Q2" s="714"/>
      <c r="R2" s="714"/>
      <c r="S2" s="714"/>
      <c r="T2" s="714"/>
      <c r="U2" s="714"/>
      <c r="V2" s="714"/>
      <c r="W2" s="714"/>
      <c r="X2" s="714"/>
      <c r="Y2" s="714"/>
      <c r="Z2" s="714"/>
      <c r="AA2" s="714"/>
      <c r="AB2" s="714"/>
      <c r="AC2" s="714"/>
      <c r="AD2" s="714"/>
      <c r="AE2" s="714"/>
      <c r="AF2" s="714"/>
      <c r="AG2" s="714"/>
      <c r="AH2" s="714"/>
      <c r="AI2" s="575"/>
    </row>
    <row r="3" spans="1:43">
      <c r="A3" s="696"/>
      <c r="B3" s="696"/>
      <c r="C3" s="696"/>
      <c r="D3" s="247" t="s">
        <v>88</v>
      </c>
      <c r="E3" s="248" t="s">
        <v>89</v>
      </c>
      <c r="F3" s="248" t="s">
        <v>90</v>
      </c>
      <c r="G3" s="248" t="s">
        <v>91</v>
      </c>
      <c r="H3" s="248" t="s">
        <v>92</v>
      </c>
      <c r="I3" s="248" t="s">
        <v>93</v>
      </c>
      <c r="J3" s="248" t="s">
        <v>94</v>
      </c>
      <c r="K3" s="248" t="s">
        <v>95</v>
      </c>
      <c r="L3" s="248" t="s">
        <v>96</v>
      </c>
      <c r="M3" s="248" t="s">
        <v>97</v>
      </c>
      <c r="N3" s="860" t="s">
        <v>98</v>
      </c>
      <c r="O3" s="248" t="s">
        <v>99</v>
      </c>
      <c r="P3" s="248" t="s">
        <v>205</v>
      </c>
      <c r="Q3" s="248" t="s">
        <v>118</v>
      </c>
      <c r="R3" s="248" t="s">
        <v>100</v>
      </c>
      <c r="S3" s="248" t="s">
        <v>101</v>
      </c>
      <c r="T3" s="248" t="s">
        <v>102</v>
      </c>
      <c r="U3" s="248" t="s">
        <v>103</v>
      </c>
      <c r="V3" s="248" t="s">
        <v>104</v>
      </c>
      <c r="W3" s="248" t="s">
        <v>105</v>
      </c>
      <c r="X3" s="248" t="s">
        <v>106</v>
      </c>
      <c r="Y3" s="248" t="s">
        <v>107</v>
      </c>
      <c r="Z3" s="248" t="s">
        <v>108</v>
      </c>
      <c r="AA3" s="248" t="s">
        <v>109</v>
      </c>
      <c r="AB3" s="248" t="s">
        <v>110</v>
      </c>
      <c r="AC3" s="248" t="s">
        <v>111</v>
      </c>
      <c r="AD3" s="248" t="s">
        <v>112</v>
      </c>
      <c r="AE3" s="248" t="s">
        <v>113</v>
      </c>
      <c r="AF3" s="248" t="s">
        <v>114</v>
      </c>
      <c r="AG3" s="248" t="s">
        <v>115</v>
      </c>
      <c r="AH3" s="248" t="s">
        <v>52</v>
      </c>
      <c r="AI3" s="717" t="s">
        <v>116</v>
      </c>
      <c r="AJ3" s="248" t="s">
        <v>117</v>
      </c>
      <c r="AK3" s="248" t="s">
        <v>119</v>
      </c>
      <c r="AL3" s="248" t="s">
        <v>120</v>
      </c>
      <c r="AM3" s="248" t="s">
        <v>121</v>
      </c>
      <c r="AN3" s="249" t="s">
        <v>122</v>
      </c>
    </row>
    <row r="4" spans="1:43">
      <c r="A4" s="715" t="s">
        <v>525</v>
      </c>
      <c r="B4" s="891"/>
      <c r="C4" s="891"/>
      <c r="D4" s="709">
        <v>835.71500000000003</v>
      </c>
      <c r="E4" s="710">
        <v>1064.17</v>
      </c>
      <c r="F4" s="710">
        <v>415.54399999999998</v>
      </c>
      <c r="G4" s="766">
        <f>'IDEES okt 2017 template'!G31</f>
        <v>858.08514755035856</v>
      </c>
      <c r="H4" s="710">
        <v>83.170199999999994</v>
      </c>
      <c r="I4" s="710">
        <v>492.47500000000002</v>
      </c>
      <c r="J4" s="710">
        <v>7221.04</v>
      </c>
      <c r="K4" s="710">
        <v>560.173</v>
      </c>
      <c r="L4" s="710">
        <v>101.736</v>
      </c>
      <c r="M4" s="710">
        <v>4153.8100000000004</v>
      </c>
      <c r="N4" s="861">
        <v>644.84799999999996</v>
      </c>
      <c r="O4" s="710">
        <v>7713.24</v>
      </c>
      <c r="P4" s="710">
        <v>531.06799999999998</v>
      </c>
      <c r="Q4" s="710">
        <v>260.89299999999997</v>
      </c>
      <c r="R4" s="710">
        <v>436.15</v>
      </c>
      <c r="S4" s="710">
        <v>407.40800000000002</v>
      </c>
      <c r="T4" s="710">
        <f>'IDEES okt 2017 template'!T31</f>
        <v>34.014857496583893</v>
      </c>
      <c r="U4" s="710">
        <v>4223.6899999999996</v>
      </c>
      <c r="V4" s="710">
        <v>136.126</v>
      </c>
      <c r="W4" s="710">
        <v>49.801400000000001</v>
      </c>
      <c r="X4" s="710">
        <v>126.152</v>
      </c>
      <c r="Y4" s="710">
        <v>27.55</v>
      </c>
      <c r="Z4" s="710">
        <v>1506.67</v>
      </c>
      <c r="AA4" s="710">
        <f>'IDEES okt 2017 template'!AA31</f>
        <v>1455.7423193080463</v>
      </c>
      <c r="AB4" s="710">
        <v>1549.13</v>
      </c>
      <c r="AC4" s="710">
        <v>802.10400000000004</v>
      </c>
      <c r="AD4" s="710">
        <v>790.59</v>
      </c>
      <c r="AE4" s="710">
        <v>1029.83</v>
      </c>
      <c r="AF4" s="710">
        <v>161.04300000000001</v>
      </c>
      <c r="AG4" s="710">
        <v>208.67400000000001</v>
      </c>
      <c r="AH4" s="710">
        <v>5686.21</v>
      </c>
      <c r="AI4" s="712">
        <f>'IDEES okt 2017 template'!AI31</f>
        <v>83.188066202083263</v>
      </c>
      <c r="AJ4" s="712">
        <f>'IDEES okt 2017 template'!AJ31</f>
        <v>207.21606219572215</v>
      </c>
      <c r="AK4" s="712">
        <f>'IDEES okt 2017 template'!AK31</f>
        <v>41.136602649702496</v>
      </c>
      <c r="AL4" s="712">
        <f>'IDEES okt 2017 template'!AL31</f>
        <v>147.3751980846877</v>
      </c>
      <c r="AM4" s="712">
        <f>'IDEES okt 2017 template'!AM31</f>
        <v>667.5758392835213</v>
      </c>
      <c r="AN4" s="713">
        <f>'IDEES okt 2017 template'!AN31</f>
        <v>102.2174063766951</v>
      </c>
      <c r="AO4" s="467"/>
      <c r="AP4" s="467"/>
      <c r="AQ4" s="467"/>
    </row>
    <row r="5" spans="1:43" ht="15" customHeight="1">
      <c r="A5" s="148" t="s">
        <v>752</v>
      </c>
      <c r="B5" s="892" t="s">
        <v>525</v>
      </c>
      <c r="C5" s="892"/>
      <c r="D5" s="701">
        <v>274.41500000000002</v>
      </c>
      <c r="E5" s="699">
        <v>367.505</v>
      </c>
      <c r="F5" s="699">
        <v>153.565</v>
      </c>
      <c r="G5" s="700">
        <f>SUM(G6:G7)</f>
        <v>281.76096493135265</v>
      </c>
      <c r="H5" s="699">
        <v>36.790500000000002</v>
      </c>
      <c r="I5" s="699">
        <v>132.02099999999999</v>
      </c>
      <c r="J5" s="699">
        <v>2186.56</v>
      </c>
      <c r="K5" s="699">
        <v>174.863</v>
      </c>
      <c r="L5" s="699">
        <v>39.071100000000001</v>
      </c>
      <c r="M5" s="699">
        <v>1554.4</v>
      </c>
      <c r="N5" s="862">
        <v>213.44</v>
      </c>
      <c r="O5" s="699">
        <v>2923.2</v>
      </c>
      <c r="P5" s="699">
        <v>161.06200000000001</v>
      </c>
      <c r="Q5" s="699">
        <v>89.412199999999999</v>
      </c>
      <c r="R5" s="699">
        <v>120.423</v>
      </c>
      <c r="S5" s="699">
        <v>146.66900000000001</v>
      </c>
      <c r="T5" s="700">
        <f>SUM(T6:T7)</f>
        <v>10.304507164828177</v>
      </c>
      <c r="U5" s="699">
        <v>1312.62</v>
      </c>
      <c r="V5" s="699">
        <v>40.359299999999998</v>
      </c>
      <c r="W5" s="699">
        <v>16.203299999999999</v>
      </c>
      <c r="X5" s="699">
        <v>48.961799999999997</v>
      </c>
      <c r="Y5" s="699">
        <v>8.7820999999999998</v>
      </c>
      <c r="Z5" s="699">
        <v>463.358</v>
      </c>
      <c r="AA5" s="700">
        <f>SUM(AA6:AA7)</f>
        <v>441.00455693397709</v>
      </c>
      <c r="AB5" s="699">
        <v>468.11099999999999</v>
      </c>
      <c r="AC5" s="699">
        <v>294.74099999999999</v>
      </c>
      <c r="AD5" s="699">
        <v>238.94</v>
      </c>
      <c r="AE5" s="699">
        <v>311.97800000000001</v>
      </c>
      <c r="AF5" s="699">
        <v>58.328299999999999</v>
      </c>
      <c r="AG5" s="699">
        <v>61.372199999999999</v>
      </c>
      <c r="AH5" s="699">
        <v>1966.39</v>
      </c>
      <c r="AI5" s="700">
        <f t="shared" ref="AI5:AN5" si="0">SUM(AI6:AI7)</f>
        <v>28.509879578501188</v>
      </c>
      <c r="AJ5" s="700">
        <f t="shared" si="0"/>
        <v>71.016255692013019</v>
      </c>
      <c r="AK5" s="700">
        <f t="shared" si="0"/>
        <v>14.098171064136372</v>
      </c>
      <c r="AL5" s="700">
        <f t="shared" si="0"/>
        <v>50.507835343177916</v>
      </c>
      <c r="AM5" s="700">
        <f t="shared" si="0"/>
        <v>228.78890754901846</v>
      </c>
      <c r="AN5" s="702">
        <f t="shared" si="0"/>
        <v>35.031538532786769</v>
      </c>
      <c r="AO5" s="467"/>
      <c r="AP5" s="467"/>
      <c r="AQ5" s="467"/>
    </row>
    <row r="6" spans="1:43">
      <c r="A6" s="266"/>
      <c r="B6" s="893" t="s">
        <v>753</v>
      </c>
      <c r="C6" s="893"/>
      <c r="D6" s="703">
        <v>49.118499999999997</v>
      </c>
      <c r="E6" s="697">
        <v>67.948800000000006</v>
      </c>
      <c r="F6" s="697">
        <v>20.5078</v>
      </c>
      <c r="G6" s="698">
        <f>D6/D4*G4</f>
        <v>50.433288046705258</v>
      </c>
      <c r="H6" s="697">
        <v>5.0365900000000003</v>
      </c>
      <c r="I6" s="697">
        <v>29.4527</v>
      </c>
      <c r="J6" s="697">
        <v>494.82900000000001</v>
      </c>
      <c r="K6" s="697">
        <v>36.223599999999998</v>
      </c>
      <c r="L6" s="697">
        <v>9.2954100000000004</v>
      </c>
      <c r="M6" s="697">
        <v>287.39400000000001</v>
      </c>
      <c r="N6" s="863">
        <v>37.676299999999998</v>
      </c>
      <c r="O6" s="697">
        <v>483.98700000000002</v>
      </c>
      <c r="P6" s="697">
        <v>33.401800000000001</v>
      </c>
      <c r="Q6" s="697">
        <v>17.4221</v>
      </c>
      <c r="R6" s="697">
        <v>29.703800000000001</v>
      </c>
      <c r="S6" s="697">
        <v>25.965699999999998</v>
      </c>
      <c r="T6" s="698">
        <f>AE6/AE4*T4</f>
        <v>2.0075745074290081</v>
      </c>
      <c r="U6" s="697">
        <v>257.30799999999999</v>
      </c>
      <c r="V6" s="697">
        <v>9.3294599999999992</v>
      </c>
      <c r="W6" s="697">
        <v>3.1701600000000001</v>
      </c>
      <c r="X6" s="697">
        <v>10.156000000000001</v>
      </c>
      <c r="Y6" s="697">
        <v>1.6120300000000001</v>
      </c>
      <c r="Z6" s="697">
        <v>100.251</v>
      </c>
      <c r="AA6" s="698">
        <f>AE6/AE4*AA4</f>
        <v>85.9186656866612</v>
      </c>
      <c r="AB6" s="697">
        <v>116.679</v>
      </c>
      <c r="AC6" s="697">
        <v>44.3339</v>
      </c>
      <c r="AD6" s="697">
        <v>55.730499999999999</v>
      </c>
      <c r="AE6" s="697">
        <v>60.781100000000002</v>
      </c>
      <c r="AF6" s="697">
        <v>11.1867</v>
      </c>
      <c r="AG6" s="697">
        <v>16.835999999999999</v>
      </c>
      <c r="AH6" s="697">
        <v>398.93799999999999</v>
      </c>
      <c r="AI6" s="698">
        <f>Q6/Q4*AI4</f>
        <v>5.5551923899043478</v>
      </c>
      <c r="AJ6" s="698">
        <f>Q6/Q4*AJ4</f>
        <v>13.837622922731125</v>
      </c>
      <c r="AK6" s="698">
        <f>Q6/Q4*AK4</f>
        <v>2.7470495759693896</v>
      </c>
      <c r="AL6" s="698">
        <f>Q6/Q4*AL4</f>
        <v>9.8415267506266471</v>
      </c>
      <c r="AM6" s="698">
        <f>Q6/Q4*AM4</f>
        <v>44.579858522771552</v>
      </c>
      <c r="AN6" s="704">
        <f>Q6/Q4*AN4</f>
        <v>6.8259473256676868</v>
      </c>
      <c r="AO6" s="467"/>
      <c r="AP6" s="467"/>
      <c r="AQ6" s="467"/>
    </row>
    <row r="7" spans="1:43">
      <c r="A7" s="258"/>
      <c r="B7" s="890" t="s">
        <v>754</v>
      </c>
      <c r="C7" s="890"/>
      <c r="D7" s="705">
        <v>225.297</v>
      </c>
      <c r="E7" s="706">
        <v>299.55700000000002</v>
      </c>
      <c r="F7" s="706">
        <v>133.05699999999999</v>
      </c>
      <c r="G7" s="707">
        <f>D7/D4*G4</f>
        <v>231.32767688464742</v>
      </c>
      <c r="H7" s="706">
        <v>31.753900000000002</v>
      </c>
      <c r="I7" s="706">
        <v>102.568</v>
      </c>
      <c r="J7" s="706">
        <v>1691.73</v>
      </c>
      <c r="K7" s="706">
        <v>138.63999999999999</v>
      </c>
      <c r="L7" s="706">
        <v>29.775700000000001</v>
      </c>
      <c r="M7" s="706">
        <v>1267</v>
      </c>
      <c r="N7" s="864">
        <v>175.76400000000001</v>
      </c>
      <c r="O7" s="706">
        <v>2439.2199999999998</v>
      </c>
      <c r="P7" s="706">
        <v>127.66</v>
      </c>
      <c r="Q7" s="706">
        <v>71.990099999999998</v>
      </c>
      <c r="R7" s="706">
        <v>90.719300000000004</v>
      </c>
      <c r="S7" s="706">
        <v>120.703</v>
      </c>
      <c r="T7" s="707">
        <f>AE7/AE4*T4</f>
        <v>8.296932657399168</v>
      </c>
      <c r="U7" s="706">
        <v>1055.31</v>
      </c>
      <c r="V7" s="706">
        <v>31.029800000000002</v>
      </c>
      <c r="W7" s="706">
        <v>13.033200000000001</v>
      </c>
      <c r="X7" s="706">
        <v>38.805799999999998</v>
      </c>
      <c r="Y7" s="706">
        <v>7.1700699999999999</v>
      </c>
      <c r="Z7" s="706">
        <v>363.10599999999999</v>
      </c>
      <c r="AA7" s="707">
        <f>AE7/AE4*AA4</f>
        <v>355.08589124731589</v>
      </c>
      <c r="AB7" s="706">
        <v>351.43200000000002</v>
      </c>
      <c r="AC7" s="706">
        <v>250.40700000000001</v>
      </c>
      <c r="AD7" s="706">
        <v>183.21</v>
      </c>
      <c r="AE7" s="706">
        <v>251.197</v>
      </c>
      <c r="AF7" s="706">
        <v>47.141599999999997</v>
      </c>
      <c r="AG7" s="706">
        <v>44.536099999999998</v>
      </c>
      <c r="AH7" s="706">
        <v>1567.46</v>
      </c>
      <c r="AI7" s="707">
        <f>Q7/Q4*AI4</f>
        <v>22.954687188596839</v>
      </c>
      <c r="AJ7" s="707">
        <f>Q7/Q4*AJ4</f>
        <v>57.17863276928189</v>
      </c>
      <c r="AK7" s="707">
        <f>Q7/Q4*AK4</f>
        <v>11.351121488166982</v>
      </c>
      <c r="AL7" s="707">
        <f>Q7/Q4*AL4</f>
        <v>40.666308592551268</v>
      </c>
      <c r="AM7" s="707">
        <f>Q7/Q4*AM4</f>
        <v>184.2090490262469</v>
      </c>
      <c r="AN7" s="708">
        <f>Q7/Q4*AN4</f>
        <v>28.205591207119081</v>
      </c>
      <c r="AO7" s="467"/>
      <c r="AP7" s="467"/>
      <c r="AQ7" s="467"/>
    </row>
    <row r="8" spans="1:43" ht="15" customHeight="1">
      <c r="A8" s="148" t="s">
        <v>755</v>
      </c>
      <c r="B8" s="892" t="s">
        <v>525</v>
      </c>
      <c r="C8" s="892"/>
      <c r="D8" s="701">
        <v>197.99799999999999</v>
      </c>
      <c r="E8" s="699">
        <v>249.846</v>
      </c>
      <c r="F8" s="699">
        <v>125.881</v>
      </c>
      <c r="G8" s="700">
        <f>SUM(G9:G10)</f>
        <v>203.29753541651982</v>
      </c>
      <c r="H8" s="699">
        <v>18.867100000000001</v>
      </c>
      <c r="I8" s="699">
        <v>149.69399999999999</v>
      </c>
      <c r="J8" s="699">
        <v>1935.25</v>
      </c>
      <c r="K8" s="699">
        <v>146.196</v>
      </c>
      <c r="L8" s="699">
        <v>28.982199999999999</v>
      </c>
      <c r="M8" s="699">
        <v>1153.79</v>
      </c>
      <c r="N8" s="862">
        <v>152.518</v>
      </c>
      <c r="O8" s="699">
        <v>1662.44</v>
      </c>
      <c r="P8" s="699">
        <v>155.63900000000001</v>
      </c>
      <c r="Q8" s="699">
        <v>72.043999999999997</v>
      </c>
      <c r="R8" s="699">
        <v>143.96799999999999</v>
      </c>
      <c r="S8" s="699">
        <v>102.584</v>
      </c>
      <c r="T8" s="700">
        <f>SUM(T9:T10)</f>
        <v>9.1445345641134654</v>
      </c>
      <c r="U8" s="699">
        <v>1290.21</v>
      </c>
      <c r="V8" s="699">
        <v>40.2545</v>
      </c>
      <c r="W8" s="699">
        <v>14.1172</v>
      </c>
      <c r="X8" s="699">
        <v>36.238100000000003</v>
      </c>
      <c r="Y8" s="699">
        <v>6.9499899999999997</v>
      </c>
      <c r="Z8" s="699">
        <v>431.77100000000002</v>
      </c>
      <c r="AA8" s="700">
        <f>SUM(AA9:AA10)</f>
        <v>391.36092093556653</v>
      </c>
      <c r="AB8" s="699">
        <v>484.37700000000001</v>
      </c>
      <c r="AC8" s="699">
        <v>211.62299999999999</v>
      </c>
      <c r="AD8" s="699">
        <v>262.048</v>
      </c>
      <c r="AE8" s="699">
        <v>276.858</v>
      </c>
      <c r="AF8" s="699">
        <v>38.640700000000002</v>
      </c>
      <c r="AG8" s="699">
        <v>59.863700000000001</v>
      </c>
      <c r="AH8" s="699">
        <v>1630.04</v>
      </c>
      <c r="AI8" s="700">
        <f t="shared" ref="AI8:AN8" si="1">SUM(AI9:AI10)</f>
        <v>22.971873685621645</v>
      </c>
      <c r="AJ8" s="700">
        <f t="shared" si="1"/>
        <v>57.221443215527472</v>
      </c>
      <c r="AK8" s="700">
        <f t="shared" si="1"/>
        <v>11.359620232413928</v>
      </c>
      <c r="AL8" s="700">
        <f t="shared" si="1"/>
        <v>40.696756029534107</v>
      </c>
      <c r="AM8" s="700">
        <f t="shared" si="1"/>
        <v>184.34696893110208</v>
      </c>
      <c r="AN8" s="702">
        <f t="shared" si="1"/>
        <v>28.226709129806558</v>
      </c>
      <c r="AO8" s="467"/>
      <c r="AP8" s="467"/>
      <c r="AQ8" s="467"/>
    </row>
    <row r="9" spans="1:43">
      <c r="A9" s="266"/>
      <c r="B9" s="893" t="s">
        <v>702</v>
      </c>
      <c r="C9" s="893"/>
      <c r="D9" s="703">
        <v>138.04</v>
      </c>
      <c r="E9" s="697">
        <v>166.86799999999999</v>
      </c>
      <c r="F9" s="697">
        <v>69.290899999999993</v>
      </c>
      <c r="G9" s="698">
        <f>D9/D4*G4</f>
        <v>141.73500986323268</v>
      </c>
      <c r="H9" s="697">
        <v>10.6609</v>
      </c>
      <c r="I9" s="697">
        <v>113.586</v>
      </c>
      <c r="J9" s="697">
        <v>1411.9</v>
      </c>
      <c r="K9" s="697">
        <v>114.509</v>
      </c>
      <c r="L9" s="697">
        <v>10.5563</v>
      </c>
      <c r="M9" s="697">
        <v>631.07399999999996</v>
      </c>
      <c r="N9" s="863">
        <v>109.697</v>
      </c>
      <c r="O9" s="697">
        <v>1056.23</v>
      </c>
      <c r="P9" s="697">
        <v>98.755700000000004</v>
      </c>
      <c r="Q9" s="697">
        <v>44.931899999999999</v>
      </c>
      <c r="R9" s="697">
        <v>99.896900000000002</v>
      </c>
      <c r="S9" s="697">
        <v>70.464500000000001</v>
      </c>
      <c r="T9" s="698">
        <f>AE9/AE4*T4</f>
        <v>7.0952172671908684</v>
      </c>
      <c r="U9" s="697">
        <v>926.428</v>
      </c>
      <c r="V9" s="697">
        <v>24.765799999999999</v>
      </c>
      <c r="W9" s="697">
        <v>10.509399999999999</v>
      </c>
      <c r="X9" s="697">
        <v>19.2606</v>
      </c>
      <c r="Y9" s="697">
        <v>4.70845</v>
      </c>
      <c r="Z9" s="697">
        <v>338.50700000000001</v>
      </c>
      <c r="AA9" s="698">
        <f>AE9/AE4*AA4</f>
        <v>303.65577870118238</v>
      </c>
      <c r="AB9" s="697">
        <v>349.55500000000001</v>
      </c>
      <c r="AC9" s="697">
        <v>128.697</v>
      </c>
      <c r="AD9" s="697">
        <v>133.81299999999999</v>
      </c>
      <c r="AE9" s="697">
        <v>214.81399999999999</v>
      </c>
      <c r="AF9" s="697">
        <v>23.3005</v>
      </c>
      <c r="AG9" s="697">
        <v>39.082999999999998</v>
      </c>
      <c r="AH9" s="697">
        <v>1179.3900000000001</v>
      </c>
      <c r="AI9" s="698">
        <f>Q9/Q4*AI4</f>
        <v>14.326938138567863</v>
      </c>
      <c r="AJ9" s="698">
        <f>Q9/Q4*AJ4</f>
        <v>35.687471051243115</v>
      </c>
      <c r="AK9" s="698">
        <f>Q9/Q4*AK4</f>
        <v>7.0846888057409272</v>
      </c>
      <c r="AL9" s="698">
        <f>Q9/Q4*AL4</f>
        <v>25.381469272159009</v>
      </c>
      <c r="AM9" s="698">
        <f>Q9/Q4*AM4</f>
        <v>114.97223326460754</v>
      </c>
      <c r="AN9" s="704">
        <f>Q9/Q4*AN4</f>
        <v>17.604237298727934</v>
      </c>
      <c r="AO9" s="467"/>
      <c r="AP9" s="467"/>
      <c r="AQ9" s="467"/>
    </row>
    <row r="10" spans="1:43">
      <c r="A10" s="258"/>
      <c r="B10" s="890" t="s">
        <v>756</v>
      </c>
      <c r="C10" s="890"/>
      <c r="D10" s="705">
        <v>59.957599999999999</v>
      </c>
      <c r="E10" s="706">
        <v>82.978700000000003</v>
      </c>
      <c r="F10" s="706">
        <v>56.590200000000003</v>
      </c>
      <c r="G10" s="707">
        <f>D10/D4*G4</f>
        <v>61.562525553287152</v>
      </c>
      <c r="H10" s="706">
        <v>8.2062200000000001</v>
      </c>
      <c r="I10" s="706">
        <v>36.107900000000001</v>
      </c>
      <c r="J10" s="706">
        <v>523.34500000000003</v>
      </c>
      <c r="K10" s="706">
        <v>31.686399999999999</v>
      </c>
      <c r="L10" s="706">
        <v>18.425899999999999</v>
      </c>
      <c r="M10" s="706">
        <v>522.71799999999996</v>
      </c>
      <c r="N10" s="864">
        <v>42.821199999999997</v>
      </c>
      <c r="O10" s="706">
        <v>606.20899999999995</v>
      </c>
      <c r="P10" s="706">
        <v>56.882899999999999</v>
      </c>
      <c r="Q10" s="706">
        <v>27.112100000000002</v>
      </c>
      <c r="R10" s="706">
        <v>44.071100000000001</v>
      </c>
      <c r="S10" s="706">
        <v>32.119300000000003</v>
      </c>
      <c r="T10" s="707">
        <f>AE10/AE4*T4</f>
        <v>2.049317296922597</v>
      </c>
      <c r="U10" s="706">
        <v>363.779</v>
      </c>
      <c r="V10" s="706">
        <v>15.4887</v>
      </c>
      <c r="W10" s="706">
        <v>3.6078399999999999</v>
      </c>
      <c r="X10" s="706">
        <v>16.977499999999999</v>
      </c>
      <c r="Y10" s="706">
        <v>2.2415400000000001</v>
      </c>
      <c r="Z10" s="706">
        <v>93.264600000000002</v>
      </c>
      <c r="AA10" s="707">
        <f>AE10/AE4*AA4</f>
        <v>87.705142234384127</v>
      </c>
      <c r="AB10" s="706">
        <v>134.822</v>
      </c>
      <c r="AC10" s="706">
        <v>82.9255</v>
      </c>
      <c r="AD10" s="706">
        <v>128.23400000000001</v>
      </c>
      <c r="AE10" s="706">
        <v>62.044899999999998</v>
      </c>
      <c r="AF10" s="706">
        <v>15.340199999999999</v>
      </c>
      <c r="AG10" s="706">
        <v>20.7806</v>
      </c>
      <c r="AH10" s="706">
        <v>450.65199999999999</v>
      </c>
      <c r="AI10" s="707">
        <f>Q10/Q4*AI4</f>
        <v>8.6449355470537803</v>
      </c>
      <c r="AJ10" s="707">
        <f>Q10/Q4*AJ4</f>
        <v>21.533972164284361</v>
      </c>
      <c r="AK10" s="707">
        <f>Q10/Q4*AK4</f>
        <v>4.2749314266730014</v>
      </c>
      <c r="AL10" s="707">
        <f>Q10/Q4*AL4</f>
        <v>15.3152867573751</v>
      </c>
      <c r="AM10" s="707">
        <f>Q10/Q4*AM4</f>
        <v>69.374735666494544</v>
      </c>
      <c r="AN10" s="708">
        <f>Q10/Q4*AN4</f>
        <v>10.622471831078625</v>
      </c>
      <c r="AO10" s="467"/>
      <c r="AP10" s="467"/>
      <c r="AQ10" s="467"/>
    </row>
    <row r="11" spans="1:43" ht="15" customHeight="1">
      <c r="A11" s="148" t="s">
        <v>757</v>
      </c>
      <c r="B11" s="892" t="s">
        <v>525</v>
      </c>
      <c r="C11" s="892"/>
      <c r="D11" s="701">
        <v>363.30200000000002</v>
      </c>
      <c r="E11" s="699">
        <v>446.82299999999998</v>
      </c>
      <c r="F11" s="699">
        <v>136.09800000000001</v>
      </c>
      <c r="G11" s="700">
        <f>SUM(G12:G15)</f>
        <v>373.02592846511345</v>
      </c>
      <c r="H11" s="699">
        <v>27.512599999999999</v>
      </c>
      <c r="I11" s="699">
        <v>210.75899999999999</v>
      </c>
      <c r="J11" s="699">
        <v>3099.23</v>
      </c>
      <c r="K11" s="699">
        <v>239.114</v>
      </c>
      <c r="L11" s="699">
        <v>33.682499999999997</v>
      </c>
      <c r="M11" s="699">
        <v>1445.62</v>
      </c>
      <c r="N11" s="862">
        <v>278.89</v>
      </c>
      <c r="O11" s="699">
        <v>3127.6</v>
      </c>
      <c r="P11" s="699">
        <v>214.36699999999999</v>
      </c>
      <c r="Q11" s="699">
        <v>99.437100000000001</v>
      </c>
      <c r="R11" s="699">
        <v>171.75899999999999</v>
      </c>
      <c r="S11" s="699">
        <v>158.155</v>
      </c>
      <c r="T11" s="700">
        <f>SUM(T12:T15)</f>
        <v>14.565990824442633</v>
      </c>
      <c r="U11" s="699">
        <v>1620.87</v>
      </c>
      <c r="V11" s="699">
        <v>55.5124</v>
      </c>
      <c r="W11" s="699">
        <v>19.480899999999998</v>
      </c>
      <c r="X11" s="699">
        <v>40.952500000000001</v>
      </c>
      <c r="Y11" s="699">
        <v>11.8179</v>
      </c>
      <c r="Z11" s="699">
        <v>611.54499999999996</v>
      </c>
      <c r="AA11" s="700">
        <f>SUM(AA12:AA15)</f>
        <v>623.38433338794323</v>
      </c>
      <c r="AB11" s="699">
        <v>596.63699999999994</v>
      </c>
      <c r="AC11" s="699">
        <v>295.74</v>
      </c>
      <c r="AD11" s="699">
        <v>289.60199999999998</v>
      </c>
      <c r="AE11" s="699">
        <v>440.99799999999999</v>
      </c>
      <c r="AF11" s="699">
        <v>64.074200000000005</v>
      </c>
      <c r="AG11" s="699">
        <v>87.438500000000005</v>
      </c>
      <c r="AH11" s="699">
        <v>2089.7800000000002</v>
      </c>
      <c r="AI11" s="700">
        <f t="shared" ref="AI11:AN11" si="2">SUM(AI12:AI15)</f>
        <v>31.706395841285609</v>
      </c>
      <c r="AJ11" s="700">
        <f t="shared" si="2"/>
        <v>78.978569794972486</v>
      </c>
      <c r="AK11" s="700">
        <f t="shared" si="2"/>
        <v>15.678852348950056</v>
      </c>
      <c r="AL11" s="700">
        <f t="shared" si="2"/>
        <v>56.170753582729233</v>
      </c>
      <c r="AM11" s="700">
        <f t="shared" si="2"/>
        <v>254.44062809422206</v>
      </c>
      <c r="AN11" s="702">
        <f t="shared" si="2"/>
        <v>38.959260581632371</v>
      </c>
      <c r="AO11" s="467"/>
      <c r="AP11" s="467"/>
      <c r="AQ11" s="467"/>
    </row>
    <row r="12" spans="1:43">
      <c r="A12" s="266"/>
      <c r="B12" s="893" t="s">
        <v>705</v>
      </c>
      <c r="C12" s="893"/>
      <c r="D12" s="703">
        <v>44.788400000000003</v>
      </c>
      <c r="E12" s="697">
        <v>97.575299999999999</v>
      </c>
      <c r="F12" s="697">
        <v>0.34182299999999999</v>
      </c>
      <c r="G12" s="698">
        <f>D12/D4*G4</f>
        <v>45.987281336992247</v>
      </c>
      <c r="H12" s="697">
        <v>3.8691900000000001</v>
      </c>
      <c r="I12" s="697">
        <v>2.9607399999999999</v>
      </c>
      <c r="J12" s="697">
        <v>517.32000000000005</v>
      </c>
      <c r="K12" s="697">
        <v>49.994599999999998</v>
      </c>
      <c r="L12" s="697">
        <v>0.35641899999999999</v>
      </c>
      <c r="M12" s="697">
        <v>202.23699999999999</v>
      </c>
      <c r="N12" s="863">
        <v>57.899900000000002</v>
      </c>
      <c r="O12" s="697">
        <v>353.60599999999999</v>
      </c>
      <c r="P12" s="697">
        <v>10.534800000000001</v>
      </c>
      <c r="Q12" s="697">
        <v>4.1063700000000001</v>
      </c>
      <c r="R12" s="697">
        <v>1.1833400000000001</v>
      </c>
      <c r="S12" s="697">
        <v>42.0794</v>
      </c>
      <c r="T12" s="698">
        <f>AE12/AE4*T4</f>
        <v>3.2297219989039103</v>
      </c>
      <c r="U12" s="697">
        <v>65.272099999999995</v>
      </c>
      <c r="V12" s="697">
        <v>0.63067300000000004</v>
      </c>
      <c r="W12" s="697">
        <v>4.1837299999999997</v>
      </c>
      <c r="X12" s="697">
        <v>0.47559600000000002</v>
      </c>
      <c r="Y12" s="697">
        <v>1.07908</v>
      </c>
      <c r="Z12" s="697">
        <v>146.369</v>
      </c>
      <c r="AA12" s="698">
        <f>AE12/AE4*AA4</f>
        <v>138.22321595428653</v>
      </c>
      <c r="AB12" s="697">
        <v>2.4693299999999998</v>
      </c>
      <c r="AC12" s="697">
        <v>29.003900000000002</v>
      </c>
      <c r="AD12" s="697">
        <v>0.45294499999999999</v>
      </c>
      <c r="AE12" s="697">
        <v>97.782700000000006</v>
      </c>
      <c r="AF12" s="697">
        <v>6.1309199999999997</v>
      </c>
      <c r="AG12" s="697">
        <v>1.4252499999999999</v>
      </c>
      <c r="AH12" s="697">
        <v>429.697</v>
      </c>
      <c r="AI12" s="698">
        <f>Q12/Q4*AI4</f>
        <v>1.3093527975463068</v>
      </c>
      <c r="AJ12" s="698">
        <f>Q12/Q4*AJ4</f>
        <v>3.2615126558345664</v>
      </c>
      <c r="AK12" s="698">
        <f>Q12/Q4*AK4</f>
        <v>0.6474765939395033</v>
      </c>
      <c r="AL12" s="698">
        <f>Q12/Q4*AL4</f>
        <v>2.3196371392065678</v>
      </c>
      <c r="AM12" s="698">
        <f>Q12/Q4*AM4</f>
        <v>10.507424113175414</v>
      </c>
      <c r="AN12" s="704">
        <f>Q12/Q4*AN4</f>
        <v>1.6088683522481226</v>
      </c>
      <c r="AO12" s="467"/>
      <c r="AP12" s="467"/>
      <c r="AQ12" s="467"/>
    </row>
    <row r="13" spans="1:43">
      <c r="A13" s="266"/>
      <c r="B13" s="893" t="s">
        <v>706</v>
      </c>
      <c r="C13" s="893"/>
      <c r="D13" s="703">
        <v>50.497900000000001</v>
      </c>
      <c r="E13" s="697">
        <v>39.642299999999999</v>
      </c>
      <c r="F13" s="697">
        <v>1.5885499999999999</v>
      </c>
      <c r="G13" s="698">
        <f>D13/D4*G4</f>
        <v>51.849611377662541</v>
      </c>
      <c r="H13" s="697">
        <v>3.3283299999999998</v>
      </c>
      <c r="I13" s="697">
        <v>15.305199999999999</v>
      </c>
      <c r="J13" s="697">
        <v>423.39100000000002</v>
      </c>
      <c r="K13" s="697">
        <v>27.7316</v>
      </c>
      <c r="L13" s="697">
        <v>0.77898400000000001</v>
      </c>
      <c r="M13" s="697">
        <v>200.11699999999999</v>
      </c>
      <c r="N13" s="863">
        <v>32.962200000000003</v>
      </c>
      <c r="O13" s="697">
        <v>320.59699999999998</v>
      </c>
      <c r="P13" s="697">
        <v>23.252400000000002</v>
      </c>
      <c r="Q13" s="697">
        <v>9.9569899999999993</v>
      </c>
      <c r="R13" s="697">
        <v>5.8608200000000004</v>
      </c>
      <c r="S13" s="697">
        <v>21.595300000000002</v>
      </c>
      <c r="T13" s="698">
        <f>AE13/AE4*T4</f>
        <v>1.7699464612724356</v>
      </c>
      <c r="U13" s="697">
        <v>260.96499999999997</v>
      </c>
      <c r="V13" s="697">
        <v>1.0028699999999999</v>
      </c>
      <c r="W13" s="697">
        <v>2.5625399999999998</v>
      </c>
      <c r="X13" s="697">
        <v>1.0808</v>
      </c>
      <c r="Y13" s="697">
        <v>0.38811800000000002</v>
      </c>
      <c r="Z13" s="697">
        <v>69.370699999999999</v>
      </c>
      <c r="AA13" s="698">
        <f>AE13/AE4*AA4</f>
        <v>75.748839072530899</v>
      </c>
      <c r="AB13" s="697">
        <v>30.697299999999998</v>
      </c>
      <c r="AC13" s="697">
        <v>32.224600000000002</v>
      </c>
      <c r="AD13" s="697">
        <v>0.56192200000000003</v>
      </c>
      <c r="AE13" s="697">
        <v>53.5867</v>
      </c>
      <c r="AF13" s="697">
        <v>7.9720700000000004</v>
      </c>
      <c r="AG13" s="697">
        <v>6.6916700000000002</v>
      </c>
      <c r="AH13" s="697">
        <v>182.42400000000001</v>
      </c>
      <c r="AI13" s="698">
        <f>Q13/Q4*AI4</f>
        <v>3.1748753063266588</v>
      </c>
      <c r="AJ13" s="698">
        <f>Q13/Q4*AJ4</f>
        <v>7.908407887993099</v>
      </c>
      <c r="AK13" s="698">
        <f>Q13/Q4*AK4</f>
        <v>1.5699798048129359</v>
      </c>
      <c r="AL13" s="698">
        <f>Q13/Q4*AL4</f>
        <v>5.6245793240035367</v>
      </c>
      <c r="AM13" s="698">
        <f>Q13/Q4*AM4</f>
        <v>25.478054052763504</v>
      </c>
      <c r="AN13" s="704">
        <f>Q13/Q4*AN4</f>
        <v>3.9011307053799422</v>
      </c>
      <c r="AO13" s="467"/>
      <c r="AP13" s="467"/>
      <c r="AQ13" s="467"/>
    </row>
    <row r="14" spans="1:43">
      <c r="A14" s="266"/>
      <c r="B14" s="893" t="s">
        <v>703</v>
      </c>
      <c r="C14" s="893"/>
      <c r="D14" s="703">
        <v>213.21199999999999</v>
      </c>
      <c r="E14" s="697">
        <v>241.749</v>
      </c>
      <c r="F14" s="697">
        <v>94.793999999999997</v>
      </c>
      <c r="G14" s="698">
        <f>D14/D4*G4</f>
        <v>218.91918953172677</v>
      </c>
      <c r="H14" s="697">
        <v>14.532400000000001</v>
      </c>
      <c r="I14" s="697">
        <v>143.81</v>
      </c>
      <c r="J14" s="697">
        <v>1631.9</v>
      </c>
      <c r="K14" s="697">
        <v>129.49700000000001</v>
      </c>
      <c r="L14" s="697">
        <v>23.226299999999998</v>
      </c>
      <c r="M14" s="697">
        <v>728.26300000000003</v>
      </c>
      <c r="N14" s="863">
        <v>150.18100000000001</v>
      </c>
      <c r="O14" s="697">
        <v>1978.11</v>
      </c>
      <c r="P14" s="697">
        <v>123.423</v>
      </c>
      <c r="Q14" s="697">
        <v>61.694200000000002</v>
      </c>
      <c r="R14" s="697">
        <v>119.88</v>
      </c>
      <c r="S14" s="697">
        <v>67.680499999999995</v>
      </c>
      <c r="T14" s="698">
        <f>AE14/AE4*T4</f>
        <v>7.4942146537097454</v>
      </c>
      <c r="U14" s="697">
        <v>945.62900000000002</v>
      </c>
      <c r="V14" s="697">
        <v>38.961799999999997</v>
      </c>
      <c r="W14" s="697">
        <v>9.7748600000000003</v>
      </c>
      <c r="X14" s="697">
        <v>27.456900000000001</v>
      </c>
      <c r="Y14" s="697">
        <v>8.2531700000000008</v>
      </c>
      <c r="Z14" s="697">
        <v>296.46899999999999</v>
      </c>
      <c r="AA14" s="698">
        <f>AE14/AE4*AA4</f>
        <v>320.73176912410776</v>
      </c>
      <c r="AB14" s="697">
        <v>407.42599999999999</v>
      </c>
      <c r="AC14" s="697">
        <v>171.95699999999999</v>
      </c>
      <c r="AD14" s="697">
        <v>202.58799999999999</v>
      </c>
      <c r="AE14" s="697">
        <v>226.89400000000001</v>
      </c>
      <c r="AF14" s="697">
        <v>37.132399999999997</v>
      </c>
      <c r="AG14" s="697">
        <v>55.63</v>
      </c>
      <c r="AH14" s="697">
        <v>1084.0999999999999</v>
      </c>
      <c r="AI14" s="698">
        <f>Q14/Q4*AI4</f>
        <v>19.671747397916256</v>
      </c>
      <c r="AJ14" s="698">
        <f>Q14/Q4*AJ4</f>
        <v>49.001043279487462</v>
      </c>
      <c r="AK14" s="698">
        <f>Q14/Q4*AK4</f>
        <v>9.7277036608543579</v>
      </c>
      <c r="AL14" s="698">
        <f>Q14/Q4*AL4</f>
        <v>34.850283241314798</v>
      </c>
      <c r="AM14" s="698">
        <f>Q14/Q4*AM4</f>
        <v>157.86378838805729</v>
      </c>
      <c r="AN14" s="704">
        <f>Q14/Q4*AN4</f>
        <v>24.171676175616454</v>
      </c>
      <c r="AO14" s="467"/>
      <c r="AP14" s="467"/>
      <c r="AQ14" s="467"/>
    </row>
    <row r="15" spans="1:43">
      <c r="A15" s="258"/>
      <c r="B15" s="890" t="s">
        <v>704</v>
      </c>
      <c r="C15" s="890"/>
      <c r="D15" s="705">
        <v>54.802900000000001</v>
      </c>
      <c r="E15" s="706">
        <v>67.856700000000004</v>
      </c>
      <c r="F15" s="706">
        <v>39.374000000000002</v>
      </c>
      <c r="G15" s="707">
        <f>D15/D4*G4</f>
        <v>56.269846218731921</v>
      </c>
      <c r="H15" s="706">
        <v>5.7826399999999998</v>
      </c>
      <c r="I15" s="706">
        <v>48.683199999999999</v>
      </c>
      <c r="J15" s="706">
        <v>526.61900000000003</v>
      </c>
      <c r="K15" s="706">
        <v>31.891300000000001</v>
      </c>
      <c r="L15" s="706">
        <v>9.3208400000000005</v>
      </c>
      <c r="M15" s="706">
        <v>315.005</v>
      </c>
      <c r="N15" s="864">
        <v>37.846400000000003</v>
      </c>
      <c r="O15" s="706">
        <v>475.29500000000002</v>
      </c>
      <c r="P15" s="706">
        <v>57.157400000000003</v>
      </c>
      <c r="Q15" s="706">
        <v>23.679500000000001</v>
      </c>
      <c r="R15" s="706">
        <v>44.834699999999998</v>
      </c>
      <c r="S15" s="706">
        <v>26.8002</v>
      </c>
      <c r="T15" s="707">
        <f>AE15/AE4*T4</f>
        <v>2.0721077105565398</v>
      </c>
      <c r="U15" s="706">
        <v>349.00200000000001</v>
      </c>
      <c r="V15" s="706">
        <v>14.9171</v>
      </c>
      <c r="W15" s="706">
        <v>2.9597500000000001</v>
      </c>
      <c r="X15" s="706">
        <v>11.9391</v>
      </c>
      <c r="Y15" s="706">
        <v>2.09754</v>
      </c>
      <c r="Z15" s="706">
        <v>99.336699999999993</v>
      </c>
      <c r="AA15" s="707">
        <f>AE15/AE4*AA4</f>
        <v>88.680509237018114</v>
      </c>
      <c r="AB15" s="706">
        <v>156.04499999999999</v>
      </c>
      <c r="AC15" s="706">
        <v>62.553600000000003</v>
      </c>
      <c r="AD15" s="706">
        <v>85.999600000000001</v>
      </c>
      <c r="AE15" s="706">
        <v>62.734900000000003</v>
      </c>
      <c r="AF15" s="706">
        <v>12.838800000000001</v>
      </c>
      <c r="AG15" s="706">
        <v>23.691600000000001</v>
      </c>
      <c r="AH15" s="706">
        <v>393.56099999999998</v>
      </c>
      <c r="AI15" s="707">
        <f>Q15/Q4*AI4</f>
        <v>7.5504203394963874</v>
      </c>
      <c r="AJ15" s="707">
        <f>Q15/Q4*AJ4</f>
        <v>18.80760597165736</v>
      </c>
      <c r="AK15" s="707">
        <f>Q15/Q4*AK4</f>
        <v>3.7336922893432574</v>
      </c>
      <c r="AL15" s="707">
        <f>Q15/Q4*AL4</f>
        <v>13.376253878204333</v>
      </c>
      <c r="AM15" s="707">
        <f>Q15/Q4*AM4</f>
        <v>60.591361540225861</v>
      </c>
      <c r="AN15" s="708">
        <f>Q15/Q4*AN4</f>
        <v>9.2775853483878521</v>
      </c>
      <c r="AO15" s="467"/>
      <c r="AP15" s="467"/>
      <c r="AQ15" s="467"/>
    </row>
    <row r="17" spans="1:40" ht="21">
      <c r="A17" s="3" t="s">
        <v>761</v>
      </c>
    </row>
    <row r="18" spans="1:40">
      <c r="D18" s="247" t="str">
        <f t="shared" ref="D18:AN18" si="3">D3</f>
        <v>AT</v>
      </c>
      <c r="E18" s="248" t="str">
        <f t="shared" si="3"/>
        <v>BE</v>
      </c>
      <c r="F18" s="248" t="str">
        <f t="shared" si="3"/>
        <v>BG</v>
      </c>
      <c r="G18" s="248" t="str">
        <f t="shared" si="3"/>
        <v>CH</v>
      </c>
      <c r="H18" s="248" t="str">
        <f t="shared" si="3"/>
        <v>CY</v>
      </c>
      <c r="I18" s="248" t="str">
        <f t="shared" si="3"/>
        <v>CZ</v>
      </c>
      <c r="J18" s="248" t="str">
        <f t="shared" si="3"/>
        <v>DE</v>
      </c>
      <c r="K18" s="248" t="str">
        <f t="shared" si="3"/>
        <v>DK</v>
      </c>
      <c r="L18" s="248" t="str">
        <f t="shared" si="3"/>
        <v>EE</v>
      </c>
      <c r="M18" s="248" t="str">
        <f t="shared" si="3"/>
        <v>ES</v>
      </c>
      <c r="N18" s="860" t="str">
        <f t="shared" si="3"/>
        <v>FI</v>
      </c>
      <c r="O18" s="248" t="str">
        <f t="shared" si="3"/>
        <v>FR</v>
      </c>
      <c r="P18" s="248" t="str">
        <f t="shared" si="3"/>
        <v>EL</v>
      </c>
      <c r="Q18" s="248" t="str">
        <f t="shared" si="3"/>
        <v>HR</v>
      </c>
      <c r="R18" s="248" t="str">
        <f t="shared" si="3"/>
        <v>HU</v>
      </c>
      <c r="S18" s="248" t="str">
        <f t="shared" si="3"/>
        <v>IE</v>
      </c>
      <c r="T18" s="248" t="str">
        <f t="shared" si="3"/>
        <v>IS</v>
      </c>
      <c r="U18" s="248" t="str">
        <f t="shared" si="3"/>
        <v>IT</v>
      </c>
      <c r="V18" s="248" t="str">
        <f t="shared" si="3"/>
        <v>LT</v>
      </c>
      <c r="W18" s="248" t="str">
        <f t="shared" si="3"/>
        <v>LU</v>
      </c>
      <c r="X18" s="248" t="str">
        <f t="shared" si="3"/>
        <v>LV</v>
      </c>
      <c r="Y18" s="248" t="str">
        <f t="shared" si="3"/>
        <v>MT</v>
      </c>
      <c r="Z18" s="248" t="str">
        <f t="shared" si="3"/>
        <v>NL</v>
      </c>
      <c r="AA18" s="248" t="str">
        <f t="shared" si="3"/>
        <v>NO</v>
      </c>
      <c r="AB18" s="248" t="str">
        <f t="shared" si="3"/>
        <v>PL</v>
      </c>
      <c r="AC18" s="248" t="str">
        <f t="shared" si="3"/>
        <v>PT</v>
      </c>
      <c r="AD18" s="248" t="str">
        <f t="shared" si="3"/>
        <v>RO</v>
      </c>
      <c r="AE18" s="248" t="str">
        <f t="shared" si="3"/>
        <v>SE</v>
      </c>
      <c r="AF18" s="248" t="str">
        <f t="shared" si="3"/>
        <v>SI</v>
      </c>
      <c r="AG18" s="248" t="str">
        <f t="shared" si="3"/>
        <v>SK</v>
      </c>
      <c r="AH18" s="248" t="str">
        <f t="shared" si="3"/>
        <v>UK</v>
      </c>
      <c r="AI18" s="717" t="str">
        <f t="shared" si="3"/>
        <v>AL</v>
      </c>
      <c r="AJ18" s="248" t="str">
        <f t="shared" si="3"/>
        <v>BA</v>
      </c>
      <c r="AK18" s="248" t="str">
        <f t="shared" si="3"/>
        <v>ME</v>
      </c>
      <c r="AL18" s="248" t="str">
        <f t="shared" si="3"/>
        <v>MK</v>
      </c>
      <c r="AM18" s="248" t="str">
        <f t="shared" si="3"/>
        <v>RS</v>
      </c>
      <c r="AN18" s="249" t="str">
        <f t="shared" si="3"/>
        <v>KS</v>
      </c>
    </row>
    <row r="19" spans="1:40">
      <c r="A19" s="716" t="s">
        <v>525</v>
      </c>
      <c r="B19" s="901"/>
      <c r="C19" s="901"/>
      <c r="D19" s="709">
        <f>D4/1000*41.868</f>
        <v>34.989715619999998</v>
      </c>
      <c r="E19" s="710">
        <f t="shared" ref="E19:AN19" si="4">E4/1000*41.868</f>
        <v>44.554669560000008</v>
      </c>
      <c r="F19" s="710">
        <f t="shared" si="4"/>
        <v>17.397996192000001</v>
      </c>
      <c r="G19" s="711">
        <f t="shared" si="4"/>
        <v>35.926308957638412</v>
      </c>
      <c r="H19" s="710">
        <f t="shared" si="4"/>
        <v>3.4821699336000003</v>
      </c>
      <c r="I19" s="710">
        <f t="shared" si="4"/>
        <v>20.618943300000002</v>
      </c>
      <c r="J19" s="710">
        <f t="shared" si="4"/>
        <v>302.33050272000003</v>
      </c>
      <c r="K19" s="710">
        <f t="shared" si="4"/>
        <v>23.453323164000004</v>
      </c>
      <c r="L19" s="710">
        <f t="shared" si="4"/>
        <v>4.2594828480000002</v>
      </c>
      <c r="M19" s="710">
        <f t="shared" si="4"/>
        <v>173.91171708000002</v>
      </c>
      <c r="N19" s="861">
        <f t="shared" si="4"/>
        <v>26.998496064000001</v>
      </c>
      <c r="O19" s="710">
        <f t="shared" si="4"/>
        <v>322.93793232000002</v>
      </c>
      <c r="P19" s="710">
        <f t="shared" si="4"/>
        <v>22.234755024000002</v>
      </c>
      <c r="Q19" s="710">
        <f t="shared" si="4"/>
        <v>10.923068124</v>
      </c>
      <c r="R19" s="710">
        <f t="shared" si="4"/>
        <v>18.260728199999999</v>
      </c>
      <c r="S19" s="710">
        <f t="shared" si="4"/>
        <v>17.057358144000002</v>
      </c>
      <c r="T19" s="710">
        <f t="shared" si="4"/>
        <v>1.4241340536669747</v>
      </c>
      <c r="U19" s="710">
        <f t="shared" si="4"/>
        <v>176.83745291999998</v>
      </c>
      <c r="V19" s="710">
        <f t="shared" si="4"/>
        <v>5.6993233679999999</v>
      </c>
      <c r="W19" s="710">
        <f t="shared" si="4"/>
        <v>2.0850850152000002</v>
      </c>
      <c r="X19" s="710">
        <f t="shared" si="4"/>
        <v>5.2817319360000008</v>
      </c>
      <c r="Y19" s="710">
        <f t="shared" si="4"/>
        <v>1.1534634000000001</v>
      </c>
      <c r="Z19" s="710">
        <f t="shared" si="4"/>
        <v>63.081259560000014</v>
      </c>
      <c r="AA19" s="710">
        <f t="shared" si="4"/>
        <v>60.949019424789284</v>
      </c>
      <c r="AB19" s="710">
        <f t="shared" si="4"/>
        <v>64.858974840000002</v>
      </c>
      <c r="AC19" s="710">
        <f t="shared" si="4"/>
        <v>33.582490272000001</v>
      </c>
      <c r="AD19" s="710">
        <f t="shared" si="4"/>
        <v>33.100422120000005</v>
      </c>
      <c r="AE19" s="710">
        <f t="shared" si="4"/>
        <v>43.116922440000003</v>
      </c>
      <c r="AF19" s="710">
        <f t="shared" si="4"/>
        <v>6.7425483240000013</v>
      </c>
      <c r="AG19" s="710">
        <f t="shared" si="4"/>
        <v>8.7367630320000007</v>
      </c>
      <c r="AH19" s="710">
        <f t="shared" si="4"/>
        <v>238.07024028000001</v>
      </c>
      <c r="AI19" s="712">
        <f t="shared" si="4"/>
        <v>3.4829179557488219</v>
      </c>
      <c r="AJ19" s="712">
        <f t="shared" si="4"/>
        <v>8.6757220920104956</v>
      </c>
      <c r="AK19" s="712">
        <f t="shared" si="4"/>
        <v>1.7223072797377441</v>
      </c>
      <c r="AL19" s="712">
        <f t="shared" si="4"/>
        <v>6.1703047934097039</v>
      </c>
      <c r="AM19" s="712">
        <f t="shared" si="4"/>
        <v>27.95006523912247</v>
      </c>
      <c r="AN19" s="713">
        <f t="shared" si="4"/>
        <v>4.2796383701794705</v>
      </c>
    </row>
    <row r="20" spans="1:40">
      <c r="A20" s="151" t="s">
        <v>752</v>
      </c>
      <c r="B20" s="902" t="s">
        <v>525</v>
      </c>
      <c r="C20" s="902"/>
      <c r="D20" s="701">
        <f t="shared" ref="D20:AN26" si="5">D5/1000*41.868</f>
        <v>11.489207220000001</v>
      </c>
      <c r="E20" s="699">
        <f t="shared" si="5"/>
        <v>15.38669934</v>
      </c>
      <c r="F20" s="699">
        <f t="shared" si="5"/>
        <v>6.4294594200000006</v>
      </c>
      <c r="G20" s="700">
        <f t="shared" si="5"/>
        <v>11.796768079745874</v>
      </c>
      <c r="H20" s="699">
        <f t="shared" si="5"/>
        <v>1.5403446540000003</v>
      </c>
      <c r="I20" s="699">
        <f t="shared" si="5"/>
        <v>5.527455228</v>
      </c>
      <c r="J20" s="699">
        <f t="shared" si="5"/>
        <v>91.546894080000001</v>
      </c>
      <c r="K20" s="699">
        <f t="shared" si="5"/>
        <v>7.3211640840000003</v>
      </c>
      <c r="L20" s="699">
        <f t="shared" si="5"/>
        <v>1.6358288148000002</v>
      </c>
      <c r="M20" s="699">
        <f t="shared" si="5"/>
        <v>65.07961920000001</v>
      </c>
      <c r="N20" s="862">
        <f t="shared" si="5"/>
        <v>8.9363059200000006</v>
      </c>
      <c r="O20" s="699">
        <f t="shared" si="5"/>
        <v>122.38853760000001</v>
      </c>
      <c r="P20" s="699">
        <f t="shared" si="5"/>
        <v>6.7433438160000012</v>
      </c>
      <c r="Q20" s="699">
        <f t="shared" si="5"/>
        <v>3.7435099896000001</v>
      </c>
      <c r="R20" s="699">
        <f t="shared" si="5"/>
        <v>5.0418701640000005</v>
      </c>
      <c r="S20" s="699">
        <f t="shared" si="5"/>
        <v>6.140737692000001</v>
      </c>
      <c r="T20" s="700">
        <f t="shared" si="5"/>
        <v>0.43142910597702611</v>
      </c>
      <c r="U20" s="699">
        <f t="shared" si="5"/>
        <v>54.956774160000002</v>
      </c>
      <c r="V20" s="699">
        <f t="shared" si="5"/>
        <v>1.6897631724000002</v>
      </c>
      <c r="W20" s="699">
        <f t="shared" si="5"/>
        <v>0.67839976440000005</v>
      </c>
      <c r="X20" s="699">
        <f t="shared" si="5"/>
        <v>2.0499326423999999</v>
      </c>
      <c r="Y20" s="699">
        <f t="shared" si="5"/>
        <v>0.36768896279999996</v>
      </c>
      <c r="Z20" s="699">
        <f t="shared" si="5"/>
        <v>19.399872744</v>
      </c>
      <c r="AA20" s="700">
        <f t="shared" si="5"/>
        <v>18.463978789711753</v>
      </c>
      <c r="AB20" s="699">
        <f t="shared" si="5"/>
        <v>19.598871347999999</v>
      </c>
      <c r="AC20" s="699">
        <f t="shared" si="5"/>
        <v>12.340216187999999</v>
      </c>
      <c r="AD20" s="699">
        <f t="shared" si="5"/>
        <v>10.003939920000001</v>
      </c>
      <c r="AE20" s="699">
        <f t="shared" si="5"/>
        <v>13.061894904000003</v>
      </c>
      <c r="AF20" s="699">
        <f t="shared" si="5"/>
        <v>2.4420892644000003</v>
      </c>
      <c r="AG20" s="699">
        <f t="shared" si="5"/>
        <v>2.5695312696000001</v>
      </c>
      <c r="AH20" s="699">
        <f t="shared" si="5"/>
        <v>82.328816520000004</v>
      </c>
      <c r="AI20" s="700">
        <f t="shared" si="5"/>
        <v>1.1936516381926878</v>
      </c>
      <c r="AJ20" s="700">
        <f t="shared" si="5"/>
        <v>2.9733085933132011</v>
      </c>
      <c r="AK20" s="700">
        <f t="shared" si="5"/>
        <v>0.59026222611326162</v>
      </c>
      <c r="AL20" s="700">
        <f t="shared" si="5"/>
        <v>2.1146620501481732</v>
      </c>
      <c r="AM20" s="700">
        <f t="shared" si="5"/>
        <v>9.5789339812623044</v>
      </c>
      <c r="AN20" s="702">
        <f t="shared" si="5"/>
        <v>1.4667004552907164</v>
      </c>
    </row>
    <row r="21" spans="1:40">
      <c r="A21" s="332"/>
      <c r="B21" s="894" t="s">
        <v>753</v>
      </c>
      <c r="C21" s="894"/>
      <c r="D21" s="703">
        <f t="shared" si="5"/>
        <v>2.056493358</v>
      </c>
      <c r="E21" s="697">
        <f t="shared" si="5"/>
        <v>2.8448803584000002</v>
      </c>
      <c r="F21" s="697">
        <f t="shared" si="5"/>
        <v>0.85862057040000006</v>
      </c>
      <c r="G21" s="698">
        <f t="shared" si="5"/>
        <v>2.1115409039394559</v>
      </c>
      <c r="H21" s="697">
        <f t="shared" si="5"/>
        <v>0.21087195012000004</v>
      </c>
      <c r="I21" s="697">
        <f t="shared" si="5"/>
        <v>1.2331256436000002</v>
      </c>
      <c r="J21" s="697">
        <f t="shared" si="5"/>
        <v>20.717500572000002</v>
      </c>
      <c r="K21" s="697">
        <f t="shared" si="5"/>
        <v>1.5166096847999999</v>
      </c>
      <c r="L21" s="697">
        <f t="shared" si="5"/>
        <v>0.38918022588000006</v>
      </c>
      <c r="M21" s="697">
        <f t="shared" si="5"/>
        <v>12.032611992</v>
      </c>
      <c r="N21" s="863">
        <f t="shared" si="5"/>
        <v>1.5774313283999999</v>
      </c>
      <c r="O21" s="697">
        <f t="shared" si="5"/>
        <v>20.263567716000001</v>
      </c>
      <c r="P21" s="697">
        <f t="shared" si="5"/>
        <v>1.3984665624000001</v>
      </c>
      <c r="Q21" s="697">
        <f t="shared" si="5"/>
        <v>0.72942848280000006</v>
      </c>
      <c r="R21" s="697">
        <f t="shared" si="5"/>
        <v>1.2436386984000001</v>
      </c>
      <c r="S21" s="697">
        <f t="shared" si="5"/>
        <v>1.0871319276</v>
      </c>
      <c r="T21" s="698">
        <f t="shared" si="5"/>
        <v>8.4053129477037705E-2</v>
      </c>
      <c r="U21" s="697">
        <f t="shared" si="5"/>
        <v>10.772971344</v>
      </c>
      <c r="V21" s="697">
        <f t="shared" si="5"/>
        <v>0.39060583127999998</v>
      </c>
      <c r="W21" s="697">
        <f t="shared" si="5"/>
        <v>0.13272825888000001</v>
      </c>
      <c r="X21" s="697">
        <f t="shared" si="5"/>
        <v>0.42521140800000001</v>
      </c>
      <c r="Y21" s="697">
        <f t="shared" si="5"/>
        <v>6.7492472040000001E-2</v>
      </c>
      <c r="Z21" s="697">
        <f t="shared" si="5"/>
        <v>4.1973088680000004</v>
      </c>
      <c r="AA21" s="698">
        <f t="shared" si="5"/>
        <v>3.5972426949691316</v>
      </c>
      <c r="AB21" s="697">
        <f t="shared" si="5"/>
        <v>4.8851163720000006</v>
      </c>
      <c r="AC21" s="697">
        <f t="shared" si="5"/>
        <v>1.8561717252000003</v>
      </c>
      <c r="AD21" s="697">
        <f t="shared" si="5"/>
        <v>2.3333245740000002</v>
      </c>
      <c r="AE21" s="697">
        <f t="shared" si="5"/>
        <v>2.5447830948000005</v>
      </c>
      <c r="AF21" s="697">
        <f t="shared" si="5"/>
        <v>0.46836475560000007</v>
      </c>
      <c r="AG21" s="697">
        <f t="shared" si="5"/>
        <v>0.70488964799999987</v>
      </c>
      <c r="AH21" s="697">
        <f t="shared" si="5"/>
        <v>16.702736184000003</v>
      </c>
      <c r="AI21" s="698">
        <f t="shared" si="5"/>
        <v>0.23258479498051526</v>
      </c>
      <c r="AJ21" s="698">
        <f t="shared" si="5"/>
        <v>0.57935359652890672</v>
      </c>
      <c r="AK21" s="698">
        <f t="shared" si="5"/>
        <v>0.1150134716466864</v>
      </c>
      <c r="AL21" s="698">
        <f t="shared" si="5"/>
        <v>0.41204504199523651</v>
      </c>
      <c r="AM21" s="698">
        <f t="shared" si="5"/>
        <v>1.8664695166313996</v>
      </c>
      <c r="AN21" s="704">
        <f t="shared" si="5"/>
        <v>0.28578876263105474</v>
      </c>
    </row>
    <row r="22" spans="1:40">
      <c r="A22" s="149"/>
      <c r="B22" s="895" t="s">
        <v>754</v>
      </c>
      <c r="C22" s="895"/>
      <c r="D22" s="705">
        <f t="shared" si="5"/>
        <v>9.4327347960000001</v>
      </c>
      <c r="E22" s="706">
        <f t="shared" si="5"/>
        <v>12.541852476000001</v>
      </c>
      <c r="F22" s="706">
        <f t="shared" si="5"/>
        <v>5.5708304759999994</v>
      </c>
      <c r="G22" s="707">
        <f t="shared" si="5"/>
        <v>9.6852271758064195</v>
      </c>
      <c r="H22" s="706">
        <f t="shared" si="5"/>
        <v>1.3294722852</v>
      </c>
      <c r="I22" s="706">
        <f t="shared" si="5"/>
        <v>4.2943170239999997</v>
      </c>
      <c r="J22" s="706">
        <f t="shared" si="5"/>
        <v>70.829351639999999</v>
      </c>
      <c r="K22" s="706">
        <f t="shared" si="5"/>
        <v>5.8045795199999999</v>
      </c>
      <c r="L22" s="706">
        <f t="shared" si="5"/>
        <v>1.2466490076000001</v>
      </c>
      <c r="M22" s="706">
        <f t="shared" si="5"/>
        <v>53.046756000000002</v>
      </c>
      <c r="N22" s="864">
        <f t="shared" si="5"/>
        <v>7.3588871520000003</v>
      </c>
      <c r="O22" s="706">
        <f t="shared" si="5"/>
        <v>102.12526295999999</v>
      </c>
      <c r="P22" s="706">
        <f t="shared" si="5"/>
        <v>5.3448688799999999</v>
      </c>
      <c r="Q22" s="706">
        <f t="shared" si="5"/>
        <v>3.0140815068000002</v>
      </c>
      <c r="R22" s="706">
        <f t="shared" si="5"/>
        <v>3.7982356524000003</v>
      </c>
      <c r="S22" s="706">
        <f t="shared" si="5"/>
        <v>5.0535932040000002</v>
      </c>
      <c r="T22" s="707">
        <f t="shared" si="5"/>
        <v>0.34737597649998836</v>
      </c>
      <c r="U22" s="706">
        <f t="shared" si="5"/>
        <v>44.183719080000003</v>
      </c>
      <c r="V22" s="706">
        <f t="shared" si="5"/>
        <v>1.2991556664000001</v>
      </c>
      <c r="W22" s="706">
        <f t="shared" si="5"/>
        <v>0.54567401760000001</v>
      </c>
      <c r="X22" s="706">
        <f t="shared" si="5"/>
        <v>1.6247212343999999</v>
      </c>
      <c r="Y22" s="706">
        <f t="shared" si="5"/>
        <v>0.30019649075999999</v>
      </c>
      <c r="Z22" s="706">
        <f t="shared" si="5"/>
        <v>15.202522008000001</v>
      </c>
      <c r="AA22" s="707">
        <f t="shared" si="5"/>
        <v>14.866736094742622</v>
      </c>
      <c r="AB22" s="706">
        <f t="shared" si="5"/>
        <v>14.713754976000002</v>
      </c>
      <c r="AC22" s="706">
        <f t="shared" si="5"/>
        <v>10.484040276</v>
      </c>
      <c r="AD22" s="706">
        <f t="shared" si="5"/>
        <v>7.670636280000001</v>
      </c>
      <c r="AE22" s="706">
        <f t="shared" si="5"/>
        <v>10.517115996000001</v>
      </c>
      <c r="AF22" s="706">
        <f t="shared" si="5"/>
        <v>1.9737245087999999</v>
      </c>
      <c r="AG22" s="706">
        <f t="shared" si="5"/>
        <v>1.8646374347999999</v>
      </c>
      <c r="AH22" s="706">
        <f t="shared" si="5"/>
        <v>65.626415280000003</v>
      </c>
      <c r="AI22" s="707">
        <f t="shared" si="5"/>
        <v>0.96106684321217262</v>
      </c>
      <c r="AJ22" s="707">
        <f t="shared" si="5"/>
        <v>2.3939549967842941</v>
      </c>
      <c r="AK22" s="707">
        <f t="shared" si="5"/>
        <v>0.47524875446657522</v>
      </c>
      <c r="AL22" s="707">
        <f t="shared" si="5"/>
        <v>1.7026170081529366</v>
      </c>
      <c r="AM22" s="707">
        <f t="shared" si="5"/>
        <v>7.712464464630906</v>
      </c>
      <c r="AN22" s="708">
        <f t="shared" si="5"/>
        <v>1.1809116926596617</v>
      </c>
    </row>
    <row r="23" spans="1:40">
      <c r="A23" s="151" t="s">
        <v>755</v>
      </c>
      <c r="B23" s="902" t="s">
        <v>525</v>
      </c>
      <c r="C23" s="902"/>
      <c r="D23" s="701">
        <f t="shared" si="5"/>
        <v>8.2897802639999991</v>
      </c>
      <c r="E23" s="699">
        <f t="shared" si="5"/>
        <v>10.460552328</v>
      </c>
      <c r="F23" s="699">
        <f t="shared" si="5"/>
        <v>5.2703857080000001</v>
      </c>
      <c r="G23" s="700">
        <f t="shared" si="5"/>
        <v>8.5116612128188525</v>
      </c>
      <c r="H23" s="699">
        <f t="shared" si="5"/>
        <v>0.78992774280000011</v>
      </c>
      <c r="I23" s="699">
        <f t="shared" si="5"/>
        <v>6.267388392</v>
      </c>
      <c r="J23" s="699">
        <f t="shared" si="5"/>
        <v>81.025047000000001</v>
      </c>
      <c r="K23" s="699">
        <f t="shared" si="5"/>
        <v>6.120934128</v>
      </c>
      <c r="L23" s="699">
        <f t="shared" si="5"/>
        <v>1.2134267496</v>
      </c>
      <c r="M23" s="699">
        <f t="shared" si="5"/>
        <v>48.306879719999998</v>
      </c>
      <c r="N23" s="862">
        <f t="shared" si="5"/>
        <v>6.3856236239999999</v>
      </c>
      <c r="O23" s="699">
        <f t="shared" si="5"/>
        <v>69.603037920000006</v>
      </c>
      <c r="P23" s="699">
        <f t="shared" si="5"/>
        <v>6.5162936519999999</v>
      </c>
      <c r="Q23" s="699">
        <f t="shared" si="5"/>
        <v>3.0163381920000001</v>
      </c>
      <c r="R23" s="699">
        <f t="shared" si="5"/>
        <v>6.0276522239999997</v>
      </c>
      <c r="S23" s="699">
        <f t="shared" si="5"/>
        <v>4.2949869120000006</v>
      </c>
      <c r="T23" s="700">
        <f t="shared" si="5"/>
        <v>0.38286337313030261</v>
      </c>
      <c r="U23" s="699">
        <f t="shared" si="5"/>
        <v>54.018512280000003</v>
      </c>
      <c r="V23" s="699">
        <f t="shared" si="5"/>
        <v>1.6853754060000001</v>
      </c>
      <c r="W23" s="699">
        <f t="shared" si="5"/>
        <v>0.59105892960000006</v>
      </c>
      <c r="X23" s="699">
        <f t="shared" si="5"/>
        <v>1.5172167708000002</v>
      </c>
      <c r="Y23" s="699">
        <f t="shared" si="5"/>
        <v>0.29098218131999998</v>
      </c>
      <c r="Z23" s="699">
        <f t="shared" si="5"/>
        <v>18.077388228</v>
      </c>
      <c r="AA23" s="700">
        <f t="shared" si="5"/>
        <v>16.385499037730298</v>
      </c>
      <c r="AB23" s="699">
        <f t="shared" si="5"/>
        <v>20.279896236000003</v>
      </c>
      <c r="AC23" s="699">
        <f t="shared" si="5"/>
        <v>8.8602317639999999</v>
      </c>
      <c r="AD23" s="699">
        <f t="shared" si="5"/>
        <v>10.971425664</v>
      </c>
      <c r="AE23" s="699">
        <f t="shared" si="5"/>
        <v>11.591490744</v>
      </c>
      <c r="AF23" s="699">
        <f t="shared" si="5"/>
        <v>1.6178088276</v>
      </c>
      <c r="AG23" s="699">
        <f t="shared" si="5"/>
        <v>2.5063733915999999</v>
      </c>
      <c r="AH23" s="699">
        <f t="shared" si="5"/>
        <v>68.246514720000008</v>
      </c>
      <c r="AI23" s="700">
        <f t="shared" si="5"/>
        <v>0.9617864074696072</v>
      </c>
      <c r="AJ23" s="700">
        <f t="shared" si="5"/>
        <v>2.3957473845477044</v>
      </c>
      <c r="AK23" s="700">
        <f t="shared" si="5"/>
        <v>0.47560457989070631</v>
      </c>
      <c r="AL23" s="700">
        <f t="shared" si="5"/>
        <v>1.703891781444534</v>
      </c>
      <c r="AM23" s="700">
        <f t="shared" si="5"/>
        <v>7.7182388952073824</v>
      </c>
      <c r="AN23" s="702">
        <f t="shared" si="5"/>
        <v>1.1817958578467409</v>
      </c>
    </row>
    <row r="24" spans="1:40">
      <c r="A24" s="332"/>
      <c r="B24" s="894" t="s">
        <v>702</v>
      </c>
      <c r="C24" s="894"/>
      <c r="D24" s="703">
        <f t="shared" si="5"/>
        <v>5.77945872</v>
      </c>
      <c r="E24" s="697">
        <f t="shared" si="5"/>
        <v>6.9864294239999998</v>
      </c>
      <c r="F24" s="697">
        <f t="shared" si="5"/>
        <v>2.9010714011999998</v>
      </c>
      <c r="G24" s="698">
        <f t="shared" si="5"/>
        <v>5.9341613929538255</v>
      </c>
      <c r="H24" s="697">
        <f t="shared" si="5"/>
        <v>0.4463505612</v>
      </c>
      <c r="I24" s="697">
        <f t="shared" si="5"/>
        <v>4.7556186479999996</v>
      </c>
      <c r="J24" s="697">
        <f t="shared" si="5"/>
        <v>59.113429200000013</v>
      </c>
      <c r="K24" s="697">
        <f t="shared" si="5"/>
        <v>4.7942628120000004</v>
      </c>
      <c r="L24" s="697">
        <f t="shared" si="5"/>
        <v>0.44197116840000006</v>
      </c>
      <c r="M24" s="697">
        <f t="shared" si="5"/>
        <v>26.421806231999998</v>
      </c>
      <c r="N24" s="863">
        <f t="shared" si="5"/>
        <v>4.5927939960000002</v>
      </c>
      <c r="O24" s="697">
        <f t="shared" si="5"/>
        <v>44.222237640000003</v>
      </c>
      <c r="P24" s="697">
        <f t="shared" si="5"/>
        <v>4.1347036476000003</v>
      </c>
      <c r="Q24" s="697">
        <f t="shared" si="5"/>
        <v>1.8812087892</v>
      </c>
      <c r="R24" s="697">
        <f t="shared" si="5"/>
        <v>4.1824834092000005</v>
      </c>
      <c r="S24" s="697">
        <f t="shared" si="5"/>
        <v>2.9502076860000002</v>
      </c>
      <c r="T24" s="698">
        <f t="shared" si="5"/>
        <v>0.29706255654274727</v>
      </c>
      <c r="U24" s="697">
        <f t="shared" si="5"/>
        <v>38.787687504000004</v>
      </c>
      <c r="V24" s="697">
        <f t="shared" si="5"/>
        <v>1.0368945143999999</v>
      </c>
      <c r="W24" s="697">
        <f t="shared" si="5"/>
        <v>0.44000755919999995</v>
      </c>
      <c r="X24" s="697">
        <f t="shared" si="5"/>
        <v>0.80640280080000004</v>
      </c>
      <c r="Y24" s="697">
        <f t="shared" si="5"/>
        <v>0.19713338460000002</v>
      </c>
      <c r="Z24" s="697">
        <f t="shared" si="5"/>
        <v>14.172611076000001</v>
      </c>
      <c r="AA24" s="698">
        <f t="shared" si="5"/>
        <v>12.713460142661104</v>
      </c>
      <c r="AB24" s="697">
        <f t="shared" si="5"/>
        <v>14.635168740000001</v>
      </c>
      <c r="AC24" s="697">
        <f t="shared" si="5"/>
        <v>5.3882859960000005</v>
      </c>
      <c r="AD24" s="697">
        <f t="shared" si="5"/>
        <v>5.6024826839999999</v>
      </c>
      <c r="AE24" s="697">
        <f t="shared" si="5"/>
        <v>8.9938325520000006</v>
      </c>
      <c r="AF24" s="697">
        <f t="shared" si="5"/>
        <v>0.97554533399999999</v>
      </c>
      <c r="AG24" s="697">
        <f t="shared" si="5"/>
        <v>1.6363270440000002</v>
      </c>
      <c r="AH24" s="697">
        <f t="shared" si="5"/>
        <v>49.37870052000001</v>
      </c>
      <c r="AI24" s="698">
        <f t="shared" si="5"/>
        <v>0.59984024598555929</v>
      </c>
      <c r="AJ24" s="698">
        <f t="shared" si="5"/>
        <v>1.4941630379734467</v>
      </c>
      <c r="AK24" s="698">
        <f t="shared" si="5"/>
        <v>0.2966217509187612</v>
      </c>
      <c r="AL24" s="698">
        <f t="shared" si="5"/>
        <v>1.0626713554867535</v>
      </c>
      <c r="AM24" s="698">
        <f t="shared" si="5"/>
        <v>4.8136574623225883</v>
      </c>
      <c r="AN24" s="704">
        <f t="shared" si="5"/>
        <v>0.73705420722314119</v>
      </c>
    </row>
    <row r="25" spans="1:40">
      <c r="A25" s="149"/>
      <c r="B25" s="895" t="s">
        <v>756</v>
      </c>
      <c r="C25" s="895"/>
      <c r="D25" s="705">
        <f t="shared" si="5"/>
        <v>2.5103047968000003</v>
      </c>
      <c r="E25" s="706">
        <f t="shared" si="5"/>
        <v>3.4741522116000003</v>
      </c>
      <c r="F25" s="706">
        <f t="shared" si="5"/>
        <v>2.3693184936000002</v>
      </c>
      <c r="G25" s="707">
        <f t="shared" si="5"/>
        <v>2.5774998198650265</v>
      </c>
      <c r="H25" s="706">
        <f t="shared" si="5"/>
        <v>0.34357801896000001</v>
      </c>
      <c r="I25" s="706">
        <f t="shared" si="5"/>
        <v>1.5117655571999999</v>
      </c>
      <c r="J25" s="706">
        <f t="shared" si="5"/>
        <v>21.911408460000004</v>
      </c>
      <c r="K25" s="706">
        <f t="shared" si="5"/>
        <v>1.3266461951999999</v>
      </c>
      <c r="L25" s="706">
        <f t="shared" si="5"/>
        <v>0.77145558120000002</v>
      </c>
      <c r="M25" s="706">
        <f t="shared" si="5"/>
        <v>21.885157224</v>
      </c>
      <c r="N25" s="864">
        <f t="shared" si="5"/>
        <v>1.7928380016000001</v>
      </c>
      <c r="O25" s="706">
        <f t="shared" si="5"/>
        <v>25.380758412000002</v>
      </c>
      <c r="P25" s="706">
        <f t="shared" si="5"/>
        <v>2.3815732571999999</v>
      </c>
      <c r="Q25" s="706">
        <f t="shared" si="5"/>
        <v>1.1351294028000001</v>
      </c>
      <c r="R25" s="706">
        <f t="shared" si="5"/>
        <v>1.8451688148000003</v>
      </c>
      <c r="S25" s="706">
        <f t="shared" si="5"/>
        <v>1.3447708524000002</v>
      </c>
      <c r="T25" s="707">
        <f t="shared" si="5"/>
        <v>8.5800816587555298E-2</v>
      </c>
      <c r="U25" s="706">
        <f t="shared" si="5"/>
        <v>15.230699172000001</v>
      </c>
      <c r="V25" s="706">
        <f t="shared" si="5"/>
        <v>0.6484808916</v>
      </c>
      <c r="W25" s="706">
        <f t="shared" si="5"/>
        <v>0.15105304512000001</v>
      </c>
      <c r="X25" s="706">
        <f t="shared" si="5"/>
        <v>0.71081397000000002</v>
      </c>
      <c r="Y25" s="706">
        <f t="shared" si="5"/>
        <v>9.3848796720000016E-2</v>
      </c>
      <c r="Z25" s="706">
        <f t="shared" si="5"/>
        <v>3.9048022728000005</v>
      </c>
      <c r="AA25" s="707">
        <f t="shared" si="5"/>
        <v>3.6720388950691945</v>
      </c>
      <c r="AB25" s="706">
        <f t="shared" si="5"/>
        <v>5.6447274959999998</v>
      </c>
      <c r="AC25" s="706">
        <f t="shared" si="5"/>
        <v>3.4719248340000002</v>
      </c>
      <c r="AD25" s="706">
        <f t="shared" si="5"/>
        <v>5.3689011120000005</v>
      </c>
      <c r="AE25" s="706">
        <f t="shared" si="5"/>
        <v>2.5976958732000002</v>
      </c>
      <c r="AF25" s="706">
        <f t="shared" si="5"/>
        <v>0.64226349360000001</v>
      </c>
      <c r="AG25" s="706">
        <f t="shared" si="5"/>
        <v>0.87004216080000008</v>
      </c>
      <c r="AH25" s="706">
        <f t="shared" si="5"/>
        <v>18.867897936000002</v>
      </c>
      <c r="AI25" s="707">
        <f t="shared" si="5"/>
        <v>0.36194616148404768</v>
      </c>
      <c r="AJ25" s="707">
        <f t="shared" si="5"/>
        <v>0.90158434657425768</v>
      </c>
      <c r="AK25" s="707">
        <f t="shared" si="5"/>
        <v>0.17898282897194523</v>
      </c>
      <c r="AL25" s="707">
        <f t="shared" si="5"/>
        <v>0.64122042595778073</v>
      </c>
      <c r="AM25" s="707">
        <f t="shared" si="5"/>
        <v>2.9045814328847936</v>
      </c>
      <c r="AN25" s="708">
        <f t="shared" si="5"/>
        <v>0.44474165062359994</v>
      </c>
    </row>
    <row r="26" spans="1:40">
      <c r="A26" s="151" t="s">
        <v>757</v>
      </c>
      <c r="B26" s="902" t="s">
        <v>525</v>
      </c>
      <c r="C26" s="902"/>
      <c r="D26" s="701">
        <f t="shared" si="5"/>
        <v>15.210728136000002</v>
      </c>
      <c r="E26" s="699">
        <f t="shared" si="5"/>
        <v>18.707585364</v>
      </c>
      <c r="F26" s="699">
        <f t="shared" si="5"/>
        <v>5.698151064000001</v>
      </c>
      <c r="G26" s="700">
        <f t="shared" si="5"/>
        <v>15.61784957297737</v>
      </c>
      <c r="H26" s="699">
        <f t="shared" si="5"/>
        <v>1.1518975368</v>
      </c>
      <c r="I26" s="699">
        <f t="shared" si="5"/>
        <v>8.8240578119999995</v>
      </c>
      <c r="J26" s="699">
        <f t="shared" si="5"/>
        <v>129.75856164000001</v>
      </c>
      <c r="K26" s="699">
        <f t="shared" si="5"/>
        <v>10.011224952000001</v>
      </c>
      <c r="L26" s="699">
        <f t="shared" si="5"/>
        <v>1.41021891</v>
      </c>
      <c r="M26" s="699">
        <f t="shared" si="5"/>
        <v>60.525218160000001</v>
      </c>
      <c r="N26" s="862">
        <f t="shared" si="5"/>
        <v>11.67656652</v>
      </c>
      <c r="O26" s="699">
        <f t="shared" si="5"/>
        <v>130.94635679999999</v>
      </c>
      <c r="P26" s="699">
        <f t="shared" si="5"/>
        <v>8.9751175560000007</v>
      </c>
      <c r="Q26" s="699">
        <f t="shared" si="5"/>
        <v>4.1632325028000006</v>
      </c>
      <c r="R26" s="699">
        <f t="shared" si="5"/>
        <v>7.1912058119999998</v>
      </c>
      <c r="S26" s="699">
        <f t="shared" si="5"/>
        <v>6.6216335399999995</v>
      </c>
      <c r="T26" s="700">
        <f t="shared" si="5"/>
        <v>0.60984890383776424</v>
      </c>
      <c r="U26" s="699">
        <f t="shared" si="5"/>
        <v>67.862585159999995</v>
      </c>
      <c r="V26" s="699">
        <f t="shared" si="5"/>
        <v>2.3241931631999999</v>
      </c>
      <c r="W26" s="699">
        <f t="shared" si="5"/>
        <v>0.8156263212</v>
      </c>
      <c r="X26" s="699">
        <f t="shared" si="5"/>
        <v>1.7145992700000001</v>
      </c>
      <c r="Y26" s="699">
        <f t="shared" si="5"/>
        <v>0.49479183719999997</v>
      </c>
      <c r="Z26" s="699">
        <f t="shared" si="5"/>
        <v>25.604166060000001</v>
      </c>
      <c r="AA26" s="700">
        <f t="shared" si="5"/>
        <v>26.099855270286408</v>
      </c>
      <c r="AB26" s="699">
        <f t="shared" si="5"/>
        <v>24.979997915999999</v>
      </c>
      <c r="AC26" s="699">
        <f t="shared" si="5"/>
        <v>12.38204232</v>
      </c>
      <c r="AD26" s="699">
        <f t="shared" si="5"/>
        <v>12.125056535999999</v>
      </c>
      <c r="AE26" s="699">
        <f t="shared" si="5"/>
        <v>18.463704264</v>
      </c>
      <c r="AF26" s="699">
        <f t="shared" si="5"/>
        <v>2.6826586055999999</v>
      </c>
      <c r="AG26" s="699">
        <f t="shared" si="5"/>
        <v>3.6608751180000003</v>
      </c>
      <c r="AH26" s="699">
        <f t="shared" si="5"/>
        <v>87.49490904000001</v>
      </c>
      <c r="AI26" s="700">
        <f t="shared" si="5"/>
        <v>1.3274833810829458</v>
      </c>
      <c r="AJ26" s="700">
        <f t="shared" si="5"/>
        <v>3.3066747601759086</v>
      </c>
      <c r="AK26" s="700">
        <f t="shared" ref="AK26:AN26" si="6">AK11/1000*41.868</f>
        <v>0.65644219014584104</v>
      </c>
      <c r="AL26" s="700">
        <f t="shared" si="6"/>
        <v>2.3517571110017075</v>
      </c>
      <c r="AM26" s="700">
        <f t="shared" si="6"/>
        <v>10.652920217048891</v>
      </c>
      <c r="AN26" s="702">
        <f t="shared" si="6"/>
        <v>1.6311463220317841</v>
      </c>
    </row>
    <row r="27" spans="1:40">
      <c r="A27" s="332"/>
      <c r="B27" s="894" t="s">
        <v>705</v>
      </c>
      <c r="C27" s="894"/>
      <c r="D27" s="703">
        <f t="shared" ref="D27:AN30" si="7">D12/1000*41.868</f>
        <v>1.8752007312000003</v>
      </c>
      <c r="E27" s="697">
        <f t="shared" si="7"/>
        <v>4.0852826604000008</v>
      </c>
      <c r="F27" s="697">
        <f t="shared" si="7"/>
        <v>1.4311445364000001E-2</v>
      </c>
      <c r="G27" s="698">
        <f t="shared" si="7"/>
        <v>1.9253954950171914</v>
      </c>
      <c r="H27" s="697">
        <f t="shared" si="7"/>
        <v>0.16199524692000003</v>
      </c>
      <c r="I27" s="697">
        <f t="shared" si="7"/>
        <v>0.12396026232</v>
      </c>
      <c r="J27" s="697">
        <f t="shared" si="7"/>
        <v>21.659153760000002</v>
      </c>
      <c r="K27" s="697">
        <f t="shared" si="7"/>
        <v>2.0931739128000002</v>
      </c>
      <c r="L27" s="697">
        <f t="shared" si="7"/>
        <v>1.4922550691999999E-2</v>
      </c>
      <c r="M27" s="697">
        <f t="shared" si="7"/>
        <v>8.4672587159999999</v>
      </c>
      <c r="N27" s="863">
        <f t="shared" si="7"/>
        <v>2.4241530132000002</v>
      </c>
      <c r="O27" s="697">
        <f t="shared" si="7"/>
        <v>14.804776007999999</v>
      </c>
      <c r="P27" s="697">
        <f t="shared" si="7"/>
        <v>0.44107100640000002</v>
      </c>
      <c r="Q27" s="697">
        <f t="shared" si="7"/>
        <v>0.17192549915999999</v>
      </c>
      <c r="R27" s="697">
        <f t="shared" si="7"/>
        <v>4.9544079120000001E-2</v>
      </c>
      <c r="S27" s="697">
        <f t="shared" si="7"/>
        <v>1.7617803192000001</v>
      </c>
      <c r="T27" s="698">
        <f t="shared" si="7"/>
        <v>0.13522200065010892</v>
      </c>
      <c r="U27" s="697">
        <f t="shared" si="7"/>
        <v>2.7328122828000003</v>
      </c>
      <c r="V27" s="697">
        <f t="shared" si="7"/>
        <v>2.6405017164E-2</v>
      </c>
      <c r="W27" s="697">
        <f t="shared" si="7"/>
        <v>0.17516440764000002</v>
      </c>
      <c r="X27" s="697">
        <f t="shared" si="7"/>
        <v>1.9912253328E-2</v>
      </c>
      <c r="Y27" s="697">
        <f t="shared" si="7"/>
        <v>4.5178921440000006E-2</v>
      </c>
      <c r="Z27" s="697">
        <f t="shared" si="7"/>
        <v>6.1281772920000002</v>
      </c>
      <c r="AA27" s="698">
        <f t="shared" si="7"/>
        <v>5.7871296055740684</v>
      </c>
      <c r="AB27" s="697">
        <f t="shared" si="7"/>
        <v>0.10338590843999999</v>
      </c>
      <c r="AC27" s="697">
        <f t="shared" si="7"/>
        <v>1.2143352852000002</v>
      </c>
      <c r="AD27" s="697">
        <f t="shared" si="7"/>
        <v>1.8963901260000002E-2</v>
      </c>
      <c r="AE27" s="697">
        <f t="shared" si="7"/>
        <v>4.0939660835999998</v>
      </c>
      <c r="AF27" s="697">
        <f t="shared" si="7"/>
        <v>0.25668935856000002</v>
      </c>
      <c r="AG27" s="697">
        <f t="shared" si="7"/>
        <v>5.9672366999999997E-2</v>
      </c>
      <c r="AH27" s="697">
        <f t="shared" si="7"/>
        <v>17.990553995999999</v>
      </c>
      <c r="AI27" s="698">
        <f t="shared" si="7"/>
        <v>5.4819982927668785E-2</v>
      </c>
      <c r="AJ27" s="698">
        <f t="shared" si="7"/>
        <v>0.13655301187448163</v>
      </c>
      <c r="AK27" s="698">
        <f t="shared" si="7"/>
        <v>2.7108550035059124E-2</v>
      </c>
      <c r="AL27" s="698">
        <f t="shared" si="7"/>
        <v>9.7118567744300596E-2</v>
      </c>
      <c r="AM27" s="698">
        <f t="shared" si="7"/>
        <v>0.43992483277042826</v>
      </c>
      <c r="AN27" s="704">
        <f t="shared" si="7"/>
        <v>6.7360100171924397E-2</v>
      </c>
    </row>
    <row r="28" spans="1:40">
      <c r="A28" s="332"/>
      <c r="B28" s="894" t="s">
        <v>706</v>
      </c>
      <c r="C28" s="894"/>
      <c r="D28" s="703">
        <f t="shared" si="7"/>
        <v>2.1142460772000002</v>
      </c>
      <c r="E28" s="697">
        <f t="shared" si="7"/>
        <v>1.6597438164</v>
      </c>
      <c r="F28" s="697">
        <f t="shared" si="7"/>
        <v>6.650941140000001E-2</v>
      </c>
      <c r="G28" s="698">
        <f t="shared" si="7"/>
        <v>2.1708395291599754</v>
      </c>
      <c r="H28" s="697">
        <f t="shared" si="7"/>
        <v>0.13935052044000001</v>
      </c>
      <c r="I28" s="697">
        <f t="shared" si="7"/>
        <v>0.64079811360000005</v>
      </c>
      <c r="J28" s="697">
        <f t="shared" si="7"/>
        <v>17.726534388000001</v>
      </c>
      <c r="K28" s="697">
        <f t="shared" si="7"/>
        <v>1.1610666288</v>
      </c>
      <c r="L28" s="697">
        <f t="shared" si="7"/>
        <v>3.2614502112000003E-2</v>
      </c>
      <c r="M28" s="697">
        <f t="shared" si="7"/>
        <v>8.3784985560000003</v>
      </c>
      <c r="N28" s="863">
        <f t="shared" si="7"/>
        <v>1.3800613896000002</v>
      </c>
      <c r="O28" s="697">
        <f t="shared" si="7"/>
        <v>13.422755195999999</v>
      </c>
      <c r="P28" s="697">
        <f t="shared" si="7"/>
        <v>0.97353148320000016</v>
      </c>
      <c r="Q28" s="697">
        <f t="shared" si="7"/>
        <v>0.41687925731999997</v>
      </c>
      <c r="R28" s="697">
        <f t="shared" si="7"/>
        <v>0.24538081176000001</v>
      </c>
      <c r="S28" s="697">
        <f t="shared" si="7"/>
        <v>0.90415202040000009</v>
      </c>
      <c r="T28" s="698">
        <f t="shared" si="7"/>
        <v>7.410411844055434E-2</v>
      </c>
      <c r="U28" s="697">
        <f t="shared" si="7"/>
        <v>10.926082620000001</v>
      </c>
      <c r="V28" s="697">
        <f t="shared" si="7"/>
        <v>4.1988161159999995E-2</v>
      </c>
      <c r="W28" s="697">
        <f t="shared" si="7"/>
        <v>0.10728842472</v>
      </c>
      <c r="X28" s="697">
        <f t="shared" si="7"/>
        <v>4.5250934400000005E-2</v>
      </c>
      <c r="Y28" s="697">
        <f t="shared" si="7"/>
        <v>1.6249724424000002E-2</v>
      </c>
      <c r="Z28" s="697">
        <f t="shared" si="7"/>
        <v>2.9044124675999998</v>
      </c>
      <c r="AA28" s="698">
        <f t="shared" si="7"/>
        <v>3.1714523942887238</v>
      </c>
      <c r="AB28" s="697">
        <f t="shared" si="7"/>
        <v>1.2852345563999998</v>
      </c>
      <c r="AC28" s="697">
        <f t="shared" si="7"/>
        <v>1.3491795528000001</v>
      </c>
      <c r="AD28" s="697">
        <f t="shared" si="7"/>
        <v>2.3526550296000003E-2</v>
      </c>
      <c r="AE28" s="697">
        <f t="shared" si="7"/>
        <v>2.2435679556000001</v>
      </c>
      <c r="AF28" s="697">
        <f t="shared" si="7"/>
        <v>0.33377462676000008</v>
      </c>
      <c r="AG28" s="697">
        <f t="shared" si="7"/>
        <v>0.28016683956000005</v>
      </c>
      <c r="AH28" s="697">
        <f t="shared" si="7"/>
        <v>7.6377280320000009</v>
      </c>
      <c r="AI28" s="698">
        <f t="shared" si="7"/>
        <v>0.13292567932528454</v>
      </c>
      <c r="AJ28" s="698">
        <f t="shared" si="7"/>
        <v>0.33110922145449506</v>
      </c>
      <c r="AK28" s="698">
        <f t="shared" si="7"/>
        <v>6.5731914467908006E-2</v>
      </c>
      <c r="AL28" s="698">
        <f t="shared" si="7"/>
        <v>0.23548988713738009</v>
      </c>
      <c r="AM28" s="698">
        <f t="shared" si="7"/>
        <v>1.0667151670811026</v>
      </c>
      <c r="AN28" s="704">
        <f t="shared" si="7"/>
        <v>0.16333254037284742</v>
      </c>
    </row>
    <row r="29" spans="1:40">
      <c r="A29" s="332"/>
      <c r="B29" s="894" t="s">
        <v>703</v>
      </c>
      <c r="C29" s="894"/>
      <c r="D29" s="703">
        <f t="shared" si="7"/>
        <v>8.9267600159999994</v>
      </c>
      <c r="E29" s="697">
        <f t="shared" si="7"/>
        <v>10.121547132</v>
      </c>
      <c r="F29" s="697">
        <f t="shared" si="7"/>
        <v>3.9688351920000002</v>
      </c>
      <c r="G29" s="698">
        <f t="shared" si="7"/>
        <v>9.165708627314336</v>
      </c>
      <c r="H29" s="697">
        <f t="shared" si="7"/>
        <v>0.60844252320000003</v>
      </c>
      <c r="I29" s="697">
        <f t="shared" si="7"/>
        <v>6.0210370800000002</v>
      </c>
      <c r="J29" s="697">
        <f t="shared" si="7"/>
        <v>68.324389200000013</v>
      </c>
      <c r="K29" s="697">
        <f t="shared" si="7"/>
        <v>5.4217803959999999</v>
      </c>
      <c r="L29" s="697">
        <f t="shared" si="7"/>
        <v>0.97243872840000001</v>
      </c>
      <c r="M29" s="697">
        <f t="shared" si="7"/>
        <v>30.490915284</v>
      </c>
      <c r="N29" s="863">
        <f t="shared" si="7"/>
        <v>6.2877781080000004</v>
      </c>
      <c r="O29" s="697">
        <f t="shared" si="7"/>
        <v>82.819509479999994</v>
      </c>
      <c r="P29" s="697">
        <f t="shared" si="7"/>
        <v>5.1674741640000006</v>
      </c>
      <c r="Q29" s="697">
        <f t="shared" si="7"/>
        <v>2.5830127656000004</v>
      </c>
      <c r="R29" s="697">
        <f t="shared" si="7"/>
        <v>5.0191358400000006</v>
      </c>
      <c r="S29" s="697">
        <f t="shared" si="7"/>
        <v>2.8336471739999998</v>
      </c>
      <c r="T29" s="698">
        <f t="shared" si="7"/>
        <v>0.3137677791215196</v>
      </c>
      <c r="U29" s="697">
        <f t="shared" si="7"/>
        <v>39.591594972000003</v>
      </c>
      <c r="V29" s="697">
        <f t="shared" si="7"/>
        <v>1.6312526424</v>
      </c>
      <c r="W29" s="697">
        <f t="shared" si="7"/>
        <v>0.40925383848000002</v>
      </c>
      <c r="X29" s="697">
        <f t="shared" si="7"/>
        <v>1.1495654892</v>
      </c>
      <c r="Y29" s="697">
        <f t="shared" si="7"/>
        <v>0.34554372156000002</v>
      </c>
      <c r="Z29" s="697">
        <f t="shared" si="7"/>
        <v>12.412564092</v>
      </c>
      <c r="AA29" s="698">
        <f t="shared" si="7"/>
        <v>13.428397709688145</v>
      </c>
      <c r="AB29" s="697">
        <f t="shared" si="7"/>
        <v>17.058111768</v>
      </c>
      <c r="AC29" s="697">
        <f t="shared" si="7"/>
        <v>7.1994956760000006</v>
      </c>
      <c r="AD29" s="697">
        <f t="shared" si="7"/>
        <v>8.4819543839999998</v>
      </c>
      <c r="AE29" s="697">
        <f t="shared" si="7"/>
        <v>9.4995979920000018</v>
      </c>
      <c r="AF29" s="697">
        <f t="shared" si="7"/>
        <v>1.5546593231999999</v>
      </c>
      <c r="AG29" s="697">
        <f t="shared" si="7"/>
        <v>2.3291168400000002</v>
      </c>
      <c r="AH29" s="697">
        <f t="shared" si="7"/>
        <v>45.389098799999992</v>
      </c>
      <c r="AI29" s="698">
        <f t="shared" si="7"/>
        <v>0.82361672005595787</v>
      </c>
      <c r="AJ29" s="698">
        <f t="shared" si="7"/>
        <v>2.0515756800255813</v>
      </c>
      <c r="AK29" s="698">
        <f t="shared" si="7"/>
        <v>0.4072794968726503</v>
      </c>
      <c r="AL29" s="698">
        <f t="shared" si="7"/>
        <v>1.459111658747368</v>
      </c>
      <c r="AM29" s="698">
        <f t="shared" si="7"/>
        <v>6.609441092231183</v>
      </c>
      <c r="AN29" s="704">
        <f t="shared" si="7"/>
        <v>1.0120197381207099</v>
      </c>
    </row>
    <row r="30" spans="1:40">
      <c r="A30" s="149"/>
      <c r="B30" s="895" t="s">
        <v>704</v>
      </c>
      <c r="C30" s="895"/>
      <c r="D30" s="705">
        <f t="shared" si="7"/>
        <v>2.2944878172000003</v>
      </c>
      <c r="E30" s="706">
        <f t="shared" si="7"/>
        <v>2.8410243156000003</v>
      </c>
      <c r="F30" s="706">
        <f t="shared" si="7"/>
        <v>1.648510632</v>
      </c>
      <c r="G30" s="707">
        <f t="shared" si="7"/>
        <v>2.355905921485868</v>
      </c>
      <c r="H30" s="706">
        <f t="shared" si="7"/>
        <v>0.24210757151999998</v>
      </c>
      <c r="I30" s="706">
        <f t="shared" si="7"/>
        <v>2.0382682175999998</v>
      </c>
      <c r="J30" s="706">
        <f t="shared" si="7"/>
        <v>22.048484292000005</v>
      </c>
      <c r="K30" s="706">
        <f t="shared" si="7"/>
        <v>1.3352249484000003</v>
      </c>
      <c r="L30" s="706">
        <f t="shared" si="7"/>
        <v>0.39024492912000003</v>
      </c>
      <c r="M30" s="706">
        <f t="shared" si="7"/>
        <v>13.18862934</v>
      </c>
      <c r="N30" s="864">
        <f t="shared" si="7"/>
        <v>1.5845530752000001</v>
      </c>
      <c r="O30" s="706">
        <f t="shared" si="7"/>
        <v>19.899651060000004</v>
      </c>
      <c r="P30" s="706">
        <f t="shared" si="7"/>
        <v>2.3930660232000003</v>
      </c>
      <c r="Q30" s="706">
        <f t="shared" si="7"/>
        <v>0.99141330599999999</v>
      </c>
      <c r="R30" s="706">
        <f t="shared" si="7"/>
        <v>1.8771392196000001</v>
      </c>
      <c r="S30" s="706">
        <f t="shared" si="7"/>
        <v>1.1220707736</v>
      </c>
      <c r="T30" s="707">
        <f t="shared" si="7"/>
        <v>8.6755005625581222E-2</v>
      </c>
      <c r="U30" s="706">
        <f t="shared" si="7"/>
        <v>14.612015736000002</v>
      </c>
      <c r="V30" s="706">
        <f t="shared" si="7"/>
        <v>0.62454914279999996</v>
      </c>
      <c r="W30" s="706">
        <f t="shared" si="7"/>
        <v>0.12391881300000002</v>
      </c>
      <c r="X30" s="706">
        <f t="shared" si="7"/>
        <v>0.49986623879999997</v>
      </c>
      <c r="Y30" s="706">
        <f t="shared" si="7"/>
        <v>8.7819804720000005E-2</v>
      </c>
      <c r="Z30" s="706">
        <f t="shared" si="7"/>
        <v>4.1590289556000002</v>
      </c>
      <c r="AA30" s="707">
        <f t="shared" si="7"/>
        <v>3.7128755607354749</v>
      </c>
      <c r="AB30" s="706">
        <f t="shared" si="7"/>
        <v>6.53329206</v>
      </c>
      <c r="AC30" s="706">
        <f t="shared" si="7"/>
        <v>2.6189941248000004</v>
      </c>
      <c r="AD30" s="706">
        <f t="shared" si="7"/>
        <v>3.6006312528</v>
      </c>
      <c r="AE30" s="706">
        <f t="shared" si="7"/>
        <v>2.6265847932000006</v>
      </c>
      <c r="AF30" s="706">
        <f t="shared" si="7"/>
        <v>0.53753487840000003</v>
      </c>
      <c r="AG30" s="706">
        <f t="shared" si="7"/>
        <v>0.99191990880000003</v>
      </c>
      <c r="AH30" s="706">
        <f t="shared" si="7"/>
        <v>16.477611948</v>
      </c>
      <c r="AI30" s="707">
        <f t="shared" si="7"/>
        <v>0.31612099877403477</v>
      </c>
      <c r="AJ30" s="707">
        <f t="shared" si="7"/>
        <v>0.7874368468213504</v>
      </c>
      <c r="AK30" s="707">
        <f t="shared" si="7"/>
        <v>0.1563222287702235</v>
      </c>
      <c r="AL30" s="707">
        <f t="shared" si="7"/>
        <v>0.56003699737265911</v>
      </c>
      <c r="AM30" s="707">
        <f t="shared" si="7"/>
        <v>2.5368391249661766</v>
      </c>
      <c r="AN30" s="708">
        <f t="shared" si="7"/>
        <v>0.38843394336630266</v>
      </c>
    </row>
    <row r="31" spans="1:40">
      <c r="E31" s="467"/>
      <c r="F31" s="467"/>
      <c r="G31" s="467"/>
      <c r="H31" s="467"/>
      <c r="I31" s="467"/>
      <c r="J31" s="467"/>
      <c r="K31" s="467"/>
      <c r="L31" s="467"/>
      <c r="M31" s="467"/>
      <c r="N31" s="866"/>
      <c r="O31" s="467"/>
      <c r="P31" s="467"/>
      <c r="Q31" s="467"/>
      <c r="R31" s="467"/>
      <c r="S31" s="467"/>
      <c r="T31" s="467"/>
      <c r="U31" s="467"/>
      <c r="V31" s="467"/>
      <c r="W31" s="467"/>
      <c r="X31" s="467"/>
      <c r="Y31" s="467"/>
      <c r="Z31" s="467"/>
      <c r="AA31" s="467"/>
      <c r="AB31" s="467"/>
      <c r="AC31" s="467"/>
      <c r="AD31" s="467"/>
      <c r="AE31" s="467"/>
      <c r="AF31" s="467"/>
      <c r="AG31" s="467"/>
      <c r="AH31" s="467"/>
      <c r="AI31" s="467"/>
      <c r="AJ31" s="467"/>
      <c r="AK31" s="467"/>
      <c r="AL31" s="467"/>
      <c r="AM31" s="467"/>
      <c r="AN31" s="467"/>
    </row>
    <row r="32" spans="1:40">
      <c r="A32" s="718" t="s">
        <v>758</v>
      </c>
      <c r="B32" s="719"/>
      <c r="C32" s="720"/>
      <c r="D32" s="721">
        <f t="shared" ref="D32:AN32" si="8">D19/3.6*10^9/D77/10^6</f>
        <v>3.6804904043502296</v>
      </c>
      <c r="E32" s="722">
        <f t="shared" si="8"/>
        <v>4.7593454518885414</v>
      </c>
      <c r="F32" s="722">
        <f t="shared" si="8"/>
        <v>2.6119305398671542</v>
      </c>
      <c r="G32" s="722">
        <f t="shared" si="8"/>
        <v>3.7790085755006735</v>
      </c>
      <c r="H32" s="722">
        <f t="shared" si="8"/>
        <v>0.29396801777296921</v>
      </c>
      <c r="I32" s="722">
        <f t="shared" si="8"/>
        <v>4.1789067687166668</v>
      </c>
      <c r="J32" s="722">
        <f t="shared" si="8"/>
        <v>40.303833679674035</v>
      </c>
      <c r="K32" s="722">
        <f t="shared" si="8"/>
        <v>2.8128735271386445</v>
      </c>
      <c r="L32" s="722">
        <f t="shared" si="8"/>
        <v>0.59042874323211669</v>
      </c>
      <c r="M32" s="722">
        <f t="shared" si="8"/>
        <v>17.766535973432291</v>
      </c>
      <c r="N32" s="867">
        <f t="shared" si="8"/>
        <v>2.5832035023301798</v>
      </c>
      <c r="O32" s="722">
        <f t="shared" si="8"/>
        <v>29.052362988632318</v>
      </c>
      <c r="P32" s="722">
        <f t="shared" si="8"/>
        <v>4.2684512049316856</v>
      </c>
      <c r="Q32" s="722">
        <f t="shared" si="8"/>
        <v>1.6043960035322047</v>
      </c>
      <c r="R32" s="722">
        <f t="shared" si="8"/>
        <v>3.8717251091503062</v>
      </c>
      <c r="S32" s="722">
        <f t="shared" si="8"/>
        <v>1.7010253350422018</v>
      </c>
      <c r="T32" s="722">
        <f t="shared" si="8"/>
        <v>0.14700969281448079</v>
      </c>
      <c r="U32" s="722">
        <f t="shared" si="8"/>
        <v>25.315148783755919</v>
      </c>
      <c r="V32" s="722">
        <f t="shared" si="8"/>
        <v>1.2884508919851552</v>
      </c>
      <c r="W32" s="722">
        <f t="shared" si="8"/>
        <v>0.20142666235428319</v>
      </c>
      <c r="X32" s="722">
        <f t="shared" si="8"/>
        <v>0.83663950000570275</v>
      </c>
      <c r="Y32" s="722">
        <f t="shared" si="8"/>
        <v>0.1457081984210718</v>
      </c>
      <c r="Z32" s="722">
        <f t="shared" si="8"/>
        <v>7.4540981312188146</v>
      </c>
      <c r="AA32" s="722">
        <f t="shared" si="8"/>
        <v>6.291610399955621</v>
      </c>
      <c r="AB32" s="722">
        <f t="shared" si="8"/>
        <v>13.633694474293584</v>
      </c>
      <c r="AC32" s="722">
        <f t="shared" si="8"/>
        <v>3.9269829760722041</v>
      </c>
      <c r="AD32" s="722">
        <f t="shared" si="8"/>
        <v>7.1072372052037203</v>
      </c>
      <c r="AE32" s="722">
        <f t="shared" si="8"/>
        <v>4.4508489258360502</v>
      </c>
      <c r="AF32" s="722">
        <f t="shared" si="8"/>
        <v>0.79849677903452043</v>
      </c>
      <c r="AG32" s="722">
        <f t="shared" si="8"/>
        <v>1.9337832333325364</v>
      </c>
      <c r="AH32" s="722">
        <f t="shared" si="8"/>
        <v>26.713291201622251</v>
      </c>
      <c r="AI32" s="722">
        <f t="shared" si="8"/>
        <v>0.51157601375351147</v>
      </c>
      <c r="AJ32" s="722">
        <f t="shared" si="8"/>
        <v>1.2743025763607969</v>
      </c>
      <c r="AK32" s="722">
        <f t="shared" si="8"/>
        <v>0.25297497782644601</v>
      </c>
      <c r="AL32" s="722">
        <f t="shared" si="8"/>
        <v>0.90630326925919813</v>
      </c>
      <c r="AM32" s="722">
        <f t="shared" si="8"/>
        <v>4.1053459027307708</v>
      </c>
      <c r="AN32" s="723">
        <f t="shared" si="8"/>
        <v>0.62859945756381708</v>
      </c>
    </row>
    <row r="33" spans="1:40">
      <c r="D33" s="467"/>
      <c r="E33" s="467"/>
      <c r="F33" s="467"/>
      <c r="G33" s="467"/>
      <c r="H33" s="467"/>
      <c r="I33" s="467"/>
      <c r="J33" s="467"/>
      <c r="K33" s="467"/>
      <c r="L33" s="467"/>
      <c r="M33" s="467"/>
      <c r="N33" s="866"/>
      <c r="O33" s="467"/>
      <c r="P33" s="467"/>
      <c r="Q33" s="467"/>
      <c r="R33" s="467"/>
      <c r="S33" s="467"/>
      <c r="T33" s="467"/>
      <c r="U33" s="467"/>
      <c r="V33" s="467"/>
      <c r="W33" s="467"/>
      <c r="X33" s="467"/>
      <c r="Y33" s="467"/>
      <c r="Z33" s="467"/>
      <c r="AA33" s="467"/>
      <c r="AB33" s="467"/>
      <c r="AC33" s="467"/>
      <c r="AD33" s="467"/>
      <c r="AE33" s="467"/>
      <c r="AF33" s="467"/>
      <c r="AG33" s="467"/>
      <c r="AH33" s="467"/>
      <c r="AI33" s="467"/>
      <c r="AJ33" s="467"/>
      <c r="AK33" s="467"/>
      <c r="AL33" s="467"/>
      <c r="AM33" s="467"/>
      <c r="AN33" s="467"/>
    </row>
    <row r="34" spans="1:40">
      <c r="A34" s="686" t="s">
        <v>696</v>
      </c>
      <c r="B34" s="729"/>
      <c r="C34" s="730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868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724"/>
      <c r="AB34" s="724"/>
      <c r="AC34" s="724"/>
      <c r="AD34" s="724"/>
      <c r="AE34" s="724"/>
      <c r="AF34" s="724"/>
      <c r="AG34" s="724"/>
      <c r="AH34" s="724"/>
      <c r="AI34" s="724"/>
      <c r="AJ34" s="724"/>
      <c r="AK34" s="724"/>
      <c r="AL34" s="724"/>
      <c r="AM34" s="724"/>
      <c r="AN34" s="725"/>
    </row>
    <row r="35" spans="1:40">
      <c r="A35" s="408"/>
      <c r="B35" s="731" t="str">
        <f t="shared" ref="B35:B42" si="9">B48</f>
        <v>ICT equipment</v>
      </c>
      <c r="C35" s="732"/>
      <c r="D35" s="467">
        <f t="shared" ref="D35:AN35" si="10">D32*D48</f>
        <v>2.7837205148782744</v>
      </c>
      <c r="E35" s="467">
        <f t="shared" si="10"/>
        <v>3.6250792064126567</v>
      </c>
      <c r="F35" s="467">
        <f t="shared" si="10"/>
        <v>0.90755966889602058</v>
      </c>
      <c r="G35" s="467">
        <f t="shared" si="10"/>
        <v>2.8582342410370569</v>
      </c>
      <c r="H35" s="467">
        <f t="shared" si="10"/>
        <v>0.17820194253388508</v>
      </c>
      <c r="I35" s="467">
        <f t="shared" si="10"/>
        <v>2.6574712868961461</v>
      </c>
      <c r="J35" s="467">
        <f t="shared" si="10"/>
        <v>34.306623228138534</v>
      </c>
      <c r="K35" s="467">
        <f t="shared" si="10"/>
        <v>2.4581082921488644</v>
      </c>
      <c r="L35" s="467">
        <f t="shared" si="10"/>
        <v>0.40590204810978325</v>
      </c>
      <c r="M35" s="467">
        <f t="shared" si="10"/>
        <v>12.121521198985727</v>
      </c>
      <c r="N35" s="866">
        <f t="shared" si="10"/>
        <v>2.1025261610235848</v>
      </c>
      <c r="O35" s="467">
        <f t="shared" si="10"/>
        <v>22.049784780393303</v>
      </c>
      <c r="P35" s="467">
        <f t="shared" si="10"/>
        <v>2.2622834070649986</v>
      </c>
      <c r="Q35" s="467">
        <f t="shared" si="10"/>
        <v>0.95566971027598246</v>
      </c>
      <c r="R35" s="467">
        <f t="shared" si="10"/>
        <v>2.5537395495691233</v>
      </c>
      <c r="S35" s="467">
        <f t="shared" si="10"/>
        <v>1.2912568369572106</v>
      </c>
      <c r="T35" s="467">
        <f t="shared" si="10"/>
        <v>0.1306244334824572</v>
      </c>
      <c r="U35" s="467">
        <f t="shared" si="10"/>
        <v>16.297133332518548</v>
      </c>
      <c r="V35" s="467">
        <f t="shared" si="10"/>
        <v>0.70351866759084247</v>
      </c>
      <c r="W35" s="467">
        <f t="shared" si="10"/>
        <v>0.18040154591108076</v>
      </c>
      <c r="X35" s="467">
        <f t="shared" si="10"/>
        <v>0.47343254042622701</v>
      </c>
      <c r="Y35" s="467">
        <f t="shared" si="10"/>
        <v>9.6122241416396859E-2</v>
      </c>
      <c r="Z35" s="467">
        <f t="shared" si="10"/>
        <v>6.8060910183775691</v>
      </c>
      <c r="AA35" s="467">
        <f t="shared" si="10"/>
        <v>5.5903663796077669</v>
      </c>
      <c r="AB35" s="467">
        <f t="shared" si="10"/>
        <v>9.3420255928975529</v>
      </c>
      <c r="AC35" s="467">
        <f t="shared" si="10"/>
        <v>2.3157457879727548</v>
      </c>
      <c r="AD35" s="467">
        <f t="shared" si="10"/>
        <v>3.3867833164469081</v>
      </c>
      <c r="AE35" s="467">
        <f t="shared" si="10"/>
        <v>3.9547706571091412</v>
      </c>
      <c r="AF35" s="467">
        <f t="shared" si="10"/>
        <v>0.55856766085734388</v>
      </c>
      <c r="AG35" s="467">
        <f t="shared" si="10"/>
        <v>1.3856175677462288</v>
      </c>
      <c r="AH35" s="467">
        <f t="shared" si="10"/>
        <v>21.89675123151375</v>
      </c>
      <c r="AI35" s="467">
        <f t="shared" si="10"/>
        <v>0.30472383362437538</v>
      </c>
      <c r="AJ35" s="467">
        <f t="shared" si="10"/>
        <v>0.75904724972734317</v>
      </c>
      <c r="AK35" s="467">
        <f t="shared" si="10"/>
        <v>0.15068631636716734</v>
      </c>
      <c r="AL35" s="467">
        <f t="shared" si="10"/>
        <v>0.53984588645712617</v>
      </c>
      <c r="AM35" s="467">
        <f t="shared" si="10"/>
        <v>2.4453780243829026</v>
      </c>
      <c r="AN35" s="726">
        <f t="shared" si="10"/>
        <v>0.37442966709409059</v>
      </c>
    </row>
    <row r="36" spans="1:40">
      <c r="A36" s="408"/>
      <c r="B36" s="731" t="str">
        <f t="shared" si="9"/>
        <v>TV and multimedia</v>
      </c>
      <c r="C36" s="732"/>
      <c r="D36" s="467">
        <f t="shared" ref="D36:AN36" si="11">D32*D49</f>
        <v>4.71739496596782</v>
      </c>
      <c r="E36" s="467">
        <f t="shared" si="11"/>
        <v>6.0069602686466039</v>
      </c>
      <c r="F36" s="467">
        <f t="shared" si="11"/>
        <v>2.3456389974666179</v>
      </c>
      <c r="G36" s="467">
        <f t="shared" si="11"/>
        <v>4.8436686614764781</v>
      </c>
      <c r="H36" s="467">
        <f t="shared" si="11"/>
        <v>0.4694728037437873</v>
      </c>
      <c r="I36" s="467">
        <f t="shared" si="11"/>
        <v>2.7798923606857011</v>
      </c>
      <c r="J36" s="467">
        <f t="shared" si="11"/>
        <v>40.760879153601536</v>
      </c>
      <c r="K36" s="467">
        <f t="shared" si="11"/>
        <v>3.1620355180623645</v>
      </c>
      <c r="L36" s="467">
        <f t="shared" si="11"/>
        <v>0.57427343195979952</v>
      </c>
      <c r="M36" s="467">
        <f t="shared" si="11"/>
        <v>23.44720818557753</v>
      </c>
      <c r="N36" s="866">
        <f t="shared" si="11"/>
        <v>3.6399920551334564</v>
      </c>
      <c r="O36" s="467">
        <f t="shared" si="11"/>
        <v>43.539323792913827</v>
      </c>
      <c r="P36" s="467">
        <f t="shared" si="11"/>
        <v>2.997729012772318</v>
      </c>
      <c r="Q36" s="467">
        <f t="shared" si="11"/>
        <v>1.4726670696621931</v>
      </c>
      <c r="R36" s="467">
        <f t="shared" si="11"/>
        <v>2.461956434131606</v>
      </c>
      <c r="S36" s="467">
        <f t="shared" si="11"/>
        <v>2.2997012017103047</v>
      </c>
      <c r="T36" s="467">
        <f t="shared" si="11"/>
        <v>0.19200494949420893</v>
      </c>
      <c r="U36" s="467">
        <f t="shared" si="11"/>
        <v>23.841655233648623</v>
      </c>
      <c r="V36" s="467">
        <f t="shared" si="11"/>
        <v>0.76839345845318696</v>
      </c>
      <c r="W36" s="467">
        <f t="shared" si="11"/>
        <v>0.28111507851488471</v>
      </c>
      <c r="X36" s="467">
        <f t="shared" si="11"/>
        <v>0.71209483411635388</v>
      </c>
      <c r="Y36" s="467">
        <f t="shared" si="11"/>
        <v>0.15551290309282573</v>
      </c>
      <c r="Z36" s="467">
        <f t="shared" si="11"/>
        <v>8.5047532628141056</v>
      </c>
      <c r="AA36" s="467">
        <f t="shared" si="11"/>
        <v>8.2172835950700378</v>
      </c>
      <c r="AB36" s="467">
        <f t="shared" si="11"/>
        <v>8.7444334967003154</v>
      </c>
      <c r="AC36" s="467">
        <f t="shared" si="11"/>
        <v>4.5276542920922083</v>
      </c>
      <c r="AD36" s="467">
        <f t="shared" si="11"/>
        <v>4.4626555628590312</v>
      </c>
      <c r="AE36" s="467">
        <f t="shared" si="11"/>
        <v>5.8131202565666902</v>
      </c>
      <c r="AF36" s="467">
        <f t="shared" si="11"/>
        <v>0.90904865809184976</v>
      </c>
      <c r="AG36" s="467">
        <f t="shared" si="11"/>
        <v>1.1779118444372145</v>
      </c>
      <c r="AH36" s="467">
        <f t="shared" si="11"/>
        <v>32.0970879103972</v>
      </c>
      <c r="AI36" s="467">
        <f t="shared" si="11"/>
        <v>0.46957306514427943</v>
      </c>
      <c r="AJ36" s="467">
        <f t="shared" si="11"/>
        <v>1.1696759633286937</v>
      </c>
      <c r="AK36" s="467">
        <f t="shared" si="11"/>
        <v>0.23220446727200567</v>
      </c>
      <c r="AL36" s="467">
        <f t="shared" si="11"/>
        <v>0.83189123933667164</v>
      </c>
      <c r="AM36" s="467">
        <f t="shared" si="11"/>
        <v>3.7682764773870612</v>
      </c>
      <c r="AN36" s="726">
        <f t="shared" si="11"/>
        <v>0.57698829910053984</v>
      </c>
    </row>
    <row r="37" spans="1:40">
      <c r="A37" s="408"/>
      <c r="B37" s="731" t="str">
        <f t="shared" si="9"/>
        <v>Lighting</v>
      </c>
      <c r="C37" s="733"/>
      <c r="D37" s="727">
        <f t="shared" ref="D37:AN37" si="12">D32*D50</f>
        <v>58.295655563543718</v>
      </c>
      <c r="E37" s="727">
        <f t="shared" si="12"/>
        <v>74.896391572734416</v>
      </c>
      <c r="F37" s="727">
        <f t="shared" si="12"/>
        <v>27.380606656373391</v>
      </c>
      <c r="G37" s="727">
        <f t="shared" si="12"/>
        <v>59.856094728212717</v>
      </c>
      <c r="H37" s="727">
        <f t="shared" si="12"/>
        <v>4.450205440254317</v>
      </c>
      <c r="I37" s="727">
        <f t="shared" si="12"/>
        <v>50.731928172220336</v>
      </c>
      <c r="J37" s="727">
        <f t="shared" si="12"/>
        <v>579.73034364843136</v>
      </c>
      <c r="K37" s="727">
        <f t="shared" si="12"/>
        <v>48.740909903553003</v>
      </c>
      <c r="L37" s="727">
        <f t="shared" si="12"/>
        <v>4.4065409350768237</v>
      </c>
      <c r="M37" s="727">
        <f t="shared" si="12"/>
        <v>278.62547705694925</v>
      </c>
      <c r="N37" s="869">
        <f t="shared" si="12"/>
        <v>47.446473688349116</v>
      </c>
      <c r="O37" s="727">
        <f t="shared" si="12"/>
        <v>445.84918336874699</v>
      </c>
      <c r="P37" s="727">
        <f t="shared" si="12"/>
        <v>41.527975195340616</v>
      </c>
      <c r="Q37" s="727">
        <f t="shared" si="12"/>
        <v>18.963960761750659</v>
      </c>
      <c r="R37" s="727">
        <f t="shared" si="12"/>
        <v>42.331506480894873</v>
      </c>
      <c r="S37" s="727">
        <f t="shared" si="12"/>
        <v>29.757737211228278</v>
      </c>
      <c r="T37" s="727">
        <f t="shared" si="12"/>
        <v>3.0214608144774608</v>
      </c>
      <c r="U37" s="727">
        <f t="shared" si="12"/>
        <v>403.10324014325903</v>
      </c>
      <c r="V37" s="727">
        <f t="shared" si="12"/>
        <v>10.337988807914252</v>
      </c>
      <c r="W37" s="727">
        <f t="shared" si="12"/>
        <v>4.4381746503155695</v>
      </c>
      <c r="X37" s="727">
        <f t="shared" si="12"/>
        <v>8.0399299007598017</v>
      </c>
      <c r="Y37" s="727">
        <f t="shared" si="12"/>
        <v>1.9654578885018377</v>
      </c>
      <c r="Z37" s="727">
        <f t="shared" si="12"/>
        <v>142.95320314088821</v>
      </c>
      <c r="AA37" s="727">
        <f t="shared" si="12"/>
        <v>129.31021022820789</v>
      </c>
      <c r="AB37" s="727">
        <f t="shared" si="12"/>
        <v>145.91597848057452</v>
      </c>
      <c r="AC37" s="727">
        <f t="shared" si="12"/>
        <v>54.654963664377725</v>
      </c>
      <c r="AD37" s="727">
        <f t="shared" si="12"/>
        <v>53.864400403170009</v>
      </c>
      <c r="AE37" s="727">
        <f t="shared" si="12"/>
        <v>91.477407802923182</v>
      </c>
      <c r="AF37" s="727">
        <f t="shared" si="12"/>
        <v>9.7263295660636864</v>
      </c>
      <c r="AG37" s="727">
        <f t="shared" si="12"/>
        <v>16.314478275003943</v>
      </c>
      <c r="AH37" s="727">
        <f t="shared" si="12"/>
        <v>494.91180343421519</v>
      </c>
      <c r="AI37" s="727">
        <f t="shared" si="12"/>
        <v>6.0468284825665055</v>
      </c>
      <c r="AJ37" s="727">
        <f t="shared" si="12"/>
        <v>15.06225645258462</v>
      </c>
      <c r="AK37" s="727">
        <f t="shared" si="12"/>
        <v>2.990164237908592</v>
      </c>
      <c r="AL37" s="727">
        <f t="shared" si="12"/>
        <v>10.712504642643722</v>
      </c>
      <c r="AM37" s="727">
        <f t="shared" si="12"/>
        <v>48.525188570277713</v>
      </c>
      <c r="AN37" s="728">
        <f t="shared" si="12"/>
        <v>7.4300455884043179</v>
      </c>
    </row>
    <row r="38" spans="1:40">
      <c r="A38" s="408"/>
      <c r="B38" s="731" t="str">
        <f t="shared" si="9"/>
        <v>Other appliances (vacuum cleaners, irons etc.)</v>
      </c>
      <c r="C38" s="732"/>
      <c r="D38" s="467">
        <f t="shared" ref="D38:AN38" si="13">D32*D51</f>
        <v>4.3365378189256578</v>
      </c>
      <c r="E38" s="467">
        <f t="shared" si="13"/>
        <v>5.5219829670991611</v>
      </c>
      <c r="F38" s="467">
        <f t="shared" si="13"/>
        <v>2.1562609736735503</v>
      </c>
      <c r="G38" s="467">
        <f t="shared" si="13"/>
        <v>4.4526168540836686</v>
      </c>
      <c r="H38" s="467">
        <f t="shared" si="13"/>
        <v>0.43157150721231835</v>
      </c>
      <c r="I38" s="467">
        <f t="shared" si="13"/>
        <v>2.5554516359514667</v>
      </c>
      <c r="J38" s="467">
        <f t="shared" si="13"/>
        <v>37.469869614487756</v>
      </c>
      <c r="K38" s="467">
        <f t="shared" si="13"/>
        <v>2.9067391167392609</v>
      </c>
      <c r="L38" s="467">
        <f t="shared" si="13"/>
        <v>0.58971196273783288</v>
      </c>
      <c r="M38" s="467">
        <f t="shared" si="13"/>
        <v>21.554183777608319</v>
      </c>
      <c r="N38" s="866">
        <f t="shared" si="13"/>
        <v>3.3461268247083749</v>
      </c>
      <c r="O38" s="467">
        <f t="shared" si="13"/>
        <v>40.023987871289314</v>
      </c>
      <c r="P38" s="467">
        <f t="shared" si="13"/>
        <v>2.7557035610014866</v>
      </c>
      <c r="Q38" s="467">
        <f t="shared" si="13"/>
        <v>1.3537700950284319</v>
      </c>
      <c r="R38" s="467">
        <f t="shared" si="13"/>
        <v>2.2631859387529385</v>
      </c>
      <c r="S38" s="467">
        <f t="shared" si="13"/>
        <v>2.114034286390448</v>
      </c>
      <c r="T38" s="467">
        <f t="shared" si="13"/>
        <v>0.18038677347108048</v>
      </c>
      <c r="U38" s="467">
        <f t="shared" si="13"/>
        <v>21.916767265578173</v>
      </c>
      <c r="V38" s="467">
        <f t="shared" si="13"/>
        <v>0.70635583645499367</v>
      </c>
      <c r="W38" s="467">
        <f t="shared" si="13"/>
        <v>0.25842033646742762</v>
      </c>
      <c r="X38" s="467">
        <f t="shared" si="13"/>
        <v>0.6546026409549619</v>
      </c>
      <c r="Y38" s="467">
        <f t="shared" si="13"/>
        <v>0.14295722763488197</v>
      </c>
      <c r="Z38" s="467">
        <f t="shared" si="13"/>
        <v>7.8180817429662284</v>
      </c>
      <c r="AA38" s="467">
        <f t="shared" si="13"/>
        <v>7.7200576251615445</v>
      </c>
      <c r="AB38" s="467">
        <f t="shared" si="13"/>
        <v>8.0384398957379712</v>
      </c>
      <c r="AC38" s="467">
        <f t="shared" si="13"/>
        <v>4.1620914468496473</v>
      </c>
      <c r="AD38" s="467">
        <f t="shared" si="13"/>
        <v>4.1023541727412294</v>
      </c>
      <c r="AE38" s="467">
        <f t="shared" si="13"/>
        <v>5.461369665957867</v>
      </c>
      <c r="AF38" s="467">
        <f t="shared" si="13"/>
        <v>0.83565083416299668</v>
      </c>
      <c r="AG38" s="467">
        <f t="shared" si="13"/>
        <v>1.0828122525883872</v>
      </c>
      <c r="AH38" s="467">
        <f t="shared" si="13"/>
        <v>29.505631530927825</v>
      </c>
      <c r="AI38" s="467">
        <f t="shared" si="13"/>
        <v>0.43166170149304794</v>
      </c>
      <c r="AJ38" s="467">
        <f t="shared" si="13"/>
        <v>1.075241222302324</v>
      </c>
      <c r="AK38" s="467">
        <f t="shared" si="13"/>
        <v>0.21345725059022122</v>
      </c>
      <c r="AL38" s="467">
        <f t="shared" si="13"/>
        <v>0.76472782296168029</v>
      </c>
      <c r="AM38" s="467">
        <f t="shared" si="13"/>
        <v>3.4640416085733916</v>
      </c>
      <c r="AN38" s="726">
        <f t="shared" si="13"/>
        <v>0.53040467909885802</v>
      </c>
    </row>
    <row r="39" spans="1:40">
      <c r="A39" s="408"/>
      <c r="B39" s="731" t="str">
        <f t="shared" si="9"/>
        <v>Clothes dryer</v>
      </c>
      <c r="C39" s="733"/>
      <c r="D39" s="727">
        <f t="shared" ref="D39:AN39" si="14">D32*D52</f>
        <v>1.2907222213727949</v>
      </c>
      <c r="E39" s="727">
        <f t="shared" si="14"/>
        <v>2.7493834399924246</v>
      </c>
      <c r="F39" s="727">
        <f t="shared" si="14"/>
        <v>8.89046305229442E-3</v>
      </c>
      <c r="G39" s="727">
        <f t="shared" si="14"/>
        <v>1.3252718543680575</v>
      </c>
      <c r="H39" s="727">
        <f t="shared" si="14"/>
        <v>9.2479986647233919E-2</v>
      </c>
      <c r="I39" s="727">
        <f t="shared" si="14"/>
        <v>0.10344800127822734</v>
      </c>
      <c r="J39" s="727">
        <f t="shared" si="14"/>
        <v>16.10476707705887</v>
      </c>
      <c r="K39" s="727">
        <f t="shared" si="14"/>
        <v>1.5412634174721316</v>
      </c>
      <c r="L39" s="727">
        <f t="shared" si="14"/>
        <v>9.4978138922548003E-3</v>
      </c>
      <c r="M39" s="727">
        <f t="shared" si="14"/>
        <v>5.1860518506448852</v>
      </c>
      <c r="N39" s="869">
        <f t="shared" si="14"/>
        <v>1.6592691056517443</v>
      </c>
      <c r="O39" s="727">
        <f t="shared" si="14"/>
        <v>9.3494280904607319</v>
      </c>
      <c r="P39" s="727">
        <f t="shared" si="14"/>
        <v>0.32656084734914204</v>
      </c>
      <c r="Q39" s="727">
        <f t="shared" si="14"/>
        <v>0.11681093894996852</v>
      </c>
      <c r="R39" s="727">
        <f t="shared" si="14"/>
        <v>3.9934908638330838E-2</v>
      </c>
      <c r="S39" s="727">
        <f t="shared" si="14"/>
        <v>1.1614941192735162</v>
      </c>
      <c r="T39" s="727">
        <f t="shared" si="14"/>
        <v>9.7968435369112511E-2</v>
      </c>
      <c r="U39" s="727">
        <f t="shared" si="14"/>
        <v>2.0105721521588276</v>
      </c>
      <c r="V39" s="727">
        <f t="shared" si="14"/>
        <v>2.0364095192914575E-2</v>
      </c>
      <c r="W39" s="727">
        <f t="shared" si="14"/>
        <v>0.12217836345092579</v>
      </c>
      <c r="X39" s="727">
        <f t="shared" si="14"/>
        <v>1.2849193105037583E-2</v>
      </c>
      <c r="Y39" s="727">
        <f t="shared" si="14"/>
        <v>3.1741365360443127E-2</v>
      </c>
      <c r="Z39" s="727">
        <f t="shared" si="14"/>
        <v>4.5103406054341431</v>
      </c>
      <c r="AA39" s="727">
        <f t="shared" si="14"/>
        <v>4.1927795034136253</v>
      </c>
      <c r="AB39" s="727">
        <f t="shared" si="14"/>
        <v>8.2192635855505278E-2</v>
      </c>
      <c r="AC39" s="727">
        <f t="shared" si="14"/>
        <v>0.77364313516705663</v>
      </c>
      <c r="AD39" s="727">
        <f t="shared" si="14"/>
        <v>1.3443481318386942E-2</v>
      </c>
      <c r="AE39" s="727">
        <f t="shared" si="14"/>
        <v>2.9660813309685503</v>
      </c>
      <c r="AF39" s="727">
        <f t="shared" si="14"/>
        <v>0.16801649825732765</v>
      </c>
      <c r="AG39" s="727">
        <f t="shared" si="14"/>
        <v>4.7940420137546909E-2</v>
      </c>
      <c r="AH39" s="727">
        <f t="shared" si="14"/>
        <v>12.23516820958462</v>
      </c>
      <c r="AI39" s="727">
        <f t="shared" si="14"/>
        <v>3.7246212518149163E-2</v>
      </c>
      <c r="AJ39" s="727">
        <f t="shared" si="14"/>
        <v>9.2777892816585272E-2</v>
      </c>
      <c r="AK39" s="727">
        <f t="shared" si="14"/>
        <v>1.841829861561449E-2</v>
      </c>
      <c r="AL39" s="727">
        <f t="shared" si="14"/>
        <v>6.5985040864300584E-2</v>
      </c>
      <c r="AM39" s="727">
        <f t="shared" si="14"/>
        <v>0.29889709807093873</v>
      </c>
      <c r="AN39" s="728">
        <f t="shared" si="14"/>
        <v>4.5766314986957317E-2</v>
      </c>
    </row>
    <row r="40" spans="1:40">
      <c r="A40" s="408"/>
      <c r="B40" s="731" t="str">
        <f t="shared" si="9"/>
        <v>Dishwasher</v>
      </c>
      <c r="C40" s="733"/>
      <c r="D40" s="727">
        <f t="shared" ref="D40:AN40" si="15">D32*D53</f>
        <v>2.2452169223465792</v>
      </c>
      <c r="E40" s="727">
        <f t="shared" si="15"/>
        <v>1.697939324070304</v>
      </c>
      <c r="F40" s="727">
        <f t="shared" si="15"/>
        <v>5.9427949608327424E-2</v>
      </c>
      <c r="G40" s="727">
        <f t="shared" si="15"/>
        <v>2.305316159329827</v>
      </c>
      <c r="H40" s="727">
        <f t="shared" si="15"/>
        <v>0.10808263315855204</v>
      </c>
      <c r="I40" s="727">
        <f t="shared" si="15"/>
        <v>0.94047132611322326</v>
      </c>
      <c r="J40" s="727">
        <f t="shared" si="15"/>
        <v>21.403673306260334</v>
      </c>
      <c r="K40" s="727">
        <f t="shared" si="15"/>
        <v>1.3802404724110799</v>
      </c>
      <c r="L40" s="727">
        <f t="shared" si="15"/>
        <v>3.0869858325399343E-2</v>
      </c>
      <c r="M40" s="727">
        <f t="shared" si="15"/>
        <v>7.7771056904742775</v>
      </c>
      <c r="N40" s="869">
        <f t="shared" si="15"/>
        <v>1.4518895284846778</v>
      </c>
      <c r="O40" s="727">
        <f t="shared" si="15"/>
        <v>12.338945294353985</v>
      </c>
      <c r="P40" s="727">
        <f t="shared" si="15"/>
        <v>1.168232410277753</v>
      </c>
      <c r="Q40" s="727">
        <f t="shared" si="15"/>
        <v>0.43329441548593195</v>
      </c>
      <c r="R40" s="727">
        <f t="shared" si="15"/>
        <v>0.34071684284786885</v>
      </c>
      <c r="S40" s="727">
        <f t="shared" si="15"/>
        <v>0.88623419955698712</v>
      </c>
      <c r="T40" s="727">
        <f t="shared" si="15"/>
        <v>8.572414506428723E-2</v>
      </c>
      <c r="U40" s="727">
        <f t="shared" si="15"/>
        <v>12.521404206570136</v>
      </c>
      <c r="V40" s="727">
        <f t="shared" si="15"/>
        <v>5.4145731439694963E-2</v>
      </c>
      <c r="W40" s="727">
        <f t="shared" si="15"/>
        <v>0.11445707520289904</v>
      </c>
      <c r="X40" s="727">
        <f t="shared" si="15"/>
        <v>4.1969100214336072E-2</v>
      </c>
      <c r="Y40" s="727">
        <f t="shared" si="15"/>
        <v>1.788538993978972E-2</v>
      </c>
      <c r="Z40" s="727">
        <f t="shared" si="15"/>
        <v>3.4511132609879493</v>
      </c>
      <c r="AA40" s="727">
        <f t="shared" si="15"/>
        <v>3.6687575648117221</v>
      </c>
      <c r="AB40" s="727">
        <f t="shared" si="15"/>
        <v>1.7420725788418114</v>
      </c>
      <c r="AC40" s="727">
        <f t="shared" si="15"/>
        <v>1.3208093081380772</v>
      </c>
      <c r="AD40" s="727">
        <f t="shared" si="15"/>
        <v>2.686109229334694E-2</v>
      </c>
      <c r="AE40" s="727">
        <f t="shared" si="15"/>
        <v>2.595374574784592</v>
      </c>
      <c r="AF40" s="727">
        <f t="shared" si="15"/>
        <v>0.32583619264638447</v>
      </c>
      <c r="AG40" s="727">
        <f t="shared" si="15"/>
        <v>0.38594639149174098</v>
      </c>
      <c r="AH40" s="727">
        <f t="shared" si="15"/>
        <v>7.9532680495853887</v>
      </c>
      <c r="AI40" s="727">
        <f t="shared" si="15"/>
        <v>0.1381597993063696</v>
      </c>
      <c r="AJ40" s="727">
        <f t="shared" si="15"/>
        <v>0.34414707389003135</v>
      </c>
      <c r="AK40" s="727">
        <f t="shared" si="15"/>
        <v>6.8320193336654803E-2</v>
      </c>
      <c r="AL40" s="727">
        <f t="shared" si="15"/>
        <v>0.24476260501902386</v>
      </c>
      <c r="AM40" s="727">
        <f t="shared" si="15"/>
        <v>1.1087184519127911</v>
      </c>
      <c r="AN40" s="728">
        <f t="shared" si="15"/>
        <v>0.16976396970588739</v>
      </c>
    </row>
    <row r="41" spans="1:40">
      <c r="A41" s="408"/>
      <c r="B41" s="731" t="str">
        <f t="shared" si="9"/>
        <v>Refrigerators and freezers</v>
      </c>
      <c r="C41" s="733"/>
      <c r="D41" s="727">
        <f t="shared" ref="D41:AN41" si="16">D32*D54</f>
        <v>6.0727723622738354</v>
      </c>
      <c r="E41" s="727">
        <f t="shared" si="16"/>
        <v>6.6047816508583237</v>
      </c>
      <c r="F41" s="727">
        <f t="shared" si="16"/>
        <v>2.4293827144358389</v>
      </c>
      <c r="G41" s="727">
        <f t="shared" si="16"/>
        <v>6.2353263594903563</v>
      </c>
      <c r="H41" s="727">
        <f t="shared" si="16"/>
        <v>0.35670079276572086</v>
      </c>
      <c r="I41" s="727">
        <f t="shared" si="16"/>
        <v>3.7818813733412027</v>
      </c>
      <c r="J41" s="727">
        <f t="shared" si="16"/>
        <v>50.565592772855844</v>
      </c>
      <c r="K41" s="727">
        <f t="shared" si="16"/>
        <v>4.008457291113654</v>
      </c>
      <c r="L41" s="727">
        <f t="shared" si="16"/>
        <v>0.56783775865856945</v>
      </c>
      <c r="M41" s="727">
        <f t="shared" si="16"/>
        <v>21.183040841123319</v>
      </c>
      <c r="N41" s="869">
        <f t="shared" si="16"/>
        <v>4.3461107324954114</v>
      </c>
      <c r="O41" s="727">
        <f t="shared" si="16"/>
        <v>52.635037597394827</v>
      </c>
      <c r="P41" s="727">
        <f t="shared" si="16"/>
        <v>3.7295720456626751</v>
      </c>
      <c r="Q41" s="727">
        <f t="shared" si="16"/>
        <v>1.683813605707049</v>
      </c>
      <c r="R41" s="727">
        <f t="shared" si="16"/>
        <v>3.2302693082416112</v>
      </c>
      <c r="S41" s="727">
        <f t="shared" si="16"/>
        <v>1.9244039820399439</v>
      </c>
      <c r="T41" s="727">
        <f t="shared" si="16"/>
        <v>0.22283288207740554</v>
      </c>
      <c r="U41" s="727">
        <f t="shared" si="16"/>
        <v>27.440102372664388</v>
      </c>
      <c r="V41" s="727">
        <f t="shared" si="16"/>
        <v>0.9986434982036102</v>
      </c>
      <c r="W41" s="727">
        <f t="shared" si="16"/>
        <v>0.28655359839845035</v>
      </c>
      <c r="X41" s="727">
        <f t="shared" si="16"/>
        <v>0.72074401326741278</v>
      </c>
      <c r="Y41" s="727">
        <f t="shared" si="16"/>
        <v>0.2006707879474843</v>
      </c>
      <c r="Z41" s="727">
        <f t="shared" si="16"/>
        <v>9.4690153970685724</v>
      </c>
      <c r="AA41" s="727">
        <f t="shared" si="16"/>
        <v>9.5366342959407326</v>
      </c>
      <c r="AB41" s="727">
        <f t="shared" si="16"/>
        <v>11.633031612357847</v>
      </c>
      <c r="AC41" s="727">
        <f t="shared" si="16"/>
        <v>4.6268498820677921</v>
      </c>
      <c r="AD41" s="727">
        <f t="shared" si="16"/>
        <v>6.0311446344382356</v>
      </c>
      <c r="AE41" s="727">
        <f t="shared" si="16"/>
        <v>6.7464632763145103</v>
      </c>
      <c r="AF41" s="727">
        <f t="shared" si="16"/>
        <v>0.8961209952392809</v>
      </c>
      <c r="AG41" s="727">
        <f t="shared" si="16"/>
        <v>1.3910979094294933</v>
      </c>
      <c r="AH41" s="727">
        <f t="shared" si="16"/>
        <v>34.487927472942388</v>
      </c>
      <c r="AI41" s="727">
        <f t="shared" si="16"/>
        <v>0.53689902643431031</v>
      </c>
      <c r="AJ41" s="727">
        <f t="shared" si="16"/>
        <v>1.3373805538906565</v>
      </c>
      <c r="AK41" s="727">
        <f t="shared" si="16"/>
        <v>0.2654972392288551</v>
      </c>
      <c r="AL41" s="727">
        <f t="shared" si="16"/>
        <v>0.95116528108752851</v>
      </c>
      <c r="AM41" s="727">
        <f t="shared" si="16"/>
        <v>4.3085605249159444</v>
      </c>
      <c r="AN41" s="728">
        <f t="shared" si="16"/>
        <v>0.65971513071322607</v>
      </c>
    </row>
    <row r="42" spans="1:40">
      <c r="A42" s="547"/>
      <c r="B42" s="751" t="str">
        <f t="shared" si="9"/>
        <v>Washing machine</v>
      </c>
      <c r="C42" s="734"/>
      <c r="D42" s="712">
        <f t="shared" ref="D42:AN42" si="17">D32*D55</f>
        <v>3.2983046002720977</v>
      </c>
      <c r="E42" s="712">
        <f t="shared" si="17"/>
        <v>3.9646632637503556</v>
      </c>
      <c r="F42" s="712">
        <f t="shared" si="17"/>
        <v>2.0704381599945951</v>
      </c>
      <c r="G42" s="712">
        <f t="shared" si="17"/>
        <v>3.3865925460121082</v>
      </c>
      <c r="H42" s="712">
        <f t="shared" si="17"/>
        <v>0.27106908506052602</v>
      </c>
      <c r="I42" s="712">
        <f t="shared" si="17"/>
        <v>3.7526875306549479</v>
      </c>
      <c r="J42" s="712">
        <f t="shared" si="17"/>
        <v>35.076023413083519</v>
      </c>
      <c r="K42" s="712">
        <f t="shared" si="17"/>
        <v>2.1003473468526814</v>
      </c>
      <c r="L42" s="712">
        <f t="shared" si="17"/>
        <v>0.4854794436938647</v>
      </c>
      <c r="M42" s="712">
        <f t="shared" si="17"/>
        <v>16.292428717180641</v>
      </c>
      <c r="N42" s="870">
        <f t="shared" si="17"/>
        <v>2.2611555216946764</v>
      </c>
      <c r="O42" s="712">
        <f t="shared" si="17"/>
        <v>25.504081687378701</v>
      </c>
      <c r="P42" s="712">
        <f t="shared" si="17"/>
        <v>3.7778866448512969</v>
      </c>
      <c r="Q42" s="712">
        <f t="shared" si="17"/>
        <v>1.4008366561880528</v>
      </c>
      <c r="R42" s="712">
        <f t="shared" si="17"/>
        <v>3.4264534912473659</v>
      </c>
      <c r="S42" s="712">
        <f t="shared" si="17"/>
        <v>1.5133886323843666</v>
      </c>
      <c r="T42" s="712">
        <f t="shared" si="17"/>
        <v>0.13350582346162104</v>
      </c>
      <c r="U42" s="712">
        <f t="shared" si="17"/>
        <v>22.288798692104251</v>
      </c>
      <c r="V42" s="712">
        <f t="shared" si="17"/>
        <v>1.0409098412642912</v>
      </c>
      <c r="W42" s="712">
        <f t="shared" si="17"/>
        <v>0.17880564246524777</v>
      </c>
      <c r="X42" s="712">
        <f t="shared" si="17"/>
        <v>0.64616011176040444</v>
      </c>
      <c r="Y42" s="712">
        <f t="shared" si="17"/>
        <v>0.12979686315349076</v>
      </c>
      <c r="Z42" s="712">
        <f t="shared" si="17"/>
        <v>6.5363644774994167</v>
      </c>
      <c r="AA42" s="712">
        <f t="shared" si="17"/>
        <v>5.7136819434468977</v>
      </c>
      <c r="AB42" s="712">
        <f t="shared" si="17"/>
        <v>11.323655817347175</v>
      </c>
      <c r="AC42" s="712">
        <f t="shared" si="17"/>
        <v>3.4067323444191828</v>
      </c>
      <c r="AD42" s="712">
        <f t="shared" si="17"/>
        <v>5.29084769990701</v>
      </c>
      <c r="AE42" s="712">
        <f t="shared" si="17"/>
        <v>4.0420072960555284</v>
      </c>
      <c r="AF42" s="712">
        <f t="shared" si="17"/>
        <v>0.72295738674429677</v>
      </c>
      <c r="AG42" s="712">
        <f t="shared" si="17"/>
        <v>1.7390860698341499</v>
      </c>
      <c r="AH42" s="712">
        <f t="shared" si="17"/>
        <v>23.320329232939404</v>
      </c>
      <c r="AI42" s="712">
        <f t="shared" si="17"/>
        <v>0.44666929543252093</v>
      </c>
      <c r="AJ42" s="712">
        <f t="shared" si="17"/>
        <v>1.1126241626824445</v>
      </c>
      <c r="AK42" s="712">
        <f t="shared" si="17"/>
        <v>0.22087852453973786</v>
      </c>
      <c r="AL42" s="712">
        <f t="shared" si="17"/>
        <v>0.79131513566866807</v>
      </c>
      <c r="AM42" s="712">
        <f t="shared" si="17"/>
        <v>3.5844760359759018</v>
      </c>
      <c r="AN42" s="713">
        <f t="shared" si="17"/>
        <v>0.54884527278595019</v>
      </c>
    </row>
    <row r="45" spans="1:40" ht="21">
      <c r="A45" s="3" t="s">
        <v>762</v>
      </c>
      <c r="B45" s="736"/>
      <c r="C45" s="736"/>
      <c r="D45" s="736"/>
      <c r="E45" s="736"/>
      <c r="F45" s="736"/>
      <c r="G45" s="736"/>
      <c r="H45" s="736"/>
      <c r="I45" s="736"/>
      <c r="J45" s="736"/>
      <c r="K45" s="736"/>
      <c r="L45" s="736"/>
      <c r="M45" s="736"/>
      <c r="N45" s="871"/>
      <c r="O45" s="736"/>
      <c r="P45" s="736"/>
      <c r="Q45" s="736"/>
      <c r="R45" s="736"/>
      <c r="S45" s="736"/>
      <c r="T45" s="736"/>
      <c r="U45" s="736"/>
      <c r="V45" s="736"/>
      <c r="W45" s="736"/>
      <c r="X45" s="736"/>
      <c r="Y45" s="736"/>
      <c r="Z45" s="736"/>
      <c r="AA45" s="736"/>
      <c r="AB45" s="736"/>
      <c r="AC45" s="736"/>
      <c r="AD45" s="736"/>
      <c r="AE45" s="736"/>
      <c r="AF45" s="736"/>
      <c r="AG45" s="736"/>
      <c r="AH45" s="736"/>
      <c r="AI45" s="736"/>
      <c r="AJ45" s="736"/>
      <c r="AK45" s="736"/>
      <c r="AL45" s="736"/>
      <c r="AM45" s="736"/>
      <c r="AN45" s="736"/>
    </row>
    <row r="46" spans="1:40" ht="14.4" customHeight="1">
      <c r="A46" t="s">
        <v>693</v>
      </c>
      <c r="B46" s="696"/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872"/>
      <c r="O46" s="696"/>
      <c r="P46" s="696"/>
      <c r="Q46" s="696"/>
      <c r="R46" s="696"/>
      <c r="S46" s="696"/>
      <c r="T46" s="696"/>
      <c r="U46" s="696"/>
      <c r="V46" s="696"/>
      <c r="W46" s="696"/>
      <c r="X46" s="696"/>
      <c r="Y46" s="696"/>
      <c r="Z46" s="696"/>
      <c r="AA46" s="696"/>
      <c r="AB46" s="696"/>
      <c r="AC46" s="696"/>
      <c r="AD46" s="696"/>
      <c r="AE46" s="696"/>
      <c r="AF46" s="696"/>
      <c r="AG46" s="696"/>
      <c r="AH46" s="696"/>
      <c r="AI46" s="696"/>
      <c r="AJ46" s="696"/>
      <c r="AK46" s="696"/>
      <c r="AL46" s="696"/>
      <c r="AM46" s="696"/>
      <c r="AN46" s="696"/>
    </row>
    <row r="47" spans="1:40">
      <c r="A47" s="696"/>
      <c r="B47" s="696"/>
      <c r="C47" s="696"/>
      <c r="D47" s="247" t="s">
        <v>88</v>
      </c>
      <c r="E47" s="248" t="s">
        <v>89</v>
      </c>
      <c r="F47" s="248" t="s">
        <v>90</v>
      </c>
      <c r="G47" s="248" t="s">
        <v>91</v>
      </c>
      <c r="H47" s="248" t="s">
        <v>92</v>
      </c>
      <c r="I47" s="248" t="s">
        <v>93</v>
      </c>
      <c r="J47" s="248" t="s">
        <v>94</v>
      </c>
      <c r="K47" s="248" t="s">
        <v>95</v>
      </c>
      <c r="L47" s="248" t="s">
        <v>96</v>
      </c>
      <c r="M47" s="248" t="s">
        <v>97</v>
      </c>
      <c r="N47" s="860" t="s">
        <v>98</v>
      </c>
      <c r="O47" s="248" t="s">
        <v>99</v>
      </c>
      <c r="P47" s="248" t="s">
        <v>205</v>
      </c>
      <c r="Q47" s="248" t="s">
        <v>118</v>
      </c>
      <c r="R47" s="248" t="s">
        <v>100</v>
      </c>
      <c r="S47" s="248" t="s">
        <v>101</v>
      </c>
      <c r="T47" s="248" t="s">
        <v>102</v>
      </c>
      <c r="U47" s="248" t="s">
        <v>103</v>
      </c>
      <c r="V47" s="248" t="s">
        <v>104</v>
      </c>
      <c r="W47" s="248" t="s">
        <v>105</v>
      </c>
      <c r="X47" s="248" t="s">
        <v>106</v>
      </c>
      <c r="Y47" s="248" t="s">
        <v>107</v>
      </c>
      <c r="Z47" s="248" t="s">
        <v>108</v>
      </c>
      <c r="AA47" s="248" t="s">
        <v>109</v>
      </c>
      <c r="AB47" s="248" t="s">
        <v>110</v>
      </c>
      <c r="AC47" s="248" t="s">
        <v>111</v>
      </c>
      <c r="AD47" s="248" t="s">
        <v>112</v>
      </c>
      <c r="AE47" s="248" t="s">
        <v>113</v>
      </c>
      <c r="AF47" s="248" t="s">
        <v>114</v>
      </c>
      <c r="AG47" s="248" t="s">
        <v>115</v>
      </c>
      <c r="AH47" s="248" t="s">
        <v>52</v>
      </c>
      <c r="AI47" s="248" t="s">
        <v>116</v>
      </c>
      <c r="AJ47" s="248" t="s">
        <v>117</v>
      </c>
      <c r="AK47" s="248" t="s">
        <v>119</v>
      </c>
      <c r="AL47" s="248" t="s">
        <v>120</v>
      </c>
      <c r="AM47" s="248" t="s">
        <v>121</v>
      </c>
      <c r="AN47" s="249" t="s">
        <v>122</v>
      </c>
    </row>
    <row r="48" spans="1:40">
      <c r="A48" s="759" t="s">
        <v>752</v>
      </c>
      <c r="B48" s="897" t="s">
        <v>753</v>
      </c>
      <c r="C48" s="898"/>
      <c r="D48" s="738">
        <v>0.75634500000000005</v>
      </c>
      <c r="E48" s="738">
        <v>0.76167600000000002</v>
      </c>
      <c r="F48" s="738">
        <v>0.34746700000000003</v>
      </c>
      <c r="G48" s="739">
        <f>D48</f>
        <v>0.75634500000000005</v>
      </c>
      <c r="H48" s="738">
        <v>0.60619500000000004</v>
      </c>
      <c r="I48" s="738">
        <v>0.63592499999999996</v>
      </c>
      <c r="J48" s="738">
        <v>0.85119999999999996</v>
      </c>
      <c r="K48" s="738">
        <v>0.87387800000000004</v>
      </c>
      <c r="L48" s="738">
        <v>0.68747000000000003</v>
      </c>
      <c r="M48" s="738">
        <v>0.68226699999999996</v>
      </c>
      <c r="N48" s="873">
        <v>0.81392200000000003</v>
      </c>
      <c r="O48" s="738">
        <v>0.75896699999999995</v>
      </c>
      <c r="P48" s="738">
        <v>0.53000100000000006</v>
      </c>
      <c r="Q48" s="738">
        <v>0.59565699999999999</v>
      </c>
      <c r="R48" s="738">
        <v>0.65958700000000003</v>
      </c>
      <c r="S48" s="738">
        <v>0.75910500000000003</v>
      </c>
      <c r="T48" s="739">
        <f>AA48</f>
        <v>0.88854299999999997</v>
      </c>
      <c r="U48" s="738">
        <v>0.64376999999999995</v>
      </c>
      <c r="V48" s="738">
        <v>0.54601900000000003</v>
      </c>
      <c r="W48" s="738">
        <v>0.89561900000000005</v>
      </c>
      <c r="X48" s="738">
        <v>0.56587399999999999</v>
      </c>
      <c r="Y48" s="738">
        <v>0.65969</v>
      </c>
      <c r="Z48" s="738">
        <v>0.91306699999999996</v>
      </c>
      <c r="AA48" s="739">
        <f>AE48</f>
        <v>0.88854299999999997</v>
      </c>
      <c r="AB48" s="738">
        <v>0.68521600000000005</v>
      </c>
      <c r="AC48" s="738">
        <v>0.58970100000000003</v>
      </c>
      <c r="AD48" s="738">
        <v>0.47652600000000001</v>
      </c>
      <c r="AE48" s="738">
        <v>0.88854299999999997</v>
      </c>
      <c r="AF48" s="738">
        <v>0.69952400000000003</v>
      </c>
      <c r="AG48" s="738">
        <v>0.71653199999999995</v>
      </c>
      <c r="AH48" s="738">
        <v>0.81969499999999995</v>
      </c>
      <c r="AI48" s="739">
        <f>Q48</f>
        <v>0.59565699999999999</v>
      </c>
      <c r="AJ48" s="739">
        <f>AI48</f>
        <v>0.59565699999999999</v>
      </c>
      <c r="AK48" s="739">
        <f t="shared" ref="AK48:AN48" si="18">AJ48</f>
        <v>0.59565699999999999</v>
      </c>
      <c r="AL48" s="739">
        <f t="shared" si="18"/>
        <v>0.59565699999999999</v>
      </c>
      <c r="AM48" s="739">
        <f t="shared" si="18"/>
        <v>0.59565699999999999</v>
      </c>
      <c r="AN48" s="740">
        <f t="shared" si="18"/>
        <v>0.59565699999999999</v>
      </c>
    </row>
    <row r="49" spans="1:40">
      <c r="A49" s="760"/>
      <c r="B49" s="890" t="s">
        <v>754</v>
      </c>
      <c r="C49" s="896"/>
      <c r="D49" s="742">
        <v>1.28173</v>
      </c>
      <c r="E49" s="742">
        <v>1.26214</v>
      </c>
      <c r="F49" s="742">
        <v>0.89804799999999996</v>
      </c>
      <c r="G49" s="671">
        <f t="shared" ref="G49:G55" si="19">D49</f>
        <v>1.28173</v>
      </c>
      <c r="H49" s="742">
        <v>1.5970200000000001</v>
      </c>
      <c r="I49" s="742">
        <v>0.66522000000000003</v>
      </c>
      <c r="J49" s="742">
        <v>1.0113399999999999</v>
      </c>
      <c r="K49" s="742">
        <v>1.1241300000000001</v>
      </c>
      <c r="L49" s="742">
        <v>0.972638</v>
      </c>
      <c r="M49" s="742">
        <v>1.3197399999999999</v>
      </c>
      <c r="N49" s="874">
        <v>1.4091</v>
      </c>
      <c r="O49" s="742">
        <v>1.49865</v>
      </c>
      <c r="P49" s="742">
        <v>0.70229900000000001</v>
      </c>
      <c r="Q49" s="742">
        <v>0.91789500000000002</v>
      </c>
      <c r="R49" s="742">
        <v>0.63588100000000003</v>
      </c>
      <c r="S49" s="742">
        <v>1.35195</v>
      </c>
      <c r="T49" s="671">
        <f t="shared" ref="T49:T55" si="20">AA49</f>
        <v>1.3060700000000001</v>
      </c>
      <c r="U49" s="742">
        <v>0.94179400000000002</v>
      </c>
      <c r="V49" s="742">
        <v>0.59636999999999996</v>
      </c>
      <c r="W49" s="742">
        <v>1.3956200000000001</v>
      </c>
      <c r="X49" s="742">
        <v>0.85113700000000003</v>
      </c>
      <c r="Y49" s="742">
        <v>1.0672900000000001</v>
      </c>
      <c r="Z49" s="742">
        <v>1.1409499999999999</v>
      </c>
      <c r="AA49" s="671">
        <f t="shared" ref="AA49:AA55" si="21">AE49</f>
        <v>1.3060700000000001</v>
      </c>
      <c r="AB49" s="742">
        <v>0.64138399999999995</v>
      </c>
      <c r="AC49" s="742">
        <v>1.15296</v>
      </c>
      <c r="AD49" s="742">
        <v>0.62790299999999999</v>
      </c>
      <c r="AE49" s="742">
        <v>1.3060700000000001</v>
      </c>
      <c r="AF49" s="742">
        <v>1.13845</v>
      </c>
      <c r="AG49" s="742">
        <v>0.60912299999999997</v>
      </c>
      <c r="AH49" s="742">
        <v>1.2015400000000001</v>
      </c>
      <c r="AI49" s="671">
        <f t="shared" ref="AI49:AI55" si="22">Q49</f>
        <v>0.91789500000000002</v>
      </c>
      <c r="AJ49" s="671">
        <f t="shared" ref="AJ49:AN55" si="23">AI49</f>
        <v>0.91789500000000002</v>
      </c>
      <c r="AK49" s="671">
        <f t="shared" si="23"/>
        <v>0.91789500000000002</v>
      </c>
      <c r="AL49" s="671">
        <f t="shared" si="23"/>
        <v>0.91789500000000002</v>
      </c>
      <c r="AM49" s="671">
        <f t="shared" si="23"/>
        <v>0.91789500000000002</v>
      </c>
      <c r="AN49" s="743">
        <f t="shared" si="23"/>
        <v>0.91789500000000002</v>
      </c>
    </row>
    <row r="50" spans="1:40">
      <c r="A50" s="759" t="s">
        <v>755</v>
      </c>
      <c r="B50" s="897" t="s">
        <v>702</v>
      </c>
      <c r="C50" s="898"/>
      <c r="D50" s="738">
        <v>15.8391</v>
      </c>
      <c r="E50" s="738">
        <v>15.736700000000001</v>
      </c>
      <c r="F50" s="738">
        <v>10.482900000000001</v>
      </c>
      <c r="G50" s="739">
        <f t="shared" si="19"/>
        <v>15.8391</v>
      </c>
      <c r="H50" s="738">
        <v>15.138400000000001</v>
      </c>
      <c r="I50" s="738">
        <v>12.14</v>
      </c>
      <c r="J50" s="738">
        <v>14.384</v>
      </c>
      <c r="K50" s="738">
        <v>17.3278</v>
      </c>
      <c r="L50" s="738">
        <v>7.4632899999999998</v>
      </c>
      <c r="M50" s="738">
        <v>15.682600000000001</v>
      </c>
      <c r="N50" s="873">
        <v>18.3673</v>
      </c>
      <c r="O50" s="738">
        <v>15.346399999999999</v>
      </c>
      <c r="P50" s="738">
        <v>9.7290500000000009</v>
      </c>
      <c r="Q50" s="738">
        <v>11.82</v>
      </c>
      <c r="R50" s="738">
        <v>10.9335</v>
      </c>
      <c r="S50" s="738">
        <v>17.494</v>
      </c>
      <c r="T50" s="739">
        <f t="shared" si="20"/>
        <v>20.552800000000001</v>
      </c>
      <c r="U50" s="738">
        <v>15.923400000000001</v>
      </c>
      <c r="V50" s="738">
        <v>8.0235800000000008</v>
      </c>
      <c r="W50" s="738">
        <v>22.0337</v>
      </c>
      <c r="X50" s="738">
        <v>9.6097900000000003</v>
      </c>
      <c r="Y50" s="738">
        <v>13.489000000000001</v>
      </c>
      <c r="Z50" s="738">
        <v>19.177800000000001</v>
      </c>
      <c r="AA50" s="739">
        <f t="shared" si="21"/>
        <v>20.552800000000001</v>
      </c>
      <c r="AB50" s="738">
        <v>10.7026</v>
      </c>
      <c r="AC50" s="738">
        <v>13.9178</v>
      </c>
      <c r="AD50" s="738">
        <v>7.5788099999999998</v>
      </c>
      <c r="AE50" s="738">
        <v>20.552800000000001</v>
      </c>
      <c r="AF50" s="738">
        <v>12.1808</v>
      </c>
      <c r="AG50" s="738">
        <v>8.4365600000000001</v>
      </c>
      <c r="AH50" s="738">
        <v>18.526800000000001</v>
      </c>
      <c r="AI50" s="739">
        <f t="shared" si="22"/>
        <v>11.82</v>
      </c>
      <c r="AJ50" s="739">
        <f t="shared" si="23"/>
        <v>11.82</v>
      </c>
      <c r="AK50" s="739">
        <f t="shared" si="23"/>
        <v>11.82</v>
      </c>
      <c r="AL50" s="739">
        <f t="shared" si="23"/>
        <v>11.82</v>
      </c>
      <c r="AM50" s="739">
        <f t="shared" si="23"/>
        <v>11.82</v>
      </c>
      <c r="AN50" s="740">
        <f t="shared" si="23"/>
        <v>11.82</v>
      </c>
    </row>
    <row r="51" spans="1:40">
      <c r="A51" s="760"/>
      <c r="B51" s="890" t="s">
        <v>756</v>
      </c>
      <c r="C51" s="896"/>
      <c r="D51" s="742">
        <v>1.17825</v>
      </c>
      <c r="E51" s="742">
        <v>1.1602399999999999</v>
      </c>
      <c r="F51" s="742">
        <v>0.82554300000000003</v>
      </c>
      <c r="G51" s="671">
        <f t="shared" si="19"/>
        <v>1.17825</v>
      </c>
      <c r="H51" s="742">
        <v>1.4680899999999999</v>
      </c>
      <c r="I51" s="742">
        <v>0.61151200000000006</v>
      </c>
      <c r="J51" s="742">
        <v>0.92968499999999998</v>
      </c>
      <c r="K51" s="742">
        <v>1.0333699999999999</v>
      </c>
      <c r="L51" s="742">
        <v>0.99878599999999995</v>
      </c>
      <c r="M51" s="742">
        <v>1.21319</v>
      </c>
      <c r="N51" s="874">
        <v>1.2953399999999999</v>
      </c>
      <c r="O51" s="742">
        <v>1.37765</v>
      </c>
      <c r="P51" s="742">
        <v>0.64559800000000001</v>
      </c>
      <c r="Q51" s="742">
        <v>0.84378799999999998</v>
      </c>
      <c r="R51" s="742">
        <v>0.58454200000000001</v>
      </c>
      <c r="S51" s="742">
        <v>1.2427999999999999</v>
      </c>
      <c r="T51" s="671">
        <f t="shared" si="20"/>
        <v>1.2270399999999999</v>
      </c>
      <c r="U51" s="742">
        <v>0.865757</v>
      </c>
      <c r="V51" s="742">
        <v>0.54822099999999996</v>
      </c>
      <c r="W51" s="742">
        <v>1.28295</v>
      </c>
      <c r="X51" s="742">
        <v>0.78241899999999998</v>
      </c>
      <c r="Y51" s="742">
        <v>0.98111999999999999</v>
      </c>
      <c r="Z51" s="742">
        <v>1.0488299999999999</v>
      </c>
      <c r="AA51" s="671">
        <f t="shared" si="21"/>
        <v>1.2270399999999999</v>
      </c>
      <c r="AB51" s="742">
        <v>0.58960100000000004</v>
      </c>
      <c r="AC51" s="742">
        <v>1.0598700000000001</v>
      </c>
      <c r="AD51" s="742">
        <v>0.57720800000000005</v>
      </c>
      <c r="AE51" s="742">
        <v>1.2270399999999999</v>
      </c>
      <c r="AF51" s="742">
        <v>1.04653</v>
      </c>
      <c r="AG51" s="742">
        <v>0.55994500000000003</v>
      </c>
      <c r="AH51" s="742">
        <v>1.10453</v>
      </c>
      <c r="AI51" s="671">
        <f t="shared" si="22"/>
        <v>0.84378799999999998</v>
      </c>
      <c r="AJ51" s="671">
        <f t="shared" si="23"/>
        <v>0.84378799999999998</v>
      </c>
      <c r="AK51" s="671">
        <f t="shared" si="23"/>
        <v>0.84378799999999998</v>
      </c>
      <c r="AL51" s="671">
        <f t="shared" si="23"/>
        <v>0.84378799999999998</v>
      </c>
      <c r="AM51" s="671">
        <f t="shared" si="23"/>
        <v>0.84378799999999998</v>
      </c>
      <c r="AN51" s="743">
        <f t="shared" si="23"/>
        <v>0.84378799999999998</v>
      </c>
    </row>
    <row r="52" spans="1:40">
      <c r="A52" s="759" t="s">
        <v>757</v>
      </c>
      <c r="B52" s="893" t="s">
        <v>705</v>
      </c>
      <c r="C52" s="899"/>
      <c r="D52" s="735">
        <v>0.35069299999999998</v>
      </c>
      <c r="E52" s="735">
        <v>0.577681</v>
      </c>
      <c r="F52" s="735">
        <v>3.4037899999999999E-3</v>
      </c>
      <c r="G52" s="667">
        <f t="shared" si="19"/>
        <v>0.35069299999999998</v>
      </c>
      <c r="H52" s="735">
        <v>0.31459199999999998</v>
      </c>
      <c r="I52" s="735">
        <v>2.47548E-2</v>
      </c>
      <c r="J52" s="735">
        <v>0.39958399999999999</v>
      </c>
      <c r="K52" s="735">
        <v>0.54793199999999997</v>
      </c>
      <c r="L52" s="735">
        <v>1.6086300000000001E-2</v>
      </c>
      <c r="M52" s="735">
        <v>0.29189999999999999</v>
      </c>
      <c r="N52" s="875">
        <v>0.64232999999999996</v>
      </c>
      <c r="O52" s="735">
        <v>0.32181300000000002</v>
      </c>
      <c r="P52" s="735">
        <v>7.6505699999999996E-2</v>
      </c>
      <c r="Q52" s="735">
        <v>7.2806800000000005E-2</v>
      </c>
      <c r="R52" s="735">
        <v>1.0314500000000001E-2</v>
      </c>
      <c r="S52" s="735">
        <v>0.68281999999999998</v>
      </c>
      <c r="T52" s="667">
        <f t="shared" si="20"/>
        <v>0.666408</v>
      </c>
      <c r="U52" s="735">
        <v>7.9421699999999998E-2</v>
      </c>
      <c r="V52" s="735">
        <v>1.5805099999999999E-2</v>
      </c>
      <c r="W52" s="735">
        <v>0.60656500000000002</v>
      </c>
      <c r="X52" s="735">
        <v>1.53581E-2</v>
      </c>
      <c r="Y52" s="735">
        <v>0.21784200000000001</v>
      </c>
      <c r="Z52" s="735">
        <v>0.60508200000000001</v>
      </c>
      <c r="AA52" s="667">
        <f t="shared" si="21"/>
        <v>0.666408</v>
      </c>
      <c r="AB52" s="735">
        <v>6.02864E-3</v>
      </c>
      <c r="AC52" s="735">
        <v>0.19700699999999999</v>
      </c>
      <c r="AD52" s="735">
        <v>1.8915200000000001E-3</v>
      </c>
      <c r="AE52" s="735">
        <v>0.666408</v>
      </c>
      <c r="AF52" s="735">
        <v>0.21041599999999999</v>
      </c>
      <c r="AG52" s="735">
        <v>2.4791000000000001E-2</v>
      </c>
      <c r="AH52" s="735">
        <v>0.45801799999999998</v>
      </c>
      <c r="AI52" s="667">
        <f t="shared" si="22"/>
        <v>7.2806800000000005E-2</v>
      </c>
      <c r="AJ52" s="667">
        <f t="shared" si="23"/>
        <v>7.2806800000000005E-2</v>
      </c>
      <c r="AK52" s="667">
        <f t="shared" si="23"/>
        <v>7.2806800000000005E-2</v>
      </c>
      <c r="AL52" s="667">
        <f t="shared" si="23"/>
        <v>7.2806800000000005E-2</v>
      </c>
      <c r="AM52" s="667">
        <f t="shared" si="23"/>
        <v>7.2806800000000005E-2</v>
      </c>
      <c r="AN52" s="741">
        <f t="shared" si="23"/>
        <v>7.2806800000000005E-2</v>
      </c>
    </row>
    <row r="53" spans="1:40">
      <c r="A53" s="761"/>
      <c r="B53" s="893" t="s">
        <v>706</v>
      </c>
      <c r="C53" s="899"/>
      <c r="D53" s="735">
        <v>0.61003200000000002</v>
      </c>
      <c r="E53" s="735">
        <v>0.35675899999999999</v>
      </c>
      <c r="F53" s="735">
        <v>2.2752499999999998E-2</v>
      </c>
      <c r="G53" s="667">
        <f t="shared" si="19"/>
        <v>0.61003200000000002</v>
      </c>
      <c r="H53" s="735">
        <v>0.36766799999999999</v>
      </c>
      <c r="I53" s="735">
        <v>0.225052</v>
      </c>
      <c r="J53" s="735">
        <v>0.53105800000000003</v>
      </c>
      <c r="K53" s="735">
        <v>0.49068699999999998</v>
      </c>
      <c r="L53" s="735">
        <v>5.2283799999999998E-2</v>
      </c>
      <c r="M53" s="735">
        <v>0.43773899999999999</v>
      </c>
      <c r="N53" s="875">
        <v>0.56205000000000005</v>
      </c>
      <c r="O53" s="735">
        <v>0.42471399999999998</v>
      </c>
      <c r="P53" s="735">
        <v>0.27368999999999999</v>
      </c>
      <c r="Q53" s="735">
        <v>0.270067</v>
      </c>
      <c r="R53" s="735">
        <v>8.8001300000000005E-2</v>
      </c>
      <c r="S53" s="735">
        <v>0.52100000000000002</v>
      </c>
      <c r="T53" s="667">
        <f t="shared" si="20"/>
        <v>0.58311900000000005</v>
      </c>
      <c r="U53" s="735">
        <v>0.49462099999999998</v>
      </c>
      <c r="V53" s="735">
        <v>4.2023900000000003E-2</v>
      </c>
      <c r="W53" s="735">
        <v>0.56823199999999996</v>
      </c>
      <c r="X53" s="735">
        <v>5.0163899999999997E-2</v>
      </c>
      <c r="Y53" s="735">
        <v>0.122748</v>
      </c>
      <c r="Z53" s="735">
        <v>0.462982</v>
      </c>
      <c r="AA53" s="667">
        <f t="shared" si="21"/>
        <v>0.58311900000000005</v>
      </c>
      <c r="AB53" s="735">
        <v>0.127777</v>
      </c>
      <c r="AC53" s="735">
        <v>0.33634199999999997</v>
      </c>
      <c r="AD53" s="735">
        <v>3.7794E-3</v>
      </c>
      <c r="AE53" s="735">
        <v>0.58311900000000005</v>
      </c>
      <c r="AF53" s="735">
        <v>0.40806199999999998</v>
      </c>
      <c r="AG53" s="735">
        <v>0.19958100000000001</v>
      </c>
      <c r="AH53" s="735">
        <v>0.29772700000000002</v>
      </c>
      <c r="AI53" s="667">
        <f t="shared" si="22"/>
        <v>0.270067</v>
      </c>
      <c r="AJ53" s="667">
        <f t="shared" si="23"/>
        <v>0.270067</v>
      </c>
      <c r="AK53" s="667">
        <f t="shared" si="23"/>
        <v>0.270067</v>
      </c>
      <c r="AL53" s="667">
        <f t="shared" si="23"/>
        <v>0.270067</v>
      </c>
      <c r="AM53" s="667">
        <f t="shared" si="23"/>
        <v>0.270067</v>
      </c>
      <c r="AN53" s="741">
        <f t="shared" si="23"/>
        <v>0.270067</v>
      </c>
    </row>
    <row r="54" spans="1:40">
      <c r="A54" s="761"/>
      <c r="B54" s="893" t="s">
        <v>703</v>
      </c>
      <c r="C54" s="899"/>
      <c r="D54" s="735">
        <v>1.6499900000000001</v>
      </c>
      <c r="E54" s="735">
        <v>1.38775</v>
      </c>
      <c r="F54" s="735">
        <v>0.93010999999999999</v>
      </c>
      <c r="G54" s="667">
        <f t="shared" si="19"/>
        <v>1.6499900000000001</v>
      </c>
      <c r="H54" s="735">
        <v>1.2134</v>
      </c>
      <c r="I54" s="735">
        <v>0.90499300000000005</v>
      </c>
      <c r="J54" s="735">
        <v>1.25461</v>
      </c>
      <c r="K54" s="735">
        <v>1.4250400000000001</v>
      </c>
      <c r="L54" s="735">
        <v>0.96173799999999998</v>
      </c>
      <c r="M54" s="735">
        <v>1.1922999999999999</v>
      </c>
      <c r="N54" s="875">
        <v>1.68245</v>
      </c>
      <c r="O54" s="735">
        <v>1.8117300000000001</v>
      </c>
      <c r="P54" s="735">
        <v>0.873753</v>
      </c>
      <c r="Q54" s="735">
        <v>1.0495000000000001</v>
      </c>
      <c r="R54" s="735">
        <v>0.83432300000000004</v>
      </c>
      <c r="S54" s="735">
        <v>1.1313200000000001</v>
      </c>
      <c r="T54" s="667">
        <f t="shared" si="20"/>
        <v>1.5157700000000001</v>
      </c>
      <c r="U54" s="735">
        <v>1.0839399999999999</v>
      </c>
      <c r="V54" s="735">
        <v>0.77507300000000001</v>
      </c>
      <c r="W54" s="735">
        <v>1.42262</v>
      </c>
      <c r="X54" s="735">
        <v>0.86147499999999999</v>
      </c>
      <c r="Y54" s="735">
        <v>1.37721</v>
      </c>
      <c r="Z54" s="735">
        <v>1.2703100000000001</v>
      </c>
      <c r="AA54" s="667">
        <f t="shared" si="21"/>
        <v>1.5157700000000001</v>
      </c>
      <c r="AB54" s="735">
        <v>0.85325600000000001</v>
      </c>
      <c r="AC54" s="735">
        <v>1.17822</v>
      </c>
      <c r="AD54" s="735">
        <v>0.84859200000000001</v>
      </c>
      <c r="AE54" s="735">
        <v>1.5157700000000001</v>
      </c>
      <c r="AF54" s="735">
        <v>1.12226</v>
      </c>
      <c r="AG54" s="735">
        <v>0.71936599999999995</v>
      </c>
      <c r="AH54" s="735">
        <v>1.29104</v>
      </c>
      <c r="AI54" s="667">
        <f t="shared" si="22"/>
        <v>1.0495000000000001</v>
      </c>
      <c r="AJ54" s="667">
        <f t="shared" si="23"/>
        <v>1.0495000000000001</v>
      </c>
      <c r="AK54" s="667">
        <f t="shared" si="23"/>
        <v>1.0495000000000001</v>
      </c>
      <c r="AL54" s="667">
        <f t="shared" si="23"/>
        <v>1.0495000000000001</v>
      </c>
      <c r="AM54" s="667">
        <f t="shared" si="23"/>
        <v>1.0495000000000001</v>
      </c>
      <c r="AN54" s="741">
        <f t="shared" si="23"/>
        <v>1.0495000000000001</v>
      </c>
    </row>
    <row r="55" spans="1:40">
      <c r="A55" s="760"/>
      <c r="B55" s="890" t="s">
        <v>704</v>
      </c>
      <c r="C55" s="896"/>
      <c r="D55" s="742">
        <v>0.89615900000000004</v>
      </c>
      <c r="E55" s="742">
        <v>0.83302699999999996</v>
      </c>
      <c r="F55" s="742">
        <v>0.79268499999999997</v>
      </c>
      <c r="G55" s="671">
        <f t="shared" si="19"/>
        <v>0.89615900000000004</v>
      </c>
      <c r="H55" s="742">
        <v>0.92210400000000003</v>
      </c>
      <c r="I55" s="742">
        <v>0.898007</v>
      </c>
      <c r="J55" s="742">
        <v>0.87029000000000001</v>
      </c>
      <c r="K55" s="742">
        <v>0.74669099999999999</v>
      </c>
      <c r="L55" s="742">
        <v>0.82224900000000001</v>
      </c>
      <c r="M55" s="742">
        <v>0.91702899999999998</v>
      </c>
      <c r="N55" s="874">
        <v>0.87533000000000005</v>
      </c>
      <c r="O55" s="742">
        <v>0.87786600000000004</v>
      </c>
      <c r="P55" s="742">
        <v>0.88507199999999997</v>
      </c>
      <c r="Q55" s="742">
        <v>0.87312400000000001</v>
      </c>
      <c r="R55" s="742">
        <v>0.88499399999999995</v>
      </c>
      <c r="S55" s="742">
        <v>0.88969200000000004</v>
      </c>
      <c r="T55" s="671">
        <f t="shared" si="20"/>
        <v>0.90814300000000003</v>
      </c>
      <c r="U55" s="742">
        <v>0.88045300000000004</v>
      </c>
      <c r="V55" s="742">
        <v>0.80787699999999996</v>
      </c>
      <c r="W55" s="742">
        <v>0.88769600000000004</v>
      </c>
      <c r="X55" s="742">
        <v>0.77232800000000001</v>
      </c>
      <c r="Y55" s="742">
        <v>0.89080000000000004</v>
      </c>
      <c r="Z55" s="742">
        <v>0.87688200000000005</v>
      </c>
      <c r="AA55" s="671">
        <f t="shared" si="21"/>
        <v>0.90814300000000003</v>
      </c>
      <c r="AB55" s="742">
        <v>0.83056399999999997</v>
      </c>
      <c r="AC55" s="742">
        <v>0.86751900000000004</v>
      </c>
      <c r="AD55" s="742">
        <v>0.74443099999999995</v>
      </c>
      <c r="AE55" s="742">
        <v>0.90814300000000003</v>
      </c>
      <c r="AF55" s="742">
        <v>0.90539800000000004</v>
      </c>
      <c r="AG55" s="742">
        <v>0.89931799999999995</v>
      </c>
      <c r="AH55" s="742">
        <v>0.87298600000000004</v>
      </c>
      <c r="AI55" s="671">
        <f t="shared" si="22"/>
        <v>0.87312400000000001</v>
      </c>
      <c r="AJ55" s="671">
        <f t="shared" si="23"/>
        <v>0.87312400000000001</v>
      </c>
      <c r="AK55" s="671">
        <f t="shared" si="23"/>
        <v>0.87312400000000001</v>
      </c>
      <c r="AL55" s="671">
        <f t="shared" si="23"/>
        <v>0.87312400000000001</v>
      </c>
      <c r="AM55" s="671">
        <f t="shared" si="23"/>
        <v>0.87312400000000001</v>
      </c>
      <c r="AN55" s="743">
        <f t="shared" si="23"/>
        <v>0.87312400000000001</v>
      </c>
    </row>
    <row r="58" spans="1:40" ht="21">
      <c r="A58" s="3" t="s">
        <v>759</v>
      </c>
      <c r="B58" s="736"/>
      <c r="C58" s="736"/>
      <c r="D58" s="736"/>
      <c r="E58" s="736"/>
      <c r="F58" s="736"/>
      <c r="G58" s="736"/>
      <c r="H58" s="736"/>
      <c r="I58" s="736"/>
      <c r="J58" s="736"/>
      <c r="K58" s="736"/>
      <c r="L58" s="736"/>
      <c r="M58" s="736"/>
      <c r="N58" s="871"/>
      <c r="O58" s="736"/>
      <c r="P58" s="736"/>
      <c r="Q58" s="736"/>
      <c r="R58" s="736"/>
      <c r="S58" s="736"/>
      <c r="T58" s="736"/>
      <c r="U58" s="736"/>
      <c r="V58" s="736"/>
      <c r="W58" s="736"/>
      <c r="X58" s="736"/>
      <c r="Y58" s="736"/>
      <c r="Z58" s="736"/>
      <c r="AA58" s="736"/>
      <c r="AB58" s="736"/>
      <c r="AC58" s="736"/>
      <c r="AD58" s="736"/>
      <c r="AE58" s="736"/>
      <c r="AF58" s="736"/>
      <c r="AG58" s="736"/>
      <c r="AH58" s="736"/>
      <c r="AI58" s="736"/>
      <c r="AJ58" s="736"/>
      <c r="AK58" s="736"/>
      <c r="AL58" s="736"/>
      <c r="AM58" s="736"/>
      <c r="AN58" s="736"/>
    </row>
    <row r="59" spans="1:40" ht="14.4" customHeight="1">
      <c r="A59" t="s">
        <v>693</v>
      </c>
      <c r="B59" s="696"/>
      <c r="C59" s="696"/>
      <c r="D59" s="696"/>
      <c r="E59" s="696"/>
      <c r="F59" s="696"/>
      <c r="G59" s="696"/>
      <c r="H59" s="696"/>
      <c r="I59" s="696"/>
      <c r="J59" s="696"/>
      <c r="K59" s="696"/>
      <c r="L59" s="696"/>
      <c r="M59" s="696"/>
      <c r="N59" s="872"/>
      <c r="O59" s="696"/>
      <c r="P59" s="696"/>
      <c r="Q59" s="696"/>
      <c r="R59" s="696"/>
      <c r="S59" s="696"/>
      <c r="T59" s="696"/>
      <c r="U59" s="696"/>
      <c r="V59" s="696"/>
      <c r="W59" s="696"/>
      <c r="X59" s="696"/>
      <c r="Y59" s="696"/>
      <c r="Z59" s="696"/>
      <c r="AA59" s="696"/>
      <c r="AB59" s="696"/>
      <c r="AC59" s="696"/>
      <c r="AD59" s="696"/>
      <c r="AE59" s="696"/>
      <c r="AF59" s="696"/>
      <c r="AG59" s="696"/>
      <c r="AH59" s="696"/>
      <c r="AI59" s="696"/>
      <c r="AJ59" s="696"/>
      <c r="AK59" s="696"/>
      <c r="AL59" s="696"/>
      <c r="AM59" s="696"/>
      <c r="AN59" s="696"/>
    </row>
    <row r="60" spans="1:40">
      <c r="A60" s="696"/>
      <c r="B60" s="696"/>
      <c r="C60" s="696"/>
      <c r="D60" s="247" t="s">
        <v>88</v>
      </c>
      <c r="E60" s="248" t="s">
        <v>89</v>
      </c>
      <c r="F60" s="248" t="s">
        <v>90</v>
      </c>
      <c r="G60" s="248" t="s">
        <v>91</v>
      </c>
      <c r="H60" s="248" t="s">
        <v>92</v>
      </c>
      <c r="I60" s="248" t="s">
        <v>93</v>
      </c>
      <c r="J60" s="248" t="s">
        <v>94</v>
      </c>
      <c r="K60" s="248" t="s">
        <v>95</v>
      </c>
      <c r="L60" s="248" t="s">
        <v>96</v>
      </c>
      <c r="M60" s="248" t="s">
        <v>97</v>
      </c>
      <c r="N60" s="860" t="s">
        <v>98</v>
      </c>
      <c r="O60" s="248" t="s">
        <v>99</v>
      </c>
      <c r="P60" s="248" t="s">
        <v>205</v>
      </c>
      <c r="Q60" s="248" t="s">
        <v>118</v>
      </c>
      <c r="R60" s="248" t="s">
        <v>100</v>
      </c>
      <c r="S60" s="248" t="s">
        <v>101</v>
      </c>
      <c r="T60" s="248" t="s">
        <v>102</v>
      </c>
      <c r="U60" s="248" t="s">
        <v>103</v>
      </c>
      <c r="V60" s="248" t="s">
        <v>104</v>
      </c>
      <c r="W60" s="248" t="s">
        <v>105</v>
      </c>
      <c r="X60" s="248" t="s">
        <v>106</v>
      </c>
      <c r="Y60" s="248" t="s">
        <v>107</v>
      </c>
      <c r="Z60" s="248" t="s">
        <v>108</v>
      </c>
      <c r="AA60" s="248" t="s">
        <v>109</v>
      </c>
      <c r="AB60" s="248" t="s">
        <v>110</v>
      </c>
      <c r="AC60" s="248" t="s">
        <v>111</v>
      </c>
      <c r="AD60" s="248" t="s">
        <v>112</v>
      </c>
      <c r="AE60" s="248" t="s">
        <v>113</v>
      </c>
      <c r="AF60" s="248" t="s">
        <v>114</v>
      </c>
      <c r="AG60" s="248" t="s">
        <v>115</v>
      </c>
      <c r="AH60" s="248" t="s">
        <v>52</v>
      </c>
      <c r="AI60" s="248" t="s">
        <v>116</v>
      </c>
      <c r="AJ60" s="248" t="s">
        <v>117</v>
      </c>
      <c r="AK60" s="248" t="s">
        <v>119</v>
      </c>
      <c r="AL60" s="248" t="s">
        <v>120</v>
      </c>
      <c r="AM60" s="248" t="s">
        <v>121</v>
      </c>
      <c r="AN60" s="249" t="s">
        <v>122</v>
      </c>
    </row>
    <row r="61" spans="1:40" ht="15" customHeight="1">
      <c r="A61" s="759" t="s">
        <v>752</v>
      </c>
      <c r="B61" s="897" t="s">
        <v>753</v>
      </c>
      <c r="C61" s="898"/>
      <c r="D61" s="744">
        <v>180.52199999999999</v>
      </c>
      <c r="E61" s="744">
        <v>176.357</v>
      </c>
      <c r="F61" s="744">
        <v>216.994</v>
      </c>
      <c r="G61" s="745">
        <f>D61</f>
        <v>180.52199999999999</v>
      </c>
      <c r="H61" s="744">
        <v>191.77500000000001</v>
      </c>
      <c r="I61" s="744">
        <v>181.90600000000001</v>
      </c>
      <c r="J61" s="744">
        <v>178.08500000000001</v>
      </c>
      <c r="K61" s="744">
        <v>170.976</v>
      </c>
      <c r="L61" s="744">
        <v>232.01599999999999</v>
      </c>
      <c r="M61" s="744">
        <v>197.506</v>
      </c>
      <c r="N61" s="876">
        <v>174.86199999999999</v>
      </c>
      <c r="O61" s="744">
        <v>177.815</v>
      </c>
      <c r="P61" s="744">
        <v>198.11500000000001</v>
      </c>
      <c r="Q61" s="744">
        <v>197.42500000000001</v>
      </c>
      <c r="R61" s="744">
        <v>186.85300000000001</v>
      </c>
      <c r="S61" s="744">
        <v>173.333</v>
      </c>
      <c r="T61" s="745">
        <f>AA61</f>
        <v>170.73</v>
      </c>
      <c r="U61" s="744">
        <v>177.62200000000001</v>
      </c>
      <c r="V61" s="744">
        <v>202.16300000000001</v>
      </c>
      <c r="W61" s="744">
        <v>169.791</v>
      </c>
      <c r="X61" s="744">
        <v>208.322</v>
      </c>
      <c r="Y61" s="744">
        <v>208.959</v>
      </c>
      <c r="Z61" s="744">
        <v>168.279</v>
      </c>
      <c r="AA61" s="745">
        <f>AE61</f>
        <v>170.73</v>
      </c>
      <c r="AB61" s="744">
        <v>200.172</v>
      </c>
      <c r="AC61" s="744">
        <v>195.85499999999999</v>
      </c>
      <c r="AD61" s="744">
        <v>202.48599999999999</v>
      </c>
      <c r="AE61" s="744">
        <v>170.73</v>
      </c>
      <c r="AF61" s="744">
        <v>192.26</v>
      </c>
      <c r="AG61" s="744">
        <v>188.59899999999999</v>
      </c>
      <c r="AH61" s="744">
        <v>170.53200000000001</v>
      </c>
      <c r="AI61" s="745">
        <f>Q61</f>
        <v>197.42500000000001</v>
      </c>
      <c r="AJ61" s="745">
        <f>AI61</f>
        <v>197.42500000000001</v>
      </c>
      <c r="AK61" s="745">
        <f t="shared" ref="AK61:AN61" si="24">AJ61</f>
        <v>197.42500000000001</v>
      </c>
      <c r="AL61" s="745">
        <f t="shared" si="24"/>
        <v>197.42500000000001</v>
      </c>
      <c r="AM61" s="745">
        <f t="shared" si="24"/>
        <v>197.42500000000001</v>
      </c>
      <c r="AN61" s="746">
        <f t="shared" si="24"/>
        <v>197.42500000000001</v>
      </c>
    </row>
    <row r="62" spans="1:40" ht="15" customHeight="1">
      <c r="A62" s="760"/>
      <c r="B62" s="890" t="s">
        <v>754</v>
      </c>
      <c r="C62" s="896"/>
      <c r="D62" s="706">
        <v>306.233</v>
      </c>
      <c r="E62" s="706">
        <v>317.29899999999998</v>
      </c>
      <c r="F62" s="706">
        <v>355.411</v>
      </c>
      <c r="G62" s="747">
        <f t="shared" ref="G62:G68" si="25">D62</f>
        <v>306.233</v>
      </c>
      <c r="H62" s="706">
        <v>325.959</v>
      </c>
      <c r="I62" s="706">
        <v>319.90800000000002</v>
      </c>
      <c r="J62" s="706">
        <v>298.99599999999998</v>
      </c>
      <c r="K62" s="706">
        <v>301.85700000000003</v>
      </c>
      <c r="L62" s="706">
        <v>342.43400000000003</v>
      </c>
      <c r="M62" s="706">
        <v>319.38799999999998</v>
      </c>
      <c r="N62" s="864">
        <v>310.57799999999997</v>
      </c>
      <c r="O62" s="706">
        <v>311.846</v>
      </c>
      <c r="P62" s="706">
        <v>325.10899999999998</v>
      </c>
      <c r="Q62" s="706">
        <v>328.916</v>
      </c>
      <c r="R62" s="706">
        <v>313.05200000000002</v>
      </c>
      <c r="S62" s="706">
        <v>313.62</v>
      </c>
      <c r="T62" s="747">
        <f t="shared" ref="T62:T68" si="26">AA62</f>
        <v>294.41800000000001</v>
      </c>
      <c r="U62" s="706">
        <v>313.30099999999999</v>
      </c>
      <c r="V62" s="706">
        <v>330.14400000000001</v>
      </c>
      <c r="W62" s="706">
        <v>302.584</v>
      </c>
      <c r="X62" s="706">
        <v>346.32499999999999</v>
      </c>
      <c r="Y62" s="706">
        <v>345.94600000000003</v>
      </c>
      <c r="Z62" s="706">
        <v>297.74599999999998</v>
      </c>
      <c r="AA62" s="747">
        <f t="shared" ref="AA62:AA68" si="27">AE62</f>
        <v>294.41800000000001</v>
      </c>
      <c r="AB62" s="706">
        <v>333.41500000000002</v>
      </c>
      <c r="AC62" s="706">
        <v>320.87099999999998</v>
      </c>
      <c r="AD62" s="706">
        <v>317.93200000000002</v>
      </c>
      <c r="AE62" s="706">
        <v>294.41800000000001</v>
      </c>
      <c r="AF62" s="706">
        <v>304.15899999999999</v>
      </c>
      <c r="AG62" s="706">
        <v>288.72500000000002</v>
      </c>
      <c r="AH62" s="706">
        <v>256.86599999999999</v>
      </c>
      <c r="AI62" s="747">
        <f t="shared" ref="AI62:AI68" si="28">Q62</f>
        <v>328.916</v>
      </c>
      <c r="AJ62" s="747">
        <f t="shared" ref="AJ62:AN68" si="29">AI62</f>
        <v>328.916</v>
      </c>
      <c r="AK62" s="747">
        <f t="shared" si="29"/>
        <v>328.916</v>
      </c>
      <c r="AL62" s="747">
        <f t="shared" si="29"/>
        <v>328.916</v>
      </c>
      <c r="AM62" s="747">
        <f t="shared" si="29"/>
        <v>328.916</v>
      </c>
      <c r="AN62" s="748">
        <f t="shared" si="29"/>
        <v>328.916</v>
      </c>
    </row>
    <row r="63" spans="1:40">
      <c r="A63" s="759" t="s">
        <v>755</v>
      </c>
      <c r="B63" s="897" t="s">
        <v>702</v>
      </c>
      <c r="C63" s="898"/>
      <c r="D63" s="744">
        <v>51.5505</v>
      </c>
      <c r="E63" s="744">
        <v>49.536999999999999</v>
      </c>
      <c r="F63" s="744">
        <v>60.329900000000002</v>
      </c>
      <c r="G63" s="745">
        <f t="shared" si="25"/>
        <v>51.5505</v>
      </c>
      <c r="H63" s="744">
        <v>58.500900000000001</v>
      </c>
      <c r="I63" s="744">
        <v>56.288499999999999</v>
      </c>
      <c r="J63" s="744">
        <v>51.451700000000002</v>
      </c>
      <c r="K63" s="744">
        <v>51.589700000000001</v>
      </c>
      <c r="L63" s="744">
        <v>57.163200000000003</v>
      </c>
      <c r="M63" s="744">
        <v>54.045499999999997</v>
      </c>
      <c r="N63" s="876">
        <v>49.232100000000003</v>
      </c>
      <c r="O63" s="744">
        <v>52.477899999999998</v>
      </c>
      <c r="P63" s="744">
        <v>54.552500000000002</v>
      </c>
      <c r="Q63" s="744">
        <v>55.1372</v>
      </c>
      <c r="R63" s="744">
        <v>54.698500000000003</v>
      </c>
      <c r="S63" s="744">
        <v>52.103900000000003</v>
      </c>
      <c r="T63" s="745">
        <f t="shared" si="26"/>
        <v>50.027099999999997</v>
      </c>
      <c r="U63" s="744">
        <v>53.759099999999997</v>
      </c>
      <c r="V63" s="744">
        <v>55.932600000000001</v>
      </c>
      <c r="W63" s="744">
        <v>50.969499999999996</v>
      </c>
      <c r="X63" s="744">
        <v>55.6404</v>
      </c>
      <c r="Y63" s="744">
        <v>58.917700000000004</v>
      </c>
      <c r="Z63" s="744">
        <v>50.969499999999996</v>
      </c>
      <c r="AA63" s="745">
        <f t="shared" si="27"/>
        <v>50.027099999999997</v>
      </c>
      <c r="AB63" s="744">
        <v>55.136800000000001</v>
      </c>
      <c r="AC63" s="744">
        <v>55.308199999999999</v>
      </c>
      <c r="AD63" s="744">
        <v>57.651299999999999</v>
      </c>
      <c r="AE63" s="744">
        <v>50.027099999999997</v>
      </c>
      <c r="AF63" s="744">
        <v>55.239199999999997</v>
      </c>
      <c r="AG63" s="744">
        <v>56.106099999999998</v>
      </c>
      <c r="AH63" s="744">
        <v>50.7196</v>
      </c>
      <c r="AI63" s="745">
        <f t="shared" si="28"/>
        <v>55.1372</v>
      </c>
      <c r="AJ63" s="745">
        <f t="shared" si="29"/>
        <v>55.1372</v>
      </c>
      <c r="AK63" s="745">
        <f t="shared" si="29"/>
        <v>55.1372</v>
      </c>
      <c r="AL63" s="745">
        <f t="shared" si="29"/>
        <v>55.1372</v>
      </c>
      <c r="AM63" s="745">
        <f t="shared" si="29"/>
        <v>55.1372</v>
      </c>
      <c r="AN63" s="746">
        <f t="shared" si="29"/>
        <v>55.1372</v>
      </c>
    </row>
    <row r="64" spans="1:40" ht="15" customHeight="1">
      <c r="A64" s="760"/>
      <c r="B64" s="890" t="s">
        <v>756</v>
      </c>
      <c r="C64" s="896"/>
      <c r="D64" s="706">
        <v>940.072</v>
      </c>
      <c r="E64" s="706">
        <v>949.98</v>
      </c>
      <c r="F64" s="706">
        <v>1088.83</v>
      </c>
      <c r="G64" s="747">
        <f t="shared" si="25"/>
        <v>940.072</v>
      </c>
      <c r="H64" s="706">
        <v>1069.76</v>
      </c>
      <c r="I64" s="706">
        <v>1081.2</v>
      </c>
      <c r="J64" s="706">
        <v>939.35400000000004</v>
      </c>
      <c r="K64" s="706">
        <v>946.48299999999995</v>
      </c>
      <c r="L64" s="706">
        <v>1069.02</v>
      </c>
      <c r="M64" s="706">
        <v>1080.8399999999999</v>
      </c>
      <c r="N64" s="864">
        <v>944.41600000000005</v>
      </c>
      <c r="O64" s="706">
        <v>983.00900000000001</v>
      </c>
      <c r="P64" s="706">
        <v>1065.55</v>
      </c>
      <c r="Q64" s="706">
        <v>1079.52</v>
      </c>
      <c r="R64" s="706">
        <v>1114.45</v>
      </c>
      <c r="S64" s="706">
        <v>961.61400000000003</v>
      </c>
      <c r="T64" s="747">
        <f t="shared" si="26"/>
        <v>926.13800000000003</v>
      </c>
      <c r="U64" s="706">
        <v>994.51499999999999</v>
      </c>
      <c r="V64" s="706">
        <v>1102.29</v>
      </c>
      <c r="W64" s="706">
        <v>923.22900000000004</v>
      </c>
      <c r="X64" s="706">
        <v>1080.76</v>
      </c>
      <c r="Y64" s="706">
        <v>1060.23</v>
      </c>
      <c r="Z64" s="706">
        <v>936.01300000000003</v>
      </c>
      <c r="AA64" s="747">
        <f t="shared" si="27"/>
        <v>926.13800000000003</v>
      </c>
      <c r="AB64" s="706">
        <v>1064.18</v>
      </c>
      <c r="AC64" s="706">
        <v>1092.71</v>
      </c>
      <c r="AD64" s="706">
        <v>1103.72</v>
      </c>
      <c r="AE64" s="706">
        <v>926.13800000000003</v>
      </c>
      <c r="AF64" s="706">
        <v>1040.9100000000001</v>
      </c>
      <c r="AG64" s="706">
        <v>1062.6600000000001</v>
      </c>
      <c r="AH64" s="706">
        <v>967.10400000000004</v>
      </c>
      <c r="AI64" s="747">
        <f t="shared" si="28"/>
        <v>1079.52</v>
      </c>
      <c r="AJ64" s="747">
        <f t="shared" si="29"/>
        <v>1079.52</v>
      </c>
      <c r="AK64" s="747">
        <f t="shared" si="29"/>
        <v>1079.52</v>
      </c>
      <c r="AL64" s="747">
        <f t="shared" si="29"/>
        <v>1079.52</v>
      </c>
      <c r="AM64" s="747">
        <f t="shared" si="29"/>
        <v>1079.52</v>
      </c>
      <c r="AN64" s="748">
        <f t="shared" si="29"/>
        <v>1079.52</v>
      </c>
    </row>
    <row r="65" spans="1:40" ht="15" customHeight="1">
      <c r="A65" s="759" t="s">
        <v>757</v>
      </c>
      <c r="B65" s="893" t="s">
        <v>705</v>
      </c>
      <c r="C65" s="899"/>
      <c r="D65" s="697">
        <v>684.47799999999995</v>
      </c>
      <c r="E65" s="697">
        <v>695.53800000000001</v>
      </c>
      <c r="F65" s="697">
        <v>742.49800000000005</v>
      </c>
      <c r="G65" s="737">
        <f t="shared" si="25"/>
        <v>684.47799999999995</v>
      </c>
      <c r="H65" s="697">
        <v>729.20399999999995</v>
      </c>
      <c r="I65" s="697">
        <v>716.40099999999995</v>
      </c>
      <c r="J65" s="697">
        <v>676.88900000000001</v>
      </c>
      <c r="K65" s="697">
        <v>669.64499999999998</v>
      </c>
      <c r="L65" s="697">
        <v>719.95799999999997</v>
      </c>
      <c r="M65" s="697">
        <v>702.90300000000002</v>
      </c>
      <c r="N65" s="863">
        <v>678.68899999999996</v>
      </c>
      <c r="O65" s="697">
        <v>684.44100000000003</v>
      </c>
      <c r="P65" s="697">
        <v>707.47299999999996</v>
      </c>
      <c r="Q65" s="697">
        <v>709.37</v>
      </c>
      <c r="R65" s="697">
        <v>711.14700000000005</v>
      </c>
      <c r="S65" s="697">
        <v>675.45</v>
      </c>
      <c r="T65" s="737">
        <f t="shared" si="26"/>
        <v>674.70899999999995</v>
      </c>
      <c r="U65" s="697">
        <v>688.12599999999998</v>
      </c>
      <c r="V65" s="697">
        <v>715.29600000000005</v>
      </c>
      <c r="W65" s="697">
        <v>693.90499999999997</v>
      </c>
      <c r="X65" s="697">
        <v>714.86800000000005</v>
      </c>
      <c r="Y65" s="697">
        <v>710.96600000000001</v>
      </c>
      <c r="Z65" s="697">
        <v>673.48</v>
      </c>
      <c r="AA65" s="737">
        <f t="shared" si="27"/>
        <v>674.70899999999995</v>
      </c>
      <c r="AB65" s="697">
        <v>707.68899999999996</v>
      </c>
      <c r="AC65" s="697">
        <v>706.96799999999996</v>
      </c>
      <c r="AD65" s="697">
        <v>727.53599999999994</v>
      </c>
      <c r="AE65" s="697">
        <v>674.70899999999995</v>
      </c>
      <c r="AF65" s="697">
        <v>708.71699999999998</v>
      </c>
      <c r="AG65" s="697">
        <v>712.90899999999999</v>
      </c>
      <c r="AH65" s="697">
        <v>692.41399999999999</v>
      </c>
      <c r="AI65" s="737">
        <f t="shared" si="28"/>
        <v>709.37</v>
      </c>
      <c r="AJ65" s="737">
        <f t="shared" si="29"/>
        <v>709.37</v>
      </c>
      <c r="AK65" s="737">
        <f t="shared" si="29"/>
        <v>709.37</v>
      </c>
      <c r="AL65" s="737">
        <f t="shared" si="29"/>
        <v>709.37</v>
      </c>
      <c r="AM65" s="737">
        <f t="shared" si="29"/>
        <v>709.37</v>
      </c>
      <c r="AN65" s="668">
        <f t="shared" si="29"/>
        <v>709.37</v>
      </c>
    </row>
    <row r="66" spans="1:40" ht="15" customHeight="1">
      <c r="A66" s="761"/>
      <c r="B66" s="893" t="s">
        <v>706</v>
      </c>
      <c r="C66" s="899"/>
      <c r="D66" s="697">
        <v>397.524</v>
      </c>
      <c r="E66" s="697">
        <v>401.286</v>
      </c>
      <c r="F66" s="697">
        <v>468.02499999999998</v>
      </c>
      <c r="G66" s="737">
        <f t="shared" si="25"/>
        <v>397.524</v>
      </c>
      <c r="H66" s="697">
        <v>412.84800000000001</v>
      </c>
      <c r="I66" s="697">
        <v>411.58199999999999</v>
      </c>
      <c r="J66" s="697">
        <v>389.42700000000002</v>
      </c>
      <c r="K66" s="697">
        <v>382.02499999999998</v>
      </c>
      <c r="L66" s="697">
        <v>464.50200000000001</v>
      </c>
      <c r="M66" s="697">
        <v>417.73</v>
      </c>
      <c r="N66" s="863">
        <v>401.61</v>
      </c>
      <c r="O66" s="697">
        <v>404.68200000000002</v>
      </c>
      <c r="P66" s="697">
        <v>409.096</v>
      </c>
      <c r="Q66" s="697">
        <v>419.79300000000001</v>
      </c>
      <c r="R66" s="697">
        <v>414.07900000000001</v>
      </c>
      <c r="S66" s="697">
        <v>403.75</v>
      </c>
      <c r="T66" s="737">
        <f t="shared" si="26"/>
        <v>398.221</v>
      </c>
      <c r="U66" s="697">
        <v>408.47199999999998</v>
      </c>
      <c r="V66" s="697">
        <v>423.64699999999999</v>
      </c>
      <c r="W66" s="697">
        <v>402.52699999999999</v>
      </c>
      <c r="X66" s="697">
        <v>457.35199999999998</v>
      </c>
      <c r="Y66" s="697">
        <v>427.19900000000001</v>
      </c>
      <c r="Z66" s="697">
        <v>400.07600000000002</v>
      </c>
      <c r="AA66" s="737">
        <f t="shared" si="27"/>
        <v>398.221</v>
      </c>
      <c r="AB66" s="697">
        <v>416.36399999999998</v>
      </c>
      <c r="AC66" s="697">
        <v>429.923</v>
      </c>
      <c r="AD66" s="697">
        <v>413.28199999999998</v>
      </c>
      <c r="AE66" s="697">
        <v>398.221</v>
      </c>
      <c r="AF66" s="697">
        <v>416.77300000000002</v>
      </c>
      <c r="AG66" s="697">
        <v>417.38</v>
      </c>
      <c r="AH66" s="697">
        <v>401.98399999999998</v>
      </c>
      <c r="AI66" s="737">
        <f t="shared" si="28"/>
        <v>419.79300000000001</v>
      </c>
      <c r="AJ66" s="737">
        <f t="shared" si="29"/>
        <v>419.79300000000001</v>
      </c>
      <c r="AK66" s="737">
        <f t="shared" si="29"/>
        <v>419.79300000000001</v>
      </c>
      <c r="AL66" s="737">
        <f t="shared" si="29"/>
        <v>419.79300000000001</v>
      </c>
      <c r="AM66" s="737">
        <f t="shared" si="29"/>
        <v>419.79300000000001</v>
      </c>
      <c r="AN66" s="668">
        <f t="shared" si="29"/>
        <v>419.79300000000001</v>
      </c>
    </row>
    <row r="67" spans="1:40" ht="15" customHeight="1">
      <c r="A67" s="761"/>
      <c r="B67" s="893" t="s">
        <v>703</v>
      </c>
      <c r="C67" s="899"/>
      <c r="D67" s="697">
        <v>46.612499999999997</v>
      </c>
      <c r="E67" s="697">
        <v>48.593400000000003</v>
      </c>
      <c r="F67" s="697">
        <v>51.803699999999999</v>
      </c>
      <c r="G67" s="737">
        <f t="shared" si="25"/>
        <v>46.612499999999997</v>
      </c>
      <c r="H67" s="697">
        <v>54.089100000000002</v>
      </c>
      <c r="I67" s="697">
        <v>50.484499999999997</v>
      </c>
      <c r="J67" s="697">
        <v>42.846299999999999</v>
      </c>
      <c r="K67" s="697">
        <v>42.890099999999997</v>
      </c>
      <c r="L67" s="697">
        <v>54.304099999999998</v>
      </c>
      <c r="M67" s="697">
        <v>45.643300000000004</v>
      </c>
      <c r="N67" s="863">
        <v>45.8765</v>
      </c>
      <c r="O67" s="697">
        <v>49.894199999999998</v>
      </c>
      <c r="P67" s="697">
        <v>43.935000000000002</v>
      </c>
      <c r="Q67" s="697">
        <v>48.643300000000004</v>
      </c>
      <c r="R67" s="697">
        <v>49.270299999999999</v>
      </c>
      <c r="S67" s="697">
        <v>46.6922</v>
      </c>
      <c r="T67" s="737">
        <f t="shared" si="26"/>
        <v>44.649799999999999</v>
      </c>
      <c r="U67" s="697">
        <v>45.752099999999999</v>
      </c>
      <c r="V67" s="697">
        <v>51.796799999999998</v>
      </c>
      <c r="W67" s="697">
        <v>45.287700000000001</v>
      </c>
      <c r="X67" s="697">
        <v>50.576099999999997</v>
      </c>
      <c r="Y67" s="697">
        <v>54.602600000000002</v>
      </c>
      <c r="Z67" s="697">
        <v>41.567</v>
      </c>
      <c r="AA67" s="737">
        <f t="shared" si="27"/>
        <v>44.649799999999999</v>
      </c>
      <c r="AB67" s="697">
        <v>46.497799999999998</v>
      </c>
      <c r="AC67" s="697">
        <v>49.3414</v>
      </c>
      <c r="AD67" s="697">
        <v>44.595199999999998</v>
      </c>
      <c r="AE67" s="697">
        <v>44.649799999999999</v>
      </c>
      <c r="AF67" s="697">
        <v>55.012599999999999</v>
      </c>
      <c r="AG67" s="697">
        <v>53.091799999999999</v>
      </c>
      <c r="AH67" s="697">
        <v>41.732599999999998</v>
      </c>
      <c r="AI67" s="737">
        <f>Q67</f>
        <v>48.643300000000004</v>
      </c>
      <c r="AJ67" s="737">
        <f t="shared" si="29"/>
        <v>48.643300000000004</v>
      </c>
      <c r="AK67" s="737">
        <f t="shared" si="29"/>
        <v>48.643300000000004</v>
      </c>
      <c r="AL67" s="737">
        <f t="shared" si="29"/>
        <v>48.643300000000004</v>
      </c>
      <c r="AM67" s="737">
        <f t="shared" si="29"/>
        <v>48.643300000000004</v>
      </c>
      <c r="AN67" s="668">
        <f t="shared" si="29"/>
        <v>48.643300000000004</v>
      </c>
    </row>
    <row r="68" spans="1:40" ht="15" customHeight="1">
      <c r="A68" s="760"/>
      <c r="B68" s="890" t="s">
        <v>704</v>
      </c>
      <c r="C68" s="896"/>
      <c r="D68" s="706">
        <v>307.81099999999998</v>
      </c>
      <c r="E68" s="706">
        <v>322.72899999999998</v>
      </c>
      <c r="F68" s="706">
        <v>371.286</v>
      </c>
      <c r="G68" s="747">
        <f t="shared" si="25"/>
        <v>307.81099999999998</v>
      </c>
      <c r="H68" s="706">
        <v>358.68</v>
      </c>
      <c r="I68" s="706">
        <v>332.12299999999999</v>
      </c>
      <c r="J68" s="706">
        <v>303.95999999999998</v>
      </c>
      <c r="K68" s="706">
        <v>295.24900000000002</v>
      </c>
      <c r="L68" s="706">
        <v>368.85399999999998</v>
      </c>
      <c r="M68" s="706">
        <v>329.66500000000002</v>
      </c>
      <c r="N68" s="864">
        <v>315.60899999999998</v>
      </c>
      <c r="O68" s="706">
        <v>318.56900000000002</v>
      </c>
      <c r="P68" s="706">
        <v>319.72899999999998</v>
      </c>
      <c r="Q68" s="706">
        <v>365.59</v>
      </c>
      <c r="R68" s="706">
        <v>331.49</v>
      </c>
      <c r="S68" s="706">
        <v>320.30900000000003</v>
      </c>
      <c r="T68" s="747">
        <f t="shared" si="26"/>
        <v>300.30200000000002</v>
      </c>
      <c r="U68" s="706">
        <v>313.44900000000001</v>
      </c>
      <c r="V68" s="706">
        <v>339.25799999999998</v>
      </c>
      <c r="W68" s="706">
        <v>313.16000000000003</v>
      </c>
      <c r="X68" s="706">
        <v>360.73899999999998</v>
      </c>
      <c r="Y68" s="706">
        <v>349.27300000000002</v>
      </c>
      <c r="Z68" s="706">
        <v>303.22000000000003</v>
      </c>
      <c r="AA68" s="747">
        <f t="shared" si="27"/>
        <v>300.30200000000002</v>
      </c>
      <c r="AB68" s="706">
        <v>326.23200000000003</v>
      </c>
      <c r="AC68" s="706">
        <v>331.988</v>
      </c>
      <c r="AD68" s="706">
        <v>339.56</v>
      </c>
      <c r="AE68" s="706">
        <v>300.30200000000002</v>
      </c>
      <c r="AF68" s="706">
        <v>330.22</v>
      </c>
      <c r="AG68" s="706">
        <v>318.66800000000001</v>
      </c>
      <c r="AH68" s="706">
        <v>299.43900000000002</v>
      </c>
      <c r="AI68" s="747">
        <f t="shared" si="28"/>
        <v>365.59</v>
      </c>
      <c r="AJ68" s="747">
        <f t="shared" si="29"/>
        <v>365.59</v>
      </c>
      <c r="AK68" s="747">
        <f t="shared" si="29"/>
        <v>365.59</v>
      </c>
      <c r="AL68" s="747">
        <f t="shared" si="29"/>
        <v>365.59</v>
      </c>
      <c r="AM68" s="747">
        <f t="shared" si="29"/>
        <v>365.59</v>
      </c>
      <c r="AN68" s="748">
        <f t="shared" si="29"/>
        <v>365.59</v>
      </c>
    </row>
    <row r="74" spans="1:40" ht="21">
      <c r="A74" s="3" t="s">
        <v>763</v>
      </c>
      <c r="B74" s="736"/>
      <c r="C74" s="736"/>
      <c r="D74" s="736"/>
      <c r="E74" s="736"/>
      <c r="F74" s="736"/>
      <c r="G74" s="736"/>
      <c r="H74" s="736"/>
      <c r="I74" s="736"/>
      <c r="J74" s="736"/>
      <c r="K74" s="736"/>
      <c r="L74" s="736"/>
      <c r="M74" s="736"/>
      <c r="N74" s="871"/>
      <c r="O74" s="736"/>
      <c r="P74" s="736"/>
      <c r="Q74" s="736"/>
      <c r="R74" s="736"/>
      <c r="S74" s="736"/>
      <c r="T74" s="736"/>
      <c r="U74" s="736"/>
      <c r="V74" s="736"/>
      <c r="W74" s="736"/>
      <c r="X74" s="736"/>
      <c r="Y74" s="736"/>
      <c r="Z74" s="736"/>
      <c r="AA74" s="736"/>
      <c r="AB74" s="736"/>
      <c r="AC74" s="736"/>
      <c r="AD74" s="736"/>
      <c r="AE74" s="736"/>
      <c r="AF74" s="736"/>
      <c r="AG74" s="736"/>
      <c r="AH74" s="736"/>
    </row>
    <row r="75" spans="1:40" ht="14.4" customHeight="1">
      <c r="A75" t="s">
        <v>693</v>
      </c>
      <c r="B75" s="696"/>
      <c r="C75" s="696"/>
      <c r="D75" s="696"/>
      <c r="E75" s="696"/>
      <c r="F75" s="696"/>
      <c r="G75" s="696"/>
      <c r="H75" s="696"/>
      <c r="I75" s="696"/>
      <c r="J75" s="696"/>
      <c r="K75" s="696"/>
      <c r="L75" s="696"/>
      <c r="M75" s="696"/>
      <c r="N75" s="872"/>
      <c r="O75" s="696"/>
      <c r="P75" s="696"/>
      <c r="Q75" s="696"/>
      <c r="R75" s="696"/>
      <c r="S75" s="696"/>
      <c r="T75" s="696"/>
      <c r="U75" s="696"/>
      <c r="V75" s="696"/>
      <c r="W75" s="696"/>
      <c r="X75" s="696"/>
      <c r="Y75" s="696"/>
      <c r="Z75" s="696"/>
      <c r="AA75" s="696"/>
      <c r="AB75" s="696"/>
      <c r="AC75" s="696"/>
      <c r="AD75" s="696"/>
      <c r="AE75" s="696"/>
      <c r="AF75" s="696"/>
      <c r="AG75" s="696"/>
      <c r="AH75" s="696"/>
    </row>
    <row r="76" spans="1:40">
      <c r="A76" s="696"/>
      <c r="B76" s="696"/>
      <c r="C76" s="696"/>
      <c r="D76" s="247" t="s">
        <v>88</v>
      </c>
      <c r="E76" s="248" t="s">
        <v>89</v>
      </c>
      <c r="F76" s="248" t="s">
        <v>90</v>
      </c>
      <c r="G76" s="248" t="s">
        <v>91</v>
      </c>
      <c r="H76" s="248" t="s">
        <v>92</v>
      </c>
      <c r="I76" s="248" t="s">
        <v>93</v>
      </c>
      <c r="J76" s="248" t="s">
        <v>94</v>
      </c>
      <c r="K76" s="248" t="s">
        <v>95</v>
      </c>
      <c r="L76" s="248" t="s">
        <v>96</v>
      </c>
      <c r="M76" s="248" t="s">
        <v>97</v>
      </c>
      <c r="N76" s="860" t="s">
        <v>98</v>
      </c>
      <c r="O76" s="248" t="s">
        <v>99</v>
      </c>
      <c r="P76" s="248" t="s">
        <v>205</v>
      </c>
      <c r="Q76" s="248" t="s">
        <v>118</v>
      </c>
      <c r="R76" s="248" t="s">
        <v>100</v>
      </c>
      <c r="S76" s="248" t="s">
        <v>101</v>
      </c>
      <c r="T76" s="248" t="s">
        <v>102</v>
      </c>
      <c r="U76" s="248" t="s">
        <v>103</v>
      </c>
      <c r="V76" s="248" t="s">
        <v>104</v>
      </c>
      <c r="W76" s="248" t="s">
        <v>105</v>
      </c>
      <c r="X76" s="248" t="s">
        <v>106</v>
      </c>
      <c r="Y76" s="248" t="s">
        <v>107</v>
      </c>
      <c r="Z76" s="248" t="s">
        <v>108</v>
      </c>
      <c r="AA76" s="248" t="s">
        <v>109</v>
      </c>
      <c r="AB76" s="248" t="s">
        <v>110</v>
      </c>
      <c r="AC76" s="248" t="s">
        <v>111</v>
      </c>
      <c r="AD76" s="248" t="s">
        <v>112</v>
      </c>
      <c r="AE76" s="248" t="s">
        <v>113</v>
      </c>
      <c r="AF76" s="248" t="s">
        <v>114</v>
      </c>
      <c r="AG76" s="248" t="s">
        <v>115</v>
      </c>
      <c r="AH76" s="248" t="s">
        <v>52</v>
      </c>
      <c r="AI76" s="248" t="s">
        <v>116</v>
      </c>
      <c r="AJ76" s="248" t="s">
        <v>117</v>
      </c>
      <c r="AK76" s="248" t="s">
        <v>119</v>
      </c>
      <c r="AL76" s="248" t="s">
        <v>120</v>
      </c>
      <c r="AM76" s="248" t="s">
        <v>121</v>
      </c>
      <c r="AN76" s="249" t="s">
        <v>122</v>
      </c>
    </row>
    <row r="77" spans="1:40">
      <c r="A77" s="715" t="s">
        <v>525</v>
      </c>
      <c r="B77" s="762"/>
      <c r="C77" s="763"/>
      <c r="D77" s="752">
        <v>2640.78</v>
      </c>
      <c r="E77" s="752">
        <v>2600.42</v>
      </c>
      <c r="F77" s="752">
        <v>1850.27</v>
      </c>
      <c r="G77" s="753">
        <f t="shared" ref="G77:G88" si="30">D77</f>
        <v>2640.78</v>
      </c>
      <c r="H77" s="752">
        <v>3290.39</v>
      </c>
      <c r="I77" s="752">
        <v>1370.57</v>
      </c>
      <c r="J77" s="752">
        <v>2083.69</v>
      </c>
      <c r="K77" s="752">
        <v>2316.0700000000002</v>
      </c>
      <c r="L77" s="752">
        <v>2003.95</v>
      </c>
      <c r="M77" s="752">
        <v>2719.09</v>
      </c>
      <c r="N77" s="877">
        <v>2903.21</v>
      </c>
      <c r="O77" s="752">
        <v>3087.7</v>
      </c>
      <c r="P77" s="752">
        <v>1446.97</v>
      </c>
      <c r="Q77" s="752">
        <v>1891.17</v>
      </c>
      <c r="R77" s="752">
        <v>1310.1199999999999</v>
      </c>
      <c r="S77" s="752">
        <v>2785.47</v>
      </c>
      <c r="T77" s="753">
        <f t="shared" ref="T77:T88" si="31">AA77</f>
        <v>2690.93</v>
      </c>
      <c r="U77" s="752">
        <v>1940.4</v>
      </c>
      <c r="V77" s="752">
        <v>1228.72</v>
      </c>
      <c r="W77" s="752">
        <v>2875.44</v>
      </c>
      <c r="X77" s="752">
        <v>1753.62</v>
      </c>
      <c r="Y77" s="752">
        <v>2198.96</v>
      </c>
      <c r="Z77" s="752">
        <v>2350.73</v>
      </c>
      <c r="AA77" s="753">
        <f>AE77</f>
        <v>2690.93</v>
      </c>
      <c r="AB77" s="752">
        <v>1321.46</v>
      </c>
      <c r="AC77" s="752">
        <v>2375.48</v>
      </c>
      <c r="AD77" s="752">
        <v>1293.69</v>
      </c>
      <c r="AE77" s="752">
        <v>2690.93</v>
      </c>
      <c r="AF77" s="752">
        <v>2345.5700000000002</v>
      </c>
      <c r="AG77" s="752">
        <v>1254.99</v>
      </c>
      <c r="AH77" s="752">
        <v>2475.5700000000002</v>
      </c>
      <c r="AI77" s="752">
        <f>Q77</f>
        <v>1891.17</v>
      </c>
      <c r="AJ77" s="752">
        <f>AI77</f>
        <v>1891.17</v>
      </c>
      <c r="AK77" s="752">
        <f t="shared" ref="AK77:AN77" si="32">AJ77</f>
        <v>1891.17</v>
      </c>
      <c r="AL77" s="752">
        <f t="shared" si="32"/>
        <v>1891.17</v>
      </c>
      <c r="AM77" s="752">
        <f t="shared" si="32"/>
        <v>1891.17</v>
      </c>
      <c r="AN77" s="754">
        <f t="shared" si="32"/>
        <v>1891.17</v>
      </c>
    </row>
    <row r="78" spans="1:40">
      <c r="A78" s="759" t="s">
        <v>752</v>
      </c>
      <c r="B78" s="892" t="s">
        <v>525</v>
      </c>
      <c r="C78" s="900"/>
      <c r="D78" s="755">
        <v>867.12599999999998</v>
      </c>
      <c r="E78" s="755">
        <v>898.03599999999994</v>
      </c>
      <c r="F78" s="755">
        <v>683.77099999999996</v>
      </c>
      <c r="G78" s="756">
        <f t="shared" si="30"/>
        <v>867.12599999999998</v>
      </c>
      <c r="H78" s="755">
        <v>1455.51</v>
      </c>
      <c r="I78" s="755">
        <v>367.41699999999997</v>
      </c>
      <c r="J78" s="755">
        <v>630.94899999999996</v>
      </c>
      <c r="K78" s="755">
        <v>722.98400000000004</v>
      </c>
      <c r="L78" s="755">
        <v>769.60699999999997</v>
      </c>
      <c r="M78" s="755">
        <v>1017.51</v>
      </c>
      <c r="N78" s="878">
        <v>960.94299999999998</v>
      </c>
      <c r="O78" s="755">
        <v>1170.19</v>
      </c>
      <c r="P78" s="755">
        <v>438.83499999999998</v>
      </c>
      <c r="Q78" s="755">
        <v>648.13199999999995</v>
      </c>
      <c r="R78" s="755">
        <v>361.73099999999999</v>
      </c>
      <c r="S78" s="755">
        <v>1002.78</v>
      </c>
      <c r="T78" s="756">
        <f t="shared" si="31"/>
        <v>815.19100000000003</v>
      </c>
      <c r="U78" s="755">
        <v>603.029</v>
      </c>
      <c r="V78" s="755">
        <v>364.29599999999999</v>
      </c>
      <c r="W78" s="755">
        <v>935.55100000000004</v>
      </c>
      <c r="X78" s="755">
        <v>680.60900000000004</v>
      </c>
      <c r="Y78" s="755">
        <v>700.96299999999997</v>
      </c>
      <c r="Z78" s="755">
        <v>722.93499999999995</v>
      </c>
      <c r="AA78" s="756">
        <f t="shared" ref="AA78:AA88" si="33">AE78</f>
        <v>815.19100000000003</v>
      </c>
      <c r="AB78" s="755">
        <v>399.31599999999997</v>
      </c>
      <c r="AC78" s="755">
        <v>872.89300000000003</v>
      </c>
      <c r="AD78" s="755">
        <v>390.99099999999999</v>
      </c>
      <c r="AE78" s="755">
        <v>815.19100000000003</v>
      </c>
      <c r="AF78" s="755">
        <v>849.54399999999998</v>
      </c>
      <c r="AG78" s="755">
        <v>369.1</v>
      </c>
      <c r="AH78" s="755">
        <v>856.096</v>
      </c>
      <c r="AI78" s="755">
        <f t="shared" ref="AI78:AI87" si="34">Q78</f>
        <v>648.13199999999995</v>
      </c>
      <c r="AJ78" s="755">
        <f t="shared" ref="AJ78:AN88" si="35">AI78</f>
        <v>648.13199999999995</v>
      </c>
      <c r="AK78" s="755">
        <f t="shared" si="35"/>
        <v>648.13199999999995</v>
      </c>
      <c r="AL78" s="755">
        <f t="shared" si="35"/>
        <v>648.13199999999995</v>
      </c>
      <c r="AM78" s="755">
        <f t="shared" si="35"/>
        <v>648.13199999999995</v>
      </c>
      <c r="AN78" s="757">
        <f t="shared" si="35"/>
        <v>648.13199999999995</v>
      </c>
    </row>
    <row r="79" spans="1:40">
      <c r="A79" s="761"/>
      <c r="B79" s="893" t="s">
        <v>753</v>
      </c>
      <c r="C79" s="899"/>
      <c r="D79" s="697">
        <v>155.21</v>
      </c>
      <c r="E79" s="697">
        <v>166.04</v>
      </c>
      <c r="F79" s="697">
        <v>91.313900000000004</v>
      </c>
      <c r="G79" s="698">
        <f t="shared" si="30"/>
        <v>155.21</v>
      </c>
      <c r="H79" s="697">
        <v>199.25899999999999</v>
      </c>
      <c r="I79" s="697">
        <v>81.967600000000004</v>
      </c>
      <c r="J79" s="697">
        <v>142.786</v>
      </c>
      <c r="K79" s="697">
        <v>149.76900000000001</v>
      </c>
      <c r="L79" s="697">
        <v>183.09700000000001</v>
      </c>
      <c r="M79" s="697">
        <v>188.12899999999999</v>
      </c>
      <c r="N79" s="863">
        <v>169.625</v>
      </c>
      <c r="O79" s="697">
        <v>193.74600000000001</v>
      </c>
      <c r="P79" s="697">
        <v>91.007800000000003</v>
      </c>
      <c r="Q79" s="697">
        <v>126.289</v>
      </c>
      <c r="R79" s="697">
        <v>89.225499999999997</v>
      </c>
      <c r="S79" s="697">
        <v>177.529</v>
      </c>
      <c r="T79" s="698">
        <f t="shared" si="31"/>
        <v>158.82</v>
      </c>
      <c r="U79" s="697">
        <v>118.21</v>
      </c>
      <c r="V79" s="697">
        <v>84.210700000000003</v>
      </c>
      <c r="W79" s="697">
        <v>183.03899999999999</v>
      </c>
      <c r="X79" s="697">
        <v>141.17599999999999</v>
      </c>
      <c r="Y79" s="697">
        <v>128.66800000000001</v>
      </c>
      <c r="Z79" s="697">
        <v>156.41300000000001</v>
      </c>
      <c r="AA79" s="698">
        <f t="shared" si="33"/>
        <v>158.82</v>
      </c>
      <c r="AB79" s="697">
        <v>99.531499999999994</v>
      </c>
      <c r="AC79" s="697">
        <v>131.297</v>
      </c>
      <c r="AD79" s="697">
        <v>91.194900000000004</v>
      </c>
      <c r="AE79" s="697">
        <v>158.82</v>
      </c>
      <c r="AF79" s="697">
        <v>162.93299999999999</v>
      </c>
      <c r="AG79" s="697">
        <v>101.254</v>
      </c>
      <c r="AH79" s="697">
        <v>173.68299999999999</v>
      </c>
      <c r="AI79" s="697">
        <f t="shared" si="34"/>
        <v>126.289</v>
      </c>
      <c r="AJ79" s="697">
        <f t="shared" si="35"/>
        <v>126.289</v>
      </c>
      <c r="AK79" s="697">
        <f t="shared" si="35"/>
        <v>126.289</v>
      </c>
      <c r="AL79" s="697">
        <f t="shared" si="35"/>
        <v>126.289</v>
      </c>
      <c r="AM79" s="697">
        <f t="shared" si="35"/>
        <v>126.289</v>
      </c>
      <c r="AN79" s="749">
        <f t="shared" si="35"/>
        <v>126.289</v>
      </c>
    </row>
    <row r="80" spans="1:40">
      <c r="A80" s="760"/>
      <c r="B80" s="890" t="s">
        <v>754</v>
      </c>
      <c r="C80" s="896"/>
      <c r="D80" s="706">
        <v>711.91600000000005</v>
      </c>
      <c r="E80" s="706">
        <v>731.99599999999998</v>
      </c>
      <c r="F80" s="706">
        <v>592.45699999999999</v>
      </c>
      <c r="G80" s="707">
        <f t="shared" si="30"/>
        <v>711.91600000000005</v>
      </c>
      <c r="H80" s="706">
        <v>1256.25</v>
      </c>
      <c r="I80" s="706">
        <v>285.45</v>
      </c>
      <c r="J80" s="706">
        <v>488.16199999999998</v>
      </c>
      <c r="K80" s="706">
        <v>573.21500000000003</v>
      </c>
      <c r="L80" s="706">
        <v>586.51</v>
      </c>
      <c r="M80" s="706">
        <v>829.38199999999995</v>
      </c>
      <c r="N80" s="864">
        <v>791.31799999999998</v>
      </c>
      <c r="O80" s="706">
        <v>976.44799999999998</v>
      </c>
      <c r="P80" s="706">
        <v>347.827</v>
      </c>
      <c r="Q80" s="706">
        <v>521.84299999999996</v>
      </c>
      <c r="R80" s="706">
        <v>272.50599999999997</v>
      </c>
      <c r="S80" s="706">
        <v>825.25300000000004</v>
      </c>
      <c r="T80" s="707">
        <f t="shared" si="31"/>
        <v>656.37199999999996</v>
      </c>
      <c r="U80" s="706">
        <v>484.81900000000002</v>
      </c>
      <c r="V80" s="706">
        <v>280.08499999999998</v>
      </c>
      <c r="W80" s="706">
        <v>752.51199999999994</v>
      </c>
      <c r="X80" s="706">
        <v>539.43200000000002</v>
      </c>
      <c r="Y80" s="706">
        <v>572.29499999999996</v>
      </c>
      <c r="Z80" s="706">
        <v>566.52200000000005</v>
      </c>
      <c r="AA80" s="707">
        <f t="shared" si="33"/>
        <v>656.37199999999996</v>
      </c>
      <c r="AB80" s="706">
        <v>299.78399999999999</v>
      </c>
      <c r="AC80" s="706">
        <v>741.596</v>
      </c>
      <c r="AD80" s="706">
        <v>299.79599999999999</v>
      </c>
      <c r="AE80" s="706">
        <v>656.37199999999996</v>
      </c>
      <c r="AF80" s="706">
        <v>686.61099999999999</v>
      </c>
      <c r="AG80" s="706">
        <v>267.846</v>
      </c>
      <c r="AH80" s="706">
        <v>682.41300000000001</v>
      </c>
      <c r="AI80" s="706">
        <f t="shared" si="34"/>
        <v>521.84299999999996</v>
      </c>
      <c r="AJ80" s="706">
        <f t="shared" si="35"/>
        <v>521.84299999999996</v>
      </c>
      <c r="AK80" s="706">
        <f t="shared" si="35"/>
        <v>521.84299999999996</v>
      </c>
      <c r="AL80" s="706">
        <f t="shared" si="35"/>
        <v>521.84299999999996</v>
      </c>
      <c r="AM80" s="706">
        <f t="shared" si="35"/>
        <v>521.84299999999996</v>
      </c>
      <c r="AN80" s="750">
        <f t="shared" si="35"/>
        <v>521.84299999999996</v>
      </c>
    </row>
    <row r="81" spans="1:40">
      <c r="A81" s="266" t="s">
        <v>755</v>
      </c>
      <c r="B81" s="903" t="s">
        <v>525</v>
      </c>
      <c r="C81" s="904"/>
      <c r="D81" s="699">
        <v>625.65499999999997</v>
      </c>
      <c r="E81" s="699">
        <v>610.524</v>
      </c>
      <c r="F81" s="699">
        <v>560.50400000000002</v>
      </c>
      <c r="G81" s="700">
        <f t="shared" si="30"/>
        <v>625.65499999999997</v>
      </c>
      <c r="H81" s="699">
        <v>746.42499999999995</v>
      </c>
      <c r="I81" s="699">
        <v>416.60399999999998</v>
      </c>
      <c r="J81" s="699">
        <v>558.42999999999995</v>
      </c>
      <c r="K81" s="699">
        <v>604.45600000000002</v>
      </c>
      <c r="L81" s="699">
        <v>570.88</v>
      </c>
      <c r="M81" s="699">
        <v>755.274</v>
      </c>
      <c r="N81" s="862">
        <v>686.66300000000001</v>
      </c>
      <c r="O81" s="699">
        <v>665.49400000000003</v>
      </c>
      <c r="P81" s="699">
        <v>424.05799999999999</v>
      </c>
      <c r="Q81" s="699">
        <v>522.23299999999995</v>
      </c>
      <c r="R81" s="699">
        <v>432.45600000000002</v>
      </c>
      <c r="S81" s="699">
        <v>701.37099999999998</v>
      </c>
      <c r="T81" s="700">
        <f t="shared" si="31"/>
        <v>723.42499999999995</v>
      </c>
      <c r="U81" s="699">
        <v>592.73299999999995</v>
      </c>
      <c r="V81" s="699">
        <v>363.35</v>
      </c>
      <c r="W81" s="699">
        <v>815.101</v>
      </c>
      <c r="X81" s="699">
        <v>503.73899999999998</v>
      </c>
      <c r="Y81" s="699">
        <v>554.72900000000004</v>
      </c>
      <c r="Z81" s="699">
        <v>673.654</v>
      </c>
      <c r="AA81" s="700">
        <f t="shared" si="33"/>
        <v>723.42499999999995</v>
      </c>
      <c r="AB81" s="699">
        <v>413.19099999999997</v>
      </c>
      <c r="AC81" s="699">
        <v>626.73299999999995</v>
      </c>
      <c r="AD81" s="699">
        <v>428.803</v>
      </c>
      <c r="AE81" s="699">
        <v>723.42499999999995</v>
      </c>
      <c r="AF81" s="699">
        <v>562.79700000000003</v>
      </c>
      <c r="AG81" s="699">
        <v>360.02800000000002</v>
      </c>
      <c r="AH81" s="699">
        <v>709.65899999999999</v>
      </c>
      <c r="AI81" s="699">
        <f t="shared" si="34"/>
        <v>522.23299999999995</v>
      </c>
      <c r="AJ81" s="699">
        <f t="shared" si="35"/>
        <v>522.23299999999995</v>
      </c>
      <c r="AK81" s="699">
        <f t="shared" si="35"/>
        <v>522.23299999999995</v>
      </c>
      <c r="AL81" s="699">
        <f t="shared" si="35"/>
        <v>522.23299999999995</v>
      </c>
      <c r="AM81" s="699">
        <f t="shared" si="35"/>
        <v>522.23299999999995</v>
      </c>
      <c r="AN81" s="758">
        <f t="shared" si="35"/>
        <v>522.23299999999995</v>
      </c>
    </row>
    <row r="82" spans="1:40">
      <c r="A82" s="761"/>
      <c r="B82" s="893" t="s">
        <v>702</v>
      </c>
      <c r="C82" s="899"/>
      <c r="D82" s="697">
        <v>436.19400000000002</v>
      </c>
      <c r="E82" s="697">
        <v>407.75799999999998</v>
      </c>
      <c r="F82" s="697">
        <v>308.52800000000002</v>
      </c>
      <c r="G82" s="698">
        <f t="shared" si="30"/>
        <v>436.19400000000002</v>
      </c>
      <c r="H82" s="697">
        <v>421.76900000000001</v>
      </c>
      <c r="I82" s="697">
        <v>316.11399999999998</v>
      </c>
      <c r="J82" s="697">
        <v>407.41500000000002</v>
      </c>
      <c r="K82" s="697">
        <v>473.44600000000003</v>
      </c>
      <c r="L82" s="697">
        <v>207.934</v>
      </c>
      <c r="M82" s="697">
        <v>413.10199999999998</v>
      </c>
      <c r="N82" s="863">
        <v>493.875</v>
      </c>
      <c r="O82" s="697">
        <v>422.82100000000003</v>
      </c>
      <c r="P82" s="697">
        <v>269.07299999999998</v>
      </c>
      <c r="Q82" s="697">
        <v>325.70299999999997</v>
      </c>
      <c r="R82" s="697">
        <v>300.07400000000001</v>
      </c>
      <c r="S82" s="697">
        <v>481.76900000000001</v>
      </c>
      <c r="T82" s="698">
        <f t="shared" si="31"/>
        <v>561.303</v>
      </c>
      <c r="U82" s="697">
        <v>425.61</v>
      </c>
      <c r="V82" s="697">
        <v>223.54400000000001</v>
      </c>
      <c r="W82" s="697">
        <v>606.79100000000005</v>
      </c>
      <c r="X82" s="697">
        <v>267.738</v>
      </c>
      <c r="Y82" s="697">
        <v>375.81599999999997</v>
      </c>
      <c r="Z82" s="697">
        <v>528.14200000000005</v>
      </c>
      <c r="AA82" s="698">
        <f t="shared" si="33"/>
        <v>561.303</v>
      </c>
      <c r="AB82" s="697">
        <v>298.18299999999999</v>
      </c>
      <c r="AC82" s="697">
        <v>381.14400000000001</v>
      </c>
      <c r="AD82" s="697">
        <v>218.96600000000001</v>
      </c>
      <c r="AE82" s="697">
        <v>561.303</v>
      </c>
      <c r="AF82" s="697">
        <v>339.36900000000003</v>
      </c>
      <c r="AG82" s="697">
        <v>235.05</v>
      </c>
      <c r="AH82" s="697">
        <v>513.46199999999999</v>
      </c>
      <c r="AI82" s="697">
        <f t="shared" si="34"/>
        <v>325.70299999999997</v>
      </c>
      <c r="AJ82" s="697">
        <f t="shared" si="35"/>
        <v>325.70299999999997</v>
      </c>
      <c r="AK82" s="697">
        <f t="shared" si="35"/>
        <v>325.70299999999997</v>
      </c>
      <c r="AL82" s="697">
        <f t="shared" si="35"/>
        <v>325.70299999999997</v>
      </c>
      <c r="AM82" s="697">
        <f t="shared" si="35"/>
        <v>325.70299999999997</v>
      </c>
      <c r="AN82" s="749">
        <f t="shared" si="35"/>
        <v>325.70299999999997</v>
      </c>
    </row>
    <row r="83" spans="1:40">
      <c r="A83" s="760"/>
      <c r="B83" s="890" t="s">
        <v>756</v>
      </c>
      <c r="C83" s="896"/>
      <c r="D83" s="706">
        <v>189.46</v>
      </c>
      <c r="E83" s="706">
        <v>202.767</v>
      </c>
      <c r="F83" s="706">
        <v>251.976</v>
      </c>
      <c r="G83" s="707">
        <f t="shared" si="30"/>
        <v>189.46</v>
      </c>
      <c r="H83" s="706">
        <v>324.65600000000001</v>
      </c>
      <c r="I83" s="706">
        <v>100.489</v>
      </c>
      <c r="J83" s="706">
        <v>151.01499999999999</v>
      </c>
      <c r="K83" s="706">
        <v>131.01</v>
      </c>
      <c r="L83" s="706">
        <v>362.94600000000003</v>
      </c>
      <c r="M83" s="706">
        <v>342.17200000000003</v>
      </c>
      <c r="N83" s="864">
        <v>192.78800000000001</v>
      </c>
      <c r="O83" s="706">
        <v>242.673</v>
      </c>
      <c r="P83" s="706">
        <v>154.98500000000001</v>
      </c>
      <c r="Q83" s="706">
        <v>196.53</v>
      </c>
      <c r="R83" s="706">
        <v>132.38200000000001</v>
      </c>
      <c r="S83" s="706">
        <v>219.601</v>
      </c>
      <c r="T83" s="707">
        <f t="shared" si="31"/>
        <v>162.12200000000001</v>
      </c>
      <c r="U83" s="706">
        <v>167.12299999999999</v>
      </c>
      <c r="V83" s="706">
        <v>139.80600000000001</v>
      </c>
      <c r="W83" s="706">
        <v>208.31</v>
      </c>
      <c r="X83" s="706">
        <v>236.001</v>
      </c>
      <c r="Y83" s="706">
        <v>178.91399999999999</v>
      </c>
      <c r="Z83" s="706">
        <v>145.512</v>
      </c>
      <c r="AA83" s="707">
        <f t="shared" si="33"/>
        <v>162.12200000000001</v>
      </c>
      <c r="AB83" s="706">
        <v>115.008</v>
      </c>
      <c r="AC83" s="706">
        <v>245.589</v>
      </c>
      <c r="AD83" s="706">
        <v>209.83699999999999</v>
      </c>
      <c r="AE83" s="706">
        <v>162.12200000000001</v>
      </c>
      <c r="AF83" s="706">
        <v>223.428</v>
      </c>
      <c r="AG83" s="706">
        <v>124.977</v>
      </c>
      <c r="AH83" s="706">
        <v>196.197</v>
      </c>
      <c r="AI83" s="706">
        <f t="shared" si="34"/>
        <v>196.53</v>
      </c>
      <c r="AJ83" s="706">
        <f t="shared" si="35"/>
        <v>196.53</v>
      </c>
      <c r="AK83" s="706">
        <f t="shared" si="35"/>
        <v>196.53</v>
      </c>
      <c r="AL83" s="706">
        <f t="shared" si="35"/>
        <v>196.53</v>
      </c>
      <c r="AM83" s="706">
        <f t="shared" si="35"/>
        <v>196.53</v>
      </c>
      <c r="AN83" s="750">
        <f t="shared" si="35"/>
        <v>196.53</v>
      </c>
    </row>
    <row r="84" spans="1:40">
      <c r="A84" s="759" t="s">
        <v>757</v>
      </c>
      <c r="B84" s="892" t="s">
        <v>525</v>
      </c>
      <c r="C84" s="900"/>
      <c r="D84" s="755">
        <v>1148</v>
      </c>
      <c r="E84" s="755">
        <v>1091.8599999999999</v>
      </c>
      <c r="F84" s="755">
        <v>605.99800000000005</v>
      </c>
      <c r="G84" s="756">
        <f t="shared" si="30"/>
        <v>1148</v>
      </c>
      <c r="H84" s="755">
        <v>1088.46</v>
      </c>
      <c r="I84" s="755">
        <v>586.54899999999998</v>
      </c>
      <c r="J84" s="755">
        <v>894.30600000000004</v>
      </c>
      <c r="K84" s="755">
        <v>988.63199999999995</v>
      </c>
      <c r="L84" s="755">
        <v>663.46500000000003</v>
      </c>
      <c r="M84" s="755">
        <v>946.30700000000002</v>
      </c>
      <c r="N84" s="878">
        <v>1255.6099999999999</v>
      </c>
      <c r="O84" s="755">
        <v>1252.02</v>
      </c>
      <c r="P84" s="755">
        <v>584.07299999999998</v>
      </c>
      <c r="Q84" s="755">
        <v>720.8</v>
      </c>
      <c r="R84" s="755">
        <v>515.93600000000004</v>
      </c>
      <c r="S84" s="755">
        <v>1081.32</v>
      </c>
      <c r="T84" s="756">
        <f t="shared" si="31"/>
        <v>1152.32</v>
      </c>
      <c r="U84" s="755">
        <v>744.64200000000005</v>
      </c>
      <c r="V84" s="755">
        <v>501.07299999999998</v>
      </c>
      <c r="W84" s="755">
        <v>1124.79</v>
      </c>
      <c r="X84" s="755">
        <v>569.27300000000002</v>
      </c>
      <c r="Y84" s="755">
        <v>943.27300000000002</v>
      </c>
      <c r="Z84" s="755">
        <v>954.13900000000001</v>
      </c>
      <c r="AA84" s="756">
        <f t="shared" si="33"/>
        <v>1152.32</v>
      </c>
      <c r="AB84" s="755">
        <v>508.95400000000001</v>
      </c>
      <c r="AC84" s="755">
        <v>875.84900000000005</v>
      </c>
      <c r="AD84" s="755">
        <v>473.892</v>
      </c>
      <c r="AE84" s="755">
        <v>1152.32</v>
      </c>
      <c r="AF84" s="755">
        <v>933.23299999999995</v>
      </c>
      <c r="AG84" s="755">
        <v>525.86599999999999</v>
      </c>
      <c r="AH84" s="755">
        <v>909.81299999999999</v>
      </c>
      <c r="AI84" s="755">
        <f t="shared" si="34"/>
        <v>720.8</v>
      </c>
      <c r="AJ84" s="755">
        <f t="shared" si="35"/>
        <v>720.8</v>
      </c>
      <c r="AK84" s="755">
        <f t="shared" si="35"/>
        <v>720.8</v>
      </c>
      <c r="AL84" s="755">
        <f t="shared" si="35"/>
        <v>720.8</v>
      </c>
      <c r="AM84" s="755">
        <f t="shared" si="35"/>
        <v>720.8</v>
      </c>
      <c r="AN84" s="757">
        <f t="shared" si="35"/>
        <v>720.8</v>
      </c>
    </row>
    <row r="85" spans="1:40">
      <c r="A85" s="761"/>
      <c r="B85" s="893" t="s">
        <v>705</v>
      </c>
      <c r="C85" s="899"/>
      <c r="D85" s="697">
        <v>141.52699999999999</v>
      </c>
      <c r="E85" s="697">
        <v>238.435</v>
      </c>
      <c r="F85" s="697">
        <v>1.5220199999999999</v>
      </c>
      <c r="G85" s="698">
        <f t="shared" si="30"/>
        <v>141.52699999999999</v>
      </c>
      <c r="H85" s="697">
        <v>153.07400000000001</v>
      </c>
      <c r="I85" s="697">
        <v>8.2398199999999999</v>
      </c>
      <c r="J85" s="697">
        <v>149.27600000000001</v>
      </c>
      <c r="K85" s="697">
        <v>206.70599999999999</v>
      </c>
      <c r="L85" s="697">
        <v>7.0206099999999996</v>
      </c>
      <c r="M85" s="697">
        <v>132.38499999999999</v>
      </c>
      <c r="N85" s="863">
        <v>260.67500000000001</v>
      </c>
      <c r="O85" s="697">
        <v>141.553</v>
      </c>
      <c r="P85" s="697">
        <v>28.703499999999998</v>
      </c>
      <c r="Q85" s="697">
        <v>29.766300000000001</v>
      </c>
      <c r="R85" s="697">
        <v>3.5545499999999999</v>
      </c>
      <c r="S85" s="697">
        <v>287.69900000000001</v>
      </c>
      <c r="T85" s="698">
        <f t="shared" si="31"/>
        <v>255.50399999999999</v>
      </c>
      <c r="U85" s="697">
        <v>29.986599999999999</v>
      </c>
      <c r="V85" s="697">
        <v>5.6926500000000004</v>
      </c>
      <c r="W85" s="697">
        <v>241.56100000000001</v>
      </c>
      <c r="X85" s="697">
        <v>6.6111700000000004</v>
      </c>
      <c r="Y85" s="697">
        <v>86.129000000000005</v>
      </c>
      <c r="Z85" s="697">
        <v>228.36600000000001</v>
      </c>
      <c r="AA85" s="698">
        <f t="shared" si="33"/>
        <v>255.50399999999999</v>
      </c>
      <c r="AB85" s="697">
        <v>2.10643</v>
      </c>
      <c r="AC85" s="697">
        <v>85.896699999999996</v>
      </c>
      <c r="AD85" s="697">
        <v>0.741178</v>
      </c>
      <c r="AE85" s="697">
        <v>255.50399999999999</v>
      </c>
      <c r="AF85" s="697">
        <v>89.296099999999996</v>
      </c>
      <c r="AG85" s="697">
        <v>8.5716300000000007</v>
      </c>
      <c r="AH85" s="697">
        <v>187.07400000000001</v>
      </c>
      <c r="AI85" s="697">
        <f t="shared" si="34"/>
        <v>29.766300000000001</v>
      </c>
      <c r="AJ85" s="697">
        <f t="shared" si="35"/>
        <v>29.766300000000001</v>
      </c>
      <c r="AK85" s="697">
        <f t="shared" si="35"/>
        <v>29.766300000000001</v>
      </c>
      <c r="AL85" s="697">
        <f t="shared" si="35"/>
        <v>29.766300000000001</v>
      </c>
      <c r="AM85" s="697">
        <f t="shared" si="35"/>
        <v>29.766300000000001</v>
      </c>
      <c r="AN85" s="749">
        <f t="shared" si="35"/>
        <v>29.766300000000001</v>
      </c>
    </row>
    <row r="86" spans="1:40">
      <c r="A86" s="761"/>
      <c r="B86" s="893" t="s">
        <v>706</v>
      </c>
      <c r="C86" s="899"/>
      <c r="D86" s="697">
        <v>159.56899999999999</v>
      </c>
      <c r="E86" s="697">
        <v>96.869799999999998</v>
      </c>
      <c r="F86" s="697">
        <v>7.0732699999999999</v>
      </c>
      <c r="G86" s="698">
        <f t="shared" si="30"/>
        <v>159.56899999999999</v>
      </c>
      <c r="H86" s="697">
        <v>131.67599999999999</v>
      </c>
      <c r="I86" s="697">
        <v>42.594900000000003</v>
      </c>
      <c r="J86" s="697">
        <v>122.173</v>
      </c>
      <c r="K86" s="697">
        <v>114.658</v>
      </c>
      <c r="L86" s="697">
        <v>15.344099999999999</v>
      </c>
      <c r="M86" s="697">
        <v>130.99700000000001</v>
      </c>
      <c r="N86" s="863">
        <v>148.40100000000001</v>
      </c>
      <c r="O86" s="697">
        <v>128.339</v>
      </c>
      <c r="P86" s="697">
        <v>63.354300000000002</v>
      </c>
      <c r="Q86" s="697">
        <v>72.176299999999998</v>
      </c>
      <c r="R86" s="697">
        <v>17.604900000000001</v>
      </c>
      <c r="S86" s="697">
        <v>147.648</v>
      </c>
      <c r="T86" s="698">
        <f t="shared" si="31"/>
        <v>140.02099999999999</v>
      </c>
      <c r="U86" s="697">
        <v>119.89</v>
      </c>
      <c r="V86" s="697">
        <v>9.0522399999999994</v>
      </c>
      <c r="W86" s="697">
        <v>147.95699999999999</v>
      </c>
      <c r="X86" s="697">
        <v>15.023999999999999</v>
      </c>
      <c r="Y86" s="697">
        <v>30.9785</v>
      </c>
      <c r="Z86" s="697">
        <v>108.233</v>
      </c>
      <c r="AA86" s="698">
        <f t="shared" si="33"/>
        <v>140.02099999999999</v>
      </c>
      <c r="AB86" s="697">
        <v>26.1859</v>
      </c>
      <c r="AC86" s="697">
        <v>95.435000000000002</v>
      </c>
      <c r="AD86" s="697">
        <v>0.91950299999999996</v>
      </c>
      <c r="AE86" s="697">
        <v>140.02099999999999</v>
      </c>
      <c r="AF86" s="697">
        <v>116.11199999999999</v>
      </c>
      <c r="AG86" s="697">
        <v>40.244500000000002</v>
      </c>
      <c r="AH86" s="697">
        <v>79.420500000000004</v>
      </c>
      <c r="AI86" s="697">
        <f t="shared" si="34"/>
        <v>72.176299999999998</v>
      </c>
      <c r="AJ86" s="697">
        <f t="shared" si="35"/>
        <v>72.176299999999998</v>
      </c>
      <c r="AK86" s="697">
        <f t="shared" si="35"/>
        <v>72.176299999999998</v>
      </c>
      <c r="AL86" s="697">
        <f t="shared" si="35"/>
        <v>72.176299999999998</v>
      </c>
      <c r="AM86" s="697">
        <f t="shared" si="35"/>
        <v>72.176299999999998</v>
      </c>
      <c r="AN86" s="749">
        <f t="shared" si="35"/>
        <v>72.176299999999998</v>
      </c>
    </row>
    <row r="87" spans="1:40">
      <c r="A87" s="761"/>
      <c r="B87" s="893" t="s">
        <v>703</v>
      </c>
      <c r="C87" s="899"/>
      <c r="D87" s="697">
        <v>673.73099999999999</v>
      </c>
      <c r="E87" s="697">
        <v>590.73699999999997</v>
      </c>
      <c r="F87" s="697">
        <v>422.084</v>
      </c>
      <c r="G87" s="698">
        <f t="shared" si="30"/>
        <v>673.73099999999999</v>
      </c>
      <c r="H87" s="697">
        <v>574.93499999999995</v>
      </c>
      <c r="I87" s="697">
        <v>400.22800000000001</v>
      </c>
      <c r="J87" s="697">
        <v>470.89699999999999</v>
      </c>
      <c r="K87" s="697">
        <v>535.41200000000003</v>
      </c>
      <c r="L87" s="697">
        <v>457.50200000000001</v>
      </c>
      <c r="M87" s="697">
        <v>476.72199999999998</v>
      </c>
      <c r="N87" s="863">
        <v>676.14099999999996</v>
      </c>
      <c r="O87" s="697">
        <v>791.86</v>
      </c>
      <c r="P87" s="697">
        <v>336.28199999999998</v>
      </c>
      <c r="Q87" s="697">
        <v>447.209</v>
      </c>
      <c r="R87" s="697">
        <v>360.1</v>
      </c>
      <c r="S87" s="697">
        <v>462.73500000000001</v>
      </c>
      <c r="T87" s="698">
        <f t="shared" si="31"/>
        <v>592.86800000000005</v>
      </c>
      <c r="U87" s="697">
        <v>434.43099999999998</v>
      </c>
      <c r="V87" s="697">
        <v>351.68200000000002</v>
      </c>
      <c r="W87" s="697">
        <v>564.38199999999995</v>
      </c>
      <c r="X87" s="697">
        <v>381.67399999999998</v>
      </c>
      <c r="Y87" s="697">
        <v>658.745</v>
      </c>
      <c r="Z87" s="697">
        <v>462.55399999999997</v>
      </c>
      <c r="AA87" s="698">
        <f t="shared" si="33"/>
        <v>592.86800000000005</v>
      </c>
      <c r="AB87" s="697">
        <v>347.54899999999998</v>
      </c>
      <c r="AC87" s="697">
        <v>509.262</v>
      </c>
      <c r="AD87" s="697">
        <v>331.50599999999997</v>
      </c>
      <c r="AE87" s="697">
        <v>592.86800000000005</v>
      </c>
      <c r="AF87" s="697">
        <v>540.82799999999997</v>
      </c>
      <c r="AG87" s="697">
        <v>334.56599999999997</v>
      </c>
      <c r="AH87" s="697">
        <v>471.976</v>
      </c>
      <c r="AI87" s="697">
        <f t="shared" si="34"/>
        <v>447.209</v>
      </c>
      <c r="AJ87" s="697">
        <f t="shared" si="35"/>
        <v>447.209</v>
      </c>
      <c r="AK87" s="697">
        <f t="shared" si="35"/>
        <v>447.209</v>
      </c>
      <c r="AL87" s="697">
        <f t="shared" si="35"/>
        <v>447.209</v>
      </c>
      <c r="AM87" s="697">
        <f t="shared" si="35"/>
        <v>447.209</v>
      </c>
      <c r="AN87" s="749">
        <f t="shared" si="35"/>
        <v>447.209</v>
      </c>
    </row>
    <row r="88" spans="1:40">
      <c r="A88" s="760"/>
      <c r="B88" s="890" t="s">
        <v>704</v>
      </c>
      <c r="C88" s="896"/>
      <c r="D88" s="706">
        <v>173.172</v>
      </c>
      <c r="E88" s="706">
        <v>165.815</v>
      </c>
      <c r="F88" s="706">
        <v>175.31800000000001</v>
      </c>
      <c r="G88" s="707">
        <f t="shared" si="30"/>
        <v>173.172</v>
      </c>
      <c r="H88" s="706">
        <v>228.774</v>
      </c>
      <c r="I88" s="706">
        <v>135.48699999999999</v>
      </c>
      <c r="J88" s="706">
        <v>151.96</v>
      </c>
      <c r="K88" s="706">
        <v>131.857</v>
      </c>
      <c r="L88" s="706">
        <v>183.59800000000001</v>
      </c>
      <c r="M88" s="706">
        <v>206.203</v>
      </c>
      <c r="N88" s="864">
        <v>170.39099999999999</v>
      </c>
      <c r="O88" s="706">
        <v>190.26599999999999</v>
      </c>
      <c r="P88" s="706">
        <v>155.733</v>
      </c>
      <c r="Q88" s="706">
        <v>171.648</v>
      </c>
      <c r="R88" s="706">
        <v>134.67599999999999</v>
      </c>
      <c r="S88" s="706">
        <v>183.23400000000001</v>
      </c>
      <c r="T88" s="707">
        <f t="shared" si="31"/>
        <v>163.92500000000001</v>
      </c>
      <c r="U88" s="706">
        <v>160.33500000000001</v>
      </c>
      <c r="V88" s="706">
        <v>134.64599999999999</v>
      </c>
      <c r="W88" s="706">
        <v>170.89099999999999</v>
      </c>
      <c r="X88" s="706">
        <v>165.964</v>
      </c>
      <c r="Y88" s="706">
        <v>167.42</v>
      </c>
      <c r="Z88" s="706">
        <v>154.98599999999999</v>
      </c>
      <c r="AA88" s="707">
        <f t="shared" si="33"/>
        <v>163.92500000000001</v>
      </c>
      <c r="AB88" s="706">
        <v>133.11199999999999</v>
      </c>
      <c r="AC88" s="706">
        <v>185.256</v>
      </c>
      <c r="AD88" s="706">
        <v>140.726</v>
      </c>
      <c r="AE88" s="706">
        <v>163.92500000000001</v>
      </c>
      <c r="AF88" s="706">
        <v>186.99600000000001</v>
      </c>
      <c r="AG88" s="706">
        <v>142.48400000000001</v>
      </c>
      <c r="AH88" s="706">
        <v>171.34200000000001</v>
      </c>
      <c r="AI88" s="706">
        <f>Q88</f>
        <v>171.648</v>
      </c>
      <c r="AJ88" s="706">
        <f>AI88</f>
        <v>171.648</v>
      </c>
      <c r="AK88" s="706">
        <f t="shared" si="35"/>
        <v>171.648</v>
      </c>
      <c r="AL88" s="706">
        <f t="shared" si="35"/>
        <v>171.648</v>
      </c>
      <c r="AM88" s="706">
        <f t="shared" si="35"/>
        <v>171.648</v>
      </c>
      <c r="AN88" s="750">
        <f t="shared" si="35"/>
        <v>171.648</v>
      </c>
    </row>
  </sheetData>
  <mergeCells count="51">
    <mergeCell ref="B19:C19"/>
    <mergeCell ref="B20:C20"/>
    <mergeCell ref="B23:C23"/>
    <mergeCell ref="B26:C26"/>
    <mergeCell ref="B81:C81"/>
    <mergeCell ref="B65:C65"/>
    <mergeCell ref="B66:C66"/>
    <mergeCell ref="B67:C67"/>
    <mergeCell ref="B68:C68"/>
    <mergeCell ref="B61:C61"/>
    <mergeCell ref="B62:C62"/>
    <mergeCell ref="B63:C63"/>
    <mergeCell ref="B64:C64"/>
    <mergeCell ref="B52:C52"/>
    <mergeCell ref="B53:C53"/>
    <mergeCell ref="B54:C54"/>
    <mergeCell ref="B87:C87"/>
    <mergeCell ref="B88:C88"/>
    <mergeCell ref="B78:C78"/>
    <mergeCell ref="B79:C79"/>
    <mergeCell ref="B80:C80"/>
    <mergeCell ref="B82:C82"/>
    <mergeCell ref="B83:C83"/>
    <mergeCell ref="B84:C84"/>
    <mergeCell ref="B85:C85"/>
    <mergeCell ref="B86:C86"/>
    <mergeCell ref="B55:C55"/>
    <mergeCell ref="B48:C48"/>
    <mergeCell ref="B49:C49"/>
    <mergeCell ref="B50:C50"/>
    <mergeCell ref="B51:C51"/>
    <mergeCell ref="B29:C29"/>
    <mergeCell ref="B30:C30"/>
    <mergeCell ref="B21:C21"/>
    <mergeCell ref="B22:C22"/>
    <mergeCell ref="B24:C24"/>
    <mergeCell ref="B25:C25"/>
    <mergeCell ref="B27:C27"/>
    <mergeCell ref="B28:C28"/>
    <mergeCell ref="B11:C11"/>
    <mergeCell ref="B12:C12"/>
    <mergeCell ref="B13:C13"/>
    <mergeCell ref="B14:C14"/>
    <mergeCell ref="B15:C15"/>
    <mergeCell ref="B10:C10"/>
    <mergeCell ref="B4:C4"/>
    <mergeCell ref="B5:C5"/>
    <mergeCell ref="B6:C6"/>
    <mergeCell ref="B7:C7"/>
    <mergeCell ref="B8:C8"/>
    <mergeCell ref="B9:C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5"/>
  <dimension ref="A1:L14"/>
  <sheetViews>
    <sheetView zoomScale="70" zoomScaleNormal="70" workbookViewId="0">
      <selection activeCell="B26" sqref="B26"/>
    </sheetView>
  </sheetViews>
  <sheetFormatPr defaultColWidth="9.109375" defaultRowHeight="14.4"/>
  <cols>
    <col min="3" max="3" width="14" bestFit="1" customWidth="1"/>
    <col min="4" max="12" width="9.109375" style="585"/>
  </cols>
  <sheetData>
    <row r="1" spans="1:12" ht="21">
      <c r="A1" s="3" t="s">
        <v>827</v>
      </c>
    </row>
    <row r="2" spans="1:12">
      <c r="A2" s="50" t="s">
        <v>1</v>
      </c>
      <c r="B2" s="50" t="s">
        <v>546</v>
      </c>
      <c r="C2" s="50" t="s">
        <v>612</v>
      </c>
      <c r="D2" s="592" t="s">
        <v>102</v>
      </c>
      <c r="E2" s="589" t="s">
        <v>119</v>
      </c>
      <c r="F2" s="589" t="s">
        <v>120</v>
      </c>
      <c r="G2" s="589" t="s">
        <v>109</v>
      </c>
      <c r="H2" s="589" t="s">
        <v>121</v>
      </c>
      <c r="I2" s="589" t="s">
        <v>91</v>
      </c>
      <c r="J2" s="590" t="s">
        <v>116</v>
      </c>
      <c r="K2" s="590" t="s">
        <v>117</v>
      </c>
      <c r="L2" s="591" t="s">
        <v>122</v>
      </c>
    </row>
    <row r="3" spans="1:12">
      <c r="A3" s="93" t="s">
        <v>511</v>
      </c>
      <c r="B3" s="93">
        <v>2010</v>
      </c>
      <c r="C3" s="599" t="s">
        <v>591</v>
      </c>
      <c r="D3" s="593">
        <v>0</v>
      </c>
      <c r="E3" s="594">
        <v>8.3000000000000004E-2</v>
      </c>
      <c r="F3" s="594">
        <v>8.7999999999999995E-2</v>
      </c>
      <c r="G3" s="594">
        <v>0</v>
      </c>
      <c r="H3" s="594">
        <v>10.206</v>
      </c>
      <c r="I3" s="594">
        <v>0.39338999999999996</v>
      </c>
      <c r="J3" s="594">
        <v>0</v>
      </c>
      <c r="K3" s="594">
        <v>4.7718599999999993</v>
      </c>
      <c r="L3" s="595">
        <v>0.92841999999999991</v>
      </c>
    </row>
    <row r="4" spans="1:12">
      <c r="A4" s="93" t="s">
        <v>511</v>
      </c>
      <c r="B4" s="93">
        <v>2010</v>
      </c>
      <c r="C4" s="599" t="s">
        <v>600</v>
      </c>
      <c r="D4" s="593">
        <v>4.5999999999999999E-2</v>
      </c>
      <c r="E4" s="594">
        <v>0</v>
      </c>
      <c r="F4" s="594">
        <v>0.42099999999999999</v>
      </c>
      <c r="G4" s="594">
        <v>0.55300000000000005</v>
      </c>
      <c r="H4" s="594">
        <v>1.2769999999999999</v>
      </c>
      <c r="I4" s="594">
        <v>0</v>
      </c>
      <c r="J4" s="594">
        <v>3.266</v>
      </c>
      <c r="K4" s="594">
        <v>0</v>
      </c>
      <c r="L4" s="595">
        <v>0.46</v>
      </c>
    </row>
    <row r="5" spans="1:12">
      <c r="A5" s="93" t="s">
        <v>511</v>
      </c>
      <c r="B5" s="93">
        <v>2010</v>
      </c>
      <c r="C5" s="599" t="s">
        <v>589</v>
      </c>
      <c r="D5" s="593">
        <v>8.6000000000000007E-2</v>
      </c>
      <c r="E5" s="594">
        <v>0</v>
      </c>
      <c r="F5" s="594">
        <v>1.4219999999999999</v>
      </c>
      <c r="G5" s="594">
        <v>7.6640000000000006</v>
      </c>
      <c r="H5" s="594">
        <v>4.4000000000000039E-2</v>
      </c>
      <c r="I5" s="594">
        <v>118.17238999999999</v>
      </c>
      <c r="J5" s="594">
        <v>0.16002000000000002</v>
      </c>
      <c r="K5" s="594">
        <v>0</v>
      </c>
      <c r="L5" s="595">
        <v>0.60482999999999998</v>
      </c>
    </row>
    <row r="6" spans="1:12">
      <c r="A6" s="93" t="s">
        <v>511</v>
      </c>
      <c r="B6" s="93">
        <v>2010</v>
      </c>
      <c r="C6" s="599" t="s">
        <v>587</v>
      </c>
      <c r="D6" s="593">
        <v>0</v>
      </c>
      <c r="E6" s="594">
        <v>0</v>
      </c>
      <c r="F6" s="594">
        <v>0</v>
      </c>
      <c r="G6" s="594">
        <v>0.16600000000000001</v>
      </c>
      <c r="H6" s="594">
        <v>9.0150000000000006</v>
      </c>
      <c r="I6" s="594">
        <v>48.392710000000001</v>
      </c>
      <c r="J6" s="594">
        <v>0</v>
      </c>
      <c r="K6" s="594">
        <v>1.8066900000000001</v>
      </c>
      <c r="L6" s="595">
        <v>0</v>
      </c>
    </row>
    <row r="7" spans="1:12">
      <c r="A7" s="93" t="s">
        <v>511</v>
      </c>
      <c r="B7" s="93">
        <v>2010</v>
      </c>
      <c r="C7" s="599" t="s">
        <v>590</v>
      </c>
      <c r="D7" s="593">
        <v>0</v>
      </c>
      <c r="E7" s="594">
        <v>9.4320000000000004</v>
      </c>
      <c r="F7" s="594">
        <v>7.484</v>
      </c>
      <c r="G7" s="594">
        <v>29.797999999999998</v>
      </c>
      <c r="H7" s="594">
        <v>40.402999999999999</v>
      </c>
      <c r="I7" s="594">
        <v>19.681229999999999</v>
      </c>
      <c r="J7" s="594">
        <v>7.5345699999999995</v>
      </c>
      <c r="K7" s="594">
        <v>7.3596000000000004</v>
      </c>
      <c r="L7" s="595">
        <v>9.1072500000000005</v>
      </c>
    </row>
    <row r="8" spans="1:12">
      <c r="A8" s="93" t="s">
        <v>511</v>
      </c>
      <c r="B8" s="93">
        <v>2010</v>
      </c>
      <c r="C8" s="599" t="s">
        <v>778</v>
      </c>
      <c r="D8" s="593">
        <v>0</v>
      </c>
      <c r="E8" s="594">
        <v>0</v>
      </c>
      <c r="F8" s="594">
        <v>0</v>
      </c>
      <c r="G8" s="594">
        <v>0</v>
      </c>
      <c r="H8" s="594">
        <v>0</v>
      </c>
      <c r="I8" s="594">
        <v>1.16778</v>
      </c>
      <c r="J8" s="594">
        <v>8.3989999999999995E-2</v>
      </c>
      <c r="K8" s="594">
        <v>0</v>
      </c>
      <c r="L8" s="595">
        <v>6.9900000000000006E-3</v>
      </c>
    </row>
    <row r="9" spans="1:12">
      <c r="A9" s="93" t="s">
        <v>511</v>
      </c>
      <c r="B9" s="93">
        <v>2010</v>
      </c>
      <c r="C9" s="599" t="s">
        <v>599</v>
      </c>
      <c r="D9" s="593">
        <v>7.6559999999999997</v>
      </c>
      <c r="E9" s="594">
        <v>0</v>
      </c>
      <c r="F9" s="594">
        <v>0</v>
      </c>
      <c r="G9" s="594">
        <v>0</v>
      </c>
      <c r="H9" s="594">
        <v>0</v>
      </c>
      <c r="I9" s="594">
        <v>8.7223199999999999</v>
      </c>
      <c r="J9" s="594">
        <v>0</v>
      </c>
      <c r="K9" s="594">
        <v>0</v>
      </c>
      <c r="L9" s="595">
        <v>0</v>
      </c>
    </row>
    <row r="10" spans="1:12">
      <c r="A10" s="93" t="s">
        <v>511</v>
      </c>
      <c r="B10" s="93">
        <v>2010</v>
      </c>
      <c r="C10" s="599" t="s">
        <v>586</v>
      </c>
      <c r="D10" s="593">
        <v>3.3439999999999999</v>
      </c>
      <c r="E10" s="594">
        <v>4.6079999999999997</v>
      </c>
      <c r="F10" s="594">
        <v>11.638999999999999</v>
      </c>
      <c r="G10" s="594">
        <v>143.114</v>
      </c>
      <c r="H10" s="594">
        <v>52.722000000000001</v>
      </c>
      <c r="I10" s="594">
        <v>67.033259999999999</v>
      </c>
      <c r="J10" s="594">
        <v>9.3184799999999992</v>
      </c>
      <c r="K10" s="594">
        <v>16.36495</v>
      </c>
      <c r="L10" s="595">
        <v>8.0726499999999994</v>
      </c>
    </row>
    <row r="11" spans="1:12">
      <c r="A11" s="601" t="s">
        <v>511</v>
      </c>
      <c r="B11" s="601">
        <v>2010</v>
      </c>
      <c r="C11" s="600" t="s">
        <v>794</v>
      </c>
      <c r="D11" s="596">
        <v>6.7969999999999997</v>
      </c>
      <c r="E11" s="597">
        <v>0</v>
      </c>
      <c r="F11" s="597">
        <v>1.423</v>
      </c>
      <c r="G11" s="597">
        <v>3.9020000000000001</v>
      </c>
      <c r="H11" s="597">
        <v>15.946999999999999</v>
      </c>
      <c r="I11" s="597">
        <v>6.8986700000000001</v>
      </c>
      <c r="J11" s="597">
        <v>0</v>
      </c>
      <c r="K11" s="597">
        <v>4.0272399999999999</v>
      </c>
      <c r="L11" s="598">
        <v>0.14595</v>
      </c>
    </row>
    <row r="12" spans="1:12">
      <c r="A12" s="602" t="s">
        <v>511</v>
      </c>
      <c r="B12" s="602">
        <v>2010</v>
      </c>
      <c r="C12" s="603" t="s">
        <v>525</v>
      </c>
      <c r="D12" s="604">
        <v>17.928999999999998</v>
      </c>
      <c r="E12" s="604">
        <v>14.123000000000001</v>
      </c>
      <c r="F12" s="604">
        <v>22.476999999999997</v>
      </c>
      <c r="G12" s="604">
        <v>185.197</v>
      </c>
      <c r="H12" s="604">
        <v>129.614</v>
      </c>
      <c r="I12" s="604">
        <v>270.46174999999999</v>
      </c>
      <c r="J12" s="604">
        <f>20363.05/1000</f>
        <v>20.363049999999998</v>
      </c>
      <c r="K12" s="604">
        <v>34.33034</v>
      </c>
      <c r="L12" s="605">
        <v>19.3261</v>
      </c>
    </row>
    <row r="13" spans="1:12" ht="15" thickBot="1">
      <c r="A13" s="586" t="s">
        <v>0</v>
      </c>
      <c r="B13" s="587"/>
      <c r="C13" s="587"/>
      <c r="D13" s="588" t="s">
        <v>684</v>
      </c>
      <c r="E13" s="588" t="s">
        <v>684</v>
      </c>
      <c r="F13" s="588" t="s">
        <v>684</v>
      </c>
      <c r="G13" s="588" t="s">
        <v>684</v>
      </c>
      <c r="H13" s="588" t="s">
        <v>684</v>
      </c>
      <c r="I13" s="588" t="s">
        <v>685</v>
      </c>
      <c r="J13" s="588" t="s">
        <v>685</v>
      </c>
      <c r="K13" s="588" t="s">
        <v>685</v>
      </c>
      <c r="L13" s="588" t="s">
        <v>685</v>
      </c>
    </row>
    <row r="14" spans="1:12">
      <c r="D14"/>
      <c r="E14"/>
      <c r="F14"/>
      <c r="G14"/>
      <c r="H14"/>
      <c r="I14"/>
      <c r="J14"/>
      <c r="K14"/>
      <c r="L1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6"/>
  <dimension ref="A1:BD78"/>
  <sheetViews>
    <sheetView zoomScale="85" zoomScaleNormal="85" workbookViewId="0">
      <selection activeCell="E12" sqref="E12"/>
    </sheetView>
  </sheetViews>
  <sheetFormatPr defaultColWidth="9.109375" defaultRowHeight="14.4"/>
  <cols>
    <col min="1" max="1" width="9.109375" style="5"/>
    <col min="2" max="2" width="13.88671875" style="5" customWidth="1"/>
    <col min="3" max="3" width="12.109375" style="5" customWidth="1"/>
    <col min="4" max="4" width="9.109375" style="5"/>
    <col min="5" max="6" width="9.109375" style="5" customWidth="1"/>
    <col min="7" max="10" width="9.109375" style="5"/>
    <col min="11" max="11" width="13.44140625" style="5" customWidth="1"/>
    <col min="12" max="12" width="9.109375" style="5"/>
    <col min="13" max="13" width="13.44140625" style="5" customWidth="1"/>
    <col min="14" max="15" width="11.109375" style="5" customWidth="1"/>
    <col min="16" max="16" width="13.44140625" style="5" bestFit="1" customWidth="1"/>
    <col min="17" max="22" width="9.109375" style="5" customWidth="1"/>
    <col min="23" max="23" width="13.44140625" style="5" customWidth="1"/>
    <col min="24" max="29" width="9.109375" style="5" customWidth="1"/>
    <col min="30" max="30" width="13.44140625" style="5" customWidth="1"/>
    <col min="31" max="32" width="9.109375" style="5"/>
    <col min="33" max="33" width="14.6640625" style="5" customWidth="1"/>
    <col min="34" max="34" width="12.88671875" style="5" bestFit="1" customWidth="1"/>
    <col min="35" max="38" width="9.109375" style="164"/>
    <col min="39" max="39" width="11" style="5" bestFit="1" customWidth="1"/>
    <col min="40" max="43" width="11.44140625" style="5" bestFit="1" customWidth="1"/>
    <col min="44" max="44" width="12.109375" style="5" bestFit="1" customWidth="1"/>
    <col min="45" max="16384" width="9.109375" style="5"/>
  </cols>
  <sheetData>
    <row r="1" spans="1:44" ht="21">
      <c r="A1" s="3" t="s">
        <v>678</v>
      </c>
      <c r="C1" s="4"/>
      <c r="D1" s="4"/>
      <c r="E1" s="4"/>
      <c r="F1" s="4"/>
      <c r="G1" s="4"/>
      <c r="H1" s="4"/>
      <c r="I1" s="4"/>
      <c r="J1" s="4"/>
      <c r="P1" s="3" t="s">
        <v>191</v>
      </c>
      <c r="Q1" s="3"/>
      <c r="R1" s="3"/>
      <c r="S1" s="3"/>
      <c r="T1" s="3"/>
      <c r="U1" s="3"/>
      <c r="V1" s="3"/>
      <c r="AG1" s="3" t="s">
        <v>282</v>
      </c>
      <c r="AM1" s="474"/>
      <c r="AN1" s="474"/>
      <c r="AO1" s="474"/>
      <c r="AP1" s="474"/>
      <c r="AQ1" s="474"/>
      <c r="AR1" s="474"/>
    </row>
    <row r="2" spans="1:44">
      <c r="A2" s="2" t="s">
        <v>289</v>
      </c>
      <c r="Q2" s="905" t="s">
        <v>268</v>
      </c>
      <c r="R2" s="906"/>
      <c r="S2" s="906"/>
      <c r="T2" s="906"/>
      <c r="U2" s="906"/>
      <c r="V2" s="906"/>
      <c r="W2" s="907"/>
      <c r="X2" s="905" t="s">
        <v>269</v>
      </c>
      <c r="Y2" s="906"/>
      <c r="Z2" s="906"/>
      <c r="AA2" s="906"/>
      <c r="AB2" s="906"/>
      <c r="AC2" s="906"/>
      <c r="AD2" s="907"/>
      <c r="AI2" s="908" t="s">
        <v>171</v>
      </c>
      <c r="AJ2" s="909"/>
      <c r="AK2" s="910" t="s">
        <v>237</v>
      </c>
      <c r="AL2" s="909"/>
      <c r="AM2" s="905" t="s">
        <v>431</v>
      </c>
      <c r="AN2" s="906"/>
      <c r="AO2" s="906"/>
      <c r="AP2" s="906"/>
      <c r="AQ2" s="906"/>
      <c r="AR2" s="907"/>
    </row>
    <row r="3" spans="1:44" ht="45.75" customHeight="1">
      <c r="A3" s="85" t="s">
        <v>192</v>
      </c>
      <c r="B3" s="85" t="s">
        <v>165</v>
      </c>
      <c r="C3" s="50" t="s">
        <v>0</v>
      </c>
      <c r="D3" s="51" t="s">
        <v>1</v>
      </c>
      <c r="E3" s="52" t="s">
        <v>2</v>
      </c>
      <c r="F3" s="52" t="s">
        <v>3</v>
      </c>
      <c r="G3" s="52" t="s">
        <v>4</v>
      </c>
      <c r="H3" s="52" t="s">
        <v>5</v>
      </c>
      <c r="I3" s="52" t="s">
        <v>6</v>
      </c>
      <c r="J3" s="53" t="s">
        <v>7</v>
      </c>
      <c r="K3" s="41" t="s">
        <v>141</v>
      </c>
      <c r="M3" s="42" t="s">
        <v>168</v>
      </c>
      <c r="P3" s="433" t="s">
        <v>165</v>
      </c>
      <c r="Q3" s="391" t="s">
        <v>2</v>
      </c>
      <c r="R3" s="389" t="s">
        <v>3</v>
      </c>
      <c r="S3" s="389" t="s">
        <v>4</v>
      </c>
      <c r="T3" s="389" t="s">
        <v>5</v>
      </c>
      <c r="U3" s="389" t="s">
        <v>6</v>
      </c>
      <c r="V3" s="41" t="s">
        <v>7</v>
      </c>
      <c r="W3" s="41" t="s">
        <v>141</v>
      </c>
      <c r="X3" s="391" t="s">
        <v>2</v>
      </c>
      <c r="Y3" s="389" t="s">
        <v>3</v>
      </c>
      <c r="Z3" s="389" t="s">
        <v>4</v>
      </c>
      <c r="AA3" s="389" t="s">
        <v>5</v>
      </c>
      <c r="AB3" s="389" t="s">
        <v>6</v>
      </c>
      <c r="AC3" s="41" t="s">
        <v>7</v>
      </c>
      <c r="AD3" s="41" t="s">
        <v>141</v>
      </c>
      <c r="AG3" s="85" t="s">
        <v>165</v>
      </c>
      <c r="AH3" s="50" t="s">
        <v>0</v>
      </c>
      <c r="AI3" s="427" t="s">
        <v>238</v>
      </c>
      <c r="AJ3" s="427" t="s">
        <v>239</v>
      </c>
      <c r="AK3" s="431" t="s">
        <v>238</v>
      </c>
      <c r="AL3" s="432" t="s">
        <v>239</v>
      </c>
      <c r="AM3" s="391" t="s">
        <v>2</v>
      </c>
      <c r="AN3" s="389" t="s">
        <v>3</v>
      </c>
      <c r="AO3" s="389" t="s">
        <v>4</v>
      </c>
      <c r="AP3" s="389" t="s">
        <v>5</v>
      </c>
      <c r="AQ3" s="389" t="s">
        <v>6</v>
      </c>
      <c r="AR3" s="41" t="s">
        <v>7</v>
      </c>
    </row>
    <row r="4" spans="1:44">
      <c r="A4" s="94" t="s">
        <v>116</v>
      </c>
      <c r="B4" s="94" t="s">
        <v>200</v>
      </c>
      <c r="C4" s="94"/>
      <c r="D4" s="95" t="s">
        <v>10</v>
      </c>
      <c r="E4" s="497">
        <v>3.1</v>
      </c>
      <c r="F4" s="498">
        <v>3.1</v>
      </c>
      <c r="G4" s="498">
        <v>3.1</v>
      </c>
      <c r="H4" s="498">
        <v>3.1</v>
      </c>
      <c r="I4" s="503">
        <v>3.1</v>
      </c>
      <c r="J4" s="504">
        <v>0.65</v>
      </c>
      <c r="K4" s="96">
        <f>SUMPRODUCT('Dwelling stock'!E4:J4,'Ceiling-U'!E4:J4)/SUM('Dwelling stock'!E4:J4)</f>
        <v>2.9448930007727832</v>
      </c>
      <c r="M4" s="97"/>
      <c r="P4" s="100" t="s">
        <v>200</v>
      </c>
      <c r="Q4" s="394">
        <f>1/((1/$E4)+'Energy Efficiency Measures-DBT'!AI23)</f>
        <v>0.35428571428571426</v>
      </c>
      <c r="R4" s="395">
        <f>1/((1/$F4)+'Energy Efficiency Measures-DBT'!AI23)</f>
        <v>0.35428571428571426</v>
      </c>
      <c r="S4" s="395">
        <f>1/((1/$G4)+'Energy Efficiency Measures-DBT'!AI23)</f>
        <v>0.35428571428571426</v>
      </c>
      <c r="T4" s="395">
        <f>1/((1/$H4)+'Energy Efficiency Measures-DBT'!AI23)</f>
        <v>0.35428571428571426</v>
      </c>
      <c r="U4" s="395">
        <f>1/((1/$I4)+'Energy Efficiency Measures-DBT'!AI23)</f>
        <v>0.35428571428571426</v>
      </c>
      <c r="V4" s="308">
        <f>1/((1/$J4)+'Energy Efficiency Measures-DBT'!AI23)</f>
        <v>0.24761904761904763</v>
      </c>
      <c r="W4" s="308">
        <f>1/((1/$K4)+'Energy Efficiency Measures-DBT'!AI23)</f>
        <v>0.35216588394216658</v>
      </c>
      <c r="X4" s="394">
        <f>1/((1/E4)+'Energy Efficiency Measures-DBT'!AI22)</f>
        <v>0.24554455445544557</v>
      </c>
      <c r="Y4" s="395">
        <f>1/((1/F4)+'Energy Efficiency Measures-DBT'!AJ22)</f>
        <v>0.24554455445544557</v>
      </c>
      <c r="Z4" s="395">
        <f>1/((1/G4)+'Energy Efficiency Measures-DBT'!AK22)</f>
        <v>0.24554455445544557</v>
      </c>
      <c r="AA4" s="395">
        <f>1/((1/H4)+'Energy Efficiency Measures-DBT'!AL22)</f>
        <v>0.24554455445544557</v>
      </c>
      <c r="AB4" s="395">
        <f>1/((1/I4)+'Energy Efficiency Measures-DBT'!AM22)</f>
        <v>0.24554455445544557</v>
      </c>
      <c r="AC4" s="308">
        <f>1/((1/J4)+'Energy Efficiency Measures-DBT'!AN22)</f>
        <v>0.18909090909090909</v>
      </c>
      <c r="AD4" s="308">
        <f>1/((1/$K4)+'Energy Efficiency Measures-DBT'!AI22)</f>
        <v>0.24452443096976387</v>
      </c>
      <c r="AG4" s="94" t="s">
        <v>200</v>
      </c>
      <c r="AH4" s="95"/>
      <c r="AI4" s="328">
        <v>5</v>
      </c>
      <c r="AJ4" s="329">
        <v>5</v>
      </c>
      <c r="AK4" s="328">
        <v>5</v>
      </c>
      <c r="AL4" s="329">
        <v>5</v>
      </c>
      <c r="AM4" s="139" t="str">
        <f>IF(AND(E4&gt;Q4,AJ4&gt;Q4),'Energy Efficiency Measures-DBT'!$B$26,"")&amp;", "&amp;IF(AND(E4&gt;X4,AJ4&gt;X4),'Energy Efficiency Measures-DBT'!$B$25,"")</f>
        <v>MR3, MR2</v>
      </c>
      <c r="AN4" s="475" t="str">
        <f>IF(AND(F4&gt;R4,AJ4&gt;R4),'Energy Efficiency Measures-DBT'!$B$26,"")&amp;", "&amp;IF(AND(F4&gt;Y4,AJ4&gt;Y4),'Energy Efficiency Measures-DBT'!$B$25,"")</f>
        <v>MR3, MR2</v>
      </c>
      <c r="AO4" s="475" t="str">
        <f>IF(AND(G4&gt;S4,AJ4&gt;S4),'Energy Efficiency Measures-DBT'!$B$26,"")&amp;", "&amp;IF(AND(G4&gt;Z4,AJ4&gt;Z4),'Energy Efficiency Measures-DBT'!$B$25,"")</f>
        <v>MR3, MR2</v>
      </c>
      <c r="AP4" s="475" t="str">
        <f>IF(AND(H4&gt;T4,AJ4&gt;T4),'Energy Efficiency Measures-DBT'!$B$26,"")&amp;", "&amp;IF(AND(H4&gt;AA4,AJ4&gt;AA4),'Energy Efficiency Measures-DBT'!$B$25,"")</f>
        <v>MR3, MR2</v>
      </c>
      <c r="AQ4" s="475" t="str">
        <f>IF(AND(I4&gt;U4,AJ4&gt;U4),'Energy Efficiency Measures-DBT'!$B$26,"")&amp;", "&amp;IF(AND(I4&gt;AB4,AJ4&gt;AB4),'Energy Efficiency Measures-DBT'!$B$25,"")</f>
        <v>MR3, MR2</v>
      </c>
      <c r="AR4" s="476" t="str">
        <f>IF(AND(J4&gt;V4,AJ4&gt;V4),'Energy Efficiency Measures-DBT'!$B$26,"")&amp;", "&amp;IF(AND(J4&gt;AC4,AJ4&gt;AC4),'Energy Efficiency Measures-DBT'!$B$25,"")</f>
        <v>MR3, MR2</v>
      </c>
    </row>
    <row r="5" spans="1:44">
      <c r="A5" s="48" t="s">
        <v>88</v>
      </c>
      <c r="B5" s="48" t="s">
        <v>8</v>
      </c>
      <c r="C5" s="48" t="s">
        <v>9</v>
      </c>
      <c r="D5" s="47" t="s">
        <v>10</v>
      </c>
      <c r="E5" s="498">
        <v>0.91638900000000001</v>
      </c>
      <c r="F5" s="498">
        <v>0.75</v>
      </c>
      <c r="G5" s="498">
        <v>0.45</v>
      </c>
      <c r="H5" s="498">
        <v>0.3</v>
      </c>
      <c r="I5" s="498">
        <v>0.3</v>
      </c>
      <c r="J5" s="499">
        <v>0.22</v>
      </c>
      <c r="K5" s="45">
        <f>SUMPRODUCT('Dwelling stock'!E5:J5,'Ceiling-U'!E5:J5)/SUM('Dwelling stock'!E5:J5)</f>
        <v>0.59729606286215675</v>
      </c>
      <c r="M5" s="54">
        <v>0.59354700000000005</v>
      </c>
      <c r="P5" s="44" t="s">
        <v>8</v>
      </c>
      <c r="Q5" s="392">
        <f>1/((1/$E5)+LOOKUP($A5,'Energy Efficiency Measures-DBT'!$D$11:$AN$11,'Energy Efficiency Measures-DBT'!$D$23:$AN$23))</f>
        <v>0.27845538059038782</v>
      </c>
      <c r="R5" s="393">
        <f>1/((1/$F5)+LOOKUP($A5,'Energy Efficiency Measures-DBT'!$D$11:$AN$11,'Energy Efficiency Measures-DBT'!$D$23:$AN$23))</f>
        <v>0.2608695652173913</v>
      </c>
      <c r="S5" s="393">
        <f>1/((1/$G5)+LOOKUP($A5,'Energy Efficiency Measures-DBT'!$D$11:$AN$11,'Energy Efficiency Measures-DBT'!$D$23:$AN$23))</f>
        <v>0.21176470588235294</v>
      </c>
      <c r="T5" s="393">
        <f>1/((1/$H5)+LOOKUP($A5,'Energy Efficiency Measures-DBT'!$D$11:$AN$11,'Energy Efficiency Measures-DBT'!$D$23:$AN$23))</f>
        <v>0.1714285714285714</v>
      </c>
      <c r="U5" s="393">
        <f>1/((1/$I5)+LOOKUP($A5,'Energy Efficiency Measures-DBT'!$D$11:$AN$11,'Energy Efficiency Measures-DBT'!$D$23:$AN$23))</f>
        <v>0.1714285714285714</v>
      </c>
      <c r="V5" s="306">
        <f>1/((1/$J5)+LOOKUP($A5,'Energy Efficiency Measures-DBT'!$D$11:$AN$11,'Energy Efficiency Measures-DBT'!$D$23:$AN$23))</f>
        <v>0.14193548387096774</v>
      </c>
      <c r="W5" s="221">
        <f>1/((1/$K5)+LOOKUP($A5,'Energy Efficiency Measures-DBT'!$D$11:$AN$11,'Energy Efficiency Measures-DBT'!$D$23:$AN$23))</f>
        <v>0.23956619708212495</v>
      </c>
      <c r="X5" s="392">
        <f>1/((1/$E5)+LOOKUP($A5,'Energy Efficiency Measures-DBT'!$D$11:$AN$11,'Energy Efficiency Measures-DBT'!$D$22:$AN$22))</f>
        <v>0.20655866573762238</v>
      </c>
      <c r="Y5" s="393">
        <f>1/((1/$F5)+LOOKUP($A5,'Energy Efficiency Measures-DBT'!$D$11:$AN$11,'Energy Efficiency Measures-DBT'!$D$22:$AN$22))</f>
        <v>0.19672131147540986</v>
      </c>
      <c r="Z5" s="393">
        <f>1/((1/$G5)+LOOKUP($A5,'Energy Efficiency Measures-DBT'!$D$11:$AN$11,'Energy Efficiency Measures-DBT'!$D$22:$AN$22))</f>
        <v>0.16744186046511628</v>
      </c>
      <c r="AA5" s="393">
        <f>1/((1/$H5)+LOOKUP($A5,'Energy Efficiency Measures-DBT'!$D$11:$AN$11,'Energy Efficiency Measures-DBT'!$D$22:$AN$22))</f>
        <v>0.14117647058823529</v>
      </c>
      <c r="AB5" s="393">
        <f>1/((1/$I5)+LOOKUP($A5,'Energy Efficiency Measures-DBT'!$D$11:$AN$11,'Energy Efficiency Measures-DBT'!$D$22:$AN$22))</f>
        <v>0.14117647058823529</v>
      </c>
      <c r="AC5" s="306">
        <f>1/((1/$J5)+LOOKUP($A5,'Energy Efficiency Measures-DBT'!$D$11:$AN$11,'Energy Efficiency Measures-DBT'!$D$22:$AN$22))</f>
        <v>0.12054794520547943</v>
      </c>
      <c r="AD5" s="306">
        <f>1/((1/$K5)+LOOKUP($A5,'Energy Efficiency Measures-DBT'!$D$11:$AN$11,'Energy Efficiency Measures-DBT'!$D$22:$AN$22))</f>
        <v>0.18435858938433675</v>
      </c>
      <c r="AG5" s="48" t="s">
        <v>8</v>
      </c>
      <c r="AH5" s="47" t="s">
        <v>283</v>
      </c>
      <c r="AI5" s="428">
        <v>0.2</v>
      </c>
      <c r="AJ5" s="430">
        <f>AI5</f>
        <v>0.2</v>
      </c>
      <c r="AK5" s="428">
        <f>AI5</f>
        <v>0.2</v>
      </c>
      <c r="AL5" s="430">
        <f>AK5</f>
        <v>0.2</v>
      </c>
      <c r="AM5" s="346" t="str">
        <f>IF(AND(E5&gt;Q5,AJ5&gt;Q5),'Energy Efficiency Measures-DBT'!$B$26,"")&amp;", "&amp;IF(AND(E5&gt;X5,AJ5&gt;X5),'Energy Efficiency Measures-DBT'!$B$25,"")</f>
        <v xml:space="preserve">, </v>
      </c>
      <c r="AN5" s="5" t="str">
        <f>IF(AND(F5&gt;R5,AJ5&gt;R5),'Energy Efficiency Measures-DBT'!$B$26,"")&amp;", "&amp;IF(AND(F5&gt;Y5,AJ5&gt;Y5),'Energy Efficiency Measures-DBT'!$B$25,"")</f>
        <v>, MR2</v>
      </c>
      <c r="AO5" s="5" t="str">
        <f>IF(AND(G5&gt;S5,AJ5&gt;S5),'Energy Efficiency Measures-DBT'!$B$26,"")&amp;", "&amp;IF(AND(G5&gt;Z5,AJ5&gt;Z5),'Energy Efficiency Measures-DBT'!$B$25,"")</f>
        <v>, MR2</v>
      </c>
      <c r="AP5" s="5" t="str">
        <f>IF(AND(H5&gt;T5,AJ5&gt;T5),'Energy Efficiency Measures-DBT'!$B$26,"")&amp;", "&amp;IF(AND(H5&gt;AA5,AJ5&gt;AA5),'Energy Efficiency Measures-DBT'!$B$25,"")</f>
        <v>MR3, MR2</v>
      </c>
      <c r="AQ5" s="5" t="str">
        <f>IF(AND(I5&gt;U5,AJ5&gt;U5),'Energy Efficiency Measures-DBT'!$B$26,"")&amp;", "&amp;IF(AND(I5&gt;AB5,AJ5&gt;AB5),'Energy Efficiency Measures-DBT'!$B$25,"")</f>
        <v>MR3, MR2</v>
      </c>
      <c r="AR5" s="426" t="str">
        <f>IF(AND(J5&gt;V5,AJ5&gt;V5),'Energy Efficiency Measures-DBT'!$B$26,"")&amp;", "&amp;IF(AND(J5&gt;AC5,AJ5&gt;AC5),'Energy Efficiency Measures-DBT'!$B$25,"")</f>
        <v>MR3, MR2</v>
      </c>
    </row>
    <row r="6" spans="1:44">
      <c r="A6" s="48" t="s">
        <v>117</v>
      </c>
      <c r="B6" s="48" t="s">
        <v>202</v>
      </c>
      <c r="C6" s="48"/>
      <c r="D6" s="47" t="s">
        <v>10</v>
      </c>
      <c r="E6" s="498">
        <v>1.1599999999999999</v>
      </c>
      <c r="F6" s="498">
        <v>1.1599999999999999</v>
      </c>
      <c r="G6" s="498">
        <v>1.1599999999999999</v>
      </c>
      <c r="H6" s="498">
        <v>0.75</v>
      </c>
      <c r="I6" s="498">
        <v>0.6</v>
      </c>
      <c r="J6" s="499">
        <v>0.45</v>
      </c>
      <c r="K6" s="45">
        <f>SUMPRODUCT('Dwelling stock'!E6:J6,'Ceiling-U'!E6:J6)/SUM('Dwelling stock'!E6:J6)</f>
        <v>0.98222750033822659</v>
      </c>
      <c r="M6" s="28"/>
      <c r="P6" s="44" t="s">
        <v>202</v>
      </c>
      <c r="Q6" s="392">
        <f>1/((1/$E6)+LOOKUP($A6,'Energy Efficiency Measures-DBT'!$D$11:$AN$11,'Energy Efficiency Measures-DBT'!$D$23:$AN$23))</f>
        <v>0.29743589743589743</v>
      </c>
      <c r="R6" s="393">
        <f>1/((1/$F6)+LOOKUP($A6,'Energy Efficiency Measures-DBT'!$D$11:$AN$11,'Energy Efficiency Measures-DBT'!$D$23:$AN$23))</f>
        <v>0.29743589743589743</v>
      </c>
      <c r="S6" s="393">
        <f>1/((1/$G6)+LOOKUP($A6,'Energy Efficiency Measures-DBT'!$D$11:$AN$11,'Energy Efficiency Measures-DBT'!$D$23:$AN$23))</f>
        <v>0.29743589743589743</v>
      </c>
      <c r="T6" s="393">
        <f>1/((1/$H6)+LOOKUP($A6,'Energy Efficiency Measures-DBT'!$D$11:$AN$11,'Energy Efficiency Measures-DBT'!$D$23:$AN$23))</f>
        <v>0.2608695652173913</v>
      </c>
      <c r="U6" s="393">
        <f>1/((1/$I6)+LOOKUP($A6,'Energy Efficiency Measures-DBT'!$D$11:$AN$11,'Energy Efficiency Measures-DBT'!$D$23:$AN$23))</f>
        <v>0.24</v>
      </c>
      <c r="V6" s="306">
        <f>1/((1/$J6)+LOOKUP($A6,'Energy Efficiency Measures-DBT'!$D$11:$AN$11,'Energy Efficiency Measures-DBT'!$D$23:$AN$23))</f>
        <v>0.21176470588235294</v>
      </c>
      <c r="W6" s="306">
        <f>1/((1/$K6)+LOOKUP($A6,'Energy Efficiency Measures-DBT'!$D$11:$AN$11,'Energy Efficiency Measures-DBT'!$D$23:$AN$23))</f>
        <v>0.28424481500993976</v>
      </c>
      <c r="X6" s="392">
        <f>1/((1/$E6)+LOOKUP($A6,'Energy Efficiency Measures-DBT'!$D$11:$AN$11,'Energy Efficiency Measures-DBT'!$D$22:$AN$22))</f>
        <v>0.21682242990654207</v>
      </c>
      <c r="Y6" s="393">
        <f>1/((1/$F6)+LOOKUP($A6,'Energy Efficiency Measures-DBT'!$D$11:$AN$11,'Energy Efficiency Measures-DBT'!$D$22:$AN$22))</f>
        <v>0.21682242990654207</v>
      </c>
      <c r="Z6" s="393">
        <f>1/((1/$G6)+LOOKUP($A6,'Energy Efficiency Measures-DBT'!$D$11:$AN$11,'Energy Efficiency Measures-DBT'!$D$22:$AN$22))</f>
        <v>0.21682242990654207</v>
      </c>
      <c r="AA6" s="393">
        <f>1/((1/$H6)+LOOKUP($A6,'Energy Efficiency Measures-DBT'!$D$11:$AN$11,'Energy Efficiency Measures-DBT'!$D$22:$AN$22))</f>
        <v>0.19672131147540986</v>
      </c>
      <c r="AB6" s="393">
        <f>1/((1/$I6)+LOOKUP($A6,'Energy Efficiency Measures-DBT'!$D$11:$AN$11,'Energy Efficiency Measures-DBT'!$D$22:$AN$22))</f>
        <v>0.1846153846153846</v>
      </c>
      <c r="AC6" s="306">
        <f>1/((1/$J6)+LOOKUP($A6,'Energy Efficiency Measures-DBT'!$D$11:$AN$11,'Energy Efficiency Measures-DBT'!$D$22:$AN$22))</f>
        <v>0.16744186046511628</v>
      </c>
      <c r="AD6" s="306">
        <f>1/((1/$K6)+LOOKUP($A6,'Energy Efficiency Measures-DBT'!$D$11:$AN$11,'Energy Efficiency Measures-DBT'!$D$22:$AN$22))</f>
        <v>0.20972740552682942</v>
      </c>
      <c r="AG6" s="48" t="s">
        <v>202</v>
      </c>
      <c r="AH6" s="47"/>
      <c r="AI6" s="262">
        <v>5</v>
      </c>
      <c r="AJ6" s="264">
        <v>5</v>
      </c>
      <c r="AK6" s="262">
        <v>5</v>
      </c>
      <c r="AL6" s="264">
        <v>5</v>
      </c>
      <c r="AM6" s="346" t="str">
        <f>IF(AND(E6&gt;Q6,AJ6&gt;Q6),'Energy Efficiency Measures-DBT'!$B$26,"")&amp;", "&amp;IF(AND(E6&gt;X6,AJ6&gt;X6),'Energy Efficiency Measures-DBT'!$B$25,"")</f>
        <v>MR3, MR2</v>
      </c>
      <c r="AN6" s="5" t="str">
        <f>IF(AND(F6&gt;R6,AJ6&gt;R6),'Energy Efficiency Measures-DBT'!$B$26,"")&amp;", "&amp;IF(AND(F6&gt;Y6,AJ6&gt;Y6),'Energy Efficiency Measures-DBT'!$B$25,"")</f>
        <v>MR3, MR2</v>
      </c>
      <c r="AO6" s="5" t="str">
        <f>IF(AND(G6&gt;S6,AJ6&gt;S6),'Energy Efficiency Measures-DBT'!$B$26,"")&amp;", "&amp;IF(AND(G6&gt;Z6,AJ6&gt;Z6),'Energy Efficiency Measures-DBT'!$B$25,"")</f>
        <v>MR3, MR2</v>
      </c>
      <c r="AP6" s="5" t="str">
        <f>IF(AND(H6&gt;T6,AJ6&gt;T6),'Energy Efficiency Measures-DBT'!$B$26,"")&amp;", "&amp;IF(AND(H6&gt;AA6,AJ6&gt;AA6),'Energy Efficiency Measures-DBT'!$B$25,"")</f>
        <v>MR3, MR2</v>
      </c>
      <c r="AQ6" s="5" t="str">
        <f>IF(AND(I6&gt;U6,AJ6&gt;U6),'Energy Efficiency Measures-DBT'!$B$26,"")&amp;", "&amp;IF(AND(I6&gt;AB6,AJ6&gt;AB6),'Energy Efficiency Measures-DBT'!$B$25,"")</f>
        <v>MR3, MR2</v>
      </c>
      <c r="AR6" s="426" t="str">
        <f>IF(AND(J6&gt;V6,AJ6&gt;V6),'Energy Efficiency Measures-DBT'!$B$26,"")&amp;", "&amp;IF(AND(J6&gt;AC6,AJ6&gt;AC6),'Energy Efficiency Measures-DBT'!$B$25,"")</f>
        <v>MR3, MR2</v>
      </c>
    </row>
    <row r="7" spans="1:44">
      <c r="A7" s="48" t="s">
        <v>89</v>
      </c>
      <c r="B7" s="48" t="s">
        <v>11</v>
      </c>
      <c r="C7" s="48" t="s">
        <v>12</v>
      </c>
      <c r="D7" s="47" t="s">
        <v>10</v>
      </c>
      <c r="E7" s="498">
        <v>1.89</v>
      </c>
      <c r="F7" s="498">
        <v>1.89</v>
      </c>
      <c r="G7" s="498">
        <v>1.89</v>
      </c>
      <c r="H7" s="498">
        <v>1.34</v>
      </c>
      <c r="I7" s="498">
        <v>1.34</v>
      </c>
      <c r="J7" s="499">
        <v>0.56999999999999995</v>
      </c>
      <c r="K7" s="45">
        <f>SUMPRODUCT('Dwelling stock'!E7:J7,'Ceiling-U'!E7:J7)/SUM('Dwelling stock'!E7:J7)</f>
        <v>1.6986105474021664</v>
      </c>
      <c r="M7" s="54">
        <v>1.573369</v>
      </c>
      <c r="P7" s="44" t="s">
        <v>11</v>
      </c>
      <c r="Q7" s="392">
        <f>1/((1/$E7)+LOOKUP($A7,'Energy Efficiency Measures-DBT'!$D$11:$AN$11,'Energy Efficiency Measures-DBT'!$D$23:$AN$23))</f>
        <v>0.3301310043668122</v>
      </c>
      <c r="R7" s="393">
        <f>1/((1/$F7)+LOOKUP($A7,'Energy Efficiency Measures-DBT'!$D$11:$AN$11,'Energy Efficiency Measures-DBT'!$D$23:$AN$23))</f>
        <v>0.3301310043668122</v>
      </c>
      <c r="S7" s="393">
        <f>1/((1/$G7)+LOOKUP($A7,'Energy Efficiency Measures-DBT'!$D$11:$AN$11,'Energy Efficiency Measures-DBT'!$D$23:$AN$23))</f>
        <v>0.3301310043668122</v>
      </c>
      <c r="T7" s="393">
        <f>1/((1/$H7)+LOOKUP($A7,'Energy Efficiency Measures-DBT'!$D$11:$AN$11,'Energy Efficiency Measures-DBT'!$D$23:$AN$23))</f>
        <v>0.30804597701149428</v>
      </c>
      <c r="U7" s="393">
        <f>1/((1/$I7)+LOOKUP($A7,'Energy Efficiency Measures-DBT'!$D$11:$AN$11,'Energy Efficiency Measures-DBT'!$D$23:$AN$23))</f>
        <v>0.30804597701149428</v>
      </c>
      <c r="V7" s="306">
        <f>1/((1/$J7)+LOOKUP($A7,'Energy Efficiency Measures-DBT'!$D$11:$AN$11,'Energy Efficiency Measures-DBT'!$D$23:$AN$23))</f>
        <v>0.23505154639175257</v>
      </c>
      <c r="W7" s="306">
        <f>1/((1/$K7)+LOOKUP($A7,'Energy Efficiency Measures-DBT'!$D$11:$AN$11,'Energy Efficiency Measures-DBT'!$D$23:$AN$23))</f>
        <v>0.32375907945470817</v>
      </c>
      <c r="X7" s="392">
        <f>1/((1/$E7)+LOOKUP($A7,'Energy Efficiency Measures-DBT'!$D$11:$AN$11,'Energy Efficiency Measures-DBT'!$D$22:$AN$22))</f>
        <v>0.23369397217928903</v>
      </c>
      <c r="Y7" s="393">
        <f>1/((1/$F7)+LOOKUP($A7,'Energy Efficiency Measures-DBT'!$D$11:$AN$11,'Energy Efficiency Measures-DBT'!$D$22:$AN$22))</f>
        <v>0.23369397217928903</v>
      </c>
      <c r="Z7" s="393">
        <f>1/((1/$G7)+LOOKUP($A7,'Energy Efficiency Measures-DBT'!$D$11:$AN$11,'Energy Efficiency Measures-DBT'!$D$22:$AN$22))</f>
        <v>0.23369397217928903</v>
      </c>
      <c r="AA7" s="393">
        <f>1/((1/$H7)+LOOKUP($A7,'Energy Efficiency Measures-DBT'!$D$11:$AN$11,'Energy Efficiency Measures-DBT'!$D$22:$AN$22))</f>
        <v>0.22240663900414939</v>
      </c>
      <c r="AB7" s="393">
        <f>1/((1/$I7)+LOOKUP($A7,'Energy Efficiency Measures-DBT'!$D$11:$AN$11,'Energy Efficiency Measures-DBT'!$D$22:$AN$22))</f>
        <v>0.22240663900414939</v>
      </c>
      <c r="AC7" s="306">
        <f>1/((1/$J7)+LOOKUP($A7,'Energy Efficiency Measures-DBT'!$D$11:$AN$11,'Energy Efficiency Measures-DBT'!$D$22:$AN$22))</f>
        <v>0.18167330677290836</v>
      </c>
      <c r="AD7" s="306">
        <f>1/((1/$K7)+LOOKUP($A7,'Energy Efficiency Measures-DBT'!$D$11:$AN$11,'Energy Efficiency Measures-DBT'!$D$22:$AN$22))</f>
        <v>0.23048291070488791</v>
      </c>
      <c r="AG7" s="48" t="s">
        <v>11</v>
      </c>
      <c r="AH7" s="47"/>
      <c r="AI7" s="262">
        <v>5</v>
      </c>
      <c r="AJ7" s="264">
        <v>5</v>
      </c>
      <c r="AK7" s="262">
        <v>5</v>
      </c>
      <c r="AL7" s="264">
        <v>5</v>
      </c>
      <c r="AM7" s="346" t="str">
        <f>IF(AND(E7&gt;Q7,AJ7&gt;Q7),'Energy Efficiency Measures-DBT'!$B$26,"")&amp;", "&amp;IF(AND(E7&gt;X7,AJ7&gt;X7),'Energy Efficiency Measures-DBT'!$B$25,"")</f>
        <v>MR3, MR2</v>
      </c>
      <c r="AN7" s="5" t="str">
        <f>IF(AND(F7&gt;R7,AJ7&gt;R7),'Energy Efficiency Measures-DBT'!$B$26,"")&amp;", "&amp;IF(AND(F7&gt;Y7,AJ7&gt;Y7),'Energy Efficiency Measures-DBT'!$B$25,"")</f>
        <v>MR3, MR2</v>
      </c>
      <c r="AO7" s="5" t="str">
        <f>IF(AND(G7&gt;S7,AJ7&gt;S7),'Energy Efficiency Measures-DBT'!$B$26,"")&amp;", "&amp;IF(AND(G7&gt;Z7,AJ7&gt;Z7),'Energy Efficiency Measures-DBT'!$B$25,"")</f>
        <v>MR3, MR2</v>
      </c>
      <c r="AP7" s="5" t="str">
        <f>IF(AND(H7&gt;T7,AJ7&gt;T7),'Energy Efficiency Measures-DBT'!$B$26,"")&amp;", "&amp;IF(AND(H7&gt;AA7,AJ7&gt;AA7),'Energy Efficiency Measures-DBT'!$B$25,"")</f>
        <v>MR3, MR2</v>
      </c>
      <c r="AQ7" s="5" t="str">
        <f>IF(AND(I7&gt;U7,AJ7&gt;U7),'Energy Efficiency Measures-DBT'!$B$26,"")&amp;", "&amp;IF(AND(I7&gt;AB7,AJ7&gt;AB7),'Energy Efficiency Measures-DBT'!$B$25,"")</f>
        <v>MR3, MR2</v>
      </c>
      <c r="AR7" s="426" t="str">
        <f>IF(AND(J7&gt;V7,AJ7&gt;V7),'Energy Efficiency Measures-DBT'!$B$26,"")&amp;", "&amp;IF(AND(J7&gt;AC7,AJ7&gt;AC7),'Energy Efficiency Measures-DBT'!$B$25,"")</f>
        <v>MR3, MR2</v>
      </c>
    </row>
    <row r="8" spans="1:44">
      <c r="A8" s="48" t="s">
        <v>90</v>
      </c>
      <c r="B8" s="48" t="s">
        <v>13</v>
      </c>
      <c r="C8" s="48" t="s">
        <v>14</v>
      </c>
      <c r="D8" s="47" t="s">
        <v>10</v>
      </c>
      <c r="E8" s="498">
        <v>1.25</v>
      </c>
      <c r="F8" s="498">
        <v>1.25</v>
      </c>
      <c r="G8" s="498">
        <v>1.1499999999999999</v>
      </c>
      <c r="H8" s="498">
        <v>1.08</v>
      </c>
      <c r="I8" s="498">
        <v>0.51</v>
      </c>
      <c r="J8" s="499">
        <v>0.3</v>
      </c>
      <c r="K8" s="45">
        <f>SUMPRODUCT('Dwelling stock'!E8:J8,'Ceiling-U'!E8:J8)/SUM('Dwelling stock'!E8:J8)</f>
        <v>1.0009316620311488</v>
      </c>
      <c r="M8" s="54">
        <v>0.99598600000000004</v>
      </c>
      <c r="P8" s="44" t="s">
        <v>13</v>
      </c>
      <c r="Q8" s="392">
        <f>1/((1/$E8)+LOOKUP($A8,'Energy Efficiency Measures-DBT'!$D$11:$AN$11,'Energy Efficiency Measures-DBT'!$D$23:$AN$23))</f>
        <v>0.30303030303030304</v>
      </c>
      <c r="R8" s="393">
        <f>1/((1/$F8)+LOOKUP($A8,'Energy Efficiency Measures-DBT'!$D$11:$AN$11,'Energy Efficiency Measures-DBT'!$D$23:$AN$23))</f>
        <v>0.30303030303030304</v>
      </c>
      <c r="S8" s="393">
        <f>1/((1/$G8)+LOOKUP($A8,'Energy Efficiency Measures-DBT'!$D$11:$AN$11,'Energy Efficiency Measures-DBT'!$D$23:$AN$23))</f>
        <v>0.29677419354838708</v>
      </c>
      <c r="T8" s="393">
        <f>1/((1/$H8)+LOOKUP($A8,'Energy Efficiency Measures-DBT'!$D$11:$AN$11,'Energy Efficiency Measures-DBT'!$D$23:$AN$23))</f>
        <v>0.29189189189189191</v>
      </c>
      <c r="U8" s="393">
        <f>1/((1/$I8)+LOOKUP($A8,'Energy Efficiency Measures-DBT'!$D$11:$AN$11,'Energy Efficiency Measures-DBT'!$D$23:$AN$23))</f>
        <v>0.22417582417582416</v>
      </c>
      <c r="V8" s="306">
        <f>1/((1/$J8)+LOOKUP($A8,'Energy Efficiency Measures-DBT'!$D$11:$AN$11,'Energy Efficiency Measures-DBT'!$D$23:$AN$23))</f>
        <v>0.1714285714285714</v>
      </c>
      <c r="W8" s="221">
        <f>1/((1/$K8)+LOOKUP($A8,'Energy Efficiency Measures-DBT'!$D$11:$AN$11,'Energy Efficiency Measures-DBT'!$D$23:$AN$23))</f>
        <v>0.28579028917940003</v>
      </c>
      <c r="X8" s="392">
        <f>1/((1/$E8)+LOOKUP($A8,'Energy Efficiency Measures-DBT'!$D$11:$AN$11,'Energy Efficiency Measures-DBT'!$D$22:$AN$22))</f>
        <v>0.21978021978021978</v>
      </c>
      <c r="Y8" s="393">
        <f>1/((1/$F8)+LOOKUP($A8,'Energy Efficiency Measures-DBT'!$D$11:$AN$11,'Energy Efficiency Measures-DBT'!$D$22:$AN$22))</f>
        <v>0.21978021978021978</v>
      </c>
      <c r="Z8" s="393">
        <f>1/((1/$G8)+LOOKUP($A8,'Energy Efficiency Measures-DBT'!$D$11:$AN$11,'Energy Efficiency Measures-DBT'!$D$22:$AN$22))</f>
        <v>0.21647058823529411</v>
      </c>
      <c r="AA8" s="393">
        <f>1/((1/$H8)+LOOKUP($A8,'Energy Efficiency Measures-DBT'!$D$11:$AN$11,'Energy Efficiency Measures-DBT'!$D$22:$AN$22))</f>
        <v>0.21386138613861388</v>
      </c>
      <c r="AB8" s="393">
        <f>1/((1/$I8)+LOOKUP($A8,'Energy Efficiency Measures-DBT'!$D$11:$AN$11,'Energy Efficiency Measures-DBT'!$D$22:$AN$22))</f>
        <v>0.17510729613733905</v>
      </c>
      <c r="AC8" s="306">
        <f>1/((1/$J8)+LOOKUP($A8,'Energy Efficiency Measures-DBT'!$D$11:$AN$11,'Energy Efficiency Measures-DBT'!$D$22:$AN$22))</f>
        <v>0.14117647058823529</v>
      </c>
      <c r="AD8" s="306">
        <f>1/((1/$K8)+LOOKUP($A8,'Energy Efficiency Measures-DBT'!$D$11:$AN$11,'Energy Efficiency Measures-DBT'!$D$22:$AN$22))</f>
        <v>0.21056757794022249</v>
      </c>
      <c r="AG8" s="48" t="s">
        <v>13</v>
      </c>
      <c r="AH8" s="47" t="s">
        <v>283</v>
      </c>
      <c r="AI8" s="428">
        <v>0.28000000000000003</v>
      </c>
      <c r="AJ8" s="430">
        <f>AI8</f>
        <v>0.28000000000000003</v>
      </c>
      <c r="AK8" s="428">
        <f>AI8</f>
        <v>0.28000000000000003</v>
      </c>
      <c r="AL8" s="430">
        <f>AK8</f>
        <v>0.28000000000000003</v>
      </c>
      <c r="AM8" s="346" t="str">
        <f>IF(AND(E8&gt;Q8,AJ8&gt;Q8),'Energy Efficiency Measures-DBT'!$B$26,"")&amp;", "&amp;IF(AND(E8&gt;X8,AJ8&gt;X8),'Energy Efficiency Measures-DBT'!$B$25,"")</f>
        <v>, MR2</v>
      </c>
      <c r="AN8" s="5" t="str">
        <f>IF(AND(F8&gt;R8,AJ8&gt;R8),'Energy Efficiency Measures-DBT'!$B$26,"")&amp;", "&amp;IF(AND(F8&gt;Y8,AJ8&gt;Y8),'Energy Efficiency Measures-DBT'!$B$25,"")</f>
        <v>, MR2</v>
      </c>
      <c r="AO8" s="5" t="str">
        <f>IF(AND(G8&gt;S8,AJ8&gt;S8),'Energy Efficiency Measures-DBT'!$B$26,"")&amp;", "&amp;IF(AND(G8&gt;Z8,AJ8&gt;Z8),'Energy Efficiency Measures-DBT'!$B$25,"")</f>
        <v>, MR2</v>
      </c>
      <c r="AP8" s="5" t="str">
        <f>IF(AND(H8&gt;T8,AJ8&gt;T8),'Energy Efficiency Measures-DBT'!$B$26,"")&amp;", "&amp;IF(AND(H8&gt;AA8,AJ8&gt;AA8),'Energy Efficiency Measures-DBT'!$B$25,"")</f>
        <v>, MR2</v>
      </c>
      <c r="AQ8" s="5" t="str">
        <f>IF(AND(I8&gt;U8,AJ8&gt;U8),'Energy Efficiency Measures-DBT'!$B$26,"")&amp;", "&amp;IF(AND(I8&gt;AB8,AJ8&gt;AB8),'Energy Efficiency Measures-DBT'!$B$25,"")</f>
        <v>MR3, MR2</v>
      </c>
      <c r="AR8" s="426" t="str">
        <f>IF(AND(J8&gt;V8,AJ8&gt;V8),'Energy Efficiency Measures-DBT'!$B$26,"")&amp;", "&amp;IF(AND(J8&gt;AC8,AJ8&gt;AC8),'Energy Efficiency Measures-DBT'!$B$25,"")</f>
        <v>MR3, MR2</v>
      </c>
    </row>
    <row r="9" spans="1:44">
      <c r="A9" s="28" t="s">
        <v>91</v>
      </c>
      <c r="B9" s="28" t="s">
        <v>62</v>
      </c>
      <c r="C9" s="28"/>
      <c r="D9" s="426" t="s">
        <v>10</v>
      </c>
      <c r="E9" s="498">
        <v>0.91638900000000001</v>
      </c>
      <c r="F9" s="498">
        <v>0.75</v>
      </c>
      <c r="G9" s="498">
        <v>0.45</v>
      </c>
      <c r="H9" s="498">
        <v>0.3</v>
      </c>
      <c r="I9" s="498">
        <v>0.3</v>
      </c>
      <c r="J9" s="499">
        <v>0.22</v>
      </c>
      <c r="K9" s="45">
        <f>SUMPRODUCT('Dwelling stock'!E9:J9,'Ceiling-U'!E9:J9)/SUM('Dwelling stock'!E9:J9)</f>
        <v>0.59729606286215664</v>
      </c>
      <c r="M9" s="28"/>
      <c r="P9" s="346" t="s">
        <v>62</v>
      </c>
      <c r="Q9" s="392">
        <f>1/((1/$E9)+LOOKUP($A9,'Energy Efficiency Measures-DBT'!$D$11:$AN$11,'Energy Efficiency Measures-DBT'!$D$23:$AN$23))</f>
        <v>0.27845538059038782</v>
      </c>
      <c r="R9" s="393">
        <f>1/((1/$F9)+LOOKUP($A9,'Energy Efficiency Measures-DBT'!$D$11:$AN$11,'Energy Efficiency Measures-DBT'!$D$23:$AN$23))</f>
        <v>0.2608695652173913</v>
      </c>
      <c r="S9" s="393">
        <f>1/((1/$G9)+LOOKUP($A9,'Energy Efficiency Measures-DBT'!$D$11:$AN$11,'Energy Efficiency Measures-DBT'!$D$23:$AN$23))</f>
        <v>0.21176470588235294</v>
      </c>
      <c r="T9" s="393">
        <f>1/((1/$H9)+LOOKUP($A9,'Energy Efficiency Measures-DBT'!$D$11:$AN$11,'Energy Efficiency Measures-DBT'!$D$23:$AN$23))</f>
        <v>0.1714285714285714</v>
      </c>
      <c r="U9" s="393">
        <f>1/((1/$I9)+LOOKUP($A9,'Energy Efficiency Measures-DBT'!$D$11:$AN$11,'Energy Efficiency Measures-DBT'!$D$23:$AN$23))</f>
        <v>0.1714285714285714</v>
      </c>
      <c r="V9" s="306">
        <f>1/((1/$J9)+LOOKUP($A9,'Energy Efficiency Measures-DBT'!$D$11:$AN$11,'Energy Efficiency Measures-DBT'!$D$23:$AN$23))</f>
        <v>0.14193548387096774</v>
      </c>
      <c r="W9" s="306">
        <f>1/((1/$K9)+LOOKUP($A9,'Energy Efficiency Measures-DBT'!$D$11:$AN$11,'Energy Efficiency Measures-DBT'!$D$23:$AN$23))</f>
        <v>0.2395661970821249</v>
      </c>
      <c r="X9" s="398">
        <f>1/((1/$E9)+LOOKUP($A9,'Energy Efficiency Measures-DBT'!$D$11:$AN$11,'Energy Efficiency Measures-DBT'!$D$22:$AN$22))</f>
        <v>0.20655866573762238</v>
      </c>
      <c r="Y9" s="92">
        <f>1/((1/$F9)+LOOKUP($A9,'Energy Efficiency Measures-DBT'!$D$11:$AN$11,'Energy Efficiency Measures-DBT'!$D$22:$AN$22))</f>
        <v>0.19672131147540986</v>
      </c>
      <c r="Z9" s="92">
        <f>1/((1/$G9)+LOOKUP($A9,'Energy Efficiency Measures-DBT'!$D$11:$AN$11,'Energy Efficiency Measures-DBT'!$D$22:$AN$22))</f>
        <v>0.16744186046511628</v>
      </c>
      <c r="AA9" s="92">
        <f>1/((1/$H9)+LOOKUP($A9,'Energy Efficiency Measures-DBT'!$D$11:$AN$11,'Energy Efficiency Measures-DBT'!$D$22:$AN$22))</f>
        <v>0.14117647058823529</v>
      </c>
      <c r="AB9" s="92">
        <f>1/((1/$I9)+LOOKUP($A9,'Energy Efficiency Measures-DBT'!$D$11:$AN$11,'Energy Efficiency Measures-DBT'!$D$22:$AN$22))</f>
        <v>0.14117647058823529</v>
      </c>
      <c r="AC9" s="399">
        <f>1/((1/$J9)+LOOKUP($A9,'Energy Efficiency Measures-DBT'!$D$11:$AN$11,'Energy Efficiency Measures-DBT'!$D$22:$AN$22))</f>
        <v>0.12054794520547943</v>
      </c>
      <c r="AD9" s="306">
        <f>1/((1/$K9)+LOOKUP($A9,'Energy Efficiency Measures-DBT'!$D$11:$AN$11,'Energy Efficiency Measures-DBT'!$D$22:$AN$22))</f>
        <v>0.18435858938433672</v>
      </c>
      <c r="AG9" s="28" t="s">
        <v>62</v>
      </c>
      <c r="AH9" s="426"/>
      <c r="AI9" s="262">
        <v>5</v>
      </c>
      <c r="AJ9" s="264">
        <v>5</v>
      </c>
      <c r="AK9" s="262">
        <v>5</v>
      </c>
      <c r="AL9" s="264">
        <v>5</v>
      </c>
      <c r="AM9" s="346" t="str">
        <f>IF(AND(E9&gt;Q9,AJ9&gt;Q9),'Energy Efficiency Measures-DBT'!$B$26,"")&amp;", "&amp;IF(AND(E9&gt;X9,AJ9&gt;X9),'Energy Efficiency Measures-DBT'!$B$25,"")</f>
        <v>MR3, MR2</v>
      </c>
      <c r="AN9" s="5" t="str">
        <f>IF(AND(F9&gt;R9,AJ9&gt;R9),'Energy Efficiency Measures-DBT'!$B$26,"")&amp;", "&amp;IF(AND(F9&gt;Y9,AJ9&gt;Y9),'Energy Efficiency Measures-DBT'!$B$25,"")</f>
        <v>MR3, MR2</v>
      </c>
      <c r="AO9" s="5" t="str">
        <f>IF(AND(G9&gt;S9,AJ9&gt;S9),'Energy Efficiency Measures-DBT'!$B$26,"")&amp;", "&amp;IF(AND(G9&gt;Z9,AJ9&gt;Z9),'Energy Efficiency Measures-DBT'!$B$25,"")</f>
        <v>MR3, MR2</v>
      </c>
      <c r="AP9" s="5" t="str">
        <f>IF(AND(H9&gt;T9,AJ9&gt;T9),'Energy Efficiency Measures-DBT'!$B$26,"")&amp;", "&amp;IF(AND(H9&gt;AA9,AJ9&gt;AA9),'Energy Efficiency Measures-DBT'!$B$25,"")</f>
        <v>MR3, MR2</v>
      </c>
      <c r="AQ9" s="5" t="str">
        <f>IF(AND(I9&gt;U9,AJ9&gt;U9),'Energy Efficiency Measures-DBT'!$B$26,"")&amp;", "&amp;IF(AND(I9&gt;AB9,AJ9&gt;AB9),'Energy Efficiency Measures-DBT'!$B$25,"")</f>
        <v>MR3, MR2</v>
      </c>
      <c r="AR9" s="426" t="str">
        <f>IF(AND(J9&gt;V9,AJ9&gt;V9),'Energy Efficiency Measures-DBT'!$B$26,"")&amp;", "&amp;IF(AND(J9&gt;AC9,AJ9&gt;AC9),'Energy Efficiency Measures-DBT'!$B$25,"")</f>
        <v>MR3, MR2</v>
      </c>
    </row>
    <row r="10" spans="1:44">
      <c r="A10" s="48" t="s">
        <v>92</v>
      </c>
      <c r="B10" s="48" t="s">
        <v>15</v>
      </c>
      <c r="C10" s="48" t="s">
        <v>16</v>
      </c>
      <c r="D10" s="47" t="s">
        <v>10</v>
      </c>
      <c r="E10" s="498">
        <v>3.42</v>
      </c>
      <c r="F10" s="498">
        <v>3.42</v>
      </c>
      <c r="G10" s="498">
        <v>3.42</v>
      </c>
      <c r="H10" s="498">
        <v>3.42</v>
      </c>
      <c r="I10" s="498">
        <v>3.42</v>
      </c>
      <c r="J10" s="499">
        <v>3.42</v>
      </c>
      <c r="K10" s="45">
        <f>SUMPRODUCT('Dwelling stock'!E10:J10,'Ceiling-U'!E10:J10)/SUM('Dwelling stock'!E10:J10)</f>
        <v>3.42</v>
      </c>
      <c r="M10" s="54">
        <v>3.3</v>
      </c>
      <c r="P10" s="44" t="s">
        <v>15</v>
      </c>
      <c r="Q10" s="392">
        <f>1/((1/$E10)+LOOKUP($A10,'Energy Efficiency Measures-DBT'!$D$11:$AN$11,'Energy Efficiency Measures-DBT'!$D$23:$AN$23))</f>
        <v>0.35811518324607333</v>
      </c>
      <c r="R10" s="393">
        <f>1/((1/$F10)+LOOKUP($A10,'Energy Efficiency Measures-DBT'!$D$11:$AN$11,'Energy Efficiency Measures-DBT'!$D$23:$AN$23))</f>
        <v>0.35811518324607333</v>
      </c>
      <c r="S10" s="393">
        <f>1/((1/$G10)+LOOKUP($A10,'Energy Efficiency Measures-DBT'!$D$11:$AN$11,'Energy Efficiency Measures-DBT'!$D$23:$AN$23))</f>
        <v>0.35811518324607333</v>
      </c>
      <c r="T10" s="393">
        <f>1/((1/$H10)+LOOKUP($A10,'Energy Efficiency Measures-DBT'!$D$11:$AN$11,'Energy Efficiency Measures-DBT'!$D$23:$AN$23))</f>
        <v>0.35811518324607333</v>
      </c>
      <c r="U10" s="393">
        <f>1/((1/$I10)+LOOKUP($A10,'Energy Efficiency Measures-DBT'!$D$11:$AN$11,'Energy Efficiency Measures-DBT'!$D$23:$AN$23))</f>
        <v>0.35811518324607333</v>
      </c>
      <c r="V10" s="306">
        <f>1/((1/$J10)+LOOKUP($A10,'Energy Efficiency Measures-DBT'!$D$11:$AN$11,'Energy Efficiency Measures-DBT'!$D$23:$AN$23))</f>
        <v>0.35811518324607333</v>
      </c>
      <c r="W10" s="306">
        <f>1/((1/$K10)+LOOKUP($A10,'Energy Efficiency Measures-DBT'!$D$11:$AN$11,'Energy Efficiency Measures-DBT'!$D$23:$AN$23))</f>
        <v>0.35811518324607333</v>
      </c>
      <c r="X10" s="392">
        <f>1/((1/$E10)+LOOKUP($A10,'Energy Efficiency Measures-DBT'!$D$11:$AN$11,'Energy Efficiency Measures-DBT'!$D$22:$AN$22))</f>
        <v>0.24737793851717901</v>
      </c>
      <c r="Y10" s="393">
        <f>1/((1/$F10)+LOOKUP($A10,'Energy Efficiency Measures-DBT'!$D$11:$AN$11,'Energy Efficiency Measures-DBT'!$D$22:$AN$22))</f>
        <v>0.24737793851717901</v>
      </c>
      <c r="Z10" s="393">
        <f>1/((1/$G10)+LOOKUP($A10,'Energy Efficiency Measures-DBT'!$D$11:$AN$11,'Energy Efficiency Measures-DBT'!$D$22:$AN$22))</f>
        <v>0.24737793851717901</v>
      </c>
      <c r="AA10" s="393">
        <f>1/((1/$H10)+LOOKUP($A10,'Energy Efficiency Measures-DBT'!$D$11:$AN$11,'Energy Efficiency Measures-DBT'!$D$22:$AN$22))</f>
        <v>0.24737793851717901</v>
      </c>
      <c r="AB10" s="393">
        <f>1/((1/$I10)+LOOKUP($A10,'Energy Efficiency Measures-DBT'!$D$11:$AN$11,'Energy Efficiency Measures-DBT'!$D$22:$AN$22))</f>
        <v>0.24737793851717901</v>
      </c>
      <c r="AC10" s="306">
        <f>1/((1/$J10)+LOOKUP($A10,'Energy Efficiency Measures-DBT'!$D$11:$AN$11,'Energy Efficiency Measures-DBT'!$D$22:$AN$22))</f>
        <v>0.24737793851717901</v>
      </c>
      <c r="AD10" s="306">
        <f>1/((1/$K10)+LOOKUP($A10,'Energy Efficiency Measures-DBT'!$D$11:$AN$11,'Energy Efficiency Measures-DBT'!$D$22:$AN$22))</f>
        <v>0.24737793851717901</v>
      </c>
      <c r="AG10" s="48" t="s">
        <v>15</v>
      </c>
      <c r="AH10" s="47"/>
      <c r="AI10" s="262">
        <v>5</v>
      </c>
      <c r="AJ10" s="264">
        <v>5</v>
      </c>
      <c r="AK10" s="262">
        <v>5</v>
      </c>
      <c r="AL10" s="264">
        <v>5</v>
      </c>
      <c r="AM10" s="346" t="str">
        <f>IF(AND(E10&gt;Q10,AJ10&gt;Q10),'Energy Efficiency Measures-DBT'!$B$26,"")&amp;", "&amp;IF(AND(E10&gt;X10,AJ10&gt;X10),'Energy Efficiency Measures-DBT'!$B$25,"")</f>
        <v>MR3, MR2</v>
      </c>
      <c r="AN10" s="5" t="str">
        <f>IF(AND(F10&gt;R10,AJ10&gt;R10),'Energy Efficiency Measures-DBT'!$B$26,"")&amp;", "&amp;IF(AND(F10&gt;Y10,AJ10&gt;Y10),'Energy Efficiency Measures-DBT'!$B$25,"")</f>
        <v>MR3, MR2</v>
      </c>
      <c r="AO10" s="5" t="str">
        <f>IF(AND(G10&gt;S10,AJ10&gt;S10),'Energy Efficiency Measures-DBT'!$B$26,"")&amp;", "&amp;IF(AND(G10&gt;Z10,AJ10&gt;Z10),'Energy Efficiency Measures-DBT'!$B$25,"")</f>
        <v>MR3, MR2</v>
      </c>
      <c r="AP10" s="5" t="str">
        <f>IF(AND(H10&gt;T10,AJ10&gt;T10),'Energy Efficiency Measures-DBT'!$B$26,"")&amp;", "&amp;IF(AND(H10&gt;AA10,AJ10&gt;AA10),'Energy Efficiency Measures-DBT'!$B$25,"")</f>
        <v>MR3, MR2</v>
      </c>
      <c r="AQ10" s="5" t="str">
        <f>IF(AND(I10&gt;U10,AJ10&gt;U10),'Energy Efficiency Measures-DBT'!$B$26,"")&amp;", "&amp;IF(AND(I10&gt;AB10,AJ10&gt;AB10),'Energy Efficiency Measures-DBT'!$B$25,"")</f>
        <v>MR3, MR2</v>
      </c>
      <c r="AR10" s="426" t="str">
        <f>IF(AND(J10&gt;V10,AJ10&gt;V10),'Energy Efficiency Measures-DBT'!$B$26,"")&amp;", "&amp;IF(AND(J10&gt;AC10,AJ10&gt;AC10),'Energy Efficiency Measures-DBT'!$B$25,"")</f>
        <v>MR3, MR2</v>
      </c>
    </row>
    <row r="11" spans="1:44">
      <c r="A11" s="48" t="s">
        <v>93</v>
      </c>
      <c r="B11" s="48" t="s">
        <v>18</v>
      </c>
      <c r="C11" s="48" t="s">
        <v>19</v>
      </c>
      <c r="D11" s="47" t="s">
        <v>10</v>
      </c>
      <c r="E11" s="498">
        <v>0.96540499999999996</v>
      </c>
      <c r="F11" s="498">
        <v>0.6</v>
      </c>
      <c r="G11" s="498">
        <v>0.6</v>
      </c>
      <c r="H11" s="498">
        <v>0.5</v>
      </c>
      <c r="I11" s="498">
        <v>0.35</v>
      </c>
      <c r="J11" s="499">
        <v>0.24</v>
      </c>
      <c r="K11" s="45">
        <f>SUMPRODUCT('Dwelling stock'!E11:J11,'Ceiling-U'!E11:J11)/SUM('Dwelling stock'!E11:J11)</f>
        <v>0.63067120826580525</v>
      </c>
      <c r="M11" s="54">
        <v>0.67172799999999999</v>
      </c>
      <c r="P11" s="44" t="s">
        <v>18</v>
      </c>
      <c r="Q11" s="392">
        <f>1/((1/$E11)+LOOKUP($A11,'Energy Efficiency Measures-DBT'!$D$11:$AN$11,'Energy Efficiency Measures-DBT'!$D$23:$AN$23))</f>
        <v>0.28281865087647989</v>
      </c>
      <c r="R11" s="393">
        <f>1/((1/$F11)+LOOKUP($A11,'Energy Efficiency Measures-DBT'!$D$11:$AN$11,'Energy Efficiency Measures-DBT'!$D$23:$AN$23))</f>
        <v>0.24</v>
      </c>
      <c r="S11" s="393">
        <f>1/((1/$G11)+LOOKUP($A11,'Energy Efficiency Measures-DBT'!$D$11:$AN$11,'Energy Efficiency Measures-DBT'!$D$23:$AN$23))</f>
        <v>0.24</v>
      </c>
      <c r="T11" s="393">
        <f>1/((1/$H11)+LOOKUP($A11,'Energy Efficiency Measures-DBT'!$D$11:$AN$11,'Energy Efficiency Measures-DBT'!$D$23:$AN$23))</f>
        <v>0.22222222222222221</v>
      </c>
      <c r="U11" s="393">
        <f>1/((1/$I11)+LOOKUP($A11,'Energy Efficiency Measures-DBT'!$D$11:$AN$11,'Energy Efficiency Measures-DBT'!$D$23:$AN$23))</f>
        <v>0.18666666666666665</v>
      </c>
      <c r="V11" s="306">
        <f>1/((1/$J11)+LOOKUP($A11,'Energy Efficiency Measures-DBT'!$D$11:$AN$11,'Energy Efficiency Measures-DBT'!$D$23:$AN$23))</f>
        <v>0.15</v>
      </c>
      <c r="W11" s="306">
        <f>1/((1/$K11)+LOOKUP($A11,'Energy Efficiency Measures-DBT'!$D$11:$AN$11,'Energy Efficiency Measures-DBT'!$D$23:$AN$23))</f>
        <v>0.24476135675778307</v>
      </c>
      <c r="X11" s="392">
        <f>1/((1/$E11)+LOOKUP($A11,'Energy Efficiency Measures-DBT'!$D$11:$AN$11,'Energy Efficiency Measures-DBT'!$D$22:$AN$22))</f>
        <v>0.20894996638453123</v>
      </c>
      <c r="Y11" s="393">
        <f>1/((1/$F11)+LOOKUP($A11,'Energy Efficiency Measures-DBT'!$D$11:$AN$11,'Energy Efficiency Measures-DBT'!$D$22:$AN$22))</f>
        <v>0.1846153846153846</v>
      </c>
      <c r="Z11" s="393">
        <f>1/((1/$G11)+LOOKUP($A11,'Energy Efficiency Measures-DBT'!$D$11:$AN$11,'Energy Efficiency Measures-DBT'!$D$22:$AN$22))</f>
        <v>0.1846153846153846</v>
      </c>
      <c r="AA11" s="393">
        <f>1/((1/$H11)+LOOKUP($A11,'Energy Efficiency Measures-DBT'!$D$11:$AN$11,'Energy Efficiency Measures-DBT'!$D$22:$AN$22))</f>
        <v>0.17391304347826086</v>
      </c>
      <c r="AB11" s="393">
        <f>1/((1/$I11)+LOOKUP($A11,'Energy Efficiency Measures-DBT'!$D$11:$AN$11,'Energy Efficiency Measures-DBT'!$D$22:$AN$22))</f>
        <v>0.15135135135135133</v>
      </c>
      <c r="AC11" s="306">
        <f>1/((1/$J11)+LOOKUP($A11,'Energy Efficiency Measures-DBT'!$D$11:$AN$11,'Energy Efficiency Measures-DBT'!$D$22:$AN$22))</f>
        <v>0.12631578947368421</v>
      </c>
      <c r="AD11" s="306">
        <f>1/((1/$K11)+LOOKUP($A11,'Energy Efficiency Measures-DBT'!$D$11:$AN$11,'Energy Efficiency Measures-DBT'!$D$22:$AN$22))</f>
        <v>0.1874199156962337</v>
      </c>
      <c r="AG11" s="48" t="s">
        <v>18</v>
      </c>
      <c r="AH11" s="47" t="s">
        <v>283</v>
      </c>
      <c r="AI11" s="428">
        <v>0.24</v>
      </c>
      <c r="AJ11" s="430">
        <f>AI11</f>
        <v>0.24</v>
      </c>
      <c r="AK11" s="428">
        <f>AI11</f>
        <v>0.24</v>
      </c>
      <c r="AL11" s="430">
        <f>AK11</f>
        <v>0.24</v>
      </c>
      <c r="AM11" s="346" t="str">
        <f>IF(AND(E11&gt;Q11,AJ11&gt;Q11),'Energy Efficiency Measures-DBT'!$B$26,"")&amp;", "&amp;IF(AND(E11&gt;X11,AJ11&gt;X11),'Energy Efficiency Measures-DBT'!$B$25,"")</f>
        <v>, MR2</v>
      </c>
      <c r="AN11" s="5" t="str">
        <f>IF(AND(F11&gt;R11,AJ11&gt;R11),'Energy Efficiency Measures-DBT'!$B$26,"")&amp;", "&amp;IF(AND(F11&gt;Y11,AJ11&gt;Y11),'Energy Efficiency Measures-DBT'!$B$25,"")</f>
        <v>, MR2</v>
      </c>
      <c r="AO11" s="5" t="str">
        <f>IF(AND(G11&gt;S11,AJ11&gt;S11),'Energy Efficiency Measures-DBT'!$B$26,"")&amp;", "&amp;IF(AND(G11&gt;Z11,AJ11&gt;Z11),'Energy Efficiency Measures-DBT'!$B$25,"")</f>
        <v>, MR2</v>
      </c>
      <c r="AP11" s="5" t="str">
        <f>IF(AND(H11&gt;T11,AJ11&gt;T11),'Energy Efficiency Measures-DBT'!$B$26,"")&amp;", "&amp;IF(AND(H11&gt;AA11,AJ11&gt;AA11),'Energy Efficiency Measures-DBT'!$B$25,"")</f>
        <v>MR3, MR2</v>
      </c>
      <c r="AQ11" s="5" t="str">
        <f>IF(AND(I11&gt;U11,AJ11&gt;U11),'Energy Efficiency Measures-DBT'!$B$26,"")&amp;", "&amp;IF(AND(I11&gt;AB11,AJ11&gt;AB11),'Energy Efficiency Measures-DBT'!$B$25,"")</f>
        <v>MR3, MR2</v>
      </c>
      <c r="AR11" s="426" t="str">
        <f>IF(AND(J11&gt;V11,AJ11&gt;V11),'Energy Efficiency Measures-DBT'!$B$26,"")&amp;", "&amp;IF(AND(J11&gt;AC11,AJ11&gt;AC11),'Energy Efficiency Measures-DBT'!$B$25,"")</f>
        <v>MR3, MR2</v>
      </c>
    </row>
    <row r="12" spans="1:44">
      <c r="A12" s="48" t="s">
        <v>94</v>
      </c>
      <c r="B12" s="48" t="s">
        <v>26</v>
      </c>
      <c r="C12" s="48" t="s">
        <v>27</v>
      </c>
      <c r="D12" s="47" t="s">
        <v>10</v>
      </c>
      <c r="E12" s="498">
        <v>1.9557</v>
      </c>
      <c r="F12" s="498">
        <v>1.8781330000000001</v>
      </c>
      <c r="G12" s="498">
        <v>0.59</v>
      </c>
      <c r="H12" s="498">
        <v>0.3</v>
      </c>
      <c r="I12" s="498">
        <v>0.21</v>
      </c>
      <c r="J12" s="499">
        <v>0.22</v>
      </c>
      <c r="K12" s="45">
        <f>SUMPRODUCT('Dwelling stock'!E12:J12,'Ceiling-U'!E12:J12)/SUM('Dwelling stock'!E12:J12)</f>
        <v>1.210739885124229</v>
      </c>
      <c r="M12" s="54">
        <v>0.74648400000000004</v>
      </c>
      <c r="P12" s="44" t="s">
        <v>26</v>
      </c>
      <c r="Q12" s="392">
        <f>1/((1/$E12)+LOOKUP($A12,'Energy Efficiency Measures-DBT'!$D$11:$AN$11,'Energy Efficiency Measures-DBT'!$D$23:$AN$23))</f>
        <v>0.33207963662605594</v>
      </c>
      <c r="R12" s="393">
        <f>1/((1/$F12)+LOOKUP($A12,'Energy Efficiency Measures-DBT'!$D$11:$AN$11,'Energy Efficiency Measures-DBT'!$D$23:$AN$23))</f>
        <v>0.32976705047510396</v>
      </c>
      <c r="S12" s="393">
        <f>1/((1/$G12)+LOOKUP($A12,'Energy Efficiency Measures-DBT'!$D$11:$AN$11,'Energy Efficiency Measures-DBT'!$D$23:$AN$23))</f>
        <v>0.23838383838383839</v>
      </c>
      <c r="T12" s="393">
        <f>1/((1/$H12)+LOOKUP($A12,'Energy Efficiency Measures-DBT'!$D$11:$AN$11,'Energy Efficiency Measures-DBT'!$D$23:$AN$23))</f>
        <v>0.1714285714285714</v>
      </c>
      <c r="U12" s="393">
        <f>1/((1/$I12)+LOOKUP($A12,'Energy Efficiency Measures-DBT'!$D$11:$AN$11,'Energy Efficiency Measures-DBT'!$D$23:$AN$23))</f>
        <v>0.13770491803278689</v>
      </c>
      <c r="V12" s="306">
        <f>1/((1/$J12)+LOOKUP($A12,'Energy Efficiency Measures-DBT'!$D$11:$AN$11,'Energy Efficiency Measures-DBT'!$D$23:$AN$23))</f>
        <v>0.14193548387096774</v>
      </c>
      <c r="W12" s="221">
        <f>1/((1/$K12)+LOOKUP($A12,'Energy Efficiency Measures-DBT'!$D$11:$AN$11,'Energy Efficiency Measures-DBT'!$D$23:$AN$23))</f>
        <v>0.30066676719335106</v>
      </c>
      <c r="X12" s="392">
        <f>1/((1/$E12)+LOOKUP($A12,'Energy Efficiency Measures-DBT'!$D$11:$AN$11,'Energy Efficiency Measures-DBT'!$D$22:$AN$22))</f>
        <v>0.23466874653147549</v>
      </c>
      <c r="Y12" s="393">
        <f>1/((1/$F12)+LOOKUP($A12,'Energy Efficiency Measures-DBT'!$D$11:$AN$11,'Energy Efficiency Measures-DBT'!$D$22:$AN$22))</f>
        <v>0.23351153697493734</v>
      </c>
      <c r="Z12" s="393">
        <f>1/((1/$G12)+LOOKUP($A12,'Energy Efficiency Measures-DBT'!$D$11:$AN$11,'Energy Efficiency Measures-DBT'!$D$22:$AN$22))</f>
        <v>0.18365758754863815</v>
      </c>
      <c r="AA12" s="393">
        <f>1/((1/$H12)+LOOKUP($A12,'Energy Efficiency Measures-DBT'!$D$11:$AN$11,'Energy Efficiency Measures-DBT'!$D$22:$AN$22))</f>
        <v>0.14117647058823529</v>
      </c>
      <c r="AB12" s="393">
        <f>1/((1/$I12)+LOOKUP($A12,'Energy Efficiency Measures-DBT'!$D$11:$AN$11,'Energy Efficiency Measures-DBT'!$D$22:$AN$22))</f>
        <v>0.11748251748251747</v>
      </c>
      <c r="AC12" s="306">
        <f>1/((1/$J12)+LOOKUP($A12,'Energy Efficiency Measures-DBT'!$D$11:$AN$11,'Energy Efficiency Measures-DBT'!$D$22:$AN$22))</f>
        <v>0.12054794520547943</v>
      </c>
      <c r="AD12" s="306">
        <f>1/((1/$K12)+LOOKUP($A12,'Energy Efficiency Measures-DBT'!$D$11:$AN$11,'Energy Efficiency Measures-DBT'!$D$22:$AN$22))</f>
        <v>0.21853427479057067</v>
      </c>
      <c r="AG12" s="48" t="s">
        <v>26</v>
      </c>
      <c r="AH12" s="47" t="s">
        <v>283</v>
      </c>
      <c r="AI12" s="428">
        <v>0.2</v>
      </c>
      <c r="AJ12" s="430">
        <v>0.24</v>
      </c>
      <c r="AK12" s="428">
        <f>AI12</f>
        <v>0.2</v>
      </c>
      <c r="AL12" s="430">
        <v>0.24</v>
      </c>
      <c r="AM12" s="346" t="str">
        <f>IF(AND(E12&gt;Q12,AJ12&gt;Q12),'Energy Efficiency Measures-DBT'!$B$26,"")&amp;", "&amp;IF(AND(E12&gt;X12,AJ12&gt;X12),'Energy Efficiency Measures-DBT'!$B$25,"")</f>
        <v>, MR2</v>
      </c>
      <c r="AN12" s="5" t="str">
        <f>IF(AND(F12&gt;R12,AJ12&gt;R12),'Energy Efficiency Measures-DBT'!$B$26,"")&amp;", "&amp;IF(AND(F12&gt;Y12,AJ12&gt;Y12),'Energy Efficiency Measures-DBT'!$B$25,"")</f>
        <v>, MR2</v>
      </c>
      <c r="AO12" s="5" t="str">
        <f>IF(AND(G12&gt;S12,AJ12&gt;S12),'Energy Efficiency Measures-DBT'!$B$26,"")&amp;", "&amp;IF(AND(G12&gt;Z12,AJ12&gt;Z12),'Energy Efficiency Measures-DBT'!$B$25,"")</f>
        <v>MR3, MR2</v>
      </c>
      <c r="AP12" s="5" t="str">
        <f>IF(AND(H12&gt;T12,AJ12&gt;T12),'Energy Efficiency Measures-DBT'!$B$26,"")&amp;", "&amp;IF(AND(H12&gt;AA12,AJ12&gt;AA12),'Energy Efficiency Measures-DBT'!$B$25,"")</f>
        <v>MR3, MR2</v>
      </c>
      <c r="AQ12" s="5" t="str">
        <f>IF(AND(I12&gt;U12,AJ12&gt;U12),'Energy Efficiency Measures-DBT'!$B$26,"")&amp;", "&amp;IF(AND(I12&gt;AB12,AJ12&gt;AB12),'Energy Efficiency Measures-DBT'!$B$25,"")</f>
        <v>MR3, MR2</v>
      </c>
      <c r="AR12" s="426" t="str">
        <f>IF(AND(J12&gt;V12,AJ12&gt;V12),'Energy Efficiency Measures-DBT'!$B$26,"")&amp;", "&amp;IF(AND(J12&gt;AC12,AJ12&gt;AC12),'Energy Efficiency Measures-DBT'!$B$25,"")</f>
        <v>MR3, MR2</v>
      </c>
    </row>
    <row r="13" spans="1:44">
      <c r="A13" s="48" t="s">
        <v>95</v>
      </c>
      <c r="B13" s="48" t="s">
        <v>20</v>
      </c>
      <c r="C13" s="48" t="s">
        <v>21</v>
      </c>
      <c r="D13" s="47" t="s">
        <v>10</v>
      </c>
      <c r="E13" s="498">
        <v>0.41770600000000002</v>
      </c>
      <c r="F13" s="498">
        <v>0.36</v>
      </c>
      <c r="G13" s="498">
        <v>0.26</v>
      </c>
      <c r="H13" s="498">
        <v>0.22</v>
      </c>
      <c r="I13" s="498">
        <v>0.22</v>
      </c>
      <c r="J13" s="499">
        <v>0.138655</v>
      </c>
      <c r="K13" s="45">
        <f>SUMPRODUCT('Dwelling stock'!E13:J13,'Ceiling-U'!E13:J13)/SUM('Dwelling stock'!E13:J13)</f>
        <v>0.32681320835347566</v>
      </c>
      <c r="M13" s="54">
        <v>0.30994300000000002</v>
      </c>
      <c r="P13" s="44" t="s">
        <v>20</v>
      </c>
      <c r="Q13" s="392">
        <f>1/((1/$E13)+LOOKUP($A13,'Energy Efficiency Measures-DBT'!$D$11:$AN$11,'Energy Efficiency Measures-DBT'!$D$23:$AN$23))</f>
        <v>0.20433065184797469</v>
      </c>
      <c r="R13" s="393">
        <f>1/((1/$F13)+LOOKUP($A13,'Energy Efficiency Measures-DBT'!$D$11:$AN$11,'Energy Efficiency Measures-DBT'!$D$23:$AN$23))</f>
        <v>0.18947368421052632</v>
      </c>
      <c r="S13" s="393">
        <f>1/((1/$G13)+LOOKUP($A13,'Energy Efficiency Measures-DBT'!$D$11:$AN$11,'Energy Efficiency Measures-DBT'!$D$23:$AN$23))</f>
        <v>0.15757575757575759</v>
      </c>
      <c r="T13" s="393">
        <f>1/((1/$H13)+LOOKUP($A13,'Energy Efficiency Measures-DBT'!$D$11:$AN$11,'Energy Efficiency Measures-DBT'!$D$23:$AN$23))</f>
        <v>0.14193548387096774</v>
      </c>
      <c r="U13" s="393">
        <f>1/((1/$I13)+LOOKUP($A13,'Energy Efficiency Measures-DBT'!$D$11:$AN$11,'Energy Efficiency Measures-DBT'!$D$23:$AN$23))</f>
        <v>0.14193548387096774</v>
      </c>
      <c r="V13" s="306">
        <f>1/((1/$J13)+LOOKUP($A13,'Energy Efficiency Measures-DBT'!$D$11:$AN$11,'Energy Efficiency Measures-DBT'!$D$23:$AN$23))</f>
        <v>0.10296386369754294</v>
      </c>
      <c r="W13" s="306">
        <f>1/((1/$K13)+LOOKUP($A13,'Energy Efficiency Measures-DBT'!$D$11:$AN$11,'Energy Efficiency Measures-DBT'!$D$23:$AN$23))</f>
        <v>0.17986090764301824</v>
      </c>
      <c r="X13" s="392">
        <f>1/((1/$E13)+LOOKUP($A13,'Energy Efficiency Measures-DBT'!$D$11:$AN$11,'Energy Efficiency Measures-DBT'!$D$22:$AN$22))</f>
        <v>0.16275966602991157</v>
      </c>
      <c r="Y13" s="393">
        <f>1/((1/$F13)+LOOKUP($A13,'Energy Efficiency Measures-DBT'!$D$11:$AN$11,'Energy Efficiency Measures-DBT'!$D$22:$AN$22))</f>
        <v>0.15319148936170213</v>
      </c>
      <c r="Z13" s="393">
        <f>1/((1/$G13)+LOOKUP($A13,'Energy Efficiency Measures-DBT'!$D$11:$AN$11,'Energy Efficiency Measures-DBT'!$D$22:$AN$22))</f>
        <v>0.13164556962025317</v>
      </c>
      <c r="AA13" s="393">
        <f>1/((1/$H13)+LOOKUP($A13,'Energy Efficiency Measures-DBT'!$D$11:$AN$11,'Energy Efficiency Measures-DBT'!$D$22:$AN$22))</f>
        <v>0.12054794520547943</v>
      </c>
      <c r="AB13" s="393">
        <f>1/((1/$I13)+LOOKUP($A13,'Energy Efficiency Measures-DBT'!$D$11:$AN$11,'Energy Efficiency Measures-DBT'!$D$22:$AN$22))</f>
        <v>0.12054794520547943</v>
      </c>
      <c r="AC13" s="306">
        <f>1/((1/$J13)+LOOKUP($A13,'Energy Efficiency Measures-DBT'!$D$11:$AN$11,'Energy Efficiency Measures-DBT'!$D$22:$AN$22))</f>
        <v>9.1223020399435834E-2</v>
      </c>
      <c r="AD13" s="306">
        <f>1/((1/$K13)+LOOKUP($A13,'Energy Efficiency Measures-DBT'!$D$11:$AN$11,'Energy Efficiency Measures-DBT'!$D$22:$AN$22))</f>
        <v>0.14684607273549477</v>
      </c>
      <c r="AG13" s="48" t="s">
        <v>20</v>
      </c>
      <c r="AH13" s="47"/>
      <c r="AI13" s="262">
        <v>5</v>
      </c>
      <c r="AJ13" s="264">
        <v>5</v>
      </c>
      <c r="AK13" s="262">
        <v>5</v>
      </c>
      <c r="AL13" s="264">
        <v>5</v>
      </c>
      <c r="AM13" s="346" t="str">
        <f>IF(AND(E13&gt;Q13,AJ13&gt;Q13),'Energy Efficiency Measures-DBT'!$B$26,"")&amp;", "&amp;IF(AND(E13&gt;X13,AJ13&gt;X13),'Energy Efficiency Measures-DBT'!$B$25,"")</f>
        <v>MR3, MR2</v>
      </c>
      <c r="AN13" s="5" t="str">
        <f>IF(AND(F13&gt;R13,AJ13&gt;R13),'Energy Efficiency Measures-DBT'!$B$26,"")&amp;", "&amp;IF(AND(F13&gt;Y13,AJ13&gt;Y13),'Energy Efficiency Measures-DBT'!$B$25,"")</f>
        <v>MR3, MR2</v>
      </c>
      <c r="AO13" s="5" t="str">
        <f>IF(AND(G13&gt;S13,AJ13&gt;S13),'Energy Efficiency Measures-DBT'!$B$26,"")&amp;", "&amp;IF(AND(G13&gt;Z13,AJ13&gt;Z13),'Energy Efficiency Measures-DBT'!$B$25,"")</f>
        <v>MR3, MR2</v>
      </c>
      <c r="AP13" s="5" t="str">
        <f>IF(AND(H13&gt;T13,AJ13&gt;T13),'Energy Efficiency Measures-DBT'!$B$26,"")&amp;", "&amp;IF(AND(H13&gt;AA13,AJ13&gt;AA13),'Energy Efficiency Measures-DBT'!$B$25,"")</f>
        <v>MR3, MR2</v>
      </c>
      <c r="AQ13" s="5" t="str">
        <f>IF(AND(I13&gt;U13,AJ13&gt;U13),'Energy Efficiency Measures-DBT'!$B$26,"")&amp;", "&amp;IF(AND(I13&gt;AB13,AJ13&gt;AB13),'Energy Efficiency Measures-DBT'!$B$25,"")</f>
        <v>MR3, MR2</v>
      </c>
      <c r="AR13" s="426" t="str">
        <f>IF(AND(J13&gt;V13,AJ13&gt;V13),'Energy Efficiency Measures-DBT'!$B$26,"")&amp;", "&amp;IF(AND(J13&gt;AC13,AJ13&gt;AC13),'Energy Efficiency Measures-DBT'!$B$25,"")</f>
        <v>MR3, MR2</v>
      </c>
    </row>
    <row r="14" spans="1:44">
      <c r="A14" s="48" t="s">
        <v>96</v>
      </c>
      <c r="B14" s="48" t="s">
        <v>22</v>
      </c>
      <c r="C14" s="48" t="s">
        <v>23</v>
      </c>
      <c r="D14" s="47" t="s">
        <v>10</v>
      </c>
      <c r="E14" s="498">
        <v>0.46250000000000002</v>
      </c>
      <c r="F14" s="498">
        <v>0.46250000000000002</v>
      </c>
      <c r="G14" s="498">
        <v>0.35</v>
      </c>
      <c r="H14" s="498">
        <v>0.22750000000000001</v>
      </c>
      <c r="I14" s="498">
        <v>0.17499999999999999</v>
      </c>
      <c r="J14" s="498">
        <v>0.17499999999999999</v>
      </c>
      <c r="K14" s="45">
        <f>SUMPRODUCT('Dwelling stock'!E14:J14,'Ceiling-U'!E14:J14)/SUM('Dwelling stock'!E14:J14)</f>
        <v>0.35692570065759188</v>
      </c>
      <c r="M14" s="54">
        <v>0.365421</v>
      </c>
      <c r="P14" s="44" t="s">
        <v>22</v>
      </c>
      <c r="Q14" s="392">
        <f>1/((1/$E14)+LOOKUP($A14,'Energy Efficiency Measures-DBT'!$D$11:$AN$11,'Energy Efficiency Measures-DBT'!$D$23:$AN$23))</f>
        <v>0.21449275362318845</v>
      </c>
      <c r="R14" s="393">
        <f>1/((1/$F14)+LOOKUP($A14,'Energy Efficiency Measures-DBT'!$D$11:$AN$11,'Energy Efficiency Measures-DBT'!$D$23:$AN$23))</f>
        <v>0.21449275362318845</v>
      </c>
      <c r="S14" s="393">
        <f>1/((1/$G14)+LOOKUP($A14,'Energy Efficiency Measures-DBT'!$D$11:$AN$11,'Energy Efficiency Measures-DBT'!$D$23:$AN$23))</f>
        <v>0.18666666666666665</v>
      </c>
      <c r="T14" s="393">
        <f>1/((1/$H14)+LOOKUP($A14,'Energy Efficiency Measures-DBT'!$D$11:$AN$11,'Energy Efficiency Measures-DBT'!$D$23:$AN$23))</f>
        <v>0.1450199203187251</v>
      </c>
      <c r="U14" s="393">
        <f>1/((1/$I14)+LOOKUP($A14,'Energy Efficiency Measures-DBT'!$D$11:$AN$11,'Energy Efficiency Measures-DBT'!$D$23:$AN$23))</f>
        <v>0.1217391304347826</v>
      </c>
      <c r="V14" s="306">
        <f>1/((1/$J14)+LOOKUP($A14,'Energy Efficiency Measures-DBT'!$D$11:$AN$11,'Energy Efficiency Measures-DBT'!$D$23:$AN$23))</f>
        <v>0.1217391304347826</v>
      </c>
      <c r="W14" s="306">
        <f>1/((1/$K14)+LOOKUP($A14,'Energy Efficiency Measures-DBT'!$D$11:$AN$11,'Energy Efficiency Measures-DBT'!$D$23:$AN$23))</f>
        <v>0.1886186188935092</v>
      </c>
      <c r="X14" s="392">
        <f>1/((1/$E14)+LOOKUP($A14,'Energy Efficiency Measures-DBT'!$D$11:$AN$11,'Energy Efficiency Measures-DBT'!$D$22:$AN$22))</f>
        <v>0.16914285714285718</v>
      </c>
      <c r="Y14" s="393">
        <f>1/((1/$F14)+LOOKUP($A14,'Energy Efficiency Measures-DBT'!$D$11:$AN$11,'Energy Efficiency Measures-DBT'!$D$22:$AN$22))</f>
        <v>0.16914285714285718</v>
      </c>
      <c r="Z14" s="393">
        <f>1/((1/$G14)+LOOKUP($A14,'Energy Efficiency Measures-DBT'!$D$11:$AN$11,'Energy Efficiency Measures-DBT'!$D$22:$AN$22))</f>
        <v>0.15135135135135133</v>
      </c>
      <c r="AA14" s="393">
        <f>1/((1/$H14)+LOOKUP($A14,'Energy Efficiency Measures-DBT'!$D$11:$AN$11,'Energy Efficiency Measures-DBT'!$D$22:$AN$22))</f>
        <v>0.12276559865092751</v>
      </c>
      <c r="AB14" s="393">
        <f>1/((1/$I14)+LOOKUP($A14,'Energy Efficiency Measures-DBT'!$D$11:$AN$11,'Energy Efficiency Measures-DBT'!$D$22:$AN$22))</f>
        <v>0.10566037735849056</v>
      </c>
      <c r="AC14" s="306">
        <f>1/((1/$J14)+LOOKUP($A14,'Energy Efficiency Measures-DBT'!$D$11:$AN$11,'Energy Efficiency Measures-DBT'!$D$22:$AN$22))</f>
        <v>0.10566037735849056</v>
      </c>
      <c r="AD14" s="306">
        <f>1/((1/$K14)+LOOKUP($A14,'Energy Efficiency Measures-DBT'!$D$11:$AN$11,'Energy Efficiency Measures-DBT'!$D$22:$AN$22))</f>
        <v>0.15263205874444619</v>
      </c>
      <c r="AG14" s="48" t="s">
        <v>22</v>
      </c>
      <c r="AH14" s="47"/>
      <c r="AI14" s="262">
        <v>5</v>
      </c>
      <c r="AJ14" s="264">
        <v>5</v>
      </c>
      <c r="AK14" s="262">
        <v>5</v>
      </c>
      <c r="AL14" s="264">
        <v>5</v>
      </c>
      <c r="AM14" s="346" t="str">
        <f>IF(AND(E14&gt;Q14,AJ14&gt;Q14),'Energy Efficiency Measures-DBT'!$B$26,"")&amp;", "&amp;IF(AND(E14&gt;X14,AJ14&gt;X14),'Energy Efficiency Measures-DBT'!$B$25,"")</f>
        <v>MR3, MR2</v>
      </c>
      <c r="AN14" s="5" t="str">
        <f>IF(AND(F14&gt;R14,AJ14&gt;R14),'Energy Efficiency Measures-DBT'!$B$26,"")&amp;", "&amp;IF(AND(F14&gt;Y14,AJ14&gt;Y14),'Energy Efficiency Measures-DBT'!$B$25,"")</f>
        <v>MR3, MR2</v>
      </c>
      <c r="AO14" s="5" t="str">
        <f>IF(AND(G14&gt;S14,AJ14&gt;S14),'Energy Efficiency Measures-DBT'!$B$26,"")&amp;", "&amp;IF(AND(G14&gt;Z14,AJ14&gt;Z14),'Energy Efficiency Measures-DBT'!$B$25,"")</f>
        <v>MR3, MR2</v>
      </c>
      <c r="AP14" s="5" t="str">
        <f>IF(AND(H14&gt;T14,AJ14&gt;T14),'Energy Efficiency Measures-DBT'!$B$26,"")&amp;", "&amp;IF(AND(H14&gt;AA14,AJ14&gt;AA14),'Energy Efficiency Measures-DBT'!$B$25,"")</f>
        <v>MR3, MR2</v>
      </c>
      <c r="AQ14" s="5" t="str">
        <f>IF(AND(I14&gt;U14,AJ14&gt;U14),'Energy Efficiency Measures-DBT'!$B$26,"")&amp;", "&amp;IF(AND(I14&gt;AB14,AJ14&gt;AB14),'Energy Efficiency Measures-DBT'!$B$25,"")</f>
        <v>MR3, MR2</v>
      </c>
      <c r="AR14" s="426" t="str">
        <f>IF(AND(J14&gt;V14,AJ14&gt;V14),'Energy Efficiency Measures-DBT'!$B$26,"")&amp;", "&amp;IF(AND(J14&gt;AC14,AJ14&gt;AC14),'Energy Efficiency Measures-DBT'!$B$25,"")</f>
        <v>MR3, MR2</v>
      </c>
    </row>
    <row r="15" spans="1:44">
      <c r="A15" s="48" t="s">
        <v>205</v>
      </c>
      <c r="B15" s="48" t="s">
        <v>28</v>
      </c>
      <c r="C15" s="48" t="s">
        <v>29</v>
      </c>
      <c r="D15" s="47" t="s">
        <v>10</v>
      </c>
      <c r="E15" s="498">
        <v>3.1</v>
      </c>
      <c r="F15" s="498">
        <v>3.1</v>
      </c>
      <c r="G15" s="498">
        <v>3.1</v>
      </c>
      <c r="H15" s="498">
        <v>3.1</v>
      </c>
      <c r="I15" s="498">
        <v>3.1</v>
      </c>
      <c r="J15" s="499">
        <v>0.65</v>
      </c>
      <c r="K15" s="45">
        <f>SUMPRODUCT('Dwelling stock'!E15:J15,'Ceiling-U'!E15:J15)/SUM('Dwelling stock'!E15:J15)</f>
        <v>2.9448930007727823</v>
      </c>
      <c r="M15" s="54" t="s">
        <v>17</v>
      </c>
      <c r="P15" s="44" t="s">
        <v>28</v>
      </c>
      <c r="Q15" s="392">
        <f>1/((1/$E15)+LOOKUP($A15,'Energy Efficiency Measures-DBT'!$D$11:$AN$11,'Energy Efficiency Measures-DBT'!$D$23:$AN$23))</f>
        <v>0.35428571428571426</v>
      </c>
      <c r="R15" s="393">
        <f>1/((1/$F15)+LOOKUP($A15,'Energy Efficiency Measures-DBT'!$D$11:$AN$11,'Energy Efficiency Measures-DBT'!$D$23:$AN$23))</f>
        <v>0.35428571428571426</v>
      </c>
      <c r="S15" s="393">
        <f>1/((1/$G15)+LOOKUP($A15,'Energy Efficiency Measures-DBT'!$D$11:$AN$11,'Energy Efficiency Measures-DBT'!$D$23:$AN$23))</f>
        <v>0.35428571428571426</v>
      </c>
      <c r="T15" s="393">
        <f>1/((1/$H15)+LOOKUP($A15,'Energy Efficiency Measures-DBT'!$D$11:$AN$11,'Energy Efficiency Measures-DBT'!$D$23:$AN$23))</f>
        <v>0.35428571428571426</v>
      </c>
      <c r="U15" s="393">
        <f>1/((1/$I15)+LOOKUP($A15,'Energy Efficiency Measures-DBT'!$D$11:$AN$11,'Energy Efficiency Measures-DBT'!$D$23:$AN$23))</f>
        <v>0.35428571428571426</v>
      </c>
      <c r="V15" s="306">
        <f>1/((1/$J15)+LOOKUP($A15,'Energy Efficiency Measures-DBT'!$D$11:$AN$11,'Energy Efficiency Measures-DBT'!$D$23:$AN$23))</f>
        <v>0.24761904761904763</v>
      </c>
      <c r="W15" s="306">
        <f>1/((1/$K15)+LOOKUP($A15,'Energy Efficiency Measures-DBT'!$D$11:$AN$11,'Energy Efficiency Measures-DBT'!$D$23:$AN$23))</f>
        <v>0.35216588394216658</v>
      </c>
      <c r="X15" s="392">
        <f>1/((1/$E15)+LOOKUP($A15,'Energy Efficiency Measures-DBT'!$D$11:$AN$11,'Energy Efficiency Measures-DBT'!$D$22:$AN$22))</f>
        <v>0.24554455445544557</v>
      </c>
      <c r="Y15" s="393">
        <f>1/((1/$F15)+LOOKUP($A15,'Energy Efficiency Measures-DBT'!$D$11:$AN$11,'Energy Efficiency Measures-DBT'!$D$22:$AN$22))</f>
        <v>0.24554455445544557</v>
      </c>
      <c r="Z15" s="393">
        <f>1/((1/$G15)+LOOKUP($A15,'Energy Efficiency Measures-DBT'!$D$11:$AN$11,'Energy Efficiency Measures-DBT'!$D$22:$AN$22))</f>
        <v>0.24554455445544557</v>
      </c>
      <c r="AA15" s="393">
        <f>1/((1/$H15)+LOOKUP($A15,'Energy Efficiency Measures-DBT'!$D$11:$AN$11,'Energy Efficiency Measures-DBT'!$D$22:$AN$22))</f>
        <v>0.24554455445544557</v>
      </c>
      <c r="AB15" s="393">
        <f>1/((1/$I15)+LOOKUP($A15,'Energy Efficiency Measures-DBT'!$D$11:$AN$11,'Energy Efficiency Measures-DBT'!$D$22:$AN$22))</f>
        <v>0.24554455445544557</v>
      </c>
      <c r="AC15" s="306">
        <f>1/((1/$J15)+LOOKUP($A15,'Energy Efficiency Measures-DBT'!$D$11:$AN$11,'Energy Efficiency Measures-DBT'!$D$22:$AN$22))</f>
        <v>0.18909090909090909</v>
      </c>
      <c r="AD15" s="306">
        <f>1/((1/$K15)+LOOKUP($A15,'Energy Efficiency Measures-DBT'!$D$11:$AN$11,'Energy Efficiency Measures-DBT'!$D$22:$AN$22))</f>
        <v>0.24452443096976387</v>
      </c>
      <c r="AG15" s="48" t="s">
        <v>28</v>
      </c>
      <c r="AH15" s="47"/>
      <c r="AI15" s="262">
        <v>5</v>
      </c>
      <c r="AJ15" s="264">
        <v>5</v>
      </c>
      <c r="AK15" s="262">
        <v>5</v>
      </c>
      <c r="AL15" s="264">
        <v>5</v>
      </c>
      <c r="AM15" s="346" t="str">
        <f>IF(AND(E15&gt;Q15,AJ15&gt;Q15),'Energy Efficiency Measures-DBT'!$B$26,"")&amp;", "&amp;IF(AND(E15&gt;X15,AJ15&gt;X15),'Energy Efficiency Measures-DBT'!$B$25,"")</f>
        <v>MR3, MR2</v>
      </c>
      <c r="AN15" s="5" t="str">
        <f>IF(AND(F15&gt;R15,AJ15&gt;R15),'Energy Efficiency Measures-DBT'!$B$26,"")&amp;", "&amp;IF(AND(F15&gt;Y15,AJ15&gt;Y15),'Energy Efficiency Measures-DBT'!$B$25,"")</f>
        <v>MR3, MR2</v>
      </c>
      <c r="AO15" s="5" t="str">
        <f>IF(AND(G15&gt;S15,AJ15&gt;S15),'Energy Efficiency Measures-DBT'!$B$26,"")&amp;", "&amp;IF(AND(G15&gt;Z15,AJ15&gt;Z15),'Energy Efficiency Measures-DBT'!$B$25,"")</f>
        <v>MR3, MR2</v>
      </c>
      <c r="AP15" s="5" t="str">
        <f>IF(AND(H15&gt;T15,AJ15&gt;T15),'Energy Efficiency Measures-DBT'!$B$26,"")&amp;", "&amp;IF(AND(H15&gt;AA15,AJ15&gt;AA15),'Energy Efficiency Measures-DBT'!$B$25,"")</f>
        <v>MR3, MR2</v>
      </c>
      <c r="AQ15" s="5" t="str">
        <f>IF(AND(I15&gt;U15,AJ15&gt;U15),'Energy Efficiency Measures-DBT'!$B$26,"")&amp;", "&amp;IF(AND(I15&gt;AB15,AJ15&gt;AB15),'Energy Efficiency Measures-DBT'!$B$25,"")</f>
        <v>MR3, MR2</v>
      </c>
      <c r="AR15" s="426" t="str">
        <f>IF(AND(J15&gt;V15,AJ15&gt;V15),'Energy Efficiency Measures-DBT'!$B$26,"")&amp;", "&amp;IF(AND(J15&gt;AC15,AJ15&gt;AC15),'Energy Efficiency Measures-DBT'!$B$25,"")</f>
        <v>MR3, MR2</v>
      </c>
    </row>
    <row r="16" spans="1:44">
      <c r="A16" s="48" t="s">
        <v>97</v>
      </c>
      <c r="B16" s="48" t="s">
        <v>49</v>
      </c>
      <c r="C16" s="48" t="s">
        <v>50</v>
      </c>
      <c r="D16" s="47" t="s">
        <v>10</v>
      </c>
      <c r="E16" s="498">
        <v>1.75</v>
      </c>
      <c r="F16" s="498">
        <v>1.37</v>
      </c>
      <c r="G16" s="498">
        <v>1.37</v>
      </c>
      <c r="H16" s="498">
        <v>1</v>
      </c>
      <c r="I16" s="498">
        <v>1</v>
      </c>
      <c r="J16" s="499">
        <v>0.54</v>
      </c>
      <c r="K16" s="45">
        <f>SUMPRODUCT('Dwelling stock'!E16:J16,'Ceiling-U'!E16:J16)/SUM('Dwelling stock'!E16:J16)</f>
        <v>1.1608394756059222</v>
      </c>
      <c r="M16" s="54">
        <v>1.1880489999999999</v>
      </c>
      <c r="P16" s="44" t="s">
        <v>49</v>
      </c>
      <c r="Q16" s="392">
        <f>1/((1/$E16)+LOOKUP($A16,'Energy Efficiency Measures-DBT'!$D$11:$AN$11,'Energy Efficiency Measures-DBT'!$D$23:$AN$23))</f>
        <v>0.32558139534883723</v>
      </c>
      <c r="R16" s="393">
        <f>1/((1/$F16)+LOOKUP($A16,'Energy Efficiency Measures-DBT'!$D$11:$AN$11,'Energy Efficiency Measures-DBT'!$D$23:$AN$23))</f>
        <v>0.30960451977401132</v>
      </c>
      <c r="S16" s="393">
        <f>1/((1/$G16)+LOOKUP($A16,'Energy Efficiency Measures-DBT'!$D$11:$AN$11,'Energy Efficiency Measures-DBT'!$D$23:$AN$23))</f>
        <v>0.30960451977401132</v>
      </c>
      <c r="T16" s="393">
        <f>1/((1/$H16)+LOOKUP($A16,'Energy Efficiency Measures-DBT'!$D$11:$AN$11,'Energy Efficiency Measures-DBT'!$D$23:$AN$23))</f>
        <v>0.2857142857142857</v>
      </c>
      <c r="U16" s="393">
        <f>1/((1/$I16)+LOOKUP($A16,'Energy Efficiency Measures-DBT'!$D$11:$AN$11,'Energy Efficiency Measures-DBT'!$D$23:$AN$23))</f>
        <v>0.2857142857142857</v>
      </c>
      <c r="V16" s="306">
        <f>1/((1/$J16)+LOOKUP($A16,'Energy Efficiency Measures-DBT'!$D$11:$AN$11,'Energy Efficiency Measures-DBT'!$D$23:$AN$23))</f>
        <v>0.22978723404255322</v>
      </c>
      <c r="W16" s="306">
        <f>1/((1/$K16)+LOOKUP($A16,'Energy Efficiency Measures-DBT'!$D$11:$AN$11,'Energy Efficiency Measures-DBT'!$D$23:$AN$23))</f>
        <v>0.29749106009899734</v>
      </c>
      <c r="X16" s="392">
        <f>1/((1/$E16)+LOOKUP($A16,'Energy Efficiency Measures-DBT'!$D$11:$AN$11,'Energy Efficiency Measures-DBT'!$D$22:$AN$22))</f>
        <v>0.23140495867768596</v>
      </c>
      <c r="Y16" s="393">
        <f>1/((1/$F16)+LOOKUP($A16,'Energy Efficiency Measures-DBT'!$D$11:$AN$11,'Energy Efficiency Measures-DBT'!$D$22:$AN$22))</f>
        <v>0.22321792260692463</v>
      </c>
      <c r="Z16" s="393">
        <f>1/((1/$G16)+LOOKUP($A16,'Energy Efficiency Measures-DBT'!$D$11:$AN$11,'Energy Efficiency Measures-DBT'!$D$22:$AN$22))</f>
        <v>0.22321792260692463</v>
      </c>
      <c r="AA16" s="393">
        <f>1/((1/$H16)+LOOKUP($A16,'Energy Efficiency Measures-DBT'!$D$11:$AN$11,'Energy Efficiency Measures-DBT'!$D$22:$AN$22))</f>
        <v>0.21052631578947367</v>
      </c>
      <c r="AB16" s="393">
        <f>1/((1/$I16)+LOOKUP($A16,'Energy Efficiency Measures-DBT'!$D$11:$AN$11,'Energy Efficiency Measures-DBT'!$D$22:$AN$22))</f>
        <v>0.21052631578947367</v>
      </c>
      <c r="AC16" s="306">
        <f>1/((1/$J16)+LOOKUP($A16,'Energy Efficiency Measures-DBT'!$D$11:$AN$11,'Energy Efficiency Measures-DBT'!$D$22:$AN$22))</f>
        <v>0.1785123966942149</v>
      </c>
      <c r="AD16" s="306">
        <f>1/((1/$K16)+LOOKUP($A16,'Energy Efficiency Measures-DBT'!$D$11:$AN$11,'Energy Efficiency Measures-DBT'!$D$22:$AN$22))</f>
        <v>0.21685174187909115</v>
      </c>
      <c r="AG16" s="48" t="s">
        <v>49</v>
      </c>
      <c r="AH16" s="47" t="s">
        <v>283</v>
      </c>
      <c r="AI16" s="428">
        <v>0.46</v>
      </c>
      <c r="AJ16" s="430">
        <f>AI16</f>
        <v>0.46</v>
      </c>
      <c r="AK16" s="428">
        <f>AI16</f>
        <v>0.46</v>
      </c>
      <c r="AL16" s="430">
        <f>AK16</f>
        <v>0.46</v>
      </c>
      <c r="AM16" s="346" t="str">
        <f>IF(AND(E16&gt;Q16,AJ16&gt;Q16),'Energy Efficiency Measures-DBT'!$B$26,"")&amp;", "&amp;IF(AND(E16&gt;X16,AJ16&gt;X16),'Energy Efficiency Measures-DBT'!$B$25,"")</f>
        <v>MR3, MR2</v>
      </c>
      <c r="AN16" s="5" t="str">
        <f>IF(AND(F16&gt;R16,AJ16&gt;R16),'Energy Efficiency Measures-DBT'!$B$26,"")&amp;", "&amp;IF(AND(F16&gt;Y16,AJ16&gt;Y16),'Energy Efficiency Measures-DBT'!$B$25,"")</f>
        <v>MR3, MR2</v>
      </c>
      <c r="AO16" s="5" t="str">
        <f>IF(AND(G16&gt;S16,AJ16&gt;S16),'Energy Efficiency Measures-DBT'!$B$26,"")&amp;", "&amp;IF(AND(G16&gt;Z16,AJ16&gt;Z16),'Energy Efficiency Measures-DBT'!$B$25,"")</f>
        <v>MR3, MR2</v>
      </c>
      <c r="AP16" s="5" t="str">
        <f>IF(AND(H16&gt;T16,AJ16&gt;T16),'Energy Efficiency Measures-DBT'!$B$26,"")&amp;", "&amp;IF(AND(H16&gt;AA16,AJ16&gt;AA16),'Energy Efficiency Measures-DBT'!$B$25,"")</f>
        <v>MR3, MR2</v>
      </c>
      <c r="AQ16" s="5" t="str">
        <f>IF(AND(I16&gt;U16,AJ16&gt;U16),'Energy Efficiency Measures-DBT'!$B$26,"")&amp;", "&amp;IF(AND(I16&gt;AB16,AJ16&gt;AB16),'Energy Efficiency Measures-DBT'!$B$25,"")</f>
        <v>MR3, MR2</v>
      </c>
      <c r="AR16" s="426" t="str">
        <f>IF(AND(J16&gt;V16,AJ16&gt;V16),'Energy Efficiency Measures-DBT'!$B$26,"")&amp;", "&amp;IF(AND(J16&gt;AC16,AJ16&gt;AC16),'Energy Efficiency Measures-DBT'!$B$25,"")</f>
        <v>MR3, MR2</v>
      </c>
    </row>
    <row r="17" spans="1:45">
      <c r="A17" s="48" t="s">
        <v>98</v>
      </c>
      <c r="B17" s="48" t="s">
        <v>24</v>
      </c>
      <c r="C17" s="48" t="s">
        <v>14</v>
      </c>
      <c r="D17" s="47" t="s">
        <v>10</v>
      </c>
      <c r="E17" s="498">
        <v>0.4</v>
      </c>
      <c r="F17" s="498">
        <v>0.38</v>
      </c>
      <c r="G17" s="498">
        <v>0.28999999999999998</v>
      </c>
      <c r="H17" s="498">
        <v>0.22500000000000001</v>
      </c>
      <c r="I17" s="498">
        <v>0.22</v>
      </c>
      <c r="J17" s="498">
        <v>0.18</v>
      </c>
      <c r="K17" s="45">
        <f>SUMPRODUCT('Dwelling stock'!E17:J17,'Ceiling-U'!E17:J17)/SUM('Dwelling stock'!E17:J17)</f>
        <v>0.29713665480992396</v>
      </c>
      <c r="M17" s="54">
        <v>0.29211100000000001</v>
      </c>
      <c r="P17" s="44" t="s">
        <v>24</v>
      </c>
      <c r="Q17" s="392">
        <f>1/((1/$E17)+LOOKUP($A17,'Energy Efficiency Measures-DBT'!$D$11:$AN$11,'Energy Efficiency Measures-DBT'!$D$23:$AN$23))</f>
        <v>0.2</v>
      </c>
      <c r="R17" s="393">
        <f>1/((1/$F17)+LOOKUP($A17,'Energy Efficiency Measures-DBT'!$D$11:$AN$11,'Energy Efficiency Measures-DBT'!$D$23:$AN$23))</f>
        <v>0.19487179487179487</v>
      </c>
      <c r="S17" s="393">
        <f>1/((1/$G17)+LOOKUP($A17,'Energy Efficiency Measures-DBT'!$D$11:$AN$11,'Energy Efficiency Measures-DBT'!$D$23:$AN$23))</f>
        <v>0.1681159420289855</v>
      </c>
      <c r="T17" s="393">
        <f>1/((1/$H17)+LOOKUP($A17,'Energy Efficiency Measures-DBT'!$D$11:$AN$11,'Energy Efficiency Measures-DBT'!$D$23:$AN$23))</f>
        <v>0.14399999999999999</v>
      </c>
      <c r="U17" s="393">
        <f>1/((1/$I17)+LOOKUP($A17,'Energy Efficiency Measures-DBT'!$D$11:$AN$11,'Energy Efficiency Measures-DBT'!$D$23:$AN$23))</f>
        <v>0.14193548387096774</v>
      </c>
      <c r="V17" s="306">
        <f>1/((1/$J17)+LOOKUP($A17,'Energy Efficiency Measures-DBT'!$D$11:$AN$11,'Energy Efficiency Measures-DBT'!$D$23:$AN$23))</f>
        <v>0.12413793103448276</v>
      </c>
      <c r="W17" s="221">
        <f>1/((1/$K17)+LOOKUP($A17,'Energy Efficiency Measures-DBT'!$D$11:$AN$11,'Energy Efficiency Measures-DBT'!$D$23:$AN$23))</f>
        <v>0.17048976137451213</v>
      </c>
      <c r="X17" s="392">
        <f>1/((1/$E17)+LOOKUP($A17,'Energy Efficiency Measures-DBT'!$D$11:$AN$11,'Energy Efficiency Measures-DBT'!$D$22:$AN$22))</f>
        <v>0.16</v>
      </c>
      <c r="Y17" s="393">
        <f>1/((1/$F17)+LOOKUP($A17,'Energy Efficiency Measures-DBT'!$D$11:$AN$11,'Energy Efficiency Measures-DBT'!$D$22:$AN$22))</f>
        <v>0.15670103092783505</v>
      </c>
      <c r="Z17" s="393">
        <f>1/((1/$G17)+LOOKUP($A17,'Energy Efficiency Measures-DBT'!$D$11:$AN$11,'Energy Efficiency Measures-DBT'!$D$22:$AN$22))</f>
        <v>0.13892215568862273</v>
      </c>
      <c r="AA17" s="393">
        <f>1/((1/$H17)+LOOKUP($A17,'Energy Efficiency Measures-DBT'!$D$11:$AN$11,'Energy Efficiency Measures-DBT'!$D$22:$AN$22))</f>
        <v>0.12203389830508474</v>
      </c>
      <c r="AB17" s="393">
        <f>1/((1/$I17)+LOOKUP($A17,'Energy Efficiency Measures-DBT'!$D$11:$AN$11,'Energy Efficiency Measures-DBT'!$D$22:$AN$22))</f>
        <v>0.12054794520547943</v>
      </c>
      <c r="AC17" s="306">
        <f>1/((1/$J17)+LOOKUP($A17,'Energy Efficiency Measures-DBT'!$D$11:$AN$11,'Energy Efficiency Measures-DBT'!$D$22:$AN$22))</f>
        <v>0.10746268656716418</v>
      </c>
      <c r="AD17" s="221">
        <f>1/((1/$K17)+LOOKUP($A17,'Energy Efficiency Measures-DBT'!$D$11:$AN$11,'Energy Efficiency Measures-DBT'!$D$22:$AN$22))</f>
        <v>0.14053915304210624</v>
      </c>
      <c r="AG17" s="48" t="s">
        <v>24</v>
      </c>
      <c r="AH17" s="47" t="s">
        <v>283</v>
      </c>
      <c r="AI17" s="428">
        <v>0.09</v>
      </c>
      <c r="AJ17" s="430">
        <f>AI17</f>
        <v>0.09</v>
      </c>
      <c r="AK17" s="428">
        <f>AI17</f>
        <v>0.09</v>
      </c>
      <c r="AL17" s="430">
        <f>AK17</f>
        <v>0.09</v>
      </c>
      <c r="AM17" s="346" t="str">
        <f>IF(AND(E17&gt;Q17,AJ17&gt;Q17),'Energy Efficiency Measures-DBT'!$B$26,"")&amp;", "&amp;IF(AND(E17&gt;X17,AJ17&gt;X17),'Energy Efficiency Measures-DBT'!$B$25,"")</f>
        <v xml:space="preserve">, </v>
      </c>
      <c r="AN17" s="5" t="str">
        <f>IF(AND(F17&gt;R17,AJ17&gt;R17),'Energy Efficiency Measures-DBT'!$B$26,"")&amp;", "&amp;IF(AND(F17&gt;Y17,AJ17&gt;Y17),'Energy Efficiency Measures-DBT'!$B$25,"")</f>
        <v xml:space="preserve">, </v>
      </c>
      <c r="AO17" s="5" t="str">
        <f>IF(AND(G17&gt;S17,AJ17&gt;S17),'Energy Efficiency Measures-DBT'!$B$26,"")&amp;", "&amp;IF(AND(G17&gt;Z17,AJ17&gt;Z17),'Energy Efficiency Measures-DBT'!$B$25,"")</f>
        <v xml:space="preserve">, </v>
      </c>
      <c r="AP17" s="5" t="str">
        <f>IF(AND(H17&gt;T17,AJ17&gt;T17),'Energy Efficiency Measures-DBT'!$B$26,"")&amp;", "&amp;IF(AND(H17&gt;AA17,AJ17&gt;AA17),'Energy Efficiency Measures-DBT'!$B$25,"")</f>
        <v xml:space="preserve">, </v>
      </c>
      <c r="AQ17" s="5" t="str">
        <f>IF(AND(I17&gt;U17,AJ17&gt;U17),'Energy Efficiency Measures-DBT'!$B$26,"")&amp;", "&amp;IF(AND(I17&gt;AB17,AJ17&gt;AB17),'Energy Efficiency Measures-DBT'!$B$25,"")</f>
        <v xml:space="preserve">, </v>
      </c>
      <c r="AR17" s="426" t="str">
        <f>IF(AND(J17&gt;V17,AJ17&gt;V17),'Energy Efficiency Measures-DBT'!$B$26,"")&amp;", "&amp;IF(AND(J17&gt;AC17,AJ17&gt;AC17),'Energy Efficiency Measures-DBT'!$B$25,"")</f>
        <v xml:space="preserve">, </v>
      </c>
      <c r="AS17" s="5" t="s">
        <v>300</v>
      </c>
    </row>
    <row r="18" spans="1:45">
      <c r="A18" s="48" t="s">
        <v>99</v>
      </c>
      <c r="B18" s="48" t="s">
        <v>25</v>
      </c>
      <c r="C18" s="48" t="s">
        <v>21</v>
      </c>
      <c r="D18" s="47" t="s">
        <v>10</v>
      </c>
      <c r="E18" s="498">
        <v>2.5</v>
      </c>
      <c r="F18" s="498">
        <v>2.5</v>
      </c>
      <c r="G18" s="498">
        <v>0.5</v>
      </c>
      <c r="H18" s="498">
        <v>0.35335499999999997</v>
      </c>
      <c r="I18" s="498">
        <v>0.23</v>
      </c>
      <c r="J18" s="499">
        <v>0.21837400000000001</v>
      </c>
      <c r="K18" s="45">
        <f>SUMPRODUCT('Dwelling stock'!E18:J18,'Ceiling-U'!E18:J18)/SUM('Dwelling stock'!E18:J18)</f>
        <v>1.313081111407211</v>
      </c>
      <c r="M18" s="54">
        <v>1.602751</v>
      </c>
      <c r="P18" s="44" t="s">
        <v>25</v>
      </c>
      <c r="Q18" s="392">
        <f>1/((1/$E18)+LOOKUP($A18,'Energy Efficiency Measures-DBT'!$D$11:$AN$11,'Energy Efficiency Measures-DBT'!$D$23:$AN$23))</f>
        <v>0.34482758620689657</v>
      </c>
      <c r="R18" s="393">
        <f>1/((1/$F18)+LOOKUP($A18,'Energy Efficiency Measures-DBT'!$D$11:$AN$11,'Energy Efficiency Measures-DBT'!$D$23:$AN$23))</f>
        <v>0.34482758620689657</v>
      </c>
      <c r="S18" s="393">
        <f>1/((1/$G18)+LOOKUP($A18,'Energy Efficiency Measures-DBT'!$D$11:$AN$11,'Energy Efficiency Measures-DBT'!$D$23:$AN$23))</f>
        <v>0.22222222222222221</v>
      </c>
      <c r="T18" s="393">
        <f>1/((1/$H18)+LOOKUP($A18,'Energy Efficiency Measures-DBT'!$D$11:$AN$11,'Energy Efficiency Measures-DBT'!$D$23:$AN$23))</f>
        <v>0.18761672783747368</v>
      </c>
      <c r="U18" s="393">
        <f>1/((1/$I18)+LOOKUP($A18,'Energy Efficiency Measures-DBT'!$D$11:$AN$11,'Energy Efficiency Measures-DBT'!$D$23:$AN$23))</f>
        <v>0.14603174603174604</v>
      </c>
      <c r="V18" s="306">
        <f>1/((1/$J18)+LOOKUP($A18,'Energy Efficiency Measures-DBT'!$D$11:$AN$11,'Energy Efficiency Measures-DBT'!$D$23:$AN$23))</f>
        <v>0.1412569092490952</v>
      </c>
      <c r="W18" s="221">
        <f>1/((1/$K18)+LOOKUP($A18,'Energy Efficiency Measures-DBT'!$D$11:$AN$11,'Energy Efficiency Measures-DBT'!$D$23:$AN$23))</f>
        <v>0.30660103661491667</v>
      </c>
      <c r="X18" s="392">
        <f>1/((1/$E18)+LOOKUP($A18,'Energy Efficiency Measures-DBT'!$D$11:$AN$11,'Energy Efficiency Measures-DBT'!$D$22:$AN$22))</f>
        <v>0.24096385542168672</v>
      </c>
      <c r="Y18" s="393">
        <f>1/((1/$F18)+LOOKUP($A18,'Energy Efficiency Measures-DBT'!$D$11:$AN$11,'Energy Efficiency Measures-DBT'!$D$22:$AN$22))</f>
        <v>0.24096385542168672</v>
      </c>
      <c r="Z18" s="393">
        <f>1/((1/$G18)+LOOKUP($A18,'Energy Efficiency Measures-DBT'!$D$11:$AN$11,'Energy Efficiency Measures-DBT'!$D$22:$AN$22))</f>
        <v>0.17391304347826086</v>
      </c>
      <c r="AA18" s="393">
        <f>1/((1/$H18)+LOOKUP($A18,'Energy Efficiency Measures-DBT'!$D$11:$AN$11,'Energy Efficiency Measures-DBT'!$D$22:$AN$22))</f>
        <v>0.15197533419531037</v>
      </c>
      <c r="AB18" s="393">
        <f>1/((1/$I18)+LOOKUP($A18,'Energy Efficiency Measures-DBT'!$D$11:$AN$11,'Energy Efficiency Measures-DBT'!$D$22:$AN$22))</f>
        <v>0.12348993288590604</v>
      </c>
      <c r="AC18" s="306">
        <f>1/((1/$J18)+LOOKUP($A18,'Energy Efficiency Measures-DBT'!$D$11:$AN$11,'Energy Efficiency Measures-DBT'!$D$22:$AN$22))</f>
        <v>0.12005811196586952</v>
      </c>
      <c r="AD18" s="306">
        <f>1/((1/$K18)+LOOKUP($A18,'Energy Efficiency Measures-DBT'!$D$11:$AN$11,'Energy Efficiency Measures-DBT'!$D$22:$AN$22))</f>
        <v>0.22165244851228888</v>
      </c>
      <c r="AG18" s="48" t="s">
        <v>25</v>
      </c>
      <c r="AH18" s="47" t="s">
        <v>283</v>
      </c>
      <c r="AI18" s="428">
        <v>0.25</v>
      </c>
      <c r="AJ18" s="430">
        <f>AI18</f>
        <v>0.25</v>
      </c>
      <c r="AK18" s="428">
        <f>AI18</f>
        <v>0.25</v>
      </c>
      <c r="AL18" s="430">
        <f>AK18</f>
        <v>0.25</v>
      </c>
      <c r="AM18" s="346" t="str">
        <f>IF(AND(E18&gt;Q18,AJ18&gt;Q18),'Energy Efficiency Measures-DBT'!$B$26,"")&amp;", "&amp;IF(AND(E18&gt;X18,AJ18&gt;X18),'Energy Efficiency Measures-DBT'!$B$25,"")</f>
        <v>, MR2</v>
      </c>
      <c r="AN18" s="5" t="str">
        <f>IF(AND(F18&gt;R18,AJ18&gt;R18),'Energy Efficiency Measures-DBT'!$B$26,"")&amp;", "&amp;IF(AND(F18&gt;Y18,AJ18&gt;Y18),'Energy Efficiency Measures-DBT'!$B$25,"")</f>
        <v>, MR2</v>
      </c>
      <c r="AO18" s="5" t="str">
        <f>IF(AND(G18&gt;S18,AJ18&gt;S18),'Energy Efficiency Measures-DBT'!$B$26,"")&amp;", "&amp;IF(AND(G18&gt;Z18,AJ18&gt;Z18),'Energy Efficiency Measures-DBT'!$B$25,"")</f>
        <v>MR3, MR2</v>
      </c>
      <c r="AP18" s="5" t="str">
        <f>IF(AND(H18&gt;T18,AJ18&gt;T18),'Energy Efficiency Measures-DBT'!$B$26,"")&amp;", "&amp;IF(AND(H18&gt;AA18,AJ18&gt;AA18),'Energy Efficiency Measures-DBT'!$B$25,"")</f>
        <v>MR3, MR2</v>
      </c>
      <c r="AQ18" s="5" t="str">
        <f>IF(AND(I18&gt;U18,AJ18&gt;U18),'Energy Efficiency Measures-DBT'!$B$26,"")&amp;", "&amp;IF(AND(I18&gt;AB18,AJ18&gt;AB18),'Energy Efficiency Measures-DBT'!$B$25,"")</f>
        <v>MR3, MR2</v>
      </c>
      <c r="AR18" s="426" t="str">
        <f>IF(AND(J18&gt;V18,AJ18&gt;V18),'Energy Efficiency Measures-DBT'!$B$26,"")&amp;", "&amp;IF(AND(J18&gt;AC18,AJ18&gt;AC18),'Energy Efficiency Measures-DBT'!$B$25,"")</f>
        <v>MR3, MR2</v>
      </c>
    </row>
    <row r="19" spans="1:45">
      <c r="A19" s="48" t="s">
        <v>118</v>
      </c>
      <c r="B19" s="48" t="s">
        <v>55</v>
      </c>
      <c r="C19" s="48" t="s">
        <v>56</v>
      </c>
      <c r="D19" s="47" t="s">
        <v>10</v>
      </c>
      <c r="E19" s="498">
        <v>1.1399999999999999</v>
      </c>
      <c r="F19" s="498">
        <v>1.1399999999999999</v>
      </c>
      <c r="G19" s="498">
        <v>1.1599999999999999</v>
      </c>
      <c r="H19" s="498">
        <v>1.1599999999999999</v>
      </c>
      <c r="I19" s="498">
        <v>0.69</v>
      </c>
      <c r="J19" s="499">
        <v>0.28999999999999998</v>
      </c>
      <c r="K19" s="45">
        <f>SUMPRODUCT('Dwelling stock'!E19:J19,'Ceiling-U'!E19:J19)/SUM('Dwelling stock'!E19:J19)</f>
        <v>1.0048179162668462</v>
      </c>
      <c r="M19" s="54">
        <v>0.99437299999999995</v>
      </c>
      <c r="P19" s="44" t="s">
        <v>55</v>
      </c>
      <c r="Q19" s="392">
        <f>1/((1/$E19)+LOOKUP($A19,'Energy Efficiency Measures-DBT'!$D$11:$AN$11,'Energy Efficiency Measures-DBT'!$D$23:$AN$23))</f>
        <v>0.29610389610389609</v>
      </c>
      <c r="R19" s="393">
        <f>1/((1/$F19)+LOOKUP($A19,'Energy Efficiency Measures-DBT'!$D$11:$AN$11,'Energy Efficiency Measures-DBT'!$D$23:$AN$23))</f>
        <v>0.29610389610389609</v>
      </c>
      <c r="S19" s="393">
        <f>1/((1/$G19)+LOOKUP($A19,'Energy Efficiency Measures-DBT'!$D$11:$AN$11,'Energy Efficiency Measures-DBT'!$D$23:$AN$23))</f>
        <v>0.29743589743589743</v>
      </c>
      <c r="T19" s="393">
        <f>1/((1/$H19)+LOOKUP($A19,'Energy Efficiency Measures-DBT'!$D$11:$AN$11,'Energy Efficiency Measures-DBT'!$D$23:$AN$23))</f>
        <v>0.29743589743589743</v>
      </c>
      <c r="U19" s="393">
        <f>1/((1/$I19)+LOOKUP($A19,'Energy Efficiency Measures-DBT'!$D$11:$AN$11,'Energy Efficiency Measures-DBT'!$D$23:$AN$23))</f>
        <v>0.25321100917431189</v>
      </c>
      <c r="V19" s="306">
        <f>1/((1/$J19)+LOOKUP($A19,'Energy Efficiency Measures-DBT'!$D$11:$AN$11,'Energy Efficiency Measures-DBT'!$D$23:$AN$23))</f>
        <v>0.1681159420289855</v>
      </c>
      <c r="W19" s="306">
        <f>1/((1/$K19)+LOOKUP($A19,'Energy Efficiency Measures-DBT'!$D$11:$AN$11,'Energy Efficiency Measures-DBT'!$D$23:$AN$23))</f>
        <v>0.28610623615537101</v>
      </c>
      <c r="X19" s="392">
        <f>1/((1/$E19)+LOOKUP($A19,'Energy Efficiency Measures-DBT'!$D$11:$AN$11,'Energy Efficiency Measures-DBT'!$D$22:$AN$22))</f>
        <v>0.21611374407582939</v>
      </c>
      <c r="Y19" s="393">
        <f>1/((1/$F19)+LOOKUP($A19,'Energy Efficiency Measures-DBT'!$D$11:$AN$11,'Energy Efficiency Measures-DBT'!$D$22:$AN$22))</f>
        <v>0.21611374407582939</v>
      </c>
      <c r="Z19" s="393">
        <f>1/((1/$G19)+LOOKUP($A19,'Energy Efficiency Measures-DBT'!$D$11:$AN$11,'Energy Efficiency Measures-DBT'!$D$22:$AN$22))</f>
        <v>0.21682242990654207</v>
      </c>
      <c r="AA19" s="393">
        <f>1/((1/$H19)+LOOKUP($A19,'Energy Efficiency Measures-DBT'!$D$11:$AN$11,'Energy Efficiency Measures-DBT'!$D$22:$AN$22))</f>
        <v>0.21682242990654207</v>
      </c>
      <c r="AB19" s="393">
        <f>1/((1/$I19)+LOOKUP($A19,'Energy Efficiency Measures-DBT'!$D$11:$AN$11,'Energy Efficiency Measures-DBT'!$D$22:$AN$22))</f>
        <v>0.19233449477351916</v>
      </c>
      <c r="AC19" s="306">
        <f>1/((1/$J19)+LOOKUP($A19,'Energy Efficiency Measures-DBT'!$D$11:$AN$11,'Energy Efficiency Measures-DBT'!$D$22:$AN$22))</f>
        <v>0.13892215568862273</v>
      </c>
      <c r="AD19" s="306">
        <f>1/((1/$K19)+LOOKUP($A19,'Energy Efficiency Measures-DBT'!$D$11:$AN$11,'Energy Efficiency Measures-DBT'!$D$22:$AN$22))</f>
        <v>0.21073904311102218</v>
      </c>
      <c r="AG19" s="48" t="s">
        <v>55</v>
      </c>
      <c r="AH19" s="47"/>
      <c r="AI19" s="262">
        <v>5</v>
      </c>
      <c r="AJ19" s="264">
        <v>5</v>
      </c>
      <c r="AK19" s="262">
        <v>5</v>
      </c>
      <c r="AL19" s="264">
        <v>5</v>
      </c>
      <c r="AM19" s="346" t="str">
        <f>IF(AND(E19&gt;Q19,AJ19&gt;Q19),'Energy Efficiency Measures-DBT'!$B$26,"")&amp;", "&amp;IF(AND(E19&gt;X19,AJ19&gt;X19),'Energy Efficiency Measures-DBT'!$B$25,"")</f>
        <v>MR3, MR2</v>
      </c>
      <c r="AN19" s="5" t="str">
        <f>IF(AND(F19&gt;R19,AJ19&gt;R19),'Energy Efficiency Measures-DBT'!$B$26,"")&amp;", "&amp;IF(AND(F19&gt;Y19,AJ19&gt;Y19),'Energy Efficiency Measures-DBT'!$B$25,"")</f>
        <v>MR3, MR2</v>
      </c>
      <c r="AO19" s="5" t="str">
        <f>IF(AND(G19&gt;S19,AJ19&gt;S19),'Energy Efficiency Measures-DBT'!$B$26,"")&amp;", "&amp;IF(AND(G19&gt;Z19,AJ19&gt;Z19),'Energy Efficiency Measures-DBT'!$B$25,"")</f>
        <v>MR3, MR2</v>
      </c>
      <c r="AP19" s="5" t="str">
        <f>IF(AND(H19&gt;T19,AJ19&gt;T19),'Energy Efficiency Measures-DBT'!$B$26,"")&amp;", "&amp;IF(AND(H19&gt;AA19,AJ19&gt;AA19),'Energy Efficiency Measures-DBT'!$B$25,"")</f>
        <v>MR3, MR2</v>
      </c>
      <c r="AQ19" s="5" t="str">
        <f>IF(AND(I19&gt;U19,AJ19&gt;U19),'Energy Efficiency Measures-DBT'!$B$26,"")&amp;", "&amp;IF(AND(I19&gt;AB19,AJ19&gt;AB19),'Energy Efficiency Measures-DBT'!$B$25,"")</f>
        <v>MR3, MR2</v>
      </c>
      <c r="AR19" s="426" t="str">
        <f>IF(AND(J19&gt;V19,AJ19&gt;V19),'Energy Efficiency Measures-DBT'!$B$26,"")&amp;", "&amp;IF(AND(J19&gt;AC19,AJ19&gt;AC19),'Energy Efficiency Measures-DBT'!$B$25,"")</f>
        <v>MR3, MR2</v>
      </c>
    </row>
    <row r="20" spans="1:45">
      <c r="A20" s="48" t="s">
        <v>100</v>
      </c>
      <c r="B20" s="48" t="s">
        <v>30</v>
      </c>
      <c r="C20" s="48" t="s">
        <v>14</v>
      </c>
      <c r="D20" s="47" t="s">
        <v>10</v>
      </c>
      <c r="E20" s="498">
        <v>1.2</v>
      </c>
      <c r="F20" s="498">
        <v>1.2</v>
      </c>
      <c r="G20" s="498">
        <v>0.9</v>
      </c>
      <c r="H20" s="498">
        <v>0.6</v>
      </c>
      <c r="I20" s="498">
        <v>0.6</v>
      </c>
      <c r="J20" s="499">
        <v>0.25</v>
      </c>
      <c r="K20" s="45">
        <f>SUMPRODUCT('Dwelling stock'!E20:J20,'Ceiling-U'!E20:J20)/SUM('Dwelling stock'!E20:J20)</f>
        <v>0.87927639191906659</v>
      </c>
      <c r="M20" s="54">
        <v>0.85117799999999999</v>
      </c>
      <c r="P20" s="44" t="s">
        <v>30</v>
      </c>
      <c r="Q20" s="392">
        <f>1/((1/$E20)+LOOKUP($A20,'Energy Efficiency Measures-DBT'!$D$11:$AN$11,'Energy Efficiency Measures-DBT'!$D$23:$AN$23))</f>
        <v>0.3</v>
      </c>
      <c r="R20" s="393">
        <f>1/((1/$F20)+LOOKUP($A20,'Energy Efficiency Measures-DBT'!$D$11:$AN$11,'Energy Efficiency Measures-DBT'!$D$23:$AN$23))</f>
        <v>0.3</v>
      </c>
      <c r="S20" s="393">
        <f>1/((1/$G20)+LOOKUP($A20,'Energy Efficiency Measures-DBT'!$D$11:$AN$11,'Energy Efficiency Measures-DBT'!$D$23:$AN$23))</f>
        <v>0.27692307692307694</v>
      </c>
      <c r="T20" s="393">
        <f>1/((1/$H20)+LOOKUP($A20,'Energy Efficiency Measures-DBT'!$D$11:$AN$11,'Energy Efficiency Measures-DBT'!$D$23:$AN$23))</f>
        <v>0.24</v>
      </c>
      <c r="U20" s="393">
        <f>1/((1/$I20)+LOOKUP($A20,'Energy Efficiency Measures-DBT'!$D$11:$AN$11,'Energy Efficiency Measures-DBT'!$D$23:$AN$23))</f>
        <v>0.24</v>
      </c>
      <c r="V20" s="306">
        <f>1/((1/$J20)+LOOKUP($A20,'Energy Efficiency Measures-DBT'!$D$11:$AN$11,'Energy Efficiency Measures-DBT'!$D$23:$AN$23))</f>
        <v>0.15384615384615385</v>
      </c>
      <c r="W20" s="306">
        <f>1/((1/$K20)+LOOKUP($A20,'Energy Efficiency Measures-DBT'!$D$11:$AN$11,'Energy Efficiency Measures-DBT'!$D$23:$AN$23))</f>
        <v>0.27492929517758002</v>
      </c>
      <c r="X20" s="392">
        <f>1/((1/$E20)+LOOKUP($A20,'Energy Efficiency Measures-DBT'!$D$11:$AN$11,'Energy Efficiency Measures-DBT'!$D$22:$AN$22))</f>
        <v>0.2181818181818182</v>
      </c>
      <c r="Y20" s="393">
        <f>1/((1/$F20)+LOOKUP($A20,'Energy Efficiency Measures-DBT'!$D$11:$AN$11,'Energy Efficiency Measures-DBT'!$D$22:$AN$22))</f>
        <v>0.2181818181818182</v>
      </c>
      <c r="Z20" s="393">
        <f>1/((1/$G20)+LOOKUP($A20,'Energy Efficiency Measures-DBT'!$D$11:$AN$11,'Energy Efficiency Measures-DBT'!$D$22:$AN$22))</f>
        <v>0.20571428571428574</v>
      </c>
      <c r="AA20" s="393">
        <f>1/((1/$H20)+LOOKUP($A20,'Energy Efficiency Measures-DBT'!$D$11:$AN$11,'Energy Efficiency Measures-DBT'!$D$22:$AN$22))</f>
        <v>0.1846153846153846</v>
      </c>
      <c r="AB20" s="393">
        <f>1/((1/$I20)+LOOKUP($A20,'Energy Efficiency Measures-DBT'!$D$11:$AN$11,'Energy Efficiency Measures-DBT'!$D$22:$AN$22))</f>
        <v>0.1846153846153846</v>
      </c>
      <c r="AC20" s="306">
        <f>1/((1/$J20)+LOOKUP($A20,'Energy Efficiency Measures-DBT'!$D$11:$AN$11,'Energy Efficiency Measures-DBT'!$D$22:$AN$22))</f>
        <v>0.12903225806451613</v>
      </c>
      <c r="AD20" s="306">
        <f>1/((1/$K20)+LOOKUP($A20,'Energy Efficiency Measures-DBT'!$D$11:$AN$11,'Energy Efficiency Measures-DBT'!$D$22:$AN$22))</f>
        <v>0.20461200297432497</v>
      </c>
      <c r="AG20" s="48" t="s">
        <v>30</v>
      </c>
      <c r="AH20" s="47"/>
      <c r="AI20" s="262">
        <v>5</v>
      </c>
      <c r="AJ20" s="264">
        <v>5</v>
      </c>
      <c r="AK20" s="262">
        <v>5</v>
      </c>
      <c r="AL20" s="264">
        <v>5</v>
      </c>
      <c r="AM20" s="346" t="str">
        <f>IF(AND(E20&gt;Q20,AJ20&gt;Q20),'Energy Efficiency Measures-DBT'!$B$26,"")&amp;", "&amp;IF(AND(E20&gt;X20,AJ20&gt;X20),'Energy Efficiency Measures-DBT'!$B$25,"")</f>
        <v>MR3, MR2</v>
      </c>
      <c r="AN20" s="5" t="str">
        <f>IF(AND(F20&gt;R20,AJ20&gt;R20),'Energy Efficiency Measures-DBT'!$B$26,"")&amp;", "&amp;IF(AND(F20&gt;Y20,AJ20&gt;Y20),'Energy Efficiency Measures-DBT'!$B$25,"")</f>
        <v>MR3, MR2</v>
      </c>
      <c r="AO20" s="5" t="str">
        <f>IF(AND(G20&gt;S20,AJ20&gt;S20),'Energy Efficiency Measures-DBT'!$B$26,"")&amp;", "&amp;IF(AND(G20&gt;Z20,AJ20&gt;Z20),'Energy Efficiency Measures-DBT'!$B$25,"")</f>
        <v>MR3, MR2</v>
      </c>
      <c r="AP20" s="5" t="str">
        <f>IF(AND(H20&gt;T20,AJ20&gt;T20),'Energy Efficiency Measures-DBT'!$B$26,"")&amp;", "&amp;IF(AND(H20&gt;AA20,AJ20&gt;AA20),'Energy Efficiency Measures-DBT'!$B$25,"")</f>
        <v>MR3, MR2</v>
      </c>
      <c r="AQ20" s="5" t="str">
        <f>IF(AND(I20&gt;U20,AJ20&gt;U20),'Energy Efficiency Measures-DBT'!$B$26,"")&amp;", "&amp;IF(AND(I20&gt;AB20,AJ20&gt;AB20),'Energy Efficiency Measures-DBT'!$B$25,"")</f>
        <v>MR3, MR2</v>
      </c>
      <c r="AR20" s="426" t="str">
        <f>IF(AND(J20&gt;V20,AJ20&gt;V20),'Energy Efficiency Measures-DBT'!$B$26,"")&amp;", "&amp;IF(AND(J20&gt;AC20,AJ20&gt;AC20),'Energy Efficiency Measures-DBT'!$B$25,"")</f>
        <v>MR3, MR2</v>
      </c>
    </row>
    <row r="21" spans="1:45">
      <c r="A21" s="48" t="s">
        <v>101</v>
      </c>
      <c r="B21" s="48" t="s">
        <v>31</v>
      </c>
      <c r="C21" s="48" t="s">
        <v>32</v>
      </c>
      <c r="D21" s="47" t="s">
        <v>10</v>
      </c>
      <c r="E21" s="498">
        <v>2.410685</v>
      </c>
      <c r="F21" s="498">
        <v>2.543234</v>
      </c>
      <c r="G21" s="498">
        <v>1.2412099999999999</v>
      </c>
      <c r="H21" s="498">
        <v>0.45</v>
      </c>
      <c r="I21" s="498">
        <v>0.45</v>
      </c>
      <c r="J21" s="499">
        <v>0.31040299999999998</v>
      </c>
      <c r="K21" s="45">
        <f>SUMPRODUCT('Dwelling stock'!E21:J21,'Ceiling-U'!E21:J21)/SUM('Dwelling stock'!E21:J21)</f>
        <v>1.1618775803791077</v>
      </c>
      <c r="M21" s="54" t="s">
        <v>17</v>
      </c>
      <c r="P21" s="44" t="s">
        <v>31</v>
      </c>
      <c r="Q21" s="392">
        <f>1/((1/$E21)+LOOKUP($A21,'Energy Efficiency Measures-DBT'!$D$11:$AN$11,'Energy Efficiency Measures-DBT'!$D$23:$AN$23))</f>
        <v>0.34307437510784738</v>
      </c>
      <c r="R21" s="393">
        <f>1/((1/$F21)+LOOKUP($A21,'Energy Efficiency Measures-DBT'!$D$11:$AN$11,'Energy Efficiency Measures-DBT'!$D$23:$AN$23))</f>
        <v>0.34563802946011091</v>
      </c>
      <c r="S21" s="393">
        <f>1/((1/$G21)+LOOKUP($A21,'Energy Efficiency Measures-DBT'!$D$11:$AN$11,'Energy Efficiency Measures-DBT'!$D$23:$AN$23))</f>
        <v>0.30251095228520419</v>
      </c>
      <c r="T21" s="393">
        <f>1/((1/$H21)+LOOKUP($A21,'Energy Efficiency Measures-DBT'!$D$11:$AN$11,'Energy Efficiency Measures-DBT'!$D$23:$AN$23))</f>
        <v>0.21176470588235294</v>
      </c>
      <c r="U21" s="393">
        <f>1/((1/$I21)+LOOKUP($A21,'Energy Efficiency Measures-DBT'!$D$11:$AN$11,'Energy Efficiency Measures-DBT'!$D$23:$AN$23))</f>
        <v>0.21176470588235294</v>
      </c>
      <c r="V21" s="306">
        <f>1/((1/$J21)+LOOKUP($A21,'Energy Efficiency Measures-DBT'!$D$11:$AN$11,'Energy Efficiency Measures-DBT'!$D$23:$AN$23))</f>
        <v>0.17477572589079721</v>
      </c>
      <c r="W21" s="306">
        <f>1/((1/$K21)+LOOKUP($A21,'Energy Efficiency Measures-DBT'!$D$11:$AN$11,'Energy Efficiency Measures-DBT'!$D$23:$AN$23))</f>
        <v>0.29755919285225679</v>
      </c>
      <c r="X21" s="392">
        <f>1/((1/$E21)+LOOKUP($A21,'Energy Efficiency Measures-DBT'!$D$11:$AN$11,'Energy Efficiency Measures-DBT'!$D$22:$AN$22))</f>
        <v>0.24010642357404177</v>
      </c>
      <c r="Y21" s="393">
        <f>1/((1/$F21)+LOOKUP($A21,'Energy Efficiency Measures-DBT'!$D$11:$AN$11,'Energy Efficiency Measures-DBT'!$D$22:$AN$22))</f>
        <v>0.2413593268184332</v>
      </c>
      <c r="Z21" s="393">
        <f>1/((1/$G21)+LOOKUP($A21,'Energy Efficiency Measures-DBT'!$D$11:$AN$11,'Energy Efficiency Measures-DBT'!$D$22:$AN$22))</f>
        <v>0.2195069004317329</v>
      </c>
      <c r="AA21" s="393">
        <f>1/((1/$H21)+LOOKUP($A21,'Energy Efficiency Measures-DBT'!$D$11:$AN$11,'Energy Efficiency Measures-DBT'!$D$22:$AN$22))</f>
        <v>0.16744186046511628</v>
      </c>
      <c r="AB21" s="393">
        <f>1/((1/$I21)+LOOKUP($A21,'Energy Efficiency Measures-DBT'!$D$11:$AN$11,'Energy Efficiency Measures-DBT'!$D$22:$AN$22))</f>
        <v>0.16744186046511628</v>
      </c>
      <c r="AC21" s="306">
        <f>1/((1/$J21)+LOOKUP($A21,'Energy Efficiency Measures-DBT'!$D$11:$AN$11,'Energy Efficiency Measures-DBT'!$D$22:$AN$22))</f>
        <v>0.14343871825989815</v>
      </c>
      <c r="AD21" s="306">
        <f>1/((1/$K21)+LOOKUP($A21,'Energy Efficiency Measures-DBT'!$D$11:$AN$11,'Energy Efficiency Measures-DBT'!$D$22:$AN$22))</f>
        <v>0.21688794174570697</v>
      </c>
      <c r="AG21" s="48" t="s">
        <v>31</v>
      </c>
      <c r="AH21" s="47"/>
      <c r="AI21" s="262">
        <v>5</v>
      </c>
      <c r="AJ21" s="264">
        <v>5</v>
      </c>
      <c r="AK21" s="262">
        <v>5</v>
      </c>
      <c r="AL21" s="264">
        <v>5</v>
      </c>
      <c r="AM21" s="346" t="str">
        <f>IF(AND(E21&gt;Q21,AJ21&gt;Q21),'Energy Efficiency Measures-DBT'!$B$26,"")&amp;", "&amp;IF(AND(E21&gt;X21,AJ21&gt;X21),'Energy Efficiency Measures-DBT'!$B$25,"")</f>
        <v>MR3, MR2</v>
      </c>
      <c r="AN21" s="5" t="str">
        <f>IF(AND(F21&gt;R21,AJ21&gt;R21),'Energy Efficiency Measures-DBT'!$B$26,"")&amp;", "&amp;IF(AND(F21&gt;Y21,AJ21&gt;Y21),'Energy Efficiency Measures-DBT'!$B$25,"")</f>
        <v>MR3, MR2</v>
      </c>
      <c r="AO21" s="5" t="str">
        <f>IF(AND(G21&gt;S21,AJ21&gt;S21),'Energy Efficiency Measures-DBT'!$B$26,"")&amp;", "&amp;IF(AND(G21&gt;Z21,AJ21&gt;Z21),'Energy Efficiency Measures-DBT'!$B$25,"")</f>
        <v>MR3, MR2</v>
      </c>
      <c r="AP21" s="5" t="str">
        <f>IF(AND(H21&gt;T21,AJ21&gt;T21),'Energy Efficiency Measures-DBT'!$B$26,"")&amp;", "&amp;IF(AND(H21&gt;AA21,AJ21&gt;AA21),'Energy Efficiency Measures-DBT'!$B$25,"")</f>
        <v>MR3, MR2</v>
      </c>
      <c r="AQ21" s="5" t="str">
        <f>IF(AND(I21&gt;U21,AJ21&gt;U21),'Energy Efficiency Measures-DBT'!$B$26,"")&amp;", "&amp;IF(AND(I21&gt;AB21,AJ21&gt;AB21),'Energy Efficiency Measures-DBT'!$B$25,"")</f>
        <v>MR3, MR2</v>
      </c>
      <c r="AR21" s="426" t="str">
        <f>IF(AND(J21&gt;V21,AJ21&gt;V21),'Energy Efficiency Measures-DBT'!$B$26,"")&amp;", "&amp;IF(AND(J21&gt;AC21,AJ21&gt;AC21),'Energy Efficiency Measures-DBT'!$B$25,"")</f>
        <v>MR3, MR2</v>
      </c>
    </row>
    <row r="22" spans="1:45">
      <c r="A22" s="28" t="s">
        <v>102</v>
      </c>
      <c r="B22" s="28" t="s">
        <v>63</v>
      </c>
      <c r="C22" s="28"/>
      <c r="D22" s="426" t="s">
        <v>10</v>
      </c>
      <c r="E22" s="498">
        <v>0.4</v>
      </c>
      <c r="F22" s="498">
        <v>0.38</v>
      </c>
      <c r="G22" s="498">
        <v>0.28999999999999998</v>
      </c>
      <c r="H22" s="498">
        <v>0.22500000000000001</v>
      </c>
      <c r="I22" s="498">
        <v>0.22</v>
      </c>
      <c r="J22" s="499">
        <v>0.18</v>
      </c>
      <c r="K22" s="45">
        <f>SUMPRODUCT('Dwelling stock'!E22:J22,'Ceiling-U'!E22:J22)/SUM('Dwelling stock'!E22:J22)</f>
        <v>0.29713665480992402</v>
      </c>
      <c r="M22" s="28"/>
      <c r="P22" s="346" t="s">
        <v>63</v>
      </c>
      <c r="Q22" s="392">
        <f>1/((1/$E22)+LOOKUP($A22,'Energy Efficiency Measures-DBT'!$D$11:$AN$11,'Energy Efficiency Measures-DBT'!$D$23:$AN$23))</f>
        <v>0.2</v>
      </c>
      <c r="R22" s="393">
        <f>1/((1/$F22)+LOOKUP($A22,'Energy Efficiency Measures-DBT'!$D$11:$AN$11,'Energy Efficiency Measures-DBT'!$D$23:$AN$23))</f>
        <v>0.19487179487179487</v>
      </c>
      <c r="S22" s="393">
        <f>1/((1/$G22)+LOOKUP($A22,'Energy Efficiency Measures-DBT'!$D$11:$AN$11,'Energy Efficiency Measures-DBT'!$D$23:$AN$23))</f>
        <v>0.1681159420289855</v>
      </c>
      <c r="T22" s="393">
        <f>1/((1/$H22)+LOOKUP($A22,'Energy Efficiency Measures-DBT'!$D$11:$AN$11,'Energy Efficiency Measures-DBT'!$D$23:$AN$23))</f>
        <v>0.14399999999999999</v>
      </c>
      <c r="U22" s="393">
        <f>1/((1/$I22)+LOOKUP($A22,'Energy Efficiency Measures-DBT'!$D$11:$AN$11,'Energy Efficiency Measures-DBT'!$D$23:$AN$23))</f>
        <v>0.14193548387096774</v>
      </c>
      <c r="V22" s="306">
        <f>1/((1/$J22)+LOOKUP($A22,'Energy Efficiency Measures-DBT'!$D$11:$AN$11,'Energy Efficiency Measures-DBT'!$D$23:$AN$23))</f>
        <v>0.12413793103448276</v>
      </c>
      <c r="W22" s="306">
        <f>1/((1/$K22)+LOOKUP($A22,'Energy Efficiency Measures-DBT'!$D$11:$AN$11,'Energy Efficiency Measures-DBT'!$D$23:$AN$23))</f>
        <v>0.17048976137451216</v>
      </c>
      <c r="X22" s="398">
        <f>1/((1/$E22)+LOOKUP($A22,'Energy Efficiency Measures-DBT'!$D$11:$AN$11,'Energy Efficiency Measures-DBT'!$D$22:$AN$22))</f>
        <v>0.16</v>
      </c>
      <c r="Y22" s="92">
        <f>1/((1/$F22)+LOOKUP($A22,'Energy Efficiency Measures-DBT'!$D$11:$AN$11,'Energy Efficiency Measures-DBT'!$D$22:$AN$22))</f>
        <v>0.15670103092783505</v>
      </c>
      <c r="Z22" s="92">
        <f>1/((1/$G22)+LOOKUP($A22,'Energy Efficiency Measures-DBT'!$D$11:$AN$11,'Energy Efficiency Measures-DBT'!$D$22:$AN$22))</f>
        <v>0.13892215568862273</v>
      </c>
      <c r="AA22" s="92">
        <f>1/((1/$H22)+LOOKUP($A22,'Energy Efficiency Measures-DBT'!$D$11:$AN$11,'Energy Efficiency Measures-DBT'!$D$22:$AN$22))</f>
        <v>0.12203389830508474</v>
      </c>
      <c r="AB22" s="92">
        <f>1/((1/$I22)+LOOKUP($A22,'Energy Efficiency Measures-DBT'!$D$11:$AN$11,'Energy Efficiency Measures-DBT'!$D$22:$AN$22))</f>
        <v>0.12054794520547943</v>
      </c>
      <c r="AC22" s="399">
        <f>1/((1/$J22)+LOOKUP($A22,'Energy Efficiency Measures-DBT'!$D$11:$AN$11,'Energy Efficiency Measures-DBT'!$D$22:$AN$22))</f>
        <v>0.10746268656716418</v>
      </c>
      <c r="AD22" s="306">
        <f>1/((1/$K22)+LOOKUP($A22,'Energy Efficiency Measures-DBT'!$D$11:$AN$11,'Energy Efficiency Measures-DBT'!$D$22:$AN$22))</f>
        <v>0.14053915304210624</v>
      </c>
      <c r="AG22" s="28" t="s">
        <v>63</v>
      </c>
      <c r="AH22" s="426"/>
      <c r="AI22" s="262">
        <v>5</v>
      </c>
      <c r="AJ22" s="264">
        <v>5</v>
      </c>
      <c r="AK22" s="262">
        <v>5</v>
      </c>
      <c r="AL22" s="264">
        <v>5</v>
      </c>
      <c r="AM22" s="346" t="str">
        <f>IF(AND(E22&gt;Q22,AJ22&gt;Q22),'Energy Efficiency Measures-DBT'!$B$26,"")&amp;", "&amp;IF(AND(E22&gt;X22,AJ22&gt;X22),'Energy Efficiency Measures-DBT'!$B$25,"")</f>
        <v>MR3, MR2</v>
      </c>
      <c r="AN22" s="5" t="str">
        <f>IF(AND(F22&gt;R22,AJ22&gt;R22),'Energy Efficiency Measures-DBT'!$B$26,"")&amp;", "&amp;IF(AND(F22&gt;Y22,AJ22&gt;Y22),'Energy Efficiency Measures-DBT'!$B$25,"")</f>
        <v>MR3, MR2</v>
      </c>
      <c r="AO22" s="5" t="str">
        <f>IF(AND(G22&gt;S22,AJ22&gt;S22),'Energy Efficiency Measures-DBT'!$B$26,"")&amp;", "&amp;IF(AND(G22&gt;Z22,AJ22&gt;Z22),'Energy Efficiency Measures-DBT'!$B$25,"")</f>
        <v>MR3, MR2</v>
      </c>
      <c r="AP22" s="5" t="str">
        <f>IF(AND(H22&gt;T22,AJ22&gt;T22),'Energy Efficiency Measures-DBT'!$B$26,"")&amp;", "&amp;IF(AND(H22&gt;AA22,AJ22&gt;AA22),'Energy Efficiency Measures-DBT'!$B$25,"")</f>
        <v>MR3, MR2</v>
      </c>
      <c r="AQ22" s="5" t="str">
        <f>IF(AND(I22&gt;U22,AJ22&gt;U22),'Energy Efficiency Measures-DBT'!$B$26,"")&amp;", "&amp;IF(AND(I22&gt;AB22,AJ22&gt;AB22),'Energy Efficiency Measures-DBT'!$B$25,"")</f>
        <v>MR3, MR2</v>
      </c>
      <c r="AR22" s="426" t="str">
        <f>IF(AND(J22&gt;V22,AJ22&gt;V22),'Energy Efficiency Measures-DBT'!$B$26,"")&amp;", "&amp;IF(AND(J22&gt;AC22,AJ22&gt;AC22),'Energy Efficiency Measures-DBT'!$B$25,"")</f>
        <v>MR3, MR2</v>
      </c>
    </row>
    <row r="23" spans="1:45">
      <c r="A23" s="48" t="s">
        <v>103</v>
      </c>
      <c r="B23" s="48" t="s">
        <v>33</v>
      </c>
      <c r="C23" s="48" t="s">
        <v>34</v>
      </c>
      <c r="D23" s="47" t="s">
        <v>10</v>
      </c>
      <c r="E23" s="498">
        <v>2</v>
      </c>
      <c r="F23" s="498">
        <v>1.9</v>
      </c>
      <c r="G23" s="498">
        <v>1.8</v>
      </c>
      <c r="H23" s="498">
        <v>1.4</v>
      </c>
      <c r="I23" s="498">
        <v>1.2</v>
      </c>
      <c r="J23" s="499">
        <v>1.2</v>
      </c>
      <c r="K23" s="45">
        <f>SUMPRODUCT('Dwelling stock'!E23:J23,'Ceiling-U'!E23:J23)/SUM('Dwelling stock'!E23:J23)</f>
        <v>1.7717679766775531</v>
      </c>
      <c r="M23" s="54">
        <v>1.7884059999999999</v>
      </c>
      <c r="P23" s="44" t="s">
        <v>33</v>
      </c>
      <c r="Q23" s="392">
        <f>1/((1/$E23)+LOOKUP($A23,'Energy Efficiency Measures-DBT'!$D$11:$AN$11,'Energy Efficiency Measures-DBT'!$D$23:$AN$23))</f>
        <v>0.33333333333333331</v>
      </c>
      <c r="R23" s="393">
        <f>1/((1/$F23)+LOOKUP($A23,'Energy Efficiency Measures-DBT'!$D$11:$AN$11,'Energy Efficiency Measures-DBT'!$D$23:$AN$23))</f>
        <v>0.33043478260869569</v>
      </c>
      <c r="S23" s="393">
        <f>1/((1/$G23)+LOOKUP($A23,'Energy Efficiency Measures-DBT'!$D$11:$AN$11,'Energy Efficiency Measures-DBT'!$D$23:$AN$23))</f>
        <v>0.32727272727272727</v>
      </c>
      <c r="T23" s="393">
        <f>1/((1/$H23)+LOOKUP($A23,'Energy Efficiency Measures-DBT'!$D$11:$AN$11,'Energy Efficiency Measures-DBT'!$D$23:$AN$23))</f>
        <v>0.31111111111111112</v>
      </c>
      <c r="U23" s="393">
        <f>1/((1/$I23)+LOOKUP($A23,'Energy Efficiency Measures-DBT'!$D$11:$AN$11,'Energy Efficiency Measures-DBT'!$D$23:$AN$23))</f>
        <v>0.3</v>
      </c>
      <c r="V23" s="306">
        <f>1/((1/$J23)+LOOKUP($A23,'Energy Efficiency Measures-DBT'!$D$11:$AN$11,'Energy Efficiency Measures-DBT'!$D$23:$AN$23))</f>
        <v>0.3</v>
      </c>
      <c r="W23" s="306">
        <f>1/((1/$K23)+LOOKUP($A23,'Energy Efficiency Measures-DBT'!$D$11:$AN$11,'Energy Efficiency Measures-DBT'!$D$23:$AN$23))</f>
        <v>0.3263273048878943</v>
      </c>
      <c r="X23" s="392">
        <f>1/((1/$E23)+LOOKUP($A23,'Energy Efficiency Measures-DBT'!$D$11:$AN$11,'Energy Efficiency Measures-DBT'!$D$22:$AN$22))</f>
        <v>0.23529411764705882</v>
      </c>
      <c r="Y23" s="393">
        <f>1/((1/$F23)+LOOKUP($A23,'Energy Efficiency Measures-DBT'!$D$11:$AN$11,'Energy Efficiency Measures-DBT'!$D$22:$AN$22))</f>
        <v>0.23384615384615384</v>
      </c>
      <c r="Z23" s="393">
        <f>1/((1/$G23)+LOOKUP($A23,'Energy Efficiency Measures-DBT'!$D$11:$AN$11,'Energy Efficiency Measures-DBT'!$D$22:$AN$22))</f>
        <v>0.23225806451612904</v>
      </c>
      <c r="AA23" s="393">
        <f>1/((1/$H23)+LOOKUP($A23,'Energy Efficiency Measures-DBT'!$D$11:$AN$11,'Energy Efficiency Measures-DBT'!$D$22:$AN$22))</f>
        <v>0.224</v>
      </c>
      <c r="AB23" s="393">
        <f>1/((1/$I23)+LOOKUP($A23,'Energy Efficiency Measures-DBT'!$D$11:$AN$11,'Energy Efficiency Measures-DBT'!$D$22:$AN$22))</f>
        <v>0.2181818181818182</v>
      </c>
      <c r="AC23" s="306">
        <f>1/((1/$J23)+LOOKUP($A23,'Energy Efficiency Measures-DBT'!$D$11:$AN$11,'Energy Efficiency Measures-DBT'!$D$22:$AN$22))</f>
        <v>0.2181818181818182</v>
      </c>
      <c r="AD23" s="306">
        <f>1/((1/$K23)+LOOKUP($A23,'Energy Efficiency Measures-DBT'!$D$11:$AN$11,'Energy Efficiency Measures-DBT'!$D$22:$AN$22))</f>
        <v>0.23178151038103392</v>
      </c>
      <c r="AG23" s="48" t="s">
        <v>33</v>
      </c>
      <c r="AH23" s="47" t="s">
        <v>283</v>
      </c>
      <c r="AI23" s="428">
        <v>0.38</v>
      </c>
      <c r="AJ23" s="430">
        <f>AI23</f>
        <v>0.38</v>
      </c>
      <c r="AK23" s="428">
        <f>AI23</f>
        <v>0.38</v>
      </c>
      <c r="AL23" s="430">
        <f>AK23</f>
        <v>0.38</v>
      </c>
      <c r="AM23" s="346" t="str">
        <f>IF(AND(E23&gt;Q23,AJ23&gt;Q23),'Energy Efficiency Measures-DBT'!$B$26,"")&amp;", "&amp;IF(AND(E23&gt;X23,AJ23&gt;X23),'Energy Efficiency Measures-DBT'!$B$25,"")</f>
        <v>MR3, MR2</v>
      </c>
      <c r="AN23" s="5" t="str">
        <f>IF(AND(F23&gt;R23,AJ23&gt;R23),'Energy Efficiency Measures-DBT'!$B$26,"")&amp;", "&amp;IF(AND(F23&gt;Y23,AJ23&gt;Y23),'Energy Efficiency Measures-DBT'!$B$25,"")</f>
        <v>MR3, MR2</v>
      </c>
      <c r="AO23" s="5" t="str">
        <f>IF(AND(G23&gt;S23,AJ23&gt;S23),'Energy Efficiency Measures-DBT'!$B$26,"")&amp;", "&amp;IF(AND(G23&gt;Z23,AJ23&gt;Z23),'Energy Efficiency Measures-DBT'!$B$25,"")</f>
        <v>MR3, MR2</v>
      </c>
      <c r="AP23" s="5" t="str">
        <f>IF(AND(H23&gt;T23,AJ23&gt;T23),'Energy Efficiency Measures-DBT'!$B$26,"")&amp;", "&amp;IF(AND(H23&gt;AA23,AJ23&gt;AA23),'Energy Efficiency Measures-DBT'!$B$25,"")</f>
        <v>MR3, MR2</v>
      </c>
      <c r="AQ23" s="5" t="str">
        <f>IF(AND(I23&gt;U23,AJ23&gt;U23),'Energy Efficiency Measures-DBT'!$B$26,"")&amp;", "&amp;IF(AND(I23&gt;AB23,AJ23&gt;AB23),'Energy Efficiency Measures-DBT'!$B$25,"")</f>
        <v>MR3, MR2</v>
      </c>
      <c r="AR23" s="426" t="str">
        <f>IF(AND(J23&gt;V23,AJ23&gt;V23),'Energy Efficiency Measures-DBT'!$B$26,"")&amp;", "&amp;IF(AND(J23&gt;AC23,AJ23&gt;AC23),'Energy Efficiency Measures-DBT'!$B$25,"")</f>
        <v>MR3, MR2</v>
      </c>
    </row>
    <row r="24" spans="1:45">
      <c r="A24" s="48" t="s">
        <v>122</v>
      </c>
      <c r="B24" s="48" t="s">
        <v>201</v>
      </c>
      <c r="C24" s="48"/>
      <c r="D24" s="47" t="s">
        <v>10</v>
      </c>
      <c r="E24" s="498">
        <v>1.1599999999999999</v>
      </c>
      <c r="F24" s="498">
        <v>1.1599999999999999</v>
      </c>
      <c r="G24" s="498">
        <v>1.1599999999999999</v>
      </c>
      <c r="H24" s="498">
        <v>0.75</v>
      </c>
      <c r="I24" s="498">
        <v>0.6</v>
      </c>
      <c r="J24" s="499">
        <v>0.45</v>
      </c>
      <c r="K24" s="45">
        <f>SUMPRODUCT('Dwelling stock'!E24:J24,'Ceiling-U'!E24:J24)/SUM('Dwelling stock'!E24:J24)</f>
        <v>0.98222750033822659</v>
      </c>
      <c r="M24" s="28"/>
      <c r="P24" s="44" t="s">
        <v>201</v>
      </c>
      <c r="Q24" s="392">
        <f>1/((1/$E24)+LOOKUP($A24,'Energy Efficiency Measures-DBT'!$D$11:$AN$11,'Energy Efficiency Measures-DBT'!$D$23:$AN$23))</f>
        <v>0.29743589743589743</v>
      </c>
      <c r="R24" s="393">
        <f>1/((1/$F24)+LOOKUP($A24,'Energy Efficiency Measures-DBT'!$D$11:$AN$11,'Energy Efficiency Measures-DBT'!$D$23:$AN$23))</f>
        <v>0.29743589743589743</v>
      </c>
      <c r="S24" s="393">
        <f>1/((1/$G24)+LOOKUP($A24,'Energy Efficiency Measures-DBT'!$D$11:$AN$11,'Energy Efficiency Measures-DBT'!$D$23:$AN$23))</f>
        <v>0.29743589743589743</v>
      </c>
      <c r="T24" s="393">
        <f>1/((1/$H24)+LOOKUP($A24,'Energy Efficiency Measures-DBT'!$D$11:$AN$11,'Energy Efficiency Measures-DBT'!$D$23:$AN$23))</f>
        <v>0.2608695652173913</v>
      </c>
      <c r="U24" s="393">
        <f>1/((1/$I24)+LOOKUP($A24,'Energy Efficiency Measures-DBT'!$D$11:$AN$11,'Energy Efficiency Measures-DBT'!$D$23:$AN$23))</f>
        <v>0.24</v>
      </c>
      <c r="V24" s="306">
        <f>1/((1/$J24)+LOOKUP($A24,'Energy Efficiency Measures-DBT'!$D$11:$AN$11,'Energy Efficiency Measures-DBT'!$D$23:$AN$23))</f>
        <v>0.21176470588235294</v>
      </c>
      <c r="W24" s="306">
        <f>1/((1/$K24)+LOOKUP($A24,'Energy Efficiency Measures-DBT'!$D$11:$AN$11,'Energy Efficiency Measures-DBT'!$D$23:$AN$23))</f>
        <v>0.28424481500993976</v>
      </c>
      <c r="X24" s="392">
        <f>1/((1/$E24)+LOOKUP($A24,'Energy Efficiency Measures-DBT'!$D$11:$AN$11,'Energy Efficiency Measures-DBT'!$D$22:$AN$22))</f>
        <v>0.21682242990654207</v>
      </c>
      <c r="Y24" s="393">
        <f>1/((1/$F24)+LOOKUP($A24,'Energy Efficiency Measures-DBT'!$D$11:$AN$11,'Energy Efficiency Measures-DBT'!$D$22:$AN$22))</f>
        <v>0.21682242990654207</v>
      </c>
      <c r="Z24" s="393">
        <f>1/((1/$G24)+LOOKUP($A24,'Energy Efficiency Measures-DBT'!$D$11:$AN$11,'Energy Efficiency Measures-DBT'!$D$22:$AN$22))</f>
        <v>0.21682242990654207</v>
      </c>
      <c r="AA24" s="393">
        <f>1/((1/$H24)+LOOKUP($A24,'Energy Efficiency Measures-DBT'!$D$11:$AN$11,'Energy Efficiency Measures-DBT'!$D$22:$AN$22))</f>
        <v>0.19672131147540986</v>
      </c>
      <c r="AB24" s="393">
        <f>1/((1/$I24)+LOOKUP($A24,'Energy Efficiency Measures-DBT'!$D$11:$AN$11,'Energy Efficiency Measures-DBT'!$D$22:$AN$22))</f>
        <v>0.1846153846153846</v>
      </c>
      <c r="AC24" s="306">
        <f>1/((1/$J24)+LOOKUP($A24,'Energy Efficiency Measures-DBT'!$D$11:$AN$11,'Energy Efficiency Measures-DBT'!$D$22:$AN$22))</f>
        <v>0.16744186046511628</v>
      </c>
      <c r="AD24" s="306">
        <f>1/((1/$K24)+LOOKUP($A24,'Energy Efficiency Measures-DBT'!$D$11:$AN$11,'Energy Efficiency Measures-DBT'!$D$22:$AN$22))</f>
        <v>0.20972740552682942</v>
      </c>
      <c r="AG24" s="48" t="s">
        <v>201</v>
      </c>
      <c r="AH24" s="47"/>
      <c r="AI24" s="262">
        <v>5</v>
      </c>
      <c r="AJ24" s="264">
        <v>5</v>
      </c>
      <c r="AK24" s="262">
        <v>5</v>
      </c>
      <c r="AL24" s="264">
        <v>5</v>
      </c>
      <c r="AM24" s="346" t="str">
        <f>IF(AND(E24&gt;Q24,AJ24&gt;Q24),'Energy Efficiency Measures-DBT'!$B$26,"")&amp;", "&amp;IF(AND(E24&gt;X24,AJ24&gt;X24),'Energy Efficiency Measures-DBT'!$B$25,"")</f>
        <v>MR3, MR2</v>
      </c>
      <c r="AN24" s="5" t="str">
        <f>IF(AND(F24&gt;R24,AJ24&gt;R24),'Energy Efficiency Measures-DBT'!$B$26,"")&amp;", "&amp;IF(AND(F24&gt;Y24,AJ24&gt;Y24),'Energy Efficiency Measures-DBT'!$B$25,"")</f>
        <v>MR3, MR2</v>
      </c>
      <c r="AO24" s="5" t="str">
        <f>IF(AND(G24&gt;S24,AJ24&gt;S24),'Energy Efficiency Measures-DBT'!$B$26,"")&amp;", "&amp;IF(AND(G24&gt;Z24,AJ24&gt;Z24),'Energy Efficiency Measures-DBT'!$B$25,"")</f>
        <v>MR3, MR2</v>
      </c>
      <c r="AP24" s="5" t="str">
        <f>IF(AND(H24&gt;T24,AJ24&gt;T24),'Energy Efficiency Measures-DBT'!$B$26,"")&amp;", "&amp;IF(AND(H24&gt;AA24,AJ24&gt;AA24),'Energy Efficiency Measures-DBT'!$B$25,"")</f>
        <v>MR3, MR2</v>
      </c>
      <c r="AQ24" s="5" t="str">
        <f>IF(AND(I24&gt;U24,AJ24&gt;U24),'Energy Efficiency Measures-DBT'!$B$26,"")&amp;", "&amp;IF(AND(I24&gt;AB24,AJ24&gt;AB24),'Energy Efficiency Measures-DBT'!$B$25,"")</f>
        <v>MR3, MR2</v>
      </c>
      <c r="AR24" s="426" t="str">
        <f>IF(AND(J24&gt;V24,AJ24&gt;V24),'Energy Efficiency Measures-DBT'!$B$26,"")&amp;", "&amp;IF(AND(J24&gt;AC24,AJ24&gt;AC24),'Energy Efficiency Measures-DBT'!$B$25,"")</f>
        <v>MR3, MR2</v>
      </c>
    </row>
    <row r="25" spans="1:45">
      <c r="A25" s="48" t="s">
        <v>104</v>
      </c>
      <c r="B25" s="48" t="s">
        <v>36</v>
      </c>
      <c r="C25" s="48" t="s">
        <v>37</v>
      </c>
      <c r="D25" s="47" t="s">
        <v>10</v>
      </c>
      <c r="E25" s="498">
        <v>0.81</v>
      </c>
      <c r="F25" s="498">
        <v>0.81</v>
      </c>
      <c r="G25" s="498">
        <v>0.45</v>
      </c>
      <c r="H25" s="498">
        <v>0.45</v>
      </c>
      <c r="I25" s="498">
        <v>0.45</v>
      </c>
      <c r="J25" s="499">
        <v>0.18</v>
      </c>
      <c r="K25" s="45">
        <f>SUMPRODUCT('Dwelling stock'!E25:J25,'Ceiling-U'!E25:J25)/SUM('Dwelling stock'!E25:J25)</f>
        <v>0.62831826046034855</v>
      </c>
      <c r="M25" s="54">
        <v>0.76278100000000004</v>
      </c>
      <c r="P25" s="44" t="s">
        <v>36</v>
      </c>
      <c r="Q25" s="392">
        <f>1/((1/$E25)+LOOKUP($A25,'Energy Efficiency Measures-DBT'!$D$11:$AN$11,'Energy Efficiency Measures-DBT'!$D$23:$AN$23))</f>
        <v>0.26776859504132228</v>
      </c>
      <c r="R25" s="393">
        <f>1/((1/$F25)+LOOKUP($A25,'Energy Efficiency Measures-DBT'!$D$11:$AN$11,'Energy Efficiency Measures-DBT'!$D$23:$AN$23))</f>
        <v>0.26776859504132228</v>
      </c>
      <c r="S25" s="393">
        <f>1/((1/$G25)+LOOKUP($A25,'Energy Efficiency Measures-DBT'!$D$11:$AN$11,'Energy Efficiency Measures-DBT'!$D$23:$AN$23))</f>
        <v>0.21176470588235294</v>
      </c>
      <c r="T25" s="393">
        <f>1/((1/$H25)+LOOKUP($A25,'Energy Efficiency Measures-DBT'!$D$11:$AN$11,'Energy Efficiency Measures-DBT'!$D$23:$AN$23))</f>
        <v>0.21176470588235294</v>
      </c>
      <c r="U25" s="393">
        <f>1/((1/$I25)+LOOKUP($A25,'Energy Efficiency Measures-DBT'!$D$11:$AN$11,'Energy Efficiency Measures-DBT'!$D$23:$AN$23))</f>
        <v>0.21176470588235294</v>
      </c>
      <c r="V25" s="306">
        <f>1/((1/$J25)+LOOKUP($A25,'Energy Efficiency Measures-DBT'!$D$11:$AN$11,'Energy Efficiency Measures-DBT'!$D$23:$AN$23))</f>
        <v>0.12413793103448276</v>
      </c>
      <c r="W25" s="306">
        <f>1/((1/$K25)+LOOKUP($A25,'Energy Efficiency Measures-DBT'!$D$11:$AN$11,'Energy Efficiency Measures-DBT'!$D$23:$AN$23))</f>
        <v>0.2444061472482531</v>
      </c>
      <c r="X25" s="392">
        <f>1/((1/$E25)+LOOKUP($A25,'Energy Efficiency Measures-DBT'!$D$11:$AN$11,'Energy Efficiency Measures-DBT'!$D$22:$AN$22))</f>
        <v>0.20061919504643963</v>
      </c>
      <c r="Y25" s="393">
        <f>1/((1/$F25)+LOOKUP($A25,'Energy Efficiency Measures-DBT'!$D$11:$AN$11,'Energy Efficiency Measures-DBT'!$D$22:$AN$22))</f>
        <v>0.20061919504643963</v>
      </c>
      <c r="Z25" s="393">
        <f>1/((1/$G25)+LOOKUP($A25,'Energy Efficiency Measures-DBT'!$D$11:$AN$11,'Energy Efficiency Measures-DBT'!$D$22:$AN$22))</f>
        <v>0.16744186046511628</v>
      </c>
      <c r="AA25" s="393">
        <f>1/((1/$H25)+LOOKUP($A25,'Energy Efficiency Measures-DBT'!$D$11:$AN$11,'Energy Efficiency Measures-DBT'!$D$22:$AN$22))</f>
        <v>0.16744186046511628</v>
      </c>
      <c r="AB25" s="393">
        <f>1/((1/$I25)+LOOKUP($A25,'Energy Efficiency Measures-DBT'!$D$11:$AN$11,'Energy Efficiency Measures-DBT'!$D$22:$AN$22))</f>
        <v>0.16744186046511628</v>
      </c>
      <c r="AC25" s="306">
        <f>1/((1/$J25)+LOOKUP($A25,'Energy Efficiency Measures-DBT'!$D$11:$AN$11,'Energy Efficiency Measures-DBT'!$D$22:$AN$22))</f>
        <v>0.10746268656716418</v>
      </c>
      <c r="AD25" s="306">
        <f>1/((1/$K25)+LOOKUP($A25,'Energy Efficiency Measures-DBT'!$D$11:$AN$11,'Energy Efficiency Measures-DBT'!$D$22:$AN$22))</f>
        <v>0.18721157311622624</v>
      </c>
      <c r="AG25" s="48" t="s">
        <v>36</v>
      </c>
      <c r="AH25" s="47"/>
      <c r="AI25" s="262">
        <v>5</v>
      </c>
      <c r="AJ25" s="264">
        <v>5</v>
      </c>
      <c r="AK25" s="262">
        <v>5</v>
      </c>
      <c r="AL25" s="264">
        <v>5</v>
      </c>
      <c r="AM25" s="346" t="str">
        <f>IF(AND(E25&gt;Q25,AJ25&gt;Q25),'Energy Efficiency Measures-DBT'!$B$26,"")&amp;", "&amp;IF(AND(E25&gt;X25,AJ25&gt;X25),'Energy Efficiency Measures-DBT'!$B$25,"")</f>
        <v>MR3, MR2</v>
      </c>
      <c r="AN25" s="5" t="str">
        <f>IF(AND(F25&gt;R25,AJ25&gt;R25),'Energy Efficiency Measures-DBT'!$B$26,"")&amp;", "&amp;IF(AND(F25&gt;Y25,AJ25&gt;Y25),'Energy Efficiency Measures-DBT'!$B$25,"")</f>
        <v>MR3, MR2</v>
      </c>
      <c r="AO25" s="5" t="str">
        <f>IF(AND(G25&gt;S25,AJ25&gt;S25),'Energy Efficiency Measures-DBT'!$B$26,"")&amp;", "&amp;IF(AND(G25&gt;Z25,AJ25&gt;Z25),'Energy Efficiency Measures-DBT'!$B$25,"")</f>
        <v>MR3, MR2</v>
      </c>
      <c r="AP25" s="5" t="str">
        <f>IF(AND(H25&gt;T25,AJ25&gt;T25),'Energy Efficiency Measures-DBT'!$B$26,"")&amp;", "&amp;IF(AND(H25&gt;AA25,AJ25&gt;AA25),'Energy Efficiency Measures-DBT'!$B$25,"")</f>
        <v>MR3, MR2</v>
      </c>
      <c r="AQ25" s="5" t="str">
        <f>IF(AND(I25&gt;U25,AJ25&gt;U25),'Energy Efficiency Measures-DBT'!$B$26,"")&amp;", "&amp;IF(AND(I25&gt;AB25,AJ25&gt;AB25),'Energy Efficiency Measures-DBT'!$B$25,"")</f>
        <v>MR3, MR2</v>
      </c>
      <c r="AR25" s="426" t="str">
        <f>IF(AND(J25&gt;V25,AJ25&gt;V25),'Energy Efficiency Measures-DBT'!$B$26,"")&amp;", "&amp;IF(AND(J25&gt;AC25,AJ25&gt;AC25),'Energy Efficiency Measures-DBT'!$B$25,"")</f>
        <v>MR3, MR2</v>
      </c>
    </row>
    <row r="26" spans="1:45">
      <c r="A26" s="48" t="s">
        <v>105</v>
      </c>
      <c r="B26" s="48" t="s">
        <v>38</v>
      </c>
      <c r="C26" s="48" t="s">
        <v>14</v>
      </c>
      <c r="D26" s="47" t="s">
        <v>10</v>
      </c>
      <c r="E26" s="498">
        <v>1.4535499999999999</v>
      </c>
      <c r="F26" s="498">
        <v>0.92881499999999995</v>
      </c>
      <c r="G26" s="498">
        <v>0.57433400000000001</v>
      </c>
      <c r="H26" s="498">
        <v>0.35</v>
      </c>
      <c r="I26" s="498">
        <v>0.28000000000000003</v>
      </c>
      <c r="J26" s="499">
        <v>0.25</v>
      </c>
      <c r="K26" s="45">
        <f>SUMPRODUCT('Dwelling stock'!E26:J26,'Ceiling-U'!E26:J26)/SUM('Dwelling stock'!E26:J26)</f>
        <v>0.82665887776612679</v>
      </c>
      <c r="M26" s="54">
        <v>0.81337999999999999</v>
      </c>
      <c r="P26" s="44" t="s">
        <v>38</v>
      </c>
      <c r="Q26" s="392">
        <f>1/((1/$E26)+LOOKUP($A26,'Energy Efficiency Measures-DBT'!$D$11:$AN$11,'Energy Efficiency Measures-DBT'!$D$23:$AN$23))</f>
        <v>0.31367915621375198</v>
      </c>
      <c r="R26" s="393">
        <f>1/((1/$F26)+LOOKUP($A26,'Energy Efficiency Measures-DBT'!$D$11:$AN$11,'Energy Efficiency Measures-DBT'!$D$23:$AN$23))</f>
        <v>0.27959196727911712</v>
      </c>
      <c r="S26" s="393">
        <f>1/((1/$G26)+LOOKUP($A26,'Energy Efficiency Measures-DBT'!$D$11:$AN$11,'Energy Efficiency Measures-DBT'!$D$23:$AN$23))</f>
        <v>0.23578526460125582</v>
      </c>
      <c r="T26" s="393">
        <f>1/((1/$H26)+LOOKUP($A26,'Energy Efficiency Measures-DBT'!$D$11:$AN$11,'Energy Efficiency Measures-DBT'!$D$23:$AN$23))</f>
        <v>0.18666666666666665</v>
      </c>
      <c r="U26" s="393">
        <f>1/((1/$I26)+LOOKUP($A26,'Energy Efficiency Measures-DBT'!$D$11:$AN$11,'Energy Efficiency Measures-DBT'!$D$23:$AN$23))</f>
        <v>0.16470588235294117</v>
      </c>
      <c r="V26" s="306">
        <f>1/((1/$J26)+LOOKUP($A26,'Energy Efficiency Measures-DBT'!$D$11:$AN$11,'Energy Efficiency Measures-DBT'!$D$23:$AN$23))</f>
        <v>0.15384615384615385</v>
      </c>
      <c r="W26" s="306">
        <f>1/((1/$K26)+LOOKUP($A26,'Energy Efficiency Measures-DBT'!$D$11:$AN$11,'Energy Efficiency Measures-DBT'!$D$23:$AN$23))</f>
        <v>0.26956438917119602</v>
      </c>
      <c r="X26" s="392">
        <f>1/((1/$E26)+LOOKUP($A26,'Energy Efficiency Measures-DBT'!$D$11:$AN$11,'Energy Efficiency Measures-DBT'!$D$22:$AN$22))</f>
        <v>0.22532820478040558</v>
      </c>
      <c r="Y26" s="393">
        <f>1/((1/$F26)+LOOKUP($A26,'Energy Efficiency Measures-DBT'!$D$11:$AN$11,'Energy Efficiency Measures-DBT'!$D$22:$AN$22))</f>
        <v>0.20718343652279625</v>
      </c>
      <c r="Z26" s="393">
        <f>1/((1/$G26)+LOOKUP($A26,'Energy Efficiency Measures-DBT'!$D$11:$AN$11,'Energy Efficiency Measures-DBT'!$D$22:$AN$22))</f>
        <v>0.18211131025659116</v>
      </c>
      <c r="AA26" s="393">
        <f>1/((1/$H26)+LOOKUP($A26,'Energy Efficiency Measures-DBT'!$D$11:$AN$11,'Energy Efficiency Measures-DBT'!$D$22:$AN$22))</f>
        <v>0.15135135135135133</v>
      </c>
      <c r="AB26" s="393">
        <f>1/((1/$I26)+LOOKUP($A26,'Energy Efficiency Measures-DBT'!$D$11:$AN$11,'Energy Efficiency Measures-DBT'!$D$22:$AN$22))</f>
        <v>0.13658536585365855</v>
      </c>
      <c r="AC26" s="306">
        <f>1/((1/$J26)+LOOKUP($A26,'Energy Efficiency Measures-DBT'!$D$11:$AN$11,'Energy Efficiency Measures-DBT'!$D$22:$AN$22))</f>
        <v>0.12903225806451613</v>
      </c>
      <c r="AD26" s="306">
        <f>1/((1/$K26)+LOOKUP($A26,'Energy Efficiency Measures-DBT'!$D$11:$AN$11,'Energy Efficiency Measures-DBT'!$D$22:$AN$22))</f>
        <v>0.20162555290763268</v>
      </c>
      <c r="AG26" s="48" t="s">
        <v>38</v>
      </c>
      <c r="AH26" s="47"/>
      <c r="AI26" s="262">
        <v>5</v>
      </c>
      <c r="AJ26" s="264">
        <v>5</v>
      </c>
      <c r="AK26" s="262">
        <v>5</v>
      </c>
      <c r="AL26" s="264">
        <v>5</v>
      </c>
      <c r="AM26" s="346" t="str">
        <f>IF(AND(E26&gt;Q26,AJ26&gt;Q26),'Energy Efficiency Measures-DBT'!$B$26,"")&amp;", "&amp;IF(AND(E26&gt;X26,AJ26&gt;X26),'Energy Efficiency Measures-DBT'!$B$25,"")</f>
        <v>MR3, MR2</v>
      </c>
      <c r="AN26" s="5" t="str">
        <f>IF(AND(F26&gt;R26,AJ26&gt;R26),'Energy Efficiency Measures-DBT'!$B$26,"")&amp;", "&amp;IF(AND(F26&gt;Y26,AJ26&gt;Y26),'Energy Efficiency Measures-DBT'!$B$25,"")</f>
        <v>MR3, MR2</v>
      </c>
      <c r="AO26" s="5" t="str">
        <f>IF(AND(G26&gt;S26,AJ26&gt;S26),'Energy Efficiency Measures-DBT'!$B$26,"")&amp;", "&amp;IF(AND(G26&gt;Z26,AJ26&gt;Z26),'Energy Efficiency Measures-DBT'!$B$25,"")</f>
        <v>MR3, MR2</v>
      </c>
      <c r="AP26" s="5" t="str">
        <f>IF(AND(H26&gt;T26,AJ26&gt;T26),'Energy Efficiency Measures-DBT'!$B$26,"")&amp;", "&amp;IF(AND(H26&gt;AA26,AJ26&gt;AA26),'Energy Efficiency Measures-DBT'!$B$25,"")</f>
        <v>MR3, MR2</v>
      </c>
      <c r="AQ26" s="5" t="str">
        <f>IF(AND(I26&gt;U26,AJ26&gt;U26),'Energy Efficiency Measures-DBT'!$B$26,"")&amp;", "&amp;IF(AND(I26&gt;AB26,AJ26&gt;AB26),'Energy Efficiency Measures-DBT'!$B$25,"")</f>
        <v>MR3, MR2</v>
      </c>
      <c r="AR26" s="426" t="str">
        <f>IF(AND(J26&gt;V26,AJ26&gt;V26),'Energy Efficiency Measures-DBT'!$B$26,"")&amp;", "&amp;IF(AND(J26&gt;AC26,AJ26&gt;AC26),'Energy Efficiency Measures-DBT'!$B$25,"")</f>
        <v>MR3, MR2</v>
      </c>
    </row>
    <row r="27" spans="1:45">
      <c r="A27" s="48" t="s">
        <v>106</v>
      </c>
      <c r="B27" s="48" t="s">
        <v>35</v>
      </c>
      <c r="C27" s="48"/>
      <c r="D27" s="47" t="s">
        <v>10</v>
      </c>
      <c r="E27" s="498">
        <v>1.2</v>
      </c>
      <c r="F27" s="498">
        <v>1.2</v>
      </c>
      <c r="G27" s="498">
        <v>1</v>
      </c>
      <c r="H27" s="498">
        <v>0.5</v>
      </c>
      <c r="I27" s="498">
        <v>0.45</v>
      </c>
      <c r="J27" s="499">
        <v>0.18</v>
      </c>
      <c r="K27" s="45">
        <f>SUMPRODUCT('Dwelling stock'!E27:J27,'Ceiling-U'!E27:J27)/SUM('Dwelling stock'!E27:J27)</f>
        <v>0.90052751160686817</v>
      </c>
      <c r="M27" s="54">
        <v>0.92121699999999995</v>
      </c>
      <c r="P27" s="44" t="s">
        <v>35</v>
      </c>
      <c r="Q27" s="392">
        <f>1/((1/$E27)+LOOKUP($A27,'Energy Efficiency Measures-DBT'!$D$11:$AN$11,'Energy Efficiency Measures-DBT'!$D$23:$AN$23))</f>
        <v>0.3</v>
      </c>
      <c r="R27" s="393">
        <f>1/((1/$F27)+LOOKUP($A27,'Energy Efficiency Measures-DBT'!$D$11:$AN$11,'Energy Efficiency Measures-DBT'!$D$23:$AN$23))</f>
        <v>0.3</v>
      </c>
      <c r="S27" s="393">
        <f>1/((1/$G27)+LOOKUP($A27,'Energy Efficiency Measures-DBT'!$D$11:$AN$11,'Energy Efficiency Measures-DBT'!$D$23:$AN$23))</f>
        <v>0.2857142857142857</v>
      </c>
      <c r="T27" s="393">
        <f>1/((1/$H27)+LOOKUP($A27,'Energy Efficiency Measures-DBT'!$D$11:$AN$11,'Energy Efficiency Measures-DBT'!$D$23:$AN$23))</f>
        <v>0.22222222222222221</v>
      </c>
      <c r="U27" s="393">
        <f>1/((1/$I27)+LOOKUP($A27,'Energy Efficiency Measures-DBT'!$D$11:$AN$11,'Energy Efficiency Measures-DBT'!$D$23:$AN$23))</f>
        <v>0.21176470588235294</v>
      </c>
      <c r="V27" s="306">
        <f>1/((1/$J27)+LOOKUP($A27,'Energy Efficiency Measures-DBT'!$D$11:$AN$11,'Energy Efficiency Measures-DBT'!$D$23:$AN$23))</f>
        <v>0.12413793103448276</v>
      </c>
      <c r="W27" s="306">
        <f>1/((1/$K27)+LOOKUP($A27,'Energy Efficiency Measures-DBT'!$D$11:$AN$11,'Energy Efficiency Measures-DBT'!$D$23:$AN$23))</f>
        <v>0.27697299859323099</v>
      </c>
      <c r="X27" s="392">
        <f>1/((1/$E27)+LOOKUP($A27,'Energy Efficiency Measures-DBT'!$D$11:$AN$11,'Energy Efficiency Measures-DBT'!$D$22:$AN$22))</f>
        <v>0.2181818181818182</v>
      </c>
      <c r="Y27" s="393">
        <f>1/((1/$F27)+LOOKUP($A27,'Energy Efficiency Measures-DBT'!$D$11:$AN$11,'Energy Efficiency Measures-DBT'!$D$22:$AN$22))</f>
        <v>0.2181818181818182</v>
      </c>
      <c r="Z27" s="393">
        <f>1/((1/$G27)+LOOKUP($A27,'Energy Efficiency Measures-DBT'!$D$11:$AN$11,'Energy Efficiency Measures-DBT'!$D$22:$AN$22))</f>
        <v>0.21052631578947367</v>
      </c>
      <c r="AA27" s="393">
        <f>1/((1/$H27)+LOOKUP($A27,'Energy Efficiency Measures-DBT'!$D$11:$AN$11,'Energy Efficiency Measures-DBT'!$D$22:$AN$22))</f>
        <v>0.17391304347826086</v>
      </c>
      <c r="AB27" s="393">
        <f>1/((1/$I27)+LOOKUP($A27,'Energy Efficiency Measures-DBT'!$D$11:$AN$11,'Energy Efficiency Measures-DBT'!$D$22:$AN$22))</f>
        <v>0.16744186046511628</v>
      </c>
      <c r="AC27" s="306">
        <f>1/((1/$J27)+LOOKUP($A27,'Energy Efficiency Measures-DBT'!$D$11:$AN$11,'Energy Efficiency Measures-DBT'!$D$22:$AN$22))</f>
        <v>0.10746268656716418</v>
      </c>
      <c r="AD27" s="306">
        <f>1/((1/$K27)+LOOKUP($A27,'Energy Efficiency Measures-DBT'!$D$11:$AN$11,'Energy Efficiency Measures-DBT'!$D$22:$AN$22))</f>
        <v>0.20574183304875424</v>
      </c>
      <c r="AG27" s="48" t="s">
        <v>35</v>
      </c>
      <c r="AH27" s="47"/>
      <c r="AI27" s="262">
        <v>5</v>
      </c>
      <c r="AJ27" s="264">
        <v>5</v>
      </c>
      <c r="AK27" s="262">
        <v>5</v>
      </c>
      <c r="AL27" s="264">
        <v>5</v>
      </c>
      <c r="AM27" s="346" t="str">
        <f>IF(AND(E27&gt;Q27,AJ27&gt;Q27),'Energy Efficiency Measures-DBT'!$B$26,"")&amp;", "&amp;IF(AND(E27&gt;X27,AJ27&gt;X27),'Energy Efficiency Measures-DBT'!$B$25,"")</f>
        <v>MR3, MR2</v>
      </c>
      <c r="AN27" s="5" t="str">
        <f>IF(AND(F27&gt;R27,AJ27&gt;R27),'Energy Efficiency Measures-DBT'!$B$26,"")&amp;", "&amp;IF(AND(F27&gt;Y27,AJ27&gt;Y27),'Energy Efficiency Measures-DBT'!$B$25,"")</f>
        <v>MR3, MR2</v>
      </c>
      <c r="AO27" s="5" t="str">
        <f>IF(AND(G27&gt;S27,AJ27&gt;S27),'Energy Efficiency Measures-DBT'!$B$26,"")&amp;", "&amp;IF(AND(G27&gt;Z27,AJ27&gt;Z27),'Energy Efficiency Measures-DBT'!$B$25,"")</f>
        <v>MR3, MR2</v>
      </c>
      <c r="AP27" s="5" t="str">
        <f>IF(AND(H27&gt;T27,AJ27&gt;T27),'Energy Efficiency Measures-DBT'!$B$26,"")&amp;", "&amp;IF(AND(H27&gt;AA27,AJ27&gt;AA27),'Energy Efficiency Measures-DBT'!$B$25,"")</f>
        <v>MR3, MR2</v>
      </c>
      <c r="AQ27" s="5" t="str">
        <f>IF(AND(I27&gt;U27,AJ27&gt;U27),'Energy Efficiency Measures-DBT'!$B$26,"")&amp;", "&amp;IF(AND(I27&gt;AB27,AJ27&gt;AB27),'Energy Efficiency Measures-DBT'!$B$25,"")</f>
        <v>MR3, MR2</v>
      </c>
      <c r="AR27" s="426" t="str">
        <f>IF(AND(J27&gt;V27,AJ27&gt;V27),'Energy Efficiency Measures-DBT'!$B$26,"")&amp;", "&amp;IF(AND(J27&gt;AC27,AJ27&gt;AC27),'Energy Efficiency Measures-DBT'!$B$25,"")</f>
        <v>MR3, MR2</v>
      </c>
    </row>
    <row r="28" spans="1:45">
      <c r="A28" s="48" t="s">
        <v>119</v>
      </c>
      <c r="B28" s="48" t="s">
        <v>204</v>
      </c>
      <c r="C28" s="48"/>
      <c r="D28" s="47" t="s">
        <v>10</v>
      </c>
      <c r="E28" s="498">
        <v>1.1599999999999999</v>
      </c>
      <c r="F28" s="498">
        <v>1.1599999999999999</v>
      </c>
      <c r="G28" s="498">
        <v>1.1599999999999999</v>
      </c>
      <c r="H28" s="498">
        <v>0.75</v>
      </c>
      <c r="I28" s="498">
        <v>0.6</v>
      </c>
      <c r="J28" s="499">
        <v>0.45</v>
      </c>
      <c r="K28" s="45">
        <f>SUMPRODUCT('Dwelling stock'!E28:J28,'Ceiling-U'!E28:J28)/SUM('Dwelling stock'!E28:J28)</f>
        <v>0.98222750033822659</v>
      </c>
      <c r="M28" s="28"/>
      <c r="P28" s="44" t="s">
        <v>204</v>
      </c>
      <c r="Q28" s="392">
        <f>1/((1/$E28)+LOOKUP($A28,'Energy Efficiency Measures-DBT'!$D$11:$AN$11,'Energy Efficiency Measures-DBT'!$D$23:$AN$23))</f>
        <v>0.29743589743589743</v>
      </c>
      <c r="R28" s="393">
        <f>1/((1/$F28)+LOOKUP($A28,'Energy Efficiency Measures-DBT'!$D$11:$AN$11,'Energy Efficiency Measures-DBT'!$D$23:$AN$23))</f>
        <v>0.29743589743589743</v>
      </c>
      <c r="S28" s="393">
        <f>1/((1/$G28)+LOOKUP($A28,'Energy Efficiency Measures-DBT'!$D$11:$AN$11,'Energy Efficiency Measures-DBT'!$D$23:$AN$23))</f>
        <v>0.29743589743589743</v>
      </c>
      <c r="T28" s="393">
        <f>1/((1/$H28)+LOOKUP($A28,'Energy Efficiency Measures-DBT'!$D$11:$AN$11,'Energy Efficiency Measures-DBT'!$D$23:$AN$23))</f>
        <v>0.2608695652173913</v>
      </c>
      <c r="U28" s="393">
        <f>1/((1/$I28)+LOOKUP($A28,'Energy Efficiency Measures-DBT'!$D$11:$AN$11,'Energy Efficiency Measures-DBT'!$D$23:$AN$23))</f>
        <v>0.24</v>
      </c>
      <c r="V28" s="306">
        <f>1/((1/$J28)+LOOKUP($A28,'Energy Efficiency Measures-DBT'!$D$11:$AN$11,'Energy Efficiency Measures-DBT'!$D$23:$AN$23))</f>
        <v>0.21176470588235294</v>
      </c>
      <c r="W28" s="306">
        <f>1/((1/$K28)+LOOKUP($A28,'Energy Efficiency Measures-DBT'!$D$11:$AN$11,'Energy Efficiency Measures-DBT'!$D$23:$AN$23))</f>
        <v>0.28424481500993976</v>
      </c>
      <c r="X28" s="392">
        <f>1/((1/$E28)+LOOKUP($A28,'Energy Efficiency Measures-DBT'!$D$11:$AN$11,'Energy Efficiency Measures-DBT'!$D$22:$AN$22))</f>
        <v>0.21682242990654207</v>
      </c>
      <c r="Y28" s="393">
        <f>1/((1/$F28)+LOOKUP($A28,'Energy Efficiency Measures-DBT'!$D$11:$AN$11,'Energy Efficiency Measures-DBT'!$D$22:$AN$22))</f>
        <v>0.21682242990654207</v>
      </c>
      <c r="Z28" s="393">
        <f>1/((1/$G28)+LOOKUP($A28,'Energy Efficiency Measures-DBT'!$D$11:$AN$11,'Energy Efficiency Measures-DBT'!$D$22:$AN$22))</f>
        <v>0.21682242990654207</v>
      </c>
      <c r="AA28" s="393">
        <f>1/((1/$H28)+LOOKUP($A28,'Energy Efficiency Measures-DBT'!$D$11:$AN$11,'Energy Efficiency Measures-DBT'!$D$22:$AN$22))</f>
        <v>0.19672131147540986</v>
      </c>
      <c r="AB28" s="393">
        <f>1/((1/$I28)+LOOKUP($A28,'Energy Efficiency Measures-DBT'!$D$11:$AN$11,'Energy Efficiency Measures-DBT'!$D$22:$AN$22))</f>
        <v>0.1846153846153846</v>
      </c>
      <c r="AC28" s="306">
        <f>1/((1/$J28)+LOOKUP($A28,'Energy Efficiency Measures-DBT'!$D$11:$AN$11,'Energy Efficiency Measures-DBT'!$D$22:$AN$22))</f>
        <v>0.16744186046511628</v>
      </c>
      <c r="AD28" s="306">
        <f>1/((1/$K28)+LOOKUP($A28,'Energy Efficiency Measures-DBT'!$D$11:$AN$11,'Energy Efficiency Measures-DBT'!$D$22:$AN$22))</f>
        <v>0.20972740552682942</v>
      </c>
      <c r="AG28" s="48" t="s">
        <v>204</v>
      </c>
      <c r="AH28" s="47"/>
      <c r="AI28" s="262">
        <v>5</v>
      </c>
      <c r="AJ28" s="264">
        <v>5</v>
      </c>
      <c r="AK28" s="262">
        <v>5</v>
      </c>
      <c r="AL28" s="264">
        <v>5</v>
      </c>
      <c r="AM28" s="346" t="str">
        <f>IF(AND(E28&gt;Q28,AJ28&gt;Q28),'Energy Efficiency Measures-DBT'!$B$26,"")&amp;", "&amp;IF(AND(E28&gt;X28,AJ28&gt;X28),'Energy Efficiency Measures-DBT'!$B$25,"")</f>
        <v>MR3, MR2</v>
      </c>
      <c r="AN28" s="5" t="str">
        <f>IF(AND(F28&gt;R28,AJ28&gt;R28),'Energy Efficiency Measures-DBT'!$B$26,"")&amp;", "&amp;IF(AND(F28&gt;Y28,AJ28&gt;Y28),'Energy Efficiency Measures-DBT'!$B$25,"")</f>
        <v>MR3, MR2</v>
      </c>
      <c r="AO28" s="5" t="str">
        <f>IF(AND(G28&gt;S28,AJ28&gt;S28),'Energy Efficiency Measures-DBT'!$B$26,"")&amp;", "&amp;IF(AND(G28&gt;Z28,AJ28&gt;Z28),'Energy Efficiency Measures-DBT'!$B$25,"")</f>
        <v>MR3, MR2</v>
      </c>
      <c r="AP28" s="5" t="str">
        <f>IF(AND(H28&gt;T28,AJ28&gt;T28),'Energy Efficiency Measures-DBT'!$B$26,"")&amp;", "&amp;IF(AND(H28&gt;AA28,AJ28&gt;AA28),'Energy Efficiency Measures-DBT'!$B$25,"")</f>
        <v>MR3, MR2</v>
      </c>
      <c r="AQ28" s="5" t="str">
        <f>IF(AND(I28&gt;U28,AJ28&gt;U28),'Energy Efficiency Measures-DBT'!$B$26,"")&amp;", "&amp;IF(AND(I28&gt;AB28,AJ28&gt;AB28),'Energy Efficiency Measures-DBT'!$B$25,"")</f>
        <v>MR3, MR2</v>
      </c>
      <c r="AR28" s="426" t="str">
        <f>IF(AND(J28&gt;V28,AJ28&gt;V28),'Energy Efficiency Measures-DBT'!$B$26,"")&amp;", "&amp;IF(AND(J28&gt;AC28,AJ28&gt;AC28),'Energy Efficiency Measures-DBT'!$B$25,"")</f>
        <v>MR3, MR2</v>
      </c>
    </row>
    <row r="29" spans="1:45">
      <c r="A29" s="48" t="s">
        <v>120</v>
      </c>
      <c r="B29" s="48" t="s">
        <v>203</v>
      </c>
      <c r="C29" s="48"/>
      <c r="D29" s="47" t="s">
        <v>10</v>
      </c>
      <c r="E29" s="498">
        <v>1.25</v>
      </c>
      <c r="F29" s="498">
        <v>1.25</v>
      </c>
      <c r="G29" s="498">
        <v>1.1499999999999999</v>
      </c>
      <c r="H29" s="498">
        <v>1.08</v>
      </c>
      <c r="I29" s="498">
        <v>0.51</v>
      </c>
      <c r="J29" s="499">
        <v>0.3</v>
      </c>
      <c r="K29" s="45">
        <f>SUMPRODUCT('Dwelling stock'!E29:J29,'Ceiling-U'!E29:J29)/SUM('Dwelling stock'!E29:J29)</f>
        <v>1.0009316620311486</v>
      </c>
      <c r="M29" s="28"/>
      <c r="P29" s="44" t="s">
        <v>203</v>
      </c>
      <c r="Q29" s="392">
        <f>1/((1/$E29)+LOOKUP($A29,'Energy Efficiency Measures-DBT'!$D$11:$AN$11,'Energy Efficiency Measures-DBT'!$D$23:$AN$23))</f>
        <v>0.30303030303030304</v>
      </c>
      <c r="R29" s="393">
        <f>1/((1/$F29)+LOOKUP($A29,'Energy Efficiency Measures-DBT'!$D$11:$AN$11,'Energy Efficiency Measures-DBT'!$D$23:$AN$23))</f>
        <v>0.30303030303030304</v>
      </c>
      <c r="S29" s="393">
        <f>1/((1/$G29)+LOOKUP($A29,'Energy Efficiency Measures-DBT'!$D$11:$AN$11,'Energy Efficiency Measures-DBT'!$D$23:$AN$23))</f>
        <v>0.29677419354838708</v>
      </c>
      <c r="T29" s="393">
        <f>1/((1/$H29)+LOOKUP($A29,'Energy Efficiency Measures-DBT'!$D$11:$AN$11,'Energy Efficiency Measures-DBT'!$D$23:$AN$23))</f>
        <v>0.29189189189189191</v>
      </c>
      <c r="U29" s="393">
        <f>1/((1/$I29)+LOOKUP($A29,'Energy Efficiency Measures-DBT'!$D$11:$AN$11,'Energy Efficiency Measures-DBT'!$D$23:$AN$23))</f>
        <v>0.22417582417582416</v>
      </c>
      <c r="V29" s="306">
        <f>1/((1/$J29)+LOOKUP($A29,'Energy Efficiency Measures-DBT'!$D$11:$AN$11,'Energy Efficiency Measures-DBT'!$D$23:$AN$23))</f>
        <v>0.1714285714285714</v>
      </c>
      <c r="W29" s="306">
        <f>1/((1/$K29)+LOOKUP($A29,'Energy Efficiency Measures-DBT'!$D$11:$AN$11,'Energy Efficiency Measures-DBT'!$D$23:$AN$23))</f>
        <v>0.28579028917940003</v>
      </c>
      <c r="X29" s="392">
        <f>1/((1/$E29)+LOOKUP($A29,'Energy Efficiency Measures-DBT'!$D$11:$AN$11,'Energy Efficiency Measures-DBT'!$D$22:$AN$22))</f>
        <v>0.21978021978021978</v>
      </c>
      <c r="Y29" s="393">
        <f>1/((1/$F29)+LOOKUP($A29,'Energy Efficiency Measures-DBT'!$D$11:$AN$11,'Energy Efficiency Measures-DBT'!$D$22:$AN$22))</f>
        <v>0.21978021978021978</v>
      </c>
      <c r="Z29" s="393">
        <f>1/((1/$G29)+LOOKUP($A29,'Energy Efficiency Measures-DBT'!$D$11:$AN$11,'Energy Efficiency Measures-DBT'!$D$22:$AN$22))</f>
        <v>0.21647058823529411</v>
      </c>
      <c r="AA29" s="393">
        <f>1/((1/$H29)+LOOKUP($A29,'Energy Efficiency Measures-DBT'!$D$11:$AN$11,'Energy Efficiency Measures-DBT'!$D$22:$AN$22))</f>
        <v>0.21386138613861388</v>
      </c>
      <c r="AB29" s="393">
        <f>1/((1/$I29)+LOOKUP($A29,'Energy Efficiency Measures-DBT'!$D$11:$AN$11,'Energy Efficiency Measures-DBT'!$D$22:$AN$22))</f>
        <v>0.17510729613733905</v>
      </c>
      <c r="AC29" s="306">
        <f>1/((1/$J29)+LOOKUP($A29,'Energy Efficiency Measures-DBT'!$D$11:$AN$11,'Energy Efficiency Measures-DBT'!$D$22:$AN$22))</f>
        <v>0.14117647058823529</v>
      </c>
      <c r="AD29" s="306">
        <f>1/((1/$K29)+LOOKUP($A29,'Energy Efficiency Measures-DBT'!$D$11:$AN$11,'Energy Efficiency Measures-DBT'!$D$22:$AN$22))</f>
        <v>0.21056757794022246</v>
      </c>
      <c r="AG29" s="48" t="s">
        <v>203</v>
      </c>
      <c r="AH29" s="47"/>
      <c r="AI29" s="262">
        <v>5</v>
      </c>
      <c r="AJ29" s="264">
        <v>5</v>
      </c>
      <c r="AK29" s="262">
        <v>5</v>
      </c>
      <c r="AL29" s="264">
        <v>5</v>
      </c>
      <c r="AM29" s="346" t="str">
        <f>IF(AND(E29&gt;Q29,AJ29&gt;Q29),'Energy Efficiency Measures-DBT'!$B$26,"")&amp;", "&amp;IF(AND(E29&gt;X29,AJ29&gt;X29),'Energy Efficiency Measures-DBT'!$B$25,"")</f>
        <v>MR3, MR2</v>
      </c>
      <c r="AN29" s="5" t="str">
        <f>IF(AND(F29&gt;R29,AJ29&gt;R29),'Energy Efficiency Measures-DBT'!$B$26,"")&amp;", "&amp;IF(AND(F29&gt;Y29,AJ29&gt;Y29),'Energy Efficiency Measures-DBT'!$B$25,"")</f>
        <v>MR3, MR2</v>
      </c>
      <c r="AO29" s="5" t="str">
        <f>IF(AND(G29&gt;S29,AJ29&gt;S29),'Energy Efficiency Measures-DBT'!$B$26,"")&amp;", "&amp;IF(AND(G29&gt;Z29,AJ29&gt;Z29),'Energy Efficiency Measures-DBT'!$B$25,"")</f>
        <v>MR3, MR2</v>
      </c>
      <c r="AP29" s="5" t="str">
        <f>IF(AND(H29&gt;T29,AJ29&gt;T29),'Energy Efficiency Measures-DBT'!$B$26,"")&amp;", "&amp;IF(AND(H29&gt;AA29,AJ29&gt;AA29),'Energy Efficiency Measures-DBT'!$B$25,"")</f>
        <v>MR3, MR2</v>
      </c>
      <c r="AQ29" s="5" t="str">
        <f>IF(AND(I29&gt;U29,AJ29&gt;U29),'Energy Efficiency Measures-DBT'!$B$26,"")&amp;", "&amp;IF(AND(I29&gt;AB29,AJ29&gt;AB29),'Energy Efficiency Measures-DBT'!$B$25,"")</f>
        <v>MR3, MR2</v>
      </c>
      <c r="AR29" s="426" t="str">
        <f>IF(AND(J29&gt;V29,AJ29&gt;V29),'Energy Efficiency Measures-DBT'!$B$26,"")&amp;", "&amp;IF(AND(J29&gt;AC29,AJ29&gt;AC29),'Energy Efficiency Measures-DBT'!$B$25,"")</f>
        <v>MR3, MR2</v>
      </c>
    </row>
    <row r="30" spans="1:45">
      <c r="A30" s="48" t="s">
        <v>107</v>
      </c>
      <c r="B30" s="48" t="s">
        <v>39</v>
      </c>
      <c r="C30" s="48" t="s">
        <v>40</v>
      </c>
      <c r="D30" s="47" t="s">
        <v>10</v>
      </c>
      <c r="E30" s="498">
        <v>2.0210979999999998</v>
      </c>
      <c r="F30" s="498">
        <v>2</v>
      </c>
      <c r="G30" s="498">
        <v>2</v>
      </c>
      <c r="H30" s="498">
        <v>2</v>
      </c>
      <c r="I30" s="498">
        <v>1.81</v>
      </c>
      <c r="J30" s="499">
        <v>1.81</v>
      </c>
      <c r="K30" s="45">
        <f>SUMPRODUCT('Dwelling stock'!E30:J30,'Ceiling-U'!E30:J30)/SUM('Dwelling stock'!E30:J30)</f>
        <v>1.9609662475352514</v>
      </c>
      <c r="M30" s="54">
        <v>1.964367</v>
      </c>
      <c r="P30" s="44" t="s">
        <v>39</v>
      </c>
      <c r="Q30" s="392">
        <f>1/((1/$E30)+LOOKUP($A30,'Energy Efficiency Measures-DBT'!$D$11:$AN$11,'Energy Efficiency Measures-DBT'!$D$23:$AN$23))</f>
        <v>0.33391428186715283</v>
      </c>
      <c r="R30" s="393">
        <f>1/((1/$F30)+LOOKUP($A30,'Energy Efficiency Measures-DBT'!$D$11:$AN$11,'Energy Efficiency Measures-DBT'!$D$23:$AN$23))</f>
        <v>0.33333333333333331</v>
      </c>
      <c r="S30" s="393">
        <f>1/((1/$G30)+LOOKUP($A30,'Energy Efficiency Measures-DBT'!$D$11:$AN$11,'Energy Efficiency Measures-DBT'!$D$23:$AN$23))</f>
        <v>0.33333333333333331</v>
      </c>
      <c r="T30" s="393">
        <f>1/((1/$H30)+LOOKUP($A30,'Energy Efficiency Measures-DBT'!$D$11:$AN$11,'Energy Efficiency Measures-DBT'!$D$23:$AN$23))</f>
        <v>0.33333333333333331</v>
      </c>
      <c r="U30" s="393">
        <f>1/((1/$I30)+LOOKUP($A30,'Energy Efficiency Measures-DBT'!$D$11:$AN$11,'Energy Efficiency Measures-DBT'!$D$23:$AN$23))</f>
        <v>0.32760180995475113</v>
      </c>
      <c r="V30" s="306">
        <f>1/((1/$J30)+LOOKUP($A30,'Energy Efficiency Measures-DBT'!$D$11:$AN$11,'Energy Efficiency Measures-DBT'!$D$23:$AN$23))</f>
        <v>0.32760180995475113</v>
      </c>
      <c r="W30" s="306">
        <f>1/((1/$K30)+LOOKUP($A30,'Energy Efficiency Measures-DBT'!$D$11:$AN$11,'Energy Efficiency Measures-DBT'!$D$23:$AN$23))</f>
        <v>0.33223113622779099</v>
      </c>
      <c r="X30" s="392">
        <f>1/((1/$E30)+LOOKUP($A30,'Energy Efficiency Measures-DBT'!$D$11:$AN$11,'Energy Efficiency Measures-DBT'!$D$22:$AN$22))</f>
        <v>0.23558343850634988</v>
      </c>
      <c r="Y30" s="393">
        <f>1/((1/$F30)+LOOKUP($A30,'Energy Efficiency Measures-DBT'!$D$11:$AN$11,'Energy Efficiency Measures-DBT'!$D$22:$AN$22))</f>
        <v>0.23529411764705882</v>
      </c>
      <c r="Z30" s="393">
        <f>1/((1/$G30)+LOOKUP($A30,'Energy Efficiency Measures-DBT'!$D$11:$AN$11,'Energy Efficiency Measures-DBT'!$D$22:$AN$22))</f>
        <v>0.23529411764705882</v>
      </c>
      <c r="AA30" s="393">
        <f>1/((1/$H30)+LOOKUP($A30,'Energy Efficiency Measures-DBT'!$D$11:$AN$11,'Energy Efficiency Measures-DBT'!$D$22:$AN$22))</f>
        <v>0.23529411764705882</v>
      </c>
      <c r="AB30" s="393">
        <f>1/((1/$I30)+LOOKUP($A30,'Energy Efficiency Measures-DBT'!$D$11:$AN$11,'Energy Efficiency Measures-DBT'!$D$22:$AN$22))</f>
        <v>0.23242375601926163</v>
      </c>
      <c r="AC30" s="306">
        <f>1/((1/$J30)+LOOKUP($A30,'Energy Efficiency Measures-DBT'!$D$11:$AN$11,'Energy Efficiency Measures-DBT'!$D$22:$AN$22))</f>
        <v>0.23242375601926163</v>
      </c>
      <c r="AD30" s="306">
        <f>1/((1/$K30)+LOOKUP($A30,'Energy Efficiency Measures-DBT'!$D$11:$AN$11,'Energy Efficiency Measures-DBT'!$D$22:$AN$22))</f>
        <v>0.23474439138614198</v>
      </c>
      <c r="AG30" s="48" t="s">
        <v>39</v>
      </c>
      <c r="AH30" s="47"/>
      <c r="AI30" s="262">
        <v>5</v>
      </c>
      <c r="AJ30" s="264">
        <v>5</v>
      </c>
      <c r="AK30" s="262">
        <v>5</v>
      </c>
      <c r="AL30" s="264">
        <v>5</v>
      </c>
      <c r="AM30" s="346" t="str">
        <f>IF(AND(E30&gt;Q30,AJ30&gt;Q30),'Energy Efficiency Measures-DBT'!$B$26,"")&amp;", "&amp;IF(AND(E30&gt;X30,AJ30&gt;X30),'Energy Efficiency Measures-DBT'!$B$25,"")</f>
        <v>MR3, MR2</v>
      </c>
      <c r="AN30" s="5" t="str">
        <f>IF(AND(F30&gt;R30,AJ30&gt;R30),'Energy Efficiency Measures-DBT'!$B$26,"")&amp;", "&amp;IF(AND(F30&gt;Y30,AJ30&gt;Y30),'Energy Efficiency Measures-DBT'!$B$25,"")</f>
        <v>MR3, MR2</v>
      </c>
      <c r="AO30" s="5" t="str">
        <f>IF(AND(G30&gt;S30,AJ30&gt;S30),'Energy Efficiency Measures-DBT'!$B$26,"")&amp;", "&amp;IF(AND(G30&gt;Z30,AJ30&gt;Z30),'Energy Efficiency Measures-DBT'!$B$25,"")</f>
        <v>MR3, MR2</v>
      </c>
      <c r="AP30" s="5" t="str">
        <f>IF(AND(H30&gt;T30,AJ30&gt;T30),'Energy Efficiency Measures-DBT'!$B$26,"")&amp;", "&amp;IF(AND(H30&gt;AA30,AJ30&gt;AA30),'Energy Efficiency Measures-DBT'!$B$25,"")</f>
        <v>MR3, MR2</v>
      </c>
      <c r="AQ30" s="5" t="str">
        <f>IF(AND(I30&gt;U30,AJ30&gt;U30),'Energy Efficiency Measures-DBT'!$B$26,"")&amp;", "&amp;IF(AND(I30&gt;AB30,AJ30&gt;AB30),'Energy Efficiency Measures-DBT'!$B$25,"")</f>
        <v>MR3, MR2</v>
      </c>
      <c r="AR30" s="426" t="str">
        <f>IF(AND(J30&gt;V30,AJ30&gt;V30),'Energy Efficiency Measures-DBT'!$B$26,"")&amp;", "&amp;IF(AND(J30&gt;AC30,AJ30&gt;AC30),'Energy Efficiency Measures-DBT'!$B$25,"")</f>
        <v>MR3, MR2</v>
      </c>
    </row>
    <row r="31" spans="1:45">
      <c r="A31" s="48" t="s">
        <v>108</v>
      </c>
      <c r="B31" s="48" t="s">
        <v>41</v>
      </c>
      <c r="C31" s="48" t="s">
        <v>29</v>
      </c>
      <c r="D31" s="47" t="s">
        <v>10</v>
      </c>
      <c r="E31" s="498">
        <v>2.523288</v>
      </c>
      <c r="F31" s="498">
        <v>1.2256050000000001</v>
      </c>
      <c r="G31" s="498">
        <v>1.2256050000000001</v>
      </c>
      <c r="H31" s="498">
        <v>0.66327599999999998</v>
      </c>
      <c r="I31" s="498">
        <v>0.56871000000000005</v>
      </c>
      <c r="J31" s="499">
        <v>0.4</v>
      </c>
      <c r="K31" s="45">
        <f>SUMPRODUCT('Dwelling stock'!E31:J31,'Ceiling-U'!E31:J31)/SUM('Dwelling stock'!E31:J31)</f>
        <v>1.2874887372107959</v>
      </c>
      <c r="M31" s="54">
        <v>1.4175519999999999</v>
      </c>
      <c r="P31" s="44" t="s">
        <v>41</v>
      </c>
      <c r="Q31" s="392">
        <f>1/((1/$E31)+LOOKUP($A31,'Energy Efficiency Measures-DBT'!$D$11:$AN$11,'Energy Efficiency Measures-DBT'!$D$23:$AN$23))</f>
        <v>0.34526711018551715</v>
      </c>
      <c r="R31" s="393">
        <f>1/((1/$F31)+LOOKUP($A31,'Energy Efficiency Measures-DBT'!$D$11:$AN$11,'Energy Efficiency Measures-DBT'!$D$23:$AN$23))</f>
        <v>0.30157510588365566</v>
      </c>
      <c r="S31" s="393">
        <f>1/((1/$G31)+LOOKUP($A31,'Energy Efficiency Measures-DBT'!$D$11:$AN$11,'Energy Efficiency Measures-DBT'!$D$23:$AN$23))</f>
        <v>0.30157510588365566</v>
      </c>
      <c r="T31" s="393">
        <f>1/((1/$H31)+LOOKUP($A31,'Energy Efficiency Measures-DBT'!$D$11:$AN$11,'Energy Efficiency Measures-DBT'!$D$23:$AN$23))</f>
        <v>0.24952166699897296</v>
      </c>
      <c r="U31" s="393">
        <f>1/((1/$I31)+LOOKUP($A31,'Energy Efficiency Measures-DBT'!$D$11:$AN$11,'Energy Efficiency Measures-DBT'!$D$23:$AN$23))</f>
        <v>0.23483188983287054</v>
      </c>
      <c r="V31" s="306">
        <f>1/((1/$J31)+LOOKUP($A31,'Energy Efficiency Measures-DBT'!$D$11:$AN$11,'Energy Efficiency Measures-DBT'!$D$23:$AN$23))</f>
        <v>0.2</v>
      </c>
      <c r="W31" s="306">
        <f>1/((1/$K31)+LOOKUP($A31,'Energy Efficiency Measures-DBT'!$D$11:$AN$11,'Energy Efficiency Measures-DBT'!$D$23:$AN$23))</f>
        <v>0.3051845523636148</v>
      </c>
      <c r="X31" s="392">
        <f>1/((1/$E31)+LOOKUP($A31,'Energy Efficiency Measures-DBT'!$D$11:$AN$11,'Energy Efficiency Measures-DBT'!$D$22:$AN$22))</f>
        <v>0.24117839907554053</v>
      </c>
      <c r="Y31" s="393">
        <f>1/((1/$F31)+LOOKUP($A31,'Energy Efficiency Measures-DBT'!$D$11:$AN$11,'Energy Efficiency Measures-DBT'!$D$22:$AN$22))</f>
        <v>0.2190137407956326</v>
      </c>
      <c r="Z31" s="393">
        <f>1/((1/$G31)+LOOKUP($A31,'Energy Efficiency Measures-DBT'!$D$11:$AN$11,'Energy Efficiency Measures-DBT'!$D$22:$AN$22))</f>
        <v>0.2190137407956326</v>
      </c>
      <c r="AA31" s="393">
        <f>1/((1/$H31)+LOOKUP($A31,'Energy Efficiency Measures-DBT'!$D$11:$AN$11,'Energy Efficiency Measures-DBT'!$D$22:$AN$22))</f>
        <v>0.1901983921589431</v>
      </c>
      <c r="AB31" s="393">
        <f>1/((1/$I31)+LOOKUP($A31,'Energy Efficiency Measures-DBT'!$D$11:$AN$11,'Energy Efficiency Measures-DBT'!$D$22:$AN$22))</f>
        <v>0.18154205887164673</v>
      </c>
      <c r="AC31" s="306">
        <f>1/((1/$J31)+LOOKUP($A31,'Energy Efficiency Measures-DBT'!$D$11:$AN$11,'Energy Efficiency Measures-DBT'!$D$22:$AN$22))</f>
        <v>0.16</v>
      </c>
      <c r="AD31" s="306">
        <f>1/((1/$K31)+LOOKUP($A31,'Energy Efficiency Measures-DBT'!$D$11:$AN$11,'Energy Efficiency Measures-DBT'!$D$22:$AN$22))</f>
        <v>0.22091119656779756</v>
      </c>
      <c r="AG31" s="48" t="s">
        <v>41</v>
      </c>
      <c r="AH31" s="47"/>
      <c r="AI31" s="262">
        <v>5</v>
      </c>
      <c r="AJ31" s="264">
        <v>5</v>
      </c>
      <c r="AK31" s="262">
        <v>5</v>
      </c>
      <c r="AL31" s="264">
        <v>5</v>
      </c>
      <c r="AM31" s="346" t="str">
        <f>IF(AND(E31&gt;Q31,AJ31&gt;Q31),'Energy Efficiency Measures-DBT'!$B$26,"")&amp;", "&amp;IF(AND(E31&gt;X31,AJ31&gt;X31),'Energy Efficiency Measures-DBT'!$B$25,"")</f>
        <v>MR3, MR2</v>
      </c>
      <c r="AN31" s="5" t="str">
        <f>IF(AND(F31&gt;R31,AJ31&gt;R31),'Energy Efficiency Measures-DBT'!$B$26,"")&amp;", "&amp;IF(AND(F31&gt;Y31,AJ31&gt;Y31),'Energy Efficiency Measures-DBT'!$B$25,"")</f>
        <v>MR3, MR2</v>
      </c>
      <c r="AO31" s="5" t="str">
        <f>IF(AND(G31&gt;S31,AJ31&gt;S31),'Energy Efficiency Measures-DBT'!$B$26,"")&amp;", "&amp;IF(AND(G31&gt;Z31,AJ31&gt;Z31),'Energy Efficiency Measures-DBT'!$B$25,"")</f>
        <v>MR3, MR2</v>
      </c>
      <c r="AP31" s="5" t="str">
        <f>IF(AND(H31&gt;T31,AJ31&gt;T31),'Energy Efficiency Measures-DBT'!$B$26,"")&amp;", "&amp;IF(AND(H31&gt;AA31,AJ31&gt;AA31),'Energy Efficiency Measures-DBT'!$B$25,"")</f>
        <v>MR3, MR2</v>
      </c>
      <c r="AQ31" s="5" t="str">
        <f>IF(AND(I31&gt;U31,AJ31&gt;U31),'Energy Efficiency Measures-DBT'!$B$26,"")&amp;", "&amp;IF(AND(I31&gt;AB31,AJ31&gt;AB31),'Energy Efficiency Measures-DBT'!$B$25,"")</f>
        <v>MR3, MR2</v>
      </c>
      <c r="AR31" s="426" t="str">
        <f>IF(AND(J31&gt;V31,AJ31&gt;V31),'Energy Efficiency Measures-DBT'!$B$26,"")&amp;", "&amp;IF(AND(J31&gt;AC31,AJ31&gt;AC31),'Energy Efficiency Measures-DBT'!$B$25,"")</f>
        <v>MR3, MR2</v>
      </c>
    </row>
    <row r="32" spans="1:45">
      <c r="A32" s="48" t="s">
        <v>109</v>
      </c>
      <c r="B32" s="48" t="s">
        <v>64</v>
      </c>
      <c r="C32" s="48"/>
      <c r="D32" s="47" t="s">
        <v>10</v>
      </c>
      <c r="E32" s="498">
        <v>0.45</v>
      </c>
      <c r="F32" s="498">
        <v>0.45</v>
      </c>
      <c r="G32" s="498">
        <v>0.18</v>
      </c>
      <c r="H32" s="498">
        <v>0.18</v>
      </c>
      <c r="I32" s="498">
        <v>0.15</v>
      </c>
      <c r="J32" s="499">
        <v>0.15</v>
      </c>
      <c r="K32" s="45">
        <f>SUMPRODUCT('Dwelling stock'!E32:J32,'Ceiling-U'!E32:J32)/SUM('Dwelling stock'!E32:J32)</f>
        <v>0.2920846453631783</v>
      </c>
      <c r="M32" s="54"/>
      <c r="P32" s="44" t="s">
        <v>64</v>
      </c>
      <c r="Q32" s="392">
        <f>1/((1/$E32)+LOOKUP($A32,'Energy Efficiency Measures-DBT'!$D$11:$AN$11,'Energy Efficiency Measures-DBT'!$D$23:$AN$23))</f>
        <v>0.21176470588235294</v>
      </c>
      <c r="R32" s="393">
        <f>1/((1/$F32)+LOOKUP($A32,'Energy Efficiency Measures-DBT'!$D$11:$AN$11,'Energy Efficiency Measures-DBT'!$D$23:$AN$23))</f>
        <v>0.21176470588235294</v>
      </c>
      <c r="S32" s="393">
        <f>1/((1/$G32)+LOOKUP($A32,'Energy Efficiency Measures-DBT'!$D$11:$AN$11,'Energy Efficiency Measures-DBT'!$D$23:$AN$23))</f>
        <v>0.12413793103448276</v>
      </c>
      <c r="T32" s="393">
        <f>1/((1/$H32)+LOOKUP($A32,'Energy Efficiency Measures-DBT'!$D$11:$AN$11,'Energy Efficiency Measures-DBT'!$D$23:$AN$23))</f>
        <v>0.12413793103448276</v>
      </c>
      <c r="U32" s="393">
        <f>1/((1/$I32)+LOOKUP($A32,'Energy Efficiency Measures-DBT'!$D$11:$AN$11,'Energy Efficiency Measures-DBT'!$D$23:$AN$23))</f>
        <v>0.10909090909090907</v>
      </c>
      <c r="V32" s="306">
        <f>1/((1/$J32)+LOOKUP($A32,'Energy Efficiency Measures-DBT'!$D$11:$AN$11,'Energy Efficiency Measures-DBT'!$D$23:$AN$23))</f>
        <v>0.10909090909090907</v>
      </c>
      <c r="W32" s="306">
        <f>1/((1/$K32)+LOOKUP($A32,'Energy Efficiency Measures-DBT'!$D$11:$AN$11,'Energy Efficiency Measures-DBT'!$D$23:$AN$23))</f>
        <v>0.16881440576385218</v>
      </c>
      <c r="X32" s="392">
        <f>1/((1/$E32)+LOOKUP($A32,'Energy Efficiency Measures-DBT'!$D$11:$AN$11,'Energy Efficiency Measures-DBT'!$D$22:$AN$22))</f>
        <v>0.16744186046511628</v>
      </c>
      <c r="Y32" s="393">
        <f>1/((1/$F32)+LOOKUP($A32,'Energy Efficiency Measures-DBT'!$D$11:$AN$11,'Energy Efficiency Measures-DBT'!$D$22:$AN$22))</f>
        <v>0.16744186046511628</v>
      </c>
      <c r="Z32" s="393">
        <f>1/((1/$G32)+LOOKUP($A32,'Energy Efficiency Measures-DBT'!$D$11:$AN$11,'Energy Efficiency Measures-DBT'!$D$22:$AN$22))</f>
        <v>0.10746268656716418</v>
      </c>
      <c r="AA32" s="393">
        <f>1/((1/$H32)+LOOKUP($A32,'Energy Efficiency Measures-DBT'!$D$11:$AN$11,'Energy Efficiency Measures-DBT'!$D$22:$AN$22))</f>
        <v>0.10746268656716418</v>
      </c>
      <c r="AB32" s="393">
        <f>1/((1/$I32)+LOOKUP($A32,'Energy Efficiency Measures-DBT'!$D$11:$AN$11,'Energy Efficiency Measures-DBT'!$D$22:$AN$22))</f>
        <v>9.5999999999999988E-2</v>
      </c>
      <c r="AC32" s="306">
        <f>1/((1/$J32)+LOOKUP($A32,'Energy Efficiency Measures-DBT'!$D$11:$AN$11,'Energy Efficiency Measures-DBT'!$D$22:$AN$22))</f>
        <v>9.5999999999999988E-2</v>
      </c>
      <c r="AD32" s="306">
        <f>1/((1/$K32)+LOOKUP($A32,'Energy Efficiency Measures-DBT'!$D$11:$AN$11,'Energy Efficiency Measures-DBT'!$D$22:$AN$22))</f>
        <v>0.13939875770592172</v>
      </c>
      <c r="AG32" s="48" t="s">
        <v>64</v>
      </c>
      <c r="AH32" s="47"/>
      <c r="AI32" s="262">
        <v>5</v>
      </c>
      <c r="AJ32" s="264">
        <v>5</v>
      </c>
      <c r="AK32" s="262">
        <v>5</v>
      </c>
      <c r="AL32" s="264">
        <v>5</v>
      </c>
      <c r="AM32" s="346" t="str">
        <f>IF(AND(E32&gt;Q32,AJ32&gt;Q32),'Energy Efficiency Measures-DBT'!$B$26,"")&amp;", "&amp;IF(AND(E32&gt;X32,AJ32&gt;X32),'Energy Efficiency Measures-DBT'!$B$25,"")</f>
        <v>MR3, MR2</v>
      </c>
      <c r="AN32" s="5" t="str">
        <f>IF(AND(F32&gt;R32,AJ32&gt;R32),'Energy Efficiency Measures-DBT'!$B$26,"")&amp;", "&amp;IF(AND(F32&gt;Y32,AJ32&gt;Y32),'Energy Efficiency Measures-DBT'!$B$25,"")</f>
        <v>MR3, MR2</v>
      </c>
      <c r="AO32" s="5" t="str">
        <f>IF(AND(G32&gt;S32,AJ32&gt;S32),'Energy Efficiency Measures-DBT'!$B$26,"")&amp;", "&amp;IF(AND(G32&gt;Z32,AJ32&gt;Z32),'Energy Efficiency Measures-DBT'!$B$25,"")</f>
        <v>MR3, MR2</v>
      </c>
      <c r="AP32" s="5" t="str">
        <f>IF(AND(H32&gt;T32,AJ32&gt;T32),'Energy Efficiency Measures-DBT'!$B$26,"")&amp;", "&amp;IF(AND(H32&gt;AA32,AJ32&gt;AA32),'Energy Efficiency Measures-DBT'!$B$25,"")</f>
        <v>MR3, MR2</v>
      </c>
      <c r="AQ32" s="5" t="str">
        <f>IF(AND(I32&gt;U32,AJ32&gt;U32),'Energy Efficiency Measures-DBT'!$B$26,"")&amp;", "&amp;IF(AND(I32&gt;AB32,AJ32&gt;AB32),'Energy Efficiency Measures-DBT'!$B$25,"")</f>
        <v>MR3, MR2</v>
      </c>
      <c r="AR32" s="426" t="str">
        <f>IF(AND(J32&gt;V32,AJ32&gt;V32),'Energy Efficiency Measures-DBT'!$B$26,"")&amp;", "&amp;IF(AND(J32&gt;AC32,AJ32&gt;AC32),'Energy Efficiency Measures-DBT'!$B$25,"")</f>
        <v>MR3, MR2</v>
      </c>
    </row>
    <row r="33" spans="1:56">
      <c r="A33" s="48" t="s">
        <v>110</v>
      </c>
      <c r="B33" s="48" t="s">
        <v>42</v>
      </c>
      <c r="C33" s="48" t="s">
        <v>21</v>
      </c>
      <c r="D33" s="47" t="s">
        <v>10</v>
      </c>
      <c r="E33" s="498">
        <v>1.9557</v>
      </c>
      <c r="F33" s="498">
        <v>0.87</v>
      </c>
      <c r="G33" s="498">
        <v>0.57499999999999996</v>
      </c>
      <c r="H33" s="498">
        <v>0.57499999999999996</v>
      </c>
      <c r="I33" s="498">
        <v>0.57499999999999996</v>
      </c>
      <c r="J33" s="499">
        <v>0.6</v>
      </c>
      <c r="K33" s="45">
        <f>SUMPRODUCT('Dwelling stock'!E33:J33,'Ceiling-U'!E33:J33)/SUM('Dwelling stock'!E33:J33)</f>
        <v>0.9287697529082849</v>
      </c>
      <c r="M33" s="54">
        <v>0.70119600000000004</v>
      </c>
      <c r="P33" s="44" t="s">
        <v>42</v>
      </c>
      <c r="Q33" s="392">
        <f>1/((1/$E33)+LOOKUP($A33,'Energy Efficiency Measures-DBT'!$D$11:$AN$11,'Energy Efficiency Measures-DBT'!$D$23:$AN$23))</f>
        <v>0.33207963662605594</v>
      </c>
      <c r="R33" s="393">
        <f>1/((1/$F33)+LOOKUP($A33,'Energy Efficiency Measures-DBT'!$D$11:$AN$11,'Energy Efficiency Measures-DBT'!$D$23:$AN$23))</f>
        <v>0.27401574803149609</v>
      </c>
      <c r="S33" s="393">
        <f>1/((1/$G33)+LOOKUP($A33,'Energy Efficiency Measures-DBT'!$D$11:$AN$11,'Energy Efficiency Measures-DBT'!$D$23:$AN$23))</f>
        <v>0.23589743589743586</v>
      </c>
      <c r="T33" s="393">
        <f>1/((1/$H33)+LOOKUP($A33,'Energy Efficiency Measures-DBT'!$D$11:$AN$11,'Energy Efficiency Measures-DBT'!$D$23:$AN$23))</f>
        <v>0.23589743589743586</v>
      </c>
      <c r="U33" s="393">
        <f>1/((1/$I33)+LOOKUP($A33,'Energy Efficiency Measures-DBT'!$D$11:$AN$11,'Energy Efficiency Measures-DBT'!$D$23:$AN$23))</f>
        <v>0.23589743589743586</v>
      </c>
      <c r="V33" s="306">
        <f>1/((1/$J33)+LOOKUP($A33,'Energy Efficiency Measures-DBT'!$D$11:$AN$11,'Energy Efficiency Measures-DBT'!$D$23:$AN$23))</f>
        <v>0.24</v>
      </c>
      <c r="W33" s="306">
        <f>1/((1/$K33)+LOOKUP($A33,'Energy Efficiency Measures-DBT'!$D$11:$AN$11,'Energy Efficiency Measures-DBT'!$D$23:$AN$23))</f>
        <v>0.27958786716072731</v>
      </c>
      <c r="X33" s="392">
        <f>1/((1/$E33)+LOOKUP($A33,'Energy Efficiency Measures-DBT'!$D$11:$AN$11,'Energy Efficiency Measures-DBT'!$D$22:$AN$22))</f>
        <v>0.23466874653147549</v>
      </c>
      <c r="Y33" s="393">
        <f>1/((1/$F33)+LOOKUP($A33,'Energy Efficiency Measures-DBT'!$D$11:$AN$11,'Energy Efficiency Measures-DBT'!$D$22:$AN$22))</f>
        <v>0.20410557184750733</v>
      </c>
      <c r="Z33" s="393">
        <f>1/((1/$G33)+LOOKUP($A33,'Energy Efficiency Measures-DBT'!$D$11:$AN$11,'Energy Efficiency Measures-DBT'!$D$22:$AN$22))</f>
        <v>0.18217821782178215</v>
      </c>
      <c r="AA33" s="393">
        <f>1/((1/$H33)+LOOKUP($A33,'Energy Efficiency Measures-DBT'!$D$11:$AN$11,'Energy Efficiency Measures-DBT'!$D$22:$AN$22))</f>
        <v>0.18217821782178215</v>
      </c>
      <c r="AB33" s="393">
        <f>1/((1/$I33)+LOOKUP($A33,'Energy Efficiency Measures-DBT'!$D$11:$AN$11,'Energy Efficiency Measures-DBT'!$D$22:$AN$22))</f>
        <v>0.18217821782178215</v>
      </c>
      <c r="AC33" s="306">
        <f>1/((1/$J33)+LOOKUP($A33,'Energy Efficiency Measures-DBT'!$D$11:$AN$11,'Energy Efficiency Measures-DBT'!$D$22:$AN$22))</f>
        <v>0.1846153846153846</v>
      </c>
      <c r="AD33" s="306">
        <f>1/((1/$K33)+LOOKUP($A33,'Energy Efficiency Measures-DBT'!$D$11:$AN$11,'Energy Efficiency Measures-DBT'!$D$22:$AN$22))</f>
        <v>0.20718118509133093</v>
      </c>
      <c r="AG33" s="48" t="s">
        <v>42</v>
      </c>
      <c r="AH33" s="47"/>
      <c r="AI33" s="262">
        <v>5</v>
      </c>
      <c r="AJ33" s="264">
        <v>5</v>
      </c>
      <c r="AK33" s="262">
        <v>5</v>
      </c>
      <c r="AL33" s="264">
        <v>5</v>
      </c>
      <c r="AM33" s="346" t="str">
        <f>IF(AND(E33&gt;Q33,AJ33&gt;Q33),'Energy Efficiency Measures-DBT'!$B$26,"")&amp;", "&amp;IF(AND(E33&gt;X33,AJ33&gt;X33),'Energy Efficiency Measures-DBT'!$B$25,"")</f>
        <v>MR3, MR2</v>
      </c>
      <c r="AN33" s="5" t="str">
        <f>IF(AND(F33&gt;R33,AJ33&gt;R33),'Energy Efficiency Measures-DBT'!$B$26,"")&amp;", "&amp;IF(AND(F33&gt;Y33,AJ33&gt;Y33),'Energy Efficiency Measures-DBT'!$B$25,"")</f>
        <v>MR3, MR2</v>
      </c>
      <c r="AO33" s="5" t="str">
        <f>IF(AND(G33&gt;S33,AJ33&gt;S33),'Energy Efficiency Measures-DBT'!$B$26,"")&amp;", "&amp;IF(AND(G33&gt;Z33,AJ33&gt;Z33),'Energy Efficiency Measures-DBT'!$B$25,"")</f>
        <v>MR3, MR2</v>
      </c>
      <c r="AP33" s="5" t="str">
        <f>IF(AND(H33&gt;T33,AJ33&gt;T33),'Energy Efficiency Measures-DBT'!$B$26,"")&amp;", "&amp;IF(AND(H33&gt;AA33,AJ33&gt;AA33),'Energy Efficiency Measures-DBT'!$B$25,"")</f>
        <v>MR3, MR2</v>
      </c>
      <c r="AQ33" s="5" t="str">
        <f>IF(AND(I33&gt;U33,AJ33&gt;U33),'Energy Efficiency Measures-DBT'!$B$26,"")&amp;", "&amp;IF(AND(I33&gt;AB33,AJ33&gt;AB33),'Energy Efficiency Measures-DBT'!$B$25,"")</f>
        <v>MR3, MR2</v>
      </c>
      <c r="AR33" s="426" t="str">
        <f>IF(AND(J33&gt;V33,AJ33&gt;V33),'Energy Efficiency Measures-DBT'!$B$26,"")&amp;", "&amp;IF(AND(J33&gt;AC33,AJ33&gt;AC33),'Energy Efficiency Measures-DBT'!$B$25,"")</f>
        <v>MR3, MR2</v>
      </c>
    </row>
    <row r="34" spans="1:56">
      <c r="A34" s="48" t="s">
        <v>111</v>
      </c>
      <c r="B34" s="48" t="s">
        <v>43</v>
      </c>
      <c r="C34" s="48" t="s">
        <v>14</v>
      </c>
      <c r="D34" s="47" t="s">
        <v>10</v>
      </c>
      <c r="E34" s="498">
        <v>3.1</v>
      </c>
      <c r="F34" s="498">
        <v>2.9</v>
      </c>
      <c r="G34" s="498">
        <v>2.7</v>
      </c>
      <c r="H34" s="498">
        <v>2.6</v>
      </c>
      <c r="I34" s="498">
        <v>2.4</v>
      </c>
      <c r="J34" s="499">
        <v>1.325</v>
      </c>
      <c r="K34" s="45">
        <f>SUMPRODUCT('Dwelling stock'!E34:J34,'Ceiling-U'!E34:J34)/SUM('Dwelling stock'!E34:J34)</f>
        <v>2.5665752779004301</v>
      </c>
      <c r="M34" s="54">
        <v>2.575612</v>
      </c>
      <c r="P34" s="44" t="s">
        <v>43</v>
      </c>
      <c r="Q34" s="392">
        <f>1/((1/$E34)+LOOKUP($A34,'Energy Efficiency Measures-DBT'!$D$11:$AN$11,'Energy Efficiency Measures-DBT'!$D$23:$AN$23))</f>
        <v>0.35428571428571426</v>
      </c>
      <c r="R34" s="393">
        <f>1/((1/$F34)+LOOKUP($A34,'Energy Efficiency Measures-DBT'!$D$11:$AN$11,'Energy Efficiency Measures-DBT'!$D$23:$AN$23))</f>
        <v>0.3515151515151515</v>
      </c>
      <c r="S34" s="393">
        <f>1/((1/$G34)+LOOKUP($A34,'Energy Efficiency Measures-DBT'!$D$11:$AN$11,'Energy Efficiency Measures-DBT'!$D$23:$AN$23))</f>
        <v>0.34838709677419355</v>
      </c>
      <c r="T34" s="393">
        <f>1/((1/$H34)+LOOKUP($A34,'Energy Efficiency Measures-DBT'!$D$11:$AN$11,'Energy Efficiency Measures-DBT'!$D$23:$AN$23))</f>
        <v>0.34666666666666668</v>
      </c>
      <c r="U34" s="393">
        <f>1/((1/$I34)+LOOKUP($A34,'Energy Efficiency Measures-DBT'!$D$11:$AN$11,'Energy Efficiency Measures-DBT'!$D$23:$AN$23))</f>
        <v>0.34285714285714286</v>
      </c>
      <c r="V34" s="306">
        <f>1/((1/$J34)+LOOKUP($A34,'Energy Efficiency Measures-DBT'!$D$11:$AN$11,'Energy Efficiency Measures-DBT'!$D$23:$AN$23))</f>
        <v>0.30724637681159422</v>
      </c>
      <c r="W34" s="306">
        <f>1/((1/$K34)+LOOKUP($A34,'Energy Efficiency Measures-DBT'!$D$11:$AN$11,'Energy Efficiency Measures-DBT'!$D$23:$AN$23))</f>
        <v>0.34606575427499731</v>
      </c>
      <c r="X34" s="392">
        <f>1/((1/$E34)+LOOKUP($A34,'Energy Efficiency Measures-DBT'!$D$11:$AN$11,'Energy Efficiency Measures-DBT'!$D$22:$AN$22))</f>
        <v>0.24554455445544557</v>
      </c>
      <c r="Y34" s="393">
        <f>1/((1/$F34)+LOOKUP($A34,'Energy Efficiency Measures-DBT'!$D$11:$AN$11,'Energy Efficiency Measures-DBT'!$D$22:$AN$22))</f>
        <v>0.24421052631578946</v>
      </c>
      <c r="Z34" s="393">
        <f>1/((1/$G34)+LOOKUP($A34,'Energy Efficiency Measures-DBT'!$D$11:$AN$11,'Energy Efficiency Measures-DBT'!$D$22:$AN$22))</f>
        <v>0.24269662921348314</v>
      </c>
      <c r="AA34" s="393">
        <f>1/((1/$H34)+LOOKUP($A34,'Energy Efficiency Measures-DBT'!$D$11:$AN$11,'Energy Efficiency Measures-DBT'!$D$22:$AN$22))</f>
        <v>0.24186046511627904</v>
      </c>
      <c r="AB34" s="393">
        <f>1/((1/$I34)+LOOKUP($A34,'Energy Efficiency Measures-DBT'!$D$11:$AN$11,'Energy Efficiency Measures-DBT'!$D$22:$AN$22))</f>
        <v>0.24</v>
      </c>
      <c r="AC34" s="306">
        <f>1/((1/$J34)+LOOKUP($A34,'Energy Efficiency Measures-DBT'!$D$11:$AN$11,'Energy Efficiency Measures-DBT'!$D$22:$AN$22))</f>
        <v>0.22198952879581152</v>
      </c>
      <c r="AD34" s="306">
        <f>1/((1/$K34)+LOOKUP($A34,'Energy Efficiency Measures-DBT'!$D$11:$AN$11,'Energy Efficiency Measures-DBT'!$D$22:$AN$22))</f>
        <v>0.2415678178911603</v>
      </c>
      <c r="AG34" s="48" t="s">
        <v>43</v>
      </c>
      <c r="AH34" s="47"/>
      <c r="AI34" s="262">
        <v>5</v>
      </c>
      <c r="AJ34" s="264">
        <v>5</v>
      </c>
      <c r="AK34" s="262">
        <v>5</v>
      </c>
      <c r="AL34" s="264">
        <v>5</v>
      </c>
      <c r="AM34" s="346" t="str">
        <f>IF(AND(E34&gt;Q34,AJ34&gt;Q34),'Energy Efficiency Measures-DBT'!$B$26,"")&amp;", "&amp;IF(AND(E34&gt;X34,AJ34&gt;X34),'Energy Efficiency Measures-DBT'!$B$25,"")</f>
        <v>MR3, MR2</v>
      </c>
      <c r="AN34" s="5" t="str">
        <f>IF(AND(F34&gt;R34,AJ34&gt;R34),'Energy Efficiency Measures-DBT'!$B$26,"")&amp;", "&amp;IF(AND(F34&gt;Y34,AJ34&gt;Y34),'Energy Efficiency Measures-DBT'!$B$25,"")</f>
        <v>MR3, MR2</v>
      </c>
      <c r="AO34" s="5" t="str">
        <f>IF(AND(G34&gt;S34,AJ34&gt;S34),'Energy Efficiency Measures-DBT'!$B$26,"")&amp;", "&amp;IF(AND(G34&gt;Z34,AJ34&gt;Z34),'Energy Efficiency Measures-DBT'!$B$25,"")</f>
        <v>MR3, MR2</v>
      </c>
      <c r="AP34" s="5" t="str">
        <f>IF(AND(H34&gt;T34,AJ34&gt;T34),'Energy Efficiency Measures-DBT'!$B$26,"")&amp;", "&amp;IF(AND(H34&gt;AA34,AJ34&gt;AA34),'Energy Efficiency Measures-DBT'!$B$25,"")</f>
        <v>MR3, MR2</v>
      </c>
      <c r="AQ34" s="5" t="str">
        <f>IF(AND(I34&gt;U34,AJ34&gt;U34),'Energy Efficiency Measures-DBT'!$B$26,"")&amp;", "&amp;IF(AND(I34&gt;AB34,AJ34&gt;AB34),'Energy Efficiency Measures-DBT'!$B$25,"")</f>
        <v>MR3, MR2</v>
      </c>
      <c r="AR34" s="426" t="str">
        <f>IF(AND(J34&gt;V34,AJ34&gt;V34),'Energy Efficiency Measures-DBT'!$B$26,"")&amp;", "&amp;IF(AND(J34&gt;AC34,AJ34&gt;AC34),'Energy Efficiency Measures-DBT'!$B$25,"")</f>
        <v>MR3, MR2</v>
      </c>
    </row>
    <row r="35" spans="1:56">
      <c r="A35" s="48" t="s">
        <v>112</v>
      </c>
      <c r="B35" s="48" t="s">
        <v>44</v>
      </c>
      <c r="C35" s="48" t="s">
        <v>14</v>
      </c>
      <c r="D35" s="47" t="s">
        <v>10</v>
      </c>
      <c r="E35" s="498">
        <v>1.4</v>
      </c>
      <c r="F35" s="498">
        <v>1.3</v>
      </c>
      <c r="G35" s="498">
        <v>1.3</v>
      </c>
      <c r="H35" s="498">
        <v>1.2</v>
      </c>
      <c r="I35" s="498">
        <v>1.2</v>
      </c>
      <c r="J35" s="499">
        <v>1</v>
      </c>
      <c r="K35" s="45">
        <f>SUMPRODUCT('Dwelling stock'!E35:J35,'Ceiling-U'!E35:J35)/SUM('Dwelling stock'!E35:J35)</f>
        <v>1.2645332266613332</v>
      </c>
      <c r="M35" s="54">
        <v>1.308432</v>
      </c>
      <c r="P35" s="44" t="s">
        <v>44</v>
      </c>
      <c r="Q35" s="392">
        <f>1/((1/$E35)+LOOKUP($A35,'Energy Efficiency Measures-DBT'!$D$11:$AN$11,'Energy Efficiency Measures-DBT'!$D$23:$AN$23))</f>
        <v>0.31111111111111112</v>
      </c>
      <c r="R35" s="393">
        <f>1/((1/$F35)+LOOKUP($A35,'Energy Efficiency Measures-DBT'!$D$11:$AN$11,'Energy Efficiency Measures-DBT'!$D$23:$AN$23))</f>
        <v>0.30588235294117649</v>
      </c>
      <c r="S35" s="393">
        <f>1/((1/$G35)+LOOKUP($A35,'Energy Efficiency Measures-DBT'!$D$11:$AN$11,'Energy Efficiency Measures-DBT'!$D$23:$AN$23))</f>
        <v>0.30588235294117649</v>
      </c>
      <c r="T35" s="393">
        <f>1/((1/$H35)+LOOKUP($A35,'Energy Efficiency Measures-DBT'!$D$11:$AN$11,'Energy Efficiency Measures-DBT'!$D$23:$AN$23))</f>
        <v>0.3</v>
      </c>
      <c r="U35" s="393">
        <f>1/((1/$I35)+LOOKUP($A35,'Energy Efficiency Measures-DBT'!$D$11:$AN$11,'Energy Efficiency Measures-DBT'!$D$23:$AN$23))</f>
        <v>0.3</v>
      </c>
      <c r="V35" s="306">
        <f>1/((1/$J35)+LOOKUP($A35,'Energy Efficiency Measures-DBT'!$D$11:$AN$11,'Energy Efficiency Measures-DBT'!$D$23:$AN$23))</f>
        <v>0.2857142857142857</v>
      </c>
      <c r="W35" s="306">
        <f>1/((1/$K35)+LOOKUP($A35,'Energy Efficiency Measures-DBT'!$D$11:$AN$11,'Energy Efficiency Measures-DBT'!$D$23:$AN$23))</f>
        <v>0.30387695635194811</v>
      </c>
      <c r="X35" s="392">
        <f>1/((1/$E35)+LOOKUP($A35,'Energy Efficiency Measures-DBT'!$D$11:$AN$11,'Energy Efficiency Measures-DBT'!$D$22:$AN$22))</f>
        <v>0.224</v>
      </c>
      <c r="Y35" s="393">
        <f>1/((1/$F35)+LOOKUP($A35,'Energy Efficiency Measures-DBT'!$D$11:$AN$11,'Energy Efficiency Measures-DBT'!$D$22:$AN$22))</f>
        <v>0.22127659574468087</v>
      </c>
      <c r="Z35" s="393">
        <f>1/((1/$G35)+LOOKUP($A35,'Energy Efficiency Measures-DBT'!$D$11:$AN$11,'Energy Efficiency Measures-DBT'!$D$22:$AN$22))</f>
        <v>0.22127659574468087</v>
      </c>
      <c r="AA35" s="393">
        <f>1/((1/$H35)+LOOKUP($A35,'Energy Efficiency Measures-DBT'!$D$11:$AN$11,'Energy Efficiency Measures-DBT'!$D$22:$AN$22))</f>
        <v>0.2181818181818182</v>
      </c>
      <c r="AB35" s="393">
        <f>1/((1/$I35)+LOOKUP($A35,'Energy Efficiency Measures-DBT'!$D$11:$AN$11,'Energy Efficiency Measures-DBT'!$D$22:$AN$22))</f>
        <v>0.2181818181818182</v>
      </c>
      <c r="AC35" s="306">
        <f>1/((1/$J35)+LOOKUP($A35,'Energy Efficiency Measures-DBT'!$D$11:$AN$11,'Energy Efficiency Measures-DBT'!$D$22:$AN$22))</f>
        <v>0.21052631578947367</v>
      </c>
      <c r="AD35" s="306">
        <f>1/((1/$K35)+LOOKUP($A35,'Energy Efficiency Measures-DBT'!$D$11:$AN$11,'Energy Efficiency Measures-DBT'!$D$22:$AN$22))</f>
        <v>0.22022523767952507</v>
      </c>
      <c r="AE35" s="43"/>
      <c r="AG35" s="48" t="s">
        <v>44</v>
      </c>
      <c r="AH35" s="47" t="s">
        <v>283</v>
      </c>
      <c r="AI35" s="428">
        <v>0.2</v>
      </c>
      <c r="AJ35" s="430">
        <v>0.33</v>
      </c>
      <c r="AK35" s="428">
        <f>AI35</f>
        <v>0.2</v>
      </c>
      <c r="AL35" s="430">
        <f>AJ35</f>
        <v>0.33</v>
      </c>
      <c r="AM35" s="346" t="str">
        <f>IF(AND(E35&gt;Q35,AJ35&gt;Q35),'Energy Efficiency Measures-DBT'!$B$26,"")&amp;", "&amp;IF(AND(E35&gt;X35,AJ35&gt;X35),'Energy Efficiency Measures-DBT'!$B$25,"")</f>
        <v>MR3, MR2</v>
      </c>
      <c r="AN35" s="5" t="str">
        <f>IF(AND(F35&gt;R35,AJ35&gt;R35),'Energy Efficiency Measures-DBT'!$B$26,"")&amp;", "&amp;IF(AND(F35&gt;Y35,AJ35&gt;Y35),'Energy Efficiency Measures-DBT'!$B$25,"")</f>
        <v>MR3, MR2</v>
      </c>
      <c r="AO35" s="5" t="str">
        <f>IF(AND(G35&gt;S35,AJ35&gt;S35),'Energy Efficiency Measures-DBT'!$B$26,"")&amp;", "&amp;IF(AND(G35&gt;Z35,AJ35&gt;Z35),'Energy Efficiency Measures-DBT'!$B$25,"")</f>
        <v>MR3, MR2</v>
      </c>
      <c r="AP35" s="5" t="str">
        <f>IF(AND(H35&gt;T35,AJ35&gt;T35),'Energy Efficiency Measures-DBT'!$B$26,"")&amp;", "&amp;IF(AND(H35&gt;AA35,AJ35&gt;AA35),'Energy Efficiency Measures-DBT'!$B$25,"")</f>
        <v>MR3, MR2</v>
      </c>
      <c r="AQ35" s="5" t="str">
        <f>IF(AND(I35&gt;U35,AJ35&gt;U35),'Energy Efficiency Measures-DBT'!$B$26,"")&amp;", "&amp;IF(AND(I35&gt;AB35,AJ35&gt;AB35),'Energy Efficiency Measures-DBT'!$B$25,"")</f>
        <v>MR3, MR2</v>
      </c>
      <c r="AR35" s="426" t="str">
        <f>IF(AND(J35&gt;V35,AJ35&gt;V35),'Energy Efficiency Measures-DBT'!$B$26,"")&amp;", "&amp;IF(AND(J35&gt;AC35,AJ35&gt;AC35),'Energy Efficiency Measures-DBT'!$B$25,"")</f>
        <v>MR3, MR2</v>
      </c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</row>
    <row r="36" spans="1:56">
      <c r="A36" s="48" t="s">
        <v>121</v>
      </c>
      <c r="B36" s="48" t="s">
        <v>53</v>
      </c>
      <c r="C36" s="48" t="s">
        <v>54</v>
      </c>
      <c r="D36" s="47" t="s">
        <v>10</v>
      </c>
      <c r="E36" s="498">
        <v>1.1599999999999999</v>
      </c>
      <c r="F36" s="498">
        <v>1.1599999999999999</v>
      </c>
      <c r="G36" s="498">
        <v>1.1599999999999999</v>
      </c>
      <c r="H36" s="498">
        <v>0.75</v>
      </c>
      <c r="I36" s="498">
        <v>0.6</v>
      </c>
      <c r="J36" s="499">
        <v>0.45</v>
      </c>
      <c r="K36" s="45">
        <f>SUMPRODUCT('Dwelling stock'!E36:J36,'Ceiling-U'!E36:J36)/SUM('Dwelling stock'!E36:J36)</f>
        <v>0.98222750033822659</v>
      </c>
      <c r="M36" s="54">
        <v>1.026367</v>
      </c>
      <c r="P36" s="44" t="s">
        <v>53</v>
      </c>
      <c r="Q36" s="392">
        <f>1/((1/$E36)+LOOKUP($A36,'Energy Efficiency Measures-DBT'!$D$11:$AN$11,'Energy Efficiency Measures-DBT'!$D$23:$AN$23))</f>
        <v>0.29743589743589743</v>
      </c>
      <c r="R36" s="393">
        <f>1/((1/$F36)+LOOKUP($A36,'Energy Efficiency Measures-DBT'!$D$11:$AN$11,'Energy Efficiency Measures-DBT'!$D$23:$AN$23))</f>
        <v>0.29743589743589743</v>
      </c>
      <c r="S36" s="393">
        <f>1/((1/$G36)+LOOKUP($A36,'Energy Efficiency Measures-DBT'!$D$11:$AN$11,'Energy Efficiency Measures-DBT'!$D$23:$AN$23))</f>
        <v>0.29743589743589743</v>
      </c>
      <c r="T36" s="393">
        <f>1/((1/$H36)+LOOKUP($A36,'Energy Efficiency Measures-DBT'!$D$11:$AN$11,'Energy Efficiency Measures-DBT'!$D$23:$AN$23))</f>
        <v>0.2608695652173913</v>
      </c>
      <c r="U36" s="393">
        <f>1/((1/$I36)+LOOKUP($A36,'Energy Efficiency Measures-DBT'!$D$11:$AN$11,'Energy Efficiency Measures-DBT'!$D$23:$AN$23))</f>
        <v>0.24</v>
      </c>
      <c r="V36" s="306">
        <f>1/((1/$J36)+LOOKUP($A36,'Energy Efficiency Measures-DBT'!$D$11:$AN$11,'Energy Efficiency Measures-DBT'!$D$23:$AN$23))</f>
        <v>0.21176470588235294</v>
      </c>
      <c r="W36" s="306">
        <f>1/((1/$K36)+LOOKUP($A36,'Energy Efficiency Measures-DBT'!$D$11:$AN$11,'Energy Efficiency Measures-DBT'!$D$23:$AN$23))</f>
        <v>0.28424481500993976</v>
      </c>
      <c r="X36" s="392">
        <f>1/((1/$E36)+LOOKUP($A36,'Energy Efficiency Measures-DBT'!$D$11:$AN$11,'Energy Efficiency Measures-DBT'!$D$22:$AN$22))</f>
        <v>0.21682242990654207</v>
      </c>
      <c r="Y36" s="393">
        <f>1/((1/$F36)+LOOKUP($A36,'Energy Efficiency Measures-DBT'!$D$11:$AN$11,'Energy Efficiency Measures-DBT'!$D$22:$AN$22))</f>
        <v>0.21682242990654207</v>
      </c>
      <c r="Z36" s="393">
        <f>1/((1/$G36)+LOOKUP($A36,'Energy Efficiency Measures-DBT'!$D$11:$AN$11,'Energy Efficiency Measures-DBT'!$D$22:$AN$22))</f>
        <v>0.21682242990654207</v>
      </c>
      <c r="AA36" s="393">
        <f>1/((1/$H36)+LOOKUP($A36,'Energy Efficiency Measures-DBT'!$D$11:$AN$11,'Energy Efficiency Measures-DBT'!$D$22:$AN$22))</f>
        <v>0.19672131147540986</v>
      </c>
      <c r="AB36" s="393">
        <f>1/((1/$I36)+LOOKUP($A36,'Energy Efficiency Measures-DBT'!$D$11:$AN$11,'Energy Efficiency Measures-DBT'!$D$22:$AN$22))</f>
        <v>0.1846153846153846</v>
      </c>
      <c r="AC36" s="306">
        <f>1/((1/$J36)+LOOKUP($A36,'Energy Efficiency Measures-DBT'!$D$11:$AN$11,'Energy Efficiency Measures-DBT'!$D$22:$AN$22))</f>
        <v>0.16744186046511628</v>
      </c>
      <c r="AD36" s="306">
        <f>1/((1/$K36)+LOOKUP($A36,'Energy Efficiency Measures-DBT'!$D$11:$AN$11,'Energy Efficiency Measures-DBT'!$D$22:$AN$22))</f>
        <v>0.20972740552682942</v>
      </c>
      <c r="AG36" s="48" t="s">
        <v>53</v>
      </c>
      <c r="AH36" s="47"/>
      <c r="AI36" s="262">
        <v>5</v>
      </c>
      <c r="AJ36" s="264">
        <v>5</v>
      </c>
      <c r="AK36" s="262">
        <v>5</v>
      </c>
      <c r="AL36" s="264">
        <v>5</v>
      </c>
      <c r="AM36" s="346" t="str">
        <f>IF(AND(E36&gt;Q36,AJ36&gt;Q36),'Energy Efficiency Measures-DBT'!$B$26,"")&amp;", "&amp;IF(AND(E36&gt;X36,AJ36&gt;X36),'Energy Efficiency Measures-DBT'!$B$25,"")</f>
        <v>MR3, MR2</v>
      </c>
      <c r="AN36" s="5" t="str">
        <f>IF(AND(F36&gt;R36,AJ36&gt;R36),'Energy Efficiency Measures-DBT'!$B$26,"")&amp;", "&amp;IF(AND(F36&gt;Y36,AJ36&gt;Y36),'Energy Efficiency Measures-DBT'!$B$25,"")</f>
        <v>MR3, MR2</v>
      </c>
      <c r="AO36" s="5" t="str">
        <f>IF(AND(G36&gt;S36,AJ36&gt;S36),'Energy Efficiency Measures-DBT'!$B$26,"")&amp;", "&amp;IF(AND(G36&gt;Z36,AJ36&gt;Z36),'Energy Efficiency Measures-DBT'!$B$25,"")</f>
        <v>MR3, MR2</v>
      </c>
      <c r="AP36" s="5" t="str">
        <f>IF(AND(H36&gt;T36,AJ36&gt;T36),'Energy Efficiency Measures-DBT'!$B$26,"")&amp;", "&amp;IF(AND(H36&gt;AA36,AJ36&gt;AA36),'Energy Efficiency Measures-DBT'!$B$25,"")</f>
        <v>MR3, MR2</v>
      </c>
      <c r="AQ36" s="5" t="str">
        <f>IF(AND(I36&gt;U36,AJ36&gt;U36),'Energy Efficiency Measures-DBT'!$B$26,"")&amp;", "&amp;IF(AND(I36&gt;AB36,AJ36&gt;AB36),'Energy Efficiency Measures-DBT'!$B$25,"")</f>
        <v>MR3, MR2</v>
      </c>
      <c r="AR36" s="426" t="str">
        <f>IF(AND(J36&gt;V36,AJ36&gt;V36),'Energy Efficiency Measures-DBT'!$B$26,"")&amp;", "&amp;IF(AND(J36&gt;AC36,AJ36&gt;AC36),'Energy Efficiency Measures-DBT'!$B$25,"")</f>
        <v>MR3, MR2</v>
      </c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</row>
    <row r="37" spans="1:56">
      <c r="A37" s="48" t="s">
        <v>113</v>
      </c>
      <c r="B37" s="48" t="s">
        <v>51</v>
      </c>
      <c r="C37" s="48"/>
      <c r="D37" s="47" t="s">
        <v>10</v>
      </c>
      <c r="E37" s="498">
        <v>0.45</v>
      </c>
      <c r="F37" s="498">
        <v>0.45</v>
      </c>
      <c r="G37" s="498">
        <v>0.18</v>
      </c>
      <c r="H37" s="498">
        <v>0.18</v>
      </c>
      <c r="I37" s="498">
        <v>0.15</v>
      </c>
      <c r="J37" s="499">
        <v>0.15</v>
      </c>
      <c r="K37" s="45">
        <f>SUMPRODUCT('Dwelling stock'!E37:J37,'Ceiling-U'!E37:J37)/SUM('Dwelling stock'!E37:J37)</f>
        <v>0.3428278841531594</v>
      </c>
      <c r="M37" s="54">
        <v>0.32893699999999998</v>
      </c>
      <c r="P37" s="44" t="s">
        <v>51</v>
      </c>
      <c r="Q37" s="392">
        <f>1/((1/$E37)+LOOKUP($A37,'Energy Efficiency Measures-DBT'!$D$11:$AN$11,'Energy Efficiency Measures-DBT'!$D$23:$AN$23))</f>
        <v>0.21176470588235294</v>
      </c>
      <c r="R37" s="393">
        <f>1/((1/$F37)+LOOKUP($A37,'Energy Efficiency Measures-DBT'!$D$11:$AN$11,'Energy Efficiency Measures-DBT'!$D$23:$AN$23))</f>
        <v>0.21176470588235294</v>
      </c>
      <c r="S37" s="393">
        <f>1/((1/$G37)+LOOKUP($A37,'Energy Efficiency Measures-DBT'!$D$11:$AN$11,'Energy Efficiency Measures-DBT'!$D$23:$AN$23))</f>
        <v>0.12413793103448276</v>
      </c>
      <c r="T37" s="393">
        <f>1/((1/$H37)+LOOKUP($A37,'Energy Efficiency Measures-DBT'!$D$11:$AN$11,'Energy Efficiency Measures-DBT'!$D$23:$AN$23))</f>
        <v>0.12413793103448276</v>
      </c>
      <c r="U37" s="393">
        <f>1/((1/$I37)+LOOKUP($A37,'Energy Efficiency Measures-DBT'!$D$11:$AN$11,'Energy Efficiency Measures-DBT'!$D$23:$AN$23))</f>
        <v>0.10909090909090907</v>
      </c>
      <c r="V37" s="306">
        <f>1/((1/$J37)+LOOKUP($A37,'Energy Efficiency Measures-DBT'!$D$11:$AN$11,'Energy Efficiency Measures-DBT'!$D$23:$AN$23))</f>
        <v>0.10909090909090907</v>
      </c>
      <c r="W37" s="306">
        <f>1/((1/$K37)+LOOKUP($A37,'Energy Efficiency Measures-DBT'!$D$11:$AN$11,'Energy Efficiency Measures-DBT'!$D$23:$AN$23))</f>
        <v>0.18460690098837146</v>
      </c>
      <c r="X37" s="392">
        <f>1/((1/$E37)+LOOKUP($A37,'Energy Efficiency Measures-DBT'!$D$11:$AN$11,'Energy Efficiency Measures-DBT'!$D$22:$AN$22))</f>
        <v>0.16744186046511628</v>
      </c>
      <c r="Y37" s="393">
        <f>1/((1/$F37)+LOOKUP($A37,'Energy Efficiency Measures-DBT'!$D$11:$AN$11,'Energy Efficiency Measures-DBT'!$D$22:$AN$22))</f>
        <v>0.16744186046511628</v>
      </c>
      <c r="Z37" s="393">
        <f>1/((1/$G37)+LOOKUP($A37,'Energy Efficiency Measures-DBT'!$D$11:$AN$11,'Energy Efficiency Measures-DBT'!$D$22:$AN$22))</f>
        <v>0.10746268656716418</v>
      </c>
      <c r="AA37" s="393">
        <f>1/((1/$H37)+LOOKUP($A37,'Energy Efficiency Measures-DBT'!$D$11:$AN$11,'Energy Efficiency Measures-DBT'!$D$22:$AN$22))</f>
        <v>0.10746268656716418</v>
      </c>
      <c r="AB37" s="393">
        <f>1/((1/$I37)+LOOKUP($A37,'Energy Efficiency Measures-DBT'!$D$11:$AN$11,'Energy Efficiency Measures-DBT'!$D$22:$AN$22))</f>
        <v>9.5999999999999988E-2</v>
      </c>
      <c r="AC37" s="306">
        <f>1/((1/$J37)+LOOKUP($A37,'Energy Efficiency Measures-DBT'!$D$11:$AN$11,'Energy Efficiency Measures-DBT'!$D$22:$AN$22))</f>
        <v>9.5999999999999988E-2</v>
      </c>
      <c r="AD37" s="306">
        <f>1/((1/$K37)+LOOKUP($A37,'Energy Efficiency Measures-DBT'!$D$11:$AN$11,'Energy Efficiency Measures-DBT'!$D$22:$AN$22))</f>
        <v>0.14999439943234907</v>
      </c>
      <c r="AG37" s="48" t="s">
        <v>51</v>
      </c>
      <c r="AH37" s="47"/>
      <c r="AI37" s="262">
        <v>5</v>
      </c>
      <c r="AJ37" s="264">
        <v>5</v>
      </c>
      <c r="AK37" s="262">
        <v>5</v>
      </c>
      <c r="AL37" s="264">
        <v>5</v>
      </c>
      <c r="AM37" s="346" t="str">
        <f>IF(AND(E37&gt;Q37,AJ37&gt;Q37),'Energy Efficiency Measures-DBT'!$B$26,"")&amp;", "&amp;IF(AND(E37&gt;X37,AJ37&gt;X37),'Energy Efficiency Measures-DBT'!$B$25,"")</f>
        <v>MR3, MR2</v>
      </c>
      <c r="AN37" s="5" t="str">
        <f>IF(AND(F37&gt;R37,AJ37&gt;R37),'Energy Efficiency Measures-DBT'!$B$26,"")&amp;", "&amp;IF(AND(F37&gt;Y37,AJ37&gt;Y37),'Energy Efficiency Measures-DBT'!$B$25,"")</f>
        <v>MR3, MR2</v>
      </c>
      <c r="AO37" s="5" t="str">
        <f>IF(AND(G37&gt;S37,AJ37&gt;S37),'Energy Efficiency Measures-DBT'!$B$26,"")&amp;", "&amp;IF(AND(G37&gt;Z37,AJ37&gt;Z37),'Energy Efficiency Measures-DBT'!$B$25,"")</f>
        <v>MR3, MR2</v>
      </c>
      <c r="AP37" s="5" t="str">
        <f>IF(AND(H37&gt;T37,AJ37&gt;T37),'Energy Efficiency Measures-DBT'!$B$26,"")&amp;", "&amp;IF(AND(H37&gt;AA37,AJ37&gt;AA37),'Energy Efficiency Measures-DBT'!$B$25,"")</f>
        <v>MR3, MR2</v>
      </c>
      <c r="AQ37" s="5" t="str">
        <f>IF(AND(I37&gt;U37,AJ37&gt;U37),'Energy Efficiency Measures-DBT'!$B$26,"")&amp;", "&amp;IF(AND(I37&gt;AB37,AJ37&gt;AB37),'Energy Efficiency Measures-DBT'!$B$25,"")</f>
        <v>MR3, MR2</v>
      </c>
      <c r="AR37" s="426" t="str">
        <f>IF(AND(J37&gt;V37,AJ37&gt;V37),'Energy Efficiency Measures-DBT'!$B$26,"")&amp;", "&amp;IF(AND(J37&gt;AC37,AJ37&gt;AC37),'Energy Efficiency Measures-DBT'!$B$25,"")</f>
        <v>MR3, MR2</v>
      </c>
    </row>
    <row r="38" spans="1:56">
      <c r="A38" s="48" t="s">
        <v>114</v>
      </c>
      <c r="B38" s="48" t="s">
        <v>47</v>
      </c>
      <c r="C38" s="48" t="s">
        <v>48</v>
      </c>
      <c r="D38" s="47" t="s">
        <v>10</v>
      </c>
      <c r="E38" s="498">
        <v>1.2</v>
      </c>
      <c r="F38" s="498">
        <v>1.2</v>
      </c>
      <c r="G38" s="498">
        <v>0.9</v>
      </c>
      <c r="H38" s="498">
        <v>0.8</v>
      </c>
      <c r="I38" s="498">
        <v>0.45</v>
      </c>
      <c r="J38" s="499">
        <v>0.2</v>
      </c>
      <c r="K38" s="45">
        <f>SUMPRODUCT('Dwelling stock'!E38:J38,'Ceiling-U'!E38:J38)/SUM('Dwelling stock'!E38:J38)</f>
        <v>0.94368013704862019</v>
      </c>
      <c r="M38" s="54">
        <v>1.012786</v>
      </c>
      <c r="P38" s="44" t="s">
        <v>47</v>
      </c>
      <c r="Q38" s="392">
        <f>1/((1/$E38)+LOOKUP($A38,'Energy Efficiency Measures-DBT'!$D$11:$AN$11,'Energy Efficiency Measures-DBT'!$D$23:$AN$23))</f>
        <v>0.3</v>
      </c>
      <c r="R38" s="393">
        <f>1/((1/$F38)+LOOKUP($A38,'Energy Efficiency Measures-DBT'!$D$11:$AN$11,'Energy Efficiency Measures-DBT'!$D$23:$AN$23))</f>
        <v>0.3</v>
      </c>
      <c r="S38" s="393">
        <f>1/((1/$G38)+LOOKUP($A38,'Energy Efficiency Measures-DBT'!$D$11:$AN$11,'Energy Efficiency Measures-DBT'!$D$23:$AN$23))</f>
        <v>0.27692307692307694</v>
      </c>
      <c r="T38" s="393">
        <f>1/((1/$H38)+LOOKUP($A38,'Energy Efficiency Measures-DBT'!$D$11:$AN$11,'Energy Efficiency Measures-DBT'!$D$23:$AN$23))</f>
        <v>0.26666666666666666</v>
      </c>
      <c r="U38" s="393">
        <f>1/((1/$I38)+LOOKUP($A38,'Energy Efficiency Measures-DBT'!$D$11:$AN$11,'Energy Efficiency Measures-DBT'!$D$23:$AN$23))</f>
        <v>0.21176470588235294</v>
      </c>
      <c r="V38" s="306">
        <f>1/((1/$J38)+LOOKUP($A38,'Energy Efficiency Measures-DBT'!$D$11:$AN$11,'Energy Efficiency Measures-DBT'!$D$23:$AN$23))</f>
        <v>0.13333333333333333</v>
      </c>
      <c r="W38" s="306">
        <f>1/((1/$K38)+LOOKUP($A38,'Energy Efficiency Measures-DBT'!$D$11:$AN$11,'Energy Efficiency Measures-DBT'!$D$23:$AN$23))</f>
        <v>0.28092404167599111</v>
      </c>
      <c r="X38" s="392">
        <f>1/((1/$E38)+LOOKUP($A38,'Energy Efficiency Measures-DBT'!$D$11:$AN$11,'Energy Efficiency Measures-DBT'!$D$22:$AN$22))</f>
        <v>0.2181818181818182</v>
      </c>
      <c r="Y38" s="393">
        <f>1/((1/$F38)+LOOKUP($A38,'Energy Efficiency Measures-DBT'!$D$11:$AN$11,'Energy Efficiency Measures-DBT'!$D$22:$AN$22))</f>
        <v>0.2181818181818182</v>
      </c>
      <c r="Z38" s="393">
        <f>1/((1/$G38)+LOOKUP($A38,'Energy Efficiency Measures-DBT'!$D$11:$AN$11,'Energy Efficiency Measures-DBT'!$D$22:$AN$22))</f>
        <v>0.20571428571428574</v>
      </c>
      <c r="AA38" s="393">
        <f>1/((1/$H38)+LOOKUP($A38,'Energy Efficiency Measures-DBT'!$D$11:$AN$11,'Energy Efficiency Measures-DBT'!$D$22:$AN$22))</f>
        <v>0.2</v>
      </c>
      <c r="AB38" s="393">
        <f>1/((1/$I38)+LOOKUP($A38,'Energy Efficiency Measures-DBT'!$D$11:$AN$11,'Energy Efficiency Measures-DBT'!$D$22:$AN$22))</f>
        <v>0.16744186046511628</v>
      </c>
      <c r="AC38" s="306">
        <f>1/((1/$J38)+LOOKUP($A38,'Energy Efficiency Measures-DBT'!$D$11:$AN$11,'Energy Efficiency Measures-DBT'!$D$22:$AN$22))</f>
        <v>0.11428571428571428</v>
      </c>
      <c r="AD38" s="306">
        <f>1/((1/$K38)+LOOKUP($A38,'Energy Efficiency Measures-DBT'!$D$11:$AN$11,'Energy Efficiency Measures-DBT'!$D$22:$AN$22))</f>
        <v>0.20791399272823177</v>
      </c>
      <c r="AG38" s="48" t="s">
        <v>47</v>
      </c>
      <c r="AH38" s="47"/>
      <c r="AI38" s="262">
        <v>5</v>
      </c>
      <c r="AJ38" s="264">
        <v>5</v>
      </c>
      <c r="AK38" s="262">
        <v>5</v>
      </c>
      <c r="AL38" s="264">
        <v>5</v>
      </c>
      <c r="AM38" s="346" t="str">
        <f>IF(AND(E38&gt;Q38,AJ38&gt;Q38),'Energy Efficiency Measures-DBT'!$B$26,"")&amp;", "&amp;IF(AND(E38&gt;X38,AJ38&gt;X38),'Energy Efficiency Measures-DBT'!$B$25,"")</f>
        <v>MR3, MR2</v>
      </c>
      <c r="AN38" s="5" t="str">
        <f>IF(AND(F38&gt;R38,AJ38&gt;R38),'Energy Efficiency Measures-DBT'!$B$26,"")&amp;", "&amp;IF(AND(F38&gt;Y38,AJ38&gt;Y38),'Energy Efficiency Measures-DBT'!$B$25,"")</f>
        <v>MR3, MR2</v>
      </c>
      <c r="AO38" s="5" t="str">
        <f>IF(AND(G38&gt;S38,AJ38&gt;S38),'Energy Efficiency Measures-DBT'!$B$26,"")&amp;", "&amp;IF(AND(G38&gt;Z38,AJ38&gt;Z38),'Energy Efficiency Measures-DBT'!$B$25,"")</f>
        <v>MR3, MR2</v>
      </c>
      <c r="AP38" s="5" t="str">
        <f>IF(AND(H38&gt;T38,AJ38&gt;T38),'Energy Efficiency Measures-DBT'!$B$26,"")&amp;", "&amp;IF(AND(H38&gt;AA38,AJ38&gt;AA38),'Energy Efficiency Measures-DBT'!$B$25,"")</f>
        <v>MR3, MR2</v>
      </c>
      <c r="AQ38" s="5" t="str">
        <f>IF(AND(I38&gt;U38,AJ38&gt;U38),'Energy Efficiency Measures-DBT'!$B$26,"")&amp;", "&amp;IF(AND(I38&gt;AB38,AJ38&gt;AB38),'Energy Efficiency Measures-DBT'!$B$25,"")</f>
        <v>MR3, MR2</v>
      </c>
      <c r="AR38" s="426" t="str">
        <f>IF(AND(J38&gt;V38,AJ38&gt;V38),'Energy Efficiency Measures-DBT'!$B$26,"")&amp;", "&amp;IF(AND(J38&gt;AC38,AJ38&gt;AC38),'Energy Efficiency Measures-DBT'!$B$25,"")</f>
        <v>MR3, MR2</v>
      </c>
    </row>
    <row r="39" spans="1:56">
      <c r="A39" s="48" t="s">
        <v>115</v>
      </c>
      <c r="B39" s="48" t="s">
        <v>45</v>
      </c>
      <c r="C39" s="48" t="s">
        <v>46</v>
      </c>
      <c r="D39" s="48" t="s">
        <v>10</v>
      </c>
      <c r="E39" s="498">
        <v>2</v>
      </c>
      <c r="F39" s="498">
        <v>1.5</v>
      </c>
      <c r="G39" s="498">
        <v>1.5</v>
      </c>
      <c r="H39" s="498">
        <v>1</v>
      </c>
      <c r="I39" s="498">
        <v>0.65</v>
      </c>
      <c r="J39" s="499">
        <v>0.3</v>
      </c>
      <c r="K39" s="45">
        <f>SUMPRODUCT('Dwelling stock'!E39:J39,'Ceiling-U'!E39:J39)/SUM('Dwelling stock'!E39:J39)</f>
        <v>1.3644073410063622</v>
      </c>
      <c r="M39" s="54">
        <v>1.362835</v>
      </c>
      <c r="P39" s="44" t="s">
        <v>45</v>
      </c>
      <c r="Q39" s="392">
        <f>1/((1/$E39)+LOOKUP($A39,'Energy Efficiency Measures-DBT'!$D$11:$AN$11,'Energy Efficiency Measures-DBT'!$D$23:$AN$23))</f>
        <v>0.33333333333333331</v>
      </c>
      <c r="R39" s="393">
        <f>1/((1/$F39)+LOOKUP($A39,'Energy Efficiency Measures-DBT'!$D$11:$AN$11,'Energy Efficiency Measures-DBT'!$D$23:$AN$23))</f>
        <v>0.31578947368421056</v>
      </c>
      <c r="S39" s="393">
        <f>1/((1/$G39)+LOOKUP($A39,'Energy Efficiency Measures-DBT'!$D$11:$AN$11,'Energy Efficiency Measures-DBT'!$D$23:$AN$23))</f>
        <v>0.31578947368421056</v>
      </c>
      <c r="T39" s="393">
        <f>1/((1/$H39)+LOOKUP($A39,'Energy Efficiency Measures-DBT'!$D$11:$AN$11,'Energy Efficiency Measures-DBT'!$D$23:$AN$23))</f>
        <v>0.2857142857142857</v>
      </c>
      <c r="U39" s="393">
        <f>1/((1/$I39)+LOOKUP($A39,'Energy Efficiency Measures-DBT'!$D$11:$AN$11,'Energy Efficiency Measures-DBT'!$D$23:$AN$23))</f>
        <v>0.24761904761904763</v>
      </c>
      <c r="V39" s="306">
        <f>1/((1/$J39)+LOOKUP($A39,'Energy Efficiency Measures-DBT'!$D$11:$AN$11,'Energy Efficiency Measures-DBT'!$D$23:$AN$23))</f>
        <v>0.1714285714285714</v>
      </c>
      <c r="W39" s="306">
        <f>1/((1/$K39)+LOOKUP($A39,'Energy Efficiency Measures-DBT'!$D$11:$AN$11,'Energy Efficiency Measures-DBT'!$D$23:$AN$23))</f>
        <v>0.30931799234708407</v>
      </c>
      <c r="X39" s="392">
        <f>1/((1/$E39)+LOOKUP($A39,'Energy Efficiency Measures-DBT'!$D$11:$AN$11,'Energy Efficiency Measures-DBT'!$D$22:$AN$22))</f>
        <v>0.23529411764705882</v>
      </c>
      <c r="Y39" s="393">
        <f>1/((1/$F39)+LOOKUP($A39,'Energy Efficiency Measures-DBT'!$D$11:$AN$11,'Energy Efficiency Measures-DBT'!$D$22:$AN$22))</f>
        <v>0.22641509433962262</v>
      </c>
      <c r="Z39" s="393">
        <f>1/((1/$G39)+LOOKUP($A39,'Energy Efficiency Measures-DBT'!$D$11:$AN$11,'Energy Efficiency Measures-DBT'!$D$22:$AN$22))</f>
        <v>0.22641509433962262</v>
      </c>
      <c r="AA39" s="393">
        <f>1/((1/$H39)+LOOKUP($A39,'Energy Efficiency Measures-DBT'!$D$11:$AN$11,'Energy Efficiency Measures-DBT'!$D$22:$AN$22))</f>
        <v>0.21052631578947367</v>
      </c>
      <c r="AB39" s="393">
        <f>1/((1/$I39)+LOOKUP($A39,'Energy Efficiency Measures-DBT'!$D$11:$AN$11,'Energy Efficiency Measures-DBT'!$D$22:$AN$22))</f>
        <v>0.18909090909090909</v>
      </c>
      <c r="AC39" s="306">
        <f>1/((1/$J39)+LOOKUP($A39,'Energy Efficiency Measures-DBT'!$D$11:$AN$11,'Energy Efficiency Measures-DBT'!$D$22:$AN$22))</f>
        <v>0.14117647058823529</v>
      </c>
      <c r="AD39" s="306">
        <f>1/((1/$K39)+LOOKUP($A39,'Energy Efficiency Measures-DBT'!$D$11:$AN$11,'Energy Efficiency Measures-DBT'!$D$22:$AN$22))</f>
        <v>0.22306894468925514</v>
      </c>
      <c r="AG39" s="48" t="s">
        <v>45</v>
      </c>
      <c r="AH39" s="48"/>
      <c r="AI39" s="262">
        <v>5</v>
      </c>
      <c r="AJ39" s="264">
        <v>5</v>
      </c>
      <c r="AK39" s="262">
        <v>5</v>
      </c>
      <c r="AL39" s="264">
        <v>5</v>
      </c>
      <c r="AM39" s="346" t="str">
        <f>IF(AND(E39&gt;Q39,AJ39&gt;Q39),'Energy Efficiency Measures-DBT'!$B$26,"")&amp;", "&amp;IF(AND(E39&gt;X39,AJ39&gt;X39),'Energy Efficiency Measures-DBT'!$B$25,"")</f>
        <v>MR3, MR2</v>
      </c>
      <c r="AN39" s="5" t="str">
        <f>IF(AND(F39&gt;R39,AJ39&gt;R39),'Energy Efficiency Measures-DBT'!$B$26,"")&amp;", "&amp;IF(AND(F39&gt;Y39,AJ39&gt;Y39),'Energy Efficiency Measures-DBT'!$B$25,"")</f>
        <v>MR3, MR2</v>
      </c>
      <c r="AO39" s="5" t="str">
        <f>IF(AND(G39&gt;S39,AJ39&gt;S39),'Energy Efficiency Measures-DBT'!$B$26,"")&amp;", "&amp;IF(AND(G39&gt;Z39,AJ39&gt;Z39),'Energy Efficiency Measures-DBT'!$B$25,"")</f>
        <v>MR3, MR2</v>
      </c>
      <c r="AP39" s="5" t="str">
        <f>IF(AND(H39&gt;T39,AJ39&gt;T39),'Energy Efficiency Measures-DBT'!$B$26,"")&amp;", "&amp;IF(AND(H39&gt;AA39,AJ39&gt;AA39),'Energy Efficiency Measures-DBT'!$B$25,"")</f>
        <v>MR3, MR2</v>
      </c>
      <c r="AQ39" s="5" t="str">
        <f>IF(AND(I39&gt;U39,AJ39&gt;U39),'Energy Efficiency Measures-DBT'!$B$26,"")&amp;", "&amp;IF(AND(I39&gt;AB39,AJ39&gt;AB39),'Energy Efficiency Measures-DBT'!$B$25,"")</f>
        <v>MR3, MR2</v>
      </c>
      <c r="AR39" s="426" t="str">
        <f>IF(AND(J39&gt;V39,AJ39&gt;V39),'Energy Efficiency Measures-DBT'!$B$26,"")&amp;", "&amp;IF(AND(J39&gt;AC39,AJ39&gt;AC39),'Energy Efficiency Measures-DBT'!$B$25,"")</f>
        <v>MR3, MR2</v>
      </c>
    </row>
    <row r="40" spans="1:56">
      <c r="A40" s="49" t="s">
        <v>52</v>
      </c>
      <c r="B40" s="49" t="s">
        <v>52</v>
      </c>
      <c r="C40" s="49"/>
      <c r="D40" s="49" t="s">
        <v>10</v>
      </c>
      <c r="E40" s="501">
        <v>2.410685</v>
      </c>
      <c r="F40" s="501">
        <v>2.543234</v>
      </c>
      <c r="G40" s="501">
        <v>1.2412099999999999</v>
      </c>
      <c r="H40" s="501">
        <v>0.64792799999999995</v>
      </c>
      <c r="I40" s="501">
        <v>0.42026200000000002</v>
      </c>
      <c r="J40" s="502">
        <v>0.31040299999999998</v>
      </c>
      <c r="K40" s="46">
        <f>SUMPRODUCT('Dwelling stock'!E40:J40,'Ceiling-U'!E40:J40)/SUM('Dwelling stock'!E40:J40)</f>
        <v>1.8752656343476615</v>
      </c>
      <c r="M40" s="87">
        <v>1.38195</v>
      </c>
      <c r="P40" s="390" t="s">
        <v>52</v>
      </c>
      <c r="Q40" s="396">
        <f>1/((1/$E40)+LOOKUP($A40,'Energy Efficiency Measures-DBT'!$D$11:$AN$11,'Energy Efficiency Measures-DBT'!$D$23:$AN$23))</f>
        <v>0.34307437510784738</v>
      </c>
      <c r="R40" s="397">
        <f>1/((1/$F40)+LOOKUP($A40,'Energy Efficiency Measures-DBT'!$D$11:$AN$11,'Energy Efficiency Measures-DBT'!$D$23:$AN$23))</f>
        <v>0.34563802946011091</v>
      </c>
      <c r="S40" s="397">
        <f>1/((1/$G40)+LOOKUP($A40,'Energy Efficiency Measures-DBT'!$D$11:$AN$11,'Energy Efficiency Measures-DBT'!$D$23:$AN$23))</f>
        <v>0.30251095228520419</v>
      </c>
      <c r="T40" s="397">
        <f>1/((1/$H40)+LOOKUP($A40,'Energy Efficiency Measures-DBT'!$D$11:$AN$11,'Energy Efficiency Measures-DBT'!$D$23:$AN$23))</f>
        <v>0.24731775465489994</v>
      </c>
      <c r="U40" s="397">
        <f>1/((1/$I40)+LOOKUP($A40,'Energy Efficiency Measures-DBT'!$D$11:$AN$11,'Energy Efficiency Measures-DBT'!$D$23:$AN$23))</f>
        <v>0.20494037271018281</v>
      </c>
      <c r="V40" s="307">
        <f>1/((1/$J40)+LOOKUP($A40,'Energy Efficiency Measures-DBT'!$D$11:$AN$11,'Energy Efficiency Measures-DBT'!$D$23:$AN$23))</f>
        <v>0.17477572589079721</v>
      </c>
      <c r="W40" s="307">
        <f>1/((1/$K40)+LOOKUP($A40,'Energy Efficiency Measures-DBT'!$D$11:$AN$11,'Energy Efficiency Measures-DBT'!$D$23:$AN$23))</f>
        <v>0.3296785405692319</v>
      </c>
      <c r="X40" s="396">
        <f>1/((1/$E40)+LOOKUP($A40,'Energy Efficiency Measures-DBT'!$D$11:$AN$11,'Energy Efficiency Measures-DBT'!$D$22:$AN$22))</f>
        <v>0.24010642357404177</v>
      </c>
      <c r="Y40" s="397">
        <f>1/((1/$F40)+LOOKUP($A40,'Energy Efficiency Measures-DBT'!$D$11:$AN$11,'Energy Efficiency Measures-DBT'!$D$22:$AN$22))</f>
        <v>0.2413593268184332</v>
      </c>
      <c r="Z40" s="397">
        <f>1/((1/$G40)+LOOKUP($A40,'Energy Efficiency Measures-DBT'!$D$11:$AN$11,'Energy Efficiency Measures-DBT'!$D$22:$AN$22))</f>
        <v>0.2195069004317329</v>
      </c>
      <c r="AA40" s="397">
        <f>1/((1/$H40)+LOOKUP($A40,'Energy Efficiency Measures-DBT'!$D$11:$AN$11,'Energy Efficiency Measures-DBT'!$D$22:$AN$22))</f>
        <v>0.18891516241803288</v>
      </c>
      <c r="AB40" s="397">
        <f>1/((1/$I40)+LOOKUP($A40,'Energy Efficiency Measures-DBT'!$D$11:$AN$11,'Energy Efficiency Measures-DBT'!$D$22:$AN$22))</f>
        <v>0.16314629466620986</v>
      </c>
      <c r="AC40" s="307">
        <f>1/((1/$J40)+LOOKUP($A40,'Energy Efficiency Measures-DBT'!$D$11:$AN$11,'Energy Efficiency Measures-DBT'!$D$22:$AN$22))</f>
        <v>0.14343871825989815</v>
      </c>
      <c r="AD40" s="307">
        <f>1/((1/$K40)+LOOKUP($A40,'Energy Efficiency Measures-DBT'!$D$11:$AN$11,'Energy Efficiency Measures-DBT'!$D$22:$AN$22))</f>
        <v>0.23346715280834543</v>
      </c>
      <c r="AG40" s="49" t="s">
        <v>52</v>
      </c>
      <c r="AH40" s="49"/>
      <c r="AI40" s="461">
        <v>5</v>
      </c>
      <c r="AJ40" s="462">
        <v>5</v>
      </c>
      <c r="AK40" s="461">
        <v>5</v>
      </c>
      <c r="AL40" s="462">
        <v>5</v>
      </c>
      <c r="AM40" s="477" t="str">
        <f>IF(AND(E40&gt;Q40,AJ40&gt;Q40),'Energy Efficiency Measures-DBT'!$B$26,"")&amp;", "&amp;IF(AND(E40&gt;X40,AJ40&gt;X40),'Energy Efficiency Measures-DBT'!$B$25,"")</f>
        <v>MR3, MR2</v>
      </c>
      <c r="AN40" s="478" t="str">
        <f>IF(AND(F40&gt;R40,AJ40&gt;R40),'Energy Efficiency Measures-DBT'!$B$26,"")&amp;", "&amp;IF(AND(F40&gt;Y40,AJ40&gt;Y40),'Energy Efficiency Measures-DBT'!$B$25,"")</f>
        <v>MR3, MR2</v>
      </c>
      <c r="AO40" s="478" t="str">
        <f>IF(AND(G40&gt;S40,AJ40&gt;S40),'Energy Efficiency Measures-DBT'!$B$26,"")&amp;", "&amp;IF(AND(G40&gt;Z40,AJ40&gt;Z40),'Energy Efficiency Measures-DBT'!$B$25,"")</f>
        <v>MR3, MR2</v>
      </c>
      <c r="AP40" s="478" t="str">
        <f>IF(AND(H40&gt;T40,AJ40&gt;T40),'Energy Efficiency Measures-DBT'!$B$26,"")&amp;", "&amp;IF(AND(H40&gt;AA40,AJ40&gt;AA40),'Energy Efficiency Measures-DBT'!$B$25,"")</f>
        <v>MR3, MR2</v>
      </c>
      <c r="AQ40" s="478" t="str">
        <f>IF(AND(I40&gt;U40,AJ40&gt;U40),'Energy Efficiency Measures-DBT'!$B$26,"")&amp;", "&amp;IF(AND(I40&gt;AB40,AJ40&gt;AB40),'Energy Efficiency Measures-DBT'!$B$25,"")</f>
        <v>MR3, MR2</v>
      </c>
      <c r="AR40" s="479" t="str">
        <f>IF(AND(J40&gt;V40,AJ40&gt;V40),'Energy Efficiency Measures-DBT'!$B$26,"")&amp;", "&amp;IF(AND(J40&gt;AC40,AJ40&gt;AC40),'Energy Efficiency Measures-DBT'!$B$25,"")</f>
        <v>MR3, MR2</v>
      </c>
    </row>
    <row r="41" spans="1:56">
      <c r="AG41" s="5" t="s">
        <v>284</v>
      </c>
    </row>
    <row r="42" spans="1:56">
      <c r="M42" s="498"/>
      <c r="N42" s="498"/>
      <c r="O42" s="498"/>
      <c r="P42" s="498"/>
      <c r="Q42" s="498"/>
      <c r="R42" s="498"/>
      <c r="S42" s="498"/>
    </row>
    <row r="43" spans="1:56">
      <c r="A43" s="135"/>
      <c r="M43" s="498"/>
      <c r="N43" s="498"/>
      <c r="O43" s="498"/>
      <c r="P43" s="498"/>
      <c r="Q43" s="498"/>
      <c r="R43" s="498"/>
    </row>
    <row r="44" spans="1:56">
      <c r="M44" s="498"/>
      <c r="N44" s="498"/>
      <c r="O44" s="498"/>
      <c r="P44" s="498"/>
      <c r="Q44" s="498"/>
      <c r="R44" s="498"/>
    </row>
    <row r="45" spans="1:56">
      <c r="M45" s="498"/>
      <c r="N45" s="498"/>
      <c r="O45" s="498"/>
      <c r="P45" s="498"/>
      <c r="Q45" s="498"/>
      <c r="R45" s="498"/>
    </row>
    <row r="46" spans="1:56">
      <c r="M46" s="498"/>
      <c r="N46" s="498"/>
      <c r="O46" s="498"/>
      <c r="P46" s="498"/>
      <c r="Q46" s="498"/>
      <c r="R46" s="498"/>
    </row>
    <row r="47" spans="1:56">
      <c r="M47" s="498"/>
      <c r="N47" s="498"/>
      <c r="O47" s="498"/>
      <c r="P47" s="498"/>
      <c r="Q47" s="498"/>
      <c r="R47" s="498"/>
    </row>
    <row r="48" spans="1:56">
      <c r="M48" s="498"/>
      <c r="N48" s="498"/>
      <c r="O48" s="498"/>
      <c r="P48" s="498"/>
      <c r="Q48" s="498"/>
      <c r="R48" s="498"/>
    </row>
    <row r="49" spans="13:18">
      <c r="M49" s="498"/>
      <c r="N49" s="498"/>
      <c r="O49" s="498"/>
      <c r="P49" s="498"/>
      <c r="Q49" s="498"/>
      <c r="R49" s="498"/>
    </row>
    <row r="50" spans="13:18">
      <c r="M50" s="498"/>
      <c r="N50" s="498"/>
      <c r="O50" s="498"/>
      <c r="P50" s="498"/>
      <c r="Q50" s="498"/>
      <c r="R50" s="498"/>
    </row>
    <row r="51" spans="13:18">
      <c r="M51" s="498"/>
      <c r="N51" s="498"/>
      <c r="O51" s="498"/>
      <c r="P51" s="498"/>
      <c r="Q51" s="498"/>
      <c r="R51" s="498"/>
    </row>
    <row r="52" spans="13:18">
      <c r="M52" s="498"/>
      <c r="N52" s="498"/>
      <c r="O52" s="498"/>
      <c r="P52" s="498"/>
      <c r="Q52" s="498"/>
      <c r="R52" s="498"/>
    </row>
    <row r="53" spans="13:18">
      <c r="M53" s="498"/>
      <c r="N53" s="498"/>
      <c r="O53" s="498"/>
      <c r="P53" s="498"/>
      <c r="Q53" s="498"/>
      <c r="R53" s="498"/>
    </row>
    <row r="54" spans="13:18">
      <c r="M54" s="498"/>
      <c r="N54" s="498"/>
      <c r="O54" s="498"/>
      <c r="P54" s="498"/>
      <c r="Q54" s="498"/>
      <c r="R54" s="498"/>
    </row>
    <row r="55" spans="13:18">
      <c r="M55" s="498"/>
      <c r="N55" s="498"/>
      <c r="O55" s="498"/>
      <c r="P55" s="498"/>
      <c r="Q55" s="498"/>
      <c r="R55" s="498"/>
    </row>
    <row r="56" spans="13:18">
      <c r="M56" s="498"/>
      <c r="N56" s="498"/>
      <c r="O56" s="498"/>
      <c r="P56" s="498"/>
      <c r="Q56" s="498"/>
      <c r="R56" s="498"/>
    </row>
    <row r="57" spans="13:18">
      <c r="M57" s="498"/>
      <c r="N57" s="498"/>
      <c r="O57" s="498"/>
      <c r="P57" s="498"/>
      <c r="Q57" s="498"/>
      <c r="R57" s="498"/>
    </row>
    <row r="58" spans="13:18">
      <c r="M58" s="498"/>
      <c r="N58" s="498"/>
      <c r="O58" s="498"/>
      <c r="P58" s="498"/>
      <c r="Q58" s="498"/>
      <c r="R58" s="498"/>
    </row>
    <row r="59" spans="13:18">
      <c r="M59" s="498"/>
      <c r="N59" s="498"/>
      <c r="O59" s="498"/>
      <c r="P59" s="498"/>
      <c r="Q59" s="498"/>
      <c r="R59" s="498"/>
    </row>
    <row r="60" spans="13:18">
      <c r="M60" s="498"/>
      <c r="N60" s="498"/>
      <c r="O60" s="498"/>
      <c r="P60" s="498"/>
      <c r="Q60" s="498"/>
      <c r="R60" s="498"/>
    </row>
    <row r="61" spans="13:18">
      <c r="M61" s="498"/>
      <c r="N61" s="498"/>
      <c r="O61" s="498"/>
      <c r="P61" s="498"/>
      <c r="Q61" s="498"/>
      <c r="R61" s="498"/>
    </row>
    <row r="62" spans="13:18">
      <c r="M62" s="498"/>
      <c r="N62" s="498"/>
      <c r="O62" s="498"/>
      <c r="P62" s="498"/>
      <c r="Q62" s="498"/>
      <c r="R62" s="498"/>
    </row>
    <row r="63" spans="13:18">
      <c r="M63" s="498"/>
      <c r="N63" s="498"/>
      <c r="O63" s="498"/>
      <c r="P63" s="498"/>
      <c r="Q63" s="498"/>
      <c r="R63" s="498"/>
    </row>
    <row r="64" spans="13:18">
      <c r="M64" s="498"/>
      <c r="N64" s="498"/>
      <c r="O64" s="498"/>
      <c r="P64" s="498"/>
      <c r="Q64" s="498"/>
      <c r="R64" s="498"/>
    </row>
    <row r="65" spans="13:18">
      <c r="M65" s="498"/>
      <c r="N65" s="498"/>
      <c r="O65" s="498"/>
      <c r="P65" s="498"/>
      <c r="Q65" s="498"/>
      <c r="R65" s="498"/>
    </row>
    <row r="66" spans="13:18">
      <c r="M66" s="498"/>
      <c r="N66" s="498"/>
      <c r="O66" s="498"/>
      <c r="P66" s="498"/>
      <c r="Q66" s="498"/>
      <c r="R66" s="498"/>
    </row>
    <row r="67" spans="13:18">
      <c r="M67" s="498"/>
      <c r="N67" s="498"/>
      <c r="O67" s="498"/>
      <c r="P67" s="498"/>
      <c r="Q67" s="498"/>
      <c r="R67" s="498"/>
    </row>
    <row r="68" spans="13:18">
      <c r="M68" s="498"/>
      <c r="N68" s="498"/>
      <c r="O68" s="498"/>
      <c r="P68" s="498"/>
      <c r="Q68" s="498"/>
      <c r="R68" s="498"/>
    </row>
    <row r="69" spans="13:18">
      <c r="M69" s="498"/>
      <c r="N69" s="498"/>
      <c r="O69" s="498"/>
      <c r="P69" s="498"/>
      <c r="Q69" s="498"/>
      <c r="R69" s="498"/>
    </row>
    <row r="70" spans="13:18">
      <c r="M70" s="498"/>
      <c r="N70" s="498"/>
      <c r="O70" s="498"/>
      <c r="P70" s="498"/>
      <c r="Q70" s="498"/>
      <c r="R70" s="498"/>
    </row>
    <row r="71" spans="13:18">
      <c r="M71" s="498"/>
      <c r="N71" s="498"/>
      <c r="O71" s="498"/>
      <c r="P71" s="498"/>
      <c r="Q71" s="498"/>
      <c r="R71" s="498"/>
    </row>
    <row r="72" spans="13:18">
      <c r="M72" s="498"/>
      <c r="N72" s="498"/>
      <c r="O72" s="498"/>
      <c r="P72" s="498"/>
      <c r="Q72" s="498"/>
      <c r="R72" s="498"/>
    </row>
    <row r="73" spans="13:18">
      <c r="M73" s="498"/>
      <c r="N73" s="498"/>
      <c r="O73" s="498"/>
      <c r="P73" s="498"/>
      <c r="Q73" s="498"/>
      <c r="R73" s="498"/>
    </row>
    <row r="74" spans="13:18">
      <c r="M74" s="498"/>
      <c r="N74" s="498"/>
      <c r="O74" s="498"/>
      <c r="P74" s="498"/>
      <c r="Q74" s="498"/>
      <c r="R74" s="498"/>
    </row>
    <row r="75" spans="13:18">
      <c r="M75" s="498"/>
      <c r="N75" s="498"/>
      <c r="O75" s="498"/>
      <c r="P75" s="498"/>
      <c r="Q75" s="498"/>
      <c r="R75" s="498"/>
    </row>
    <row r="76" spans="13:18">
      <c r="M76" s="498"/>
      <c r="N76" s="498"/>
      <c r="O76" s="498"/>
      <c r="P76" s="498"/>
      <c r="Q76" s="498"/>
      <c r="R76" s="498"/>
    </row>
    <row r="77" spans="13:18">
      <c r="M77" s="498"/>
      <c r="N77" s="498"/>
      <c r="O77" s="498"/>
      <c r="P77" s="498"/>
      <c r="Q77" s="498"/>
      <c r="R77" s="498"/>
    </row>
    <row r="78" spans="13:18">
      <c r="M78" s="498"/>
      <c r="N78" s="498"/>
      <c r="O78" s="498"/>
      <c r="P78" s="498"/>
      <c r="Q78" s="498"/>
      <c r="R78" s="498"/>
    </row>
  </sheetData>
  <sortState xmlns:xlrd2="http://schemas.microsoft.com/office/spreadsheetml/2017/richdata2" ref="A4:S40">
    <sortCondition ref="A4:A40"/>
  </sortState>
  <mergeCells count="5">
    <mergeCell ref="Q2:W2"/>
    <mergeCell ref="X2:AD2"/>
    <mergeCell ref="AI2:AJ2"/>
    <mergeCell ref="AK2:AL2"/>
    <mergeCell ref="AM2:AR2"/>
  </mergeCells>
  <conditionalFormatting sqref="K4:K40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{1D6D32FE-7711-44AF-963A-7BFD7662A1F2}</x14:id>
        </ext>
      </extLst>
    </cfRule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{6C0D653E-CC1F-4F18-BB2E-937F224C0499}</x14:id>
        </ext>
      </extLst>
    </cfRule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{C0C369D0-5DD4-46F2-86C1-3B9DCDCEA511}</x14:id>
        </ext>
      </extLst>
    </cfRule>
    <cfRule type="dataBar" priority="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{C4589B00-A879-4C69-A632-5A6C57EBC4F7}</x14:id>
        </ext>
      </extLst>
    </cfRule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{35EEEDFC-E896-4398-8DB1-07EE669EC02C}</x14:id>
        </ext>
      </extLst>
    </cfRule>
  </conditionalFormatting>
  <conditionalFormatting sqref="K31:K38">
    <cfRule type="dataBar" priority="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{6227AFDA-919C-4409-997A-99389DC04E3F}</x14:id>
        </ext>
      </extLst>
    </cfRule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{98C17D0F-8633-437B-8D97-3870CCA4221B}</x14:id>
        </ext>
      </extLst>
    </cfRule>
    <cfRule type="dataBar" priority="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{C93417C5-1F70-450D-B0B2-A2ABD5C2A38D}</x14:id>
        </ext>
      </extLst>
    </cfRule>
    <cfRule type="dataBar" priority="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{CA86AEDD-7886-4643-9FF6-F0F9D3D46C05}</x14:id>
        </ext>
      </extLst>
    </cfRule>
  </conditionalFormatting>
  <conditionalFormatting sqref="K39:K40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{3CC7C466-0E29-46E3-955F-7550A5DE77DF}</x14:id>
        </ext>
      </extLst>
    </cfRule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{CCA3B41F-D2ED-49A7-AE77-D1544D1DA503}</x14:id>
        </ext>
      </extLst>
    </cfRule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{2786F30F-7FB9-4D2B-8A57-55487B2B6841}</x14:id>
        </ext>
      </extLst>
    </cfRule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{F13555D3-7B93-498C-819D-0D85EB5D01DD}</x14:id>
        </ext>
      </extLst>
    </cfRule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{2265D289-2186-47D3-B481-2E62ECADD2B3}</x14:id>
        </ext>
      </extLst>
    </cfRule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{A96E3140-0699-4ABE-97B5-80958C6B39F3}</x14:id>
        </ext>
      </extLst>
    </cfRule>
  </conditionalFormatting>
  <conditionalFormatting sqref="M4:M29">
    <cfRule type="dataBar" priority="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{D9F62C91-854E-4CD1-A6CE-C436AC3C1A1F}</x14:id>
        </ext>
      </extLst>
    </cfRule>
    <cfRule type="dataBar" priority="1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{1D90EFEF-40B7-4645-9BDE-EE43CF2BEF16}</x14:id>
        </ext>
      </extLst>
    </cfRule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{A817F83B-076C-4985-BCA6-29419B78BBC1}</x14:id>
        </ext>
      </extLst>
    </cfRule>
  </conditionalFormatting>
  <conditionalFormatting sqref="M4:M40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{B378F02E-ABF4-4884-9043-C3BE72F61C57}</x14:id>
        </ext>
      </extLst>
    </cfRule>
  </conditionalFormatting>
  <conditionalFormatting sqref="M30:M40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{5B347018-2C1C-47DC-96AA-10F4019C0163}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{B29304A7-3B90-445C-944D-5000E85E1BA2}</x14:id>
        </ext>
      </extLst>
    </cfRule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{4782FF9F-D436-45BF-A837-65596B606269}</x14:id>
        </ext>
      </extLst>
    </cfRule>
  </conditionalFormatting>
  <conditionalFormatting sqref="W4 AD4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{8318D8D1-F796-4E32-9F19-545D97929C0F}</x14:id>
        </ext>
      </extLs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{C1D75F00-7423-42D8-9221-21FEDE7BE6B3}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{7ED1B2D4-9C06-48AC-8DC9-9396A8B1A2A1}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{0F2F095C-FF1A-41E9-A4C2-26FDE21ACE85}</x14:id>
        </ext>
      </extLst>
    </cfRule>
  </conditionalFormatting>
  <conditionalFormatting sqref="W4">
    <cfRule type="dataBar" priority="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{74845FF8-1826-449C-BAB8-BCA60938E408}</x14:id>
        </ext>
      </extLst>
    </cfRule>
  </conditionalFormatting>
  <conditionalFormatting sqref="W4:W40 AD4:AD8 AD23 AD30:AD40 AD10:AD21 AD25:AD27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{90059FC7-0858-4243-AC47-D168C9F4AEA2}</x14:id>
        </ext>
      </extLst>
    </cfRule>
  </conditionalFormatting>
  <conditionalFormatting sqref="W4:W40 AD4:AD4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{34985994-4307-4253-8D47-1A87707F78B4}</x14:id>
        </ext>
      </extLst>
    </cfRule>
  </conditionalFormatting>
  <conditionalFormatting sqref="W5 AD5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{0EAE6BC3-F1CF-4297-88CE-683E2D5DAB85}</x14:id>
        </ext>
      </extLst>
    </cfRule>
  </conditionalFormatting>
  <conditionalFormatting sqref="W5:W40 AD7:AD8 AD23 AD10:AD21 AD25:AD27 AD5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{56FA17C1-3C7B-4703-9BA5-E56FE8B285E4}</x14:id>
        </ext>
      </extLst>
    </cfRule>
    <cfRule type="dataBar" priority="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{9B0162AC-D9BE-4146-8583-FE0ACD45CF4E}</x14:id>
        </ext>
      </extLst>
    </cfRule>
  </conditionalFormatting>
  <conditionalFormatting sqref="W5:W40 AD7:AD8 AD23 AD30:AD40 AD10:AD21 AD25:AD27 AD5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{9438DABC-AF4C-4B90-9EED-F5657872BD43}</x14:id>
        </ext>
      </extLst>
    </cfRule>
  </conditionalFormatting>
  <conditionalFormatting sqref="W5:W40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{CE0E2EE3-ED74-4467-BB0D-3E3852F2D3DE}</x14:id>
        </ext>
      </extLst>
    </cfRule>
  </conditionalFormatting>
  <conditionalFormatting sqref="W17 AD1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{C1CBDA6D-FD4E-4441-A7D2-FAF82DBEE998}</x14:id>
        </ext>
      </extLst>
    </cfRule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{651F054E-2660-43EE-ADC2-0CEE98D00016}</x14:id>
        </ext>
      </extLst>
    </cfRule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{408B121C-05A6-428C-A32E-1733D07AFDBD}</x14:id>
        </ext>
      </extLst>
    </cfRule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{563D8085-F54A-4442-B57A-4C17A9A708A6}</x14:id>
        </ext>
      </extLst>
    </cfRule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{1011710D-3A35-4D4D-B17E-A24AB74BC6C2}</x14:id>
        </ext>
      </extLst>
    </cfRule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{756CA399-E4D9-4276-B44A-9FB221E93993}</x14:id>
        </ext>
      </extLst>
    </cfRule>
  </conditionalFormatting>
  <conditionalFormatting sqref="W17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{70F155C1-9464-4063-A3B6-F04D0CAA88CB}</x14:id>
        </ext>
      </extLst>
    </cfRule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{BC6E91B2-7240-4997-8067-B70E1261F641}</x14:id>
        </ext>
      </extLst>
    </cfRule>
  </conditionalFormatting>
  <conditionalFormatting sqref="W20 AD20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{4084B6C3-0259-4437-A755-C9093AD0FC98}</x14:id>
        </ext>
      </extLst>
    </cfRule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{0D103BAA-F96C-495C-B222-14E67A67D024}</x14:id>
        </ext>
      </extLst>
    </cfRule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{D89AF71A-E7A4-481F-B04B-7026B2E0E9B0}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{936BD6F0-F99D-4469-AA1A-A897606E821E}</x14:id>
        </ext>
      </extLst>
    </cfRule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{FE3667F4-00DC-4F74-AB94-2398867CB63A}</x14:id>
        </ext>
      </extLs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{3CF183F9-AF71-4949-AB88-5AC5B18F0F20}</x14:id>
        </ext>
      </extLst>
    </cfRule>
  </conditionalFormatting>
  <conditionalFormatting sqref="W20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{36CF8D0D-0D1B-4F92-BF4D-08F545F8CFD8}</x14:id>
        </ext>
      </extLst>
    </cfRule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{8DFC5B02-6BB6-4302-AEA3-B9DB9CFD7FBB}</x14:id>
        </ext>
      </extLst>
    </cfRule>
  </conditionalFormatting>
  <conditionalFormatting sqref="W26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{6F736B6C-A136-40DA-ABB6-12EE5CC7F485}</x14:id>
        </ext>
      </extLst>
    </cfRule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{A0396886-9860-4973-9FA5-CC53E5E00DF0}</x14:id>
        </ext>
      </extLst>
    </cfRule>
  </conditionalFormatting>
  <conditionalFormatting sqref="W30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{3C798E18-60D1-49C7-A6CE-EA3A715D376C}</x14:id>
        </ext>
      </extLst>
    </cfRule>
  </conditionalFormatting>
  <conditionalFormatting sqref="W30:W40 AD30:AD40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{4638001C-37E9-4300-91A5-724F341AFF06}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{072AEB13-C25A-4FDD-A8D1-4648F6EE8B56}</x14:id>
        </ext>
      </extLst>
    </cfRule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{B3A8CA1E-B516-433F-9CAB-70426E890B80}</x14:id>
        </ext>
      </extLst>
    </cfRule>
  </conditionalFormatting>
  <conditionalFormatting sqref="W30:W40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{B4AA4DD4-68D4-451C-9AAF-D34D6C426D82}</x14:id>
        </ext>
      </extLst>
    </cfRule>
  </conditionalFormatting>
  <conditionalFormatting sqref="W31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{4BD9739F-A667-44EE-88A4-F3B53F8F4B61}</x14:id>
        </ext>
      </extLst>
    </cfRule>
  </conditionalFormatting>
  <conditionalFormatting sqref="W34 AD34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{C8A2CB1A-B716-4458-8F65-80BB4ACBBD50}</x14:id>
        </ext>
      </extLst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{18F7C4B9-3350-4BFE-95F7-4F6B17B658A6}</x14:id>
        </ext>
      </extLs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{C1D24375-321D-49DE-AB29-C8D1A542E329}</x14:id>
        </ext>
      </extLst>
    </cfRule>
  </conditionalFormatting>
  <conditionalFormatting sqref="W34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{74AFF5EB-E522-48A4-8BB2-CBC6281EF273}</x14:id>
        </ext>
      </extLst>
    </cfRule>
  </conditionalFormatting>
  <conditionalFormatting sqref="W35 AD3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{EF6AE85D-926F-4FD5-BA6D-D6CC6A1E344E}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{137740D0-F6B9-4852-BDE9-D720F2BA8F82}</x14:id>
        </ext>
      </extLst>
    </cfRule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{7046ED71-3A03-428E-8457-9FCBC104DA21}</x14:id>
        </ext>
      </extLst>
    </cfRule>
  </conditionalFormatting>
  <conditionalFormatting sqref="W35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{D1039DAF-C3C8-44B5-BB12-609D49196D05}</x14:id>
        </ext>
      </extLst>
    </cfRule>
  </conditionalFormatting>
  <conditionalFormatting sqref="W39 AD39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{19CC599C-42A7-45B4-A637-F584D976777D}</x14:id>
        </ext>
      </extLst>
    </cfRule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{D657ACFE-7E10-4CAB-837F-2C2D66E1BB4E}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{E176189E-6BE4-419C-AFE8-BBF52C77FA18}</x14:id>
        </ext>
      </extLst>
    </cfRule>
  </conditionalFormatting>
  <conditionalFormatting sqref="W39"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{158B2385-AB3D-4131-A133-F844F1529B34}</x14:id>
        </ext>
      </extLst>
    </cfRule>
  </conditionalFormatting>
  <conditionalFormatting sqref="AD4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{3A8022EB-19F3-4389-B648-7517AE0A7D37}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{301DFAC3-42C5-422E-8F88-A5E22E1D942D}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{BC2878B6-973F-4F93-9A8C-979E593A07E0}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{5EDFFD58-702B-41B0-B1A5-890715D57C9E}</x14:id>
        </ext>
      </extLst>
    </cfRule>
  </conditionalFormatting>
  <conditionalFormatting sqref="AD26 W26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{AD8EDD70-ADC7-44DA-AEF7-12B5FF91C29C}</x14:id>
        </ext>
      </extLst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{A1C03E51-8685-4C25-86E5-4DB572C32457}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{4E7D89DC-65A5-4FA1-B02D-DEA94AA7DA09}</x14:id>
        </ext>
      </extLs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{A07027B3-D7AA-43DB-B66A-00A6B87EA738}</x14:id>
        </ext>
      </extLst>
    </cfRule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{A4E6ECC7-5572-47B4-A84B-B2B6A87E7CEC}</x14:id>
        </ext>
      </extLs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{52B051FD-606D-4885-ACF3-7FD01F7C9EFE}</x14:id>
        </ext>
      </extLst>
    </cfRule>
  </conditionalFormatting>
  <conditionalFormatting sqref="AD30 W30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{8DC184A0-4D47-468E-BD05-D271C4D3BFA1}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{6A35E1F5-3E30-491D-A4FA-F065EDD6B450}</x14:id>
        </ext>
      </extLst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{AF630E03-4421-43CF-9694-B7C428E472CB}</x14:id>
        </ext>
      </extLst>
    </cfRule>
  </conditionalFormatting>
  <conditionalFormatting sqref="AD31 W31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{079F49FA-99B0-4203-971A-4FBFD839FA5B}</x14:id>
        </ext>
      </extLst>
    </cfRule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{B583028A-3B03-4316-9901-28EAB13491C4}</x14:id>
        </ext>
      </extLst>
    </cfRule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{E9E0EBBB-B912-41B3-83AD-3FBBA3671C9F}</x14:id>
        </ext>
      </extLst>
    </cfRule>
  </conditionalFormatting>
  <conditionalFormatting sqref="AS35:BD36 AE36:AF36 AE35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{92E9C75C-6120-4A74-8890-BFAD43BB4C07}</x14:id>
        </ext>
      </extLst>
    </cfRule>
  </conditionalFormatting>
  <conditionalFormatting sqref="BA35:BB35"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{82C7B36C-3BA2-4A1D-9B84-42E8A80EAA4D}</x14:id>
        </ext>
      </extLst>
    </cfRule>
  </conditionalFormatting>
  <conditionalFormatting sqref="BC35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{212880E7-7124-4944-AE8F-A34B9B2F546A}</x14:id>
        </ext>
      </extLst>
    </cfRule>
    <cfRule type="dataBar" priority="1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{9A051EE7-FB44-4275-AF09-5E0A27E88D63}</x14:id>
        </ext>
      </extLst>
    </cfRule>
  </conditionalFormatting>
  <conditionalFormatting sqref="BC35:BC36">
    <cfRule type="dataBar" priority="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{1CDD2489-1C77-4E7C-82FC-60EB0924D29B}</x14:id>
        </ext>
      </extLst>
    </cfRule>
  </conditionalFormatting>
  <conditionalFormatting sqref="BD35 AE35 AS35:BB35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{AA82B526-BE8C-4981-A7B5-272CEC5F55E1}</x14:id>
        </ext>
      </extLst>
    </cfRule>
  </conditionalFormatting>
  <conditionalFormatting sqref="BD35:BD36 AE36:AF36 AE35 AS35:BB36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{D13D870E-AC78-4AC3-96AB-D0AEFBA30E6F}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6D32FE-7711-44AF-963A-7BFD7662A1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C0D653E-CC1F-4F18-BB2E-937F224C04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0C369D0-5DD4-46F2-86C1-3B9DCDCEA5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4589B00-A879-4C69-A632-5A6C57EBC4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5EEEDFC-E896-4398-8DB1-07EE669EC0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K4:K40</xm:sqref>
        </x14:conditionalFormatting>
        <x14:conditionalFormatting xmlns:xm="http://schemas.microsoft.com/office/excel/2006/main">
          <x14:cfRule type="dataBar" id="{6227AFDA-919C-4409-997A-99389DC04E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8C17D0F-8633-437B-8D97-3870CCA422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93417C5-1F70-450D-B0B2-A2ABD5C2A3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A86AEDD-7886-4643-9FF6-F0F9D3D46C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K31:K38</xm:sqref>
        </x14:conditionalFormatting>
        <x14:conditionalFormatting xmlns:xm="http://schemas.microsoft.com/office/excel/2006/main">
          <x14:cfRule type="dataBar" id="{3CC7C466-0E29-46E3-955F-7550A5DE77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CA3B41F-D2ED-49A7-AE77-D1544D1DA5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786F30F-7FB9-4D2B-8A57-55487B2B68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13555D3-7B93-498C-819D-0D85EB5D01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265D289-2186-47D3-B481-2E62ECADD2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6E3140-0699-4ABE-97B5-80958C6B39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K39:K40</xm:sqref>
        </x14:conditionalFormatting>
        <x14:conditionalFormatting xmlns:xm="http://schemas.microsoft.com/office/excel/2006/main">
          <x14:cfRule type="dataBar" id="{D9F62C91-854E-4CD1-A6CE-C436AC3C1A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D90EFEF-40B7-4645-9BDE-EE43CF2BEF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817F83B-076C-4985-BCA6-29419B78BB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M4:M29</xm:sqref>
        </x14:conditionalFormatting>
        <x14:conditionalFormatting xmlns:xm="http://schemas.microsoft.com/office/excel/2006/main">
          <x14:cfRule type="dataBar" id="{B378F02E-ABF4-4884-9043-C3BE72F61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M4:M40</xm:sqref>
        </x14:conditionalFormatting>
        <x14:conditionalFormatting xmlns:xm="http://schemas.microsoft.com/office/excel/2006/main">
          <x14:cfRule type="dataBar" id="{5B347018-2C1C-47DC-96AA-10F4019C01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29304A7-3B90-445C-944D-5000E85E1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782FF9F-D436-45BF-A837-65596B6062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M30:M40</xm:sqref>
        </x14:conditionalFormatting>
        <x14:conditionalFormatting xmlns:xm="http://schemas.microsoft.com/office/excel/2006/main">
          <x14:cfRule type="dataBar" id="{8318D8D1-F796-4E32-9F19-545D97929C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1D75F00-7423-42D8-9221-21FEDE7BE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ED1B2D4-9C06-48AC-8DC9-9396A8B1A2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F2F095C-FF1A-41E9-A4C2-26FDE21ACE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W4 AD4</xm:sqref>
        </x14:conditionalFormatting>
        <x14:conditionalFormatting xmlns:xm="http://schemas.microsoft.com/office/excel/2006/main">
          <x14:cfRule type="dataBar" id="{74845FF8-1826-449C-BAB8-BCA60938E4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W4</xm:sqref>
        </x14:conditionalFormatting>
        <x14:conditionalFormatting xmlns:xm="http://schemas.microsoft.com/office/excel/2006/main">
          <x14:cfRule type="dataBar" id="{90059FC7-0858-4243-AC47-D168C9F4AE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W4:W40 AD4:AD8 AD23 AD30:AD40 AD10:AD21 AD25:AD27</xm:sqref>
        </x14:conditionalFormatting>
        <x14:conditionalFormatting xmlns:xm="http://schemas.microsoft.com/office/excel/2006/main">
          <x14:cfRule type="dataBar" id="{34985994-4307-4253-8D47-1A87707F78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W4:W40 AD4:AD40</xm:sqref>
        </x14:conditionalFormatting>
        <x14:conditionalFormatting xmlns:xm="http://schemas.microsoft.com/office/excel/2006/main">
          <x14:cfRule type="dataBar" id="{0EAE6BC3-F1CF-4297-88CE-683E2D5DAB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 AD5</xm:sqref>
        </x14:conditionalFormatting>
        <x14:conditionalFormatting xmlns:xm="http://schemas.microsoft.com/office/excel/2006/main">
          <x14:cfRule type="dataBar" id="{56FA17C1-3C7B-4703-9BA5-E56FE8B285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B0162AC-D9BE-4146-8583-FE0ACD45CF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W5:W40 AD7:AD8 AD23 AD10:AD21 AD25:AD27 AD5</xm:sqref>
        </x14:conditionalFormatting>
        <x14:conditionalFormatting xmlns:xm="http://schemas.microsoft.com/office/excel/2006/main">
          <x14:cfRule type="dataBar" id="{9438DABC-AF4C-4B90-9EED-F5657872BD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W5:W40 AD7:AD8 AD23 AD30:AD40 AD10:AD21 AD25:AD27 AD5</xm:sqref>
        </x14:conditionalFormatting>
        <x14:conditionalFormatting xmlns:xm="http://schemas.microsoft.com/office/excel/2006/main">
          <x14:cfRule type="dataBar" id="{CE0E2EE3-ED74-4467-BB0D-3E3852F2D3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W5:W40</xm:sqref>
        </x14:conditionalFormatting>
        <x14:conditionalFormatting xmlns:xm="http://schemas.microsoft.com/office/excel/2006/main">
          <x14:cfRule type="dataBar" id="{C1CBDA6D-FD4E-4441-A7D2-FAF82DBEE9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51F054E-2660-43EE-ADC2-0CEE98D000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08B121C-05A6-428C-A32E-1733D07AF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3D8085-F54A-4442-B57A-4C17A9A70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011710D-3A35-4D4D-B17E-A24AB74BC6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56CA399-E4D9-4276-B44A-9FB221E939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W17 AD17</xm:sqref>
        </x14:conditionalFormatting>
        <x14:conditionalFormatting xmlns:xm="http://schemas.microsoft.com/office/excel/2006/main">
          <x14:cfRule type="dataBar" id="{70F155C1-9464-4063-A3B6-F04D0CAA88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C6E91B2-7240-4997-8067-B70E1261F6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W17</xm:sqref>
        </x14:conditionalFormatting>
        <x14:conditionalFormatting xmlns:xm="http://schemas.microsoft.com/office/excel/2006/main">
          <x14:cfRule type="dataBar" id="{4084B6C3-0259-4437-A755-C9093AD0FC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103BAA-F96C-495C-B222-14E67A67D0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9AF71A-E7A4-481F-B04B-7026B2E0E9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36BD6F0-F99D-4469-AA1A-A897606E82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E3667F4-00DC-4F74-AB94-2398867CB6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CF183F9-AF71-4949-AB88-5AC5B18F0F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W20 AD20</xm:sqref>
        </x14:conditionalFormatting>
        <x14:conditionalFormatting xmlns:xm="http://schemas.microsoft.com/office/excel/2006/main">
          <x14:cfRule type="dataBar" id="{36CF8D0D-0D1B-4F92-BF4D-08F545F8CF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DFC5B02-6BB6-4302-AEA3-B9DB9CFD7F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W20</xm:sqref>
        </x14:conditionalFormatting>
        <x14:conditionalFormatting xmlns:xm="http://schemas.microsoft.com/office/excel/2006/main">
          <x14:cfRule type="dataBar" id="{6F736B6C-A136-40DA-ABB6-12EE5CC7F4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0396886-9860-4973-9FA5-CC53E5E00D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W26</xm:sqref>
        </x14:conditionalFormatting>
        <x14:conditionalFormatting xmlns:xm="http://schemas.microsoft.com/office/excel/2006/main">
          <x14:cfRule type="dataBar" id="{3C798E18-60D1-49C7-A6CE-EA3A715D37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W30</xm:sqref>
        </x14:conditionalFormatting>
        <x14:conditionalFormatting xmlns:xm="http://schemas.microsoft.com/office/excel/2006/main">
          <x14:cfRule type="dataBar" id="{4638001C-37E9-4300-91A5-724F341AFF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72AEB13-C25A-4FDD-A8D1-4648F6EE8B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3A8CA1E-B516-433F-9CAB-70426E890B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W30:W40 AD30:AD40</xm:sqref>
        </x14:conditionalFormatting>
        <x14:conditionalFormatting xmlns:xm="http://schemas.microsoft.com/office/excel/2006/main">
          <x14:cfRule type="dataBar" id="{B4AA4DD4-68D4-451C-9AAF-D34D6C426D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W30:W40</xm:sqref>
        </x14:conditionalFormatting>
        <x14:conditionalFormatting xmlns:xm="http://schemas.microsoft.com/office/excel/2006/main">
          <x14:cfRule type="dataBar" id="{4BD9739F-A667-44EE-88A4-F3B53F8F4B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W31</xm:sqref>
        </x14:conditionalFormatting>
        <x14:conditionalFormatting xmlns:xm="http://schemas.microsoft.com/office/excel/2006/main">
          <x14:cfRule type="dataBar" id="{C8A2CB1A-B716-4458-8F65-80BB4ACBBD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8F7C4B9-3350-4BFE-95F7-4F6B17B65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1D24375-321D-49DE-AB29-C8D1A542E3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W34 AD34</xm:sqref>
        </x14:conditionalFormatting>
        <x14:conditionalFormatting xmlns:xm="http://schemas.microsoft.com/office/excel/2006/main">
          <x14:cfRule type="dataBar" id="{74AFF5EB-E522-48A4-8BB2-CBC6281EF2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W34</xm:sqref>
        </x14:conditionalFormatting>
        <x14:conditionalFormatting xmlns:xm="http://schemas.microsoft.com/office/excel/2006/main">
          <x14:cfRule type="dataBar" id="{EF6AE85D-926F-4FD5-BA6D-D6CC6A1E34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37740D0-F6B9-4852-BDE9-D720F2BA8F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046ED71-3A03-428E-8457-9FCBC104DA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W35 AD35</xm:sqref>
        </x14:conditionalFormatting>
        <x14:conditionalFormatting xmlns:xm="http://schemas.microsoft.com/office/excel/2006/main">
          <x14:cfRule type="dataBar" id="{D1039DAF-C3C8-44B5-BB12-609D49196D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W35</xm:sqref>
        </x14:conditionalFormatting>
        <x14:conditionalFormatting xmlns:xm="http://schemas.microsoft.com/office/excel/2006/main">
          <x14:cfRule type="dataBar" id="{19CC599C-42A7-45B4-A637-F584D97677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57ACFE-7E10-4CAB-837F-2C2D66E1BB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176189E-6BE4-419C-AFE8-BBF52C77FA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W39 AD39</xm:sqref>
        </x14:conditionalFormatting>
        <x14:conditionalFormatting xmlns:xm="http://schemas.microsoft.com/office/excel/2006/main">
          <x14:cfRule type="dataBar" id="{158B2385-AB3D-4131-A133-F844F1529B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W39</xm:sqref>
        </x14:conditionalFormatting>
        <x14:conditionalFormatting xmlns:xm="http://schemas.microsoft.com/office/excel/2006/main">
          <x14:cfRule type="dataBar" id="{3A8022EB-19F3-4389-B648-7517AE0A7D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01DFAC3-42C5-422E-8F88-A5E22E1D94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C2878B6-973F-4F93-9A8C-979E593A07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EDFFD58-702B-41B0-B1A5-890715D57C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AD4</xm:sqref>
        </x14:conditionalFormatting>
        <x14:conditionalFormatting xmlns:xm="http://schemas.microsoft.com/office/excel/2006/main">
          <x14:cfRule type="dataBar" id="{AD8EDD70-ADC7-44DA-AEF7-12B5FF91C2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C03E51-8685-4C25-86E5-4DB572C324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E7D89DC-65A5-4FA1-B02D-DEA94AA7DA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07027B3-D7AA-43DB-B66A-00A6B87EA7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4E6ECC7-5572-47B4-A84B-B2B6A87E7C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2B051FD-606D-4885-ACF3-7FD01F7C9E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AD26 W26</xm:sqref>
        </x14:conditionalFormatting>
        <x14:conditionalFormatting xmlns:xm="http://schemas.microsoft.com/office/excel/2006/main">
          <x14:cfRule type="dataBar" id="{8DC184A0-4D47-468E-BD05-D271C4D3BF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A35E1F5-3E30-491D-A4FA-F065EDD6B4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630E03-4421-43CF-9694-B7C428E472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AD30 W30</xm:sqref>
        </x14:conditionalFormatting>
        <x14:conditionalFormatting xmlns:xm="http://schemas.microsoft.com/office/excel/2006/main">
          <x14:cfRule type="dataBar" id="{079F49FA-99B0-4203-971A-4FBFD839FA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583028A-3B03-4316-9901-28EAB13491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9E0EBBB-B912-41B3-83AD-3FBBA3671C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AD31 W31</xm:sqref>
        </x14:conditionalFormatting>
        <x14:conditionalFormatting xmlns:xm="http://schemas.microsoft.com/office/excel/2006/main">
          <x14:cfRule type="dataBar" id="{92E9C75C-6120-4A74-8890-BFAD43BB4C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AS35:BD36 AE36:AF36 AE35</xm:sqref>
        </x14:conditionalFormatting>
        <x14:conditionalFormatting xmlns:xm="http://schemas.microsoft.com/office/excel/2006/main">
          <x14:cfRule type="dataBar" id="{82C7B36C-3BA2-4A1D-9B84-42E8A80EAA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BA35:BB35</xm:sqref>
        </x14:conditionalFormatting>
        <x14:conditionalFormatting xmlns:xm="http://schemas.microsoft.com/office/excel/2006/main">
          <x14:cfRule type="dataBar" id="{212880E7-7124-4944-AE8F-A34B9B2F54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A051EE7-FB44-4275-AF09-5E0A27E88D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BC35</xm:sqref>
        </x14:conditionalFormatting>
        <x14:conditionalFormatting xmlns:xm="http://schemas.microsoft.com/office/excel/2006/main">
          <x14:cfRule type="dataBar" id="{1CDD2489-1C77-4E7C-82FC-60EB0924D2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BC35:BC36</xm:sqref>
        </x14:conditionalFormatting>
        <x14:conditionalFormatting xmlns:xm="http://schemas.microsoft.com/office/excel/2006/main">
          <x14:cfRule type="dataBar" id="{AA82B526-BE8C-4981-A7B5-272CEC5F55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BD35 AE35 AS35:BB35</xm:sqref>
        </x14:conditionalFormatting>
        <x14:conditionalFormatting xmlns:xm="http://schemas.microsoft.com/office/excel/2006/main">
          <x14:cfRule type="dataBar" id="{D13D870E-AC78-4AC3-96AB-D0AEFBA30E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BD35:BD36 AE36:AF36 AE35 AS35:BB36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7"/>
  <dimension ref="A1:AS43"/>
  <sheetViews>
    <sheetView zoomScaleNormal="100" workbookViewId="0">
      <selection activeCell="E12" sqref="E12:H12"/>
    </sheetView>
  </sheetViews>
  <sheetFormatPr defaultColWidth="9.109375" defaultRowHeight="14.4"/>
  <cols>
    <col min="1" max="1" width="9.109375" style="5"/>
    <col min="2" max="2" width="15.6640625" style="5" customWidth="1"/>
    <col min="3" max="10" width="9.109375" style="5"/>
    <col min="11" max="11" width="13.44140625" style="5" customWidth="1"/>
    <col min="12" max="12" width="9.109375" style="5"/>
    <col min="13" max="13" width="13.44140625" style="5" customWidth="1"/>
    <col min="14" max="15" width="9.109375" style="5"/>
    <col min="16" max="16" width="13.88671875" style="5" customWidth="1"/>
    <col min="17" max="22" width="9.109375" style="5" customWidth="1"/>
    <col min="23" max="23" width="13.44140625" style="5" customWidth="1"/>
    <col min="24" max="28" width="9.109375" style="5"/>
    <col min="29" max="29" width="9.109375" style="5" customWidth="1"/>
    <col min="30" max="30" width="13.44140625" style="5" customWidth="1"/>
    <col min="31" max="32" width="9.109375" style="5"/>
    <col min="33" max="34" width="13.88671875" style="5" customWidth="1"/>
    <col min="35" max="38" width="9.109375" style="5"/>
    <col min="39" max="39" width="11.6640625" style="5" bestFit="1" customWidth="1"/>
    <col min="40" max="43" width="13.5546875" style="5" bestFit="1" customWidth="1"/>
    <col min="44" max="44" width="14.44140625" style="5" bestFit="1" customWidth="1"/>
    <col min="45" max="16384" width="9.109375" style="5"/>
  </cols>
  <sheetData>
    <row r="1" spans="1:44" ht="21">
      <c r="A1" s="3" t="s">
        <v>679</v>
      </c>
      <c r="C1" s="4"/>
      <c r="D1" s="4"/>
      <c r="E1" s="4"/>
      <c r="F1" s="4"/>
      <c r="G1" s="4"/>
      <c r="H1" s="4"/>
      <c r="I1" s="4"/>
      <c r="J1" s="4"/>
      <c r="P1" s="3" t="s">
        <v>191</v>
      </c>
      <c r="Q1" s="3"/>
      <c r="R1" s="3"/>
      <c r="S1" s="3"/>
      <c r="T1" s="3"/>
      <c r="U1" s="3"/>
      <c r="V1" s="3"/>
      <c r="AG1" s="3" t="s">
        <v>282</v>
      </c>
      <c r="AM1" s="474"/>
      <c r="AN1" s="474"/>
      <c r="AO1" s="474"/>
      <c r="AP1" s="474"/>
      <c r="AQ1" s="474"/>
      <c r="AR1" s="474"/>
    </row>
    <row r="2" spans="1:44" ht="14.4" customHeight="1">
      <c r="A2" s="2" t="s">
        <v>289</v>
      </c>
      <c r="Q2" s="905" t="s">
        <v>298</v>
      </c>
      <c r="R2" s="906"/>
      <c r="S2" s="906"/>
      <c r="T2" s="906"/>
      <c r="U2" s="906"/>
      <c r="V2" s="906"/>
      <c r="W2" s="907"/>
      <c r="X2" s="905" t="s">
        <v>279</v>
      </c>
      <c r="Y2" s="906"/>
      <c r="Z2" s="906"/>
      <c r="AA2" s="906"/>
      <c r="AB2" s="906"/>
      <c r="AC2" s="906"/>
      <c r="AD2" s="907"/>
      <c r="AI2" s="908" t="s">
        <v>171</v>
      </c>
      <c r="AJ2" s="909"/>
      <c r="AK2" s="910" t="s">
        <v>237</v>
      </c>
      <c r="AL2" s="909"/>
      <c r="AM2" s="905" t="s">
        <v>431</v>
      </c>
      <c r="AN2" s="906"/>
      <c r="AO2" s="906"/>
      <c r="AP2" s="906"/>
      <c r="AQ2" s="906"/>
      <c r="AR2" s="907"/>
    </row>
    <row r="3" spans="1:44" ht="28.95" customHeight="1">
      <c r="A3" s="85" t="s">
        <v>192</v>
      </c>
      <c r="B3" s="85" t="s">
        <v>165</v>
      </c>
      <c r="C3" s="50" t="s">
        <v>0</v>
      </c>
      <c r="D3" s="51" t="s">
        <v>1</v>
      </c>
      <c r="E3" s="52" t="s">
        <v>2</v>
      </c>
      <c r="F3" s="52" t="s">
        <v>3</v>
      </c>
      <c r="G3" s="52" t="s">
        <v>4</v>
      </c>
      <c r="H3" s="52" t="s">
        <v>5</v>
      </c>
      <c r="I3" s="52" t="s">
        <v>6</v>
      </c>
      <c r="J3" s="53" t="s">
        <v>7</v>
      </c>
      <c r="K3" s="41" t="s">
        <v>141</v>
      </c>
      <c r="M3" s="42" t="s">
        <v>168</v>
      </c>
      <c r="P3" s="433" t="s">
        <v>165</v>
      </c>
      <c r="Q3" s="391" t="s">
        <v>2</v>
      </c>
      <c r="R3" s="389" t="s">
        <v>3</v>
      </c>
      <c r="S3" s="389" t="s">
        <v>4</v>
      </c>
      <c r="T3" s="389" t="s">
        <v>5</v>
      </c>
      <c r="U3" s="389" t="s">
        <v>6</v>
      </c>
      <c r="V3" s="41" t="s">
        <v>7</v>
      </c>
      <c r="W3" s="41" t="s">
        <v>141</v>
      </c>
      <c r="X3" s="391" t="s">
        <v>2</v>
      </c>
      <c r="Y3" s="389" t="s">
        <v>3</v>
      </c>
      <c r="Z3" s="389" t="s">
        <v>4</v>
      </c>
      <c r="AA3" s="389" t="s">
        <v>5</v>
      </c>
      <c r="AB3" s="389" t="s">
        <v>6</v>
      </c>
      <c r="AC3" s="41" t="s">
        <v>7</v>
      </c>
      <c r="AD3" s="41" t="s">
        <v>141</v>
      </c>
      <c r="AG3" s="85" t="s">
        <v>165</v>
      </c>
      <c r="AH3" s="50" t="s">
        <v>0</v>
      </c>
      <c r="AI3" s="427" t="s">
        <v>238</v>
      </c>
      <c r="AJ3" s="427" t="s">
        <v>239</v>
      </c>
      <c r="AK3" s="431" t="s">
        <v>238</v>
      </c>
      <c r="AL3" s="432" t="s">
        <v>239</v>
      </c>
      <c r="AM3" s="391" t="s">
        <v>2</v>
      </c>
      <c r="AN3" s="389" t="s">
        <v>3</v>
      </c>
      <c r="AO3" s="389" t="s">
        <v>4</v>
      </c>
      <c r="AP3" s="389" t="s">
        <v>5</v>
      </c>
      <c r="AQ3" s="389" t="s">
        <v>6</v>
      </c>
      <c r="AR3" s="41" t="s">
        <v>7</v>
      </c>
    </row>
    <row r="4" spans="1:44">
      <c r="A4" s="94" t="s">
        <v>116</v>
      </c>
      <c r="B4" s="94" t="s">
        <v>200</v>
      </c>
      <c r="C4" s="95"/>
      <c r="D4" s="95" t="s">
        <v>10</v>
      </c>
      <c r="E4" s="497">
        <v>2.2000000000000002</v>
      </c>
      <c r="F4" s="498">
        <v>2.2000000000000002</v>
      </c>
      <c r="G4" s="498">
        <v>2.2000000000000002</v>
      </c>
      <c r="H4" s="498">
        <v>2.2000000000000002</v>
      </c>
      <c r="I4" s="498">
        <v>2.2000000000000002</v>
      </c>
      <c r="J4" s="499">
        <v>0.6</v>
      </c>
      <c r="K4" s="45">
        <f>SUMPRODUCT('Dwelling stock'!E4:J4,E4:J4)/SUM('Dwelling stock'!E4:J4)</f>
        <v>2.0987056331577358</v>
      </c>
      <c r="M4" s="97"/>
      <c r="P4" s="94" t="s">
        <v>200</v>
      </c>
      <c r="Q4" s="394">
        <f>1/((1/E4)+'Energy Efficiency Measures-DBT'!AI43)</f>
        <v>0.58666666666666667</v>
      </c>
      <c r="R4" s="395">
        <f>1/((1/F4)+'Energy Efficiency Measures-DBT'!AJ43)</f>
        <v>0.58666666666666667</v>
      </c>
      <c r="S4" s="395">
        <f>1/((1/G4)+'Energy Efficiency Measures-DBT'!AK43)</f>
        <v>0.58666666666666667</v>
      </c>
      <c r="T4" s="395">
        <f>1/((1/H4)+'Energy Efficiency Measures-DBT'!AL43)</f>
        <v>0.58666666666666667</v>
      </c>
      <c r="U4" s="395">
        <f>1/((1/I4)+'Energy Efficiency Measures-DBT'!AM43)</f>
        <v>0.58666666666666667</v>
      </c>
      <c r="V4" s="308">
        <f>1/((1/J4)+'Energy Efficiency Measures-DBT'!AN43)</f>
        <v>0.3428571428571428</v>
      </c>
      <c r="W4" s="305">
        <f>1/((1/$K4)+'Energy Efficiency Measures-DBT'!AI43)</f>
        <v>0.57921179968080816</v>
      </c>
      <c r="X4" s="394">
        <f>1/((1/E4)+'Energy Efficiency Measures-DBT'!AI42)</f>
        <v>0.33846153846153848</v>
      </c>
      <c r="Y4" s="395">
        <f>1/((1/F4)+'Energy Efficiency Measures-DBT'!AJ42)</f>
        <v>0.33846153846153848</v>
      </c>
      <c r="Z4" s="395">
        <f>1/((1/G4)+'Energy Efficiency Measures-DBT'!AK42)</f>
        <v>0.33846153846153848</v>
      </c>
      <c r="AA4" s="395">
        <f>1/((1/H4)+'Energy Efficiency Measures-DBT'!AL42)</f>
        <v>0.33846153846153848</v>
      </c>
      <c r="AB4" s="395">
        <f>1/((1/I4)+'Energy Efficiency Measures-DBT'!AM42)</f>
        <v>0.33846153846153848</v>
      </c>
      <c r="AC4" s="308">
        <f>1/((1/J4)+'Energy Efficiency Measures-DBT'!AN42)</f>
        <v>0.24</v>
      </c>
      <c r="AD4" s="331">
        <f>1/((1/$K4)+'Energy Efficiency Measures-DBT'!AI42)</f>
        <v>0.33596684704400326</v>
      </c>
      <c r="AG4" s="94" t="s">
        <v>200</v>
      </c>
      <c r="AH4" s="95"/>
      <c r="AI4" s="463">
        <v>5</v>
      </c>
      <c r="AJ4" s="464">
        <v>5</v>
      </c>
      <c r="AK4" s="463">
        <v>5</v>
      </c>
      <c r="AL4" s="465">
        <v>5</v>
      </c>
      <c r="AM4" s="188" t="str">
        <f>IF(AND(E4&gt;Q4,AJ4&gt;Q4),'Energy Efficiency Measures-DBT'!$B$46,"")&amp;", "&amp;IF(AND(E4&gt;X4,AJ4&gt;X4),'Energy Efficiency Measures-DBT'!$B$45,"")</f>
        <v>MW3, MW2</v>
      </c>
      <c r="AN4" s="189" t="str">
        <f>IF(AND(F4&gt;R4,AJ4&gt;R4),'Energy Efficiency Measures-DBT'!$B$46,"")&amp;", "&amp;IF(AND(F4&gt;Y4,AJ4&gt;Y4),'Energy Efficiency Measures-DBT'!$B$45,"")</f>
        <v>MW3, MW2</v>
      </c>
      <c r="AO4" s="189" t="str">
        <f>IF(AND(G4&gt;S4,AJ4&gt;S4),'Energy Efficiency Measures-DBT'!$B$46,"")&amp;", "&amp;IF(AND(G4&gt;Z4,AJ4&gt;Z4),'Energy Efficiency Measures-DBT'!$B$45,"")</f>
        <v>MW3, MW2</v>
      </c>
      <c r="AP4" s="189" t="str">
        <f>IF(AND(H4&gt;T4,AJ4&gt;T4),'Energy Efficiency Measures-DBT'!$B$46,"")&amp;", "&amp;IF(AND(H4&gt;AA4,AJ4&gt;AA4),'Energy Efficiency Measures-DBT'!$B$45,"")</f>
        <v>MW3, MW2</v>
      </c>
      <c r="AQ4" s="189" t="str">
        <f>IF(AND(I4&gt;U4,AJ4&gt;U4),'Energy Efficiency Measures-DBT'!$B$46,"")&amp;", "&amp;IF(AND(I4&gt;AB4,AJ4&gt;AB4),'Energy Efficiency Measures-DBT'!$B$45,"")</f>
        <v>MW3, MW2</v>
      </c>
      <c r="AR4" s="190" t="str">
        <f>IF(AND(J4&gt;V4,AJ4&gt;V4),'Energy Efficiency Measures-DBT'!$B$46,"")&amp;", "&amp;IF(AND(J4&gt;AC4,AJ4&gt;AC4),'Energy Efficiency Measures-DBT'!$B$45,"")</f>
        <v>MW3, MW2</v>
      </c>
    </row>
    <row r="5" spans="1:44">
      <c r="A5" s="48" t="s">
        <v>88</v>
      </c>
      <c r="B5" s="48" t="s">
        <v>8</v>
      </c>
      <c r="C5" s="47" t="s">
        <v>9</v>
      </c>
      <c r="D5" s="47" t="s">
        <v>10</v>
      </c>
      <c r="E5" s="497">
        <v>1.55</v>
      </c>
      <c r="F5" s="498">
        <v>1.2749999999999999</v>
      </c>
      <c r="G5" s="498">
        <v>1</v>
      </c>
      <c r="H5" s="498">
        <v>0.65</v>
      </c>
      <c r="I5" s="498">
        <v>0.5</v>
      </c>
      <c r="J5" s="499">
        <v>0.45</v>
      </c>
      <c r="K5" s="45">
        <f>SUMPRODUCT('Dwelling stock'!E5:J5,E5:J5)/SUM('Dwelling stock'!E5:J5)</f>
        <v>1.06828777837218</v>
      </c>
      <c r="M5" s="54">
        <v>1.0641419999999999</v>
      </c>
      <c r="P5" s="48" t="s">
        <v>8</v>
      </c>
      <c r="Q5" s="392">
        <f>1/((1/E5)+LOOKUP($A5,'Energy Efficiency Measures-DBT'!$D$11:$AN$11,'Energy Efficiency Measures-DBT'!$D$43:$AN$43))</f>
        <v>0.52765957446808509</v>
      </c>
      <c r="R5" s="393">
        <f>1/((1/F5)+LOOKUP($A5,'Energy Efficiency Measures-DBT'!$D$11:$AN$11,'Energy Efficiency Measures-DBT'!$D$43:$AN$43))</f>
        <v>0.49156626506024098</v>
      </c>
      <c r="S5" s="393">
        <f>1/((1/G5)+LOOKUP($A5,'Energy Efficiency Measures-DBT'!$D$11:$AN$11,'Energy Efficiency Measures-DBT'!$D$43:$AN$43))</f>
        <v>0.44444444444444442</v>
      </c>
      <c r="T5" s="393">
        <f>1/((1/H5)+LOOKUP($A5,'Energy Efficiency Measures-DBT'!$D$11:$AN$11,'Energy Efficiency Measures-DBT'!$D$43:$AN$43))</f>
        <v>0.35862068965517241</v>
      </c>
      <c r="U5" s="393">
        <f>1/((1/I5)+LOOKUP($A5,'Energy Efficiency Measures-DBT'!$D$11:$AN$11,'Energy Efficiency Measures-DBT'!$D$43:$AN$43))</f>
        <v>0.30769230769230771</v>
      </c>
      <c r="V5" s="306">
        <f>1/((1/J5)+LOOKUP($A5,'Energy Efficiency Measures-DBT'!$D$11:$AN$11,'Energy Efficiency Measures-DBT'!$D$43:$AN$43))</f>
        <v>0.28799999999999998</v>
      </c>
      <c r="W5" s="220">
        <f>1/((1/$K5)+LOOKUP($A5,'Energy Efficiency Measures-DBT'!$D$11:$AN$11,'Energy Efficiency Measures-DBT'!$D$43:$AN$43))</f>
        <v>0.45744035399213206</v>
      </c>
      <c r="X5" s="392">
        <f>1/((1/E5)+LOOKUP($A5,'Energy Efficiency Measures-DBT'!$D$11:$AN$11,'Energy Efficiency Measures-DBT'!$D$42:$AN$42))</f>
        <v>0.31794871794871798</v>
      </c>
      <c r="Y5" s="393">
        <f>1/((1/F5)+LOOKUP($A5,'Energy Efficiency Measures-DBT'!$D$11:$AN$11,'Energy Efficiency Measures-DBT'!$D$42:$AN$42))</f>
        <v>0.30447761194029854</v>
      </c>
      <c r="Z5" s="393">
        <f>1/((1/G5)+LOOKUP($A5,'Energy Efficiency Measures-DBT'!$D$11:$AN$11,'Energy Efficiency Measures-DBT'!$D$42:$AN$42))</f>
        <v>0.2857142857142857</v>
      </c>
      <c r="AA5" s="393">
        <f>1/((1/H5)+LOOKUP($A5,'Energy Efficiency Measures-DBT'!$D$11:$AN$11,'Energy Efficiency Measures-DBT'!$D$42:$AN$42))</f>
        <v>0.24761904761904763</v>
      </c>
      <c r="AB5" s="393">
        <f>1/((1/I5)+LOOKUP($A5,'Energy Efficiency Measures-DBT'!$D$11:$AN$11,'Energy Efficiency Measures-DBT'!$D$42:$AN$42))</f>
        <v>0.22222222222222221</v>
      </c>
      <c r="AC5" s="306">
        <f>1/((1/J5)+LOOKUP($A5,'Energy Efficiency Measures-DBT'!$D$11:$AN$11,'Energy Efficiency Measures-DBT'!$D$42:$AN$42))</f>
        <v>0.21176470588235294</v>
      </c>
      <c r="AD5" s="54">
        <f>1/((1/$K5)+LOOKUP($A5,'Energy Efficiency Measures-DBT'!$D$11:$AN$11,'Energy Efficiency Measures-DBT'!$D$42:$AN$42))</f>
        <v>0.29102953633695411</v>
      </c>
      <c r="AG5" s="48" t="s">
        <v>8</v>
      </c>
      <c r="AH5" s="47" t="s">
        <v>283</v>
      </c>
      <c r="AI5" s="428">
        <v>0.35</v>
      </c>
      <c r="AJ5" s="429">
        <f>AI5</f>
        <v>0.35</v>
      </c>
      <c r="AK5" s="428">
        <f>AI5</f>
        <v>0.35</v>
      </c>
      <c r="AL5" s="430">
        <f>AK5</f>
        <v>0.35</v>
      </c>
      <c r="AM5" s="179" t="str">
        <f>IF(AND(E5&gt;Q5,AJ5&gt;Q5),'Energy Efficiency Measures-DBT'!$B$46,"")&amp;", "&amp;IF(AND(E5&gt;X5,AJ5&gt;X5),'Energy Efficiency Measures-DBT'!$B$45,"")</f>
        <v>, MW2</v>
      </c>
      <c r="AN5" s="164" t="str">
        <f>IF(AND(F5&gt;R5,AJ5&gt;R5),'Energy Efficiency Measures-DBT'!$B$46,"")&amp;", "&amp;IF(AND(F5&gt;Y5,AJ5&gt;Y5),'Energy Efficiency Measures-DBT'!$B$45,"")</f>
        <v>, MW2</v>
      </c>
      <c r="AO5" s="164" t="str">
        <f>IF(AND(G5&gt;S5,AJ5&gt;S5),'Energy Efficiency Measures-DBT'!$B$46,"")&amp;", "&amp;IF(AND(G5&gt;Z5,AJ5&gt;Z5),'Energy Efficiency Measures-DBT'!$B$45,"")</f>
        <v>, MW2</v>
      </c>
      <c r="AP5" s="164" t="str">
        <f>IF(AND(H5&gt;T5,AJ5&gt;T5),'Energy Efficiency Measures-DBT'!$B$46,"")&amp;", "&amp;IF(AND(H5&gt;AA5,AJ5&gt;AA5),'Energy Efficiency Measures-DBT'!$B$45,"")</f>
        <v>, MW2</v>
      </c>
      <c r="AQ5" s="164" t="str">
        <f>IF(AND(I5&gt;U5,AJ5&gt;U5),'Energy Efficiency Measures-DBT'!$B$46,"")&amp;", "&amp;IF(AND(I5&gt;AB5,AJ5&gt;AB5),'Energy Efficiency Measures-DBT'!$B$45,"")</f>
        <v>MW3, MW2</v>
      </c>
      <c r="AR5" s="273" t="str">
        <f>IF(AND(J5&gt;V5,AJ5&gt;V5),'Energy Efficiency Measures-DBT'!$B$46,"")&amp;", "&amp;IF(AND(J5&gt;AC5,AJ5&gt;AC5),'Energy Efficiency Measures-DBT'!$B$45,"")</f>
        <v>MW3, MW2</v>
      </c>
    </row>
    <row r="6" spans="1:44">
      <c r="A6" s="48" t="s">
        <v>117</v>
      </c>
      <c r="B6" s="48" t="s">
        <v>202</v>
      </c>
      <c r="C6" s="47"/>
      <c r="D6" s="47" t="s">
        <v>10</v>
      </c>
      <c r="E6" s="497">
        <v>1.45</v>
      </c>
      <c r="F6" s="498">
        <v>1.45</v>
      </c>
      <c r="G6" s="498">
        <v>1.45</v>
      </c>
      <c r="H6" s="498">
        <v>1.2</v>
      </c>
      <c r="I6" s="498">
        <v>1.1000000000000001</v>
      </c>
      <c r="J6" s="499">
        <v>0.9</v>
      </c>
      <c r="K6" s="45">
        <f>SUMPRODUCT('Dwelling stock'!E6:J6,E6:J6)/SUM('Dwelling stock'!E6:J6)</f>
        <v>1.3327162610209247</v>
      </c>
      <c r="M6" s="28"/>
      <c r="P6" s="48" t="s">
        <v>202</v>
      </c>
      <c r="Q6" s="392">
        <f>1/((1/E6)+LOOKUP($A6,'Energy Efficiency Measures-DBT'!$D$11:$AN$11,'Energy Efficiency Measures-DBT'!$D$43:$AN$43))</f>
        <v>0.51555555555555554</v>
      </c>
      <c r="R6" s="393">
        <f>1/((1/F6)+LOOKUP($A6,'Energy Efficiency Measures-DBT'!$D$11:$AN$11,'Energy Efficiency Measures-DBT'!$D$43:$AN$43))</f>
        <v>0.51555555555555554</v>
      </c>
      <c r="S6" s="393">
        <f>1/((1/G6)+LOOKUP($A6,'Energy Efficiency Measures-DBT'!$D$11:$AN$11,'Energy Efficiency Measures-DBT'!$D$43:$AN$43))</f>
        <v>0.51555555555555554</v>
      </c>
      <c r="T6" s="393">
        <f>1/((1/H6)+LOOKUP($A6,'Energy Efficiency Measures-DBT'!$D$11:$AN$11,'Energy Efficiency Measures-DBT'!$D$43:$AN$43))</f>
        <v>0.48</v>
      </c>
      <c r="U6" s="393">
        <f>1/((1/I6)+LOOKUP($A6,'Energy Efficiency Measures-DBT'!$D$11:$AN$11,'Energy Efficiency Measures-DBT'!$D$43:$AN$43))</f>
        <v>0.4631578947368421</v>
      </c>
      <c r="V6" s="306">
        <f>1/((1/J6)+LOOKUP($A6,'Energy Efficiency Measures-DBT'!$D$11:$AN$11,'Energy Efficiency Measures-DBT'!$D$43:$AN$43))</f>
        <v>0.42352941176470588</v>
      </c>
      <c r="W6" s="219">
        <f>1/((1/$K6)+LOOKUP($A6,'Energy Efficiency Measures-DBT'!$D$11:$AN$11,'Energy Efficiency Measures-DBT'!$D$43:$AN$43))</f>
        <v>0.49991319909867704</v>
      </c>
      <c r="X6" s="392">
        <f>1/((1/E6)+LOOKUP($A6,'Energy Efficiency Measures-DBT'!$D$11:$AN$11,'Energy Efficiency Measures-DBT'!$D$42:$AN$42))</f>
        <v>0.31351351351351353</v>
      </c>
      <c r="Y6" s="393">
        <f>1/((1/F6)+LOOKUP($A6,'Energy Efficiency Measures-DBT'!$D$11:$AN$11,'Energy Efficiency Measures-DBT'!$D$42:$AN$42))</f>
        <v>0.31351351351351353</v>
      </c>
      <c r="Z6" s="393">
        <f>1/((1/G6)+LOOKUP($A6,'Energy Efficiency Measures-DBT'!$D$11:$AN$11,'Energy Efficiency Measures-DBT'!$D$42:$AN$42))</f>
        <v>0.31351351351351353</v>
      </c>
      <c r="AA6" s="393">
        <f>1/((1/H6)+LOOKUP($A6,'Energy Efficiency Measures-DBT'!$D$11:$AN$11,'Energy Efficiency Measures-DBT'!$D$42:$AN$42))</f>
        <v>0.3</v>
      </c>
      <c r="AB6" s="393">
        <f>1/((1/I6)+LOOKUP($A6,'Energy Efficiency Measures-DBT'!$D$11:$AN$11,'Energy Efficiency Measures-DBT'!$D$42:$AN$42))</f>
        <v>0.29333333333333333</v>
      </c>
      <c r="AC6" s="306">
        <f>1/((1/J6)+LOOKUP($A6,'Energy Efficiency Measures-DBT'!$D$11:$AN$11,'Energy Efficiency Measures-DBT'!$D$42:$AN$42))</f>
        <v>0.27692307692307694</v>
      </c>
      <c r="AD6" s="54">
        <f>1/((1/$K6)+LOOKUP($A6,'Energy Efficiency Measures-DBT'!$D$11:$AN$11,'Energy Efficiency Measures-DBT'!$D$42:$AN$42))</f>
        <v>0.30765943415009722</v>
      </c>
      <c r="AG6" s="48" t="s">
        <v>202</v>
      </c>
      <c r="AH6" s="47"/>
      <c r="AI6" s="262">
        <v>5</v>
      </c>
      <c r="AJ6" s="263">
        <v>5</v>
      </c>
      <c r="AK6" s="262">
        <v>5</v>
      </c>
      <c r="AL6" s="264">
        <v>5</v>
      </c>
      <c r="AM6" s="179" t="str">
        <f>IF(AND(E6&gt;Q6,AJ6&gt;Q6),'Energy Efficiency Measures-DBT'!$B$46,"")&amp;", "&amp;IF(AND(E6&gt;X6,AJ6&gt;X6),'Energy Efficiency Measures-DBT'!$B$45,"")</f>
        <v>MW3, MW2</v>
      </c>
      <c r="AN6" s="164" t="str">
        <f>IF(AND(F6&gt;R6,AJ6&gt;R6),'Energy Efficiency Measures-DBT'!$B$46,"")&amp;", "&amp;IF(AND(F6&gt;Y6,AJ6&gt;Y6),'Energy Efficiency Measures-DBT'!$B$45,"")</f>
        <v>MW3, MW2</v>
      </c>
      <c r="AO6" s="164" t="str">
        <f>IF(AND(G6&gt;S6,AJ6&gt;S6),'Energy Efficiency Measures-DBT'!$B$46,"")&amp;", "&amp;IF(AND(G6&gt;Z6,AJ6&gt;Z6),'Energy Efficiency Measures-DBT'!$B$45,"")</f>
        <v>MW3, MW2</v>
      </c>
      <c r="AP6" s="164" t="str">
        <f>IF(AND(H6&gt;T6,AJ6&gt;T6),'Energy Efficiency Measures-DBT'!$B$46,"")&amp;", "&amp;IF(AND(H6&gt;AA6,AJ6&gt;AA6),'Energy Efficiency Measures-DBT'!$B$45,"")</f>
        <v>MW3, MW2</v>
      </c>
      <c r="AQ6" s="164" t="str">
        <f>IF(AND(I6&gt;U6,AJ6&gt;U6),'Energy Efficiency Measures-DBT'!$B$46,"")&amp;", "&amp;IF(AND(I6&gt;AB6,AJ6&gt;AB6),'Energy Efficiency Measures-DBT'!$B$45,"")</f>
        <v>MW3, MW2</v>
      </c>
      <c r="AR6" s="273" t="str">
        <f>IF(AND(J6&gt;V6,AJ6&gt;V6),'Energy Efficiency Measures-DBT'!$B$46,"")&amp;", "&amp;IF(AND(J6&gt;AC6,AJ6&gt;AC6),'Energy Efficiency Measures-DBT'!$B$45,"")</f>
        <v>MW3, MW2</v>
      </c>
    </row>
    <row r="7" spans="1:44">
      <c r="A7" s="48" t="s">
        <v>89</v>
      </c>
      <c r="B7" s="48" t="s">
        <v>11</v>
      </c>
      <c r="C7" s="47" t="s">
        <v>12</v>
      </c>
      <c r="D7" s="47" t="s">
        <v>10</v>
      </c>
      <c r="E7" s="497">
        <v>1.835</v>
      </c>
      <c r="F7" s="498">
        <v>1.835</v>
      </c>
      <c r="G7" s="498">
        <v>1.835</v>
      </c>
      <c r="H7" s="498">
        <v>1.54</v>
      </c>
      <c r="I7" s="498">
        <v>1.54</v>
      </c>
      <c r="J7" s="499">
        <v>0.78</v>
      </c>
      <c r="K7" s="45">
        <f>SUMPRODUCT('Dwelling stock'!E7:J7,E7:J7)/SUM('Dwelling stock'!E7:J7)</f>
        <v>1.7119048408600486</v>
      </c>
      <c r="M7" s="54">
        <v>1.6418969999999999</v>
      </c>
      <c r="P7" s="48" t="s">
        <v>11</v>
      </c>
      <c r="Q7" s="392">
        <f>1/((1/E7)+LOOKUP($A7,'Energy Efficiency Measures-DBT'!$D$11:$AN$11,'Energy Efficiency Measures-DBT'!$D$43:$AN$43))</f>
        <v>0.55711574952561671</v>
      </c>
      <c r="R7" s="393">
        <f>1/((1/F7)+LOOKUP($A7,'Energy Efficiency Measures-DBT'!$D$11:$AN$11,'Energy Efficiency Measures-DBT'!$D$43:$AN$43))</f>
        <v>0.55711574952561671</v>
      </c>
      <c r="S7" s="393">
        <f>1/((1/G7)+LOOKUP($A7,'Energy Efficiency Measures-DBT'!$D$11:$AN$11,'Energy Efficiency Measures-DBT'!$D$43:$AN$43))</f>
        <v>0.55711574952561671</v>
      </c>
      <c r="T7" s="393">
        <f>1/((1/H7)+LOOKUP($A7,'Energy Efficiency Measures-DBT'!$D$11:$AN$11,'Energy Efficiency Measures-DBT'!$D$43:$AN$43))</f>
        <v>0.52649572649572651</v>
      </c>
      <c r="U7" s="393">
        <f>1/((1/I7)+LOOKUP($A7,'Energy Efficiency Measures-DBT'!$D$11:$AN$11,'Energy Efficiency Measures-DBT'!$D$43:$AN$43))</f>
        <v>0.52649572649572651</v>
      </c>
      <c r="V7" s="306">
        <f>1/((1/J7)+LOOKUP($A7,'Energy Efficiency Measures-DBT'!$D$11:$AN$11,'Energy Efficiency Measures-DBT'!$D$43:$AN$43))</f>
        <v>0.39493670886075949</v>
      </c>
      <c r="W7" s="219">
        <f>1/((1/$K7)+LOOKUP($A7,'Energy Efficiency Measures-DBT'!$D$11:$AN$11,'Energy Efficiency Measures-DBT'!$D$43:$AN$43))</f>
        <v>0.54521327815074749</v>
      </c>
      <c r="X7" s="392">
        <f>1/((1/E7)+LOOKUP($A7,'Energy Efficiency Measures-DBT'!$D$11:$AN$11,'Energy Efficiency Measures-DBT'!$D$42:$AN$42))</f>
        <v>0.32841163310961968</v>
      </c>
      <c r="Y7" s="393">
        <f>1/((1/F7)+LOOKUP($A7,'Energy Efficiency Measures-DBT'!$D$11:$AN$11,'Energy Efficiency Measures-DBT'!$D$42:$AN$42))</f>
        <v>0.32841163310961968</v>
      </c>
      <c r="Z7" s="393">
        <f>1/((1/G7)+LOOKUP($A7,'Energy Efficiency Measures-DBT'!$D$11:$AN$11,'Energy Efficiency Measures-DBT'!$D$42:$AN$42))</f>
        <v>0.32841163310961968</v>
      </c>
      <c r="AA7" s="393">
        <f>1/((1/H7)+LOOKUP($A7,'Energy Efficiency Measures-DBT'!$D$11:$AN$11,'Energy Efficiency Measures-DBT'!$D$42:$AN$42))</f>
        <v>0.31752577319587627</v>
      </c>
      <c r="AB7" s="393">
        <f>1/((1/I7)+LOOKUP($A7,'Energy Efficiency Measures-DBT'!$D$11:$AN$11,'Energy Efficiency Measures-DBT'!$D$42:$AN$42))</f>
        <v>0.31752577319587627</v>
      </c>
      <c r="AC7" s="306">
        <f>1/((1/J7)+LOOKUP($A7,'Energy Efficiency Measures-DBT'!$D$11:$AN$11,'Energy Efficiency Measures-DBT'!$D$42:$AN$42))</f>
        <v>0.26440677966101694</v>
      </c>
      <c r="AD7" s="54">
        <f>1/((1/$K7)+LOOKUP($A7,'Energy Efficiency Measures-DBT'!$D$11:$AN$11,'Energy Efficiency Measures-DBT'!$D$42:$AN$42))</f>
        <v>0.32423901072415656</v>
      </c>
      <c r="AG7" s="48" t="s">
        <v>11</v>
      </c>
      <c r="AH7" s="47"/>
      <c r="AI7" s="262">
        <v>5</v>
      </c>
      <c r="AJ7" s="263">
        <v>5</v>
      </c>
      <c r="AK7" s="262">
        <v>5</v>
      </c>
      <c r="AL7" s="264">
        <v>5</v>
      </c>
      <c r="AM7" s="179" t="str">
        <f>IF(AND(E7&gt;Q7,AJ7&gt;Q7),'Energy Efficiency Measures-DBT'!$B$46,"")&amp;", "&amp;IF(AND(E7&gt;X7,AJ7&gt;X7),'Energy Efficiency Measures-DBT'!$B$45,"")</f>
        <v>MW3, MW2</v>
      </c>
      <c r="AN7" s="164" t="str">
        <f>IF(AND(F7&gt;R7,AJ7&gt;R7),'Energy Efficiency Measures-DBT'!$B$46,"")&amp;", "&amp;IF(AND(F7&gt;Y7,AJ7&gt;Y7),'Energy Efficiency Measures-DBT'!$B$45,"")</f>
        <v>MW3, MW2</v>
      </c>
      <c r="AO7" s="164" t="str">
        <f>IF(AND(G7&gt;S7,AJ7&gt;S7),'Energy Efficiency Measures-DBT'!$B$46,"")&amp;", "&amp;IF(AND(G7&gt;Z7,AJ7&gt;Z7),'Energy Efficiency Measures-DBT'!$B$45,"")</f>
        <v>MW3, MW2</v>
      </c>
      <c r="AP7" s="164" t="str">
        <f>IF(AND(H7&gt;T7,AJ7&gt;T7),'Energy Efficiency Measures-DBT'!$B$46,"")&amp;", "&amp;IF(AND(H7&gt;AA7,AJ7&gt;AA7),'Energy Efficiency Measures-DBT'!$B$45,"")</f>
        <v>MW3, MW2</v>
      </c>
      <c r="AQ7" s="164" t="str">
        <f>IF(AND(I7&gt;U7,AJ7&gt;U7),'Energy Efficiency Measures-DBT'!$B$46,"")&amp;", "&amp;IF(AND(I7&gt;AB7,AJ7&gt;AB7),'Energy Efficiency Measures-DBT'!$B$45,"")</f>
        <v>MW3, MW2</v>
      </c>
      <c r="AR7" s="273" t="str">
        <f>IF(AND(J7&gt;V7,AJ7&gt;V7),'Energy Efficiency Measures-DBT'!$B$46,"")&amp;", "&amp;IF(AND(J7&gt;AC7,AJ7&gt;AC7),'Energy Efficiency Measures-DBT'!$B$45,"")</f>
        <v>MW3, MW2</v>
      </c>
    </row>
    <row r="8" spans="1:44">
      <c r="A8" s="48" t="s">
        <v>90</v>
      </c>
      <c r="B8" s="48" t="s">
        <v>13</v>
      </c>
      <c r="C8" s="47" t="s">
        <v>14</v>
      </c>
      <c r="D8" s="47" t="s">
        <v>10</v>
      </c>
      <c r="E8" s="497">
        <v>1.61</v>
      </c>
      <c r="F8" s="498">
        <v>1.61</v>
      </c>
      <c r="G8" s="498">
        <v>1.49</v>
      </c>
      <c r="H8" s="498">
        <v>1.2</v>
      </c>
      <c r="I8" s="498">
        <v>0.93700000000000006</v>
      </c>
      <c r="J8" s="499">
        <v>0.42499999999999999</v>
      </c>
      <c r="K8" s="45">
        <f>SUMPRODUCT('Dwelling stock'!E8:J8,E8:J8)/SUM('Dwelling stock'!E8:J8)</f>
        <v>1.2915604060707335</v>
      </c>
      <c r="M8" s="54">
        <v>1.2849139999999999</v>
      </c>
      <c r="P8" s="48" t="s">
        <v>13</v>
      </c>
      <c r="Q8" s="392">
        <f>1/((1/E8)+LOOKUP($A8,'Energy Efficiency Measures-DBT'!$D$11:$AN$11,'Energy Efficiency Measures-DBT'!$D$43:$AN$43))</f>
        <v>0.53443983402489637</v>
      </c>
      <c r="R8" s="393">
        <f>1/((1/F8)+LOOKUP($A8,'Energy Efficiency Measures-DBT'!$D$11:$AN$11,'Energy Efficiency Measures-DBT'!$D$43:$AN$43))</f>
        <v>0.53443983402489637</v>
      </c>
      <c r="S8" s="393">
        <f>1/((1/G8)+LOOKUP($A8,'Energy Efficiency Measures-DBT'!$D$11:$AN$11,'Energy Efficiency Measures-DBT'!$D$43:$AN$43))</f>
        <v>0.52052401746724897</v>
      </c>
      <c r="T8" s="393">
        <f>1/((1/H8)+LOOKUP($A8,'Energy Efficiency Measures-DBT'!$D$11:$AN$11,'Energy Efficiency Measures-DBT'!$D$43:$AN$43))</f>
        <v>0.48</v>
      </c>
      <c r="U8" s="393">
        <f>1/((1/I8)+LOOKUP($A8,'Energy Efficiency Measures-DBT'!$D$11:$AN$11,'Energy Efficiency Measures-DBT'!$D$43:$AN$43))</f>
        <v>0.43154864709268853</v>
      </c>
      <c r="V8" s="306">
        <f>1/((1/J8)+LOOKUP($A8,'Energy Efficiency Measures-DBT'!$D$11:$AN$11,'Energy Efficiency Measures-DBT'!$D$43:$AN$43))</f>
        <v>0.27755102040816326</v>
      </c>
      <c r="W8" s="220">
        <f>1/((1/$K8)+LOOKUP($A8,'Energy Efficiency Measures-DBT'!$D$11:$AN$11,'Energy Efficiency Measures-DBT'!$D$43:$AN$43))</f>
        <v>0.49400835943231369</v>
      </c>
      <c r="X8" s="392">
        <f>1/((1/E8)+LOOKUP($A8,'Energy Efficiency Measures-DBT'!$D$11:$AN$11,'Energy Efficiency Measures-DBT'!$D$42:$AN$42))</f>
        <v>0.32039800995024875</v>
      </c>
      <c r="Y8" s="393">
        <f>1/((1/F8)+LOOKUP($A8,'Energy Efficiency Measures-DBT'!$D$11:$AN$11,'Energy Efficiency Measures-DBT'!$D$42:$AN$42))</f>
        <v>0.32039800995024875</v>
      </c>
      <c r="Z8" s="393">
        <f>1/((1/G8)+LOOKUP($A8,'Energy Efficiency Measures-DBT'!$D$11:$AN$11,'Energy Efficiency Measures-DBT'!$D$42:$AN$42))</f>
        <v>0.31534391534391537</v>
      </c>
      <c r="AA8" s="393">
        <f>1/((1/H8)+LOOKUP($A8,'Energy Efficiency Measures-DBT'!$D$11:$AN$11,'Energy Efficiency Measures-DBT'!$D$42:$AN$42))</f>
        <v>0.3</v>
      </c>
      <c r="AB8" s="393">
        <f>1/((1/I8)+LOOKUP($A8,'Energy Efficiency Measures-DBT'!$D$11:$AN$11,'Energy Efficiency Measures-DBT'!$D$42:$AN$42))</f>
        <v>0.28032909498878084</v>
      </c>
      <c r="AC8" s="306">
        <f>1/((1/J8)+LOOKUP($A8,'Energy Efficiency Measures-DBT'!$D$11:$AN$11,'Energy Efficiency Measures-DBT'!$D$42:$AN$42))</f>
        <v>0.20606060606060603</v>
      </c>
      <c r="AD8" s="54">
        <f>1/((1/$K8)+LOOKUP($A8,'Energy Efficiency Measures-DBT'!$D$11:$AN$11,'Energy Efficiency Measures-DBT'!$D$42:$AN$42))</f>
        <v>0.30541277779629616</v>
      </c>
      <c r="AG8" s="48" t="s">
        <v>13</v>
      </c>
      <c r="AH8" s="47" t="s">
        <v>283</v>
      </c>
      <c r="AI8" s="179">
        <v>0.35</v>
      </c>
      <c r="AJ8" s="429">
        <f>AI8</f>
        <v>0.35</v>
      </c>
      <c r="AK8" s="428">
        <f>AI8</f>
        <v>0.35</v>
      </c>
      <c r="AL8" s="430">
        <f>AK8</f>
        <v>0.35</v>
      </c>
      <c r="AM8" s="179" t="str">
        <f>IF(AND(E8&gt;Q8,AJ8&gt;Q8),'Energy Efficiency Measures-DBT'!$B$46,"")&amp;", "&amp;IF(AND(E8&gt;X8,AJ8&gt;X8),'Energy Efficiency Measures-DBT'!$B$45,"")</f>
        <v>, MW2</v>
      </c>
      <c r="AN8" s="164" t="str">
        <f>IF(AND(F8&gt;R8,AJ8&gt;R8),'Energy Efficiency Measures-DBT'!$B$46,"")&amp;", "&amp;IF(AND(F8&gt;Y8,AJ8&gt;Y8),'Energy Efficiency Measures-DBT'!$B$45,"")</f>
        <v>, MW2</v>
      </c>
      <c r="AO8" s="164" t="str">
        <f>IF(AND(G8&gt;S8,AJ8&gt;S8),'Energy Efficiency Measures-DBT'!$B$46,"")&amp;", "&amp;IF(AND(G8&gt;Z8,AJ8&gt;Z8),'Energy Efficiency Measures-DBT'!$B$45,"")</f>
        <v>, MW2</v>
      </c>
      <c r="AP8" s="164" t="str">
        <f>IF(AND(H8&gt;T8,AJ8&gt;T8),'Energy Efficiency Measures-DBT'!$B$46,"")&amp;", "&amp;IF(AND(H8&gt;AA8,AJ8&gt;AA8),'Energy Efficiency Measures-DBT'!$B$45,"")</f>
        <v>, MW2</v>
      </c>
      <c r="AQ8" s="164" t="str">
        <f>IF(AND(I8&gt;U8,AJ8&gt;U8),'Energy Efficiency Measures-DBT'!$B$46,"")&amp;", "&amp;IF(AND(I8&gt;AB8,AJ8&gt;AB8),'Energy Efficiency Measures-DBT'!$B$45,"")</f>
        <v>, MW2</v>
      </c>
      <c r="AR8" s="273" t="str">
        <f>IF(AND(J8&gt;V8,AJ8&gt;V8),'Energy Efficiency Measures-DBT'!$B$46,"")&amp;", "&amp;IF(AND(J8&gt;AC8,AJ8&gt;AC8),'Energy Efficiency Measures-DBT'!$B$45,"")</f>
        <v>MW3, MW2</v>
      </c>
    </row>
    <row r="9" spans="1:44">
      <c r="A9" s="28" t="s">
        <v>91</v>
      </c>
      <c r="B9" s="28" t="s">
        <v>62</v>
      </c>
      <c r="C9" s="426"/>
      <c r="D9" s="426" t="s">
        <v>10</v>
      </c>
      <c r="E9" s="497">
        <v>1.55</v>
      </c>
      <c r="F9" s="498">
        <v>1.2749999999999999</v>
      </c>
      <c r="G9" s="498">
        <v>1</v>
      </c>
      <c r="H9" s="498">
        <v>0.65</v>
      </c>
      <c r="I9" s="498">
        <v>0.5</v>
      </c>
      <c r="J9" s="499">
        <v>0.45</v>
      </c>
      <c r="K9" s="45">
        <f>SUMPRODUCT('Dwelling stock'!E9:J9,E9:J9)/SUM('Dwelling stock'!E9:J9)</f>
        <v>1.0682877783721803</v>
      </c>
      <c r="M9" s="28"/>
      <c r="P9" s="28" t="s">
        <v>62</v>
      </c>
      <c r="Q9" s="392">
        <f>1/((1/E9)+LOOKUP($A9,'Energy Efficiency Measures-DBT'!$D$11:$AN$11,'Energy Efficiency Measures-DBT'!$D$43:$AN$43))</f>
        <v>0.52765957446808509</v>
      </c>
      <c r="R9" s="393">
        <f>1/((1/F9)+LOOKUP($A9,'Energy Efficiency Measures-DBT'!$D$11:$AN$11,'Energy Efficiency Measures-DBT'!$D$43:$AN$43))</f>
        <v>0.49156626506024098</v>
      </c>
      <c r="S9" s="393">
        <f>1/((1/G9)+LOOKUP($A9,'Energy Efficiency Measures-DBT'!$D$11:$AN$11,'Energy Efficiency Measures-DBT'!$D$43:$AN$43))</f>
        <v>0.44444444444444442</v>
      </c>
      <c r="T9" s="393">
        <f>1/((1/H9)+LOOKUP($A9,'Energy Efficiency Measures-DBT'!$D$11:$AN$11,'Energy Efficiency Measures-DBT'!$D$43:$AN$43))</f>
        <v>0.35862068965517241</v>
      </c>
      <c r="U9" s="393">
        <f>1/((1/I9)+LOOKUP($A9,'Energy Efficiency Measures-DBT'!$D$11:$AN$11,'Energy Efficiency Measures-DBT'!$D$43:$AN$43))</f>
        <v>0.30769230769230771</v>
      </c>
      <c r="V9" s="306">
        <f>1/((1/J9)+LOOKUP($A9,'Energy Efficiency Measures-DBT'!$D$11:$AN$11,'Energy Efficiency Measures-DBT'!$D$43:$AN$43))</f>
        <v>0.28799999999999998</v>
      </c>
      <c r="W9" s="219">
        <f>1/((1/$K9)+LOOKUP($A9,'Energy Efficiency Measures-DBT'!$D$11:$AN$11,'Energy Efficiency Measures-DBT'!$D$43:$AN$43))</f>
        <v>0.45744035399213206</v>
      </c>
      <c r="X9" s="392">
        <f>1/((1/E9)+LOOKUP($A9,'Energy Efficiency Measures-DBT'!$D$11:$AN$11,'Energy Efficiency Measures-DBT'!$D$42:$AN$42))</f>
        <v>0.31794871794871798</v>
      </c>
      <c r="Y9" s="393">
        <f>1/((1/F9)+LOOKUP($A9,'Energy Efficiency Measures-DBT'!$D$11:$AN$11,'Energy Efficiency Measures-DBT'!$D$42:$AN$42))</f>
        <v>0.30447761194029854</v>
      </c>
      <c r="Z9" s="393">
        <f>1/((1/G9)+LOOKUP($A9,'Energy Efficiency Measures-DBT'!$D$11:$AN$11,'Energy Efficiency Measures-DBT'!$D$42:$AN$42))</f>
        <v>0.2857142857142857</v>
      </c>
      <c r="AA9" s="393">
        <f>1/((1/H9)+LOOKUP($A9,'Energy Efficiency Measures-DBT'!$D$11:$AN$11,'Energy Efficiency Measures-DBT'!$D$42:$AN$42))</f>
        <v>0.24761904761904763</v>
      </c>
      <c r="AB9" s="393">
        <f>1/((1/I9)+LOOKUP($A9,'Energy Efficiency Measures-DBT'!$D$11:$AN$11,'Energy Efficiency Measures-DBT'!$D$42:$AN$42))</f>
        <v>0.22222222222222221</v>
      </c>
      <c r="AC9" s="306">
        <f>1/((1/J9)+LOOKUP($A9,'Energy Efficiency Measures-DBT'!$D$11:$AN$11,'Energy Efficiency Measures-DBT'!$D$42:$AN$42))</f>
        <v>0.21176470588235294</v>
      </c>
      <c r="AD9" s="54">
        <f>1/((1/$K9)+LOOKUP($A9,'Energy Efficiency Measures-DBT'!$D$11:$AN$11,'Energy Efficiency Measures-DBT'!$D$42:$AN$42))</f>
        <v>0.29102953633695411</v>
      </c>
      <c r="AG9" s="28" t="s">
        <v>62</v>
      </c>
      <c r="AH9" s="426"/>
      <c r="AI9" s="262">
        <v>5</v>
      </c>
      <c r="AJ9" s="263">
        <v>5</v>
      </c>
      <c r="AK9" s="262">
        <v>5</v>
      </c>
      <c r="AL9" s="264">
        <v>5</v>
      </c>
      <c r="AM9" s="179" t="str">
        <f>IF(AND(E9&gt;Q9,AJ9&gt;Q9),'Energy Efficiency Measures-DBT'!$B$46,"")&amp;", "&amp;IF(AND(E9&gt;X9,AJ9&gt;X9),'Energy Efficiency Measures-DBT'!$B$45,"")</f>
        <v>MW3, MW2</v>
      </c>
      <c r="AN9" s="164" t="str">
        <f>IF(AND(F9&gt;R9,AJ9&gt;R9),'Energy Efficiency Measures-DBT'!$B$46,"")&amp;", "&amp;IF(AND(F9&gt;Y9,AJ9&gt;Y9),'Energy Efficiency Measures-DBT'!$B$45,"")</f>
        <v>MW3, MW2</v>
      </c>
      <c r="AO9" s="164" t="str">
        <f>IF(AND(G9&gt;S9,AJ9&gt;S9),'Energy Efficiency Measures-DBT'!$B$46,"")&amp;", "&amp;IF(AND(G9&gt;Z9,AJ9&gt;Z9),'Energy Efficiency Measures-DBT'!$B$45,"")</f>
        <v>MW3, MW2</v>
      </c>
      <c r="AP9" s="164" t="str">
        <f>IF(AND(H9&gt;T9,AJ9&gt;T9),'Energy Efficiency Measures-DBT'!$B$46,"")&amp;", "&amp;IF(AND(H9&gt;AA9,AJ9&gt;AA9),'Energy Efficiency Measures-DBT'!$B$45,"")</f>
        <v>MW3, MW2</v>
      </c>
      <c r="AQ9" s="164" t="str">
        <f>IF(AND(I9&gt;U9,AJ9&gt;U9),'Energy Efficiency Measures-DBT'!$B$46,"")&amp;", "&amp;IF(AND(I9&gt;AB9,AJ9&gt;AB9),'Energy Efficiency Measures-DBT'!$B$45,"")</f>
        <v>MW3, MW2</v>
      </c>
      <c r="AR9" s="273" t="str">
        <f>IF(AND(J9&gt;V9,AJ9&gt;V9),'Energy Efficiency Measures-DBT'!$B$46,"")&amp;", "&amp;IF(AND(J9&gt;AC9,AJ9&gt;AC9),'Energy Efficiency Measures-DBT'!$B$45,"")</f>
        <v>MW3, MW2</v>
      </c>
    </row>
    <row r="10" spans="1:44">
      <c r="A10" s="48" t="s">
        <v>92</v>
      </c>
      <c r="B10" s="48" t="s">
        <v>15</v>
      </c>
      <c r="C10" s="47" t="s">
        <v>16</v>
      </c>
      <c r="D10" s="47" t="s">
        <v>10</v>
      </c>
      <c r="E10" s="497">
        <v>2.1</v>
      </c>
      <c r="F10" s="498">
        <v>1.7450000000000001</v>
      </c>
      <c r="G10" s="498">
        <v>1.39</v>
      </c>
      <c r="H10" s="498">
        <v>1.39</v>
      </c>
      <c r="I10" s="498">
        <v>1.39</v>
      </c>
      <c r="J10" s="499">
        <v>1.39</v>
      </c>
      <c r="K10" s="45">
        <f>SUMPRODUCT('Dwelling stock'!E10:J10,E10:J10)/SUM('Dwelling stock'!E10:J10)</f>
        <v>1.4472883543667316</v>
      </c>
      <c r="M10" s="54">
        <v>1.4</v>
      </c>
      <c r="P10" s="48" t="s">
        <v>15</v>
      </c>
      <c r="Q10" s="392">
        <f>1/((1/E10)+LOOKUP($A10,'Energy Efficiency Measures-DBT'!$D$11:$AN$11,'Energy Efficiency Measures-DBT'!$D$43:$AN$43))</f>
        <v>0.57931034482758614</v>
      </c>
      <c r="R10" s="393">
        <f>1/((1/F10)+LOOKUP($A10,'Energy Efficiency Measures-DBT'!$D$11:$AN$11,'Energy Efficiency Measures-DBT'!$D$43:$AN$43))</f>
        <v>0.54852652259332024</v>
      </c>
      <c r="S10" s="393">
        <f>1/((1/G10)+LOOKUP($A10,'Energy Efficiency Measures-DBT'!$D$11:$AN$11,'Energy Efficiency Measures-DBT'!$D$43:$AN$43))</f>
        <v>0.50776255707762563</v>
      </c>
      <c r="T10" s="393">
        <f>1/((1/H10)+LOOKUP($A10,'Energy Efficiency Measures-DBT'!$D$11:$AN$11,'Energy Efficiency Measures-DBT'!$D$43:$AN$43))</f>
        <v>0.50776255707762563</v>
      </c>
      <c r="U10" s="393">
        <f>1/((1/I10)+LOOKUP($A10,'Energy Efficiency Measures-DBT'!$D$11:$AN$11,'Energy Efficiency Measures-DBT'!$D$43:$AN$43))</f>
        <v>0.50776255707762563</v>
      </c>
      <c r="V10" s="306">
        <f>1/((1/J10)+LOOKUP($A10,'Energy Efficiency Measures-DBT'!$D$11:$AN$11,'Energy Efficiency Measures-DBT'!$D$43:$AN$43))</f>
        <v>0.50776255707762563</v>
      </c>
      <c r="W10" s="219">
        <f>1/((1/$K10)+LOOKUP($A10,'Energy Efficiency Measures-DBT'!$D$11:$AN$11,'Energy Efficiency Measures-DBT'!$D$43:$AN$43))</f>
        <v>0.51521233634464014</v>
      </c>
      <c r="X10" s="392">
        <f>1/((1/E10)+LOOKUP($A10,'Energy Efficiency Measures-DBT'!$D$11:$AN$11,'Energy Efficiency Measures-DBT'!$D$42:$AN$42))</f>
        <v>0.33599999999999997</v>
      </c>
      <c r="Y10" s="393">
        <f>1/((1/F10)+LOOKUP($A10,'Energy Efficiency Measures-DBT'!$D$11:$AN$11,'Energy Efficiency Measures-DBT'!$D$42:$AN$42))</f>
        <v>0.32540792540792546</v>
      </c>
      <c r="Z10" s="393">
        <f>1/((1/G10)+LOOKUP($A10,'Energy Efficiency Measures-DBT'!$D$11:$AN$11,'Energy Efficiency Measures-DBT'!$D$42:$AN$42))</f>
        <v>0.31061452513966481</v>
      </c>
      <c r="AA10" s="393">
        <f>1/((1/H10)+LOOKUP($A10,'Energy Efficiency Measures-DBT'!$D$11:$AN$11,'Energy Efficiency Measures-DBT'!$D$42:$AN$42))</f>
        <v>0.31061452513966481</v>
      </c>
      <c r="AB10" s="393">
        <f>1/((1/I10)+LOOKUP($A10,'Energy Efficiency Measures-DBT'!$D$11:$AN$11,'Energy Efficiency Measures-DBT'!$D$42:$AN$42))</f>
        <v>0.31061452513966481</v>
      </c>
      <c r="AC10" s="306">
        <f>1/((1/J10)+LOOKUP($A10,'Energy Efficiency Measures-DBT'!$D$11:$AN$11,'Energy Efficiency Measures-DBT'!$D$42:$AN$42))</f>
        <v>0.31061452513966481</v>
      </c>
      <c r="AD10" s="54">
        <f>1/((1/$K10)+LOOKUP($A10,'Energy Efficiency Measures-DBT'!$D$11:$AN$11,'Energy Efficiency Measures-DBT'!$D$42:$AN$42))</f>
        <v>0.31338655948229072</v>
      </c>
      <c r="AG10" s="48" t="s">
        <v>15</v>
      </c>
      <c r="AH10" s="47"/>
      <c r="AI10" s="262">
        <v>5</v>
      </c>
      <c r="AJ10" s="263">
        <v>5</v>
      </c>
      <c r="AK10" s="262">
        <v>5</v>
      </c>
      <c r="AL10" s="264">
        <v>5</v>
      </c>
      <c r="AM10" s="179" t="str">
        <f>IF(AND(E10&gt;Q10,AJ10&gt;Q10),'Energy Efficiency Measures-DBT'!$B$46,"")&amp;", "&amp;IF(AND(E10&gt;X10,AJ10&gt;X10),'Energy Efficiency Measures-DBT'!$B$45,"")</f>
        <v>MW3, MW2</v>
      </c>
      <c r="AN10" s="164" t="str">
        <f>IF(AND(F10&gt;R10,AJ10&gt;R10),'Energy Efficiency Measures-DBT'!$B$46,"")&amp;", "&amp;IF(AND(F10&gt;Y10,AJ10&gt;Y10),'Energy Efficiency Measures-DBT'!$B$45,"")</f>
        <v>MW3, MW2</v>
      </c>
      <c r="AO10" s="164" t="str">
        <f>IF(AND(G10&gt;S10,AJ10&gt;S10),'Energy Efficiency Measures-DBT'!$B$46,"")&amp;", "&amp;IF(AND(G10&gt;Z10,AJ10&gt;Z10),'Energy Efficiency Measures-DBT'!$B$45,"")</f>
        <v>MW3, MW2</v>
      </c>
      <c r="AP10" s="164" t="str">
        <f>IF(AND(H10&gt;T10,AJ10&gt;T10),'Energy Efficiency Measures-DBT'!$B$46,"")&amp;", "&amp;IF(AND(H10&gt;AA10,AJ10&gt;AA10),'Energy Efficiency Measures-DBT'!$B$45,"")</f>
        <v>MW3, MW2</v>
      </c>
      <c r="AQ10" s="164" t="str">
        <f>IF(AND(I10&gt;U10,AJ10&gt;U10),'Energy Efficiency Measures-DBT'!$B$46,"")&amp;", "&amp;IF(AND(I10&gt;AB10,AJ10&gt;AB10),'Energy Efficiency Measures-DBT'!$B$45,"")</f>
        <v>MW3, MW2</v>
      </c>
      <c r="AR10" s="273" t="str">
        <f>IF(AND(J10&gt;V10,AJ10&gt;V10),'Energy Efficiency Measures-DBT'!$B$46,"")&amp;", "&amp;IF(AND(J10&gt;AC10,AJ10&gt;AC10),'Energy Efficiency Measures-DBT'!$B$45,"")</f>
        <v>MW3, MW2</v>
      </c>
    </row>
    <row r="11" spans="1:44">
      <c r="A11" s="48" t="s">
        <v>93</v>
      </c>
      <c r="B11" s="48" t="s">
        <v>18</v>
      </c>
      <c r="C11" s="47" t="s">
        <v>19</v>
      </c>
      <c r="D11" s="47" t="s">
        <v>10</v>
      </c>
      <c r="E11" s="497">
        <v>0.84135099999999996</v>
      </c>
      <c r="F11" s="498">
        <v>0.8</v>
      </c>
      <c r="G11" s="498">
        <v>0.8</v>
      </c>
      <c r="H11" s="498">
        <v>0.7</v>
      </c>
      <c r="I11" s="498">
        <v>0.45</v>
      </c>
      <c r="J11" s="499">
        <v>0.38</v>
      </c>
      <c r="K11" s="45">
        <f>SUMPRODUCT('Dwelling stock'!E11:J11,E11:J11)/SUM('Dwelling stock'!E11:J11)</f>
        <v>0.74080051871157337</v>
      </c>
      <c r="M11" s="54">
        <v>0.81030899999999995</v>
      </c>
      <c r="P11" s="48" t="s">
        <v>18</v>
      </c>
      <c r="Q11" s="392">
        <f>1/((1/E11)+LOOKUP($A11,'Energy Efficiency Measures-DBT'!$D$11:$AN$11,'Energy Efficiency Measures-DBT'!$D$43:$AN$43))</f>
        <v>0.41007730826617822</v>
      </c>
      <c r="R11" s="393">
        <f>1/((1/F11)+LOOKUP($A11,'Energy Efficiency Measures-DBT'!$D$11:$AN$11,'Energy Efficiency Measures-DBT'!$D$43:$AN$43))</f>
        <v>0.4</v>
      </c>
      <c r="S11" s="393">
        <f>1/((1/G11)+LOOKUP($A11,'Energy Efficiency Measures-DBT'!$D$11:$AN$11,'Energy Efficiency Measures-DBT'!$D$43:$AN$43))</f>
        <v>0.4</v>
      </c>
      <c r="T11" s="393">
        <f>1/((1/H11)+LOOKUP($A11,'Energy Efficiency Measures-DBT'!$D$11:$AN$11,'Energy Efficiency Measures-DBT'!$D$43:$AN$43))</f>
        <v>0.37333333333333329</v>
      </c>
      <c r="U11" s="393">
        <f>1/((1/I11)+LOOKUP($A11,'Energy Efficiency Measures-DBT'!$D$11:$AN$11,'Energy Efficiency Measures-DBT'!$D$43:$AN$43))</f>
        <v>0.28799999999999998</v>
      </c>
      <c r="V11" s="306">
        <f>1/((1/J11)+LOOKUP($A11,'Energy Efficiency Measures-DBT'!$D$11:$AN$11,'Energy Efficiency Measures-DBT'!$D$43:$AN$43))</f>
        <v>0.25762711864406779</v>
      </c>
      <c r="W11" s="220">
        <f>1/((1/$K11)+LOOKUP($A11,'Energy Efficiency Measures-DBT'!$D$11:$AN$11,'Energy Efficiency Measures-DBT'!$D$43:$AN$43))</f>
        <v>0.38463150016643832</v>
      </c>
      <c r="X11" s="392">
        <f>1/((1/E11)+LOOKUP($A11,'Energy Efficiency Measures-DBT'!$D$11:$AN$11,'Energy Efficiency Measures-DBT'!$D$42:$AN$42))</f>
        <v>0.27110817166135925</v>
      </c>
      <c r="Y11" s="393">
        <f>1/((1/F11)+LOOKUP($A11,'Energy Efficiency Measures-DBT'!$D$11:$AN$11,'Energy Efficiency Measures-DBT'!$D$42:$AN$42))</f>
        <v>0.26666666666666666</v>
      </c>
      <c r="Z11" s="393">
        <f>1/((1/G11)+LOOKUP($A11,'Energy Efficiency Measures-DBT'!$D$11:$AN$11,'Energy Efficiency Measures-DBT'!$D$42:$AN$42))</f>
        <v>0.26666666666666666</v>
      </c>
      <c r="AA11" s="393">
        <f>1/((1/H11)+LOOKUP($A11,'Energy Efficiency Measures-DBT'!$D$11:$AN$11,'Energy Efficiency Measures-DBT'!$D$42:$AN$42))</f>
        <v>0.25454545454545452</v>
      </c>
      <c r="AB11" s="393">
        <f>1/((1/I11)+LOOKUP($A11,'Energy Efficiency Measures-DBT'!$D$11:$AN$11,'Energy Efficiency Measures-DBT'!$D$42:$AN$42))</f>
        <v>0.21176470588235294</v>
      </c>
      <c r="AC11" s="306">
        <f>1/((1/J11)+LOOKUP($A11,'Energy Efficiency Measures-DBT'!$D$11:$AN$11,'Energy Efficiency Measures-DBT'!$D$42:$AN$42))</f>
        <v>0.19487179487179487</v>
      </c>
      <c r="AD11" s="54">
        <f>1/((1/$K11)+LOOKUP($A11,'Energy Efficiency Measures-DBT'!$D$11:$AN$11,'Energy Efficiency Measures-DBT'!$D$42:$AN$42))</f>
        <v>0.25974760935355734</v>
      </c>
      <c r="AG11" s="48" t="s">
        <v>18</v>
      </c>
      <c r="AH11" s="47" t="s">
        <v>283</v>
      </c>
      <c r="AI11" s="179">
        <v>0.3</v>
      </c>
      <c r="AJ11" s="429">
        <f>AI11</f>
        <v>0.3</v>
      </c>
      <c r="AK11" s="428">
        <f>AI11</f>
        <v>0.3</v>
      </c>
      <c r="AL11" s="430">
        <f>AK11</f>
        <v>0.3</v>
      </c>
      <c r="AM11" s="179" t="str">
        <f>IF(AND(E11&gt;Q11,AJ11&gt;Q11),'Energy Efficiency Measures-DBT'!$B$46,"")&amp;", "&amp;IF(AND(E11&gt;X11,AJ11&gt;X11),'Energy Efficiency Measures-DBT'!$B$45,"")</f>
        <v>, MW2</v>
      </c>
      <c r="AN11" s="164" t="str">
        <f>IF(AND(F11&gt;R11,AJ11&gt;R11),'Energy Efficiency Measures-DBT'!$B$46,"")&amp;", "&amp;IF(AND(F11&gt;Y11,AJ11&gt;Y11),'Energy Efficiency Measures-DBT'!$B$45,"")</f>
        <v>, MW2</v>
      </c>
      <c r="AO11" s="164" t="str">
        <f>IF(AND(G11&gt;S11,AJ11&gt;S11),'Energy Efficiency Measures-DBT'!$B$46,"")&amp;", "&amp;IF(AND(G11&gt;Z11,AJ11&gt;Z11),'Energy Efficiency Measures-DBT'!$B$45,"")</f>
        <v>, MW2</v>
      </c>
      <c r="AP11" s="164" t="str">
        <f>IF(AND(H11&gt;T11,AJ11&gt;T11),'Energy Efficiency Measures-DBT'!$B$46,"")&amp;", "&amp;IF(AND(H11&gt;AA11,AJ11&gt;AA11),'Energy Efficiency Measures-DBT'!$B$45,"")</f>
        <v>, MW2</v>
      </c>
      <c r="AQ11" s="164" t="str">
        <f>IF(AND(I11&gt;U11,AJ11&gt;U11),'Energy Efficiency Measures-DBT'!$B$46,"")&amp;", "&amp;IF(AND(I11&gt;AB11,AJ11&gt;AB11),'Energy Efficiency Measures-DBT'!$B$45,"")</f>
        <v>MW3, MW2</v>
      </c>
      <c r="AR11" s="273" t="str">
        <f>IF(AND(J11&gt;V11,AJ11&gt;V11),'Energy Efficiency Measures-DBT'!$B$46,"")&amp;", "&amp;IF(AND(J11&gt;AC11,AJ11&gt;AC11),'Energy Efficiency Measures-DBT'!$B$45,"")</f>
        <v>MW3, MW2</v>
      </c>
    </row>
    <row r="12" spans="1:44">
      <c r="A12" s="48" t="s">
        <v>94</v>
      </c>
      <c r="B12" s="48" t="s">
        <v>26</v>
      </c>
      <c r="C12" s="47" t="s">
        <v>27</v>
      </c>
      <c r="D12" s="47" t="s">
        <v>10</v>
      </c>
      <c r="E12" s="497">
        <v>1.7592289999999999</v>
      </c>
      <c r="F12" s="498">
        <v>1.2958670000000001</v>
      </c>
      <c r="G12" s="498">
        <v>0.74</v>
      </c>
      <c r="H12" s="498">
        <v>0.66</v>
      </c>
      <c r="I12" s="498">
        <v>0.28000000000000003</v>
      </c>
      <c r="J12" s="499">
        <v>0.35</v>
      </c>
      <c r="K12" s="45">
        <f>SUMPRODUCT('Dwelling stock'!E12:J12,E12:J12)/SUM('Dwelling stock'!E12:J12)</f>
        <v>1.0602886324799561</v>
      </c>
      <c r="M12" s="54">
        <v>1.106725</v>
      </c>
      <c r="P12" s="48" t="s">
        <v>26</v>
      </c>
      <c r="Q12" s="392">
        <f>1/((1/E12)+LOOKUP($A12,'Energy Efficiency Measures-DBT'!$D$11:$AN$11,'Energy Efficiency Measures-DBT'!$D$43:$AN$43))</f>
        <v>0.549924684348294</v>
      </c>
      <c r="R12" s="393">
        <f>1/((1/F12)+LOOKUP($A12,'Energy Efficiency Measures-DBT'!$D$11:$AN$11,'Energy Efficiency Measures-DBT'!$D$43:$AN$43))</f>
        <v>0.4946371119923163</v>
      </c>
      <c r="S12" s="393">
        <f>1/((1/G12)+LOOKUP($A12,'Energy Efficiency Measures-DBT'!$D$11:$AN$11,'Energy Efficiency Measures-DBT'!$D$43:$AN$43))</f>
        <v>0.38441558441558443</v>
      </c>
      <c r="T12" s="393">
        <f>1/((1/H12)+LOOKUP($A12,'Energy Efficiency Measures-DBT'!$D$11:$AN$11,'Energy Efficiency Measures-DBT'!$D$43:$AN$43))</f>
        <v>0.36164383561643837</v>
      </c>
      <c r="U12" s="393">
        <f>1/((1/I12)+LOOKUP($A12,'Energy Efficiency Measures-DBT'!$D$11:$AN$11,'Energy Efficiency Measures-DBT'!$D$43:$AN$43))</f>
        <v>0.20740740740740743</v>
      </c>
      <c r="V12" s="306">
        <f>1/((1/J12)+LOOKUP($A12,'Energy Efficiency Measures-DBT'!$D$11:$AN$11,'Energy Efficiency Measures-DBT'!$D$43:$AN$43))</f>
        <v>0.2434782608695652</v>
      </c>
      <c r="W12" s="220">
        <f>1/((1/$K12)+LOOKUP($A12,'Energy Efficiency Measures-DBT'!$D$11:$AN$11,'Energy Efficiency Measures-DBT'!$D$43:$AN$43))</f>
        <v>0.45596736504979118</v>
      </c>
      <c r="X12" s="392">
        <f>1/((1/E12)+LOOKUP($A12,'Energy Efficiency Measures-DBT'!$D$11:$AN$11,'Energy Efficiency Measures-DBT'!$D$42:$AN$42))</f>
        <v>0.32589947615560927</v>
      </c>
      <c r="Y12" s="393">
        <f>1/((1/F12)+LOOKUP($A12,'Energy Efficiency Measures-DBT'!$D$11:$AN$11,'Energy Efficiency Measures-DBT'!$D$42:$AN$42))</f>
        <v>0.30565297868288022</v>
      </c>
      <c r="Z12" s="393">
        <f>1/((1/G12)+LOOKUP($A12,'Energy Efficiency Measures-DBT'!$D$11:$AN$11,'Energy Efficiency Measures-DBT'!$D$42:$AN$42))</f>
        <v>0.25964912280701757</v>
      </c>
      <c r="AA12" s="393">
        <f>1/((1/H12)+LOOKUP($A12,'Energy Efficiency Measures-DBT'!$D$11:$AN$11,'Energy Efficiency Measures-DBT'!$D$42:$AN$42))</f>
        <v>0.24905660377358488</v>
      </c>
      <c r="AB12" s="393">
        <f>1/((1/I12)+LOOKUP($A12,'Energy Efficiency Measures-DBT'!$D$11:$AN$11,'Energy Efficiency Measures-DBT'!$D$42:$AN$42))</f>
        <v>0.16470588235294117</v>
      </c>
      <c r="AC12" s="306">
        <f>1/((1/J12)+LOOKUP($A12,'Energy Efficiency Measures-DBT'!$D$11:$AN$11,'Energy Efficiency Measures-DBT'!$D$42:$AN$42))</f>
        <v>0.18666666666666665</v>
      </c>
      <c r="AD12" s="220">
        <f>1/((1/$K12)+LOOKUP($A12,'Energy Efficiency Measures-DBT'!$D$11:$AN$11,'Energy Efficiency Measures-DBT'!$D$42:$AN$42))</f>
        <v>0.29043261966076001</v>
      </c>
      <c r="AG12" s="48" t="s">
        <v>26</v>
      </c>
      <c r="AH12" s="47" t="s">
        <v>283</v>
      </c>
      <c r="AI12" s="179">
        <v>0.35</v>
      </c>
      <c r="AJ12" s="429">
        <f>AI12</f>
        <v>0.35</v>
      </c>
      <c r="AK12" s="428">
        <v>0.35</v>
      </c>
      <c r="AL12" s="430">
        <f>AK12</f>
        <v>0.35</v>
      </c>
      <c r="AM12" s="179" t="str">
        <f>IF(AND(E12&gt;Q12,AJ12&gt;Q12),'Energy Efficiency Measures-DBT'!$B$46,"")&amp;", "&amp;IF(AND(E12&gt;X12,AJ12&gt;X12),'Energy Efficiency Measures-DBT'!$B$45,"")</f>
        <v>, MW2</v>
      </c>
      <c r="AN12" s="164" t="str">
        <f>IF(AND(F12&gt;R12,AJ12&gt;R12),'Energy Efficiency Measures-DBT'!$B$46,"")&amp;", "&amp;IF(AND(F12&gt;Y12,AJ12&gt;Y12),'Energy Efficiency Measures-DBT'!$B$45,"")</f>
        <v>, MW2</v>
      </c>
      <c r="AO12" s="164" t="str">
        <f>IF(AND(G12&gt;S12,AJ12&gt;S12),'Energy Efficiency Measures-DBT'!$B$46,"")&amp;", "&amp;IF(AND(G12&gt;Z12,AJ12&gt;Z12),'Energy Efficiency Measures-DBT'!$B$45,"")</f>
        <v>, MW2</v>
      </c>
      <c r="AP12" s="164" t="str">
        <f>IF(AND(H12&gt;T12,AJ12&gt;T12),'Energy Efficiency Measures-DBT'!$B$46,"")&amp;", "&amp;IF(AND(H12&gt;AA12,AJ12&gt;AA12),'Energy Efficiency Measures-DBT'!$B$45,"")</f>
        <v>, MW2</v>
      </c>
      <c r="AQ12" s="164" t="str">
        <f>IF(AND(I12&gt;U12,AJ12&gt;U12),'Energy Efficiency Measures-DBT'!$B$46,"")&amp;", "&amp;IF(AND(I12&gt;AB12,AJ12&gt;AB12),'Energy Efficiency Measures-DBT'!$B$45,"")</f>
        <v>MW3, MW2</v>
      </c>
      <c r="AR12" s="273" t="str">
        <f>IF(AND(J12&gt;V12,AJ12&gt;V12),'Energy Efficiency Measures-DBT'!$B$46,"")&amp;", "&amp;IF(AND(J12&gt;AC12,AJ12&gt;AC12),'Energy Efficiency Measures-DBT'!$B$45,"")</f>
        <v>MW3, MW2</v>
      </c>
    </row>
    <row r="13" spans="1:44">
      <c r="A13" s="48" t="s">
        <v>95</v>
      </c>
      <c r="B13" s="48" t="s">
        <v>20</v>
      </c>
      <c r="C13" s="47" t="s">
        <v>21</v>
      </c>
      <c r="D13" s="47" t="s">
        <v>10</v>
      </c>
      <c r="E13" s="497">
        <v>0.84464700000000004</v>
      </c>
      <c r="F13" s="498">
        <v>0.85</v>
      </c>
      <c r="G13" s="498">
        <v>0.49</v>
      </c>
      <c r="H13" s="498">
        <v>0.35</v>
      </c>
      <c r="I13" s="498">
        <v>0.35</v>
      </c>
      <c r="J13" s="499">
        <v>0.247311</v>
      </c>
      <c r="K13" s="45">
        <f>SUMPRODUCT('Dwelling stock'!E13:J13,E13:J13)/SUM('Dwelling stock'!E13:J13)</f>
        <v>0.67150434438297746</v>
      </c>
      <c r="M13" s="54">
        <v>0.70473799999999998</v>
      </c>
      <c r="P13" s="48" t="s">
        <v>20</v>
      </c>
      <c r="Q13" s="392">
        <f>1/((1/E13)+LOOKUP($A13,'Energy Efficiency Measures-DBT'!$D$11:$AN$11,'Energy Efficiency Measures-DBT'!$D$43:$AN$43))</f>
        <v>0.41085874354800755</v>
      </c>
      <c r="R13" s="393">
        <f>1/((1/F13)+LOOKUP($A13,'Energy Efficiency Measures-DBT'!$D$11:$AN$11,'Energy Efficiency Measures-DBT'!$D$43:$AN$43))</f>
        <v>0.41212121212121205</v>
      </c>
      <c r="S13" s="393">
        <f>1/((1/G13)+LOOKUP($A13,'Energy Efficiency Measures-DBT'!$D$11:$AN$11,'Energy Efficiency Measures-DBT'!$D$43:$AN$43))</f>
        <v>0.30387596899224806</v>
      </c>
      <c r="T13" s="393">
        <f>1/((1/H13)+LOOKUP($A13,'Energy Efficiency Measures-DBT'!$D$11:$AN$11,'Energy Efficiency Measures-DBT'!$D$43:$AN$43))</f>
        <v>0.2434782608695652</v>
      </c>
      <c r="U13" s="393">
        <f>1/((1/I13)+LOOKUP($A13,'Energy Efficiency Measures-DBT'!$D$11:$AN$11,'Energy Efficiency Measures-DBT'!$D$43:$AN$43))</f>
        <v>0.2434782608695652</v>
      </c>
      <c r="V13" s="306">
        <f>1/((1/J13)+LOOKUP($A13,'Energy Efficiency Measures-DBT'!$D$11:$AN$11,'Energy Efficiency Measures-DBT'!$D$43:$AN$43))</f>
        <v>0.18891122121318307</v>
      </c>
      <c r="W13" s="219">
        <f>1/((1/$K13)+LOOKUP($A13,'Energy Efficiency Measures-DBT'!$D$11:$AN$11,'Energy Efficiency Measures-DBT'!$D$43:$AN$43))</f>
        <v>0.36507094087556979</v>
      </c>
      <c r="X13" s="392">
        <f>1/((1/E13)+LOOKUP($A13,'Energy Efficiency Measures-DBT'!$D$11:$AN$11,'Energy Efficiency Measures-DBT'!$D$42:$AN$42))</f>
        <v>0.27144949531875301</v>
      </c>
      <c r="Y13" s="393">
        <f>1/((1/F13)+LOOKUP($A13,'Energy Efficiency Measures-DBT'!$D$11:$AN$11,'Energy Efficiency Measures-DBT'!$D$42:$AN$42))</f>
        <v>0.27199999999999996</v>
      </c>
      <c r="Z13" s="393">
        <f>1/((1/G13)+LOOKUP($A13,'Energy Efficiency Measures-DBT'!$D$11:$AN$11,'Energy Efficiency Measures-DBT'!$D$42:$AN$42))</f>
        <v>0.22022471910112362</v>
      </c>
      <c r="AA13" s="393">
        <f>1/((1/H13)+LOOKUP($A13,'Energy Efficiency Measures-DBT'!$D$11:$AN$11,'Energy Efficiency Measures-DBT'!$D$42:$AN$42))</f>
        <v>0.18666666666666665</v>
      </c>
      <c r="AB13" s="393">
        <f>1/((1/I13)+LOOKUP($A13,'Energy Efficiency Measures-DBT'!$D$11:$AN$11,'Energy Efficiency Measures-DBT'!$D$42:$AN$42))</f>
        <v>0.18666666666666665</v>
      </c>
      <c r="AC13" s="306">
        <f>1/((1/J13)+LOOKUP($A13,'Energy Efficiency Measures-DBT'!$D$11:$AN$11,'Energy Efficiency Measures-DBT'!$D$42:$AN$42))</f>
        <v>0.15282360410992551</v>
      </c>
      <c r="AD13" s="54">
        <f>1/((1/$K13)+LOOKUP($A13,'Energy Efficiency Measures-DBT'!$D$11:$AN$11,'Energy Efficiency Measures-DBT'!$D$42:$AN$42))</f>
        <v>0.25067722698582667</v>
      </c>
      <c r="AG13" s="48" t="s">
        <v>20</v>
      </c>
      <c r="AH13" s="47"/>
      <c r="AI13" s="262">
        <v>5</v>
      </c>
      <c r="AJ13" s="263">
        <v>5</v>
      </c>
      <c r="AK13" s="262">
        <v>5</v>
      </c>
      <c r="AL13" s="264">
        <v>5</v>
      </c>
      <c r="AM13" s="179" t="str">
        <f>IF(AND(E13&gt;Q13,AJ13&gt;Q13),'Energy Efficiency Measures-DBT'!$B$46,"")&amp;", "&amp;IF(AND(E13&gt;X13,AJ13&gt;X13),'Energy Efficiency Measures-DBT'!$B$45,"")</f>
        <v>MW3, MW2</v>
      </c>
      <c r="AN13" s="164" t="str">
        <f>IF(AND(F13&gt;R13,AJ13&gt;R13),'Energy Efficiency Measures-DBT'!$B$46,"")&amp;", "&amp;IF(AND(F13&gt;Y13,AJ13&gt;Y13),'Energy Efficiency Measures-DBT'!$B$45,"")</f>
        <v>MW3, MW2</v>
      </c>
      <c r="AO13" s="164" t="str">
        <f>IF(AND(G13&gt;S13,AJ13&gt;S13),'Energy Efficiency Measures-DBT'!$B$46,"")&amp;", "&amp;IF(AND(G13&gt;Z13,AJ13&gt;Z13),'Energy Efficiency Measures-DBT'!$B$45,"")</f>
        <v>MW3, MW2</v>
      </c>
      <c r="AP13" s="164" t="str">
        <f>IF(AND(H13&gt;T13,AJ13&gt;T13),'Energy Efficiency Measures-DBT'!$B$46,"")&amp;", "&amp;IF(AND(H13&gt;AA13,AJ13&gt;AA13),'Energy Efficiency Measures-DBT'!$B$45,"")</f>
        <v>MW3, MW2</v>
      </c>
      <c r="AQ13" s="164" t="str">
        <f>IF(AND(I13&gt;U13,AJ13&gt;U13),'Energy Efficiency Measures-DBT'!$B$46,"")&amp;", "&amp;IF(AND(I13&gt;AB13,AJ13&gt;AB13),'Energy Efficiency Measures-DBT'!$B$45,"")</f>
        <v>MW3, MW2</v>
      </c>
      <c r="AR13" s="273" t="str">
        <f>IF(AND(J13&gt;V13,AJ13&gt;V13),'Energy Efficiency Measures-DBT'!$B$46,"")&amp;", "&amp;IF(AND(J13&gt;AC13,AJ13&gt;AC13),'Energy Efficiency Measures-DBT'!$B$45,"")</f>
        <v>MW3, MW2</v>
      </c>
    </row>
    <row r="14" spans="1:44">
      <c r="A14" s="48" t="s">
        <v>96</v>
      </c>
      <c r="B14" s="48" t="s">
        <v>22</v>
      </c>
      <c r="C14" s="47" t="s">
        <v>23</v>
      </c>
      <c r="D14" s="47" t="s">
        <v>10</v>
      </c>
      <c r="E14" s="497">
        <v>0.47499999999999998</v>
      </c>
      <c r="F14" s="498">
        <v>0.47499999999999998</v>
      </c>
      <c r="G14" s="498">
        <v>0.33</v>
      </c>
      <c r="H14" s="498">
        <v>0.255</v>
      </c>
      <c r="I14" s="498">
        <v>0.22500000000000001</v>
      </c>
      <c r="J14" s="499">
        <v>0.22500000000000001</v>
      </c>
      <c r="K14" s="45">
        <f>SUMPRODUCT('Dwelling stock'!E14:J14,E14:J14)/SUM('Dwelling stock'!E14:J14)</f>
        <v>0.36986868645836529</v>
      </c>
      <c r="M14" s="54">
        <v>0.37642100000000001</v>
      </c>
      <c r="P14" s="48" t="s">
        <v>22</v>
      </c>
      <c r="Q14" s="392">
        <f>1/((1/E14)+LOOKUP($A14,'Energy Efficiency Measures-DBT'!$D$11:$AN$11,'Energy Efficiency Measures-DBT'!$D$43:$AN$43))</f>
        <v>0.29803921568627451</v>
      </c>
      <c r="R14" s="393">
        <f>1/((1/F14)+LOOKUP($A14,'Energy Efficiency Measures-DBT'!$D$11:$AN$11,'Energy Efficiency Measures-DBT'!$D$43:$AN$43))</f>
        <v>0.29803921568627451</v>
      </c>
      <c r="S14" s="393">
        <f>1/((1/G14)+LOOKUP($A14,'Energy Efficiency Measures-DBT'!$D$11:$AN$11,'Energy Efficiency Measures-DBT'!$D$43:$AN$43))</f>
        <v>0.23362831858407079</v>
      </c>
      <c r="T14" s="393">
        <f>1/((1/H14)+LOOKUP($A14,'Energy Efficiency Measures-DBT'!$D$11:$AN$11,'Energy Efficiency Measures-DBT'!$D$43:$AN$43))</f>
        <v>0.1933649289099526</v>
      </c>
      <c r="U14" s="393">
        <f>1/((1/I14)+LOOKUP($A14,'Energy Efficiency Measures-DBT'!$D$11:$AN$11,'Energy Efficiency Measures-DBT'!$D$43:$AN$43))</f>
        <v>0.17560975609756097</v>
      </c>
      <c r="V14" s="306">
        <f>1/((1/J14)+LOOKUP($A14,'Energy Efficiency Measures-DBT'!$D$11:$AN$11,'Energy Efficiency Measures-DBT'!$D$43:$AN$43))</f>
        <v>0.17560975609756097</v>
      </c>
      <c r="W14" s="219">
        <f>1/((1/$K14)+LOOKUP($A14,'Energy Efficiency Measures-DBT'!$D$11:$AN$11,'Energy Efficiency Measures-DBT'!$D$43:$AN$43))</f>
        <v>0.25293005325450507</v>
      </c>
      <c r="X14" s="392">
        <f>1/((1/E14)+LOOKUP($A14,'Energy Efficiency Measures-DBT'!$D$11:$AN$11,'Energy Efficiency Measures-DBT'!$D$42:$AN$42))</f>
        <v>0.21714285714285717</v>
      </c>
      <c r="Y14" s="393">
        <f>1/((1/F14)+LOOKUP($A14,'Energy Efficiency Measures-DBT'!$D$11:$AN$11,'Energy Efficiency Measures-DBT'!$D$42:$AN$42))</f>
        <v>0.21714285714285717</v>
      </c>
      <c r="Z14" s="393">
        <f>1/((1/G14)+LOOKUP($A14,'Energy Efficiency Measures-DBT'!$D$11:$AN$11,'Energy Efficiency Measures-DBT'!$D$42:$AN$42))</f>
        <v>0.18082191780821918</v>
      </c>
      <c r="AA14" s="393">
        <f>1/((1/H14)+LOOKUP($A14,'Energy Efficiency Measures-DBT'!$D$11:$AN$11,'Energy Efficiency Measures-DBT'!$D$42:$AN$42))</f>
        <v>0.15572519083969466</v>
      </c>
      <c r="AB14" s="393">
        <f>1/((1/I14)+LOOKUP($A14,'Energy Efficiency Measures-DBT'!$D$11:$AN$11,'Energy Efficiency Measures-DBT'!$D$42:$AN$42))</f>
        <v>0.14399999999999999</v>
      </c>
      <c r="AC14" s="306">
        <f>1/((1/J14)+LOOKUP($A14,'Energy Efficiency Measures-DBT'!$D$11:$AN$11,'Energy Efficiency Measures-DBT'!$D$42:$AN$42))</f>
        <v>0.14399999999999999</v>
      </c>
      <c r="AD14" s="54">
        <f>1/((1/$K14)+LOOKUP($A14,'Energy Efficiency Measures-DBT'!$D$11:$AN$11,'Energy Efficiency Measures-DBT'!$D$42:$AN$42))</f>
        <v>0.19217234988988885</v>
      </c>
      <c r="AG14" s="48" t="s">
        <v>22</v>
      </c>
      <c r="AH14" s="47"/>
      <c r="AI14" s="262">
        <v>5</v>
      </c>
      <c r="AJ14" s="263">
        <v>5</v>
      </c>
      <c r="AK14" s="262">
        <v>5</v>
      </c>
      <c r="AL14" s="264">
        <v>5</v>
      </c>
      <c r="AM14" s="179" t="str">
        <f>IF(AND(E14&gt;Q14,AJ14&gt;Q14),'Energy Efficiency Measures-DBT'!$B$46,"")&amp;", "&amp;IF(AND(E14&gt;X14,AJ14&gt;X14),'Energy Efficiency Measures-DBT'!$B$45,"")</f>
        <v>MW3, MW2</v>
      </c>
      <c r="AN14" s="164" t="str">
        <f>IF(AND(F14&gt;R14,AJ14&gt;R14),'Energy Efficiency Measures-DBT'!$B$46,"")&amp;", "&amp;IF(AND(F14&gt;Y14,AJ14&gt;Y14),'Energy Efficiency Measures-DBT'!$B$45,"")</f>
        <v>MW3, MW2</v>
      </c>
      <c r="AO14" s="164" t="str">
        <f>IF(AND(G14&gt;S14,AJ14&gt;S14),'Energy Efficiency Measures-DBT'!$B$46,"")&amp;", "&amp;IF(AND(G14&gt;Z14,AJ14&gt;Z14),'Energy Efficiency Measures-DBT'!$B$45,"")</f>
        <v>MW3, MW2</v>
      </c>
      <c r="AP14" s="164" t="str">
        <f>IF(AND(H14&gt;T14,AJ14&gt;T14),'Energy Efficiency Measures-DBT'!$B$46,"")&amp;", "&amp;IF(AND(H14&gt;AA14,AJ14&gt;AA14),'Energy Efficiency Measures-DBT'!$B$45,"")</f>
        <v>MW3, MW2</v>
      </c>
      <c r="AQ14" s="164" t="str">
        <f>IF(AND(I14&gt;U14,AJ14&gt;U14),'Energy Efficiency Measures-DBT'!$B$46,"")&amp;", "&amp;IF(AND(I14&gt;AB14,AJ14&gt;AB14),'Energy Efficiency Measures-DBT'!$B$45,"")</f>
        <v>MW3, MW2</v>
      </c>
      <c r="AR14" s="273" t="str">
        <f>IF(AND(J14&gt;V14,AJ14&gt;V14),'Energy Efficiency Measures-DBT'!$B$46,"")&amp;", "&amp;IF(AND(J14&gt;AC14,AJ14&gt;AC14),'Energy Efficiency Measures-DBT'!$B$45,"")</f>
        <v>MW3, MW2</v>
      </c>
    </row>
    <row r="15" spans="1:44">
      <c r="A15" s="48" t="s">
        <v>205</v>
      </c>
      <c r="B15" s="48" t="s">
        <v>28</v>
      </c>
      <c r="C15" s="47" t="s">
        <v>29</v>
      </c>
      <c r="D15" s="47" t="s">
        <v>10</v>
      </c>
      <c r="E15" s="497">
        <v>2.2000000000000002</v>
      </c>
      <c r="F15" s="498">
        <v>2.2000000000000002</v>
      </c>
      <c r="G15" s="498">
        <v>2.2000000000000002</v>
      </c>
      <c r="H15" s="498">
        <v>2.2000000000000002</v>
      </c>
      <c r="I15" s="498">
        <v>2.2000000000000002</v>
      </c>
      <c r="J15" s="499">
        <v>0.6</v>
      </c>
      <c r="K15" s="45">
        <f>SUMPRODUCT('Dwelling stock'!E15:J15,E15:J15)/SUM('Dwelling stock'!E15:J15)</f>
        <v>2.0987056331577354</v>
      </c>
      <c r="M15" s="54" t="s">
        <v>17</v>
      </c>
      <c r="P15" s="48" t="s">
        <v>28</v>
      </c>
      <c r="Q15" s="392">
        <f>1/((1/E15)+LOOKUP($A15,'Energy Efficiency Measures-DBT'!$D$11:$AN$11,'Energy Efficiency Measures-DBT'!$D$43:$AN$43))</f>
        <v>0.58666666666666667</v>
      </c>
      <c r="R15" s="393">
        <f>1/((1/F15)+LOOKUP($A15,'Energy Efficiency Measures-DBT'!$D$11:$AN$11,'Energy Efficiency Measures-DBT'!$D$43:$AN$43))</f>
        <v>0.58666666666666667</v>
      </c>
      <c r="S15" s="393">
        <f>1/((1/G15)+LOOKUP($A15,'Energy Efficiency Measures-DBT'!$D$11:$AN$11,'Energy Efficiency Measures-DBT'!$D$43:$AN$43))</f>
        <v>0.58666666666666667</v>
      </c>
      <c r="T15" s="393">
        <f>1/((1/H15)+LOOKUP($A15,'Energy Efficiency Measures-DBT'!$D$11:$AN$11,'Energy Efficiency Measures-DBT'!$D$43:$AN$43))</f>
        <v>0.58666666666666667</v>
      </c>
      <c r="U15" s="393">
        <f>1/((1/I15)+LOOKUP($A15,'Energy Efficiency Measures-DBT'!$D$11:$AN$11,'Energy Efficiency Measures-DBT'!$D$43:$AN$43))</f>
        <v>0.58666666666666667</v>
      </c>
      <c r="V15" s="306">
        <f>1/((1/J15)+LOOKUP($A15,'Energy Efficiency Measures-DBT'!$D$11:$AN$11,'Energy Efficiency Measures-DBT'!$D$43:$AN$43))</f>
        <v>0.3428571428571428</v>
      </c>
      <c r="W15" s="219">
        <f>1/((1/$K15)+LOOKUP($A15,'Energy Efficiency Measures-DBT'!$D$11:$AN$11,'Energy Efficiency Measures-DBT'!$D$43:$AN$43))</f>
        <v>0.57921179968080816</v>
      </c>
      <c r="X15" s="392">
        <f>1/((1/E15)+LOOKUP($A15,'Energy Efficiency Measures-DBT'!$D$11:$AN$11,'Energy Efficiency Measures-DBT'!$D$42:$AN$42))</f>
        <v>0.33846153846153848</v>
      </c>
      <c r="Y15" s="393">
        <f>1/((1/F15)+LOOKUP($A15,'Energy Efficiency Measures-DBT'!$D$11:$AN$11,'Energy Efficiency Measures-DBT'!$D$42:$AN$42))</f>
        <v>0.33846153846153848</v>
      </c>
      <c r="Z15" s="393">
        <f>1/((1/G15)+LOOKUP($A15,'Energy Efficiency Measures-DBT'!$D$11:$AN$11,'Energy Efficiency Measures-DBT'!$D$42:$AN$42))</f>
        <v>0.33846153846153848</v>
      </c>
      <c r="AA15" s="393">
        <f>1/((1/H15)+LOOKUP($A15,'Energy Efficiency Measures-DBT'!$D$11:$AN$11,'Energy Efficiency Measures-DBT'!$D$42:$AN$42))</f>
        <v>0.33846153846153848</v>
      </c>
      <c r="AB15" s="393">
        <f>1/((1/I15)+LOOKUP($A15,'Energy Efficiency Measures-DBT'!$D$11:$AN$11,'Energy Efficiency Measures-DBT'!$D$42:$AN$42))</f>
        <v>0.33846153846153848</v>
      </c>
      <c r="AC15" s="306">
        <f>1/((1/J15)+LOOKUP($A15,'Energy Efficiency Measures-DBT'!$D$11:$AN$11,'Energy Efficiency Measures-DBT'!$D$42:$AN$42))</f>
        <v>0.24</v>
      </c>
      <c r="AD15" s="54">
        <f>1/((1/$K15)+LOOKUP($A15,'Energy Efficiency Measures-DBT'!$D$11:$AN$11,'Energy Efficiency Measures-DBT'!$D$42:$AN$42))</f>
        <v>0.3359668470440032</v>
      </c>
      <c r="AG15" s="48" t="s">
        <v>28</v>
      </c>
      <c r="AH15" s="47"/>
      <c r="AI15" s="262">
        <v>5</v>
      </c>
      <c r="AJ15" s="263">
        <v>5</v>
      </c>
      <c r="AK15" s="262">
        <v>5</v>
      </c>
      <c r="AL15" s="264">
        <v>5</v>
      </c>
      <c r="AM15" s="179" t="str">
        <f>IF(AND(E15&gt;Q15,AJ15&gt;Q15),'Energy Efficiency Measures-DBT'!$B$46,"")&amp;", "&amp;IF(AND(E15&gt;X15,AJ15&gt;X15),'Energy Efficiency Measures-DBT'!$B$45,"")</f>
        <v>MW3, MW2</v>
      </c>
      <c r="AN15" s="164" t="str">
        <f>IF(AND(F15&gt;R15,AJ15&gt;R15),'Energy Efficiency Measures-DBT'!$B$46,"")&amp;", "&amp;IF(AND(F15&gt;Y15,AJ15&gt;Y15),'Energy Efficiency Measures-DBT'!$B$45,"")</f>
        <v>MW3, MW2</v>
      </c>
      <c r="AO15" s="164" t="str">
        <f>IF(AND(G15&gt;S15,AJ15&gt;S15),'Energy Efficiency Measures-DBT'!$B$46,"")&amp;", "&amp;IF(AND(G15&gt;Z15,AJ15&gt;Z15),'Energy Efficiency Measures-DBT'!$B$45,"")</f>
        <v>MW3, MW2</v>
      </c>
      <c r="AP15" s="164" t="str">
        <f>IF(AND(H15&gt;T15,AJ15&gt;T15),'Energy Efficiency Measures-DBT'!$B$46,"")&amp;", "&amp;IF(AND(H15&gt;AA15,AJ15&gt;AA15),'Energy Efficiency Measures-DBT'!$B$45,"")</f>
        <v>MW3, MW2</v>
      </c>
      <c r="AQ15" s="164" t="str">
        <f>IF(AND(I15&gt;U15,AJ15&gt;U15),'Energy Efficiency Measures-DBT'!$B$46,"")&amp;", "&amp;IF(AND(I15&gt;AB15,AJ15&gt;AB15),'Energy Efficiency Measures-DBT'!$B$45,"")</f>
        <v>MW3, MW2</v>
      </c>
      <c r="AR15" s="273" t="str">
        <f>IF(AND(J15&gt;V15,AJ15&gt;V15),'Energy Efficiency Measures-DBT'!$B$46,"")&amp;", "&amp;IF(AND(J15&gt;AC15,AJ15&gt;AC15),'Energy Efficiency Measures-DBT'!$B$45,"")</f>
        <v>MW3, MW2</v>
      </c>
    </row>
    <row r="16" spans="1:44">
      <c r="A16" s="48" t="s">
        <v>97</v>
      </c>
      <c r="B16" s="48" t="s">
        <v>49</v>
      </c>
      <c r="C16" s="47" t="s">
        <v>50</v>
      </c>
      <c r="D16" s="2" t="s">
        <v>10</v>
      </c>
      <c r="E16" s="497">
        <v>2.52</v>
      </c>
      <c r="F16" s="498">
        <v>2.13</v>
      </c>
      <c r="G16" s="498">
        <v>2.13</v>
      </c>
      <c r="H16" s="498">
        <v>1.6</v>
      </c>
      <c r="I16" s="498">
        <v>1.6</v>
      </c>
      <c r="J16" s="499">
        <v>0.8</v>
      </c>
      <c r="K16" s="45">
        <f>SUMPRODUCT('Dwelling stock'!E16:J16,E16:J16)/SUM('Dwelling stock'!E16:J16)</f>
        <v>1.7814530458416837</v>
      </c>
      <c r="M16" s="54">
        <v>1.8202719999999999</v>
      </c>
      <c r="P16" s="48" t="s">
        <v>49</v>
      </c>
      <c r="Q16" s="392">
        <f>1/((1/E16)+LOOKUP($A16,'Energy Efficiency Measures-DBT'!$D$11:$AN$11,'Energy Efficiency Measures-DBT'!$D$43:$AN$43))</f>
        <v>0.60722891566265058</v>
      </c>
      <c r="R16" s="393">
        <f>1/((1/F16)+LOOKUP($A16,'Energy Efficiency Measures-DBT'!$D$11:$AN$11,'Energy Efficiency Measures-DBT'!$D$43:$AN$43))</f>
        <v>0.58156996587030718</v>
      </c>
      <c r="S16" s="393">
        <f>1/((1/G16)+LOOKUP($A16,'Energy Efficiency Measures-DBT'!$D$11:$AN$11,'Energy Efficiency Measures-DBT'!$D$43:$AN$43))</f>
        <v>0.58156996587030718</v>
      </c>
      <c r="T16" s="393">
        <f>1/((1/H16)+LOOKUP($A16,'Energy Efficiency Measures-DBT'!$D$11:$AN$11,'Energy Efficiency Measures-DBT'!$D$43:$AN$43))</f>
        <v>0.53333333333333333</v>
      </c>
      <c r="U16" s="393">
        <f>1/((1/I16)+LOOKUP($A16,'Energy Efficiency Measures-DBT'!$D$11:$AN$11,'Energy Efficiency Measures-DBT'!$D$43:$AN$43))</f>
        <v>0.53333333333333333</v>
      </c>
      <c r="V16" s="306">
        <f>1/((1/J16)+LOOKUP($A16,'Energy Efficiency Measures-DBT'!$D$11:$AN$11,'Energy Efficiency Measures-DBT'!$D$43:$AN$43))</f>
        <v>0.4</v>
      </c>
      <c r="W16" s="219">
        <f>1/((1/$K16)+LOOKUP($A16,'Energy Efficiency Measures-DBT'!$D$11:$AN$11,'Energy Efficiency Measures-DBT'!$D$43:$AN$43))</f>
        <v>0.55207761340809991</v>
      </c>
      <c r="X16" s="392">
        <f>1/((1/E16)+LOOKUP($A16,'Energy Efficiency Measures-DBT'!$D$11:$AN$11,'Energy Efficiency Measures-DBT'!$D$42:$AN$42))</f>
        <v>0.34520547945205482</v>
      </c>
      <c r="Y16" s="393">
        <f>1/((1/F16)+LOOKUP($A16,'Energy Efficiency Measures-DBT'!$D$11:$AN$11,'Energy Efficiency Measures-DBT'!$D$42:$AN$42))</f>
        <v>0.33675889328063241</v>
      </c>
      <c r="Z16" s="393">
        <f>1/((1/G16)+LOOKUP($A16,'Energy Efficiency Measures-DBT'!$D$11:$AN$11,'Energy Efficiency Measures-DBT'!$D$42:$AN$42))</f>
        <v>0.33675889328063241</v>
      </c>
      <c r="AA16" s="393">
        <f>1/((1/H16)+LOOKUP($A16,'Energy Efficiency Measures-DBT'!$D$11:$AN$11,'Energy Efficiency Measures-DBT'!$D$42:$AN$42))</f>
        <v>0.32</v>
      </c>
      <c r="AB16" s="393">
        <f>1/((1/I16)+LOOKUP($A16,'Energy Efficiency Measures-DBT'!$D$11:$AN$11,'Energy Efficiency Measures-DBT'!$D$42:$AN$42))</f>
        <v>0.32</v>
      </c>
      <c r="AC16" s="306">
        <f>1/((1/J16)+LOOKUP($A16,'Energy Efficiency Measures-DBT'!$D$11:$AN$11,'Energy Efficiency Measures-DBT'!$D$42:$AN$42))</f>
        <v>0.26666666666666666</v>
      </c>
      <c r="AD16" s="54">
        <f>1/((1/$K16)+LOOKUP($A16,'Energy Efficiency Measures-DBT'!$D$11:$AN$11,'Energy Efficiency Measures-DBT'!$D$42:$AN$42))</f>
        <v>0.32665439198657326</v>
      </c>
      <c r="AG16" s="48" t="s">
        <v>49</v>
      </c>
      <c r="AH16" s="47" t="s">
        <v>283</v>
      </c>
      <c r="AI16" s="179">
        <v>0.74</v>
      </c>
      <c r="AJ16" s="429">
        <f>AI16</f>
        <v>0.74</v>
      </c>
      <c r="AK16" s="428">
        <f>AI16</f>
        <v>0.74</v>
      </c>
      <c r="AL16" s="430">
        <f>AK16</f>
        <v>0.74</v>
      </c>
      <c r="AM16" s="179" t="str">
        <f>IF(AND(E16&gt;Q16,AJ16&gt;Q16),'Energy Efficiency Measures-DBT'!$B$46,"")&amp;", "&amp;IF(AND(E16&gt;X16,AJ16&gt;X16),'Energy Efficiency Measures-DBT'!$B$45,"")</f>
        <v>MW3, MW2</v>
      </c>
      <c r="AN16" s="164" t="str">
        <f>IF(AND(F16&gt;R16,AJ16&gt;R16),'Energy Efficiency Measures-DBT'!$B$46,"")&amp;", "&amp;IF(AND(F16&gt;Y16,AJ16&gt;Y16),'Energy Efficiency Measures-DBT'!$B$45,"")</f>
        <v>MW3, MW2</v>
      </c>
      <c r="AO16" s="164" t="str">
        <f>IF(AND(G16&gt;S16,AJ16&gt;S16),'Energy Efficiency Measures-DBT'!$B$46,"")&amp;", "&amp;IF(AND(G16&gt;Z16,AJ16&gt;Z16),'Energy Efficiency Measures-DBT'!$B$45,"")</f>
        <v>MW3, MW2</v>
      </c>
      <c r="AP16" s="164" t="str">
        <f>IF(AND(H16&gt;T16,AJ16&gt;T16),'Energy Efficiency Measures-DBT'!$B$46,"")&amp;", "&amp;IF(AND(H16&gt;AA16,AJ16&gt;AA16),'Energy Efficiency Measures-DBT'!$B$45,"")</f>
        <v>MW3, MW2</v>
      </c>
      <c r="AQ16" s="164" t="str">
        <f>IF(AND(I16&gt;U16,AJ16&gt;U16),'Energy Efficiency Measures-DBT'!$B$46,"")&amp;", "&amp;IF(AND(I16&gt;AB16,AJ16&gt;AB16),'Energy Efficiency Measures-DBT'!$B$45,"")</f>
        <v>MW3, MW2</v>
      </c>
      <c r="AR16" s="273" t="str">
        <f>IF(AND(J16&gt;V16,AJ16&gt;V16),'Energy Efficiency Measures-DBT'!$B$46,"")&amp;", "&amp;IF(AND(J16&gt;AC16,AJ16&gt;AC16),'Energy Efficiency Measures-DBT'!$B$45,"")</f>
        <v>MW3, MW2</v>
      </c>
    </row>
    <row r="17" spans="1:45">
      <c r="A17" s="48" t="s">
        <v>98</v>
      </c>
      <c r="B17" s="48" t="s">
        <v>24</v>
      </c>
      <c r="C17" s="47" t="s">
        <v>14</v>
      </c>
      <c r="D17" s="47" t="s">
        <v>10</v>
      </c>
      <c r="E17" s="497">
        <v>0.6</v>
      </c>
      <c r="F17" s="498">
        <v>0.56000000000000005</v>
      </c>
      <c r="G17" s="498">
        <v>0.40500000000000003</v>
      </c>
      <c r="H17" s="498">
        <v>0.28499999999999998</v>
      </c>
      <c r="I17" s="498">
        <v>0.28000000000000003</v>
      </c>
      <c r="J17" s="499">
        <v>0.26</v>
      </c>
      <c r="K17" s="45">
        <f>SUMPRODUCT('Dwelling stock'!E17:J17,E17:J17)/SUM('Dwelling stock'!E17:J17)</f>
        <v>0.42138351950580227</v>
      </c>
      <c r="M17" s="54">
        <v>0.42829699999999998</v>
      </c>
      <c r="P17" s="48" t="s">
        <v>24</v>
      </c>
      <c r="Q17" s="392">
        <f>1/((1/E17)+LOOKUP($A17,'Energy Efficiency Measures-DBT'!$D$11:$AN$11,'Energy Efficiency Measures-DBT'!$D$43:$AN$43))</f>
        <v>0.3428571428571428</v>
      </c>
      <c r="R17" s="393">
        <f>1/((1/F17)+LOOKUP($A17,'Energy Efficiency Measures-DBT'!$D$11:$AN$11,'Energy Efficiency Measures-DBT'!$D$43:$AN$43))</f>
        <v>0.32941176470588235</v>
      </c>
      <c r="S17" s="393">
        <f>1/((1/G17)+LOOKUP($A17,'Energy Efficiency Measures-DBT'!$D$11:$AN$11,'Energy Efficiency Measures-DBT'!$D$43:$AN$43))</f>
        <v>0.26887966804979252</v>
      </c>
      <c r="T17" s="393">
        <f>1/((1/H17)+LOOKUP($A17,'Energy Efficiency Measures-DBT'!$D$11:$AN$11,'Energy Efficiency Measures-DBT'!$D$43:$AN$43))</f>
        <v>0.21013824884792626</v>
      </c>
      <c r="U17" s="393">
        <f>1/((1/I17)+LOOKUP($A17,'Energy Efficiency Measures-DBT'!$D$11:$AN$11,'Energy Efficiency Measures-DBT'!$D$43:$AN$43))</f>
        <v>0.20740740740740743</v>
      </c>
      <c r="V17" s="306">
        <f>1/((1/J17)+LOOKUP($A17,'Energy Efficiency Measures-DBT'!$D$11:$AN$11,'Energy Efficiency Measures-DBT'!$D$43:$AN$43))</f>
        <v>0.19622641509433963</v>
      </c>
      <c r="W17" s="220">
        <f>1/((1/$K17)+LOOKUP($A17,'Energy Efficiency Measures-DBT'!$D$11:$AN$11,'Energy Efficiency Measures-DBT'!$D$43:$AN$43))</f>
        <v>0.27600406442445075</v>
      </c>
      <c r="X17" s="392">
        <f>1/((1/E17)+LOOKUP($A17,'Energy Efficiency Measures-DBT'!$D$11:$AN$11,'Energy Efficiency Measures-DBT'!$D$42:$AN$42))</f>
        <v>0.24</v>
      </c>
      <c r="Y17" s="393">
        <f>1/((1/F17)+LOOKUP($A17,'Energy Efficiency Measures-DBT'!$D$11:$AN$11,'Energy Efficiency Measures-DBT'!$D$42:$AN$42))</f>
        <v>0.23333333333333334</v>
      </c>
      <c r="Z17" s="393">
        <f>1/((1/G17)+LOOKUP($A17,'Energy Efficiency Measures-DBT'!$D$11:$AN$11,'Energy Efficiency Measures-DBT'!$D$42:$AN$42))</f>
        <v>0.2012422360248447</v>
      </c>
      <c r="AA17" s="393">
        <f>1/((1/H17)+LOOKUP($A17,'Energy Efficiency Measures-DBT'!$D$11:$AN$11,'Energy Efficiency Measures-DBT'!$D$42:$AN$42))</f>
        <v>0.16642335766423358</v>
      </c>
      <c r="AB17" s="393">
        <f>1/((1/I17)+LOOKUP($A17,'Energy Efficiency Measures-DBT'!$D$11:$AN$11,'Energy Efficiency Measures-DBT'!$D$42:$AN$42))</f>
        <v>0.16470588235294117</v>
      </c>
      <c r="AC17" s="306">
        <f>1/((1/J17)+LOOKUP($A17,'Energy Efficiency Measures-DBT'!$D$11:$AN$11,'Energy Efficiency Measures-DBT'!$D$42:$AN$42))</f>
        <v>0.15757575757575759</v>
      </c>
      <c r="AD17" s="220">
        <f>1/((1/$K17)+LOOKUP($A17,'Energy Efficiency Measures-DBT'!$D$11:$AN$11,'Energy Efficiency Measures-DBT'!$D$42:$AN$42))</f>
        <v>0.20520670770669175</v>
      </c>
      <c r="AG17" s="48" t="s">
        <v>24</v>
      </c>
      <c r="AH17" s="47" t="s">
        <v>283</v>
      </c>
      <c r="AI17" s="179">
        <v>0.17</v>
      </c>
      <c r="AJ17" s="429">
        <f>AI17</f>
        <v>0.17</v>
      </c>
      <c r="AK17" s="428">
        <f>AI17</f>
        <v>0.17</v>
      </c>
      <c r="AL17" s="430">
        <f>AK17</f>
        <v>0.17</v>
      </c>
      <c r="AM17" s="179" t="str">
        <f>IF(AND(E17&gt;Q17,AJ17&gt;Q17),'Energy Efficiency Measures-DBT'!$B$46,"")&amp;", "&amp;IF(AND(E17&gt;X17,AJ17&gt;X17),'Energy Efficiency Measures-DBT'!$B$45,"")</f>
        <v xml:space="preserve">, </v>
      </c>
      <c r="AN17" s="164" t="str">
        <f>IF(AND(F17&gt;R17,AJ17&gt;R17),'Energy Efficiency Measures-DBT'!$B$46,"")&amp;", "&amp;IF(AND(F17&gt;Y17,AJ17&gt;Y17),'Energy Efficiency Measures-DBT'!$B$45,"")</f>
        <v xml:space="preserve">, </v>
      </c>
      <c r="AO17" s="164" t="str">
        <f>IF(AND(G17&gt;S17,AJ17&gt;S17),'Energy Efficiency Measures-DBT'!$B$46,"")&amp;", "&amp;IF(AND(G17&gt;Z17,AJ17&gt;Z17),'Energy Efficiency Measures-DBT'!$B$45,"")</f>
        <v xml:space="preserve">, </v>
      </c>
      <c r="AP17" s="164" t="str">
        <f>IF(AND(H17&gt;T17,AJ17&gt;T17),'Energy Efficiency Measures-DBT'!$B$46,"")&amp;", "&amp;IF(AND(H17&gt;AA17,AJ17&gt;AA17),'Energy Efficiency Measures-DBT'!$B$45,"")</f>
        <v>, MW2</v>
      </c>
      <c r="AQ17" s="164" t="str">
        <f>IF(AND(I17&gt;U17,AJ17&gt;U17),'Energy Efficiency Measures-DBT'!$B$46,"")&amp;", "&amp;IF(AND(I17&gt;AB17,AJ17&gt;AB17),'Energy Efficiency Measures-DBT'!$B$45,"")</f>
        <v>, MW2</v>
      </c>
      <c r="AR17" s="273" t="str">
        <f>IF(AND(J17&gt;V17,AJ17&gt;V17),'Energy Efficiency Measures-DBT'!$B$46,"")&amp;", "&amp;IF(AND(J17&gt;AC17,AJ17&gt;AC17),'Energy Efficiency Measures-DBT'!$B$45,"")</f>
        <v>, MW2</v>
      </c>
      <c r="AS17" s="5" t="s">
        <v>300</v>
      </c>
    </row>
    <row r="18" spans="1:45">
      <c r="A18" s="48" t="s">
        <v>99</v>
      </c>
      <c r="B18" s="48" t="s">
        <v>25</v>
      </c>
      <c r="C18" s="47" t="s">
        <v>21</v>
      </c>
      <c r="D18" s="47" t="s">
        <v>10</v>
      </c>
      <c r="E18" s="497">
        <v>2.5</v>
      </c>
      <c r="F18" s="498">
        <v>2.5</v>
      </c>
      <c r="G18" s="498">
        <v>1</v>
      </c>
      <c r="H18" s="498">
        <v>0.83829500000000001</v>
      </c>
      <c r="I18" s="498">
        <v>0.4</v>
      </c>
      <c r="J18" s="499">
        <v>0.38449800000000001</v>
      </c>
      <c r="K18" s="45">
        <f>SUMPRODUCT('Dwelling stock'!E18:J18,E18:J18)/SUM('Dwelling stock'!E18:J18)</f>
        <v>1.5185301742604151</v>
      </c>
      <c r="M18" s="54">
        <v>1.723514</v>
      </c>
      <c r="P18" s="48" t="s">
        <v>25</v>
      </c>
      <c r="Q18" s="392">
        <f>1/((1/E18)+LOOKUP($A18,'Energy Efficiency Measures-DBT'!$D$11:$AN$11,'Energy Efficiency Measures-DBT'!$D$43:$AN$43))</f>
        <v>0.60606060606060608</v>
      </c>
      <c r="R18" s="393">
        <f>1/((1/F18)+LOOKUP($A18,'Energy Efficiency Measures-DBT'!$D$11:$AN$11,'Energy Efficiency Measures-DBT'!$D$43:$AN$43))</f>
        <v>0.60606060606060608</v>
      </c>
      <c r="S18" s="393">
        <f>1/((1/G18)+LOOKUP($A18,'Energy Efficiency Measures-DBT'!$D$11:$AN$11,'Energy Efficiency Measures-DBT'!$D$43:$AN$43))</f>
        <v>0.44444444444444442</v>
      </c>
      <c r="T18" s="393">
        <f>1/((1/H18)+LOOKUP($A18,'Energy Efficiency Measures-DBT'!$D$11:$AN$11,'Energy Efficiency Measures-DBT'!$D$43:$AN$43))</f>
        <v>0.40934996444474286</v>
      </c>
      <c r="U18" s="393">
        <f>1/((1/I18)+LOOKUP($A18,'Energy Efficiency Measures-DBT'!$D$11:$AN$11,'Energy Efficiency Measures-DBT'!$D$43:$AN$43))</f>
        <v>0.26666666666666666</v>
      </c>
      <c r="V18" s="306">
        <f>1/((1/J18)+LOOKUP($A18,'Energy Efficiency Measures-DBT'!$D$11:$AN$11,'Energy Efficiency Measures-DBT'!$D$43:$AN$43))</f>
        <v>0.25968671960611162</v>
      </c>
      <c r="W18" s="220">
        <f>1/((1/$K18)+LOOKUP($A18,'Energy Efficiency Measures-DBT'!$D$11:$AN$11,'Energy Efficiency Measures-DBT'!$D$43:$AN$43))</f>
        <v>0.52396304904500424</v>
      </c>
      <c r="X18" s="392">
        <f>1/((1/E18)+LOOKUP($A18,'Energy Efficiency Measures-DBT'!$D$11:$AN$11,'Energy Efficiency Measures-DBT'!$D$42:$AN$42))</f>
        <v>0.34482758620689657</v>
      </c>
      <c r="Y18" s="393">
        <f>1/((1/F18)+LOOKUP($A18,'Energy Efficiency Measures-DBT'!$D$11:$AN$11,'Energy Efficiency Measures-DBT'!$D$42:$AN$42))</f>
        <v>0.34482758620689657</v>
      </c>
      <c r="Z18" s="393">
        <f>1/((1/G18)+LOOKUP($A18,'Energy Efficiency Measures-DBT'!$D$11:$AN$11,'Energy Efficiency Measures-DBT'!$D$42:$AN$42))</f>
        <v>0.2857142857142857</v>
      </c>
      <c r="AA18" s="393">
        <f>1/((1/H18)+LOOKUP($A18,'Energy Efficiency Measures-DBT'!$D$11:$AN$11,'Energy Efficiency Measures-DBT'!$D$42:$AN$42))</f>
        <v>0.27079007829313695</v>
      </c>
      <c r="AB18" s="393">
        <f>1/((1/I18)+LOOKUP($A18,'Energy Efficiency Measures-DBT'!$D$11:$AN$11,'Energy Efficiency Measures-DBT'!$D$42:$AN$42))</f>
        <v>0.2</v>
      </c>
      <c r="AC18" s="306">
        <f>1/((1/J18)+LOOKUP($A18,'Energy Efficiency Measures-DBT'!$D$11:$AN$11,'Energy Efficiency Measures-DBT'!$D$42:$AN$42))</f>
        <v>0.19604791854153866</v>
      </c>
      <c r="AD18" s="54">
        <f>1/((1/$K18)+LOOKUP($A18,'Energy Efficiency Measures-DBT'!$D$11:$AN$11,'Energy Efficiency Measures-DBT'!$D$42:$AN$42))</f>
        <v>0.31660282327241512</v>
      </c>
      <c r="AG18" s="48" t="s">
        <v>25</v>
      </c>
      <c r="AH18" s="47" t="s">
        <v>283</v>
      </c>
      <c r="AI18" s="179">
        <v>0.4</v>
      </c>
      <c r="AJ18" s="429">
        <f>AI18</f>
        <v>0.4</v>
      </c>
      <c r="AK18" s="428">
        <f>AI18</f>
        <v>0.4</v>
      </c>
      <c r="AL18" s="430">
        <f>AK18</f>
        <v>0.4</v>
      </c>
      <c r="AM18" s="179" t="str">
        <f>IF(AND(E18&gt;Q18,AJ18&gt;Q18),'Energy Efficiency Measures-DBT'!$B$46,"")&amp;", "&amp;IF(AND(E18&gt;X18,AJ18&gt;X18),'Energy Efficiency Measures-DBT'!$B$45,"")</f>
        <v>, MW2</v>
      </c>
      <c r="AN18" s="164" t="str">
        <f>IF(AND(F18&gt;R18,AJ18&gt;R18),'Energy Efficiency Measures-DBT'!$B$46,"")&amp;", "&amp;IF(AND(F18&gt;Y18,AJ18&gt;Y18),'Energy Efficiency Measures-DBT'!$B$45,"")</f>
        <v>, MW2</v>
      </c>
      <c r="AO18" s="164" t="str">
        <f>IF(AND(G18&gt;S18,AJ18&gt;S18),'Energy Efficiency Measures-DBT'!$B$46,"")&amp;", "&amp;IF(AND(G18&gt;Z18,AJ18&gt;Z18),'Energy Efficiency Measures-DBT'!$B$45,"")</f>
        <v>, MW2</v>
      </c>
      <c r="AP18" s="164" t="str">
        <f>IF(AND(H18&gt;T18,AJ18&gt;T18),'Energy Efficiency Measures-DBT'!$B$46,"")&amp;", "&amp;IF(AND(H18&gt;AA18,AJ18&gt;AA18),'Energy Efficiency Measures-DBT'!$B$45,"")</f>
        <v>, MW2</v>
      </c>
      <c r="AQ18" s="164" t="str">
        <f>IF(AND(I18&gt;U18,AJ18&gt;U18),'Energy Efficiency Measures-DBT'!$B$46,"")&amp;", "&amp;IF(AND(I18&gt;AB18,AJ18&gt;AB18),'Energy Efficiency Measures-DBT'!$B$45,"")</f>
        <v>MW3, MW2</v>
      </c>
      <c r="AR18" s="273" t="str">
        <f>IF(AND(J18&gt;V18,AJ18&gt;V18),'Energy Efficiency Measures-DBT'!$B$46,"")&amp;", "&amp;IF(AND(J18&gt;AC18,AJ18&gt;AC18),'Energy Efficiency Measures-DBT'!$B$45,"")</f>
        <v>MW3, MW2</v>
      </c>
    </row>
    <row r="19" spans="1:45">
      <c r="A19" s="48" t="s">
        <v>118</v>
      </c>
      <c r="B19" s="48" t="s">
        <v>55</v>
      </c>
      <c r="C19" s="47" t="s">
        <v>56</v>
      </c>
      <c r="D19" s="47" t="s">
        <v>10</v>
      </c>
      <c r="E19" s="497">
        <v>1.28</v>
      </c>
      <c r="F19" s="498">
        <v>1.46</v>
      </c>
      <c r="G19" s="498">
        <v>1.28</v>
      </c>
      <c r="H19" s="498">
        <v>1.28</v>
      </c>
      <c r="I19" s="498">
        <v>0.83</v>
      </c>
      <c r="J19" s="499">
        <v>0.34</v>
      </c>
      <c r="K19" s="45">
        <f>SUMPRODUCT('Dwelling stock'!E19:J19,E19:J19)/SUM('Dwelling stock'!E19:J19)</f>
        <v>1.1749455810714287</v>
      </c>
      <c r="M19" s="54">
        <v>1.1636249999999999</v>
      </c>
      <c r="P19" s="48" t="s">
        <v>55</v>
      </c>
      <c r="Q19" s="392">
        <f>1/((1/E19)+LOOKUP($A19,'Energy Efficiency Measures-DBT'!$D$11:$AN$11,'Energy Efficiency Measures-DBT'!$D$43:$AN$43))</f>
        <v>0.49230769230769234</v>
      </c>
      <c r="R19" s="393">
        <f>1/((1/F19)+LOOKUP($A19,'Energy Efficiency Measures-DBT'!$D$11:$AN$11,'Energy Efficiency Measures-DBT'!$D$43:$AN$43))</f>
        <v>0.51681415929203534</v>
      </c>
      <c r="S19" s="393">
        <f>1/((1/G19)+LOOKUP($A19,'Energy Efficiency Measures-DBT'!$D$11:$AN$11,'Energy Efficiency Measures-DBT'!$D$43:$AN$43))</f>
        <v>0.49230769230769234</v>
      </c>
      <c r="T19" s="393">
        <f>1/((1/H19)+LOOKUP($A19,'Energy Efficiency Measures-DBT'!$D$11:$AN$11,'Energy Efficiency Measures-DBT'!$D$43:$AN$43))</f>
        <v>0.49230769230769234</v>
      </c>
      <c r="U19" s="393">
        <f>1/((1/I19)+LOOKUP($A19,'Energy Efficiency Measures-DBT'!$D$11:$AN$11,'Energy Efficiency Measures-DBT'!$D$43:$AN$43))</f>
        <v>0.40736196319018408</v>
      </c>
      <c r="V19" s="306">
        <f>1/((1/J19)+LOOKUP($A19,'Energy Efficiency Measures-DBT'!$D$11:$AN$11,'Energy Efficiency Measures-DBT'!$D$43:$AN$43))</f>
        <v>0.23859649122807017</v>
      </c>
      <c r="W19" s="219">
        <f>1/((1/$K19)+LOOKUP($A19,'Energy Efficiency Measures-DBT'!$D$11:$AN$11,'Energy Efficiency Measures-DBT'!$D$43:$AN$43))</f>
        <v>0.47594043798776814</v>
      </c>
      <c r="X19" s="392">
        <f>1/((1/E19)+LOOKUP($A19,'Energy Efficiency Measures-DBT'!$D$11:$AN$11,'Energy Efficiency Measures-DBT'!$D$42:$AN$42))</f>
        <v>0.30476190476190479</v>
      </c>
      <c r="Y19" s="393">
        <f>1/((1/F19)+LOOKUP($A19,'Energy Efficiency Measures-DBT'!$D$11:$AN$11,'Energy Efficiency Measures-DBT'!$D$42:$AN$42))</f>
        <v>0.3139784946236559</v>
      </c>
      <c r="Z19" s="393">
        <f>1/((1/G19)+LOOKUP($A19,'Energy Efficiency Measures-DBT'!$D$11:$AN$11,'Energy Efficiency Measures-DBT'!$D$42:$AN$42))</f>
        <v>0.30476190476190479</v>
      </c>
      <c r="AA19" s="393">
        <f>1/((1/H19)+LOOKUP($A19,'Energy Efficiency Measures-DBT'!$D$11:$AN$11,'Energy Efficiency Measures-DBT'!$D$42:$AN$42))</f>
        <v>0.30476190476190479</v>
      </c>
      <c r="AB19" s="393">
        <f>1/((1/I19)+LOOKUP($A19,'Energy Efficiency Measures-DBT'!$D$11:$AN$11,'Energy Efficiency Measures-DBT'!$D$42:$AN$42))</f>
        <v>0.26991869918699191</v>
      </c>
      <c r="AC19" s="306">
        <f>1/((1/J19)+LOOKUP($A19,'Energy Efficiency Measures-DBT'!$D$11:$AN$11,'Energy Efficiency Measures-DBT'!$D$42:$AN$42))</f>
        <v>0.18378378378378377</v>
      </c>
      <c r="AD19" s="54">
        <f>1/((1/$K19)+LOOKUP($A19,'Energy Efficiency Measures-DBT'!$D$11:$AN$11,'Energy Efficiency Measures-DBT'!$D$42:$AN$42))</f>
        <v>0.29840918827737994</v>
      </c>
      <c r="AG19" s="48" t="s">
        <v>55</v>
      </c>
      <c r="AH19" s="47"/>
      <c r="AI19" s="262">
        <v>5</v>
      </c>
      <c r="AJ19" s="263">
        <v>5</v>
      </c>
      <c r="AK19" s="262">
        <v>5</v>
      </c>
      <c r="AL19" s="264">
        <v>5</v>
      </c>
      <c r="AM19" s="179" t="str">
        <f>IF(AND(E19&gt;Q19,AJ19&gt;Q19),'Energy Efficiency Measures-DBT'!$B$46,"")&amp;", "&amp;IF(AND(E19&gt;X19,AJ19&gt;X19),'Energy Efficiency Measures-DBT'!$B$45,"")</f>
        <v>MW3, MW2</v>
      </c>
      <c r="AN19" s="164" t="str">
        <f>IF(AND(F19&gt;R19,AJ19&gt;R19),'Energy Efficiency Measures-DBT'!$B$46,"")&amp;", "&amp;IF(AND(F19&gt;Y19,AJ19&gt;Y19),'Energy Efficiency Measures-DBT'!$B$45,"")</f>
        <v>MW3, MW2</v>
      </c>
      <c r="AO19" s="164" t="str">
        <f>IF(AND(G19&gt;S19,AJ19&gt;S19),'Energy Efficiency Measures-DBT'!$B$46,"")&amp;", "&amp;IF(AND(G19&gt;Z19,AJ19&gt;Z19),'Energy Efficiency Measures-DBT'!$B$45,"")</f>
        <v>MW3, MW2</v>
      </c>
      <c r="AP19" s="164" t="str">
        <f>IF(AND(H19&gt;T19,AJ19&gt;T19),'Energy Efficiency Measures-DBT'!$B$46,"")&amp;", "&amp;IF(AND(H19&gt;AA19,AJ19&gt;AA19),'Energy Efficiency Measures-DBT'!$B$45,"")</f>
        <v>MW3, MW2</v>
      </c>
      <c r="AQ19" s="164" t="str">
        <f>IF(AND(I19&gt;U19,AJ19&gt;U19),'Energy Efficiency Measures-DBT'!$B$46,"")&amp;", "&amp;IF(AND(I19&gt;AB19,AJ19&gt;AB19),'Energy Efficiency Measures-DBT'!$B$45,"")</f>
        <v>MW3, MW2</v>
      </c>
      <c r="AR19" s="273" t="str">
        <f>IF(AND(J19&gt;V19,AJ19&gt;V19),'Energy Efficiency Measures-DBT'!$B$46,"")&amp;", "&amp;IF(AND(J19&gt;AC19,AJ19&gt;AC19),'Energy Efficiency Measures-DBT'!$B$45,"")</f>
        <v>MW3, MW2</v>
      </c>
    </row>
    <row r="20" spans="1:45">
      <c r="A20" s="48" t="s">
        <v>100</v>
      </c>
      <c r="B20" s="48" t="s">
        <v>30</v>
      </c>
      <c r="C20" s="47" t="s">
        <v>14</v>
      </c>
      <c r="D20" s="47" t="s">
        <v>10</v>
      </c>
      <c r="E20" s="497">
        <v>1.6</v>
      </c>
      <c r="F20" s="498">
        <v>1.6</v>
      </c>
      <c r="G20" s="498">
        <v>1.3</v>
      </c>
      <c r="H20" s="498">
        <v>0.8</v>
      </c>
      <c r="I20" s="498">
        <v>0.8</v>
      </c>
      <c r="J20" s="499">
        <v>0.45</v>
      </c>
      <c r="K20" s="45">
        <f>SUMPRODUCT('Dwelling stock'!E20:J20,E20:J20)/SUM('Dwelling stock'!E20:J20)</f>
        <v>1.1996804738952334</v>
      </c>
      <c r="M20" s="54">
        <v>1.210663</v>
      </c>
      <c r="P20" s="48" t="s">
        <v>30</v>
      </c>
      <c r="Q20" s="392">
        <f>1/((1/E20)+LOOKUP($A20,'Energy Efficiency Measures-DBT'!$D$11:$AN$11,'Energy Efficiency Measures-DBT'!$D$43:$AN$43))</f>
        <v>0.53333333333333333</v>
      </c>
      <c r="R20" s="393">
        <f>1/((1/F20)+LOOKUP($A20,'Energy Efficiency Measures-DBT'!$D$11:$AN$11,'Energy Efficiency Measures-DBT'!$D$43:$AN$43))</f>
        <v>0.53333333333333333</v>
      </c>
      <c r="S20" s="393">
        <f>1/((1/G20)+LOOKUP($A20,'Energy Efficiency Measures-DBT'!$D$11:$AN$11,'Energy Efficiency Measures-DBT'!$D$43:$AN$43))</f>
        <v>0.49523809523809526</v>
      </c>
      <c r="T20" s="393">
        <f>1/((1/H20)+LOOKUP($A20,'Energy Efficiency Measures-DBT'!$D$11:$AN$11,'Energy Efficiency Measures-DBT'!$D$43:$AN$43))</f>
        <v>0.4</v>
      </c>
      <c r="U20" s="393">
        <f>1/((1/I20)+LOOKUP($A20,'Energy Efficiency Measures-DBT'!$D$11:$AN$11,'Energy Efficiency Measures-DBT'!$D$43:$AN$43))</f>
        <v>0.4</v>
      </c>
      <c r="V20" s="306">
        <f>1/((1/J20)+LOOKUP($A20,'Energy Efficiency Measures-DBT'!$D$11:$AN$11,'Energy Efficiency Measures-DBT'!$D$43:$AN$43))</f>
        <v>0.28799999999999998</v>
      </c>
      <c r="W20" s="219">
        <f>1/((1/$K20)+LOOKUP($A20,'Energy Efficiency Measures-DBT'!$D$11:$AN$11,'Energy Efficiency Measures-DBT'!$D$43:$AN$43))</f>
        <v>0.47994886765417771</v>
      </c>
      <c r="X20" s="392">
        <f>1/((1/E20)+LOOKUP($A20,'Energy Efficiency Measures-DBT'!$D$11:$AN$11,'Energy Efficiency Measures-DBT'!$D$42:$AN$42))</f>
        <v>0.32</v>
      </c>
      <c r="Y20" s="393">
        <f>1/((1/F20)+LOOKUP($A20,'Energy Efficiency Measures-DBT'!$D$11:$AN$11,'Energy Efficiency Measures-DBT'!$D$42:$AN$42))</f>
        <v>0.32</v>
      </c>
      <c r="Z20" s="393">
        <f>1/((1/G20)+LOOKUP($A20,'Energy Efficiency Measures-DBT'!$D$11:$AN$11,'Energy Efficiency Measures-DBT'!$D$42:$AN$42))</f>
        <v>0.30588235294117649</v>
      </c>
      <c r="AA20" s="393">
        <f>1/((1/H20)+LOOKUP($A20,'Energy Efficiency Measures-DBT'!$D$11:$AN$11,'Energy Efficiency Measures-DBT'!$D$42:$AN$42))</f>
        <v>0.26666666666666666</v>
      </c>
      <c r="AB20" s="393">
        <f>1/((1/I20)+LOOKUP($A20,'Energy Efficiency Measures-DBT'!$D$11:$AN$11,'Energy Efficiency Measures-DBT'!$D$42:$AN$42))</f>
        <v>0.26666666666666666</v>
      </c>
      <c r="AC20" s="306">
        <f>1/((1/J20)+LOOKUP($A20,'Energy Efficiency Measures-DBT'!$D$11:$AN$11,'Energy Efficiency Measures-DBT'!$D$42:$AN$42))</f>
        <v>0.21176470588235294</v>
      </c>
      <c r="AD20" s="54">
        <f>1/((1/$K20)+LOOKUP($A20,'Energy Efficiency Measures-DBT'!$D$11:$AN$11,'Energy Efficiency Measures-DBT'!$D$42:$AN$42))</f>
        <v>0.29998002562949411</v>
      </c>
      <c r="AG20" s="48" t="s">
        <v>30</v>
      </c>
      <c r="AH20" s="47"/>
      <c r="AI20" s="262">
        <v>5</v>
      </c>
      <c r="AJ20" s="263">
        <v>5</v>
      </c>
      <c r="AK20" s="262">
        <v>5</v>
      </c>
      <c r="AL20" s="264">
        <v>5</v>
      </c>
      <c r="AM20" s="179" t="str">
        <f>IF(AND(E20&gt;Q20,AJ20&gt;Q20),'Energy Efficiency Measures-DBT'!$B$46,"")&amp;", "&amp;IF(AND(E20&gt;X20,AJ20&gt;X20),'Energy Efficiency Measures-DBT'!$B$45,"")</f>
        <v>MW3, MW2</v>
      </c>
      <c r="AN20" s="164" t="str">
        <f>IF(AND(F20&gt;R20,AJ20&gt;R20),'Energy Efficiency Measures-DBT'!$B$46,"")&amp;", "&amp;IF(AND(F20&gt;Y20,AJ20&gt;Y20),'Energy Efficiency Measures-DBT'!$B$45,"")</f>
        <v>MW3, MW2</v>
      </c>
      <c r="AO20" s="164" t="str">
        <f>IF(AND(G20&gt;S20,AJ20&gt;S20),'Energy Efficiency Measures-DBT'!$B$46,"")&amp;", "&amp;IF(AND(G20&gt;Z20,AJ20&gt;Z20),'Energy Efficiency Measures-DBT'!$B$45,"")</f>
        <v>MW3, MW2</v>
      </c>
      <c r="AP20" s="164" t="str">
        <f>IF(AND(H20&gt;T20,AJ20&gt;T20),'Energy Efficiency Measures-DBT'!$B$46,"")&amp;", "&amp;IF(AND(H20&gt;AA20,AJ20&gt;AA20),'Energy Efficiency Measures-DBT'!$B$45,"")</f>
        <v>MW3, MW2</v>
      </c>
      <c r="AQ20" s="164" t="str">
        <f>IF(AND(I20&gt;U20,AJ20&gt;U20),'Energy Efficiency Measures-DBT'!$B$46,"")&amp;", "&amp;IF(AND(I20&gt;AB20,AJ20&gt;AB20),'Energy Efficiency Measures-DBT'!$B$45,"")</f>
        <v>MW3, MW2</v>
      </c>
      <c r="AR20" s="273" t="str">
        <f>IF(AND(J20&gt;V20,AJ20&gt;V20),'Energy Efficiency Measures-DBT'!$B$46,"")&amp;", "&amp;IF(AND(J20&gt;AC20,AJ20&gt;AC20),'Energy Efficiency Measures-DBT'!$B$45,"")</f>
        <v>MW3, MW2</v>
      </c>
    </row>
    <row r="21" spans="1:45">
      <c r="A21" s="48" t="s">
        <v>101</v>
      </c>
      <c r="B21" s="48" t="s">
        <v>31</v>
      </c>
      <c r="C21" s="47" t="s">
        <v>32</v>
      </c>
      <c r="D21" s="47" t="s">
        <v>10</v>
      </c>
      <c r="E21" s="497">
        <v>1.7</v>
      </c>
      <c r="F21" s="498">
        <v>1.7</v>
      </c>
      <c r="G21" s="498">
        <v>1.7</v>
      </c>
      <c r="H21" s="498">
        <v>1.1000000000000001</v>
      </c>
      <c r="I21" s="498">
        <v>0.77500000000000002</v>
      </c>
      <c r="J21" s="499">
        <v>0.32436300000000001</v>
      </c>
      <c r="K21" s="45">
        <f>SUMPRODUCT('Dwelling stock'!E21:J21,E21:J21)/SUM('Dwelling stock'!E21:J21)</f>
        <v>1.0971326722679826</v>
      </c>
      <c r="M21" s="54">
        <v>1.1155820000000001</v>
      </c>
      <c r="P21" s="48" t="s">
        <v>31</v>
      </c>
      <c r="Q21" s="392">
        <f>1/((1/E21)+LOOKUP($A21,'Energy Efficiency Measures-DBT'!$D$11:$AN$11,'Energy Efficiency Measures-DBT'!$D$43:$AN$43))</f>
        <v>0.54399999999999993</v>
      </c>
      <c r="R21" s="393">
        <f>1/((1/F21)+LOOKUP($A21,'Energy Efficiency Measures-DBT'!$D$11:$AN$11,'Energy Efficiency Measures-DBT'!$D$43:$AN$43))</f>
        <v>0.54399999999999993</v>
      </c>
      <c r="S21" s="393">
        <f>1/((1/G21)+LOOKUP($A21,'Energy Efficiency Measures-DBT'!$D$11:$AN$11,'Energy Efficiency Measures-DBT'!$D$43:$AN$43))</f>
        <v>0.54399999999999993</v>
      </c>
      <c r="T21" s="393">
        <f>1/((1/H21)+LOOKUP($A21,'Energy Efficiency Measures-DBT'!$D$11:$AN$11,'Energy Efficiency Measures-DBT'!$D$43:$AN$43))</f>
        <v>0.4631578947368421</v>
      </c>
      <c r="U21" s="393">
        <f>1/((1/I21)+LOOKUP($A21,'Energy Efficiency Measures-DBT'!$D$11:$AN$11,'Energy Efficiency Measures-DBT'!$D$43:$AN$43))</f>
        <v>0.3936507936507937</v>
      </c>
      <c r="V21" s="306">
        <f>1/((1/J21)+LOOKUP($A21,'Energy Efficiency Measures-DBT'!$D$11:$AN$11,'Energy Efficiency Measures-DBT'!$D$43:$AN$43))</f>
        <v>0.23078881108681093</v>
      </c>
      <c r="W21" s="219">
        <f>1/((1/$K21)+LOOKUP($A21,'Energy Efficiency Measures-DBT'!$D$11:$AN$11,'Energy Efficiency Measures-DBT'!$D$43:$AN$43))</f>
        <v>0.46264879132839276</v>
      </c>
      <c r="X21" s="392">
        <f>1/((1/E21)+LOOKUP($A21,'Energy Efficiency Measures-DBT'!$D$11:$AN$11,'Energy Efficiency Measures-DBT'!$D$42:$AN$42))</f>
        <v>0.32380952380952377</v>
      </c>
      <c r="Y21" s="393">
        <f>1/((1/F21)+LOOKUP($A21,'Energy Efficiency Measures-DBT'!$D$11:$AN$11,'Energy Efficiency Measures-DBT'!$D$42:$AN$42))</f>
        <v>0.32380952380952377</v>
      </c>
      <c r="Z21" s="393">
        <f>1/((1/G21)+LOOKUP($A21,'Energy Efficiency Measures-DBT'!$D$11:$AN$11,'Energy Efficiency Measures-DBT'!$D$42:$AN$42))</f>
        <v>0.32380952380952377</v>
      </c>
      <c r="AA21" s="393">
        <f>1/((1/H21)+LOOKUP($A21,'Energy Efficiency Measures-DBT'!$D$11:$AN$11,'Energy Efficiency Measures-DBT'!$D$42:$AN$42))</f>
        <v>0.29333333333333333</v>
      </c>
      <c r="AB21" s="393">
        <f>1/((1/I21)+LOOKUP($A21,'Energy Efficiency Measures-DBT'!$D$11:$AN$11,'Energy Efficiency Measures-DBT'!$D$42:$AN$42))</f>
        <v>0.26382978723404255</v>
      </c>
      <c r="AC21" s="306">
        <f>1/((1/J21)+LOOKUP($A21,'Energy Efficiency Measures-DBT'!$D$11:$AN$11,'Energy Efficiency Measures-DBT'!$D$42:$AN$42))</f>
        <v>0.17911627181399381</v>
      </c>
      <c r="AD21" s="54">
        <f>1/((1/$K21)+LOOKUP($A21,'Energy Efficiency Measures-DBT'!$D$11:$AN$11,'Energy Efficiency Measures-DBT'!$D$42:$AN$42))</f>
        <v>0.29312904396267131</v>
      </c>
      <c r="AG21" s="48" t="s">
        <v>31</v>
      </c>
      <c r="AH21" s="47"/>
      <c r="AI21" s="262">
        <v>5</v>
      </c>
      <c r="AJ21" s="263">
        <v>5</v>
      </c>
      <c r="AK21" s="262">
        <v>5</v>
      </c>
      <c r="AL21" s="264">
        <v>5</v>
      </c>
      <c r="AM21" s="179" t="str">
        <f>IF(AND(E21&gt;Q21,AJ21&gt;Q21),'Energy Efficiency Measures-DBT'!$B$46,"")&amp;", "&amp;IF(AND(E21&gt;X21,AJ21&gt;X21),'Energy Efficiency Measures-DBT'!$B$45,"")</f>
        <v>MW3, MW2</v>
      </c>
      <c r="AN21" s="164" t="str">
        <f>IF(AND(F21&gt;R21,AJ21&gt;R21),'Energy Efficiency Measures-DBT'!$B$46,"")&amp;", "&amp;IF(AND(F21&gt;Y21,AJ21&gt;Y21),'Energy Efficiency Measures-DBT'!$B$45,"")</f>
        <v>MW3, MW2</v>
      </c>
      <c r="AO21" s="164" t="str">
        <f>IF(AND(G21&gt;S21,AJ21&gt;S21),'Energy Efficiency Measures-DBT'!$B$46,"")&amp;", "&amp;IF(AND(G21&gt;Z21,AJ21&gt;Z21),'Energy Efficiency Measures-DBT'!$B$45,"")</f>
        <v>MW3, MW2</v>
      </c>
      <c r="AP21" s="164" t="str">
        <f>IF(AND(H21&gt;T21,AJ21&gt;T21),'Energy Efficiency Measures-DBT'!$B$46,"")&amp;", "&amp;IF(AND(H21&gt;AA21,AJ21&gt;AA21),'Energy Efficiency Measures-DBT'!$B$45,"")</f>
        <v>MW3, MW2</v>
      </c>
      <c r="AQ21" s="164" t="str">
        <f>IF(AND(I21&gt;U21,AJ21&gt;U21),'Energy Efficiency Measures-DBT'!$B$46,"")&amp;", "&amp;IF(AND(I21&gt;AB21,AJ21&gt;AB21),'Energy Efficiency Measures-DBT'!$B$45,"")</f>
        <v>MW3, MW2</v>
      </c>
      <c r="AR21" s="273" t="str">
        <f>IF(AND(J21&gt;V21,AJ21&gt;V21),'Energy Efficiency Measures-DBT'!$B$46,"")&amp;", "&amp;IF(AND(J21&gt;AC21,AJ21&gt;AC21),'Energy Efficiency Measures-DBT'!$B$45,"")</f>
        <v>MW3, MW2</v>
      </c>
    </row>
    <row r="22" spans="1:45">
      <c r="A22" s="28" t="s">
        <v>102</v>
      </c>
      <c r="B22" s="28" t="s">
        <v>63</v>
      </c>
      <c r="C22" s="426"/>
      <c r="D22" s="426" t="s">
        <v>10</v>
      </c>
      <c r="E22" s="497">
        <v>0.6</v>
      </c>
      <c r="F22" s="498">
        <v>0.56000000000000005</v>
      </c>
      <c r="G22" s="498">
        <v>0.40500000000000003</v>
      </c>
      <c r="H22" s="498">
        <v>0.28499999999999998</v>
      </c>
      <c r="I22" s="498">
        <v>0.28000000000000003</v>
      </c>
      <c r="J22" s="499">
        <v>0.26</v>
      </c>
      <c r="K22" s="499">
        <f>SUMPRODUCT('Dwelling stock'!E22:J22,E22:J22)/SUM('Dwelling stock'!E22:J22)</f>
        <v>0.42138351950580244</v>
      </c>
      <c r="M22" s="28"/>
      <c r="P22" s="28" t="s">
        <v>63</v>
      </c>
      <c r="Q22" s="392">
        <f>1/((1/E22)+LOOKUP($A22,'Energy Efficiency Measures-DBT'!$D$11:$AN$11,'Energy Efficiency Measures-DBT'!$D$43:$AN$43))</f>
        <v>0.3428571428571428</v>
      </c>
      <c r="R22" s="393">
        <f>1/((1/F22)+LOOKUP($A22,'Energy Efficiency Measures-DBT'!$D$11:$AN$11,'Energy Efficiency Measures-DBT'!$D$43:$AN$43))</f>
        <v>0.32941176470588235</v>
      </c>
      <c r="S22" s="393">
        <f>1/((1/G22)+LOOKUP($A22,'Energy Efficiency Measures-DBT'!$D$11:$AN$11,'Energy Efficiency Measures-DBT'!$D$43:$AN$43))</f>
        <v>0.26887966804979252</v>
      </c>
      <c r="T22" s="393">
        <f>1/((1/H22)+LOOKUP($A22,'Energy Efficiency Measures-DBT'!$D$11:$AN$11,'Energy Efficiency Measures-DBT'!$D$43:$AN$43))</f>
        <v>0.21013824884792626</v>
      </c>
      <c r="U22" s="393">
        <f>1/((1/I22)+LOOKUP($A22,'Energy Efficiency Measures-DBT'!$D$11:$AN$11,'Energy Efficiency Measures-DBT'!$D$43:$AN$43))</f>
        <v>0.20740740740740743</v>
      </c>
      <c r="V22" s="306">
        <f>1/((1/J22)+LOOKUP($A22,'Energy Efficiency Measures-DBT'!$D$11:$AN$11,'Energy Efficiency Measures-DBT'!$D$43:$AN$43))</f>
        <v>0.19622641509433963</v>
      </c>
      <c r="W22" s="219">
        <f>1/((1/$K22)+LOOKUP($A22,'Energy Efficiency Measures-DBT'!$D$11:$AN$11,'Energy Efficiency Measures-DBT'!$D$43:$AN$43))</f>
        <v>0.2760040644244508</v>
      </c>
      <c r="X22" s="392">
        <f>1/((1/E22)+LOOKUP($A22,'Energy Efficiency Measures-DBT'!$D$11:$AN$11,'Energy Efficiency Measures-DBT'!$D$42:$AN$42))</f>
        <v>0.24</v>
      </c>
      <c r="Y22" s="393">
        <f>1/((1/F22)+LOOKUP($A22,'Energy Efficiency Measures-DBT'!$D$11:$AN$11,'Energy Efficiency Measures-DBT'!$D$42:$AN$42))</f>
        <v>0.23333333333333334</v>
      </c>
      <c r="Z22" s="393">
        <f>1/((1/G22)+LOOKUP($A22,'Energy Efficiency Measures-DBT'!$D$11:$AN$11,'Energy Efficiency Measures-DBT'!$D$42:$AN$42))</f>
        <v>0.2012422360248447</v>
      </c>
      <c r="AA22" s="393">
        <f>1/((1/H22)+LOOKUP($A22,'Energy Efficiency Measures-DBT'!$D$11:$AN$11,'Energy Efficiency Measures-DBT'!$D$42:$AN$42))</f>
        <v>0.16642335766423358</v>
      </c>
      <c r="AB22" s="393">
        <f>1/((1/I22)+LOOKUP($A22,'Energy Efficiency Measures-DBT'!$D$11:$AN$11,'Energy Efficiency Measures-DBT'!$D$42:$AN$42))</f>
        <v>0.16470588235294117</v>
      </c>
      <c r="AC22" s="306">
        <f>1/((1/J22)+LOOKUP($A22,'Energy Efficiency Measures-DBT'!$D$11:$AN$11,'Energy Efficiency Measures-DBT'!$D$42:$AN$42))</f>
        <v>0.15757575757575759</v>
      </c>
      <c r="AD22" s="54">
        <f>1/((1/$K22)+LOOKUP($A22,'Energy Efficiency Measures-DBT'!$D$11:$AN$11,'Energy Efficiency Measures-DBT'!$D$42:$AN$42))</f>
        <v>0.2052067077066918</v>
      </c>
      <c r="AG22" s="28" t="s">
        <v>63</v>
      </c>
      <c r="AH22" s="426"/>
      <c r="AI22" s="262">
        <v>5</v>
      </c>
      <c r="AJ22" s="263">
        <v>5</v>
      </c>
      <c r="AK22" s="262">
        <v>5</v>
      </c>
      <c r="AL22" s="264">
        <v>5</v>
      </c>
      <c r="AM22" s="179" t="str">
        <f>IF(AND(E22&gt;Q22,AJ22&gt;Q22),'Energy Efficiency Measures-DBT'!$B$46,"")&amp;", "&amp;IF(AND(E22&gt;X22,AJ22&gt;X22),'Energy Efficiency Measures-DBT'!$B$45,"")</f>
        <v>MW3, MW2</v>
      </c>
      <c r="AN22" s="164" t="str">
        <f>IF(AND(F22&gt;R22,AJ22&gt;R22),'Energy Efficiency Measures-DBT'!$B$46,"")&amp;", "&amp;IF(AND(F22&gt;Y22,AJ22&gt;Y22),'Energy Efficiency Measures-DBT'!$B$45,"")</f>
        <v>MW3, MW2</v>
      </c>
      <c r="AO22" s="164" t="str">
        <f>IF(AND(G22&gt;S22,AJ22&gt;S22),'Energy Efficiency Measures-DBT'!$B$46,"")&amp;", "&amp;IF(AND(G22&gt;Z22,AJ22&gt;Z22),'Energy Efficiency Measures-DBT'!$B$45,"")</f>
        <v>MW3, MW2</v>
      </c>
      <c r="AP22" s="164" t="str">
        <f>IF(AND(H22&gt;T22,AJ22&gt;T22),'Energy Efficiency Measures-DBT'!$B$46,"")&amp;", "&amp;IF(AND(H22&gt;AA22,AJ22&gt;AA22),'Energy Efficiency Measures-DBT'!$B$45,"")</f>
        <v>MW3, MW2</v>
      </c>
      <c r="AQ22" s="164" t="str">
        <f>IF(AND(I22&gt;U22,AJ22&gt;U22),'Energy Efficiency Measures-DBT'!$B$46,"")&amp;", "&amp;IF(AND(I22&gt;AB22,AJ22&gt;AB22),'Energy Efficiency Measures-DBT'!$B$45,"")</f>
        <v>MW3, MW2</v>
      </c>
      <c r="AR22" s="273" t="str">
        <f>IF(AND(J22&gt;V22,AJ22&gt;V22),'Energy Efficiency Measures-DBT'!$B$46,"")&amp;", "&amp;IF(AND(J22&gt;AC22,AJ22&gt;AC22),'Energy Efficiency Measures-DBT'!$B$45,"")</f>
        <v>MW3, MW2</v>
      </c>
    </row>
    <row r="23" spans="1:45">
      <c r="A23" s="48" t="s">
        <v>103</v>
      </c>
      <c r="B23" s="48" t="s">
        <v>33</v>
      </c>
      <c r="C23" s="47" t="s">
        <v>34</v>
      </c>
      <c r="D23" s="47" t="s">
        <v>10</v>
      </c>
      <c r="E23" s="497">
        <v>1.8</v>
      </c>
      <c r="F23" s="498">
        <v>1.6</v>
      </c>
      <c r="G23" s="498">
        <v>1.6</v>
      </c>
      <c r="H23" s="498">
        <v>1</v>
      </c>
      <c r="I23" s="498">
        <v>0.85</v>
      </c>
      <c r="J23" s="499">
        <v>0.85</v>
      </c>
      <c r="K23" s="45">
        <f>SUMPRODUCT('Dwelling stock'!E23:J23,E23:J23)/SUM('Dwelling stock'!E23:J23)</f>
        <v>1.4965643557007124</v>
      </c>
      <c r="M23" s="54">
        <v>1.521914</v>
      </c>
      <c r="P23" s="48" t="s">
        <v>33</v>
      </c>
      <c r="Q23" s="392">
        <f>1/((1/E23)+LOOKUP($A23,'Energy Efficiency Measures-DBT'!$D$11:$AN$11,'Energy Efficiency Measures-DBT'!$D$43:$AN$43))</f>
        <v>0.55384615384615388</v>
      </c>
      <c r="R23" s="393">
        <f>1/((1/F23)+LOOKUP($A23,'Energy Efficiency Measures-DBT'!$D$11:$AN$11,'Energy Efficiency Measures-DBT'!$D$43:$AN$43))</f>
        <v>0.53333333333333333</v>
      </c>
      <c r="S23" s="393">
        <f>1/((1/G23)+LOOKUP($A23,'Energy Efficiency Measures-DBT'!$D$11:$AN$11,'Energy Efficiency Measures-DBT'!$D$43:$AN$43))</f>
        <v>0.53333333333333333</v>
      </c>
      <c r="T23" s="393">
        <f>1/((1/H23)+LOOKUP($A23,'Energy Efficiency Measures-DBT'!$D$11:$AN$11,'Energy Efficiency Measures-DBT'!$D$43:$AN$43))</f>
        <v>0.44444444444444442</v>
      </c>
      <c r="U23" s="393">
        <f>1/((1/I23)+LOOKUP($A23,'Energy Efficiency Measures-DBT'!$D$11:$AN$11,'Energy Efficiency Measures-DBT'!$D$43:$AN$43))</f>
        <v>0.41212121212121205</v>
      </c>
      <c r="V23" s="306">
        <f>1/((1/J23)+LOOKUP($A23,'Energy Efficiency Measures-DBT'!$D$11:$AN$11,'Energy Efficiency Measures-DBT'!$D$43:$AN$43))</f>
        <v>0.41212121212121205</v>
      </c>
      <c r="W23" s="219">
        <f>1/((1/$K23)+LOOKUP($A23,'Energy Efficiency Measures-DBT'!$D$11:$AN$11,'Energy Efficiency Measures-DBT'!$D$43:$AN$43))</f>
        <v>0.52132285410973056</v>
      </c>
      <c r="X23" s="392">
        <f>1/((1/E23)+LOOKUP($A23,'Energy Efficiency Measures-DBT'!$D$11:$AN$11,'Energy Efficiency Measures-DBT'!$D$42:$AN$42))</f>
        <v>0.32727272727272727</v>
      </c>
      <c r="Y23" s="393">
        <f>1/((1/F23)+LOOKUP($A23,'Energy Efficiency Measures-DBT'!$D$11:$AN$11,'Energy Efficiency Measures-DBT'!$D$42:$AN$42))</f>
        <v>0.32</v>
      </c>
      <c r="Z23" s="393">
        <f>1/((1/G23)+LOOKUP($A23,'Energy Efficiency Measures-DBT'!$D$11:$AN$11,'Energy Efficiency Measures-DBT'!$D$42:$AN$42))</f>
        <v>0.32</v>
      </c>
      <c r="AA23" s="393">
        <f>1/((1/H23)+LOOKUP($A23,'Energy Efficiency Measures-DBT'!$D$11:$AN$11,'Energy Efficiency Measures-DBT'!$D$42:$AN$42))</f>
        <v>0.2857142857142857</v>
      </c>
      <c r="AB23" s="393">
        <f>1/((1/I23)+LOOKUP($A23,'Energy Efficiency Measures-DBT'!$D$11:$AN$11,'Energy Efficiency Measures-DBT'!$D$42:$AN$42))</f>
        <v>0.27199999999999996</v>
      </c>
      <c r="AC23" s="306">
        <f>1/((1/J23)+LOOKUP($A23,'Energy Efficiency Measures-DBT'!$D$11:$AN$11,'Energy Efficiency Measures-DBT'!$D$42:$AN$42))</f>
        <v>0.27199999999999996</v>
      </c>
      <c r="AD23" s="54">
        <f>1/((1/$K23)+LOOKUP($A23,'Energy Efficiency Measures-DBT'!$D$11:$AN$11,'Energy Efficiency Measures-DBT'!$D$42:$AN$42))</f>
        <v>0.31563692551793965</v>
      </c>
      <c r="AG23" s="48" t="s">
        <v>33</v>
      </c>
      <c r="AH23" s="47" t="s">
        <v>283</v>
      </c>
      <c r="AI23" s="179">
        <v>0.6</v>
      </c>
      <c r="AJ23" s="429">
        <f>AI23</f>
        <v>0.6</v>
      </c>
      <c r="AK23" s="428">
        <f>AI23</f>
        <v>0.6</v>
      </c>
      <c r="AL23" s="430">
        <f>AK23</f>
        <v>0.6</v>
      </c>
      <c r="AM23" s="179" t="str">
        <f>IF(AND(E23&gt;Q23,AJ23&gt;Q23),'Energy Efficiency Measures-DBT'!$B$46,"")&amp;", "&amp;IF(AND(E23&gt;X23,AJ23&gt;X23),'Energy Efficiency Measures-DBT'!$B$45,"")</f>
        <v>MW3, MW2</v>
      </c>
      <c r="AN23" s="164" t="str">
        <f>IF(AND(F23&gt;R23,AJ23&gt;R23),'Energy Efficiency Measures-DBT'!$B$46,"")&amp;", "&amp;IF(AND(F23&gt;Y23,AJ23&gt;Y23),'Energy Efficiency Measures-DBT'!$B$45,"")</f>
        <v>MW3, MW2</v>
      </c>
      <c r="AO23" s="164" t="str">
        <f>IF(AND(G23&gt;S23,AJ23&gt;S23),'Energy Efficiency Measures-DBT'!$B$46,"")&amp;", "&amp;IF(AND(G23&gt;Z23,AJ23&gt;Z23),'Energy Efficiency Measures-DBT'!$B$45,"")</f>
        <v>MW3, MW2</v>
      </c>
      <c r="AP23" s="164" t="str">
        <f>IF(AND(H23&gt;T23,AJ23&gt;T23),'Energy Efficiency Measures-DBT'!$B$46,"")&amp;", "&amp;IF(AND(H23&gt;AA23,AJ23&gt;AA23),'Energy Efficiency Measures-DBT'!$B$45,"")</f>
        <v>MW3, MW2</v>
      </c>
      <c r="AQ23" s="164" t="str">
        <f>IF(AND(I23&gt;U23,AJ23&gt;U23),'Energy Efficiency Measures-DBT'!$B$46,"")&amp;", "&amp;IF(AND(I23&gt;AB23,AJ23&gt;AB23),'Energy Efficiency Measures-DBT'!$B$45,"")</f>
        <v>MW3, MW2</v>
      </c>
      <c r="AR23" s="273" t="str">
        <f>IF(AND(J23&gt;V23,AJ23&gt;V23),'Energy Efficiency Measures-DBT'!$B$46,"")&amp;", "&amp;IF(AND(J23&gt;AC23,AJ23&gt;AC23),'Energy Efficiency Measures-DBT'!$B$45,"")</f>
        <v>MW3, MW2</v>
      </c>
    </row>
    <row r="24" spans="1:45">
      <c r="A24" s="48" t="s">
        <v>122</v>
      </c>
      <c r="B24" s="48" t="s">
        <v>201</v>
      </c>
      <c r="C24" s="47"/>
      <c r="D24" s="47" t="s">
        <v>10</v>
      </c>
      <c r="E24" s="497">
        <v>1.45</v>
      </c>
      <c r="F24" s="498">
        <v>1.45</v>
      </c>
      <c r="G24" s="498">
        <v>1.45</v>
      </c>
      <c r="H24" s="498">
        <v>1.2</v>
      </c>
      <c r="I24" s="498">
        <v>1.1000000000000001</v>
      </c>
      <c r="J24" s="499">
        <v>0.9</v>
      </c>
      <c r="K24" s="45">
        <f>SUMPRODUCT('Dwelling stock'!E24:J24,E24:J24)/SUM('Dwelling stock'!E24:J24)</f>
        <v>1.3327162610209249</v>
      </c>
      <c r="M24" s="28"/>
      <c r="P24" s="48" t="s">
        <v>201</v>
      </c>
      <c r="Q24" s="392">
        <f>1/((1/E24)+LOOKUP($A24,'Energy Efficiency Measures-DBT'!$D$11:$AN$11,'Energy Efficiency Measures-DBT'!$D$43:$AN$43))</f>
        <v>0.51555555555555554</v>
      </c>
      <c r="R24" s="393">
        <f>1/((1/F24)+LOOKUP($A24,'Energy Efficiency Measures-DBT'!$D$11:$AN$11,'Energy Efficiency Measures-DBT'!$D$43:$AN$43))</f>
        <v>0.51555555555555554</v>
      </c>
      <c r="S24" s="393">
        <f>1/((1/G24)+LOOKUP($A24,'Energy Efficiency Measures-DBT'!$D$11:$AN$11,'Energy Efficiency Measures-DBT'!$D$43:$AN$43))</f>
        <v>0.51555555555555554</v>
      </c>
      <c r="T24" s="393">
        <f>1/((1/H24)+LOOKUP($A24,'Energy Efficiency Measures-DBT'!$D$11:$AN$11,'Energy Efficiency Measures-DBT'!$D$43:$AN$43))</f>
        <v>0.48</v>
      </c>
      <c r="U24" s="393">
        <f>1/((1/I24)+LOOKUP($A24,'Energy Efficiency Measures-DBT'!$D$11:$AN$11,'Energy Efficiency Measures-DBT'!$D$43:$AN$43))</f>
        <v>0.4631578947368421</v>
      </c>
      <c r="V24" s="306">
        <f>1/((1/J24)+LOOKUP($A24,'Energy Efficiency Measures-DBT'!$D$11:$AN$11,'Energy Efficiency Measures-DBT'!$D$43:$AN$43))</f>
        <v>0.42352941176470588</v>
      </c>
      <c r="W24" s="219">
        <f>1/((1/$K24)+LOOKUP($A24,'Energy Efficiency Measures-DBT'!$D$11:$AN$11,'Energy Efficiency Measures-DBT'!$D$43:$AN$43))</f>
        <v>0.49991319909867715</v>
      </c>
      <c r="X24" s="392">
        <f>1/((1/E24)+LOOKUP($A24,'Energy Efficiency Measures-DBT'!$D$11:$AN$11,'Energy Efficiency Measures-DBT'!$D$42:$AN$42))</f>
        <v>0.31351351351351353</v>
      </c>
      <c r="Y24" s="393">
        <f>1/((1/F24)+LOOKUP($A24,'Energy Efficiency Measures-DBT'!$D$11:$AN$11,'Energy Efficiency Measures-DBT'!$D$42:$AN$42))</f>
        <v>0.31351351351351353</v>
      </c>
      <c r="Z24" s="393">
        <f>1/((1/G24)+LOOKUP($A24,'Energy Efficiency Measures-DBT'!$D$11:$AN$11,'Energy Efficiency Measures-DBT'!$D$42:$AN$42))</f>
        <v>0.31351351351351353</v>
      </c>
      <c r="AA24" s="393">
        <f>1/((1/H24)+LOOKUP($A24,'Energy Efficiency Measures-DBT'!$D$11:$AN$11,'Energy Efficiency Measures-DBT'!$D$42:$AN$42))</f>
        <v>0.3</v>
      </c>
      <c r="AB24" s="393">
        <f>1/((1/I24)+LOOKUP($A24,'Energy Efficiency Measures-DBT'!$D$11:$AN$11,'Energy Efficiency Measures-DBT'!$D$42:$AN$42))</f>
        <v>0.29333333333333333</v>
      </c>
      <c r="AC24" s="306">
        <f>1/((1/J24)+LOOKUP($A24,'Energy Efficiency Measures-DBT'!$D$11:$AN$11,'Energy Efficiency Measures-DBT'!$D$42:$AN$42))</f>
        <v>0.27692307692307694</v>
      </c>
      <c r="AD24" s="54">
        <f>1/((1/$K24)+LOOKUP($A24,'Energy Efficiency Measures-DBT'!$D$11:$AN$11,'Energy Efficiency Measures-DBT'!$D$42:$AN$42))</f>
        <v>0.30765943415009728</v>
      </c>
      <c r="AG24" s="48" t="s">
        <v>201</v>
      </c>
      <c r="AH24" s="47"/>
      <c r="AI24" s="262">
        <v>5</v>
      </c>
      <c r="AJ24" s="263">
        <v>5</v>
      </c>
      <c r="AK24" s="262">
        <v>5</v>
      </c>
      <c r="AL24" s="264">
        <v>5</v>
      </c>
      <c r="AM24" s="179" t="str">
        <f>IF(AND(E24&gt;Q24,AJ24&gt;Q24),'Energy Efficiency Measures-DBT'!$B$46,"")&amp;", "&amp;IF(AND(E24&gt;X24,AJ24&gt;X24),'Energy Efficiency Measures-DBT'!$B$45,"")</f>
        <v>MW3, MW2</v>
      </c>
      <c r="AN24" s="164" t="str">
        <f>IF(AND(F24&gt;R24,AJ24&gt;R24),'Energy Efficiency Measures-DBT'!$B$46,"")&amp;", "&amp;IF(AND(F24&gt;Y24,AJ24&gt;Y24),'Energy Efficiency Measures-DBT'!$B$45,"")</f>
        <v>MW3, MW2</v>
      </c>
      <c r="AO24" s="164" t="str">
        <f>IF(AND(G24&gt;S24,AJ24&gt;S24),'Energy Efficiency Measures-DBT'!$B$46,"")&amp;", "&amp;IF(AND(G24&gt;Z24,AJ24&gt;Z24),'Energy Efficiency Measures-DBT'!$B$45,"")</f>
        <v>MW3, MW2</v>
      </c>
      <c r="AP24" s="164" t="str">
        <f>IF(AND(H24&gt;T24,AJ24&gt;T24),'Energy Efficiency Measures-DBT'!$B$46,"")&amp;", "&amp;IF(AND(H24&gt;AA24,AJ24&gt;AA24),'Energy Efficiency Measures-DBT'!$B$45,"")</f>
        <v>MW3, MW2</v>
      </c>
      <c r="AQ24" s="164" t="str">
        <f>IF(AND(I24&gt;U24,AJ24&gt;U24),'Energy Efficiency Measures-DBT'!$B$46,"")&amp;", "&amp;IF(AND(I24&gt;AB24,AJ24&gt;AB24),'Energy Efficiency Measures-DBT'!$B$45,"")</f>
        <v>MW3, MW2</v>
      </c>
      <c r="AR24" s="273" t="str">
        <f>IF(AND(J24&gt;V24,AJ24&gt;V24),'Energy Efficiency Measures-DBT'!$B$46,"")&amp;", "&amp;IF(AND(J24&gt;AC24,AJ24&gt;AC24),'Energy Efficiency Measures-DBT'!$B$45,"")</f>
        <v>MW3, MW2</v>
      </c>
    </row>
    <row r="25" spans="1:45">
      <c r="A25" s="48" t="s">
        <v>104</v>
      </c>
      <c r="B25" s="48" t="s">
        <v>36</v>
      </c>
      <c r="C25" s="47" t="s">
        <v>37</v>
      </c>
      <c r="D25" s="47" t="s">
        <v>10</v>
      </c>
      <c r="E25" s="497">
        <v>0.99</v>
      </c>
      <c r="F25" s="498">
        <v>0.99</v>
      </c>
      <c r="G25" s="498">
        <v>0.54</v>
      </c>
      <c r="H25" s="498">
        <v>0.54</v>
      </c>
      <c r="I25" s="498">
        <v>0.54</v>
      </c>
      <c r="J25" s="499">
        <v>0.18</v>
      </c>
      <c r="K25" s="45">
        <f>SUMPRODUCT('Dwelling stock'!E25:J25,E25:J25)/SUM('Dwelling stock'!E25:J25)</f>
        <v>0.76178779722917023</v>
      </c>
      <c r="M25" s="54">
        <v>0.92995700000000003</v>
      </c>
      <c r="P25" s="48" t="s">
        <v>36</v>
      </c>
      <c r="Q25" s="392">
        <f>1/((1/E25)+LOOKUP($A25,'Energy Efficiency Measures-DBT'!$D$11:$AN$11,'Energy Efficiency Measures-DBT'!$D$43:$AN$43))</f>
        <v>0.44245810055865914</v>
      </c>
      <c r="R25" s="393">
        <f>1/((1/F25)+LOOKUP($A25,'Energy Efficiency Measures-DBT'!$D$11:$AN$11,'Energy Efficiency Measures-DBT'!$D$43:$AN$43))</f>
        <v>0.44245810055865914</v>
      </c>
      <c r="S25" s="393">
        <f>1/((1/G25)+LOOKUP($A25,'Energy Efficiency Measures-DBT'!$D$11:$AN$11,'Energy Efficiency Measures-DBT'!$D$43:$AN$43))</f>
        <v>0.32238805970149254</v>
      </c>
      <c r="T25" s="393">
        <f>1/((1/H25)+LOOKUP($A25,'Energy Efficiency Measures-DBT'!$D$11:$AN$11,'Energy Efficiency Measures-DBT'!$D$43:$AN$43))</f>
        <v>0.32238805970149254</v>
      </c>
      <c r="U25" s="393">
        <f>1/((1/I25)+LOOKUP($A25,'Energy Efficiency Measures-DBT'!$D$11:$AN$11,'Energy Efficiency Measures-DBT'!$D$43:$AN$43))</f>
        <v>0.32238805970149254</v>
      </c>
      <c r="V25" s="306">
        <f>1/((1/J25)+LOOKUP($A25,'Energy Efficiency Measures-DBT'!$D$11:$AN$11,'Energy Efficiency Measures-DBT'!$D$43:$AN$43))</f>
        <v>0.14693877551020409</v>
      </c>
      <c r="W25" s="219">
        <f>1/((1/$K25)+LOOKUP($A25,'Energy Efficiency Measures-DBT'!$D$11:$AN$11,'Energy Efficiency Measures-DBT'!$D$43:$AN$43))</f>
        <v>0.3902132151784965</v>
      </c>
      <c r="X25" s="392">
        <f>1/((1/E25)+LOOKUP($A25,'Energy Efficiency Measures-DBT'!$D$11:$AN$11,'Energy Efficiency Measures-DBT'!$D$42:$AN$42))</f>
        <v>0.28489208633093521</v>
      </c>
      <c r="Y25" s="393">
        <f>1/((1/F25)+LOOKUP($A25,'Energy Efficiency Measures-DBT'!$D$11:$AN$11,'Energy Efficiency Measures-DBT'!$D$42:$AN$42))</f>
        <v>0.28489208633093521</v>
      </c>
      <c r="Z25" s="393">
        <f>1/((1/G25)+LOOKUP($A25,'Energy Efficiency Measures-DBT'!$D$11:$AN$11,'Energy Efficiency Measures-DBT'!$D$42:$AN$42))</f>
        <v>0.22978723404255322</v>
      </c>
      <c r="AA25" s="393">
        <f>1/((1/H25)+LOOKUP($A25,'Energy Efficiency Measures-DBT'!$D$11:$AN$11,'Energy Efficiency Measures-DBT'!$D$42:$AN$42))</f>
        <v>0.22978723404255322</v>
      </c>
      <c r="AB25" s="393">
        <f>1/((1/I25)+LOOKUP($A25,'Energy Efficiency Measures-DBT'!$D$11:$AN$11,'Energy Efficiency Measures-DBT'!$D$42:$AN$42))</f>
        <v>0.22978723404255322</v>
      </c>
      <c r="AC25" s="306">
        <f>1/((1/J25)+LOOKUP($A25,'Energy Efficiency Measures-DBT'!$D$11:$AN$11,'Energy Efficiency Measures-DBT'!$D$42:$AN$42))</f>
        <v>0.12413793103448276</v>
      </c>
      <c r="AD25" s="54">
        <f>1/((1/$K25)+LOOKUP($A25,'Energy Efficiency Measures-DBT'!$D$11:$AN$11,'Energy Efficiency Measures-DBT'!$D$42:$AN$42))</f>
        <v>0.26228121832438311</v>
      </c>
      <c r="AG25" s="48" t="s">
        <v>36</v>
      </c>
      <c r="AH25" s="47"/>
      <c r="AI25" s="262">
        <v>5</v>
      </c>
      <c r="AJ25" s="263">
        <v>5</v>
      </c>
      <c r="AK25" s="262">
        <v>5</v>
      </c>
      <c r="AL25" s="264">
        <v>5</v>
      </c>
      <c r="AM25" s="179" t="str">
        <f>IF(AND(E25&gt;Q25,AJ25&gt;Q25),'Energy Efficiency Measures-DBT'!$B$46,"")&amp;", "&amp;IF(AND(E25&gt;X25,AJ25&gt;X25),'Energy Efficiency Measures-DBT'!$B$45,"")</f>
        <v>MW3, MW2</v>
      </c>
      <c r="AN25" s="164" t="str">
        <f>IF(AND(F25&gt;R25,AJ25&gt;R25),'Energy Efficiency Measures-DBT'!$B$46,"")&amp;", "&amp;IF(AND(F25&gt;Y25,AJ25&gt;Y25),'Energy Efficiency Measures-DBT'!$B$45,"")</f>
        <v>MW3, MW2</v>
      </c>
      <c r="AO25" s="164" t="str">
        <f>IF(AND(G25&gt;S25,AJ25&gt;S25),'Energy Efficiency Measures-DBT'!$B$46,"")&amp;", "&amp;IF(AND(G25&gt;Z25,AJ25&gt;Z25),'Energy Efficiency Measures-DBT'!$B$45,"")</f>
        <v>MW3, MW2</v>
      </c>
      <c r="AP25" s="164" t="str">
        <f>IF(AND(H25&gt;T25,AJ25&gt;T25),'Energy Efficiency Measures-DBT'!$B$46,"")&amp;", "&amp;IF(AND(H25&gt;AA25,AJ25&gt;AA25),'Energy Efficiency Measures-DBT'!$B$45,"")</f>
        <v>MW3, MW2</v>
      </c>
      <c r="AQ25" s="164" t="str">
        <f>IF(AND(I25&gt;U25,AJ25&gt;U25),'Energy Efficiency Measures-DBT'!$B$46,"")&amp;", "&amp;IF(AND(I25&gt;AB25,AJ25&gt;AB25),'Energy Efficiency Measures-DBT'!$B$45,"")</f>
        <v>MW3, MW2</v>
      </c>
      <c r="AR25" s="273" t="str">
        <f>IF(AND(J25&gt;V25,AJ25&gt;V25),'Energy Efficiency Measures-DBT'!$B$46,"")&amp;", "&amp;IF(AND(J25&gt;AC25,AJ25&gt;AC25),'Energy Efficiency Measures-DBT'!$B$45,"")</f>
        <v>MW3, MW2</v>
      </c>
    </row>
    <row r="26" spans="1:45">
      <c r="A26" s="48" t="s">
        <v>105</v>
      </c>
      <c r="B26" s="48" t="s">
        <v>38</v>
      </c>
      <c r="C26" s="47" t="s">
        <v>14</v>
      </c>
      <c r="D26" s="47" t="s">
        <v>10</v>
      </c>
      <c r="E26" s="497">
        <v>1</v>
      </c>
      <c r="F26" s="498">
        <v>1.5583199999999999</v>
      </c>
      <c r="G26" s="498">
        <v>0.62</v>
      </c>
      <c r="H26" s="498">
        <v>0.56723999999999997</v>
      </c>
      <c r="I26" s="498">
        <v>0.47761700000000001</v>
      </c>
      <c r="J26" s="499">
        <v>0.35</v>
      </c>
      <c r="K26" s="45">
        <f>SUMPRODUCT('Dwelling stock'!E26:J26,E26:J26)/SUM('Dwelling stock'!E26:J26)</f>
        <v>0.92148281642613206</v>
      </c>
      <c r="M26" s="54">
        <v>0.91203800000000002</v>
      </c>
      <c r="P26" s="48" t="s">
        <v>38</v>
      </c>
      <c r="Q26" s="392">
        <f>1/((1/E26)+LOOKUP($A26,'Energy Efficiency Measures-DBT'!$D$11:$AN$11,'Energy Efficiency Measures-DBT'!$D$43:$AN$43))</f>
        <v>0.44444444444444442</v>
      </c>
      <c r="R26" s="393">
        <f>1/((1/F26)+LOOKUP($A26,'Energy Efficiency Measures-DBT'!$D$11:$AN$11,'Energy Efficiency Measures-DBT'!$D$43:$AN$43))</f>
        <v>0.52862037382543503</v>
      </c>
      <c r="S26" s="393">
        <f>1/((1/G26)+LOOKUP($A26,'Energy Efficiency Measures-DBT'!$D$11:$AN$11,'Energy Efficiency Measures-DBT'!$D$43:$AN$43))</f>
        <v>0.3492957746478873</v>
      </c>
      <c r="T26" s="393">
        <f>1/((1/H26)+LOOKUP($A26,'Energy Efficiency Measures-DBT'!$D$11:$AN$11,'Energy Efficiency Measures-DBT'!$D$43:$AN$43))</f>
        <v>0.33190368918404961</v>
      </c>
      <c r="U26" s="393">
        <f>1/((1/I26)+LOOKUP($A26,'Energy Efficiency Measures-DBT'!$D$11:$AN$11,'Energy Efficiency Measures-DBT'!$D$43:$AN$43))</f>
        <v>0.29906740439427465</v>
      </c>
      <c r="V26" s="306">
        <f>1/((1/J26)+LOOKUP($A26,'Energy Efficiency Measures-DBT'!$D$11:$AN$11,'Energy Efficiency Measures-DBT'!$D$43:$AN$43))</f>
        <v>0.2434782608695652</v>
      </c>
      <c r="W26" s="219">
        <f>1/((1/$K26)+LOOKUP($A26,'Energy Efficiency Measures-DBT'!$D$11:$AN$11,'Energy Efficiency Measures-DBT'!$D$43:$AN$43))</f>
        <v>0.4282274827879689</v>
      </c>
      <c r="X26" s="392">
        <f>1/((1/E26)+LOOKUP($A26,'Energy Efficiency Measures-DBT'!$D$11:$AN$11,'Energy Efficiency Measures-DBT'!$D$42:$AN$42))</f>
        <v>0.2857142857142857</v>
      </c>
      <c r="Y26" s="393">
        <f>1/((1/F26)+LOOKUP($A26,'Energy Efficiency Measures-DBT'!$D$11:$AN$11,'Energy Efficiency Measures-DBT'!$D$42:$AN$42))</f>
        <v>0.31829731606683281</v>
      </c>
      <c r="Z26" s="393">
        <f>1/((1/G26)+LOOKUP($A26,'Energy Efficiency Measures-DBT'!$D$11:$AN$11,'Energy Efficiency Measures-DBT'!$D$42:$AN$42))</f>
        <v>0.24313725490196075</v>
      </c>
      <c r="AA26" s="393">
        <f>1/((1/H26)+LOOKUP($A26,'Energy Efficiency Measures-DBT'!$D$11:$AN$11,'Energy Efficiency Measures-DBT'!$D$42:$AN$42))</f>
        <v>0.23458086927753194</v>
      </c>
      <c r="AB26" s="393">
        <f>1/((1/I26)+LOOKUP($A26,'Energy Efficiency Measures-DBT'!$D$11:$AN$11,'Energy Efficiency Measures-DBT'!$D$42:$AN$42))</f>
        <v>0.21768812591369582</v>
      </c>
      <c r="AC26" s="306">
        <f>1/((1/J26)+LOOKUP($A26,'Energy Efficiency Measures-DBT'!$D$11:$AN$11,'Energy Efficiency Measures-DBT'!$D$42:$AN$42))</f>
        <v>0.18666666666666665</v>
      </c>
      <c r="AD26" s="54">
        <f>1/((1/$K26)+LOOKUP($A26,'Energy Efficiency Measures-DBT'!$D$11:$AN$11,'Energy Efficiency Measures-DBT'!$D$42:$AN$42))</f>
        <v>0.2789238891257701</v>
      </c>
      <c r="AG26" s="48" t="s">
        <v>38</v>
      </c>
      <c r="AH26" s="47"/>
      <c r="AI26" s="262">
        <v>5</v>
      </c>
      <c r="AJ26" s="263">
        <v>5</v>
      </c>
      <c r="AK26" s="262">
        <v>5</v>
      </c>
      <c r="AL26" s="264">
        <v>5</v>
      </c>
      <c r="AM26" s="179" t="str">
        <f>IF(AND(E26&gt;Q26,AJ26&gt;Q26),'Energy Efficiency Measures-DBT'!$B$46,"")&amp;", "&amp;IF(AND(E26&gt;X26,AJ26&gt;X26),'Energy Efficiency Measures-DBT'!$B$45,"")</f>
        <v>MW3, MW2</v>
      </c>
      <c r="AN26" s="164" t="str">
        <f>IF(AND(F26&gt;R26,AJ26&gt;R26),'Energy Efficiency Measures-DBT'!$B$46,"")&amp;", "&amp;IF(AND(F26&gt;Y26,AJ26&gt;Y26),'Energy Efficiency Measures-DBT'!$B$45,"")</f>
        <v>MW3, MW2</v>
      </c>
      <c r="AO26" s="164" t="str">
        <f>IF(AND(G26&gt;S26,AJ26&gt;S26),'Energy Efficiency Measures-DBT'!$B$46,"")&amp;", "&amp;IF(AND(G26&gt;Z26,AJ26&gt;Z26),'Energy Efficiency Measures-DBT'!$B$45,"")</f>
        <v>MW3, MW2</v>
      </c>
      <c r="AP26" s="164" t="str">
        <f>IF(AND(H26&gt;T26,AJ26&gt;T26),'Energy Efficiency Measures-DBT'!$B$46,"")&amp;", "&amp;IF(AND(H26&gt;AA26,AJ26&gt;AA26),'Energy Efficiency Measures-DBT'!$B$45,"")</f>
        <v>MW3, MW2</v>
      </c>
      <c r="AQ26" s="164" t="str">
        <f>IF(AND(I26&gt;U26,AJ26&gt;U26),'Energy Efficiency Measures-DBT'!$B$46,"")&amp;", "&amp;IF(AND(I26&gt;AB26,AJ26&gt;AB26),'Energy Efficiency Measures-DBT'!$B$45,"")</f>
        <v>MW3, MW2</v>
      </c>
      <c r="AR26" s="273" t="str">
        <f>IF(AND(J26&gt;V26,AJ26&gt;V26),'Energy Efficiency Measures-DBT'!$B$46,"")&amp;", "&amp;IF(AND(J26&gt;AC26,AJ26&gt;AC26),'Energy Efficiency Measures-DBT'!$B$45,"")</f>
        <v>MW3, MW2</v>
      </c>
    </row>
    <row r="27" spans="1:45">
      <c r="A27" s="48" t="s">
        <v>106</v>
      </c>
      <c r="B27" s="48" t="s">
        <v>35</v>
      </c>
      <c r="C27" s="47"/>
      <c r="D27" s="47" t="s">
        <v>10</v>
      </c>
      <c r="E27" s="497">
        <v>1</v>
      </c>
      <c r="F27" s="498">
        <v>1</v>
      </c>
      <c r="G27" s="498">
        <v>0.9</v>
      </c>
      <c r="H27" s="498">
        <v>0.5</v>
      </c>
      <c r="I27" s="498">
        <v>0.5</v>
      </c>
      <c r="J27" s="499">
        <v>0.18</v>
      </c>
      <c r="K27" s="45">
        <f>SUMPRODUCT('Dwelling stock'!E27:J27,E27:J27)/SUM('Dwelling stock'!E27:J27)</f>
        <v>0.79052165013843234</v>
      </c>
      <c r="M27" s="54">
        <v>0.81558399999999998</v>
      </c>
      <c r="P27" s="48" t="s">
        <v>35</v>
      </c>
      <c r="Q27" s="392">
        <f>1/((1/E27)+LOOKUP($A27,'Energy Efficiency Measures-DBT'!$D$11:$AN$11,'Energy Efficiency Measures-DBT'!$D$43:$AN$43))</f>
        <v>0.44444444444444442</v>
      </c>
      <c r="R27" s="393">
        <f>1/((1/F27)+LOOKUP($A27,'Energy Efficiency Measures-DBT'!$D$11:$AN$11,'Energy Efficiency Measures-DBT'!$D$43:$AN$43))</f>
        <v>0.44444444444444442</v>
      </c>
      <c r="S27" s="393">
        <f>1/((1/G27)+LOOKUP($A27,'Energy Efficiency Measures-DBT'!$D$11:$AN$11,'Energy Efficiency Measures-DBT'!$D$43:$AN$43))</f>
        <v>0.42352941176470588</v>
      </c>
      <c r="T27" s="393">
        <f>1/((1/H27)+LOOKUP($A27,'Energy Efficiency Measures-DBT'!$D$11:$AN$11,'Energy Efficiency Measures-DBT'!$D$43:$AN$43))</f>
        <v>0.30769230769230771</v>
      </c>
      <c r="U27" s="393">
        <f>1/((1/I27)+LOOKUP($A27,'Energy Efficiency Measures-DBT'!$D$11:$AN$11,'Energy Efficiency Measures-DBT'!$D$43:$AN$43))</f>
        <v>0.30769230769230771</v>
      </c>
      <c r="V27" s="306">
        <f>1/((1/J27)+LOOKUP($A27,'Energy Efficiency Measures-DBT'!$D$11:$AN$11,'Energy Efficiency Measures-DBT'!$D$43:$AN$43))</f>
        <v>0.14693877551020409</v>
      </c>
      <c r="W27" s="219">
        <f>1/((1/$K27)+LOOKUP($A27,'Energy Efficiency Measures-DBT'!$D$11:$AN$11,'Energy Efficiency Measures-DBT'!$D$43:$AN$43))</f>
        <v>0.39761629152027128</v>
      </c>
      <c r="X27" s="392">
        <f>1/((1/E27)+LOOKUP($A27,'Energy Efficiency Measures-DBT'!$D$11:$AN$11,'Energy Efficiency Measures-DBT'!$D$42:$AN$42))</f>
        <v>0.2857142857142857</v>
      </c>
      <c r="Y27" s="393">
        <f>1/((1/F27)+LOOKUP($A27,'Energy Efficiency Measures-DBT'!$D$11:$AN$11,'Energy Efficiency Measures-DBT'!$D$42:$AN$42))</f>
        <v>0.2857142857142857</v>
      </c>
      <c r="Z27" s="393">
        <f>1/((1/G27)+LOOKUP($A27,'Energy Efficiency Measures-DBT'!$D$11:$AN$11,'Energy Efficiency Measures-DBT'!$D$42:$AN$42))</f>
        <v>0.27692307692307694</v>
      </c>
      <c r="AA27" s="393">
        <f>1/((1/H27)+LOOKUP($A27,'Energy Efficiency Measures-DBT'!$D$11:$AN$11,'Energy Efficiency Measures-DBT'!$D$42:$AN$42))</f>
        <v>0.22222222222222221</v>
      </c>
      <c r="AB27" s="393">
        <f>1/((1/I27)+LOOKUP($A27,'Energy Efficiency Measures-DBT'!$D$11:$AN$11,'Energy Efficiency Measures-DBT'!$D$42:$AN$42))</f>
        <v>0.22222222222222221</v>
      </c>
      <c r="AC27" s="306">
        <f>1/((1/J27)+LOOKUP($A27,'Energy Efficiency Measures-DBT'!$D$11:$AN$11,'Energy Efficiency Measures-DBT'!$D$42:$AN$42))</f>
        <v>0.12413793103448276</v>
      </c>
      <c r="AD27" s="54">
        <f>1/((1/$K27)+LOOKUP($A27,'Energy Efficiency Measures-DBT'!$D$11:$AN$11,'Energy Efficiency Measures-DBT'!$D$42:$AN$42))</f>
        <v>0.26560513201805663</v>
      </c>
      <c r="AG27" s="48" t="s">
        <v>35</v>
      </c>
      <c r="AH27" s="47"/>
      <c r="AI27" s="262">
        <v>5</v>
      </c>
      <c r="AJ27" s="263">
        <v>5</v>
      </c>
      <c r="AK27" s="262">
        <v>5</v>
      </c>
      <c r="AL27" s="264">
        <v>5</v>
      </c>
      <c r="AM27" s="179" t="str">
        <f>IF(AND(E27&gt;Q27,AJ27&gt;Q27),'Energy Efficiency Measures-DBT'!$B$46,"")&amp;", "&amp;IF(AND(E27&gt;X27,AJ27&gt;X27),'Energy Efficiency Measures-DBT'!$B$45,"")</f>
        <v>MW3, MW2</v>
      </c>
      <c r="AN27" s="164" t="str">
        <f>IF(AND(F27&gt;R27,AJ27&gt;R27),'Energy Efficiency Measures-DBT'!$B$46,"")&amp;", "&amp;IF(AND(F27&gt;Y27,AJ27&gt;Y27),'Energy Efficiency Measures-DBT'!$B$45,"")</f>
        <v>MW3, MW2</v>
      </c>
      <c r="AO27" s="164" t="str">
        <f>IF(AND(G27&gt;S27,AJ27&gt;S27),'Energy Efficiency Measures-DBT'!$B$46,"")&amp;", "&amp;IF(AND(G27&gt;Z27,AJ27&gt;Z27),'Energy Efficiency Measures-DBT'!$B$45,"")</f>
        <v>MW3, MW2</v>
      </c>
      <c r="AP27" s="164" t="str">
        <f>IF(AND(H27&gt;T27,AJ27&gt;T27),'Energy Efficiency Measures-DBT'!$B$46,"")&amp;", "&amp;IF(AND(H27&gt;AA27,AJ27&gt;AA27),'Energy Efficiency Measures-DBT'!$B$45,"")</f>
        <v>MW3, MW2</v>
      </c>
      <c r="AQ27" s="164" t="str">
        <f>IF(AND(I27&gt;U27,AJ27&gt;U27),'Energy Efficiency Measures-DBT'!$B$46,"")&amp;", "&amp;IF(AND(I27&gt;AB27,AJ27&gt;AB27),'Energy Efficiency Measures-DBT'!$B$45,"")</f>
        <v>MW3, MW2</v>
      </c>
      <c r="AR27" s="273" t="str">
        <f>IF(AND(J27&gt;V27,AJ27&gt;V27),'Energy Efficiency Measures-DBT'!$B$46,"")&amp;", "&amp;IF(AND(J27&gt;AC27,AJ27&gt;AC27),'Energy Efficiency Measures-DBT'!$B$45,"")</f>
        <v>MW3, MW2</v>
      </c>
    </row>
    <row r="28" spans="1:45">
      <c r="A28" s="48" t="s">
        <v>119</v>
      </c>
      <c r="B28" s="48" t="s">
        <v>204</v>
      </c>
      <c r="C28" s="47"/>
      <c r="D28" s="47" t="s">
        <v>10</v>
      </c>
      <c r="E28" s="497">
        <v>1.45</v>
      </c>
      <c r="F28" s="498">
        <v>1.45</v>
      </c>
      <c r="G28" s="498">
        <v>1.45</v>
      </c>
      <c r="H28" s="498">
        <v>1.2</v>
      </c>
      <c r="I28" s="498">
        <v>1.1000000000000001</v>
      </c>
      <c r="J28" s="499">
        <v>0.9</v>
      </c>
      <c r="K28" s="45">
        <f>SUMPRODUCT('Dwelling stock'!E28:J28,E28:J28)/SUM('Dwelling stock'!E28:J28)</f>
        <v>1.3327162610209247</v>
      </c>
      <c r="M28" s="28"/>
      <c r="P28" s="48" t="s">
        <v>204</v>
      </c>
      <c r="Q28" s="392">
        <f>1/((1/E28)+LOOKUP($A28,'Energy Efficiency Measures-DBT'!$D$11:$AN$11,'Energy Efficiency Measures-DBT'!$D$43:$AN$43))</f>
        <v>0.51555555555555554</v>
      </c>
      <c r="R28" s="393">
        <f>1/((1/F28)+LOOKUP($A28,'Energy Efficiency Measures-DBT'!$D$11:$AN$11,'Energy Efficiency Measures-DBT'!$D$43:$AN$43))</f>
        <v>0.51555555555555554</v>
      </c>
      <c r="S28" s="393">
        <f>1/((1/G28)+LOOKUP($A28,'Energy Efficiency Measures-DBT'!$D$11:$AN$11,'Energy Efficiency Measures-DBT'!$D$43:$AN$43))</f>
        <v>0.51555555555555554</v>
      </c>
      <c r="T28" s="393">
        <f>1/((1/H28)+LOOKUP($A28,'Energy Efficiency Measures-DBT'!$D$11:$AN$11,'Energy Efficiency Measures-DBT'!$D$43:$AN$43))</f>
        <v>0.48</v>
      </c>
      <c r="U28" s="393">
        <f>1/((1/I28)+LOOKUP($A28,'Energy Efficiency Measures-DBT'!$D$11:$AN$11,'Energy Efficiency Measures-DBT'!$D$43:$AN$43))</f>
        <v>0.4631578947368421</v>
      </c>
      <c r="V28" s="306">
        <f>1/((1/J28)+LOOKUP($A28,'Energy Efficiency Measures-DBT'!$D$11:$AN$11,'Energy Efficiency Measures-DBT'!$D$43:$AN$43))</f>
        <v>0.42352941176470588</v>
      </c>
      <c r="W28" s="219">
        <f>1/((1/$K28)+LOOKUP($A28,'Energy Efficiency Measures-DBT'!$D$11:$AN$11,'Energy Efficiency Measures-DBT'!$D$43:$AN$43))</f>
        <v>0.49991319909867704</v>
      </c>
      <c r="X28" s="392">
        <f>1/((1/E28)+LOOKUP($A28,'Energy Efficiency Measures-DBT'!$D$11:$AN$11,'Energy Efficiency Measures-DBT'!$D$42:$AN$42))</f>
        <v>0.31351351351351353</v>
      </c>
      <c r="Y28" s="393">
        <f>1/((1/F28)+LOOKUP($A28,'Energy Efficiency Measures-DBT'!$D$11:$AN$11,'Energy Efficiency Measures-DBT'!$D$42:$AN$42))</f>
        <v>0.31351351351351353</v>
      </c>
      <c r="Z28" s="393">
        <f>1/((1/G28)+LOOKUP($A28,'Energy Efficiency Measures-DBT'!$D$11:$AN$11,'Energy Efficiency Measures-DBT'!$D$42:$AN$42))</f>
        <v>0.31351351351351353</v>
      </c>
      <c r="AA28" s="393">
        <f>1/((1/H28)+LOOKUP($A28,'Energy Efficiency Measures-DBT'!$D$11:$AN$11,'Energy Efficiency Measures-DBT'!$D$42:$AN$42))</f>
        <v>0.3</v>
      </c>
      <c r="AB28" s="393">
        <f>1/((1/I28)+LOOKUP($A28,'Energy Efficiency Measures-DBT'!$D$11:$AN$11,'Energy Efficiency Measures-DBT'!$D$42:$AN$42))</f>
        <v>0.29333333333333333</v>
      </c>
      <c r="AC28" s="306">
        <f>1/((1/J28)+LOOKUP($A28,'Energy Efficiency Measures-DBT'!$D$11:$AN$11,'Energy Efficiency Measures-DBT'!$D$42:$AN$42))</f>
        <v>0.27692307692307694</v>
      </c>
      <c r="AD28" s="54">
        <f>1/((1/$K28)+LOOKUP($A28,'Energy Efficiency Measures-DBT'!$D$11:$AN$11,'Energy Efficiency Measures-DBT'!$D$42:$AN$42))</f>
        <v>0.30765943415009722</v>
      </c>
      <c r="AG28" s="48" t="s">
        <v>204</v>
      </c>
      <c r="AH28" s="47"/>
      <c r="AI28" s="262">
        <v>5</v>
      </c>
      <c r="AJ28" s="263">
        <v>5</v>
      </c>
      <c r="AK28" s="262">
        <v>5</v>
      </c>
      <c r="AL28" s="264">
        <v>5</v>
      </c>
      <c r="AM28" s="179" t="str">
        <f>IF(AND(E28&gt;Q28,AJ28&gt;Q28),'Energy Efficiency Measures-DBT'!$B$46,"")&amp;", "&amp;IF(AND(E28&gt;X28,AJ28&gt;X28),'Energy Efficiency Measures-DBT'!$B$45,"")</f>
        <v>MW3, MW2</v>
      </c>
      <c r="AN28" s="164" t="str">
        <f>IF(AND(F28&gt;R28,AJ28&gt;R28),'Energy Efficiency Measures-DBT'!$B$46,"")&amp;", "&amp;IF(AND(F28&gt;Y28,AJ28&gt;Y28),'Energy Efficiency Measures-DBT'!$B$45,"")</f>
        <v>MW3, MW2</v>
      </c>
      <c r="AO28" s="164" t="str">
        <f>IF(AND(G28&gt;S28,AJ28&gt;S28),'Energy Efficiency Measures-DBT'!$B$46,"")&amp;", "&amp;IF(AND(G28&gt;Z28,AJ28&gt;Z28),'Energy Efficiency Measures-DBT'!$B$45,"")</f>
        <v>MW3, MW2</v>
      </c>
      <c r="AP28" s="164" t="str">
        <f>IF(AND(H28&gt;T28,AJ28&gt;T28),'Energy Efficiency Measures-DBT'!$B$46,"")&amp;", "&amp;IF(AND(H28&gt;AA28,AJ28&gt;AA28),'Energy Efficiency Measures-DBT'!$B$45,"")</f>
        <v>MW3, MW2</v>
      </c>
      <c r="AQ28" s="164" t="str">
        <f>IF(AND(I28&gt;U28,AJ28&gt;U28),'Energy Efficiency Measures-DBT'!$B$46,"")&amp;", "&amp;IF(AND(I28&gt;AB28,AJ28&gt;AB28),'Energy Efficiency Measures-DBT'!$B$45,"")</f>
        <v>MW3, MW2</v>
      </c>
      <c r="AR28" s="273" t="str">
        <f>IF(AND(J28&gt;V28,AJ28&gt;V28),'Energy Efficiency Measures-DBT'!$B$46,"")&amp;", "&amp;IF(AND(J28&gt;AC28,AJ28&gt;AC28),'Energy Efficiency Measures-DBT'!$B$45,"")</f>
        <v>MW3, MW2</v>
      </c>
    </row>
    <row r="29" spans="1:45">
      <c r="A29" s="48" t="s">
        <v>120</v>
      </c>
      <c r="B29" s="48" t="s">
        <v>203</v>
      </c>
      <c r="C29" s="47"/>
      <c r="D29" s="47" t="s">
        <v>10</v>
      </c>
      <c r="E29" s="497">
        <v>1.61</v>
      </c>
      <c r="F29" s="498">
        <v>1.61</v>
      </c>
      <c r="G29" s="498">
        <v>1.49</v>
      </c>
      <c r="H29" s="498">
        <v>1.2</v>
      </c>
      <c r="I29" s="498">
        <v>0.93700000000000006</v>
      </c>
      <c r="J29" s="499">
        <v>0.42499999999999999</v>
      </c>
      <c r="K29" s="45">
        <f>SUMPRODUCT('Dwelling stock'!E29:J29,E29:J29)/SUM('Dwelling stock'!E29:J29)</f>
        <v>1.2915604060707331</v>
      </c>
      <c r="M29" s="28"/>
      <c r="P29" s="48" t="s">
        <v>203</v>
      </c>
      <c r="Q29" s="392">
        <f>1/((1/E29)+LOOKUP($A29,'Energy Efficiency Measures-DBT'!$D$11:$AN$11,'Energy Efficiency Measures-DBT'!$D$43:$AN$43))</f>
        <v>0.53443983402489637</v>
      </c>
      <c r="R29" s="393">
        <f>1/((1/F29)+LOOKUP($A29,'Energy Efficiency Measures-DBT'!$D$11:$AN$11,'Energy Efficiency Measures-DBT'!$D$43:$AN$43))</f>
        <v>0.53443983402489637</v>
      </c>
      <c r="S29" s="393">
        <f>1/((1/G29)+LOOKUP($A29,'Energy Efficiency Measures-DBT'!$D$11:$AN$11,'Energy Efficiency Measures-DBT'!$D$43:$AN$43))</f>
        <v>0.52052401746724897</v>
      </c>
      <c r="T29" s="393">
        <f>1/((1/H29)+LOOKUP($A29,'Energy Efficiency Measures-DBT'!$D$11:$AN$11,'Energy Efficiency Measures-DBT'!$D$43:$AN$43))</f>
        <v>0.48</v>
      </c>
      <c r="U29" s="393">
        <f>1/((1/I29)+LOOKUP($A29,'Energy Efficiency Measures-DBT'!$D$11:$AN$11,'Energy Efficiency Measures-DBT'!$D$43:$AN$43))</f>
        <v>0.43154864709268853</v>
      </c>
      <c r="V29" s="306">
        <f>1/((1/J29)+LOOKUP($A29,'Energy Efficiency Measures-DBT'!$D$11:$AN$11,'Energy Efficiency Measures-DBT'!$D$43:$AN$43))</f>
        <v>0.27755102040816326</v>
      </c>
      <c r="W29" s="219">
        <f>1/((1/$K29)+LOOKUP($A29,'Energy Efficiency Measures-DBT'!$D$11:$AN$11,'Energy Efficiency Measures-DBT'!$D$43:$AN$43))</f>
        <v>0.49400835943231358</v>
      </c>
      <c r="X29" s="392">
        <f>1/((1/E29)+LOOKUP($A29,'Energy Efficiency Measures-DBT'!$D$11:$AN$11,'Energy Efficiency Measures-DBT'!$D$42:$AN$42))</f>
        <v>0.32039800995024875</v>
      </c>
      <c r="Y29" s="393">
        <f>1/((1/F29)+LOOKUP($A29,'Energy Efficiency Measures-DBT'!$D$11:$AN$11,'Energy Efficiency Measures-DBT'!$D$42:$AN$42))</f>
        <v>0.32039800995024875</v>
      </c>
      <c r="Z29" s="393">
        <f>1/((1/G29)+LOOKUP($A29,'Energy Efficiency Measures-DBT'!$D$11:$AN$11,'Energy Efficiency Measures-DBT'!$D$42:$AN$42))</f>
        <v>0.31534391534391537</v>
      </c>
      <c r="AA29" s="393">
        <f>1/((1/H29)+LOOKUP($A29,'Energy Efficiency Measures-DBT'!$D$11:$AN$11,'Energy Efficiency Measures-DBT'!$D$42:$AN$42))</f>
        <v>0.3</v>
      </c>
      <c r="AB29" s="393">
        <f>1/((1/I29)+LOOKUP($A29,'Energy Efficiency Measures-DBT'!$D$11:$AN$11,'Energy Efficiency Measures-DBT'!$D$42:$AN$42))</f>
        <v>0.28032909498878084</v>
      </c>
      <c r="AC29" s="306">
        <f>1/((1/J29)+LOOKUP($A29,'Energy Efficiency Measures-DBT'!$D$11:$AN$11,'Energy Efficiency Measures-DBT'!$D$42:$AN$42))</f>
        <v>0.20606060606060603</v>
      </c>
      <c r="AD29" s="54">
        <f>1/((1/$K29)+LOOKUP($A29,'Energy Efficiency Measures-DBT'!$D$11:$AN$11,'Energy Efficiency Measures-DBT'!$D$42:$AN$42))</f>
        <v>0.30541277779629611</v>
      </c>
      <c r="AG29" s="48" t="s">
        <v>203</v>
      </c>
      <c r="AH29" s="47"/>
      <c r="AI29" s="262">
        <v>5</v>
      </c>
      <c r="AJ29" s="263">
        <v>5</v>
      </c>
      <c r="AK29" s="262">
        <v>5</v>
      </c>
      <c r="AL29" s="264">
        <v>5</v>
      </c>
      <c r="AM29" s="179" t="str">
        <f>IF(AND(E29&gt;Q29,AJ29&gt;Q29),'Energy Efficiency Measures-DBT'!$B$46,"")&amp;", "&amp;IF(AND(E29&gt;X29,AJ29&gt;X29),'Energy Efficiency Measures-DBT'!$B$45,"")</f>
        <v>MW3, MW2</v>
      </c>
      <c r="AN29" s="164" t="str">
        <f>IF(AND(F29&gt;R29,AJ29&gt;R29),'Energy Efficiency Measures-DBT'!$B$46,"")&amp;", "&amp;IF(AND(F29&gt;Y29,AJ29&gt;Y29),'Energy Efficiency Measures-DBT'!$B$45,"")</f>
        <v>MW3, MW2</v>
      </c>
      <c r="AO29" s="164" t="str">
        <f>IF(AND(G29&gt;S29,AJ29&gt;S29),'Energy Efficiency Measures-DBT'!$B$46,"")&amp;", "&amp;IF(AND(G29&gt;Z29,AJ29&gt;Z29),'Energy Efficiency Measures-DBT'!$B$45,"")</f>
        <v>MW3, MW2</v>
      </c>
      <c r="AP29" s="164" t="str">
        <f>IF(AND(H29&gt;T29,AJ29&gt;T29),'Energy Efficiency Measures-DBT'!$B$46,"")&amp;", "&amp;IF(AND(H29&gt;AA29,AJ29&gt;AA29),'Energy Efficiency Measures-DBT'!$B$45,"")</f>
        <v>MW3, MW2</v>
      </c>
      <c r="AQ29" s="164" t="str">
        <f>IF(AND(I29&gt;U29,AJ29&gt;U29),'Energy Efficiency Measures-DBT'!$B$46,"")&amp;", "&amp;IF(AND(I29&gt;AB29,AJ29&gt;AB29),'Energy Efficiency Measures-DBT'!$B$45,"")</f>
        <v>MW3, MW2</v>
      </c>
      <c r="AR29" s="273" t="str">
        <f>IF(AND(J29&gt;V29,AJ29&gt;V29),'Energy Efficiency Measures-DBT'!$B$46,"")&amp;", "&amp;IF(AND(J29&gt;AC29,AJ29&gt;AC29),'Energy Efficiency Measures-DBT'!$B$45,"")</f>
        <v>MW3, MW2</v>
      </c>
    </row>
    <row r="30" spans="1:45">
      <c r="A30" s="48" t="s">
        <v>107</v>
      </c>
      <c r="B30" s="48" t="s">
        <v>39</v>
      </c>
      <c r="C30" s="47" t="s">
        <v>40</v>
      </c>
      <c r="D30" s="47" t="s">
        <v>10</v>
      </c>
      <c r="E30" s="497">
        <v>2.8</v>
      </c>
      <c r="F30" s="498">
        <v>2.8</v>
      </c>
      <c r="G30" s="498">
        <v>1.76</v>
      </c>
      <c r="H30" s="498">
        <v>1.76</v>
      </c>
      <c r="I30" s="498">
        <v>1.76</v>
      </c>
      <c r="J30" s="499">
        <v>1.57</v>
      </c>
      <c r="K30" s="45">
        <f>SUMPRODUCT('Dwelling stock'!E30:J30,E30:J30)/SUM('Dwelling stock'!E30:J30)</f>
        <v>2.213217177100959</v>
      </c>
      <c r="M30" s="54">
        <v>2.2271899999999998</v>
      </c>
      <c r="P30" s="48" t="s">
        <v>39</v>
      </c>
      <c r="Q30" s="392">
        <f>1/((1/E30)+LOOKUP($A30,'Energy Efficiency Measures-DBT'!$D$11:$AN$11,'Energy Efficiency Measures-DBT'!$D$43:$AN$43))</f>
        <v>0.62222222222222223</v>
      </c>
      <c r="R30" s="393">
        <f>1/((1/F30)+LOOKUP($A30,'Energy Efficiency Measures-DBT'!$D$11:$AN$11,'Energy Efficiency Measures-DBT'!$D$43:$AN$43))</f>
        <v>0.62222222222222223</v>
      </c>
      <c r="S30" s="393">
        <f>1/((1/G30)+LOOKUP($A30,'Energy Efficiency Measures-DBT'!$D$11:$AN$11,'Energy Efficiency Measures-DBT'!$D$43:$AN$43))</f>
        <v>0.54999999999999993</v>
      </c>
      <c r="T30" s="393">
        <f>1/((1/H30)+LOOKUP($A30,'Energy Efficiency Measures-DBT'!$D$11:$AN$11,'Energy Efficiency Measures-DBT'!$D$43:$AN$43))</f>
        <v>0.54999999999999993</v>
      </c>
      <c r="U30" s="393">
        <f>1/((1/I30)+LOOKUP($A30,'Energy Efficiency Measures-DBT'!$D$11:$AN$11,'Energy Efficiency Measures-DBT'!$D$43:$AN$43))</f>
        <v>0.54999999999999993</v>
      </c>
      <c r="V30" s="306">
        <f>1/((1/J30)+LOOKUP($A30,'Energy Efficiency Measures-DBT'!$D$11:$AN$11,'Energy Efficiency Measures-DBT'!$D$43:$AN$43))</f>
        <v>0.52995780590717301</v>
      </c>
      <c r="W30" s="219">
        <f>1/((1/$K30)+LOOKUP($A30,'Energy Efficiency Measures-DBT'!$D$11:$AN$11,'Energy Efficiency Measures-DBT'!$D$43:$AN$43))</f>
        <v>0.58760243209029184</v>
      </c>
      <c r="X30" s="392">
        <f>1/((1/E30)+LOOKUP($A30,'Energy Efficiency Measures-DBT'!$D$11:$AN$11,'Energy Efficiency Measures-DBT'!$D$42:$AN$42))</f>
        <v>0.35</v>
      </c>
      <c r="Y30" s="393">
        <f>1/((1/F30)+LOOKUP($A30,'Energy Efficiency Measures-DBT'!$D$11:$AN$11,'Energy Efficiency Measures-DBT'!$D$42:$AN$42))</f>
        <v>0.35</v>
      </c>
      <c r="Z30" s="393">
        <f>1/((1/G30)+LOOKUP($A30,'Energy Efficiency Measures-DBT'!$D$11:$AN$11,'Energy Efficiency Measures-DBT'!$D$42:$AN$42))</f>
        <v>0.3259259259259259</v>
      </c>
      <c r="AA30" s="393">
        <f>1/((1/H30)+LOOKUP($A30,'Energy Efficiency Measures-DBT'!$D$11:$AN$11,'Energy Efficiency Measures-DBT'!$D$42:$AN$42))</f>
        <v>0.3259259259259259</v>
      </c>
      <c r="AB30" s="393">
        <f>1/((1/I30)+LOOKUP($A30,'Energy Efficiency Measures-DBT'!$D$11:$AN$11,'Energy Efficiency Measures-DBT'!$D$42:$AN$42))</f>
        <v>0.3259259259259259</v>
      </c>
      <c r="AC30" s="306">
        <f>1/((1/J30)+LOOKUP($A30,'Energy Efficiency Measures-DBT'!$D$11:$AN$11,'Energy Efficiency Measures-DBT'!$D$42:$AN$42))</f>
        <v>0.31878172588832487</v>
      </c>
      <c r="AD30" s="54">
        <f>1/((1/$K30)+LOOKUP($A30,'Energy Efficiency Measures-DBT'!$D$11:$AN$11,'Energy Efficiency Measures-DBT'!$D$42:$AN$42))</f>
        <v>0.33877278880529166</v>
      </c>
      <c r="AG30" s="48" t="s">
        <v>39</v>
      </c>
      <c r="AH30" s="47"/>
      <c r="AI30" s="262">
        <v>5</v>
      </c>
      <c r="AJ30" s="263">
        <v>5</v>
      </c>
      <c r="AK30" s="262">
        <v>5</v>
      </c>
      <c r="AL30" s="264">
        <v>5</v>
      </c>
      <c r="AM30" s="179" t="str">
        <f>IF(AND(E30&gt;Q30,AJ30&gt;Q30),'Energy Efficiency Measures-DBT'!$B$46,"")&amp;", "&amp;IF(AND(E30&gt;X30,AJ30&gt;X30),'Energy Efficiency Measures-DBT'!$B$45,"")</f>
        <v>MW3, MW2</v>
      </c>
      <c r="AN30" s="164" t="str">
        <f>IF(AND(F30&gt;R30,AJ30&gt;R30),'Energy Efficiency Measures-DBT'!$B$46,"")&amp;", "&amp;IF(AND(F30&gt;Y30,AJ30&gt;Y30),'Energy Efficiency Measures-DBT'!$B$45,"")</f>
        <v>MW3, MW2</v>
      </c>
      <c r="AO30" s="164" t="str">
        <f>IF(AND(G30&gt;S30,AJ30&gt;S30),'Energy Efficiency Measures-DBT'!$B$46,"")&amp;", "&amp;IF(AND(G30&gt;Z30,AJ30&gt;Z30),'Energy Efficiency Measures-DBT'!$B$45,"")</f>
        <v>MW3, MW2</v>
      </c>
      <c r="AP30" s="164" t="str">
        <f>IF(AND(H30&gt;T30,AJ30&gt;T30),'Energy Efficiency Measures-DBT'!$B$46,"")&amp;", "&amp;IF(AND(H30&gt;AA30,AJ30&gt;AA30),'Energy Efficiency Measures-DBT'!$B$45,"")</f>
        <v>MW3, MW2</v>
      </c>
      <c r="AQ30" s="164" t="str">
        <f>IF(AND(I30&gt;U30,AJ30&gt;U30),'Energy Efficiency Measures-DBT'!$B$46,"")&amp;", "&amp;IF(AND(I30&gt;AB30,AJ30&gt;AB30),'Energy Efficiency Measures-DBT'!$B$45,"")</f>
        <v>MW3, MW2</v>
      </c>
      <c r="AR30" s="273" t="str">
        <f>IF(AND(J30&gt;V30,AJ30&gt;V30),'Energy Efficiency Measures-DBT'!$B$46,"")&amp;", "&amp;IF(AND(J30&gt;AC30,AJ30&gt;AC30),'Energy Efficiency Measures-DBT'!$B$45,"")</f>
        <v>MW3, MW2</v>
      </c>
    </row>
    <row r="31" spans="1:45">
      <c r="A31" s="48" t="s">
        <v>108</v>
      </c>
      <c r="B31" s="48" t="s">
        <v>41</v>
      </c>
      <c r="C31" s="47" t="s">
        <v>29</v>
      </c>
      <c r="D31" s="47" t="s">
        <v>10</v>
      </c>
      <c r="E31" s="497">
        <v>1.822878</v>
      </c>
      <c r="F31" s="498">
        <v>1.5347519999999999</v>
      </c>
      <c r="G31" s="498">
        <v>1.5347519999999999</v>
      </c>
      <c r="H31" s="498">
        <v>0.58138900000000004</v>
      </c>
      <c r="I31" s="498">
        <v>0.51623699999999995</v>
      </c>
      <c r="J31" s="499">
        <v>0.4</v>
      </c>
      <c r="K31" s="45">
        <f>SUMPRODUCT('Dwelling stock'!E31:J31,E31:J31)/SUM('Dwelling stock'!E31:J31)</f>
        <v>1.2364304648624038</v>
      </c>
      <c r="M31" s="54">
        <v>1.2628360000000001</v>
      </c>
      <c r="P31" s="48" t="s">
        <v>41</v>
      </c>
      <c r="Q31" s="392">
        <f>1/((1/E31)+LOOKUP($A31,'Energy Efficiency Measures-DBT'!$D$11:$AN$11,'Energy Efficiency Measures-DBT'!$D$43:$AN$43))</f>
        <v>0.55599322576193022</v>
      </c>
      <c r="R31" s="393">
        <f>1/((1/F31)+LOOKUP($A31,'Energy Efficiency Measures-DBT'!$D$11:$AN$11,'Energy Efficiency Measures-DBT'!$D$43:$AN$43))</f>
        <v>0.52588095009662694</v>
      </c>
      <c r="S31" s="393">
        <f>1/((1/G31)+LOOKUP($A31,'Energy Efficiency Measures-DBT'!$D$11:$AN$11,'Energy Efficiency Measures-DBT'!$D$43:$AN$43))</f>
        <v>0.52588095009662694</v>
      </c>
      <c r="T31" s="393">
        <f>1/((1/H31)+LOOKUP($A31,'Energy Efficiency Measures-DBT'!$D$11:$AN$11,'Energy Efficiency Measures-DBT'!$D$43:$AN$43))</f>
        <v>0.33669820738401712</v>
      </c>
      <c r="U31" s="393">
        <f>1/((1/I31)+LOOKUP($A31,'Energy Efficiency Measures-DBT'!$D$11:$AN$11,'Energy Efficiency Measures-DBT'!$D$43:$AN$43))</f>
        <v>0.31376537811959393</v>
      </c>
      <c r="V31" s="306">
        <f>1/((1/J31)+LOOKUP($A31,'Energy Efficiency Measures-DBT'!$D$11:$AN$11,'Energy Efficiency Measures-DBT'!$D$43:$AN$43))</f>
        <v>0.26666666666666666</v>
      </c>
      <c r="W31" s="219">
        <f>1/((1/$K31)+LOOKUP($A31,'Energy Efficiency Measures-DBT'!$D$11:$AN$11,'Energy Efficiency Measures-DBT'!$D$43:$AN$43))</f>
        <v>0.48572459946809776</v>
      </c>
      <c r="X31" s="392">
        <f>1/((1/E31)+LOOKUP($A31,'Energy Efficiency Measures-DBT'!$D$11:$AN$11,'Energy Efficiency Measures-DBT'!$D$42:$AN$42))</f>
        <v>0.32802124093180102</v>
      </c>
      <c r="Y31" s="393">
        <f>1/((1/F31)+LOOKUP($A31,'Energy Efficiency Measures-DBT'!$D$11:$AN$11,'Energy Efficiency Measures-DBT'!$D$42:$AN$42))</f>
        <v>0.31730206248656162</v>
      </c>
      <c r="Z31" s="393">
        <f>1/((1/G31)+LOOKUP($A31,'Energy Efficiency Measures-DBT'!$D$11:$AN$11,'Energy Efficiency Measures-DBT'!$D$42:$AN$42))</f>
        <v>0.31730206248656162</v>
      </c>
      <c r="AA31" s="393">
        <f>1/((1/H31)+LOOKUP($A31,'Energy Efficiency Measures-DBT'!$D$11:$AN$11,'Energy Efficiency Measures-DBT'!$D$42:$AN$42))</f>
        <v>0.23696576994443591</v>
      </c>
      <c r="AB31" s="393">
        <f>1/((1/I31)+LOOKUP($A31,'Energy Efficiency Measures-DBT'!$D$11:$AN$11,'Energy Efficiency Measures-DBT'!$D$42:$AN$42))</f>
        <v>0.22537269287313216</v>
      </c>
      <c r="AC31" s="306">
        <f>1/((1/J31)+LOOKUP($A31,'Energy Efficiency Measures-DBT'!$D$11:$AN$11,'Energy Efficiency Measures-DBT'!$D$42:$AN$42))</f>
        <v>0.2</v>
      </c>
      <c r="AD31" s="54">
        <f>1/((1/$K31)+LOOKUP($A31,'Energy Efficiency Measures-DBT'!$D$11:$AN$11,'Energy Efficiency Measures-DBT'!$D$42:$AN$42))</f>
        <v>0.30222621526820986</v>
      </c>
      <c r="AG31" s="48" t="s">
        <v>41</v>
      </c>
      <c r="AH31" s="47"/>
      <c r="AI31" s="262">
        <v>5</v>
      </c>
      <c r="AJ31" s="263">
        <v>5</v>
      </c>
      <c r="AK31" s="262">
        <v>5</v>
      </c>
      <c r="AL31" s="264">
        <v>5</v>
      </c>
      <c r="AM31" s="179" t="str">
        <f>IF(AND(E31&gt;Q31,AJ31&gt;Q31),'Energy Efficiency Measures-DBT'!$B$46,"")&amp;", "&amp;IF(AND(E31&gt;X31,AJ31&gt;X31),'Energy Efficiency Measures-DBT'!$B$45,"")</f>
        <v>MW3, MW2</v>
      </c>
      <c r="AN31" s="164" t="str">
        <f>IF(AND(F31&gt;R31,AJ31&gt;R31),'Energy Efficiency Measures-DBT'!$B$46,"")&amp;", "&amp;IF(AND(F31&gt;Y31,AJ31&gt;Y31),'Energy Efficiency Measures-DBT'!$B$45,"")</f>
        <v>MW3, MW2</v>
      </c>
      <c r="AO31" s="164" t="str">
        <f>IF(AND(G31&gt;S31,AJ31&gt;S31),'Energy Efficiency Measures-DBT'!$B$46,"")&amp;", "&amp;IF(AND(G31&gt;Z31,AJ31&gt;Z31),'Energy Efficiency Measures-DBT'!$B$45,"")</f>
        <v>MW3, MW2</v>
      </c>
      <c r="AP31" s="164" t="str">
        <f>IF(AND(H31&gt;T31,AJ31&gt;T31),'Energy Efficiency Measures-DBT'!$B$46,"")&amp;", "&amp;IF(AND(H31&gt;AA31,AJ31&gt;AA31),'Energy Efficiency Measures-DBT'!$B$45,"")</f>
        <v>MW3, MW2</v>
      </c>
      <c r="AQ31" s="164" t="str">
        <f>IF(AND(I31&gt;U31,AJ31&gt;U31),'Energy Efficiency Measures-DBT'!$B$46,"")&amp;", "&amp;IF(AND(I31&gt;AB31,AJ31&gt;AB31),'Energy Efficiency Measures-DBT'!$B$45,"")</f>
        <v>MW3, MW2</v>
      </c>
      <c r="AR31" s="273" t="str">
        <f>IF(AND(J31&gt;V31,AJ31&gt;V31),'Energy Efficiency Measures-DBT'!$B$46,"")&amp;", "&amp;IF(AND(J31&gt;AC31,AJ31&gt;AC31),'Energy Efficiency Measures-DBT'!$B$45,"")</f>
        <v>MW3, MW2</v>
      </c>
    </row>
    <row r="32" spans="1:45">
      <c r="A32" s="48" t="s">
        <v>109</v>
      </c>
      <c r="B32" s="48" t="s">
        <v>64</v>
      </c>
      <c r="C32" s="47"/>
      <c r="D32" s="47" t="s">
        <v>10</v>
      </c>
      <c r="E32" s="497">
        <v>0.48</v>
      </c>
      <c r="F32" s="498">
        <v>0.48</v>
      </c>
      <c r="G32" s="498">
        <v>0.25</v>
      </c>
      <c r="H32" s="498">
        <v>0.25</v>
      </c>
      <c r="I32" s="498">
        <v>0.18</v>
      </c>
      <c r="J32" s="499">
        <v>0.18</v>
      </c>
      <c r="K32" s="45">
        <f>SUMPRODUCT('Dwelling stock'!E32:J32,E32:J32)/SUM('Dwelling stock'!E32:J32)</f>
        <v>0.33405853476911734</v>
      </c>
      <c r="M32" s="54"/>
      <c r="P32" s="48" t="s">
        <v>64</v>
      </c>
      <c r="Q32" s="392">
        <f>1/((1/E32)+LOOKUP($A32,'Energy Efficiency Measures-DBT'!$D$11:$AN$11,'Energy Efficiency Measures-DBT'!$D$43:$AN$43))</f>
        <v>0.3</v>
      </c>
      <c r="R32" s="393">
        <f>1/((1/F32)+LOOKUP($A32,'Energy Efficiency Measures-DBT'!$D$11:$AN$11,'Energy Efficiency Measures-DBT'!$D$43:$AN$43))</f>
        <v>0.3</v>
      </c>
      <c r="S32" s="393">
        <f>1/((1/G32)+LOOKUP($A32,'Energy Efficiency Measures-DBT'!$D$11:$AN$11,'Energy Efficiency Measures-DBT'!$D$43:$AN$43))</f>
        <v>0.19047619047619047</v>
      </c>
      <c r="T32" s="393">
        <f>1/((1/H32)+LOOKUP($A32,'Energy Efficiency Measures-DBT'!$D$11:$AN$11,'Energy Efficiency Measures-DBT'!$D$43:$AN$43))</f>
        <v>0.19047619047619047</v>
      </c>
      <c r="U32" s="393">
        <f>1/((1/I32)+LOOKUP($A32,'Energy Efficiency Measures-DBT'!$D$11:$AN$11,'Energy Efficiency Measures-DBT'!$D$43:$AN$43))</f>
        <v>0.14693877551020409</v>
      </c>
      <c r="V32" s="306">
        <f>1/((1/J32)+LOOKUP($A32,'Energy Efficiency Measures-DBT'!$D$11:$AN$11,'Energy Efficiency Measures-DBT'!$D$43:$AN$43))</f>
        <v>0.14693877551020409</v>
      </c>
      <c r="W32" s="219">
        <f>1/((1/$K32)+LOOKUP($A32,'Energy Efficiency Measures-DBT'!$D$11:$AN$11,'Energy Efficiency Measures-DBT'!$D$43:$AN$43))</f>
        <v>0.2356552326196307</v>
      </c>
      <c r="X32" s="392">
        <f>1/((1/E32)+LOOKUP($A32,'Energy Efficiency Measures-DBT'!$D$11:$AN$11,'Energy Efficiency Measures-DBT'!$D$42:$AN$42))</f>
        <v>0.21818181818181814</v>
      </c>
      <c r="Y32" s="393">
        <f>1/((1/F32)+LOOKUP($A32,'Energy Efficiency Measures-DBT'!$D$11:$AN$11,'Energy Efficiency Measures-DBT'!$D$42:$AN$42))</f>
        <v>0.21818181818181814</v>
      </c>
      <c r="Z32" s="393">
        <f>1/((1/G32)+LOOKUP($A32,'Energy Efficiency Measures-DBT'!$D$11:$AN$11,'Energy Efficiency Measures-DBT'!$D$42:$AN$42))</f>
        <v>0.15384615384615385</v>
      </c>
      <c r="AA32" s="393">
        <f>1/((1/H32)+LOOKUP($A32,'Energy Efficiency Measures-DBT'!$D$11:$AN$11,'Energy Efficiency Measures-DBT'!$D$42:$AN$42))</f>
        <v>0.15384615384615385</v>
      </c>
      <c r="AB32" s="393">
        <f>1/((1/I32)+LOOKUP($A32,'Energy Efficiency Measures-DBT'!$D$11:$AN$11,'Energy Efficiency Measures-DBT'!$D$42:$AN$42))</f>
        <v>0.12413793103448276</v>
      </c>
      <c r="AC32" s="306">
        <f>1/((1/J32)+LOOKUP($A32,'Energy Efficiency Measures-DBT'!$D$11:$AN$11,'Energy Efficiency Measures-DBT'!$D$42:$AN$42))</f>
        <v>0.12413793103448276</v>
      </c>
      <c r="AD32" s="54">
        <f>1/((1/$K32)+LOOKUP($A32,'Energy Efficiency Measures-DBT'!$D$11:$AN$11,'Energy Efficiency Measures-DBT'!$D$42:$AN$42))</f>
        <v>0.18203373106979184</v>
      </c>
      <c r="AG32" s="48" t="s">
        <v>64</v>
      </c>
      <c r="AH32" s="47"/>
      <c r="AI32" s="262">
        <v>5</v>
      </c>
      <c r="AJ32" s="263">
        <v>5</v>
      </c>
      <c r="AK32" s="262">
        <v>5</v>
      </c>
      <c r="AL32" s="264">
        <v>5</v>
      </c>
      <c r="AM32" s="179" t="str">
        <f>IF(AND(E32&gt;Q32,AJ32&gt;Q32),'Energy Efficiency Measures-DBT'!$B$46,"")&amp;", "&amp;IF(AND(E32&gt;X32,AJ32&gt;X32),'Energy Efficiency Measures-DBT'!$B$45,"")</f>
        <v>MW3, MW2</v>
      </c>
      <c r="AN32" s="164" t="str">
        <f>IF(AND(F32&gt;R32,AJ32&gt;R32),'Energy Efficiency Measures-DBT'!$B$46,"")&amp;", "&amp;IF(AND(F32&gt;Y32,AJ32&gt;Y32),'Energy Efficiency Measures-DBT'!$B$45,"")</f>
        <v>MW3, MW2</v>
      </c>
      <c r="AO32" s="164" t="str">
        <f>IF(AND(G32&gt;S32,AJ32&gt;S32),'Energy Efficiency Measures-DBT'!$B$46,"")&amp;", "&amp;IF(AND(G32&gt;Z32,AJ32&gt;Z32),'Energy Efficiency Measures-DBT'!$B$45,"")</f>
        <v>MW3, MW2</v>
      </c>
      <c r="AP32" s="164" t="str">
        <f>IF(AND(H32&gt;T32,AJ32&gt;T32),'Energy Efficiency Measures-DBT'!$B$46,"")&amp;", "&amp;IF(AND(H32&gt;AA32,AJ32&gt;AA32),'Energy Efficiency Measures-DBT'!$B$45,"")</f>
        <v>MW3, MW2</v>
      </c>
      <c r="AQ32" s="164" t="str">
        <f>IF(AND(I32&gt;U32,AJ32&gt;U32),'Energy Efficiency Measures-DBT'!$B$46,"")&amp;", "&amp;IF(AND(I32&gt;AB32,AJ32&gt;AB32),'Energy Efficiency Measures-DBT'!$B$45,"")</f>
        <v>MW3, MW2</v>
      </c>
      <c r="AR32" s="273" t="str">
        <f>IF(AND(J32&gt;V32,AJ32&gt;V32),'Energy Efficiency Measures-DBT'!$B$46,"")&amp;", "&amp;IF(AND(J32&gt;AC32,AJ32&gt;AC32),'Energy Efficiency Measures-DBT'!$B$45,"")</f>
        <v>MW3, MW2</v>
      </c>
    </row>
    <row r="33" spans="1:44">
      <c r="A33" s="48" t="s">
        <v>110</v>
      </c>
      <c r="B33" s="48" t="s">
        <v>42</v>
      </c>
      <c r="C33" s="47" t="s">
        <v>21</v>
      </c>
      <c r="D33" s="47" t="s">
        <v>10</v>
      </c>
      <c r="E33" s="497">
        <v>1.7592289999999999</v>
      </c>
      <c r="F33" s="498">
        <v>1.23</v>
      </c>
      <c r="G33" s="498">
        <v>0.73</v>
      </c>
      <c r="H33" s="498">
        <v>0.73</v>
      </c>
      <c r="I33" s="498">
        <v>0.73</v>
      </c>
      <c r="J33" s="499">
        <v>0.42499999999999999</v>
      </c>
      <c r="K33" s="45">
        <f>SUMPRODUCT('Dwelling stock'!E33:J33,E33:J33)/SUM('Dwelling stock'!E33:J33)</f>
        <v>1.0029905932983161</v>
      </c>
      <c r="M33" s="54">
        <v>0.90456499999999995</v>
      </c>
      <c r="P33" s="48" t="s">
        <v>42</v>
      </c>
      <c r="Q33" s="392">
        <f>1/((1/E33)+LOOKUP($A33,'Energy Efficiency Measures-DBT'!$D$11:$AN$11,'Energy Efficiency Measures-DBT'!$D$43:$AN$43))</f>
        <v>0.549924684348294</v>
      </c>
      <c r="R33" s="393">
        <f>1/((1/F33)+LOOKUP($A33,'Energy Efficiency Measures-DBT'!$D$11:$AN$11,'Energy Efficiency Measures-DBT'!$D$43:$AN$43))</f>
        <v>0.48472906403940885</v>
      </c>
      <c r="S33" s="393">
        <f>1/((1/G33)+LOOKUP($A33,'Energy Efficiency Measures-DBT'!$D$11:$AN$11,'Energy Efficiency Measures-DBT'!$D$43:$AN$43))</f>
        <v>0.38169934640522873</v>
      </c>
      <c r="T33" s="393">
        <f>1/((1/H33)+LOOKUP($A33,'Energy Efficiency Measures-DBT'!$D$11:$AN$11,'Energy Efficiency Measures-DBT'!$D$43:$AN$43))</f>
        <v>0.38169934640522873</v>
      </c>
      <c r="U33" s="393">
        <f>1/((1/I33)+LOOKUP($A33,'Energy Efficiency Measures-DBT'!$D$11:$AN$11,'Energy Efficiency Measures-DBT'!$D$43:$AN$43))</f>
        <v>0.38169934640522873</v>
      </c>
      <c r="V33" s="306">
        <f>1/((1/J33)+LOOKUP($A33,'Energy Efficiency Measures-DBT'!$D$11:$AN$11,'Energy Efficiency Measures-DBT'!$D$43:$AN$43))</f>
        <v>0.27755102040816326</v>
      </c>
      <c r="W33" s="219">
        <f>1/((1/$K33)+LOOKUP($A33,'Energy Efficiency Measures-DBT'!$D$11:$AN$11,'Energy Efficiency Measures-DBT'!$D$43:$AN$43))</f>
        <v>0.44503419908075587</v>
      </c>
      <c r="X33" s="392">
        <f>1/((1/E33)+LOOKUP($A33,'Energy Efficiency Measures-DBT'!$D$11:$AN$11,'Energy Efficiency Measures-DBT'!$D$42:$AN$42))</f>
        <v>0.32589947615560927</v>
      </c>
      <c r="Y33" s="393">
        <f>1/((1/F33)+LOOKUP($A33,'Energy Efficiency Measures-DBT'!$D$11:$AN$11,'Energy Efficiency Measures-DBT'!$D$42:$AN$42))</f>
        <v>0.30184049079754599</v>
      </c>
      <c r="Z33" s="393">
        <f>1/((1/G33)+LOOKUP($A33,'Energy Efficiency Measures-DBT'!$D$11:$AN$11,'Energy Efficiency Measures-DBT'!$D$42:$AN$42))</f>
        <v>0.25840707964601767</v>
      </c>
      <c r="AA33" s="393">
        <f>1/((1/H33)+LOOKUP($A33,'Energy Efficiency Measures-DBT'!$D$11:$AN$11,'Energy Efficiency Measures-DBT'!$D$42:$AN$42))</f>
        <v>0.25840707964601767</v>
      </c>
      <c r="AB33" s="393">
        <f>1/((1/I33)+LOOKUP($A33,'Energy Efficiency Measures-DBT'!$D$11:$AN$11,'Energy Efficiency Measures-DBT'!$D$42:$AN$42))</f>
        <v>0.25840707964601767</v>
      </c>
      <c r="AC33" s="306">
        <f>1/((1/J33)+LOOKUP($A33,'Energy Efficiency Measures-DBT'!$D$11:$AN$11,'Energy Efficiency Measures-DBT'!$D$42:$AN$42))</f>
        <v>0.20606060606060603</v>
      </c>
      <c r="AD33" s="54">
        <f>1/((1/$K33)+LOOKUP($A33,'Energy Efficiency Measures-DBT'!$D$11:$AN$11,'Energy Efficiency Measures-DBT'!$D$42:$AN$42))</f>
        <v>0.28595789539554001</v>
      </c>
      <c r="AG33" s="48" t="s">
        <v>42</v>
      </c>
      <c r="AH33" s="47"/>
      <c r="AI33" s="262">
        <v>5</v>
      </c>
      <c r="AJ33" s="263">
        <v>5</v>
      </c>
      <c r="AK33" s="262">
        <v>5</v>
      </c>
      <c r="AL33" s="264">
        <v>5</v>
      </c>
      <c r="AM33" s="179" t="str">
        <f>IF(AND(E33&gt;Q33,AJ33&gt;Q33),'Energy Efficiency Measures-DBT'!$B$46,"")&amp;", "&amp;IF(AND(E33&gt;X33,AJ33&gt;X33),'Energy Efficiency Measures-DBT'!$B$45,"")</f>
        <v>MW3, MW2</v>
      </c>
      <c r="AN33" s="164" t="str">
        <f>IF(AND(F33&gt;R33,AJ33&gt;R33),'Energy Efficiency Measures-DBT'!$B$46,"")&amp;", "&amp;IF(AND(F33&gt;Y33,AJ33&gt;Y33),'Energy Efficiency Measures-DBT'!$B$45,"")</f>
        <v>MW3, MW2</v>
      </c>
      <c r="AO33" s="164" t="str">
        <f>IF(AND(G33&gt;S33,AJ33&gt;S33),'Energy Efficiency Measures-DBT'!$B$46,"")&amp;", "&amp;IF(AND(G33&gt;Z33,AJ33&gt;Z33),'Energy Efficiency Measures-DBT'!$B$45,"")</f>
        <v>MW3, MW2</v>
      </c>
      <c r="AP33" s="164" t="str">
        <f>IF(AND(H33&gt;T33,AJ33&gt;T33),'Energy Efficiency Measures-DBT'!$B$46,"")&amp;", "&amp;IF(AND(H33&gt;AA33,AJ33&gt;AA33),'Energy Efficiency Measures-DBT'!$B$45,"")</f>
        <v>MW3, MW2</v>
      </c>
      <c r="AQ33" s="164" t="str">
        <f>IF(AND(I33&gt;U33,AJ33&gt;U33),'Energy Efficiency Measures-DBT'!$B$46,"")&amp;", "&amp;IF(AND(I33&gt;AB33,AJ33&gt;AB33),'Energy Efficiency Measures-DBT'!$B$45,"")</f>
        <v>MW3, MW2</v>
      </c>
      <c r="AR33" s="273" t="str">
        <f>IF(AND(J33&gt;V33,AJ33&gt;V33),'Energy Efficiency Measures-DBT'!$B$46,"")&amp;", "&amp;IF(AND(J33&gt;AC33,AJ33&gt;AC33),'Energy Efficiency Measures-DBT'!$B$45,"")</f>
        <v>MW3, MW2</v>
      </c>
    </row>
    <row r="34" spans="1:44">
      <c r="A34" s="48" t="s">
        <v>111</v>
      </c>
      <c r="B34" s="48" t="s">
        <v>43</v>
      </c>
      <c r="C34" s="47" t="s">
        <v>14</v>
      </c>
      <c r="D34" s="47" t="s">
        <v>10</v>
      </c>
      <c r="E34" s="497">
        <v>2</v>
      </c>
      <c r="F34" s="498">
        <v>1.5</v>
      </c>
      <c r="G34" s="498">
        <v>1.5</v>
      </c>
      <c r="H34" s="498">
        <v>1.4</v>
      </c>
      <c r="I34" s="498">
        <v>1.2</v>
      </c>
      <c r="J34" s="499">
        <v>0.77</v>
      </c>
      <c r="K34" s="45">
        <f>SUMPRODUCT('Dwelling stock'!E34:J34,E34:J34)/SUM('Dwelling stock'!E34:J34)</f>
        <v>1.4135243239377908</v>
      </c>
      <c r="M34" s="54">
        <v>1.4361170000000001</v>
      </c>
      <c r="P34" s="48" t="s">
        <v>43</v>
      </c>
      <c r="Q34" s="392">
        <f>1/((1/E34)+LOOKUP($A34,'Energy Efficiency Measures-DBT'!$D$11:$AN$11,'Energy Efficiency Measures-DBT'!$D$43:$AN$43))</f>
        <v>0.5714285714285714</v>
      </c>
      <c r="R34" s="393">
        <f>1/((1/F34)+LOOKUP($A34,'Energy Efficiency Measures-DBT'!$D$11:$AN$11,'Energy Efficiency Measures-DBT'!$D$43:$AN$43))</f>
        <v>0.52173913043478259</v>
      </c>
      <c r="S34" s="393">
        <f>1/((1/G34)+LOOKUP($A34,'Energy Efficiency Measures-DBT'!$D$11:$AN$11,'Energy Efficiency Measures-DBT'!$D$43:$AN$43))</f>
        <v>0.52173913043478259</v>
      </c>
      <c r="T34" s="393">
        <f>1/((1/H34)+LOOKUP($A34,'Energy Efficiency Measures-DBT'!$D$11:$AN$11,'Energy Efficiency Measures-DBT'!$D$43:$AN$43))</f>
        <v>0.50909090909090904</v>
      </c>
      <c r="U34" s="393">
        <f>1/((1/I34)+LOOKUP($A34,'Energy Efficiency Measures-DBT'!$D$11:$AN$11,'Energy Efficiency Measures-DBT'!$D$43:$AN$43))</f>
        <v>0.48</v>
      </c>
      <c r="V34" s="306">
        <f>1/((1/J34)+LOOKUP($A34,'Energy Efficiency Measures-DBT'!$D$11:$AN$11,'Energy Efficiency Measures-DBT'!$D$43:$AN$43))</f>
        <v>0.3923566878980892</v>
      </c>
      <c r="W34" s="219">
        <f>1/((1/$K34)+LOOKUP($A34,'Energy Efficiency Measures-DBT'!$D$11:$AN$11,'Energy Efficiency Measures-DBT'!$D$43:$AN$43))</f>
        <v>0.51086832293694429</v>
      </c>
      <c r="X34" s="392">
        <f>1/((1/E34)+LOOKUP($A34,'Energy Efficiency Measures-DBT'!$D$11:$AN$11,'Energy Efficiency Measures-DBT'!$D$42:$AN$42))</f>
        <v>0.33333333333333331</v>
      </c>
      <c r="Y34" s="393">
        <f>1/((1/F34)+LOOKUP($A34,'Energy Efficiency Measures-DBT'!$D$11:$AN$11,'Energy Efficiency Measures-DBT'!$D$42:$AN$42))</f>
        <v>0.31578947368421056</v>
      </c>
      <c r="Z34" s="393">
        <f>1/((1/G34)+LOOKUP($A34,'Energy Efficiency Measures-DBT'!$D$11:$AN$11,'Energy Efficiency Measures-DBT'!$D$42:$AN$42))</f>
        <v>0.31578947368421056</v>
      </c>
      <c r="AA34" s="393">
        <f>1/((1/H34)+LOOKUP($A34,'Energy Efficiency Measures-DBT'!$D$11:$AN$11,'Energy Efficiency Measures-DBT'!$D$42:$AN$42))</f>
        <v>0.31111111111111112</v>
      </c>
      <c r="AB34" s="393">
        <f>1/((1/I34)+LOOKUP($A34,'Energy Efficiency Measures-DBT'!$D$11:$AN$11,'Energy Efficiency Measures-DBT'!$D$42:$AN$42))</f>
        <v>0.3</v>
      </c>
      <c r="AC34" s="306">
        <f>1/((1/J34)+LOOKUP($A34,'Energy Efficiency Measures-DBT'!$D$11:$AN$11,'Energy Efficiency Measures-DBT'!$D$42:$AN$42))</f>
        <v>0.26324786324786326</v>
      </c>
      <c r="AD34" s="54">
        <f>1/((1/$K34)+LOOKUP($A34,'Energy Efficiency Measures-DBT'!$D$11:$AN$11,'Energy Efficiency Measures-DBT'!$D$42:$AN$42))</f>
        <v>0.31177399834782232</v>
      </c>
      <c r="AG34" s="48" t="s">
        <v>43</v>
      </c>
      <c r="AH34" s="47"/>
      <c r="AI34" s="262">
        <v>5</v>
      </c>
      <c r="AJ34" s="263">
        <v>5</v>
      </c>
      <c r="AK34" s="262">
        <v>5</v>
      </c>
      <c r="AL34" s="264">
        <v>5</v>
      </c>
      <c r="AM34" s="179" t="str">
        <f>IF(AND(E34&gt;Q34,AJ34&gt;Q34),'Energy Efficiency Measures-DBT'!$B$46,"")&amp;", "&amp;IF(AND(E34&gt;X34,AJ34&gt;X34),'Energy Efficiency Measures-DBT'!$B$45,"")</f>
        <v>MW3, MW2</v>
      </c>
      <c r="AN34" s="164" t="str">
        <f>IF(AND(F34&gt;R34,AJ34&gt;R34),'Energy Efficiency Measures-DBT'!$B$46,"")&amp;", "&amp;IF(AND(F34&gt;Y34,AJ34&gt;Y34),'Energy Efficiency Measures-DBT'!$B$45,"")</f>
        <v>MW3, MW2</v>
      </c>
      <c r="AO34" s="164" t="str">
        <f>IF(AND(G34&gt;S34,AJ34&gt;S34),'Energy Efficiency Measures-DBT'!$B$46,"")&amp;", "&amp;IF(AND(G34&gt;Z34,AJ34&gt;Z34),'Energy Efficiency Measures-DBT'!$B$45,"")</f>
        <v>MW3, MW2</v>
      </c>
      <c r="AP34" s="164" t="str">
        <f>IF(AND(H34&gt;T34,AJ34&gt;T34),'Energy Efficiency Measures-DBT'!$B$46,"")&amp;", "&amp;IF(AND(H34&gt;AA34,AJ34&gt;AA34),'Energy Efficiency Measures-DBT'!$B$45,"")</f>
        <v>MW3, MW2</v>
      </c>
      <c r="AQ34" s="164" t="str">
        <f>IF(AND(I34&gt;U34,AJ34&gt;U34),'Energy Efficiency Measures-DBT'!$B$46,"")&amp;", "&amp;IF(AND(I34&gt;AB34,AJ34&gt;AB34),'Energy Efficiency Measures-DBT'!$B$45,"")</f>
        <v>MW3, MW2</v>
      </c>
      <c r="AR34" s="273" t="str">
        <f>IF(AND(J34&gt;V34,AJ34&gt;V34),'Energy Efficiency Measures-DBT'!$B$46,"")&amp;", "&amp;IF(AND(J34&gt;AC34,AJ34&gt;AC34),'Energy Efficiency Measures-DBT'!$B$45,"")</f>
        <v>MW3, MW2</v>
      </c>
    </row>
    <row r="35" spans="1:44">
      <c r="A35" s="48" t="s">
        <v>112</v>
      </c>
      <c r="B35" s="48" t="s">
        <v>44</v>
      </c>
      <c r="C35" s="47" t="s">
        <v>14</v>
      </c>
      <c r="D35" s="47" t="s">
        <v>10</v>
      </c>
      <c r="E35" s="497">
        <v>1.9</v>
      </c>
      <c r="F35" s="498">
        <v>1.7</v>
      </c>
      <c r="G35" s="498">
        <v>1.7</v>
      </c>
      <c r="H35" s="498">
        <v>1.3</v>
      </c>
      <c r="I35" s="498">
        <v>1.3</v>
      </c>
      <c r="J35" s="499">
        <v>0.9</v>
      </c>
      <c r="K35" s="45">
        <f>SUMPRODUCT('Dwelling stock'!E35:J35,E35:J35)/SUM('Dwelling stock'!E35:J35)</f>
        <v>1.5534426721336065</v>
      </c>
      <c r="M35" s="54">
        <v>1.582775</v>
      </c>
      <c r="P35" s="48" t="s">
        <v>44</v>
      </c>
      <c r="Q35" s="392">
        <f>1/((1/E35)+LOOKUP($A35,'Energy Efficiency Measures-DBT'!$D$11:$AN$11,'Energy Efficiency Measures-DBT'!$D$43:$AN$43))</f>
        <v>0.562962962962963</v>
      </c>
      <c r="R35" s="393">
        <f>1/((1/F35)+LOOKUP($A35,'Energy Efficiency Measures-DBT'!$D$11:$AN$11,'Energy Efficiency Measures-DBT'!$D$43:$AN$43))</f>
        <v>0.54399999999999993</v>
      </c>
      <c r="S35" s="393">
        <f>1/((1/G35)+LOOKUP($A35,'Energy Efficiency Measures-DBT'!$D$11:$AN$11,'Energy Efficiency Measures-DBT'!$D$43:$AN$43))</f>
        <v>0.54399999999999993</v>
      </c>
      <c r="T35" s="393">
        <f>1/((1/H35)+LOOKUP($A35,'Energy Efficiency Measures-DBT'!$D$11:$AN$11,'Energy Efficiency Measures-DBT'!$D$43:$AN$43))</f>
        <v>0.49523809523809526</v>
      </c>
      <c r="U35" s="393">
        <f>1/((1/I35)+LOOKUP($A35,'Energy Efficiency Measures-DBT'!$D$11:$AN$11,'Energy Efficiency Measures-DBT'!$D$43:$AN$43))</f>
        <v>0.49523809523809526</v>
      </c>
      <c r="V35" s="306">
        <f>1/((1/J35)+LOOKUP($A35,'Energy Efficiency Measures-DBT'!$D$11:$AN$11,'Energy Efficiency Measures-DBT'!$D$43:$AN$43))</f>
        <v>0.42352941176470588</v>
      </c>
      <c r="W35" s="219">
        <f>1/((1/$K35)+LOOKUP($A35,'Energy Efficiency Measures-DBT'!$D$11:$AN$11,'Energy Efficiency Measures-DBT'!$D$43:$AN$43))</f>
        <v>0.52805796054518606</v>
      </c>
      <c r="X35" s="392">
        <f>1/((1/E35)+LOOKUP($A35,'Energy Efficiency Measures-DBT'!$D$11:$AN$11,'Energy Efficiency Measures-DBT'!$D$42:$AN$42))</f>
        <v>0.33043478260869569</v>
      </c>
      <c r="Y35" s="393">
        <f>1/((1/F35)+LOOKUP($A35,'Energy Efficiency Measures-DBT'!$D$11:$AN$11,'Energy Efficiency Measures-DBT'!$D$42:$AN$42))</f>
        <v>0.32380952380952377</v>
      </c>
      <c r="Z35" s="393">
        <f>1/((1/G35)+LOOKUP($A35,'Energy Efficiency Measures-DBT'!$D$11:$AN$11,'Energy Efficiency Measures-DBT'!$D$42:$AN$42))</f>
        <v>0.32380952380952377</v>
      </c>
      <c r="AA35" s="393">
        <f>1/((1/H35)+LOOKUP($A35,'Energy Efficiency Measures-DBT'!$D$11:$AN$11,'Energy Efficiency Measures-DBT'!$D$42:$AN$42))</f>
        <v>0.30588235294117649</v>
      </c>
      <c r="AB35" s="393">
        <f>1/((1/I35)+LOOKUP($A35,'Energy Efficiency Measures-DBT'!$D$11:$AN$11,'Energy Efficiency Measures-DBT'!$D$42:$AN$42))</f>
        <v>0.30588235294117649</v>
      </c>
      <c r="AC35" s="306">
        <f>1/((1/J35)+LOOKUP($A35,'Energy Efficiency Measures-DBT'!$D$11:$AN$11,'Energy Efficiency Measures-DBT'!$D$42:$AN$42))</f>
        <v>0.27692307692307694</v>
      </c>
      <c r="AD35" s="54">
        <f>1/((1/$K35)+LOOKUP($A35,'Energy Efficiency Measures-DBT'!$D$11:$AN$11,'Energy Efficiency Measures-DBT'!$D$42:$AN$42))</f>
        <v>0.31809332196821349</v>
      </c>
      <c r="AG35" s="48" t="s">
        <v>44</v>
      </c>
      <c r="AH35" s="47" t="s">
        <v>283</v>
      </c>
      <c r="AI35" s="179">
        <v>0.56000000000000005</v>
      </c>
      <c r="AJ35" s="429">
        <v>0.71</v>
      </c>
      <c r="AK35" s="428">
        <f>AI35</f>
        <v>0.56000000000000005</v>
      </c>
      <c r="AL35" s="430">
        <f>AJ35</f>
        <v>0.71</v>
      </c>
      <c r="AM35" s="179" t="str">
        <f>IF(AND(E35&gt;Q35,AJ35&gt;Q35),'Energy Efficiency Measures-DBT'!$B$46,"")&amp;", "&amp;IF(AND(E35&gt;X35,AJ35&gt;X35),'Energy Efficiency Measures-DBT'!$B$45,"")</f>
        <v>MW3, MW2</v>
      </c>
      <c r="AN35" s="164" t="str">
        <f>IF(AND(F35&gt;R35,AJ35&gt;R35),'Energy Efficiency Measures-DBT'!$B$46,"")&amp;", "&amp;IF(AND(F35&gt;Y35,AJ35&gt;Y35),'Energy Efficiency Measures-DBT'!$B$45,"")</f>
        <v>MW3, MW2</v>
      </c>
      <c r="AO35" s="164" t="str">
        <f>IF(AND(G35&gt;S35,AJ35&gt;S35),'Energy Efficiency Measures-DBT'!$B$46,"")&amp;", "&amp;IF(AND(G35&gt;Z35,AJ35&gt;Z35),'Energy Efficiency Measures-DBT'!$B$45,"")</f>
        <v>MW3, MW2</v>
      </c>
      <c r="AP35" s="164" t="str">
        <f>IF(AND(H35&gt;T35,AJ35&gt;T35),'Energy Efficiency Measures-DBT'!$B$46,"")&amp;", "&amp;IF(AND(H35&gt;AA35,AJ35&gt;AA35),'Energy Efficiency Measures-DBT'!$B$45,"")</f>
        <v>MW3, MW2</v>
      </c>
      <c r="AQ35" s="164" t="str">
        <f>IF(AND(I35&gt;U35,AJ35&gt;U35),'Energy Efficiency Measures-DBT'!$B$46,"")&amp;", "&amp;IF(AND(I35&gt;AB35,AJ35&gt;AB35),'Energy Efficiency Measures-DBT'!$B$45,"")</f>
        <v>MW3, MW2</v>
      </c>
      <c r="AR35" s="273" t="str">
        <f>IF(AND(J35&gt;V35,AJ35&gt;V35),'Energy Efficiency Measures-DBT'!$B$46,"")&amp;", "&amp;IF(AND(J35&gt;AC35,AJ35&gt;AC35),'Energy Efficiency Measures-DBT'!$B$45,"")</f>
        <v>MW3, MW2</v>
      </c>
    </row>
    <row r="36" spans="1:44">
      <c r="A36" s="48" t="s">
        <v>121</v>
      </c>
      <c r="B36" s="48" t="s">
        <v>53</v>
      </c>
      <c r="C36" s="47" t="s">
        <v>54</v>
      </c>
      <c r="D36" s="47" t="s">
        <v>10</v>
      </c>
      <c r="E36" s="497">
        <v>1.45</v>
      </c>
      <c r="F36" s="498">
        <v>1.45</v>
      </c>
      <c r="G36" s="498">
        <v>1.45</v>
      </c>
      <c r="H36" s="498">
        <v>1.2</v>
      </c>
      <c r="I36" s="498">
        <v>1.1000000000000001</v>
      </c>
      <c r="J36" s="499">
        <v>0.9</v>
      </c>
      <c r="K36" s="45">
        <f>SUMPRODUCT('Dwelling stock'!E36:J36,E36:J36)/SUM('Dwelling stock'!E36:J36)</f>
        <v>1.3327162610209247</v>
      </c>
      <c r="M36" s="54">
        <v>1.3603050000000001</v>
      </c>
      <c r="O36" s="2"/>
      <c r="P36" s="48" t="s">
        <v>53</v>
      </c>
      <c r="Q36" s="392">
        <f>1/((1/E36)+LOOKUP($A36,'Energy Efficiency Measures-DBT'!$D$11:$AN$11,'Energy Efficiency Measures-DBT'!$D$43:$AN$43))</f>
        <v>0.51555555555555554</v>
      </c>
      <c r="R36" s="393">
        <f>1/((1/F36)+LOOKUP($A36,'Energy Efficiency Measures-DBT'!$D$11:$AN$11,'Energy Efficiency Measures-DBT'!$D$43:$AN$43))</f>
        <v>0.51555555555555554</v>
      </c>
      <c r="S36" s="393">
        <f>1/((1/G36)+LOOKUP($A36,'Energy Efficiency Measures-DBT'!$D$11:$AN$11,'Energy Efficiency Measures-DBT'!$D$43:$AN$43))</f>
        <v>0.51555555555555554</v>
      </c>
      <c r="T36" s="393">
        <f>1/((1/H36)+LOOKUP($A36,'Energy Efficiency Measures-DBT'!$D$11:$AN$11,'Energy Efficiency Measures-DBT'!$D$43:$AN$43))</f>
        <v>0.48</v>
      </c>
      <c r="U36" s="393">
        <f>1/((1/I36)+LOOKUP($A36,'Energy Efficiency Measures-DBT'!$D$11:$AN$11,'Energy Efficiency Measures-DBT'!$D$43:$AN$43))</f>
        <v>0.4631578947368421</v>
      </c>
      <c r="V36" s="306">
        <f>1/((1/J36)+LOOKUP($A36,'Energy Efficiency Measures-DBT'!$D$11:$AN$11,'Energy Efficiency Measures-DBT'!$D$43:$AN$43))</f>
        <v>0.42352941176470588</v>
      </c>
      <c r="W36" s="219">
        <f>1/((1/$K36)+LOOKUP($A36,'Energy Efficiency Measures-DBT'!$D$11:$AN$11,'Energy Efficiency Measures-DBT'!$D$43:$AN$43))</f>
        <v>0.49991319909867704</v>
      </c>
      <c r="X36" s="392">
        <f>1/((1/E36)+LOOKUP($A36,'Energy Efficiency Measures-DBT'!$D$11:$AN$11,'Energy Efficiency Measures-DBT'!$D$42:$AN$42))</f>
        <v>0.31351351351351353</v>
      </c>
      <c r="Y36" s="393">
        <f>1/((1/F36)+LOOKUP($A36,'Energy Efficiency Measures-DBT'!$D$11:$AN$11,'Energy Efficiency Measures-DBT'!$D$42:$AN$42))</f>
        <v>0.31351351351351353</v>
      </c>
      <c r="Z36" s="393">
        <f>1/((1/G36)+LOOKUP($A36,'Energy Efficiency Measures-DBT'!$D$11:$AN$11,'Energy Efficiency Measures-DBT'!$D$42:$AN$42))</f>
        <v>0.31351351351351353</v>
      </c>
      <c r="AA36" s="393">
        <f>1/((1/H36)+LOOKUP($A36,'Energy Efficiency Measures-DBT'!$D$11:$AN$11,'Energy Efficiency Measures-DBT'!$D$42:$AN$42))</f>
        <v>0.3</v>
      </c>
      <c r="AB36" s="393">
        <f>1/((1/I36)+LOOKUP($A36,'Energy Efficiency Measures-DBT'!$D$11:$AN$11,'Energy Efficiency Measures-DBT'!$D$42:$AN$42))</f>
        <v>0.29333333333333333</v>
      </c>
      <c r="AC36" s="306">
        <f>1/((1/J36)+LOOKUP($A36,'Energy Efficiency Measures-DBT'!$D$11:$AN$11,'Energy Efficiency Measures-DBT'!$D$42:$AN$42))</f>
        <v>0.27692307692307694</v>
      </c>
      <c r="AD36" s="54">
        <f>1/((1/$K36)+LOOKUP($A36,'Energy Efficiency Measures-DBT'!$D$11:$AN$11,'Energy Efficiency Measures-DBT'!$D$42:$AN$42))</f>
        <v>0.30765943415009722</v>
      </c>
      <c r="AG36" s="48" t="s">
        <v>53</v>
      </c>
      <c r="AH36" s="47"/>
      <c r="AI36" s="262">
        <v>5</v>
      </c>
      <c r="AJ36" s="263">
        <v>5</v>
      </c>
      <c r="AK36" s="262">
        <v>5</v>
      </c>
      <c r="AL36" s="264">
        <v>5</v>
      </c>
      <c r="AM36" s="179" t="str">
        <f>IF(AND(E36&gt;Q36,AJ36&gt;Q36),'Energy Efficiency Measures-DBT'!$B$46,"")&amp;", "&amp;IF(AND(E36&gt;X36,AJ36&gt;X36),'Energy Efficiency Measures-DBT'!$B$45,"")</f>
        <v>MW3, MW2</v>
      </c>
      <c r="AN36" s="164" t="str">
        <f>IF(AND(F36&gt;R36,AJ36&gt;R36),'Energy Efficiency Measures-DBT'!$B$46,"")&amp;", "&amp;IF(AND(F36&gt;Y36,AJ36&gt;Y36),'Energy Efficiency Measures-DBT'!$B$45,"")</f>
        <v>MW3, MW2</v>
      </c>
      <c r="AO36" s="164" t="str">
        <f>IF(AND(G36&gt;S36,AJ36&gt;S36),'Energy Efficiency Measures-DBT'!$B$46,"")&amp;", "&amp;IF(AND(G36&gt;Z36,AJ36&gt;Z36),'Energy Efficiency Measures-DBT'!$B$45,"")</f>
        <v>MW3, MW2</v>
      </c>
      <c r="AP36" s="164" t="str">
        <f>IF(AND(H36&gt;T36,AJ36&gt;T36),'Energy Efficiency Measures-DBT'!$B$46,"")&amp;", "&amp;IF(AND(H36&gt;AA36,AJ36&gt;AA36),'Energy Efficiency Measures-DBT'!$B$45,"")</f>
        <v>MW3, MW2</v>
      </c>
      <c r="AQ36" s="164" t="str">
        <f>IF(AND(I36&gt;U36,AJ36&gt;U36),'Energy Efficiency Measures-DBT'!$B$46,"")&amp;", "&amp;IF(AND(I36&gt;AB36,AJ36&gt;AB36),'Energy Efficiency Measures-DBT'!$B$45,"")</f>
        <v>MW3, MW2</v>
      </c>
      <c r="AR36" s="273" t="str">
        <f>IF(AND(J36&gt;V36,AJ36&gt;V36),'Energy Efficiency Measures-DBT'!$B$46,"")&amp;", "&amp;IF(AND(J36&gt;AC36,AJ36&gt;AC36),'Energy Efficiency Measures-DBT'!$B$45,"")</f>
        <v>MW3, MW2</v>
      </c>
    </row>
    <row r="37" spans="1:44">
      <c r="A37" s="48" t="s">
        <v>113</v>
      </c>
      <c r="B37" s="48" t="s">
        <v>51</v>
      </c>
      <c r="C37" s="47" t="s">
        <v>34</v>
      </c>
      <c r="D37" s="47" t="s">
        <v>10</v>
      </c>
      <c r="E37" s="497">
        <v>0.48</v>
      </c>
      <c r="F37" s="498">
        <v>0.48</v>
      </c>
      <c r="G37" s="498">
        <v>0.25</v>
      </c>
      <c r="H37" s="498">
        <v>0.25</v>
      </c>
      <c r="I37" s="498">
        <v>0.18</v>
      </c>
      <c r="J37" s="499">
        <v>0.18</v>
      </c>
      <c r="K37" s="45">
        <f>SUMPRODUCT('Dwelling stock'!E37:J37,E37:J37)/SUM('Dwelling stock'!E37:J37)</f>
        <v>0.38359500558465476</v>
      </c>
      <c r="M37" s="54">
        <v>0.41020499999999999</v>
      </c>
      <c r="P37" s="48" t="s">
        <v>51</v>
      </c>
      <c r="Q37" s="392">
        <f>1/((1/E37)+LOOKUP($A37,'Energy Efficiency Measures-DBT'!$D$11:$AN$11,'Energy Efficiency Measures-DBT'!$D$43:$AN$43))</f>
        <v>0.3</v>
      </c>
      <c r="R37" s="393">
        <f>1/((1/F37)+LOOKUP($A37,'Energy Efficiency Measures-DBT'!$D$11:$AN$11,'Energy Efficiency Measures-DBT'!$D$43:$AN$43))</f>
        <v>0.3</v>
      </c>
      <c r="S37" s="393">
        <f>1/((1/G37)+LOOKUP($A37,'Energy Efficiency Measures-DBT'!$D$11:$AN$11,'Energy Efficiency Measures-DBT'!$D$43:$AN$43))</f>
        <v>0.19047619047619047</v>
      </c>
      <c r="T37" s="393">
        <f>1/((1/H37)+LOOKUP($A37,'Energy Efficiency Measures-DBT'!$D$11:$AN$11,'Energy Efficiency Measures-DBT'!$D$43:$AN$43))</f>
        <v>0.19047619047619047</v>
      </c>
      <c r="U37" s="393">
        <f>1/((1/I37)+LOOKUP($A37,'Energy Efficiency Measures-DBT'!$D$11:$AN$11,'Energy Efficiency Measures-DBT'!$D$43:$AN$43))</f>
        <v>0.14693877551020409</v>
      </c>
      <c r="V37" s="306">
        <f>1/((1/J37)+LOOKUP($A37,'Energy Efficiency Measures-DBT'!$D$11:$AN$11,'Energy Efficiency Measures-DBT'!$D$43:$AN$43))</f>
        <v>0.14693877551020409</v>
      </c>
      <c r="W37" s="219">
        <f>1/((1/$K37)+LOOKUP($A37,'Energy Efficiency Measures-DBT'!$D$11:$AN$11,'Energy Efficiency Measures-DBT'!$D$43:$AN$43))</f>
        <v>0.25927450100732535</v>
      </c>
      <c r="X37" s="392">
        <f>1/((1/E37)+LOOKUP($A37,'Energy Efficiency Measures-DBT'!$D$11:$AN$11,'Energy Efficiency Measures-DBT'!$D$42:$AN$42))</f>
        <v>0.21818181818181814</v>
      </c>
      <c r="Y37" s="393">
        <f>1/((1/F37)+LOOKUP($A37,'Energy Efficiency Measures-DBT'!$D$11:$AN$11,'Energy Efficiency Measures-DBT'!$D$42:$AN$42))</f>
        <v>0.21818181818181814</v>
      </c>
      <c r="Z37" s="393">
        <f>1/((1/G37)+LOOKUP($A37,'Energy Efficiency Measures-DBT'!$D$11:$AN$11,'Energy Efficiency Measures-DBT'!$D$42:$AN$42))</f>
        <v>0.15384615384615385</v>
      </c>
      <c r="AA37" s="393">
        <f>1/((1/H37)+LOOKUP($A37,'Energy Efficiency Measures-DBT'!$D$11:$AN$11,'Energy Efficiency Measures-DBT'!$D$42:$AN$42))</f>
        <v>0.15384615384615385</v>
      </c>
      <c r="AB37" s="393">
        <f>1/((1/I37)+LOOKUP($A37,'Energy Efficiency Measures-DBT'!$D$11:$AN$11,'Energy Efficiency Measures-DBT'!$D$42:$AN$42))</f>
        <v>0.12413793103448276</v>
      </c>
      <c r="AC37" s="306">
        <f>1/((1/J37)+LOOKUP($A37,'Energy Efficiency Measures-DBT'!$D$11:$AN$11,'Energy Efficiency Measures-DBT'!$D$42:$AN$42))</f>
        <v>0.12413793103448276</v>
      </c>
      <c r="AD37" s="54">
        <f>1/((1/$K37)+LOOKUP($A37,'Energy Efficiency Measures-DBT'!$D$11:$AN$11,'Energy Efficiency Measures-DBT'!$D$42:$AN$42))</f>
        <v>0.1958128894905079</v>
      </c>
      <c r="AG37" s="48" t="s">
        <v>51</v>
      </c>
      <c r="AH37" s="47"/>
      <c r="AI37" s="262">
        <v>5</v>
      </c>
      <c r="AJ37" s="263">
        <v>5</v>
      </c>
      <c r="AK37" s="262">
        <v>5</v>
      </c>
      <c r="AL37" s="264">
        <v>5</v>
      </c>
      <c r="AM37" s="179" t="str">
        <f>IF(AND(E37&gt;Q37,AJ37&gt;Q37),'Energy Efficiency Measures-DBT'!$B$46,"")&amp;", "&amp;IF(AND(E37&gt;X37,AJ37&gt;X37),'Energy Efficiency Measures-DBT'!$B$45,"")</f>
        <v>MW3, MW2</v>
      </c>
      <c r="AN37" s="164" t="str">
        <f>IF(AND(F37&gt;R37,AJ37&gt;R37),'Energy Efficiency Measures-DBT'!$B$46,"")&amp;", "&amp;IF(AND(F37&gt;Y37,AJ37&gt;Y37),'Energy Efficiency Measures-DBT'!$B$45,"")</f>
        <v>MW3, MW2</v>
      </c>
      <c r="AO37" s="164" t="str">
        <f>IF(AND(G37&gt;S37,AJ37&gt;S37),'Energy Efficiency Measures-DBT'!$B$46,"")&amp;", "&amp;IF(AND(G37&gt;Z37,AJ37&gt;Z37),'Energy Efficiency Measures-DBT'!$B$45,"")</f>
        <v>MW3, MW2</v>
      </c>
      <c r="AP37" s="164" t="str">
        <f>IF(AND(H37&gt;T37,AJ37&gt;T37),'Energy Efficiency Measures-DBT'!$B$46,"")&amp;", "&amp;IF(AND(H37&gt;AA37,AJ37&gt;AA37),'Energy Efficiency Measures-DBT'!$B$45,"")</f>
        <v>MW3, MW2</v>
      </c>
      <c r="AQ37" s="164" t="str">
        <f>IF(AND(I37&gt;U37,AJ37&gt;U37),'Energy Efficiency Measures-DBT'!$B$46,"")&amp;", "&amp;IF(AND(I37&gt;AB37,AJ37&gt;AB37),'Energy Efficiency Measures-DBT'!$B$45,"")</f>
        <v>MW3, MW2</v>
      </c>
      <c r="AR37" s="273" t="str">
        <f>IF(AND(J37&gt;V37,AJ37&gt;V37),'Energy Efficiency Measures-DBT'!$B$46,"")&amp;", "&amp;IF(AND(J37&gt;AC37,AJ37&gt;AC37),'Energy Efficiency Measures-DBT'!$B$45,"")</f>
        <v>MW3, MW2</v>
      </c>
    </row>
    <row r="38" spans="1:44">
      <c r="A38" s="48" t="s">
        <v>114</v>
      </c>
      <c r="B38" s="48" t="s">
        <v>47</v>
      </c>
      <c r="C38" s="47" t="s">
        <v>48</v>
      </c>
      <c r="D38" s="47" t="s">
        <v>10</v>
      </c>
      <c r="E38" s="497">
        <v>1.4</v>
      </c>
      <c r="F38" s="498">
        <v>1.4</v>
      </c>
      <c r="G38" s="498">
        <v>1.4</v>
      </c>
      <c r="H38" s="498">
        <v>0.9</v>
      </c>
      <c r="I38" s="498">
        <v>0.6</v>
      </c>
      <c r="J38" s="499">
        <v>0.28000000000000003</v>
      </c>
      <c r="K38" s="45">
        <f>SUMPRODUCT('Dwelling stock'!E38:J38,E38:J38)/SUM('Dwelling stock'!E38:J38)</f>
        <v>1.1732560441704274</v>
      </c>
      <c r="M38" s="54">
        <v>1.245827</v>
      </c>
      <c r="P38" s="48" t="s">
        <v>47</v>
      </c>
      <c r="Q38" s="392">
        <f>1/((1/E38)+LOOKUP($A38,'Energy Efficiency Measures-DBT'!$D$11:$AN$11,'Energy Efficiency Measures-DBT'!$D$43:$AN$43))</f>
        <v>0.50909090909090904</v>
      </c>
      <c r="R38" s="393">
        <f>1/((1/F38)+LOOKUP($A38,'Energy Efficiency Measures-DBT'!$D$11:$AN$11,'Energy Efficiency Measures-DBT'!$D$43:$AN$43))</f>
        <v>0.50909090909090904</v>
      </c>
      <c r="S38" s="393">
        <f>1/((1/G38)+LOOKUP($A38,'Energy Efficiency Measures-DBT'!$D$11:$AN$11,'Energy Efficiency Measures-DBT'!$D$43:$AN$43))</f>
        <v>0.50909090909090904</v>
      </c>
      <c r="T38" s="393">
        <f>1/((1/H38)+LOOKUP($A38,'Energy Efficiency Measures-DBT'!$D$11:$AN$11,'Energy Efficiency Measures-DBT'!$D$43:$AN$43))</f>
        <v>0.42352941176470588</v>
      </c>
      <c r="U38" s="393">
        <f>1/((1/I38)+LOOKUP($A38,'Energy Efficiency Measures-DBT'!$D$11:$AN$11,'Energy Efficiency Measures-DBT'!$D$43:$AN$43))</f>
        <v>0.3428571428571428</v>
      </c>
      <c r="V38" s="306">
        <f>1/((1/J38)+LOOKUP($A38,'Energy Efficiency Measures-DBT'!$D$11:$AN$11,'Energy Efficiency Measures-DBT'!$D$43:$AN$43))</f>
        <v>0.20740740740740743</v>
      </c>
      <c r="W38" s="219">
        <f>1/((1/$K38)+LOOKUP($A38,'Energy Efficiency Measures-DBT'!$D$11:$AN$11,'Energy Efficiency Measures-DBT'!$D$43:$AN$43))</f>
        <v>0.47566297243039174</v>
      </c>
      <c r="X38" s="392">
        <f>1/((1/E38)+LOOKUP($A38,'Energy Efficiency Measures-DBT'!$D$11:$AN$11,'Energy Efficiency Measures-DBT'!$D$42:$AN$42))</f>
        <v>0.31111111111111112</v>
      </c>
      <c r="Y38" s="393">
        <f>1/((1/F38)+LOOKUP($A38,'Energy Efficiency Measures-DBT'!$D$11:$AN$11,'Energy Efficiency Measures-DBT'!$D$42:$AN$42))</f>
        <v>0.31111111111111112</v>
      </c>
      <c r="Z38" s="393">
        <f>1/((1/G38)+LOOKUP($A38,'Energy Efficiency Measures-DBT'!$D$11:$AN$11,'Energy Efficiency Measures-DBT'!$D$42:$AN$42))</f>
        <v>0.31111111111111112</v>
      </c>
      <c r="AA38" s="393">
        <f>1/((1/H38)+LOOKUP($A38,'Energy Efficiency Measures-DBT'!$D$11:$AN$11,'Energy Efficiency Measures-DBT'!$D$42:$AN$42))</f>
        <v>0.27692307692307694</v>
      </c>
      <c r="AB38" s="393">
        <f>1/((1/I38)+LOOKUP($A38,'Energy Efficiency Measures-DBT'!$D$11:$AN$11,'Energy Efficiency Measures-DBT'!$D$42:$AN$42))</f>
        <v>0.24</v>
      </c>
      <c r="AC38" s="306">
        <f>1/((1/J38)+LOOKUP($A38,'Energy Efficiency Measures-DBT'!$D$11:$AN$11,'Energy Efficiency Measures-DBT'!$D$42:$AN$42))</f>
        <v>0.16470588235294117</v>
      </c>
      <c r="AD38" s="54">
        <f>1/((1/$K38)+LOOKUP($A38,'Energy Efficiency Measures-DBT'!$D$11:$AN$11,'Energy Efficiency Measures-DBT'!$D$42:$AN$42))</f>
        <v>0.2983000887917342</v>
      </c>
      <c r="AG38" s="48" t="s">
        <v>47</v>
      </c>
      <c r="AH38" s="47"/>
      <c r="AI38" s="262">
        <v>5</v>
      </c>
      <c r="AJ38" s="263">
        <v>5</v>
      </c>
      <c r="AK38" s="262">
        <v>5</v>
      </c>
      <c r="AL38" s="264">
        <v>5</v>
      </c>
      <c r="AM38" s="179" t="str">
        <f>IF(AND(E38&gt;Q38,AJ38&gt;Q38),'Energy Efficiency Measures-DBT'!$B$46,"")&amp;", "&amp;IF(AND(E38&gt;X38,AJ38&gt;X38),'Energy Efficiency Measures-DBT'!$B$45,"")</f>
        <v>MW3, MW2</v>
      </c>
      <c r="AN38" s="164" t="str">
        <f>IF(AND(F38&gt;R38,AJ38&gt;R38),'Energy Efficiency Measures-DBT'!$B$46,"")&amp;", "&amp;IF(AND(F38&gt;Y38,AJ38&gt;Y38),'Energy Efficiency Measures-DBT'!$B$45,"")</f>
        <v>MW3, MW2</v>
      </c>
      <c r="AO38" s="164" t="str">
        <f>IF(AND(G38&gt;S38,AJ38&gt;S38),'Energy Efficiency Measures-DBT'!$B$46,"")&amp;", "&amp;IF(AND(G38&gt;Z38,AJ38&gt;Z38),'Energy Efficiency Measures-DBT'!$B$45,"")</f>
        <v>MW3, MW2</v>
      </c>
      <c r="AP38" s="164" t="str">
        <f>IF(AND(H38&gt;T38,AJ38&gt;T38),'Energy Efficiency Measures-DBT'!$B$46,"")&amp;", "&amp;IF(AND(H38&gt;AA38,AJ38&gt;AA38),'Energy Efficiency Measures-DBT'!$B$45,"")</f>
        <v>MW3, MW2</v>
      </c>
      <c r="AQ38" s="164" t="str">
        <f>IF(AND(I38&gt;U38,AJ38&gt;U38),'Energy Efficiency Measures-DBT'!$B$46,"")&amp;", "&amp;IF(AND(I38&gt;AB38,AJ38&gt;AB38),'Energy Efficiency Measures-DBT'!$B$45,"")</f>
        <v>MW3, MW2</v>
      </c>
      <c r="AR38" s="273" t="str">
        <f>IF(AND(J38&gt;V38,AJ38&gt;V38),'Energy Efficiency Measures-DBT'!$B$46,"")&amp;", "&amp;IF(AND(J38&gt;AC38,AJ38&gt;AC38),'Energy Efficiency Measures-DBT'!$B$45,"")</f>
        <v>MW3, MW2</v>
      </c>
    </row>
    <row r="39" spans="1:44">
      <c r="A39" s="48" t="s">
        <v>115</v>
      </c>
      <c r="B39" s="48" t="s">
        <v>45</v>
      </c>
      <c r="C39" s="48" t="s">
        <v>46</v>
      </c>
      <c r="D39" s="48" t="s">
        <v>10</v>
      </c>
      <c r="E39" s="497">
        <v>1.5</v>
      </c>
      <c r="F39" s="498">
        <v>1.2</v>
      </c>
      <c r="G39" s="498">
        <v>1.2</v>
      </c>
      <c r="H39" s="498">
        <v>1</v>
      </c>
      <c r="I39" s="498">
        <v>1</v>
      </c>
      <c r="J39" s="499">
        <v>0.46</v>
      </c>
      <c r="K39" s="45">
        <f>SUMPRODUCT('Dwelling stock'!E39:J39,E39:J39)/SUM('Dwelling stock'!E39:J39)</f>
        <v>1.1556884238519376</v>
      </c>
      <c r="M39" s="54">
        <v>1.1370990000000001</v>
      </c>
      <c r="P39" s="48" t="s">
        <v>45</v>
      </c>
      <c r="Q39" s="392">
        <f>1/((1/E39)+LOOKUP($A39,'Energy Efficiency Measures-DBT'!$D$11:$AN$11,'Energy Efficiency Measures-DBT'!$D$43:$AN$43))</f>
        <v>0.52173913043478259</v>
      </c>
      <c r="R39" s="393">
        <f>1/((1/F39)+LOOKUP($A39,'Energy Efficiency Measures-DBT'!$D$11:$AN$11,'Energy Efficiency Measures-DBT'!$D$43:$AN$43))</f>
        <v>0.48</v>
      </c>
      <c r="S39" s="393">
        <f>1/((1/G39)+LOOKUP($A39,'Energy Efficiency Measures-DBT'!$D$11:$AN$11,'Energy Efficiency Measures-DBT'!$D$43:$AN$43))</f>
        <v>0.48</v>
      </c>
      <c r="T39" s="393">
        <f>1/((1/H39)+LOOKUP($A39,'Energy Efficiency Measures-DBT'!$D$11:$AN$11,'Energy Efficiency Measures-DBT'!$D$43:$AN$43))</f>
        <v>0.44444444444444442</v>
      </c>
      <c r="U39" s="393">
        <f>1/((1/I39)+LOOKUP($A39,'Energy Efficiency Measures-DBT'!$D$11:$AN$11,'Energy Efficiency Measures-DBT'!$D$43:$AN$43))</f>
        <v>0.44444444444444442</v>
      </c>
      <c r="V39" s="306">
        <f>1/((1/J39)+LOOKUP($A39,'Energy Efficiency Measures-DBT'!$D$11:$AN$11,'Energy Efficiency Measures-DBT'!$D$43:$AN$43))</f>
        <v>0.29206349206349208</v>
      </c>
      <c r="W39" s="219">
        <f>1/((1/$K39)+LOOKUP($A39,'Energy Efficiency Measures-DBT'!$D$11:$AN$11,'Energy Efficiency Measures-DBT'!$D$43:$AN$43))</f>
        <v>0.47274950743971189</v>
      </c>
      <c r="X39" s="392">
        <f>1/((1/E39)+LOOKUP($A39,'Energy Efficiency Measures-DBT'!$D$11:$AN$11,'Energy Efficiency Measures-DBT'!$D$42:$AN$42))</f>
        <v>0.31578947368421056</v>
      </c>
      <c r="Y39" s="393">
        <f>1/((1/F39)+LOOKUP($A39,'Energy Efficiency Measures-DBT'!$D$11:$AN$11,'Energy Efficiency Measures-DBT'!$D$42:$AN$42))</f>
        <v>0.3</v>
      </c>
      <c r="Z39" s="393">
        <f>1/((1/G39)+LOOKUP($A39,'Energy Efficiency Measures-DBT'!$D$11:$AN$11,'Energy Efficiency Measures-DBT'!$D$42:$AN$42))</f>
        <v>0.3</v>
      </c>
      <c r="AA39" s="393">
        <f>1/((1/H39)+LOOKUP($A39,'Energy Efficiency Measures-DBT'!$D$11:$AN$11,'Energy Efficiency Measures-DBT'!$D$42:$AN$42))</f>
        <v>0.2857142857142857</v>
      </c>
      <c r="AB39" s="393">
        <f>1/((1/I39)+LOOKUP($A39,'Energy Efficiency Measures-DBT'!$D$11:$AN$11,'Energy Efficiency Measures-DBT'!$D$42:$AN$42))</f>
        <v>0.2857142857142857</v>
      </c>
      <c r="AC39" s="306">
        <f>1/((1/J39)+LOOKUP($A39,'Energy Efficiency Measures-DBT'!$D$11:$AN$11,'Energy Efficiency Measures-DBT'!$D$42:$AN$42))</f>
        <v>0.21395348837209302</v>
      </c>
      <c r="AD39" s="54">
        <f>1/((1/$K39)+LOOKUP($A39,'Energy Efficiency Measures-DBT'!$D$11:$AN$11,'Energy Efficiency Measures-DBT'!$D$42:$AN$42))</f>
        <v>0.29715164196964677</v>
      </c>
      <c r="AG39" s="48" t="s">
        <v>45</v>
      </c>
      <c r="AH39" s="48"/>
      <c r="AI39" s="262">
        <v>5</v>
      </c>
      <c r="AJ39" s="263">
        <v>5</v>
      </c>
      <c r="AK39" s="262">
        <v>5</v>
      </c>
      <c r="AL39" s="264">
        <v>5</v>
      </c>
      <c r="AM39" s="179" t="str">
        <f>IF(AND(E39&gt;Q39,AJ39&gt;Q39),'Energy Efficiency Measures-DBT'!$B$46,"")&amp;", "&amp;IF(AND(E39&gt;X39,AJ39&gt;X39),'Energy Efficiency Measures-DBT'!$B$45,"")</f>
        <v>MW3, MW2</v>
      </c>
      <c r="AN39" s="164" t="str">
        <f>IF(AND(F39&gt;R39,AJ39&gt;R39),'Energy Efficiency Measures-DBT'!$B$46,"")&amp;", "&amp;IF(AND(F39&gt;Y39,AJ39&gt;Y39),'Energy Efficiency Measures-DBT'!$B$45,"")</f>
        <v>MW3, MW2</v>
      </c>
      <c r="AO39" s="164" t="str">
        <f>IF(AND(G39&gt;S39,AJ39&gt;S39),'Energy Efficiency Measures-DBT'!$B$46,"")&amp;", "&amp;IF(AND(G39&gt;Z39,AJ39&gt;Z39),'Energy Efficiency Measures-DBT'!$B$45,"")</f>
        <v>MW3, MW2</v>
      </c>
      <c r="AP39" s="164" t="str">
        <f>IF(AND(H39&gt;T39,AJ39&gt;T39),'Energy Efficiency Measures-DBT'!$B$46,"")&amp;", "&amp;IF(AND(H39&gt;AA39,AJ39&gt;AA39),'Energy Efficiency Measures-DBT'!$B$45,"")</f>
        <v>MW3, MW2</v>
      </c>
      <c r="AQ39" s="164" t="str">
        <f>IF(AND(I39&gt;U39,AJ39&gt;U39),'Energy Efficiency Measures-DBT'!$B$46,"")&amp;", "&amp;IF(AND(I39&gt;AB39,AJ39&gt;AB39),'Energy Efficiency Measures-DBT'!$B$45,"")</f>
        <v>MW3, MW2</v>
      </c>
      <c r="AR39" s="273" t="str">
        <f>IF(AND(J39&gt;V39,AJ39&gt;V39),'Energy Efficiency Measures-DBT'!$B$46,"")&amp;", "&amp;IF(AND(J39&gt;AC39,AJ39&gt;AC39),'Energy Efficiency Measures-DBT'!$B$45,"")</f>
        <v>MW3, MW2</v>
      </c>
    </row>
    <row r="40" spans="1:44">
      <c r="A40" s="49" t="s">
        <v>52</v>
      </c>
      <c r="B40" s="49" t="s">
        <v>52</v>
      </c>
      <c r="C40" s="49"/>
      <c r="D40" s="49" t="s">
        <v>10</v>
      </c>
      <c r="E40" s="500">
        <v>1.7794399999999999</v>
      </c>
      <c r="F40" s="501">
        <v>1.944758</v>
      </c>
      <c r="G40" s="501">
        <v>1.57375</v>
      </c>
      <c r="H40" s="501">
        <v>0.59782900000000005</v>
      </c>
      <c r="I40" s="501">
        <v>0.43689</v>
      </c>
      <c r="J40" s="502">
        <v>0.32436300000000001</v>
      </c>
      <c r="K40" s="46">
        <f>SUMPRODUCT('Dwelling stock'!E40:J40,E40:J40)/SUM('Dwelling stock'!E40:J40)</f>
        <v>1.5012782354270149</v>
      </c>
      <c r="M40" s="87">
        <v>1.2226440000000001</v>
      </c>
      <c r="P40" s="49" t="s">
        <v>52</v>
      </c>
      <c r="Q40" s="396">
        <f>1/((1/E40)+LOOKUP($A40,'Energy Efficiency Measures-DBT'!$D$11:$AN$11,'Energy Efficiency Measures-DBT'!$D$43:$AN$43))</f>
        <v>0.55188412988865798</v>
      </c>
      <c r="R40" s="397">
        <f>1/((1/F40)+LOOKUP($A40,'Energy Efficiency Measures-DBT'!$D$11:$AN$11,'Energy Efficiency Measures-DBT'!$D$43:$AN$43))</f>
        <v>0.56682825954054961</v>
      </c>
      <c r="S40" s="397">
        <f>1/((1/G40)+LOOKUP($A40,'Energy Efficiency Measures-DBT'!$D$11:$AN$11,'Energy Efficiency Measures-DBT'!$D$43:$AN$43))</f>
        <v>0.53038441284886784</v>
      </c>
      <c r="T40" s="397">
        <f>1/((1/H40)+LOOKUP($A40,'Energy Efficiency Measures-DBT'!$D$11:$AN$11,'Energy Efficiency Measures-DBT'!$D$43:$AN$43))</f>
        <v>0.34214714389242179</v>
      </c>
      <c r="U40" s="397">
        <f>1/((1/I40)+LOOKUP($A40,'Energy Efficiency Measures-DBT'!$D$11:$AN$11,'Energy Efficiency Measures-DBT'!$D$43:$AN$43))</f>
        <v>0.28257322801542578</v>
      </c>
      <c r="V40" s="307">
        <f>1/((1/J40)+LOOKUP($A40,'Energy Efficiency Measures-DBT'!$D$11:$AN$11,'Energy Efficiency Measures-DBT'!$D$43:$AN$43))</f>
        <v>0.23078881108681093</v>
      </c>
      <c r="W40" s="222">
        <f>1/((1/$K40)+LOOKUP($A40,'Energy Efficiency Measures-DBT'!$D$11:$AN$11,'Energy Efficiency Measures-DBT'!$D$43:$AN$43))</f>
        <v>0.52189368927775726</v>
      </c>
      <c r="X40" s="396">
        <f>1/((1/E40)+LOOKUP($A40,'Energy Efficiency Measures-DBT'!$D$11:$AN$11,'Energy Efficiency Measures-DBT'!$D$42:$AN$42))</f>
        <v>0.32658664611092758</v>
      </c>
      <c r="Y40" s="397">
        <f>1/((1/F40)+LOOKUP($A40,'Energy Efficiency Measures-DBT'!$D$11:$AN$11,'Energy Efficiency Measures-DBT'!$D$42:$AN$42))</f>
        <v>0.33176268083955784</v>
      </c>
      <c r="Z40" s="397">
        <f>1/((1/G40)+LOOKUP($A40,'Energy Efficiency Measures-DBT'!$D$11:$AN$11,'Energy Efficiency Measures-DBT'!$D$42:$AN$42))</f>
        <v>0.31893603546548444</v>
      </c>
      <c r="AA40" s="397">
        <f>1/((1/H40)+LOOKUP($A40,'Energy Efficiency Measures-DBT'!$D$11:$AN$11,'Energy Efficiency Measures-DBT'!$D$42:$AN$42))</f>
        <v>0.23965188424068654</v>
      </c>
      <c r="AB40" s="397">
        <f>1/((1/I40)+LOOKUP($A40,'Energy Efficiency Measures-DBT'!$D$11:$AN$11,'Energy Efficiency Measures-DBT'!$D$42:$AN$42))</f>
        <v>0.2088159734254203</v>
      </c>
      <c r="AC40" s="307">
        <f>1/((1/J40)+LOOKUP($A40,'Energy Efficiency Measures-DBT'!$D$11:$AN$11,'Energy Efficiency Measures-DBT'!$D$42:$AN$42))</f>
        <v>0.17911627181399381</v>
      </c>
      <c r="AD40" s="87">
        <f>1/((1/$K40)+LOOKUP($A40,'Energy Efficiency Measures-DBT'!$D$11:$AN$11,'Energy Efficiency Measures-DBT'!$D$42:$AN$42))</f>
        <v>0.31584608868987285</v>
      </c>
      <c r="AG40" s="49" t="s">
        <v>52</v>
      </c>
      <c r="AH40" s="49"/>
      <c r="AI40" s="461">
        <v>5</v>
      </c>
      <c r="AJ40" s="466">
        <v>5</v>
      </c>
      <c r="AK40" s="461">
        <v>5</v>
      </c>
      <c r="AL40" s="462">
        <v>5</v>
      </c>
      <c r="AM40" s="276" t="str">
        <f>IF(AND(E40&gt;Q40,AJ40&gt;Q40),'Energy Efficiency Measures-DBT'!$B$46,"")&amp;", "&amp;IF(AND(E40&gt;X40,AJ40&gt;X40),'Energy Efficiency Measures-DBT'!$B$45,"")</f>
        <v>MW3, MW2</v>
      </c>
      <c r="AN40" s="277" t="str">
        <f>IF(AND(F40&gt;R40,AJ40&gt;R40),'Energy Efficiency Measures-DBT'!$B$46,"")&amp;", "&amp;IF(AND(F40&gt;Y40,AJ40&gt;Y40),'Energy Efficiency Measures-DBT'!$B$45,"")</f>
        <v>MW3, MW2</v>
      </c>
      <c r="AO40" s="277" t="str">
        <f>IF(AND(G40&gt;S40,AJ40&gt;S40),'Energy Efficiency Measures-DBT'!$B$46,"")&amp;", "&amp;IF(AND(G40&gt;Z40,AJ40&gt;Z40),'Energy Efficiency Measures-DBT'!$B$45,"")</f>
        <v>MW3, MW2</v>
      </c>
      <c r="AP40" s="277" t="str">
        <f>IF(AND(H40&gt;T40,AJ40&gt;T40),'Energy Efficiency Measures-DBT'!$B$46,"")&amp;", "&amp;IF(AND(H40&gt;AA40,AJ40&gt;AA40),'Energy Efficiency Measures-DBT'!$B$45,"")</f>
        <v>MW3, MW2</v>
      </c>
      <c r="AQ40" s="277" t="str">
        <f>IF(AND(I40&gt;U40,AJ40&gt;U40),'Energy Efficiency Measures-DBT'!$B$46,"")&amp;", "&amp;IF(AND(I40&gt;AB40,AJ40&gt;AB40),'Energy Efficiency Measures-DBT'!$B$45,"")</f>
        <v>MW3, MW2</v>
      </c>
      <c r="AR40" s="278" t="str">
        <f>IF(AND(J40&gt;V40,AJ40&gt;V40),'Energy Efficiency Measures-DBT'!$B$46,"")&amp;", "&amp;IF(AND(J40&gt;AC40,AJ40&gt;AC40),'Energy Efficiency Measures-DBT'!$B$45,"")</f>
        <v>MW3, MW2</v>
      </c>
    </row>
    <row r="41" spans="1:44">
      <c r="AG41" s="5" t="s">
        <v>284</v>
      </c>
    </row>
    <row r="43" spans="1:44">
      <c r="A43" s="135"/>
    </row>
  </sheetData>
  <sortState xmlns:xlrd2="http://schemas.microsoft.com/office/spreadsheetml/2017/richdata2" ref="A4:S40">
    <sortCondition ref="A4:A40"/>
  </sortState>
  <mergeCells count="5">
    <mergeCell ref="Q2:W2"/>
    <mergeCell ref="X2:AD2"/>
    <mergeCell ref="AI2:AJ2"/>
    <mergeCell ref="AK2:AL2"/>
    <mergeCell ref="AM2:AR2"/>
  </mergeCells>
  <conditionalFormatting sqref="K4:K30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{2082D42B-0E4B-479C-BBD5-06AFE57311A6}</x14:id>
        </ext>
      </extLst>
    </cfRule>
    <cfRule type="dataBar" priority="1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{5A0E58BC-49DB-40D0-AA2A-30ACB8F3073F}</x14:id>
        </ext>
      </extLst>
    </cfRule>
    <cfRule type="dataBar" priority="1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{11EDC641-2A25-48BE-BD56-BE8B5514A49B}</x14:id>
        </ext>
      </extLst>
    </cfRule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{52E28690-A181-4BD8-9F79-16A9453AD2FE}</x14:id>
        </ext>
      </extLst>
    </cfRule>
  </conditionalFormatting>
  <conditionalFormatting sqref="K4:K39">
    <cfRule type="dataBar" priority="1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{0A518877-E098-4F36-ADFB-7F0F36EA8D8C}</x14:id>
        </ext>
      </extLst>
    </cfRule>
  </conditionalFormatting>
  <conditionalFormatting sqref="K31:K38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{A7D37B77-DFDD-4181-9929-31C7E0725105}</x14:id>
        </ext>
      </extLst>
    </cfRule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{44268727-6AB2-458F-A703-CC3E26480542}</x14:id>
        </ext>
      </extLst>
    </cfRule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{0DC1D0F1-B27F-4097-9E57-925DF3E04B15}</x14:id>
        </ext>
      </extLst>
    </cfRule>
    <cfRule type="dataBar" priority="1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{6F69274D-2A33-4529-B9DE-FE75B6ACF07C}</x14:id>
        </ext>
      </extLst>
    </cfRule>
  </conditionalFormatting>
  <conditionalFormatting sqref="K39:K40">
    <cfRule type="dataBar" priority="1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{3B93CE8C-0C60-4C4F-9CB1-36779F5684A0}</x14:id>
        </ext>
      </extLst>
    </cfRule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{FEF22A63-AF47-475D-B744-DB5125558B3A}</x14:id>
        </ext>
      </extLst>
    </cfRule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{176B6804-557F-4E29-BBBF-272299C6139E}</x14:id>
        </ext>
      </extLst>
    </cfRule>
    <cfRule type="dataBar" priority="1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{A3A88AA0-0F5A-4151-B93D-84EC336B4112}</x14:id>
        </ext>
      </extLst>
    </cfRule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{4845750F-6BA5-41A2-979A-E2D9D13747C3}</x14:id>
        </ext>
      </extLst>
    </cfRule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{17387C17-2CD0-4A06-A887-C0962D18DAD5}</x14:id>
        </ext>
      </extLst>
    </cfRule>
  </conditionalFormatting>
  <conditionalFormatting sqref="M4:M29">
    <cfRule type="dataBar" priority="1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{54F11AF4-5363-441E-8960-32018658242A}</x14:id>
        </ext>
      </extLst>
    </cfRule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{C39877BE-6A8E-4D52-AFD0-66EE69B527A5}</x14:id>
        </ext>
      </extLst>
    </cfRule>
    <cfRule type="dataBar" priority="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{7589A1D0-668E-498D-A3F5-F374F5FC38E1}</x14:id>
        </ext>
      </extLst>
    </cfRule>
  </conditionalFormatting>
  <conditionalFormatting sqref="M4:M40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{5069C969-6783-44B9-8B2F-852B342B82B0}</x14:id>
        </ext>
      </extLst>
    </cfRule>
  </conditionalFormatting>
  <conditionalFormatting sqref="M30:M40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{7F49DED6-62CA-486F-BB66-668240799C0E}</x14:id>
        </ext>
      </extLst>
    </cfRule>
    <cfRule type="dataBar" priority="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{172F2C6E-7404-4ABF-AA42-8245C1857388}</x14:id>
        </ext>
      </extLst>
    </cfRule>
    <cfRule type="dataBar" priority="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{98A77507-EFE5-41C8-B7B2-6B85BA0E5992}</x14:id>
        </ext>
      </extLst>
    </cfRule>
  </conditionalFormatting>
  <conditionalFormatting sqref="W4 AD4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{758C296E-5F2A-41C1-9892-9385B4CA2AF9}</x14:id>
        </ext>
      </extLst>
    </cfRule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{7CACB3A4-AC94-4B0F-86C4-2A308D5542FC}</x14:id>
        </ext>
      </extLst>
    </cfRule>
  </conditionalFormatting>
  <conditionalFormatting sqref="W4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{42E2BEE5-FC0F-4956-A37B-210F0261745B}</x14:id>
        </ext>
      </extLst>
    </cfRule>
  </conditionalFormatting>
  <conditionalFormatting sqref="W5 AD5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{78BAF3B0-8C15-4C47-ACD6-DE9597872E6B}</x14:id>
        </ext>
      </extLst>
    </cfRule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{BE94989B-5ED3-4D2B-86FC-A3123382D662}</x14:id>
        </ext>
      </extLst>
    </cfRule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{280AB826-2624-4AED-850E-4B6398E4E9CC}</x14:id>
        </ext>
      </extLst>
    </cfRule>
  </conditionalFormatting>
  <conditionalFormatting sqref="W5">
    <cfRule type="dataBar" priority="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{82D3802A-57B5-4DDF-B9D6-C15AA11E340E}</x14:id>
        </ext>
      </extLst>
    </cfRule>
  </conditionalFormatting>
  <conditionalFormatting sqref="W6:W40 AD6:AD40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{95EE8D3A-0748-4539-AB0D-47232D88EAE6}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{FA1209E2-B4BD-4078-A55F-9B7B1B6AFDC5}</x14:id>
        </ext>
      </extLst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{839116E0-57A9-46AD-A315-F7E1EDE7A0FF}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{B59C8617-CF05-45EF-9F40-535A0FAB4AA6}</x14:id>
        </ext>
      </extLst>
    </cfRule>
  </conditionalFormatting>
  <conditionalFormatting sqref="W6:W40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{6F42526A-8BD6-4691-B390-FB64D118480B}</x14:id>
        </ext>
      </extLst>
    </cfRule>
  </conditionalFormatting>
  <conditionalFormatting sqref="AD4 W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{80B6A669-9EA5-4F41-B105-CA878CE3C51F}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{C1C030BF-E07B-425C-8719-B434DB7A319E}</x14:id>
        </ext>
      </extLst>
    </cfRule>
  </conditionalFormatting>
  <conditionalFormatting sqref="AD5 W5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{35917A99-BFD7-4EA0-A4CE-925A0F50801D}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82D42B-0E4B-479C-BBD5-06AFE57311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0E58BC-49DB-40D0-AA2A-30ACB8F307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1EDC641-2A25-48BE-BD56-BE8B5514A4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2E28690-A181-4BD8-9F79-16A9453AD2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K4:K30</xm:sqref>
        </x14:conditionalFormatting>
        <x14:conditionalFormatting xmlns:xm="http://schemas.microsoft.com/office/excel/2006/main">
          <x14:cfRule type="dataBar" id="{0A518877-E098-4F36-ADFB-7F0F36EA8D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K4:K39</xm:sqref>
        </x14:conditionalFormatting>
        <x14:conditionalFormatting xmlns:xm="http://schemas.microsoft.com/office/excel/2006/main">
          <x14:cfRule type="dataBar" id="{A7D37B77-DFDD-4181-9929-31C7E07251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4268727-6AB2-458F-A703-CC3E264805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C1D0F1-B27F-4097-9E57-925DF3E04B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F69274D-2A33-4529-B9DE-FE75B6ACF0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K31:K38</xm:sqref>
        </x14:conditionalFormatting>
        <x14:conditionalFormatting xmlns:xm="http://schemas.microsoft.com/office/excel/2006/main">
          <x14:cfRule type="dataBar" id="{3B93CE8C-0C60-4C4F-9CB1-36779F5684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EF22A63-AF47-475D-B744-DB5125558B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76B6804-557F-4E29-BBBF-272299C613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3A88AA0-0F5A-4151-B93D-84EC336B41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845750F-6BA5-41A2-979A-E2D9D13747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7387C17-2CD0-4A06-A887-C0962D18DA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K39:K40</xm:sqref>
        </x14:conditionalFormatting>
        <x14:conditionalFormatting xmlns:xm="http://schemas.microsoft.com/office/excel/2006/main">
          <x14:cfRule type="dataBar" id="{54F11AF4-5363-441E-8960-3201865824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39877BE-6A8E-4D52-AFD0-66EE69B527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589A1D0-668E-498D-A3F5-F374F5FC38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M4:M29</xm:sqref>
        </x14:conditionalFormatting>
        <x14:conditionalFormatting xmlns:xm="http://schemas.microsoft.com/office/excel/2006/main">
          <x14:cfRule type="dataBar" id="{5069C969-6783-44B9-8B2F-852B342B82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M4:M40</xm:sqref>
        </x14:conditionalFormatting>
        <x14:conditionalFormatting xmlns:xm="http://schemas.microsoft.com/office/excel/2006/main">
          <x14:cfRule type="dataBar" id="{7F49DED6-62CA-486F-BB66-668240799C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72F2C6E-7404-4ABF-AA42-8245C18573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8A77507-EFE5-41C8-B7B2-6B85BA0E59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M30:M40</xm:sqref>
        </x14:conditionalFormatting>
        <x14:conditionalFormatting xmlns:xm="http://schemas.microsoft.com/office/excel/2006/main">
          <x14:cfRule type="dataBar" id="{758C296E-5F2A-41C1-9892-9385B4CA2A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CACB3A4-AC94-4B0F-86C4-2A308D5542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W4 AD4</xm:sqref>
        </x14:conditionalFormatting>
        <x14:conditionalFormatting xmlns:xm="http://schemas.microsoft.com/office/excel/2006/main">
          <x14:cfRule type="dataBar" id="{42E2BEE5-FC0F-4956-A37B-210F026174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W4</xm:sqref>
        </x14:conditionalFormatting>
        <x14:conditionalFormatting xmlns:xm="http://schemas.microsoft.com/office/excel/2006/main">
          <x14:cfRule type="dataBar" id="{78BAF3B0-8C15-4C47-ACD6-DE9597872E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94989B-5ED3-4D2B-86FC-A3123382D6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80AB826-2624-4AED-850E-4B6398E4E9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W5 AD5</xm:sqref>
        </x14:conditionalFormatting>
        <x14:conditionalFormatting xmlns:xm="http://schemas.microsoft.com/office/excel/2006/main">
          <x14:cfRule type="dataBar" id="{82D3802A-57B5-4DDF-B9D6-C15AA11E34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  <x14:conditionalFormatting xmlns:xm="http://schemas.microsoft.com/office/excel/2006/main">
          <x14:cfRule type="dataBar" id="{95EE8D3A-0748-4539-AB0D-47232D88EA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A1209E2-B4BD-4078-A55F-9B7B1B6AFD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9116E0-57A9-46AD-A315-F7E1EDE7A0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59C8617-CF05-45EF-9F40-535A0FAB4A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W6:W40 AD6:AD40</xm:sqref>
        </x14:conditionalFormatting>
        <x14:conditionalFormatting xmlns:xm="http://schemas.microsoft.com/office/excel/2006/main">
          <x14:cfRule type="dataBar" id="{6F42526A-8BD6-4691-B390-FB64D11848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W6:W40</xm:sqref>
        </x14:conditionalFormatting>
        <x14:conditionalFormatting xmlns:xm="http://schemas.microsoft.com/office/excel/2006/main">
          <x14:cfRule type="dataBar" id="{80B6A669-9EA5-4F41-B105-CA878CE3C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1C030BF-E07B-425C-8719-B434DB7A31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AD4 W4</xm:sqref>
        </x14:conditionalFormatting>
        <x14:conditionalFormatting xmlns:xm="http://schemas.microsoft.com/office/excel/2006/main">
          <x14:cfRule type="dataBar" id="{35917A99-BFD7-4EA0-A4CE-925A0F5080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AD5 W5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8"/>
  <dimension ref="A1:AG43"/>
  <sheetViews>
    <sheetView zoomScaleNormal="100" workbookViewId="0">
      <selection activeCell="A2" sqref="A2"/>
    </sheetView>
  </sheetViews>
  <sheetFormatPr defaultColWidth="9.109375" defaultRowHeight="14.4"/>
  <cols>
    <col min="1" max="1" width="9.109375" style="5"/>
    <col min="2" max="2" width="14.88671875" style="5" customWidth="1"/>
    <col min="3" max="3" width="9.109375" style="5" customWidth="1"/>
    <col min="4" max="10" width="9.109375" style="5"/>
    <col min="11" max="11" width="13.44140625" style="5" customWidth="1"/>
    <col min="12" max="12" width="9.109375" style="5"/>
    <col min="13" max="13" width="13.44140625" style="5" customWidth="1"/>
    <col min="14" max="15" width="9.109375" style="5"/>
    <col min="16" max="16" width="15" style="5" customWidth="1"/>
    <col min="17" max="17" width="9.109375" style="5"/>
    <col min="18" max="19" width="12.44140625" style="5" customWidth="1"/>
    <col min="20" max="21" width="9.109375" style="5"/>
    <col min="22" max="22" width="14.5546875" style="5" customWidth="1"/>
    <col min="23" max="23" width="12.88671875" style="5" bestFit="1" customWidth="1"/>
    <col min="24" max="27" width="9.109375" style="164"/>
    <col min="28" max="33" width="9.6640625" style="5" bestFit="1" customWidth="1"/>
    <col min="34" max="16384" width="9.109375" style="5"/>
  </cols>
  <sheetData>
    <row r="1" spans="1:33" ht="21">
      <c r="A1" s="3" t="s">
        <v>680</v>
      </c>
      <c r="C1" s="4"/>
      <c r="D1" s="4"/>
      <c r="E1" s="4"/>
      <c r="F1" s="4"/>
      <c r="G1" s="4"/>
      <c r="H1" s="4"/>
      <c r="I1" s="4"/>
      <c r="J1" s="4"/>
      <c r="P1" s="3" t="s">
        <v>191</v>
      </c>
      <c r="Q1" s="3"/>
      <c r="V1" s="3" t="s">
        <v>282</v>
      </c>
      <c r="AB1" s="474"/>
      <c r="AC1" s="474"/>
      <c r="AD1" s="474"/>
      <c r="AE1" s="474"/>
      <c r="AF1" s="474"/>
      <c r="AG1" s="474"/>
    </row>
    <row r="2" spans="1:33" ht="14.4" customHeight="1">
      <c r="A2" s="2" t="s">
        <v>289</v>
      </c>
      <c r="P2" s="5" t="s">
        <v>241</v>
      </c>
      <c r="X2" s="908" t="s">
        <v>171</v>
      </c>
      <c r="Y2" s="909"/>
      <c r="Z2" s="910" t="s">
        <v>237</v>
      </c>
      <c r="AA2" s="909"/>
      <c r="AB2" s="905" t="s">
        <v>431</v>
      </c>
      <c r="AC2" s="906"/>
      <c r="AD2" s="906"/>
      <c r="AE2" s="906"/>
      <c r="AF2" s="906"/>
      <c r="AG2" s="907"/>
    </row>
    <row r="3" spans="1:33" ht="43.2" customHeight="1">
      <c r="A3" s="85" t="s">
        <v>192</v>
      </c>
      <c r="B3" s="85" t="s">
        <v>165</v>
      </c>
      <c r="C3" s="50" t="s">
        <v>0</v>
      </c>
      <c r="D3" s="51" t="s">
        <v>1</v>
      </c>
      <c r="E3" s="52" t="s">
        <v>2</v>
      </c>
      <c r="F3" s="52" t="s">
        <v>3</v>
      </c>
      <c r="G3" s="52" t="s">
        <v>4</v>
      </c>
      <c r="H3" s="52" t="s">
        <v>5</v>
      </c>
      <c r="I3" s="52" t="s">
        <v>6</v>
      </c>
      <c r="J3" s="53" t="s">
        <v>7</v>
      </c>
      <c r="K3" s="41" t="s">
        <v>141</v>
      </c>
      <c r="M3" s="42" t="s">
        <v>168</v>
      </c>
      <c r="P3" s="85" t="s">
        <v>165</v>
      </c>
      <c r="Q3" s="50" t="s">
        <v>0</v>
      </c>
      <c r="R3" s="42" t="s">
        <v>270</v>
      </c>
      <c r="S3" s="42" t="s">
        <v>271</v>
      </c>
      <c r="V3" s="85" t="s">
        <v>165</v>
      </c>
      <c r="W3" s="50" t="s">
        <v>0</v>
      </c>
      <c r="X3" s="427" t="s">
        <v>238</v>
      </c>
      <c r="Y3" s="427" t="s">
        <v>239</v>
      </c>
      <c r="Z3" s="431" t="s">
        <v>238</v>
      </c>
      <c r="AA3" s="432" t="s">
        <v>239</v>
      </c>
      <c r="AB3" s="391" t="s">
        <v>2</v>
      </c>
      <c r="AC3" s="389" t="s">
        <v>3</v>
      </c>
      <c r="AD3" s="389" t="s">
        <v>4</v>
      </c>
      <c r="AE3" s="389" t="s">
        <v>5</v>
      </c>
      <c r="AF3" s="389" t="s">
        <v>6</v>
      </c>
      <c r="AG3" s="41" t="s">
        <v>7</v>
      </c>
    </row>
    <row r="4" spans="1:33">
      <c r="A4" s="94" t="s">
        <v>116</v>
      </c>
      <c r="B4" s="94" t="s">
        <v>200</v>
      </c>
      <c r="C4" s="95"/>
      <c r="D4" s="95" t="s">
        <v>10</v>
      </c>
      <c r="E4" s="497">
        <v>3.1</v>
      </c>
      <c r="F4" s="498">
        <v>3.1</v>
      </c>
      <c r="G4" s="498">
        <v>3.1</v>
      </c>
      <c r="H4" s="498">
        <v>2.7</v>
      </c>
      <c r="I4" s="498">
        <v>2.7</v>
      </c>
      <c r="J4" s="499">
        <v>0.67767900000000003</v>
      </c>
      <c r="K4" s="96">
        <f>SUMPRODUCT('Dwelling stock'!E4:J4,E4:J4)/SUM('Dwelling stock'!E4:J4)</f>
        <v>2.8230050531085662</v>
      </c>
      <c r="M4" s="97"/>
      <c r="P4" s="94" t="s">
        <v>200</v>
      </c>
      <c r="Q4" s="94"/>
      <c r="R4" s="217">
        <f>R$15</f>
        <v>0.67767900000000003</v>
      </c>
      <c r="S4" s="218">
        <f>S$15</f>
        <v>0.67767900000000003</v>
      </c>
      <c r="V4" s="94" t="s">
        <v>200</v>
      </c>
      <c r="W4" s="95"/>
      <c r="X4" s="434"/>
      <c r="Y4" s="435"/>
      <c r="Z4" s="434"/>
      <c r="AA4" s="435"/>
      <c r="AB4" s="188"/>
      <c r="AC4" s="189"/>
      <c r="AD4" s="189"/>
      <c r="AE4" s="189"/>
      <c r="AF4" s="189"/>
      <c r="AG4" s="190"/>
    </row>
    <row r="5" spans="1:33">
      <c r="A5" s="48" t="s">
        <v>88</v>
      </c>
      <c r="B5" s="48" t="s">
        <v>8</v>
      </c>
      <c r="C5" s="47" t="s">
        <v>9</v>
      </c>
      <c r="D5" s="47" t="s">
        <v>10</v>
      </c>
      <c r="E5" s="497">
        <v>1.25</v>
      </c>
      <c r="F5" s="498">
        <v>1.5</v>
      </c>
      <c r="G5" s="498">
        <v>1.1000000000000001</v>
      </c>
      <c r="H5" s="498">
        <v>0.6</v>
      </c>
      <c r="I5" s="498">
        <v>0.5</v>
      </c>
      <c r="J5" s="499">
        <v>0.4</v>
      </c>
      <c r="K5" s="45">
        <f>SUMPRODUCT('Dwelling stock'!E5:J5,E5:J5)/SUM('Dwelling stock'!E5:J5)</f>
        <v>1.0675408395500232</v>
      </c>
      <c r="M5" s="54">
        <v>1.07</v>
      </c>
      <c r="P5" s="48" t="s">
        <v>8</v>
      </c>
      <c r="Q5" s="48" t="s">
        <v>12</v>
      </c>
      <c r="R5" s="219">
        <v>0.22</v>
      </c>
      <c r="S5" s="54">
        <v>0.14000000000000001</v>
      </c>
      <c r="V5" s="48" t="s">
        <v>8</v>
      </c>
      <c r="W5" s="47" t="s">
        <v>283</v>
      </c>
      <c r="X5" s="436">
        <v>0.4</v>
      </c>
      <c r="Y5" s="437">
        <f>X5</f>
        <v>0.4</v>
      </c>
      <c r="Z5" s="436">
        <f>X5</f>
        <v>0.4</v>
      </c>
      <c r="AA5" s="437">
        <f>Z5</f>
        <v>0.4</v>
      </c>
      <c r="AB5" s="179"/>
      <c r="AC5" s="164"/>
      <c r="AD5" s="164"/>
      <c r="AE5" s="164"/>
      <c r="AF5" s="164"/>
      <c r="AG5" s="273"/>
    </row>
    <row r="6" spans="1:33">
      <c r="A6" s="48" t="s">
        <v>117</v>
      </c>
      <c r="B6" s="48" t="s">
        <v>202</v>
      </c>
      <c r="C6" s="47"/>
      <c r="D6" s="47" t="s">
        <v>10</v>
      </c>
      <c r="E6" s="497">
        <v>0.93</v>
      </c>
      <c r="F6" s="498">
        <v>0.93</v>
      </c>
      <c r="G6" s="498">
        <v>0.93</v>
      </c>
      <c r="H6" s="498">
        <v>0.9</v>
      </c>
      <c r="I6" s="498">
        <v>0.9</v>
      </c>
      <c r="J6" s="499">
        <v>0.9</v>
      </c>
      <c r="K6" s="45">
        <f>SUMPRODUCT('Dwelling stock'!E6:J6,E6:J6)/SUM('Dwelling stock'!E6:J6)</f>
        <v>0.91952203043169323</v>
      </c>
      <c r="M6" s="28"/>
      <c r="P6" s="48" t="s">
        <v>202</v>
      </c>
      <c r="Q6" s="48"/>
      <c r="R6" s="220">
        <f>R$15</f>
        <v>0.67767900000000003</v>
      </c>
      <c r="S6" s="221">
        <f>S$15</f>
        <v>0.67767900000000003</v>
      </c>
      <c r="V6" s="48" t="s">
        <v>202</v>
      </c>
      <c r="W6" s="47"/>
      <c r="X6" s="438"/>
      <c r="Y6" s="439"/>
      <c r="Z6" s="438"/>
      <c r="AA6" s="439"/>
      <c r="AB6" s="179"/>
      <c r="AC6" s="164"/>
      <c r="AD6" s="164"/>
      <c r="AE6" s="164"/>
      <c r="AF6" s="164"/>
      <c r="AG6" s="273"/>
    </row>
    <row r="7" spans="1:33">
      <c r="A7" s="48" t="s">
        <v>89</v>
      </c>
      <c r="B7" s="48" t="s">
        <v>11</v>
      </c>
      <c r="C7" s="47" t="s">
        <v>12</v>
      </c>
      <c r="D7" s="47" t="s">
        <v>10</v>
      </c>
      <c r="E7" s="497">
        <v>1.02</v>
      </c>
      <c r="F7" s="498">
        <v>1.02</v>
      </c>
      <c r="G7" s="498">
        <v>1.02</v>
      </c>
      <c r="H7" s="498">
        <v>0.9</v>
      </c>
      <c r="I7" s="498">
        <v>0.9</v>
      </c>
      <c r="J7" s="499">
        <v>0.57999999999999996</v>
      </c>
      <c r="K7" s="45">
        <f>SUMPRODUCT('Dwelling stock'!E7:J7,E7:J7)/SUM('Dwelling stock'!E7:J7)</f>
        <v>0.9692883989741321</v>
      </c>
      <c r="M7" s="54">
        <v>0.96</v>
      </c>
      <c r="P7" s="48" t="s">
        <v>11</v>
      </c>
      <c r="Q7" s="48" t="s">
        <v>12</v>
      </c>
      <c r="R7" s="219">
        <v>0.26</v>
      </c>
      <c r="S7" s="54">
        <v>0.18</v>
      </c>
      <c r="V7" s="48" t="s">
        <v>11</v>
      </c>
      <c r="W7" s="47"/>
      <c r="X7" s="438"/>
      <c r="Y7" s="439"/>
      <c r="Z7" s="438"/>
      <c r="AA7" s="439"/>
      <c r="AB7" s="179"/>
      <c r="AC7" s="164"/>
      <c r="AD7" s="164"/>
      <c r="AE7" s="164"/>
      <c r="AF7" s="164"/>
      <c r="AG7" s="273"/>
    </row>
    <row r="8" spans="1:33">
      <c r="A8" s="48" t="s">
        <v>90</v>
      </c>
      <c r="B8" s="48" t="s">
        <v>13</v>
      </c>
      <c r="C8" s="47" t="s">
        <v>14</v>
      </c>
      <c r="D8" s="47" t="s">
        <v>10</v>
      </c>
      <c r="E8" s="497">
        <v>1.04</v>
      </c>
      <c r="F8" s="498">
        <v>1.04</v>
      </c>
      <c r="G8" s="498">
        <v>0.95</v>
      </c>
      <c r="H8" s="498">
        <v>0.64</v>
      </c>
      <c r="I8" s="498">
        <v>0.45400000000000001</v>
      </c>
      <c r="J8" s="499">
        <v>0.5</v>
      </c>
      <c r="K8" s="45">
        <f>SUMPRODUCT('Dwelling stock'!E8:J8,E8:J8)/SUM('Dwelling stock'!E8:J8)</f>
        <v>0.82899383262491888</v>
      </c>
      <c r="M8" s="54">
        <v>0.82</v>
      </c>
      <c r="P8" s="48" t="s">
        <v>13</v>
      </c>
      <c r="Q8" s="48"/>
      <c r="R8" s="220">
        <f>R$15</f>
        <v>0.67767900000000003</v>
      </c>
      <c r="S8" s="221">
        <f>S$15</f>
        <v>0.67767900000000003</v>
      </c>
      <c r="V8" s="48" t="s">
        <v>13</v>
      </c>
      <c r="W8" s="47" t="s">
        <v>283</v>
      </c>
      <c r="X8" s="436">
        <v>0.4</v>
      </c>
      <c r="Y8" s="437">
        <f>X8</f>
        <v>0.4</v>
      </c>
      <c r="Z8" s="436">
        <f>X8</f>
        <v>0.4</v>
      </c>
      <c r="AA8" s="437">
        <f>Z8</f>
        <v>0.4</v>
      </c>
      <c r="AB8" s="179"/>
      <c r="AC8" s="164"/>
      <c r="AD8" s="164"/>
      <c r="AE8" s="164"/>
      <c r="AF8" s="164"/>
      <c r="AG8" s="273"/>
    </row>
    <row r="9" spans="1:33">
      <c r="A9" s="28" t="s">
        <v>91</v>
      </c>
      <c r="B9" s="28" t="s">
        <v>62</v>
      </c>
      <c r="C9" s="426"/>
      <c r="D9" s="426" t="s">
        <v>10</v>
      </c>
      <c r="E9" s="497">
        <v>1.25</v>
      </c>
      <c r="F9" s="498">
        <v>1.5</v>
      </c>
      <c r="G9" s="498">
        <v>1.1000000000000001</v>
      </c>
      <c r="H9" s="498">
        <v>0.6</v>
      </c>
      <c r="I9" s="498">
        <v>0.5</v>
      </c>
      <c r="J9" s="499">
        <v>0.4</v>
      </c>
      <c r="K9" s="45">
        <f>SUMPRODUCT('Dwelling stock'!E9:J9,E9:J9)/SUM('Dwelling stock'!E9:J9)</f>
        <v>1.0675408395500232</v>
      </c>
      <c r="M9" s="28"/>
      <c r="P9" s="28" t="s">
        <v>62</v>
      </c>
      <c r="Q9" s="28"/>
      <c r="R9" s="220">
        <f t="shared" ref="R9:S9" si="0">R5</f>
        <v>0.22</v>
      </c>
      <c r="S9" s="221">
        <f t="shared" si="0"/>
        <v>0.14000000000000001</v>
      </c>
      <c r="V9" s="28" t="s">
        <v>62</v>
      </c>
      <c r="W9" s="426"/>
      <c r="X9" s="438"/>
      <c r="Y9" s="439"/>
      <c r="Z9" s="438"/>
      <c r="AA9" s="439"/>
      <c r="AB9" s="179"/>
      <c r="AC9" s="164"/>
      <c r="AD9" s="164"/>
      <c r="AE9" s="164"/>
      <c r="AF9" s="164"/>
      <c r="AG9" s="273"/>
    </row>
    <row r="10" spans="1:33">
      <c r="A10" s="48" t="s">
        <v>92</v>
      </c>
      <c r="B10" s="48" t="s">
        <v>15</v>
      </c>
      <c r="C10" s="47"/>
      <c r="D10" s="47" t="s">
        <v>10</v>
      </c>
      <c r="E10" s="497">
        <v>3.1</v>
      </c>
      <c r="F10" s="498">
        <v>3.1</v>
      </c>
      <c r="G10" s="498">
        <v>3.1</v>
      </c>
      <c r="H10" s="498">
        <v>2.7</v>
      </c>
      <c r="I10" s="498">
        <v>2.7</v>
      </c>
      <c r="J10" s="499">
        <v>0.67767900000000003</v>
      </c>
      <c r="K10" s="45">
        <f>SUMPRODUCT('Dwelling stock'!E10:J10,E10:J10)/SUM('Dwelling stock'!E10:J10)</f>
        <v>2.0681510085511823</v>
      </c>
      <c r="M10" s="54">
        <v>2</v>
      </c>
      <c r="P10" s="48" t="s">
        <v>15</v>
      </c>
      <c r="Q10" s="48"/>
      <c r="R10" s="220">
        <f>R$15</f>
        <v>0.67767900000000003</v>
      </c>
      <c r="S10" s="221">
        <f>S$15</f>
        <v>0.67767900000000003</v>
      </c>
      <c r="V10" s="48" t="s">
        <v>15</v>
      </c>
      <c r="W10" s="47"/>
      <c r="X10" s="438"/>
      <c r="Y10" s="439"/>
      <c r="Z10" s="438"/>
      <c r="AA10" s="439"/>
      <c r="AB10" s="179"/>
      <c r="AC10" s="164"/>
      <c r="AD10" s="164"/>
      <c r="AE10" s="164"/>
      <c r="AF10" s="164"/>
      <c r="AG10" s="273"/>
    </row>
    <row r="11" spans="1:33">
      <c r="A11" s="48" t="s">
        <v>93</v>
      </c>
      <c r="B11" s="48" t="s">
        <v>18</v>
      </c>
      <c r="C11" s="47" t="s">
        <v>19</v>
      </c>
      <c r="D11" s="47" t="s">
        <v>10</v>
      </c>
      <c r="E11" s="497">
        <v>1.5</v>
      </c>
      <c r="F11" s="498">
        <v>1</v>
      </c>
      <c r="G11" s="498">
        <v>1</v>
      </c>
      <c r="H11" s="498">
        <v>0.8</v>
      </c>
      <c r="I11" s="498">
        <v>0.6</v>
      </c>
      <c r="J11" s="499">
        <v>0.42</v>
      </c>
      <c r="K11" s="45">
        <f>SUMPRODUCT('Dwelling stock'!E11:J11,E11:J11)/SUM('Dwelling stock'!E11:J11)</f>
        <v>1.0221795266416229</v>
      </c>
      <c r="M11" s="54">
        <v>1.01</v>
      </c>
      <c r="P11" s="48" t="s">
        <v>18</v>
      </c>
      <c r="Q11" s="48" t="s">
        <v>12</v>
      </c>
      <c r="R11" s="219">
        <v>0.55000000000000004</v>
      </c>
      <c r="S11" s="54">
        <v>0.2</v>
      </c>
      <c r="V11" s="48" t="s">
        <v>18</v>
      </c>
      <c r="W11" s="47" t="s">
        <v>283</v>
      </c>
      <c r="X11" s="436">
        <v>0.45</v>
      </c>
      <c r="Y11" s="437">
        <f>X11</f>
        <v>0.45</v>
      </c>
      <c r="Z11" s="436">
        <f>X11</f>
        <v>0.45</v>
      </c>
      <c r="AA11" s="437">
        <f>Z11</f>
        <v>0.45</v>
      </c>
      <c r="AB11" s="179"/>
      <c r="AC11" s="164"/>
      <c r="AD11" s="164"/>
      <c r="AE11" s="164"/>
      <c r="AF11" s="164"/>
      <c r="AG11" s="273"/>
    </row>
    <row r="12" spans="1:33">
      <c r="A12" s="48" t="s">
        <v>94</v>
      </c>
      <c r="B12" s="48" t="s">
        <v>26</v>
      </c>
      <c r="C12" s="47" t="s">
        <v>27</v>
      </c>
      <c r="D12" s="47" t="s">
        <v>10</v>
      </c>
      <c r="E12" s="497">
        <v>1.0779000000000001</v>
      </c>
      <c r="F12" s="498">
        <v>1.223867</v>
      </c>
      <c r="G12" s="498">
        <v>0.97</v>
      </c>
      <c r="H12" s="498">
        <v>0.55000000000000004</v>
      </c>
      <c r="I12" s="498">
        <v>0.34</v>
      </c>
      <c r="J12" s="499">
        <v>0.34</v>
      </c>
      <c r="K12" s="45">
        <f>SUMPRODUCT('Dwelling stock'!E12:J12,E12:J12)/SUM('Dwelling stock'!E12:J12)</f>
        <v>0.9211521338463966</v>
      </c>
      <c r="M12" s="54">
        <v>0.87</v>
      </c>
      <c r="P12" s="48" t="s">
        <v>26</v>
      </c>
      <c r="Q12" s="48" t="s">
        <v>12</v>
      </c>
      <c r="R12" s="219">
        <v>0.31</v>
      </c>
      <c r="S12" s="54">
        <v>0.23</v>
      </c>
      <c r="V12" s="48" t="s">
        <v>26</v>
      </c>
      <c r="W12" s="47" t="s">
        <v>283</v>
      </c>
      <c r="X12" s="436">
        <v>0.3</v>
      </c>
      <c r="Y12" s="437" t="s">
        <v>242</v>
      </c>
      <c r="Z12" s="436">
        <v>0.3</v>
      </c>
      <c r="AA12" s="437" t="s">
        <v>242</v>
      </c>
      <c r="AB12" s="179"/>
      <c r="AC12" s="164"/>
      <c r="AD12" s="164"/>
      <c r="AE12" s="164"/>
      <c r="AF12" s="164"/>
      <c r="AG12" s="273"/>
    </row>
    <row r="13" spans="1:33">
      <c r="A13" s="48" t="s">
        <v>95</v>
      </c>
      <c r="B13" s="48" t="s">
        <v>20</v>
      </c>
      <c r="C13" s="47" t="s">
        <v>21</v>
      </c>
      <c r="D13" s="47" t="s">
        <v>10</v>
      </c>
      <c r="E13" s="497">
        <v>0.75045099999999998</v>
      </c>
      <c r="F13" s="498">
        <v>0.68</v>
      </c>
      <c r="G13" s="498">
        <v>0.31</v>
      </c>
      <c r="H13" s="498">
        <v>0.25</v>
      </c>
      <c r="I13" s="498">
        <v>0.25</v>
      </c>
      <c r="J13" s="499">
        <v>0.144874</v>
      </c>
      <c r="K13" s="45">
        <f>SUMPRODUCT('Dwelling stock'!E13:J13,E13:J13)/SUM('Dwelling stock'!E13:J13)</f>
        <v>0.54224448936562464</v>
      </c>
      <c r="M13" s="54">
        <v>0.57999999999999996</v>
      </c>
      <c r="P13" s="48" t="s">
        <v>20</v>
      </c>
      <c r="Q13" s="48" t="s">
        <v>12</v>
      </c>
      <c r="R13" s="219">
        <v>0.24</v>
      </c>
      <c r="S13" s="54">
        <v>0.12</v>
      </c>
      <c r="V13" s="48" t="s">
        <v>20</v>
      </c>
      <c r="W13" s="47"/>
      <c r="X13" s="438"/>
      <c r="Y13" s="439"/>
      <c r="Z13" s="438"/>
      <c r="AA13" s="439"/>
      <c r="AB13" s="179"/>
      <c r="AC13" s="164"/>
      <c r="AD13" s="164"/>
      <c r="AE13" s="164"/>
      <c r="AF13" s="164"/>
      <c r="AG13" s="273"/>
    </row>
    <row r="14" spans="1:33">
      <c r="A14" s="48" t="s">
        <v>96</v>
      </c>
      <c r="B14" s="48" t="s">
        <v>22</v>
      </c>
      <c r="C14" s="47" t="s">
        <v>23</v>
      </c>
      <c r="D14" s="47" t="s">
        <v>10</v>
      </c>
      <c r="E14" s="497">
        <v>0.45</v>
      </c>
      <c r="F14" s="498">
        <v>0.45</v>
      </c>
      <c r="G14" s="498">
        <v>0.35</v>
      </c>
      <c r="H14" s="498">
        <v>0.26250000000000001</v>
      </c>
      <c r="I14" s="498">
        <v>0.17499999999999999</v>
      </c>
      <c r="J14" s="499">
        <v>0.17499999999999999</v>
      </c>
      <c r="K14" s="45">
        <f>SUMPRODUCT('Dwelling stock'!E14:J14,E14:J14)/SUM('Dwelling stock'!E14:J14)</f>
        <v>0.35820420001304443</v>
      </c>
      <c r="M14" s="54">
        <v>0.37</v>
      </c>
      <c r="P14" s="48" t="s">
        <v>22</v>
      </c>
      <c r="Q14" s="48"/>
      <c r="R14" s="220">
        <f>R$33</f>
        <v>0.45</v>
      </c>
      <c r="S14" s="221">
        <f>S$33</f>
        <v>0.3</v>
      </c>
      <c r="V14" s="48" t="s">
        <v>22</v>
      </c>
      <c r="W14" s="47"/>
      <c r="X14" s="438"/>
      <c r="Y14" s="439"/>
      <c r="Z14" s="438"/>
      <c r="AA14" s="439"/>
      <c r="AB14" s="179"/>
      <c r="AC14" s="164"/>
      <c r="AD14" s="164"/>
      <c r="AE14" s="164"/>
      <c r="AF14" s="164"/>
      <c r="AG14" s="273"/>
    </row>
    <row r="15" spans="1:33">
      <c r="A15" s="48" t="s">
        <v>205</v>
      </c>
      <c r="B15" s="48" t="s">
        <v>28</v>
      </c>
      <c r="C15" s="47" t="s">
        <v>29</v>
      </c>
      <c r="D15" s="47" t="s">
        <v>10</v>
      </c>
      <c r="E15" s="497">
        <v>3.1</v>
      </c>
      <c r="F15" s="498">
        <v>3.1</v>
      </c>
      <c r="G15" s="498">
        <v>3.1</v>
      </c>
      <c r="H15" s="498">
        <v>2.7</v>
      </c>
      <c r="I15" s="498">
        <v>2.7</v>
      </c>
      <c r="J15" s="499">
        <v>0.67767900000000003</v>
      </c>
      <c r="K15" s="45">
        <f>SUMPRODUCT('Dwelling stock'!E15:J15,E15:J15)/SUM('Dwelling stock'!E15:J15)</f>
        <v>2.8230050531085653</v>
      </c>
      <c r="M15" s="54" t="s">
        <v>17</v>
      </c>
      <c r="P15" s="48" t="s">
        <v>28</v>
      </c>
      <c r="Q15" s="48" t="s">
        <v>12</v>
      </c>
      <c r="R15" s="220">
        <f>J15</f>
        <v>0.67767900000000003</v>
      </c>
      <c r="S15" s="220">
        <f>J15</f>
        <v>0.67767900000000003</v>
      </c>
      <c r="V15" s="48" t="s">
        <v>28</v>
      </c>
      <c r="W15" s="47"/>
      <c r="X15" s="438"/>
      <c r="Y15" s="439"/>
      <c r="Z15" s="438"/>
      <c r="AA15" s="439"/>
      <c r="AB15" s="179"/>
      <c r="AC15" s="164"/>
      <c r="AD15" s="164"/>
      <c r="AE15" s="164"/>
      <c r="AF15" s="164"/>
      <c r="AG15" s="273"/>
    </row>
    <row r="16" spans="1:33">
      <c r="A16" s="48" t="s">
        <v>97</v>
      </c>
      <c r="B16" s="48" t="s">
        <v>49</v>
      </c>
      <c r="C16" s="47" t="s">
        <v>50</v>
      </c>
      <c r="D16" s="47" t="s">
        <v>10</v>
      </c>
      <c r="E16" s="497">
        <v>2.4500000000000002</v>
      </c>
      <c r="F16" s="498">
        <v>2.4500000000000002</v>
      </c>
      <c r="G16" s="498">
        <v>2.4500000000000002</v>
      </c>
      <c r="H16" s="498">
        <v>0.8</v>
      </c>
      <c r="I16" s="498">
        <v>0.8</v>
      </c>
      <c r="J16" s="499">
        <v>0.7</v>
      </c>
      <c r="K16" s="45">
        <f>SUMPRODUCT('Dwelling stock'!E16:J16,E16:J16)/SUM('Dwelling stock'!E16:J16)</f>
        <v>1.69419062227789</v>
      </c>
      <c r="M16" s="54">
        <v>1.73</v>
      </c>
      <c r="P16" s="48" t="s">
        <v>49</v>
      </c>
      <c r="Q16" s="48" t="s">
        <v>12</v>
      </c>
      <c r="R16" s="219">
        <v>1.1399999999999999</v>
      </c>
      <c r="S16" s="54">
        <v>1.1399999999999999</v>
      </c>
      <c r="V16" s="48" t="s">
        <v>49</v>
      </c>
      <c r="W16" s="47" t="s">
        <v>283</v>
      </c>
      <c r="X16" s="436">
        <v>0.69</v>
      </c>
      <c r="Y16" s="437">
        <f>X16</f>
        <v>0.69</v>
      </c>
      <c r="Z16" s="436">
        <f>X16</f>
        <v>0.69</v>
      </c>
      <c r="AA16" s="437">
        <f>Z16</f>
        <v>0.69</v>
      </c>
      <c r="AB16" s="179"/>
      <c r="AC16" s="164"/>
      <c r="AD16" s="164"/>
      <c r="AE16" s="164"/>
      <c r="AF16" s="164"/>
      <c r="AG16" s="273"/>
    </row>
    <row r="17" spans="1:33">
      <c r="A17" s="48" t="s">
        <v>98</v>
      </c>
      <c r="B17" s="48" t="s">
        <v>24</v>
      </c>
      <c r="C17" s="47" t="s">
        <v>14</v>
      </c>
      <c r="D17" s="47" t="s">
        <v>10</v>
      </c>
      <c r="E17" s="497">
        <v>0.65</v>
      </c>
      <c r="F17" s="498">
        <v>0.45</v>
      </c>
      <c r="G17" s="498">
        <v>0.37</v>
      </c>
      <c r="H17" s="498">
        <v>0.33</v>
      </c>
      <c r="I17" s="498">
        <v>0.32</v>
      </c>
      <c r="J17" s="499">
        <v>0.27500000000000002</v>
      </c>
      <c r="K17" s="45">
        <f>SUMPRODUCT('Dwelling stock'!E17:J17,E17:J17)/SUM('Dwelling stock'!E17:J17)</f>
        <v>0.40668227738695484</v>
      </c>
      <c r="M17" s="54">
        <v>0.41</v>
      </c>
      <c r="P17" s="48" t="s">
        <v>24</v>
      </c>
      <c r="Q17" s="48"/>
      <c r="R17" s="220">
        <f>R$32</f>
        <v>0.35</v>
      </c>
      <c r="S17" s="221">
        <f>S$32</f>
        <v>0.1</v>
      </c>
      <c r="V17" s="48" t="s">
        <v>24</v>
      </c>
      <c r="W17" s="47" t="s">
        <v>283</v>
      </c>
      <c r="X17" s="436">
        <v>0.16</v>
      </c>
      <c r="Y17" s="437">
        <f>X17</f>
        <v>0.16</v>
      </c>
      <c r="Z17" s="436">
        <f>X17</f>
        <v>0.16</v>
      </c>
      <c r="AA17" s="437">
        <f>Z17</f>
        <v>0.16</v>
      </c>
      <c r="AB17" s="179"/>
      <c r="AC17" s="164"/>
      <c r="AD17" s="164"/>
      <c r="AE17" s="164"/>
      <c r="AF17" s="164"/>
      <c r="AG17" s="273"/>
    </row>
    <row r="18" spans="1:33">
      <c r="A18" s="48" t="s">
        <v>99</v>
      </c>
      <c r="B18" s="48" t="s">
        <v>25</v>
      </c>
      <c r="C18" s="47" t="s">
        <v>21</v>
      </c>
      <c r="D18" s="47" t="s">
        <v>10</v>
      </c>
      <c r="E18" s="497">
        <v>2</v>
      </c>
      <c r="F18" s="498">
        <v>2</v>
      </c>
      <c r="G18" s="498">
        <v>0.95</v>
      </c>
      <c r="H18" s="498">
        <v>0.79255900000000001</v>
      </c>
      <c r="I18" s="498">
        <v>0.4</v>
      </c>
      <c r="J18" s="499">
        <v>0.388374</v>
      </c>
      <c r="K18" s="45">
        <f>SUMPRODUCT('Dwelling stock'!E18:J18,E18:J18)/SUM('Dwelling stock'!E18:J18)</f>
        <v>1.2792871350231256</v>
      </c>
      <c r="M18" s="54">
        <v>1.44</v>
      </c>
      <c r="P18" s="48" t="s">
        <v>25</v>
      </c>
      <c r="Q18" s="48" t="s">
        <v>12</v>
      </c>
      <c r="R18" s="219">
        <v>0.49</v>
      </c>
      <c r="S18" s="54">
        <v>0.3</v>
      </c>
      <c r="V18" s="48" t="s">
        <v>25</v>
      </c>
      <c r="W18" s="47" t="s">
        <v>283</v>
      </c>
      <c r="X18" s="436">
        <v>0.36</v>
      </c>
      <c r="Y18" s="437">
        <f>X18</f>
        <v>0.36</v>
      </c>
      <c r="Z18" s="436">
        <f>X18</f>
        <v>0.36</v>
      </c>
      <c r="AA18" s="437">
        <f>Z18</f>
        <v>0.36</v>
      </c>
      <c r="AB18" s="179"/>
      <c r="AC18" s="164"/>
      <c r="AD18" s="164"/>
      <c r="AE18" s="164"/>
      <c r="AF18" s="164"/>
      <c r="AG18" s="273"/>
    </row>
    <row r="19" spans="1:33">
      <c r="A19" s="48" t="s">
        <v>118</v>
      </c>
      <c r="B19" s="48" t="s">
        <v>55</v>
      </c>
      <c r="C19" s="47" t="s">
        <v>56</v>
      </c>
      <c r="D19" s="47" t="s">
        <v>10</v>
      </c>
      <c r="E19" s="497">
        <v>0.93</v>
      </c>
      <c r="F19" s="498">
        <v>0.93</v>
      </c>
      <c r="G19" s="498">
        <v>0.93</v>
      </c>
      <c r="H19" s="498">
        <v>0.93</v>
      </c>
      <c r="I19" s="498">
        <v>0.65</v>
      </c>
      <c r="J19" s="499">
        <v>0.65</v>
      </c>
      <c r="K19" s="45">
        <f>SUMPRODUCT('Dwelling stock'!E19:J19,E19:J19)/SUM('Dwelling stock'!E19:J19)</f>
        <v>0.87137735849056608</v>
      </c>
      <c r="M19" s="54">
        <v>0.88</v>
      </c>
      <c r="P19" s="48" t="s">
        <v>55</v>
      </c>
      <c r="Q19" s="48"/>
      <c r="R19" s="220">
        <f>R$8</f>
        <v>0.67767900000000003</v>
      </c>
      <c r="S19" s="221">
        <f>S$8</f>
        <v>0.67767900000000003</v>
      </c>
      <c r="V19" s="48" t="s">
        <v>55</v>
      </c>
      <c r="W19" s="47"/>
      <c r="X19" s="438"/>
      <c r="Y19" s="439"/>
      <c r="Z19" s="438"/>
      <c r="AA19" s="439"/>
      <c r="AB19" s="179"/>
      <c r="AC19" s="164"/>
      <c r="AD19" s="164"/>
      <c r="AE19" s="164"/>
      <c r="AF19" s="164"/>
      <c r="AG19" s="273"/>
    </row>
    <row r="20" spans="1:33">
      <c r="A20" s="48" t="s">
        <v>100</v>
      </c>
      <c r="B20" s="48" t="s">
        <v>30</v>
      </c>
      <c r="C20" s="47" t="s">
        <v>14</v>
      </c>
      <c r="D20" s="47" t="s">
        <v>10</v>
      </c>
      <c r="E20" s="497">
        <v>1</v>
      </c>
      <c r="F20" s="498">
        <v>1</v>
      </c>
      <c r="G20" s="498">
        <v>1</v>
      </c>
      <c r="H20" s="498">
        <v>0.8</v>
      </c>
      <c r="I20" s="498">
        <v>0.8</v>
      </c>
      <c r="J20" s="499">
        <v>0.5</v>
      </c>
      <c r="K20" s="45">
        <f>SUMPRODUCT('Dwelling stock'!E20:J20,E20:J20)/SUM('Dwelling stock'!E20:J20)</f>
        <v>0.88981712087884812</v>
      </c>
      <c r="M20" s="54">
        <v>0.91</v>
      </c>
      <c r="P20" s="48" t="s">
        <v>30</v>
      </c>
      <c r="Q20" s="48"/>
      <c r="R20" s="220">
        <f>R$11</f>
        <v>0.55000000000000004</v>
      </c>
      <c r="S20" s="221">
        <f>S$11</f>
        <v>0.2</v>
      </c>
      <c r="V20" s="48" t="s">
        <v>30</v>
      </c>
      <c r="W20" s="47"/>
      <c r="X20" s="438"/>
      <c r="Y20" s="439"/>
      <c r="Z20" s="438"/>
      <c r="AA20" s="439"/>
      <c r="AB20" s="179"/>
      <c r="AC20" s="164"/>
      <c r="AD20" s="164"/>
      <c r="AE20" s="164"/>
      <c r="AF20" s="164"/>
      <c r="AG20" s="273"/>
    </row>
    <row r="21" spans="1:33">
      <c r="A21" s="48" t="s">
        <v>101</v>
      </c>
      <c r="B21" s="48" t="s">
        <v>31</v>
      </c>
      <c r="C21" s="47" t="s">
        <v>32</v>
      </c>
      <c r="D21" s="47" t="s">
        <v>10</v>
      </c>
      <c r="E21" s="497">
        <v>0.72</v>
      </c>
      <c r="F21" s="498">
        <v>0.72</v>
      </c>
      <c r="G21" s="498">
        <v>0.72</v>
      </c>
      <c r="H21" s="498">
        <v>0.45</v>
      </c>
      <c r="I21" s="498">
        <v>0.45</v>
      </c>
      <c r="J21" s="499">
        <v>0.31040299999999998</v>
      </c>
      <c r="K21" s="45">
        <f>SUMPRODUCT('Dwelling stock'!E21:J21,E21:J21)/SUM('Dwelling stock'!E21:J21)</f>
        <v>0.53101733674808393</v>
      </c>
      <c r="M21" s="54" t="s">
        <v>17</v>
      </c>
      <c r="P21" s="48" t="s">
        <v>31</v>
      </c>
      <c r="Q21" s="48" t="s">
        <v>12</v>
      </c>
      <c r="R21" s="219">
        <v>0.25</v>
      </c>
      <c r="S21" s="54">
        <v>0.25</v>
      </c>
      <c r="V21" s="48" t="s">
        <v>31</v>
      </c>
      <c r="W21" s="47"/>
      <c r="X21" s="438"/>
      <c r="Y21" s="439"/>
      <c r="Z21" s="438"/>
      <c r="AA21" s="439"/>
      <c r="AB21" s="179"/>
      <c r="AC21" s="164"/>
      <c r="AD21" s="164"/>
      <c r="AE21" s="164"/>
      <c r="AF21" s="164"/>
      <c r="AG21" s="273"/>
    </row>
    <row r="22" spans="1:33">
      <c r="A22" s="28" t="s">
        <v>102</v>
      </c>
      <c r="B22" s="28" t="s">
        <v>63</v>
      </c>
      <c r="C22" s="426"/>
      <c r="D22" s="426" t="s">
        <v>10</v>
      </c>
      <c r="E22" s="497">
        <v>0.65</v>
      </c>
      <c r="F22" s="498">
        <v>0.45</v>
      </c>
      <c r="G22" s="498">
        <v>0.37</v>
      </c>
      <c r="H22" s="498">
        <v>0.33</v>
      </c>
      <c r="I22" s="498">
        <v>0.32</v>
      </c>
      <c r="J22" s="499">
        <v>0.27500000000000002</v>
      </c>
      <c r="K22" s="426">
        <f>SUMPRODUCT('Dwelling stock'!E22:J22,E22:J22)/SUM('Dwelling stock'!E22:J22)</f>
        <v>0.40668227738695478</v>
      </c>
      <c r="M22" s="28"/>
      <c r="P22" s="28" t="s">
        <v>63</v>
      </c>
      <c r="Q22" s="28"/>
      <c r="R22" s="220">
        <f t="shared" ref="R22:S22" si="1">R17</f>
        <v>0.35</v>
      </c>
      <c r="S22" s="221">
        <f t="shared" si="1"/>
        <v>0.1</v>
      </c>
      <c r="V22" s="28" t="s">
        <v>63</v>
      </c>
      <c r="W22" s="426"/>
      <c r="X22" s="438"/>
      <c r="Y22" s="439"/>
      <c r="Z22" s="438"/>
      <c r="AA22" s="439"/>
      <c r="AB22" s="179"/>
      <c r="AC22" s="164"/>
      <c r="AD22" s="164"/>
      <c r="AE22" s="164"/>
      <c r="AF22" s="164"/>
      <c r="AG22" s="273"/>
    </row>
    <row r="23" spans="1:33">
      <c r="A23" s="48" t="s">
        <v>103</v>
      </c>
      <c r="B23" s="48" t="s">
        <v>33</v>
      </c>
      <c r="C23" s="47" t="s">
        <v>34</v>
      </c>
      <c r="D23" s="47" t="s">
        <v>10</v>
      </c>
      <c r="E23" s="497">
        <v>1.85</v>
      </c>
      <c r="F23" s="498">
        <v>1.85</v>
      </c>
      <c r="G23" s="498">
        <v>1.6</v>
      </c>
      <c r="H23" s="498">
        <v>1.6</v>
      </c>
      <c r="I23" s="498">
        <v>1.6</v>
      </c>
      <c r="J23" s="498">
        <v>1.6</v>
      </c>
      <c r="K23" s="45">
        <f>SUMPRODUCT('Dwelling stock'!E23:J23,E23:J23)/SUM('Dwelling stock'!E23:J23)</f>
        <v>1.7447294725727431</v>
      </c>
      <c r="M23" s="54">
        <v>1.75</v>
      </c>
      <c r="P23" s="48" t="s">
        <v>33</v>
      </c>
      <c r="Q23" s="48" t="s">
        <v>12</v>
      </c>
      <c r="R23" s="219">
        <v>0.31</v>
      </c>
      <c r="S23" s="54">
        <v>0.21</v>
      </c>
      <c r="V23" s="48" t="s">
        <v>33</v>
      </c>
      <c r="W23" s="47" t="s">
        <v>283</v>
      </c>
      <c r="X23" s="436">
        <v>0.65</v>
      </c>
      <c r="Y23" s="437" t="s">
        <v>242</v>
      </c>
      <c r="Z23" s="436">
        <f>X23</f>
        <v>0.65</v>
      </c>
      <c r="AA23" s="437" t="s">
        <v>242</v>
      </c>
      <c r="AB23" s="179"/>
      <c r="AC23" s="164"/>
      <c r="AD23" s="164"/>
      <c r="AE23" s="164"/>
      <c r="AF23" s="164"/>
      <c r="AG23" s="273"/>
    </row>
    <row r="24" spans="1:33">
      <c r="A24" s="48" t="s">
        <v>122</v>
      </c>
      <c r="B24" s="48" t="s">
        <v>201</v>
      </c>
      <c r="C24" s="47"/>
      <c r="D24" s="47" t="s">
        <v>10</v>
      </c>
      <c r="E24" s="497">
        <v>0.93</v>
      </c>
      <c r="F24" s="498">
        <v>0.93</v>
      </c>
      <c r="G24" s="498">
        <v>0.93</v>
      </c>
      <c r="H24" s="498">
        <v>0.9</v>
      </c>
      <c r="I24" s="498">
        <v>0.9</v>
      </c>
      <c r="J24" s="499">
        <v>0.9</v>
      </c>
      <c r="K24" s="45">
        <f>SUMPRODUCT('Dwelling stock'!E24:J24,E24:J24)/SUM('Dwelling stock'!E24:J24)</f>
        <v>0.91952203043169323</v>
      </c>
      <c r="M24" s="28"/>
      <c r="P24" s="48" t="s">
        <v>201</v>
      </c>
      <c r="Q24" s="28"/>
      <c r="R24" s="220">
        <f>R36</f>
        <v>0.67767900000000003</v>
      </c>
      <c r="S24" s="221">
        <f t="shared" ref="S24" si="2">S36</f>
        <v>0.67767900000000003</v>
      </c>
      <c r="V24" s="48" t="s">
        <v>201</v>
      </c>
      <c r="W24" s="47"/>
      <c r="X24" s="438"/>
      <c r="Y24" s="439"/>
      <c r="Z24" s="438"/>
      <c r="AA24" s="439"/>
      <c r="AB24" s="179"/>
      <c r="AC24" s="164"/>
      <c r="AD24" s="164"/>
      <c r="AE24" s="164"/>
      <c r="AF24" s="164"/>
      <c r="AG24" s="273"/>
    </row>
    <row r="25" spans="1:33">
      <c r="A25" s="48" t="s">
        <v>104</v>
      </c>
      <c r="B25" s="48" t="s">
        <v>36</v>
      </c>
      <c r="C25" s="47" t="s">
        <v>37</v>
      </c>
      <c r="D25" s="47" t="s">
        <v>10</v>
      </c>
      <c r="E25" s="497">
        <v>1</v>
      </c>
      <c r="F25" s="498">
        <v>1</v>
      </c>
      <c r="G25" s="498">
        <v>0.6</v>
      </c>
      <c r="H25" s="498">
        <v>0.6</v>
      </c>
      <c r="I25" s="498">
        <v>0.6</v>
      </c>
      <c r="J25" s="499">
        <v>0.4</v>
      </c>
      <c r="K25" s="45">
        <f>SUMPRODUCT('Dwelling stock'!E25:J25,E25:J25)/SUM('Dwelling stock'!E25:J25)</f>
        <v>0.80306485982823472</v>
      </c>
      <c r="M25" s="54">
        <v>0.95</v>
      </c>
      <c r="P25" s="48" t="s">
        <v>36</v>
      </c>
      <c r="Q25" s="48"/>
      <c r="R25" s="220">
        <f>R$33</f>
        <v>0.45</v>
      </c>
      <c r="S25" s="221">
        <f>S$33</f>
        <v>0.3</v>
      </c>
      <c r="V25" s="48" t="s">
        <v>36</v>
      </c>
      <c r="W25" s="47"/>
      <c r="X25" s="438"/>
      <c r="Y25" s="439"/>
      <c r="Z25" s="438"/>
      <c r="AA25" s="439"/>
      <c r="AB25" s="179"/>
      <c r="AC25" s="164"/>
      <c r="AD25" s="164"/>
      <c r="AE25" s="164"/>
      <c r="AF25" s="164"/>
      <c r="AG25" s="273"/>
    </row>
    <row r="26" spans="1:33">
      <c r="A26" s="48" t="s">
        <v>105</v>
      </c>
      <c r="B26" s="48" t="s">
        <v>38</v>
      </c>
      <c r="C26" s="47" t="s">
        <v>14</v>
      </c>
      <c r="D26" s="47" t="s">
        <v>10</v>
      </c>
      <c r="E26" s="497">
        <v>1.769145</v>
      </c>
      <c r="F26" s="498">
        <v>1.385035</v>
      </c>
      <c r="G26" s="498">
        <v>0.61</v>
      </c>
      <c r="H26" s="498">
        <v>0.6</v>
      </c>
      <c r="I26" s="498">
        <v>0.52238300000000004</v>
      </c>
      <c r="J26" s="499">
        <v>0.4</v>
      </c>
      <c r="K26" s="45">
        <f>SUMPRODUCT('Dwelling stock'!E26:J26,E26:J26)/SUM('Dwelling stock'!E26:J26)</f>
        <v>1.1061671219087876</v>
      </c>
      <c r="M26" s="54">
        <v>1.08</v>
      </c>
      <c r="P26" s="48" t="s">
        <v>38</v>
      </c>
      <c r="Q26" s="48"/>
      <c r="R26" s="220">
        <f>R$7</f>
        <v>0.26</v>
      </c>
      <c r="S26" s="221">
        <f>S$7</f>
        <v>0.18</v>
      </c>
      <c r="V26" s="48" t="s">
        <v>38</v>
      </c>
      <c r="W26" s="47"/>
      <c r="X26" s="438"/>
      <c r="Y26" s="439"/>
      <c r="Z26" s="438"/>
      <c r="AA26" s="439"/>
      <c r="AB26" s="179"/>
      <c r="AC26" s="164"/>
      <c r="AD26" s="164"/>
      <c r="AE26" s="164"/>
      <c r="AF26" s="164"/>
      <c r="AG26" s="273"/>
    </row>
    <row r="27" spans="1:33">
      <c r="A27" s="48" t="s">
        <v>106</v>
      </c>
      <c r="B27" s="48" t="s">
        <v>35</v>
      </c>
      <c r="C27" s="47"/>
      <c r="D27" s="47" t="s">
        <v>10</v>
      </c>
      <c r="E27" s="497">
        <v>0.9</v>
      </c>
      <c r="F27" s="498">
        <v>0.9</v>
      </c>
      <c r="G27" s="498">
        <v>0.9</v>
      </c>
      <c r="H27" s="498">
        <v>0.3</v>
      </c>
      <c r="I27" s="498">
        <v>0.3</v>
      </c>
      <c r="J27" s="499">
        <v>0.3</v>
      </c>
      <c r="K27" s="45">
        <f>SUMPRODUCT('Dwelling stock'!E27:J27,E27:J27)/SUM('Dwelling stock'!E27:J27)</f>
        <v>0.70085549499700472</v>
      </c>
      <c r="M27" s="54">
        <v>0.74</v>
      </c>
      <c r="P27" s="48" t="s">
        <v>35</v>
      </c>
      <c r="Q27" s="48"/>
      <c r="R27" s="220">
        <f>R$33</f>
        <v>0.45</v>
      </c>
      <c r="S27" s="221">
        <f>S$33</f>
        <v>0.3</v>
      </c>
      <c r="V27" s="48" t="s">
        <v>35</v>
      </c>
      <c r="W27" s="47"/>
      <c r="X27" s="438"/>
      <c r="Y27" s="439"/>
      <c r="Z27" s="438"/>
      <c r="AA27" s="439"/>
      <c r="AB27" s="179"/>
      <c r="AC27" s="164"/>
      <c r="AD27" s="164"/>
      <c r="AE27" s="164"/>
      <c r="AF27" s="164"/>
      <c r="AG27" s="273"/>
    </row>
    <row r="28" spans="1:33">
      <c r="A28" s="48" t="s">
        <v>119</v>
      </c>
      <c r="B28" s="48" t="s">
        <v>204</v>
      </c>
      <c r="C28" s="47"/>
      <c r="D28" s="47" t="s">
        <v>10</v>
      </c>
      <c r="E28" s="497">
        <v>0.93</v>
      </c>
      <c r="F28" s="498">
        <v>0.93</v>
      </c>
      <c r="G28" s="498">
        <v>0.93</v>
      </c>
      <c r="H28" s="498">
        <v>0.9</v>
      </c>
      <c r="I28" s="498">
        <v>0.9</v>
      </c>
      <c r="J28" s="499">
        <v>0.9</v>
      </c>
      <c r="K28" s="45">
        <f>SUMPRODUCT('Dwelling stock'!E28:J28,E28:J28)/SUM('Dwelling stock'!E28:J28)</f>
        <v>0.91952203043169312</v>
      </c>
      <c r="M28" s="28"/>
      <c r="P28" s="48" t="s">
        <v>204</v>
      </c>
      <c r="Q28" s="86"/>
      <c r="R28" s="220">
        <f t="shared" ref="R28:S28" si="3">R7</f>
        <v>0.26</v>
      </c>
      <c r="S28" s="221">
        <f t="shared" si="3"/>
        <v>0.18</v>
      </c>
      <c r="V28" s="48" t="s">
        <v>204</v>
      </c>
      <c r="W28" s="47"/>
      <c r="X28" s="438"/>
      <c r="Y28" s="439"/>
      <c r="Z28" s="438"/>
      <c r="AA28" s="439"/>
      <c r="AB28" s="179"/>
      <c r="AC28" s="164"/>
      <c r="AD28" s="164"/>
      <c r="AE28" s="164"/>
      <c r="AF28" s="164"/>
      <c r="AG28" s="273"/>
    </row>
    <row r="29" spans="1:33">
      <c r="A29" s="48" t="s">
        <v>120</v>
      </c>
      <c r="B29" s="48" t="s">
        <v>203</v>
      </c>
      <c r="C29" s="47"/>
      <c r="D29" s="47" t="s">
        <v>10</v>
      </c>
      <c r="E29" s="497">
        <v>1.04</v>
      </c>
      <c r="F29" s="498">
        <v>1.04</v>
      </c>
      <c r="G29" s="498">
        <v>0.95</v>
      </c>
      <c r="H29" s="498">
        <v>0.64</v>
      </c>
      <c r="I29" s="498">
        <v>0.45400000000000001</v>
      </c>
      <c r="J29" s="499">
        <v>0.5</v>
      </c>
      <c r="K29" s="45">
        <f>SUMPRODUCT('Dwelling stock'!E29:J29,E29:J29)/SUM('Dwelling stock'!E29:J29)</f>
        <v>0.82899383262491877</v>
      </c>
      <c r="M29" s="28"/>
      <c r="P29" s="48" t="s">
        <v>203</v>
      </c>
      <c r="Q29" s="54"/>
      <c r="R29" s="220">
        <f>R$8</f>
        <v>0.67767900000000003</v>
      </c>
      <c r="S29" s="221">
        <f>S$8</f>
        <v>0.67767900000000003</v>
      </c>
      <c r="V29" s="48" t="s">
        <v>203</v>
      </c>
      <c r="W29" s="47"/>
      <c r="X29" s="438"/>
      <c r="Y29" s="439"/>
      <c r="Z29" s="438"/>
      <c r="AA29" s="439"/>
      <c r="AB29" s="179"/>
      <c r="AC29" s="164"/>
      <c r="AD29" s="164"/>
      <c r="AE29" s="164"/>
      <c r="AF29" s="164"/>
      <c r="AG29" s="273"/>
    </row>
    <row r="30" spans="1:33">
      <c r="A30" s="48" t="s">
        <v>107</v>
      </c>
      <c r="B30" s="48" t="s">
        <v>39</v>
      </c>
      <c r="C30" s="47" t="s">
        <v>40</v>
      </c>
      <c r="D30" s="47" t="s">
        <v>10</v>
      </c>
      <c r="E30" s="497">
        <v>3</v>
      </c>
      <c r="F30" s="498">
        <v>3</v>
      </c>
      <c r="G30" s="498">
        <v>3</v>
      </c>
      <c r="H30" s="498">
        <v>2</v>
      </c>
      <c r="I30" s="498">
        <v>2</v>
      </c>
      <c r="J30" s="499">
        <v>1.97</v>
      </c>
      <c r="K30" s="45">
        <f>SUMPRODUCT('Dwelling stock'!E30:J30,E30:J30)/SUM('Dwelling stock'!E30:J30)</f>
        <v>2.5957008770445578</v>
      </c>
      <c r="M30" s="54">
        <v>2.61</v>
      </c>
      <c r="P30" s="48" t="s">
        <v>39</v>
      </c>
      <c r="Q30" s="48"/>
      <c r="R30" s="220">
        <f>R$23</f>
        <v>0.31</v>
      </c>
      <c r="S30" s="221">
        <f>S$23</f>
        <v>0.21</v>
      </c>
      <c r="V30" s="48" t="s">
        <v>39</v>
      </c>
      <c r="W30" s="47"/>
      <c r="X30" s="438"/>
      <c r="Y30" s="439"/>
      <c r="Z30" s="438"/>
      <c r="AA30" s="439"/>
      <c r="AB30" s="179"/>
      <c r="AC30" s="164"/>
      <c r="AD30" s="164"/>
      <c r="AE30" s="164"/>
      <c r="AF30" s="164"/>
      <c r="AG30" s="273"/>
    </row>
    <row r="31" spans="1:33">
      <c r="A31" s="48" t="s">
        <v>108</v>
      </c>
      <c r="B31" s="48" t="s">
        <v>41</v>
      </c>
      <c r="C31" s="47" t="s">
        <v>29</v>
      </c>
      <c r="D31" s="47" t="s">
        <v>10</v>
      </c>
      <c r="E31" s="497">
        <v>1.0779000000000001</v>
      </c>
      <c r="F31" s="498">
        <v>1.223867</v>
      </c>
      <c r="G31" s="498">
        <v>0.97</v>
      </c>
      <c r="H31" s="498">
        <v>0.97</v>
      </c>
      <c r="I31" s="498">
        <v>0.87735300000000005</v>
      </c>
      <c r="J31" s="499">
        <v>0.40797800000000001</v>
      </c>
      <c r="K31" s="45">
        <f>SUMPRODUCT('Dwelling stock'!E31:J31,E31:J31)/SUM('Dwelling stock'!E31:J31)</f>
        <v>1.0074400081189889</v>
      </c>
      <c r="M31" s="54">
        <v>3.67</v>
      </c>
      <c r="P31" s="48" t="s">
        <v>41</v>
      </c>
      <c r="Q31" s="48"/>
      <c r="R31" s="220">
        <f>R$7</f>
        <v>0.26</v>
      </c>
      <c r="S31" s="221">
        <f>S$7</f>
        <v>0.18</v>
      </c>
      <c r="V31" s="48" t="s">
        <v>41</v>
      </c>
      <c r="W31" s="47"/>
      <c r="X31" s="438"/>
      <c r="Y31" s="439"/>
      <c r="Z31" s="438"/>
      <c r="AA31" s="439"/>
      <c r="AB31" s="179"/>
      <c r="AC31" s="164"/>
      <c r="AD31" s="164"/>
      <c r="AE31" s="164"/>
      <c r="AF31" s="164"/>
      <c r="AG31" s="273"/>
    </row>
    <row r="32" spans="1:33">
      <c r="A32" s="48" t="s">
        <v>109</v>
      </c>
      <c r="B32" s="48" t="s">
        <v>64</v>
      </c>
      <c r="C32" s="47"/>
      <c r="D32" s="47" t="s">
        <v>10</v>
      </c>
      <c r="E32" s="497">
        <v>0.22</v>
      </c>
      <c r="F32" s="498">
        <v>0.22</v>
      </c>
      <c r="G32" s="498">
        <v>0.19</v>
      </c>
      <c r="H32" s="498">
        <v>0.19</v>
      </c>
      <c r="I32" s="498">
        <v>0.19</v>
      </c>
      <c r="J32" s="499">
        <v>0.19</v>
      </c>
      <c r="K32" s="45">
        <f>SUMPRODUCT('Dwelling stock'!E32:J32,E32:J32)/SUM('Dwelling stock'!E32:J32)</f>
        <v>0.20331042283087236</v>
      </c>
      <c r="M32" s="54"/>
      <c r="P32" s="48" t="s">
        <v>64</v>
      </c>
      <c r="Q32" s="48" t="s">
        <v>12</v>
      </c>
      <c r="R32" s="219">
        <v>0.35</v>
      </c>
      <c r="S32" s="54">
        <v>0.1</v>
      </c>
      <c r="V32" s="48" t="s">
        <v>64</v>
      </c>
      <c r="W32" s="47"/>
      <c r="X32" s="438"/>
      <c r="Y32" s="439"/>
      <c r="Z32" s="438"/>
      <c r="AA32" s="439"/>
      <c r="AB32" s="179"/>
      <c r="AC32" s="164"/>
      <c r="AD32" s="164"/>
      <c r="AE32" s="164"/>
      <c r="AF32" s="164"/>
      <c r="AG32" s="273"/>
    </row>
    <row r="33" spans="1:33">
      <c r="A33" s="48" t="s">
        <v>110</v>
      </c>
      <c r="B33" s="48" t="s">
        <v>42</v>
      </c>
      <c r="C33" s="47" t="s">
        <v>21</v>
      </c>
      <c r="D33" s="48" t="s">
        <v>10</v>
      </c>
      <c r="E33" s="498">
        <v>1.1599999999999999</v>
      </c>
      <c r="F33" s="498">
        <v>1.1599999999999999</v>
      </c>
      <c r="G33" s="498">
        <v>0.88</v>
      </c>
      <c r="H33" s="498">
        <v>0.88</v>
      </c>
      <c r="I33" s="498">
        <v>0.88</v>
      </c>
      <c r="J33" s="499">
        <v>0.6</v>
      </c>
      <c r="K33" s="45">
        <f>SUMPRODUCT('Dwelling stock'!E33:J33,E33:J33)/SUM('Dwelling stock'!E33:J33)</f>
        <v>0.95388636480703326</v>
      </c>
      <c r="M33" s="54">
        <v>0.97</v>
      </c>
      <c r="P33" s="48" t="s">
        <v>42</v>
      </c>
      <c r="Q33" s="48" t="s">
        <v>12</v>
      </c>
      <c r="R33" s="219">
        <v>0.45</v>
      </c>
      <c r="S33" s="54">
        <v>0.3</v>
      </c>
      <c r="V33" s="48" t="s">
        <v>42</v>
      </c>
      <c r="W33" s="47"/>
      <c r="X33" s="438"/>
      <c r="Y33" s="439"/>
      <c r="Z33" s="438"/>
      <c r="AA33" s="439"/>
      <c r="AB33" s="179"/>
      <c r="AC33" s="164"/>
      <c r="AD33" s="164"/>
      <c r="AE33" s="164"/>
      <c r="AF33" s="164"/>
      <c r="AG33" s="273"/>
    </row>
    <row r="34" spans="1:33">
      <c r="A34" s="48" t="s">
        <v>111</v>
      </c>
      <c r="B34" s="48" t="s">
        <v>43</v>
      </c>
      <c r="C34" s="47" t="s">
        <v>14</v>
      </c>
      <c r="D34" s="47" t="s">
        <v>10</v>
      </c>
      <c r="E34" s="497">
        <v>1.9</v>
      </c>
      <c r="F34" s="498">
        <v>2.1</v>
      </c>
      <c r="G34" s="498">
        <v>2.1</v>
      </c>
      <c r="H34" s="498">
        <v>2.1</v>
      </c>
      <c r="I34" s="498">
        <v>2</v>
      </c>
      <c r="J34" s="499">
        <v>1.26</v>
      </c>
      <c r="K34" s="45">
        <f>SUMPRODUCT('Dwelling stock'!E34:J34,E34:J34)/SUM('Dwelling stock'!E34:J34)</f>
        <v>1.9625089255103967</v>
      </c>
      <c r="M34" s="54">
        <v>1.95</v>
      </c>
      <c r="P34" s="48" t="s">
        <v>43</v>
      </c>
      <c r="Q34" s="48"/>
      <c r="R34" s="220">
        <f>R$16</f>
        <v>1.1399999999999999</v>
      </c>
      <c r="S34" s="221">
        <f>S$16</f>
        <v>1.1399999999999999</v>
      </c>
      <c r="V34" s="48" t="s">
        <v>43</v>
      </c>
      <c r="W34" s="47"/>
      <c r="X34" s="438"/>
      <c r="Y34" s="439"/>
      <c r="Z34" s="438"/>
      <c r="AA34" s="439"/>
      <c r="AB34" s="179"/>
      <c r="AC34" s="164"/>
      <c r="AD34" s="164"/>
      <c r="AE34" s="164"/>
      <c r="AF34" s="164"/>
      <c r="AG34" s="273"/>
    </row>
    <row r="35" spans="1:33">
      <c r="A35" s="48" t="s">
        <v>112</v>
      </c>
      <c r="B35" s="48" t="s">
        <v>44</v>
      </c>
      <c r="C35" s="47" t="s">
        <v>14</v>
      </c>
      <c r="D35" s="47" t="s">
        <v>10</v>
      </c>
      <c r="E35" s="497">
        <v>1.7</v>
      </c>
      <c r="F35" s="498">
        <v>1.4</v>
      </c>
      <c r="G35" s="498">
        <v>1.4</v>
      </c>
      <c r="H35" s="498">
        <v>1.2</v>
      </c>
      <c r="I35" s="498">
        <v>1.2</v>
      </c>
      <c r="J35" s="499">
        <v>1.2</v>
      </c>
      <c r="K35" s="45">
        <f>SUMPRODUCT('Dwelling stock'!E35:J35,E35:J35)/SUM('Dwelling stock'!E35:J35)</f>
        <v>1.3555327766388319</v>
      </c>
      <c r="M35" s="54">
        <v>1.46</v>
      </c>
      <c r="P35" s="48" t="s">
        <v>44</v>
      </c>
      <c r="Q35" s="48"/>
      <c r="R35" s="220">
        <f>R$11</f>
        <v>0.55000000000000004</v>
      </c>
      <c r="S35" s="221">
        <f>S$11</f>
        <v>0.2</v>
      </c>
      <c r="V35" s="48" t="s">
        <v>44</v>
      </c>
      <c r="W35" s="47" t="s">
        <v>283</v>
      </c>
      <c r="X35" s="436">
        <v>0.35</v>
      </c>
      <c r="Y35" s="437">
        <v>0.6</v>
      </c>
      <c r="Z35" s="436">
        <f>X35</f>
        <v>0.35</v>
      </c>
      <c r="AA35" s="437">
        <f>Y35</f>
        <v>0.6</v>
      </c>
      <c r="AB35" s="179"/>
      <c r="AC35" s="164"/>
      <c r="AD35" s="164"/>
      <c r="AE35" s="164"/>
      <c r="AF35" s="164"/>
      <c r="AG35" s="273"/>
    </row>
    <row r="36" spans="1:33">
      <c r="A36" s="48" t="s">
        <v>121</v>
      </c>
      <c r="B36" s="48" t="s">
        <v>53</v>
      </c>
      <c r="C36" s="47" t="s">
        <v>54</v>
      </c>
      <c r="D36" s="47" t="s">
        <v>10</v>
      </c>
      <c r="E36" s="497">
        <v>0.93</v>
      </c>
      <c r="F36" s="498">
        <v>0.93</v>
      </c>
      <c r="G36" s="498">
        <v>0.93</v>
      </c>
      <c r="H36" s="498">
        <v>0.9</v>
      </c>
      <c r="I36" s="498">
        <v>0.9</v>
      </c>
      <c r="J36" s="499">
        <v>0.9</v>
      </c>
      <c r="K36" s="45">
        <f>SUMPRODUCT('Dwelling stock'!E36:J36,E36:J36)/SUM('Dwelling stock'!E36:J36)</f>
        <v>0.919522030431693</v>
      </c>
      <c r="M36" s="54">
        <v>0.92</v>
      </c>
      <c r="O36" s="2"/>
      <c r="P36" s="48" t="s">
        <v>53</v>
      </c>
      <c r="Q36" s="48"/>
      <c r="R36" s="220">
        <f>R$8</f>
        <v>0.67767900000000003</v>
      </c>
      <c r="S36" s="221">
        <f>S$8</f>
        <v>0.67767900000000003</v>
      </c>
      <c r="V36" s="48" t="s">
        <v>53</v>
      </c>
      <c r="W36" s="47"/>
      <c r="X36" s="438"/>
      <c r="Y36" s="439"/>
      <c r="Z36" s="438"/>
      <c r="AA36" s="439"/>
      <c r="AB36" s="179"/>
      <c r="AC36" s="164"/>
      <c r="AD36" s="164"/>
      <c r="AE36" s="164"/>
      <c r="AF36" s="164"/>
      <c r="AG36" s="273"/>
    </row>
    <row r="37" spans="1:33">
      <c r="A37" s="48" t="s">
        <v>113</v>
      </c>
      <c r="B37" s="48" t="s">
        <v>51</v>
      </c>
      <c r="C37" s="47" t="s">
        <v>34</v>
      </c>
      <c r="D37" s="47" t="s">
        <v>10</v>
      </c>
      <c r="E37" s="497">
        <v>0.22</v>
      </c>
      <c r="F37" s="498">
        <v>0.22</v>
      </c>
      <c r="G37" s="498">
        <v>0.19</v>
      </c>
      <c r="H37" s="498">
        <v>0.19</v>
      </c>
      <c r="I37" s="498">
        <v>0.19</v>
      </c>
      <c r="J37" s="499">
        <v>0.19</v>
      </c>
      <c r="K37" s="45">
        <f>SUMPRODUCT('Dwelling stock'!E37:J37,E37:J37)/SUM('Dwelling stock'!E37:J37)</f>
        <v>0.20847525430795374</v>
      </c>
      <c r="M37" s="54">
        <v>0.22</v>
      </c>
      <c r="P37" s="48" t="s">
        <v>51</v>
      </c>
      <c r="Q37" s="48" t="s">
        <v>12</v>
      </c>
      <c r="R37" s="219">
        <v>0.21</v>
      </c>
      <c r="S37" s="54">
        <v>0.19</v>
      </c>
      <c r="V37" s="48" t="s">
        <v>51</v>
      </c>
      <c r="W37" s="47"/>
      <c r="X37" s="438"/>
      <c r="Y37" s="439"/>
      <c r="Z37" s="438"/>
      <c r="AA37" s="439"/>
      <c r="AB37" s="179"/>
      <c r="AC37" s="164"/>
      <c r="AD37" s="164"/>
      <c r="AE37" s="164"/>
      <c r="AF37" s="164"/>
      <c r="AG37" s="273"/>
    </row>
    <row r="38" spans="1:33">
      <c r="A38" s="48" t="s">
        <v>114</v>
      </c>
      <c r="B38" s="48" t="s">
        <v>47</v>
      </c>
      <c r="C38" s="47" t="s">
        <v>48</v>
      </c>
      <c r="D38" s="47" t="s">
        <v>10</v>
      </c>
      <c r="E38" s="497">
        <v>1.1000000000000001</v>
      </c>
      <c r="F38" s="498">
        <v>1.1000000000000001</v>
      </c>
      <c r="G38" s="498">
        <v>0.9</v>
      </c>
      <c r="H38" s="498">
        <v>0.8</v>
      </c>
      <c r="I38" s="498">
        <v>0.5</v>
      </c>
      <c r="J38" s="499">
        <v>0.2</v>
      </c>
      <c r="K38" s="45">
        <f>SUMPRODUCT('Dwelling stock'!E38:J38,E38:J38)/SUM('Dwelling stock'!E38:J38)</f>
        <v>0.8955601957317828</v>
      </c>
      <c r="M38" s="54">
        <v>0.96</v>
      </c>
      <c r="P38" s="48" t="s">
        <v>47</v>
      </c>
      <c r="Q38" s="48" t="s">
        <v>12</v>
      </c>
      <c r="R38" s="219">
        <v>0.35</v>
      </c>
      <c r="S38" s="54">
        <v>0.16</v>
      </c>
      <c r="V38" s="48" t="s">
        <v>47</v>
      </c>
      <c r="W38" s="47"/>
      <c r="X38" s="438"/>
      <c r="Y38" s="439"/>
      <c r="Z38" s="438"/>
      <c r="AA38" s="439"/>
      <c r="AB38" s="179"/>
      <c r="AC38" s="164"/>
      <c r="AD38" s="164"/>
      <c r="AE38" s="164"/>
      <c r="AF38" s="164"/>
      <c r="AG38" s="273"/>
    </row>
    <row r="39" spans="1:33">
      <c r="A39" s="48" t="s">
        <v>115</v>
      </c>
      <c r="B39" s="48" t="s">
        <v>45</v>
      </c>
      <c r="C39" s="48" t="s">
        <v>46</v>
      </c>
      <c r="D39" s="48" t="s">
        <v>10</v>
      </c>
      <c r="E39" s="497">
        <v>2</v>
      </c>
      <c r="F39" s="498">
        <v>1.7</v>
      </c>
      <c r="G39" s="498">
        <v>1.7</v>
      </c>
      <c r="H39" s="498">
        <v>1.7</v>
      </c>
      <c r="I39" s="498">
        <v>1.45</v>
      </c>
      <c r="J39" s="499">
        <v>1</v>
      </c>
      <c r="K39" s="45">
        <f>SUMPRODUCT('Dwelling stock'!E39:J39,E39:J39)/SUM('Dwelling stock'!E39:J39)</f>
        <v>1.6850687456911513</v>
      </c>
      <c r="M39" s="54">
        <v>1.68</v>
      </c>
      <c r="P39" s="48" t="s">
        <v>45</v>
      </c>
      <c r="Q39" s="48"/>
      <c r="R39" s="220">
        <f>R$11</f>
        <v>0.55000000000000004</v>
      </c>
      <c r="S39" s="221">
        <f>S$11</f>
        <v>0.2</v>
      </c>
      <c r="V39" s="48" t="s">
        <v>45</v>
      </c>
      <c r="W39" s="48"/>
      <c r="X39" s="438"/>
      <c r="Y39" s="439"/>
      <c r="Z39" s="438"/>
      <c r="AA39" s="439"/>
      <c r="AB39" s="179"/>
      <c r="AC39" s="164"/>
      <c r="AD39" s="164"/>
      <c r="AE39" s="164"/>
      <c r="AF39" s="164"/>
      <c r="AG39" s="273"/>
    </row>
    <row r="40" spans="1:33">
      <c r="A40" s="49" t="s">
        <v>52</v>
      </c>
      <c r="B40" s="49" t="s">
        <v>52</v>
      </c>
      <c r="C40" s="49"/>
      <c r="D40" s="49" t="s">
        <v>10</v>
      </c>
      <c r="E40" s="500">
        <v>0.72</v>
      </c>
      <c r="F40" s="501">
        <v>0.72</v>
      </c>
      <c r="G40" s="501">
        <v>0.72</v>
      </c>
      <c r="H40" s="501">
        <v>0.5</v>
      </c>
      <c r="I40" s="501">
        <v>0.5</v>
      </c>
      <c r="J40" s="502">
        <v>0.45</v>
      </c>
      <c r="K40" s="46">
        <f>SUMPRODUCT('Dwelling stock'!E40:J40,E40:J40)/SUM('Dwelling stock'!E40:J40)</f>
        <v>0.66709184074837435</v>
      </c>
      <c r="M40" s="87">
        <v>3.36</v>
      </c>
      <c r="P40" s="49" t="s">
        <v>52</v>
      </c>
      <c r="Q40" s="49" t="s">
        <v>12</v>
      </c>
      <c r="R40" s="222">
        <v>0.25</v>
      </c>
      <c r="S40" s="87">
        <v>0.11</v>
      </c>
      <c r="V40" s="49" t="s">
        <v>52</v>
      </c>
      <c r="W40" s="49"/>
      <c r="X40" s="440"/>
      <c r="Y40" s="441"/>
      <c r="Z40" s="440"/>
      <c r="AA40" s="441"/>
      <c r="AB40" s="276"/>
      <c r="AC40" s="277"/>
      <c r="AD40" s="277"/>
      <c r="AE40" s="277"/>
      <c r="AF40" s="277"/>
      <c r="AG40" s="278"/>
    </row>
    <row r="41" spans="1:33">
      <c r="V41" s="5" t="s">
        <v>284</v>
      </c>
    </row>
    <row r="42" spans="1:33">
      <c r="P42" s="2" t="s">
        <v>265</v>
      </c>
    </row>
    <row r="43" spans="1:33">
      <c r="A43" s="135"/>
    </row>
  </sheetData>
  <sortState xmlns:xlrd2="http://schemas.microsoft.com/office/spreadsheetml/2017/richdata2" ref="A4:S40">
    <sortCondition ref="A4:A40"/>
  </sortState>
  <mergeCells count="3">
    <mergeCell ref="X2:Y2"/>
    <mergeCell ref="Z2:AA2"/>
    <mergeCell ref="AB2:AG2"/>
  </mergeCells>
  <conditionalFormatting sqref="K4:K30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{562CDDB3-7203-4E70-B1F6-A5A5F28C95AB}</x14:id>
        </ext>
      </extLst>
    </cfRule>
    <cfRule type="dataBar" priority="1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{6C6B570D-CEDC-42DE-AEFB-2D8D69B51C69}</x14:id>
        </ext>
      </extLst>
    </cfRule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{205F6B94-4A40-4E66-92BE-8C6326A56432}</x14:id>
        </ext>
      </extLst>
    </cfRule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{97C093FB-D78C-485F-89C5-F8362998CD65}</x14:id>
        </ext>
      </extLst>
    </cfRule>
  </conditionalFormatting>
  <conditionalFormatting sqref="K4:K39">
    <cfRule type="dataBar" priority="1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{66B81B07-A39F-4944-8155-6E41A2DC9AED}</x14:id>
        </ext>
      </extLst>
    </cfRule>
  </conditionalFormatting>
  <conditionalFormatting sqref="K4:K40"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{98C9417B-369E-4AF6-BDD6-D75ACE191002}</x14:id>
        </ext>
      </extLst>
    </cfRule>
  </conditionalFormatting>
  <conditionalFormatting sqref="K31:K38">
    <cfRule type="dataBar" priority="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{93D70CC3-71D5-4977-A530-8885DA5F7216}</x14:id>
        </ext>
      </extLst>
    </cfRule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{F8470B23-39B7-4F45-849D-9EC3DD5F588B}</x14:id>
        </ext>
      </extLst>
    </cfRule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{BE3A0097-2B24-4281-AB46-AF62295A0261}</x14:id>
        </ext>
      </extLst>
    </cfRule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{7CD2625E-8A9F-4019-96A1-EE71D3DACC38}</x14:id>
        </ext>
      </extLst>
    </cfRule>
  </conditionalFormatting>
  <conditionalFormatting sqref="K39:K40">
    <cfRule type="dataBar" priority="1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{4329F992-AF26-426C-8D04-DE066875D074}</x14:id>
        </ext>
      </extLst>
    </cfRule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{0BBA2E9C-9F83-49B8-BD10-07DE3D33901A}</x14:id>
        </ext>
      </extLst>
    </cfRule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{D1C67D18-7675-4BAD-8486-B67F446D1F46}</x14:id>
        </ext>
      </extLst>
    </cfRule>
    <cfRule type="dataBar" priority="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{C2CDC918-2C9D-48A5-91F5-F6DA3FFCF84D}</x14:id>
        </ext>
      </extLst>
    </cfRule>
    <cfRule type="dataBar" priority="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{80897079-B1AE-4FA4-BDAE-468F3AAC499A}</x14:id>
        </ext>
      </extLst>
    </cfRule>
    <cfRule type="dataBar" priority="1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{A7F00700-A1D3-411E-ADBD-C14292B19FA7}</x14:id>
        </ext>
      </extLst>
    </cfRule>
  </conditionalFormatting>
  <conditionalFormatting sqref="M4:M29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{CD026139-F3D5-4A22-8B04-7444D10FDE96}</x14:id>
        </ext>
      </extLst>
    </cfRule>
    <cfRule type="dataBar" priority="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{4DDEB2A3-E586-4E40-8EE2-93C322DF63D2}</x14:id>
        </ext>
      </extLst>
    </cfRule>
    <cfRule type="dataBar" priority="1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{413602D7-5B7B-47CE-8A5C-7944118219AA}</x14:id>
        </ext>
      </extLst>
    </cfRule>
  </conditionalFormatting>
  <conditionalFormatting sqref="M4:M40">
    <cfRule type="dataBar" priority="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{F0D06FB0-F741-4B13-A64E-C563E5FC72B6}</x14:id>
        </ext>
      </extLst>
    </cfRule>
  </conditionalFormatting>
  <conditionalFormatting sqref="M30:M40">
    <cfRule type="dataBar" priority="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{B5787BE3-8D39-4FFC-9DCF-CF6360CA0536}</x14:id>
        </ext>
      </extLst>
    </cfRule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{1783E3EF-2A3F-4196-9DCD-2658BFEFCA2C}</x14:id>
        </ext>
      </extLst>
    </cfRule>
    <cfRule type="dataBar" priority="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{C32A8C80-FF9A-461E-AD04-E3BAC4FACB6F}</x14:id>
        </ext>
      </extLst>
    </cfRule>
  </conditionalFormatting>
  <conditionalFormatting sqref="R4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{AAA82F15-7209-4028-A1E2-A13E551BBD8E}</x14:id>
        </ext>
      </extLst>
    </cfRule>
  </conditionalFormatting>
  <conditionalFormatting sqref="R5 R7 R11:R13 R15:R16 R18 R21 R23">
    <cfRule type="dataBar" priority="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{19F0268F-D6A2-4D43-B881-FDC52F7C8043}</x14:id>
        </ext>
      </extLst>
    </cfRule>
  </conditionalFormatting>
  <conditionalFormatting sqref="R8 R10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{C2248FD3-4894-40E7-A552-1E3D4E97E1FE}</x14:id>
        </ext>
      </extLst>
    </cfRule>
  </conditionalFormatting>
  <conditionalFormatting sqref="R14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{46183899-211B-40E6-B2A7-534479C50C11}</x14:id>
        </ext>
      </extLst>
    </cfRule>
  </conditionalFormatting>
  <conditionalFormatting sqref="R17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{49585CCE-7F1F-46CB-B457-6235F1E2E23C}</x14:id>
        </ext>
      </extLst>
    </cfRule>
    <cfRule type="dataBar" priority="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{7BAFB522-7468-4F49-BF4B-BC3A87FBD942}</x14:id>
        </ext>
      </extLst>
    </cfRule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{3BF440B1-1A7E-4235-A7FD-8C1146291616}</x14:id>
        </ext>
      </extLst>
    </cfRule>
  </conditionalFormatting>
  <conditionalFormatting sqref="R19:R20">
    <cfRule type="dataBar" priority="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{B335FB06-5ED1-4C4C-9141-CE3DF2B874B2}</x14:id>
        </ext>
      </extLst>
    </cfRule>
  </conditionalFormatting>
  <conditionalFormatting sqref="R20"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{FD83CC72-EEDF-4EE1-B27D-BF89D077C07A}</x14:id>
        </ext>
      </extLst>
    </cfRule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{9E907540-B11B-45CD-BF5B-4D6EFE24F425}</x14:id>
        </ext>
      </extLst>
    </cfRule>
  </conditionalFormatting>
  <conditionalFormatting sqref="R25:R27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{5D6FD4D8-15D6-468A-8974-F36C1B1AD0A9}</x14:id>
        </ext>
      </extLst>
    </cfRule>
  </conditionalFormatting>
  <conditionalFormatting sqref="R26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{C396BD31-AC74-4A26-A357-B200E2E1D379}</x14:id>
        </ext>
      </extLst>
    </cfRule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{5D2BF0EB-98FB-4744-9D91-CE7539F80EF1}</x14:id>
        </ext>
      </extLst>
    </cfRule>
  </conditionalFormatting>
  <conditionalFormatting sqref="R30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{86334EFE-58F1-4FAE-8179-C11BD9FF1590}</x14:id>
        </ext>
      </extLst>
    </cfRule>
  </conditionalFormatting>
  <conditionalFormatting sqref="R30:R31"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{F8448A75-E47E-4C78-A803-E86595AB87A0}</x14:id>
        </ext>
      </extLst>
    </cfRule>
  </conditionalFormatting>
  <conditionalFormatting sqref="R31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{1C9B4FB7-D29C-41B6-82D5-E757243A4865}</x14:id>
        </ext>
      </extLst>
    </cfRule>
  </conditionalFormatting>
  <conditionalFormatting sqref="R32:R33 R37:R38 R40">
    <cfRule type="dataBar" priority="1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{9DB2907B-0C3A-4F38-8A5E-A8C7A1B5D47D}</x14:id>
        </ext>
      </extLst>
    </cfRule>
  </conditionalFormatting>
  <conditionalFormatting sqref="R34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{79CA5139-7BA5-4821-AC88-8F8208E0D157}</x14:id>
        </ext>
      </extLst>
    </cfRule>
  </conditionalFormatting>
  <conditionalFormatting sqref="R34:R36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{41BAB41B-39DB-41DD-ACA1-9D2A4257B854}</x14:id>
        </ext>
      </extLst>
    </cfRule>
  </conditionalFormatting>
  <conditionalFormatting sqref="R35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{5543DF6F-759A-4A97-B065-860EB09FDBE0}</x14:id>
        </ext>
      </extLst>
    </cfRule>
  </conditionalFormatting>
  <conditionalFormatting sqref="R39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{23F8213C-85BE-4762-9FCD-1BEF23F918CA}</x14:id>
        </ext>
      </extLst>
    </cfRule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{C4DB9604-382B-4E3C-BFD0-A890EFC20CEF}</x14:id>
        </ext>
      </extLst>
    </cfRule>
  </conditionalFormatting>
  <conditionalFormatting sqref="R4:S4">
    <cfRule type="dataBar" priority="1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{69B9122B-8AA7-4637-AEE1-773EF7A13D80}</x14:id>
        </ext>
      </extLst>
    </cfRule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{B96C840B-F222-4C4D-BC76-7834E4666779}</x14:id>
        </ext>
      </extLst>
    </cfRule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{8C2520E4-D739-4FD7-9568-521A2A0ECDF9}</x14:id>
        </ext>
      </extLst>
    </cfRule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{17086061-433C-4815-B4F8-77605CFB9A67}</x14:id>
        </ext>
      </extLst>
    </cfRule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{44E81176-C9CC-4A4A-A2FE-76E9AE2788EE}</x14:id>
        </ext>
      </extLst>
    </cfRule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{9324E4ED-72C9-49EC-951F-7C86651B38A0}</x14:id>
        </ext>
      </extLst>
    </cfRule>
  </conditionalFormatting>
  <conditionalFormatting sqref="R5:S5 R7:S7 R11:S13 R15:S16 R18:S18 R21:S21 R23:S23 R32:S33 R37:S38 R40:S40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{2C3DED4F-B09A-4413-97C5-060949CE8F60}</x14:id>
        </ext>
      </extLst>
    </cfRule>
  </conditionalFormatting>
  <conditionalFormatting sqref="R5:S5 R7:S7 R11:S13 R15:S16 R18:S18 R21:S21 R23:S23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{F1109EF9-0928-4E7D-8839-648AA644C641}</x14:id>
        </ext>
      </extLst>
    </cfRule>
    <cfRule type="dataBar" priority="1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{9190CCB4-747D-4DAC-80A8-45620A1FF7B4}</x14:id>
        </ext>
      </extLst>
    </cfRule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{43AC2F71-E26C-4A13-B696-87FC6E34E916}</x14:id>
        </ext>
      </extLst>
    </cfRule>
  </conditionalFormatting>
  <conditionalFormatting sqref="R6:S6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{0F0EF949-D2BD-48C7-B735-3B0761F3DA1C}</x14:id>
        </ext>
      </extLst>
    </cfRule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{7CBDFFA3-02C1-4D98-89E6-D7A4A1C50503}</x14:id>
        </ext>
      </extLst>
    </cfRule>
  </conditionalFormatting>
  <conditionalFormatting sqref="R8:S8 R10:S10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{74D280A9-CA43-401E-B216-EE4AB8CD6B68}</x14:id>
        </ext>
      </extLst>
    </cfRule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{7C78A3BE-D60A-4EAB-AB3F-41D6C76ABB52}</x14:id>
        </ext>
      </extLst>
    </cfRule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{86968BCF-DE03-43BF-9551-1E48B816D187}</x14:id>
        </ext>
      </extLst>
    </cfRule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{B075A446-9EE4-4038-9B2F-CF79DDA4A803}</x14:id>
        </ext>
      </extLst>
    </cfRule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{66D83325-9D23-49C9-9456-2A6662BA7EBD}</x14:id>
        </ext>
      </extLst>
    </cfRule>
  </conditionalFormatting>
  <conditionalFormatting sqref="R8:S10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{7712D5AA-6C8B-443C-B12C-E4D02D87F2A1}</x14:id>
        </ext>
      </extLst>
    </cfRule>
  </conditionalFormatting>
  <conditionalFormatting sqref="R14:S14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{C12374C2-AA16-4CEC-A00A-084F94A1AA9B}</x14:id>
        </ext>
      </extLst>
    </cfRule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{965E50F7-F1CF-4882-AD4C-73611FD641DB}</x14:id>
        </ext>
      </extLst>
    </cfRule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{DBF1479C-FD51-4C77-A30C-9F1616C0BCA7}</x14:id>
        </ext>
      </extLst>
    </cfRule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{F650B762-5C62-4CD9-A2D7-9A9EC6097142}</x14:id>
        </ext>
      </extLst>
    </cfRule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{7307883C-6444-4BFE-BF67-467801A87F06}</x14:id>
        </ext>
      </extLst>
    </cfRule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{470673AE-6796-4979-8475-3AC2847490E6}</x14:id>
        </ext>
      </extLst>
    </cfRule>
  </conditionalFormatting>
  <conditionalFormatting sqref="R17:S17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{719029DD-9BCC-4249-B150-1A2AC96E4EF5}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{904EE434-D58E-4147-992C-2ED31D0CB7BE}</x14:id>
        </ext>
      </extLst>
    </cfRule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{CFA88B5B-8699-407B-9548-12ED7E48996F}</x14:id>
        </ext>
      </extLst>
    </cfRule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{66FB6F1C-7FE4-4529-AC6B-8FBF01A0B441}</x14:id>
        </ext>
      </extLst>
    </cfRule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{5AB87109-9680-412F-B9B8-22FF304CAA39}</x14:id>
        </ext>
      </extLst>
    </cfRule>
    <cfRule type="dataBar" priority="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{08B006E1-81B0-49ED-9558-A8785ADD13A3}</x14:id>
        </ext>
      </extLst>
    </cfRule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{4E97068B-CD3C-4A11-A484-C8B2957F358D}</x14:id>
        </ext>
      </extLst>
    </cfRule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{FFC71B12-7769-4729-BACB-826A4CB53988}</x14:id>
        </ext>
      </extLst>
    </cfRule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{90FFA712-5483-4F41-B6C9-4350E4FADBAF}</x14:id>
        </ext>
      </extLst>
    </cfRule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{A871559D-631B-4862-9AA2-D0974D4265E0}</x14:id>
        </ext>
      </extLst>
    </cfRule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{0CA2276A-E2F8-469B-AF32-E412E544675A}</x14:id>
        </ext>
      </extLst>
    </cfRule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{C229FF94-5A16-4E04-BCC1-3AB696421E4B}</x14:id>
        </ext>
      </extLst>
    </cfRule>
  </conditionalFormatting>
  <conditionalFormatting sqref="R19:S20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{3DA2FC1E-BD8E-4C9A-A40F-12010121B296}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{EF91219D-E36D-4015-BD84-E0DB57BFCB36}</x14:id>
        </ext>
      </extLst>
    </cfRule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{44CEF8FE-6F51-4F15-80CB-86D77DC5330E}</x14:id>
        </ext>
      </extLst>
    </cfRule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{6F9C75B8-561D-4469-BCC0-7F14F8CBB0B3}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{61390F14-4508-434C-886F-7C3C1B12F005}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{DD907690-4452-4B14-9A2D-879D58FC0FDB}</x14:id>
        </ext>
      </extLst>
    </cfRule>
  </conditionalFormatting>
  <conditionalFormatting sqref="R20:S20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{376D7495-0FE7-4C65-881B-666BDF5955A0}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{D1B8C007-44BE-4604-B4C1-209C64809617}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{E398B176-43B7-494D-B9A2-C1D707CCD9E1}</x14:id>
        </ext>
      </extLst>
    </cfRule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{2BA15E5A-2E55-4F0A-B3DC-BB9E1693118B}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{893B88BF-C5B5-4FA2-A1D6-AA492F21712D}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{E7297EE8-F27C-4F76-97A7-87FD58976A74}</x14:id>
        </ext>
      </extLst>
    </cfRule>
  </conditionalFormatting>
  <conditionalFormatting sqref="R22:S22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{104BCCB8-7414-41A3-915B-0E365282E260}</x14:id>
        </ext>
      </extLst>
    </cfRule>
  </conditionalFormatting>
  <conditionalFormatting sqref="R24:S31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{2155CBD9-876F-4C54-8822-CFCB5D140A1F}</x14:id>
        </ext>
      </extLst>
    </cfRule>
  </conditionalFormatting>
  <conditionalFormatting sqref="R25:S27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{E81B10E3-9D90-4D11-B1C6-AA592AA340C4}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{CCBEC1C6-3295-4C85-B331-2B92979DC679}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{B91EDE31-F6DD-4100-95EF-7C45AC2A74E0}</x14:id>
        </ext>
      </extLst>
    </cfRule>
  </conditionalFormatting>
  <conditionalFormatting sqref="R26:S2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{FC174CFC-41AD-4842-AA07-4C70E6D9BF36}</x14:id>
        </ext>
      </extLst>
    </cfRule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{C7388901-9223-4583-98C6-48B314161E7A}</x14:id>
        </ext>
      </extLst>
    </cfRule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{0EC82015-82C1-4645-ADE6-85465ABDAEEF}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{86D4493A-F5D2-4F69-8837-36101D5B9A11}</x14:id>
        </ext>
      </extLst>
    </cfRule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{41C07E95-586A-487E-A4B2-4C82233C41EA}</x14:id>
        </ext>
      </extLst>
    </cfRule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{73A1E784-E5B7-475E-AE9D-1A102BCB7F16}</x14:id>
        </ext>
      </extLst>
    </cfRule>
  </conditionalFormatting>
  <conditionalFormatting sqref="R30:S30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{7BC75A58-87FA-4896-9911-C08A8C41733E}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{E1C46ECB-C371-48F4-B193-09E0EF62A0C0}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{42B6C42A-920E-4E74-BD06-BF5C5A83B42D}</x14:id>
        </ext>
      </extLst>
    </cfRule>
  </conditionalFormatting>
  <conditionalFormatting sqref="R30:S31 R25:S27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{E15F31A1-6420-42EE-825C-F01F169D23BE}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{06E7F894-1A3B-4ABE-9817-EDD537800B14}</x14:id>
        </ext>
      </extLst>
    </cfRule>
  </conditionalFormatting>
  <conditionalFormatting sqref="R30:S31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{92EBDF22-BE00-4B77-A473-52F34CA7D005}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{C3B76126-B9AF-458F-8B3E-EE03DF9207FB}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{D32431DD-248D-44FD-9202-3D302302BB74}</x14:id>
        </ext>
      </extLst>
    </cfRule>
  </conditionalFormatting>
  <conditionalFormatting sqref="R31:S31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{B4577162-4AD9-49E1-AEBF-12A4CE0FD81E}</x14:id>
        </ext>
      </extLst>
    </cfRule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{5D44B416-F11B-4213-967D-8B1D0A010BE2}</x14:id>
        </ext>
      </extLst>
    </cfRule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{ED315849-9DF4-4C99-929F-2888B453C7E5}</x14:id>
        </ext>
      </extLst>
    </cfRule>
  </conditionalFormatting>
  <conditionalFormatting sqref="R32:S33 R37:S38 R40:S40">
    <cfRule type="dataBar" priority="1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{063AF462-89D8-45BC-8A17-F6D9F5FB5786}</x14:id>
        </ext>
      </extLst>
    </cfRule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{E0112CAE-1ED9-4344-B3D6-EE4C44DEF80D}</x14:id>
        </ext>
      </extLst>
    </cfRule>
    <cfRule type="dataBar" priority="1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{9014E143-0C47-4E4C-953C-F14AD53DC3AA}</x14:id>
        </ext>
      </extLst>
    </cfRule>
  </conditionalFormatting>
  <conditionalFormatting sqref="R34:S34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{F4052BFD-3770-4E27-B2A4-489FB6814A4E}</x14:id>
        </ext>
      </extLst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{3972688F-8605-4C28-910F-31F13967E411}</x14:id>
        </ext>
      </extLst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{0E491DB6-EBC4-44CB-B7F3-A9B1F099AF1F}</x14:id>
        </ext>
      </extLst>
    </cfRule>
  </conditionalFormatting>
  <conditionalFormatting sqref="R34:S36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{F3C517B2-2A58-41E9-824A-C201349BF959}</x14:id>
        </ext>
      </extLst>
    </cfRule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{5F1B6CEB-B435-4BBE-A42F-61550F3F1530}</x14:id>
        </ext>
      </extLst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{0BB023B2-9158-4133-A4BF-F72FB003D85A}</x14:id>
        </ext>
      </extLs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{EF72EAC8-BB4A-4C0C-98E7-A800045765C5}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{D57B763B-E437-4927-8786-26224A7FDF17}</x14:id>
        </ext>
      </extLst>
    </cfRule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{19B40F1E-FC34-4DC4-971F-B9705B18DB5C}</x14:id>
        </ext>
      </extLst>
    </cfRule>
  </conditionalFormatting>
  <conditionalFormatting sqref="R35:S35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{6F96F55F-232E-41D3-8020-E336A6765B2F}</x14:id>
        </ext>
      </extLst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{7855D817-A33E-44B9-851E-99DF1ED808F8}</x14:id>
        </ext>
      </extLs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{41C43AFE-722A-4355-A30E-A1EED7A6DEB3}</x14:id>
        </ext>
      </extLst>
    </cfRule>
  </conditionalFormatting>
  <conditionalFormatting sqref="R39:S3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{9508D2E8-DFEC-43F3-ABE7-08433293EF9D}</x14:id>
        </ext>
      </extLst>
    </cfRule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{122A97D4-FE24-49D6-9528-BC257D509FD4}</x14:id>
        </ext>
      </extLst>
    </cfRule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{BC804A58-24EC-4548-8D90-EE9870FD1169}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{EB4F6E68-9646-4230-B95D-7E8B09CF587C}</x14:id>
        </ext>
      </extLst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{318BA50A-2736-4643-8469-C59AFFED1052}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{734423CD-2113-4191-8F56-527536725819}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{D24A6BF1-5BFF-4A8E-A478-AF3200839244}</x14:id>
        </ext>
      </extLst>
    </cfRule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{3F6CA7DF-9641-43F9-85E7-F67BA6ED6A2B}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{3B0418DC-51B7-47F5-A2E8-DE987B3B6334}</x14:id>
        </ext>
      </extLst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2CDDB3-7203-4E70-B1F6-A5A5F28C95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C6B570D-CEDC-42DE-AEFB-2D8D69B51C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05F6B94-4A40-4E66-92BE-8C6326A564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7C093FB-D78C-485F-89C5-F8362998CD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K4:K30</xm:sqref>
        </x14:conditionalFormatting>
        <x14:conditionalFormatting xmlns:xm="http://schemas.microsoft.com/office/excel/2006/main">
          <x14:cfRule type="dataBar" id="{66B81B07-A39F-4944-8155-6E41A2DC9A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K4:K39</xm:sqref>
        </x14:conditionalFormatting>
        <x14:conditionalFormatting xmlns:xm="http://schemas.microsoft.com/office/excel/2006/main">
          <x14:cfRule type="dataBar" id="{98C9417B-369E-4AF6-BDD6-D75ACE1910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K4:K40</xm:sqref>
        </x14:conditionalFormatting>
        <x14:conditionalFormatting xmlns:xm="http://schemas.microsoft.com/office/excel/2006/main">
          <x14:cfRule type="dataBar" id="{93D70CC3-71D5-4977-A530-8885DA5F72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8470B23-39B7-4F45-849D-9EC3DD5F58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E3A0097-2B24-4281-AB46-AF62295A02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CD2625E-8A9F-4019-96A1-EE71D3DACC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K31:K38</xm:sqref>
        </x14:conditionalFormatting>
        <x14:conditionalFormatting xmlns:xm="http://schemas.microsoft.com/office/excel/2006/main">
          <x14:cfRule type="dataBar" id="{4329F992-AF26-426C-8D04-DE066875D0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BBA2E9C-9F83-49B8-BD10-07DE3D3390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1C67D18-7675-4BAD-8486-B67F446D1F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2CDC918-2C9D-48A5-91F5-F6DA3FFCF8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0897079-B1AE-4FA4-BDAE-468F3AAC49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7F00700-A1D3-411E-ADBD-C14292B19F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K39:K40</xm:sqref>
        </x14:conditionalFormatting>
        <x14:conditionalFormatting xmlns:xm="http://schemas.microsoft.com/office/excel/2006/main">
          <x14:cfRule type="dataBar" id="{CD026139-F3D5-4A22-8B04-7444D10FDE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DDEB2A3-E586-4E40-8EE2-93C322DF63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3602D7-5B7B-47CE-8A5C-7944118219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M4:M29</xm:sqref>
        </x14:conditionalFormatting>
        <x14:conditionalFormatting xmlns:xm="http://schemas.microsoft.com/office/excel/2006/main">
          <x14:cfRule type="dataBar" id="{F0D06FB0-F741-4B13-A64E-C563E5FC72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M4:M40</xm:sqref>
        </x14:conditionalFormatting>
        <x14:conditionalFormatting xmlns:xm="http://schemas.microsoft.com/office/excel/2006/main">
          <x14:cfRule type="dataBar" id="{B5787BE3-8D39-4FFC-9DCF-CF6360CA05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783E3EF-2A3F-4196-9DCD-2658BFEFCA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32A8C80-FF9A-461E-AD04-E3BAC4FACB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M30:M40</xm:sqref>
        </x14:conditionalFormatting>
        <x14:conditionalFormatting xmlns:xm="http://schemas.microsoft.com/office/excel/2006/main">
          <x14:cfRule type="dataBar" id="{AAA82F15-7209-4028-A1E2-A13E551BBD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9F0268F-D6A2-4D43-B881-FDC52F7C80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 R7 R11:R13 R15:R16 R18 R21 R23</xm:sqref>
        </x14:conditionalFormatting>
        <x14:conditionalFormatting xmlns:xm="http://schemas.microsoft.com/office/excel/2006/main">
          <x14:cfRule type="dataBar" id="{C2248FD3-4894-40E7-A552-1E3D4E97E1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 R10</xm:sqref>
        </x14:conditionalFormatting>
        <x14:conditionalFormatting xmlns:xm="http://schemas.microsoft.com/office/excel/2006/main">
          <x14:cfRule type="dataBar" id="{46183899-211B-40E6-B2A7-534479C50C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49585CCE-7F1F-46CB-B457-6235F1E2E2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BAFB522-7468-4F49-BF4B-BC3A87FBD9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BF440B1-1A7E-4235-A7FD-8C11462916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335FB06-5ED1-4C4C-9141-CE3DF2B874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R19:R20</xm:sqref>
        </x14:conditionalFormatting>
        <x14:conditionalFormatting xmlns:xm="http://schemas.microsoft.com/office/excel/2006/main">
          <x14:cfRule type="dataBar" id="{FD83CC72-EEDF-4EE1-B27D-BF89D077C0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E907540-B11B-45CD-BF5B-4D6EFE24F4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D6FD4D8-15D6-468A-8974-F36C1B1AD0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R25:R27</xm:sqref>
        </x14:conditionalFormatting>
        <x14:conditionalFormatting xmlns:xm="http://schemas.microsoft.com/office/excel/2006/main">
          <x14:cfRule type="dataBar" id="{C396BD31-AC74-4A26-A357-B200E2E1D3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D2BF0EB-98FB-4744-9D91-CE7539F80E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86334EFE-58F1-4FAE-8179-C11BD9FF15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F8448A75-E47E-4C78-A803-E86595AB87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R30:R31</xm:sqref>
        </x14:conditionalFormatting>
        <x14:conditionalFormatting xmlns:xm="http://schemas.microsoft.com/office/excel/2006/main">
          <x14:cfRule type="dataBar" id="{1C9B4FB7-D29C-41B6-82D5-E757243A48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</xm:sqref>
        </x14:conditionalFormatting>
        <x14:conditionalFormatting xmlns:xm="http://schemas.microsoft.com/office/excel/2006/main">
          <x14:cfRule type="dataBar" id="{9DB2907B-0C3A-4F38-8A5E-A8C7A1B5D4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R32:R33 R37:R38 R40</xm:sqref>
        </x14:conditionalFormatting>
        <x14:conditionalFormatting xmlns:xm="http://schemas.microsoft.com/office/excel/2006/main">
          <x14:cfRule type="dataBar" id="{79CA5139-7BA5-4821-AC88-8F8208E0D1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R34</xm:sqref>
        </x14:conditionalFormatting>
        <x14:conditionalFormatting xmlns:xm="http://schemas.microsoft.com/office/excel/2006/main">
          <x14:cfRule type="dataBar" id="{41BAB41B-39DB-41DD-ACA1-9D2A4257B8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R34:R36</xm:sqref>
        </x14:conditionalFormatting>
        <x14:conditionalFormatting xmlns:xm="http://schemas.microsoft.com/office/excel/2006/main">
          <x14:cfRule type="dataBar" id="{5543DF6F-759A-4A97-B065-860EB09FDB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R35</xm:sqref>
        </x14:conditionalFormatting>
        <x14:conditionalFormatting xmlns:xm="http://schemas.microsoft.com/office/excel/2006/main">
          <x14:cfRule type="dataBar" id="{23F8213C-85BE-4762-9FCD-1BEF23F918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4DB9604-382B-4E3C-BFD0-A890EFC20C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R39</xm:sqref>
        </x14:conditionalFormatting>
        <x14:conditionalFormatting xmlns:xm="http://schemas.microsoft.com/office/excel/2006/main">
          <x14:cfRule type="dataBar" id="{69B9122B-8AA7-4637-AEE1-773EF7A13D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96C840B-F222-4C4D-BC76-7834E46667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C2520E4-D739-4FD7-9568-521A2A0ECD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7086061-433C-4815-B4F8-77605CFB9A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4E81176-C9CC-4A4A-A2FE-76E9AE2788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324E4ED-72C9-49EC-951F-7C86651B3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R4:S4</xm:sqref>
        </x14:conditionalFormatting>
        <x14:conditionalFormatting xmlns:xm="http://schemas.microsoft.com/office/excel/2006/main">
          <x14:cfRule type="dataBar" id="{2C3DED4F-B09A-4413-97C5-060949CE8F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R5:S5 R7:S7 R11:S13 R15:S16 R18:S18 R21:S21 R23:S23 R32:S33 R37:S38 R40:S40</xm:sqref>
        </x14:conditionalFormatting>
        <x14:conditionalFormatting xmlns:xm="http://schemas.microsoft.com/office/excel/2006/main">
          <x14:cfRule type="dataBar" id="{F1109EF9-0928-4E7D-8839-648AA644C6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90CCB4-747D-4DAC-80A8-45620A1FF7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3AC2F71-E26C-4A13-B696-87FC6E34E9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R5:S5 R7:S7 R11:S13 R15:S16 R18:S18 R21:S21 R23:S23</xm:sqref>
        </x14:conditionalFormatting>
        <x14:conditionalFormatting xmlns:xm="http://schemas.microsoft.com/office/excel/2006/main">
          <x14:cfRule type="dataBar" id="{0F0EF949-D2BD-48C7-B735-3B0761F3DA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CBDFFA3-02C1-4D98-89E6-D7A4A1C505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R6:S6</xm:sqref>
        </x14:conditionalFormatting>
        <x14:conditionalFormatting xmlns:xm="http://schemas.microsoft.com/office/excel/2006/main">
          <x14:cfRule type="dataBar" id="{74D280A9-CA43-401E-B216-EE4AB8CD6B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C78A3BE-D60A-4EAB-AB3F-41D6C76ABB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6968BCF-DE03-43BF-9551-1E48B816D1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075A446-9EE4-4038-9B2F-CF79DDA4A8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6D83325-9D23-49C9-9456-2A6662BA7E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R8:S8 R10:S10</xm:sqref>
        </x14:conditionalFormatting>
        <x14:conditionalFormatting xmlns:xm="http://schemas.microsoft.com/office/excel/2006/main">
          <x14:cfRule type="dataBar" id="{7712D5AA-6C8B-443C-B12C-E4D02D87F2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R8:S10</xm:sqref>
        </x14:conditionalFormatting>
        <x14:conditionalFormatting xmlns:xm="http://schemas.microsoft.com/office/excel/2006/main">
          <x14:cfRule type="dataBar" id="{C12374C2-AA16-4CEC-A00A-084F94A1AA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65E50F7-F1CF-4882-AD4C-73611FD641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BF1479C-FD51-4C77-A30C-9F1616C0BC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650B762-5C62-4CD9-A2D7-9A9EC60971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307883C-6444-4BFE-BF67-467801A87F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70673AE-6796-4979-8475-3AC2847490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R14:S14</xm:sqref>
        </x14:conditionalFormatting>
        <x14:conditionalFormatting xmlns:xm="http://schemas.microsoft.com/office/excel/2006/main">
          <x14:cfRule type="dataBar" id="{719029DD-9BCC-4249-B150-1A2AC96E4E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4EE434-D58E-4147-992C-2ED31D0CB7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A88B5B-8699-407B-9548-12ED7E4899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6FB6F1C-7FE4-4529-AC6B-8FBF01A0B4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AB87109-9680-412F-B9B8-22FF304CA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8B006E1-81B0-49ED-9558-A8785ADD13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E97068B-CD3C-4A11-A484-C8B2957F35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FC71B12-7769-4729-BACB-826A4CB539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FFA712-5483-4F41-B6C9-4350E4FAD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871559D-631B-4862-9AA2-D0974D426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A2276A-E2F8-469B-AF32-E412E54467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229FF94-5A16-4E04-BCC1-3AB696421E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R17:S17</xm:sqref>
        </x14:conditionalFormatting>
        <x14:conditionalFormatting xmlns:xm="http://schemas.microsoft.com/office/excel/2006/main">
          <x14:cfRule type="dataBar" id="{3DA2FC1E-BD8E-4C9A-A40F-12010121B2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F91219D-E36D-4015-BD84-E0DB57BFCB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4CEF8FE-6F51-4F15-80CB-86D77DC533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F9C75B8-561D-4469-BCC0-7F14F8CBB0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1390F14-4508-434C-886F-7C3C1B12F0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907690-4452-4B14-9A2D-879D58FC0F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R19:S20</xm:sqref>
        </x14:conditionalFormatting>
        <x14:conditionalFormatting xmlns:xm="http://schemas.microsoft.com/office/excel/2006/main">
          <x14:cfRule type="dataBar" id="{376D7495-0FE7-4C65-881B-666BDF5955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1B8C007-44BE-4604-B4C1-209C648096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398B176-43B7-494D-B9A2-C1D707CCD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A15E5A-2E55-4F0A-B3DC-BB9E169311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93B88BF-C5B5-4FA2-A1D6-AA492F217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297EE8-F27C-4F76-97A7-87FD58976A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R20:S20</xm:sqref>
        </x14:conditionalFormatting>
        <x14:conditionalFormatting xmlns:xm="http://schemas.microsoft.com/office/excel/2006/main">
          <x14:cfRule type="dataBar" id="{104BCCB8-7414-41A3-915B-0E365282E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R22:S22</xm:sqref>
        </x14:conditionalFormatting>
        <x14:conditionalFormatting xmlns:xm="http://schemas.microsoft.com/office/excel/2006/main">
          <x14:cfRule type="dataBar" id="{2155CBD9-876F-4C54-8822-CFCB5D140A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R24:S31</xm:sqref>
        </x14:conditionalFormatting>
        <x14:conditionalFormatting xmlns:xm="http://schemas.microsoft.com/office/excel/2006/main">
          <x14:cfRule type="dataBar" id="{E81B10E3-9D90-4D11-B1C6-AA592AA340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CBEC1C6-3295-4C85-B331-2B92979DC6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91EDE31-F6DD-4100-95EF-7C45AC2A74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R25:S27</xm:sqref>
        </x14:conditionalFormatting>
        <x14:conditionalFormatting xmlns:xm="http://schemas.microsoft.com/office/excel/2006/main">
          <x14:cfRule type="dataBar" id="{FC174CFC-41AD-4842-AA07-4C70E6D9BF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7388901-9223-4583-98C6-48B314161E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EC82015-82C1-4645-ADE6-85465ABDAE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6D4493A-F5D2-4F69-8837-36101D5B9A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1C07E95-586A-487E-A4B2-4C82233C41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3A1E784-E5B7-475E-AE9D-1A102BCB7F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R26:S26</xm:sqref>
        </x14:conditionalFormatting>
        <x14:conditionalFormatting xmlns:xm="http://schemas.microsoft.com/office/excel/2006/main">
          <x14:cfRule type="dataBar" id="{7BC75A58-87FA-4896-9911-C08A8C4173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1C46ECB-C371-48F4-B193-09E0EF62A0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2B6C42A-920E-4E74-BD06-BF5C5A83B4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R30:S30</xm:sqref>
        </x14:conditionalFormatting>
        <x14:conditionalFormatting xmlns:xm="http://schemas.microsoft.com/office/excel/2006/main">
          <x14:cfRule type="dataBar" id="{E15F31A1-6420-42EE-825C-F01F169D23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6E7F894-1A3B-4ABE-9817-EDD537800B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R30:S31 R25:S27</xm:sqref>
        </x14:conditionalFormatting>
        <x14:conditionalFormatting xmlns:xm="http://schemas.microsoft.com/office/excel/2006/main">
          <x14:cfRule type="dataBar" id="{92EBDF22-BE00-4B77-A473-52F34CA7D0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3B76126-B9AF-458F-8B3E-EE03DF9207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2431DD-248D-44FD-9202-3D302302BB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R30:S31</xm:sqref>
        </x14:conditionalFormatting>
        <x14:conditionalFormatting xmlns:xm="http://schemas.microsoft.com/office/excel/2006/main">
          <x14:cfRule type="dataBar" id="{B4577162-4AD9-49E1-AEBF-12A4CE0FD8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D44B416-F11B-4213-967D-8B1D0A010B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D315849-9DF4-4C99-929F-2888B453C7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R31:S31</xm:sqref>
        </x14:conditionalFormatting>
        <x14:conditionalFormatting xmlns:xm="http://schemas.microsoft.com/office/excel/2006/main">
          <x14:cfRule type="dataBar" id="{063AF462-89D8-45BC-8A17-F6D9F5FB57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0112CAE-1ED9-4344-B3D6-EE4C44DEF8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14E143-0C47-4E4C-953C-F14AD53DC3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R32:S33 R37:S38 R40:S40</xm:sqref>
        </x14:conditionalFormatting>
        <x14:conditionalFormatting xmlns:xm="http://schemas.microsoft.com/office/excel/2006/main">
          <x14:cfRule type="dataBar" id="{F4052BFD-3770-4E27-B2A4-489FB6814A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972688F-8605-4C28-910F-31F13967E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E491DB6-EBC4-44CB-B7F3-A9B1F099AF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R34:S34</xm:sqref>
        </x14:conditionalFormatting>
        <x14:conditionalFormatting xmlns:xm="http://schemas.microsoft.com/office/excel/2006/main">
          <x14:cfRule type="dataBar" id="{F3C517B2-2A58-41E9-824A-C201349BF9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F1B6CEB-B435-4BBE-A42F-61550F3F15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BB023B2-9158-4133-A4BF-F72FB003D8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F72EAC8-BB4A-4C0C-98E7-A800045765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57B763B-E437-4927-8786-26224A7FDF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9B40F1E-FC34-4DC4-971F-B9705B18DB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R34:S36</xm:sqref>
        </x14:conditionalFormatting>
        <x14:conditionalFormatting xmlns:xm="http://schemas.microsoft.com/office/excel/2006/main">
          <x14:cfRule type="dataBar" id="{6F96F55F-232E-41D3-8020-E336A6765B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855D817-A33E-44B9-851E-99DF1ED808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1C43AFE-722A-4355-A30E-A1EED7A6DE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R35:S35</xm:sqref>
        </x14:conditionalFormatting>
        <x14:conditionalFormatting xmlns:xm="http://schemas.microsoft.com/office/excel/2006/main">
          <x14:cfRule type="dataBar" id="{9508D2E8-DFEC-43F3-ABE7-08433293EF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22A97D4-FE24-49D6-9528-BC257D509F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C804A58-24EC-4548-8D90-EE9870FD11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B4F6E68-9646-4230-B95D-7E8B09CF58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18BA50A-2736-4643-8469-C59AFFED10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34423CD-2113-4191-8F56-5275367258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24A6BF1-5BFF-4A8E-A478-AF32008392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F6CA7DF-9641-43F9-85E7-F67BA6ED6A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B0418DC-51B7-47F5-A2E8-DE987B3B63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R39:S39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9"/>
  <dimension ref="A1:AG43"/>
  <sheetViews>
    <sheetView zoomScaleNormal="100" workbookViewId="0"/>
  </sheetViews>
  <sheetFormatPr defaultColWidth="9.109375" defaultRowHeight="14.4"/>
  <cols>
    <col min="1" max="1" width="9.109375" style="5"/>
    <col min="2" max="2" width="13.6640625" style="5" customWidth="1"/>
    <col min="3" max="3" width="12.6640625" style="5" customWidth="1"/>
    <col min="4" max="10" width="9.109375" style="5"/>
    <col min="11" max="11" width="13.44140625" style="5" customWidth="1"/>
    <col min="12" max="12" width="9.109375" style="5"/>
    <col min="13" max="13" width="13.44140625" style="5" customWidth="1"/>
    <col min="14" max="15" width="9.109375" style="5"/>
    <col min="16" max="16" width="13.44140625" style="5" bestFit="1" customWidth="1"/>
    <col min="17" max="17" width="13.44140625" style="5" customWidth="1"/>
    <col min="18" max="19" width="12.44140625" style="5" customWidth="1"/>
    <col min="20" max="21" width="9.109375" style="5"/>
    <col min="22" max="22" width="14.44140625" style="5" customWidth="1"/>
    <col min="23" max="23" width="12.88671875" style="5" bestFit="1" customWidth="1"/>
    <col min="24" max="27" width="9.109375" style="164"/>
    <col min="28" max="33" width="16.6640625" style="5" bestFit="1" customWidth="1"/>
    <col min="34" max="16384" width="9.109375" style="5"/>
  </cols>
  <sheetData>
    <row r="1" spans="1:33" ht="21">
      <c r="A1" s="3" t="s">
        <v>681</v>
      </c>
      <c r="C1" s="4"/>
      <c r="D1" s="4"/>
      <c r="E1" s="4"/>
      <c r="F1" s="4"/>
      <c r="G1" s="4"/>
      <c r="H1" s="4"/>
      <c r="I1" s="4"/>
      <c r="J1" s="4"/>
      <c r="P1" s="3" t="s">
        <v>191</v>
      </c>
      <c r="Q1" s="3"/>
      <c r="V1" s="3" t="s">
        <v>282</v>
      </c>
      <c r="AB1" s="474"/>
      <c r="AC1" s="474"/>
      <c r="AD1" s="474"/>
      <c r="AE1" s="474"/>
      <c r="AF1" s="474"/>
      <c r="AG1" s="474"/>
    </row>
    <row r="2" spans="1:33" ht="14.4" customHeight="1">
      <c r="A2" s="2" t="s">
        <v>289</v>
      </c>
      <c r="X2" s="908" t="s">
        <v>171</v>
      </c>
      <c r="Y2" s="909"/>
      <c r="Z2" s="910" t="s">
        <v>237</v>
      </c>
      <c r="AA2" s="909"/>
      <c r="AB2" s="905" t="s">
        <v>431</v>
      </c>
      <c r="AC2" s="906"/>
      <c r="AD2" s="906"/>
      <c r="AE2" s="906"/>
      <c r="AF2" s="906"/>
      <c r="AG2" s="907"/>
    </row>
    <row r="3" spans="1:33" ht="57.6" customHeight="1">
      <c r="A3" s="85" t="s">
        <v>192</v>
      </c>
      <c r="B3" s="85" t="s">
        <v>165</v>
      </c>
      <c r="C3" s="50" t="s">
        <v>0</v>
      </c>
      <c r="D3" s="51" t="s">
        <v>1</v>
      </c>
      <c r="E3" s="52" t="s">
        <v>2</v>
      </c>
      <c r="F3" s="52" t="s">
        <v>3</v>
      </c>
      <c r="G3" s="52" t="s">
        <v>4</v>
      </c>
      <c r="H3" s="52" t="s">
        <v>5</v>
      </c>
      <c r="I3" s="52" t="s">
        <v>6</v>
      </c>
      <c r="J3" s="53" t="s">
        <v>7</v>
      </c>
      <c r="K3" s="41" t="s">
        <v>141</v>
      </c>
      <c r="M3" s="42" t="s">
        <v>168</v>
      </c>
      <c r="P3" s="330" t="s">
        <v>165</v>
      </c>
      <c r="Q3" s="37" t="s">
        <v>506</v>
      </c>
      <c r="R3" s="37" t="s">
        <v>507</v>
      </c>
      <c r="S3" s="37" t="s">
        <v>272</v>
      </c>
      <c r="V3" s="85" t="s">
        <v>165</v>
      </c>
      <c r="W3" s="50" t="s">
        <v>0</v>
      </c>
      <c r="X3" s="445" t="s">
        <v>238</v>
      </c>
      <c r="Y3" s="447" t="s">
        <v>239</v>
      </c>
      <c r="Z3" s="445" t="s">
        <v>238</v>
      </c>
      <c r="AA3" s="446" t="s">
        <v>239</v>
      </c>
      <c r="AB3" s="391" t="s">
        <v>2</v>
      </c>
      <c r="AC3" s="389" t="s">
        <v>3</v>
      </c>
      <c r="AD3" s="389" t="s">
        <v>4</v>
      </c>
      <c r="AE3" s="389" t="s">
        <v>5</v>
      </c>
      <c r="AF3" s="389" t="s">
        <v>6</v>
      </c>
      <c r="AG3" s="41" t="s">
        <v>7</v>
      </c>
    </row>
    <row r="4" spans="1:33">
      <c r="A4" s="94" t="s">
        <v>116</v>
      </c>
      <c r="B4" s="94" t="s">
        <v>200</v>
      </c>
      <c r="C4" s="95"/>
      <c r="D4" s="95" t="s">
        <v>10</v>
      </c>
      <c r="E4" s="497">
        <v>3.124209</v>
      </c>
      <c r="F4" s="498">
        <v>3.124209</v>
      </c>
      <c r="G4" s="498">
        <v>3.124209</v>
      </c>
      <c r="H4" s="498">
        <v>3.124209</v>
      </c>
      <c r="I4" s="498">
        <v>3.124209</v>
      </c>
      <c r="J4" s="499">
        <v>3.124209</v>
      </c>
      <c r="K4" s="505">
        <f>SUMPRODUCT('Dwelling stock'!E4:J4,E4:J4)/SUM('Dwelling stock'!E4:J4)</f>
        <v>3.1242090000000005</v>
      </c>
      <c r="M4" s="97"/>
      <c r="P4" s="94" t="s">
        <v>200</v>
      </c>
      <c r="Q4" s="400">
        <f>'Energy Efficiency Measures-DBT'!AI58</f>
        <v>2.7</v>
      </c>
      <c r="R4" s="400">
        <f>'Energy Efficiency Measures-DBT'!AI59</f>
        <v>1.7</v>
      </c>
      <c r="S4" s="401">
        <f>'Energy Efficiency Measures-DBT'!AI60</f>
        <v>0.65</v>
      </c>
      <c r="V4" s="94" t="s">
        <v>200</v>
      </c>
      <c r="W4" s="95"/>
      <c r="X4" s="455">
        <v>5</v>
      </c>
      <c r="Y4" s="456">
        <v>5</v>
      </c>
      <c r="Z4" s="455">
        <v>5</v>
      </c>
      <c r="AA4" s="456">
        <v>5</v>
      </c>
      <c r="AB4" s="188" t="str">
        <f>IF(AND(E4&gt;'Energy Efficiency Measures-DBT'!$D$58,Y4&gt;'Energy Efficiency Measures-DBT'!$D$58),'Energy Efficiency Measures-DBT'!$B$58,"")&amp;", "&amp;IF(AND(E4&gt;'Energy Efficiency Measures-DBT'!$D$59,Y4&gt;'Energy Efficiency Measures-DBT'!$D$59),'Energy Efficiency Measures-DBT'!$B$59,"")&amp;", "&amp;IF(AND(E4&gt;'Energy Efficiency Measures-DBT'!$D$60,Y4&gt;'Energy Efficiency Measures-DBT'!$D$60),'Energy Efficiency Measures-DBT'!$B$60,"")</f>
        <v>MG1, MG2, MG3</v>
      </c>
      <c r="AC4" s="189" t="str">
        <f>IF(AND(F4&gt;'Energy Efficiency Measures-DBT'!$D$58,Y4&gt;'Energy Efficiency Measures-DBT'!$D$58),'Energy Efficiency Measures-DBT'!$B$58,"")&amp;", "&amp;IF(AND(F4&gt;'Energy Efficiency Measures-DBT'!$D$59,Y4&gt;'Energy Efficiency Measures-DBT'!$D$59),'Energy Efficiency Measures-DBT'!$B$59,"")&amp;", "&amp;IF(AND(F4&gt;'Energy Efficiency Measures-DBT'!$D$60,Y4&gt;'Energy Efficiency Measures-DBT'!$D$60),'Energy Efficiency Measures-DBT'!$B$60,"")</f>
        <v>MG1, MG2, MG3</v>
      </c>
      <c r="AD4" s="189" t="str">
        <f>IF(AND(G4&gt;'Energy Efficiency Measures-DBT'!$D$58,Y4&gt;'Energy Efficiency Measures-DBT'!$D$58),'Energy Efficiency Measures-DBT'!$B$58,"")&amp;", "&amp;IF(AND(G4&gt;'Energy Efficiency Measures-DBT'!$D$59,Y4&gt;'Energy Efficiency Measures-DBT'!$D$59),'Energy Efficiency Measures-DBT'!$B$59,"")&amp;", "&amp;IF(AND(G4&gt;'Energy Efficiency Measures-DBT'!$D$60,Y4&gt;'Energy Efficiency Measures-DBT'!$D$60),'Energy Efficiency Measures-DBT'!$B$60,"")</f>
        <v>MG1, MG2, MG3</v>
      </c>
      <c r="AE4" s="189" t="str">
        <f>IF(AND(H4&gt;'Energy Efficiency Measures-DBT'!$D$58,Y4&gt;'Energy Efficiency Measures-DBT'!$D$58),'Energy Efficiency Measures-DBT'!$B$58,"")&amp;", "&amp;IF(AND(H4&gt;'Energy Efficiency Measures-DBT'!$D$59,Y4&gt;'Energy Efficiency Measures-DBT'!$D$59),'Energy Efficiency Measures-DBT'!$B$59,"")&amp;", "&amp;IF(AND(H4&gt;'Energy Efficiency Measures-DBT'!$D$60,Y4&gt;'Energy Efficiency Measures-DBT'!$D$60),'Energy Efficiency Measures-DBT'!$B$60,"")</f>
        <v>MG1, MG2, MG3</v>
      </c>
      <c r="AF4" s="189" t="str">
        <f>IF(AND(I4&gt;'Energy Efficiency Measures-DBT'!$D$58,Y4&gt;'Energy Efficiency Measures-DBT'!$D$58),'Energy Efficiency Measures-DBT'!$B$58,"")&amp;", "&amp;IF(AND(I4&gt;'Energy Efficiency Measures-DBT'!$D$59,Y4&gt;'Energy Efficiency Measures-DBT'!$D$59),'Energy Efficiency Measures-DBT'!$B$59,"")&amp;", "&amp;IF(AND(I4&gt;'Energy Efficiency Measures-DBT'!$D$60,Y4&gt;'Energy Efficiency Measures-DBT'!$D$60),'Energy Efficiency Measures-DBT'!$B$60,"")</f>
        <v>MG1, MG2, MG3</v>
      </c>
      <c r="AG4" s="190" t="str">
        <f>IF(AND(J4&gt;'Energy Efficiency Measures-DBT'!$D$58,Y4&gt;'Energy Efficiency Measures-DBT'!$D$58),'Energy Efficiency Measures-DBT'!$B$58,"")&amp;", "&amp;IF(AND(J4&gt;'Energy Efficiency Measures-DBT'!$D$59,Y4&gt;'Energy Efficiency Measures-DBT'!$D$59),'Energy Efficiency Measures-DBT'!$B$59,"")&amp;", "&amp;IF(AND(J4&gt;'Energy Efficiency Measures-DBT'!$D$60,Y4&gt;'Energy Efficiency Measures-DBT'!$D$60),'Energy Efficiency Measures-DBT'!$B$60,"")</f>
        <v>MG1, MG2, MG3</v>
      </c>
    </row>
    <row r="5" spans="1:33">
      <c r="A5" s="48" t="s">
        <v>88</v>
      </c>
      <c r="B5" s="48" t="s">
        <v>8</v>
      </c>
      <c r="C5" s="47" t="s">
        <v>9</v>
      </c>
      <c r="D5" s="47" t="s">
        <v>10</v>
      </c>
      <c r="E5" s="498">
        <v>2.5</v>
      </c>
      <c r="F5" s="498">
        <v>2.5</v>
      </c>
      <c r="G5" s="498">
        <v>2.2999999999999998</v>
      </c>
      <c r="H5" s="498">
        <v>1.8</v>
      </c>
      <c r="I5" s="498">
        <v>1.6</v>
      </c>
      <c r="J5" s="499">
        <v>1.5</v>
      </c>
      <c r="K5" s="506">
        <f>SUMPRODUCT('Dwelling stock'!E5:J5,E5:J5)/SUM('Dwelling stock'!E5:J5)</f>
        <v>2.2014556179484885</v>
      </c>
      <c r="M5" s="54">
        <v>2.2014559999999999</v>
      </c>
      <c r="P5" s="48" t="s">
        <v>8</v>
      </c>
      <c r="Q5" s="86">
        <f>LOOKUP($A5,'Energy Efficiency Measures-DBT'!$D$11:$AN$11,'Energy Efficiency Measures-DBT'!$D$58:$AN$58)</f>
        <v>2.7</v>
      </c>
      <c r="R5" s="86">
        <f>LOOKUP($A5,'Energy Efficiency Measures-DBT'!$D$11:$AN$11,'Energy Efficiency Measures-DBT'!$D$59:$AN$59)</f>
        <v>1.7</v>
      </c>
      <c r="S5" s="223">
        <f>LOOKUP($A5,'Energy Efficiency Measures-DBT'!$D$11:$AN$11,'Energy Efficiency Measures-DBT'!$D$60:$AN$60)</f>
        <v>0.65</v>
      </c>
      <c r="V5" s="48" t="s">
        <v>8</v>
      </c>
      <c r="W5" s="47" t="s">
        <v>283</v>
      </c>
      <c r="X5" s="428">
        <f>MAX(R5:S5)</f>
        <v>1.7</v>
      </c>
      <c r="Y5" s="430">
        <f>X5</f>
        <v>1.7</v>
      </c>
      <c r="Z5" s="428">
        <f>X5</f>
        <v>1.7</v>
      </c>
      <c r="AA5" s="430">
        <f>Z5</f>
        <v>1.7</v>
      </c>
      <c r="AB5" s="179" t="str">
        <f>IF(AND(E5&gt;'Energy Efficiency Measures-DBT'!$D$58,Y5&gt;'Energy Efficiency Measures-DBT'!$D$58),'Energy Efficiency Measures-DBT'!$B$58,"")&amp;", "&amp;IF(AND(E5&gt;'Energy Efficiency Measures-DBT'!$D$59,Y5&gt;'Energy Efficiency Measures-DBT'!$D$59),'Energy Efficiency Measures-DBT'!$B$59,"")&amp;", "&amp;IF(AND(E5&gt;'Energy Efficiency Measures-DBT'!$D$60,Y5&gt;'Energy Efficiency Measures-DBT'!$D$60),'Energy Efficiency Measures-DBT'!$B$60,"")</f>
        <v>, , MG3</v>
      </c>
      <c r="AC5" s="164" t="str">
        <f>IF(AND(F5&gt;'Energy Efficiency Measures-DBT'!$D$58,Y5&gt;'Energy Efficiency Measures-DBT'!$D$58),'Energy Efficiency Measures-DBT'!$B$58,"")&amp;", "&amp;IF(AND(F5&gt;'Energy Efficiency Measures-DBT'!$D$59,Y5&gt;'Energy Efficiency Measures-DBT'!$D$59),'Energy Efficiency Measures-DBT'!$B$59,"")&amp;", "&amp;IF(AND(F5&gt;'Energy Efficiency Measures-DBT'!$D$60,Y5&gt;'Energy Efficiency Measures-DBT'!$D$60),'Energy Efficiency Measures-DBT'!$B$60,"")</f>
        <v>, , MG3</v>
      </c>
      <c r="AD5" s="164" t="str">
        <f>IF(AND(G5&gt;'Energy Efficiency Measures-DBT'!$D$58,Y5&gt;'Energy Efficiency Measures-DBT'!$D$58),'Energy Efficiency Measures-DBT'!$B$58,"")&amp;", "&amp;IF(AND(G5&gt;'Energy Efficiency Measures-DBT'!$D$59,Y5&gt;'Energy Efficiency Measures-DBT'!$D$59),'Energy Efficiency Measures-DBT'!$B$59,"")&amp;", "&amp;IF(AND(G5&gt;'Energy Efficiency Measures-DBT'!$D$60,Y5&gt;'Energy Efficiency Measures-DBT'!$D$60),'Energy Efficiency Measures-DBT'!$B$60,"")</f>
        <v>, , MG3</v>
      </c>
      <c r="AE5" s="164" t="str">
        <f>IF(AND(H5&gt;'Energy Efficiency Measures-DBT'!$D$58,Y5&gt;'Energy Efficiency Measures-DBT'!$D$58),'Energy Efficiency Measures-DBT'!$B$58,"")&amp;", "&amp;IF(AND(H5&gt;'Energy Efficiency Measures-DBT'!$D$59,Y5&gt;'Energy Efficiency Measures-DBT'!$D$59),'Energy Efficiency Measures-DBT'!$B$59,"")&amp;", "&amp;IF(AND(H5&gt;'Energy Efficiency Measures-DBT'!$D$60,Y5&gt;'Energy Efficiency Measures-DBT'!$D$60),'Energy Efficiency Measures-DBT'!$B$60,"")</f>
        <v>, , MG3</v>
      </c>
      <c r="AF5" s="164" t="str">
        <f>IF(AND(I5&gt;'Energy Efficiency Measures-DBT'!$D$58,Y5&gt;'Energy Efficiency Measures-DBT'!$D$58),'Energy Efficiency Measures-DBT'!$B$58,"")&amp;", "&amp;IF(AND(I5&gt;'Energy Efficiency Measures-DBT'!$D$59,Y5&gt;'Energy Efficiency Measures-DBT'!$D$59),'Energy Efficiency Measures-DBT'!$B$59,"")&amp;", "&amp;IF(AND(I5&gt;'Energy Efficiency Measures-DBT'!$D$60,Y5&gt;'Energy Efficiency Measures-DBT'!$D$60),'Energy Efficiency Measures-DBT'!$B$60,"")</f>
        <v>, , MG3</v>
      </c>
      <c r="AG5" s="273" t="str">
        <f>IF(AND(J5&gt;'Energy Efficiency Measures-DBT'!$D$58,Y5&gt;'Energy Efficiency Measures-DBT'!$D$58),'Energy Efficiency Measures-DBT'!$B$58,"")&amp;", "&amp;IF(AND(J5&gt;'Energy Efficiency Measures-DBT'!$D$59,Y5&gt;'Energy Efficiency Measures-DBT'!$D$59),'Energy Efficiency Measures-DBT'!$B$59,"")&amp;", "&amp;IF(AND(J5&gt;'Energy Efficiency Measures-DBT'!$D$60,Y5&gt;'Energy Efficiency Measures-DBT'!$D$60),'Energy Efficiency Measures-DBT'!$B$60,"")</f>
        <v>, , MG3</v>
      </c>
    </row>
    <row r="6" spans="1:33">
      <c r="A6" s="48" t="s">
        <v>117</v>
      </c>
      <c r="B6" s="48" t="s">
        <v>202</v>
      </c>
      <c r="C6" s="47"/>
      <c r="D6" s="47" t="s">
        <v>10</v>
      </c>
      <c r="E6" s="498">
        <v>3</v>
      </c>
      <c r="F6" s="498">
        <v>3</v>
      </c>
      <c r="G6" s="498">
        <v>3</v>
      </c>
      <c r="H6" s="498">
        <v>3</v>
      </c>
      <c r="I6" s="498">
        <v>3.1</v>
      </c>
      <c r="J6" s="499">
        <v>2.6</v>
      </c>
      <c r="K6" s="506">
        <f>SUMPRODUCT('Dwelling stock'!E6:J6,E6:J6)/SUM('Dwelling stock'!E6:J6)</f>
        <v>2.9815394282727072</v>
      </c>
      <c r="M6" s="28"/>
      <c r="P6" s="48" t="s">
        <v>202</v>
      </c>
      <c r="Q6" s="86">
        <f>LOOKUP($A6,'Energy Efficiency Measures-DBT'!$D$11:$AN$11,'Energy Efficiency Measures-DBT'!$D$58:$AN$58)</f>
        <v>2.7</v>
      </c>
      <c r="R6" s="86">
        <f>LOOKUP($A6,'Energy Efficiency Measures-DBT'!$D$11:$AN$11,'Energy Efficiency Measures-DBT'!$D$59:$AN$59)</f>
        <v>1.7</v>
      </c>
      <c r="S6" s="223">
        <f>LOOKUP($A6,'Energy Efficiency Measures-DBT'!$D$11:$AN$11,'Energy Efficiency Measures-DBT'!$D$60:$AN$60)</f>
        <v>0.65</v>
      </c>
      <c r="V6" s="48" t="s">
        <v>202</v>
      </c>
      <c r="W6" s="47"/>
      <c r="X6" s="455">
        <v>5</v>
      </c>
      <c r="Y6" s="456">
        <v>5</v>
      </c>
      <c r="Z6" s="455">
        <v>5</v>
      </c>
      <c r="AA6" s="456">
        <v>5</v>
      </c>
      <c r="AB6" s="179" t="str">
        <f>IF(AND(E6&gt;'Energy Efficiency Measures-DBT'!$D$58,Y6&gt;'Energy Efficiency Measures-DBT'!$D$58),'Energy Efficiency Measures-DBT'!$B$58,"")&amp;", "&amp;IF(AND(E6&gt;'Energy Efficiency Measures-DBT'!$D$59,Y6&gt;'Energy Efficiency Measures-DBT'!$D$59),'Energy Efficiency Measures-DBT'!$B$59,"")&amp;", "&amp;IF(AND(E6&gt;'Energy Efficiency Measures-DBT'!$D$60,Y6&gt;'Energy Efficiency Measures-DBT'!$D$60),'Energy Efficiency Measures-DBT'!$B$60,"")</f>
        <v>MG1, MG2, MG3</v>
      </c>
      <c r="AC6" s="164" t="str">
        <f>IF(AND(F6&gt;'Energy Efficiency Measures-DBT'!$D$58,Y6&gt;'Energy Efficiency Measures-DBT'!$D$58),'Energy Efficiency Measures-DBT'!$B$58,"")&amp;", "&amp;IF(AND(F6&gt;'Energy Efficiency Measures-DBT'!$D$59,Y6&gt;'Energy Efficiency Measures-DBT'!$D$59),'Energy Efficiency Measures-DBT'!$B$59,"")&amp;", "&amp;IF(AND(F6&gt;'Energy Efficiency Measures-DBT'!$D$60,Y6&gt;'Energy Efficiency Measures-DBT'!$D$60),'Energy Efficiency Measures-DBT'!$B$60,"")</f>
        <v>MG1, MG2, MG3</v>
      </c>
      <c r="AD6" s="164" t="str">
        <f>IF(AND(G6&gt;'Energy Efficiency Measures-DBT'!$D$58,Y6&gt;'Energy Efficiency Measures-DBT'!$D$58),'Energy Efficiency Measures-DBT'!$B$58,"")&amp;", "&amp;IF(AND(G6&gt;'Energy Efficiency Measures-DBT'!$D$59,Y6&gt;'Energy Efficiency Measures-DBT'!$D$59),'Energy Efficiency Measures-DBT'!$B$59,"")&amp;", "&amp;IF(AND(G6&gt;'Energy Efficiency Measures-DBT'!$D$60,Y6&gt;'Energy Efficiency Measures-DBT'!$D$60),'Energy Efficiency Measures-DBT'!$B$60,"")</f>
        <v>MG1, MG2, MG3</v>
      </c>
      <c r="AE6" s="164" t="str">
        <f>IF(AND(H6&gt;'Energy Efficiency Measures-DBT'!$D$58,Y6&gt;'Energy Efficiency Measures-DBT'!$D$58),'Energy Efficiency Measures-DBT'!$B$58,"")&amp;", "&amp;IF(AND(H6&gt;'Energy Efficiency Measures-DBT'!$D$59,Y6&gt;'Energy Efficiency Measures-DBT'!$D$59),'Energy Efficiency Measures-DBT'!$B$59,"")&amp;", "&amp;IF(AND(H6&gt;'Energy Efficiency Measures-DBT'!$D$60,Y6&gt;'Energy Efficiency Measures-DBT'!$D$60),'Energy Efficiency Measures-DBT'!$B$60,"")</f>
        <v>MG1, MG2, MG3</v>
      </c>
      <c r="AF6" s="164" t="str">
        <f>IF(AND(I6&gt;'Energy Efficiency Measures-DBT'!$D$58,Y6&gt;'Energy Efficiency Measures-DBT'!$D$58),'Energy Efficiency Measures-DBT'!$B$58,"")&amp;", "&amp;IF(AND(I6&gt;'Energy Efficiency Measures-DBT'!$D$59,Y6&gt;'Energy Efficiency Measures-DBT'!$D$59),'Energy Efficiency Measures-DBT'!$B$59,"")&amp;", "&amp;IF(AND(I6&gt;'Energy Efficiency Measures-DBT'!$D$60,Y6&gt;'Energy Efficiency Measures-DBT'!$D$60),'Energy Efficiency Measures-DBT'!$B$60,"")</f>
        <v>MG1, MG2, MG3</v>
      </c>
      <c r="AG6" s="273" t="str">
        <f>IF(AND(J6&gt;'Energy Efficiency Measures-DBT'!$D$58,Y6&gt;'Energy Efficiency Measures-DBT'!$D$58),'Energy Efficiency Measures-DBT'!$B$58,"")&amp;", "&amp;IF(AND(J6&gt;'Energy Efficiency Measures-DBT'!$D$59,Y6&gt;'Energy Efficiency Measures-DBT'!$D$59),'Energy Efficiency Measures-DBT'!$B$59,"")&amp;", "&amp;IF(AND(J6&gt;'Energy Efficiency Measures-DBT'!$D$60,Y6&gt;'Energy Efficiency Measures-DBT'!$D$60),'Energy Efficiency Measures-DBT'!$B$60,"")</f>
        <v>, MG2, MG3</v>
      </c>
    </row>
    <row r="7" spans="1:33">
      <c r="A7" s="48" t="s">
        <v>89</v>
      </c>
      <c r="B7" s="48" t="s">
        <v>11</v>
      </c>
      <c r="C7" s="47" t="s">
        <v>12</v>
      </c>
      <c r="D7" s="47" t="s">
        <v>10</v>
      </c>
      <c r="E7" s="498">
        <v>3.95</v>
      </c>
      <c r="F7" s="498">
        <v>3.95</v>
      </c>
      <c r="G7" s="498">
        <v>3.95</v>
      </c>
      <c r="H7" s="498">
        <v>3.6</v>
      </c>
      <c r="I7" s="498">
        <v>3.6</v>
      </c>
      <c r="J7" s="499">
        <v>2.4700000000000002</v>
      </c>
      <c r="K7" s="506">
        <f>SUMPRODUCT('Dwelling stock'!E7:J7,E7:J7)/SUM('Dwelling stock'!E7:J7)</f>
        <v>3.7905060708158298</v>
      </c>
      <c r="M7" s="54">
        <v>3.647913</v>
      </c>
      <c r="P7" s="48" t="s">
        <v>11</v>
      </c>
      <c r="Q7" s="86">
        <f>LOOKUP($A7,'Energy Efficiency Measures-DBT'!$D$11:$AN$11,'Energy Efficiency Measures-DBT'!$D$58:$AN$58)</f>
        <v>2.7</v>
      </c>
      <c r="R7" s="86">
        <f>LOOKUP($A7,'Energy Efficiency Measures-DBT'!$D$11:$AN$11,'Energy Efficiency Measures-DBT'!$D$59:$AN$59)</f>
        <v>1.7</v>
      </c>
      <c r="S7" s="223">
        <f>LOOKUP($A7,'Energy Efficiency Measures-DBT'!$D$11:$AN$11,'Energy Efficiency Measures-DBT'!$D$60:$AN$60)</f>
        <v>0.65</v>
      </c>
      <c r="V7" s="48" t="s">
        <v>11</v>
      </c>
      <c r="W7" s="47"/>
      <c r="X7" s="455">
        <v>5</v>
      </c>
      <c r="Y7" s="456">
        <v>5</v>
      </c>
      <c r="Z7" s="455">
        <v>5</v>
      </c>
      <c r="AA7" s="456">
        <v>5</v>
      </c>
      <c r="AB7" s="179" t="str">
        <f>IF(AND(E7&gt;'Energy Efficiency Measures-DBT'!$D$58,Y7&gt;'Energy Efficiency Measures-DBT'!$D$58),'Energy Efficiency Measures-DBT'!$B$58,"")&amp;", "&amp;IF(AND(E7&gt;'Energy Efficiency Measures-DBT'!$D$59,Y7&gt;'Energy Efficiency Measures-DBT'!$D$59),'Energy Efficiency Measures-DBT'!$B$59,"")&amp;", "&amp;IF(AND(E7&gt;'Energy Efficiency Measures-DBT'!$D$60,Y7&gt;'Energy Efficiency Measures-DBT'!$D$60),'Energy Efficiency Measures-DBT'!$B$60,"")</f>
        <v>MG1, MG2, MG3</v>
      </c>
      <c r="AC7" s="164" t="str">
        <f>IF(AND(F7&gt;'Energy Efficiency Measures-DBT'!$D$58,Y7&gt;'Energy Efficiency Measures-DBT'!$D$58),'Energy Efficiency Measures-DBT'!$B$58,"")&amp;", "&amp;IF(AND(F7&gt;'Energy Efficiency Measures-DBT'!$D$59,Y7&gt;'Energy Efficiency Measures-DBT'!$D$59),'Energy Efficiency Measures-DBT'!$B$59,"")&amp;", "&amp;IF(AND(F7&gt;'Energy Efficiency Measures-DBT'!$D$60,Y7&gt;'Energy Efficiency Measures-DBT'!$D$60),'Energy Efficiency Measures-DBT'!$B$60,"")</f>
        <v>MG1, MG2, MG3</v>
      </c>
      <c r="AD7" s="164" t="str">
        <f>IF(AND(G7&gt;'Energy Efficiency Measures-DBT'!$D$58,Y7&gt;'Energy Efficiency Measures-DBT'!$D$58),'Energy Efficiency Measures-DBT'!$B$58,"")&amp;", "&amp;IF(AND(G7&gt;'Energy Efficiency Measures-DBT'!$D$59,Y7&gt;'Energy Efficiency Measures-DBT'!$D$59),'Energy Efficiency Measures-DBT'!$B$59,"")&amp;", "&amp;IF(AND(G7&gt;'Energy Efficiency Measures-DBT'!$D$60,Y7&gt;'Energy Efficiency Measures-DBT'!$D$60),'Energy Efficiency Measures-DBT'!$B$60,"")</f>
        <v>MG1, MG2, MG3</v>
      </c>
      <c r="AE7" s="164" t="str">
        <f>IF(AND(H7&gt;'Energy Efficiency Measures-DBT'!$D$58,Y7&gt;'Energy Efficiency Measures-DBT'!$D$58),'Energy Efficiency Measures-DBT'!$B$58,"")&amp;", "&amp;IF(AND(H7&gt;'Energy Efficiency Measures-DBT'!$D$59,Y7&gt;'Energy Efficiency Measures-DBT'!$D$59),'Energy Efficiency Measures-DBT'!$B$59,"")&amp;", "&amp;IF(AND(H7&gt;'Energy Efficiency Measures-DBT'!$D$60,Y7&gt;'Energy Efficiency Measures-DBT'!$D$60),'Energy Efficiency Measures-DBT'!$B$60,"")</f>
        <v>MG1, MG2, MG3</v>
      </c>
      <c r="AF7" s="164" t="str">
        <f>IF(AND(I7&gt;'Energy Efficiency Measures-DBT'!$D$58,Y7&gt;'Energy Efficiency Measures-DBT'!$D$58),'Energy Efficiency Measures-DBT'!$B$58,"")&amp;", "&amp;IF(AND(I7&gt;'Energy Efficiency Measures-DBT'!$D$59,Y7&gt;'Energy Efficiency Measures-DBT'!$D$59),'Energy Efficiency Measures-DBT'!$B$59,"")&amp;", "&amp;IF(AND(I7&gt;'Energy Efficiency Measures-DBT'!$D$60,Y7&gt;'Energy Efficiency Measures-DBT'!$D$60),'Energy Efficiency Measures-DBT'!$B$60,"")</f>
        <v>MG1, MG2, MG3</v>
      </c>
      <c r="AG7" s="273" t="str">
        <f>IF(AND(J7&gt;'Energy Efficiency Measures-DBT'!$D$58,Y7&gt;'Energy Efficiency Measures-DBT'!$D$58),'Energy Efficiency Measures-DBT'!$B$58,"")&amp;", "&amp;IF(AND(J7&gt;'Energy Efficiency Measures-DBT'!$D$59,Y7&gt;'Energy Efficiency Measures-DBT'!$D$59),'Energy Efficiency Measures-DBT'!$B$59,"")&amp;", "&amp;IF(AND(J7&gt;'Energy Efficiency Measures-DBT'!$D$60,Y7&gt;'Energy Efficiency Measures-DBT'!$D$60),'Energy Efficiency Measures-DBT'!$B$60,"")</f>
        <v>, MG2, MG3</v>
      </c>
    </row>
    <row r="8" spans="1:33">
      <c r="A8" s="48" t="s">
        <v>90</v>
      </c>
      <c r="B8" s="48" t="s">
        <v>13</v>
      </c>
      <c r="C8" s="47" t="s">
        <v>14</v>
      </c>
      <c r="D8" s="47" t="s">
        <v>10</v>
      </c>
      <c r="E8" s="498">
        <v>2.65</v>
      </c>
      <c r="F8" s="498">
        <v>2.65</v>
      </c>
      <c r="G8" s="498">
        <v>2.65</v>
      </c>
      <c r="H8" s="498">
        <v>2.65</v>
      </c>
      <c r="I8" s="498">
        <v>2.65</v>
      </c>
      <c r="J8" s="499">
        <v>2.2250000000000001</v>
      </c>
      <c r="K8" s="506">
        <f>SUMPRODUCT('Dwelling stock'!E8:J8,E8:J8)/SUM('Dwelling stock'!E8:J8)</f>
        <v>2.588915534360805</v>
      </c>
      <c r="M8" s="54">
        <v>2.5940599999999998</v>
      </c>
      <c r="P8" s="48" t="s">
        <v>13</v>
      </c>
      <c r="Q8" s="86">
        <f>LOOKUP($A8,'Energy Efficiency Measures-DBT'!$D$11:$AN$11,'Energy Efficiency Measures-DBT'!$D$58:$AN$58)</f>
        <v>2.7</v>
      </c>
      <c r="R8" s="86">
        <f>LOOKUP($A8,'Energy Efficiency Measures-DBT'!$D$11:$AN$11,'Energy Efficiency Measures-DBT'!$D$59:$AN$59)</f>
        <v>1.7</v>
      </c>
      <c r="S8" s="223">
        <f>LOOKUP($A8,'Energy Efficiency Measures-DBT'!$D$11:$AN$11,'Energy Efficiency Measures-DBT'!$D$60:$AN$60)</f>
        <v>0.65</v>
      </c>
      <c r="V8" s="48" t="s">
        <v>13</v>
      </c>
      <c r="W8" s="47" t="s">
        <v>283</v>
      </c>
      <c r="X8" s="428">
        <v>1.7</v>
      </c>
      <c r="Y8" s="430">
        <f>X8</f>
        <v>1.7</v>
      </c>
      <c r="Z8" s="428">
        <f>X8</f>
        <v>1.7</v>
      </c>
      <c r="AA8" s="430">
        <f>Z8</f>
        <v>1.7</v>
      </c>
      <c r="AB8" s="179" t="str">
        <f>IF(AND(E8&gt;'Energy Efficiency Measures-DBT'!$D$58,Y8&gt;'Energy Efficiency Measures-DBT'!$D$58),'Energy Efficiency Measures-DBT'!$B$58,"")&amp;", "&amp;IF(AND(E8&gt;'Energy Efficiency Measures-DBT'!$D$59,Y8&gt;'Energy Efficiency Measures-DBT'!$D$59),'Energy Efficiency Measures-DBT'!$B$59,"")&amp;", "&amp;IF(AND(E8&gt;'Energy Efficiency Measures-DBT'!$D$60,Y8&gt;'Energy Efficiency Measures-DBT'!$D$60),'Energy Efficiency Measures-DBT'!$B$60,"")</f>
        <v>, , MG3</v>
      </c>
      <c r="AC8" s="164" t="str">
        <f>IF(AND(F8&gt;'Energy Efficiency Measures-DBT'!$D$58,Y8&gt;'Energy Efficiency Measures-DBT'!$D$58),'Energy Efficiency Measures-DBT'!$B$58,"")&amp;", "&amp;IF(AND(F8&gt;'Energy Efficiency Measures-DBT'!$D$59,Y8&gt;'Energy Efficiency Measures-DBT'!$D$59),'Energy Efficiency Measures-DBT'!$B$59,"")&amp;", "&amp;IF(AND(F8&gt;'Energy Efficiency Measures-DBT'!$D$60,Y8&gt;'Energy Efficiency Measures-DBT'!$D$60),'Energy Efficiency Measures-DBT'!$B$60,"")</f>
        <v>, , MG3</v>
      </c>
      <c r="AD8" s="164" t="str">
        <f>IF(AND(G8&gt;'Energy Efficiency Measures-DBT'!$D$58,Y8&gt;'Energy Efficiency Measures-DBT'!$D$58),'Energy Efficiency Measures-DBT'!$B$58,"")&amp;", "&amp;IF(AND(G8&gt;'Energy Efficiency Measures-DBT'!$D$59,Y8&gt;'Energy Efficiency Measures-DBT'!$D$59),'Energy Efficiency Measures-DBT'!$B$59,"")&amp;", "&amp;IF(AND(G8&gt;'Energy Efficiency Measures-DBT'!$D$60,Y8&gt;'Energy Efficiency Measures-DBT'!$D$60),'Energy Efficiency Measures-DBT'!$B$60,"")</f>
        <v>, , MG3</v>
      </c>
      <c r="AE8" s="164" t="str">
        <f>IF(AND(H8&gt;'Energy Efficiency Measures-DBT'!$D$58,Y8&gt;'Energy Efficiency Measures-DBT'!$D$58),'Energy Efficiency Measures-DBT'!$B$58,"")&amp;", "&amp;IF(AND(H8&gt;'Energy Efficiency Measures-DBT'!$D$59,Y8&gt;'Energy Efficiency Measures-DBT'!$D$59),'Energy Efficiency Measures-DBT'!$B$59,"")&amp;", "&amp;IF(AND(H8&gt;'Energy Efficiency Measures-DBT'!$D$60,Y8&gt;'Energy Efficiency Measures-DBT'!$D$60),'Energy Efficiency Measures-DBT'!$B$60,"")</f>
        <v>, , MG3</v>
      </c>
      <c r="AF8" s="164" t="str">
        <f>IF(AND(I8&gt;'Energy Efficiency Measures-DBT'!$D$58,Y8&gt;'Energy Efficiency Measures-DBT'!$D$58),'Energy Efficiency Measures-DBT'!$B$58,"")&amp;", "&amp;IF(AND(I8&gt;'Energy Efficiency Measures-DBT'!$D$59,Y8&gt;'Energy Efficiency Measures-DBT'!$D$59),'Energy Efficiency Measures-DBT'!$B$59,"")&amp;", "&amp;IF(AND(I8&gt;'Energy Efficiency Measures-DBT'!$D$60,Y8&gt;'Energy Efficiency Measures-DBT'!$D$60),'Energy Efficiency Measures-DBT'!$B$60,"")</f>
        <v>, , MG3</v>
      </c>
      <c r="AG8" s="273" t="str">
        <f>IF(AND(J8&gt;'Energy Efficiency Measures-DBT'!$D$58,Y8&gt;'Energy Efficiency Measures-DBT'!$D$58),'Energy Efficiency Measures-DBT'!$B$58,"")&amp;", "&amp;IF(AND(J8&gt;'Energy Efficiency Measures-DBT'!$D$59,Y8&gt;'Energy Efficiency Measures-DBT'!$D$59),'Energy Efficiency Measures-DBT'!$B$59,"")&amp;", "&amp;IF(AND(J8&gt;'Energy Efficiency Measures-DBT'!$D$60,Y8&gt;'Energy Efficiency Measures-DBT'!$D$60),'Energy Efficiency Measures-DBT'!$B$60,"")</f>
        <v>, , MG3</v>
      </c>
    </row>
    <row r="9" spans="1:33">
      <c r="A9" s="28" t="s">
        <v>91</v>
      </c>
      <c r="B9" s="28" t="s">
        <v>62</v>
      </c>
      <c r="C9" s="426"/>
      <c r="D9" s="426" t="s">
        <v>10</v>
      </c>
      <c r="E9" s="498">
        <v>2.5</v>
      </c>
      <c r="F9" s="498">
        <v>2.5</v>
      </c>
      <c r="G9" s="498">
        <v>2.2999999999999998</v>
      </c>
      <c r="H9" s="498">
        <v>1.8</v>
      </c>
      <c r="I9" s="498">
        <v>1.6</v>
      </c>
      <c r="J9" s="499">
        <v>1.5</v>
      </c>
      <c r="K9" s="506">
        <f>SUMPRODUCT('Dwelling stock'!E9:J9,E9:J9)/SUM('Dwelling stock'!E9:J9)</f>
        <v>2.201455617948489</v>
      </c>
      <c r="M9" s="28"/>
      <c r="P9" s="28" t="s">
        <v>62</v>
      </c>
      <c r="Q9" s="86">
        <f>LOOKUP($A9,'Energy Efficiency Measures-DBT'!$D$11:$AN$11,'Energy Efficiency Measures-DBT'!$D$58:$AN$58)</f>
        <v>2.7</v>
      </c>
      <c r="R9" s="86">
        <f>LOOKUP($A9,'Energy Efficiency Measures-DBT'!$D$11:$AN$11,'Energy Efficiency Measures-DBT'!$D$59:$AN$59)</f>
        <v>1.7</v>
      </c>
      <c r="S9" s="223">
        <f>LOOKUP($A9,'Energy Efficiency Measures-DBT'!$D$11:$AN$11,'Energy Efficiency Measures-DBT'!$D$60:$AN$60)</f>
        <v>0.65</v>
      </c>
      <c r="V9" s="28" t="s">
        <v>62</v>
      </c>
      <c r="W9" s="426"/>
      <c r="X9" s="455">
        <v>5</v>
      </c>
      <c r="Y9" s="456">
        <v>5</v>
      </c>
      <c r="Z9" s="455">
        <v>5</v>
      </c>
      <c r="AA9" s="456">
        <v>5</v>
      </c>
      <c r="AB9" s="179" t="str">
        <f>IF(AND(E9&gt;'Energy Efficiency Measures-DBT'!$D$58,Y9&gt;'Energy Efficiency Measures-DBT'!$D$58),'Energy Efficiency Measures-DBT'!$B$58,"")&amp;", "&amp;IF(AND(E9&gt;'Energy Efficiency Measures-DBT'!$D$59,Y9&gt;'Energy Efficiency Measures-DBT'!$D$59),'Energy Efficiency Measures-DBT'!$B$59,"")&amp;", "&amp;IF(AND(E9&gt;'Energy Efficiency Measures-DBT'!$D$60,Y9&gt;'Energy Efficiency Measures-DBT'!$D$60),'Energy Efficiency Measures-DBT'!$B$60,"")</f>
        <v>, MG2, MG3</v>
      </c>
      <c r="AC9" s="164" t="str">
        <f>IF(AND(F9&gt;'Energy Efficiency Measures-DBT'!$D$58,Y9&gt;'Energy Efficiency Measures-DBT'!$D$58),'Energy Efficiency Measures-DBT'!$B$58,"")&amp;", "&amp;IF(AND(F9&gt;'Energy Efficiency Measures-DBT'!$D$59,Y9&gt;'Energy Efficiency Measures-DBT'!$D$59),'Energy Efficiency Measures-DBT'!$B$59,"")&amp;", "&amp;IF(AND(F9&gt;'Energy Efficiency Measures-DBT'!$D$60,Y9&gt;'Energy Efficiency Measures-DBT'!$D$60),'Energy Efficiency Measures-DBT'!$B$60,"")</f>
        <v>, MG2, MG3</v>
      </c>
      <c r="AD9" s="164" t="str">
        <f>IF(AND(G9&gt;'Energy Efficiency Measures-DBT'!$D$58,Y9&gt;'Energy Efficiency Measures-DBT'!$D$58),'Energy Efficiency Measures-DBT'!$B$58,"")&amp;", "&amp;IF(AND(G9&gt;'Energy Efficiency Measures-DBT'!$D$59,Y9&gt;'Energy Efficiency Measures-DBT'!$D$59),'Energy Efficiency Measures-DBT'!$B$59,"")&amp;", "&amp;IF(AND(G9&gt;'Energy Efficiency Measures-DBT'!$D$60,Y9&gt;'Energy Efficiency Measures-DBT'!$D$60),'Energy Efficiency Measures-DBT'!$B$60,"")</f>
        <v>, MG2, MG3</v>
      </c>
      <c r="AE9" s="164" t="str">
        <f>IF(AND(H9&gt;'Energy Efficiency Measures-DBT'!$D$58,Y9&gt;'Energy Efficiency Measures-DBT'!$D$58),'Energy Efficiency Measures-DBT'!$B$58,"")&amp;", "&amp;IF(AND(H9&gt;'Energy Efficiency Measures-DBT'!$D$59,Y9&gt;'Energy Efficiency Measures-DBT'!$D$59),'Energy Efficiency Measures-DBT'!$B$59,"")&amp;", "&amp;IF(AND(H9&gt;'Energy Efficiency Measures-DBT'!$D$60,Y9&gt;'Energy Efficiency Measures-DBT'!$D$60),'Energy Efficiency Measures-DBT'!$B$60,"")</f>
        <v>, MG2, MG3</v>
      </c>
      <c r="AF9" s="164" t="str">
        <f>IF(AND(I9&gt;'Energy Efficiency Measures-DBT'!$D$58,Y9&gt;'Energy Efficiency Measures-DBT'!$D$58),'Energy Efficiency Measures-DBT'!$B$58,"")&amp;", "&amp;IF(AND(I9&gt;'Energy Efficiency Measures-DBT'!$D$59,Y9&gt;'Energy Efficiency Measures-DBT'!$D$59),'Energy Efficiency Measures-DBT'!$B$59,"")&amp;", "&amp;IF(AND(I9&gt;'Energy Efficiency Measures-DBT'!$D$60,Y9&gt;'Energy Efficiency Measures-DBT'!$D$60),'Energy Efficiency Measures-DBT'!$B$60,"")</f>
        <v>, , MG3</v>
      </c>
      <c r="AG9" s="273" t="str">
        <f>IF(AND(J9&gt;'Energy Efficiency Measures-DBT'!$D$58,Y9&gt;'Energy Efficiency Measures-DBT'!$D$58),'Energy Efficiency Measures-DBT'!$B$58,"")&amp;", "&amp;IF(AND(J9&gt;'Energy Efficiency Measures-DBT'!$D$59,Y9&gt;'Energy Efficiency Measures-DBT'!$D$59),'Energy Efficiency Measures-DBT'!$B$59,"")&amp;", "&amp;IF(AND(J9&gt;'Energy Efficiency Measures-DBT'!$D$60,Y9&gt;'Energy Efficiency Measures-DBT'!$D$60),'Energy Efficiency Measures-DBT'!$B$60,"")</f>
        <v>, , MG3</v>
      </c>
    </row>
    <row r="10" spans="1:33">
      <c r="A10" s="48" t="s">
        <v>92</v>
      </c>
      <c r="B10" s="48" t="s">
        <v>15</v>
      </c>
      <c r="C10" s="47" t="s">
        <v>16</v>
      </c>
      <c r="D10" s="47" t="s">
        <v>10</v>
      </c>
      <c r="E10" s="498">
        <v>2.7</v>
      </c>
      <c r="F10" s="498">
        <v>2.7</v>
      </c>
      <c r="G10" s="498">
        <v>5.8</v>
      </c>
      <c r="H10" s="498">
        <v>5.8</v>
      </c>
      <c r="I10" s="498">
        <v>1.6</v>
      </c>
      <c r="J10" s="499">
        <v>2.7</v>
      </c>
      <c r="K10" s="506">
        <f>SUMPRODUCT('Dwelling stock'!E10:J10,E10:J10)/SUM('Dwelling stock'!E10:J10)</f>
        <v>3.5472000646723965</v>
      </c>
      <c r="M10" s="54">
        <v>6</v>
      </c>
      <c r="P10" s="48" t="s">
        <v>15</v>
      </c>
      <c r="Q10" s="86">
        <f>LOOKUP($A10,'Energy Efficiency Measures-DBT'!$D$11:$AN$11,'Energy Efficiency Measures-DBT'!$D$58:$AN$58)</f>
        <v>2.7</v>
      </c>
      <c r="R10" s="86">
        <f>LOOKUP($A10,'Energy Efficiency Measures-DBT'!$D$11:$AN$11,'Energy Efficiency Measures-DBT'!$D$59:$AN$59)</f>
        <v>1.7</v>
      </c>
      <c r="S10" s="223">
        <f>LOOKUP($A10,'Energy Efficiency Measures-DBT'!$D$11:$AN$11,'Energy Efficiency Measures-DBT'!$D$60:$AN$60)</f>
        <v>0.65</v>
      </c>
      <c r="V10" s="48" t="s">
        <v>15</v>
      </c>
      <c r="W10" s="47"/>
      <c r="X10" s="455">
        <v>5</v>
      </c>
      <c r="Y10" s="456">
        <v>5</v>
      </c>
      <c r="Z10" s="455">
        <v>5</v>
      </c>
      <c r="AA10" s="456">
        <v>5</v>
      </c>
      <c r="AB10" s="179" t="str">
        <f>IF(AND(E10&gt;'Energy Efficiency Measures-DBT'!$D$58,Y10&gt;'Energy Efficiency Measures-DBT'!$D$58),'Energy Efficiency Measures-DBT'!$B$58,"")&amp;", "&amp;IF(AND(E10&gt;'Energy Efficiency Measures-DBT'!$D$59,Y10&gt;'Energy Efficiency Measures-DBT'!$D$59),'Energy Efficiency Measures-DBT'!$B$59,"")&amp;", "&amp;IF(AND(E10&gt;'Energy Efficiency Measures-DBT'!$D$60,Y10&gt;'Energy Efficiency Measures-DBT'!$D$60),'Energy Efficiency Measures-DBT'!$B$60,"")</f>
        <v>, MG2, MG3</v>
      </c>
      <c r="AC10" s="164" t="str">
        <f>IF(AND(F10&gt;'Energy Efficiency Measures-DBT'!$D$58,Y10&gt;'Energy Efficiency Measures-DBT'!$D$58),'Energy Efficiency Measures-DBT'!$B$58,"")&amp;", "&amp;IF(AND(F10&gt;'Energy Efficiency Measures-DBT'!$D$59,Y10&gt;'Energy Efficiency Measures-DBT'!$D$59),'Energy Efficiency Measures-DBT'!$B$59,"")&amp;", "&amp;IF(AND(F10&gt;'Energy Efficiency Measures-DBT'!$D$60,Y10&gt;'Energy Efficiency Measures-DBT'!$D$60),'Energy Efficiency Measures-DBT'!$B$60,"")</f>
        <v>, MG2, MG3</v>
      </c>
      <c r="AD10" s="164" t="str">
        <f>IF(AND(G10&gt;'Energy Efficiency Measures-DBT'!$D$58,Y10&gt;'Energy Efficiency Measures-DBT'!$D$58),'Energy Efficiency Measures-DBT'!$B$58,"")&amp;", "&amp;IF(AND(G10&gt;'Energy Efficiency Measures-DBT'!$D$59,Y10&gt;'Energy Efficiency Measures-DBT'!$D$59),'Energy Efficiency Measures-DBT'!$B$59,"")&amp;", "&amp;IF(AND(G10&gt;'Energy Efficiency Measures-DBT'!$D$60,Y10&gt;'Energy Efficiency Measures-DBT'!$D$60),'Energy Efficiency Measures-DBT'!$B$60,"")</f>
        <v>MG1, MG2, MG3</v>
      </c>
      <c r="AE10" s="164" t="str">
        <f>IF(AND(H10&gt;'Energy Efficiency Measures-DBT'!$D$58,Y10&gt;'Energy Efficiency Measures-DBT'!$D$58),'Energy Efficiency Measures-DBT'!$B$58,"")&amp;", "&amp;IF(AND(H10&gt;'Energy Efficiency Measures-DBT'!$D$59,Y10&gt;'Energy Efficiency Measures-DBT'!$D$59),'Energy Efficiency Measures-DBT'!$B$59,"")&amp;", "&amp;IF(AND(H10&gt;'Energy Efficiency Measures-DBT'!$D$60,Y10&gt;'Energy Efficiency Measures-DBT'!$D$60),'Energy Efficiency Measures-DBT'!$B$60,"")</f>
        <v>MG1, MG2, MG3</v>
      </c>
      <c r="AF10" s="164" t="str">
        <f>IF(AND(I10&gt;'Energy Efficiency Measures-DBT'!$D$58,Y10&gt;'Energy Efficiency Measures-DBT'!$D$58),'Energy Efficiency Measures-DBT'!$B$58,"")&amp;", "&amp;IF(AND(I10&gt;'Energy Efficiency Measures-DBT'!$D$59,Y10&gt;'Energy Efficiency Measures-DBT'!$D$59),'Energy Efficiency Measures-DBT'!$B$59,"")&amp;", "&amp;IF(AND(I10&gt;'Energy Efficiency Measures-DBT'!$D$60,Y10&gt;'Energy Efficiency Measures-DBT'!$D$60),'Energy Efficiency Measures-DBT'!$B$60,"")</f>
        <v>, , MG3</v>
      </c>
      <c r="AG10" s="273" t="str">
        <f>IF(AND(J10&gt;'Energy Efficiency Measures-DBT'!$D$58,Y10&gt;'Energy Efficiency Measures-DBT'!$D$58),'Energy Efficiency Measures-DBT'!$B$58,"")&amp;", "&amp;IF(AND(J10&gt;'Energy Efficiency Measures-DBT'!$D$59,Y10&gt;'Energy Efficiency Measures-DBT'!$D$59),'Energy Efficiency Measures-DBT'!$B$59,"")&amp;", "&amp;IF(AND(J10&gt;'Energy Efficiency Measures-DBT'!$D$60,Y10&gt;'Energy Efficiency Measures-DBT'!$D$60),'Energy Efficiency Measures-DBT'!$B$60,"")</f>
        <v>, MG2, MG3</v>
      </c>
    </row>
    <row r="11" spans="1:33">
      <c r="A11" s="48" t="s">
        <v>93</v>
      </c>
      <c r="B11" s="48" t="s">
        <v>18</v>
      </c>
      <c r="C11" s="47" t="s">
        <v>19</v>
      </c>
      <c r="D11" s="47" t="s">
        <v>10</v>
      </c>
      <c r="E11" s="498">
        <v>2.8</v>
      </c>
      <c r="F11" s="498">
        <v>2.8</v>
      </c>
      <c r="G11" s="498">
        <v>2.8</v>
      </c>
      <c r="H11" s="498">
        <v>2.8</v>
      </c>
      <c r="I11" s="498">
        <v>2.4</v>
      </c>
      <c r="J11" s="499">
        <v>1.7</v>
      </c>
      <c r="K11" s="506">
        <f>SUMPRODUCT('Dwelling stock'!E11:J11,E11:J11)/SUM('Dwelling stock'!E11:J11)</f>
        <v>2.7010980417731028</v>
      </c>
      <c r="M11" s="54">
        <v>2.7092200000000002</v>
      </c>
      <c r="P11" s="48" t="s">
        <v>18</v>
      </c>
      <c r="Q11" s="86">
        <f>LOOKUP($A11,'Energy Efficiency Measures-DBT'!$D$11:$AN$11,'Energy Efficiency Measures-DBT'!$D$58:$AN$58)</f>
        <v>2.7</v>
      </c>
      <c r="R11" s="86">
        <f>LOOKUP($A11,'Energy Efficiency Measures-DBT'!$D$11:$AN$11,'Energy Efficiency Measures-DBT'!$D$59:$AN$59)</f>
        <v>1.7</v>
      </c>
      <c r="S11" s="223">
        <f>LOOKUP($A11,'Energy Efficiency Measures-DBT'!$D$11:$AN$11,'Energy Efficiency Measures-DBT'!$D$60:$AN$60)</f>
        <v>0.65</v>
      </c>
      <c r="V11" s="48" t="s">
        <v>18</v>
      </c>
      <c r="W11" s="47" t="s">
        <v>283</v>
      </c>
      <c r="X11" s="428">
        <v>1.5</v>
      </c>
      <c r="Y11" s="430">
        <f>X11</f>
        <v>1.5</v>
      </c>
      <c r="Z11" s="428">
        <f>X11</f>
        <v>1.5</v>
      </c>
      <c r="AA11" s="430">
        <f>Z11</f>
        <v>1.5</v>
      </c>
      <c r="AB11" s="179" t="str">
        <f>IF(AND(E11&gt;'Energy Efficiency Measures-DBT'!$D$58,Y11&gt;'Energy Efficiency Measures-DBT'!$D$58),'Energy Efficiency Measures-DBT'!$B$58,"")&amp;", "&amp;IF(AND(E11&gt;'Energy Efficiency Measures-DBT'!$D$59,Y11&gt;'Energy Efficiency Measures-DBT'!$D$59),'Energy Efficiency Measures-DBT'!$B$59,"")&amp;", "&amp;IF(AND(E11&gt;'Energy Efficiency Measures-DBT'!$D$60,Y11&gt;'Energy Efficiency Measures-DBT'!$D$60),'Energy Efficiency Measures-DBT'!$B$60,"")</f>
        <v>, , MG3</v>
      </c>
      <c r="AC11" s="164" t="str">
        <f>IF(AND(F11&gt;'Energy Efficiency Measures-DBT'!$D$58,Y11&gt;'Energy Efficiency Measures-DBT'!$D$58),'Energy Efficiency Measures-DBT'!$B$58,"")&amp;", "&amp;IF(AND(F11&gt;'Energy Efficiency Measures-DBT'!$D$59,Y11&gt;'Energy Efficiency Measures-DBT'!$D$59),'Energy Efficiency Measures-DBT'!$B$59,"")&amp;", "&amp;IF(AND(F11&gt;'Energy Efficiency Measures-DBT'!$D$60,Y11&gt;'Energy Efficiency Measures-DBT'!$D$60),'Energy Efficiency Measures-DBT'!$B$60,"")</f>
        <v>, , MG3</v>
      </c>
      <c r="AD11" s="164" t="str">
        <f>IF(AND(G11&gt;'Energy Efficiency Measures-DBT'!$D$58,Y11&gt;'Energy Efficiency Measures-DBT'!$D$58),'Energy Efficiency Measures-DBT'!$B$58,"")&amp;", "&amp;IF(AND(G11&gt;'Energy Efficiency Measures-DBT'!$D$59,Y11&gt;'Energy Efficiency Measures-DBT'!$D$59),'Energy Efficiency Measures-DBT'!$B$59,"")&amp;", "&amp;IF(AND(G11&gt;'Energy Efficiency Measures-DBT'!$D$60,Y11&gt;'Energy Efficiency Measures-DBT'!$D$60),'Energy Efficiency Measures-DBT'!$B$60,"")</f>
        <v>, , MG3</v>
      </c>
      <c r="AE11" s="164" t="str">
        <f>IF(AND(H11&gt;'Energy Efficiency Measures-DBT'!$D$58,Y11&gt;'Energy Efficiency Measures-DBT'!$D$58),'Energy Efficiency Measures-DBT'!$B$58,"")&amp;", "&amp;IF(AND(H11&gt;'Energy Efficiency Measures-DBT'!$D$59,Y11&gt;'Energy Efficiency Measures-DBT'!$D$59),'Energy Efficiency Measures-DBT'!$B$59,"")&amp;", "&amp;IF(AND(H11&gt;'Energy Efficiency Measures-DBT'!$D$60,Y11&gt;'Energy Efficiency Measures-DBT'!$D$60),'Energy Efficiency Measures-DBT'!$B$60,"")</f>
        <v>, , MG3</v>
      </c>
      <c r="AF11" s="164" t="str">
        <f>IF(AND(I11&gt;'Energy Efficiency Measures-DBT'!$D$58,Y11&gt;'Energy Efficiency Measures-DBT'!$D$58),'Energy Efficiency Measures-DBT'!$B$58,"")&amp;", "&amp;IF(AND(I11&gt;'Energy Efficiency Measures-DBT'!$D$59,Y11&gt;'Energy Efficiency Measures-DBT'!$D$59),'Energy Efficiency Measures-DBT'!$B$59,"")&amp;", "&amp;IF(AND(I11&gt;'Energy Efficiency Measures-DBT'!$D$60,Y11&gt;'Energy Efficiency Measures-DBT'!$D$60),'Energy Efficiency Measures-DBT'!$B$60,"")</f>
        <v>, , MG3</v>
      </c>
      <c r="AG11" s="273" t="str">
        <f>IF(AND(J11&gt;'Energy Efficiency Measures-DBT'!$D$58,Y11&gt;'Energy Efficiency Measures-DBT'!$D$58),'Energy Efficiency Measures-DBT'!$B$58,"")&amp;", "&amp;IF(AND(J11&gt;'Energy Efficiency Measures-DBT'!$D$59,Y11&gt;'Energy Efficiency Measures-DBT'!$D$59),'Energy Efficiency Measures-DBT'!$B$59,"")&amp;", "&amp;IF(AND(J11&gt;'Energy Efficiency Measures-DBT'!$D$60,Y11&gt;'Energy Efficiency Measures-DBT'!$D$60),'Energy Efficiency Measures-DBT'!$B$60,"")</f>
        <v>, , MG3</v>
      </c>
    </row>
    <row r="12" spans="1:33">
      <c r="A12" s="48" t="s">
        <v>94</v>
      </c>
      <c r="B12" s="48" t="s">
        <v>26</v>
      </c>
      <c r="C12" s="47" t="s">
        <v>27</v>
      </c>
      <c r="D12" s="47" t="s">
        <v>10</v>
      </c>
      <c r="E12" s="498">
        <v>3.506672</v>
      </c>
      <c r="F12" s="498">
        <v>2.6558670000000002</v>
      </c>
      <c r="G12" s="498">
        <v>2.8</v>
      </c>
      <c r="H12" s="498">
        <v>2.57</v>
      </c>
      <c r="I12" s="498">
        <v>1.6</v>
      </c>
      <c r="J12" s="499">
        <v>1.6</v>
      </c>
      <c r="K12" s="506">
        <f>SUMPRODUCT('Dwelling stock'!E12:J12,E12:J12)/SUM('Dwelling stock'!E12:J12)</f>
        <v>2.6765046104993124</v>
      </c>
      <c r="M12" s="54">
        <v>2.871588</v>
      </c>
      <c r="P12" s="48" t="s">
        <v>26</v>
      </c>
      <c r="Q12" s="86">
        <f>LOOKUP($A12,'Energy Efficiency Measures-DBT'!$D$11:$AN$11,'Energy Efficiency Measures-DBT'!$D$58:$AN$58)</f>
        <v>2.7</v>
      </c>
      <c r="R12" s="86">
        <f>LOOKUP($A12,'Energy Efficiency Measures-DBT'!$D$11:$AN$11,'Energy Efficiency Measures-DBT'!$D$59:$AN$59)</f>
        <v>1.7</v>
      </c>
      <c r="S12" s="223">
        <f>LOOKUP($A12,'Energy Efficiency Measures-DBT'!$D$11:$AN$11,'Energy Efficiency Measures-DBT'!$D$60:$AN$60)</f>
        <v>0.65</v>
      </c>
      <c r="V12" s="48" t="s">
        <v>26</v>
      </c>
      <c r="W12" s="47" t="s">
        <v>283</v>
      </c>
      <c r="X12" s="428">
        <v>1.3</v>
      </c>
      <c r="Y12" s="430">
        <f>X12</f>
        <v>1.3</v>
      </c>
      <c r="Z12" s="428">
        <f>X12</f>
        <v>1.3</v>
      </c>
      <c r="AA12" s="430">
        <f>Z12</f>
        <v>1.3</v>
      </c>
      <c r="AB12" s="179" t="str">
        <f>IF(AND(E12&gt;'Energy Efficiency Measures-DBT'!$D$58,Y12&gt;'Energy Efficiency Measures-DBT'!$D$58),'Energy Efficiency Measures-DBT'!$B$58,"")&amp;", "&amp;IF(AND(E12&gt;'Energy Efficiency Measures-DBT'!$D$59,Y12&gt;'Energy Efficiency Measures-DBT'!$D$59),'Energy Efficiency Measures-DBT'!$B$59,"")&amp;", "&amp;IF(AND(E12&gt;'Energy Efficiency Measures-DBT'!$D$60,Y12&gt;'Energy Efficiency Measures-DBT'!$D$60),'Energy Efficiency Measures-DBT'!$B$60,"")</f>
        <v>, , MG3</v>
      </c>
      <c r="AC12" s="164" t="str">
        <f>IF(AND(F12&gt;'Energy Efficiency Measures-DBT'!$D$58,Y12&gt;'Energy Efficiency Measures-DBT'!$D$58),'Energy Efficiency Measures-DBT'!$B$58,"")&amp;", "&amp;IF(AND(F12&gt;'Energy Efficiency Measures-DBT'!$D$59,Y12&gt;'Energy Efficiency Measures-DBT'!$D$59),'Energy Efficiency Measures-DBT'!$B$59,"")&amp;", "&amp;IF(AND(F12&gt;'Energy Efficiency Measures-DBT'!$D$60,Y12&gt;'Energy Efficiency Measures-DBT'!$D$60),'Energy Efficiency Measures-DBT'!$B$60,"")</f>
        <v>, , MG3</v>
      </c>
      <c r="AD12" s="164" t="str">
        <f>IF(AND(G12&gt;'Energy Efficiency Measures-DBT'!$D$58,Y12&gt;'Energy Efficiency Measures-DBT'!$D$58),'Energy Efficiency Measures-DBT'!$B$58,"")&amp;", "&amp;IF(AND(G12&gt;'Energy Efficiency Measures-DBT'!$D$59,Y12&gt;'Energy Efficiency Measures-DBT'!$D$59),'Energy Efficiency Measures-DBT'!$B$59,"")&amp;", "&amp;IF(AND(G12&gt;'Energy Efficiency Measures-DBT'!$D$60,Y12&gt;'Energy Efficiency Measures-DBT'!$D$60),'Energy Efficiency Measures-DBT'!$B$60,"")</f>
        <v>, , MG3</v>
      </c>
      <c r="AE12" s="164" t="str">
        <f>IF(AND(H12&gt;'Energy Efficiency Measures-DBT'!$D$58,Y12&gt;'Energy Efficiency Measures-DBT'!$D$58),'Energy Efficiency Measures-DBT'!$B$58,"")&amp;", "&amp;IF(AND(H12&gt;'Energy Efficiency Measures-DBT'!$D$59,Y12&gt;'Energy Efficiency Measures-DBT'!$D$59),'Energy Efficiency Measures-DBT'!$B$59,"")&amp;", "&amp;IF(AND(H12&gt;'Energy Efficiency Measures-DBT'!$D$60,Y12&gt;'Energy Efficiency Measures-DBT'!$D$60),'Energy Efficiency Measures-DBT'!$B$60,"")</f>
        <v>, , MG3</v>
      </c>
      <c r="AF12" s="164" t="str">
        <f>IF(AND(I12&gt;'Energy Efficiency Measures-DBT'!$D$58,Y12&gt;'Energy Efficiency Measures-DBT'!$D$58),'Energy Efficiency Measures-DBT'!$B$58,"")&amp;", "&amp;IF(AND(I12&gt;'Energy Efficiency Measures-DBT'!$D$59,Y12&gt;'Energy Efficiency Measures-DBT'!$D$59),'Energy Efficiency Measures-DBT'!$B$59,"")&amp;", "&amp;IF(AND(I12&gt;'Energy Efficiency Measures-DBT'!$D$60,Y12&gt;'Energy Efficiency Measures-DBT'!$D$60),'Energy Efficiency Measures-DBT'!$B$60,"")</f>
        <v>, , MG3</v>
      </c>
      <c r="AG12" s="273" t="str">
        <f>IF(AND(J12&gt;'Energy Efficiency Measures-DBT'!$D$58,Y12&gt;'Energy Efficiency Measures-DBT'!$D$58),'Energy Efficiency Measures-DBT'!$B$58,"")&amp;", "&amp;IF(AND(J12&gt;'Energy Efficiency Measures-DBT'!$D$59,Y12&gt;'Energy Efficiency Measures-DBT'!$D$59),'Energy Efficiency Measures-DBT'!$B$59,"")&amp;", "&amp;IF(AND(J12&gt;'Energy Efficiency Measures-DBT'!$D$60,Y12&gt;'Energy Efficiency Measures-DBT'!$D$60),'Energy Efficiency Measures-DBT'!$B$60,"")</f>
        <v>, , MG3</v>
      </c>
    </row>
    <row r="13" spans="1:33">
      <c r="A13" s="48" t="s">
        <v>95</v>
      </c>
      <c r="B13" s="48" t="s">
        <v>20</v>
      </c>
      <c r="C13" s="47" t="s">
        <v>21</v>
      </c>
      <c r="D13" s="47" t="s">
        <v>10</v>
      </c>
      <c r="E13" s="498">
        <v>2.5385490000000002</v>
      </c>
      <c r="F13" s="498">
        <v>2.5</v>
      </c>
      <c r="G13" s="498">
        <v>2.4700000000000002</v>
      </c>
      <c r="H13" s="498">
        <v>2.38</v>
      </c>
      <c r="I13" s="498">
        <v>2.38</v>
      </c>
      <c r="J13" s="499">
        <v>1.710588</v>
      </c>
      <c r="K13" s="506">
        <f>SUMPRODUCT('Dwelling stock'!E13:J13,E13:J13)/SUM('Dwelling stock'!E13:J13)</f>
        <v>2.424250762566114</v>
      </c>
      <c r="M13" s="54">
        <v>2.4559419999999998</v>
      </c>
      <c r="P13" s="48" t="s">
        <v>20</v>
      </c>
      <c r="Q13" s="86">
        <f>LOOKUP($A13,'Energy Efficiency Measures-DBT'!$D$11:$AN$11,'Energy Efficiency Measures-DBT'!$D$58:$AN$58)</f>
        <v>2.7</v>
      </c>
      <c r="R13" s="86">
        <f>LOOKUP($A13,'Energy Efficiency Measures-DBT'!$D$11:$AN$11,'Energy Efficiency Measures-DBT'!$D$59:$AN$59)</f>
        <v>1.7</v>
      </c>
      <c r="S13" s="223">
        <f>LOOKUP($A13,'Energy Efficiency Measures-DBT'!$D$11:$AN$11,'Energy Efficiency Measures-DBT'!$D$60:$AN$60)</f>
        <v>0.65</v>
      </c>
      <c r="V13" s="48" t="s">
        <v>20</v>
      </c>
      <c r="W13" s="47"/>
      <c r="X13" s="455">
        <v>5</v>
      </c>
      <c r="Y13" s="456">
        <v>5</v>
      </c>
      <c r="Z13" s="455">
        <v>5</v>
      </c>
      <c r="AA13" s="456">
        <v>5</v>
      </c>
      <c r="AB13" s="179" t="str">
        <f>IF(AND(E13&gt;'Energy Efficiency Measures-DBT'!$D$58,Y13&gt;'Energy Efficiency Measures-DBT'!$D$58),'Energy Efficiency Measures-DBT'!$B$58,"")&amp;", "&amp;IF(AND(E13&gt;'Energy Efficiency Measures-DBT'!$D$59,Y13&gt;'Energy Efficiency Measures-DBT'!$D$59),'Energy Efficiency Measures-DBT'!$B$59,"")&amp;", "&amp;IF(AND(E13&gt;'Energy Efficiency Measures-DBT'!$D$60,Y13&gt;'Energy Efficiency Measures-DBT'!$D$60),'Energy Efficiency Measures-DBT'!$B$60,"")</f>
        <v>, MG2, MG3</v>
      </c>
      <c r="AC13" s="164" t="str">
        <f>IF(AND(F13&gt;'Energy Efficiency Measures-DBT'!$D$58,Y13&gt;'Energy Efficiency Measures-DBT'!$D$58),'Energy Efficiency Measures-DBT'!$B$58,"")&amp;", "&amp;IF(AND(F13&gt;'Energy Efficiency Measures-DBT'!$D$59,Y13&gt;'Energy Efficiency Measures-DBT'!$D$59),'Energy Efficiency Measures-DBT'!$B$59,"")&amp;", "&amp;IF(AND(F13&gt;'Energy Efficiency Measures-DBT'!$D$60,Y13&gt;'Energy Efficiency Measures-DBT'!$D$60),'Energy Efficiency Measures-DBT'!$B$60,"")</f>
        <v>, MG2, MG3</v>
      </c>
      <c r="AD13" s="164" t="str">
        <f>IF(AND(G13&gt;'Energy Efficiency Measures-DBT'!$D$58,Y13&gt;'Energy Efficiency Measures-DBT'!$D$58),'Energy Efficiency Measures-DBT'!$B$58,"")&amp;", "&amp;IF(AND(G13&gt;'Energy Efficiency Measures-DBT'!$D$59,Y13&gt;'Energy Efficiency Measures-DBT'!$D$59),'Energy Efficiency Measures-DBT'!$B$59,"")&amp;", "&amp;IF(AND(G13&gt;'Energy Efficiency Measures-DBT'!$D$60,Y13&gt;'Energy Efficiency Measures-DBT'!$D$60),'Energy Efficiency Measures-DBT'!$B$60,"")</f>
        <v>, MG2, MG3</v>
      </c>
      <c r="AE13" s="164" t="str">
        <f>IF(AND(H13&gt;'Energy Efficiency Measures-DBT'!$D$58,Y13&gt;'Energy Efficiency Measures-DBT'!$D$58),'Energy Efficiency Measures-DBT'!$B$58,"")&amp;", "&amp;IF(AND(H13&gt;'Energy Efficiency Measures-DBT'!$D$59,Y13&gt;'Energy Efficiency Measures-DBT'!$D$59),'Energy Efficiency Measures-DBT'!$B$59,"")&amp;", "&amp;IF(AND(H13&gt;'Energy Efficiency Measures-DBT'!$D$60,Y13&gt;'Energy Efficiency Measures-DBT'!$D$60),'Energy Efficiency Measures-DBT'!$B$60,"")</f>
        <v>, MG2, MG3</v>
      </c>
      <c r="AF13" s="164" t="str">
        <f>IF(AND(I13&gt;'Energy Efficiency Measures-DBT'!$D$58,Y13&gt;'Energy Efficiency Measures-DBT'!$D$58),'Energy Efficiency Measures-DBT'!$B$58,"")&amp;", "&amp;IF(AND(I13&gt;'Energy Efficiency Measures-DBT'!$D$59,Y13&gt;'Energy Efficiency Measures-DBT'!$D$59),'Energy Efficiency Measures-DBT'!$B$59,"")&amp;", "&amp;IF(AND(I13&gt;'Energy Efficiency Measures-DBT'!$D$60,Y13&gt;'Energy Efficiency Measures-DBT'!$D$60),'Energy Efficiency Measures-DBT'!$B$60,"")</f>
        <v>, MG2, MG3</v>
      </c>
      <c r="AG13" s="273" t="str">
        <f>IF(AND(J13&gt;'Energy Efficiency Measures-DBT'!$D$58,Y13&gt;'Energy Efficiency Measures-DBT'!$D$58),'Energy Efficiency Measures-DBT'!$B$58,"")&amp;", "&amp;IF(AND(J13&gt;'Energy Efficiency Measures-DBT'!$D$59,Y13&gt;'Energy Efficiency Measures-DBT'!$D$59),'Energy Efficiency Measures-DBT'!$B$59,"")&amp;", "&amp;IF(AND(J13&gt;'Energy Efficiency Measures-DBT'!$D$60,Y13&gt;'Energy Efficiency Measures-DBT'!$D$60),'Energy Efficiency Measures-DBT'!$B$60,"")</f>
        <v>, MG2, MG3</v>
      </c>
    </row>
    <row r="14" spans="1:33">
      <c r="A14" s="48" t="s">
        <v>96</v>
      </c>
      <c r="B14" s="48" t="s">
        <v>22</v>
      </c>
      <c r="C14" s="47" t="s">
        <v>23</v>
      </c>
      <c r="D14" s="47" t="s">
        <v>10</v>
      </c>
      <c r="E14" s="498">
        <v>1.7250000000000001</v>
      </c>
      <c r="F14" s="498">
        <v>1.7250000000000001</v>
      </c>
      <c r="G14" s="498">
        <v>1.7250000000000001</v>
      </c>
      <c r="H14" s="498">
        <v>1.1125</v>
      </c>
      <c r="I14" s="498">
        <v>1.05</v>
      </c>
      <c r="J14" s="499">
        <v>1.05</v>
      </c>
      <c r="K14" s="506">
        <f>SUMPRODUCT('Dwelling stock'!E14:J14,E14:J14)/SUM('Dwelling stock'!E14:J14)</f>
        <v>1.5217004876116447</v>
      </c>
      <c r="M14" s="54">
        <v>1.5393209999999999</v>
      </c>
      <c r="P14" s="48" t="s">
        <v>22</v>
      </c>
      <c r="Q14" s="86">
        <f>LOOKUP($A14,'Energy Efficiency Measures-DBT'!$D$11:$AN$11,'Energy Efficiency Measures-DBT'!$D$58:$AN$58)</f>
        <v>2.7</v>
      </c>
      <c r="R14" s="86">
        <f>LOOKUP($A14,'Energy Efficiency Measures-DBT'!$D$11:$AN$11,'Energy Efficiency Measures-DBT'!$D$59:$AN$59)</f>
        <v>1.7</v>
      </c>
      <c r="S14" s="223">
        <f>LOOKUP($A14,'Energy Efficiency Measures-DBT'!$D$11:$AN$11,'Energy Efficiency Measures-DBT'!$D$60:$AN$60)</f>
        <v>0.65</v>
      </c>
      <c r="V14" s="48" t="s">
        <v>22</v>
      </c>
      <c r="W14" s="47"/>
      <c r="X14" s="455">
        <v>5</v>
      </c>
      <c r="Y14" s="456">
        <v>5</v>
      </c>
      <c r="Z14" s="455">
        <v>5</v>
      </c>
      <c r="AA14" s="456">
        <v>5</v>
      </c>
      <c r="AB14" s="179" t="str">
        <f>IF(AND(E14&gt;'Energy Efficiency Measures-DBT'!$D$58,Y14&gt;'Energy Efficiency Measures-DBT'!$D$58),'Energy Efficiency Measures-DBT'!$B$58,"")&amp;", "&amp;IF(AND(E14&gt;'Energy Efficiency Measures-DBT'!$D$59,Y14&gt;'Energy Efficiency Measures-DBT'!$D$59),'Energy Efficiency Measures-DBT'!$B$59,"")&amp;", "&amp;IF(AND(E14&gt;'Energy Efficiency Measures-DBT'!$D$60,Y14&gt;'Energy Efficiency Measures-DBT'!$D$60),'Energy Efficiency Measures-DBT'!$B$60,"")</f>
        <v>, MG2, MG3</v>
      </c>
      <c r="AC14" s="164" t="str">
        <f>IF(AND(F14&gt;'Energy Efficiency Measures-DBT'!$D$58,Y14&gt;'Energy Efficiency Measures-DBT'!$D$58),'Energy Efficiency Measures-DBT'!$B$58,"")&amp;", "&amp;IF(AND(F14&gt;'Energy Efficiency Measures-DBT'!$D$59,Y14&gt;'Energy Efficiency Measures-DBT'!$D$59),'Energy Efficiency Measures-DBT'!$B$59,"")&amp;", "&amp;IF(AND(F14&gt;'Energy Efficiency Measures-DBT'!$D$60,Y14&gt;'Energy Efficiency Measures-DBT'!$D$60),'Energy Efficiency Measures-DBT'!$B$60,"")</f>
        <v>, MG2, MG3</v>
      </c>
      <c r="AD14" s="164" t="str">
        <f>IF(AND(G14&gt;'Energy Efficiency Measures-DBT'!$D$58,Y14&gt;'Energy Efficiency Measures-DBT'!$D$58),'Energy Efficiency Measures-DBT'!$B$58,"")&amp;", "&amp;IF(AND(G14&gt;'Energy Efficiency Measures-DBT'!$D$59,Y14&gt;'Energy Efficiency Measures-DBT'!$D$59),'Energy Efficiency Measures-DBT'!$B$59,"")&amp;", "&amp;IF(AND(G14&gt;'Energy Efficiency Measures-DBT'!$D$60,Y14&gt;'Energy Efficiency Measures-DBT'!$D$60),'Energy Efficiency Measures-DBT'!$B$60,"")</f>
        <v>, MG2, MG3</v>
      </c>
      <c r="AE14" s="164" t="str">
        <f>IF(AND(H14&gt;'Energy Efficiency Measures-DBT'!$D$58,Y14&gt;'Energy Efficiency Measures-DBT'!$D$58),'Energy Efficiency Measures-DBT'!$B$58,"")&amp;", "&amp;IF(AND(H14&gt;'Energy Efficiency Measures-DBT'!$D$59,Y14&gt;'Energy Efficiency Measures-DBT'!$D$59),'Energy Efficiency Measures-DBT'!$B$59,"")&amp;", "&amp;IF(AND(H14&gt;'Energy Efficiency Measures-DBT'!$D$60,Y14&gt;'Energy Efficiency Measures-DBT'!$D$60),'Energy Efficiency Measures-DBT'!$B$60,"")</f>
        <v>, , MG3</v>
      </c>
      <c r="AF14" s="164" t="str">
        <f>IF(AND(I14&gt;'Energy Efficiency Measures-DBT'!$D$58,Y14&gt;'Energy Efficiency Measures-DBT'!$D$58),'Energy Efficiency Measures-DBT'!$B$58,"")&amp;", "&amp;IF(AND(I14&gt;'Energy Efficiency Measures-DBT'!$D$59,Y14&gt;'Energy Efficiency Measures-DBT'!$D$59),'Energy Efficiency Measures-DBT'!$B$59,"")&amp;", "&amp;IF(AND(I14&gt;'Energy Efficiency Measures-DBT'!$D$60,Y14&gt;'Energy Efficiency Measures-DBT'!$D$60),'Energy Efficiency Measures-DBT'!$B$60,"")</f>
        <v>, , MG3</v>
      </c>
      <c r="AG14" s="273" t="str">
        <f>IF(AND(J14&gt;'Energy Efficiency Measures-DBT'!$D$58,Y14&gt;'Energy Efficiency Measures-DBT'!$D$58),'Energy Efficiency Measures-DBT'!$B$58,"")&amp;", "&amp;IF(AND(J14&gt;'Energy Efficiency Measures-DBT'!$D$59,Y14&gt;'Energy Efficiency Measures-DBT'!$D$59),'Energy Efficiency Measures-DBT'!$B$59,"")&amp;", "&amp;IF(AND(J14&gt;'Energy Efficiency Measures-DBT'!$D$60,Y14&gt;'Energy Efficiency Measures-DBT'!$D$60),'Energy Efficiency Measures-DBT'!$B$60,"")</f>
        <v>, , MG3</v>
      </c>
    </row>
    <row r="15" spans="1:33">
      <c r="A15" s="48" t="s">
        <v>205</v>
      </c>
      <c r="B15" s="48" t="s">
        <v>28</v>
      </c>
      <c r="C15" s="47" t="s">
        <v>29</v>
      </c>
      <c r="D15" s="47" t="s">
        <v>10</v>
      </c>
      <c r="E15" s="498">
        <v>3.124209</v>
      </c>
      <c r="F15" s="498">
        <v>3.124209</v>
      </c>
      <c r="G15" s="498">
        <v>3.124209</v>
      </c>
      <c r="H15" s="498">
        <v>3.124209</v>
      </c>
      <c r="I15" s="498">
        <v>3.124209</v>
      </c>
      <c r="J15" s="499">
        <v>3.124209</v>
      </c>
      <c r="K15" s="506">
        <f>SUMPRODUCT('Dwelling stock'!E15:J15,E15:J15)/SUM('Dwelling stock'!E15:J15)</f>
        <v>3.124209</v>
      </c>
      <c r="M15" s="54" t="s">
        <v>17</v>
      </c>
      <c r="P15" s="48" t="s">
        <v>28</v>
      </c>
      <c r="Q15" s="86">
        <f>LOOKUP($A15,'Energy Efficiency Measures-DBT'!$D$11:$AN$11,'Energy Efficiency Measures-DBT'!$D$58:$AN$58)</f>
        <v>2.7</v>
      </c>
      <c r="R15" s="86">
        <f>LOOKUP($A15,'Energy Efficiency Measures-DBT'!$D$11:$AN$11,'Energy Efficiency Measures-DBT'!$D$59:$AN$59)</f>
        <v>1.7</v>
      </c>
      <c r="S15" s="223">
        <f>LOOKUP($A15,'Energy Efficiency Measures-DBT'!$D$11:$AN$11,'Energy Efficiency Measures-DBT'!$D$60:$AN$60)</f>
        <v>0.65</v>
      </c>
      <c r="V15" s="48" t="s">
        <v>28</v>
      </c>
      <c r="W15" s="47"/>
      <c r="X15" s="455">
        <v>5</v>
      </c>
      <c r="Y15" s="456">
        <v>5</v>
      </c>
      <c r="Z15" s="455">
        <v>5</v>
      </c>
      <c r="AA15" s="456">
        <v>5</v>
      </c>
      <c r="AB15" s="179" t="str">
        <f>IF(AND(E15&gt;'Energy Efficiency Measures-DBT'!$D$58,Y15&gt;'Energy Efficiency Measures-DBT'!$D$58),'Energy Efficiency Measures-DBT'!$B$58,"")&amp;", "&amp;IF(AND(E15&gt;'Energy Efficiency Measures-DBT'!$D$59,Y15&gt;'Energy Efficiency Measures-DBT'!$D$59),'Energy Efficiency Measures-DBT'!$B$59,"")&amp;", "&amp;IF(AND(E15&gt;'Energy Efficiency Measures-DBT'!$D$60,Y15&gt;'Energy Efficiency Measures-DBT'!$D$60),'Energy Efficiency Measures-DBT'!$B$60,"")</f>
        <v>MG1, MG2, MG3</v>
      </c>
      <c r="AC15" s="164" t="str">
        <f>IF(AND(F15&gt;'Energy Efficiency Measures-DBT'!$D$58,Y15&gt;'Energy Efficiency Measures-DBT'!$D$58),'Energy Efficiency Measures-DBT'!$B$58,"")&amp;", "&amp;IF(AND(F15&gt;'Energy Efficiency Measures-DBT'!$D$59,Y15&gt;'Energy Efficiency Measures-DBT'!$D$59),'Energy Efficiency Measures-DBT'!$B$59,"")&amp;", "&amp;IF(AND(F15&gt;'Energy Efficiency Measures-DBT'!$D$60,Y15&gt;'Energy Efficiency Measures-DBT'!$D$60),'Energy Efficiency Measures-DBT'!$B$60,"")</f>
        <v>MG1, MG2, MG3</v>
      </c>
      <c r="AD15" s="164" t="str">
        <f>IF(AND(G15&gt;'Energy Efficiency Measures-DBT'!$D$58,Y15&gt;'Energy Efficiency Measures-DBT'!$D$58),'Energy Efficiency Measures-DBT'!$B$58,"")&amp;", "&amp;IF(AND(G15&gt;'Energy Efficiency Measures-DBT'!$D$59,Y15&gt;'Energy Efficiency Measures-DBT'!$D$59),'Energy Efficiency Measures-DBT'!$B$59,"")&amp;", "&amp;IF(AND(G15&gt;'Energy Efficiency Measures-DBT'!$D$60,Y15&gt;'Energy Efficiency Measures-DBT'!$D$60),'Energy Efficiency Measures-DBT'!$B$60,"")</f>
        <v>MG1, MG2, MG3</v>
      </c>
      <c r="AE15" s="164" t="str">
        <f>IF(AND(H15&gt;'Energy Efficiency Measures-DBT'!$D$58,Y15&gt;'Energy Efficiency Measures-DBT'!$D$58),'Energy Efficiency Measures-DBT'!$B$58,"")&amp;", "&amp;IF(AND(H15&gt;'Energy Efficiency Measures-DBT'!$D$59,Y15&gt;'Energy Efficiency Measures-DBT'!$D$59),'Energy Efficiency Measures-DBT'!$B$59,"")&amp;", "&amp;IF(AND(H15&gt;'Energy Efficiency Measures-DBT'!$D$60,Y15&gt;'Energy Efficiency Measures-DBT'!$D$60),'Energy Efficiency Measures-DBT'!$B$60,"")</f>
        <v>MG1, MG2, MG3</v>
      </c>
      <c r="AF15" s="164" t="str">
        <f>IF(AND(I15&gt;'Energy Efficiency Measures-DBT'!$D$58,Y15&gt;'Energy Efficiency Measures-DBT'!$D$58),'Energy Efficiency Measures-DBT'!$B$58,"")&amp;", "&amp;IF(AND(I15&gt;'Energy Efficiency Measures-DBT'!$D$59,Y15&gt;'Energy Efficiency Measures-DBT'!$D$59),'Energy Efficiency Measures-DBT'!$B$59,"")&amp;", "&amp;IF(AND(I15&gt;'Energy Efficiency Measures-DBT'!$D$60,Y15&gt;'Energy Efficiency Measures-DBT'!$D$60),'Energy Efficiency Measures-DBT'!$B$60,"")</f>
        <v>MG1, MG2, MG3</v>
      </c>
      <c r="AG15" s="273" t="str">
        <f>IF(AND(J15&gt;'Energy Efficiency Measures-DBT'!$D$58,Y15&gt;'Energy Efficiency Measures-DBT'!$D$58),'Energy Efficiency Measures-DBT'!$B$58,"")&amp;", "&amp;IF(AND(J15&gt;'Energy Efficiency Measures-DBT'!$D$59,Y15&gt;'Energy Efficiency Measures-DBT'!$D$59),'Energy Efficiency Measures-DBT'!$B$59,"")&amp;", "&amp;IF(AND(J15&gt;'Energy Efficiency Measures-DBT'!$D$60,Y15&gt;'Energy Efficiency Measures-DBT'!$D$60),'Energy Efficiency Measures-DBT'!$B$60,"")</f>
        <v>MG1, MG2, MG3</v>
      </c>
    </row>
    <row r="16" spans="1:33">
      <c r="A16" s="48" t="s">
        <v>97</v>
      </c>
      <c r="B16" s="48" t="s">
        <v>49</v>
      </c>
      <c r="C16" s="47" t="s">
        <v>50</v>
      </c>
      <c r="D16" s="47" t="s">
        <v>10</v>
      </c>
      <c r="E16" s="498">
        <v>5.7</v>
      </c>
      <c r="F16" s="498">
        <v>5.7</v>
      </c>
      <c r="G16" s="498">
        <v>5.7</v>
      </c>
      <c r="H16" s="498">
        <v>3.3</v>
      </c>
      <c r="I16" s="498">
        <v>3.3</v>
      </c>
      <c r="J16" s="499">
        <v>3.1</v>
      </c>
      <c r="K16" s="506">
        <f>SUMPRODUCT('Dwelling stock'!E16:J16,E16:J16)/SUM('Dwelling stock'!E16:J16)</f>
        <v>4.5895103829977213</v>
      </c>
      <c r="M16" s="54">
        <v>4.6415769999999998</v>
      </c>
      <c r="P16" s="48" t="s">
        <v>49</v>
      </c>
      <c r="Q16" s="86">
        <f>LOOKUP($A16,'Energy Efficiency Measures-DBT'!$D$11:$AN$11,'Energy Efficiency Measures-DBT'!$D$58:$AN$58)</f>
        <v>2.7</v>
      </c>
      <c r="R16" s="86">
        <f>LOOKUP($A16,'Energy Efficiency Measures-DBT'!$D$11:$AN$11,'Energy Efficiency Measures-DBT'!$D$59:$AN$59)</f>
        <v>1.7</v>
      </c>
      <c r="S16" s="223">
        <f>LOOKUP($A16,'Energy Efficiency Measures-DBT'!$D$11:$AN$11,'Energy Efficiency Measures-DBT'!$D$60:$AN$60)</f>
        <v>0.65</v>
      </c>
      <c r="V16" s="48" t="s">
        <v>49</v>
      </c>
      <c r="W16" s="47" t="s">
        <v>283</v>
      </c>
      <c r="X16" s="428">
        <v>3.1</v>
      </c>
      <c r="Y16" s="430">
        <f>X16</f>
        <v>3.1</v>
      </c>
      <c r="Z16" s="428">
        <f>X16</f>
        <v>3.1</v>
      </c>
      <c r="AA16" s="430">
        <f>Z16</f>
        <v>3.1</v>
      </c>
      <c r="AB16" s="179" t="str">
        <f>IF(AND(E16&gt;'Energy Efficiency Measures-DBT'!$D$58,Y16&gt;'Energy Efficiency Measures-DBT'!$D$58),'Energy Efficiency Measures-DBT'!$B$58,"")&amp;", "&amp;IF(AND(E16&gt;'Energy Efficiency Measures-DBT'!$D$59,Y16&gt;'Energy Efficiency Measures-DBT'!$D$59),'Energy Efficiency Measures-DBT'!$B$59,"")&amp;", "&amp;IF(AND(E16&gt;'Energy Efficiency Measures-DBT'!$D$60,Y16&gt;'Energy Efficiency Measures-DBT'!$D$60),'Energy Efficiency Measures-DBT'!$B$60,"")</f>
        <v>MG1, MG2, MG3</v>
      </c>
      <c r="AC16" s="164" t="str">
        <f>IF(AND(F16&gt;'Energy Efficiency Measures-DBT'!$D$58,Y16&gt;'Energy Efficiency Measures-DBT'!$D$58),'Energy Efficiency Measures-DBT'!$B$58,"")&amp;", "&amp;IF(AND(F16&gt;'Energy Efficiency Measures-DBT'!$D$59,Y16&gt;'Energy Efficiency Measures-DBT'!$D$59),'Energy Efficiency Measures-DBT'!$B$59,"")&amp;", "&amp;IF(AND(F16&gt;'Energy Efficiency Measures-DBT'!$D$60,Y16&gt;'Energy Efficiency Measures-DBT'!$D$60),'Energy Efficiency Measures-DBT'!$B$60,"")</f>
        <v>MG1, MG2, MG3</v>
      </c>
      <c r="AD16" s="164" t="str">
        <f>IF(AND(G16&gt;'Energy Efficiency Measures-DBT'!$D$58,Y16&gt;'Energy Efficiency Measures-DBT'!$D$58),'Energy Efficiency Measures-DBT'!$B$58,"")&amp;", "&amp;IF(AND(G16&gt;'Energy Efficiency Measures-DBT'!$D$59,Y16&gt;'Energy Efficiency Measures-DBT'!$D$59),'Energy Efficiency Measures-DBT'!$B$59,"")&amp;", "&amp;IF(AND(G16&gt;'Energy Efficiency Measures-DBT'!$D$60,Y16&gt;'Energy Efficiency Measures-DBT'!$D$60),'Energy Efficiency Measures-DBT'!$B$60,"")</f>
        <v>MG1, MG2, MG3</v>
      </c>
      <c r="AE16" s="164" t="str">
        <f>IF(AND(H16&gt;'Energy Efficiency Measures-DBT'!$D$58,Y16&gt;'Energy Efficiency Measures-DBT'!$D$58),'Energy Efficiency Measures-DBT'!$B$58,"")&amp;", "&amp;IF(AND(H16&gt;'Energy Efficiency Measures-DBT'!$D$59,Y16&gt;'Energy Efficiency Measures-DBT'!$D$59),'Energy Efficiency Measures-DBT'!$B$59,"")&amp;", "&amp;IF(AND(H16&gt;'Energy Efficiency Measures-DBT'!$D$60,Y16&gt;'Energy Efficiency Measures-DBT'!$D$60),'Energy Efficiency Measures-DBT'!$B$60,"")</f>
        <v>MG1, MG2, MG3</v>
      </c>
      <c r="AF16" s="164" t="str">
        <f>IF(AND(I16&gt;'Energy Efficiency Measures-DBT'!$D$58,Y16&gt;'Energy Efficiency Measures-DBT'!$D$58),'Energy Efficiency Measures-DBT'!$B$58,"")&amp;", "&amp;IF(AND(I16&gt;'Energy Efficiency Measures-DBT'!$D$59,Y16&gt;'Energy Efficiency Measures-DBT'!$D$59),'Energy Efficiency Measures-DBT'!$B$59,"")&amp;", "&amp;IF(AND(I16&gt;'Energy Efficiency Measures-DBT'!$D$60,Y16&gt;'Energy Efficiency Measures-DBT'!$D$60),'Energy Efficiency Measures-DBT'!$B$60,"")</f>
        <v>MG1, MG2, MG3</v>
      </c>
      <c r="AG16" s="273" t="str">
        <f>IF(AND(J16&gt;'Energy Efficiency Measures-DBT'!$D$58,Y16&gt;'Energy Efficiency Measures-DBT'!$D$58),'Energy Efficiency Measures-DBT'!$B$58,"")&amp;", "&amp;IF(AND(J16&gt;'Energy Efficiency Measures-DBT'!$D$59,Y16&gt;'Energy Efficiency Measures-DBT'!$D$59),'Energy Efficiency Measures-DBT'!$B$59,"")&amp;", "&amp;IF(AND(J16&gt;'Energy Efficiency Measures-DBT'!$D$60,Y16&gt;'Energy Efficiency Measures-DBT'!$D$60),'Energy Efficiency Measures-DBT'!$B$60,"")</f>
        <v>MG1, MG2, MG3</v>
      </c>
    </row>
    <row r="17" spans="1:33">
      <c r="A17" s="48" t="s">
        <v>98</v>
      </c>
      <c r="B17" s="48" t="s">
        <v>24</v>
      </c>
      <c r="C17" s="47" t="s">
        <v>14</v>
      </c>
      <c r="D17" s="47" t="s">
        <v>10</v>
      </c>
      <c r="E17" s="497">
        <v>2.2000000000000002</v>
      </c>
      <c r="F17" s="498">
        <v>2.2000000000000002</v>
      </c>
      <c r="G17" s="498">
        <v>2.0499999999999998</v>
      </c>
      <c r="H17" s="498">
        <v>1.75</v>
      </c>
      <c r="I17" s="498">
        <v>1.75</v>
      </c>
      <c r="J17" s="499">
        <v>1.5</v>
      </c>
      <c r="K17" s="506">
        <f>SUMPRODUCT('Dwelling stock'!E17:J17,E17:J17)/SUM('Dwelling stock'!E17:J17)</f>
        <v>1.9619428769507805</v>
      </c>
      <c r="M17" s="54">
        <v>1.9630339999999999</v>
      </c>
      <c r="P17" s="48" t="s">
        <v>24</v>
      </c>
      <c r="Q17" s="86">
        <f>LOOKUP($A17,'Energy Efficiency Measures-DBT'!$D$11:$AN$11,'Energy Efficiency Measures-DBT'!$D$58:$AN$58)</f>
        <v>2.7</v>
      </c>
      <c r="R17" s="86">
        <f>LOOKUP($A17,'Energy Efficiency Measures-DBT'!$D$11:$AN$11,'Energy Efficiency Measures-DBT'!$D$59:$AN$59)</f>
        <v>1.7</v>
      </c>
      <c r="S17" s="223">
        <f>LOOKUP($A17,'Energy Efficiency Measures-DBT'!$D$11:$AN$11,'Energy Efficiency Measures-DBT'!$D$60:$AN$60)</f>
        <v>0.65</v>
      </c>
      <c r="V17" s="48" t="s">
        <v>24</v>
      </c>
      <c r="W17" s="47" t="s">
        <v>283</v>
      </c>
      <c r="X17" s="428">
        <v>1</v>
      </c>
      <c r="Y17" s="430">
        <f>X17</f>
        <v>1</v>
      </c>
      <c r="Z17" s="428">
        <f>X17</f>
        <v>1</v>
      </c>
      <c r="AA17" s="430">
        <f>Z17</f>
        <v>1</v>
      </c>
      <c r="AB17" s="179" t="str">
        <f>IF(AND(E17&gt;'Energy Efficiency Measures-DBT'!$D$58,Y17&gt;'Energy Efficiency Measures-DBT'!$D$58),'Energy Efficiency Measures-DBT'!$B$58,"")&amp;", "&amp;IF(AND(E17&gt;'Energy Efficiency Measures-DBT'!$D$59,Y17&gt;'Energy Efficiency Measures-DBT'!$D$59),'Energy Efficiency Measures-DBT'!$B$59,"")&amp;", "&amp;IF(AND(E17&gt;'Energy Efficiency Measures-DBT'!$D$60,Y17&gt;'Energy Efficiency Measures-DBT'!$D$60),'Energy Efficiency Measures-DBT'!$B$60,"")</f>
        <v>, , MG3</v>
      </c>
      <c r="AC17" s="164" t="str">
        <f>IF(AND(F17&gt;'Energy Efficiency Measures-DBT'!$D$58,Y17&gt;'Energy Efficiency Measures-DBT'!$D$58),'Energy Efficiency Measures-DBT'!$B$58,"")&amp;", "&amp;IF(AND(F17&gt;'Energy Efficiency Measures-DBT'!$D$59,Y17&gt;'Energy Efficiency Measures-DBT'!$D$59),'Energy Efficiency Measures-DBT'!$B$59,"")&amp;", "&amp;IF(AND(F17&gt;'Energy Efficiency Measures-DBT'!$D$60,Y17&gt;'Energy Efficiency Measures-DBT'!$D$60),'Energy Efficiency Measures-DBT'!$B$60,"")</f>
        <v>, , MG3</v>
      </c>
      <c r="AD17" s="164" t="str">
        <f>IF(AND(G17&gt;'Energy Efficiency Measures-DBT'!$D$58,Y17&gt;'Energy Efficiency Measures-DBT'!$D$58),'Energy Efficiency Measures-DBT'!$B$58,"")&amp;", "&amp;IF(AND(G17&gt;'Energy Efficiency Measures-DBT'!$D$59,Y17&gt;'Energy Efficiency Measures-DBT'!$D$59),'Energy Efficiency Measures-DBT'!$B$59,"")&amp;", "&amp;IF(AND(G17&gt;'Energy Efficiency Measures-DBT'!$D$60,Y17&gt;'Energy Efficiency Measures-DBT'!$D$60),'Energy Efficiency Measures-DBT'!$B$60,"")</f>
        <v>, , MG3</v>
      </c>
      <c r="AE17" s="164" t="str">
        <f>IF(AND(H17&gt;'Energy Efficiency Measures-DBT'!$D$58,Y17&gt;'Energy Efficiency Measures-DBT'!$D$58),'Energy Efficiency Measures-DBT'!$B$58,"")&amp;", "&amp;IF(AND(H17&gt;'Energy Efficiency Measures-DBT'!$D$59,Y17&gt;'Energy Efficiency Measures-DBT'!$D$59),'Energy Efficiency Measures-DBT'!$B$59,"")&amp;", "&amp;IF(AND(H17&gt;'Energy Efficiency Measures-DBT'!$D$60,Y17&gt;'Energy Efficiency Measures-DBT'!$D$60),'Energy Efficiency Measures-DBT'!$B$60,"")</f>
        <v>, , MG3</v>
      </c>
      <c r="AF17" s="164" t="str">
        <f>IF(AND(I17&gt;'Energy Efficiency Measures-DBT'!$D$58,Y17&gt;'Energy Efficiency Measures-DBT'!$D$58),'Energy Efficiency Measures-DBT'!$B$58,"")&amp;", "&amp;IF(AND(I17&gt;'Energy Efficiency Measures-DBT'!$D$59,Y17&gt;'Energy Efficiency Measures-DBT'!$D$59),'Energy Efficiency Measures-DBT'!$B$59,"")&amp;", "&amp;IF(AND(I17&gt;'Energy Efficiency Measures-DBT'!$D$60,Y17&gt;'Energy Efficiency Measures-DBT'!$D$60),'Energy Efficiency Measures-DBT'!$B$60,"")</f>
        <v>, , MG3</v>
      </c>
      <c r="AG17" s="273" t="str">
        <f>IF(AND(J17&gt;'Energy Efficiency Measures-DBT'!$D$58,Y17&gt;'Energy Efficiency Measures-DBT'!$D$58),'Energy Efficiency Measures-DBT'!$B$58,"")&amp;", "&amp;IF(AND(J17&gt;'Energy Efficiency Measures-DBT'!$D$59,Y17&gt;'Energy Efficiency Measures-DBT'!$D$59),'Energy Efficiency Measures-DBT'!$B$59,"")&amp;", "&amp;IF(AND(J17&gt;'Energy Efficiency Measures-DBT'!$D$60,Y17&gt;'Energy Efficiency Measures-DBT'!$D$60),'Energy Efficiency Measures-DBT'!$B$60,"")</f>
        <v>, , MG3</v>
      </c>
    </row>
    <row r="18" spans="1:33">
      <c r="A18" s="48" t="s">
        <v>99</v>
      </c>
      <c r="B18" s="48" t="s">
        <v>25</v>
      </c>
      <c r="C18" s="47" t="s">
        <v>21</v>
      </c>
      <c r="D18" s="47" t="s">
        <v>10</v>
      </c>
      <c r="E18" s="498">
        <v>4.2</v>
      </c>
      <c r="F18" s="498">
        <v>4.2</v>
      </c>
      <c r="G18" s="498">
        <v>3.5</v>
      </c>
      <c r="H18" s="498">
        <v>3.0389810000000002</v>
      </c>
      <c r="I18" s="498">
        <v>1.9</v>
      </c>
      <c r="J18" s="499">
        <v>1.8224910000000001</v>
      </c>
      <c r="K18" s="506">
        <f>SUMPRODUCT('Dwelling stock'!E18:J18,E18:J18)/SUM('Dwelling stock'!E18:J18)</f>
        <v>3.4017907436690855</v>
      </c>
      <c r="M18" s="54">
        <v>3.541703</v>
      </c>
      <c r="P18" s="48" t="s">
        <v>25</v>
      </c>
      <c r="Q18" s="86">
        <f>LOOKUP($A18,'Energy Efficiency Measures-DBT'!$D$11:$AN$11,'Energy Efficiency Measures-DBT'!$D$58:$AN$58)</f>
        <v>2.7</v>
      </c>
      <c r="R18" s="86">
        <f>LOOKUP($A18,'Energy Efficiency Measures-DBT'!$D$11:$AN$11,'Energy Efficiency Measures-DBT'!$D$59:$AN$59)</f>
        <v>1.7</v>
      </c>
      <c r="S18" s="223">
        <f>LOOKUP($A18,'Energy Efficiency Measures-DBT'!$D$11:$AN$11,'Energy Efficiency Measures-DBT'!$D$60:$AN$60)</f>
        <v>0.65</v>
      </c>
      <c r="V18" s="48" t="s">
        <v>25</v>
      </c>
      <c r="W18" s="47" t="s">
        <v>283</v>
      </c>
      <c r="X18" s="428">
        <v>2.2999999999999998</v>
      </c>
      <c r="Y18" s="430">
        <f>X18</f>
        <v>2.2999999999999998</v>
      </c>
      <c r="Z18" s="428">
        <f>X18</f>
        <v>2.2999999999999998</v>
      </c>
      <c r="AA18" s="430">
        <f>Z18</f>
        <v>2.2999999999999998</v>
      </c>
      <c r="AB18" s="179" t="str">
        <f>IF(AND(E18&gt;'Energy Efficiency Measures-DBT'!$D$58,Y18&gt;'Energy Efficiency Measures-DBT'!$D$58),'Energy Efficiency Measures-DBT'!$B$58,"")&amp;", "&amp;IF(AND(E18&gt;'Energy Efficiency Measures-DBT'!$D$59,Y18&gt;'Energy Efficiency Measures-DBT'!$D$59),'Energy Efficiency Measures-DBT'!$B$59,"")&amp;", "&amp;IF(AND(E18&gt;'Energy Efficiency Measures-DBT'!$D$60,Y18&gt;'Energy Efficiency Measures-DBT'!$D$60),'Energy Efficiency Measures-DBT'!$B$60,"")</f>
        <v>, MG2, MG3</v>
      </c>
      <c r="AC18" s="164" t="str">
        <f>IF(AND(F18&gt;'Energy Efficiency Measures-DBT'!$D$58,Y18&gt;'Energy Efficiency Measures-DBT'!$D$58),'Energy Efficiency Measures-DBT'!$B$58,"")&amp;", "&amp;IF(AND(F18&gt;'Energy Efficiency Measures-DBT'!$D$59,Y18&gt;'Energy Efficiency Measures-DBT'!$D$59),'Energy Efficiency Measures-DBT'!$B$59,"")&amp;", "&amp;IF(AND(F18&gt;'Energy Efficiency Measures-DBT'!$D$60,Y18&gt;'Energy Efficiency Measures-DBT'!$D$60),'Energy Efficiency Measures-DBT'!$B$60,"")</f>
        <v>, MG2, MG3</v>
      </c>
      <c r="AD18" s="164" t="str">
        <f>IF(AND(G18&gt;'Energy Efficiency Measures-DBT'!$D$58,Y18&gt;'Energy Efficiency Measures-DBT'!$D$58),'Energy Efficiency Measures-DBT'!$B$58,"")&amp;", "&amp;IF(AND(G18&gt;'Energy Efficiency Measures-DBT'!$D$59,Y18&gt;'Energy Efficiency Measures-DBT'!$D$59),'Energy Efficiency Measures-DBT'!$B$59,"")&amp;", "&amp;IF(AND(G18&gt;'Energy Efficiency Measures-DBT'!$D$60,Y18&gt;'Energy Efficiency Measures-DBT'!$D$60),'Energy Efficiency Measures-DBT'!$B$60,"")</f>
        <v>, MG2, MG3</v>
      </c>
      <c r="AE18" s="164" t="str">
        <f>IF(AND(H18&gt;'Energy Efficiency Measures-DBT'!$D$58,Y18&gt;'Energy Efficiency Measures-DBT'!$D$58),'Energy Efficiency Measures-DBT'!$B$58,"")&amp;", "&amp;IF(AND(H18&gt;'Energy Efficiency Measures-DBT'!$D$59,Y18&gt;'Energy Efficiency Measures-DBT'!$D$59),'Energy Efficiency Measures-DBT'!$B$59,"")&amp;", "&amp;IF(AND(H18&gt;'Energy Efficiency Measures-DBT'!$D$60,Y18&gt;'Energy Efficiency Measures-DBT'!$D$60),'Energy Efficiency Measures-DBT'!$B$60,"")</f>
        <v>, MG2, MG3</v>
      </c>
      <c r="AF18" s="164" t="str">
        <f>IF(AND(I18&gt;'Energy Efficiency Measures-DBT'!$D$58,Y18&gt;'Energy Efficiency Measures-DBT'!$D$58),'Energy Efficiency Measures-DBT'!$B$58,"")&amp;", "&amp;IF(AND(I18&gt;'Energy Efficiency Measures-DBT'!$D$59,Y18&gt;'Energy Efficiency Measures-DBT'!$D$59),'Energy Efficiency Measures-DBT'!$B$59,"")&amp;", "&amp;IF(AND(I18&gt;'Energy Efficiency Measures-DBT'!$D$60,Y18&gt;'Energy Efficiency Measures-DBT'!$D$60),'Energy Efficiency Measures-DBT'!$B$60,"")</f>
        <v>, MG2, MG3</v>
      </c>
      <c r="AG18" s="273" t="str">
        <f>IF(AND(J18&gt;'Energy Efficiency Measures-DBT'!$D$58,Y18&gt;'Energy Efficiency Measures-DBT'!$D$58),'Energy Efficiency Measures-DBT'!$B$58,"")&amp;", "&amp;IF(AND(J18&gt;'Energy Efficiency Measures-DBT'!$D$59,Y18&gt;'Energy Efficiency Measures-DBT'!$D$59),'Energy Efficiency Measures-DBT'!$B$59,"")&amp;", "&amp;IF(AND(J18&gt;'Energy Efficiency Measures-DBT'!$D$60,Y18&gt;'Energy Efficiency Measures-DBT'!$D$60),'Energy Efficiency Measures-DBT'!$B$60,"")</f>
        <v>, MG2, MG3</v>
      </c>
    </row>
    <row r="19" spans="1:33">
      <c r="A19" s="48" t="s">
        <v>118</v>
      </c>
      <c r="B19" s="48" t="s">
        <v>55</v>
      </c>
      <c r="C19" s="47" t="s">
        <v>56</v>
      </c>
      <c r="D19" s="47" t="s">
        <v>10</v>
      </c>
      <c r="E19" s="498">
        <v>4.4000000000000004</v>
      </c>
      <c r="F19" s="498">
        <v>4.4000000000000004</v>
      </c>
      <c r="G19" s="498">
        <v>3</v>
      </c>
      <c r="H19" s="498">
        <v>3</v>
      </c>
      <c r="I19" s="498">
        <v>2.4</v>
      </c>
      <c r="J19" s="499">
        <v>1.8</v>
      </c>
      <c r="K19" s="506">
        <f>SUMPRODUCT('Dwelling stock'!E19:J19,E19:J19)/SUM('Dwelling stock'!E19:J19)</f>
        <v>3.3863869150943389</v>
      </c>
      <c r="M19" s="54">
        <v>3.3933960000000001</v>
      </c>
      <c r="P19" s="48" t="s">
        <v>55</v>
      </c>
      <c r="Q19" s="86">
        <f>LOOKUP($A19,'Energy Efficiency Measures-DBT'!$D$11:$AN$11,'Energy Efficiency Measures-DBT'!$D$58:$AN$58)</f>
        <v>2.7</v>
      </c>
      <c r="R19" s="86">
        <f>LOOKUP($A19,'Energy Efficiency Measures-DBT'!$D$11:$AN$11,'Energy Efficiency Measures-DBT'!$D$59:$AN$59)</f>
        <v>1.7</v>
      </c>
      <c r="S19" s="223">
        <f>LOOKUP($A19,'Energy Efficiency Measures-DBT'!$D$11:$AN$11,'Energy Efficiency Measures-DBT'!$D$60:$AN$60)</f>
        <v>0.65</v>
      </c>
      <c r="V19" s="48" t="s">
        <v>55</v>
      </c>
      <c r="W19" s="47"/>
      <c r="X19" s="455">
        <v>5</v>
      </c>
      <c r="Y19" s="456">
        <v>5</v>
      </c>
      <c r="Z19" s="455">
        <v>5</v>
      </c>
      <c r="AA19" s="456">
        <v>5</v>
      </c>
      <c r="AB19" s="179" t="str">
        <f>IF(AND(E19&gt;'Energy Efficiency Measures-DBT'!$D$58,Y19&gt;'Energy Efficiency Measures-DBT'!$D$58),'Energy Efficiency Measures-DBT'!$B$58,"")&amp;", "&amp;IF(AND(E19&gt;'Energy Efficiency Measures-DBT'!$D$59,Y19&gt;'Energy Efficiency Measures-DBT'!$D$59),'Energy Efficiency Measures-DBT'!$B$59,"")&amp;", "&amp;IF(AND(E19&gt;'Energy Efficiency Measures-DBT'!$D$60,Y19&gt;'Energy Efficiency Measures-DBT'!$D$60),'Energy Efficiency Measures-DBT'!$B$60,"")</f>
        <v>MG1, MG2, MG3</v>
      </c>
      <c r="AC19" s="164" t="str">
        <f>IF(AND(F19&gt;'Energy Efficiency Measures-DBT'!$D$58,Y19&gt;'Energy Efficiency Measures-DBT'!$D$58),'Energy Efficiency Measures-DBT'!$B$58,"")&amp;", "&amp;IF(AND(F19&gt;'Energy Efficiency Measures-DBT'!$D$59,Y19&gt;'Energy Efficiency Measures-DBT'!$D$59),'Energy Efficiency Measures-DBT'!$B$59,"")&amp;", "&amp;IF(AND(F19&gt;'Energy Efficiency Measures-DBT'!$D$60,Y19&gt;'Energy Efficiency Measures-DBT'!$D$60),'Energy Efficiency Measures-DBT'!$B$60,"")</f>
        <v>MG1, MG2, MG3</v>
      </c>
      <c r="AD19" s="164" t="str">
        <f>IF(AND(G19&gt;'Energy Efficiency Measures-DBT'!$D$58,Y19&gt;'Energy Efficiency Measures-DBT'!$D$58),'Energy Efficiency Measures-DBT'!$B$58,"")&amp;", "&amp;IF(AND(G19&gt;'Energy Efficiency Measures-DBT'!$D$59,Y19&gt;'Energy Efficiency Measures-DBT'!$D$59),'Energy Efficiency Measures-DBT'!$B$59,"")&amp;", "&amp;IF(AND(G19&gt;'Energy Efficiency Measures-DBT'!$D$60,Y19&gt;'Energy Efficiency Measures-DBT'!$D$60),'Energy Efficiency Measures-DBT'!$B$60,"")</f>
        <v>MG1, MG2, MG3</v>
      </c>
      <c r="AE19" s="164" t="str">
        <f>IF(AND(H19&gt;'Energy Efficiency Measures-DBT'!$D$58,Y19&gt;'Energy Efficiency Measures-DBT'!$D$58),'Energy Efficiency Measures-DBT'!$B$58,"")&amp;", "&amp;IF(AND(H19&gt;'Energy Efficiency Measures-DBT'!$D$59,Y19&gt;'Energy Efficiency Measures-DBT'!$D$59),'Energy Efficiency Measures-DBT'!$B$59,"")&amp;", "&amp;IF(AND(H19&gt;'Energy Efficiency Measures-DBT'!$D$60,Y19&gt;'Energy Efficiency Measures-DBT'!$D$60),'Energy Efficiency Measures-DBT'!$B$60,"")</f>
        <v>MG1, MG2, MG3</v>
      </c>
      <c r="AF19" s="164" t="str">
        <f>IF(AND(I19&gt;'Energy Efficiency Measures-DBT'!$D$58,Y19&gt;'Energy Efficiency Measures-DBT'!$D$58),'Energy Efficiency Measures-DBT'!$B$58,"")&amp;", "&amp;IF(AND(I19&gt;'Energy Efficiency Measures-DBT'!$D$59,Y19&gt;'Energy Efficiency Measures-DBT'!$D$59),'Energy Efficiency Measures-DBT'!$B$59,"")&amp;", "&amp;IF(AND(I19&gt;'Energy Efficiency Measures-DBT'!$D$60,Y19&gt;'Energy Efficiency Measures-DBT'!$D$60),'Energy Efficiency Measures-DBT'!$B$60,"")</f>
        <v>, MG2, MG3</v>
      </c>
      <c r="AG19" s="273" t="str">
        <f>IF(AND(J19&gt;'Energy Efficiency Measures-DBT'!$D$58,Y19&gt;'Energy Efficiency Measures-DBT'!$D$58),'Energy Efficiency Measures-DBT'!$B$58,"")&amp;", "&amp;IF(AND(J19&gt;'Energy Efficiency Measures-DBT'!$D$59,Y19&gt;'Energy Efficiency Measures-DBT'!$D$59),'Energy Efficiency Measures-DBT'!$B$59,"")&amp;", "&amp;IF(AND(J19&gt;'Energy Efficiency Measures-DBT'!$D$60,Y19&gt;'Energy Efficiency Measures-DBT'!$D$60),'Energy Efficiency Measures-DBT'!$B$60,"")</f>
        <v>, MG2, MG3</v>
      </c>
    </row>
    <row r="20" spans="1:33">
      <c r="A20" s="48" t="s">
        <v>100</v>
      </c>
      <c r="B20" s="48" t="s">
        <v>30</v>
      </c>
      <c r="C20" s="47" t="s">
        <v>14</v>
      </c>
      <c r="D20" s="47" t="s">
        <v>10</v>
      </c>
      <c r="E20" s="498">
        <v>2.5</v>
      </c>
      <c r="F20" s="498">
        <v>2.5</v>
      </c>
      <c r="G20" s="498">
        <v>2.5</v>
      </c>
      <c r="H20" s="498">
        <v>2.5</v>
      </c>
      <c r="I20" s="498">
        <v>2.5</v>
      </c>
      <c r="J20" s="499">
        <v>1.5</v>
      </c>
      <c r="K20" s="506">
        <f>SUMPRODUCT('Dwelling stock'!E20:J20,E20:J20)/SUM('Dwelling stock'!E20:J20)</f>
        <v>2.3980434630089373</v>
      </c>
      <c r="M20" s="54">
        <v>2.2829459999999999</v>
      </c>
      <c r="P20" s="48" t="s">
        <v>30</v>
      </c>
      <c r="Q20" s="86">
        <f>LOOKUP($A20,'Energy Efficiency Measures-DBT'!$D$11:$AN$11,'Energy Efficiency Measures-DBT'!$D$58:$AN$58)</f>
        <v>2.7</v>
      </c>
      <c r="R20" s="86">
        <f>LOOKUP($A20,'Energy Efficiency Measures-DBT'!$D$11:$AN$11,'Energy Efficiency Measures-DBT'!$D$59:$AN$59)</f>
        <v>1.7</v>
      </c>
      <c r="S20" s="223">
        <f>LOOKUP($A20,'Energy Efficiency Measures-DBT'!$D$11:$AN$11,'Energy Efficiency Measures-DBT'!$D$60:$AN$60)</f>
        <v>0.65</v>
      </c>
      <c r="V20" s="48" t="s">
        <v>30</v>
      </c>
      <c r="W20" s="47"/>
      <c r="X20" s="455">
        <v>5</v>
      </c>
      <c r="Y20" s="456">
        <v>5</v>
      </c>
      <c r="Z20" s="455">
        <v>5</v>
      </c>
      <c r="AA20" s="456">
        <v>5</v>
      </c>
      <c r="AB20" s="179" t="str">
        <f>IF(AND(E20&gt;'Energy Efficiency Measures-DBT'!$D$58,Y20&gt;'Energy Efficiency Measures-DBT'!$D$58),'Energy Efficiency Measures-DBT'!$B$58,"")&amp;", "&amp;IF(AND(E20&gt;'Energy Efficiency Measures-DBT'!$D$59,Y20&gt;'Energy Efficiency Measures-DBT'!$D$59),'Energy Efficiency Measures-DBT'!$B$59,"")&amp;", "&amp;IF(AND(E20&gt;'Energy Efficiency Measures-DBT'!$D$60,Y20&gt;'Energy Efficiency Measures-DBT'!$D$60),'Energy Efficiency Measures-DBT'!$B$60,"")</f>
        <v>, MG2, MG3</v>
      </c>
      <c r="AC20" s="164" t="str">
        <f>IF(AND(F20&gt;'Energy Efficiency Measures-DBT'!$D$58,Y20&gt;'Energy Efficiency Measures-DBT'!$D$58),'Energy Efficiency Measures-DBT'!$B$58,"")&amp;", "&amp;IF(AND(F20&gt;'Energy Efficiency Measures-DBT'!$D$59,Y20&gt;'Energy Efficiency Measures-DBT'!$D$59),'Energy Efficiency Measures-DBT'!$B$59,"")&amp;", "&amp;IF(AND(F20&gt;'Energy Efficiency Measures-DBT'!$D$60,Y20&gt;'Energy Efficiency Measures-DBT'!$D$60),'Energy Efficiency Measures-DBT'!$B$60,"")</f>
        <v>, MG2, MG3</v>
      </c>
      <c r="AD20" s="164" t="str">
        <f>IF(AND(G20&gt;'Energy Efficiency Measures-DBT'!$D$58,Y20&gt;'Energy Efficiency Measures-DBT'!$D$58),'Energy Efficiency Measures-DBT'!$B$58,"")&amp;", "&amp;IF(AND(G20&gt;'Energy Efficiency Measures-DBT'!$D$59,Y20&gt;'Energy Efficiency Measures-DBT'!$D$59),'Energy Efficiency Measures-DBT'!$B$59,"")&amp;", "&amp;IF(AND(G20&gt;'Energy Efficiency Measures-DBT'!$D$60,Y20&gt;'Energy Efficiency Measures-DBT'!$D$60),'Energy Efficiency Measures-DBT'!$B$60,"")</f>
        <v>, MG2, MG3</v>
      </c>
      <c r="AE20" s="164" t="str">
        <f>IF(AND(H20&gt;'Energy Efficiency Measures-DBT'!$D$58,Y20&gt;'Energy Efficiency Measures-DBT'!$D$58),'Energy Efficiency Measures-DBT'!$B$58,"")&amp;", "&amp;IF(AND(H20&gt;'Energy Efficiency Measures-DBT'!$D$59,Y20&gt;'Energy Efficiency Measures-DBT'!$D$59),'Energy Efficiency Measures-DBT'!$B$59,"")&amp;", "&amp;IF(AND(H20&gt;'Energy Efficiency Measures-DBT'!$D$60,Y20&gt;'Energy Efficiency Measures-DBT'!$D$60),'Energy Efficiency Measures-DBT'!$B$60,"")</f>
        <v>, MG2, MG3</v>
      </c>
      <c r="AF20" s="164" t="str">
        <f>IF(AND(I20&gt;'Energy Efficiency Measures-DBT'!$D$58,Y20&gt;'Energy Efficiency Measures-DBT'!$D$58),'Energy Efficiency Measures-DBT'!$B$58,"")&amp;", "&amp;IF(AND(I20&gt;'Energy Efficiency Measures-DBT'!$D$59,Y20&gt;'Energy Efficiency Measures-DBT'!$D$59),'Energy Efficiency Measures-DBT'!$B$59,"")&amp;", "&amp;IF(AND(I20&gt;'Energy Efficiency Measures-DBT'!$D$60,Y20&gt;'Energy Efficiency Measures-DBT'!$D$60),'Energy Efficiency Measures-DBT'!$B$60,"")</f>
        <v>, MG2, MG3</v>
      </c>
      <c r="AG20" s="273" t="str">
        <f>IF(AND(J20&gt;'Energy Efficiency Measures-DBT'!$D$58,Y20&gt;'Energy Efficiency Measures-DBT'!$D$58),'Energy Efficiency Measures-DBT'!$B$58,"")&amp;", "&amp;IF(AND(J20&gt;'Energy Efficiency Measures-DBT'!$D$59,Y20&gt;'Energy Efficiency Measures-DBT'!$D$59),'Energy Efficiency Measures-DBT'!$B$59,"")&amp;", "&amp;IF(AND(J20&gt;'Energy Efficiency Measures-DBT'!$D$60,Y20&gt;'Energy Efficiency Measures-DBT'!$D$60),'Energy Efficiency Measures-DBT'!$B$60,"")</f>
        <v>, , MG3</v>
      </c>
    </row>
    <row r="21" spans="1:33">
      <c r="A21" s="48" t="s">
        <v>101</v>
      </c>
      <c r="B21" s="48" t="s">
        <v>31</v>
      </c>
      <c r="C21" s="47" t="s">
        <v>32</v>
      </c>
      <c r="D21" s="47" t="s">
        <v>10</v>
      </c>
      <c r="E21" s="498">
        <v>4.1500000000000004</v>
      </c>
      <c r="F21" s="498">
        <v>4.1500000000000004</v>
      </c>
      <c r="G21" s="498">
        <v>4.1500000000000004</v>
      </c>
      <c r="H21" s="498">
        <v>3.3</v>
      </c>
      <c r="I21" s="498">
        <v>3.3</v>
      </c>
      <c r="J21" s="499">
        <v>2.532219</v>
      </c>
      <c r="K21" s="506">
        <f>SUMPRODUCT('Dwelling stock'!E21:J21,E21:J21)/SUM('Dwelling stock'!E21:J21)</f>
        <v>3.4595211810808197</v>
      </c>
      <c r="M21" s="54">
        <v>3.4825400000000002</v>
      </c>
      <c r="P21" s="48" t="s">
        <v>31</v>
      </c>
      <c r="Q21" s="86">
        <f>LOOKUP($A21,'Energy Efficiency Measures-DBT'!$D$11:$AN$11,'Energy Efficiency Measures-DBT'!$D$58:$AN$58)</f>
        <v>2.7</v>
      </c>
      <c r="R21" s="86">
        <f>LOOKUP($A21,'Energy Efficiency Measures-DBT'!$D$11:$AN$11,'Energy Efficiency Measures-DBT'!$D$59:$AN$59)</f>
        <v>1.7</v>
      </c>
      <c r="S21" s="223">
        <f>LOOKUP($A21,'Energy Efficiency Measures-DBT'!$D$11:$AN$11,'Energy Efficiency Measures-DBT'!$D$60:$AN$60)</f>
        <v>0.65</v>
      </c>
      <c r="V21" s="48" t="s">
        <v>31</v>
      </c>
      <c r="W21" s="47"/>
      <c r="X21" s="455">
        <v>5</v>
      </c>
      <c r="Y21" s="456">
        <v>5</v>
      </c>
      <c r="Z21" s="455">
        <v>5</v>
      </c>
      <c r="AA21" s="456">
        <v>5</v>
      </c>
      <c r="AB21" s="179" t="str">
        <f>IF(AND(E21&gt;'Energy Efficiency Measures-DBT'!$D$58,Y21&gt;'Energy Efficiency Measures-DBT'!$D$58),'Energy Efficiency Measures-DBT'!$B$58,"")&amp;", "&amp;IF(AND(E21&gt;'Energy Efficiency Measures-DBT'!$D$59,Y21&gt;'Energy Efficiency Measures-DBT'!$D$59),'Energy Efficiency Measures-DBT'!$B$59,"")&amp;", "&amp;IF(AND(E21&gt;'Energy Efficiency Measures-DBT'!$D$60,Y21&gt;'Energy Efficiency Measures-DBT'!$D$60),'Energy Efficiency Measures-DBT'!$B$60,"")</f>
        <v>MG1, MG2, MG3</v>
      </c>
      <c r="AC21" s="164" t="str">
        <f>IF(AND(F21&gt;'Energy Efficiency Measures-DBT'!$D$58,Y21&gt;'Energy Efficiency Measures-DBT'!$D$58),'Energy Efficiency Measures-DBT'!$B$58,"")&amp;", "&amp;IF(AND(F21&gt;'Energy Efficiency Measures-DBT'!$D$59,Y21&gt;'Energy Efficiency Measures-DBT'!$D$59),'Energy Efficiency Measures-DBT'!$B$59,"")&amp;", "&amp;IF(AND(F21&gt;'Energy Efficiency Measures-DBT'!$D$60,Y21&gt;'Energy Efficiency Measures-DBT'!$D$60),'Energy Efficiency Measures-DBT'!$B$60,"")</f>
        <v>MG1, MG2, MG3</v>
      </c>
      <c r="AD21" s="164" t="str">
        <f>IF(AND(G21&gt;'Energy Efficiency Measures-DBT'!$D$58,Y21&gt;'Energy Efficiency Measures-DBT'!$D$58),'Energy Efficiency Measures-DBT'!$B$58,"")&amp;", "&amp;IF(AND(G21&gt;'Energy Efficiency Measures-DBT'!$D$59,Y21&gt;'Energy Efficiency Measures-DBT'!$D$59),'Energy Efficiency Measures-DBT'!$B$59,"")&amp;", "&amp;IF(AND(G21&gt;'Energy Efficiency Measures-DBT'!$D$60,Y21&gt;'Energy Efficiency Measures-DBT'!$D$60),'Energy Efficiency Measures-DBT'!$B$60,"")</f>
        <v>MG1, MG2, MG3</v>
      </c>
      <c r="AE21" s="164" t="str">
        <f>IF(AND(H21&gt;'Energy Efficiency Measures-DBT'!$D$58,Y21&gt;'Energy Efficiency Measures-DBT'!$D$58),'Energy Efficiency Measures-DBT'!$B$58,"")&amp;", "&amp;IF(AND(H21&gt;'Energy Efficiency Measures-DBT'!$D$59,Y21&gt;'Energy Efficiency Measures-DBT'!$D$59),'Energy Efficiency Measures-DBT'!$B$59,"")&amp;", "&amp;IF(AND(H21&gt;'Energy Efficiency Measures-DBT'!$D$60,Y21&gt;'Energy Efficiency Measures-DBT'!$D$60),'Energy Efficiency Measures-DBT'!$B$60,"")</f>
        <v>MG1, MG2, MG3</v>
      </c>
      <c r="AF21" s="164" t="str">
        <f>IF(AND(I21&gt;'Energy Efficiency Measures-DBT'!$D$58,Y21&gt;'Energy Efficiency Measures-DBT'!$D$58),'Energy Efficiency Measures-DBT'!$B$58,"")&amp;", "&amp;IF(AND(I21&gt;'Energy Efficiency Measures-DBT'!$D$59,Y21&gt;'Energy Efficiency Measures-DBT'!$D$59),'Energy Efficiency Measures-DBT'!$B$59,"")&amp;", "&amp;IF(AND(I21&gt;'Energy Efficiency Measures-DBT'!$D$60,Y21&gt;'Energy Efficiency Measures-DBT'!$D$60),'Energy Efficiency Measures-DBT'!$B$60,"")</f>
        <v>MG1, MG2, MG3</v>
      </c>
      <c r="AG21" s="273" t="str">
        <f>IF(AND(J21&gt;'Energy Efficiency Measures-DBT'!$D$58,Y21&gt;'Energy Efficiency Measures-DBT'!$D$58),'Energy Efficiency Measures-DBT'!$B$58,"")&amp;", "&amp;IF(AND(J21&gt;'Energy Efficiency Measures-DBT'!$D$59,Y21&gt;'Energy Efficiency Measures-DBT'!$D$59),'Energy Efficiency Measures-DBT'!$B$59,"")&amp;", "&amp;IF(AND(J21&gt;'Energy Efficiency Measures-DBT'!$D$60,Y21&gt;'Energy Efficiency Measures-DBT'!$D$60),'Energy Efficiency Measures-DBT'!$B$60,"")</f>
        <v>, MG2, MG3</v>
      </c>
    </row>
    <row r="22" spans="1:33">
      <c r="A22" s="28" t="s">
        <v>102</v>
      </c>
      <c r="B22" s="28" t="s">
        <v>63</v>
      </c>
      <c r="C22" s="426"/>
      <c r="D22" s="426" t="s">
        <v>10</v>
      </c>
      <c r="E22" s="498">
        <v>2.2000000000000002</v>
      </c>
      <c r="F22" s="498">
        <v>2.2000000000000002</v>
      </c>
      <c r="G22" s="498">
        <v>2.0499999999999998</v>
      </c>
      <c r="H22" s="498">
        <v>1.75</v>
      </c>
      <c r="I22" s="498">
        <v>1.75</v>
      </c>
      <c r="J22" s="499">
        <v>1.5</v>
      </c>
      <c r="K22" s="507">
        <f>SUMPRODUCT('Dwelling stock'!E22:J22,E22:J22)/SUM('Dwelling stock'!E22:J22)</f>
        <v>1.9619428769507803</v>
      </c>
      <c r="M22" s="28"/>
      <c r="P22" s="28" t="s">
        <v>63</v>
      </c>
      <c r="Q22" s="86">
        <f>LOOKUP($A22,'Energy Efficiency Measures-DBT'!$D$11:$AN$11,'Energy Efficiency Measures-DBT'!$D$58:$AN$58)</f>
        <v>2.7</v>
      </c>
      <c r="R22" s="86">
        <f>LOOKUP($A22,'Energy Efficiency Measures-DBT'!$D$11:$AN$11,'Energy Efficiency Measures-DBT'!$D$59:$AN$59)</f>
        <v>1.7</v>
      </c>
      <c r="S22" s="223">
        <f>LOOKUP($A22,'Energy Efficiency Measures-DBT'!$D$11:$AN$11,'Energy Efficiency Measures-DBT'!$D$60:$AN$60)</f>
        <v>0.65</v>
      </c>
      <c r="V22" s="28" t="s">
        <v>63</v>
      </c>
      <c r="W22" s="426"/>
      <c r="X22" s="455">
        <v>5</v>
      </c>
      <c r="Y22" s="456">
        <v>5</v>
      </c>
      <c r="Z22" s="455">
        <v>5</v>
      </c>
      <c r="AA22" s="456">
        <v>5</v>
      </c>
      <c r="AB22" s="179" t="str">
        <f>IF(AND(E22&gt;'Energy Efficiency Measures-DBT'!$D$58,Y22&gt;'Energy Efficiency Measures-DBT'!$D$58),'Energy Efficiency Measures-DBT'!$B$58,"")&amp;", "&amp;IF(AND(E22&gt;'Energy Efficiency Measures-DBT'!$D$59,Y22&gt;'Energy Efficiency Measures-DBT'!$D$59),'Energy Efficiency Measures-DBT'!$B$59,"")&amp;", "&amp;IF(AND(E22&gt;'Energy Efficiency Measures-DBT'!$D$60,Y22&gt;'Energy Efficiency Measures-DBT'!$D$60),'Energy Efficiency Measures-DBT'!$B$60,"")</f>
        <v>, MG2, MG3</v>
      </c>
      <c r="AC22" s="164" t="str">
        <f>IF(AND(F22&gt;'Energy Efficiency Measures-DBT'!$D$58,Y22&gt;'Energy Efficiency Measures-DBT'!$D$58),'Energy Efficiency Measures-DBT'!$B$58,"")&amp;", "&amp;IF(AND(F22&gt;'Energy Efficiency Measures-DBT'!$D$59,Y22&gt;'Energy Efficiency Measures-DBT'!$D$59),'Energy Efficiency Measures-DBT'!$B$59,"")&amp;", "&amp;IF(AND(F22&gt;'Energy Efficiency Measures-DBT'!$D$60,Y22&gt;'Energy Efficiency Measures-DBT'!$D$60),'Energy Efficiency Measures-DBT'!$B$60,"")</f>
        <v>, MG2, MG3</v>
      </c>
      <c r="AD22" s="164" t="str">
        <f>IF(AND(G22&gt;'Energy Efficiency Measures-DBT'!$D$58,Y22&gt;'Energy Efficiency Measures-DBT'!$D$58),'Energy Efficiency Measures-DBT'!$B$58,"")&amp;", "&amp;IF(AND(G22&gt;'Energy Efficiency Measures-DBT'!$D$59,Y22&gt;'Energy Efficiency Measures-DBT'!$D$59),'Energy Efficiency Measures-DBT'!$B$59,"")&amp;", "&amp;IF(AND(G22&gt;'Energy Efficiency Measures-DBT'!$D$60,Y22&gt;'Energy Efficiency Measures-DBT'!$D$60),'Energy Efficiency Measures-DBT'!$B$60,"")</f>
        <v>, MG2, MG3</v>
      </c>
      <c r="AE22" s="164" t="str">
        <f>IF(AND(H22&gt;'Energy Efficiency Measures-DBT'!$D$58,Y22&gt;'Energy Efficiency Measures-DBT'!$D$58),'Energy Efficiency Measures-DBT'!$B$58,"")&amp;", "&amp;IF(AND(H22&gt;'Energy Efficiency Measures-DBT'!$D$59,Y22&gt;'Energy Efficiency Measures-DBT'!$D$59),'Energy Efficiency Measures-DBT'!$B$59,"")&amp;", "&amp;IF(AND(H22&gt;'Energy Efficiency Measures-DBT'!$D$60,Y22&gt;'Energy Efficiency Measures-DBT'!$D$60),'Energy Efficiency Measures-DBT'!$B$60,"")</f>
        <v>, MG2, MG3</v>
      </c>
      <c r="AF22" s="164" t="str">
        <f>IF(AND(I22&gt;'Energy Efficiency Measures-DBT'!$D$58,Y22&gt;'Energy Efficiency Measures-DBT'!$D$58),'Energy Efficiency Measures-DBT'!$B$58,"")&amp;", "&amp;IF(AND(I22&gt;'Energy Efficiency Measures-DBT'!$D$59,Y22&gt;'Energy Efficiency Measures-DBT'!$D$59),'Energy Efficiency Measures-DBT'!$B$59,"")&amp;", "&amp;IF(AND(I22&gt;'Energy Efficiency Measures-DBT'!$D$60,Y22&gt;'Energy Efficiency Measures-DBT'!$D$60),'Energy Efficiency Measures-DBT'!$B$60,"")</f>
        <v>, MG2, MG3</v>
      </c>
      <c r="AG22" s="273" t="str">
        <f>IF(AND(J22&gt;'Energy Efficiency Measures-DBT'!$D$58,Y22&gt;'Energy Efficiency Measures-DBT'!$D$58),'Energy Efficiency Measures-DBT'!$B$58,"")&amp;", "&amp;IF(AND(J22&gt;'Energy Efficiency Measures-DBT'!$D$59,Y22&gt;'Energy Efficiency Measures-DBT'!$D$59),'Energy Efficiency Measures-DBT'!$B$59,"")&amp;", "&amp;IF(AND(J22&gt;'Energy Efficiency Measures-DBT'!$D$60,Y22&gt;'Energy Efficiency Measures-DBT'!$D$60),'Energy Efficiency Measures-DBT'!$B$60,"")</f>
        <v>, , MG3</v>
      </c>
    </row>
    <row r="23" spans="1:33">
      <c r="A23" s="48" t="s">
        <v>103</v>
      </c>
      <c r="B23" s="48" t="s">
        <v>33</v>
      </c>
      <c r="C23" s="47" t="s">
        <v>34</v>
      </c>
      <c r="D23" s="47" t="s">
        <v>10</v>
      </c>
      <c r="E23" s="498">
        <v>5.6</v>
      </c>
      <c r="F23" s="498">
        <v>5.6</v>
      </c>
      <c r="G23" s="498">
        <v>4.8</v>
      </c>
      <c r="H23" s="498">
        <v>3.3</v>
      </c>
      <c r="I23" s="498">
        <v>3.3</v>
      </c>
      <c r="J23" s="499">
        <v>2.2999999999999998</v>
      </c>
      <c r="K23" s="506">
        <f>SUMPRODUCT('Dwelling stock'!E23:J23,E23:J23)/SUM('Dwelling stock'!E23:J23)</f>
        <v>4.878228581828977</v>
      </c>
      <c r="M23" s="54">
        <v>5.1963330000000001</v>
      </c>
      <c r="P23" s="48" t="s">
        <v>33</v>
      </c>
      <c r="Q23" s="86">
        <f>LOOKUP($A23,'Energy Efficiency Measures-DBT'!$D$11:$AN$11,'Energy Efficiency Measures-DBT'!$D$58:$AN$58)</f>
        <v>2.7</v>
      </c>
      <c r="R23" s="86">
        <f>LOOKUP($A23,'Energy Efficiency Measures-DBT'!$D$11:$AN$11,'Energy Efficiency Measures-DBT'!$D$59:$AN$59)</f>
        <v>1.7</v>
      </c>
      <c r="S23" s="223">
        <f>LOOKUP($A23,'Energy Efficiency Measures-DBT'!$D$11:$AN$11,'Energy Efficiency Measures-DBT'!$D$60:$AN$60)</f>
        <v>0.65</v>
      </c>
      <c r="V23" s="48" t="s">
        <v>33</v>
      </c>
      <c r="W23" s="47" t="s">
        <v>283</v>
      </c>
      <c r="X23" s="428">
        <v>2</v>
      </c>
      <c r="Y23" s="430">
        <v>2</v>
      </c>
      <c r="Z23" s="428">
        <f>X23</f>
        <v>2</v>
      </c>
      <c r="AA23" s="430">
        <v>2</v>
      </c>
      <c r="AB23" s="179" t="str">
        <f>IF(AND(E23&gt;'Energy Efficiency Measures-DBT'!$D$58,Y23&gt;'Energy Efficiency Measures-DBT'!$D$58),'Energy Efficiency Measures-DBT'!$B$58,"")&amp;", "&amp;IF(AND(E23&gt;'Energy Efficiency Measures-DBT'!$D$59,Y23&gt;'Energy Efficiency Measures-DBT'!$D$59),'Energy Efficiency Measures-DBT'!$B$59,"")&amp;", "&amp;IF(AND(E23&gt;'Energy Efficiency Measures-DBT'!$D$60,Y23&gt;'Energy Efficiency Measures-DBT'!$D$60),'Energy Efficiency Measures-DBT'!$B$60,"")</f>
        <v>, MG2, MG3</v>
      </c>
      <c r="AC23" s="164" t="str">
        <f>IF(AND(F23&gt;'Energy Efficiency Measures-DBT'!$D$58,Y23&gt;'Energy Efficiency Measures-DBT'!$D$58),'Energy Efficiency Measures-DBT'!$B$58,"")&amp;", "&amp;IF(AND(F23&gt;'Energy Efficiency Measures-DBT'!$D$59,Y23&gt;'Energy Efficiency Measures-DBT'!$D$59),'Energy Efficiency Measures-DBT'!$B$59,"")&amp;", "&amp;IF(AND(F23&gt;'Energy Efficiency Measures-DBT'!$D$60,Y23&gt;'Energy Efficiency Measures-DBT'!$D$60),'Energy Efficiency Measures-DBT'!$B$60,"")</f>
        <v>, MG2, MG3</v>
      </c>
      <c r="AD23" s="164" t="str">
        <f>IF(AND(G23&gt;'Energy Efficiency Measures-DBT'!$D$58,Y23&gt;'Energy Efficiency Measures-DBT'!$D$58),'Energy Efficiency Measures-DBT'!$B$58,"")&amp;", "&amp;IF(AND(G23&gt;'Energy Efficiency Measures-DBT'!$D$59,Y23&gt;'Energy Efficiency Measures-DBT'!$D$59),'Energy Efficiency Measures-DBT'!$B$59,"")&amp;", "&amp;IF(AND(G23&gt;'Energy Efficiency Measures-DBT'!$D$60,Y23&gt;'Energy Efficiency Measures-DBT'!$D$60),'Energy Efficiency Measures-DBT'!$B$60,"")</f>
        <v>, MG2, MG3</v>
      </c>
      <c r="AE23" s="164" t="str">
        <f>IF(AND(H23&gt;'Energy Efficiency Measures-DBT'!$D$58,Y23&gt;'Energy Efficiency Measures-DBT'!$D$58),'Energy Efficiency Measures-DBT'!$B$58,"")&amp;", "&amp;IF(AND(H23&gt;'Energy Efficiency Measures-DBT'!$D$59,Y23&gt;'Energy Efficiency Measures-DBT'!$D$59),'Energy Efficiency Measures-DBT'!$B$59,"")&amp;", "&amp;IF(AND(H23&gt;'Energy Efficiency Measures-DBT'!$D$60,Y23&gt;'Energy Efficiency Measures-DBT'!$D$60),'Energy Efficiency Measures-DBT'!$B$60,"")</f>
        <v>, MG2, MG3</v>
      </c>
      <c r="AF23" s="164" t="str">
        <f>IF(AND(I23&gt;'Energy Efficiency Measures-DBT'!$D$58,Y23&gt;'Energy Efficiency Measures-DBT'!$D$58),'Energy Efficiency Measures-DBT'!$B$58,"")&amp;", "&amp;IF(AND(I23&gt;'Energy Efficiency Measures-DBT'!$D$59,Y23&gt;'Energy Efficiency Measures-DBT'!$D$59),'Energy Efficiency Measures-DBT'!$B$59,"")&amp;", "&amp;IF(AND(I23&gt;'Energy Efficiency Measures-DBT'!$D$60,Y23&gt;'Energy Efficiency Measures-DBT'!$D$60),'Energy Efficiency Measures-DBT'!$B$60,"")</f>
        <v>, MG2, MG3</v>
      </c>
      <c r="AG23" s="273" t="str">
        <f>IF(AND(J23&gt;'Energy Efficiency Measures-DBT'!$D$58,Y23&gt;'Energy Efficiency Measures-DBT'!$D$58),'Energy Efficiency Measures-DBT'!$B$58,"")&amp;", "&amp;IF(AND(J23&gt;'Energy Efficiency Measures-DBT'!$D$59,Y23&gt;'Energy Efficiency Measures-DBT'!$D$59),'Energy Efficiency Measures-DBT'!$B$59,"")&amp;", "&amp;IF(AND(J23&gt;'Energy Efficiency Measures-DBT'!$D$60,Y23&gt;'Energy Efficiency Measures-DBT'!$D$60),'Energy Efficiency Measures-DBT'!$B$60,"")</f>
        <v>, MG2, MG3</v>
      </c>
    </row>
    <row r="24" spans="1:33">
      <c r="A24" s="48" t="s">
        <v>122</v>
      </c>
      <c r="B24" s="48" t="s">
        <v>201</v>
      </c>
      <c r="C24" s="47"/>
      <c r="D24" s="47" t="s">
        <v>10</v>
      </c>
      <c r="E24" s="498">
        <v>3</v>
      </c>
      <c r="F24" s="498">
        <v>3</v>
      </c>
      <c r="G24" s="498">
        <v>3</v>
      </c>
      <c r="H24" s="498">
        <v>3</v>
      </c>
      <c r="I24" s="498">
        <v>3.1</v>
      </c>
      <c r="J24" s="499">
        <v>2.6</v>
      </c>
      <c r="K24" s="506">
        <f>SUMPRODUCT('Dwelling stock'!E24:J24,E24:J24)/SUM('Dwelling stock'!E24:J24)</f>
        <v>2.9815394282727072</v>
      </c>
      <c r="M24" s="28"/>
      <c r="P24" s="48" t="s">
        <v>201</v>
      </c>
      <c r="Q24" s="86">
        <f>LOOKUP($A24,'Energy Efficiency Measures-DBT'!$D$11:$AN$11,'Energy Efficiency Measures-DBT'!$D$58:$AN$58)</f>
        <v>2.7</v>
      </c>
      <c r="R24" s="86">
        <f>LOOKUP($A24,'Energy Efficiency Measures-DBT'!$D$11:$AN$11,'Energy Efficiency Measures-DBT'!$D$59:$AN$59)</f>
        <v>1.7</v>
      </c>
      <c r="S24" s="223">
        <f>LOOKUP($A24,'Energy Efficiency Measures-DBT'!$D$11:$AN$11,'Energy Efficiency Measures-DBT'!$D$60:$AN$60)</f>
        <v>0.65</v>
      </c>
      <c r="V24" s="48" t="s">
        <v>201</v>
      </c>
      <c r="W24" s="47"/>
      <c r="X24" s="455">
        <v>5</v>
      </c>
      <c r="Y24" s="456">
        <v>5</v>
      </c>
      <c r="Z24" s="455">
        <v>5</v>
      </c>
      <c r="AA24" s="456">
        <v>5</v>
      </c>
      <c r="AB24" s="179" t="str">
        <f>IF(AND(E24&gt;'Energy Efficiency Measures-DBT'!$D$58,Y24&gt;'Energy Efficiency Measures-DBT'!$D$58),'Energy Efficiency Measures-DBT'!$B$58,"")&amp;", "&amp;IF(AND(E24&gt;'Energy Efficiency Measures-DBT'!$D$59,Y24&gt;'Energy Efficiency Measures-DBT'!$D$59),'Energy Efficiency Measures-DBT'!$B$59,"")&amp;", "&amp;IF(AND(E24&gt;'Energy Efficiency Measures-DBT'!$D$60,Y24&gt;'Energy Efficiency Measures-DBT'!$D$60),'Energy Efficiency Measures-DBT'!$B$60,"")</f>
        <v>MG1, MG2, MG3</v>
      </c>
      <c r="AC24" s="164" t="str">
        <f>IF(AND(F24&gt;'Energy Efficiency Measures-DBT'!$D$58,Y24&gt;'Energy Efficiency Measures-DBT'!$D$58),'Energy Efficiency Measures-DBT'!$B$58,"")&amp;", "&amp;IF(AND(F24&gt;'Energy Efficiency Measures-DBT'!$D$59,Y24&gt;'Energy Efficiency Measures-DBT'!$D$59),'Energy Efficiency Measures-DBT'!$B$59,"")&amp;", "&amp;IF(AND(F24&gt;'Energy Efficiency Measures-DBT'!$D$60,Y24&gt;'Energy Efficiency Measures-DBT'!$D$60),'Energy Efficiency Measures-DBT'!$B$60,"")</f>
        <v>MG1, MG2, MG3</v>
      </c>
      <c r="AD24" s="164" t="str">
        <f>IF(AND(G24&gt;'Energy Efficiency Measures-DBT'!$D$58,Y24&gt;'Energy Efficiency Measures-DBT'!$D$58),'Energy Efficiency Measures-DBT'!$B$58,"")&amp;", "&amp;IF(AND(G24&gt;'Energy Efficiency Measures-DBT'!$D$59,Y24&gt;'Energy Efficiency Measures-DBT'!$D$59),'Energy Efficiency Measures-DBT'!$B$59,"")&amp;", "&amp;IF(AND(G24&gt;'Energy Efficiency Measures-DBT'!$D$60,Y24&gt;'Energy Efficiency Measures-DBT'!$D$60),'Energy Efficiency Measures-DBT'!$B$60,"")</f>
        <v>MG1, MG2, MG3</v>
      </c>
      <c r="AE24" s="164" t="str">
        <f>IF(AND(H24&gt;'Energy Efficiency Measures-DBT'!$D$58,Y24&gt;'Energy Efficiency Measures-DBT'!$D$58),'Energy Efficiency Measures-DBT'!$B$58,"")&amp;", "&amp;IF(AND(H24&gt;'Energy Efficiency Measures-DBT'!$D$59,Y24&gt;'Energy Efficiency Measures-DBT'!$D$59),'Energy Efficiency Measures-DBT'!$B$59,"")&amp;", "&amp;IF(AND(H24&gt;'Energy Efficiency Measures-DBT'!$D$60,Y24&gt;'Energy Efficiency Measures-DBT'!$D$60),'Energy Efficiency Measures-DBT'!$B$60,"")</f>
        <v>MG1, MG2, MG3</v>
      </c>
      <c r="AF24" s="164" t="str">
        <f>IF(AND(I24&gt;'Energy Efficiency Measures-DBT'!$D$58,Y24&gt;'Energy Efficiency Measures-DBT'!$D$58),'Energy Efficiency Measures-DBT'!$B$58,"")&amp;", "&amp;IF(AND(I24&gt;'Energy Efficiency Measures-DBT'!$D$59,Y24&gt;'Energy Efficiency Measures-DBT'!$D$59),'Energy Efficiency Measures-DBT'!$B$59,"")&amp;", "&amp;IF(AND(I24&gt;'Energy Efficiency Measures-DBT'!$D$60,Y24&gt;'Energy Efficiency Measures-DBT'!$D$60),'Energy Efficiency Measures-DBT'!$B$60,"")</f>
        <v>MG1, MG2, MG3</v>
      </c>
      <c r="AG24" s="273" t="str">
        <f>IF(AND(J24&gt;'Energy Efficiency Measures-DBT'!$D$58,Y24&gt;'Energy Efficiency Measures-DBT'!$D$58),'Energy Efficiency Measures-DBT'!$B$58,"")&amp;", "&amp;IF(AND(J24&gt;'Energy Efficiency Measures-DBT'!$D$59,Y24&gt;'Energy Efficiency Measures-DBT'!$D$59),'Energy Efficiency Measures-DBT'!$B$59,"")&amp;", "&amp;IF(AND(J24&gt;'Energy Efficiency Measures-DBT'!$D$60,Y24&gt;'Energy Efficiency Measures-DBT'!$D$60),'Energy Efficiency Measures-DBT'!$B$60,"")</f>
        <v>, MG2, MG3</v>
      </c>
    </row>
    <row r="25" spans="1:33">
      <c r="A25" s="48" t="s">
        <v>104</v>
      </c>
      <c r="B25" s="48" t="s">
        <v>36</v>
      </c>
      <c r="C25" s="47" t="s">
        <v>37</v>
      </c>
      <c r="D25" s="47" t="s">
        <v>10</v>
      </c>
      <c r="E25" s="498">
        <v>2.16</v>
      </c>
      <c r="F25" s="498">
        <v>2.16</v>
      </c>
      <c r="G25" s="498">
        <v>1.8</v>
      </c>
      <c r="H25" s="498">
        <v>1.8</v>
      </c>
      <c r="I25" s="498">
        <v>1.8</v>
      </c>
      <c r="J25" s="499">
        <v>1.62</v>
      </c>
      <c r="K25" s="506">
        <f>SUMPRODUCT('Dwelling stock'!E25:J25,E25:J25)/SUM('Dwelling stock'!E25:J25)</f>
        <v>1.9827583738454109</v>
      </c>
      <c r="M25" s="54">
        <v>2.116854</v>
      </c>
      <c r="P25" s="48" t="s">
        <v>36</v>
      </c>
      <c r="Q25" s="86">
        <f>LOOKUP($A25,'Energy Efficiency Measures-DBT'!$D$11:$AN$11,'Energy Efficiency Measures-DBT'!$D$58:$AN$58)</f>
        <v>2.7</v>
      </c>
      <c r="R25" s="86">
        <f>LOOKUP($A25,'Energy Efficiency Measures-DBT'!$D$11:$AN$11,'Energy Efficiency Measures-DBT'!$D$59:$AN$59)</f>
        <v>1.7</v>
      </c>
      <c r="S25" s="223">
        <f>LOOKUP($A25,'Energy Efficiency Measures-DBT'!$D$11:$AN$11,'Energy Efficiency Measures-DBT'!$D$60:$AN$60)</f>
        <v>0.65</v>
      </c>
      <c r="V25" s="48" t="s">
        <v>36</v>
      </c>
      <c r="W25" s="47"/>
      <c r="X25" s="455">
        <v>5</v>
      </c>
      <c r="Y25" s="456">
        <v>5</v>
      </c>
      <c r="Z25" s="455">
        <v>5</v>
      </c>
      <c r="AA25" s="456">
        <v>5</v>
      </c>
      <c r="AB25" s="179" t="str">
        <f>IF(AND(E25&gt;'Energy Efficiency Measures-DBT'!$D$58,Y25&gt;'Energy Efficiency Measures-DBT'!$D$58),'Energy Efficiency Measures-DBT'!$B$58,"")&amp;", "&amp;IF(AND(E25&gt;'Energy Efficiency Measures-DBT'!$D$59,Y25&gt;'Energy Efficiency Measures-DBT'!$D$59),'Energy Efficiency Measures-DBT'!$B$59,"")&amp;", "&amp;IF(AND(E25&gt;'Energy Efficiency Measures-DBT'!$D$60,Y25&gt;'Energy Efficiency Measures-DBT'!$D$60),'Energy Efficiency Measures-DBT'!$B$60,"")</f>
        <v>, MG2, MG3</v>
      </c>
      <c r="AC25" s="164" t="str">
        <f>IF(AND(F25&gt;'Energy Efficiency Measures-DBT'!$D$58,Y25&gt;'Energy Efficiency Measures-DBT'!$D$58),'Energy Efficiency Measures-DBT'!$B$58,"")&amp;", "&amp;IF(AND(F25&gt;'Energy Efficiency Measures-DBT'!$D$59,Y25&gt;'Energy Efficiency Measures-DBT'!$D$59),'Energy Efficiency Measures-DBT'!$B$59,"")&amp;", "&amp;IF(AND(F25&gt;'Energy Efficiency Measures-DBT'!$D$60,Y25&gt;'Energy Efficiency Measures-DBT'!$D$60),'Energy Efficiency Measures-DBT'!$B$60,"")</f>
        <v>, MG2, MG3</v>
      </c>
      <c r="AD25" s="164" t="str">
        <f>IF(AND(G25&gt;'Energy Efficiency Measures-DBT'!$D$58,Y25&gt;'Energy Efficiency Measures-DBT'!$D$58),'Energy Efficiency Measures-DBT'!$B$58,"")&amp;", "&amp;IF(AND(G25&gt;'Energy Efficiency Measures-DBT'!$D$59,Y25&gt;'Energy Efficiency Measures-DBT'!$D$59),'Energy Efficiency Measures-DBT'!$B$59,"")&amp;", "&amp;IF(AND(G25&gt;'Energy Efficiency Measures-DBT'!$D$60,Y25&gt;'Energy Efficiency Measures-DBT'!$D$60),'Energy Efficiency Measures-DBT'!$B$60,"")</f>
        <v>, MG2, MG3</v>
      </c>
      <c r="AE25" s="164" t="str">
        <f>IF(AND(H25&gt;'Energy Efficiency Measures-DBT'!$D$58,Y25&gt;'Energy Efficiency Measures-DBT'!$D$58),'Energy Efficiency Measures-DBT'!$B$58,"")&amp;", "&amp;IF(AND(H25&gt;'Energy Efficiency Measures-DBT'!$D$59,Y25&gt;'Energy Efficiency Measures-DBT'!$D$59),'Energy Efficiency Measures-DBT'!$B$59,"")&amp;", "&amp;IF(AND(H25&gt;'Energy Efficiency Measures-DBT'!$D$60,Y25&gt;'Energy Efficiency Measures-DBT'!$D$60),'Energy Efficiency Measures-DBT'!$B$60,"")</f>
        <v>, MG2, MG3</v>
      </c>
      <c r="AF25" s="164" t="str">
        <f>IF(AND(I25&gt;'Energy Efficiency Measures-DBT'!$D$58,Y25&gt;'Energy Efficiency Measures-DBT'!$D$58),'Energy Efficiency Measures-DBT'!$B$58,"")&amp;", "&amp;IF(AND(I25&gt;'Energy Efficiency Measures-DBT'!$D$59,Y25&gt;'Energy Efficiency Measures-DBT'!$D$59),'Energy Efficiency Measures-DBT'!$B$59,"")&amp;", "&amp;IF(AND(I25&gt;'Energy Efficiency Measures-DBT'!$D$60,Y25&gt;'Energy Efficiency Measures-DBT'!$D$60),'Energy Efficiency Measures-DBT'!$B$60,"")</f>
        <v>, MG2, MG3</v>
      </c>
      <c r="AG25" s="273" t="str">
        <f>IF(AND(J25&gt;'Energy Efficiency Measures-DBT'!$D$58,Y25&gt;'Energy Efficiency Measures-DBT'!$D$58),'Energy Efficiency Measures-DBT'!$B$58,"")&amp;", "&amp;IF(AND(J25&gt;'Energy Efficiency Measures-DBT'!$D$59,Y25&gt;'Energy Efficiency Measures-DBT'!$D$59),'Energy Efficiency Measures-DBT'!$B$59,"")&amp;", "&amp;IF(AND(J25&gt;'Energy Efficiency Measures-DBT'!$D$60,Y25&gt;'Energy Efficiency Measures-DBT'!$D$60),'Energy Efficiency Measures-DBT'!$B$60,"")</f>
        <v>, , MG3</v>
      </c>
    </row>
    <row r="26" spans="1:33">
      <c r="A26" s="48" t="s">
        <v>105</v>
      </c>
      <c r="B26" s="48" t="s">
        <v>38</v>
      </c>
      <c r="C26" s="47" t="s">
        <v>14</v>
      </c>
      <c r="D26" s="47" t="s">
        <v>10</v>
      </c>
      <c r="E26" s="498">
        <v>4.47</v>
      </c>
      <c r="F26" s="498">
        <v>3.7708010000000001</v>
      </c>
      <c r="G26" s="498">
        <v>3</v>
      </c>
      <c r="H26" s="498">
        <v>2</v>
      </c>
      <c r="I26" s="498">
        <v>1.6</v>
      </c>
      <c r="J26" s="499">
        <v>1.3</v>
      </c>
      <c r="K26" s="506">
        <f>SUMPRODUCT('Dwelling stock'!E26:J26,E26:J26)/SUM('Dwelling stock'!E26:J26)</f>
        <v>3.1825360382668557</v>
      </c>
      <c r="M26" s="54">
        <v>3.1526740000000002</v>
      </c>
      <c r="P26" s="48" t="s">
        <v>38</v>
      </c>
      <c r="Q26" s="86">
        <f>LOOKUP($A26,'Energy Efficiency Measures-DBT'!$D$11:$AN$11,'Energy Efficiency Measures-DBT'!$D$58:$AN$58)</f>
        <v>2.7</v>
      </c>
      <c r="R26" s="86">
        <f>LOOKUP($A26,'Energy Efficiency Measures-DBT'!$D$11:$AN$11,'Energy Efficiency Measures-DBT'!$D$59:$AN$59)</f>
        <v>1.7</v>
      </c>
      <c r="S26" s="223">
        <f>LOOKUP($A26,'Energy Efficiency Measures-DBT'!$D$11:$AN$11,'Energy Efficiency Measures-DBT'!$D$60:$AN$60)</f>
        <v>0.65</v>
      </c>
      <c r="V26" s="48" t="s">
        <v>38</v>
      </c>
      <c r="W26" s="47"/>
      <c r="X26" s="455">
        <v>5</v>
      </c>
      <c r="Y26" s="456">
        <v>5</v>
      </c>
      <c r="Z26" s="455">
        <v>5</v>
      </c>
      <c r="AA26" s="456">
        <v>5</v>
      </c>
      <c r="AB26" s="179" t="str">
        <f>IF(AND(E26&gt;'Energy Efficiency Measures-DBT'!$D$58,Y26&gt;'Energy Efficiency Measures-DBT'!$D$58),'Energy Efficiency Measures-DBT'!$B$58,"")&amp;", "&amp;IF(AND(E26&gt;'Energy Efficiency Measures-DBT'!$D$59,Y26&gt;'Energy Efficiency Measures-DBT'!$D$59),'Energy Efficiency Measures-DBT'!$B$59,"")&amp;", "&amp;IF(AND(E26&gt;'Energy Efficiency Measures-DBT'!$D$60,Y26&gt;'Energy Efficiency Measures-DBT'!$D$60),'Energy Efficiency Measures-DBT'!$B$60,"")</f>
        <v>MG1, MG2, MG3</v>
      </c>
      <c r="AC26" s="164" t="str">
        <f>IF(AND(F26&gt;'Energy Efficiency Measures-DBT'!$D$58,Y26&gt;'Energy Efficiency Measures-DBT'!$D$58),'Energy Efficiency Measures-DBT'!$B$58,"")&amp;", "&amp;IF(AND(F26&gt;'Energy Efficiency Measures-DBT'!$D$59,Y26&gt;'Energy Efficiency Measures-DBT'!$D$59),'Energy Efficiency Measures-DBT'!$B$59,"")&amp;", "&amp;IF(AND(F26&gt;'Energy Efficiency Measures-DBT'!$D$60,Y26&gt;'Energy Efficiency Measures-DBT'!$D$60),'Energy Efficiency Measures-DBT'!$B$60,"")</f>
        <v>MG1, MG2, MG3</v>
      </c>
      <c r="AD26" s="164" t="str">
        <f>IF(AND(G26&gt;'Energy Efficiency Measures-DBT'!$D$58,Y26&gt;'Energy Efficiency Measures-DBT'!$D$58),'Energy Efficiency Measures-DBT'!$B$58,"")&amp;", "&amp;IF(AND(G26&gt;'Energy Efficiency Measures-DBT'!$D$59,Y26&gt;'Energy Efficiency Measures-DBT'!$D$59),'Energy Efficiency Measures-DBT'!$B$59,"")&amp;", "&amp;IF(AND(G26&gt;'Energy Efficiency Measures-DBT'!$D$60,Y26&gt;'Energy Efficiency Measures-DBT'!$D$60),'Energy Efficiency Measures-DBT'!$B$60,"")</f>
        <v>MG1, MG2, MG3</v>
      </c>
      <c r="AE26" s="164" t="str">
        <f>IF(AND(H26&gt;'Energy Efficiency Measures-DBT'!$D$58,Y26&gt;'Energy Efficiency Measures-DBT'!$D$58),'Energy Efficiency Measures-DBT'!$B$58,"")&amp;", "&amp;IF(AND(H26&gt;'Energy Efficiency Measures-DBT'!$D$59,Y26&gt;'Energy Efficiency Measures-DBT'!$D$59),'Energy Efficiency Measures-DBT'!$B$59,"")&amp;", "&amp;IF(AND(H26&gt;'Energy Efficiency Measures-DBT'!$D$60,Y26&gt;'Energy Efficiency Measures-DBT'!$D$60),'Energy Efficiency Measures-DBT'!$B$60,"")</f>
        <v>, MG2, MG3</v>
      </c>
      <c r="AF26" s="164" t="str">
        <f>IF(AND(I26&gt;'Energy Efficiency Measures-DBT'!$D$58,Y26&gt;'Energy Efficiency Measures-DBT'!$D$58),'Energy Efficiency Measures-DBT'!$B$58,"")&amp;", "&amp;IF(AND(I26&gt;'Energy Efficiency Measures-DBT'!$D$59,Y26&gt;'Energy Efficiency Measures-DBT'!$D$59),'Energy Efficiency Measures-DBT'!$B$59,"")&amp;", "&amp;IF(AND(I26&gt;'Energy Efficiency Measures-DBT'!$D$60,Y26&gt;'Energy Efficiency Measures-DBT'!$D$60),'Energy Efficiency Measures-DBT'!$B$60,"")</f>
        <v>, , MG3</v>
      </c>
      <c r="AG26" s="273" t="str">
        <f>IF(AND(J26&gt;'Energy Efficiency Measures-DBT'!$D$58,Y26&gt;'Energy Efficiency Measures-DBT'!$D$58),'Energy Efficiency Measures-DBT'!$B$58,"")&amp;", "&amp;IF(AND(J26&gt;'Energy Efficiency Measures-DBT'!$D$59,Y26&gt;'Energy Efficiency Measures-DBT'!$D$59),'Energy Efficiency Measures-DBT'!$B$59,"")&amp;", "&amp;IF(AND(J26&gt;'Energy Efficiency Measures-DBT'!$D$60,Y26&gt;'Energy Efficiency Measures-DBT'!$D$60),'Energy Efficiency Measures-DBT'!$B$60,"")</f>
        <v>, , MG3</v>
      </c>
    </row>
    <row r="27" spans="1:33">
      <c r="A27" s="48" t="s">
        <v>106</v>
      </c>
      <c r="B27" s="48" t="s">
        <v>35</v>
      </c>
      <c r="C27" s="47"/>
      <c r="D27" s="47" t="s">
        <v>10</v>
      </c>
      <c r="E27" s="498">
        <v>2.7</v>
      </c>
      <c r="F27" s="498">
        <v>2.5</v>
      </c>
      <c r="G27" s="498">
        <v>2.5</v>
      </c>
      <c r="H27" s="498">
        <v>1.8</v>
      </c>
      <c r="I27" s="498">
        <v>1.8</v>
      </c>
      <c r="J27" s="499">
        <v>1.62</v>
      </c>
      <c r="K27" s="506">
        <f>SUMPRODUCT('Dwelling stock'!E27:J27,E27:J27)/SUM('Dwelling stock'!E27:J27)</f>
        <v>2.2965650117788967</v>
      </c>
      <c r="M27" s="54">
        <v>2.32504</v>
      </c>
      <c r="P27" s="48" t="s">
        <v>35</v>
      </c>
      <c r="Q27" s="86">
        <f>LOOKUP($A27,'Energy Efficiency Measures-DBT'!$D$11:$AN$11,'Energy Efficiency Measures-DBT'!$D$58:$AN$58)</f>
        <v>2.7</v>
      </c>
      <c r="R27" s="86">
        <f>LOOKUP($A27,'Energy Efficiency Measures-DBT'!$D$11:$AN$11,'Energy Efficiency Measures-DBT'!$D$59:$AN$59)</f>
        <v>1.7</v>
      </c>
      <c r="S27" s="223">
        <f>LOOKUP($A27,'Energy Efficiency Measures-DBT'!$D$11:$AN$11,'Energy Efficiency Measures-DBT'!$D$60:$AN$60)</f>
        <v>0.65</v>
      </c>
      <c r="V27" s="48" t="s">
        <v>35</v>
      </c>
      <c r="W27" s="47"/>
      <c r="X27" s="455">
        <v>5</v>
      </c>
      <c r="Y27" s="456">
        <v>5</v>
      </c>
      <c r="Z27" s="455">
        <v>5</v>
      </c>
      <c r="AA27" s="456">
        <v>5</v>
      </c>
      <c r="AB27" s="179" t="str">
        <f>IF(AND(E27&gt;'Energy Efficiency Measures-DBT'!$D$58,Y27&gt;'Energy Efficiency Measures-DBT'!$D$58),'Energy Efficiency Measures-DBT'!$B$58,"")&amp;", "&amp;IF(AND(E27&gt;'Energy Efficiency Measures-DBT'!$D$59,Y27&gt;'Energy Efficiency Measures-DBT'!$D$59),'Energy Efficiency Measures-DBT'!$B$59,"")&amp;", "&amp;IF(AND(E27&gt;'Energy Efficiency Measures-DBT'!$D$60,Y27&gt;'Energy Efficiency Measures-DBT'!$D$60),'Energy Efficiency Measures-DBT'!$B$60,"")</f>
        <v>, MG2, MG3</v>
      </c>
      <c r="AC27" s="164" t="str">
        <f>IF(AND(F27&gt;'Energy Efficiency Measures-DBT'!$D$58,Y27&gt;'Energy Efficiency Measures-DBT'!$D$58),'Energy Efficiency Measures-DBT'!$B$58,"")&amp;", "&amp;IF(AND(F27&gt;'Energy Efficiency Measures-DBT'!$D$59,Y27&gt;'Energy Efficiency Measures-DBT'!$D$59),'Energy Efficiency Measures-DBT'!$B$59,"")&amp;", "&amp;IF(AND(F27&gt;'Energy Efficiency Measures-DBT'!$D$60,Y27&gt;'Energy Efficiency Measures-DBT'!$D$60),'Energy Efficiency Measures-DBT'!$B$60,"")</f>
        <v>, MG2, MG3</v>
      </c>
      <c r="AD27" s="164" t="str">
        <f>IF(AND(G27&gt;'Energy Efficiency Measures-DBT'!$D$58,Y27&gt;'Energy Efficiency Measures-DBT'!$D$58),'Energy Efficiency Measures-DBT'!$B$58,"")&amp;", "&amp;IF(AND(G27&gt;'Energy Efficiency Measures-DBT'!$D$59,Y27&gt;'Energy Efficiency Measures-DBT'!$D$59),'Energy Efficiency Measures-DBT'!$B$59,"")&amp;", "&amp;IF(AND(G27&gt;'Energy Efficiency Measures-DBT'!$D$60,Y27&gt;'Energy Efficiency Measures-DBT'!$D$60),'Energy Efficiency Measures-DBT'!$B$60,"")</f>
        <v>, MG2, MG3</v>
      </c>
      <c r="AE27" s="164" t="str">
        <f>IF(AND(H27&gt;'Energy Efficiency Measures-DBT'!$D$58,Y27&gt;'Energy Efficiency Measures-DBT'!$D$58),'Energy Efficiency Measures-DBT'!$B$58,"")&amp;", "&amp;IF(AND(H27&gt;'Energy Efficiency Measures-DBT'!$D$59,Y27&gt;'Energy Efficiency Measures-DBT'!$D$59),'Energy Efficiency Measures-DBT'!$B$59,"")&amp;", "&amp;IF(AND(H27&gt;'Energy Efficiency Measures-DBT'!$D$60,Y27&gt;'Energy Efficiency Measures-DBT'!$D$60),'Energy Efficiency Measures-DBT'!$B$60,"")</f>
        <v>, MG2, MG3</v>
      </c>
      <c r="AF27" s="164" t="str">
        <f>IF(AND(I27&gt;'Energy Efficiency Measures-DBT'!$D$58,Y27&gt;'Energy Efficiency Measures-DBT'!$D$58),'Energy Efficiency Measures-DBT'!$B$58,"")&amp;", "&amp;IF(AND(I27&gt;'Energy Efficiency Measures-DBT'!$D$59,Y27&gt;'Energy Efficiency Measures-DBT'!$D$59),'Energy Efficiency Measures-DBT'!$B$59,"")&amp;", "&amp;IF(AND(I27&gt;'Energy Efficiency Measures-DBT'!$D$60,Y27&gt;'Energy Efficiency Measures-DBT'!$D$60),'Energy Efficiency Measures-DBT'!$B$60,"")</f>
        <v>, MG2, MG3</v>
      </c>
      <c r="AG27" s="273" t="str">
        <f>IF(AND(J27&gt;'Energy Efficiency Measures-DBT'!$D$58,Y27&gt;'Energy Efficiency Measures-DBT'!$D$58),'Energy Efficiency Measures-DBT'!$B$58,"")&amp;", "&amp;IF(AND(J27&gt;'Energy Efficiency Measures-DBT'!$D$59,Y27&gt;'Energy Efficiency Measures-DBT'!$D$59),'Energy Efficiency Measures-DBT'!$B$59,"")&amp;", "&amp;IF(AND(J27&gt;'Energy Efficiency Measures-DBT'!$D$60,Y27&gt;'Energy Efficiency Measures-DBT'!$D$60),'Energy Efficiency Measures-DBT'!$B$60,"")</f>
        <v>, , MG3</v>
      </c>
    </row>
    <row r="28" spans="1:33">
      <c r="A28" s="48" t="s">
        <v>119</v>
      </c>
      <c r="B28" s="48" t="s">
        <v>204</v>
      </c>
      <c r="C28" s="47"/>
      <c r="D28" s="47" t="s">
        <v>10</v>
      </c>
      <c r="E28" s="498">
        <v>3</v>
      </c>
      <c r="F28" s="498">
        <v>3</v>
      </c>
      <c r="G28" s="498">
        <v>3</v>
      </c>
      <c r="H28" s="498">
        <v>3</v>
      </c>
      <c r="I28" s="498">
        <v>3.1</v>
      </c>
      <c r="J28" s="499">
        <v>2.6</v>
      </c>
      <c r="K28" s="506">
        <f>SUMPRODUCT('Dwelling stock'!E28:J28,E28:J28)/SUM('Dwelling stock'!E28:J28)</f>
        <v>2.9815394282727072</v>
      </c>
      <c r="M28" s="28"/>
      <c r="P28" s="48" t="s">
        <v>204</v>
      </c>
      <c r="Q28" s="86">
        <f>LOOKUP($A28,'Energy Efficiency Measures-DBT'!$D$11:$AN$11,'Energy Efficiency Measures-DBT'!$D$58:$AN$58)</f>
        <v>2.7</v>
      </c>
      <c r="R28" s="86">
        <f>LOOKUP($A28,'Energy Efficiency Measures-DBT'!$D$11:$AN$11,'Energy Efficiency Measures-DBT'!$D$59:$AN$59)</f>
        <v>1.7</v>
      </c>
      <c r="S28" s="223">
        <f>LOOKUP($A28,'Energy Efficiency Measures-DBT'!$D$11:$AN$11,'Energy Efficiency Measures-DBT'!$D$60:$AN$60)</f>
        <v>0.65</v>
      </c>
      <c r="V28" s="48" t="s">
        <v>204</v>
      </c>
      <c r="W28" s="47"/>
      <c r="X28" s="455">
        <v>5</v>
      </c>
      <c r="Y28" s="456">
        <v>5</v>
      </c>
      <c r="Z28" s="455">
        <v>5</v>
      </c>
      <c r="AA28" s="456">
        <v>5</v>
      </c>
      <c r="AB28" s="179" t="str">
        <f>IF(AND(E28&gt;'Energy Efficiency Measures-DBT'!$D$58,Y28&gt;'Energy Efficiency Measures-DBT'!$D$58),'Energy Efficiency Measures-DBT'!$B$58,"")&amp;", "&amp;IF(AND(E28&gt;'Energy Efficiency Measures-DBT'!$D$59,Y28&gt;'Energy Efficiency Measures-DBT'!$D$59),'Energy Efficiency Measures-DBT'!$B$59,"")&amp;", "&amp;IF(AND(E28&gt;'Energy Efficiency Measures-DBT'!$D$60,Y28&gt;'Energy Efficiency Measures-DBT'!$D$60),'Energy Efficiency Measures-DBT'!$B$60,"")</f>
        <v>MG1, MG2, MG3</v>
      </c>
      <c r="AC28" s="164" t="str">
        <f>IF(AND(F28&gt;'Energy Efficiency Measures-DBT'!$D$58,Y28&gt;'Energy Efficiency Measures-DBT'!$D$58),'Energy Efficiency Measures-DBT'!$B$58,"")&amp;", "&amp;IF(AND(F28&gt;'Energy Efficiency Measures-DBT'!$D$59,Y28&gt;'Energy Efficiency Measures-DBT'!$D$59),'Energy Efficiency Measures-DBT'!$B$59,"")&amp;", "&amp;IF(AND(F28&gt;'Energy Efficiency Measures-DBT'!$D$60,Y28&gt;'Energy Efficiency Measures-DBT'!$D$60),'Energy Efficiency Measures-DBT'!$B$60,"")</f>
        <v>MG1, MG2, MG3</v>
      </c>
      <c r="AD28" s="164" t="str">
        <f>IF(AND(G28&gt;'Energy Efficiency Measures-DBT'!$D$58,Y28&gt;'Energy Efficiency Measures-DBT'!$D$58),'Energy Efficiency Measures-DBT'!$B$58,"")&amp;", "&amp;IF(AND(G28&gt;'Energy Efficiency Measures-DBT'!$D$59,Y28&gt;'Energy Efficiency Measures-DBT'!$D$59),'Energy Efficiency Measures-DBT'!$B$59,"")&amp;", "&amp;IF(AND(G28&gt;'Energy Efficiency Measures-DBT'!$D$60,Y28&gt;'Energy Efficiency Measures-DBT'!$D$60),'Energy Efficiency Measures-DBT'!$B$60,"")</f>
        <v>MG1, MG2, MG3</v>
      </c>
      <c r="AE28" s="164" t="str">
        <f>IF(AND(H28&gt;'Energy Efficiency Measures-DBT'!$D$58,Y28&gt;'Energy Efficiency Measures-DBT'!$D$58),'Energy Efficiency Measures-DBT'!$B$58,"")&amp;", "&amp;IF(AND(H28&gt;'Energy Efficiency Measures-DBT'!$D$59,Y28&gt;'Energy Efficiency Measures-DBT'!$D$59),'Energy Efficiency Measures-DBT'!$B$59,"")&amp;", "&amp;IF(AND(H28&gt;'Energy Efficiency Measures-DBT'!$D$60,Y28&gt;'Energy Efficiency Measures-DBT'!$D$60),'Energy Efficiency Measures-DBT'!$B$60,"")</f>
        <v>MG1, MG2, MG3</v>
      </c>
      <c r="AF28" s="164" t="str">
        <f>IF(AND(I28&gt;'Energy Efficiency Measures-DBT'!$D$58,Y28&gt;'Energy Efficiency Measures-DBT'!$D$58),'Energy Efficiency Measures-DBT'!$B$58,"")&amp;", "&amp;IF(AND(I28&gt;'Energy Efficiency Measures-DBT'!$D$59,Y28&gt;'Energy Efficiency Measures-DBT'!$D$59),'Energy Efficiency Measures-DBT'!$B$59,"")&amp;", "&amp;IF(AND(I28&gt;'Energy Efficiency Measures-DBT'!$D$60,Y28&gt;'Energy Efficiency Measures-DBT'!$D$60),'Energy Efficiency Measures-DBT'!$B$60,"")</f>
        <v>MG1, MG2, MG3</v>
      </c>
      <c r="AG28" s="273" t="str">
        <f>IF(AND(J28&gt;'Energy Efficiency Measures-DBT'!$D$58,Y28&gt;'Energy Efficiency Measures-DBT'!$D$58),'Energy Efficiency Measures-DBT'!$B$58,"")&amp;", "&amp;IF(AND(J28&gt;'Energy Efficiency Measures-DBT'!$D$59,Y28&gt;'Energy Efficiency Measures-DBT'!$D$59),'Energy Efficiency Measures-DBT'!$B$59,"")&amp;", "&amp;IF(AND(J28&gt;'Energy Efficiency Measures-DBT'!$D$60,Y28&gt;'Energy Efficiency Measures-DBT'!$D$60),'Energy Efficiency Measures-DBT'!$B$60,"")</f>
        <v>, MG2, MG3</v>
      </c>
    </row>
    <row r="29" spans="1:33">
      <c r="A29" s="48" t="s">
        <v>120</v>
      </c>
      <c r="B29" s="48" t="s">
        <v>203</v>
      </c>
      <c r="C29" s="47"/>
      <c r="D29" s="47" t="s">
        <v>10</v>
      </c>
      <c r="E29" s="498">
        <v>2.65</v>
      </c>
      <c r="F29" s="498">
        <v>2.65</v>
      </c>
      <c r="G29" s="498">
        <v>2.65</v>
      </c>
      <c r="H29" s="498">
        <v>2.65</v>
      </c>
      <c r="I29" s="498">
        <v>2.65</v>
      </c>
      <c r="J29" s="499">
        <v>2.2250000000000001</v>
      </c>
      <c r="K29" s="506">
        <f>SUMPRODUCT('Dwelling stock'!E29:J29,E29:J29)/SUM('Dwelling stock'!E29:J29)</f>
        <v>2.5889155343608046</v>
      </c>
      <c r="M29" s="28"/>
      <c r="P29" s="48" t="s">
        <v>203</v>
      </c>
      <c r="Q29" s="86">
        <f>LOOKUP($A29,'Energy Efficiency Measures-DBT'!$D$11:$AN$11,'Energy Efficiency Measures-DBT'!$D$58:$AN$58)</f>
        <v>2.7</v>
      </c>
      <c r="R29" s="86">
        <f>LOOKUP($A29,'Energy Efficiency Measures-DBT'!$D$11:$AN$11,'Energy Efficiency Measures-DBT'!$D$59:$AN$59)</f>
        <v>1.7</v>
      </c>
      <c r="S29" s="223">
        <f>LOOKUP($A29,'Energy Efficiency Measures-DBT'!$D$11:$AN$11,'Energy Efficiency Measures-DBT'!$D$60:$AN$60)</f>
        <v>0.65</v>
      </c>
      <c r="V29" s="48" t="s">
        <v>203</v>
      </c>
      <c r="W29" s="47"/>
      <c r="X29" s="455">
        <v>5</v>
      </c>
      <c r="Y29" s="456">
        <v>5</v>
      </c>
      <c r="Z29" s="455">
        <v>5</v>
      </c>
      <c r="AA29" s="456">
        <v>5</v>
      </c>
      <c r="AB29" s="179" t="str">
        <f>IF(AND(E29&gt;'Energy Efficiency Measures-DBT'!$D$58,Y29&gt;'Energy Efficiency Measures-DBT'!$D$58),'Energy Efficiency Measures-DBT'!$B$58,"")&amp;", "&amp;IF(AND(E29&gt;'Energy Efficiency Measures-DBT'!$D$59,Y29&gt;'Energy Efficiency Measures-DBT'!$D$59),'Energy Efficiency Measures-DBT'!$B$59,"")&amp;", "&amp;IF(AND(E29&gt;'Energy Efficiency Measures-DBT'!$D$60,Y29&gt;'Energy Efficiency Measures-DBT'!$D$60),'Energy Efficiency Measures-DBT'!$B$60,"")</f>
        <v>, MG2, MG3</v>
      </c>
      <c r="AC29" s="164" t="str">
        <f>IF(AND(F29&gt;'Energy Efficiency Measures-DBT'!$D$58,Y29&gt;'Energy Efficiency Measures-DBT'!$D$58),'Energy Efficiency Measures-DBT'!$B$58,"")&amp;", "&amp;IF(AND(F29&gt;'Energy Efficiency Measures-DBT'!$D$59,Y29&gt;'Energy Efficiency Measures-DBT'!$D$59),'Energy Efficiency Measures-DBT'!$B$59,"")&amp;", "&amp;IF(AND(F29&gt;'Energy Efficiency Measures-DBT'!$D$60,Y29&gt;'Energy Efficiency Measures-DBT'!$D$60),'Energy Efficiency Measures-DBT'!$B$60,"")</f>
        <v>, MG2, MG3</v>
      </c>
      <c r="AD29" s="164" t="str">
        <f>IF(AND(G29&gt;'Energy Efficiency Measures-DBT'!$D$58,Y29&gt;'Energy Efficiency Measures-DBT'!$D$58),'Energy Efficiency Measures-DBT'!$B$58,"")&amp;", "&amp;IF(AND(G29&gt;'Energy Efficiency Measures-DBT'!$D$59,Y29&gt;'Energy Efficiency Measures-DBT'!$D$59),'Energy Efficiency Measures-DBT'!$B$59,"")&amp;", "&amp;IF(AND(G29&gt;'Energy Efficiency Measures-DBT'!$D$60,Y29&gt;'Energy Efficiency Measures-DBT'!$D$60),'Energy Efficiency Measures-DBT'!$B$60,"")</f>
        <v>, MG2, MG3</v>
      </c>
      <c r="AE29" s="164" t="str">
        <f>IF(AND(H29&gt;'Energy Efficiency Measures-DBT'!$D$58,Y29&gt;'Energy Efficiency Measures-DBT'!$D$58),'Energy Efficiency Measures-DBT'!$B$58,"")&amp;", "&amp;IF(AND(H29&gt;'Energy Efficiency Measures-DBT'!$D$59,Y29&gt;'Energy Efficiency Measures-DBT'!$D$59),'Energy Efficiency Measures-DBT'!$B$59,"")&amp;", "&amp;IF(AND(H29&gt;'Energy Efficiency Measures-DBT'!$D$60,Y29&gt;'Energy Efficiency Measures-DBT'!$D$60),'Energy Efficiency Measures-DBT'!$B$60,"")</f>
        <v>, MG2, MG3</v>
      </c>
      <c r="AF29" s="164" t="str">
        <f>IF(AND(I29&gt;'Energy Efficiency Measures-DBT'!$D$58,Y29&gt;'Energy Efficiency Measures-DBT'!$D$58),'Energy Efficiency Measures-DBT'!$B$58,"")&amp;", "&amp;IF(AND(I29&gt;'Energy Efficiency Measures-DBT'!$D$59,Y29&gt;'Energy Efficiency Measures-DBT'!$D$59),'Energy Efficiency Measures-DBT'!$B$59,"")&amp;", "&amp;IF(AND(I29&gt;'Energy Efficiency Measures-DBT'!$D$60,Y29&gt;'Energy Efficiency Measures-DBT'!$D$60),'Energy Efficiency Measures-DBT'!$B$60,"")</f>
        <v>, MG2, MG3</v>
      </c>
      <c r="AG29" s="273" t="str">
        <f>IF(AND(J29&gt;'Energy Efficiency Measures-DBT'!$D$58,Y29&gt;'Energy Efficiency Measures-DBT'!$D$58),'Energy Efficiency Measures-DBT'!$B$58,"")&amp;", "&amp;IF(AND(J29&gt;'Energy Efficiency Measures-DBT'!$D$59,Y29&gt;'Energy Efficiency Measures-DBT'!$D$59),'Energy Efficiency Measures-DBT'!$B$59,"")&amp;", "&amp;IF(AND(J29&gt;'Energy Efficiency Measures-DBT'!$D$60,Y29&gt;'Energy Efficiency Measures-DBT'!$D$60),'Energy Efficiency Measures-DBT'!$B$60,"")</f>
        <v>, MG2, MG3</v>
      </c>
    </row>
    <row r="30" spans="1:33">
      <c r="A30" s="48" t="s">
        <v>107</v>
      </c>
      <c r="B30" s="48" t="s">
        <v>39</v>
      </c>
      <c r="C30" s="47" t="s">
        <v>40</v>
      </c>
      <c r="D30" s="47" t="s">
        <v>10</v>
      </c>
      <c r="E30" s="498">
        <v>5.8</v>
      </c>
      <c r="F30" s="498">
        <v>5.8</v>
      </c>
      <c r="G30" s="498">
        <v>5.8</v>
      </c>
      <c r="H30" s="498">
        <v>5.8</v>
      </c>
      <c r="I30" s="498">
        <v>5.8</v>
      </c>
      <c r="J30" s="499">
        <v>5.8</v>
      </c>
      <c r="K30" s="506">
        <f>SUMPRODUCT('Dwelling stock'!E30:J30,E30:J30)/SUM('Dwelling stock'!E30:J30)</f>
        <v>5.8000000000000016</v>
      </c>
      <c r="M30" s="54">
        <v>5.8</v>
      </c>
      <c r="P30" s="48" t="s">
        <v>39</v>
      </c>
      <c r="Q30" s="86">
        <f>LOOKUP($A30,'Energy Efficiency Measures-DBT'!$D$11:$AN$11,'Energy Efficiency Measures-DBT'!$D$58:$AN$58)</f>
        <v>2.7</v>
      </c>
      <c r="R30" s="86">
        <f>LOOKUP($A30,'Energy Efficiency Measures-DBT'!$D$11:$AN$11,'Energy Efficiency Measures-DBT'!$D$59:$AN$59)</f>
        <v>1.7</v>
      </c>
      <c r="S30" s="223">
        <f>LOOKUP($A30,'Energy Efficiency Measures-DBT'!$D$11:$AN$11,'Energy Efficiency Measures-DBT'!$D$60:$AN$60)</f>
        <v>0.65</v>
      </c>
      <c r="V30" s="48" t="s">
        <v>39</v>
      </c>
      <c r="W30" s="47"/>
      <c r="X30" s="455">
        <v>5</v>
      </c>
      <c r="Y30" s="456">
        <v>5</v>
      </c>
      <c r="Z30" s="455">
        <v>5</v>
      </c>
      <c r="AA30" s="456">
        <v>5</v>
      </c>
      <c r="AB30" s="179" t="str">
        <f>IF(AND(E30&gt;'Energy Efficiency Measures-DBT'!$D$58,Y30&gt;'Energy Efficiency Measures-DBT'!$D$58),'Energy Efficiency Measures-DBT'!$B$58,"")&amp;", "&amp;IF(AND(E30&gt;'Energy Efficiency Measures-DBT'!$D$59,Y30&gt;'Energy Efficiency Measures-DBT'!$D$59),'Energy Efficiency Measures-DBT'!$B$59,"")&amp;", "&amp;IF(AND(E30&gt;'Energy Efficiency Measures-DBT'!$D$60,Y30&gt;'Energy Efficiency Measures-DBT'!$D$60),'Energy Efficiency Measures-DBT'!$B$60,"")</f>
        <v>MG1, MG2, MG3</v>
      </c>
      <c r="AC30" s="164" t="str">
        <f>IF(AND(F30&gt;'Energy Efficiency Measures-DBT'!$D$58,Y30&gt;'Energy Efficiency Measures-DBT'!$D$58),'Energy Efficiency Measures-DBT'!$B$58,"")&amp;", "&amp;IF(AND(F30&gt;'Energy Efficiency Measures-DBT'!$D$59,Y30&gt;'Energy Efficiency Measures-DBT'!$D$59),'Energy Efficiency Measures-DBT'!$B$59,"")&amp;", "&amp;IF(AND(F30&gt;'Energy Efficiency Measures-DBT'!$D$60,Y30&gt;'Energy Efficiency Measures-DBT'!$D$60),'Energy Efficiency Measures-DBT'!$B$60,"")</f>
        <v>MG1, MG2, MG3</v>
      </c>
      <c r="AD30" s="164" t="str">
        <f>IF(AND(G30&gt;'Energy Efficiency Measures-DBT'!$D$58,Y30&gt;'Energy Efficiency Measures-DBT'!$D$58),'Energy Efficiency Measures-DBT'!$B$58,"")&amp;", "&amp;IF(AND(G30&gt;'Energy Efficiency Measures-DBT'!$D$59,Y30&gt;'Energy Efficiency Measures-DBT'!$D$59),'Energy Efficiency Measures-DBT'!$B$59,"")&amp;", "&amp;IF(AND(G30&gt;'Energy Efficiency Measures-DBT'!$D$60,Y30&gt;'Energy Efficiency Measures-DBT'!$D$60),'Energy Efficiency Measures-DBT'!$B$60,"")</f>
        <v>MG1, MG2, MG3</v>
      </c>
      <c r="AE30" s="164" t="str">
        <f>IF(AND(H30&gt;'Energy Efficiency Measures-DBT'!$D$58,Y30&gt;'Energy Efficiency Measures-DBT'!$D$58),'Energy Efficiency Measures-DBT'!$B$58,"")&amp;", "&amp;IF(AND(H30&gt;'Energy Efficiency Measures-DBT'!$D$59,Y30&gt;'Energy Efficiency Measures-DBT'!$D$59),'Energy Efficiency Measures-DBT'!$B$59,"")&amp;", "&amp;IF(AND(H30&gt;'Energy Efficiency Measures-DBT'!$D$60,Y30&gt;'Energy Efficiency Measures-DBT'!$D$60),'Energy Efficiency Measures-DBT'!$B$60,"")</f>
        <v>MG1, MG2, MG3</v>
      </c>
      <c r="AF30" s="164" t="str">
        <f>IF(AND(I30&gt;'Energy Efficiency Measures-DBT'!$D$58,Y30&gt;'Energy Efficiency Measures-DBT'!$D$58),'Energy Efficiency Measures-DBT'!$B$58,"")&amp;", "&amp;IF(AND(I30&gt;'Energy Efficiency Measures-DBT'!$D$59,Y30&gt;'Energy Efficiency Measures-DBT'!$D$59),'Energy Efficiency Measures-DBT'!$B$59,"")&amp;", "&amp;IF(AND(I30&gt;'Energy Efficiency Measures-DBT'!$D$60,Y30&gt;'Energy Efficiency Measures-DBT'!$D$60),'Energy Efficiency Measures-DBT'!$B$60,"")</f>
        <v>MG1, MG2, MG3</v>
      </c>
      <c r="AG30" s="273" t="str">
        <f>IF(AND(J30&gt;'Energy Efficiency Measures-DBT'!$D$58,Y30&gt;'Energy Efficiency Measures-DBT'!$D$58),'Energy Efficiency Measures-DBT'!$B$58,"")&amp;", "&amp;IF(AND(J30&gt;'Energy Efficiency Measures-DBT'!$D$59,Y30&gt;'Energy Efficiency Measures-DBT'!$D$59),'Energy Efficiency Measures-DBT'!$B$59,"")&amp;", "&amp;IF(AND(J30&gt;'Energy Efficiency Measures-DBT'!$D$60,Y30&gt;'Energy Efficiency Measures-DBT'!$D$60),'Energy Efficiency Measures-DBT'!$B$60,"")</f>
        <v>MG1, MG2, MG3</v>
      </c>
    </row>
    <row r="31" spans="1:33">
      <c r="A31" s="48" t="s">
        <v>108</v>
      </c>
      <c r="B31" s="48" t="s">
        <v>41</v>
      </c>
      <c r="C31" s="47" t="s">
        <v>29</v>
      </c>
      <c r="D31" s="47" t="s">
        <v>10</v>
      </c>
      <c r="E31" s="498">
        <v>3.7860800000000001</v>
      </c>
      <c r="F31" s="498">
        <v>3.4353630000000002</v>
      </c>
      <c r="G31" s="498">
        <v>3.4353630000000002</v>
      </c>
      <c r="H31" s="498">
        <v>3.3627790000000002</v>
      </c>
      <c r="I31" s="498">
        <v>2.8779159999999999</v>
      </c>
      <c r="J31" s="499">
        <v>2.0128919999999999</v>
      </c>
      <c r="K31" s="506">
        <f>SUMPRODUCT('Dwelling stock'!E31:J31,E31:J31)/SUM('Dwelling stock'!E31:J31)</f>
        <v>3.3285047463582647</v>
      </c>
      <c r="M31" s="54">
        <v>3.3550599999999999</v>
      </c>
      <c r="P31" s="48" t="s">
        <v>41</v>
      </c>
      <c r="Q31" s="86">
        <f>LOOKUP($A31,'Energy Efficiency Measures-DBT'!$D$11:$AN$11,'Energy Efficiency Measures-DBT'!$D$58:$AN$58)</f>
        <v>2.7</v>
      </c>
      <c r="R31" s="86">
        <f>LOOKUP($A31,'Energy Efficiency Measures-DBT'!$D$11:$AN$11,'Energy Efficiency Measures-DBT'!$D$59:$AN$59)</f>
        <v>1.7</v>
      </c>
      <c r="S31" s="223">
        <f>LOOKUP($A31,'Energy Efficiency Measures-DBT'!$D$11:$AN$11,'Energy Efficiency Measures-DBT'!$D$60:$AN$60)</f>
        <v>0.65</v>
      </c>
      <c r="V31" s="48" t="s">
        <v>41</v>
      </c>
      <c r="W31" s="47"/>
      <c r="X31" s="455">
        <v>5</v>
      </c>
      <c r="Y31" s="456">
        <v>5</v>
      </c>
      <c r="Z31" s="455">
        <v>5</v>
      </c>
      <c r="AA31" s="456">
        <v>5</v>
      </c>
      <c r="AB31" s="179" t="str">
        <f>IF(AND(E31&gt;'Energy Efficiency Measures-DBT'!$D$58,Y31&gt;'Energy Efficiency Measures-DBT'!$D$58),'Energy Efficiency Measures-DBT'!$B$58,"")&amp;", "&amp;IF(AND(E31&gt;'Energy Efficiency Measures-DBT'!$D$59,Y31&gt;'Energy Efficiency Measures-DBT'!$D$59),'Energy Efficiency Measures-DBT'!$B$59,"")&amp;", "&amp;IF(AND(E31&gt;'Energy Efficiency Measures-DBT'!$D$60,Y31&gt;'Energy Efficiency Measures-DBT'!$D$60),'Energy Efficiency Measures-DBT'!$B$60,"")</f>
        <v>MG1, MG2, MG3</v>
      </c>
      <c r="AC31" s="164" t="str">
        <f>IF(AND(F31&gt;'Energy Efficiency Measures-DBT'!$D$58,Y31&gt;'Energy Efficiency Measures-DBT'!$D$58),'Energy Efficiency Measures-DBT'!$B$58,"")&amp;", "&amp;IF(AND(F31&gt;'Energy Efficiency Measures-DBT'!$D$59,Y31&gt;'Energy Efficiency Measures-DBT'!$D$59),'Energy Efficiency Measures-DBT'!$B$59,"")&amp;", "&amp;IF(AND(F31&gt;'Energy Efficiency Measures-DBT'!$D$60,Y31&gt;'Energy Efficiency Measures-DBT'!$D$60),'Energy Efficiency Measures-DBT'!$B$60,"")</f>
        <v>MG1, MG2, MG3</v>
      </c>
      <c r="AD31" s="164" t="str">
        <f>IF(AND(G31&gt;'Energy Efficiency Measures-DBT'!$D$58,Y31&gt;'Energy Efficiency Measures-DBT'!$D$58),'Energy Efficiency Measures-DBT'!$B$58,"")&amp;", "&amp;IF(AND(G31&gt;'Energy Efficiency Measures-DBT'!$D$59,Y31&gt;'Energy Efficiency Measures-DBT'!$D$59),'Energy Efficiency Measures-DBT'!$B$59,"")&amp;", "&amp;IF(AND(G31&gt;'Energy Efficiency Measures-DBT'!$D$60,Y31&gt;'Energy Efficiency Measures-DBT'!$D$60),'Energy Efficiency Measures-DBT'!$B$60,"")</f>
        <v>MG1, MG2, MG3</v>
      </c>
      <c r="AE31" s="164" t="str">
        <f>IF(AND(H31&gt;'Energy Efficiency Measures-DBT'!$D$58,Y31&gt;'Energy Efficiency Measures-DBT'!$D$58),'Energy Efficiency Measures-DBT'!$B$58,"")&amp;", "&amp;IF(AND(H31&gt;'Energy Efficiency Measures-DBT'!$D$59,Y31&gt;'Energy Efficiency Measures-DBT'!$D$59),'Energy Efficiency Measures-DBT'!$B$59,"")&amp;", "&amp;IF(AND(H31&gt;'Energy Efficiency Measures-DBT'!$D$60,Y31&gt;'Energy Efficiency Measures-DBT'!$D$60),'Energy Efficiency Measures-DBT'!$B$60,"")</f>
        <v>MG1, MG2, MG3</v>
      </c>
      <c r="AF31" s="164" t="str">
        <f>IF(AND(I31&gt;'Energy Efficiency Measures-DBT'!$D$58,Y31&gt;'Energy Efficiency Measures-DBT'!$D$58),'Energy Efficiency Measures-DBT'!$B$58,"")&amp;", "&amp;IF(AND(I31&gt;'Energy Efficiency Measures-DBT'!$D$59,Y31&gt;'Energy Efficiency Measures-DBT'!$D$59),'Energy Efficiency Measures-DBT'!$B$59,"")&amp;", "&amp;IF(AND(I31&gt;'Energy Efficiency Measures-DBT'!$D$60,Y31&gt;'Energy Efficiency Measures-DBT'!$D$60),'Energy Efficiency Measures-DBT'!$B$60,"")</f>
        <v>MG1, MG2, MG3</v>
      </c>
      <c r="AG31" s="273" t="str">
        <f>IF(AND(J31&gt;'Energy Efficiency Measures-DBT'!$D$58,Y31&gt;'Energy Efficiency Measures-DBT'!$D$58),'Energy Efficiency Measures-DBT'!$B$58,"")&amp;", "&amp;IF(AND(J31&gt;'Energy Efficiency Measures-DBT'!$D$59,Y31&gt;'Energy Efficiency Measures-DBT'!$D$59),'Energy Efficiency Measures-DBT'!$B$59,"")&amp;", "&amp;IF(AND(J31&gt;'Energy Efficiency Measures-DBT'!$D$60,Y31&gt;'Energy Efficiency Measures-DBT'!$D$60),'Energy Efficiency Measures-DBT'!$B$60,"")</f>
        <v>, MG2, MG3</v>
      </c>
    </row>
    <row r="32" spans="1:33">
      <c r="A32" s="48" t="s">
        <v>109</v>
      </c>
      <c r="B32" s="48" t="s">
        <v>64</v>
      </c>
      <c r="C32" s="47"/>
      <c r="D32" s="47" t="s">
        <v>10</v>
      </c>
      <c r="E32" s="498">
        <v>2.5385490000000002</v>
      </c>
      <c r="F32" s="498">
        <v>2.5</v>
      </c>
      <c r="G32" s="498">
        <v>2.4700000000000002</v>
      </c>
      <c r="H32" s="498">
        <v>2.38</v>
      </c>
      <c r="I32" s="498">
        <v>2.38</v>
      </c>
      <c r="J32" s="499">
        <v>1.710588</v>
      </c>
      <c r="K32" s="506">
        <f>SUMPRODUCT('Dwelling stock'!E32:J32,E32:J32)/SUM('Dwelling stock'!E32:J32)</f>
        <v>2.3840218920882776</v>
      </c>
      <c r="M32" s="54"/>
      <c r="P32" s="48" t="s">
        <v>64</v>
      </c>
      <c r="Q32" s="86">
        <f>LOOKUP($A32,'Energy Efficiency Measures-DBT'!$D$11:$AN$11,'Energy Efficiency Measures-DBT'!$D$58:$AN$58)</f>
        <v>2.7</v>
      </c>
      <c r="R32" s="86">
        <f>LOOKUP($A32,'Energy Efficiency Measures-DBT'!$D$11:$AN$11,'Energy Efficiency Measures-DBT'!$D$59:$AN$59)</f>
        <v>1.7</v>
      </c>
      <c r="S32" s="223">
        <f>LOOKUP($A32,'Energy Efficiency Measures-DBT'!$D$11:$AN$11,'Energy Efficiency Measures-DBT'!$D$60:$AN$60)</f>
        <v>0.65</v>
      </c>
      <c r="V32" s="48" t="s">
        <v>64</v>
      </c>
      <c r="W32" s="47"/>
      <c r="X32" s="455">
        <v>5</v>
      </c>
      <c r="Y32" s="456">
        <v>5</v>
      </c>
      <c r="Z32" s="455">
        <v>5</v>
      </c>
      <c r="AA32" s="456">
        <v>5</v>
      </c>
      <c r="AB32" s="179" t="str">
        <f>IF(AND(E32&gt;'Energy Efficiency Measures-DBT'!$D$58,Y32&gt;'Energy Efficiency Measures-DBT'!$D$58),'Energy Efficiency Measures-DBT'!$B$58,"")&amp;", "&amp;IF(AND(E32&gt;'Energy Efficiency Measures-DBT'!$D$59,Y32&gt;'Energy Efficiency Measures-DBT'!$D$59),'Energy Efficiency Measures-DBT'!$B$59,"")&amp;", "&amp;IF(AND(E32&gt;'Energy Efficiency Measures-DBT'!$D$60,Y32&gt;'Energy Efficiency Measures-DBT'!$D$60),'Energy Efficiency Measures-DBT'!$B$60,"")</f>
        <v>, MG2, MG3</v>
      </c>
      <c r="AC32" s="164" t="str">
        <f>IF(AND(F32&gt;'Energy Efficiency Measures-DBT'!$D$58,Y32&gt;'Energy Efficiency Measures-DBT'!$D$58),'Energy Efficiency Measures-DBT'!$B$58,"")&amp;", "&amp;IF(AND(F32&gt;'Energy Efficiency Measures-DBT'!$D$59,Y32&gt;'Energy Efficiency Measures-DBT'!$D$59),'Energy Efficiency Measures-DBT'!$B$59,"")&amp;", "&amp;IF(AND(F32&gt;'Energy Efficiency Measures-DBT'!$D$60,Y32&gt;'Energy Efficiency Measures-DBT'!$D$60),'Energy Efficiency Measures-DBT'!$B$60,"")</f>
        <v>, MG2, MG3</v>
      </c>
      <c r="AD32" s="164" t="str">
        <f>IF(AND(G32&gt;'Energy Efficiency Measures-DBT'!$D$58,Y32&gt;'Energy Efficiency Measures-DBT'!$D$58),'Energy Efficiency Measures-DBT'!$B$58,"")&amp;", "&amp;IF(AND(G32&gt;'Energy Efficiency Measures-DBT'!$D$59,Y32&gt;'Energy Efficiency Measures-DBT'!$D$59),'Energy Efficiency Measures-DBT'!$B$59,"")&amp;", "&amp;IF(AND(G32&gt;'Energy Efficiency Measures-DBT'!$D$60,Y32&gt;'Energy Efficiency Measures-DBT'!$D$60),'Energy Efficiency Measures-DBT'!$B$60,"")</f>
        <v>, MG2, MG3</v>
      </c>
      <c r="AE32" s="164" t="str">
        <f>IF(AND(H32&gt;'Energy Efficiency Measures-DBT'!$D$58,Y32&gt;'Energy Efficiency Measures-DBT'!$D$58),'Energy Efficiency Measures-DBT'!$B$58,"")&amp;", "&amp;IF(AND(H32&gt;'Energy Efficiency Measures-DBT'!$D$59,Y32&gt;'Energy Efficiency Measures-DBT'!$D$59),'Energy Efficiency Measures-DBT'!$B$59,"")&amp;", "&amp;IF(AND(H32&gt;'Energy Efficiency Measures-DBT'!$D$60,Y32&gt;'Energy Efficiency Measures-DBT'!$D$60),'Energy Efficiency Measures-DBT'!$B$60,"")</f>
        <v>, MG2, MG3</v>
      </c>
      <c r="AF32" s="164" t="str">
        <f>IF(AND(I32&gt;'Energy Efficiency Measures-DBT'!$D$58,Y32&gt;'Energy Efficiency Measures-DBT'!$D$58),'Energy Efficiency Measures-DBT'!$B$58,"")&amp;", "&amp;IF(AND(I32&gt;'Energy Efficiency Measures-DBT'!$D$59,Y32&gt;'Energy Efficiency Measures-DBT'!$D$59),'Energy Efficiency Measures-DBT'!$B$59,"")&amp;", "&amp;IF(AND(I32&gt;'Energy Efficiency Measures-DBT'!$D$60,Y32&gt;'Energy Efficiency Measures-DBT'!$D$60),'Energy Efficiency Measures-DBT'!$B$60,"")</f>
        <v>, MG2, MG3</v>
      </c>
      <c r="AG32" s="273" t="str">
        <f>IF(AND(J32&gt;'Energy Efficiency Measures-DBT'!$D$58,Y32&gt;'Energy Efficiency Measures-DBT'!$D$58),'Energy Efficiency Measures-DBT'!$B$58,"")&amp;", "&amp;IF(AND(J32&gt;'Energy Efficiency Measures-DBT'!$D$59,Y32&gt;'Energy Efficiency Measures-DBT'!$D$59),'Energy Efficiency Measures-DBT'!$B$59,"")&amp;", "&amp;IF(AND(J32&gt;'Energy Efficiency Measures-DBT'!$D$60,Y32&gt;'Energy Efficiency Measures-DBT'!$D$60),'Energy Efficiency Measures-DBT'!$B$60,"")</f>
        <v>, MG2, MG3</v>
      </c>
    </row>
    <row r="33" spans="1:33">
      <c r="A33" s="48" t="s">
        <v>110</v>
      </c>
      <c r="B33" s="48" t="s">
        <v>42</v>
      </c>
      <c r="C33" s="47" t="s">
        <v>21</v>
      </c>
      <c r="D33" s="47" t="s">
        <v>10</v>
      </c>
      <c r="E33" s="498">
        <v>3.506672</v>
      </c>
      <c r="F33" s="498">
        <v>2.6558670000000002</v>
      </c>
      <c r="G33" s="498">
        <v>2.2999999999999998</v>
      </c>
      <c r="H33" s="498">
        <v>2.2999999999999998</v>
      </c>
      <c r="I33" s="498">
        <v>2.2999999999999998</v>
      </c>
      <c r="J33" s="499">
        <v>2.2999999999999998</v>
      </c>
      <c r="K33" s="506">
        <f>SUMPRODUCT('Dwelling stock'!E33:J33,E33:J33)/SUM('Dwelling stock'!E33:J33)</f>
        <v>2.6277781235551512</v>
      </c>
      <c r="M33" s="54">
        <v>1.338166</v>
      </c>
      <c r="P33" s="48" t="s">
        <v>42</v>
      </c>
      <c r="Q33" s="86">
        <f>LOOKUP($A33,'Energy Efficiency Measures-DBT'!$D$11:$AN$11,'Energy Efficiency Measures-DBT'!$D$58:$AN$58)</f>
        <v>2.7</v>
      </c>
      <c r="R33" s="86">
        <f>LOOKUP($A33,'Energy Efficiency Measures-DBT'!$D$11:$AN$11,'Energy Efficiency Measures-DBT'!$D$59:$AN$59)</f>
        <v>1.7</v>
      </c>
      <c r="S33" s="223">
        <f>LOOKUP($A33,'Energy Efficiency Measures-DBT'!$D$11:$AN$11,'Energy Efficiency Measures-DBT'!$D$60:$AN$60)</f>
        <v>0.65</v>
      </c>
      <c r="V33" s="48" t="s">
        <v>42</v>
      </c>
      <c r="W33" s="47"/>
      <c r="X33" s="455">
        <v>5</v>
      </c>
      <c r="Y33" s="456">
        <v>5</v>
      </c>
      <c r="Z33" s="455">
        <v>5</v>
      </c>
      <c r="AA33" s="456">
        <v>5</v>
      </c>
      <c r="AB33" s="179" t="str">
        <f>IF(AND(E33&gt;'Energy Efficiency Measures-DBT'!$D$58,Y33&gt;'Energy Efficiency Measures-DBT'!$D$58),'Energy Efficiency Measures-DBT'!$B$58,"")&amp;", "&amp;IF(AND(E33&gt;'Energy Efficiency Measures-DBT'!$D$59,Y33&gt;'Energy Efficiency Measures-DBT'!$D$59),'Energy Efficiency Measures-DBT'!$B$59,"")&amp;", "&amp;IF(AND(E33&gt;'Energy Efficiency Measures-DBT'!$D$60,Y33&gt;'Energy Efficiency Measures-DBT'!$D$60),'Energy Efficiency Measures-DBT'!$B$60,"")</f>
        <v>MG1, MG2, MG3</v>
      </c>
      <c r="AC33" s="164" t="str">
        <f>IF(AND(F33&gt;'Energy Efficiency Measures-DBT'!$D$58,Y33&gt;'Energy Efficiency Measures-DBT'!$D$58),'Energy Efficiency Measures-DBT'!$B$58,"")&amp;", "&amp;IF(AND(F33&gt;'Energy Efficiency Measures-DBT'!$D$59,Y33&gt;'Energy Efficiency Measures-DBT'!$D$59),'Energy Efficiency Measures-DBT'!$B$59,"")&amp;", "&amp;IF(AND(F33&gt;'Energy Efficiency Measures-DBT'!$D$60,Y33&gt;'Energy Efficiency Measures-DBT'!$D$60),'Energy Efficiency Measures-DBT'!$B$60,"")</f>
        <v>, MG2, MG3</v>
      </c>
      <c r="AD33" s="164" t="str">
        <f>IF(AND(G33&gt;'Energy Efficiency Measures-DBT'!$D$58,Y33&gt;'Energy Efficiency Measures-DBT'!$D$58),'Energy Efficiency Measures-DBT'!$B$58,"")&amp;", "&amp;IF(AND(G33&gt;'Energy Efficiency Measures-DBT'!$D$59,Y33&gt;'Energy Efficiency Measures-DBT'!$D$59),'Energy Efficiency Measures-DBT'!$B$59,"")&amp;", "&amp;IF(AND(G33&gt;'Energy Efficiency Measures-DBT'!$D$60,Y33&gt;'Energy Efficiency Measures-DBT'!$D$60),'Energy Efficiency Measures-DBT'!$B$60,"")</f>
        <v>, MG2, MG3</v>
      </c>
      <c r="AE33" s="164" t="str">
        <f>IF(AND(H33&gt;'Energy Efficiency Measures-DBT'!$D$58,Y33&gt;'Energy Efficiency Measures-DBT'!$D$58),'Energy Efficiency Measures-DBT'!$B$58,"")&amp;", "&amp;IF(AND(H33&gt;'Energy Efficiency Measures-DBT'!$D$59,Y33&gt;'Energy Efficiency Measures-DBT'!$D$59),'Energy Efficiency Measures-DBT'!$B$59,"")&amp;", "&amp;IF(AND(H33&gt;'Energy Efficiency Measures-DBT'!$D$60,Y33&gt;'Energy Efficiency Measures-DBT'!$D$60),'Energy Efficiency Measures-DBT'!$B$60,"")</f>
        <v>, MG2, MG3</v>
      </c>
      <c r="AF33" s="164" t="str">
        <f>IF(AND(I33&gt;'Energy Efficiency Measures-DBT'!$D$58,Y33&gt;'Energy Efficiency Measures-DBT'!$D$58),'Energy Efficiency Measures-DBT'!$B$58,"")&amp;", "&amp;IF(AND(I33&gt;'Energy Efficiency Measures-DBT'!$D$59,Y33&gt;'Energy Efficiency Measures-DBT'!$D$59),'Energy Efficiency Measures-DBT'!$B$59,"")&amp;", "&amp;IF(AND(I33&gt;'Energy Efficiency Measures-DBT'!$D$60,Y33&gt;'Energy Efficiency Measures-DBT'!$D$60),'Energy Efficiency Measures-DBT'!$B$60,"")</f>
        <v>, MG2, MG3</v>
      </c>
      <c r="AG33" s="273" t="str">
        <f>IF(AND(J33&gt;'Energy Efficiency Measures-DBT'!$D$58,Y33&gt;'Energy Efficiency Measures-DBT'!$D$58),'Energy Efficiency Measures-DBT'!$B$58,"")&amp;", "&amp;IF(AND(J33&gt;'Energy Efficiency Measures-DBT'!$D$59,Y33&gt;'Energy Efficiency Measures-DBT'!$D$59),'Energy Efficiency Measures-DBT'!$B$59,"")&amp;", "&amp;IF(AND(J33&gt;'Energy Efficiency Measures-DBT'!$D$60,Y33&gt;'Energy Efficiency Measures-DBT'!$D$60),'Energy Efficiency Measures-DBT'!$B$60,"")</f>
        <v>, MG2, MG3</v>
      </c>
    </row>
    <row r="34" spans="1:33">
      <c r="A34" s="48" t="s">
        <v>111</v>
      </c>
      <c r="B34" s="48" t="s">
        <v>43</v>
      </c>
      <c r="C34" s="47" t="s">
        <v>14</v>
      </c>
      <c r="D34" s="47" t="s">
        <v>10</v>
      </c>
      <c r="E34" s="498">
        <v>4.0999999999999996</v>
      </c>
      <c r="F34" s="498">
        <v>4.2</v>
      </c>
      <c r="G34" s="498">
        <v>4.2</v>
      </c>
      <c r="H34" s="498">
        <v>4.3</v>
      </c>
      <c r="I34" s="498">
        <v>4.2</v>
      </c>
      <c r="J34" s="499">
        <v>3.15</v>
      </c>
      <c r="K34" s="506">
        <f>SUMPRODUCT('Dwelling stock'!E34:J34,E34:J34)/SUM('Dwelling stock'!E34:J34)</f>
        <v>4.0899450890961466</v>
      </c>
      <c r="M34" s="54">
        <v>4.0854270000000001</v>
      </c>
      <c r="P34" s="48" t="s">
        <v>43</v>
      </c>
      <c r="Q34" s="86">
        <f>LOOKUP($A34,'Energy Efficiency Measures-DBT'!$D$11:$AN$11,'Energy Efficiency Measures-DBT'!$D$58:$AN$58)</f>
        <v>2.7</v>
      </c>
      <c r="R34" s="86">
        <f>LOOKUP($A34,'Energy Efficiency Measures-DBT'!$D$11:$AN$11,'Energy Efficiency Measures-DBT'!$D$59:$AN$59)</f>
        <v>1.7</v>
      </c>
      <c r="S34" s="223">
        <f>LOOKUP($A34,'Energy Efficiency Measures-DBT'!$D$11:$AN$11,'Energy Efficiency Measures-DBT'!$D$60:$AN$60)</f>
        <v>0.65</v>
      </c>
      <c r="V34" s="48" t="s">
        <v>43</v>
      </c>
      <c r="W34" s="47"/>
      <c r="X34" s="455">
        <v>5</v>
      </c>
      <c r="Y34" s="456">
        <v>5</v>
      </c>
      <c r="Z34" s="455">
        <v>5</v>
      </c>
      <c r="AA34" s="456">
        <v>5</v>
      </c>
      <c r="AB34" s="179" t="str">
        <f>IF(AND(E34&gt;'Energy Efficiency Measures-DBT'!$D$58,Y34&gt;'Energy Efficiency Measures-DBT'!$D$58),'Energy Efficiency Measures-DBT'!$B$58,"")&amp;", "&amp;IF(AND(E34&gt;'Energy Efficiency Measures-DBT'!$D$59,Y34&gt;'Energy Efficiency Measures-DBT'!$D$59),'Energy Efficiency Measures-DBT'!$B$59,"")&amp;", "&amp;IF(AND(E34&gt;'Energy Efficiency Measures-DBT'!$D$60,Y34&gt;'Energy Efficiency Measures-DBT'!$D$60),'Energy Efficiency Measures-DBT'!$B$60,"")</f>
        <v>MG1, MG2, MG3</v>
      </c>
      <c r="AC34" s="164" t="str">
        <f>IF(AND(F34&gt;'Energy Efficiency Measures-DBT'!$D$58,Y34&gt;'Energy Efficiency Measures-DBT'!$D$58),'Energy Efficiency Measures-DBT'!$B$58,"")&amp;", "&amp;IF(AND(F34&gt;'Energy Efficiency Measures-DBT'!$D$59,Y34&gt;'Energy Efficiency Measures-DBT'!$D$59),'Energy Efficiency Measures-DBT'!$B$59,"")&amp;", "&amp;IF(AND(F34&gt;'Energy Efficiency Measures-DBT'!$D$60,Y34&gt;'Energy Efficiency Measures-DBT'!$D$60),'Energy Efficiency Measures-DBT'!$B$60,"")</f>
        <v>MG1, MG2, MG3</v>
      </c>
      <c r="AD34" s="164" t="str">
        <f>IF(AND(G34&gt;'Energy Efficiency Measures-DBT'!$D$58,Y34&gt;'Energy Efficiency Measures-DBT'!$D$58),'Energy Efficiency Measures-DBT'!$B$58,"")&amp;", "&amp;IF(AND(G34&gt;'Energy Efficiency Measures-DBT'!$D$59,Y34&gt;'Energy Efficiency Measures-DBT'!$D$59),'Energy Efficiency Measures-DBT'!$B$59,"")&amp;", "&amp;IF(AND(G34&gt;'Energy Efficiency Measures-DBT'!$D$60,Y34&gt;'Energy Efficiency Measures-DBT'!$D$60),'Energy Efficiency Measures-DBT'!$B$60,"")</f>
        <v>MG1, MG2, MG3</v>
      </c>
      <c r="AE34" s="164" t="str">
        <f>IF(AND(H34&gt;'Energy Efficiency Measures-DBT'!$D$58,Y34&gt;'Energy Efficiency Measures-DBT'!$D$58),'Energy Efficiency Measures-DBT'!$B$58,"")&amp;", "&amp;IF(AND(H34&gt;'Energy Efficiency Measures-DBT'!$D$59,Y34&gt;'Energy Efficiency Measures-DBT'!$D$59),'Energy Efficiency Measures-DBT'!$B$59,"")&amp;", "&amp;IF(AND(H34&gt;'Energy Efficiency Measures-DBT'!$D$60,Y34&gt;'Energy Efficiency Measures-DBT'!$D$60),'Energy Efficiency Measures-DBT'!$B$60,"")</f>
        <v>MG1, MG2, MG3</v>
      </c>
      <c r="AF34" s="164" t="str">
        <f>IF(AND(I34&gt;'Energy Efficiency Measures-DBT'!$D$58,Y34&gt;'Energy Efficiency Measures-DBT'!$D$58),'Energy Efficiency Measures-DBT'!$B$58,"")&amp;", "&amp;IF(AND(I34&gt;'Energy Efficiency Measures-DBT'!$D$59,Y34&gt;'Energy Efficiency Measures-DBT'!$D$59),'Energy Efficiency Measures-DBT'!$B$59,"")&amp;", "&amp;IF(AND(I34&gt;'Energy Efficiency Measures-DBT'!$D$60,Y34&gt;'Energy Efficiency Measures-DBT'!$D$60),'Energy Efficiency Measures-DBT'!$B$60,"")</f>
        <v>MG1, MG2, MG3</v>
      </c>
      <c r="AG34" s="273" t="str">
        <f>IF(AND(J34&gt;'Energy Efficiency Measures-DBT'!$D$58,Y34&gt;'Energy Efficiency Measures-DBT'!$D$58),'Energy Efficiency Measures-DBT'!$B$58,"")&amp;", "&amp;IF(AND(J34&gt;'Energy Efficiency Measures-DBT'!$D$59,Y34&gt;'Energy Efficiency Measures-DBT'!$D$59),'Energy Efficiency Measures-DBT'!$B$59,"")&amp;", "&amp;IF(AND(J34&gt;'Energy Efficiency Measures-DBT'!$D$60,Y34&gt;'Energy Efficiency Measures-DBT'!$D$60),'Energy Efficiency Measures-DBT'!$B$60,"")</f>
        <v>MG1, MG2, MG3</v>
      </c>
    </row>
    <row r="35" spans="1:33">
      <c r="A35" s="48" t="s">
        <v>112</v>
      </c>
      <c r="B35" s="48" t="s">
        <v>44</v>
      </c>
      <c r="C35" s="47" t="s">
        <v>14</v>
      </c>
      <c r="D35" s="47" t="s">
        <v>10</v>
      </c>
      <c r="E35" s="498">
        <v>2.6</v>
      </c>
      <c r="F35" s="498">
        <v>2.5</v>
      </c>
      <c r="G35" s="498">
        <v>2.5</v>
      </c>
      <c r="H35" s="498">
        <v>2.4</v>
      </c>
      <c r="I35" s="498">
        <v>2.4</v>
      </c>
      <c r="J35" s="499">
        <v>1.4</v>
      </c>
      <c r="K35" s="506">
        <f>SUMPRODUCT('Dwelling stock'!E35:J35,E35:J35)/SUM('Dwelling stock'!E35:J35)</f>
        <v>2.432371618580929</v>
      </c>
      <c r="M35" s="54">
        <v>2.4239760000000001</v>
      </c>
      <c r="P35" s="48" t="s">
        <v>44</v>
      </c>
      <c r="Q35" s="86">
        <f>LOOKUP($A35,'Energy Efficiency Measures-DBT'!$D$11:$AN$11,'Energy Efficiency Measures-DBT'!$D$58:$AN$58)</f>
        <v>2.7</v>
      </c>
      <c r="R35" s="86">
        <f>LOOKUP($A35,'Energy Efficiency Measures-DBT'!$D$11:$AN$11,'Energy Efficiency Measures-DBT'!$D$59:$AN$59)</f>
        <v>1.7</v>
      </c>
      <c r="S35" s="223">
        <f>LOOKUP($A35,'Energy Efficiency Measures-DBT'!$D$11:$AN$11,'Energy Efficiency Measures-DBT'!$D$60:$AN$60)</f>
        <v>0.65</v>
      </c>
      <c r="V35" s="48" t="s">
        <v>44</v>
      </c>
      <c r="W35" s="47" t="s">
        <v>283</v>
      </c>
      <c r="X35" s="428">
        <v>1.3</v>
      </c>
      <c r="Y35" s="430">
        <v>2.5</v>
      </c>
      <c r="Z35" s="428">
        <f>X35</f>
        <v>1.3</v>
      </c>
      <c r="AA35" s="430">
        <f>Y35</f>
        <v>2.5</v>
      </c>
      <c r="AB35" s="179" t="str">
        <f>IF(AND(E35&gt;'Energy Efficiency Measures-DBT'!$D$58,Y35&gt;'Energy Efficiency Measures-DBT'!$D$58),'Energy Efficiency Measures-DBT'!$B$58,"")&amp;", "&amp;IF(AND(E35&gt;'Energy Efficiency Measures-DBT'!$D$59,Y35&gt;'Energy Efficiency Measures-DBT'!$D$59),'Energy Efficiency Measures-DBT'!$B$59,"")&amp;", "&amp;IF(AND(E35&gt;'Energy Efficiency Measures-DBT'!$D$60,Y35&gt;'Energy Efficiency Measures-DBT'!$D$60),'Energy Efficiency Measures-DBT'!$B$60,"")</f>
        <v>, MG2, MG3</v>
      </c>
      <c r="AC35" s="164" t="str">
        <f>IF(AND(F35&gt;'Energy Efficiency Measures-DBT'!$D$58,Y35&gt;'Energy Efficiency Measures-DBT'!$D$58),'Energy Efficiency Measures-DBT'!$B$58,"")&amp;", "&amp;IF(AND(F35&gt;'Energy Efficiency Measures-DBT'!$D$59,Y35&gt;'Energy Efficiency Measures-DBT'!$D$59),'Energy Efficiency Measures-DBT'!$B$59,"")&amp;", "&amp;IF(AND(F35&gt;'Energy Efficiency Measures-DBT'!$D$60,Y35&gt;'Energy Efficiency Measures-DBT'!$D$60),'Energy Efficiency Measures-DBT'!$B$60,"")</f>
        <v>, MG2, MG3</v>
      </c>
      <c r="AD35" s="164" t="str">
        <f>IF(AND(G35&gt;'Energy Efficiency Measures-DBT'!$D$58,Y35&gt;'Energy Efficiency Measures-DBT'!$D$58),'Energy Efficiency Measures-DBT'!$B$58,"")&amp;", "&amp;IF(AND(G35&gt;'Energy Efficiency Measures-DBT'!$D$59,Y35&gt;'Energy Efficiency Measures-DBT'!$D$59),'Energy Efficiency Measures-DBT'!$B$59,"")&amp;", "&amp;IF(AND(G35&gt;'Energy Efficiency Measures-DBT'!$D$60,Y35&gt;'Energy Efficiency Measures-DBT'!$D$60),'Energy Efficiency Measures-DBT'!$B$60,"")</f>
        <v>, MG2, MG3</v>
      </c>
      <c r="AE35" s="164" t="str">
        <f>IF(AND(H35&gt;'Energy Efficiency Measures-DBT'!$D$58,Y35&gt;'Energy Efficiency Measures-DBT'!$D$58),'Energy Efficiency Measures-DBT'!$B$58,"")&amp;", "&amp;IF(AND(H35&gt;'Energy Efficiency Measures-DBT'!$D$59,Y35&gt;'Energy Efficiency Measures-DBT'!$D$59),'Energy Efficiency Measures-DBT'!$B$59,"")&amp;", "&amp;IF(AND(H35&gt;'Energy Efficiency Measures-DBT'!$D$60,Y35&gt;'Energy Efficiency Measures-DBT'!$D$60),'Energy Efficiency Measures-DBT'!$B$60,"")</f>
        <v>, MG2, MG3</v>
      </c>
      <c r="AF35" s="164" t="str">
        <f>IF(AND(I35&gt;'Energy Efficiency Measures-DBT'!$D$58,Y35&gt;'Energy Efficiency Measures-DBT'!$D$58),'Energy Efficiency Measures-DBT'!$B$58,"")&amp;", "&amp;IF(AND(I35&gt;'Energy Efficiency Measures-DBT'!$D$59,Y35&gt;'Energy Efficiency Measures-DBT'!$D$59),'Energy Efficiency Measures-DBT'!$B$59,"")&amp;", "&amp;IF(AND(I35&gt;'Energy Efficiency Measures-DBT'!$D$60,Y35&gt;'Energy Efficiency Measures-DBT'!$D$60),'Energy Efficiency Measures-DBT'!$B$60,"")</f>
        <v>, MG2, MG3</v>
      </c>
      <c r="AG35" s="273" t="str">
        <f>IF(AND(J35&gt;'Energy Efficiency Measures-DBT'!$D$58,Y35&gt;'Energy Efficiency Measures-DBT'!$D$58),'Energy Efficiency Measures-DBT'!$B$58,"")&amp;", "&amp;IF(AND(J35&gt;'Energy Efficiency Measures-DBT'!$D$59,Y35&gt;'Energy Efficiency Measures-DBT'!$D$59),'Energy Efficiency Measures-DBT'!$B$59,"")&amp;", "&amp;IF(AND(J35&gt;'Energy Efficiency Measures-DBT'!$D$60,Y35&gt;'Energy Efficiency Measures-DBT'!$D$60),'Energy Efficiency Measures-DBT'!$B$60,"")</f>
        <v>, , MG3</v>
      </c>
    </row>
    <row r="36" spans="1:33">
      <c r="A36" s="48" t="s">
        <v>121</v>
      </c>
      <c r="B36" s="48" t="s">
        <v>53</v>
      </c>
      <c r="C36" s="47" t="s">
        <v>54</v>
      </c>
      <c r="D36" s="47" t="s">
        <v>10</v>
      </c>
      <c r="E36" s="498">
        <v>3</v>
      </c>
      <c r="F36" s="498">
        <v>3</v>
      </c>
      <c r="G36" s="498">
        <v>3</v>
      </c>
      <c r="H36" s="498">
        <v>3</v>
      </c>
      <c r="I36" s="498">
        <v>3.1</v>
      </c>
      <c r="J36" s="499">
        <v>2.6</v>
      </c>
      <c r="K36" s="506">
        <f>SUMPRODUCT('Dwelling stock'!E36:J36,E36:J36)/SUM('Dwelling stock'!E36:J36)</f>
        <v>2.9815394282727068</v>
      </c>
      <c r="M36" s="54">
        <v>2.9779399999999998</v>
      </c>
      <c r="O36" s="2"/>
      <c r="P36" s="48" t="s">
        <v>53</v>
      </c>
      <c r="Q36" s="86">
        <f>LOOKUP($A36,'Energy Efficiency Measures-DBT'!$D$11:$AN$11,'Energy Efficiency Measures-DBT'!$D$58:$AN$58)</f>
        <v>2.7</v>
      </c>
      <c r="R36" s="86">
        <f>LOOKUP($A36,'Energy Efficiency Measures-DBT'!$D$11:$AN$11,'Energy Efficiency Measures-DBT'!$D$59:$AN$59)</f>
        <v>1.7</v>
      </c>
      <c r="S36" s="223">
        <f>LOOKUP($A36,'Energy Efficiency Measures-DBT'!$D$11:$AN$11,'Energy Efficiency Measures-DBT'!$D$60:$AN$60)</f>
        <v>0.65</v>
      </c>
      <c r="V36" s="48" t="s">
        <v>53</v>
      </c>
      <c r="W36" s="47"/>
      <c r="X36" s="455">
        <v>5</v>
      </c>
      <c r="Y36" s="456">
        <v>5</v>
      </c>
      <c r="Z36" s="455">
        <v>5</v>
      </c>
      <c r="AA36" s="456">
        <v>5</v>
      </c>
      <c r="AB36" s="179" t="str">
        <f>IF(AND(E36&gt;'Energy Efficiency Measures-DBT'!$D$58,Y36&gt;'Energy Efficiency Measures-DBT'!$D$58),'Energy Efficiency Measures-DBT'!$B$58,"")&amp;", "&amp;IF(AND(E36&gt;'Energy Efficiency Measures-DBT'!$D$59,Y36&gt;'Energy Efficiency Measures-DBT'!$D$59),'Energy Efficiency Measures-DBT'!$B$59,"")&amp;", "&amp;IF(AND(E36&gt;'Energy Efficiency Measures-DBT'!$D$60,Y36&gt;'Energy Efficiency Measures-DBT'!$D$60),'Energy Efficiency Measures-DBT'!$B$60,"")</f>
        <v>MG1, MG2, MG3</v>
      </c>
      <c r="AC36" s="164" t="str">
        <f>IF(AND(F36&gt;'Energy Efficiency Measures-DBT'!$D$58,Y36&gt;'Energy Efficiency Measures-DBT'!$D$58),'Energy Efficiency Measures-DBT'!$B$58,"")&amp;", "&amp;IF(AND(F36&gt;'Energy Efficiency Measures-DBT'!$D$59,Y36&gt;'Energy Efficiency Measures-DBT'!$D$59),'Energy Efficiency Measures-DBT'!$B$59,"")&amp;", "&amp;IF(AND(F36&gt;'Energy Efficiency Measures-DBT'!$D$60,Y36&gt;'Energy Efficiency Measures-DBT'!$D$60),'Energy Efficiency Measures-DBT'!$B$60,"")</f>
        <v>MG1, MG2, MG3</v>
      </c>
      <c r="AD36" s="164" t="str">
        <f>IF(AND(G36&gt;'Energy Efficiency Measures-DBT'!$D$58,Y36&gt;'Energy Efficiency Measures-DBT'!$D$58),'Energy Efficiency Measures-DBT'!$B$58,"")&amp;", "&amp;IF(AND(G36&gt;'Energy Efficiency Measures-DBT'!$D$59,Y36&gt;'Energy Efficiency Measures-DBT'!$D$59),'Energy Efficiency Measures-DBT'!$B$59,"")&amp;", "&amp;IF(AND(G36&gt;'Energy Efficiency Measures-DBT'!$D$60,Y36&gt;'Energy Efficiency Measures-DBT'!$D$60),'Energy Efficiency Measures-DBT'!$B$60,"")</f>
        <v>MG1, MG2, MG3</v>
      </c>
      <c r="AE36" s="164" t="str">
        <f>IF(AND(H36&gt;'Energy Efficiency Measures-DBT'!$D$58,Y36&gt;'Energy Efficiency Measures-DBT'!$D$58),'Energy Efficiency Measures-DBT'!$B$58,"")&amp;", "&amp;IF(AND(H36&gt;'Energy Efficiency Measures-DBT'!$D$59,Y36&gt;'Energy Efficiency Measures-DBT'!$D$59),'Energy Efficiency Measures-DBT'!$B$59,"")&amp;", "&amp;IF(AND(H36&gt;'Energy Efficiency Measures-DBT'!$D$60,Y36&gt;'Energy Efficiency Measures-DBT'!$D$60),'Energy Efficiency Measures-DBT'!$B$60,"")</f>
        <v>MG1, MG2, MG3</v>
      </c>
      <c r="AF36" s="164" t="str">
        <f>IF(AND(I36&gt;'Energy Efficiency Measures-DBT'!$D$58,Y36&gt;'Energy Efficiency Measures-DBT'!$D$58),'Energy Efficiency Measures-DBT'!$B$58,"")&amp;", "&amp;IF(AND(I36&gt;'Energy Efficiency Measures-DBT'!$D$59,Y36&gt;'Energy Efficiency Measures-DBT'!$D$59),'Energy Efficiency Measures-DBT'!$B$59,"")&amp;", "&amp;IF(AND(I36&gt;'Energy Efficiency Measures-DBT'!$D$60,Y36&gt;'Energy Efficiency Measures-DBT'!$D$60),'Energy Efficiency Measures-DBT'!$B$60,"")</f>
        <v>MG1, MG2, MG3</v>
      </c>
      <c r="AG36" s="273" t="str">
        <f>IF(AND(J36&gt;'Energy Efficiency Measures-DBT'!$D$58,Y36&gt;'Energy Efficiency Measures-DBT'!$D$58),'Energy Efficiency Measures-DBT'!$B$58,"")&amp;", "&amp;IF(AND(J36&gt;'Energy Efficiency Measures-DBT'!$D$59,Y36&gt;'Energy Efficiency Measures-DBT'!$D$59),'Energy Efficiency Measures-DBT'!$B$59,"")&amp;", "&amp;IF(AND(J36&gt;'Energy Efficiency Measures-DBT'!$D$60,Y36&gt;'Energy Efficiency Measures-DBT'!$D$60),'Energy Efficiency Measures-DBT'!$B$60,"")</f>
        <v>, MG2, MG3</v>
      </c>
    </row>
    <row r="37" spans="1:33">
      <c r="A37" s="48" t="s">
        <v>113</v>
      </c>
      <c r="B37" s="48" t="s">
        <v>51</v>
      </c>
      <c r="C37" s="47"/>
      <c r="D37" s="47" t="s">
        <v>10</v>
      </c>
      <c r="E37" s="498">
        <v>2.5385490000000002</v>
      </c>
      <c r="F37" s="498">
        <v>2.5</v>
      </c>
      <c r="G37" s="498">
        <v>2.4700000000000002</v>
      </c>
      <c r="H37" s="498">
        <v>2.38</v>
      </c>
      <c r="I37" s="498">
        <v>2.38</v>
      </c>
      <c r="J37" s="499">
        <v>1.710588</v>
      </c>
      <c r="K37" s="506">
        <f>SUMPRODUCT('Dwelling stock'!E37:J37,E37:J37)/SUM('Dwelling stock'!E37:J37)</f>
        <v>2.4639052834658965</v>
      </c>
      <c r="M37" s="54" t="s">
        <v>17</v>
      </c>
      <c r="P37" s="48" t="s">
        <v>51</v>
      </c>
      <c r="Q37" s="86">
        <f>LOOKUP($A37,'Energy Efficiency Measures-DBT'!$D$11:$AN$11,'Energy Efficiency Measures-DBT'!$D$58:$AN$58)</f>
        <v>2.7</v>
      </c>
      <c r="R37" s="86">
        <f>LOOKUP($A37,'Energy Efficiency Measures-DBT'!$D$11:$AN$11,'Energy Efficiency Measures-DBT'!$D$59:$AN$59)</f>
        <v>1.7</v>
      </c>
      <c r="S37" s="223">
        <f>LOOKUP($A37,'Energy Efficiency Measures-DBT'!$D$11:$AN$11,'Energy Efficiency Measures-DBT'!$D$60:$AN$60)</f>
        <v>0.65</v>
      </c>
      <c r="V37" s="48" t="s">
        <v>51</v>
      </c>
      <c r="W37" s="47"/>
      <c r="X37" s="455">
        <v>5</v>
      </c>
      <c r="Y37" s="456">
        <v>5</v>
      </c>
      <c r="Z37" s="455">
        <v>5</v>
      </c>
      <c r="AA37" s="456">
        <v>5</v>
      </c>
      <c r="AB37" s="179" t="str">
        <f>IF(AND(E37&gt;'Energy Efficiency Measures-DBT'!$D$58,Y37&gt;'Energy Efficiency Measures-DBT'!$D$58),'Energy Efficiency Measures-DBT'!$B$58,"")&amp;", "&amp;IF(AND(E37&gt;'Energy Efficiency Measures-DBT'!$D$59,Y37&gt;'Energy Efficiency Measures-DBT'!$D$59),'Energy Efficiency Measures-DBT'!$B$59,"")&amp;", "&amp;IF(AND(E37&gt;'Energy Efficiency Measures-DBT'!$D$60,Y37&gt;'Energy Efficiency Measures-DBT'!$D$60),'Energy Efficiency Measures-DBT'!$B$60,"")</f>
        <v>, MG2, MG3</v>
      </c>
      <c r="AC37" s="164" t="str">
        <f>IF(AND(F37&gt;'Energy Efficiency Measures-DBT'!$D$58,Y37&gt;'Energy Efficiency Measures-DBT'!$D$58),'Energy Efficiency Measures-DBT'!$B$58,"")&amp;", "&amp;IF(AND(F37&gt;'Energy Efficiency Measures-DBT'!$D$59,Y37&gt;'Energy Efficiency Measures-DBT'!$D$59),'Energy Efficiency Measures-DBT'!$B$59,"")&amp;", "&amp;IF(AND(F37&gt;'Energy Efficiency Measures-DBT'!$D$60,Y37&gt;'Energy Efficiency Measures-DBT'!$D$60),'Energy Efficiency Measures-DBT'!$B$60,"")</f>
        <v>, MG2, MG3</v>
      </c>
      <c r="AD37" s="164" t="str">
        <f>IF(AND(G37&gt;'Energy Efficiency Measures-DBT'!$D$58,Y37&gt;'Energy Efficiency Measures-DBT'!$D$58),'Energy Efficiency Measures-DBT'!$B$58,"")&amp;", "&amp;IF(AND(G37&gt;'Energy Efficiency Measures-DBT'!$D$59,Y37&gt;'Energy Efficiency Measures-DBT'!$D$59),'Energy Efficiency Measures-DBT'!$B$59,"")&amp;", "&amp;IF(AND(G37&gt;'Energy Efficiency Measures-DBT'!$D$60,Y37&gt;'Energy Efficiency Measures-DBT'!$D$60),'Energy Efficiency Measures-DBT'!$B$60,"")</f>
        <v>, MG2, MG3</v>
      </c>
      <c r="AE37" s="164" t="str">
        <f>IF(AND(H37&gt;'Energy Efficiency Measures-DBT'!$D$58,Y37&gt;'Energy Efficiency Measures-DBT'!$D$58),'Energy Efficiency Measures-DBT'!$B$58,"")&amp;", "&amp;IF(AND(H37&gt;'Energy Efficiency Measures-DBT'!$D$59,Y37&gt;'Energy Efficiency Measures-DBT'!$D$59),'Energy Efficiency Measures-DBT'!$B$59,"")&amp;", "&amp;IF(AND(H37&gt;'Energy Efficiency Measures-DBT'!$D$60,Y37&gt;'Energy Efficiency Measures-DBT'!$D$60),'Energy Efficiency Measures-DBT'!$B$60,"")</f>
        <v>, MG2, MG3</v>
      </c>
      <c r="AF37" s="164" t="str">
        <f>IF(AND(I37&gt;'Energy Efficiency Measures-DBT'!$D$58,Y37&gt;'Energy Efficiency Measures-DBT'!$D$58),'Energy Efficiency Measures-DBT'!$B$58,"")&amp;", "&amp;IF(AND(I37&gt;'Energy Efficiency Measures-DBT'!$D$59,Y37&gt;'Energy Efficiency Measures-DBT'!$D$59),'Energy Efficiency Measures-DBT'!$B$59,"")&amp;", "&amp;IF(AND(I37&gt;'Energy Efficiency Measures-DBT'!$D$60,Y37&gt;'Energy Efficiency Measures-DBT'!$D$60),'Energy Efficiency Measures-DBT'!$B$60,"")</f>
        <v>, MG2, MG3</v>
      </c>
      <c r="AG37" s="273" t="str">
        <f>IF(AND(J37&gt;'Energy Efficiency Measures-DBT'!$D$58,Y37&gt;'Energy Efficiency Measures-DBT'!$D$58),'Energy Efficiency Measures-DBT'!$B$58,"")&amp;", "&amp;IF(AND(J37&gt;'Energy Efficiency Measures-DBT'!$D$59,Y37&gt;'Energy Efficiency Measures-DBT'!$D$59),'Energy Efficiency Measures-DBT'!$B$59,"")&amp;", "&amp;IF(AND(J37&gt;'Energy Efficiency Measures-DBT'!$D$60,Y37&gt;'Energy Efficiency Measures-DBT'!$D$60),'Energy Efficiency Measures-DBT'!$B$60,"")</f>
        <v>, MG2, MG3</v>
      </c>
    </row>
    <row r="38" spans="1:33">
      <c r="A38" s="48" t="s">
        <v>114</v>
      </c>
      <c r="B38" s="48" t="s">
        <v>47</v>
      </c>
      <c r="C38" s="47" t="s">
        <v>48</v>
      </c>
      <c r="D38" s="47" t="s">
        <v>10</v>
      </c>
      <c r="E38" s="498">
        <v>2.4</v>
      </c>
      <c r="F38" s="498">
        <v>2.4</v>
      </c>
      <c r="G38" s="498">
        <v>2.1</v>
      </c>
      <c r="H38" s="498">
        <v>1.6</v>
      </c>
      <c r="I38" s="498">
        <v>1.6</v>
      </c>
      <c r="J38" s="499">
        <v>1.3</v>
      </c>
      <c r="K38" s="506">
        <f>SUMPRODUCT('Dwelling stock'!E38:J38,E38:J38)/SUM('Dwelling stock'!E38:J38)</f>
        <v>2.0902161003563586</v>
      </c>
      <c r="M38" s="54">
        <v>2.123157</v>
      </c>
      <c r="P38" s="48" t="s">
        <v>47</v>
      </c>
      <c r="Q38" s="86">
        <f>LOOKUP($A38,'Energy Efficiency Measures-DBT'!$D$11:$AN$11,'Energy Efficiency Measures-DBT'!$D$58:$AN$58)</f>
        <v>2.7</v>
      </c>
      <c r="R38" s="86">
        <f>LOOKUP($A38,'Energy Efficiency Measures-DBT'!$D$11:$AN$11,'Energy Efficiency Measures-DBT'!$D$59:$AN$59)</f>
        <v>1.7</v>
      </c>
      <c r="S38" s="223">
        <f>LOOKUP($A38,'Energy Efficiency Measures-DBT'!$D$11:$AN$11,'Energy Efficiency Measures-DBT'!$D$60:$AN$60)</f>
        <v>0.65</v>
      </c>
      <c r="V38" s="48" t="s">
        <v>47</v>
      </c>
      <c r="W38" s="47"/>
      <c r="X38" s="455">
        <v>5</v>
      </c>
      <c r="Y38" s="456">
        <v>5</v>
      </c>
      <c r="Z38" s="455">
        <v>5</v>
      </c>
      <c r="AA38" s="456">
        <v>5</v>
      </c>
      <c r="AB38" s="179" t="str">
        <f>IF(AND(E38&gt;'Energy Efficiency Measures-DBT'!$D$58,Y38&gt;'Energy Efficiency Measures-DBT'!$D$58),'Energy Efficiency Measures-DBT'!$B$58,"")&amp;", "&amp;IF(AND(E38&gt;'Energy Efficiency Measures-DBT'!$D$59,Y38&gt;'Energy Efficiency Measures-DBT'!$D$59),'Energy Efficiency Measures-DBT'!$B$59,"")&amp;", "&amp;IF(AND(E38&gt;'Energy Efficiency Measures-DBT'!$D$60,Y38&gt;'Energy Efficiency Measures-DBT'!$D$60),'Energy Efficiency Measures-DBT'!$B$60,"")</f>
        <v>, MG2, MG3</v>
      </c>
      <c r="AC38" s="164" t="str">
        <f>IF(AND(F38&gt;'Energy Efficiency Measures-DBT'!$D$58,Y38&gt;'Energy Efficiency Measures-DBT'!$D$58),'Energy Efficiency Measures-DBT'!$B$58,"")&amp;", "&amp;IF(AND(F38&gt;'Energy Efficiency Measures-DBT'!$D$59,Y38&gt;'Energy Efficiency Measures-DBT'!$D$59),'Energy Efficiency Measures-DBT'!$B$59,"")&amp;", "&amp;IF(AND(F38&gt;'Energy Efficiency Measures-DBT'!$D$60,Y38&gt;'Energy Efficiency Measures-DBT'!$D$60),'Energy Efficiency Measures-DBT'!$B$60,"")</f>
        <v>, MG2, MG3</v>
      </c>
      <c r="AD38" s="164" t="str">
        <f>IF(AND(G38&gt;'Energy Efficiency Measures-DBT'!$D$58,Y38&gt;'Energy Efficiency Measures-DBT'!$D$58),'Energy Efficiency Measures-DBT'!$B$58,"")&amp;", "&amp;IF(AND(G38&gt;'Energy Efficiency Measures-DBT'!$D$59,Y38&gt;'Energy Efficiency Measures-DBT'!$D$59),'Energy Efficiency Measures-DBT'!$B$59,"")&amp;", "&amp;IF(AND(G38&gt;'Energy Efficiency Measures-DBT'!$D$60,Y38&gt;'Energy Efficiency Measures-DBT'!$D$60),'Energy Efficiency Measures-DBT'!$B$60,"")</f>
        <v>, MG2, MG3</v>
      </c>
      <c r="AE38" s="164" t="str">
        <f>IF(AND(H38&gt;'Energy Efficiency Measures-DBT'!$D$58,Y38&gt;'Energy Efficiency Measures-DBT'!$D$58),'Energy Efficiency Measures-DBT'!$B$58,"")&amp;", "&amp;IF(AND(H38&gt;'Energy Efficiency Measures-DBT'!$D$59,Y38&gt;'Energy Efficiency Measures-DBT'!$D$59),'Energy Efficiency Measures-DBT'!$B$59,"")&amp;", "&amp;IF(AND(H38&gt;'Energy Efficiency Measures-DBT'!$D$60,Y38&gt;'Energy Efficiency Measures-DBT'!$D$60),'Energy Efficiency Measures-DBT'!$B$60,"")</f>
        <v>, , MG3</v>
      </c>
      <c r="AF38" s="164" t="str">
        <f>IF(AND(I38&gt;'Energy Efficiency Measures-DBT'!$D$58,Y38&gt;'Energy Efficiency Measures-DBT'!$D$58),'Energy Efficiency Measures-DBT'!$B$58,"")&amp;", "&amp;IF(AND(I38&gt;'Energy Efficiency Measures-DBT'!$D$59,Y38&gt;'Energy Efficiency Measures-DBT'!$D$59),'Energy Efficiency Measures-DBT'!$B$59,"")&amp;", "&amp;IF(AND(I38&gt;'Energy Efficiency Measures-DBT'!$D$60,Y38&gt;'Energy Efficiency Measures-DBT'!$D$60),'Energy Efficiency Measures-DBT'!$B$60,"")</f>
        <v>, , MG3</v>
      </c>
      <c r="AG38" s="273" t="str">
        <f>IF(AND(J38&gt;'Energy Efficiency Measures-DBT'!$D$58,Y38&gt;'Energy Efficiency Measures-DBT'!$D$58),'Energy Efficiency Measures-DBT'!$B$58,"")&amp;", "&amp;IF(AND(J38&gt;'Energy Efficiency Measures-DBT'!$D$59,Y38&gt;'Energy Efficiency Measures-DBT'!$D$59),'Energy Efficiency Measures-DBT'!$B$59,"")&amp;", "&amp;IF(AND(J38&gt;'Energy Efficiency Measures-DBT'!$D$60,Y38&gt;'Energy Efficiency Measures-DBT'!$D$60),'Energy Efficiency Measures-DBT'!$B$60,"")</f>
        <v>, , MG3</v>
      </c>
    </row>
    <row r="39" spans="1:33">
      <c r="A39" s="48" t="s">
        <v>115</v>
      </c>
      <c r="B39" s="48" t="s">
        <v>45</v>
      </c>
      <c r="C39" s="48" t="s">
        <v>46</v>
      </c>
      <c r="D39" s="48" t="s">
        <v>10</v>
      </c>
      <c r="E39" s="498">
        <v>3.7</v>
      </c>
      <c r="F39" s="498">
        <v>3.7</v>
      </c>
      <c r="G39" s="498">
        <v>3.7</v>
      </c>
      <c r="H39" s="498">
        <v>2.9</v>
      </c>
      <c r="I39" s="498">
        <v>2.9</v>
      </c>
      <c r="J39" s="499">
        <v>1.7</v>
      </c>
      <c r="K39" s="506">
        <f>SUMPRODUCT('Dwelling stock'!E39:J39,E39:J39)/SUM('Dwelling stock'!E39:J39)</f>
        <v>3.3262143676113367</v>
      </c>
      <c r="M39" s="54">
        <v>3.2952979999999998</v>
      </c>
      <c r="P39" s="48" t="s">
        <v>45</v>
      </c>
      <c r="Q39" s="86">
        <f>LOOKUP($A39,'Energy Efficiency Measures-DBT'!$D$11:$AN$11,'Energy Efficiency Measures-DBT'!$D$58:$AN$58)</f>
        <v>2.7</v>
      </c>
      <c r="R39" s="86">
        <f>LOOKUP($A39,'Energy Efficiency Measures-DBT'!$D$11:$AN$11,'Energy Efficiency Measures-DBT'!$D$59:$AN$59)</f>
        <v>1.7</v>
      </c>
      <c r="S39" s="223">
        <f>LOOKUP($A39,'Energy Efficiency Measures-DBT'!$D$11:$AN$11,'Energy Efficiency Measures-DBT'!$D$60:$AN$60)</f>
        <v>0.65</v>
      </c>
      <c r="V39" s="48" t="s">
        <v>45</v>
      </c>
      <c r="W39" s="48"/>
      <c r="X39" s="455">
        <v>5</v>
      </c>
      <c r="Y39" s="456">
        <v>5</v>
      </c>
      <c r="Z39" s="455">
        <v>5</v>
      </c>
      <c r="AA39" s="456">
        <v>5</v>
      </c>
      <c r="AB39" s="179" t="str">
        <f>IF(AND(E39&gt;'Energy Efficiency Measures-DBT'!$D$58,Y39&gt;'Energy Efficiency Measures-DBT'!$D$58),'Energy Efficiency Measures-DBT'!$B$58,"")&amp;", "&amp;IF(AND(E39&gt;'Energy Efficiency Measures-DBT'!$D$59,Y39&gt;'Energy Efficiency Measures-DBT'!$D$59),'Energy Efficiency Measures-DBT'!$B$59,"")&amp;", "&amp;IF(AND(E39&gt;'Energy Efficiency Measures-DBT'!$D$60,Y39&gt;'Energy Efficiency Measures-DBT'!$D$60),'Energy Efficiency Measures-DBT'!$B$60,"")</f>
        <v>MG1, MG2, MG3</v>
      </c>
      <c r="AC39" s="164" t="str">
        <f>IF(AND(F39&gt;'Energy Efficiency Measures-DBT'!$D$58,Y39&gt;'Energy Efficiency Measures-DBT'!$D$58),'Energy Efficiency Measures-DBT'!$B$58,"")&amp;", "&amp;IF(AND(F39&gt;'Energy Efficiency Measures-DBT'!$D$59,Y39&gt;'Energy Efficiency Measures-DBT'!$D$59),'Energy Efficiency Measures-DBT'!$B$59,"")&amp;", "&amp;IF(AND(F39&gt;'Energy Efficiency Measures-DBT'!$D$60,Y39&gt;'Energy Efficiency Measures-DBT'!$D$60),'Energy Efficiency Measures-DBT'!$B$60,"")</f>
        <v>MG1, MG2, MG3</v>
      </c>
      <c r="AD39" s="164" t="str">
        <f>IF(AND(G39&gt;'Energy Efficiency Measures-DBT'!$D$58,Y39&gt;'Energy Efficiency Measures-DBT'!$D$58),'Energy Efficiency Measures-DBT'!$B$58,"")&amp;", "&amp;IF(AND(G39&gt;'Energy Efficiency Measures-DBT'!$D$59,Y39&gt;'Energy Efficiency Measures-DBT'!$D$59),'Energy Efficiency Measures-DBT'!$B$59,"")&amp;", "&amp;IF(AND(G39&gt;'Energy Efficiency Measures-DBT'!$D$60,Y39&gt;'Energy Efficiency Measures-DBT'!$D$60),'Energy Efficiency Measures-DBT'!$B$60,"")</f>
        <v>MG1, MG2, MG3</v>
      </c>
      <c r="AE39" s="164" t="str">
        <f>IF(AND(H39&gt;'Energy Efficiency Measures-DBT'!$D$58,Y39&gt;'Energy Efficiency Measures-DBT'!$D$58),'Energy Efficiency Measures-DBT'!$B$58,"")&amp;", "&amp;IF(AND(H39&gt;'Energy Efficiency Measures-DBT'!$D$59,Y39&gt;'Energy Efficiency Measures-DBT'!$D$59),'Energy Efficiency Measures-DBT'!$B$59,"")&amp;", "&amp;IF(AND(H39&gt;'Energy Efficiency Measures-DBT'!$D$60,Y39&gt;'Energy Efficiency Measures-DBT'!$D$60),'Energy Efficiency Measures-DBT'!$B$60,"")</f>
        <v>MG1, MG2, MG3</v>
      </c>
      <c r="AF39" s="164" t="str">
        <f>IF(AND(I39&gt;'Energy Efficiency Measures-DBT'!$D$58,Y39&gt;'Energy Efficiency Measures-DBT'!$D$58),'Energy Efficiency Measures-DBT'!$B$58,"")&amp;", "&amp;IF(AND(I39&gt;'Energy Efficiency Measures-DBT'!$D$59,Y39&gt;'Energy Efficiency Measures-DBT'!$D$59),'Energy Efficiency Measures-DBT'!$B$59,"")&amp;", "&amp;IF(AND(I39&gt;'Energy Efficiency Measures-DBT'!$D$60,Y39&gt;'Energy Efficiency Measures-DBT'!$D$60),'Energy Efficiency Measures-DBT'!$B$60,"")</f>
        <v>MG1, MG2, MG3</v>
      </c>
      <c r="AG39" s="273" t="str">
        <f>IF(AND(J39&gt;'Energy Efficiency Measures-DBT'!$D$58,Y39&gt;'Energy Efficiency Measures-DBT'!$D$58),'Energy Efficiency Measures-DBT'!$B$58,"")&amp;", "&amp;IF(AND(J39&gt;'Energy Efficiency Measures-DBT'!$D$59,Y39&gt;'Energy Efficiency Measures-DBT'!$D$59),'Energy Efficiency Measures-DBT'!$B$59,"")&amp;", "&amp;IF(AND(J39&gt;'Energy Efficiency Measures-DBT'!$D$60,Y39&gt;'Energy Efficiency Measures-DBT'!$D$60),'Energy Efficiency Measures-DBT'!$B$60,"")</f>
        <v>, , MG3</v>
      </c>
    </row>
    <row r="40" spans="1:33">
      <c r="A40" s="49" t="s">
        <v>52</v>
      </c>
      <c r="B40" s="49" t="s">
        <v>52</v>
      </c>
      <c r="C40" s="49"/>
      <c r="D40" s="49" t="s">
        <v>10</v>
      </c>
      <c r="E40" s="501">
        <v>3.9348800000000002</v>
      </c>
      <c r="F40" s="501">
        <v>3.8711899999999999</v>
      </c>
      <c r="G40" s="501">
        <v>3.5506419999999999</v>
      </c>
      <c r="H40" s="501">
        <v>3.4681950000000001</v>
      </c>
      <c r="I40" s="501">
        <v>2.0980089999999998</v>
      </c>
      <c r="J40" s="502">
        <v>1.8224910000000001</v>
      </c>
      <c r="K40" s="508">
        <f>SUMPRODUCT('Dwelling stock'!E40:J40,E40:J40)/SUM('Dwelling stock'!E40:J40)</f>
        <v>3.5523314233448207</v>
      </c>
      <c r="M40" s="87">
        <v>3.348366</v>
      </c>
      <c r="P40" s="49" t="s">
        <v>52</v>
      </c>
      <c r="Q40" s="402">
        <f>LOOKUP($A40,'Energy Efficiency Measures-DBT'!$D$11:$AN$11,'Energy Efficiency Measures-DBT'!$D$58:$AN$58)</f>
        <v>2.7</v>
      </c>
      <c r="R40" s="402">
        <f>LOOKUP($A40,'Energy Efficiency Measures-DBT'!$D$11:$AN$11,'Energy Efficiency Measures-DBT'!$D$59:$AN$59)</f>
        <v>1.7</v>
      </c>
      <c r="S40" s="403">
        <f>LOOKUP($A40,'Energy Efficiency Measures-DBT'!$D$11:$AN$11,'Energy Efficiency Measures-DBT'!$D$60:$AN$60)</f>
        <v>0.65</v>
      </c>
      <c r="V40" s="49" t="s">
        <v>52</v>
      </c>
      <c r="W40" s="49"/>
      <c r="X40" s="457">
        <v>5</v>
      </c>
      <c r="Y40" s="458">
        <v>5</v>
      </c>
      <c r="Z40" s="457">
        <v>5</v>
      </c>
      <c r="AA40" s="458">
        <v>5</v>
      </c>
      <c r="AB40" s="276" t="str">
        <f>IF(AND(E40&gt;'Energy Efficiency Measures-DBT'!$D$58,Y40&gt;'Energy Efficiency Measures-DBT'!$D$58),'Energy Efficiency Measures-DBT'!$B$58,"")&amp;", "&amp;IF(AND(E40&gt;'Energy Efficiency Measures-DBT'!$D$59,Y40&gt;'Energy Efficiency Measures-DBT'!$D$59),'Energy Efficiency Measures-DBT'!$B$59,"")&amp;", "&amp;IF(AND(E40&gt;'Energy Efficiency Measures-DBT'!$D$60,Y40&gt;'Energy Efficiency Measures-DBT'!$D$60),'Energy Efficiency Measures-DBT'!$B$60,"")</f>
        <v>MG1, MG2, MG3</v>
      </c>
      <c r="AC40" s="277" t="str">
        <f>IF(AND(F40&gt;'Energy Efficiency Measures-DBT'!$D$58,Y40&gt;'Energy Efficiency Measures-DBT'!$D$58),'Energy Efficiency Measures-DBT'!$B$58,"")&amp;", "&amp;IF(AND(F40&gt;'Energy Efficiency Measures-DBT'!$D$59,Y40&gt;'Energy Efficiency Measures-DBT'!$D$59),'Energy Efficiency Measures-DBT'!$B$59,"")&amp;", "&amp;IF(AND(F40&gt;'Energy Efficiency Measures-DBT'!$D$60,Y40&gt;'Energy Efficiency Measures-DBT'!$D$60),'Energy Efficiency Measures-DBT'!$B$60,"")</f>
        <v>MG1, MG2, MG3</v>
      </c>
      <c r="AD40" s="277" t="str">
        <f>IF(AND(G40&gt;'Energy Efficiency Measures-DBT'!$D$58,Y40&gt;'Energy Efficiency Measures-DBT'!$D$58),'Energy Efficiency Measures-DBT'!$B$58,"")&amp;", "&amp;IF(AND(G40&gt;'Energy Efficiency Measures-DBT'!$D$59,Y40&gt;'Energy Efficiency Measures-DBT'!$D$59),'Energy Efficiency Measures-DBT'!$B$59,"")&amp;", "&amp;IF(AND(G40&gt;'Energy Efficiency Measures-DBT'!$D$60,Y40&gt;'Energy Efficiency Measures-DBT'!$D$60),'Energy Efficiency Measures-DBT'!$B$60,"")</f>
        <v>MG1, MG2, MG3</v>
      </c>
      <c r="AE40" s="277" t="str">
        <f>IF(AND(H40&gt;'Energy Efficiency Measures-DBT'!$D$58,Y40&gt;'Energy Efficiency Measures-DBT'!$D$58),'Energy Efficiency Measures-DBT'!$B$58,"")&amp;", "&amp;IF(AND(H40&gt;'Energy Efficiency Measures-DBT'!$D$59,Y40&gt;'Energy Efficiency Measures-DBT'!$D$59),'Energy Efficiency Measures-DBT'!$B$59,"")&amp;", "&amp;IF(AND(H40&gt;'Energy Efficiency Measures-DBT'!$D$60,Y40&gt;'Energy Efficiency Measures-DBT'!$D$60),'Energy Efficiency Measures-DBT'!$B$60,"")</f>
        <v>MG1, MG2, MG3</v>
      </c>
      <c r="AF40" s="277" t="str">
        <f>IF(AND(I40&gt;'Energy Efficiency Measures-DBT'!$D$58,Y40&gt;'Energy Efficiency Measures-DBT'!$D$58),'Energy Efficiency Measures-DBT'!$B$58,"")&amp;", "&amp;IF(AND(I40&gt;'Energy Efficiency Measures-DBT'!$D$59,Y40&gt;'Energy Efficiency Measures-DBT'!$D$59),'Energy Efficiency Measures-DBT'!$B$59,"")&amp;", "&amp;IF(AND(I40&gt;'Energy Efficiency Measures-DBT'!$D$60,Y40&gt;'Energy Efficiency Measures-DBT'!$D$60),'Energy Efficiency Measures-DBT'!$B$60,"")</f>
        <v>, MG2, MG3</v>
      </c>
      <c r="AG40" s="278" t="str">
        <f>IF(AND(J40&gt;'Energy Efficiency Measures-DBT'!$D$58,Y40&gt;'Energy Efficiency Measures-DBT'!$D$58),'Energy Efficiency Measures-DBT'!$B$58,"")&amp;", "&amp;IF(AND(J40&gt;'Energy Efficiency Measures-DBT'!$D$59,Y40&gt;'Energy Efficiency Measures-DBT'!$D$59),'Energy Efficiency Measures-DBT'!$B$59,"")&amp;", "&amp;IF(AND(J40&gt;'Energy Efficiency Measures-DBT'!$D$60,Y40&gt;'Energy Efficiency Measures-DBT'!$D$60),'Energy Efficiency Measures-DBT'!$B$60,"")</f>
        <v>, MG2, MG3</v>
      </c>
    </row>
    <row r="41" spans="1:33">
      <c r="V41" s="5" t="s">
        <v>284</v>
      </c>
    </row>
    <row r="43" spans="1:33">
      <c r="A43" s="135"/>
    </row>
  </sheetData>
  <sortState xmlns:xlrd2="http://schemas.microsoft.com/office/spreadsheetml/2017/richdata2" ref="A4:S40">
    <sortCondition ref="A4:A40"/>
  </sortState>
  <mergeCells count="3">
    <mergeCell ref="X2:Y2"/>
    <mergeCell ref="Z2:AA2"/>
    <mergeCell ref="AB2:AG2"/>
  </mergeCells>
  <conditionalFormatting sqref="K4:K30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{0C35F6C2-F060-49BE-B2AC-66C9C2555BD5}</x14:id>
        </ext>
      </extLst>
    </cfRule>
    <cfRule type="dataBar" priority="1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{1867694D-3097-4BBB-A701-05BC76282464}</x14:id>
        </ext>
      </extLst>
    </cfRule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{05E58591-B839-4F4D-8C55-FAAD0CD6D860}</x14:id>
        </ext>
      </extLst>
    </cfRule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{8B186531-D306-407F-BA56-182170B60111}</x14:id>
        </ext>
      </extLst>
    </cfRule>
  </conditionalFormatting>
  <conditionalFormatting sqref="K4:K39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{C8902756-4D3D-4E20-809C-476161CED7C4}</x14:id>
        </ext>
      </extLst>
    </cfRule>
  </conditionalFormatting>
  <conditionalFormatting sqref="K4:K40">
    <cfRule type="dataBar" priority="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{503B2026-10FF-4591-B06F-623F738D1432}</x14:id>
        </ext>
      </extLst>
    </cfRule>
  </conditionalFormatting>
  <conditionalFormatting sqref="K31:K38">
    <cfRule type="dataBar" priority="1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{B42DC57C-157D-4D56-A2B9-4FEC6401665B}</x14:id>
        </ext>
      </extLst>
    </cfRule>
    <cfRule type="dataBar" priority="1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{116AF294-667A-41B3-A9C9-BC1D8B76DC3B}</x14:id>
        </ext>
      </extLst>
    </cfRule>
    <cfRule type="dataBar" priority="1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{CFD72B4F-4E33-4A6F-9BC3-8A23FA03BFF2}</x14:id>
        </ext>
      </extLst>
    </cfRule>
    <cfRule type="dataBar" priority="1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{304336D2-9E46-41AE-8B94-457FD8E44691}</x14:id>
        </ext>
      </extLst>
    </cfRule>
  </conditionalFormatting>
  <conditionalFormatting sqref="K39:K40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{BE75291D-EB7D-4576-A87C-92D7F7B169D6}</x14:id>
        </ext>
      </extLst>
    </cfRule>
    <cfRule type="dataBar" priority="1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{1C028EAA-95A5-4277-A623-4C697FDFBFF9}</x14:id>
        </ext>
      </extLst>
    </cfRule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{D55EE281-8912-4E08-B1A9-543CA76A33BF}</x14:id>
        </ext>
      </extLst>
    </cfRule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{8A724F8D-E96E-4C07-9FFD-12571A63D0F5}</x14:id>
        </ext>
      </extLst>
    </cfRule>
    <cfRule type="dataBar" priority="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{54CF50FD-DEC9-438D-997B-1299DE5F5CFF}</x14:id>
        </ext>
      </extLst>
    </cfRule>
    <cfRule type="dataBar" priority="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{14EF29AA-0122-4748-A76D-932FBE617522}</x14:id>
        </ext>
      </extLst>
    </cfRule>
  </conditionalFormatting>
  <conditionalFormatting sqref="M4:M29">
    <cfRule type="dataBar" priority="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{65EC52FB-B99B-4BC6-8ED6-60EED5AD603F}</x14:id>
        </ext>
      </extLst>
    </cfRule>
    <cfRule type="dataBar" priority="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{5FE96F5F-7AF6-4E47-903D-B87E8F8AF872}</x14:id>
        </ext>
      </extLst>
    </cfRule>
    <cfRule type="dataBar" priority="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{EC67DCE2-0DC8-4080-B0CB-116953CBD6C1}</x14:id>
        </ext>
      </extLst>
    </cfRule>
  </conditionalFormatting>
  <conditionalFormatting sqref="M4:M40">
    <cfRule type="dataBar" priority="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{49D5B6CE-6D00-47B9-A0B0-A877C4B42C9A}</x14:id>
        </ext>
      </extLst>
    </cfRule>
  </conditionalFormatting>
  <conditionalFormatting sqref="M30:M40">
    <cfRule type="dataBar" priority="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{C21D7C8F-D047-44F5-98A6-C2E0DF67F0EE}</x14:id>
        </ext>
      </extLst>
    </cfRule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{482EEEED-7C49-4B2F-85FC-D47F359251AC}</x14:id>
        </ext>
      </extLst>
    </cfRule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{3AE641D4-4536-41DC-B75B-66F2C5F16B65}</x14:id>
        </ext>
      </extLst>
    </cfRule>
  </conditionalFormatting>
  <conditionalFormatting sqref="Q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{F3D87A65-20DA-43ED-8F80-316AD0BA72D9}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{72CD3BA6-6A0C-4A61-B61C-C261AB0C5AD9}</x14:id>
        </ext>
      </extLst>
    </cfRule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{37670D7B-2A61-4BB6-B15B-46CC82E350B7}</x14:id>
        </ext>
      </extLst>
    </cfRule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{B8581C0B-2003-46E2-849C-314FE6960458}</x14:id>
        </ext>
      </extLst>
    </cfRule>
  </conditionalFormatting>
  <conditionalFormatting sqref="Q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{A67E9FC9-72E3-4902-8731-84C8554D831C}</x14:id>
        </ext>
      </extLst>
    </cfRule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{4F2A5E18-AF53-4376-BD56-D653E54DC357}</x14:id>
        </ext>
      </extLst>
    </cfRule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{5CCAC3D8-E6D1-4E67-9827-695AB3B58025}</x14:id>
        </ext>
      </extLst>
    </cfRule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{CB60499A-0385-4A6B-9D9C-FE0D5142B8AE}</x14:id>
        </ext>
      </extLst>
    </cfRule>
  </conditionalFormatting>
  <conditionalFormatting sqref="Q6:Q4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{F8CE8581-10BF-435E-ACDC-12628FB1E96C}</x14:id>
        </ext>
      </extLs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{4267E2E4-17AB-4F73-B4A1-E3DEB59C98A5}</x14:id>
        </ext>
      </extLst>
    </cfRule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{A4C4B42E-186C-4508-AF91-87B98C38F459}</x14:id>
        </ext>
      </extLst>
    </cfRule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{D17DED4F-CB3B-4EE5-9753-0C511C5AB642}</x14:id>
        </ext>
      </extLst>
    </cfRule>
  </conditionalFormatting>
  <conditionalFormatting sqref="R4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{49A7D196-9502-4661-9601-BEFA43DDD97F}</x14:id>
        </ext>
      </extLst>
    </cfRule>
  </conditionalFormatting>
  <conditionalFormatting sqref="R5">
    <cfRule type="dataBar" priority="2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{FC3092C2-A518-4CE6-BCCE-4484EE5798A7}</x14:id>
        </ext>
      </extLst>
    </cfRule>
  </conditionalFormatting>
  <conditionalFormatting sqref="R6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{77E33378-BD23-431C-9278-52DBFEC47B3D}</x14:id>
        </ext>
      </extLst>
    </cfRule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{6FF9F9A1-4887-4673-99AB-886BBC831C62}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{CEF78020-A1F1-4647-A0F3-E60F39B04A77}</x14:id>
        </ext>
      </extLst>
    </cfRule>
  </conditionalFormatting>
  <conditionalFormatting sqref="R7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{96C07240-A0D8-443A-A2AE-B9245763EFDE}</x14:id>
        </ext>
      </extLst>
    </cfRule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{D2F564D0-4550-4C8C-BE6B-CE339BF031D8}</x14:id>
        </ext>
      </extLst>
    </cfRule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{5DB53AD6-065F-4581-A936-5F18FB8C1D30}</x14:id>
        </ext>
      </extLst>
    </cfRule>
  </conditionalFormatting>
  <conditionalFormatting sqref="R8:R40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{918A21A6-EBC4-4586-B52F-9C79D5B1A193}</x14:id>
        </ext>
      </extLst>
    </cfRule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{9BC0F1B6-B311-400B-AC23-BCF2C5D04B6C}</x14:id>
        </ext>
      </extLst>
    </cfRule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{129735C3-63FD-4772-AA99-E913056CE122}</x14:id>
        </ext>
      </extLst>
    </cfRule>
  </conditionalFormatting>
  <conditionalFormatting sqref="R4:S4"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{7459D34D-3AF6-4899-B5D9-19C6FF10785B}</x14:id>
        </ext>
      </extLst>
    </cfRule>
    <cfRule type="dataBar" priority="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{567F54B8-4F19-48D0-95DD-31CE39B39940}</x14:id>
        </ext>
      </extLst>
    </cfRule>
  </conditionalFormatting>
  <conditionalFormatting sqref="R4:S40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{514834B5-BEDE-485D-BBFA-10E3C0810BAD}</x14:id>
        </ext>
      </extLst>
    </cfRule>
  </conditionalFormatting>
  <conditionalFormatting sqref="R5:S5">
    <cfRule type="dataBar" priority="2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{5C0F9706-7D0B-4E6F-98DA-8EEA65BD04BE}</x14:id>
        </ext>
      </extLst>
    </cfRule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{A29F7244-757A-4CDE-B180-EF951820A0A8}</x14:id>
        </ext>
      </extLst>
    </cfRule>
  </conditionalFormatting>
  <conditionalFormatting sqref="S6:S40">
    <cfRule type="dataBar" priority="2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{864E2E30-3AEE-4433-A285-F551509690AA}</x14:id>
        </ext>
      </extLst>
    </cfRule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{CCAA8823-22F5-4374-8BE3-28C8F6B2A57C}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35F6C2-F060-49BE-B2AC-66C9C2555B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867694D-3097-4BBB-A701-05BC762824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5E58591-B839-4F4D-8C55-FAAD0CD6D8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B186531-D306-407F-BA56-182170B601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K4:K30</xm:sqref>
        </x14:conditionalFormatting>
        <x14:conditionalFormatting xmlns:xm="http://schemas.microsoft.com/office/excel/2006/main">
          <x14:cfRule type="dataBar" id="{C8902756-4D3D-4E20-809C-476161CED7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K4:K39</xm:sqref>
        </x14:conditionalFormatting>
        <x14:conditionalFormatting xmlns:xm="http://schemas.microsoft.com/office/excel/2006/main">
          <x14:cfRule type="dataBar" id="{503B2026-10FF-4591-B06F-623F738D14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K4:K40</xm:sqref>
        </x14:conditionalFormatting>
        <x14:conditionalFormatting xmlns:xm="http://schemas.microsoft.com/office/excel/2006/main">
          <x14:cfRule type="dataBar" id="{B42DC57C-157D-4D56-A2B9-4FEC640166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16AF294-667A-41B3-A9C9-BC1D8B76DC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FD72B4F-4E33-4A6F-9BC3-8A23FA03BF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04336D2-9E46-41AE-8B94-457FD8E446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K31:K38</xm:sqref>
        </x14:conditionalFormatting>
        <x14:conditionalFormatting xmlns:xm="http://schemas.microsoft.com/office/excel/2006/main">
          <x14:cfRule type="dataBar" id="{BE75291D-EB7D-4576-A87C-92D7F7B169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C028EAA-95A5-4277-A623-4C697FDFBF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55EE281-8912-4E08-B1A9-543CA76A33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A724F8D-E96E-4C07-9FFD-12571A63D0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4CF50FD-DEC9-438D-997B-1299DE5F5C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4EF29AA-0122-4748-A76D-932FBE6175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K39:K40</xm:sqref>
        </x14:conditionalFormatting>
        <x14:conditionalFormatting xmlns:xm="http://schemas.microsoft.com/office/excel/2006/main">
          <x14:cfRule type="dataBar" id="{65EC52FB-B99B-4BC6-8ED6-60EED5AD60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FE96F5F-7AF6-4E47-903D-B87E8F8AF8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C67DCE2-0DC8-4080-B0CB-116953CBD6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M4:M29</xm:sqref>
        </x14:conditionalFormatting>
        <x14:conditionalFormatting xmlns:xm="http://schemas.microsoft.com/office/excel/2006/main">
          <x14:cfRule type="dataBar" id="{49D5B6CE-6D00-47B9-A0B0-A877C4B42C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M4:M40</xm:sqref>
        </x14:conditionalFormatting>
        <x14:conditionalFormatting xmlns:xm="http://schemas.microsoft.com/office/excel/2006/main">
          <x14:cfRule type="dataBar" id="{C21D7C8F-D047-44F5-98A6-C2E0DF67F0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82EEEED-7C49-4B2F-85FC-D47F359251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AE641D4-4536-41DC-B75B-66F2C5F16B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M30:M40</xm:sqref>
        </x14:conditionalFormatting>
        <x14:conditionalFormatting xmlns:xm="http://schemas.microsoft.com/office/excel/2006/main">
          <x14:cfRule type="dataBar" id="{F3D87A65-20DA-43ED-8F80-316AD0BA72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2CD3BA6-6A0C-4A61-B61C-C261AB0C5A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7670D7B-2A61-4BB6-B15B-46CC82E350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8581C0B-2003-46E2-849C-314FE69604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67E9FC9-72E3-4902-8731-84C8554D83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F2A5E18-AF53-4376-BD56-D653E54DC3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CCAC3D8-E6D1-4E67-9827-695AB3B580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B60499A-0385-4A6B-9D9C-FE0D5142B8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F8CE8581-10BF-435E-ACDC-12628FB1E9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267E2E4-17AB-4F73-B4A1-E3DEB59C98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4C4B42E-186C-4508-AF91-87B98C38F4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17DED4F-CB3B-4EE5-9753-0C511C5AB6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Q6:Q40</xm:sqref>
        </x14:conditionalFormatting>
        <x14:conditionalFormatting xmlns:xm="http://schemas.microsoft.com/office/excel/2006/main">
          <x14:cfRule type="dataBar" id="{49A7D196-9502-4661-9601-BEFA43DDD9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FC3092C2-A518-4CE6-BCCE-4484EE5798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77E33378-BD23-431C-9278-52DBFEC47B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FF9F9A1-4887-4673-99AB-886BBC831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EF78020-A1F1-4647-A0F3-E60F39B04A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6C07240-A0D8-443A-A2AE-B9245763EF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2F564D0-4550-4C8C-BE6B-CE339BF031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DB53AD6-065F-4581-A936-5F18FB8C1D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18A21A6-EBC4-4586-B52F-9C79D5B1A1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BC0F1B6-B311-400B-AC23-BCF2C5D04B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29735C3-63FD-4772-AA99-E913056CE1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R8:R40</xm:sqref>
        </x14:conditionalFormatting>
        <x14:conditionalFormatting xmlns:xm="http://schemas.microsoft.com/office/excel/2006/main">
          <x14:cfRule type="dataBar" id="{7459D34D-3AF6-4899-B5D9-19C6FF1078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7F54B8-4F19-48D0-95DD-31CE39B399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R4:S4</xm:sqref>
        </x14:conditionalFormatting>
        <x14:conditionalFormatting xmlns:xm="http://schemas.microsoft.com/office/excel/2006/main">
          <x14:cfRule type="dataBar" id="{514834B5-BEDE-485D-BBFA-10E3C0810B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R4:S40</xm:sqref>
        </x14:conditionalFormatting>
        <x14:conditionalFormatting xmlns:xm="http://schemas.microsoft.com/office/excel/2006/main">
          <x14:cfRule type="dataBar" id="{5C0F9706-7D0B-4E6F-98DA-8EEA65BD04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9F7244-757A-4CDE-B180-EF951820A0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R5:S5</xm:sqref>
        </x14:conditionalFormatting>
        <x14:conditionalFormatting xmlns:xm="http://schemas.microsoft.com/office/excel/2006/main">
          <x14:cfRule type="dataBar" id="{864E2E30-3AEE-4433-A285-F551509690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CAA8823-22F5-4374-8BE3-28C8F6B2A5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S6:S40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0"/>
  <dimension ref="A1:AX44"/>
  <sheetViews>
    <sheetView topLeftCell="K1" zoomScale="85" zoomScaleNormal="85" workbookViewId="0">
      <selection activeCell="AB12" sqref="AB12"/>
    </sheetView>
  </sheetViews>
  <sheetFormatPr defaultColWidth="9.109375" defaultRowHeight="14.4"/>
  <cols>
    <col min="1" max="1" width="9.109375" style="8"/>
    <col min="2" max="2" width="16.5546875" style="8" customWidth="1"/>
    <col min="3" max="3" width="5.6640625" style="8" customWidth="1"/>
    <col min="4" max="10" width="12.6640625" style="8" customWidth="1"/>
    <col min="11" max="11" width="9.109375" style="8"/>
    <col min="12" max="12" width="16.44140625" style="8" bestFit="1" customWidth="1"/>
    <col min="13" max="13" width="9.109375" style="8"/>
    <col min="14" max="14" width="10.44140625" style="8" bestFit="1" customWidth="1"/>
    <col min="15" max="15" width="10.44140625" style="8" customWidth="1"/>
    <col min="16" max="16" width="11.33203125" style="8" bestFit="1" customWidth="1"/>
    <col min="17" max="18" width="11.109375" style="8" bestFit="1" customWidth="1"/>
    <col min="19" max="19" width="9.109375" style="8"/>
    <col min="20" max="20" width="11.88671875" style="8" customWidth="1"/>
    <col min="21" max="21" width="11.5546875" style="8" customWidth="1"/>
    <col min="22" max="22" width="9.109375" style="8"/>
    <col min="23" max="23" width="10.88671875" style="8" bestFit="1" customWidth="1"/>
    <col min="24" max="24" width="12.33203125" style="8" bestFit="1" customWidth="1"/>
    <col min="25" max="26" width="15.6640625" style="8" customWidth="1"/>
    <col min="27" max="29" width="12.6640625" style="8" customWidth="1"/>
    <col min="30" max="30" width="8.88671875" style="8"/>
    <col min="31" max="31" width="12.5546875" style="8" customWidth="1"/>
    <col min="32" max="32" width="10.44140625" style="8" customWidth="1"/>
    <col min="33" max="35" width="9.109375" style="8"/>
    <col min="36" max="37" width="15.6640625" style="8" customWidth="1"/>
    <col min="38" max="38" width="8.88671875" style="8"/>
    <col min="39" max="39" width="12" style="8" customWidth="1"/>
    <col min="40" max="41" width="9.109375" style="8"/>
    <col min="42" max="46" width="10.6640625" style="8" customWidth="1"/>
    <col min="47" max="16384" width="9.109375" style="8"/>
  </cols>
  <sheetData>
    <row r="1" spans="1:50" ht="21">
      <c r="A1" s="3" t="s">
        <v>176</v>
      </c>
      <c r="C1" s="9"/>
      <c r="D1" s="9"/>
      <c r="E1" s="9"/>
      <c r="F1" s="9"/>
      <c r="G1" s="9"/>
      <c r="H1" s="9"/>
      <c r="I1" s="9"/>
      <c r="J1" s="9"/>
      <c r="L1" s="3" t="s">
        <v>240</v>
      </c>
      <c r="T1" s="3" t="s">
        <v>173</v>
      </c>
      <c r="Y1" s="911"/>
      <c r="Z1" s="911"/>
      <c r="AA1" s="9"/>
      <c r="AB1" s="9"/>
      <c r="AC1" s="9"/>
      <c r="AE1" s="3" t="s">
        <v>126</v>
      </c>
      <c r="AJ1" s="911"/>
      <c r="AK1" s="911"/>
      <c r="AM1" s="3" t="s">
        <v>143</v>
      </c>
    </row>
    <row r="2" spans="1:50">
      <c r="A2" s="7" t="s">
        <v>175</v>
      </c>
      <c r="C2" s="12"/>
      <c r="D2" s="12"/>
      <c r="E2" s="12"/>
      <c r="F2" s="11"/>
      <c r="G2" s="11"/>
      <c r="H2" s="11" t="s">
        <v>178</v>
      </c>
      <c r="I2" s="11"/>
      <c r="J2" s="11"/>
      <c r="T2" s="5" t="s">
        <v>167</v>
      </c>
      <c r="AA2" s="11"/>
      <c r="AB2" s="11"/>
      <c r="AC2" s="11"/>
      <c r="AE2" s="5" t="s">
        <v>167</v>
      </c>
      <c r="AJ2" s="5" t="s">
        <v>174</v>
      </c>
      <c r="AK2" s="13">
        <v>1.25</v>
      </c>
      <c r="AM2" s="5" t="s">
        <v>167</v>
      </c>
    </row>
    <row r="3" spans="1:50" ht="45" customHeight="1">
      <c r="A3" s="85" t="s">
        <v>192</v>
      </c>
      <c r="B3" s="50" t="s">
        <v>165</v>
      </c>
      <c r="C3" s="50" t="s">
        <v>1</v>
      </c>
      <c r="D3" s="25" t="s">
        <v>58</v>
      </c>
      <c r="E3" s="26" t="s">
        <v>59</v>
      </c>
      <c r="F3" s="26" t="s">
        <v>60</v>
      </c>
      <c r="G3" s="27" t="s">
        <v>61</v>
      </c>
      <c r="H3" s="88" t="s">
        <v>58</v>
      </c>
      <c r="I3" s="89" t="s">
        <v>59</v>
      </c>
      <c r="J3" s="90" t="s">
        <v>60</v>
      </c>
      <c r="L3" s="84" t="s">
        <v>165</v>
      </c>
      <c r="M3" s="84" t="s">
        <v>1</v>
      </c>
      <c r="N3" s="88" t="s">
        <v>58</v>
      </c>
      <c r="O3" s="90" t="s">
        <v>171</v>
      </c>
      <c r="P3" s="88" t="s">
        <v>145</v>
      </c>
      <c r="Q3" s="90" t="s">
        <v>146</v>
      </c>
      <c r="R3" s="36" t="s">
        <v>172</v>
      </c>
      <c r="T3" s="64" t="s">
        <v>165</v>
      </c>
      <c r="U3" s="64" t="s">
        <v>0</v>
      </c>
      <c r="V3" s="64" t="s">
        <v>1</v>
      </c>
      <c r="W3" s="25" t="s">
        <v>127</v>
      </c>
      <c r="X3" s="27" t="s">
        <v>128</v>
      </c>
      <c r="Y3" s="88" t="s">
        <v>145</v>
      </c>
      <c r="Z3" s="90" t="s">
        <v>146</v>
      </c>
      <c r="AA3" s="88" t="s">
        <v>58</v>
      </c>
      <c r="AB3" s="89" t="s">
        <v>59</v>
      </c>
      <c r="AC3" s="90" t="s">
        <v>60</v>
      </c>
      <c r="AE3" s="64" t="s">
        <v>165</v>
      </c>
      <c r="AF3" s="64" t="s">
        <v>0</v>
      </c>
      <c r="AG3" s="64" t="s">
        <v>1</v>
      </c>
      <c r="AH3" s="25" t="s">
        <v>127</v>
      </c>
      <c r="AI3" s="27" t="s">
        <v>128</v>
      </c>
      <c r="AJ3" s="88" t="str">
        <f>Y3</f>
        <v>SF Detached</v>
      </c>
      <c r="AK3" s="90" t="str">
        <f>Z3</f>
        <v>SF Semi-detached</v>
      </c>
      <c r="AL3" s="15"/>
      <c r="AM3" s="64" t="s">
        <v>165</v>
      </c>
      <c r="AN3" s="64" t="s">
        <v>0</v>
      </c>
      <c r="AO3" s="80" t="s">
        <v>1</v>
      </c>
      <c r="AP3" s="77" t="s">
        <v>144</v>
      </c>
      <c r="AQ3" s="912" t="s">
        <v>147</v>
      </c>
      <c r="AR3" s="913"/>
      <c r="AS3" s="914"/>
      <c r="AT3" s="99" t="s">
        <v>162</v>
      </c>
      <c r="AU3" s="14"/>
      <c r="AV3" s="36" t="s">
        <v>509</v>
      </c>
      <c r="AX3" s="36" t="s">
        <v>513</v>
      </c>
    </row>
    <row r="4" spans="1:50">
      <c r="A4" s="94" t="s">
        <v>116</v>
      </c>
      <c r="B4" s="94" t="s">
        <v>200</v>
      </c>
      <c r="C4" s="115" t="s">
        <v>148</v>
      </c>
      <c r="D4" s="224">
        <f>D$15</f>
        <v>59.7</v>
      </c>
      <c r="E4" s="225">
        <f t="shared" ref="E4:G4" si="0">E$15</f>
        <v>32.1</v>
      </c>
      <c r="F4" s="225">
        <f t="shared" si="0"/>
        <v>8.1</v>
      </c>
      <c r="G4" s="226">
        <f t="shared" si="0"/>
        <v>0</v>
      </c>
      <c r="H4" s="227">
        <f t="shared" ref="H4" si="1">D4/SUM($D4:$G4)</f>
        <v>0.59759759759759756</v>
      </c>
      <c r="I4" s="228">
        <f t="shared" ref="I4" si="2">E4/SUM($D4:$G4)</f>
        <v>0.3213213213213213</v>
      </c>
      <c r="J4" s="229">
        <f>(F4+G4)/SUM($D4:$G4)</f>
        <v>8.1081081081081072E-2</v>
      </c>
      <c r="L4" s="94" t="s">
        <v>200</v>
      </c>
      <c r="M4" s="106" t="s">
        <v>170</v>
      </c>
      <c r="N4" s="30">
        <f t="shared" ref="N4:N6" si="3">W4*AH4/1000</f>
        <v>46.249676554186401</v>
      </c>
      <c r="O4" s="31">
        <f t="shared" ref="O4:O6" si="4">X4*AI4/1000</f>
        <v>39.391182044518047</v>
      </c>
      <c r="P4" s="30">
        <f t="shared" ref="P4:P6" si="5">X4*AI4*(I4/SUM(I4:J4))/1000</f>
        <v>31.454152826592772</v>
      </c>
      <c r="Q4" s="31">
        <f t="shared" ref="Q4:Q6" si="6">(X4*AI4)/1000-P4</f>
        <v>7.937029217925275</v>
      </c>
      <c r="R4" s="34">
        <f t="shared" ref="R4:R6" si="7">SUM(N4:O4)</f>
        <v>85.640858598704455</v>
      </c>
      <c r="T4" s="94" t="s">
        <v>200</v>
      </c>
      <c r="U4" s="106"/>
      <c r="V4" s="106">
        <v>1000</v>
      </c>
      <c r="W4" s="230">
        <f>'Dwelling stock'!$K4*'Data by dwelling type'!$W$15/SUM('Data by dwelling type'!$W$15:$X$15)</f>
        <v>633.55721307104659</v>
      </c>
      <c r="X4" s="231">
        <f>'Dwelling stock'!$K4*'Data by dwelling type'!$X$15/SUM('Data by dwelling type'!$W$15:$X$15)</f>
        <v>430.48949705470579</v>
      </c>
      <c r="Y4" s="245">
        <f>P4*1000/AJ4</f>
        <v>274.99926080509562</v>
      </c>
      <c r="Z4" s="246">
        <f>X4-Y4</f>
        <v>155.49023624961018</v>
      </c>
      <c r="AA4" s="227">
        <f>W4/AX4</f>
        <v>0.59542236918919744</v>
      </c>
      <c r="AB4" s="228">
        <f>Y4/AX4</f>
        <v>0.25844660595078139</v>
      </c>
      <c r="AC4" s="229">
        <f>Z4/AX4</f>
        <v>0.1461310248600213</v>
      </c>
      <c r="AD4" s="471"/>
      <c r="AE4" s="94" t="s">
        <v>200</v>
      </c>
      <c r="AF4" s="106"/>
      <c r="AG4" s="106" t="s">
        <v>66</v>
      </c>
      <c r="AH4" s="235">
        <f>AH$15</f>
        <v>73</v>
      </c>
      <c r="AI4" s="236">
        <f>AI$15</f>
        <v>91.503236000000001</v>
      </c>
      <c r="AJ4" s="243">
        <f t="shared" ref="AJ4" si="8">AI4*$AK$2</f>
        <v>114.379045</v>
      </c>
      <c r="AK4" s="244">
        <f t="shared" ref="AK4" si="9">(AI4*(Y4+Z4)/($AK$2*Y4+Z4))</f>
        <v>78.902404272844265</v>
      </c>
      <c r="AM4" s="94" t="s">
        <v>200</v>
      </c>
      <c r="AN4" s="106"/>
      <c r="AO4" s="105">
        <v>1</v>
      </c>
      <c r="AP4" s="106"/>
      <c r="AQ4" s="103"/>
      <c r="AR4" s="104"/>
      <c r="AS4" s="240">
        <v>20</v>
      </c>
      <c r="AT4" s="82">
        <v>6</v>
      </c>
      <c r="AV4" s="578">
        <f>(AH4*W4+AJ4*Y4+AK4*Z4)/SUM(W4:X4)</f>
        <v>84.556798123263576</v>
      </c>
      <c r="AW4" s="91" t="str">
        <f>A4</f>
        <v>AL</v>
      </c>
      <c r="AX4" s="581">
        <f>SUM(W4:X4)</f>
        <v>1064.0467101257523</v>
      </c>
    </row>
    <row r="5" spans="1:50">
      <c r="A5" s="28" t="s">
        <v>88</v>
      </c>
      <c r="B5" s="48" t="s">
        <v>8</v>
      </c>
      <c r="C5" s="60" t="s">
        <v>148</v>
      </c>
      <c r="D5" s="18">
        <v>42.5</v>
      </c>
      <c r="E5" s="14">
        <v>49.2</v>
      </c>
      <c r="F5" s="14">
        <v>7.2</v>
      </c>
      <c r="G5" s="24">
        <v>1.2</v>
      </c>
      <c r="H5" s="22">
        <f>D5/SUM($D5:$G5)</f>
        <v>0.42457542457542452</v>
      </c>
      <c r="I5" s="17">
        <f>E5/SUM($D5:$G5)</f>
        <v>0.49150849150849152</v>
      </c>
      <c r="J5" s="19">
        <f>(F5+G5)/SUM($D5:$G5)</f>
        <v>8.3916083916083906E-2</v>
      </c>
      <c r="L5" s="48" t="s">
        <v>8</v>
      </c>
      <c r="M5" s="28" t="s">
        <v>170</v>
      </c>
      <c r="N5" s="30">
        <f t="shared" si="3"/>
        <v>126.74455486000001</v>
      </c>
      <c r="O5" s="31">
        <f t="shared" si="4"/>
        <v>214.73983999999999</v>
      </c>
      <c r="P5" s="30">
        <f t="shared" si="5"/>
        <v>183.42361333333332</v>
      </c>
      <c r="Q5" s="31">
        <f t="shared" si="6"/>
        <v>31.316226666666665</v>
      </c>
      <c r="R5" s="34">
        <f t="shared" si="7"/>
        <v>341.48439486000001</v>
      </c>
      <c r="T5" s="48" t="s">
        <v>8</v>
      </c>
      <c r="U5" s="60" t="s">
        <v>9</v>
      </c>
      <c r="V5" s="60">
        <v>1000</v>
      </c>
      <c r="W5" s="75">
        <v>1771</v>
      </c>
      <c r="X5" s="76">
        <v>1792</v>
      </c>
      <c r="Y5" s="72">
        <f t="shared" ref="Y5:Y40" si="10">P5*1000/AJ5</f>
        <v>1224.5333333333331</v>
      </c>
      <c r="Z5" s="101">
        <f t="shared" ref="Z5:Z40" si="11">X5-Y5</f>
        <v>567.46666666666692</v>
      </c>
      <c r="AA5" s="22">
        <f t="shared" ref="AA5:AA40" si="12">W5/AX5</f>
        <v>0.49705304518664045</v>
      </c>
      <c r="AB5" s="17">
        <f t="shared" ref="AB5:AB40" si="13">Y5/AX5</f>
        <v>0.34368041912246228</v>
      </c>
      <c r="AC5" s="19">
        <f t="shared" ref="AC5:AC40" si="14">Z5/AX5</f>
        <v>0.15926653569089724</v>
      </c>
      <c r="AE5" s="48" t="s">
        <v>8</v>
      </c>
      <c r="AF5" s="60" t="s">
        <v>9</v>
      </c>
      <c r="AG5" s="60" t="s">
        <v>66</v>
      </c>
      <c r="AH5" s="56">
        <v>71.566659999999999</v>
      </c>
      <c r="AI5" s="57">
        <v>119.8325</v>
      </c>
      <c r="AJ5" s="109">
        <f>AI5*$AK$2</f>
        <v>149.79062500000001</v>
      </c>
      <c r="AK5" s="110">
        <f>(AI5*(Y5+Z5)/($AK$2*Y5+Z5))</f>
        <v>102.34804270462634</v>
      </c>
      <c r="AM5" s="48" t="s">
        <v>8</v>
      </c>
      <c r="AN5" s="60" t="s">
        <v>9</v>
      </c>
      <c r="AO5" s="24">
        <v>1</v>
      </c>
      <c r="AP5" s="78">
        <v>9.838889</v>
      </c>
      <c r="AQ5" s="81">
        <f>(AP5*SUM(W5:X5)-1*Y5-AT5*Z5)/W5</f>
        <v>17.18047892358366</v>
      </c>
      <c r="AR5" s="16">
        <f>ROUND(AQ5,0)</f>
        <v>17</v>
      </c>
      <c r="AS5" s="82" t="str">
        <f>IF(AQ5&lt;10,"10",IF(AQ5&lt;20,"20",IF(AQ5&lt;30,"30",IF(AQ5&lt;40,"40",IF(AQ5&lt;50,"50", IF(AQ5&lt;60,"60",80))))))</f>
        <v>20</v>
      </c>
      <c r="AT5" s="82">
        <v>6</v>
      </c>
      <c r="AV5" s="579">
        <f t="shared" ref="AV5:AV40" si="15">(AH5*W5+AJ5*Y5+AK5*Z5)/SUM(W5:X5)</f>
        <v>103.35314926376236</v>
      </c>
      <c r="AW5" s="91" t="str">
        <f t="shared" ref="AW5:AW40" si="16">A5</f>
        <v>AT</v>
      </c>
      <c r="AX5" s="582">
        <f t="shared" ref="AX5:AX40" si="17">SUM(W5:X5)</f>
        <v>3563</v>
      </c>
    </row>
    <row r="6" spans="1:50">
      <c r="A6" s="48" t="s">
        <v>117</v>
      </c>
      <c r="B6" s="48" t="s">
        <v>202</v>
      </c>
      <c r="C6" s="60" t="s">
        <v>148</v>
      </c>
      <c r="D6" s="224">
        <f>D$19</f>
        <v>20.7</v>
      </c>
      <c r="E6" s="225">
        <f t="shared" ref="E6:G6" si="18">E$19</f>
        <v>73</v>
      </c>
      <c r="F6" s="225">
        <f t="shared" si="18"/>
        <v>6.1</v>
      </c>
      <c r="G6" s="226">
        <f t="shared" si="18"/>
        <v>0.2</v>
      </c>
      <c r="H6" s="22">
        <f t="shared" ref="H6:H40" si="19">D6/SUM($D6:$G6)</f>
        <v>0.20699999999999999</v>
      </c>
      <c r="I6" s="17">
        <f t="shared" ref="I6:I40" si="20">E6/SUM($D6:$G6)</f>
        <v>0.73</v>
      </c>
      <c r="J6" s="19">
        <f t="shared" ref="J6:J40" si="21">(F6+G6)/SUM($D6:$G6)</f>
        <v>6.3E-2</v>
      </c>
      <c r="L6" s="48" t="s">
        <v>202</v>
      </c>
      <c r="M6" s="61" t="s">
        <v>170</v>
      </c>
      <c r="N6" s="30">
        <f t="shared" si="3"/>
        <v>38.766833691869635</v>
      </c>
      <c r="O6" s="31">
        <f t="shared" si="4"/>
        <v>46.811665589178276</v>
      </c>
      <c r="P6" s="30">
        <f t="shared" si="5"/>
        <v>43.092706027869035</v>
      </c>
      <c r="Q6" s="31">
        <f t="shared" si="6"/>
        <v>3.7189595613092408</v>
      </c>
      <c r="R6" s="34">
        <f t="shared" si="7"/>
        <v>85.578499281047911</v>
      </c>
      <c r="T6" s="48" t="s">
        <v>202</v>
      </c>
      <c r="U6" s="61"/>
      <c r="V6" s="61">
        <v>1000</v>
      </c>
      <c r="W6" s="232">
        <f>'Dwelling stock'!$K6*'Data by dwelling type'!$W$36/SUM('Data by dwelling type'!$W$36:$X$36)</f>
        <v>609.42332010806012</v>
      </c>
      <c r="X6" s="233">
        <f>'Dwelling stock'!$K6*'Data by dwelling type'!$X$36/SUM('Data by dwelling type'!$W$36:$X$36)</f>
        <v>680.78714677102153</v>
      </c>
      <c r="Y6" s="72">
        <f t="shared" si="10"/>
        <v>501.36153053502733</v>
      </c>
      <c r="Z6" s="101">
        <f t="shared" si="11"/>
        <v>179.4256162359942</v>
      </c>
      <c r="AA6" s="22">
        <f t="shared" si="12"/>
        <v>0.4723441141988311</v>
      </c>
      <c r="AB6" s="17">
        <f t="shared" si="13"/>
        <v>0.3885889499468887</v>
      </c>
      <c r="AC6" s="19">
        <f t="shared" si="14"/>
        <v>0.13906693585428023</v>
      </c>
      <c r="AE6" s="48" t="s">
        <v>202</v>
      </c>
      <c r="AF6" s="61"/>
      <c r="AG6" s="61" t="s">
        <v>66</v>
      </c>
      <c r="AH6" s="237">
        <f>AH$36</f>
        <v>63.612324000000001</v>
      </c>
      <c r="AI6" s="237">
        <f>AI$36</f>
        <v>68.761088999999998</v>
      </c>
      <c r="AJ6" s="65">
        <f t="shared" ref="AJ6:AJ40" si="22">AI6*$AK$2</f>
        <v>85.951361249999991</v>
      </c>
      <c r="AK6" s="66">
        <f t="shared" ref="AK6:AK40" si="23">(AI6*(Y6+Z6)/($AK$2*Y6+Z6))</f>
        <v>58.069801466453669</v>
      </c>
      <c r="AM6" s="48" t="s">
        <v>202</v>
      </c>
      <c r="AN6" s="61"/>
      <c r="AO6" s="59">
        <v>1</v>
      </c>
      <c r="AP6" s="61"/>
      <c r="AQ6" s="58"/>
      <c r="AS6" s="241">
        <v>20</v>
      </c>
      <c r="AT6" s="82">
        <v>6</v>
      </c>
      <c r="AV6" s="579">
        <f t="shared" si="15"/>
        <v>71.522245402158333</v>
      </c>
      <c r="AW6" s="91" t="str">
        <f t="shared" si="16"/>
        <v>BA</v>
      </c>
      <c r="AX6" s="582">
        <f t="shared" si="17"/>
        <v>1290.2104668790817</v>
      </c>
    </row>
    <row r="7" spans="1:50">
      <c r="A7" s="28" t="s">
        <v>89</v>
      </c>
      <c r="B7" s="48" t="s">
        <v>11</v>
      </c>
      <c r="C7" s="60" t="s">
        <v>148</v>
      </c>
      <c r="D7" s="18">
        <v>20.8</v>
      </c>
      <c r="E7" s="14">
        <v>37.1</v>
      </c>
      <c r="F7" s="14">
        <v>41.8</v>
      </c>
      <c r="G7" s="24">
        <v>0.3</v>
      </c>
      <c r="H7" s="22">
        <f t="shared" si="19"/>
        <v>0.20800000000000002</v>
      </c>
      <c r="I7" s="17">
        <f t="shared" si="20"/>
        <v>0.371</v>
      </c>
      <c r="J7" s="19">
        <f t="shared" si="21"/>
        <v>0.42099999999999993</v>
      </c>
      <c r="L7" s="48" t="s">
        <v>11</v>
      </c>
      <c r="M7" s="28" t="s">
        <v>170</v>
      </c>
      <c r="N7" s="30">
        <f t="shared" ref="N7:N23" si="24">W7*AH7/1000</f>
        <v>87.080526562000003</v>
      </c>
      <c r="O7" s="31">
        <f t="shared" ref="O7:O23" si="25">X7*AI7/1000</f>
        <v>379.33417610999999</v>
      </c>
      <c r="P7" s="30">
        <f t="shared" ref="P7:P23" si="26">X7*AI7*(I7/SUM(I7:J7))/1000</f>
        <v>177.69315572829547</v>
      </c>
      <c r="Q7" s="31">
        <f t="shared" ref="Q7:Q23" si="27">(X7*AI7)/1000-P7</f>
        <v>201.64102038170452</v>
      </c>
      <c r="R7" s="34">
        <f t="shared" ref="R7:R23" si="28">SUM(N7:O7)</f>
        <v>466.41470267199998</v>
      </c>
      <c r="T7" s="48" t="s">
        <v>11</v>
      </c>
      <c r="U7" s="60" t="s">
        <v>129</v>
      </c>
      <c r="V7" s="60">
        <v>1000</v>
      </c>
      <c r="W7" s="75">
        <v>1189</v>
      </c>
      <c r="X7" s="76">
        <v>3330</v>
      </c>
      <c r="Y7" s="72">
        <f t="shared" si="10"/>
        <v>1247.909090909091</v>
      </c>
      <c r="Z7" s="101">
        <f t="shared" si="11"/>
        <v>2082.090909090909</v>
      </c>
      <c r="AA7" s="22">
        <f t="shared" si="12"/>
        <v>0.26311130781146269</v>
      </c>
      <c r="AB7" s="17">
        <f t="shared" si="13"/>
        <v>0.27614717656762361</v>
      </c>
      <c r="AC7" s="19">
        <f t="shared" si="14"/>
        <v>0.4607415156209137</v>
      </c>
      <c r="AE7" s="48" t="s">
        <v>11</v>
      </c>
      <c r="AF7" s="60" t="s">
        <v>129</v>
      </c>
      <c r="AG7" s="60" t="s">
        <v>66</v>
      </c>
      <c r="AH7" s="448">
        <v>73.238457999999994</v>
      </c>
      <c r="AI7" s="449">
        <v>113.91416700000001</v>
      </c>
      <c r="AJ7" s="65">
        <f t="shared" si="22"/>
        <v>142.39270875</v>
      </c>
      <c r="AK7" s="66">
        <f t="shared" si="23"/>
        <v>104.15610743939044</v>
      </c>
      <c r="AM7" s="48" t="s">
        <v>11</v>
      </c>
      <c r="AN7" s="60" t="s">
        <v>12</v>
      </c>
      <c r="AO7" s="24">
        <v>1</v>
      </c>
      <c r="AP7" s="78">
        <v>7.6315790000000003</v>
      </c>
      <c r="AQ7" s="81">
        <f>(AP7*SUM(W7:X7)-1*Y7-AT7*Z7)/W7</f>
        <v>17.44882334360425</v>
      </c>
      <c r="AR7" s="16">
        <f>ROUND(AQ7,0)</f>
        <v>17</v>
      </c>
      <c r="AS7" s="82" t="str">
        <f>IF(AQ7&lt;10,"10",IF(AQ7&lt;20,"20",IF(AQ7&lt;30,"30",IF(AQ7&lt;40,"40",IF(AQ7&lt;50,"50", IF(AQ7&lt;60,"60",80))))))</f>
        <v>20</v>
      </c>
      <c r="AT7" s="82">
        <v>6</v>
      </c>
      <c r="AV7" s="579">
        <f t="shared" si="15"/>
        <v>106.5802537544028</v>
      </c>
      <c r="AW7" s="91" t="str">
        <f t="shared" si="16"/>
        <v>BE</v>
      </c>
      <c r="AX7" s="582">
        <f t="shared" si="17"/>
        <v>4519</v>
      </c>
    </row>
    <row r="8" spans="1:50">
      <c r="A8" s="28" t="s">
        <v>90</v>
      </c>
      <c r="B8" s="48" t="s">
        <v>13</v>
      </c>
      <c r="C8" s="60" t="s">
        <v>148</v>
      </c>
      <c r="D8" s="18">
        <v>43.2</v>
      </c>
      <c r="E8" s="14">
        <v>46</v>
      </c>
      <c r="F8" s="14">
        <v>10.5</v>
      </c>
      <c r="G8" s="24">
        <v>0.3</v>
      </c>
      <c r="H8" s="22">
        <f t="shared" si="19"/>
        <v>0.43200000000000005</v>
      </c>
      <c r="I8" s="17">
        <f t="shared" si="20"/>
        <v>0.46</v>
      </c>
      <c r="J8" s="19">
        <f t="shared" si="21"/>
        <v>0.10800000000000001</v>
      </c>
      <c r="L8" s="48" t="s">
        <v>13</v>
      </c>
      <c r="M8" s="28" t="s">
        <v>170</v>
      </c>
      <c r="N8" s="30">
        <f t="shared" si="24"/>
        <v>89.302953925183786</v>
      </c>
      <c r="O8" s="31">
        <f t="shared" si="25"/>
        <v>107.94504711982719</v>
      </c>
      <c r="P8" s="30">
        <f t="shared" si="26"/>
        <v>87.420284639296653</v>
      </c>
      <c r="Q8" s="31">
        <f t="shared" si="27"/>
        <v>20.524762480530541</v>
      </c>
      <c r="R8" s="34">
        <f t="shared" si="28"/>
        <v>197.24800104501099</v>
      </c>
      <c r="T8" s="48" t="s">
        <v>13</v>
      </c>
      <c r="U8" s="60" t="s">
        <v>129</v>
      </c>
      <c r="V8" s="60">
        <v>1000</v>
      </c>
      <c r="W8" s="75">
        <v>1384.965549</v>
      </c>
      <c r="X8" s="76">
        <v>1697.034451</v>
      </c>
      <c r="Y8" s="72">
        <f t="shared" si="10"/>
        <v>1099.4871090985914</v>
      </c>
      <c r="Z8" s="101">
        <f t="shared" si="11"/>
        <v>597.54734190140857</v>
      </c>
      <c r="AA8" s="22">
        <f t="shared" si="12"/>
        <v>0.44937233906554186</v>
      </c>
      <c r="AB8" s="17">
        <f t="shared" si="13"/>
        <v>0.3567446817321841</v>
      </c>
      <c r="AC8" s="19">
        <f t="shared" si="14"/>
        <v>0.19388297920227404</v>
      </c>
      <c r="AD8" s="10"/>
      <c r="AE8" s="48" t="s">
        <v>13</v>
      </c>
      <c r="AF8" s="60" t="s">
        <v>129</v>
      </c>
      <c r="AG8" s="60" t="s">
        <v>66</v>
      </c>
      <c r="AH8" s="56">
        <v>64.480271000000002</v>
      </c>
      <c r="AI8" s="57">
        <v>63.608046999999999</v>
      </c>
      <c r="AJ8" s="65">
        <f t="shared" si="22"/>
        <v>79.510058749999999</v>
      </c>
      <c r="AK8" s="66">
        <f t="shared" si="23"/>
        <v>54.741470751515152</v>
      </c>
      <c r="AM8" s="48" t="s">
        <v>13</v>
      </c>
      <c r="AN8" s="60" t="s">
        <v>14</v>
      </c>
      <c r="AO8" s="24">
        <v>1</v>
      </c>
      <c r="AP8" s="78">
        <v>17.801155999999999</v>
      </c>
      <c r="AQ8" s="81">
        <f>(AP8*SUM(W8:X8)-1*Y8-AT8*Z8)/W8</f>
        <v>36.230786872441513</v>
      </c>
      <c r="AR8" s="16">
        <f>ROUND(AQ8,0)</f>
        <v>36</v>
      </c>
      <c r="AS8" s="82" t="str">
        <f>IF(AQ8&lt;10,"10",IF(AQ8&lt;20,"20",IF(AQ8&lt;30,"30",IF(AQ8&lt;40,"40",IF(AQ8&lt;50,"50", IF(AQ8&lt;60,"60",80))))))</f>
        <v>40</v>
      </c>
      <c r="AT8" s="82">
        <v>6</v>
      </c>
      <c r="AV8" s="579">
        <f t="shared" si="15"/>
        <v>67.953880241343938</v>
      </c>
      <c r="AW8" s="91" t="str">
        <f t="shared" si="16"/>
        <v>BG</v>
      </c>
      <c r="AX8" s="582">
        <f t="shared" si="17"/>
        <v>3082</v>
      </c>
    </row>
    <row r="9" spans="1:50">
      <c r="A9" s="28" t="s">
        <v>91</v>
      </c>
      <c r="B9" s="28" t="s">
        <v>62</v>
      </c>
      <c r="C9" s="60" t="s">
        <v>148</v>
      </c>
      <c r="D9" s="18">
        <v>59.6</v>
      </c>
      <c r="E9" s="14">
        <v>23.8</v>
      </c>
      <c r="F9" s="14">
        <v>13.1</v>
      </c>
      <c r="G9" s="24">
        <v>3.5</v>
      </c>
      <c r="H9" s="22">
        <f t="shared" si="19"/>
        <v>0.59599999999999997</v>
      </c>
      <c r="I9" s="17">
        <f t="shared" si="20"/>
        <v>0.23800000000000002</v>
      </c>
      <c r="J9" s="19">
        <f t="shared" si="21"/>
        <v>0.16600000000000001</v>
      </c>
      <c r="L9" s="28" t="s">
        <v>62</v>
      </c>
      <c r="M9" s="28" t="s">
        <v>170</v>
      </c>
      <c r="N9" s="30">
        <f t="shared" si="24"/>
        <v>132.94909801535999</v>
      </c>
      <c r="O9" s="31">
        <f t="shared" si="25"/>
        <v>241.16338557999998</v>
      </c>
      <c r="P9" s="30">
        <f t="shared" si="26"/>
        <v>142.07149942584155</v>
      </c>
      <c r="Q9" s="31">
        <f t="shared" si="27"/>
        <v>99.091886154158431</v>
      </c>
      <c r="R9" s="34">
        <f t="shared" si="28"/>
        <v>374.11248359536</v>
      </c>
      <c r="T9" s="28" t="s">
        <v>62</v>
      </c>
      <c r="U9" s="61"/>
      <c r="V9" s="61">
        <v>1000</v>
      </c>
      <c r="W9" s="234">
        <f>3870.2*48%</f>
        <v>1857.6959999999999</v>
      </c>
      <c r="X9" s="213">
        <f>3870.2*52%</f>
        <v>2012.5039999999999</v>
      </c>
      <c r="Y9" s="72">
        <f t="shared" si="10"/>
        <v>948.46723168316805</v>
      </c>
      <c r="Z9" s="101">
        <f t="shared" si="11"/>
        <v>1064.036768316832</v>
      </c>
      <c r="AA9" s="22">
        <f t="shared" si="12"/>
        <v>0.48</v>
      </c>
      <c r="AB9" s="17">
        <f t="shared" si="13"/>
        <v>0.24506930693069301</v>
      </c>
      <c r="AC9" s="19">
        <f t="shared" si="14"/>
        <v>0.27493069306930701</v>
      </c>
      <c r="AD9" s="10"/>
      <c r="AE9" s="28" t="s">
        <v>62</v>
      </c>
      <c r="AF9" s="61"/>
      <c r="AG9" s="61" t="s">
        <v>66</v>
      </c>
      <c r="AH9" s="235">
        <f>AH$5</f>
        <v>71.566659999999999</v>
      </c>
      <c r="AI9" s="236">
        <f>AI$5</f>
        <v>119.8325</v>
      </c>
      <c r="AJ9" s="65">
        <f t="shared" si="22"/>
        <v>149.79062500000001</v>
      </c>
      <c r="AK9" s="66">
        <f t="shared" si="23"/>
        <v>107.20179362267494</v>
      </c>
      <c r="AM9" s="28" t="s">
        <v>62</v>
      </c>
      <c r="AN9" s="61"/>
      <c r="AO9" s="59">
        <v>1</v>
      </c>
      <c r="AP9" s="61"/>
      <c r="AQ9" s="58"/>
      <c r="AS9" s="242">
        <v>20</v>
      </c>
      <c r="AT9" s="82">
        <v>6</v>
      </c>
      <c r="AV9" s="579">
        <f t="shared" si="15"/>
        <v>100.53414487242019</v>
      </c>
      <c r="AW9" s="91" t="str">
        <f t="shared" si="16"/>
        <v>CH</v>
      </c>
      <c r="AX9" s="582">
        <f t="shared" si="17"/>
        <v>3870.2</v>
      </c>
    </row>
    <row r="10" spans="1:50">
      <c r="A10" s="28" t="s">
        <v>92</v>
      </c>
      <c r="B10" s="48" t="s">
        <v>15</v>
      </c>
      <c r="C10" s="60" t="s">
        <v>148</v>
      </c>
      <c r="D10" s="18">
        <v>24.1</v>
      </c>
      <c r="E10" s="14">
        <v>47</v>
      </c>
      <c r="F10" s="14">
        <v>27.7</v>
      </c>
      <c r="G10" s="24">
        <v>1.3</v>
      </c>
      <c r="H10" s="22">
        <f t="shared" si="19"/>
        <v>0.24075924075924079</v>
      </c>
      <c r="I10" s="17">
        <f t="shared" si="20"/>
        <v>0.46953046953046956</v>
      </c>
      <c r="J10" s="19">
        <f t="shared" si="21"/>
        <v>0.28971028971028973</v>
      </c>
      <c r="L10" s="48" t="s">
        <v>15</v>
      </c>
      <c r="M10" s="28" t="s">
        <v>170</v>
      </c>
      <c r="N10" s="30">
        <f t="shared" si="24"/>
        <v>6.132718466</v>
      </c>
      <c r="O10" s="31">
        <f t="shared" si="25"/>
        <v>19.686661173203287</v>
      </c>
      <c r="P10" s="30">
        <f t="shared" si="26"/>
        <v>12.174645725533612</v>
      </c>
      <c r="Q10" s="31">
        <f t="shared" si="27"/>
        <v>7.5120154476696754</v>
      </c>
      <c r="R10" s="34">
        <f t="shared" si="28"/>
        <v>25.819379639203287</v>
      </c>
      <c r="T10" s="48" t="s">
        <v>15</v>
      </c>
      <c r="U10" s="60" t="s">
        <v>12</v>
      </c>
      <c r="V10" s="60">
        <v>1000</v>
      </c>
      <c r="W10" s="75">
        <v>84.009842000000006</v>
      </c>
      <c r="X10" s="76">
        <v>215.14715799999999</v>
      </c>
      <c r="Y10" s="72">
        <f t="shared" si="10"/>
        <v>106.4412255368421</v>
      </c>
      <c r="Z10" s="101">
        <f t="shared" si="11"/>
        <v>108.70593246315789</v>
      </c>
      <c r="AA10" s="22">
        <f t="shared" si="12"/>
        <v>0.28082191625133296</v>
      </c>
      <c r="AB10" s="17">
        <f t="shared" si="13"/>
        <v>0.35580389406513002</v>
      </c>
      <c r="AC10" s="19">
        <f t="shared" si="14"/>
        <v>0.36337418968353707</v>
      </c>
      <c r="AD10" s="10"/>
      <c r="AE10" s="48" t="s">
        <v>15</v>
      </c>
      <c r="AF10" s="60"/>
      <c r="AG10" s="60" t="s">
        <v>66</v>
      </c>
      <c r="AH10" s="235">
        <f>AH$15</f>
        <v>73</v>
      </c>
      <c r="AI10" s="236">
        <f>AI$15</f>
        <v>91.503236000000001</v>
      </c>
      <c r="AJ10" s="65">
        <f t="shared" si="22"/>
        <v>114.379045</v>
      </c>
      <c r="AK10" s="66">
        <f t="shared" si="23"/>
        <v>81.4314512412178</v>
      </c>
      <c r="AM10" s="48" t="s">
        <v>15</v>
      </c>
      <c r="AN10" s="60"/>
      <c r="AO10" s="24">
        <v>1</v>
      </c>
      <c r="AP10" s="78" t="s">
        <v>17</v>
      </c>
      <c r="AQ10" s="81" t="e">
        <f t="shared" ref="AQ10:AQ21" si="29">(AP10*SUM(W10:X10)-1*Y10-AT10*Z10)/W10</f>
        <v>#VALUE!</v>
      </c>
      <c r="AR10" s="16" t="e">
        <f t="shared" ref="AR10:AR21" si="30">ROUND(AQ10,0)</f>
        <v>#VALUE!</v>
      </c>
      <c r="AS10" s="242">
        <v>20</v>
      </c>
      <c r="AT10" s="82">
        <v>6</v>
      </c>
      <c r="AV10" s="579">
        <f t="shared" si="15"/>
        <v>90.786597106330021</v>
      </c>
      <c r="AW10" s="91" t="str">
        <f t="shared" si="16"/>
        <v>CY</v>
      </c>
      <c r="AX10" s="582">
        <f t="shared" si="17"/>
        <v>299.15699999999998</v>
      </c>
    </row>
    <row r="11" spans="1:50">
      <c r="A11" s="28" t="s">
        <v>93</v>
      </c>
      <c r="B11" s="48" t="s">
        <v>18</v>
      </c>
      <c r="C11" s="60" t="s">
        <v>148</v>
      </c>
      <c r="D11" s="18">
        <v>52.6</v>
      </c>
      <c r="E11" s="14">
        <v>37.200000000000003</v>
      </c>
      <c r="F11" s="14">
        <v>9.9</v>
      </c>
      <c r="G11" s="24">
        <v>0.3</v>
      </c>
      <c r="H11" s="22">
        <f t="shared" si="19"/>
        <v>0.52599999999999991</v>
      </c>
      <c r="I11" s="17">
        <f t="shared" si="20"/>
        <v>0.372</v>
      </c>
      <c r="J11" s="19">
        <f t="shared" si="21"/>
        <v>0.10199999999999999</v>
      </c>
      <c r="L11" s="48" t="s">
        <v>18</v>
      </c>
      <c r="M11" s="28" t="s">
        <v>170</v>
      </c>
      <c r="N11" s="30">
        <f t="shared" si="24"/>
        <v>139.88678426727009</v>
      </c>
      <c r="O11" s="31">
        <f t="shared" si="25"/>
        <v>169.68099992034729</v>
      </c>
      <c r="P11" s="30">
        <f t="shared" si="26"/>
        <v>133.16736702609538</v>
      </c>
      <c r="Q11" s="31">
        <f t="shared" si="27"/>
        <v>36.513632894251913</v>
      </c>
      <c r="R11" s="34">
        <f t="shared" si="28"/>
        <v>309.56778418761735</v>
      </c>
      <c r="T11" s="48" t="s">
        <v>18</v>
      </c>
      <c r="U11" s="60" t="s">
        <v>12</v>
      </c>
      <c r="V11" s="60">
        <v>1000</v>
      </c>
      <c r="W11" s="75">
        <v>2293.6957280000001</v>
      </c>
      <c r="X11" s="76">
        <v>1699.3042720000001</v>
      </c>
      <c r="Y11" s="72">
        <f t="shared" si="10"/>
        <v>1066.9049606481015</v>
      </c>
      <c r="Z11" s="101">
        <f t="shared" si="11"/>
        <v>632.39931135189863</v>
      </c>
      <c r="AA11" s="22">
        <f t="shared" si="12"/>
        <v>0.57442918307037316</v>
      </c>
      <c r="AB11" s="17">
        <f t="shared" si="13"/>
        <v>0.26719382936341135</v>
      </c>
      <c r="AC11" s="19">
        <f t="shared" si="14"/>
        <v>0.15837698756621554</v>
      </c>
      <c r="AD11" s="10"/>
      <c r="AE11" s="48" t="s">
        <v>18</v>
      </c>
      <c r="AF11" s="60" t="s">
        <v>12</v>
      </c>
      <c r="AG11" s="60" t="s">
        <v>66</v>
      </c>
      <c r="AH11" s="56">
        <v>60.987507000000001</v>
      </c>
      <c r="AI11" s="57">
        <v>99.853217999999998</v>
      </c>
      <c r="AJ11" s="65">
        <f t="shared" si="22"/>
        <v>124.81652249999999</v>
      </c>
      <c r="AK11" s="66">
        <f t="shared" si="23"/>
        <v>86.306391925601744</v>
      </c>
      <c r="AM11" s="48" t="s">
        <v>18</v>
      </c>
      <c r="AN11" s="60" t="s">
        <v>19</v>
      </c>
      <c r="AO11" s="24">
        <v>1</v>
      </c>
      <c r="AP11" s="78">
        <v>11.884434000000001</v>
      </c>
      <c r="AQ11" s="81">
        <f t="shared" si="29"/>
        <v>18.569701121769935</v>
      </c>
      <c r="AR11" s="16">
        <f t="shared" si="30"/>
        <v>19</v>
      </c>
      <c r="AS11" s="82" t="str">
        <f>IF(AQ11&lt;10,"10",IF(AQ11&lt;20,"20",IF(AQ11&lt;30,"30",IF(AQ11&lt;40,"40",IF(AQ11&lt;50,"50", IF(AQ11&lt;60,"60",80))))))</f>
        <v>20</v>
      </c>
      <c r="AT11" s="82">
        <v>6</v>
      </c>
      <c r="AV11" s="579">
        <f t="shared" si="15"/>
        <v>82.05215479899401</v>
      </c>
      <c r="AW11" s="91" t="str">
        <f t="shared" si="16"/>
        <v>CZ</v>
      </c>
      <c r="AX11" s="582">
        <f t="shared" si="17"/>
        <v>3993</v>
      </c>
    </row>
    <row r="12" spans="1:50">
      <c r="A12" s="28" t="s">
        <v>94</v>
      </c>
      <c r="B12" s="48" t="s">
        <v>26</v>
      </c>
      <c r="C12" s="60" t="s">
        <v>148</v>
      </c>
      <c r="D12" s="18">
        <v>53.2</v>
      </c>
      <c r="E12" s="14">
        <v>28.6</v>
      </c>
      <c r="F12" s="14">
        <v>16.7</v>
      </c>
      <c r="G12" s="24">
        <v>1.5</v>
      </c>
      <c r="H12" s="22">
        <f t="shared" si="19"/>
        <v>0.53199999999999992</v>
      </c>
      <c r="I12" s="17">
        <f t="shared" si="20"/>
        <v>0.28599999999999998</v>
      </c>
      <c r="J12" s="19">
        <f t="shared" si="21"/>
        <v>0.18199999999999997</v>
      </c>
      <c r="L12" s="48" t="s">
        <v>26</v>
      </c>
      <c r="M12" s="28" t="s">
        <v>170</v>
      </c>
      <c r="N12" s="30">
        <f t="shared" si="24"/>
        <v>1320.2770914894986</v>
      </c>
      <c r="O12" s="31">
        <f t="shared" si="25"/>
        <v>1932.1278296564376</v>
      </c>
      <c r="P12" s="30">
        <f t="shared" si="26"/>
        <v>1180.7447847900451</v>
      </c>
      <c r="Q12" s="31">
        <f t="shared" si="27"/>
        <v>751.38304486639254</v>
      </c>
      <c r="R12" s="34">
        <f t="shared" si="28"/>
        <v>3252.404921145936</v>
      </c>
      <c r="T12" s="48" t="s">
        <v>26</v>
      </c>
      <c r="U12" s="60" t="s">
        <v>27</v>
      </c>
      <c r="V12" s="60">
        <v>1000</v>
      </c>
      <c r="W12" s="75">
        <v>21054.234939000002</v>
      </c>
      <c r="X12" s="76">
        <v>17995.596341</v>
      </c>
      <c r="Y12" s="72">
        <f t="shared" si="10"/>
        <v>8797.8471000444442</v>
      </c>
      <c r="Z12" s="101">
        <f t="shared" si="11"/>
        <v>9197.7492409555562</v>
      </c>
      <c r="AA12" s="22">
        <f t="shared" si="12"/>
        <v>0.53916327545781917</v>
      </c>
      <c r="AB12" s="17">
        <f t="shared" si="13"/>
        <v>0.22529795422062179</v>
      </c>
      <c r="AC12" s="19">
        <f t="shared" si="14"/>
        <v>0.23553877032155915</v>
      </c>
      <c r="AD12" s="10"/>
      <c r="AE12" s="48" t="s">
        <v>26</v>
      </c>
      <c r="AF12" s="60" t="s">
        <v>27</v>
      </c>
      <c r="AG12" s="60" t="s">
        <v>66</v>
      </c>
      <c r="AH12" s="56">
        <v>62.708385999999997</v>
      </c>
      <c r="AI12" s="57">
        <v>107.366702</v>
      </c>
      <c r="AJ12" s="65">
        <f t="shared" si="22"/>
        <v>134.20837750000001</v>
      </c>
      <c r="AK12" s="66">
        <f t="shared" si="23"/>
        <v>95.673298811881196</v>
      </c>
      <c r="AM12" s="48" t="s">
        <v>26</v>
      </c>
      <c r="AN12" s="60" t="s">
        <v>27</v>
      </c>
      <c r="AO12" s="24">
        <v>1</v>
      </c>
      <c r="AP12" s="78">
        <v>7.7379879999999996</v>
      </c>
      <c r="AQ12" s="81">
        <f t="shared" si="29"/>
        <v>11.312820626870028</v>
      </c>
      <c r="AR12" s="16">
        <f t="shared" si="30"/>
        <v>11</v>
      </c>
      <c r="AS12" s="82" t="str">
        <f>IF(AQ12&lt;10,"10",IF(AQ12&lt;20,"20",IF(AQ12&lt;30,"30",IF(AQ12&lt;40,"40",IF(AQ12&lt;50,"50", IF(AQ12&lt;60,"60",80))))))</f>
        <v>20</v>
      </c>
      <c r="AT12" s="82">
        <v>6</v>
      </c>
      <c r="AV12" s="579">
        <f t="shared" si="15"/>
        <v>86.581702839209768</v>
      </c>
      <c r="AW12" s="91" t="str">
        <f t="shared" si="16"/>
        <v>DE</v>
      </c>
      <c r="AX12" s="582">
        <f t="shared" si="17"/>
        <v>39049.831279999999</v>
      </c>
    </row>
    <row r="13" spans="1:50">
      <c r="A13" s="28" t="s">
        <v>95</v>
      </c>
      <c r="B13" s="48" t="s">
        <v>20</v>
      </c>
      <c r="C13" s="60" t="s">
        <v>148</v>
      </c>
      <c r="D13" s="18">
        <v>29.9</v>
      </c>
      <c r="E13" s="14">
        <v>57.1</v>
      </c>
      <c r="F13" s="14">
        <v>12.5</v>
      </c>
      <c r="G13" s="24">
        <v>0.4</v>
      </c>
      <c r="H13" s="22">
        <f t="shared" si="19"/>
        <v>0.29929929929929927</v>
      </c>
      <c r="I13" s="17">
        <f t="shared" si="20"/>
        <v>0.57157157157157157</v>
      </c>
      <c r="J13" s="19">
        <f t="shared" si="21"/>
        <v>0.12912912912912913</v>
      </c>
      <c r="L13" s="48" t="s">
        <v>20</v>
      </c>
      <c r="M13" s="28" t="s">
        <v>170</v>
      </c>
      <c r="N13" s="30">
        <f t="shared" si="24"/>
        <v>86.396799999999999</v>
      </c>
      <c r="O13" s="31">
        <f t="shared" si="25"/>
        <v>211.11229999999998</v>
      </c>
      <c r="P13" s="30">
        <f t="shared" si="26"/>
        <v>172.20731899999998</v>
      </c>
      <c r="Q13" s="31">
        <f t="shared" si="27"/>
        <v>38.904980999999992</v>
      </c>
      <c r="R13" s="34">
        <f t="shared" si="28"/>
        <v>297.50909999999999</v>
      </c>
      <c r="T13" s="48" t="s">
        <v>20</v>
      </c>
      <c r="U13" s="60" t="s">
        <v>130</v>
      </c>
      <c r="V13" s="60">
        <v>1000</v>
      </c>
      <c r="W13" s="75">
        <v>1102</v>
      </c>
      <c r="X13" s="76">
        <v>1579</v>
      </c>
      <c r="Y13" s="72">
        <f t="shared" si="10"/>
        <v>1030.4102857142857</v>
      </c>
      <c r="Z13" s="101">
        <f t="shared" si="11"/>
        <v>548.58971428571431</v>
      </c>
      <c r="AA13" s="22">
        <f t="shared" si="12"/>
        <v>0.41104065647146587</v>
      </c>
      <c r="AB13" s="17">
        <f t="shared" si="13"/>
        <v>0.38433804017690626</v>
      </c>
      <c r="AC13" s="19">
        <f t="shared" si="14"/>
        <v>0.20462130335162787</v>
      </c>
      <c r="AD13" s="10"/>
      <c r="AE13" s="48" t="s">
        <v>20</v>
      </c>
      <c r="AF13" s="60" t="s">
        <v>130</v>
      </c>
      <c r="AG13" s="60" t="s">
        <v>66</v>
      </c>
      <c r="AH13" s="56">
        <v>78.400000000000006</v>
      </c>
      <c r="AI13" s="57">
        <v>133.69999999999999</v>
      </c>
      <c r="AJ13" s="65">
        <f t="shared" si="22"/>
        <v>167.125</v>
      </c>
      <c r="AK13" s="66">
        <f t="shared" si="23"/>
        <v>114.94718742323752</v>
      </c>
      <c r="AM13" s="48" t="s">
        <v>20</v>
      </c>
      <c r="AN13" s="60" t="s">
        <v>21</v>
      </c>
      <c r="AO13" s="24">
        <v>1</v>
      </c>
      <c r="AP13" s="78">
        <v>12.524293</v>
      </c>
      <c r="AQ13" s="81">
        <f t="shared" si="29"/>
        <v>26.547804865309825</v>
      </c>
      <c r="AR13" s="16">
        <f t="shared" si="30"/>
        <v>27</v>
      </c>
      <c r="AS13" s="82" t="str">
        <f>IF(AQ13&lt;10,"10",IF(AQ13&lt;20,"20",IF(AQ13&lt;30,"30",IF(AQ13&lt;40,"40",IF(AQ13&lt;50,"50", IF(AQ13&lt;60,"60",80))))))</f>
        <v>30</v>
      </c>
      <c r="AT13" s="82">
        <v>6</v>
      </c>
      <c r="AV13" s="579">
        <f t="shared" si="15"/>
        <v>119.97872573907509</v>
      </c>
      <c r="AW13" s="91" t="str">
        <f t="shared" si="16"/>
        <v>DK</v>
      </c>
      <c r="AX13" s="582">
        <f t="shared" si="17"/>
        <v>2681</v>
      </c>
    </row>
    <row r="14" spans="1:50">
      <c r="A14" s="28" t="s">
        <v>96</v>
      </c>
      <c r="B14" s="48" t="s">
        <v>22</v>
      </c>
      <c r="C14" s="60" t="s">
        <v>148</v>
      </c>
      <c r="D14" s="18">
        <v>65.099999999999994</v>
      </c>
      <c r="E14" s="14">
        <v>29.8</v>
      </c>
      <c r="F14" s="14">
        <v>4.5999999999999996</v>
      </c>
      <c r="G14" s="24">
        <v>0.5</v>
      </c>
      <c r="H14" s="22">
        <f t="shared" si="19"/>
        <v>0.65100000000000002</v>
      </c>
      <c r="I14" s="17">
        <f t="shared" si="20"/>
        <v>0.29800000000000004</v>
      </c>
      <c r="J14" s="19">
        <f t="shared" si="21"/>
        <v>5.1000000000000004E-2</v>
      </c>
      <c r="L14" s="48" t="s">
        <v>22</v>
      </c>
      <c r="M14" s="28" t="s">
        <v>170</v>
      </c>
      <c r="N14" s="30">
        <f t="shared" si="24"/>
        <v>23.389499839230002</v>
      </c>
      <c r="O14" s="31">
        <f t="shared" si="25"/>
        <v>13.976350052980001</v>
      </c>
      <c r="P14" s="30">
        <f t="shared" si="26"/>
        <v>11.933960790223612</v>
      </c>
      <c r="Q14" s="31">
        <f t="shared" si="27"/>
        <v>2.0423892627563891</v>
      </c>
      <c r="R14" s="34">
        <f t="shared" si="28"/>
        <v>37.365849892210001</v>
      </c>
      <c r="S14" s="336"/>
      <c r="T14" s="48" t="s">
        <v>22</v>
      </c>
      <c r="U14" s="60" t="s">
        <v>130</v>
      </c>
      <c r="V14" s="60">
        <v>1000</v>
      </c>
      <c r="W14" s="75">
        <v>489.33</v>
      </c>
      <c r="X14" s="76">
        <v>163.87</v>
      </c>
      <c r="Y14" s="72">
        <f t="shared" si="10"/>
        <v>111.93870487106017</v>
      </c>
      <c r="Z14" s="101">
        <f t="shared" si="11"/>
        <v>51.931295128939837</v>
      </c>
      <c r="AA14" s="22">
        <f t="shared" si="12"/>
        <v>0.7491273729332516</v>
      </c>
      <c r="AB14" s="17">
        <f t="shared" si="13"/>
        <v>0.17136972576708537</v>
      </c>
      <c r="AC14" s="19">
        <f t="shared" si="14"/>
        <v>7.9502901299662948E-2</v>
      </c>
      <c r="AD14" s="10"/>
      <c r="AE14" s="48" t="s">
        <v>22</v>
      </c>
      <c r="AF14" s="60" t="s">
        <v>130</v>
      </c>
      <c r="AG14" s="60" t="s">
        <v>66</v>
      </c>
      <c r="AH14" s="56">
        <v>47.799030999999999</v>
      </c>
      <c r="AI14" s="57">
        <v>85.289254</v>
      </c>
      <c r="AJ14" s="65">
        <f t="shared" si="22"/>
        <v>106.61156750000001</v>
      </c>
      <c r="AK14" s="66">
        <f t="shared" si="23"/>
        <v>72.848628600097896</v>
      </c>
      <c r="AM14" s="48" t="s">
        <v>22</v>
      </c>
      <c r="AN14" s="60"/>
      <c r="AO14" s="24">
        <v>1</v>
      </c>
      <c r="AP14" s="78" t="s">
        <v>17</v>
      </c>
      <c r="AQ14" s="81" t="e">
        <f t="shared" si="29"/>
        <v>#VALUE!</v>
      </c>
      <c r="AR14" s="16" t="e">
        <f t="shared" si="30"/>
        <v>#VALUE!</v>
      </c>
      <c r="AS14" s="242">
        <v>20</v>
      </c>
      <c r="AT14" s="82">
        <v>6</v>
      </c>
      <c r="AV14" s="579">
        <f t="shared" si="15"/>
        <v>59.869234937268558</v>
      </c>
      <c r="AW14" s="91" t="str">
        <f t="shared" si="16"/>
        <v>EE</v>
      </c>
      <c r="AX14" s="582">
        <f t="shared" si="17"/>
        <v>653.20000000000005</v>
      </c>
    </row>
    <row r="15" spans="1:50">
      <c r="A15" s="28" t="s">
        <v>205</v>
      </c>
      <c r="B15" s="48" t="s">
        <v>28</v>
      </c>
      <c r="C15" s="60" t="s">
        <v>148</v>
      </c>
      <c r="D15" s="18">
        <v>59.7</v>
      </c>
      <c r="E15" s="14">
        <v>32.1</v>
      </c>
      <c r="F15" s="14">
        <v>8.1</v>
      </c>
      <c r="G15" s="24">
        <v>0</v>
      </c>
      <c r="H15" s="22">
        <f t="shared" si="19"/>
        <v>0.59759759759759756</v>
      </c>
      <c r="I15" s="17">
        <f t="shared" si="20"/>
        <v>0.3213213213213213</v>
      </c>
      <c r="J15" s="19">
        <f t="shared" si="21"/>
        <v>8.1081081081081072E-2</v>
      </c>
      <c r="L15" s="48" t="s">
        <v>28</v>
      </c>
      <c r="M15" s="28" t="s">
        <v>170</v>
      </c>
      <c r="N15" s="30">
        <f t="shared" si="24"/>
        <v>167.22496900000002</v>
      </c>
      <c r="O15" s="31">
        <f t="shared" si="25"/>
        <v>142.42670840195598</v>
      </c>
      <c r="P15" s="30">
        <f t="shared" si="26"/>
        <v>113.72878954484545</v>
      </c>
      <c r="Q15" s="31">
        <f t="shared" si="27"/>
        <v>28.697918857110523</v>
      </c>
      <c r="R15" s="34">
        <f t="shared" si="28"/>
        <v>309.65167740195602</v>
      </c>
      <c r="T15" s="48" t="s">
        <v>28</v>
      </c>
      <c r="U15" s="60" t="s">
        <v>132</v>
      </c>
      <c r="V15" s="60">
        <v>1000</v>
      </c>
      <c r="W15" s="75">
        <v>2290.7530000000002</v>
      </c>
      <c r="X15" s="76">
        <v>1556.521</v>
      </c>
      <c r="Y15" s="72">
        <f t="shared" si="10"/>
        <v>994.31490746268639</v>
      </c>
      <c r="Z15" s="101">
        <f t="shared" si="11"/>
        <v>562.20609253731357</v>
      </c>
      <c r="AA15" s="22">
        <f t="shared" si="12"/>
        <v>0.59542236918919733</v>
      </c>
      <c r="AB15" s="17">
        <f t="shared" si="13"/>
        <v>0.25844660595078134</v>
      </c>
      <c r="AC15" s="19">
        <f t="shared" si="14"/>
        <v>0.14613102486002127</v>
      </c>
      <c r="AD15" s="10"/>
      <c r="AE15" s="48" t="s">
        <v>28</v>
      </c>
      <c r="AF15" s="60" t="s">
        <v>132</v>
      </c>
      <c r="AG15" s="60" t="s">
        <v>66</v>
      </c>
      <c r="AH15" s="448">
        <v>73</v>
      </c>
      <c r="AI15" s="449">
        <v>91.503236000000001</v>
      </c>
      <c r="AJ15" s="65">
        <f t="shared" si="22"/>
        <v>114.379045</v>
      </c>
      <c r="AK15" s="66">
        <f t="shared" si="23"/>
        <v>78.902404272844265</v>
      </c>
      <c r="AM15" s="48" t="s">
        <v>28</v>
      </c>
      <c r="AN15" s="60" t="s">
        <v>29</v>
      </c>
      <c r="AO15" s="24">
        <v>1</v>
      </c>
      <c r="AP15" s="78">
        <v>3.9427759999999998</v>
      </c>
      <c r="AQ15" s="81">
        <f t="shared" si="29"/>
        <v>5.2060612012783833</v>
      </c>
      <c r="AR15" s="16">
        <f t="shared" si="30"/>
        <v>5</v>
      </c>
      <c r="AS15" s="82" t="str">
        <f>IF(AQ15&lt;10,"10",IF(AQ15&lt;20,"20",IF(AQ15&lt;30,"30",IF(AQ15&lt;40,"40",IF(AQ15&lt;50,"50", IF(AQ15&lt;60,"60",80))))))</f>
        <v>10</v>
      </c>
      <c r="AT15" s="82">
        <v>4</v>
      </c>
      <c r="AV15" s="579">
        <f t="shared" si="15"/>
        <v>84.556798123263547</v>
      </c>
      <c r="AW15" s="91" t="str">
        <f t="shared" si="16"/>
        <v>EL</v>
      </c>
      <c r="AX15" s="582">
        <f t="shared" si="17"/>
        <v>3847.2740000000003</v>
      </c>
    </row>
    <row r="16" spans="1:50">
      <c r="A16" s="28" t="s">
        <v>97</v>
      </c>
      <c r="B16" s="48" t="s">
        <v>49</v>
      </c>
      <c r="C16" s="60" t="s">
        <v>148</v>
      </c>
      <c r="D16" s="18">
        <v>65</v>
      </c>
      <c r="E16" s="14">
        <v>13.6</v>
      </c>
      <c r="F16" s="14">
        <v>21.2</v>
      </c>
      <c r="G16" s="24">
        <v>0.2</v>
      </c>
      <c r="H16" s="22">
        <f t="shared" si="19"/>
        <v>0.65</v>
      </c>
      <c r="I16" s="17">
        <f t="shared" si="20"/>
        <v>0.13600000000000001</v>
      </c>
      <c r="J16" s="19">
        <f t="shared" si="21"/>
        <v>0.214</v>
      </c>
      <c r="L16" s="48" t="s">
        <v>49</v>
      </c>
      <c r="M16" s="28" t="s">
        <v>170</v>
      </c>
      <c r="N16" s="30">
        <f t="shared" si="24"/>
        <v>1017.4913041934191</v>
      </c>
      <c r="O16" s="31">
        <f t="shared" si="25"/>
        <v>550.48187405268004</v>
      </c>
      <c r="P16" s="30">
        <f t="shared" si="26"/>
        <v>213.90152820332716</v>
      </c>
      <c r="Q16" s="31">
        <f t="shared" si="27"/>
        <v>336.58034584935285</v>
      </c>
      <c r="R16" s="34">
        <f t="shared" si="28"/>
        <v>1567.973178246099</v>
      </c>
      <c r="T16" s="48" t="s">
        <v>49</v>
      </c>
      <c r="U16" s="60" t="s">
        <v>50</v>
      </c>
      <c r="V16" s="60">
        <v>1000</v>
      </c>
      <c r="W16" s="75">
        <v>11780.663</v>
      </c>
      <c r="X16" s="76">
        <v>4960.7160000000003</v>
      </c>
      <c r="Y16" s="72">
        <f t="shared" si="10"/>
        <v>1542.0740022857149</v>
      </c>
      <c r="Z16" s="101">
        <f t="shared" si="11"/>
        <v>3418.6419977142855</v>
      </c>
      <c r="AA16" s="22">
        <f t="shared" si="12"/>
        <v>0.70368534157192186</v>
      </c>
      <c r="AB16" s="17">
        <f t="shared" si="13"/>
        <v>9.2111528105642604E-2</v>
      </c>
      <c r="AC16" s="19">
        <f t="shared" si="14"/>
        <v>0.20420313032243553</v>
      </c>
      <c r="AD16" s="10"/>
      <c r="AE16" s="48" t="s">
        <v>49</v>
      </c>
      <c r="AF16" s="60" t="s">
        <v>50</v>
      </c>
      <c r="AG16" s="60" t="s">
        <v>66</v>
      </c>
      <c r="AH16" s="56">
        <v>86.369613000000001</v>
      </c>
      <c r="AI16" s="57">
        <v>110.96823000000001</v>
      </c>
      <c r="AJ16" s="65">
        <f t="shared" si="22"/>
        <v>138.71028749999999</v>
      </c>
      <c r="AK16" s="66">
        <f t="shared" si="23"/>
        <v>102.96627916224816</v>
      </c>
      <c r="AM16" s="48" t="s">
        <v>49</v>
      </c>
      <c r="AN16" s="60" t="s">
        <v>50</v>
      </c>
      <c r="AO16" s="24">
        <v>1</v>
      </c>
      <c r="AP16" s="78">
        <v>6.3283569999999996</v>
      </c>
      <c r="AQ16" s="81">
        <f t="shared" si="29"/>
        <v>7.121118479981269</v>
      </c>
      <c r="AR16" s="16">
        <f t="shared" si="30"/>
        <v>7</v>
      </c>
      <c r="AS16" s="82" t="str">
        <f>IF(AQ16&lt;10,"10",IF(AQ16&lt;20,"20",IF(AQ16&lt;30,"30",IF(AQ16&lt;40,"40",IF(AQ16&lt;50,"50", IF(AQ16&lt;60,"60",80))))))</f>
        <v>10</v>
      </c>
      <c r="AT16" s="82">
        <v>6</v>
      </c>
      <c r="AV16" s="579">
        <f t="shared" si="15"/>
        <v>94.579883693522547</v>
      </c>
      <c r="AW16" s="91" t="str">
        <f t="shared" si="16"/>
        <v>ES</v>
      </c>
      <c r="AX16" s="582">
        <f t="shared" si="17"/>
        <v>16741.379000000001</v>
      </c>
    </row>
    <row r="17" spans="1:50">
      <c r="A17" s="28" t="s">
        <v>98</v>
      </c>
      <c r="B17" s="48" t="s">
        <v>24</v>
      </c>
      <c r="C17" s="60" t="s">
        <v>148</v>
      </c>
      <c r="D17" s="18">
        <v>33.6</v>
      </c>
      <c r="E17" s="14">
        <v>47.2</v>
      </c>
      <c r="F17" s="14">
        <v>18.600000000000001</v>
      </c>
      <c r="G17" s="24">
        <v>0.5</v>
      </c>
      <c r="H17" s="22">
        <f t="shared" si="19"/>
        <v>0.33633633633633631</v>
      </c>
      <c r="I17" s="17">
        <f t="shared" si="20"/>
        <v>0.47247247247247248</v>
      </c>
      <c r="J17" s="19">
        <f t="shared" si="21"/>
        <v>0.19119119119119118</v>
      </c>
      <c r="K17" s="471"/>
      <c r="L17" s="48" t="s">
        <v>24</v>
      </c>
      <c r="M17" s="28" t="s">
        <v>170</v>
      </c>
      <c r="N17" s="30">
        <f t="shared" si="24"/>
        <v>60.816000000000003</v>
      </c>
      <c r="O17" s="31">
        <f t="shared" si="25"/>
        <v>132.21100000000001</v>
      </c>
      <c r="P17" s="30">
        <f t="shared" si="26"/>
        <v>94.12306485671192</v>
      </c>
      <c r="Q17" s="31">
        <f t="shared" si="27"/>
        <v>38.087935143288092</v>
      </c>
      <c r="R17" s="34">
        <f t="shared" si="28"/>
        <v>193.02700000000002</v>
      </c>
      <c r="T17" s="48" t="s">
        <v>24</v>
      </c>
      <c r="U17" s="60" t="s">
        <v>131</v>
      </c>
      <c r="V17" s="60">
        <v>1000</v>
      </c>
      <c r="W17" s="75">
        <v>1086</v>
      </c>
      <c r="X17" s="76">
        <v>1363</v>
      </c>
      <c r="Y17" s="72">
        <f t="shared" si="10"/>
        <v>776.27269984917052</v>
      </c>
      <c r="Z17" s="101">
        <f t="shared" si="11"/>
        <v>586.72730015082948</v>
      </c>
      <c r="AA17" s="22">
        <f t="shared" si="12"/>
        <v>0.44344630461412821</v>
      </c>
      <c r="AB17" s="17">
        <f t="shared" si="13"/>
        <v>0.31697537764359762</v>
      </c>
      <c r="AC17" s="19">
        <f t="shared" si="14"/>
        <v>0.23957831774227417</v>
      </c>
      <c r="AD17" s="10"/>
      <c r="AE17" s="48" t="s">
        <v>24</v>
      </c>
      <c r="AF17" s="60" t="s">
        <v>131</v>
      </c>
      <c r="AG17" s="60" t="s">
        <v>66</v>
      </c>
      <c r="AH17" s="56">
        <v>56</v>
      </c>
      <c r="AI17" s="57">
        <v>97</v>
      </c>
      <c r="AJ17" s="65">
        <f t="shared" si="22"/>
        <v>121.25</v>
      </c>
      <c r="AK17" s="66">
        <f t="shared" si="23"/>
        <v>84.910219170847625</v>
      </c>
      <c r="AM17" s="48" t="s">
        <v>24</v>
      </c>
      <c r="AN17" s="60" t="s">
        <v>14</v>
      </c>
      <c r="AO17" s="24">
        <v>1</v>
      </c>
      <c r="AP17" s="78">
        <v>19.983544999999999</v>
      </c>
      <c r="AQ17" s="81">
        <f t="shared" si="29"/>
        <v>41.107794847371871</v>
      </c>
      <c r="AR17" s="16">
        <f t="shared" si="30"/>
        <v>41</v>
      </c>
      <c r="AS17" s="82" t="str">
        <f>IF(AQ17&lt;10,"10",IF(AQ17&lt;20,"20",IF(AQ17&lt;30,"30",IF(AQ17&lt;40,"40",IF(AQ17&lt;50,"50", IF(AQ17&lt;60,"60",80))))))</f>
        <v>50</v>
      </c>
      <c r="AT17" s="82">
        <v>6</v>
      </c>
      <c r="AV17" s="579">
        <f t="shared" si="15"/>
        <v>83.608905065756858</v>
      </c>
      <c r="AW17" s="91" t="str">
        <f t="shared" si="16"/>
        <v>FI</v>
      </c>
      <c r="AX17" s="582">
        <f t="shared" si="17"/>
        <v>2449</v>
      </c>
    </row>
    <row r="18" spans="1:50">
      <c r="A18" s="28" t="s">
        <v>99</v>
      </c>
      <c r="B18" s="48" t="s">
        <v>25</v>
      </c>
      <c r="C18" s="60" t="s">
        <v>148</v>
      </c>
      <c r="D18" s="18">
        <v>33.1</v>
      </c>
      <c r="E18" s="14">
        <v>44.2</v>
      </c>
      <c r="F18" s="14">
        <v>22.5</v>
      </c>
      <c r="G18" s="24">
        <v>0.1</v>
      </c>
      <c r="H18" s="22">
        <f t="shared" si="19"/>
        <v>0.3313313313313313</v>
      </c>
      <c r="I18" s="17">
        <f t="shared" si="20"/>
        <v>0.44244244244244246</v>
      </c>
      <c r="J18" s="19">
        <f t="shared" si="21"/>
        <v>0.22622622622622623</v>
      </c>
      <c r="L18" s="48" t="s">
        <v>25</v>
      </c>
      <c r="M18" s="28" t="s">
        <v>170</v>
      </c>
      <c r="N18" s="30">
        <f t="shared" si="24"/>
        <v>777.00113732589989</v>
      </c>
      <c r="O18" s="31">
        <f t="shared" si="25"/>
        <v>1702.5370571096998</v>
      </c>
      <c r="P18" s="30">
        <f t="shared" si="26"/>
        <v>1126.529010842047</v>
      </c>
      <c r="Q18" s="31">
        <f t="shared" si="27"/>
        <v>576.00804626765284</v>
      </c>
      <c r="R18" s="34">
        <f t="shared" si="28"/>
        <v>2479.5381944355995</v>
      </c>
      <c r="T18" s="48" t="s">
        <v>25</v>
      </c>
      <c r="U18" s="60" t="s">
        <v>131</v>
      </c>
      <c r="V18" s="60">
        <v>1000</v>
      </c>
      <c r="W18" s="75">
        <v>11786.3</v>
      </c>
      <c r="X18" s="76">
        <v>15252.3</v>
      </c>
      <c r="Y18" s="72">
        <f>P18*1000/AJ18</f>
        <v>8073.6725748502995</v>
      </c>
      <c r="Z18" s="101">
        <f t="shared" si="11"/>
        <v>7178.6274251496998</v>
      </c>
      <c r="AA18" s="22">
        <f t="shared" si="12"/>
        <v>0.43590644486031083</v>
      </c>
      <c r="AB18" s="17">
        <f t="shared" si="13"/>
        <v>0.29859802559490134</v>
      </c>
      <c r="AC18" s="19">
        <f t="shared" si="14"/>
        <v>0.26549552954478783</v>
      </c>
      <c r="AD18" s="10"/>
      <c r="AE18" s="48" t="s">
        <v>25</v>
      </c>
      <c r="AF18" s="60" t="s">
        <v>131</v>
      </c>
      <c r="AG18" s="60" t="s">
        <v>66</v>
      </c>
      <c r="AH18" s="56">
        <v>65.924092999999999</v>
      </c>
      <c r="AI18" s="57">
        <v>111.624939</v>
      </c>
      <c r="AJ18" s="65">
        <f t="shared" si="22"/>
        <v>139.53117374999999</v>
      </c>
      <c r="AK18" s="66">
        <f t="shared" si="23"/>
        <v>98.579401443680567</v>
      </c>
      <c r="AM18" s="48" t="s">
        <v>25</v>
      </c>
      <c r="AN18" s="60" t="s">
        <v>21</v>
      </c>
      <c r="AO18" s="24">
        <v>1</v>
      </c>
      <c r="AP18" s="78">
        <v>7.5068479999999997</v>
      </c>
      <c r="AQ18" s="81">
        <f t="shared" si="29"/>
        <v>12.881839356460594</v>
      </c>
      <c r="AR18" s="16">
        <f t="shared" si="30"/>
        <v>13</v>
      </c>
      <c r="AS18" s="82" t="str">
        <f>IF(AQ18&lt;10,"10",IF(AQ18&lt;20,"20",IF(AQ18&lt;30,"30",IF(AQ18&lt;40,"40",IF(AQ18&lt;50,"50", IF(AQ18&lt;60,"60",80))))))</f>
        <v>20</v>
      </c>
      <c r="AT18" s="82">
        <v>6</v>
      </c>
      <c r="AV18" s="579">
        <f t="shared" si="15"/>
        <v>96.572860389457816</v>
      </c>
      <c r="AW18" s="91" t="str">
        <f t="shared" si="16"/>
        <v>FR</v>
      </c>
      <c r="AX18" s="582">
        <f t="shared" si="17"/>
        <v>27038.6</v>
      </c>
    </row>
    <row r="19" spans="1:50">
      <c r="A19" s="28" t="s">
        <v>118</v>
      </c>
      <c r="B19" s="48" t="s">
        <v>55</v>
      </c>
      <c r="C19" s="60" t="s">
        <v>148</v>
      </c>
      <c r="D19" s="18">
        <v>20.7</v>
      </c>
      <c r="E19" s="14">
        <v>73</v>
      </c>
      <c r="F19" s="14">
        <v>6.1</v>
      </c>
      <c r="G19" s="24">
        <v>0.2</v>
      </c>
      <c r="H19" s="22">
        <f t="shared" si="19"/>
        <v>0.20699999999999999</v>
      </c>
      <c r="I19" s="17">
        <f t="shared" si="20"/>
        <v>0.73</v>
      </c>
      <c r="J19" s="19">
        <f t="shared" si="21"/>
        <v>6.3E-2</v>
      </c>
      <c r="L19" s="48" t="s">
        <v>55</v>
      </c>
      <c r="M19" s="28" t="s">
        <v>170</v>
      </c>
      <c r="N19" s="30">
        <f t="shared" si="24"/>
        <v>34.830864393875999</v>
      </c>
      <c r="O19" s="31">
        <f t="shared" si="25"/>
        <v>64.391390555138997</v>
      </c>
      <c r="P19" s="30">
        <f t="shared" si="26"/>
        <v>59.275807194516361</v>
      </c>
      <c r="Q19" s="31">
        <f t="shared" si="27"/>
        <v>5.1155833606226366</v>
      </c>
      <c r="R19" s="34">
        <f t="shared" si="28"/>
        <v>99.222254949014996</v>
      </c>
      <c r="T19" s="48" t="s">
        <v>55</v>
      </c>
      <c r="U19" s="60" t="s">
        <v>131</v>
      </c>
      <c r="V19" s="60">
        <v>1000</v>
      </c>
      <c r="W19" s="75">
        <v>547.54899999999998</v>
      </c>
      <c r="X19" s="76">
        <v>936.45100000000002</v>
      </c>
      <c r="Y19" s="72">
        <f t="shared" si="10"/>
        <v>689.64361160151338</v>
      </c>
      <c r="Z19" s="101">
        <f t="shared" si="11"/>
        <v>246.80738839848664</v>
      </c>
      <c r="AA19" s="22">
        <f t="shared" si="12"/>
        <v>0.36896832884097036</v>
      </c>
      <c r="AB19" s="17">
        <f t="shared" si="13"/>
        <v>0.46471941482581763</v>
      </c>
      <c r="AC19" s="19">
        <f t="shared" si="14"/>
        <v>0.16631225633321203</v>
      </c>
      <c r="AD19" s="10"/>
      <c r="AE19" s="48" t="s">
        <v>55</v>
      </c>
      <c r="AF19" s="60"/>
      <c r="AG19" s="60" t="s">
        <v>66</v>
      </c>
      <c r="AH19" s="237">
        <f>AH$36</f>
        <v>63.612324000000001</v>
      </c>
      <c r="AI19" s="237">
        <f>AI$36</f>
        <v>68.761088999999998</v>
      </c>
      <c r="AJ19" s="65">
        <f t="shared" si="22"/>
        <v>85.951361249999991</v>
      </c>
      <c r="AK19" s="66">
        <f t="shared" si="23"/>
        <v>58.069801466453661</v>
      </c>
      <c r="AM19" s="48" t="s">
        <v>55</v>
      </c>
      <c r="AN19" s="60"/>
      <c r="AO19" s="24">
        <v>1</v>
      </c>
      <c r="AP19" s="78" t="s">
        <v>17</v>
      </c>
      <c r="AQ19" s="81" t="e">
        <f t="shared" si="29"/>
        <v>#VALUE!</v>
      </c>
      <c r="AR19" s="16" t="e">
        <f t="shared" si="30"/>
        <v>#VALUE!</v>
      </c>
      <c r="AS19" s="242">
        <v>20</v>
      </c>
      <c r="AT19" s="82">
        <v>6</v>
      </c>
      <c r="AV19" s="579">
        <f t="shared" si="15"/>
        <v>73.071918890260378</v>
      </c>
      <c r="AW19" s="91" t="str">
        <f t="shared" si="16"/>
        <v>HR</v>
      </c>
      <c r="AX19" s="582">
        <f t="shared" si="17"/>
        <v>1484</v>
      </c>
    </row>
    <row r="20" spans="1:50">
      <c r="A20" s="28" t="s">
        <v>100</v>
      </c>
      <c r="B20" s="48" t="s">
        <v>30</v>
      </c>
      <c r="C20" s="60" t="s">
        <v>148</v>
      </c>
      <c r="D20" s="18">
        <v>30.1</v>
      </c>
      <c r="E20" s="14">
        <v>63.9</v>
      </c>
      <c r="F20" s="14">
        <v>5.4</v>
      </c>
      <c r="G20" s="24">
        <v>0.7</v>
      </c>
      <c r="H20" s="22">
        <f t="shared" si="19"/>
        <v>0.30069930069930068</v>
      </c>
      <c r="I20" s="17">
        <f t="shared" si="20"/>
        <v>0.63836163836163828</v>
      </c>
      <c r="J20" s="19">
        <f t="shared" si="21"/>
        <v>6.0939060939060936E-2</v>
      </c>
      <c r="L20" s="48" t="s">
        <v>30</v>
      </c>
      <c r="M20" s="28" t="s">
        <v>170</v>
      </c>
      <c r="N20" s="30">
        <f t="shared" si="24"/>
        <v>72.391766833000005</v>
      </c>
      <c r="O20" s="31">
        <f t="shared" si="25"/>
        <v>230.91663377400002</v>
      </c>
      <c r="P20" s="30">
        <f t="shared" si="26"/>
        <v>210.79389854512286</v>
      </c>
      <c r="Q20" s="31">
        <f t="shared" si="27"/>
        <v>20.122735228877161</v>
      </c>
      <c r="R20" s="34">
        <f t="shared" si="28"/>
        <v>303.30840060700001</v>
      </c>
      <c r="T20" s="48" t="s">
        <v>30</v>
      </c>
      <c r="U20" s="60" t="s">
        <v>131</v>
      </c>
      <c r="V20" s="60">
        <v>1000</v>
      </c>
      <c r="W20" s="75">
        <v>1549</v>
      </c>
      <c r="X20" s="76">
        <v>2479</v>
      </c>
      <c r="Y20" s="72">
        <f t="shared" si="10"/>
        <v>1810.3782857142855</v>
      </c>
      <c r="Z20" s="101">
        <f t="shared" si="11"/>
        <v>668.62171428571446</v>
      </c>
      <c r="AA20" s="22">
        <f t="shared" si="12"/>
        <v>0.38455809334657398</v>
      </c>
      <c r="AB20" s="17">
        <f t="shared" si="13"/>
        <v>0.44944843240175908</v>
      </c>
      <c r="AC20" s="19">
        <f t="shared" si="14"/>
        <v>0.16599347425166694</v>
      </c>
      <c r="AD20" s="10"/>
      <c r="AE20" s="48" t="s">
        <v>30</v>
      </c>
      <c r="AF20" s="60" t="s">
        <v>131</v>
      </c>
      <c r="AG20" s="60" t="s">
        <v>66</v>
      </c>
      <c r="AH20" s="56">
        <v>46.734516999999997</v>
      </c>
      <c r="AI20" s="57">
        <v>93.149106000000003</v>
      </c>
      <c r="AJ20" s="65">
        <f t="shared" si="22"/>
        <v>116.43638250000001</v>
      </c>
      <c r="AK20" s="66">
        <f t="shared" si="23"/>
        <v>78.768270355158265</v>
      </c>
      <c r="AM20" s="48" t="s">
        <v>30</v>
      </c>
      <c r="AN20" s="60"/>
      <c r="AO20" s="24">
        <v>1</v>
      </c>
      <c r="AP20" s="78" t="s">
        <v>17</v>
      </c>
      <c r="AQ20" s="81" t="e">
        <f t="shared" si="29"/>
        <v>#VALUE!</v>
      </c>
      <c r="AR20" s="16" t="e">
        <f t="shared" si="30"/>
        <v>#VALUE!</v>
      </c>
      <c r="AS20" s="242">
        <v>20</v>
      </c>
      <c r="AT20" s="82">
        <v>6</v>
      </c>
      <c r="AV20" s="579">
        <f t="shared" si="15"/>
        <v>83.37930519719697</v>
      </c>
      <c r="AW20" s="91" t="str">
        <f t="shared" si="16"/>
        <v>HU</v>
      </c>
      <c r="AX20" s="582">
        <f t="shared" si="17"/>
        <v>4028</v>
      </c>
    </row>
    <row r="21" spans="1:50">
      <c r="A21" s="28" t="s">
        <v>101</v>
      </c>
      <c r="B21" s="48" t="s">
        <v>31</v>
      </c>
      <c r="C21" s="60" t="s">
        <v>148</v>
      </c>
      <c r="D21" s="56">
        <f>0.0759022075381634*100</f>
        <v>7.5902207538163404</v>
      </c>
      <c r="E21" s="337">
        <f>0.461280340652034*100</f>
        <v>46.128034065203401</v>
      </c>
      <c r="F21" s="337">
        <f>0.443211469292474*100</f>
        <v>44.321146929247405</v>
      </c>
      <c r="G21" s="57">
        <f>0.0196059825173283*100</f>
        <v>1.96059825173283</v>
      </c>
      <c r="H21" s="22">
        <f t="shared" si="19"/>
        <v>7.5902207538163416E-2</v>
      </c>
      <c r="I21" s="17">
        <f>E21/SUM($D21:$G21)</f>
        <v>0.4612803406520341</v>
      </c>
      <c r="J21" s="19">
        <f>(F21+G21)/SUM($D21:$G21)</f>
        <v>0.46281745180980244</v>
      </c>
      <c r="L21" s="48" t="s">
        <v>31</v>
      </c>
      <c r="M21" s="28" t="s">
        <v>170</v>
      </c>
      <c r="N21" s="30">
        <f t="shared" si="24"/>
        <v>12.374444995296001</v>
      </c>
      <c r="O21" s="31">
        <f t="shared" si="25"/>
        <v>172.24808527255598</v>
      </c>
      <c r="P21" s="30">
        <f t="shared" si="26"/>
        <v>85.98078698956158</v>
      </c>
      <c r="Q21" s="31">
        <f t="shared" si="27"/>
        <v>86.267298282994403</v>
      </c>
      <c r="R21" s="34">
        <f t="shared" si="28"/>
        <v>184.62253026785197</v>
      </c>
      <c r="T21" s="48" t="s">
        <v>31</v>
      </c>
      <c r="U21" s="60" t="s">
        <v>32</v>
      </c>
      <c r="V21" s="60">
        <v>1000</v>
      </c>
      <c r="W21" s="75">
        <v>185.95599999999999</v>
      </c>
      <c r="X21" s="76">
        <v>1463.452</v>
      </c>
      <c r="Y21" s="72">
        <f t="shared" si="10"/>
        <v>584.40709855134014</v>
      </c>
      <c r="Z21" s="101">
        <f t="shared" si="11"/>
        <v>879.04490144865986</v>
      </c>
      <c r="AA21" s="22">
        <f t="shared" si="12"/>
        <v>0.11274105618500699</v>
      </c>
      <c r="AB21" s="17">
        <f t="shared" si="13"/>
        <v>0.35431324363125449</v>
      </c>
      <c r="AC21" s="19">
        <f t="shared" si="14"/>
        <v>0.53294570018373855</v>
      </c>
      <c r="AD21" s="10"/>
      <c r="AE21" s="48" t="s">
        <v>31</v>
      </c>
      <c r="AF21" s="60" t="s">
        <v>32</v>
      </c>
      <c r="AG21" s="60" t="s">
        <v>66</v>
      </c>
      <c r="AH21" s="56">
        <v>66.545016000000004</v>
      </c>
      <c r="AI21" s="57">
        <v>117.699853</v>
      </c>
      <c r="AJ21" s="65">
        <f t="shared" si="22"/>
        <v>147.12481625000001</v>
      </c>
      <c r="AK21" s="66">
        <f t="shared" si="23"/>
        <v>107.01604878738112</v>
      </c>
      <c r="AM21" s="48" t="s">
        <v>31</v>
      </c>
      <c r="AN21" s="60" t="s">
        <v>32</v>
      </c>
      <c r="AO21" s="24">
        <v>1</v>
      </c>
      <c r="AP21" s="78">
        <v>12</v>
      </c>
      <c r="AQ21" s="81">
        <f t="shared" si="29"/>
        <v>74.932884621935855</v>
      </c>
      <c r="AR21" s="16">
        <f t="shared" si="30"/>
        <v>75</v>
      </c>
      <c r="AS21" s="82">
        <f>IF(AQ21&lt;10,"10",IF(AQ21&lt;20,"20",IF(AQ21&lt;30,"30",IF(AQ21&lt;40,"40",IF(AQ21&lt;50,"50", IF(AQ21&lt;60,"60",80))))))</f>
        <v>80</v>
      </c>
      <c r="AT21" s="82">
        <v>6</v>
      </c>
      <c r="AV21" s="579">
        <f t="shared" si="15"/>
        <v>116.66436930376597</v>
      </c>
      <c r="AW21" s="91" t="str">
        <f t="shared" si="16"/>
        <v>IE</v>
      </c>
      <c r="AX21" s="582">
        <f t="shared" si="17"/>
        <v>1649.4079999999999</v>
      </c>
    </row>
    <row r="22" spans="1:50">
      <c r="A22" s="28" t="s">
        <v>102</v>
      </c>
      <c r="B22" s="28" t="s">
        <v>63</v>
      </c>
      <c r="C22" s="60" t="s">
        <v>148</v>
      </c>
      <c r="D22" s="18">
        <v>45.9</v>
      </c>
      <c r="E22" s="14">
        <v>34.9</v>
      </c>
      <c r="F22" s="14">
        <v>18.2</v>
      </c>
      <c r="G22" s="24">
        <v>0.9</v>
      </c>
      <c r="H22" s="22">
        <f t="shared" si="19"/>
        <v>0.45945945945945943</v>
      </c>
      <c r="I22" s="17">
        <f t="shared" si="20"/>
        <v>0.3493493493493493</v>
      </c>
      <c r="J22" s="19">
        <f t="shared" si="21"/>
        <v>0.19119119119119116</v>
      </c>
      <c r="L22" s="28" t="s">
        <v>63</v>
      </c>
      <c r="M22" s="28" t="s">
        <v>170</v>
      </c>
      <c r="N22" s="30">
        <f t="shared" si="24"/>
        <v>3.7610795396424748</v>
      </c>
      <c r="O22" s="31">
        <f t="shared" si="25"/>
        <v>8.1764023779214536</v>
      </c>
      <c r="P22" s="30">
        <f t="shared" si="26"/>
        <v>5.2843785738788656</v>
      </c>
      <c r="Q22" s="31">
        <f t="shared" si="27"/>
        <v>2.8920238040425881</v>
      </c>
      <c r="R22" s="34">
        <f t="shared" si="28"/>
        <v>11.937481917563929</v>
      </c>
      <c r="T22" s="28" t="s">
        <v>63</v>
      </c>
      <c r="U22" s="61"/>
      <c r="V22" s="61">
        <v>1000</v>
      </c>
      <c r="W22" s="232">
        <f>'Dwelling stock'!$K22*'Data by dwelling type'!$W$17/SUM('Data by dwelling type'!$W$17:$X$17)</f>
        <v>67.162134636472757</v>
      </c>
      <c r="X22" s="233">
        <f>'Dwelling stock'!$K22*'Data by dwelling type'!$X$17/SUM('Data by dwelling type'!$W$17:$X$17)</f>
        <v>84.292808019808803</v>
      </c>
      <c r="Y22" s="72">
        <f t="shared" si="10"/>
        <v>43.582503702093739</v>
      </c>
      <c r="Z22" s="101">
        <f t="shared" si="11"/>
        <v>40.710304317715064</v>
      </c>
      <c r="AA22" s="22">
        <f t="shared" si="12"/>
        <v>0.44344630461412826</v>
      </c>
      <c r="AB22" s="17">
        <f t="shared" si="13"/>
        <v>0.28775887361432484</v>
      </c>
      <c r="AC22" s="19">
        <f t="shared" si="14"/>
        <v>0.26879482177154695</v>
      </c>
      <c r="AD22" s="10"/>
      <c r="AE22" s="28" t="s">
        <v>63</v>
      </c>
      <c r="AF22" s="61"/>
      <c r="AG22" s="61" t="s">
        <v>66</v>
      </c>
      <c r="AH22" s="237">
        <f>AH$17</f>
        <v>56</v>
      </c>
      <c r="AI22" s="237">
        <f>AI$17</f>
        <v>97</v>
      </c>
      <c r="AJ22" s="65">
        <f t="shared" si="22"/>
        <v>121.25</v>
      </c>
      <c r="AK22" s="66">
        <f t="shared" si="23"/>
        <v>85.897015414890134</v>
      </c>
      <c r="AM22" s="28" t="s">
        <v>63</v>
      </c>
      <c r="AN22" s="61"/>
      <c r="AO22" s="59">
        <v>1</v>
      </c>
      <c r="AP22" s="61"/>
      <c r="AQ22" s="58"/>
      <c r="AS22" s="242">
        <v>20</v>
      </c>
      <c r="AT22" s="82">
        <v>6</v>
      </c>
      <c r="AV22" s="579">
        <f t="shared" si="15"/>
        <v>82.812429433281281</v>
      </c>
      <c r="AW22" s="91" t="str">
        <f t="shared" si="16"/>
        <v>IS</v>
      </c>
      <c r="AX22" s="582">
        <f t="shared" si="17"/>
        <v>151.45494265628156</v>
      </c>
    </row>
    <row r="23" spans="1:50">
      <c r="A23" s="28" t="s">
        <v>103</v>
      </c>
      <c r="B23" s="48" t="s">
        <v>33</v>
      </c>
      <c r="C23" s="60" t="s">
        <v>148</v>
      </c>
      <c r="D23" s="18">
        <v>51.1</v>
      </c>
      <c r="E23" s="14">
        <v>22</v>
      </c>
      <c r="F23" s="14">
        <v>26.5</v>
      </c>
      <c r="G23" s="24">
        <v>0.4</v>
      </c>
      <c r="H23" s="22">
        <f t="shared" si="19"/>
        <v>0.51100000000000001</v>
      </c>
      <c r="I23" s="17">
        <f t="shared" si="20"/>
        <v>0.22</v>
      </c>
      <c r="J23" s="19">
        <f t="shared" si="21"/>
        <v>0.26899999999999996</v>
      </c>
      <c r="L23" s="48" t="s">
        <v>33</v>
      </c>
      <c r="M23" s="28" t="s">
        <v>170</v>
      </c>
      <c r="N23" s="30">
        <f t="shared" si="24"/>
        <v>1820.086</v>
      </c>
      <c r="O23" s="31">
        <f t="shared" si="25"/>
        <v>756.82030000000009</v>
      </c>
      <c r="P23" s="30">
        <f t="shared" si="26"/>
        <v>340.49175051124752</v>
      </c>
      <c r="Q23" s="31">
        <f t="shared" si="27"/>
        <v>416.32854948875257</v>
      </c>
      <c r="R23" s="34">
        <f t="shared" si="28"/>
        <v>2576.9063000000001</v>
      </c>
      <c r="T23" s="48" t="s">
        <v>33</v>
      </c>
      <c r="U23" s="60" t="s">
        <v>136</v>
      </c>
      <c r="V23" s="60">
        <v>1000</v>
      </c>
      <c r="W23" s="75">
        <v>20045</v>
      </c>
      <c r="X23" s="76">
        <v>6899</v>
      </c>
      <c r="Y23" s="72">
        <f t="shared" si="10"/>
        <v>2483.0756646216773</v>
      </c>
      <c r="Z23" s="101">
        <f t="shared" si="11"/>
        <v>4415.9243353783222</v>
      </c>
      <c r="AA23" s="22">
        <f t="shared" si="12"/>
        <v>0.74395041567695963</v>
      </c>
      <c r="AB23" s="17">
        <f t="shared" si="13"/>
        <v>9.2156905605020684E-2</v>
      </c>
      <c r="AC23" s="19">
        <f t="shared" si="14"/>
        <v>0.16389267871801969</v>
      </c>
      <c r="AD23" s="10"/>
      <c r="AE23" s="48" t="s">
        <v>33</v>
      </c>
      <c r="AF23" s="60" t="s">
        <v>133</v>
      </c>
      <c r="AG23" s="60" t="s">
        <v>66</v>
      </c>
      <c r="AH23" s="56">
        <v>90.8</v>
      </c>
      <c r="AI23" s="57">
        <v>109.7</v>
      </c>
      <c r="AJ23" s="65">
        <f t="shared" si="22"/>
        <v>137.125</v>
      </c>
      <c r="AK23" s="66">
        <f t="shared" si="23"/>
        <v>100.64409005628519</v>
      </c>
      <c r="AM23" s="48" t="s">
        <v>33</v>
      </c>
      <c r="AN23" s="60" t="s">
        <v>34</v>
      </c>
      <c r="AO23" s="24">
        <v>1</v>
      </c>
      <c r="AP23" s="78">
        <v>9.7802369999999996</v>
      </c>
      <c r="AQ23" s="81">
        <f>(AP23*SUM(W23:X23)-1*Y23-AT23*Z23)/W23</f>
        <v>11.70067767778041</v>
      </c>
      <c r="AR23" s="16">
        <f>ROUND(AQ23,0)</f>
        <v>12</v>
      </c>
      <c r="AS23" s="82" t="str">
        <f>IF(AQ23&lt;10,"10",IF(AQ23&lt;20,"20",IF(AQ23&lt;30,"30",IF(AQ23&lt;40,"40",IF(AQ23&lt;50,"50", IF(AQ23&lt;60,"60",80))))))</f>
        <v>20</v>
      </c>
      <c r="AT23" s="82">
        <v>6</v>
      </c>
      <c r="AV23" s="579">
        <f t="shared" si="15"/>
        <v>96.682542941018596</v>
      </c>
      <c r="AW23" s="91" t="str">
        <f t="shared" si="16"/>
        <v>IT</v>
      </c>
      <c r="AX23" s="582">
        <f t="shared" si="17"/>
        <v>26944</v>
      </c>
    </row>
    <row r="24" spans="1:50">
      <c r="A24" s="48" t="s">
        <v>122</v>
      </c>
      <c r="B24" s="48" t="s">
        <v>201</v>
      </c>
      <c r="C24" s="60" t="s">
        <v>148</v>
      </c>
      <c r="D24" s="224">
        <f>D$19</f>
        <v>20.7</v>
      </c>
      <c r="E24" s="225">
        <f t="shared" ref="E24:G24" si="31">E$19</f>
        <v>73</v>
      </c>
      <c r="F24" s="225">
        <f t="shared" si="31"/>
        <v>6.1</v>
      </c>
      <c r="G24" s="226">
        <f t="shared" si="31"/>
        <v>0.2</v>
      </c>
      <c r="H24" s="22">
        <f t="shared" si="19"/>
        <v>0.20699999999999999</v>
      </c>
      <c r="I24" s="17">
        <f t="shared" si="20"/>
        <v>0.73</v>
      </c>
      <c r="J24" s="19">
        <f t="shared" si="21"/>
        <v>6.3E-2</v>
      </c>
      <c r="L24" s="48" t="s">
        <v>201</v>
      </c>
      <c r="M24" s="61" t="s">
        <v>170</v>
      </c>
      <c r="N24" s="30">
        <f t="shared" ref="N24:N29" si="32">W24*AH24/1000</f>
        <v>21.715329263575725</v>
      </c>
      <c r="O24" s="31">
        <f t="shared" ref="O24:O29" si="33">X24*AI24/1000</f>
        <v>26.221659981960183</v>
      </c>
      <c r="P24" s="30">
        <f t="shared" ref="P24:P29" si="34">X24*AI24*(I24/SUM(I24:J24))/1000</f>
        <v>24.138476402056664</v>
      </c>
      <c r="Q24" s="31">
        <f t="shared" ref="Q24:Q29" si="35">(X24*AI24)/1000-P24</f>
        <v>2.083183579903519</v>
      </c>
      <c r="R24" s="34">
        <f t="shared" ref="R24:R29" si="36">SUM(N24:O24)</f>
        <v>47.936989245535912</v>
      </c>
      <c r="T24" s="48" t="s">
        <v>201</v>
      </c>
      <c r="U24" s="61"/>
      <c r="V24" s="61">
        <v>1000</v>
      </c>
      <c r="W24" s="232">
        <f>'Dwelling stock'!$K24*'Data by dwelling type'!$W$36/SUM('Data by dwelling type'!$W$36:$X$36)</f>
        <v>341.36984625142327</v>
      </c>
      <c r="X24" s="233">
        <f>'Dwelling stock'!$K24*'Data by dwelling type'!$X$36/SUM('Data by dwelling type'!$W$36:$X$36)</f>
        <v>381.34445459350104</v>
      </c>
      <c r="Y24" s="72">
        <f t="shared" si="10"/>
        <v>280.83879127692893</v>
      </c>
      <c r="Z24" s="101">
        <f t="shared" si="11"/>
        <v>100.50566331657211</v>
      </c>
      <c r="AA24" s="22">
        <f t="shared" si="12"/>
        <v>0.47234411419883104</v>
      </c>
      <c r="AB24" s="17">
        <f t="shared" si="13"/>
        <v>0.38858894994688864</v>
      </c>
      <c r="AC24" s="19">
        <f t="shared" si="14"/>
        <v>0.13906693585428029</v>
      </c>
      <c r="AE24" s="48" t="s">
        <v>201</v>
      </c>
      <c r="AF24" s="61"/>
      <c r="AG24" s="61" t="s">
        <v>66</v>
      </c>
      <c r="AH24" s="237">
        <f>AH$36</f>
        <v>63.612324000000001</v>
      </c>
      <c r="AI24" s="237">
        <f>AI$36</f>
        <v>68.761088999999998</v>
      </c>
      <c r="AJ24" s="65">
        <f t="shared" si="22"/>
        <v>85.951361249999991</v>
      </c>
      <c r="AK24" s="66">
        <f t="shared" si="23"/>
        <v>58.069801466453669</v>
      </c>
      <c r="AM24" s="48" t="s">
        <v>201</v>
      </c>
      <c r="AN24" s="61"/>
      <c r="AO24" s="59">
        <v>1</v>
      </c>
      <c r="AP24" s="61"/>
      <c r="AQ24" s="58"/>
      <c r="AS24" s="242">
        <v>20</v>
      </c>
      <c r="AT24" s="82">
        <v>6</v>
      </c>
      <c r="AV24" s="579">
        <f t="shared" si="15"/>
        <v>71.522245402158333</v>
      </c>
      <c r="AW24" s="91" t="str">
        <f t="shared" si="16"/>
        <v>KS</v>
      </c>
      <c r="AX24" s="582">
        <f t="shared" si="17"/>
        <v>722.71430084492431</v>
      </c>
    </row>
    <row r="25" spans="1:50">
      <c r="A25" s="28" t="s">
        <v>104</v>
      </c>
      <c r="B25" s="48" t="s">
        <v>36</v>
      </c>
      <c r="C25" s="60" t="s">
        <v>148</v>
      </c>
      <c r="D25" s="18">
        <v>57.6</v>
      </c>
      <c r="E25" s="14">
        <v>35.200000000000003</v>
      </c>
      <c r="F25" s="14">
        <v>6.8</v>
      </c>
      <c r="G25" s="24">
        <v>0.4</v>
      </c>
      <c r="H25" s="22">
        <f t="shared" si="19"/>
        <v>0.57599999999999996</v>
      </c>
      <c r="I25" s="17">
        <f t="shared" si="20"/>
        <v>0.35199999999999998</v>
      </c>
      <c r="J25" s="19">
        <f t="shared" si="21"/>
        <v>7.1999999999999995E-2</v>
      </c>
      <c r="L25" s="48" t="s">
        <v>36</v>
      </c>
      <c r="M25" s="28" t="s">
        <v>170</v>
      </c>
      <c r="N25" s="30">
        <f t="shared" si="32"/>
        <v>51.675234408155454</v>
      </c>
      <c r="O25" s="31">
        <f t="shared" si="33"/>
        <v>52.358202174512499</v>
      </c>
      <c r="P25" s="30">
        <f t="shared" si="34"/>
        <v>43.467186710916039</v>
      </c>
      <c r="Q25" s="31">
        <f t="shared" si="35"/>
        <v>8.8910154635964602</v>
      </c>
      <c r="R25" s="34">
        <f t="shared" si="36"/>
        <v>104.03343658266795</v>
      </c>
      <c r="T25" s="48" t="s">
        <v>36</v>
      </c>
      <c r="U25" s="60" t="s">
        <v>37</v>
      </c>
      <c r="V25" s="60">
        <v>1000</v>
      </c>
      <c r="W25" s="75">
        <v>1002.200864</v>
      </c>
      <c r="X25" s="76">
        <v>542.05375000000004</v>
      </c>
      <c r="Y25" s="72">
        <f t="shared" si="10"/>
        <v>360.00550943396229</v>
      </c>
      <c r="Z25" s="101">
        <f t="shared" si="11"/>
        <v>182.04824056603775</v>
      </c>
      <c r="AA25" s="22">
        <f t="shared" si="12"/>
        <v>0.64898680237972728</v>
      </c>
      <c r="AB25" s="17">
        <f t="shared" si="13"/>
        <v>0.23312574634403022</v>
      </c>
      <c r="AC25" s="19">
        <f t="shared" si="14"/>
        <v>0.11788745127624256</v>
      </c>
      <c r="AD25" s="10"/>
      <c r="AE25" s="48" t="s">
        <v>36</v>
      </c>
      <c r="AF25" s="60" t="s">
        <v>37</v>
      </c>
      <c r="AG25" s="60" t="s">
        <v>66</v>
      </c>
      <c r="AH25" s="56">
        <v>51.561754000000001</v>
      </c>
      <c r="AI25" s="57">
        <v>96.592269999999999</v>
      </c>
      <c r="AJ25" s="65">
        <f t="shared" si="22"/>
        <v>120.7403375</v>
      </c>
      <c r="AK25" s="66">
        <f t="shared" si="23"/>
        <v>82.838030906148859</v>
      </c>
      <c r="AM25" s="48" t="s">
        <v>36</v>
      </c>
      <c r="AN25" s="60" t="s">
        <v>37</v>
      </c>
      <c r="AO25" s="24">
        <v>1</v>
      </c>
      <c r="AP25" s="78">
        <v>8</v>
      </c>
      <c r="AQ25" s="81">
        <f>(AP25*SUM(W25:X25)-1*Y25-AT25*Z25)/W25</f>
        <v>10.877801397674519</v>
      </c>
      <c r="AR25" s="16">
        <f>ROUND(AQ25,0)</f>
        <v>11</v>
      </c>
      <c r="AS25" s="82" t="str">
        <f t="shared" ref="AS25:AS26" si="37">IF(AQ25&lt;10,"10",IF(AQ25&lt;20,"20",IF(AQ25&lt;30,"30",IF(AQ25&lt;40,"40",IF(AQ25&lt;50,"50", IF(AQ25&lt;60,"60",80))))))</f>
        <v>20</v>
      </c>
      <c r="AT25" s="82">
        <v>6</v>
      </c>
      <c r="AV25" s="579">
        <f t="shared" si="15"/>
        <v>71.376143479336207</v>
      </c>
      <c r="AW25" s="91" t="str">
        <f t="shared" si="16"/>
        <v>LT</v>
      </c>
      <c r="AX25" s="582">
        <f t="shared" si="17"/>
        <v>1544.2546139999999</v>
      </c>
    </row>
    <row r="26" spans="1:50">
      <c r="A26" s="28" t="s">
        <v>105</v>
      </c>
      <c r="B26" s="48" t="s">
        <v>38</v>
      </c>
      <c r="C26" s="60" t="s">
        <v>148</v>
      </c>
      <c r="D26" s="18">
        <v>33.200000000000003</v>
      </c>
      <c r="E26" s="14">
        <v>36.4</v>
      </c>
      <c r="F26" s="14">
        <v>29.9</v>
      </c>
      <c r="G26" s="24">
        <v>0.5</v>
      </c>
      <c r="H26" s="22">
        <f t="shared" si="19"/>
        <v>0.33200000000000002</v>
      </c>
      <c r="I26" s="17">
        <f t="shared" si="20"/>
        <v>0.36399999999999999</v>
      </c>
      <c r="J26" s="19">
        <f t="shared" si="21"/>
        <v>0.30399999999999999</v>
      </c>
      <c r="L26" s="48" t="s">
        <v>38</v>
      </c>
      <c r="M26" s="28" t="s">
        <v>170</v>
      </c>
      <c r="N26" s="30">
        <f t="shared" si="32"/>
        <v>5.8344071400000006</v>
      </c>
      <c r="O26" s="31">
        <f t="shared" si="33"/>
        <v>10.505592839999998</v>
      </c>
      <c r="P26" s="30">
        <f t="shared" si="34"/>
        <v>5.7246044816766473</v>
      </c>
      <c r="Q26" s="31">
        <f t="shared" si="35"/>
        <v>4.7809883583233512</v>
      </c>
      <c r="R26" s="34">
        <f t="shared" si="36"/>
        <v>16.339999979999998</v>
      </c>
      <c r="T26" s="48" t="s">
        <v>38</v>
      </c>
      <c r="U26" s="60" t="s">
        <v>14</v>
      </c>
      <c r="V26" s="60">
        <v>1000</v>
      </c>
      <c r="W26" s="75">
        <v>68</v>
      </c>
      <c r="X26" s="76">
        <v>120</v>
      </c>
      <c r="Y26" s="72">
        <f t="shared" si="10"/>
        <v>52.311377245508986</v>
      </c>
      <c r="Z26" s="101">
        <f t="shared" si="11"/>
        <v>67.688622754491007</v>
      </c>
      <c r="AA26" s="22">
        <f t="shared" si="12"/>
        <v>0.36170212765957449</v>
      </c>
      <c r="AB26" s="17">
        <f t="shared" si="13"/>
        <v>0.27825200662504779</v>
      </c>
      <c r="AC26" s="19">
        <f t="shared" si="14"/>
        <v>0.36004586571537772</v>
      </c>
      <c r="AD26" s="10"/>
      <c r="AE26" s="48" t="s">
        <v>38</v>
      </c>
      <c r="AF26" s="60" t="s">
        <v>14</v>
      </c>
      <c r="AG26" s="60" t="s">
        <v>66</v>
      </c>
      <c r="AH26" s="56">
        <v>85.800105000000002</v>
      </c>
      <c r="AI26" s="57">
        <v>87.546606999999995</v>
      </c>
      <c r="AJ26" s="65">
        <f t="shared" si="22"/>
        <v>109.43325874999999</v>
      </c>
      <c r="AK26" s="66">
        <f t="shared" si="23"/>
        <v>78.943214735421165</v>
      </c>
      <c r="AM26" s="48" t="s">
        <v>38</v>
      </c>
      <c r="AN26" s="60" t="s">
        <v>14</v>
      </c>
      <c r="AO26" s="24">
        <v>1</v>
      </c>
      <c r="AP26" s="78">
        <v>5.7710100000000004</v>
      </c>
      <c r="AQ26" s="81">
        <f>(AP26*SUM(W26:X26)-1*Y26-AT26*Z26)/W26</f>
        <v>11.204176643184223</v>
      </c>
      <c r="AR26" s="16">
        <f>ROUND(AQ26,0)</f>
        <v>11</v>
      </c>
      <c r="AS26" s="82" t="str">
        <f t="shared" si="37"/>
        <v>20</v>
      </c>
      <c r="AT26" s="82">
        <v>4</v>
      </c>
      <c r="AV26" s="579">
        <f t="shared" si="15"/>
        <v>89.907282462390128</v>
      </c>
      <c r="AW26" s="91" t="str">
        <f t="shared" si="16"/>
        <v>LU</v>
      </c>
      <c r="AX26" s="582">
        <f t="shared" si="17"/>
        <v>188</v>
      </c>
    </row>
    <row r="27" spans="1:50">
      <c r="A27" s="28" t="s">
        <v>106</v>
      </c>
      <c r="B27" s="48" t="s">
        <v>35</v>
      </c>
      <c r="C27" s="60" t="s">
        <v>148</v>
      </c>
      <c r="D27" s="18">
        <v>64.400000000000006</v>
      </c>
      <c r="E27" s="14">
        <v>31.8</v>
      </c>
      <c r="F27" s="14">
        <v>3.6</v>
      </c>
      <c r="G27" s="24">
        <v>0.2</v>
      </c>
      <c r="H27" s="22">
        <f t="shared" si="19"/>
        <v>0.64400000000000002</v>
      </c>
      <c r="I27" s="17">
        <f t="shared" si="20"/>
        <v>0.318</v>
      </c>
      <c r="J27" s="19">
        <f t="shared" si="21"/>
        <v>3.8000000000000006E-2</v>
      </c>
      <c r="L27" s="48" t="s">
        <v>35</v>
      </c>
      <c r="M27" s="28" t="s">
        <v>170</v>
      </c>
      <c r="N27" s="30">
        <f t="shared" si="32"/>
        <v>35.154286249999998</v>
      </c>
      <c r="O27" s="31">
        <f t="shared" si="33"/>
        <v>29.337648000000002</v>
      </c>
      <c r="P27" s="30">
        <f t="shared" si="34"/>
        <v>26.20610130337079</v>
      </c>
      <c r="Q27" s="31">
        <f t="shared" si="35"/>
        <v>3.1315466966292114</v>
      </c>
      <c r="R27" s="34">
        <f t="shared" si="36"/>
        <v>64.49193425</v>
      </c>
      <c r="T27" s="48" t="s">
        <v>35</v>
      </c>
      <c r="U27" s="60" t="s">
        <v>131</v>
      </c>
      <c r="V27" s="60">
        <v>1000</v>
      </c>
      <c r="W27" s="75">
        <v>682.60749999999996</v>
      </c>
      <c r="X27" s="76">
        <v>305.60050000000001</v>
      </c>
      <c r="Y27" s="72">
        <f t="shared" si="10"/>
        <v>218.38417752808991</v>
      </c>
      <c r="Z27" s="101">
        <f t="shared" si="11"/>
        <v>87.216322471910104</v>
      </c>
      <c r="AA27" s="22">
        <f t="shared" si="12"/>
        <v>0.69075285769797445</v>
      </c>
      <c r="AB27" s="17">
        <f t="shared" si="13"/>
        <v>0.22099009270122275</v>
      </c>
      <c r="AC27" s="19">
        <f t="shared" si="14"/>
        <v>8.8257049600802773E-2</v>
      </c>
      <c r="AD27" s="10"/>
      <c r="AE27" s="48" t="s">
        <v>35</v>
      </c>
      <c r="AF27" s="60" t="s">
        <v>131</v>
      </c>
      <c r="AG27" s="60" t="s">
        <v>66</v>
      </c>
      <c r="AH27" s="56">
        <v>51.5</v>
      </c>
      <c r="AI27" s="57">
        <v>96</v>
      </c>
      <c r="AJ27" s="65">
        <f t="shared" si="22"/>
        <v>120</v>
      </c>
      <c r="AK27" s="66">
        <f t="shared" si="23"/>
        <v>81.448999046711151</v>
      </c>
      <c r="AM27" s="48" t="s">
        <v>35</v>
      </c>
      <c r="AN27" s="60"/>
      <c r="AO27" s="24">
        <v>1</v>
      </c>
      <c r="AP27" s="78" t="s">
        <v>17</v>
      </c>
      <c r="AQ27" s="81" t="e">
        <f>(AP27*SUM(W27:X27)-1*Y27-AT27*Z27)/W27</f>
        <v>#VALUE!</v>
      </c>
      <c r="AR27" s="16" t="e">
        <f>ROUND(AQ27,0)</f>
        <v>#VALUE!</v>
      </c>
      <c r="AS27" s="242">
        <v>20</v>
      </c>
      <c r="AT27" s="82">
        <v>6</v>
      </c>
      <c r="AV27" s="579">
        <f t="shared" si="15"/>
        <v>69.28103164439375</v>
      </c>
      <c r="AW27" s="91" t="str">
        <f t="shared" si="16"/>
        <v>LV</v>
      </c>
      <c r="AX27" s="582">
        <f t="shared" si="17"/>
        <v>988.20799999999997</v>
      </c>
    </row>
    <row r="28" spans="1:50">
      <c r="A28" s="48" t="s">
        <v>119</v>
      </c>
      <c r="B28" s="48" t="s">
        <v>204</v>
      </c>
      <c r="C28" s="60" t="s">
        <v>148</v>
      </c>
      <c r="D28" s="224">
        <f>D$15</f>
        <v>59.7</v>
      </c>
      <c r="E28" s="225">
        <f t="shared" ref="E28:F28" si="38">E$15</f>
        <v>32.1</v>
      </c>
      <c r="F28" s="225">
        <f t="shared" si="38"/>
        <v>8.1</v>
      </c>
      <c r="G28" s="226">
        <f>G$15</f>
        <v>0</v>
      </c>
      <c r="H28" s="22">
        <f t="shared" si="19"/>
        <v>0.59759759759759756</v>
      </c>
      <c r="I28" s="17">
        <f t="shared" si="20"/>
        <v>0.3213213213213213</v>
      </c>
      <c r="J28" s="19">
        <f t="shared" si="21"/>
        <v>8.1081081081081072E-2</v>
      </c>
      <c r="L28" s="48" t="s">
        <v>204</v>
      </c>
      <c r="M28" s="61" t="s">
        <v>170</v>
      </c>
      <c r="N28" s="30">
        <f t="shared" si="32"/>
        <v>8.980509662369224</v>
      </c>
      <c r="O28" s="31">
        <f t="shared" si="33"/>
        <v>7.648764647002027</v>
      </c>
      <c r="P28" s="30">
        <f t="shared" si="34"/>
        <v>6.1075956509643046</v>
      </c>
      <c r="Q28" s="31">
        <f t="shared" si="35"/>
        <v>1.5411689960377224</v>
      </c>
      <c r="R28" s="34">
        <f t="shared" si="36"/>
        <v>16.629274309371251</v>
      </c>
      <c r="T28" s="48" t="s">
        <v>204</v>
      </c>
      <c r="U28" s="61"/>
      <c r="V28" s="61">
        <v>1000</v>
      </c>
      <c r="W28" s="232">
        <f>'Dwelling stock'!$K28*'Data by dwelling type'!$W$15/SUM('Data by dwelling type'!$W$15:$X$15)</f>
        <v>123.02068030642774</v>
      </c>
      <c r="X28" s="233">
        <f>'Dwelling stock'!$K28*'Data by dwelling type'!$X$15/SUM('Data by dwelling type'!$W$15:$X$15)</f>
        <v>83.590099993862808</v>
      </c>
      <c r="Y28" s="72">
        <f t="shared" si="10"/>
        <v>53.397854921452655</v>
      </c>
      <c r="Z28" s="101">
        <f t="shared" si="11"/>
        <v>30.192245072410152</v>
      </c>
      <c r="AA28" s="22">
        <f t="shared" si="12"/>
        <v>0.59542236918919733</v>
      </c>
      <c r="AB28" s="17">
        <f t="shared" si="13"/>
        <v>0.25844660595078139</v>
      </c>
      <c r="AC28" s="19">
        <f t="shared" si="14"/>
        <v>0.14613102486002127</v>
      </c>
      <c r="AE28" s="48" t="s">
        <v>204</v>
      </c>
      <c r="AF28" s="61"/>
      <c r="AG28" s="61" t="s">
        <v>66</v>
      </c>
      <c r="AH28" s="237">
        <f>AH$15</f>
        <v>73</v>
      </c>
      <c r="AI28" s="237">
        <f t="shared" ref="AI28" si="39">AI$15</f>
        <v>91.503236000000001</v>
      </c>
      <c r="AJ28" s="65">
        <f t="shared" si="22"/>
        <v>114.379045</v>
      </c>
      <c r="AK28" s="66">
        <f t="shared" si="23"/>
        <v>78.902404272844279</v>
      </c>
      <c r="AM28" s="48" t="s">
        <v>204</v>
      </c>
      <c r="AN28" s="61"/>
      <c r="AO28" s="59">
        <v>1</v>
      </c>
      <c r="AP28" s="61"/>
      <c r="AQ28" s="58"/>
      <c r="AS28" s="242">
        <v>20</v>
      </c>
      <c r="AT28" s="82">
        <v>6</v>
      </c>
      <c r="AV28" s="579">
        <f t="shared" si="15"/>
        <v>84.556798123263547</v>
      </c>
      <c r="AW28" s="91" t="str">
        <f t="shared" si="16"/>
        <v>ME</v>
      </c>
      <c r="AX28" s="582">
        <f t="shared" si="17"/>
        <v>206.61078030029054</v>
      </c>
    </row>
    <row r="29" spans="1:50">
      <c r="A29" s="48" t="s">
        <v>120</v>
      </c>
      <c r="B29" s="48" t="s">
        <v>203</v>
      </c>
      <c r="C29" s="60" t="s">
        <v>148</v>
      </c>
      <c r="D29" s="224">
        <f>D$8</f>
        <v>43.2</v>
      </c>
      <c r="E29" s="225">
        <f t="shared" ref="E29:G29" si="40">E$8</f>
        <v>46</v>
      </c>
      <c r="F29" s="225">
        <f t="shared" si="40"/>
        <v>10.5</v>
      </c>
      <c r="G29" s="226">
        <f t="shared" si="40"/>
        <v>0.3</v>
      </c>
      <c r="H29" s="22">
        <f t="shared" si="19"/>
        <v>0.43200000000000005</v>
      </c>
      <c r="I29" s="17">
        <f t="shared" si="20"/>
        <v>0.46</v>
      </c>
      <c r="J29" s="19">
        <f t="shared" si="21"/>
        <v>0.10800000000000001</v>
      </c>
      <c r="L29" s="48" t="s">
        <v>203</v>
      </c>
      <c r="M29" s="61" t="s">
        <v>170</v>
      </c>
      <c r="N29" s="30">
        <f t="shared" si="32"/>
        <v>20.626486240457307</v>
      </c>
      <c r="O29" s="31">
        <f t="shared" si="33"/>
        <v>24.906861980079029</v>
      </c>
      <c r="P29" s="30">
        <f t="shared" si="34"/>
        <v>20.171050195134423</v>
      </c>
      <c r="Q29" s="31">
        <f t="shared" si="35"/>
        <v>4.7358117849446053</v>
      </c>
      <c r="R29" s="34">
        <f t="shared" si="36"/>
        <v>45.53334822053634</v>
      </c>
      <c r="T29" s="48" t="s">
        <v>203</v>
      </c>
      <c r="U29" s="61"/>
      <c r="V29" s="61">
        <v>1000</v>
      </c>
      <c r="W29" s="232">
        <f>'Dwelling stock'!$K29*'Data by dwelling type'!$W$36/SUM('Data by dwelling type'!$W$36:$X$36)</f>
        <v>324.25298972660244</v>
      </c>
      <c r="X29" s="233">
        <f>'Dwelling stock'!$K29*'Data by dwelling type'!$X$36/SUM('Data by dwelling type'!$W$36:$X$36)</f>
        <v>362.22320417407917</v>
      </c>
      <c r="Y29" s="72">
        <f t="shared" si="10"/>
        <v>234.67982242264284</v>
      </c>
      <c r="Z29" s="101">
        <f t="shared" si="11"/>
        <v>127.54338175143633</v>
      </c>
      <c r="AA29" s="22">
        <f t="shared" si="12"/>
        <v>0.47234411419883099</v>
      </c>
      <c r="AB29" s="17">
        <f t="shared" si="13"/>
        <v>0.34186155981484184</v>
      </c>
      <c r="AC29" s="19">
        <f t="shared" si="14"/>
        <v>0.18579432598632709</v>
      </c>
      <c r="AE29" s="48" t="s">
        <v>203</v>
      </c>
      <c r="AF29" s="61"/>
      <c r="AG29" s="61" t="s">
        <v>66</v>
      </c>
      <c r="AH29" s="237">
        <f>AH$36</f>
        <v>63.612324000000001</v>
      </c>
      <c r="AI29" s="237">
        <f>AI$36</f>
        <v>68.761088999999998</v>
      </c>
      <c r="AJ29" s="65">
        <f t="shared" si="22"/>
        <v>85.951361249999991</v>
      </c>
      <c r="AK29" s="66">
        <f t="shared" si="23"/>
        <v>59.176209927272723</v>
      </c>
      <c r="AM29" s="48" t="s">
        <v>203</v>
      </c>
      <c r="AN29" s="61"/>
      <c r="AO29" s="59">
        <v>1</v>
      </c>
      <c r="AP29" s="61"/>
      <c r="AQ29" s="58"/>
      <c r="AS29" s="242">
        <v>20</v>
      </c>
      <c r="AT29" s="82">
        <v>6</v>
      </c>
      <c r="AV29" s="579">
        <f t="shared" si="15"/>
        <v>70.424977294906014</v>
      </c>
      <c r="AW29" s="91" t="str">
        <f t="shared" si="16"/>
        <v>MK</v>
      </c>
      <c r="AX29" s="582">
        <f t="shared" si="17"/>
        <v>686.47619390068166</v>
      </c>
    </row>
    <row r="30" spans="1:50">
      <c r="A30" s="28" t="s">
        <v>107</v>
      </c>
      <c r="B30" s="48" t="s">
        <v>39</v>
      </c>
      <c r="C30" s="60" t="s">
        <v>148</v>
      </c>
      <c r="D30" s="18">
        <v>50.3</v>
      </c>
      <c r="E30" s="14">
        <v>4.5</v>
      </c>
      <c r="F30" s="14">
        <v>44.8</v>
      </c>
      <c r="G30" s="24">
        <v>0.3</v>
      </c>
      <c r="H30" s="22">
        <f t="shared" si="19"/>
        <v>0.50350350350350348</v>
      </c>
      <c r="I30" s="17">
        <f t="shared" si="20"/>
        <v>4.504504504504505E-2</v>
      </c>
      <c r="J30" s="19">
        <f t="shared" si="21"/>
        <v>0.45145145145145144</v>
      </c>
      <c r="L30" s="48" t="s">
        <v>39</v>
      </c>
      <c r="M30" s="28" t="s">
        <v>170</v>
      </c>
      <c r="N30" s="30">
        <f t="shared" ref="N30:N40" si="41">W30*AH30/1000</f>
        <v>3.0081066585328</v>
      </c>
      <c r="O30" s="31">
        <f t="shared" ref="O30:O40" si="42">X30*AI30/1000</f>
        <v>10.524351649764</v>
      </c>
      <c r="P30" s="30">
        <f t="shared" ref="P30:P40" si="43">X30*AI30*(I30/SUM(I30:J30))/1000</f>
        <v>0.95483029080520165</v>
      </c>
      <c r="Q30" s="31">
        <f t="shared" ref="Q30:Q40" si="44">(X30*AI30)/1000-P30</f>
        <v>9.5695213589587986</v>
      </c>
      <c r="R30" s="34">
        <f t="shared" ref="R30:R40" si="45">SUM(N30:O30)</f>
        <v>13.5324583082968</v>
      </c>
      <c r="T30" s="48" t="s">
        <v>39</v>
      </c>
      <c r="U30" s="60" t="s">
        <v>40</v>
      </c>
      <c r="V30" s="60">
        <v>1000</v>
      </c>
      <c r="W30" s="75">
        <v>35.376399999999997</v>
      </c>
      <c r="X30" s="76">
        <v>106.4636</v>
      </c>
      <c r="Y30" s="72">
        <f t="shared" si="10"/>
        <v>7.7271967741935494</v>
      </c>
      <c r="Z30" s="101">
        <f t="shared" si="11"/>
        <v>98.736403225806455</v>
      </c>
      <c r="AA30" s="22">
        <f t="shared" si="12"/>
        <v>0.24941060349689789</v>
      </c>
      <c r="AB30" s="17">
        <f t="shared" si="13"/>
        <v>5.4478262649418706E-2</v>
      </c>
      <c r="AC30" s="19">
        <f t="shared" si="14"/>
        <v>0.69611113385368339</v>
      </c>
      <c r="AD30" s="10"/>
      <c r="AE30" s="48" t="s">
        <v>39</v>
      </c>
      <c r="AF30" s="60" t="s">
        <v>40</v>
      </c>
      <c r="AG30" s="60" t="s">
        <v>66</v>
      </c>
      <c r="AH30" s="56">
        <v>85.031452000000002</v>
      </c>
      <c r="AI30" s="57">
        <v>98.853989999999996</v>
      </c>
      <c r="AJ30" s="65">
        <f t="shared" si="22"/>
        <v>123.5674875</v>
      </c>
      <c r="AK30" s="66">
        <f t="shared" si="23"/>
        <v>97.092235722772259</v>
      </c>
      <c r="AM30" s="48" t="s">
        <v>39</v>
      </c>
      <c r="AN30" s="60"/>
      <c r="AO30" s="24">
        <v>1</v>
      </c>
      <c r="AP30" s="78" t="s">
        <v>17</v>
      </c>
      <c r="AQ30" s="81" t="e">
        <f>(AP30*SUM(W30:X30)-1*Y30-AT30*Z30)/W30</f>
        <v>#VALUE!</v>
      </c>
      <c r="AR30" s="16" t="e">
        <f>ROUND(AQ30,0)</f>
        <v>#VALUE!</v>
      </c>
      <c r="AS30" s="242">
        <v>20</v>
      </c>
      <c r="AT30" s="82">
        <v>6</v>
      </c>
      <c r="AV30" s="579">
        <f t="shared" si="15"/>
        <v>95.526474095859371</v>
      </c>
      <c r="AW30" s="91" t="str">
        <f t="shared" si="16"/>
        <v>MT</v>
      </c>
      <c r="AX30" s="582">
        <f t="shared" si="17"/>
        <v>141.84</v>
      </c>
    </row>
    <row r="31" spans="1:50">
      <c r="A31" s="28" t="s">
        <v>108</v>
      </c>
      <c r="B31" s="48" t="s">
        <v>41</v>
      </c>
      <c r="C31" s="60" t="s">
        <v>148</v>
      </c>
      <c r="D31" s="18">
        <v>18.600000000000001</v>
      </c>
      <c r="E31" s="14">
        <v>16.2</v>
      </c>
      <c r="F31" s="14">
        <v>60</v>
      </c>
      <c r="G31" s="24">
        <v>5.2</v>
      </c>
      <c r="H31" s="22">
        <f t="shared" si="19"/>
        <v>0.18600000000000003</v>
      </c>
      <c r="I31" s="17">
        <f t="shared" si="20"/>
        <v>0.16200000000000001</v>
      </c>
      <c r="J31" s="19">
        <f t="shared" si="21"/>
        <v>0.65200000000000002</v>
      </c>
      <c r="L31" s="48" t="s">
        <v>41</v>
      </c>
      <c r="M31" s="28" t="s">
        <v>170</v>
      </c>
      <c r="N31" s="30">
        <f t="shared" si="41"/>
        <v>160.0001684312</v>
      </c>
      <c r="O31" s="31">
        <f t="shared" si="42"/>
        <v>558.93714934109323</v>
      </c>
      <c r="P31" s="30">
        <f t="shared" si="43"/>
        <v>111.23810588852223</v>
      </c>
      <c r="Q31" s="31">
        <f t="shared" si="44"/>
        <v>447.699043452571</v>
      </c>
      <c r="R31" s="34">
        <f t="shared" si="45"/>
        <v>718.93731777229323</v>
      </c>
      <c r="T31" s="48" t="s">
        <v>41</v>
      </c>
      <c r="U31" s="60" t="s">
        <v>29</v>
      </c>
      <c r="V31" s="60">
        <v>1000</v>
      </c>
      <c r="W31" s="75">
        <v>2110.8201640000002</v>
      </c>
      <c r="X31" s="76">
        <v>4876.0025660000001</v>
      </c>
      <c r="Y31" s="72">
        <f t="shared" si="10"/>
        <v>776.32669846879594</v>
      </c>
      <c r="Z31" s="101">
        <f t="shared" si="11"/>
        <v>4099.6758675312039</v>
      </c>
      <c r="AA31" s="22">
        <f t="shared" si="12"/>
        <v>0.30211445825533351</v>
      </c>
      <c r="AB31" s="17">
        <f t="shared" si="13"/>
        <v>0.11111298060209923</v>
      </c>
      <c r="AC31" s="19">
        <f t="shared" si="14"/>
        <v>0.58677256114256726</v>
      </c>
      <c r="AD31" s="10"/>
      <c r="AE31" s="48" t="s">
        <v>41</v>
      </c>
      <c r="AF31" s="60" t="s">
        <v>29</v>
      </c>
      <c r="AG31" s="60" t="s">
        <v>66</v>
      </c>
      <c r="AH31" s="448">
        <v>75.8</v>
      </c>
      <c r="AI31" s="57">
        <v>114.6302</v>
      </c>
      <c r="AJ31" s="65">
        <f t="shared" si="22"/>
        <v>143.28775000000002</v>
      </c>
      <c r="AK31" s="66">
        <f t="shared" si="23"/>
        <v>110.24218194706997</v>
      </c>
      <c r="AM31" s="48" t="s">
        <v>41</v>
      </c>
      <c r="AN31" s="60" t="s">
        <v>29</v>
      </c>
      <c r="AO31" s="24">
        <v>1</v>
      </c>
      <c r="AP31" s="78">
        <v>8</v>
      </c>
      <c r="AQ31" s="81">
        <f>(AP31*SUM(W31:X31)-1*Y31-AT31*Z31)/W31</f>
        <v>14.458929499000172</v>
      </c>
      <c r="AR31" s="16">
        <f>ROUND(AQ31,0)</f>
        <v>14</v>
      </c>
      <c r="AS31" s="82" t="str">
        <f>IF(AQ31&lt;10,"10",IF(AQ31&lt;20,"20",IF(AQ31&lt;30,"30",IF(AQ31&lt;40,"40",IF(AQ31&lt;50,"50", IF(AQ31&lt;60,"60",80))))))</f>
        <v>20</v>
      </c>
      <c r="AT31" s="82">
        <v>6</v>
      </c>
      <c r="AV31" s="579">
        <f t="shared" si="15"/>
        <v>103.50849236904986</v>
      </c>
      <c r="AW31" s="91" t="str">
        <f t="shared" si="16"/>
        <v>NL</v>
      </c>
      <c r="AX31" s="582">
        <f t="shared" si="17"/>
        <v>6986.8227299999999</v>
      </c>
    </row>
    <row r="32" spans="1:50">
      <c r="A32" s="28" t="s">
        <v>109</v>
      </c>
      <c r="B32" s="48" t="s">
        <v>64</v>
      </c>
      <c r="C32" s="60" t="s">
        <v>148</v>
      </c>
      <c r="D32" s="18">
        <v>13.4</v>
      </c>
      <c r="E32" s="14">
        <v>60.7</v>
      </c>
      <c r="F32" s="14">
        <v>20.2</v>
      </c>
      <c r="G32" s="24">
        <v>5.8</v>
      </c>
      <c r="H32" s="22">
        <f t="shared" si="19"/>
        <v>0.13386613386613386</v>
      </c>
      <c r="I32" s="17">
        <f t="shared" si="20"/>
        <v>0.6063936063936064</v>
      </c>
      <c r="J32" s="19">
        <f t="shared" si="21"/>
        <v>0.25974025974025972</v>
      </c>
      <c r="L32" s="48" t="s">
        <v>64</v>
      </c>
      <c r="M32" s="28" t="s">
        <v>170</v>
      </c>
      <c r="N32" s="30">
        <f t="shared" si="41"/>
        <v>88.394763346738884</v>
      </c>
      <c r="O32" s="31">
        <f t="shared" si="42"/>
        <v>118.60056132008478</v>
      </c>
      <c r="P32" s="30">
        <f t="shared" si="43"/>
        <v>83.034072342896721</v>
      </c>
      <c r="Q32" s="31">
        <f t="shared" si="44"/>
        <v>35.566488977188058</v>
      </c>
      <c r="R32" s="34">
        <f t="shared" si="45"/>
        <v>206.99532466682365</v>
      </c>
      <c r="T32" s="48" t="s">
        <v>64</v>
      </c>
      <c r="U32" s="61"/>
      <c r="V32" s="61">
        <v>1000</v>
      </c>
      <c r="W32" s="232">
        <f>'Dwelling stock'!$K32*'Data by dwelling type'!$W$37/SUM('Data by dwelling type'!$W$37:$X$37)</f>
        <v>1323.2749004002826</v>
      </c>
      <c r="X32" s="233">
        <f>'Dwelling stock'!$K32*'Data by dwelling type'!$X$37/SUM('Data by dwelling type'!$W$37:$X$37)</f>
        <v>951.08709959971748</v>
      </c>
      <c r="Y32" s="72">
        <f t="shared" si="10"/>
        <v>532.69653467776561</v>
      </c>
      <c r="Z32" s="101">
        <f t="shared" si="11"/>
        <v>418.39056492195186</v>
      </c>
      <c r="AA32" s="22">
        <f t="shared" si="12"/>
        <v>0.58182246291499884</v>
      </c>
      <c r="AB32" s="17">
        <f t="shared" si="13"/>
        <v>0.23421800693019212</v>
      </c>
      <c r="AC32" s="19">
        <f t="shared" si="14"/>
        <v>0.18395953015480906</v>
      </c>
      <c r="AD32" s="10"/>
      <c r="AE32" s="48" t="s">
        <v>64</v>
      </c>
      <c r="AF32" s="61"/>
      <c r="AG32" s="61" t="s">
        <v>66</v>
      </c>
      <c r="AH32" s="235">
        <f>AH$37</f>
        <v>66.8</v>
      </c>
      <c r="AI32" s="236">
        <f>AI$37</f>
        <v>124.7</v>
      </c>
      <c r="AJ32" s="65">
        <f t="shared" si="22"/>
        <v>155.875</v>
      </c>
      <c r="AK32" s="66">
        <f t="shared" si="23"/>
        <v>109.38375151760422</v>
      </c>
      <c r="AM32" s="48" t="s">
        <v>64</v>
      </c>
      <c r="AN32" s="61"/>
      <c r="AO32" s="59">
        <v>1</v>
      </c>
      <c r="AP32" s="61"/>
      <c r="AQ32" s="58"/>
      <c r="AS32" s="59">
        <v>20</v>
      </c>
      <c r="AT32" s="82">
        <v>6</v>
      </c>
      <c r="AV32" s="579">
        <f t="shared" si="15"/>
        <v>95.496655888714471</v>
      </c>
      <c r="AW32" s="91" t="str">
        <f t="shared" si="16"/>
        <v>NO</v>
      </c>
      <c r="AX32" s="582">
        <f t="shared" si="17"/>
        <v>2274.3620000000001</v>
      </c>
    </row>
    <row r="33" spans="1:50">
      <c r="A33" s="28" t="s">
        <v>110</v>
      </c>
      <c r="B33" s="48" t="s">
        <v>42</v>
      </c>
      <c r="C33" s="60" t="s">
        <v>148</v>
      </c>
      <c r="D33" s="18">
        <v>46.2</v>
      </c>
      <c r="E33" s="14">
        <v>48.9</v>
      </c>
      <c r="F33" s="14">
        <v>4.7</v>
      </c>
      <c r="G33" s="24">
        <v>0.2</v>
      </c>
      <c r="H33" s="22">
        <f t="shared" si="19"/>
        <v>0.46200000000000002</v>
      </c>
      <c r="I33" s="17">
        <f t="shared" si="20"/>
        <v>0.48899999999999999</v>
      </c>
      <c r="J33" s="19">
        <f t="shared" si="21"/>
        <v>4.9000000000000002E-2</v>
      </c>
      <c r="L33" s="48" t="s">
        <v>42</v>
      </c>
      <c r="M33" s="28" t="s">
        <v>170</v>
      </c>
      <c r="N33" s="30">
        <f t="shared" si="41"/>
        <v>419.52300158999998</v>
      </c>
      <c r="O33" s="31">
        <f t="shared" si="42"/>
        <v>522.59600153199995</v>
      </c>
      <c r="P33" s="30">
        <f t="shared" si="43"/>
        <v>474.99896793521924</v>
      </c>
      <c r="Q33" s="31">
        <f t="shared" si="44"/>
        <v>47.597033596780705</v>
      </c>
      <c r="R33" s="34">
        <f t="shared" si="45"/>
        <v>942.11900312199987</v>
      </c>
      <c r="T33" s="48" t="s">
        <v>42</v>
      </c>
      <c r="U33" s="61" t="s">
        <v>130</v>
      </c>
      <c r="V33" s="61">
        <v>1000</v>
      </c>
      <c r="W33" s="72">
        <v>7994</v>
      </c>
      <c r="X33" s="71">
        <v>5428</v>
      </c>
      <c r="Y33" s="72">
        <f t="shared" si="10"/>
        <v>3946.9026022304824</v>
      </c>
      <c r="Z33" s="101">
        <f t="shared" si="11"/>
        <v>1481.0973977695176</v>
      </c>
      <c r="AA33" s="22">
        <f t="shared" si="12"/>
        <v>0.59558933094918787</v>
      </c>
      <c r="AB33" s="17">
        <f t="shared" si="13"/>
        <v>0.29406218165925213</v>
      </c>
      <c r="AC33" s="19">
        <f t="shared" si="14"/>
        <v>0.11034848739155995</v>
      </c>
      <c r="AD33" s="10"/>
      <c r="AE33" s="48" t="s">
        <v>42</v>
      </c>
      <c r="AF33" s="61" t="s">
        <v>130</v>
      </c>
      <c r="AG33" s="61" t="s">
        <v>66</v>
      </c>
      <c r="AH33" s="107">
        <v>52.479734999999998</v>
      </c>
      <c r="AI33" s="108">
        <v>96.277818999999994</v>
      </c>
      <c r="AJ33" s="65">
        <f t="shared" si="22"/>
        <v>120.34727375</v>
      </c>
      <c r="AK33" s="66">
        <f t="shared" si="23"/>
        <v>81.468176505190314</v>
      </c>
      <c r="AM33" s="48" t="s">
        <v>42</v>
      </c>
      <c r="AN33" s="61" t="s">
        <v>21</v>
      </c>
      <c r="AO33" s="59">
        <v>1</v>
      </c>
      <c r="AP33" s="61">
        <v>17.044775999999999</v>
      </c>
      <c r="AQ33" s="58">
        <f t="shared" ref="AQ33:AQ40" si="46">(AP33*SUM(W33:X33)-1*Y33-AT33*Z33)/W33</f>
        <v>27.012946770471903</v>
      </c>
      <c r="AR33" s="8">
        <f t="shared" ref="AR33:AR40" si="47">ROUND(AQ33,0)</f>
        <v>27</v>
      </c>
      <c r="AS33" s="82" t="str">
        <f>IF(AQ33&lt;10,"10",IF(AQ33&lt;20,"20",IF(AQ33&lt;30,"30",IF(AQ33&lt;40,"40",IF(AQ33&lt;50,"50", IF(AQ33&lt;60,"60",80))))))</f>
        <v>30</v>
      </c>
      <c r="AT33" s="82">
        <v>6</v>
      </c>
      <c r="AV33" s="579">
        <f t="shared" si="15"/>
        <v>75.635842180605295</v>
      </c>
      <c r="AW33" s="91" t="str">
        <f t="shared" si="16"/>
        <v>PL</v>
      </c>
      <c r="AX33" s="582">
        <f t="shared" si="17"/>
        <v>13422</v>
      </c>
    </row>
    <row r="34" spans="1:50">
      <c r="A34" s="28" t="s">
        <v>111</v>
      </c>
      <c r="B34" s="48" t="s">
        <v>43</v>
      </c>
      <c r="C34" s="60" t="s">
        <v>148</v>
      </c>
      <c r="D34" s="18">
        <v>41.3</v>
      </c>
      <c r="E34" s="14">
        <v>40.6</v>
      </c>
      <c r="F34" s="14">
        <v>17.8</v>
      </c>
      <c r="G34" s="24">
        <v>0.3</v>
      </c>
      <c r="H34" s="22">
        <f t="shared" si="19"/>
        <v>0.41299999999999998</v>
      </c>
      <c r="I34" s="17">
        <f t="shared" si="20"/>
        <v>0.40600000000000003</v>
      </c>
      <c r="J34" s="19">
        <f t="shared" si="21"/>
        <v>0.18100000000000002</v>
      </c>
      <c r="L34" s="48" t="s">
        <v>43</v>
      </c>
      <c r="M34" s="28" t="s">
        <v>170</v>
      </c>
      <c r="N34" s="30">
        <f t="shared" si="41"/>
        <v>150.3476124879208</v>
      </c>
      <c r="O34" s="31">
        <f t="shared" si="42"/>
        <v>259.76281678612685</v>
      </c>
      <c r="P34" s="30">
        <f t="shared" si="43"/>
        <v>179.66559389296</v>
      </c>
      <c r="Q34" s="31">
        <f t="shared" si="44"/>
        <v>80.097222893166844</v>
      </c>
      <c r="R34" s="34">
        <f t="shared" si="45"/>
        <v>410.11042927404765</v>
      </c>
      <c r="T34" s="48" t="s">
        <v>43</v>
      </c>
      <c r="U34" s="61" t="s">
        <v>131</v>
      </c>
      <c r="V34" s="61">
        <v>1000</v>
      </c>
      <c r="W34" s="72">
        <v>1555.424761</v>
      </c>
      <c r="X34" s="71">
        <v>2238.2941679999999</v>
      </c>
      <c r="Y34" s="72">
        <f t="shared" si="10"/>
        <v>1238.4973522425894</v>
      </c>
      <c r="Z34" s="101">
        <f t="shared" si="11"/>
        <v>999.79681575741051</v>
      </c>
      <c r="AA34" s="22">
        <f t="shared" si="12"/>
        <v>0.41000000002899534</v>
      </c>
      <c r="AB34" s="17">
        <f t="shared" si="13"/>
        <v>0.326459965912406</v>
      </c>
      <c r="AC34" s="19">
        <f t="shared" si="14"/>
        <v>0.26354003405859872</v>
      </c>
      <c r="AD34" s="10"/>
      <c r="AE34" s="48" t="s">
        <v>43</v>
      </c>
      <c r="AF34" s="61" t="s">
        <v>131</v>
      </c>
      <c r="AG34" s="61" t="s">
        <v>66</v>
      </c>
      <c r="AH34" s="107">
        <v>96.660163999999995</v>
      </c>
      <c r="AI34" s="108">
        <v>116.053922</v>
      </c>
      <c r="AJ34" s="65">
        <f t="shared" si="22"/>
        <v>145.06740250000001</v>
      </c>
      <c r="AK34" s="66">
        <f t="shared" si="23"/>
        <v>101.9509910416043</v>
      </c>
      <c r="AM34" s="48" t="s">
        <v>43</v>
      </c>
      <c r="AN34" s="61"/>
      <c r="AO34" s="59">
        <v>1</v>
      </c>
      <c r="AP34" s="61" t="s">
        <v>17</v>
      </c>
      <c r="AQ34" s="58" t="e">
        <f t="shared" si="46"/>
        <v>#VALUE!</v>
      </c>
      <c r="AR34" s="8" t="e">
        <f t="shared" si="47"/>
        <v>#VALUE!</v>
      </c>
      <c r="AS34" s="242">
        <v>20</v>
      </c>
      <c r="AT34" s="82">
        <v>6</v>
      </c>
      <c r="AV34" s="579">
        <f t="shared" si="15"/>
        <v>113.85753416936628</v>
      </c>
      <c r="AW34" s="91" t="str">
        <f t="shared" si="16"/>
        <v>PT</v>
      </c>
      <c r="AX34" s="582">
        <f t="shared" si="17"/>
        <v>3793.7189289999997</v>
      </c>
    </row>
    <row r="35" spans="1:50">
      <c r="A35" s="28" t="s">
        <v>112</v>
      </c>
      <c r="B35" s="48" t="s">
        <v>44</v>
      </c>
      <c r="C35" s="60" t="s">
        <v>148</v>
      </c>
      <c r="D35" s="18">
        <v>37.799999999999997</v>
      </c>
      <c r="E35" s="14">
        <v>60.5</v>
      </c>
      <c r="F35" s="14">
        <v>1.7</v>
      </c>
      <c r="G35" s="24">
        <v>0.1</v>
      </c>
      <c r="H35" s="22">
        <f t="shared" si="19"/>
        <v>0.3776223776223776</v>
      </c>
      <c r="I35" s="17">
        <f t="shared" si="20"/>
        <v>0.60439560439560447</v>
      </c>
      <c r="J35" s="19">
        <f t="shared" si="21"/>
        <v>1.7982017982017984E-2</v>
      </c>
      <c r="L35" s="48" t="s">
        <v>44</v>
      </c>
      <c r="M35" s="28" t="s">
        <v>170</v>
      </c>
      <c r="N35" s="30">
        <f t="shared" si="41"/>
        <v>152.147496419568</v>
      </c>
      <c r="O35" s="31">
        <f t="shared" si="42"/>
        <v>304.29650226999604</v>
      </c>
      <c r="P35" s="30">
        <f t="shared" si="43"/>
        <v>295.50462901018875</v>
      </c>
      <c r="Q35" s="31">
        <f t="shared" si="44"/>
        <v>8.7918732598072893</v>
      </c>
      <c r="R35" s="34">
        <f t="shared" si="45"/>
        <v>456.44399868956407</v>
      </c>
      <c r="T35" s="48" t="s">
        <v>44</v>
      </c>
      <c r="U35" s="61" t="s">
        <v>131</v>
      </c>
      <c r="V35" s="61">
        <v>1000</v>
      </c>
      <c r="W35" s="72">
        <v>3173.0219999999999</v>
      </c>
      <c r="X35" s="71">
        <v>4188.9780000000001</v>
      </c>
      <c r="Y35" s="72">
        <f t="shared" si="10"/>
        <v>3254.358510433387</v>
      </c>
      <c r="Z35" s="101">
        <f t="shared" si="11"/>
        <v>934.61948956661308</v>
      </c>
      <c r="AA35" s="22">
        <f t="shared" si="12"/>
        <v>0.43099999999999999</v>
      </c>
      <c r="AB35" s="17">
        <f t="shared" si="13"/>
        <v>0.44204815409309794</v>
      </c>
      <c r="AC35" s="19">
        <f t="shared" si="14"/>
        <v>0.12695184590690209</v>
      </c>
      <c r="AD35" s="10"/>
      <c r="AE35" s="48" t="s">
        <v>44</v>
      </c>
      <c r="AF35" s="61" t="s">
        <v>131</v>
      </c>
      <c r="AG35" s="61" t="s">
        <v>66</v>
      </c>
      <c r="AH35" s="107">
        <v>47.950344000000001</v>
      </c>
      <c r="AI35" s="108">
        <v>72.642182000000005</v>
      </c>
      <c r="AJ35" s="65">
        <f t="shared" si="22"/>
        <v>90.802727500000003</v>
      </c>
      <c r="AK35" s="66">
        <f t="shared" si="23"/>
        <v>60.828063690860219</v>
      </c>
      <c r="AM35" s="48" t="s">
        <v>44</v>
      </c>
      <c r="AN35" s="61" t="s">
        <v>14</v>
      </c>
      <c r="AO35" s="59">
        <v>1</v>
      </c>
      <c r="AP35" s="61">
        <v>34.729455999999999</v>
      </c>
      <c r="AQ35" s="58">
        <f t="shared" si="46"/>
        <v>77.785839374629916</v>
      </c>
      <c r="AR35" s="8">
        <f t="shared" si="47"/>
        <v>78</v>
      </c>
      <c r="AS35" s="82">
        <f>IF(AQ35&lt;10,"10",IF(AQ35&lt;20,"20",IF(AQ35&lt;30,"30",IF(AQ35&lt;40,"40",IF(AQ35&lt;50,"50", IF(AQ35&lt;60,"60",80))))))</f>
        <v>80</v>
      </c>
      <c r="AT35" s="82">
        <v>6</v>
      </c>
      <c r="AV35" s="579">
        <f t="shared" si="15"/>
        <v>68.528011310490882</v>
      </c>
      <c r="AW35" s="91" t="str">
        <f t="shared" si="16"/>
        <v>RO</v>
      </c>
      <c r="AX35" s="582">
        <f t="shared" si="17"/>
        <v>7362</v>
      </c>
    </row>
    <row r="36" spans="1:50">
      <c r="A36" s="28" t="s">
        <v>121</v>
      </c>
      <c r="B36" s="48" t="s">
        <v>53</v>
      </c>
      <c r="C36" s="60" t="s">
        <v>148</v>
      </c>
      <c r="D36" s="224">
        <f>D$19</f>
        <v>20.7</v>
      </c>
      <c r="E36" s="225">
        <f t="shared" ref="E36:G36" si="48">E$19</f>
        <v>73</v>
      </c>
      <c r="F36" s="225">
        <f t="shared" si="48"/>
        <v>6.1</v>
      </c>
      <c r="G36" s="226">
        <f t="shared" si="48"/>
        <v>0.2</v>
      </c>
      <c r="H36" s="22">
        <f t="shared" si="19"/>
        <v>0.20699999999999999</v>
      </c>
      <c r="I36" s="17">
        <f t="shared" si="20"/>
        <v>0.73</v>
      </c>
      <c r="J36" s="19">
        <f t="shared" si="21"/>
        <v>6.3E-2</v>
      </c>
      <c r="L36" s="48" t="s">
        <v>53</v>
      </c>
      <c r="M36" s="28" t="s">
        <v>170</v>
      </c>
      <c r="N36" s="30">
        <f t="shared" si="41"/>
        <v>74.180756554314129</v>
      </c>
      <c r="O36" s="31">
        <f t="shared" si="42"/>
        <v>89.57462960667516</v>
      </c>
      <c r="P36" s="30">
        <f t="shared" si="43"/>
        <v>82.458360167557217</v>
      </c>
      <c r="Q36" s="31">
        <f t="shared" si="44"/>
        <v>7.1162694391179429</v>
      </c>
      <c r="R36" s="34">
        <f t="shared" si="45"/>
        <v>163.7553861609893</v>
      </c>
      <c r="T36" s="48" t="s">
        <v>53</v>
      </c>
      <c r="U36" s="61" t="s">
        <v>54</v>
      </c>
      <c r="V36" s="61">
        <v>1000</v>
      </c>
      <c r="W36" s="72">
        <v>1166.13813</v>
      </c>
      <c r="X36" s="71">
        <v>1302.6935860000001</v>
      </c>
      <c r="Y36" s="72">
        <f t="shared" si="10"/>
        <v>959.36072411601538</v>
      </c>
      <c r="Z36" s="101">
        <f t="shared" si="11"/>
        <v>343.33286188398472</v>
      </c>
      <c r="AA36" s="22">
        <f t="shared" si="12"/>
        <v>0.47234411419883104</v>
      </c>
      <c r="AB36" s="17">
        <f t="shared" si="13"/>
        <v>0.3885889499468887</v>
      </c>
      <c r="AC36" s="19">
        <f t="shared" si="14"/>
        <v>0.13906693585428029</v>
      </c>
      <c r="AD36" s="10"/>
      <c r="AE36" s="48" t="s">
        <v>53</v>
      </c>
      <c r="AF36" s="61" t="s">
        <v>54</v>
      </c>
      <c r="AG36" s="61" t="s">
        <v>66</v>
      </c>
      <c r="AH36" s="107">
        <v>63.612324000000001</v>
      </c>
      <c r="AI36" s="108">
        <v>68.761088999999998</v>
      </c>
      <c r="AJ36" s="65">
        <f t="shared" si="22"/>
        <v>85.951361249999991</v>
      </c>
      <c r="AK36" s="66">
        <f t="shared" si="23"/>
        <v>58.069801466453661</v>
      </c>
      <c r="AM36" s="48" t="s">
        <v>53</v>
      </c>
      <c r="AN36" s="61"/>
      <c r="AO36" s="59">
        <v>1</v>
      </c>
      <c r="AP36" s="61" t="s">
        <v>17</v>
      </c>
      <c r="AQ36" s="58" t="e">
        <f t="shared" si="46"/>
        <v>#VALUE!</v>
      </c>
      <c r="AR36" s="8" t="e">
        <f t="shared" si="47"/>
        <v>#VALUE!</v>
      </c>
      <c r="AS36" s="242">
        <v>20</v>
      </c>
      <c r="AT36" s="82">
        <v>6</v>
      </c>
      <c r="AV36" s="579">
        <f t="shared" si="15"/>
        <v>71.522245402158333</v>
      </c>
      <c r="AW36" s="91" t="str">
        <f t="shared" si="16"/>
        <v>RS</v>
      </c>
      <c r="AX36" s="582">
        <f t="shared" si="17"/>
        <v>2468.8317160000001</v>
      </c>
    </row>
    <row r="37" spans="1:50">
      <c r="A37" s="28" t="s">
        <v>113</v>
      </c>
      <c r="B37" s="48" t="s">
        <v>51</v>
      </c>
      <c r="C37" s="60" t="s">
        <v>148</v>
      </c>
      <c r="D37" s="18">
        <v>40.200000000000003</v>
      </c>
      <c r="E37" s="14">
        <v>50.6</v>
      </c>
      <c r="F37" s="14">
        <v>8.9</v>
      </c>
      <c r="G37" s="24">
        <v>0.4</v>
      </c>
      <c r="H37" s="22">
        <f t="shared" si="19"/>
        <v>0.40159840159840154</v>
      </c>
      <c r="I37" s="17">
        <f t="shared" si="20"/>
        <v>0.50549450549450536</v>
      </c>
      <c r="J37" s="19">
        <f t="shared" si="21"/>
        <v>9.2907092907092897E-2</v>
      </c>
      <c r="L37" s="48" t="s">
        <v>51</v>
      </c>
      <c r="M37" s="28" t="s">
        <v>170</v>
      </c>
      <c r="N37" s="30">
        <f t="shared" si="41"/>
        <v>165.06279999999998</v>
      </c>
      <c r="O37" s="31">
        <f t="shared" si="42"/>
        <v>221.46720000000002</v>
      </c>
      <c r="P37" s="30">
        <f t="shared" si="43"/>
        <v>187.08247612687813</v>
      </c>
      <c r="Q37" s="31">
        <f t="shared" si="44"/>
        <v>34.384723873121885</v>
      </c>
      <c r="R37" s="34">
        <f t="shared" si="45"/>
        <v>386.53</v>
      </c>
      <c r="T37" s="48" t="s">
        <v>51</v>
      </c>
      <c r="U37" s="61" t="s">
        <v>131</v>
      </c>
      <c r="V37" s="61">
        <v>1000</v>
      </c>
      <c r="W37" s="72">
        <v>2471</v>
      </c>
      <c r="X37" s="71">
        <v>1776</v>
      </c>
      <c r="Y37" s="72">
        <f t="shared" si="10"/>
        <v>1200.2083472454092</v>
      </c>
      <c r="Z37" s="101">
        <f t="shared" si="11"/>
        <v>575.79165275459081</v>
      </c>
      <c r="AA37" s="22">
        <f t="shared" si="12"/>
        <v>0.58182246291499884</v>
      </c>
      <c r="AB37" s="17">
        <f t="shared" si="13"/>
        <v>0.28260144743240151</v>
      </c>
      <c r="AC37" s="19">
        <f t="shared" si="14"/>
        <v>0.13557608965259968</v>
      </c>
      <c r="AD37" s="10"/>
      <c r="AE37" s="48" t="s">
        <v>51</v>
      </c>
      <c r="AF37" s="61" t="s">
        <v>131</v>
      </c>
      <c r="AG37" s="61" t="s">
        <v>66</v>
      </c>
      <c r="AH37" s="107">
        <v>66.8</v>
      </c>
      <c r="AI37" s="108">
        <v>124.7</v>
      </c>
      <c r="AJ37" s="65">
        <f t="shared" si="22"/>
        <v>155.875</v>
      </c>
      <c r="AK37" s="66">
        <f t="shared" si="23"/>
        <v>106.67709225935448</v>
      </c>
      <c r="AM37" s="48" t="s">
        <v>51</v>
      </c>
      <c r="AN37" s="61"/>
      <c r="AO37" s="59">
        <v>1</v>
      </c>
      <c r="AP37" s="61" t="s">
        <v>17</v>
      </c>
      <c r="AQ37" s="58" t="e">
        <f t="shared" si="46"/>
        <v>#VALUE!</v>
      </c>
      <c r="AR37" s="8" t="e">
        <f t="shared" si="47"/>
        <v>#VALUE!</v>
      </c>
      <c r="AS37" s="242">
        <v>20</v>
      </c>
      <c r="AT37" s="82">
        <v>6</v>
      </c>
      <c r="AV37" s="579">
        <f t="shared" si="15"/>
        <v>97.379104165280381</v>
      </c>
      <c r="AW37" s="91" t="str">
        <f t="shared" si="16"/>
        <v>SE</v>
      </c>
      <c r="AX37" s="582">
        <f t="shared" si="17"/>
        <v>4247</v>
      </c>
    </row>
    <row r="38" spans="1:50">
      <c r="A38" s="28" t="s">
        <v>114</v>
      </c>
      <c r="B38" s="48" t="s">
        <v>47</v>
      </c>
      <c r="C38" s="60" t="s">
        <v>148</v>
      </c>
      <c r="D38" s="18">
        <v>28.9</v>
      </c>
      <c r="E38" s="14">
        <v>66.599999999999994</v>
      </c>
      <c r="F38" s="14">
        <v>4.0999999999999996</v>
      </c>
      <c r="G38" s="24">
        <v>0.3</v>
      </c>
      <c r="H38" s="22">
        <f t="shared" si="19"/>
        <v>0.28928928928928932</v>
      </c>
      <c r="I38" s="17">
        <f t="shared" si="20"/>
        <v>0.66666666666666663</v>
      </c>
      <c r="J38" s="19">
        <f t="shared" si="21"/>
        <v>4.4044044044044044E-2</v>
      </c>
      <c r="L38" s="48" t="s">
        <v>47</v>
      </c>
      <c r="M38" s="28" t="s">
        <v>170</v>
      </c>
      <c r="N38" s="30">
        <f t="shared" si="41"/>
        <v>25.475607630648</v>
      </c>
      <c r="O38" s="31">
        <f t="shared" si="42"/>
        <v>26.582591281664001</v>
      </c>
      <c r="P38" s="30">
        <f t="shared" si="43"/>
        <v>24.935219427589047</v>
      </c>
      <c r="Q38" s="31">
        <f t="shared" si="44"/>
        <v>1.6473718540749545</v>
      </c>
      <c r="R38" s="34">
        <f t="shared" si="45"/>
        <v>52.058198912312001</v>
      </c>
      <c r="T38" s="48" t="s">
        <v>47</v>
      </c>
      <c r="U38" s="61" t="s">
        <v>134</v>
      </c>
      <c r="V38" s="61">
        <v>1000</v>
      </c>
      <c r="W38" s="72">
        <v>494.08800000000002</v>
      </c>
      <c r="X38" s="71">
        <v>278.34399999999999</v>
      </c>
      <c r="Y38" s="72">
        <f t="shared" si="10"/>
        <v>208.87561014084505</v>
      </c>
      <c r="Z38" s="101">
        <f t="shared" si="11"/>
        <v>69.468389859154939</v>
      </c>
      <c r="AA38" s="22">
        <f t="shared" si="12"/>
        <v>0.63965242247861298</v>
      </c>
      <c r="AB38" s="17">
        <f t="shared" si="13"/>
        <v>0.27041294268083799</v>
      </c>
      <c r="AC38" s="19">
        <f t="shared" si="14"/>
        <v>8.9934634840548991E-2</v>
      </c>
      <c r="AD38" s="10"/>
      <c r="AE38" s="48" t="s">
        <v>47</v>
      </c>
      <c r="AF38" s="61" t="s">
        <v>134</v>
      </c>
      <c r="AG38" s="61" t="s">
        <v>66</v>
      </c>
      <c r="AH38" s="107">
        <v>51.560870999999999</v>
      </c>
      <c r="AI38" s="108">
        <v>95.502656000000002</v>
      </c>
      <c r="AJ38" s="65">
        <f t="shared" si="22"/>
        <v>119.37832</v>
      </c>
      <c r="AK38" s="66">
        <f t="shared" si="23"/>
        <v>80.416135863377619</v>
      </c>
      <c r="AM38" s="48" t="s">
        <v>47</v>
      </c>
      <c r="AN38" s="61" t="s">
        <v>48</v>
      </c>
      <c r="AO38" s="59">
        <v>1</v>
      </c>
      <c r="AP38" s="61">
        <v>12.779215000000001</v>
      </c>
      <c r="AQ38" s="58">
        <f t="shared" si="46"/>
        <v>18.712028326096213</v>
      </c>
      <c r="AR38" s="8">
        <f t="shared" si="47"/>
        <v>19</v>
      </c>
      <c r="AS38" s="82" t="str">
        <f t="shared" ref="AS38:AS39" si="49">IF(AQ38&lt;10,"10",IF(AQ38&lt;20,"20",IF(AQ38&lt;30,"30",IF(AQ38&lt;40,"40",IF(AQ38&lt;50,"50", IF(AQ38&lt;60,"60",80))))))</f>
        <v>20</v>
      </c>
      <c r="AT38" s="82">
        <v>6</v>
      </c>
      <c r="AV38" s="579">
        <f t="shared" si="15"/>
        <v>72.494674657912839</v>
      </c>
      <c r="AW38" s="91" t="str">
        <f t="shared" si="16"/>
        <v>SI</v>
      </c>
      <c r="AX38" s="582">
        <f t="shared" si="17"/>
        <v>772.43200000000002</v>
      </c>
    </row>
    <row r="39" spans="1:50">
      <c r="A39" s="28" t="s">
        <v>115</v>
      </c>
      <c r="B39" s="48" t="s">
        <v>45</v>
      </c>
      <c r="C39" s="60" t="s">
        <v>148</v>
      </c>
      <c r="D39" s="18">
        <v>48.1</v>
      </c>
      <c r="E39" s="14">
        <v>49.9</v>
      </c>
      <c r="F39" s="14">
        <v>1.8</v>
      </c>
      <c r="G39" s="24">
        <v>0.1</v>
      </c>
      <c r="H39" s="22">
        <f t="shared" si="19"/>
        <v>0.48148148148148151</v>
      </c>
      <c r="I39" s="17">
        <f t="shared" si="20"/>
        <v>0.49949949949949951</v>
      </c>
      <c r="J39" s="19">
        <f t="shared" si="21"/>
        <v>1.9019019019019021E-2</v>
      </c>
      <c r="L39" s="48" t="s">
        <v>45</v>
      </c>
      <c r="M39" s="28" t="s">
        <v>170</v>
      </c>
      <c r="N39" s="30">
        <f t="shared" si="41"/>
        <v>53.902544079999998</v>
      </c>
      <c r="O39" s="31">
        <f t="shared" si="42"/>
        <v>81.636138360000018</v>
      </c>
      <c r="P39" s="30">
        <f t="shared" si="43"/>
        <v>78.641762628648664</v>
      </c>
      <c r="Q39" s="31">
        <f t="shared" si="44"/>
        <v>2.9943757313513544</v>
      </c>
      <c r="R39" s="34">
        <f t="shared" si="45"/>
        <v>135.53868244</v>
      </c>
      <c r="T39" s="48" t="s">
        <v>45</v>
      </c>
      <c r="U39" s="61" t="s">
        <v>131</v>
      </c>
      <c r="V39" s="61">
        <v>1000</v>
      </c>
      <c r="W39" s="72">
        <v>880</v>
      </c>
      <c r="X39" s="71">
        <v>849</v>
      </c>
      <c r="Y39" s="72">
        <f t="shared" si="10"/>
        <v>654.28725868725871</v>
      </c>
      <c r="Z39" s="101">
        <f t="shared" si="11"/>
        <v>194.71274131274129</v>
      </c>
      <c r="AA39" s="22">
        <f t="shared" si="12"/>
        <v>0.50896471949103528</v>
      </c>
      <c r="AB39" s="17">
        <f t="shared" si="13"/>
        <v>0.37841946714127167</v>
      </c>
      <c r="AC39" s="19">
        <f t="shared" si="14"/>
        <v>0.11261581336769305</v>
      </c>
      <c r="AD39" s="10"/>
      <c r="AE39" s="48" t="s">
        <v>45</v>
      </c>
      <c r="AF39" s="61" t="s">
        <v>131</v>
      </c>
      <c r="AG39" s="61" t="s">
        <v>66</v>
      </c>
      <c r="AH39" s="107">
        <v>61.252890999999998</v>
      </c>
      <c r="AI39" s="108">
        <v>96.155640000000005</v>
      </c>
      <c r="AJ39" s="65">
        <f t="shared" si="22"/>
        <v>120.19455000000001</v>
      </c>
      <c r="AK39" s="66">
        <f t="shared" si="23"/>
        <v>80.622566396892211</v>
      </c>
      <c r="AM39" s="48" t="s">
        <v>45</v>
      </c>
      <c r="AN39" s="61" t="s">
        <v>46</v>
      </c>
      <c r="AO39" s="59">
        <v>1</v>
      </c>
      <c r="AP39" s="61">
        <v>10.995305</v>
      </c>
      <c r="AQ39" s="58">
        <f t="shared" si="46"/>
        <v>19.532180270950338</v>
      </c>
      <c r="AR39" s="8">
        <f t="shared" si="47"/>
        <v>20</v>
      </c>
      <c r="AS39" s="82" t="str">
        <f t="shared" si="49"/>
        <v>20</v>
      </c>
      <c r="AT39" s="82">
        <v>6</v>
      </c>
      <c r="AV39" s="579">
        <f t="shared" si="15"/>
        <v>85.738893940691753</v>
      </c>
      <c r="AW39" s="91" t="str">
        <f t="shared" si="16"/>
        <v>SK</v>
      </c>
      <c r="AX39" s="582">
        <f t="shared" si="17"/>
        <v>1729</v>
      </c>
    </row>
    <row r="40" spans="1:50">
      <c r="A40" s="29" t="s">
        <v>52</v>
      </c>
      <c r="B40" s="49" t="s">
        <v>82</v>
      </c>
      <c r="C40" s="62" t="s">
        <v>148</v>
      </c>
      <c r="D40" s="63">
        <v>14.5</v>
      </c>
      <c r="E40" s="79">
        <v>23.9</v>
      </c>
      <c r="F40" s="79">
        <v>60.9</v>
      </c>
      <c r="G40" s="98">
        <v>0.7</v>
      </c>
      <c r="H40" s="23">
        <f t="shared" si="19"/>
        <v>0.14499999999999999</v>
      </c>
      <c r="I40" s="20">
        <f t="shared" si="20"/>
        <v>0.23899999999999999</v>
      </c>
      <c r="J40" s="21">
        <f t="shared" si="21"/>
        <v>0.61599999999999999</v>
      </c>
      <c r="L40" s="49" t="s">
        <v>82</v>
      </c>
      <c r="M40" s="29" t="s">
        <v>170</v>
      </c>
      <c r="N40" s="32">
        <f t="shared" si="41"/>
        <v>231.3998</v>
      </c>
      <c r="O40" s="33">
        <f t="shared" si="42"/>
        <v>1693.59079</v>
      </c>
      <c r="P40" s="32">
        <f t="shared" si="43"/>
        <v>473.41309802339185</v>
      </c>
      <c r="Q40" s="33">
        <f t="shared" si="44"/>
        <v>1220.177691976608</v>
      </c>
      <c r="R40" s="35">
        <f t="shared" si="45"/>
        <v>1924.9905899999999</v>
      </c>
      <c r="T40" s="49" t="s">
        <v>82</v>
      </c>
      <c r="U40" s="111" t="s">
        <v>135</v>
      </c>
      <c r="V40" s="111">
        <v>1000</v>
      </c>
      <c r="W40" s="73">
        <v>4780</v>
      </c>
      <c r="X40" s="74">
        <v>20737</v>
      </c>
      <c r="Y40" s="73">
        <f t="shared" si="10"/>
        <v>4637.326783625731</v>
      </c>
      <c r="Z40" s="102">
        <f t="shared" si="11"/>
        <v>16099.673216374269</v>
      </c>
      <c r="AA40" s="23">
        <f t="shared" si="12"/>
        <v>0.18732609632793823</v>
      </c>
      <c r="AB40" s="20">
        <f t="shared" si="13"/>
        <v>0.18173479576853591</v>
      </c>
      <c r="AC40" s="21">
        <f t="shared" si="14"/>
        <v>0.63093910790352581</v>
      </c>
      <c r="AD40" s="10"/>
      <c r="AE40" s="49" t="s">
        <v>82</v>
      </c>
      <c r="AF40" s="111" t="s">
        <v>135</v>
      </c>
      <c r="AG40" s="111" t="s">
        <v>66</v>
      </c>
      <c r="AH40" s="238">
        <v>48.41</v>
      </c>
      <c r="AI40" s="239">
        <v>81.67</v>
      </c>
      <c r="AJ40" s="67">
        <f t="shared" si="22"/>
        <v>102.08750000000001</v>
      </c>
      <c r="AK40" s="68">
        <f t="shared" si="23"/>
        <v>77.345868409393006</v>
      </c>
      <c r="AM40" s="49" t="s">
        <v>82</v>
      </c>
      <c r="AN40" s="111" t="s">
        <v>29</v>
      </c>
      <c r="AO40" s="113">
        <v>1</v>
      </c>
      <c r="AP40" s="111">
        <v>20</v>
      </c>
      <c r="AQ40" s="112">
        <f t="shared" si="46"/>
        <v>85.586743497516451</v>
      </c>
      <c r="AR40" s="114">
        <f t="shared" si="47"/>
        <v>86</v>
      </c>
      <c r="AS40" s="83">
        <f>IF(AQ40&lt;10,"10",IF(AQ40&lt;20,"20",IF(AQ40&lt;30,"30",IF(AQ40&lt;40,"40",IF(AQ40&lt;50,"50", IF(AQ40&lt;60,"60",80))))))</f>
        <v>80</v>
      </c>
      <c r="AT40" s="83">
        <v>6</v>
      </c>
      <c r="AV40" s="580">
        <f t="shared" si="15"/>
        <v>76.42184050050183</v>
      </c>
      <c r="AW40" s="91" t="str">
        <f t="shared" si="16"/>
        <v>UK</v>
      </c>
      <c r="AX40" s="583">
        <f t="shared" si="17"/>
        <v>25517</v>
      </c>
    </row>
    <row r="41" spans="1:50">
      <c r="L41" s="2"/>
      <c r="R41" s="10"/>
      <c r="Y41" s="10"/>
      <c r="Z41" s="10"/>
      <c r="AI41" s="14"/>
    </row>
    <row r="42" spans="1:50">
      <c r="A42" t="s">
        <v>234</v>
      </c>
      <c r="L42" s="2"/>
      <c r="S42" s="70"/>
      <c r="T42" s="70"/>
      <c r="U42" s="70"/>
      <c r="V42" s="69"/>
      <c r="W42" s="69"/>
      <c r="X42" s="69"/>
      <c r="Y42" s="10"/>
      <c r="Z42" s="10"/>
      <c r="AI42" s="14"/>
    </row>
    <row r="43" spans="1:50">
      <c r="A43" s="207" t="s">
        <v>235</v>
      </c>
      <c r="L43" s="2"/>
      <c r="R43" s="10"/>
      <c r="S43" s="70"/>
      <c r="T43" s="70"/>
      <c r="U43" s="70"/>
      <c r="V43" s="69"/>
      <c r="W43" s="69"/>
      <c r="X43" s="69"/>
      <c r="Y43" s="10"/>
      <c r="Z43" s="10"/>
      <c r="AI43" s="14"/>
    </row>
    <row r="44" spans="1:50">
      <c r="L44" s="2"/>
      <c r="S44" s="70"/>
      <c r="T44" s="70"/>
      <c r="U44" s="70"/>
      <c r="V44" s="69"/>
      <c r="W44" s="69"/>
      <c r="X44" s="69"/>
      <c r="Y44" s="10"/>
      <c r="Z44" s="10"/>
      <c r="AI44" s="14"/>
    </row>
  </sheetData>
  <sortState xmlns:xlrd2="http://schemas.microsoft.com/office/spreadsheetml/2017/richdata2" ref="A6:AQ42">
    <sortCondition ref="A6:A42"/>
  </sortState>
  <mergeCells count="3">
    <mergeCell ref="Y1:Z1"/>
    <mergeCell ref="AQ3:AS3"/>
    <mergeCell ref="AJ1:AK1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1"/>
  <dimension ref="A1:AZ79"/>
  <sheetViews>
    <sheetView zoomScale="70" zoomScaleNormal="70" workbookViewId="0"/>
  </sheetViews>
  <sheetFormatPr defaultColWidth="9.109375" defaultRowHeight="14.4"/>
  <cols>
    <col min="1" max="1" width="16.44140625" style="5" customWidth="1"/>
    <col min="2" max="2" width="13.6640625" style="5" customWidth="1"/>
    <col min="3" max="3" width="20.6640625" style="5" customWidth="1"/>
    <col min="4" max="16384" width="9.109375" style="5"/>
  </cols>
  <sheetData>
    <row r="1" spans="1:52" ht="21">
      <c r="A1" s="3" t="s">
        <v>244</v>
      </c>
      <c r="P1" s="5" t="s">
        <v>234</v>
      </c>
    </row>
    <row r="2" spans="1:52">
      <c r="A2" s="5" t="s">
        <v>206</v>
      </c>
      <c r="B2" s="5" t="s">
        <v>233</v>
      </c>
      <c r="P2" s="135" t="s">
        <v>296</v>
      </c>
    </row>
    <row r="3" spans="1:52">
      <c r="P3" s="254" t="s">
        <v>258</v>
      </c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254"/>
      <c r="AN3" s="254"/>
      <c r="AO3" s="254"/>
      <c r="AP3" s="254"/>
      <c r="AQ3" s="254"/>
      <c r="AR3" s="254"/>
      <c r="AS3" s="254"/>
      <c r="AT3" s="254"/>
      <c r="AU3" s="254"/>
      <c r="AV3" s="254"/>
      <c r="AW3" s="254"/>
      <c r="AX3" s="254"/>
      <c r="AY3" s="254"/>
      <c r="AZ3" s="254"/>
    </row>
    <row r="4" spans="1:52">
      <c r="A4" s="5" t="s">
        <v>207</v>
      </c>
    </row>
    <row r="5" spans="1:52">
      <c r="A5" s="5" t="s">
        <v>208</v>
      </c>
      <c r="P5" s="162" t="s">
        <v>267</v>
      </c>
      <c r="Q5" s="5" t="s">
        <v>297</v>
      </c>
    </row>
    <row r="6" spans="1:52">
      <c r="A6" s="5" t="s">
        <v>209</v>
      </c>
      <c r="P6" s="162" t="s">
        <v>267</v>
      </c>
      <c r="Q6" s="5" t="s">
        <v>290</v>
      </c>
    </row>
    <row r="7" spans="1:52">
      <c r="A7" s="5" t="s">
        <v>210</v>
      </c>
    </row>
    <row r="8" spans="1:52">
      <c r="A8" s="5" t="s">
        <v>211</v>
      </c>
    </row>
    <row r="10" spans="1:52">
      <c r="A10" s="137" t="s">
        <v>74</v>
      </c>
    </row>
    <row r="11" spans="1:52">
      <c r="A11" s="159" t="s">
        <v>254</v>
      </c>
      <c r="B11" s="159" t="s">
        <v>249</v>
      </c>
      <c r="C11" s="285" t="s">
        <v>1</v>
      </c>
      <c r="D11" s="165" t="s">
        <v>88</v>
      </c>
      <c r="E11" s="165" t="s">
        <v>89</v>
      </c>
      <c r="F11" s="165" t="s">
        <v>90</v>
      </c>
      <c r="G11" s="165" t="s">
        <v>91</v>
      </c>
      <c r="H11" s="165" t="s">
        <v>92</v>
      </c>
      <c r="I11" s="165" t="s">
        <v>93</v>
      </c>
      <c r="J11" s="165" t="s">
        <v>94</v>
      </c>
      <c r="K11" s="165" t="s">
        <v>95</v>
      </c>
      <c r="L11" s="165" t="s">
        <v>96</v>
      </c>
      <c r="M11" s="165" t="s">
        <v>97</v>
      </c>
      <c r="N11" s="165" t="s">
        <v>98</v>
      </c>
      <c r="O11" s="165" t="s">
        <v>99</v>
      </c>
      <c r="P11" s="165" t="s">
        <v>205</v>
      </c>
      <c r="Q11" s="165" t="s">
        <v>118</v>
      </c>
      <c r="R11" s="165" t="s">
        <v>100</v>
      </c>
      <c r="S11" s="165" t="s">
        <v>101</v>
      </c>
      <c r="T11" s="165" t="s">
        <v>102</v>
      </c>
      <c r="U11" s="165" t="s">
        <v>103</v>
      </c>
      <c r="V11" s="165" t="s">
        <v>104</v>
      </c>
      <c r="W11" s="165" t="s">
        <v>105</v>
      </c>
      <c r="X11" s="165" t="s">
        <v>106</v>
      </c>
      <c r="Y11" s="165" t="s">
        <v>107</v>
      </c>
      <c r="Z11" s="165" t="s">
        <v>108</v>
      </c>
      <c r="AA11" s="165" t="s">
        <v>109</v>
      </c>
      <c r="AB11" s="165" t="s">
        <v>110</v>
      </c>
      <c r="AC11" s="165" t="s">
        <v>111</v>
      </c>
      <c r="AD11" s="165" t="s">
        <v>112</v>
      </c>
      <c r="AE11" s="165" t="s">
        <v>113</v>
      </c>
      <c r="AF11" s="165" t="s">
        <v>114</v>
      </c>
      <c r="AG11" s="165" t="s">
        <v>115</v>
      </c>
      <c r="AH11" s="165" t="s">
        <v>52</v>
      </c>
      <c r="AI11" s="304" t="s">
        <v>116</v>
      </c>
      <c r="AJ11" s="165" t="s">
        <v>117</v>
      </c>
      <c r="AK11" s="165" t="s">
        <v>119</v>
      </c>
      <c r="AL11" s="165" t="s">
        <v>120</v>
      </c>
      <c r="AM11" s="165" t="s">
        <v>121</v>
      </c>
      <c r="AN11" s="166" t="s">
        <v>122</v>
      </c>
    </row>
    <row r="12" spans="1:52">
      <c r="A12" s="309" t="s">
        <v>253</v>
      </c>
      <c r="B12" s="287" t="s">
        <v>214</v>
      </c>
      <c r="C12" s="120" t="s">
        <v>255</v>
      </c>
      <c r="D12" s="919" t="s">
        <v>213</v>
      </c>
      <c r="E12" s="919"/>
      <c r="F12" s="919"/>
      <c r="G12" s="919"/>
      <c r="H12" s="919"/>
      <c r="I12" s="919"/>
      <c r="J12" s="919"/>
      <c r="K12" s="919"/>
      <c r="L12" s="919"/>
      <c r="M12" s="919"/>
      <c r="N12" s="919"/>
      <c r="O12" s="919"/>
      <c r="P12" s="919"/>
      <c r="Q12" s="919"/>
      <c r="R12" s="919"/>
      <c r="S12" s="919"/>
      <c r="T12" s="919"/>
      <c r="U12" s="919"/>
      <c r="V12" s="919"/>
      <c r="W12" s="919"/>
      <c r="X12" s="919"/>
      <c r="Y12" s="919"/>
      <c r="Z12" s="919"/>
      <c r="AA12" s="919"/>
      <c r="AB12" s="919"/>
      <c r="AC12" s="919"/>
      <c r="AD12" s="919"/>
      <c r="AE12" s="919"/>
      <c r="AF12" s="919"/>
      <c r="AG12" s="919"/>
      <c r="AH12" s="919"/>
      <c r="AI12" s="919"/>
      <c r="AJ12" s="919"/>
      <c r="AK12" s="919"/>
      <c r="AL12" s="919"/>
      <c r="AM12" s="919"/>
      <c r="AN12" s="919"/>
    </row>
    <row r="13" spans="1:52">
      <c r="A13" s="310"/>
      <c r="B13" s="280" t="s">
        <v>215</v>
      </c>
      <c r="C13" s="311" t="s">
        <v>255</v>
      </c>
      <c r="D13" s="920" t="s">
        <v>273</v>
      </c>
      <c r="E13" s="920"/>
      <c r="F13" s="920"/>
      <c r="G13" s="920"/>
      <c r="H13" s="920"/>
      <c r="I13" s="920"/>
      <c r="J13" s="920"/>
      <c r="K13" s="920"/>
      <c r="L13" s="920"/>
      <c r="M13" s="920"/>
      <c r="N13" s="920"/>
      <c r="O13" s="920"/>
      <c r="P13" s="920"/>
      <c r="Q13" s="920"/>
      <c r="R13" s="920"/>
      <c r="S13" s="920"/>
      <c r="T13" s="920"/>
      <c r="U13" s="920"/>
      <c r="V13" s="920"/>
      <c r="W13" s="920"/>
      <c r="X13" s="920"/>
      <c r="Y13" s="920"/>
      <c r="Z13" s="920"/>
      <c r="AA13" s="920"/>
      <c r="AB13" s="920"/>
      <c r="AC13" s="920"/>
      <c r="AD13" s="920"/>
      <c r="AE13" s="920"/>
      <c r="AF13" s="920"/>
      <c r="AG13" s="920"/>
      <c r="AH13" s="920"/>
      <c r="AI13" s="920"/>
      <c r="AJ13" s="920"/>
      <c r="AK13" s="920"/>
      <c r="AL13" s="920"/>
      <c r="AM13" s="920"/>
      <c r="AN13" s="920"/>
    </row>
    <row r="14" spans="1:52">
      <c r="A14" s="310"/>
      <c r="B14" s="280" t="s">
        <v>216</v>
      </c>
      <c r="C14" s="312" t="s">
        <v>255</v>
      </c>
      <c r="D14" s="920" t="s">
        <v>274</v>
      </c>
      <c r="E14" s="920"/>
      <c r="F14" s="920"/>
      <c r="G14" s="920"/>
      <c r="H14" s="920"/>
      <c r="I14" s="920"/>
      <c r="J14" s="920"/>
      <c r="K14" s="920"/>
      <c r="L14" s="920"/>
      <c r="M14" s="920"/>
      <c r="N14" s="920"/>
      <c r="O14" s="920"/>
      <c r="P14" s="920"/>
      <c r="Q14" s="920"/>
      <c r="R14" s="920"/>
      <c r="S14" s="920"/>
      <c r="T14" s="920"/>
      <c r="U14" s="920"/>
      <c r="V14" s="920"/>
      <c r="W14" s="920"/>
      <c r="X14" s="920"/>
      <c r="Y14" s="920"/>
      <c r="Z14" s="920"/>
      <c r="AA14" s="920"/>
      <c r="AB14" s="920"/>
      <c r="AC14" s="920"/>
      <c r="AD14" s="920"/>
      <c r="AE14" s="920"/>
      <c r="AF14" s="920"/>
      <c r="AG14" s="920"/>
      <c r="AH14" s="920"/>
      <c r="AI14" s="920"/>
      <c r="AJ14" s="920"/>
      <c r="AK14" s="920"/>
      <c r="AL14" s="920"/>
      <c r="AM14" s="920"/>
      <c r="AN14" s="920"/>
    </row>
    <row r="15" spans="1:52" s="254" customFormat="1">
      <c r="A15" s="286" t="s">
        <v>250</v>
      </c>
      <c r="B15" s="287" t="s">
        <v>214</v>
      </c>
      <c r="C15" s="287" t="s">
        <v>212</v>
      </c>
      <c r="D15" s="313">
        <v>180</v>
      </c>
      <c r="E15" s="288"/>
      <c r="F15" s="288">
        <v>60</v>
      </c>
      <c r="G15" s="288"/>
      <c r="H15" s="288"/>
      <c r="I15" s="288">
        <v>115</v>
      </c>
      <c r="J15" s="288"/>
      <c r="K15" s="288"/>
      <c r="L15" s="288"/>
      <c r="M15" s="288">
        <v>155</v>
      </c>
      <c r="N15" s="288">
        <v>60</v>
      </c>
      <c r="O15" s="288">
        <v>130</v>
      </c>
      <c r="P15" s="288"/>
      <c r="Q15" s="288"/>
      <c r="R15" s="288"/>
      <c r="S15" s="288"/>
      <c r="T15" s="288"/>
      <c r="U15" s="288">
        <v>120</v>
      </c>
      <c r="V15" s="288"/>
      <c r="W15" s="288"/>
      <c r="X15" s="288"/>
      <c r="Y15" s="288"/>
      <c r="Z15" s="288"/>
      <c r="AA15" s="288"/>
      <c r="AB15" s="288"/>
      <c r="AC15" s="288"/>
      <c r="AD15" s="288"/>
      <c r="AE15" s="288"/>
      <c r="AF15" s="288"/>
      <c r="AG15" s="288"/>
      <c r="AH15" s="288"/>
      <c r="AI15" s="288"/>
      <c r="AJ15" s="288"/>
      <c r="AK15" s="288"/>
      <c r="AL15" s="288"/>
      <c r="AM15" s="288"/>
      <c r="AN15" s="289"/>
      <c r="AQ15" s="250"/>
    </row>
    <row r="16" spans="1:52" s="250" customFormat="1">
      <c r="A16" s="255"/>
      <c r="B16" s="280" t="s">
        <v>215</v>
      </c>
      <c r="C16" s="280" t="s">
        <v>212</v>
      </c>
      <c r="D16" s="416">
        <v>40</v>
      </c>
      <c r="E16" s="411">
        <f>$O16</f>
        <v>50</v>
      </c>
      <c r="F16" s="256">
        <v>30</v>
      </c>
      <c r="G16" s="411">
        <f>$D16</f>
        <v>40</v>
      </c>
      <c r="H16" s="411">
        <f>$U16</f>
        <v>55</v>
      </c>
      <c r="I16" s="256">
        <v>20</v>
      </c>
      <c r="J16" s="256">
        <v>15</v>
      </c>
      <c r="K16" s="411">
        <f>$D16</f>
        <v>40</v>
      </c>
      <c r="L16" s="411">
        <f>F16</f>
        <v>30</v>
      </c>
      <c r="M16" s="256">
        <v>35</v>
      </c>
      <c r="N16" s="411">
        <f>$O16</f>
        <v>50</v>
      </c>
      <c r="O16" s="256">
        <v>50</v>
      </c>
      <c r="P16" s="411">
        <f>$U16</f>
        <v>55</v>
      </c>
      <c r="Q16" s="411">
        <f t="shared" ref="Q16:Q17" si="0">$F16</f>
        <v>30</v>
      </c>
      <c r="R16" s="411">
        <f>F16</f>
        <v>30</v>
      </c>
      <c r="S16" s="411">
        <f>$O16</f>
        <v>50</v>
      </c>
      <c r="T16" s="411">
        <f>$D16</f>
        <v>40</v>
      </c>
      <c r="U16" s="468">
        <v>55</v>
      </c>
      <c r="V16" s="411">
        <f>$F16</f>
        <v>30</v>
      </c>
      <c r="W16" s="411">
        <f>$D16</f>
        <v>40</v>
      </c>
      <c r="X16" s="411">
        <f>$F16</f>
        <v>30</v>
      </c>
      <c r="Y16" s="411">
        <f>$U16</f>
        <v>55</v>
      </c>
      <c r="Z16" s="411">
        <f>$O16</f>
        <v>50</v>
      </c>
      <c r="AA16" s="411">
        <f>$O16</f>
        <v>50</v>
      </c>
      <c r="AB16" s="411">
        <f>AD16</f>
        <v>40</v>
      </c>
      <c r="AC16" s="411">
        <f>M16</f>
        <v>35</v>
      </c>
      <c r="AD16" s="256">
        <v>40</v>
      </c>
      <c r="AE16" s="411">
        <f>$O16</f>
        <v>50</v>
      </c>
      <c r="AF16" s="411">
        <f>$F16</f>
        <v>30</v>
      </c>
      <c r="AG16" s="411">
        <f>I16</f>
        <v>20</v>
      </c>
      <c r="AH16" s="411">
        <f>$O16</f>
        <v>50</v>
      </c>
      <c r="AI16" s="411">
        <f>$F16</f>
        <v>30</v>
      </c>
      <c r="AJ16" s="411">
        <f>$F16</f>
        <v>30</v>
      </c>
      <c r="AK16" s="411">
        <f t="shared" ref="AJ16:AN17" si="1">$F16</f>
        <v>30</v>
      </c>
      <c r="AL16" s="411">
        <f t="shared" si="1"/>
        <v>30</v>
      </c>
      <c r="AM16" s="411">
        <f t="shared" si="1"/>
        <v>30</v>
      </c>
      <c r="AN16" s="413">
        <f t="shared" si="1"/>
        <v>30</v>
      </c>
    </row>
    <row r="17" spans="1:43" s="250" customFormat="1">
      <c r="A17" s="290"/>
      <c r="B17" s="291" t="s">
        <v>216</v>
      </c>
      <c r="C17" s="291" t="s">
        <v>212</v>
      </c>
      <c r="D17" s="419">
        <f>D16*$U$17/$U$16</f>
        <v>25.454545454545453</v>
      </c>
      <c r="E17" s="415">
        <f>$O17</f>
        <v>31.818181818181817</v>
      </c>
      <c r="F17" s="292">
        <v>25</v>
      </c>
      <c r="G17" s="415">
        <f>$D17</f>
        <v>25.454545454545453</v>
      </c>
      <c r="H17" s="414">
        <f>$U17</f>
        <v>35</v>
      </c>
      <c r="I17" s="415">
        <f>I16*$F$17/$F$16</f>
        <v>16.666666666666668</v>
      </c>
      <c r="J17" s="415">
        <f>J16*$U$17/$U$16</f>
        <v>9.545454545454545</v>
      </c>
      <c r="K17" s="415">
        <f>$D17</f>
        <v>25.454545454545453</v>
      </c>
      <c r="L17" s="414">
        <f>F17</f>
        <v>25</v>
      </c>
      <c r="M17" s="415">
        <f>M16*$U$17/$U$16</f>
        <v>22.272727272727273</v>
      </c>
      <c r="N17" s="415">
        <f>$O17</f>
        <v>31.818181818181817</v>
      </c>
      <c r="O17" s="415">
        <f>O16*$U$17/$U$16</f>
        <v>31.818181818181817</v>
      </c>
      <c r="P17" s="414">
        <f>$U17</f>
        <v>35</v>
      </c>
      <c r="Q17" s="415">
        <f t="shared" si="0"/>
        <v>25</v>
      </c>
      <c r="R17" s="414">
        <f>F17</f>
        <v>25</v>
      </c>
      <c r="S17" s="415">
        <f>$O17</f>
        <v>31.818181818181817</v>
      </c>
      <c r="T17" s="415">
        <f>$D17</f>
        <v>25.454545454545453</v>
      </c>
      <c r="U17" s="469">
        <v>35</v>
      </c>
      <c r="V17" s="415">
        <f>$F17</f>
        <v>25</v>
      </c>
      <c r="W17" s="415">
        <f>$D17</f>
        <v>25.454545454545453</v>
      </c>
      <c r="X17" s="415">
        <f>$F17</f>
        <v>25</v>
      </c>
      <c r="Y17" s="414">
        <f>$U17</f>
        <v>35</v>
      </c>
      <c r="Z17" s="415">
        <f>$O17</f>
        <v>31.818181818181817</v>
      </c>
      <c r="AA17" s="415">
        <f>$O17</f>
        <v>31.818181818181817</v>
      </c>
      <c r="AB17" s="415">
        <f>AD17</f>
        <v>33.333333333333336</v>
      </c>
      <c r="AC17" s="414">
        <f>M17</f>
        <v>22.272727272727273</v>
      </c>
      <c r="AD17" s="415">
        <f>AD16*$F$17/$F$16</f>
        <v>33.333333333333336</v>
      </c>
      <c r="AE17" s="415">
        <f>$O17</f>
        <v>31.818181818181817</v>
      </c>
      <c r="AF17" s="415">
        <f>$F17</f>
        <v>25</v>
      </c>
      <c r="AG17" s="415">
        <f>I17</f>
        <v>16.666666666666668</v>
      </c>
      <c r="AH17" s="415">
        <f>$O17</f>
        <v>31.818181818181817</v>
      </c>
      <c r="AI17" s="415">
        <f>$F17</f>
        <v>25</v>
      </c>
      <c r="AJ17" s="415">
        <f t="shared" si="1"/>
        <v>25</v>
      </c>
      <c r="AK17" s="415">
        <f t="shared" si="1"/>
        <v>25</v>
      </c>
      <c r="AL17" s="415">
        <f t="shared" si="1"/>
        <v>25</v>
      </c>
      <c r="AM17" s="415">
        <f t="shared" si="1"/>
        <v>25</v>
      </c>
      <c r="AN17" s="418">
        <f t="shared" si="1"/>
        <v>25</v>
      </c>
    </row>
    <row r="18" spans="1:43">
      <c r="A18" s="294" t="s">
        <v>245</v>
      </c>
      <c r="B18" s="281" t="s">
        <v>214</v>
      </c>
      <c r="C18" s="281" t="s">
        <v>246</v>
      </c>
      <c r="D18" s="915">
        <v>0.04</v>
      </c>
      <c r="E18" s="915"/>
      <c r="F18" s="915"/>
      <c r="G18" s="915"/>
      <c r="H18" s="915"/>
      <c r="I18" s="915"/>
      <c r="J18" s="915"/>
      <c r="K18" s="915"/>
      <c r="L18" s="915"/>
      <c r="M18" s="915"/>
      <c r="N18" s="915"/>
      <c r="O18" s="915"/>
      <c r="P18" s="915"/>
      <c r="Q18" s="915"/>
      <c r="R18" s="915"/>
      <c r="S18" s="915"/>
      <c r="T18" s="915"/>
      <c r="U18" s="915"/>
      <c r="V18" s="915"/>
      <c r="W18" s="915"/>
      <c r="X18" s="915"/>
      <c r="Y18" s="915"/>
      <c r="Z18" s="915"/>
      <c r="AA18" s="915"/>
      <c r="AB18" s="915"/>
      <c r="AC18" s="915"/>
      <c r="AD18" s="915"/>
      <c r="AE18" s="915"/>
      <c r="AF18" s="915"/>
      <c r="AG18" s="915"/>
      <c r="AH18" s="915"/>
      <c r="AI18" s="915"/>
      <c r="AJ18" s="915"/>
      <c r="AK18" s="915"/>
      <c r="AL18" s="915"/>
      <c r="AM18" s="915"/>
      <c r="AN18" s="916"/>
      <c r="AQ18" s="250"/>
    </row>
    <row r="19" spans="1:43">
      <c r="A19" s="295"/>
      <c r="B19" s="282" t="s">
        <v>215</v>
      </c>
      <c r="C19" s="282" t="s">
        <v>246</v>
      </c>
      <c r="D19" s="915"/>
      <c r="E19" s="915"/>
      <c r="F19" s="915"/>
      <c r="G19" s="915"/>
      <c r="H19" s="915"/>
      <c r="I19" s="915"/>
      <c r="J19" s="915"/>
      <c r="K19" s="915"/>
      <c r="L19" s="915"/>
      <c r="M19" s="915"/>
      <c r="N19" s="915"/>
      <c r="O19" s="915"/>
      <c r="P19" s="915"/>
      <c r="Q19" s="915"/>
      <c r="R19" s="915"/>
      <c r="S19" s="915"/>
      <c r="T19" s="915"/>
      <c r="U19" s="915"/>
      <c r="V19" s="915"/>
      <c r="W19" s="915"/>
      <c r="X19" s="915"/>
      <c r="Y19" s="915"/>
      <c r="Z19" s="915"/>
      <c r="AA19" s="915"/>
      <c r="AB19" s="915"/>
      <c r="AC19" s="915"/>
      <c r="AD19" s="915"/>
      <c r="AE19" s="915"/>
      <c r="AF19" s="915"/>
      <c r="AG19" s="915"/>
      <c r="AH19" s="915"/>
      <c r="AI19" s="915"/>
      <c r="AJ19" s="915"/>
      <c r="AK19" s="915"/>
      <c r="AL19" s="915"/>
      <c r="AM19" s="915"/>
      <c r="AN19" s="916"/>
      <c r="AQ19" s="254"/>
    </row>
    <row r="20" spans="1:43">
      <c r="A20" s="296"/>
      <c r="B20" s="297" t="s">
        <v>216</v>
      </c>
      <c r="C20" s="297" t="s">
        <v>246</v>
      </c>
      <c r="D20" s="917"/>
      <c r="E20" s="917"/>
      <c r="F20" s="917"/>
      <c r="G20" s="917"/>
      <c r="H20" s="917"/>
      <c r="I20" s="917"/>
      <c r="J20" s="917"/>
      <c r="K20" s="917"/>
      <c r="L20" s="917"/>
      <c r="M20" s="917"/>
      <c r="N20" s="917"/>
      <c r="O20" s="917"/>
      <c r="P20" s="917"/>
      <c r="Q20" s="917"/>
      <c r="R20" s="917"/>
      <c r="S20" s="917"/>
      <c r="T20" s="917"/>
      <c r="U20" s="917"/>
      <c r="V20" s="917"/>
      <c r="W20" s="917"/>
      <c r="X20" s="917"/>
      <c r="Y20" s="917"/>
      <c r="Z20" s="917"/>
      <c r="AA20" s="917"/>
      <c r="AB20" s="917"/>
      <c r="AC20" s="917"/>
      <c r="AD20" s="917"/>
      <c r="AE20" s="917"/>
      <c r="AF20" s="917"/>
      <c r="AG20" s="917"/>
      <c r="AH20" s="917"/>
      <c r="AI20" s="917"/>
      <c r="AJ20" s="917"/>
      <c r="AK20" s="917"/>
      <c r="AL20" s="917"/>
      <c r="AM20" s="917"/>
      <c r="AN20" s="918"/>
      <c r="AQ20" s="254"/>
    </row>
    <row r="21" spans="1:43">
      <c r="A21" s="204" t="s">
        <v>247</v>
      </c>
      <c r="B21" s="299" t="s">
        <v>214</v>
      </c>
      <c r="C21" s="299" t="s">
        <v>251</v>
      </c>
      <c r="D21" s="252">
        <f>0.15/$D$18</f>
        <v>3.75</v>
      </c>
      <c r="E21" s="252">
        <f t="shared" ref="E21:AN22" si="2">0.15/$D$18</f>
        <v>3.75</v>
      </c>
      <c r="F21" s="252">
        <f t="shared" si="2"/>
        <v>3.75</v>
      </c>
      <c r="G21" s="252">
        <f t="shared" si="2"/>
        <v>3.75</v>
      </c>
      <c r="H21" s="252">
        <f t="shared" si="2"/>
        <v>3.75</v>
      </c>
      <c r="I21" s="252">
        <f t="shared" si="2"/>
        <v>3.75</v>
      </c>
      <c r="J21" s="252">
        <f t="shared" si="2"/>
        <v>3.75</v>
      </c>
      <c r="K21" s="252">
        <f t="shared" si="2"/>
        <v>3.75</v>
      </c>
      <c r="L21" s="252">
        <f t="shared" si="2"/>
        <v>3.75</v>
      </c>
      <c r="M21" s="252">
        <f t="shared" si="2"/>
        <v>3.75</v>
      </c>
      <c r="N21" s="252">
        <f t="shared" si="2"/>
        <v>3.75</v>
      </c>
      <c r="O21" s="252">
        <f t="shared" si="2"/>
        <v>3.75</v>
      </c>
      <c r="P21" s="252">
        <f t="shared" si="2"/>
        <v>3.75</v>
      </c>
      <c r="Q21" s="252">
        <f t="shared" si="2"/>
        <v>3.75</v>
      </c>
      <c r="R21" s="252">
        <f t="shared" si="2"/>
        <v>3.75</v>
      </c>
      <c r="S21" s="252">
        <f t="shared" si="2"/>
        <v>3.75</v>
      </c>
      <c r="T21" s="252">
        <f t="shared" si="2"/>
        <v>3.75</v>
      </c>
      <c r="U21" s="252">
        <f t="shared" si="2"/>
        <v>3.75</v>
      </c>
      <c r="V21" s="252">
        <f t="shared" si="2"/>
        <v>3.75</v>
      </c>
      <c r="W21" s="252">
        <f t="shared" si="2"/>
        <v>3.75</v>
      </c>
      <c r="X21" s="252">
        <f t="shared" si="2"/>
        <v>3.75</v>
      </c>
      <c r="Y21" s="252">
        <f t="shared" si="2"/>
        <v>3.75</v>
      </c>
      <c r="Z21" s="252">
        <f t="shared" si="2"/>
        <v>3.75</v>
      </c>
      <c r="AA21" s="252">
        <f t="shared" si="2"/>
        <v>3.75</v>
      </c>
      <c r="AB21" s="252">
        <f t="shared" si="2"/>
        <v>3.75</v>
      </c>
      <c r="AC21" s="252">
        <f t="shared" si="2"/>
        <v>3.75</v>
      </c>
      <c r="AD21" s="252">
        <f t="shared" si="2"/>
        <v>3.75</v>
      </c>
      <c r="AE21" s="252">
        <f t="shared" si="2"/>
        <v>3.75</v>
      </c>
      <c r="AF21" s="252">
        <f t="shared" si="2"/>
        <v>3.75</v>
      </c>
      <c r="AG21" s="252">
        <f t="shared" si="2"/>
        <v>3.75</v>
      </c>
      <c r="AH21" s="252">
        <f t="shared" si="2"/>
        <v>3.75</v>
      </c>
      <c r="AI21" s="252">
        <f t="shared" si="2"/>
        <v>3.75</v>
      </c>
      <c r="AJ21" s="252">
        <f t="shared" si="2"/>
        <v>3.75</v>
      </c>
      <c r="AK21" s="252">
        <f t="shared" si="2"/>
        <v>3.75</v>
      </c>
      <c r="AL21" s="252">
        <f t="shared" si="2"/>
        <v>3.75</v>
      </c>
      <c r="AM21" s="252">
        <f t="shared" si="2"/>
        <v>3.75</v>
      </c>
      <c r="AN21" s="253">
        <f t="shared" si="2"/>
        <v>3.75</v>
      </c>
      <c r="AQ21" s="250"/>
    </row>
    <row r="22" spans="1:43">
      <c r="A22" s="205"/>
      <c r="B22" s="283" t="s">
        <v>215</v>
      </c>
      <c r="C22" s="283" t="s">
        <v>251</v>
      </c>
      <c r="D22" s="256">
        <f>0.15/$D$18</f>
        <v>3.75</v>
      </c>
      <c r="E22" s="256">
        <f t="shared" si="2"/>
        <v>3.75</v>
      </c>
      <c r="F22" s="256">
        <f t="shared" si="2"/>
        <v>3.75</v>
      </c>
      <c r="G22" s="256">
        <f t="shared" si="2"/>
        <v>3.75</v>
      </c>
      <c r="H22" s="256">
        <f t="shared" si="2"/>
        <v>3.75</v>
      </c>
      <c r="I22" s="256">
        <f t="shared" si="2"/>
        <v>3.75</v>
      </c>
      <c r="J22" s="256">
        <f t="shared" si="2"/>
        <v>3.75</v>
      </c>
      <c r="K22" s="256">
        <f t="shared" si="2"/>
        <v>3.75</v>
      </c>
      <c r="L22" s="256">
        <f t="shared" si="2"/>
        <v>3.75</v>
      </c>
      <c r="M22" s="256">
        <f t="shared" si="2"/>
        <v>3.75</v>
      </c>
      <c r="N22" s="256">
        <f t="shared" si="2"/>
        <v>3.75</v>
      </c>
      <c r="O22" s="256">
        <f t="shared" si="2"/>
        <v>3.75</v>
      </c>
      <c r="P22" s="256">
        <f t="shared" si="2"/>
        <v>3.75</v>
      </c>
      <c r="Q22" s="256">
        <f t="shared" si="2"/>
        <v>3.75</v>
      </c>
      <c r="R22" s="256">
        <f t="shared" si="2"/>
        <v>3.75</v>
      </c>
      <c r="S22" s="256">
        <f t="shared" si="2"/>
        <v>3.75</v>
      </c>
      <c r="T22" s="256">
        <f t="shared" si="2"/>
        <v>3.75</v>
      </c>
      <c r="U22" s="256">
        <f t="shared" si="2"/>
        <v>3.75</v>
      </c>
      <c r="V22" s="256">
        <f t="shared" si="2"/>
        <v>3.75</v>
      </c>
      <c r="W22" s="256">
        <f t="shared" si="2"/>
        <v>3.75</v>
      </c>
      <c r="X22" s="256">
        <f t="shared" si="2"/>
        <v>3.75</v>
      </c>
      <c r="Y22" s="256">
        <f t="shared" si="2"/>
        <v>3.75</v>
      </c>
      <c r="Z22" s="256">
        <f t="shared" si="2"/>
        <v>3.75</v>
      </c>
      <c r="AA22" s="256">
        <f t="shared" si="2"/>
        <v>3.75</v>
      </c>
      <c r="AB22" s="256">
        <f t="shared" si="2"/>
        <v>3.75</v>
      </c>
      <c r="AC22" s="256">
        <f t="shared" si="2"/>
        <v>3.75</v>
      </c>
      <c r="AD22" s="256">
        <f t="shared" si="2"/>
        <v>3.75</v>
      </c>
      <c r="AE22" s="256">
        <f t="shared" si="2"/>
        <v>3.75</v>
      </c>
      <c r="AF22" s="256">
        <f t="shared" si="2"/>
        <v>3.75</v>
      </c>
      <c r="AG22" s="256">
        <f t="shared" si="2"/>
        <v>3.75</v>
      </c>
      <c r="AH22" s="256">
        <f t="shared" si="2"/>
        <v>3.75</v>
      </c>
      <c r="AI22" s="256">
        <f t="shared" si="2"/>
        <v>3.75</v>
      </c>
      <c r="AJ22" s="256">
        <f t="shared" si="2"/>
        <v>3.75</v>
      </c>
      <c r="AK22" s="256">
        <f t="shared" si="2"/>
        <v>3.75</v>
      </c>
      <c r="AL22" s="256">
        <f t="shared" si="2"/>
        <v>3.75</v>
      </c>
      <c r="AM22" s="256">
        <f t="shared" si="2"/>
        <v>3.75</v>
      </c>
      <c r="AN22" s="257">
        <f t="shared" si="2"/>
        <v>3.75</v>
      </c>
      <c r="AQ22" s="2"/>
    </row>
    <row r="23" spans="1:43">
      <c r="A23" s="206"/>
      <c r="B23" s="284" t="s">
        <v>216</v>
      </c>
      <c r="C23" s="284" t="s">
        <v>251</v>
      </c>
      <c r="D23" s="292">
        <f>0.1/$D$18</f>
        <v>2.5</v>
      </c>
      <c r="E23" s="292">
        <f t="shared" ref="E23:AN23" si="3">0.1/$D$18</f>
        <v>2.5</v>
      </c>
      <c r="F23" s="292">
        <f t="shared" si="3"/>
        <v>2.5</v>
      </c>
      <c r="G23" s="292">
        <f t="shared" si="3"/>
        <v>2.5</v>
      </c>
      <c r="H23" s="292">
        <f t="shared" si="3"/>
        <v>2.5</v>
      </c>
      <c r="I23" s="292">
        <f t="shared" si="3"/>
        <v>2.5</v>
      </c>
      <c r="J23" s="292">
        <f t="shared" si="3"/>
        <v>2.5</v>
      </c>
      <c r="K23" s="292">
        <f t="shared" si="3"/>
        <v>2.5</v>
      </c>
      <c r="L23" s="292">
        <f t="shared" si="3"/>
        <v>2.5</v>
      </c>
      <c r="M23" s="292">
        <f t="shared" si="3"/>
        <v>2.5</v>
      </c>
      <c r="N23" s="292">
        <f t="shared" si="3"/>
        <v>2.5</v>
      </c>
      <c r="O23" s="292">
        <f t="shared" si="3"/>
        <v>2.5</v>
      </c>
      <c r="P23" s="292">
        <f t="shared" si="3"/>
        <v>2.5</v>
      </c>
      <c r="Q23" s="292">
        <f t="shared" si="3"/>
        <v>2.5</v>
      </c>
      <c r="R23" s="292">
        <f t="shared" si="3"/>
        <v>2.5</v>
      </c>
      <c r="S23" s="292">
        <f t="shared" si="3"/>
        <v>2.5</v>
      </c>
      <c r="T23" s="292">
        <f t="shared" si="3"/>
        <v>2.5</v>
      </c>
      <c r="U23" s="292">
        <f t="shared" si="3"/>
        <v>2.5</v>
      </c>
      <c r="V23" s="292">
        <f t="shared" si="3"/>
        <v>2.5</v>
      </c>
      <c r="W23" s="292">
        <f t="shared" si="3"/>
        <v>2.5</v>
      </c>
      <c r="X23" s="292">
        <f t="shared" si="3"/>
        <v>2.5</v>
      </c>
      <c r="Y23" s="292">
        <f t="shared" si="3"/>
        <v>2.5</v>
      </c>
      <c r="Z23" s="292">
        <f t="shared" si="3"/>
        <v>2.5</v>
      </c>
      <c r="AA23" s="292">
        <f t="shared" si="3"/>
        <v>2.5</v>
      </c>
      <c r="AB23" s="292">
        <f t="shared" si="3"/>
        <v>2.5</v>
      </c>
      <c r="AC23" s="292">
        <f t="shared" si="3"/>
        <v>2.5</v>
      </c>
      <c r="AD23" s="292">
        <f t="shared" si="3"/>
        <v>2.5</v>
      </c>
      <c r="AE23" s="292">
        <f t="shared" si="3"/>
        <v>2.5</v>
      </c>
      <c r="AF23" s="292">
        <f t="shared" si="3"/>
        <v>2.5</v>
      </c>
      <c r="AG23" s="292">
        <f t="shared" si="3"/>
        <v>2.5</v>
      </c>
      <c r="AH23" s="292">
        <f t="shared" si="3"/>
        <v>2.5</v>
      </c>
      <c r="AI23" s="292">
        <f t="shared" si="3"/>
        <v>2.5</v>
      </c>
      <c r="AJ23" s="292">
        <f t="shared" si="3"/>
        <v>2.5</v>
      </c>
      <c r="AK23" s="292">
        <f t="shared" si="3"/>
        <v>2.5</v>
      </c>
      <c r="AL23" s="292">
        <f t="shared" si="3"/>
        <v>2.5</v>
      </c>
      <c r="AM23" s="292">
        <f t="shared" si="3"/>
        <v>2.5</v>
      </c>
      <c r="AN23" s="293">
        <f t="shared" si="3"/>
        <v>2.5</v>
      </c>
      <c r="AQ23" s="2"/>
    </row>
    <row r="24" spans="1:43">
      <c r="A24" s="204" t="s">
        <v>248</v>
      </c>
      <c r="B24" s="299" t="s">
        <v>214</v>
      </c>
      <c r="C24" s="299" t="s">
        <v>252</v>
      </c>
      <c r="D24" s="279">
        <f>1/D21</f>
        <v>0.26666666666666666</v>
      </c>
      <c r="E24" s="279">
        <f t="shared" ref="E24:AN26" si="4">1/E21</f>
        <v>0.26666666666666666</v>
      </c>
      <c r="F24" s="279">
        <f t="shared" si="4"/>
        <v>0.26666666666666666</v>
      </c>
      <c r="G24" s="279">
        <f t="shared" si="4"/>
        <v>0.26666666666666666</v>
      </c>
      <c r="H24" s="279">
        <f t="shared" si="4"/>
        <v>0.26666666666666666</v>
      </c>
      <c r="I24" s="279">
        <f t="shared" si="4"/>
        <v>0.26666666666666666</v>
      </c>
      <c r="J24" s="279">
        <f t="shared" si="4"/>
        <v>0.26666666666666666</v>
      </c>
      <c r="K24" s="279">
        <f t="shared" si="4"/>
        <v>0.26666666666666666</v>
      </c>
      <c r="L24" s="279">
        <f t="shared" si="4"/>
        <v>0.26666666666666666</v>
      </c>
      <c r="M24" s="279">
        <f t="shared" si="4"/>
        <v>0.26666666666666666</v>
      </c>
      <c r="N24" s="279">
        <f t="shared" si="4"/>
        <v>0.26666666666666666</v>
      </c>
      <c r="O24" s="279">
        <f t="shared" si="4"/>
        <v>0.26666666666666666</v>
      </c>
      <c r="P24" s="279">
        <f t="shared" si="4"/>
        <v>0.26666666666666666</v>
      </c>
      <c r="Q24" s="279">
        <f t="shared" si="4"/>
        <v>0.26666666666666666</v>
      </c>
      <c r="R24" s="279">
        <f t="shared" si="4"/>
        <v>0.26666666666666666</v>
      </c>
      <c r="S24" s="279">
        <f t="shared" si="4"/>
        <v>0.26666666666666666</v>
      </c>
      <c r="T24" s="279">
        <f t="shared" si="4"/>
        <v>0.26666666666666666</v>
      </c>
      <c r="U24" s="279">
        <f t="shared" si="4"/>
        <v>0.26666666666666666</v>
      </c>
      <c r="V24" s="279">
        <f t="shared" si="4"/>
        <v>0.26666666666666666</v>
      </c>
      <c r="W24" s="279">
        <f t="shared" si="4"/>
        <v>0.26666666666666666</v>
      </c>
      <c r="X24" s="279">
        <f t="shared" si="4"/>
        <v>0.26666666666666666</v>
      </c>
      <c r="Y24" s="279">
        <f t="shared" si="4"/>
        <v>0.26666666666666666</v>
      </c>
      <c r="Z24" s="279">
        <f t="shared" si="4"/>
        <v>0.26666666666666666</v>
      </c>
      <c r="AA24" s="279">
        <f t="shared" si="4"/>
        <v>0.26666666666666666</v>
      </c>
      <c r="AB24" s="279">
        <f t="shared" si="4"/>
        <v>0.26666666666666666</v>
      </c>
      <c r="AC24" s="279">
        <f t="shared" si="4"/>
        <v>0.26666666666666666</v>
      </c>
      <c r="AD24" s="279">
        <f t="shared" si="4"/>
        <v>0.26666666666666666</v>
      </c>
      <c r="AE24" s="279">
        <f t="shared" si="4"/>
        <v>0.26666666666666666</v>
      </c>
      <c r="AF24" s="279">
        <f t="shared" si="4"/>
        <v>0.26666666666666666</v>
      </c>
      <c r="AG24" s="279">
        <f t="shared" si="4"/>
        <v>0.26666666666666666</v>
      </c>
      <c r="AH24" s="279">
        <f t="shared" si="4"/>
        <v>0.26666666666666666</v>
      </c>
      <c r="AI24" s="279">
        <f t="shared" si="4"/>
        <v>0.26666666666666666</v>
      </c>
      <c r="AJ24" s="279">
        <f t="shared" si="4"/>
        <v>0.26666666666666666</v>
      </c>
      <c r="AK24" s="279">
        <f t="shared" si="4"/>
        <v>0.26666666666666666</v>
      </c>
      <c r="AL24" s="279">
        <f t="shared" si="4"/>
        <v>0.26666666666666666</v>
      </c>
      <c r="AM24" s="279">
        <f t="shared" si="4"/>
        <v>0.26666666666666666</v>
      </c>
      <c r="AN24" s="298">
        <f t="shared" si="4"/>
        <v>0.26666666666666666</v>
      </c>
      <c r="AQ24" s="250"/>
    </row>
    <row r="25" spans="1:43">
      <c r="A25" s="205"/>
      <c r="B25" s="283" t="s">
        <v>215</v>
      </c>
      <c r="C25" s="283" t="s">
        <v>252</v>
      </c>
      <c r="D25" s="300">
        <f t="shared" ref="D25:S26" si="5">1/D22</f>
        <v>0.26666666666666666</v>
      </c>
      <c r="E25" s="300">
        <f t="shared" si="5"/>
        <v>0.26666666666666666</v>
      </c>
      <c r="F25" s="300">
        <f t="shared" si="5"/>
        <v>0.26666666666666666</v>
      </c>
      <c r="G25" s="300">
        <f t="shared" si="5"/>
        <v>0.26666666666666666</v>
      </c>
      <c r="H25" s="300">
        <f t="shared" si="5"/>
        <v>0.26666666666666666</v>
      </c>
      <c r="I25" s="300">
        <f t="shared" si="5"/>
        <v>0.26666666666666666</v>
      </c>
      <c r="J25" s="300">
        <f t="shared" si="5"/>
        <v>0.26666666666666666</v>
      </c>
      <c r="K25" s="300">
        <f t="shared" si="5"/>
        <v>0.26666666666666666</v>
      </c>
      <c r="L25" s="300">
        <f t="shared" si="5"/>
        <v>0.26666666666666666</v>
      </c>
      <c r="M25" s="300">
        <f t="shared" si="5"/>
        <v>0.26666666666666666</v>
      </c>
      <c r="N25" s="300">
        <f t="shared" si="5"/>
        <v>0.26666666666666666</v>
      </c>
      <c r="O25" s="300">
        <f t="shared" si="5"/>
        <v>0.26666666666666666</v>
      </c>
      <c r="P25" s="300">
        <f t="shared" si="5"/>
        <v>0.26666666666666666</v>
      </c>
      <c r="Q25" s="300">
        <f t="shared" si="5"/>
        <v>0.26666666666666666</v>
      </c>
      <c r="R25" s="300">
        <f t="shared" si="5"/>
        <v>0.26666666666666666</v>
      </c>
      <c r="S25" s="300">
        <f t="shared" si="5"/>
        <v>0.26666666666666666</v>
      </c>
      <c r="T25" s="300">
        <f t="shared" si="4"/>
        <v>0.26666666666666666</v>
      </c>
      <c r="U25" s="300">
        <f t="shared" si="4"/>
        <v>0.26666666666666666</v>
      </c>
      <c r="V25" s="300">
        <f t="shared" si="4"/>
        <v>0.26666666666666666</v>
      </c>
      <c r="W25" s="300">
        <f t="shared" si="4"/>
        <v>0.26666666666666666</v>
      </c>
      <c r="X25" s="300">
        <f t="shared" si="4"/>
        <v>0.26666666666666666</v>
      </c>
      <c r="Y25" s="300">
        <f t="shared" si="4"/>
        <v>0.26666666666666666</v>
      </c>
      <c r="Z25" s="300">
        <f t="shared" si="4"/>
        <v>0.26666666666666666</v>
      </c>
      <c r="AA25" s="300">
        <f t="shared" si="4"/>
        <v>0.26666666666666666</v>
      </c>
      <c r="AB25" s="300">
        <f t="shared" si="4"/>
        <v>0.26666666666666666</v>
      </c>
      <c r="AC25" s="300">
        <f t="shared" si="4"/>
        <v>0.26666666666666666</v>
      </c>
      <c r="AD25" s="300">
        <f t="shared" si="4"/>
        <v>0.26666666666666666</v>
      </c>
      <c r="AE25" s="300">
        <f t="shared" si="4"/>
        <v>0.26666666666666666</v>
      </c>
      <c r="AF25" s="300">
        <f t="shared" si="4"/>
        <v>0.26666666666666666</v>
      </c>
      <c r="AG25" s="300">
        <f t="shared" si="4"/>
        <v>0.26666666666666666</v>
      </c>
      <c r="AH25" s="300">
        <f t="shared" si="4"/>
        <v>0.26666666666666666</v>
      </c>
      <c r="AI25" s="300">
        <f t="shared" si="4"/>
        <v>0.26666666666666666</v>
      </c>
      <c r="AJ25" s="300">
        <f t="shared" si="4"/>
        <v>0.26666666666666666</v>
      </c>
      <c r="AK25" s="300">
        <f t="shared" si="4"/>
        <v>0.26666666666666666</v>
      </c>
      <c r="AL25" s="300">
        <f t="shared" si="4"/>
        <v>0.26666666666666666</v>
      </c>
      <c r="AM25" s="300">
        <f t="shared" si="4"/>
        <v>0.26666666666666666</v>
      </c>
      <c r="AN25" s="301">
        <f t="shared" si="4"/>
        <v>0.26666666666666666</v>
      </c>
      <c r="AQ25" s="2"/>
    </row>
    <row r="26" spans="1:43">
      <c r="A26" s="206"/>
      <c r="B26" s="284" t="s">
        <v>216</v>
      </c>
      <c r="C26" s="284" t="s">
        <v>252</v>
      </c>
      <c r="D26" s="302">
        <f t="shared" si="5"/>
        <v>0.4</v>
      </c>
      <c r="E26" s="302">
        <f t="shared" si="4"/>
        <v>0.4</v>
      </c>
      <c r="F26" s="302">
        <f t="shared" si="4"/>
        <v>0.4</v>
      </c>
      <c r="G26" s="302">
        <f t="shared" si="4"/>
        <v>0.4</v>
      </c>
      <c r="H26" s="302">
        <f t="shared" si="4"/>
        <v>0.4</v>
      </c>
      <c r="I26" s="302">
        <f t="shared" si="4"/>
        <v>0.4</v>
      </c>
      <c r="J26" s="302">
        <f t="shared" si="4"/>
        <v>0.4</v>
      </c>
      <c r="K26" s="302">
        <f t="shared" si="4"/>
        <v>0.4</v>
      </c>
      <c r="L26" s="302">
        <f t="shared" si="4"/>
        <v>0.4</v>
      </c>
      <c r="M26" s="302">
        <f t="shared" si="4"/>
        <v>0.4</v>
      </c>
      <c r="N26" s="302">
        <f t="shared" si="4"/>
        <v>0.4</v>
      </c>
      <c r="O26" s="302">
        <f t="shared" si="4"/>
        <v>0.4</v>
      </c>
      <c r="P26" s="302">
        <f t="shared" si="4"/>
        <v>0.4</v>
      </c>
      <c r="Q26" s="302">
        <f t="shared" si="4"/>
        <v>0.4</v>
      </c>
      <c r="R26" s="302">
        <f t="shared" si="4"/>
        <v>0.4</v>
      </c>
      <c r="S26" s="302">
        <f t="shared" si="4"/>
        <v>0.4</v>
      </c>
      <c r="T26" s="302">
        <f t="shared" si="4"/>
        <v>0.4</v>
      </c>
      <c r="U26" s="302">
        <f t="shared" si="4"/>
        <v>0.4</v>
      </c>
      <c r="V26" s="302">
        <f t="shared" si="4"/>
        <v>0.4</v>
      </c>
      <c r="W26" s="302">
        <f t="shared" si="4"/>
        <v>0.4</v>
      </c>
      <c r="X26" s="302">
        <f t="shared" si="4"/>
        <v>0.4</v>
      </c>
      <c r="Y26" s="302">
        <f t="shared" si="4"/>
        <v>0.4</v>
      </c>
      <c r="Z26" s="302">
        <f t="shared" si="4"/>
        <v>0.4</v>
      </c>
      <c r="AA26" s="302">
        <f t="shared" si="4"/>
        <v>0.4</v>
      </c>
      <c r="AB26" s="302">
        <f t="shared" si="4"/>
        <v>0.4</v>
      </c>
      <c r="AC26" s="302">
        <f t="shared" si="4"/>
        <v>0.4</v>
      </c>
      <c r="AD26" s="302">
        <f t="shared" si="4"/>
        <v>0.4</v>
      </c>
      <c r="AE26" s="302">
        <f t="shared" si="4"/>
        <v>0.4</v>
      </c>
      <c r="AF26" s="302">
        <f t="shared" si="4"/>
        <v>0.4</v>
      </c>
      <c r="AG26" s="302">
        <f t="shared" si="4"/>
        <v>0.4</v>
      </c>
      <c r="AH26" s="302">
        <f t="shared" si="4"/>
        <v>0.4</v>
      </c>
      <c r="AI26" s="302">
        <f t="shared" si="4"/>
        <v>0.4</v>
      </c>
      <c r="AJ26" s="302">
        <f t="shared" si="4"/>
        <v>0.4</v>
      </c>
      <c r="AK26" s="302">
        <f t="shared" si="4"/>
        <v>0.4</v>
      </c>
      <c r="AL26" s="302">
        <f t="shared" si="4"/>
        <v>0.4</v>
      </c>
      <c r="AM26" s="302">
        <f t="shared" si="4"/>
        <v>0.4</v>
      </c>
      <c r="AN26" s="303">
        <f t="shared" si="4"/>
        <v>0.4</v>
      </c>
      <c r="AQ26" s="2"/>
    </row>
    <row r="28" spans="1:43">
      <c r="R28" s="162"/>
      <c r="V28" s="162"/>
      <c r="Y28" s="162"/>
      <c r="AB28" s="162"/>
    </row>
    <row r="29" spans="1:43">
      <c r="C29" s="162"/>
      <c r="D29" s="162"/>
    </row>
    <row r="30" spans="1:43">
      <c r="A30" s="137" t="s">
        <v>186</v>
      </c>
    </row>
    <row r="31" spans="1:43">
      <c r="A31" s="159" t="s">
        <v>254</v>
      </c>
      <c r="B31" s="159" t="s">
        <v>249</v>
      </c>
      <c r="C31" s="285" t="s">
        <v>1</v>
      </c>
      <c r="D31" s="247" t="s">
        <v>88</v>
      </c>
      <c r="E31" s="248" t="s">
        <v>89</v>
      </c>
      <c r="F31" s="248" t="s">
        <v>90</v>
      </c>
      <c r="G31" s="248" t="s">
        <v>91</v>
      </c>
      <c r="H31" s="248" t="s">
        <v>92</v>
      </c>
      <c r="I31" s="248" t="s">
        <v>93</v>
      </c>
      <c r="J31" s="248" t="s">
        <v>94</v>
      </c>
      <c r="K31" s="248" t="s">
        <v>95</v>
      </c>
      <c r="L31" s="248" t="s">
        <v>96</v>
      </c>
      <c r="M31" s="248" t="s">
        <v>97</v>
      </c>
      <c r="N31" s="248" t="s">
        <v>98</v>
      </c>
      <c r="O31" s="248" t="s">
        <v>99</v>
      </c>
      <c r="P31" s="248" t="s">
        <v>205</v>
      </c>
      <c r="Q31" s="248" t="s">
        <v>118</v>
      </c>
      <c r="R31" s="248" t="s">
        <v>100</v>
      </c>
      <c r="S31" s="248" t="s">
        <v>101</v>
      </c>
      <c r="T31" s="248" t="s">
        <v>102</v>
      </c>
      <c r="U31" s="248" t="s">
        <v>103</v>
      </c>
      <c r="V31" s="248" t="s">
        <v>104</v>
      </c>
      <c r="W31" s="248" t="s">
        <v>105</v>
      </c>
      <c r="X31" s="248" t="s">
        <v>106</v>
      </c>
      <c r="Y31" s="248" t="s">
        <v>107</v>
      </c>
      <c r="Z31" s="248" t="s">
        <v>108</v>
      </c>
      <c r="AA31" s="248" t="s">
        <v>109</v>
      </c>
      <c r="AB31" s="248" t="s">
        <v>110</v>
      </c>
      <c r="AC31" s="248" t="s">
        <v>111</v>
      </c>
      <c r="AD31" s="248" t="s">
        <v>112</v>
      </c>
      <c r="AE31" s="248" t="s">
        <v>113</v>
      </c>
      <c r="AF31" s="248" t="s">
        <v>114</v>
      </c>
      <c r="AG31" s="248" t="s">
        <v>115</v>
      </c>
      <c r="AH31" s="248" t="s">
        <v>52</v>
      </c>
      <c r="AI31" s="248" t="s">
        <v>116</v>
      </c>
      <c r="AJ31" s="248" t="s">
        <v>117</v>
      </c>
      <c r="AK31" s="248" t="s">
        <v>119</v>
      </c>
      <c r="AL31" s="248" t="s">
        <v>120</v>
      </c>
      <c r="AM31" s="248" t="s">
        <v>121</v>
      </c>
      <c r="AN31" s="249" t="s">
        <v>122</v>
      </c>
    </row>
    <row r="32" spans="1:43">
      <c r="A32" s="309" t="s">
        <v>253</v>
      </c>
      <c r="B32" s="287" t="s">
        <v>218</v>
      </c>
      <c r="C32" s="120" t="s">
        <v>255</v>
      </c>
      <c r="D32" s="921" t="s">
        <v>219</v>
      </c>
      <c r="E32" s="922"/>
      <c r="F32" s="922"/>
      <c r="G32" s="922"/>
      <c r="H32" s="922"/>
      <c r="I32" s="922"/>
      <c r="J32" s="922"/>
      <c r="K32" s="922"/>
      <c r="L32" s="922"/>
      <c r="M32" s="922"/>
      <c r="N32" s="922"/>
      <c r="O32" s="922"/>
      <c r="P32" s="922"/>
      <c r="Q32" s="922"/>
      <c r="R32" s="922"/>
      <c r="S32" s="922"/>
      <c r="T32" s="922"/>
      <c r="U32" s="922"/>
      <c r="V32" s="922"/>
      <c r="W32" s="922"/>
      <c r="X32" s="922"/>
      <c r="Y32" s="922"/>
      <c r="Z32" s="922"/>
      <c r="AA32" s="922"/>
      <c r="AB32" s="922"/>
      <c r="AC32" s="922"/>
      <c r="AD32" s="922"/>
      <c r="AE32" s="922"/>
      <c r="AF32" s="922"/>
      <c r="AG32" s="922"/>
      <c r="AH32" s="922"/>
      <c r="AI32" s="922"/>
      <c r="AJ32" s="922"/>
      <c r="AK32" s="922"/>
      <c r="AL32" s="922"/>
      <c r="AM32" s="922"/>
      <c r="AN32" s="923"/>
    </row>
    <row r="33" spans="1:40">
      <c r="A33" s="310"/>
      <c r="B33" s="280" t="s">
        <v>220</v>
      </c>
      <c r="C33" s="311" t="s">
        <v>255</v>
      </c>
      <c r="D33" s="933" t="s">
        <v>275</v>
      </c>
      <c r="E33" s="920"/>
      <c r="F33" s="920"/>
      <c r="G33" s="920"/>
      <c r="H33" s="920"/>
      <c r="I33" s="920"/>
      <c r="J33" s="920"/>
      <c r="K33" s="920"/>
      <c r="L33" s="920"/>
      <c r="M33" s="920"/>
      <c r="N33" s="920"/>
      <c r="O33" s="920"/>
      <c r="P33" s="920"/>
      <c r="Q33" s="920"/>
      <c r="R33" s="920"/>
      <c r="S33" s="920"/>
      <c r="T33" s="920"/>
      <c r="U33" s="920"/>
      <c r="V33" s="920"/>
      <c r="W33" s="920"/>
      <c r="X33" s="920"/>
      <c r="Y33" s="920"/>
      <c r="Z33" s="920"/>
      <c r="AA33" s="920"/>
      <c r="AB33" s="920"/>
      <c r="AC33" s="920"/>
      <c r="AD33" s="920"/>
      <c r="AE33" s="920"/>
      <c r="AF33" s="920"/>
      <c r="AG33" s="920"/>
      <c r="AH33" s="920"/>
      <c r="AI33" s="920"/>
      <c r="AJ33" s="920"/>
      <c r="AK33" s="920"/>
      <c r="AL33" s="920"/>
      <c r="AM33" s="920"/>
      <c r="AN33" s="934"/>
    </row>
    <row r="34" spans="1:40">
      <c r="A34" s="310"/>
      <c r="B34" s="280" t="s">
        <v>221</v>
      </c>
      <c r="C34" s="312" t="s">
        <v>255</v>
      </c>
      <c r="D34" s="924" t="s">
        <v>276</v>
      </c>
      <c r="E34" s="925"/>
      <c r="F34" s="925"/>
      <c r="G34" s="925"/>
      <c r="H34" s="925"/>
      <c r="I34" s="925"/>
      <c r="J34" s="925"/>
      <c r="K34" s="925"/>
      <c r="L34" s="925"/>
      <c r="M34" s="925"/>
      <c r="N34" s="925"/>
      <c r="O34" s="925"/>
      <c r="P34" s="925"/>
      <c r="Q34" s="925"/>
      <c r="R34" s="925"/>
      <c r="S34" s="925"/>
      <c r="T34" s="925"/>
      <c r="U34" s="925"/>
      <c r="V34" s="925"/>
      <c r="W34" s="925"/>
      <c r="X34" s="925"/>
      <c r="Y34" s="925"/>
      <c r="Z34" s="925"/>
      <c r="AA34" s="925"/>
      <c r="AB34" s="925"/>
      <c r="AC34" s="925"/>
      <c r="AD34" s="925"/>
      <c r="AE34" s="925"/>
      <c r="AF34" s="925"/>
      <c r="AG34" s="925"/>
      <c r="AH34" s="925"/>
      <c r="AI34" s="925"/>
      <c r="AJ34" s="925"/>
      <c r="AK34" s="925"/>
      <c r="AL34" s="925"/>
      <c r="AM34" s="925"/>
      <c r="AN34" s="926"/>
    </row>
    <row r="35" spans="1:40" s="162" customFormat="1">
      <c r="A35" s="286" t="s">
        <v>250</v>
      </c>
      <c r="B35" s="287" t="s">
        <v>218</v>
      </c>
      <c r="C35" s="251" t="s">
        <v>217</v>
      </c>
      <c r="D35" s="313">
        <v>135</v>
      </c>
      <c r="E35" s="288"/>
      <c r="F35" s="288"/>
      <c r="G35" s="288"/>
      <c r="H35" s="288"/>
      <c r="I35" s="288">
        <v>150</v>
      </c>
      <c r="J35" s="288"/>
      <c r="K35" s="288"/>
      <c r="L35" s="288"/>
      <c r="M35" s="288"/>
      <c r="N35" s="288">
        <v>230</v>
      </c>
      <c r="O35" s="288">
        <v>135</v>
      </c>
      <c r="P35" s="288"/>
      <c r="Q35" s="288"/>
      <c r="R35" s="288"/>
      <c r="S35" s="288"/>
      <c r="T35" s="288"/>
      <c r="U35" s="288"/>
      <c r="V35" s="288"/>
      <c r="W35" s="288"/>
      <c r="X35" s="288"/>
      <c r="Y35" s="288"/>
      <c r="Z35" s="288"/>
      <c r="AA35" s="288"/>
      <c r="AB35" s="288"/>
      <c r="AC35" s="288"/>
      <c r="AD35" s="288"/>
      <c r="AE35" s="288"/>
      <c r="AF35" s="288"/>
      <c r="AG35" s="288"/>
      <c r="AH35" s="288"/>
      <c r="AI35" s="288"/>
      <c r="AJ35" s="288"/>
      <c r="AK35" s="288"/>
      <c r="AL35" s="288"/>
      <c r="AM35" s="288"/>
      <c r="AN35" s="289"/>
    </row>
    <row r="36" spans="1:40" s="254" customFormat="1">
      <c r="A36" s="255"/>
      <c r="B36" s="280" t="s">
        <v>220</v>
      </c>
      <c r="C36" s="280" t="s">
        <v>217</v>
      </c>
      <c r="D36" s="416">
        <v>70</v>
      </c>
      <c r="E36" s="412">
        <f>J36</f>
        <v>75</v>
      </c>
      <c r="F36" s="411">
        <f>$AD$36</f>
        <v>30</v>
      </c>
      <c r="G36" s="411">
        <f>$D$36</f>
        <v>70</v>
      </c>
      <c r="H36" s="411">
        <f>U36</f>
        <v>70</v>
      </c>
      <c r="I36" s="256">
        <v>50</v>
      </c>
      <c r="J36" s="256">
        <v>75</v>
      </c>
      <c r="K36" s="412">
        <f>N36</f>
        <v>58.333333333333336</v>
      </c>
      <c r="L36" s="411">
        <f>$AD$36</f>
        <v>30</v>
      </c>
      <c r="M36" s="256">
        <v>75</v>
      </c>
      <c r="N36" s="412">
        <f>N37*$U$36/$U$37</f>
        <v>58.333333333333336</v>
      </c>
      <c r="O36" s="412">
        <f>O37*$U$36/$U$37</f>
        <v>64.166666666666671</v>
      </c>
      <c r="P36" s="411">
        <f>$U$36</f>
        <v>70</v>
      </c>
      <c r="Q36" s="411">
        <f t="shared" ref="Q36:R36" si="6">$AD$36</f>
        <v>30</v>
      </c>
      <c r="R36" s="411">
        <f t="shared" si="6"/>
        <v>30</v>
      </c>
      <c r="S36" s="412">
        <f>J36</f>
        <v>75</v>
      </c>
      <c r="T36" s="412">
        <f>$N$36</f>
        <v>58.333333333333336</v>
      </c>
      <c r="U36" s="256">
        <v>70</v>
      </c>
      <c r="V36" s="411">
        <f t="shared" ref="V36" si="7">$AD$36</f>
        <v>30</v>
      </c>
      <c r="W36" s="412">
        <f>$N$36</f>
        <v>58.333333333333336</v>
      </c>
      <c r="X36" s="411">
        <f t="shared" ref="X36" si="8">$AD$36</f>
        <v>30</v>
      </c>
      <c r="Y36" s="411">
        <f>$U$36</f>
        <v>70</v>
      </c>
      <c r="Z36" s="412">
        <f>J36</f>
        <v>75</v>
      </c>
      <c r="AA36" s="412">
        <f>$N$36</f>
        <v>58.333333333333336</v>
      </c>
      <c r="AB36" s="411">
        <f t="shared" ref="AB36" si="9">$AD$36</f>
        <v>30</v>
      </c>
      <c r="AC36" s="411">
        <f>M36</f>
        <v>75</v>
      </c>
      <c r="AD36" s="256">
        <v>30</v>
      </c>
      <c r="AE36" s="412">
        <f>$N$36</f>
        <v>58.333333333333336</v>
      </c>
      <c r="AF36" s="411">
        <f t="shared" ref="AF36" si="10">$AD$36</f>
        <v>30</v>
      </c>
      <c r="AG36" s="411">
        <f>I36</f>
        <v>50</v>
      </c>
      <c r="AH36" s="411">
        <f>J36</f>
        <v>75</v>
      </c>
      <c r="AI36" s="411">
        <f>$AD36</f>
        <v>30</v>
      </c>
      <c r="AJ36" s="411">
        <f t="shared" ref="AJ36:AN36" si="11">$AD$36</f>
        <v>30</v>
      </c>
      <c r="AK36" s="411">
        <f t="shared" si="11"/>
        <v>30</v>
      </c>
      <c r="AL36" s="411">
        <f t="shared" si="11"/>
        <v>30</v>
      </c>
      <c r="AM36" s="411">
        <f t="shared" si="11"/>
        <v>30</v>
      </c>
      <c r="AN36" s="413">
        <f t="shared" si="11"/>
        <v>30</v>
      </c>
    </row>
    <row r="37" spans="1:40" s="162" customFormat="1">
      <c r="A37" s="290"/>
      <c r="B37" s="291" t="s">
        <v>221</v>
      </c>
      <c r="C37" s="259" t="s">
        <v>217</v>
      </c>
      <c r="D37" s="417">
        <f>$U$37</f>
        <v>60</v>
      </c>
      <c r="E37" s="415">
        <f>J37</f>
        <v>64.285714285714292</v>
      </c>
      <c r="F37" s="415">
        <f>$AD$37</f>
        <v>25.714285714285715</v>
      </c>
      <c r="G37" s="414">
        <f>$D$37</f>
        <v>60</v>
      </c>
      <c r="H37" s="414">
        <f>U37</f>
        <v>60</v>
      </c>
      <c r="I37" s="415">
        <f>I36*$U$37/$U$36</f>
        <v>42.857142857142854</v>
      </c>
      <c r="J37" s="415">
        <f>J36*$U$37/$U$36</f>
        <v>64.285714285714292</v>
      </c>
      <c r="K37" s="414">
        <f>N37</f>
        <v>50</v>
      </c>
      <c r="L37" s="415">
        <f>$AD$37</f>
        <v>25.714285714285715</v>
      </c>
      <c r="M37" s="415">
        <f>M36*$U$37/$U$36</f>
        <v>64.285714285714292</v>
      </c>
      <c r="N37" s="260">
        <v>50</v>
      </c>
      <c r="O37" s="260">
        <v>55</v>
      </c>
      <c r="P37" s="414">
        <f>$U$37</f>
        <v>60</v>
      </c>
      <c r="Q37" s="415">
        <f t="shared" ref="Q37:R37" si="12">$AD$37</f>
        <v>25.714285714285715</v>
      </c>
      <c r="R37" s="415">
        <f t="shared" si="12"/>
        <v>25.714285714285715</v>
      </c>
      <c r="S37" s="415">
        <f>J37</f>
        <v>64.285714285714292</v>
      </c>
      <c r="T37" s="414">
        <f>$N$37</f>
        <v>50</v>
      </c>
      <c r="U37" s="260">
        <v>60</v>
      </c>
      <c r="V37" s="415">
        <f t="shared" ref="V37" si="13">$AD$37</f>
        <v>25.714285714285715</v>
      </c>
      <c r="W37" s="414">
        <f>$N$37</f>
        <v>50</v>
      </c>
      <c r="X37" s="415">
        <f t="shared" ref="X37" si="14">$AD$37</f>
        <v>25.714285714285715</v>
      </c>
      <c r="Y37" s="414">
        <f>$U$37</f>
        <v>60</v>
      </c>
      <c r="Z37" s="415">
        <f>J37</f>
        <v>64.285714285714292</v>
      </c>
      <c r="AA37" s="414">
        <f>$N$37</f>
        <v>50</v>
      </c>
      <c r="AB37" s="415">
        <f t="shared" ref="AB37" si="15">$AD$37</f>
        <v>25.714285714285715</v>
      </c>
      <c r="AC37" s="415">
        <f>M37</f>
        <v>64.285714285714292</v>
      </c>
      <c r="AD37" s="415">
        <f>AD36*$U$37/$U$36</f>
        <v>25.714285714285715</v>
      </c>
      <c r="AE37" s="414">
        <f>$N$37</f>
        <v>50</v>
      </c>
      <c r="AF37" s="415">
        <f t="shared" ref="AF37" si="16">$AD$37</f>
        <v>25.714285714285715</v>
      </c>
      <c r="AG37" s="415">
        <f>I37</f>
        <v>42.857142857142854</v>
      </c>
      <c r="AH37" s="415">
        <f>J37</f>
        <v>64.285714285714292</v>
      </c>
      <c r="AI37" s="415">
        <f>$AD37</f>
        <v>25.714285714285715</v>
      </c>
      <c r="AJ37" s="415">
        <f t="shared" ref="AJ37:AN37" si="17">$AD$37</f>
        <v>25.714285714285715</v>
      </c>
      <c r="AK37" s="415">
        <f t="shared" si="17"/>
        <v>25.714285714285715</v>
      </c>
      <c r="AL37" s="415">
        <f t="shared" si="17"/>
        <v>25.714285714285715</v>
      </c>
      <c r="AM37" s="415">
        <f t="shared" si="17"/>
        <v>25.714285714285715</v>
      </c>
      <c r="AN37" s="418">
        <f t="shared" si="17"/>
        <v>25.714285714285715</v>
      </c>
    </row>
    <row r="38" spans="1:40" s="162" customFormat="1">
      <c r="A38" s="294" t="s">
        <v>245</v>
      </c>
      <c r="B38" s="314" t="s">
        <v>218</v>
      </c>
      <c r="C38" s="281" t="s">
        <v>246</v>
      </c>
      <c r="D38" s="915">
        <v>0.04</v>
      </c>
      <c r="E38" s="915"/>
      <c r="F38" s="915"/>
      <c r="G38" s="915"/>
      <c r="H38" s="915"/>
      <c r="I38" s="915"/>
      <c r="J38" s="915"/>
      <c r="K38" s="915"/>
      <c r="L38" s="915"/>
      <c r="M38" s="915"/>
      <c r="N38" s="915"/>
      <c r="O38" s="915"/>
      <c r="P38" s="915"/>
      <c r="Q38" s="915"/>
      <c r="R38" s="915"/>
      <c r="S38" s="915"/>
      <c r="T38" s="915"/>
      <c r="U38" s="915"/>
      <c r="V38" s="915"/>
      <c r="W38" s="915"/>
      <c r="X38" s="915"/>
      <c r="Y38" s="915"/>
      <c r="Z38" s="915"/>
      <c r="AA38" s="915"/>
      <c r="AB38" s="915"/>
      <c r="AC38" s="915"/>
      <c r="AD38" s="915"/>
      <c r="AE38" s="915"/>
      <c r="AF38" s="915"/>
      <c r="AG38" s="915"/>
      <c r="AH38" s="915"/>
      <c r="AI38" s="915"/>
      <c r="AJ38" s="915"/>
      <c r="AK38" s="915"/>
      <c r="AL38" s="915"/>
      <c r="AM38" s="915"/>
      <c r="AN38" s="916"/>
    </row>
    <row r="39" spans="1:40" s="162" customFormat="1">
      <c r="A39" s="295"/>
      <c r="B39" s="282" t="s">
        <v>220</v>
      </c>
      <c r="C39" s="282" t="s">
        <v>246</v>
      </c>
      <c r="D39" s="915"/>
      <c r="E39" s="915"/>
      <c r="F39" s="915"/>
      <c r="G39" s="915"/>
      <c r="H39" s="915"/>
      <c r="I39" s="915"/>
      <c r="J39" s="915"/>
      <c r="K39" s="915"/>
      <c r="L39" s="915"/>
      <c r="M39" s="915"/>
      <c r="N39" s="915"/>
      <c r="O39" s="915"/>
      <c r="P39" s="915"/>
      <c r="Q39" s="915"/>
      <c r="R39" s="915"/>
      <c r="S39" s="915"/>
      <c r="T39" s="915"/>
      <c r="U39" s="915"/>
      <c r="V39" s="915"/>
      <c r="W39" s="915"/>
      <c r="X39" s="915"/>
      <c r="Y39" s="915"/>
      <c r="Z39" s="915"/>
      <c r="AA39" s="915"/>
      <c r="AB39" s="915"/>
      <c r="AC39" s="915"/>
      <c r="AD39" s="915"/>
      <c r="AE39" s="915"/>
      <c r="AF39" s="915"/>
      <c r="AG39" s="915"/>
      <c r="AH39" s="915"/>
      <c r="AI39" s="915"/>
      <c r="AJ39" s="915"/>
      <c r="AK39" s="915"/>
      <c r="AL39" s="915"/>
      <c r="AM39" s="915"/>
      <c r="AN39" s="916"/>
    </row>
    <row r="40" spans="1:40" s="162" customFormat="1">
      <c r="A40" s="296"/>
      <c r="B40" s="297" t="s">
        <v>221</v>
      </c>
      <c r="C40" s="297" t="s">
        <v>246</v>
      </c>
      <c r="D40" s="917"/>
      <c r="E40" s="917"/>
      <c r="F40" s="917"/>
      <c r="G40" s="917"/>
      <c r="H40" s="917"/>
      <c r="I40" s="917"/>
      <c r="J40" s="917"/>
      <c r="K40" s="917"/>
      <c r="L40" s="917"/>
      <c r="M40" s="917"/>
      <c r="N40" s="917"/>
      <c r="O40" s="917"/>
      <c r="P40" s="917"/>
      <c r="Q40" s="917"/>
      <c r="R40" s="917"/>
      <c r="S40" s="917"/>
      <c r="T40" s="917"/>
      <c r="U40" s="917"/>
      <c r="V40" s="917"/>
      <c r="W40" s="917"/>
      <c r="X40" s="917"/>
      <c r="Y40" s="917"/>
      <c r="Z40" s="917"/>
      <c r="AA40" s="917"/>
      <c r="AB40" s="917"/>
      <c r="AC40" s="917"/>
      <c r="AD40" s="917"/>
      <c r="AE40" s="917"/>
      <c r="AF40" s="917"/>
      <c r="AG40" s="917"/>
      <c r="AH40" s="917"/>
      <c r="AI40" s="917"/>
      <c r="AJ40" s="917"/>
      <c r="AK40" s="917"/>
      <c r="AL40" s="917"/>
      <c r="AM40" s="917"/>
      <c r="AN40" s="918"/>
    </row>
    <row r="41" spans="1:40" s="162" customFormat="1">
      <c r="A41" s="204" t="s">
        <v>247</v>
      </c>
      <c r="B41" s="299" t="s">
        <v>218</v>
      </c>
      <c r="C41" s="299" t="s">
        <v>251</v>
      </c>
      <c r="D41" s="313">
        <f>0.1/$D$38</f>
        <v>2.5</v>
      </c>
      <c r="E41" s="288">
        <f t="shared" ref="E41:AN42" si="18">0.1/$D$38</f>
        <v>2.5</v>
      </c>
      <c r="F41" s="288">
        <f t="shared" si="18"/>
        <v>2.5</v>
      </c>
      <c r="G41" s="288">
        <f t="shared" si="18"/>
        <v>2.5</v>
      </c>
      <c r="H41" s="288">
        <f t="shared" si="18"/>
        <v>2.5</v>
      </c>
      <c r="I41" s="288">
        <f t="shared" si="18"/>
        <v>2.5</v>
      </c>
      <c r="J41" s="288">
        <f t="shared" si="18"/>
        <v>2.5</v>
      </c>
      <c r="K41" s="288">
        <f t="shared" si="18"/>
        <v>2.5</v>
      </c>
      <c r="L41" s="288">
        <f t="shared" si="18"/>
        <v>2.5</v>
      </c>
      <c r="M41" s="288">
        <f t="shared" si="18"/>
        <v>2.5</v>
      </c>
      <c r="N41" s="288">
        <f t="shared" si="18"/>
        <v>2.5</v>
      </c>
      <c r="O41" s="288">
        <f t="shared" si="18"/>
        <v>2.5</v>
      </c>
      <c r="P41" s="288">
        <f t="shared" si="18"/>
        <v>2.5</v>
      </c>
      <c r="Q41" s="288">
        <f t="shared" si="18"/>
        <v>2.5</v>
      </c>
      <c r="R41" s="288">
        <f t="shared" si="18"/>
        <v>2.5</v>
      </c>
      <c r="S41" s="288">
        <f t="shared" si="18"/>
        <v>2.5</v>
      </c>
      <c r="T41" s="288">
        <f t="shared" si="18"/>
        <v>2.5</v>
      </c>
      <c r="U41" s="288">
        <f t="shared" si="18"/>
        <v>2.5</v>
      </c>
      <c r="V41" s="288">
        <f t="shared" si="18"/>
        <v>2.5</v>
      </c>
      <c r="W41" s="288">
        <f t="shared" si="18"/>
        <v>2.5</v>
      </c>
      <c r="X41" s="288">
        <f t="shared" si="18"/>
        <v>2.5</v>
      </c>
      <c r="Y41" s="288">
        <f t="shared" si="18"/>
        <v>2.5</v>
      </c>
      <c r="Z41" s="288">
        <f t="shared" si="18"/>
        <v>2.5</v>
      </c>
      <c r="AA41" s="288">
        <f t="shared" si="18"/>
        <v>2.5</v>
      </c>
      <c r="AB41" s="288">
        <f t="shared" si="18"/>
        <v>2.5</v>
      </c>
      <c r="AC41" s="288">
        <f t="shared" si="18"/>
        <v>2.5</v>
      </c>
      <c r="AD41" s="288">
        <f t="shared" si="18"/>
        <v>2.5</v>
      </c>
      <c r="AE41" s="288">
        <f t="shared" si="18"/>
        <v>2.5</v>
      </c>
      <c r="AF41" s="288">
        <f t="shared" si="18"/>
        <v>2.5</v>
      </c>
      <c r="AG41" s="288">
        <f t="shared" si="18"/>
        <v>2.5</v>
      </c>
      <c r="AH41" s="288">
        <f t="shared" si="18"/>
        <v>2.5</v>
      </c>
      <c r="AI41" s="288">
        <f t="shared" si="18"/>
        <v>2.5</v>
      </c>
      <c r="AJ41" s="288">
        <f t="shared" si="18"/>
        <v>2.5</v>
      </c>
      <c r="AK41" s="288">
        <f t="shared" si="18"/>
        <v>2.5</v>
      </c>
      <c r="AL41" s="288">
        <f t="shared" si="18"/>
        <v>2.5</v>
      </c>
      <c r="AM41" s="288">
        <f t="shared" si="18"/>
        <v>2.5</v>
      </c>
      <c r="AN41" s="289">
        <f t="shared" si="18"/>
        <v>2.5</v>
      </c>
    </row>
    <row r="42" spans="1:40" s="162" customFormat="1">
      <c r="A42" s="205"/>
      <c r="B42" s="283" t="s">
        <v>220</v>
      </c>
      <c r="C42" s="283" t="s">
        <v>251</v>
      </c>
      <c r="D42" s="268">
        <f>0.1/$D$38</f>
        <v>2.5</v>
      </c>
      <c r="E42" s="269">
        <f t="shared" si="18"/>
        <v>2.5</v>
      </c>
      <c r="F42" s="269">
        <f t="shared" si="18"/>
        <v>2.5</v>
      </c>
      <c r="G42" s="269">
        <f t="shared" si="18"/>
        <v>2.5</v>
      </c>
      <c r="H42" s="269">
        <f t="shared" si="18"/>
        <v>2.5</v>
      </c>
      <c r="I42" s="269">
        <f t="shared" si="18"/>
        <v>2.5</v>
      </c>
      <c r="J42" s="269">
        <f t="shared" si="18"/>
        <v>2.5</v>
      </c>
      <c r="K42" s="269">
        <f t="shared" si="18"/>
        <v>2.5</v>
      </c>
      <c r="L42" s="269">
        <f t="shared" si="18"/>
        <v>2.5</v>
      </c>
      <c r="M42" s="269">
        <f t="shared" si="18"/>
        <v>2.5</v>
      </c>
      <c r="N42" s="269">
        <f t="shared" si="18"/>
        <v>2.5</v>
      </c>
      <c r="O42" s="269">
        <f t="shared" si="18"/>
        <v>2.5</v>
      </c>
      <c r="P42" s="269">
        <f t="shared" si="18"/>
        <v>2.5</v>
      </c>
      <c r="Q42" s="269">
        <f t="shared" si="18"/>
        <v>2.5</v>
      </c>
      <c r="R42" s="269">
        <f t="shared" si="18"/>
        <v>2.5</v>
      </c>
      <c r="S42" s="269">
        <f t="shared" si="18"/>
        <v>2.5</v>
      </c>
      <c r="T42" s="269">
        <f t="shared" si="18"/>
        <v>2.5</v>
      </c>
      <c r="U42" s="269">
        <f t="shared" si="18"/>
        <v>2.5</v>
      </c>
      <c r="V42" s="269">
        <f t="shared" si="18"/>
        <v>2.5</v>
      </c>
      <c r="W42" s="269">
        <f t="shared" si="18"/>
        <v>2.5</v>
      </c>
      <c r="X42" s="269">
        <f t="shared" si="18"/>
        <v>2.5</v>
      </c>
      <c r="Y42" s="269">
        <f t="shared" si="18"/>
        <v>2.5</v>
      </c>
      <c r="Z42" s="269">
        <f t="shared" si="18"/>
        <v>2.5</v>
      </c>
      <c r="AA42" s="269">
        <f t="shared" si="18"/>
        <v>2.5</v>
      </c>
      <c r="AB42" s="269">
        <f t="shared" si="18"/>
        <v>2.5</v>
      </c>
      <c r="AC42" s="269">
        <f t="shared" si="18"/>
        <v>2.5</v>
      </c>
      <c r="AD42" s="269">
        <f t="shared" si="18"/>
        <v>2.5</v>
      </c>
      <c r="AE42" s="269">
        <f t="shared" si="18"/>
        <v>2.5</v>
      </c>
      <c r="AF42" s="269">
        <f t="shared" si="18"/>
        <v>2.5</v>
      </c>
      <c r="AG42" s="269">
        <f t="shared" si="18"/>
        <v>2.5</v>
      </c>
      <c r="AH42" s="269">
        <f t="shared" si="18"/>
        <v>2.5</v>
      </c>
      <c r="AI42" s="269">
        <f t="shared" si="18"/>
        <v>2.5</v>
      </c>
      <c r="AJ42" s="269">
        <f t="shared" si="18"/>
        <v>2.5</v>
      </c>
      <c r="AK42" s="269">
        <f t="shared" si="18"/>
        <v>2.5</v>
      </c>
      <c r="AL42" s="269">
        <f t="shared" si="18"/>
        <v>2.5</v>
      </c>
      <c r="AM42" s="269">
        <f t="shared" si="18"/>
        <v>2.5</v>
      </c>
      <c r="AN42" s="270">
        <f t="shared" si="18"/>
        <v>2.5</v>
      </c>
    </row>
    <row r="43" spans="1:40" s="162" customFormat="1">
      <c r="A43" s="206"/>
      <c r="B43" s="284" t="s">
        <v>221</v>
      </c>
      <c r="C43" s="284" t="s">
        <v>251</v>
      </c>
      <c r="D43" s="271">
        <f>0.05/$D$38</f>
        <v>1.25</v>
      </c>
      <c r="E43" s="260">
        <f t="shared" ref="E43:AN43" si="19">0.05/$D$38</f>
        <v>1.25</v>
      </c>
      <c r="F43" s="260">
        <f t="shared" si="19"/>
        <v>1.25</v>
      </c>
      <c r="G43" s="260">
        <f t="shared" si="19"/>
        <v>1.25</v>
      </c>
      <c r="H43" s="260">
        <f t="shared" si="19"/>
        <v>1.25</v>
      </c>
      <c r="I43" s="260">
        <f t="shared" si="19"/>
        <v>1.25</v>
      </c>
      <c r="J43" s="260">
        <f t="shared" si="19"/>
        <v>1.25</v>
      </c>
      <c r="K43" s="260">
        <f t="shared" si="19"/>
        <v>1.25</v>
      </c>
      <c r="L43" s="260">
        <f t="shared" si="19"/>
        <v>1.25</v>
      </c>
      <c r="M43" s="260">
        <f t="shared" si="19"/>
        <v>1.25</v>
      </c>
      <c r="N43" s="260">
        <f t="shared" si="19"/>
        <v>1.25</v>
      </c>
      <c r="O43" s="260">
        <f t="shared" si="19"/>
        <v>1.25</v>
      </c>
      <c r="P43" s="260">
        <f t="shared" si="19"/>
        <v>1.25</v>
      </c>
      <c r="Q43" s="260">
        <f t="shared" si="19"/>
        <v>1.25</v>
      </c>
      <c r="R43" s="260">
        <f t="shared" si="19"/>
        <v>1.25</v>
      </c>
      <c r="S43" s="260">
        <f t="shared" si="19"/>
        <v>1.25</v>
      </c>
      <c r="T43" s="260">
        <f t="shared" si="19"/>
        <v>1.25</v>
      </c>
      <c r="U43" s="260">
        <f t="shared" si="19"/>
        <v>1.25</v>
      </c>
      <c r="V43" s="260">
        <f t="shared" si="19"/>
        <v>1.25</v>
      </c>
      <c r="W43" s="260">
        <f t="shared" si="19"/>
        <v>1.25</v>
      </c>
      <c r="X43" s="260">
        <f t="shared" si="19"/>
        <v>1.25</v>
      </c>
      <c r="Y43" s="260">
        <f t="shared" si="19"/>
        <v>1.25</v>
      </c>
      <c r="Z43" s="260">
        <f t="shared" si="19"/>
        <v>1.25</v>
      </c>
      <c r="AA43" s="260">
        <f t="shared" si="19"/>
        <v>1.25</v>
      </c>
      <c r="AB43" s="260">
        <f t="shared" si="19"/>
        <v>1.25</v>
      </c>
      <c r="AC43" s="260">
        <f t="shared" si="19"/>
        <v>1.25</v>
      </c>
      <c r="AD43" s="260">
        <f t="shared" si="19"/>
        <v>1.25</v>
      </c>
      <c r="AE43" s="260">
        <f t="shared" si="19"/>
        <v>1.25</v>
      </c>
      <c r="AF43" s="260">
        <f t="shared" si="19"/>
        <v>1.25</v>
      </c>
      <c r="AG43" s="260">
        <f t="shared" si="19"/>
        <v>1.25</v>
      </c>
      <c r="AH43" s="260">
        <f t="shared" si="19"/>
        <v>1.25</v>
      </c>
      <c r="AI43" s="260">
        <f t="shared" si="19"/>
        <v>1.25</v>
      </c>
      <c r="AJ43" s="260">
        <f t="shared" si="19"/>
        <v>1.25</v>
      </c>
      <c r="AK43" s="260">
        <f t="shared" si="19"/>
        <v>1.25</v>
      </c>
      <c r="AL43" s="260">
        <f t="shared" si="19"/>
        <v>1.25</v>
      </c>
      <c r="AM43" s="260">
        <f t="shared" si="19"/>
        <v>1.25</v>
      </c>
      <c r="AN43" s="261">
        <f t="shared" si="19"/>
        <v>1.25</v>
      </c>
    </row>
    <row r="44" spans="1:40" s="162" customFormat="1">
      <c r="A44" s="204" t="s">
        <v>248</v>
      </c>
      <c r="B44" s="299" t="s">
        <v>218</v>
      </c>
      <c r="C44" s="299" t="s">
        <v>252</v>
      </c>
      <c r="D44" s="279">
        <f>1/D41</f>
        <v>0.4</v>
      </c>
      <c r="E44" s="279">
        <f t="shared" ref="E44:AN44" si="20">1/E41</f>
        <v>0.4</v>
      </c>
      <c r="F44" s="279">
        <f t="shared" si="20"/>
        <v>0.4</v>
      </c>
      <c r="G44" s="279">
        <f t="shared" si="20"/>
        <v>0.4</v>
      </c>
      <c r="H44" s="279">
        <f t="shared" si="20"/>
        <v>0.4</v>
      </c>
      <c r="I44" s="279">
        <f t="shared" si="20"/>
        <v>0.4</v>
      </c>
      <c r="J44" s="279">
        <f t="shared" si="20"/>
        <v>0.4</v>
      </c>
      <c r="K44" s="279">
        <f t="shared" si="20"/>
        <v>0.4</v>
      </c>
      <c r="L44" s="279">
        <f t="shared" si="20"/>
        <v>0.4</v>
      </c>
      <c r="M44" s="279">
        <f t="shared" si="20"/>
        <v>0.4</v>
      </c>
      <c r="N44" s="279">
        <f t="shared" si="20"/>
        <v>0.4</v>
      </c>
      <c r="O44" s="279">
        <f t="shared" si="20"/>
        <v>0.4</v>
      </c>
      <c r="P44" s="279">
        <f t="shared" si="20"/>
        <v>0.4</v>
      </c>
      <c r="Q44" s="279">
        <f t="shared" si="20"/>
        <v>0.4</v>
      </c>
      <c r="R44" s="279">
        <f t="shared" si="20"/>
        <v>0.4</v>
      </c>
      <c r="S44" s="279">
        <f t="shared" si="20"/>
        <v>0.4</v>
      </c>
      <c r="T44" s="279">
        <f t="shared" si="20"/>
        <v>0.4</v>
      </c>
      <c r="U44" s="279">
        <f t="shared" si="20"/>
        <v>0.4</v>
      </c>
      <c r="V44" s="279">
        <f t="shared" si="20"/>
        <v>0.4</v>
      </c>
      <c r="W44" s="279">
        <f t="shared" si="20"/>
        <v>0.4</v>
      </c>
      <c r="X44" s="279">
        <f t="shared" si="20"/>
        <v>0.4</v>
      </c>
      <c r="Y44" s="279">
        <f t="shared" si="20"/>
        <v>0.4</v>
      </c>
      <c r="Z44" s="279">
        <f t="shared" si="20"/>
        <v>0.4</v>
      </c>
      <c r="AA44" s="279">
        <f t="shared" si="20"/>
        <v>0.4</v>
      </c>
      <c r="AB44" s="279">
        <f t="shared" si="20"/>
        <v>0.4</v>
      </c>
      <c r="AC44" s="279">
        <f t="shared" si="20"/>
        <v>0.4</v>
      </c>
      <c r="AD44" s="279">
        <f t="shared" si="20"/>
        <v>0.4</v>
      </c>
      <c r="AE44" s="279">
        <f t="shared" si="20"/>
        <v>0.4</v>
      </c>
      <c r="AF44" s="279">
        <f t="shared" si="20"/>
        <v>0.4</v>
      </c>
      <c r="AG44" s="279">
        <f t="shared" si="20"/>
        <v>0.4</v>
      </c>
      <c r="AH44" s="279">
        <f t="shared" si="20"/>
        <v>0.4</v>
      </c>
      <c r="AI44" s="279">
        <f t="shared" si="20"/>
        <v>0.4</v>
      </c>
      <c r="AJ44" s="279">
        <f t="shared" si="20"/>
        <v>0.4</v>
      </c>
      <c r="AK44" s="279">
        <f t="shared" si="20"/>
        <v>0.4</v>
      </c>
      <c r="AL44" s="279">
        <f t="shared" si="20"/>
        <v>0.4</v>
      </c>
      <c r="AM44" s="279">
        <f t="shared" si="20"/>
        <v>0.4</v>
      </c>
      <c r="AN44" s="298">
        <f t="shared" si="20"/>
        <v>0.4</v>
      </c>
    </row>
    <row r="45" spans="1:40" s="162" customFormat="1">
      <c r="A45" s="205"/>
      <c r="B45" s="283" t="s">
        <v>220</v>
      </c>
      <c r="C45" s="283" t="s">
        <v>252</v>
      </c>
      <c r="D45" s="300">
        <f t="shared" ref="D45:AN45" si="21">1/D42</f>
        <v>0.4</v>
      </c>
      <c r="E45" s="300">
        <f t="shared" si="21"/>
        <v>0.4</v>
      </c>
      <c r="F45" s="300">
        <f t="shared" si="21"/>
        <v>0.4</v>
      </c>
      <c r="G45" s="300">
        <f t="shared" si="21"/>
        <v>0.4</v>
      </c>
      <c r="H45" s="300">
        <f t="shared" si="21"/>
        <v>0.4</v>
      </c>
      <c r="I45" s="300">
        <f t="shared" si="21"/>
        <v>0.4</v>
      </c>
      <c r="J45" s="300">
        <f t="shared" si="21"/>
        <v>0.4</v>
      </c>
      <c r="K45" s="300">
        <f t="shared" si="21"/>
        <v>0.4</v>
      </c>
      <c r="L45" s="300">
        <f t="shared" si="21"/>
        <v>0.4</v>
      </c>
      <c r="M45" s="300">
        <f t="shared" si="21"/>
        <v>0.4</v>
      </c>
      <c r="N45" s="300">
        <f t="shared" si="21"/>
        <v>0.4</v>
      </c>
      <c r="O45" s="300">
        <f t="shared" si="21"/>
        <v>0.4</v>
      </c>
      <c r="P45" s="300">
        <f t="shared" si="21"/>
        <v>0.4</v>
      </c>
      <c r="Q45" s="300">
        <f t="shared" si="21"/>
        <v>0.4</v>
      </c>
      <c r="R45" s="300">
        <f t="shared" si="21"/>
        <v>0.4</v>
      </c>
      <c r="S45" s="300">
        <f t="shared" si="21"/>
        <v>0.4</v>
      </c>
      <c r="T45" s="300">
        <f t="shared" si="21"/>
        <v>0.4</v>
      </c>
      <c r="U45" s="300">
        <f t="shared" si="21"/>
        <v>0.4</v>
      </c>
      <c r="V45" s="300">
        <f t="shared" si="21"/>
        <v>0.4</v>
      </c>
      <c r="W45" s="300">
        <f t="shared" si="21"/>
        <v>0.4</v>
      </c>
      <c r="X45" s="300">
        <f t="shared" si="21"/>
        <v>0.4</v>
      </c>
      <c r="Y45" s="300">
        <f t="shared" si="21"/>
        <v>0.4</v>
      </c>
      <c r="Z45" s="300">
        <f t="shared" si="21"/>
        <v>0.4</v>
      </c>
      <c r="AA45" s="300">
        <f t="shared" si="21"/>
        <v>0.4</v>
      </c>
      <c r="AB45" s="300">
        <f t="shared" si="21"/>
        <v>0.4</v>
      </c>
      <c r="AC45" s="300">
        <f t="shared" si="21"/>
        <v>0.4</v>
      </c>
      <c r="AD45" s="300">
        <f t="shared" si="21"/>
        <v>0.4</v>
      </c>
      <c r="AE45" s="300">
        <f t="shared" si="21"/>
        <v>0.4</v>
      </c>
      <c r="AF45" s="300">
        <f t="shared" si="21"/>
        <v>0.4</v>
      </c>
      <c r="AG45" s="300">
        <f t="shared" si="21"/>
        <v>0.4</v>
      </c>
      <c r="AH45" s="300">
        <f t="shared" si="21"/>
        <v>0.4</v>
      </c>
      <c r="AI45" s="300">
        <f t="shared" si="21"/>
        <v>0.4</v>
      </c>
      <c r="AJ45" s="300">
        <f t="shared" si="21"/>
        <v>0.4</v>
      </c>
      <c r="AK45" s="300">
        <f t="shared" si="21"/>
        <v>0.4</v>
      </c>
      <c r="AL45" s="300">
        <f t="shared" si="21"/>
        <v>0.4</v>
      </c>
      <c r="AM45" s="300">
        <f t="shared" si="21"/>
        <v>0.4</v>
      </c>
      <c r="AN45" s="301">
        <f t="shared" si="21"/>
        <v>0.4</v>
      </c>
    </row>
    <row r="46" spans="1:40" s="162" customFormat="1">
      <c r="A46" s="206"/>
      <c r="B46" s="284" t="s">
        <v>221</v>
      </c>
      <c r="C46" s="284" t="s">
        <v>252</v>
      </c>
      <c r="D46" s="302">
        <f t="shared" ref="D46:AN46" si="22">1/D43</f>
        <v>0.8</v>
      </c>
      <c r="E46" s="302">
        <f t="shared" si="22"/>
        <v>0.8</v>
      </c>
      <c r="F46" s="302">
        <f t="shared" si="22"/>
        <v>0.8</v>
      </c>
      <c r="G46" s="302">
        <f t="shared" si="22"/>
        <v>0.8</v>
      </c>
      <c r="H46" s="302">
        <f t="shared" si="22"/>
        <v>0.8</v>
      </c>
      <c r="I46" s="302">
        <f t="shared" si="22"/>
        <v>0.8</v>
      </c>
      <c r="J46" s="302">
        <f t="shared" si="22"/>
        <v>0.8</v>
      </c>
      <c r="K46" s="302">
        <f t="shared" si="22"/>
        <v>0.8</v>
      </c>
      <c r="L46" s="302">
        <f t="shared" si="22"/>
        <v>0.8</v>
      </c>
      <c r="M46" s="302">
        <f t="shared" si="22"/>
        <v>0.8</v>
      </c>
      <c r="N46" s="302">
        <f t="shared" si="22"/>
        <v>0.8</v>
      </c>
      <c r="O46" s="302">
        <f t="shared" si="22"/>
        <v>0.8</v>
      </c>
      <c r="P46" s="302">
        <f t="shared" si="22"/>
        <v>0.8</v>
      </c>
      <c r="Q46" s="302">
        <f t="shared" si="22"/>
        <v>0.8</v>
      </c>
      <c r="R46" s="302">
        <f t="shared" si="22"/>
        <v>0.8</v>
      </c>
      <c r="S46" s="302">
        <f t="shared" si="22"/>
        <v>0.8</v>
      </c>
      <c r="T46" s="302">
        <f t="shared" si="22"/>
        <v>0.8</v>
      </c>
      <c r="U46" s="302">
        <f t="shared" si="22"/>
        <v>0.8</v>
      </c>
      <c r="V46" s="302">
        <f t="shared" si="22"/>
        <v>0.8</v>
      </c>
      <c r="W46" s="302">
        <f t="shared" si="22"/>
        <v>0.8</v>
      </c>
      <c r="X46" s="302">
        <f t="shared" si="22"/>
        <v>0.8</v>
      </c>
      <c r="Y46" s="302">
        <f t="shared" si="22"/>
        <v>0.8</v>
      </c>
      <c r="Z46" s="302">
        <f t="shared" si="22"/>
        <v>0.8</v>
      </c>
      <c r="AA46" s="302">
        <f t="shared" si="22"/>
        <v>0.8</v>
      </c>
      <c r="AB46" s="302">
        <f t="shared" si="22"/>
        <v>0.8</v>
      </c>
      <c r="AC46" s="302">
        <f t="shared" si="22"/>
        <v>0.8</v>
      </c>
      <c r="AD46" s="302">
        <f t="shared" si="22"/>
        <v>0.8</v>
      </c>
      <c r="AE46" s="302">
        <f t="shared" si="22"/>
        <v>0.8</v>
      </c>
      <c r="AF46" s="302">
        <f t="shared" si="22"/>
        <v>0.8</v>
      </c>
      <c r="AG46" s="302">
        <f t="shared" si="22"/>
        <v>0.8</v>
      </c>
      <c r="AH46" s="302">
        <f t="shared" si="22"/>
        <v>0.8</v>
      </c>
      <c r="AI46" s="302">
        <f t="shared" si="22"/>
        <v>0.8</v>
      </c>
      <c r="AJ46" s="302">
        <f t="shared" si="22"/>
        <v>0.8</v>
      </c>
      <c r="AK46" s="302">
        <f t="shared" si="22"/>
        <v>0.8</v>
      </c>
      <c r="AL46" s="302">
        <f t="shared" si="22"/>
        <v>0.8</v>
      </c>
      <c r="AM46" s="302">
        <f t="shared" si="22"/>
        <v>0.8</v>
      </c>
      <c r="AN46" s="303">
        <f t="shared" si="22"/>
        <v>0.8</v>
      </c>
    </row>
    <row r="48" spans="1:40">
      <c r="C48" s="162"/>
      <c r="D48" s="162"/>
      <c r="R48" s="162"/>
      <c r="V48" s="162"/>
      <c r="Y48" s="162"/>
      <c r="AB48" s="162"/>
    </row>
    <row r="49" spans="1:44">
      <c r="C49" s="162"/>
      <c r="D49" s="162"/>
      <c r="R49" s="162"/>
      <c r="V49" s="162"/>
      <c r="Y49" s="162"/>
      <c r="AB49" s="162"/>
    </row>
    <row r="50" spans="1:44">
      <c r="A50" s="137" t="s">
        <v>78</v>
      </c>
    </row>
    <row r="51" spans="1:44">
      <c r="A51" s="159" t="s">
        <v>254</v>
      </c>
      <c r="B51" s="159" t="s">
        <v>249</v>
      </c>
      <c r="C51" s="285" t="s">
        <v>1</v>
      </c>
      <c r="D51" s="247" t="s">
        <v>88</v>
      </c>
      <c r="E51" s="248" t="s">
        <v>89</v>
      </c>
      <c r="F51" s="248" t="s">
        <v>90</v>
      </c>
      <c r="G51" s="248" t="s">
        <v>91</v>
      </c>
      <c r="H51" s="248" t="s">
        <v>92</v>
      </c>
      <c r="I51" s="248" t="s">
        <v>93</v>
      </c>
      <c r="J51" s="248" t="s">
        <v>94</v>
      </c>
      <c r="K51" s="248" t="s">
        <v>95</v>
      </c>
      <c r="L51" s="248" t="s">
        <v>96</v>
      </c>
      <c r="M51" s="248" t="s">
        <v>97</v>
      </c>
      <c r="N51" s="248" t="s">
        <v>98</v>
      </c>
      <c r="O51" s="248" t="s">
        <v>99</v>
      </c>
      <c r="P51" s="248" t="s">
        <v>205</v>
      </c>
      <c r="Q51" s="248" t="s">
        <v>118</v>
      </c>
      <c r="R51" s="248" t="s">
        <v>100</v>
      </c>
      <c r="S51" s="248" t="s">
        <v>101</v>
      </c>
      <c r="T51" s="248" t="s">
        <v>102</v>
      </c>
      <c r="U51" s="248" t="s">
        <v>103</v>
      </c>
      <c r="V51" s="248" t="s">
        <v>104</v>
      </c>
      <c r="W51" s="248" t="s">
        <v>105</v>
      </c>
      <c r="X51" s="248" t="s">
        <v>106</v>
      </c>
      <c r="Y51" s="248" t="s">
        <v>107</v>
      </c>
      <c r="Z51" s="248" t="s">
        <v>108</v>
      </c>
      <c r="AA51" s="248" t="s">
        <v>109</v>
      </c>
      <c r="AB51" s="248" t="s">
        <v>110</v>
      </c>
      <c r="AC51" s="248" t="s">
        <v>111</v>
      </c>
      <c r="AD51" s="248" t="s">
        <v>112</v>
      </c>
      <c r="AE51" s="248" t="s">
        <v>113</v>
      </c>
      <c r="AF51" s="248" t="s">
        <v>114</v>
      </c>
      <c r="AG51" s="248" t="s">
        <v>115</v>
      </c>
      <c r="AH51" s="248" t="s">
        <v>52</v>
      </c>
      <c r="AI51" s="248" t="s">
        <v>116</v>
      </c>
      <c r="AJ51" s="248" t="s">
        <v>117</v>
      </c>
      <c r="AK51" s="248" t="s">
        <v>119</v>
      </c>
      <c r="AL51" s="248" t="s">
        <v>120</v>
      </c>
      <c r="AM51" s="248" t="s">
        <v>121</v>
      </c>
      <c r="AN51" s="249" t="s">
        <v>122</v>
      </c>
    </row>
    <row r="52" spans="1:44" s="265" customFormat="1" ht="15" customHeight="1">
      <c r="A52" s="321" t="s">
        <v>253</v>
      </c>
      <c r="B52" s="272" t="s">
        <v>223</v>
      </c>
      <c r="C52" s="120" t="s">
        <v>255</v>
      </c>
      <c r="D52" s="935" t="s">
        <v>226</v>
      </c>
      <c r="E52" s="936"/>
      <c r="F52" s="936"/>
      <c r="G52" s="936"/>
      <c r="H52" s="936"/>
      <c r="I52" s="936"/>
      <c r="J52" s="936"/>
      <c r="K52" s="936"/>
      <c r="L52" s="936"/>
      <c r="M52" s="936"/>
      <c r="N52" s="936"/>
      <c r="O52" s="936"/>
      <c r="P52" s="936"/>
      <c r="Q52" s="936"/>
      <c r="R52" s="936"/>
      <c r="S52" s="936"/>
      <c r="T52" s="936"/>
      <c r="U52" s="936"/>
      <c r="V52" s="936"/>
      <c r="W52" s="936"/>
      <c r="X52" s="936"/>
      <c r="Y52" s="936"/>
      <c r="Z52" s="936"/>
      <c r="AA52" s="936"/>
      <c r="AB52" s="936"/>
      <c r="AC52" s="936"/>
      <c r="AD52" s="936"/>
      <c r="AE52" s="936"/>
      <c r="AF52" s="936"/>
      <c r="AG52" s="936"/>
      <c r="AH52" s="936"/>
      <c r="AI52" s="936"/>
      <c r="AJ52" s="936"/>
      <c r="AK52" s="936"/>
      <c r="AL52" s="936"/>
      <c r="AM52" s="936"/>
      <c r="AN52" s="937"/>
      <c r="AO52" s="5"/>
    </row>
    <row r="53" spans="1:44" s="265" customFormat="1" ht="15" customHeight="1">
      <c r="A53" s="311"/>
      <c r="B53" s="267" t="s">
        <v>224</v>
      </c>
      <c r="C53" s="311" t="s">
        <v>255</v>
      </c>
      <c r="D53" s="933" t="s">
        <v>278</v>
      </c>
      <c r="E53" s="920"/>
      <c r="F53" s="920"/>
      <c r="G53" s="920"/>
      <c r="H53" s="920"/>
      <c r="I53" s="920"/>
      <c r="J53" s="920"/>
      <c r="K53" s="920"/>
      <c r="L53" s="920"/>
      <c r="M53" s="920"/>
      <c r="N53" s="920"/>
      <c r="O53" s="920"/>
      <c r="P53" s="920"/>
      <c r="Q53" s="920"/>
      <c r="R53" s="920"/>
      <c r="S53" s="920"/>
      <c r="T53" s="920"/>
      <c r="U53" s="920"/>
      <c r="V53" s="920"/>
      <c r="W53" s="920"/>
      <c r="X53" s="920"/>
      <c r="Y53" s="920"/>
      <c r="Z53" s="920"/>
      <c r="AA53" s="920"/>
      <c r="AB53" s="920"/>
      <c r="AC53" s="920"/>
      <c r="AD53" s="920"/>
      <c r="AE53" s="920"/>
      <c r="AF53" s="920"/>
      <c r="AG53" s="920"/>
      <c r="AH53" s="920"/>
      <c r="AI53" s="920"/>
      <c r="AJ53" s="920"/>
      <c r="AK53" s="920"/>
      <c r="AL53" s="920"/>
      <c r="AM53" s="920"/>
      <c r="AN53" s="934"/>
    </row>
    <row r="54" spans="1:44" s="265" customFormat="1" ht="15" customHeight="1">
      <c r="A54" s="312"/>
      <c r="B54" s="259" t="s">
        <v>225</v>
      </c>
      <c r="C54" s="312" t="s">
        <v>255</v>
      </c>
      <c r="D54" s="924" t="s">
        <v>277</v>
      </c>
      <c r="E54" s="925"/>
      <c r="F54" s="925"/>
      <c r="G54" s="925"/>
      <c r="H54" s="925"/>
      <c r="I54" s="925"/>
      <c r="J54" s="925"/>
      <c r="K54" s="925"/>
      <c r="L54" s="925"/>
      <c r="M54" s="925"/>
      <c r="N54" s="925"/>
      <c r="O54" s="925"/>
      <c r="P54" s="925"/>
      <c r="Q54" s="925"/>
      <c r="R54" s="925"/>
      <c r="S54" s="925"/>
      <c r="T54" s="925"/>
      <c r="U54" s="925"/>
      <c r="V54" s="925"/>
      <c r="W54" s="925"/>
      <c r="X54" s="925"/>
      <c r="Y54" s="925"/>
      <c r="Z54" s="925"/>
      <c r="AA54" s="925"/>
      <c r="AB54" s="925"/>
      <c r="AC54" s="925"/>
      <c r="AD54" s="925"/>
      <c r="AE54" s="925"/>
      <c r="AF54" s="925"/>
      <c r="AG54" s="925"/>
      <c r="AH54" s="925"/>
      <c r="AI54" s="925"/>
      <c r="AJ54" s="925"/>
      <c r="AK54" s="925"/>
      <c r="AL54" s="925"/>
      <c r="AM54" s="925"/>
      <c r="AN54" s="926"/>
    </row>
    <row r="55" spans="1:44" s="470" customFormat="1" ht="15" customHeight="1">
      <c r="A55" s="286" t="s">
        <v>250</v>
      </c>
      <c r="B55" s="321" t="s">
        <v>223</v>
      </c>
      <c r="C55" s="148" t="s">
        <v>222</v>
      </c>
      <c r="D55" s="268">
        <v>270</v>
      </c>
      <c r="E55" s="411">
        <f>N55</f>
        <v>350</v>
      </c>
      <c r="F55" s="411">
        <f>AD55</f>
        <v>150</v>
      </c>
      <c r="G55" s="411">
        <f>D55</f>
        <v>270</v>
      </c>
      <c r="H55" s="411">
        <f>U55</f>
        <v>320</v>
      </c>
      <c r="I55" s="269">
        <v>200</v>
      </c>
      <c r="J55" s="412">
        <f>O55/O56*J56</f>
        <v>282.97872340425528</v>
      </c>
      <c r="K55" s="411">
        <f>N55</f>
        <v>350</v>
      </c>
      <c r="L55" s="411">
        <f>AD55</f>
        <v>150</v>
      </c>
      <c r="M55" s="269">
        <v>450</v>
      </c>
      <c r="N55" s="269">
        <v>350</v>
      </c>
      <c r="O55" s="269">
        <v>380</v>
      </c>
      <c r="P55" s="411">
        <f>U55</f>
        <v>320</v>
      </c>
      <c r="Q55" s="411">
        <f>AD55</f>
        <v>150</v>
      </c>
      <c r="R55" s="411">
        <f>AD55</f>
        <v>150</v>
      </c>
      <c r="S55" s="411">
        <f>J55</f>
        <v>282.97872340425528</v>
      </c>
      <c r="T55" s="411">
        <f>N55</f>
        <v>350</v>
      </c>
      <c r="U55" s="269">
        <v>320</v>
      </c>
      <c r="V55" s="411">
        <f>AD55</f>
        <v>150</v>
      </c>
      <c r="W55" s="411">
        <f>N55</f>
        <v>350</v>
      </c>
      <c r="X55" s="411">
        <f>AD55</f>
        <v>150</v>
      </c>
      <c r="Y55" s="411">
        <f>U55</f>
        <v>320</v>
      </c>
      <c r="Z55" s="411">
        <f>J55</f>
        <v>282.97872340425528</v>
      </c>
      <c r="AA55" s="411">
        <f>N55</f>
        <v>350</v>
      </c>
      <c r="AB55" s="411">
        <f>AD55</f>
        <v>150</v>
      </c>
      <c r="AC55" s="411">
        <f>M55</f>
        <v>450</v>
      </c>
      <c r="AD55" s="269">
        <v>150</v>
      </c>
      <c r="AE55" s="411">
        <f>N55</f>
        <v>350</v>
      </c>
      <c r="AF55" s="411">
        <f>AD55</f>
        <v>150</v>
      </c>
      <c r="AG55" s="411">
        <f>I55</f>
        <v>200</v>
      </c>
      <c r="AH55" s="411">
        <f>J55</f>
        <v>282.97872340425528</v>
      </c>
      <c r="AI55" s="411">
        <f>AD55</f>
        <v>150</v>
      </c>
      <c r="AJ55" s="411">
        <f>AD55</f>
        <v>150</v>
      </c>
      <c r="AK55" s="411">
        <f>AD55</f>
        <v>150</v>
      </c>
      <c r="AL55" s="411">
        <f>AD55</f>
        <v>150</v>
      </c>
      <c r="AM55" s="411">
        <f>AD55</f>
        <v>150</v>
      </c>
      <c r="AN55" s="413">
        <f>AD55</f>
        <v>150</v>
      </c>
      <c r="AO55" s="162"/>
      <c r="AP55" s="162"/>
      <c r="AQ55" s="162"/>
      <c r="AR55" s="162"/>
    </row>
    <row r="56" spans="1:44" s="162" customFormat="1">
      <c r="A56" s="255"/>
      <c r="B56" s="315" t="s">
        <v>224</v>
      </c>
      <c r="C56" s="266" t="s">
        <v>222</v>
      </c>
      <c r="D56" s="268">
        <v>300</v>
      </c>
      <c r="E56" s="411">
        <f>N56</f>
        <v>400</v>
      </c>
      <c r="F56" s="411">
        <f>AD56</f>
        <v>200</v>
      </c>
      <c r="G56" s="411">
        <f>D56</f>
        <v>300</v>
      </c>
      <c r="H56" s="411">
        <f>U56</f>
        <v>400</v>
      </c>
      <c r="I56" s="269">
        <v>260</v>
      </c>
      <c r="J56" s="269">
        <v>350</v>
      </c>
      <c r="K56" s="411">
        <f>N56</f>
        <v>400</v>
      </c>
      <c r="L56" s="411">
        <f>AD56</f>
        <v>200</v>
      </c>
      <c r="M56" s="269">
        <v>510</v>
      </c>
      <c r="N56" s="269">
        <v>400</v>
      </c>
      <c r="O56" s="269">
        <v>470</v>
      </c>
      <c r="P56" s="411">
        <f>U56</f>
        <v>400</v>
      </c>
      <c r="Q56" s="411">
        <f>AD56</f>
        <v>200</v>
      </c>
      <c r="R56" s="411">
        <f>AD56</f>
        <v>200</v>
      </c>
      <c r="S56" s="411">
        <f>J56</f>
        <v>350</v>
      </c>
      <c r="T56" s="411">
        <f>N56</f>
        <v>400</v>
      </c>
      <c r="U56" s="269">
        <v>400</v>
      </c>
      <c r="V56" s="411">
        <f>AD56</f>
        <v>200</v>
      </c>
      <c r="W56" s="411">
        <f>N56</f>
        <v>400</v>
      </c>
      <c r="X56" s="411">
        <f>AD56</f>
        <v>200</v>
      </c>
      <c r="Y56" s="411">
        <f>U56</f>
        <v>400</v>
      </c>
      <c r="Z56" s="411">
        <f>J56</f>
        <v>350</v>
      </c>
      <c r="AA56" s="411">
        <f>N56</f>
        <v>400</v>
      </c>
      <c r="AB56" s="411">
        <f>AD56</f>
        <v>200</v>
      </c>
      <c r="AC56" s="411">
        <f>M56</f>
        <v>510</v>
      </c>
      <c r="AD56" s="269">
        <v>200</v>
      </c>
      <c r="AE56" s="411">
        <f>N56</f>
        <v>400</v>
      </c>
      <c r="AF56" s="411">
        <f>AD56</f>
        <v>200</v>
      </c>
      <c r="AG56" s="411">
        <f>I56</f>
        <v>260</v>
      </c>
      <c r="AH56" s="411">
        <f>J56</f>
        <v>350</v>
      </c>
      <c r="AI56" s="411">
        <f>AD56</f>
        <v>200</v>
      </c>
      <c r="AJ56" s="411">
        <f>AD56</f>
        <v>200</v>
      </c>
      <c r="AK56" s="411">
        <f>AD56</f>
        <v>200</v>
      </c>
      <c r="AL56" s="411">
        <f>AD56</f>
        <v>200</v>
      </c>
      <c r="AM56" s="411">
        <f>AD56</f>
        <v>200</v>
      </c>
      <c r="AN56" s="413">
        <f>AD56</f>
        <v>200</v>
      </c>
    </row>
    <row r="57" spans="1:44" s="162" customFormat="1">
      <c r="A57" s="290"/>
      <c r="B57" s="316" t="s">
        <v>225</v>
      </c>
      <c r="C57" s="258" t="s">
        <v>222</v>
      </c>
      <c r="D57" s="268">
        <v>330</v>
      </c>
      <c r="E57" s="411">
        <f>$N$57</f>
        <v>500</v>
      </c>
      <c r="F57" s="411">
        <f>$AD$57</f>
        <v>330</v>
      </c>
      <c r="G57" s="411">
        <f>$D$57</f>
        <v>330</v>
      </c>
      <c r="H57" s="411">
        <f>$U$57</f>
        <v>500</v>
      </c>
      <c r="I57" s="412">
        <f>I56*$AD$57/$AD$56</f>
        <v>429</v>
      </c>
      <c r="J57" s="269">
        <v>400</v>
      </c>
      <c r="K57" s="411">
        <f>$N$57</f>
        <v>500</v>
      </c>
      <c r="L57" s="411">
        <f>$AD$57</f>
        <v>330</v>
      </c>
      <c r="M57" s="412">
        <f>M56*$J$57/$J$56</f>
        <v>582.85714285714289</v>
      </c>
      <c r="N57" s="269">
        <v>500</v>
      </c>
      <c r="O57" s="412">
        <f>O56*$J$57/$J$56</f>
        <v>537.14285714285711</v>
      </c>
      <c r="P57" s="411">
        <f t="shared" ref="P57" si="23">$U$57</f>
        <v>500</v>
      </c>
      <c r="Q57" s="411">
        <f>$AD$57</f>
        <v>330</v>
      </c>
      <c r="R57" s="411">
        <f>$AD$57</f>
        <v>330</v>
      </c>
      <c r="S57" s="411">
        <f>$J$57</f>
        <v>400</v>
      </c>
      <c r="T57" s="411">
        <f>$N$57</f>
        <v>500</v>
      </c>
      <c r="U57" s="411">
        <f>$N$57</f>
        <v>500</v>
      </c>
      <c r="V57" s="411">
        <f>$AD$57</f>
        <v>330</v>
      </c>
      <c r="W57" s="411">
        <f>$N$57</f>
        <v>500</v>
      </c>
      <c r="X57" s="411">
        <f>$AD$57</f>
        <v>330</v>
      </c>
      <c r="Y57" s="411">
        <f>$U$57</f>
        <v>500</v>
      </c>
      <c r="Z57" s="411">
        <f>$J$57</f>
        <v>400</v>
      </c>
      <c r="AA57" s="411">
        <f>$N$57</f>
        <v>500</v>
      </c>
      <c r="AB57" s="411">
        <f>$AD$57</f>
        <v>330</v>
      </c>
      <c r="AC57" s="412">
        <f>AC56*$J$57/$J$56</f>
        <v>582.85714285714289</v>
      </c>
      <c r="AD57" s="269">
        <v>330</v>
      </c>
      <c r="AE57" s="411">
        <f>$N$57</f>
        <v>500</v>
      </c>
      <c r="AF57" s="411">
        <f>$AD$57</f>
        <v>330</v>
      </c>
      <c r="AG57" s="411">
        <f>$AD$57</f>
        <v>330</v>
      </c>
      <c r="AH57" s="411">
        <f>$J$57</f>
        <v>400</v>
      </c>
      <c r="AI57" s="411">
        <f>$AD$57</f>
        <v>330</v>
      </c>
      <c r="AJ57" s="411">
        <f>$AD$57</f>
        <v>330</v>
      </c>
      <c r="AK57" s="411">
        <f t="shared" ref="AK57:AN57" si="24">$AD$57</f>
        <v>330</v>
      </c>
      <c r="AL57" s="411">
        <f t="shared" si="24"/>
        <v>330</v>
      </c>
      <c r="AM57" s="411">
        <f t="shared" si="24"/>
        <v>330</v>
      </c>
      <c r="AN57" s="413">
        <f t="shared" si="24"/>
        <v>330</v>
      </c>
    </row>
    <row r="58" spans="1:44" s="162" customFormat="1">
      <c r="A58" s="320" t="s">
        <v>248</v>
      </c>
      <c r="B58" s="120" t="s">
        <v>223</v>
      </c>
      <c r="C58" s="454" t="s">
        <v>252</v>
      </c>
      <c r="D58" s="188">
        <v>2.7</v>
      </c>
      <c r="E58" s="189">
        <v>2.7</v>
      </c>
      <c r="F58" s="189">
        <v>2.7</v>
      </c>
      <c r="G58" s="189">
        <v>2.7</v>
      </c>
      <c r="H58" s="189">
        <v>2.7</v>
      </c>
      <c r="I58" s="189">
        <v>2.7</v>
      </c>
      <c r="J58" s="189">
        <v>2.7</v>
      </c>
      <c r="K58" s="189">
        <v>2.7</v>
      </c>
      <c r="L58" s="189">
        <v>2.7</v>
      </c>
      <c r="M58" s="189">
        <v>2.7</v>
      </c>
      <c r="N58" s="189">
        <v>2.7</v>
      </c>
      <c r="O58" s="189">
        <v>2.7</v>
      </c>
      <c r="P58" s="189">
        <v>2.7</v>
      </c>
      <c r="Q58" s="189">
        <v>2.7</v>
      </c>
      <c r="R58" s="189">
        <v>2.7</v>
      </c>
      <c r="S58" s="189">
        <v>2.7</v>
      </c>
      <c r="T58" s="189">
        <v>2.7</v>
      </c>
      <c r="U58" s="189">
        <v>2.7</v>
      </c>
      <c r="V58" s="189">
        <v>2.7</v>
      </c>
      <c r="W58" s="189">
        <v>2.7</v>
      </c>
      <c r="X58" s="189">
        <v>2.7</v>
      </c>
      <c r="Y58" s="189">
        <v>2.7</v>
      </c>
      <c r="Z58" s="189">
        <v>2.7</v>
      </c>
      <c r="AA58" s="189">
        <v>2.7</v>
      </c>
      <c r="AB58" s="189">
        <v>2.7</v>
      </c>
      <c r="AC58" s="189">
        <v>2.7</v>
      </c>
      <c r="AD58" s="189">
        <v>2.7</v>
      </c>
      <c r="AE58" s="189">
        <v>2.7</v>
      </c>
      <c r="AF58" s="189">
        <v>2.7</v>
      </c>
      <c r="AG58" s="189">
        <v>2.7</v>
      </c>
      <c r="AH58" s="189">
        <v>2.7</v>
      </c>
      <c r="AI58" s="189">
        <v>2.7</v>
      </c>
      <c r="AJ58" s="189">
        <v>2.7</v>
      </c>
      <c r="AK58" s="189">
        <v>2.7</v>
      </c>
      <c r="AL58" s="189">
        <v>2.7</v>
      </c>
      <c r="AM58" s="189">
        <v>2.7</v>
      </c>
      <c r="AN58" s="190">
        <v>2.7</v>
      </c>
    </row>
    <row r="59" spans="1:44" s="162" customFormat="1">
      <c r="A59" s="280"/>
      <c r="B59" s="315" t="s">
        <v>224</v>
      </c>
      <c r="C59" s="266" t="s">
        <v>252</v>
      </c>
      <c r="D59" s="268">
        <v>1.7</v>
      </c>
      <c r="E59" s="269">
        <v>1.7</v>
      </c>
      <c r="F59" s="269">
        <v>1.7</v>
      </c>
      <c r="G59" s="269">
        <v>1.7</v>
      </c>
      <c r="H59" s="269">
        <v>1.7</v>
      </c>
      <c r="I59" s="269">
        <v>1.7</v>
      </c>
      <c r="J59" s="269">
        <v>1.7</v>
      </c>
      <c r="K59" s="269">
        <v>1.7</v>
      </c>
      <c r="L59" s="269">
        <v>1.7</v>
      </c>
      <c r="M59" s="269">
        <v>1.7</v>
      </c>
      <c r="N59" s="269">
        <v>1.7</v>
      </c>
      <c r="O59" s="269">
        <v>1.7</v>
      </c>
      <c r="P59" s="269">
        <v>1.7</v>
      </c>
      <c r="Q59" s="269">
        <v>1.7</v>
      </c>
      <c r="R59" s="269">
        <v>1.7</v>
      </c>
      <c r="S59" s="269">
        <v>1.7</v>
      </c>
      <c r="T59" s="269">
        <v>1.7</v>
      </c>
      <c r="U59" s="269">
        <v>1.7</v>
      </c>
      <c r="V59" s="269">
        <v>1.7</v>
      </c>
      <c r="W59" s="269">
        <v>1.7</v>
      </c>
      <c r="X59" s="269">
        <v>1.7</v>
      </c>
      <c r="Y59" s="269">
        <v>1.7</v>
      </c>
      <c r="Z59" s="269">
        <v>1.7</v>
      </c>
      <c r="AA59" s="269">
        <v>1.7</v>
      </c>
      <c r="AB59" s="269">
        <v>1.7</v>
      </c>
      <c r="AC59" s="269">
        <v>1.7</v>
      </c>
      <c r="AD59" s="269">
        <v>1.7</v>
      </c>
      <c r="AE59" s="269">
        <v>1.7</v>
      </c>
      <c r="AF59" s="269">
        <v>1.7</v>
      </c>
      <c r="AG59" s="269">
        <v>1.7</v>
      </c>
      <c r="AH59" s="269">
        <v>1.7</v>
      </c>
      <c r="AI59" s="269">
        <v>1.7</v>
      </c>
      <c r="AJ59" s="269">
        <v>1.7</v>
      </c>
      <c r="AK59" s="269">
        <v>1.7</v>
      </c>
      <c r="AL59" s="269">
        <v>1.7</v>
      </c>
      <c r="AM59" s="269">
        <v>1.7</v>
      </c>
      <c r="AN59" s="270">
        <v>1.7</v>
      </c>
    </row>
    <row r="60" spans="1:44" s="162" customFormat="1">
      <c r="A60" s="291"/>
      <c r="B60" s="316" t="s">
        <v>225</v>
      </c>
      <c r="C60" s="258" t="s">
        <v>252</v>
      </c>
      <c r="D60" s="271">
        <v>0.65</v>
      </c>
      <c r="E60" s="260">
        <v>0.65</v>
      </c>
      <c r="F60" s="260">
        <v>0.65</v>
      </c>
      <c r="G60" s="260">
        <v>0.65</v>
      </c>
      <c r="H60" s="260">
        <v>0.65</v>
      </c>
      <c r="I60" s="260">
        <v>0.65</v>
      </c>
      <c r="J60" s="260">
        <v>0.65</v>
      </c>
      <c r="K60" s="260">
        <v>0.65</v>
      </c>
      <c r="L60" s="260">
        <v>0.65</v>
      </c>
      <c r="M60" s="260">
        <v>0.65</v>
      </c>
      <c r="N60" s="260">
        <v>0.65</v>
      </c>
      <c r="O60" s="260">
        <v>0.65</v>
      </c>
      <c r="P60" s="260">
        <v>0.65</v>
      </c>
      <c r="Q60" s="260">
        <v>0.65</v>
      </c>
      <c r="R60" s="260">
        <v>0.65</v>
      </c>
      <c r="S60" s="260">
        <v>0.65</v>
      </c>
      <c r="T60" s="260">
        <v>0.65</v>
      </c>
      <c r="U60" s="260">
        <v>0.65</v>
      </c>
      <c r="V60" s="260">
        <v>0.65</v>
      </c>
      <c r="W60" s="260">
        <v>0.65</v>
      </c>
      <c r="X60" s="260">
        <v>0.65</v>
      </c>
      <c r="Y60" s="260">
        <v>0.65</v>
      </c>
      <c r="Z60" s="260">
        <v>0.65</v>
      </c>
      <c r="AA60" s="260">
        <v>0.65</v>
      </c>
      <c r="AB60" s="260">
        <v>0.65</v>
      </c>
      <c r="AC60" s="260">
        <v>0.65</v>
      </c>
      <c r="AD60" s="260">
        <v>0.65</v>
      </c>
      <c r="AE60" s="260">
        <v>0.65</v>
      </c>
      <c r="AF60" s="260">
        <v>0.65</v>
      </c>
      <c r="AG60" s="260">
        <v>0.65</v>
      </c>
      <c r="AH60" s="260">
        <v>0.65</v>
      </c>
      <c r="AI60" s="260">
        <v>0.65</v>
      </c>
      <c r="AJ60" s="260">
        <v>0.65</v>
      </c>
      <c r="AK60" s="260">
        <v>0.65</v>
      </c>
      <c r="AL60" s="260">
        <v>0.65</v>
      </c>
      <c r="AM60" s="260">
        <v>0.65</v>
      </c>
      <c r="AN60" s="261">
        <v>0.65</v>
      </c>
    </row>
    <row r="61" spans="1:44" s="162" customFormat="1">
      <c r="A61" s="204" t="s">
        <v>247</v>
      </c>
      <c r="B61" s="144" t="s">
        <v>223</v>
      </c>
      <c r="C61" s="131" t="s">
        <v>251</v>
      </c>
      <c r="D61" s="459">
        <f>1/D58</f>
        <v>0.37037037037037035</v>
      </c>
      <c r="E61" s="187">
        <f t="shared" ref="E61:AN63" si="25">1/E58</f>
        <v>0.37037037037037035</v>
      </c>
      <c r="F61" s="187">
        <f t="shared" si="25"/>
        <v>0.37037037037037035</v>
      </c>
      <c r="G61" s="187">
        <f t="shared" si="25"/>
        <v>0.37037037037037035</v>
      </c>
      <c r="H61" s="187">
        <f t="shared" si="25"/>
        <v>0.37037037037037035</v>
      </c>
      <c r="I61" s="187">
        <f t="shared" si="25"/>
        <v>0.37037037037037035</v>
      </c>
      <c r="J61" s="187">
        <f t="shared" si="25"/>
        <v>0.37037037037037035</v>
      </c>
      <c r="K61" s="187">
        <f t="shared" si="25"/>
        <v>0.37037037037037035</v>
      </c>
      <c r="L61" s="187">
        <f t="shared" si="25"/>
        <v>0.37037037037037035</v>
      </c>
      <c r="M61" s="187">
        <f t="shared" si="25"/>
        <v>0.37037037037037035</v>
      </c>
      <c r="N61" s="187">
        <f t="shared" si="25"/>
        <v>0.37037037037037035</v>
      </c>
      <c r="O61" s="187">
        <f t="shared" si="25"/>
        <v>0.37037037037037035</v>
      </c>
      <c r="P61" s="187">
        <f t="shared" si="25"/>
        <v>0.37037037037037035</v>
      </c>
      <c r="Q61" s="187">
        <f t="shared" si="25"/>
        <v>0.37037037037037035</v>
      </c>
      <c r="R61" s="187">
        <f t="shared" si="25"/>
        <v>0.37037037037037035</v>
      </c>
      <c r="S61" s="187">
        <f t="shared" si="25"/>
        <v>0.37037037037037035</v>
      </c>
      <c r="T61" s="187">
        <f t="shared" si="25"/>
        <v>0.37037037037037035</v>
      </c>
      <c r="U61" s="187">
        <f t="shared" si="25"/>
        <v>0.37037037037037035</v>
      </c>
      <c r="V61" s="187">
        <f t="shared" si="25"/>
        <v>0.37037037037037035</v>
      </c>
      <c r="W61" s="187">
        <f t="shared" si="25"/>
        <v>0.37037037037037035</v>
      </c>
      <c r="X61" s="187">
        <f t="shared" si="25"/>
        <v>0.37037037037037035</v>
      </c>
      <c r="Y61" s="187">
        <f t="shared" si="25"/>
        <v>0.37037037037037035</v>
      </c>
      <c r="Z61" s="187">
        <f t="shared" si="25"/>
        <v>0.37037037037037035</v>
      </c>
      <c r="AA61" s="187">
        <f t="shared" si="25"/>
        <v>0.37037037037037035</v>
      </c>
      <c r="AB61" s="187">
        <f t="shared" si="25"/>
        <v>0.37037037037037035</v>
      </c>
      <c r="AC61" s="187">
        <f t="shared" si="25"/>
        <v>0.37037037037037035</v>
      </c>
      <c r="AD61" s="187">
        <f t="shared" si="25"/>
        <v>0.37037037037037035</v>
      </c>
      <c r="AE61" s="187">
        <f t="shared" si="25"/>
        <v>0.37037037037037035</v>
      </c>
      <c r="AF61" s="187">
        <f t="shared" si="25"/>
        <v>0.37037037037037035</v>
      </c>
      <c r="AG61" s="187">
        <f t="shared" si="25"/>
        <v>0.37037037037037035</v>
      </c>
      <c r="AH61" s="187">
        <f t="shared" si="25"/>
        <v>0.37037037037037035</v>
      </c>
      <c r="AI61" s="187">
        <f t="shared" si="25"/>
        <v>0.37037037037037035</v>
      </c>
      <c r="AJ61" s="187">
        <f t="shared" si="25"/>
        <v>0.37037037037037035</v>
      </c>
      <c r="AK61" s="187">
        <f t="shared" si="25"/>
        <v>0.37037037037037035</v>
      </c>
      <c r="AL61" s="187">
        <f t="shared" si="25"/>
        <v>0.37037037037037035</v>
      </c>
      <c r="AM61" s="187">
        <f t="shared" si="25"/>
        <v>0.37037037037037035</v>
      </c>
      <c r="AN61" s="460">
        <f t="shared" si="25"/>
        <v>0.37037037037037035</v>
      </c>
    </row>
    <row r="62" spans="1:44" s="162" customFormat="1">
      <c r="A62" s="204"/>
      <c r="B62" s="317" t="s">
        <v>224</v>
      </c>
      <c r="C62" s="283" t="s">
        <v>251</v>
      </c>
      <c r="D62" s="323">
        <f t="shared" ref="D62:S63" si="26">1/D59</f>
        <v>0.58823529411764708</v>
      </c>
      <c r="E62" s="322">
        <f t="shared" si="26"/>
        <v>0.58823529411764708</v>
      </c>
      <c r="F62" s="322">
        <f t="shared" si="26"/>
        <v>0.58823529411764708</v>
      </c>
      <c r="G62" s="322">
        <f t="shared" si="26"/>
        <v>0.58823529411764708</v>
      </c>
      <c r="H62" s="322">
        <f t="shared" si="26"/>
        <v>0.58823529411764708</v>
      </c>
      <c r="I62" s="322">
        <f t="shared" si="26"/>
        <v>0.58823529411764708</v>
      </c>
      <c r="J62" s="322">
        <f t="shared" si="26"/>
        <v>0.58823529411764708</v>
      </c>
      <c r="K62" s="322">
        <f t="shared" si="26"/>
        <v>0.58823529411764708</v>
      </c>
      <c r="L62" s="322">
        <f t="shared" si="26"/>
        <v>0.58823529411764708</v>
      </c>
      <c r="M62" s="322">
        <f t="shared" si="26"/>
        <v>0.58823529411764708</v>
      </c>
      <c r="N62" s="322">
        <f t="shared" si="26"/>
        <v>0.58823529411764708</v>
      </c>
      <c r="O62" s="322">
        <f t="shared" si="26"/>
        <v>0.58823529411764708</v>
      </c>
      <c r="P62" s="322">
        <f t="shared" si="26"/>
        <v>0.58823529411764708</v>
      </c>
      <c r="Q62" s="322">
        <f t="shared" si="26"/>
        <v>0.58823529411764708</v>
      </c>
      <c r="R62" s="322">
        <f t="shared" si="26"/>
        <v>0.58823529411764708</v>
      </c>
      <c r="S62" s="322">
        <f t="shared" si="26"/>
        <v>0.58823529411764708</v>
      </c>
      <c r="T62" s="322">
        <f t="shared" si="25"/>
        <v>0.58823529411764708</v>
      </c>
      <c r="U62" s="322">
        <f t="shared" si="25"/>
        <v>0.58823529411764708</v>
      </c>
      <c r="V62" s="322">
        <f t="shared" si="25"/>
        <v>0.58823529411764708</v>
      </c>
      <c r="W62" s="322">
        <f t="shared" si="25"/>
        <v>0.58823529411764708</v>
      </c>
      <c r="X62" s="322">
        <f t="shared" si="25"/>
        <v>0.58823529411764708</v>
      </c>
      <c r="Y62" s="322">
        <f t="shared" si="25"/>
        <v>0.58823529411764708</v>
      </c>
      <c r="Z62" s="322">
        <f t="shared" si="25"/>
        <v>0.58823529411764708</v>
      </c>
      <c r="AA62" s="322">
        <f t="shared" si="25"/>
        <v>0.58823529411764708</v>
      </c>
      <c r="AB62" s="322">
        <f t="shared" si="25"/>
        <v>0.58823529411764708</v>
      </c>
      <c r="AC62" s="322">
        <f t="shared" si="25"/>
        <v>0.58823529411764708</v>
      </c>
      <c r="AD62" s="322">
        <f t="shared" si="25"/>
        <v>0.58823529411764708</v>
      </c>
      <c r="AE62" s="322">
        <f t="shared" si="25"/>
        <v>0.58823529411764708</v>
      </c>
      <c r="AF62" s="322">
        <f t="shared" si="25"/>
        <v>0.58823529411764708</v>
      </c>
      <c r="AG62" s="322">
        <f t="shared" si="25"/>
        <v>0.58823529411764708</v>
      </c>
      <c r="AH62" s="322">
        <f t="shared" si="25"/>
        <v>0.58823529411764708</v>
      </c>
      <c r="AI62" s="322">
        <f t="shared" si="25"/>
        <v>0.58823529411764708</v>
      </c>
      <c r="AJ62" s="322">
        <f t="shared" si="25"/>
        <v>0.58823529411764708</v>
      </c>
      <c r="AK62" s="322">
        <f t="shared" si="25"/>
        <v>0.58823529411764708</v>
      </c>
      <c r="AL62" s="322">
        <f t="shared" si="25"/>
        <v>0.58823529411764708</v>
      </c>
      <c r="AM62" s="322">
        <f t="shared" si="25"/>
        <v>0.58823529411764708</v>
      </c>
      <c r="AN62" s="324">
        <f t="shared" si="25"/>
        <v>0.58823529411764708</v>
      </c>
    </row>
    <row r="63" spans="1:44" s="162" customFormat="1">
      <c r="A63" s="319"/>
      <c r="B63" s="318" t="s">
        <v>225</v>
      </c>
      <c r="C63" s="284" t="s">
        <v>251</v>
      </c>
      <c r="D63" s="325">
        <f t="shared" si="26"/>
        <v>1.5384615384615383</v>
      </c>
      <c r="E63" s="326">
        <f t="shared" si="25"/>
        <v>1.5384615384615383</v>
      </c>
      <c r="F63" s="326">
        <f t="shared" si="25"/>
        <v>1.5384615384615383</v>
      </c>
      <c r="G63" s="326">
        <f t="shared" si="25"/>
        <v>1.5384615384615383</v>
      </c>
      <c r="H63" s="326">
        <f t="shared" si="25"/>
        <v>1.5384615384615383</v>
      </c>
      <c r="I63" s="326">
        <f t="shared" si="25"/>
        <v>1.5384615384615383</v>
      </c>
      <c r="J63" s="326">
        <f t="shared" si="25"/>
        <v>1.5384615384615383</v>
      </c>
      <c r="K63" s="326">
        <f t="shared" si="25"/>
        <v>1.5384615384615383</v>
      </c>
      <c r="L63" s="326">
        <f t="shared" si="25"/>
        <v>1.5384615384615383</v>
      </c>
      <c r="M63" s="326">
        <f t="shared" si="25"/>
        <v>1.5384615384615383</v>
      </c>
      <c r="N63" s="326">
        <f t="shared" si="25"/>
        <v>1.5384615384615383</v>
      </c>
      <c r="O63" s="326">
        <f t="shared" si="25"/>
        <v>1.5384615384615383</v>
      </c>
      <c r="P63" s="326">
        <f t="shared" si="25"/>
        <v>1.5384615384615383</v>
      </c>
      <c r="Q63" s="326">
        <f t="shared" si="25"/>
        <v>1.5384615384615383</v>
      </c>
      <c r="R63" s="326">
        <f t="shared" si="25"/>
        <v>1.5384615384615383</v>
      </c>
      <c r="S63" s="326">
        <f t="shared" si="25"/>
        <v>1.5384615384615383</v>
      </c>
      <c r="T63" s="326">
        <f t="shared" si="25"/>
        <v>1.5384615384615383</v>
      </c>
      <c r="U63" s="326">
        <f t="shared" si="25"/>
        <v>1.5384615384615383</v>
      </c>
      <c r="V63" s="326">
        <f t="shared" si="25"/>
        <v>1.5384615384615383</v>
      </c>
      <c r="W63" s="326">
        <f t="shared" si="25"/>
        <v>1.5384615384615383</v>
      </c>
      <c r="X63" s="326">
        <f t="shared" si="25"/>
        <v>1.5384615384615383</v>
      </c>
      <c r="Y63" s="326">
        <f t="shared" si="25"/>
        <v>1.5384615384615383</v>
      </c>
      <c r="Z63" s="326">
        <f t="shared" si="25"/>
        <v>1.5384615384615383</v>
      </c>
      <c r="AA63" s="326">
        <f t="shared" si="25"/>
        <v>1.5384615384615383</v>
      </c>
      <c r="AB63" s="326">
        <f t="shared" si="25"/>
        <v>1.5384615384615383</v>
      </c>
      <c r="AC63" s="326">
        <f t="shared" si="25"/>
        <v>1.5384615384615383</v>
      </c>
      <c r="AD63" s="326">
        <f t="shared" si="25"/>
        <v>1.5384615384615383</v>
      </c>
      <c r="AE63" s="326">
        <f t="shared" si="25"/>
        <v>1.5384615384615383</v>
      </c>
      <c r="AF63" s="326">
        <f t="shared" si="25"/>
        <v>1.5384615384615383</v>
      </c>
      <c r="AG63" s="326">
        <f t="shared" si="25"/>
        <v>1.5384615384615383</v>
      </c>
      <c r="AH63" s="326">
        <f t="shared" si="25"/>
        <v>1.5384615384615383</v>
      </c>
      <c r="AI63" s="326">
        <f t="shared" si="25"/>
        <v>1.5384615384615383</v>
      </c>
      <c r="AJ63" s="326">
        <f t="shared" si="25"/>
        <v>1.5384615384615383</v>
      </c>
      <c r="AK63" s="326">
        <f t="shared" si="25"/>
        <v>1.5384615384615383</v>
      </c>
      <c r="AL63" s="326">
        <f t="shared" si="25"/>
        <v>1.5384615384615383</v>
      </c>
      <c r="AM63" s="326">
        <f t="shared" si="25"/>
        <v>1.5384615384615383</v>
      </c>
      <c r="AN63" s="327">
        <f t="shared" si="25"/>
        <v>1.5384615384615383</v>
      </c>
    </row>
    <row r="64" spans="1:44">
      <c r="C64" s="162"/>
      <c r="D64" s="162"/>
    </row>
    <row r="65" spans="1:40">
      <c r="C65" s="162"/>
      <c r="D65" s="162"/>
    </row>
    <row r="66" spans="1:40"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62"/>
      <c r="AL66" s="162"/>
      <c r="AM66" s="162"/>
      <c r="AN66" s="162"/>
    </row>
    <row r="67" spans="1:40">
      <c r="A67" s="137" t="s">
        <v>71</v>
      </c>
      <c r="B67" s="162" t="s">
        <v>257</v>
      </c>
    </row>
    <row r="71" spans="1:40">
      <c r="A71" s="137" t="s">
        <v>256</v>
      </c>
    </row>
    <row r="72" spans="1:40">
      <c r="A72" s="159" t="s">
        <v>254</v>
      </c>
      <c r="B72" s="159" t="s">
        <v>249</v>
      </c>
      <c r="C72" s="159" t="s">
        <v>1</v>
      </c>
      <c r="D72" s="247" t="s">
        <v>88</v>
      </c>
      <c r="E72" s="248" t="s">
        <v>89</v>
      </c>
      <c r="F72" s="248" t="s">
        <v>90</v>
      </c>
      <c r="G72" s="248" t="s">
        <v>91</v>
      </c>
      <c r="H72" s="248" t="s">
        <v>92</v>
      </c>
      <c r="I72" s="248" t="s">
        <v>93</v>
      </c>
      <c r="J72" s="248" t="s">
        <v>94</v>
      </c>
      <c r="K72" s="248" t="s">
        <v>95</v>
      </c>
      <c r="L72" s="248" t="s">
        <v>96</v>
      </c>
      <c r="M72" s="248" t="s">
        <v>97</v>
      </c>
      <c r="N72" s="248" t="s">
        <v>98</v>
      </c>
      <c r="O72" s="248" t="s">
        <v>99</v>
      </c>
      <c r="P72" s="248" t="s">
        <v>205</v>
      </c>
      <c r="Q72" s="248" t="s">
        <v>118</v>
      </c>
      <c r="R72" s="248" t="s">
        <v>100</v>
      </c>
      <c r="S72" s="248" t="s">
        <v>101</v>
      </c>
      <c r="T72" s="248" t="s">
        <v>102</v>
      </c>
      <c r="U72" s="248" t="s">
        <v>103</v>
      </c>
      <c r="V72" s="248" t="s">
        <v>104</v>
      </c>
      <c r="W72" s="248" t="s">
        <v>105</v>
      </c>
      <c r="X72" s="248" t="s">
        <v>106</v>
      </c>
      <c r="Y72" s="248" t="s">
        <v>107</v>
      </c>
      <c r="Z72" s="248" t="s">
        <v>108</v>
      </c>
      <c r="AA72" s="248" t="s">
        <v>109</v>
      </c>
      <c r="AB72" s="248" t="s">
        <v>110</v>
      </c>
      <c r="AC72" s="248" t="s">
        <v>111</v>
      </c>
      <c r="AD72" s="248" t="s">
        <v>112</v>
      </c>
      <c r="AE72" s="248" t="s">
        <v>113</v>
      </c>
      <c r="AF72" s="248" t="s">
        <v>114</v>
      </c>
      <c r="AG72" s="248" t="s">
        <v>115</v>
      </c>
      <c r="AH72" s="248" t="s">
        <v>52</v>
      </c>
      <c r="AI72" s="248" t="s">
        <v>116</v>
      </c>
      <c r="AJ72" s="248" t="s">
        <v>117</v>
      </c>
      <c r="AK72" s="248" t="s">
        <v>119</v>
      </c>
      <c r="AL72" s="248" t="s">
        <v>120</v>
      </c>
      <c r="AM72" s="248" t="s">
        <v>121</v>
      </c>
      <c r="AN72" s="249" t="s">
        <v>122</v>
      </c>
    </row>
    <row r="73" spans="1:40">
      <c r="A73" s="321" t="s">
        <v>253</v>
      </c>
      <c r="B73" s="272" t="s">
        <v>227</v>
      </c>
      <c r="C73" s="311" t="s">
        <v>255</v>
      </c>
      <c r="D73" s="927" t="s">
        <v>231</v>
      </c>
      <c r="E73" s="928"/>
      <c r="F73" s="928"/>
      <c r="G73" s="928"/>
      <c r="H73" s="928"/>
      <c r="I73" s="928"/>
      <c r="J73" s="928"/>
      <c r="K73" s="928"/>
      <c r="L73" s="928"/>
      <c r="M73" s="928"/>
      <c r="N73" s="928"/>
      <c r="O73" s="928"/>
      <c r="P73" s="928"/>
      <c r="Q73" s="928"/>
      <c r="R73" s="928"/>
      <c r="S73" s="928"/>
      <c r="T73" s="928"/>
      <c r="U73" s="928"/>
      <c r="V73" s="928"/>
      <c r="W73" s="928"/>
      <c r="X73" s="928"/>
      <c r="Y73" s="928"/>
      <c r="Z73" s="928"/>
      <c r="AA73" s="928"/>
      <c r="AB73" s="928"/>
      <c r="AC73" s="928"/>
      <c r="AD73" s="928"/>
      <c r="AE73" s="928"/>
      <c r="AF73" s="928"/>
      <c r="AG73" s="928"/>
      <c r="AH73" s="928"/>
      <c r="AI73" s="928"/>
      <c r="AJ73" s="928"/>
      <c r="AK73" s="928"/>
      <c r="AL73" s="928"/>
      <c r="AM73" s="928"/>
      <c r="AN73" s="929"/>
    </row>
    <row r="74" spans="1:40">
      <c r="A74" s="120"/>
      <c r="B74" s="275" t="s">
        <v>228</v>
      </c>
      <c r="C74" s="312" t="s">
        <v>255</v>
      </c>
      <c r="D74" s="930" t="s">
        <v>232</v>
      </c>
      <c r="E74" s="931"/>
      <c r="F74" s="931"/>
      <c r="G74" s="931"/>
      <c r="H74" s="931"/>
      <c r="I74" s="931"/>
      <c r="J74" s="931"/>
      <c r="K74" s="931"/>
      <c r="L74" s="931"/>
      <c r="M74" s="931"/>
      <c r="N74" s="931"/>
      <c r="O74" s="931"/>
      <c r="P74" s="931"/>
      <c r="Q74" s="931"/>
      <c r="R74" s="931"/>
      <c r="S74" s="931"/>
      <c r="T74" s="931"/>
      <c r="U74" s="931"/>
      <c r="V74" s="931"/>
      <c r="W74" s="931"/>
      <c r="X74" s="931"/>
      <c r="Y74" s="931"/>
      <c r="Z74" s="931"/>
      <c r="AA74" s="931"/>
      <c r="AB74" s="931"/>
      <c r="AC74" s="931"/>
      <c r="AD74" s="931"/>
      <c r="AE74" s="931"/>
      <c r="AF74" s="931"/>
      <c r="AG74" s="931"/>
      <c r="AH74" s="931"/>
      <c r="AI74" s="931"/>
      <c r="AJ74" s="931"/>
      <c r="AK74" s="931"/>
      <c r="AL74" s="931"/>
      <c r="AM74" s="931"/>
      <c r="AN74" s="932"/>
    </row>
    <row r="75" spans="1:40">
      <c r="A75" s="320" t="s">
        <v>250</v>
      </c>
      <c r="B75" s="272" t="s">
        <v>227</v>
      </c>
      <c r="C75" s="118" t="s">
        <v>229</v>
      </c>
      <c r="D75" s="179">
        <v>130</v>
      </c>
      <c r="E75" s="164"/>
      <c r="F75" s="164">
        <v>90</v>
      </c>
      <c r="G75" s="164"/>
      <c r="H75" s="164"/>
      <c r="I75" s="164">
        <v>150</v>
      </c>
      <c r="J75" s="164">
        <v>110</v>
      </c>
      <c r="K75" s="164"/>
      <c r="L75" s="164"/>
      <c r="M75" s="164">
        <v>120</v>
      </c>
      <c r="N75" s="164"/>
      <c r="O75" s="164">
        <v>80</v>
      </c>
      <c r="P75" s="164"/>
      <c r="Q75" s="164"/>
      <c r="R75" s="164"/>
      <c r="S75" s="164"/>
      <c r="T75" s="164"/>
      <c r="U75" s="164">
        <v>80</v>
      </c>
      <c r="V75" s="164"/>
      <c r="W75" s="164"/>
      <c r="X75" s="164"/>
      <c r="Y75" s="164"/>
      <c r="Z75" s="164"/>
      <c r="AA75" s="164"/>
      <c r="AB75" s="164"/>
      <c r="AC75" s="164"/>
      <c r="AD75" s="164">
        <v>100</v>
      </c>
      <c r="AE75" s="164"/>
      <c r="AF75" s="164"/>
      <c r="AG75" s="164"/>
      <c r="AH75" s="164"/>
      <c r="AI75" s="164"/>
      <c r="AJ75" s="164"/>
      <c r="AK75" s="164"/>
      <c r="AL75" s="164"/>
      <c r="AM75" s="164"/>
      <c r="AN75" s="273"/>
    </row>
    <row r="76" spans="1:40">
      <c r="A76" s="291"/>
      <c r="B76" s="275" t="s">
        <v>228</v>
      </c>
      <c r="C76" s="274" t="s">
        <v>230</v>
      </c>
      <c r="D76" s="276">
        <v>150</v>
      </c>
      <c r="E76" s="277"/>
      <c r="F76" s="277">
        <v>175</v>
      </c>
      <c r="G76" s="277"/>
      <c r="H76" s="277"/>
      <c r="I76" s="277">
        <v>85</v>
      </c>
      <c r="J76" s="277">
        <v>55</v>
      </c>
      <c r="K76" s="277"/>
      <c r="L76" s="277"/>
      <c r="M76" s="277">
        <v>140</v>
      </c>
      <c r="N76" s="277"/>
      <c r="O76" s="277">
        <v>50</v>
      </c>
      <c r="P76" s="277"/>
      <c r="Q76" s="277"/>
      <c r="R76" s="277"/>
      <c r="S76" s="277"/>
      <c r="T76" s="277"/>
      <c r="U76" s="277">
        <v>250</v>
      </c>
      <c r="V76" s="277"/>
      <c r="W76" s="277"/>
      <c r="X76" s="277"/>
      <c r="Y76" s="277"/>
      <c r="Z76" s="277"/>
      <c r="AA76" s="277"/>
      <c r="AB76" s="277"/>
      <c r="AC76" s="277"/>
      <c r="AD76" s="277">
        <v>55</v>
      </c>
      <c r="AE76" s="277"/>
      <c r="AF76" s="277"/>
      <c r="AG76" s="277"/>
      <c r="AH76" s="277"/>
      <c r="AI76" s="277"/>
      <c r="AJ76" s="277"/>
      <c r="AK76" s="277"/>
      <c r="AL76" s="277"/>
      <c r="AM76" s="277"/>
      <c r="AN76" s="278"/>
    </row>
    <row r="79" spans="1:40">
      <c r="A79" s="135"/>
    </row>
  </sheetData>
  <mergeCells count="13">
    <mergeCell ref="D54:AN54"/>
    <mergeCell ref="D73:AN73"/>
    <mergeCell ref="D74:AN74"/>
    <mergeCell ref="D33:AN33"/>
    <mergeCell ref="D34:AN34"/>
    <mergeCell ref="D38:AN40"/>
    <mergeCell ref="D52:AN52"/>
    <mergeCell ref="D53:AN53"/>
    <mergeCell ref="D18:AN20"/>
    <mergeCell ref="D12:AN12"/>
    <mergeCell ref="D13:AN13"/>
    <mergeCell ref="D14:AN14"/>
    <mergeCell ref="D32:AN32"/>
  </mergeCell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2">
    <tabColor theme="6"/>
  </sheetPr>
  <dimension ref="A1:AN397"/>
  <sheetViews>
    <sheetView zoomScale="85" zoomScaleNormal="85" workbookViewId="0">
      <pane ySplit="2" topLeftCell="A3" activePane="bottomLeft" state="frozen"/>
      <selection activeCell="J18" sqref="J18"/>
      <selection pane="bottomLeft" activeCell="B13" sqref="B13"/>
    </sheetView>
  </sheetViews>
  <sheetFormatPr defaultColWidth="9.109375" defaultRowHeight="14.4"/>
  <cols>
    <col min="1" max="1" width="53.44140625" style="5" customWidth="1"/>
    <col min="2" max="2" width="30.33203125" style="5" bestFit="1" customWidth="1"/>
    <col min="3" max="3" width="19.109375" style="5" customWidth="1"/>
    <col min="4" max="14" width="9.33203125" style="164" customWidth="1"/>
    <col min="15" max="15" width="16.33203125" style="164" customWidth="1"/>
    <col min="16" max="40" width="9.33203125" style="164" customWidth="1"/>
    <col min="41" max="16384" width="9.109375" style="5"/>
  </cols>
  <sheetData>
    <row r="1" spans="1:40" ht="21">
      <c r="A1" s="3" t="s">
        <v>124</v>
      </c>
      <c r="B1" s="3" t="s">
        <v>65</v>
      </c>
      <c r="C1" s="3" t="s">
        <v>198</v>
      </c>
      <c r="D1" s="163"/>
      <c r="E1" s="163"/>
      <c r="F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U1" s="163"/>
      <c r="V1" s="163"/>
      <c r="W1" s="163"/>
      <c r="X1" s="163"/>
      <c r="Y1" s="163"/>
      <c r="Z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</row>
    <row r="2" spans="1:40">
      <c r="A2" s="344" t="s">
        <v>253</v>
      </c>
      <c r="B2" s="158"/>
      <c r="C2" s="159" t="s">
        <v>1</v>
      </c>
      <c r="D2" s="165" t="s">
        <v>88</v>
      </c>
      <c r="E2" s="165" t="s">
        <v>89</v>
      </c>
      <c r="F2" s="165" t="s">
        <v>90</v>
      </c>
      <c r="G2" s="165" t="s">
        <v>91</v>
      </c>
      <c r="H2" s="165" t="s">
        <v>92</v>
      </c>
      <c r="I2" s="165" t="s">
        <v>93</v>
      </c>
      <c r="J2" s="165" t="s">
        <v>94</v>
      </c>
      <c r="K2" s="165" t="s">
        <v>95</v>
      </c>
      <c r="L2" s="165" t="s">
        <v>96</v>
      </c>
      <c r="M2" s="165" t="s">
        <v>97</v>
      </c>
      <c r="N2" s="165" t="s">
        <v>98</v>
      </c>
      <c r="O2" s="165" t="s">
        <v>99</v>
      </c>
      <c r="P2" s="165" t="s">
        <v>205</v>
      </c>
      <c r="Q2" s="165" t="s">
        <v>118</v>
      </c>
      <c r="R2" s="165" t="s">
        <v>100</v>
      </c>
      <c r="S2" s="165" t="s">
        <v>101</v>
      </c>
      <c r="T2" s="165" t="s">
        <v>102</v>
      </c>
      <c r="U2" s="165" t="s">
        <v>103</v>
      </c>
      <c r="V2" s="165" t="s">
        <v>104</v>
      </c>
      <c r="W2" s="165" t="s">
        <v>105</v>
      </c>
      <c r="X2" s="165" t="s">
        <v>106</v>
      </c>
      <c r="Y2" s="165" t="s">
        <v>107</v>
      </c>
      <c r="Z2" s="165" t="s">
        <v>108</v>
      </c>
      <c r="AA2" s="165" t="s">
        <v>109</v>
      </c>
      <c r="AB2" s="165" t="s">
        <v>110</v>
      </c>
      <c r="AC2" s="165" t="s">
        <v>111</v>
      </c>
      <c r="AD2" s="165" t="s">
        <v>112</v>
      </c>
      <c r="AE2" s="165" t="s">
        <v>113</v>
      </c>
      <c r="AF2" s="165" t="s">
        <v>114</v>
      </c>
      <c r="AG2" s="165" t="s">
        <v>115</v>
      </c>
      <c r="AH2" s="165" t="s">
        <v>52</v>
      </c>
      <c r="AI2" s="165" t="s">
        <v>116</v>
      </c>
      <c r="AJ2" s="165" t="s">
        <v>117</v>
      </c>
      <c r="AK2" s="165" t="s">
        <v>119</v>
      </c>
      <c r="AL2" s="165" t="s">
        <v>120</v>
      </c>
      <c r="AM2" s="165" t="s">
        <v>121</v>
      </c>
      <c r="AN2" s="166" t="s">
        <v>122</v>
      </c>
    </row>
    <row r="3" spans="1:40">
      <c r="A3" s="342" t="s">
        <v>86</v>
      </c>
      <c r="B3" s="343"/>
      <c r="C3" s="117" t="s">
        <v>125</v>
      </c>
      <c r="D3" s="167">
        <v>1</v>
      </c>
      <c r="E3" s="168">
        <v>1</v>
      </c>
      <c r="F3" s="168">
        <v>1</v>
      </c>
      <c r="G3" s="168">
        <v>1</v>
      </c>
      <c r="H3" s="168">
        <v>1</v>
      </c>
      <c r="I3" s="168">
        <v>1</v>
      </c>
      <c r="J3" s="168">
        <v>1</v>
      </c>
      <c r="K3" s="168">
        <v>1</v>
      </c>
      <c r="L3" s="168">
        <v>1</v>
      </c>
      <c r="M3" s="168">
        <v>1</v>
      </c>
      <c r="N3" s="168">
        <v>1</v>
      </c>
      <c r="O3" s="168">
        <v>1</v>
      </c>
      <c r="P3" s="168">
        <v>1</v>
      </c>
      <c r="Q3" s="168">
        <v>1</v>
      </c>
      <c r="R3" s="168">
        <v>1</v>
      </c>
      <c r="S3" s="168">
        <v>1</v>
      </c>
      <c r="T3" s="168">
        <v>1</v>
      </c>
      <c r="U3" s="168">
        <v>1</v>
      </c>
      <c r="V3" s="168">
        <v>1</v>
      </c>
      <c r="W3" s="168">
        <v>1</v>
      </c>
      <c r="X3" s="168">
        <v>1</v>
      </c>
      <c r="Y3" s="168">
        <v>1</v>
      </c>
      <c r="Z3" s="168">
        <v>1</v>
      </c>
      <c r="AA3" s="168">
        <v>1</v>
      </c>
      <c r="AB3" s="168">
        <v>1</v>
      </c>
      <c r="AC3" s="168">
        <v>1</v>
      </c>
      <c r="AD3" s="168">
        <v>1</v>
      </c>
      <c r="AE3" s="168">
        <v>1</v>
      </c>
      <c r="AF3" s="168">
        <v>1</v>
      </c>
      <c r="AG3" s="168">
        <v>1</v>
      </c>
      <c r="AH3" s="168">
        <v>1</v>
      </c>
      <c r="AI3" s="168">
        <v>1</v>
      </c>
      <c r="AJ3" s="168">
        <v>1</v>
      </c>
      <c r="AK3" s="168">
        <v>1</v>
      </c>
      <c r="AL3" s="168">
        <v>1</v>
      </c>
      <c r="AM3" s="168">
        <v>1</v>
      </c>
      <c r="AN3" s="169">
        <v>1</v>
      </c>
    </row>
    <row r="4" spans="1:40">
      <c r="A4" s="148" t="s">
        <v>160</v>
      </c>
      <c r="B4" s="119"/>
      <c r="C4" s="120" t="s">
        <v>66</v>
      </c>
      <c r="D4" s="170">
        <f>LOOKUP(D2,'Data by dwelling type'!$A$4:$A$40,'Data by dwelling type'!$AJ$4:$AJ$40)</f>
        <v>149.79062500000001</v>
      </c>
      <c r="E4" s="171">
        <f>LOOKUP(E2,'Data by dwelling type'!$A$4:$A$40,'Data by dwelling type'!$AJ$4:$AJ$40)</f>
        <v>142.39270875</v>
      </c>
      <c r="F4" s="171">
        <f>LOOKUP(F2,'Data by dwelling type'!$A$4:$A$40,'Data by dwelling type'!$AJ$4:$AJ$40)</f>
        <v>79.510058749999999</v>
      </c>
      <c r="G4" s="171">
        <f>LOOKUP(G2,'Data by dwelling type'!$A$4:$A$40,'Data by dwelling type'!$AJ$4:$AJ$40)</f>
        <v>149.79062500000001</v>
      </c>
      <c r="H4" s="171">
        <f>LOOKUP(H2,'Data by dwelling type'!$A$4:$A$40,'Data by dwelling type'!$AJ$4:$AJ$40)</f>
        <v>114.379045</v>
      </c>
      <c r="I4" s="171">
        <f>LOOKUP(I2,'Data by dwelling type'!$A$4:$A$40,'Data by dwelling type'!$AJ$4:$AJ$40)</f>
        <v>124.81652249999999</v>
      </c>
      <c r="J4" s="171">
        <f>LOOKUP(J2,'Data by dwelling type'!$A$4:$A$40,'Data by dwelling type'!$AJ$4:$AJ$40)</f>
        <v>134.20837750000001</v>
      </c>
      <c r="K4" s="171">
        <f>LOOKUP(K2,'Data by dwelling type'!$A$4:$A$40,'Data by dwelling type'!$AJ$4:$AJ$40)</f>
        <v>167.125</v>
      </c>
      <c r="L4" s="171">
        <f>LOOKUP(L2,'Data by dwelling type'!$A$4:$A$40,'Data by dwelling type'!$AJ$4:$AJ$40)</f>
        <v>106.61156750000001</v>
      </c>
      <c r="M4" s="171">
        <f>LOOKUP(M2,'Data by dwelling type'!$A$4:$A$40,'Data by dwelling type'!$AJ$4:$AJ$40)</f>
        <v>138.71028749999999</v>
      </c>
      <c r="N4" s="171">
        <f>LOOKUP(N2,'Data by dwelling type'!$A$4:$A$40,'Data by dwelling type'!$AJ$4:$AJ$40)</f>
        <v>121.25</v>
      </c>
      <c r="O4" s="171">
        <f>LOOKUP(O2,'Data by dwelling type'!$A$4:$A$40,'Data by dwelling type'!$AJ$4:$AJ$40)</f>
        <v>139.53117374999999</v>
      </c>
      <c r="P4" s="171">
        <f>LOOKUP(P2,'Data by dwelling type'!$A$4:$A$40,'Data by dwelling type'!$AJ$4:$AJ$40)</f>
        <v>114.379045</v>
      </c>
      <c r="Q4" s="171">
        <f>LOOKUP(Q2,'Data by dwelling type'!$A$4:$A$40,'Data by dwelling type'!$AJ$4:$AJ$40)</f>
        <v>85.951361249999991</v>
      </c>
      <c r="R4" s="171">
        <f>LOOKUP(R2,'Data by dwelling type'!$A$4:$A$40,'Data by dwelling type'!$AJ$4:$AJ$40)</f>
        <v>116.43638250000001</v>
      </c>
      <c r="S4" s="171">
        <f>LOOKUP(S2,'Data by dwelling type'!$A$4:$A$40,'Data by dwelling type'!$AJ$4:$AJ$40)</f>
        <v>147.12481625000001</v>
      </c>
      <c r="T4" s="171">
        <f>LOOKUP(T2,'Data by dwelling type'!$A$4:$A$40,'Data by dwelling type'!$AJ$4:$AJ$40)</f>
        <v>121.25</v>
      </c>
      <c r="U4" s="171">
        <f>LOOKUP(U2,'Data by dwelling type'!$A$4:$A$40,'Data by dwelling type'!$AJ$4:$AJ$40)</f>
        <v>137.125</v>
      </c>
      <c r="V4" s="171">
        <f>LOOKUP(V2,'Data by dwelling type'!$A$4:$A$40,'Data by dwelling type'!$AJ$4:$AJ$40)</f>
        <v>120.7403375</v>
      </c>
      <c r="W4" s="171">
        <f>LOOKUP(W2,'Data by dwelling type'!$A$4:$A$40,'Data by dwelling type'!$AJ$4:$AJ$40)</f>
        <v>109.43325874999999</v>
      </c>
      <c r="X4" s="171">
        <f>LOOKUP(X2,'Data by dwelling type'!$A$4:$A$40,'Data by dwelling type'!$AJ$4:$AJ$40)</f>
        <v>120</v>
      </c>
      <c r="Y4" s="171">
        <f>LOOKUP(Y2,'Data by dwelling type'!$A$4:$A$40,'Data by dwelling type'!$AJ$4:$AJ$40)</f>
        <v>123.5674875</v>
      </c>
      <c r="Z4" s="171">
        <f>LOOKUP(Z2,'Data by dwelling type'!$A$4:$A$40,'Data by dwelling type'!$AJ$4:$AJ$40)</f>
        <v>143.28775000000002</v>
      </c>
      <c r="AA4" s="171">
        <f>LOOKUP(AA2,'Data by dwelling type'!$A$4:$A$40,'Data by dwelling type'!$AJ$4:$AJ$40)</f>
        <v>155.875</v>
      </c>
      <c r="AB4" s="171">
        <f>LOOKUP(AB2,'Data by dwelling type'!$A$4:$A$40,'Data by dwelling type'!$AJ$4:$AJ$40)</f>
        <v>120.34727375</v>
      </c>
      <c r="AC4" s="171">
        <f>LOOKUP(AC2,'Data by dwelling type'!$A$4:$A$40,'Data by dwelling type'!$AJ$4:$AJ$40)</f>
        <v>145.06740250000001</v>
      </c>
      <c r="AD4" s="171">
        <f>LOOKUP(AD2,'Data by dwelling type'!$A$4:$A$40,'Data by dwelling type'!$AJ$4:$AJ$40)</f>
        <v>90.802727500000003</v>
      </c>
      <c r="AE4" s="171">
        <f>LOOKUP(AE2,'Data by dwelling type'!$A$4:$A$40,'Data by dwelling type'!$AJ$4:$AJ$40)</f>
        <v>155.875</v>
      </c>
      <c r="AF4" s="171">
        <f>LOOKUP(AF2,'Data by dwelling type'!$A$4:$A$40,'Data by dwelling type'!$AJ$4:$AJ$40)</f>
        <v>119.37832</v>
      </c>
      <c r="AG4" s="171">
        <f>LOOKUP(AG2,'Data by dwelling type'!$A$4:$A$40,'Data by dwelling type'!$AJ$4:$AJ$40)</f>
        <v>120.19455000000001</v>
      </c>
      <c r="AH4" s="171">
        <f>LOOKUP(AH2,'Data by dwelling type'!$A$4:$A$40,'Data by dwelling type'!$AJ$4:$AJ$40)</f>
        <v>102.08750000000001</v>
      </c>
      <c r="AI4" s="171">
        <f>LOOKUP(AI2,'Data by dwelling type'!$A$4:$A$40,'Data by dwelling type'!$AJ$4:$AJ$40)</f>
        <v>114.379045</v>
      </c>
      <c r="AJ4" s="171">
        <f>LOOKUP(AJ2,'Data by dwelling type'!$A$4:$A$40,'Data by dwelling type'!$AJ$4:$AJ$40)</f>
        <v>85.951361249999991</v>
      </c>
      <c r="AK4" s="171">
        <f>LOOKUP(AK2,'Data by dwelling type'!$A$4:$A$40,'Data by dwelling type'!$AJ$4:$AJ$40)</f>
        <v>114.379045</v>
      </c>
      <c r="AL4" s="171">
        <f>LOOKUP(AL2,'Data by dwelling type'!$A$4:$A$40,'Data by dwelling type'!$AJ$4:$AJ$40)</f>
        <v>85.951361249999991</v>
      </c>
      <c r="AM4" s="171">
        <f>LOOKUP(AM2,'Data by dwelling type'!$A$4:$A$40,'Data by dwelling type'!$AJ$4:$AJ$40)</f>
        <v>85.951361249999991</v>
      </c>
      <c r="AN4" s="172">
        <f>LOOKUP(AN2,'Data by dwelling type'!$A$4:$A$40,'Data by dwelling type'!$AJ$4:$AJ$40)</f>
        <v>85.951361249999991</v>
      </c>
    </row>
    <row r="5" spans="1:40">
      <c r="A5" s="149"/>
      <c r="B5" s="160" t="s">
        <v>67</v>
      </c>
      <c r="C5" s="122" t="s">
        <v>66</v>
      </c>
      <c r="D5" s="173">
        <f t="shared" ref="D5:AN5" si="0">D6*D7*D8</f>
        <v>149.79062500000001</v>
      </c>
      <c r="E5" s="174">
        <f t="shared" si="0"/>
        <v>142.39270874999997</v>
      </c>
      <c r="F5" s="174">
        <f t="shared" si="0"/>
        <v>79.510058749999999</v>
      </c>
      <c r="G5" s="174">
        <f t="shared" si="0"/>
        <v>149.79062500000001</v>
      </c>
      <c r="H5" s="174">
        <f t="shared" si="0"/>
        <v>114.37904500000002</v>
      </c>
      <c r="I5" s="174">
        <f t="shared" si="0"/>
        <v>124.8165225</v>
      </c>
      <c r="J5" s="174">
        <f t="shared" si="0"/>
        <v>134.20837749999998</v>
      </c>
      <c r="K5" s="174">
        <f t="shared" si="0"/>
        <v>167.12500000000003</v>
      </c>
      <c r="L5" s="174">
        <f t="shared" si="0"/>
        <v>106.61156750000001</v>
      </c>
      <c r="M5" s="174">
        <f t="shared" si="0"/>
        <v>138.71028750000002</v>
      </c>
      <c r="N5" s="174">
        <f t="shared" si="0"/>
        <v>121.24999999999999</v>
      </c>
      <c r="O5" s="174">
        <f t="shared" si="0"/>
        <v>139.53117374999999</v>
      </c>
      <c r="P5" s="174">
        <f t="shared" si="0"/>
        <v>114.37904500000002</v>
      </c>
      <c r="Q5" s="174">
        <f t="shared" si="0"/>
        <v>85.951361249999991</v>
      </c>
      <c r="R5" s="174">
        <f t="shared" si="0"/>
        <v>116.43638250000001</v>
      </c>
      <c r="S5" s="174">
        <f t="shared" si="0"/>
        <v>147.12481625000001</v>
      </c>
      <c r="T5" s="174">
        <f t="shared" si="0"/>
        <v>121.24999999999999</v>
      </c>
      <c r="U5" s="174">
        <f t="shared" si="0"/>
        <v>137.12500000000003</v>
      </c>
      <c r="V5" s="174">
        <f t="shared" si="0"/>
        <v>120.74033749999998</v>
      </c>
      <c r="W5" s="174">
        <f t="shared" si="0"/>
        <v>109.43325875000001</v>
      </c>
      <c r="X5" s="174">
        <f t="shared" si="0"/>
        <v>120.00000000000001</v>
      </c>
      <c r="Y5" s="174">
        <f t="shared" si="0"/>
        <v>123.56748750000001</v>
      </c>
      <c r="Z5" s="174">
        <f t="shared" si="0"/>
        <v>143.28775000000005</v>
      </c>
      <c r="AA5" s="174">
        <f t="shared" si="0"/>
        <v>155.87500000000003</v>
      </c>
      <c r="AB5" s="174">
        <f t="shared" si="0"/>
        <v>120.34727375</v>
      </c>
      <c r="AC5" s="174">
        <f t="shared" si="0"/>
        <v>145.06740250000004</v>
      </c>
      <c r="AD5" s="174">
        <f t="shared" si="0"/>
        <v>90.802727500000003</v>
      </c>
      <c r="AE5" s="174">
        <f t="shared" si="0"/>
        <v>155.87500000000003</v>
      </c>
      <c r="AF5" s="174">
        <f t="shared" si="0"/>
        <v>119.37831999999999</v>
      </c>
      <c r="AG5" s="174">
        <f t="shared" si="0"/>
        <v>120.19455000000002</v>
      </c>
      <c r="AH5" s="174">
        <f t="shared" si="0"/>
        <v>102.08750000000001</v>
      </c>
      <c r="AI5" s="174">
        <f t="shared" si="0"/>
        <v>114.37904500000002</v>
      </c>
      <c r="AJ5" s="174">
        <f t="shared" si="0"/>
        <v>85.951361249999991</v>
      </c>
      <c r="AK5" s="174">
        <f t="shared" si="0"/>
        <v>114.37904500000002</v>
      </c>
      <c r="AL5" s="174">
        <f t="shared" si="0"/>
        <v>85.951361249999991</v>
      </c>
      <c r="AM5" s="174">
        <f t="shared" si="0"/>
        <v>85.951361249999991</v>
      </c>
      <c r="AN5" s="175">
        <f t="shared" si="0"/>
        <v>85.951361249999991</v>
      </c>
    </row>
    <row r="6" spans="1:40">
      <c r="A6" s="146" t="s">
        <v>83</v>
      </c>
      <c r="B6" s="124" t="s">
        <v>139</v>
      </c>
      <c r="C6" s="125" t="s">
        <v>68</v>
      </c>
      <c r="D6" s="170">
        <f t="shared" ref="D6:M7" si="1">SQRT(D$4/D$8)</f>
        <v>8.6542077915890143</v>
      </c>
      <c r="E6" s="171">
        <f t="shared" si="1"/>
        <v>8.4377932171273304</v>
      </c>
      <c r="F6" s="171">
        <f t="shared" si="1"/>
        <v>6.3051589492256257</v>
      </c>
      <c r="G6" s="171">
        <f t="shared" si="1"/>
        <v>8.6542077915890143</v>
      </c>
      <c r="H6" s="171">
        <f t="shared" si="1"/>
        <v>7.5623754535198797</v>
      </c>
      <c r="I6" s="171">
        <f t="shared" si="1"/>
        <v>7.8998899517651511</v>
      </c>
      <c r="J6" s="171">
        <f t="shared" si="1"/>
        <v>8.1917146404156433</v>
      </c>
      <c r="K6" s="171">
        <f t="shared" si="1"/>
        <v>9.1412526493911113</v>
      </c>
      <c r="L6" s="171">
        <f t="shared" si="1"/>
        <v>7.3010809987288869</v>
      </c>
      <c r="M6" s="171">
        <f t="shared" si="1"/>
        <v>8.327973568041628</v>
      </c>
      <c r="N6" s="171">
        <f t="shared" ref="N6:W7" si="2">SQRT(N$4/N$8)</f>
        <v>7.7862057511987182</v>
      </c>
      <c r="O6" s="171">
        <f t="shared" si="2"/>
        <v>8.3525796539153099</v>
      </c>
      <c r="P6" s="171">
        <f t="shared" si="2"/>
        <v>7.5623754535198797</v>
      </c>
      <c r="Q6" s="171">
        <f t="shared" si="2"/>
        <v>6.5555839270807903</v>
      </c>
      <c r="R6" s="171">
        <f t="shared" si="2"/>
        <v>7.6300846161756297</v>
      </c>
      <c r="S6" s="171">
        <f t="shared" si="2"/>
        <v>8.5768530432204564</v>
      </c>
      <c r="T6" s="171">
        <f t="shared" si="2"/>
        <v>7.7862057511987182</v>
      </c>
      <c r="U6" s="171">
        <f t="shared" si="2"/>
        <v>8.2802475808395979</v>
      </c>
      <c r="V6" s="171">
        <f t="shared" si="2"/>
        <v>7.7698242418989114</v>
      </c>
      <c r="W6" s="171">
        <f t="shared" si="2"/>
        <v>7.3970689718969096</v>
      </c>
      <c r="X6" s="171">
        <f t="shared" ref="X6:AG7" si="3">SQRT(X$4/X$8)</f>
        <v>7.745966692414834</v>
      </c>
      <c r="Y6" s="171">
        <f t="shared" si="3"/>
        <v>7.8602635929083196</v>
      </c>
      <c r="Z6" s="171">
        <f t="shared" si="3"/>
        <v>8.464270494259976</v>
      </c>
      <c r="AA6" s="171">
        <f t="shared" si="3"/>
        <v>8.828221791504788</v>
      </c>
      <c r="AB6" s="171">
        <f t="shared" si="3"/>
        <v>7.7571668072176969</v>
      </c>
      <c r="AC6" s="171">
        <f t="shared" si="3"/>
        <v>8.5166719585763087</v>
      </c>
      <c r="AD6" s="171">
        <f t="shared" si="3"/>
        <v>6.7380534095538307</v>
      </c>
      <c r="AE6" s="171">
        <f t="shared" si="3"/>
        <v>8.828221791504788</v>
      </c>
      <c r="AF6" s="171">
        <f t="shared" si="3"/>
        <v>7.7258760021113462</v>
      </c>
      <c r="AG6" s="171">
        <f t="shared" si="3"/>
        <v>7.7522432237385335</v>
      </c>
      <c r="AH6" s="171">
        <f t="shared" ref="AH6:AN7" si="4">SQRT(AH$4/AH$8)</f>
        <v>7.144490884590728</v>
      </c>
      <c r="AI6" s="171">
        <f t="shared" si="4"/>
        <v>7.5623754535198797</v>
      </c>
      <c r="AJ6" s="171">
        <f t="shared" si="4"/>
        <v>6.5555839270807903</v>
      </c>
      <c r="AK6" s="171">
        <f t="shared" si="4"/>
        <v>7.5623754535198797</v>
      </c>
      <c r="AL6" s="171">
        <f t="shared" si="4"/>
        <v>6.5555839270807903</v>
      </c>
      <c r="AM6" s="171">
        <f t="shared" si="4"/>
        <v>6.5555839270807903</v>
      </c>
      <c r="AN6" s="172">
        <f t="shared" si="4"/>
        <v>6.5555839270807903</v>
      </c>
    </row>
    <row r="7" spans="1:40">
      <c r="A7" s="126"/>
      <c r="B7" s="127" t="s">
        <v>140</v>
      </c>
      <c r="C7" s="128" t="s">
        <v>68</v>
      </c>
      <c r="D7" s="176">
        <f t="shared" si="1"/>
        <v>8.6542077915890143</v>
      </c>
      <c r="E7" s="177">
        <f t="shared" si="1"/>
        <v>8.4377932171273304</v>
      </c>
      <c r="F7" s="177">
        <f t="shared" si="1"/>
        <v>6.3051589492256257</v>
      </c>
      <c r="G7" s="177">
        <f t="shared" si="1"/>
        <v>8.6542077915890143</v>
      </c>
      <c r="H7" s="177">
        <f t="shared" si="1"/>
        <v>7.5623754535198797</v>
      </c>
      <c r="I7" s="177">
        <f t="shared" si="1"/>
        <v>7.8998899517651511</v>
      </c>
      <c r="J7" s="177">
        <f t="shared" si="1"/>
        <v>8.1917146404156433</v>
      </c>
      <c r="K7" s="177">
        <f t="shared" si="1"/>
        <v>9.1412526493911113</v>
      </c>
      <c r="L7" s="177">
        <f t="shared" si="1"/>
        <v>7.3010809987288869</v>
      </c>
      <c r="M7" s="177">
        <f t="shared" si="1"/>
        <v>8.327973568041628</v>
      </c>
      <c r="N7" s="177">
        <f t="shared" si="2"/>
        <v>7.7862057511987182</v>
      </c>
      <c r="O7" s="177">
        <f t="shared" si="2"/>
        <v>8.3525796539153099</v>
      </c>
      <c r="P7" s="177">
        <f t="shared" si="2"/>
        <v>7.5623754535198797</v>
      </c>
      <c r="Q7" s="177">
        <f t="shared" si="2"/>
        <v>6.5555839270807903</v>
      </c>
      <c r="R7" s="177">
        <f t="shared" si="2"/>
        <v>7.6300846161756297</v>
      </c>
      <c r="S7" s="177">
        <f t="shared" si="2"/>
        <v>8.5768530432204564</v>
      </c>
      <c r="T7" s="177">
        <f t="shared" si="2"/>
        <v>7.7862057511987182</v>
      </c>
      <c r="U7" s="177">
        <f t="shared" si="2"/>
        <v>8.2802475808395979</v>
      </c>
      <c r="V7" s="177">
        <f t="shared" si="2"/>
        <v>7.7698242418989114</v>
      </c>
      <c r="W7" s="177">
        <f t="shared" si="2"/>
        <v>7.3970689718969096</v>
      </c>
      <c r="X7" s="177">
        <f t="shared" si="3"/>
        <v>7.745966692414834</v>
      </c>
      <c r="Y7" s="177">
        <f t="shared" si="3"/>
        <v>7.8602635929083196</v>
      </c>
      <c r="Z7" s="177">
        <f t="shared" si="3"/>
        <v>8.464270494259976</v>
      </c>
      <c r="AA7" s="177">
        <f t="shared" si="3"/>
        <v>8.828221791504788</v>
      </c>
      <c r="AB7" s="177">
        <f t="shared" si="3"/>
        <v>7.7571668072176969</v>
      </c>
      <c r="AC7" s="177">
        <f t="shared" si="3"/>
        <v>8.5166719585763087</v>
      </c>
      <c r="AD7" s="177">
        <f t="shared" si="3"/>
        <v>6.7380534095538307</v>
      </c>
      <c r="AE7" s="177">
        <f t="shared" si="3"/>
        <v>8.828221791504788</v>
      </c>
      <c r="AF7" s="177">
        <f t="shared" si="3"/>
        <v>7.7258760021113462</v>
      </c>
      <c r="AG7" s="177">
        <f t="shared" si="3"/>
        <v>7.7522432237385335</v>
      </c>
      <c r="AH7" s="177">
        <f t="shared" si="4"/>
        <v>7.144490884590728</v>
      </c>
      <c r="AI7" s="177">
        <f t="shared" si="4"/>
        <v>7.5623754535198797</v>
      </c>
      <c r="AJ7" s="177">
        <f t="shared" si="4"/>
        <v>6.5555839270807903</v>
      </c>
      <c r="AK7" s="177">
        <f t="shared" si="4"/>
        <v>7.5623754535198797</v>
      </c>
      <c r="AL7" s="177">
        <f t="shared" si="4"/>
        <v>6.5555839270807903</v>
      </c>
      <c r="AM7" s="177">
        <f t="shared" si="4"/>
        <v>6.5555839270807903</v>
      </c>
      <c r="AN7" s="178">
        <f t="shared" si="4"/>
        <v>6.5555839270807903</v>
      </c>
    </row>
    <row r="8" spans="1:40">
      <c r="A8" s="126"/>
      <c r="B8" s="127" t="s">
        <v>72</v>
      </c>
      <c r="C8" s="128" t="s">
        <v>125</v>
      </c>
      <c r="D8" s="179">
        <v>2</v>
      </c>
      <c r="E8" s="180">
        <v>2</v>
      </c>
      <c r="F8" s="180">
        <v>2</v>
      </c>
      <c r="G8" s="180">
        <v>2</v>
      </c>
      <c r="H8" s="180">
        <v>2</v>
      </c>
      <c r="I8" s="180">
        <v>2</v>
      </c>
      <c r="J8" s="180">
        <v>2</v>
      </c>
      <c r="K8" s="180">
        <v>2</v>
      </c>
      <c r="L8" s="180">
        <v>2</v>
      </c>
      <c r="M8" s="180">
        <v>2</v>
      </c>
      <c r="N8" s="180">
        <v>2</v>
      </c>
      <c r="O8" s="180">
        <v>2</v>
      </c>
      <c r="P8" s="180">
        <v>2</v>
      </c>
      <c r="Q8" s="180">
        <v>2</v>
      </c>
      <c r="R8" s="180">
        <v>2</v>
      </c>
      <c r="S8" s="180">
        <v>2</v>
      </c>
      <c r="T8" s="180">
        <v>2</v>
      </c>
      <c r="U8" s="180">
        <v>2</v>
      </c>
      <c r="V8" s="180">
        <v>2</v>
      </c>
      <c r="W8" s="180">
        <v>2</v>
      </c>
      <c r="X8" s="180">
        <v>2</v>
      </c>
      <c r="Y8" s="180">
        <v>2</v>
      </c>
      <c r="Z8" s="180">
        <v>2</v>
      </c>
      <c r="AA8" s="180">
        <v>2</v>
      </c>
      <c r="AB8" s="180">
        <v>2</v>
      </c>
      <c r="AC8" s="180">
        <v>2</v>
      </c>
      <c r="AD8" s="180">
        <v>2</v>
      </c>
      <c r="AE8" s="180">
        <v>2</v>
      </c>
      <c r="AF8" s="180">
        <v>2</v>
      </c>
      <c r="AG8" s="180">
        <v>2</v>
      </c>
      <c r="AH8" s="180">
        <v>2</v>
      </c>
      <c r="AI8" s="180">
        <v>2</v>
      </c>
      <c r="AJ8" s="180">
        <v>2</v>
      </c>
      <c r="AK8" s="180">
        <v>2</v>
      </c>
      <c r="AL8" s="180">
        <v>2</v>
      </c>
      <c r="AM8" s="180">
        <v>2</v>
      </c>
      <c r="AN8" s="181">
        <v>2</v>
      </c>
    </row>
    <row r="9" spans="1:40">
      <c r="A9" s="126"/>
      <c r="B9" s="127" t="s">
        <v>84</v>
      </c>
      <c r="C9" s="128" t="s">
        <v>68</v>
      </c>
      <c r="D9" s="179">
        <v>3</v>
      </c>
      <c r="E9" s="177">
        <v>3</v>
      </c>
      <c r="F9" s="177">
        <v>3</v>
      </c>
      <c r="G9" s="177">
        <v>3</v>
      </c>
      <c r="H9" s="177">
        <v>3</v>
      </c>
      <c r="I9" s="177">
        <v>3</v>
      </c>
      <c r="J9" s="177">
        <v>3</v>
      </c>
      <c r="K9" s="177">
        <v>3</v>
      </c>
      <c r="L9" s="177">
        <v>3</v>
      </c>
      <c r="M9" s="177">
        <v>3</v>
      </c>
      <c r="N9" s="177">
        <v>3</v>
      </c>
      <c r="O9" s="177">
        <v>3</v>
      </c>
      <c r="P9" s="177">
        <v>3</v>
      </c>
      <c r="Q9" s="177">
        <v>3</v>
      </c>
      <c r="R9" s="177">
        <v>3</v>
      </c>
      <c r="S9" s="177">
        <v>3</v>
      </c>
      <c r="T9" s="177">
        <v>3</v>
      </c>
      <c r="U9" s="177">
        <v>3</v>
      </c>
      <c r="V9" s="177">
        <v>3</v>
      </c>
      <c r="W9" s="177">
        <v>3</v>
      </c>
      <c r="X9" s="177">
        <v>3</v>
      </c>
      <c r="Y9" s="177">
        <v>3</v>
      </c>
      <c r="Z9" s="177">
        <v>3</v>
      </c>
      <c r="AA9" s="177">
        <v>3</v>
      </c>
      <c r="AB9" s="177">
        <v>3</v>
      </c>
      <c r="AC9" s="177">
        <v>3</v>
      </c>
      <c r="AD9" s="177">
        <v>3</v>
      </c>
      <c r="AE9" s="177">
        <v>3</v>
      </c>
      <c r="AF9" s="177">
        <v>3</v>
      </c>
      <c r="AG9" s="177">
        <v>3</v>
      </c>
      <c r="AH9" s="177">
        <v>3</v>
      </c>
      <c r="AI9" s="177">
        <v>3</v>
      </c>
      <c r="AJ9" s="177">
        <v>3</v>
      </c>
      <c r="AK9" s="177">
        <v>3</v>
      </c>
      <c r="AL9" s="177">
        <v>3</v>
      </c>
      <c r="AM9" s="177">
        <v>3</v>
      </c>
      <c r="AN9" s="178">
        <v>3</v>
      </c>
    </row>
    <row r="10" spans="1:40">
      <c r="A10" s="129"/>
      <c r="B10" s="130" t="s">
        <v>161</v>
      </c>
      <c r="C10" s="131" t="s">
        <v>68</v>
      </c>
      <c r="D10" s="179">
        <f t="shared" ref="D10:AN10" si="5">D8*D9</f>
        <v>6</v>
      </c>
      <c r="E10" s="177">
        <f t="shared" si="5"/>
        <v>6</v>
      </c>
      <c r="F10" s="177">
        <f t="shared" si="5"/>
        <v>6</v>
      </c>
      <c r="G10" s="177">
        <f t="shared" si="5"/>
        <v>6</v>
      </c>
      <c r="H10" s="177">
        <f t="shared" si="5"/>
        <v>6</v>
      </c>
      <c r="I10" s="177">
        <f t="shared" si="5"/>
        <v>6</v>
      </c>
      <c r="J10" s="177">
        <f t="shared" si="5"/>
        <v>6</v>
      </c>
      <c r="K10" s="177">
        <f t="shared" si="5"/>
        <v>6</v>
      </c>
      <c r="L10" s="177">
        <f t="shared" si="5"/>
        <v>6</v>
      </c>
      <c r="M10" s="177">
        <f t="shared" si="5"/>
        <v>6</v>
      </c>
      <c r="N10" s="177">
        <f t="shared" si="5"/>
        <v>6</v>
      </c>
      <c r="O10" s="177">
        <f t="shared" si="5"/>
        <v>6</v>
      </c>
      <c r="P10" s="177">
        <f t="shared" si="5"/>
        <v>6</v>
      </c>
      <c r="Q10" s="177">
        <f t="shared" si="5"/>
        <v>6</v>
      </c>
      <c r="R10" s="177">
        <f t="shared" si="5"/>
        <v>6</v>
      </c>
      <c r="S10" s="177">
        <f t="shared" si="5"/>
        <v>6</v>
      </c>
      <c r="T10" s="177">
        <f t="shared" si="5"/>
        <v>6</v>
      </c>
      <c r="U10" s="177">
        <f t="shared" si="5"/>
        <v>6</v>
      </c>
      <c r="V10" s="177">
        <f t="shared" si="5"/>
        <v>6</v>
      </c>
      <c r="W10" s="177">
        <f t="shared" si="5"/>
        <v>6</v>
      </c>
      <c r="X10" s="177">
        <f t="shared" si="5"/>
        <v>6</v>
      </c>
      <c r="Y10" s="177">
        <f t="shared" si="5"/>
        <v>6</v>
      </c>
      <c r="Z10" s="177">
        <f t="shared" si="5"/>
        <v>6</v>
      </c>
      <c r="AA10" s="177">
        <f t="shared" si="5"/>
        <v>6</v>
      </c>
      <c r="AB10" s="177">
        <f t="shared" si="5"/>
        <v>6</v>
      </c>
      <c r="AC10" s="177">
        <f t="shared" si="5"/>
        <v>6</v>
      </c>
      <c r="AD10" s="177">
        <f t="shared" si="5"/>
        <v>6</v>
      </c>
      <c r="AE10" s="177">
        <f t="shared" si="5"/>
        <v>6</v>
      </c>
      <c r="AF10" s="177">
        <f t="shared" si="5"/>
        <v>6</v>
      </c>
      <c r="AG10" s="177">
        <f t="shared" si="5"/>
        <v>6</v>
      </c>
      <c r="AH10" s="177">
        <f t="shared" si="5"/>
        <v>6</v>
      </c>
      <c r="AI10" s="177">
        <f t="shared" si="5"/>
        <v>6</v>
      </c>
      <c r="AJ10" s="177">
        <f t="shared" si="5"/>
        <v>6</v>
      </c>
      <c r="AK10" s="177">
        <f t="shared" si="5"/>
        <v>6</v>
      </c>
      <c r="AL10" s="177">
        <f t="shared" si="5"/>
        <v>6</v>
      </c>
      <c r="AM10" s="177">
        <f t="shared" si="5"/>
        <v>6</v>
      </c>
      <c r="AN10" s="178">
        <f t="shared" si="5"/>
        <v>6</v>
      </c>
    </row>
    <row r="11" spans="1:40">
      <c r="A11" s="129"/>
      <c r="B11" s="130" t="s">
        <v>73</v>
      </c>
      <c r="C11" s="131" t="s">
        <v>66</v>
      </c>
      <c r="D11" s="176">
        <f t="shared" ref="D11:AN11" si="6">(D6*D10)*2+(D7*D10)*2</f>
        <v>207.70098699813633</v>
      </c>
      <c r="E11" s="177">
        <f t="shared" si="6"/>
        <v>202.50703721105594</v>
      </c>
      <c r="F11" s="177">
        <f t="shared" si="6"/>
        <v>151.32381478141502</v>
      </c>
      <c r="G11" s="177">
        <f t="shared" si="6"/>
        <v>207.70098699813633</v>
      </c>
      <c r="H11" s="177">
        <f t="shared" si="6"/>
        <v>181.49701088447711</v>
      </c>
      <c r="I11" s="177">
        <f t="shared" si="6"/>
        <v>189.59735884236363</v>
      </c>
      <c r="J11" s="177">
        <f t="shared" si="6"/>
        <v>196.60115136997544</v>
      </c>
      <c r="K11" s="177">
        <f t="shared" si="6"/>
        <v>219.39006358538666</v>
      </c>
      <c r="L11" s="177">
        <f t="shared" si="6"/>
        <v>175.2259439694933</v>
      </c>
      <c r="M11" s="177">
        <f t="shared" si="6"/>
        <v>199.87136563299907</v>
      </c>
      <c r="N11" s="177">
        <f t="shared" si="6"/>
        <v>186.86893802876924</v>
      </c>
      <c r="O11" s="177">
        <f t="shared" si="6"/>
        <v>200.46191169396744</v>
      </c>
      <c r="P11" s="177">
        <f t="shared" si="6"/>
        <v>181.49701088447711</v>
      </c>
      <c r="Q11" s="177">
        <f t="shared" si="6"/>
        <v>157.33401424993897</v>
      </c>
      <c r="R11" s="177">
        <f t="shared" si="6"/>
        <v>183.12203078821511</v>
      </c>
      <c r="S11" s="177">
        <f t="shared" si="6"/>
        <v>205.84447303729095</v>
      </c>
      <c r="T11" s="177">
        <f t="shared" si="6"/>
        <v>186.86893802876924</v>
      </c>
      <c r="U11" s="177">
        <f t="shared" si="6"/>
        <v>198.72594194015034</v>
      </c>
      <c r="V11" s="177">
        <f t="shared" si="6"/>
        <v>186.47578180557389</v>
      </c>
      <c r="W11" s="177">
        <f t="shared" si="6"/>
        <v>177.52965532552582</v>
      </c>
      <c r="X11" s="177">
        <f t="shared" si="6"/>
        <v>185.90320061795603</v>
      </c>
      <c r="Y11" s="177">
        <f t="shared" si="6"/>
        <v>188.64632622979968</v>
      </c>
      <c r="Z11" s="177">
        <f t="shared" si="6"/>
        <v>203.14249186223941</v>
      </c>
      <c r="AA11" s="177">
        <f t="shared" si="6"/>
        <v>211.87732299611491</v>
      </c>
      <c r="AB11" s="177">
        <f t="shared" si="6"/>
        <v>186.17200337322473</v>
      </c>
      <c r="AC11" s="177">
        <f t="shared" si="6"/>
        <v>204.40012700583139</v>
      </c>
      <c r="AD11" s="177">
        <f t="shared" si="6"/>
        <v>161.71328182929193</v>
      </c>
      <c r="AE11" s="177">
        <f t="shared" si="6"/>
        <v>211.87732299611491</v>
      </c>
      <c r="AF11" s="177">
        <f t="shared" si="6"/>
        <v>185.42102405067232</v>
      </c>
      <c r="AG11" s="177">
        <f t="shared" si="6"/>
        <v>186.05383736972482</v>
      </c>
      <c r="AH11" s="177">
        <f t="shared" si="6"/>
        <v>171.46778123017748</v>
      </c>
      <c r="AI11" s="177">
        <f t="shared" si="6"/>
        <v>181.49701088447711</v>
      </c>
      <c r="AJ11" s="177">
        <f t="shared" si="6"/>
        <v>157.33401424993897</v>
      </c>
      <c r="AK11" s="177">
        <f t="shared" si="6"/>
        <v>181.49701088447711</v>
      </c>
      <c r="AL11" s="177">
        <f t="shared" si="6"/>
        <v>157.33401424993897</v>
      </c>
      <c r="AM11" s="177">
        <f t="shared" si="6"/>
        <v>157.33401424993897</v>
      </c>
      <c r="AN11" s="178">
        <f t="shared" si="6"/>
        <v>157.33401424993897</v>
      </c>
    </row>
    <row r="12" spans="1:40">
      <c r="A12" s="129"/>
      <c r="B12" s="130" t="s">
        <v>77</v>
      </c>
      <c r="C12" s="131" t="s">
        <v>66</v>
      </c>
      <c r="D12" s="176">
        <f t="shared" ref="D12:AN12" si="7">D11-D21</f>
        <v>177.70098699813633</v>
      </c>
      <c r="E12" s="177">
        <f t="shared" si="7"/>
        <v>172.50703721105594</v>
      </c>
      <c r="F12" s="177">
        <f t="shared" si="7"/>
        <v>121.32381478141502</v>
      </c>
      <c r="G12" s="177">
        <f t="shared" si="7"/>
        <v>177.70098699813633</v>
      </c>
      <c r="H12" s="177">
        <f t="shared" si="7"/>
        <v>151.49701088447711</v>
      </c>
      <c r="I12" s="177">
        <f t="shared" si="7"/>
        <v>159.59735884236363</v>
      </c>
      <c r="J12" s="177">
        <f t="shared" si="7"/>
        <v>166.60115136997544</v>
      </c>
      <c r="K12" s="177">
        <f t="shared" si="7"/>
        <v>189.39006358538666</v>
      </c>
      <c r="L12" s="177">
        <f t="shared" si="7"/>
        <v>145.2259439694933</v>
      </c>
      <c r="M12" s="177">
        <f t="shared" si="7"/>
        <v>169.87136563299907</v>
      </c>
      <c r="N12" s="177">
        <f t="shared" si="7"/>
        <v>156.86893802876924</v>
      </c>
      <c r="O12" s="177">
        <f t="shared" si="7"/>
        <v>170.46191169396744</v>
      </c>
      <c r="P12" s="177">
        <f t="shared" si="7"/>
        <v>151.49701088447711</v>
      </c>
      <c r="Q12" s="177">
        <f t="shared" si="7"/>
        <v>127.33401424993897</v>
      </c>
      <c r="R12" s="177">
        <f t="shared" si="7"/>
        <v>153.12203078821511</v>
      </c>
      <c r="S12" s="177">
        <f t="shared" si="7"/>
        <v>175.84447303729095</v>
      </c>
      <c r="T12" s="177">
        <f t="shared" si="7"/>
        <v>156.86893802876924</v>
      </c>
      <c r="U12" s="177">
        <f t="shared" si="7"/>
        <v>168.72594194015034</v>
      </c>
      <c r="V12" s="177">
        <f t="shared" si="7"/>
        <v>156.47578180557389</v>
      </c>
      <c r="W12" s="177">
        <f t="shared" si="7"/>
        <v>147.52965532552582</v>
      </c>
      <c r="X12" s="177">
        <f t="shared" si="7"/>
        <v>155.90320061795603</v>
      </c>
      <c r="Y12" s="177">
        <f t="shared" si="7"/>
        <v>158.64632622979968</v>
      </c>
      <c r="Z12" s="177">
        <f t="shared" si="7"/>
        <v>173.14249186223941</v>
      </c>
      <c r="AA12" s="177">
        <f t="shared" si="7"/>
        <v>181.87732299611491</v>
      </c>
      <c r="AB12" s="177">
        <f t="shared" si="7"/>
        <v>156.17200337322473</v>
      </c>
      <c r="AC12" s="177">
        <f t="shared" si="7"/>
        <v>174.40012700583139</v>
      </c>
      <c r="AD12" s="177">
        <f t="shared" si="7"/>
        <v>131.71328182929193</v>
      </c>
      <c r="AE12" s="177">
        <f t="shared" si="7"/>
        <v>181.87732299611491</v>
      </c>
      <c r="AF12" s="177">
        <f t="shared" si="7"/>
        <v>155.42102405067232</v>
      </c>
      <c r="AG12" s="177">
        <f t="shared" si="7"/>
        <v>156.05383736972482</v>
      </c>
      <c r="AH12" s="177">
        <f t="shared" si="7"/>
        <v>141.46778123017748</v>
      </c>
      <c r="AI12" s="177">
        <f t="shared" si="7"/>
        <v>151.49701088447711</v>
      </c>
      <c r="AJ12" s="177">
        <f t="shared" si="7"/>
        <v>127.33401424993897</v>
      </c>
      <c r="AK12" s="177">
        <f t="shared" si="7"/>
        <v>151.49701088447711</v>
      </c>
      <c r="AL12" s="177">
        <f t="shared" si="7"/>
        <v>127.33401424993897</v>
      </c>
      <c r="AM12" s="177">
        <f t="shared" si="7"/>
        <v>127.33401424993897</v>
      </c>
      <c r="AN12" s="178">
        <f t="shared" si="7"/>
        <v>127.33401424993897</v>
      </c>
    </row>
    <row r="13" spans="1:40">
      <c r="A13" s="126"/>
      <c r="B13" s="127" t="s">
        <v>137</v>
      </c>
      <c r="C13" s="128" t="s">
        <v>76</v>
      </c>
      <c r="D13" s="179">
        <v>1.05</v>
      </c>
      <c r="E13" s="182">
        <v>1.05</v>
      </c>
      <c r="F13" s="182">
        <v>1.05</v>
      </c>
      <c r="G13" s="182">
        <v>1.05</v>
      </c>
      <c r="H13" s="182">
        <v>1.05</v>
      </c>
      <c r="I13" s="182">
        <v>1.05</v>
      </c>
      <c r="J13" s="182">
        <v>1.05</v>
      </c>
      <c r="K13" s="182">
        <v>1.05</v>
      </c>
      <c r="L13" s="182">
        <v>1.05</v>
      </c>
      <c r="M13" s="182">
        <v>1.05</v>
      </c>
      <c r="N13" s="182">
        <v>1.05</v>
      </c>
      <c r="O13" s="182">
        <v>1.05</v>
      </c>
      <c r="P13" s="182">
        <v>1.05</v>
      </c>
      <c r="Q13" s="182">
        <v>1.05</v>
      </c>
      <c r="R13" s="182">
        <v>1.05</v>
      </c>
      <c r="S13" s="182">
        <v>1.05</v>
      </c>
      <c r="T13" s="182">
        <v>1.05</v>
      </c>
      <c r="U13" s="182">
        <v>1.05</v>
      </c>
      <c r="V13" s="182">
        <v>1.05</v>
      </c>
      <c r="W13" s="182">
        <v>1.05</v>
      </c>
      <c r="X13" s="182">
        <v>1.05</v>
      </c>
      <c r="Y13" s="182">
        <v>1.05</v>
      </c>
      <c r="Z13" s="182">
        <v>1.05</v>
      </c>
      <c r="AA13" s="182">
        <v>1.05</v>
      </c>
      <c r="AB13" s="182">
        <v>1.05</v>
      </c>
      <c r="AC13" s="182">
        <v>1.05</v>
      </c>
      <c r="AD13" s="182">
        <v>1.05</v>
      </c>
      <c r="AE13" s="182">
        <v>1.05</v>
      </c>
      <c r="AF13" s="182">
        <v>1.05</v>
      </c>
      <c r="AG13" s="182">
        <v>1.05</v>
      </c>
      <c r="AH13" s="182">
        <v>1.05</v>
      </c>
      <c r="AI13" s="182">
        <v>1.05</v>
      </c>
      <c r="AJ13" s="182">
        <v>1.05</v>
      </c>
      <c r="AK13" s="182">
        <v>1.05</v>
      </c>
      <c r="AL13" s="182">
        <v>1.05</v>
      </c>
      <c r="AM13" s="182">
        <v>1.05</v>
      </c>
      <c r="AN13" s="183">
        <v>1.05</v>
      </c>
    </row>
    <row r="14" spans="1:40">
      <c r="A14" s="129"/>
      <c r="B14" s="130" t="s">
        <v>74</v>
      </c>
      <c r="C14" s="131" t="s">
        <v>66</v>
      </c>
      <c r="D14" s="176">
        <f t="shared" ref="D14:AN14" si="8">D6*D7*D13</f>
        <v>78.640078125000002</v>
      </c>
      <c r="E14" s="177">
        <f t="shared" si="8"/>
        <v>74.756172093749981</v>
      </c>
      <c r="F14" s="177">
        <f t="shared" si="8"/>
        <v>41.742780843749998</v>
      </c>
      <c r="G14" s="177">
        <f t="shared" si="8"/>
        <v>78.640078125000002</v>
      </c>
      <c r="H14" s="177">
        <f t="shared" si="8"/>
        <v>60.04899862500001</v>
      </c>
      <c r="I14" s="177">
        <f t="shared" si="8"/>
        <v>65.528674312500002</v>
      </c>
      <c r="J14" s="177">
        <f t="shared" si="8"/>
        <v>70.4593981875</v>
      </c>
      <c r="K14" s="177">
        <f t="shared" si="8"/>
        <v>87.740625000000023</v>
      </c>
      <c r="L14" s="177">
        <f t="shared" si="8"/>
        <v>55.971072937500004</v>
      </c>
      <c r="M14" s="177">
        <f t="shared" si="8"/>
        <v>72.822900937500009</v>
      </c>
      <c r="N14" s="177">
        <f t="shared" si="8"/>
        <v>63.656249999999993</v>
      </c>
      <c r="O14" s="177">
        <f t="shared" si="8"/>
        <v>73.253866218750005</v>
      </c>
      <c r="P14" s="177">
        <f t="shared" si="8"/>
        <v>60.04899862500001</v>
      </c>
      <c r="Q14" s="177">
        <f t="shared" si="8"/>
        <v>45.124464656249998</v>
      </c>
      <c r="R14" s="177">
        <f t="shared" si="8"/>
        <v>61.129100812500006</v>
      </c>
      <c r="S14" s="177">
        <f t="shared" si="8"/>
        <v>77.240528531250007</v>
      </c>
      <c r="T14" s="177">
        <f t="shared" si="8"/>
        <v>63.656249999999993</v>
      </c>
      <c r="U14" s="177">
        <f t="shared" si="8"/>
        <v>71.990625000000023</v>
      </c>
      <c r="V14" s="177">
        <f t="shared" si="8"/>
        <v>63.388677187499994</v>
      </c>
      <c r="W14" s="177">
        <f t="shared" si="8"/>
        <v>57.452460843750004</v>
      </c>
      <c r="X14" s="177">
        <f t="shared" si="8"/>
        <v>63.000000000000007</v>
      </c>
      <c r="Y14" s="177">
        <f t="shared" si="8"/>
        <v>64.872930937500016</v>
      </c>
      <c r="Z14" s="177">
        <f t="shared" si="8"/>
        <v>75.226068750000024</v>
      </c>
      <c r="AA14" s="177">
        <f t="shared" si="8"/>
        <v>81.834375000000023</v>
      </c>
      <c r="AB14" s="177">
        <f t="shared" si="8"/>
        <v>63.182318718750004</v>
      </c>
      <c r="AC14" s="177">
        <f t="shared" si="8"/>
        <v>76.160386312500023</v>
      </c>
      <c r="AD14" s="177">
        <f t="shared" si="8"/>
        <v>47.671431937500003</v>
      </c>
      <c r="AE14" s="177">
        <f t="shared" si="8"/>
        <v>81.834375000000023</v>
      </c>
      <c r="AF14" s="177">
        <f t="shared" si="8"/>
        <v>62.673617999999998</v>
      </c>
      <c r="AG14" s="177">
        <f t="shared" si="8"/>
        <v>63.102138750000016</v>
      </c>
      <c r="AH14" s="177">
        <f t="shared" si="8"/>
        <v>53.595937500000005</v>
      </c>
      <c r="AI14" s="177">
        <f t="shared" si="8"/>
        <v>60.04899862500001</v>
      </c>
      <c r="AJ14" s="177">
        <f t="shared" si="8"/>
        <v>45.124464656249998</v>
      </c>
      <c r="AK14" s="177">
        <f t="shared" si="8"/>
        <v>60.04899862500001</v>
      </c>
      <c r="AL14" s="177">
        <f t="shared" si="8"/>
        <v>45.124464656249998</v>
      </c>
      <c r="AM14" s="177">
        <f t="shared" si="8"/>
        <v>45.124464656249998</v>
      </c>
      <c r="AN14" s="178">
        <f t="shared" si="8"/>
        <v>45.124464656249998</v>
      </c>
    </row>
    <row r="15" spans="1:40">
      <c r="A15" s="129"/>
      <c r="B15" s="130" t="s">
        <v>177</v>
      </c>
      <c r="C15" s="131" t="s">
        <v>66</v>
      </c>
      <c r="D15" s="176">
        <f t="shared" ref="D15:AN15" si="9">D14</f>
        <v>78.640078125000002</v>
      </c>
      <c r="E15" s="177">
        <f t="shared" si="9"/>
        <v>74.756172093749981</v>
      </c>
      <c r="F15" s="177">
        <f t="shared" si="9"/>
        <v>41.742780843749998</v>
      </c>
      <c r="G15" s="177">
        <f t="shared" si="9"/>
        <v>78.640078125000002</v>
      </c>
      <c r="H15" s="177">
        <f t="shared" si="9"/>
        <v>60.04899862500001</v>
      </c>
      <c r="I15" s="177">
        <f t="shared" si="9"/>
        <v>65.528674312500002</v>
      </c>
      <c r="J15" s="177">
        <f t="shared" si="9"/>
        <v>70.4593981875</v>
      </c>
      <c r="K15" s="177">
        <f t="shared" si="9"/>
        <v>87.740625000000023</v>
      </c>
      <c r="L15" s="177">
        <f t="shared" si="9"/>
        <v>55.971072937500004</v>
      </c>
      <c r="M15" s="177">
        <f t="shared" si="9"/>
        <v>72.822900937500009</v>
      </c>
      <c r="N15" s="177">
        <f t="shared" si="9"/>
        <v>63.656249999999993</v>
      </c>
      <c r="O15" s="177">
        <f t="shared" si="9"/>
        <v>73.253866218750005</v>
      </c>
      <c r="P15" s="177">
        <f t="shared" si="9"/>
        <v>60.04899862500001</v>
      </c>
      <c r="Q15" s="177">
        <f t="shared" si="9"/>
        <v>45.124464656249998</v>
      </c>
      <c r="R15" s="177">
        <f t="shared" si="9"/>
        <v>61.129100812500006</v>
      </c>
      <c r="S15" s="177">
        <f t="shared" si="9"/>
        <v>77.240528531250007</v>
      </c>
      <c r="T15" s="177">
        <f t="shared" si="9"/>
        <v>63.656249999999993</v>
      </c>
      <c r="U15" s="177">
        <f t="shared" si="9"/>
        <v>71.990625000000023</v>
      </c>
      <c r="V15" s="177">
        <f t="shared" si="9"/>
        <v>63.388677187499994</v>
      </c>
      <c r="W15" s="177">
        <f t="shared" si="9"/>
        <v>57.452460843750004</v>
      </c>
      <c r="X15" s="177">
        <f t="shared" si="9"/>
        <v>63.000000000000007</v>
      </c>
      <c r="Y15" s="177">
        <f t="shared" si="9"/>
        <v>64.872930937500016</v>
      </c>
      <c r="Z15" s="177">
        <f t="shared" si="9"/>
        <v>75.226068750000024</v>
      </c>
      <c r="AA15" s="177">
        <f t="shared" si="9"/>
        <v>81.834375000000023</v>
      </c>
      <c r="AB15" s="177">
        <f t="shared" si="9"/>
        <v>63.182318718750004</v>
      </c>
      <c r="AC15" s="177">
        <f t="shared" si="9"/>
        <v>76.160386312500023</v>
      </c>
      <c r="AD15" s="177">
        <f t="shared" si="9"/>
        <v>47.671431937500003</v>
      </c>
      <c r="AE15" s="177">
        <f t="shared" si="9"/>
        <v>81.834375000000023</v>
      </c>
      <c r="AF15" s="177">
        <f t="shared" si="9"/>
        <v>62.673617999999998</v>
      </c>
      <c r="AG15" s="177">
        <f t="shared" si="9"/>
        <v>63.102138750000016</v>
      </c>
      <c r="AH15" s="177">
        <f t="shared" si="9"/>
        <v>53.595937500000005</v>
      </c>
      <c r="AI15" s="177">
        <f t="shared" si="9"/>
        <v>60.04899862500001</v>
      </c>
      <c r="AJ15" s="177">
        <f t="shared" si="9"/>
        <v>45.124464656249998</v>
      </c>
      <c r="AK15" s="177">
        <f t="shared" si="9"/>
        <v>60.04899862500001</v>
      </c>
      <c r="AL15" s="177">
        <f t="shared" si="9"/>
        <v>45.124464656249998</v>
      </c>
      <c r="AM15" s="177">
        <f t="shared" si="9"/>
        <v>45.124464656249998</v>
      </c>
      <c r="AN15" s="178">
        <f t="shared" si="9"/>
        <v>45.124464656249998</v>
      </c>
    </row>
    <row r="16" spans="1:40">
      <c r="A16" s="129"/>
      <c r="B16" s="130" t="s">
        <v>138</v>
      </c>
      <c r="C16" s="131" t="s">
        <v>66</v>
      </c>
      <c r="D16" s="176">
        <f t="shared" ref="D16:AN16" si="10">SUM(D12,D14:D15)</f>
        <v>334.98114324813633</v>
      </c>
      <c r="E16" s="177">
        <f t="shared" si="10"/>
        <v>322.01938139855588</v>
      </c>
      <c r="F16" s="177">
        <f t="shared" si="10"/>
        <v>204.80937646891499</v>
      </c>
      <c r="G16" s="177">
        <f t="shared" si="10"/>
        <v>334.98114324813633</v>
      </c>
      <c r="H16" s="177">
        <f t="shared" si="10"/>
        <v>271.59500813447715</v>
      </c>
      <c r="I16" s="177">
        <f t="shared" si="10"/>
        <v>290.65470746736366</v>
      </c>
      <c r="J16" s="177">
        <f t="shared" si="10"/>
        <v>307.51994774497541</v>
      </c>
      <c r="K16" s="177">
        <f t="shared" si="10"/>
        <v>364.8713135853867</v>
      </c>
      <c r="L16" s="177">
        <f t="shared" si="10"/>
        <v>257.1680898444933</v>
      </c>
      <c r="M16" s="177">
        <f t="shared" si="10"/>
        <v>315.51716750799909</v>
      </c>
      <c r="N16" s="177">
        <f t="shared" si="10"/>
        <v>284.18143802876921</v>
      </c>
      <c r="O16" s="177">
        <f t="shared" si="10"/>
        <v>316.96964413146748</v>
      </c>
      <c r="P16" s="177">
        <f t="shared" si="10"/>
        <v>271.59500813447715</v>
      </c>
      <c r="Q16" s="177">
        <f t="shared" si="10"/>
        <v>217.58294356243897</v>
      </c>
      <c r="R16" s="177">
        <f t="shared" si="10"/>
        <v>275.38023241321514</v>
      </c>
      <c r="S16" s="177">
        <f t="shared" si="10"/>
        <v>330.32553009979097</v>
      </c>
      <c r="T16" s="177">
        <f t="shared" si="10"/>
        <v>284.18143802876921</v>
      </c>
      <c r="U16" s="177">
        <f t="shared" si="10"/>
        <v>312.70719194015038</v>
      </c>
      <c r="V16" s="177">
        <f t="shared" si="10"/>
        <v>283.25313618057385</v>
      </c>
      <c r="W16" s="177">
        <f t="shared" si="10"/>
        <v>262.43457701302583</v>
      </c>
      <c r="X16" s="177">
        <f t="shared" si="10"/>
        <v>281.90320061795603</v>
      </c>
      <c r="Y16" s="177">
        <f t="shared" si="10"/>
        <v>288.39218810479974</v>
      </c>
      <c r="Z16" s="177">
        <f t="shared" si="10"/>
        <v>323.59462936223946</v>
      </c>
      <c r="AA16" s="177">
        <f t="shared" si="10"/>
        <v>345.54607299611496</v>
      </c>
      <c r="AB16" s="177">
        <f t="shared" si="10"/>
        <v>282.53664081072475</v>
      </c>
      <c r="AC16" s="177">
        <f t="shared" si="10"/>
        <v>326.72089963083141</v>
      </c>
      <c r="AD16" s="177">
        <f t="shared" si="10"/>
        <v>227.05614570429196</v>
      </c>
      <c r="AE16" s="177">
        <f t="shared" si="10"/>
        <v>345.54607299611496</v>
      </c>
      <c r="AF16" s="177">
        <f t="shared" si="10"/>
        <v>280.76826005067232</v>
      </c>
      <c r="AG16" s="177">
        <f t="shared" si="10"/>
        <v>282.25811486972486</v>
      </c>
      <c r="AH16" s="177">
        <f t="shared" si="10"/>
        <v>248.65965623017746</v>
      </c>
      <c r="AI16" s="177">
        <f t="shared" si="10"/>
        <v>271.59500813447715</v>
      </c>
      <c r="AJ16" s="177">
        <f t="shared" si="10"/>
        <v>217.58294356243897</v>
      </c>
      <c r="AK16" s="177">
        <f t="shared" si="10"/>
        <v>271.59500813447715</v>
      </c>
      <c r="AL16" s="177">
        <f t="shared" si="10"/>
        <v>217.58294356243897</v>
      </c>
      <c r="AM16" s="177">
        <f t="shared" si="10"/>
        <v>217.58294356243897</v>
      </c>
      <c r="AN16" s="178">
        <f t="shared" si="10"/>
        <v>217.58294356243897</v>
      </c>
    </row>
    <row r="17" spans="1:40">
      <c r="A17" s="121"/>
      <c r="B17" s="132" t="s">
        <v>75</v>
      </c>
      <c r="C17" s="122" t="s">
        <v>69</v>
      </c>
      <c r="D17" s="173">
        <f t="shared" ref="D17:AN17" si="11">D6*D7*D10</f>
        <v>449.37187500000005</v>
      </c>
      <c r="E17" s="174">
        <f t="shared" si="11"/>
        <v>427.17812624999988</v>
      </c>
      <c r="F17" s="174">
        <f t="shared" si="11"/>
        <v>238.53017625000001</v>
      </c>
      <c r="G17" s="174">
        <f t="shared" si="11"/>
        <v>449.37187500000005</v>
      </c>
      <c r="H17" s="174">
        <f t="shared" si="11"/>
        <v>343.13713500000006</v>
      </c>
      <c r="I17" s="174">
        <f t="shared" si="11"/>
        <v>374.4495675</v>
      </c>
      <c r="J17" s="174">
        <f t="shared" si="11"/>
        <v>402.62513249999995</v>
      </c>
      <c r="K17" s="174">
        <f t="shared" si="11"/>
        <v>501.37500000000011</v>
      </c>
      <c r="L17" s="174">
        <f t="shared" si="11"/>
        <v>319.83470250000005</v>
      </c>
      <c r="M17" s="174">
        <f t="shared" si="11"/>
        <v>416.13086250000003</v>
      </c>
      <c r="N17" s="174">
        <f t="shared" si="11"/>
        <v>363.74999999999994</v>
      </c>
      <c r="O17" s="174">
        <f t="shared" si="11"/>
        <v>418.59352124999998</v>
      </c>
      <c r="P17" s="174">
        <f t="shared" si="11"/>
        <v>343.13713500000006</v>
      </c>
      <c r="Q17" s="174">
        <f t="shared" si="11"/>
        <v>257.85408374999997</v>
      </c>
      <c r="R17" s="174">
        <f t="shared" si="11"/>
        <v>349.30914749999999</v>
      </c>
      <c r="S17" s="174">
        <f t="shared" si="11"/>
        <v>441.37444875000006</v>
      </c>
      <c r="T17" s="174">
        <f t="shared" si="11"/>
        <v>363.74999999999994</v>
      </c>
      <c r="U17" s="174">
        <f t="shared" si="11"/>
        <v>411.37500000000011</v>
      </c>
      <c r="V17" s="174">
        <f t="shared" si="11"/>
        <v>362.22101249999992</v>
      </c>
      <c r="W17" s="174">
        <f t="shared" si="11"/>
        <v>328.29977625000004</v>
      </c>
      <c r="X17" s="174">
        <f t="shared" si="11"/>
        <v>360.00000000000006</v>
      </c>
      <c r="Y17" s="174">
        <f t="shared" si="11"/>
        <v>370.70246250000002</v>
      </c>
      <c r="Z17" s="174">
        <f t="shared" si="11"/>
        <v>429.86325000000011</v>
      </c>
      <c r="AA17" s="174">
        <f t="shared" si="11"/>
        <v>467.62500000000011</v>
      </c>
      <c r="AB17" s="174">
        <f t="shared" si="11"/>
        <v>361.04182125</v>
      </c>
      <c r="AC17" s="174">
        <f t="shared" si="11"/>
        <v>435.2022075000001</v>
      </c>
      <c r="AD17" s="174">
        <f t="shared" si="11"/>
        <v>272.40818250000001</v>
      </c>
      <c r="AE17" s="174">
        <f t="shared" si="11"/>
        <v>467.62500000000011</v>
      </c>
      <c r="AF17" s="174">
        <f t="shared" si="11"/>
        <v>358.13495999999998</v>
      </c>
      <c r="AG17" s="174">
        <f t="shared" si="11"/>
        <v>360.58365000000003</v>
      </c>
      <c r="AH17" s="174">
        <f t="shared" si="11"/>
        <v>306.26250000000005</v>
      </c>
      <c r="AI17" s="174">
        <f t="shared" si="11"/>
        <v>343.13713500000006</v>
      </c>
      <c r="AJ17" s="174">
        <f t="shared" si="11"/>
        <v>257.85408374999997</v>
      </c>
      <c r="AK17" s="174">
        <f t="shared" si="11"/>
        <v>343.13713500000006</v>
      </c>
      <c r="AL17" s="174">
        <f t="shared" si="11"/>
        <v>257.85408374999997</v>
      </c>
      <c r="AM17" s="174">
        <f t="shared" si="11"/>
        <v>257.85408374999997</v>
      </c>
      <c r="AN17" s="175">
        <f t="shared" si="11"/>
        <v>257.85408374999997</v>
      </c>
    </row>
    <row r="18" spans="1:40">
      <c r="A18" s="150" t="s">
        <v>70</v>
      </c>
      <c r="B18" s="133"/>
      <c r="C18" s="134" t="s">
        <v>76</v>
      </c>
      <c r="D18" s="184">
        <f t="shared" ref="D18:AN18" si="12">(D16+D21)/D17</f>
        <v>0.81220290710925402</v>
      </c>
      <c r="E18" s="185">
        <f t="shared" si="12"/>
        <v>0.82405759978576609</v>
      </c>
      <c r="F18" s="185">
        <f t="shared" si="12"/>
        <v>0.98440113599218027</v>
      </c>
      <c r="G18" s="185">
        <f t="shared" si="12"/>
        <v>0.81220290710925402</v>
      </c>
      <c r="H18" s="185">
        <f t="shared" si="12"/>
        <v>0.87893433083095807</v>
      </c>
      <c r="I18" s="185">
        <f t="shared" si="12"/>
        <v>0.85633616726600614</v>
      </c>
      <c r="J18" s="185">
        <f t="shared" si="12"/>
        <v>0.83829825934916136</v>
      </c>
      <c r="K18" s="185">
        <f t="shared" si="12"/>
        <v>0.78757679099553546</v>
      </c>
      <c r="L18" s="185">
        <f t="shared" si="12"/>
        <v>0.89786407666157886</v>
      </c>
      <c r="M18" s="185">
        <f t="shared" si="12"/>
        <v>0.83030892117019817</v>
      </c>
      <c r="N18" s="185">
        <f t="shared" si="12"/>
        <v>0.86372903925434852</v>
      </c>
      <c r="O18" s="185">
        <f t="shared" si="12"/>
        <v>0.82889396638378454</v>
      </c>
      <c r="P18" s="185">
        <f t="shared" si="12"/>
        <v>0.87893433083095807</v>
      </c>
      <c r="Q18" s="185">
        <f t="shared" si="12"/>
        <v>0.96016685080885011</v>
      </c>
      <c r="R18" s="185">
        <f t="shared" si="12"/>
        <v>0.87424058201400279</v>
      </c>
      <c r="S18" s="185">
        <f t="shared" si="12"/>
        <v>0.81637152109791433</v>
      </c>
      <c r="T18" s="185">
        <f t="shared" si="12"/>
        <v>0.86372903925434852</v>
      </c>
      <c r="U18" s="185">
        <f t="shared" si="12"/>
        <v>0.83307734291133462</v>
      </c>
      <c r="V18" s="185">
        <f t="shared" si="12"/>
        <v>0.8648121598980234</v>
      </c>
      <c r="W18" s="185">
        <f t="shared" si="12"/>
        <v>0.89075472531037336</v>
      </c>
      <c r="X18" s="185">
        <f t="shared" si="12"/>
        <v>0.86639777949432217</v>
      </c>
      <c r="Y18" s="185">
        <f t="shared" si="12"/>
        <v>0.85888878632631072</v>
      </c>
      <c r="Z18" s="185">
        <f t="shared" si="12"/>
        <v>0.82257468942097134</v>
      </c>
      <c r="AA18" s="185">
        <f t="shared" si="12"/>
        <v>0.80309237743087913</v>
      </c>
      <c r="AB18" s="185">
        <f t="shared" si="12"/>
        <v>0.86565218325306337</v>
      </c>
      <c r="AC18" s="185">
        <f t="shared" si="12"/>
        <v>0.81966702715043405</v>
      </c>
      <c r="AD18" s="185">
        <f t="shared" si="12"/>
        <v>0.94364326117220054</v>
      </c>
      <c r="AE18" s="185">
        <f t="shared" si="12"/>
        <v>0.80309237743087913</v>
      </c>
      <c r="AF18" s="185">
        <f t="shared" si="12"/>
        <v>0.86774064182584221</v>
      </c>
      <c r="AG18" s="185">
        <f t="shared" si="12"/>
        <v>0.86597968285507354</v>
      </c>
      <c r="AH18" s="185">
        <f t="shared" si="12"/>
        <v>0.90987194393756143</v>
      </c>
      <c r="AI18" s="185">
        <f t="shared" si="12"/>
        <v>0.87893433083095807</v>
      </c>
      <c r="AJ18" s="185">
        <f t="shared" si="12"/>
        <v>0.96016685080885011</v>
      </c>
      <c r="AK18" s="185">
        <f t="shared" si="12"/>
        <v>0.87893433083095807</v>
      </c>
      <c r="AL18" s="185">
        <f t="shared" si="12"/>
        <v>0.96016685080885011</v>
      </c>
      <c r="AM18" s="185">
        <f t="shared" si="12"/>
        <v>0.96016685080885011</v>
      </c>
      <c r="AN18" s="186">
        <f t="shared" si="12"/>
        <v>0.96016685080885011</v>
      </c>
    </row>
    <row r="19" spans="1:40">
      <c r="A19" s="139"/>
      <c r="B19" s="145"/>
      <c r="C19" s="145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7"/>
      <c r="AG19" s="187"/>
      <c r="AH19" s="187"/>
      <c r="AI19" s="187"/>
      <c r="AJ19" s="187"/>
      <c r="AK19" s="187"/>
      <c r="AL19" s="187"/>
      <c r="AM19" s="187"/>
      <c r="AN19" s="187"/>
    </row>
    <row r="20" spans="1:40">
      <c r="A20" s="146" t="s">
        <v>78</v>
      </c>
      <c r="B20" s="124" t="s">
        <v>79</v>
      </c>
      <c r="C20" s="125" t="s">
        <v>125</v>
      </c>
      <c r="D20" s="188">
        <v>10</v>
      </c>
      <c r="E20" s="189">
        <v>10</v>
      </c>
      <c r="F20" s="189">
        <v>10</v>
      </c>
      <c r="G20" s="189">
        <v>10</v>
      </c>
      <c r="H20" s="189">
        <v>10</v>
      </c>
      <c r="I20" s="189">
        <v>10</v>
      </c>
      <c r="J20" s="189">
        <v>10</v>
      </c>
      <c r="K20" s="189">
        <v>10</v>
      </c>
      <c r="L20" s="189">
        <v>10</v>
      </c>
      <c r="M20" s="189">
        <v>10</v>
      </c>
      <c r="N20" s="189">
        <v>10</v>
      </c>
      <c r="O20" s="189">
        <v>10</v>
      </c>
      <c r="P20" s="189">
        <v>10</v>
      </c>
      <c r="Q20" s="189">
        <v>10</v>
      </c>
      <c r="R20" s="189">
        <v>10</v>
      </c>
      <c r="S20" s="189">
        <v>10</v>
      </c>
      <c r="T20" s="189">
        <v>10</v>
      </c>
      <c r="U20" s="189">
        <v>10</v>
      </c>
      <c r="V20" s="189">
        <v>10</v>
      </c>
      <c r="W20" s="189">
        <v>10</v>
      </c>
      <c r="X20" s="189">
        <v>10</v>
      </c>
      <c r="Y20" s="189">
        <v>10</v>
      </c>
      <c r="Z20" s="189">
        <v>10</v>
      </c>
      <c r="AA20" s="189">
        <v>10</v>
      </c>
      <c r="AB20" s="189">
        <v>10</v>
      </c>
      <c r="AC20" s="189">
        <v>10</v>
      </c>
      <c r="AD20" s="189">
        <v>10</v>
      </c>
      <c r="AE20" s="189">
        <v>10</v>
      </c>
      <c r="AF20" s="189">
        <v>10</v>
      </c>
      <c r="AG20" s="189">
        <v>10</v>
      </c>
      <c r="AH20" s="189">
        <v>10</v>
      </c>
      <c r="AI20" s="189">
        <v>10</v>
      </c>
      <c r="AJ20" s="189">
        <v>10</v>
      </c>
      <c r="AK20" s="189">
        <v>10</v>
      </c>
      <c r="AL20" s="189">
        <v>10</v>
      </c>
      <c r="AM20" s="189">
        <v>10</v>
      </c>
      <c r="AN20" s="190">
        <v>10</v>
      </c>
    </row>
    <row r="21" spans="1:40">
      <c r="A21" s="129"/>
      <c r="B21" s="130" t="s">
        <v>78</v>
      </c>
      <c r="C21" s="131" t="s">
        <v>66</v>
      </c>
      <c r="D21" s="176">
        <f t="shared" ref="D21:AN21" si="13">D20*3</f>
        <v>30</v>
      </c>
      <c r="E21" s="177">
        <f t="shared" si="13"/>
        <v>30</v>
      </c>
      <c r="F21" s="177">
        <f t="shared" si="13"/>
        <v>30</v>
      </c>
      <c r="G21" s="177">
        <f t="shared" si="13"/>
        <v>30</v>
      </c>
      <c r="H21" s="177">
        <f t="shared" si="13"/>
        <v>30</v>
      </c>
      <c r="I21" s="177">
        <f t="shared" si="13"/>
        <v>30</v>
      </c>
      <c r="J21" s="177">
        <f t="shared" si="13"/>
        <v>30</v>
      </c>
      <c r="K21" s="177">
        <f t="shared" si="13"/>
        <v>30</v>
      </c>
      <c r="L21" s="177">
        <f t="shared" si="13"/>
        <v>30</v>
      </c>
      <c r="M21" s="177">
        <f t="shared" si="13"/>
        <v>30</v>
      </c>
      <c r="N21" s="177">
        <f t="shared" si="13"/>
        <v>30</v>
      </c>
      <c r="O21" s="177">
        <f t="shared" si="13"/>
        <v>30</v>
      </c>
      <c r="P21" s="177">
        <f t="shared" si="13"/>
        <v>30</v>
      </c>
      <c r="Q21" s="177">
        <f t="shared" si="13"/>
        <v>30</v>
      </c>
      <c r="R21" s="177">
        <f t="shared" si="13"/>
        <v>30</v>
      </c>
      <c r="S21" s="177">
        <f t="shared" si="13"/>
        <v>30</v>
      </c>
      <c r="T21" s="177">
        <f t="shared" si="13"/>
        <v>30</v>
      </c>
      <c r="U21" s="177">
        <f t="shared" si="13"/>
        <v>30</v>
      </c>
      <c r="V21" s="177">
        <f t="shared" si="13"/>
        <v>30</v>
      </c>
      <c r="W21" s="177">
        <f t="shared" si="13"/>
        <v>30</v>
      </c>
      <c r="X21" s="177">
        <f t="shared" si="13"/>
        <v>30</v>
      </c>
      <c r="Y21" s="177">
        <f t="shared" si="13"/>
        <v>30</v>
      </c>
      <c r="Z21" s="177">
        <f t="shared" si="13"/>
        <v>30</v>
      </c>
      <c r="AA21" s="177">
        <f t="shared" si="13"/>
        <v>30</v>
      </c>
      <c r="AB21" s="177">
        <f t="shared" si="13"/>
        <v>30</v>
      </c>
      <c r="AC21" s="177">
        <f t="shared" si="13"/>
        <v>30</v>
      </c>
      <c r="AD21" s="177">
        <f t="shared" si="13"/>
        <v>30</v>
      </c>
      <c r="AE21" s="177">
        <f t="shared" si="13"/>
        <v>30</v>
      </c>
      <c r="AF21" s="177">
        <f t="shared" si="13"/>
        <v>30</v>
      </c>
      <c r="AG21" s="177">
        <f t="shared" si="13"/>
        <v>30</v>
      </c>
      <c r="AH21" s="177">
        <f t="shared" si="13"/>
        <v>30</v>
      </c>
      <c r="AI21" s="177">
        <f t="shared" si="13"/>
        <v>30</v>
      </c>
      <c r="AJ21" s="177">
        <f t="shared" si="13"/>
        <v>30</v>
      </c>
      <c r="AK21" s="177">
        <f t="shared" si="13"/>
        <v>30</v>
      </c>
      <c r="AL21" s="177">
        <f t="shared" si="13"/>
        <v>30</v>
      </c>
      <c r="AM21" s="177">
        <f t="shared" si="13"/>
        <v>30</v>
      </c>
      <c r="AN21" s="178">
        <f t="shared" si="13"/>
        <v>30</v>
      </c>
    </row>
    <row r="22" spans="1:40">
      <c r="A22" s="121"/>
      <c r="B22" s="132" t="s">
        <v>149</v>
      </c>
      <c r="C22" s="122" t="s">
        <v>148</v>
      </c>
      <c r="D22" s="191">
        <f t="shared" ref="D22:AN22" si="14">D21/(D11)</f>
        <v>0.14443840847164191</v>
      </c>
      <c r="E22" s="192">
        <f t="shared" si="14"/>
        <v>0.14814299993305191</v>
      </c>
      <c r="F22" s="192">
        <f t="shared" si="14"/>
        <v>0.19825035499755639</v>
      </c>
      <c r="G22" s="192">
        <f t="shared" si="14"/>
        <v>0.14443840847164191</v>
      </c>
      <c r="H22" s="192">
        <f t="shared" si="14"/>
        <v>0.16529197838467438</v>
      </c>
      <c r="I22" s="192">
        <f t="shared" si="14"/>
        <v>0.15823005227062689</v>
      </c>
      <c r="J22" s="192">
        <f t="shared" si="14"/>
        <v>0.15259320604661292</v>
      </c>
      <c r="K22" s="192">
        <f t="shared" si="14"/>
        <v>0.13674274718610488</v>
      </c>
      <c r="L22" s="192">
        <f t="shared" si="14"/>
        <v>0.17120752395674341</v>
      </c>
      <c r="M22" s="192">
        <f t="shared" si="14"/>
        <v>0.15009653786568691</v>
      </c>
      <c r="N22" s="192">
        <f t="shared" si="14"/>
        <v>0.16054032476698391</v>
      </c>
      <c r="O22" s="192">
        <f t="shared" si="14"/>
        <v>0.14965436449493263</v>
      </c>
      <c r="P22" s="192">
        <f t="shared" si="14"/>
        <v>0.16529197838467438</v>
      </c>
      <c r="Q22" s="192">
        <f t="shared" si="14"/>
        <v>0.19067714087776563</v>
      </c>
      <c r="R22" s="192">
        <f t="shared" si="14"/>
        <v>0.16382518187937581</v>
      </c>
      <c r="S22" s="192">
        <f t="shared" si="14"/>
        <v>0.14574110034309823</v>
      </c>
      <c r="T22" s="192">
        <f t="shared" si="14"/>
        <v>0.16054032476698391</v>
      </c>
      <c r="U22" s="192">
        <f t="shared" si="14"/>
        <v>0.1509616696597921</v>
      </c>
      <c r="V22" s="192">
        <f t="shared" si="14"/>
        <v>0.16087879996813226</v>
      </c>
      <c r="W22" s="192">
        <f t="shared" si="14"/>
        <v>0.1689858516594917</v>
      </c>
      <c r="X22" s="192">
        <f t="shared" si="14"/>
        <v>0.16137430609197567</v>
      </c>
      <c r="Y22" s="192">
        <f t="shared" si="14"/>
        <v>0.15902774572697204</v>
      </c>
      <c r="Z22" s="192">
        <f t="shared" si="14"/>
        <v>0.14767959044405357</v>
      </c>
      <c r="AA22" s="192">
        <f t="shared" si="14"/>
        <v>0.14159136794714974</v>
      </c>
      <c r="AB22" s="192">
        <f t="shared" si="14"/>
        <v>0.1611413072665823</v>
      </c>
      <c r="AC22" s="192">
        <f t="shared" si="14"/>
        <v>0.14677094598451068</v>
      </c>
      <c r="AD22" s="192">
        <f t="shared" si="14"/>
        <v>0.18551351911631264</v>
      </c>
      <c r="AE22" s="192">
        <f t="shared" si="14"/>
        <v>0.14159136794714974</v>
      </c>
      <c r="AF22" s="192">
        <f t="shared" si="14"/>
        <v>0.16179395057057566</v>
      </c>
      <c r="AG22" s="192">
        <f t="shared" si="14"/>
        <v>0.16124365089221041</v>
      </c>
      <c r="AH22" s="192">
        <f t="shared" si="14"/>
        <v>0.174959982480488</v>
      </c>
      <c r="AI22" s="192">
        <f t="shared" si="14"/>
        <v>0.16529197838467438</v>
      </c>
      <c r="AJ22" s="192">
        <f t="shared" si="14"/>
        <v>0.19067714087776563</v>
      </c>
      <c r="AK22" s="192">
        <f t="shared" si="14"/>
        <v>0.16529197838467438</v>
      </c>
      <c r="AL22" s="192">
        <f t="shared" si="14"/>
        <v>0.19067714087776563</v>
      </c>
      <c r="AM22" s="192">
        <f t="shared" si="14"/>
        <v>0.19067714087776563</v>
      </c>
      <c r="AN22" s="193">
        <f t="shared" si="14"/>
        <v>0.19067714087776563</v>
      </c>
    </row>
    <row r="23" spans="1:40" ht="30.75" customHeight="1">
      <c r="A23" s="938" t="s">
        <v>123</v>
      </c>
      <c r="B23" s="939"/>
      <c r="C23" s="138" t="s">
        <v>76</v>
      </c>
      <c r="D23" s="194">
        <v>1</v>
      </c>
      <c r="E23" s="195">
        <v>1</v>
      </c>
      <c r="F23" s="195">
        <v>1</v>
      </c>
      <c r="G23" s="195">
        <v>1</v>
      </c>
      <c r="H23" s="195">
        <v>1</v>
      </c>
      <c r="I23" s="195">
        <v>1</v>
      </c>
      <c r="J23" s="195">
        <v>1</v>
      </c>
      <c r="K23" s="195">
        <v>1</v>
      </c>
      <c r="L23" s="195">
        <v>1</v>
      </c>
      <c r="M23" s="195">
        <v>1</v>
      </c>
      <c r="N23" s="195">
        <v>1</v>
      </c>
      <c r="O23" s="195">
        <v>1</v>
      </c>
      <c r="P23" s="195">
        <v>1</v>
      </c>
      <c r="Q23" s="195">
        <v>1</v>
      </c>
      <c r="R23" s="195">
        <v>1</v>
      </c>
      <c r="S23" s="195">
        <v>1</v>
      </c>
      <c r="T23" s="195">
        <v>1</v>
      </c>
      <c r="U23" s="195">
        <v>1</v>
      </c>
      <c r="V23" s="195">
        <v>1</v>
      </c>
      <c r="W23" s="195">
        <v>1</v>
      </c>
      <c r="X23" s="195">
        <v>1</v>
      </c>
      <c r="Y23" s="195">
        <v>1</v>
      </c>
      <c r="Z23" s="195">
        <v>1</v>
      </c>
      <c r="AA23" s="195">
        <v>1</v>
      </c>
      <c r="AB23" s="195">
        <v>1</v>
      </c>
      <c r="AC23" s="195">
        <v>1</v>
      </c>
      <c r="AD23" s="195">
        <v>1</v>
      </c>
      <c r="AE23" s="195">
        <v>1</v>
      </c>
      <c r="AF23" s="195">
        <v>1</v>
      </c>
      <c r="AG23" s="195">
        <v>1</v>
      </c>
      <c r="AH23" s="195">
        <v>1</v>
      </c>
      <c r="AI23" s="195">
        <v>1</v>
      </c>
      <c r="AJ23" s="195">
        <v>1</v>
      </c>
      <c r="AK23" s="195">
        <v>1</v>
      </c>
      <c r="AL23" s="195">
        <v>1</v>
      </c>
      <c r="AM23" s="195">
        <v>1</v>
      </c>
      <c r="AN23" s="196">
        <v>1</v>
      </c>
    </row>
    <row r="25" spans="1:40">
      <c r="A25" s="151" t="s">
        <v>193</v>
      </c>
      <c r="B25" s="141" t="s">
        <v>2</v>
      </c>
      <c r="C25" s="360" t="s">
        <v>195</v>
      </c>
      <c r="D25" s="170">
        <f>((LOOKUP(D$2,'Ceiling-U'!$A$4:$A$40,'Ceiling-U'!$E$4:$E$40)*D$14)+(LOOKUP(D$2,'Floor-U'!$A$4:$A$40,'Floor-U'!$E$4:$E$40)*D$15)+(LOOKUP(D$2,'Wall-U'!$A$4:$A$40,'Wall-U'!$E$4:$E$40)*D$12)+(LOOKUP(D$2,'Window-U'!$A$4:$A$40,'Window-U'!$E$4:$E$40)*D$21))*D$23</f>
        <v>520.80153005625198</v>
      </c>
      <c r="E25" s="171">
        <f>((LOOKUP(E$2,'Ceiling-U'!$A$4:$A$40,'Ceiling-U'!$E$4:$E$40)*E$14)+(LOOKUP(E$2,'Floor-U'!$A$4:$A$40,'Floor-U'!$E$4:$E$40)*E$15)+(LOOKUP(E$2,'Wall-U'!$A$4:$A$40,'Wall-U'!$E$4:$E$40)*E$12)+(LOOKUP(E$2,'Window-U'!$A$4:$A$40,'Window-U'!$E$4:$E$40)*E$21))*E$23</f>
        <v>652.59087407510015</v>
      </c>
      <c r="F25" s="171">
        <f>((LOOKUP(F$2,'Ceiling-U'!$A$4:$A$40,'Ceiling-U'!$E$4:$E$40)*F$14)+(LOOKUP(F$2,'Floor-U'!$A$4:$A$40,'Floor-U'!$E$4:$E$40)*F$15)+(LOOKUP(F$2,'Wall-U'!$A$4:$A$40,'Wall-U'!$E$4:$E$40)*F$12)+(LOOKUP(F$2,'Window-U'!$A$4:$A$40,'Window-U'!$E$4:$E$40)*F$21))*F$23</f>
        <v>370.42230993026567</v>
      </c>
      <c r="G25" s="171">
        <f>((LOOKUP(G$2,'Ceiling-U'!$A$4:$A$40,'Ceiling-U'!$E$4:$E$40)*G$14)+(LOOKUP(G$2,'Floor-U'!$A$4:$A$40,'Floor-U'!$E$4:$E$40)*G$15)+(LOOKUP(G$2,'Wall-U'!$A$4:$A$40,'Wall-U'!$E$4:$E$40)*G$12)+(LOOKUP(G$2,'Window-U'!$A$4:$A$40,'Window-U'!$E$4:$E$40)*G$21))*G$23</f>
        <v>520.80153005625198</v>
      </c>
      <c r="H25" s="171">
        <f>((LOOKUP(H$2,'Ceiling-U'!$A$4:$A$40,'Ceiling-U'!$E$4:$E$40)*H$14)+(LOOKUP(H$2,'Floor-U'!$A$4:$A$40,'Floor-U'!$E$4:$E$40)*H$15)+(LOOKUP(H$2,'Wall-U'!$A$4:$A$40,'Wall-U'!$E$4:$E$40)*H$12)+(LOOKUP(H$2,'Window-U'!$A$4:$A$40,'Window-U'!$E$4:$E$40)*H$21))*H$23</f>
        <v>790.66319389240198</v>
      </c>
      <c r="I25" s="171">
        <f>((LOOKUP(I$2,'Ceiling-U'!$A$4:$A$40,'Ceiling-U'!$E$4:$E$40)*I$14)+(LOOKUP(I$2,'Floor-U'!$A$4:$A$40,'Floor-U'!$E$4:$E$40)*I$15)+(LOOKUP(I$2,'Wall-U'!$A$4:$A$40,'Wall-U'!$E$4:$E$40)*I$12)+(LOOKUP(I$2,'Window-U'!$A$4:$A$40,'Window-U'!$E$4:$E$40)*I$21))*I$23</f>
        <v>379.83211875279051</v>
      </c>
      <c r="J25" s="171">
        <f>((LOOKUP(J$2,'Ceiling-U'!$A$4:$A$40,'Ceiling-U'!$E$4:$E$40)*J$14)+(LOOKUP(J$2,'Floor-U'!$A$4:$A$40,'Floor-U'!$E$4:$E$40)*J$15)+(LOOKUP(J$2,'Wall-U'!$A$4:$A$40,'Wall-U'!$E$4:$E$40)*J$12)+(LOOKUP(J$2,'Window-U'!$A$4:$A$40,'Window-U'!$E$4:$E$40)*J$21))*J$23</f>
        <v>612.03536726505058</v>
      </c>
      <c r="K25" s="171">
        <f>((LOOKUP(K$2,'Ceiling-U'!$A$4:$A$40,'Ceiling-U'!$E$4:$E$40)*K$14)+(LOOKUP(K$2,'Floor-U'!$A$4:$A$40,'Floor-U'!$E$4:$E$40)*K$15)+(LOOKUP(K$2,'Wall-U'!$A$4:$A$40,'Wall-U'!$E$4:$E$40)*K$12)+(LOOKUP(K$2,'Window-U'!$A$4:$A$40,'Window-U'!$E$4:$E$40)*K$21))*K$23</f>
        <v>338.61904431533111</v>
      </c>
      <c r="L25" s="171">
        <f>((LOOKUP(L$2,'Ceiling-U'!$A$4:$A$40,'Ceiling-U'!$E$4:$E$40)*L$14)+(LOOKUP(L$2,'Floor-U'!$A$4:$A$40,'Floor-U'!$E$4:$E$40)*L$15)+(LOOKUP(L$2,'Wall-U'!$A$4:$A$40,'Wall-U'!$E$4:$E$40)*L$12)+(LOOKUP(L$2,'Window-U'!$A$4:$A$40,'Window-U'!$E$4:$E$40)*L$21))*L$23</f>
        <v>171.80592744097808</v>
      </c>
      <c r="M25" s="171">
        <f>((LOOKUP(M$2,'Ceiling-U'!$A$4:$A$40,'Ceiling-U'!$E$4:$E$40)*M$14)+(LOOKUP(M$2,'Floor-U'!$A$4:$A$40,'Floor-U'!$E$4:$E$40)*M$15)+(LOOKUP(M$2,'Wall-U'!$A$4:$A$40,'Wall-U'!$E$4:$E$40)*M$12)+(LOOKUP(M$2,'Window-U'!$A$4:$A$40,'Window-U'!$E$4:$E$40)*M$21))*M$23</f>
        <v>904.93202533265776</v>
      </c>
      <c r="N25" s="171">
        <f>((LOOKUP(N$2,'Ceiling-U'!$A$4:$A$40,'Ceiling-U'!$E$4:$E$40)*N$14)+(LOOKUP(N$2,'Floor-U'!$A$4:$A$40,'Floor-U'!$E$4:$E$40)*N$15)+(LOOKUP(N$2,'Wall-U'!$A$4:$A$40,'Wall-U'!$E$4:$E$40)*N$12)+(LOOKUP(N$2,'Window-U'!$A$4:$A$40,'Window-U'!$E$4:$E$40)*N$21))*N$23</f>
        <v>226.96042531726152</v>
      </c>
      <c r="O25" s="171">
        <f>((LOOKUP(O$2,'Ceiling-U'!$A$4:$A$40,'Ceiling-U'!$E$4:$E$40)*O$14)+(LOOKUP(O$2,'Floor-U'!$A$4:$A$40,'Floor-U'!$E$4:$E$40)*O$15)+(LOOKUP(O$2,'Wall-U'!$A$4:$A$40,'Wall-U'!$E$4:$E$40)*O$12)+(LOOKUP(O$2,'Window-U'!$A$4:$A$40,'Window-U'!$E$4:$E$40)*O$21))*O$23</f>
        <v>881.79717721929364</v>
      </c>
      <c r="P25" s="171">
        <f>((LOOKUP(P$2,'Ceiling-U'!$A$4:$A$40,'Ceiling-U'!$E$4:$E$40)*P$14)+(LOOKUP(P$2,'Floor-U'!$A$4:$A$40,'Floor-U'!$E$4:$E$40)*P$15)+(LOOKUP(P$2,'Wall-U'!$A$4:$A$40,'Wall-U'!$E$4:$E$40)*P$12)+(LOOKUP(P$2,'Window-U'!$A$4:$A$40,'Window-U'!$E$4:$E$40)*P$21))*P$23</f>
        <v>799.32348542084981</v>
      </c>
      <c r="Q25" s="171">
        <f>((LOOKUP(Q$2,'Ceiling-U'!$A$4:$A$40,'Ceiling-U'!$E$4:$E$40)*Q$14)+(LOOKUP(Q$2,'Floor-U'!$A$4:$A$40,'Floor-U'!$E$4:$E$40)*Q$15)+(LOOKUP(Q$2,'Wall-U'!$A$4:$A$40,'Wall-U'!$E$4:$E$40)*Q$12)+(LOOKUP(Q$2,'Window-U'!$A$4:$A$40,'Window-U'!$E$4:$E$40)*Q$21))*Q$23</f>
        <v>388.39518007835937</v>
      </c>
      <c r="R25" s="171">
        <f>((LOOKUP(R$2,'Ceiling-U'!$A$4:$A$40,'Ceiling-U'!$E$4:$E$40)*R$14)+(LOOKUP(R$2,'Floor-U'!$A$4:$A$40,'Floor-U'!$E$4:$E$40)*R$15)+(LOOKUP(R$2,'Wall-U'!$A$4:$A$40,'Wall-U'!$E$4:$E$40)*R$12)+(LOOKUP(R$2,'Window-U'!$A$4:$A$40,'Window-U'!$E$4:$E$40)*R$21))*R$23</f>
        <v>454.47927104864419</v>
      </c>
      <c r="S25" s="171">
        <f>((LOOKUP(S$2,'Ceiling-U'!$A$4:$A$40,'Ceiling-U'!$E$4:$E$40)*S$14)+(LOOKUP(S$2,'Floor-U'!$A$4:$A$40,'Floor-U'!$E$4:$E$40)*S$15)+(LOOKUP(S$2,'Wall-U'!$A$4:$A$40,'Wall-U'!$E$4:$E$40)*S$12)+(LOOKUP(S$2,'Window-U'!$A$4:$A$40,'Window-U'!$E$4:$E$40)*S$21))*S$23</f>
        <v>665.25136822825107</v>
      </c>
      <c r="T25" s="171">
        <f>((LOOKUP(T$2,'Ceiling-U'!$A$4:$A$40,'Ceiling-U'!$E$4:$E$40)*T$14)+(LOOKUP(T$2,'Floor-U'!$A$4:$A$40,'Floor-U'!$E$4:$E$40)*T$15)+(LOOKUP(T$2,'Wall-U'!$A$4:$A$40,'Wall-U'!$E$4:$E$40)*T$12)+(LOOKUP(T$2,'Window-U'!$A$4:$A$40,'Window-U'!$E$4:$E$40)*T$21))*T$23</f>
        <v>226.96042531726152</v>
      </c>
      <c r="U25" s="171">
        <f>((LOOKUP(U$2,'Ceiling-U'!$A$4:$A$40,'Ceiling-U'!$E$4:$E$40)*U$14)+(LOOKUP(U$2,'Floor-U'!$A$4:$A$40,'Floor-U'!$E$4:$E$40)*U$15)+(LOOKUP(U$2,'Wall-U'!$A$4:$A$40,'Wall-U'!$E$4:$E$40)*U$12)+(LOOKUP(U$2,'Window-U'!$A$4:$A$40,'Window-U'!$E$4:$E$40)*U$21))*U$23</f>
        <v>748.87060174227076</v>
      </c>
      <c r="V25" s="171">
        <f>((LOOKUP(V$2,'Ceiling-U'!$A$4:$A$40,'Ceiling-U'!$E$4:$E$40)*V$14)+(LOOKUP(V$2,'Floor-U'!$A$4:$A$40,'Floor-U'!$E$4:$E$40)*V$15)+(LOOKUP(V$2,'Wall-U'!$A$4:$A$40,'Wall-U'!$E$4:$E$40)*V$12)+(LOOKUP(V$2,'Window-U'!$A$4:$A$40,'Window-U'!$E$4:$E$40)*V$21))*V$23</f>
        <v>334.44452969689314</v>
      </c>
      <c r="W25" s="171">
        <f>((LOOKUP(W$2,'Ceiling-U'!$A$4:$A$40,'Ceiling-U'!$E$4:$E$40)*W$14)+(LOOKUP(W$2,'Floor-U'!$A$4:$A$40,'Floor-U'!$E$4:$E$40)*W$15)+(LOOKUP(W$2,'Wall-U'!$A$4:$A$40,'Wall-U'!$E$4:$E$40)*W$12)+(LOOKUP(W$2,'Window-U'!$A$4:$A$40,'Window-U'!$E$4:$E$40)*W$21))*W$23</f>
        <v>466.78141362437475</v>
      </c>
      <c r="X25" s="171">
        <f>((LOOKUP(X$2,'Ceiling-U'!$A$4:$A$40,'Ceiling-U'!$E$4:$E$40)*X$14)+(LOOKUP(X$2,'Floor-U'!$A$4:$A$40,'Floor-U'!$E$4:$E$40)*X$15)+(LOOKUP(X$2,'Wall-U'!$A$4:$A$40,'Wall-U'!$E$4:$E$40)*X$12)+(LOOKUP(X$2,'Window-U'!$A$4:$A$40,'Window-U'!$E$4:$E$40)*X$21))*X$23</f>
        <v>369.20320061795604</v>
      </c>
      <c r="Y25" s="171">
        <f>((LOOKUP(Y$2,'Ceiling-U'!$A$4:$A$40,'Ceiling-U'!$E$4:$E$40)*Y$14)+(LOOKUP(Y$2,'Floor-U'!$A$4:$A$40,'Floor-U'!$E$4:$E$40)*Y$15)+(LOOKUP(Y$2,'Wall-U'!$A$4:$A$40,'Wall-U'!$E$4:$E$40)*Y$12)+(LOOKUP(Y$2,'Window-U'!$A$4:$A$40,'Window-U'!$E$4:$E$40)*Y$21))*Y$23</f>
        <v>943.9430572278585</v>
      </c>
      <c r="Z25" s="171">
        <f>((LOOKUP(Z$2,'Ceiling-U'!$A$4:$A$40,'Ceiling-U'!$E$4:$E$40)*Z$14)+(LOOKUP(Z$2,'Floor-U'!$A$4:$A$40,'Floor-U'!$E$4:$E$40)*Z$15)+(LOOKUP(Z$2,'Wall-U'!$A$4:$A$40,'Wall-U'!$E$4:$E$40)*Z$12)+(LOOKUP(Z$2,'Window-U'!$A$4:$A$40,'Window-U'!$E$4:$E$40)*Z$21))*Z$23</f>
        <v>700.10325535053039</v>
      </c>
      <c r="AA25" s="171">
        <f>((LOOKUP(AA$2,'Ceiling-U'!$A$4:$A$40,'Ceiling-U'!$E$4:$E$40)*AA$14)+(LOOKUP(AA$2,'Floor-U'!$A$4:$A$40,'Floor-U'!$E$4:$E$40)*AA$15)+(LOOKUP(AA$2,'Wall-U'!$A$4:$A$40,'Wall-U'!$E$4:$E$40)*AA$12)+(LOOKUP(AA$2,'Window-U'!$A$4:$A$40,'Window-U'!$E$4:$E$40)*AA$21))*AA$23</f>
        <v>218.28661628813518</v>
      </c>
      <c r="AB25" s="171">
        <f>((LOOKUP(AB$2,'Ceiling-U'!$A$4:$A$40,'Ceiling-U'!$E$4:$E$40)*AB$14)+(LOOKUP(AB$2,'Floor-U'!$A$4:$A$40,'Floor-U'!$E$4:$E$40)*AB$15)+(LOOKUP(AB$2,'Wall-U'!$A$4:$A$40,'Wall-U'!$E$4:$E$40)*AB$12)+(LOOKUP(AB$2,'Window-U'!$A$4:$A$40,'Window-U'!$E$4:$E$40)*AB$21))*AB$23</f>
        <v>576.79962775428407</v>
      </c>
      <c r="AC25" s="171">
        <f>((LOOKUP(AC$2,'Ceiling-U'!$A$4:$A$40,'Ceiling-U'!$E$4:$E$40)*AC$14)+(LOOKUP(AC$2,'Floor-U'!$A$4:$A$40,'Floor-U'!$E$4:$E$40)*AC$15)+(LOOKUP(AC$2,'Wall-U'!$A$4:$A$40,'Wall-U'!$E$4:$E$40)*AC$12)+(LOOKUP(AC$2,'Window-U'!$A$4:$A$40,'Window-U'!$E$4:$E$40)*AC$21))*AC$23</f>
        <v>852.60218557416295</v>
      </c>
      <c r="AD25" s="171">
        <f>((LOOKUP(AD$2,'Ceiling-U'!$A$4:$A$40,'Ceiling-U'!$E$4:$E$40)*AD$14)+(LOOKUP(AD$2,'Floor-U'!$A$4:$A$40,'Floor-U'!$E$4:$E$40)*AD$15)+(LOOKUP(AD$2,'Wall-U'!$A$4:$A$40,'Wall-U'!$E$4:$E$40)*AD$12)+(LOOKUP(AD$2,'Window-U'!$A$4:$A$40,'Window-U'!$E$4:$E$40)*AD$21))*AD$23</f>
        <v>476.03667448190464</v>
      </c>
      <c r="AE25" s="171">
        <f>((LOOKUP(AE$2,'Ceiling-U'!$A$4:$A$40,'Ceiling-U'!$E$4:$E$40)*AE$14)+(LOOKUP(AE$2,'Floor-U'!$A$4:$A$40,'Floor-U'!$E$4:$E$40)*AE$15)+(LOOKUP(AE$2,'Wall-U'!$A$4:$A$40,'Wall-U'!$E$4:$E$40)*AE$12)+(LOOKUP(AE$2,'Window-U'!$A$4:$A$40,'Window-U'!$E$4:$E$40)*AE$21))*AE$23</f>
        <v>218.28661628813518</v>
      </c>
      <c r="AF25" s="171">
        <f>((LOOKUP(AF$2,'Ceiling-U'!$A$4:$A$40,'Ceiling-U'!$E$4:$E$40)*AF$14)+(LOOKUP(AF$2,'Floor-U'!$A$4:$A$40,'Floor-U'!$E$4:$E$40)*AF$15)+(LOOKUP(AF$2,'Wall-U'!$A$4:$A$40,'Wall-U'!$E$4:$E$40)*AF$12)+(LOOKUP(AF$2,'Window-U'!$A$4:$A$40,'Window-U'!$E$4:$E$40)*AF$21))*AF$23</f>
        <v>433.73875507094124</v>
      </c>
      <c r="AG25" s="171">
        <f>((LOOKUP(AG$2,'Ceiling-U'!$A$4:$A$40,'Ceiling-U'!$E$4:$E$40)*AG$14)+(LOOKUP(AG$2,'Floor-U'!$A$4:$A$40,'Floor-U'!$E$4:$E$40)*AG$15)+(LOOKUP(AG$2,'Wall-U'!$A$4:$A$40,'Wall-U'!$E$4:$E$40)*AG$12)+(LOOKUP(AG$2,'Window-U'!$A$4:$A$40,'Window-U'!$E$4:$E$40)*AG$21))*AG$23</f>
        <v>597.48931105458723</v>
      </c>
      <c r="AH25" s="171">
        <f>((LOOKUP(AH$2,'Ceiling-U'!$A$4:$A$40,'Ceiling-U'!$E$4:$E$40)*AH$14)+(LOOKUP(AH$2,'Floor-U'!$A$4:$A$40,'Floor-U'!$E$4:$E$40)*AH$15)+(LOOKUP(AH$2,'Wall-U'!$A$4:$A$40,'Wall-U'!$E$4:$E$40)*AH$12)+(LOOKUP(AH$2,'Window-U'!$A$4:$A$40,'Window-U'!$E$4:$E$40)*AH$21))*AH$23</f>
        <v>537.57182622441451</v>
      </c>
      <c r="AI25" s="171">
        <f>((LOOKUP(AI$2,'Ceiling-U'!$A$4:$A$40,'Ceiling-U'!$E$4:$E$40)*AI$14)+(LOOKUP(AI$2,'Floor-U'!$A$4:$A$40,'Floor-U'!$E$4:$E$40)*AI$15)+(LOOKUP(AI$2,'Wall-U'!$A$4:$A$40,'Wall-U'!$E$4:$E$40)*AI$12)+(LOOKUP(AI$2,'Window-U'!$A$4:$A$40,'Window-U'!$E$4:$E$40)*AI$21))*AI$23</f>
        <v>799.32348542084981</v>
      </c>
      <c r="AJ25" s="171">
        <f>((LOOKUP(AJ$2,'Ceiling-U'!$A$4:$A$40,'Ceiling-U'!$E$4:$E$40)*AJ$14)+(LOOKUP(AJ$2,'Floor-U'!$A$4:$A$40,'Floor-U'!$E$4:$E$40)*AJ$15)+(LOOKUP(AJ$2,'Wall-U'!$A$4:$A$40,'Wall-U'!$E$4:$E$40)*AJ$12)+(LOOKUP(AJ$2,'Window-U'!$A$4:$A$40,'Window-U'!$E$4:$E$40)*AJ$21))*AJ$23</f>
        <v>368.944451793974</v>
      </c>
      <c r="AK25" s="171">
        <f>((LOOKUP(AK$2,'Ceiling-U'!$A$4:$A$40,'Ceiling-U'!$E$4:$E$40)*AK$14)+(LOOKUP(AK$2,'Floor-U'!$A$4:$A$40,'Floor-U'!$E$4:$E$40)*AK$15)+(LOOKUP(AK$2,'Wall-U'!$A$4:$A$40,'Wall-U'!$E$4:$E$40)*AK$12)+(LOOKUP(AK$2,'Window-U'!$A$4:$A$40,'Window-U'!$E$4:$E$40)*AK$21))*AK$23</f>
        <v>435.1730729087418</v>
      </c>
      <c r="AL25" s="171">
        <f>((LOOKUP(AL$2,'Ceiling-U'!$A$4:$A$40,'Ceiling-U'!$E$4:$E$40)*AL$14)+(LOOKUP(AL$2,'Floor-U'!$A$4:$A$40,'Floor-U'!$E$4:$E$40)*AL$15)+(LOOKUP(AL$2,'Wall-U'!$A$4:$A$40,'Wall-U'!$E$4:$E$40)*AL$12)+(LOOKUP(AL$2,'Window-U'!$A$4:$A$40,'Window-U'!$E$4:$E$40)*AL$21))*AL$23</f>
        <v>387.84278700521429</v>
      </c>
      <c r="AM25" s="171">
        <f>((LOOKUP(AM$2,'Ceiling-U'!$A$4:$A$40,'Ceiling-U'!$E$4:$E$40)*AM$14)+(LOOKUP(AM$2,'Floor-U'!$A$4:$A$40,'Floor-U'!$E$4:$E$40)*AM$15)+(LOOKUP(AM$2,'Wall-U'!$A$4:$A$40,'Wall-U'!$E$4:$E$40)*AM$12)+(LOOKUP(AM$2,'Window-U'!$A$4:$A$40,'Window-U'!$E$4:$E$40)*AM$21))*AM$23</f>
        <v>368.944451793974</v>
      </c>
      <c r="AN25" s="172">
        <f>((LOOKUP(AN$2,'Ceiling-U'!$A$4:$A$40,'Ceiling-U'!$E$4:$E$40)*AN$14)+(LOOKUP(AN$2,'Floor-U'!$A$4:$A$40,'Floor-U'!$E$4:$E$40)*AN$15)+(LOOKUP(AN$2,'Wall-U'!$A$4:$A$40,'Wall-U'!$E$4:$E$40)*AN$12)+(LOOKUP(AN$2,'Window-U'!$A$4:$A$40,'Window-U'!$E$4:$E$40)*AN$21))*AN$23</f>
        <v>368.944451793974</v>
      </c>
    </row>
    <row r="26" spans="1:40">
      <c r="A26" s="129"/>
      <c r="B26" s="142" t="s">
        <v>3</v>
      </c>
      <c r="C26" s="129" t="s">
        <v>195</v>
      </c>
      <c r="D26" s="176">
        <f>((LOOKUP(D$2,'Ceiling-U'!$A$4:$A$40,'Ceiling-U'!$F$4:$F$40)*D$14)+(LOOKUP(D$2,'Floor-U'!$A$4:$A$40,'Floor-U'!$F$4:$F$40)*D$15)+(LOOKUP(D$2,'Wall-U'!$A$4:$A$40,'Wall-U'!$F$4:$F$40)*D$12)+(LOOKUP(D$2,'Window-U'!$A$4:$A$40,'Window-U'!$F$4:$F$40)*D$21))*D$23</f>
        <v>478.50893420387376</v>
      </c>
      <c r="E26" s="177">
        <f>((LOOKUP(E$2,'Ceiling-U'!$A$4:$A$40,'Ceiling-U'!$F$4:$F$40)*E$14)+(LOOKUP(E$2,'Floor-U'!$A$4:$A$40,'Floor-U'!$F$4:$F$40)*E$15)+(LOOKUP(E$2,'Wall-U'!$A$4:$A$40,'Wall-U'!$F$4:$F$40)*E$12)+(LOOKUP(E$2,'Window-U'!$A$4:$A$40,'Window-U'!$F$4:$F$40)*E$21))*E$23</f>
        <v>652.59087407510015</v>
      </c>
      <c r="F26" s="177">
        <f>((LOOKUP(F$2,'Ceiling-U'!$A$4:$A$40,'Ceiling-U'!$F$4:$F$40)*F$14)+(LOOKUP(F$2,'Floor-U'!$A$4:$A$40,'Floor-U'!$F$4:$F$40)*F$15)+(LOOKUP(F$2,'Wall-U'!$A$4:$A$40,'Wall-U'!$F$4:$F$40)*F$12)+(LOOKUP(F$2,'Window-U'!$A$4:$A$40,'Window-U'!$F$4:$F$40)*F$21))*F$23</f>
        <v>370.42230993026567</v>
      </c>
      <c r="G26" s="177">
        <f>((LOOKUP(G$2,'Ceiling-U'!$A$4:$A$40,'Ceiling-U'!$F$4:$F$40)*G$14)+(LOOKUP(G$2,'Floor-U'!$A$4:$A$40,'Floor-U'!$F$4:$F$40)*G$15)+(LOOKUP(G$2,'Wall-U'!$A$4:$A$40,'Wall-U'!$F$4:$F$40)*G$12)+(LOOKUP(G$2,'Window-U'!$A$4:$A$40,'Window-U'!$F$4:$F$40)*G$21))*G$23</f>
        <v>478.50893420387376</v>
      </c>
      <c r="H26" s="177">
        <f>((LOOKUP(H$2,'Ceiling-U'!$A$4:$A$40,'Ceiling-U'!$F$4:$F$40)*H$14)+(LOOKUP(H$2,'Floor-U'!$A$4:$A$40,'Floor-U'!$F$4:$F$40)*H$15)+(LOOKUP(H$2,'Wall-U'!$A$4:$A$40,'Wall-U'!$F$4:$F$40)*H$12)+(LOOKUP(H$2,'Window-U'!$A$4:$A$40,'Window-U'!$F$4:$F$40)*H$21))*H$23</f>
        <v>736.88175502841261</v>
      </c>
      <c r="I26" s="177">
        <f>((LOOKUP(I$2,'Ceiling-U'!$A$4:$A$40,'Ceiling-U'!$F$4:$F$40)*I$14)+(LOOKUP(I$2,'Floor-U'!$A$4:$A$40,'Floor-U'!$F$4:$F$40)*I$15)+(LOOKUP(I$2,'Wall-U'!$A$4:$A$40,'Wall-U'!$F$4:$F$40)*I$12)+(LOOKUP(I$2,'Window-U'!$A$4:$A$40,'Window-U'!$F$4:$F$40)*I$21))*I$23</f>
        <v>316.52376597389093</v>
      </c>
      <c r="J26" s="177">
        <f>((LOOKUP(J$2,'Ceiling-U'!$A$4:$A$40,'Ceiling-U'!$F$4:$F$40)*J$14)+(LOOKUP(J$2,'Floor-U'!$A$4:$A$40,'Floor-U'!$F$4:$F$40)*J$15)+(LOOKUP(J$2,'Wall-U'!$A$4:$A$40,'Wall-U'!$F$4:$F$40)*J$12)+(LOOKUP(J$2,'Window-U'!$A$4:$A$40,'Window-U'!$F$4:$F$40)*J$21))*J$23</f>
        <v>514.13399739998101</v>
      </c>
      <c r="K26" s="177">
        <f>((LOOKUP(K$2,'Ceiling-U'!$A$4:$A$40,'Ceiling-U'!$F$4:$F$40)*K$14)+(LOOKUP(K$2,'Floor-U'!$A$4:$A$40,'Floor-U'!$F$4:$F$40)*K$15)+(LOOKUP(K$2,'Wall-U'!$A$4:$A$40,'Wall-U'!$F$4:$F$40)*K$12)+(LOOKUP(K$2,'Window-U'!$A$4:$A$40,'Window-U'!$F$4:$F$40)*K$21))*K$23</f>
        <v>327.23180404757863</v>
      </c>
      <c r="L26" s="177">
        <f>((LOOKUP(L$2,'Ceiling-U'!$A$4:$A$40,'Ceiling-U'!$F$4:$F$40)*L$14)+(LOOKUP(L$2,'Floor-U'!$A$4:$A$40,'Floor-U'!$F$4:$F$40)*L$15)+(LOOKUP(L$2,'Wall-U'!$A$4:$A$40,'Wall-U'!$F$4:$F$40)*L$12)+(LOOKUP(L$2,'Window-U'!$A$4:$A$40,'Window-U'!$F$4:$F$40)*L$21))*L$23</f>
        <v>171.80592744097808</v>
      </c>
      <c r="M26" s="177">
        <f>((LOOKUP(M$2,'Ceiling-U'!$A$4:$A$40,'Ceiling-U'!$F$4:$F$40)*M$14)+(LOOKUP(M$2,'Floor-U'!$A$4:$A$40,'Floor-U'!$F$4:$F$40)*M$15)+(LOOKUP(M$2,'Wall-U'!$A$4:$A$40,'Wall-U'!$F$4:$F$40)*M$12)+(LOOKUP(M$2,'Window-U'!$A$4:$A$40,'Window-U'!$F$4:$F$40)*M$21))*M$23</f>
        <v>811.00949037953797</v>
      </c>
      <c r="N26" s="177">
        <f>((LOOKUP(N$2,'Ceiling-U'!$A$4:$A$40,'Ceiling-U'!$F$4:$F$40)*N$14)+(LOOKUP(N$2,'Floor-U'!$A$4:$A$40,'Floor-U'!$F$4:$F$40)*N$15)+(LOOKUP(N$2,'Wall-U'!$A$4:$A$40,'Wall-U'!$F$4:$F$40)*N$12)+(LOOKUP(N$2,'Window-U'!$A$4:$A$40,'Window-U'!$F$4:$F$40)*N$21))*N$23</f>
        <v>206.68129279611077</v>
      </c>
      <c r="O26" s="177">
        <f>((LOOKUP(O$2,'Ceiling-U'!$A$4:$A$40,'Ceiling-U'!$F$4:$F$40)*O$14)+(LOOKUP(O$2,'Floor-U'!$A$4:$A$40,'Floor-U'!$F$4:$F$40)*O$15)+(LOOKUP(O$2,'Wall-U'!$A$4:$A$40,'Wall-U'!$F$4:$F$40)*O$12)+(LOOKUP(O$2,'Window-U'!$A$4:$A$40,'Window-U'!$F$4:$F$40)*O$21))*O$23</f>
        <v>881.79717721929364</v>
      </c>
      <c r="P26" s="177">
        <f>((LOOKUP(P$2,'Ceiling-U'!$A$4:$A$40,'Ceiling-U'!$F$4:$F$40)*P$14)+(LOOKUP(P$2,'Floor-U'!$A$4:$A$40,'Floor-U'!$F$4:$F$40)*P$15)+(LOOKUP(P$2,'Wall-U'!$A$4:$A$40,'Wall-U'!$F$4:$F$40)*P$12)+(LOOKUP(P$2,'Window-U'!$A$4:$A$40,'Window-U'!$F$4:$F$40)*P$21))*P$23</f>
        <v>799.32348542084981</v>
      </c>
      <c r="Q26" s="177">
        <f>((LOOKUP(Q$2,'Ceiling-U'!$A$4:$A$40,'Ceiling-U'!$F$4:$F$40)*Q$14)+(LOOKUP(Q$2,'Floor-U'!$A$4:$A$40,'Floor-U'!$F$4:$F$40)*Q$15)+(LOOKUP(Q$2,'Wall-U'!$A$4:$A$40,'Wall-U'!$F$4:$F$40)*Q$12)+(LOOKUP(Q$2,'Window-U'!$A$4:$A$40,'Window-U'!$F$4:$F$40)*Q$21))*Q$23</f>
        <v>411.31530264334839</v>
      </c>
      <c r="R26" s="177">
        <f>((LOOKUP(R$2,'Ceiling-U'!$A$4:$A$40,'Ceiling-U'!$F$4:$F$40)*R$14)+(LOOKUP(R$2,'Floor-U'!$A$4:$A$40,'Floor-U'!$F$4:$F$40)*R$15)+(LOOKUP(R$2,'Wall-U'!$A$4:$A$40,'Wall-U'!$F$4:$F$40)*R$12)+(LOOKUP(R$2,'Window-U'!$A$4:$A$40,'Window-U'!$F$4:$F$40)*R$21))*R$23</f>
        <v>454.47927104864419</v>
      </c>
      <c r="S26" s="177">
        <f>((LOOKUP(S$2,'Ceiling-U'!$A$4:$A$40,'Ceiling-U'!$F$4:$F$40)*S$14)+(LOOKUP(S$2,'Floor-U'!$A$4:$A$40,'Floor-U'!$F$4:$F$40)*S$15)+(LOOKUP(S$2,'Wall-U'!$A$4:$A$40,'Wall-U'!$F$4:$F$40)*S$12)+(LOOKUP(S$2,'Window-U'!$A$4:$A$40,'Window-U'!$F$4:$F$40)*S$21))*S$23</f>
        <v>675.48952304453974</v>
      </c>
      <c r="T26" s="177">
        <f>((LOOKUP(T$2,'Ceiling-U'!$A$4:$A$40,'Ceiling-U'!$F$4:$F$40)*T$14)+(LOOKUP(T$2,'Floor-U'!$A$4:$A$40,'Floor-U'!$F$4:$F$40)*T$15)+(LOOKUP(T$2,'Wall-U'!$A$4:$A$40,'Wall-U'!$F$4:$F$40)*T$12)+(LOOKUP(T$2,'Window-U'!$A$4:$A$40,'Window-U'!$F$4:$F$40)*T$21))*T$23</f>
        <v>206.68129279611077</v>
      </c>
      <c r="U26" s="177">
        <f>((LOOKUP(U$2,'Ceiling-U'!$A$4:$A$40,'Ceiling-U'!$F$4:$F$40)*U$14)+(LOOKUP(U$2,'Floor-U'!$A$4:$A$40,'Floor-U'!$F$4:$F$40)*U$15)+(LOOKUP(U$2,'Wall-U'!$A$4:$A$40,'Wall-U'!$F$4:$F$40)*U$12)+(LOOKUP(U$2,'Window-U'!$A$4:$A$40,'Window-U'!$F$4:$F$40)*U$21))*U$23</f>
        <v>707.92635085424058</v>
      </c>
      <c r="V26" s="177">
        <f>((LOOKUP(V$2,'Ceiling-U'!$A$4:$A$40,'Ceiling-U'!$F$4:$F$40)*V$14)+(LOOKUP(V$2,'Floor-U'!$A$4:$A$40,'Floor-U'!$F$4:$F$40)*V$15)+(LOOKUP(V$2,'Wall-U'!$A$4:$A$40,'Wall-U'!$F$4:$F$40)*V$12)+(LOOKUP(V$2,'Window-U'!$A$4:$A$40,'Window-U'!$F$4:$F$40)*V$21))*V$23</f>
        <v>334.44452969689314</v>
      </c>
      <c r="W26" s="177">
        <f>((LOOKUP(W$2,'Ceiling-U'!$A$4:$A$40,'Ceiling-U'!$F$4:$F$40)*W$14)+(LOOKUP(W$2,'Floor-U'!$A$4:$A$40,'Floor-U'!$F$4:$F$40)*W$15)+(LOOKUP(W$2,'Wall-U'!$A$4:$A$40,'Wall-U'!$F$4:$F$40)*W$12)+(LOOKUP(W$2,'Window-U'!$A$4:$A$40,'Window-U'!$F$4:$F$40)*W$21))*W$23</f>
        <v>475.9588190101843</v>
      </c>
      <c r="X26" s="177">
        <f>((LOOKUP(X$2,'Ceiling-U'!$A$4:$A$40,'Ceiling-U'!$F$4:$F$40)*X$14)+(LOOKUP(X$2,'Floor-U'!$A$4:$A$40,'Floor-U'!$F$4:$F$40)*X$15)+(LOOKUP(X$2,'Wall-U'!$A$4:$A$40,'Wall-U'!$F$4:$F$40)*X$12)+(LOOKUP(X$2,'Window-U'!$A$4:$A$40,'Window-U'!$F$4:$F$40)*X$21))*X$23</f>
        <v>363.20320061795604</v>
      </c>
      <c r="Y26" s="177">
        <f>((LOOKUP(Y$2,'Ceiling-U'!$A$4:$A$40,'Ceiling-U'!$F$4:$F$40)*Y$14)+(LOOKUP(Y$2,'Floor-U'!$A$4:$A$40,'Floor-U'!$F$4:$F$40)*Y$15)+(LOOKUP(Y$2,'Wall-U'!$A$4:$A$40,'Wall-U'!$F$4:$F$40)*Y$12)+(LOOKUP(Y$2,'Window-U'!$A$4:$A$40,'Window-U'!$F$4:$F$40)*Y$21))*Y$23</f>
        <v>942.57436813093921</v>
      </c>
      <c r="Z26" s="177">
        <f>((LOOKUP(Z$2,'Ceiling-U'!$A$4:$A$40,'Ceiling-U'!$F$4:$F$40)*Z$14)+(LOOKUP(Z$2,'Floor-U'!$A$4:$A$40,'Floor-U'!$F$4:$F$40)*Z$15)+(LOOKUP(Z$2,'Wall-U'!$A$4:$A$40,'Wall-U'!$F$4:$F$40)*Z$12)+(LOOKUP(Z$2,'Window-U'!$A$4:$A$40,'Window-U'!$F$4:$F$40)*Z$21))*Z$23</f>
        <v>553.05582474375569</v>
      </c>
      <c r="AA26" s="177">
        <f>((LOOKUP(AA$2,'Ceiling-U'!$A$4:$A$40,'Ceiling-U'!$F$4:$F$40)*AA$14)+(LOOKUP(AA$2,'Floor-U'!$A$4:$A$40,'Floor-U'!$F$4:$F$40)*AA$15)+(LOOKUP(AA$2,'Wall-U'!$A$4:$A$40,'Wall-U'!$F$4:$F$40)*AA$12)+(LOOKUP(AA$2,'Window-U'!$A$4:$A$40,'Window-U'!$F$4:$F$40)*AA$21))*AA$23</f>
        <v>217.13014628813517</v>
      </c>
      <c r="AB26" s="177">
        <f>((LOOKUP(AB$2,'Ceiling-U'!$A$4:$A$40,'Ceiling-U'!$F$4:$F$40)*AB$14)+(LOOKUP(AB$2,'Floor-U'!$A$4:$A$40,'Floor-U'!$F$4:$F$40)*AB$15)+(LOOKUP(AB$2,'Wall-U'!$A$4:$A$40,'Wall-U'!$F$4:$F$40)*AB$12)+(LOOKUP(AB$2,'Window-U'!$A$4:$A$40,'Window-U'!$F$4:$F$40)*AB$21))*AB$23</f>
        <v>400.02768114812892</v>
      </c>
      <c r="AC26" s="177">
        <f>((LOOKUP(AC$2,'Ceiling-U'!$A$4:$A$40,'Ceiling-U'!$F$4:$F$40)*AC$14)+(LOOKUP(AC$2,'Floor-U'!$A$4:$A$40,'Floor-U'!$F$4:$F$40)*AC$15)+(LOOKUP(AC$2,'Wall-U'!$A$4:$A$40,'Wall-U'!$F$4:$F$40)*AC$12)+(LOOKUP(AC$2,'Window-U'!$A$4:$A$40,'Window-U'!$F$4:$F$40)*AC$21))*AC$23</f>
        <v>768.40212207124728</v>
      </c>
      <c r="AD26" s="177">
        <f>((LOOKUP(AD$2,'Ceiling-U'!$A$4:$A$40,'Ceiling-U'!$F$4:$F$40)*AD$14)+(LOOKUP(AD$2,'Floor-U'!$A$4:$A$40,'Floor-U'!$F$4:$F$40)*AD$15)+(LOOKUP(AD$2,'Wall-U'!$A$4:$A$40,'Wall-U'!$F$4:$F$40)*AD$12)+(LOOKUP(AD$2,'Window-U'!$A$4:$A$40,'Window-U'!$F$4:$F$40)*AD$21))*AD$23</f>
        <v>427.62544534104632</v>
      </c>
      <c r="AE26" s="177">
        <f>((LOOKUP(AE$2,'Ceiling-U'!$A$4:$A$40,'Ceiling-U'!$F$4:$F$40)*AE$14)+(LOOKUP(AE$2,'Floor-U'!$A$4:$A$40,'Floor-U'!$F$4:$F$40)*AE$15)+(LOOKUP(AE$2,'Wall-U'!$A$4:$A$40,'Wall-U'!$F$4:$F$40)*AE$12)+(LOOKUP(AE$2,'Window-U'!$A$4:$A$40,'Window-U'!$F$4:$F$40)*AE$21))*AE$23</f>
        <v>217.13014628813517</v>
      </c>
      <c r="AF26" s="177">
        <f>((LOOKUP(AF$2,'Ceiling-U'!$A$4:$A$40,'Ceiling-U'!$F$4:$F$40)*AF$14)+(LOOKUP(AF$2,'Floor-U'!$A$4:$A$40,'Floor-U'!$F$4:$F$40)*AF$15)+(LOOKUP(AF$2,'Wall-U'!$A$4:$A$40,'Wall-U'!$F$4:$F$40)*AF$12)+(LOOKUP(AF$2,'Window-U'!$A$4:$A$40,'Window-U'!$F$4:$F$40)*AF$21))*AF$23</f>
        <v>433.73875507094124</v>
      </c>
      <c r="AG26" s="177">
        <f>((LOOKUP(AG$2,'Ceiling-U'!$A$4:$A$40,'Ceiling-U'!$F$4:$F$40)*AG$14)+(LOOKUP(AG$2,'Floor-U'!$A$4:$A$40,'Floor-U'!$F$4:$F$40)*AG$15)+(LOOKUP(AG$2,'Wall-U'!$A$4:$A$40,'Wall-U'!$F$4:$F$40)*AG$12)+(LOOKUP(AG$2,'Window-U'!$A$4:$A$40,'Window-U'!$F$4:$F$40)*AG$21))*AG$23</f>
        <v>500.19144884366983</v>
      </c>
      <c r="AH26" s="177">
        <f>((LOOKUP(AH$2,'Ceiling-U'!$A$4:$A$40,'Ceiling-U'!$F$4:$F$40)*AH$14)+(LOOKUP(AH$2,'Floor-U'!$A$4:$A$40,'Floor-U'!$F$4:$F$40)*AH$15)+(LOOKUP(AH$2,'Wall-U'!$A$4:$A$40,'Wall-U'!$F$4:$F$40)*AH$12)+(LOOKUP(AH$2,'Window-U'!$A$4:$A$40,'Window-U'!$F$4:$F$40)*AH$21))*AH$23</f>
        <v>566.15238480151254</v>
      </c>
      <c r="AI26" s="177">
        <f>((LOOKUP(AI$2,'Ceiling-U'!$A$4:$A$40,'Ceiling-U'!$F$4:$F$40)*AI$14)+(LOOKUP(AI$2,'Floor-U'!$A$4:$A$40,'Floor-U'!$F$4:$F$40)*AI$15)+(LOOKUP(AI$2,'Wall-U'!$A$4:$A$40,'Wall-U'!$F$4:$F$40)*AI$12)+(LOOKUP(AI$2,'Window-U'!$A$4:$A$40,'Window-U'!$F$4:$F$40)*AI$21))*AI$23</f>
        <v>799.32348542084981</v>
      </c>
      <c r="AJ26" s="177">
        <f>((LOOKUP(AJ$2,'Ceiling-U'!$A$4:$A$40,'Ceiling-U'!$F$4:$F$40)*AJ$14)+(LOOKUP(AJ$2,'Floor-U'!$A$4:$A$40,'Floor-U'!$F$4:$F$40)*AJ$15)+(LOOKUP(AJ$2,'Wall-U'!$A$4:$A$40,'Wall-U'!$F$4:$F$40)*AJ$12)+(LOOKUP(AJ$2,'Window-U'!$A$4:$A$40,'Window-U'!$F$4:$F$40)*AJ$21))*AJ$23</f>
        <v>368.944451793974</v>
      </c>
      <c r="AK26" s="177">
        <f>((LOOKUP(AK$2,'Ceiling-U'!$A$4:$A$40,'Ceiling-U'!$F$4:$F$40)*AK$14)+(LOOKUP(AK$2,'Floor-U'!$A$4:$A$40,'Floor-U'!$F$4:$F$40)*AK$15)+(LOOKUP(AK$2,'Wall-U'!$A$4:$A$40,'Wall-U'!$F$4:$F$40)*AK$12)+(LOOKUP(AK$2,'Window-U'!$A$4:$A$40,'Window-U'!$F$4:$F$40)*AK$21))*AK$23</f>
        <v>435.1730729087418</v>
      </c>
      <c r="AL26" s="177">
        <f>((LOOKUP(AL$2,'Ceiling-U'!$A$4:$A$40,'Ceiling-U'!$F$4:$F$40)*AL$14)+(LOOKUP(AL$2,'Floor-U'!$A$4:$A$40,'Floor-U'!$F$4:$F$40)*AL$15)+(LOOKUP(AL$2,'Wall-U'!$A$4:$A$40,'Wall-U'!$F$4:$F$40)*AL$12)+(LOOKUP(AL$2,'Window-U'!$A$4:$A$40,'Window-U'!$F$4:$F$40)*AL$21))*AL$23</f>
        <v>387.84278700521429</v>
      </c>
      <c r="AM26" s="177">
        <f>((LOOKUP(AM$2,'Ceiling-U'!$A$4:$A$40,'Ceiling-U'!$F$4:$F$40)*AM$14)+(LOOKUP(AM$2,'Floor-U'!$A$4:$A$40,'Floor-U'!$F$4:$F$40)*AM$15)+(LOOKUP(AM$2,'Wall-U'!$A$4:$A$40,'Wall-U'!$F$4:$F$40)*AM$12)+(LOOKUP(AM$2,'Window-U'!$A$4:$A$40,'Window-U'!$F$4:$F$40)*AM$21))*AM$23</f>
        <v>368.944451793974</v>
      </c>
      <c r="AN26" s="178">
        <f>((LOOKUP(AN$2,'Ceiling-U'!$A$4:$A$40,'Ceiling-U'!$F$4:$F$40)*AN$14)+(LOOKUP(AN$2,'Floor-U'!$A$4:$A$40,'Floor-U'!$F$4:$F$40)*AN$15)+(LOOKUP(AN$2,'Wall-U'!$A$4:$A$40,'Wall-U'!$F$4:$F$40)*AN$12)+(LOOKUP(AN$2,'Window-U'!$A$4:$A$40,'Window-U'!$F$4:$F$40)*AN$21))*AN$23</f>
        <v>368.944451793974</v>
      </c>
    </row>
    <row r="27" spans="1:40">
      <c r="A27" s="129"/>
      <c r="B27" s="142" t="s">
        <v>4</v>
      </c>
      <c r="C27" s="129" t="s">
        <v>195</v>
      </c>
      <c r="D27" s="176">
        <f>((LOOKUP(D$2,'Ceiling-U'!$A$4:$A$40,'Ceiling-U'!$G$4:$G$40)*D$14)+(LOOKUP(D$2,'Floor-U'!$A$4:$A$40,'Floor-U'!$G$4:$G$40)*D$15)+(LOOKUP(D$2,'Wall-U'!$A$4:$A$40,'Wall-U'!$G$4:$G$40)*D$12)+(LOOKUP(D$2,'Window-U'!$A$4:$A$40,'Window-U'!$G$4:$G$40)*D$21))*D$23</f>
        <v>368.59310809188634</v>
      </c>
      <c r="E27" s="177">
        <f>((LOOKUP(E$2,'Ceiling-U'!$A$4:$A$40,'Ceiling-U'!$G$4:$G$40)*E$14)+(LOOKUP(E$2,'Floor-U'!$A$4:$A$40,'Floor-U'!$G$4:$G$40)*E$15)+(LOOKUP(E$2,'Wall-U'!$A$4:$A$40,'Wall-U'!$G$4:$G$40)*E$12)+(LOOKUP(E$2,'Window-U'!$A$4:$A$40,'Window-U'!$G$4:$G$40)*E$21))*E$23</f>
        <v>652.59087407510015</v>
      </c>
      <c r="F27" s="177">
        <f>((LOOKUP(F$2,'Ceiling-U'!$A$4:$A$40,'Ceiling-U'!$G$4:$G$40)*F$14)+(LOOKUP(F$2,'Floor-U'!$A$4:$A$40,'Floor-U'!$G$4:$G$40)*F$15)+(LOOKUP(F$2,'Wall-U'!$A$4:$A$40,'Wall-U'!$G$4:$G$40)*F$12)+(LOOKUP(F$2,'Window-U'!$A$4:$A$40,'Window-U'!$G$4:$G$40)*F$21))*F$23</f>
        <v>347.93232379618337</v>
      </c>
      <c r="G27" s="177">
        <f>((LOOKUP(G$2,'Ceiling-U'!$A$4:$A$40,'Ceiling-U'!$G$4:$G$40)*G$14)+(LOOKUP(G$2,'Floor-U'!$A$4:$A$40,'Floor-U'!$G$4:$G$40)*G$15)+(LOOKUP(G$2,'Wall-U'!$A$4:$A$40,'Wall-U'!$G$4:$G$40)*G$12)+(LOOKUP(G$2,'Window-U'!$A$4:$A$40,'Window-U'!$G$4:$G$40)*G$21))*G$23</f>
        <v>368.59310809188634</v>
      </c>
      <c r="H27" s="177">
        <f>((LOOKUP(H$2,'Ceiling-U'!$A$4:$A$40,'Ceiling-U'!$G$4:$G$40)*H$14)+(LOOKUP(H$2,'Floor-U'!$A$4:$A$40,'Floor-U'!$G$4:$G$40)*H$15)+(LOOKUP(H$2,'Wall-U'!$A$4:$A$40,'Wall-U'!$G$4:$G$40)*H$12)+(LOOKUP(H$2,'Window-U'!$A$4:$A$40,'Window-U'!$G$4:$G$40)*H$21))*H$23</f>
        <v>776.10031616442325</v>
      </c>
      <c r="I27" s="177">
        <f>((LOOKUP(I$2,'Ceiling-U'!$A$4:$A$40,'Ceiling-U'!$G$4:$G$40)*I$14)+(LOOKUP(I$2,'Floor-U'!$A$4:$A$40,'Floor-U'!$G$4:$G$40)*I$15)+(LOOKUP(I$2,'Wall-U'!$A$4:$A$40,'Wall-U'!$G$4:$G$40)*I$12)+(LOOKUP(I$2,'Window-U'!$A$4:$A$40,'Window-U'!$G$4:$G$40)*I$21))*I$23</f>
        <v>316.52376597389093</v>
      </c>
      <c r="J27" s="177">
        <f>((LOOKUP(J$2,'Ceiling-U'!$A$4:$A$40,'Ceiling-U'!$G$4:$G$40)*J$14)+(LOOKUP(J$2,'Floor-U'!$A$4:$A$40,'Floor-U'!$G$4:$G$40)*J$15)+(LOOKUP(J$2,'Wall-U'!$A$4:$A$40,'Wall-U'!$G$4:$G$40)*J$12)+(LOOKUP(J$2,'Window-U'!$A$4:$A$40,'Window-U'!$G$4:$G$40)*J$21))*J$23</f>
        <v>317.20151318628183</v>
      </c>
      <c r="K27" s="177">
        <f>((LOOKUP(K$2,'Ceiling-U'!$A$4:$A$40,'Ceiling-U'!$G$4:$G$40)*K$14)+(LOOKUP(K$2,'Floor-U'!$A$4:$A$40,'Floor-U'!$G$4:$G$40)*K$15)+(LOOKUP(K$2,'Wall-U'!$A$4:$A$40,'Wall-U'!$G$4:$G$40)*K$12)+(LOOKUP(K$2,'Window-U'!$A$4:$A$40,'Window-U'!$G$4:$G$40)*K$21))*K$23</f>
        <v>216.91328740683946</v>
      </c>
      <c r="L27" s="177">
        <f>((LOOKUP(L$2,'Ceiling-U'!$A$4:$A$40,'Ceiling-U'!$G$4:$G$40)*L$14)+(LOOKUP(L$2,'Floor-U'!$A$4:$A$40,'Floor-U'!$G$4:$G$40)*L$15)+(LOOKUP(L$2,'Wall-U'!$A$4:$A$40,'Wall-U'!$G$4:$G$40)*L$12)+(LOOKUP(L$2,'Window-U'!$A$4:$A$40,'Window-U'!$G$4:$G$40)*L$21))*L$23</f>
        <v>138.85431256618278</v>
      </c>
      <c r="M27" s="177">
        <f>((LOOKUP(M$2,'Ceiling-U'!$A$4:$A$40,'Ceiling-U'!$G$4:$G$40)*M$14)+(LOOKUP(M$2,'Floor-U'!$A$4:$A$40,'Floor-U'!$G$4:$G$40)*M$15)+(LOOKUP(M$2,'Wall-U'!$A$4:$A$40,'Wall-U'!$G$4:$G$40)*M$12)+(LOOKUP(M$2,'Window-U'!$A$4:$A$40,'Window-U'!$G$4:$G$40)*M$21))*M$23</f>
        <v>811.00949037953797</v>
      </c>
      <c r="N27" s="177">
        <f>((LOOKUP(N$2,'Ceiling-U'!$A$4:$A$40,'Ceiling-U'!$G$4:$G$40)*N$14)+(LOOKUP(N$2,'Floor-U'!$A$4:$A$40,'Floor-U'!$G$4:$G$40)*N$15)+(LOOKUP(N$2,'Wall-U'!$A$4:$A$40,'Wall-U'!$G$4:$G$40)*N$12)+(LOOKUP(N$2,'Window-U'!$A$4:$A$40,'Window-U'!$G$4:$G$40)*N$21))*N$23</f>
        <v>167.04504490165152</v>
      </c>
      <c r="O27" s="177">
        <f>((LOOKUP(O$2,'Ceiling-U'!$A$4:$A$40,'Ceiling-U'!$G$4:$G$40)*O$14)+(LOOKUP(O$2,'Floor-U'!$A$4:$A$40,'Floor-U'!$G$4:$G$40)*O$15)+(LOOKUP(O$2,'Wall-U'!$A$4:$A$40,'Wall-U'!$G$4:$G$40)*O$12)+(LOOKUP(O$2,'Window-U'!$A$4:$A$40,'Window-U'!$G$4:$G$40)*O$21))*O$23</f>
        <v>381.68001771115496</v>
      </c>
      <c r="P27" s="177">
        <f>((LOOKUP(P$2,'Ceiling-U'!$A$4:$A$40,'Ceiling-U'!$G$4:$G$40)*P$14)+(LOOKUP(P$2,'Floor-U'!$A$4:$A$40,'Floor-U'!$G$4:$G$40)*P$15)+(LOOKUP(P$2,'Wall-U'!$A$4:$A$40,'Wall-U'!$G$4:$G$40)*P$12)+(LOOKUP(P$2,'Window-U'!$A$4:$A$40,'Window-U'!$G$4:$G$40)*P$21))*P$23</f>
        <v>799.32348542084981</v>
      </c>
      <c r="Q27" s="177">
        <f>((LOOKUP(Q$2,'Ceiling-U'!$A$4:$A$40,'Ceiling-U'!$G$4:$G$40)*Q$14)+(LOOKUP(Q$2,'Floor-U'!$A$4:$A$40,'Floor-U'!$G$4:$G$40)*Q$15)+(LOOKUP(Q$2,'Wall-U'!$A$4:$A$40,'Wall-U'!$G$4:$G$40)*Q$12)+(LOOKUP(Q$2,'Window-U'!$A$4:$A$40,'Window-U'!$G$4:$G$40)*Q$21))*Q$23</f>
        <v>347.2976693714844</v>
      </c>
      <c r="R27" s="177">
        <f>((LOOKUP(R$2,'Ceiling-U'!$A$4:$A$40,'Ceiling-U'!$G$4:$G$40)*R$14)+(LOOKUP(R$2,'Floor-U'!$A$4:$A$40,'Floor-U'!$G$4:$G$40)*R$15)+(LOOKUP(R$2,'Wall-U'!$A$4:$A$40,'Wall-U'!$G$4:$G$40)*R$12)+(LOOKUP(R$2,'Window-U'!$A$4:$A$40,'Window-U'!$G$4:$G$40)*R$21))*R$23</f>
        <v>390.20393156842965</v>
      </c>
      <c r="S27" s="177">
        <f>((LOOKUP(S$2,'Ceiling-U'!$A$4:$A$40,'Ceiling-U'!$G$4:$G$40)*S$14)+(LOOKUP(S$2,'Floor-U'!$A$4:$A$40,'Floor-U'!$G$4:$G$40)*S$15)+(LOOKUP(S$2,'Wall-U'!$A$4:$A$40,'Wall-U'!$G$4:$G$40)*S$12)+(LOOKUP(S$2,'Window-U'!$A$4:$A$40,'Window-U'!$G$4:$G$40)*S$21))*S$23</f>
        <v>574.92050112416746</v>
      </c>
      <c r="T27" s="177">
        <f>((LOOKUP(T$2,'Ceiling-U'!$A$4:$A$40,'Ceiling-U'!$G$4:$G$40)*T$14)+(LOOKUP(T$2,'Floor-U'!$A$4:$A$40,'Floor-U'!$G$4:$G$40)*T$15)+(LOOKUP(T$2,'Wall-U'!$A$4:$A$40,'Wall-U'!$G$4:$G$40)*T$12)+(LOOKUP(T$2,'Window-U'!$A$4:$A$40,'Window-U'!$G$4:$G$40)*T$21))*T$23</f>
        <v>167.04504490165152</v>
      </c>
      <c r="U27" s="177">
        <f>((LOOKUP(U$2,'Ceiling-U'!$A$4:$A$40,'Ceiling-U'!$G$4:$G$40)*U$14)+(LOOKUP(U$2,'Floor-U'!$A$4:$A$40,'Floor-U'!$G$4:$G$40)*U$15)+(LOOKUP(U$2,'Wall-U'!$A$4:$A$40,'Wall-U'!$G$4:$G$40)*U$12)+(LOOKUP(U$2,'Window-U'!$A$4:$A$40,'Window-U'!$G$4:$G$40)*U$21))*U$23</f>
        <v>658.72963210424064</v>
      </c>
      <c r="V27" s="177">
        <f>((LOOKUP(V$2,'Ceiling-U'!$A$4:$A$40,'Ceiling-U'!$G$4:$G$40)*V$14)+(LOOKUP(V$2,'Floor-U'!$A$4:$A$40,'Floor-U'!$G$4:$G$40)*V$15)+(LOOKUP(V$2,'Wall-U'!$A$4:$A$40,'Wall-U'!$G$4:$G$40)*V$12)+(LOOKUP(V$2,'Window-U'!$A$4:$A$40,'Window-U'!$G$4:$G$40)*V$21))*V$23</f>
        <v>205.05503322188488</v>
      </c>
      <c r="W27" s="177">
        <f>((LOOKUP(W$2,'Ceiling-U'!$A$4:$A$40,'Ceiling-U'!$G$4:$G$40)*W$14)+(LOOKUP(W$2,'Floor-U'!$A$4:$A$40,'Floor-U'!$G$4:$G$40)*W$15)+(LOOKUP(W$2,'Wall-U'!$A$4:$A$40,'Wall-U'!$G$4:$G$40)*W$12)+(LOOKUP(W$2,'Window-U'!$A$4:$A$40,'Window-U'!$G$4:$G$40)*W$21))*W$23</f>
        <v>249.51128906274784</v>
      </c>
      <c r="X27" s="177">
        <f>((LOOKUP(X$2,'Ceiling-U'!$A$4:$A$40,'Ceiling-U'!$G$4:$G$40)*X$14)+(LOOKUP(X$2,'Floor-U'!$A$4:$A$40,'Floor-U'!$G$4:$G$40)*X$15)+(LOOKUP(X$2,'Wall-U'!$A$4:$A$40,'Wall-U'!$G$4:$G$40)*X$12)+(LOOKUP(X$2,'Window-U'!$A$4:$A$40,'Window-U'!$G$4:$G$40)*X$21))*X$23</f>
        <v>335.01288055616044</v>
      </c>
      <c r="Y27" s="177">
        <f>((LOOKUP(Y$2,'Ceiling-U'!$A$4:$A$40,'Ceiling-U'!$G$4:$G$40)*Y$14)+(LOOKUP(Y$2,'Floor-U'!$A$4:$A$40,'Floor-U'!$G$4:$G$40)*Y$15)+(LOOKUP(Y$2,'Wall-U'!$A$4:$A$40,'Wall-U'!$G$4:$G$40)*Y$12)+(LOOKUP(Y$2,'Window-U'!$A$4:$A$40,'Window-U'!$G$4:$G$40)*Y$21))*Y$23</f>
        <v>777.58218885194754</v>
      </c>
      <c r="Z27" s="177">
        <f>((LOOKUP(Z$2,'Ceiling-U'!$A$4:$A$40,'Ceiling-U'!$G$4:$G$40)*Z$14)+(LOOKUP(Z$2,'Floor-U'!$A$4:$A$40,'Floor-U'!$G$4:$G$40)*Z$15)+(LOOKUP(Z$2,'Wall-U'!$A$4:$A$40,'Wall-U'!$G$4:$G$40)*Z$12)+(LOOKUP(Z$2,'Window-U'!$A$4:$A$40,'Window-U'!$G$4:$G$40)*Z$21))*Z$23</f>
        <v>533.95840834839942</v>
      </c>
      <c r="AA27" s="177">
        <f>((LOOKUP(AA$2,'Ceiling-U'!$A$4:$A$40,'Ceiling-U'!$G$4:$G$40)*AA$14)+(LOOKUP(AA$2,'Floor-U'!$A$4:$A$40,'Floor-U'!$G$4:$G$40)*AA$15)+(LOOKUP(AA$2,'Wall-U'!$A$4:$A$40,'Wall-U'!$G$4:$G$40)*AA$12)+(LOOKUP(AA$2,'Window-U'!$A$4:$A$40,'Window-U'!$G$4:$G$40)*AA$21))*AA$23</f>
        <v>149.84804949902875</v>
      </c>
      <c r="AB27" s="177">
        <f>((LOOKUP(AB$2,'Ceiling-U'!$A$4:$A$40,'Ceiling-U'!$G$4:$G$40)*AB$14)+(LOOKUP(AB$2,'Floor-U'!$A$4:$A$40,'Floor-U'!$G$4:$G$40)*AB$15)+(LOOKUP(AB$2,'Wall-U'!$A$4:$A$40,'Wall-U'!$G$4:$G$40)*AB$12)+(LOOKUP(AB$2,'Window-U'!$A$4:$A$40,'Window-U'!$G$4:$G$40)*AB$21))*AB$23</f>
        <v>274.93583619823528</v>
      </c>
      <c r="AC27" s="177">
        <f>((LOOKUP(AC$2,'Ceiling-U'!$A$4:$A$40,'Ceiling-U'!$G$4:$G$40)*AC$14)+(LOOKUP(AC$2,'Floor-U'!$A$4:$A$40,'Floor-U'!$G$4:$G$40)*AC$15)+(LOOKUP(AC$2,'Wall-U'!$A$4:$A$40,'Wall-U'!$G$4:$G$40)*AC$12)+(LOOKUP(AC$2,'Window-U'!$A$4:$A$40,'Window-U'!$G$4:$G$40)*AC$21))*AC$23</f>
        <v>753.17004480874721</v>
      </c>
      <c r="AD27" s="177">
        <f>((LOOKUP(AD$2,'Ceiling-U'!$A$4:$A$40,'Ceiling-U'!$G$4:$G$40)*AD$14)+(LOOKUP(AD$2,'Floor-U'!$A$4:$A$40,'Floor-U'!$G$4:$G$40)*AD$15)+(LOOKUP(AD$2,'Wall-U'!$A$4:$A$40,'Wall-U'!$G$4:$G$40)*AD$12)+(LOOKUP(AD$2,'Window-U'!$A$4:$A$40,'Window-U'!$G$4:$G$40)*AD$21))*AD$23</f>
        <v>427.62544534104632</v>
      </c>
      <c r="AE27" s="177">
        <f>((LOOKUP(AE$2,'Ceiling-U'!$A$4:$A$40,'Ceiling-U'!$G$4:$G$40)*AE$14)+(LOOKUP(AE$2,'Floor-U'!$A$4:$A$40,'Floor-U'!$G$4:$G$40)*AE$15)+(LOOKUP(AE$2,'Wall-U'!$A$4:$A$40,'Wall-U'!$G$4:$G$40)*AE$12)+(LOOKUP(AE$2,'Window-U'!$A$4:$A$40,'Window-U'!$G$4:$G$40)*AE$21))*AE$23</f>
        <v>149.84804949902875</v>
      </c>
      <c r="AF27" s="177">
        <f>((LOOKUP(AF$2,'Ceiling-U'!$A$4:$A$40,'Ceiling-U'!$G$4:$G$40)*AF$14)+(LOOKUP(AF$2,'Floor-U'!$A$4:$A$40,'Floor-U'!$G$4:$G$40)*AF$15)+(LOOKUP(AF$2,'Wall-U'!$A$4:$A$40,'Wall-U'!$G$4:$G$40)*AF$12)+(LOOKUP(AF$2,'Window-U'!$A$4:$A$40,'Window-U'!$G$4:$G$40)*AF$21))*AF$23</f>
        <v>393.40194607094122</v>
      </c>
      <c r="AG27" s="177">
        <f>((LOOKUP(AG$2,'Ceiling-U'!$A$4:$A$40,'Ceiling-U'!$G$4:$G$40)*AG$14)+(LOOKUP(AG$2,'Floor-U'!$A$4:$A$40,'Floor-U'!$G$4:$G$40)*AG$15)+(LOOKUP(AG$2,'Wall-U'!$A$4:$A$40,'Wall-U'!$G$4:$G$40)*AG$12)+(LOOKUP(AG$2,'Window-U'!$A$4:$A$40,'Window-U'!$G$4:$G$40)*AG$21))*AG$23</f>
        <v>500.19144884366983</v>
      </c>
      <c r="AH27" s="177">
        <f>((LOOKUP(AH$2,'Ceiling-U'!$A$4:$A$40,'Ceiling-U'!$G$4:$G$40)*AH$14)+(LOOKUP(AH$2,'Floor-U'!$A$4:$A$40,'Floor-U'!$G$4:$G$40)*AH$15)+(LOOKUP(AH$2,'Wall-U'!$A$4:$A$40,'Wall-U'!$G$4:$G$40)*AH$12)+(LOOKUP(AH$2,'Window-U'!$A$4:$A$40,'Window-U'!$G$4:$G$40)*AH$21))*AH$23</f>
        <v>434.26706929536681</v>
      </c>
      <c r="AI27" s="177">
        <f>((LOOKUP(AI$2,'Ceiling-U'!$A$4:$A$40,'Ceiling-U'!$G$4:$G$40)*AI$14)+(LOOKUP(AI$2,'Floor-U'!$A$4:$A$40,'Floor-U'!$G$4:$G$40)*AI$15)+(LOOKUP(AI$2,'Wall-U'!$A$4:$A$40,'Wall-U'!$G$4:$G$40)*AI$12)+(LOOKUP(AI$2,'Window-U'!$A$4:$A$40,'Window-U'!$G$4:$G$40)*AI$21))*AI$23</f>
        <v>799.32348542084981</v>
      </c>
      <c r="AJ27" s="177">
        <f>((LOOKUP(AJ$2,'Ceiling-U'!$A$4:$A$40,'Ceiling-U'!$G$4:$G$40)*AJ$14)+(LOOKUP(AJ$2,'Floor-U'!$A$4:$A$40,'Floor-U'!$G$4:$G$40)*AJ$15)+(LOOKUP(AJ$2,'Wall-U'!$A$4:$A$40,'Wall-U'!$G$4:$G$40)*AJ$12)+(LOOKUP(AJ$2,'Window-U'!$A$4:$A$40,'Window-U'!$G$4:$G$40)*AJ$21))*AJ$23</f>
        <v>368.944451793974</v>
      </c>
      <c r="AK27" s="177">
        <f>((LOOKUP(AK$2,'Ceiling-U'!$A$4:$A$40,'Ceiling-U'!$G$4:$G$40)*AK$14)+(LOOKUP(AK$2,'Floor-U'!$A$4:$A$40,'Floor-U'!$G$4:$G$40)*AK$15)+(LOOKUP(AK$2,'Wall-U'!$A$4:$A$40,'Wall-U'!$G$4:$G$40)*AK$12)+(LOOKUP(AK$2,'Window-U'!$A$4:$A$40,'Window-U'!$G$4:$G$40)*AK$21))*AK$23</f>
        <v>435.1730729087418</v>
      </c>
      <c r="AL27" s="177">
        <f>((LOOKUP(AL$2,'Ceiling-U'!$A$4:$A$40,'Ceiling-U'!$G$4:$G$40)*AL$14)+(LOOKUP(AL$2,'Floor-U'!$A$4:$A$40,'Floor-U'!$G$4:$G$40)*AL$15)+(LOOKUP(AL$2,'Wall-U'!$A$4:$A$40,'Wall-U'!$G$4:$G$40)*AL$12)+(LOOKUP(AL$2,'Window-U'!$A$4:$A$40,'Window-U'!$G$4:$G$40)*AL$21))*AL$23</f>
        <v>363.98905701053411</v>
      </c>
      <c r="AM27" s="177">
        <f>((LOOKUP(AM$2,'Ceiling-U'!$A$4:$A$40,'Ceiling-U'!$G$4:$G$40)*AM$14)+(LOOKUP(AM$2,'Floor-U'!$A$4:$A$40,'Floor-U'!$G$4:$G$40)*AM$15)+(LOOKUP(AM$2,'Wall-U'!$A$4:$A$40,'Wall-U'!$G$4:$G$40)*AM$12)+(LOOKUP(AM$2,'Window-U'!$A$4:$A$40,'Window-U'!$G$4:$G$40)*AM$21))*AM$23</f>
        <v>368.944451793974</v>
      </c>
      <c r="AN27" s="178">
        <f>((LOOKUP(AN$2,'Ceiling-U'!$A$4:$A$40,'Ceiling-U'!$G$4:$G$40)*AN$14)+(LOOKUP(AN$2,'Floor-U'!$A$4:$A$40,'Floor-U'!$G$4:$G$40)*AN$15)+(LOOKUP(AN$2,'Wall-U'!$A$4:$A$40,'Wall-U'!$G$4:$G$40)*AN$12)+(LOOKUP(AN$2,'Window-U'!$A$4:$A$40,'Window-U'!$G$4:$G$40)*AN$21))*AN$23</f>
        <v>368.944451793974</v>
      </c>
    </row>
    <row r="28" spans="1:40">
      <c r="A28" s="129"/>
      <c r="B28" s="142" t="s">
        <v>5</v>
      </c>
      <c r="C28" s="129" t="s">
        <v>195</v>
      </c>
      <c r="D28" s="176">
        <f>((LOOKUP(D$2,'Ceiling-U'!$A$4:$A$40,'Ceiling-U'!$H$4:$H$40)*D$14)+(LOOKUP(D$2,'Floor-U'!$A$4:$A$40,'Floor-U'!$H$4:$H$40)*D$15)+(LOOKUP(D$2,'Wall-U'!$A$4:$A$40,'Wall-U'!$H$4:$H$40)*D$12)+(LOOKUP(D$2,'Window-U'!$A$4:$A$40,'Window-U'!$H$4:$H$40)*D$21))*D$23</f>
        <v>240.28171186128861</v>
      </c>
      <c r="E28" s="177">
        <f>((LOOKUP(E$2,'Ceiling-U'!$A$4:$A$40,'Ceiling-U'!$H$4:$H$40)*E$14)+(LOOKUP(E$2,'Floor-U'!$A$4:$A$40,'Floor-U'!$H$4:$H$40)*E$15)+(LOOKUP(E$2,'Wall-U'!$A$4:$A$40,'Wall-U'!$H$4:$H$40)*E$12)+(LOOKUP(E$2,'Window-U'!$A$4:$A$40,'Window-U'!$H$4:$H$40)*E$21))*E$23</f>
        <v>541.11466279502611</v>
      </c>
      <c r="F28" s="177">
        <f>((LOOKUP(F$2,'Ceiling-U'!$A$4:$A$40,'Ceiling-U'!$H$4:$H$40)*F$14)+(LOOKUP(F$2,'Floor-U'!$A$4:$A$40,'Floor-U'!$H$4:$H$40)*F$15)+(LOOKUP(F$2,'Wall-U'!$A$4:$A$40,'Wall-U'!$H$4:$H$40)*F$12)+(LOOKUP(F$2,'Window-U'!$A$4:$A$40,'Window-U'!$H$4:$H$40)*F$21))*F$23</f>
        <v>296.88616078894802</v>
      </c>
      <c r="G28" s="177">
        <f>((LOOKUP(G$2,'Ceiling-U'!$A$4:$A$40,'Ceiling-U'!$H$4:$H$40)*G$14)+(LOOKUP(G$2,'Floor-U'!$A$4:$A$40,'Floor-U'!$H$4:$H$40)*G$15)+(LOOKUP(G$2,'Wall-U'!$A$4:$A$40,'Wall-U'!$H$4:$H$40)*G$12)+(LOOKUP(G$2,'Window-U'!$A$4:$A$40,'Window-U'!$H$4:$H$40)*G$21))*G$23</f>
        <v>240.28171186128861</v>
      </c>
      <c r="H28" s="177">
        <f>((LOOKUP(H$2,'Ceiling-U'!$A$4:$A$40,'Ceiling-U'!$H$4:$H$40)*H$14)+(LOOKUP(H$2,'Floor-U'!$A$4:$A$40,'Floor-U'!$H$4:$H$40)*H$15)+(LOOKUP(H$2,'Wall-U'!$A$4:$A$40,'Wall-U'!$H$4:$H$40)*H$12)+(LOOKUP(H$2,'Window-U'!$A$4:$A$40,'Window-U'!$H$4:$H$40)*H$21))*H$23</f>
        <v>752.08071671442326</v>
      </c>
      <c r="I28" s="177">
        <f>((LOOKUP(I$2,'Ceiling-U'!$A$4:$A$40,'Ceiling-U'!$H$4:$H$40)*I$14)+(LOOKUP(I$2,'Floor-U'!$A$4:$A$40,'Floor-U'!$H$4:$H$40)*I$15)+(LOOKUP(I$2,'Wall-U'!$A$4:$A$40,'Wall-U'!$H$4:$H$40)*I$12)+(LOOKUP(I$2,'Window-U'!$A$4:$A$40,'Window-U'!$H$4:$H$40)*I$21))*I$23</f>
        <v>280.90542779590453</v>
      </c>
      <c r="J28" s="177">
        <f>((LOOKUP(J$2,'Ceiling-U'!$A$4:$A$40,'Ceiling-U'!$H$4:$H$40)*J$14)+(LOOKUP(J$2,'Floor-U'!$A$4:$A$40,'Floor-U'!$H$4:$H$40)*J$15)+(LOOKUP(J$2,'Wall-U'!$A$4:$A$40,'Wall-U'!$H$4:$H$40)*J$12)+(LOOKUP(J$2,'Window-U'!$A$4:$A$40,'Window-U'!$H$4:$H$40)*J$21))*J$23</f>
        <v>246.9472483635588</v>
      </c>
      <c r="K28" s="177">
        <f>((LOOKUP(K$2,'Ceiling-U'!$A$4:$A$40,'Ceiling-U'!$H$4:$H$40)*K$14)+(LOOKUP(K$2,'Floor-U'!$A$4:$A$40,'Floor-U'!$H$4:$H$40)*K$15)+(LOOKUP(K$2,'Wall-U'!$A$4:$A$40,'Wall-U'!$H$4:$H$40)*K$12)+(LOOKUP(K$2,'Window-U'!$A$4:$A$40,'Window-U'!$H$4:$H$40)*K$21))*K$23</f>
        <v>178.92461600488531</v>
      </c>
      <c r="L28" s="177">
        <f>((LOOKUP(L$2,'Ceiling-U'!$A$4:$A$40,'Ceiling-U'!$H$4:$H$40)*L$14)+(LOOKUP(L$2,'Floor-U'!$A$4:$A$40,'Floor-U'!$H$4:$H$40)*L$15)+(LOOKUP(L$2,'Wall-U'!$A$4:$A$40,'Wall-U'!$H$4:$H$40)*L$12)+(LOOKUP(L$2,'Window-U'!$A$4:$A$40,'Window-U'!$H$4:$H$40)*L$21))*L$23</f>
        <v>97.833441451595789</v>
      </c>
      <c r="M28" s="177">
        <f>((LOOKUP(M$2,'Ceiling-U'!$A$4:$A$40,'Ceiling-U'!$H$4:$H$40)*M$14)+(LOOKUP(M$2,'Floor-U'!$A$4:$A$40,'Floor-U'!$H$4:$H$40)*M$15)+(LOOKUP(M$2,'Wall-U'!$A$4:$A$40,'Wall-U'!$H$4:$H$40)*M$12)+(LOOKUP(M$2,'Window-U'!$A$4:$A$40,'Window-U'!$H$4:$H$40)*M$21))*M$23</f>
        <v>501.87540670029858</v>
      </c>
      <c r="N28" s="177">
        <f>((LOOKUP(N$2,'Ceiling-U'!$A$4:$A$40,'Ceiling-U'!$H$4:$H$40)*N$14)+(LOOKUP(N$2,'Floor-U'!$A$4:$A$40,'Floor-U'!$H$4:$H$40)*N$15)+(LOOKUP(N$2,'Wall-U'!$A$4:$A$40,'Wall-U'!$H$4:$H$40)*N$12)+(LOOKUP(N$2,'Window-U'!$A$4:$A$40,'Window-U'!$H$4:$H$40)*N$21))*N$23</f>
        <v>132.53686608819922</v>
      </c>
      <c r="O28" s="177">
        <f>((LOOKUP(O$2,'Ceiling-U'!$A$4:$A$40,'Ceiling-U'!$H$4:$H$40)*O$14)+(LOOKUP(O$2,'Floor-U'!$A$4:$A$40,'Floor-U'!$H$4:$H$40)*O$15)+(LOOKUP(O$2,'Wall-U'!$A$4:$A$40,'Wall-U'!$H$4:$H$40)*O$12)+(LOOKUP(O$2,'Window-U'!$A$4:$A$40,'Window-U'!$H$4:$H$40)*O$21))*O$23</f>
        <v>318.00942911768709</v>
      </c>
      <c r="P28" s="177">
        <f>((LOOKUP(P$2,'Ceiling-U'!$A$4:$A$40,'Ceiling-U'!$H$4:$H$40)*P$14)+(LOOKUP(P$2,'Floor-U'!$A$4:$A$40,'Floor-U'!$H$4:$H$40)*P$15)+(LOOKUP(P$2,'Wall-U'!$A$4:$A$40,'Wall-U'!$H$4:$H$40)*P$12)+(LOOKUP(P$2,'Window-U'!$A$4:$A$40,'Window-U'!$H$4:$H$40)*P$21))*P$23</f>
        <v>775.30388597084971</v>
      </c>
      <c r="Q28" s="177">
        <f>((LOOKUP(Q$2,'Ceiling-U'!$A$4:$A$40,'Ceiling-U'!$H$4:$H$40)*Q$14)+(LOOKUP(Q$2,'Floor-U'!$A$4:$A$40,'Floor-U'!$H$4:$H$40)*Q$15)+(LOOKUP(Q$2,'Wall-U'!$A$4:$A$40,'Wall-U'!$H$4:$H$40)*Q$12)+(LOOKUP(Q$2,'Window-U'!$A$4:$A$40,'Window-U'!$H$4:$H$40)*Q$21))*Q$23</f>
        <v>347.2976693714844</v>
      </c>
      <c r="R28" s="177">
        <f>((LOOKUP(R$2,'Ceiling-U'!$A$4:$A$40,'Ceiling-U'!$H$4:$H$40)*R$14)+(LOOKUP(R$2,'Floor-U'!$A$4:$A$40,'Floor-U'!$H$4:$H$40)*R$15)+(LOOKUP(R$2,'Wall-U'!$A$4:$A$40,'Wall-U'!$H$4:$H$40)*R$12)+(LOOKUP(R$2,'Window-U'!$A$4:$A$40,'Window-U'!$H$4:$H$40)*R$21))*R$23</f>
        <v>283.0783657680721</v>
      </c>
      <c r="S28" s="177">
        <f>((LOOKUP(S$2,'Ceiling-U'!$A$4:$A$40,'Ceiling-U'!$H$4:$H$40)*S$14)+(LOOKUP(S$2,'Floor-U'!$A$4:$A$40,'Floor-U'!$H$4:$H$40)*S$15)+(LOOKUP(S$2,'Wall-U'!$A$4:$A$40,'Wall-U'!$H$4:$H$40)*S$12)+(LOOKUP(S$2,'Window-U'!$A$4:$A$40,'Window-U'!$H$4:$H$40)*S$21))*S$23</f>
        <v>361.94539601914505</v>
      </c>
      <c r="T28" s="177">
        <f>((LOOKUP(T$2,'Ceiling-U'!$A$4:$A$40,'Ceiling-U'!$H$4:$H$40)*T$14)+(LOOKUP(T$2,'Floor-U'!$A$4:$A$40,'Floor-U'!$H$4:$H$40)*T$15)+(LOOKUP(T$2,'Wall-U'!$A$4:$A$40,'Wall-U'!$H$4:$H$40)*T$12)+(LOOKUP(T$2,'Window-U'!$A$4:$A$40,'Window-U'!$H$4:$H$40)*T$21))*T$23</f>
        <v>132.53686608819922</v>
      </c>
      <c r="U28" s="177">
        <f>((LOOKUP(U$2,'Ceiling-U'!$A$4:$A$40,'Ceiling-U'!$H$4:$H$40)*U$14)+(LOOKUP(U$2,'Floor-U'!$A$4:$A$40,'Floor-U'!$H$4:$H$40)*U$15)+(LOOKUP(U$2,'Wall-U'!$A$4:$A$40,'Wall-U'!$H$4:$H$40)*U$12)+(LOOKUP(U$2,'Window-U'!$A$4:$A$40,'Window-U'!$H$4:$H$40)*U$21))*U$23</f>
        <v>483.6978169401504</v>
      </c>
      <c r="V28" s="177">
        <f>((LOOKUP(V$2,'Ceiling-U'!$A$4:$A$40,'Ceiling-U'!$H$4:$H$40)*V$14)+(LOOKUP(V$2,'Floor-U'!$A$4:$A$40,'Floor-U'!$H$4:$H$40)*V$15)+(LOOKUP(V$2,'Wall-U'!$A$4:$A$40,'Wall-U'!$H$4:$H$40)*V$12)+(LOOKUP(V$2,'Window-U'!$A$4:$A$40,'Window-U'!$H$4:$H$40)*V$21))*V$23</f>
        <v>205.05503322188488</v>
      </c>
      <c r="W28" s="177">
        <f>((LOOKUP(W$2,'Ceiling-U'!$A$4:$A$40,'Ceiling-U'!$H$4:$H$40)*W$14)+(LOOKUP(W$2,'Floor-U'!$A$4:$A$40,'Floor-U'!$H$4:$H$40)*W$15)+(LOOKUP(W$2,'Wall-U'!$A$4:$A$40,'Wall-U'!$H$4:$H$40)*W$12)+(LOOKUP(W$2,'Window-U'!$A$4:$A$40,'Window-U'!$H$4:$H$40)*W$21))*W$23</f>
        <v>198.26455948841377</v>
      </c>
      <c r="X28" s="177">
        <f>((LOOKUP(X$2,'Ceiling-U'!$A$4:$A$40,'Ceiling-U'!$H$4:$H$40)*X$14)+(LOOKUP(X$2,'Floor-U'!$A$4:$A$40,'Floor-U'!$H$4:$H$40)*X$15)+(LOOKUP(X$2,'Wall-U'!$A$4:$A$40,'Wall-U'!$H$4:$H$40)*X$12)+(LOOKUP(X$2,'Window-U'!$A$4:$A$40,'Window-U'!$H$4:$H$40)*X$21))*X$23</f>
        <v>182.35160030897802</v>
      </c>
      <c r="Y28" s="177">
        <f>((LOOKUP(Y$2,'Ceiling-U'!$A$4:$A$40,'Ceiling-U'!$H$4:$H$40)*Y$14)+(LOOKUP(Y$2,'Floor-U'!$A$4:$A$40,'Floor-U'!$H$4:$H$40)*Y$15)+(LOOKUP(Y$2,'Wall-U'!$A$4:$A$40,'Wall-U'!$H$4:$H$40)*Y$12)+(LOOKUP(Y$2,'Window-U'!$A$4:$A$40,'Window-U'!$H$4:$H$40)*Y$21))*Y$23</f>
        <v>712.70925791444756</v>
      </c>
      <c r="Z28" s="177">
        <f>((LOOKUP(Z$2,'Ceiling-U'!$A$4:$A$40,'Ceiling-U'!$H$4:$H$40)*Z$14)+(LOOKUP(Z$2,'Floor-U'!$A$4:$A$40,'Floor-U'!$H$4:$H$40)*Z$15)+(LOOKUP(Z$2,'Wall-U'!$A$4:$A$40,'Wall-U'!$H$4:$H$40)*Z$12)+(LOOKUP(Z$2,'Window-U'!$A$4:$A$40,'Window-U'!$H$4:$H$40)*Z$21))*Z$23</f>
        <v>324.41144286502055</v>
      </c>
      <c r="AA28" s="177">
        <f>((LOOKUP(AA$2,'Ceiling-U'!$A$4:$A$40,'Ceiling-U'!$H$4:$H$40)*AA$14)+(LOOKUP(AA$2,'Floor-U'!$A$4:$A$40,'Floor-U'!$H$4:$H$40)*AA$15)+(LOOKUP(AA$2,'Wall-U'!$A$4:$A$40,'Wall-U'!$H$4:$H$40)*AA$12)+(LOOKUP(AA$2,'Window-U'!$A$4:$A$40,'Window-U'!$H$4:$H$40)*AA$21))*AA$23</f>
        <v>147.14804949902873</v>
      </c>
      <c r="AB28" s="177">
        <f>((LOOKUP(AB$2,'Ceiling-U'!$A$4:$A$40,'Ceiling-U'!$H$4:$H$40)*AB$14)+(LOOKUP(AB$2,'Floor-U'!$A$4:$A$40,'Floor-U'!$H$4:$H$40)*AB$15)+(LOOKUP(AB$2,'Wall-U'!$A$4:$A$40,'Wall-U'!$H$4:$H$40)*AB$12)+(LOOKUP(AB$2,'Window-U'!$A$4:$A$40,'Window-U'!$H$4:$H$40)*AB$21))*AB$23</f>
        <v>274.93583619823528</v>
      </c>
      <c r="AC28" s="177">
        <f>((LOOKUP(AC$2,'Ceiling-U'!$A$4:$A$40,'Ceiling-U'!$H$4:$H$40)*AC$14)+(LOOKUP(AC$2,'Floor-U'!$A$4:$A$40,'Floor-U'!$H$4:$H$40)*AC$15)+(LOOKUP(AC$2,'Wall-U'!$A$4:$A$40,'Wall-U'!$H$4:$H$40)*AC$12)+(LOOKUP(AC$2,'Window-U'!$A$4:$A$40,'Window-U'!$H$4:$H$40)*AC$21))*AC$23</f>
        <v>731.11399347691406</v>
      </c>
      <c r="AD28" s="177">
        <f>((LOOKUP(AD$2,'Ceiling-U'!$A$4:$A$40,'Ceiling-U'!$H$4:$H$40)*AD$14)+(LOOKUP(AD$2,'Floor-U'!$A$4:$A$40,'Floor-U'!$H$4:$H$40)*AD$15)+(LOOKUP(AD$2,'Wall-U'!$A$4:$A$40,'Wall-U'!$H$4:$H$40)*AD$12)+(LOOKUP(AD$2,'Window-U'!$A$4:$A$40,'Window-U'!$H$4:$H$40)*AD$21))*AD$23</f>
        <v>357.63870302807953</v>
      </c>
      <c r="AE28" s="177">
        <f>((LOOKUP(AE$2,'Ceiling-U'!$A$4:$A$40,'Ceiling-U'!$H$4:$H$40)*AE$14)+(LOOKUP(AE$2,'Floor-U'!$A$4:$A$40,'Floor-U'!$H$4:$H$40)*AE$15)+(LOOKUP(AE$2,'Wall-U'!$A$4:$A$40,'Wall-U'!$H$4:$H$40)*AE$12)+(LOOKUP(AE$2,'Window-U'!$A$4:$A$40,'Window-U'!$H$4:$H$40)*AE$21))*AE$23</f>
        <v>147.14804949902873</v>
      </c>
      <c r="AF28" s="177">
        <f>((LOOKUP(AF$2,'Ceiling-U'!$A$4:$A$40,'Ceiling-U'!$H$4:$H$40)*AF$14)+(LOOKUP(AF$2,'Floor-U'!$A$4:$A$40,'Floor-U'!$H$4:$H$40)*AF$15)+(LOOKUP(AF$2,'Wall-U'!$A$4:$A$40,'Wall-U'!$H$4:$H$40)*AF$12)+(LOOKUP(AF$2,'Window-U'!$A$4:$A$40,'Window-U'!$H$4:$H$40)*AF$21))*AF$23</f>
        <v>288.15671044560509</v>
      </c>
      <c r="AG28" s="177">
        <f>((LOOKUP(AG$2,'Ceiling-U'!$A$4:$A$40,'Ceiling-U'!$H$4:$H$40)*AG$14)+(LOOKUP(AG$2,'Floor-U'!$A$4:$A$40,'Floor-U'!$H$4:$H$40)*AG$15)+(LOOKUP(AG$2,'Wall-U'!$A$4:$A$40,'Wall-U'!$H$4:$H$40)*AG$12)+(LOOKUP(AG$2,'Window-U'!$A$4:$A$40,'Window-U'!$H$4:$H$40)*AG$21))*AG$23</f>
        <v>413.42961199472484</v>
      </c>
      <c r="AH28" s="177">
        <f>((LOOKUP(AH$2,'Ceiling-U'!$A$4:$A$40,'Ceiling-U'!$H$4:$H$40)*AH$14)+(LOOKUP(AH$2,'Floor-U'!$A$4:$A$40,'Floor-U'!$H$4:$H$40)*AH$15)+(LOOKUP(AH$2,'Wall-U'!$A$4:$A$40,'Wall-U'!$H$4:$H$40)*AH$12)+(LOOKUP(AH$2,'Window-U'!$A$4:$A$40,'Window-U'!$H$4:$H$40)*AH$21))*AH$23</f>
        <v>250.14366952755577</v>
      </c>
      <c r="AI28" s="177">
        <f>((LOOKUP(AI$2,'Ceiling-U'!$A$4:$A$40,'Ceiling-U'!$H$4:$H$40)*AI$14)+(LOOKUP(AI$2,'Floor-U'!$A$4:$A$40,'Floor-U'!$H$4:$H$40)*AI$15)+(LOOKUP(AI$2,'Wall-U'!$A$4:$A$40,'Wall-U'!$H$4:$H$40)*AI$12)+(LOOKUP(AI$2,'Window-U'!$A$4:$A$40,'Window-U'!$H$4:$H$40)*AI$21))*AI$23</f>
        <v>775.30388597084971</v>
      </c>
      <c r="AJ28" s="177">
        <f>((LOOKUP(AJ$2,'Ceiling-U'!$A$4:$A$40,'Ceiling-U'!$H$4:$H$40)*AJ$14)+(LOOKUP(AJ$2,'Floor-U'!$A$4:$A$40,'Floor-U'!$H$4:$H$40)*AJ$15)+(LOOKUP(AJ$2,'Wall-U'!$A$4:$A$40,'Wall-U'!$H$4:$H$40)*AJ$12)+(LOOKUP(AJ$2,'Window-U'!$A$4:$A$40,'Window-U'!$H$4:$H$40)*AJ$21))*AJ$23</f>
        <v>317.2561837827393</v>
      </c>
      <c r="AK28" s="177">
        <f>((LOOKUP(AK$2,'Ceiling-U'!$A$4:$A$40,'Ceiling-U'!$H$4:$H$40)*AK$14)+(LOOKUP(AK$2,'Floor-U'!$A$4:$A$40,'Floor-U'!$H$4:$H$40)*AK$15)+(LOOKUP(AK$2,'Wall-U'!$A$4:$A$40,'Wall-U'!$H$4:$H$40)*AK$12)+(LOOKUP(AK$2,'Window-U'!$A$4:$A$40,'Window-U'!$H$4:$H$40)*AK$21))*AK$23</f>
        <v>370.87726079262256</v>
      </c>
      <c r="AL28" s="177">
        <f>((LOOKUP(AL$2,'Ceiling-U'!$A$4:$A$40,'Ceiling-U'!$H$4:$H$40)*AL$14)+(LOOKUP(AL$2,'Floor-U'!$A$4:$A$40,'Floor-U'!$H$4:$H$40)*AL$15)+(LOOKUP(AL$2,'Wall-U'!$A$4:$A$40,'Wall-U'!$H$4:$H$40)*AL$12)+(LOOKUP(AL$2,'Window-U'!$A$4:$A$40,'Window-U'!$H$4:$H$40)*AL$21))*AL$23</f>
        <v>309.91489630867676</v>
      </c>
      <c r="AM28" s="177">
        <f>((LOOKUP(AM$2,'Ceiling-U'!$A$4:$A$40,'Ceiling-U'!$H$4:$H$40)*AM$14)+(LOOKUP(AM$2,'Floor-U'!$A$4:$A$40,'Floor-U'!$H$4:$H$40)*AM$15)+(LOOKUP(AM$2,'Wall-U'!$A$4:$A$40,'Wall-U'!$H$4:$H$40)*AM$12)+(LOOKUP(AM$2,'Window-U'!$A$4:$A$40,'Window-U'!$H$4:$H$40)*AM$21))*AM$23</f>
        <v>317.2561837827393</v>
      </c>
      <c r="AN28" s="178">
        <f>((LOOKUP(AN$2,'Ceiling-U'!$A$4:$A$40,'Ceiling-U'!$H$4:$H$40)*AN$14)+(LOOKUP(AN$2,'Floor-U'!$A$4:$A$40,'Floor-U'!$H$4:$H$40)*AN$15)+(LOOKUP(AN$2,'Wall-U'!$A$4:$A$40,'Wall-U'!$H$4:$H$40)*AN$12)+(LOOKUP(AN$2,'Window-U'!$A$4:$A$40,'Window-U'!$H$4:$H$40)*AN$21))*AN$23</f>
        <v>317.2561837827393</v>
      </c>
    </row>
    <row r="29" spans="1:40">
      <c r="A29" s="129"/>
      <c r="B29" s="142" t="s">
        <v>6</v>
      </c>
      <c r="C29" s="129" t="s">
        <v>195</v>
      </c>
      <c r="D29" s="176">
        <f>((LOOKUP(D$2,'Ceiling-U'!$A$4:$A$40,'Ceiling-U'!$I$4:$I$40)*D$14)+(LOOKUP(D$2,'Floor-U'!$A$4:$A$40,'Floor-U'!$I$4:$I$40)*D$15)+(LOOKUP(D$2,'Wall-U'!$A$4:$A$40,'Wall-U'!$I$4:$I$40)*D$12)+(LOOKUP(D$2,'Window-U'!$A$4:$A$40,'Window-U'!$I$4:$I$40)*D$21))*D$23</f>
        <v>199.76255599906818</v>
      </c>
      <c r="E29" s="177">
        <f>((LOOKUP(E$2,'Ceiling-U'!$A$4:$A$40,'Ceiling-U'!$I$4:$I$40)*E$14)+(LOOKUP(E$2,'Floor-U'!$A$4:$A$40,'Floor-U'!$I$4:$I$40)*E$15)+(LOOKUP(E$2,'Wall-U'!$A$4:$A$40,'Wall-U'!$I$4:$I$40)*E$12)+(LOOKUP(E$2,'Window-U'!$A$4:$A$40,'Window-U'!$I$4:$I$40)*E$21))*E$23</f>
        <v>541.11466279502611</v>
      </c>
      <c r="F29" s="177">
        <f>((LOOKUP(F$2,'Ceiling-U'!$A$4:$A$40,'Ceiling-U'!$I$4:$I$40)*F$14)+(LOOKUP(F$2,'Floor-U'!$A$4:$A$40,'Floor-U'!$I$4:$I$40)*F$15)+(LOOKUP(F$2,'Wall-U'!$A$4:$A$40,'Wall-U'!$I$4:$I$40)*F$12)+(LOOKUP(F$2,'Window-U'!$A$4:$A$40,'Window-U'!$I$4:$I$40)*F$21))*F$23</f>
        <v>233.42045518356088</v>
      </c>
      <c r="G29" s="177">
        <f>((LOOKUP(G$2,'Ceiling-U'!$A$4:$A$40,'Ceiling-U'!$I$4:$I$40)*G$14)+(LOOKUP(G$2,'Floor-U'!$A$4:$A$40,'Floor-U'!$I$4:$I$40)*G$15)+(LOOKUP(G$2,'Wall-U'!$A$4:$A$40,'Wall-U'!$I$4:$I$40)*G$12)+(LOOKUP(G$2,'Window-U'!$A$4:$A$40,'Window-U'!$I$4:$I$40)*G$21))*G$23</f>
        <v>199.76255599906818</v>
      </c>
      <c r="H29" s="177">
        <f>((LOOKUP(H$2,'Ceiling-U'!$A$4:$A$40,'Ceiling-U'!$I$4:$I$40)*H$14)+(LOOKUP(H$2,'Floor-U'!$A$4:$A$40,'Floor-U'!$I$4:$I$40)*H$15)+(LOOKUP(H$2,'Wall-U'!$A$4:$A$40,'Wall-U'!$I$4:$I$40)*H$12)+(LOOKUP(H$2,'Window-U'!$A$4:$A$40,'Window-U'!$I$4:$I$40)*H$21))*H$23</f>
        <v>626.08071671442326</v>
      </c>
      <c r="I29" s="177">
        <f>((LOOKUP(I$2,'Ceiling-U'!$A$4:$A$40,'Ceiling-U'!$I$4:$I$40)*I$14)+(LOOKUP(I$2,'Floor-U'!$A$4:$A$40,'Floor-U'!$I$4:$I$40)*I$15)+(LOOKUP(I$2,'Wall-U'!$A$4:$A$40,'Wall-U'!$I$4:$I$40)*I$12)+(LOOKUP(I$2,'Window-U'!$A$4:$A$40,'Window-U'!$I$4:$I$40)*I$21))*I$23</f>
        <v>206.07105207593864</v>
      </c>
      <c r="J29" s="177">
        <f>((LOOKUP(J$2,'Ceiling-U'!$A$4:$A$40,'Ceiling-U'!$I$4:$I$40)*J$14)+(LOOKUP(J$2,'Floor-U'!$A$4:$A$40,'Floor-U'!$I$4:$I$40)*J$15)+(LOOKUP(J$2,'Wall-U'!$A$4:$A$40,'Wall-U'!$I$4:$I$40)*J$12)+(LOOKUP(J$2,'Window-U'!$A$4:$A$40,'Window-U'!$I$4:$I$40)*J$21))*J$23</f>
        <v>133.40099138671812</v>
      </c>
      <c r="K29" s="177">
        <f>((LOOKUP(K$2,'Ceiling-U'!$A$4:$A$40,'Ceiling-U'!$I$4:$I$40)*K$14)+(LOOKUP(K$2,'Floor-U'!$A$4:$A$40,'Floor-U'!$I$4:$I$40)*K$15)+(LOOKUP(K$2,'Wall-U'!$A$4:$A$40,'Wall-U'!$I$4:$I$40)*K$12)+(LOOKUP(K$2,'Window-U'!$A$4:$A$40,'Window-U'!$I$4:$I$40)*K$21))*K$23</f>
        <v>178.92461600488531</v>
      </c>
      <c r="L29" s="177">
        <f>((LOOKUP(L$2,'Ceiling-U'!$A$4:$A$40,'Ceiling-U'!$I$4:$I$40)*L$14)+(LOOKUP(L$2,'Floor-U'!$A$4:$A$40,'Floor-U'!$I$4:$I$40)*L$15)+(LOOKUP(L$2,'Wall-U'!$A$4:$A$40,'Wall-U'!$I$4:$I$40)*L$12)+(LOOKUP(L$2,'Window-U'!$A$4:$A$40,'Window-U'!$I$4:$I$40)*L$21))*L$23</f>
        <v>83.765712921260985</v>
      </c>
      <c r="M29" s="177">
        <f>((LOOKUP(M$2,'Ceiling-U'!$A$4:$A$40,'Ceiling-U'!$I$4:$I$40)*M$14)+(LOOKUP(M$2,'Floor-U'!$A$4:$A$40,'Floor-U'!$I$4:$I$40)*M$15)+(LOOKUP(M$2,'Wall-U'!$A$4:$A$40,'Wall-U'!$I$4:$I$40)*M$12)+(LOOKUP(M$2,'Window-U'!$A$4:$A$40,'Window-U'!$I$4:$I$40)*M$21))*M$23</f>
        <v>501.87540670029858</v>
      </c>
      <c r="N29" s="177">
        <f>((LOOKUP(N$2,'Ceiling-U'!$A$4:$A$40,'Ceiling-U'!$I$4:$I$40)*N$14)+(LOOKUP(N$2,'Floor-U'!$A$4:$A$40,'Floor-U'!$I$4:$I$40)*N$15)+(LOOKUP(N$2,'Wall-U'!$A$4:$A$40,'Wall-U'!$I$4:$I$40)*N$12)+(LOOKUP(N$2,'Window-U'!$A$4:$A$40,'Window-U'!$I$4:$I$40)*N$21))*N$23</f>
        <v>130.79767764805538</v>
      </c>
      <c r="O29" s="177">
        <f>((LOOKUP(O$2,'Ceiling-U'!$A$4:$A$40,'Ceiling-U'!$I$4:$I$40)*O$14)+(LOOKUP(O$2,'Floor-U'!$A$4:$A$40,'Floor-U'!$I$4:$I$40)*O$15)+(LOOKUP(O$2,'Wall-U'!$A$4:$A$40,'Wall-U'!$I$4:$I$40)*O$12)+(LOOKUP(O$2,'Window-U'!$A$4:$A$40,'Window-U'!$I$4:$I$40)*O$21))*O$23</f>
        <v>171.33470039539949</v>
      </c>
      <c r="P29" s="177">
        <f>((LOOKUP(P$2,'Ceiling-U'!$A$4:$A$40,'Ceiling-U'!$I$4:$I$40)*P$14)+(LOOKUP(P$2,'Floor-U'!$A$4:$A$40,'Floor-U'!$I$4:$I$40)*P$15)+(LOOKUP(P$2,'Wall-U'!$A$4:$A$40,'Wall-U'!$I$4:$I$40)*P$12)+(LOOKUP(P$2,'Window-U'!$A$4:$A$40,'Window-U'!$I$4:$I$40)*P$21))*P$23</f>
        <v>775.30388597084971</v>
      </c>
      <c r="Q29" s="177">
        <f>((LOOKUP(Q$2,'Ceiling-U'!$A$4:$A$40,'Ceiling-U'!$I$4:$I$40)*Q$14)+(LOOKUP(Q$2,'Floor-U'!$A$4:$A$40,'Floor-U'!$I$4:$I$40)*Q$15)+(LOOKUP(Q$2,'Wall-U'!$A$4:$A$40,'Wall-U'!$I$4:$I$40)*Q$12)+(LOOKUP(Q$2,'Window-U'!$A$4:$A$40,'Window-U'!$I$4:$I$40)*Q$21))*Q$23</f>
        <v>238.15401446682432</v>
      </c>
      <c r="R29" s="177">
        <f>((LOOKUP(R$2,'Ceiling-U'!$A$4:$A$40,'Ceiling-U'!$I$4:$I$40)*R$14)+(LOOKUP(R$2,'Floor-U'!$A$4:$A$40,'Floor-U'!$I$4:$I$40)*R$15)+(LOOKUP(R$2,'Wall-U'!$A$4:$A$40,'Wall-U'!$I$4:$I$40)*R$12)+(LOOKUP(R$2,'Window-U'!$A$4:$A$40,'Window-U'!$I$4:$I$40)*R$21))*R$23</f>
        <v>283.0783657680721</v>
      </c>
      <c r="S29" s="177">
        <f>((LOOKUP(S$2,'Ceiling-U'!$A$4:$A$40,'Ceiling-U'!$I$4:$I$40)*S$14)+(LOOKUP(S$2,'Floor-U'!$A$4:$A$40,'Floor-U'!$I$4:$I$40)*S$15)+(LOOKUP(S$2,'Wall-U'!$A$4:$A$40,'Wall-U'!$I$4:$I$40)*S$12)+(LOOKUP(S$2,'Window-U'!$A$4:$A$40,'Window-U'!$I$4:$I$40)*S$21))*S$23</f>
        <v>304.79594228202552</v>
      </c>
      <c r="T29" s="177">
        <f>((LOOKUP(T$2,'Ceiling-U'!$A$4:$A$40,'Ceiling-U'!$I$4:$I$40)*T$14)+(LOOKUP(T$2,'Floor-U'!$A$4:$A$40,'Floor-U'!$I$4:$I$40)*T$15)+(LOOKUP(T$2,'Wall-U'!$A$4:$A$40,'Wall-U'!$I$4:$I$40)*T$12)+(LOOKUP(T$2,'Window-U'!$A$4:$A$40,'Window-U'!$I$4:$I$40)*T$21))*T$23</f>
        <v>130.79767764805538</v>
      </c>
      <c r="U29" s="177">
        <f>((LOOKUP(U$2,'Ceiling-U'!$A$4:$A$40,'Ceiling-U'!$I$4:$I$40)*U$14)+(LOOKUP(U$2,'Floor-U'!$A$4:$A$40,'Floor-U'!$I$4:$I$40)*U$15)+(LOOKUP(U$2,'Wall-U'!$A$4:$A$40,'Wall-U'!$I$4:$I$40)*U$12)+(LOOKUP(U$2,'Window-U'!$A$4:$A$40,'Window-U'!$I$4:$I$40)*U$21))*U$23</f>
        <v>443.99080064912789</v>
      </c>
      <c r="V29" s="177">
        <f>((LOOKUP(V$2,'Ceiling-U'!$A$4:$A$40,'Ceiling-U'!$I$4:$I$40)*V$14)+(LOOKUP(V$2,'Floor-U'!$A$4:$A$40,'Floor-U'!$I$4:$I$40)*V$15)+(LOOKUP(V$2,'Wall-U'!$A$4:$A$40,'Wall-U'!$I$4:$I$40)*V$12)+(LOOKUP(V$2,'Window-U'!$A$4:$A$40,'Window-U'!$I$4:$I$40)*V$21))*V$23</f>
        <v>205.05503322188488</v>
      </c>
      <c r="W29" s="177">
        <f>((LOOKUP(W$2,'Ceiling-U'!$A$4:$A$40,'Ceiling-U'!$I$4:$I$40)*W$14)+(LOOKUP(W$2,'Floor-U'!$A$4:$A$40,'Floor-U'!$I$4:$I$40)*W$15)+(LOOKUP(W$2,'Wall-U'!$A$4:$A$40,'Wall-U'!$I$4:$I$40)*W$12)+(LOOKUP(W$2,'Window-U'!$A$4:$A$40,'Window-U'!$I$4:$I$40)*W$21))*W$23</f>
        <v>164.56154927680234</v>
      </c>
      <c r="X29" s="177">
        <f>((LOOKUP(X$2,'Ceiling-U'!$A$4:$A$40,'Ceiling-U'!$I$4:$I$40)*X$14)+(LOOKUP(X$2,'Floor-U'!$A$4:$A$40,'Floor-U'!$I$4:$I$40)*X$15)+(LOOKUP(X$2,'Wall-U'!$A$4:$A$40,'Wall-U'!$I$4:$I$40)*X$12)+(LOOKUP(X$2,'Window-U'!$A$4:$A$40,'Window-U'!$I$4:$I$40)*X$21))*X$23</f>
        <v>179.20160030897802</v>
      </c>
      <c r="Y29" s="177">
        <f>((LOOKUP(Y$2,'Ceiling-U'!$A$4:$A$40,'Ceiling-U'!$I$4:$I$40)*Y$14)+(LOOKUP(Y$2,'Floor-U'!$A$4:$A$40,'Floor-U'!$I$4:$I$40)*Y$15)+(LOOKUP(Y$2,'Wall-U'!$A$4:$A$40,'Wall-U'!$I$4:$I$40)*Y$12)+(LOOKUP(Y$2,'Window-U'!$A$4:$A$40,'Window-U'!$I$4:$I$40)*Y$21))*Y$23</f>
        <v>700.38340103632254</v>
      </c>
      <c r="Z29" s="177">
        <f>((LOOKUP(Z$2,'Ceiling-U'!$A$4:$A$40,'Ceiling-U'!$I$4:$I$40)*Z$14)+(LOOKUP(Z$2,'Floor-U'!$A$4:$A$40,'Floor-U'!$I$4:$I$40)*Z$15)+(LOOKUP(Z$2,'Wall-U'!$A$4:$A$40,'Wall-U'!$I$4:$I$40)*Z$12)+(LOOKUP(Z$2,'Window-U'!$A$4:$A$40,'Window-U'!$I$4:$I$40)*Z$21))*Z$23</f>
        <v>284.50167522631818</v>
      </c>
      <c r="AA29" s="177">
        <f>((LOOKUP(AA$2,'Ceiling-U'!$A$4:$A$40,'Ceiling-U'!$I$4:$I$40)*AA$14)+(LOOKUP(AA$2,'Floor-U'!$A$4:$A$40,'Floor-U'!$I$4:$I$40)*AA$15)+(LOOKUP(AA$2,'Wall-U'!$A$4:$A$40,'Wall-U'!$I$4:$I$40)*AA$12)+(LOOKUP(AA$2,'Window-U'!$A$4:$A$40,'Window-U'!$I$4:$I$40)*AA$21))*AA$23</f>
        <v>131.96160563930067</v>
      </c>
      <c r="AB29" s="177">
        <f>((LOOKUP(AB$2,'Ceiling-U'!$A$4:$A$40,'Ceiling-U'!$I$4:$I$40)*AB$14)+(LOOKUP(AB$2,'Floor-U'!$A$4:$A$40,'Floor-U'!$I$4:$I$40)*AB$15)+(LOOKUP(AB$2,'Wall-U'!$A$4:$A$40,'Wall-U'!$I$4:$I$40)*AB$12)+(LOOKUP(AB$2,'Window-U'!$A$4:$A$40,'Window-U'!$I$4:$I$40)*AB$21))*AB$23</f>
        <v>274.93583619823528</v>
      </c>
      <c r="AC29" s="177">
        <f>((LOOKUP(AC$2,'Ceiling-U'!$A$4:$A$40,'Ceiling-U'!$I$4:$I$40)*AC$14)+(LOOKUP(AC$2,'Floor-U'!$A$4:$A$40,'Floor-U'!$I$4:$I$40)*AC$15)+(LOOKUP(AC$2,'Wall-U'!$A$4:$A$40,'Wall-U'!$I$4:$I$40)*AC$12)+(LOOKUP(AC$2,'Window-U'!$A$4:$A$40,'Window-U'!$I$4:$I$40)*AC$21))*AC$23</f>
        <v>670.38585218199773</v>
      </c>
      <c r="AD29" s="177">
        <f>((LOOKUP(AD$2,'Ceiling-U'!$A$4:$A$40,'Ceiling-U'!$I$4:$I$40)*AD$14)+(LOOKUP(AD$2,'Floor-U'!$A$4:$A$40,'Floor-U'!$I$4:$I$40)*AD$15)+(LOOKUP(AD$2,'Wall-U'!$A$4:$A$40,'Wall-U'!$I$4:$I$40)*AD$12)+(LOOKUP(AD$2,'Window-U'!$A$4:$A$40,'Window-U'!$I$4:$I$40)*AD$21))*AD$23</f>
        <v>357.63870302807953</v>
      </c>
      <c r="AE29" s="177">
        <f>((LOOKUP(AE$2,'Ceiling-U'!$A$4:$A$40,'Ceiling-U'!$I$4:$I$40)*AE$14)+(LOOKUP(AE$2,'Floor-U'!$A$4:$A$40,'Floor-U'!$I$4:$I$40)*AE$15)+(LOOKUP(AE$2,'Wall-U'!$A$4:$A$40,'Wall-U'!$I$4:$I$40)*AE$12)+(LOOKUP(AE$2,'Window-U'!$A$4:$A$40,'Window-U'!$I$4:$I$40)*AE$21))*AE$23</f>
        <v>131.96160563930067</v>
      </c>
      <c r="AF29" s="177">
        <f>((LOOKUP(AF$2,'Ceiling-U'!$A$4:$A$40,'Ceiling-U'!$I$4:$I$40)*AF$14)+(LOOKUP(AF$2,'Floor-U'!$A$4:$A$40,'Floor-U'!$I$4:$I$40)*AF$15)+(LOOKUP(AF$2,'Wall-U'!$A$4:$A$40,'Wall-U'!$I$4:$I$40)*AF$12)+(LOOKUP(AF$2,'Window-U'!$A$4:$A$40,'Window-U'!$I$4:$I$40)*AF$21))*AF$23</f>
        <v>200.79255153040339</v>
      </c>
      <c r="AG29" s="177">
        <f>((LOOKUP(AG$2,'Ceiling-U'!$A$4:$A$40,'Ceiling-U'!$I$4:$I$40)*AG$14)+(LOOKUP(AG$2,'Floor-U'!$A$4:$A$40,'Floor-U'!$I$4:$I$40)*AG$15)+(LOOKUP(AG$2,'Wall-U'!$A$4:$A$40,'Wall-U'!$I$4:$I$40)*AG$12)+(LOOKUP(AG$2,'Window-U'!$A$4:$A$40,'Window-U'!$I$4:$I$40)*AG$21))*AG$23</f>
        <v>375.56832874472485</v>
      </c>
      <c r="AH29" s="177">
        <f>((LOOKUP(AH$2,'Ceiling-U'!$A$4:$A$40,'Ceiling-U'!$I$4:$I$40)*AH$14)+(LOOKUP(AH$2,'Floor-U'!$A$4:$A$40,'Floor-U'!$I$4:$I$40)*AH$15)+(LOOKUP(AH$2,'Wall-U'!$A$4:$A$40,'Wall-U'!$I$4:$I$40)*AH$12)+(LOOKUP(AH$2,'Window-U'!$A$4:$A$40,'Window-U'!$I$4:$I$40)*AH$21))*AH$23</f>
        <v>174.06843357727723</v>
      </c>
      <c r="AI29" s="177">
        <f>((LOOKUP(AI$2,'Ceiling-U'!$A$4:$A$40,'Ceiling-U'!$I$4:$I$40)*AI$14)+(LOOKUP(AI$2,'Floor-U'!$A$4:$A$40,'Floor-U'!$I$4:$I$40)*AI$15)+(LOOKUP(AI$2,'Wall-U'!$A$4:$A$40,'Wall-U'!$I$4:$I$40)*AI$12)+(LOOKUP(AI$2,'Window-U'!$A$4:$A$40,'Window-U'!$I$4:$I$40)*AI$21))*AI$23</f>
        <v>775.30388597084971</v>
      </c>
      <c r="AJ29" s="177">
        <f>((LOOKUP(AJ$2,'Ceiling-U'!$A$4:$A$40,'Ceiling-U'!$I$4:$I$40)*AJ$14)+(LOOKUP(AJ$2,'Floor-U'!$A$4:$A$40,'Floor-U'!$I$4:$I$40)*AJ$15)+(LOOKUP(AJ$2,'Wall-U'!$A$4:$A$40,'Wall-U'!$I$4:$I$40)*AJ$12)+(LOOKUP(AJ$2,'Window-U'!$A$4:$A$40,'Window-U'!$I$4:$I$40)*AJ$21))*AJ$23</f>
        <v>300.75411265930791</v>
      </c>
      <c r="AK29" s="177">
        <f>((LOOKUP(AK$2,'Ceiling-U'!$A$4:$A$40,'Ceiling-U'!$I$4:$I$40)*AK$14)+(LOOKUP(AK$2,'Floor-U'!$A$4:$A$40,'Floor-U'!$I$4:$I$40)*AK$15)+(LOOKUP(AK$2,'Wall-U'!$A$4:$A$40,'Wall-U'!$I$4:$I$40)*AK$12)+(LOOKUP(AK$2,'Window-U'!$A$4:$A$40,'Window-U'!$I$4:$I$40)*AK$21))*AK$23</f>
        <v>349.72020991042484</v>
      </c>
      <c r="AL29" s="177">
        <f>((LOOKUP(AL$2,'Ceiling-U'!$A$4:$A$40,'Ceiling-U'!$I$4:$I$40)*AL$14)+(LOOKUP(AL$2,'Floor-U'!$A$4:$A$40,'Floor-U'!$I$4:$I$40)*AL$15)+(LOOKUP(AL$2,'Wall-U'!$A$4:$A$40,'Wall-U'!$I$4:$I$40)*AL$12)+(LOOKUP(AL$2,'Window-U'!$A$4:$A$40,'Window-U'!$I$4:$I$40)*AL$21))*AL$23</f>
        <v>242.31195528081781</v>
      </c>
      <c r="AM29" s="177">
        <f>((LOOKUP(AM$2,'Ceiling-U'!$A$4:$A$40,'Ceiling-U'!$I$4:$I$40)*AM$14)+(LOOKUP(AM$2,'Floor-U'!$A$4:$A$40,'Floor-U'!$I$4:$I$40)*AM$15)+(LOOKUP(AM$2,'Wall-U'!$A$4:$A$40,'Wall-U'!$I$4:$I$40)*AM$12)+(LOOKUP(AM$2,'Window-U'!$A$4:$A$40,'Window-U'!$I$4:$I$40)*AM$21))*AM$23</f>
        <v>300.75411265930791</v>
      </c>
      <c r="AN29" s="178">
        <f>((LOOKUP(AN$2,'Ceiling-U'!$A$4:$A$40,'Ceiling-U'!$I$4:$I$40)*AN$14)+(LOOKUP(AN$2,'Floor-U'!$A$4:$A$40,'Floor-U'!$I$4:$I$40)*AN$15)+(LOOKUP(AN$2,'Wall-U'!$A$4:$A$40,'Wall-U'!$I$4:$I$40)*AN$12)+(LOOKUP(AN$2,'Window-U'!$A$4:$A$40,'Window-U'!$I$4:$I$40)*AN$21))*AN$23</f>
        <v>300.75411265930791</v>
      </c>
    </row>
    <row r="30" spans="1:40">
      <c r="A30" s="129"/>
      <c r="B30" s="142" t="s">
        <v>7</v>
      </c>
      <c r="C30" s="129" t="s">
        <v>195</v>
      </c>
      <c r="D30" s="176">
        <f>((LOOKUP(D$2,'Ceiling-U'!$A$4:$A$40,'Ceiling-U'!$J$4:$J$40)*D$14)+(LOOKUP(D$2,'Floor-U'!$A$4:$A$40,'Floor-U'!$J$4:$J$40)*D$15)+(LOOKUP(D$2,'Wall-U'!$A$4:$A$40,'Wall-U'!$J$4:$J$40)*D$12)+(LOOKUP(D$2,'Window-U'!$A$4:$A$40,'Window-U'!$J$4:$J$40)*D$21))*D$23</f>
        <v>173.72229258666135</v>
      </c>
      <c r="E30" s="177">
        <f>((LOOKUP(E$2,'Ceiling-U'!$A$4:$A$40,'Ceiling-U'!$J$4:$J$40)*E$14)+(LOOKUP(E$2,'Floor-U'!$A$4:$A$40,'Floor-U'!$J$4:$J$40)*E$15)+(LOOKUP(E$2,'Wall-U'!$A$4:$A$40,'Wall-U'!$J$4:$J$40)*E$12)+(LOOKUP(E$2,'Window-U'!$A$4:$A$40,'Window-U'!$J$4:$J$40)*E$21))*E$23</f>
        <v>294.62508693243615</v>
      </c>
      <c r="F30" s="177">
        <f>((LOOKUP(F$2,'Ceiling-U'!$A$4:$A$40,'Ceiling-U'!$J$4:$J$40)*F$14)+(LOOKUP(F$2,'Floor-U'!$A$4:$A$40,'Floor-U'!$J$4:$J$40)*F$15)+(LOOKUP(F$2,'Wall-U'!$A$4:$A$40,'Wall-U'!$J$4:$J$40)*F$12)+(LOOKUP(F$2,'Window-U'!$A$4:$A$40,'Window-U'!$J$4:$J$40)*F$21))*F$23</f>
        <v>151.70684595710139</v>
      </c>
      <c r="G30" s="177">
        <f>((LOOKUP(G$2,'Ceiling-U'!$A$4:$A$40,'Ceiling-U'!$J$4:$J$40)*G$14)+(LOOKUP(G$2,'Floor-U'!$A$4:$A$40,'Floor-U'!$J$4:$J$40)*G$15)+(LOOKUP(G$2,'Wall-U'!$A$4:$A$40,'Wall-U'!$J$4:$J$40)*G$12)+(LOOKUP(G$2,'Window-U'!$A$4:$A$40,'Window-U'!$J$4:$J$40)*G$21))*G$23</f>
        <v>173.72229258666135</v>
      </c>
      <c r="H30" s="177">
        <f>((LOOKUP(H$2,'Ceiling-U'!$A$4:$A$40,'Ceiling-U'!$J$4:$J$40)*H$14)+(LOOKUP(H$2,'Floor-U'!$A$4:$A$40,'Floor-U'!$J$4:$J$40)*H$15)+(LOOKUP(H$2,'Wall-U'!$A$4:$A$40,'Wall-U'!$J$4:$J$40)*H$12)+(LOOKUP(H$2,'Window-U'!$A$4:$A$40,'Window-U'!$J$4:$J$40)*H$21))*H$23</f>
        <v>537.64236576611461</v>
      </c>
      <c r="I30" s="177">
        <f>((LOOKUP(I$2,'Ceiling-U'!$A$4:$A$40,'Ceiling-U'!$J$4:$J$40)*I$14)+(LOOKUP(I$2,'Floor-U'!$A$4:$A$40,'Floor-U'!$J$4:$J$40)*I$15)+(LOOKUP(I$2,'Wall-U'!$A$4:$A$40,'Wall-U'!$J$4:$J$40)*I$12)+(LOOKUP(I$2,'Window-U'!$A$4:$A$40,'Window-U'!$J$4:$J$40)*I$21))*I$23</f>
        <v>154.89592140634818</v>
      </c>
      <c r="J30" s="177">
        <f>((LOOKUP(J$2,'Ceiling-U'!$A$4:$A$40,'Ceiling-U'!$J$4:$J$40)*J$14)+(LOOKUP(J$2,'Floor-U'!$A$4:$A$40,'Floor-U'!$J$4:$J$40)*J$15)+(LOOKUP(J$2,'Wall-U'!$A$4:$A$40,'Wall-U'!$J$4:$J$40)*J$12)+(LOOKUP(J$2,'Window-U'!$A$4:$A$40,'Window-U'!$J$4:$J$40)*J$21))*J$23</f>
        <v>145.76766596449141</v>
      </c>
      <c r="K30" s="177">
        <f>((LOOKUP(K$2,'Ceiling-U'!$A$4:$A$40,'Ceiling-U'!$J$4:$J$40)*K$14)+(LOOKUP(K$2,'Floor-U'!$A$4:$A$40,'Floor-U'!$J$4:$J$40)*K$15)+(LOOKUP(K$2,'Wall-U'!$A$4:$A$40,'Wall-U'!$J$4:$J$40)*K$12)+(LOOKUP(K$2,'Window-U'!$A$4:$A$40,'Window-U'!$J$4:$J$40)*K$21))*K$23</f>
        <v>123.03289768099056</v>
      </c>
      <c r="L30" s="177">
        <f>((LOOKUP(L$2,'Ceiling-U'!$A$4:$A$40,'Ceiling-U'!$J$4:$J$40)*L$14)+(LOOKUP(L$2,'Floor-U'!$A$4:$A$40,'Floor-U'!$J$4:$J$40)*L$15)+(LOOKUP(L$2,'Wall-U'!$A$4:$A$40,'Wall-U'!$J$4:$J$40)*L$12)+(LOOKUP(L$2,'Window-U'!$A$4:$A$40,'Window-U'!$J$4:$J$40)*L$21))*L$23</f>
        <v>83.765712921260985</v>
      </c>
      <c r="M30" s="177">
        <f>((LOOKUP(M$2,'Ceiling-U'!$A$4:$A$40,'Ceiling-U'!$J$4:$J$40)*M$14)+(LOOKUP(M$2,'Floor-U'!$A$4:$A$40,'Floor-U'!$J$4:$J$40)*M$15)+(LOOKUP(M$2,'Wall-U'!$A$4:$A$40,'Wall-U'!$J$4:$J$40)*M$12)+(LOOKUP(M$2,'Window-U'!$A$4:$A$40,'Window-U'!$J$4:$J$40)*M$21))*M$23</f>
        <v>319.19748966889927</v>
      </c>
      <c r="N30" s="177">
        <f>((LOOKUP(N$2,'Ceiling-U'!$A$4:$A$40,'Ceiling-U'!$J$4:$J$40)*N$14)+(LOOKUP(N$2,'Floor-U'!$A$4:$A$40,'Floor-U'!$J$4:$J$40)*N$15)+(LOOKUP(N$2,'Wall-U'!$A$4:$A$40,'Wall-U'!$J$4:$J$40)*N$12)+(LOOKUP(N$2,'Window-U'!$A$4:$A$40,'Window-U'!$J$4:$J$40)*N$21))*N$23</f>
        <v>114.74951763748</v>
      </c>
      <c r="O30" s="177">
        <f>((LOOKUP(O$2,'Ceiling-U'!$A$4:$A$40,'Ceiling-U'!$J$4:$J$40)*O$14)+(LOOKUP(O$2,'Floor-U'!$A$4:$A$40,'Floor-U'!$J$4:$J$40)*O$15)+(LOOKUP(O$2,'Wall-U'!$A$4:$A$40,'Wall-U'!$J$4:$J$40)*O$12)+(LOOKUP(O$2,'Window-U'!$A$4:$A$40,'Window-U'!$J$4:$J$40)*O$21))*O$23</f>
        <v>164.66363094300124</v>
      </c>
      <c r="P30" s="177">
        <f>((LOOKUP(P$2,'Ceiling-U'!$A$4:$A$40,'Ceiling-U'!$J$4:$J$40)*P$14)+(LOOKUP(P$2,'Floor-U'!$A$4:$A$40,'Floor-U'!$J$4:$J$40)*P$15)+(LOOKUP(P$2,'Wall-U'!$A$4:$A$40,'Wall-U'!$J$4:$J$40)*P$12)+(LOOKUP(P$2,'Window-U'!$A$4:$A$40,'Window-U'!$J$4:$J$40)*P$21))*P$23</f>
        <v>264.35027097612766</v>
      </c>
      <c r="Q30" s="177">
        <f>((LOOKUP(Q$2,'Ceiling-U'!$A$4:$A$40,'Ceiling-U'!$J$4:$J$40)*Q$14)+(LOOKUP(Q$2,'Floor-U'!$A$4:$A$40,'Floor-U'!$J$4:$J$40)*Q$15)+(LOOKUP(Q$2,'Wall-U'!$A$4:$A$40,'Wall-U'!$J$4:$J$40)*Q$12)+(LOOKUP(Q$2,'Window-U'!$A$4:$A$40,'Window-U'!$J$4:$J$40)*Q$21))*Q$23</f>
        <v>139.71056162185425</v>
      </c>
      <c r="R30" s="177">
        <f>((LOOKUP(R$2,'Ceiling-U'!$A$4:$A$40,'Ceiling-U'!$J$4:$J$40)*R$14)+(LOOKUP(R$2,'Floor-U'!$A$4:$A$40,'Floor-U'!$J$4:$J$40)*R$15)+(LOOKUP(R$2,'Wall-U'!$A$4:$A$40,'Wall-U'!$J$4:$J$40)*R$12)+(LOOKUP(R$2,'Window-U'!$A$4:$A$40,'Window-U'!$J$4:$J$40)*R$21))*R$23</f>
        <v>159.75173946407182</v>
      </c>
      <c r="S30" s="177">
        <f>((LOOKUP(S$2,'Ceiling-U'!$A$4:$A$40,'Ceiling-U'!$J$4:$J$40)*S$14)+(LOOKUP(S$2,'Floor-U'!$A$4:$A$40,'Floor-U'!$J$4:$J$40)*S$15)+(LOOKUP(S$2,'Wall-U'!$A$4:$A$40,'Wall-U'!$J$4:$J$40)*S$12)+(LOOKUP(S$2,'Window-U'!$A$4:$A$40,'Window-U'!$J$4:$J$40)*S$21))*S$23</f>
        <v>180.95539436316602</v>
      </c>
      <c r="T30" s="177">
        <f>((LOOKUP(T$2,'Ceiling-U'!$A$4:$A$40,'Ceiling-U'!$J$4:$J$40)*T$14)+(LOOKUP(T$2,'Floor-U'!$A$4:$A$40,'Floor-U'!$J$4:$J$40)*T$15)+(LOOKUP(T$2,'Wall-U'!$A$4:$A$40,'Wall-U'!$J$4:$J$40)*T$12)+(LOOKUP(T$2,'Window-U'!$A$4:$A$40,'Window-U'!$J$4:$J$40)*T$21))*T$23</f>
        <v>114.74951763748</v>
      </c>
      <c r="U30" s="177">
        <f>((LOOKUP(U$2,'Ceiling-U'!$A$4:$A$40,'Ceiling-U'!$J$4:$J$40)*U$14)+(LOOKUP(U$2,'Floor-U'!$A$4:$A$40,'Floor-U'!$J$4:$J$40)*U$15)+(LOOKUP(U$2,'Wall-U'!$A$4:$A$40,'Wall-U'!$J$4:$J$40)*U$12)+(LOOKUP(U$2,'Window-U'!$A$4:$A$40,'Window-U'!$J$4:$J$40)*U$21))*U$23</f>
        <v>413.99080064912789</v>
      </c>
      <c r="V30" s="177">
        <f>((LOOKUP(V$2,'Ceiling-U'!$A$4:$A$40,'Ceiling-U'!$J$4:$J$40)*V$14)+(LOOKUP(V$2,'Floor-U'!$A$4:$A$40,'Floor-U'!$J$4:$J$40)*V$15)+(LOOKUP(V$2,'Wall-U'!$A$4:$A$40,'Wall-U'!$J$4:$J$40)*V$12)+(LOOKUP(V$2,'Window-U'!$A$4:$A$40,'Window-U'!$J$4:$J$40)*V$21))*V$23</f>
        <v>113.5310734937533</v>
      </c>
      <c r="W30" s="177">
        <f>((LOOKUP(W$2,'Ceiling-U'!$A$4:$A$40,'Ceiling-U'!$J$4:$J$40)*W$14)+(LOOKUP(W$2,'Floor-U'!$A$4:$A$40,'Floor-U'!$J$4:$J$40)*W$15)+(LOOKUP(W$2,'Wall-U'!$A$4:$A$40,'Wall-U'!$J$4:$J$40)*W$12)+(LOOKUP(W$2,'Window-U'!$A$4:$A$40,'Window-U'!$J$4:$J$40)*W$21))*W$23</f>
        <v>127.97947891237155</v>
      </c>
      <c r="X30" s="177">
        <f>((LOOKUP(X$2,'Ceiling-U'!$A$4:$A$40,'Ceiling-U'!$J$4:$J$40)*X$14)+(LOOKUP(X$2,'Floor-U'!$A$4:$A$40,'Floor-U'!$J$4:$J$40)*X$15)+(LOOKUP(X$2,'Wall-U'!$A$4:$A$40,'Wall-U'!$J$4:$J$40)*X$12)+(LOOKUP(X$2,'Window-U'!$A$4:$A$40,'Window-U'!$J$4:$J$40)*X$21))*X$23</f>
        <v>106.90257611123209</v>
      </c>
      <c r="Y30" s="177">
        <f>((LOOKUP(Y$2,'Ceiling-U'!$A$4:$A$40,'Ceiling-U'!$J$4:$J$40)*Y$14)+(LOOKUP(Y$2,'Floor-U'!$A$4:$A$40,'Floor-U'!$J$4:$J$40)*Y$15)+(LOOKUP(Y$2,'Wall-U'!$A$4:$A$40,'Wall-U'!$J$4:$J$40)*Y$12)+(LOOKUP(Y$2,'Window-U'!$A$4:$A$40,'Window-U'!$J$4:$J$40)*Y$21))*Y$23</f>
        <v>668.2944111245356</v>
      </c>
      <c r="Z30" s="177">
        <f>((LOOKUP(Z$2,'Ceiling-U'!$A$4:$A$40,'Ceiling-U'!$J$4:$J$40)*Z$14)+(LOOKUP(Z$2,'Floor-U'!$A$4:$A$40,'Floor-U'!$J$4:$J$40)*Z$15)+(LOOKUP(Z$2,'Wall-U'!$A$4:$A$40,'Wall-U'!$J$4:$J$40)*Z$12)+(LOOKUP(Z$2,'Window-U'!$A$4:$A$40,'Window-U'!$J$4:$J$40)*Z$21))*Z$23</f>
        <v>190.42476532138329</v>
      </c>
      <c r="AA30" s="177">
        <f>((LOOKUP(AA$2,'Ceiling-U'!$A$4:$A$40,'Ceiling-U'!$J$4:$J$40)*AA$14)+(LOOKUP(AA$2,'Floor-U'!$A$4:$A$40,'Floor-U'!$J$4:$J$40)*AA$15)+(LOOKUP(AA$2,'Wall-U'!$A$4:$A$40,'Wall-U'!$J$4:$J$40)*AA$12)+(LOOKUP(AA$2,'Window-U'!$A$4:$A$40,'Window-U'!$J$4:$J$40)*AA$21))*AA$23</f>
        <v>111.87924563930069</v>
      </c>
      <c r="AB30" s="177">
        <f>((LOOKUP(AB$2,'Ceiling-U'!$A$4:$A$40,'Ceiling-U'!$J$4:$J$40)*AB$14)+(LOOKUP(AB$2,'Floor-U'!$A$4:$A$40,'Floor-U'!$J$4:$J$40)*AB$15)+(LOOKUP(AB$2,'Wall-U'!$A$4:$A$40,'Wall-U'!$J$4:$J$40)*AB$12)+(LOOKUP(AB$2,'Window-U'!$A$4:$A$40,'Window-U'!$J$4:$J$40)*AB$21))*AB$23</f>
        <v>211.19188389612049</v>
      </c>
      <c r="AC30" s="177">
        <f>((LOOKUP(AC$2,'Ceiling-U'!$A$4:$A$40,'Ceiling-U'!$J$4:$J$40)*AC$14)+(LOOKUP(AC$2,'Floor-U'!$A$4:$A$40,'Floor-U'!$J$4:$J$40)*AC$15)+(LOOKUP(AC$2,'Wall-U'!$A$4:$A$40,'Wall-U'!$J$4:$J$40)*AC$12)+(LOOKUP(AC$2,'Window-U'!$A$4:$A$40,'Window-U'!$J$4:$J$40)*AC$21))*AC$23</f>
        <v>425.66269641230269</v>
      </c>
      <c r="AD30" s="177">
        <f>((LOOKUP(AD$2,'Ceiling-U'!$A$4:$A$40,'Ceiling-U'!$J$4:$J$40)*AD$14)+(LOOKUP(AD$2,'Floor-U'!$A$4:$A$40,'Floor-U'!$J$4:$J$40)*AD$15)+(LOOKUP(AD$2,'Wall-U'!$A$4:$A$40,'Wall-U'!$J$4:$J$40)*AD$12)+(LOOKUP(AD$2,'Window-U'!$A$4:$A$40,'Window-U'!$J$4:$J$40)*AD$21))*AD$23</f>
        <v>265.41910390886278</v>
      </c>
      <c r="AE30" s="177">
        <f>((LOOKUP(AE$2,'Ceiling-U'!$A$4:$A$40,'Ceiling-U'!$J$4:$J$40)*AE$14)+(LOOKUP(AE$2,'Floor-U'!$A$4:$A$40,'Floor-U'!$J$4:$J$40)*AE$15)+(LOOKUP(AE$2,'Wall-U'!$A$4:$A$40,'Wall-U'!$J$4:$J$40)*AE$12)+(LOOKUP(AE$2,'Window-U'!$A$4:$A$40,'Window-U'!$J$4:$J$40)*AE$21))*AE$23</f>
        <v>111.87924563930069</v>
      </c>
      <c r="AF30" s="177">
        <f>((LOOKUP(AF$2,'Ceiling-U'!$A$4:$A$40,'Ceiling-U'!$J$4:$J$40)*AF$14)+(LOOKUP(AF$2,'Floor-U'!$A$4:$A$40,'Floor-U'!$J$4:$J$40)*AF$15)+(LOOKUP(AF$2,'Wall-U'!$A$4:$A$40,'Wall-U'!$J$4:$J$40)*AF$12)+(LOOKUP(AF$2,'Window-U'!$A$4:$A$40,'Window-U'!$J$4:$J$40)*AF$21))*AF$23</f>
        <v>107.58733393418825</v>
      </c>
      <c r="AG30" s="177">
        <f>((LOOKUP(AG$2,'Ceiling-U'!$A$4:$A$40,'Ceiling-U'!$J$4:$J$40)*AG$14)+(LOOKUP(AG$2,'Floor-U'!$A$4:$A$40,'Floor-U'!$J$4:$J$40)*AG$15)+(LOOKUP(AG$2,'Wall-U'!$A$4:$A$40,'Wall-U'!$J$4:$J$40)*AG$12)+(LOOKUP(AG$2,'Window-U'!$A$4:$A$40,'Window-U'!$J$4:$J$40)*AG$21))*AG$23</f>
        <v>204.81754556507343</v>
      </c>
      <c r="AH30" s="177">
        <f>((LOOKUP(AH$2,'Ceiling-U'!$A$4:$A$40,'Ceiling-U'!$J$4:$J$40)*AH$14)+(LOOKUP(AH$2,'Floor-U'!$A$4:$A$40,'Floor-U'!$J$4:$J$40)*AH$15)+(LOOKUP(AH$2,'Wall-U'!$A$4:$A$40,'Wall-U'!$J$4:$J$40)*AH$12)+(LOOKUP(AH$2,'Window-U'!$A$4:$A$40,'Window-U'!$J$4:$J$40)*AH$21))*AH$23</f>
        <v>141.31615558597656</v>
      </c>
      <c r="AI30" s="177">
        <f>((LOOKUP(AI$2,'Ceiling-U'!$A$4:$A$40,'Ceiling-U'!$J$4:$J$40)*AI$14)+(LOOKUP(AI$2,'Floor-U'!$A$4:$A$40,'Floor-U'!$J$4:$J$40)*AI$15)+(LOOKUP(AI$2,'Wall-U'!$A$4:$A$40,'Wall-U'!$J$4:$J$40)*AI$12)+(LOOKUP(AI$2,'Window-U'!$A$4:$A$40,'Window-U'!$J$4:$J$40)*AI$21))*AI$23</f>
        <v>264.35027097612766</v>
      </c>
      <c r="AJ30" s="177">
        <f>((LOOKUP(AJ$2,'Ceiling-U'!$A$4:$A$40,'Ceiling-U'!$J$4:$J$40)*AJ$14)+(LOOKUP(AJ$2,'Floor-U'!$A$4:$A$40,'Floor-U'!$J$4:$J$40)*AJ$15)+(LOOKUP(AJ$2,'Wall-U'!$A$4:$A$40,'Wall-U'!$J$4:$J$40)*AJ$12)+(LOOKUP(AJ$2,'Window-U'!$A$4:$A$40,'Window-U'!$J$4:$J$40)*AJ$21))*AJ$23</f>
        <v>253.51864011088259</v>
      </c>
      <c r="AK30" s="177">
        <f>((LOOKUP(AK$2,'Ceiling-U'!$A$4:$A$40,'Ceiling-U'!$J$4:$J$40)*AK$14)+(LOOKUP(AK$2,'Floor-U'!$A$4:$A$40,'Floor-U'!$J$4:$J$40)*AK$15)+(LOOKUP(AK$2,'Wall-U'!$A$4:$A$40,'Wall-U'!$J$4:$J$40)*AK$12)+(LOOKUP(AK$2,'Window-U'!$A$4:$A$40,'Window-U'!$J$4:$J$40)*AK$21))*AK$23</f>
        <v>295.41345793977939</v>
      </c>
      <c r="AL30" s="177">
        <f>((LOOKUP(AL$2,'Ceiling-U'!$A$4:$A$40,'Ceiling-U'!$J$4:$J$40)*AL$14)+(LOOKUP(AL$2,'Floor-U'!$A$4:$A$40,'Floor-U'!$J$4:$J$40)*AL$15)+(LOOKUP(AL$2,'Wall-U'!$A$4:$A$40,'Wall-U'!$J$4:$J$40)*AL$12)+(LOOKUP(AL$2,'Window-U'!$A$4:$A$40,'Window-U'!$J$4:$J$40)*AL$21))*AL$23</f>
        <v>156.96652778122404</v>
      </c>
      <c r="AM30" s="177">
        <f>((LOOKUP(AM$2,'Ceiling-U'!$A$4:$A$40,'Ceiling-U'!$J$4:$J$40)*AM$14)+(LOOKUP(AM$2,'Floor-U'!$A$4:$A$40,'Floor-U'!$J$4:$J$40)*AM$15)+(LOOKUP(AM$2,'Wall-U'!$A$4:$A$40,'Wall-U'!$J$4:$J$40)*AM$12)+(LOOKUP(AM$2,'Window-U'!$A$4:$A$40,'Window-U'!$J$4:$J$40)*AM$21))*AM$23</f>
        <v>253.51864011088259</v>
      </c>
      <c r="AN30" s="178">
        <f>((LOOKUP(AN$2,'Ceiling-U'!$A$4:$A$40,'Ceiling-U'!$J$4:$J$40)*AN$14)+(LOOKUP(AN$2,'Floor-U'!$A$4:$A$40,'Floor-U'!$J$4:$J$40)*AN$15)+(LOOKUP(AN$2,'Wall-U'!$A$4:$A$40,'Wall-U'!$J$4:$J$40)*AN$12)+(LOOKUP(AN$2,'Window-U'!$A$4:$A$40,'Window-U'!$J$4:$J$40)*AN$21))*AN$23</f>
        <v>253.51864011088259</v>
      </c>
    </row>
    <row r="31" spans="1:40">
      <c r="A31" s="121"/>
      <c r="B31" s="143" t="s">
        <v>259</v>
      </c>
      <c r="C31" s="121" t="s">
        <v>195</v>
      </c>
      <c r="D31" s="197">
        <f>((LOOKUP(D$2,'Ceiling-U'!$A$4:$A$40,'Ceiling-U'!$K$4:$K$40)*D$14)+(LOOKUP(D$2,'Floor-U'!$A$4:$A$40,'Floor-U'!$K$4:$K$40)*D$15)+(LOOKUP(D$2,'Wall-U'!$A$4:$A$40,'Wall-U'!$K$4:$K$40)*D$12)+(LOOKUP(D$2,'Window-U'!$A$4:$A$40,'Window-U'!$K$4:$K$40)*D$21))*D$23</f>
        <v>386.8023652243142</v>
      </c>
      <c r="E31" s="198">
        <f>((LOOKUP(E$2,'Ceiling-U'!$A$4:$A$40,'Ceiling-U'!$K$4:$K$40)*E$14)+(LOOKUP(E$2,'Floor-U'!$A$4:$A$40,'Floor-U'!$K$4:$K$40)*E$15)+(LOOKUP(E$2,'Wall-U'!$A$4:$A$40,'Wall-U'!$K$4:$K$40)*E$12)+(LOOKUP(E$2,'Window-U'!$A$4:$A$40,'Window-U'!$K$4:$K$40)*E$21))*E$23</f>
        <v>608.47272697254698</v>
      </c>
      <c r="F31" s="198">
        <f>((LOOKUP(F$2,'Ceiling-U'!$A$4:$A$40,'Ceiling-U'!$K$4:$K$40)*F$14)+(LOOKUP(F$2,'Floor-U'!$A$4:$A$40,'Floor-U'!$K$4:$K$40)*F$15)+(LOOKUP(F$2,'Wall-U'!$A$4:$A$40,'Wall-U'!$K$4:$K$40)*F$12)+(LOOKUP(F$2,'Window-U'!$A$4:$A$40,'Window-U'!$K$4:$K$40)*F$21))*F$23</f>
        <v>310.75068039977805</v>
      </c>
      <c r="G31" s="198">
        <f>((LOOKUP(G$2,'Ceiling-U'!$A$4:$A$40,'Ceiling-U'!$K$4:$K$40)*G$14)+(LOOKUP(G$2,'Floor-U'!$A$4:$A$40,'Floor-U'!$K$4:$K$40)*G$15)+(LOOKUP(G$2,'Wall-U'!$A$4:$A$40,'Wall-U'!$K$4:$K$40)*G$12)+(LOOKUP(G$2,'Window-U'!$A$4:$A$40,'Window-U'!$K$4:$K$40)*G$21))*G$23</f>
        <v>386.80236522431426</v>
      </c>
      <c r="H31" s="198">
        <f>((LOOKUP(H$2,'Ceiling-U'!$A$4:$A$40,'Ceiling-U'!$K$4:$K$40)*H$14)+(LOOKUP(H$2,'Floor-U'!$A$4:$A$40,'Floor-U'!$K$4:$K$40)*H$15)+(LOOKUP(H$2,'Wall-U'!$A$4:$A$40,'Wall-U'!$K$4:$K$40)*H$12)+(LOOKUP(H$2,'Window-U'!$A$4:$A$40,'Window-U'!$K$4:$K$40)*H$21))*H$23</f>
        <v>655.23383388092793</v>
      </c>
      <c r="I31" s="198">
        <f>((LOOKUP(I$2,'Ceiling-U'!$A$4:$A$40,'Ceiling-U'!$K$4:$K$40)*I$14)+(LOOKUP(I$2,'Floor-U'!$A$4:$A$40,'Floor-U'!$K$4:$K$40)*I$15)+(LOOKUP(I$2,'Wall-U'!$A$4:$A$40,'Wall-U'!$K$4:$K$40)*I$12)+(LOOKUP(I$2,'Window-U'!$A$4:$A$40,'Window-U'!$K$4:$K$40)*I$21))*I$23</f>
        <v>307.5718649635383</v>
      </c>
      <c r="J31" s="198">
        <f>((LOOKUP(J$2,'Ceiling-U'!$A$4:$A$40,'Ceiling-U'!$K$4:$K$40)*J$14)+(LOOKUP(J$2,'Floor-U'!$A$4:$A$40,'Floor-U'!$K$4:$K$40)*J$15)+(LOOKUP(J$2,'Wall-U'!$A$4:$A$40,'Wall-U'!$K$4:$K$40)*J$12)+(LOOKUP(J$2,'Window-U'!$A$4:$A$40,'Window-U'!$K$4:$K$40)*J$21))*J$23</f>
        <v>407.15227392804138</v>
      </c>
      <c r="K31" s="198">
        <f>((LOOKUP(K$2,'Ceiling-U'!$A$4:$A$40,'Ceiling-U'!$K$4:$K$40)*K$14)+(LOOKUP(K$2,'Floor-U'!$A$4:$A$40,'Floor-U'!$K$4:$K$40)*K$15)+(LOOKUP(K$2,'Wall-U'!$A$4:$A$40,'Wall-U'!$K$4:$K$40)*K$12)+(LOOKUP(K$2,'Window-U'!$A$4:$A$40,'Window-U'!$K$4:$K$40)*K$21))*K$23</f>
        <v>276.15543891647383</v>
      </c>
      <c r="L31" s="198">
        <f>((LOOKUP(L$2,'Ceiling-U'!$A$4:$A$40,'Ceiling-U'!$K$4:$K$40)*L$14)+(LOOKUP(L$2,'Floor-U'!$A$4:$A$40,'Floor-U'!$K$4:$K$40)*L$15)+(LOOKUP(L$2,'Wall-U'!$A$4:$A$40,'Wall-U'!$K$4:$K$40)*L$12)+(LOOKUP(L$2,'Window-U'!$A$4:$A$40,'Window-U'!$K$4:$K$40)*L$21))*L$23</f>
        <v>139.39213159424531</v>
      </c>
      <c r="M31" s="198">
        <f>((LOOKUP(M$2,'Ceiling-U'!$A$4:$A$40,'Ceiling-U'!$K$4:$K$40)*M$14)+(LOOKUP(M$2,'Floor-U'!$A$4:$A$40,'Floor-U'!$K$4:$K$40)*M$15)+(LOOKUP(M$2,'Wall-U'!$A$4:$A$40,'Wall-U'!$K$4:$K$40)*M$12)+(LOOKUP(M$2,'Window-U'!$A$4:$A$40,'Window-U'!$K$4:$K$40)*M$21))*M$23</f>
        <v>648.21474718989793</v>
      </c>
      <c r="N31" s="198">
        <f>((LOOKUP(N$2,'Ceiling-U'!$A$4:$A$40,'Ceiling-U'!$K$4:$K$40)*N$14)+(LOOKUP(N$2,'Floor-U'!$A$4:$A$40,'Floor-U'!$K$4:$K$40)*N$15)+(LOOKUP(N$2,'Wall-U'!$A$4:$A$40,'Wall-U'!$K$4:$K$40)*N$12)+(LOOKUP(N$2,'Window-U'!$A$4:$A$40,'Window-U'!$K$4:$K$40)*N$21))*N$23</f>
        <v>169.76274541888137</v>
      </c>
      <c r="O31" s="198">
        <f>((LOOKUP(O$2,'Ceiling-U'!$A$4:$A$40,'Ceiling-U'!$K$4:$K$40)*O$14)+(LOOKUP(O$2,'Floor-U'!$A$4:$A$40,'Floor-U'!$K$4:$K$40)*O$15)+(LOOKUP(O$2,'Wall-U'!$A$4:$A$40,'Wall-U'!$K$4:$K$40)*O$12)+(LOOKUP(O$2,'Window-U'!$A$4:$A$40,'Window-U'!$K$4:$K$40)*O$21))*O$23</f>
        <v>550.80627549321991</v>
      </c>
      <c r="P31" s="198">
        <f>((LOOKUP(P$2,'Ceiling-U'!$A$4:$A$40,'Ceiling-U'!$K$4:$K$40)*P$14)+(LOOKUP(P$2,'Floor-U'!$A$4:$A$40,'Floor-U'!$K$4:$K$40)*P$15)+(LOOKUP(P$2,'Wall-U'!$A$4:$A$40,'Wall-U'!$K$4:$K$40)*P$12)+(LOOKUP(P$2,'Window-U'!$A$4:$A$40,'Window-U'!$K$4:$K$40)*P$21))*P$23</f>
        <v>758.03040245647207</v>
      </c>
      <c r="Q31" s="198">
        <f>((LOOKUP(Q$2,'Ceiling-U'!$A$4:$A$40,'Ceiling-U'!$K$4:$K$40)*Q$14)+(LOOKUP(Q$2,'Floor-U'!$A$4:$A$40,'Floor-U'!$K$4:$K$40)*Q$15)+(LOOKUP(Q$2,'Wall-U'!$A$4:$A$40,'Wall-U'!$K$4:$K$40)*Q$12)+(LOOKUP(Q$2,'Window-U'!$A$4:$A$40,'Window-U'!$K$4:$K$40)*Q$21))*Q$23</f>
        <v>335.86445217989638</v>
      </c>
      <c r="R31" s="198">
        <f>((LOOKUP(R$2,'Ceiling-U'!$A$4:$A$40,'Ceiling-U'!$K$4:$K$40)*R$14)+(LOOKUP(R$2,'Floor-U'!$A$4:$A$40,'Floor-U'!$K$4:$K$40)*R$15)+(LOOKUP(R$2,'Wall-U'!$A$4:$A$40,'Wall-U'!$K$4:$K$40)*R$12)+(LOOKUP(R$2,'Window-U'!$A$4:$A$40,'Window-U'!$K$4:$K$40)*R$21))*R$23</f>
        <v>363.78191004063802</v>
      </c>
      <c r="S31" s="198">
        <f>((LOOKUP(S$2,'Ceiling-U'!$A$4:$A$40,'Ceiling-U'!$K$4:$K$40)*S$14)+(LOOKUP(S$2,'Floor-U'!$A$4:$A$40,'Floor-U'!$K$4:$K$40)*S$15)+(LOOKUP(S$2,'Wall-U'!$A$4:$A$40,'Wall-U'!$K$4:$K$40)*S$12)+(LOOKUP(S$2,'Window-U'!$A$4:$A$40,'Window-U'!$K$4:$K$40)*S$21))*S$23</f>
        <v>427.47045018615381</v>
      </c>
      <c r="T31" s="198">
        <f>((LOOKUP(T$2,'Ceiling-U'!$A$4:$A$40,'Ceiling-U'!$K$4:$K$40)*T$14)+(LOOKUP(T$2,'Floor-U'!$A$4:$A$40,'Floor-U'!$K$4:$K$40)*T$15)+(LOOKUP(T$2,'Wall-U'!$A$4:$A$40,'Wall-U'!$K$4:$K$40)*T$12)+(LOOKUP(T$2,'Window-U'!$A$4:$A$40,'Window-U'!$K$4:$K$40)*T$21))*T$23</f>
        <v>169.76274541888137</v>
      </c>
      <c r="U31" s="198">
        <f>((LOOKUP(U$2,'Ceiling-U'!$A$4:$A$40,'Ceiling-U'!$K$4:$K$40)*U$14)+(LOOKUP(U$2,'Floor-U'!$A$4:$A$40,'Floor-U'!$K$4:$K$40)*U$15)+(LOOKUP(U$2,'Wall-U'!$A$4:$A$40,'Wall-U'!$K$4:$K$40)*U$12)+(LOOKUP(U$2,'Window-U'!$A$4:$A$40,'Window-U'!$K$4:$K$40)*U$21))*U$23</f>
        <v>652.01093722696089</v>
      </c>
      <c r="V31" s="198">
        <f>((LOOKUP(V$2,'Ceiling-U'!$A$4:$A$40,'Ceiling-U'!$K$4:$K$40)*V$14)+(LOOKUP(V$2,'Floor-U'!$A$4:$A$40,'Floor-U'!$K$4:$K$40)*V$15)+(LOOKUP(V$2,'Wall-U'!$A$4:$A$40,'Wall-U'!$K$4:$K$40)*V$12)+(LOOKUP(V$2,'Window-U'!$A$4:$A$40,'Window-U'!$K$4:$K$40)*V$21))*V$23</f>
        <v>269.41757490035224</v>
      </c>
      <c r="W31" s="198">
        <f>((LOOKUP(W$2,'Ceiling-U'!$A$4:$A$40,'Ceiling-U'!$K$4:$K$40)*W$14)+(LOOKUP(W$2,'Floor-U'!$A$4:$A$40,'Floor-U'!$K$4:$K$40)*W$15)+(LOOKUP(W$2,'Wall-U'!$A$4:$A$40,'Wall-U'!$K$4:$K$40)*W$12)+(LOOKUP(W$2,'Window-U'!$A$4:$A$40,'Window-U'!$K$4:$K$40)*W$21))*W$23</f>
        <v>342.4677335078527</v>
      </c>
      <c r="X31" s="198">
        <f>((LOOKUP(X$2,'Ceiling-U'!$A$4:$A$40,'Ceiling-U'!$K$4:$K$40)*X$14)+(LOOKUP(X$2,'Floor-U'!$A$4:$A$40,'Floor-U'!$K$4:$K$40)*X$15)+(LOOKUP(X$2,'Wall-U'!$A$4:$A$40,'Wall-U'!$K$4:$K$40)*X$12)+(LOOKUP(X$2,'Window-U'!$A$4:$A$40,'Window-U'!$K$4:$K$40)*X$21))*X$23</f>
        <v>293.02893518378056</v>
      </c>
      <c r="Y31" s="198">
        <f>((LOOKUP(Y$2,'Ceiling-U'!$A$4:$A$40,'Ceiling-U'!$K$4:$K$40)*Y$14)+(LOOKUP(Y$2,'Floor-U'!$A$4:$A$40,'Floor-U'!$K$4:$K$40)*Y$15)+(LOOKUP(Y$2,'Wall-U'!$A$4:$A$40,'Wall-U'!$K$4:$K$40)*Y$12)+(LOOKUP(Y$2,'Window-U'!$A$4:$A$40,'Window-U'!$K$4:$K$40)*Y$21))*Y$23</f>
        <v>820.72312597379778</v>
      </c>
      <c r="Z31" s="198">
        <f>((LOOKUP(Z$2,'Ceiling-U'!$A$4:$A$40,'Ceiling-U'!$K$4:$K$40)*Z$14)+(LOOKUP(Z$2,'Floor-U'!$A$4:$A$40,'Floor-U'!$K$4:$K$40)*Z$15)+(LOOKUP(Z$2,'Wall-U'!$A$4:$A$40,'Wall-U'!$K$4:$K$40)*Z$12)+(LOOKUP(Z$2,'Window-U'!$A$4:$A$40,'Window-U'!$K$4:$K$40)*Z$21))*Z$23</f>
        <v>486.57226166394128</v>
      </c>
      <c r="AA31" s="198">
        <f>((LOOKUP(AA$2,'Ceiling-U'!$A$4:$A$40,'Ceiling-U'!$K$4:$K$40)*AA$14)+(LOOKUP(AA$2,'Floor-U'!$A$4:$A$40,'Floor-U'!$K$4:$K$40)*AA$15)+(LOOKUP(AA$2,'Wall-U'!$A$4:$A$40,'Wall-U'!$K$4:$K$40)*AA$12)+(LOOKUP(AA$2,'Window-U'!$A$4:$A$40,'Window-U'!$K$4:$K$40)*AA$21))*AA$23</f>
        <v>172.81867457420248</v>
      </c>
      <c r="AB31" s="198">
        <f>((LOOKUP(AB$2,'Ceiling-U'!$A$4:$A$40,'Ceiling-U'!$K$4:$K$40)*AB$14)+(LOOKUP(AB$2,'Floor-U'!$A$4:$A$40,'Floor-U'!$K$4:$K$40)*AB$15)+(LOOKUP(AB$2,'Wall-U'!$A$4:$A$40,'Wall-U'!$K$4:$K$40)*AB$12)+(LOOKUP(AB$2,'Window-U'!$A$4:$A$40,'Window-U'!$K$4:$K$40)*AB$21))*AB$23</f>
        <v>354.42297289384555</v>
      </c>
      <c r="AC31" s="198">
        <f>((LOOKUP(AC$2,'Ceiling-U'!$A$4:$A$40,'Ceiling-U'!$K$4:$K$40)*AC$14)+(LOOKUP(AC$2,'Floor-U'!$A$4:$A$40,'Floor-U'!$K$4:$K$40)*AC$15)+(LOOKUP(AC$2,'Wall-U'!$A$4:$A$40,'Wall-U'!$K$4:$K$40)*AC$12)+(LOOKUP(AC$2,'Window-U'!$A$4:$A$40,'Window-U'!$K$4:$K$40)*AC$21))*AC$23</f>
        <v>714.15397686707706</v>
      </c>
      <c r="AD31" s="198">
        <f>((LOOKUP(AD$2,'Ceiling-U'!$A$4:$A$40,'Ceiling-U'!$K$4:$K$40)*AD$14)+(LOOKUP(AD$2,'Floor-U'!$A$4:$A$40,'Floor-U'!$K$4:$K$40)*AD$15)+(LOOKUP(AD$2,'Wall-U'!$A$4:$A$40,'Wall-U'!$K$4:$K$40)*AD$12)+(LOOKUP(AD$2,'Window-U'!$A$4:$A$40,'Window-U'!$K$4:$K$40)*AD$21))*AD$23</f>
        <v>402.48247918589141</v>
      </c>
      <c r="AE31" s="198">
        <f>((LOOKUP(AE$2,'Ceiling-U'!$A$4:$A$40,'Ceiling-U'!$K$4:$K$40)*AE$14)+(LOOKUP(AE$2,'Floor-U'!$A$4:$A$40,'Floor-U'!$K$4:$K$40)*AE$15)+(LOOKUP(AE$2,'Wall-U'!$A$4:$A$40,'Wall-U'!$K$4:$K$40)*AE$12)+(LOOKUP(AE$2,'Window-U'!$A$4:$A$40,'Window-U'!$K$4:$K$40)*AE$21))*AE$23</f>
        <v>188.79993900589733</v>
      </c>
      <c r="AF31" s="198">
        <f>((LOOKUP(AF$2,'Ceiling-U'!$A$4:$A$40,'Ceiling-U'!$K$4:$K$40)*AF$14)+(LOOKUP(AF$2,'Floor-U'!$A$4:$A$40,'Floor-U'!$K$4:$K$40)*AF$15)+(LOOKUP(AF$2,'Wall-U'!$A$4:$A$40,'Wall-U'!$K$4:$K$40)*AF$12)+(LOOKUP(AF$2,'Window-U'!$A$4:$A$40,'Window-U'!$K$4:$K$40)*AF$21))*AF$23</f>
        <v>360.32698489617127</v>
      </c>
      <c r="AG31" s="198">
        <f>((LOOKUP(AG$2,'Ceiling-U'!$A$4:$A$40,'Ceiling-U'!$K$4:$K$40)*AG$14)+(LOOKUP(AG$2,'Floor-U'!$A$4:$A$40,'Floor-U'!$K$4:$K$40)*AG$15)+(LOOKUP(AG$2,'Wall-U'!$A$4:$A$40,'Wall-U'!$K$4:$K$40)*AG$12)+(LOOKUP(AG$2,'Window-U'!$A$4:$A$40,'Window-U'!$K$4:$K$40)*AG$21))*AG$23</f>
        <v>472.5645075117975</v>
      </c>
      <c r="AH31" s="198">
        <f>((LOOKUP(AH$2,'Ceiling-U'!$A$4:$A$40,'Ceiling-U'!$K$4:$K$40)*AH$14)+(LOOKUP(AH$2,'Floor-U'!$A$4:$A$40,'Floor-U'!$K$4:$K$40)*AH$15)+(LOOKUP(AH$2,'Wall-U'!$A$4:$A$40,'Wall-U'!$K$4:$K$40)*AH$12)+(LOOKUP(AH$2,'Window-U'!$A$4:$A$40,'Window-U'!$K$4:$K$40)*AH$21))*AH$23</f>
        <v>455.21247601326547</v>
      </c>
      <c r="AI31" s="198">
        <f>((LOOKUP(AI$2,'Ceiling-U'!$A$4:$A$40,'Ceiling-U'!$K$4:$K$40)*AI$14)+(LOOKUP(AI$2,'Floor-U'!$A$4:$A$40,'Floor-U'!$K$4:$K$40)*AI$15)+(LOOKUP(AI$2,'Wall-U'!$A$4:$A$40,'Wall-U'!$K$4:$K$40)*AI$12)+(LOOKUP(AI$2,'Window-U'!$A$4:$A$40,'Window-U'!$K$4:$K$40)*AI$21))*AI$23</f>
        <v>758.0304024564723</v>
      </c>
      <c r="AJ31" s="198">
        <f>((LOOKUP(AJ$2,'Ceiling-U'!$A$4:$A$40,'Ceiling-U'!$K$4:$K$40)*AJ$14)+(LOOKUP(AJ$2,'Floor-U'!$A$4:$A$40,'Floor-U'!$K$4:$K$40)*AJ$15)+(LOOKUP(AJ$2,'Wall-U'!$A$4:$A$40,'Wall-U'!$K$4:$K$40)*AJ$12)+(LOOKUP(AJ$2,'Window-U'!$A$4:$A$40,'Window-U'!$K$4:$K$40)*AJ$21))*AJ$23</f>
        <v>344.96172370641227</v>
      </c>
      <c r="AK31" s="198">
        <f>((LOOKUP(AK$2,'Ceiling-U'!$A$4:$A$40,'Ceiling-U'!$K$4:$K$40)*AK$14)+(LOOKUP(AK$2,'Floor-U'!$A$4:$A$40,'Floor-U'!$K$4:$K$40)*AK$15)+(LOOKUP(AK$2,'Wall-U'!$A$4:$A$40,'Wall-U'!$K$4:$K$40)*AK$12)+(LOOKUP(AK$2,'Window-U'!$A$4:$A$40,'Window-U'!$K$4:$K$40)*AK$21))*AK$23</f>
        <v>405.54686770828516</v>
      </c>
      <c r="AL31" s="198">
        <f>((LOOKUP(AL$2,'Ceiling-U'!$A$4:$A$40,'Ceiling-U'!$K$4:$K$40)*AL$14)+(LOOKUP(AL$2,'Floor-U'!$A$4:$A$40,'Floor-U'!$K$4:$K$40)*AL$15)+(LOOKUP(AL$2,'Wall-U'!$A$4:$A$40,'Wall-U'!$K$4:$K$40)*AL$12)+(LOOKUP(AL$2,'Window-U'!$A$4:$A$40,'Window-U'!$K$4:$K$40)*AL$21))*AL$23</f>
        <v>324.70144548927033</v>
      </c>
      <c r="AM31" s="198">
        <f>((LOOKUP(AM$2,'Ceiling-U'!$A$4:$A$40,'Ceiling-U'!$K$4:$K$40)*AM$14)+(LOOKUP(AM$2,'Floor-U'!$A$4:$A$40,'Floor-U'!$K$4:$K$40)*AM$15)+(LOOKUP(AM$2,'Wall-U'!$A$4:$A$40,'Wall-U'!$K$4:$K$40)*AM$12)+(LOOKUP(AM$2,'Window-U'!$A$4:$A$40,'Window-U'!$K$4:$K$40)*AM$21))*AM$23</f>
        <v>344.96172370641227</v>
      </c>
      <c r="AN31" s="199">
        <f>((LOOKUP(AN$2,'Ceiling-U'!$A$4:$A$40,'Ceiling-U'!$K$4:$K$40)*AN$14)+(LOOKUP(AN$2,'Floor-U'!$A$4:$A$40,'Floor-U'!$K$4:$K$40)*AN$15)+(LOOKUP(AN$2,'Wall-U'!$A$4:$A$40,'Wall-U'!$K$4:$K$40)*AN$12)+(LOOKUP(AN$2,'Window-U'!$A$4:$A$40,'Window-U'!$K$4:$K$40)*AN$21))*AN$23</f>
        <v>344.96172370641227</v>
      </c>
    </row>
    <row r="32" spans="1:40" s="135" customFormat="1">
      <c r="A32" s="332" t="s">
        <v>280</v>
      </c>
      <c r="B32" s="142" t="s">
        <v>2</v>
      </c>
      <c r="C32" s="360" t="s">
        <v>261</v>
      </c>
      <c r="D32" s="351">
        <f>D25*24*LOOKUP(D$2,'HDD-by Country'!$A$4:$A$40,'HDD-by Country'!$C$4:$C$40)/1000</f>
        <v>44672.272042105069</v>
      </c>
      <c r="E32" s="352">
        <f>E25*24*LOOKUP(E$2,'HDD-by Country'!$A$4:$A$40,'HDD-by Country'!$C$4:$C$40)/1000</f>
        <v>44981.783768248504</v>
      </c>
      <c r="F32" s="352">
        <f>F25*24*LOOKUP(F$2,'HDD-by Country'!$A$4:$A$40,'HDD-by Country'!$C$4:$C$40)/1000</f>
        <v>23887.79392278297</v>
      </c>
      <c r="G32" s="352">
        <f>G25*24*LOOKUP(G$2,'HDD-by Country'!$A$4:$A$40,'HDD-by Country'!$C$4:$C$40)/1000</f>
        <v>43522.342263740866</v>
      </c>
      <c r="H32" s="352">
        <f>H25*24*LOOKUP(H$2,'HDD-by Country'!$A$4:$A$40,'HDD-by Country'!$C$4:$C$40)/1000</f>
        <v>14839.1668229726</v>
      </c>
      <c r="I32" s="352">
        <f>I25*24*LOOKUP(I$2,'HDD-by Country'!$A$4:$A$40,'HDD-by Country'!$C$4:$C$40)/1000</f>
        <v>32553.131905589158</v>
      </c>
      <c r="J32" s="352">
        <f>J25*24*LOOKUP(J$2,'HDD-by Country'!$A$4:$A$40,'HDD-by Country'!$C$4:$C$40)/1000</f>
        <v>47577.181309715968</v>
      </c>
      <c r="K32" s="352">
        <f>K25*24*LOOKUP(K$2,'HDD-by Country'!$A$4:$A$40,'HDD-by Country'!$C$4:$C$40)/1000</f>
        <v>28468.380293678514</v>
      </c>
      <c r="L32" s="352">
        <f>L25*24*LOOKUP(L$2,'HDD-by Country'!$A$4:$A$40,'HDD-by Country'!$C$4:$C$40)/1000</f>
        <v>18328.256339403542</v>
      </c>
      <c r="M32" s="352">
        <f>M25*24*LOOKUP(M$2,'HDD-by Country'!$A$4:$A$40,'HDD-by Country'!$C$4:$C$40)/1000</f>
        <v>40005.234975906133</v>
      </c>
      <c r="N32" s="352">
        <f>N25*24*LOOKUP(N$2,'HDD-by Country'!$A$4:$A$40,'HDD-by Country'!$C$4:$C$40)/1000</f>
        <v>31865.243714543518</v>
      </c>
      <c r="O32" s="352">
        <f>O25*24*LOOKUP(O$2,'HDD-by Country'!$A$4:$A$40,'HDD-by Country'!$C$4:$C$40)/1000</f>
        <v>52548.057384852145</v>
      </c>
      <c r="P32" s="352">
        <f>P25*24*LOOKUP(P$2,'HDD-by Country'!$A$4:$A$40,'HDD-by Country'!$C$4:$C$40)/1000</f>
        <v>31902.598950116953</v>
      </c>
      <c r="Q32" s="352">
        <f>Q25*24*LOOKUP(Q$2,'HDD-by Country'!$A$4:$A$40,'HDD-by Country'!$C$4:$C$40)/1000</f>
        <v>24189.251815280222</v>
      </c>
      <c r="R32" s="352">
        <f>R25*24*LOOKUP(R$2,'HDD-by Country'!$A$4:$A$40,'HDD-by Country'!$C$4:$C$40)/1000</f>
        <v>31871.722320099321</v>
      </c>
      <c r="S32" s="352">
        <f>S25*24*LOOKUP(S$2,'HDD-by Country'!$A$4:$A$40,'HDD-by Country'!$C$4:$C$40)/1000</f>
        <v>46397.291425711141</v>
      </c>
      <c r="T32" s="352">
        <f>T25*24*LOOKUP(T$2,'HDD-by Country'!$A$4:$A$40,'HDD-by Country'!$C$4:$C$40)/1000</f>
        <v>27104.521833088642</v>
      </c>
      <c r="U32" s="352">
        <f>U25*24*LOOKUP(U$2,'HDD-by Country'!$A$4:$A$40,'HDD-by Country'!$C$4:$C$40)/1000</f>
        <v>35424.57494481637</v>
      </c>
      <c r="V32" s="352">
        <f>V25*24*LOOKUP(V$2,'HDD-by Country'!$A$4:$A$40,'HDD-by Country'!$C$4:$C$40)/1000</f>
        <v>32861.18170989793</v>
      </c>
      <c r="W32" s="352">
        <f>W25*24*LOOKUP(W$2,'HDD-by Country'!$A$4:$A$40,'HDD-by Country'!$C$4:$C$40)/1000</f>
        <v>35960.840105621835</v>
      </c>
      <c r="X32" s="352">
        <f>X25*24*LOOKUP(X$2,'HDD-by Country'!$A$4:$A$40,'HDD-by Country'!$C$4:$C$40)/1000</f>
        <v>37791.639615253975</v>
      </c>
      <c r="Y32" s="352">
        <f>Y25*24*LOOKUP(Y$2,'HDD-by Country'!$A$4:$A$40,'HDD-by Country'!$C$4:$C$40)/1000</f>
        <v>12686.594689142419</v>
      </c>
      <c r="Z32" s="352">
        <f>Z25*24*LOOKUP(Z$2,'HDD-by Country'!$A$4:$A$40,'HDD-by Country'!$C$4:$C$40)/1000</f>
        <v>48760.791528653746</v>
      </c>
      <c r="AA32" s="352">
        <f>AA25*24*LOOKUP(AA$2,'HDD-by Country'!$A$4:$A$40,'HDD-by Country'!$C$4:$C$40)/1000</f>
        <v>29578.709653507467</v>
      </c>
      <c r="AB32" s="352">
        <f>AB25*24*LOOKUP(AB$2,'HDD-by Country'!$A$4:$A$40,'HDD-by Country'!$C$4:$C$40)/1000</f>
        <v>50056.978895027787</v>
      </c>
      <c r="AC32" s="352">
        <f>AC25*24*LOOKUP(AC$2,'HDD-by Country'!$A$4:$A$40,'HDD-by Country'!$C$4:$C$40)/1000</f>
        <v>26232.864045745846</v>
      </c>
      <c r="AD32" s="352">
        <f>AD25*24*LOOKUP(AD$2,'HDD-by Country'!$A$4:$A$40,'HDD-by Country'!$C$4:$C$40)/1000</f>
        <v>35748.450106893113</v>
      </c>
      <c r="AE32" s="352">
        <f>AE25*24*LOOKUP(AE$2,'HDD-by Country'!$A$4:$A$40,'HDD-by Country'!$C$4:$C$40)/1000</f>
        <v>28520.456137742589</v>
      </c>
      <c r="AF32" s="352">
        <f>AF25*24*LOOKUP(AF$2,'HDD-by Country'!$A$4:$A$40,'HDD-by Country'!$C$4:$C$40)/1000</f>
        <v>31780.906061558006</v>
      </c>
      <c r="AG32" s="352">
        <f>AG25*24*LOOKUP(AG$2,'HDD-by Country'!$A$4:$A$40,'HDD-by Country'!$C$4:$C$40)/1000</f>
        <v>49515.134185715753</v>
      </c>
      <c r="AH32" s="352">
        <f>AH25*24*LOOKUP(AH$2,'HDD-by Country'!$A$4:$A$40,'HDD-by Country'!$C$4:$C$40)/1000</f>
        <v>40188.869728537233</v>
      </c>
      <c r="AI32" s="352">
        <f>AI25*24*LOOKUP(AI$2,'HDD-by Country'!$A$4:$A$40,'HDD-by Country'!$C$4:$C$40)/1000</f>
        <v>31902.598950116953</v>
      </c>
      <c r="AJ32" s="352">
        <f>AJ25*24*LOOKUP(AJ$2,'HDD-by Country'!$A$4:$A$40,'HDD-by Country'!$C$4:$C$40)/1000</f>
        <v>25873.336515407809</v>
      </c>
      <c r="AK32" s="352">
        <f>AK25*24*LOOKUP(AK$2,'HDD-by Country'!$A$4:$A$40,'HDD-by Country'!$C$4:$C$40)/1000</f>
        <v>27102.578980756443</v>
      </c>
      <c r="AL32" s="352">
        <f>AL25*24*LOOKUP(AL$2,'HDD-by Country'!$A$4:$A$40,'HDD-by Country'!$C$4:$C$40)/1000</f>
        <v>25011.205648392261</v>
      </c>
      <c r="AM32" s="352">
        <f>AM25*24*LOOKUP(AM$2,'HDD-by Country'!$A$4:$A$40,'HDD-by Country'!$C$4:$C$40)/1000</f>
        <v>23792.4898072898</v>
      </c>
      <c r="AN32" s="353">
        <f>AN25*24*LOOKUP(AN$2,'HDD-by Country'!$A$4:$A$40,'HDD-by Country'!$C$4:$C$40)/1000</f>
        <v>23792.4898072898</v>
      </c>
    </row>
    <row r="33" spans="1:40" s="135" customFormat="1">
      <c r="A33" s="129"/>
      <c r="B33" s="142" t="s">
        <v>3</v>
      </c>
      <c r="C33" s="129" t="s">
        <v>261</v>
      </c>
      <c r="D33" s="345">
        <f>D26*24*LOOKUP(D$2,'HDD-by Country'!$A$4:$A$40,'HDD-by Country'!$C$4:$C$40)/1000</f>
        <v>41044.582340271481</v>
      </c>
      <c r="E33" s="349">
        <f>E26*24*LOOKUP(E$2,'HDD-by Country'!$A$4:$A$40,'HDD-by Country'!$C$4:$C$40)/1000</f>
        <v>44981.783768248504</v>
      </c>
      <c r="F33" s="349">
        <f>F26*24*LOOKUP(F$2,'HDD-by Country'!$A$4:$A$40,'HDD-by Country'!$C$4:$C$40)/1000</f>
        <v>23887.79392278297</v>
      </c>
      <c r="G33" s="349">
        <f>G26*24*LOOKUP(G$2,'HDD-by Country'!$A$4:$A$40,'HDD-by Country'!$C$4:$C$40)/1000</f>
        <v>39988.034613549331</v>
      </c>
      <c r="H33" s="349">
        <f>H26*24*LOOKUP(H$2,'HDD-by Country'!$A$4:$A$40,'HDD-by Country'!$C$4:$C$40)/1000</f>
        <v>13829.796778373249</v>
      </c>
      <c r="I33" s="349">
        <f>I26*24*LOOKUP(I$2,'HDD-by Country'!$A$4:$A$40,'HDD-by Country'!$C$4:$C$40)/1000</f>
        <v>27127.352839026345</v>
      </c>
      <c r="J33" s="349">
        <f>J26*24*LOOKUP(J$2,'HDD-by Country'!$A$4:$A$40,'HDD-by Country'!$C$4:$C$40)/1000</f>
        <v>39966.720421884922</v>
      </c>
      <c r="K33" s="349">
        <f>K26*24*LOOKUP(K$2,'HDD-by Country'!$A$4:$A$40,'HDD-by Country'!$C$4:$C$40)/1000</f>
        <v>27511.032229888031</v>
      </c>
      <c r="L33" s="349">
        <f>L26*24*LOOKUP(L$2,'HDD-by Country'!$A$4:$A$40,'HDD-by Country'!$C$4:$C$40)/1000</f>
        <v>18328.256339403542</v>
      </c>
      <c r="M33" s="349">
        <f>M26*24*LOOKUP(M$2,'HDD-by Country'!$A$4:$A$40,'HDD-by Country'!$C$4:$C$40)/1000</f>
        <v>35853.107550698616</v>
      </c>
      <c r="N33" s="349">
        <f>N26*24*LOOKUP(N$2,'HDD-by Country'!$A$4:$A$40,'HDD-by Country'!$C$4:$C$40)/1000</f>
        <v>29018.053508573954</v>
      </c>
      <c r="O33" s="349">
        <f>O26*24*LOOKUP(O$2,'HDD-by Country'!$A$4:$A$40,'HDD-by Country'!$C$4:$C$40)/1000</f>
        <v>52548.057384852145</v>
      </c>
      <c r="P33" s="349">
        <f>P26*24*LOOKUP(P$2,'HDD-by Country'!$A$4:$A$40,'HDD-by Country'!$C$4:$C$40)/1000</f>
        <v>31902.598950116953</v>
      </c>
      <c r="Q33" s="349">
        <f>Q26*24*LOOKUP(Q$2,'HDD-by Country'!$A$4:$A$40,'HDD-by Country'!$C$4:$C$40)/1000</f>
        <v>25616.717048627739</v>
      </c>
      <c r="R33" s="349">
        <f>R26*24*LOOKUP(R$2,'HDD-by Country'!$A$4:$A$40,'HDD-by Country'!$C$4:$C$40)/1000</f>
        <v>31871.722320099321</v>
      </c>
      <c r="S33" s="349">
        <f>S26*24*LOOKUP(S$2,'HDD-by Country'!$A$4:$A$40,'HDD-by Country'!$C$4:$C$40)/1000</f>
        <v>47111.341295218379</v>
      </c>
      <c r="T33" s="349">
        <f>T26*24*LOOKUP(T$2,'HDD-by Country'!$A$4:$A$40,'HDD-by Country'!$C$4:$C$40)/1000</f>
        <v>24682.706710882736</v>
      </c>
      <c r="U33" s="349">
        <f>U26*24*LOOKUP(U$2,'HDD-by Country'!$A$4:$A$40,'HDD-by Country'!$C$4:$C$40)/1000</f>
        <v>33487.748100808996</v>
      </c>
      <c r="V33" s="349">
        <f>V26*24*LOOKUP(V$2,'HDD-by Country'!$A$4:$A$40,'HDD-by Country'!$C$4:$C$40)/1000</f>
        <v>32861.18170989793</v>
      </c>
      <c r="W33" s="349">
        <f>W26*24*LOOKUP(W$2,'HDD-by Country'!$A$4:$A$40,'HDD-by Country'!$C$4:$C$40)/1000</f>
        <v>36667.867416544599</v>
      </c>
      <c r="X33" s="349">
        <f>X26*24*LOOKUP(X$2,'HDD-by Country'!$A$4:$A$40,'HDD-by Country'!$C$4:$C$40)/1000</f>
        <v>37177.479615253978</v>
      </c>
      <c r="Y33" s="349">
        <f>Y26*24*LOOKUP(Y$2,'HDD-by Country'!$A$4:$A$40,'HDD-by Country'!$C$4:$C$40)/1000</f>
        <v>12668.199507679823</v>
      </c>
      <c r="Z33" s="349">
        <f>Z26*24*LOOKUP(Z$2,'HDD-by Country'!$A$4:$A$40,'HDD-by Country'!$C$4:$C$40)/1000</f>
        <v>38519.2320817531</v>
      </c>
      <c r="AA33" s="349">
        <f>AA26*24*LOOKUP(AA$2,'HDD-by Country'!$A$4:$A$40,'HDD-by Country'!$C$4:$C$40)/1000</f>
        <v>29422.003342627464</v>
      </c>
      <c r="AB33" s="349">
        <f>AB26*24*LOOKUP(AB$2,'HDD-by Country'!$A$4:$A$40,'HDD-by Country'!$C$4:$C$40)/1000</f>
        <v>34716.002280759218</v>
      </c>
      <c r="AC33" s="349">
        <f>AC26*24*LOOKUP(AC$2,'HDD-by Country'!$A$4:$A$40,'HDD-by Country'!$C$4:$C$40)/1000</f>
        <v>23642.196491888135</v>
      </c>
      <c r="AD33" s="349">
        <f>AD26*24*LOOKUP(AD$2,'HDD-by Country'!$A$4:$A$40,'HDD-by Country'!$C$4:$C$40)/1000</f>
        <v>32112.960443331216</v>
      </c>
      <c r="AE33" s="349">
        <f>AE26*24*LOOKUP(AE$2,'HDD-by Country'!$A$4:$A$40,'HDD-by Country'!$C$4:$C$40)/1000</f>
        <v>28369.356393422589</v>
      </c>
      <c r="AF33" s="349">
        <f>AF26*24*LOOKUP(AF$2,'HDD-by Country'!$A$4:$A$40,'HDD-by Country'!$C$4:$C$40)/1000</f>
        <v>31780.906061558006</v>
      </c>
      <c r="AG33" s="349">
        <f>AG26*24*LOOKUP(AG$2,'HDD-by Country'!$A$4:$A$40,'HDD-by Country'!$C$4:$C$40)/1000</f>
        <v>41451.8657485726</v>
      </c>
      <c r="AH33" s="349">
        <f>AH26*24*LOOKUP(AH$2,'HDD-by Country'!$A$4:$A$40,'HDD-by Country'!$C$4:$C$40)/1000</f>
        <v>42325.552287761078</v>
      </c>
      <c r="AI33" s="349">
        <f>AI26*24*LOOKUP(AI$2,'HDD-by Country'!$A$4:$A$40,'HDD-by Country'!$C$4:$C$40)/1000</f>
        <v>31902.598950116953</v>
      </c>
      <c r="AJ33" s="349">
        <f>AJ26*24*LOOKUP(AJ$2,'HDD-by Country'!$A$4:$A$40,'HDD-by Country'!$C$4:$C$40)/1000</f>
        <v>25873.336515407809</v>
      </c>
      <c r="AK33" s="349">
        <f>AK26*24*LOOKUP(AK$2,'HDD-by Country'!$A$4:$A$40,'HDD-by Country'!$C$4:$C$40)/1000</f>
        <v>27102.578980756443</v>
      </c>
      <c r="AL33" s="349">
        <f>AL26*24*LOOKUP(AL$2,'HDD-by Country'!$A$4:$A$40,'HDD-by Country'!$C$4:$C$40)/1000</f>
        <v>25011.205648392261</v>
      </c>
      <c r="AM33" s="349">
        <f>AM26*24*LOOKUP(AM$2,'HDD-by Country'!$A$4:$A$40,'HDD-by Country'!$C$4:$C$40)/1000</f>
        <v>23792.4898072898</v>
      </c>
      <c r="AN33" s="354">
        <f>AN26*24*LOOKUP(AN$2,'HDD-by Country'!$A$4:$A$40,'HDD-by Country'!$C$4:$C$40)/1000</f>
        <v>23792.4898072898</v>
      </c>
    </row>
    <row r="34" spans="1:40" s="135" customFormat="1">
      <c r="A34" s="129"/>
      <c r="B34" s="142" t="s">
        <v>4</v>
      </c>
      <c r="C34" s="129" t="s">
        <v>261</v>
      </c>
      <c r="D34" s="345">
        <f>D27*24*LOOKUP(D$2,'HDD-by Country'!$A$4:$A$40,'HDD-by Country'!$C$4:$C$40)/1000</f>
        <v>31616.442439689643</v>
      </c>
      <c r="E34" s="349">
        <f>E27*24*LOOKUP(E$2,'HDD-by Country'!$A$4:$A$40,'HDD-by Country'!$C$4:$C$40)/1000</f>
        <v>44981.783768248504</v>
      </c>
      <c r="F34" s="349">
        <f>F27*24*LOOKUP(F$2,'HDD-by Country'!$A$4:$A$40,'HDD-by Country'!$C$4:$C$40)/1000</f>
        <v>22437.459696968272</v>
      </c>
      <c r="G34" s="349">
        <f>G27*24*LOOKUP(G$2,'HDD-by Country'!$A$4:$A$40,'HDD-by Country'!$C$4:$C$40)/1000</f>
        <v>30802.588857022758</v>
      </c>
      <c r="H34" s="349">
        <f>H27*24*LOOKUP(H$2,'HDD-by Country'!$A$4:$A$40,'HDD-by Country'!$C$4:$C$40)/1000</f>
        <v>14565.850733773896</v>
      </c>
      <c r="I34" s="349">
        <f>I27*24*LOOKUP(I$2,'HDD-by Country'!$A$4:$A$40,'HDD-by Country'!$C$4:$C$40)/1000</f>
        <v>27127.352839026345</v>
      </c>
      <c r="J34" s="349">
        <f>J27*24*LOOKUP(J$2,'HDD-by Country'!$A$4:$A$40,'HDD-by Country'!$C$4:$C$40)/1000</f>
        <v>24657.976829048806</v>
      </c>
      <c r="K34" s="349">
        <f>K27*24*LOOKUP(K$2,'HDD-by Country'!$A$4:$A$40,'HDD-by Country'!$C$4:$C$40)/1000</f>
        <v>18236.333898867808</v>
      </c>
      <c r="L34" s="349">
        <f>L27*24*LOOKUP(L$2,'HDD-by Country'!$A$4:$A$40,'HDD-by Country'!$C$4:$C$40)/1000</f>
        <v>14812.978064560381</v>
      </c>
      <c r="M34" s="349">
        <f>M27*24*LOOKUP(M$2,'HDD-by Country'!$A$4:$A$40,'HDD-by Country'!$C$4:$C$40)/1000</f>
        <v>35853.107550698616</v>
      </c>
      <c r="N34" s="349">
        <f>N27*24*LOOKUP(N$2,'HDD-by Country'!$A$4:$A$40,'HDD-by Country'!$C$4:$C$40)/1000</f>
        <v>23453.124304191871</v>
      </c>
      <c r="O34" s="349">
        <f>O27*24*LOOKUP(O$2,'HDD-by Country'!$A$4:$A$40,'HDD-by Country'!$C$4:$C$40)/1000</f>
        <v>22745.075615443147</v>
      </c>
      <c r="P34" s="349">
        <f>P27*24*LOOKUP(P$2,'HDD-by Country'!$A$4:$A$40,'HDD-by Country'!$C$4:$C$40)/1000</f>
        <v>31902.598950116953</v>
      </c>
      <c r="Q34" s="349">
        <f>Q27*24*LOOKUP(Q$2,'HDD-by Country'!$A$4:$A$40,'HDD-by Country'!$C$4:$C$40)/1000</f>
        <v>21629.698848456046</v>
      </c>
      <c r="R34" s="349">
        <f>R27*24*LOOKUP(R$2,'HDD-by Country'!$A$4:$A$40,'HDD-by Country'!$C$4:$C$40)/1000</f>
        <v>27364.221313030834</v>
      </c>
      <c r="S34" s="349">
        <f>S27*24*LOOKUP(S$2,'HDD-by Country'!$A$4:$A$40,'HDD-by Country'!$C$4:$C$40)/1000</f>
        <v>40097.255430403929</v>
      </c>
      <c r="T34" s="349">
        <f>T27*24*LOOKUP(T$2,'HDD-by Country'!$A$4:$A$40,'HDD-by Country'!$C$4:$C$40)/1000</f>
        <v>19949.187442334831</v>
      </c>
      <c r="U34" s="349">
        <f>U27*24*LOOKUP(U$2,'HDD-by Country'!$A$4:$A$40,'HDD-by Country'!$C$4:$C$40)/1000</f>
        <v>31160.546517059</v>
      </c>
      <c r="V34" s="349">
        <f>V27*24*LOOKUP(V$2,'HDD-by Country'!$A$4:$A$40,'HDD-by Country'!$C$4:$C$40)/1000</f>
        <v>20147.887344249521</v>
      </c>
      <c r="W34" s="349">
        <f>W27*24*LOOKUP(W$2,'HDD-by Country'!$A$4:$A$40,'HDD-by Country'!$C$4:$C$40)/1000</f>
        <v>19222.349709394093</v>
      </c>
      <c r="X34" s="349">
        <f>X27*24*LOOKUP(X$2,'HDD-by Country'!$A$4:$A$40,'HDD-by Country'!$C$4:$C$40)/1000</f>
        <v>34291.918453728576</v>
      </c>
      <c r="Y34" s="349">
        <f>Y27*24*LOOKUP(Y$2,'HDD-by Country'!$A$4:$A$40,'HDD-by Country'!$C$4:$C$40)/1000</f>
        <v>10450.704618170173</v>
      </c>
      <c r="Z34" s="349">
        <f>Z27*24*LOOKUP(Z$2,'HDD-by Country'!$A$4:$A$40,'HDD-by Country'!$C$4:$C$40)/1000</f>
        <v>37189.135224649326</v>
      </c>
      <c r="AA34" s="349">
        <f>AA27*24*LOOKUP(AA$2,'HDD-by Country'!$A$4:$A$40,'HDD-by Country'!$C$4:$C$40)/1000</f>
        <v>20305.010099316387</v>
      </c>
      <c r="AB34" s="349">
        <f>AB27*24*LOOKUP(AB$2,'HDD-by Country'!$A$4:$A$40,'HDD-by Country'!$C$4:$C$40)/1000</f>
        <v>23860.031608627651</v>
      </c>
      <c r="AC34" s="349">
        <f>AC27*24*LOOKUP(AC$2,'HDD-by Country'!$A$4:$A$40,'HDD-by Country'!$C$4:$C$40)/1000</f>
        <v>23173.535938675534</v>
      </c>
      <c r="AD34" s="349">
        <f>AD27*24*LOOKUP(AD$2,'HDD-by Country'!$A$4:$A$40,'HDD-by Country'!$C$4:$C$40)/1000</f>
        <v>32112.960443331216</v>
      </c>
      <c r="AE34" s="349">
        <f>AE27*24*LOOKUP(AE$2,'HDD-by Country'!$A$4:$A$40,'HDD-by Country'!$C$4:$C$40)/1000</f>
        <v>19578.546755345098</v>
      </c>
      <c r="AF34" s="349">
        <f>AF27*24*LOOKUP(AF$2,'HDD-by Country'!$A$4:$A$40,'HDD-by Country'!$C$4:$C$40)/1000</f>
        <v>28825.347392510004</v>
      </c>
      <c r="AG34" s="349">
        <f>AG27*24*LOOKUP(AG$2,'HDD-by Country'!$A$4:$A$40,'HDD-by Country'!$C$4:$C$40)/1000</f>
        <v>41451.8657485726</v>
      </c>
      <c r="AH34" s="349">
        <f>AH27*24*LOOKUP(AH$2,'HDD-by Country'!$A$4:$A$40,'HDD-by Country'!$C$4:$C$40)/1000</f>
        <v>32465.806100521622</v>
      </c>
      <c r="AI34" s="349">
        <f>AI27*24*LOOKUP(AI$2,'HDD-by Country'!$A$4:$A$40,'HDD-by Country'!$C$4:$C$40)/1000</f>
        <v>31902.598950116953</v>
      </c>
      <c r="AJ34" s="349">
        <f>AJ27*24*LOOKUP(AJ$2,'HDD-by Country'!$A$4:$A$40,'HDD-by Country'!$C$4:$C$40)/1000</f>
        <v>25873.336515407809</v>
      </c>
      <c r="AK34" s="349">
        <f>AK27*24*LOOKUP(AK$2,'HDD-by Country'!$A$4:$A$40,'HDD-by Country'!$C$4:$C$40)/1000</f>
        <v>27102.578980756443</v>
      </c>
      <c r="AL34" s="349">
        <f>AL27*24*LOOKUP(AL$2,'HDD-by Country'!$A$4:$A$40,'HDD-by Country'!$C$4:$C$40)/1000</f>
        <v>23472.926308495327</v>
      </c>
      <c r="AM34" s="349">
        <f>AM27*24*LOOKUP(AM$2,'HDD-by Country'!$A$4:$A$40,'HDD-by Country'!$C$4:$C$40)/1000</f>
        <v>23792.4898072898</v>
      </c>
      <c r="AN34" s="354">
        <f>AN27*24*LOOKUP(AN$2,'HDD-by Country'!$A$4:$A$40,'HDD-by Country'!$C$4:$C$40)/1000</f>
        <v>23792.4898072898</v>
      </c>
    </row>
    <row r="35" spans="1:40" s="135" customFormat="1">
      <c r="A35" s="129"/>
      <c r="B35" s="142" t="s">
        <v>5</v>
      </c>
      <c r="C35" s="129" t="s">
        <v>261</v>
      </c>
      <c r="D35" s="345">
        <f>D28*24*LOOKUP(D$2,'HDD-by Country'!$A$4:$A$40,'HDD-by Country'!$C$4:$C$40)/1000</f>
        <v>20610.404116613892</v>
      </c>
      <c r="E35" s="349">
        <f>E28*24*LOOKUP(E$2,'HDD-by Country'!$A$4:$A$40,'HDD-by Country'!$C$4:$C$40)/1000</f>
        <v>37297.951477135561</v>
      </c>
      <c r="F35" s="349">
        <f>F28*24*LOOKUP(F$2,'HDD-by Country'!$A$4:$A$40,'HDD-by Country'!$C$4:$C$40)/1000</f>
        <v>19145.594736957679</v>
      </c>
      <c r="G35" s="349">
        <f>G28*24*LOOKUP(G$2,'HDD-by Country'!$A$4:$A$40,'HDD-by Country'!$C$4:$C$40)/1000</f>
        <v>20079.862096824167</v>
      </c>
      <c r="H35" s="349">
        <f>H28*24*LOOKUP(H$2,'HDD-by Country'!$A$4:$A$40,'HDD-by Country'!$C$4:$C$40)/1000</f>
        <v>14115.050891296298</v>
      </c>
      <c r="I35" s="349">
        <f>I28*24*LOOKUP(I$2,'HDD-by Country'!$A$4:$A$40,'HDD-by Country'!$C$4:$C$40)/1000</f>
        <v>24074.718783820201</v>
      </c>
      <c r="J35" s="349">
        <f>J28*24*LOOKUP(J$2,'HDD-by Country'!$A$4:$A$40,'HDD-by Country'!$C$4:$C$40)/1000</f>
        <v>19196.691298789607</v>
      </c>
      <c r="K35" s="349">
        <f>K28*24*LOOKUP(K$2,'HDD-by Country'!$A$4:$A$40,'HDD-by Country'!$C$4:$C$40)/1000</f>
        <v>15042.550316762716</v>
      </c>
      <c r="L35" s="349">
        <f>L28*24*LOOKUP(L$2,'HDD-by Country'!$A$4:$A$40,'HDD-by Country'!$C$4:$C$40)/1000</f>
        <v>10436.871534056239</v>
      </c>
      <c r="M35" s="349">
        <f>M28*24*LOOKUP(M$2,'HDD-by Country'!$A$4:$A$40,'HDD-by Country'!$C$4:$C$40)/1000</f>
        <v>22186.907979406798</v>
      </c>
      <c r="N35" s="349">
        <f>N28*24*LOOKUP(N$2,'HDD-by Country'!$A$4:$A$40,'HDD-by Country'!$C$4:$C$40)/1000</f>
        <v>18608.175998783172</v>
      </c>
      <c r="O35" s="349">
        <f>O28*24*LOOKUP(O$2,'HDD-by Country'!$A$4:$A$40,'HDD-by Country'!$C$4:$C$40)/1000</f>
        <v>18950.817899981208</v>
      </c>
      <c r="P35" s="349">
        <f>P28*24*LOOKUP(P$2,'HDD-by Country'!$A$4:$A$40,'HDD-by Country'!$C$4:$C$40)/1000</f>
        <v>30943.928696868559</v>
      </c>
      <c r="Q35" s="349">
        <f>Q28*24*LOOKUP(Q$2,'HDD-by Country'!$A$4:$A$40,'HDD-by Country'!$C$4:$C$40)/1000</f>
        <v>21629.698848456046</v>
      </c>
      <c r="R35" s="349">
        <f>R28*24*LOOKUP(R$2,'HDD-by Country'!$A$4:$A$40,'HDD-by Country'!$C$4:$C$40)/1000</f>
        <v>19851.719634583362</v>
      </c>
      <c r="S35" s="349">
        <f>S28*24*LOOKUP(S$2,'HDD-by Country'!$A$4:$A$40,'HDD-by Country'!$C$4:$C$40)/1000</f>
        <v>25243.519699959255</v>
      </c>
      <c r="T35" s="349">
        <f>T28*24*LOOKUP(T$2,'HDD-by Country'!$A$4:$A$40,'HDD-by Country'!$C$4:$C$40)/1000</f>
        <v>15828.082695717103</v>
      </c>
      <c r="U35" s="349">
        <f>U28*24*LOOKUP(U$2,'HDD-by Country'!$A$4:$A$40,'HDD-by Country'!$C$4:$C$40)/1000</f>
        <v>22880.841532536877</v>
      </c>
      <c r="V35" s="349">
        <f>V28*24*LOOKUP(V$2,'HDD-by Country'!$A$4:$A$40,'HDD-by Country'!$C$4:$C$40)/1000</f>
        <v>20147.887344249521</v>
      </c>
      <c r="W35" s="349">
        <f>W28*24*LOOKUP(W$2,'HDD-by Country'!$A$4:$A$40,'HDD-by Country'!$C$4:$C$40)/1000</f>
        <v>15274.301662987398</v>
      </c>
      <c r="X35" s="349">
        <f>X28*24*LOOKUP(X$2,'HDD-by Country'!$A$4:$A$40,'HDD-by Country'!$C$4:$C$40)/1000</f>
        <v>18665.50980762699</v>
      </c>
      <c r="Y35" s="349">
        <f>Y28*24*LOOKUP(Y$2,'HDD-by Country'!$A$4:$A$40,'HDD-by Country'!$C$4:$C$40)/1000</f>
        <v>9578.8124263701757</v>
      </c>
      <c r="Z35" s="349">
        <f>Z28*24*LOOKUP(Z$2,'HDD-by Country'!$A$4:$A$40,'HDD-by Country'!$C$4:$C$40)/1000</f>
        <v>22594.608172662953</v>
      </c>
      <c r="AA35" s="349">
        <f>AA28*24*LOOKUP(AA$2,'HDD-by Country'!$A$4:$A$40,'HDD-by Country'!$C$4:$C$40)/1000</f>
        <v>19939.149299316388</v>
      </c>
      <c r="AB35" s="349">
        <f>AB28*24*LOOKUP(AB$2,'HDD-by Country'!$A$4:$A$40,'HDD-by Country'!$C$4:$C$40)/1000</f>
        <v>23860.031608627651</v>
      </c>
      <c r="AC35" s="349">
        <f>AC28*24*LOOKUP(AC$2,'HDD-by Country'!$A$4:$A$40,'HDD-by Country'!$C$4:$C$40)/1000</f>
        <v>22494.915351297692</v>
      </c>
      <c r="AD35" s="349">
        <f>AD28*24*LOOKUP(AD$2,'HDD-by Country'!$A$4:$A$40,'HDD-by Country'!$C$4:$C$40)/1000</f>
        <v>26857.236042596662</v>
      </c>
      <c r="AE35" s="349">
        <f>AE28*24*LOOKUP(AE$2,'HDD-by Country'!$A$4:$A$40,'HDD-by Country'!$C$4:$C$40)/1000</f>
        <v>19225.775555345099</v>
      </c>
      <c r="AF35" s="349">
        <f>AF28*24*LOOKUP(AF$2,'HDD-by Country'!$A$4:$A$40,'HDD-by Country'!$C$4:$C$40)/1000</f>
        <v>21113.818487770375</v>
      </c>
      <c r="AG35" s="349">
        <f>AG28*24*LOOKUP(AG$2,'HDD-by Country'!$A$4:$A$40,'HDD-by Country'!$C$4:$C$40)/1000</f>
        <v>34261.738805226843</v>
      </c>
      <c r="AH35" s="349">
        <f>AH28*24*LOOKUP(AH$2,'HDD-by Country'!$A$4:$A$40,'HDD-by Country'!$C$4:$C$40)/1000</f>
        <v>18700.740733880069</v>
      </c>
      <c r="AI35" s="349">
        <f>AI28*24*LOOKUP(AI$2,'HDD-by Country'!$A$4:$A$40,'HDD-by Country'!$C$4:$C$40)/1000</f>
        <v>30943.928696868559</v>
      </c>
      <c r="AJ35" s="349">
        <f>AJ28*24*LOOKUP(AJ$2,'HDD-by Country'!$A$4:$A$40,'HDD-by Country'!$C$4:$C$40)/1000</f>
        <v>22248.541656315942</v>
      </c>
      <c r="AK35" s="349">
        <f>AK28*24*LOOKUP(AK$2,'HDD-by Country'!$A$4:$A$40,'HDD-by Country'!$C$4:$C$40)/1000</f>
        <v>23098.23580216453</v>
      </c>
      <c r="AL35" s="349">
        <f>AL28*24*LOOKUP(AL$2,'HDD-by Country'!$A$4:$A$40,'HDD-by Country'!$C$4:$C$40)/1000</f>
        <v>19985.791833153944</v>
      </c>
      <c r="AM35" s="349">
        <f>AM28*24*LOOKUP(AM$2,'HDD-by Country'!$A$4:$A$40,'HDD-by Country'!$C$4:$C$40)/1000</f>
        <v>20459.216779781294</v>
      </c>
      <c r="AN35" s="354">
        <f>AN28*24*LOOKUP(AN$2,'HDD-by Country'!$A$4:$A$40,'HDD-by Country'!$C$4:$C$40)/1000</f>
        <v>20459.216779781294</v>
      </c>
    </row>
    <row r="36" spans="1:40" s="135" customFormat="1">
      <c r="A36" s="129"/>
      <c r="B36" s="142" t="s">
        <v>6</v>
      </c>
      <c r="C36" s="129" t="s">
        <v>261</v>
      </c>
      <c r="D36" s="345">
        <f>D29*24*LOOKUP(D$2,'HDD-by Country'!$A$4:$A$40,'HDD-by Country'!$C$4:$C$40)/1000</f>
        <v>17134.833003376076</v>
      </c>
      <c r="E36" s="349">
        <f>E29*24*LOOKUP(E$2,'HDD-by Country'!$A$4:$A$40,'HDD-by Country'!$C$4:$C$40)/1000</f>
        <v>37297.951477135561</v>
      </c>
      <c r="F36" s="349">
        <f>F29*24*LOOKUP(F$2,'HDD-by Country'!$A$4:$A$40,'HDD-by Country'!$C$4:$C$40)/1000</f>
        <v>15052.818313877475</v>
      </c>
      <c r="G36" s="349">
        <f>G29*24*LOOKUP(G$2,'HDD-by Country'!$A$4:$A$40,'HDD-by Country'!$C$4:$C$40)/1000</f>
        <v>16693.757279730133</v>
      </c>
      <c r="H36" s="349">
        <f>H29*24*LOOKUP(H$2,'HDD-by Country'!$A$4:$A$40,'HDD-by Country'!$C$4:$C$40)/1000</f>
        <v>11750.282891296296</v>
      </c>
      <c r="I36" s="349">
        <f>I29*24*LOOKUP(I$2,'HDD-by Country'!$A$4:$A$40,'HDD-by Country'!$C$4:$C$40)/1000</f>
        <v>17661.113447116244</v>
      </c>
      <c r="J36" s="349">
        <f>J29*24*LOOKUP(J$2,'HDD-by Country'!$A$4:$A$40,'HDD-by Country'!$C$4:$C$40)/1000</f>
        <v>10370.059466437919</v>
      </c>
      <c r="K36" s="349">
        <f>K29*24*LOOKUP(K$2,'HDD-by Country'!$A$4:$A$40,'HDD-by Country'!$C$4:$C$40)/1000</f>
        <v>15042.550316762716</v>
      </c>
      <c r="L36" s="349">
        <f>L29*24*LOOKUP(L$2,'HDD-by Country'!$A$4:$A$40,'HDD-by Country'!$C$4:$C$40)/1000</f>
        <v>8936.1262544401216</v>
      </c>
      <c r="M36" s="349">
        <f>M29*24*LOOKUP(M$2,'HDD-by Country'!$A$4:$A$40,'HDD-by Country'!$C$4:$C$40)/1000</f>
        <v>22186.907979406798</v>
      </c>
      <c r="N36" s="349">
        <f>N29*24*LOOKUP(N$2,'HDD-by Country'!$A$4:$A$40,'HDD-by Country'!$C$4:$C$40)/1000</f>
        <v>18363.993941786979</v>
      </c>
      <c r="O36" s="349">
        <f>O29*24*LOOKUP(O$2,'HDD-by Country'!$A$4:$A$40,'HDD-by Country'!$C$4:$C$40)/1000</f>
        <v>10210.177465962646</v>
      </c>
      <c r="P36" s="349">
        <f>P29*24*LOOKUP(P$2,'HDD-by Country'!$A$4:$A$40,'HDD-by Country'!$C$4:$C$40)/1000</f>
        <v>30943.928696868559</v>
      </c>
      <c r="Q36" s="349">
        <f>Q29*24*LOOKUP(Q$2,'HDD-by Country'!$A$4:$A$40,'HDD-by Country'!$C$4:$C$40)/1000</f>
        <v>14832.232020993819</v>
      </c>
      <c r="R36" s="349">
        <f>R29*24*LOOKUP(R$2,'HDD-by Country'!$A$4:$A$40,'HDD-by Country'!$C$4:$C$40)/1000</f>
        <v>19851.719634583362</v>
      </c>
      <c r="S36" s="349">
        <f>S29*24*LOOKUP(S$2,'HDD-by Country'!$A$4:$A$40,'HDD-by Country'!$C$4:$C$40)/1000</f>
        <v>21257.688198517586</v>
      </c>
      <c r="T36" s="349">
        <f>T29*24*LOOKUP(T$2,'HDD-by Country'!$A$4:$A$40,'HDD-by Country'!$C$4:$C$40)/1000</f>
        <v>15620.381855441366</v>
      </c>
      <c r="U36" s="349">
        <f>U29*24*LOOKUP(U$2,'HDD-by Country'!$A$4:$A$40,'HDD-by Country'!$C$4:$C$40)/1000</f>
        <v>21002.540833906351</v>
      </c>
      <c r="V36" s="349">
        <f>V29*24*LOOKUP(V$2,'HDD-by Country'!$A$4:$A$40,'HDD-by Country'!$C$4:$C$40)/1000</f>
        <v>20147.887344249521</v>
      </c>
      <c r="W36" s="349">
        <f>W29*24*LOOKUP(W$2,'HDD-by Country'!$A$4:$A$40,'HDD-by Country'!$C$4:$C$40)/1000</f>
        <v>12677.821756284851</v>
      </c>
      <c r="X36" s="349">
        <f>X29*24*LOOKUP(X$2,'HDD-by Country'!$A$4:$A$40,'HDD-by Country'!$C$4:$C$40)/1000</f>
        <v>18343.075807626992</v>
      </c>
      <c r="Y36" s="349">
        <f>Y29*24*LOOKUP(Y$2,'HDD-by Country'!$A$4:$A$40,'HDD-by Country'!$C$4:$C$40)/1000</f>
        <v>9413.1529099281743</v>
      </c>
      <c r="Z36" s="349">
        <f>Z29*24*LOOKUP(Z$2,'HDD-by Country'!$A$4:$A$40,'HDD-by Country'!$C$4:$C$40)/1000</f>
        <v>19814.972676162608</v>
      </c>
      <c r="AA36" s="349">
        <f>AA29*24*LOOKUP(AA$2,'HDD-by Country'!$A$4:$A$40,'HDD-by Country'!$C$4:$C$40)/1000</f>
        <v>17881.325410547797</v>
      </c>
      <c r="AB36" s="349">
        <f>AB29*24*LOOKUP(AB$2,'HDD-by Country'!$A$4:$A$40,'HDD-by Country'!$C$4:$C$40)/1000</f>
        <v>23860.031608627651</v>
      </c>
      <c r="AC36" s="349">
        <f>AC29*24*LOOKUP(AC$2,'HDD-by Country'!$A$4:$A$40,'HDD-by Country'!$C$4:$C$40)/1000</f>
        <v>20626.431899935709</v>
      </c>
      <c r="AD36" s="349">
        <f>AD29*24*LOOKUP(AD$2,'HDD-by Country'!$A$4:$A$40,'HDD-by Country'!$C$4:$C$40)/1000</f>
        <v>26857.236042596662</v>
      </c>
      <c r="AE36" s="349">
        <f>AE29*24*LOOKUP(AE$2,'HDD-by Country'!$A$4:$A$40,'HDD-by Country'!$C$4:$C$40)/1000</f>
        <v>17241.575546408469</v>
      </c>
      <c r="AF36" s="349">
        <f>AF29*24*LOOKUP(AF$2,'HDD-by Country'!$A$4:$A$40,'HDD-by Country'!$C$4:$C$40)/1000</f>
        <v>14712.471835735716</v>
      </c>
      <c r="AG36" s="349">
        <f>AG29*24*LOOKUP(AG$2,'HDD-by Country'!$A$4:$A$40,'HDD-by Country'!$C$4:$C$40)/1000</f>
        <v>31124.09853973284</v>
      </c>
      <c r="AH36" s="349">
        <f>AH29*24*LOOKUP(AH$2,'HDD-by Country'!$A$4:$A$40,'HDD-by Country'!$C$4:$C$40)/1000</f>
        <v>13013.356094237246</v>
      </c>
      <c r="AI36" s="349">
        <f>AI29*24*LOOKUP(AI$2,'HDD-by Country'!$A$4:$A$40,'HDD-by Country'!$C$4:$C$40)/1000</f>
        <v>30943.928696868559</v>
      </c>
      <c r="AJ36" s="349">
        <f>AJ29*24*LOOKUP(AJ$2,'HDD-by Country'!$A$4:$A$40,'HDD-by Country'!$C$4:$C$40)/1000</f>
        <v>21091.284412571946</v>
      </c>
      <c r="AK36" s="349">
        <f>AK29*24*LOOKUP(AK$2,'HDD-by Country'!$A$4:$A$40,'HDD-by Country'!$C$4:$C$40)/1000</f>
        <v>21780.574673221261</v>
      </c>
      <c r="AL36" s="349">
        <f>AL29*24*LOOKUP(AL$2,'HDD-by Country'!$A$4:$A$40,'HDD-by Country'!$C$4:$C$40)/1000</f>
        <v>15626.213372149379</v>
      </c>
      <c r="AM36" s="349">
        <f>AM29*24*LOOKUP(AM$2,'HDD-by Country'!$A$4:$A$40,'HDD-by Country'!$C$4:$C$40)/1000</f>
        <v>19395.031217173451</v>
      </c>
      <c r="AN36" s="354">
        <f>AN29*24*LOOKUP(AN$2,'HDD-by Country'!$A$4:$A$40,'HDD-by Country'!$C$4:$C$40)/1000</f>
        <v>19395.031217173451</v>
      </c>
    </row>
    <row r="37" spans="1:40" s="135" customFormat="1">
      <c r="A37" s="130"/>
      <c r="B37" s="142" t="s">
        <v>7</v>
      </c>
      <c r="C37" s="129" t="s">
        <v>261</v>
      </c>
      <c r="D37" s="345">
        <f>D30*24*LOOKUP(D$2,'HDD-by Country'!$A$4:$A$40,'HDD-by Country'!$C$4:$C$40)/1000</f>
        <v>14901.203368913466</v>
      </c>
      <c r="E37" s="349">
        <f>E30*24*LOOKUP(E$2,'HDD-by Country'!$A$4:$A$40,'HDD-by Country'!$C$4:$C$40)/1000</f>
        <v>20307.917992078961</v>
      </c>
      <c r="F37" s="349">
        <f>F30*24*LOOKUP(F$2,'HDD-by Country'!$A$4:$A$40,'HDD-by Country'!$C$4:$C$40)/1000</f>
        <v>9783.2710820815537</v>
      </c>
      <c r="G37" s="349">
        <f>G30*24*LOOKUP(G$2,'HDD-by Country'!$A$4:$A$40,'HDD-by Country'!$C$4:$C$40)/1000</f>
        <v>14517.624546882118</v>
      </c>
      <c r="H37" s="349">
        <f>H30*24*LOOKUP(H$2,'HDD-by Country'!$A$4:$A$40,'HDD-by Country'!$C$4:$C$40)/1000</f>
        <v>10090.471920698439</v>
      </c>
      <c r="I37" s="349">
        <f>I30*24*LOOKUP(I$2,'HDD-by Country'!$A$4:$A$40,'HDD-by Country'!$C$4:$C$40)/1000</f>
        <v>13275.200048209663</v>
      </c>
      <c r="J37" s="349">
        <f>J30*24*LOOKUP(J$2,'HDD-by Country'!$A$4:$A$40,'HDD-by Country'!$C$4:$C$40)/1000</f>
        <v>11331.395281415706</v>
      </c>
      <c r="K37" s="349">
        <f>K30*24*LOOKUP(K$2,'HDD-by Country'!$A$4:$A$40,'HDD-by Country'!$C$4:$C$40)/1000</f>
        <v>10343.621773836237</v>
      </c>
      <c r="L37" s="349">
        <f>L30*24*LOOKUP(L$2,'HDD-by Country'!$A$4:$A$40,'HDD-by Country'!$C$4:$C$40)/1000</f>
        <v>8936.1262544401216</v>
      </c>
      <c r="M37" s="349">
        <f>M30*24*LOOKUP(M$2,'HDD-by Country'!$A$4:$A$40,'HDD-by Country'!$C$4:$C$40)/1000</f>
        <v>14111.082623282698</v>
      </c>
      <c r="N37" s="349">
        <f>N30*24*LOOKUP(N$2,'HDD-by Country'!$A$4:$A$40,'HDD-by Country'!$C$4:$C$40)/1000</f>
        <v>16110.832276302192</v>
      </c>
      <c r="O37" s="349">
        <f>O30*24*LOOKUP(O$2,'HDD-by Country'!$A$4:$A$40,'HDD-by Country'!$C$4:$C$40)/1000</f>
        <v>9812.6350951553304</v>
      </c>
      <c r="P37" s="349">
        <f>P30*24*LOOKUP(P$2,'HDD-by Country'!$A$4:$A$40,'HDD-by Country'!$C$4:$C$40)/1000</f>
        <v>10550.748015199209</v>
      </c>
      <c r="Q37" s="349">
        <f>Q30*24*LOOKUP(Q$2,'HDD-by Country'!$A$4:$A$40,'HDD-by Country'!$C$4:$C$40)/1000</f>
        <v>8701.1737778090828</v>
      </c>
      <c r="R37" s="349">
        <f>R30*24*LOOKUP(R$2,'HDD-by Country'!$A$4:$A$40,'HDD-by Country'!$C$4:$C$40)/1000</f>
        <v>11203.06998513643</v>
      </c>
      <c r="S37" s="349">
        <f>S30*24*LOOKUP(S$2,'HDD-by Country'!$A$4:$A$40,'HDD-by Country'!$C$4:$C$40)/1000</f>
        <v>12620.553024464651</v>
      </c>
      <c r="T37" s="349">
        <f>T30*24*LOOKUP(T$2,'HDD-by Country'!$A$4:$A$40,'HDD-by Country'!$C$4:$C$40)/1000</f>
        <v>13703.846394338412</v>
      </c>
      <c r="U37" s="349">
        <f>U30*24*LOOKUP(U$2,'HDD-by Country'!$A$4:$A$40,'HDD-by Country'!$C$4:$C$40)/1000</f>
        <v>19583.420833906348</v>
      </c>
      <c r="V37" s="349">
        <f>V30*24*LOOKUP(V$2,'HDD-by Country'!$A$4:$A$40,'HDD-by Country'!$C$4:$C$40)/1000</f>
        <v>11155.109157202223</v>
      </c>
      <c r="W37" s="349">
        <f>W30*24*LOOKUP(W$2,'HDD-by Country'!$A$4:$A$40,'HDD-by Country'!$C$4:$C$40)/1000</f>
        <v>9859.5390554091064</v>
      </c>
      <c r="X37" s="349">
        <f>X30*24*LOOKUP(X$2,'HDD-by Country'!$A$4:$A$40,'HDD-by Country'!$C$4:$C$40)/1000</f>
        <v>10942.54769074572</v>
      </c>
      <c r="Y37" s="349">
        <f>Y30*24*LOOKUP(Y$2,'HDD-by Country'!$A$4:$A$40,'HDD-by Country'!$C$4:$C$40)/1000</f>
        <v>8981.8768855137587</v>
      </c>
      <c r="Z37" s="349">
        <f>Z30*24*LOOKUP(Z$2,'HDD-by Country'!$A$4:$A$40,'HDD-by Country'!$C$4:$C$40)/1000</f>
        <v>13262.704055103703</v>
      </c>
      <c r="AA37" s="349">
        <f>AA30*24*LOOKUP(AA$2,'HDD-by Country'!$A$4:$A$40,'HDD-by Country'!$C$4:$C$40)/1000</f>
        <v>15160.085301107802</v>
      </c>
      <c r="AB37" s="349">
        <f>AB30*24*LOOKUP(AB$2,'HDD-by Country'!$A$4:$A$40,'HDD-by Country'!$C$4:$C$40)/1000</f>
        <v>18328.076452040918</v>
      </c>
      <c r="AC37" s="349">
        <f>AC30*24*LOOKUP(AC$2,'HDD-by Country'!$A$4:$A$40,'HDD-by Country'!$C$4:$C$40)/1000</f>
        <v>13096.78984321373</v>
      </c>
      <c r="AD37" s="349">
        <f>AD30*24*LOOKUP(AD$2,'HDD-by Country'!$A$4:$A$40,'HDD-by Country'!$C$4:$C$40)/1000</f>
        <v>19931.913027139959</v>
      </c>
      <c r="AE37" s="349">
        <f>AE30*24*LOOKUP(AE$2,'HDD-by Country'!$A$4:$A$40,'HDD-by Country'!$C$4:$C$40)/1000</f>
        <v>14617.694718248471</v>
      </c>
      <c r="AF37" s="349">
        <f>AF30*24*LOOKUP(AF$2,'HDD-by Country'!$A$4:$A$40,'HDD-by Country'!$C$4:$C$40)/1000</f>
        <v>7883.1391320258426</v>
      </c>
      <c r="AG37" s="349">
        <f>AG30*24*LOOKUP(AG$2,'HDD-by Country'!$A$4:$A$40,'HDD-by Country'!$C$4:$C$40)/1000</f>
        <v>16973.639636068765</v>
      </c>
      <c r="AH37" s="349">
        <f>AH30*24*LOOKUP(AH$2,'HDD-by Country'!$A$4:$A$40,'HDD-by Country'!$C$4:$C$40)/1000</f>
        <v>10564.795791607607</v>
      </c>
      <c r="AI37" s="349">
        <f>AI30*24*LOOKUP(AI$2,'HDD-by Country'!$A$4:$A$40,'HDD-by Country'!$C$4:$C$40)/1000</f>
        <v>10550.748015199209</v>
      </c>
      <c r="AJ37" s="349">
        <f>AJ30*24*LOOKUP(AJ$2,'HDD-by Country'!$A$4:$A$40,'HDD-by Country'!$C$4:$C$40)/1000</f>
        <v>17778.755193695975</v>
      </c>
      <c r="AK37" s="349">
        <f>AK30*24*LOOKUP(AK$2,'HDD-by Country'!$A$4:$A$40,'HDD-by Country'!$C$4:$C$40)/1000</f>
        <v>18398.350160489463</v>
      </c>
      <c r="AL37" s="349">
        <f>AL30*24*LOOKUP(AL$2,'HDD-by Country'!$A$4:$A$40,'HDD-by Country'!$C$4:$C$40)/1000</f>
        <v>10122.457443555577</v>
      </c>
      <c r="AM37" s="349">
        <f>AM30*24*LOOKUP(AM$2,'HDD-by Country'!$A$4:$A$40,'HDD-by Country'!$C$4:$C$40)/1000</f>
        <v>16348.910063470594</v>
      </c>
      <c r="AN37" s="354">
        <f>AN30*24*LOOKUP(AN$2,'HDD-by Country'!$A$4:$A$40,'HDD-by Country'!$C$4:$C$40)/1000</f>
        <v>16348.910063470594</v>
      </c>
    </row>
    <row r="38" spans="1:40" s="135" customFormat="1">
      <c r="A38" s="130"/>
      <c r="B38" s="153" t="s">
        <v>259</v>
      </c>
      <c r="C38" s="121" t="s">
        <v>261</v>
      </c>
      <c r="D38" s="348">
        <f>D31*24*LOOKUP(D$2,'HDD-by Country'!$A$4:$A$40,'HDD-by Country'!$C$4:$C$40)/1000</f>
        <v>33178.359679480775</v>
      </c>
      <c r="E38" s="350">
        <f>E31*24*LOOKUP(E$2,'HDD-by Country'!$A$4:$A$40,'HDD-by Country'!$C$4:$C$40)/1000</f>
        <v>41940.808124763716</v>
      </c>
      <c r="F38" s="350">
        <f>F31*24*LOOKUP(F$2,'HDD-by Country'!$A$4:$A$40,'HDD-by Country'!$C$4:$C$40)/1000</f>
        <v>20039.689877620887</v>
      </c>
      <c r="G38" s="350">
        <f>G31*24*LOOKUP(G$2,'HDD-by Country'!$A$4:$A$40,'HDD-by Country'!$C$4:$C$40)/1000</f>
        <v>32324.300057065499</v>
      </c>
      <c r="H38" s="350">
        <f>H31*24*LOOKUP(H$2,'HDD-by Country'!$A$4:$A$40,'HDD-by Country'!$C$4:$C$40)/1000</f>
        <v>12297.428594277255</v>
      </c>
      <c r="I38" s="350">
        <f>I31*24*LOOKUP(I$2,'HDD-by Country'!$A$4:$A$40,'HDD-by Country'!$C$4:$C$40)/1000</f>
        <v>26360.139114835089</v>
      </c>
      <c r="J38" s="350">
        <f>J31*24*LOOKUP(J$2,'HDD-by Country'!$A$4:$A$40,'HDD-by Country'!$C$4:$C$40)/1000</f>
        <v>31650.389166070228</v>
      </c>
      <c r="K38" s="350">
        <f>K31*24*LOOKUP(K$2,'HDD-by Country'!$A$4:$A$40,'HDD-by Country'!$C$4:$C$40)/1000</f>
        <v>23216.940060585788</v>
      </c>
      <c r="L38" s="350">
        <f>L31*24*LOOKUP(L$2,'HDD-by Country'!$A$4:$A$40,'HDD-by Country'!$C$4:$C$40)/1000</f>
        <v>14870.352598474092</v>
      </c>
      <c r="M38" s="350">
        <f>M31*24*LOOKUP(M$2,'HDD-by Country'!$A$4:$A$40,'HDD-by Country'!$C$4:$C$40)/1000</f>
        <v>28656.277543771008</v>
      </c>
      <c r="N38" s="350">
        <f>N31*24*LOOKUP(N$2,'HDD-by Country'!$A$4:$A$40,'HDD-by Country'!$C$4:$C$40)/1000</f>
        <v>23834.689456810946</v>
      </c>
      <c r="O38" s="350">
        <f>O31*24*LOOKUP(O$2,'HDD-by Country'!$A$4:$A$40,'HDD-by Country'!$C$4:$C$40)/1000</f>
        <v>32823.647569191962</v>
      </c>
      <c r="P38" s="350">
        <f>P31*24*LOOKUP(P$2,'HDD-by Country'!$A$4:$A$40,'HDD-by Country'!$C$4:$C$40)/1000</f>
        <v>30254.509422842715</v>
      </c>
      <c r="Q38" s="350">
        <f>Q31*24*LOOKUP(Q$2,'HDD-by Country'!$A$4:$A$40,'HDD-by Country'!$C$4:$C$40)/1000</f>
        <v>20917.638081763944</v>
      </c>
      <c r="R38" s="350">
        <f>R31*24*LOOKUP(R$2,'HDD-by Country'!$A$4:$A$40,'HDD-by Country'!$C$4:$C$40)/1000</f>
        <v>25511.297787329862</v>
      </c>
      <c r="S38" s="350">
        <f>S31*24*LOOKUP(S$2,'HDD-by Country'!$A$4:$A$40,'HDD-by Country'!$C$4:$C$40)/1000</f>
        <v>29813.499077783112</v>
      </c>
      <c r="T38" s="350">
        <f>T31*24*LOOKUP(T$2,'HDD-by Country'!$A$4:$A$40,'HDD-by Country'!$C$4:$C$40)/1000</f>
        <v>20273.746108904488</v>
      </c>
      <c r="U38" s="350">
        <f>U31*24*LOOKUP(U$2,'HDD-by Country'!$A$4:$A$40,'HDD-by Country'!$C$4:$C$40)/1000</f>
        <v>30842.725374584159</v>
      </c>
      <c r="V38" s="350">
        <f>V31*24*LOOKUP(V$2,'HDD-by Country'!$A$4:$A$40,'HDD-by Country'!$C$4:$C$40)/1000</f>
        <v>26471.893239409008</v>
      </c>
      <c r="W38" s="350">
        <f>W31*24*LOOKUP(W$2,'HDD-by Country'!$A$4:$A$40,'HDD-by Country'!$C$4:$C$40)/1000</f>
        <v>26383.714189444971</v>
      </c>
      <c r="X38" s="350">
        <f>X31*24*LOOKUP(X$2,'HDD-by Country'!$A$4:$A$40,'HDD-by Country'!$C$4:$C$40)/1000</f>
        <v>29994.441805411778</v>
      </c>
      <c r="Y38" s="350">
        <f>Y31*24*LOOKUP(Y$2,'HDD-by Country'!$A$4:$A$40,'HDD-by Country'!$C$4:$C$40)/1000</f>
        <v>11030.518813087841</v>
      </c>
      <c r="Z38" s="350">
        <f>Z31*24*LOOKUP(Z$2,'HDD-by Country'!$A$4:$A$40,'HDD-by Country'!$C$4:$C$40)/1000</f>
        <v>33888.784880370178</v>
      </c>
      <c r="AA38" s="350">
        <f>AA31*24*LOOKUP(AA$2,'HDD-by Country'!$A$4:$A$40,'HDD-by Country'!$C$4:$C$40)/1000</f>
        <v>23417.621679502729</v>
      </c>
      <c r="AB38" s="350">
        <f>AB31*24*LOOKUP(AB$2,'HDD-by Country'!$A$4:$A$40,'HDD-by Country'!$C$4:$C$40)/1000</f>
        <v>30758.243279619492</v>
      </c>
      <c r="AC38" s="350">
        <f>AC31*24*LOOKUP(AC$2,'HDD-by Country'!$A$4:$A$40,'HDD-by Country'!$C$4:$C$40)/1000</f>
        <v>21973.089560246226</v>
      </c>
      <c r="AD38" s="350">
        <f>AD31*24*LOOKUP(AD$2,'HDD-by Country'!$A$4:$A$40,'HDD-by Country'!$C$4:$C$40)/1000</f>
        <v>30224.824256943702</v>
      </c>
      <c r="AE38" s="350">
        <f>AE31*24*LOOKUP(AE$2,'HDD-by Country'!$A$4:$A$40,'HDD-by Country'!$C$4:$C$40)/1000</f>
        <v>24667.844830754519</v>
      </c>
      <c r="AF38" s="350">
        <f>AF31*24*LOOKUP(AF$2,'HDD-by Country'!$A$4:$A$40,'HDD-by Country'!$C$4:$C$40)/1000</f>
        <v>26401.878837312259</v>
      </c>
      <c r="AG38" s="350">
        <f>AG31*24*LOOKUP(AG$2,'HDD-by Country'!$A$4:$A$40,'HDD-by Country'!$C$4:$C$40)/1000</f>
        <v>39162.365866517684</v>
      </c>
      <c r="AH38" s="350">
        <f>AH31*24*LOOKUP(AH$2,'HDD-by Country'!$A$4:$A$40,'HDD-by Country'!$C$4:$C$40)/1000</f>
        <v>34031.68470675173</v>
      </c>
      <c r="AI38" s="350">
        <f>AI31*24*LOOKUP(AI$2,'HDD-by Country'!$A$4:$A$40,'HDD-by Country'!$C$4:$C$40)/1000</f>
        <v>30254.509422842726</v>
      </c>
      <c r="AJ38" s="350">
        <f>AJ31*24*LOOKUP(AJ$2,'HDD-by Country'!$A$4:$A$40,'HDD-by Country'!$C$4:$C$40)/1000</f>
        <v>24191.475760083285</v>
      </c>
      <c r="AK38" s="350">
        <f>AK31*24*LOOKUP(AK$2,'HDD-by Country'!$A$4:$A$40,'HDD-by Country'!$C$4:$C$40)/1000</f>
        <v>25257.458920871999</v>
      </c>
      <c r="AL38" s="350">
        <f>AL31*24*LOOKUP(AL$2,'HDD-by Country'!$A$4:$A$40,'HDD-by Country'!$C$4:$C$40)/1000</f>
        <v>20939.346816712066</v>
      </c>
      <c r="AM38" s="350">
        <f>AM31*24*LOOKUP(AM$2,'HDD-by Country'!$A$4:$A$40,'HDD-by Country'!$C$4:$C$40)/1000</f>
        <v>22245.891638379115</v>
      </c>
      <c r="AN38" s="355">
        <f>AN31*24*LOOKUP(AN$2,'HDD-by Country'!$A$4:$A$40,'HDD-by Country'!$C$4:$C$40)/1000</f>
        <v>22245.891638379115</v>
      </c>
    </row>
    <row r="39" spans="1:40" s="135" customFormat="1">
      <c r="A39" s="150" t="s">
        <v>263</v>
      </c>
      <c r="B39" s="361" t="s">
        <v>259</v>
      </c>
      <c r="C39" s="362" t="s">
        <v>190</v>
      </c>
      <c r="D39" s="363">
        <f t="shared" ref="D39:AN39" si="15">D38/D$4</f>
        <v>221.4982391553595</v>
      </c>
      <c r="E39" s="364">
        <f t="shared" si="15"/>
        <v>294.5432283221715</v>
      </c>
      <c r="F39" s="364">
        <f t="shared" si="15"/>
        <v>252.03968142736264</v>
      </c>
      <c r="G39" s="364">
        <f t="shared" si="15"/>
        <v>215.79654973110297</v>
      </c>
      <c r="H39" s="364">
        <f t="shared" si="15"/>
        <v>107.51469899296025</v>
      </c>
      <c r="I39" s="364">
        <f t="shared" si="15"/>
        <v>211.19110344413809</v>
      </c>
      <c r="J39" s="364">
        <f t="shared" si="15"/>
        <v>235.83020490706869</v>
      </c>
      <c r="K39" s="364">
        <f t="shared" si="15"/>
        <v>138.91961143207652</v>
      </c>
      <c r="L39" s="364">
        <f t="shared" si="15"/>
        <v>139.48160548782937</v>
      </c>
      <c r="M39" s="364">
        <f t="shared" si="15"/>
        <v>206.59085969936447</v>
      </c>
      <c r="N39" s="364">
        <f t="shared" si="15"/>
        <v>196.5747584066882</v>
      </c>
      <c r="O39" s="364">
        <f t="shared" si="15"/>
        <v>235.24239556676105</v>
      </c>
      <c r="P39" s="364">
        <f t="shared" si="15"/>
        <v>264.51094623882125</v>
      </c>
      <c r="Q39" s="364">
        <f t="shared" si="15"/>
        <v>243.36598952659341</v>
      </c>
      <c r="R39" s="364">
        <f t="shared" si="15"/>
        <v>219.10074187790798</v>
      </c>
      <c r="S39" s="364">
        <f t="shared" si="15"/>
        <v>202.64085854233386</v>
      </c>
      <c r="T39" s="364">
        <f t="shared" si="15"/>
        <v>167.20615347550094</v>
      </c>
      <c r="U39" s="364">
        <f t="shared" si="15"/>
        <v>224.92415952294738</v>
      </c>
      <c r="V39" s="364">
        <f t="shared" si="15"/>
        <v>219.24647377608173</v>
      </c>
      <c r="W39" s="364">
        <f t="shared" si="15"/>
        <v>241.09411060963194</v>
      </c>
      <c r="X39" s="364">
        <f t="shared" si="15"/>
        <v>249.9536817117648</v>
      </c>
      <c r="Y39" s="364">
        <f t="shared" si="15"/>
        <v>89.26716109759731</v>
      </c>
      <c r="Z39" s="364">
        <f t="shared" si="15"/>
        <v>236.50859812070587</v>
      </c>
      <c r="AA39" s="364">
        <f t="shared" si="15"/>
        <v>150.23333876184589</v>
      </c>
      <c r="AB39" s="364">
        <f t="shared" si="15"/>
        <v>255.57906150424526</v>
      </c>
      <c r="AC39" s="364">
        <f t="shared" si="15"/>
        <v>151.46813951015787</v>
      </c>
      <c r="AD39" s="364">
        <f t="shared" si="15"/>
        <v>332.86251513693463</v>
      </c>
      <c r="AE39" s="364">
        <f t="shared" si="15"/>
        <v>158.25401655656466</v>
      </c>
      <c r="AF39" s="364">
        <f t="shared" si="15"/>
        <v>221.16142057713878</v>
      </c>
      <c r="AG39" s="364">
        <f t="shared" si="15"/>
        <v>325.82480542185715</v>
      </c>
      <c r="AH39" s="364">
        <f t="shared" si="15"/>
        <v>333.35799884169688</v>
      </c>
      <c r="AI39" s="364">
        <f t="shared" si="15"/>
        <v>264.5109462388213</v>
      </c>
      <c r="AJ39" s="364">
        <f t="shared" si="15"/>
        <v>281.45541162192228</v>
      </c>
      <c r="AK39" s="364">
        <f t="shared" si="15"/>
        <v>220.82243229843365</v>
      </c>
      <c r="AL39" s="364">
        <f t="shared" si="15"/>
        <v>243.61855952237252</v>
      </c>
      <c r="AM39" s="364">
        <f t="shared" si="15"/>
        <v>258.8195383395294</v>
      </c>
      <c r="AN39" s="365">
        <f t="shared" si="15"/>
        <v>258.8195383395294</v>
      </c>
    </row>
    <row r="40" spans="1:40" s="135" customFormat="1">
      <c r="A40" s="151" t="s">
        <v>260</v>
      </c>
      <c r="B40" s="141" t="s">
        <v>2</v>
      </c>
      <c r="C40" s="360" t="s">
        <v>261</v>
      </c>
      <c r="D40" s="351">
        <f t="shared" ref="D40:D45" si="16">D32/(1.355*(D25/D$17)^0.16)</f>
        <v>32199.425856483173</v>
      </c>
      <c r="E40" s="352">
        <f t="shared" ref="E40:AN40" si="17">E32/(1.355*(E25/E$17)^0.16)</f>
        <v>31020.747589902421</v>
      </c>
      <c r="F40" s="352">
        <f t="shared" si="17"/>
        <v>16430.551444325221</v>
      </c>
      <c r="G40" s="352">
        <f t="shared" si="17"/>
        <v>31370.565425930166</v>
      </c>
      <c r="H40" s="352">
        <f t="shared" si="17"/>
        <v>9582.2260912088768</v>
      </c>
      <c r="I40" s="352">
        <f t="shared" si="17"/>
        <v>23969.652964782927</v>
      </c>
      <c r="J40" s="352">
        <f t="shared" si="17"/>
        <v>32836.68535451981</v>
      </c>
      <c r="K40" s="352">
        <f t="shared" si="17"/>
        <v>22371.529176452499</v>
      </c>
      <c r="L40" s="352">
        <f t="shared" si="17"/>
        <v>14940.455747289461</v>
      </c>
      <c r="M40" s="352">
        <f t="shared" si="17"/>
        <v>26073.285814601069</v>
      </c>
      <c r="N40" s="352">
        <f t="shared" si="17"/>
        <v>25360.301223411549</v>
      </c>
      <c r="O40" s="352">
        <f>O32/(1.355*(O25/O$17)^0.16)</f>
        <v>34422.719503901157</v>
      </c>
      <c r="P40" s="352">
        <f t="shared" si="17"/>
        <v>20564.871148755414</v>
      </c>
      <c r="Q40" s="352">
        <f t="shared" si="17"/>
        <v>16719.341540519901</v>
      </c>
      <c r="R40" s="352">
        <f t="shared" si="17"/>
        <v>22551.611353735443</v>
      </c>
      <c r="S40" s="352">
        <f t="shared" si="17"/>
        <v>32065.997825372444</v>
      </c>
      <c r="T40" s="352">
        <f t="shared" si="17"/>
        <v>21571.428869691605</v>
      </c>
      <c r="U40" s="352">
        <f t="shared" si="17"/>
        <v>23754.086348107528</v>
      </c>
      <c r="V40" s="352">
        <f t="shared" si="17"/>
        <v>24563.361998604825</v>
      </c>
      <c r="W40" s="352">
        <f t="shared" si="17"/>
        <v>25086.244971217842</v>
      </c>
      <c r="X40" s="352">
        <f t="shared" si="17"/>
        <v>27778.089075994601</v>
      </c>
      <c r="Y40" s="352">
        <f t="shared" si="17"/>
        <v>8062.2918995065256</v>
      </c>
      <c r="Z40" s="352">
        <f t="shared" si="17"/>
        <v>33284.218701682934</v>
      </c>
      <c r="AA40" s="352">
        <f t="shared" si="17"/>
        <v>24659.213860835607</v>
      </c>
      <c r="AB40" s="352">
        <f t="shared" si="17"/>
        <v>34274.454079663476</v>
      </c>
      <c r="AC40" s="352">
        <f t="shared" si="17"/>
        <v>17385.114564897292</v>
      </c>
      <c r="AD40" s="352">
        <f t="shared" si="17"/>
        <v>24128.519785689277</v>
      </c>
      <c r="AE40" s="352">
        <f t="shared" si="17"/>
        <v>23776.967810554204</v>
      </c>
      <c r="AF40" s="352">
        <f t="shared" si="17"/>
        <v>22746.675790391597</v>
      </c>
      <c r="AG40" s="352">
        <f t="shared" si="17"/>
        <v>33705.968265706921</v>
      </c>
      <c r="AH40" s="352">
        <f t="shared" si="17"/>
        <v>27106.389145033721</v>
      </c>
      <c r="AI40" s="352">
        <f t="shared" si="17"/>
        <v>20564.871148755414</v>
      </c>
      <c r="AJ40" s="352">
        <f t="shared" si="17"/>
        <v>18030.975642549078</v>
      </c>
      <c r="AK40" s="352">
        <f t="shared" si="17"/>
        <v>19255.741028061955</v>
      </c>
      <c r="AL40" s="352">
        <f t="shared" si="17"/>
        <v>17291.404048984485</v>
      </c>
      <c r="AM40" s="352">
        <f t="shared" si="17"/>
        <v>16580.845842412517</v>
      </c>
      <c r="AN40" s="353">
        <f t="shared" si="17"/>
        <v>16580.845842412517</v>
      </c>
    </row>
    <row r="41" spans="1:40" s="135" customFormat="1">
      <c r="A41" s="129"/>
      <c r="B41" s="142" t="s">
        <v>3</v>
      </c>
      <c r="C41" s="129" t="s">
        <v>261</v>
      </c>
      <c r="D41" s="345">
        <f t="shared" si="16"/>
        <v>29988.247009140261</v>
      </c>
      <c r="E41" s="349">
        <f t="shared" ref="E41:AN41" si="18">E33/(1.355*(E26/E$17)^0.16)</f>
        <v>31020.747589902421</v>
      </c>
      <c r="F41" s="349">
        <f t="shared" si="18"/>
        <v>16430.551444325221</v>
      </c>
      <c r="G41" s="349">
        <f t="shared" si="18"/>
        <v>29216.305564025293</v>
      </c>
      <c r="H41" s="349">
        <f t="shared" si="18"/>
        <v>9031.6622856504091</v>
      </c>
      <c r="I41" s="349">
        <f t="shared" si="18"/>
        <v>20565.820570647775</v>
      </c>
      <c r="J41" s="349">
        <f t="shared" si="18"/>
        <v>28364.239681954394</v>
      </c>
      <c r="K41" s="349">
        <f t="shared" si="18"/>
        <v>21737.857497007375</v>
      </c>
      <c r="L41" s="349">
        <f t="shared" si="18"/>
        <v>14940.455747289461</v>
      </c>
      <c r="M41" s="349">
        <f t="shared" si="18"/>
        <v>23780.454302248199</v>
      </c>
      <c r="N41" s="349">
        <f t="shared" si="18"/>
        <v>23442.788814109379</v>
      </c>
      <c r="O41" s="349">
        <f t="shared" si="18"/>
        <v>34422.719503901157</v>
      </c>
      <c r="P41" s="349">
        <f t="shared" si="18"/>
        <v>20564.871148755414</v>
      </c>
      <c r="Q41" s="349">
        <f t="shared" si="18"/>
        <v>17544.29977877955</v>
      </c>
      <c r="R41" s="349">
        <f t="shared" si="18"/>
        <v>22551.611353735443</v>
      </c>
      <c r="S41" s="349">
        <f t="shared" si="18"/>
        <v>32480.024279299738</v>
      </c>
      <c r="T41" s="349">
        <f t="shared" si="18"/>
        <v>19940.396092138169</v>
      </c>
      <c r="U41" s="349">
        <f t="shared" si="18"/>
        <v>22658.263326705226</v>
      </c>
      <c r="V41" s="349">
        <f t="shared" si="18"/>
        <v>24563.361998604825</v>
      </c>
      <c r="W41" s="349">
        <f t="shared" si="18"/>
        <v>25499.904297707672</v>
      </c>
      <c r="X41" s="349">
        <f t="shared" si="18"/>
        <v>27398.39372603584</v>
      </c>
      <c r="Y41" s="349">
        <f t="shared" si="18"/>
        <v>8052.4710915731157</v>
      </c>
      <c r="Z41" s="349">
        <f t="shared" si="18"/>
        <v>27304.117285842294</v>
      </c>
      <c r="AA41" s="349">
        <f t="shared" si="18"/>
        <v>24549.427046364508</v>
      </c>
      <c r="AB41" s="349">
        <f t="shared" si="18"/>
        <v>25203.752584850048</v>
      </c>
      <c r="AC41" s="349">
        <f t="shared" si="18"/>
        <v>15931.069516068312</v>
      </c>
      <c r="AD41" s="349">
        <f t="shared" si="18"/>
        <v>22049.873719510644</v>
      </c>
      <c r="AE41" s="349">
        <f t="shared" si="18"/>
        <v>23671.108898407441</v>
      </c>
      <c r="AF41" s="349">
        <f t="shared" si="18"/>
        <v>22746.675790391597</v>
      </c>
      <c r="AG41" s="349">
        <f t="shared" si="18"/>
        <v>29031.130669673752</v>
      </c>
      <c r="AH41" s="349">
        <f t="shared" si="18"/>
        <v>28311.900001667716</v>
      </c>
      <c r="AI41" s="349">
        <f t="shared" si="18"/>
        <v>20564.871148755414</v>
      </c>
      <c r="AJ41" s="349">
        <f t="shared" si="18"/>
        <v>18030.975642549078</v>
      </c>
      <c r="AK41" s="349">
        <f t="shared" si="18"/>
        <v>19255.741028061955</v>
      </c>
      <c r="AL41" s="349">
        <f t="shared" si="18"/>
        <v>17291.404048984485</v>
      </c>
      <c r="AM41" s="349">
        <f t="shared" si="18"/>
        <v>16580.845842412517</v>
      </c>
      <c r="AN41" s="354">
        <f t="shared" si="18"/>
        <v>16580.845842412517</v>
      </c>
    </row>
    <row r="42" spans="1:40" s="135" customFormat="1">
      <c r="A42" s="129"/>
      <c r="B42" s="142" t="s">
        <v>4</v>
      </c>
      <c r="C42" s="129" t="s">
        <v>261</v>
      </c>
      <c r="D42" s="345">
        <f t="shared" si="16"/>
        <v>24084.802732956792</v>
      </c>
      <c r="E42" s="349">
        <f t="shared" ref="E42:AN42" si="19">E34/(1.355*(E27/E$17)^0.16)</f>
        <v>31020.747589902421</v>
      </c>
      <c r="F42" s="349">
        <f t="shared" si="19"/>
        <v>15588.422165521008</v>
      </c>
      <c r="G42" s="349">
        <f t="shared" si="19"/>
        <v>23464.824598812411</v>
      </c>
      <c r="H42" s="349">
        <f t="shared" si="19"/>
        <v>9433.7537925561028</v>
      </c>
      <c r="I42" s="349">
        <f t="shared" si="19"/>
        <v>20565.820570647775</v>
      </c>
      <c r="J42" s="349">
        <f t="shared" si="19"/>
        <v>18905.520808263762</v>
      </c>
      <c r="K42" s="349">
        <f t="shared" si="19"/>
        <v>15389.28643600911</v>
      </c>
      <c r="L42" s="349">
        <f t="shared" si="19"/>
        <v>12493.429724442442</v>
      </c>
      <c r="M42" s="349">
        <f t="shared" si="19"/>
        <v>23780.454302248199</v>
      </c>
      <c r="N42" s="349">
        <f t="shared" si="19"/>
        <v>19603.630805757599</v>
      </c>
      <c r="O42" s="349">
        <f t="shared" si="19"/>
        <v>17035.817632733309</v>
      </c>
      <c r="P42" s="349">
        <f t="shared" si="19"/>
        <v>20564.871148755414</v>
      </c>
      <c r="Q42" s="349">
        <f t="shared" si="19"/>
        <v>15220.142576858005</v>
      </c>
      <c r="R42" s="349">
        <f t="shared" si="19"/>
        <v>19840.41398823752</v>
      </c>
      <c r="S42" s="349">
        <f t="shared" si="19"/>
        <v>28366.598044178267</v>
      </c>
      <c r="T42" s="349">
        <f t="shared" si="19"/>
        <v>16674.814852897405</v>
      </c>
      <c r="U42" s="349">
        <f t="shared" si="19"/>
        <v>21328.027010690883</v>
      </c>
      <c r="V42" s="349">
        <f t="shared" si="19"/>
        <v>16286.46130082217</v>
      </c>
      <c r="W42" s="349">
        <f t="shared" si="19"/>
        <v>14822.997682948442</v>
      </c>
      <c r="X42" s="349">
        <f t="shared" si="19"/>
        <v>25600.653196183677</v>
      </c>
      <c r="Y42" s="349">
        <f t="shared" si="19"/>
        <v>6850.6368190764288</v>
      </c>
      <c r="Z42" s="349">
        <f t="shared" si="19"/>
        <v>26509.92179243658</v>
      </c>
      <c r="AA42" s="349">
        <f t="shared" si="19"/>
        <v>17978.082743782077</v>
      </c>
      <c r="AB42" s="349">
        <f t="shared" si="19"/>
        <v>18393.480027364116</v>
      </c>
      <c r="AC42" s="349">
        <f t="shared" si="19"/>
        <v>15665.371505376484</v>
      </c>
      <c r="AD42" s="349">
        <f t="shared" si="19"/>
        <v>22049.873719510644</v>
      </c>
      <c r="AE42" s="349">
        <f t="shared" si="19"/>
        <v>17334.871140125691</v>
      </c>
      <c r="AF42" s="349">
        <f t="shared" si="19"/>
        <v>20956.024085174511</v>
      </c>
      <c r="AG42" s="349">
        <f t="shared" si="19"/>
        <v>29031.130669673752</v>
      </c>
      <c r="AH42" s="349">
        <f t="shared" si="19"/>
        <v>22657.959876743065</v>
      </c>
      <c r="AI42" s="349">
        <f t="shared" si="19"/>
        <v>20564.871148755414</v>
      </c>
      <c r="AJ42" s="349">
        <f t="shared" si="19"/>
        <v>18030.975642549078</v>
      </c>
      <c r="AK42" s="349">
        <f t="shared" si="19"/>
        <v>19255.741028061955</v>
      </c>
      <c r="AL42" s="349">
        <f t="shared" si="19"/>
        <v>16393.574173186546</v>
      </c>
      <c r="AM42" s="349">
        <f t="shared" si="19"/>
        <v>16580.845842412517</v>
      </c>
      <c r="AN42" s="354">
        <f t="shared" si="19"/>
        <v>16580.845842412517</v>
      </c>
    </row>
    <row r="43" spans="1:40" s="135" customFormat="1">
      <c r="A43" s="129"/>
      <c r="B43" s="142" t="s">
        <v>5</v>
      </c>
      <c r="C43" s="129" t="s">
        <v>261</v>
      </c>
      <c r="D43" s="345">
        <f t="shared" si="16"/>
        <v>16813.140386889678</v>
      </c>
      <c r="E43" s="349">
        <f t="shared" ref="E43:AN43" si="20">E35/(1.355*(E28/E$17)^0.16)</f>
        <v>26504.330417919751</v>
      </c>
      <c r="F43" s="349">
        <f t="shared" si="20"/>
        <v>13643.384122320706</v>
      </c>
      <c r="G43" s="349">
        <f t="shared" si="20"/>
        <v>16380.345502839917</v>
      </c>
      <c r="H43" s="349">
        <f t="shared" si="20"/>
        <v>9187.8876477888734</v>
      </c>
      <c r="I43" s="349">
        <f t="shared" si="20"/>
        <v>18603.524904985363</v>
      </c>
      <c r="J43" s="349">
        <f t="shared" si="20"/>
        <v>15319.851521111237</v>
      </c>
      <c r="K43" s="349">
        <f t="shared" si="20"/>
        <v>13091.246204819738</v>
      </c>
      <c r="L43" s="349">
        <f t="shared" si="20"/>
        <v>9309.8174023831361</v>
      </c>
      <c r="M43" s="349">
        <f t="shared" si="20"/>
        <v>15890.549988299645</v>
      </c>
      <c r="N43" s="349">
        <f t="shared" si="20"/>
        <v>16140.579325535698</v>
      </c>
      <c r="O43" s="349">
        <f t="shared" si="20"/>
        <v>14614.537099119374</v>
      </c>
      <c r="P43" s="349">
        <f t="shared" si="20"/>
        <v>20044.511566858717</v>
      </c>
      <c r="Q43" s="349">
        <f t="shared" si="20"/>
        <v>15220.142576858005</v>
      </c>
      <c r="R43" s="349">
        <f t="shared" si="20"/>
        <v>15151.909318218972</v>
      </c>
      <c r="S43" s="349">
        <f t="shared" si="20"/>
        <v>19230.778877651228</v>
      </c>
      <c r="T43" s="349">
        <f t="shared" si="20"/>
        <v>13729.149183566773</v>
      </c>
      <c r="U43" s="349">
        <f t="shared" si="20"/>
        <v>16454.280667098818</v>
      </c>
      <c r="V43" s="349">
        <f t="shared" si="20"/>
        <v>16286.46130082217</v>
      </c>
      <c r="W43" s="349">
        <f t="shared" si="20"/>
        <v>12219.857680724219</v>
      </c>
      <c r="X43" s="349">
        <f t="shared" si="20"/>
        <v>15359.017262031051</v>
      </c>
      <c r="Y43" s="349">
        <f t="shared" si="20"/>
        <v>6367.2289313108349</v>
      </c>
      <c r="Z43" s="349">
        <f t="shared" si="20"/>
        <v>17443.072411332123</v>
      </c>
      <c r="AA43" s="349">
        <f t="shared" si="20"/>
        <v>17705.583503159123</v>
      </c>
      <c r="AB43" s="349">
        <f t="shared" si="20"/>
        <v>18393.480027364116</v>
      </c>
      <c r="AC43" s="349">
        <f t="shared" si="20"/>
        <v>15279.108923480639</v>
      </c>
      <c r="AD43" s="349">
        <f t="shared" si="20"/>
        <v>18976.06340822226</v>
      </c>
      <c r="AE43" s="349">
        <f t="shared" si="20"/>
        <v>17072.12125242619</v>
      </c>
      <c r="AF43" s="349">
        <f t="shared" si="20"/>
        <v>16133.714417600439</v>
      </c>
      <c r="AG43" s="349">
        <f t="shared" si="20"/>
        <v>24738.127116924697</v>
      </c>
      <c r="AH43" s="349">
        <f t="shared" si="20"/>
        <v>14255.557399191208</v>
      </c>
      <c r="AI43" s="349">
        <f t="shared" si="20"/>
        <v>20044.511566858717</v>
      </c>
      <c r="AJ43" s="349">
        <f t="shared" si="20"/>
        <v>15883.875738375955</v>
      </c>
      <c r="AK43" s="349">
        <f t="shared" si="20"/>
        <v>16835.945749506263</v>
      </c>
      <c r="AL43" s="349">
        <f t="shared" si="20"/>
        <v>14321.981697155754</v>
      </c>
      <c r="AM43" s="349">
        <f t="shared" si="20"/>
        <v>14606.425088643462</v>
      </c>
      <c r="AN43" s="354">
        <f t="shared" si="20"/>
        <v>14606.425088643462</v>
      </c>
    </row>
    <row r="44" spans="1:40" s="135" customFormat="1">
      <c r="A44" s="129"/>
      <c r="B44" s="142" t="s">
        <v>6</v>
      </c>
      <c r="C44" s="129" t="s">
        <v>261</v>
      </c>
      <c r="D44" s="345">
        <f t="shared" si="16"/>
        <v>14397.108219257865</v>
      </c>
      <c r="E44" s="349">
        <f t="shared" ref="E44:AN44" si="21">E36/(1.355*(E29/E$17)^0.16)</f>
        <v>26504.330417919751</v>
      </c>
      <c r="F44" s="349">
        <f t="shared" si="21"/>
        <v>11147.647600818265</v>
      </c>
      <c r="G44" s="349">
        <f t="shared" si="21"/>
        <v>14026.50554545492</v>
      </c>
      <c r="H44" s="349">
        <f t="shared" si="21"/>
        <v>7876.3137937461506</v>
      </c>
      <c r="I44" s="349">
        <f t="shared" si="21"/>
        <v>14340.985616947859</v>
      </c>
      <c r="J44" s="349">
        <f t="shared" si="21"/>
        <v>9132.7305266708408</v>
      </c>
      <c r="K44" s="349">
        <f t="shared" si="21"/>
        <v>13091.246204819738</v>
      </c>
      <c r="L44" s="349">
        <f t="shared" si="21"/>
        <v>8171.6073050637533</v>
      </c>
      <c r="M44" s="349">
        <f t="shared" si="21"/>
        <v>15890.549988299645</v>
      </c>
      <c r="N44" s="349">
        <f t="shared" si="21"/>
        <v>15962.478328321698</v>
      </c>
      <c r="O44" s="349">
        <f t="shared" si="21"/>
        <v>8692.917203900819</v>
      </c>
      <c r="P44" s="349">
        <f t="shared" si="21"/>
        <v>20044.511566858717</v>
      </c>
      <c r="Q44" s="349">
        <f t="shared" si="21"/>
        <v>11086.380816133449</v>
      </c>
      <c r="R44" s="349">
        <f t="shared" si="21"/>
        <v>15151.909318218972</v>
      </c>
      <c r="S44" s="349">
        <f t="shared" si="21"/>
        <v>16645.790277511944</v>
      </c>
      <c r="T44" s="349">
        <f t="shared" si="21"/>
        <v>13577.656779782694</v>
      </c>
      <c r="U44" s="349">
        <f t="shared" si="21"/>
        <v>15311.959449923061</v>
      </c>
      <c r="V44" s="349">
        <f t="shared" si="21"/>
        <v>16286.46130082217</v>
      </c>
      <c r="W44" s="349">
        <f t="shared" si="21"/>
        <v>10449.514222228399</v>
      </c>
      <c r="X44" s="349">
        <f t="shared" si="21"/>
        <v>15135.84126308321</v>
      </c>
      <c r="Y44" s="349">
        <f t="shared" si="21"/>
        <v>6274.6016377952656</v>
      </c>
      <c r="Z44" s="349">
        <f t="shared" si="21"/>
        <v>15621.885882521861</v>
      </c>
      <c r="AA44" s="349">
        <f t="shared" si="21"/>
        <v>16157.435551413268</v>
      </c>
      <c r="AB44" s="349">
        <f t="shared" si="21"/>
        <v>18393.480027364116</v>
      </c>
      <c r="AC44" s="349">
        <f t="shared" si="21"/>
        <v>14205.725286415496</v>
      </c>
      <c r="AD44" s="349">
        <f t="shared" si="21"/>
        <v>18976.06340822226</v>
      </c>
      <c r="AE44" s="349">
        <f t="shared" si="21"/>
        <v>15579.362228461538</v>
      </c>
      <c r="AF44" s="349">
        <f t="shared" si="21"/>
        <v>11911.164109893982</v>
      </c>
      <c r="AG44" s="349">
        <f t="shared" si="21"/>
        <v>22820.660887764898</v>
      </c>
      <c r="AH44" s="349">
        <f t="shared" si="21"/>
        <v>10512.592423524769</v>
      </c>
      <c r="AI44" s="349">
        <f t="shared" si="21"/>
        <v>20044.511566858717</v>
      </c>
      <c r="AJ44" s="349">
        <f t="shared" si="21"/>
        <v>15186.920627388561</v>
      </c>
      <c r="AK44" s="349">
        <f t="shared" si="21"/>
        <v>16025.425057504988</v>
      </c>
      <c r="AL44" s="349">
        <f t="shared" si="21"/>
        <v>11647.543001335804</v>
      </c>
      <c r="AM44" s="349">
        <f t="shared" si="21"/>
        <v>13965.522151195439</v>
      </c>
      <c r="AN44" s="354">
        <f t="shared" si="21"/>
        <v>13965.522151195439</v>
      </c>
    </row>
    <row r="45" spans="1:40" s="135" customFormat="1">
      <c r="A45" s="129"/>
      <c r="B45" s="142" t="s">
        <v>7</v>
      </c>
      <c r="C45" s="129" t="s">
        <v>261</v>
      </c>
      <c r="D45" s="345">
        <f t="shared" si="16"/>
        <v>12803.305266443249</v>
      </c>
      <c r="E45" s="349">
        <f t="shared" ref="E45:AN45" si="22">E37/(1.355*(E30/E$17)^0.16)</f>
        <v>15905.246016047202</v>
      </c>
      <c r="F45" s="349">
        <f t="shared" si="22"/>
        <v>7762.3084489067323</v>
      </c>
      <c r="G45" s="349">
        <f t="shared" si="22"/>
        <v>12473.729417390989</v>
      </c>
      <c r="H45" s="349">
        <f t="shared" si="22"/>
        <v>6930.5557436516601</v>
      </c>
      <c r="I45" s="349">
        <f t="shared" si="22"/>
        <v>11283.356636953975</v>
      </c>
      <c r="J45" s="349">
        <f t="shared" si="22"/>
        <v>9838.8070431358155</v>
      </c>
      <c r="K45" s="349">
        <f t="shared" si="22"/>
        <v>9557.756546608889</v>
      </c>
      <c r="L45" s="349">
        <f t="shared" si="22"/>
        <v>8171.6073050637533</v>
      </c>
      <c r="M45" s="349">
        <f t="shared" si="22"/>
        <v>10865.46489656449</v>
      </c>
      <c r="N45" s="349">
        <f t="shared" si="22"/>
        <v>14300.361709528632</v>
      </c>
      <c r="O45" s="349">
        <f t="shared" si="22"/>
        <v>8407.7061384273893</v>
      </c>
      <c r="P45" s="349">
        <f t="shared" si="22"/>
        <v>8118.3922207149535</v>
      </c>
      <c r="Q45" s="349">
        <f t="shared" si="22"/>
        <v>7083.0728932759503</v>
      </c>
      <c r="R45" s="349">
        <f t="shared" si="22"/>
        <v>9370.4414611427528</v>
      </c>
      <c r="S45" s="349">
        <f t="shared" si="22"/>
        <v>10742.288090495438</v>
      </c>
      <c r="T45" s="349">
        <f t="shared" si="22"/>
        <v>12163.863225062303</v>
      </c>
      <c r="U45" s="349">
        <f t="shared" si="22"/>
        <v>14438.059067512235</v>
      </c>
      <c r="V45" s="349">
        <f t="shared" si="22"/>
        <v>9911.7868138513677</v>
      </c>
      <c r="W45" s="349">
        <f t="shared" si="22"/>
        <v>8460.1518134486669</v>
      </c>
      <c r="X45" s="349">
        <f t="shared" si="22"/>
        <v>9807.2996682220091</v>
      </c>
      <c r="Y45" s="349">
        <f t="shared" si="22"/>
        <v>6032.2179602668766</v>
      </c>
      <c r="Z45" s="349">
        <f t="shared" si="22"/>
        <v>11149.872105909146</v>
      </c>
      <c r="AA45" s="349">
        <f t="shared" si="22"/>
        <v>14065.20480699479</v>
      </c>
      <c r="AB45" s="349">
        <f t="shared" si="22"/>
        <v>14737.996141195974</v>
      </c>
      <c r="AC45" s="349">
        <f t="shared" si="22"/>
        <v>9699.8639549356121</v>
      </c>
      <c r="AD45" s="349">
        <f t="shared" si="22"/>
        <v>14771.199489306719</v>
      </c>
      <c r="AE45" s="349">
        <f t="shared" si="22"/>
        <v>13561.986356585128</v>
      </c>
      <c r="AF45" s="349">
        <f t="shared" si="22"/>
        <v>7052.2157115018335</v>
      </c>
      <c r="AG45" s="349">
        <f t="shared" si="22"/>
        <v>13713.171328760161</v>
      </c>
      <c r="AH45" s="349">
        <f t="shared" si="22"/>
        <v>8824.0128764205856</v>
      </c>
      <c r="AI45" s="349">
        <f t="shared" si="22"/>
        <v>8118.3922207149535</v>
      </c>
      <c r="AJ45" s="349">
        <f t="shared" si="22"/>
        <v>13156.498285701471</v>
      </c>
      <c r="AK45" s="349">
        <f t="shared" si="22"/>
        <v>13907.388158547978</v>
      </c>
      <c r="AL45" s="349">
        <f t="shared" si="22"/>
        <v>8087.9298984460993</v>
      </c>
      <c r="AM45" s="349">
        <f t="shared" si="22"/>
        <v>12098.395240821303</v>
      </c>
      <c r="AN45" s="354">
        <f t="shared" si="22"/>
        <v>12098.395240821303</v>
      </c>
    </row>
    <row r="46" spans="1:40" s="135" customFormat="1">
      <c r="A46" s="121"/>
      <c r="B46" s="143" t="s">
        <v>259</v>
      </c>
      <c r="C46" s="121" t="s">
        <v>261</v>
      </c>
      <c r="D46" s="356">
        <f>(LOOKUP(D2,'Dwelling stock'!$A$4:$A$40,'Dwelling stock'!$E$4:$E$40)*D40+Detached!D41*LOOKUP(D2,'Dwelling stock'!$A$4:$A$40,'Dwelling stock'!$F$4:$F$40)+D42*LOOKUP(D2,'Dwelling stock'!$A$4:$A$40,'Dwelling stock'!$G$4:$G$40)+D43*LOOKUP(D2,'Dwelling stock'!$A$4:$A$40,'Dwelling stock'!$H$4:$H$40)+D44*LOOKUP(D2,'Dwelling stock'!$A$4:$A$40,'Dwelling stock'!$I$4:$I$40)+D45*LOOKUP(D2,'Dwelling stock'!$A$4:$A$40,'Dwelling stock'!$J$4:$J$40))/LOOKUP(D2,'Dwelling stock'!$A$4:$A$40,'Dwelling stock'!$K$4:$K$40)</f>
        <v>24868.007711912534</v>
      </c>
      <c r="E46" s="357">
        <f>(LOOKUP(E2,'Dwelling stock'!$A$4:$A$40,'Dwelling stock'!$E$4:$E$40)*E40+Detached!E41*LOOKUP(E2,'Dwelling stock'!$A$4:$A$40,'Dwelling stock'!$F$4:$F$40)+E42*LOOKUP(E2,'Dwelling stock'!$A$4:$A$40,'Dwelling stock'!$G$4:$G$40)+E43*LOOKUP(E2,'Dwelling stock'!$A$4:$A$40,'Dwelling stock'!$H$4:$H$40)+E44*LOOKUP(E2,'Dwelling stock'!$A$4:$A$40,'Dwelling stock'!$I$4:$I$40)+E45*LOOKUP(E2,'Dwelling stock'!$A$4:$A$40,'Dwelling stock'!$J$4:$J$40))/LOOKUP(E2,'Dwelling stock'!$A$4:$A$40,'Dwelling stock'!$K$4:$K$40)</f>
        <v>29197.22770501706</v>
      </c>
      <c r="F46" s="357">
        <f>(LOOKUP(F2,'Dwelling stock'!$A$4:$A$40,'Dwelling stock'!$E$4:$E$40)*F40+Detached!F41*LOOKUP(F2,'Dwelling stock'!$A$4:$A$40,'Dwelling stock'!$F$4:$F$40)+F42*LOOKUP(F2,'Dwelling stock'!$A$4:$A$40,'Dwelling stock'!$G$4:$G$40)+F43*LOOKUP(F2,'Dwelling stock'!$A$4:$A$40,'Dwelling stock'!$H$4:$H$40)+F44*LOOKUP(F2,'Dwelling stock'!$A$4:$A$40,'Dwelling stock'!$I$4:$I$40)+F45*LOOKUP(F2,'Dwelling stock'!$A$4:$A$40,'Dwelling stock'!$J$4:$J$40))/LOOKUP(F2,'Dwelling stock'!$A$4:$A$40,'Dwelling stock'!$K$4:$K$40)</f>
        <v>14107.885766322101</v>
      </c>
      <c r="G46" s="357">
        <f>(LOOKUP(G2,'Dwelling stock'!$A$4:$A$40,'Dwelling stock'!$E$4:$E$40)*G40+Detached!G41*LOOKUP(G2,'Dwelling stock'!$A$4:$A$40,'Dwelling stock'!$F$4:$F$40)+G42*LOOKUP(G2,'Dwelling stock'!$A$4:$A$40,'Dwelling stock'!$G$4:$G$40)+G43*LOOKUP(G2,'Dwelling stock'!$A$4:$A$40,'Dwelling stock'!$H$4:$H$40)+G44*LOOKUP(G2,'Dwelling stock'!$A$4:$A$40,'Dwelling stock'!$I$4:$I$40)+G45*LOOKUP(G2,'Dwelling stock'!$A$4:$A$40,'Dwelling stock'!$J$4:$J$40))/LOOKUP(G2,'Dwelling stock'!$A$4:$A$40,'Dwelling stock'!$K$4:$K$40)</f>
        <v>24227.868733318257</v>
      </c>
      <c r="H46" s="357">
        <f>(LOOKUP(H2,'Dwelling stock'!$A$4:$A$40,'Dwelling stock'!$E$4:$E$40)*H40+Detached!H41*LOOKUP(H2,'Dwelling stock'!$A$4:$A$40,'Dwelling stock'!$F$4:$F$40)+H42*LOOKUP(H2,'Dwelling stock'!$A$4:$A$40,'Dwelling stock'!$G$4:$G$40)+H43*LOOKUP(H2,'Dwelling stock'!$A$4:$A$40,'Dwelling stock'!$H$4:$H$40)+H44*LOOKUP(H2,'Dwelling stock'!$A$4:$A$40,'Dwelling stock'!$I$4:$I$40)+H45*LOOKUP(H2,'Dwelling stock'!$A$4:$A$40,'Dwelling stock'!$J$4:$J$40))/LOOKUP(H2,'Dwelling stock'!$A$4:$A$40,'Dwelling stock'!$K$4:$K$40)</f>
        <v>8169.9913021816901</v>
      </c>
      <c r="I46" s="357">
        <f>(LOOKUP(I2,'Dwelling stock'!$A$4:$A$40,'Dwelling stock'!$E$4:$E$40)*I40+Detached!I41*LOOKUP(I2,'Dwelling stock'!$A$4:$A$40,'Dwelling stock'!$F$4:$F$40)+I42*LOOKUP(I2,'Dwelling stock'!$A$4:$A$40,'Dwelling stock'!$G$4:$G$40)+I43*LOOKUP(I2,'Dwelling stock'!$A$4:$A$40,'Dwelling stock'!$H$4:$H$40)+I44*LOOKUP(I2,'Dwelling stock'!$A$4:$A$40,'Dwelling stock'!$I$4:$I$40)+I45*LOOKUP(I2,'Dwelling stock'!$A$4:$A$40,'Dwelling stock'!$J$4:$J$40))/LOOKUP(I2,'Dwelling stock'!$A$4:$A$40,'Dwelling stock'!$K$4:$K$40)</f>
        <v>20018.206844344204</v>
      </c>
      <c r="J46" s="357">
        <f>(LOOKUP(J2,'Dwelling stock'!$A$4:$A$40,'Dwelling stock'!$E$4:$E$40)*J40+Detached!J41*LOOKUP(J2,'Dwelling stock'!$A$4:$A$40,'Dwelling stock'!$F$4:$F$40)+J42*LOOKUP(J2,'Dwelling stock'!$A$4:$A$40,'Dwelling stock'!$G$4:$G$40)+J43*LOOKUP(J2,'Dwelling stock'!$A$4:$A$40,'Dwelling stock'!$H$4:$H$40)+J44*LOOKUP(J2,'Dwelling stock'!$A$4:$A$40,'Dwelling stock'!$I$4:$I$40)+J45*LOOKUP(J2,'Dwelling stock'!$A$4:$A$40,'Dwelling stock'!$J$4:$J$40))/LOOKUP(J2,'Dwelling stock'!$A$4:$A$40,'Dwelling stock'!$K$4:$K$40)</f>
        <v>22998.988651302741</v>
      </c>
      <c r="K46" s="357">
        <f>(LOOKUP(K2,'Dwelling stock'!$A$4:$A$40,'Dwelling stock'!$E$4:$E$40)*K40+Detached!K41*LOOKUP(K2,'Dwelling stock'!$A$4:$A$40,'Dwelling stock'!$F$4:$F$40)+K42*LOOKUP(K2,'Dwelling stock'!$A$4:$A$40,'Dwelling stock'!$G$4:$G$40)+K43*LOOKUP(K2,'Dwelling stock'!$A$4:$A$40,'Dwelling stock'!$H$4:$H$40)+K44*LOOKUP(K2,'Dwelling stock'!$A$4:$A$40,'Dwelling stock'!$I$4:$I$40)+K45*LOOKUP(K2,'Dwelling stock'!$A$4:$A$40,'Dwelling stock'!$J$4:$J$40))/LOOKUP(K2,'Dwelling stock'!$A$4:$A$40,'Dwelling stock'!$K$4:$K$40)</f>
        <v>18738.551166686404</v>
      </c>
      <c r="L46" s="357">
        <f>(LOOKUP(L2,'Dwelling stock'!$A$4:$A$40,'Dwelling stock'!$E$4:$E$40)*L40+Detached!L41*LOOKUP(L2,'Dwelling stock'!$A$4:$A$40,'Dwelling stock'!$F$4:$F$40)+L42*LOOKUP(L2,'Dwelling stock'!$A$4:$A$40,'Dwelling stock'!$G$4:$G$40)+L43*LOOKUP(L2,'Dwelling stock'!$A$4:$A$40,'Dwelling stock'!$H$4:$H$40)+L44*LOOKUP(L2,'Dwelling stock'!$A$4:$A$40,'Dwelling stock'!$I$4:$I$40)+L45*LOOKUP(L2,'Dwelling stock'!$A$4:$A$40,'Dwelling stock'!$J$4:$J$40))/LOOKUP(L2,'Dwelling stock'!$A$4:$A$40,'Dwelling stock'!$K$4:$K$40)</f>
        <v>12478.442082534923</v>
      </c>
      <c r="M46" s="357">
        <f>(LOOKUP(M2,'Dwelling stock'!$A$4:$A$40,'Dwelling stock'!$E$4:$E$40)*M40+Detached!M41*LOOKUP(M2,'Dwelling stock'!$A$4:$A$40,'Dwelling stock'!$F$4:$F$40)+M42*LOOKUP(M2,'Dwelling stock'!$A$4:$A$40,'Dwelling stock'!$G$4:$G$40)+M43*LOOKUP(M2,'Dwelling stock'!$A$4:$A$40,'Dwelling stock'!$H$4:$H$40)+M44*LOOKUP(M2,'Dwelling stock'!$A$4:$A$40,'Dwelling stock'!$I$4:$I$40)+M45*LOOKUP(M2,'Dwelling stock'!$A$4:$A$40,'Dwelling stock'!$J$4:$J$40))/LOOKUP(M2,'Dwelling stock'!$A$4:$A$40,'Dwelling stock'!$K$4:$K$40)</f>
        <v>19537.883309753128</v>
      </c>
      <c r="N46" s="357">
        <f>(LOOKUP(N2,'Dwelling stock'!$A$4:$A$40,'Dwelling stock'!$E$4:$E$40)*N40+Detached!N41*LOOKUP(N2,'Dwelling stock'!$A$4:$A$40,'Dwelling stock'!$F$4:$F$40)+N42*LOOKUP(N2,'Dwelling stock'!$A$4:$A$40,'Dwelling stock'!$G$4:$G$40)+N43*LOOKUP(N2,'Dwelling stock'!$A$4:$A$40,'Dwelling stock'!$H$4:$H$40)+N44*LOOKUP(N2,'Dwelling stock'!$A$4:$A$40,'Dwelling stock'!$I$4:$I$40)+N45*LOOKUP(N2,'Dwelling stock'!$A$4:$A$40,'Dwelling stock'!$J$4:$J$40))/LOOKUP(N2,'Dwelling stock'!$A$4:$A$40,'Dwelling stock'!$K$4:$K$40)</f>
        <v>19797.747661554982</v>
      </c>
      <c r="O46" s="357">
        <f>(LOOKUP(O2,'Dwelling stock'!$A$4:$A$40,'Dwelling stock'!$E$4:$E$40)*O40+Detached!O41*LOOKUP(O2,'Dwelling stock'!$A$4:$A$40,'Dwelling stock'!$F$4:$F$40)+O42*LOOKUP(O2,'Dwelling stock'!$A$4:$A$40,'Dwelling stock'!$G$4:$G$40)+O43*LOOKUP(O2,'Dwelling stock'!$A$4:$A$40,'Dwelling stock'!$H$4:$H$40)+O44*LOOKUP(O2,'Dwelling stock'!$A$4:$A$40,'Dwelling stock'!$I$4:$I$40)+O45*LOOKUP(O2,'Dwelling stock'!$A$4:$A$40,'Dwelling stock'!$J$4:$J$40))/LOOKUP(O2,'Dwelling stock'!$A$4:$A$40,'Dwelling stock'!$K$4:$K$40)</f>
        <v>22663.959958157164</v>
      </c>
      <c r="P46" s="357">
        <f>(LOOKUP(P2,'Dwelling stock'!$A$4:$A$40,'Dwelling stock'!$E$4:$E$40)*P40+Detached!P41*LOOKUP(P2,'Dwelling stock'!$A$4:$A$40,'Dwelling stock'!$F$4:$F$40)+P42*LOOKUP(P2,'Dwelling stock'!$A$4:$A$40,'Dwelling stock'!$G$4:$G$40)+P43*LOOKUP(P2,'Dwelling stock'!$A$4:$A$40,'Dwelling stock'!$H$4:$H$40)+P44*LOOKUP(P2,'Dwelling stock'!$A$4:$A$40,'Dwelling stock'!$I$4:$I$40)+P45*LOOKUP(P2,'Dwelling stock'!$A$4:$A$40,'Dwelling stock'!$J$4:$J$40))/LOOKUP(P2,'Dwelling stock'!$A$4:$A$40,'Dwelling stock'!$K$4:$K$40)</f>
        <v>19616.053765250479</v>
      </c>
      <c r="Q46" s="357">
        <f>(LOOKUP(Q2,'Dwelling stock'!$A$4:$A$40,'Dwelling stock'!$E$4:$E$40)*Q40+Detached!Q41*LOOKUP(Q2,'Dwelling stock'!$A$4:$A$40,'Dwelling stock'!$F$4:$F$40)+Q42*LOOKUP(Q2,'Dwelling stock'!$A$4:$A$40,'Dwelling stock'!$G$4:$G$40)+Q43*LOOKUP(Q2,'Dwelling stock'!$A$4:$A$40,'Dwelling stock'!$H$4:$H$40)+Q44*LOOKUP(Q2,'Dwelling stock'!$A$4:$A$40,'Dwelling stock'!$I$4:$I$40)+Q45*LOOKUP(Q2,'Dwelling stock'!$A$4:$A$40,'Dwelling stock'!$J$4:$J$40))/LOOKUP(Q2,'Dwelling stock'!$A$4:$A$40,'Dwelling stock'!$K$4:$K$40)</f>
        <v>14718.277362451943</v>
      </c>
      <c r="R46" s="357">
        <f>(LOOKUP(R2,'Dwelling stock'!$A$4:$A$40,'Dwelling stock'!$E$4:$E$40)*R40+Detached!R41*LOOKUP(R2,'Dwelling stock'!$A$4:$A$40,'Dwelling stock'!$F$4:$F$40)+R42*LOOKUP(R2,'Dwelling stock'!$A$4:$A$40,'Dwelling stock'!$G$4:$G$40)+R43*LOOKUP(R2,'Dwelling stock'!$A$4:$A$40,'Dwelling stock'!$H$4:$H$40)+R44*LOOKUP(R2,'Dwelling stock'!$A$4:$A$40,'Dwelling stock'!$I$4:$I$40)+R45*LOOKUP(R2,'Dwelling stock'!$A$4:$A$40,'Dwelling stock'!$J$4:$J$40))/LOOKUP(R2,'Dwelling stock'!$A$4:$A$40,'Dwelling stock'!$K$4:$K$40)</f>
        <v>18599.236634336383</v>
      </c>
      <c r="S46" s="357">
        <f>(LOOKUP(S2,'Dwelling stock'!$A$4:$A$40,'Dwelling stock'!$E$4:$E$40)*S40+Detached!S41*LOOKUP(S2,'Dwelling stock'!$A$4:$A$40,'Dwelling stock'!$F$4:$F$40)+S42*LOOKUP(S2,'Dwelling stock'!$A$4:$A$40,'Dwelling stock'!$G$4:$G$40)+S43*LOOKUP(S2,'Dwelling stock'!$A$4:$A$40,'Dwelling stock'!$H$4:$H$40)+S44*LOOKUP(S2,'Dwelling stock'!$A$4:$A$40,'Dwelling stock'!$I$4:$I$40)+S45*LOOKUP(S2,'Dwelling stock'!$A$4:$A$40,'Dwelling stock'!$J$4:$J$40))/LOOKUP(S2,'Dwelling stock'!$A$4:$A$40,'Dwelling stock'!$K$4:$K$40)</f>
        <v>21750.950495435649</v>
      </c>
      <c r="T46" s="357">
        <f>(LOOKUP(T2,'Dwelling stock'!$A$4:$A$40,'Dwelling stock'!$E$4:$E$40)*T40+Detached!T41*LOOKUP(T2,'Dwelling stock'!$A$4:$A$40,'Dwelling stock'!$F$4:$F$40)+T42*LOOKUP(T2,'Dwelling stock'!$A$4:$A$40,'Dwelling stock'!$G$4:$G$40)+T43*LOOKUP(T2,'Dwelling stock'!$A$4:$A$40,'Dwelling stock'!$H$4:$H$40)+T44*LOOKUP(T2,'Dwelling stock'!$A$4:$A$40,'Dwelling stock'!$I$4:$I$40)+T45*LOOKUP(T2,'Dwelling stock'!$A$4:$A$40,'Dwelling stock'!$J$4:$J$40))/LOOKUP(T2,'Dwelling stock'!$A$4:$A$40,'Dwelling stock'!$K$4:$K$40)</f>
        <v>16839.930318614977</v>
      </c>
      <c r="U46" s="357">
        <f>(LOOKUP(U2,'Dwelling stock'!$A$4:$A$40,'Dwelling stock'!$E$4:$E$40)*U40+Detached!U41*LOOKUP(U2,'Dwelling stock'!$A$4:$A$40,'Dwelling stock'!$F$4:$F$40)+U42*LOOKUP(U2,'Dwelling stock'!$A$4:$A$40,'Dwelling stock'!$G$4:$G$40)+U43*LOOKUP(U2,'Dwelling stock'!$A$4:$A$40,'Dwelling stock'!$H$4:$H$40)+U44*LOOKUP(U2,'Dwelling stock'!$A$4:$A$40,'Dwelling stock'!$I$4:$I$40)+U45*LOOKUP(U2,'Dwelling stock'!$A$4:$A$40,'Dwelling stock'!$J$4:$J$40))/LOOKUP(U2,'Dwelling stock'!$A$4:$A$40,'Dwelling stock'!$K$4:$K$40)</f>
        <v>21102.433137217206</v>
      </c>
      <c r="V46" s="357">
        <f>(LOOKUP(V2,'Dwelling stock'!$A$4:$A$40,'Dwelling stock'!$E$4:$E$40)*V40+Detached!V41*LOOKUP(V2,'Dwelling stock'!$A$4:$A$40,'Dwelling stock'!$F$4:$F$40)+V42*LOOKUP(V2,'Dwelling stock'!$A$4:$A$40,'Dwelling stock'!$G$4:$G$40)+V43*LOOKUP(V2,'Dwelling stock'!$A$4:$A$40,'Dwelling stock'!$H$4:$H$40)+V44*LOOKUP(V2,'Dwelling stock'!$A$4:$A$40,'Dwelling stock'!$I$4:$I$40)+V45*LOOKUP(V2,'Dwelling stock'!$A$4:$A$40,'Dwelling stock'!$J$4:$J$40))/LOOKUP(V2,'Dwelling stock'!$A$4:$A$40,'Dwelling stock'!$K$4:$K$40)</f>
        <v>20378.007292757615</v>
      </c>
      <c r="W46" s="357">
        <f>(LOOKUP(W2,'Dwelling stock'!$A$4:$A$40,'Dwelling stock'!$E$4:$E$40)*W40+Detached!W41*LOOKUP(W2,'Dwelling stock'!$A$4:$A$40,'Dwelling stock'!$F$4:$F$40)+W42*LOOKUP(W2,'Dwelling stock'!$A$4:$A$40,'Dwelling stock'!$G$4:$G$40)+W43*LOOKUP(W2,'Dwelling stock'!$A$4:$A$40,'Dwelling stock'!$H$4:$H$40)+W44*LOOKUP(W2,'Dwelling stock'!$A$4:$A$40,'Dwelling stock'!$I$4:$I$40)+W45*LOOKUP(W2,'Dwelling stock'!$A$4:$A$40,'Dwelling stock'!$J$4:$J$40))/LOOKUP(W2,'Dwelling stock'!$A$4:$A$40,'Dwelling stock'!$K$4:$K$40)</f>
        <v>19083.140068213845</v>
      </c>
      <c r="X46" s="357">
        <f>(LOOKUP(X2,'Dwelling stock'!$A$4:$A$40,'Dwelling stock'!$E$4:$E$40)*X40+Detached!X41*LOOKUP(X2,'Dwelling stock'!$A$4:$A$40,'Dwelling stock'!$F$4:$F$40)+X42*LOOKUP(X2,'Dwelling stock'!$A$4:$A$40,'Dwelling stock'!$G$4:$G$40)+X43*LOOKUP(X2,'Dwelling stock'!$A$4:$A$40,'Dwelling stock'!$H$4:$H$40)+X44*LOOKUP(X2,'Dwelling stock'!$A$4:$A$40,'Dwelling stock'!$I$4:$I$40)+X45*LOOKUP(X2,'Dwelling stock'!$A$4:$A$40,'Dwelling stock'!$J$4:$J$40))/LOOKUP(X2,'Dwelling stock'!$A$4:$A$40,'Dwelling stock'!$K$4:$K$40)</f>
        <v>22700.039468217059</v>
      </c>
      <c r="Y46" s="357">
        <f>(LOOKUP(Y2,'Dwelling stock'!$A$4:$A$40,'Dwelling stock'!$E$4:$E$40)*Y40+Detached!Y41*LOOKUP(Y2,'Dwelling stock'!$A$4:$A$40,'Dwelling stock'!$F$4:$F$40)+Y42*LOOKUP(Y2,'Dwelling stock'!$A$4:$A$40,'Dwelling stock'!$G$4:$G$40)+Y43*LOOKUP(Y2,'Dwelling stock'!$A$4:$A$40,'Dwelling stock'!$H$4:$H$40)+Y44*LOOKUP(Y2,'Dwelling stock'!$A$4:$A$40,'Dwelling stock'!$I$4:$I$40)+Y45*LOOKUP(Y2,'Dwelling stock'!$A$4:$A$40,'Dwelling stock'!$J$4:$J$40))/LOOKUP(Y2,'Dwelling stock'!$A$4:$A$40,'Dwelling stock'!$K$4:$K$40)</f>
        <v>7159.2880224781711</v>
      </c>
      <c r="Z46" s="357">
        <f>(LOOKUP(Z2,'Dwelling stock'!$A$4:$A$40,'Dwelling stock'!$E$4:$E$40)*Z40+Detached!Z41*LOOKUP(Z2,'Dwelling stock'!$A$4:$A$40,'Dwelling stock'!$F$4:$F$40)+Z42*LOOKUP(Z2,'Dwelling stock'!$A$4:$A$40,'Dwelling stock'!$G$4:$G$40)+Z43*LOOKUP(Z2,'Dwelling stock'!$A$4:$A$40,'Dwelling stock'!$H$4:$H$40)+Z44*LOOKUP(Z2,'Dwelling stock'!$A$4:$A$40,'Dwelling stock'!$I$4:$I$40)+Z45*LOOKUP(Z2,'Dwelling stock'!$A$4:$A$40,'Dwelling stock'!$J$4:$J$40))/LOOKUP(Z2,'Dwelling stock'!$A$4:$A$40,'Dwelling stock'!$K$4:$K$40)</f>
        <v>24309.449827976016</v>
      </c>
      <c r="AA46" s="357">
        <f>(LOOKUP(AA2,'Dwelling stock'!$A$4:$A$40,'Dwelling stock'!$E$4:$E$40)*AA40+Detached!AA41*LOOKUP(AA2,'Dwelling stock'!$A$4:$A$40,'Dwelling stock'!$F$4:$F$40)+AA42*LOOKUP(AA2,'Dwelling stock'!$A$4:$A$40,'Dwelling stock'!$G$4:$G$40)+AA43*LOOKUP(AA2,'Dwelling stock'!$A$4:$A$40,'Dwelling stock'!$H$4:$H$40)+AA44*LOOKUP(AA2,'Dwelling stock'!$A$4:$A$40,'Dwelling stock'!$I$4:$I$40)+AA45*LOOKUP(AA2,'Dwelling stock'!$A$4:$A$40,'Dwelling stock'!$J$4:$J$40))/LOOKUP(AA2,'Dwelling stock'!$A$4:$A$40,'Dwelling stock'!$K$4:$K$40)</f>
        <v>20186.932897809089</v>
      </c>
      <c r="AB46" s="357">
        <f>(LOOKUP(AB2,'Dwelling stock'!$A$4:$A$40,'Dwelling stock'!$E$4:$E$40)*AB40+Detached!AB41*LOOKUP(AB2,'Dwelling stock'!$A$4:$A$40,'Dwelling stock'!$F$4:$F$40)+AB42*LOOKUP(AB2,'Dwelling stock'!$A$4:$A$40,'Dwelling stock'!$G$4:$G$40)+AB43*LOOKUP(AB2,'Dwelling stock'!$A$4:$A$40,'Dwelling stock'!$H$4:$H$40)+AB44*LOOKUP(AB2,'Dwelling stock'!$A$4:$A$40,'Dwelling stock'!$I$4:$I$40)+AB45*LOOKUP(AB2,'Dwelling stock'!$A$4:$A$40,'Dwelling stock'!$J$4:$J$40))/LOOKUP(AB2,'Dwelling stock'!$A$4:$A$40,'Dwelling stock'!$K$4:$K$40)</f>
        <v>22576.644760123731</v>
      </c>
      <c r="AC46" s="357">
        <f>(LOOKUP(AC2,'Dwelling stock'!$A$4:$A$40,'Dwelling stock'!$E$4:$E$40)*AC40+Detached!AC41*LOOKUP(AC2,'Dwelling stock'!$A$4:$A$40,'Dwelling stock'!$F$4:$F$40)+AC42*LOOKUP(AC2,'Dwelling stock'!$A$4:$A$40,'Dwelling stock'!$G$4:$G$40)+AC43*LOOKUP(AC2,'Dwelling stock'!$A$4:$A$40,'Dwelling stock'!$H$4:$H$40)+AC44*LOOKUP(AC2,'Dwelling stock'!$A$4:$A$40,'Dwelling stock'!$I$4:$I$40)+AC45*LOOKUP(AC2,'Dwelling stock'!$A$4:$A$40,'Dwelling stock'!$J$4:$J$40))/LOOKUP(AC2,'Dwelling stock'!$A$4:$A$40,'Dwelling stock'!$K$4:$K$40)</f>
        <v>14952.104728108185</v>
      </c>
      <c r="AD46" s="357">
        <f>(LOOKUP(AD2,'Dwelling stock'!$A$4:$A$40,'Dwelling stock'!$E$4:$E$40)*AD40+Detached!AD41*LOOKUP(AD2,'Dwelling stock'!$A$4:$A$40,'Dwelling stock'!$F$4:$F$40)+AD42*LOOKUP(AD2,'Dwelling stock'!$A$4:$A$40,'Dwelling stock'!$G$4:$G$40)+AD43*LOOKUP(AD2,'Dwelling stock'!$A$4:$A$40,'Dwelling stock'!$H$4:$H$40)+AD44*LOOKUP(AD2,'Dwelling stock'!$A$4:$A$40,'Dwelling stock'!$I$4:$I$40)+AD45*LOOKUP(AD2,'Dwelling stock'!$A$4:$A$40,'Dwelling stock'!$J$4:$J$40))/LOOKUP(AD2,'Dwelling stock'!$A$4:$A$40,'Dwelling stock'!$K$4:$K$40)</f>
        <v>20934.442133665456</v>
      </c>
      <c r="AE46" s="357">
        <f>(LOOKUP(AE2,'Dwelling stock'!$A$4:$A$40,'Dwelling stock'!$E$4:$E$40)*AE40+Detached!AE41*LOOKUP(AE2,'Dwelling stock'!$A$4:$A$40,'Dwelling stock'!$F$4:$F$40)+AE42*LOOKUP(AE2,'Dwelling stock'!$A$4:$A$40,'Dwelling stock'!$G$4:$G$40)+AE43*LOOKUP(AE2,'Dwelling stock'!$A$4:$A$40,'Dwelling stock'!$H$4:$H$40)+AE44*LOOKUP(AE2,'Dwelling stock'!$A$4:$A$40,'Dwelling stock'!$I$4:$I$40)+AE45*LOOKUP(AE2,'Dwelling stock'!$A$4:$A$40,'Dwelling stock'!$J$4:$J$40))/LOOKUP(AE2,'Dwelling stock'!$A$4:$A$40,'Dwelling stock'!$K$4:$K$40)</f>
        <v>20989.883035196312</v>
      </c>
      <c r="AF46" s="357">
        <f>(LOOKUP(AF2,'Dwelling stock'!$A$4:$A$40,'Dwelling stock'!$E$4:$E$40)*AF40+Detached!AF41*LOOKUP(AF2,'Dwelling stock'!$A$4:$A$40,'Dwelling stock'!$F$4:$F$40)+AF42*LOOKUP(AF2,'Dwelling stock'!$A$4:$A$40,'Dwelling stock'!$G$4:$G$40)+AF43*LOOKUP(AF2,'Dwelling stock'!$A$4:$A$40,'Dwelling stock'!$H$4:$H$40)+AF44*LOOKUP(AF2,'Dwelling stock'!$A$4:$A$40,'Dwelling stock'!$I$4:$I$40)+AF45*LOOKUP(AF2,'Dwelling stock'!$A$4:$A$40,'Dwelling stock'!$J$4:$J$40))/LOOKUP(AF2,'Dwelling stock'!$A$4:$A$40,'Dwelling stock'!$K$4:$K$40)</f>
        <v>19317.861470132597</v>
      </c>
      <c r="AG46" s="357">
        <f>(LOOKUP(AG2,'Dwelling stock'!$A$4:$A$40,'Dwelling stock'!$E$4:$E$40)*AG40+Detached!AG41*LOOKUP(AG2,'Dwelling stock'!$A$4:$A$40,'Dwelling stock'!$F$4:$F$40)+AG42*LOOKUP(AG2,'Dwelling stock'!$A$4:$A$40,'Dwelling stock'!$G$4:$G$40)+AG43*LOOKUP(AG2,'Dwelling stock'!$A$4:$A$40,'Dwelling stock'!$H$4:$H$40)+AG44*LOOKUP(AG2,'Dwelling stock'!$A$4:$A$40,'Dwelling stock'!$I$4:$I$40)+AG45*LOOKUP(AG2,'Dwelling stock'!$A$4:$A$40,'Dwelling stock'!$J$4:$J$40))/LOOKUP(AG2,'Dwelling stock'!$A$4:$A$40,'Dwelling stock'!$K$4:$K$40)</f>
        <v>27559.069881797936</v>
      </c>
      <c r="AH46" s="357">
        <f>(LOOKUP(AH2,'Dwelling stock'!$A$4:$A$40,'Dwelling stock'!$E$4:$E$40)*AH40+Detached!AH41*LOOKUP(AH2,'Dwelling stock'!$A$4:$A$40,'Dwelling stock'!$F$4:$F$40)+AH42*LOOKUP(AH2,'Dwelling stock'!$A$4:$A$40,'Dwelling stock'!$G$4:$G$40)+AH43*LOOKUP(AH2,'Dwelling stock'!$A$4:$A$40,'Dwelling stock'!$H$4:$H$40)+AH44*LOOKUP(AH2,'Dwelling stock'!$A$4:$A$40,'Dwelling stock'!$I$4:$I$40)+AH45*LOOKUP(AH2,'Dwelling stock'!$A$4:$A$40,'Dwelling stock'!$J$4:$J$40))/LOOKUP(AH2,'Dwelling stock'!$A$4:$A$40,'Dwelling stock'!$K$4:$K$40)</f>
        <v>23360.181905882942</v>
      </c>
      <c r="AI46" s="357">
        <f>(LOOKUP(AI2,'Dwelling stock'!$A$4:$A$40,'Dwelling stock'!$E$4:$E$40)*AI40+Detached!AI41*LOOKUP(AI2,'Dwelling stock'!$A$4:$A$40,'Dwelling stock'!$F$4:$F$40)+AI42*LOOKUP(AI2,'Dwelling stock'!$A$4:$A$40,'Dwelling stock'!$G$4:$G$40)+AI43*LOOKUP(AI2,'Dwelling stock'!$A$4:$A$40,'Dwelling stock'!$H$4:$H$40)+AI44*LOOKUP(AI2,'Dwelling stock'!$A$4:$A$40,'Dwelling stock'!$I$4:$I$40)+AI45*LOOKUP(AI2,'Dwelling stock'!$A$4:$A$40,'Dwelling stock'!$J$4:$J$40))/LOOKUP(AI2,'Dwelling stock'!$A$4:$A$40,'Dwelling stock'!$K$4:$K$40)</f>
        <v>19616.053765250475</v>
      </c>
      <c r="AJ46" s="357">
        <f>(LOOKUP(AJ2,'Dwelling stock'!$A$4:$A$40,'Dwelling stock'!$E$4:$E$40)*AJ40+Detached!AJ41*LOOKUP(AJ2,'Dwelling stock'!$A$4:$A$40,'Dwelling stock'!$F$4:$F$40)+AJ42*LOOKUP(AJ2,'Dwelling stock'!$A$4:$A$40,'Dwelling stock'!$G$4:$G$40)+AJ43*LOOKUP(AJ2,'Dwelling stock'!$A$4:$A$40,'Dwelling stock'!$H$4:$H$40)+AJ44*LOOKUP(AJ2,'Dwelling stock'!$A$4:$A$40,'Dwelling stock'!$I$4:$I$40)+AJ45*LOOKUP(AJ2,'Dwelling stock'!$A$4:$A$40,'Dwelling stock'!$J$4:$J$40))/LOOKUP(AJ2,'Dwelling stock'!$A$4:$A$40,'Dwelling stock'!$K$4:$K$40)</f>
        <v>17028.172950490534</v>
      </c>
      <c r="AK46" s="357">
        <f>(LOOKUP(AK2,'Dwelling stock'!$A$4:$A$40,'Dwelling stock'!$E$4:$E$40)*AK40+Detached!AK41*LOOKUP(AK2,'Dwelling stock'!$A$4:$A$40,'Dwelling stock'!$F$4:$F$40)+AK42*LOOKUP(AK2,'Dwelling stock'!$A$4:$A$40,'Dwelling stock'!$G$4:$G$40)+AK43*LOOKUP(AK2,'Dwelling stock'!$A$4:$A$40,'Dwelling stock'!$H$4:$H$40)+AK44*LOOKUP(AK2,'Dwelling stock'!$A$4:$A$40,'Dwelling stock'!$I$4:$I$40)+AK45*LOOKUP(AK2,'Dwelling stock'!$A$4:$A$40,'Dwelling stock'!$J$4:$J$40))/LOOKUP(AK2,'Dwelling stock'!$A$4:$A$40,'Dwelling stock'!$K$4:$K$40)</f>
        <v>18133.314777347081</v>
      </c>
      <c r="AL46" s="357">
        <f>(LOOKUP(AL2,'Dwelling stock'!$A$4:$A$40,'Dwelling stock'!$E$4:$E$40)*AL40+Detached!AL41*LOOKUP(AL2,'Dwelling stock'!$A$4:$A$40,'Dwelling stock'!$F$4:$F$40)+AL42*LOOKUP(AL2,'Dwelling stock'!$A$4:$A$40,'Dwelling stock'!$G$4:$G$40)+AL43*LOOKUP(AL2,'Dwelling stock'!$A$4:$A$40,'Dwelling stock'!$H$4:$H$40)+AL44*LOOKUP(AL2,'Dwelling stock'!$A$4:$A$40,'Dwelling stock'!$I$4:$I$40)+AL45*LOOKUP(AL2,'Dwelling stock'!$A$4:$A$40,'Dwelling stock'!$J$4:$J$40))/LOOKUP(AL2,'Dwelling stock'!$A$4:$A$40,'Dwelling stock'!$K$4:$K$40)</f>
        <v>14819.858424160439</v>
      </c>
      <c r="AM46" s="357">
        <f>(LOOKUP(AM2,'Dwelling stock'!$A$4:$A$40,'Dwelling stock'!$E$4:$E$40)*AM40+Detached!AM41*LOOKUP(AM2,'Dwelling stock'!$A$4:$A$40,'Dwelling stock'!$F$4:$F$40)+AM42*LOOKUP(AM2,'Dwelling stock'!$A$4:$A$40,'Dwelling stock'!$G$4:$G$40)+AM43*LOOKUP(AM2,'Dwelling stock'!$A$4:$A$40,'Dwelling stock'!$H$4:$H$40)+AM44*LOOKUP(AM2,'Dwelling stock'!$A$4:$A$40,'Dwelling stock'!$I$4:$I$40)+AM45*LOOKUP(AM2,'Dwelling stock'!$A$4:$A$40,'Dwelling stock'!$J$4:$J$40))/LOOKUP(AM2,'Dwelling stock'!$A$4:$A$40,'Dwelling stock'!$K$4:$K$40)</f>
        <v>15658.692921960324</v>
      </c>
      <c r="AN46" s="358">
        <f>(LOOKUP(AN2,'Dwelling stock'!$A$4:$A$40,'Dwelling stock'!$E$4:$E$40)*AN40+Detached!AN41*LOOKUP(AN2,'Dwelling stock'!$A$4:$A$40,'Dwelling stock'!$F$4:$F$40)+AN42*LOOKUP(AN2,'Dwelling stock'!$A$4:$A$40,'Dwelling stock'!$G$4:$G$40)+AN43*LOOKUP(AN2,'Dwelling stock'!$A$4:$A$40,'Dwelling stock'!$H$4:$H$40)+AN44*LOOKUP(AN2,'Dwelling stock'!$A$4:$A$40,'Dwelling stock'!$I$4:$I$40)+AN45*LOOKUP(AN2,'Dwelling stock'!$A$4:$A$40,'Dwelling stock'!$J$4:$J$40))/LOOKUP(AN2,'Dwelling stock'!$A$4:$A$40,'Dwelling stock'!$K$4:$K$40)</f>
        <v>15658.692921960326</v>
      </c>
    </row>
    <row r="47" spans="1:40" s="135" customFormat="1">
      <c r="A47" s="334" t="s">
        <v>262</v>
      </c>
      <c r="B47" s="359" t="s">
        <v>2</v>
      </c>
      <c r="C47" s="366" t="s">
        <v>190</v>
      </c>
      <c r="D47" s="369">
        <f t="shared" ref="D47:AN47" si="23">D40/D$4</f>
        <v>214.9628914124844</v>
      </c>
      <c r="E47" s="370">
        <f t="shared" si="23"/>
        <v>217.85348324516949</v>
      </c>
      <c r="F47" s="370">
        <f t="shared" si="23"/>
        <v>206.64745697128819</v>
      </c>
      <c r="G47" s="370">
        <f t="shared" si="23"/>
        <v>209.42943142089277</v>
      </c>
      <c r="H47" s="370">
        <f t="shared" si="23"/>
        <v>83.77606309974766</v>
      </c>
      <c r="I47" s="370">
        <f t="shared" si="23"/>
        <v>192.03910255377392</v>
      </c>
      <c r="J47" s="370">
        <f t="shared" si="23"/>
        <v>244.66941606920037</v>
      </c>
      <c r="K47" s="370">
        <f t="shared" si="23"/>
        <v>133.86105715154824</v>
      </c>
      <c r="L47" s="370">
        <f t="shared" si="23"/>
        <v>140.13916217196095</v>
      </c>
      <c r="M47" s="370">
        <f t="shared" si="23"/>
        <v>187.96937332136284</v>
      </c>
      <c r="N47" s="370">
        <f t="shared" si="23"/>
        <v>209.15712349205401</v>
      </c>
      <c r="O47" s="370">
        <f t="shared" si="23"/>
        <v>246.70271580727069</v>
      </c>
      <c r="P47" s="370">
        <f t="shared" si="23"/>
        <v>179.79579344062029</v>
      </c>
      <c r="Q47" s="370">
        <f t="shared" si="23"/>
        <v>194.52096275578072</v>
      </c>
      <c r="R47" s="370">
        <f t="shared" si="23"/>
        <v>193.68182753131686</v>
      </c>
      <c r="S47" s="370">
        <f t="shared" si="23"/>
        <v>217.95097960146097</v>
      </c>
      <c r="T47" s="370">
        <f t="shared" si="23"/>
        <v>177.90869170879674</v>
      </c>
      <c r="U47" s="370">
        <f t="shared" si="23"/>
        <v>173.22943553770304</v>
      </c>
      <c r="V47" s="370">
        <f t="shared" si="23"/>
        <v>203.4395671504962</v>
      </c>
      <c r="W47" s="370">
        <f t="shared" si="23"/>
        <v>229.23785015419585</v>
      </c>
      <c r="X47" s="370">
        <f t="shared" si="23"/>
        <v>231.48407563328834</v>
      </c>
      <c r="Y47" s="370">
        <f t="shared" si="23"/>
        <v>65.246061586438955</v>
      </c>
      <c r="Z47" s="370">
        <f t="shared" si="23"/>
        <v>232.28935273031317</v>
      </c>
      <c r="AA47" s="370">
        <f t="shared" si="23"/>
        <v>158.19864545844817</v>
      </c>
      <c r="AB47" s="370">
        <f t="shared" si="23"/>
        <v>284.79626510578498</v>
      </c>
      <c r="AC47" s="370">
        <f t="shared" si="23"/>
        <v>119.84163406315413</v>
      </c>
      <c r="AD47" s="370">
        <f t="shared" si="23"/>
        <v>265.72461477756025</v>
      </c>
      <c r="AE47" s="370">
        <f t="shared" si="23"/>
        <v>152.5386868359532</v>
      </c>
      <c r="AF47" s="370">
        <f t="shared" si="23"/>
        <v>190.54277016456251</v>
      </c>
      <c r="AG47" s="370">
        <f t="shared" si="23"/>
        <v>280.42842429799788</v>
      </c>
      <c r="AH47" s="370">
        <f t="shared" si="23"/>
        <v>265.5211377008323</v>
      </c>
      <c r="AI47" s="370">
        <f t="shared" si="23"/>
        <v>179.79579344062029</v>
      </c>
      <c r="AJ47" s="370">
        <f t="shared" si="23"/>
        <v>209.78115273944053</v>
      </c>
      <c r="AK47" s="370">
        <f t="shared" si="23"/>
        <v>168.35025181458678</v>
      </c>
      <c r="AL47" s="370">
        <f t="shared" si="23"/>
        <v>201.17661660634244</v>
      </c>
      <c r="AM47" s="370">
        <f t="shared" si="23"/>
        <v>192.90963634869155</v>
      </c>
      <c r="AN47" s="371">
        <f t="shared" si="23"/>
        <v>192.90963634869155</v>
      </c>
    </row>
    <row r="48" spans="1:40" s="135" customFormat="1">
      <c r="A48" s="154"/>
      <c r="B48" s="347" t="s">
        <v>3</v>
      </c>
      <c r="C48" s="367" t="s">
        <v>190</v>
      </c>
      <c r="D48" s="369">
        <f t="shared" ref="D48:AN48" si="24">D41/D$4</f>
        <v>200.20109408809969</v>
      </c>
      <c r="E48" s="370">
        <f t="shared" si="24"/>
        <v>217.85348324516949</v>
      </c>
      <c r="F48" s="370">
        <f t="shared" si="24"/>
        <v>206.64745697128819</v>
      </c>
      <c r="G48" s="370">
        <f t="shared" si="24"/>
        <v>195.04762440256386</v>
      </c>
      <c r="H48" s="370">
        <f t="shared" si="24"/>
        <v>78.962560717746939</v>
      </c>
      <c r="I48" s="370">
        <f t="shared" si="24"/>
        <v>164.76841493999945</v>
      </c>
      <c r="J48" s="370">
        <f t="shared" si="24"/>
        <v>211.34477750432822</v>
      </c>
      <c r="K48" s="370">
        <f t="shared" si="24"/>
        <v>130.06945398358937</v>
      </c>
      <c r="L48" s="370">
        <f t="shared" si="24"/>
        <v>140.13916217196095</v>
      </c>
      <c r="M48" s="370">
        <f t="shared" si="24"/>
        <v>171.43973046878878</v>
      </c>
      <c r="N48" s="370">
        <f t="shared" si="24"/>
        <v>193.34258815760313</v>
      </c>
      <c r="O48" s="370">
        <f t="shared" si="24"/>
        <v>246.70271580727069</v>
      </c>
      <c r="P48" s="370">
        <f t="shared" si="24"/>
        <v>179.79579344062029</v>
      </c>
      <c r="Q48" s="370">
        <f t="shared" si="24"/>
        <v>204.11892870142941</v>
      </c>
      <c r="R48" s="370">
        <f t="shared" si="24"/>
        <v>193.68182753131686</v>
      </c>
      <c r="S48" s="370">
        <f t="shared" si="24"/>
        <v>220.76509665173319</v>
      </c>
      <c r="T48" s="370">
        <f t="shared" si="24"/>
        <v>164.45687498670657</v>
      </c>
      <c r="U48" s="370">
        <f t="shared" si="24"/>
        <v>165.23801879092235</v>
      </c>
      <c r="V48" s="370">
        <f t="shared" si="24"/>
        <v>203.4395671504962</v>
      </c>
      <c r="W48" s="370">
        <f t="shared" si="24"/>
        <v>233.01786485187415</v>
      </c>
      <c r="X48" s="370">
        <f t="shared" si="24"/>
        <v>228.31994771696534</v>
      </c>
      <c r="Y48" s="370">
        <f t="shared" si="24"/>
        <v>65.16658430538304</v>
      </c>
      <c r="Z48" s="370">
        <f t="shared" si="24"/>
        <v>190.55444227327382</v>
      </c>
      <c r="AA48" s="370">
        <f t="shared" si="24"/>
        <v>157.49431946344512</v>
      </c>
      <c r="AB48" s="370">
        <f t="shared" si="24"/>
        <v>209.42520590209921</v>
      </c>
      <c r="AC48" s="370">
        <f t="shared" si="24"/>
        <v>109.81839642485023</v>
      </c>
      <c r="AD48" s="370">
        <f t="shared" si="24"/>
        <v>242.83272459531179</v>
      </c>
      <c r="AE48" s="370">
        <f t="shared" si="24"/>
        <v>151.85955989355216</v>
      </c>
      <c r="AF48" s="370">
        <f t="shared" si="24"/>
        <v>190.54277016456251</v>
      </c>
      <c r="AG48" s="370">
        <f t="shared" si="24"/>
        <v>241.53450110403301</v>
      </c>
      <c r="AH48" s="370">
        <f t="shared" si="24"/>
        <v>277.32974165953436</v>
      </c>
      <c r="AI48" s="370">
        <f t="shared" si="24"/>
        <v>179.79579344062029</v>
      </c>
      <c r="AJ48" s="370">
        <f t="shared" si="24"/>
        <v>209.78115273944053</v>
      </c>
      <c r="AK48" s="370">
        <f t="shared" si="24"/>
        <v>168.35025181458678</v>
      </c>
      <c r="AL48" s="370">
        <f t="shared" si="24"/>
        <v>201.17661660634244</v>
      </c>
      <c r="AM48" s="370">
        <f t="shared" si="24"/>
        <v>192.90963634869155</v>
      </c>
      <c r="AN48" s="371">
        <f t="shared" si="24"/>
        <v>192.90963634869155</v>
      </c>
    </row>
    <row r="49" spans="1:40" s="135" customFormat="1">
      <c r="A49" s="154"/>
      <c r="B49" s="347" t="s">
        <v>4</v>
      </c>
      <c r="C49" s="367" t="s">
        <v>190</v>
      </c>
      <c r="D49" s="369">
        <f t="shared" ref="D49:AN49" si="25">D42/D$4</f>
        <v>160.78978729781514</v>
      </c>
      <c r="E49" s="370">
        <f t="shared" si="25"/>
        <v>217.85348324516949</v>
      </c>
      <c r="F49" s="370">
        <f t="shared" si="25"/>
        <v>196.0559759430565</v>
      </c>
      <c r="G49" s="370">
        <f t="shared" si="25"/>
        <v>156.65082243172702</v>
      </c>
      <c r="H49" s="370">
        <f t="shared" si="25"/>
        <v>82.477990549371199</v>
      </c>
      <c r="I49" s="370">
        <f t="shared" si="25"/>
        <v>164.76841493999945</v>
      </c>
      <c r="J49" s="370">
        <f t="shared" si="25"/>
        <v>140.86692023576367</v>
      </c>
      <c r="K49" s="370">
        <f t="shared" si="25"/>
        <v>92.082491763704468</v>
      </c>
      <c r="L49" s="370">
        <f t="shared" si="25"/>
        <v>117.18643686992446</v>
      </c>
      <c r="M49" s="370">
        <f t="shared" si="25"/>
        <v>171.43973046878878</v>
      </c>
      <c r="N49" s="370">
        <f t="shared" si="25"/>
        <v>161.67942932583586</v>
      </c>
      <c r="O49" s="370">
        <f t="shared" si="25"/>
        <v>122.09327259911558</v>
      </c>
      <c r="P49" s="370">
        <f t="shared" si="25"/>
        <v>179.79579344062029</v>
      </c>
      <c r="Q49" s="370">
        <f t="shared" si="25"/>
        <v>177.07855181709536</v>
      </c>
      <c r="R49" s="370">
        <f t="shared" si="25"/>
        <v>170.39703194349514</v>
      </c>
      <c r="S49" s="370">
        <f t="shared" si="25"/>
        <v>192.8063447567994</v>
      </c>
      <c r="T49" s="370">
        <f t="shared" si="25"/>
        <v>137.52424620946314</v>
      </c>
      <c r="U49" s="370">
        <f t="shared" si="25"/>
        <v>155.53711584824708</v>
      </c>
      <c r="V49" s="370">
        <f t="shared" si="25"/>
        <v>134.8883201591363</v>
      </c>
      <c r="W49" s="370">
        <f t="shared" si="25"/>
        <v>135.4524013290287</v>
      </c>
      <c r="X49" s="370">
        <f t="shared" si="25"/>
        <v>213.33877663486399</v>
      </c>
      <c r="Y49" s="370">
        <f t="shared" si="25"/>
        <v>55.440447626455374</v>
      </c>
      <c r="Z49" s="370">
        <f t="shared" si="25"/>
        <v>185.01178078681937</v>
      </c>
      <c r="AA49" s="370">
        <f t="shared" si="25"/>
        <v>115.33653724960435</v>
      </c>
      <c r="AB49" s="370">
        <f t="shared" si="25"/>
        <v>152.83669878200391</v>
      </c>
      <c r="AC49" s="370">
        <f t="shared" si="25"/>
        <v>107.9868477370475</v>
      </c>
      <c r="AD49" s="370">
        <f t="shared" si="25"/>
        <v>242.83272459531179</v>
      </c>
      <c r="AE49" s="370">
        <f t="shared" si="25"/>
        <v>111.2100794875746</v>
      </c>
      <c r="AF49" s="370">
        <f t="shared" si="25"/>
        <v>175.54296362333221</v>
      </c>
      <c r="AG49" s="370">
        <f t="shared" si="25"/>
        <v>241.53450110403301</v>
      </c>
      <c r="AH49" s="370">
        <f t="shared" si="25"/>
        <v>221.94646628375722</v>
      </c>
      <c r="AI49" s="370">
        <f t="shared" si="25"/>
        <v>179.79579344062029</v>
      </c>
      <c r="AJ49" s="370">
        <f t="shared" si="25"/>
        <v>209.78115273944053</v>
      </c>
      <c r="AK49" s="370">
        <f t="shared" si="25"/>
        <v>168.35025181458678</v>
      </c>
      <c r="AL49" s="370">
        <f t="shared" si="25"/>
        <v>190.73082653692757</v>
      </c>
      <c r="AM49" s="370">
        <f t="shared" si="25"/>
        <v>192.90963634869155</v>
      </c>
      <c r="AN49" s="371">
        <f t="shared" si="25"/>
        <v>192.90963634869155</v>
      </c>
    </row>
    <row r="50" spans="1:40" s="135" customFormat="1">
      <c r="A50" s="154"/>
      <c r="B50" s="347" t="s">
        <v>5</v>
      </c>
      <c r="C50" s="367" t="s">
        <v>190</v>
      </c>
      <c r="D50" s="369">
        <f t="shared" ref="D50:AN50" si="26">D43/D$4</f>
        <v>112.24427688241288</v>
      </c>
      <c r="E50" s="370">
        <f t="shared" si="26"/>
        <v>186.13544647467597</v>
      </c>
      <c r="F50" s="370">
        <f t="shared" si="26"/>
        <v>171.59318376583019</v>
      </c>
      <c r="G50" s="370">
        <f t="shared" si="26"/>
        <v>109.35494462914428</v>
      </c>
      <c r="H50" s="370">
        <f t="shared" si="26"/>
        <v>80.328417218283931</v>
      </c>
      <c r="I50" s="370">
        <f t="shared" si="26"/>
        <v>149.04697336833243</v>
      </c>
      <c r="J50" s="370">
        <f t="shared" si="26"/>
        <v>114.14974092143567</v>
      </c>
      <c r="K50" s="370">
        <f t="shared" si="26"/>
        <v>78.332064052773305</v>
      </c>
      <c r="L50" s="370">
        <f t="shared" si="26"/>
        <v>87.324646102620477</v>
      </c>
      <c r="M50" s="370">
        <f t="shared" si="26"/>
        <v>114.55927512441819</v>
      </c>
      <c r="N50" s="370">
        <f t="shared" si="26"/>
        <v>133.11818000441812</v>
      </c>
      <c r="O50" s="370">
        <f t="shared" si="26"/>
        <v>104.74030072523041</v>
      </c>
      <c r="P50" s="370">
        <f t="shared" si="26"/>
        <v>175.24636236347939</v>
      </c>
      <c r="Q50" s="370">
        <f t="shared" si="26"/>
        <v>177.07855181709536</v>
      </c>
      <c r="R50" s="370">
        <f t="shared" si="26"/>
        <v>130.13036812801164</v>
      </c>
      <c r="S50" s="370">
        <f t="shared" si="26"/>
        <v>130.71063990301656</v>
      </c>
      <c r="T50" s="370">
        <f t="shared" si="26"/>
        <v>113.23009635931359</v>
      </c>
      <c r="U50" s="370">
        <f t="shared" si="26"/>
        <v>119.99475418121288</v>
      </c>
      <c r="V50" s="370">
        <f t="shared" si="26"/>
        <v>134.8883201591363</v>
      </c>
      <c r="W50" s="370">
        <f t="shared" si="26"/>
        <v>111.66493459397434</v>
      </c>
      <c r="X50" s="370">
        <f t="shared" si="26"/>
        <v>127.99181051692543</v>
      </c>
      <c r="Y50" s="370">
        <f t="shared" si="26"/>
        <v>51.528351511645283</v>
      </c>
      <c r="Z50" s="370">
        <f t="shared" si="26"/>
        <v>121.73456845635528</v>
      </c>
      <c r="AA50" s="370">
        <f t="shared" si="26"/>
        <v>113.58834645170248</v>
      </c>
      <c r="AB50" s="370">
        <f t="shared" si="26"/>
        <v>152.83669878200391</v>
      </c>
      <c r="AC50" s="370">
        <f t="shared" si="26"/>
        <v>105.32420557733938</v>
      </c>
      <c r="AD50" s="370">
        <f t="shared" si="26"/>
        <v>208.98120497781588</v>
      </c>
      <c r="AE50" s="370">
        <f t="shared" si="26"/>
        <v>109.52443465870851</v>
      </c>
      <c r="AF50" s="370">
        <f t="shared" si="26"/>
        <v>135.14777572343485</v>
      </c>
      <c r="AG50" s="370">
        <f t="shared" si="26"/>
        <v>205.81737788381167</v>
      </c>
      <c r="AH50" s="370">
        <f t="shared" si="26"/>
        <v>139.64057694812007</v>
      </c>
      <c r="AI50" s="370">
        <f t="shared" si="26"/>
        <v>175.24636236347939</v>
      </c>
      <c r="AJ50" s="370">
        <f t="shared" si="26"/>
        <v>184.80074669411889</v>
      </c>
      <c r="AK50" s="370">
        <f t="shared" si="26"/>
        <v>147.19431998672712</v>
      </c>
      <c r="AL50" s="370">
        <f t="shared" si="26"/>
        <v>166.62891068703993</v>
      </c>
      <c r="AM50" s="370">
        <f t="shared" si="26"/>
        <v>169.93826364377054</v>
      </c>
      <c r="AN50" s="371">
        <f t="shared" si="26"/>
        <v>169.93826364377054</v>
      </c>
    </row>
    <row r="51" spans="1:40" s="135" customFormat="1">
      <c r="A51" s="154"/>
      <c r="B51" s="347" t="s">
        <v>6</v>
      </c>
      <c r="C51" s="367" t="s">
        <v>190</v>
      </c>
      <c r="D51" s="369">
        <f t="shared" ref="D51:AN51" si="27">D44/D$4</f>
        <v>96.114881817589477</v>
      </c>
      <c r="E51" s="370">
        <f t="shared" si="27"/>
        <v>186.13544647467597</v>
      </c>
      <c r="F51" s="370">
        <f t="shared" si="27"/>
        <v>140.2042430363349</v>
      </c>
      <c r="G51" s="370">
        <f t="shared" si="27"/>
        <v>93.640743841311291</v>
      </c>
      <c r="H51" s="370">
        <f t="shared" si="27"/>
        <v>68.861510373216973</v>
      </c>
      <c r="I51" s="370">
        <f t="shared" si="27"/>
        <v>114.89653236371699</v>
      </c>
      <c r="J51" s="370">
        <f t="shared" si="27"/>
        <v>68.048885597106931</v>
      </c>
      <c r="K51" s="370">
        <f t="shared" si="27"/>
        <v>78.332064052773305</v>
      </c>
      <c r="L51" s="370">
        <f t="shared" si="27"/>
        <v>76.648411581264412</v>
      </c>
      <c r="M51" s="370">
        <f t="shared" si="27"/>
        <v>114.55927512441819</v>
      </c>
      <c r="N51" s="370">
        <f t="shared" si="27"/>
        <v>131.64930580059132</v>
      </c>
      <c r="O51" s="370">
        <f t="shared" si="27"/>
        <v>62.300896425310974</v>
      </c>
      <c r="P51" s="370">
        <f t="shared" si="27"/>
        <v>175.24636236347939</v>
      </c>
      <c r="Q51" s="370">
        <f t="shared" si="27"/>
        <v>128.98435411496698</v>
      </c>
      <c r="R51" s="370">
        <f t="shared" si="27"/>
        <v>130.13036812801164</v>
      </c>
      <c r="S51" s="370">
        <f t="shared" si="27"/>
        <v>113.14060198536997</v>
      </c>
      <c r="T51" s="370">
        <f t="shared" si="27"/>
        <v>111.98067447243459</v>
      </c>
      <c r="U51" s="370">
        <f t="shared" si="27"/>
        <v>111.66424393745167</v>
      </c>
      <c r="V51" s="370">
        <f t="shared" si="27"/>
        <v>134.8883201591363</v>
      </c>
      <c r="W51" s="370">
        <f t="shared" si="27"/>
        <v>95.487554163952012</v>
      </c>
      <c r="X51" s="370">
        <f t="shared" si="27"/>
        <v>126.13201052569342</v>
      </c>
      <c r="Y51" s="370">
        <f t="shared" si="27"/>
        <v>50.778742570089612</v>
      </c>
      <c r="Z51" s="370">
        <f t="shared" si="27"/>
        <v>109.02457385590785</v>
      </c>
      <c r="AA51" s="370">
        <f t="shared" si="27"/>
        <v>103.65636279976435</v>
      </c>
      <c r="AB51" s="370">
        <f t="shared" si="27"/>
        <v>152.83669878200391</v>
      </c>
      <c r="AC51" s="370">
        <f t="shared" si="27"/>
        <v>97.924999287248525</v>
      </c>
      <c r="AD51" s="370">
        <f t="shared" si="27"/>
        <v>208.98120497781588</v>
      </c>
      <c r="AE51" s="370">
        <f t="shared" si="27"/>
        <v>99.947792965270494</v>
      </c>
      <c r="AF51" s="370">
        <f t="shared" si="27"/>
        <v>99.776610274746545</v>
      </c>
      <c r="AG51" s="370">
        <f t="shared" si="27"/>
        <v>189.8643564767695</v>
      </c>
      <c r="AH51" s="370">
        <f t="shared" si="27"/>
        <v>102.97629409599382</v>
      </c>
      <c r="AI51" s="370">
        <f t="shared" si="27"/>
        <v>175.24636236347939</v>
      </c>
      <c r="AJ51" s="370">
        <f t="shared" si="27"/>
        <v>176.69203147598273</v>
      </c>
      <c r="AK51" s="370">
        <f t="shared" si="27"/>
        <v>140.10805088908538</v>
      </c>
      <c r="AL51" s="370">
        <f t="shared" si="27"/>
        <v>135.51318829561649</v>
      </c>
      <c r="AM51" s="370">
        <f t="shared" si="27"/>
        <v>162.4816867131984</v>
      </c>
      <c r="AN51" s="371">
        <f t="shared" si="27"/>
        <v>162.4816867131984</v>
      </c>
    </row>
    <row r="52" spans="1:40" s="135" customFormat="1">
      <c r="A52" s="154"/>
      <c r="B52" s="347" t="s">
        <v>7</v>
      </c>
      <c r="C52" s="367" t="s">
        <v>190</v>
      </c>
      <c r="D52" s="369">
        <f t="shared" ref="D52:AN52" si="28">D45/D$4</f>
        <v>85.474676846052603</v>
      </c>
      <c r="E52" s="370">
        <f t="shared" si="28"/>
        <v>111.69986269431932</v>
      </c>
      <c r="F52" s="370">
        <f t="shared" si="28"/>
        <v>97.626747746639452</v>
      </c>
      <c r="G52" s="370">
        <f t="shared" si="28"/>
        <v>83.274433345818466</v>
      </c>
      <c r="H52" s="370">
        <f t="shared" si="28"/>
        <v>60.592879960237994</v>
      </c>
      <c r="I52" s="370">
        <f t="shared" si="28"/>
        <v>90.399543353356734</v>
      </c>
      <c r="J52" s="370">
        <f t="shared" si="28"/>
        <v>73.309932110130859</v>
      </c>
      <c r="K52" s="370">
        <f t="shared" si="28"/>
        <v>57.189268790479517</v>
      </c>
      <c r="L52" s="370">
        <f t="shared" si="28"/>
        <v>76.648411581264412</v>
      </c>
      <c r="M52" s="370">
        <f t="shared" si="28"/>
        <v>78.332076822813093</v>
      </c>
      <c r="N52" s="370">
        <f t="shared" si="28"/>
        <v>117.94112750126706</v>
      </c>
      <c r="O52" s="370">
        <f t="shared" si="28"/>
        <v>60.256829441509588</v>
      </c>
      <c r="P52" s="370">
        <f t="shared" si="28"/>
        <v>70.977968217123632</v>
      </c>
      <c r="Q52" s="370">
        <f t="shared" si="28"/>
        <v>82.407919901046952</v>
      </c>
      <c r="R52" s="370">
        <f t="shared" si="28"/>
        <v>80.476920185516349</v>
      </c>
      <c r="S52" s="370">
        <f t="shared" si="28"/>
        <v>73.014793590237957</v>
      </c>
      <c r="T52" s="370">
        <f t="shared" si="28"/>
        <v>100.32052144381281</v>
      </c>
      <c r="U52" s="370">
        <f t="shared" si="28"/>
        <v>105.29122382871275</v>
      </c>
      <c r="V52" s="370">
        <f t="shared" si="28"/>
        <v>82.091760045406261</v>
      </c>
      <c r="W52" s="370">
        <f t="shared" si="28"/>
        <v>77.308780804708221</v>
      </c>
      <c r="X52" s="370">
        <f t="shared" si="28"/>
        <v>81.727497235183407</v>
      </c>
      <c r="Y52" s="370">
        <f t="shared" si="28"/>
        <v>48.817193602539476</v>
      </c>
      <c r="Z52" s="370">
        <f t="shared" si="28"/>
        <v>77.814552227312831</v>
      </c>
      <c r="AA52" s="370">
        <f t="shared" si="28"/>
        <v>90.233872057705156</v>
      </c>
      <c r="AB52" s="370">
        <f t="shared" si="28"/>
        <v>122.46223517959811</v>
      </c>
      <c r="AC52" s="370">
        <f t="shared" si="28"/>
        <v>66.86453185053486</v>
      </c>
      <c r="AD52" s="370">
        <f t="shared" si="28"/>
        <v>162.6735219964259</v>
      </c>
      <c r="AE52" s="370">
        <f t="shared" si="28"/>
        <v>87.005525944411403</v>
      </c>
      <c r="AF52" s="370">
        <f t="shared" si="28"/>
        <v>59.074509605277015</v>
      </c>
      <c r="AG52" s="370">
        <f t="shared" si="28"/>
        <v>114.0914569650634</v>
      </c>
      <c r="AH52" s="370">
        <f t="shared" si="28"/>
        <v>86.435781818739656</v>
      </c>
      <c r="AI52" s="370">
        <f t="shared" si="28"/>
        <v>70.977968217123632</v>
      </c>
      <c r="AJ52" s="370">
        <f t="shared" si="28"/>
        <v>153.06910902125441</v>
      </c>
      <c r="AK52" s="370">
        <f t="shared" si="28"/>
        <v>121.59035038759046</v>
      </c>
      <c r="AL52" s="370">
        <f t="shared" si="28"/>
        <v>94.098915721897313</v>
      </c>
      <c r="AM52" s="370">
        <f t="shared" si="28"/>
        <v>140.75862284055802</v>
      </c>
      <c r="AN52" s="371">
        <f t="shared" si="28"/>
        <v>140.75862284055802</v>
      </c>
    </row>
    <row r="53" spans="1:40" s="135" customFormat="1">
      <c r="A53" s="155"/>
      <c r="B53" s="156" t="s">
        <v>259</v>
      </c>
      <c r="C53" s="157" t="s">
        <v>190</v>
      </c>
      <c r="D53" s="339">
        <f t="shared" ref="D53:AN53" si="29">D46/D$4</f>
        <v>166.01845216890266</v>
      </c>
      <c r="E53" s="340">
        <f t="shared" si="29"/>
        <v>205.04721036158435</v>
      </c>
      <c r="F53" s="340">
        <f t="shared" si="29"/>
        <v>177.43523257454643</v>
      </c>
      <c r="G53" s="340">
        <f t="shared" si="29"/>
        <v>161.74489380305513</v>
      </c>
      <c r="H53" s="340">
        <f t="shared" si="29"/>
        <v>71.429091772725414</v>
      </c>
      <c r="I53" s="340">
        <f t="shared" si="29"/>
        <v>160.38106529000763</v>
      </c>
      <c r="J53" s="340">
        <f t="shared" si="29"/>
        <v>171.36775721249398</v>
      </c>
      <c r="K53" s="340">
        <f t="shared" si="29"/>
        <v>112.12296883581992</v>
      </c>
      <c r="L53" s="340">
        <f t="shared" si="29"/>
        <v>117.04585510887382</v>
      </c>
      <c r="M53" s="340">
        <f t="shared" si="29"/>
        <v>140.85388807050904</v>
      </c>
      <c r="N53" s="340">
        <f t="shared" si="29"/>
        <v>163.28039308498956</v>
      </c>
      <c r="O53" s="340">
        <f t="shared" si="29"/>
        <v>162.42936505905487</v>
      </c>
      <c r="P53" s="340">
        <f t="shared" si="29"/>
        <v>171.50041570333516</v>
      </c>
      <c r="Q53" s="340">
        <f t="shared" si="29"/>
        <v>171.23960747569831</v>
      </c>
      <c r="R53" s="340">
        <f t="shared" si="29"/>
        <v>159.73732810134652</v>
      </c>
      <c r="S53" s="340">
        <f t="shared" si="29"/>
        <v>147.84012004117386</v>
      </c>
      <c r="T53" s="340">
        <f t="shared" si="29"/>
        <v>138.88602324630909</v>
      </c>
      <c r="U53" s="340">
        <f t="shared" si="29"/>
        <v>153.89194630605073</v>
      </c>
      <c r="V53" s="340">
        <f t="shared" si="29"/>
        <v>168.77547068938429</v>
      </c>
      <c r="W53" s="340">
        <f t="shared" si="29"/>
        <v>174.38153890499808</v>
      </c>
      <c r="X53" s="340">
        <f t="shared" si="29"/>
        <v>189.1669955684755</v>
      </c>
      <c r="Y53" s="340">
        <f t="shared" si="29"/>
        <v>57.938282693319074</v>
      </c>
      <c r="Z53" s="340">
        <f t="shared" si="29"/>
        <v>169.65476691465958</v>
      </c>
      <c r="AA53" s="340">
        <f t="shared" si="29"/>
        <v>129.50718779669023</v>
      </c>
      <c r="AB53" s="340">
        <f t="shared" si="29"/>
        <v>187.59581381978526</v>
      </c>
      <c r="AC53" s="340">
        <f t="shared" si="29"/>
        <v>103.07005206154555</v>
      </c>
      <c r="AD53" s="340">
        <f t="shared" si="29"/>
        <v>230.54860476151947</v>
      </c>
      <c r="AE53" s="340">
        <f t="shared" si="29"/>
        <v>134.65843166124338</v>
      </c>
      <c r="AF53" s="340">
        <f t="shared" si="29"/>
        <v>161.820517076573</v>
      </c>
      <c r="AG53" s="340">
        <f t="shared" si="29"/>
        <v>229.28718383485719</v>
      </c>
      <c r="AH53" s="340">
        <f t="shared" si="29"/>
        <v>228.82509519660039</v>
      </c>
      <c r="AI53" s="340">
        <f t="shared" si="29"/>
        <v>171.50041570333511</v>
      </c>
      <c r="AJ53" s="340">
        <f t="shared" si="29"/>
        <v>198.11405779789831</v>
      </c>
      <c r="AK53" s="340">
        <f t="shared" si="29"/>
        <v>158.53703602217593</v>
      </c>
      <c r="AL53" s="340">
        <f t="shared" si="29"/>
        <v>172.42145102338841</v>
      </c>
      <c r="AM53" s="340">
        <f t="shared" si="29"/>
        <v>182.18086013105844</v>
      </c>
      <c r="AN53" s="341">
        <f t="shared" si="29"/>
        <v>182.18086013105847</v>
      </c>
    </row>
    <row r="54" spans="1:40">
      <c r="A54" s="346"/>
    </row>
    <row r="55" spans="1:40">
      <c r="A55" s="5" t="s">
        <v>194</v>
      </c>
      <c r="C55" s="5" t="s">
        <v>159</v>
      </c>
      <c r="J55" s="164" t="s">
        <v>151</v>
      </c>
      <c r="O55" s="164" t="s">
        <v>155</v>
      </c>
      <c r="U55" s="164" t="s">
        <v>153</v>
      </c>
    </row>
    <row r="56" spans="1:40">
      <c r="A56" s="136"/>
      <c r="O56" s="180">
        <f>'Dwelling stock'!P18+'Dwelling stock'!S18+'Dwelling stock'!V18+'Dwelling stock'!Y18+'Dwelling stock'!AB18+'Dwelling stock'!AE18</f>
        <v>8073.6725748503004</v>
      </c>
      <c r="P56" s="180">
        <f>'Dwelling stock'!R69</f>
        <v>0</v>
      </c>
      <c r="Q56" s="180">
        <f ca="1">'Dwelling stock'!R65</f>
        <v>21094.784916804434</v>
      </c>
    </row>
    <row r="57" spans="1:40">
      <c r="A57" s="135"/>
      <c r="O57" s="778">
        <f>O46/1000000*3.6</f>
        <v>8.1590255849365786E-2</v>
      </c>
      <c r="Q57" s="164">
        <f>'All Stock'!O27</f>
        <v>4.4296402116335384E-2</v>
      </c>
    </row>
    <row r="58" spans="1:40" ht="15" thickBot="1">
      <c r="O58" s="180">
        <f>O56*O57</f>
        <v>658.73301102604387</v>
      </c>
      <c r="P58" s="177">
        <f ca="1">P56*O57*'All Stock'!O24</f>
        <v>0</v>
      </c>
      <c r="Q58" s="180">
        <f ca="1">Q56*Q57</f>
        <v>934.42307523237571</v>
      </c>
      <c r="R58" s="180">
        <f ca="1">Q56*Q57*'All Stock'!O24</f>
        <v>729.01162757413238</v>
      </c>
    </row>
    <row r="59" spans="1:40" ht="21.6" thickBot="1">
      <c r="A59" s="940" t="s">
        <v>264</v>
      </c>
      <c r="B59" s="941"/>
      <c r="C59" s="941"/>
      <c r="D59" s="941"/>
      <c r="E59" s="941"/>
      <c r="F59" s="941"/>
      <c r="G59" s="941"/>
      <c r="H59" s="941"/>
      <c r="I59" s="941"/>
      <c r="J59" s="941"/>
      <c r="K59" s="941"/>
      <c r="L59" s="941"/>
      <c r="M59" s="941"/>
      <c r="N59" s="941"/>
      <c r="O59" s="941"/>
      <c r="P59" s="941"/>
      <c r="Q59" s="941"/>
      <c r="R59" s="941"/>
      <c r="S59" s="941"/>
      <c r="T59" s="941"/>
      <c r="U59" s="941"/>
      <c r="V59" s="941"/>
      <c r="W59" s="941"/>
      <c r="X59" s="941"/>
      <c r="Y59" s="941"/>
      <c r="Z59" s="941"/>
      <c r="AA59" s="941"/>
      <c r="AB59" s="941"/>
      <c r="AC59" s="941"/>
      <c r="AD59" s="941"/>
      <c r="AE59" s="941"/>
      <c r="AF59" s="941"/>
      <c r="AG59" s="941"/>
      <c r="AH59" s="941"/>
      <c r="AI59" s="941"/>
      <c r="AJ59" s="941"/>
      <c r="AK59" s="941"/>
      <c r="AL59" s="941"/>
      <c r="AM59" s="941"/>
      <c r="AN59" s="942"/>
    </row>
    <row r="60" spans="1:40">
      <c r="A60" s="5" t="s">
        <v>293</v>
      </c>
    </row>
    <row r="61" spans="1:40">
      <c r="A61" s="938" t="s">
        <v>123</v>
      </c>
      <c r="B61" s="939"/>
      <c r="C61" s="138" t="s">
        <v>76</v>
      </c>
      <c r="D61" s="194">
        <v>1</v>
      </c>
      <c r="E61" s="195">
        <v>1</v>
      </c>
      <c r="F61" s="195">
        <v>1</v>
      </c>
      <c r="G61" s="195">
        <v>1</v>
      </c>
      <c r="H61" s="195">
        <v>1</v>
      </c>
      <c r="I61" s="195">
        <v>1</v>
      </c>
      <c r="J61" s="195">
        <v>1</v>
      </c>
      <c r="K61" s="195">
        <v>1</v>
      </c>
      <c r="L61" s="195">
        <v>1</v>
      </c>
      <c r="M61" s="195">
        <v>1</v>
      </c>
      <c r="N61" s="195">
        <v>1</v>
      </c>
      <c r="O61" s="195">
        <v>1</v>
      </c>
      <c r="P61" s="195">
        <v>1</v>
      </c>
      <c r="Q61" s="195">
        <v>1</v>
      </c>
      <c r="R61" s="195">
        <v>1</v>
      </c>
      <c r="S61" s="195">
        <v>1</v>
      </c>
      <c r="T61" s="195">
        <v>1</v>
      </c>
      <c r="U61" s="195">
        <v>1</v>
      </c>
      <c r="V61" s="195">
        <v>1</v>
      </c>
      <c r="W61" s="195">
        <v>1</v>
      </c>
      <c r="X61" s="195">
        <v>1</v>
      </c>
      <c r="Y61" s="195">
        <v>1</v>
      </c>
      <c r="Z61" s="195">
        <v>1</v>
      </c>
      <c r="AA61" s="195">
        <v>1</v>
      </c>
      <c r="AB61" s="195">
        <v>1</v>
      </c>
      <c r="AC61" s="195">
        <v>1</v>
      </c>
      <c r="AD61" s="195">
        <v>1</v>
      </c>
      <c r="AE61" s="195">
        <v>1</v>
      </c>
      <c r="AF61" s="195">
        <v>1</v>
      </c>
      <c r="AG61" s="195">
        <v>1</v>
      </c>
      <c r="AH61" s="195">
        <v>1</v>
      </c>
      <c r="AI61" s="195">
        <v>1</v>
      </c>
      <c r="AJ61" s="195">
        <v>1</v>
      </c>
      <c r="AK61" s="195">
        <v>1</v>
      </c>
      <c r="AL61" s="195">
        <v>1</v>
      </c>
      <c r="AM61" s="195">
        <v>1</v>
      </c>
      <c r="AN61" s="196">
        <v>1</v>
      </c>
    </row>
    <row r="62" spans="1:40">
      <c r="A62" s="151" t="s">
        <v>193</v>
      </c>
      <c r="B62" s="141" t="s">
        <v>2</v>
      </c>
      <c r="C62" s="144" t="s">
        <v>195</v>
      </c>
      <c r="D62" s="170">
        <f>((LOOKUP(D$2,'Ceiling-U'!$A$4:$A$40,'Ceiling-U'!$E$4:$E$40)*D$14)+(LOOKUP(D$2,'Floor-U'!$A$4:$A$40,'Floor-U'!$E$4:$E$40)*D$15)+(LOOKUP(D$2,'Wall-U'!$A$4:$A$40,'Wall-U'!$E$4:$E$40)*D$12)+(LOOKUP(D$2,'Window-U'!$A$4:$A$40,'Window-U'!$S$4:$S$40)*D$21))*D$61</f>
        <v>465.30153005625198</v>
      </c>
      <c r="E62" s="171">
        <f>((LOOKUP(E$2,'Ceiling-U'!$A$4:$A$40,'Ceiling-U'!$E$4:$E$40)*E$14)+(LOOKUP(E$2,'Floor-U'!$A$4:$A$40,'Floor-U'!$E$4:$E$40)*E$15)+(LOOKUP(E$2,'Wall-U'!$A$4:$A$40,'Wall-U'!$E$4:$E$40)*E$12)+(LOOKUP(E$2,'Window-U'!$A$4:$A$40,'Window-U'!$S$4:$S$40)*E$21))*E$61</f>
        <v>553.59087407510015</v>
      </c>
      <c r="F62" s="171">
        <f>((LOOKUP(F$2,'Ceiling-U'!$A$4:$A$40,'Ceiling-U'!$E$4:$E$40)*F$14)+(LOOKUP(F$2,'Floor-U'!$A$4:$A$40,'Floor-U'!$E$4:$E$40)*F$15)+(LOOKUP(F$2,'Wall-U'!$A$4:$A$40,'Wall-U'!$E$4:$E$40)*F$12)+(LOOKUP(F$2,'Window-U'!$A$4:$A$40,'Window-U'!$S$4:$S$40)*F$21))*F$61</f>
        <v>310.42230993026567</v>
      </c>
      <c r="G62" s="171">
        <f>((LOOKUP(G$2,'Ceiling-U'!$A$4:$A$40,'Ceiling-U'!$E$4:$E$40)*G$14)+(LOOKUP(G$2,'Floor-U'!$A$4:$A$40,'Floor-U'!$E$4:$E$40)*G$15)+(LOOKUP(G$2,'Wall-U'!$A$4:$A$40,'Wall-U'!$E$4:$E$40)*G$12)+(LOOKUP(G$2,'Window-U'!$A$4:$A$40,'Window-U'!$S$4:$S$40)*G$21))*G$61</f>
        <v>465.30153005625198</v>
      </c>
      <c r="H62" s="171">
        <f>((LOOKUP(H$2,'Ceiling-U'!$A$4:$A$40,'Ceiling-U'!$E$4:$E$40)*H$14)+(LOOKUP(H$2,'Floor-U'!$A$4:$A$40,'Floor-U'!$E$4:$E$40)*H$15)+(LOOKUP(H$2,'Wall-U'!$A$4:$A$40,'Wall-U'!$E$4:$E$40)*H$12)+(LOOKUP(H$2,'Window-U'!$A$4:$A$40,'Window-U'!$S$4:$S$40)*H$21))*H$61</f>
        <v>729.16319389240198</v>
      </c>
      <c r="I62" s="171">
        <f>((LOOKUP(I$2,'Ceiling-U'!$A$4:$A$40,'Ceiling-U'!$E$4:$E$40)*I$14)+(LOOKUP(I$2,'Floor-U'!$A$4:$A$40,'Floor-U'!$E$4:$E$40)*I$15)+(LOOKUP(I$2,'Wall-U'!$A$4:$A$40,'Wall-U'!$E$4:$E$40)*I$12)+(LOOKUP(I$2,'Window-U'!$A$4:$A$40,'Window-U'!$S$4:$S$40)*I$21))*I$61</f>
        <v>315.33211875279051</v>
      </c>
      <c r="J62" s="171">
        <f>((LOOKUP(J$2,'Ceiling-U'!$A$4:$A$40,'Ceiling-U'!$E$4:$E$40)*J$14)+(LOOKUP(J$2,'Floor-U'!$A$4:$A$40,'Floor-U'!$E$4:$E$40)*J$15)+(LOOKUP(J$2,'Wall-U'!$A$4:$A$40,'Wall-U'!$E$4:$E$40)*J$12)+(LOOKUP(J$2,'Window-U'!$A$4:$A$40,'Window-U'!$S$4:$S$40)*J$21))*J$61</f>
        <v>526.33520726505049</v>
      </c>
      <c r="K62" s="171">
        <f>((LOOKUP(K$2,'Ceiling-U'!$A$4:$A$40,'Ceiling-U'!$E$4:$E$40)*K$14)+(LOOKUP(K$2,'Floor-U'!$A$4:$A$40,'Floor-U'!$E$4:$E$40)*K$15)+(LOOKUP(K$2,'Wall-U'!$A$4:$A$40,'Wall-U'!$E$4:$E$40)*K$12)+(LOOKUP(K$2,'Window-U'!$A$4:$A$40,'Window-U'!$S$4:$S$40)*K$21))*K$61</f>
        <v>281.9625743153311</v>
      </c>
      <c r="L62" s="171">
        <f>((LOOKUP(L$2,'Ceiling-U'!$A$4:$A$40,'Ceiling-U'!$E$4:$E$40)*L$14)+(LOOKUP(L$2,'Floor-U'!$A$4:$A$40,'Floor-U'!$E$4:$E$40)*L$15)+(LOOKUP(L$2,'Wall-U'!$A$4:$A$40,'Wall-U'!$E$4:$E$40)*L$12)+(LOOKUP(L$2,'Window-U'!$A$4:$A$40,'Window-U'!$S$4:$S$40)*L$21))*L$61</f>
        <v>139.55592744097808</v>
      </c>
      <c r="M62" s="171">
        <f>((LOOKUP(M$2,'Ceiling-U'!$A$4:$A$40,'Ceiling-U'!$E$4:$E$40)*M$14)+(LOOKUP(M$2,'Floor-U'!$A$4:$A$40,'Floor-U'!$E$4:$E$40)*M$15)+(LOOKUP(M$2,'Wall-U'!$A$4:$A$40,'Wall-U'!$E$4:$E$40)*M$12)+(LOOKUP(M$2,'Window-U'!$A$4:$A$40,'Window-U'!$S$4:$S$40)*M$21))*M$61</f>
        <v>753.43202533265776</v>
      </c>
      <c r="N62" s="171">
        <f>((LOOKUP(N$2,'Ceiling-U'!$A$4:$A$40,'Ceiling-U'!$E$4:$E$40)*N$14)+(LOOKUP(N$2,'Floor-U'!$A$4:$A$40,'Floor-U'!$E$4:$E$40)*N$15)+(LOOKUP(N$2,'Wall-U'!$A$4:$A$40,'Wall-U'!$E$4:$E$40)*N$12)+(LOOKUP(N$2,'Window-U'!$A$4:$A$40,'Window-U'!$S$4:$S$40)*N$21))*N$61</f>
        <v>180.46042531726152</v>
      </c>
      <c r="O62" s="171">
        <f>((LOOKUP(O$2,'Ceiling-U'!$A$4:$A$40,'Ceiling-U'!$E$4:$E$40)*O$14)+(LOOKUP(O$2,'Floor-U'!$A$4:$A$40,'Floor-U'!$E$4:$E$40)*O$15)+(LOOKUP(O$2,'Wall-U'!$A$4:$A$40,'Wall-U'!$E$4:$E$40)*O$12)+(LOOKUP(O$2,'Window-U'!$A$4:$A$40,'Window-U'!$S$4:$S$40)*O$21))*O$61</f>
        <v>775.29717721929364</v>
      </c>
      <c r="P62" s="171">
        <f>((LOOKUP(P$2,'Ceiling-U'!$A$4:$A$40,'Ceiling-U'!$E$4:$E$40)*P$14)+(LOOKUP(P$2,'Floor-U'!$A$4:$A$40,'Floor-U'!$E$4:$E$40)*P$15)+(LOOKUP(P$2,'Wall-U'!$A$4:$A$40,'Wall-U'!$E$4:$E$40)*P$12)+(LOOKUP(P$2,'Window-U'!$A$4:$A$40,'Window-U'!$S$4:$S$40)*P$21))*P$61</f>
        <v>725.09721542084981</v>
      </c>
      <c r="Q62" s="171">
        <f>((LOOKUP(Q$2,'Ceiling-U'!$A$4:$A$40,'Ceiling-U'!$E$4:$E$40)*Q$14)+(LOOKUP(Q$2,'Floor-U'!$A$4:$A$40,'Floor-U'!$E$4:$E$40)*Q$15)+(LOOKUP(Q$2,'Wall-U'!$A$4:$A$40,'Wall-U'!$E$4:$E$40)*Q$12)+(LOOKUP(Q$2,'Window-U'!$A$4:$A$40,'Window-U'!$S$4:$S$40)*Q$21))*Q$61</f>
        <v>275.89518007835937</v>
      </c>
      <c r="R62" s="171">
        <f>((LOOKUP(R$2,'Ceiling-U'!$A$4:$A$40,'Ceiling-U'!$E$4:$E$40)*R$14)+(LOOKUP(R$2,'Floor-U'!$A$4:$A$40,'Floor-U'!$E$4:$E$40)*R$15)+(LOOKUP(R$2,'Wall-U'!$A$4:$A$40,'Wall-U'!$E$4:$E$40)*R$12)+(LOOKUP(R$2,'Window-U'!$A$4:$A$40,'Window-U'!$S$4:$S$40)*R$21))*R$61</f>
        <v>398.97927104864419</v>
      </c>
      <c r="S62" s="171">
        <f>((LOOKUP(S$2,'Ceiling-U'!$A$4:$A$40,'Ceiling-U'!$E$4:$E$40)*S$14)+(LOOKUP(S$2,'Floor-U'!$A$4:$A$40,'Floor-U'!$E$4:$E$40)*S$15)+(LOOKUP(S$2,'Wall-U'!$A$4:$A$40,'Wall-U'!$E$4:$E$40)*S$12)+(LOOKUP(S$2,'Window-U'!$A$4:$A$40,'Window-U'!$S$4:$S$40)*S$21))*S$61</f>
        <v>560.25136822825107</v>
      </c>
      <c r="T62" s="171">
        <f>((LOOKUP(T$2,'Ceiling-U'!$A$4:$A$40,'Ceiling-U'!$E$4:$E$40)*T$14)+(LOOKUP(T$2,'Floor-U'!$A$4:$A$40,'Floor-U'!$E$4:$E$40)*T$15)+(LOOKUP(T$2,'Wall-U'!$A$4:$A$40,'Wall-U'!$E$4:$E$40)*T$12)+(LOOKUP(T$2,'Window-U'!$A$4:$A$40,'Window-U'!$S$4:$S$40)*T$21))*T$61</f>
        <v>180.46042531726152</v>
      </c>
      <c r="U62" s="171">
        <f>((LOOKUP(U$2,'Ceiling-U'!$A$4:$A$40,'Ceiling-U'!$E$4:$E$40)*U$14)+(LOOKUP(U$2,'Floor-U'!$A$4:$A$40,'Floor-U'!$E$4:$E$40)*U$15)+(LOOKUP(U$2,'Wall-U'!$A$4:$A$40,'Wall-U'!$E$4:$E$40)*U$12)+(LOOKUP(U$2,'Window-U'!$A$4:$A$40,'Window-U'!$S$4:$S$40)*U$21))*U$61</f>
        <v>600.37060174227076</v>
      </c>
      <c r="V62" s="171">
        <f>((LOOKUP(V$2,'Ceiling-U'!$A$4:$A$40,'Ceiling-U'!$E$4:$E$40)*V$14)+(LOOKUP(V$2,'Floor-U'!$A$4:$A$40,'Floor-U'!$E$4:$E$40)*V$15)+(LOOKUP(V$2,'Wall-U'!$A$4:$A$40,'Wall-U'!$E$4:$E$40)*V$12)+(LOOKUP(V$2,'Window-U'!$A$4:$A$40,'Window-U'!$S$4:$S$40)*V$21))*V$61</f>
        <v>289.14452969689313</v>
      </c>
      <c r="W62" s="171">
        <f>((LOOKUP(W$2,'Ceiling-U'!$A$4:$A$40,'Ceiling-U'!$E$4:$E$40)*W$14)+(LOOKUP(W$2,'Floor-U'!$A$4:$A$40,'Floor-U'!$E$4:$E$40)*W$15)+(LOOKUP(W$2,'Wall-U'!$A$4:$A$40,'Wall-U'!$E$4:$E$40)*W$12)+(LOOKUP(W$2,'Window-U'!$A$4:$A$40,'Window-U'!$S$4:$S$40)*W$21))*W$61</f>
        <v>352.18141362437473</v>
      </c>
      <c r="X62" s="171">
        <f>((LOOKUP(X$2,'Ceiling-U'!$A$4:$A$40,'Ceiling-U'!$E$4:$E$40)*X$14)+(LOOKUP(X$2,'Floor-U'!$A$4:$A$40,'Floor-U'!$E$4:$E$40)*X$15)+(LOOKUP(X$2,'Wall-U'!$A$4:$A$40,'Wall-U'!$E$4:$E$40)*X$12)+(LOOKUP(X$2,'Window-U'!$A$4:$A$40,'Window-U'!$S$4:$S$40)*X$21))*X$61</f>
        <v>307.70320061795604</v>
      </c>
      <c r="Y62" s="171">
        <f>((LOOKUP(Y$2,'Ceiling-U'!$A$4:$A$40,'Ceiling-U'!$E$4:$E$40)*Y$14)+(LOOKUP(Y$2,'Floor-U'!$A$4:$A$40,'Floor-U'!$E$4:$E$40)*Y$15)+(LOOKUP(Y$2,'Wall-U'!$A$4:$A$40,'Wall-U'!$E$4:$E$40)*Y$12)+(LOOKUP(Y$2,'Window-U'!$A$4:$A$40,'Window-U'!$S$4:$S$40)*Y$21))*Y$61</f>
        <v>789.4430572278585</v>
      </c>
      <c r="Z62" s="171">
        <f>((LOOKUP(Z$2,'Ceiling-U'!$A$4:$A$40,'Ceiling-U'!$E$4:$E$40)*Z$14)+(LOOKUP(Z$2,'Floor-U'!$A$4:$A$40,'Floor-U'!$E$4:$E$40)*Z$15)+(LOOKUP(Z$2,'Wall-U'!$A$4:$A$40,'Wall-U'!$E$4:$E$40)*Z$12)+(LOOKUP(Z$2,'Window-U'!$A$4:$A$40,'Window-U'!$S$4:$S$40)*Z$21))*Z$61</f>
        <v>606.02085535053038</v>
      </c>
      <c r="AA62" s="171">
        <f>((LOOKUP(AA$2,'Ceiling-U'!$A$4:$A$40,'Ceiling-U'!$E$4:$E$40)*AA$14)+(LOOKUP(AA$2,'Floor-U'!$A$4:$A$40,'Floor-U'!$E$4:$E$40)*AA$15)+(LOOKUP(AA$2,'Wall-U'!$A$4:$A$40,'Wall-U'!$E$4:$E$40)*AA$12)+(LOOKUP(AA$2,'Window-U'!$A$4:$A$40,'Window-U'!$S$4:$S$40)*AA$21))*AA$61</f>
        <v>161.63014628813517</v>
      </c>
      <c r="AB62" s="171">
        <f>((LOOKUP(AB$2,'Ceiling-U'!$A$4:$A$40,'Ceiling-U'!$E$4:$E$40)*AB$14)+(LOOKUP(AB$2,'Floor-U'!$A$4:$A$40,'Floor-U'!$E$4:$E$40)*AB$15)+(LOOKUP(AB$2,'Wall-U'!$A$4:$A$40,'Wall-U'!$E$4:$E$40)*AB$12)+(LOOKUP(AB$2,'Window-U'!$A$4:$A$40,'Window-U'!$S$4:$S$40)*AB$21))*AB$61</f>
        <v>491.09946775428409</v>
      </c>
      <c r="AC62" s="171">
        <f>((LOOKUP(AC$2,'Ceiling-U'!$A$4:$A$40,'Ceiling-U'!$E$4:$E$40)*AC$14)+(LOOKUP(AC$2,'Floor-U'!$A$4:$A$40,'Floor-U'!$E$4:$E$40)*AC$15)+(LOOKUP(AC$2,'Wall-U'!$A$4:$A$40,'Wall-U'!$E$4:$E$40)*AC$12)+(LOOKUP(AC$2,'Window-U'!$A$4:$A$40,'Window-U'!$S$4:$S$40)*AC$21))*AC$61</f>
        <v>749.10218557416295</v>
      </c>
      <c r="AD62" s="171">
        <f>((LOOKUP(AD$2,'Ceiling-U'!$A$4:$A$40,'Ceiling-U'!$E$4:$E$40)*AD$14)+(LOOKUP(AD$2,'Floor-U'!$A$4:$A$40,'Floor-U'!$E$4:$E$40)*AD$15)+(LOOKUP(AD$2,'Wall-U'!$A$4:$A$40,'Wall-U'!$E$4:$E$40)*AD$12)+(LOOKUP(AD$2,'Window-U'!$A$4:$A$40,'Window-U'!$S$4:$S$40)*AD$21))*AD$61</f>
        <v>417.53667448190464</v>
      </c>
      <c r="AE62" s="171">
        <f>((LOOKUP(AE$2,'Ceiling-U'!$A$4:$A$40,'Ceiling-U'!$E$4:$E$40)*AE$14)+(LOOKUP(AE$2,'Floor-U'!$A$4:$A$40,'Floor-U'!$E$4:$E$40)*AE$15)+(LOOKUP(AE$2,'Wall-U'!$A$4:$A$40,'Wall-U'!$E$4:$E$40)*AE$12)+(LOOKUP(AE$2,'Window-U'!$A$4:$A$40,'Window-U'!$S$4:$S$40)*AE$21))*AE$61</f>
        <v>161.63014628813517</v>
      </c>
      <c r="AF62" s="171">
        <f>((LOOKUP(AF$2,'Ceiling-U'!$A$4:$A$40,'Ceiling-U'!$E$4:$E$40)*AF$14)+(LOOKUP(AF$2,'Floor-U'!$A$4:$A$40,'Floor-U'!$E$4:$E$40)*AF$15)+(LOOKUP(AF$2,'Wall-U'!$A$4:$A$40,'Wall-U'!$E$4:$E$40)*AF$12)+(LOOKUP(AF$2,'Window-U'!$A$4:$A$40,'Window-U'!$S$4:$S$40)*AF$21))*AF$61</f>
        <v>381.23875507094124</v>
      </c>
      <c r="AG62" s="171">
        <f>((LOOKUP(AG$2,'Ceiling-U'!$A$4:$A$40,'Ceiling-U'!$E$4:$E$40)*AG$14)+(LOOKUP(AG$2,'Floor-U'!$A$4:$A$40,'Floor-U'!$E$4:$E$40)*AG$15)+(LOOKUP(AG$2,'Wall-U'!$A$4:$A$40,'Wall-U'!$E$4:$E$40)*AG$12)+(LOOKUP(AG$2,'Window-U'!$A$4:$A$40,'Window-U'!$S$4:$S$40)*AG$21))*AG$61</f>
        <v>505.98931105458729</v>
      </c>
      <c r="AH62" s="171">
        <f>((LOOKUP(AH$2,'Ceiling-U'!$A$4:$A$40,'Ceiling-U'!$E$4:$E$40)*AH$14)+(LOOKUP(AH$2,'Floor-U'!$A$4:$A$40,'Floor-U'!$E$4:$E$40)*AH$15)+(LOOKUP(AH$2,'Wall-U'!$A$4:$A$40,'Wall-U'!$E$4:$E$40)*AH$12)+(LOOKUP(AH$2,'Window-U'!$A$4:$A$40,'Window-U'!$S$4:$S$40)*AH$21))*AH$61</f>
        <v>439.02542622441456</v>
      </c>
      <c r="AI62" s="171">
        <f>((LOOKUP(AI$2,'Ceiling-U'!$A$4:$A$40,'Ceiling-U'!$E$4:$E$40)*AI$14)+(LOOKUP(AI$2,'Floor-U'!$A$4:$A$40,'Floor-U'!$E$4:$E$40)*AI$15)+(LOOKUP(AI$2,'Wall-U'!$A$4:$A$40,'Wall-U'!$E$4:$E$40)*AI$12)+(LOOKUP(AI$2,'Window-U'!$A$4:$A$40,'Window-U'!$S$4:$S$40)*AI$21))*AI$61</f>
        <v>725.09721542084981</v>
      </c>
      <c r="AJ62" s="171">
        <f>((LOOKUP(AJ$2,'Ceiling-U'!$A$4:$A$40,'Ceiling-U'!$E$4:$E$40)*AJ$14)+(LOOKUP(AJ$2,'Floor-U'!$A$4:$A$40,'Floor-U'!$E$4:$E$40)*AJ$15)+(LOOKUP(AJ$2,'Wall-U'!$A$4:$A$40,'Wall-U'!$E$4:$E$40)*AJ$12)+(LOOKUP(AJ$2,'Window-U'!$A$4:$A$40,'Window-U'!$S$4:$S$40)*AJ$21))*AJ$61</f>
        <v>298.444451793974</v>
      </c>
      <c r="AK62" s="171">
        <f>((LOOKUP(AK$2,'Ceiling-U'!$A$4:$A$40,'Ceiling-U'!$E$4:$E$40)*AK$14)+(LOOKUP(AK$2,'Floor-U'!$A$4:$A$40,'Floor-U'!$E$4:$E$40)*AK$15)+(LOOKUP(AK$2,'Wall-U'!$A$4:$A$40,'Wall-U'!$E$4:$E$40)*AK$12)+(LOOKUP(AK$2,'Window-U'!$A$4:$A$40,'Window-U'!$S$4:$S$40)*AK$21))*AK$61</f>
        <v>364.6730729087418</v>
      </c>
      <c r="AL62" s="171">
        <f>((LOOKUP(AL$2,'Ceiling-U'!$A$4:$A$40,'Ceiling-U'!$E$4:$E$40)*AL$14)+(LOOKUP(AL$2,'Floor-U'!$A$4:$A$40,'Floor-U'!$E$4:$E$40)*AL$15)+(LOOKUP(AL$2,'Wall-U'!$A$4:$A$40,'Wall-U'!$E$4:$E$40)*AL$12)+(LOOKUP(AL$2,'Window-U'!$A$4:$A$40,'Window-U'!$S$4:$S$40)*AL$21))*AL$61</f>
        <v>327.84278700521429</v>
      </c>
      <c r="AM62" s="171">
        <f>((LOOKUP(AM$2,'Ceiling-U'!$A$4:$A$40,'Ceiling-U'!$E$4:$E$40)*AM$14)+(LOOKUP(AM$2,'Floor-U'!$A$4:$A$40,'Floor-U'!$E$4:$E$40)*AM$15)+(LOOKUP(AM$2,'Wall-U'!$A$4:$A$40,'Wall-U'!$E$4:$E$40)*AM$12)+(LOOKUP(AM$2,'Window-U'!$A$4:$A$40,'Window-U'!$S$4:$S$40)*AM$21))*AM$61</f>
        <v>298.444451793974</v>
      </c>
      <c r="AN62" s="172">
        <f>((LOOKUP(AN$2,'Ceiling-U'!$A$4:$A$40,'Ceiling-U'!$E$4:$E$40)*AN$14)+(LOOKUP(AN$2,'Floor-U'!$A$4:$A$40,'Floor-U'!$E$4:$E$40)*AN$15)+(LOOKUP(AN$2,'Wall-U'!$A$4:$A$40,'Wall-U'!$E$4:$E$40)*AN$12)+(LOOKUP(AN$2,'Window-U'!$A$4:$A$40,'Window-U'!$S$4:$S$40)*AN$21))*AN$61</f>
        <v>298.444451793974</v>
      </c>
    </row>
    <row r="63" spans="1:40">
      <c r="A63" s="372"/>
      <c r="B63" s="142" t="s">
        <v>3</v>
      </c>
      <c r="C63" s="131" t="s">
        <v>195</v>
      </c>
      <c r="D63" s="176">
        <f>((LOOKUP(D$2,'Ceiling-U'!$A$4:$A$40,'Ceiling-U'!$F$4:$F$40)*D$14)+(LOOKUP(D$2,'Floor-U'!$A$4:$A$40,'Floor-U'!$F$4:$F$40)*D$15)+(LOOKUP(D$2,'Wall-U'!$A$4:$A$40,'Wall-U'!$F$4:$F$40)*D$12)+(LOOKUP(D$2,'Window-U'!$A$4:$A$40,'Window-U'!$S$4:$S$40)*D$21))*D$61</f>
        <v>423.00893420387376</v>
      </c>
      <c r="E63" s="177">
        <f>((LOOKUP(E$2,'Ceiling-U'!$A$4:$A$40,'Ceiling-U'!$F$4:$F$40)*E$14)+(LOOKUP(E$2,'Floor-U'!$A$4:$A$40,'Floor-U'!$F$4:$F$40)*E$15)+(LOOKUP(E$2,'Wall-U'!$A$4:$A$40,'Wall-U'!$F$4:$F$40)*E$12)+(LOOKUP(E$2,'Window-U'!$A$4:$A$40,'Window-U'!$S$4:$S$40)*E$21))*E$61</f>
        <v>553.59087407510015</v>
      </c>
      <c r="F63" s="177">
        <f>((LOOKUP(F$2,'Ceiling-U'!$A$4:$A$40,'Ceiling-U'!$F$4:$F$40)*F$14)+(LOOKUP(F$2,'Floor-U'!$A$4:$A$40,'Floor-U'!$F$4:$F$40)*F$15)+(LOOKUP(F$2,'Wall-U'!$A$4:$A$40,'Wall-U'!$F$4:$F$40)*F$12)+(LOOKUP(F$2,'Window-U'!$A$4:$A$40,'Window-U'!$S$4:$S$40)*F$21))*F$61</f>
        <v>310.42230993026567</v>
      </c>
      <c r="G63" s="177">
        <f>((LOOKUP(G$2,'Ceiling-U'!$A$4:$A$40,'Ceiling-U'!$F$4:$F$40)*G$14)+(LOOKUP(G$2,'Floor-U'!$A$4:$A$40,'Floor-U'!$F$4:$F$40)*G$15)+(LOOKUP(G$2,'Wall-U'!$A$4:$A$40,'Wall-U'!$F$4:$F$40)*G$12)+(LOOKUP(G$2,'Window-U'!$A$4:$A$40,'Window-U'!$S$4:$S$40)*G$21))*G$61</f>
        <v>423.00893420387376</v>
      </c>
      <c r="H63" s="177">
        <f>((LOOKUP(H$2,'Ceiling-U'!$A$4:$A$40,'Ceiling-U'!$F$4:$F$40)*H$14)+(LOOKUP(H$2,'Floor-U'!$A$4:$A$40,'Floor-U'!$F$4:$F$40)*H$15)+(LOOKUP(H$2,'Wall-U'!$A$4:$A$40,'Wall-U'!$F$4:$F$40)*H$12)+(LOOKUP(H$2,'Window-U'!$A$4:$A$40,'Window-U'!$S$4:$S$40)*H$21))*H$61</f>
        <v>675.38175502841261</v>
      </c>
      <c r="I63" s="177">
        <f>((LOOKUP(I$2,'Ceiling-U'!$A$4:$A$40,'Ceiling-U'!$F$4:$F$40)*I$14)+(LOOKUP(I$2,'Floor-U'!$A$4:$A$40,'Floor-U'!$F$4:$F$40)*I$15)+(LOOKUP(I$2,'Wall-U'!$A$4:$A$40,'Wall-U'!$F$4:$F$40)*I$12)+(LOOKUP(I$2,'Window-U'!$A$4:$A$40,'Window-U'!$S$4:$S$40)*I$21))*I$61</f>
        <v>252.02376597389093</v>
      </c>
      <c r="J63" s="177">
        <f>((LOOKUP(J$2,'Ceiling-U'!$A$4:$A$40,'Ceiling-U'!$F$4:$F$40)*J$14)+(LOOKUP(J$2,'Floor-U'!$A$4:$A$40,'Floor-U'!$F$4:$F$40)*J$15)+(LOOKUP(J$2,'Wall-U'!$A$4:$A$40,'Wall-U'!$F$4:$F$40)*J$12)+(LOOKUP(J$2,'Window-U'!$A$4:$A$40,'Window-U'!$S$4:$S$40)*J$21))*J$61</f>
        <v>453.95798739998099</v>
      </c>
      <c r="K63" s="177">
        <f>((LOOKUP(K$2,'Ceiling-U'!$A$4:$A$40,'Ceiling-U'!$F$4:$F$40)*K$14)+(LOOKUP(K$2,'Floor-U'!$A$4:$A$40,'Floor-U'!$F$4:$F$40)*K$15)+(LOOKUP(K$2,'Wall-U'!$A$4:$A$40,'Wall-U'!$F$4:$F$40)*K$12)+(LOOKUP(K$2,'Window-U'!$A$4:$A$40,'Window-U'!$S$4:$S$40)*K$21))*K$61</f>
        <v>271.73180404757863</v>
      </c>
      <c r="L63" s="177">
        <f>((LOOKUP(L$2,'Ceiling-U'!$A$4:$A$40,'Ceiling-U'!$F$4:$F$40)*L$14)+(LOOKUP(L$2,'Floor-U'!$A$4:$A$40,'Floor-U'!$F$4:$F$40)*L$15)+(LOOKUP(L$2,'Wall-U'!$A$4:$A$40,'Wall-U'!$F$4:$F$40)*L$12)+(LOOKUP(L$2,'Window-U'!$A$4:$A$40,'Window-U'!$S$4:$S$40)*L$21))*L$61</f>
        <v>139.55592744097808</v>
      </c>
      <c r="M63" s="177">
        <f>((LOOKUP(M$2,'Ceiling-U'!$A$4:$A$40,'Ceiling-U'!$F$4:$F$40)*M$14)+(LOOKUP(M$2,'Floor-U'!$A$4:$A$40,'Floor-U'!$F$4:$F$40)*M$15)+(LOOKUP(M$2,'Wall-U'!$A$4:$A$40,'Wall-U'!$F$4:$F$40)*M$12)+(LOOKUP(M$2,'Window-U'!$A$4:$A$40,'Window-U'!$S$4:$S$40)*M$21))*M$61</f>
        <v>659.50949037953797</v>
      </c>
      <c r="N63" s="177">
        <f>((LOOKUP(N$2,'Ceiling-U'!$A$4:$A$40,'Ceiling-U'!$F$4:$F$40)*N$14)+(LOOKUP(N$2,'Floor-U'!$A$4:$A$40,'Floor-U'!$F$4:$F$40)*N$15)+(LOOKUP(N$2,'Wall-U'!$A$4:$A$40,'Wall-U'!$F$4:$F$40)*N$12)+(LOOKUP(N$2,'Window-U'!$A$4:$A$40,'Window-U'!$S$4:$S$40)*N$21))*N$61</f>
        <v>160.18129279611077</v>
      </c>
      <c r="O63" s="177">
        <f>((LOOKUP(O$2,'Ceiling-U'!$A$4:$A$40,'Ceiling-U'!$F$4:$F$40)*O$14)+(LOOKUP(O$2,'Floor-U'!$A$4:$A$40,'Floor-U'!$F$4:$F$40)*O$15)+(LOOKUP(O$2,'Wall-U'!$A$4:$A$40,'Wall-U'!$F$4:$F$40)*O$12)+(LOOKUP(O$2,'Window-U'!$A$4:$A$40,'Window-U'!$S$4:$S$40)*O$21))*O$61</f>
        <v>775.29717721929364</v>
      </c>
      <c r="P63" s="177">
        <f>((LOOKUP(P$2,'Ceiling-U'!$A$4:$A$40,'Ceiling-U'!$F$4:$F$40)*P$14)+(LOOKUP(P$2,'Floor-U'!$A$4:$A$40,'Floor-U'!$F$4:$F$40)*P$15)+(LOOKUP(P$2,'Wall-U'!$A$4:$A$40,'Wall-U'!$F$4:$F$40)*P$12)+(LOOKUP(P$2,'Window-U'!$A$4:$A$40,'Window-U'!$S$4:$S$40)*P$21))*P$61</f>
        <v>725.09721542084981</v>
      </c>
      <c r="Q63" s="177">
        <f>((LOOKUP(Q$2,'Ceiling-U'!$A$4:$A$40,'Ceiling-U'!$F$4:$F$40)*Q$14)+(LOOKUP(Q$2,'Floor-U'!$A$4:$A$40,'Floor-U'!$F$4:$F$40)*Q$15)+(LOOKUP(Q$2,'Wall-U'!$A$4:$A$40,'Wall-U'!$F$4:$F$40)*Q$12)+(LOOKUP(Q$2,'Window-U'!$A$4:$A$40,'Window-U'!$S$4:$S$40)*Q$21))*Q$61</f>
        <v>298.81530264334839</v>
      </c>
      <c r="R63" s="177">
        <f>((LOOKUP(R$2,'Ceiling-U'!$A$4:$A$40,'Ceiling-U'!$F$4:$F$40)*R$14)+(LOOKUP(R$2,'Floor-U'!$A$4:$A$40,'Floor-U'!$F$4:$F$40)*R$15)+(LOOKUP(R$2,'Wall-U'!$A$4:$A$40,'Wall-U'!$F$4:$F$40)*R$12)+(LOOKUP(R$2,'Window-U'!$A$4:$A$40,'Window-U'!$S$4:$S$40)*R$21))*R$61</f>
        <v>398.97927104864419</v>
      </c>
      <c r="S63" s="177">
        <f>((LOOKUP(S$2,'Ceiling-U'!$A$4:$A$40,'Ceiling-U'!$F$4:$F$40)*S$14)+(LOOKUP(S$2,'Floor-U'!$A$4:$A$40,'Floor-U'!$F$4:$F$40)*S$15)+(LOOKUP(S$2,'Wall-U'!$A$4:$A$40,'Wall-U'!$F$4:$F$40)*S$12)+(LOOKUP(S$2,'Window-U'!$A$4:$A$40,'Window-U'!$S$4:$S$40)*S$21))*S$61</f>
        <v>570.48952304453974</v>
      </c>
      <c r="T63" s="177">
        <f>((LOOKUP(T$2,'Ceiling-U'!$A$4:$A$40,'Ceiling-U'!$F$4:$F$40)*T$14)+(LOOKUP(T$2,'Floor-U'!$A$4:$A$40,'Floor-U'!$F$4:$F$40)*T$15)+(LOOKUP(T$2,'Wall-U'!$A$4:$A$40,'Wall-U'!$F$4:$F$40)*T$12)+(LOOKUP(T$2,'Window-U'!$A$4:$A$40,'Window-U'!$S$4:$S$40)*T$21))*T$61</f>
        <v>160.18129279611077</v>
      </c>
      <c r="U63" s="177">
        <f>((LOOKUP(U$2,'Ceiling-U'!$A$4:$A$40,'Ceiling-U'!$F$4:$F$40)*U$14)+(LOOKUP(U$2,'Floor-U'!$A$4:$A$40,'Floor-U'!$F$4:$F$40)*U$15)+(LOOKUP(U$2,'Wall-U'!$A$4:$A$40,'Wall-U'!$F$4:$F$40)*U$12)+(LOOKUP(U$2,'Window-U'!$A$4:$A$40,'Window-U'!$S$4:$S$40)*U$21))*U$61</f>
        <v>559.42635085424058</v>
      </c>
      <c r="V63" s="177">
        <f>((LOOKUP(V$2,'Ceiling-U'!$A$4:$A$40,'Ceiling-U'!$F$4:$F$40)*V$14)+(LOOKUP(V$2,'Floor-U'!$A$4:$A$40,'Floor-U'!$F$4:$F$40)*V$15)+(LOOKUP(V$2,'Wall-U'!$A$4:$A$40,'Wall-U'!$F$4:$F$40)*V$12)+(LOOKUP(V$2,'Window-U'!$A$4:$A$40,'Window-U'!$S$4:$S$40)*V$21))*V$61</f>
        <v>289.14452969689313</v>
      </c>
      <c r="W63" s="177">
        <f>((LOOKUP(W$2,'Ceiling-U'!$A$4:$A$40,'Ceiling-U'!$F$4:$F$40)*W$14)+(LOOKUP(W$2,'Floor-U'!$A$4:$A$40,'Floor-U'!$F$4:$F$40)*W$15)+(LOOKUP(W$2,'Wall-U'!$A$4:$A$40,'Wall-U'!$F$4:$F$40)*W$12)+(LOOKUP(W$2,'Window-U'!$A$4:$A$40,'Window-U'!$S$4:$S$40)*W$21))*W$61</f>
        <v>382.33478901018429</v>
      </c>
      <c r="X63" s="177">
        <f>((LOOKUP(X$2,'Ceiling-U'!$A$4:$A$40,'Ceiling-U'!$F$4:$F$40)*X$14)+(LOOKUP(X$2,'Floor-U'!$A$4:$A$40,'Floor-U'!$F$4:$F$40)*X$15)+(LOOKUP(X$2,'Wall-U'!$A$4:$A$40,'Wall-U'!$F$4:$F$40)*X$12)+(LOOKUP(X$2,'Window-U'!$A$4:$A$40,'Window-U'!$S$4:$S$40)*X$21))*X$61</f>
        <v>307.70320061795604</v>
      </c>
      <c r="Y63" s="177">
        <f>((LOOKUP(Y$2,'Ceiling-U'!$A$4:$A$40,'Ceiling-U'!$F$4:$F$40)*Y$14)+(LOOKUP(Y$2,'Floor-U'!$A$4:$A$40,'Floor-U'!$F$4:$F$40)*Y$15)+(LOOKUP(Y$2,'Wall-U'!$A$4:$A$40,'Wall-U'!$F$4:$F$40)*Y$12)+(LOOKUP(Y$2,'Window-U'!$A$4:$A$40,'Window-U'!$S$4:$S$40)*Y$21))*Y$61</f>
        <v>788.07436813093921</v>
      </c>
      <c r="Z63" s="177">
        <f>((LOOKUP(Z$2,'Ceiling-U'!$A$4:$A$40,'Ceiling-U'!$F$4:$F$40)*Z$14)+(LOOKUP(Z$2,'Floor-U'!$A$4:$A$40,'Floor-U'!$F$4:$F$40)*Z$15)+(LOOKUP(Z$2,'Wall-U'!$A$4:$A$40,'Wall-U'!$F$4:$F$40)*Z$12)+(LOOKUP(Z$2,'Window-U'!$A$4:$A$40,'Window-U'!$S$4:$S$40)*Z$21))*Z$61</f>
        <v>469.49493474375572</v>
      </c>
      <c r="AA63" s="177">
        <f>((LOOKUP(AA$2,'Ceiling-U'!$A$4:$A$40,'Ceiling-U'!$F$4:$F$40)*AA$14)+(LOOKUP(AA$2,'Floor-U'!$A$4:$A$40,'Floor-U'!$F$4:$F$40)*AA$15)+(LOOKUP(AA$2,'Wall-U'!$A$4:$A$40,'Wall-U'!$F$4:$F$40)*AA$12)+(LOOKUP(AA$2,'Window-U'!$A$4:$A$40,'Window-U'!$S$4:$S$40)*AA$21))*AA$61</f>
        <v>161.63014628813517</v>
      </c>
      <c r="AB63" s="177">
        <f>((LOOKUP(AB$2,'Ceiling-U'!$A$4:$A$40,'Ceiling-U'!$F$4:$F$40)*AB$14)+(LOOKUP(AB$2,'Floor-U'!$A$4:$A$40,'Floor-U'!$F$4:$F$40)*AB$15)+(LOOKUP(AB$2,'Wall-U'!$A$4:$A$40,'Wall-U'!$F$4:$F$40)*AB$12)+(LOOKUP(AB$2,'Window-U'!$A$4:$A$40,'Window-U'!$S$4:$S$40)*AB$21))*AB$61</f>
        <v>339.8516711481289</v>
      </c>
      <c r="AC63" s="177">
        <f>((LOOKUP(AC$2,'Ceiling-U'!$A$4:$A$40,'Ceiling-U'!$F$4:$F$40)*AC$14)+(LOOKUP(AC$2,'Floor-U'!$A$4:$A$40,'Floor-U'!$F$4:$F$40)*AC$15)+(LOOKUP(AC$2,'Wall-U'!$A$4:$A$40,'Wall-U'!$F$4:$F$40)*AC$12)+(LOOKUP(AC$2,'Window-U'!$A$4:$A$40,'Window-U'!$S$4:$S$40)*AC$21))*AC$61</f>
        <v>661.90212207124728</v>
      </c>
      <c r="AD63" s="177">
        <f>((LOOKUP(AD$2,'Ceiling-U'!$A$4:$A$40,'Ceiling-U'!$F$4:$F$40)*AD$14)+(LOOKUP(AD$2,'Floor-U'!$A$4:$A$40,'Floor-U'!$F$4:$F$40)*AD$15)+(LOOKUP(AD$2,'Wall-U'!$A$4:$A$40,'Wall-U'!$F$4:$F$40)*AD$12)+(LOOKUP(AD$2,'Window-U'!$A$4:$A$40,'Window-U'!$S$4:$S$40)*AD$21))*AD$61</f>
        <v>372.12544534104632</v>
      </c>
      <c r="AE63" s="177">
        <f>((LOOKUP(AE$2,'Ceiling-U'!$A$4:$A$40,'Ceiling-U'!$F$4:$F$40)*AE$14)+(LOOKUP(AE$2,'Floor-U'!$A$4:$A$40,'Floor-U'!$F$4:$F$40)*AE$15)+(LOOKUP(AE$2,'Wall-U'!$A$4:$A$40,'Wall-U'!$F$4:$F$40)*AE$12)+(LOOKUP(AE$2,'Window-U'!$A$4:$A$40,'Window-U'!$S$4:$S$40)*AE$21))*AE$61</f>
        <v>161.63014628813517</v>
      </c>
      <c r="AF63" s="177">
        <f>((LOOKUP(AF$2,'Ceiling-U'!$A$4:$A$40,'Ceiling-U'!$F$4:$F$40)*AF$14)+(LOOKUP(AF$2,'Floor-U'!$A$4:$A$40,'Floor-U'!$F$4:$F$40)*AF$15)+(LOOKUP(AF$2,'Wall-U'!$A$4:$A$40,'Wall-U'!$F$4:$F$40)*AF$12)+(LOOKUP(AF$2,'Window-U'!$A$4:$A$40,'Window-U'!$S$4:$S$40)*AF$21))*AF$61</f>
        <v>381.23875507094124</v>
      </c>
      <c r="AG63" s="177">
        <f>((LOOKUP(AG$2,'Ceiling-U'!$A$4:$A$40,'Ceiling-U'!$F$4:$F$40)*AG$14)+(LOOKUP(AG$2,'Floor-U'!$A$4:$A$40,'Floor-U'!$F$4:$F$40)*AG$15)+(LOOKUP(AG$2,'Wall-U'!$A$4:$A$40,'Wall-U'!$F$4:$F$40)*AG$12)+(LOOKUP(AG$2,'Window-U'!$A$4:$A$40,'Window-U'!$S$4:$S$40)*AG$21))*AG$61</f>
        <v>408.69144884366983</v>
      </c>
      <c r="AH63" s="177">
        <f>((LOOKUP(AH$2,'Ceiling-U'!$A$4:$A$40,'Ceiling-U'!$F$4:$F$40)*AH$14)+(LOOKUP(AH$2,'Floor-U'!$A$4:$A$40,'Floor-U'!$F$4:$F$40)*AH$15)+(LOOKUP(AH$2,'Wall-U'!$A$4:$A$40,'Wall-U'!$F$4:$F$40)*AH$12)+(LOOKUP(AH$2,'Window-U'!$A$4:$A$40,'Window-U'!$S$4:$S$40)*AH$21))*AH$61</f>
        <v>469.5166848015125</v>
      </c>
      <c r="AI63" s="177">
        <f>((LOOKUP(AI$2,'Ceiling-U'!$A$4:$A$40,'Ceiling-U'!$F$4:$F$40)*AI$14)+(LOOKUP(AI$2,'Floor-U'!$A$4:$A$40,'Floor-U'!$F$4:$F$40)*AI$15)+(LOOKUP(AI$2,'Wall-U'!$A$4:$A$40,'Wall-U'!$F$4:$F$40)*AI$12)+(LOOKUP(AI$2,'Window-U'!$A$4:$A$40,'Window-U'!$S$4:$S$40)*AI$21))*AI$61</f>
        <v>725.09721542084981</v>
      </c>
      <c r="AJ63" s="177">
        <f>((LOOKUP(AJ$2,'Ceiling-U'!$A$4:$A$40,'Ceiling-U'!$F$4:$F$40)*AJ$14)+(LOOKUP(AJ$2,'Floor-U'!$A$4:$A$40,'Floor-U'!$F$4:$F$40)*AJ$15)+(LOOKUP(AJ$2,'Wall-U'!$A$4:$A$40,'Wall-U'!$F$4:$F$40)*AJ$12)+(LOOKUP(AJ$2,'Window-U'!$A$4:$A$40,'Window-U'!$S$4:$S$40)*AJ$21))*AJ$61</f>
        <v>298.444451793974</v>
      </c>
      <c r="AK63" s="177">
        <f>((LOOKUP(AK$2,'Ceiling-U'!$A$4:$A$40,'Ceiling-U'!$F$4:$F$40)*AK$14)+(LOOKUP(AK$2,'Floor-U'!$A$4:$A$40,'Floor-U'!$F$4:$F$40)*AK$15)+(LOOKUP(AK$2,'Wall-U'!$A$4:$A$40,'Wall-U'!$F$4:$F$40)*AK$12)+(LOOKUP(AK$2,'Window-U'!$A$4:$A$40,'Window-U'!$S$4:$S$40)*AK$21))*AK$61</f>
        <v>364.6730729087418</v>
      </c>
      <c r="AL63" s="177">
        <f>((LOOKUP(AL$2,'Ceiling-U'!$A$4:$A$40,'Ceiling-U'!$F$4:$F$40)*AL$14)+(LOOKUP(AL$2,'Floor-U'!$A$4:$A$40,'Floor-U'!$F$4:$F$40)*AL$15)+(LOOKUP(AL$2,'Wall-U'!$A$4:$A$40,'Wall-U'!$F$4:$F$40)*AL$12)+(LOOKUP(AL$2,'Window-U'!$A$4:$A$40,'Window-U'!$S$4:$S$40)*AL$21))*AL$61</f>
        <v>327.84278700521429</v>
      </c>
      <c r="AM63" s="177">
        <f>((LOOKUP(AM$2,'Ceiling-U'!$A$4:$A$40,'Ceiling-U'!$F$4:$F$40)*AM$14)+(LOOKUP(AM$2,'Floor-U'!$A$4:$A$40,'Floor-U'!$F$4:$F$40)*AM$15)+(LOOKUP(AM$2,'Wall-U'!$A$4:$A$40,'Wall-U'!$F$4:$F$40)*AM$12)+(LOOKUP(AM$2,'Window-U'!$A$4:$A$40,'Window-U'!$S$4:$S$40)*AM$21))*AM$61</f>
        <v>298.444451793974</v>
      </c>
      <c r="AN63" s="178">
        <f>((LOOKUP(AN$2,'Ceiling-U'!$A$4:$A$40,'Ceiling-U'!$F$4:$F$40)*AN$14)+(LOOKUP(AN$2,'Floor-U'!$A$4:$A$40,'Floor-U'!$F$4:$F$40)*AN$15)+(LOOKUP(AN$2,'Wall-U'!$A$4:$A$40,'Wall-U'!$F$4:$F$40)*AN$12)+(LOOKUP(AN$2,'Window-U'!$A$4:$A$40,'Window-U'!$S$4:$S$40)*AN$21))*AN$61</f>
        <v>298.444451793974</v>
      </c>
    </row>
    <row r="64" spans="1:40">
      <c r="A64" s="372"/>
      <c r="B64" s="142" t="s">
        <v>4</v>
      </c>
      <c r="C64" s="131" t="s">
        <v>195</v>
      </c>
      <c r="D64" s="176">
        <f>((LOOKUP(D$2,'Ceiling-U'!$A$4:$A$40,'Ceiling-U'!$G$4:$G$40)*D$14)+(LOOKUP(D$2,'Floor-U'!$A$4:$A$40,'Floor-U'!$G$4:$G$40)*D$15)+(LOOKUP(D$2,'Wall-U'!$A$4:$A$40,'Wall-U'!$G$4:$G$40)*D$12)+(LOOKUP(D$2,'Window-U'!$A$4:$A$40,'Window-U'!$S$4:$S$40)*D$21))*D$61</f>
        <v>319.09310809188634</v>
      </c>
      <c r="E64" s="177">
        <f>((LOOKUP(E$2,'Ceiling-U'!$A$4:$A$40,'Ceiling-U'!$G$4:$G$40)*E$14)+(LOOKUP(E$2,'Floor-U'!$A$4:$A$40,'Floor-U'!$G$4:$G$40)*E$15)+(LOOKUP(E$2,'Wall-U'!$A$4:$A$40,'Wall-U'!$G$4:$G$40)*E$12)+(LOOKUP(E$2,'Window-U'!$A$4:$A$40,'Window-U'!$S$4:$S$40)*E$21))*E$61</f>
        <v>553.59087407510015</v>
      </c>
      <c r="F64" s="177">
        <f>((LOOKUP(F$2,'Ceiling-U'!$A$4:$A$40,'Ceiling-U'!$G$4:$G$40)*F$14)+(LOOKUP(F$2,'Floor-U'!$A$4:$A$40,'Floor-U'!$G$4:$G$40)*F$15)+(LOOKUP(F$2,'Wall-U'!$A$4:$A$40,'Wall-U'!$G$4:$G$40)*F$12)+(LOOKUP(F$2,'Window-U'!$A$4:$A$40,'Window-U'!$S$4:$S$40)*F$21))*F$61</f>
        <v>287.93232379618337</v>
      </c>
      <c r="G64" s="177">
        <f>((LOOKUP(G$2,'Ceiling-U'!$A$4:$A$40,'Ceiling-U'!$G$4:$G$40)*G$14)+(LOOKUP(G$2,'Floor-U'!$A$4:$A$40,'Floor-U'!$G$4:$G$40)*G$15)+(LOOKUP(G$2,'Wall-U'!$A$4:$A$40,'Wall-U'!$G$4:$G$40)*G$12)+(LOOKUP(G$2,'Window-U'!$A$4:$A$40,'Window-U'!$S$4:$S$40)*G$21))*G$61</f>
        <v>319.09310809188634</v>
      </c>
      <c r="H64" s="177">
        <f>((LOOKUP(H$2,'Ceiling-U'!$A$4:$A$40,'Ceiling-U'!$G$4:$G$40)*H$14)+(LOOKUP(H$2,'Floor-U'!$A$4:$A$40,'Floor-U'!$G$4:$G$40)*H$15)+(LOOKUP(H$2,'Wall-U'!$A$4:$A$40,'Wall-U'!$G$4:$G$40)*H$12)+(LOOKUP(H$2,'Window-U'!$A$4:$A$40,'Window-U'!$S$4:$S$40)*H$21))*H$61</f>
        <v>621.60031616442325</v>
      </c>
      <c r="I64" s="177">
        <f>((LOOKUP(I$2,'Ceiling-U'!$A$4:$A$40,'Ceiling-U'!$G$4:$G$40)*I$14)+(LOOKUP(I$2,'Floor-U'!$A$4:$A$40,'Floor-U'!$G$4:$G$40)*I$15)+(LOOKUP(I$2,'Wall-U'!$A$4:$A$40,'Wall-U'!$G$4:$G$40)*I$12)+(LOOKUP(I$2,'Window-U'!$A$4:$A$40,'Window-U'!$S$4:$S$40)*I$21))*I$61</f>
        <v>252.02376597389093</v>
      </c>
      <c r="J64" s="177">
        <f>((LOOKUP(J$2,'Ceiling-U'!$A$4:$A$40,'Ceiling-U'!$G$4:$G$40)*J$14)+(LOOKUP(J$2,'Floor-U'!$A$4:$A$40,'Floor-U'!$G$4:$G$40)*J$15)+(LOOKUP(J$2,'Wall-U'!$A$4:$A$40,'Wall-U'!$G$4:$G$40)*J$12)+(LOOKUP(J$2,'Window-U'!$A$4:$A$40,'Window-U'!$S$4:$S$40)*J$21))*J$61</f>
        <v>252.70151318628183</v>
      </c>
      <c r="K64" s="177">
        <f>((LOOKUP(K$2,'Ceiling-U'!$A$4:$A$40,'Ceiling-U'!$G$4:$G$40)*K$14)+(LOOKUP(K$2,'Floor-U'!$A$4:$A$40,'Floor-U'!$G$4:$G$40)*K$15)+(LOOKUP(K$2,'Wall-U'!$A$4:$A$40,'Wall-U'!$G$4:$G$40)*K$12)+(LOOKUP(K$2,'Window-U'!$A$4:$A$40,'Window-U'!$S$4:$S$40)*K$21))*K$61</f>
        <v>162.31328740683946</v>
      </c>
      <c r="L64" s="177">
        <f>((LOOKUP(L$2,'Ceiling-U'!$A$4:$A$40,'Ceiling-U'!$G$4:$G$40)*L$14)+(LOOKUP(L$2,'Floor-U'!$A$4:$A$40,'Floor-U'!$G$4:$G$40)*L$15)+(LOOKUP(L$2,'Wall-U'!$A$4:$A$40,'Wall-U'!$G$4:$G$40)*L$12)+(LOOKUP(L$2,'Window-U'!$A$4:$A$40,'Window-U'!$S$4:$S$40)*L$21))*L$61</f>
        <v>106.60431256618278</v>
      </c>
      <c r="M64" s="177">
        <f>((LOOKUP(M$2,'Ceiling-U'!$A$4:$A$40,'Ceiling-U'!$G$4:$G$40)*M$14)+(LOOKUP(M$2,'Floor-U'!$A$4:$A$40,'Floor-U'!$G$4:$G$40)*M$15)+(LOOKUP(M$2,'Wall-U'!$A$4:$A$40,'Wall-U'!$G$4:$G$40)*M$12)+(LOOKUP(M$2,'Window-U'!$A$4:$A$40,'Window-U'!$S$4:$S$40)*M$21))*M$61</f>
        <v>659.50949037953797</v>
      </c>
      <c r="N64" s="177">
        <f>((LOOKUP(N$2,'Ceiling-U'!$A$4:$A$40,'Ceiling-U'!$G$4:$G$40)*N$14)+(LOOKUP(N$2,'Floor-U'!$A$4:$A$40,'Floor-U'!$G$4:$G$40)*N$15)+(LOOKUP(N$2,'Wall-U'!$A$4:$A$40,'Wall-U'!$G$4:$G$40)*N$12)+(LOOKUP(N$2,'Window-U'!$A$4:$A$40,'Window-U'!$S$4:$S$40)*N$21))*N$61</f>
        <v>125.04504490165154</v>
      </c>
      <c r="O64" s="177">
        <f>((LOOKUP(O$2,'Ceiling-U'!$A$4:$A$40,'Ceiling-U'!$G$4:$G$40)*O$14)+(LOOKUP(O$2,'Floor-U'!$A$4:$A$40,'Floor-U'!$G$4:$G$40)*O$15)+(LOOKUP(O$2,'Wall-U'!$A$4:$A$40,'Wall-U'!$G$4:$G$40)*O$12)+(LOOKUP(O$2,'Window-U'!$A$4:$A$40,'Window-U'!$S$4:$S$40)*O$21))*O$61</f>
        <v>296.18001771115496</v>
      </c>
      <c r="P64" s="177">
        <f>((LOOKUP(P$2,'Ceiling-U'!$A$4:$A$40,'Ceiling-U'!$G$4:$G$40)*P$14)+(LOOKUP(P$2,'Floor-U'!$A$4:$A$40,'Floor-U'!$G$4:$G$40)*P$15)+(LOOKUP(P$2,'Wall-U'!$A$4:$A$40,'Wall-U'!$G$4:$G$40)*P$12)+(LOOKUP(P$2,'Window-U'!$A$4:$A$40,'Window-U'!$S$4:$S$40)*P$21))*P$61</f>
        <v>725.09721542084981</v>
      </c>
      <c r="Q64" s="177">
        <f>((LOOKUP(Q$2,'Ceiling-U'!$A$4:$A$40,'Ceiling-U'!$G$4:$G$40)*Q$14)+(LOOKUP(Q$2,'Floor-U'!$A$4:$A$40,'Floor-U'!$G$4:$G$40)*Q$15)+(LOOKUP(Q$2,'Wall-U'!$A$4:$A$40,'Wall-U'!$G$4:$G$40)*Q$12)+(LOOKUP(Q$2,'Window-U'!$A$4:$A$40,'Window-U'!$S$4:$S$40)*Q$21))*Q$61</f>
        <v>276.7976693714844</v>
      </c>
      <c r="R64" s="177">
        <f>((LOOKUP(R$2,'Ceiling-U'!$A$4:$A$40,'Ceiling-U'!$G$4:$G$40)*R$14)+(LOOKUP(R$2,'Floor-U'!$A$4:$A$40,'Floor-U'!$G$4:$G$40)*R$15)+(LOOKUP(R$2,'Wall-U'!$A$4:$A$40,'Wall-U'!$G$4:$G$40)*R$12)+(LOOKUP(R$2,'Window-U'!$A$4:$A$40,'Window-U'!$S$4:$S$40)*R$21))*R$61</f>
        <v>334.70393156842965</v>
      </c>
      <c r="S64" s="177">
        <f>((LOOKUP(S$2,'Ceiling-U'!$A$4:$A$40,'Ceiling-U'!$G$4:$G$40)*S$14)+(LOOKUP(S$2,'Floor-U'!$A$4:$A$40,'Floor-U'!$G$4:$G$40)*S$15)+(LOOKUP(S$2,'Wall-U'!$A$4:$A$40,'Wall-U'!$G$4:$G$40)*S$12)+(LOOKUP(S$2,'Window-U'!$A$4:$A$40,'Window-U'!$S$4:$S$40)*S$21))*S$61</f>
        <v>469.9205011241674</v>
      </c>
      <c r="T64" s="177">
        <f>((LOOKUP(T$2,'Ceiling-U'!$A$4:$A$40,'Ceiling-U'!$G$4:$G$40)*T$14)+(LOOKUP(T$2,'Floor-U'!$A$4:$A$40,'Floor-U'!$G$4:$G$40)*T$15)+(LOOKUP(T$2,'Wall-U'!$A$4:$A$40,'Wall-U'!$G$4:$G$40)*T$12)+(LOOKUP(T$2,'Window-U'!$A$4:$A$40,'Window-U'!$S$4:$S$40)*T$21))*T$61</f>
        <v>125.04504490165154</v>
      </c>
      <c r="U64" s="177">
        <f>((LOOKUP(U$2,'Ceiling-U'!$A$4:$A$40,'Ceiling-U'!$G$4:$G$40)*U$14)+(LOOKUP(U$2,'Floor-U'!$A$4:$A$40,'Floor-U'!$G$4:$G$40)*U$15)+(LOOKUP(U$2,'Wall-U'!$A$4:$A$40,'Wall-U'!$G$4:$G$40)*U$12)+(LOOKUP(U$2,'Window-U'!$A$4:$A$40,'Window-U'!$S$4:$S$40)*U$21))*U$61</f>
        <v>534.22963210424064</v>
      </c>
      <c r="V64" s="177">
        <f>((LOOKUP(V$2,'Ceiling-U'!$A$4:$A$40,'Ceiling-U'!$G$4:$G$40)*V$14)+(LOOKUP(V$2,'Floor-U'!$A$4:$A$40,'Floor-U'!$G$4:$G$40)*V$15)+(LOOKUP(V$2,'Wall-U'!$A$4:$A$40,'Wall-U'!$G$4:$G$40)*V$12)+(LOOKUP(V$2,'Window-U'!$A$4:$A$40,'Window-U'!$S$4:$S$40)*V$21))*V$61</f>
        <v>170.55503322188488</v>
      </c>
      <c r="W64" s="177">
        <f>((LOOKUP(W$2,'Ceiling-U'!$A$4:$A$40,'Ceiling-U'!$G$4:$G$40)*W$14)+(LOOKUP(W$2,'Floor-U'!$A$4:$A$40,'Floor-U'!$G$4:$G$40)*W$15)+(LOOKUP(W$2,'Wall-U'!$A$4:$A$40,'Wall-U'!$G$4:$G$40)*W$12)+(LOOKUP(W$2,'Window-U'!$A$4:$A$40,'Window-U'!$S$4:$S$40)*W$21))*W$61</f>
        <v>179.01128906274784</v>
      </c>
      <c r="X64" s="177">
        <f>((LOOKUP(X$2,'Ceiling-U'!$A$4:$A$40,'Ceiling-U'!$G$4:$G$40)*X$14)+(LOOKUP(X$2,'Floor-U'!$A$4:$A$40,'Floor-U'!$G$4:$G$40)*X$15)+(LOOKUP(X$2,'Wall-U'!$A$4:$A$40,'Wall-U'!$G$4:$G$40)*X$12)+(LOOKUP(X$2,'Window-U'!$A$4:$A$40,'Window-U'!$S$4:$S$40)*X$21))*X$61</f>
        <v>279.51288055616044</v>
      </c>
      <c r="Y64" s="177">
        <f>((LOOKUP(Y$2,'Ceiling-U'!$A$4:$A$40,'Ceiling-U'!$G$4:$G$40)*Y$14)+(LOOKUP(Y$2,'Floor-U'!$A$4:$A$40,'Floor-U'!$G$4:$G$40)*Y$15)+(LOOKUP(Y$2,'Wall-U'!$A$4:$A$40,'Wall-U'!$G$4:$G$40)*Y$12)+(LOOKUP(Y$2,'Window-U'!$A$4:$A$40,'Window-U'!$S$4:$S$40)*Y$21))*Y$61</f>
        <v>623.08218885194754</v>
      </c>
      <c r="Z64" s="177">
        <f>((LOOKUP(Z$2,'Ceiling-U'!$A$4:$A$40,'Ceiling-U'!$G$4:$G$40)*Z$14)+(LOOKUP(Z$2,'Floor-U'!$A$4:$A$40,'Floor-U'!$G$4:$G$40)*Z$15)+(LOOKUP(Z$2,'Wall-U'!$A$4:$A$40,'Wall-U'!$G$4:$G$40)*Z$12)+(LOOKUP(Z$2,'Window-U'!$A$4:$A$40,'Window-U'!$S$4:$S$40)*Z$21))*Z$61</f>
        <v>450.39751834839944</v>
      </c>
      <c r="AA64" s="177">
        <f>((LOOKUP(AA$2,'Ceiling-U'!$A$4:$A$40,'Ceiling-U'!$G$4:$G$40)*AA$14)+(LOOKUP(AA$2,'Floor-U'!$A$4:$A$40,'Floor-U'!$G$4:$G$40)*AA$15)+(LOOKUP(AA$2,'Wall-U'!$A$4:$A$40,'Wall-U'!$G$4:$G$40)*AA$12)+(LOOKUP(AA$2,'Window-U'!$A$4:$A$40,'Window-U'!$S$4:$S$40)*AA$21))*AA$61</f>
        <v>95.248049499028738</v>
      </c>
      <c r="AB64" s="177">
        <f>((LOOKUP(AB$2,'Ceiling-U'!$A$4:$A$40,'Ceiling-U'!$G$4:$G$40)*AB$14)+(LOOKUP(AB$2,'Floor-U'!$A$4:$A$40,'Floor-U'!$G$4:$G$40)*AB$15)+(LOOKUP(AB$2,'Wall-U'!$A$4:$A$40,'Wall-U'!$G$4:$G$40)*AB$12)+(LOOKUP(AB$2,'Window-U'!$A$4:$A$40,'Window-U'!$S$4:$S$40)*AB$21))*AB$61</f>
        <v>225.43583619823531</v>
      </c>
      <c r="AC64" s="177">
        <f>((LOOKUP(AC$2,'Ceiling-U'!$A$4:$A$40,'Ceiling-U'!$G$4:$G$40)*AC$14)+(LOOKUP(AC$2,'Floor-U'!$A$4:$A$40,'Floor-U'!$G$4:$G$40)*AC$15)+(LOOKUP(AC$2,'Wall-U'!$A$4:$A$40,'Wall-U'!$G$4:$G$40)*AC$12)+(LOOKUP(AC$2,'Window-U'!$A$4:$A$40,'Window-U'!$S$4:$S$40)*AC$21))*AC$61</f>
        <v>646.67004480874721</v>
      </c>
      <c r="AD64" s="177">
        <f>((LOOKUP(AD$2,'Ceiling-U'!$A$4:$A$40,'Ceiling-U'!$G$4:$G$40)*AD$14)+(LOOKUP(AD$2,'Floor-U'!$A$4:$A$40,'Floor-U'!$G$4:$G$40)*AD$15)+(LOOKUP(AD$2,'Wall-U'!$A$4:$A$40,'Wall-U'!$G$4:$G$40)*AD$12)+(LOOKUP(AD$2,'Window-U'!$A$4:$A$40,'Window-U'!$S$4:$S$40)*AD$21))*AD$61</f>
        <v>372.12544534104632</v>
      </c>
      <c r="AE64" s="177">
        <f>((LOOKUP(AE$2,'Ceiling-U'!$A$4:$A$40,'Ceiling-U'!$G$4:$G$40)*AE$14)+(LOOKUP(AE$2,'Floor-U'!$A$4:$A$40,'Floor-U'!$G$4:$G$40)*AE$15)+(LOOKUP(AE$2,'Wall-U'!$A$4:$A$40,'Wall-U'!$G$4:$G$40)*AE$12)+(LOOKUP(AE$2,'Window-U'!$A$4:$A$40,'Window-U'!$S$4:$S$40)*AE$21))*AE$61</f>
        <v>95.248049499028738</v>
      </c>
      <c r="AF64" s="177">
        <f>((LOOKUP(AF$2,'Ceiling-U'!$A$4:$A$40,'Ceiling-U'!$G$4:$G$40)*AF$14)+(LOOKUP(AF$2,'Floor-U'!$A$4:$A$40,'Floor-U'!$G$4:$G$40)*AF$15)+(LOOKUP(AF$2,'Wall-U'!$A$4:$A$40,'Wall-U'!$G$4:$G$40)*AF$12)+(LOOKUP(AF$2,'Window-U'!$A$4:$A$40,'Window-U'!$S$4:$S$40)*AF$21))*AF$61</f>
        <v>349.90194607094122</v>
      </c>
      <c r="AG64" s="177">
        <f>((LOOKUP(AG$2,'Ceiling-U'!$A$4:$A$40,'Ceiling-U'!$G$4:$G$40)*AG$14)+(LOOKUP(AG$2,'Floor-U'!$A$4:$A$40,'Floor-U'!$G$4:$G$40)*AG$15)+(LOOKUP(AG$2,'Wall-U'!$A$4:$A$40,'Wall-U'!$G$4:$G$40)*AG$12)+(LOOKUP(AG$2,'Window-U'!$A$4:$A$40,'Window-U'!$S$4:$S$40)*AG$21))*AG$61</f>
        <v>408.69144884366983</v>
      </c>
      <c r="AH64" s="177">
        <f>((LOOKUP(AH$2,'Ceiling-U'!$A$4:$A$40,'Ceiling-U'!$G$4:$G$40)*AH$14)+(LOOKUP(AH$2,'Floor-U'!$A$4:$A$40,'Floor-U'!$G$4:$G$40)*AH$15)+(LOOKUP(AH$2,'Wall-U'!$A$4:$A$40,'Wall-U'!$G$4:$G$40)*AH$12)+(LOOKUP(AH$2,'Window-U'!$A$4:$A$40,'Window-U'!$S$4:$S$40)*AH$21))*AH$61</f>
        <v>347.24780929536678</v>
      </c>
      <c r="AI64" s="177">
        <f>((LOOKUP(AI$2,'Ceiling-U'!$A$4:$A$40,'Ceiling-U'!$G$4:$G$40)*AI$14)+(LOOKUP(AI$2,'Floor-U'!$A$4:$A$40,'Floor-U'!$G$4:$G$40)*AI$15)+(LOOKUP(AI$2,'Wall-U'!$A$4:$A$40,'Wall-U'!$G$4:$G$40)*AI$12)+(LOOKUP(AI$2,'Window-U'!$A$4:$A$40,'Window-U'!$S$4:$S$40)*AI$21))*AI$61</f>
        <v>725.09721542084981</v>
      </c>
      <c r="AJ64" s="177">
        <f>((LOOKUP(AJ$2,'Ceiling-U'!$A$4:$A$40,'Ceiling-U'!$G$4:$G$40)*AJ$14)+(LOOKUP(AJ$2,'Floor-U'!$A$4:$A$40,'Floor-U'!$G$4:$G$40)*AJ$15)+(LOOKUP(AJ$2,'Wall-U'!$A$4:$A$40,'Wall-U'!$G$4:$G$40)*AJ$12)+(LOOKUP(AJ$2,'Window-U'!$A$4:$A$40,'Window-U'!$S$4:$S$40)*AJ$21))*AJ$61</f>
        <v>298.444451793974</v>
      </c>
      <c r="AK64" s="177">
        <f>((LOOKUP(AK$2,'Ceiling-U'!$A$4:$A$40,'Ceiling-U'!$G$4:$G$40)*AK$14)+(LOOKUP(AK$2,'Floor-U'!$A$4:$A$40,'Floor-U'!$G$4:$G$40)*AK$15)+(LOOKUP(AK$2,'Wall-U'!$A$4:$A$40,'Wall-U'!$G$4:$G$40)*AK$12)+(LOOKUP(AK$2,'Window-U'!$A$4:$A$40,'Window-U'!$S$4:$S$40)*AK$21))*AK$61</f>
        <v>364.6730729087418</v>
      </c>
      <c r="AL64" s="177">
        <f>((LOOKUP(AL$2,'Ceiling-U'!$A$4:$A$40,'Ceiling-U'!$G$4:$G$40)*AL$14)+(LOOKUP(AL$2,'Floor-U'!$A$4:$A$40,'Floor-U'!$G$4:$G$40)*AL$15)+(LOOKUP(AL$2,'Wall-U'!$A$4:$A$40,'Wall-U'!$G$4:$G$40)*AL$12)+(LOOKUP(AL$2,'Window-U'!$A$4:$A$40,'Window-U'!$S$4:$S$40)*AL$21))*AL$61</f>
        <v>303.98905701053411</v>
      </c>
      <c r="AM64" s="177">
        <f>((LOOKUP(AM$2,'Ceiling-U'!$A$4:$A$40,'Ceiling-U'!$G$4:$G$40)*AM$14)+(LOOKUP(AM$2,'Floor-U'!$A$4:$A$40,'Floor-U'!$G$4:$G$40)*AM$15)+(LOOKUP(AM$2,'Wall-U'!$A$4:$A$40,'Wall-U'!$G$4:$G$40)*AM$12)+(LOOKUP(AM$2,'Window-U'!$A$4:$A$40,'Window-U'!$S$4:$S$40)*AM$21))*AM$61</f>
        <v>298.444451793974</v>
      </c>
      <c r="AN64" s="178">
        <f>((LOOKUP(AN$2,'Ceiling-U'!$A$4:$A$40,'Ceiling-U'!$G$4:$G$40)*AN$14)+(LOOKUP(AN$2,'Floor-U'!$A$4:$A$40,'Floor-U'!$G$4:$G$40)*AN$15)+(LOOKUP(AN$2,'Wall-U'!$A$4:$A$40,'Wall-U'!$G$4:$G$40)*AN$12)+(LOOKUP(AN$2,'Window-U'!$A$4:$A$40,'Window-U'!$S$4:$S$40)*AN$21))*AN$61</f>
        <v>298.444451793974</v>
      </c>
    </row>
    <row r="65" spans="1:40">
      <c r="A65" s="372"/>
      <c r="B65" s="142" t="s">
        <v>5</v>
      </c>
      <c r="C65" s="131" t="s">
        <v>195</v>
      </c>
      <c r="D65" s="176">
        <f>((LOOKUP(D$2,'Ceiling-U'!$A$4:$A$40,'Ceiling-U'!$H$4:$H$40)*D$14)+(LOOKUP(D$2,'Floor-U'!$A$4:$A$40,'Floor-U'!$H$4:$H$40)*D$15)+(LOOKUP(D$2,'Wall-U'!$A$4:$A$40,'Wall-U'!$H$4:$H$40)*D$12)+(LOOKUP(D$2,'Window-U'!$A$4:$A$40,'Window-U'!$S$4:$S$40)*D$21))*D$61</f>
        <v>205.78171186128861</v>
      </c>
      <c r="E65" s="177">
        <f>((LOOKUP(E$2,'Ceiling-U'!$A$4:$A$40,'Ceiling-U'!$H$4:$H$40)*E$14)+(LOOKUP(E$2,'Floor-U'!$A$4:$A$40,'Floor-U'!$H$4:$H$40)*E$15)+(LOOKUP(E$2,'Wall-U'!$A$4:$A$40,'Wall-U'!$H$4:$H$40)*E$12)+(LOOKUP(E$2,'Window-U'!$A$4:$A$40,'Window-U'!$S$4:$S$40)*E$21))*E$61</f>
        <v>452.61466279502611</v>
      </c>
      <c r="F65" s="177">
        <f>((LOOKUP(F$2,'Ceiling-U'!$A$4:$A$40,'Ceiling-U'!$H$4:$H$40)*F$14)+(LOOKUP(F$2,'Floor-U'!$A$4:$A$40,'Floor-U'!$H$4:$H$40)*F$15)+(LOOKUP(F$2,'Wall-U'!$A$4:$A$40,'Wall-U'!$H$4:$H$40)*F$12)+(LOOKUP(F$2,'Window-U'!$A$4:$A$40,'Window-U'!$S$4:$S$40)*F$21))*F$61</f>
        <v>236.88616078894802</v>
      </c>
      <c r="G65" s="177">
        <f>((LOOKUP(G$2,'Ceiling-U'!$A$4:$A$40,'Ceiling-U'!$H$4:$H$40)*G$14)+(LOOKUP(G$2,'Floor-U'!$A$4:$A$40,'Floor-U'!$H$4:$H$40)*G$15)+(LOOKUP(G$2,'Wall-U'!$A$4:$A$40,'Wall-U'!$H$4:$H$40)*G$12)+(LOOKUP(G$2,'Window-U'!$A$4:$A$40,'Window-U'!$S$4:$S$40)*G$21))*G$61</f>
        <v>205.78171186128861</v>
      </c>
      <c r="H65" s="177">
        <f>((LOOKUP(H$2,'Ceiling-U'!$A$4:$A$40,'Ceiling-U'!$H$4:$H$40)*H$14)+(LOOKUP(H$2,'Floor-U'!$A$4:$A$40,'Floor-U'!$H$4:$H$40)*H$15)+(LOOKUP(H$2,'Wall-U'!$A$4:$A$40,'Wall-U'!$H$4:$H$40)*H$12)+(LOOKUP(H$2,'Window-U'!$A$4:$A$40,'Window-U'!$S$4:$S$40)*H$21))*H$61</f>
        <v>597.58071671442326</v>
      </c>
      <c r="I65" s="177">
        <f>((LOOKUP(I$2,'Ceiling-U'!$A$4:$A$40,'Ceiling-U'!$H$4:$H$40)*I$14)+(LOOKUP(I$2,'Floor-U'!$A$4:$A$40,'Floor-U'!$H$4:$H$40)*I$15)+(LOOKUP(I$2,'Wall-U'!$A$4:$A$40,'Wall-U'!$H$4:$H$40)*I$12)+(LOOKUP(I$2,'Window-U'!$A$4:$A$40,'Window-U'!$S$4:$S$40)*I$21))*I$61</f>
        <v>216.40542779590453</v>
      </c>
      <c r="J65" s="177">
        <f>((LOOKUP(J$2,'Ceiling-U'!$A$4:$A$40,'Ceiling-U'!$H$4:$H$40)*J$14)+(LOOKUP(J$2,'Floor-U'!$A$4:$A$40,'Floor-U'!$H$4:$H$40)*J$15)+(LOOKUP(J$2,'Wall-U'!$A$4:$A$40,'Wall-U'!$H$4:$H$40)*J$12)+(LOOKUP(J$2,'Window-U'!$A$4:$A$40,'Window-U'!$S$4:$S$40)*J$21))*J$61</f>
        <v>189.3472483635588</v>
      </c>
      <c r="K65" s="177">
        <f>((LOOKUP(K$2,'Ceiling-U'!$A$4:$A$40,'Ceiling-U'!$H$4:$H$40)*K$14)+(LOOKUP(K$2,'Floor-U'!$A$4:$A$40,'Floor-U'!$H$4:$H$40)*K$15)+(LOOKUP(K$2,'Wall-U'!$A$4:$A$40,'Wall-U'!$H$4:$H$40)*K$12)+(LOOKUP(K$2,'Window-U'!$A$4:$A$40,'Window-U'!$S$4:$S$40)*K$21))*K$61</f>
        <v>127.02461600488533</v>
      </c>
      <c r="L65" s="177">
        <f>((LOOKUP(L$2,'Ceiling-U'!$A$4:$A$40,'Ceiling-U'!$H$4:$H$40)*L$14)+(LOOKUP(L$2,'Floor-U'!$A$4:$A$40,'Floor-U'!$H$4:$H$40)*L$15)+(LOOKUP(L$2,'Wall-U'!$A$4:$A$40,'Wall-U'!$H$4:$H$40)*L$12)+(LOOKUP(L$2,'Window-U'!$A$4:$A$40,'Window-U'!$S$4:$S$40)*L$21))*L$61</f>
        <v>83.958441451595789</v>
      </c>
      <c r="M65" s="177">
        <f>((LOOKUP(M$2,'Ceiling-U'!$A$4:$A$40,'Ceiling-U'!$H$4:$H$40)*M$14)+(LOOKUP(M$2,'Floor-U'!$A$4:$A$40,'Floor-U'!$H$4:$H$40)*M$15)+(LOOKUP(M$2,'Wall-U'!$A$4:$A$40,'Wall-U'!$H$4:$H$40)*M$12)+(LOOKUP(M$2,'Window-U'!$A$4:$A$40,'Window-U'!$S$4:$S$40)*M$21))*M$61</f>
        <v>422.37540670029858</v>
      </c>
      <c r="N65" s="177">
        <f>((LOOKUP(N$2,'Ceiling-U'!$A$4:$A$40,'Ceiling-U'!$H$4:$H$40)*N$14)+(LOOKUP(N$2,'Floor-U'!$A$4:$A$40,'Floor-U'!$H$4:$H$40)*N$15)+(LOOKUP(N$2,'Wall-U'!$A$4:$A$40,'Wall-U'!$H$4:$H$40)*N$12)+(LOOKUP(N$2,'Window-U'!$A$4:$A$40,'Window-U'!$S$4:$S$40)*N$21))*N$61</f>
        <v>99.536866088199218</v>
      </c>
      <c r="O65" s="177">
        <f>((LOOKUP(O$2,'Ceiling-U'!$A$4:$A$40,'Ceiling-U'!$H$4:$H$40)*O$14)+(LOOKUP(O$2,'Floor-U'!$A$4:$A$40,'Floor-U'!$H$4:$H$40)*O$15)+(LOOKUP(O$2,'Wall-U'!$A$4:$A$40,'Wall-U'!$H$4:$H$40)*O$12)+(LOOKUP(O$2,'Window-U'!$A$4:$A$40,'Window-U'!$S$4:$S$40)*O$21))*O$61</f>
        <v>246.33999911768711</v>
      </c>
      <c r="P65" s="177">
        <f>((LOOKUP(P$2,'Ceiling-U'!$A$4:$A$40,'Ceiling-U'!$H$4:$H$40)*P$14)+(LOOKUP(P$2,'Floor-U'!$A$4:$A$40,'Floor-U'!$H$4:$H$40)*P$15)+(LOOKUP(P$2,'Wall-U'!$A$4:$A$40,'Wall-U'!$H$4:$H$40)*P$12)+(LOOKUP(P$2,'Window-U'!$A$4:$A$40,'Window-U'!$S$4:$S$40)*P$21))*P$61</f>
        <v>701.07761597084971</v>
      </c>
      <c r="Q65" s="177">
        <f>((LOOKUP(Q$2,'Ceiling-U'!$A$4:$A$40,'Ceiling-U'!$H$4:$H$40)*Q$14)+(LOOKUP(Q$2,'Floor-U'!$A$4:$A$40,'Floor-U'!$H$4:$H$40)*Q$15)+(LOOKUP(Q$2,'Wall-U'!$A$4:$A$40,'Wall-U'!$H$4:$H$40)*Q$12)+(LOOKUP(Q$2,'Window-U'!$A$4:$A$40,'Window-U'!$S$4:$S$40)*Q$21))*Q$61</f>
        <v>276.7976693714844</v>
      </c>
      <c r="R65" s="177">
        <f>((LOOKUP(R$2,'Ceiling-U'!$A$4:$A$40,'Ceiling-U'!$H$4:$H$40)*R$14)+(LOOKUP(R$2,'Floor-U'!$A$4:$A$40,'Floor-U'!$H$4:$H$40)*R$15)+(LOOKUP(R$2,'Wall-U'!$A$4:$A$40,'Wall-U'!$H$4:$H$40)*R$12)+(LOOKUP(R$2,'Window-U'!$A$4:$A$40,'Window-U'!$S$4:$S$40)*R$21))*R$61</f>
        <v>227.5783657680721</v>
      </c>
      <c r="S65" s="177">
        <f>((LOOKUP(S$2,'Ceiling-U'!$A$4:$A$40,'Ceiling-U'!$H$4:$H$40)*S$14)+(LOOKUP(S$2,'Floor-U'!$A$4:$A$40,'Floor-U'!$H$4:$H$40)*S$15)+(LOOKUP(S$2,'Wall-U'!$A$4:$A$40,'Wall-U'!$H$4:$H$40)*S$12)+(LOOKUP(S$2,'Window-U'!$A$4:$A$40,'Window-U'!$S$4:$S$40)*S$21))*S$61</f>
        <v>282.44539601914505</v>
      </c>
      <c r="T65" s="177">
        <f>((LOOKUP(T$2,'Ceiling-U'!$A$4:$A$40,'Ceiling-U'!$H$4:$H$40)*T$14)+(LOOKUP(T$2,'Floor-U'!$A$4:$A$40,'Floor-U'!$H$4:$H$40)*T$15)+(LOOKUP(T$2,'Wall-U'!$A$4:$A$40,'Wall-U'!$H$4:$H$40)*T$12)+(LOOKUP(T$2,'Window-U'!$A$4:$A$40,'Window-U'!$S$4:$S$40)*T$21))*T$61</f>
        <v>99.536866088199218</v>
      </c>
      <c r="U65" s="177">
        <f>((LOOKUP(U$2,'Ceiling-U'!$A$4:$A$40,'Ceiling-U'!$H$4:$H$40)*U$14)+(LOOKUP(U$2,'Floor-U'!$A$4:$A$40,'Floor-U'!$H$4:$H$40)*U$15)+(LOOKUP(U$2,'Wall-U'!$A$4:$A$40,'Wall-U'!$H$4:$H$40)*U$12)+(LOOKUP(U$2,'Window-U'!$A$4:$A$40,'Window-U'!$S$4:$S$40)*U$21))*U$61</f>
        <v>404.1978169401504</v>
      </c>
      <c r="V65" s="177">
        <f>((LOOKUP(V$2,'Ceiling-U'!$A$4:$A$40,'Ceiling-U'!$H$4:$H$40)*V$14)+(LOOKUP(V$2,'Floor-U'!$A$4:$A$40,'Floor-U'!$H$4:$H$40)*V$15)+(LOOKUP(V$2,'Wall-U'!$A$4:$A$40,'Wall-U'!$H$4:$H$40)*V$12)+(LOOKUP(V$2,'Window-U'!$A$4:$A$40,'Window-U'!$S$4:$S$40)*V$21))*V$61</f>
        <v>170.55503322188488</v>
      </c>
      <c r="W65" s="177">
        <f>((LOOKUP(W$2,'Ceiling-U'!$A$4:$A$40,'Ceiling-U'!$H$4:$H$40)*W$14)+(LOOKUP(W$2,'Floor-U'!$A$4:$A$40,'Floor-U'!$H$4:$H$40)*W$15)+(LOOKUP(W$2,'Wall-U'!$A$4:$A$40,'Wall-U'!$H$4:$H$40)*W$12)+(LOOKUP(W$2,'Window-U'!$A$4:$A$40,'Window-U'!$S$4:$S$40)*W$21))*W$61</f>
        <v>157.76455948841377</v>
      </c>
      <c r="X65" s="177">
        <f>((LOOKUP(X$2,'Ceiling-U'!$A$4:$A$40,'Ceiling-U'!$H$4:$H$40)*X$14)+(LOOKUP(X$2,'Floor-U'!$A$4:$A$40,'Floor-U'!$H$4:$H$40)*X$15)+(LOOKUP(X$2,'Wall-U'!$A$4:$A$40,'Wall-U'!$H$4:$H$40)*X$12)+(LOOKUP(X$2,'Window-U'!$A$4:$A$40,'Window-U'!$S$4:$S$40)*X$21))*X$61</f>
        <v>147.85160030897802</v>
      </c>
      <c r="Y65" s="177">
        <f>((LOOKUP(Y$2,'Ceiling-U'!$A$4:$A$40,'Ceiling-U'!$H$4:$H$40)*Y$14)+(LOOKUP(Y$2,'Floor-U'!$A$4:$A$40,'Floor-U'!$H$4:$H$40)*Y$15)+(LOOKUP(Y$2,'Wall-U'!$A$4:$A$40,'Wall-U'!$H$4:$H$40)*Y$12)+(LOOKUP(Y$2,'Window-U'!$A$4:$A$40,'Window-U'!$S$4:$S$40)*Y$21))*Y$61</f>
        <v>558.20925791444756</v>
      </c>
      <c r="Z65" s="177">
        <f>((LOOKUP(Z$2,'Ceiling-U'!$A$4:$A$40,'Ceiling-U'!$H$4:$H$40)*Z$14)+(LOOKUP(Z$2,'Floor-U'!$A$4:$A$40,'Floor-U'!$H$4:$H$40)*Z$15)+(LOOKUP(Z$2,'Wall-U'!$A$4:$A$40,'Wall-U'!$H$4:$H$40)*Z$12)+(LOOKUP(Z$2,'Window-U'!$A$4:$A$40,'Window-U'!$S$4:$S$40)*Z$21))*Z$61</f>
        <v>243.02807286502053</v>
      </c>
      <c r="AA65" s="177">
        <f>((LOOKUP(AA$2,'Ceiling-U'!$A$4:$A$40,'Ceiling-U'!$H$4:$H$40)*AA$14)+(LOOKUP(AA$2,'Floor-U'!$A$4:$A$40,'Floor-U'!$H$4:$H$40)*AA$15)+(LOOKUP(AA$2,'Wall-U'!$A$4:$A$40,'Wall-U'!$H$4:$H$40)*AA$12)+(LOOKUP(AA$2,'Window-U'!$A$4:$A$40,'Window-U'!$S$4:$S$40)*AA$21))*AA$61</f>
        <v>95.248049499028738</v>
      </c>
      <c r="AB65" s="177">
        <f>((LOOKUP(AB$2,'Ceiling-U'!$A$4:$A$40,'Ceiling-U'!$H$4:$H$40)*AB$14)+(LOOKUP(AB$2,'Floor-U'!$A$4:$A$40,'Floor-U'!$H$4:$H$40)*AB$15)+(LOOKUP(AB$2,'Wall-U'!$A$4:$A$40,'Wall-U'!$H$4:$H$40)*AB$12)+(LOOKUP(AB$2,'Window-U'!$A$4:$A$40,'Window-U'!$S$4:$S$40)*AB$21))*AB$61</f>
        <v>225.43583619823531</v>
      </c>
      <c r="AC65" s="177">
        <f>((LOOKUP(AC$2,'Ceiling-U'!$A$4:$A$40,'Ceiling-U'!$H$4:$H$40)*AC$14)+(LOOKUP(AC$2,'Floor-U'!$A$4:$A$40,'Floor-U'!$H$4:$H$40)*AC$15)+(LOOKUP(AC$2,'Wall-U'!$A$4:$A$40,'Wall-U'!$H$4:$H$40)*AC$12)+(LOOKUP(AC$2,'Window-U'!$A$4:$A$40,'Window-U'!$S$4:$S$40)*AC$21))*AC$61</f>
        <v>621.61399347691406</v>
      </c>
      <c r="AD65" s="177">
        <f>((LOOKUP(AD$2,'Ceiling-U'!$A$4:$A$40,'Ceiling-U'!$H$4:$H$40)*AD$14)+(LOOKUP(AD$2,'Floor-U'!$A$4:$A$40,'Floor-U'!$H$4:$H$40)*AD$15)+(LOOKUP(AD$2,'Wall-U'!$A$4:$A$40,'Wall-U'!$H$4:$H$40)*AD$12)+(LOOKUP(AD$2,'Window-U'!$A$4:$A$40,'Window-U'!$S$4:$S$40)*AD$21))*AD$61</f>
        <v>305.13870302807953</v>
      </c>
      <c r="AE65" s="177">
        <f>((LOOKUP(AE$2,'Ceiling-U'!$A$4:$A$40,'Ceiling-U'!$H$4:$H$40)*AE$14)+(LOOKUP(AE$2,'Floor-U'!$A$4:$A$40,'Floor-U'!$H$4:$H$40)*AE$15)+(LOOKUP(AE$2,'Wall-U'!$A$4:$A$40,'Wall-U'!$H$4:$H$40)*AE$12)+(LOOKUP(AE$2,'Window-U'!$A$4:$A$40,'Window-U'!$S$4:$S$40)*AE$21))*AE$61</f>
        <v>95.248049499028738</v>
      </c>
      <c r="AF65" s="177">
        <f>((LOOKUP(AF$2,'Ceiling-U'!$A$4:$A$40,'Ceiling-U'!$H$4:$H$40)*AF$14)+(LOOKUP(AF$2,'Floor-U'!$A$4:$A$40,'Floor-U'!$H$4:$H$40)*AF$15)+(LOOKUP(AF$2,'Wall-U'!$A$4:$A$40,'Wall-U'!$H$4:$H$40)*AF$12)+(LOOKUP(AF$2,'Window-U'!$A$4:$A$40,'Window-U'!$S$4:$S$40)*AF$21))*AF$61</f>
        <v>259.65671044560509</v>
      </c>
      <c r="AG65" s="177">
        <f>((LOOKUP(AG$2,'Ceiling-U'!$A$4:$A$40,'Ceiling-U'!$H$4:$H$40)*AG$14)+(LOOKUP(AG$2,'Floor-U'!$A$4:$A$40,'Floor-U'!$H$4:$H$40)*AG$15)+(LOOKUP(AG$2,'Wall-U'!$A$4:$A$40,'Wall-U'!$H$4:$H$40)*AG$12)+(LOOKUP(AG$2,'Window-U'!$A$4:$A$40,'Window-U'!$S$4:$S$40)*AG$21))*AG$61</f>
        <v>345.92961199472484</v>
      </c>
      <c r="AH65" s="177">
        <f>((LOOKUP(AH$2,'Ceiling-U'!$A$4:$A$40,'Ceiling-U'!$H$4:$H$40)*AH$14)+(LOOKUP(AH$2,'Floor-U'!$A$4:$A$40,'Floor-U'!$H$4:$H$40)*AH$15)+(LOOKUP(AH$2,'Wall-U'!$A$4:$A$40,'Wall-U'!$H$4:$H$40)*AH$12)+(LOOKUP(AH$2,'Window-U'!$A$4:$A$40,'Window-U'!$S$4:$S$40)*AH$21))*AH$61</f>
        <v>165.59781952755577</v>
      </c>
      <c r="AI65" s="177">
        <f>((LOOKUP(AI$2,'Ceiling-U'!$A$4:$A$40,'Ceiling-U'!$H$4:$H$40)*AI$14)+(LOOKUP(AI$2,'Floor-U'!$A$4:$A$40,'Floor-U'!$H$4:$H$40)*AI$15)+(LOOKUP(AI$2,'Wall-U'!$A$4:$A$40,'Wall-U'!$H$4:$H$40)*AI$12)+(LOOKUP(AI$2,'Window-U'!$A$4:$A$40,'Window-U'!$S$4:$S$40)*AI$21))*AI$61</f>
        <v>701.07761597084971</v>
      </c>
      <c r="AJ65" s="177">
        <f>((LOOKUP(AJ$2,'Ceiling-U'!$A$4:$A$40,'Ceiling-U'!$H$4:$H$40)*AJ$14)+(LOOKUP(AJ$2,'Floor-U'!$A$4:$A$40,'Floor-U'!$H$4:$H$40)*AJ$15)+(LOOKUP(AJ$2,'Wall-U'!$A$4:$A$40,'Wall-U'!$H$4:$H$40)*AJ$12)+(LOOKUP(AJ$2,'Window-U'!$A$4:$A$40,'Window-U'!$S$4:$S$40)*AJ$21))*AJ$61</f>
        <v>246.75618378273927</v>
      </c>
      <c r="AK65" s="177">
        <f>((LOOKUP(AK$2,'Ceiling-U'!$A$4:$A$40,'Ceiling-U'!$H$4:$H$40)*AK$14)+(LOOKUP(AK$2,'Floor-U'!$A$4:$A$40,'Floor-U'!$H$4:$H$40)*AK$15)+(LOOKUP(AK$2,'Wall-U'!$A$4:$A$40,'Wall-U'!$H$4:$H$40)*AK$12)+(LOOKUP(AK$2,'Window-U'!$A$4:$A$40,'Window-U'!$S$4:$S$40)*AK$21))*AK$61</f>
        <v>300.37726079262256</v>
      </c>
      <c r="AL65" s="177">
        <f>((LOOKUP(AL$2,'Ceiling-U'!$A$4:$A$40,'Ceiling-U'!$H$4:$H$40)*AL$14)+(LOOKUP(AL$2,'Floor-U'!$A$4:$A$40,'Floor-U'!$H$4:$H$40)*AL$15)+(LOOKUP(AL$2,'Wall-U'!$A$4:$A$40,'Wall-U'!$H$4:$H$40)*AL$12)+(LOOKUP(AL$2,'Window-U'!$A$4:$A$40,'Window-U'!$S$4:$S$40)*AL$21))*AL$61</f>
        <v>249.91489630867676</v>
      </c>
      <c r="AM65" s="177">
        <f>((LOOKUP(AM$2,'Ceiling-U'!$A$4:$A$40,'Ceiling-U'!$H$4:$H$40)*AM$14)+(LOOKUP(AM$2,'Floor-U'!$A$4:$A$40,'Floor-U'!$H$4:$H$40)*AM$15)+(LOOKUP(AM$2,'Wall-U'!$A$4:$A$40,'Wall-U'!$H$4:$H$40)*AM$12)+(LOOKUP(AM$2,'Window-U'!$A$4:$A$40,'Window-U'!$S$4:$S$40)*AM$21))*AM$61</f>
        <v>246.75618378273927</v>
      </c>
      <c r="AN65" s="178">
        <f>((LOOKUP(AN$2,'Ceiling-U'!$A$4:$A$40,'Ceiling-U'!$H$4:$H$40)*AN$14)+(LOOKUP(AN$2,'Floor-U'!$A$4:$A$40,'Floor-U'!$H$4:$H$40)*AN$15)+(LOOKUP(AN$2,'Wall-U'!$A$4:$A$40,'Wall-U'!$H$4:$H$40)*AN$12)+(LOOKUP(AN$2,'Window-U'!$A$4:$A$40,'Window-U'!$S$4:$S$40)*AN$21))*AN$61</f>
        <v>246.75618378273927</v>
      </c>
    </row>
    <row r="66" spans="1:40">
      <c r="A66" s="372"/>
      <c r="B66" s="142" t="s">
        <v>6</v>
      </c>
      <c r="C66" s="131" t="s">
        <v>195</v>
      </c>
      <c r="D66" s="176">
        <f>((LOOKUP(D$2,'Ceiling-U'!$A$4:$A$40,'Ceiling-U'!$I$4:$I$40)*D$14)+(LOOKUP(D$2,'Floor-U'!$A$4:$A$40,'Floor-U'!$I$4:$I$40)*D$15)+(LOOKUP(D$2,'Wall-U'!$A$4:$A$40,'Wall-U'!$I$4:$I$40)*D$12)+(LOOKUP(D$2,'Window-U'!$A$4:$A$40,'Window-U'!$S$4:$S$40)*D$21))*D$61</f>
        <v>171.26255599906818</v>
      </c>
      <c r="E66" s="177">
        <f>((LOOKUP(E$2,'Ceiling-U'!$A$4:$A$40,'Ceiling-U'!$I$4:$I$40)*E$14)+(LOOKUP(E$2,'Floor-U'!$A$4:$A$40,'Floor-U'!$I$4:$I$40)*E$15)+(LOOKUP(E$2,'Wall-U'!$A$4:$A$40,'Wall-U'!$I$4:$I$40)*E$12)+(LOOKUP(E$2,'Window-U'!$A$4:$A$40,'Window-U'!$S$4:$S$40)*E$21))*E$61</f>
        <v>452.61466279502611</v>
      </c>
      <c r="F66" s="177">
        <f>((LOOKUP(F$2,'Ceiling-U'!$A$4:$A$40,'Ceiling-U'!$I$4:$I$40)*F$14)+(LOOKUP(F$2,'Floor-U'!$A$4:$A$40,'Floor-U'!$I$4:$I$40)*F$15)+(LOOKUP(F$2,'Wall-U'!$A$4:$A$40,'Wall-U'!$I$4:$I$40)*F$12)+(LOOKUP(F$2,'Window-U'!$A$4:$A$40,'Window-U'!$S$4:$S$40)*F$21))*F$61</f>
        <v>173.42045518356088</v>
      </c>
      <c r="G66" s="177">
        <f>((LOOKUP(G$2,'Ceiling-U'!$A$4:$A$40,'Ceiling-U'!$I$4:$I$40)*G$14)+(LOOKUP(G$2,'Floor-U'!$A$4:$A$40,'Floor-U'!$I$4:$I$40)*G$15)+(LOOKUP(G$2,'Wall-U'!$A$4:$A$40,'Wall-U'!$I$4:$I$40)*G$12)+(LOOKUP(G$2,'Window-U'!$A$4:$A$40,'Window-U'!$S$4:$S$40)*G$21))*G$61</f>
        <v>171.26255599906818</v>
      </c>
      <c r="H66" s="177">
        <f>((LOOKUP(H$2,'Ceiling-U'!$A$4:$A$40,'Ceiling-U'!$I$4:$I$40)*H$14)+(LOOKUP(H$2,'Floor-U'!$A$4:$A$40,'Floor-U'!$I$4:$I$40)*H$15)+(LOOKUP(H$2,'Wall-U'!$A$4:$A$40,'Wall-U'!$I$4:$I$40)*H$12)+(LOOKUP(H$2,'Window-U'!$A$4:$A$40,'Window-U'!$S$4:$S$40)*H$21))*H$61</f>
        <v>597.58071671442326</v>
      </c>
      <c r="I66" s="177">
        <f>((LOOKUP(I$2,'Ceiling-U'!$A$4:$A$40,'Ceiling-U'!$I$4:$I$40)*I$14)+(LOOKUP(I$2,'Floor-U'!$A$4:$A$40,'Floor-U'!$I$4:$I$40)*I$15)+(LOOKUP(I$2,'Wall-U'!$A$4:$A$40,'Wall-U'!$I$4:$I$40)*I$12)+(LOOKUP(I$2,'Window-U'!$A$4:$A$40,'Window-U'!$S$4:$S$40)*I$21))*I$61</f>
        <v>153.57105207593864</v>
      </c>
      <c r="J66" s="177">
        <f>((LOOKUP(J$2,'Ceiling-U'!$A$4:$A$40,'Ceiling-U'!$I$4:$I$40)*J$14)+(LOOKUP(J$2,'Floor-U'!$A$4:$A$40,'Floor-U'!$I$4:$I$40)*J$15)+(LOOKUP(J$2,'Wall-U'!$A$4:$A$40,'Wall-U'!$I$4:$I$40)*J$12)+(LOOKUP(J$2,'Window-U'!$A$4:$A$40,'Window-U'!$S$4:$S$40)*J$21))*J$61</f>
        <v>104.90099138671812</v>
      </c>
      <c r="K66" s="177">
        <f>((LOOKUP(K$2,'Ceiling-U'!$A$4:$A$40,'Ceiling-U'!$I$4:$I$40)*K$14)+(LOOKUP(K$2,'Floor-U'!$A$4:$A$40,'Floor-U'!$I$4:$I$40)*K$15)+(LOOKUP(K$2,'Wall-U'!$A$4:$A$40,'Wall-U'!$I$4:$I$40)*K$12)+(LOOKUP(K$2,'Window-U'!$A$4:$A$40,'Window-U'!$S$4:$S$40)*K$21))*K$61</f>
        <v>127.02461600488533</v>
      </c>
      <c r="L66" s="177">
        <f>((LOOKUP(L$2,'Ceiling-U'!$A$4:$A$40,'Ceiling-U'!$I$4:$I$40)*L$14)+(LOOKUP(L$2,'Floor-U'!$A$4:$A$40,'Floor-U'!$I$4:$I$40)*L$15)+(LOOKUP(L$2,'Wall-U'!$A$4:$A$40,'Wall-U'!$I$4:$I$40)*L$12)+(LOOKUP(L$2,'Window-U'!$A$4:$A$40,'Window-U'!$S$4:$S$40)*L$21))*L$61</f>
        <v>71.765712921260985</v>
      </c>
      <c r="M66" s="177">
        <f>((LOOKUP(M$2,'Ceiling-U'!$A$4:$A$40,'Ceiling-U'!$I$4:$I$40)*M$14)+(LOOKUP(M$2,'Floor-U'!$A$4:$A$40,'Floor-U'!$I$4:$I$40)*M$15)+(LOOKUP(M$2,'Wall-U'!$A$4:$A$40,'Wall-U'!$I$4:$I$40)*M$12)+(LOOKUP(M$2,'Window-U'!$A$4:$A$40,'Window-U'!$S$4:$S$40)*M$21))*M$61</f>
        <v>422.37540670029858</v>
      </c>
      <c r="N66" s="177">
        <f>((LOOKUP(N$2,'Ceiling-U'!$A$4:$A$40,'Ceiling-U'!$I$4:$I$40)*N$14)+(LOOKUP(N$2,'Floor-U'!$A$4:$A$40,'Floor-U'!$I$4:$I$40)*N$15)+(LOOKUP(N$2,'Wall-U'!$A$4:$A$40,'Wall-U'!$I$4:$I$40)*N$12)+(LOOKUP(N$2,'Window-U'!$A$4:$A$40,'Window-U'!$S$4:$S$40)*N$21))*N$61</f>
        <v>97.797677648055384</v>
      </c>
      <c r="O66" s="177">
        <f>((LOOKUP(O$2,'Ceiling-U'!$A$4:$A$40,'Ceiling-U'!$I$4:$I$40)*O$14)+(LOOKUP(O$2,'Floor-U'!$A$4:$A$40,'Floor-U'!$I$4:$I$40)*O$15)+(LOOKUP(O$2,'Wall-U'!$A$4:$A$40,'Wall-U'!$I$4:$I$40)*O$12)+(LOOKUP(O$2,'Window-U'!$A$4:$A$40,'Window-U'!$S$4:$S$40)*O$21))*O$61</f>
        <v>133.83470039539949</v>
      </c>
      <c r="P66" s="177">
        <f>((LOOKUP(P$2,'Ceiling-U'!$A$4:$A$40,'Ceiling-U'!$I$4:$I$40)*P$14)+(LOOKUP(P$2,'Floor-U'!$A$4:$A$40,'Floor-U'!$I$4:$I$40)*P$15)+(LOOKUP(P$2,'Wall-U'!$A$4:$A$40,'Wall-U'!$I$4:$I$40)*P$12)+(LOOKUP(P$2,'Window-U'!$A$4:$A$40,'Window-U'!$S$4:$S$40)*P$21))*P$61</f>
        <v>701.07761597084971</v>
      </c>
      <c r="Q66" s="177">
        <f>((LOOKUP(Q$2,'Ceiling-U'!$A$4:$A$40,'Ceiling-U'!$I$4:$I$40)*Q$14)+(LOOKUP(Q$2,'Floor-U'!$A$4:$A$40,'Floor-U'!$I$4:$I$40)*Q$15)+(LOOKUP(Q$2,'Wall-U'!$A$4:$A$40,'Wall-U'!$I$4:$I$40)*Q$12)+(LOOKUP(Q$2,'Window-U'!$A$4:$A$40,'Window-U'!$S$4:$S$40)*Q$21))*Q$61</f>
        <v>185.65401446682432</v>
      </c>
      <c r="R66" s="177">
        <f>((LOOKUP(R$2,'Ceiling-U'!$A$4:$A$40,'Ceiling-U'!$I$4:$I$40)*R$14)+(LOOKUP(R$2,'Floor-U'!$A$4:$A$40,'Floor-U'!$I$4:$I$40)*R$15)+(LOOKUP(R$2,'Wall-U'!$A$4:$A$40,'Wall-U'!$I$4:$I$40)*R$12)+(LOOKUP(R$2,'Window-U'!$A$4:$A$40,'Window-U'!$S$4:$S$40)*R$21))*R$61</f>
        <v>227.5783657680721</v>
      </c>
      <c r="S66" s="177">
        <f>((LOOKUP(S$2,'Ceiling-U'!$A$4:$A$40,'Ceiling-U'!$I$4:$I$40)*S$14)+(LOOKUP(S$2,'Floor-U'!$A$4:$A$40,'Floor-U'!$I$4:$I$40)*S$15)+(LOOKUP(S$2,'Wall-U'!$A$4:$A$40,'Wall-U'!$I$4:$I$40)*S$12)+(LOOKUP(S$2,'Window-U'!$A$4:$A$40,'Window-U'!$S$4:$S$40)*S$21))*S$61</f>
        <v>225.29594228202549</v>
      </c>
      <c r="T66" s="177">
        <f>((LOOKUP(T$2,'Ceiling-U'!$A$4:$A$40,'Ceiling-U'!$I$4:$I$40)*T$14)+(LOOKUP(T$2,'Floor-U'!$A$4:$A$40,'Floor-U'!$I$4:$I$40)*T$15)+(LOOKUP(T$2,'Wall-U'!$A$4:$A$40,'Wall-U'!$I$4:$I$40)*T$12)+(LOOKUP(T$2,'Window-U'!$A$4:$A$40,'Window-U'!$S$4:$S$40)*T$21))*T$61</f>
        <v>97.797677648055384</v>
      </c>
      <c r="U66" s="177">
        <f>((LOOKUP(U$2,'Ceiling-U'!$A$4:$A$40,'Ceiling-U'!$I$4:$I$40)*U$14)+(LOOKUP(U$2,'Floor-U'!$A$4:$A$40,'Floor-U'!$I$4:$I$40)*U$15)+(LOOKUP(U$2,'Wall-U'!$A$4:$A$40,'Wall-U'!$I$4:$I$40)*U$12)+(LOOKUP(U$2,'Window-U'!$A$4:$A$40,'Window-U'!$S$4:$S$40)*U$21))*U$61</f>
        <v>364.49080064912789</v>
      </c>
      <c r="V66" s="177">
        <f>((LOOKUP(V$2,'Ceiling-U'!$A$4:$A$40,'Ceiling-U'!$I$4:$I$40)*V$14)+(LOOKUP(V$2,'Floor-U'!$A$4:$A$40,'Floor-U'!$I$4:$I$40)*V$15)+(LOOKUP(V$2,'Wall-U'!$A$4:$A$40,'Wall-U'!$I$4:$I$40)*V$12)+(LOOKUP(V$2,'Window-U'!$A$4:$A$40,'Window-U'!$S$4:$S$40)*V$21))*V$61</f>
        <v>170.55503322188488</v>
      </c>
      <c r="W66" s="177">
        <f>((LOOKUP(W$2,'Ceiling-U'!$A$4:$A$40,'Ceiling-U'!$I$4:$I$40)*W$14)+(LOOKUP(W$2,'Floor-U'!$A$4:$A$40,'Floor-U'!$I$4:$I$40)*W$15)+(LOOKUP(W$2,'Wall-U'!$A$4:$A$40,'Wall-U'!$I$4:$I$40)*W$12)+(LOOKUP(W$2,'Window-U'!$A$4:$A$40,'Window-U'!$S$4:$S$40)*W$21))*W$61</f>
        <v>136.06154927680234</v>
      </c>
      <c r="X66" s="177">
        <f>((LOOKUP(X$2,'Ceiling-U'!$A$4:$A$40,'Ceiling-U'!$I$4:$I$40)*X$14)+(LOOKUP(X$2,'Floor-U'!$A$4:$A$40,'Floor-U'!$I$4:$I$40)*X$15)+(LOOKUP(X$2,'Wall-U'!$A$4:$A$40,'Wall-U'!$I$4:$I$40)*X$12)+(LOOKUP(X$2,'Window-U'!$A$4:$A$40,'Window-U'!$S$4:$S$40)*X$21))*X$61</f>
        <v>144.70160030897802</v>
      </c>
      <c r="Y66" s="177">
        <f>((LOOKUP(Y$2,'Ceiling-U'!$A$4:$A$40,'Ceiling-U'!$I$4:$I$40)*Y$14)+(LOOKUP(Y$2,'Floor-U'!$A$4:$A$40,'Floor-U'!$I$4:$I$40)*Y$15)+(LOOKUP(Y$2,'Wall-U'!$A$4:$A$40,'Wall-U'!$I$4:$I$40)*Y$12)+(LOOKUP(Y$2,'Window-U'!$A$4:$A$40,'Window-U'!$S$4:$S$40)*Y$21))*Y$61</f>
        <v>545.88340103632254</v>
      </c>
      <c r="Z66" s="177">
        <f>((LOOKUP(Z$2,'Ceiling-U'!$A$4:$A$40,'Ceiling-U'!$I$4:$I$40)*Z$14)+(LOOKUP(Z$2,'Floor-U'!$A$4:$A$40,'Floor-U'!$I$4:$I$40)*Z$15)+(LOOKUP(Z$2,'Wall-U'!$A$4:$A$40,'Wall-U'!$I$4:$I$40)*Z$12)+(LOOKUP(Z$2,'Window-U'!$A$4:$A$40,'Window-U'!$S$4:$S$40)*Z$21))*Z$61</f>
        <v>217.66419522631816</v>
      </c>
      <c r="AA66" s="177">
        <f>((LOOKUP(AA$2,'Ceiling-U'!$A$4:$A$40,'Ceiling-U'!$I$4:$I$40)*AA$14)+(LOOKUP(AA$2,'Floor-U'!$A$4:$A$40,'Floor-U'!$I$4:$I$40)*AA$15)+(LOOKUP(AA$2,'Wall-U'!$A$4:$A$40,'Wall-U'!$I$4:$I$40)*AA$12)+(LOOKUP(AA$2,'Window-U'!$A$4:$A$40,'Window-U'!$S$4:$S$40)*AA$21))*AA$61</f>
        <v>80.061605639300694</v>
      </c>
      <c r="AB66" s="177">
        <f>((LOOKUP(AB$2,'Ceiling-U'!$A$4:$A$40,'Ceiling-U'!$I$4:$I$40)*AB$14)+(LOOKUP(AB$2,'Floor-U'!$A$4:$A$40,'Floor-U'!$I$4:$I$40)*AB$15)+(LOOKUP(AB$2,'Wall-U'!$A$4:$A$40,'Wall-U'!$I$4:$I$40)*AB$12)+(LOOKUP(AB$2,'Window-U'!$A$4:$A$40,'Window-U'!$S$4:$S$40)*AB$21))*AB$61</f>
        <v>225.43583619823531</v>
      </c>
      <c r="AC66" s="177">
        <f>((LOOKUP(AC$2,'Ceiling-U'!$A$4:$A$40,'Ceiling-U'!$I$4:$I$40)*AC$14)+(LOOKUP(AC$2,'Floor-U'!$A$4:$A$40,'Floor-U'!$I$4:$I$40)*AC$15)+(LOOKUP(AC$2,'Wall-U'!$A$4:$A$40,'Wall-U'!$I$4:$I$40)*AC$12)+(LOOKUP(AC$2,'Window-U'!$A$4:$A$40,'Window-U'!$S$4:$S$40)*AC$21))*AC$61</f>
        <v>563.88585218199773</v>
      </c>
      <c r="AD66" s="177">
        <f>((LOOKUP(AD$2,'Ceiling-U'!$A$4:$A$40,'Ceiling-U'!$I$4:$I$40)*AD$14)+(LOOKUP(AD$2,'Floor-U'!$A$4:$A$40,'Floor-U'!$I$4:$I$40)*AD$15)+(LOOKUP(AD$2,'Wall-U'!$A$4:$A$40,'Wall-U'!$I$4:$I$40)*AD$12)+(LOOKUP(AD$2,'Window-U'!$A$4:$A$40,'Window-U'!$S$4:$S$40)*AD$21))*AD$61</f>
        <v>305.13870302807953</v>
      </c>
      <c r="AE66" s="177">
        <f>((LOOKUP(AE$2,'Ceiling-U'!$A$4:$A$40,'Ceiling-U'!$I$4:$I$40)*AE$14)+(LOOKUP(AE$2,'Floor-U'!$A$4:$A$40,'Floor-U'!$I$4:$I$40)*AE$15)+(LOOKUP(AE$2,'Wall-U'!$A$4:$A$40,'Wall-U'!$I$4:$I$40)*AE$12)+(LOOKUP(AE$2,'Window-U'!$A$4:$A$40,'Window-U'!$S$4:$S$40)*AE$21))*AE$61</f>
        <v>80.061605639300694</v>
      </c>
      <c r="AF66" s="177">
        <f>((LOOKUP(AF$2,'Ceiling-U'!$A$4:$A$40,'Ceiling-U'!$I$4:$I$40)*AF$14)+(LOOKUP(AF$2,'Floor-U'!$A$4:$A$40,'Floor-U'!$I$4:$I$40)*AF$15)+(LOOKUP(AF$2,'Wall-U'!$A$4:$A$40,'Wall-U'!$I$4:$I$40)*AF$12)+(LOOKUP(AF$2,'Window-U'!$A$4:$A$40,'Window-U'!$S$4:$S$40)*AF$21))*AF$61</f>
        <v>172.29255153040339</v>
      </c>
      <c r="AG66" s="177">
        <f>((LOOKUP(AG$2,'Ceiling-U'!$A$4:$A$40,'Ceiling-U'!$I$4:$I$40)*AG$14)+(LOOKUP(AG$2,'Floor-U'!$A$4:$A$40,'Floor-U'!$I$4:$I$40)*AG$15)+(LOOKUP(AG$2,'Wall-U'!$A$4:$A$40,'Wall-U'!$I$4:$I$40)*AG$12)+(LOOKUP(AG$2,'Window-U'!$A$4:$A$40,'Window-U'!$S$4:$S$40)*AG$21))*AG$61</f>
        <v>308.06832874472485</v>
      </c>
      <c r="AH66" s="177">
        <f>((LOOKUP(AH$2,'Ceiling-U'!$A$4:$A$40,'Ceiling-U'!$I$4:$I$40)*AH$14)+(LOOKUP(AH$2,'Floor-U'!$A$4:$A$40,'Floor-U'!$I$4:$I$40)*AH$15)+(LOOKUP(AH$2,'Wall-U'!$A$4:$A$40,'Wall-U'!$I$4:$I$40)*AH$12)+(LOOKUP(AH$2,'Window-U'!$A$4:$A$40,'Window-U'!$S$4:$S$40)*AH$21))*AH$61</f>
        <v>130.62816357727723</v>
      </c>
      <c r="AI66" s="177">
        <f>((LOOKUP(AI$2,'Ceiling-U'!$A$4:$A$40,'Ceiling-U'!$I$4:$I$40)*AI$14)+(LOOKUP(AI$2,'Floor-U'!$A$4:$A$40,'Floor-U'!$I$4:$I$40)*AI$15)+(LOOKUP(AI$2,'Wall-U'!$A$4:$A$40,'Wall-U'!$I$4:$I$40)*AI$12)+(LOOKUP(AI$2,'Window-U'!$A$4:$A$40,'Window-U'!$S$4:$S$40)*AI$21))*AI$61</f>
        <v>701.07761597084971</v>
      </c>
      <c r="AJ66" s="177">
        <f>((LOOKUP(AJ$2,'Ceiling-U'!$A$4:$A$40,'Ceiling-U'!$I$4:$I$40)*AJ$14)+(LOOKUP(AJ$2,'Floor-U'!$A$4:$A$40,'Floor-U'!$I$4:$I$40)*AJ$15)+(LOOKUP(AJ$2,'Wall-U'!$A$4:$A$40,'Wall-U'!$I$4:$I$40)*AJ$12)+(LOOKUP(AJ$2,'Window-U'!$A$4:$A$40,'Window-U'!$S$4:$S$40)*AJ$21))*AJ$61</f>
        <v>227.25411265930788</v>
      </c>
      <c r="AK66" s="177">
        <f>((LOOKUP(AK$2,'Ceiling-U'!$A$4:$A$40,'Ceiling-U'!$I$4:$I$40)*AK$14)+(LOOKUP(AK$2,'Floor-U'!$A$4:$A$40,'Floor-U'!$I$4:$I$40)*AK$15)+(LOOKUP(AK$2,'Wall-U'!$A$4:$A$40,'Wall-U'!$I$4:$I$40)*AK$12)+(LOOKUP(AK$2,'Window-U'!$A$4:$A$40,'Window-U'!$S$4:$S$40)*AK$21))*AK$61</f>
        <v>276.22020991042484</v>
      </c>
      <c r="AL66" s="177">
        <f>((LOOKUP(AL$2,'Ceiling-U'!$A$4:$A$40,'Ceiling-U'!$I$4:$I$40)*AL$14)+(LOOKUP(AL$2,'Floor-U'!$A$4:$A$40,'Floor-U'!$I$4:$I$40)*AL$15)+(LOOKUP(AL$2,'Wall-U'!$A$4:$A$40,'Wall-U'!$I$4:$I$40)*AL$12)+(LOOKUP(AL$2,'Window-U'!$A$4:$A$40,'Window-U'!$S$4:$S$40)*AL$21))*AL$61</f>
        <v>182.31195528081781</v>
      </c>
      <c r="AM66" s="177">
        <f>((LOOKUP(AM$2,'Ceiling-U'!$A$4:$A$40,'Ceiling-U'!$I$4:$I$40)*AM$14)+(LOOKUP(AM$2,'Floor-U'!$A$4:$A$40,'Floor-U'!$I$4:$I$40)*AM$15)+(LOOKUP(AM$2,'Wall-U'!$A$4:$A$40,'Wall-U'!$I$4:$I$40)*AM$12)+(LOOKUP(AM$2,'Window-U'!$A$4:$A$40,'Window-U'!$S$4:$S$40)*AM$21))*AM$61</f>
        <v>227.25411265930788</v>
      </c>
      <c r="AN66" s="178">
        <f>((LOOKUP(AN$2,'Ceiling-U'!$A$4:$A$40,'Ceiling-U'!$I$4:$I$40)*AN$14)+(LOOKUP(AN$2,'Floor-U'!$A$4:$A$40,'Floor-U'!$I$4:$I$40)*AN$15)+(LOOKUP(AN$2,'Wall-U'!$A$4:$A$40,'Wall-U'!$I$4:$I$40)*AN$12)+(LOOKUP(AN$2,'Window-U'!$A$4:$A$40,'Window-U'!$S$4:$S$40)*AN$21))*AN$61</f>
        <v>227.25411265930788</v>
      </c>
    </row>
    <row r="67" spans="1:40">
      <c r="A67" s="373"/>
      <c r="B67" s="374" t="s">
        <v>7</v>
      </c>
      <c r="C67" s="131" t="s">
        <v>195</v>
      </c>
      <c r="D67" s="176">
        <f>((LOOKUP(D$2,'Ceiling-U'!$A$4:$A$40,'Ceiling-U'!$J$4:$J$40)*D$14)+(LOOKUP(D$2,'Floor-U'!$A$4:$A$40,'Floor-U'!$J$4:$J$40)*D$15)+(LOOKUP(D$2,'Wall-U'!$A$4:$A$40,'Wall-U'!$J$4:$J$40)*D$12)+(LOOKUP(D$2,'Window-U'!$A$4:$A$40,'Window-U'!$S$4:$S$40)*D$21))*D$61</f>
        <v>148.22229258666135</v>
      </c>
      <c r="E67" s="174">
        <f>((LOOKUP(E$2,'Ceiling-U'!$A$4:$A$40,'Ceiling-U'!$J$4:$J$40)*E$14)+(LOOKUP(E$2,'Floor-U'!$A$4:$A$40,'Floor-U'!$J$4:$J$40)*E$15)+(LOOKUP(E$2,'Wall-U'!$A$4:$A$40,'Wall-U'!$J$4:$J$40)*E$12)+(LOOKUP(E$2,'Window-U'!$A$4:$A$40,'Window-U'!$S$4:$S$40)*E$21))*E$61</f>
        <v>240.02508693243612</v>
      </c>
      <c r="F67" s="174">
        <f>((LOOKUP(F$2,'Ceiling-U'!$A$4:$A$40,'Ceiling-U'!$J$4:$J$40)*F$14)+(LOOKUP(F$2,'Floor-U'!$A$4:$A$40,'Floor-U'!$J$4:$J$40)*F$15)+(LOOKUP(F$2,'Wall-U'!$A$4:$A$40,'Wall-U'!$J$4:$J$40)*F$12)+(LOOKUP(F$2,'Window-U'!$A$4:$A$40,'Window-U'!$S$4:$S$40)*F$21))*F$61</f>
        <v>104.45684595710138</v>
      </c>
      <c r="G67" s="174">
        <f>((LOOKUP(G$2,'Ceiling-U'!$A$4:$A$40,'Ceiling-U'!$J$4:$J$40)*G$14)+(LOOKUP(G$2,'Floor-U'!$A$4:$A$40,'Floor-U'!$J$4:$J$40)*G$15)+(LOOKUP(G$2,'Wall-U'!$A$4:$A$40,'Wall-U'!$J$4:$J$40)*G$12)+(LOOKUP(G$2,'Window-U'!$A$4:$A$40,'Window-U'!$S$4:$S$40)*G$21))*G$61</f>
        <v>148.22229258666135</v>
      </c>
      <c r="H67" s="174">
        <f>((LOOKUP(H$2,'Ceiling-U'!$A$4:$A$40,'Ceiling-U'!$J$4:$J$40)*H$14)+(LOOKUP(H$2,'Floor-U'!$A$4:$A$40,'Floor-U'!$J$4:$J$40)*H$15)+(LOOKUP(H$2,'Wall-U'!$A$4:$A$40,'Wall-U'!$J$4:$J$40)*H$12)+(LOOKUP(H$2,'Window-U'!$A$4:$A$40,'Window-U'!$S$4:$S$40)*H$21))*H$61</f>
        <v>476.14236576611455</v>
      </c>
      <c r="I67" s="174">
        <f>((LOOKUP(I$2,'Ceiling-U'!$A$4:$A$40,'Ceiling-U'!$J$4:$J$40)*I$14)+(LOOKUP(I$2,'Floor-U'!$A$4:$A$40,'Floor-U'!$J$4:$J$40)*I$15)+(LOOKUP(I$2,'Wall-U'!$A$4:$A$40,'Wall-U'!$J$4:$J$40)*I$12)+(LOOKUP(I$2,'Window-U'!$A$4:$A$40,'Window-U'!$S$4:$S$40)*I$21))*I$61</f>
        <v>123.39592140634818</v>
      </c>
      <c r="J67" s="174">
        <f>((LOOKUP(J$2,'Ceiling-U'!$A$4:$A$40,'Ceiling-U'!$J$4:$J$40)*J$14)+(LOOKUP(J$2,'Floor-U'!$A$4:$A$40,'Floor-U'!$J$4:$J$40)*J$15)+(LOOKUP(J$2,'Wall-U'!$A$4:$A$40,'Wall-U'!$J$4:$J$40)*J$12)+(LOOKUP(J$2,'Window-U'!$A$4:$A$40,'Window-U'!$S$4:$S$40)*J$21))*J$61</f>
        <v>117.2676659644914</v>
      </c>
      <c r="K67" s="174">
        <f>((LOOKUP(K$2,'Ceiling-U'!$A$4:$A$40,'Ceiling-U'!$J$4:$J$40)*K$14)+(LOOKUP(K$2,'Floor-U'!$A$4:$A$40,'Floor-U'!$J$4:$J$40)*K$15)+(LOOKUP(K$2,'Wall-U'!$A$4:$A$40,'Wall-U'!$J$4:$J$40)*K$12)+(LOOKUP(K$2,'Window-U'!$A$4:$A$40,'Window-U'!$S$4:$S$40)*K$21))*K$61</f>
        <v>91.215257680990561</v>
      </c>
      <c r="L67" s="174">
        <f>((LOOKUP(L$2,'Ceiling-U'!$A$4:$A$40,'Ceiling-U'!$J$4:$J$40)*L$14)+(LOOKUP(L$2,'Floor-U'!$A$4:$A$40,'Floor-U'!$J$4:$J$40)*L$15)+(LOOKUP(L$2,'Wall-U'!$A$4:$A$40,'Wall-U'!$J$4:$J$40)*L$12)+(LOOKUP(L$2,'Window-U'!$A$4:$A$40,'Window-U'!$S$4:$S$40)*L$21))*L$61</f>
        <v>71.765712921260985</v>
      </c>
      <c r="M67" s="174">
        <f>((LOOKUP(M$2,'Ceiling-U'!$A$4:$A$40,'Ceiling-U'!$J$4:$J$40)*M$14)+(LOOKUP(M$2,'Floor-U'!$A$4:$A$40,'Floor-U'!$J$4:$J$40)*M$15)+(LOOKUP(M$2,'Wall-U'!$A$4:$A$40,'Wall-U'!$J$4:$J$40)*M$12)+(LOOKUP(M$2,'Window-U'!$A$4:$A$40,'Window-U'!$S$4:$S$40)*M$21))*M$61</f>
        <v>245.69748966889929</v>
      </c>
      <c r="N67" s="174">
        <f>((LOOKUP(N$2,'Ceiling-U'!$A$4:$A$40,'Ceiling-U'!$J$4:$J$40)*N$14)+(LOOKUP(N$2,'Floor-U'!$A$4:$A$40,'Floor-U'!$J$4:$J$40)*N$15)+(LOOKUP(N$2,'Wall-U'!$A$4:$A$40,'Wall-U'!$J$4:$J$40)*N$12)+(LOOKUP(N$2,'Window-U'!$A$4:$A$40,'Window-U'!$S$4:$S$40)*N$21))*N$61</f>
        <v>89.249517637479997</v>
      </c>
      <c r="O67" s="174">
        <f>((LOOKUP(O$2,'Ceiling-U'!$A$4:$A$40,'Ceiling-U'!$J$4:$J$40)*O$14)+(LOOKUP(O$2,'Floor-U'!$A$4:$A$40,'Floor-U'!$J$4:$J$40)*O$15)+(LOOKUP(O$2,'Wall-U'!$A$4:$A$40,'Wall-U'!$J$4:$J$40)*O$12)+(LOOKUP(O$2,'Window-U'!$A$4:$A$40,'Window-U'!$S$4:$S$40)*O$21))*O$61</f>
        <v>129.48890094300123</v>
      </c>
      <c r="P67" s="174">
        <f>((LOOKUP(P$2,'Ceiling-U'!$A$4:$A$40,'Ceiling-U'!$J$4:$J$40)*P$14)+(LOOKUP(P$2,'Floor-U'!$A$4:$A$40,'Floor-U'!$J$4:$J$40)*P$15)+(LOOKUP(P$2,'Wall-U'!$A$4:$A$40,'Wall-U'!$J$4:$J$40)*P$12)+(LOOKUP(P$2,'Window-U'!$A$4:$A$40,'Window-U'!$S$4:$S$40)*P$21))*P$61</f>
        <v>190.12400097612766</v>
      </c>
      <c r="Q67" s="174">
        <f>((LOOKUP(Q$2,'Ceiling-U'!$A$4:$A$40,'Ceiling-U'!$J$4:$J$40)*Q$14)+(LOOKUP(Q$2,'Floor-U'!$A$4:$A$40,'Floor-U'!$J$4:$J$40)*Q$15)+(LOOKUP(Q$2,'Wall-U'!$A$4:$A$40,'Wall-U'!$J$4:$J$40)*Q$12)+(LOOKUP(Q$2,'Window-U'!$A$4:$A$40,'Window-U'!$S$4:$S$40)*Q$21))*Q$61</f>
        <v>105.21056162185425</v>
      </c>
      <c r="R67" s="174">
        <f>((LOOKUP(R$2,'Ceiling-U'!$A$4:$A$40,'Ceiling-U'!$J$4:$J$40)*R$14)+(LOOKUP(R$2,'Floor-U'!$A$4:$A$40,'Floor-U'!$J$4:$J$40)*R$15)+(LOOKUP(R$2,'Wall-U'!$A$4:$A$40,'Wall-U'!$J$4:$J$40)*R$12)+(LOOKUP(R$2,'Window-U'!$A$4:$A$40,'Window-U'!$S$4:$S$40)*R$21))*R$61</f>
        <v>134.25173946407182</v>
      </c>
      <c r="S67" s="174">
        <f>((LOOKUP(S$2,'Ceiling-U'!$A$4:$A$40,'Ceiling-U'!$J$4:$J$40)*S$14)+(LOOKUP(S$2,'Floor-U'!$A$4:$A$40,'Floor-U'!$J$4:$J$40)*S$15)+(LOOKUP(S$2,'Wall-U'!$A$4:$A$40,'Wall-U'!$J$4:$J$40)*S$12)+(LOOKUP(S$2,'Window-U'!$A$4:$A$40,'Window-U'!$S$4:$S$40)*S$21))*S$61</f>
        <v>124.488824363166</v>
      </c>
      <c r="T67" s="174">
        <f>((LOOKUP(T$2,'Ceiling-U'!$A$4:$A$40,'Ceiling-U'!$J$4:$J$40)*T$14)+(LOOKUP(T$2,'Floor-U'!$A$4:$A$40,'Floor-U'!$J$4:$J$40)*T$15)+(LOOKUP(T$2,'Wall-U'!$A$4:$A$40,'Wall-U'!$J$4:$J$40)*T$12)+(LOOKUP(T$2,'Window-U'!$A$4:$A$40,'Window-U'!$S$4:$S$40)*T$21))*T$61</f>
        <v>89.249517637479997</v>
      </c>
      <c r="U67" s="174">
        <f>((LOOKUP(U$2,'Ceiling-U'!$A$4:$A$40,'Ceiling-U'!$J$4:$J$40)*U$14)+(LOOKUP(U$2,'Floor-U'!$A$4:$A$40,'Floor-U'!$J$4:$J$40)*U$15)+(LOOKUP(U$2,'Wall-U'!$A$4:$A$40,'Wall-U'!$J$4:$J$40)*U$12)+(LOOKUP(U$2,'Window-U'!$A$4:$A$40,'Window-U'!$S$4:$S$40)*U$21))*U$61</f>
        <v>364.49080064912789</v>
      </c>
      <c r="V67" s="174">
        <f>((LOOKUP(V$2,'Ceiling-U'!$A$4:$A$40,'Ceiling-U'!$J$4:$J$40)*V$14)+(LOOKUP(V$2,'Floor-U'!$A$4:$A$40,'Floor-U'!$J$4:$J$40)*V$15)+(LOOKUP(V$2,'Wall-U'!$A$4:$A$40,'Wall-U'!$J$4:$J$40)*V$12)+(LOOKUP(V$2,'Window-U'!$A$4:$A$40,'Window-U'!$S$4:$S$40)*V$21))*V$61</f>
        <v>84.431073493753303</v>
      </c>
      <c r="W67" s="174">
        <f>((LOOKUP(W$2,'Ceiling-U'!$A$4:$A$40,'Ceiling-U'!$J$4:$J$40)*W$14)+(LOOKUP(W$2,'Floor-U'!$A$4:$A$40,'Floor-U'!$J$4:$J$40)*W$15)+(LOOKUP(W$2,'Wall-U'!$A$4:$A$40,'Wall-U'!$J$4:$J$40)*W$12)+(LOOKUP(W$2,'Window-U'!$A$4:$A$40,'Window-U'!$S$4:$S$40)*W$21))*W$61</f>
        <v>108.47947891237155</v>
      </c>
      <c r="X67" s="174">
        <f>((LOOKUP(X$2,'Ceiling-U'!$A$4:$A$40,'Ceiling-U'!$J$4:$J$40)*X$14)+(LOOKUP(X$2,'Floor-U'!$A$4:$A$40,'Floor-U'!$J$4:$J$40)*X$15)+(LOOKUP(X$2,'Wall-U'!$A$4:$A$40,'Wall-U'!$J$4:$J$40)*X$12)+(LOOKUP(X$2,'Window-U'!$A$4:$A$40,'Window-U'!$S$4:$S$40)*X$21))*X$61</f>
        <v>77.802576111232085</v>
      </c>
      <c r="Y67" s="174">
        <f>((LOOKUP(Y$2,'Ceiling-U'!$A$4:$A$40,'Ceiling-U'!$J$4:$J$40)*Y$14)+(LOOKUP(Y$2,'Floor-U'!$A$4:$A$40,'Floor-U'!$J$4:$J$40)*Y$15)+(LOOKUP(Y$2,'Wall-U'!$A$4:$A$40,'Wall-U'!$J$4:$J$40)*Y$12)+(LOOKUP(Y$2,'Window-U'!$A$4:$A$40,'Window-U'!$S$4:$S$40)*Y$21))*Y$61</f>
        <v>513.7944111245356</v>
      </c>
      <c r="Z67" s="174">
        <f>((LOOKUP(Z$2,'Ceiling-U'!$A$4:$A$40,'Ceiling-U'!$J$4:$J$40)*Z$14)+(LOOKUP(Z$2,'Floor-U'!$A$4:$A$40,'Floor-U'!$J$4:$J$40)*Z$15)+(LOOKUP(Z$2,'Wall-U'!$A$4:$A$40,'Wall-U'!$J$4:$J$40)*Z$12)+(LOOKUP(Z$2,'Window-U'!$A$4:$A$40,'Window-U'!$S$4:$S$40)*Z$21))*Z$61</f>
        <v>149.53800532138331</v>
      </c>
      <c r="AA67" s="174">
        <f>((LOOKUP(AA$2,'Ceiling-U'!$A$4:$A$40,'Ceiling-U'!$J$4:$J$40)*AA$14)+(LOOKUP(AA$2,'Floor-U'!$A$4:$A$40,'Floor-U'!$J$4:$J$40)*AA$15)+(LOOKUP(AA$2,'Wall-U'!$A$4:$A$40,'Wall-U'!$J$4:$J$40)*AA$12)+(LOOKUP(AA$2,'Window-U'!$A$4:$A$40,'Window-U'!$S$4:$S$40)*AA$21))*AA$61</f>
        <v>80.061605639300694</v>
      </c>
      <c r="AB67" s="174">
        <f>((LOOKUP(AB$2,'Ceiling-U'!$A$4:$A$40,'Ceiling-U'!$J$4:$J$40)*AB$14)+(LOOKUP(AB$2,'Floor-U'!$A$4:$A$40,'Floor-U'!$J$4:$J$40)*AB$15)+(LOOKUP(AB$2,'Wall-U'!$A$4:$A$40,'Wall-U'!$J$4:$J$40)*AB$12)+(LOOKUP(AB$2,'Window-U'!$A$4:$A$40,'Window-U'!$S$4:$S$40)*AB$21))*AB$61</f>
        <v>161.69188389612049</v>
      </c>
      <c r="AC67" s="174">
        <f>((LOOKUP(AC$2,'Ceiling-U'!$A$4:$A$40,'Ceiling-U'!$J$4:$J$40)*AC$14)+(LOOKUP(AC$2,'Floor-U'!$A$4:$A$40,'Floor-U'!$J$4:$J$40)*AC$15)+(LOOKUP(AC$2,'Wall-U'!$A$4:$A$40,'Wall-U'!$J$4:$J$40)*AC$12)+(LOOKUP(AC$2,'Window-U'!$A$4:$A$40,'Window-U'!$S$4:$S$40)*AC$21))*AC$61</f>
        <v>350.66269641230269</v>
      </c>
      <c r="AD67" s="174">
        <f>((LOOKUP(AD$2,'Ceiling-U'!$A$4:$A$40,'Ceiling-U'!$J$4:$J$40)*AD$14)+(LOOKUP(AD$2,'Floor-U'!$A$4:$A$40,'Floor-U'!$J$4:$J$40)*AD$15)+(LOOKUP(AD$2,'Wall-U'!$A$4:$A$40,'Wall-U'!$J$4:$J$40)*AD$12)+(LOOKUP(AD$2,'Window-U'!$A$4:$A$40,'Window-U'!$S$4:$S$40)*AD$21))*AD$61</f>
        <v>242.91910390886275</v>
      </c>
      <c r="AE67" s="174">
        <f>((LOOKUP(AE$2,'Ceiling-U'!$A$4:$A$40,'Ceiling-U'!$J$4:$J$40)*AE$14)+(LOOKUP(AE$2,'Floor-U'!$A$4:$A$40,'Floor-U'!$J$4:$J$40)*AE$15)+(LOOKUP(AE$2,'Wall-U'!$A$4:$A$40,'Wall-U'!$J$4:$J$40)*AE$12)+(LOOKUP(AE$2,'Window-U'!$A$4:$A$40,'Window-U'!$S$4:$S$40)*AE$21))*AE$61</f>
        <v>80.061605639300694</v>
      </c>
      <c r="AF67" s="174">
        <f>((LOOKUP(AF$2,'Ceiling-U'!$A$4:$A$40,'Ceiling-U'!$J$4:$J$40)*AF$14)+(LOOKUP(AF$2,'Floor-U'!$A$4:$A$40,'Floor-U'!$J$4:$J$40)*AF$15)+(LOOKUP(AF$2,'Wall-U'!$A$4:$A$40,'Wall-U'!$J$4:$J$40)*AF$12)+(LOOKUP(AF$2,'Window-U'!$A$4:$A$40,'Window-U'!$S$4:$S$40)*AF$21))*AF$61</f>
        <v>88.087333934188251</v>
      </c>
      <c r="AG67" s="174">
        <f>((LOOKUP(AG$2,'Ceiling-U'!$A$4:$A$40,'Ceiling-U'!$J$4:$J$40)*AG$14)+(LOOKUP(AG$2,'Floor-U'!$A$4:$A$40,'Floor-U'!$J$4:$J$40)*AG$15)+(LOOKUP(AG$2,'Wall-U'!$A$4:$A$40,'Wall-U'!$J$4:$J$40)*AG$12)+(LOOKUP(AG$2,'Window-U'!$A$4:$A$40,'Window-U'!$S$4:$S$40)*AG$21))*AG$61</f>
        <v>173.31754556507343</v>
      </c>
      <c r="AH67" s="174">
        <f>((LOOKUP(AH$2,'Ceiling-U'!$A$4:$A$40,'Ceiling-U'!$J$4:$J$40)*AH$14)+(LOOKUP(AH$2,'Floor-U'!$A$4:$A$40,'Floor-U'!$J$4:$J$40)*AH$15)+(LOOKUP(AH$2,'Wall-U'!$A$4:$A$40,'Wall-U'!$J$4:$J$40)*AH$12)+(LOOKUP(AH$2,'Window-U'!$A$4:$A$40,'Window-U'!$S$4:$S$40)*AH$21))*AH$61</f>
        <v>106.14142558597656</v>
      </c>
      <c r="AI67" s="174">
        <f>((LOOKUP(AI$2,'Ceiling-U'!$A$4:$A$40,'Ceiling-U'!$J$4:$J$40)*AI$14)+(LOOKUP(AI$2,'Floor-U'!$A$4:$A$40,'Floor-U'!$J$4:$J$40)*AI$15)+(LOOKUP(AI$2,'Wall-U'!$A$4:$A$40,'Wall-U'!$J$4:$J$40)*AI$12)+(LOOKUP(AI$2,'Window-U'!$A$4:$A$40,'Window-U'!$S$4:$S$40)*AI$21))*AI$61</f>
        <v>190.12400097612766</v>
      </c>
      <c r="AJ67" s="174">
        <f>((LOOKUP(AJ$2,'Ceiling-U'!$A$4:$A$40,'Ceiling-U'!$J$4:$J$40)*AJ$14)+(LOOKUP(AJ$2,'Floor-U'!$A$4:$A$40,'Floor-U'!$J$4:$J$40)*AJ$15)+(LOOKUP(AJ$2,'Wall-U'!$A$4:$A$40,'Wall-U'!$J$4:$J$40)*AJ$12)+(LOOKUP(AJ$2,'Window-U'!$A$4:$A$40,'Window-U'!$S$4:$S$40)*AJ$21))*AJ$61</f>
        <v>195.01864011088259</v>
      </c>
      <c r="AK67" s="174">
        <f>((LOOKUP(AK$2,'Ceiling-U'!$A$4:$A$40,'Ceiling-U'!$J$4:$J$40)*AK$14)+(LOOKUP(AK$2,'Floor-U'!$A$4:$A$40,'Floor-U'!$J$4:$J$40)*AK$15)+(LOOKUP(AK$2,'Wall-U'!$A$4:$A$40,'Wall-U'!$J$4:$J$40)*AK$12)+(LOOKUP(AK$2,'Window-U'!$A$4:$A$40,'Window-U'!$S$4:$S$40)*AK$21))*AK$61</f>
        <v>236.91345793977942</v>
      </c>
      <c r="AL67" s="174">
        <f>((LOOKUP(AL$2,'Ceiling-U'!$A$4:$A$40,'Ceiling-U'!$J$4:$J$40)*AL$14)+(LOOKUP(AL$2,'Floor-U'!$A$4:$A$40,'Floor-U'!$J$4:$J$40)*AL$15)+(LOOKUP(AL$2,'Wall-U'!$A$4:$A$40,'Wall-U'!$J$4:$J$40)*AL$12)+(LOOKUP(AL$2,'Window-U'!$A$4:$A$40,'Window-U'!$S$4:$S$40)*AL$21))*AL$61</f>
        <v>109.71652778122406</v>
      </c>
      <c r="AM67" s="174">
        <f>((LOOKUP(AM$2,'Ceiling-U'!$A$4:$A$40,'Ceiling-U'!$J$4:$J$40)*AM$14)+(LOOKUP(AM$2,'Floor-U'!$A$4:$A$40,'Floor-U'!$J$4:$J$40)*AM$15)+(LOOKUP(AM$2,'Wall-U'!$A$4:$A$40,'Wall-U'!$J$4:$J$40)*AM$12)+(LOOKUP(AM$2,'Window-U'!$A$4:$A$40,'Window-U'!$S$4:$S$40)*AM$21))*AM$61</f>
        <v>195.01864011088259</v>
      </c>
      <c r="AN67" s="175">
        <f>((LOOKUP(AN$2,'Ceiling-U'!$A$4:$A$40,'Ceiling-U'!$J$4:$J$40)*AN$14)+(LOOKUP(AN$2,'Floor-U'!$A$4:$A$40,'Floor-U'!$J$4:$J$40)*AN$15)+(LOOKUP(AN$2,'Wall-U'!$A$4:$A$40,'Wall-U'!$J$4:$J$40)*AN$12)+(LOOKUP(AN$2,'Window-U'!$A$4:$A$40,'Window-U'!$S$4:$S$40)*AN$21))*AN$61</f>
        <v>195.01864011088259</v>
      </c>
    </row>
    <row r="68" spans="1:40">
      <c r="A68" s="332" t="s">
        <v>280</v>
      </c>
      <c r="B68" s="142" t="s">
        <v>2</v>
      </c>
      <c r="C68" s="360" t="s">
        <v>261</v>
      </c>
      <c r="D68" s="351">
        <f>D62*24*LOOKUP(D$2,'HDD-by Country'!$A$4:$A$40,'HDD-by Country'!$C$4:$C$40)/1000</f>
        <v>39911.70404210507</v>
      </c>
      <c r="E68" s="352">
        <f>E62*24*LOOKUP(E$2,'HDD-by Country'!$A$4:$A$40,'HDD-by Country'!$C$4:$C$40)/1000</f>
        <v>38157.911768248508</v>
      </c>
      <c r="F68" s="352">
        <f>F62*24*LOOKUP(F$2,'HDD-by Country'!$A$4:$A$40,'HDD-by Country'!$C$4:$C$40)/1000</f>
        <v>20018.513922782971</v>
      </c>
      <c r="G68" s="352">
        <f>G62*24*LOOKUP(G$2,'HDD-by Country'!$A$4:$A$40,'HDD-by Country'!$C$4:$C$40)/1000</f>
        <v>38884.318263740868</v>
      </c>
      <c r="H68" s="352">
        <f>H62*24*LOOKUP(H$2,'HDD-by Country'!$A$4:$A$40,'HDD-by Country'!$C$4:$C$40)/1000</f>
        <v>13684.9348229726</v>
      </c>
      <c r="I68" s="352">
        <f>I62*24*LOOKUP(I$2,'HDD-by Country'!$A$4:$A$40,'HDD-by Country'!$C$4:$C$40)/1000</f>
        <v>27025.223905589155</v>
      </c>
      <c r="J68" s="352">
        <f>J62*24*LOOKUP(J$2,'HDD-by Country'!$A$4:$A$40,'HDD-by Country'!$C$4:$C$40)/1000</f>
        <v>40915.193671955967</v>
      </c>
      <c r="K68" s="352">
        <f>K62*24*LOOKUP(K$2,'HDD-by Country'!$A$4:$A$40,'HDD-by Country'!$C$4:$C$40)/1000</f>
        <v>23705.157547838517</v>
      </c>
      <c r="L68" s="352">
        <f>L62*24*LOOKUP(L$2,'HDD-by Country'!$A$4:$A$40,'HDD-by Country'!$C$4:$C$40)/1000</f>
        <v>14887.826339403544</v>
      </c>
      <c r="M68" s="352">
        <f>M62*24*LOOKUP(M$2,'HDD-by Country'!$A$4:$A$40,'HDD-by Country'!$C$4:$C$40)/1000</f>
        <v>33307.72297590613</v>
      </c>
      <c r="N68" s="352">
        <f>N62*24*LOOKUP(N$2,'HDD-by Country'!$A$4:$A$40,'HDD-by Country'!$C$4:$C$40)/1000</f>
        <v>25336.643714543519</v>
      </c>
      <c r="O68" s="352">
        <f>O62*24*LOOKUP(O$2,'HDD-by Country'!$A$4:$A$40,'HDD-by Country'!$C$4:$C$40)/1000</f>
        <v>46201.50938485215</v>
      </c>
      <c r="P68" s="352">
        <f>P62*24*LOOKUP(P$2,'HDD-by Country'!$A$4:$A$40,'HDD-by Country'!$C$4:$C$40)/1000</f>
        <v>28940.080061876957</v>
      </c>
      <c r="Q68" s="352">
        <f>Q62*24*LOOKUP(Q$2,'HDD-by Country'!$A$4:$A$40,'HDD-by Country'!$C$4:$C$40)/1000</f>
        <v>17182.751815280222</v>
      </c>
      <c r="R68" s="352">
        <f>R62*24*LOOKUP(R$2,'HDD-by Country'!$A$4:$A$40,'HDD-by Country'!$C$4:$C$40)/1000</f>
        <v>27979.618320099322</v>
      </c>
      <c r="S68" s="352">
        <f>S62*24*LOOKUP(S$2,'HDD-by Country'!$A$4:$A$40,'HDD-by Country'!$C$4:$C$40)/1000</f>
        <v>39074.171425711138</v>
      </c>
      <c r="T68" s="352">
        <f>T62*24*LOOKUP(T$2,'HDD-by Country'!$A$4:$A$40,'HDD-by Country'!$C$4:$C$40)/1000</f>
        <v>21551.305833088642</v>
      </c>
      <c r="U68" s="352">
        <f>U62*24*LOOKUP(U$2,'HDD-by Country'!$A$4:$A$40,'HDD-by Country'!$C$4:$C$40)/1000</f>
        <v>28399.930944816377</v>
      </c>
      <c r="V68" s="352">
        <f>V62*24*LOOKUP(V$2,'HDD-by Country'!$A$4:$A$40,'HDD-by Country'!$C$4:$C$40)/1000</f>
        <v>28410.184909897929</v>
      </c>
      <c r="W68" s="352">
        <f>W62*24*LOOKUP(W$2,'HDD-by Country'!$A$4:$A$40,'HDD-by Country'!$C$4:$C$40)/1000</f>
        <v>27132.056105621828</v>
      </c>
      <c r="X68" s="352">
        <f>X62*24*LOOKUP(X$2,'HDD-by Country'!$A$4:$A$40,'HDD-by Country'!$C$4:$C$40)/1000</f>
        <v>31496.499615253979</v>
      </c>
      <c r="Y68" s="352">
        <f>Y62*24*LOOKUP(Y$2,'HDD-by Country'!$A$4:$A$40,'HDD-by Country'!$C$4:$C$40)/1000</f>
        <v>10610.11468914242</v>
      </c>
      <c r="Z68" s="352">
        <f>Z62*24*LOOKUP(Z$2,'HDD-by Country'!$A$4:$A$40,'HDD-by Country'!$C$4:$C$40)/1000</f>
        <v>42208.140533453741</v>
      </c>
      <c r="AA68" s="352">
        <f>AA62*24*LOOKUP(AA$2,'HDD-by Country'!$A$4:$A$40,'HDD-by Country'!$C$4:$C$40)/1000</f>
        <v>21901.531342627466</v>
      </c>
      <c r="AB68" s="352">
        <f>AB62*24*LOOKUP(AB$2,'HDD-by Country'!$A$4:$A$40,'HDD-by Country'!$C$4:$C$40)/1000</f>
        <v>42619.576209587794</v>
      </c>
      <c r="AC68" s="352">
        <f>AC62*24*LOOKUP(AC$2,'HDD-by Country'!$A$4:$A$40,'HDD-by Country'!$C$4:$C$40)/1000</f>
        <v>23048.376045745845</v>
      </c>
      <c r="AD68" s="352">
        <f>AD62*24*LOOKUP(AD$2,'HDD-by Country'!$A$4:$A$40,'HDD-by Country'!$C$4:$C$40)/1000</f>
        <v>31355.334106893111</v>
      </c>
      <c r="AE68" s="352">
        <f>AE62*24*LOOKUP(AE$2,'HDD-by Country'!$A$4:$A$40,'HDD-by Country'!$C$4:$C$40)/1000</f>
        <v>21117.94839342259</v>
      </c>
      <c r="AF68" s="352">
        <f>AF62*24*LOOKUP(AF$2,'HDD-by Country'!$A$4:$A$40,'HDD-by Country'!$C$4:$C$40)/1000</f>
        <v>27934.126061558003</v>
      </c>
      <c r="AG68" s="352">
        <f>AG62*24*LOOKUP(AG$2,'HDD-by Country'!$A$4:$A$40,'HDD-by Country'!$C$4:$C$40)/1000</f>
        <v>41932.34618571576</v>
      </c>
      <c r="AH68" s="352">
        <f>AH62*24*LOOKUP(AH$2,'HDD-by Country'!$A$4:$A$40,'HDD-by Country'!$C$4:$C$40)/1000</f>
        <v>32821.54086453723</v>
      </c>
      <c r="AI68" s="352">
        <f>AI62*24*LOOKUP(AI$2,'HDD-by Country'!$A$4:$A$40,'HDD-by Country'!$C$4:$C$40)/1000</f>
        <v>28940.080061876957</v>
      </c>
      <c r="AJ68" s="352">
        <f>AJ62*24*LOOKUP(AJ$2,'HDD-by Country'!$A$4:$A$40,'HDD-by Country'!$C$4:$C$40)/1000</f>
        <v>20929.312515407808</v>
      </c>
      <c r="AK68" s="352">
        <f>AK62*24*LOOKUP(AK$2,'HDD-by Country'!$A$4:$A$40,'HDD-by Country'!$C$4:$C$40)/1000</f>
        <v>22711.838980756442</v>
      </c>
      <c r="AL68" s="352">
        <f>AL62*24*LOOKUP(AL$2,'HDD-by Country'!$A$4:$A$40,'HDD-by Country'!$C$4:$C$40)/1000</f>
        <v>21141.925648392262</v>
      </c>
      <c r="AM68" s="352">
        <f>AM62*24*LOOKUP(AM$2,'HDD-by Country'!$A$4:$A$40,'HDD-by Country'!$C$4:$C$40)/1000</f>
        <v>19246.085807289797</v>
      </c>
      <c r="AN68" s="353">
        <f>AN62*24*LOOKUP(AN$2,'HDD-by Country'!$A$4:$A$40,'HDD-by Country'!$C$4:$C$40)/1000</f>
        <v>19246.085807289797</v>
      </c>
    </row>
    <row r="69" spans="1:40">
      <c r="A69" s="129"/>
      <c r="B69" s="142" t="s">
        <v>3</v>
      </c>
      <c r="C69" s="129" t="s">
        <v>261</v>
      </c>
      <c r="D69" s="345">
        <f>D63*24*LOOKUP(D$2,'HDD-by Country'!$A$4:$A$40,'HDD-by Country'!$C$4:$C$40)/1000</f>
        <v>36284.014340271482</v>
      </c>
      <c r="E69" s="349">
        <f>E63*24*LOOKUP(E$2,'HDD-by Country'!$A$4:$A$40,'HDD-by Country'!$C$4:$C$40)/1000</f>
        <v>38157.911768248508</v>
      </c>
      <c r="F69" s="349">
        <f>F63*24*LOOKUP(F$2,'HDD-by Country'!$A$4:$A$40,'HDD-by Country'!$C$4:$C$40)/1000</f>
        <v>20018.513922782971</v>
      </c>
      <c r="G69" s="349">
        <f>G63*24*LOOKUP(G$2,'HDD-by Country'!$A$4:$A$40,'HDD-by Country'!$C$4:$C$40)/1000</f>
        <v>35350.010613549326</v>
      </c>
      <c r="H69" s="349">
        <f>H63*24*LOOKUP(H$2,'HDD-by Country'!$A$4:$A$40,'HDD-by Country'!$C$4:$C$40)/1000</f>
        <v>12675.564778373249</v>
      </c>
      <c r="I69" s="349">
        <f>I63*24*LOOKUP(I$2,'HDD-by Country'!$A$4:$A$40,'HDD-by Country'!$C$4:$C$40)/1000</f>
        <v>21599.444839026346</v>
      </c>
      <c r="J69" s="349">
        <f>J63*24*LOOKUP(J$2,'HDD-by Country'!$A$4:$A$40,'HDD-by Country'!$C$4:$C$40)/1000</f>
        <v>35288.878108524928</v>
      </c>
      <c r="K69" s="349">
        <f>K63*24*LOOKUP(K$2,'HDD-by Country'!$A$4:$A$40,'HDD-by Country'!$C$4:$C$40)/1000</f>
        <v>22845.036229888028</v>
      </c>
      <c r="L69" s="349">
        <f>L63*24*LOOKUP(L$2,'HDD-by Country'!$A$4:$A$40,'HDD-by Country'!$C$4:$C$40)/1000</f>
        <v>14887.826339403544</v>
      </c>
      <c r="M69" s="349">
        <f>M63*24*LOOKUP(M$2,'HDD-by Country'!$A$4:$A$40,'HDD-by Country'!$C$4:$C$40)/1000</f>
        <v>29155.595550698614</v>
      </c>
      <c r="N69" s="349">
        <f>N63*24*LOOKUP(N$2,'HDD-by Country'!$A$4:$A$40,'HDD-by Country'!$C$4:$C$40)/1000</f>
        <v>22489.453508573952</v>
      </c>
      <c r="O69" s="349">
        <f>O63*24*LOOKUP(O$2,'HDD-by Country'!$A$4:$A$40,'HDD-by Country'!$C$4:$C$40)/1000</f>
        <v>46201.50938485215</v>
      </c>
      <c r="P69" s="349">
        <f>P63*24*LOOKUP(P$2,'HDD-by Country'!$A$4:$A$40,'HDD-by Country'!$C$4:$C$40)/1000</f>
        <v>28940.080061876957</v>
      </c>
      <c r="Q69" s="349">
        <f>Q63*24*LOOKUP(Q$2,'HDD-by Country'!$A$4:$A$40,'HDD-by Country'!$C$4:$C$40)/1000</f>
        <v>18610.217048627739</v>
      </c>
      <c r="R69" s="349">
        <f>R63*24*LOOKUP(R$2,'HDD-by Country'!$A$4:$A$40,'HDD-by Country'!$C$4:$C$40)/1000</f>
        <v>27979.618320099322</v>
      </c>
      <c r="S69" s="349">
        <f>S63*24*LOOKUP(S$2,'HDD-by Country'!$A$4:$A$40,'HDD-by Country'!$C$4:$C$40)/1000</f>
        <v>39788.221295218376</v>
      </c>
      <c r="T69" s="349">
        <f>T63*24*LOOKUP(T$2,'HDD-by Country'!$A$4:$A$40,'HDD-by Country'!$C$4:$C$40)/1000</f>
        <v>19129.490710882732</v>
      </c>
      <c r="U69" s="349">
        <f>U63*24*LOOKUP(U$2,'HDD-by Country'!$A$4:$A$40,'HDD-by Country'!$C$4:$C$40)/1000</f>
        <v>26463.104100808996</v>
      </c>
      <c r="V69" s="349">
        <f>V63*24*LOOKUP(V$2,'HDD-by Country'!$A$4:$A$40,'HDD-by Country'!$C$4:$C$40)/1000</f>
        <v>28410.184909897929</v>
      </c>
      <c r="W69" s="349">
        <f>W63*24*LOOKUP(W$2,'HDD-by Country'!$A$4:$A$40,'HDD-by Country'!$C$4:$C$40)/1000</f>
        <v>29455.072145344595</v>
      </c>
      <c r="X69" s="349">
        <f>X63*24*LOOKUP(X$2,'HDD-by Country'!$A$4:$A$40,'HDD-by Country'!$C$4:$C$40)/1000</f>
        <v>31496.499615253979</v>
      </c>
      <c r="Y69" s="349">
        <f>Y63*24*LOOKUP(Y$2,'HDD-by Country'!$A$4:$A$40,'HDD-by Country'!$C$4:$C$40)/1000</f>
        <v>10591.719507679823</v>
      </c>
      <c r="Z69" s="349">
        <f>Z63*24*LOOKUP(Z$2,'HDD-by Country'!$A$4:$A$40,'HDD-by Country'!$C$4:$C$40)/1000</f>
        <v>32699.3832150331</v>
      </c>
      <c r="AA69" s="349">
        <f>AA63*24*LOOKUP(AA$2,'HDD-by Country'!$A$4:$A$40,'HDD-by Country'!$C$4:$C$40)/1000</f>
        <v>21901.531342627466</v>
      </c>
      <c r="AB69" s="349">
        <f>AB63*24*LOOKUP(AB$2,'HDD-by Country'!$A$4:$A$40,'HDD-by Country'!$C$4:$C$40)/1000</f>
        <v>29493.68742891922</v>
      </c>
      <c r="AC69" s="349">
        <f>AC63*24*LOOKUP(AC$2,'HDD-by Country'!$A$4:$A$40,'HDD-by Country'!$C$4:$C$40)/1000</f>
        <v>20365.404491888137</v>
      </c>
      <c r="AD69" s="349">
        <f>AD63*24*LOOKUP(AD$2,'HDD-by Country'!$A$4:$A$40,'HDD-by Country'!$C$4:$C$40)/1000</f>
        <v>27945.132443331215</v>
      </c>
      <c r="AE69" s="349">
        <f>AE63*24*LOOKUP(AE$2,'HDD-by Country'!$A$4:$A$40,'HDD-by Country'!$C$4:$C$40)/1000</f>
        <v>21117.94839342259</v>
      </c>
      <c r="AF69" s="349">
        <f>AF63*24*LOOKUP(AF$2,'HDD-by Country'!$A$4:$A$40,'HDD-by Country'!$C$4:$C$40)/1000</f>
        <v>27934.126061558003</v>
      </c>
      <c r="AG69" s="349">
        <f>AG63*24*LOOKUP(AG$2,'HDD-by Country'!$A$4:$A$40,'HDD-by Country'!$C$4:$C$40)/1000</f>
        <v>33869.077748572599</v>
      </c>
      <c r="AH69" s="349">
        <f>AH63*24*LOOKUP(AH$2,'HDD-by Country'!$A$4:$A$40,'HDD-by Country'!$C$4:$C$40)/1000</f>
        <v>35101.067355761072</v>
      </c>
      <c r="AI69" s="349">
        <f>AI63*24*LOOKUP(AI$2,'HDD-by Country'!$A$4:$A$40,'HDD-by Country'!$C$4:$C$40)/1000</f>
        <v>28940.080061876957</v>
      </c>
      <c r="AJ69" s="349">
        <f>AJ63*24*LOOKUP(AJ$2,'HDD-by Country'!$A$4:$A$40,'HDD-by Country'!$C$4:$C$40)/1000</f>
        <v>20929.312515407808</v>
      </c>
      <c r="AK69" s="349">
        <f>AK63*24*LOOKUP(AK$2,'HDD-by Country'!$A$4:$A$40,'HDD-by Country'!$C$4:$C$40)/1000</f>
        <v>22711.838980756442</v>
      </c>
      <c r="AL69" s="349">
        <f>AL63*24*LOOKUP(AL$2,'HDD-by Country'!$A$4:$A$40,'HDD-by Country'!$C$4:$C$40)/1000</f>
        <v>21141.925648392262</v>
      </c>
      <c r="AM69" s="349">
        <f>AM63*24*LOOKUP(AM$2,'HDD-by Country'!$A$4:$A$40,'HDD-by Country'!$C$4:$C$40)/1000</f>
        <v>19246.085807289797</v>
      </c>
      <c r="AN69" s="354">
        <f>AN63*24*LOOKUP(AN$2,'HDD-by Country'!$A$4:$A$40,'HDD-by Country'!$C$4:$C$40)/1000</f>
        <v>19246.085807289797</v>
      </c>
    </row>
    <row r="70" spans="1:40">
      <c r="A70" s="129"/>
      <c r="B70" s="142" t="s">
        <v>4</v>
      </c>
      <c r="C70" s="129" t="s">
        <v>261</v>
      </c>
      <c r="D70" s="345">
        <f>D64*24*LOOKUP(D$2,'HDD-by Country'!$A$4:$A$40,'HDD-by Country'!$C$4:$C$40)/1000</f>
        <v>27370.530439689643</v>
      </c>
      <c r="E70" s="349">
        <f>E64*24*LOOKUP(E$2,'HDD-by Country'!$A$4:$A$40,'HDD-by Country'!$C$4:$C$40)/1000</f>
        <v>38157.911768248508</v>
      </c>
      <c r="F70" s="349">
        <f>F64*24*LOOKUP(F$2,'HDD-by Country'!$A$4:$A$40,'HDD-by Country'!$C$4:$C$40)/1000</f>
        <v>18568.179696968273</v>
      </c>
      <c r="G70" s="349">
        <f>G64*24*LOOKUP(G$2,'HDD-by Country'!$A$4:$A$40,'HDD-by Country'!$C$4:$C$40)/1000</f>
        <v>26665.97285702276</v>
      </c>
      <c r="H70" s="349">
        <f>H64*24*LOOKUP(H$2,'HDD-by Country'!$A$4:$A$40,'HDD-by Country'!$C$4:$C$40)/1000</f>
        <v>11666.194733773895</v>
      </c>
      <c r="I70" s="349">
        <f>I64*24*LOOKUP(I$2,'HDD-by Country'!$A$4:$A$40,'HDD-by Country'!$C$4:$C$40)/1000</f>
        <v>21599.444839026346</v>
      </c>
      <c r="J70" s="349">
        <f>J64*24*LOOKUP(J$2,'HDD-by Country'!$A$4:$A$40,'HDD-by Country'!$C$4:$C$40)/1000</f>
        <v>19644.004829048805</v>
      </c>
      <c r="K70" s="349">
        <f>K64*24*LOOKUP(K$2,'HDD-by Country'!$A$4:$A$40,'HDD-by Country'!$C$4:$C$40)/1000</f>
        <v>13646.002698867809</v>
      </c>
      <c r="L70" s="349">
        <f>L64*24*LOOKUP(L$2,'HDD-by Country'!$A$4:$A$40,'HDD-by Country'!$C$4:$C$40)/1000</f>
        <v>11372.54806456038</v>
      </c>
      <c r="M70" s="349">
        <f>M64*24*LOOKUP(M$2,'HDD-by Country'!$A$4:$A$40,'HDD-by Country'!$C$4:$C$40)/1000</f>
        <v>29155.595550698614</v>
      </c>
      <c r="N70" s="349">
        <f>N64*24*LOOKUP(N$2,'HDD-by Country'!$A$4:$A$40,'HDD-by Country'!$C$4:$C$40)/1000</f>
        <v>17556.324304191876</v>
      </c>
      <c r="O70" s="349">
        <f>O64*24*LOOKUP(O$2,'HDD-by Country'!$A$4:$A$40,'HDD-by Country'!$C$4:$C$40)/1000</f>
        <v>17649.959615443149</v>
      </c>
      <c r="P70" s="349">
        <f>P64*24*LOOKUP(P$2,'HDD-by Country'!$A$4:$A$40,'HDD-by Country'!$C$4:$C$40)/1000</f>
        <v>28940.080061876957</v>
      </c>
      <c r="Q70" s="349">
        <f>Q64*24*LOOKUP(Q$2,'HDD-by Country'!$A$4:$A$40,'HDD-by Country'!$C$4:$C$40)/1000</f>
        <v>17238.958848456048</v>
      </c>
      <c r="R70" s="349">
        <f>R64*24*LOOKUP(R$2,'HDD-by Country'!$A$4:$A$40,'HDD-by Country'!$C$4:$C$40)/1000</f>
        <v>23472.117313030834</v>
      </c>
      <c r="S70" s="349">
        <f>S64*24*LOOKUP(S$2,'HDD-by Country'!$A$4:$A$40,'HDD-by Country'!$C$4:$C$40)/1000</f>
        <v>32774.135430403927</v>
      </c>
      <c r="T70" s="349">
        <f>T64*24*LOOKUP(T$2,'HDD-by Country'!$A$4:$A$40,'HDD-by Country'!$C$4:$C$40)/1000</f>
        <v>14933.379442334834</v>
      </c>
      <c r="U70" s="349">
        <f>U64*24*LOOKUP(U$2,'HDD-by Country'!$A$4:$A$40,'HDD-by Country'!$C$4:$C$40)/1000</f>
        <v>25271.198517058998</v>
      </c>
      <c r="V70" s="349">
        <f>V64*24*LOOKUP(V$2,'HDD-by Country'!$A$4:$A$40,'HDD-by Country'!$C$4:$C$40)/1000</f>
        <v>16758.055344249522</v>
      </c>
      <c r="W70" s="349">
        <f>W64*24*LOOKUP(W$2,'HDD-by Country'!$A$4:$A$40,'HDD-by Country'!$C$4:$C$40)/1000</f>
        <v>13791.029709394092</v>
      </c>
      <c r="X70" s="349">
        <f>X64*24*LOOKUP(X$2,'HDD-by Country'!$A$4:$A$40,'HDD-by Country'!$C$4:$C$40)/1000</f>
        <v>28610.938453728584</v>
      </c>
      <c r="Y70" s="349">
        <f>Y64*24*LOOKUP(Y$2,'HDD-by Country'!$A$4:$A$40,'HDD-by Country'!$C$4:$C$40)/1000</f>
        <v>8374.2246181701739</v>
      </c>
      <c r="Z70" s="349">
        <f>Z64*24*LOOKUP(Z$2,'HDD-by Country'!$A$4:$A$40,'HDD-by Country'!$C$4:$C$40)/1000</f>
        <v>31369.286357929323</v>
      </c>
      <c r="AA70" s="349">
        <f>AA64*24*LOOKUP(AA$2,'HDD-by Country'!$A$4:$A$40,'HDD-by Country'!$C$4:$C$40)/1000</f>
        <v>12906.49169931639</v>
      </c>
      <c r="AB70" s="349">
        <f>AB64*24*LOOKUP(AB$2,'HDD-by Country'!$A$4:$A$40,'HDD-by Country'!$C$4:$C$40)/1000</f>
        <v>19564.223608627653</v>
      </c>
      <c r="AC70" s="349">
        <f>AC64*24*LOOKUP(AC$2,'HDD-by Country'!$A$4:$A$40,'HDD-by Country'!$C$4:$C$40)/1000</f>
        <v>19896.743938675532</v>
      </c>
      <c r="AD70" s="349">
        <f>AD64*24*LOOKUP(AD$2,'HDD-by Country'!$A$4:$A$40,'HDD-by Country'!$C$4:$C$40)/1000</f>
        <v>27945.132443331215</v>
      </c>
      <c r="AE70" s="349">
        <f>AE64*24*LOOKUP(AE$2,'HDD-by Country'!$A$4:$A$40,'HDD-by Country'!$C$4:$C$40)/1000</f>
        <v>12444.7291553451</v>
      </c>
      <c r="AF70" s="349">
        <f>AF64*24*LOOKUP(AF$2,'HDD-by Country'!$A$4:$A$40,'HDD-by Country'!$C$4:$C$40)/1000</f>
        <v>25638.015392510006</v>
      </c>
      <c r="AG70" s="349">
        <f>AG64*24*LOOKUP(AG$2,'HDD-by Country'!$A$4:$A$40,'HDD-by Country'!$C$4:$C$40)/1000</f>
        <v>33869.077748572599</v>
      </c>
      <c r="AH70" s="349">
        <f>AH64*24*LOOKUP(AH$2,'HDD-by Country'!$A$4:$A$40,'HDD-by Country'!$C$4:$C$40)/1000</f>
        <v>25960.246222921622</v>
      </c>
      <c r="AI70" s="349">
        <f>AI64*24*LOOKUP(AI$2,'HDD-by Country'!$A$4:$A$40,'HDD-by Country'!$C$4:$C$40)/1000</f>
        <v>28940.080061876957</v>
      </c>
      <c r="AJ70" s="349">
        <f>AJ64*24*LOOKUP(AJ$2,'HDD-by Country'!$A$4:$A$40,'HDD-by Country'!$C$4:$C$40)/1000</f>
        <v>20929.312515407808</v>
      </c>
      <c r="AK70" s="349">
        <f>AK64*24*LOOKUP(AK$2,'HDD-by Country'!$A$4:$A$40,'HDD-by Country'!$C$4:$C$40)/1000</f>
        <v>22711.838980756442</v>
      </c>
      <c r="AL70" s="349">
        <f>AL64*24*LOOKUP(AL$2,'HDD-by Country'!$A$4:$A$40,'HDD-by Country'!$C$4:$C$40)/1000</f>
        <v>19603.646308495325</v>
      </c>
      <c r="AM70" s="349">
        <f>AM64*24*LOOKUP(AM$2,'HDD-by Country'!$A$4:$A$40,'HDD-by Country'!$C$4:$C$40)/1000</f>
        <v>19246.085807289797</v>
      </c>
      <c r="AN70" s="354">
        <f>AN64*24*LOOKUP(AN$2,'HDD-by Country'!$A$4:$A$40,'HDD-by Country'!$C$4:$C$40)/1000</f>
        <v>19246.085807289797</v>
      </c>
    </row>
    <row r="71" spans="1:40">
      <c r="A71" s="129"/>
      <c r="B71" s="142" t="s">
        <v>5</v>
      </c>
      <c r="C71" s="129" t="s">
        <v>261</v>
      </c>
      <c r="D71" s="345">
        <f>D65*24*LOOKUP(D$2,'HDD-by Country'!$A$4:$A$40,'HDD-by Country'!$C$4:$C$40)/1000</f>
        <v>17651.132116613891</v>
      </c>
      <c r="E71" s="349">
        <f>E65*24*LOOKUP(E$2,'HDD-by Country'!$A$4:$A$40,'HDD-by Country'!$C$4:$C$40)/1000</f>
        <v>31197.823477135556</v>
      </c>
      <c r="F71" s="349">
        <f>F65*24*LOOKUP(F$2,'HDD-by Country'!$A$4:$A$40,'HDD-by Country'!$C$4:$C$40)/1000</f>
        <v>15276.31473695768</v>
      </c>
      <c r="G71" s="349">
        <f>G65*24*LOOKUP(G$2,'HDD-by Country'!$A$4:$A$40,'HDD-by Country'!$C$4:$C$40)/1000</f>
        <v>17196.766096824165</v>
      </c>
      <c r="H71" s="349">
        <f>H65*24*LOOKUP(H$2,'HDD-by Country'!$A$4:$A$40,'HDD-by Country'!$C$4:$C$40)/1000</f>
        <v>11215.394891296295</v>
      </c>
      <c r="I71" s="349">
        <f>I65*24*LOOKUP(I$2,'HDD-by Country'!$A$4:$A$40,'HDD-by Country'!$C$4:$C$40)/1000</f>
        <v>18546.810783820201</v>
      </c>
      <c r="J71" s="349">
        <f>J65*24*LOOKUP(J$2,'HDD-by Country'!$A$4:$A$40,'HDD-by Country'!$C$4:$C$40)/1000</f>
        <v>14719.097698789607</v>
      </c>
      <c r="K71" s="349">
        <f>K65*24*LOOKUP(K$2,'HDD-by Country'!$A$4:$A$40,'HDD-by Country'!$C$4:$C$40)/1000</f>
        <v>10679.21351676272</v>
      </c>
      <c r="L71" s="349">
        <f>L65*24*LOOKUP(L$2,'HDD-by Country'!$A$4:$A$40,'HDD-by Country'!$C$4:$C$40)/1000</f>
        <v>8956.6865340562381</v>
      </c>
      <c r="M71" s="349">
        <f>M65*24*LOOKUP(M$2,'HDD-by Country'!$A$4:$A$40,'HDD-by Country'!$C$4:$C$40)/1000</f>
        <v>18672.371979406798</v>
      </c>
      <c r="N71" s="349">
        <f>N65*24*LOOKUP(N$2,'HDD-by Country'!$A$4:$A$40,'HDD-by Country'!$C$4:$C$40)/1000</f>
        <v>13974.975998783171</v>
      </c>
      <c r="O71" s="349">
        <f>O65*24*LOOKUP(O$2,'HDD-by Country'!$A$4:$A$40,'HDD-by Country'!$C$4:$C$40)/1000</f>
        <v>14679.893227421211</v>
      </c>
      <c r="P71" s="349">
        <f>P65*24*LOOKUP(P$2,'HDD-by Country'!$A$4:$A$40,'HDD-by Country'!$C$4:$C$40)/1000</f>
        <v>27981.409808628552</v>
      </c>
      <c r="Q71" s="349">
        <f>Q65*24*LOOKUP(Q$2,'HDD-by Country'!$A$4:$A$40,'HDD-by Country'!$C$4:$C$40)/1000</f>
        <v>17238.958848456048</v>
      </c>
      <c r="R71" s="349">
        <f>R65*24*LOOKUP(R$2,'HDD-by Country'!$A$4:$A$40,'HDD-by Country'!$C$4:$C$40)/1000</f>
        <v>15959.615634583359</v>
      </c>
      <c r="S71" s="349">
        <f>S65*24*LOOKUP(S$2,'HDD-by Country'!$A$4:$A$40,'HDD-by Country'!$C$4:$C$40)/1000</f>
        <v>19698.871699959251</v>
      </c>
      <c r="T71" s="349">
        <f>T65*24*LOOKUP(T$2,'HDD-by Country'!$A$4:$A$40,'HDD-by Country'!$C$4:$C$40)/1000</f>
        <v>11887.090695717105</v>
      </c>
      <c r="U71" s="349">
        <f>U65*24*LOOKUP(U$2,'HDD-by Country'!$A$4:$A$40,'HDD-by Country'!$C$4:$C$40)/1000</f>
        <v>19120.173532536875</v>
      </c>
      <c r="V71" s="349">
        <f>V65*24*LOOKUP(V$2,'HDD-by Country'!$A$4:$A$40,'HDD-by Country'!$C$4:$C$40)/1000</f>
        <v>16758.055344249522</v>
      </c>
      <c r="W71" s="349">
        <f>W65*24*LOOKUP(W$2,'HDD-by Country'!$A$4:$A$40,'HDD-by Country'!$C$4:$C$40)/1000</f>
        <v>12154.181662987397</v>
      </c>
      <c r="X71" s="349">
        <f>X65*24*LOOKUP(X$2,'HDD-by Country'!$A$4:$A$40,'HDD-by Country'!$C$4:$C$40)/1000</f>
        <v>15134.08980762699</v>
      </c>
      <c r="Y71" s="349">
        <f>Y65*24*LOOKUP(Y$2,'HDD-by Country'!$A$4:$A$40,'HDD-by Country'!$C$4:$C$40)/1000</f>
        <v>7502.3324263701752</v>
      </c>
      <c r="Z71" s="349">
        <f>Z65*24*LOOKUP(Z$2,'HDD-by Country'!$A$4:$A$40,'HDD-by Country'!$C$4:$C$40)/1000</f>
        <v>16926.419218902953</v>
      </c>
      <c r="AA71" s="349">
        <f>AA65*24*LOOKUP(AA$2,'HDD-by Country'!$A$4:$A$40,'HDD-by Country'!$C$4:$C$40)/1000</f>
        <v>12906.49169931639</v>
      </c>
      <c r="AB71" s="349">
        <f>AB65*24*LOOKUP(AB$2,'HDD-by Country'!$A$4:$A$40,'HDD-by Country'!$C$4:$C$40)/1000</f>
        <v>19564.223608627653</v>
      </c>
      <c r="AC71" s="349">
        <f>AC65*24*LOOKUP(AC$2,'HDD-by Country'!$A$4:$A$40,'HDD-by Country'!$C$4:$C$40)/1000</f>
        <v>19125.81935129769</v>
      </c>
      <c r="AD71" s="349">
        <f>AD65*24*LOOKUP(AD$2,'HDD-by Country'!$A$4:$A$40,'HDD-by Country'!$C$4:$C$40)/1000</f>
        <v>22914.696042596661</v>
      </c>
      <c r="AE71" s="349">
        <f>AE65*24*LOOKUP(AE$2,'HDD-by Country'!$A$4:$A$40,'HDD-by Country'!$C$4:$C$40)/1000</f>
        <v>12444.7291553451</v>
      </c>
      <c r="AF71" s="349">
        <f>AF65*24*LOOKUP(AF$2,'HDD-by Country'!$A$4:$A$40,'HDD-by Country'!$C$4:$C$40)/1000</f>
        <v>19025.566487770375</v>
      </c>
      <c r="AG71" s="349">
        <f>AG65*24*LOOKUP(AG$2,'HDD-by Country'!$A$4:$A$40,'HDD-by Country'!$C$4:$C$40)/1000</f>
        <v>28667.878805226836</v>
      </c>
      <c r="AH71" s="349">
        <f>AH65*24*LOOKUP(AH$2,'HDD-by Country'!$A$4:$A$40,'HDD-by Country'!$C$4:$C$40)/1000</f>
        <v>12380.092987880069</v>
      </c>
      <c r="AI71" s="349">
        <f>AI65*24*LOOKUP(AI$2,'HDD-by Country'!$A$4:$A$40,'HDD-by Country'!$C$4:$C$40)/1000</f>
        <v>27981.409808628552</v>
      </c>
      <c r="AJ71" s="349">
        <f>AJ65*24*LOOKUP(AJ$2,'HDD-by Country'!$A$4:$A$40,'HDD-by Country'!$C$4:$C$40)/1000</f>
        <v>17304.517656315937</v>
      </c>
      <c r="AK71" s="349">
        <f>AK65*24*LOOKUP(AK$2,'HDD-by Country'!$A$4:$A$40,'HDD-by Country'!$C$4:$C$40)/1000</f>
        <v>18707.495802164533</v>
      </c>
      <c r="AL71" s="349">
        <f>AL65*24*LOOKUP(AL$2,'HDD-by Country'!$A$4:$A$40,'HDD-by Country'!$C$4:$C$40)/1000</f>
        <v>16116.511833153947</v>
      </c>
      <c r="AM71" s="349">
        <f>AM65*24*LOOKUP(AM$2,'HDD-by Country'!$A$4:$A$40,'HDD-by Country'!$C$4:$C$40)/1000</f>
        <v>15912.812779781289</v>
      </c>
      <c r="AN71" s="354">
        <f>AN65*24*LOOKUP(AN$2,'HDD-by Country'!$A$4:$A$40,'HDD-by Country'!$C$4:$C$40)/1000</f>
        <v>15912.812779781289</v>
      </c>
    </row>
    <row r="72" spans="1:40">
      <c r="A72" s="129"/>
      <c r="B72" s="142" t="s">
        <v>6</v>
      </c>
      <c r="C72" s="129" t="s">
        <v>261</v>
      </c>
      <c r="D72" s="345">
        <f>D66*24*LOOKUP(D$2,'HDD-by Country'!$A$4:$A$40,'HDD-by Country'!$C$4:$C$40)/1000</f>
        <v>14690.217003376074</v>
      </c>
      <c r="E72" s="349">
        <f>E66*24*LOOKUP(E$2,'HDD-by Country'!$A$4:$A$40,'HDD-by Country'!$C$4:$C$40)/1000</f>
        <v>31197.823477135556</v>
      </c>
      <c r="F72" s="349">
        <f>F66*24*LOOKUP(F$2,'HDD-by Country'!$A$4:$A$40,'HDD-by Country'!$C$4:$C$40)/1000</f>
        <v>11183.538313877474</v>
      </c>
      <c r="G72" s="349">
        <f>G66*24*LOOKUP(G$2,'HDD-by Country'!$A$4:$A$40,'HDD-by Country'!$C$4:$C$40)/1000</f>
        <v>14312.069279730133</v>
      </c>
      <c r="H72" s="349">
        <f>H66*24*LOOKUP(H$2,'HDD-by Country'!$A$4:$A$40,'HDD-by Country'!$C$4:$C$40)/1000</f>
        <v>11215.394891296295</v>
      </c>
      <c r="I72" s="349">
        <f>I66*24*LOOKUP(I$2,'HDD-by Country'!$A$4:$A$40,'HDD-by Country'!$C$4:$C$40)/1000</f>
        <v>13161.653447116247</v>
      </c>
      <c r="J72" s="349">
        <f>J66*24*LOOKUP(J$2,'HDD-by Country'!$A$4:$A$40,'HDD-by Country'!$C$4:$C$40)/1000</f>
        <v>8154.583466437919</v>
      </c>
      <c r="K72" s="349">
        <f>K66*24*LOOKUP(K$2,'HDD-by Country'!$A$4:$A$40,'HDD-by Country'!$C$4:$C$40)/1000</f>
        <v>10679.21351676272</v>
      </c>
      <c r="L72" s="349">
        <f>L66*24*LOOKUP(L$2,'HDD-by Country'!$A$4:$A$40,'HDD-by Country'!$C$4:$C$40)/1000</f>
        <v>7655.9662544401226</v>
      </c>
      <c r="M72" s="349">
        <f>M66*24*LOOKUP(M$2,'HDD-by Country'!$A$4:$A$40,'HDD-by Country'!$C$4:$C$40)/1000</f>
        <v>18672.371979406798</v>
      </c>
      <c r="N72" s="349">
        <f>N66*24*LOOKUP(N$2,'HDD-by Country'!$A$4:$A$40,'HDD-by Country'!$C$4:$C$40)/1000</f>
        <v>13730.793941786977</v>
      </c>
      <c r="O72" s="349">
        <f>O66*24*LOOKUP(O$2,'HDD-by Country'!$A$4:$A$40,'HDD-by Country'!$C$4:$C$40)/1000</f>
        <v>7975.4774659626464</v>
      </c>
      <c r="P72" s="349">
        <f>P66*24*LOOKUP(P$2,'HDD-by Country'!$A$4:$A$40,'HDD-by Country'!$C$4:$C$40)/1000</f>
        <v>27981.409808628552</v>
      </c>
      <c r="Q72" s="349">
        <f>Q66*24*LOOKUP(Q$2,'HDD-by Country'!$A$4:$A$40,'HDD-by Country'!$C$4:$C$40)/1000</f>
        <v>11562.53202099382</v>
      </c>
      <c r="R72" s="349">
        <f>R66*24*LOOKUP(R$2,'HDD-by Country'!$A$4:$A$40,'HDD-by Country'!$C$4:$C$40)/1000</f>
        <v>15959.615634583359</v>
      </c>
      <c r="S72" s="349">
        <f>S66*24*LOOKUP(S$2,'HDD-by Country'!$A$4:$A$40,'HDD-by Country'!$C$4:$C$40)/1000</f>
        <v>15713.040198517585</v>
      </c>
      <c r="T72" s="349">
        <f>T66*24*LOOKUP(T$2,'HDD-by Country'!$A$4:$A$40,'HDD-by Country'!$C$4:$C$40)/1000</f>
        <v>11679.389855441368</v>
      </c>
      <c r="U72" s="349">
        <f>U66*24*LOOKUP(U$2,'HDD-by Country'!$A$4:$A$40,'HDD-by Country'!$C$4:$C$40)/1000</f>
        <v>17241.872833906349</v>
      </c>
      <c r="V72" s="349">
        <f>V66*24*LOOKUP(V$2,'HDD-by Country'!$A$4:$A$40,'HDD-by Country'!$C$4:$C$40)/1000</f>
        <v>16758.055344249522</v>
      </c>
      <c r="W72" s="349">
        <f>W66*24*LOOKUP(W$2,'HDD-by Country'!$A$4:$A$40,'HDD-by Country'!$C$4:$C$40)/1000</f>
        <v>10482.181756284852</v>
      </c>
      <c r="X72" s="349">
        <f>X66*24*LOOKUP(X$2,'HDD-by Country'!$A$4:$A$40,'HDD-by Country'!$C$4:$C$40)/1000</f>
        <v>14811.65580762699</v>
      </c>
      <c r="Y72" s="349">
        <f>Y66*24*LOOKUP(Y$2,'HDD-by Country'!$A$4:$A$40,'HDD-by Country'!$C$4:$C$40)/1000</f>
        <v>7336.6729099281747</v>
      </c>
      <c r="Z72" s="349">
        <f>Z66*24*LOOKUP(Z$2,'HDD-by Country'!$A$4:$A$40,'HDD-by Country'!$C$4:$C$40)/1000</f>
        <v>15159.875869122608</v>
      </c>
      <c r="AA72" s="349">
        <f>AA66*24*LOOKUP(AA$2,'HDD-by Country'!$A$4:$A$40,'HDD-by Country'!$C$4:$C$40)/1000</f>
        <v>10848.6678105478</v>
      </c>
      <c r="AB72" s="349">
        <f>AB66*24*LOOKUP(AB$2,'HDD-by Country'!$A$4:$A$40,'HDD-by Country'!$C$4:$C$40)/1000</f>
        <v>19564.223608627653</v>
      </c>
      <c r="AC72" s="349">
        <f>AC66*24*LOOKUP(AC$2,'HDD-by Country'!$A$4:$A$40,'HDD-by Country'!$C$4:$C$40)/1000</f>
        <v>17349.639899935708</v>
      </c>
      <c r="AD72" s="349">
        <f>AD66*24*LOOKUP(AD$2,'HDD-by Country'!$A$4:$A$40,'HDD-by Country'!$C$4:$C$40)/1000</f>
        <v>22914.696042596661</v>
      </c>
      <c r="AE72" s="349">
        <f>AE66*24*LOOKUP(AE$2,'HDD-by Country'!$A$4:$A$40,'HDD-by Country'!$C$4:$C$40)/1000</f>
        <v>10460.529146408473</v>
      </c>
      <c r="AF72" s="349">
        <f>AF66*24*LOOKUP(AF$2,'HDD-by Country'!$A$4:$A$40,'HDD-by Country'!$C$4:$C$40)/1000</f>
        <v>12624.219835735716</v>
      </c>
      <c r="AG72" s="349">
        <f>AG66*24*LOOKUP(AG$2,'HDD-by Country'!$A$4:$A$40,'HDD-by Country'!$C$4:$C$40)/1000</f>
        <v>25530.23853973284</v>
      </c>
      <c r="AH72" s="349">
        <f>AH66*24*LOOKUP(AH$2,'HDD-by Country'!$A$4:$A$40,'HDD-by Country'!$C$4:$C$40)/1000</f>
        <v>9765.7615090372474</v>
      </c>
      <c r="AI72" s="349">
        <f>AI66*24*LOOKUP(AI$2,'HDD-by Country'!$A$4:$A$40,'HDD-by Country'!$C$4:$C$40)/1000</f>
        <v>27981.409808628552</v>
      </c>
      <c r="AJ72" s="349">
        <f>AJ66*24*LOOKUP(AJ$2,'HDD-by Country'!$A$4:$A$40,'HDD-by Country'!$C$4:$C$40)/1000</f>
        <v>15936.876412571943</v>
      </c>
      <c r="AK72" s="349">
        <f>AK66*24*LOOKUP(AK$2,'HDD-by Country'!$A$4:$A$40,'HDD-by Country'!$C$4:$C$40)/1000</f>
        <v>17202.994673221259</v>
      </c>
      <c r="AL72" s="349">
        <f>AL66*24*LOOKUP(AL$2,'HDD-by Country'!$A$4:$A$40,'HDD-by Country'!$C$4:$C$40)/1000</f>
        <v>11756.93337214938</v>
      </c>
      <c r="AM72" s="349">
        <f>AM66*24*LOOKUP(AM$2,'HDD-by Country'!$A$4:$A$40,'HDD-by Country'!$C$4:$C$40)/1000</f>
        <v>14655.163217173445</v>
      </c>
      <c r="AN72" s="354">
        <f>AN66*24*LOOKUP(AN$2,'HDD-by Country'!$A$4:$A$40,'HDD-by Country'!$C$4:$C$40)/1000</f>
        <v>14655.163217173445</v>
      </c>
    </row>
    <row r="73" spans="1:40">
      <c r="A73" s="130"/>
      <c r="B73" s="142" t="s">
        <v>7</v>
      </c>
      <c r="C73" s="129" t="s">
        <v>261</v>
      </c>
      <c r="D73" s="345">
        <f>D67*24*LOOKUP(D$2,'HDD-by Country'!$A$4:$A$40,'HDD-by Country'!$C$4:$C$40)/1000</f>
        <v>12713.915368913464</v>
      </c>
      <c r="E73" s="349">
        <f>E67*24*LOOKUP(E$2,'HDD-by Country'!$A$4:$A$40,'HDD-by Country'!$C$4:$C$40)/1000</f>
        <v>16544.449192078959</v>
      </c>
      <c r="F73" s="349">
        <f>F67*24*LOOKUP(F$2,'HDD-by Country'!$A$4:$A$40,'HDD-by Country'!$C$4:$C$40)/1000</f>
        <v>6736.2130820815537</v>
      </c>
      <c r="G73" s="349">
        <f>G67*24*LOOKUP(G$2,'HDD-by Country'!$A$4:$A$40,'HDD-by Country'!$C$4:$C$40)/1000</f>
        <v>12386.640546882116</v>
      </c>
      <c r="H73" s="349">
        <f>H67*24*LOOKUP(H$2,'HDD-by Country'!$A$4:$A$40,'HDD-by Country'!$C$4:$C$40)/1000</f>
        <v>8936.2399206984373</v>
      </c>
      <c r="I73" s="349">
        <f>I67*24*LOOKUP(I$2,'HDD-by Country'!$A$4:$A$40,'HDD-by Country'!$C$4:$C$40)/1000</f>
        <v>10575.524048209663</v>
      </c>
      <c r="J73" s="349">
        <f>J67*24*LOOKUP(J$2,'HDD-by Country'!$A$4:$A$40,'HDD-by Country'!$C$4:$C$40)/1000</f>
        <v>9115.9192814157032</v>
      </c>
      <c r="K73" s="349">
        <f>K67*24*LOOKUP(K$2,'HDD-by Country'!$A$4:$A$40,'HDD-by Country'!$C$4:$C$40)/1000</f>
        <v>7668.6491437562381</v>
      </c>
      <c r="L73" s="349">
        <f>L67*24*LOOKUP(L$2,'HDD-by Country'!$A$4:$A$40,'HDD-by Country'!$C$4:$C$40)/1000</f>
        <v>7655.9662544401226</v>
      </c>
      <c r="M73" s="349">
        <f>M67*24*LOOKUP(M$2,'HDD-by Country'!$A$4:$A$40,'HDD-by Country'!$C$4:$C$40)/1000</f>
        <v>10861.794623282702</v>
      </c>
      <c r="N73" s="349">
        <f>N67*24*LOOKUP(N$2,'HDD-by Country'!$A$4:$A$40,'HDD-by Country'!$C$4:$C$40)/1000</f>
        <v>12530.632276302193</v>
      </c>
      <c r="O73" s="349">
        <f>O67*24*LOOKUP(O$2,'HDD-by Country'!$A$4:$A$40,'HDD-by Country'!$C$4:$C$40)/1000</f>
        <v>7716.502584995329</v>
      </c>
      <c r="P73" s="349">
        <f>P67*24*LOOKUP(P$2,'HDD-by Country'!$A$4:$A$40,'HDD-by Country'!$C$4:$C$40)/1000</f>
        <v>7588.229126959207</v>
      </c>
      <c r="Q73" s="349">
        <f>Q67*24*LOOKUP(Q$2,'HDD-by Country'!$A$4:$A$40,'HDD-by Country'!$C$4:$C$40)/1000</f>
        <v>6552.513777809083</v>
      </c>
      <c r="R73" s="349">
        <f>R67*24*LOOKUP(R$2,'HDD-by Country'!$A$4:$A$40,'HDD-by Country'!$C$4:$C$40)/1000</f>
        <v>9414.8059851364287</v>
      </c>
      <c r="S73" s="349">
        <f>S67*24*LOOKUP(S$2,'HDD-by Country'!$A$4:$A$40,'HDD-by Country'!$C$4:$C$40)/1000</f>
        <v>8682.3485663846495</v>
      </c>
      <c r="T73" s="349">
        <f>T67*24*LOOKUP(T$2,'HDD-by Country'!$A$4:$A$40,'HDD-by Country'!$C$4:$C$40)/1000</f>
        <v>10658.534394338412</v>
      </c>
      <c r="U73" s="349">
        <f>U67*24*LOOKUP(U$2,'HDD-by Country'!$A$4:$A$40,'HDD-by Country'!$C$4:$C$40)/1000</f>
        <v>17241.872833906349</v>
      </c>
      <c r="V73" s="349">
        <f>V67*24*LOOKUP(V$2,'HDD-by Country'!$A$4:$A$40,'HDD-by Country'!$C$4:$C$40)/1000</f>
        <v>8295.8595572022241</v>
      </c>
      <c r="W73" s="349">
        <f>W67*24*LOOKUP(W$2,'HDD-by Country'!$A$4:$A$40,'HDD-by Country'!$C$4:$C$40)/1000</f>
        <v>8357.2590554091039</v>
      </c>
      <c r="X73" s="349">
        <f>X67*24*LOOKUP(X$2,'HDD-by Country'!$A$4:$A$40,'HDD-by Country'!$C$4:$C$40)/1000</f>
        <v>7963.8716907457156</v>
      </c>
      <c r="Y73" s="349">
        <f>Y67*24*LOOKUP(Y$2,'HDD-by Country'!$A$4:$A$40,'HDD-by Country'!$C$4:$C$40)/1000</f>
        <v>6905.3968855137582</v>
      </c>
      <c r="Z73" s="349">
        <f>Z67*24*LOOKUP(Z$2,'HDD-by Country'!$A$4:$A$40,'HDD-by Country'!$C$4:$C$40)/1000</f>
        <v>10415.022994623703</v>
      </c>
      <c r="AA73" s="349">
        <f>AA67*24*LOOKUP(AA$2,'HDD-by Country'!$A$4:$A$40,'HDD-by Country'!$C$4:$C$40)/1000</f>
        <v>10848.6678105478</v>
      </c>
      <c r="AB73" s="349">
        <f>AB67*24*LOOKUP(AB$2,'HDD-by Country'!$A$4:$A$40,'HDD-by Country'!$C$4:$C$40)/1000</f>
        <v>14032.26845204092</v>
      </c>
      <c r="AC73" s="349">
        <f>AC67*24*LOOKUP(AC$2,'HDD-by Country'!$A$4:$A$40,'HDD-by Country'!$C$4:$C$40)/1000</f>
        <v>10789.18984321373</v>
      </c>
      <c r="AD73" s="349">
        <f>AD67*24*LOOKUP(AD$2,'HDD-by Country'!$A$4:$A$40,'HDD-by Country'!$C$4:$C$40)/1000</f>
        <v>18242.253027139959</v>
      </c>
      <c r="AE73" s="349">
        <f>AE67*24*LOOKUP(AE$2,'HDD-by Country'!$A$4:$A$40,'HDD-by Country'!$C$4:$C$40)/1000</f>
        <v>10460.529146408473</v>
      </c>
      <c r="AF73" s="349">
        <f>AF67*24*LOOKUP(AF$2,'HDD-by Country'!$A$4:$A$40,'HDD-by Country'!$C$4:$C$40)/1000</f>
        <v>6454.3351320258425</v>
      </c>
      <c r="AG73" s="349">
        <f>AG67*24*LOOKUP(AG$2,'HDD-by Country'!$A$4:$A$40,'HDD-by Country'!$C$4:$C$40)/1000</f>
        <v>14363.171636068762</v>
      </c>
      <c r="AH73" s="349">
        <f>AH67*24*LOOKUP(AH$2,'HDD-by Country'!$A$4:$A$40,'HDD-by Country'!$C$4:$C$40)/1000</f>
        <v>7935.1329768076084</v>
      </c>
      <c r="AI73" s="349">
        <f>AI67*24*LOOKUP(AI$2,'HDD-by Country'!$A$4:$A$40,'HDD-by Country'!$C$4:$C$40)/1000</f>
        <v>7588.229126959207</v>
      </c>
      <c r="AJ73" s="349">
        <f>AJ67*24*LOOKUP(AJ$2,'HDD-by Country'!$A$4:$A$40,'HDD-by Country'!$C$4:$C$40)/1000</f>
        <v>13676.267193695974</v>
      </c>
      <c r="AK73" s="349">
        <f>AK67*24*LOOKUP(AK$2,'HDD-by Country'!$A$4:$A$40,'HDD-by Country'!$C$4:$C$40)/1000</f>
        <v>14754.970160489462</v>
      </c>
      <c r="AL73" s="349">
        <f>AL67*24*LOOKUP(AL$2,'HDD-by Country'!$A$4:$A$40,'HDD-by Country'!$C$4:$C$40)/1000</f>
        <v>7075.3994435555778</v>
      </c>
      <c r="AM73" s="349">
        <f>AM67*24*LOOKUP(AM$2,'HDD-by Country'!$A$4:$A$40,'HDD-by Country'!$C$4:$C$40)/1000</f>
        <v>12576.362063470595</v>
      </c>
      <c r="AN73" s="354">
        <f>AN67*24*LOOKUP(AN$2,'HDD-by Country'!$A$4:$A$40,'HDD-by Country'!$C$4:$C$40)/1000</f>
        <v>12576.362063470595</v>
      </c>
    </row>
    <row r="74" spans="1:40">
      <c r="A74" s="151" t="s">
        <v>260</v>
      </c>
      <c r="B74" s="141" t="s">
        <v>2</v>
      </c>
      <c r="C74" s="360" t="s">
        <v>261</v>
      </c>
      <c r="D74" s="351">
        <f>D68/(1.355*(D62/D$17)^0.16)</f>
        <v>29291.418269256588</v>
      </c>
      <c r="E74" s="352">
        <f t="shared" ref="E74:AN74" si="30">E68/(1.355*(E62/E$17)^0.16)</f>
        <v>27016.713526165182</v>
      </c>
      <c r="F74" s="352">
        <f t="shared" si="30"/>
        <v>14164.035404892107</v>
      </c>
      <c r="G74" s="352">
        <f t="shared" si="30"/>
        <v>28537.414217557765</v>
      </c>
      <c r="H74" s="352">
        <f t="shared" si="30"/>
        <v>8952.1286610118004</v>
      </c>
      <c r="I74" s="352">
        <f t="shared" si="30"/>
        <v>20500.763023939813</v>
      </c>
      <c r="J74" s="352">
        <f t="shared" si="30"/>
        <v>28928.603533351608</v>
      </c>
      <c r="K74" s="352">
        <f t="shared" si="30"/>
        <v>19182.223380008352</v>
      </c>
      <c r="L74" s="352">
        <f t="shared" si="30"/>
        <v>12546.435736490783</v>
      </c>
      <c r="M74" s="352">
        <f t="shared" si="30"/>
        <v>22354.007111310315</v>
      </c>
      <c r="N74" s="352">
        <f t="shared" si="30"/>
        <v>20917.855243160375</v>
      </c>
      <c r="O74" s="352">
        <f t="shared" si="30"/>
        <v>30895.039636994727</v>
      </c>
      <c r="P74" s="352">
        <f t="shared" si="30"/>
        <v>18948.370606602955</v>
      </c>
      <c r="Q74" s="352">
        <f t="shared" si="30"/>
        <v>12544.524560787844</v>
      </c>
      <c r="R74" s="352">
        <f t="shared" si="30"/>
        <v>20214.547810786757</v>
      </c>
      <c r="S74" s="352">
        <f t="shared" si="30"/>
        <v>27757.373180759078</v>
      </c>
      <c r="T74" s="352">
        <f t="shared" si="30"/>
        <v>17792.691912814706</v>
      </c>
      <c r="U74" s="352">
        <f t="shared" si="30"/>
        <v>19729.175914494768</v>
      </c>
      <c r="V74" s="352">
        <f t="shared" si="30"/>
        <v>21736.62688916743</v>
      </c>
      <c r="W74" s="352">
        <f t="shared" si="30"/>
        <v>19799.949197392085</v>
      </c>
      <c r="X74" s="352">
        <f t="shared" si="30"/>
        <v>23835.829685326753</v>
      </c>
      <c r="Y74" s="352">
        <f t="shared" si="30"/>
        <v>6938.3072681964177</v>
      </c>
      <c r="Z74" s="352">
        <f t="shared" si="30"/>
        <v>29484.364010320536</v>
      </c>
      <c r="AA74" s="352">
        <f t="shared" si="30"/>
        <v>19158.223840181316</v>
      </c>
      <c r="AB74" s="352">
        <f t="shared" si="30"/>
        <v>29942.766210915739</v>
      </c>
      <c r="AC74" s="352">
        <f t="shared" si="30"/>
        <v>15594.269661457525</v>
      </c>
      <c r="AD74" s="352">
        <f t="shared" si="30"/>
        <v>21612.062801562854</v>
      </c>
      <c r="AE74" s="352">
        <f t="shared" si="30"/>
        <v>18472.789689328216</v>
      </c>
      <c r="AF74" s="352">
        <f t="shared" si="30"/>
        <v>20410.410594497211</v>
      </c>
      <c r="AG74" s="352">
        <f t="shared" si="30"/>
        <v>29313.536559274791</v>
      </c>
      <c r="AH74" s="352">
        <f t="shared" si="30"/>
        <v>22866.32304512788</v>
      </c>
      <c r="AI74" s="352">
        <f t="shared" si="30"/>
        <v>18948.370606602955</v>
      </c>
      <c r="AJ74" s="352">
        <f t="shared" si="30"/>
        <v>15088.891941952797</v>
      </c>
      <c r="AK74" s="352">
        <f t="shared" si="30"/>
        <v>16599.050613948646</v>
      </c>
      <c r="AL74" s="352">
        <f t="shared" si="30"/>
        <v>15014.766644697936</v>
      </c>
      <c r="AM74" s="352">
        <f t="shared" si="30"/>
        <v>13875.377360721141</v>
      </c>
      <c r="AN74" s="353">
        <f t="shared" si="30"/>
        <v>13875.377360721141</v>
      </c>
    </row>
    <row r="75" spans="1:40">
      <c r="A75" s="129"/>
      <c r="B75" s="142" t="s">
        <v>3</v>
      </c>
      <c r="C75" s="129" t="s">
        <v>261</v>
      </c>
      <c r="D75" s="345">
        <f t="shared" ref="D75:AN75" si="31">D69/(1.355*(D63/D$17)^0.16)</f>
        <v>27038.154809698539</v>
      </c>
      <c r="E75" s="349">
        <f t="shared" si="31"/>
        <v>27016.713526165182</v>
      </c>
      <c r="F75" s="349">
        <f t="shared" si="31"/>
        <v>14164.035404892107</v>
      </c>
      <c r="G75" s="349">
        <f t="shared" si="31"/>
        <v>26342.153063058282</v>
      </c>
      <c r="H75" s="349">
        <f t="shared" si="31"/>
        <v>8394.1160150586384</v>
      </c>
      <c r="I75" s="349">
        <f t="shared" si="31"/>
        <v>16983.046058600496</v>
      </c>
      <c r="J75" s="349">
        <f t="shared" si="31"/>
        <v>25548.193184400821</v>
      </c>
      <c r="K75" s="349">
        <f t="shared" si="31"/>
        <v>18595.853169450733</v>
      </c>
      <c r="L75" s="349">
        <f t="shared" si="31"/>
        <v>12546.435736490783</v>
      </c>
      <c r="M75" s="349">
        <f t="shared" si="31"/>
        <v>19988.676629048947</v>
      </c>
      <c r="N75" s="349">
        <f t="shared" si="31"/>
        <v>18924.752142215013</v>
      </c>
      <c r="O75" s="349">
        <f t="shared" si="31"/>
        <v>30895.039636994727</v>
      </c>
      <c r="P75" s="349">
        <f t="shared" si="31"/>
        <v>18948.370606602955</v>
      </c>
      <c r="Q75" s="349">
        <f t="shared" si="31"/>
        <v>13414.285082459035</v>
      </c>
      <c r="R75" s="349">
        <f t="shared" si="31"/>
        <v>20214.547810786757</v>
      </c>
      <c r="S75" s="349">
        <f t="shared" si="31"/>
        <v>28182.839797754987</v>
      </c>
      <c r="T75" s="349">
        <f t="shared" si="31"/>
        <v>16097.361822164428</v>
      </c>
      <c r="U75" s="349">
        <f t="shared" si="31"/>
        <v>18592.623981915636</v>
      </c>
      <c r="V75" s="349">
        <f t="shared" si="31"/>
        <v>21736.62688916743</v>
      </c>
      <c r="W75" s="349">
        <f t="shared" si="31"/>
        <v>21214.513598065118</v>
      </c>
      <c r="X75" s="349">
        <f t="shared" si="31"/>
        <v>23835.829685326753</v>
      </c>
      <c r="Y75" s="349">
        <f t="shared" si="31"/>
        <v>6928.2013195842419</v>
      </c>
      <c r="Z75" s="349">
        <f t="shared" si="31"/>
        <v>23794.258247069876</v>
      </c>
      <c r="AA75" s="349">
        <f t="shared" si="31"/>
        <v>19158.223840181316</v>
      </c>
      <c r="AB75" s="349">
        <f t="shared" si="31"/>
        <v>21978.227997657101</v>
      </c>
      <c r="AC75" s="349">
        <f t="shared" si="31"/>
        <v>14054.56200081612</v>
      </c>
      <c r="AD75" s="349">
        <f t="shared" si="31"/>
        <v>19619.674684959446</v>
      </c>
      <c r="AE75" s="349">
        <f t="shared" si="31"/>
        <v>18472.789689328216</v>
      </c>
      <c r="AF75" s="349">
        <f t="shared" si="31"/>
        <v>20410.410594497211</v>
      </c>
      <c r="AG75" s="349">
        <f t="shared" si="31"/>
        <v>24499.755628442384</v>
      </c>
      <c r="AH75" s="349">
        <f t="shared" si="31"/>
        <v>24193.119713660617</v>
      </c>
      <c r="AI75" s="349">
        <f t="shared" si="31"/>
        <v>18948.370606602955</v>
      </c>
      <c r="AJ75" s="349">
        <f t="shared" si="31"/>
        <v>15088.891941952797</v>
      </c>
      <c r="AK75" s="349">
        <f t="shared" si="31"/>
        <v>16599.050613948646</v>
      </c>
      <c r="AL75" s="349">
        <f t="shared" si="31"/>
        <v>15014.766644697936</v>
      </c>
      <c r="AM75" s="349">
        <f t="shared" si="31"/>
        <v>13875.377360721141</v>
      </c>
      <c r="AN75" s="354">
        <f t="shared" si="31"/>
        <v>13875.377360721141</v>
      </c>
    </row>
    <row r="76" spans="1:40">
      <c r="A76" s="129"/>
      <c r="B76" s="142" t="s">
        <v>4</v>
      </c>
      <c r="C76" s="129" t="s">
        <v>261</v>
      </c>
      <c r="D76" s="345">
        <f t="shared" ref="D76:AN76" si="32">D70/(1.355*(D64/D$17)^0.16)</f>
        <v>21337.035168166993</v>
      </c>
      <c r="E76" s="349">
        <f t="shared" si="32"/>
        <v>27016.713526165182</v>
      </c>
      <c r="F76" s="349">
        <f t="shared" si="32"/>
        <v>13296.902990506875</v>
      </c>
      <c r="G76" s="349">
        <f t="shared" si="32"/>
        <v>20787.788599764262</v>
      </c>
      <c r="H76" s="349">
        <f t="shared" si="32"/>
        <v>7828.9400110412826</v>
      </c>
      <c r="I76" s="349">
        <f t="shared" si="32"/>
        <v>16983.046058600496</v>
      </c>
      <c r="J76" s="349">
        <f t="shared" si="32"/>
        <v>15619.158178858204</v>
      </c>
      <c r="K76" s="349">
        <f t="shared" si="32"/>
        <v>12062.450212541789</v>
      </c>
      <c r="L76" s="349">
        <f t="shared" si="32"/>
        <v>10006.04876958812</v>
      </c>
      <c r="M76" s="349">
        <f t="shared" si="32"/>
        <v>19988.676629048947</v>
      </c>
      <c r="N76" s="349">
        <f t="shared" si="32"/>
        <v>15370.646756010903</v>
      </c>
      <c r="O76" s="349">
        <f t="shared" si="32"/>
        <v>13767.094719145342</v>
      </c>
      <c r="P76" s="349">
        <f t="shared" si="32"/>
        <v>18948.370606602955</v>
      </c>
      <c r="Q76" s="349">
        <f t="shared" si="32"/>
        <v>12578.9847704165</v>
      </c>
      <c r="R76" s="349">
        <f t="shared" si="32"/>
        <v>17441.379631001542</v>
      </c>
      <c r="S76" s="349">
        <f t="shared" si="32"/>
        <v>23946.232568837859</v>
      </c>
      <c r="T76" s="349">
        <f t="shared" si="32"/>
        <v>13074.245856053036</v>
      </c>
      <c r="U76" s="349">
        <f t="shared" si="32"/>
        <v>17886.613868175984</v>
      </c>
      <c r="V76" s="349">
        <f t="shared" si="32"/>
        <v>13951.528195837211</v>
      </c>
      <c r="W76" s="349">
        <f t="shared" si="32"/>
        <v>11215.014141243857</v>
      </c>
      <c r="X76" s="349">
        <f t="shared" si="32"/>
        <v>21987.553839296343</v>
      </c>
      <c r="Y76" s="349">
        <f t="shared" si="32"/>
        <v>5687.5094576477441</v>
      </c>
      <c r="Z76" s="349">
        <f t="shared" si="32"/>
        <v>22978.561425106785</v>
      </c>
      <c r="AA76" s="349">
        <f t="shared" si="32"/>
        <v>12286.7089874256</v>
      </c>
      <c r="AB76" s="349">
        <f t="shared" si="32"/>
        <v>15568.574592740733</v>
      </c>
      <c r="AC76" s="349">
        <f t="shared" si="32"/>
        <v>13782.374638451252</v>
      </c>
      <c r="AD76" s="349">
        <f t="shared" si="32"/>
        <v>19619.674684959446</v>
      </c>
      <c r="AE76" s="349">
        <f t="shared" si="32"/>
        <v>11847.120745225819</v>
      </c>
      <c r="AF76" s="349">
        <f t="shared" si="32"/>
        <v>18991.583017396017</v>
      </c>
      <c r="AG76" s="349">
        <f t="shared" si="32"/>
        <v>24499.755628442384</v>
      </c>
      <c r="AH76" s="349">
        <f t="shared" si="32"/>
        <v>18777.691574655244</v>
      </c>
      <c r="AI76" s="349">
        <f t="shared" si="32"/>
        <v>18948.370606602955</v>
      </c>
      <c r="AJ76" s="349">
        <f t="shared" si="32"/>
        <v>15088.891941952797</v>
      </c>
      <c r="AK76" s="349">
        <f t="shared" si="32"/>
        <v>16599.050613948646</v>
      </c>
      <c r="AL76" s="349">
        <f t="shared" si="32"/>
        <v>14091.594366330521</v>
      </c>
      <c r="AM76" s="349">
        <f t="shared" si="32"/>
        <v>13875.377360721141</v>
      </c>
      <c r="AN76" s="354">
        <f t="shared" si="32"/>
        <v>13875.377360721141</v>
      </c>
    </row>
    <row r="77" spans="1:40">
      <c r="A77" s="129"/>
      <c r="B77" s="142" t="s">
        <v>5</v>
      </c>
      <c r="C77" s="129" t="s">
        <v>261</v>
      </c>
      <c r="D77" s="345">
        <f t="shared" ref="D77:AN77" si="33">D71/(1.355*(D65/D$17)^0.16)</f>
        <v>14760.637961204433</v>
      </c>
      <c r="E77" s="349">
        <f t="shared" si="33"/>
        <v>22812.131331084271</v>
      </c>
      <c r="F77" s="349">
        <f t="shared" si="33"/>
        <v>11286.515560649052</v>
      </c>
      <c r="G77" s="349">
        <f t="shared" si="33"/>
        <v>14380.677498856696</v>
      </c>
      <c r="H77" s="349">
        <f t="shared" si="33"/>
        <v>7574.0236650720899</v>
      </c>
      <c r="I77" s="349">
        <f t="shared" si="33"/>
        <v>14942.730902675799</v>
      </c>
      <c r="J77" s="349">
        <f t="shared" si="33"/>
        <v>12256.447067536112</v>
      </c>
      <c r="K77" s="349">
        <f t="shared" si="33"/>
        <v>9817.5684969634349</v>
      </c>
      <c r="L77" s="349">
        <f t="shared" si="33"/>
        <v>8187.397468318085</v>
      </c>
      <c r="M77" s="349">
        <f t="shared" si="33"/>
        <v>13747.546708318287</v>
      </c>
      <c r="N77" s="349">
        <f t="shared" si="33"/>
        <v>12690.035053146248</v>
      </c>
      <c r="O77" s="349">
        <f t="shared" si="33"/>
        <v>11793.013950041477</v>
      </c>
      <c r="P77" s="349">
        <f t="shared" si="33"/>
        <v>18419.700145444531</v>
      </c>
      <c r="Q77" s="349">
        <f t="shared" si="33"/>
        <v>12578.9847704165</v>
      </c>
      <c r="R77" s="349">
        <f t="shared" si="33"/>
        <v>12614.085490456795</v>
      </c>
      <c r="S77" s="349">
        <f t="shared" si="33"/>
        <v>15614.270059793655</v>
      </c>
      <c r="T77" s="349">
        <f t="shared" si="33"/>
        <v>10794.122123838586</v>
      </c>
      <c r="U77" s="349">
        <f t="shared" si="33"/>
        <v>14150.623089871406</v>
      </c>
      <c r="V77" s="349">
        <f t="shared" si="33"/>
        <v>13951.528195837211</v>
      </c>
      <c r="W77" s="349">
        <f t="shared" si="33"/>
        <v>10085.750259186158</v>
      </c>
      <c r="X77" s="349">
        <f t="shared" si="33"/>
        <v>12878.143111240392</v>
      </c>
      <c r="Y77" s="349">
        <f t="shared" si="33"/>
        <v>5185.7736692431108</v>
      </c>
      <c r="Z77" s="349">
        <f t="shared" si="33"/>
        <v>13685.277799880747</v>
      </c>
      <c r="AA77" s="349">
        <f t="shared" si="33"/>
        <v>12286.7089874256</v>
      </c>
      <c r="AB77" s="349">
        <f t="shared" si="33"/>
        <v>15568.574592740733</v>
      </c>
      <c r="AC77" s="349">
        <f t="shared" si="33"/>
        <v>13332.389820694994</v>
      </c>
      <c r="AD77" s="349">
        <f t="shared" si="33"/>
        <v>16606.972329008138</v>
      </c>
      <c r="AE77" s="349">
        <f t="shared" si="33"/>
        <v>11847.120745225819</v>
      </c>
      <c r="AF77" s="349">
        <f t="shared" si="33"/>
        <v>14782.294432118617</v>
      </c>
      <c r="AG77" s="349">
        <f t="shared" si="33"/>
        <v>21298.018067556684</v>
      </c>
      <c r="AH77" s="349">
        <f t="shared" si="33"/>
        <v>10081.168761151512</v>
      </c>
      <c r="AI77" s="349">
        <f t="shared" si="33"/>
        <v>18419.700145444531</v>
      </c>
      <c r="AJ77" s="349">
        <f t="shared" si="33"/>
        <v>12861.071662521017</v>
      </c>
      <c r="AK77" s="349">
        <f t="shared" si="33"/>
        <v>14103.420934059162</v>
      </c>
      <c r="AL77" s="349">
        <f t="shared" si="33"/>
        <v>11953.768901243904</v>
      </c>
      <c r="AM77" s="349">
        <f t="shared" si="33"/>
        <v>11826.728116767274</v>
      </c>
      <c r="AN77" s="354">
        <f t="shared" si="33"/>
        <v>11826.728116767274</v>
      </c>
    </row>
    <row r="78" spans="1:40">
      <c r="A78" s="129"/>
      <c r="B78" s="142" t="s">
        <v>6</v>
      </c>
      <c r="C78" s="129" t="s">
        <v>261</v>
      </c>
      <c r="D78" s="345">
        <f t="shared" ref="D78:AN78" si="34">D72/(1.355*(D66/D$17)^0.16)</f>
        <v>12650.85478413601</v>
      </c>
      <c r="E78" s="349">
        <f t="shared" si="34"/>
        <v>22812.131331084271</v>
      </c>
      <c r="F78" s="349">
        <f t="shared" si="34"/>
        <v>8685.4198294374619</v>
      </c>
      <c r="G78" s="349">
        <f t="shared" si="34"/>
        <v>12325.203234012755</v>
      </c>
      <c r="H78" s="349">
        <f t="shared" si="34"/>
        <v>7574.0236650720899</v>
      </c>
      <c r="I78" s="349">
        <f t="shared" si="34"/>
        <v>11202.232755397625</v>
      </c>
      <c r="J78" s="349">
        <f t="shared" si="34"/>
        <v>7463.1452351806211</v>
      </c>
      <c r="K78" s="349">
        <f t="shared" si="34"/>
        <v>9817.5684969634349</v>
      </c>
      <c r="L78" s="349">
        <f t="shared" si="34"/>
        <v>7176.3248245118339</v>
      </c>
      <c r="M78" s="349">
        <f t="shared" si="34"/>
        <v>13747.546708318287</v>
      </c>
      <c r="N78" s="349">
        <f t="shared" si="34"/>
        <v>12503.519280616305</v>
      </c>
      <c r="O78" s="349">
        <f t="shared" si="34"/>
        <v>7064.0408252785701</v>
      </c>
      <c r="P78" s="349">
        <f t="shared" si="34"/>
        <v>18419.700145444531</v>
      </c>
      <c r="Q78" s="349">
        <f t="shared" si="34"/>
        <v>8993.7497737723625</v>
      </c>
      <c r="R78" s="349">
        <f t="shared" si="34"/>
        <v>12614.085490456795</v>
      </c>
      <c r="S78" s="349">
        <f t="shared" si="34"/>
        <v>12913.665633712257</v>
      </c>
      <c r="T78" s="349">
        <f t="shared" si="34"/>
        <v>10635.472126554998</v>
      </c>
      <c r="U78" s="349">
        <f t="shared" si="34"/>
        <v>12973.386427021696</v>
      </c>
      <c r="V78" s="349">
        <f t="shared" si="34"/>
        <v>13951.528195837211</v>
      </c>
      <c r="W78" s="349">
        <f t="shared" si="34"/>
        <v>8906.7244922197988</v>
      </c>
      <c r="X78" s="349">
        <f t="shared" si="34"/>
        <v>12647.275610121882</v>
      </c>
      <c r="Y78" s="349">
        <f t="shared" si="34"/>
        <v>5089.4160534347684</v>
      </c>
      <c r="Z78" s="349">
        <f t="shared" si="34"/>
        <v>12475.078342336292</v>
      </c>
      <c r="AA78" s="349">
        <f t="shared" si="34"/>
        <v>10618.736988398892</v>
      </c>
      <c r="AB78" s="349">
        <f t="shared" si="34"/>
        <v>15568.574592740733</v>
      </c>
      <c r="AC78" s="349">
        <f t="shared" si="34"/>
        <v>12284.32089277494</v>
      </c>
      <c r="AD78" s="349">
        <f t="shared" si="34"/>
        <v>16606.972329008138</v>
      </c>
      <c r="AE78" s="349">
        <f t="shared" si="34"/>
        <v>10238.824683819268</v>
      </c>
      <c r="AF78" s="349">
        <f t="shared" si="34"/>
        <v>10473.940147323692</v>
      </c>
      <c r="AG78" s="349">
        <f t="shared" si="34"/>
        <v>19322.041648262995</v>
      </c>
      <c r="AH78" s="349">
        <f t="shared" si="34"/>
        <v>8259.9218667532496</v>
      </c>
      <c r="AI78" s="349">
        <f t="shared" si="34"/>
        <v>18419.700145444531</v>
      </c>
      <c r="AJ78" s="349">
        <f t="shared" si="34"/>
        <v>12001.675261790593</v>
      </c>
      <c r="AK78" s="349">
        <f t="shared" si="34"/>
        <v>13144.338139177491</v>
      </c>
      <c r="AL78" s="349">
        <f t="shared" si="34"/>
        <v>9171.580456517202</v>
      </c>
      <c r="AM78" s="349">
        <f t="shared" si="34"/>
        <v>11036.448127457674</v>
      </c>
      <c r="AN78" s="354">
        <f t="shared" si="34"/>
        <v>11036.448127457674</v>
      </c>
    </row>
    <row r="79" spans="1:40">
      <c r="A79" s="129"/>
      <c r="B79" s="142" t="s">
        <v>7</v>
      </c>
      <c r="C79" s="129" t="s">
        <v>261</v>
      </c>
      <c r="D79" s="345">
        <f t="shared" ref="D79:AN79" si="35">D73/(1.355*(D67/D$17)^0.16)</f>
        <v>11204.972597737073</v>
      </c>
      <c r="E79" s="349">
        <f t="shared" si="35"/>
        <v>13389.655308304549</v>
      </c>
      <c r="F79" s="349">
        <f t="shared" si="35"/>
        <v>5673.5325204778019</v>
      </c>
      <c r="G79" s="349">
        <f t="shared" si="35"/>
        <v>10916.540174963762</v>
      </c>
      <c r="H79" s="349">
        <f t="shared" si="35"/>
        <v>6258.2436630295761</v>
      </c>
      <c r="I79" s="349">
        <f t="shared" si="35"/>
        <v>9321.7490344183443</v>
      </c>
      <c r="J79" s="349">
        <f t="shared" si="35"/>
        <v>8195.5252315985235</v>
      </c>
      <c r="K79" s="349">
        <f t="shared" si="35"/>
        <v>7433.5249401651463</v>
      </c>
      <c r="L79" s="349">
        <f t="shared" si="35"/>
        <v>7176.3248245118339</v>
      </c>
      <c r="M79" s="349">
        <f t="shared" si="35"/>
        <v>8721.1742692155094</v>
      </c>
      <c r="N79" s="349">
        <f t="shared" si="35"/>
        <v>11578.844727402175</v>
      </c>
      <c r="O79" s="349">
        <f t="shared" si="35"/>
        <v>6870.8553252860611</v>
      </c>
      <c r="P79" s="349">
        <f t="shared" si="35"/>
        <v>6155.0284527335898</v>
      </c>
      <c r="Q79" s="349">
        <f t="shared" si="35"/>
        <v>5581.6036708173951</v>
      </c>
      <c r="R79" s="349">
        <f t="shared" si="35"/>
        <v>8096.8945920138704</v>
      </c>
      <c r="S79" s="349">
        <f t="shared" si="35"/>
        <v>7845.9622399053733</v>
      </c>
      <c r="T79" s="349">
        <f t="shared" si="35"/>
        <v>9848.9455322313206</v>
      </c>
      <c r="U79" s="349">
        <f t="shared" si="35"/>
        <v>12973.386427021696</v>
      </c>
      <c r="V79" s="349">
        <f t="shared" si="35"/>
        <v>7728.8968031191889</v>
      </c>
      <c r="W79" s="349">
        <f t="shared" si="35"/>
        <v>7363.2958218682916</v>
      </c>
      <c r="X79" s="349">
        <f t="shared" si="35"/>
        <v>7509.902919027013</v>
      </c>
      <c r="Y79" s="349">
        <f t="shared" si="35"/>
        <v>4836.9001768031994</v>
      </c>
      <c r="Z79" s="349">
        <f t="shared" si="35"/>
        <v>9101.0926479402478</v>
      </c>
      <c r="AA79" s="349">
        <f t="shared" si="35"/>
        <v>10618.736988398892</v>
      </c>
      <c r="AB79" s="349">
        <f t="shared" si="35"/>
        <v>11776.26787012117</v>
      </c>
      <c r="AC79" s="349">
        <f t="shared" si="35"/>
        <v>8242.4777434181433</v>
      </c>
      <c r="AD79" s="349">
        <f t="shared" si="35"/>
        <v>13711.991538116039</v>
      </c>
      <c r="AE79" s="349">
        <f t="shared" si="35"/>
        <v>10238.824683819268</v>
      </c>
      <c r="AF79" s="349">
        <f t="shared" si="35"/>
        <v>5961.7469314396267</v>
      </c>
      <c r="AG79" s="349">
        <f t="shared" si="35"/>
        <v>11918.379640872212</v>
      </c>
      <c r="AH79" s="349">
        <f t="shared" si="35"/>
        <v>6938.2243524454161</v>
      </c>
      <c r="AI79" s="349">
        <f t="shared" si="35"/>
        <v>6155.0284527335898</v>
      </c>
      <c r="AJ79" s="349">
        <f t="shared" si="35"/>
        <v>10554.458200123594</v>
      </c>
      <c r="AK79" s="349">
        <f t="shared" si="35"/>
        <v>11554.190364336853</v>
      </c>
      <c r="AL79" s="349">
        <f t="shared" si="35"/>
        <v>5986.7066938908911</v>
      </c>
      <c r="AM79" s="349">
        <f t="shared" si="35"/>
        <v>9705.6225817016075</v>
      </c>
      <c r="AN79" s="354">
        <f t="shared" si="35"/>
        <v>9705.6225817016075</v>
      </c>
    </row>
    <row r="80" spans="1:40">
      <c r="A80" s="334" t="s">
        <v>262</v>
      </c>
      <c r="B80" s="359" t="s">
        <v>2</v>
      </c>
      <c r="C80" s="366" t="s">
        <v>190</v>
      </c>
      <c r="D80" s="375">
        <f t="shared" ref="D80:AN80" si="36">D74/D$4</f>
        <v>195.54907571322696</v>
      </c>
      <c r="E80" s="376">
        <f t="shared" si="36"/>
        <v>189.73382670596314</v>
      </c>
      <c r="F80" s="376">
        <f t="shared" si="36"/>
        <v>178.14142798494797</v>
      </c>
      <c r="G80" s="376">
        <f t="shared" si="36"/>
        <v>190.51535580119094</v>
      </c>
      <c r="H80" s="376">
        <f t="shared" si="36"/>
        <v>78.26720935650232</v>
      </c>
      <c r="I80" s="376">
        <f t="shared" si="36"/>
        <v>164.24718950121218</v>
      </c>
      <c r="J80" s="376">
        <f t="shared" si="36"/>
        <v>215.54990882258156</v>
      </c>
      <c r="K80" s="376">
        <f t="shared" si="36"/>
        <v>114.77770160064833</v>
      </c>
      <c r="L80" s="376">
        <f t="shared" si="36"/>
        <v>117.68362505776666</v>
      </c>
      <c r="M80" s="376">
        <f t="shared" si="36"/>
        <v>161.15608664793746</v>
      </c>
      <c r="N80" s="376">
        <f t="shared" si="36"/>
        <v>172.51839375802371</v>
      </c>
      <c r="O80" s="376">
        <f t="shared" si="36"/>
        <v>221.42033788341675</v>
      </c>
      <c r="P80" s="376">
        <f t="shared" si="36"/>
        <v>165.66295519081274</v>
      </c>
      <c r="Q80" s="376">
        <f t="shared" si="36"/>
        <v>145.94910863948471</v>
      </c>
      <c r="R80" s="376">
        <f t="shared" si="36"/>
        <v>173.61023570778451</v>
      </c>
      <c r="S80" s="376">
        <f t="shared" si="36"/>
        <v>188.66547390341483</v>
      </c>
      <c r="T80" s="376">
        <f t="shared" si="36"/>
        <v>146.74385082733778</v>
      </c>
      <c r="U80" s="376">
        <f t="shared" si="36"/>
        <v>143.87730840105573</v>
      </c>
      <c r="V80" s="376">
        <f t="shared" si="36"/>
        <v>180.02787915983282</v>
      </c>
      <c r="W80" s="376">
        <f t="shared" si="36"/>
        <v>180.93173340131466</v>
      </c>
      <c r="X80" s="376">
        <f t="shared" si="36"/>
        <v>198.63191404438962</v>
      </c>
      <c r="Y80" s="376">
        <f t="shared" si="36"/>
        <v>56.149942096997137</v>
      </c>
      <c r="Z80" s="376">
        <f t="shared" si="36"/>
        <v>205.77030493060664</v>
      </c>
      <c r="AA80" s="376">
        <f t="shared" si="36"/>
        <v>122.90761084318406</v>
      </c>
      <c r="AB80" s="376">
        <f t="shared" si="36"/>
        <v>248.80302875091709</v>
      </c>
      <c r="AC80" s="376">
        <f t="shared" si="36"/>
        <v>107.49671802703935</v>
      </c>
      <c r="AD80" s="376">
        <f t="shared" si="36"/>
        <v>238.01116328320481</v>
      </c>
      <c r="AE80" s="376">
        <f t="shared" si="36"/>
        <v>118.51027868053386</v>
      </c>
      <c r="AF80" s="376">
        <f t="shared" si="36"/>
        <v>170.97250651958589</v>
      </c>
      <c r="AG80" s="376">
        <f t="shared" si="36"/>
        <v>243.88407427187664</v>
      </c>
      <c r="AH80" s="376">
        <f t="shared" si="36"/>
        <v>223.9874915648623</v>
      </c>
      <c r="AI80" s="376">
        <f t="shared" si="36"/>
        <v>165.66295519081274</v>
      </c>
      <c r="AJ80" s="376">
        <f t="shared" si="36"/>
        <v>175.55151800405952</v>
      </c>
      <c r="AK80" s="376">
        <f t="shared" si="36"/>
        <v>145.12317893499326</v>
      </c>
      <c r="AL80" s="376">
        <f t="shared" si="36"/>
        <v>174.68910819254697</v>
      </c>
      <c r="AM80" s="376">
        <f t="shared" si="36"/>
        <v>161.43289831516358</v>
      </c>
      <c r="AN80" s="377">
        <f t="shared" si="36"/>
        <v>161.43289831516358</v>
      </c>
    </row>
    <row r="81" spans="1:40">
      <c r="A81" s="154"/>
      <c r="B81" s="347" t="s">
        <v>3</v>
      </c>
      <c r="C81" s="367" t="s">
        <v>190</v>
      </c>
      <c r="D81" s="369">
        <f t="shared" ref="D81:AN81" si="37">D75/D$4</f>
        <v>180.5063221393097</v>
      </c>
      <c r="E81" s="370">
        <f t="shared" si="37"/>
        <v>189.73382670596314</v>
      </c>
      <c r="F81" s="370">
        <f t="shared" si="37"/>
        <v>178.14142798494797</v>
      </c>
      <c r="G81" s="370">
        <f t="shared" si="37"/>
        <v>175.85982475911482</v>
      </c>
      <c r="H81" s="370">
        <f t="shared" si="37"/>
        <v>73.3885828042946</v>
      </c>
      <c r="I81" s="370">
        <f t="shared" si="37"/>
        <v>136.0640860555981</v>
      </c>
      <c r="J81" s="370">
        <f t="shared" si="37"/>
        <v>190.36213431908018</v>
      </c>
      <c r="K81" s="370">
        <f t="shared" si="37"/>
        <v>111.26912891219585</v>
      </c>
      <c r="L81" s="370">
        <f t="shared" si="37"/>
        <v>117.68362505776666</v>
      </c>
      <c r="M81" s="370">
        <f t="shared" si="37"/>
        <v>144.10377910181282</v>
      </c>
      <c r="N81" s="370">
        <f t="shared" si="37"/>
        <v>156.0804300388867</v>
      </c>
      <c r="O81" s="370">
        <f t="shared" si="37"/>
        <v>221.42033788341675</v>
      </c>
      <c r="P81" s="370">
        <f t="shared" si="37"/>
        <v>165.66295519081274</v>
      </c>
      <c r="Q81" s="370">
        <f t="shared" si="37"/>
        <v>156.0683261716118</v>
      </c>
      <c r="R81" s="370">
        <f t="shared" si="37"/>
        <v>173.61023570778451</v>
      </c>
      <c r="S81" s="370">
        <f t="shared" si="37"/>
        <v>191.55734916851586</v>
      </c>
      <c r="T81" s="370">
        <f t="shared" si="37"/>
        <v>132.76174698692313</v>
      </c>
      <c r="U81" s="370">
        <f t="shared" si="37"/>
        <v>135.58887133575669</v>
      </c>
      <c r="V81" s="370">
        <f t="shared" si="37"/>
        <v>180.02787915983282</v>
      </c>
      <c r="W81" s="370">
        <f t="shared" si="37"/>
        <v>193.85800843717558</v>
      </c>
      <c r="X81" s="370">
        <f t="shared" si="37"/>
        <v>198.63191404438962</v>
      </c>
      <c r="Y81" s="370">
        <f t="shared" si="37"/>
        <v>56.068157245523359</v>
      </c>
      <c r="Z81" s="370">
        <f t="shared" si="37"/>
        <v>166.0592635942003</v>
      </c>
      <c r="AA81" s="370">
        <f t="shared" si="37"/>
        <v>122.90761084318406</v>
      </c>
      <c r="AB81" s="370">
        <f t="shared" si="37"/>
        <v>182.62339738009314</v>
      </c>
      <c r="AC81" s="370">
        <f t="shared" si="37"/>
        <v>96.882978247412396</v>
      </c>
      <c r="AD81" s="370">
        <f t="shared" si="37"/>
        <v>216.06922198410223</v>
      </c>
      <c r="AE81" s="370">
        <f t="shared" si="37"/>
        <v>118.51027868053386</v>
      </c>
      <c r="AF81" s="370">
        <f t="shared" si="37"/>
        <v>170.97250651958589</v>
      </c>
      <c r="AG81" s="370">
        <f t="shared" si="37"/>
        <v>203.83416409847521</v>
      </c>
      <c r="AH81" s="370">
        <f t="shared" si="37"/>
        <v>236.98415294390219</v>
      </c>
      <c r="AI81" s="370">
        <f t="shared" si="37"/>
        <v>165.66295519081274</v>
      </c>
      <c r="AJ81" s="370">
        <f t="shared" si="37"/>
        <v>175.55151800405952</v>
      </c>
      <c r="AK81" s="370">
        <f t="shared" si="37"/>
        <v>145.12317893499326</v>
      </c>
      <c r="AL81" s="370">
        <f t="shared" si="37"/>
        <v>174.68910819254697</v>
      </c>
      <c r="AM81" s="370">
        <f t="shared" si="37"/>
        <v>161.43289831516358</v>
      </c>
      <c r="AN81" s="371">
        <f t="shared" si="37"/>
        <v>161.43289831516358</v>
      </c>
    </row>
    <row r="82" spans="1:40">
      <c r="A82" s="154"/>
      <c r="B82" s="347" t="s">
        <v>4</v>
      </c>
      <c r="C82" s="367" t="s">
        <v>190</v>
      </c>
      <c r="D82" s="369">
        <f t="shared" ref="D82:AN82" si="38">D76/D$4</f>
        <v>142.44573162150164</v>
      </c>
      <c r="E82" s="370">
        <f t="shared" si="38"/>
        <v>189.73382670596314</v>
      </c>
      <c r="F82" s="370">
        <f t="shared" si="38"/>
        <v>167.23548189438202</v>
      </c>
      <c r="G82" s="370">
        <f t="shared" si="38"/>
        <v>138.77896964355588</v>
      </c>
      <c r="H82" s="370">
        <f t="shared" si="38"/>
        <v>68.447328013984404</v>
      </c>
      <c r="I82" s="370">
        <f t="shared" si="38"/>
        <v>136.0640860555981</v>
      </c>
      <c r="J82" s="370">
        <f t="shared" si="38"/>
        <v>116.37990466622102</v>
      </c>
      <c r="K82" s="370">
        <f t="shared" si="38"/>
        <v>72.176216679382435</v>
      </c>
      <c r="L82" s="370">
        <f t="shared" si="38"/>
        <v>93.855188552481607</v>
      </c>
      <c r="M82" s="370">
        <f t="shared" si="38"/>
        <v>144.10377910181282</v>
      </c>
      <c r="N82" s="370">
        <f t="shared" si="38"/>
        <v>126.76822066813116</v>
      </c>
      <c r="O82" s="370">
        <f t="shared" si="38"/>
        <v>98.666802185811491</v>
      </c>
      <c r="P82" s="370">
        <f t="shared" si="38"/>
        <v>165.66295519081274</v>
      </c>
      <c r="Q82" s="370">
        <f t="shared" si="38"/>
        <v>146.35003550239296</v>
      </c>
      <c r="R82" s="370">
        <f t="shared" si="38"/>
        <v>149.79321116405811</v>
      </c>
      <c r="S82" s="370">
        <f t="shared" si="38"/>
        <v>162.76134223438908</v>
      </c>
      <c r="T82" s="370">
        <f t="shared" si="38"/>
        <v>107.82883180249927</v>
      </c>
      <c r="U82" s="370">
        <f t="shared" si="38"/>
        <v>130.4402105245286</v>
      </c>
      <c r="V82" s="370">
        <f t="shared" si="38"/>
        <v>115.54985255724675</v>
      </c>
      <c r="W82" s="370">
        <f t="shared" si="38"/>
        <v>102.48268460015916</v>
      </c>
      <c r="X82" s="370">
        <f t="shared" si="38"/>
        <v>183.22961532746953</v>
      </c>
      <c r="Y82" s="370">
        <f t="shared" si="38"/>
        <v>46.027556056343251</v>
      </c>
      <c r="Z82" s="370">
        <f t="shared" si="38"/>
        <v>160.36654511712817</v>
      </c>
      <c r="AA82" s="370">
        <f t="shared" si="38"/>
        <v>78.824115396475378</v>
      </c>
      <c r="AB82" s="370">
        <f t="shared" si="38"/>
        <v>129.36374965237411</v>
      </c>
      <c r="AC82" s="370">
        <f t="shared" si="38"/>
        <v>95.006696204209291</v>
      </c>
      <c r="AD82" s="370">
        <f t="shared" si="38"/>
        <v>216.06922198410223</v>
      </c>
      <c r="AE82" s="370">
        <f t="shared" si="38"/>
        <v>76.003982327030116</v>
      </c>
      <c r="AF82" s="370">
        <f t="shared" si="38"/>
        <v>159.08737044880525</v>
      </c>
      <c r="AG82" s="370">
        <f t="shared" si="38"/>
        <v>203.83416409847521</v>
      </c>
      <c r="AH82" s="370">
        <f t="shared" si="38"/>
        <v>183.93722615065747</v>
      </c>
      <c r="AI82" s="370">
        <f t="shared" si="38"/>
        <v>165.66295519081274</v>
      </c>
      <c r="AJ82" s="370">
        <f t="shared" si="38"/>
        <v>175.55151800405952</v>
      </c>
      <c r="AK82" s="370">
        <f t="shared" si="38"/>
        <v>145.12317893499326</v>
      </c>
      <c r="AL82" s="370">
        <f t="shared" si="38"/>
        <v>163.94847226844266</v>
      </c>
      <c r="AM82" s="370">
        <f t="shared" si="38"/>
        <v>161.43289831516358</v>
      </c>
      <c r="AN82" s="371">
        <f t="shared" si="38"/>
        <v>161.43289831516358</v>
      </c>
    </row>
    <row r="83" spans="1:40">
      <c r="A83" s="154"/>
      <c r="B83" s="347" t="s">
        <v>5</v>
      </c>
      <c r="C83" s="367" t="s">
        <v>190</v>
      </c>
      <c r="D83" s="369">
        <f t="shared" ref="D83:AN83" si="39">D77/D$4</f>
        <v>98.541801005266066</v>
      </c>
      <c r="E83" s="370">
        <f t="shared" si="39"/>
        <v>160.20575443322531</v>
      </c>
      <c r="F83" s="370">
        <f t="shared" si="39"/>
        <v>141.95078884467623</v>
      </c>
      <c r="G83" s="370">
        <f t="shared" si="39"/>
        <v>96.005190570883158</v>
      </c>
      <c r="H83" s="370">
        <f t="shared" si="39"/>
        <v>66.218630039025854</v>
      </c>
      <c r="I83" s="370">
        <f t="shared" si="39"/>
        <v>119.71757106656933</v>
      </c>
      <c r="J83" s="370">
        <f t="shared" si="39"/>
        <v>91.324008946729947</v>
      </c>
      <c r="K83" s="370">
        <f t="shared" si="39"/>
        <v>58.743865352062436</v>
      </c>
      <c r="L83" s="370">
        <f t="shared" si="39"/>
        <v>76.796520868320258</v>
      </c>
      <c r="M83" s="370">
        <f t="shared" si="39"/>
        <v>99.109784545131788</v>
      </c>
      <c r="N83" s="370">
        <f t="shared" si="39"/>
        <v>104.66008291254637</v>
      </c>
      <c r="O83" s="370">
        <f t="shared" si="39"/>
        <v>84.518847172970752</v>
      </c>
      <c r="P83" s="370">
        <f t="shared" si="39"/>
        <v>161.04086325816525</v>
      </c>
      <c r="Q83" s="370">
        <f t="shared" si="39"/>
        <v>146.35003550239296</v>
      </c>
      <c r="R83" s="370">
        <f t="shared" si="39"/>
        <v>108.33457051499168</v>
      </c>
      <c r="S83" s="370">
        <f t="shared" si="39"/>
        <v>106.12941078044442</v>
      </c>
      <c r="T83" s="370">
        <f t="shared" si="39"/>
        <v>89.023687619287301</v>
      </c>
      <c r="U83" s="370">
        <f t="shared" si="39"/>
        <v>103.19506355421262</v>
      </c>
      <c r="V83" s="370">
        <f t="shared" si="39"/>
        <v>115.54985255724675</v>
      </c>
      <c r="W83" s="370">
        <f t="shared" si="39"/>
        <v>92.163482787504563</v>
      </c>
      <c r="X83" s="370">
        <f t="shared" si="39"/>
        <v>107.31785926033659</v>
      </c>
      <c r="Y83" s="370">
        <f t="shared" si="39"/>
        <v>41.96713693999088</v>
      </c>
      <c r="Z83" s="370">
        <f t="shared" si="39"/>
        <v>95.509056425833649</v>
      </c>
      <c r="AA83" s="370">
        <f t="shared" si="39"/>
        <v>78.824115396475378</v>
      </c>
      <c r="AB83" s="370">
        <f t="shared" si="39"/>
        <v>129.36374965237411</v>
      </c>
      <c r="AC83" s="370">
        <f t="shared" si="39"/>
        <v>91.904794536422429</v>
      </c>
      <c r="AD83" s="370">
        <f t="shared" si="39"/>
        <v>182.89067725425031</v>
      </c>
      <c r="AE83" s="370">
        <f t="shared" si="39"/>
        <v>76.003982327030116</v>
      </c>
      <c r="AF83" s="370">
        <f t="shared" si="39"/>
        <v>123.82729487329539</v>
      </c>
      <c r="AG83" s="370">
        <f t="shared" si="39"/>
        <v>177.19620454967952</v>
      </c>
      <c r="AH83" s="370">
        <f t="shared" si="39"/>
        <v>98.750275608194059</v>
      </c>
      <c r="AI83" s="370">
        <f t="shared" si="39"/>
        <v>161.04086325816525</v>
      </c>
      <c r="AJ83" s="370">
        <f t="shared" si="39"/>
        <v>149.63197179754985</v>
      </c>
      <c r="AK83" s="370">
        <f t="shared" si="39"/>
        <v>123.30423753808367</v>
      </c>
      <c r="AL83" s="370">
        <f t="shared" si="39"/>
        <v>139.07596956463451</v>
      </c>
      <c r="AM83" s="370">
        <f t="shared" si="39"/>
        <v>137.59791520192212</v>
      </c>
      <c r="AN83" s="371">
        <f t="shared" si="39"/>
        <v>137.59791520192212</v>
      </c>
    </row>
    <row r="84" spans="1:40">
      <c r="A84" s="154"/>
      <c r="B84" s="347" t="s">
        <v>6</v>
      </c>
      <c r="C84" s="367" t="s">
        <v>190</v>
      </c>
      <c r="D84" s="369">
        <f t="shared" ref="D84:AN84" si="40">D78/D$4</f>
        <v>84.456919677957217</v>
      </c>
      <c r="E84" s="370">
        <f t="shared" si="40"/>
        <v>160.20575443322531</v>
      </c>
      <c r="F84" s="370">
        <f t="shared" si="40"/>
        <v>109.23674269624989</v>
      </c>
      <c r="G84" s="370">
        <f t="shared" si="40"/>
        <v>82.282874739408797</v>
      </c>
      <c r="H84" s="370">
        <f t="shared" si="40"/>
        <v>66.218630039025854</v>
      </c>
      <c r="I84" s="370">
        <f t="shared" si="40"/>
        <v>89.749598298555597</v>
      </c>
      <c r="J84" s="370">
        <f t="shared" si="40"/>
        <v>55.608639149077113</v>
      </c>
      <c r="K84" s="370">
        <f t="shared" si="40"/>
        <v>58.743865352062436</v>
      </c>
      <c r="L84" s="370">
        <f t="shared" si="40"/>
        <v>67.312815980421945</v>
      </c>
      <c r="M84" s="370">
        <f t="shared" si="40"/>
        <v>99.109784545131788</v>
      </c>
      <c r="N84" s="370">
        <f t="shared" si="40"/>
        <v>103.12180849992829</v>
      </c>
      <c r="O84" s="370">
        <f t="shared" si="40"/>
        <v>50.626971990756083</v>
      </c>
      <c r="P84" s="370">
        <f t="shared" si="40"/>
        <v>161.04086325816525</v>
      </c>
      <c r="Q84" s="370">
        <f t="shared" si="40"/>
        <v>104.63766533741038</v>
      </c>
      <c r="R84" s="370">
        <f t="shared" si="40"/>
        <v>108.33457051499168</v>
      </c>
      <c r="S84" s="370">
        <f t="shared" si="40"/>
        <v>87.773537890228326</v>
      </c>
      <c r="T84" s="370">
        <f t="shared" si="40"/>
        <v>87.715234033443281</v>
      </c>
      <c r="U84" s="370">
        <f t="shared" si="40"/>
        <v>94.609928364789027</v>
      </c>
      <c r="V84" s="370">
        <f t="shared" si="40"/>
        <v>115.54985255724675</v>
      </c>
      <c r="W84" s="370">
        <f t="shared" si="40"/>
        <v>81.389557379143653</v>
      </c>
      <c r="X84" s="370">
        <f t="shared" si="40"/>
        <v>105.39396341768234</v>
      </c>
      <c r="Y84" s="370">
        <f t="shared" si="40"/>
        <v>41.187339456382233</v>
      </c>
      <c r="Z84" s="370">
        <f t="shared" si="40"/>
        <v>87.063118391741725</v>
      </c>
      <c r="AA84" s="370">
        <f t="shared" si="40"/>
        <v>68.123412916753111</v>
      </c>
      <c r="AB84" s="370">
        <f t="shared" si="40"/>
        <v>129.36374965237411</v>
      </c>
      <c r="AC84" s="370">
        <f t="shared" si="40"/>
        <v>84.680091330476117</v>
      </c>
      <c r="AD84" s="370">
        <f t="shared" si="40"/>
        <v>182.89067725425031</v>
      </c>
      <c r="AE84" s="370">
        <f t="shared" si="40"/>
        <v>65.686124675664914</v>
      </c>
      <c r="AF84" s="370">
        <f t="shared" si="40"/>
        <v>87.73737264290277</v>
      </c>
      <c r="AG84" s="370">
        <f t="shared" si="40"/>
        <v>160.75638744238398</v>
      </c>
      <c r="AH84" s="370">
        <f t="shared" si="40"/>
        <v>80.910217869506539</v>
      </c>
      <c r="AI84" s="370">
        <f t="shared" si="40"/>
        <v>161.04086325816525</v>
      </c>
      <c r="AJ84" s="370">
        <f t="shared" si="40"/>
        <v>139.6333354963659</v>
      </c>
      <c r="AK84" s="370">
        <f t="shared" si="40"/>
        <v>114.91911074425819</v>
      </c>
      <c r="AL84" s="370">
        <f t="shared" si="40"/>
        <v>106.70663411415376</v>
      </c>
      <c r="AM84" s="370">
        <f t="shared" si="40"/>
        <v>128.40341289484434</v>
      </c>
      <c r="AN84" s="371">
        <f t="shared" si="40"/>
        <v>128.40341289484434</v>
      </c>
    </row>
    <row r="85" spans="1:40">
      <c r="A85" s="155"/>
      <c r="B85" s="338" t="s">
        <v>7</v>
      </c>
      <c r="C85" s="368" t="s">
        <v>190</v>
      </c>
      <c r="D85" s="378">
        <f t="shared" ref="D85:AN85" si="41">D79/D$4</f>
        <v>74.804231558130368</v>
      </c>
      <c r="E85" s="379">
        <f t="shared" si="41"/>
        <v>94.033293037587143</v>
      </c>
      <c r="F85" s="379">
        <f t="shared" si="41"/>
        <v>71.356160587389851</v>
      </c>
      <c r="G85" s="379">
        <f t="shared" si="41"/>
        <v>72.878660964020696</v>
      </c>
      <c r="H85" s="379">
        <f t="shared" si="41"/>
        <v>54.714949430025193</v>
      </c>
      <c r="I85" s="379">
        <f t="shared" si="41"/>
        <v>74.683614378203373</v>
      </c>
      <c r="J85" s="379">
        <f t="shared" si="41"/>
        <v>61.065675513427045</v>
      </c>
      <c r="K85" s="379">
        <f t="shared" si="41"/>
        <v>44.478832850651585</v>
      </c>
      <c r="L85" s="379">
        <f t="shared" si="41"/>
        <v>67.312815980421945</v>
      </c>
      <c r="M85" s="379">
        <f t="shared" si="41"/>
        <v>62.873305407974946</v>
      </c>
      <c r="N85" s="379">
        <f t="shared" si="41"/>
        <v>95.495626617749892</v>
      </c>
      <c r="O85" s="379">
        <f t="shared" si="41"/>
        <v>49.242439095342746</v>
      </c>
      <c r="P85" s="379">
        <f t="shared" si="41"/>
        <v>53.812553276114429</v>
      </c>
      <c r="Q85" s="379">
        <f t="shared" si="41"/>
        <v>64.939095665775696</v>
      </c>
      <c r="R85" s="379">
        <f t="shared" si="41"/>
        <v>69.539214618024303</v>
      </c>
      <c r="S85" s="379">
        <f t="shared" si="41"/>
        <v>53.328611990061688</v>
      </c>
      <c r="T85" s="379">
        <f t="shared" si="41"/>
        <v>81.228416760670683</v>
      </c>
      <c r="U85" s="379">
        <f t="shared" si="41"/>
        <v>94.609928364789027</v>
      </c>
      <c r="V85" s="379">
        <f t="shared" si="41"/>
        <v>64.012549270198861</v>
      </c>
      <c r="W85" s="379">
        <f t="shared" si="41"/>
        <v>67.285721964012083</v>
      </c>
      <c r="X85" s="379">
        <f t="shared" si="41"/>
        <v>62.582524325225108</v>
      </c>
      <c r="Y85" s="379">
        <f t="shared" si="41"/>
        <v>39.143793198863897</v>
      </c>
      <c r="Z85" s="379">
        <f t="shared" si="41"/>
        <v>63.516194845269375</v>
      </c>
      <c r="AA85" s="379">
        <f t="shared" si="41"/>
        <v>68.123412916753111</v>
      </c>
      <c r="AB85" s="379">
        <f t="shared" si="41"/>
        <v>97.852385876096093</v>
      </c>
      <c r="AC85" s="379">
        <f t="shared" si="41"/>
        <v>56.818262417141867</v>
      </c>
      <c r="AD85" s="379">
        <f t="shared" si="41"/>
        <v>151.008586588063</v>
      </c>
      <c r="AE85" s="379">
        <f t="shared" si="41"/>
        <v>65.686124675664914</v>
      </c>
      <c r="AF85" s="379">
        <f t="shared" si="41"/>
        <v>49.939946645585451</v>
      </c>
      <c r="AG85" s="379">
        <f t="shared" si="41"/>
        <v>99.159068700471124</v>
      </c>
      <c r="AH85" s="379">
        <f t="shared" si="41"/>
        <v>67.963505350267326</v>
      </c>
      <c r="AI85" s="379">
        <f t="shared" si="41"/>
        <v>53.812553276114429</v>
      </c>
      <c r="AJ85" s="379">
        <f t="shared" si="41"/>
        <v>122.79570732364166</v>
      </c>
      <c r="AK85" s="379">
        <f t="shared" si="41"/>
        <v>101.01667105488468</v>
      </c>
      <c r="AL85" s="379">
        <f t="shared" si="41"/>
        <v>69.652261544501044</v>
      </c>
      <c r="AM85" s="379">
        <f t="shared" si="41"/>
        <v>112.9199403075377</v>
      </c>
      <c r="AN85" s="380">
        <f t="shared" si="41"/>
        <v>112.9199403075377</v>
      </c>
    </row>
    <row r="86" spans="1:40">
      <c r="A86" s="151" t="s">
        <v>285</v>
      </c>
      <c r="B86" s="141" t="s">
        <v>2</v>
      </c>
      <c r="C86" s="144" t="s">
        <v>148</v>
      </c>
      <c r="D86" s="381">
        <f t="shared" ref="D86:AN86" si="42">1-(D80/D$47)</f>
        <v>9.0312404953676317E-2</v>
      </c>
      <c r="E86" s="382">
        <f t="shared" si="42"/>
        <v>0.12907600154164556</v>
      </c>
      <c r="F86" s="382">
        <f t="shared" si="42"/>
        <v>0.13794522034839696</v>
      </c>
      <c r="G86" s="382">
        <f t="shared" si="42"/>
        <v>9.0312404953676206E-2</v>
      </c>
      <c r="H86" s="382">
        <f t="shared" si="42"/>
        <v>6.5756894504415242E-2</v>
      </c>
      <c r="I86" s="382">
        <f t="shared" si="42"/>
        <v>0.14472007358386596</v>
      </c>
      <c r="J86" s="382">
        <f t="shared" si="42"/>
        <v>0.11901572217094303</v>
      </c>
      <c r="K86" s="382">
        <f t="shared" si="42"/>
        <v>0.14256092068132298</v>
      </c>
      <c r="L86" s="382">
        <f t="shared" si="42"/>
        <v>0.16023741519618695</v>
      </c>
      <c r="M86" s="382">
        <f t="shared" si="42"/>
        <v>0.14264710361928967</v>
      </c>
      <c r="N86" s="382">
        <f t="shared" si="42"/>
        <v>0.17517323398943296</v>
      </c>
      <c r="O86" s="382">
        <f t="shared" si="42"/>
        <v>0.10248114959384991</v>
      </c>
      <c r="P86" s="382">
        <f t="shared" si="42"/>
        <v>7.8604943860797749E-2</v>
      </c>
      <c r="Q86" s="382">
        <f t="shared" si="42"/>
        <v>0.24969984431589276</v>
      </c>
      <c r="R86" s="382">
        <f t="shared" si="42"/>
        <v>0.10363177629706599</v>
      </c>
      <c r="S86" s="382">
        <f t="shared" si="42"/>
        <v>0.13436739652006513</v>
      </c>
      <c r="T86" s="382">
        <f t="shared" si="42"/>
        <v>0.17517323398943307</v>
      </c>
      <c r="U86" s="382">
        <f t="shared" si="42"/>
        <v>0.16944075956570837</v>
      </c>
      <c r="V86" s="382">
        <f t="shared" si="42"/>
        <v>0.11507932462982673</v>
      </c>
      <c r="W86" s="382">
        <f t="shared" si="42"/>
        <v>0.21072487253037964</v>
      </c>
      <c r="X86" s="382">
        <f t="shared" si="42"/>
        <v>0.14191974760692549</v>
      </c>
      <c r="Y86" s="382">
        <f t="shared" si="42"/>
        <v>0.13941254488427846</v>
      </c>
      <c r="Z86" s="382">
        <f t="shared" si="42"/>
        <v>0.11416385421029185</v>
      </c>
      <c r="AA86" s="382">
        <f t="shared" si="42"/>
        <v>0.22308051066425538</v>
      </c>
      <c r="AB86" s="382">
        <f t="shared" si="42"/>
        <v>0.12638240301886872</v>
      </c>
      <c r="AC86" s="382">
        <f t="shared" si="42"/>
        <v>0.10301024458335795</v>
      </c>
      <c r="AD86" s="382">
        <f t="shared" si="42"/>
        <v>0.10429388153428898</v>
      </c>
      <c r="AE86" s="382">
        <f t="shared" si="42"/>
        <v>0.22308051066425516</v>
      </c>
      <c r="AF86" s="382">
        <f t="shared" si="42"/>
        <v>0.10270798324215991</v>
      </c>
      <c r="AG86" s="382">
        <f t="shared" si="42"/>
        <v>0.13031614080349896</v>
      </c>
      <c r="AH86" s="382">
        <f t="shared" si="42"/>
        <v>0.15642312508756551</v>
      </c>
      <c r="AI86" s="382">
        <f t="shared" si="42"/>
        <v>7.8604943860797749E-2</v>
      </c>
      <c r="AJ86" s="382">
        <f t="shared" si="42"/>
        <v>0.16316830319783804</v>
      </c>
      <c r="AK86" s="382">
        <f t="shared" si="42"/>
        <v>0.13796874450282826</v>
      </c>
      <c r="AL86" s="382">
        <f t="shared" si="42"/>
        <v>0.1316629579551265</v>
      </c>
      <c r="AM86" s="382">
        <f t="shared" si="42"/>
        <v>0.16316830319783793</v>
      </c>
      <c r="AN86" s="383">
        <f t="shared" si="42"/>
        <v>0.16316830319783793</v>
      </c>
    </row>
    <row r="87" spans="1:40">
      <c r="A87" s="129"/>
      <c r="B87" s="142" t="s">
        <v>3</v>
      </c>
      <c r="C87" s="131" t="s">
        <v>148</v>
      </c>
      <c r="D87" s="384">
        <f t="shared" ref="D87:AN87" si="43">1-(D81/D$48)</f>
        <v>9.8374946643014827E-2</v>
      </c>
      <c r="E87" s="385">
        <f t="shared" si="43"/>
        <v>0.12907600154164556</v>
      </c>
      <c r="F87" s="385">
        <f t="shared" si="43"/>
        <v>0.13794522034839696</v>
      </c>
      <c r="G87" s="385">
        <f t="shared" si="43"/>
        <v>9.8374946643014938E-2</v>
      </c>
      <c r="H87" s="385">
        <f t="shared" si="43"/>
        <v>7.0590136170692652E-2</v>
      </c>
      <c r="I87" s="385">
        <f t="shared" si="43"/>
        <v>0.17421014151804548</v>
      </c>
      <c r="J87" s="385">
        <f t="shared" si="43"/>
        <v>9.9281578816483029E-2</v>
      </c>
      <c r="K87" s="385">
        <f t="shared" si="43"/>
        <v>0.14454066266600551</v>
      </c>
      <c r="L87" s="385">
        <f t="shared" si="43"/>
        <v>0.16023741519618695</v>
      </c>
      <c r="M87" s="385">
        <f t="shared" si="43"/>
        <v>0.15944933704823205</v>
      </c>
      <c r="N87" s="385">
        <f t="shared" si="43"/>
        <v>0.19272607485911064</v>
      </c>
      <c r="O87" s="385">
        <f t="shared" si="43"/>
        <v>0.10248114959384991</v>
      </c>
      <c r="P87" s="385">
        <f t="shared" si="43"/>
        <v>7.8604943860797749E-2</v>
      </c>
      <c r="Q87" s="385">
        <f t="shared" si="43"/>
        <v>0.23540493199483037</v>
      </c>
      <c r="R87" s="385">
        <f t="shared" si="43"/>
        <v>0.10363177629706599</v>
      </c>
      <c r="S87" s="385">
        <f t="shared" si="43"/>
        <v>0.13230237898200847</v>
      </c>
      <c r="T87" s="385">
        <f t="shared" si="43"/>
        <v>0.19272607485911086</v>
      </c>
      <c r="U87" s="385">
        <f t="shared" si="43"/>
        <v>0.17943296386699648</v>
      </c>
      <c r="V87" s="385">
        <f t="shared" si="43"/>
        <v>0.11507932462982673</v>
      </c>
      <c r="W87" s="385">
        <f t="shared" si="43"/>
        <v>0.16805516795715159</v>
      </c>
      <c r="X87" s="385">
        <f t="shared" si="43"/>
        <v>0.13002820808884474</v>
      </c>
      <c r="Y87" s="385">
        <f t="shared" si="43"/>
        <v>0.13961798300218897</v>
      </c>
      <c r="Z87" s="385">
        <f t="shared" si="43"/>
        <v>0.12854687818794075</v>
      </c>
      <c r="AA87" s="385">
        <f t="shared" si="43"/>
        <v>0.21960607047982283</v>
      </c>
      <c r="AB87" s="385">
        <f t="shared" si="43"/>
        <v>0.12797794996336409</v>
      </c>
      <c r="AC87" s="385">
        <f t="shared" si="43"/>
        <v>0.1177891737500435</v>
      </c>
      <c r="AD87" s="385">
        <f t="shared" si="43"/>
        <v>0.1102137393376933</v>
      </c>
      <c r="AE87" s="385">
        <f t="shared" si="43"/>
        <v>0.21960607047982295</v>
      </c>
      <c r="AF87" s="385">
        <f t="shared" si="43"/>
        <v>0.10270798324215991</v>
      </c>
      <c r="AG87" s="385">
        <f t="shared" si="43"/>
        <v>0.15608675710191655</v>
      </c>
      <c r="AH87" s="385">
        <f t="shared" si="43"/>
        <v>0.14547876644677615</v>
      </c>
      <c r="AI87" s="385">
        <f t="shared" si="43"/>
        <v>7.8604943860797749E-2</v>
      </c>
      <c r="AJ87" s="385">
        <f t="shared" si="43"/>
        <v>0.16316830319783804</v>
      </c>
      <c r="AK87" s="385">
        <f t="shared" si="43"/>
        <v>0.13796874450282826</v>
      </c>
      <c r="AL87" s="385">
        <f t="shared" si="43"/>
        <v>0.1316629579551265</v>
      </c>
      <c r="AM87" s="385">
        <f t="shared" si="43"/>
        <v>0.16316830319783793</v>
      </c>
      <c r="AN87" s="386">
        <f t="shared" si="43"/>
        <v>0.16316830319783793</v>
      </c>
    </row>
    <row r="88" spans="1:40">
      <c r="A88" s="129"/>
      <c r="B88" s="142" t="s">
        <v>4</v>
      </c>
      <c r="C88" s="131" t="s">
        <v>148</v>
      </c>
      <c r="D88" s="384">
        <f t="shared" ref="D88:AN88" si="44">1-(D82/D$49)</f>
        <v>0.11408719412220258</v>
      </c>
      <c r="E88" s="385">
        <f t="shared" si="44"/>
        <v>0.12907600154164556</v>
      </c>
      <c r="F88" s="385">
        <f t="shared" si="44"/>
        <v>0.14700135463886721</v>
      </c>
      <c r="G88" s="385">
        <f t="shared" si="44"/>
        <v>0.1140871941222027</v>
      </c>
      <c r="H88" s="385">
        <f t="shared" si="44"/>
        <v>0.1701140200183231</v>
      </c>
      <c r="I88" s="385">
        <f t="shared" si="44"/>
        <v>0.17421014151804548</v>
      </c>
      <c r="J88" s="385">
        <f t="shared" si="44"/>
        <v>0.17383084352635558</v>
      </c>
      <c r="K88" s="385">
        <f t="shared" si="44"/>
        <v>0.21617871870153227</v>
      </c>
      <c r="L88" s="385">
        <f t="shared" si="44"/>
        <v>0.19909512517511108</v>
      </c>
      <c r="M88" s="385">
        <f t="shared" si="44"/>
        <v>0.15944933704823205</v>
      </c>
      <c r="N88" s="385">
        <f t="shared" si="44"/>
        <v>0.215928574236537</v>
      </c>
      <c r="O88" s="385">
        <f t="shared" si="44"/>
        <v>0.19187355629513847</v>
      </c>
      <c r="P88" s="385">
        <f t="shared" si="44"/>
        <v>7.8604943860797749E-2</v>
      </c>
      <c r="Q88" s="385">
        <f t="shared" si="44"/>
        <v>0.17353042477127278</v>
      </c>
      <c r="R88" s="385">
        <f t="shared" si="44"/>
        <v>0.12091654733909574</v>
      </c>
      <c r="S88" s="385">
        <f t="shared" si="44"/>
        <v>0.15582994719550469</v>
      </c>
      <c r="T88" s="385">
        <f t="shared" si="44"/>
        <v>0.21592857423653722</v>
      </c>
      <c r="U88" s="385">
        <f t="shared" si="44"/>
        <v>0.16135637585182427</v>
      </c>
      <c r="V88" s="385">
        <f t="shared" si="44"/>
        <v>0.14336650926540362</v>
      </c>
      <c r="W88" s="385">
        <f t="shared" si="44"/>
        <v>0.24340444617724044</v>
      </c>
      <c r="X88" s="385">
        <f t="shared" si="44"/>
        <v>0.14113309255038631</v>
      </c>
      <c r="Y88" s="385">
        <f t="shared" si="44"/>
        <v>0.16978383063452085</v>
      </c>
      <c r="Z88" s="385">
        <f t="shared" si="44"/>
        <v>0.13320900736634056</v>
      </c>
      <c r="AA88" s="385">
        <f t="shared" si="44"/>
        <v>0.31657289809309086</v>
      </c>
      <c r="AB88" s="385">
        <f t="shared" si="44"/>
        <v>0.15358189045361448</v>
      </c>
      <c r="AC88" s="385">
        <f t="shared" si="44"/>
        <v>0.12020122639791675</v>
      </c>
      <c r="AD88" s="385">
        <f t="shared" si="44"/>
        <v>0.1102137393376933</v>
      </c>
      <c r="AE88" s="385">
        <f t="shared" si="44"/>
        <v>0.31657289809309086</v>
      </c>
      <c r="AF88" s="385">
        <f t="shared" si="44"/>
        <v>9.374111519409134E-2</v>
      </c>
      <c r="AG88" s="385">
        <f t="shared" si="44"/>
        <v>0.15608675710191655</v>
      </c>
      <c r="AH88" s="385">
        <f t="shared" si="44"/>
        <v>0.17125409009443371</v>
      </c>
      <c r="AI88" s="385">
        <f t="shared" si="44"/>
        <v>7.8604943860797749E-2</v>
      </c>
      <c r="AJ88" s="385">
        <f t="shared" si="44"/>
        <v>0.16316830319783804</v>
      </c>
      <c r="AK88" s="385">
        <f t="shared" si="44"/>
        <v>0.13796874450282826</v>
      </c>
      <c r="AL88" s="385">
        <f t="shared" si="44"/>
        <v>0.14041964141176488</v>
      </c>
      <c r="AM88" s="385">
        <f t="shared" si="44"/>
        <v>0.16316830319783793</v>
      </c>
      <c r="AN88" s="386">
        <f t="shared" si="44"/>
        <v>0.16316830319783793</v>
      </c>
    </row>
    <row r="89" spans="1:40">
      <c r="A89" s="129"/>
      <c r="B89" s="142" t="s">
        <v>5</v>
      </c>
      <c r="C89" s="131" t="s">
        <v>148</v>
      </c>
      <c r="D89" s="384">
        <f t="shared" ref="D89:AN89" si="45">1-(D83/D$50)</f>
        <v>0.1220772787507155</v>
      </c>
      <c r="E89" s="385">
        <f t="shared" si="45"/>
        <v>0.13930550323728075</v>
      </c>
      <c r="F89" s="385">
        <f t="shared" si="45"/>
        <v>0.17274809098248534</v>
      </c>
      <c r="G89" s="385">
        <f t="shared" si="45"/>
        <v>0.12207727875071572</v>
      </c>
      <c r="H89" s="385">
        <f t="shared" si="45"/>
        <v>0.17565125353978073</v>
      </c>
      <c r="I89" s="385">
        <f t="shared" si="45"/>
        <v>0.19677958994365352</v>
      </c>
      <c r="J89" s="385">
        <f t="shared" si="45"/>
        <v>0.19996306422119414</v>
      </c>
      <c r="K89" s="385">
        <f t="shared" si="45"/>
        <v>0.25006616304038731</v>
      </c>
      <c r="L89" s="385">
        <f t="shared" si="45"/>
        <v>0.12056304496130432</v>
      </c>
      <c r="M89" s="385">
        <f t="shared" si="45"/>
        <v>0.13486023338142927</v>
      </c>
      <c r="N89" s="385">
        <f t="shared" si="45"/>
        <v>0.21378069540108824</v>
      </c>
      <c r="O89" s="385">
        <f t="shared" si="45"/>
        <v>0.19306277920002768</v>
      </c>
      <c r="P89" s="385">
        <f t="shared" si="45"/>
        <v>8.1060165322293209E-2</v>
      </c>
      <c r="Q89" s="385">
        <f t="shared" si="45"/>
        <v>0.17353042477127278</v>
      </c>
      <c r="R89" s="385">
        <f t="shared" si="45"/>
        <v>0.16749201532711433</v>
      </c>
      <c r="S89" s="385">
        <f t="shared" si="45"/>
        <v>0.18805836419139776</v>
      </c>
      <c r="T89" s="385">
        <f t="shared" si="45"/>
        <v>0.21378069540108824</v>
      </c>
      <c r="U89" s="385">
        <f t="shared" si="45"/>
        <v>0.14000354216843358</v>
      </c>
      <c r="V89" s="385">
        <f t="shared" si="45"/>
        <v>0.14336650926540362</v>
      </c>
      <c r="W89" s="385">
        <f t="shared" si="45"/>
        <v>0.17464257582184717</v>
      </c>
      <c r="X89" s="385">
        <f t="shared" si="45"/>
        <v>0.16152557865297912</v>
      </c>
      <c r="Y89" s="385">
        <f t="shared" si="45"/>
        <v>0.18555250247999089</v>
      </c>
      <c r="Z89" s="385">
        <f t="shared" si="45"/>
        <v>0.21543192178747561</v>
      </c>
      <c r="AA89" s="385">
        <f t="shared" si="45"/>
        <v>0.30605455701398709</v>
      </c>
      <c r="AB89" s="385">
        <f t="shared" si="45"/>
        <v>0.15358189045361448</v>
      </c>
      <c r="AC89" s="385">
        <f t="shared" si="45"/>
        <v>0.12741051278153814</v>
      </c>
      <c r="AD89" s="385">
        <f t="shared" si="45"/>
        <v>0.12484628809722476</v>
      </c>
      <c r="AE89" s="385">
        <f t="shared" si="45"/>
        <v>0.30605455701398698</v>
      </c>
      <c r="AF89" s="385">
        <f t="shared" si="45"/>
        <v>8.3763723002778789E-2</v>
      </c>
      <c r="AG89" s="385">
        <f t="shared" si="45"/>
        <v>0.13906101432450191</v>
      </c>
      <c r="AH89" s="385">
        <f t="shared" si="45"/>
        <v>0.29282535373022534</v>
      </c>
      <c r="AI89" s="385">
        <f t="shared" si="45"/>
        <v>8.1060165322293209E-2</v>
      </c>
      <c r="AJ89" s="385">
        <f t="shared" si="45"/>
        <v>0.19030645452304462</v>
      </c>
      <c r="AK89" s="385">
        <f t="shared" si="45"/>
        <v>0.16230301855939611</v>
      </c>
      <c r="AL89" s="385">
        <f t="shared" si="45"/>
        <v>0.16535510559842148</v>
      </c>
      <c r="AM89" s="385">
        <f t="shared" si="45"/>
        <v>0.19030645452304484</v>
      </c>
      <c r="AN89" s="386">
        <f t="shared" si="45"/>
        <v>0.19030645452304484</v>
      </c>
    </row>
    <row r="90" spans="1:40">
      <c r="A90" s="129"/>
      <c r="B90" s="142" t="s">
        <v>6</v>
      </c>
      <c r="C90" s="131" t="s">
        <v>148</v>
      </c>
      <c r="D90" s="384">
        <f t="shared" ref="D90:AN90" si="46">1-(D84/D$51)</f>
        <v>0.12129195728250686</v>
      </c>
      <c r="E90" s="385">
        <f t="shared" si="46"/>
        <v>0.13930550323728075</v>
      </c>
      <c r="F90" s="385">
        <f t="shared" si="46"/>
        <v>0.22087420230256205</v>
      </c>
      <c r="G90" s="385">
        <f t="shared" si="46"/>
        <v>0.12129195728250686</v>
      </c>
      <c r="H90" s="385">
        <f t="shared" si="46"/>
        <v>3.8379645172857635E-2</v>
      </c>
      <c r="I90" s="385">
        <f t="shared" si="46"/>
        <v>0.21886590959556673</v>
      </c>
      <c r="J90" s="385">
        <f t="shared" si="46"/>
        <v>0.18281337510336404</v>
      </c>
      <c r="K90" s="385">
        <f t="shared" si="46"/>
        <v>0.25006616304038731</v>
      </c>
      <c r="L90" s="385">
        <f t="shared" si="46"/>
        <v>0.12179763948460498</v>
      </c>
      <c r="M90" s="385">
        <f t="shared" si="46"/>
        <v>0.13486023338142927</v>
      </c>
      <c r="N90" s="385">
        <f t="shared" si="46"/>
        <v>0.21669310846100109</v>
      </c>
      <c r="O90" s="385">
        <f t="shared" si="46"/>
        <v>0.18737971850132362</v>
      </c>
      <c r="P90" s="385">
        <f t="shared" si="46"/>
        <v>8.1060165322293209E-2</v>
      </c>
      <c r="Q90" s="385">
        <f t="shared" si="46"/>
        <v>0.1887569150895293</v>
      </c>
      <c r="R90" s="385">
        <f t="shared" si="46"/>
        <v>0.16749201532711433</v>
      </c>
      <c r="S90" s="385">
        <f t="shared" si="46"/>
        <v>0.2242083182341722</v>
      </c>
      <c r="T90" s="385">
        <f t="shared" si="46"/>
        <v>0.21669310846100087</v>
      </c>
      <c r="U90" s="385">
        <f t="shared" si="46"/>
        <v>0.15272852769428646</v>
      </c>
      <c r="V90" s="385">
        <f t="shared" si="46"/>
        <v>0.14336650926540362</v>
      </c>
      <c r="W90" s="385">
        <f t="shared" si="46"/>
        <v>0.14764224414631166</v>
      </c>
      <c r="X90" s="385">
        <f t="shared" si="46"/>
        <v>0.16441541700301909</v>
      </c>
      <c r="Y90" s="385">
        <f t="shared" si="46"/>
        <v>0.18888618796474566</v>
      </c>
      <c r="Z90" s="385">
        <f t="shared" si="46"/>
        <v>0.20143582944145644</v>
      </c>
      <c r="AA90" s="385">
        <f t="shared" si="46"/>
        <v>0.34279564633819104</v>
      </c>
      <c r="AB90" s="385">
        <f t="shared" si="46"/>
        <v>0.15358189045361448</v>
      </c>
      <c r="AC90" s="385">
        <f t="shared" si="46"/>
        <v>0.1352556349571209</v>
      </c>
      <c r="AD90" s="385">
        <f t="shared" si="46"/>
        <v>0.12484628809722476</v>
      </c>
      <c r="AE90" s="385">
        <f t="shared" si="46"/>
        <v>0.34279564633819082</v>
      </c>
      <c r="AF90" s="385">
        <f t="shared" si="46"/>
        <v>0.12066192265594444</v>
      </c>
      <c r="AG90" s="385">
        <f t="shared" si="46"/>
        <v>0.15330928655872789</v>
      </c>
      <c r="AH90" s="385">
        <f t="shared" si="46"/>
        <v>0.21428306796433583</v>
      </c>
      <c r="AI90" s="385">
        <f t="shared" si="46"/>
        <v>8.1060165322293209E-2</v>
      </c>
      <c r="AJ90" s="385">
        <f t="shared" si="46"/>
        <v>0.20973609092639878</v>
      </c>
      <c r="AK90" s="385">
        <f t="shared" si="46"/>
        <v>0.17978224652320418</v>
      </c>
      <c r="AL90" s="385">
        <f t="shared" si="46"/>
        <v>0.21257380586915575</v>
      </c>
      <c r="AM90" s="385">
        <f t="shared" si="46"/>
        <v>0.209736090926399</v>
      </c>
      <c r="AN90" s="386">
        <f t="shared" si="46"/>
        <v>0.209736090926399</v>
      </c>
    </row>
    <row r="91" spans="1:40">
      <c r="A91" s="129"/>
      <c r="B91" s="142" t="s">
        <v>7</v>
      </c>
      <c r="C91" s="131" t="s">
        <v>148</v>
      </c>
      <c r="D91" s="384">
        <f t="shared" ref="D91:AN91" si="47">1-(D85/D$52)</f>
        <v>0.1248375037104924</v>
      </c>
      <c r="E91" s="385">
        <f t="shared" si="47"/>
        <v>0.15816106869422897</v>
      </c>
      <c r="F91" s="385">
        <f t="shared" si="47"/>
        <v>0.26909210606325762</v>
      </c>
      <c r="G91" s="385">
        <f t="shared" si="47"/>
        <v>0.1248375037104924</v>
      </c>
      <c r="H91" s="385">
        <f t="shared" si="47"/>
        <v>9.7006950883833043E-2</v>
      </c>
      <c r="I91" s="385">
        <f t="shared" si="47"/>
        <v>0.17384965003332387</v>
      </c>
      <c r="J91" s="385">
        <f t="shared" si="47"/>
        <v>0.16702043289727386</v>
      </c>
      <c r="K91" s="385">
        <f t="shared" si="47"/>
        <v>0.22225211492726549</v>
      </c>
      <c r="L91" s="385">
        <f t="shared" si="47"/>
        <v>0.12179763948460498</v>
      </c>
      <c r="M91" s="385">
        <f t="shared" si="47"/>
        <v>0.19734918365315191</v>
      </c>
      <c r="N91" s="385">
        <f t="shared" si="47"/>
        <v>0.19031105907713175</v>
      </c>
      <c r="O91" s="385">
        <f t="shared" si="47"/>
        <v>0.18279073838191817</v>
      </c>
      <c r="P91" s="385">
        <f t="shared" si="47"/>
        <v>0.24184145266739265</v>
      </c>
      <c r="Q91" s="385">
        <f t="shared" si="47"/>
        <v>0.21197991960296192</v>
      </c>
      <c r="R91" s="385">
        <f t="shared" si="47"/>
        <v>0.1359110853432054</v>
      </c>
      <c r="S91" s="385">
        <f t="shared" si="47"/>
        <v>0.26961908172549165</v>
      </c>
      <c r="T91" s="385">
        <f t="shared" si="47"/>
        <v>0.19031105907713175</v>
      </c>
      <c r="U91" s="385">
        <f t="shared" si="47"/>
        <v>0.1014452589258531</v>
      </c>
      <c r="V91" s="385">
        <f t="shared" si="47"/>
        <v>0.22023173538010998</v>
      </c>
      <c r="W91" s="385">
        <f t="shared" si="47"/>
        <v>0.12964968191667203</v>
      </c>
      <c r="X91" s="385">
        <f t="shared" si="47"/>
        <v>0.23425375250224167</v>
      </c>
      <c r="Y91" s="385">
        <f t="shared" si="47"/>
        <v>0.19815560235671492</v>
      </c>
      <c r="Z91" s="385">
        <f t="shared" si="47"/>
        <v>0.18374914425099975</v>
      </c>
      <c r="AA91" s="385">
        <f t="shared" si="47"/>
        <v>0.24503502550364087</v>
      </c>
      <c r="AB91" s="385">
        <f t="shared" si="47"/>
        <v>0.20095868140419137</v>
      </c>
      <c r="AC91" s="385">
        <f t="shared" si="47"/>
        <v>0.15024810845681003</v>
      </c>
      <c r="AD91" s="385">
        <f t="shared" si="47"/>
        <v>7.1707646488524457E-2</v>
      </c>
      <c r="AE91" s="385">
        <f t="shared" si="47"/>
        <v>0.24503502550364031</v>
      </c>
      <c r="AF91" s="385">
        <f t="shared" si="47"/>
        <v>0.15462782544834852</v>
      </c>
      <c r="AG91" s="385">
        <f t="shared" si="47"/>
        <v>0.13088086226442708</v>
      </c>
      <c r="AH91" s="385">
        <f t="shared" si="47"/>
        <v>0.21371098959004797</v>
      </c>
      <c r="AI91" s="385">
        <f t="shared" si="47"/>
        <v>0.24184145266739265</v>
      </c>
      <c r="AJ91" s="385">
        <f t="shared" si="47"/>
        <v>0.19777603653137565</v>
      </c>
      <c r="AK91" s="385">
        <f t="shared" si="47"/>
        <v>0.16920486919499445</v>
      </c>
      <c r="AL91" s="385">
        <f t="shared" si="47"/>
        <v>0.25979740563267084</v>
      </c>
      <c r="AM91" s="385">
        <f t="shared" si="47"/>
        <v>0.19777603653137554</v>
      </c>
      <c r="AN91" s="386">
        <f t="shared" si="47"/>
        <v>0.19777603653137554</v>
      </c>
    </row>
    <row r="92" spans="1:40">
      <c r="A92" s="334" t="s">
        <v>281</v>
      </c>
      <c r="B92" s="359" t="s">
        <v>287</v>
      </c>
      <c r="C92" s="443" t="s">
        <v>286</v>
      </c>
      <c r="D92" s="420">
        <f>('Energy Efficiency Measures-DBT'!D$57*Detached!D$21)/D$4</f>
        <v>66.092253770888533</v>
      </c>
      <c r="E92" s="421">
        <f>('Energy Efficiency Measures-DBT'!E$57*Detached!E$21)/E$4</f>
        <v>105.34247245998823</v>
      </c>
      <c r="F92" s="421">
        <f>('Energy Efficiency Measures-DBT'!F$57*Detached!F$21)/F$4</f>
        <v>124.5125479170898</v>
      </c>
      <c r="G92" s="421">
        <f>('Energy Efficiency Measures-DBT'!G$57*Detached!G$21)/G$4</f>
        <v>66.092253770888533</v>
      </c>
      <c r="H92" s="421">
        <f>('Energy Efficiency Measures-DBT'!H$57*Detached!H$21)/H$4</f>
        <v>131.14290296793436</v>
      </c>
      <c r="I92" s="421">
        <f>('Energy Efficiency Measures-DBT'!I$57*Detached!I$21)/I$4</f>
        <v>103.11134890014262</v>
      </c>
      <c r="J92" s="421">
        <f>('Energy Efficiency Measures-DBT'!J$57*Detached!J$21)/J$4</f>
        <v>89.413196281282808</v>
      </c>
      <c r="K92" s="421">
        <f>('Energy Efficiency Measures-DBT'!K$57*Detached!K$21)/K$4</f>
        <v>89.753178758414364</v>
      </c>
      <c r="L92" s="421">
        <f>('Energy Efficiency Measures-DBT'!L$57*Detached!L$21)/L$4</f>
        <v>92.860467509775617</v>
      </c>
      <c r="M92" s="421">
        <f>('Energy Efficiency Measures-DBT'!M$57*Detached!M$21)/M$4</f>
        <v>126.05924622363924</v>
      </c>
      <c r="N92" s="421">
        <f>('Energy Efficiency Measures-DBT'!N$57*Detached!N$21)/N$4</f>
        <v>123.71134020618557</v>
      </c>
      <c r="O92" s="421">
        <f>('Energy Efficiency Measures-DBT'!O$57*Detached!O$21)/O$4</f>
        <v>115.48878491596373</v>
      </c>
      <c r="P92" s="421">
        <f>('Energy Efficiency Measures-DBT'!P$57*Detached!P$21)/P$4</f>
        <v>131.14290296793436</v>
      </c>
      <c r="Q92" s="421">
        <f>('Energy Efficiency Measures-DBT'!Q$57*Detached!Q$21)/Q$4</f>
        <v>115.18142186491551</v>
      </c>
      <c r="R92" s="421">
        <f>('Energy Efficiency Measures-DBT'!R$57*Detached!R$21)/R$4</f>
        <v>85.024970610023885</v>
      </c>
      <c r="S92" s="421">
        <f>('Energy Efficiency Measures-DBT'!S$57*Detached!S$21)/S$4</f>
        <v>81.563398384193391</v>
      </c>
      <c r="T92" s="421">
        <f>('Energy Efficiency Measures-DBT'!T$57*Detached!T$21)/T$4</f>
        <v>123.71134020618557</v>
      </c>
      <c r="U92" s="421">
        <f>('Energy Efficiency Measures-DBT'!U$57*Detached!U$21)/U$4</f>
        <v>109.38924339106654</v>
      </c>
      <c r="V92" s="421">
        <f>('Energy Efficiency Measures-DBT'!V$57*Detached!V$21)/V$4</f>
        <v>81.994138868462258</v>
      </c>
      <c r="W92" s="421">
        <f>('Energy Efficiency Measures-DBT'!W$57*Detached!W$21)/W$4</f>
        <v>137.06984669320195</v>
      </c>
      <c r="X92" s="421">
        <f>('Energy Efficiency Measures-DBT'!X$57*Detached!X$21)/X$4</f>
        <v>82.5</v>
      </c>
      <c r="Y92" s="421">
        <f>('Energy Efficiency Measures-DBT'!Y$57*Detached!Y$21)/Y$4</f>
        <v>121.3911547728119</v>
      </c>
      <c r="Z92" s="421">
        <f>('Energy Efficiency Measures-DBT'!Z$57*Detached!Z$21)/Z$4</f>
        <v>83.747563905497842</v>
      </c>
      <c r="AA92" s="421">
        <f>('Energy Efficiency Measures-DBT'!AA$57*Detached!AA$21)/AA$4</f>
        <v>96.230954290296708</v>
      </c>
      <c r="AB92" s="421">
        <f>('Energy Efficiency Measures-DBT'!AB$57*Detached!AB$21)/AB$4</f>
        <v>82.261938235223212</v>
      </c>
      <c r="AC92" s="421">
        <f>('Energy Efficiency Measures-DBT'!AC$57*Detached!AC$21)/AC$4</f>
        <v>120.53510288580706</v>
      </c>
      <c r="AD92" s="421">
        <f>('Energy Efficiency Measures-DBT'!AD$57*Detached!AD$21)/AD$4</f>
        <v>109.02756197494178</v>
      </c>
      <c r="AE92" s="421">
        <f>('Energy Efficiency Measures-DBT'!AE$57*Detached!AE$21)/AE$4</f>
        <v>96.230954290296708</v>
      </c>
      <c r="AF92" s="421">
        <f>('Energy Efficiency Measures-DBT'!AF$57*Detached!AF$21)/AF$4</f>
        <v>82.929630773828947</v>
      </c>
      <c r="AG92" s="421">
        <f>('Energy Efficiency Measures-DBT'!AG$57*Detached!AG$21)/AG$4</f>
        <v>82.366463371259343</v>
      </c>
      <c r="AH92" s="421">
        <f>('Energy Efficiency Measures-DBT'!AH$57*Detached!AH$21)/AH$4</f>
        <v>117.54622260315905</v>
      </c>
      <c r="AI92" s="421">
        <f>('Energy Efficiency Measures-DBT'!AI$57*Detached!AI$21)/AI$4</f>
        <v>86.554315958836682</v>
      </c>
      <c r="AJ92" s="421">
        <f>('Energy Efficiency Measures-DBT'!AJ$57*Detached!AJ$21)/AJ$4</f>
        <v>115.18142186491551</v>
      </c>
      <c r="AK92" s="421">
        <f>('Energy Efficiency Measures-DBT'!AK$57*Detached!AK$21)/AK$4</f>
        <v>86.554315958836682</v>
      </c>
      <c r="AL92" s="421">
        <f>('Energy Efficiency Measures-DBT'!AL$57*Detached!AL$21)/AL$4</f>
        <v>115.18142186491551</v>
      </c>
      <c r="AM92" s="421">
        <f>('Energy Efficiency Measures-DBT'!AM$57*Detached!AM$21)/AM$4</f>
        <v>115.18142186491551</v>
      </c>
      <c r="AN92" s="422">
        <f>('Energy Efficiency Measures-DBT'!AN$57*Detached!AN$21)/AN$4</f>
        <v>115.18142186491551</v>
      </c>
    </row>
    <row r="93" spans="1:40">
      <c r="A93" s="407"/>
      <c r="B93" s="347" t="s">
        <v>291</v>
      </c>
      <c r="C93" s="450" t="s">
        <v>292</v>
      </c>
      <c r="D93" s="451">
        <f t="shared" ref="D93:AN93" si="48">PMT(0.12,20,-D94,0,1)/(D40-D74)/3.6*1000</f>
        <v>113.03967028534719</v>
      </c>
      <c r="E93" s="452">
        <f t="shared" si="48"/>
        <v>124.38978533131477</v>
      </c>
      <c r="F93" s="452">
        <f t="shared" si="48"/>
        <v>145.03326388530581</v>
      </c>
      <c r="G93" s="452">
        <f t="shared" si="48"/>
        <v>116.02635887416172</v>
      </c>
      <c r="H93" s="452">
        <f t="shared" si="48"/>
        <v>790.4506728297049</v>
      </c>
      <c r="I93" s="452">
        <f t="shared" si="48"/>
        <v>123.19107604714935</v>
      </c>
      <c r="J93" s="452">
        <f t="shared" si="48"/>
        <v>101.95506858629014</v>
      </c>
      <c r="K93" s="452">
        <f t="shared" si="48"/>
        <v>156.16593999949777</v>
      </c>
      <c r="L93" s="452">
        <f t="shared" si="48"/>
        <v>137.30888520756994</v>
      </c>
      <c r="M93" s="452">
        <f t="shared" si="48"/>
        <v>156.10466342796403</v>
      </c>
      <c r="N93" s="452">
        <f t="shared" si="48"/>
        <v>112.11412358454541</v>
      </c>
      <c r="O93" s="452">
        <f t="shared" si="48"/>
        <v>151.67468997908927</v>
      </c>
      <c r="P93" s="452">
        <f t="shared" si="48"/>
        <v>308.11059115659299</v>
      </c>
      <c r="Q93" s="452">
        <f t="shared" si="48"/>
        <v>78.738833449048258</v>
      </c>
      <c r="R93" s="452">
        <f t="shared" si="48"/>
        <v>140.65523371804983</v>
      </c>
      <c r="S93" s="452">
        <f t="shared" si="48"/>
        <v>92.477015981463495</v>
      </c>
      <c r="T93" s="452">
        <f t="shared" si="48"/>
        <v>131.8061943266861</v>
      </c>
      <c r="U93" s="452">
        <f t="shared" si="48"/>
        <v>123.74460149178712</v>
      </c>
      <c r="V93" s="452">
        <f t="shared" si="48"/>
        <v>116.28971450133729</v>
      </c>
      <c r="W93" s="452">
        <f t="shared" si="48"/>
        <v>94.217379987252258</v>
      </c>
      <c r="X93" s="452">
        <f t="shared" si="48"/>
        <v>83.383711286357908</v>
      </c>
      <c r="Y93" s="452">
        <f t="shared" si="48"/>
        <v>443.12077209366379</v>
      </c>
      <c r="Z93" s="452">
        <f t="shared" si="48"/>
        <v>104.85894395482217</v>
      </c>
      <c r="AA93" s="452">
        <f t="shared" si="48"/>
        <v>90.540236535151422</v>
      </c>
      <c r="AB93" s="452">
        <f t="shared" si="48"/>
        <v>75.887328175012755</v>
      </c>
      <c r="AC93" s="452">
        <f t="shared" si="48"/>
        <v>324.20269843402735</v>
      </c>
      <c r="AD93" s="452">
        <f t="shared" si="48"/>
        <v>130.62818912499503</v>
      </c>
      <c r="AE93" s="452">
        <f t="shared" si="48"/>
        <v>93.899738331643178</v>
      </c>
      <c r="AF93" s="452">
        <f t="shared" si="48"/>
        <v>140.70329833490413</v>
      </c>
      <c r="AG93" s="452">
        <f t="shared" si="48"/>
        <v>74.83786677115873</v>
      </c>
      <c r="AH93" s="452">
        <f t="shared" si="48"/>
        <v>93.972296829732429</v>
      </c>
      <c r="AI93" s="452">
        <f t="shared" si="48"/>
        <v>203.35299016335139</v>
      </c>
      <c r="AJ93" s="452">
        <f t="shared" si="48"/>
        <v>111.73041024657402</v>
      </c>
      <c r="AK93" s="452">
        <f t="shared" si="48"/>
        <v>123.73297886012587</v>
      </c>
      <c r="AL93" s="452">
        <f t="shared" si="48"/>
        <v>144.38848199034805</v>
      </c>
      <c r="AM93" s="452">
        <f t="shared" si="48"/>
        <v>121.50214318589114</v>
      </c>
      <c r="AN93" s="453">
        <f t="shared" si="48"/>
        <v>121.50214318589114</v>
      </c>
    </row>
    <row r="94" spans="1:40">
      <c r="A94" s="404"/>
      <c r="B94" s="338" t="s">
        <v>287</v>
      </c>
      <c r="C94" s="444" t="s">
        <v>288</v>
      </c>
      <c r="D94" s="423">
        <f t="shared" ref="D94:AN94" si="49">D92*D$4</f>
        <v>9900</v>
      </c>
      <c r="E94" s="424">
        <f t="shared" si="49"/>
        <v>15000</v>
      </c>
      <c r="F94" s="424">
        <f t="shared" si="49"/>
        <v>9900</v>
      </c>
      <c r="G94" s="424">
        <f t="shared" si="49"/>
        <v>9900</v>
      </c>
      <c r="H94" s="424">
        <f t="shared" si="49"/>
        <v>14999.999999999998</v>
      </c>
      <c r="I94" s="424">
        <f t="shared" si="49"/>
        <v>12870</v>
      </c>
      <c r="J94" s="424">
        <f t="shared" si="49"/>
        <v>12000</v>
      </c>
      <c r="K94" s="424">
        <f t="shared" si="49"/>
        <v>15000</v>
      </c>
      <c r="L94" s="424">
        <f t="shared" si="49"/>
        <v>9900</v>
      </c>
      <c r="M94" s="424">
        <f t="shared" si="49"/>
        <v>17485.714285714286</v>
      </c>
      <c r="N94" s="424">
        <f t="shared" si="49"/>
        <v>15000</v>
      </c>
      <c r="O94" s="424">
        <f t="shared" si="49"/>
        <v>16114.285714285714</v>
      </c>
      <c r="P94" s="424">
        <f t="shared" si="49"/>
        <v>14999.999999999998</v>
      </c>
      <c r="Q94" s="424">
        <f t="shared" si="49"/>
        <v>9900</v>
      </c>
      <c r="R94" s="424">
        <f t="shared" si="49"/>
        <v>9900</v>
      </c>
      <c r="S94" s="424">
        <f t="shared" si="49"/>
        <v>12000</v>
      </c>
      <c r="T94" s="424">
        <f t="shared" si="49"/>
        <v>15000</v>
      </c>
      <c r="U94" s="424">
        <f t="shared" si="49"/>
        <v>15000</v>
      </c>
      <c r="V94" s="424">
        <f t="shared" si="49"/>
        <v>9900</v>
      </c>
      <c r="W94" s="424">
        <f t="shared" si="49"/>
        <v>15000</v>
      </c>
      <c r="X94" s="424">
        <f t="shared" si="49"/>
        <v>9900</v>
      </c>
      <c r="Y94" s="424">
        <f t="shared" si="49"/>
        <v>15000</v>
      </c>
      <c r="Z94" s="424">
        <f t="shared" si="49"/>
        <v>12000</v>
      </c>
      <c r="AA94" s="424">
        <f t="shared" si="49"/>
        <v>15000</v>
      </c>
      <c r="AB94" s="424">
        <f t="shared" si="49"/>
        <v>9900</v>
      </c>
      <c r="AC94" s="424">
        <f t="shared" si="49"/>
        <v>17485.714285714286</v>
      </c>
      <c r="AD94" s="424">
        <f t="shared" si="49"/>
        <v>9900</v>
      </c>
      <c r="AE94" s="424">
        <f t="shared" si="49"/>
        <v>15000</v>
      </c>
      <c r="AF94" s="424">
        <f t="shared" si="49"/>
        <v>9900</v>
      </c>
      <c r="AG94" s="424">
        <f t="shared" si="49"/>
        <v>9900</v>
      </c>
      <c r="AH94" s="424">
        <f t="shared" si="49"/>
        <v>12000</v>
      </c>
      <c r="AI94" s="424">
        <f t="shared" si="49"/>
        <v>9900</v>
      </c>
      <c r="AJ94" s="424">
        <f t="shared" si="49"/>
        <v>9900</v>
      </c>
      <c r="AK94" s="424">
        <f t="shared" si="49"/>
        <v>9900</v>
      </c>
      <c r="AL94" s="424">
        <f t="shared" si="49"/>
        <v>9900</v>
      </c>
      <c r="AM94" s="424">
        <f t="shared" si="49"/>
        <v>9900</v>
      </c>
      <c r="AN94" s="425">
        <f t="shared" si="49"/>
        <v>9900</v>
      </c>
    </row>
    <row r="95" spans="1:40">
      <c r="D95" s="410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1:40">
      <c r="A96" s="162" t="s">
        <v>294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1:40">
      <c r="A97" s="938" t="s">
        <v>123</v>
      </c>
      <c r="B97" s="939"/>
      <c r="C97" s="138" t="s">
        <v>76</v>
      </c>
      <c r="D97" s="194">
        <v>1</v>
      </c>
      <c r="E97" s="195">
        <v>1</v>
      </c>
      <c r="F97" s="195">
        <v>1</v>
      </c>
      <c r="G97" s="195">
        <v>1</v>
      </c>
      <c r="H97" s="195">
        <v>1</v>
      </c>
      <c r="I97" s="195">
        <v>1</v>
      </c>
      <c r="J97" s="195">
        <v>1</v>
      </c>
      <c r="K97" s="195">
        <v>1</v>
      </c>
      <c r="L97" s="195">
        <v>1</v>
      </c>
      <c r="M97" s="195">
        <v>1</v>
      </c>
      <c r="N97" s="195">
        <v>1</v>
      </c>
      <c r="O97" s="195">
        <v>1</v>
      </c>
      <c r="P97" s="195">
        <v>1</v>
      </c>
      <c r="Q97" s="195">
        <v>1</v>
      </c>
      <c r="R97" s="195">
        <v>1</v>
      </c>
      <c r="S97" s="195">
        <v>1</v>
      </c>
      <c r="T97" s="195">
        <v>1</v>
      </c>
      <c r="U97" s="195">
        <v>1</v>
      </c>
      <c r="V97" s="195">
        <v>1</v>
      </c>
      <c r="W97" s="195">
        <v>1</v>
      </c>
      <c r="X97" s="195">
        <v>1</v>
      </c>
      <c r="Y97" s="195">
        <v>1</v>
      </c>
      <c r="Z97" s="195">
        <v>1</v>
      </c>
      <c r="AA97" s="195">
        <v>1</v>
      </c>
      <c r="AB97" s="195">
        <v>1</v>
      </c>
      <c r="AC97" s="195">
        <v>1</v>
      </c>
      <c r="AD97" s="195">
        <v>1</v>
      </c>
      <c r="AE97" s="195">
        <v>1</v>
      </c>
      <c r="AF97" s="195">
        <v>1</v>
      </c>
      <c r="AG97" s="195">
        <v>1</v>
      </c>
      <c r="AH97" s="195">
        <v>1</v>
      </c>
      <c r="AI97" s="195">
        <v>1</v>
      </c>
      <c r="AJ97" s="195">
        <v>1</v>
      </c>
      <c r="AK97" s="195">
        <v>1</v>
      </c>
      <c r="AL97" s="195">
        <v>1</v>
      </c>
      <c r="AM97" s="195">
        <v>1</v>
      </c>
      <c r="AN97" s="196">
        <v>1</v>
      </c>
    </row>
    <row r="98" spans="1:40">
      <c r="A98" s="151" t="s">
        <v>193</v>
      </c>
      <c r="B98" s="141" t="s">
        <v>2</v>
      </c>
      <c r="C98" s="144" t="s">
        <v>195</v>
      </c>
      <c r="D98" s="170">
        <f>((LOOKUP(D$2,'Ceiling-U'!$A$4:$A$40,'Ceiling-U'!$X$4:$X$40)*D$14)+(LOOKUP(D$2,'Floor-U'!$A$4:$A$40,'Floor-U'!$E$4:$E$40)*D$15)+(LOOKUP(D$2,'Wall-U'!$A$4:$A$40,'Wall-U'!$E$4:$E$40)*D$12)+(LOOKUP(D$2,'Window-U'!$A$4:$A$40,'Window-U'!$S$4:$S$40)*D$21))*D$97</f>
        <v>409.48041711436372</v>
      </c>
      <c r="E98" s="171">
        <f>((LOOKUP(E$2,'Ceiling-U'!$A$4:$A$40,'Ceiling-U'!$X$4:$X$40)*E$14)+(LOOKUP(E$2,'Floor-U'!$A$4:$A$40,'Floor-U'!$E$4:$E$40)*E$15)+(LOOKUP(E$2,'Wall-U'!$A$4:$A$40,'Wall-U'!$E$4:$E$40)*E$12)+(LOOKUP(E$2,'Window-U'!$A$4:$A$40,'Window-U'!$S$4:$S$40)*E$21))*E$97</f>
        <v>429.7717756194196</v>
      </c>
      <c r="F98" s="171">
        <f>((LOOKUP(F$2,'Ceiling-U'!$A$4:$A$40,'Ceiling-U'!$X$4:$X$40)*F$14)+(LOOKUP(F$2,'Floor-U'!$A$4:$A$40,'Floor-U'!$E$4:$E$40)*F$15)+(LOOKUP(F$2,'Wall-U'!$A$4:$A$40,'Wall-U'!$E$4:$E$40)*F$12)+(LOOKUP(F$2,'Window-U'!$A$4:$A$40,'Window-U'!$S$4:$S$40)*F$21))*F$97</f>
        <v>267.41807142365514</v>
      </c>
      <c r="G98" s="171">
        <f>((LOOKUP(G$2,'Ceiling-U'!$A$4:$A$40,'Ceiling-U'!$X$4:$X$40)*G$14)+(LOOKUP(G$2,'Floor-U'!$A$4:$A$40,'Floor-U'!$E$4:$E$40)*G$15)+(LOOKUP(G$2,'Wall-U'!$A$4:$A$40,'Wall-U'!$E$4:$E$40)*G$12)+(LOOKUP(G$2,'Window-U'!$A$4:$A$40,'Window-U'!$S$4:$S$40)*G$21))*G$97</f>
        <v>409.48041711436372</v>
      </c>
      <c r="H98" s="171">
        <f>((LOOKUP(H$2,'Ceiling-U'!$A$4:$A$40,'Ceiling-U'!$X$4:$X$40)*H$14)+(LOOKUP(H$2,'Floor-U'!$A$4:$A$40,'Floor-U'!$E$4:$E$40)*H$15)+(LOOKUP(H$2,'Wall-U'!$A$4:$A$40,'Wall-U'!$E$4:$E$40)*H$12)+(LOOKUP(H$2,'Window-U'!$A$4:$A$40,'Window-U'!$S$4:$S$40)*H$21))*H$97</f>
        <v>538.65041608477543</v>
      </c>
      <c r="I98" s="171">
        <f>((LOOKUP(I$2,'Ceiling-U'!$A$4:$A$40,'Ceiling-U'!$X$4:$X$40)*I$14)+(LOOKUP(I$2,'Floor-U'!$A$4:$A$40,'Floor-U'!$E$4:$E$40)*I$15)+(LOOKUP(I$2,'Wall-U'!$A$4:$A$40,'Wall-U'!$E$4:$E$40)*I$12)+(LOOKUP(I$2,'Window-U'!$A$4:$A$40,'Window-U'!$S$4:$S$40)*I$21))*I$97</f>
        <v>265.76262322295122</v>
      </c>
      <c r="J98" s="171">
        <f>((LOOKUP(J$2,'Ceiling-U'!$A$4:$A$40,'Ceiling-U'!$X$4:$X$40)*J$14)+(LOOKUP(J$2,'Floor-U'!$A$4:$A$40,'Floor-U'!$E$4:$E$40)*J$15)+(LOOKUP(J$2,'Wall-U'!$A$4:$A$40,'Wall-U'!$E$4:$E$40)*J$12)+(LOOKUP(J$2,'Window-U'!$A$4:$A$40,'Window-U'!$S$4:$S$40)*J$21))*J$97</f>
        <v>405.07238088377949</v>
      </c>
      <c r="K98" s="171">
        <f>((LOOKUP(K$2,'Ceiling-U'!$A$4:$A$40,'Ceiling-U'!$X$4:$X$40)*K$14)+(LOOKUP(K$2,'Floor-U'!$A$4:$A$40,'Floor-U'!$E$4:$E$40)*K$15)+(LOOKUP(K$2,'Wall-U'!$A$4:$A$40,'Wall-U'!$E$4:$E$40)*K$12)+(LOOKUP(K$2,'Window-U'!$A$4:$A$40,'Window-U'!$S$4:$S$40)*K$21))*K$97</f>
        <v>259.5934236313368</v>
      </c>
      <c r="L98" s="171">
        <f>((LOOKUP(L$2,'Ceiling-U'!$A$4:$A$40,'Ceiling-U'!$X$4:$X$40)*L$14)+(LOOKUP(L$2,'Floor-U'!$A$4:$A$40,'Floor-U'!$E$4:$E$40)*L$15)+(LOOKUP(L$2,'Wall-U'!$A$4:$A$40,'Wall-U'!$E$4:$E$40)*L$12)+(LOOKUP(L$2,'Window-U'!$A$4:$A$40,'Window-U'!$S$4:$S$40)*L$21))*L$97</f>
        <v>123.13641340138432</v>
      </c>
      <c r="M98" s="171">
        <f>((LOOKUP(M$2,'Ceiling-U'!$A$4:$A$40,'Ceiling-U'!$X$4:$X$40)*M$14)+(LOOKUP(M$2,'Floor-U'!$A$4:$A$40,'Floor-U'!$E$4:$E$40)*M$15)+(LOOKUP(M$2,'Wall-U'!$A$4:$A$40,'Wall-U'!$E$4:$E$40)*M$12)+(LOOKUP(M$2,'Window-U'!$A$4:$A$40,'Window-U'!$S$4:$S$40)*M$21))*M$97</f>
        <v>642.8435290742641</v>
      </c>
      <c r="N98" s="171">
        <f>((LOOKUP(N$2,'Ceiling-U'!$A$4:$A$40,'Ceiling-U'!$X$4:$X$40)*N$14)+(LOOKUP(N$2,'Floor-U'!$A$4:$A$40,'Floor-U'!$E$4:$E$40)*N$15)+(LOOKUP(N$2,'Wall-U'!$A$4:$A$40,'Wall-U'!$E$4:$E$40)*N$12)+(LOOKUP(N$2,'Window-U'!$A$4:$A$40,'Window-U'!$S$4:$S$40)*N$21))*N$97</f>
        <v>165.18292531726155</v>
      </c>
      <c r="O98" s="171">
        <f>((LOOKUP(O$2,'Ceiling-U'!$A$4:$A$40,'Ceiling-U'!$X$4:$X$40)*O$14)+(LOOKUP(O$2,'Floor-U'!$A$4:$A$40,'Floor-U'!$E$4:$E$40)*O$15)+(LOOKUP(O$2,'Wall-U'!$A$4:$A$40,'Wall-U'!$E$4:$E$40)*O$12)+(LOOKUP(O$2,'Window-U'!$A$4:$A$40,'Window-U'!$S$4:$S$40)*O$21))*O$97</f>
        <v>609.81404570103302</v>
      </c>
      <c r="P98" s="171">
        <f>((LOOKUP(P$2,'Ceiling-U'!$A$4:$A$40,'Ceiling-U'!$X$4:$X$40)*P$14)+(LOOKUP(P$2,'Floor-U'!$A$4:$A$40,'Floor-U'!$E$4:$E$40)*P$15)+(LOOKUP(P$2,'Wall-U'!$A$4:$A$40,'Wall-U'!$E$4:$E$40)*P$12)+(LOOKUP(P$2,'Window-U'!$A$4:$A$40,'Window-U'!$S$4:$S$40)*P$21))*P$97</f>
        <v>553.69002429622105</v>
      </c>
      <c r="Q98" s="171">
        <f>((LOOKUP(Q$2,'Ceiling-U'!$A$4:$A$40,'Ceiling-U'!$X$4:$X$40)*Q$14)+(LOOKUP(Q$2,'Floor-U'!$A$4:$A$40,'Floor-U'!$E$4:$E$40)*Q$15)+(LOOKUP(Q$2,'Wall-U'!$A$4:$A$40,'Wall-U'!$E$4:$E$40)*Q$12)+(LOOKUP(Q$2,'Window-U'!$A$4:$A$40,'Window-U'!$S$4:$S$40)*Q$21))*Q$97</f>
        <v>234.20530737651401</v>
      </c>
      <c r="R98" s="171">
        <f>((LOOKUP(R$2,'Ceiling-U'!$A$4:$A$40,'Ceiling-U'!$X$4:$X$40)*R$14)+(LOOKUP(R$2,'Floor-U'!$A$4:$A$40,'Floor-U'!$E$4:$E$40)*R$15)+(LOOKUP(R$2,'Wall-U'!$A$4:$A$40,'Wall-U'!$E$4:$E$40)*R$12)+(LOOKUP(R$2,'Window-U'!$A$4:$A$40,'Window-U'!$S$4:$S$40)*R$21))*R$97</f>
        <v>338.96160843273509</v>
      </c>
      <c r="S98" s="171">
        <f>((LOOKUP(S$2,'Ceiling-U'!$A$4:$A$40,'Ceiling-U'!$X$4:$X$40)*S$14)+(LOOKUP(S$2,'Floor-U'!$A$4:$A$40,'Floor-U'!$E$4:$E$40)*S$15)+(LOOKUP(S$2,'Wall-U'!$A$4:$A$40,'Wall-U'!$E$4:$E$40)*S$12)+(LOOKUP(S$2,'Window-U'!$A$4:$A$40,'Window-U'!$S$4:$S$40)*S$21))*S$97</f>
        <v>392.59473176650181</v>
      </c>
      <c r="T98" s="171">
        <f>((LOOKUP(T$2,'Ceiling-U'!$A$4:$A$40,'Ceiling-U'!$X$4:$X$40)*T$14)+(LOOKUP(T$2,'Floor-U'!$A$4:$A$40,'Floor-U'!$E$4:$E$40)*T$15)+(LOOKUP(T$2,'Wall-U'!$A$4:$A$40,'Wall-U'!$E$4:$E$40)*T$12)+(LOOKUP(T$2,'Window-U'!$A$4:$A$40,'Window-U'!$S$4:$S$40)*T$21))*T$97</f>
        <v>165.18292531726155</v>
      </c>
      <c r="U98" s="171">
        <f>((LOOKUP(U$2,'Ceiling-U'!$A$4:$A$40,'Ceiling-U'!$X$4:$X$40)*U$14)+(LOOKUP(U$2,'Floor-U'!$A$4:$A$40,'Floor-U'!$E$4:$E$40)*U$15)+(LOOKUP(U$2,'Wall-U'!$A$4:$A$40,'Wall-U'!$E$4:$E$40)*U$12)+(LOOKUP(U$2,'Window-U'!$A$4:$A$40,'Window-U'!$S$4:$S$40)*U$21))*U$97</f>
        <v>473.32832233050596</v>
      </c>
      <c r="V98" s="171">
        <f>((LOOKUP(V$2,'Ceiling-U'!$A$4:$A$40,'Ceiling-U'!$X$4:$X$40)*V$14)+(LOOKUP(V$2,'Floor-U'!$A$4:$A$40,'Floor-U'!$E$4:$E$40)*V$15)+(LOOKUP(V$2,'Wall-U'!$A$4:$A$40,'Wall-U'!$E$4:$E$40)*V$12)+(LOOKUP(V$2,'Window-U'!$A$4:$A$40,'Window-U'!$S$4:$S$40)*V$21))*V$97</f>
        <v>250.516686567433</v>
      </c>
      <c r="W98" s="171">
        <f>((LOOKUP(W$2,'Ceiling-U'!$A$4:$A$40,'Ceiling-U'!$X$4:$X$40)*W$14)+(LOOKUP(W$2,'Floor-U'!$A$4:$A$40,'Floor-U'!$E$4:$E$40)*W$15)+(LOOKUP(W$2,'Wall-U'!$A$4:$A$40,'Wall-U'!$E$4:$E$40)*W$12)+(LOOKUP(W$2,'Window-U'!$A$4:$A$40,'Window-U'!$S$4:$S$40)*W$21))*W$97</f>
        <v>281.61704902708067</v>
      </c>
      <c r="X98" s="171">
        <f>((LOOKUP(X$2,'Ceiling-U'!$A$4:$A$40,'Ceiling-U'!$X$4:$X$40)*X$14)+(LOOKUP(X$2,'Floor-U'!$A$4:$A$40,'Floor-U'!$E$4:$E$40)*X$15)+(LOOKUP(X$2,'Wall-U'!$A$4:$A$40,'Wall-U'!$E$4:$E$40)*X$12)+(LOOKUP(X$2,'Window-U'!$A$4:$A$40,'Window-U'!$S$4:$S$40)*X$21))*X$97</f>
        <v>245.84865516341057</v>
      </c>
      <c r="Y98" s="171">
        <f>((LOOKUP(Y$2,'Ceiling-U'!$A$4:$A$40,'Ceiling-U'!$X$4:$X$40)*Y$14)+(LOOKUP(Y$2,'Floor-U'!$A$4:$A$40,'Floor-U'!$E$4:$E$40)*Y$15)+(LOOKUP(Y$2,'Wall-U'!$A$4:$A$40,'Wall-U'!$E$4:$E$40)*Y$12)+(LOOKUP(Y$2,'Window-U'!$A$4:$A$40,'Window-U'!$S$4:$S$40)*Y$21))*Y$97</f>
        <v>673.61149439218036</v>
      </c>
      <c r="Z98" s="171">
        <f>((LOOKUP(Z$2,'Ceiling-U'!$A$4:$A$40,'Ceiling-U'!$X$4:$X$40)*Z$14)+(LOOKUP(Z$2,'Floor-U'!$A$4:$A$40,'Floor-U'!$E$4:$E$40)*Z$15)+(LOOKUP(Z$2,'Wall-U'!$A$4:$A$40,'Wall-U'!$E$4:$E$40)*Z$12)+(LOOKUP(Z$2,'Window-U'!$A$4:$A$40,'Window-U'!$S$4:$S$40)*Z$21))*Z$97</f>
        <v>434.34672161635183</v>
      </c>
      <c r="AA98" s="171">
        <f>((LOOKUP(AA$2,'Ceiling-U'!$A$4:$A$40,'Ceiling-U'!$X$4:$X$40)*AA$14)+(LOOKUP(AA$2,'Floor-U'!$A$4:$A$40,'Floor-U'!$E$4:$E$40)*AA$15)+(LOOKUP(AA$2,'Wall-U'!$A$4:$A$40,'Wall-U'!$E$4:$E$40)*AA$12)+(LOOKUP(AA$2,'Window-U'!$A$4:$A$40,'Window-U'!$S$4:$S$40)*AA$21))*AA$97</f>
        <v>138.50717753813515</v>
      </c>
      <c r="AB98" s="171">
        <f>((LOOKUP(AB$2,'Ceiling-U'!$A$4:$A$40,'Ceiling-U'!$X$4:$X$40)*AB$14)+(LOOKUP(AB$2,'Floor-U'!$A$4:$A$40,'Floor-U'!$E$4:$E$40)*AB$15)+(LOOKUP(AB$2,'Wall-U'!$A$4:$A$40,'Wall-U'!$E$4:$E$40)*AB$12)+(LOOKUP(AB$2,'Window-U'!$A$4:$A$40,'Window-U'!$S$4:$S$40)*AB$21))*AB$97</f>
        <v>382.36072257270598</v>
      </c>
      <c r="AC98" s="171">
        <f>((LOOKUP(AC$2,'Ceiling-U'!$A$4:$A$40,'Ceiling-U'!$X$4:$X$40)*AC$14)+(LOOKUP(AC$2,'Floor-U'!$A$4:$A$40,'Floor-U'!$E$4:$E$40)*AC$15)+(LOOKUP(AC$2,'Wall-U'!$A$4:$A$40,'Wall-U'!$E$4:$E$40)*AC$12)+(LOOKUP(AC$2,'Window-U'!$A$4:$A$40,'Window-U'!$S$4:$S$40)*AC$21))*AC$97</f>
        <v>531.70575612967025</v>
      </c>
      <c r="AD98" s="171">
        <f>((LOOKUP(AD$2,'Ceiling-U'!$A$4:$A$40,'Ceiling-U'!$X$4:$X$40)*AD$14)+(LOOKUP(AD$2,'Floor-U'!$A$4:$A$40,'Floor-U'!$E$4:$E$40)*AD$15)+(LOOKUP(AD$2,'Wall-U'!$A$4:$A$40,'Wall-U'!$E$4:$E$40)*AD$12)+(LOOKUP(AD$2,'Window-U'!$A$4:$A$40,'Window-U'!$S$4:$S$40)*AD$21))*AD$97</f>
        <v>361.47507052340461</v>
      </c>
      <c r="AE98" s="171">
        <f>((LOOKUP(AE$2,'Ceiling-U'!$A$4:$A$40,'Ceiling-U'!$X$4:$X$40)*AE$14)+(LOOKUP(AE$2,'Floor-U'!$A$4:$A$40,'Floor-U'!$E$4:$E$40)*AE$15)+(LOOKUP(AE$2,'Wall-U'!$A$4:$A$40,'Wall-U'!$E$4:$E$40)*AE$12)+(LOOKUP(AE$2,'Window-U'!$A$4:$A$40,'Window-U'!$S$4:$S$40)*AE$21))*AE$97</f>
        <v>138.50717753813515</v>
      </c>
      <c r="AF98" s="171">
        <f>((LOOKUP(AF$2,'Ceiling-U'!$A$4:$A$40,'Ceiling-U'!$X$4:$X$40)*AF$14)+(LOOKUP(AF$2,'Floor-U'!$A$4:$A$40,'Floor-U'!$E$4:$E$40)*AF$15)+(LOOKUP(AF$2,'Wall-U'!$A$4:$A$40,'Wall-U'!$E$4:$E$40)*AF$12)+(LOOKUP(AF$2,'Window-U'!$A$4:$A$40,'Window-U'!$S$4:$S$40)*AF$21))*AF$97</f>
        <v>319.70465739821395</v>
      </c>
      <c r="AG98" s="171">
        <f>((LOOKUP(AG$2,'Ceiling-U'!$A$4:$A$40,'Ceiling-U'!$X$4:$X$40)*AG$14)+(LOOKUP(AG$2,'Floor-U'!$A$4:$A$40,'Floor-U'!$E$4:$E$40)*AG$15)+(LOOKUP(AG$2,'Wall-U'!$A$4:$A$40,'Wall-U'!$E$4:$E$40)*AG$12)+(LOOKUP(AG$2,'Window-U'!$A$4:$A$40,'Window-U'!$S$4:$S$40)*AG$21))*AG$97</f>
        <v>394.63259561341079</v>
      </c>
      <c r="AH98" s="171">
        <f>((LOOKUP(AH$2,'Ceiling-U'!$A$4:$A$40,'Ceiling-U'!$X$4:$X$40)*AH$14)+(LOOKUP(AH$2,'Floor-U'!$A$4:$A$40,'Floor-U'!$E$4:$E$40)*AH$15)+(LOOKUP(AH$2,'Wall-U'!$A$4:$A$40,'Wall-U'!$E$4:$E$40)*AH$12)+(LOOKUP(AH$2,'Window-U'!$A$4:$A$40,'Window-U'!$S$4:$S$40)*AH$21))*AH$97</f>
        <v>322.6912325034499</v>
      </c>
      <c r="AI98" s="171">
        <f>((LOOKUP(AI$2,'Ceiling-U'!$A$4:$A$40,'Ceiling-U'!$X$4:$X$40)*AI$14)+(LOOKUP(AI$2,'Floor-U'!$A$4:$A$40,'Floor-U'!$E$4:$E$40)*AI$15)+(LOOKUP(AI$2,'Wall-U'!$A$4:$A$40,'Wall-U'!$E$4:$E$40)*AI$12)+(LOOKUP(AI$2,'Window-U'!$A$4:$A$40,'Window-U'!$S$4:$S$40)*AI$21))*AI$97</f>
        <v>553.69002429622105</v>
      </c>
      <c r="AJ98" s="171">
        <f>((LOOKUP(AJ$2,'Ceiling-U'!$A$4:$A$40,'Ceiling-U'!$X$4:$X$40)*AJ$14)+(LOOKUP(AJ$2,'Floor-U'!$A$4:$A$40,'Floor-U'!$E$4:$E$40)*AJ$15)+(LOOKUP(AJ$2,'Wall-U'!$A$4:$A$40,'Wall-U'!$E$4:$E$40)*AJ$12)+(LOOKUP(AJ$2,'Window-U'!$A$4:$A$40,'Window-U'!$S$4:$S$40)*AJ$21))*AJ$97</f>
        <v>255.88406886772401</v>
      </c>
      <c r="AK98" s="171">
        <f>((LOOKUP(AK$2,'Ceiling-U'!$A$4:$A$40,'Ceiling-U'!$X$4:$X$40)*AK$14)+(LOOKUP(AK$2,'Floor-U'!$A$4:$A$40,'Floor-U'!$E$4:$E$40)*AK$15)+(LOOKUP(AK$2,'Wall-U'!$A$4:$A$40,'Wall-U'!$E$4:$E$40)*AK$12)+(LOOKUP(AK$2,'Window-U'!$A$4:$A$40,'Window-U'!$S$4:$S$40)*AK$21))*AK$97</f>
        <v>308.03620429906891</v>
      </c>
      <c r="AL98" s="171">
        <f>((LOOKUP(AL$2,'Ceiling-U'!$A$4:$A$40,'Ceiling-U'!$X$4:$X$40)*AL$14)+(LOOKUP(AL$2,'Floor-U'!$A$4:$A$40,'Floor-U'!$E$4:$E$40)*AL$15)+(LOOKUP(AL$2,'Wall-U'!$A$4:$A$40,'Wall-U'!$E$4:$E$40)*AL$12)+(LOOKUP(AL$2,'Window-U'!$A$4:$A$40,'Window-U'!$S$4:$S$40)*AL$21))*AL$97</f>
        <v>281.35467094451712</v>
      </c>
      <c r="AM98" s="171">
        <f>((LOOKUP(AM$2,'Ceiling-U'!$A$4:$A$40,'Ceiling-U'!$X$4:$X$40)*AM$14)+(LOOKUP(AM$2,'Floor-U'!$A$4:$A$40,'Floor-U'!$E$4:$E$40)*AM$15)+(LOOKUP(AM$2,'Wall-U'!$A$4:$A$40,'Wall-U'!$E$4:$E$40)*AM$12)+(LOOKUP(AM$2,'Window-U'!$A$4:$A$40,'Window-U'!$S$4:$S$40)*AM$21))*AM$97</f>
        <v>255.88406886772401</v>
      </c>
      <c r="AN98" s="172">
        <f>((LOOKUP(AN$2,'Ceiling-U'!$A$4:$A$40,'Ceiling-U'!$X$4:$X$40)*AN$14)+(LOOKUP(AN$2,'Floor-U'!$A$4:$A$40,'Floor-U'!$E$4:$E$40)*AN$15)+(LOOKUP(AN$2,'Wall-U'!$A$4:$A$40,'Wall-U'!$E$4:$E$40)*AN$12)+(LOOKUP(AN$2,'Window-U'!$A$4:$A$40,'Window-U'!$S$4:$S$40)*AN$21))*AN$97</f>
        <v>255.88406886772401</v>
      </c>
    </row>
    <row r="99" spans="1:40">
      <c r="A99" s="372"/>
      <c r="B99" s="142" t="s">
        <v>3</v>
      </c>
      <c r="C99" s="131" t="s">
        <v>195</v>
      </c>
      <c r="D99" s="176">
        <f>((LOOKUP(D$2,'Ceiling-U'!$A$4:$A$40,'Ceiling-U'!$Y$4:$Y$40)*D$14)+(LOOKUP(D$2,'Floor-U'!$A$4:$A$40,'Floor-U'!$F$4:$F$40)*D$15)+(LOOKUP(D$2,'Wall-U'!$A$4:$A$40,'Wall-U'!$F$4:$F$40)*D$12)+(LOOKUP(D$2,'Window-U'!$A$4:$A$40,'Window-U'!$S$4:$S$40)*D$21))*D$97</f>
        <v>379.49905491340246</v>
      </c>
      <c r="E99" s="177">
        <f>((LOOKUP(E$2,'Ceiling-U'!$A$4:$A$40,'Ceiling-U'!$Y$4:$Y$40)*E$14)+(LOOKUP(E$2,'Floor-U'!$A$4:$A$40,'Floor-U'!$F$4:$F$40)*E$15)+(LOOKUP(E$2,'Wall-U'!$A$4:$A$40,'Wall-U'!$F$4:$F$40)*E$12)+(LOOKUP(E$2,'Window-U'!$A$4:$A$40,'Window-U'!$S$4:$S$40)*E$21))*E$97</f>
        <v>429.7717756194196</v>
      </c>
      <c r="F99" s="177">
        <f>((LOOKUP(F$2,'Ceiling-U'!$A$4:$A$40,'Ceiling-U'!$Y$4:$Y$40)*F$14)+(LOOKUP(F$2,'Floor-U'!$A$4:$A$40,'Floor-U'!$F$4:$F$40)*F$15)+(LOOKUP(F$2,'Wall-U'!$A$4:$A$40,'Wall-U'!$F$4:$F$40)*F$12)+(LOOKUP(F$2,'Window-U'!$A$4:$A$40,'Window-U'!$S$4:$S$40)*F$21))*F$97</f>
        <v>267.41807142365514</v>
      </c>
      <c r="G99" s="177">
        <f>((LOOKUP(G$2,'Ceiling-U'!$A$4:$A$40,'Ceiling-U'!$Y$4:$Y$40)*G$14)+(LOOKUP(G$2,'Floor-U'!$A$4:$A$40,'Floor-U'!$F$4:$F$40)*G$15)+(LOOKUP(G$2,'Wall-U'!$A$4:$A$40,'Wall-U'!$F$4:$F$40)*G$12)+(LOOKUP(G$2,'Window-U'!$A$4:$A$40,'Window-U'!$S$4:$S$40)*G$21))*G$97</f>
        <v>379.49905491340246</v>
      </c>
      <c r="H99" s="177">
        <f>((LOOKUP(H$2,'Ceiling-U'!$A$4:$A$40,'Ceiling-U'!$Y$4:$Y$40)*H$14)+(LOOKUP(H$2,'Floor-U'!$A$4:$A$40,'Floor-U'!$F$4:$F$40)*H$15)+(LOOKUP(H$2,'Wall-U'!$A$4:$A$40,'Wall-U'!$F$4:$F$40)*H$12)+(LOOKUP(H$2,'Window-U'!$A$4:$A$40,'Window-U'!$S$4:$S$40)*H$21))*H$97</f>
        <v>484.86897722078606</v>
      </c>
      <c r="I99" s="177">
        <f>((LOOKUP(I$2,'Ceiling-U'!$A$4:$A$40,'Ceiling-U'!$Y$4:$Y$40)*I$14)+(LOOKUP(I$2,'Floor-U'!$A$4:$A$40,'Floor-U'!$F$4:$F$40)*I$15)+(LOOKUP(I$2,'Wall-U'!$A$4:$A$40,'Wall-U'!$F$4:$F$40)*I$12)+(LOOKUP(I$2,'Window-U'!$A$4:$A$40,'Window-U'!$S$4:$S$40)*I$21))*I$97</f>
        <v>224.80416279792939</v>
      </c>
      <c r="J99" s="177">
        <f>((LOOKUP(J$2,'Ceiling-U'!$A$4:$A$40,'Ceiling-U'!$Y$4:$Y$40)*J$14)+(LOOKUP(J$2,'Floor-U'!$A$4:$A$40,'Floor-U'!$F$4:$F$40)*J$15)+(LOOKUP(J$2,'Wall-U'!$A$4:$A$40,'Wall-U'!$F$4:$F$40)*J$12)+(LOOKUP(J$2,'Window-U'!$A$4:$A$40,'Window-U'!$S$4:$S$40)*J$21))*J$97</f>
        <v>338.0789488689893</v>
      </c>
      <c r="K99" s="177">
        <f>((LOOKUP(K$2,'Ceiling-U'!$A$4:$A$40,'Ceiling-U'!$Y$4:$Y$40)*K$14)+(LOOKUP(K$2,'Floor-U'!$A$4:$A$40,'Floor-U'!$F$4:$F$40)*K$15)+(LOOKUP(K$2,'Wall-U'!$A$4:$A$40,'Wall-U'!$F$4:$F$40)*K$12)+(LOOKUP(K$2,'Window-U'!$A$4:$A$40,'Window-U'!$S$4:$S$40)*K$21))*K$97</f>
        <v>253.58629606885526</v>
      </c>
      <c r="L99" s="177">
        <f>((LOOKUP(L$2,'Ceiling-U'!$A$4:$A$40,'Ceiling-U'!$Y$4:$Y$40)*L$14)+(LOOKUP(L$2,'Floor-U'!$A$4:$A$40,'Floor-U'!$F$4:$F$40)*L$15)+(LOOKUP(L$2,'Wall-U'!$A$4:$A$40,'Wall-U'!$F$4:$F$40)*L$12)+(LOOKUP(L$2,'Window-U'!$A$4:$A$40,'Window-U'!$S$4:$S$40)*L$21))*L$97</f>
        <v>123.13641340138432</v>
      </c>
      <c r="M99" s="177">
        <f>((LOOKUP(M$2,'Ceiling-U'!$A$4:$A$40,'Ceiling-U'!$Y$4:$Y$40)*M$14)+(LOOKUP(M$2,'Floor-U'!$A$4:$A$40,'Floor-U'!$F$4:$F$40)*M$15)+(LOOKUP(M$2,'Wall-U'!$A$4:$A$40,'Wall-U'!$F$4:$F$40)*M$12)+(LOOKUP(M$2,'Window-U'!$A$4:$A$40,'Window-U'!$S$4:$S$40)*M$21))*M$97</f>
        <v>575.99749276064165</v>
      </c>
      <c r="N99" s="177">
        <f>((LOOKUP(N$2,'Ceiling-U'!$A$4:$A$40,'Ceiling-U'!$Y$4:$Y$40)*N$14)+(LOOKUP(N$2,'Floor-U'!$A$4:$A$40,'Floor-U'!$F$4:$F$40)*N$15)+(LOOKUP(N$2,'Wall-U'!$A$4:$A$40,'Wall-U'!$F$4:$F$40)*N$12)+(LOOKUP(N$2,'Window-U'!$A$4:$A$40,'Window-U'!$S$4:$S$40)*N$21))*N$97</f>
        <v>145.96691779611078</v>
      </c>
      <c r="O99" s="177">
        <f>((LOOKUP(O$2,'Ceiling-U'!$A$4:$A$40,'Ceiling-U'!$Y$4:$Y$40)*O$14)+(LOOKUP(O$2,'Floor-U'!$A$4:$A$40,'Floor-U'!$F$4:$F$40)*O$15)+(LOOKUP(O$2,'Wall-U'!$A$4:$A$40,'Wall-U'!$F$4:$F$40)*O$12)+(LOOKUP(O$2,'Window-U'!$A$4:$A$40,'Window-U'!$S$4:$S$40)*O$21))*O$97</f>
        <v>609.81404570103302</v>
      </c>
      <c r="P99" s="177">
        <f>((LOOKUP(P$2,'Ceiling-U'!$A$4:$A$40,'Ceiling-U'!$Y$4:$Y$40)*P$14)+(LOOKUP(P$2,'Floor-U'!$A$4:$A$40,'Floor-U'!$F$4:$F$40)*P$15)+(LOOKUP(P$2,'Wall-U'!$A$4:$A$40,'Wall-U'!$F$4:$F$40)*P$12)+(LOOKUP(P$2,'Window-U'!$A$4:$A$40,'Window-U'!$S$4:$S$40)*P$21))*P$97</f>
        <v>553.69002429622105</v>
      </c>
      <c r="Q99" s="177">
        <f>((LOOKUP(Q$2,'Ceiling-U'!$A$4:$A$40,'Ceiling-U'!$Y$4:$Y$40)*Q$14)+(LOOKUP(Q$2,'Floor-U'!$A$4:$A$40,'Floor-U'!$F$4:$F$40)*Q$15)+(LOOKUP(Q$2,'Wall-U'!$A$4:$A$40,'Wall-U'!$F$4:$F$40)*Q$12)+(LOOKUP(Q$2,'Window-U'!$A$4:$A$40,'Window-U'!$S$4:$S$40)*Q$21))*Q$97</f>
        <v>257.12542994150306</v>
      </c>
      <c r="R99" s="177">
        <f>((LOOKUP(R$2,'Ceiling-U'!$A$4:$A$40,'Ceiling-U'!$Y$4:$Y$40)*R$14)+(LOOKUP(R$2,'Floor-U'!$A$4:$A$40,'Floor-U'!$F$4:$F$40)*R$15)+(LOOKUP(R$2,'Wall-U'!$A$4:$A$40,'Wall-U'!$F$4:$F$40)*R$12)+(LOOKUP(R$2,'Window-U'!$A$4:$A$40,'Window-U'!$S$4:$S$40)*R$21))*R$97</f>
        <v>338.96160843273509</v>
      </c>
      <c r="S99" s="177">
        <f>((LOOKUP(S$2,'Ceiling-U'!$A$4:$A$40,'Ceiling-U'!$Y$4:$Y$40)*S$14)+(LOOKUP(S$2,'Floor-U'!$A$4:$A$40,'Floor-U'!$F$4:$F$40)*S$15)+(LOOKUP(S$2,'Wall-U'!$A$4:$A$40,'Wall-U'!$F$4:$F$40)*S$12)+(LOOKUP(S$2,'Window-U'!$A$4:$A$40,'Window-U'!$S$4:$S$40)*S$21))*S$97</f>
        <v>392.69150667529709</v>
      </c>
      <c r="T99" s="177">
        <f>((LOOKUP(T$2,'Ceiling-U'!$A$4:$A$40,'Ceiling-U'!$Y$4:$Y$40)*T$14)+(LOOKUP(T$2,'Floor-U'!$A$4:$A$40,'Floor-U'!$F$4:$F$40)*T$15)+(LOOKUP(T$2,'Wall-U'!$A$4:$A$40,'Wall-U'!$F$4:$F$40)*T$12)+(LOOKUP(T$2,'Window-U'!$A$4:$A$40,'Window-U'!$S$4:$S$40)*T$21))*T$97</f>
        <v>145.96691779611078</v>
      </c>
      <c r="U99" s="177">
        <f>((LOOKUP(U$2,'Ceiling-U'!$A$4:$A$40,'Ceiling-U'!$Y$4:$Y$40)*U$14)+(LOOKUP(U$2,'Floor-U'!$A$4:$A$40,'Floor-U'!$F$4:$F$40)*U$15)+(LOOKUP(U$2,'Wall-U'!$A$4:$A$40,'Wall-U'!$F$4:$F$40)*U$12)+(LOOKUP(U$2,'Window-U'!$A$4:$A$40,'Window-U'!$S$4:$S$40)*U$21))*U$97</f>
        <v>439.47889412347132</v>
      </c>
      <c r="V99" s="177">
        <f>((LOOKUP(V$2,'Ceiling-U'!$A$4:$A$40,'Ceiling-U'!$Y$4:$Y$40)*V$14)+(LOOKUP(V$2,'Floor-U'!$A$4:$A$40,'Floor-U'!$F$4:$F$40)*V$15)+(LOOKUP(V$2,'Wall-U'!$A$4:$A$40,'Wall-U'!$F$4:$F$40)*V$12)+(LOOKUP(V$2,'Window-U'!$A$4:$A$40,'Window-U'!$S$4:$S$40)*V$21))*V$97</f>
        <v>250.516686567433</v>
      </c>
      <c r="W99" s="177">
        <f>((LOOKUP(W$2,'Ceiling-U'!$A$4:$A$40,'Ceiling-U'!$Y$4:$Y$40)*W$14)+(LOOKUP(W$2,'Floor-U'!$A$4:$A$40,'Floor-U'!$F$4:$F$40)*W$15)+(LOOKUP(W$2,'Wall-U'!$A$4:$A$40,'Wall-U'!$F$4:$F$40)*W$12)+(LOOKUP(W$2,'Window-U'!$A$4:$A$40,'Window-U'!$S$4:$S$40)*W$21))*W$97</f>
        <v>340.87527986589618</v>
      </c>
      <c r="X99" s="177">
        <f>((LOOKUP(X$2,'Ceiling-U'!$A$4:$A$40,'Ceiling-U'!$Y$4:$Y$40)*X$14)+(LOOKUP(X$2,'Floor-U'!$A$4:$A$40,'Floor-U'!$F$4:$F$40)*X$15)+(LOOKUP(X$2,'Wall-U'!$A$4:$A$40,'Wall-U'!$F$4:$F$40)*X$12)+(LOOKUP(X$2,'Window-U'!$A$4:$A$40,'Window-U'!$S$4:$S$40)*X$21))*X$97</f>
        <v>245.84865516341057</v>
      </c>
      <c r="Y99" s="177">
        <f>((LOOKUP(Y$2,'Ceiling-U'!$A$4:$A$40,'Ceiling-U'!$Y$4:$Y$40)*Y$14)+(LOOKUP(Y$2,'Floor-U'!$A$4:$A$40,'Floor-U'!$F$4:$F$40)*Y$15)+(LOOKUP(Y$2,'Wall-U'!$A$4:$A$40,'Wall-U'!$F$4:$F$40)*Y$12)+(LOOKUP(Y$2,'Window-U'!$A$4:$A$40,'Window-U'!$S$4:$S$40)*Y$21))*Y$97</f>
        <v>673.59272530005683</v>
      </c>
      <c r="Z99" s="177">
        <f>((LOOKUP(Z$2,'Ceiling-U'!$A$4:$A$40,'Ceiling-U'!$Y$4:$Y$40)*Z$14)+(LOOKUP(Z$2,'Floor-U'!$A$4:$A$40,'Floor-U'!$F$4:$F$40)*Z$15)+(LOOKUP(Z$2,'Wall-U'!$A$4:$A$40,'Wall-U'!$F$4:$F$40)*Z$12)+(LOOKUP(Z$2,'Window-U'!$A$4:$A$40,'Window-U'!$S$4:$S$40)*Z$21))*Z$97</f>
        <v>393.77303147569887</v>
      </c>
      <c r="AA99" s="177">
        <f>((LOOKUP(AA$2,'Ceiling-U'!$A$4:$A$40,'Ceiling-U'!$Y$4:$Y$40)*AA$14)+(LOOKUP(AA$2,'Floor-U'!$A$4:$A$40,'Floor-U'!$F$4:$F$40)*AA$15)+(LOOKUP(AA$2,'Wall-U'!$A$4:$A$40,'Wall-U'!$F$4:$F$40)*AA$12)+(LOOKUP(AA$2,'Window-U'!$A$4:$A$40,'Window-U'!$S$4:$S$40)*AA$21))*AA$97</f>
        <v>138.50717753813515</v>
      </c>
      <c r="AB99" s="177">
        <f>((LOOKUP(AB$2,'Ceiling-U'!$A$4:$A$40,'Ceiling-U'!$Y$4:$Y$40)*AB$14)+(LOOKUP(AB$2,'Floor-U'!$A$4:$A$40,'Floor-U'!$F$4:$F$40)*AB$15)+(LOOKUP(AB$2,'Wall-U'!$A$4:$A$40,'Wall-U'!$F$4:$F$40)*AB$12)+(LOOKUP(AB$2,'Window-U'!$A$4:$A$40,'Window-U'!$S$4:$S$40)*AB$21))*AB$97</f>
        <v>297.77891715555836</v>
      </c>
      <c r="AC99" s="177">
        <f>((LOOKUP(AC$2,'Ceiling-U'!$A$4:$A$40,'Ceiling-U'!$Y$4:$Y$40)*AC$14)+(LOOKUP(AC$2,'Floor-U'!$A$4:$A$40,'Floor-U'!$F$4:$F$40)*AC$15)+(LOOKUP(AC$2,'Wall-U'!$A$4:$A$40,'Wall-U'!$F$4:$F$40)*AC$12)+(LOOKUP(AC$2,'Window-U'!$A$4:$A$40,'Window-U'!$S$4:$S$40)*AC$21))*AC$97</f>
        <v>459.63616979078665</v>
      </c>
      <c r="AD99" s="177">
        <f>((LOOKUP(AD$2,'Ceiling-U'!$A$4:$A$40,'Ceiling-U'!$Y$4:$Y$40)*AD$14)+(LOOKUP(AD$2,'Floor-U'!$A$4:$A$40,'Floor-U'!$F$4:$F$40)*AD$15)+(LOOKUP(AD$2,'Wall-U'!$A$4:$A$40,'Wall-U'!$F$4:$F$40)*AD$12)+(LOOKUP(AD$2,'Window-U'!$A$4:$A$40,'Window-U'!$S$4:$S$40)*AD$21))*AD$97</f>
        <v>320.7011559957005</v>
      </c>
      <c r="AE99" s="177">
        <f>((LOOKUP(AE$2,'Ceiling-U'!$A$4:$A$40,'Ceiling-U'!$Y$4:$Y$40)*AE$14)+(LOOKUP(AE$2,'Floor-U'!$A$4:$A$40,'Floor-U'!$F$4:$F$40)*AE$15)+(LOOKUP(AE$2,'Wall-U'!$A$4:$A$40,'Wall-U'!$F$4:$F$40)*AE$12)+(LOOKUP(AE$2,'Window-U'!$A$4:$A$40,'Window-U'!$S$4:$S$40)*AE$21))*AE$97</f>
        <v>138.50717753813515</v>
      </c>
      <c r="AF99" s="177">
        <f>((LOOKUP(AF$2,'Ceiling-U'!$A$4:$A$40,'Ceiling-U'!$Y$4:$Y$40)*AF$14)+(LOOKUP(AF$2,'Floor-U'!$A$4:$A$40,'Floor-U'!$F$4:$F$40)*AF$15)+(LOOKUP(AF$2,'Wall-U'!$A$4:$A$40,'Wall-U'!$F$4:$F$40)*AF$12)+(LOOKUP(AF$2,'Window-U'!$A$4:$A$40,'Window-U'!$S$4:$S$40)*AF$21))*AF$97</f>
        <v>319.70465739821395</v>
      </c>
      <c r="AG99" s="177">
        <f>((LOOKUP(AG$2,'Ceiling-U'!$A$4:$A$40,'Ceiling-U'!$Y$4:$Y$40)*AG$14)+(LOOKUP(AG$2,'Floor-U'!$A$4:$A$40,'Floor-U'!$F$4:$F$40)*AG$15)+(LOOKUP(AG$2,'Wall-U'!$A$4:$A$40,'Wall-U'!$F$4:$F$40)*AG$12)+(LOOKUP(AG$2,'Window-U'!$A$4:$A$40,'Window-U'!$S$4:$S$40)*AG$21))*AG$97</f>
        <v>328.32551741678299</v>
      </c>
      <c r="AH99" s="177">
        <f>((LOOKUP(AH$2,'Ceiling-U'!$A$4:$A$40,'Ceiling-U'!$Y$4:$Y$40)*AH$14)+(LOOKUP(AH$2,'Floor-U'!$A$4:$A$40,'Floor-U'!$F$4:$F$40)*AH$15)+(LOOKUP(AH$2,'Wall-U'!$A$4:$A$40,'Wall-U'!$F$4:$F$40)*AH$12)+(LOOKUP(AH$2,'Window-U'!$A$4:$A$40,'Window-U'!$S$4:$S$40)*AH$21))*AH$97</f>
        <v>346.14555368484031</v>
      </c>
      <c r="AI99" s="177">
        <f>((LOOKUP(AI$2,'Ceiling-U'!$A$4:$A$40,'Ceiling-U'!$Y$4:$Y$40)*AI$14)+(LOOKUP(AI$2,'Floor-U'!$A$4:$A$40,'Floor-U'!$F$4:$F$40)*AI$15)+(LOOKUP(AI$2,'Wall-U'!$A$4:$A$40,'Wall-U'!$F$4:$F$40)*AI$12)+(LOOKUP(AI$2,'Window-U'!$A$4:$A$40,'Window-U'!$S$4:$S$40)*AI$21))*AI$97</f>
        <v>553.69002429622105</v>
      </c>
      <c r="AJ99" s="177">
        <f>((LOOKUP(AJ$2,'Ceiling-U'!$A$4:$A$40,'Ceiling-U'!$Y$4:$Y$40)*AJ$14)+(LOOKUP(AJ$2,'Floor-U'!$A$4:$A$40,'Floor-U'!$F$4:$F$40)*AJ$15)+(LOOKUP(AJ$2,'Wall-U'!$A$4:$A$40,'Wall-U'!$F$4:$F$40)*AJ$12)+(LOOKUP(AJ$2,'Window-U'!$A$4:$A$40,'Window-U'!$S$4:$S$40)*AJ$21))*AJ$97</f>
        <v>255.88406886772401</v>
      </c>
      <c r="AK99" s="177">
        <f>((LOOKUP(AK$2,'Ceiling-U'!$A$4:$A$40,'Ceiling-U'!$Y$4:$Y$40)*AK$14)+(LOOKUP(AK$2,'Floor-U'!$A$4:$A$40,'Floor-U'!$F$4:$F$40)*AK$15)+(LOOKUP(AK$2,'Wall-U'!$A$4:$A$40,'Wall-U'!$F$4:$F$40)*AK$12)+(LOOKUP(AK$2,'Window-U'!$A$4:$A$40,'Window-U'!$S$4:$S$40)*AK$21))*AK$97</f>
        <v>308.03620429906891</v>
      </c>
      <c r="AL99" s="177">
        <f>((LOOKUP(AL$2,'Ceiling-U'!$A$4:$A$40,'Ceiling-U'!$Y$4:$Y$40)*AL$14)+(LOOKUP(AL$2,'Floor-U'!$A$4:$A$40,'Floor-U'!$F$4:$F$40)*AL$15)+(LOOKUP(AL$2,'Wall-U'!$A$4:$A$40,'Wall-U'!$F$4:$F$40)*AL$12)+(LOOKUP(AL$2,'Window-U'!$A$4:$A$40,'Window-U'!$S$4:$S$40)*AL$21))*AL$97</f>
        <v>281.35467094451712</v>
      </c>
      <c r="AM99" s="177">
        <f>((LOOKUP(AM$2,'Ceiling-U'!$A$4:$A$40,'Ceiling-U'!$Y$4:$Y$40)*AM$14)+(LOOKUP(AM$2,'Floor-U'!$A$4:$A$40,'Floor-U'!$F$4:$F$40)*AM$15)+(LOOKUP(AM$2,'Wall-U'!$A$4:$A$40,'Wall-U'!$F$4:$F$40)*AM$12)+(LOOKUP(AM$2,'Window-U'!$A$4:$A$40,'Window-U'!$S$4:$S$40)*AM$21))*AM$97</f>
        <v>255.88406886772401</v>
      </c>
      <c r="AN99" s="178">
        <f>((LOOKUP(AN$2,'Ceiling-U'!$A$4:$A$40,'Ceiling-U'!$Y$4:$Y$40)*AN$14)+(LOOKUP(AN$2,'Floor-U'!$A$4:$A$40,'Floor-U'!$F$4:$F$40)*AN$15)+(LOOKUP(AN$2,'Wall-U'!$A$4:$A$40,'Wall-U'!$F$4:$F$40)*AN$12)+(LOOKUP(AN$2,'Window-U'!$A$4:$A$40,'Window-U'!$S$4:$S$40)*AN$21))*AN$97</f>
        <v>255.88406886772401</v>
      </c>
    </row>
    <row r="100" spans="1:40">
      <c r="A100" s="372"/>
      <c r="B100" s="142" t="s">
        <v>4</v>
      </c>
      <c r="C100" s="131" t="s">
        <v>195</v>
      </c>
      <c r="D100" s="176">
        <f>((LOOKUP(D$2,'Ceiling-U'!$A$4:$A$40,'Ceiling-U'!$Z$4:$Z$40)*D$14)+(LOOKUP(D$2,'Floor-U'!$A$4:$A$40,'Floor-U'!$G$4:$G$40)*D$15)+(LOOKUP(D$2,'Wall-U'!$A$4:$A$40,'Wall-U'!$G$4:$G$40)*D$12)+(LOOKUP(D$2,'Window-U'!$A$4:$A$40,'Window-U'!$S$4:$S$40)*D$21))*D$97</f>
        <v>296.87271392400845</v>
      </c>
      <c r="E100" s="177">
        <f>((LOOKUP(E$2,'Ceiling-U'!$A$4:$A$40,'Ceiling-U'!$Z$4:$Z$40)*E$14)+(LOOKUP(E$2,'Floor-U'!$A$4:$A$40,'Floor-U'!$G$4:$G$40)*E$15)+(LOOKUP(E$2,'Wall-U'!$A$4:$A$40,'Wall-U'!$G$4:$G$40)*E$12)+(LOOKUP(E$2,'Window-U'!$A$4:$A$40,'Window-U'!$S$4:$S$40)*E$21))*E$97</f>
        <v>429.7717756194196</v>
      </c>
      <c r="F100" s="177">
        <f>((LOOKUP(F$2,'Ceiling-U'!$A$4:$A$40,'Ceiling-U'!$Z$4:$Z$40)*F$14)+(LOOKUP(F$2,'Floor-U'!$A$4:$A$40,'Floor-U'!$G$4:$G$40)*F$15)+(LOOKUP(F$2,'Wall-U'!$A$4:$A$40,'Wall-U'!$G$4:$G$40)*F$12)+(LOOKUP(F$2,'Window-U'!$A$4:$A$40,'Window-U'!$S$4:$S$40)*F$21))*F$97</f>
        <v>248.96421014969442</v>
      </c>
      <c r="G100" s="177">
        <f>((LOOKUP(G$2,'Ceiling-U'!$A$4:$A$40,'Ceiling-U'!$Z$4:$Z$40)*G$14)+(LOOKUP(G$2,'Floor-U'!$A$4:$A$40,'Floor-U'!$G$4:$G$40)*G$15)+(LOOKUP(G$2,'Wall-U'!$A$4:$A$40,'Wall-U'!$G$4:$G$40)*G$12)+(LOOKUP(G$2,'Window-U'!$A$4:$A$40,'Window-U'!$S$4:$S$40)*G$21))*G$97</f>
        <v>296.87271392400845</v>
      </c>
      <c r="H100" s="177">
        <f>((LOOKUP(H$2,'Ceiling-U'!$A$4:$A$40,'Ceiling-U'!$Z$4:$Z$40)*H$14)+(LOOKUP(H$2,'Floor-U'!$A$4:$A$40,'Floor-U'!$G$4:$G$40)*H$15)+(LOOKUP(H$2,'Wall-U'!$A$4:$A$40,'Wall-U'!$G$4:$G$40)*H$12)+(LOOKUP(H$2,'Window-U'!$A$4:$A$40,'Window-U'!$S$4:$S$40)*H$21))*H$97</f>
        <v>431.08753835679659</v>
      </c>
      <c r="I100" s="177">
        <f>((LOOKUP(I$2,'Ceiling-U'!$A$4:$A$40,'Ceiling-U'!$Z$4:$Z$40)*I$14)+(LOOKUP(I$2,'Floor-U'!$A$4:$A$40,'Floor-U'!$G$4:$G$40)*I$15)+(LOOKUP(I$2,'Wall-U'!$A$4:$A$40,'Wall-U'!$G$4:$G$40)*I$12)+(LOOKUP(I$2,'Window-U'!$A$4:$A$40,'Window-U'!$S$4:$S$40)*I$21))*I$97</f>
        <v>224.80416279792939</v>
      </c>
      <c r="J100" s="177">
        <f>((LOOKUP(J$2,'Ceiling-U'!$A$4:$A$40,'Ceiling-U'!$Z$4:$Z$40)*J$14)+(LOOKUP(J$2,'Floor-U'!$A$4:$A$40,'Floor-U'!$G$4:$G$40)*J$15)+(LOOKUP(J$2,'Wall-U'!$A$4:$A$40,'Wall-U'!$G$4:$G$40)*J$12)+(LOOKUP(J$2,'Window-U'!$A$4:$A$40,'Window-U'!$S$4:$S$40)*J$21))*J$97</f>
        <v>224.07087134690195</v>
      </c>
      <c r="K100" s="177">
        <f>((LOOKUP(K$2,'Ceiling-U'!$A$4:$A$40,'Ceiling-U'!$Z$4:$Z$40)*K$14)+(LOOKUP(K$2,'Floor-U'!$A$4:$A$40,'Floor-U'!$G$4:$G$40)*K$15)+(LOOKUP(K$2,'Wall-U'!$A$4:$A$40,'Wall-U'!$G$4:$G$40)*K$12)+(LOOKUP(K$2,'Window-U'!$A$4:$A$40,'Window-U'!$S$4:$S$40)*K$21))*K$97</f>
        <v>151.05138946380151</v>
      </c>
      <c r="L100" s="177">
        <f>((LOOKUP(L$2,'Ceiling-U'!$A$4:$A$40,'Ceiling-U'!$Z$4:$Z$40)*L$14)+(LOOKUP(L$2,'Floor-U'!$A$4:$A$40,'Floor-U'!$G$4:$G$40)*L$15)+(LOOKUP(L$2,'Wall-U'!$A$4:$A$40,'Wall-U'!$G$4:$G$40)*L$12)+(LOOKUP(L$2,'Window-U'!$A$4:$A$40,'Window-U'!$S$4:$S$40)*L$21))*L$97</f>
        <v>95.485734563733473</v>
      </c>
      <c r="M100" s="177">
        <f>((LOOKUP(M$2,'Ceiling-U'!$A$4:$A$40,'Ceiling-U'!$Z$4:$Z$40)*M$14)+(LOOKUP(M$2,'Floor-U'!$A$4:$A$40,'Floor-U'!$G$4:$G$40)*M$15)+(LOOKUP(M$2,'Wall-U'!$A$4:$A$40,'Wall-U'!$G$4:$G$40)*M$12)+(LOOKUP(M$2,'Window-U'!$A$4:$A$40,'Window-U'!$S$4:$S$40)*M$21))*M$97</f>
        <v>575.99749276064165</v>
      </c>
      <c r="N100" s="177">
        <f>((LOOKUP(N$2,'Ceiling-U'!$A$4:$A$40,'Ceiling-U'!$Z$4:$Z$40)*N$14)+(LOOKUP(N$2,'Floor-U'!$A$4:$A$40,'Floor-U'!$G$4:$G$40)*N$15)+(LOOKUP(N$2,'Wall-U'!$A$4:$A$40,'Wall-U'!$G$4:$G$40)*N$12)+(LOOKUP(N$2,'Window-U'!$A$4:$A$40,'Window-U'!$S$4:$S$40)*N$21))*N$97</f>
        <v>115.42799587470543</v>
      </c>
      <c r="O100" s="177">
        <f>((LOOKUP(O$2,'Ceiling-U'!$A$4:$A$40,'Ceiling-U'!$Z$4:$Z$40)*O$14)+(LOOKUP(O$2,'Floor-U'!$A$4:$A$40,'Floor-U'!$G$4:$G$40)*O$15)+(LOOKUP(O$2,'Wall-U'!$A$4:$A$40,'Wall-U'!$G$4:$G$40)*O$12)+(LOOKUP(O$2,'Window-U'!$A$4:$A$40,'Window-U'!$S$4:$S$40)*O$21))*O$97</f>
        <v>272.2928874224321</v>
      </c>
      <c r="P100" s="177">
        <f>((LOOKUP(P$2,'Ceiling-U'!$A$4:$A$40,'Ceiling-U'!$Z$4:$Z$40)*P$14)+(LOOKUP(P$2,'Floor-U'!$A$4:$A$40,'Floor-U'!$G$4:$G$40)*P$15)+(LOOKUP(P$2,'Wall-U'!$A$4:$A$40,'Wall-U'!$G$4:$G$40)*P$12)+(LOOKUP(P$2,'Window-U'!$A$4:$A$40,'Window-U'!$S$4:$S$40)*P$21))*P$97</f>
        <v>553.69002429622105</v>
      </c>
      <c r="Q100" s="177">
        <f>((LOOKUP(Q$2,'Ceiling-U'!$A$4:$A$40,'Ceiling-U'!$Z$4:$Z$40)*Q$14)+(LOOKUP(Q$2,'Floor-U'!$A$4:$A$40,'Floor-U'!$G$4:$G$40)*Q$15)+(LOOKUP(Q$2,'Wall-U'!$A$4:$A$40,'Wall-U'!$G$4:$G$40)*Q$12)+(LOOKUP(Q$2,'Window-U'!$A$4:$A$40,'Window-U'!$S$4:$S$40)*Q$21))*Q$97</f>
        <v>234.23728644523439</v>
      </c>
      <c r="R100" s="177">
        <f>((LOOKUP(R$2,'Ceiling-U'!$A$4:$A$40,'Ceiling-U'!$Z$4:$Z$40)*R$14)+(LOOKUP(R$2,'Floor-U'!$A$4:$A$40,'Floor-U'!$G$4:$G$40)*R$15)+(LOOKUP(R$2,'Wall-U'!$A$4:$A$40,'Wall-U'!$G$4:$G$40)*R$12)+(LOOKUP(R$2,'Window-U'!$A$4:$A$40,'Window-U'!$S$4:$S$40)*R$21))*R$97</f>
        <v>292.26287014717968</v>
      </c>
      <c r="S100" s="177">
        <f>((LOOKUP(S$2,'Ceiling-U'!$A$4:$A$40,'Ceiling-U'!$Z$4:$Z$40)*S$14)+(LOOKUP(S$2,'Floor-U'!$A$4:$A$40,'Floor-U'!$G$4:$G$40)*S$15)+(LOOKUP(S$2,'Wall-U'!$A$4:$A$40,'Wall-U'!$G$4:$G$40)*S$12)+(LOOKUP(S$2,'Window-U'!$A$4:$A$40,'Window-U'!$S$4:$S$40)*S$21))*S$97</f>
        <v>391.00361371149813</v>
      </c>
      <c r="T100" s="177">
        <f>((LOOKUP(T$2,'Ceiling-U'!$A$4:$A$40,'Ceiling-U'!$Z$4:$Z$40)*T$14)+(LOOKUP(T$2,'Floor-U'!$A$4:$A$40,'Floor-U'!$G$4:$G$40)*T$15)+(LOOKUP(T$2,'Wall-U'!$A$4:$A$40,'Wall-U'!$G$4:$G$40)*T$12)+(LOOKUP(T$2,'Window-U'!$A$4:$A$40,'Window-U'!$S$4:$S$40)*T$21))*T$97</f>
        <v>115.42799587470543</v>
      </c>
      <c r="U100" s="177">
        <f>((LOOKUP(U$2,'Ceiling-U'!$A$4:$A$40,'Ceiling-U'!$Z$4:$Z$40)*U$14)+(LOOKUP(U$2,'Floor-U'!$A$4:$A$40,'Floor-U'!$G$4:$G$40)*U$15)+(LOOKUP(U$2,'Wall-U'!$A$4:$A$40,'Wall-U'!$G$4:$G$40)*U$12)+(LOOKUP(U$2,'Window-U'!$A$4:$A$40,'Window-U'!$S$4:$S$40)*U$21))*U$97</f>
        <v>421.36691033004706</v>
      </c>
      <c r="V100" s="177">
        <f>((LOOKUP(V$2,'Ceiling-U'!$A$4:$A$40,'Ceiling-U'!$Z$4:$Z$40)*V$14)+(LOOKUP(V$2,'Floor-U'!$A$4:$A$40,'Floor-U'!$G$4:$G$40)*V$15)+(LOOKUP(V$2,'Wall-U'!$A$4:$A$40,'Wall-U'!$G$4:$G$40)*V$12)+(LOOKUP(V$2,'Window-U'!$A$4:$A$40,'Window-U'!$S$4:$S$40)*V$21))*V$97</f>
        <v>152.64404652820758</v>
      </c>
      <c r="W100" s="177">
        <f>((LOOKUP(W$2,'Ceiling-U'!$A$4:$A$40,'Ceiling-U'!$Z$4:$Z$40)*W$14)+(LOOKUP(W$2,'Floor-U'!$A$4:$A$40,'Floor-U'!$G$4:$G$40)*W$15)+(LOOKUP(W$2,'Wall-U'!$A$4:$A$40,'Wall-U'!$G$4:$G$40)*W$12)+(LOOKUP(W$2,'Window-U'!$A$4:$A$40,'Window-U'!$S$4:$S$40)*W$21))*W$97</f>
        <v>156.47713033823433</v>
      </c>
      <c r="X100" s="177">
        <f>((LOOKUP(X$2,'Ceiling-U'!$A$4:$A$40,'Ceiling-U'!$Z$4:$Z$40)*X$14)+(LOOKUP(X$2,'Floor-U'!$A$4:$A$40,'Floor-U'!$G$4:$G$40)*X$15)+(LOOKUP(X$2,'Wall-U'!$A$4:$A$40,'Wall-U'!$G$4:$G$40)*X$12)+(LOOKUP(X$2,'Window-U'!$A$4:$A$40,'Window-U'!$S$4:$S$40)*X$21))*X$97</f>
        <v>229.77603845089726</v>
      </c>
      <c r="Y100" s="177">
        <f>((LOOKUP(Y$2,'Ceiling-U'!$A$4:$A$40,'Ceiling-U'!$Z$4:$Z$40)*Y$14)+(LOOKUP(Y$2,'Floor-U'!$A$4:$A$40,'Floor-U'!$G$4:$G$40)*Y$15)+(LOOKUP(Y$2,'Wall-U'!$A$4:$A$40,'Wall-U'!$G$4:$G$40)*Y$12)+(LOOKUP(Y$2,'Window-U'!$A$4:$A$40,'Window-U'!$S$4:$S$40)*Y$21))*Y$97</f>
        <v>508.60054602106516</v>
      </c>
      <c r="Z100" s="177">
        <f>((LOOKUP(Z$2,'Ceiling-U'!$A$4:$A$40,'Ceiling-U'!$Z$4:$Z$40)*Z$14)+(LOOKUP(Z$2,'Floor-U'!$A$4:$A$40,'Floor-U'!$G$4:$G$40)*Z$15)+(LOOKUP(Z$2,'Wall-U'!$A$4:$A$40,'Wall-U'!$G$4:$G$40)*Z$12)+(LOOKUP(Z$2,'Window-U'!$A$4:$A$40,'Window-U'!$S$4:$S$40)*Z$21))*Z$97</f>
        <v>374.6756150803426</v>
      </c>
      <c r="AA100" s="177">
        <f>((LOOKUP(AA$2,'Ceiling-U'!$A$4:$A$40,'Ceiling-U'!$Z$4:$Z$40)*AA$14)+(LOOKUP(AA$2,'Floor-U'!$A$4:$A$40,'Floor-U'!$G$4:$G$40)*AA$15)+(LOOKUP(AA$2,'Wall-U'!$A$4:$A$40,'Wall-U'!$G$4:$G$40)*AA$12)+(LOOKUP(AA$2,'Window-U'!$A$4:$A$40,'Window-U'!$S$4:$S$40)*AA$21))*AA$97</f>
        <v>89.312003790073504</v>
      </c>
      <c r="AB100" s="177">
        <f>((LOOKUP(AB$2,'Ceiling-U'!$A$4:$A$40,'Ceiling-U'!$Z$4:$Z$40)*AB$14)+(LOOKUP(AB$2,'Floor-U'!$A$4:$A$40,'Floor-U'!$G$4:$G$40)*AB$15)+(LOOKUP(AB$2,'Wall-U'!$A$4:$A$40,'Wall-U'!$G$4:$G$40)*AB$12)+(LOOKUP(AB$2,'Window-U'!$A$4:$A$40,'Window-U'!$S$4:$S$40)*AB$21))*AB$97</f>
        <v>200.61644515698376</v>
      </c>
      <c r="AC100" s="177">
        <f>((LOOKUP(AC$2,'Ceiling-U'!$A$4:$A$40,'Ceiling-U'!$Z$4:$Z$40)*AC$14)+(LOOKUP(AC$2,'Floor-U'!$A$4:$A$40,'Floor-U'!$G$4:$G$40)*AC$15)+(LOOKUP(AC$2,'Wall-U'!$A$4:$A$40,'Wall-U'!$G$4:$G$40)*AC$12)+(LOOKUP(AC$2,'Window-U'!$A$4:$A$40,'Window-U'!$S$4:$S$40)*AC$21))*AC$97</f>
        <v>459.52087080263766</v>
      </c>
      <c r="AD100" s="177">
        <f>((LOOKUP(AD$2,'Ceiling-U'!$A$4:$A$40,'Ceiling-U'!$Z$4:$Z$40)*AD$14)+(LOOKUP(AD$2,'Floor-U'!$A$4:$A$40,'Floor-U'!$G$4:$G$40)*AD$15)+(LOOKUP(AD$2,'Wall-U'!$A$4:$A$40,'Wall-U'!$G$4:$G$40)*AD$12)+(LOOKUP(AD$2,'Window-U'!$A$4:$A$40,'Window-U'!$S$4:$S$40)*AD$21))*AD$97</f>
        <v>320.7011559957005</v>
      </c>
      <c r="AE100" s="177">
        <f>((LOOKUP(AE$2,'Ceiling-U'!$A$4:$A$40,'Ceiling-U'!$Z$4:$Z$40)*AE$14)+(LOOKUP(AE$2,'Floor-U'!$A$4:$A$40,'Floor-U'!$G$4:$G$40)*AE$15)+(LOOKUP(AE$2,'Wall-U'!$A$4:$A$40,'Wall-U'!$G$4:$G$40)*AE$12)+(LOOKUP(AE$2,'Window-U'!$A$4:$A$40,'Window-U'!$S$4:$S$40)*AE$21))*AE$97</f>
        <v>89.312003790073504</v>
      </c>
      <c r="AF100" s="177">
        <f>((LOOKUP(AF$2,'Ceiling-U'!$A$4:$A$40,'Ceiling-U'!$Z$4:$Z$40)*AF$14)+(LOOKUP(AF$2,'Floor-U'!$A$4:$A$40,'Floor-U'!$G$4:$G$40)*AF$15)+(LOOKUP(AF$2,'Wall-U'!$A$4:$A$40,'Wall-U'!$G$4:$G$40)*AF$12)+(LOOKUP(AF$2,'Window-U'!$A$4:$A$40,'Window-U'!$S$4:$S$40)*AF$21))*AF$97</f>
        <v>306.38854843094123</v>
      </c>
      <c r="AG100" s="177">
        <f>((LOOKUP(AG$2,'Ceiling-U'!$A$4:$A$40,'Ceiling-U'!$Z$4:$Z$40)*AG$14)+(LOOKUP(AG$2,'Floor-U'!$A$4:$A$40,'Floor-U'!$G$4:$G$40)*AG$15)+(LOOKUP(AG$2,'Wall-U'!$A$4:$A$40,'Wall-U'!$G$4:$G$40)*AG$12)+(LOOKUP(AG$2,'Window-U'!$A$4:$A$40,'Window-U'!$S$4:$S$40)*AG$21))*AG$97</f>
        <v>328.32551741678299</v>
      </c>
      <c r="AH100" s="177">
        <f>((LOOKUP(AH$2,'Ceiling-U'!$A$4:$A$40,'Ceiling-U'!$Z$4:$Z$40)*AH$14)+(LOOKUP(AH$2,'Floor-U'!$A$4:$A$40,'Floor-U'!$G$4:$G$40)*AH$15)+(LOOKUP(AH$2,'Wall-U'!$A$4:$A$40,'Wall-U'!$G$4:$G$40)*AH$12)+(LOOKUP(AH$2,'Window-U'!$A$4:$A$40,'Window-U'!$S$4:$S$40)*AH$21))*AH$97</f>
        <v>292.48867382734966</v>
      </c>
      <c r="AI100" s="177">
        <f>((LOOKUP(AI$2,'Ceiling-U'!$A$4:$A$40,'Ceiling-U'!$Z$4:$Z$40)*AI$14)+(LOOKUP(AI$2,'Floor-U'!$A$4:$A$40,'Floor-U'!$G$4:$G$40)*AI$15)+(LOOKUP(AI$2,'Wall-U'!$A$4:$A$40,'Wall-U'!$G$4:$G$40)*AI$12)+(LOOKUP(AI$2,'Window-U'!$A$4:$A$40,'Window-U'!$S$4:$S$40)*AI$21))*AI$97</f>
        <v>553.69002429622105</v>
      </c>
      <c r="AJ100" s="177">
        <f>((LOOKUP(AJ$2,'Ceiling-U'!$A$4:$A$40,'Ceiling-U'!$Z$4:$Z$40)*AJ$14)+(LOOKUP(AJ$2,'Floor-U'!$A$4:$A$40,'Floor-U'!$G$4:$G$40)*AJ$15)+(LOOKUP(AJ$2,'Wall-U'!$A$4:$A$40,'Wall-U'!$G$4:$G$40)*AJ$12)+(LOOKUP(AJ$2,'Window-U'!$A$4:$A$40,'Window-U'!$S$4:$S$40)*AJ$21))*AJ$97</f>
        <v>255.88406886772401</v>
      </c>
      <c r="AK100" s="177">
        <f>((LOOKUP(AK$2,'Ceiling-U'!$A$4:$A$40,'Ceiling-U'!$Z$4:$Z$40)*AK$14)+(LOOKUP(AK$2,'Floor-U'!$A$4:$A$40,'Floor-U'!$G$4:$G$40)*AK$15)+(LOOKUP(AK$2,'Wall-U'!$A$4:$A$40,'Wall-U'!$G$4:$G$40)*AK$12)+(LOOKUP(AK$2,'Window-U'!$A$4:$A$40,'Window-U'!$S$4:$S$40)*AK$21))*AK$97</f>
        <v>308.03620429906891</v>
      </c>
      <c r="AL100" s="177">
        <f>((LOOKUP(AL$2,'Ceiling-U'!$A$4:$A$40,'Ceiling-U'!$Z$4:$Z$40)*AL$14)+(LOOKUP(AL$2,'Floor-U'!$A$4:$A$40,'Floor-U'!$G$4:$G$40)*AL$15)+(LOOKUP(AL$2,'Wall-U'!$A$4:$A$40,'Wall-U'!$G$4:$G$40)*AL$12)+(LOOKUP(AL$2,'Window-U'!$A$4:$A$40,'Window-U'!$S$4:$S$40)*AL$21))*AL$97</f>
        <v>261.86404206378779</v>
      </c>
      <c r="AM100" s="177">
        <f>((LOOKUP(AM$2,'Ceiling-U'!$A$4:$A$40,'Ceiling-U'!$Z$4:$Z$40)*AM$14)+(LOOKUP(AM$2,'Floor-U'!$A$4:$A$40,'Floor-U'!$G$4:$G$40)*AM$15)+(LOOKUP(AM$2,'Wall-U'!$A$4:$A$40,'Wall-U'!$G$4:$G$40)*AM$12)+(LOOKUP(AM$2,'Window-U'!$A$4:$A$40,'Window-U'!$S$4:$S$40)*AM$21))*AM$97</f>
        <v>255.88406886772401</v>
      </c>
      <c r="AN100" s="178">
        <f>((LOOKUP(AN$2,'Ceiling-U'!$A$4:$A$40,'Ceiling-U'!$Z$4:$Z$40)*AN$14)+(LOOKUP(AN$2,'Floor-U'!$A$4:$A$40,'Floor-U'!$G$4:$G$40)*AN$15)+(LOOKUP(AN$2,'Wall-U'!$A$4:$A$40,'Wall-U'!$G$4:$G$40)*AN$12)+(LOOKUP(AN$2,'Window-U'!$A$4:$A$40,'Window-U'!$S$4:$S$40)*AN$21))*AN$97</f>
        <v>255.88406886772401</v>
      </c>
    </row>
    <row r="101" spans="1:40">
      <c r="A101" s="372"/>
      <c r="B101" s="142" t="s">
        <v>5</v>
      </c>
      <c r="C101" s="131" t="s">
        <v>195</v>
      </c>
      <c r="D101" s="176">
        <f>((LOOKUP(D$2,'Ceiling-U'!$A$4:$A$40,'Ceiling-U'!$AA$4:$AA$40)*D$14)+(LOOKUP(D$2,'Floor-U'!$A$4:$A$40,'Floor-U'!$H$4:$H$40)*D$15)+(LOOKUP(D$2,'Wall-U'!$A$4:$A$40,'Wall-U'!$H$4:$H$40)*D$12)+(LOOKUP(D$2,'Window-U'!$A$4:$A$40,'Window-U'!$S$4:$S$40)*D$21))*D$97</f>
        <v>193.29181710025921</v>
      </c>
      <c r="E101" s="177">
        <f>((LOOKUP(E$2,'Ceiling-U'!$A$4:$A$40,'Ceiling-U'!$AA$4:$AA$40)*E$14)+(LOOKUP(E$2,'Floor-U'!$A$4:$A$40,'Floor-U'!$H$4:$H$40)*E$15)+(LOOKUP(E$2,'Wall-U'!$A$4:$A$40,'Wall-U'!$H$4:$H$40)*E$12)+(LOOKUP(E$2,'Window-U'!$A$4:$A$40,'Window-U'!$S$4:$S$40)*E$21))*E$97</f>
        <v>369.06766116958789</v>
      </c>
      <c r="F101" s="177">
        <f>((LOOKUP(F$2,'Ceiling-U'!$A$4:$A$40,'Ceiling-U'!$AA$4:$AA$40)*F$14)+(LOOKUP(F$2,'Floor-U'!$A$4:$A$40,'Floor-U'!$H$4:$H$40)*F$15)+(LOOKUP(F$2,'Wall-U'!$A$4:$A$40,'Wall-U'!$H$4:$H$40)*F$12)+(LOOKUP(F$2,'Window-U'!$A$4:$A$40,'Window-U'!$S$4:$S$40)*F$21))*F$97</f>
        <v>200.73112645022277</v>
      </c>
      <c r="G101" s="177">
        <f>((LOOKUP(G$2,'Ceiling-U'!$A$4:$A$40,'Ceiling-U'!$AA$4:$AA$40)*G$14)+(LOOKUP(G$2,'Floor-U'!$A$4:$A$40,'Floor-U'!$H$4:$H$40)*G$15)+(LOOKUP(G$2,'Wall-U'!$A$4:$A$40,'Wall-U'!$H$4:$H$40)*G$12)+(LOOKUP(G$2,'Window-U'!$A$4:$A$40,'Window-U'!$S$4:$S$40)*G$21))*G$97</f>
        <v>193.29181710025921</v>
      </c>
      <c r="H101" s="177">
        <f>((LOOKUP(H$2,'Ceiling-U'!$A$4:$A$40,'Ceiling-U'!$AA$4:$AA$40)*H$14)+(LOOKUP(H$2,'Floor-U'!$A$4:$A$40,'Floor-U'!$H$4:$H$40)*H$15)+(LOOKUP(H$2,'Wall-U'!$A$4:$A$40,'Wall-U'!$H$4:$H$40)*H$12)+(LOOKUP(H$2,'Window-U'!$A$4:$A$40,'Window-U'!$S$4:$S$40)*H$21))*H$97</f>
        <v>407.0679389067966</v>
      </c>
      <c r="I101" s="177">
        <f>((LOOKUP(I$2,'Ceiling-U'!$A$4:$A$40,'Ceiling-U'!$AA$4:$AA$40)*I$14)+(LOOKUP(I$2,'Floor-U'!$A$4:$A$40,'Floor-U'!$H$4:$H$40)*I$15)+(LOOKUP(I$2,'Wall-U'!$A$4:$A$40,'Wall-U'!$H$4:$H$40)*I$12)+(LOOKUP(I$2,'Window-U'!$A$4:$A$40,'Window-U'!$S$4:$S$40)*I$21))*I$97</f>
        <v>195.03738182443715</v>
      </c>
      <c r="J101" s="177">
        <f>((LOOKUP(J$2,'Ceiling-U'!$A$4:$A$40,'Ceiling-U'!$AA$4:$AA$40)*J$14)+(LOOKUP(J$2,'Floor-U'!$A$4:$A$40,'Floor-U'!$H$4:$H$40)*J$15)+(LOOKUP(J$2,'Wall-U'!$A$4:$A$40,'Wall-U'!$H$4:$H$40)*J$12)+(LOOKUP(J$2,'Window-U'!$A$4:$A$40,'Window-U'!$S$4:$S$40)*J$21))*J$97</f>
        <v>178.15663806319117</v>
      </c>
      <c r="K101" s="177">
        <f>((LOOKUP(K$2,'Ceiling-U'!$A$4:$A$40,'Ceiling-U'!$AA$4:$AA$40)*K$14)+(LOOKUP(K$2,'Floor-U'!$A$4:$A$40,'Floor-U'!$H$4:$H$40)*K$15)+(LOOKUP(K$2,'Wall-U'!$A$4:$A$40,'Wall-U'!$H$4:$H$40)*K$12)+(LOOKUP(K$2,'Window-U'!$A$4:$A$40,'Window-U'!$S$4:$S$40)*K$21))*K$97</f>
        <v>118.29863055967985</v>
      </c>
      <c r="L101" s="177">
        <f>((LOOKUP(L$2,'Ceiling-U'!$A$4:$A$40,'Ceiling-U'!$AA$4:$AA$40)*L$14)+(LOOKUP(L$2,'Floor-U'!$A$4:$A$40,'Floor-U'!$H$4:$H$40)*L$15)+(LOOKUP(L$2,'Wall-U'!$A$4:$A$40,'Wall-U'!$H$4:$H$40)*L$12)+(LOOKUP(L$2,'Window-U'!$A$4:$A$40,'Window-U'!$S$4:$S$40)*L$21))*L$97</f>
        <v>78.09634463462146</v>
      </c>
      <c r="M101" s="177">
        <f>((LOOKUP(M$2,'Ceiling-U'!$A$4:$A$40,'Ceiling-U'!$AA$4:$AA$40)*M$14)+(LOOKUP(M$2,'Floor-U'!$A$4:$A$40,'Floor-U'!$H$4:$H$40)*M$15)+(LOOKUP(M$2,'Wall-U'!$A$4:$A$40,'Wall-U'!$H$4:$H$40)*M$12)+(LOOKUP(M$2,'Window-U'!$A$4:$A$40,'Window-U'!$S$4:$S$40)*M$21))*M$97</f>
        <v>364.88364280227222</v>
      </c>
      <c r="N101" s="177">
        <f>((LOOKUP(N$2,'Ceiling-U'!$A$4:$A$40,'Ceiling-U'!$AA$4:$AA$40)*N$14)+(LOOKUP(N$2,'Floor-U'!$A$4:$A$40,'Floor-U'!$H$4:$H$40)*N$15)+(LOOKUP(N$2,'Wall-U'!$A$4:$A$40,'Wall-U'!$H$4:$H$40)*N$12)+(LOOKUP(N$2,'Window-U'!$A$4:$A$40,'Window-U'!$S$4:$S$40)*N$21))*N$97</f>
        <v>92.98243017718228</v>
      </c>
      <c r="O101" s="177">
        <f>((LOOKUP(O$2,'Ceiling-U'!$A$4:$A$40,'Ceiling-U'!$AA$4:$AA$40)*O$14)+(LOOKUP(O$2,'Floor-U'!$A$4:$A$40,'Floor-U'!$H$4:$H$40)*O$15)+(LOOKUP(O$2,'Wall-U'!$A$4:$A$40,'Wall-U'!$H$4:$H$40)*O$12)+(LOOKUP(O$2,'Window-U'!$A$4:$A$40,'Window-U'!$S$4:$S$40)*O$21))*O$97</f>
        <v>231.5881600196538</v>
      </c>
      <c r="P101" s="177">
        <f>((LOOKUP(P$2,'Ceiling-U'!$A$4:$A$40,'Ceiling-U'!$AA$4:$AA$40)*P$14)+(LOOKUP(P$2,'Floor-U'!$A$4:$A$40,'Floor-U'!$H$4:$H$40)*P$15)+(LOOKUP(P$2,'Wall-U'!$A$4:$A$40,'Wall-U'!$H$4:$H$40)*P$12)+(LOOKUP(P$2,'Window-U'!$A$4:$A$40,'Window-U'!$S$4:$S$40)*P$21))*P$97</f>
        <v>529.67042484622095</v>
      </c>
      <c r="Q101" s="177">
        <f>((LOOKUP(Q$2,'Ceiling-U'!$A$4:$A$40,'Ceiling-U'!$AA$4:$AA$40)*Q$14)+(LOOKUP(Q$2,'Floor-U'!$A$4:$A$40,'Floor-U'!$H$4:$H$40)*Q$15)+(LOOKUP(Q$2,'Wall-U'!$A$4:$A$40,'Wall-U'!$H$4:$H$40)*Q$12)+(LOOKUP(Q$2,'Window-U'!$A$4:$A$40,'Window-U'!$S$4:$S$40)*Q$21))*Q$97</f>
        <v>234.23728644523439</v>
      </c>
      <c r="R101" s="177">
        <f>((LOOKUP(R$2,'Ceiling-U'!$A$4:$A$40,'Ceiling-U'!$AA$4:$AA$40)*R$14)+(LOOKUP(R$2,'Floor-U'!$A$4:$A$40,'Floor-U'!$H$4:$H$40)*R$15)+(LOOKUP(R$2,'Wall-U'!$A$4:$A$40,'Wall-U'!$H$4:$H$40)*R$12)+(LOOKUP(R$2,'Window-U'!$A$4:$A$40,'Window-U'!$S$4:$S$40)*R$21))*R$97</f>
        <v>202.18627773826441</v>
      </c>
      <c r="S101" s="177">
        <f>((LOOKUP(S$2,'Ceiling-U'!$A$4:$A$40,'Ceiling-U'!$AA$4:$AA$40)*S$14)+(LOOKUP(S$2,'Floor-U'!$A$4:$A$40,'Floor-U'!$H$4:$H$40)*S$15)+(LOOKUP(S$2,'Wall-U'!$A$4:$A$40,'Wall-U'!$H$4:$H$40)*S$12)+(LOOKUP(S$2,'Window-U'!$A$4:$A$40,'Window-U'!$S$4:$S$40)*S$21))*S$97</f>
        <v>260.62045598066396</v>
      </c>
      <c r="T101" s="177">
        <f>((LOOKUP(T$2,'Ceiling-U'!$A$4:$A$40,'Ceiling-U'!$AA$4:$AA$40)*T$14)+(LOOKUP(T$2,'Floor-U'!$A$4:$A$40,'Floor-U'!$H$4:$H$40)*T$15)+(LOOKUP(T$2,'Wall-U'!$A$4:$A$40,'Wall-U'!$H$4:$H$40)*T$12)+(LOOKUP(T$2,'Window-U'!$A$4:$A$40,'Window-U'!$S$4:$S$40)*T$21))*T$97</f>
        <v>92.98243017718228</v>
      </c>
      <c r="U101" s="177">
        <f>((LOOKUP(U$2,'Ceiling-U'!$A$4:$A$40,'Ceiling-U'!$AA$4:$AA$40)*U$14)+(LOOKUP(U$2,'Floor-U'!$A$4:$A$40,'Floor-U'!$H$4:$H$40)*U$15)+(LOOKUP(U$2,'Wall-U'!$A$4:$A$40,'Wall-U'!$H$4:$H$40)*U$12)+(LOOKUP(U$2,'Window-U'!$A$4:$A$40,'Window-U'!$S$4:$S$40)*U$21))*U$97</f>
        <v>319.5368419401504</v>
      </c>
      <c r="V101" s="177">
        <f>((LOOKUP(V$2,'Ceiling-U'!$A$4:$A$40,'Ceiling-U'!$AA$4:$AA$40)*V$14)+(LOOKUP(V$2,'Floor-U'!$A$4:$A$40,'Floor-U'!$H$4:$H$40)*V$15)+(LOOKUP(V$2,'Wall-U'!$A$4:$A$40,'Wall-U'!$H$4:$H$40)*V$12)+(LOOKUP(V$2,'Window-U'!$A$4:$A$40,'Window-U'!$S$4:$S$40)*V$21))*V$97</f>
        <v>152.64404652820758</v>
      </c>
      <c r="W101" s="177">
        <f>((LOOKUP(W$2,'Ceiling-U'!$A$4:$A$40,'Ceiling-U'!$AA$4:$AA$40)*W$14)+(LOOKUP(W$2,'Floor-U'!$A$4:$A$40,'Floor-U'!$H$4:$H$40)*W$15)+(LOOKUP(W$2,'Wall-U'!$A$4:$A$40,'Wall-U'!$H$4:$H$40)*W$12)+(LOOKUP(W$2,'Window-U'!$A$4:$A$40,'Window-U'!$S$4:$S$40)*W$21))*W$97</f>
        <v>146.35170578026342</v>
      </c>
      <c r="X101" s="177">
        <f>((LOOKUP(X$2,'Ceiling-U'!$A$4:$A$40,'Ceiling-U'!$AA$4:$AA$40)*X$14)+(LOOKUP(X$2,'Floor-U'!$A$4:$A$40,'Floor-U'!$H$4:$H$40)*X$15)+(LOOKUP(X$2,'Wall-U'!$A$4:$A$40,'Wall-U'!$H$4:$H$40)*X$12)+(LOOKUP(X$2,'Window-U'!$A$4:$A$40,'Window-U'!$S$4:$S$40)*X$21))*X$97</f>
        <v>127.30812204810846</v>
      </c>
      <c r="Y101" s="177">
        <f>((LOOKUP(Y$2,'Ceiling-U'!$A$4:$A$40,'Ceiling-U'!$AA$4:$AA$40)*Y$14)+(LOOKUP(Y$2,'Floor-U'!$A$4:$A$40,'Floor-U'!$H$4:$H$40)*Y$15)+(LOOKUP(Y$2,'Wall-U'!$A$4:$A$40,'Wall-U'!$H$4:$H$40)*Y$12)+(LOOKUP(Y$2,'Window-U'!$A$4:$A$40,'Window-U'!$S$4:$S$40)*Y$21))*Y$97</f>
        <v>443.72761508356513</v>
      </c>
      <c r="Z101" s="177">
        <f>((LOOKUP(Z$2,'Ceiling-U'!$A$4:$A$40,'Ceiling-U'!$AA$4:$AA$40)*Z$14)+(LOOKUP(Z$2,'Floor-U'!$A$4:$A$40,'Floor-U'!$H$4:$H$40)*Z$15)+(LOOKUP(Z$2,'Wall-U'!$A$4:$A$40,'Wall-U'!$H$4:$H$40)*Z$12)+(LOOKUP(Z$2,'Window-U'!$A$4:$A$40,'Window-U'!$S$4:$S$40)*Z$21))*Z$97</f>
        <v>207.44030421348367</v>
      </c>
      <c r="AA101" s="177">
        <f>((LOOKUP(AA$2,'Ceiling-U'!$A$4:$A$40,'Ceiling-U'!$AA$4:$AA$40)*AA$14)+(LOOKUP(AA$2,'Floor-U'!$A$4:$A$40,'Floor-U'!$H$4:$H$40)*AA$15)+(LOOKUP(AA$2,'Wall-U'!$A$4:$A$40,'Wall-U'!$H$4:$H$40)*AA$12)+(LOOKUP(AA$2,'Window-U'!$A$4:$A$40,'Window-U'!$S$4:$S$40)*AA$21))*AA$97</f>
        <v>89.312003790073504</v>
      </c>
      <c r="AB101" s="177">
        <f>((LOOKUP(AB$2,'Ceiling-U'!$A$4:$A$40,'Ceiling-U'!$AA$4:$AA$40)*AB$14)+(LOOKUP(AB$2,'Floor-U'!$A$4:$A$40,'Floor-U'!$H$4:$H$40)*AB$15)+(LOOKUP(AB$2,'Wall-U'!$A$4:$A$40,'Wall-U'!$H$4:$H$40)*AB$12)+(LOOKUP(AB$2,'Window-U'!$A$4:$A$40,'Window-U'!$S$4:$S$40)*AB$21))*AB$97</f>
        <v>200.61644515698376</v>
      </c>
      <c r="AC101" s="177">
        <f>((LOOKUP(AC$2,'Ceiling-U'!$A$4:$A$40,'Ceiling-U'!$AA$4:$AA$40)*AC$14)+(LOOKUP(AC$2,'Floor-U'!$A$4:$A$40,'Floor-U'!$H$4:$H$40)*AC$15)+(LOOKUP(AC$2,'Wall-U'!$A$4:$A$40,'Wall-U'!$H$4:$H$40)*AC$12)+(LOOKUP(AC$2,'Window-U'!$A$4:$A$40,'Window-U'!$S$4:$S$40)*AC$21))*AC$97</f>
        <v>442.01717552139075</v>
      </c>
      <c r="AD101" s="177">
        <f>((LOOKUP(AD$2,'Ceiling-U'!$A$4:$A$40,'Ceiling-U'!$AA$4:$AA$40)*AD$14)+(LOOKUP(AD$2,'Floor-U'!$A$4:$A$40,'Floor-U'!$H$4:$H$40)*AD$15)+(LOOKUP(AD$2,'Wall-U'!$A$4:$A$40,'Wall-U'!$H$4:$H$40)*AD$12)+(LOOKUP(AD$2,'Window-U'!$A$4:$A$40,'Window-U'!$S$4:$S$40)*AD$21))*AD$97</f>
        <v>258.3340243985341</v>
      </c>
      <c r="AE101" s="177">
        <f>((LOOKUP(AE$2,'Ceiling-U'!$A$4:$A$40,'Ceiling-U'!$AA$4:$AA$40)*AE$14)+(LOOKUP(AE$2,'Floor-U'!$A$4:$A$40,'Floor-U'!$H$4:$H$40)*AE$15)+(LOOKUP(AE$2,'Wall-U'!$A$4:$A$40,'Wall-U'!$H$4:$H$40)*AE$12)+(LOOKUP(AE$2,'Window-U'!$A$4:$A$40,'Window-U'!$S$4:$S$40)*AE$21))*AE$97</f>
        <v>89.312003790073504</v>
      </c>
      <c r="AF101" s="177">
        <f>((LOOKUP(AF$2,'Ceiling-U'!$A$4:$A$40,'Ceiling-U'!$AA$4:$AA$40)*AF$14)+(LOOKUP(AF$2,'Floor-U'!$A$4:$A$40,'Floor-U'!$H$4:$H$40)*AF$15)+(LOOKUP(AF$2,'Wall-U'!$A$4:$A$40,'Wall-U'!$H$4:$H$40)*AF$12)+(LOOKUP(AF$2,'Window-U'!$A$4:$A$40,'Window-U'!$S$4:$S$40)*AF$21))*AF$97</f>
        <v>222.05253964560509</v>
      </c>
      <c r="AG101" s="177">
        <f>((LOOKUP(AG$2,'Ceiling-U'!$A$4:$A$40,'Ceiling-U'!$AA$4:$AA$40)*AG$14)+(LOOKUP(AG$2,'Floor-U'!$A$4:$A$40,'Floor-U'!$H$4:$H$40)*AG$15)+(LOOKUP(AG$2,'Wall-U'!$A$4:$A$40,'Wall-U'!$H$4:$H$40)*AG$12)+(LOOKUP(AG$2,'Window-U'!$A$4:$A$40,'Window-U'!$S$4:$S$40)*AG$21))*AG$97</f>
        <v>296.11213403419856</v>
      </c>
      <c r="AH101" s="177">
        <f>((LOOKUP(AH$2,'Ceiling-U'!$A$4:$A$40,'Ceiling-U'!$AA$4:$AA$40)*AH$14)+(LOOKUP(AH$2,'Floor-U'!$A$4:$A$40,'Floor-U'!$H$4:$H$40)*AH$15)+(LOOKUP(AH$2,'Wall-U'!$A$4:$A$40,'Wall-U'!$H$4:$H$40)*AH$12)+(LOOKUP(AH$2,'Window-U'!$A$4:$A$40,'Window-U'!$S$4:$S$40)*AH$21))*AH$97</f>
        <v>140.99659617281503</v>
      </c>
      <c r="AI101" s="177">
        <f>((LOOKUP(AI$2,'Ceiling-U'!$A$4:$A$40,'Ceiling-U'!$AA$4:$AA$40)*AI$14)+(LOOKUP(AI$2,'Floor-U'!$A$4:$A$40,'Floor-U'!$H$4:$H$40)*AI$15)+(LOOKUP(AI$2,'Wall-U'!$A$4:$A$40,'Wall-U'!$H$4:$H$40)*AI$12)+(LOOKUP(AI$2,'Window-U'!$A$4:$A$40,'Window-U'!$S$4:$S$40)*AI$21))*AI$97</f>
        <v>529.67042484622095</v>
      </c>
      <c r="AJ101" s="177">
        <f>((LOOKUP(AJ$2,'Ceiling-U'!$A$4:$A$40,'Ceiling-U'!$AA$4:$AA$40)*AJ$14)+(LOOKUP(AJ$2,'Floor-U'!$A$4:$A$40,'Floor-U'!$H$4:$H$40)*AJ$15)+(LOOKUP(AJ$2,'Wall-U'!$A$4:$A$40,'Wall-U'!$H$4:$H$40)*AJ$12)+(LOOKUP(AJ$2,'Window-U'!$A$4:$A$40,'Window-U'!$S$4:$S$40)*AJ$21))*AJ$97</f>
        <v>221.78977915735504</v>
      </c>
      <c r="AK101" s="177">
        <f>((LOOKUP(AK$2,'Ceiling-U'!$A$4:$A$40,'Ceiling-U'!$AA$4:$AA$40)*AK$14)+(LOOKUP(AK$2,'Floor-U'!$A$4:$A$40,'Floor-U'!$H$4:$H$40)*AK$15)+(LOOKUP(AK$2,'Wall-U'!$A$4:$A$40,'Wall-U'!$H$4:$H$40)*AK$12)+(LOOKUP(AK$2,'Window-U'!$A$4:$A$40,'Window-U'!$S$4:$S$40)*AK$21))*AK$97</f>
        <v>267.15342958616765</v>
      </c>
      <c r="AL101" s="177">
        <f>((LOOKUP(AL$2,'Ceiling-U'!$A$4:$A$40,'Ceiling-U'!$AA$4:$AA$40)*AL$14)+(LOOKUP(AL$2,'Floor-U'!$A$4:$A$40,'Floor-U'!$H$4:$H$40)*AL$15)+(LOOKUP(AL$2,'Wall-U'!$A$4:$A$40,'Wall-U'!$H$4:$H$40)*AL$12)+(LOOKUP(AL$2,'Window-U'!$A$4:$A$40,'Window-U'!$S$4:$S$40)*AL$21))*AL$97</f>
        <v>210.83085504007528</v>
      </c>
      <c r="AM101" s="177">
        <f>((LOOKUP(AM$2,'Ceiling-U'!$A$4:$A$40,'Ceiling-U'!$AA$4:$AA$40)*AM$14)+(LOOKUP(AM$2,'Floor-U'!$A$4:$A$40,'Floor-U'!$H$4:$H$40)*AM$15)+(LOOKUP(AM$2,'Wall-U'!$A$4:$A$40,'Wall-U'!$H$4:$H$40)*AM$12)+(LOOKUP(AM$2,'Window-U'!$A$4:$A$40,'Window-U'!$S$4:$S$40)*AM$21))*AM$97</f>
        <v>221.78977915735504</v>
      </c>
      <c r="AN101" s="178">
        <f>((LOOKUP(AN$2,'Ceiling-U'!$A$4:$A$40,'Ceiling-U'!$AA$4:$AA$40)*AN$14)+(LOOKUP(AN$2,'Floor-U'!$A$4:$A$40,'Floor-U'!$H$4:$H$40)*AN$15)+(LOOKUP(AN$2,'Wall-U'!$A$4:$A$40,'Wall-U'!$H$4:$H$40)*AN$12)+(LOOKUP(AN$2,'Window-U'!$A$4:$A$40,'Window-U'!$S$4:$S$40)*AN$21))*AN$97</f>
        <v>221.78977915735504</v>
      </c>
    </row>
    <row r="102" spans="1:40">
      <c r="A102" s="372"/>
      <c r="B102" s="142" t="s">
        <v>6</v>
      </c>
      <c r="C102" s="131" t="s">
        <v>195</v>
      </c>
      <c r="D102" s="176">
        <f>((LOOKUP(D$2,'Ceiling-U'!$A$4:$A$40,'Ceiling-U'!$AB$4:$AB$40)*D$14)+(LOOKUP(D$2,'Floor-U'!$A$4:$A$40,'Floor-U'!$I$4:$I$40)*D$15)+(LOOKUP(D$2,'Wall-U'!$A$4:$A$40,'Wall-U'!$I$4:$I$40)*D$12)+(LOOKUP(D$2,'Window-U'!$A$4:$A$40,'Window-U'!$S$4:$S$40)*D$21))*D$97</f>
        <v>158.77266123803875</v>
      </c>
      <c r="E102" s="177">
        <f>((LOOKUP(E$2,'Ceiling-U'!$A$4:$A$40,'Ceiling-U'!$AB$4:$AB$40)*E$14)+(LOOKUP(E$2,'Floor-U'!$A$4:$A$40,'Floor-U'!$I$4:$I$40)*E$15)+(LOOKUP(E$2,'Wall-U'!$A$4:$A$40,'Wall-U'!$I$4:$I$40)*E$12)+(LOOKUP(E$2,'Window-U'!$A$4:$A$40,'Window-U'!$S$4:$S$40)*E$21))*E$97</f>
        <v>369.06766116958789</v>
      </c>
      <c r="F102" s="177">
        <f>((LOOKUP(F$2,'Ceiling-U'!$A$4:$A$40,'Ceiling-U'!$AB$4:$AB$40)*F$14)+(LOOKUP(F$2,'Floor-U'!$A$4:$A$40,'Floor-U'!$I$4:$I$40)*F$15)+(LOOKUP(F$2,'Wall-U'!$A$4:$A$40,'Wall-U'!$I$4:$I$40)*F$12)+(LOOKUP(F$2,'Window-U'!$A$4:$A$40,'Window-U'!$S$4:$S$40)*F$21))*F$97</f>
        <v>159.44110244005094</v>
      </c>
      <c r="G102" s="177">
        <f>((LOOKUP(G$2,'Ceiling-U'!$A$4:$A$40,'Ceiling-U'!$AB$4:$AB$40)*G$14)+(LOOKUP(G$2,'Floor-U'!$A$4:$A$40,'Floor-U'!$I$4:$I$40)*G$15)+(LOOKUP(G$2,'Wall-U'!$A$4:$A$40,'Wall-U'!$I$4:$I$40)*G$12)+(LOOKUP(G$2,'Window-U'!$A$4:$A$40,'Window-U'!$S$4:$S$40)*G$21))*G$97</f>
        <v>158.77266123803875</v>
      </c>
      <c r="H102" s="177">
        <f>((LOOKUP(H$2,'Ceiling-U'!$A$4:$A$40,'Ceiling-U'!$AB$4:$AB$40)*H$14)+(LOOKUP(H$2,'Floor-U'!$A$4:$A$40,'Floor-U'!$I$4:$I$40)*H$15)+(LOOKUP(H$2,'Wall-U'!$A$4:$A$40,'Wall-U'!$I$4:$I$40)*H$12)+(LOOKUP(H$2,'Window-U'!$A$4:$A$40,'Window-U'!$S$4:$S$40)*H$21))*H$97</f>
        <v>407.0679389067966</v>
      </c>
      <c r="I102" s="177">
        <f>((LOOKUP(I$2,'Ceiling-U'!$A$4:$A$40,'Ceiling-U'!$AB$4:$AB$40)*I$14)+(LOOKUP(I$2,'Floor-U'!$A$4:$A$40,'Floor-U'!$I$4:$I$40)*I$15)+(LOOKUP(I$2,'Wall-U'!$A$4:$A$40,'Wall-U'!$I$4:$I$40)*I$12)+(LOOKUP(I$2,'Window-U'!$A$4:$A$40,'Window-U'!$S$4:$S$40)*I$21))*I$97</f>
        <v>140.5538694760231</v>
      </c>
      <c r="J102" s="177">
        <f>((LOOKUP(J$2,'Ceiling-U'!$A$4:$A$40,'Ceiling-U'!$AB$4:$AB$40)*J$14)+(LOOKUP(J$2,'Floor-U'!$A$4:$A$40,'Floor-U'!$I$4:$I$40)*J$15)+(LOOKUP(J$2,'Wall-U'!$A$4:$A$40,'Wall-U'!$I$4:$I$40)*J$12)+(LOOKUP(J$2,'Window-U'!$A$4:$A$40,'Window-U'!$S$4:$S$40)*J$21))*J$97</f>
        <v>98.382265246713757</v>
      </c>
      <c r="K102" s="177">
        <f>((LOOKUP(K$2,'Ceiling-U'!$A$4:$A$40,'Ceiling-U'!$AB$4:$AB$40)*K$14)+(LOOKUP(K$2,'Floor-U'!$A$4:$A$40,'Floor-U'!$I$4:$I$40)*K$15)+(LOOKUP(K$2,'Wall-U'!$A$4:$A$40,'Wall-U'!$I$4:$I$40)*K$12)+(LOOKUP(K$2,'Window-U'!$A$4:$A$40,'Window-U'!$S$4:$S$40)*K$21))*K$97</f>
        <v>118.29863055967985</v>
      </c>
      <c r="L102" s="177">
        <f>((LOOKUP(L$2,'Ceiling-U'!$A$4:$A$40,'Ceiling-U'!$AB$4:$AB$40)*L$14)+(LOOKUP(L$2,'Floor-U'!$A$4:$A$40,'Floor-U'!$I$4:$I$40)*L$15)+(LOOKUP(L$2,'Wall-U'!$A$4:$A$40,'Wall-U'!$I$4:$I$40)*L$12)+(LOOKUP(L$2,'Window-U'!$A$4:$A$40,'Window-U'!$S$4:$S$40)*L$21))*L$97</f>
        <v>67.884699844934346</v>
      </c>
      <c r="M102" s="177">
        <f>((LOOKUP(M$2,'Ceiling-U'!$A$4:$A$40,'Ceiling-U'!$AB$4:$AB$40)*M$14)+(LOOKUP(M$2,'Floor-U'!$A$4:$A$40,'Floor-U'!$I$4:$I$40)*M$15)+(LOOKUP(M$2,'Wall-U'!$A$4:$A$40,'Wall-U'!$I$4:$I$40)*M$12)+(LOOKUP(M$2,'Window-U'!$A$4:$A$40,'Window-U'!$S$4:$S$40)*M$21))*M$97</f>
        <v>364.88364280227222</v>
      </c>
      <c r="N102" s="177">
        <f>((LOOKUP(N$2,'Ceiling-U'!$A$4:$A$40,'Ceiling-U'!$AB$4:$AB$40)*N$14)+(LOOKUP(N$2,'Floor-U'!$A$4:$A$40,'Floor-U'!$I$4:$I$40)*N$15)+(LOOKUP(N$2,'Wall-U'!$A$4:$A$40,'Wall-U'!$I$4:$I$40)*N$12)+(LOOKUP(N$2,'Window-U'!$A$4:$A$40,'Window-U'!$S$4:$S$40)*N$21))*N$97</f>
        <v>91.466932785041678</v>
      </c>
      <c r="O102" s="177">
        <f>((LOOKUP(O$2,'Ceiling-U'!$A$4:$A$40,'Ceiling-U'!$AB$4:$AB$40)*O$14)+(LOOKUP(O$2,'Floor-U'!$A$4:$A$40,'Floor-U'!$I$4:$I$40)*O$15)+(LOOKUP(O$2,'Wall-U'!$A$4:$A$40,'Wall-U'!$I$4:$I$40)*O$12)+(LOOKUP(O$2,'Window-U'!$A$4:$A$40,'Window-U'!$S$4:$S$40)*O$21))*O$97</f>
        <v>126.03242618807357</v>
      </c>
      <c r="P102" s="177">
        <f>((LOOKUP(P$2,'Ceiling-U'!$A$4:$A$40,'Ceiling-U'!$AB$4:$AB$40)*P$14)+(LOOKUP(P$2,'Floor-U'!$A$4:$A$40,'Floor-U'!$I$4:$I$40)*P$15)+(LOOKUP(P$2,'Wall-U'!$A$4:$A$40,'Wall-U'!$I$4:$I$40)*P$12)+(LOOKUP(P$2,'Window-U'!$A$4:$A$40,'Window-U'!$S$4:$S$40)*P$21))*P$97</f>
        <v>529.67042484622095</v>
      </c>
      <c r="Q102" s="177">
        <f>((LOOKUP(Q$2,'Ceiling-U'!$A$4:$A$40,'Ceiling-U'!$AB$4:$AB$40)*Q$14)+(LOOKUP(Q$2,'Floor-U'!$A$4:$A$40,'Floor-U'!$I$4:$I$40)*Q$15)+(LOOKUP(Q$2,'Wall-U'!$A$4:$A$40,'Wall-U'!$I$4:$I$40)*Q$12)+(LOOKUP(Q$2,'Window-U'!$A$4:$A$40,'Window-U'!$S$4:$S$40)*Q$21))*Q$97</f>
        <v>163.1971249655972</v>
      </c>
      <c r="R102" s="177">
        <f>((LOOKUP(R$2,'Ceiling-U'!$A$4:$A$40,'Ceiling-U'!$AB$4:$AB$40)*R$14)+(LOOKUP(R$2,'Floor-U'!$A$4:$A$40,'Floor-U'!$I$4:$I$40)*R$15)+(LOOKUP(R$2,'Wall-U'!$A$4:$A$40,'Wall-U'!$I$4:$I$40)*R$12)+(LOOKUP(R$2,'Window-U'!$A$4:$A$40,'Window-U'!$S$4:$S$40)*R$21))*R$97</f>
        <v>202.18627773826441</v>
      </c>
      <c r="S102" s="177">
        <f>((LOOKUP(S$2,'Ceiling-U'!$A$4:$A$40,'Ceiling-U'!$AB$4:$AB$40)*S$14)+(LOOKUP(S$2,'Floor-U'!$A$4:$A$40,'Floor-U'!$I$4:$I$40)*S$15)+(LOOKUP(S$2,'Wall-U'!$A$4:$A$40,'Wall-U'!$I$4:$I$40)*S$12)+(LOOKUP(S$2,'Window-U'!$A$4:$A$40,'Window-U'!$S$4:$S$40)*S$21))*S$97</f>
        <v>203.47100224354438</v>
      </c>
      <c r="T102" s="177">
        <f>((LOOKUP(T$2,'Ceiling-U'!$A$4:$A$40,'Ceiling-U'!$AB$4:$AB$40)*T$14)+(LOOKUP(T$2,'Floor-U'!$A$4:$A$40,'Floor-U'!$I$4:$I$40)*T$15)+(LOOKUP(T$2,'Wall-U'!$A$4:$A$40,'Wall-U'!$I$4:$I$40)*T$12)+(LOOKUP(T$2,'Window-U'!$A$4:$A$40,'Window-U'!$S$4:$S$40)*T$21))*T$97</f>
        <v>91.466932785041678</v>
      </c>
      <c r="U102" s="177">
        <f>((LOOKUP(U$2,'Ceiling-U'!$A$4:$A$40,'Ceiling-U'!$AB$4:$AB$40)*U$14)+(LOOKUP(U$2,'Floor-U'!$A$4:$A$40,'Floor-U'!$I$4:$I$40)*U$15)+(LOOKUP(U$2,'Wall-U'!$A$4:$A$40,'Wall-U'!$I$4:$I$40)*U$12)+(LOOKUP(U$2,'Window-U'!$A$4:$A$40,'Window-U'!$S$4:$S$40)*U$21))*U$97</f>
        <v>293.80909610367326</v>
      </c>
      <c r="V102" s="177">
        <f>((LOOKUP(V$2,'Ceiling-U'!$A$4:$A$40,'Ceiling-U'!$AB$4:$AB$40)*V$14)+(LOOKUP(V$2,'Floor-U'!$A$4:$A$40,'Floor-U'!$I$4:$I$40)*V$15)+(LOOKUP(V$2,'Wall-U'!$A$4:$A$40,'Wall-U'!$I$4:$I$40)*V$12)+(LOOKUP(V$2,'Window-U'!$A$4:$A$40,'Window-U'!$S$4:$S$40)*V$21))*V$97</f>
        <v>152.64404652820758</v>
      </c>
      <c r="W102" s="177">
        <f>((LOOKUP(W$2,'Ceiling-U'!$A$4:$A$40,'Ceiling-U'!$AB$4:$AB$40)*W$14)+(LOOKUP(W$2,'Floor-U'!$A$4:$A$40,'Floor-U'!$I$4:$I$40)*W$15)+(LOOKUP(W$2,'Wall-U'!$A$4:$A$40,'Wall-U'!$I$4:$I$40)*W$12)+(LOOKUP(W$2,'Window-U'!$A$4:$A$40,'Window-U'!$S$4:$S$40)*W$21))*W$97</f>
        <v>127.82202562408891</v>
      </c>
      <c r="X102" s="177">
        <f>((LOOKUP(X$2,'Ceiling-U'!$A$4:$A$40,'Ceiling-U'!$AB$4:$AB$40)*X$14)+(LOOKUP(X$2,'Floor-U'!$A$4:$A$40,'Floor-U'!$I$4:$I$40)*X$15)+(LOOKUP(X$2,'Wall-U'!$A$4:$A$40,'Wall-U'!$I$4:$I$40)*X$12)+(LOOKUP(X$2,'Window-U'!$A$4:$A$40,'Window-U'!$S$4:$S$40)*X$21))*X$97</f>
        <v>126.90043751828034</v>
      </c>
      <c r="Y102" s="177">
        <f>((LOOKUP(Y$2,'Ceiling-U'!$A$4:$A$40,'Ceiling-U'!$AB$4:$AB$40)*Y$14)+(LOOKUP(Y$2,'Floor-U'!$A$4:$A$40,'Floor-U'!$I$4:$I$40)*Y$15)+(LOOKUP(Y$2,'Wall-U'!$A$4:$A$40,'Wall-U'!$I$4:$I$40)*Y$12)+(LOOKUP(Y$2,'Window-U'!$A$4:$A$40,'Window-U'!$S$4:$S$40)*Y$21))*Y$97</f>
        <v>443.54140631191939</v>
      </c>
      <c r="Z102" s="177">
        <f>((LOOKUP(Z$2,'Ceiling-U'!$A$4:$A$40,'Ceiling-U'!$AB$4:$AB$40)*Z$14)+(LOOKUP(Z$2,'Floor-U'!$A$4:$A$40,'Floor-U'!$I$4:$I$40)*Z$15)+(LOOKUP(Z$2,'Wall-U'!$A$4:$A$40,'Wall-U'!$I$4:$I$40)*Z$12)+(LOOKUP(Z$2,'Window-U'!$A$4:$A$40,'Window-U'!$S$4:$S$40)*Z$21))*Z$97</f>
        <v>188.5390730692007</v>
      </c>
      <c r="AA102" s="177">
        <f>((LOOKUP(AA$2,'Ceiling-U'!$A$4:$A$40,'Ceiling-U'!$AB$4:$AB$40)*AA$14)+(LOOKUP(AA$2,'Floor-U'!$A$4:$A$40,'Floor-U'!$I$4:$I$40)*AA$15)+(LOOKUP(AA$2,'Wall-U'!$A$4:$A$40,'Wall-U'!$I$4:$I$40)*AA$12)+(LOOKUP(AA$2,'Window-U'!$A$4:$A$40,'Window-U'!$S$4:$S$40)*AA$21))*AA$97</f>
        <v>75.642549389300683</v>
      </c>
      <c r="AB102" s="177">
        <f>((LOOKUP(AB$2,'Ceiling-U'!$A$4:$A$40,'Ceiling-U'!$AB$4:$AB$40)*AB$14)+(LOOKUP(AB$2,'Floor-U'!$A$4:$A$40,'Floor-U'!$I$4:$I$40)*AB$15)+(LOOKUP(AB$2,'Wall-U'!$A$4:$A$40,'Wall-U'!$I$4:$I$40)*AB$12)+(LOOKUP(AB$2,'Window-U'!$A$4:$A$40,'Window-U'!$S$4:$S$40)*AB$21))*AB$97</f>
        <v>200.61644515698376</v>
      </c>
      <c r="AC102" s="177">
        <f>((LOOKUP(AC$2,'Ceiling-U'!$A$4:$A$40,'Ceiling-U'!$AB$4:$AB$40)*AC$14)+(LOOKUP(AC$2,'Floor-U'!$A$4:$A$40,'Floor-U'!$I$4:$I$40)*AC$15)+(LOOKUP(AC$2,'Wall-U'!$A$4:$A$40,'Wall-U'!$I$4:$I$40)*AC$12)+(LOOKUP(AC$2,'Window-U'!$A$4:$A$40,'Window-U'!$S$4:$S$40)*AC$21))*AC$97</f>
        <v>399.37941774699772</v>
      </c>
      <c r="AD102" s="177">
        <f>((LOOKUP(AD$2,'Ceiling-U'!$A$4:$A$40,'Ceiling-U'!$AB$4:$AB$40)*AD$14)+(LOOKUP(AD$2,'Floor-U'!$A$4:$A$40,'Floor-U'!$I$4:$I$40)*AD$15)+(LOOKUP(AD$2,'Wall-U'!$A$4:$A$40,'Wall-U'!$I$4:$I$40)*AD$12)+(LOOKUP(AD$2,'Window-U'!$A$4:$A$40,'Window-U'!$S$4:$S$40)*AD$21))*AD$97</f>
        <v>258.3340243985341</v>
      </c>
      <c r="AE102" s="177">
        <f>((LOOKUP(AE$2,'Ceiling-U'!$A$4:$A$40,'Ceiling-U'!$AB$4:$AB$40)*AE$14)+(LOOKUP(AE$2,'Floor-U'!$A$4:$A$40,'Floor-U'!$I$4:$I$40)*AE$15)+(LOOKUP(AE$2,'Wall-U'!$A$4:$A$40,'Wall-U'!$I$4:$I$40)*AE$12)+(LOOKUP(AE$2,'Window-U'!$A$4:$A$40,'Window-U'!$S$4:$S$40)*AE$21))*AE$97</f>
        <v>75.642549389300683</v>
      </c>
      <c r="AF102" s="177">
        <f>((LOOKUP(AF$2,'Ceiling-U'!$A$4:$A$40,'Ceiling-U'!$AB$4:$AB$40)*AF$14)+(LOOKUP(AF$2,'Floor-U'!$A$4:$A$40,'Floor-U'!$I$4:$I$40)*AF$15)+(LOOKUP(AF$2,'Wall-U'!$A$4:$A$40,'Wall-U'!$I$4:$I$40)*AF$12)+(LOOKUP(AF$2,'Window-U'!$A$4:$A$40,'Window-U'!$S$4:$S$40)*AF$21))*AF$97</f>
        <v>154.58361063040337</v>
      </c>
      <c r="AG102" s="177">
        <f>((LOOKUP(AG$2,'Ceiling-U'!$A$4:$A$40,'Ceiling-U'!$AB$4:$AB$40)*AG$14)+(LOOKUP(AG$2,'Floor-U'!$A$4:$A$40,'Floor-U'!$I$4:$I$40)*AG$15)+(LOOKUP(AG$2,'Wall-U'!$A$4:$A$40,'Wall-U'!$I$4:$I$40)*AG$12)+(LOOKUP(AG$2,'Window-U'!$A$4:$A$40,'Window-U'!$S$4:$S$40)*AG$21))*AG$97</f>
        <v>278.983979339043</v>
      </c>
      <c r="AH102" s="177">
        <f>((LOOKUP(AH$2,'Ceiling-U'!$A$4:$A$40,'Ceiling-U'!$AB$4:$AB$40)*AH$14)+(LOOKUP(AH$2,'Floor-U'!$A$4:$A$40,'Floor-U'!$I$4:$I$40)*AH$15)+(LOOKUP(AH$2,'Wall-U'!$A$4:$A$40,'Wall-U'!$I$4:$I$40)*AH$12)+(LOOKUP(AH$2,'Window-U'!$A$4:$A$40,'Window-U'!$S$4:$S$40)*AH$21))*AH$97</f>
        <v>116.84780630393901</v>
      </c>
      <c r="AI102" s="177">
        <f>((LOOKUP(AI$2,'Ceiling-U'!$A$4:$A$40,'Ceiling-U'!$AB$4:$AB$40)*AI$14)+(LOOKUP(AI$2,'Floor-U'!$A$4:$A$40,'Floor-U'!$I$4:$I$40)*AI$15)+(LOOKUP(AI$2,'Wall-U'!$A$4:$A$40,'Wall-U'!$I$4:$I$40)*AI$12)+(LOOKUP(AI$2,'Window-U'!$A$4:$A$40,'Window-U'!$S$4:$S$40)*AI$21))*AI$97</f>
        <v>529.67042484622095</v>
      </c>
      <c r="AJ102" s="177">
        <f>((LOOKUP(AJ$2,'Ceiling-U'!$A$4:$A$40,'Ceiling-U'!$AB$4:$AB$40)*AJ$14)+(LOOKUP(AJ$2,'Floor-U'!$A$4:$A$40,'Floor-U'!$I$4:$I$40)*AJ$15)+(LOOKUP(AJ$2,'Wall-U'!$A$4:$A$40,'Wall-U'!$I$4:$I$40)*AJ$12)+(LOOKUP(AJ$2,'Window-U'!$A$4:$A$40,'Window-U'!$S$4:$S$40)*AJ$21))*AJ$97</f>
        <v>208.51010426363479</v>
      </c>
      <c r="AK102" s="177">
        <f>((LOOKUP(AK$2,'Ceiling-U'!$A$4:$A$40,'Ceiling-U'!$AB$4:$AB$40)*AK$14)+(LOOKUP(AK$2,'Floor-U'!$A$4:$A$40,'Floor-U'!$I$4:$I$40)*AK$15)+(LOOKUP(AK$2,'Wall-U'!$A$4:$A$40,'Wall-U'!$I$4:$I$40)*AK$12)+(LOOKUP(AK$2,'Window-U'!$A$4:$A$40,'Window-U'!$S$4:$S$40)*AK$21))*AK$97</f>
        <v>251.27677971234792</v>
      </c>
      <c r="AL102" s="177">
        <f>((LOOKUP(AL$2,'Ceiling-U'!$A$4:$A$40,'Ceiling-U'!$AB$4:$AB$40)*AL$14)+(LOOKUP(AL$2,'Floor-U'!$A$4:$A$40,'Floor-U'!$I$4:$I$40)*AL$15)+(LOOKUP(AL$2,'Wall-U'!$A$4:$A$40,'Wall-U'!$I$4:$I$40)*AL$12)+(LOOKUP(AL$2,'Window-U'!$A$4:$A$40,'Window-U'!$S$4:$S$40)*AL$21))*AL$97</f>
        <v>167.20010130173119</v>
      </c>
      <c r="AM102" s="177">
        <f>((LOOKUP(AM$2,'Ceiling-U'!$A$4:$A$40,'Ceiling-U'!$AB$4:$AB$40)*AM$14)+(LOOKUP(AM$2,'Floor-U'!$A$4:$A$40,'Floor-U'!$I$4:$I$40)*AM$15)+(LOOKUP(AM$2,'Wall-U'!$A$4:$A$40,'Wall-U'!$I$4:$I$40)*AM$12)+(LOOKUP(AM$2,'Window-U'!$A$4:$A$40,'Window-U'!$S$4:$S$40)*AM$21))*AM$97</f>
        <v>208.51010426363479</v>
      </c>
      <c r="AN102" s="178">
        <f>((LOOKUP(AN$2,'Ceiling-U'!$A$4:$A$40,'Ceiling-U'!$AB$4:$AB$40)*AN$14)+(LOOKUP(AN$2,'Floor-U'!$A$4:$A$40,'Floor-U'!$I$4:$I$40)*AN$15)+(LOOKUP(AN$2,'Wall-U'!$A$4:$A$40,'Wall-U'!$I$4:$I$40)*AN$12)+(LOOKUP(AN$2,'Window-U'!$A$4:$A$40,'Window-U'!$S$4:$S$40)*AN$21))*AN$97</f>
        <v>208.51010426363479</v>
      </c>
    </row>
    <row r="103" spans="1:40">
      <c r="A103" s="373"/>
      <c r="B103" s="374" t="s">
        <v>7</v>
      </c>
      <c r="C103" s="131" t="s">
        <v>195</v>
      </c>
      <c r="D103" s="176">
        <f>((LOOKUP(D$2,'Ceiling-U'!$A$4:$A$40,'Ceiling-U'!$AC$4:$AC$40)*D$14)+(LOOKUP(D$2,'Floor-U'!$A$4:$A$40,'Floor-U'!$J$4:$J$40)*D$15)+(LOOKUP(D$2,'Wall-U'!$A$4:$A$40,'Wall-U'!$J$4:$J$40)*D$12)+(LOOKUP(D$2,'Window-U'!$A$4:$A$40,'Window-U'!$S$4:$S$40)*D$21))*D$97</f>
        <v>140.4013752279285</v>
      </c>
      <c r="E103" s="174">
        <f>((LOOKUP(E$2,'Ceiling-U'!$A$4:$A$40,'Ceiling-U'!$AC$4:$AC$40)*E$14)+(LOOKUP(E$2,'Floor-U'!$A$4:$A$40,'Floor-U'!$J$4:$J$40)*E$15)+(LOOKUP(E$2,'Wall-U'!$A$4:$A$40,'Wall-U'!$J$4:$J$40)*E$12)+(LOOKUP(E$2,'Window-U'!$A$4:$A$40,'Window-U'!$S$4:$S$40)*E$21))*E$97</f>
        <v>210.99526982495482</v>
      </c>
      <c r="F103" s="174">
        <f>((LOOKUP(F$2,'Ceiling-U'!$A$4:$A$40,'Ceiling-U'!$AC$4:$AC$40)*F$14)+(LOOKUP(F$2,'Floor-U'!$A$4:$A$40,'Floor-U'!$J$4:$J$40)*F$15)+(LOOKUP(F$2,'Wall-U'!$A$4:$A$40,'Wall-U'!$J$4:$J$40)*F$12)+(LOOKUP(F$2,'Window-U'!$A$4:$A$40,'Window-U'!$S$4:$S$40)*F$21))*F$97</f>
        <v>97.827110176035205</v>
      </c>
      <c r="G103" s="174">
        <f>((LOOKUP(G$2,'Ceiling-U'!$A$4:$A$40,'Ceiling-U'!$AC$4:$AC$40)*G$14)+(LOOKUP(G$2,'Floor-U'!$A$4:$A$40,'Floor-U'!$J$4:$J$40)*G$15)+(LOOKUP(G$2,'Wall-U'!$A$4:$A$40,'Wall-U'!$J$4:$J$40)*G$12)+(LOOKUP(G$2,'Window-U'!$A$4:$A$40,'Window-U'!$S$4:$S$40)*G$21))*G$97</f>
        <v>140.4013752279285</v>
      </c>
      <c r="H103" s="174">
        <f>((LOOKUP(H$2,'Ceiling-U'!$A$4:$A$40,'Ceiling-U'!$AC$4:$AC$40)*H$14)+(LOOKUP(H$2,'Floor-U'!$A$4:$A$40,'Floor-U'!$J$4:$J$40)*H$15)+(LOOKUP(H$2,'Wall-U'!$A$4:$A$40,'Wall-U'!$J$4:$J$40)*H$12)+(LOOKUP(H$2,'Window-U'!$A$4:$A$40,'Window-U'!$S$4:$S$40)*H$21))*H$97</f>
        <v>285.62958795848795</v>
      </c>
      <c r="I103" s="174">
        <f>((LOOKUP(I$2,'Ceiling-U'!$A$4:$A$40,'Ceiling-U'!$AC$4:$AC$40)*I$14)+(LOOKUP(I$2,'Floor-U'!$A$4:$A$40,'Floor-U'!$J$4:$J$40)*I$15)+(LOOKUP(I$2,'Wall-U'!$A$4:$A$40,'Wall-U'!$J$4:$J$40)*I$12)+(LOOKUP(I$2,'Window-U'!$A$4:$A$40,'Window-U'!$S$4:$S$40)*I$21))*I$97</f>
        <v>115.94634580029555</v>
      </c>
      <c r="J103" s="174">
        <f>((LOOKUP(J$2,'Ceiling-U'!$A$4:$A$40,'Ceiling-U'!$AC$4:$AC$40)*J$14)+(LOOKUP(J$2,'Floor-U'!$A$4:$A$40,'Floor-U'!$J$4:$J$40)*J$15)+(LOOKUP(J$2,'Wall-U'!$A$4:$A$40,'Wall-U'!$J$4:$J$40)*J$12)+(LOOKUP(J$2,'Window-U'!$A$4:$A$40,'Window-U'!$S$4:$S$40)*J$21))*J$97</f>
        <v>110.2603340351592</v>
      </c>
      <c r="K103" s="174">
        <f>((LOOKUP(K$2,'Ceiling-U'!$A$4:$A$40,'Ceiling-U'!$AC$4:$AC$40)*K$14)+(LOOKUP(K$2,'Floor-U'!$A$4:$A$40,'Floor-U'!$J$4:$J$40)*K$15)+(LOOKUP(K$2,'Wall-U'!$A$4:$A$40,'Wall-U'!$J$4:$J$40)*K$12)+(LOOKUP(K$2,'Window-U'!$A$4:$A$40,'Window-U'!$S$4:$S$40)*K$21))*K$97</f>
        <v>87.053546145849822</v>
      </c>
      <c r="L103" s="174">
        <f>((LOOKUP(L$2,'Ceiling-U'!$A$4:$A$40,'Ceiling-U'!$AC$4:$AC$40)*L$14)+(LOOKUP(L$2,'Floor-U'!$A$4:$A$40,'Floor-U'!$J$4:$J$40)*L$15)+(LOOKUP(L$2,'Wall-U'!$A$4:$A$40,'Wall-U'!$J$4:$J$40)*L$12)+(LOOKUP(L$2,'Window-U'!$A$4:$A$40,'Window-U'!$S$4:$S$40)*L$21))*L$97</f>
        <v>67.884699844934346</v>
      </c>
      <c r="M103" s="174">
        <f>((LOOKUP(M$2,'Ceiling-U'!$A$4:$A$40,'Ceiling-U'!$AC$4:$AC$40)*M$14)+(LOOKUP(M$2,'Floor-U'!$A$4:$A$40,'Floor-U'!$J$4:$J$40)*M$15)+(LOOKUP(M$2,'Wall-U'!$A$4:$A$40,'Wall-U'!$J$4:$J$40)*M$12)+(LOOKUP(M$2,'Window-U'!$A$4:$A$40,'Window-U'!$S$4:$S$40)*M$21))*M$97</f>
        <v>219.3729137432278</v>
      </c>
      <c r="N103" s="174">
        <f>((LOOKUP(N$2,'Ceiling-U'!$A$4:$A$40,'Ceiling-U'!$AC$4:$AC$40)*N$14)+(LOOKUP(N$2,'Floor-U'!$A$4:$A$40,'Floor-U'!$J$4:$J$40)*N$15)+(LOOKUP(N$2,'Wall-U'!$A$4:$A$40,'Wall-U'!$J$4:$J$40)*N$12)+(LOOKUP(N$2,'Window-U'!$A$4:$A$40,'Window-U'!$S$4:$S$40)*N$21))*N$97</f>
        <v>84.632064279271049</v>
      </c>
      <c r="O103" s="174">
        <f>((LOOKUP(O$2,'Ceiling-U'!$A$4:$A$40,'Ceiling-U'!$AC$4:$AC$40)*O$14)+(LOOKUP(O$2,'Floor-U'!$A$4:$A$40,'Floor-U'!$J$4:$J$40)*O$15)+(LOOKUP(O$2,'Wall-U'!$A$4:$A$40,'Wall-U'!$J$4:$J$40)*O$12)+(LOOKUP(O$2,'Window-U'!$A$4:$A$40,'Window-U'!$S$4:$S$40)*O$21))*O$97</f>
        <v>122.28688203377142</v>
      </c>
      <c r="P103" s="174">
        <f>((LOOKUP(P$2,'Ceiling-U'!$A$4:$A$40,'Ceiling-U'!$AC$4:$AC$40)*P$14)+(LOOKUP(P$2,'Floor-U'!$A$4:$A$40,'Floor-U'!$J$4:$J$40)*P$15)+(LOOKUP(P$2,'Wall-U'!$A$4:$A$40,'Wall-U'!$J$4:$J$40)*P$12)+(LOOKUP(P$2,'Window-U'!$A$4:$A$40,'Window-U'!$S$4:$S$40)*P$21))*P$97</f>
        <v>162.44687160987766</v>
      </c>
      <c r="Q103" s="174">
        <f>((LOOKUP(Q$2,'Ceiling-U'!$A$4:$A$40,'Ceiling-U'!$AC$4:$AC$40)*Q$14)+(LOOKUP(Q$2,'Floor-U'!$A$4:$A$40,'Floor-U'!$J$4:$J$40)*Q$15)+(LOOKUP(Q$2,'Wall-U'!$A$4:$A$40,'Wall-U'!$J$4:$J$40)*Q$12)+(LOOKUP(Q$2,'Window-U'!$A$4:$A$40,'Window-U'!$S$4:$S$40)*Q$21))*Q$97</f>
        <v>98.393254775883065</v>
      </c>
      <c r="R103" s="174">
        <f>((LOOKUP(R$2,'Ceiling-U'!$A$4:$A$40,'Ceiling-U'!$AC$4:$AC$40)*R$14)+(LOOKUP(R$2,'Floor-U'!$A$4:$A$40,'Floor-U'!$J$4:$J$40)*R$15)+(LOOKUP(R$2,'Wall-U'!$A$4:$A$40,'Wall-U'!$J$4:$J$40)*R$12)+(LOOKUP(R$2,'Window-U'!$A$4:$A$40,'Window-U'!$S$4:$S$40)*R$21))*R$97</f>
        <v>126.85709017223712</v>
      </c>
      <c r="S103" s="174">
        <f>((LOOKUP(S$2,'Ceiling-U'!$A$4:$A$40,'Ceiling-U'!$AC$4:$AC$40)*S$14)+(LOOKUP(S$2,'Floor-U'!$A$4:$A$40,'Floor-U'!$J$4:$J$40)*S$15)+(LOOKUP(S$2,'Wall-U'!$A$4:$A$40,'Wall-U'!$J$4:$J$40)*S$12)+(LOOKUP(S$2,'Window-U'!$A$4:$A$40,'Window-U'!$S$4:$S$40)*S$21))*S$97</f>
        <v>111.59241499571999</v>
      </c>
      <c r="T103" s="174">
        <f>((LOOKUP(T$2,'Ceiling-U'!$A$4:$A$40,'Ceiling-U'!$AC$4:$AC$40)*T$14)+(LOOKUP(T$2,'Floor-U'!$A$4:$A$40,'Floor-U'!$J$4:$J$40)*T$15)+(LOOKUP(T$2,'Wall-U'!$A$4:$A$40,'Wall-U'!$J$4:$J$40)*T$12)+(LOOKUP(T$2,'Window-U'!$A$4:$A$40,'Window-U'!$S$4:$S$40)*T$21))*T$97</f>
        <v>84.632064279271049</v>
      </c>
      <c r="U103" s="174">
        <f>((LOOKUP(U$2,'Ceiling-U'!$A$4:$A$40,'Ceiling-U'!$AC$4:$AC$40)*U$14)+(LOOKUP(U$2,'Floor-U'!$A$4:$A$40,'Floor-U'!$J$4:$J$40)*U$15)+(LOOKUP(U$2,'Wall-U'!$A$4:$A$40,'Wall-U'!$J$4:$J$40)*U$12)+(LOOKUP(U$2,'Window-U'!$A$4:$A$40,'Window-U'!$S$4:$S$40)*U$21))*U$97</f>
        <v>293.80909610367326</v>
      </c>
      <c r="V103" s="174">
        <f>((LOOKUP(V$2,'Ceiling-U'!$A$4:$A$40,'Ceiling-U'!$AC$4:$AC$40)*V$14)+(LOOKUP(V$2,'Floor-U'!$A$4:$A$40,'Floor-U'!$J$4:$J$40)*V$15)+(LOOKUP(V$2,'Wall-U'!$A$4:$A$40,'Wall-U'!$J$4:$J$40)*V$12)+(LOOKUP(V$2,'Window-U'!$A$4:$A$40,'Window-U'!$S$4:$S$40)*V$21))*V$97</f>
        <v>79.833029148510761</v>
      </c>
      <c r="W103" s="174">
        <f>((LOOKUP(W$2,'Ceiling-U'!$A$4:$A$40,'Ceiling-U'!$AC$4:$AC$40)*W$14)+(LOOKUP(W$2,'Floor-U'!$A$4:$A$40,'Floor-U'!$J$4:$J$40)*W$15)+(LOOKUP(W$2,'Wall-U'!$A$4:$A$40,'Wall-U'!$J$4:$J$40)*W$12)+(LOOKUP(W$2,'Window-U'!$A$4:$A$40,'Window-U'!$S$4:$S$40)*W$21))*W$97</f>
        <v>101.52958445546631</v>
      </c>
      <c r="X103" s="174">
        <f>((LOOKUP(X$2,'Ceiling-U'!$A$4:$A$40,'Ceiling-U'!$AC$4:$AC$40)*X$14)+(LOOKUP(X$2,'Floor-U'!$A$4:$A$40,'Floor-U'!$J$4:$J$40)*X$15)+(LOOKUP(X$2,'Wall-U'!$A$4:$A$40,'Wall-U'!$J$4:$J$40)*X$12)+(LOOKUP(X$2,'Window-U'!$A$4:$A$40,'Window-U'!$S$4:$S$40)*X$21))*X$97</f>
        <v>73.232725364963429</v>
      </c>
      <c r="Y103" s="174">
        <f>((LOOKUP(Y$2,'Ceiling-U'!$A$4:$A$40,'Ceiling-U'!$AC$4:$AC$40)*Y$14)+(LOOKUP(Y$2,'Floor-U'!$A$4:$A$40,'Floor-U'!$J$4:$J$40)*Y$15)+(LOOKUP(Y$2,'Wall-U'!$A$4:$A$40,'Wall-U'!$J$4:$J$40)*Y$12)+(LOOKUP(Y$2,'Window-U'!$A$4:$A$40,'Window-U'!$S$4:$S$40)*Y$21))*Y$97</f>
        <v>411.45241640013245</v>
      </c>
      <c r="Z103" s="174">
        <f>((LOOKUP(Z$2,'Ceiling-U'!$A$4:$A$40,'Ceiling-U'!$AC$4:$AC$40)*Z$14)+(LOOKUP(Z$2,'Floor-U'!$A$4:$A$40,'Floor-U'!$J$4:$J$40)*Z$15)+(LOOKUP(Z$2,'Wall-U'!$A$4:$A$40,'Wall-U'!$J$4:$J$40)*Z$12)+(LOOKUP(Z$2,'Window-U'!$A$4:$A$40,'Window-U'!$S$4:$S$40)*Z$21))*Z$97</f>
        <v>131.4837488213833</v>
      </c>
      <c r="AA103" s="174">
        <f>((LOOKUP(AA$2,'Ceiling-U'!$A$4:$A$40,'Ceiling-U'!$AC$4:$AC$40)*AA$14)+(LOOKUP(AA$2,'Floor-U'!$A$4:$A$40,'Floor-U'!$J$4:$J$40)*AA$15)+(LOOKUP(AA$2,'Wall-U'!$A$4:$A$40,'Wall-U'!$J$4:$J$40)*AA$12)+(LOOKUP(AA$2,'Window-U'!$A$4:$A$40,'Window-U'!$S$4:$S$40)*AA$21))*AA$97</f>
        <v>75.642549389300683</v>
      </c>
      <c r="AB103" s="174">
        <f>((LOOKUP(AB$2,'Ceiling-U'!$A$4:$A$40,'Ceiling-U'!$AC$4:$AC$40)*AB$14)+(LOOKUP(AB$2,'Floor-U'!$A$4:$A$40,'Floor-U'!$J$4:$J$40)*AB$15)+(LOOKUP(AB$2,'Wall-U'!$A$4:$A$40,'Wall-U'!$J$4:$J$40)*AB$12)+(LOOKUP(AB$2,'Window-U'!$A$4:$A$40,'Window-U'!$S$4:$S$40)*AB$21))*AB$97</f>
        <v>135.44692073602437</v>
      </c>
      <c r="AC103" s="174">
        <f>((LOOKUP(AC$2,'Ceiling-U'!$A$4:$A$40,'Ceiling-U'!$AC$4:$AC$40)*AC$14)+(LOOKUP(AC$2,'Floor-U'!$A$4:$A$40,'Floor-U'!$J$4:$J$40)*AC$15)+(LOOKUP(AC$2,'Wall-U'!$A$4:$A$40,'Wall-U'!$J$4:$J$40)*AC$12)+(LOOKUP(AC$2,'Window-U'!$A$4:$A$40,'Window-U'!$S$4:$S$40)*AC$21))*AC$97</f>
        <v>266.65699281865903</v>
      </c>
      <c r="AD103" s="174">
        <f>((LOOKUP(AD$2,'Ceiling-U'!$A$4:$A$40,'Ceiling-U'!$AC$4:$AC$40)*AD$14)+(LOOKUP(AD$2,'Floor-U'!$A$4:$A$40,'Floor-U'!$J$4:$J$40)*AD$15)+(LOOKUP(AD$2,'Wall-U'!$A$4:$A$40,'Wall-U'!$J$4:$J$40)*AD$12)+(LOOKUP(AD$2,'Window-U'!$A$4:$A$40,'Window-U'!$S$4:$S$40)*AD$21))*AD$97</f>
        <v>205.28376290557327</v>
      </c>
      <c r="AE103" s="174">
        <f>((LOOKUP(AE$2,'Ceiling-U'!$A$4:$A$40,'Ceiling-U'!$AC$4:$AC$40)*AE$14)+(LOOKUP(AE$2,'Floor-U'!$A$4:$A$40,'Floor-U'!$J$4:$J$40)*AE$15)+(LOOKUP(AE$2,'Wall-U'!$A$4:$A$40,'Wall-U'!$J$4:$J$40)*AE$12)+(LOOKUP(AE$2,'Window-U'!$A$4:$A$40,'Window-U'!$S$4:$S$40)*AE$21))*AE$97</f>
        <v>75.642549389300683</v>
      </c>
      <c r="AF103" s="174">
        <f>((LOOKUP(AF$2,'Ceiling-U'!$A$4:$A$40,'Ceiling-U'!$AC$4:$AC$40)*AF$14)+(LOOKUP(AF$2,'Floor-U'!$A$4:$A$40,'Floor-U'!$J$4:$J$40)*AF$15)+(LOOKUP(AF$2,'Wall-U'!$A$4:$A$40,'Wall-U'!$J$4:$J$40)*AF$12)+(LOOKUP(AF$2,'Window-U'!$A$4:$A$40,'Window-U'!$S$4:$S$40)*AF$21))*AF$97</f>
        <v>82.71530953418825</v>
      </c>
      <c r="AG103" s="174">
        <f>((LOOKUP(AG$2,'Ceiling-U'!$A$4:$A$40,'Ceiling-U'!$AC$4:$AC$40)*AG$14)+(LOOKUP(AG$2,'Floor-U'!$A$4:$A$40,'Floor-U'!$J$4:$J$40)*AG$15)+(LOOKUP(AG$2,'Wall-U'!$A$4:$A$40,'Wall-U'!$J$4:$J$40)*AG$12)+(LOOKUP(AG$2,'Window-U'!$A$4:$A$40,'Window-U'!$S$4:$S$40)*AG$21))*AG$97</f>
        <v>163.29544117536756</v>
      </c>
      <c r="AH103" s="174">
        <f>((LOOKUP(AH$2,'Ceiling-U'!$A$4:$A$40,'Ceiling-U'!$AC$4:$AC$40)*AH$14)+(LOOKUP(AH$2,'Floor-U'!$A$4:$A$40,'Floor-U'!$J$4:$J$40)*AH$15)+(LOOKUP(AH$2,'Wall-U'!$A$4:$A$40,'Wall-U'!$J$4:$J$40)*AH$12)+(LOOKUP(AH$2,'Window-U'!$A$4:$A$40,'Window-U'!$S$4:$S$40)*AH$21))*AH$97</f>
        <v>97.192818377101673</v>
      </c>
      <c r="AI103" s="174">
        <f>((LOOKUP(AI$2,'Ceiling-U'!$A$4:$A$40,'Ceiling-U'!$AC$4:$AC$40)*AI$14)+(LOOKUP(AI$2,'Floor-U'!$A$4:$A$40,'Floor-U'!$J$4:$J$40)*AI$15)+(LOOKUP(AI$2,'Wall-U'!$A$4:$A$40,'Wall-U'!$J$4:$J$40)*AI$12)+(LOOKUP(AI$2,'Window-U'!$A$4:$A$40,'Window-U'!$S$4:$S$40)*AI$21))*AI$97</f>
        <v>162.44687160987766</v>
      </c>
      <c r="AJ103" s="174">
        <f>((LOOKUP(AJ$2,'Ceiling-U'!$A$4:$A$40,'Ceiling-U'!$AC$4:$AC$40)*AJ$14)+(LOOKUP(AJ$2,'Floor-U'!$A$4:$A$40,'Floor-U'!$J$4:$J$40)*AJ$15)+(LOOKUP(AJ$2,'Wall-U'!$A$4:$A$40,'Wall-U'!$J$4:$J$40)*AJ$12)+(LOOKUP(AJ$2,'Window-U'!$A$4:$A$40,'Window-U'!$S$4:$S$40)*AJ$21))*AJ$97</f>
        <v>182.26835533010495</v>
      </c>
      <c r="AK103" s="174">
        <f>((LOOKUP(AK$2,'Ceiling-U'!$A$4:$A$40,'Ceiling-U'!$AC$4:$AC$40)*AK$14)+(LOOKUP(AK$2,'Floor-U'!$A$4:$A$40,'Floor-U'!$J$4:$J$40)*AK$15)+(LOOKUP(AK$2,'Wall-U'!$A$4:$A$40,'Wall-U'!$J$4:$J$40)*AK$12)+(LOOKUP(AK$2,'Window-U'!$A$4:$A$40,'Window-U'!$S$4:$S$40)*AK$21))*AK$97</f>
        <v>219.94612460736664</v>
      </c>
      <c r="AL103" s="174">
        <f>((LOOKUP(AL$2,'Ceiling-U'!$A$4:$A$40,'Ceiling-U'!$AC$4:$AC$40)*AL$14)+(LOOKUP(AL$2,'Floor-U'!$A$4:$A$40,'Floor-U'!$J$4:$J$40)*AL$15)+(LOOKUP(AL$2,'Wall-U'!$A$4:$A$40,'Wall-U'!$J$4:$J$40)*AL$12)+(LOOKUP(AL$2,'Window-U'!$A$4:$A$40,'Window-U'!$S$4:$S$40)*AL$21))*AL$97</f>
        <v>102.54970104170201</v>
      </c>
      <c r="AM103" s="174">
        <f>((LOOKUP(AM$2,'Ceiling-U'!$A$4:$A$40,'Ceiling-U'!$AC$4:$AC$40)*AM$14)+(LOOKUP(AM$2,'Floor-U'!$A$4:$A$40,'Floor-U'!$J$4:$J$40)*AM$15)+(LOOKUP(AM$2,'Wall-U'!$A$4:$A$40,'Wall-U'!$J$4:$J$40)*AM$12)+(LOOKUP(AM$2,'Window-U'!$A$4:$A$40,'Window-U'!$S$4:$S$40)*AM$21))*AM$97</f>
        <v>182.26835533010495</v>
      </c>
      <c r="AN103" s="175">
        <f>((LOOKUP(AN$2,'Ceiling-U'!$A$4:$A$40,'Ceiling-U'!$AC$4:$AC$40)*AN$14)+(LOOKUP(AN$2,'Floor-U'!$A$4:$A$40,'Floor-U'!$J$4:$J$40)*AN$15)+(LOOKUP(AN$2,'Wall-U'!$A$4:$A$40,'Wall-U'!$J$4:$J$40)*AN$12)+(LOOKUP(AN$2,'Window-U'!$A$4:$A$40,'Window-U'!$S$4:$S$40)*AN$21))*AN$97</f>
        <v>182.26835533010495</v>
      </c>
    </row>
    <row r="104" spans="1:40">
      <c r="A104" s="332" t="s">
        <v>280</v>
      </c>
      <c r="B104" s="142" t="s">
        <v>2</v>
      </c>
      <c r="C104" s="360" t="s">
        <v>261</v>
      </c>
      <c r="D104" s="351">
        <f>D98*24*LOOKUP(D$2,'HDD-by Country'!$A$4:$A$40,'HDD-by Country'!$C$4:$C$40)/1000</f>
        <v>35123.592258401659</v>
      </c>
      <c r="E104" s="352">
        <f>E98*24*LOOKUP(E$2,'HDD-by Country'!$A$4:$A$40,'HDD-by Country'!$C$4:$C$40)/1000</f>
        <v>29623.308949895352</v>
      </c>
      <c r="F104" s="352">
        <f>F98*24*LOOKUP(F$2,'HDD-by Country'!$A$4:$A$40,'HDD-by Country'!$C$4:$C$40)/1000</f>
        <v>17245.256589968671</v>
      </c>
      <c r="G104" s="352">
        <f>G98*24*LOOKUP(G$2,'HDD-by Country'!$A$4:$A$40,'HDD-by Country'!$C$4:$C$40)/1000</f>
        <v>34219.459497413147</v>
      </c>
      <c r="H104" s="352">
        <f>H98*24*LOOKUP(H$2,'HDD-by Country'!$A$4:$A$40,'HDD-by Country'!$C$4:$C$40)/1000</f>
        <v>10109.391009079065</v>
      </c>
      <c r="I104" s="352">
        <f>I98*24*LOOKUP(I$2,'HDD-by Country'!$A$4:$A$40,'HDD-by Country'!$C$4:$C$40)/1000</f>
        <v>22776.919860699811</v>
      </c>
      <c r="J104" s="352">
        <f>J98*24*LOOKUP(J$2,'HDD-by Country'!$A$4:$A$40,'HDD-by Country'!$C$4:$C$40)/1000</f>
        <v>31488.706600381483</v>
      </c>
      <c r="K104" s="352">
        <f>K98*24*LOOKUP(K$2,'HDD-by Country'!$A$4:$A$40,'HDD-by Country'!$C$4:$C$40)/1000</f>
        <v>21824.53831153375</v>
      </c>
      <c r="L104" s="352">
        <f>L98*24*LOOKUP(L$2,'HDD-by Country'!$A$4:$A$40,'HDD-by Country'!$C$4:$C$40)/1000</f>
        <v>13136.192581659679</v>
      </c>
      <c r="M104" s="352">
        <f>M98*24*LOOKUP(M$2,'HDD-by Country'!$A$4:$A$40,'HDD-by Country'!$C$4:$C$40)/1000</f>
        <v>28418.826733315065</v>
      </c>
      <c r="N104" s="352">
        <f>N98*24*LOOKUP(N$2,'HDD-by Country'!$A$4:$A$40,'HDD-by Country'!$C$4:$C$40)/1000</f>
        <v>23191.68271454352</v>
      </c>
      <c r="O104" s="352">
        <f>O98*24*LOOKUP(O$2,'HDD-by Country'!$A$4:$A$40,'HDD-by Country'!$C$4:$C$40)/1000</f>
        <v>36340.038611415963</v>
      </c>
      <c r="P104" s="352">
        <f>P98*24*LOOKUP(P$2,'HDD-by Country'!$A$4:$A$40,'HDD-by Country'!$C$4:$C$40)/1000</f>
        <v>22098.876249710775</v>
      </c>
      <c r="Q104" s="352">
        <f>Q98*24*LOOKUP(Q$2,'HDD-by Country'!$A$4:$A$40,'HDD-by Country'!$C$4:$C$40)/1000</f>
        <v>14586.306543409291</v>
      </c>
      <c r="R104" s="352">
        <f>R98*24*LOOKUP(R$2,'HDD-by Country'!$A$4:$A$40,'HDD-by Country'!$C$4:$C$40)/1000</f>
        <v>23770.699676170843</v>
      </c>
      <c r="S104" s="352">
        <f>S98*24*LOOKUP(S$2,'HDD-by Country'!$A$4:$A$40,'HDD-by Country'!$C$4:$C$40)/1000</f>
        <v>27381.126972322905</v>
      </c>
      <c r="T104" s="352">
        <f>T98*24*LOOKUP(T$2,'HDD-by Country'!$A$4:$A$40,'HDD-by Country'!$C$4:$C$40)/1000</f>
        <v>19726.805673088642</v>
      </c>
      <c r="U104" s="352">
        <f>U98*24*LOOKUP(U$2,'HDD-by Country'!$A$4:$A$40,'HDD-by Country'!$C$4:$C$40)/1000</f>
        <v>22390.322959522255</v>
      </c>
      <c r="V104" s="352">
        <f>V98*24*LOOKUP(V$2,'HDD-by Country'!$A$4:$A$40,'HDD-by Country'!$C$4:$C$40)/1000</f>
        <v>24614.767555369697</v>
      </c>
      <c r="W104" s="352">
        <f>W98*24*LOOKUP(W$2,'HDD-by Country'!$A$4:$A$40,'HDD-by Country'!$C$4:$C$40)/1000</f>
        <v>21695.777457046297</v>
      </c>
      <c r="X104" s="352">
        <f>X98*24*LOOKUP(X$2,'HDD-by Country'!$A$4:$A$40,'HDD-by Country'!$C$4:$C$40)/1000</f>
        <v>25165.068342526709</v>
      </c>
      <c r="Y104" s="352">
        <f>Y98*24*LOOKUP(Y$2,'HDD-by Country'!$A$4:$A$40,'HDD-by Country'!$C$4:$C$40)/1000</f>
        <v>9053.3384846309054</v>
      </c>
      <c r="Z104" s="352">
        <f>Z98*24*LOOKUP(Z$2,'HDD-by Country'!$A$4:$A$40,'HDD-by Country'!$C$4:$C$40)/1000</f>
        <v>30251.380467135674</v>
      </c>
      <c r="AA104" s="352">
        <f>AA98*24*LOOKUP(AA$2,'HDD-by Country'!$A$4:$A$40,'HDD-by Country'!$C$4:$C$40)/1000</f>
        <v>18768.276585127467</v>
      </c>
      <c r="AB104" s="352">
        <f>AB98*24*LOOKUP(AB$2,'HDD-by Country'!$A$4:$A$40,'HDD-by Country'!$C$4:$C$40)/1000</f>
        <v>33182.792947749716</v>
      </c>
      <c r="AC104" s="352">
        <f>AC98*24*LOOKUP(AC$2,'HDD-by Country'!$A$4:$A$40,'HDD-by Country'!$C$4:$C$40)/1000</f>
        <v>16359.522704597695</v>
      </c>
      <c r="AD104" s="352">
        <f>AD98*24*LOOKUP(AD$2,'HDD-by Country'!$A$4:$A$40,'HDD-by Country'!$C$4:$C$40)/1000</f>
        <v>27145.331896025593</v>
      </c>
      <c r="AE104" s="352">
        <f>AE98*24*LOOKUP(AE$2,'HDD-by Country'!$A$4:$A$40,'HDD-by Country'!$C$4:$C$40)/1000</f>
        <v>18096.793788422587</v>
      </c>
      <c r="AF104" s="352">
        <f>AF98*24*LOOKUP(AF$2,'HDD-by Country'!$A$4:$A$40,'HDD-by Country'!$C$4:$C$40)/1000</f>
        <v>23425.399656881931</v>
      </c>
      <c r="AG104" s="352">
        <f>AG98*24*LOOKUP(AG$2,'HDD-by Country'!$A$4:$A$40,'HDD-by Country'!$C$4:$C$40)/1000</f>
        <v>32703.992463674578</v>
      </c>
      <c r="AH104" s="352">
        <f>AH98*24*LOOKUP(AH$2,'HDD-by Country'!$A$4:$A$40,'HDD-by Country'!$C$4:$C$40)/1000</f>
        <v>24124.396541957914</v>
      </c>
      <c r="AI104" s="352">
        <f>AI98*24*LOOKUP(AI$2,'HDD-by Country'!$A$4:$A$40,'HDD-by Country'!$C$4:$C$40)/1000</f>
        <v>22098.876249710775</v>
      </c>
      <c r="AJ104" s="352">
        <f>AJ98*24*LOOKUP(AJ$2,'HDD-by Country'!$A$4:$A$40,'HDD-by Country'!$C$4:$C$40)/1000</f>
        <v>17944.637981555752</v>
      </c>
      <c r="AK104" s="352">
        <f>AK98*24*LOOKUP(AK$2,'HDD-by Country'!$A$4:$A$40,'HDD-by Country'!$C$4:$C$40)/1000</f>
        <v>19184.494803746013</v>
      </c>
      <c r="AL104" s="352">
        <f>AL98*24*LOOKUP(AL$2,'HDD-by Country'!$A$4:$A$40,'HDD-by Country'!$C$4:$C$40)/1000</f>
        <v>18144.000019870022</v>
      </c>
      <c r="AM104" s="352">
        <f>AM98*24*LOOKUP(AM$2,'HDD-by Country'!$A$4:$A$40,'HDD-by Country'!$C$4:$C$40)/1000</f>
        <v>16501.451833141786</v>
      </c>
      <c r="AN104" s="353">
        <f>AN98*24*LOOKUP(AN$2,'HDD-by Country'!$A$4:$A$40,'HDD-by Country'!$C$4:$C$40)/1000</f>
        <v>16501.451833141786</v>
      </c>
    </row>
    <row r="105" spans="1:40">
      <c r="A105" s="129"/>
      <c r="B105" s="142" t="s">
        <v>3</v>
      </c>
      <c r="C105" s="129" t="s">
        <v>261</v>
      </c>
      <c r="D105" s="345">
        <f>D99*24*LOOKUP(D$2,'HDD-by Country'!$A$4:$A$40,'HDD-by Country'!$C$4:$C$40)/1000</f>
        <v>32551.91093425201</v>
      </c>
      <c r="E105" s="349">
        <f>E99*24*LOOKUP(E$2,'HDD-by Country'!$A$4:$A$40,'HDD-by Country'!$C$4:$C$40)/1000</f>
        <v>29623.308949895352</v>
      </c>
      <c r="F105" s="349">
        <f>F99*24*LOOKUP(F$2,'HDD-by Country'!$A$4:$A$40,'HDD-by Country'!$C$4:$C$40)/1000</f>
        <v>17245.256589968671</v>
      </c>
      <c r="G105" s="349">
        <f>G99*24*LOOKUP(G$2,'HDD-by Country'!$A$4:$A$40,'HDD-by Country'!$C$4:$C$40)/1000</f>
        <v>31713.977021003215</v>
      </c>
      <c r="H105" s="349">
        <f>H99*24*LOOKUP(H$2,'HDD-by Country'!$A$4:$A$40,'HDD-by Country'!$C$4:$C$40)/1000</f>
        <v>9100.0209644797123</v>
      </c>
      <c r="I105" s="349">
        <f>I99*24*LOOKUP(I$2,'HDD-by Country'!$A$4:$A$40,'HDD-by Country'!$C$4:$C$40)/1000</f>
        <v>19266.61596843374</v>
      </c>
      <c r="J105" s="349">
        <f>J99*24*LOOKUP(J$2,'HDD-by Country'!$A$4:$A$40,'HDD-by Country'!$C$4:$C$40)/1000</f>
        <v>26280.905169279751</v>
      </c>
      <c r="K105" s="349">
        <f>K99*24*LOOKUP(K$2,'HDD-by Country'!$A$4:$A$40,'HDD-by Country'!$C$4:$C$40)/1000</f>
        <v>21319.507083100798</v>
      </c>
      <c r="L105" s="349">
        <f>L99*24*LOOKUP(L$2,'HDD-by Country'!$A$4:$A$40,'HDD-by Country'!$C$4:$C$40)/1000</f>
        <v>13136.192581659679</v>
      </c>
      <c r="M105" s="349">
        <f>M99*24*LOOKUP(M$2,'HDD-by Country'!$A$4:$A$40,'HDD-by Country'!$C$4:$C$40)/1000</f>
        <v>25463.697159962445</v>
      </c>
      <c r="N105" s="349">
        <f>N99*24*LOOKUP(N$2,'HDD-by Country'!$A$4:$A$40,'HDD-by Country'!$C$4:$C$40)/1000</f>
        <v>20493.755258573954</v>
      </c>
      <c r="O105" s="349">
        <f>O99*24*LOOKUP(O$2,'HDD-by Country'!$A$4:$A$40,'HDD-by Country'!$C$4:$C$40)/1000</f>
        <v>36340.038611415963</v>
      </c>
      <c r="P105" s="349">
        <f>P99*24*LOOKUP(P$2,'HDD-by Country'!$A$4:$A$40,'HDD-by Country'!$C$4:$C$40)/1000</f>
        <v>22098.876249710775</v>
      </c>
      <c r="Q105" s="349">
        <f>Q99*24*LOOKUP(Q$2,'HDD-by Country'!$A$4:$A$40,'HDD-by Country'!$C$4:$C$40)/1000</f>
        <v>16013.77177675681</v>
      </c>
      <c r="R105" s="349">
        <f>R99*24*LOOKUP(R$2,'HDD-by Country'!$A$4:$A$40,'HDD-by Country'!$C$4:$C$40)/1000</f>
        <v>23770.699676170843</v>
      </c>
      <c r="S105" s="349">
        <f>S99*24*LOOKUP(S$2,'HDD-by Country'!$A$4:$A$40,'HDD-by Country'!$C$4:$C$40)/1000</f>
        <v>27387.876441561919</v>
      </c>
      <c r="T105" s="349">
        <f>T99*24*LOOKUP(T$2,'HDD-by Country'!$A$4:$A$40,'HDD-by Country'!$C$4:$C$40)/1000</f>
        <v>17431.95319088273</v>
      </c>
      <c r="U105" s="349">
        <f>U99*24*LOOKUP(U$2,'HDD-by Country'!$A$4:$A$40,'HDD-by Country'!$C$4:$C$40)/1000</f>
        <v>20789.10960761669</v>
      </c>
      <c r="V105" s="349">
        <f>V99*24*LOOKUP(V$2,'HDD-by Country'!$A$4:$A$40,'HDD-by Country'!$C$4:$C$40)/1000</f>
        <v>24614.767555369697</v>
      </c>
      <c r="W105" s="349">
        <f>W99*24*LOOKUP(W$2,'HDD-by Country'!$A$4:$A$40,'HDD-by Country'!$C$4:$C$40)/1000</f>
        <v>26261.031560868643</v>
      </c>
      <c r="X105" s="349">
        <f>X99*24*LOOKUP(X$2,'HDD-by Country'!$A$4:$A$40,'HDD-by Country'!$C$4:$C$40)/1000</f>
        <v>25165.068342526709</v>
      </c>
      <c r="Y105" s="349">
        <f>Y99*24*LOOKUP(Y$2,'HDD-by Country'!$A$4:$A$40,'HDD-by Country'!$C$4:$C$40)/1000</f>
        <v>9053.0862280327638</v>
      </c>
      <c r="Z105" s="349">
        <f>Z99*24*LOOKUP(Z$2,'HDD-by Country'!$A$4:$A$40,'HDD-by Country'!$C$4:$C$40)/1000</f>
        <v>27425.504096219476</v>
      </c>
      <c r="AA105" s="349">
        <f>AA99*24*LOOKUP(AA$2,'HDD-by Country'!$A$4:$A$40,'HDD-by Country'!$C$4:$C$40)/1000</f>
        <v>18768.276585127467</v>
      </c>
      <c r="AB105" s="349">
        <f>AB99*24*LOOKUP(AB$2,'HDD-by Country'!$A$4:$A$40,'HDD-by Country'!$C$4:$C$40)/1000</f>
        <v>25842.445546427978</v>
      </c>
      <c r="AC105" s="349">
        <f>AC99*24*LOOKUP(AC$2,'HDD-by Country'!$A$4:$A$40,'HDD-by Country'!$C$4:$C$40)/1000</f>
        <v>14142.085672122923</v>
      </c>
      <c r="AD105" s="349">
        <f>AD99*24*LOOKUP(AD$2,'HDD-by Country'!$A$4:$A$40,'HDD-by Country'!$C$4:$C$40)/1000</f>
        <v>24083.374010653126</v>
      </c>
      <c r="AE105" s="349">
        <f>AE99*24*LOOKUP(AE$2,'HDD-by Country'!$A$4:$A$40,'HDD-by Country'!$C$4:$C$40)/1000</f>
        <v>18096.793788422587</v>
      </c>
      <c r="AF105" s="349">
        <f>AF99*24*LOOKUP(AF$2,'HDD-by Country'!$A$4:$A$40,'HDD-by Country'!$C$4:$C$40)/1000</f>
        <v>23425.399656881931</v>
      </c>
      <c r="AG105" s="349">
        <f>AG99*24*LOOKUP(AG$2,'HDD-by Country'!$A$4:$A$40,'HDD-by Country'!$C$4:$C$40)/1000</f>
        <v>27208.99227936364</v>
      </c>
      <c r="AH105" s="349">
        <f>AH99*24*LOOKUP(AH$2,'HDD-by Country'!$A$4:$A$40,'HDD-by Country'!$C$4:$C$40)/1000</f>
        <v>25877.841593478661</v>
      </c>
      <c r="AI105" s="349">
        <f>AI99*24*LOOKUP(AI$2,'HDD-by Country'!$A$4:$A$40,'HDD-by Country'!$C$4:$C$40)/1000</f>
        <v>22098.876249710775</v>
      </c>
      <c r="AJ105" s="349">
        <f>AJ99*24*LOOKUP(AJ$2,'HDD-by Country'!$A$4:$A$40,'HDD-by Country'!$C$4:$C$40)/1000</f>
        <v>17944.637981555752</v>
      </c>
      <c r="AK105" s="349">
        <f>AK99*24*LOOKUP(AK$2,'HDD-by Country'!$A$4:$A$40,'HDD-by Country'!$C$4:$C$40)/1000</f>
        <v>19184.494803746013</v>
      </c>
      <c r="AL105" s="349">
        <f>AL99*24*LOOKUP(AL$2,'HDD-by Country'!$A$4:$A$40,'HDD-by Country'!$C$4:$C$40)/1000</f>
        <v>18144.000019870022</v>
      </c>
      <c r="AM105" s="349">
        <f>AM99*24*LOOKUP(AM$2,'HDD-by Country'!$A$4:$A$40,'HDD-by Country'!$C$4:$C$40)/1000</f>
        <v>16501.451833141786</v>
      </c>
      <c r="AN105" s="354">
        <f>AN99*24*LOOKUP(AN$2,'HDD-by Country'!$A$4:$A$40,'HDD-by Country'!$C$4:$C$40)/1000</f>
        <v>16501.451833141786</v>
      </c>
    </row>
    <row r="106" spans="1:40">
      <c r="A106" s="129"/>
      <c r="B106" s="142" t="s">
        <v>4</v>
      </c>
      <c r="C106" s="129" t="s">
        <v>261</v>
      </c>
      <c r="D106" s="345">
        <f>D100*24*LOOKUP(D$2,'HDD-by Country'!$A$4:$A$40,'HDD-by Country'!$C$4:$C$40)/1000</f>
        <v>25464.55390954575</v>
      </c>
      <c r="E106" s="349">
        <f>E100*24*LOOKUP(E$2,'HDD-by Country'!$A$4:$A$40,'HDD-by Country'!$C$4:$C$40)/1000</f>
        <v>29623.308949895352</v>
      </c>
      <c r="F106" s="349">
        <f>F100*24*LOOKUP(F$2,'HDD-by Country'!$A$4:$A$40,'HDD-by Country'!$C$4:$C$40)/1000</f>
        <v>16055.203984133495</v>
      </c>
      <c r="G106" s="349">
        <f>G100*24*LOOKUP(G$2,'HDD-by Country'!$A$4:$A$40,'HDD-by Country'!$C$4:$C$40)/1000</f>
        <v>24809.058957201541</v>
      </c>
      <c r="H106" s="349">
        <f>H100*24*LOOKUP(H$2,'HDD-by Country'!$A$4:$A$40,'HDD-by Country'!$C$4:$C$40)/1000</f>
        <v>8090.6509198803587</v>
      </c>
      <c r="I106" s="349">
        <f>I100*24*LOOKUP(I$2,'HDD-by Country'!$A$4:$A$40,'HDD-by Country'!$C$4:$C$40)/1000</f>
        <v>19266.61596843374</v>
      </c>
      <c r="J106" s="349">
        <f>J100*24*LOOKUP(J$2,'HDD-by Country'!$A$4:$A$40,'HDD-by Country'!$C$4:$C$40)/1000</f>
        <v>17418.373255022769</v>
      </c>
      <c r="K106" s="349">
        <f>K100*24*LOOKUP(K$2,'HDD-by Country'!$A$4:$A$40,'HDD-by Country'!$C$4:$C$40)/1000</f>
        <v>12699.19241500072</v>
      </c>
      <c r="L106" s="349">
        <f>L100*24*LOOKUP(L$2,'HDD-by Country'!$A$4:$A$40,'HDD-by Country'!$C$4:$C$40)/1000</f>
        <v>10186.418163259088</v>
      </c>
      <c r="M106" s="349">
        <f>M100*24*LOOKUP(M$2,'HDD-by Country'!$A$4:$A$40,'HDD-by Country'!$C$4:$C$40)/1000</f>
        <v>25463.697159962445</v>
      </c>
      <c r="N106" s="349">
        <f>N100*24*LOOKUP(N$2,'HDD-by Country'!$A$4:$A$40,'HDD-by Country'!$C$4:$C$40)/1000</f>
        <v>16206.090620808644</v>
      </c>
      <c r="O106" s="349">
        <f>O100*24*LOOKUP(O$2,'HDD-by Country'!$A$4:$A$40,'HDD-by Country'!$C$4:$C$40)/1000</f>
        <v>16226.477747277573</v>
      </c>
      <c r="P106" s="349">
        <f>P100*24*LOOKUP(P$2,'HDD-by Country'!$A$4:$A$40,'HDD-by Country'!$C$4:$C$40)/1000</f>
        <v>22098.876249710775</v>
      </c>
      <c r="Q106" s="349">
        <f>Q100*24*LOOKUP(Q$2,'HDD-by Country'!$A$4:$A$40,'HDD-by Country'!$C$4:$C$40)/1000</f>
        <v>14588.298199809198</v>
      </c>
      <c r="R106" s="349">
        <f>R100*24*LOOKUP(R$2,'HDD-by Country'!$A$4:$A$40,'HDD-by Country'!$C$4:$C$40)/1000</f>
        <v>20495.810557681416</v>
      </c>
      <c r="S106" s="349">
        <f>S100*24*LOOKUP(S$2,'HDD-by Country'!$A$4:$A$40,'HDD-by Country'!$C$4:$C$40)/1000</f>
        <v>27270.156034694726</v>
      </c>
      <c r="T106" s="349">
        <f>T100*24*LOOKUP(T$2,'HDD-by Country'!$A$4:$A$40,'HDD-by Country'!$C$4:$C$40)/1000</f>
        <v>13784.872979340824</v>
      </c>
      <c r="U106" s="349">
        <f>U100*24*LOOKUP(U$2,'HDD-by Country'!$A$4:$A$40,'HDD-by Country'!$C$4:$C$40)/1000</f>
        <v>19932.340326252546</v>
      </c>
      <c r="V106" s="349">
        <f>V100*24*LOOKUP(V$2,'HDD-by Country'!$A$4:$A$40,'HDD-by Country'!$C$4:$C$40)/1000</f>
        <v>14998.193435675563</v>
      </c>
      <c r="W106" s="349">
        <f>W100*24*LOOKUP(W$2,'HDD-by Country'!$A$4:$A$40,'HDD-by Country'!$C$4:$C$40)/1000</f>
        <v>12054.998121257571</v>
      </c>
      <c r="X106" s="349">
        <f>X100*24*LOOKUP(X$2,'HDD-by Country'!$A$4:$A$40,'HDD-by Country'!$C$4:$C$40)/1000</f>
        <v>23519.875295833845</v>
      </c>
      <c r="Y106" s="349">
        <f>Y100*24*LOOKUP(Y$2,'HDD-by Country'!$A$4:$A$40,'HDD-by Country'!$C$4:$C$40)/1000</f>
        <v>6835.5913385231161</v>
      </c>
      <c r="Z106" s="349">
        <f>Z100*24*LOOKUP(Z$2,'HDD-by Country'!$A$4:$A$40,'HDD-by Country'!$C$4:$C$40)/1000</f>
        <v>26095.407239115699</v>
      </c>
      <c r="AA106" s="349">
        <f>AA100*24*LOOKUP(AA$2,'HDD-by Country'!$A$4:$A$40,'HDD-by Country'!$C$4:$C$40)/1000</f>
        <v>12102.13376157012</v>
      </c>
      <c r="AB106" s="349">
        <f>AB100*24*LOOKUP(AB$2,'HDD-by Country'!$A$4:$A$40,'HDD-by Country'!$C$4:$C$40)/1000</f>
        <v>17410.297576503679</v>
      </c>
      <c r="AC106" s="349">
        <f>AC100*24*LOOKUP(AC$2,'HDD-by Country'!$A$4:$A$40,'HDD-by Country'!$C$4:$C$40)/1000</f>
        <v>14138.538152855557</v>
      </c>
      <c r="AD106" s="349">
        <f>AD100*24*LOOKUP(AD$2,'HDD-by Country'!$A$4:$A$40,'HDD-by Country'!$C$4:$C$40)/1000</f>
        <v>24083.374010653126</v>
      </c>
      <c r="AE106" s="349">
        <f>AE100*24*LOOKUP(AE$2,'HDD-by Country'!$A$4:$A$40,'HDD-by Country'!$C$4:$C$40)/1000</f>
        <v>11669.149167195843</v>
      </c>
      <c r="AF106" s="349">
        <f>AF100*24*LOOKUP(AF$2,'HDD-by Country'!$A$4:$A$40,'HDD-by Country'!$C$4:$C$40)/1000</f>
        <v>22449.701720631929</v>
      </c>
      <c r="AG106" s="349">
        <f>AG100*24*LOOKUP(AG$2,'HDD-by Country'!$A$4:$A$40,'HDD-by Country'!$C$4:$C$40)/1000</f>
        <v>27208.99227936364</v>
      </c>
      <c r="AH106" s="349">
        <f>AH100*24*LOOKUP(AH$2,'HDD-by Country'!$A$4:$A$40,'HDD-by Country'!$C$4:$C$40)/1000</f>
        <v>21866.453255332661</v>
      </c>
      <c r="AI106" s="349">
        <f>AI100*24*LOOKUP(AI$2,'HDD-by Country'!$A$4:$A$40,'HDD-by Country'!$C$4:$C$40)/1000</f>
        <v>22098.876249710775</v>
      </c>
      <c r="AJ106" s="349">
        <f>AJ100*24*LOOKUP(AJ$2,'HDD-by Country'!$A$4:$A$40,'HDD-by Country'!$C$4:$C$40)/1000</f>
        <v>17944.637981555752</v>
      </c>
      <c r="AK106" s="349">
        <f>AK100*24*LOOKUP(AK$2,'HDD-by Country'!$A$4:$A$40,'HDD-by Country'!$C$4:$C$40)/1000</f>
        <v>19184.494803746013</v>
      </c>
      <c r="AL106" s="349">
        <f>AL100*24*LOOKUP(AL$2,'HDD-by Country'!$A$4:$A$40,'HDD-by Country'!$C$4:$C$40)/1000</f>
        <v>16887.088344609547</v>
      </c>
      <c r="AM106" s="349">
        <f>AM100*24*LOOKUP(AM$2,'HDD-by Country'!$A$4:$A$40,'HDD-by Country'!$C$4:$C$40)/1000</f>
        <v>16501.451833141786</v>
      </c>
      <c r="AN106" s="354">
        <f>AN100*24*LOOKUP(AN$2,'HDD-by Country'!$A$4:$A$40,'HDD-by Country'!$C$4:$C$40)/1000</f>
        <v>16501.451833141786</v>
      </c>
    </row>
    <row r="107" spans="1:40">
      <c r="A107" s="129"/>
      <c r="B107" s="142" t="s">
        <v>5</v>
      </c>
      <c r="C107" s="129" t="s">
        <v>261</v>
      </c>
      <c r="D107" s="345">
        <f>D101*24*LOOKUP(D$2,'HDD-by Country'!$A$4:$A$40,'HDD-by Country'!$C$4:$C$40)/1000</f>
        <v>16579.798903591833</v>
      </c>
      <c r="E107" s="349">
        <f>E101*24*LOOKUP(E$2,'HDD-by Country'!$A$4:$A$40,'HDD-by Country'!$C$4:$C$40)/1000</f>
        <v>25439.095749097356</v>
      </c>
      <c r="F107" s="349">
        <f>F101*24*LOOKUP(F$2,'HDD-by Country'!$A$4:$A$40,'HDD-by Country'!$C$4:$C$40)/1000</f>
        <v>12944.748882521966</v>
      </c>
      <c r="G107" s="349">
        <f>G101*24*LOOKUP(G$2,'HDD-by Country'!$A$4:$A$40,'HDD-by Country'!$C$4:$C$40)/1000</f>
        <v>16153.010571434463</v>
      </c>
      <c r="H107" s="349">
        <f>H101*24*LOOKUP(H$2,'HDD-by Country'!$A$4:$A$40,'HDD-by Country'!$C$4:$C$40)/1000</f>
        <v>7639.8510774027582</v>
      </c>
      <c r="I107" s="349">
        <f>I101*24*LOOKUP(I$2,'HDD-by Country'!$A$4:$A$40,'HDD-by Country'!$C$4:$C$40)/1000</f>
        <v>16715.483771881562</v>
      </c>
      <c r="J107" s="349">
        <f>J101*24*LOOKUP(J$2,'HDD-by Country'!$A$4:$A$40,'HDD-by Country'!$C$4:$C$40)/1000</f>
        <v>13849.184416480228</v>
      </c>
      <c r="K107" s="349">
        <f>K101*24*LOOKUP(K$2,'HDD-by Country'!$A$4:$A$40,'HDD-by Country'!$C$4:$C$40)/1000</f>
        <v>9945.6024684134045</v>
      </c>
      <c r="L107" s="349">
        <f>L101*24*LOOKUP(L$2,'HDD-by Country'!$A$4:$A$40,'HDD-by Country'!$C$4:$C$40)/1000</f>
        <v>8331.3180456214177</v>
      </c>
      <c r="M107" s="349">
        <f>M101*24*LOOKUP(M$2,'HDD-by Country'!$A$4:$A$40,'HDD-by Country'!$C$4:$C$40)/1000</f>
        <v>16130.776081002849</v>
      </c>
      <c r="N107" s="349">
        <f>N101*24*LOOKUP(N$2,'HDD-by Country'!$A$4:$A$40,'HDD-by Country'!$C$4:$C$40)/1000</f>
        <v>13054.733196876394</v>
      </c>
      <c r="O107" s="349">
        <f>O101*24*LOOKUP(O$2,'HDD-by Country'!$A$4:$A$40,'HDD-by Country'!$C$4:$C$40)/1000</f>
        <v>13800.80163189121</v>
      </c>
      <c r="P107" s="349">
        <f>P101*24*LOOKUP(P$2,'HDD-by Country'!$A$4:$A$40,'HDD-by Country'!$C$4:$C$40)/1000</f>
        <v>21140.205996462366</v>
      </c>
      <c r="Q107" s="349">
        <f>Q101*24*LOOKUP(Q$2,'HDD-by Country'!$A$4:$A$40,'HDD-by Country'!$C$4:$C$40)/1000</f>
        <v>14588.298199809198</v>
      </c>
      <c r="R107" s="349">
        <f>R101*24*LOOKUP(R$2,'HDD-by Country'!$A$4:$A$40,'HDD-by Country'!$C$4:$C$40)/1000</f>
        <v>14178.919285229007</v>
      </c>
      <c r="S107" s="349">
        <f>S101*24*LOOKUP(S$2,'HDD-by Country'!$A$4:$A$40,'HDD-by Country'!$C$4:$C$40)/1000</f>
        <v>18176.713081915426</v>
      </c>
      <c r="T107" s="349">
        <f>T101*24*LOOKUP(T$2,'HDD-by Country'!$A$4:$A$40,'HDD-by Country'!$C$4:$C$40)/1000</f>
        <v>11104.333741479817</v>
      </c>
      <c r="U107" s="349">
        <f>U101*24*LOOKUP(U$2,'HDD-by Country'!$A$4:$A$40,'HDD-by Country'!$C$4:$C$40)/1000</f>
        <v>15115.370771136875</v>
      </c>
      <c r="V107" s="349">
        <f>V101*24*LOOKUP(V$2,'HDD-by Country'!$A$4:$A$40,'HDD-by Country'!$C$4:$C$40)/1000</f>
        <v>14998.193435675563</v>
      </c>
      <c r="W107" s="349">
        <f>W101*24*LOOKUP(W$2,'HDD-by Country'!$A$4:$A$40,'HDD-by Country'!$C$4:$C$40)/1000</f>
        <v>11274.935413311494</v>
      </c>
      <c r="X107" s="349">
        <f>X101*24*LOOKUP(X$2,'HDD-by Country'!$A$4:$A$40,'HDD-by Country'!$C$4:$C$40)/1000</f>
        <v>13031.259372844383</v>
      </c>
      <c r="Y107" s="349">
        <f>Y101*24*LOOKUP(Y$2,'HDD-by Country'!$A$4:$A$40,'HDD-by Country'!$C$4:$C$40)/1000</f>
        <v>5963.6991467231155</v>
      </c>
      <c r="Z107" s="349">
        <f>Z101*24*LOOKUP(Z$2,'HDD-by Country'!$A$4:$A$40,'HDD-by Country'!$C$4:$C$40)/1000</f>
        <v>14447.802307860711</v>
      </c>
      <c r="AA107" s="349">
        <f>AA101*24*LOOKUP(AA$2,'HDD-by Country'!$A$4:$A$40,'HDD-by Country'!$C$4:$C$40)/1000</f>
        <v>12102.13376157012</v>
      </c>
      <c r="AB107" s="349">
        <f>AB101*24*LOOKUP(AB$2,'HDD-by Country'!$A$4:$A$40,'HDD-by Country'!$C$4:$C$40)/1000</f>
        <v>17410.297576503679</v>
      </c>
      <c r="AC107" s="349">
        <f>AC101*24*LOOKUP(AC$2,'HDD-by Country'!$A$4:$A$40,'HDD-by Country'!$C$4:$C$40)/1000</f>
        <v>13599.984456442151</v>
      </c>
      <c r="AD107" s="349">
        <f>AD101*24*LOOKUP(AD$2,'HDD-by Country'!$A$4:$A$40,'HDD-by Country'!$C$4:$C$40)/1000</f>
        <v>19399.851896232318</v>
      </c>
      <c r="AE107" s="349">
        <f>AE101*24*LOOKUP(AE$2,'HDD-by Country'!$A$4:$A$40,'HDD-by Country'!$C$4:$C$40)/1000</f>
        <v>11669.149167195843</v>
      </c>
      <c r="AF107" s="349">
        <f>AF101*24*LOOKUP(AF$2,'HDD-by Country'!$A$4:$A$40,'HDD-by Country'!$C$4:$C$40)/1000</f>
        <v>16270.233684912777</v>
      </c>
      <c r="AG107" s="349">
        <f>AG101*24*LOOKUP(AG$2,'HDD-by Country'!$A$4:$A$40,'HDD-by Country'!$C$4:$C$40)/1000</f>
        <v>24539.404771682101</v>
      </c>
      <c r="AH107" s="349">
        <f>AH101*24*LOOKUP(AH$2,'HDD-by Country'!$A$4:$A$40,'HDD-by Country'!$C$4:$C$40)/1000</f>
        <v>10540.905529879652</v>
      </c>
      <c r="AI107" s="349">
        <f>AI101*24*LOOKUP(AI$2,'HDD-by Country'!$A$4:$A$40,'HDD-by Country'!$C$4:$C$40)/1000</f>
        <v>21140.205996462366</v>
      </c>
      <c r="AJ107" s="349">
        <f>AJ101*24*LOOKUP(AJ$2,'HDD-by Country'!$A$4:$A$40,'HDD-by Country'!$C$4:$C$40)/1000</f>
        <v>15553.673632746995</v>
      </c>
      <c r="AK107" s="349">
        <f>AK101*24*LOOKUP(AK$2,'HDD-by Country'!$A$4:$A$40,'HDD-by Country'!$C$4:$C$40)/1000</f>
        <v>16638.315594626521</v>
      </c>
      <c r="AL107" s="349">
        <f>AL101*24*LOOKUP(AL$2,'HDD-by Country'!$A$4:$A$40,'HDD-by Country'!$C$4:$C$40)/1000</f>
        <v>13596.060179824377</v>
      </c>
      <c r="AM107" s="349">
        <f>AM101*24*LOOKUP(AM$2,'HDD-by Country'!$A$4:$A$40,'HDD-by Country'!$C$4:$C$40)/1000</f>
        <v>14302.779278299513</v>
      </c>
      <c r="AN107" s="354">
        <f>AN101*24*LOOKUP(AN$2,'HDD-by Country'!$A$4:$A$40,'HDD-by Country'!$C$4:$C$40)/1000</f>
        <v>14302.779278299513</v>
      </c>
    </row>
    <row r="108" spans="1:40">
      <c r="A108" s="129"/>
      <c r="B108" s="142" t="s">
        <v>6</v>
      </c>
      <c r="C108" s="129" t="s">
        <v>261</v>
      </c>
      <c r="D108" s="345">
        <f>D102*24*LOOKUP(D$2,'HDD-by Country'!$A$4:$A$40,'HDD-by Country'!$C$4:$C$40)/1000</f>
        <v>13618.883790354013</v>
      </c>
      <c r="E108" s="349">
        <f>E102*24*LOOKUP(E$2,'HDD-by Country'!$A$4:$A$40,'HDD-by Country'!$C$4:$C$40)/1000</f>
        <v>25439.095749097356</v>
      </c>
      <c r="F108" s="349">
        <f>F102*24*LOOKUP(F$2,'HDD-by Country'!$A$4:$A$40,'HDD-by Country'!$C$4:$C$40)/1000</f>
        <v>10282.037814154004</v>
      </c>
      <c r="G108" s="349">
        <f>G102*24*LOOKUP(G$2,'HDD-by Country'!$A$4:$A$40,'HDD-by Country'!$C$4:$C$40)/1000</f>
        <v>13268.313754340423</v>
      </c>
      <c r="H108" s="349">
        <f>H102*24*LOOKUP(H$2,'HDD-by Country'!$A$4:$A$40,'HDD-by Country'!$C$4:$C$40)/1000</f>
        <v>7639.8510774027582</v>
      </c>
      <c r="I108" s="349">
        <f>I102*24*LOOKUP(I$2,'HDD-by Country'!$A$4:$A$40,'HDD-by Country'!$C$4:$C$40)/1000</f>
        <v>12046.028829573082</v>
      </c>
      <c r="J108" s="349">
        <f>J102*24*LOOKUP(J$2,'HDD-by Country'!$A$4:$A$40,'HDD-by Country'!$C$4:$C$40)/1000</f>
        <v>7647.8437712185414</v>
      </c>
      <c r="K108" s="349">
        <f>K102*24*LOOKUP(K$2,'HDD-by Country'!$A$4:$A$40,'HDD-by Country'!$C$4:$C$40)/1000</f>
        <v>9945.6024684134045</v>
      </c>
      <c r="L108" s="349">
        <f>L102*24*LOOKUP(L$2,'HDD-by Country'!$A$4:$A$40,'HDD-by Country'!$C$4:$C$40)/1000</f>
        <v>7241.9397794575962</v>
      </c>
      <c r="M108" s="349">
        <f>M102*24*LOOKUP(M$2,'HDD-by Country'!$A$4:$A$40,'HDD-by Country'!$C$4:$C$40)/1000</f>
        <v>16130.776081002849</v>
      </c>
      <c r="N108" s="349">
        <f>N102*24*LOOKUP(N$2,'HDD-by Country'!$A$4:$A$40,'HDD-by Country'!$C$4:$C$40)/1000</f>
        <v>12841.957363019852</v>
      </c>
      <c r="O108" s="349">
        <f>O102*24*LOOKUP(O$2,'HDD-by Country'!$A$4:$A$40,'HDD-by Country'!$C$4:$C$40)/1000</f>
        <v>7510.5243413996795</v>
      </c>
      <c r="P108" s="349">
        <f>P102*24*LOOKUP(P$2,'HDD-by Country'!$A$4:$A$40,'HDD-by Country'!$C$4:$C$40)/1000</f>
        <v>21140.205996462366</v>
      </c>
      <c r="Q108" s="349">
        <f>Q102*24*LOOKUP(Q$2,'HDD-by Country'!$A$4:$A$40,'HDD-by Country'!$C$4:$C$40)/1000</f>
        <v>10163.916942857393</v>
      </c>
      <c r="R108" s="349">
        <f>R102*24*LOOKUP(R$2,'HDD-by Country'!$A$4:$A$40,'HDD-by Country'!$C$4:$C$40)/1000</f>
        <v>14178.919285229007</v>
      </c>
      <c r="S108" s="349">
        <f>S102*24*LOOKUP(S$2,'HDD-by Country'!$A$4:$A$40,'HDD-by Country'!$C$4:$C$40)/1000</f>
        <v>14190.881580473759</v>
      </c>
      <c r="T108" s="349">
        <f>T102*24*LOOKUP(T$2,'HDD-by Country'!$A$4:$A$40,'HDD-by Country'!$C$4:$C$40)/1000</f>
        <v>10923.346980920818</v>
      </c>
      <c r="U108" s="349">
        <f>U102*24*LOOKUP(U$2,'HDD-by Country'!$A$4:$A$40,'HDD-by Country'!$C$4:$C$40)/1000</f>
        <v>13898.34548208816</v>
      </c>
      <c r="V108" s="349">
        <f>V102*24*LOOKUP(V$2,'HDD-by Country'!$A$4:$A$40,'HDD-by Country'!$C$4:$C$40)/1000</f>
        <v>14998.193435675563</v>
      </c>
      <c r="W108" s="349">
        <f>W102*24*LOOKUP(W$2,'HDD-by Country'!$A$4:$A$40,'HDD-by Country'!$C$4:$C$40)/1000</f>
        <v>9847.4088540798093</v>
      </c>
      <c r="X108" s="349">
        <f>X102*24*LOOKUP(X$2,'HDD-by Country'!$A$4:$A$40,'HDD-by Country'!$C$4:$C$40)/1000</f>
        <v>12989.528784371174</v>
      </c>
      <c r="Y108" s="349">
        <f>Y102*24*LOOKUP(Y$2,'HDD-by Country'!$A$4:$A$40,'HDD-by Country'!$C$4:$C$40)/1000</f>
        <v>5961.1965008321968</v>
      </c>
      <c r="Z108" s="349">
        <f>Z102*24*LOOKUP(Z$2,'HDD-by Country'!$A$4:$A$40,'HDD-by Country'!$C$4:$C$40)/1000</f>
        <v>13131.369361123692</v>
      </c>
      <c r="AA108" s="349">
        <f>AA102*24*LOOKUP(AA$2,'HDD-by Country'!$A$4:$A$40,'HDD-by Country'!$C$4:$C$40)/1000</f>
        <v>10249.8680124478</v>
      </c>
      <c r="AB108" s="349">
        <f>AB102*24*LOOKUP(AB$2,'HDD-by Country'!$A$4:$A$40,'HDD-by Country'!$C$4:$C$40)/1000</f>
        <v>17410.297576503679</v>
      </c>
      <c r="AC108" s="349">
        <f>AC102*24*LOOKUP(AC$2,'HDD-by Country'!$A$4:$A$40,'HDD-by Country'!$C$4:$C$40)/1000</f>
        <v>12288.105925239626</v>
      </c>
      <c r="AD108" s="349">
        <f>AD102*24*LOOKUP(AD$2,'HDD-by Country'!$A$4:$A$40,'HDD-by Country'!$C$4:$C$40)/1000</f>
        <v>19399.851896232318</v>
      </c>
      <c r="AE108" s="349">
        <f>AE102*24*LOOKUP(AE$2,'HDD-by Country'!$A$4:$A$40,'HDD-by Country'!$C$4:$C$40)/1000</f>
        <v>9883.1529330084704</v>
      </c>
      <c r="AF108" s="349">
        <f>AF102*24*LOOKUP(AF$2,'HDD-by Country'!$A$4:$A$40,'HDD-by Country'!$C$4:$C$40)/1000</f>
        <v>11326.650318110915</v>
      </c>
      <c r="AG108" s="349">
        <f>AG102*24*LOOKUP(AG$2,'HDD-by Country'!$A$4:$A$40,'HDD-by Country'!$C$4:$C$40)/1000</f>
        <v>23119.960335785174</v>
      </c>
      <c r="AH108" s="349">
        <f>AH102*24*LOOKUP(AH$2,'HDD-by Country'!$A$4:$A$40,'HDD-by Country'!$C$4:$C$40)/1000</f>
        <v>8735.5419992824791</v>
      </c>
      <c r="AI108" s="349">
        <f>AI102*24*LOOKUP(AI$2,'HDD-by Country'!$A$4:$A$40,'HDD-by Country'!$C$4:$C$40)/1000</f>
        <v>21140.205996462366</v>
      </c>
      <c r="AJ108" s="349">
        <f>AJ102*24*LOOKUP(AJ$2,'HDD-by Country'!$A$4:$A$40,'HDD-by Country'!$C$4:$C$40)/1000</f>
        <v>14622.396591800181</v>
      </c>
      <c r="AK108" s="349">
        <f>AK102*24*LOOKUP(AK$2,'HDD-by Country'!$A$4:$A$40,'HDD-by Country'!$C$4:$C$40)/1000</f>
        <v>15649.517840485029</v>
      </c>
      <c r="AL108" s="349">
        <f>AL102*24*LOOKUP(AL$2,'HDD-by Country'!$A$4:$A$40,'HDD-by Country'!$C$4:$C$40)/1000</f>
        <v>10782.400132746041</v>
      </c>
      <c r="AM108" s="349">
        <f>AM102*24*LOOKUP(AM$2,'HDD-by Country'!$A$4:$A$40,'HDD-by Country'!$C$4:$C$40)/1000</f>
        <v>13446.399603753282</v>
      </c>
      <c r="AN108" s="354">
        <f>AN102*24*LOOKUP(AN$2,'HDD-by Country'!$A$4:$A$40,'HDD-by Country'!$C$4:$C$40)/1000</f>
        <v>13446.399603753282</v>
      </c>
    </row>
    <row r="109" spans="1:40">
      <c r="A109" s="130"/>
      <c r="B109" s="142" t="s">
        <v>7</v>
      </c>
      <c r="C109" s="129" t="s">
        <v>261</v>
      </c>
      <c r="D109" s="345">
        <f>D103*24*LOOKUP(D$2,'HDD-by Country'!$A$4:$A$40,'HDD-by Country'!$C$4:$C$40)/1000</f>
        <v>12043.068361550795</v>
      </c>
      <c r="E109" s="349">
        <f>E103*24*LOOKUP(E$2,'HDD-by Country'!$A$4:$A$40,'HDD-by Country'!$C$4:$C$40)/1000</f>
        <v>14543.481958494487</v>
      </c>
      <c r="F109" s="349">
        <f>F103*24*LOOKUP(F$2,'HDD-by Country'!$A$4:$A$40,'HDD-by Country'!$C$4:$C$40)/1000</f>
        <v>6308.6746810321583</v>
      </c>
      <c r="G109" s="349">
        <f>G103*24*LOOKUP(G$2,'HDD-by Country'!$A$4:$A$40,'HDD-by Country'!$C$4:$C$40)/1000</f>
        <v>11733.062125047529</v>
      </c>
      <c r="H109" s="349">
        <f>H103*24*LOOKUP(H$2,'HDD-by Country'!$A$4:$A$40,'HDD-by Country'!$C$4:$C$40)/1000</f>
        <v>5360.6961068049013</v>
      </c>
      <c r="I109" s="349">
        <f>I103*24*LOOKUP(I$2,'HDD-by Country'!$A$4:$A$40,'HDD-by Country'!$C$4:$C$40)/1000</f>
        <v>9937.0656204685292</v>
      </c>
      <c r="J109" s="349">
        <f>J103*24*LOOKUP(J$2,'HDD-by Country'!$A$4:$A$40,'HDD-by Country'!$C$4:$C$40)/1000</f>
        <v>8571.1973265571378</v>
      </c>
      <c r="K109" s="349">
        <f>K103*24*LOOKUP(K$2,'HDD-by Country'!$A$4:$A$40,'HDD-by Country'!$C$4:$C$40)/1000</f>
        <v>7318.7657315738852</v>
      </c>
      <c r="L109" s="349">
        <f>L103*24*LOOKUP(L$2,'HDD-by Country'!$A$4:$A$40,'HDD-by Country'!$C$4:$C$40)/1000</f>
        <v>7241.9397794575962</v>
      </c>
      <c r="M109" s="349">
        <f>M103*24*LOOKUP(M$2,'HDD-by Country'!$A$4:$A$40,'HDD-by Country'!$C$4:$C$40)/1000</f>
        <v>9698.0377707606149</v>
      </c>
      <c r="N109" s="349">
        <f>N103*24*LOOKUP(N$2,'HDD-by Country'!$A$4:$A$40,'HDD-by Country'!$C$4:$C$40)/1000</f>
        <v>11882.341824809655</v>
      </c>
      <c r="O109" s="349">
        <f>O103*24*LOOKUP(O$2,'HDD-by Country'!$A$4:$A$40,'HDD-by Country'!$C$4:$C$40)/1000</f>
        <v>7287.3198741565066</v>
      </c>
      <c r="P109" s="349">
        <f>P103*24*LOOKUP(P$2,'HDD-by Country'!$A$4:$A$40,'HDD-by Country'!$C$4:$C$40)/1000</f>
        <v>6483.5795396934363</v>
      </c>
      <c r="Q109" s="349">
        <f>Q103*24*LOOKUP(Q$2,'HDD-by Country'!$A$4:$A$40,'HDD-by Country'!$C$4:$C$40)/1000</f>
        <v>6127.9319074419973</v>
      </c>
      <c r="R109" s="349">
        <f>R103*24*LOOKUP(R$2,'HDD-by Country'!$A$4:$A$40,'HDD-by Country'!$C$4:$C$40)/1000</f>
        <v>8896.2340195986435</v>
      </c>
      <c r="S109" s="349">
        <f>S103*24*LOOKUP(S$2,'HDD-by Country'!$A$4:$A$40,'HDD-by Country'!$C$4:$C$40)/1000</f>
        <v>7782.9013914614952</v>
      </c>
      <c r="T109" s="349">
        <f>T103*24*LOOKUP(T$2,'HDD-by Country'!$A$4:$A$40,'HDD-by Country'!$C$4:$C$40)/1000</f>
        <v>10107.099644487666</v>
      </c>
      <c r="U109" s="349">
        <f>U103*24*LOOKUP(U$2,'HDD-by Country'!$A$4:$A$40,'HDD-by Country'!$C$4:$C$40)/1000</f>
        <v>13898.34548208816</v>
      </c>
      <c r="V109" s="349">
        <f>V103*24*LOOKUP(V$2,'HDD-by Country'!$A$4:$A$40,'HDD-by Country'!$C$4:$C$40)/1000</f>
        <v>7844.0741120160728</v>
      </c>
      <c r="W109" s="349">
        <f>W103*24*LOOKUP(W$2,'HDD-by Country'!$A$4:$A$40,'HDD-by Country'!$C$4:$C$40)/1000</f>
        <v>7821.8391864491241</v>
      </c>
      <c r="X109" s="349">
        <f>X103*24*LOOKUP(X$2,'HDD-by Country'!$A$4:$A$40,'HDD-by Country'!$C$4:$C$40)/1000</f>
        <v>7496.1017683576565</v>
      </c>
      <c r="Y109" s="349">
        <f>Y103*24*LOOKUP(Y$2,'HDD-by Country'!$A$4:$A$40,'HDD-by Country'!$C$4:$C$40)/1000</f>
        <v>5529.9204764177803</v>
      </c>
      <c r="Z109" s="349">
        <f>Z103*24*LOOKUP(Z$2,'HDD-by Country'!$A$4:$A$40,'HDD-by Country'!$C$4:$C$40)/1000</f>
        <v>9157.5801379117038</v>
      </c>
      <c r="AA109" s="349">
        <f>AA103*24*LOOKUP(AA$2,'HDD-by Country'!$A$4:$A$40,'HDD-by Country'!$C$4:$C$40)/1000</f>
        <v>10249.8680124478</v>
      </c>
      <c r="AB109" s="349">
        <f>AB103*24*LOOKUP(AB$2,'HDD-by Country'!$A$4:$A$40,'HDD-by Country'!$C$4:$C$40)/1000</f>
        <v>11754.625569155138</v>
      </c>
      <c r="AC109" s="349">
        <f>AC103*24*LOOKUP(AC$2,'HDD-by Country'!$A$4:$A$40,'HDD-by Country'!$C$4:$C$40)/1000</f>
        <v>8204.5023550445003</v>
      </c>
      <c r="AD109" s="349">
        <f>AD103*24*LOOKUP(AD$2,'HDD-by Country'!$A$4:$A$40,'HDD-by Country'!$C$4:$C$40)/1000</f>
        <v>15415.989459156932</v>
      </c>
      <c r="AE109" s="349">
        <f>AE103*24*LOOKUP(AE$2,'HDD-by Country'!$A$4:$A$40,'HDD-by Country'!$C$4:$C$40)/1000</f>
        <v>9883.1529330084704</v>
      </c>
      <c r="AF109" s="349">
        <f>AF103*24*LOOKUP(AF$2,'HDD-by Country'!$A$4:$A$40,'HDD-by Country'!$C$4:$C$40)/1000</f>
        <v>6060.7161601890421</v>
      </c>
      <c r="AG109" s="349">
        <f>AG103*24*LOOKUP(AG$2,'HDD-by Country'!$A$4:$A$40,'HDD-by Country'!$C$4:$C$40)/1000</f>
        <v>13532.61980108506</v>
      </c>
      <c r="AH109" s="349">
        <f>AH103*24*LOOKUP(AH$2,'HDD-by Country'!$A$4:$A$40,'HDD-by Country'!$C$4:$C$40)/1000</f>
        <v>7266.1351018721207</v>
      </c>
      <c r="AI109" s="349">
        <f>AI103*24*LOOKUP(AI$2,'HDD-by Country'!$A$4:$A$40,'HDD-by Country'!$C$4:$C$40)/1000</f>
        <v>6483.5795396934363</v>
      </c>
      <c r="AJ109" s="349">
        <f>AJ103*24*LOOKUP(AJ$2,'HDD-by Country'!$A$4:$A$40,'HDD-by Country'!$C$4:$C$40)/1000</f>
        <v>12782.1152225896</v>
      </c>
      <c r="AK109" s="349">
        <f>AK103*24*LOOKUP(AK$2,'HDD-by Country'!$A$4:$A$40,'HDD-by Country'!$C$4:$C$40)/1000</f>
        <v>13698.244640546794</v>
      </c>
      <c r="AL109" s="349">
        <f>AL103*24*LOOKUP(AL$2,'HDD-by Country'!$A$4:$A$40,'HDD-by Country'!$C$4:$C$40)/1000</f>
        <v>6613.2251207772788</v>
      </c>
      <c r="AM109" s="349">
        <f>AM103*24*LOOKUP(AM$2,'HDD-by Country'!$A$4:$A$40,'HDD-by Country'!$C$4:$C$40)/1000</f>
        <v>11754.12169852781</v>
      </c>
      <c r="AN109" s="354">
        <f>AN103*24*LOOKUP(AN$2,'HDD-by Country'!$A$4:$A$40,'HDD-by Country'!$C$4:$C$40)/1000</f>
        <v>11754.12169852781</v>
      </c>
    </row>
    <row r="110" spans="1:40">
      <c r="A110" s="151" t="s">
        <v>260</v>
      </c>
      <c r="B110" s="141" t="s">
        <v>2</v>
      </c>
      <c r="C110" s="360" t="s">
        <v>261</v>
      </c>
      <c r="D110" s="351">
        <f>D104/(1.355*(D98/D$17)^0.16)</f>
        <v>26309.904505365052</v>
      </c>
      <c r="E110" s="352">
        <f t="shared" ref="E110:AN110" si="50">E104/(1.355*(E98/E$17)^0.16)</f>
        <v>21841.0569507365</v>
      </c>
      <c r="F110" s="352">
        <f t="shared" si="50"/>
        <v>12496.45350356667</v>
      </c>
      <c r="G110" s="352">
        <f t="shared" si="50"/>
        <v>25632.64898927843</v>
      </c>
      <c r="H110" s="352">
        <f t="shared" si="50"/>
        <v>6941.4694175998875</v>
      </c>
      <c r="I110" s="352">
        <f t="shared" si="50"/>
        <v>17757.409401677971</v>
      </c>
      <c r="J110" s="352">
        <f t="shared" si="50"/>
        <v>23216.37696661253</v>
      </c>
      <c r="K110" s="352">
        <f t="shared" si="50"/>
        <v>17895.540014939954</v>
      </c>
      <c r="L110" s="352">
        <f t="shared" si="50"/>
        <v>11294.225769152283</v>
      </c>
      <c r="M110" s="352">
        <f t="shared" si="50"/>
        <v>19563.510734225158</v>
      </c>
      <c r="N110" s="352">
        <f t="shared" si="50"/>
        <v>19419.901439431684</v>
      </c>
      <c r="O110" s="352">
        <f t="shared" si="50"/>
        <v>25252.32103210947</v>
      </c>
      <c r="P110" s="352">
        <f t="shared" si="50"/>
        <v>15107.167978592388</v>
      </c>
      <c r="Q110" s="352">
        <f t="shared" si="50"/>
        <v>10931.767997978664</v>
      </c>
      <c r="R110" s="352">
        <f t="shared" si="50"/>
        <v>17627.559181725323</v>
      </c>
      <c r="S110" s="352">
        <f t="shared" si="50"/>
        <v>20589.701917537521</v>
      </c>
      <c r="T110" s="352">
        <f t="shared" si="50"/>
        <v>16518.534967967873</v>
      </c>
      <c r="U110" s="352">
        <f t="shared" si="50"/>
        <v>16157.461406535118</v>
      </c>
      <c r="V110" s="352">
        <f t="shared" si="50"/>
        <v>19269.851185074123</v>
      </c>
      <c r="W110" s="352">
        <f t="shared" si="50"/>
        <v>16409.440941835881</v>
      </c>
      <c r="X110" s="352">
        <f t="shared" si="50"/>
        <v>19740.600754703013</v>
      </c>
      <c r="Y110" s="352">
        <f t="shared" si="50"/>
        <v>6072.5069406402035</v>
      </c>
      <c r="Z110" s="352">
        <f t="shared" si="50"/>
        <v>22288.708565914003</v>
      </c>
      <c r="AA110" s="352">
        <f t="shared" si="50"/>
        <v>16828.02584786823</v>
      </c>
      <c r="AB110" s="352">
        <f t="shared" si="50"/>
        <v>24265.381293275586</v>
      </c>
      <c r="AC110" s="352">
        <f t="shared" si="50"/>
        <v>11692.691462905099</v>
      </c>
      <c r="AD110" s="352">
        <f t="shared" si="50"/>
        <v>19146.903496302442</v>
      </c>
      <c r="AE110" s="352">
        <f t="shared" si="50"/>
        <v>16225.960452673509</v>
      </c>
      <c r="AF110" s="352">
        <f t="shared" si="50"/>
        <v>17604.972643695048</v>
      </c>
      <c r="AG110" s="352">
        <f t="shared" si="50"/>
        <v>23789.842733831221</v>
      </c>
      <c r="AH110" s="352">
        <f t="shared" si="50"/>
        <v>17655.752349452188</v>
      </c>
      <c r="AI110" s="352">
        <f t="shared" si="50"/>
        <v>15107.167978592388</v>
      </c>
      <c r="AJ110" s="352">
        <f t="shared" si="50"/>
        <v>13259.536054929231</v>
      </c>
      <c r="AK110" s="352">
        <f t="shared" si="50"/>
        <v>14404.87935069883</v>
      </c>
      <c r="AL110" s="352">
        <f t="shared" si="50"/>
        <v>13204.833330552096</v>
      </c>
      <c r="AM110" s="352">
        <f t="shared" si="50"/>
        <v>12193.146262695018</v>
      </c>
      <c r="AN110" s="353">
        <f t="shared" si="50"/>
        <v>12193.146262695018</v>
      </c>
    </row>
    <row r="111" spans="1:40">
      <c r="A111" s="129"/>
      <c r="B111" s="142" t="s">
        <v>3</v>
      </c>
      <c r="C111" s="129" t="s">
        <v>261</v>
      </c>
      <c r="D111" s="345">
        <f t="shared" ref="D111:AN111" si="51">D105/(1.355*(D99/D$17)^0.16)</f>
        <v>24682.004296746345</v>
      </c>
      <c r="E111" s="349">
        <f t="shared" si="51"/>
        <v>21841.0569507365</v>
      </c>
      <c r="F111" s="349">
        <f t="shared" si="51"/>
        <v>12496.45350356667</v>
      </c>
      <c r="G111" s="349">
        <f t="shared" si="51"/>
        <v>24046.653318766304</v>
      </c>
      <c r="H111" s="349">
        <f t="shared" si="51"/>
        <v>6354.4509140793252</v>
      </c>
      <c r="I111" s="349">
        <f t="shared" si="51"/>
        <v>15428.381996740693</v>
      </c>
      <c r="J111" s="349">
        <f t="shared" si="51"/>
        <v>19945.377668719939</v>
      </c>
      <c r="K111" s="349">
        <f t="shared" si="51"/>
        <v>17547.036008786668</v>
      </c>
      <c r="L111" s="349">
        <f t="shared" si="51"/>
        <v>11294.225769152283</v>
      </c>
      <c r="M111" s="349">
        <f t="shared" si="51"/>
        <v>17839.868907861804</v>
      </c>
      <c r="N111" s="349">
        <f t="shared" si="51"/>
        <v>17503.706420053826</v>
      </c>
      <c r="O111" s="349">
        <f t="shared" si="51"/>
        <v>25252.32103210947</v>
      </c>
      <c r="P111" s="349">
        <f t="shared" si="51"/>
        <v>15107.167978592388</v>
      </c>
      <c r="Q111" s="349">
        <f t="shared" si="51"/>
        <v>11823.633977267194</v>
      </c>
      <c r="R111" s="349">
        <f t="shared" si="51"/>
        <v>17627.559181725323</v>
      </c>
      <c r="S111" s="349">
        <f t="shared" si="51"/>
        <v>20593.96515069453</v>
      </c>
      <c r="T111" s="349">
        <f t="shared" si="51"/>
        <v>14888.622760032105</v>
      </c>
      <c r="U111" s="349">
        <f t="shared" si="51"/>
        <v>15181.14657259834</v>
      </c>
      <c r="V111" s="349">
        <f t="shared" si="51"/>
        <v>19269.851185074123</v>
      </c>
      <c r="W111" s="349">
        <f t="shared" si="51"/>
        <v>19264.622317422811</v>
      </c>
      <c r="X111" s="349">
        <f t="shared" si="51"/>
        <v>19740.600754703013</v>
      </c>
      <c r="Y111" s="349">
        <f t="shared" si="51"/>
        <v>6072.3648118528399</v>
      </c>
      <c r="Z111" s="349">
        <f t="shared" si="51"/>
        <v>20526.212444055087</v>
      </c>
      <c r="AA111" s="349">
        <f t="shared" si="51"/>
        <v>16828.02584786823</v>
      </c>
      <c r="AB111" s="349">
        <f t="shared" si="51"/>
        <v>19668.918691104445</v>
      </c>
      <c r="AC111" s="349">
        <f t="shared" si="51"/>
        <v>10346.142874089968</v>
      </c>
      <c r="AD111" s="349">
        <f t="shared" si="51"/>
        <v>17315.585245338378</v>
      </c>
      <c r="AE111" s="349">
        <f t="shared" si="51"/>
        <v>16225.960452673509</v>
      </c>
      <c r="AF111" s="349">
        <f t="shared" si="51"/>
        <v>17604.972643695048</v>
      </c>
      <c r="AG111" s="349">
        <f t="shared" si="51"/>
        <v>20383.811058522431</v>
      </c>
      <c r="AH111" s="349">
        <f t="shared" si="51"/>
        <v>18727.610377968151</v>
      </c>
      <c r="AI111" s="349">
        <f t="shared" si="51"/>
        <v>15107.167978592388</v>
      </c>
      <c r="AJ111" s="349">
        <f t="shared" si="51"/>
        <v>13259.536054929231</v>
      </c>
      <c r="AK111" s="349">
        <f t="shared" si="51"/>
        <v>14404.87935069883</v>
      </c>
      <c r="AL111" s="349">
        <f t="shared" si="51"/>
        <v>13204.833330552096</v>
      </c>
      <c r="AM111" s="349">
        <f t="shared" si="51"/>
        <v>12193.146262695018</v>
      </c>
      <c r="AN111" s="354">
        <f t="shared" si="51"/>
        <v>12193.146262695018</v>
      </c>
    </row>
    <row r="112" spans="1:40">
      <c r="A112" s="129"/>
      <c r="B112" s="142" t="s">
        <v>4</v>
      </c>
      <c r="C112" s="129" t="s">
        <v>261</v>
      </c>
      <c r="D112" s="345">
        <f t="shared" ref="D112:AN112" si="52">D106/(1.355*(D100/D$17)^0.16)</f>
        <v>20081.792445886418</v>
      </c>
      <c r="E112" s="349">
        <f t="shared" si="52"/>
        <v>21841.0569507365</v>
      </c>
      <c r="F112" s="349">
        <f t="shared" si="52"/>
        <v>11767.97014784141</v>
      </c>
      <c r="G112" s="349">
        <f t="shared" si="52"/>
        <v>19564.85766552225</v>
      </c>
      <c r="H112" s="349">
        <f t="shared" si="52"/>
        <v>5756.8979183981501</v>
      </c>
      <c r="I112" s="349">
        <f t="shared" si="52"/>
        <v>15428.381996740693</v>
      </c>
      <c r="J112" s="349">
        <f t="shared" si="52"/>
        <v>14118.57203346912</v>
      </c>
      <c r="K112" s="349">
        <f t="shared" si="52"/>
        <v>11355.411592135888</v>
      </c>
      <c r="L112" s="349">
        <f t="shared" si="52"/>
        <v>9121.7914676394921</v>
      </c>
      <c r="M112" s="349">
        <f t="shared" si="52"/>
        <v>17839.868907861804</v>
      </c>
      <c r="N112" s="349">
        <f t="shared" si="52"/>
        <v>14371.353209716717</v>
      </c>
      <c r="O112" s="349">
        <f t="shared" si="52"/>
        <v>12828.206908243706</v>
      </c>
      <c r="P112" s="349">
        <f t="shared" si="52"/>
        <v>15107.167978592388</v>
      </c>
      <c r="Q112" s="349">
        <f t="shared" si="52"/>
        <v>10933.021814615822</v>
      </c>
      <c r="R112" s="349">
        <f t="shared" si="52"/>
        <v>15563.798993656213</v>
      </c>
      <c r="S112" s="349">
        <f t="shared" si="52"/>
        <v>20519.584116208945</v>
      </c>
      <c r="T112" s="349">
        <f t="shared" si="52"/>
        <v>12224.248473769299</v>
      </c>
      <c r="U112" s="349">
        <f t="shared" si="52"/>
        <v>14653.838245867164</v>
      </c>
      <c r="V112" s="349">
        <f t="shared" si="52"/>
        <v>12710.032423784785</v>
      </c>
      <c r="W112" s="349">
        <f t="shared" si="52"/>
        <v>10016.569437868389</v>
      </c>
      <c r="X112" s="349">
        <f t="shared" si="52"/>
        <v>18650.709671992176</v>
      </c>
      <c r="Y112" s="349">
        <f t="shared" si="52"/>
        <v>4795.7946560081109</v>
      </c>
      <c r="Z112" s="349">
        <f t="shared" si="52"/>
        <v>19686.692861069372</v>
      </c>
      <c r="AA112" s="349">
        <f t="shared" si="52"/>
        <v>11640.20732436429</v>
      </c>
      <c r="AB112" s="349">
        <f t="shared" si="52"/>
        <v>14115.53866046218</v>
      </c>
      <c r="AC112" s="349">
        <f t="shared" si="52"/>
        <v>10343.962767274139</v>
      </c>
      <c r="AD112" s="349">
        <f t="shared" si="52"/>
        <v>17315.585245338378</v>
      </c>
      <c r="AE112" s="349">
        <f t="shared" si="52"/>
        <v>11223.749322323627</v>
      </c>
      <c r="AF112" s="349">
        <f t="shared" si="52"/>
        <v>16986.939891706985</v>
      </c>
      <c r="AG112" s="349">
        <f t="shared" si="52"/>
        <v>20383.811058522431</v>
      </c>
      <c r="AH112" s="349">
        <f t="shared" si="52"/>
        <v>16256.858066084653</v>
      </c>
      <c r="AI112" s="349">
        <f t="shared" si="52"/>
        <v>15107.167978592388</v>
      </c>
      <c r="AJ112" s="349">
        <f t="shared" si="52"/>
        <v>13259.536054929231</v>
      </c>
      <c r="AK112" s="349">
        <f t="shared" si="52"/>
        <v>14404.87935069883</v>
      </c>
      <c r="AL112" s="349">
        <f t="shared" si="52"/>
        <v>12432.062466999334</v>
      </c>
      <c r="AM112" s="349">
        <f t="shared" si="52"/>
        <v>12193.146262695018</v>
      </c>
      <c r="AN112" s="354">
        <f t="shared" si="52"/>
        <v>12193.146262695018</v>
      </c>
    </row>
    <row r="113" spans="1:40">
      <c r="A113" s="129"/>
      <c r="B113" s="142" t="s">
        <v>5</v>
      </c>
      <c r="C113" s="129" t="s">
        <v>261</v>
      </c>
      <c r="D113" s="345">
        <f t="shared" ref="D113:AN113" si="53">D107/(1.355*(D101/D$17)^0.16)</f>
        <v>14004.343365800125</v>
      </c>
      <c r="E113" s="349">
        <f t="shared" si="53"/>
        <v>19218.649080924362</v>
      </c>
      <c r="F113" s="349">
        <f t="shared" si="53"/>
        <v>9820.7105675095136</v>
      </c>
      <c r="G113" s="349">
        <f t="shared" si="53"/>
        <v>13643.851035175167</v>
      </c>
      <c r="H113" s="349">
        <f t="shared" si="53"/>
        <v>5486.2264474676285</v>
      </c>
      <c r="I113" s="349">
        <f t="shared" si="53"/>
        <v>13693.161521957012</v>
      </c>
      <c r="J113" s="349">
        <f t="shared" si="53"/>
        <v>11645.032976611248</v>
      </c>
      <c r="K113" s="349">
        <f t="shared" si="53"/>
        <v>9247.8563325840114</v>
      </c>
      <c r="L113" s="349">
        <f t="shared" si="53"/>
        <v>7704.4492525092564</v>
      </c>
      <c r="M113" s="349">
        <f t="shared" si="53"/>
        <v>12157.605653981034</v>
      </c>
      <c r="N113" s="349">
        <f t="shared" si="53"/>
        <v>11984.310228349028</v>
      </c>
      <c r="O113" s="349">
        <f t="shared" si="53"/>
        <v>11196.884602862991</v>
      </c>
      <c r="P113" s="349">
        <f t="shared" si="53"/>
        <v>14554.719469426233</v>
      </c>
      <c r="Q113" s="349">
        <f t="shared" si="53"/>
        <v>10933.021814615822</v>
      </c>
      <c r="R113" s="349">
        <f t="shared" si="53"/>
        <v>11420.816669219428</v>
      </c>
      <c r="S113" s="349">
        <f t="shared" si="53"/>
        <v>14594.319405340306</v>
      </c>
      <c r="T113" s="349">
        <f t="shared" si="53"/>
        <v>10193.833794233291</v>
      </c>
      <c r="U113" s="349">
        <f t="shared" si="53"/>
        <v>11615.401398175492</v>
      </c>
      <c r="V113" s="349">
        <f t="shared" si="53"/>
        <v>12710.032423784785</v>
      </c>
      <c r="W113" s="349">
        <f t="shared" si="53"/>
        <v>9469.2245470782855</v>
      </c>
      <c r="X113" s="349">
        <f t="shared" si="53"/>
        <v>11357.389393878579</v>
      </c>
      <c r="Y113" s="349">
        <f t="shared" si="53"/>
        <v>4276.4349793550145</v>
      </c>
      <c r="Z113" s="349">
        <f t="shared" si="53"/>
        <v>11980.982770355733</v>
      </c>
      <c r="AA113" s="349">
        <f t="shared" si="53"/>
        <v>11640.20732436429</v>
      </c>
      <c r="AB113" s="349">
        <f t="shared" si="53"/>
        <v>14115.53866046218</v>
      </c>
      <c r="AC113" s="349">
        <f t="shared" si="53"/>
        <v>10011.967425030349</v>
      </c>
      <c r="AD113" s="349">
        <f t="shared" si="53"/>
        <v>14439.271599569702</v>
      </c>
      <c r="AE113" s="349">
        <f t="shared" si="53"/>
        <v>11223.749322323627</v>
      </c>
      <c r="AF113" s="349">
        <f t="shared" si="53"/>
        <v>12961.911475916009</v>
      </c>
      <c r="AG113" s="349">
        <f t="shared" si="53"/>
        <v>18690.146315882917</v>
      </c>
      <c r="AH113" s="349">
        <f t="shared" si="53"/>
        <v>8807.2486372745061</v>
      </c>
      <c r="AI113" s="349">
        <f t="shared" si="53"/>
        <v>14554.719469426233</v>
      </c>
      <c r="AJ113" s="349">
        <f t="shared" si="53"/>
        <v>11758.796765302983</v>
      </c>
      <c r="AK113" s="349">
        <f t="shared" si="53"/>
        <v>12780.95121737829</v>
      </c>
      <c r="AL113" s="349">
        <f t="shared" si="53"/>
        <v>10362.490800928683</v>
      </c>
      <c r="AM113" s="349">
        <f t="shared" si="53"/>
        <v>10813.102980276904</v>
      </c>
      <c r="AN113" s="354">
        <f t="shared" si="53"/>
        <v>10813.102980276904</v>
      </c>
    </row>
    <row r="114" spans="1:40">
      <c r="A114" s="129"/>
      <c r="B114" s="142" t="s">
        <v>6</v>
      </c>
      <c r="C114" s="129" t="s">
        <v>261</v>
      </c>
      <c r="D114" s="345">
        <f t="shared" ref="D114:AN114" si="54">D108/(1.355*(D102/D$17)^0.16)</f>
        <v>11871.211567446755</v>
      </c>
      <c r="E114" s="349">
        <f t="shared" si="54"/>
        <v>19218.649080924362</v>
      </c>
      <c r="F114" s="349">
        <f t="shared" si="54"/>
        <v>8093.3959550941199</v>
      </c>
      <c r="G114" s="349">
        <f t="shared" si="54"/>
        <v>11565.629176790599</v>
      </c>
      <c r="H114" s="349">
        <f t="shared" si="54"/>
        <v>5486.2264474676285</v>
      </c>
      <c r="I114" s="349">
        <f t="shared" si="54"/>
        <v>10399.026557591955</v>
      </c>
      <c r="J114" s="349">
        <f t="shared" si="54"/>
        <v>7071.5914573792033</v>
      </c>
      <c r="K114" s="349">
        <f t="shared" si="54"/>
        <v>9247.8563325840114</v>
      </c>
      <c r="L114" s="349">
        <f t="shared" si="54"/>
        <v>6848.8901870569198</v>
      </c>
      <c r="M114" s="349">
        <f t="shared" si="54"/>
        <v>12157.605653981034</v>
      </c>
      <c r="N114" s="349">
        <f t="shared" si="54"/>
        <v>11820.018335583742</v>
      </c>
      <c r="O114" s="349">
        <f t="shared" si="54"/>
        <v>6716.4625212761111</v>
      </c>
      <c r="P114" s="349">
        <f t="shared" si="54"/>
        <v>14554.719469426233</v>
      </c>
      <c r="Q114" s="349">
        <f t="shared" si="54"/>
        <v>8070.6340225420809</v>
      </c>
      <c r="R114" s="349">
        <f t="shared" si="54"/>
        <v>11420.816669219428</v>
      </c>
      <c r="S114" s="349">
        <f t="shared" si="54"/>
        <v>11854.379515913688</v>
      </c>
      <c r="T114" s="349">
        <f t="shared" si="54"/>
        <v>10054.087391087984</v>
      </c>
      <c r="U114" s="349">
        <f t="shared" si="54"/>
        <v>10824.58943909484</v>
      </c>
      <c r="V114" s="349">
        <f t="shared" si="54"/>
        <v>12710.032423784785</v>
      </c>
      <c r="W114" s="349">
        <f t="shared" si="54"/>
        <v>8451.4077841714789</v>
      </c>
      <c r="X114" s="349">
        <f t="shared" si="54"/>
        <v>11326.830522768201</v>
      </c>
      <c r="Y114" s="349">
        <f t="shared" si="54"/>
        <v>4274.927472071623</v>
      </c>
      <c r="Z114" s="349">
        <f t="shared" si="54"/>
        <v>11057.052056162824</v>
      </c>
      <c r="AA114" s="349">
        <f t="shared" si="54"/>
        <v>10124.183963704343</v>
      </c>
      <c r="AB114" s="349">
        <f t="shared" si="54"/>
        <v>14115.53866046218</v>
      </c>
      <c r="AC114" s="349">
        <f t="shared" si="54"/>
        <v>9194.2120699674069</v>
      </c>
      <c r="AD114" s="349">
        <f t="shared" si="54"/>
        <v>14439.271599569702</v>
      </c>
      <c r="AE114" s="349">
        <f t="shared" si="54"/>
        <v>9761.9655505502033</v>
      </c>
      <c r="AF114" s="349">
        <f t="shared" si="54"/>
        <v>9561.8851074513495</v>
      </c>
      <c r="AG114" s="349">
        <f t="shared" si="54"/>
        <v>17777.720420079982</v>
      </c>
      <c r="AH114" s="349">
        <f t="shared" si="54"/>
        <v>7521.5315658687196</v>
      </c>
      <c r="AI114" s="349">
        <f t="shared" si="54"/>
        <v>14554.719469426233</v>
      </c>
      <c r="AJ114" s="349">
        <f t="shared" si="54"/>
        <v>11164.48691126789</v>
      </c>
      <c r="AK114" s="349">
        <f t="shared" si="54"/>
        <v>12139.816562794507</v>
      </c>
      <c r="AL114" s="349">
        <f t="shared" si="54"/>
        <v>8528.6078464475486</v>
      </c>
      <c r="AM114" s="349">
        <f t="shared" si="54"/>
        <v>10266.590119978378</v>
      </c>
      <c r="AN114" s="354">
        <f t="shared" si="54"/>
        <v>10266.590119978378</v>
      </c>
    </row>
    <row r="115" spans="1:40">
      <c r="A115" s="129"/>
      <c r="B115" s="142" t="s">
        <v>7</v>
      </c>
      <c r="C115" s="129" t="s">
        <v>261</v>
      </c>
      <c r="D115" s="345">
        <f t="shared" ref="D115:AN115" si="55">D109/(1.355*(D103/D$17)^0.16)</f>
        <v>10706.200701396832</v>
      </c>
      <c r="E115" s="349">
        <f t="shared" si="55"/>
        <v>12015.52931217583</v>
      </c>
      <c r="F115" s="349">
        <f t="shared" si="55"/>
        <v>5369.4808058633371</v>
      </c>
      <c r="G115" s="349">
        <f t="shared" si="55"/>
        <v>10430.607398506931</v>
      </c>
      <c r="H115" s="349">
        <f t="shared" si="55"/>
        <v>4074.0674730259575</v>
      </c>
      <c r="I115" s="349">
        <f t="shared" si="55"/>
        <v>8846.6870677454663</v>
      </c>
      <c r="J115" s="349">
        <f t="shared" si="55"/>
        <v>7782.1437845987093</v>
      </c>
      <c r="K115" s="349">
        <f t="shared" si="55"/>
        <v>7147.5753764747824</v>
      </c>
      <c r="L115" s="349">
        <f t="shared" si="55"/>
        <v>6848.8901870569198</v>
      </c>
      <c r="M115" s="349">
        <f t="shared" si="55"/>
        <v>7929.2495037041508</v>
      </c>
      <c r="N115" s="349">
        <f t="shared" si="55"/>
        <v>11073.518548406535</v>
      </c>
      <c r="O115" s="349">
        <f t="shared" si="55"/>
        <v>6548.3903342829781</v>
      </c>
      <c r="P115" s="349">
        <f t="shared" si="55"/>
        <v>5393.0763276925563</v>
      </c>
      <c r="Q115" s="349">
        <f t="shared" si="55"/>
        <v>5276.1851293378959</v>
      </c>
      <c r="R115" s="349">
        <f t="shared" si="55"/>
        <v>7720.5837366952483</v>
      </c>
      <c r="S115" s="349">
        <f t="shared" si="55"/>
        <v>7157.3101113744297</v>
      </c>
      <c r="T115" s="349">
        <f t="shared" si="55"/>
        <v>9419.1159481830637</v>
      </c>
      <c r="U115" s="349">
        <f t="shared" si="55"/>
        <v>10824.58943909484</v>
      </c>
      <c r="V115" s="349">
        <f t="shared" si="55"/>
        <v>7373.7593216369005</v>
      </c>
      <c r="W115" s="349">
        <f t="shared" si="55"/>
        <v>6964.950978703916</v>
      </c>
      <c r="X115" s="349">
        <f t="shared" si="55"/>
        <v>7137.5924647340444</v>
      </c>
      <c r="Y115" s="349">
        <f t="shared" si="55"/>
        <v>4013.5855766105574</v>
      </c>
      <c r="Z115" s="349">
        <f t="shared" si="55"/>
        <v>8168.7339387478569</v>
      </c>
      <c r="AA115" s="349">
        <f t="shared" si="55"/>
        <v>10124.183963704343</v>
      </c>
      <c r="AB115" s="349">
        <f t="shared" si="55"/>
        <v>10148.354850905424</v>
      </c>
      <c r="AC115" s="349">
        <f t="shared" si="55"/>
        <v>6548.638948835116</v>
      </c>
      <c r="AD115" s="349">
        <f t="shared" si="55"/>
        <v>11903.936384014069</v>
      </c>
      <c r="AE115" s="349">
        <f t="shared" si="55"/>
        <v>9761.9655505502033</v>
      </c>
      <c r="AF115" s="349">
        <f t="shared" si="55"/>
        <v>5654.8147352108635</v>
      </c>
      <c r="AG115" s="349">
        <f t="shared" si="55"/>
        <v>11336.727312975541</v>
      </c>
      <c r="AH115" s="349">
        <f t="shared" si="55"/>
        <v>6443.4389341752003</v>
      </c>
      <c r="AI115" s="349">
        <f t="shared" si="55"/>
        <v>5393.0763276925563</v>
      </c>
      <c r="AJ115" s="349">
        <f t="shared" si="55"/>
        <v>9971.7061292627986</v>
      </c>
      <c r="AK115" s="349">
        <f t="shared" si="55"/>
        <v>10855.000504354892</v>
      </c>
      <c r="AL115" s="349">
        <f t="shared" si="55"/>
        <v>5656.4551767178973</v>
      </c>
      <c r="AM115" s="349">
        <f t="shared" si="55"/>
        <v>9169.737977183142</v>
      </c>
      <c r="AN115" s="354">
        <f t="shared" si="55"/>
        <v>9169.737977183142</v>
      </c>
    </row>
    <row r="116" spans="1:40">
      <c r="A116" s="334" t="s">
        <v>262</v>
      </c>
      <c r="B116" s="359" t="s">
        <v>2</v>
      </c>
      <c r="C116" s="366" t="s">
        <v>190</v>
      </c>
      <c r="D116" s="375">
        <f t="shared" ref="D116:AN116" si="56">D110/D$4</f>
        <v>175.6445338642859</v>
      </c>
      <c r="E116" s="376">
        <f t="shared" si="56"/>
        <v>153.38606268866627</v>
      </c>
      <c r="F116" s="376">
        <f t="shared" si="56"/>
        <v>157.16820865217471</v>
      </c>
      <c r="G116" s="376">
        <f t="shared" si="56"/>
        <v>171.12318604237367</v>
      </c>
      <c r="H116" s="376">
        <f t="shared" si="56"/>
        <v>60.688296685812396</v>
      </c>
      <c r="I116" s="376">
        <f t="shared" si="56"/>
        <v>142.26809917475447</v>
      </c>
      <c r="J116" s="376">
        <f t="shared" si="56"/>
        <v>172.98753922133162</v>
      </c>
      <c r="K116" s="376">
        <f t="shared" si="56"/>
        <v>107.07877346261752</v>
      </c>
      <c r="L116" s="376">
        <f t="shared" si="56"/>
        <v>105.93808940246828</v>
      </c>
      <c r="M116" s="376">
        <f t="shared" si="56"/>
        <v>141.03864310875397</v>
      </c>
      <c r="N116" s="376">
        <f t="shared" si="56"/>
        <v>160.16413558294173</v>
      </c>
      <c r="O116" s="376">
        <f t="shared" si="56"/>
        <v>180.9797793097793</v>
      </c>
      <c r="P116" s="376">
        <f t="shared" si="56"/>
        <v>132.07985762245511</v>
      </c>
      <c r="Q116" s="376">
        <f t="shared" si="56"/>
        <v>127.18551328328923</v>
      </c>
      <c r="R116" s="376">
        <f t="shared" si="56"/>
        <v>151.39219205582344</v>
      </c>
      <c r="S116" s="376">
        <f t="shared" si="56"/>
        <v>139.94717167599194</v>
      </c>
      <c r="T116" s="376">
        <f t="shared" si="56"/>
        <v>136.23533994200307</v>
      </c>
      <c r="U116" s="376">
        <f t="shared" si="56"/>
        <v>117.83016522541563</v>
      </c>
      <c r="V116" s="376">
        <f t="shared" si="56"/>
        <v>159.59746000440097</v>
      </c>
      <c r="W116" s="376">
        <f t="shared" si="56"/>
        <v>149.94930361457304</v>
      </c>
      <c r="X116" s="376">
        <f t="shared" si="56"/>
        <v>164.50500628919178</v>
      </c>
      <c r="Y116" s="376">
        <f t="shared" si="56"/>
        <v>49.143241992681965</v>
      </c>
      <c r="Z116" s="376">
        <f t="shared" si="56"/>
        <v>155.55208708290834</v>
      </c>
      <c r="AA116" s="376">
        <f t="shared" si="56"/>
        <v>107.95846574414261</v>
      </c>
      <c r="AB116" s="376">
        <f t="shared" si="56"/>
        <v>201.62800981834113</v>
      </c>
      <c r="AC116" s="376">
        <f t="shared" si="56"/>
        <v>80.601784145856598</v>
      </c>
      <c r="AD116" s="376">
        <f t="shared" si="56"/>
        <v>210.86264722942866</v>
      </c>
      <c r="AE116" s="376">
        <f t="shared" si="56"/>
        <v>104.09597724249244</v>
      </c>
      <c r="AF116" s="376">
        <f t="shared" si="56"/>
        <v>147.47210920454441</v>
      </c>
      <c r="AG116" s="376">
        <f t="shared" si="56"/>
        <v>197.92779900445751</v>
      </c>
      <c r="AH116" s="376">
        <f t="shared" si="56"/>
        <v>172.94724965791295</v>
      </c>
      <c r="AI116" s="376">
        <f t="shared" si="56"/>
        <v>132.07985762245511</v>
      </c>
      <c r="AJ116" s="376">
        <f t="shared" si="56"/>
        <v>154.26790061372336</v>
      </c>
      <c r="AK116" s="376">
        <f t="shared" si="56"/>
        <v>125.93984633023321</v>
      </c>
      <c r="AL116" s="376">
        <f t="shared" si="56"/>
        <v>153.63146247497153</v>
      </c>
      <c r="AM116" s="376">
        <f t="shared" si="56"/>
        <v>141.86100237819119</v>
      </c>
      <c r="AN116" s="377">
        <f t="shared" si="56"/>
        <v>141.86100237819119</v>
      </c>
    </row>
    <row r="117" spans="1:40">
      <c r="A117" s="154"/>
      <c r="B117" s="347" t="s">
        <v>3</v>
      </c>
      <c r="C117" s="367" t="s">
        <v>190</v>
      </c>
      <c r="D117" s="369">
        <f t="shared" ref="D117:AN117" si="57">D111/D$4</f>
        <v>164.77669611663845</v>
      </c>
      <c r="E117" s="370">
        <f t="shared" si="57"/>
        <v>153.38606268866627</v>
      </c>
      <c r="F117" s="370">
        <f t="shared" si="57"/>
        <v>157.16820865217471</v>
      </c>
      <c r="G117" s="370">
        <f t="shared" si="57"/>
        <v>160.53510237216983</v>
      </c>
      <c r="H117" s="370">
        <f t="shared" si="57"/>
        <v>55.556075975973791</v>
      </c>
      <c r="I117" s="370">
        <f t="shared" si="57"/>
        <v>123.60849098916927</v>
      </c>
      <c r="J117" s="370">
        <f t="shared" si="57"/>
        <v>148.61499736646422</v>
      </c>
      <c r="K117" s="370">
        <f t="shared" si="57"/>
        <v>104.99348397179757</v>
      </c>
      <c r="L117" s="370">
        <f t="shared" si="57"/>
        <v>105.93808940246828</v>
      </c>
      <c r="M117" s="370">
        <f t="shared" si="57"/>
        <v>128.61244273509132</v>
      </c>
      <c r="N117" s="370">
        <f t="shared" si="57"/>
        <v>144.36046532003155</v>
      </c>
      <c r="O117" s="370">
        <f t="shared" si="57"/>
        <v>180.9797793097793</v>
      </c>
      <c r="P117" s="370">
        <f t="shared" si="57"/>
        <v>132.07985762245511</v>
      </c>
      <c r="Q117" s="370">
        <f t="shared" si="57"/>
        <v>137.56191647595571</v>
      </c>
      <c r="R117" s="370">
        <f t="shared" si="57"/>
        <v>151.39219205582344</v>
      </c>
      <c r="S117" s="370">
        <f t="shared" si="57"/>
        <v>139.97614865802444</v>
      </c>
      <c r="T117" s="370">
        <f t="shared" si="57"/>
        <v>122.79276503119262</v>
      </c>
      <c r="U117" s="370">
        <f t="shared" si="57"/>
        <v>110.71027582569437</v>
      </c>
      <c r="V117" s="370">
        <f t="shared" si="57"/>
        <v>159.59746000440097</v>
      </c>
      <c r="W117" s="370">
        <f t="shared" si="57"/>
        <v>176.03992184343878</v>
      </c>
      <c r="X117" s="370">
        <f t="shared" si="57"/>
        <v>164.50500628919178</v>
      </c>
      <c r="Y117" s="370">
        <f t="shared" si="57"/>
        <v>49.142091780840332</v>
      </c>
      <c r="Z117" s="370">
        <f t="shared" si="57"/>
        <v>143.25169069969405</v>
      </c>
      <c r="AA117" s="370">
        <f t="shared" si="57"/>
        <v>107.95846574414261</v>
      </c>
      <c r="AB117" s="370">
        <f t="shared" si="57"/>
        <v>163.43468429507689</v>
      </c>
      <c r="AC117" s="370">
        <f t="shared" si="57"/>
        <v>71.319556949328899</v>
      </c>
      <c r="AD117" s="370">
        <f t="shared" si="57"/>
        <v>190.69454984530478</v>
      </c>
      <c r="AE117" s="370">
        <f t="shared" si="57"/>
        <v>104.09597724249244</v>
      </c>
      <c r="AF117" s="370">
        <f t="shared" si="57"/>
        <v>147.47210920454441</v>
      </c>
      <c r="AG117" s="370">
        <f t="shared" si="57"/>
        <v>169.59014413317766</v>
      </c>
      <c r="AH117" s="370">
        <f t="shared" si="57"/>
        <v>183.44665485948966</v>
      </c>
      <c r="AI117" s="370">
        <f t="shared" si="57"/>
        <v>132.07985762245511</v>
      </c>
      <c r="AJ117" s="370">
        <f t="shared" si="57"/>
        <v>154.26790061372336</v>
      </c>
      <c r="AK117" s="370">
        <f t="shared" si="57"/>
        <v>125.93984633023321</v>
      </c>
      <c r="AL117" s="370">
        <f t="shared" si="57"/>
        <v>153.63146247497153</v>
      </c>
      <c r="AM117" s="370">
        <f t="shared" si="57"/>
        <v>141.86100237819119</v>
      </c>
      <c r="AN117" s="371">
        <f t="shared" si="57"/>
        <v>141.86100237819119</v>
      </c>
    </row>
    <row r="118" spans="1:40">
      <c r="A118" s="154"/>
      <c r="B118" s="347" t="s">
        <v>4</v>
      </c>
      <c r="C118" s="367" t="s">
        <v>190</v>
      </c>
      <c r="D118" s="369">
        <f t="shared" ref="D118:AN118" si="58">D112/D$4</f>
        <v>134.0657497482664</v>
      </c>
      <c r="E118" s="370">
        <f t="shared" si="58"/>
        <v>153.38606268866627</v>
      </c>
      <c r="F118" s="370">
        <f t="shared" si="58"/>
        <v>148.00605524444302</v>
      </c>
      <c r="G118" s="370">
        <f t="shared" si="58"/>
        <v>130.61470079000102</v>
      </c>
      <c r="H118" s="370">
        <f t="shared" si="58"/>
        <v>50.331753673919465</v>
      </c>
      <c r="I118" s="370">
        <f t="shared" si="58"/>
        <v>123.60849098916927</v>
      </c>
      <c r="J118" s="370">
        <f t="shared" si="58"/>
        <v>105.19888770333371</v>
      </c>
      <c r="K118" s="370">
        <f t="shared" si="58"/>
        <v>67.945619100289534</v>
      </c>
      <c r="L118" s="370">
        <f t="shared" si="58"/>
        <v>85.560991940574283</v>
      </c>
      <c r="M118" s="370">
        <f t="shared" si="58"/>
        <v>128.61244273509132</v>
      </c>
      <c r="N118" s="370">
        <f t="shared" si="58"/>
        <v>118.52662441003478</v>
      </c>
      <c r="O118" s="370">
        <f t="shared" si="58"/>
        <v>91.937927299516517</v>
      </c>
      <c r="P118" s="370">
        <f t="shared" si="58"/>
        <v>132.07985762245511</v>
      </c>
      <c r="Q118" s="370">
        <f t="shared" si="58"/>
        <v>127.20010079672616</v>
      </c>
      <c r="R118" s="370">
        <f t="shared" si="58"/>
        <v>133.66783353696351</v>
      </c>
      <c r="S118" s="370">
        <f t="shared" si="58"/>
        <v>139.47058449569309</v>
      </c>
      <c r="T118" s="370">
        <f t="shared" si="58"/>
        <v>100.81854411356123</v>
      </c>
      <c r="U118" s="370">
        <f t="shared" si="58"/>
        <v>106.86481856603218</v>
      </c>
      <c r="V118" s="370">
        <f t="shared" si="58"/>
        <v>105.26749127055228</v>
      </c>
      <c r="W118" s="370">
        <f t="shared" si="58"/>
        <v>91.531309149362144</v>
      </c>
      <c r="X118" s="370">
        <f t="shared" si="58"/>
        <v>155.4225805999348</v>
      </c>
      <c r="Y118" s="370">
        <f t="shared" si="58"/>
        <v>38.811136756406988</v>
      </c>
      <c r="Z118" s="370">
        <f t="shared" si="58"/>
        <v>137.39271403919295</v>
      </c>
      <c r="AA118" s="370">
        <f t="shared" si="58"/>
        <v>74.676550597365136</v>
      </c>
      <c r="AB118" s="370">
        <f t="shared" si="58"/>
        <v>117.29005751958033</v>
      </c>
      <c r="AC118" s="370">
        <f t="shared" si="58"/>
        <v>71.304528715706056</v>
      </c>
      <c r="AD118" s="370">
        <f t="shared" si="58"/>
        <v>190.69454984530478</v>
      </c>
      <c r="AE118" s="370">
        <f t="shared" si="58"/>
        <v>72.004807200151575</v>
      </c>
      <c r="AF118" s="370">
        <f t="shared" si="58"/>
        <v>142.29501547439253</v>
      </c>
      <c r="AG118" s="370">
        <f t="shared" si="58"/>
        <v>169.59014413317766</v>
      </c>
      <c r="AH118" s="370">
        <f t="shared" si="58"/>
        <v>159.24435475532903</v>
      </c>
      <c r="AI118" s="370">
        <f t="shared" si="58"/>
        <v>132.07985762245511</v>
      </c>
      <c r="AJ118" s="370">
        <f t="shared" si="58"/>
        <v>154.26790061372336</v>
      </c>
      <c r="AK118" s="370">
        <f t="shared" si="58"/>
        <v>125.93984633023321</v>
      </c>
      <c r="AL118" s="370">
        <f t="shared" si="58"/>
        <v>144.64066986489217</v>
      </c>
      <c r="AM118" s="370">
        <f t="shared" si="58"/>
        <v>141.86100237819119</v>
      </c>
      <c r="AN118" s="371">
        <f t="shared" si="58"/>
        <v>141.86100237819119</v>
      </c>
    </row>
    <row r="119" spans="1:40">
      <c r="A119" s="154"/>
      <c r="B119" s="347" t="s">
        <v>5</v>
      </c>
      <c r="C119" s="367" t="s">
        <v>190</v>
      </c>
      <c r="D119" s="369">
        <f t="shared" ref="D119:AN119" si="59">D113/D$4</f>
        <v>93.492789457284957</v>
      </c>
      <c r="E119" s="370">
        <f t="shared" si="59"/>
        <v>134.96933410169686</v>
      </c>
      <c r="F119" s="370">
        <f t="shared" si="59"/>
        <v>123.51532273908066</v>
      </c>
      <c r="G119" s="370">
        <f t="shared" si="59"/>
        <v>91.086147982726999</v>
      </c>
      <c r="H119" s="370">
        <f t="shared" si="59"/>
        <v>47.965310844024167</v>
      </c>
      <c r="I119" s="370">
        <f t="shared" si="59"/>
        <v>109.70632130819871</v>
      </c>
      <c r="J119" s="370">
        <f t="shared" si="59"/>
        <v>86.768301603312707</v>
      </c>
      <c r="K119" s="370">
        <f t="shared" si="59"/>
        <v>55.334966836703131</v>
      </c>
      <c r="L119" s="370">
        <f t="shared" si="59"/>
        <v>72.26654136296473</v>
      </c>
      <c r="M119" s="370">
        <f t="shared" si="59"/>
        <v>87.64746921875593</v>
      </c>
      <c r="N119" s="370">
        <f t="shared" si="59"/>
        <v>98.839671986383735</v>
      </c>
      <c r="O119" s="370">
        <f t="shared" si="59"/>
        <v>80.246473257113209</v>
      </c>
      <c r="P119" s="370">
        <f t="shared" si="59"/>
        <v>127.24987754029797</v>
      </c>
      <c r="Q119" s="370">
        <f t="shared" si="59"/>
        <v>127.20010079672616</v>
      </c>
      <c r="R119" s="370">
        <f t="shared" si="59"/>
        <v>98.08632339826795</v>
      </c>
      <c r="S119" s="370">
        <f t="shared" si="59"/>
        <v>99.196857316994638</v>
      </c>
      <c r="T119" s="370">
        <f t="shared" si="59"/>
        <v>84.072856034913741</v>
      </c>
      <c r="U119" s="370">
        <f t="shared" si="59"/>
        <v>84.706664708663567</v>
      </c>
      <c r="V119" s="370">
        <f t="shared" si="59"/>
        <v>105.26749127055228</v>
      </c>
      <c r="W119" s="370">
        <f t="shared" si="59"/>
        <v>86.529677131435022</v>
      </c>
      <c r="X119" s="370">
        <f t="shared" si="59"/>
        <v>94.64491161565482</v>
      </c>
      <c r="Y119" s="370">
        <f t="shared" si="59"/>
        <v>34.608092030316747</v>
      </c>
      <c r="Z119" s="370">
        <f t="shared" si="59"/>
        <v>83.614843350919614</v>
      </c>
      <c r="AA119" s="370">
        <f t="shared" si="59"/>
        <v>74.676550597365136</v>
      </c>
      <c r="AB119" s="370">
        <f t="shared" si="59"/>
        <v>117.29005751958033</v>
      </c>
      <c r="AC119" s="370">
        <f t="shared" si="59"/>
        <v>69.01596949066726</v>
      </c>
      <c r="AD119" s="370">
        <f t="shared" si="59"/>
        <v>159.01803830253559</v>
      </c>
      <c r="AE119" s="370">
        <f t="shared" si="59"/>
        <v>72.004807200151575</v>
      </c>
      <c r="AF119" s="370">
        <f t="shared" si="59"/>
        <v>108.57843765866373</v>
      </c>
      <c r="AG119" s="370">
        <f t="shared" si="59"/>
        <v>155.49911635663111</v>
      </c>
      <c r="AH119" s="370">
        <f t="shared" si="59"/>
        <v>86.271567403203193</v>
      </c>
      <c r="AI119" s="370">
        <f t="shared" si="59"/>
        <v>127.24987754029797</v>
      </c>
      <c r="AJ119" s="370">
        <f t="shared" si="59"/>
        <v>136.80756877254208</v>
      </c>
      <c r="AK119" s="370">
        <f t="shared" si="59"/>
        <v>111.74206968923625</v>
      </c>
      <c r="AL119" s="370">
        <f t="shared" si="59"/>
        <v>120.56226510233058</v>
      </c>
      <c r="AM119" s="370">
        <f t="shared" si="59"/>
        <v>125.80490667071204</v>
      </c>
      <c r="AN119" s="371">
        <f t="shared" si="59"/>
        <v>125.80490667071204</v>
      </c>
    </row>
    <row r="120" spans="1:40">
      <c r="A120" s="154"/>
      <c r="B120" s="347" t="s">
        <v>6</v>
      </c>
      <c r="C120" s="367" t="s">
        <v>190</v>
      </c>
      <c r="D120" s="369">
        <f t="shared" ref="D120:AN120" si="60">D114/D$4</f>
        <v>79.252033079151346</v>
      </c>
      <c r="E120" s="370">
        <f t="shared" si="60"/>
        <v>134.96933410169686</v>
      </c>
      <c r="F120" s="370">
        <f t="shared" si="60"/>
        <v>101.79084360309469</v>
      </c>
      <c r="G120" s="370">
        <f t="shared" si="60"/>
        <v>77.211969552771393</v>
      </c>
      <c r="H120" s="370">
        <f t="shared" si="60"/>
        <v>47.965310844024167</v>
      </c>
      <c r="I120" s="370">
        <f t="shared" si="60"/>
        <v>83.314503154756252</v>
      </c>
      <c r="J120" s="370">
        <f t="shared" si="60"/>
        <v>52.69113291664079</v>
      </c>
      <c r="K120" s="370">
        <f t="shared" si="60"/>
        <v>55.334966836703131</v>
      </c>
      <c r="L120" s="370">
        <f t="shared" si="60"/>
        <v>64.241529766991931</v>
      </c>
      <c r="M120" s="370">
        <f t="shared" si="60"/>
        <v>87.64746921875593</v>
      </c>
      <c r="N120" s="370">
        <f t="shared" si="60"/>
        <v>97.484687303783431</v>
      </c>
      <c r="O120" s="370">
        <f t="shared" si="60"/>
        <v>48.135927913213813</v>
      </c>
      <c r="P120" s="370">
        <f t="shared" si="60"/>
        <v>127.24987754029797</v>
      </c>
      <c r="Q120" s="370">
        <f t="shared" si="60"/>
        <v>93.897687077551453</v>
      </c>
      <c r="R120" s="370">
        <f t="shared" si="60"/>
        <v>98.08632339826795</v>
      </c>
      <c r="S120" s="370">
        <f t="shared" si="60"/>
        <v>80.573623254490812</v>
      </c>
      <c r="T120" s="370">
        <f t="shared" si="60"/>
        <v>82.920308380107087</v>
      </c>
      <c r="U120" s="370">
        <f t="shared" si="60"/>
        <v>78.939576584100934</v>
      </c>
      <c r="V120" s="370">
        <f t="shared" si="60"/>
        <v>105.26749127055228</v>
      </c>
      <c r="W120" s="370">
        <f t="shared" si="60"/>
        <v>77.228877954541218</v>
      </c>
      <c r="X120" s="370">
        <f t="shared" si="60"/>
        <v>94.390254356401684</v>
      </c>
      <c r="Y120" s="370">
        <f t="shared" si="60"/>
        <v>34.595892160319458</v>
      </c>
      <c r="Z120" s="370">
        <f t="shared" si="60"/>
        <v>77.16676447332604</v>
      </c>
      <c r="AA120" s="370">
        <f t="shared" si="60"/>
        <v>64.950658949185836</v>
      </c>
      <c r="AB120" s="370">
        <f t="shared" si="60"/>
        <v>117.29005751958033</v>
      </c>
      <c r="AC120" s="370">
        <f t="shared" si="60"/>
        <v>63.378897750426091</v>
      </c>
      <c r="AD120" s="370">
        <f t="shared" si="60"/>
        <v>159.01803830253559</v>
      </c>
      <c r="AE120" s="370">
        <f t="shared" si="60"/>
        <v>62.626884045229851</v>
      </c>
      <c r="AF120" s="370">
        <f t="shared" si="60"/>
        <v>80.097333481082245</v>
      </c>
      <c r="AG120" s="370">
        <f t="shared" si="60"/>
        <v>147.9078745257583</v>
      </c>
      <c r="AH120" s="370">
        <f t="shared" si="60"/>
        <v>73.67730197985766</v>
      </c>
      <c r="AI120" s="370">
        <f t="shared" si="60"/>
        <v>127.24987754029797</v>
      </c>
      <c r="AJ120" s="370">
        <f t="shared" si="60"/>
        <v>129.89307846788628</v>
      </c>
      <c r="AK120" s="370">
        <f t="shared" si="60"/>
        <v>106.13671903620551</v>
      </c>
      <c r="AL120" s="370">
        <f t="shared" si="60"/>
        <v>99.22597760425289</v>
      </c>
      <c r="AM120" s="370">
        <f t="shared" si="60"/>
        <v>119.44650987105082</v>
      </c>
      <c r="AN120" s="371">
        <f t="shared" si="60"/>
        <v>119.44650987105082</v>
      </c>
    </row>
    <row r="121" spans="1:40">
      <c r="A121" s="155"/>
      <c r="B121" s="338" t="s">
        <v>7</v>
      </c>
      <c r="C121" s="368" t="s">
        <v>190</v>
      </c>
      <c r="D121" s="378">
        <f t="shared" ref="D121:AN121" si="61">D115/D$4</f>
        <v>71.474437745331741</v>
      </c>
      <c r="E121" s="379">
        <f t="shared" si="61"/>
        <v>84.383037710670905</v>
      </c>
      <c r="F121" s="379">
        <f t="shared" si="61"/>
        <v>67.532094558581079</v>
      </c>
      <c r="G121" s="379">
        <f t="shared" si="61"/>
        <v>69.634580925921966</v>
      </c>
      <c r="H121" s="379">
        <f t="shared" si="61"/>
        <v>35.619002353324049</v>
      </c>
      <c r="I121" s="379">
        <f t="shared" si="61"/>
        <v>70.877532000985425</v>
      </c>
      <c r="J121" s="379">
        <f t="shared" si="61"/>
        <v>57.985529141790785</v>
      </c>
      <c r="K121" s="379">
        <f t="shared" si="61"/>
        <v>42.767840696932133</v>
      </c>
      <c r="L121" s="379">
        <f t="shared" si="61"/>
        <v>64.241529766991931</v>
      </c>
      <c r="M121" s="379">
        <f t="shared" si="61"/>
        <v>57.164105464810255</v>
      </c>
      <c r="N121" s="379">
        <f t="shared" si="61"/>
        <v>91.327988028095135</v>
      </c>
      <c r="O121" s="379">
        <f t="shared" si="61"/>
        <v>46.931378546387222</v>
      </c>
      <c r="P121" s="379">
        <f t="shared" si="61"/>
        <v>47.150912369416581</v>
      </c>
      <c r="Q121" s="379">
        <f t="shared" si="61"/>
        <v>61.385707597945654</v>
      </c>
      <c r="R121" s="379">
        <f t="shared" si="61"/>
        <v>66.30731366714565</v>
      </c>
      <c r="S121" s="379">
        <f t="shared" si="61"/>
        <v>48.647877997770678</v>
      </c>
      <c r="T121" s="379">
        <f t="shared" si="61"/>
        <v>77.683430500478877</v>
      </c>
      <c r="U121" s="379">
        <f t="shared" si="61"/>
        <v>78.939576584100934</v>
      </c>
      <c r="V121" s="379">
        <f t="shared" si="61"/>
        <v>61.071216747567071</v>
      </c>
      <c r="W121" s="379">
        <f t="shared" si="61"/>
        <v>63.645650858440845</v>
      </c>
      <c r="X121" s="379">
        <f t="shared" si="61"/>
        <v>59.479937206117036</v>
      </c>
      <c r="Y121" s="379">
        <f t="shared" si="61"/>
        <v>32.480919194950509</v>
      </c>
      <c r="Z121" s="379">
        <f t="shared" si="61"/>
        <v>57.009297296857937</v>
      </c>
      <c r="AA121" s="379">
        <f t="shared" si="61"/>
        <v>64.950658949185836</v>
      </c>
      <c r="AB121" s="379">
        <f t="shared" si="61"/>
        <v>84.325589892354529</v>
      </c>
      <c r="AC121" s="379">
        <f t="shared" si="61"/>
        <v>45.142043188062978</v>
      </c>
      <c r="AD121" s="379">
        <f t="shared" si="61"/>
        <v>131.09668301554123</v>
      </c>
      <c r="AE121" s="379">
        <f t="shared" si="61"/>
        <v>62.626884045229851</v>
      </c>
      <c r="AF121" s="379">
        <f t="shared" si="61"/>
        <v>47.368858392469114</v>
      </c>
      <c r="AG121" s="379">
        <f t="shared" si="61"/>
        <v>94.319811613551039</v>
      </c>
      <c r="AH121" s="379">
        <f t="shared" si="61"/>
        <v>63.116825607201662</v>
      </c>
      <c r="AI121" s="379">
        <f t="shared" si="61"/>
        <v>47.150912369416581</v>
      </c>
      <c r="AJ121" s="379">
        <f t="shared" si="61"/>
        <v>116.01568589773557</v>
      </c>
      <c r="AK121" s="379">
        <f t="shared" si="61"/>
        <v>94.903751857299483</v>
      </c>
      <c r="AL121" s="379">
        <f t="shared" si="61"/>
        <v>65.809954542376701</v>
      </c>
      <c r="AM121" s="379">
        <f t="shared" si="61"/>
        <v>106.68519781218873</v>
      </c>
      <c r="AN121" s="380">
        <f t="shared" si="61"/>
        <v>106.68519781218873</v>
      </c>
    </row>
    <row r="122" spans="1:40">
      <c r="A122" s="151" t="s">
        <v>285</v>
      </c>
      <c r="B122" s="141" t="s">
        <v>2</v>
      </c>
      <c r="C122" s="144" t="s">
        <v>148</v>
      </c>
      <c r="D122" s="381">
        <f t="shared" ref="D122:AN122" si="62">1-(D116/D$47)</f>
        <v>0.1829076511291986</v>
      </c>
      <c r="E122" s="382">
        <f t="shared" si="62"/>
        <v>0.295920999729678</v>
      </c>
      <c r="F122" s="382">
        <f t="shared" si="62"/>
        <v>0.23943797346602802</v>
      </c>
      <c r="G122" s="382">
        <f t="shared" si="62"/>
        <v>0.18290765112919871</v>
      </c>
      <c r="H122" s="382">
        <f t="shared" si="62"/>
        <v>0.27558905920950116</v>
      </c>
      <c r="I122" s="382">
        <f t="shared" si="62"/>
        <v>0.25917119335153527</v>
      </c>
      <c r="J122" s="382">
        <f t="shared" si="62"/>
        <v>0.29297440603526359</v>
      </c>
      <c r="K122" s="382">
        <f t="shared" si="62"/>
        <v>0.20007524412876609</v>
      </c>
      <c r="L122" s="382">
        <f t="shared" si="62"/>
        <v>0.24405078665680524</v>
      </c>
      <c r="M122" s="382">
        <f t="shared" si="62"/>
        <v>0.24967221725197486</v>
      </c>
      <c r="N122" s="382">
        <f t="shared" si="62"/>
        <v>0.23424011141066181</v>
      </c>
      <c r="O122" s="382">
        <f t="shared" si="62"/>
        <v>0.26640540329047502</v>
      </c>
      <c r="P122" s="382">
        <f t="shared" si="62"/>
        <v>0.26538961176488218</v>
      </c>
      <c r="Q122" s="382">
        <f t="shared" si="62"/>
        <v>0.34616037530633925</v>
      </c>
      <c r="R122" s="382">
        <f t="shared" si="62"/>
        <v>0.21834591306019924</v>
      </c>
      <c r="S122" s="382">
        <f t="shared" si="62"/>
        <v>0.35789611071308147</v>
      </c>
      <c r="T122" s="382">
        <f t="shared" si="62"/>
        <v>0.23424011141066203</v>
      </c>
      <c r="U122" s="382">
        <f t="shared" si="62"/>
        <v>0.31980286803064639</v>
      </c>
      <c r="V122" s="382">
        <f t="shared" si="62"/>
        <v>0.21550432769876393</v>
      </c>
      <c r="W122" s="382">
        <f t="shared" si="62"/>
        <v>0.34587894837737188</v>
      </c>
      <c r="X122" s="382">
        <f t="shared" si="62"/>
        <v>0.28934633693854273</v>
      </c>
      <c r="Y122" s="382">
        <f t="shared" si="62"/>
        <v>0.24680140382762772</v>
      </c>
      <c r="Z122" s="382">
        <f t="shared" si="62"/>
        <v>0.33035205766187836</v>
      </c>
      <c r="AA122" s="382">
        <f t="shared" si="62"/>
        <v>0.3175765479452316</v>
      </c>
      <c r="AB122" s="382">
        <f t="shared" si="62"/>
        <v>0.29202719795693866</v>
      </c>
      <c r="AC122" s="382">
        <f t="shared" si="62"/>
        <v>0.32743086510835562</v>
      </c>
      <c r="AD122" s="382">
        <f t="shared" si="62"/>
        <v>0.20646174459244915</v>
      </c>
      <c r="AE122" s="382">
        <f t="shared" si="62"/>
        <v>0.3175765479452316</v>
      </c>
      <c r="AF122" s="382">
        <f t="shared" si="62"/>
        <v>0.22604195857350073</v>
      </c>
      <c r="AG122" s="382">
        <f t="shared" si="62"/>
        <v>0.2941949465360576</v>
      </c>
      <c r="AH122" s="382">
        <f t="shared" si="62"/>
        <v>0.34864978677224601</v>
      </c>
      <c r="AI122" s="382">
        <f t="shared" si="62"/>
        <v>0.26538961176488218</v>
      </c>
      <c r="AJ122" s="382">
        <f t="shared" si="62"/>
        <v>0.26462459282349171</v>
      </c>
      <c r="AK122" s="382">
        <f t="shared" si="62"/>
        <v>0.25191768368165224</v>
      </c>
      <c r="AL122" s="382">
        <f t="shared" si="62"/>
        <v>0.23633538993453762</v>
      </c>
      <c r="AM122" s="382">
        <f t="shared" si="62"/>
        <v>0.26462459282349171</v>
      </c>
      <c r="AN122" s="383">
        <f t="shared" si="62"/>
        <v>0.26462459282349171</v>
      </c>
    </row>
    <row r="123" spans="1:40">
      <c r="A123" s="129"/>
      <c r="B123" s="142" t="s">
        <v>3</v>
      </c>
      <c r="C123" s="131" t="s">
        <v>148</v>
      </c>
      <c r="D123" s="384">
        <f t="shared" ref="D123:AN123" si="63">1-(D117/D$48)</f>
        <v>0.17694407781743948</v>
      </c>
      <c r="E123" s="385">
        <f t="shared" si="63"/>
        <v>0.295920999729678</v>
      </c>
      <c r="F123" s="385">
        <f t="shared" si="63"/>
        <v>0.23943797346602802</v>
      </c>
      <c r="G123" s="385">
        <f t="shared" si="63"/>
        <v>0.17694407781743982</v>
      </c>
      <c r="H123" s="385">
        <f t="shared" si="63"/>
        <v>0.29642509727413779</v>
      </c>
      <c r="I123" s="385">
        <f t="shared" si="63"/>
        <v>0.24980469688816631</v>
      </c>
      <c r="J123" s="385">
        <f t="shared" si="63"/>
        <v>0.29681253957921594</v>
      </c>
      <c r="K123" s="385">
        <f t="shared" si="63"/>
        <v>0.19278907724911021</v>
      </c>
      <c r="L123" s="385">
        <f t="shared" si="63"/>
        <v>0.24405078665680524</v>
      </c>
      <c r="M123" s="385">
        <f t="shared" si="63"/>
        <v>0.24980958390793973</v>
      </c>
      <c r="N123" s="385">
        <f t="shared" si="63"/>
        <v>0.25334368027412468</v>
      </c>
      <c r="O123" s="385">
        <f t="shared" si="63"/>
        <v>0.26640540329047502</v>
      </c>
      <c r="P123" s="385">
        <f t="shared" si="63"/>
        <v>0.26538961176488218</v>
      </c>
      <c r="Q123" s="385">
        <f t="shared" si="63"/>
        <v>0.32606977044656427</v>
      </c>
      <c r="R123" s="385">
        <f t="shared" si="63"/>
        <v>0.21834591306019924</v>
      </c>
      <c r="S123" s="385">
        <f t="shared" si="63"/>
        <v>0.36594982277092891</v>
      </c>
      <c r="T123" s="385">
        <f t="shared" si="63"/>
        <v>0.25334368027412513</v>
      </c>
      <c r="U123" s="385">
        <f t="shared" si="63"/>
        <v>0.32999513891668353</v>
      </c>
      <c r="V123" s="385">
        <f t="shared" si="63"/>
        <v>0.21550432769876393</v>
      </c>
      <c r="W123" s="385">
        <f t="shared" si="63"/>
        <v>0.24452177966979216</v>
      </c>
      <c r="X123" s="385">
        <f t="shared" si="63"/>
        <v>0.27949788034675427</v>
      </c>
      <c r="Y123" s="385">
        <f t="shared" si="63"/>
        <v>0.24590045182434117</v>
      </c>
      <c r="Z123" s="385">
        <f t="shared" si="63"/>
        <v>0.24823746436592109</v>
      </c>
      <c r="AA123" s="385">
        <f t="shared" si="63"/>
        <v>0.31452470087849693</v>
      </c>
      <c r="AB123" s="385">
        <f t="shared" si="63"/>
        <v>0.21960356399755276</v>
      </c>
      <c r="AC123" s="385">
        <f t="shared" si="63"/>
        <v>0.3505682174285476</v>
      </c>
      <c r="AD123" s="385">
        <f t="shared" si="63"/>
        <v>0.214708189915082</v>
      </c>
      <c r="AE123" s="385">
        <f t="shared" si="63"/>
        <v>0.31452470087849715</v>
      </c>
      <c r="AF123" s="385">
        <f t="shared" si="63"/>
        <v>0.22604195857350073</v>
      </c>
      <c r="AG123" s="385">
        <f t="shared" si="63"/>
        <v>0.29786368672799957</v>
      </c>
      <c r="AH123" s="385">
        <f t="shared" si="63"/>
        <v>0.33852512982650407</v>
      </c>
      <c r="AI123" s="385">
        <f t="shared" si="63"/>
        <v>0.26538961176488218</v>
      </c>
      <c r="AJ123" s="385">
        <f t="shared" si="63"/>
        <v>0.26462459282349171</v>
      </c>
      <c r="AK123" s="385">
        <f t="shared" si="63"/>
        <v>0.25191768368165224</v>
      </c>
      <c r="AL123" s="385">
        <f t="shared" si="63"/>
        <v>0.23633538993453762</v>
      </c>
      <c r="AM123" s="385">
        <f t="shared" si="63"/>
        <v>0.26462459282349171</v>
      </c>
      <c r="AN123" s="386">
        <f t="shared" si="63"/>
        <v>0.26462459282349171</v>
      </c>
    </row>
    <row r="124" spans="1:40">
      <c r="A124" s="129"/>
      <c r="B124" s="142" t="s">
        <v>4</v>
      </c>
      <c r="C124" s="131" t="s">
        <v>148</v>
      </c>
      <c r="D124" s="384">
        <f t="shared" ref="D124:AN124" si="64">1-(D118/D$49)</f>
        <v>0.16620481933998976</v>
      </c>
      <c r="E124" s="385">
        <f t="shared" si="64"/>
        <v>0.295920999729678</v>
      </c>
      <c r="F124" s="385">
        <f t="shared" si="64"/>
        <v>0.24508266308887894</v>
      </c>
      <c r="G124" s="385">
        <f t="shared" si="64"/>
        <v>0.16620481933998976</v>
      </c>
      <c r="H124" s="385">
        <f t="shared" si="64"/>
        <v>0.38975533546987962</v>
      </c>
      <c r="I124" s="385">
        <f t="shared" si="64"/>
        <v>0.24980469688816631</v>
      </c>
      <c r="J124" s="385">
        <f t="shared" si="64"/>
        <v>0.2532037505521787</v>
      </c>
      <c r="K124" s="385">
        <f t="shared" si="64"/>
        <v>0.26212227972015856</v>
      </c>
      <c r="L124" s="385">
        <f t="shared" si="64"/>
        <v>0.26987291169586503</v>
      </c>
      <c r="M124" s="385">
        <f t="shared" si="64"/>
        <v>0.24980958390793973</v>
      </c>
      <c r="N124" s="385">
        <f t="shared" si="64"/>
        <v>0.26690349598423146</v>
      </c>
      <c r="O124" s="385">
        <f t="shared" si="64"/>
        <v>0.24698613328690067</v>
      </c>
      <c r="P124" s="385">
        <f t="shared" si="64"/>
        <v>0.26538961176488218</v>
      </c>
      <c r="Q124" s="385">
        <f t="shared" si="64"/>
        <v>0.28167415256416095</v>
      </c>
      <c r="R124" s="385">
        <f t="shared" si="64"/>
        <v>0.2155506935045165</v>
      </c>
      <c r="S124" s="385">
        <f t="shared" si="64"/>
        <v>0.27662865725908847</v>
      </c>
      <c r="T124" s="385">
        <f t="shared" si="64"/>
        <v>0.26690349598423146</v>
      </c>
      <c r="U124" s="385">
        <f t="shared" si="64"/>
        <v>0.3129304347503975</v>
      </c>
      <c r="V124" s="385">
        <f t="shared" si="64"/>
        <v>0.21959520923411635</v>
      </c>
      <c r="W124" s="385">
        <f t="shared" si="64"/>
        <v>0.32425480647609506</v>
      </c>
      <c r="X124" s="385">
        <f t="shared" si="64"/>
        <v>0.27147524209372664</v>
      </c>
      <c r="Y124" s="385">
        <f t="shared" si="64"/>
        <v>0.2999490729601022</v>
      </c>
      <c r="Z124" s="385">
        <f t="shared" si="64"/>
        <v>0.25738397060507023</v>
      </c>
      <c r="AA124" s="385">
        <f t="shared" si="64"/>
        <v>0.35253344362372641</v>
      </c>
      <c r="AB124" s="385">
        <f t="shared" si="64"/>
        <v>0.23257922701618239</v>
      </c>
      <c r="AC124" s="385">
        <f t="shared" si="64"/>
        <v>0.33969246987063118</v>
      </c>
      <c r="AD124" s="385">
        <f t="shared" si="64"/>
        <v>0.214708189915082</v>
      </c>
      <c r="AE124" s="385">
        <f t="shared" si="64"/>
        <v>0.35253344362372652</v>
      </c>
      <c r="AF124" s="385">
        <f t="shared" si="64"/>
        <v>0.18940063140486108</v>
      </c>
      <c r="AG124" s="385">
        <f t="shared" si="64"/>
        <v>0.29786368672799957</v>
      </c>
      <c r="AH124" s="385">
        <f t="shared" si="64"/>
        <v>0.28251006910947585</v>
      </c>
      <c r="AI124" s="385">
        <f t="shared" si="64"/>
        <v>0.26538961176488218</v>
      </c>
      <c r="AJ124" s="385">
        <f t="shared" si="64"/>
        <v>0.26462459282349171</v>
      </c>
      <c r="AK124" s="385">
        <f t="shared" si="64"/>
        <v>0.25191768368165224</v>
      </c>
      <c r="AL124" s="385">
        <f t="shared" si="64"/>
        <v>0.24165027493923141</v>
      </c>
      <c r="AM124" s="385">
        <f t="shared" si="64"/>
        <v>0.26462459282349171</v>
      </c>
      <c r="AN124" s="386">
        <f t="shared" si="64"/>
        <v>0.26462459282349171</v>
      </c>
    </row>
    <row r="125" spans="1:40">
      <c r="A125" s="129"/>
      <c r="B125" s="142" t="s">
        <v>5</v>
      </c>
      <c r="C125" s="131" t="s">
        <v>148</v>
      </c>
      <c r="D125" s="384">
        <f t="shared" ref="D125:AN125" si="65">1-(D119/D$50)</f>
        <v>0.16705963053040096</v>
      </c>
      <c r="E125" s="385">
        <f t="shared" si="65"/>
        <v>0.27488645146339896</v>
      </c>
      <c r="F125" s="385">
        <f t="shared" si="65"/>
        <v>0.2801851447220679</v>
      </c>
      <c r="G125" s="385">
        <f t="shared" si="65"/>
        <v>0.16705963053040085</v>
      </c>
      <c r="H125" s="385">
        <f t="shared" si="65"/>
        <v>0.40288490044956893</v>
      </c>
      <c r="I125" s="385">
        <f t="shared" si="65"/>
        <v>0.2639480102887638</v>
      </c>
      <c r="J125" s="385">
        <f t="shared" si="65"/>
        <v>0.23987298698267234</v>
      </c>
      <c r="K125" s="385">
        <f t="shared" si="65"/>
        <v>0.29358472158446813</v>
      </c>
      <c r="L125" s="385">
        <f t="shared" si="65"/>
        <v>0.1724381994283728</v>
      </c>
      <c r="M125" s="385">
        <f t="shared" si="65"/>
        <v>0.23491599328325397</v>
      </c>
      <c r="N125" s="385">
        <f t="shared" si="65"/>
        <v>0.25750433199204426</v>
      </c>
      <c r="O125" s="385">
        <f t="shared" si="65"/>
        <v>0.23385294197667883</v>
      </c>
      <c r="P125" s="385">
        <f t="shared" si="65"/>
        <v>0.27388006333410597</v>
      </c>
      <c r="Q125" s="385">
        <f t="shared" si="65"/>
        <v>0.28167415256416095</v>
      </c>
      <c r="R125" s="385">
        <f t="shared" si="65"/>
        <v>0.24624570875125296</v>
      </c>
      <c r="S125" s="385">
        <f t="shared" si="65"/>
        <v>0.24109577161740026</v>
      </c>
      <c r="T125" s="385">
        <f t="shared" si="65"/>
        <v>0.25750433199204426</v>
      </c>
      <c r="U125" s="385">
        <f t="shared" si="65"/>
        <v>0.29408026803620246</v>
      </c>
      <c r="V125" s="385">
        <f t="shared" si="65"/>
        <v>0.21959520923411635</v>
      </c>
      <c r="W125" s="385">
        <f t="shared" si="65"/>
        <v>0.22509534934967546</v>
      </c>
      <c r="X125" s="385">
        <f t="shared" si="65"/>
        <v>0.26053931705935873</v>
      </c>
      <c r="Y125" s="385">
        <f t="shared" si="65"/>
        <v>0.32836795637649296</v>
      </c>
      <c r="Z125" s="385">
        <f t="shared" si="65"/>
        <v>0.31313804771158726</v>
      </c>
      <c r="AA125" s="385">
        <f t="shared" si="65"/>
        <v>0.34256855628127802</v>
      </c>
      <c r="AB125" s="385">
        <f t="shared" si="65"/>
        <v>0.23257922701618239</v>
      </c>
      <c r="AC125" s="385">
        <f t="shared" si="65"/>
        <v>0.3447283166072499</v>
      </c>
      <c r="AD125" s="385">
        <f t="shared" si="65"/>
        <v>0.23907971379810955</v>
      </c>
      <c r="AE125" s="385">
        <f t="shared" si="65"/>
        <v>0.34256855628127802</v>
      </c>
      <c r="AF125" s="385">
        <f t="shared" si="65"/>
        <v>0.19659471214045254</v>
      </c>
      <c r="AG125" s="385">
        <f t="shared" si="65"/>
        <v>0.24448014081486502</v>
      </c>
      <c r="AH125" s="385">
        <f t="shared" si="65"/>
        <v>0.38218840620190786</v>
      </c>
      <c r="AI125" s="385">
        <f t="shared" si="65"/>
        <v>0.27388006333410597</v>
      </c>
      <c r="AJ125" s="385">
        <f t="shared" si="65"/>
        <v>0.25970229439069759</v>
      </c>
      <c r="AK125" s="385">
        <f t="shared" si="65"/>
        <v>0.24085338551574342</v>
      </c>
      <c r="AL125" s="385">
        <f t="shared" si="65"/>
        <v>0.27646250218385615</v>
      </c>
      <c r="AM125" s="385">
        <f t="shared" si="65"/>
        <v>0.2597022943906977</v>
      </c>
      <c r="AN125" s="386">
        <f t="shared" si="65"/>
        <v>0.2597022943906977</v>
      </c>
    </row>
    <row r="126" spans="1:40">
      <c r="A126" s="129"/>
      <c r="B126" s="142" t="s">
        <v>6</v>
      </c>
      <c r="C126" s="131" t="s">
        <v>148</v>
      </c>
      <c r="D126" s="384">
        <f t="shared" ref="D126:AN126" si="66">1-(D120/D$51)</f>
        <v>0.17544472218611362</v>
      </c>
      <c r="E126" s="385">
        <f t="shared" si="66"/>
        <v>0.27488645146339896</v>
      </c>
      <c r="F126" s="385">
        <f t="shared" si="66"/>
        <v>0.27398171839410823</v>
      </c>
      <c r="G126" s="385">
        <f t="shared" si="66"/>
        <v>0.17544472218611373</v>
      </c>
      <c r="H126" s="385">
        <f t="shared" si="66"/>
        <v>0.30345252980858495</v>
      </c>
      <c r="I126" s="385">
        <f t="shared" si="66"/>
        <v>0.27487364987643415</v>
      </c>
      <c r="J126" s="385">
        <f t="shared" si="66"/>
        <v>0.22568705638170028</v>
      </c>
      <c r="K126" s="385">
        <f t="shared" si="66"/>
        <v>0.29358472158446813</v>
      </c>
      <c r="L126" s="385">
        <f t="shared" si="66"/>
        <v>0.1618674354538765</v>
      </c>
      <c r="M126" s="385">
        <f t="shared" si="66"/>
        <v>0.23491599328325397</v>
      </c>
      <c r="N126" s="385">
        <f t="shared" si="66"/>
        <v>0.25951233308101829</v>
      </c>
      <c r="O126" s="385">
        <f t="shared" si="66"/>
        <v>0.227363799316736</v>
      </c>
      <c r="P126" s="385">
        <f t="shared" si="66"/>
        <v>0.27388006333410597</v>
      </c>
      <c r="Q126" s="385">
        <f t="shared" si="66"/>
        <v>0.27202265947807824</v>
      </c>
      <c r="R126" s="385">
        <f t="shared" si="66"/>
        <v>0.24624570875125296</v>
      </c>
      <c r="S126" s="385">
        <f t="shared" si="66"/>
        <v>0.28784519579531975</v>
      </c>
      <c r="T126" s="385">
        <f t="shared" si="66"/>
        <v>0.25951233308101807</v>
      </c>
      <c r="U126" s="385">
        <f t="shared" si="66"/>
        <v>0.29306308088810729</v>
      </c>
      <c r="V126" s="385">
        <f t="shared" si="66"/>
        <v>0.21959520923411635</v>
      </c>
      <c r="W126" s="385">
        <f t="shared" si="66"/>
        <v>0.19121524652375821</v>
      </c>
      <c r="X126" s="385">
        <f t="shared" si="66"/>
        <v>0.25165504012025441</v>
      </c>
      <c r="Y126" s="385">
        <f t="shared" si="66"/>
        <v>0.31869340575799132</v>
      </c>
      <c r="Z126" s="385">
        <f t="shared" si="66"/>
        <v>0.29220760289039638</v>
      </c>
      <c r="AA126" s="385">
        <f t="shared" si="66"/>
        <v>0.37340403237326891</v>
      </c>
      <c r="AB126" s="385">
        <f t="shared" si="66"/>
        <v>0.23257922701618239</v>
      </c>
      <c r="AC126" s="385">
        <f t="shared" si="66"/>
        <v>0.35278122837138393</v>
      </c>
      <c r="AD126" s="385">
        <f t="shared" si="66"/>
        <v>0.23907971379810955</v>
      </c>
      <c r="AE126" s="385">
        <f t="shared" si="66"/>
        <v>0.37340403237326891</v>
      </c>
      <c r="AF126" s="385">
        <f t="shared" si="66"/>
        <v>0.19723336701332217</v>
      </c>
      <c r="AG126" s="385">
        <f t="shared" si="66"/>
        <v>0.22098135073680725</v>
      </c>
      <c r="AH126" s="385">
        <f t="shared" si="66"/>
        <v>0.28452171806477944</v>
      </c>
      <c r="AI126" s="385">
        <f t="shared" si="66"/>
        <v>0.27388006333410597</v>
      </c>
      <c r="AJ126" s="385">
        <f t="shared" si="66"/>
        <v>0.26486170664950281</v>
      </c>
      <c r="AK126" s="385">
        <f t="shared" si="66"/>
        <v>0.24246523763129657</v>
      </c>
      <c r="AL126" s="385">
        <f t="shared" si="66"/>
        <v>0.26777623010540141</v>
      </c>
      <c r="AM126" s="385">
        <f t="shared" si="66"/>
        <v>0.26486170664950281</v>
      </c>
      <c r="AN126" s="386">
        <f t="shared" si="66"/>
        <v>0.26486170664950281</v>
      </c>
    </row>
    <row r="127" spans="1:40">
      <c r="A127" s="121"/>
      <c r="B127" s="374" t="s">
        <v>7</v>
      </c>
      <c r="C127" s="122" t="s">
        <v>148</v>
      </c>
      <c r="D127" s="191">
        <f t="shared" ref="D127:AN127" si="67">1-(D121/D$52)</f>
        <v>0.16379399861243726</v>
      </c>
      <c r="E127" s="387">
        <f t="shared" si="67"/>
        <v>0.24455558247555176</v>
      </c>
      <c r="F127" s="387">
        <f t="shared" si="67"/>
        <v>0.30826237565712933</v>
      </c>
      <c r="G127" s="387">
        <f t="shared" si="67"/>
        <v>0.16379399861243737</v>
      </c>
      <c r="H127" s="387">
        <f t="shared" si="67"/>
        <v>0.41215861704052026</v>
      </c>
      <c r="I127" s="387">
        <f t="shared" si="67"/>
        <v>0.21595254387583596</v>
      </c>
      <c r="J127" s="387">
        <f t="shared" si="67"/>
        <v>0.20903583630822054</v>
      </c>
      <c r="K127" s="387">
        <f t="shared" si="67"/>
        <v>0.25217017805179853</v>
      </c>
      <c r="L127" s="387">
        <f t="shared" si="67"/>
        <v>0.1618674354538765</v>
      </c>
      <c r="M127" s="387">
        <f t="shared" si="67"/>
        <v>0.27023375629226221</v>
      </c>
      <c r="N127" s="387">
        <f t="shared" si="67"/>
        <v>0.22564766029463312</v>
      </c>
      <c r="O127" s="387">
        <f t="shared" si="67"/>
        <v>0.22114424238097663</v>
      </c>
      <c r="P127" s="387">
        <f t="shared" si="67"/>
        <v>0.33569650479173208</v>
      </c>
      <c r="Q127" s="387">
        <f t="shared" si="67"/>
        <v>0.25509941675926495</v>
      </c>
      <c r="R127" s="387">
        <f t="shared" si="67"/>
        <v>0.17607043716020387</v>
      </c>
      <c r="S127" s="387">
        <f t="shared" si="67"/>
        <v>0.33372573411924467</v>
      </c>
      <c r="T127" s="387">
        <f t="shared" si="67"/>
        <v>0.22564766029463312</v>
      </c>
      <c r="U127" s="387">
        <f t="shared" si="67"/>
        <v>0.25027391919653763</v>
      </c>
      <c r="V127" s="387">
        <f t="shared" si="67"/>
        <v>0.25606154973668971</v>
      </c>
      <c r="W127" s="387">
        <f t="shared" si="67"/>
        <v>0.1767345158473288</v>
      </c>
      <c r="X127" s="387">
        <f t="shared" si="67"/>
        <v>0.27221633821779234</v>
      </c>
      <c r="Y127" s="387">
        <f t="shared" si="67"/>
        <v>0.33464181781107449</v>
      </c>
      <c r="Z127" s="387">
        <f t="shared" si="67"/>
        <v>0.26736971858012271</v>
      </c>
      <c r="AA127" s="387">
        <f t="shared" si="67"/>
        <v>0.28019647757496802</v>
      </c>
      <c r="AB127" s="387">
        <f t="shared" si="67"/>
        <v>0.31141555787638475</v>
      </c>
      <c r="AC127" s="387">
        <f t="shared" si="67"/>
        <v>0.32487311376125516</v>
      </c>
      <c r="AD127" s="387">
        <f t="shared" si="67"/>
        <v>0.19411173123539094</v>
      </c>
      <c r="AE127" s="387">
        <f t="shared" si="67"/>
        <v>0.28019647757496779</v>
      </c>
      <c r="AF127" s="387">
        <f t="shared" si="67"/>
        <v>0.19815062860483323</v>
      </c>
      <c r="AG127" s="387">
        <f t="shared" si="67"/>
        <v>0.17329645774938918</v>
      </c>
      <c r="AH127" s="387">
        <f t="shared" si="67"/>
        <v>0.26978359795991735</v>
      </c>
      <c r="AI127" s="387">
        <f t="shared" si="67"/>
        <v>0.33569650479173208</v>
      </c>
      <c r="AJ127" s="387">
        <f t="shared" si="67"/>
        <v>0.24206989483667662</v>
      </c>
      <c r="AK127" s="387">
        <f t="shared" si="67"/>
        <v>0.21947957584810629</v>
      </c>
      <c r="AL127" s="387">
        <f t="shared" si="67"/>
        <v>0.3006300440605143</v>
      </c>
      <c r="AM127" s="387">
        <f t="shared" si="67"/>
        <v>0.24206989483667651</v>
      </c>
      <c r="AN127" s="388">
        <f t="shared" si="67"/>
        <v>0.24206989483667651</v>
      </c>
    </row>
    <row r="128" spans="1:40">
      <c r="A128" s="334" t="s">
        <v>281</v>
      </c>
      <c r="B128" s="359" t="s">
        <v>287</v>
      </c>
      <c r="C128" s="443" t="s">
        <v>286</v>
      </c>
      <c r="D128" s="420">
        <f>(('Energy Efficiency Measures-DBT'!D$57*Detached!D$21)+('Energy Efficiency Measures-DBT'!D$16*Detached!D$14))/D$4</f>
        <v>87.092253770888533</v>
      </c>
      <c r="E128" s="421">
        <f>(('Energy Efficiency Measures-DBT'!E$57*Detached!E$21)+('Energy Efficiency Measures-DBT'!E$16*Detached!E$14))/E$4</f>
        <v>131.59247245998822</v>
      </c>
      <c r="F128" s="421">
        <f>(('Energy Efficiency Measures-DBT'!F$57*Detached!F$21)+('Energy Efficiency Measures-DBT'!F$16*Detached!F$14))/F$4</f>
        <v>140.26254791708979</v>
      </c>
      <c r="G128" s="421">
        <f>(('Energy Efficiency Measures-DBT'!G$57*Detached!G$21)+('Energy Efficiency Measures-DBT'!G$16*Detached!G$14))/G$4</f>
        <v>87.092253770888533</v>
      </c>
      <c r="H128" s="421">
        <f>(('Energy Efficiency Measures-DBT'!H$57*Detached!H$21)+('Energy Efficiency Measures-DBT'!H$16*Detached!H$14))/H$4</f>
        <v>160.01790296793436</v>
      </c>
      <c r="I128" s="421">
        <f>(('Energy Efficiency Measures-DBT'!I$57*Detached!I$21)+('Energy Efficiency Measures-DBT'!I$16*Detached!I$14))/I$4</f>
        <v>113.61134890014262</v>
      </c>
      <c r="J128" s="421">
        <f>(('Energy Efficiency Measures-DBT'!J$57*Detached!J$21)+('Energy Efficiency Measures-DBT'!J$16*Detached!J$14))/J$4</f>
        <v>97.288196281282808</v>
      </c>
      <c r="K128" s="421">
        <f>(('Energy Efficiency Measures-DBT'!K$57*Detached!K$21)+('Energy Efficiency Measures-DBT'!K$16*Detached!K$14))/K$4</f>
        <v>110.75317875841436</v>
      </c>
      <c r="L128" s="421">
        <f>(('Energy Efficiency Measures-DBT'!L$57*Detached!L$21)+('Energy Efficiency Measures-DBT'!L$16*Detached!L$14))/L$4</f>
        <v>108.61046750977562</v>
      </c>
      <c r="M128" s="421">
        <f>(('Energy Efficiency Measures-DBT'!M$57*Detached!M$21)+('Energy Efficiency Measures-DBT'!M$16*Detached!M$14))/M$4</f>
        <v>144.43424622363924</v>
      </c>
      <c r="N128" s="421">
        <f>(('Energy Efficiency Measures-DBT'!N$57*Detached!N$21)+('Energy Efficiency Measures-DBT'!N$16*Detached!N$14))/N$4</f>
        <v>149.96134020618555</v>
      </c>
      <c r="O128" s="421">
        <f>(('Energy Efficiency Measures-DBT'!O$57*Detached!O$21)+('Energy Efficiency Measures-DBT'!O$16*Detached!O$14))/O$4</f>
        <v>141.73878491596372</v>
      </c>
      <c r="P128" s="421">
        <f>(('Energy Efficiency Measures-DBT'!P$57*Detached!P$21)+('Energy Efficiency Measures-DBT'!P$16*Detached!P$14))/P$4</f>
        <v>160.01790296793436</v>
      </c>
      <c r="Q128" s="421">
        <f>(('Energy Efficiency Measures-DBT'!Q$57*Detached!Q$21)+('Energy Efficiency Measures-DBT'!Q$16*Detached!Q$14))/Q$4</f>
        <v>130.93142186491551</v>
      </c>
      <c r="R128" s="421">
        <f>(('Energy Efficiency Measures-DBT'!R$57*Detached!R$21)+('Energy Efficiency Measures-DBT'!R$16*Detached!R$14))/R$4</f>
        <v>100.77497061002389</v>
      </c>
      <c r="S128" s="421">
        <f>(('Energy Efficiency Measures-DBT'!S$57*Detached!S$21)+('Energy Efficiency Measures-DBT'!S$16*Detached!S$14))/S$4</f>
        <v>107.81339838419339</v>
      </c>
      <c r="T128" s="421">
        <f>(('Energy Efficiency Measures-DBT'!T$57*Detached!T$21)+('Energy Efficiency Measures-DBT'!T$16*Detached!T$14))/T$4</f>
        <v>144.71134020618555</v>
      </c>
      <c r="U128" s="421">
        <f>(('Energy Efficiency Measures-DBT'!U$57*Detached!U$21)+('Energy Efficiency Measures-DBT'!U$16*Detached!U$14))/U$4</f>
        <v>138.26424339106654</v>
      </c>
      <c r="V128" s="421">
        <f>(('Energy Efficiency Measures-DBT'!V$57*Detached!V$21)+('Energy Efficiency Measures-DBT'!V$16*Detached!V$14))/V$4</f>
        <v>97.744138868462258</v>
      </c>
      <c r="W128" s="421">
        <f>(('Energy Efficiency Measures-DBT'!W$57*Detached!W$21)+('Energy Efficiency Measures-DBT'!W$16*Detached!W$14))/W$4</f>
        <v>158.06984669320195</v>
      </c>
      <c r="X128" s="421">
        <f>(('Energy Efficiency Measures-DBT'!X$57*Detached!X$21)+('Energy Efficiency Measures-DBT'!X$16*Detached!X$14))/X$4</f>
        <v>98.25</v>
      </c>
      <c r="Y128" s="421">
        <f>(('Energy Efficiency Measures-DBT'!Y$57*Detached!Y$21)+('Energy Efficiency Measures-DBT'!Y$16*Detached!Y$14))/Y$4</f>
        <v>150.26615477281192</v>
      </c>
      <c r="Z128" s="421">
        <f>(('Energy Efficiency Measures-DBT'!Z$57*Detached!Z$21)+('Energy Efficiency Measures-DBT'!Z$16*Detached!Z$14))/Z$4</f>
        <v>109.99756390549784</v>
      </c>
      <c r="AA128" s="421">
        <f>(('Energy Efficiency Measures-DBT'!AA$57*Detached!AA$21)+('Energy Efficiency Measures-DBT'!AA$16*Detached!AA$14))/AA$4</f>
        <v>122.48095429029671</v>
      </c>
      <c r="AB128" s="421">
        <f>(('Energy Efficiency Measures-DBT'!AB$57*Detached!AB$21)+('Energy Efficiency Measures-DBT'!AB$16*Detached!AB$14))/AB$4</f>
        <v>103.26193823522321</v>
      </c>
      <c r="AC128" s="421">
        <f>(('Energy Efficiency Measures-DBT'!AC$57*Detached!AC$21)+('Energy Efficiency Measures-DBT'!AC$16*Detached!AC$14))/AC$4</f>
        <v>138.91010288580708</v>
      </c>
      <c r="AD128" s="421">
        <f>(('Energy Efficiency Measures-DBT'!AD$57*Detached!AD$21)+('Energy Efficiency Measures-DBT'!AD$16*Detached!AD$14))/AD$4</f>
        <v>130.02756197494176</v>
      </c>
      <c r="AE128" s="421">
        <f>(('Energy Efficiency Measures-DBT'!AE$57*Detached!AE$21)+('Energy Efficiency Measures-DBT'!AE$16*Detached!AE$14))/AE$4</f>
        <v>122.48095429029671</v>
      </c>
      <c r="AF128" s="421">
        <f>(('Energy Efficiency Measures-DBT'!AF$57*Detached!AF$21)+('Energy Efficiency Measures-DBT'!AF$16*Detached!AF$14))/AF$4</f>
        <v>98.679630773828947</v>
      </c>
      <c r="AG128" s="421">
        <f>(('Energy Efficiency Measures-DBT'!AG$57*Detached!AG$21)+('Energy Efficiency Measures-DBT'!AG$16*Detached!AG$14))/AG$4</f>
        <v>92.866463371259343</v>
      </c>
      <c r="AH128" s="421">
        <f>(('Energy Efficiency Measures-DBT'!AH$57*Detached!AH$21)+('Energy Efficiency Measures-DBT'!AH$16*Detached!AH$14))/AH$4</f>
        <v>143.79622260315904</v>
      </c>
      <c r="AI128" s="421">
        <f>(('Energy Efficiency Measures-DBT'!AI$57*Detached!AI$21)+('Energy Efficiency Measures-DBT'!AI$16*Detached!AI$14))/AI$4</f>
        <v>102.30431595883668</v>
      </c>
      <c r="AJ128" s="421">
        <f>(('Energy Efficiency Measures-DBT'!AJ$57*Detached!AJ$21)+('Energy Efficiency Measures-DBT'!AJ$16*Detached!AJ$14))/AJ$4</f>
        <v>130.93142186491551</v>
      </c>
      <c r="AK128" s="421">
        <f>(('Energy Efficiency Measures-DBT'!AK$57*Detached!AK$21)+('Energy Efficiency Measures-DBT'!AK$16*Detached!AK$14))/AK$4</f>
        <v>102.30431595883668</v>
      </c>
      <c r="AL128" s="421">
        <f>(('Energy Efficiency Measures-DBT'!AL$57*Detached!AL$21)+('Energy Efficiency Measures-DBT'!AL$16*Detached!AL$14))/AL$4</f>
        <v>130.93142186491551</v>
      </c>
      <c r="AM128" s="421">
        <f>(('Energy Efficiency Measures-DBT'!AM$57*Detached!AM$21)+('Energy Efficiency Measures-DBT'!AM$16*Detached!AM$14))/AM$4</f>
        <v>130.93142186491551</v>
      </c>
      <c r="AN128" s="422">
        <f>(('Energy Efficiency Measures-DBT'!AN$57*Detached!AN$21)+('Energy Efficiency Measures-DBT'!AN$16*Detached!AN$14))/AN$4</f>
        <v>130.93142186491551</v>
      </c>
    </row>
    <row r="129" spans="1:40">
      <c r="A129" s="407"/>
      <c r="B129" s="347" t="s">
        <v>291</v>
      </c>
      <c r="C129" s="450" t="s">
        <v>292</v>
      </c>
      <c r="D129" s="451">
        <f t="shared" ref="D129:AN129" si="68">PMT(0.12,20,-D130,0,1)/(D40-D110)/3.6*1000</f>
        <v>73.548764970311495</v>
      </c>
      <c r="E129" s="452">
        <f t="shared" si="68"/>
        <v>67.776942890956363</v>
      </c>
      <c r="F129" s="452">
        <f t="shared" si="68"/>
        <v>94.1260541953081</v>
      </c>
      <c r="G129" s="452">
        <f t="shared" si="68"/>
        <v>75.492040782278337</v>
      </c>
      <c r="H129" s="452">
        <f t="shared" si="68"/>
        <v>230.13245879139205</v>
      </c>
      <c r="I129" s="452">
        <f t="shared" si="68"/>
        <v>75.794299383109959</v>
      </c>
      <c r="J129" s="452">
        <f t="shared" si="68"/>
        <v>45.065273020805392</v>
      </c>
      <c r="K129" s="452">
        <f t="shared" si="68"/>
        <v>137.30925687182526</v>
      </c>
      <c r="L129" s="452">
        <f t="shared" si="68"/>
        <v>105.44431681201472</v>
      </c>
      <c r="M129" s="452">
        <f t="shared" si="68"/>
        <v>102.18898615991154</v>
      </c>
      <c r="N129" s="452">
        <f t="shared" si="68"/>
        <v>101.63343626851807</v>
      </c>
      <c r="O129" s="452">
        <f t="shared" si="68"/>
        <v>71.608234890684841</v>
      </c>
      <c r="P129" s="452">
        <f t="shared" si="68"/>
        <v>111.35157179119017</v>
      </c>
      <c r="Q129" s="452">
        <f t="shared" si="68"/>
        <v>64.564135981307857</v>
      </c>
      <c r="R129" s="452">
        <f t="shared" si="68"/>
        <v>79.124314644453108</v>
      </c>
      <c r="S129" s="452">
        <f t="shared" si="68"/>
        <v>45.893180276110677</v>
      </c>
      <c r="T129" s="452">
        <f t="shared" si="68"/>
        <v>115.30160599937972</v>
      </c>
      <c r="U129" s="452">
        <f t="shared" si="68"/>
        <v>82.869946743936822</v>
      </c>
      <c r="V129" s="452">
        <f t="shared" si="68"/>
        <v>74.027064578432686</v>
      </c>
      <c r="W129" s="452">
        <f t="shared" si="68"/>
        <v>66.195702905191808</v>
      </c>
      <c r="X129" s="452">
        <f t="shared" si="68"/>
        <v>48.706247691077664</v>
      </c>
      <c r="Y129" s="452">
        <f t="shared" si="68"/>
        <v>309.8492637974781</v>
      </c>
      <c r="Z129" s="452">
        <f t="shared" si="68"/>
        <v>47.595727539079995</v>
      </c>
      <c r="AA129" s="452">
        <f t="shared" si="68"/>
        <v>80.948461682381748</v>
      </c>
      <c r="AB129" s="452">
        <f t="shared" si="68"/>
        <v>41.226256823580002</v>
      </c>
      <c r="AC129" s="452">
        <f t="shared" si="68"/>
        <v>117.54325638832134</v>
      </c>
      <c r="AD129" s="452">
        <f t="shared" si="68"/>
        <v>78.696472051058265</v>
      </c>
      <c r="AE129" s="452">
        <f t="shared" si="68"/>
        <v>83.952060003439982</v>
      </c>
      <c r="AF129" s="452">
        <f t="shared" si="68"/>
        <v>76.074166396085445</v>
      </c>
      <c r="AG129" s="452">
        <f t="shared" si="68"/>
        <v>37.376005865111551</v>
      </c>
      <c r="AH129" s="452">
        <f t="shared" si="68"/>
        <v>51.576301535266943</v>
      </c>
      <c r="AI129" s="452">
        <f t="shared" si="68"/>
        <v>71.190449141942395</v>
      </c>
      <c r="AJ129" s="452">
        <f t="shared" si="68"/>
        <v>78.313825071156543</v>
      </c>
      <c r="AK129" s="452">
        <f t="shared" si="68"/>
        <v>80.096355206424406</v>
      </c>
      <c r="AL129" s="452">
        <f t="shared" si="68"/>
        <v>91.438448261037792</v>
      </c>
      <c r="AM129" s="452">
        <f t="shared" si="68"/>
        <v>85.163005901719174</v>
      </c>
      <c r="AN129" s="453">
        <f t="shared" si="68"/>
        <v>85.163005901719174</v>
      </c>
    </row>
    <row r="130" spans="1:40">
      <c r="A130" s="404"/>
      <c r="B130" s="338" t="s">
        <v>287</v>
      </c>
      <c r="C130" s="444" t="s">
        <v>288</v>
      </c>
      <c r="D130" s="423">
        <f t="shared" ref="D130:AN130" si="69">D128*D$4</f>
        <v>13045.603125000001</v>
      </c>
      <c r="E130" s="424">
        <f t="shared" si="69"/>
        <v>18737.808604687496</v>
      </c>
      <c r="F130" s="424">
        <f t="shared" si="69"/>
        <v>11152.283425312498</v>
      </c>
      <c r="G130" s="424">
        <f t="shared" si="69"/>
        <v>13045.603125000001</v>
      </c>
      <c r="H130" s="424">
        <f t="shared" si="69"/>
        <v>18302.694924374999</v>
      </c>
      <c r="I130" s="424">
        <f t="shared" si="69"/>
        <v>14180.573486249999</v>
      </c>
      <c r="J130" s="424">
        <f t="shared" si="69"/>
        <v>13056.8909728125</v>
      </c>
      <c r="K130" s="424">
        <f t="shared" si="69"/>
        <v>18509.625</v>
      </c>
      <c r="L130" s="424">
        <f t="shared" si="69"/>
        <v>11579.132188125001</v>
      </c>
      <c r="M130" s="424">
        <f t="shared" si="69"/>
        <v>20034.515818526786</v>
      </c>
      <c r="N130" s="424">
        <f t="shared" si="69"/>
        <v>18182.8125</v>
      </c>
      <c r="O130" s="424">
        <f t="shared" si="69"/>
        <v>19776.979025223212</v>
      </c>
      <c r="P130" s="424">
        <f t="shared" si="69"/>
        <v>18302.694924374999</v>
      </c>
      <c r="Q130" s="424">
        <f t="shared" si="69"/>
        <v>11253.7339396875</v>
      </c>
      <c r="R130" s="424">
        <f t="shared" si="69"/>
        <v>11733.873024375</v>
      </c>
      <c r="S130" s="424">
        <f t="shared" si="69"/>
        <v>15862.026426562501</v>
      </c>
      <c r="T130" s="424">
        <f t="shared" si="69"/>
        <v>17546.25</v>
      </c>
      <c r="U130" s="424">
        <f t="shared" si="69"/>
        <v>18959.484375</v>
      </c>
      <c r="V130" s="424">
        <f t="shared" si="69"/>
        <v>11801.660315625</v>
      </c>
      <c r="W130" s="424">
        <f t="shared" si="69"/>
        <v>17298.098433750001</v>
      </c>
      <c r="X130" s="424">
        <f t="shared" si="69"/>
        <v>11790</v>
      </c>
      <c r="Y130" s="424">
        <f t="shared" si="69"/>
        <v>18568.011201562502</v>
      </c>
      <c r="Z130" s="424">
        <f t="shared" si="69"/>
        <v>15761.303437500001</v>
      </c>
      <c r="AA130" s="424">
        <f t="shared" si="69"/>
        <v>19091.71875</v>
      </c>
      <c r="AB130" s="424">
        <f t="shared" si="69"/>
        <v>12427.29274875</v>
      </c>
      <c r="AC130" s="424">
        <f t="shared" si="69"/>
        <v>20151.327806651789</v>
      </c>
      <c r="AD130" s="424">
        <f t="shared" si="69"/>
        <v>11806.857277499999</v>
      </c>
      <c r="AE130" s="424">
        <f t="shared" si="69"/>
        <v>19091.71875</v>
      </c>
      <c r="AF130" s="424">
        <f t="shared" si="69"/>
        <v>11780.20854</v>
      </c>
      <c r="AG130" s="424">
        <f t="shared" si="69"/>
        <v>11162.042775</v>
      </c>
      <c r="AH130" s="424">
        <f t="shared" si="69"/>
        <v>14679.796874999998</v>
      </c>
      <c r="AI130" s="424">
        <f t="shared" si="69"/>
        <v>11701.46995875</v>
      </c>
      <c r="AJ130" s="424">
        <f t="shared" si="69"/>
        <v>11253.7339396875</v>
      </c>
      <c r="AK130" s="424">
        <f t="shared" si="69"/>
        <v>11701.46995875</v>
      </c>
      <c r="AL130" s="424">
        <f t="shared" si="69"/>
        <v>11253.7339396875</v>
      </c>
      <c r="AM130" s="424">
        <f t="shared" si="69"/>
        <v>11253.7339396875</v>
      </c>
      <c r="AN130" s="425">
        <f t="shared" si="69"/>
        <v>11253.7339396875</v>
      </c>
    </row>
    <row r="131" spans="1:40">
      <c r="B131" s="135"/>
      <c r="C131" s="135"/>
    </row>
    <row r="132" spans="1:40">
      <c r="A132" s="5" t="s">
        <v>295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1:40">
      <c r="A133" s="938" t="s">
        <v>123</v>
      </c>
      <c r="B133" s="939"/>
      <c r="C133" s="138" t="s">
        <v>76</v>
      </c>
      <c r="D133" s="194">
        <v>1</v>
      </c>
      <c r="E133" s="195">
        <v>1</v>
      </c>
      <c r="F133" s="195">
        <v>1</v>
      </c>
      <c r="G133" s="195">
        <v>1</v>
      </c>
      <c r="H133" s="195">
        <v>1</v>
      </c>
      <c r="I133" s="195">
        <v>1</v>
      </c>
      <c r="J133" s="195">
        <v>1</v>
      </c>
      <c r="K133" s="195">
        <v>1</v>
      </c>
      <c r="L133" s="195">
        <v>1</v>
      </c>
      <c r="M133" s="195">
        <v>1</v>
      </c>
      <c r="N133" s="195">
        <v>1</v>
      </c>
      <c r="O133" s="195">
        <v>1</v>
      </c>
      <c r="P133" s="195">
        <v>1</v>
      </c>
      <c r="Q133" s="195">
        <v>1</v>
      </c>
      <c r="R133" s="195">
        <v>1</v>
      </c>
      <c r="S133" s="195">
        <v>1</v>
      </c>
      <c r="T133" s="195">
        <v>1</v>
      </c>
      <c r="U133" s="195">
        <v>1</v>
      </c>
      <c r="V133" s="195">
        <v>1</v>
      </c>
      <c r="W133" s="195">
        <v>1</v>
      </c>
      <c r="X133" s="195">
        <v>1</v>
      </c>
      <c r="Y133" s="195">
        <v>1</v>
      </c>
      <c r="Z133" s="195">
        <v>1</v>
      </c>
      <c r="AA133" s="195">
        <v>1</v>
      </c>
      <c r="AB133" s="195">
        <v>1</v>
      </c>
      <c r="AC133" s="195">
        <v>1</v>
      </c>
      <c r="AD133" s="195">
        <v>1</v>
      </c>
      <c r="AE133" s="195">
        <v>1</v>
      </c>
      <c r="AF133" s="195">
        <v>1</v>
      </c>
      <c r="AG133" s="195">
        <v>1</v>
      </c>
      <c r="AH133" s="195">
        <v>1</v>
      </c>
      <c r="AI133" s="195">
        <v>1</v>
      </c>
      <c r="AJ133" s="195">
        <v>1</v>
      </c>
      <c r="AK133" s="195">
        <v>1</v>
      </c>
      <c r="AL133" s="195">
        <v>1</v>
      </c>
      <c r="AM133" s="195">
        <v>1</v>
      </c>
      <c r="AN133" s="196">
        <v>1</v>
      </c>
    </row>
    <row r="134" spans="1:40">
      <c r="A134" s="151" t="s">
        <v>193</v>
      </c>
      <c r="B134" s="141" t="s">
        <v>2</v>
      </c>
      <c r="C134" s="144" t="s">
        <v>195</v>
      </c>
      <c r="D134" s="170">
        <f>((LOOKUP(D$2,'Ceiling-U'!$A$4:$A$40,'Ceiling-U'!$X$4:$X$40)*D$14)+(LOOKUP(D$2,'Floor-U'!$A$4:$A$40,'Floor-U'!$E$4:$E$40)*D$15)+(LOOKUP(D$2,'Wall-U'!$A$4:$A$40,'Wall-U'!$X$4:$X$40)*D$12)+(LOOKUP(D$2,'Window-U'!$A$4:$A$40,'Window-U'!$S$4:$S$40)*D$21))*D$133</f>
        <v>190.54368826153163</v>
      </c>
      <c r="E134" s="171">
        <f>((LOOKUP(E$2,'Ceiling-U'!$A$4:$A$40,'Ceiling-U'!$X$4:$X$40)*E$14)+(LOOKUP(E$2,'Floor-U'!$A$4:$A$40,'Floor-U'!$E$4:$E$40)*E$15)+(LOOKUP(E$2,'Wall-U'!$A$4:$A$40,'Wall-U'!$X$4:$X$40)*E$12)+(LOOKUP(E$2,'Window-U'!$A$4:$A$40,'Window-U'!$S$4:$S$40)*E$21))*E$133</f>
        <v>169.87468015051672</v>
      </c>
      <c r="F134" s="171">
        <f>((LOOKUP(F$2,'Ceiling-U'!$A$4:$A$40,'Ceiling-U'!$X$4:$X$40)*F$14)+(LOOKUP(F$2,'Floor-U'!$A$4:$A$40,'Floor-U'!$E$4:$E$40)*F$15)+(LOOKUP(F$2,'Wall-U'!$A$4:$A$40,'Wall-U'!$X$4:$X$40)*F$12)+(LOOKUP(F$2,'Window-U'!$A$4:$A$40,'Window-U'!$S$4:$S$40)*F$21))*F$133</f>
        <v>110.95863844111487</v>
      </c>
      <c r="G134" s="171">
        <f>((LOOKUP(G$2,'Ceiling-U'!$A$4:$A$40,'Ceiling-U'!$X$4:$X$40)*G$14)+(LOOKUP(G$2,'Floor-U'!$A$4:$A$40,'Floor-U'!$E$4:$E$40)*G$15)+(LOOKUP(G$2,'Wall-U'!$A$4:$A$40,'Wall-U'!$X$4:$X$40)*G$12)+(LOOKUP(G$2,'Window-U'!$A$4:$A$40,'Window-U'!$S$4:$S$40)*G$21))*G$133</f>
        <v>190.54368826153163</v>
      </c>
      <c r="H134" s="171">
        <f>((LOOKUP(H$2,'Ceiling-U'!$A$4:$A$40,'Ceiling-U'!$X$4:$X$40)*H$14)+(LOOKUP(H$2,'Floor-U'!$A$4:$A$40,'Floor-U'!$E$4:$E$40)*H$15)+(LOOKUP(H$2,'Wall-U'!$A$4:$A$40,'Wall-U'!$X$4:$X$40)*H$12)+(LOOKUP(H$2,'Window-U'!$A$4:$A$40,'Window-U'!$S$4:$S$40)*H$21))*H$133</f>
        <v>271.4096888845578</v>
      </c>
      <c r="I134" s="171">
        <f>((LOOKUP(I$2,'Ceiling-U'!$A$4:$A$40,'Ceiling-U'!$X$4:$X$40)*I$14)+(LOOKUP(I$2,'Floor-U'!$A$4:$A$40,'Floor-U'!$E$4:$E$40)*I$15)+(LOOKUP(I$2,'Wall-U'!$A$4:$A$40,'Wall-U'!$X$4:$X$40)*I$12)+(LOOKUP(I$2,'Window-U'!$A$4:$A$40,'Window-U'!$S$4:$S$40)*I$21))*I$133</f>
        <v>174.75337392130484</v>
      </c>
      <c r="J134" s="171">
        <f>((LOOKUP(J$2,'Ceiling-U'!$A$4:$A$40,'Ceiling-U'!$X$4:$X$40)*J$14)+(LOOKUP(J$2,'Floor-U'!$A$4:$A$40,'Floor-U'!$E$4:$E$40)*J$15)+(LOOKUP(J$2,'Wall-U'!$A$4:$A$40,'Wall-U'!$X$4:$X$40)*J$12)+(LOOKUP(J$2,'Window-U'!$A$4:$A$40,'Window-U'!$S$4:$S$40)*J$21))*J$133</f>
        <v>166.27803191872536</v>
      </c>
      <c r="K134" s="171">
        <f>((LOOKUP(K$2,'Ceiling-U'!$A$4:$A$40,'Ceiling-U'!$X$4:$X$40)*K$14)+(LOOKUP(K$2,'Floor-U'!$A$4:$A$40,'Floor-U'!$E$4:$E$40)*K$15)+(LOOKUP(K$2,'Wall-U'!$A$4:$A$40,'Wall-U'!$X$4:$X$40)*K$12)+(LOOKUP(K$2,'Window-U'!$A$4:$A$40,'Window-U'!$S$4:$S$40)*K$21))*K$133</f>
        <v>151.03551177277046</v>
      </c>
      <c r="L134" s="171">
        <f>((LOOKUP(L$2,'Ceiling-U'!$A$4:$A$40,'Ceiling-U'!$X$4:$X$40)*L$14)+(LOOKUP(L$2,'Floor-U'!$A$4:$A$40,'Floor-U'!$E$4:$E$40)*L$15)+(LOOKUP(L$2,'Wall-U'!$A$4:$A$40,'Wall-U'!$X$4:$X$40)*L$12)+(LOOKUP(L$2,'Window-U'!$A$4:$A$40,'Window-U'!$S$4:$S$40)*L$21))*L$133</f>
        <v>85.688866420679261</v>
      </c>
      <c r="M134" s="171">
        <f>((LOOKUP(M$2,'Ceiling-U'!$A$4:$A$40,'Ceiling-U'!$X$4:$X$40)*M$14)+(LOOKUP(M$2,'Floor-U'!$A$4:$A$40,'Floor-U'!$E$4:$E$40)*M$15)+(LOOKUP(M$2,'Wall-U'!$A$4:$A$40,'Wall-U'!$X$4:$X$40)*M$12)+(LOOKUP(M$2,'Window-U'!$A$4:$A$40,'Window-U'!$S$4:$S$40)*M$21))*M$133</f>
        <v>273.40821389762118</v>
      </c>
      <c r="N134" s="171">
        <f>((LOOKUP(N$2,'Ceiling-U'!$A$4:$A$40,'Ceiling-U'!$X$4:$X$40)*N$14)+(LOOKUP(N$2,'Floor-U'!$A$4:$A$40,'Floor-U'!$E$4:$E$40)*N$15)+(LOOKUP(N$2,'Wall-U'!$A$4:$A$40,'Wall-U'!$X$4:$X$40)*N$12)+(LOOKUP(N$2,'Window-U'!$A$4:$A$40,'Window-U'!$S$4:$S$40)*N$21))*N$133</f>
        <v>108.7101076269046</v>
      </c>
      <c r="O134" s="171">
        <f>((LOOKUP(O$2,'Ceiling-U'!$A$4:$A$40,'Ceiling-U'!$X$4:$X$40)*O$14)+(LOOKUP(O$2,'Floor-U'!$A$4:$A$40,'Floor-U'!$E$4:$E$40)*O$15)+(LOOKUP(O$2,'Wall-U'!$A$4:$A$40,'Wall-U'!$X$4:$X$40)*O$12)+(LOOKUP(O$2,'Window-U'!$A$4:$A$40,'Window-U'!$S$4:$S$40)*O$21))*O$133</f>
        <v>242.43923601575841</v>
      </c>
      <c r="P134" s="171">
        <f>((LOOKUP(P$2,'Ceiling-U'!$A$4:$A$40,'Ceiling-U'!$X$4:$X$40)*P$14)+(LOOKUP(P$2,'Floor-U'!$A$4:$A$40,'Floor-U'!$E$4:$E$40)*P$15)+(LOOKUP(P$2,'Wall-U'!$A$4:$A$40,'Wall-U'!$X$4:$X$40)*P$12)+(LOOKUP(P$2,'Window-U'!$A$4:$A$40,'Window-U'!$S$4:$S$40)*P$21))*P$133</f>
        <v>271.6725117266559</v>
      </c>
      <c r="Q134" s="171">
        <f>((LOOKUP(Q$2,'Ceiling-U'!$A$4:$A$40,'Ceiling-U'!$X$4:$X$40)*Q$14)+(LOOKUP(Q$2,'Floor-U'!$A$4:$A$40,'Floor-U'!$E$4:$E$40)*Q$15)+(LOOKUP(Q$2,'Wall-U'!$A$4:$A$40,'Wall-U'!$X$4:$X$40)*Q$12)+(LOOKUP(Q$2,'Window-U'!$A$4:$A$40,'Window-U'!$S$4:$S$40)*Q$21))*Q$133</f>
        <v>110.02432586038304</v>
      </c>
      <c r="R134" s="171">
        <f>((LOOKUP(R$2,'Ceiling-U'!$A$4:$A$40,'Ceiling-U'!$X$4:$X$40)*R$14)+(LOOKUP(R$2,'Floor-U'!$A$4:$A$40,'Floor-U'!$E$4:$E$40)*R$15)+(LOOKUP(R$2,'Wall-U'!$A$4:$A$40,'Wall-U'!$X$4:$X$40)*R$12)+(LOOKUP(R$2,'Window-U'!$A$4:$A$40,'Window-U'!$S$4:$S$40)*R$21))*R$133</f>
        <v>142.96540902381975</v>
      </c>
      <c r="S134" s="171">
        <f>((LOOKUP(S$2,'Ceiling-U'!$A$4:$A$40,'Ceiling-U'!$X$4:$X$40)*S$14)+(LOOKUP(S$2,'Floor-U'!$A$4:$A$40,'Floor-U'!$E$4:$E$40)*S$15)+(LOOKUP(S$2,'Wall-U'!$A$4:$A$40,'Wall-U'!$X$4:$X$40)*S$12)+(LOOKUP(S$2,'Window-U'!$A$4:$A$40,'Window-U'!$S$4:$S$40)*S$21))*S$133</f>
        <v>150.59924268184901</v>
      </c>
      <c r="T134" s="171">
        <f>((LOOKUP(T$2,'Ceiling-U'!$A$4:$A$40,'Ceiling-U'!$X$4:$X$40)*T$14)+(LOOKUP(T$2,'Floor-U'!$A$4:$A$40,'Floor-U'!$E$4:$E$40)*T$15)+(LOOKUP(T$2,'Wall-U'!$A$4:$A$40,'Wall-U'!$X$4:$X$40)*T$12)+(LOOKUP(T$2,'Window-U'!$A$4:$A$40,'Window-U'!$S$4:$S$40)*T$21))*T$133</f>
        <v>108.7101076269046</v>
      </c>
      <c r="U134" s="171">
        <f>((LOOKUP(U$2,'Ceiling-U'!$A$4:$A$40,'Ceiling-U'!$X$4:$X$40)*U$14)+(LOOKUP(U$2,'Floor-U'!$A$4:$A$40,'Floor-U'!$E$4:$E$40)*U$15)+(LOOKUP(U$2,'Wall-U'!$A$4:$A$40,'Wall-U'!$X$4:$X$40)*U$12)+(LOOKUP(U$2,'Window-U'!$A$4:$A$40,'Window-U'!$S$4:$S$40)*U$21))*U$133</f>
        <v>224.84102601864817</v>
      </c>
      <c r="V134" s="171">
        <f>((LOOKUP(V$2,'Ceiling-U'!$A$4:$A$40,'Ceiling-U'!$X$4:$X$40)*V$14)+(LOOKUP(V$2,'Floor-U'!$A$4:$A$40,'Floor-U'!$E$4:$E$40)*V$15)+(LOOKUP(V$2,'Wall-U'!$A$4:$A$40,'Wall-U'!$X$4:$X$40)*V$12)+(LOOKUP(V$2,'Window-U'!$A$4:$A$40,'Window-U'!$S$4:$S$40)*V$21))*V$133</f>
        <v>140.18437451876898</v>
      </c>
      <c r="W134" s="171">
        <f>((LOOKUP(W$2,'Ceiling-U'!$A$4:$A$40,'Ceiling-U'!$X$4:$X$40)*W$14)+(LOOKUP(W$2,'Floor-U'!$A$4:$A$40,'Floor-U'!$E$4:$E$40)*W$15)+(LOOKUP(W$2,'Wall-U'!$A$4:$A$40,'Wall-U'!$X$4:$X$40)*W$12)+(LOOKUP(W$2,'Window-U'!$A$4:$A$40,'Window-U'!$S$4:$S$40)*W$21))*W$133</f>
        <v>176.23872379456222</v>
      </c>
      <c r="X134" s="171">
        <f>((LOOKUP(X$2,'Ceiling-U'!$A$4:$A$40,'Ceiling-U'!$X$4:$X$40)*X$14)+(LOOKUP(X$2,'Floor-U'!$A$4:$A$40,'Floor-U'!$E$4:$E$40)*X$15)+(LOOKUP(X$2,'Wall-U'!$A$4:$A$40,'Wall-U'!$X$4:$X$40)*X$12)+(LOOKUP(X$2,'Window-U'!$A$4:$A$40,'Window-U'!$S$4:$S$40)*X$21))*X$133</f>
        <v>134.48922615058484</v>
      </c>
      <c r="Y134" s="171">
        <f>((LOOKUP(Y$2,'Ceiling-U'!$A$4:$A$40,'Ceiling-U'!$X$4:$X$40)*Y$14)+(LOOKUP(Y$2,'Floor-U'!$A$4:$A$40,'Floor-U'!$E$4:$E$40)*Y$15)+(LOOKUP(Y$2,'Wall-U'!$A$4:$A$40,'Wall-U'!$X$4:$X$40)*Y$12)+(LOOKUP(Y$2,'Window-U'!$A$4:$A$40,'Window-U'!$S$4:$S$40)*Y$21))*Y$133</f>
        <v>284.92799512917111</v>
      </c>
      <c r="Z134" s="171">
        <f>((LOOKUP(Z$2,'Ceiling-U'!$A$4:$A$40,'Ceiling-U'!$X$4:$X$40)*Z$14)+(LOOKUP(Z$2,'Floor-U'!$A$4:$A$40,'Floor-U'!$E$4:$E$40)*Z$15)+(LOOKUP(Z$2,'Wall-U'!$A$4:$A$40,'Wall-U'!$X$4:$X$40)*Z$12)+(LOOKUP(Z$2,'Window-U'!$A$4:$A$40,'Window-U'!$S$4:$S$40)*Z$21))*Z$133</f>
        <v>175.52349737417262</v>
      </c>
      <c r="AA134" s="171">
        <f>((LOOKUP(AA$2,'Ceiling-U'!$A$4:$A$40,'Ceiling-U'!$X$4:$X$40)*AA$14)+(LOOKUP(AA$2,'Floor-U'!$A$4:$A$40,'Floor-U'!$E$4:$E$40)*AA$15)+(LOOKUP(AA$2,'Wall-U'!$A$4:$A$40,'Wall-U'!$X$4:$X$40)*AA$12)+(LOOKUP(AA$2,'Window-U'!$A$4:$A$40,'Window-U'!$S$4:$S$40)*AA$21))*AA$133</f>
        <v>90.888387517334166</v>
      </c>
      <c r="AB134" s="171">
        <f>((LOOKUP(AB$2,'Ceiling-U'!$A$4:$A$40,'Ceiling-U'!$X$4:$X$40)*AB$14)+(LOOKUP(AB$2,'Floor-U'!$A$4:$A$40,'Floor-U'!$E$4:$E$40)*AB$15)+(LOOKUP(AB$2,'Wall-U'!$A$4:$A$40,'Wall-U'!$X$4:$X$40)*AB$12)+(LOOKUP(AB$2,'Window-U'!$A$4:$A$40,'Window-U'!$S$4:$S$40)*AB$21))*AB$133</f>
        <v>158.51477933993721</v>
      </c>
      <c r="AC134" s="171">
        <f>((LOOKUP(AC$2,'Ceiling-U'!$A$4:$A$40,'Ceiling-U'!$X$4:$X$40)*AC$14)+(LOOKUP(AC$2,'Floor-U'!$A$4:$A$40,'Floor-U'!$E$4:$E$40)*AC$15)+(LOOKUP(AC$2,'Wall-U'!$A$4:$A$40,'Wall-U'!$X$4:$X$40)*AC$12)+(LOOKUP(AC$2,'Window-U'!$A$4:$A$40,'Window-U'!$S$4:$S$40)*AC$21))*AC$133</f>
        <v>241.03887778661792</v>
      </c>
      <c r="AD134" s="171">
        <f>((LOOKUP(AD$2,'Ceiling-U'!$A$4:$A$40,'Ceiling-U'!$X$4:$X$40)*AD$14)+(LOOKUP(AD$2,'Floor-U'!$A$4:$A$40,'Floor-U'!$E$4:$E$40)*AD$15)+(LOOKUP(AD$2,'Wall-U'!$A$4:$A$40,'Wall-U'!$X$4:$X$40)*AD$12)+(LOOKUP(AD$2,'Window-U'!$A$4:$A$40,'Window-U'!$S$4:$S$40)*AD$21))*AD$133</f>
        <v>154.74248469568994</v>
      </c>
      <c r="AE134" s="171">
        <f>((LOOKUP(AE$2,'Ceiling-U'!$A$4:$A$40,'Ceiling-U'!$X$4:$X$40)*AE$14)+(LOOKUP(AE$2,'Floor-U'!$A$4:$A$40,'Floor-U'!$E$4:$E$40)*AE$15)+(LOOKUP(AE$2,'Wall-U'!$A$4:$A$40,'Wall-U'!$X$4:$X$40)*AE$12)+(LOOKUP(AE$2,'Window-U'!$A$4:$A$40,'Window-U'!$S$4:$S$40)*AE$21))*AE$133</f>
        <v>90.888387517334166</v>
      </c>
      <c r="AF134" s="171">
        <f>((LOOKUP(AF$2,'Ceiling-U'!$A$4:$A$40,'Ceiling-U'!$X$4:$X$40)*AF$14)+(LOOKUP(AF$2,'Floor-U'!$A$4:$A$40,'Floor-U'!$E$4:$E$40)*AF$15)+(LOOKUP(AF$2,'Wall-U'!$A$4:$A$40,'Wall-U'!$X$4:$X$40)*AF$12)+(LOOKUP(AF$2,'Window-U'!$A$4:$A$40,'Window-U'!$S$4:$S$40)*AF$21))*AF$133</f>
        <v>150.46843120970414</v>
      </c>
      <c r="AG134" s="171">
        <f>((LOOKUP(AG$2,'Ceiling-U'!$A$4:$A$40,'Ceiling-U'!$X$4:$X$40)*AG$14)+(LOOKUP(AG$2,'Floor-U'!$A$4:$A$40,'Floor-U'!$E$4:$E$40)*AG$15)+(LOOKUP(AG$2,'Wall-U'!$A$4:$A$40,'Wall-U'!$X$4:$X$40)*AG$12)+(LOOKUP(AG$2,'Window-U'!$A$4:$A$40,'Window-U'!$S$4:$S$40)*AG$21))*AG$133</f>
        <v>209.83199872821035</v>
      </c>
      <c r="AH134" s="171">
        <f>((LOOKUP(AH$2,'Ceiling-U'!$A$4:$A$40,'Ceiling-U'!$X$4:$X$40)*AH$14)+(LOOKUP(AH$2,'Floor-U'!$A$4:$A$40,'Floor-U'!$E$4:$E$40)*AH$15)+(LOOKUP(AH$2,'Wall-U'!$A$4:$A$40,'Wall-U'!$X$4:$X$40)*AH$12)+(LOOKUP(AH$2,'Window-U'!$A$4:$A$40,'Window-U'!$S$4:$S$40)*AH$21))*AH$133</f>
        <v>117.15929207594097</v>
      </c>
      <c r="AI134" s="171">
        <f>((LOOKUP(AI$2,'Ceiling-U'!$A$4:$A$40,'Ceiling-U'!$X$4:$X$40)*AI$14)+(LOOKUP(AI$2,'Floor-U'!$A$4:$A$40,'Floor-U'!$E$4:$E$40)*AI$15)+(LOOKUP(AI$2,'Wall-U'!$A$4:$A$40,'Wall-U'!$X$4:$X$40)*AI$12)+(LOOKUP(AI$2,'Window-U'!$A$4:$A$40,'Window-U'!$S$4:$S$40)*AI$21))*AI$133</f>
        <v>271.6725117266559</v>
      </c>
      <c r="AJ134" s="171">
        <f>((LOOKUP(AJ$2,'Ceiling-U'!$A$4:$A$40,'Ceiling-U'!$X$4:$X$40)*AJ$14)+(LOOKUP(AJ$2,'Floor-U'!$A$4:$A$40,'Floor-U'!$E$4:$E$40)*AJ$15)+(LOOKUP(AJ$2,'Wall-U'!$A$4:$A$40,'Wall-U'!$X$4:$X$40)*AJ$12)+(LOOKUP(AJ$2,'Window-U'!$A$4:$A$40,'Window-U'!$S$4:$S$40)*AJ$21))*AJ$133</f>
        <v>111.17068240259067</v>
      </c>
      <c r="AK134" s="171">
        <f>((LOOKUP(AK$2,'Ceiling-U'!$A$4:$A$40,'Ceiling-U'!$X$4:$X$40)*AK$14)+(LOOKUP(AK$2,'Floor-U'!$A$4:$A$40,'Floor-U'!$E$4:$E$40)*AK$15)+(LOOKUP(AK$2,'Wall-U'!$A$4:$A$40,'Wall-U'!$X$4:$X$40)*AK$12)+(LOOKUP(AK$2,'Window-U'!$A$4:$A$40,'Window-U'!$S$4:$S$40)*AK$21))*AK$133</f>
        <v>135.86189868576454</v>
      </c>
      <c r="AL134" s="171">
        <f>((LOOKUP(AL$2,'Ceiling-U'!$A$4:$A$40,'Ceiling-U'!$X$4:$X$40)*AL$14)+(LOOKUP(AL$2,'Floor-U'!$A$4:$A$40,'Floor-U'!$E$4:$E$40)*AL$15)+(LOOKUP(AL$2,'Wall-U'!$A$4:$A$40,'Wall-U'!$X$4:$X$40)*AL$12)+(LOOKUP(AL$2,'Window-U'!$A$4:$A$40,'Window-U'!$S$4:$S$40)*AL$21))*AL$133</f>
        <v>117.14447276677245</v>
      </c>
      <c r="AM134" s="171">
        <f>((LOOKUP(AM$2,'Ceiling-U'!$A$4:$A$40,'Ceiling-U'!$X$4:$X$40)*AM$14)+(LOOKUP(AM$2,'Floor-U'!$A$4:$A$40,'Floor-U'!$E$4:$E$40)*AM$15)+(LOOKUP(AM$2,'Wall-U'!$A$4:$A$40,'Wall-U'!$X$4:$X$40)*AM$12)+(LOOKUP(AM$2,'Window-U'!$A$4:$A$40,'Window-U'!$S$4:$S$40)*AM$21))*AM$133</f>
        <v>111.17068240259067</v>
      </c>
      <c r="AN134" s="172">
        <f>((LOOKUP(AN$2,'Ceiling-U'!$A$4:$A$40,'Ceiling-U'!$X$4:$X$40)*AN$14)+(LOOKUP(AN$2,'Floor-U'!$A$4:$A$40,'Floor-U'!$E$4:$E$40)*AN$15)+(LOOKUP(AN$2,'Wall-U'!$A$4:$A$40,'Wall-U'!$X$4:$X$40)*AN$12)+(LOOKUP(AN$2,'Window-U'!$A$4:$A$40,'Window-U'!$S$4:$S$40)*AN$21))*AN$133</f>
        <v>111.17068240259067</v>
      </c>
    </row>
    <row r="135" spans="1:40">
      <c r="A135" s="372"/>
      <c r="B135" s="142" t="s">
        <v>3</v>
      </c>
      <c r="C135" s="131" t="s">
        <v>195</v>
      </c>
      <c r="D135" s="176">
        <f>((LOOKUP(D$2,'Ceiling-U'!$A$4:$A$40,'Ceiling-U'!$Y$4:$Y$40)*D$14)+(LOOKUP(D$2,'Floor-U'!$A$4:$A$40,'Floor-U'!$F$4:$F$40)*D$15)+(LOOKUP(D$2,'Wall-U'!$A$4:$A$40,'Wall-U'!$Y$4:$Y$40)*D$12)+(LOOKUP(D$2,'Window-U'!$A$4:$A$40,'Window-U'!$S$4:$S$40)*D$21))*D$133</f>
        <v>207.03626865140529</v>
      </c>
      <c r="E135" s="177">
        <f>((LOOKUP(E$2,'Ceiling-U'!$A$4:$A$40,'Ceiling-U'!$Y$4:$Y$40)*E$14)+(LOOKUP(E$2,'Floor-U'!$A$4:$A$40,'Floor-U'!$F$4:$F$40)*E$15)+(LOOKUP(E$2,'Wall-U'!$A$4:$A$40,'Wall-U'!$Y$4:$Y$40)*E$12)+(LOOKUP(E$2,'Window-U'!$A$4:$A$40,'Window-U'!$S$4:$S$40)*E$21))*E$133</f>
        <v>169.87468015051672</v>
      </c>
      <c r="F135" s="177">
        <f>((LOOKUP(F$2,'Ceiling-U'!$A$4:$A$40,'Ceiling-U'!$Y$4:$Y$40)*F$14)+(LOOKUP(F$2,'Floor-U'!$A$4:$A$40,'Floor-U'!$F$4:$F$40)*F$15)+(LOOKUP(F$2,'Wall-U'!$A$4:$A$40,'Wall-U'!$Y$4:$Y$40)*F$12)+(LOOKUP(F$2,'Window-U'!$A$4:$A$40,'Window-U'!$S$4:$S$40)*F$21))*F$133</f>
        <v>110.95863844111487</v>
      </c>
      <c r="G135" s="177">
        <f>((LOOKUP(G$2,'Ceiling-U'!$A$4:$A$40,'Ceiling-U'!$Y$4:$Y$40)*G$14)+(LOOKUP(G$2,'Floor-U'!$A$4:$A$40,'Floor-U'!$F$4:$F$40)*G$15)+(LOOKUP(G$2,'Wall-U'!$A$4:$A$40,'Wall-U'!$Y$4:$Y$40)*G$12)+(LOOKUP(G$2,'Window-U'!$A$4:$A$40,'Window-U'!$S$4:$S$40)*G$21))*G$133</f>
        <v>207.03626865140529</v>
      </c>
      <c r="H135" s="177">
        <f>((LOOKUP(H$2,'Ceiling-U'!$A$4:$A$40,'Ceiling-U'!$Y$4:$Y$40)*H$14)+(LOOKUP(H$2,'Floor-U'!$A$4:$A$40,'Floor-U'!$F$4:$F$40)*H$15)+(LOOKUP(H$2,'Wall-U'!$A$4:$A$40,'Wall-U'!$Y$4:$Y$40)*H$12)+(LOOKUP(H$2,'Window-U'!$A$4:$A$40,'Window-U'!$S$4:$S$40)*H$21))*H$133</f>
        <v>269.80502124479307</v>
      </c>
      <c r="I135" s="177">
        <f>((LOOKUP(I$2,'Ceiling-U'!$A$4:$A$40,'Ceiling-U'!$Y$4:$Y$40)*I$14)+(LOOKUP(I$2,'Floor-U'!$A$4:$A$40,'Floor-U'!$F$4:$F$40)*I$15)+(LOOKUP(I$2,'Wall-U'!$A$4:$A$40,'Wall-U'!$Y$4:$Y$40)*I$12)+(LOOKUP(I$2,'Window-U'!$A$4:$A$40,'Window-U'!$S$4:$S$40)*I$21))*I$133</f>
        <v>139.68557141533543</v>
      </c>
      <c r="J135" s="177">
        <f>((LOOKUP(J$2,'Ceiling-U'!$A$4:$A$40,'Ceiling-U'!$Y$4:$Y$40)*J$14)+(LOOKUP(J$2,'Floor-U'!$A$4:$A$40,'Floor-U'!$F$4:$F$40)*J$15)+(LOOKUP(J$2,'Wall-U'!$A$4:$A$40,'Wall-U'!$Y$4:$Y$40)*J$12)+(LOOKUP(J$2,'Window-U'!$A$4:$A$40,'Window-U'!$S$4:$S$40)*J$21))*J$133</f>
        <v>173.10815281486373</v>
      </c>
      <c r="K135" s="177">
        <f>((LOOKUP(K$2,'Ceiling-U'!$A$4:$A$40,'Ceiling-U'!$Y$4:$Y$40)*K$14)+(LOOKUP(K$2,'Floor-U'!$A$4:$A$40,'Floor-U'!$F$4:$F$40)*K$15)+(LOOKUP(K$2,'Wall-U'!$A$4:$A$40,'Wall-U'!$Y$4:$Y$40)*K$12)+(LOOKUP(K$2,'Window-U'!$A$4:$A$40,'Window-U'!$S$4:$S$40)*K$21))*K$133</f>
        <v>144.11883931650178</v>
      </c>
      <c r="L135" s="177">
        <f>((LOOKUP(L$2,'Ceiling-U'!$A$4:$A$40,'Ceiling-U'!$Y$4:$Y$40)*L$14)+(LOOKUP(L$2,'Floor-U'!$A$4:$A$40,'Floor-U'!$F$4:$F$40)*L$15)+(LOOKUP(L$2,'Wall-U'!$A$4:$A$40,'Wall-U'!$Y$4:$Y$40)*L$12)+(LOOKUP(L$2,'Window-U'!$A$4:$A$40,'Window-U'!$S$4:$S$40)*L$21))*L$133</f>
        <v>85.688866420679261</v>
      </c>
      <c r="M135" s="177">
        <f>((LOOKUP(M$2,'Ceiling-U'!$A$4:$A$40,'Ceiling-U'!$Y$4:$Y$40)*M$14)+(LOOKUP(M$2,'Floor-U'!$A$4:$A$40,'Floor-U'!$F$4:$F$40)*M$15)+(LOOKUP(M$2,'Wall-U'!$A$4:$A$40,'Wall-U'!$Y$4:$Y$40)*M$12)+(LOOKUP(M$2,'Window-U'!$A$4:$A$40,'Window-U'!$S$4:$S$40)*M$21))*M$133</f>
        <v>271.37717705299207</v>
      </c>
      <c r="N135" s="177">
        <f>((LOOKUP(N$2,'Ceiling-U'!$A$4:$A$40,'Ceiling-U'!$Y$4:$Y$40)*N$14)+(LOOKUP(N$2,'Floor-U'!$A$4:$A$40,'Floor-U'!$F$4:$F$40)*N$15)+(LOOKUP(N$2,'Wall-U'!$A$4:$A$40,'Wall-U'!$Y$4:$Y$40)*N$12)+(LOOKUP(N$2,'Window-U'!$A$4:$A$40,'Window-U'!$S$4:$S$40)*N$21))*N$133</f>
        <v>94.723064706712819</v>
      </c>
      <c r="O135" s="177">
        <f>((LOOKUP(O$2,'Ceiling-U'!$A$4:$A$40,'Ceiling-U'!$Y$4:$Y$40)*O$14)+(LOOKUP(O$2,'Floor-U'!$A$4:$A$40,'Floor-U'!$F$4:$F$40)*O$15)+(LOOKUP(O$2,'Wall-U'!$A$4:$A$40,'Wall-U'!$Y$4:$Y$40)*O$12)+(LOOKUP(O$2,'Window-U'!$A$4:$A$40,'Window-U'!$S$4:$S$40)*O$21))*O$133</f>
        <v>242.43923601575841</v>
      </c>
      <c r="P135" s="177">
        <f>((LOOKUP(P$2,'Ceiling-U'!$A$4:$A$40,'Ceiling-U'!$Y$4:$Y$40)*P$14)+(LOOKUP(P$2,'Floor-U'!$A$4:$A$40,'Floor-U'!$F$4:$F$40)*P$15)+(LOOKUP(P$2,'Wall-U'!$A$4:$A$40,'Wall-U'!$Y$4:$Y$40)*P$12)+(LOOKUP(P$2,'Window-U'!$A$4:$A$40,'Window-U'!$S$4:$S$40)*P$21))*P$133</f>
        <v>271.6725117266559</v>
      </c>
      <c r="Q135" s="177">
        <f>((LOOKUP(Q$2,'Ceiling-U'!$A$4:$A$40,'Ceiling-U'!$Y$4:$Y$40)*Q$14)+(LOOKUP(Q$2,'Floor-U'!$A$4:$A$40,'Floor-U'!$F$4:$F$40)*Q$15)+(LOOKUP(Q$2,'Wall-U'!$A$4:$A$40,'Wall-U'!$Y$4:$Y$40)*Q$12)+(LOOKUP(Q$2,'Window-U'!$A$4:$A$40,'Window-U'!$S$4:$S$40)*Q$21))*Q$133</f>
        <v>111.19791124517511</v>
      </c>
      <c r="R135" s="177">
        <f>((LOOKUP(R$2,'Ceiling-U'!$A$4:$A$40,'Ceiling-U'!$Y$4:$Y$40)*R$14)+(LOOKUP(R$2,'Floor-U'!$A$4:$A$40,'Floor-U'!$F$4:$F$40)*R$15)+(LOOKUP(R$2,'Wall-U'!$A$4:$A$40,'Wall-U'!$Y$4:$Y$40)*R$12)+(LOOKUP(R$2,'Window-U'!$A$4:$A$40,'Window-U'!$S$4:$S$40)*R$21))*R$133</f>
        <v>142.96540902381975</v>
      </c>
      <c r="S135" s="177">
        <f>((LOOKUP(S$2,'Ceiling-U'!$A$4:$A$40,'Ceiling-U'!$Y$4:$Y$40)*S$14)+(LOOKUP(S$2,'Floor-U'!$A$4:$A$40,'Floor-U'!$F$4:$F$40)*S$15)+(LOOKUP(S$2,'Wall-U'!$A$4:$A$40,'Wall-U'!$Y$4:$Y$40)*S$12)+(LOOKUP(S$2,'Window-U'!$A$4:$A$40,'Window-U'!$S$4:$S$40)*S$21))*S$133</f>
        <v>150.69601759064432</v>
      </c>
      <c r="T135" s="177">
        <f>((LOOKUP(T$2,'Ceiling-U'!$A$4:$A$40,'Ceiling-U'!$Y$4:$Y$40)*T$14)+(LOOKUP(T$2,'Floor-U'!$A$4:$A$40,'Floor-U'!$F$4:$F$40)*T$15)+(LOOKUP(T$2,'Wall-U'!$A$4:$A$40,'Wall-U'!$Y$4:$Y$40)*T$12)+(LOOKUP(T$2,'Window-U'!$A$4:$A$40,'Window-U'!$S$4:$S$40)*T$21))*T$133</f>
        <v>94.723064706712819</v>
      </c>
      <c r="U135" s="177">
        <f>((LOOKUP(U$2,'Ceiling-U'!$A$4:$A$40,'Ceiling-U'!$Y$4:$Y$40)*U$14)+(LOOKUP(U$2,'Floor-U'!$A$4:$A$40,'Floor-U'!$F$4:$F$40)*U$15)+(LOOKUP(U$2,'Wall-U'!$A$4:$A$40,'Wall-U'!$Y$4:$Y$40)*U$12)+(LOOKUP(U$2,'Window-U'!$A$4:$A$40,'Window-U'!$S$4:$S$40)*U$21))*U$133</f>
        <v>223.50968844007889</v>
      </c>
      <c r="V135" s="177">
        <f>((LOOKUP(V$2,'Ceiling-U'!$A$4:$A$40,'Ceiling-U'!$Y$4:$Y$40)*V$14)+(LOOKUP(V$2,'Floor-U'!$A$4:$A$40,'Floor-U'!$F$4:$F$40)*V$15)+(LOOKUP(V$2,'Wall-U'!$A$4:$A$40,'Wall-U'!$Y$4:$Y$40)*V$12)+(LOOKUP(V$2,'Window-U'!$A$4:$A$40,'Window-U'!$S$4:$S$40)*V$21))*V$133</f>
        <v>140.18437451876898</v>
      </c>
      <c r="W135" s="177">
        <f>((LOOKUP(W$2,'Ceiling-U'!$A$4:$A$40,'Ceiling-U'!$Y$4:$Y$40)*W$14)+(LOOKUP(W$2,'Floor-U'!$A$4:$A$40,'Floor-U'!$F$4:$F$40)*W$15)+(LOOKUP(W$2,'Wall-U'!$A$4:$A$40,'Wall-U'!$Y$4:$Y$40)*W$12)+(LOOKUP(W$2,'Window-U'!$A$4:$A$40,'Window-U'!$S$4:$S$40)*W$21))*W$133</f>
        <v>157.9351607094026</v>
      </c>
      <c r="X135" s="177">
        <f>((LOOKUP(X$2,'Ceiling-U'!$A$4:$A$40,'Ceiling-U'!$Y$4:$Y$40)*X$14)+(LOOKUP(X$2,'Floor-U'!$A$4:$A$40,'Floor-U'!$F$4:$F$40)*X$15)+(LOOKUP(X$2,'Wall-U'!$A$4:$A$40,'Wall-U'!$Y$4:$Y$40)*X$12)+(LOOKUP(X$2,'Window-U'!$A$4:$A$40,'Window-U'!$S$4:$S$40)*X$21))*X$133</f>
        <v>134.48922615058484</v>
      </c>
      <c r="Y135" s="177">
        <f>((LOOKUP(Y$2,'Ceiling-U'!$A$4:$A$40,'Ceiling-U'!$Y$4:$Y$40)*Y$14)+(LOOKUP(Y$2,'Floor-U'!$A$4:$A$40,'Floor-U'!$F$4:$F$40)*Y$15)+(LOOKUP(Y$2,'Wall-U'!$A$4:$A$40,'Wall-U'!$Y$4:$Y$40)*Y$12)+(LOOKUP(Y$2,'Window-U'!$A$4:$A$40,'Window-U'!$S$4:$S$40)*Y$21))*Y$133</f>
        <v>284.90922603704757</v>
      </c>
      <c r="Z135" s="177">
        <f>((LOOKUP(Z$2,'Ceiling-U'!$A$4:$A$40,'Ceiling-U'!$Y$4:$Y$40)*Z$14)+(LOOKUP(Z$2,'Floor-U'!$A$4:$A$40,'Floor-U'!$F$4:$F$40)*Z$15)+(LOOKUP(Z$2,'Wall-U'!$A$4:$A$40,'Wall-U'!$Y$4:$Y$40)*Z$12)+(LOOKUP(Z$2,'Window-U'!$A$4:$A$40,'Window-U'!$S$4:$S$40)*Z$21))*Z$133</f>
        <v>182.98071557709449</v>
      </c>
      <c r="AA135" s="177">
        <f>((LOOKUP(AA$2,'Ceiling-U'!$A$4:$A$40,'Ceiling-U'!$Y$4:$Y$40)*AA$14)+(LOOKUP(AA$2,'Floor-U'!$A$4:$A$40,'Floor-U'!$F$4:$F$40)*AA$15)+(LOOKUP(AA$2,'Wall-U'!$A$4:$A$40,'Wall-U'!$Y$4:$Y$40)*AA$12)+(LOOKUP(AA$2,'Window-U'!$A$4:$A$40,'Window-U'!$S$4:$S$40)*AA$21))*AA$133</f>
        <v>90.888387517334166</v>
      </c>
      <c r="AB135" s="177">
        <f>((LOOKUP(AB$2,'Ceiling-U'!$A$4:$A$40,'Ceiling-U'!$Y$4:$Y$40)*AB$14)+(LOOKUP(AB$2,'Floor-U'!$A$4:$A$40,'Floor-U'!$F$4:$F$40)*AB$15)+(LOOKUP(AB$2,'Wall-U'!$A$4:$A$40,'Wall-U'!$Y$4:$Y$40)*AB$12)+(LOOKUP(AB$2,'Window-U'!$A$4:$A$40,'Window-U'!$S$4:$S$40)*AB$21))*AB$133</f>
        <v>152.82638715350208</v>
      </c>
      <c r="AC135" s="177">
        <f>((LOOKUP(AC$2,'Ceiling-U'!$A$4:$A$40,'Ceiling-U'!$Y$4:$Y$40)*AC$14)+(LOOKUP(AC$2,'Floor-U'!$A$4:$A$40,'Floor-U'!$F$4:$F$40)*AC$15)+(LOOKUP(AC$2,'Wall-U'!$A$4:$A$40,'Wall-U'!$Y$4:$Y$40)*AC$12)+(LOOKUP(AC$2,'Window-U'!$A$4:$A$40,'Window-U'!$S$4:$S$40)*AC$21))*AC$133</f>
        <v>253.10970359967052</v>
      </c>
      <c r="AD135" s="177">
        <f>((LOOKUP(AD$2,'Ceiling-U'!$A$4:$A$40,'Ceiling-U'!$Y$4:$Y$40)*AD$14)+(LOOKUP(AD$2,'Floor-U'!$A$4:$A$40,'Floor-U'!$F$4:$F$40)*AD$15)+(LOOKUP(AD$2,'Wall-U'!$A$4:$A$40,'Wall-U'!$Y$4:$Y$40)*AD$12)+(LOOKUP(AD$2,'Window-U'!$A$4:$A$40,'Window-U'!$S$4:$S$40)*AD$21))*AD$133</f>
        <v>139.43859195443687</v>
      </c>
      <c r="AE135" s="177">
        <f>((LOOKUP(AE$2,'Ceiling-U'!$A$4:$A$40,'Ceiling-U'!$Y$4:$Y$40)*AE$14)+(LOOKUP(AE$2,'Floor-U'!$A$4:$A$40,'Floor-U'!$F$4:$F$40)*AE$15)+(LOOKUP(AE$2,'Wall-U'!$A$4:$A$40,'Wall-U'!$Y$4:$Y$40)*AE$12)+(LOOKUP(AE$2,'Window-U'!$A$4:$A$40,'Window-U'!$S$4:$S$40)*AE$21))*AE$133</f>
        <v>90.888387517334166</v>
      </c>
      <c r="AF135" s="177">
        <f>((LOOKUP(AF$2,'Ceiling-U'!$A$4:$A$40,'Ceiling-U'!$Y$4:$Y$40)*AF$14)+(LOOKUP(AF$2,'Floor-U'!$A$4:$A$40,'Floor-U'!$F$4:$F$40)*AF$15)+(LOOKUP(AF$2,'Wall-U'!$A$4:$A$40,'Wall-U'!$Y$4:$Y$40)*AF$12)+(LOOKUP(AF$2,'Window-U'!$A$4:$A$40,'Window-U'!$S$4:$S$40)*AF$21))*AF$133</f>
        <v>150.46843120970414</v>
      </c>
      <c r="AG135" s="177">
        <f>((LOOKUP(AG$2,'Ceiling-U'!$A$4:$A$40,'Ceiling-U'!$Y$4:$Y$40)*AG$14)+(LOOKUP(AG$2,'Floor-U'!$A$4:$A$40,'Floor-U'!$F$4:$F$40)*AG$15)+(LOOKUP(AG$2,'Wall-U'!$A$4:$A$40,'Wall-U'!$Y$4:$Y$40)*AG$12)+(LOOKUP(AG$2,'Window-U'!$A$4:$A$40,'Window-U'!$S$4:$S$40)*AG$21))*AG$133</f>
        <v>187.87706378403067</v>
      </c>
      <c r="AH135" s="177">
        <f>((LOOKUP(AH$2,'Ceiling-U'!$A$4:$A$40,'Ceiling-U'!$Y$4:$Y$40)*AH$14)+(LOOKUP(AH$2,'Floor-U'!$A$4:$A$40,'Floor-U'!$F$4:$F$40)*AH$15)+(LOOKUP(AH$2,'Wall-U'!$A$4:$A$40,'Wall-U'!$Y$4:$Y$40)*AH$12)+(LOOKUP(AH$2,'Window-U'!$A$4:$A$40,'Window-U'!$S$4:$S$40)*AH$21))*AH$133</f>
        <v>117.95868474855058</v>
      </c>
      <c r="AI135" s="177">
        <f>((LOOKUP(AI$2,'Ceiling-U'!$A$4:$A$40,'Ceiling-U'!$Y$4:$Y$40)*AI$14)+(LOOKUP(AI$2,'Floor-U'!$A$4:$A$40,'Floor-U'!$F$4:$F$40)*AI$15)+(LOOKUP(AI$2,'Wall-U'!$A$4:$A$40,'Wall-U'!$Y$4:$Y$40)*AI$12)+(LOOKUP(AI$2,'Window-U'!$A$4:$A$40,'Window-U'!$S$4:$S$40)*AI$21))*AI$133</f>
        <v>271.6725117266559</v>
      </c>
      <c r="AJ135" s="177">
        <f>((LOOKUP(AJ$2,'Ceiling-U'!$A$4:$A$40,'Ceiling-U'!$Y$4:$Y$40)*AJ$14)+(LOOKUP(AJ$2,'Floor-U'!$A$4:$A$40,'Floor-U'!$F$4:$F$40)*AJ$15)+(LOOKUP(AJ$2,'Wall-U'!$A$4:$A$40,'Wall-U'!$Y$4:$Y$40)*AJ$12)+(LOOKUP(AJ$2,'Window-U'!$A$4:$A$40,'Window-U'!$S$4:$S$40)*AJ$21))*AJ$133</f>
        <v>111.17068240259067</v>
      </c>
      <c r="AK135" s="177">
        <f>((LOOKUP(AK$2,'Ceiling-U'!$A$4:$A$40,'Ceiling-U'!$Y$4:$Y$40)*AK$14)+(LOOKUP(AK$2,'Floor-U'!$A$4:$A$40,'Floor-U'!$F$4:$F$40)*AK$15)+(LOOKUP(AK$2,'Wall-U'!$A$4:$A$40,'Wall-U'!$Y$4:$Y$40)*AK$12)+(LOOKUP(AK$2,'Window-U'!$A$4:$A$40,'Window-U'!$S$4:$S$40)*AK$21))*AK$133</f>
        <v>135.86189868576454</v>
      </c>
      <c r="AL135" s="177">
        <f>((LOOKUP(AL$2,'Ceiling-U'!$A$4:$A$40,'Ceiling-U'!$Y$4:$Y$40)*AL$14)+(LOOKUP(AL$2,'Floor-U'!$A$4:$A$40,'Floor-U'!$F$4:$F$40)*AL$15)+(LOOKUP(AL$2,'Wall-U'!$A$4:$A$40,'Wall-U'!$Y$4:$Y$40)*AL$12)+(LOOKUP(AL$2,'Window-U'!$A$4:$A$40,'Window-U'!$S$4:$S$40)*AL$21))*AL$133</f>
        <v>117.14447276677245</v>
      </c>
      <c r="AM135" s="177">
        <f>((LOOKUP(AM$2,'Ceiling-U'!$A$4:$A$40,'Ceiling-U'!$Y$4:$Y$40)*AM$14)+(LOOKUP(AM$2,'Floor-U'!$A$4:$A$40,'Floor-U'!$F$4:$F$40)*AM$15)+(LOOKUP(AM$2,'Wall-U'!$A$4:$A$40,'Wall-U'!$Y$4:$Y$40)*AM$12)+(LOOKUP(AM$2,'Window-U'!$A$4:$A$40,'Window-U'!$S$4:$S$40)*AM$21))*AM$133</f>
        <v>111.17068240259067</v>
      </c>
      <c r="AN135" s="178">
        <f>((LOOKUP(AN$2,'Ceiling-U'!$A$4:$A$40,'Ceiling-U'!$Y$4:$Y$40)*AN$14)+(LOOKUP(AN$2,'Floor-U'!$A$4:$A$40,'Floor-U'!$F$4:$F$40)*AN$15)+(LOOKUP(AN$2,'Wall-U'!$A$4:$A$40,'Wall-U'!$Y$4:$Y$40)*AN$12)+(LOOKUP(AN$2,'Window-U'!$A$4:$A$40,'Window-U'!$S$4:$S$40)*AN$21))*AN$133</f>
        <v>111.17068240259067</v>
      </c>
    </row>
    <row r="136" spans="1:40">
      <c r="A136" s="372"/>
      <c r="B136" s="142" t="s">
        <v>4</v>
      </c>
      <c r="C136" s="131" t="s">
        <v>195</v>
      </c>
      <c r="D136" s="176">
        <f>((LOOKUP(D$2,'Ceiling-U'!$A$4:$A$40,'Ceiling-U'!$Z$4:$Z$40)*D$14)+(LOOKUP(D$2,'Floor-U'!$A$4:$A$40,'Floor-U'!$G$4:$G$40)*D$15)+(LOOKUP(D$2,'Wall-U'!$A$4:$A$40,'Wall-U'!$Z$4:$Z$40)*D$12)+(LOOKUP(D$2,'Window-U'!$A$4:$A$40,'Window-U'!$S$4:$S$40)*D$21))*D$133</f>
        <v>169.94343749676818</v>
      </c>
      <c r="E136" s="177">
        <f>((LOOKUP(E$2,'Ceiling-U'!$A$4:$A$40,'Ceiling-U'!$Z$4:$Z$40)*E$14)+(LOOKUP(E$2,'Floor-U'!$A$4:$A$40,'Floor-U'!$G$4:$G$40)*E$15)+(LOOKUP(E$2,'Wall-U'!$A$4:$A$40,'Wall-U'!$Z$4:$Z$40)*E$12)+(LOOKUP(E$2,'Window-U'!$A$4:$A$40,'Window-U'!$S$4:$S$40)*E$21))*E$133</f>
        <v>169.87468015051672</v>
      </c>
      <c r="F136" s="177">
        <f>((LOOKUP(F$2,'Ceiling-U'!$A$4:$A$40,'Ceiling-U'!$Z$4:$Z$40)*F$14)+(LOOKUP(F$2,'Floor-U'!$A$4:$A$40,'Floor-U'!$G$4:$G$40)*F$15)+(LOOKUP(F$2,'Wall-U'!$A$4:$A$40,'Wall-U'!$Z$4:$Z$40)*F$12)+(LOOKUP(F$2,'Window-U'!$A$4:$A$40,'Window-U'!$S$4:$S$40)*F$21))*F$133</f>
        <v>106.45045290301744</v>
      </c>
      <c r="G136" s="177">
        <f>((LOOKUP(G$2,'Ceiling-U'!$A$4:$A$40,'Ceiling-U'!$Z$4:$Z$40)*G$14)+(LOOKUP(G$2,'Floor-U'!$A$4:$A$40,'Floor-U'!$G$4:$G$40)*G$15)+(LOOKUP(G$2,'Wall-U'!$A$4:$A$40,'Wall-U'!$Z$4:$Z$40)*G$12)+(LOOKUP(G$2,'Window-U'!$A$4:$A$40,'Window-U'!$S$4:$S$40)*G$21))*G$133</f>
        <v>169.94343749676818</v>
      </c>
      <c r="H136" s="177">
        <f>((LOOKUP(H$2,'Ceiling-U'!$A$4:$A$40,'Ceiling-U'!$Z$4:$Z$40)*H$14)+(LOOKUP(H$2,'Floor-U'!$A$4:$A$40,'Floor-U'!$G$4:$G$40)*H$15)+(LOOKUP(H$2,'Wall-U'!$A$4:$A$40,'Wall-U'!$Z$4:$Z$40)*H$12)+(LOOKUP(H$2,'Window-U'!$A$4:$A$40,'Window-U'!$S$4:$S$40)*H$21))*H$133</f>
        <v>267.56386532333397</v>
      </c>
      <c r="I136" s="177">
        <f>((LOOKUP(I$2,'Ceiling-U'!$A$4:$A$40,'Ceiling-U'!$Z$4:$Z$40)*I$14)+(LOOKUP(I$2,'Floor-U'!$A$4:$A$40,'Floor-U'!$G$4:$G$40)*I$15)+(LOOKUP(I$2,'Wall-U'!$A$4:$A$40,'Wall-U'!$Z$4:$Z$40)*I$12)+(LOOKUP(I$2,'Window-U'!$A$4:$A$40,'Window-U'!$S$4:$S$40)*I$21))*I$133</f>
        <v>139.68557141533543</v>
      </c>
      <c r="J136" s="177">
        <f>((LOOKUP(J$2,'Ceiling-U'!$A$4:$A$40,'Ceiling-U'!$Z$4:$Z$40)*J$14)+(LOOKUP(J$2,'Floor-U'!$A$4:$A$40,'Floor-U'!$G$4:$G$40)*J$15)+(LOOKUP(J$2,'Wall-U'!$A$4:$A$40,'Wall-U'!$Z$4:$Z$40)*J$12)+(LOOKUP(J$2,'Window-U'!$A$4:$A$40,'Window-U'!$S$4:$S$40)*J$21))*J$133</f>
        <v>144.04386214497339</v>
      </c>
      <c r="K136" s="177">
        <f>((LOOKUP(K$2,'Ceiling-U'!$A$4:$A$40,'Ceiling-U'!$Z$4:$Z$40)*K$14)+(LOOKUP(K$2,'Floor-U'!$A$4:$A$40,'Floor-U'!$G$4:$G$40)*K$15)+(LOOKUP(K$2,'Wall-U'!$A$4:$A$40,'Wall-U'!$Z$4:$Z$40)*K$12)+(LOOKUP(K$2,'Window-U'!$A$4:$A$40,'Window-U'!$S$4:$S$40)*K$21))*K$133</f>
        <v>99.958631860597762</v>
      </c>
      <c r="L136" s="177">
        <f>((LOOKUP(L$2,'Ceiling-U'!$A$4:$A$40,'Ceiling-U'!$Z$4:$Z$40)*L$14)+(LOOKUP(L$2,'Floor-U'!$A$4:$A$40,'Floor-U'!$G$4:$G$40)*L$15)+(LOOKUP(L$2,'Wall-U'!$A$4:$A$40,'Wall-U'!$Z$4:$Z$40)*L$12)+(LOOKUP(L$2,'Window-U'!$A$4:$A$40,'Window-U'!$S$4:$S$40)*L$21))*L$133</f>
        <v>73.821206757873426</v>
      </c>
      <c r="M136" s="177">
        <f>((LOOKUP(M$2,'Ceiling-U'!$A$4:$A$40,'Ceiling-U'!$Z$4:$Z$40)*M$14)+(LOOKUP(M$2,'Floor-U'!$A$4:$A$40,'Floor-U'!$G$4:$G$40)*M$15)+(LOOKUP(M$2,'Wall-U'!$A$4:$A$40,'Wall-U'!$Z$4:$Z$40)*M$12)+(LOOKUP(M$2,'Window-U'!$A$4:$A$40,'Window-U'!$S$4:$S$40)*M$21))*M$133</f>
        <v>271.37717705299207</v>
      </c>
      <c r="N136" s="177">
        <f>((LOOKUP(N$2,'Ceiling-U'!$A$4:$A$40,'Ceiling-U'!$Z$4:$Z$40)*N$14)+(LOOKUP(N$2,'Floor-U'!$A$4:$A$40,'Floor-U'!$G$4:$G$40)*N$15)+(LOOKUP(N$2,'Wall-U'!$A$4:$A$40,'Wall-U'!$Z$4:$Z$40)*N$12)+(LOOKUP(N$2,'Window-U'!$A$4:$A$40,'Window-U'!$S$4:$S$40)*N$21))*N$133</f>
        <v>83.464731824806208</v>
      </c>
      <c r="O136" s="177">
        <f>((LOOKUP(O$2,'Ceiling-U'!$A$4:$A$40,'Ceiling-U'!$Z$4:$Z$40)*O$14)+(LOOKUP(O$2,'Floor-U'!$A$4:$A$40,'Floor-U'!$G$4:$G$40)*O$15)+(LOOKUP(O$2,'Wall-U'!$A$4:$A$40,'Wall-U'!$Z$4:$Z$40)*O$12)+(LOOKUP(O$2,'Window-U'!$A$4:$A$40,'Window-U'!$S$4:$S$40)*O$21))*O$133</f>
        <v>150.53437906959823</v>
      </c>
      <c r="P136" s="177">
        <f>((LOOKUP(P$2,'Ceiling-U'!$A$4:$A$40,'Ceiling-U'!$Z$4:$Z$40)*P$14)+(LOOKUP(P$2,'Floor-U'!$A$4:$A$40,'Floor-U'!$G$4:$G$40)*P$15)+(LOOKUP(P$2,'Wall-U'!$A$4:$A$40,'Wall-U'!$Z$4:$Z$40)*P$12)+(LOOKUP(P$2,'Window-U'!$A$4:$A$40,'Window-U'!$S$4:$S$40)*P$21))*P$133</f>
        <v>271.6725117266559</v>
      </c>
      <c r="Q136" s="177">
        <f>((LOOKUP(Q$2,'Ceiling-U'!$A$4:$A$40,'Ceiling-U'!$Z$4:$Z$40)*Q$14)+(LOOKUP(Q$2,'Floor-U'!$A$4:$A$40,'Floor-U'!$G$4:$G$40)*Q$15)+(LOOKUP(Q$2,'Wall-U'!$A$4:$A$40,'Wall-U'!$Z$4:$Z$40)*Q$12)+(LOOKUP(Q$2,'Window-U'!$A$4:$A$40,'Window-U'!$S$4:$S$40)*Q$21))*Q$133</f>
        <v>110.05630492910342</v>
      </c>
      <c r="R136" s="177">
        <f>((LOOKUP(R$2,'Ceiling-U'!$A$4:$A$40,'Ceiling-U'!$Z$4:$Z$40)*R$14)+(LOOKUP(R$2,'Floor-U'!$A$4:$A$40,'Floor-U'!$G$4:$G$40)*R$15)+(LOOKUP(R$2,'Wall-U'!$A$4:$A$40,'Wall-U'!$Z$4:$Z$40)*R$12)+(LOOKUP(R$2,'Window-U'!$A$4:$A$40,'Window-U'!$S$4:$S$40)*R$21))*R$133</f>
        <v>140.04155718713051</v>
      </c>
      <c r="S136" s="177">
        <f>((LOOKUP(S$2,'Ceiling-U'!$A$4:$A$40,'Ceiling-U'!$Z$4:$Z$40)*S$14)+(LOOKUP(S$2,'Floor-U'!$A$4:$A$40,'Floor-U'!$G$4:$G$40)*S$15)+(LOOKUP(S$2,'Wall-U'!$A$4:$A$40,'Wall-U'!$Z$4:$Z$40)*S$12)+(LOOKUP(S$2,'Window-U'!$A$4:$A$40,'Window-U'!$S$4:$S$40)*S$21))*S$133</f>
        <v>149.00812462684536</v>
      </c>
      <c r="T136" s="177">
        <f>((LOOKUP(T$2,'Ceiling-U'!$A$4:$A$40,'Ceiling-U'!$Z$4:$Z$40)*T$14)+(LOOKUP(T$2,'Floor-U'!$A$4:$A$40,'Floor-U'!$G$4:$G$40)*T$15)+(LOOKUP(T$2,'Wall-U'!$A$4:$A$40,'Wall-U'!$Z$4:$Z$40)*T$12)+(LOOKUP(T$2,'Window-U'!$A$4:$A$40,'Window-U'!$S$4:$S$40)*T$21))*T$133</f>
        <v>83.464731824806208</v>
      </c>
      <c r="U136" s="177">
        <f>((LOOKUP(U$2,'Ceiling-U'!$A$4:$A$40,'Ceiling-U'!$Z$4:$Z$40)*U$14)+(LOOKUP(U$2,'Floor-U'!$A$4:$A$40,'Floor-U'!$G$4:$G$40)*U$15)+(LOOKUP(U$2,'Wall-U'!$A$4:$A$40,'Wall-U'!$Z$4:$Z$40)*U$12)+(LOOKUP(U$2,'Window-U'!$A$4:$A$40,'Window-U'!$S$4:$S$40)*U$21))*U$133</f>
        <v>205.39770464665463</v>
      </c>
      <c r="V136" s="177">
        <f>((LOOKUP(V$2,'Ceiling-U'!$A$4:$A$40,'Ceiling-U'!$Z$4:$Z$40)*V$14)+(LOOKUP(V$2,'Floor-U'!$A$4:$A$40,'Floor-U'!$G$4:$G$40)*V$15)+(LOOKUP(V$2,'Wall-U'!$A$4:$A$40,'Wall-U'!$Z$4:$Z$40)*V$12)+(LOOKUP(V$2,'Window-U'!$A$4:$A$40,'Window-U'!$S$4:$S$40)*V$21))*V$133</f>
        <v>104.10326144894657</v>
      </c>
      <c r="W136" s="177">
        <f>((LOOKUP(W$2,'Ceiling-U'!$A$4:$A$40,'Ceiling-U'!$Z$4:$Z$40)*W$14)+(LOOKUP(W$2,'Floor-U'!$A$4:$A$40,'Floor-U'!$G$4:$G$40)*W$15)+(LOOKUP(W$2,'Wall-U'!$A$4:$A$40,'Wall-U'!$Z$4:$Z$40)*W$12)+(LOOKUP(W$2,'Window-U'!$A$4:$A$40,'Window-U'!$S$4:$S$40)*W$21))*W$133</f>
        <v>100.87869944888909</v>
      </c>
      <c r="X136" s="177">
        <f>((LOOKUP(X$2,'Ceiling-U'!$A$4:$A$40,'Ceiling-U'!$Z$4:$Z$40)*X$14)+(LOOKUP(X$2,'Floor-U'!$A$4:$A$40,'Floor-U'!$G$4:$G$40)*X$15)+(LOOKUP(X$2,'Wall-U'!$A$4:$A$40,'Wall-U'!$Z$4:$Z$40)*X$12)+(LOOKUP(X$2,'Window-U'!$A$4:$A$40,'Window-U'!$S$4:$S$40)*X$21))*X$133</f>
        <v>132.63635191201698</v>
      </c>
      <c r="Y136" s="177">
        <f>((LOOKUP(Y$2,'Ceiling-U'!$A$4:$A$40,'Ceiling-U'!$Z$4:$Z$40)*Y$14)+(LOOKUP(Y$2,'Floor-U'!$A$4:$A$40,'Floor-U'!$G$4:$G$40)*Y$15)+(LOOKUP(Y$2,'Wall-U'!$A$4:$A$40,'Wall-U'!$Z$4:$Z$40)*Y$12)+(LOOKUP(Y$2,'Window-U'!$A$4:$A$40,'Window-U'!$S$4:$S$40)*Y$21))*Y$133</f>
        <v>281.08996262781164</v>
      </c>
      <c r="Z136" s="177">
        <f>((LOOKUP(Z$2,'Ceiling-U'!$A$4:$A$40,'Ceiling-U'!$Z$4:$Z$40)*Z$14)+(LOOKUP(Z$2,'Floor-U'!$A$4:$A$40,'Floor-U'!$G$4:$G$40)*Z$15)+(LOOKUP(Z$2,'Wall-U'!$A$4:$A$40,'Wall-U'!$Z$4:$Z$40)*Z$12)+(LOOKUP(Z$2,'Window-U'!$A$4:$A$40,'Window-U'!$S$4:$S$40)*Z$21))*Z$133</f>
        <v>163.88329918173824</v>
      </c>
      <c r="AA136" s="177">
        <f>((LOOKUP(AA$2,'Ceiling-U'!$A$4:$A$40,'Ceiling-U'!$Z$4:$Z$40)*AA$14)+(LOOKUP(AA$2,'Floor-U'!$A$4:$A$40,'Floor-U'!$G$4:$G$40)*AA$15)+(LOOKUP(AA$2,'Wall-U'!$A$4:$A$40,'Wall-U'!$Z$4:$Z$40)*AA$12)+(LOOKUP(AA$2,'Window-U'!$A$4:$A$40,'Window-U'!$S$4:$S$40)*AA$21))*AA$133</f>
        <v>71.823799655831692</v>
      </c>
      <c r="AB136" s="177">
        <f>((LOOKUP(AB$2,'Ceiling-U'!$A$4:$A$40,'Ceiling-U'!$Z$4:$Z$40)*AB$14)+(LOOKUP(AB$2,'Floor-U'!$A$4:$A$40,'Floor-U'!$G$4:$G$40)*AB$15)+(LOOKUP(AB$2,'Wall-U'!$A$4:$A$40,'Wall-U'!$Z$4:$Z$40)*AB$12)+(LOOKUP(AB$2,'Window-U'!$A$4:$A$40,'Window-U'!$S$4:$S$40)*AB$21))*AB$133</f>
        <v>126.96683400867272</v>
      </c>
      <c r="AC136" s="177">
        <f>((LOOKUP(AC$2,'Ceiling-U'!$A$4:$A$40,'Ceiling-U'!$Z$4:$Z$40)*AC$14)+(LOOKUP(AC$2,'Floor-U'!$A$4:$A$40,'Floor-U'!$G$4:$G$40)*AC$15)+(LOOKUP(AC$2,'Wall-U'!$A$4:$A$40,'Wall-U'!$Z$4:$Z$40)*AC$12)+(LOOKUP(AC$2,'Window-U'!$A$4:$A$40,'Window-U'!$S$4:$S$40)*AC$21))*AC$133</f>
        <v>252.99440461152147</v>
      </c>
      <c r="AD136" s="177">
        <f>((LOOKUP(AD$2,'Ceiling-U'!$A$4:$A$40,'Ceiling-U'!$Z$4:$Z$40)*AD$14)+(LOOKUP(AD$2,'Floor-U'!$A$4:$A$40,'Floor-U'!$G$4:$G$40)*AD$15)+(LOOKUP(AD$2,'Wall-U'!$A$4:$A$40,'Wall-U'!$Z$4:$Z$40)*AD$12)+(LOOKUP(AD$2,'Window-U'!$A$4:$A$40,'Window-U'!$S$4:$S$40)*AD$21))*AD$133</f>
        <v>139.43859195443687</v>
      </c>
      <c r="AE136" s="177">
        <f>((LOOKUP(AE$2,'Ceiling-U'!$A$4:$A$40,'Ceiling-U'!$Z$4:$Z$40)*AE$14)+(LOOKUP(AE$2,'Floor-U'!$A$4:$A$40,'Floor-U'!$G$4:$G$40)*AE$15)+(LOOKUP(AE$2,'Wall-U'!$A$4:$A$40,'Wall-U'!$Z$4:$Z$40)*AE$12)+(LOOKUP(AE$2,'Window-U'!$A$4:$A$40,'Window-U'!$S$4:$S$40)*AE$21))*AE$133</f>
        <v>71.823799655831692</v>
      </c>
      <c r="AF136" s="177">
        <f>((LOOKUP(AF$2,'Ceiling-U'!$A$4:$A$40,'Ceiling-U'!$Z$4:$Z$40)*AF$14)+(LOOKUP(AF$2,'Floor-U'!$A$4:$A$40,'Floor-U'!$G$4:$G$40)*AF$15)+(LOOKUP(AF$2,'Wall-U'!$A$4:$A$40,'Wall-U'!$Z$4:$Z$40)*AF$12)+(LOOKUP(AF$2,'Window-U'!$A$4:$A$40,'Window-U'!$S$4:$S$40)*AF$21))*AF$133</f>
        <v>137.15232224243141</v>
      </c>
      <c r="AG136" s="177">
        <f>((LOOKUP(AG$2,'Ceiling-U'!$A$4:$A$40,'Ceiling-U'!$Z$4:$Z$40)*AG$14)+(LOOKUP(AG$2,'Floor-U'!$A$4:$A$40,'Floor-U'!$G$4:$G$40)*AG$15)+(LOOKUP(AG$2,'Wall-U'!$A$4:$A$40,'Wall-U'!$Z$4:$Z$40)*AG$12)+(LOOKUP(AG$2,'Window-U'!$A$4:$A$40,'Window-U'!$S$4:$S$40)*AG$21))*AG$133</f>
        <v>187.87706378403067</v>
      </c>
      <c r="AH136" s="177">
        <f>((LOOKUP(AH$2,'Ceiling-U'!$A$4:$A$40,'Ceiling-U'!$Z$4:$Z$40)*AH$14)+(LOOKUP(AH$2,'Floor-U'!$A$4:$A$40,'Floor-U'!$G$4:$G$40)*AH$15)+(LOOKUP(AH$2,'Wall-U'!$A$4:$A$40,'Wall-U'!$Z$4:$Z$40)*AH$12)+(LOOKUP(AH$2,'Window-U'!$A$4:$A$40,'Window-U'!$S$4:$S$40)*AH$21))*AH$133</f>
        <v>114.97292640800916</v>
      </c>
      <c r="AI136" s="177">
        <f>((LOOKUP(AI$2,'Ceiling-U'!$A$4:$A$40,'Ceiling-U'!$Z$4:$Z$40)*AI$14)+(LOOKUP(AI$2,'Floor-U'!$A$4:$A$40,'Floor-U'!$G$4:$G$40)*AI$15)+(LOOKUP(AI$2,'Wall-U'!$A$4:$A$40,'Wall-U'!$Z$4:$Z$40)*AI$12)+(LOOKUP(AI$2,'Window-U'!$A$4:$A$40,'Window-U'!$S$4:$S$40)*AI$21))*AI$133</f>
        <v>271.6725117266559</v>
      </c>
      <c r="AJ136" s="177">
        <f>((LOOKUP(AJ$2,'Ceiling-U'!$A$4:$A$40,'Ceiling-U'!$Z$4:$Z$40)*AJ$14)+(LOOKUP(AJ$2,'Floor-U'!$A$4:$A$40,'Floor-U'!$G$4:$G$40)*AJ$15)+(LOOKUP(AJ$2,'Wall-U'!$A$4:$A$40,'Wall-U'!$Z$4:$Z$40)*AJ$12)+(LOOKUP(AJ$2,'Window-U'!$A$4:$A$40,'Window-U'!$S$4:$S$40)*AJ$21))*AJ$133</f>
        <v>111.17068240259067</v>
      </c>
      <c r="AK136" s="177">
        <f>((LOOKUP(AK$2,'Ceiling-U'!$A$4:$A$40,'Ceiling-U'!$Z$4:$Z$40)*AK$14)+(LOOKUP(AK$2,'Floor-U'!$A$4:$A$40,'Floor-U'!$G$4:$G$40)*AK$15)+(LOOKUP(AK$2,'Wall-U'!$A$4:$A$40,'Wall-U'!$Z$4:$Z$40)*AK$12)+(LOOKUP(AK$2,'Window-U'!$A$4:$A$40,'Window-U'!$S$4:$S$40)*AK$21))*AK$133</f>
        <v>135.86189868576454</v>
      </c>
      <c r="AL136" s="177">
        <f>((LOOKUP(AL$2,'Ceiling-U'!$A$4:$A$40,'Ceiling-U'!$Z$4:$Z$40)*AL$14)+(LOOKUP(AL$2,'Floor-U'!$A$4:$A$40,'Floor-U'!$G$4:$G$40)*AL$15)+(LOOKUP(AL$2,'Wall-U'!$A$4:$A$40,'Wall-U'!$Z$4:$Z$40)*AL$12)+(LOOKUP(AL$2,'Window-U'!$A$4:$A$40,'Window-U'!$S$4:$S$40)*AL$21))*AL$133</f>
        <v>112.29036744141234</v>
      </c>
      <c r="AM136" s="177">
        <f>((LOOKUP(AM$2,'Ceiling-U'!$A$4:$A$40,'Ceiling-U'!$Z$4:$Z$40)*AM$14)+(LOOKUP(AM$2,'Floor-U'!$A$4:$A$40,'Floor-U'!$G$4:$G$40)*AM$15)+(LOOKUP(AM$2,'Wall-U'!$A$4:$A$40,'Wall-U'!$Z$4:$Z$40)*AM$12)+(LOOKUP(AM$2,'Window-U'!$A$4:$A$40,'Window-U'!$S$4:$S$40)*AM$21))*AM$133</f>
        <v>111.17068240259067</v>
      </c>
      <c r="AN136" s="178">
        <f>((LOOKUP(AN$2,'Ceiling-U'!$A$4:$A$40,'Ceiling-U'!$Z$4:$Z$40)*AN$14)+(LOOKUP(AN$2,'Floor-U'!$A$4:$A$40,'Floor-U'!$G$4:$G$40)*AN$15)+(LOOKUP(AN$2,'Wall-U'!$A$4:$A$40,'Wall-U'!$Z$4:$Z$40)*AN$12)+(LOOKUP(AN$2,'Window-U'!$A$4:$A$40,'Window-U'!$S$4:$S$40)*AN$21))*AN$133</f>
        <v>111.17068240259067</v>
      </c>
    </row>
    <row r="137" spans="1:40">
      <c r="A137" s="372"/>
      <c r="B137" s="142" t="s">
        <v>5</v>
      </c>
      <c r="C137" s="131" t="s">
        <v>195</v>
      </c>
      <c r="D137" s="176">
        <f>((LOOKUP(D$2,'Ceiling-U'!$A$4:$A$40,'Ceiling-U'!$AA$4:$AA$40)*D$14)+(LOOKUP(D$2,'Floor-U'!$A$4:$A$40,'Floor-U'!$H$4:$H$40)*D$15)+(LOOKUP(D$2,'Wall-U'!$A$4:$A$40,'Wall-U'!$AA$4:$AA$40)*D$12)+(LOOKUP(D$2,'Window-U'!$A$4:$A$40,'Window-U'!$S$4:$S$40)*D$21))*D$133</f>
        <v>121.78832471291388</v>
      </c>
      <c r="E137" s="177">
        <f>((LOOKUP(E$2,'Ceiling-U'!$A$4:$A$40,'Ceiling-U'!$AA$4:$AA$40)*E$14)+(LOOKUP(E$2,'Floor-U'!$A$4:$A$40,'Floor-U'!$H$4:$H$40)*E$15)+(LOOKUP(E$2,'Wall-U'!$A$4:$A$40,'Wall-U'!$AA$4:$AA$40)*E$12)+(LOOKUP(E$2,'Window-U'!$A$4:$A$40,'Window-U'!$S$4:$S$40)*E$21))*E$133</f>
        <v>158.18225423673204</v>
      </c>
      <c r="F137" s="177">
        <f>((LOOKUP(F$2,'Ceiling-U'!$A$4:$A$40,'Ceiling-U'!$AA$4:$AA$40)*F$14)+(LOOKUP(F$2,'Floor-U'!$A$4:$A$40,'Floor-U'!$H$4:$H$40)*F$15)+(LOOKUP(F$2,'Wall-U'!$A$4:$A$40,'Wall-U'!$AA$4:$AA$40)*F$12)+(LOOKUP(F$2,'Window-U'!$A$4:$A$40,'Window-U'!$S$4:$S$40)*F$21))*F$133</f>
        <v>91.539693146949247</v>
      </c>
      <c r="G137" s="177">
        <f>((LOOKUP(G$2,'Ceiling-U'!$A$4:$A$40,'Ceiling-U'!$AA$4:$AA$40)*G$14)+(LOOKUP(G$2,'Floor-U'!$A$4:$A$40,'Floor-U'!$H$4:$H$40)*G$15)+(LOOKUP(G$2,'Wall-U'!$A$4:$A$40,'Wall-U'!$AA$4:$AA$40)*G$12)+(LOOKUP(G$2,'Window-U'!$A$4:$A$40,'Window-U'!$S$4:$S$40)*G$21))*G$133</f>
        <v>121.78832471291388</v>
      </c>
      <c r="H137" s="177">
        <f>((LOOKUP(H$2,'Ceiling-U'!$A$4:$A$40,'Ceiling-U'!$AA$4:$AA$40)*H$14)+(LOOKUP(H$2,'Floor-U'!$A$4:$A$40,'Floor-U'!$H$4:$H$40)*H$15)+(LOOKUP(H$2,'Wall-U'!$A$4:$A$40,'Wall-U'!$AA$4:$AA$40)*H$12)+(LOOKUP(H$2,'Window-U'!$A$4:$A$40,'Window-U'!$S$4:$S$40)*H$21))*H$133</f>
        <v>243.54426587333393</v>
      </c>
      <c r="I137" s="177">
        <f>((LOOKUP(I$2,'Ceiling-U'!$A$4:$A$40,'Ceiling-U'!$AA$4:$AA$40)*I$14)+(LOOKUP(I$2,'Floor-U'!$A$4:$A$40,'Floor-U'!$H$4:$H$40)*I$15)+(LOOKUP(I$2,'Wall-U'!$A$4:$A$40,'Wall-U'!$AA$4:$AA$40)*I$12)+(LOOKUP(I$2,'Window-U'!$A$4:$A$40,'Window-U'!$S$4:$S$40)*I$21))*I$133</f>
        <v>123.94401288556608</v>
      </c>
      <c r="J137" s="177">
        <f>((LOOKUP(J$2,'Ceiling-U'!$A$4:$A$40,'Ceiling-U'!$AA$4:$AA$40)*J$14)+(LOOKUP(J$2,'Floor-U'!$A$4:$A$40,'Floor-U'!$H$4:$H$40)*J$15)+(LOOKUP(J$2,'Wall-U'!$A$4:$A$40,'Wall-U'!$AA$4:$AA$40)*J$12)+(LOOKUP(J$2,'Window-U'!$A$4:$A$40,'Window-U'!$S$4:$S$40)*J$21))*J$133</f>
        <v>109.69299510398235</v>
      </c>
      <c r="K137" s="177">
        <f>((LOOKUP(K$2,'Ceiling-U'!$A$4:$A$40,'Ceiling-U'!$AA$4:$AA$40)*K$14)+(LOOKUP(K$2,'Floor-U'!$A$4:$A$40,'Floor-U'!$H$4:$H$40)*K$15)+(LOOKUP(K$2,'Wall-U'!$A$4:$A$40,'Wall-U'!$AA$4:$AA$40)*K$12)+(LOOKUP(K$2,'Window-U'!$A$4:$A$40,'Window-U'!$S$4:$S$40)*K$21))*K$133</f>
        <v>87.364920174066697</v>
      </c>
      <c r="L137" s="177">
        <f>((LOOKUP(L$2,'Ceiling-U'!$A$4:$A$40,'Ceiling-U'!$AA$4:$AA$40)*L$14)+(LOOKUP(L$2,'Floor-U'!$A$4:$A$40,'Floor-U'!$H$4:$H$40)*L$15)+(LOOKUP(L$2,'Wall-U'!$A$4:$A$40,'Wall-U'!$AA$4:$AA$40)*L$12)+(LOOKUP(L$2,'Window-U'!$A$4:$A$40,'Window-U'!$S$4:$S$40)*L$21))*L$133</f>
        <v>63.679066761924815</v>
      </c>
      <c r="M137" s="177">
        <f>((LOOKUP(M$2,'Ceiling-U'!$A$4:$A$40,'Ceiling-U'!$AA$4:$AA$40)*M$14)+(LOOKUP(M$2,'Floor-U'!$A$4:$A$40,'Floor-U'!$H$4:$H$40)*M$15)+(LOOKUP(M$2,'Wall-U'!$A$4:$A$40,'Wall-U'!$AA$4:$AA$40)*M$12)+(LOOKUP(M$2,'Window-U'!$A$4:$A$40,'Window-U'!$S$4:$S$40)*M$21))*M$133</f>
        <v>147.44829479203341</v>
      </c>
      <c r="N137" s="177">
        <f>((LOOKUP(N$2,'Ceiling-U'!$A$4:$A$40,'Ceiling-U'!$AA$4:$AA$40)*N$14)+(LOOKUP(N$2,'Floor-U'!$A$4:$A$40,'Floor-U'!$H$4:$H$40)*N$15)+(LOOKUP(N$2,'Wall-U'!$A$4:$A$40,'Wall-U'!$AA$4:$AA$40)*N$12)+(LOOKUP(N$2,'Window-U'!$A$4:$A$40,'Window-U'!$S$4:$S$40)*N$21))*N$133</f>
        <v>74.381438218953406</v>
      </c>
      <c r="O137" s="177">
        <f>((LOOKUP(O$2,'Ceiling-U'!$A$4:$A$40,'Ceiling-U'!$AA$4:$AA$40)*O$14)+(LOOKUP(O$2,'Floor-U'!$A$4:$A$40,'Floor-U'!$H$4:$H$40)*O$15)+(LOOKUP(O$2,'Wall-U'!$A$4:$A$40,'Wall-U'!$AA$4:$AA$40)*O$12)+(LOOKUP(O$2,'Window-U'!$A$4:$A$40,'Window-U'!$S$4:$S$40)*O$21))*O$133</f>
        <v>134.8501861697666</v>
      </c>
      <c r="P137" s="177">
        <f>((LOOKUP(P$2,'Ceiling-U'!$A$4:$A$40,'Ceiling-U'!$AA$4:$AA$40)*P$14)+(LOOKUP(P$2,'Floor-U'!$A$4:$A$40,'Floor-U'!$H$4:$H$40)*P$15)+(LOOKUP(P$2,'Wall-U'!$A$4:$A$40,'Wall-U'!$AA$4:$AA$40)*P$12)+(LOOKUP(P$2,'Window-U'!$A$4:$A$40,'Window-U'!$S$4:$S$40)*P$21))*P$133</f>
        <v>247.65291227665588</v>
      </c>
      <c r="Q137" s="177">
        <f>((LOOKUP(Q$2,'Ceiling-U'!$A$4:$A$40,'Ceiling-U'!$AA$4:$AA$40)*Q$14)+(LOOKUP(Q$2,'Floor-U'!$A$4:$A$40,'Floor-U'!$H$4:$H$40)*Q$15)+(LOOKUP(Q$2,'Wall-U'!$A$4:$A$40,'Wall-U'!$AA$4:$AA$40)*Q$12)+(LOOKUP(Q$2,'Window-U'!$A$4:$A$40,'Window-U'!$S$4:$S$40)*Q$21))*Q$133</f>
        <v>110.05630492910342</v>
      </c>
      <c r="R137" s="177">
        <f>((LOOKUP(R$2,'Ceiling-U'!$A$4:$A$40,'Ceiling-U'!$AA$4:$AA$40)*R$14)+(LOOKUP(R$2,'Floor-U'!$A$4:$A$40,'Floor-U'!$H$4:$H$40)*R$15)+(LOOKUP(R$2,'Wall-U'!$A$4:$A$40,'Wall-U'!$AA$4:$AA$40)*R$12)+(LOOKUP(R$2,'Window-U'!$A$4:$A$40,'Window-U'!$S$4:$S$40)*R$21))*R$133</f>
        <v>120.52119465121635</v>
      </c>
      <c r="S137" s="177">
        <f>((LOOKUP(S$2,'Ceiling-U'!$A$4:$A$40,'Ceiling-U'!$AA$4:$AA$40)*S$14)+(LOOKUP(S$2,'Floor-U'!$A$4:$A$40,'Floor-U'!$H$4:$H$40)*S$15)+(LOOKUP(S$2,'Wall-U'!$A$4:$A$40,'Wall-U'!$AA$4:$AA$40)*S$12)+(LOOKUP(S$2,'Window-U'!$A$4:$A$40,'Window-U'!$S$4:$S$40)*S$21))*S$133</f>
        <v>118.77258106391591</v>
      </c>
      <c r="T137" s="177">
        <f>((LOOKUP(T$2,'Ceiling-U'!$A$4:$A$40,'Ceiling-U'!$AA$4:$AA$40)*T$14)+(LOOKUP(T$2,'Floor-U'!$A$4:$A$40,'Floor-U'!$H$4:$H$40)*T$15)+(LOOKUP(T$2,'Wall-U'!$A$4:$A$40,'Wall-U'!$AA$4:$AA$40)*T$12)+(LOOKUP(T$2,'Window-U'!$A$4:$A$40,'Window-U'!$S$4:$S$40)*T$21))*T$133</f>
        <v>74.381438218953406</v>
      </c>
      <c r="U137" s="177">
        <f>((LOOKUP(U$2,'Ceiling-U'!$A$4:$A$40,'Ceiling-U'!$AA$4:$AA$40)*U$14)+(LOOKUP(U$2,'Floor-U'!$A$4:$A$40,'Floor-U'!$H$4:$H$40)*U$15)+(LOOKUP(U$2,'Wall-U'!$A$4:$A$40,'Wall-U'!$AA$4:$AA$40)*U$12)+(LOOKUP(U$2,'Window-U'!$A$4:$A$40,'Window-U'!$S$4:$S$40)*U$21))*U$133</f>
        <v>199.01831198290014</v>
      </c>
      <c r="V137" s="177">
        <f>((LOOKUP(V$2,'Ceiling-U'!$A$4:$A$40,'Ceiling-U'!$AA$4:$AA$40)*V$14)+(LOOKUP(V$2,'Floor-U'!$A$4:$A$40,'Floor-U'!$H$4:$H$40)*V$15)+(LOOKUP(V$2,'Wall-U'!$A$4:$A$40,'Wall-U'!$AA$4:$AA$40)*V$12)+(LOOKUP(V$2,'Window-U'!$A$4:$A$40,'Window-U'!$S$4:$S$40)*V$21))*V$133</f>
        <v>104.10326144894657</v>
      </c>
      <c r="W137" s="177">
        <f>((LOOKUP(W$2,'Ceiling-U'!$A$4:$A$40,'Ceiling-U'!$AA$4:$AA$40)*W$14)+(LOOKUP(W$2,'Floor-U'!$A$4:$A$40,'Floor-U'!$H$4:$H$40)*W$15)+(LOOKUP(W$2,'Wall-U'!$A$4:$A$40,'Wall-U'!$AA$4:$AA$40)*W$12)+(LOOKUP(W$2,'Window-U'!$A$4:$A$40,'Window-U'!$S$4:$S$40)*W$21))*W$133</f>
        <v>97.274618883888678</v>
      </c>
      <c r="X137" s="177">
        <f>((LOOKUP(X$2,'Ceiling-U'!$A$4:$A$40,'Ceiling-U'!$AA$4:$AA$40)*X$14)+(LOOKUP(X$2,'Floor-U'!$A$4:$A$40,'Floor-U'!$H$4:$H$40)*X$15)+(LOOKUP(X$2,'Wall-U'!$A$4:$A$40,'Wall-U'!$AA$4:$AA$40)*X$12)+(LOOKUP(X$2,'Window-U'!$A$4:$A$40,'Window-U'!$S$4:$S$40)*X$21))*X$133</f>
        <v>84.001677432009558</v>
      </c>
      <c r="Y137" s="177">
        <f>((LOOKUP(Y$2,'Ceiling-U'!$A$4:$A$40,'Ceiling-U'!$AA$4:$AA$40)*Y$14)+(LOOKUP(Y$2,'Floor-U'!$A$4:$A$40,'Floor-U'!$H$4:$H$40)*Y$15)+(LOOKUP(Y$2,'Wall-U'!$A$4:$A$40,'Wall-U'!$AA$4:$AA$40)*Y$12)+(LOOKUP(Y$2,'Window-U'!$A$4:$A$40,'Window-U'!$S$4:$S$40)*Y$21))*Y$133</f>
        <v>216.21703169031164</v>
      </c>
      <c r="Z137" s="177">
        <f>((LOOKUP(Z$2,'Ceiling-U'!$A$4:$A$40,'Ceiling-U'!$AA$4:$AA$40)*Z$14)+(LOOKUP(Z$2,'Floor-U'!$A$4:$A$40,'Floor-U'!$H$4:$H$40)*Z$15)+(LOOKUP(Z$2,'Wall-U'!$A$4:$A$40,'Wall-U'!$AA$4:$AA$40)*Z$12)+(LOOKUP(Z$2,'Window-U'!$A$4:$A$40,'Window-U'!$S$4:$S$40)*Z$21))*Z$133</f>
        <v>147.80600790642194</v>
      </c>
      <c r="AA137" s="177">
        <f>((LOOKUP(AA$2,'Ceiling-U'!$A$4:$A$40,'Ceiling-U'!$AA$4:$AA$40)*AA$14)+(LOOKUP(AA$2,'Floor-U'!$A$4:$A$40,'Floor-U'!$H$4:$H$40)*AA$15)+(LOOKUP(AA$2,'Wall-U'!$A$4:$A$40,'Wall-U'!$AA$4:$AA$40)*AA$12)+(LOOKUP(AA$2,'Window-U'!$A$4:$A$40,'Window-U'!$S$4:$S$40)*AA$21))*AA$133</f>
        <v>71.823799655831692</v>
      </c>
      <c r="AB137" s="177">
        <f>((LOOKUP(AB$2,'Ceiling-U'!$A$4:$A$40,'Ceiling-U'!$AA$4:$AA$40)*AB$14)+(LOOKUP(AB$2,'Floor-U'!$A$4:$A$40,'Floor-U'!$H$4:$H$40)*AB$15)+(LOOKUP(AB$2,'Wall-U'!$A$4:$A$40,'Wall-U'!$AA$4:$AA$40)*AB$12)+(LOOKUP(AB$2,'Window-U'!$A$4:$A$40,'Window-U'!$S$4:$S$40)*AB$21))*AB$133</f>
        <v>126.96683400867272</v>
      </c>
      <c r="AC137" s="177">
        <f>((LOOKUP(AC$2,'Ceiling-U'!$A$4:$A$40,'Ceiling-U'!$AA$4:$AA$40)*AC$14)+(LOOKUP(AC$2,'Floor-U'!$A$4:$A$40,'Floor-U'!$H$4:$H$40)*AC$15)+(LOOKUP(AC$2,'Wall-U'!$A$4:$A$40,'Wall-U'!$AA$4:$AA$40)*AC$12)+(LOOKUP(AC$2,'Window-U'!$A$4:$A$40,'Window-U'!$S$4:$S$40)*AC$21))*AC$133</f>
        <v>252.11481500392989</v>
      </c>
      <c r="AD137" s="177">
        <f>((LOOKUP(AD$2,'Ceiling-U'!$A$4:$A$40,'Ceiling-U'!$AA$4:$AA$40)*AD$14)+(LOOKUP(AD$2,'Floor-U'!$A$4:$A$40,'Floor-U'!$H$4:$H$40)*AD$15)+(LOOKUP(AD$2,'Wall-U'!$A$4:$A$40,'Wall-U'!$AA$4:$AA$40)*AD$12)+(LOOKUP(AD$2,'Window-U'!$A$4:$A$40,'Window-U'!$S$4:$S$40)*AD$21))*AD$133</f>
        <v>127.39552658000267</v>
      </c>
      <c r="AE137" s="177">
        <f>((LOOKUP(AE$2,'Ceiling-U'!$A$4:$A$40,'Ceiling-U'!$AA$4:$AA$40)*AE$14)+(LOOKUP(AE$2,'Floor-U'!$A$4:$A$40,'Floor-U'!$H$4:$H$40)*AE$15)+(LOOKUP(AE$2,'Wall-U'!$A$4:$A$40,'Wall-U'!$AA$4:$AA$40)*AE$12)+(LOOKUP(AE$2,'Window-U'!$A$4:$A$40,'Window-U'!$S$4:$S$40)*AE$21))*AE$133</f>
        <v>71.823799655831692</v>
      </c>
      <c r="AF137" s="177">
        <f>((LOOKUP(AF$2,'Ceiling-U'!$A$4:$A$40,'Ceiling-U'!$AA$4:$AA$40)*AF$14)+(LOOKUP(AF$2,'Floor-U'!$A$4:$A$40,'Floor-U'!$H$4:$H$40)*AF$15)+(LOOKUP(AF$2,'Wall-U'!$A$4:$A$40,'Wall-U'!$AA$4:$AA$40)*AF$12)+(LOOKUP(AF$2,'Window-U'!$A$4:$A$40,'Window-U'!$S$4:$S$40)*AF$21))*AF$133</f>
        <v>125.21328619864772</v>
      </c>
      <c r="AG137" s="177">
        <f>((LOOKUP(AG$2,'Ceiling-U'!$A$4:$A$40,'Ceiling-U'!$AA$4:$AA$40)*AG$14)+(LOOKUP(AG$2,'Floor-U'!$A$4:$A$40,'Floor-U'!$H$4:$H$40)*AG$15)+(LOOKUP(AG$2,'Wall-U'!$A$4:$A$40,'Wall-U'!$AA$4:$AA$40)*AG$12)+(LOOKUP(AG$2,'Window-U'!$A$4:$A$40,'Window-U'!$S$4:$S$40)*AG$21))*AG$133</f>
        <v>184.64510734153794</v>
      </c>
      <c r="AH137" s="177">
        <f>((LOOKUP(AH$2,'Ceiling-U'!$A$4:$A$40,'Ceiling-U'!$AA$4:$AA$40)*AH$14)+(LOOKUP(AH$2,'Floor-U'!$A$4:$A$40,'Floor-U'!$H$4:$H$40)*AH$15)+(LOOKUP(AH$2,'Wall-U'!$A$4:$A$40,'Wall-U'!$AA$4:$AA$40)*AH$12)+(LOOKUP(AH$2,'Window-U'!$A$4:$A$40,'Window-U'!$S$4:$S$40)*AH$21))*AH$133</f>
        <v>90.326074318920504</v>
      </c>
      <c r="AI137" s="177">
        <f>((LOOKUP(AI$2,'Ceiling-U'!$A$4:$A$40,'Ceiling-U'!$AA$4:$AA$40)*AI$14)+(LOOKUP(AI$2,'Floor-U'!$A$4:$A$40,'Floor-U'!$H$4:$H$40)*AI$15)+(LOOKUP(AI$2,'Wall-U'!$A$4:$A$40,'Wall-U'!$AA$4:$AA$40)*AI$12)+(LOOKUP(AI$2,'Window-U'!$A$4:$A$40,'Window-U'!$S$4:$S$40)*AI$21))*AI$133</f>
        <v>247.65291227665588</v>
      </c>
      <c r="AJ137" s="177">
        <f>((LOOKUP(AJ$2,'Ceiling-U'!$A$4:$A$40,'Ceiling-U'!$AA$4:$AA$40)*AJ$14)+(LOOKUP(AJ$2,'Floor-U'!$A$4:$A$40,'Floor-U'!$H$4:$H$40)*AJ$15)+(LOOKUP(AJ$2,'Wall-U'!$A$4:$A$40,'Wall-U'!$AA$4:$AA$40)*AJ$12)+(LOOKUP(AJ$2,'Window-U'!$A$4:$A$40,'Window-U'!$S$4:$S$40)*AJ$21))*AJ$133</f>
        <v>107.18916633240997</v>
      </c>
      <c r="AK137" s="177">
        <f>((LOOKUP(AK$2,'Ceiling-U'!$A$4:$A$40,'Ceiling-U'!$AA$4:$AA$40)*AK$14)+(LOOKUP(AK$2,'Floor-U'!$A$4:$A$40,'Floor-U'!$H$4:$H$40)*AK$15)+(LOOKUP(AK$2,'Wall-U'!$A$4:$A$40,'Wall-U'!$AA$4:$AA$40)*AK$12)+(LOOKUP(AK$2,'Window-U'!$A$4:$A$40,'Window-U'!$S$4:$S$40)*AK$21))*AK$133</f>
        <v>130.80611979013824</v>
      </c>
      <c r="AL137" s="177">
        <f>((LOOKUP(AL$2,'Ceiling-U'!$A$4:$A$40,'Ceiling-U'!$AA$4:$AA$40)*AL$14)+(LOOKUP(AL$2,'Floor-U'!$A$4:$A$40,'Floor-U'!$H$4:$H$40)*AL$15)+(LOOKUP(AL$2,'Wall-U'!$A$4:$A$40,'Wall-U'!$AA$4:$AA$40)*AL$12)+(LOOKUP(AL$2,'Window-U'!$A$4:$A$40,'Window-U'!$S$4:$S$40)*AL$21))*AL$133</f>
        <v>96.230242215130204</v>
      </c>
      <c r="AM137" s="177">
        <f>((LOOKUP(AM$2,'Ceiling-U'!$A$4:$A$40,'Ceiling-U'!$AA$4:$AA$40)*AM$14)+(LOOKUP(AM$2,'Floor-U'!$A$4:$A$40,'Floor-U'!$H$4:$H$40)*AM$15)+(LOOKUP(AM$2,'Wall-U'!$A$4:$A$40,'Wall-U'!$AA$4:$AA$40)*AM$12)+(LOOKUP(AM$2,'Window-U'!$A$4:$A$40,'Window-U'!$S$4:$S$40)*AM$21))*AM$133</f>
        <v>107.18916633240997</v>
      </c>
      <c r="AN137" s="178">
        <f>((LOOKUP(AN$2,'Ceiling-U'!$A$4:$A$40,'Ceiling-U'!$AA$4:$AA$40)*AN$14)+(LOOKUP(AN$2,'Floor-U'!$A$4:$A$40,'Floor-U'!$H$4:$H$40)*AN$15)+(LOOKUP(AN$2,'Wall-U'!$A$4:$A$40,'Wall-U'!$AA$4:$AA$40)*AN$12)+(LOOKUP(AN$2,'Window-U'!$A$4:$A$40,'Window-U'!$S$4:$S$40)*AN$21))*AN$133</f>
        <v>107.18916633240997</v>
      </c>
    </row>
    <row r="138" spans="1:40">
      <c r="A138" s="372"/>
      <c r="B138" s="142" t="s">
        <v>6</v>
      </c>
      <c r="C138" s="131" t="s">
        <v>195</v>
      </c>
      <c r="D138" s="176">
        <f>((LOOKUP(D$2,'Ceiling-U'!$A$4:$A$40,'Ceiling-U'!$AB$4:$AB$40)*D$14)+(LOOKUP(D$2,'Floor-U'!$A$4:$A$40,'Floor-U'!$I$4:$I$40)*D$15)+(LOOKUP(D$2,'Wall-U'!$A$4:$A$40,'Wall-U'!$AB$4:$AB$40)*D$12)+(LOOKUP(D$2,'Window-U'!$A$4:$A$40,'Window-U'!$S$4:$S$40)*D$21))*D$133</f>
        <v>109.41127596077865</v>
      </c>
      <c r="E138" s="177">
        <f>((LOOKUP(E$2,'Ceiling-U'!$A$4:$A$40,'Ceiling-U'!$AB$4:$AB$40)*E$14)+(LOOKUP(E$2,'Floor-U'!$A$4:$A$40,'Floor-U'!$I$4:$I$40)*E$15)+(LOOKUP(E$2,'Wall-U'!$A$4:$A$40,'Wall-U'!$AB$4:$AB$40)*E$12)+(LOOKUP(E$2,'Window-U'!$A$4:$A$40,'Window-U'!$S$4:$S$40)*E$21))*E$133</f>
        <v>158.18225423673204</v>
      </c>
      <c r="F138" s="177">
        <f>((LOOKUP(F$2,'Ceiling-U'!$A$4:$A$40,'Ceiling-U'!$AB$4:$AB$40)*F$14)+(LOOKUP(F$2,'Floor-U'!$A$4:$A$40,'Floor-U'!$I$4:$I$40)*F$15)+(LOOKUP(F$2,'Wall-U'!$A$4:$A$40,'Wall-U'!$AB$4:$AB$40)*F$12)+(LOOKUP(F$2,'Window-U'!$A$4:$A$40,'Window-U'!$S$4:$S$40)*F$21))*F$133</f>
        <v>79.771283188125622</v>
      </c>
      <c r="G138" s="177">
        <f>((LOOKUP(G$2,'Ceiling-U'!$A$4:$A$40,'Ceiling-U'!$AB$4:$AB$40)*G$14)+(LOOKUP(G$2,'Floor-U'!$A$4:$A$40,'Floor-U'!$I$4:$I$40)*G$15)+(LOOKUP(G$2,'Wall-U'!$A$4:$A$40,'Wall-U'!$AB$4:$AB$40)*G$12)+(LOOKUP(G$2,'Window-U'!$A$4:$A$40,'Window-U'!$S$4:$S$40)*G$21))*G$133</f>
        <v>109.41127596077865</v>
      </c>
      <c r="H138" s="177">
        <f>((LOOKUP(H$2,'Ceiling-U'!$A$4:$A$40,'Ceiling-U'!$AB$4:$AB$40)*H$14)+(LOOKUP(H$2,'Floor-U'!$A$4:$A$40,'Floor-U'!$I$4:$I$40)*H$15)+(LOOKUP(H$2,'Wall-U'!$A$4:$A$40,'Wall-U'!$AB$4:$AB$40)*H$12)+(LOOKUP(H$2,'Window-U'!$A$4:$A$40,'Window-U'!$S$4:$S$40)*H$21))*H$133</f>
        <v>243.54426587333393</v>
      </c>
      <c r="I138" s="177">
        <f>((LOOKUP(I$2,'Ceiling-U'!$A$4:$A$40,'Ceiling-U'!$AB$4:$AB$40)*I$14)+(LOOKUP(I$2,'Floor-U'!$A$4:$A$40,'Floor-U'!$I$4:$I$40)*I$15)+(LOOKUP(I$2,'Wall-U'!$A$4:$A$40,'Wall-U'!$AB$4:$AB$40)*I$12)+(LOOKUP(I$2,'Window-U'!$A$4:$A$40,'Window-U'!$S$4:$S$40)*I$21))*I$133</f>
        <v>102.53214575181293</v>
      </c>
      <c r="J138" s="177">
        <f>((LOOKUP(J$2,'Ceiling-U'!$A$4:$A$40,'Ceiling-U'!$AB$4:$AB$40)*J$14)+(LOOKUP(J$2,'Floor-U'!$A$4:$A$40,'Floor-U'!$I$4:$I$40)*J$15)+(LOOKUP(J$2,'Wall-U'!$A$4:$A$40,'Wall-U'!$AB$4:$AB$40)*J$12)+(LOOKUP(J$2,'Window-U'!$A$4:$A$40,'Window-U'!$S$4:$S$40)*J$21))*J$133</f>
        <v>79.174132500528344</v>
      </c>
      <c r="K138" s="177">
        <f>((LOOKUP(K$2,'Ceiling-U'!$A$4:$A$40,'Ceiling-U'!$AB$4:$AB$40)*K$14)+(LOOKUP(K$2,'Floor-U'!$A$4:$A$40,'Floor-U'!$I$4:$I$40)*K$15)+(LOOKUP(K$2,'Wall-U'!$A$4:$A$40,'Wall-U'!$AB$4:$AB$40)*K$12)+(LOOKUP(K$2,'Window-U'!$A$4:$A$40,'Window-U'!$S$4:$S$40)*K$21))*K$133</f>
        <v>87.364920174066697</v>
      </c>
      <c r="L138" s="177">
        <f>((LOOKUP(L$2,'Ceiling-U'!$A$4:$A$40,'Ceiling-U'!$AB$4:$AB$40)*L$14)+(LOOKUP(L$2,'Floor-U'!$A$4:$A$40,'Floor-U'!$I$4:$I$40)*L$15)+(LOOKUP(L$2,'Wall-U'!$A$4:$A$40,'Wall-U'!$AB$4:$AB$40)*L$12)+(LOOKUP(L$2,'Window-U'!$A$4:$A$40,'Window-U'!$S$4:$S$40)*L$21))*L$133</f>
        <v>56.121398383405385</v>
      </c>
      <c r="M138" s="177">
        <f>((LOOKUP(M$2,'Ceiling-U'!$A$4:$A$40,'Ceiling-U'!$AB$4:$AB$40)*M$14)+(LOOKUP(M$2,'Floor-U'!$A$4:$A$40,'Floor-U'!$I$4:$I$40)*M$15)+(LOOKUP(M$2,'Wall-U'!$A$4:$A$40,'Wall-U'!$AB$4:$AB$40)*M$12)+(LOOKUP(M$2,'Window-U'!$A$4:$A$40,'Window-U'!$S$4:$S$40)*M$21))*M$133</f>
        <v>147.44829479203341</v>
      </c>
      <c r="N138" s="177">
        <f>((LOOKUP(N$2,'Ceiling-U'!$A$4:$A$40,'Ceiling-U'!$AB$4:$AB$40)*N$14)+(LOOKUP(N$2,'Floor-U'!$A$4:$A$40,'Floor-U'!$I$4:$I$40)*N$15)+(LOOKUP(N$2,'Wall-U'!$A$4:$A$40,'Wall-U'!$AB$4:$AB$40)*N$12)+(LOOKUP(N$2,'Window-U'!$A$4:$A$40,'Window-U'!$S$4:$S$40)*N$21))*N$133</f>
        <v>73.38086698878358</v>
      </c>
      <c r="O138" s="177">
        <f>((LOOKUP(O$2,'Ceiling-U'!$A$4:$A$40,'Ceiling-U'!$AB$4:$AB$40)*O$14)+(LOOKUP(O$2,'Floor-U'!$A$4:$A$40,'Floor-U'!$I$4:$I$40)*O$15)+(LOOKUP(O$2,'Wall-U'!$A$4:$A$40,'Wall-U'!$AB$4:$AB$40)*O$12)+(LOOKUP(O$2,'Window-U'!$A$4:$A$40,'Window-U'!$S$4:$S$40)*O$21))*O$133</f>
        <v>91.940043849280073</v>
      </c>
      <c r="P138" s="177">
        <f>((LOOKUP(P$2,'Ceiling-U'!$A$4:$A$40,'Ceiling-U'!$AB$4:$AB$40)*P$14)+(LOOKUP(P$2,'Floor-U'!$A$4:$A$40,'Floor-U'!$I$4:$I$40)*P$15)+(LOOKUP(P$2,'Wall-U'!$A$4:$A$40,'Wall-U'!$AB$4:$AB$40)*P$12)+(LOOKUP(P$2,'Window-U'!$A$4:$A$40,'Window-U'!$S$4:$S$40)*P$21))*P$133</f>
        <v>247.65291227665588</v>
      </c>
      <c r="Q138" s="177">
        <f>((LOOKUP(Q$2,'Ceiling-U'!$A$4:$A$40,'Ceiling-U'!$AB$4:$AB$40)*Q$14)+(LOOKUP(Q$2,'Floor-U'!$A$4:$A$40,'Floor-U'!$I$4:$I$40)*Q$15)+(LOOKUP(Q$2,'Wall-U'!$A$4:$A$40,'Wall-U'!$AB$4:$AB$40)*Q$12)+(LOOKUP(Q$2,'Window-U'!$A$4:$A$40,'Window-U'!$S$4:$S$40)*Q$21))*Q$133</f>
        <v>91.87972462674928</v>
      </c>
      <c r="R138" s="177">
        <f>((LOOKUP(R$2,'Ceiling-U'!$A$4:$A$40,'Ceiling-U'!$AB$4:$AB$40)*R$14)+(LOOKUP(R$2,'Floor-U'!$A$4:$A$40,'Floor-U'!$I$4:$I$40)*R$15)+(LOOKUP(R$2,'Wall-U'!$A$4:$A$40,'Wall-U'!$AB$4:$AB$40)*R$12)+(LOOKUP(R$2,'Window-U'!$A$4:$A$40,'Window-U'!$S$4:$S$40)*R$21))*R$133</f>
        <v>120.52119465121635</v>
      </c>
      <c r="S138" s="177">
        <f>((LOOKUP(S$2,'Ceiling-U'!$A$4:$A$40,'Ceiling-U'!$AB$4:$AB$40)*S$14)+(LOOKUP(S$2,'Floor-U'!$A$4:$A$40,'Floor-U'!$I$4:$I$40)*S$15)+(LOOKUP(S$2,'Wall-U'!$A$4:$A$40,'Wall-U'!$AB$4:$AB$40)*S$12)+(LOOKUP(S$2,'Window-U'!$A$4:$A$40,'Window-U'!$S$4:$S$40)*S$21))*S$133</f>
        <v>113.58454554735471</v>
      </c>
      <c r="T138" s="177">
        <f>((LOOKUP(T$2,'Ceiling-U'!$A$4:$A$40,'Ceiling-U'!$AB$4:$AB$40)*T$14)+(LOOKUP(T$2,'Floor-U'!$A$4:$A$40,'Floor-U'!$I$4:$I$40)*T$15)+(LOOKUP(T$2,'Wall-U'!$A$4:$A$40,'Wall-U'!$AB$4:$AB$40)*T$12)+(LOOKUP(T$2,'Window-U'!$A$4:$A$40,'Window-U'!$S$4:$S$40)*T$21))*T$133</f>
        <v>73.38086698878358</v>
      </c>
      <c r="U138" s="177">
        <f>((LOOKUP(U$2,'Ceiling-U'!$A$4:$A$40,'Ceiling-U'!$AB$4:$AB$40)*U$14)+(LOOKUP(U$2,'Floor-U'!$A$4:$A$40,'Floor-U'!$I$4:$I$40)*U$15)+(LOOKUP(U$2,'Wall-U'!$A$4:$A$40,'Wall-U'!$AB$4:$AB$40)*U$12)+(LOOKUP(U$2,'Window-U'!$A$4:$A$40,'Window-U'!$S$4:$S$40)*U$21))*U$133</f>
        <v>196.28550166226637</v>
      </c>
      <c r="V138" s="177">
        <f>((LOOKUP(V$2,'Ceiling-U'!$A$4:$A$40,'Ceiling-U'!$AB$4:$AB$40)*V$14)+(LOOKUP(V$2,'Floor-U'!$A$4:$A$40,'Floor-U'!$I$4:$I$40)*V$15)+(LOOKUP(V$2,'Wall-U'!$A$4:$A$40,'Wall-U'!$AB$4:$AB$40)*V$12)+(LOOKUP(V$2,'Window-U'!$A$4:$A$40,'Window-U'!$S$4:$S$40)*V$21))*V$133</f>
        <v>104.10326144894657</v>
      </c>
      <c r="W138" s="177">
        <f>((LOOKUP(W$2,'Ceiling-U'!$A$4:$A$40,'Ceiling-U'!$AB$4:$AB$40)*W$14)+(LOOKUP(W$2,'Floor-U'!$A$4:$A$40,'Floor-U'!$I$4:$I$40)*W$15)+(LOOKUP(W$2,'Wall-U'!$A$4:$A$40,'Wall-U'!$AB$4:$AB$40)*W$12)+(LOOKUP(W$2,'Window-U'!$A$4:$A$40,'Window-U'!$S$4:$S$40)*W$21))*W$133</f>
        <v>89.474808420984459</v>
      </c>
      <c r="X138" s="177">
        <f>((LOOKUP(X$2,'Ceiling-U'!$A$4:$A$40,'Ceiling-U'!$AB$4:$AB$40)*X$14)+(LOOKUP(X$2,'Floor-U'!$A$4:$A$40,'Floor-U'!$I$4:$I$40)*X$15)+(LOOKUP(X$2,'Wall-U'!$A$4:$A$40,'Wall-U'!$AB$4:$AB$40)*X$12)+(LOOKUP(X$2,'Window-U'!$A$4:$A$40,'Window-U'!$S$4:$S$40)*X$21))*X$133</f>
        <v>83.593992902181441</v>
      </c>
      <c r="Y138" s="177">
        <f>((LOOKUP(Y$2,'Ceiling-U'!$A$4:$A$40,'Ceiling-U'!$AB$4:$AB$40)*Y$14)+(LOOKUP(Y$2,'Floor-U'!$A$4:$A$40,'Floor-U'!$I$4:$I$40)*Y$15)+(LOOKUP(Y$2,'Wall-U'!$A$4:$A$40,'Wall-U'!$AB$4:$AB$40)*Y$12)+(LOOKUP(Y$2,'Window-U'!$A$4:$A$40,'Window-U'!$S$4:$S$40)*Y$21))*Y$133</f>
        <v>216.0308229186659</v>
      </c>
      <c r="Z138" s="177">
        <f>((LOOKUP(Z$2,'Ceiling-U'!$A$4:$A$40,'Ceiling-U'!$AB$4:$AB$40)*Z$14)+(LOOKUP(Z$2,'Floor-U'!$A$4:$A$40,'Floor-U'!$I$4:$I$40)*Z$15)+(LOOKUP(Z$2,'Wall-U'!$A$4:$A$40,'Wall-U'!$AB$4:$AB$40)*Z$12)+(LOOKUP(Z$2,'Window-U'!$A$4:$A$40,'Window-U'!$S$4:$S$40)*Z$21))*Z$133</f>
        <v>138.17810213947109</v>
      </c>
      <c r="AA138" s="177">
        <f>((LOOKUP(AA$2,'Ceiling-U'!$A$4:$A$40,'Ceiling-U'!$AB$4:$AB$40)*AA$14)+(LOOKUP(AA$2,'Floor-U'!$A$4:$A$40,'Floor-U'!$I$4:$I$40)*AA$15)+(LOOKUP(AA$2,'Wall-U'!$A$4:$A$40,'Wall-U'!$AB$4:$AB$40)*AA$12)+(LOOKUP(AA$2,'Window-U'!$A$4:$A$40,'Window-U'!$S$4:$S$40)*AA$21))*AA$133</f>
        <v>65.482505828828067</v>
      </c>
      <c r="AB138" s="177">
        <f>((LOOKUP(AB$2,'Ceiling-U'!$A$4:$A$40,'Ceiling-U'!$AB$4:$AB$40)*AB$14)+(LOOKUP(AB$2,'Floor-U'!$A$4:$A$40,'Floor-U'!$I$4:$I$40)*AB$15)+(LOOKUP(AB$2,'Wall-U'!$A$4:$A$40,'Wall-U'!$AB$4:$AB$40)*AB$12)+(LOOKUP(AB$2,'Window-U'!$A$4:$A$40,'Window-U'!$S$4:$S$40)*AB$21))*AB$133</f>
        <v>126.96683400867272</v>
      </c>
      <c r="AC138" s="177">
        <f>((LOOKUP(AC$2,'Ceiling-U'!$A$4:$A$40,'Ceiling-U'!$AB$4:$AB$40)*AC$14)+(LOOKUP(AC$2,'Floor-U'!$A$4:$A$40,'Floor-U'!$I$4:$I$40)*AC$15)+(LOOKUP(AC$2,'Wall-U'!$A$4:$A$40,'Wall-U'!$AB$4:$AB$40)*AC$12)+(LOOKUP(AC$2,'Window-U'!$A$4:$A$40,'Window-U'!$S$4:$S$40)*AC$21))*AC$133</f>
        <v>242.41930344174946</v>
      </c>
      <c r="AD138" s="177">
        <f>((LOOKUP(AD$2,'Ceiling-U'!$A$4:$A$40,'Ceiling-U'!$AB$4:$AB$40)*AD$14)+(LOOKUP(AD$2,'Floor-U'!$A$4:$A$40,'Floor-U'!$I$4:$I$40)*AD$15)+(LOOKUP(AD$2,'Wall-U'!$A$4:$A$40,'Wall-U'!$AB$4:$AB$40)*AD$12)+(LOOKUP(AD$2,'Window-U'!$A$4:$A$40,'Window-U'!$S$4:$S$40)*AD$21))*AD$133</f>
        <v>127.39552658000267</v>
      </c>
      <c r="AE138" s="177">
        <f>((LOOKUP(AE$2,'Ceiling-U'!$A$4:$A$40,'Ceiling-U'!$AB$4:$AB$40)*AE$14)+(LOOKUP(AE$2,'Floor-U'!$A$4:$A$40,'Floor-U'!$I$4:$I$40)*AE$15)+(LOOKUP(AE$2,'Wall-U'!$A$4:$A$40,'Wall-U'!$AB$4:$AB$40)*AE$12)+(LOOKUP(AE$2,'Window-U'!$A$4:$A$40,'Window-U'!$S$4:$S$40)*AE$21))*AE$133</f>
        <v>65.482505828828067</v>
      </c>
      <c r="AF138" s="177">
        <f>((LOOKUP(AF$2,'Ceiling-U'!$A$4:$A$40,'Ceiling-U'!$AB$4:$AB$40)*AF$14)+(LOOKUP(AF$2,'Floor-U'!$A$4:$A$40,'Floor-U'!$I$4:$I$40)*AF$15)+(LOOKUP(AF$2,'Wall-U'!$A$4:$A$40,'Wall-U'!$AB$4:$AB$40)*AF$12)+(LOOKUP(AF$2,'Window-U'!$A$4:$A$40,'Window-U'!$S$4:$S$40)*AF$21))*AF$133</f>
        <v>98.632041972161346</v>
      </c>
      <c r="AG138" s="177">
        <f>((LOOKUP(AG$2,'Ceiling-U'!$A$4:$A$40,'Ceiling-U'!$AB$4:$AB$40)*AG$14)+(LOOKUP(AG$2,'Floor-U'!$A$4:$A$40,'Floor-U'!$I$4:$I$40)*AG$15)+(LOOKUP(AG$2,'Wall-U'!$A$4:$A$40,'Wall-U'!$AB$4:$AB$40)*AG$12)+(LOOKUP(AG$2,'Window-U'!$A$4:$A$40,'Window-U'!$S$4:$S$40)*AG$21))*AG$133</f>
        <v>167.51695264638244</v>
      </c>
      <c r="AH138" s="177">
        <f>((LOOKUP(AH$2,'Ceiling-U'!$A$4:$A$40,'Ceiling-U'!$AB$4:$AB$40)*AH$14)+(LOOKUP(AH$2,'Floor-U'!$A$4:$A$40,'Floor-U'!$I$4:$I$40)*AH$15)+(LOOKUP(AH$2,'Wall-U'!$A$4:$A$40,'Wall-U'!$AB$4:$AB$40)*AH$12)+(LOOKUP(AH$2,'Window-U'!$A$4:$A$40,'Window-U'!$S$4:$S$40)*AH$21))*AH$133</f>
        <v>84.58267980820068</v>
      </c>
      <c r="AI138" s="177">
        <f>((LOOKUP(AI$2,'Ceiling-U'!$A$4:$A$40,'Ceiling-U'!$AB$4:$AB$40)*AI$14)+(LOOKUP(AI$2,'Floor-U'!$A$4:$A$40,'Floor-U'!$I$4:$I$40)*AI$15)+(LOOKUP(AI$2,'Wall-U'!$A$4:$A$40,'Wall-U'!$AB$4:$AB$40)*AI$12)+(LOOKUP(AI$2,'Window-U'!$A$4:$A$40,'Window-U'!$S$4:$S$40)*AI$21))*AI$133</f>
        <v>247.65291227665588</v>
      </c>
      <c r="AJ138" s="177">
        <f>((LOOKUP(AJ$2,'Ceiling-U'!$A$4:$A$40,'Ceiling-U'!$AB$4:$AB$40)*AJ$14)+(LOOKUP(AJ$2,'Floor-U'!$A$4:$A$40,'Floor-U'!$I$4:$I$40)*AJ$15)+(LOOKUP(AJ$2,'Wall-U'!$A$4:$A$40,'Wall-U'!$AB$4:$AB$40)*AJ$12)+(LOOKUP(AJ$2,'Window-U'!$A$4:$A$40,'Window-U'!$S$4:$S$40)*AJ$21))*AJ$133</f>
        <v>105.79399943535068</v>
      </c>
      <c r="AK138" s="177">
        <f>((LOOKUP(AK$2,'Ceiling-U'!$A$4:$A$40,'Ceiling-U'!$AB$4:$AB$40)*AK$14)+(LOOKUP(AK$2,'Floor-U'!$A$4:$A$40,'Floor-U'!$I$4:$I$40)*AK$15)+(LOOKUP(AK$2,'Wall-U'!$A$4:$A$40,'Wall-U'!$AB$4:$AB$40)*AK$12)+(LOOKUP(AK$2,'Window-U'!$A$4:$A$40,'Window-U'!$S$4:$S$40)*AK$21))*AK$133</f>
        <v>129.06919093220304</v>
      </c>
      <c r="AL138" s="177">
        <f>((LOOKUP(AL$2,'Ceiling-U'!$A$4:$A$40,'Ceiling-U'!$AB$4:$AB$40)*AL$14)+(LOOKUP(AL$2,'Floor-U'!$A$4:$A$40,'Floor-U'!$I$4:$I$40)*AL$15)+(LOOKUP(AL$2,'Wall-U'!$A$4:$A$40,'Wall-U'!$AB$4:$AB$40)*AL$12)+(LOOKUP(AL$2,'Window-U'!$A$4:$A$40,'Window-U'!$S$4:$S$40)*AL$21))*AL$133</f>
        <v>83.583558925512278</v>
      </c>
      <c r="AM138" s="177">
        <f>((LOOKUP(AM$2,'Ceiling-U'!$A$4:$A$40,'Ceiling-U'!$AB$4:$AB$40)*AM$14)+(LOOKUP(AM$2,'Floor-U'!$A$4:$A$40,'Floor-U'!$I$4:$I$40)*AM$15)+(LOOKUP(AM$2,'Wall-U'!$A$4:$A$40,'Wall-U'!$AB$4:$AB$40)*AM$12)+(LOOKUP(AM$2,'Window-U'!$A$4:$A$40,'Window-U'!$S$4:$S$40)*AM$21))*AM$133</f>
        <v>105.79399943535068</v>
      </c>
      <c r="AN138" s="178">
        <f>((LOOKUP(AN$2,'Ceiling-U'!$A$4:$A$40,'Ceiling-U'!$AB$4:$AB$40)*AN$14)+(LOOKUP(AN$2,'Floor-U'!$A$4:$A$40,'Floor-U'!$I$4:$I$40)*AN$15)+(LOOKUP(AN$2,'Wall-U'!$A$4:$A$40,'Wall-U'!$AB$4:$AB$40)*AN$12)+(LOOKUP(AN$2,'Window-U'!$A$4:$A$40,'Window-U'!$S$4:$S$40)*AN$21))*AN$133</f>
        <v>105.79399943535068</v>
      </c>
    </row>
    <row r="139" spans="1:40">
      <c r="A139" s="373"/>
      <c r="B139" s="374" t="s">
        <v>7</v>
      </c>
      <c r="C139" s="131" t="s">
        <v>195</v>
      </c>
      <c r="D139" s="176">
        <f>((LOOKUP(D$2,'Ceiling-U'!$A$4:$A$40,'Ceiling-U'!$AC$4:$AC$40)*D$14)+(LOOKUP(D$2,'Floor-U'!$A$4:$A$40,'Floor-U'!$J$4:$J$40)*D$15)+(LOOKUP(D$2,'Wall-U'!$A$4:$A$40,'Wall-U'!$AC$4:$AC$40)*D$12)+(LOOKUP(D$2,'Window-U'!$A$4:$A$40,'Window-U'!$S$4:$S$40)*D$21))*D$133</f>
        <v>98.066728325431285</v>
      </c>
      <c r="E139" s="174">
        <f>((LOOKUP(E$2,'Ceiling-U'!$A$4:$A$40,'Ceiling-U'!$AC$4:$AC$40)*E$14)+(LOOKUP(E$2,'Floor-U'!$A$4:$A$40,'Floor-U'!$J$4:$J$40)*E$15)+(LOOKUP(E$2,'Wall-U'!$A$4:$A$40,'Wall-U'!$AC$4:$AC$40)*E$12)+(LOOKUP(E$2,'Window-U'!$A$4:$A$40,'Window-U'!$S$4:$S$40)*E$21))*E$133</f>
        <v>122.05181097816967</v>
      </c>
      <c r="F139" s="174">
        <f>((LOOKUP(F$2,'Ceiling-U'!$A$4:$A$40,'Ceiling-U'!$AC$4:$AC$40)*F$14)+(LOOKUP(F$2,'Floor-U'!$A$4:$A$40,'Floor-U'!$J$4:$J$40)*F$15)+(LOOKUP(F$2,'Wall-U'!$A$4:$A$40,'Wall-U'!$AC$4:$AC$40)*F$12)+(LOOKUP(F$2,'Window-U'!$A$4:$A$40,'Window-U'!$S$4:$S$40)*F$21))*F$133</f>
        <v>71.264547697376912</v>
      </c>
      <c r="G139" s="174">
        <f>((LOOKUP(G$2,'Ceiling-U'!$A$4:$A$40,'Ceiling-U'!$AC$4:$AC$40)*G$14)+(LOOKUP(G$2,'Floor-U'!$A$4:$A$40,'Floor-U'!$J$4:$J$40)*G$15)+(LOOKUP(G$2,'Wall-U'!$A$4:$A$40,'Wall-U'!$AC$4:$AC$40)*G$12)+(LOOKUP(G$2,'Window-U'!$A$4:$A$40,'Window-U'!$S$4:$S$40)*G$21))*G$133</f>
        <v>98.066728325431285</v>
      </c>
      <c r="H139" s="174">
        <f>((LOOKUP(H$2,'Ceiling-U'!$A$4:$A$40,'Ceiling-U'!$AC$4:$AC$40)*H$14)+(LOOKUP(H$2,'Floor-U'!$A$4:$A$40,'Floor-U'!$J$4:$J$40)*H$15)+(LOOKUP(H$2,'Wall-U'!$A$4:$A$40,'Wall-U'!$AC$4:$AC$40)*H$12)+(LOOKUP(H$2,'Window-U'!$A$4:$A$40,'Window-U'!$S$4:$S$40)*H$21))*H$133</f>
        <v>122.1059149250253</v>
      </c>
      <c r="I139" s="174">
        <f>((LOOKUP(I$2,'Ceiling-U'!$A$4:$A$40,'Ceiling-U'!$AC$4:$AC$40)*I$14)+(LOOKUP(I$2,'Floor-U'!$A$4:$A$40,'Floor-U'!$J$4:$J$40)*I$15)+(LOOKUP(I$2,'Wall-U'!$A$4:$A$40,'Wall-U'!$AC$4:$AC$40)*I$12)+(LOOKUP(I$2,'Window-U'!$A$4:$A$40,'Window-U'!$S$4:$S$40)*I$21))*I$133</f>
        <v>86.400373214606688</v>
      </c>
      <c r="J139" s="174">
        <f>((LOOKUP(J$2,'Ceiling-U'!$A$4:$A$40,'Ceiling-U'!$AC$4:$AC$40)*J$14)+(LOOKUP(J$2,'Floor-U'!$A$4:$A$40,'Floor-U'!$J$4:$J$40)*J$15)+(LOOKUP(J$2,'Wall-U'!$A$4:$A$40,'Wall-U'!$AC$4:$AC$40)*J$12)+(LOOKUP(J$2,'Window-U'!$A$4:$A$40,'Window-U'!$S$4:$S$40)*J$21))*J$133</f>
        <v>83.048812644729878</v>
      </c>
      <c r="K139" s="174">
        <f>((LOOKUP(K$2,'Ceiling-U'!$A$4:$A$40,'Ceiling-U'!$AC$4:$AC$40)*K$14)+(LOOKUP(K$2,'Floor-U'!$A$4:$A$40,'Floor-U'!$J$4:$J$40)*K$15)+(LOOKUP(K$2,'Wall-U'!$A$4:$A$40,'Wall-U'!$AC$4:$AC$40)*K$12)+(LOOKUP(K$2,'Window-U'!$A$4:$A$40,'Window-U'!$S$4:$S$40)*K$21))*K$133</f>
        <v>69.158572230211007</v>
      </c>
      <c r="L139" s="174">
        <f>((LOOKUP(L$2,'Ceiling-U'!$A$4:$A$40,'Ceiling-U'!$AC$4:$AC$40)*L$14)+(LOOKUP(L$2,'Floor-U'!$A$4:$A$40,'Floor-U'!$J$4:$J$40)*L$15)+(LOOKUP(L$2,'Wall-U'!$A$4:$A$40,'Wall-U'!$AC$4:$AC$40)*L$12)+(LOOKUP(L$2,'Window-U'!$A$4:$A$40,'Window-U'!$S$4:$S$40)*L$21))*L$133</f>
        <v>56.121398383405385</v>
      </c>
      <c r="M139" s="174">
        <f>((LOOKUP(M$2,'Ceiling-U'!$A$4:$A$40,'Ceiling-U'!$AC$4:$AC$40)*M$14)+(LOOKUP(M$2,'Floor-U'!$A$4:$A$40,'Floor-U'!$J$4:$J$40)*M$15)+(LOOKUP(M$2,'Wall-U'!$A$4:$A$40,'Wall-U'!$AC$4:$AC$40)*M$12)+(LOOKUP(M$2,'Window-U'!$A$4:$A$40,'Window-U'!$S$4:$S$40)*M$21))*M$133</f>
        <v>128.77485207229495</v>
      </c>
      <c r="N139" s="174">
        <f>((LOOKUP(N$2,'Ceiling-U'!$A$4:$A$40,'Ceiling-U'!$AC$4:$AC$40)*N$14)+(LOOKUP(N$2,'Floor-U'!$A$4:$A$40,'Floor-U'!$J$4:$J$40)*N$15)+(LOOKUP(N$2,'Wall-U'!$A$4:$A$40,'Wall-U'!$AC$4:$AC$40)*N$12)+(LOOKUP(N$2,'Window-U'!$A$4:$A$40,'Window-U'!$S$4:$S$40)*N$21))*N$133</f>
        <v>68.564882141778924</v>
      </c>
      <c r="O139" s="174">
        <f>((LOOKUP(O$2,'Ceiling-U'!$A$4:$A$40,'Ceiling-U'!$AC$4:$AC$40)*O$14)+(LOOKUP(O$2,'Floor-U'!$A$4:$A$40,'Floor-U'!$J$4:$J$40)*O$15)+(LOOKUP(O$2,'Wall-U'!$A$4:$A$40,'Wall-U'!$AC$4:$AC$40)*O$12)+(LOOKUP(O$2,'Window-U'!$A$4:$A$40,'Window-U'!$S$4:$S$40)*O$21))*O$133</f>
        <v>90.163320889478214</v>
      </c>
      <c r="P139" s="174">
        <f>((LOOKUP(P$2,'Ceiling-U'!$A$4:$A$40,'Ceiling-U'!$AC$4:$AC$40)*P$14)+(LOOKUP(P$2,'Floor-U'!$A$4:$A$40,'Floor-U'!$J$4:$J$40)*P$15)+(LOOKUP(P$2,'Wall-U'!$A$4:$A$40,'Wall-U'!$AC$4:$AC$40)*P$12)+(LOOKUP(P$2,'Window-U'!$A$4:$A$40,'Window-U'!$S$4:$S$40)*P$21))*P$133</f>
        <v>107.90794769146589</v>
      </c>
      <c r="Q139" s="174">
        <f>((LOOKUP(Q$2,'Ceiling-U'!$A$4:$A$40,'Ceiling-U'!$AC$4:$AC$40)*Q$14)+(LOOKUP(Q$2,'Floor-U'!$A$4:$A$40,'Floor-U'!$J$4:$J$40)*Q$15)+(LOOKUP(Q$2,'Wall-U'!$A$4:$A$40,'Wall-U'!$AC$4:$AC$40)*Q$12)+(LOOKUP(Q$2,'Window-U'!$A$4:$A$40,'Window-U'!$S$4:$S$40)*Q$21))*Q$133</f>
        <v>78.501616874135834</v>
      </c>
      <c r="R139" s="174">
        <f>((LOOKUP(R$2,'Ceiling-U'!$A$4:$A$40,'Ceiling-U'!$AC$4:$AC$40)*R$14)+(LOOKUP(R$2,'Floor-U'!$A$4:$A$40,'Floor-U'!$J$4:$J$40)*R$15)+(LOOKUP(R$2,'Wall-U'!$A$4:$A$40,'Wall-U'!$AC$4:$AC$40)*R$12)+(LOOKUP(R$2,'Window-U'!$A$4:$A$40,'Window-U'!$S$4:$S$40)*R$21))*R$133</f>
        <v>90.37801813151529</v>
      </c>
      <c r="S139" s="174">
        <f>((LOOKUP(S$2,'Ceiling-U'!$A$4:$A$40,'Ceiling-U'!$AC$4:$AC$40)*S$14)+(LOOKUP(S$2,'Floor-U'!$A$4:$A$40,'Floor-U'!$J$4:$J$40)*S$15)+(LOOKUP(S$2,'Wall-U'!$A$4:$A$40,'Wall-U'!$AC$4:$AC$40)*S$12)+(LOOKUP(S$2,'Window-U'!$A$4:$A$40,'Window-U'!$S$4:$S$40)*S$21))*S$133</f>
        <v>86.051580617461099</v>
      </c>
      <c r="T139" s="174">
        <f>((LOOKUP(T$2,'Ceiling-U'!$A$4:$A$40,'Ceiling-U'!$AC$4:$AC$40)*T$14)+(LOOKUP(T$2,'Floor-U'!$A$4:$A$40,'Floor-U'!$J$4:$J$40)*T$15)+(LOOKUP(T$2,'Wall-U'!$A$4:$A$40,'Wall-U'!$AC$4:$AC$40)*T$12)+(LOOKUP(T$2,'Window-U'!$A$4:$A$40,'Window-U'!$S$4:$S$40)*T$21))*T$133</f>
        <v>68.564882141778924</v>
      </c>
      <c r="U139" s="174">
        <f>((LOOKUP(U$2,'Ceiling-U'!$A$4:$A$40,'Ceiling-U'!$AC$4:$AC$40)*U$14)+(LOOKUP(U$2,'Floor-U'!$A$4:$A$40,'Floor-U'!$J$4:$J$40)*U$15)+(LOOKUP(U$2,'Wall-U'!$A$4:$A$40,'Wall-U'!$AC$4:$AC$40)*U$12)+(LOOKUP(U$2,'Window-U'!$A$4:$A$40,'Window-U'!$S$4:$S$40)*U$21))*U$133</f>
        <v>196.28550166226637</v>
      </c>
      <c r="V139" s="174">
        <f>((LOOKUP(V$2,'Ceiling-U'!$A$4:$A$40,'Ceiling-U'!$AC$4:$AC$40)*V$14)+(LOOKUP(V$2,'Floor-U'!$A$4:$A$40,'Floor-U'!$J$4:$J$40)*V$15)+(LOOKUP(V$2,'Wall-U'!$A$4:$A$40,'Wall-U'!$AC$4:$AC$40)*V$12)+(LOOKUP(V$2,'Window-U'!$A$4:$A$40,'Window-U'!$S$4:$S$40)*V$21))*V$133</f>
        <v>71.091968233854573</v>
      </c>
      <c r="W139" s="174">
        <f>((LOOKUP(W$2,'Ceiling-U'!$A$4:$A$40,'Ceiling-U'!$AC$4:$AC$40)*W$14)+(LOOKUP(W$2,'Floor-U'!$A$4:$A$40,'Floor-U'!$J$4:$J$40)*W$15)+(LOOKUP(W$2,'Wall-U'!$A$4:$A$40,'Wall-U'!$AC$4:$AC$40)*W$12)+(LOOKUP(W$2,'Window-U'!$A$4:$A$40,'Window-U'!$S$4:$S$40)*W$21))*W$133</f>
        <v>77.433074085630409</v>
      </c>
      <c r="X139" s="174">
        <f>((LOOKUP(X$2,'Ceiling-U'!$A$4:$A$40,'Ceiling-U'!$AC$4:$AC$40)*X$14)+(LOOKUP(X$2,'Floor-U'!$A$4:$A$40,'Floor-U'!$J$4:$J$40)*X$15)+(LOOKUP(X$2,'Wall-U'!$A$4:$A$40,'Wall-U'!$AC$4:$AC$40)*X$12)+(LOOKUP(X$2,'Window-U'!$A$4:$A$40,'Window-U'!$S$4:$S$40)*X$21))*X$133</f>
        <v>64.523650020098302</v>
      </c>
      <c r="Y139" s="174">
        <f>((LOOKUP(Y$2,'Ceiling-U'!$A$4:$A$40,'Ceiling-U'!$AC$4:$AC$40)*Y$14)+(LOOKUP(Y$2,'Floor-U'!$A$4:$A$40,'Floor-U'!$J$4:$J$40)*Y$15)+(LOOKUP(Y$2,'Wall-U'!$A$4:$A$40,'Wall-U'!$AC$4:$AC$40)*Y$12)+(LOOKUP(Y$2,'Window-U'!$A$4:$A$40,'Window-U'!$S$4:$S$40)*Y$21))*Y$133</f>
        <v>212.95123390072473</v>
      </c>
      <c r="Z139" s="174">
        <f>((LOOKUP(Z$2,'Ceiling-U'!$A$4:$A$40,'Ceiling-U'!$AC$4:$AC$40)*Z$14)+(LOOKUP(Z$2,'Floor-U'!$A$4:$A$40,'Floor-U'!$J$4:$J$40)*Z$15)+(LOOKUP(Z$2,'Wall-U'!$A$4:$A$40,'Wall-U'!$AC$4:$AC$40)*Z$12)+(LOOKUP(Z$2,'Window-U'!$A$4:$A$40,'Window-U'!$S$4:$S$40)*Z$21))*Z$133</f>
        <v>96.855250448935408</v>
      </c>
      <c r="AA139" s="174">
        <f>((LOOKUP(AA$2,'Ceiling-U'!$A$4:$A$40,'Ceiling-U'!$AC$4:$AC$40)*AA$14)+(LOOKUP(AA$2,'Floor-U'!$A$4:$A$40,'Floor-U'!$J$4:$J$40)*AA$15)+(LOOKUP(AA$2,'Wall-U'!$A$4:$A$40,'Wall-U'!$AC$4:$AC$40)*AA$12)+(LOOKUP(AA$2,'Window-U'!$A$4:$A$40,'Window-U'!$S$4:$S$40)*AA$21))*AA$133</f>
        <v>65.482505828828067</v>
      </c>
      <c r="AB139" s="174">
        <f>((LOOKUP(AB$2,'Ceiling-U'!$A$4:$A$40,'Ceiling-U'!$AC$4:$AC$40)*AB$14)+(LOOKUP(AB$2,'Floor-U'!$A$4:$A$40,'Floor-U'!$J$4:$J$40)*AB$15)+(LOOKUP(AB$2,'Wall-U'!$A$4:$A$40,'Wall-U'!$AC$4:$AC$40)*AB$12)+(LOOKUP(AB$2,'Window-U'!$A$4:$A$40,'Window-U'!$S$4:$S$40)*AB$21))*AB$133</f>
        <v>101.25471696718955</v>
      </c>
      <c r="AC139" s="174">
        <f>((LOOKUP(AC$2,'Ceiling-U'!$A$4:$A$40,'Ceiling-U'!$AC$4:$AC$40)*AC$14)+(LOOKUP(AC$2,'Floor-U'!$A$4:$A$40,'Floor-U'!$J$4:$J$40)*AC$15)+(LOOKUP(AC$2,'Wall-U'!$A$4:$A$40,'Wall-U'!$AC$4:$AC$40)*AC$12)+(LOOKUP(AC$2,'Window-U'!$A$4:$A$40,'Window-U'!$S$4:$S$40)*AC$21))*AC$133</f>
        <v>178.27935580860998</v>
      </c>
      <c r="AD139" s="174">
        <f>((LOOKUP(AD$2,'Ceiling-U'!$A$4:$A$40,'Ceiling-U'!$AC$4:$AC$40)*AD$14)+(LOOKUP(AD$2,'Floor-U'!$A$4:$A$40,'Floor-U'!$J$4:$J$40)*AD$15)+(LOOKUP(AD$2,'Wall-U'!$A$4:$A$40,'Wall-U'!$AC$4:$AC$40)*AD$12)+(LOOKUP(AD$2,'Window-U'!$A$4:$A$40,'Window-U'!$S$4:$S$40)*AD$21))*AD$133</f>
        <v>123.21625653501445</v>
      </c>
      <c r="AE139" s="174">
        <f>((LOOKUP(AE$2,'Ceiling-U'!$A$4:$A$40,'Ceiling-U'!$AC$4:$AC$40)*AE$14)+(LOOKUP(AE$2,'Floor-U'!$A$4:$A$40,'Floor-U'!$J$4:$J$40)*AE$15)+(LOOKUP(AE$2,'Wall-U'!$A$4:$A$40,'Wall-U'!$AC$4:$AC$40)*AE$12)+(LOOKUP(AE$2,'Window-U'!$A$4:$A$40,'Window-U'!$S$4:$S$40)*AE$21))*AE$133</f>
        <v>65.482505828828067</v>
      </c>
      <c r="AF139" s="174">
        <f>((LOOKUP(AF$2,'Ceiling-U'!$A$4:$A$40,'Ceiling-U'!$AC$4:$AC$40)*AF$14)+(LOOKUP(AF$2,'Floor-U'!$A$4:$A$40,'Floor-U'!$J$4:$J$40)*AF$15)+(LOOKUP(AF$2,'Wall-U'!$A$4:$A$40,'Wall-U'!$AC$4:$AC$40)*AF$12)+(LOOKUP(AF$2,'Window-U'!$A$4:$A$40,'Window-U'!$S$4:$S$40)*AF$21))*AF$133</f>
        <v>64.796179702463675</v>
      </c>
      <c r="AG139" s="174">
        <f>((LOOKUP(AG$2,'Ceiling-U'!$A$4:$A$40,'Ceiling-U'!$AC$4:$AC$40)*AG$14)+(LOOKUP(AG$2,'Floor-U'!$A$4:$A$40,'Floor-U'!$J$4:$J$40)*AG$15)+(LOOKUP(AG$2,'Wall-U'!$A$4:$A$40,'Wall-U'!$AC$4:$AC$40)*AG$12)+(LOOKUP(AG$2,'Window-U'!$A$4:$A$40,'Window-U'!$S$4:$S$40)*AG$21))*AG$133</f>
        <v>124.89893886439805</v>
      </c>
      <c r="AH139" s="174">
        <f>((LOOKUP(AH$2,'Ceiling-U'!$A$4:$A$40,'Ceiling-U'!$AC$4:$AC$40)*AH$14)+(LOOKUP(AH$2,'Floor-U'!$A$4:$A$40,'Floor-U'!$J$4:$J$40)*AH$15)+(LOOKUP(AH$2,'Wall-U'!$A$4:$A$40,'Wall-U'!$AC$4:$AC$40)*AH$12)+(LOOKUP(AH$2,'Window-U'!$A$4:$A$40,'Window-U'!$S$4:$S$40)*AH$21))*AH$133</f>
        <v>76.64508600968469</v>
      </c>
      <c r="AI139" s="174">
        <f>((LOOKUP(AI$2,'Ceiling-U'!$A$4:$A$40,'Ceiling-U'!$AC$4:$AC$40)*AI$14)+(LOOKUP(AI$2,'Floor-U'!$A$4:$A$40,'Floor-U'!$J$4:$J$40)*AI$15)+(LOOKUP(AI$2,'Wall-U'!$A$4:$A$40,'Wall-U'!$AC$4:$AC$40)*AI$12)+(LOOKUP(AI$2,'Window-U'!$A$4:$A$40,'Window-U'!$S$4:$S$40)*AI$21))*AI$133</f>
        <v>107.90794769146589</v>
      </c>
      <c r="AJ139" s="174">
        <f>((LOOKUP(AJ$2,'Ceiling-U'!$A$4:$A$40,'Ceiling-U'!$AC$4:$AC$40)*AJ$14)+(LOOKUP(AJ$2,'Floor-U'!$A$4:$A$40,'Floor-U'!$J$4:$J$40)*AJ$15)+(LOOKUP(AJ$2,'Wall-U'!$A$4:$A$40,'Wall-U'!$AC$4:$AC$40)*AJ$12)+(LOOKUP(AJ$2,'Window-U'!$A$4:$A$40,'Window-U'!$S$4:$S$40)*AJ$21))*AJ$133</f>
        <v>102.92946952821991</v>
      </c>
      <c r="AK139" s="174">
        <f>((LOOKUP(AK$2,'Ceiling-U'!$A$4:$A$40,'Ceiling-U'!$AC$4:$AC$40)*AK$14)+(LOOKUP(AK$2,'Floor-U'!$A$4:$A$40,'Floor-U'!$J$4:$J$40)*AK$15)+(LOOKUP(AK$2,'Wall-U'!$A$4:$A$40,'Wall-U'!$AC$4:$AC$40)*AK$12)+(LOOKUP(AK$2,'Window-U'!$A$4:$A$40,'Window-U'!$S$4:$S$40)*AK$21))*AK$133</f>
        <v>125.55183321011549</v>
      </c>
      <c r="AL139" s="174">
        <f>((LOOKUP(AL$2,'Ceiling-U'!$A$4:$A$40,'Ceiling-U'!$AC$4:$AC$40)*AL$14)+(LOOKUP(AL$2,'Floor-U'!$A$4:$A$40,'Floor-U'!$J$4:$J$40)*AL$15)+(LOOKUP(AL$2,'Wall-U'!$A$4:$A$40,'Wall-U'!$AC$4:$AC$40)*AL$12)+(LOOKUP(AL$2,'Window-U'!$A$4:$A$40,'Window-U'!$S$4:$S$40)*AL$21))*AL$133</f>
        <v>74.671269133950204</v>
      </c>
      <c r="AM139" s="174">
        <f>((LOOKUP(AM$2,'Ceiling-U'!$A$4:$A$40,'Ceiling-U'!$AC$4:$AC$40)*AM$14)+(LOOKUP(AM$2,'Floor-U'!$A$4:$A$40,'Floor-U'!$J$4:$J$40)*AM$15)+(LOOKUP(AM$2,'Wall-U'!$A$4:$A$40,'Wall-U'!$AC$4:$AC$40)*AM$12)+(LOOKUP(AM$2,'Window-U'!$A$4:$A$40,'Window-U'!$S$4:$S$40)*AM$21))*AM$133</f>
        <v>102.92946952821991</v>
      </c>
      <c r="AN139" s="175">
        <f>((LOOKUP(AN$2,'Ceiling-U'!$A$4:$A$40,'Ceiling-U'!$AC$4:$AC$40)*AN$14)+(LOOKUP(AN$2,'Floor-U'!$A$4:$A$40,'Floor-U'!$J$4:$J$40)*AN$15)+(LOOKUP(AN$2,'Wall-U'!$A$4:$A$40,'Wall-U'!$AC$4:$AC$40)*AN$12)+(LOOKUP(AN$2,'Window-U'!$A$4:$A$40,'Window-U'!$S$4:$S$40)*AN$21))*AN$133</f>
        <v>102.92946952821991</v>
      </c>
    </row>
    <row r="140" spans="1:40">
      <c r="A140" s="332" t="s">
        <v>280</v>
      </c>
      <c r="B140" s="142" t="s">
        <v>2</v>
      </c>
      <c r="C140" s="360" t="s">
        <v>261</v>
      </c>
      <c r="D140" s="351">
        <f>D134*24*LOOKUP(D$2,'HDD-by Country'!$A$4:$A$40,'HDD-by Country'!$C$4:$C$40)/1000</f>
        <v>16344.075404321136</v>
      </c>
      <c r="E140" s="352">
        <f>E134*24*LOOKUP(E$2,'HDD-by Country'!$A$4:$A$40,'HDD-by Country'!$C$4:$C$40)/1000</f>
        <v>11709.121953414817</v>
      </c>
      <c r="F140" s="352">
        <f>F134*24*LOOKUP(F$2,'HDD-by Country'!$A$4:$A$40,'HDD-by Country'!$C$4:$C$40)/1000</f>
        <v>7155.5006757906158</v>
      </c>
      <c r="G140" s="352">
        <f>G134*24*LOOKUP(G$2,'HDD-by Country'!$A$4:$A$40,'HDD-by Country'!$C$4:$C$40)/1000</f>
        <v>15923.354940639674</v>
      </c>
      <c r="H140" s="352">
        <f>H134*24*LOOKUP(H$2,'HDD-by Country'!$A$4:$A$40,'HDD-by Country'!$C$4:$C$40)/1000</f>
        <v>5093.8170409853801</v>
      </c>
      <c r="I140" s="352">
        <f>I134*24*LOOKUP(I$2,'HDD-by Country'!$A$4:$A$40,'HDD-by Country'!$C$4:$C$40)/1000</f>
        <v>14977.063158551511</v>
      </c>
      <c r="J140" s="352">
        <f>J134*24*LOOKUP(J$2,'HDD-by Country'!$A$4:$A$40,'HDD-by Country'!$C$4:$C$40)/1000</f>
        <v>12925.789089234035</v>
      </c>
      <c r="K140" s="352">
        <f>K134*24*LOOKUP(K$2,'HDD-by Country'!$A$4:$A$40,'HDD-by Country'!$C$4:$C$40)/1000</f>
        <v>12697.857545760358</v>
      </c>
      <c r="L140" s="352">
        <f>L134*24*LOOKUP(L$2,'HDD-by Country'!$A$4:$A$40,'HDD-by Country'!$C$4:$C$40)/1000</f>
        <v>9141.2882697580644</v>
      </c>
      <c r="M140" s="352">
        <f>M134*24*LOOKUP(M$2,'HDD-by Country'!$A$4:$A$40,'HDD-by Country'!$C$4:$C$40)/1000</f>
        <v>12086.830319986038</v>
      </c>
      <c r="N140" s="352">
        <f>N134*24*LOOKUP(N$2,'HDD-by Country'!$A$4:$A$40,'HDD-by Country'!$C$4:$C$40)/1000</f>
        <v>15262.899110817409</v>
      </c>
      <c r="O140" s="352">
        <f>O134*24*LOOKUP(O$2,'HDD-by Country'!$A$4:$A$40,'HDD-by Country'!$C$4:$C$40)/1000</f>
        <v>14447.438952651077</v>
      </c>
      <c r="P140" s="352">
        <f>P134*24*LOOKUP(P$2,'HDD-by Country'!$A$4:$A$40,'HDD-by Country'!$C$4:$C$40)/1000</f>
        <v>10842.993288034289</v>
      </c>
      <c r="Q140" s="352">
        <f>Q134*24*LOOKUP(Q$2,'HDD-by Country'!$A$4:$A$40,'HDD-by Country'!$C$4:$C$40)/1000</f>
        <v>6852.3150145846557</v>
      </c>
      <c r="R140" s="352">
        <f>R134*24*LOOKUP(R$2,'HDD-by Country'!$A$4:$A$40,'HDD-by Country'!$C$4:$C$40)/1000</f>
        <v>10025.878204022432</v>
      </c>
      <c r="S140" s="352">
        <f>S134*24*LOOKUP(S$2,'HDD-by Country'!$A$4:$A$40,'HDD-by Country'!$C$4:$C$40)/1000</f>
        <v>10503.393581602877</v>
      </c>
      <c r="T140" s="352">
        <f>T134*24*LOOKUP(T$2,'HDD-by Country'!$A$4:$A$40,'HDD-by Country'!$C$4:$C$40)/1000</f>
        <v>12982.595893235457</v>
      </c>
      <c r="U140" s="352">
        <f>U134*24*LOOKUP(U$2,'HDD-by Country'!$A$4:$A$40,'HDD-by Country'!$C$4:$C$40)/1000</f>
        <v>10635.879894786134</v>
      </c>
      <c r="V140" s="352">
        <f>V134*24*LOOKUP(V$2,'HDD-by Country'!$A$4:$A$40,'HDD-by Country'!$C$4:$C$40)/1000</f>
        <v>13773.955902716163</v>
      </c>
      <c r="W140" s="352">
        <f>W134*24*LOOKUP(W$2,'HDD-by Country'!$A$4:$A$40,'HDD-by Country'!$C$4:$C$40)/1000</f>
        <v>13577.431281133073</v>
      </c>
      <c r="X140" s="352">
        <f>X134*24*LOOKUP(X$2,'HDD-by Country'!$A$4:$A$40,'HDD-by Country'!$C$4:$C$40)/1000</f>
        <v>13766.317188773864</v>
      </c>
      <c r="Y140" s="352">
        <f>Y134*24*LOOKUP(Y$2,'HDD-by Country'!$A$4:$A$40,'HDD-by Country'!$C$4:$C$40)/1000</f>
        <v>3829.4322545360596</v>
      </c>
      <c r="Z140" s="352">
        <f>Z134*24*LOOKUP(Z$2,'HDD-by Country'!$A$4:$A$40,'HDD-by Country'!$C$4:$C$40)/1000</f>
        <v>12224.860545116375</v>
      </c>
      <c r="AA140" s="352">
        <f>AA134*24*LOOKUP(AA$2,'HDD-by Country'!$A$4:$A$40,'HDD-by Country'!$C$4:$C$40)/1000</f>
        <v>12315.740062148847</v>
      </c>
      <c r="AB140" s="352">
        <f>AB134*24*LOOKUP(AB$2,'HDD-by Country'!$A$4:$A$40,'HDD-by Country'!$C$4:$C$40)/1000</f>
        <v>13756.54661023711</v>
      </c>
      <c r="AC140" s="352">
        <f>AC134*24*LOOKUP(AC$2,'HDD-by Country'!$A$4:$A$40,'HDD-by Country'!$C$4:$C$40)/1000</f>
        <v>7416.2841917386595</v>
      </c>
      <c r="AD140" s="352">
        <f>AD134*24*LOOKUP(AD$2,'HDD-by Country'!$A$4:$A$40,'HDD-by Country'!$C$4:$C$40)/1000</f>
        <v>11620.541630707532</v>
      </c>
      <c r="AE140" s="352">
        <f>AE134*24*LOOKUP(AE$2,'HDD-by Country'!$A$4:$A$40,'HDD-by Country'!$C$4:$C$40)/1000</f>
        <v>11875.113159464812</v>
      </c>
      <c r="AF140" s="352">
        <f>AF134*24*LOOKUP(AF$2,'HDD-by Country'!$A$4:$A$40,'HDD-by Country'!$C$4:$C$40)/1000</f>
        <v>11025.122891597443</v>
      </c>
      <c r="AG140" s="352">
        <f>AG134*24*LOOKUP(AG$2,'HDD-by Country'!$A$4:$A$40,'HDD-by Country'!$C$4:$C$40)/1000</f>
        <v>17389.197398604247</v>
      </c>
      <c r="AH140" s="352">
        <f>AH134*24*LOOKUP(AH$2,'HDD-by Country'!$A$4:$A$40,'HDD-by Country'!$C$4:$C$40)/1000</f>
        <v>8758.8286755973477</v>
      </c>
      <c r="AI140" s="352">
        <f>AI134*24*LOOKUP(AI$2,'HDD-by Country'!$A$4:$A$40,'HDD-by Country'!$C$4:$C$40)/1000</f>
        <v>10842.993288034289</v>
      </c>
      <c r="AJ140" s="352">
        <f>AJ134*24*LOOKUP(AJ$2,'HDD-by Country'!$A$4:$A$40,'HDD-by Country'!$C$4:$C$40)/1000</f>
        <v>7796.177615528879</v>
      </c>
      <c r="AK140" s="352">
        <f>AK134*24*LOOKUP(AK$2,'HDD-by Country'!$A$4:$A$40,'HDD-by Country'!$C$4:$C$40)/1000</f>
        <v>8461.4790501494153</v>
      </c>
      <c r="AL140" s="352">
        <f>AL134*24*LOOKUP(AL$2,'HDD-by Country'!$A$4:$A$40,'HDD-by Country'!$C$4:$C$40)/1000</f>
        <v>7554.4127597836232</v>
      </c>
      <c r="AM140" s="352">
        <f>AM134*24*LOOKUP(AM$2,'HDD-by Country'!$A$4:$A$40,'HDD-by Country'!$C$4:$C$40)/1000</f>
        <v>7169.1749667782669</v>
      </c>
      <c r="AN140" s="353">
        <f>AN134*24*LOOKUP(AN$2,'HDD-by Country'!$A$4:$A$40,'HDD-by Country'!$C$4:$C$40)/1000</f>
        <v>7169.1749667782669</v>
      </c>
    </row>
    <row r="141" spans="1:40">
      <c r="A141" s="129"/>
      <c r="B141" s="142" t="s">
        <v>3</v>
      </c>
      <c r="C141" s="129" t="s">
        <v>261</v>
      </c>
      <c r="D141" s="345">
        <f>D135*24*LOOKUP(D$2,'HDD-by Country'!$A$4:$A$40,'HDD-by Country'!$C$4:$C$40)/1000</f>
        <v>17758.742979842944</v>
      </c>
      <c r="E141" s="349">
        <f>E135*24*LOOKUP(E$2,'HDD-by Country'!$A$4:$A$40,'HDD-by Country'!$C$4:$C$40)/1000</f>
        <v>11709.121953414817</v>
      </c>
      <c r="F141" s="349">
        <f>F135*24*LOOKUP(F$2,'HDD-by Country'!$A$4:$A$40,'HDD-by Country'!$C$4:$C$40)/1000</f>
        <v>7155.5006757906158</v>
      </c>
      <c r="G141" s="349">
        <f>G135*24*LOOKUP(G$2,'HDD-by Country'!$A$4:$A$40,'HDD-by Country'!$C$4:$C$40)/1000</f>
        <v>17301.606898660637</v>
      </c>
      <c r="H141" s="349">
        <f>H135*24*LOOKUP(H$2,'HDD-by Country'!$A$4:$A$40,'HDD-by Country'!$C$4:$C$40)/1000</f>
        <v>5063.7006387222764</v>
      </c>
      <c r="I141" s="349">
        <f>I135*24*LOOKUP(I$2,'HDD-by Country'!$A$4:$A$40,'HDD-by Country'!$C$4:$C$40)/1000</f>
        <v>11971.612212579908</v>
      </c>
      <c r="J141" s="349">
        <f>J135*24*LOOKUP(J$2,'HDD-by Country'!$A$4:$A$40,'HDD-by Country'!$C$4:$C$40)/1000</f>
        <v>13456.735367216246</v>
      </c>
      <c r="K141" s="349">
        <f>K135*24*LOOKUP(K$2,'HDD-by Country'!$A$4:$A$40,'HDD-by Country'!$C$4:$C$40)/1000</f>
        <v>12116.359059016937</v>
      </c>
      <c r="L141" s="349">
        <f>L135*24*LOOKUP(L$2,'HDD-by Country'!$A$4:$A$40,'HDD-by Country'!$C$4:$C$40)/1000</f>
        <v>9141.2882697580644</v>
      </c>
      <c r="M141" s="349">
        <f>M135*24*LOOKUP(M$2,'HDD-by Country'!$A$4:$A$40,'HDD-by Country'!$C$4:$C$40)/1000</f>
        <v>11997.042243158674</v>
      </c>
      <c r="N141" s="349">
        <f>N135*24*LOOKUP(N$2,'HDD-by Country'!$A$4:$A$40,'HDD-by Country'!$C$4:$C$40)/1000</f>
        <v>13299.118284822478</v>
      </c>
      <c r="O141" s="349">
        <f>O135*24*LOOKUP(O$2,'HDD-by Country'!$A$4:$A$40,'HDD-by Country'!$C$4:$C$40)/1000</f>
        <v>14447.438952651077</v>
      </c>
      <c r="P141" s="349">
        <f>P135*24*LOOKUP(P$2,'HDD-by Country'!$A$4:$A$40,'HDD-by Country'!$C$4:$C$40)/1000</f>
        <v>10842.993288034289</v>
      </c>
      <c r="Q141" s="349">
        <f>Q135*24*LOOKUP(Q$2,'HDD-by Country'!$A$4:$A$40,'HDD-by Country'!$C$4:$C$40)/1000</f>
        <v>6925.4059123495063</v>
      </c>
      <c r="R141" s="349">
        <f>R135*24*LOOKUP(R$2,'HDD-by Country'!$A$4:$A$40,'HDD-by Country'!$C$4:$C$40)/1000</f>
        <v>10025.878204022432</v>
      </c>
      <c r="S141" s="349">
        <f>S135*24*LOOKUP(S$2,'HDD-by Country'!$A$4:$A$40,'HDD-by Country'!$C$4:$C$40)/1000</f>
        <v>10510.143050841898</v>
      </c>
      <c r="T141" s="349">
        <f>T135*24*LOOKUP(T$2,'HDD-by Country'!$A$4:$A$40,'HDD-by Country'!$C$4:$C$40)/1000</f>
        <v>11312.207279534472</v>
      </c>
      <c r="U141" s="349">
        <f>U135*24*LOOKUP(U$2,'HDD-by Country'!$A$4:$A$40,'HDD-by Country'!$C$4:$C$40)/1000</f>
        <v>10572.902301969491</v>
      </c>
      <c r="V141" s="349">
        <f>V135*24*LOOKUP(V$2,'HDD-by Country'!$A$4:$A$40,'HDD-by Country'!$C$4:$C$40)/1000</f>
        <v>13773.955902716163</v>
      </c>
      <c r="W141" s="349">
        <f>W135*24*LOOKUP(W$2,'HDD-by Country'!$A$4:$A$40,'HDD-by Country'!$C$4:$C$40)/1000</f>
        <v>12167.324781052377</v>
      </c>
      <c r="X141" s="349">
        <f>X135*24*LOOKUP(X$2,'HDD-by Country'!$A$4:$A$40,'HDD-by Country'!$C$4:$C$40)/1000</f>
        <v>13766.317188773864</v>
      </c>
      <c r="Y141" s="349">
        <f>Y135*24*LOOKUP(Y$2,'HDD-by Country'!$A$4:$A$40,'HDD-by Country'!$C$4:$C$40)/1000</f>
        <v>3829.1799979379198</v>
      </c>
      <c r="Z141" s="349">
        <f>Z135*24*LOOKUP(Z$2,'HDD-by Country'!$A$4:$A$40,'HDD-by Country'!$C$4:$C$40)/1000</f>
        <v>12744.240878513476</v>
      </c>
      <c r="AA141" s="349">
        <f>AA135*24*LOOKUP(AA$2,'HDD-by Country'!$A$4:$A$40,'HDD-by Country'!$C$4:$C$40)/1000</f>
        <v>12315.740062148847</v>
      </c>
      <c r="AB141" s="349">
        <f>AB135*24*LOOKUP(AB$2,'HDD-by Country'!$A$4:$A$40,'HDD-by Country'!$C$4:$C$40)/1000</f>
        <v>13262.885182729526</v>
      </c>
      <c r="AC141" s="349">
        <f>AC135*24*LOOKUP(AC$2,'HDD-by Country'!$A$4:$A$40,'HDD-by Country'!$C$4:$C$40)/1000</f>
        <v>7787.679360354663</v>
      </c>
      <c r="AD141" s="349">
        <f>AD135*24*LOOKUP(AD$2,'HDD-by Country'!$A$4:$A$40,'HDD-by Country'!$C$4:$C$40)/1000</f>
        <v>10471.280501410391</v>
      </c>
      <c r="AE141" s="349">
        <f>AE135*24*LOOKUP(AE$2,'HDD-by Country'!$A$4:$A$40,'HDD-by Country'!$C$4:$C$40)/1000</f>
        <v>11875.113159464812</v>
      </c>
      <c r="AF141" s="349">
        <f>AF135*24*LOOKUP(AF$2,'HDD-by Country'!$A$4:$A$40,'HDD-by Country'!$C$4:$C$40)/1000</f>
        <v>11025.122891597443</v>
      </c>
      <c r="AG141" s="349">
        <f>AG135*24*LOOKUP(AG$2,'HDD-by Country'!$A$4:$A$40,'HDD-by Country'!$C$4:$C$40)/1000</f>
        <v>15569.748029910188</v>
      </c>
      <c r="AH141" s="349">
        <f>AH135*24*LOOKUP(AH$2,'HDD-by Country'!$A$4:$A$40,'HDD-by Country'!$C$4:$C$40)/1000</f>
        <v>8818.5912718016407</v>
      </c>
      <c r="AI141" s="349">
        <f>AI135*24*LOOKUP(AI$2,'HDD-by Country'!$A$4:$A$40,'HDD-by Country'!$C$4:$C$40)/1000</f>
        <v>10842.993288034289</v>
      </c>
      <c r="AJ141" s="349">
        <f>AJ135*24*LOOKUP(AJ$2,'HDD-by Country'!$A$4:$A$40,'HDD-by Country'!$C$4:$C$40)/1000</f>
        <v>7796.177615528879</v>
      </c>
      <c r="AK141" s="349">
        <f>AK135*24*LOOKUP(AK$2,'HDD-by Country'!$A$4:$A$40,'HDD-by Country'!$C$4:$C$40)/1000</f>
        <v>8461.4790501494153</v>
      </c>
      <c r="AL141" s="349">
        <f>AL135*24*LOOKUP(AL$2,'HDD-by Country'!$A$4:$A$40,'HDD-by Country'!$C$4:$C$40)/1000</f>
        <v>7554.4127597836232</v>
      </c>
      <c r="AM141" s="349">
        <f>AM135*24*LOOKUP(AM$2,'HDD-by Country'!$A$4:$A$40,'HDD-by Country'!$C$4:$C$40)/1000</f>
        <v>7169.1749667782669</v>
      </c>
      <c r="AN141" s="354">
        <f>AN135*24*LOOKUP(AN$2,'HDD-by Country'!$A$4:$A$40,'HDD-by Country'!$C$4:$C$40)/1000</f>
        <v>7169.1749667782669</v>
      </c>
    </row>
    <row r="142" spans="1:40">
      <c r="A142" s="129"/>
      <c r="B142" s="142" t="s">
        <v>4</v>
      </c>
      <c r="C142" s="129" t="s">
        <v>261</v>
      </c>
      <c r="D142" s="345">
        <f>D136*24*LOOKUP(D$2,'HDD-by Country'!$A$4:$A$40,'HDD-by Country'!$C$4:$C$40)/1000</f>
        <v>14577.068294722789</v>
      </c>
      <c r="E142" s="349">
        <f>E136*24*LOOKUP(E$2,'HDD-by Country'!$A$4:$A$40,'HDD-by Country'!$C$4:$C$40)/1000</f>
        <v>11709.121953414817</v>
      </c>
      <c r="F142" s="349">
        <f>F136*24*LOOKUP(F$2,'HDD-by Country'!$A$4:$A$40,'HDD-by Country'!$C$4:$C$40)/1000</f>
        <v>6864.7768068097885</v>
      </c>
      <c r="G142" s="349">
        <f>G136*24*LOOKUP(G$2,'HDD-by Country'!$A$4:$A$40,'HDD-by Country'!$C$4:$C$40)/1000</f>
        <v>14201.833184729925</v>
      </c>
      <c r="H142" s="349">
        <f>H136*24*LOOKUP(H$2,'HDD-by Country'!$A$4:$A$40,'HDD-by Country'!$C$4:$C$40)/1000</f>
        <v>5021.6386243883317</v>
      </c>
      <c r="I142" s="349">
        <f>I136*24*LOOKUP(I$2,'HDD-by Country'!$A$4:$A$40,'HDD-by Country'!$C$4:$C$40)/1000</f>
        <v>11971.612212579908</v>
      </c>
      <c r="J142" s="349">
        <f>J136*24*LOOKUP(J$2,'HDD-by Country'!$A$4:$A$40,'HDD-by Country'!$C$4:$C$40)/1000</f>
        <v>11197.393667701652</v>
      </c>
      <c r="K142" s="349">
        <f>K136*24*LOOKUP(K$2,'HDD-by Country'!$A$4:$A$40,'HDD-by Country'!$C$4:$C$40)/1000</f>
        <v>8403.7220977841771</v>
      </c>
      <c r="L142" s="349">
        <f>L136*24*LOOKUP(L$2,'HDD-by Country'!$A$4:$A$40,'HDD-by Country'!$C$4:$C$40)/1000</f>
        <v>7875.2463369299367</v>
      </c>
      <c r="M142" s="349">
        <f>M136*24*LOOKUP(M$2,'HDD-by Country'!$A$4:$A$40,'HDD-by Country'!$C$4:$C$40)/1000</f>
        <v>11997.042243158674</v>
      </c>
      <c r="N142" s="349">
        <f>N136*24*LOOKUP(N$2,'HDD-by Country'!$A$4:$A$40,'HDD-by Country'!$C$4:$C$40)/1000</f>
        <v>11718.448348202792</v>
      </c>
      <c r="O142" s="349">
        <f>O136*24*LOOKUP(O$2,'HDD-by Country'!$A$4:$A$40,'HDD-by Country'!$C$4:$C$40)/1000</f>
        <v>8970.644717515499</v>
      </c>
      <c r="P142" s="349">
        <f>P136*24*LOOKUP(P$2,'HDD-by Country'!$A$4:$A$40,'HDD-by Country'!$C$4:$C$40)/1000</f>
        <v>10842.993288034289</v>
      </c>
      <c r="Q142" s="349">
        <f>Q136*24*LOOKUP(Q$2,'HDD-by Country'!$A$4:$A$40,'HDD-by Country'!$C$4:$C$40)/1000</f>
        <v>6854.3066709845607</v>
      </c>
      <c r="R142" s="349">
        <f>R136*24*LOOKUP(R$2,'HDD-by Country'!$A$4:$A$40,'HDD-by Country'!$C$4:$C$40)/1000</f>
        <v>9820.8343224190885</v>
      </c>
      <c r="S142" s="349">
        <f>S136*24*LOOKUP(S$2,'HDD-by Country'!$A$4:$A$40,'HDD-by Country'!$C$4:$C$40)/1000</f>
        <v>10392.422643974704</v>
      </c>
      <c r="T142" s="349">
        <f>T136*24*LOOKUP(T$2,'HDD-by Country'!$A$4:$A$40,'HDD-by Country'!$C$4:$C$40)/1000</f>
        <v>9967.6921334456565</v>
      </c>
      <c r="U142" s="349">
        <f>U136*24*LOOKUP(U$2,'HDD-by Country'!$A$4:$A$40,'HDD-by Country'!$C$4:$C$40)/1000</f>
        <v>9716.1330206053517</v>
      </c>
      <c r="V142" s="349">
        <f>V136*24*LOOKUP(V$2,'HDD-by Country'!$A$4:$A$40,'HDD-by Country'!$C$4:$C$40)/1000</f>
        <v>10228.770056927695</v>
      </c>
      <c r="W142" s="349">
        <f>W136*24*LOOKUP(W$2,'HDD-by Country'!$A$4:$A$40,'HDD-by Country'!$C$4:$C$40)/1000</f>
        <v>7771.6950055424149</v>
      </c>
      <c r="X142" s="349">
        <f>X136*24*LOOKUP(X$2,'HDD-by Country'!$A$4:$A$40,'HDD-by Country'!$C$4:$C$40)/1000</f>
        <v>13576.656981714059</v>
      </c>
      <c r="Y142" s="349">
        <f>Y136*24*LOOKUP(Y$2,'HDD-by Country'!$A$4:$A$40,'HDD-by Country'!$C$4:$C$40)/1000</f>
        <v>3777.849097717788</v>
      </c>
      <c r="Z142" s="349">
        <f>Z136*24*LOOKUP(Z$2,'HDD-by Country'!$A$4:$A$40,'HDD-by Country'!$C$4:$C$40)/1000</f>
        <v>11414.144021409704</v>
      </c>
      <c r="AA142" s="349">
        <f>AA136*24*LOOKUP(AA$2,'HDD-by Country'!$A$4:$A$40,'HDD-by Country'!$C$4:$C$40)/1000</f>
        <v>9732.412148563817</v>
      </c>
      <c r="AB142" s="349">
        <f>AB136*24*LOOKUP(AB$2,'HDD-by Country'!$A$4:$A$40,'HDD-by Country'!$C$4:$C$40)/1000</f>
        <v>11018.689722608653</v>
      </c>
      <c r="AC142" s="349">
        <f>AC136*24*LOOKUP(AC$2,'HDD-by Country'!$A$4:$A$40,'HDD-by Country'!$C$4:$C$40)/1000</f>
        <v>7784.1318410872918</v>
      </c>
      <c r="AD142" s="349">
        <f>AD136*24*LOOKUP(AD$2,'HDD-by Country'!$A$4:$A$40,'HDD-by Country'!$C$4:$C$40)/1000</f>
        <v>10471.280501410391</v>
      </c>
      <c r="AE142" s="349">
        <f>AE136*24*LOOKUP(AE$2,'HDD-by Country'!$A$4:$A$40,'HDD-by Country'!$C$4:$C$40)/1000</f>
        <v>9384.2103678323456</v>
      </c>
      <c r="AF142" s="349">
        <f>AF136*24*LOOKUP(AF$2,'HDD-by Country'!$A$4:$A$40,'HDD-by Country'!$C$4:$C$40)/1000</f>
        <v>10049.424955347433</v>
      </c>
      <c r="AG142" s="349">
        <f>AG136*24*LOOKUP(AG$2,'HDD-by Country'!$A$4:$A$40,'HDD-by Country'!$C$4:$C$40)/1000</f>
        <v>15569.748029910188</v>
      </c>
      <c r="AH142" s="349">
        <f>AH136*24*LOOKUP(AH$2,'HDD-by Country'!$A$4:$A$40,'HDD-by Country'!$C$4:$C$40)/1000</f>
        <v>8595.3759782627658</v>
      </c>
      <c r="AI142" s="349">
        <f>AI136*24*LOOKUP(AI$2,'HDD-by Country'!$A$4:$A$40,'HDD-by Country'!$C$4:$C$40)/1000</f>
        <v>10842.993288034289</v>
      </c>
      <c r="AJ142" s="349">
        <f>AJ136*24*LOOKUP(AJ$2,'HDD-by Country'!$A$4:$A$40,'HDD-by Country'!$C$4:$C$40)/1000</f>
        <v>7796.177615528879</v>
      </c>
      <c r="AK142" s="349">
        <f>AK136*24*LOOKUP(AK$2,'HDD-by Country'!$A$4:$A$40,'HDD-by Country'!$C$4:$C$40)/1000</f>
        <v>8461.4790501494153</v>
      </c>
      <c r="AL142" s="349">
        <f>AL136*24*LOOKUP(AL$2,'HDD-by Country'!$A$4:$A$40,'HDD-by Country'!$C$4:$C$40)/1000</f>
        <v>7241.3812155617989</v>
      </c>
      <c r="AM142" s="349">
        <f>AM136*24*LOOKUP(AM$2,'HDD-by Country'!$A$4:$A$40,'HDD-by Country'!$C$4:$C$40)/1000</f>
        <v>7169.1749667782669</v>
      </c>
      <c r="AN142" s="354">
        <f>AN136*24*LOOKUP(AN$2,'HDD-by Country'!$A$4:$A$40,'HDD-by Country'!$C$4:$C$40)/1000</f>
        <v>7169.1749667782669</v>
      </c>
    </row>
    <row r="143" spans="1:40">
      <c r="A143" s="129"/>
      <c r="B143" s="142" t="s">
        <v>5</v>
      </c>
      <c r="C143" s="129" t="s">
        <v>261</v>
      </c>
      <c r="D143" s="345">
        <f>D137*24*LOOKUP(D$2,'HDD-by Country'!$A$4:$A$40,'HDD-by Country'!$C$4:$C$40)/1000</f>
        <v>10446.515340574899</v>
      </c>
      <c r="E143" s="349">
        <f>E137*24*LOOKUP(E$2,'HDD-by Country'!$A$4:$A$40,'HDD-by Country'!$C$4:$C$40)/1000</f>
        <v>10903.186420029466</v>
      </c>
      <c r="F143" s="349">
        <f>F137*24*LOOKUP(F$2,'HDD-by Country'!$A$4:$A$40,'HDD-by Country'!$C$4:$C$40)/1000</f>
        <v>5903.2117316604617</v>
      </c>
      <c r="G143" s="349">
        <f>G137*24*LOOKUP(G$2,'HDD-by Country'!$A$4:$A$40,'HDD-by Country'!$C$4:$C$40)/1000</f>
        <v>10177.606719608786</v>
      </c>
      <c r="H143" s="349">
        <f>H137*24*LOOKUP(H$2,'HDD-by Country'!$A$4:$A$40,'HDD-by Country'!$C$4:$C$40)/1000</f>
        <v>4570.8387819107311</v>
      </c>
      <c r="I143" s="349">
        <f>I137*24*LOOKUP(I$2,'HDD-by Country'!$A$4:$A$40,'HDD-by Country'!$C$4:$C$40)/1000</f>
        <v>10622.497680344555</v>
      </c>
      <c r="J143" s="349">
        <f>J137*24*LOOKUP(J$2,'HDD-by Country'!$A$4:$A$40,'HDD-by Country'!$C$4:$C$40)/1000</f>
        <v>8527.0946674031729</v>
      </c>
      <c r="K143" s="349">
        <f>K137*24*LOOKUP(K$2,'HDD-by Country'!$A$4:$A$40,'HDD-by Country'!$C$4:$C$40)/1000</f>
        <v>7344.943568874136</v>
      </c>
      <c r="L143" s="349">
        <f>L137*24*LOOKUP(L$2,'HDD-by Country'!$A$4:$A$40,'HDD-by Country'!$C$4:$C$40)/1000</f>
        <v>6793.2828421621398</v>
      </c>
      <c r="M143" s="349">
        <f>M137*24*LOOKUP(M$2,'HDD-by Country'!$A$4:$A$40,'HDD-by Country'!$C$4:$C$40)/1000</f>
        <v>6518.3942161662135</v>
      </c>
      <c r="N143" s="349">
        <f>N137*24*LOOKUP(N$2,'HDD-by Country'!$A$4:$A$40,'HDD-by Country'!$C$4:$C$40)/1000</f>
        <v>10443.153925941058</v>
      </c>
      <c r="O143" s="349">
        <f>O137*24*LOOKUP(O$2,'HDD-by Country'!$A$4:$A$40,'HDD-by Country'!$C$4:$C$40)/1000</f>
        <v>8035.9922942287303</v>
      </c>
      <c r="P143" s="349">
        <f>P137*24*LOOKUP(P$2,'HDD-by Country'!$A$4:$A$40,'HDD-by Country'!$C$4:$C$40)/1000</f>
        <v>9884.3230347858898</v>
      </c>
      <c r="Q143" s="349">
        <f>Q137*24*LOOKUP(Q$2,'HDD-by Country'!$A$4:$A$40,'HDD-by Country'!$C$4:$C$40)/1000</f>
        <v>6854.3066709845607</v>
      </c>
      <c r="R143" s="349">
        <f>R137*24*LOOKUP(R$2,'HDD-by Country'!$A$4:$A$40,'HDD-by Country'!$C$4:$C$40)/1000</f>
        <v>8451.9103385005019</v>
      </c>
      <c r="S143" s="349">
        <f>S137*24*LOOKUP(S$2,'HDD-by Country'!$A$4:$A$40,'HDD-by Country'!$C$4:$C$40)/1000</f>
        <v>8283.6748937217508</v>
      </c>
      <c r="T143" s="349">
        <f>T137*24*LOOKUP(T$2,'HDD-by Country'!$A$4:$A$40,'HDD-by Country'!$C$4:$C$40)/1000</f>
        <v>8882.9288778602913</v>
      </c>
      <c r="U143" s="349">
        <f>U137*24*LOOKUP(U$2,'HDD-by Country'!$A$4:$A$40,'HDD-by Country'!$C$4:$C$40)/1000</f>
        <v>9414.3622300391089</v>
      </c>
      <c r="V143" s="349">
        <f>V137*24*LOOKUP(V$2,'HDD-by Country'!$A$4:$A$40,'HDD-by Country'!$C$4:$C$40)/1000</f>
        <v>10228.770056927695</v>
      </c>
      <c r="W143" s="349">
        <f>W137*24*LOOKUP(W$2,'HDD-by Country'!$A$4:$A$40,'HDD-by Country'!$C$4:$C$40)/1000</f>
        <v>7494.0366388147831</v>
      </c>
      <c r="X143" s="349">
        <f>X137*24*LOOKUP(X$2,'HDD-by Country'!$A$4:$A$40,'HDD-by Country'!$C$4:$C$40)/1000</f>
        <v>8598.4117019404985</v>
      </c>
      <c r="Y143" s="349">
        <f>Y137*24*LOOKUP(Y$2,'HDD-by Country'!$A$4:$A$40,'HDD-by Country'!$C$4:$C$40)/1000</f>
        <v>2905.9569059177884</v>
      </c>
      <c r="Z143" s="349">
        <f>Z137*24*LOOKUP(Z$2,'HDD-by Country'!$A$4:$A$40,'HDD-by Country'!$C$4:$C$40)/1000</f>
        <v>10294.392838666474</v>
      </c>
      <c r="AA143" s="349">
        <f>AA137*24*LOOKUP(AA$2,'HDD-by Country'!$A$4:$A$40,'HDD-by Country'!$C$4:$C$40)/1000</f>
        <v>9732.412148563817</v>
      </c>
      <c r="AB143" s="349">
        <f>AB137*24*LOOKUP(AB$2,'HDD-by Country'!$A$4:$A$40,'HDD-by Country'!$C$4:$C$40)/1000</f>
        <v>11018.689722608653</v>
      </c>
      <c r="AC143" s="349">
        <f>AC137*24*LOOKUP(AC$2,'HDD-by Country'!$A$4:$A$40,'HDD-by Country'!$C$4:$C$40)/1000</f>
        <v>7757.0686280409154</v>
      </c>
      <c r="AD143" s="349">
        <f>AD137*24*LOOKUP(AD$2,'HDD-by Country'!$A$4:$A$40,'HDD-by Country'!$C$4:$C$40)/1000</f>
        <v>9566.8944640518821</v>
      </c>
      <c r="AE143" s="349">
        <f>AE137*24*LOOKUP(AE$2,'HDD-by Country'!$A$4:$A$40,'HDD-by Country'!$C$4:$C$40)/1000</f>
        <v>9384.2103678323456</v>
      </c>
      <c r="AF143" s="349">
        <f>AF137*24*LOOKUP(AF$2,'HDD-by Country'!$A$4:$A$40,'HDD-by Country'!$C$4:$C$40)/1000</f>
        <v>9174.6279063473157</v>
      </c>
      <c r="AG143" s="349">
        <f>AG137*24*LOOKUP(AG$2,'HDD-by Country'!$A$4:$A$40,'HDD-by Country'!$C$4:$C$40)/1000</f>
        <v>15301.90933560793</v>
      </c>
      <c r="AH143" s="349">
        <f>AH137*24*LOOKUP(AH$2,'HDD-by Country'!$A$4:$A$40,'HDD-by Country'!$C$4:$C$40)/1000</f>
        <v>6752.7773160824963</v>
      </c>
      <c r="AI143" s="349">
        <f>AI137*24*LOOKUP(AI$2,'HDD-by Country'!$A$4:$A$40,'HDD-by Country'!$C$4:$C$40)/1000</f>
        <v>9884.3230347858898</v>
      </c>
      <c r="AJ143" s="349">
        <f>AJ137*24*LOOKUP(AJ$2,'HDD-by Country'!$A$4:$A$40,'HDD-by Country'!$C$4:$C$40)/1000</f>
        <v>7516.9618565592455</v>
      </c>
      <c r="AK143" s="349">
        <f>AK137*24*LOOKUP(AK$2,'HDD-by Country'!$A$4:$A$40,'HDD-by Country'!$C$4:$C$40)/1000</f>
        <v>8146.6051405298085</v>
      </c>
      <c r="AL143" s="349">
        <f>AL137*24*LOOKUP(AL$2,'HDD-by Country'!$A$4:$A$40,'HDD-by Country'!$C$4:$C$40)/1000</f>
        <v>6205.6958599693171</v>
      </c>
      <c r="AM143" s="349">
        <f>AM137*24*LOOKUP(AM$2,'HDD-by Country'!$A$4:$A$40,'HDD-by Country'!$C$4:$C$40)/1000</f>
        <v>6912.414958444454</v>
      </c>
      <c r="AN143" s="354">
        <f>AN137*24*LOOKUP(AN$2,'HDD-by Country'!$A$4:$A$40,'HDD-by Country'!$C$4:$C$40)/1000</f>
        <v>6912.414958444454</v>
      </c>
    </row>
    <row r="144" spans="1:40">
      <c r="A144" s="129"/>
      <c r="B144" s="142" t="s">
        <v>6</v>
      </c>
      <c r="C144" s="129" t="s">
        <v>261</v>
      </c>
      <c r="D144" s="345">
        <f>D138*24*LOOKUP(D$2,'HDD-by Country'!$A$4:$A$40,'HDD-by Country'!$C$4:$C$40)/1000</f>
        <v>9384.8616068117481</v>
      </c>
      <c r="E144" s="349">
        <f>E138*24*LOOKUP(E$2,'HDD-by Country'!$A$4:$A$40,'HDD-by Country'!$C$4:$C$40)/1000</f>
        <v>10903.186420029466</v>
      </c>
      <c r="F144" s="349">
        <f>F138*24*LOOKUP(F$2,'HDD-by Country'!$A$4:$A$40,'HDD-by Country'!$C$4:$C$40)/1000</f>
        <v>5144.2905102358454</v>
      </c>
      <c r="G144" s="349">
        <f>G138*24*LOOKUP(G$2,'HDD-by Country'!$A$4:$A$40,'HDD-by Country'!$C$4:$C$40)/1000</f>
        <v>9143.2815094903508</v>
      </c>
      <c r="H144" s="349">
        <f>H138*24*LOOKUP(H$2,'HDD-by Country'!$A$4:$A$40,'HDD-by Country'!$C$4:$C$40)/1000</f>
        <v>4570.8387819107311</v>
      </c>
      <c r="I144" s="349">
        <f>I138*24*LOOKUP(I$2,'HDD-by Country'!$A$4:$A$40,'HDD-by Country'!$C$4:$C$40)/1000</f>
        <v>8787.4150195133752</v>
      </c>
      <c r="J144" s="349">
        <f>J138*24*LOOKUP(J$2,'HDD-by Country'!$A$4:$A$40,'HDD-by Country'!$C$4:$C$40)/1000</f>
        <v>6154.6803640610715</v>
      </c>
      <c r="K144" s="349">
        <f>K138*24*LOOKUP(K$2,'HDD-by Country'!$A$4:$A$40,'HDD-by Country'!$C$4:$C$40)/1000</f>
        <v>7344.943568874136</v>
      </c>
      <c r="L144" s="349">
        <f>L138*24*LOOKUP(L$2,'HDD-by Country'!$A$4:$A$40,'HDD-by Country'!$C$4:$C$40)/1000</f>
        <v>5987.0307795416866</v>
      </c>
      <c r="M144" s="349">
        <f>M138*24*LOOKUP(M$2,'HDD-by Country'!$A$4:$A$40,'HDD-by Country'!$C$4:$C$40)/1000</f>
        <v>6518.3942161662135</v>
      </c>
      <c r="N144" s="349">
        <f>N138*24*LOOKUP(N$2,'HDD-by Country'!$A$4:$A$40,'HDD-by Country'!$C$4:$C$40)/1000</f>
        <v>10302.673725225215</v>
      </c>
      <c r="O144" s="349">
        <f>O138*24*LOOKUP(O$2,'HDD-by Country'!$A$4:$A$40,'HDD-by Country'!$C$4:$C$40)/1000</f>
        <v>5478.8910930662987</v>
      </c>
      <c r="P144" s="349">
        <f>P138*24*LOOKUP(P$2,'HDD-by Country'!$A$4:$A$40,'HDD-by Country'!$C$4:$C$40)/1000</f>
        <v>9884.3230347858898</v>
      </c>
      <c r="Q144" s="349">
        <f>Q138*24*LOOKUP(Q$2,'HDD-by Country'!$A$4:$A$40,'HDD-by Country'!$C$4:$C$40)/1000</f>
        <v>5722.2692497539447</v>
      </c>
      <c r="R144" s="349">
        <f>R138*24*LOOKUP(R$2,'HDD-by Country'!$A$4:$A$40,'HDD-by Country'!$C$4:$C$40)/1000</f>
        <v>8451.9103385005019</v>
      </c>
      <c r="S144" s="349">
        <f>S138*24*LOOKUP(S$2,'HDD-by Country'!$A$4:$A$40,'HDD-by Country'!$C$4:$C$40)/1000</f>
        <v>7921.8405446547067</v>
      </c>
      <c r="T144" s="349">
        <f>T138*24*LOOKUP(T$2,'HDD-by Country'!$A$4:$A$40,'HDD-by Country'!$C$4:$C$40)/1000</f>
        <v>8763.436659268491</v>
      </c>
      <c r="U144" s="349">
        <f>U138*24*LOOKUP(U$2,'HDD-by Country'!$A$4:$A$40,'HDD-by Country'!$C$4:$C$40)/1000</f>
        <v>9285.0893706318475</v>
      </c>
      <c r="V144" s="349">
        <f>V138*24*LOOKUP(V$2,'HDD-by Country'!$A$4:$A$40,'HDD-by Country'!$C$4:$C$40)/1000</f>
        <v>10228.770056927695</v>
      </c>
      <c r="W144" s="349">
        <f>W138*24*LOOKUP(W$2,'HDD-by Country'!$A$4:$A$40,'HDD-by Country'!$C$4:$C$40)/1000</f>
        <v>6893.1392407526428</v>
      </c>
      <c r="X144" s="349">
        <f>X138*24*LOOKUP(X$2,'HDD-by Country'!$A$4:$A$40,'HDD-by Country'!$C$4:$C$40)/1000</f>
        <v>8556.6811134672935</v>
      </c>
      <c r="Y144" s="349">
        <f>Y138*24*LOOKUP(Y$2,'HDD-by Country'!$A$4:$A$40,'HDD-by Country'!$C$4:$C$40)/1000</f>
        <v>2903.4542600268696</v>
      </c>
      <c r="Z144" s="349">
        <f>Z138*24*LOOKUP(Z$2,'HDD-by Country'!$A$4:$A$40,'HDD-by Country'!$C$4:$C$40)/1000</f>
        <v>9623.8284578098828</v>
      </c>
      <c r="AA144" s="349">
        <f>AA138*24*LOOKUP(AA$2,'HDD-by Country'!$A$4:$A$40,'HDD-by Country'!$C$4:$C$40)/1000</f>
        <v>8873.1414698295175</v>
      </c>
      <c r="AB144" s="349">
        <f>AB138*24*LOOKUP(AB$2,'HDD-by Country'!$A$4:$A$40,'HDD-by Country'!$C$4:$C$40)/1000</f>
        <v>11018.689722608653</v>
      </c>
      <c r="AC144" s="349">
        <f>AC138*24*LOOKUP(AC$2,'HDD-by Country'!$A$4:$A$40,'HDD-by Country'!$C$4:$C$40)/1000</f>
        <v>7458.7571282957479</v>
      </c>
      <c r="AD144" s="349">
        <f>AD138*24*LOOKUP(AD$2,'HDD-by Country'!$A$4:$A$40,'HDD-by Country'!$C$4:$C$40)/1000</f>
        <v>9566.8944640518821</v>
      </c>
      <c r="AE144" s="349">
        <f>AE138*24*LOOKUP(AE$2,'HDD-by Country'!$A$4:$A$40,'HDD-by Country'!$C$4:$C$40)/1000</f>
        <v>8555.6822815713604</v>
      </c>
      <c r="AF144" s="349">
        <f>AF138*24*LOOKUP(AF$2,'HDD-by Country'!$A$4:$A$40,'HDD-by Country'!$C$4:$C$40)/1000</f>
        <v>7226.9669793842058</v>
      </c>
      <c r="AG144" s="349">
        <f>AG138*24*LOOKUP(AG$2,'HDD-by Country'!$A$4:$A$40,'HDD-by Country'!$C$4:$C$40)/1000</f>
        <v>13882.464899711005</v>
      </c>
      <c r="AH144" s="349">
        <f>AH138*24*LOOKUP(AH$2,'HDD-by Country'!$A$4:$A$40,'HDD-by Country'!$C$4:$C$40)/1000</f>
        <v>6323.4011424610826</v>
      </c>
      <c r="AI144" s="349">
        <f>AI138*24*LOOKUP(AI$2,'HDD-by Country'!$A$4:$A$40,'HDD-by Country'!$C$4:$C$40)/1000</f>
        <v>9884.3230347858898</v>
      </c>
      <c r="AJ144" s="349">
        <f>AJ138*24*LOOKUP(AJ$2,'HDD-by Country'!$A$4:$A$40,'HDD-by Country'!$C$4:$C$40)/1000</f>
        <v>7419.1215924022736</v>
      </c>
      <c r="AK144" s="349">
        <f>AK138*24*LOOKUP(AK$2,'HDD-by Country'!$A$4:$A$40,'HDD-by Country'!$C$4:$C$40)/1000</f>
        <v>8038.4292112576059</v>
      </c>
      <c r="AL144" s="349">
        <f>AL138*24*LOOKUP(AL$2,'HDD-by Country'!$A$4:$A$40,'HDD-by Country'!$C$4:$C$40)/1000</f>
        <v>5390.1365479884362</v>
      </c>
      <c r="AM144" s="349">
        <f>AM138*24*LOOKUP(AM$2,'HDD-by Country'!$A$4:$A$40,'HDD-by Country'!$C$4:$C$40)/1000</f>
        <v>6822.4434355868962</v>
      </c>
      <c r="AN144" s="354">
        <f>AN138*24*LOOKUP(AN$2,'HDD-by Country'!$A$4:$A$40,'HDD-by Country'!$C$4:$C$40)/1000</f>
        <v>6822.4434355868962</v>
      </c>
    </row>
    <row r="145" spans="1:40">
      <c r="A145" s="130"/>
      <c r="B145" s="142" t="s">
        <v>7</v>
      </c>
      <c r="C145" s="129" t="s">
        <v>261</v>
      </c>
      <c r="D145" s="345">
        <f>D139*24*LOOKUP(D$2,'HDD-by Country'!$A$4:$A$40,'HDD-by Country'!$C$4:$C$40)/1000</f>
        <v>8411.7716888421928</v>
      </c>
      <c r="E145" s="349">
        <f>E139*24*LOOKUP(E$2,'HDD-by Country'!$A$4:$A$40,'HDD-by Country'!$C$4:$C$40)/1000</f>
        <v>8412.7872271032775</v>
      </c>
      <c r="F145" s="349">
        <f>F139*24*LOOKUP(F$2,'HDD-by Country'!$A$4:$A$40,'HDD-by Country'!$C$4:$C$40)/1000</f>
        <v>4595.7081519084422</v>
      </c>
      <c r="G145" s="349">
        <f>G139*24*LOOKUP(G$2,'HDD-by Country'!$A$4:$A$40,'HDD-by Country'!$C$4:$C$40)/1000</f>
        <v>8195.2403526996404</v>
      </c>
      <c r="H145" s="349">
        <f>H139*24*LOOKUP(H$2,'HDD-by Country'!$A$4:$A$40,'HDD-by Country'!$C$4:$C$40)/1000</f>
        <v>2291.6838113128747</v>
      </c>
      <c r="I145" s="349">
        <f>I139*24*LOOKUP(I$2,'HDD-by Country'!$A$4:$A$40,'HDD-by Country'!$C$4:$C$40)/1000</f>
        <v>7404.8575859846515</v>
      </c>
      <c r="J145" s="349">
        <f>J139*24*LOOKUP(J$2,'HDD-by Country'!$A$4:$A$40,'HDD-by Country'!$C$4:$C$40)/1000</f>
        <v>6455.8824997507218</v>
      </c>
      <c r="K145" s="349">
        <f>K139*24*LOOKUP(K$2,'HDD-by Country'!$A$4:$A$40,'HDD-by Country'!$C$4:$C$40)/1000</f>
        <v>5814.2994845383</v>
      </c>
      <c r="L145" s="349">
        <f>L139*24*LOOKUP(L$2,'HDD-by Country'!$A$4:$A$40,'HDD-by Country'!$C$4:$C$40)/1000</f>
        <v>5987.0307795416866</v>
      </c>
      <c r="M145" s="349">
        <f>M139*24*LOOKUP(M$2,'HDD-by Country'!$A$4:$A$40,'HDD-by Country'!$C$4:$C$40)/1000</f>
        <v>5692.8786604120151</v>
      </c>
      <c r="N145" s="349">
        <f>N139*24*LOOKUP(N$2,'HDD-by Country'!$A$4:$A$40,'HDD-by Country'!$C$4:$C$40)/1000</f>
        <v>9626.5094527057609</v>
      </c>
      <c r="O145" s="349">
        <f>O139*24*LOOKUP(O$2,'HDD-by Country'!$A$4:$A$40,'HDD-by Country'!$C$4:$C$40)/1000</f>
        <v>5373.0126184457858</v>
      </c>
      <c r="P145" s="349">
        <f>P139*24*LOOKUP(P$2,'HDD-by Country'!$A$4:$A$40,'HDD-by Country'!$C$4:$C$40)/1000</f>
        <v>4306.8220082617863</v>
      </c>
      <c r="Q145" s="349">
        <f>Q139*24*LOOKUP(Q$2,'HDD-by Country'!$A$4:$A$40,'HDD-by Country'!$C$4:$C$40)/1000</f>
        <v>4889.0806989211796</v>
      </c>
      <c r="R145" s="349">
        <f>R139*24*LOOKUP(R$2,'HDD-by Country'!$A$4:$A$40,'HDD-by Country'!$C$4:$C$40)/1000</f>
        <v>6338.0296555269033</v>
      </c>
      <c r="S145" s="349">
        <f>S139*24*LOOKUP(S$2,'HDD-by Country'!$A$4:$A$40,'HDD-by Country'!$C$4:$C$40)/1000</f>
        <v>6001.5814385842068</v>
      </c>
      <c r="T145" s="349">
        <f>T139*24*LOOKUP(T$2,'HDD-by Country'!$A$4:$A$40,'HDD-by Country'!$C$4:$C$40)/1000</f>
        <v>8188.2924848998055</v>
      </c>
      <c r="U145" s="349">
        <f>U139*24*LOOKUP(U$2,'HDD-by Country'!$A$4:$A$40,'HDD-by Country'!$C$4:$C$40)/1000</f>
        <v>9285.0893706318475</v>
      </c>
      <c r="V145" s="349">
        <f>V139*24*LOOKUP(V$2,'HDD-by Country'!$A$4:$A$40,'HDD-by Country'!$C$4:$C$40)/1000</f>
        <v>6985.2124307856147</v>
      </c>
      <c r="W145" s="349">
        <f>W139*24*LOOKUP(W$2,'HDD-by Country'!$A$4:$A$40,'HDD-by Country'!$C$4:$C$40)/1000</f>
        <v>5965.4440275569668</v>
      </c>
      <c r="X145" s="349">
        <f>X139*24*LOOKUP(X$2,'HDD-by Country'!$A$4:$A$40,'HDD-by Country'!$C$4:$C$40)/1000</f>
        <v>6604.6408160572619</v>
      </c>
      <c r="Y145" s="349">
        <f>Y139*24*LOOKUP(Y$2,'HDD-by Country'!$A$4:$A$40,'HDD-by Country'!$C$4:$C$40)/1000</f>
        <v>2862.0645836257409</v>
      </c>
      <c r="Z145" s="349">
        <f>Z139*24*LOOKUP(Z$2,'HDD-by Country'!$A$4:$A$40,'HDD-by Country'!$C$4:$C$40)/1000</f>
        <v>6745.7744832674534</v>
      </c>
      <c r="AA145" s="349">
        <f>AA139*24*LOOKUP(AA$2,'HDD-by Country'!$A$4:$A$40,'HDD-by Country'!$C$4:$C$40)/1000</f>
        <v>8873.1414698295175</v>
      </c>
      <c r="AB145" s="349">
        <f>AB139*24*LOOKUP(AB$2,'HDD-by Country'!$A$4:$A$40,'HDD-by Country'!$C$4:$C$40)/1000</f>
        <v>8787.2893572805788</v>
      </c>
      <c r="AC145" s="349">
        <f>AC139*24*LOOKUP(AC$2,'HDD-by Country'!$A$4:$A$40,'HDD-by Country'!$C$4:$C$40)/1000</f>
        <v>5485.2992195193119</v>
      </c>
      <c r="AD145" s="349">
        <f>AD139*24*LOOKUP(AD$2,'HDD-by Country'!$A$4:$A$40,'HDD-by Country'!$C$4:$C$40)/1000</f>
        <v>9253.0480007534461</v>
      </c>
      <c r="AE145" s="349">
        <f>AE139*24*LOOKUP(AE$2,'HDD-by Country'!$A$4:$A$40,'HDD-by Country'!$C$4:$C$40)/1000</f>
        <v>8555.6822815713604</v>
      </c>
      <c r="AF145" s="349">
        <f>AF139*24*LOOKUP(AF$2,'HDD-by Country'!$A$4:$A$40,'HDD-by Country'!$C$4:$C$40)/1000</f>
        <v>4747.7456791589175</v>
      </c>
      <c r="AG145" s="349">
        <f>AG139*24*LOOKUP(AG$2,'HDD-by Country'!$A$4:$A$40,'HDD-by Country'!$C$4:$C$40)/1000</f>
        <v>10350.624861570395</v>
      </c>
      <c r="AH145" s="349">
        <f>AH139*24*LOOKUP(AH$2,'HDD-by Country'!$A$4:$A$40,'HDD-by Country'!$C$4:$C$40)/1000</f>
        <v>5729.9866300840276</v>
      </c>
      <c r="AI145" s="349">
        <f>AI139*24*LOOKUP(AI$2,'HDD-by Country'!$A$4:$A$40,'HDD-by Country'!$C$4:$C$40)/1000</f>
        <v>4306.8220082617863</v>
      </c>
      <c r="AJ145" s="349">
        <f>AJ139*24*LOOKUP(AJ$2,'HDD-by Country'!$A$4:$A$40,'HDD-by Country'!$C$4:$C$40)/1000</f>
        <v>7218.2378390750064</v>
      </c>
      <c r="AK145" s="349">
        <f>AK139*24*LOOKUP(AK$2,'HDD-by Country'!$A$4:$A$40,'HDD-by Country'!$C$4:$C$40)/1000</f>
        <v>7819.3681723259933</v>
      </c>
      <c r="AL145" s="349">
        <f>AL139*24*LOOKUP(AL$2,'HDD-by Country'!$A$4:$A$40,'HDD-by Country'!$C$4:$C$40)/1000</f>
        <v>4815.4008039101809</v>
      </c>
      <c r="AM145" s="349">
        <f>AM139*24*LOOKUP(AM$2,'HDD-by Country'!$A$4:$A$40,'HDD-by Country'!$C$4:$C$40)/1000</f>
        <v>6637.7156309358461</v>
      </c>
      <c r="AN145" s="354">
        <f>AN139*24*LOOKUP(AN$2,'HDD-by Country'!$A$4:$A$40,'HDD-by Country'!$C$4:$C$40)/1000</f>
        <v>6637.7156309358461</v>
      </c>
    </row>
    <row r="146" spans="1:40">
      <c r="A146" s="151" t="s">
        <v>260</v>
      </c>
      <c r="B146" s="141" t="s">
        <v>2</v>
      </c>
      <c r="C146" s="360" t="s">
        <v>261</v>
      </c>
      <c r="D146" s="351">
        <f>D140/(1.355*(D134/D$17)^0.16)</f>
        <v>13836.902262458487</v>
      </c>
      <c r="E146" s="352">
        <f t="shared" ref="E146:AN146" si="70">E140/(1.355*(E134/E$17)^0.16)</f>
        <v>10015.252218722129</v>
      </c>
      <c r="F146" s="352">
        <f t="shared" si="70"/>
        <v>5968.7293373976663</v>
      </c>
      <c r="G146" s="352">
        <f t="shared" si="70"/>
        <v>13480.720111326371</v>
      </c>
      <c r="H146" s="352">
        <f t="shared" si="70"/>
        <v>3903.0024738244724</v>
      </c>
      <c r="I146" s="352">
        <f t="shared" si="70"/>
        <v>12486.542745797537</v>
      </c>
      <c r="J146" s="352">
        <f t="shared" si="70"/>
        <v>10989.257018856139</v>
      </c>
      <c r="K146" s="352">
        <f t="shared" si="70"/>
        <v>11354.408944253861</v>
      </c>
      <c r="L146" s="352">
        <f t="shared" si="70"/>
        <v>8328.9124911791532</v>
      </c>
      <c r="M146" s="352">
        <f t="shared" si="70"/>
        <v>9540.2568912713541</v>
      </c>
      <c r="N146" s="352">
        <f t="shared" si="70"/>
        <v>13665.421461165097</v>
      </c>
      <c r="O146" s="352">
        <f t="shared" si="70"/>
        <v>11635.951653364071</v>
      </c>
      <c r="P146" s="352">
        <f t="shared" si="70"/>
        <v>8306.8700657880854</v>
      </c>
      <c r="Q146" s="352">
        <f t="shared" si="70"/>
        <v>5795.350040135133</v>
      </c>
      <c r="R146" s="352">
        <f t="shared" si="70"/>
        <v>8536.1053671862282</v>
      </c>
      <c r="S146" s="352">
        <f t="shared" si="70"/>
        <v>9206.7817555998554</v>
      </c>
      <c r="T146" s="352">
        <f t="shared" si="70"/>
        <v>11623.784135172225</v>
      </c>
      <c r="U146" s="352">
        <f t="shared" si="70"/>
        <v>8645.9377260311339</v>
      </c>
      <c r="V146" s="352">
        <f t="shared" si="70"/>
        <v>11832.68322701217</v>
      </c>
      <c r="W146" s="352">
        <f t="shared" si="70"/>
        <v>11068.923801645189</v>
      </c>
      <c r="X146" s="352">
        <f t="shared" si="70"/>
        <v>11893.149487271596</v>
      </c>
      <c r="Y146" s="352">
        <f t="shared" si="70"/>
        <v>2947.688258583456</v>
      </c>
      <c r="Z146" s="352">
        <f t="shared" si="70"/>
        <v>10412.231779084972</v>
      </c>
      <c r="AA146" s="352">
        <f t="shared" si="70"/>
        <v>11812.545938201763</v>
      </c>
      <c r="AB146" s="352">
        <f t="shared" si="70"/>
        <v>11581.589533418424</v>
      </c>
      <c r="AC146" s="352">
        <f t="shared" si="70"/>
        <v>6015.9429240239997</v>
      </c>
      <c r="AD146" s="352">
        <f t="shared" si="70"/>
        <v>9388.25265830432</v>
      </c>
      <c r="AE146" s="352">
        <f t="shared" si="70"/>
        <v>11389.922084231386</v>
      </c>
      <c r="AF146" s="352">
        <f t="shared" si="70"/>
        <v>9347.6050761283841</v>
      </c>
      <c r="AG146" s="352">
        <f t="shared" si="70"/>
        <v>13994.64004238975</v>
      </c>
      <c r="AH146" s="352">
        <f t="shared" si="70"/>
        <v>7538.3703483612044</v>
      </c>
      <c r="AI146" s="352">
        <f t="shared" si="70"/>
        <v>8306.8700657880854</v>
      </c>
      <c r="AJ146" s="352">
        <f t="shared" si="70"/>
        <v>6582.6964439941421</v>
      </c>
      <c r="AK146" s="352">
        <f t="shared" si="70"/>
        <v>7242.4614944265895</v>
      </c>
      <c r="AL146" s="352">
        <f t="shared" si="70"/>
        <v>6325.3675885686362</v>
      </c>
      <c r="AM146" s="352">
        <f t="shared" si="70"/>
        <v>6053.2872501753109</v>
      </c>
      <c r="AN146" s="353">
        <f t="shared" si="70"/>
        <v>6053.2872501753109</v>
      </c>
    </row>
    <row r="147" spans="1:40">
      <c r="A147" s="129"/>
      <c r="B147" s="142" t="s">
        <v>3</v>
      </c>
      <c r="C147" s="129" t="s">
        <v>261</v>
      </c>
      <c r="D147" s="345">
        <f t="shared" ref="D147:AN147" si="71">D141/(1.355*(D135/D$17)^0.16)</f>
        <v>14836.191810346918</v>
      </c>
      <c r="E147" s="349">
        <f t="shared" si="71"/>
        <v>10015.252218722129</v>
      </c>
      <c r="F147" s="349">
        <f t="shared" si="71"/>
        <v>5968.7293373976663</v>
      </c>
      <c r="G147" s="349">
        <f t="shared" si="71"/>
        <v>14454.2864811494</v>
      </c>
      <c r="H147" s="349">
        <f t="shared" si="71"/>
        <v>3883.6095318414177</v>
      </c>
      <c r="I147" s="349">
        <f t="shared" si="71"/>
        <v>10345.036586597833</v>
      </c>
      <c r="J147" s="349">
        <f t="shared" si="71"/>
        <v>11367.206617016103</v>
      </c>
      <c r="K147" s="349">
        <f t="shared" si="71"/>
        <v>10916.000495078588</v>
      </c>
      <c r="L147" s="349">
        <f t="shared" si="71"/>
        <v>8328.9124911791532</v>
      </c>
      <c r="M147" s="349">
        <f t="shared" si="71"/>
        <v>9480.6900786176575</v>
      </c>
      <c r="N147" s="349">
        <f t="shared" si="71"/>
        <v>12172.481279193957</v>
      </c>
      <c r="O147" s="349">
        <f t="shared" si="71"/>
        <v>11635.951653364071</v>
      </c>
      <c r="P147" s="349">
        <f t="shared" si="71"/>
        <v>8306.8700657880854</v>
      </c>
      <c r="Q147" s="349">
        <f t="shared" si="71"/>
        <v>5847.2319197921961</v>
      </c>
      <c r="R147" s="349">
        <f t="shared" si="71"/>
        <v>8536.1053671862282</v>
      </c>
      <c r="S147" s="349">
        <f t="shared" si="71"/>
        <v>9211.7511652161593</v>
      </c>
      <c r="T147" s="349">
        <f t="shared" si="71"/>
        <v>10353.891768422074</v>
      </c>
      <c r="U147" s="349">
        <f t="shared" si="71"/>
        <v>8602.9137869529841</v>
      </c>
      <c r="V147" s="349">
        <f t="shared" si="71"/>
        <v>11832.68322701217</v>
      </c>
      <c r="W147" s="349">
        <f t="shared" si="71"/>
        <v>10094.910831884679</v>
      </c>
      <c r="X147" s="349">
        <f t="shared" si="71"/>
        <v>11893.149487271596</v>
      </c>
      <c r="Y147" s="349">
        <f t="shared" si="71"/>
        <v>2947.5251520829065</v>
      </c>
      <c r="Z147" s="349">
        <f t="shared" si="71"/>
        <v>10782.579667792688</v>
      </c>
      <c r="AA147" s="349">
        <f t="shared" si="71"/>
        <v>11812.545938201763</v>
      </c>
      <c r="AB147" s="349">
        <f t="shared" si="71"/>
        <v>11231.459130151638</v>
      </c>
      <c r="AC147" s="349">
        <f t="shared" si="71"/>
        <v>6268.0136566445335</v>
      </c>
      <c r="AD147" s="349">
        <f t="shared" si="71"/>
        <v>8601.9010785278169</v>
      </c>
      <c r="AE147" s="349">
        <f t="shared" si="71"/>
        <v>11389.922084231386</v>
      </c>
      <c r="AF147" s="349">
        <f t="shared" si="71"/>
        <v>9347.6050761283841</v>
      </c>
      <c r="AG147" s="349">
        <f t="shared" si="71"/>
        <v>12753.913045570611</v>
      </c>
      <c r="AH147" s="349">
        <f t="shared" si="71"/>
        <v>7581.5524404509415</v>
      </c>
      <c r="AI147" s="349">
        <f t="shared" si="71"/>
        <v>8306.8700657880854</v>
      </c>
      <c r="AJ147" s="349">
        <f t="shared" si="71"/>
        <v>6582.6964439941421</v>
      </c>
      <c r="AK147" s="349">
        <f t="shared" si="71"/>
        <v>7242.4614944265895</v>
      </c>
      <c r="AL147" s="349">
        <f t="shared" si="71"/>
        <v>6325.3675885686362</v>
      </c>
      <c r="AM147" s="349">
        <f t="shared" si="71"/>
        <v>6053.2872501753109</v>
      </c>
      <c r="AN147" s="354">
        <f t="shared" si="71"/>
        <v>6053.2872501753109</v>
      </c>
    </row>
    <row r="148" spans="1:40">
      <c r="A148" s="129"/>
      <c r="B148" s="142" t="s">
        <v>4</v>
      </c>
      <c r="C148" s="129" t="s">
        <v>261</v>
      </c>
      <c r="D148" s="345">
        <f t="shared" ref="D148:AN148" si="72">D142/(1.355*(D136/D$17)^0.16)</f>
        <v>12568.953847105749</v>
      </c>
      <c r="E148" s="349">
        <f t="shared" si="72"/>
        <v>10015.252218722129</v>
      </c>
      <c r="F148" s="349">
        <f t="shared" si="72"/>
        <v>5764.3515197022462</v>
      </c>
      <c r="G148" s="349">
        <f t="shared" si="72"/>
        <v>12245.410547180252</v>
      </c>
      <c r="H148" s="349">
        <f t="shared" si="72"/>
        <v>3856.4934882480502</v>
      </c>
      <c r="I148" s="349">
        <f t="shared" si="72"/>
        <v>10345.036586597833</v>
      </c>
      <c r="J148" s="349">
        <f t="shared" si="72"/>
        <v>9740.9795488859199</v>
      </c>
      <c r="K148" s="349">
        <f t="shared" si="72"/>
        <v>8027.6266595847646</v>
      </c>
      <c r="L148" s="349">
        <f t="shared" si="72"/>
        <v>7348.5890795434707</v>
      </c>
      <c r="M148" s="349">
        <f t="shared" si="72"/>
        <v>9480.6900786176575</v>
      </c>
      <c r="N148" s="349">
        <f t="shared" si="72"/>
        <v>10945.076839127907</v>
      </c>
      <c r="O148" s="349">
        <f t="shared" si="72"/>
        <v>7797.3934812507623</v>
      </c>
      <c r="P148" s="349">
        <f t="shared" si="72"/>
        <v>8306.8700657880854</v>
      </c>
      <c r="Q148" s="349">
        <f t="shared" si="72"/>
        <v>5796.7649408215957</v>
      </c>
      <c r="R148" s="349">
        <f t="shared" si="72"/>
        <v>8389.2198109789842</v>
      </c>
      <c r="S148" s="349">
        <f t="shared" si="72"/>
        <v>9125.0040019899225</v>
      </c>
      <c r="T148" s="349">
        <f t="shared" si="72"/>
        <v>9309.863649829138</v>
      </c>
      <c r="U148" s="349">
        <f t="shared" si="72"/>
        <v>8013.4019291766672</v>
      </c>
      <c r="V148" s="349">
        <f t="shared" si="72"/>
        <v>9215.6422949387634</v>
      </c>
      <c r="W148" s="349">
        <f t="shared" si="72"/>
        <v>6927.4249817204336</v>
      </c>
      <c r="X148" s="349">
        <f t="shared" si="72"/>
        <v>11755.360159612716</v>
      </c>
      <c r="Y148" s="349">
        <f t="shared" si="72"/>
        <v>2914.2991698391888</v>
      </c>
      <c r="Z148" s="349">
        <f t="shared" si="72"/>
        <v>9829.0456478429696</v>
      </c>
      <c r="AA148" s="349">
        <f t="shared" si="72"/>
        <v>9693.0821195963017</v>
      </c>
      <c r="AB148" s="349">
        <f t="shared" si="72"/>
        <v>9611.9037656018827</v>
      </c>
      <c r="AC148" s="349">
        <f t="shared" si="72"/>
        <v>6265.6151454484952</v>
      </c>
      <c r="AD148" s="349">
        <f t="shared" si="72"/>
        <v>8601.9010785278169</v>
      </c>
      <c r="AE148" s="349">
        <f t="shared" si="72"/>
        <v>9346.2874706132261</v>
      </c>
      <c r="AF148" s="349">
        <f t="shared" si="72"/>
        <v>8647.625720082493</v>
      </c>
      <c r="AG148" s="349">
        <f t="shared" si="72"/>
        <v>12753.913045570611</v>
      </c>
      <c r="AH148" s="349">
        <f t="shared" si="72"/>
        <v>7420.0238485220279</v>
      </c>
      <c r="AI148" s="349">
        <f t="shared" si="72"/>
        <v>8306.8700657880854</v>
      </c>
      <c r="AJ148" s="349">
        <f t="shared" si="72"/>
        <v>6582.6964439941421</v>
      </c>
      <c r="AK148" s="349">
        <f t="shared" si="72"/>
        <v>7242.4614944265895</v>
      </c>
      <c r="AL148" s="349">
        <f t="shared" si="72"/>
        <v>6104.4586690822107</v>
      </c>
      <c r="AM148" s="349">
        <f t="shared" si="72"/>
        <v>6053.2872501753109</v>
      </c>
      <c r="AN148" s="354">
        <f t="shared" si="72"/>
        <v>6053.2872501753109</v>
      </c>
    </row>
    <row r="149" spans="1:40">
      <c r="A149" s="129"/>
      <c r="B149" s="142" t="s">
        <v>5</v>
      </c>
      <c r="C149" s="129" t="s">
        <v>261</v>
      </c>
      <c r="D149" s="345">
        <f t="shared" ref="D149:AN149" si="73">D143/(1.355*(D137/D$17)^0.16)</f>
        <v>9500.6252574854898</v>
      </c>
      <c r="E149" s="349">
        <f t="shared" si="73"/>
        <v>9432.9241387382954</v>
      </c>
      <c r="F149" s="349">
        <f t="shared" si="73"/>
        <v>5078.0676880896326</v>
      </c>
      <c r="G149" s="349">
        <f t="shared" si="73"/>
        <v>9256.0652340695233</v>
      </c>
      <c r="H149" s="349">
        <f t="shared" si="73"/>
        <v>3563.5181758504605</v>
      </c>
      <c r="I149" s="349">
        <f t="shared" si="73"/>
        <v>9356.516645688911</v>
      </c>
      <c r="J149" s="349">
        <f t="shared" si="73"/>
        <v>7748.4941068112757</v>
      </c>
      <c r="K149" s="349">
        <f t="shared" si="73"/>
        <v>7169.0442783480348</v>
      </c>
      <c r="L149" s="349">
        <f t="shared" si="73"/>
        <v>6490.6624616584704</v>
      </c>
      <c r="M149" s="349">
        <f t="shared" si="73"/>
        <v>5679.3123461221849</v>
      </c>
      <c r="N149" s="349">
        <f t="shared" si="73"/>
        <v>9935.4269134830738</v>
      </c>
      <c r="O149" s="349">
        <f t="shared" si="73"/>
        <v>7109.0369041605763</v>
      </c>
      <c r="P149" s="349">
        <f t="shared" si="73"/>
        <v>7685.4184775509029</v>
      </c>
      <c r="Q149" s="349">
        <f t="shared" si="73"/>
        <v>5796.7649408215957</v>
      </c>
      <c r="R149" s="349">
        <f t="shared" si="73"/>
        <v>7395.3550790468662</v>
      </c>
      <c r="S149" s="349">
        <f t="shared" si="73"/>
        <v>7542.2046049740402</v>
      </c>
      <c r="T149" s="349">
        <f t="shared" si="73"/>
        <v>8451.0571489729537</v>
      </c>
      <c r="U149" s="349">
        <f t="shared" si="73"/>
        <v>7803.8117825151967</v>
      </c>
      <c r="V149" s="349">
        <f t="shared" si="73"/>
        <v>9215.6422949387634</v>
      </c>
      <c r="W149" s="349">
        <f t="shared" si="73"/>
        <v>6718.9264132488825</v>
      </c>
      <c r="X149" s="349">
        <f t="shared" si="73"/>
        <v>8009.4236780896736</v>
      </c>
      <c r="Y149" s="349">
        <f t="shared" si="73"/>
        <v>2337.8226695485978</v>
      </c>
      <c r="Z149" s="349">
        <f t="shared" si="73"/>
        <v>9012.464328501439</v>
      </c>
      <c r="AA149" s="349">
        <f t="shared" si="73"/>
        <v>9693.0821195963017</v>
      </c>
      <c r="AB149" s="349">
        <f t="shared" si="73"/>
        <v>9611.9037656018827</v>
      </c>
      <c r="AC149" s="349">
        <f t="shared" si="73"/>
        <v>6247.3116888265804</v>
      </c>
      <c r="AD149" s="349">
        <f t="shared" si="73"/>
        <v>7973.3759742524844</v>
      </c>
      <c r="AE149" s="349">
        <f t="shared" si="73"/>
        <v>9346.2874706132261</v>
      </c>
      <c r="AF149" s="349">
        <f t="shared" si="73"/>
        <v>8010.7388337199227</v>
      </c>
      <c r="AG149" s="349">
        <f t="shared" si="73"/>
        <v>12569.362324939913</v>
      </c>
      <c r="AH149" s="349">
        <f t="shared" si="73"/>
        <v>6058.8199003216678</v>
      </c>
      <c r="AI149" s="349">
        <f t="shared" si="73"/>
        <v>7685.4184775509029</v>
      </c>
      <c r="AJ149" s="349">
        <f t="shared" si="73"/>
        <v>6384.086321150945</v>
      </c>
      <c r="AK149" s="349">
        <f t="shared" si="73"/>
        <v>7015.3883457407128</v>
      </c>
      <c r="AL149" s="349">
        <f t="shared" si="73"/>
        <v>5362.1774439995452</v>
      </c>
      <c r="AM149" s="349">
        <f t="shared" si="73"/>
        <v>5870.6502207161502</v>
      </c>
      <c r="AN149" s="354">
        <f t="shared" si="73"/>
        <v>5870.6502207161502</v>
      </c>
    </row>
    <row r="150" spans="1:40">
      <c r="A150" s="129"/>
      <c r="B150" s="142" t="s">
        <v>6</v>
      </c>
      <c r="C150" s="129" t="s">
        <v>261</v>
      </c>
      <c r="D150" s="345">
        <f t="shared" ref="D150:AN150" si="74">D144/(1.355*(D138/D$17)^0.16)</f>
        <v>8682.7158040345748</v>
      </c>
      <c r="E150" s="349">
        <f t="shared" si="74"/>
        <v>9432.9241387382954</v>
      </c>
      <c r="F150" s="349">
        <f t="shared" si="74"/>
        <v>4523.7403656836377</v>
      </c>
      <c r="G150" s="349">
        <f t="shared" si="74"/>
        <v>8459.2099691237818</v>
      </c>
      <c r="H150" s="349">
        <f t="shared" si="74"/>
        <v>3563.5181758504605</v>
      </c>
      <c r="I150" s="349">
        <f t="shared" si="74"/>
        <v>7978.6087482256016</v>
      </c>
      <c r="J150" s="349">
        <f t="shared" si="74"/>
        <v>5892.1937464675648</v>
      </c>
      <c r="K150" s="349">
        <f t="shared" si="74"/>
        <v>7169.0442783480348</v>
      </c>
      <c r="L150" s="349">
        <f t="shared" si="74"/>
        <v>5837.1349181924561</v>
      </c>
      <c r="M150" s="349">
        <f t="shared" si="74"/>
        <v>5679.3123461221849</v>
      </c>
      <c r="N150" s="349">
        <f t="shared" si="74"/>
        <v>9823.0392039639555</v>
      </c>
      <c r="O150" s="349">
        <f t="shared" si="74"/>
        <v>5153.2287363830892</v>
      </c>
      <c r="P150" s="349">
        <f t="shared" si="74"/>
        <v>7685.4184775509029</v>
      </c>
      <c r="Q150" s="349">
        <f t="shared" si="74"/>
        <v>4981.1966371058488</v>
      </c>
      <c r="R150" s="349">
        <f t="shared" si="74"/>
        <v>7395.3550790468662</v>
      </c>
      <c r="S150" s="349">
        <f t="shared" si="74"/>
        <v>7264.4856826110263</v>
      </c>
      <c r="T150" s="349">
        <f t="shared" si="74"/>
        <v>8355.4603553717334</v>
      </c>
      <c r="U150" s="349">
        <f t="shared" si="74"/>
        <v>7713.6999358189678</v>
      </c>
      <c r="V150" s="349">
        <f t="shared" si="74"/>
        <v>9215.6422949387634</v>
      </c>
      <c r="W150" s="349">
        <f t="shared" si="74"/>
        <v>6263.3823711460336</v>
      </c>
      <c r="X150" s="349">
        <f t="shared" si="74"/>
        <v>7976.758447247963</v>
      </c>
      <c r="Y150" s="349">
        <f t="shared" si="74"/>
        <v>2336.1313291727079</v>
      </c>
      <c r="Z150" s="349">
        <f t="shared" si="74"/>
        <v>8516.6961483214345</v>
      </c>
      <c r="AA150" s="349">
        <f t="shared" si="74"/>
        <v>8968.9519951654365</v>
      </c>
      <c r="AB150" s="349">
        <f t="shared" si="74"/>
        <v>9611.9037656018827</v>
      </c>
      <c r="AC150" s="349">
        <f t="shared" si="74"/>
        <v>6044.8703863548526</v>
      </c>
      <c r="AD150" s="349">
        <f t="shared" si="74"/>
        <v>7973.3759742524844</v>
      </c>
      <c r="AE150" s="349">
        <f t="shared" si="74"/>
        <v>8648.0649418492103</v>
      </c>
      <c r="AF150" s="349">
        <f t="shared" si="74"/>
        <v>6555.7346400802307</v>
      </c>
      <c r="AG150" s="349">
        <f t="shared" si="74"/>
        <v>11582.407793630406</v>
      </c>
      <c r="AH150" s="349">
        <f t="shared" si="74"/>
        <v>5733.5211564583142</v>
      </c>
      <c r="AI150" s="349">
        <f t="shared" si="74"/>
        <v>7685.4184775509029</v>
      </c>
      <c r="AJ150" s="349">
        <f t="shared" si="74"/>
        <v>6314.2136122246329</v>
      </c>
      <c r="AK150" s="349">
        <f t="shared" si="74"/>
        <v>6937.0546788570273</v>
      </c>
      <c r="AL150" s="349">
        <f t="shared" si="74"/>
        <v>4763.6624144173347</v>
      </c>
      <c r="AM150" s="349">
        <f t="shared" si="74"/>
        <v>5806.3969801668682</v>
      </c>
      <c r="AN150" s="354">
        <f t="shared" si="74"/>
        <v>5806.3969801668682</v>
      </c>
    </row>
    <row r="151" spans="1:40">
      <c r="A151" s="129"/>
      <c r="B151" s="142" t="s">
        <v>7</v>
      </c>
      <c r="C151" s="129" t="s">
        <v>261</v>
      </c>
      <c r="D151" s="345">
        <f t="shared" ref="D151:AN151" si="75">D145/(1.355*(D139/D$17)^0.16)</f>
        <v>7919.9356610670611</v>
      </c>
      <c r="E151" s="349">
        <f t="shared" si="75"/>
        <v>7586.6661674799943</v>
      </c>
      <c r="F151" s="349">
        <f t="shared" si="75"/>
        <v>4114.9097393251513</v>
      </c>
      <c r="G151" s="349">
        <f t="shared" si="75"/>
        <v>7716.0649053820662</v>
      </c>
      <c r="H151" s="349">
        <f t="shared" si="75"/>
        <v>1995.3191221961129</v>
      </c>
      <c r="I151" s="349">
        <f t="shared" si="75"/>
        <v>6909.9968520919329</v>
      </c>
      <c r="J151" s="349">
        <f t="shared" si="75"/>
        <v>6133.4822769234943</v>
      </c>
      <c r="K151" s="349">
        <f t="shared" si="75"/>
        <v>5891.2678353170031</v>
      </c>
      <c r="L151" s="349">
        <f t="shared" si="75"/>
        <v>5837.1349181924561</v>
      </c>
      <c r="M151" s="349">
        <f t="shared" si="75"/>
        <v>5068.6984038801293</v>
      </c>
      <c r="N151" s="349">
        <f t="shared" si="75"/>
        <v>9278.5849720855713</v>
      </c>
      <c r="O151" s="349">
        <f t="shared" si="75"/>
        <v>5069.4469396028262</v>
      </c>
      <c r="P151" s="349">
        <f t="shared" si="75"/>
        <v>3824.7575849143109</v>
      </c>
      <c r="Q151" s="349">
        <f t="shared" si="75"/>
        <v>4364.4264237776861</v>
      </c>
      <c r="R151" s="349">
        <f t="shared" si="75"/>
        <v>5807.0894388194538</v>
      </c>
      <c r="S151" s="349">
        <f t="shared" si="75"/>
        <v>5753.5268243725923</v>
      </c>
      <c r="T151" s="349">
        <f t="shared" si="75"/>
        <v>7892.3485164269741</v>
      </c>
      <c r="U151" s="349">
        <f t="shared" si="75"/>
        <v>7713.6999358189678</v>
      </c>
      <c r="V151" s="349">
        <f t="shared" si="75"/>
        <v>6689.3638567112812</v>
      </c>
      <c r="W151" s="349">
        <f t="shared" si="75"/>
        <v>5547.2601524901456</v>
      </c>
      <c r="X151" s="349">
        <f t="shared" si="75"/>
        <v>6417.4616301959295</v>
      </c>
      <c r="Y151" s="349">
        <f t="shared" si="75"/>
        <v>2308.125313438929</v>
      </c>
      <c r="Z151" s="349">
        <f t="shared" si="75"/>
        <v>6318.960883921497</v>
      </c>
      <c r="AA151" s="349">
        <f t="shared" si="75"/>
        <v>8968.9519951654365</v>
      </c>
      <c r="AB151" s="349">
        <f t="shared" si="75"/>
        <v>7948.0097628756139</v>
      </c>
      <c r="AC151" s="349">
        <f t="shared" si="75"/>
        <v>4669.5543345295337</v>
      </c>
      <c r="AD151" s="349">
        <f t="shared" si="75"/>
        <v>7753.0728016797821</v>
      </c>
      <c r="AE151" s="349">
        <f t="shared" si="75"/>
        <v>8648.0649418492103</v>
      </c>
      <c r="AF151" s="349">
        <f t="shared" si="75"/>
        <v>4606.2523058573297</v>
      </c>
      <c r="AG151" s="349">
        <f t="shared" si="75"/>
        <v>9051.0473857254328</v>
      </c>
      <c r="AH151" s="349">
        <f t="shared" si="75"/>
        <v>5278.0297593524956</v>
      </c>
      <c r="AI151" s="349">
        <f t="shared" si="75"/>
        <v>3824.7575849143109</v>
      </c>
      <c r="AJ151" s="349">
        <f t="shared" si="75"/>
        <v>6170.2871761145307</v>
      </c>
      <c r="AK151" s="349">
        <f t="shared" si="75"/>
        <v>6777.9055555387868</v>
      </c>
      <c r="AL151" s="349">
        <f t="shared" si="75"/>
        <v>4333.1968892285413</v>
      </c>
      <c r="AM151" s="349">
        <f t="shared" si="75"/>
        <v>5674.0457365570646</v>
      </c>
      <c r="AN151" s="354">
        <f t="shared" si="75"/>
        <v>5674.0457365570646</v>
      </c>
    </row>
    <row r="152" spans="1:40">
      <c r="A152" s="334" t="s">
        <v>262</v>
      </c>
      <c r="B152" s="359" t="s">
        <v>2</v>
      </c>
      <c r="C152" s="366" t="s">
        <v>190</v>
      </c>
      <c r="D152" s="375">
        <f t="shared" ref="D152:AN152" si="76">D146/D$4</f>
        <v>92.374955124584645</v>
      </c>
      <c r="E152" s="376">
        <f t="shared" si="76"/>
        <v>70.335428735371465</v>
      </c>
      <c r="F152" s="376">
        <f t="shared" si="76"/>
        <v>75.068858346148133</v>
      </c>
      <c r="G152" s="376">
        <f t="shared" si="76"/>
        <v>89.997088344656888</v>
      </c>
      <c r="H152" s="376">
        <f t="shared" si="76"/>
        <v>34.123404980558043</v>
      </c>
      <c r="I152" s="376">
        <f t="shared" si="76"/>
        <v>100.03918147773695</v>
      </c>
      <c r="J152" s="376">
        <f t="shared" si="76"/>
        <v>81.882049567704058</v>
      </c>
      <c r="K152" s="376">
        <f t="shared" si="76"/>
        <v>67.939619711317036</v>
      </c>
      <c r="L152" s="376">
        <f t="shared" si="76"/>
        <v>78.123909876657166</v>
      </c>
      <c r="M152" s="376">
        <f t="shared" si="76"/>
        <v>68.778293688356428</v>
      </c>
      <c r="N152" s="376">
        <f t="shared" si="76"/>
        <v>112.70450689620698</v>
      </c>
      <c r="O152" s="376">
        <f t="shared" si="76"/>
        <v>83.393204118044423</v>
      </c>
      <c r="P152" s="376">
        <f t="shared" si="76"/>
        <v>72.625803666992368</v>
      </c>
      <c r="Q152" s="376">
        <f t="shared" si="76"/>
        <v>67.425925033096945</v>
      </c>
      <c r="R152" s="376">
        <f t="shared" si="76"/>
        <v>73.311324037280428</v>
      </c>
      <c r="S152" s="376">
        <f t="shared" si="76"/>
        <v>62.578034014026201</v>
      </c>
      <c r="T152" s="376">
        <f t="shared" si="76"/>
        <v>95.866260908636917</v>
      </c>
      <c r="U152" s="376">
        <f t="shared" si="76"/>
        <v>63.051505750454943</v>
      </c>
      <c r="V152" s="376">
        <f t="shared" si="76"/>
        <v>98.001077949713121</v>
      </c>
      <c r="W152" s="376">
        <f t="shared" si="76"/>
        <v>101.14771257001601</v>
      </c>
      <c r="X152" s="376">
        <f t="shared" si="76"/>
        <v>99.10957906059663</v>
      </c>
      <c r="Y152" s="376">
        <f t="shared" si="76"/>
        <v>23.854885441313648</v>
      </c>
      <c r="Z152" s="376">
        <f t="shared" si="76"/>
        <v>72.666587193147848</v>
      </c>
      <c r="AA152" s="376">
        <f t="shared" si="76"/>
        <v>75.782171215408269</v>
      </c>
      <c r="AB152" s="376">
        <f t="shared" si="76"/>
        <v>96.234747764017584</v>
      </c>
      <c r="AC152" s="376">
        <f t="shared" si="76"/>
        <v>41.469984437227374</v>
      </c>
      <c r="AD152" s="376">
        <f t="shared" si="76"/>
        <v>103.39174732724102</v>
      </c>
      <c r="AE152" s="376">
        <f t="shared" si="76"/>
        <v>73.070871430514103</v>
      </c>
      <c r="AF152" s="376">
        <f t="shared" si="76"/>
        <v>78.302367432615767</v>
      </c>
      <c r="AG152" s="376">
        <f t="shared" si="76"/>
        <v>116.43323297428834</v>
      </c>
      <c r="AH152" s="376">
        <f t="shared" si="76"/>
        <v>73.842246586126649</v>
      </c>
      <c r="AI152" s="376">
        <f t="shared" si="76"/>
        <v>72.625803666992368</v>
      </c>
      <c r="AJ152" s="376">
        <f t="shared" si="76"/>
        <v>76.586296578219034</v>
      </c>
      <c r="AK152" s="376">
        <f t="shared" si="76"/>
        <v>63.319828334172477</v>
      </c>
      <c r="AL152" s="376">
        <f t="shared" si="76"/>
        <v>73.592407340362357</v>
      </c>
      <c r="AM152" s="376">
        <f t="shared" si="76"/>
        <v>70.426892164844119</v>
      </c>
      <c r="AN152" s="377">
        <f t="shared" si="76"/>
        <v>70.426892164844119</v>
      </c>
    </row>
    <row r="153" spans="1:40">
      <c r="A153" s="154"/>
      <c r="B153" s="347" t="s">
        <v>3</v>
      </c>
      <c r="C153" s="367" t="s">
        <v>190</v>
      </c>
      <c r="D153" s="369">
        <f t="shared" ref="D153:AN153" si="77">D147/D$4</f>
        <v>99.046197386164309</v>
      </c>
      <c r="E153" s="370">
        <f t="shared" si="77"/>
        <v>70.335428735371465</v>
      </c>
      <c r="F153" s="370">
        <f t="shared" si="77"/>
        <v>75.068858346148133</v>
      </c>
      <c r="G153" s="370">
        <f t="shared" si="77"/>
        <v>96.49660304941915</v>
      </c>
      <c r="H153" s="370">
        <f t="shared" si="77"/>
        <v>33.953855199974939</v>
      </c>
      <c r="I153" s="370">
        <f t="shared" si="77"/>
        <v>82.881948474392345</v>
      </c>
      <c r="J153" s="370">
        <f t="shared" si="77"/>
        <v>84.698189701429797</v>
      </c>
      <c r="K153" s="370">
        <f t="shared" si="77"/>
        <v>65.31638291744855</v>
      </c>
      <c r="L153" s="370">
        <f t="shared" si="77"/>
        <v>78.123909876657166</v>
      </c>
      <c r="M153" s="370">
        <f t="shared" si="77"/>
        <v>68.348860416122037</v>
      </c>
      <c r="N153" s="370">
        <f t="shared" si="77"/>
        <v>100.39159817891922</v>
      </c>
      <c r="O153" s="370">
        <f t="shared" si="77"/>
        <v>83.393204118044423</v>
      </c>
      <c r="P153" s="370">
        <f t="shared" si="77"/>
        <v>72.625803666992368</v>
      </c>
      <c r="Q153" s="370">
        <f t="shared" si="77"/>
        <v>68.029544090463105</v>
      </c>
      <c r="R153" s="370">
        <f t="shared" si="77"/>
        <v>73.311324037280428</v>
      </c>
      <c r="S153" s="370">
        <f t="shared" si="77"/>
        <v>62.611810842048605</v>
      </c>
      <c r="T153" s="370">
        <f t="shared" si="77"/>
        <v>85.392921801419163</v>
      </c>
      <c r="U153" s="370">
        <f t="shared" si="77"/>
        <v>62.737748674224129</v>
      </c>
      <c r="V153" s="370">
        <f t="shared" si="77"/>
        <v>98.001077949713121</v>
      </c>
      <c r="W153" s="370">
        <f t="shared" si="77"/>
        <v>92.24719200719845</v>
      </c>
      <c r="X153" s="370">
        <f t="shared" si="77"/>
        <v>99.10957906059663</v>
      </c>
      <c r="Y153" s="370">
        <f t="shared" si="77"/>
        <v>23.853565462216803</v>
      </c>
      <c r="Z153" s="370">
        <f t="shared" si="77"/>
        <v>75.251231649549155</v>
      </c>
      <c r="AA153" s="370">
        <f t="shared" si="77"/>
        <v>75.782171215408269</v>
      </c>
      <c r="AB153" s="370">
        <f t="shared" si="77"/>
        <v>93.325413864239181</v>
      </c>
      <c r="AC153" s="370">
        <f t="shared" si="77"/>
        <v>43.207595563341897</v>
      </c>
      <c r="AD153" s="370">
        <f t="shared" si="77"/>
        <v>94.731747771869706</v>
      </c>
      <c r="AE153" s="370">
        <f t="shared" si="77"/>
        <v>73.070871430514103</v>
      </c>
      <c r="AF153" s="370">
        <f t="shared" si="77"/>
        <v>78.302367432615767</v>
      </c>
      <c r="AG153" s="370">
        <f t="shared" si="77"/>
        <v>106.11057694022408</v>
      </c>
      <c r="AH153" s="370">
        <f t="shared" si="77"/>
        <v>74.265237570230838</v>
      </c>
      <c r="AI153" s="370">
        <f t="shared" si="77"/>
        <v>72.625803666992368</v>
      </c>
      <c r="AJ153" s="370">
        <f t="shared" si="77"/>
        <v>76.586296578219034</v>
      </c>
      <c r="AK153" s="370">
        <f t="shared" si="77"/>
        <v>63.319828334172477</v>
      </c>
      <c r="AL153" s="370">
        <f t="shared" si="77"/>
        <v>73.592407340362357</v>
      </c>
      <c r="AM153" s="370">
        <f t="shared" si="77"/>
        <v>70.426892164844119</v>
      </c>
      <c r="AN153" s="371">
        <f t="shared" si="77"/>
        <v>70.426892164844119</v>
      </c>
    </row>
    <row r="154" spans="1:40">
      <c r="A154" s="154"/>
      <c r="B154" s="347" t="s">
        <v>4</v>
      </c>
      <c r="C154" s="367" t="s">
        <v>190</v>
      </c>
      <c r="D154" s="369">
        <f t="shared" ref="D154:AN154" si="78">D148/D$4</f>
        <v>83.910150232070592</v>
      </c>
      <c r="E154" s="370">
        <f t="shared" si="78"/>
        <v>70.335428735371465</v>
      </c>
      <c r="F154" s="370">
        <f t="shared" si="78"/>
        <v>72.498393414936899</v>
      </c>
      <c r="G154" s="370">
        <f t="shared" si="78"/>
        <v>81.750179940702239</v>
      </c>
      <c r="H154" s="370">
        <f t="shared" si="78"/>
        <v>33.716783421718986</v>
      </c>
      <c r="I154" s="370">
        <f t="shared" si="78"/>
        <v>82.881948474392345</v>
      </c>
      <c r="J154" s="370">
        <f t="shared" si="78"/>
        <v>72.581009698041527</v>
      </c>
      <c r="K154" s="370">
        <f t="shared" si="78"/>
        <v>48.033667372234945</v>
      </c>
      <c r="L154" s="370">
        <f t="shared" si="78"/>
        <v>68.928628026630136</v>
      </c>
      <c r="M154" s="370">
        <f t="shared" si="78"/>
        <v>68.348860416122037</v>
      </c>
      <c r="N154" s="370">
        <f t="shared" si="78"/>
        <v>90.26867496187964</v>
      </c>
      <c r="O154" s="370">
        <f t="shared" si="78"/>
        <v>55.882805767988906</v>
      </c>
      <c r="P154" s="370">
        <f t="shared" si="78"/>
        <v>72.625803666992368</v>
      </c>
      <c r="Q154" s="370">
        <f t="shared" si="78"/>
        <v>67.442386676820618</v>
      </c>
      <c r="R154" s="370">
        <f t="shared" si="78"/>
        <v>72.049814936314974</v>
      </c>
      <c r="S154" s="370">
        <f t="shared" si="78"/>
        <v>62.022194722638588</v>
      </c>
      <c r="T154" s="370">
        <f t="shared" si="78"/>
        <v>76.782380617147524</v>
      </c>
      <c r="U154" s="370">
        <f t="shared" si="78"/>
        <v>58.438664934743244</v>
      </c>
      <c r="V154" s="370">
        <f t="shared" si="78"/>
        <v>76.326126676089203</v>
      </c>
      <c r="W154" s="370">
        <f t="shared" si="78"/>
        <v>63.302738681538479</v>
      </c>
      <c r="X154" s="370">
        <f t="shared" si="78"/>
        <v>97.961334663439303</v>
      </c>
      <c r="Y154" s="370">
        <f t="shared" si="78"/>
        <v>23.584676105348414</v>
      </c>
      <c r="Z154" s="370">
        <f t="shared" si="78"/>
        <v>68.596552376898714</v>
      </c>
      <c r="AA154" s="370">
        <f t="shared" si="78"/>
        <v>62.184969492197602</v>
      </c>
      <c r="AB154" s="370">
        <f t="shared" si="78"/>
        <v>79.868064029176921</v>
      </c>
      <c r="AC154" s="370">
        <f t="shared" si="78"/>
        <v>43.191061792455372</v>
      </c>
      <c r="AD154" s="370">
        <f t="shared" si="78"/>
        <v>94.731747771869706</v>
      </c>
      <c r="AE154" s="370">
        <f t="shared" si="78"/>
        <v>59.960144157903613</v>
      </c>
      <c r="AF154" s="370">
        <f t="shared" si="78"/>
        <v>72.438829094616949</v>
      </c>
      <c r="AG154" s="370">
        <f t="shared" si="78"/>
        <v>106.11057694022408</v>
      </c>
      <c r="AH154" s="370">
        <f t="shared" si="78"/>
        <v>72.682981251593262</v>
      </c>
      <c r="AI154" s="370">
        <f t="shared" si="78"/>
        <v>72.625803666992368</v>
      </c>
      <c r="AJ154" s="370">
        <f t="shared" si="78"/>
        <v>76.586296578219034</v>
      </c>
      <c r="AK154" s="370">
        <f t="shared" si="78"/>
        <v>63.319828334172477</v>
      </c>
      <c r="AL154" s="370">
        <f t="shared" si="78"/>
        <v>71.022245375807955</v>
      </c>
      <c r="AM154" s="370">
        <f t="shared" si="78"/>
        <v>70.426892164844119</v>
      </c>
      <c r="AN154" s="371">
        <f t="shared" si="78"/>
        <v>70.426892164844119</v>
      </c>
    </row>
    <row r="155" spans="1:40">
      <c r="A155" s="154"/>
      <c r="B155" s="347" t="s">
        <v>5</v>
      </c>
      <c r="C155" s="367" t="s">
        <v>190</v>
      </c>
      <c r="D155" s="369">
        <f t="shared" ref="D155:AN155" si="79">D149/D$4</f>
        <v>63.42603388887315</v>
      </c>
      <c r="E155" s="370">
        <f t="shared" si="79"/>
        <v>66.245836753479807</v>
      </c>
      <c r="F155" s="370">
        <f t="shared" si="79"/>
        <v>63.866984478735937</v>
      </c>
      <c r="G155" s="370">
        <f t="shared" si="79"/>
        <v>61.793354784850671</v>
      </c>
      <c r="H155" s="370">
        <f t="shared" si="79"/>
        <v>31.15534122400183</v>
      </c>
      <c r="I155" s="370">
        <f t="shared" si="79"/>
        <v>74.962164129263513</v>
      </c>
      <c r="J155" s="370">
        <f t="shared" si="79"/>
        <v>57.734802038056642</v>
      </c>
      <c r="K155" s="370">
        <f t="shared" si="79"/>
        <v>42.896300842770593</v>
      </c>
      <c r="L155" s="370">
        <f t="shared" si="79"/>
        <v>60.881409155328946</v>
      </c>
      <c r="M155" s="370">
        <f t="shared" si="79"/>
        <v>40.943699623736883</v>
      </c>
      <c r="N155" s="370">
        <f t="shared" si="79"/>
        <v>81.941665265839788</v>
      </c>
      <c r="O155" s="370">
        <f t="shared" si="79"/>
        <v>50.949452463561585</v>
      </c>
      <c r="P155" s="370">
        <f t="shared" si="79"/>
        <v>67.192539311295192</v>
      </c>
      <c r="Q155" s="370">
        <f t="shared" si="79"/>
        <v>67.442386676820618</v>
      </c>
      <c r="R155" s="370">
        <f t="shared" si="79"/>
        <v>63.514126085520267</v>
      </c>
      <c r="S155" s="370">
        <f t="shared" si="79"/>
        <v>51.263986574216297</v>
      </c>
      <c r="T155" s="370">
        <f t="shared" si="79"/>
        <v>69.699440403900653</v>
      </c>
      <c r="U155" s="370">
        <f t="shared" si="79"/>
        <v>56.910204430375181</v>
      </c>
      <c r="V155" s="370">
        <f t="shared" si="79"/>
        <v>76.326126676089203</v>
      </c>
      <c r="W155" s="370">
        <f t="shared" si="79"/>
        <v>61.397480893795304</v>
      </c>
      <c r="X155" s="370">
        <f t="shared" si="79"/>
        <v>66.74519731741394</v>
      </c>
      <c r="Y155" s="370">
        <f t="shared" si="79"/>
        <v>18.91939956737081</v>
      </c>
      <c r="Z155" s="370">
        <f t="shared" si="79"/>
        <v>62.897661024766165</v>
      </c>
      <c r="AA155" s="370">
        <f t="shared" si="79"/>
        <v>62.184969492197602</v>
      </c>
      <c r="AB155" s="370">
        <f t="shared" si="79"/>
        <v>79.868064029176921</v>
      </c>
      <c r="AC155" s="370">
        <f t="shared" si="79"/>
        <v>43.06488970757286</v>
      </c>
      <c r="AD155" s="370">
        <f t="shared" si="79"/>
        <v>87.809873048719652</v>
      </c>
      <c r="AE155" s="370">
        <f t="shared" si="79"/>
        <v>59.960144157903613</v>
      </c>
      <c r="AF155" s="370">
        <f t="shared" si="79"/>
        <v>67.103799364239023</v>
      </c>
      <c r="AG155" s="370">
        <f t="shared" si="79"/>
        <v>104.57514358962126</v>
      </c>
      <c r="AH155" s="370">
        <f t="shared" si="79"/>
        <v>59.349282726305056</v>
      </c>
      <c r="AI155" s="370">
        <f t="shared" si="79"/>
        <v>67.192539311295192</v>
      </c>
      <c r="AJ155" s="370">
        <f t="shared" si="79"/>
        <v>74.27556967459833</v>
      </c>
      <c r="AK155" s="370">
        <f t="shared" si="79"/>
        <v>61.334559540523465</v>
      </c>
      <c r="AL155" s="370">
        <f t="shared" si="79"/>
        <v>62.386184069883427</v>
      </c>
      <c r="AM155" s="370">
        <f t="shared" si="79"/>
        <v>68.302004009461228</v>
      </c>
      <c r="AN155" s="371">
        <f t="shared" si="79"/>
        <v>68.302004009461228</v>
      </c>
    </row>
    <row r="156" spans="1:40">
      <c r="A156" s="154"/>
      <c r="B156" s="347" t="s">
        <v>6</v>
      </c>
      <c r="C156" s="367" t="s">
        <v>190</v>
      </c>
      <c r="D156" s="369">
        <f t="shared" ref="D156:AN156" si="80">D150/D$4</f>
        <v>57.965682458662378</v>
      </c>
      <c r="E156" s="370">
        <f t="shared" si="80"/>
        <v>66.245836753479807</v>
      </c>
      <c r="F156" s="370">
        <f t="shared" si="80"/>
        <v>56.895195863298717</v>
      </c>
      <c r="G156" s="370">
        <f t="shared" si="80"/>
        <v>56.473560806117078</v>
      </c>
      <c r="H156" s="370">
        <f t="shared" si="80"/>
        <v>31.15534122400183</v>
      </c>
      <c r="I156" s="370">
        <f t="shared" si="80"/>
        <v>63.922696998913764</v>
      </c>
      <c r="J156" s="370">
        <f t="shared" si="80"/>
        <v>43.903322998354291</v>
      </c>
      <c r="K156" s="370">
        <f t="shared" si="80"/>
        <v>42.896300842770593</v>
      </c>
      <c r="L156" s="370">
        <f t="shared" si="80"/>
        <v>54.751421961715884</v>
      </c>
      <c r="M156" s="370">
        <f t="shared" si="80"/>
        <v>40.943699623736883</v>
      </c>
      <c r="N156" s="370">
        <f t="shared" si="80"/>
        <v>81.014756321352209</v>
      </c>
      <c r="O156" s="370">
        <f t="shared" si="80"/>
        <v>36.932454575464284</v>
      </c>
      <c r="P156" s="370">
        <f t="shared" si="80"/>
        <v>67.192539311295192</v>
      </c>
      <c r="Q156" s="370">
        <f t="shared" si="80"/>
        <v>57.953667803089616</v>
      </c>
      <c r="R156" s="370">
        <f t="shared" si="80"/>
        <v>63.514126085520267</v>
      </c>
      <c r="S156" s="370">
        <f t="shared" si="80"/>
        <v>49.376344982256015</v>
      </c>
      <c r="T156" s="370">
        <f t="shared" si="80"/>
        <v>68.911013240179244</v>
      </c>
      <c r="U156" s="370">
        <f t="shared" si="80"/>
        <v>56.253053314997032</v>
      </c>
      <c r="V156" s="370">
        <f t="shared" si="80"/>
        <v>76.326126676089203</v>
      </c>
      <c r="W156" s="370">
        <f t="shared" si="80"/>
        <v>57.234724092926037</v>
      </c>
      <c r="X156" s="370">
        <f t="shared" si="80"/>
        <v>66.472987060399689</v>
      </c>
      <c r="Y156" s="370">
        <f t="shared" si="80"/>
        <v>18.905711983281265</v>
      </c>
      <c r="Z156" s="370">
        <f t="shared" si="80"/>
        <v>59.437712912104722</v>
      </c>
      <c r="AA156" s="370">
        <f t="shared" si="80"/>
        <v>57.539387298575377</v>
      </c>
      <c r="AB156" s="370">
        <f t="shared" si="80"/>
        <v>79.868064029176921</v>
      </c>
      <c r="AC156" s="370">
        <f t="shared" si="80"/>
        <v>41.669391484105823</v>
      </c>
      <c r="AD156" s="370">
        <f t="shared" si="80"/>
        <v>87.809873048719652</v>
      </c>
      <c r="AE156" s="370">
        <f t="shared" si="80"/>
        <v>55.480769474573925</v>
      </c>
      <c r="AF156" s="370">
        <f t="shared" si="80"/>
        <v>54.91562153061151</v>
      </c>
      <c r="AG156" s="370">
        <f t="shared" si="80"/>
        <v>96.363835079297729</v>
      </c>
      <c r="AH156" s="370">
        <f t="shared" si="80"/>
        <v>56.162812846414241</v>
      </c>
      <c r="AI156" s="370">
        <f t="shared" si="80"/>
        <v>67.192539311295192</v>
      </c>
      <c r="AJ156" s="370">
        <f t="shared" si="80"/>
        <v>73.462636546953277</v>
      </c>
      <c r="AK156" s="370">
        <f t="shared" si="80"/>
        <v>60.649699242173483</v>
      </c>
      <c r="AL156" s="370">
        <f t="shared" si="80"/>
        <v>55.422768704752016</v>
      </c>
      <c r="AM156" s="370">
        <f t="shared" si="80"/>
        <v>67.554450513916308</v>
      </c>
      <c r="AN156" s="371">
        <f t="shared" si="80"/>
        <v>67.554450513916308</v>
      </c>
    </row>
    <row r="157" spans="1:40">
      <c r="A157" s="155"/>
      <c r="B157" s="338" t="s">
        <v>7</v>
      </c>
      <c r="C157" s="368" t="s">
        <v>190</v>
      </c>
      <c r="D157" s="378">
        <f t="shared" ref="D157:AN157" si="81">D151/D$4</f>
        <v>52.87337349094485</v>
      </c>
      <c r="E157" s="379">
        <f t="shared" si="81"/>
        <v>53.279878120725719</v>
      </c>
      <c r="F157" s="379">
        <f t="shared" si="81"/>
        <v>51.753322837598226</v>
      </c>
      <c r="G157" s="379">
        <f t="shared" si="81"/>
        <v>51.512335337288739</v>
      </c>
      <c r="H157" s="379">
        <f t="shared" si="81"/>
        <v>17.444796135481923</v>
      </c>
      <c r="I157" s="379">
        <f t="shared" si="81"/>
        <v>55.361235144905862</v>
      </c>
      <c r="J157" s="379">
        <f t="shared" si="81"/>
        <v>45.701187892860816</v>
      </c>
      <c r="K157" s="379">
        <f t="shared" si="81"/>
        <v>35.250667675793586</v>
      </c>
      <c r="L157" s="379">
        <f t="shared" si="81"/>
        <v>54.751421961715884</v>
      </c>
      <c r="M157" s="379">
        <f t="shared" si="81"/>
        <v>36.541618471377831</v>
      </c>
      <c r="N157" s="379">
        <f t="shared" si="81"/>
        <v>76.524412140911934</v>
      </c>
      <c r="O157" s="379">
        <f t="shared" si="81"/>
        <v>36.332002400308241</v>
      </c>
      <c r="P157" s="379">
        <f t="shared" si="81"/>
        <v>33.439320855619229</v>
      </c>
      <c r="Q157" s="379">
        <f t="shared" si="81"/>
        <v>50.777862738941629</v>
      </c>
      <c r="R157" s="379">
        <f t="shared" si="81"/>
        <v>49.873495844990316</v>
      </c>
      <c r="S157" s="379">
        <f t="shared" si="81"/>
        <v>39.106433374203732</v>
      </c>
      <c r="T157" s="379">
        <f t="shared" si="81"/>
        <v>65.09153415609876</v>
      </c>
      <c r="U157" s="379">
        <f t="shared" si="81"/>
        <v>56.253053314997032</v>
      </c>
      <c r="V157" s="379">
        <f t="shared" si="81"/>
        <v>55.402891819076466</v>
      </c>
      <c r="W157" s="379">
        <f t="shared" si="81"/>
        <v>50.690806577942155</v>
      </c>
      <c r="X157" s="379">
        <f t="shared" si="81"/>
        <v>53.478846918299411</v>
      </c>
      <c r="Y157" s="379">
        <f t="shared" si="81"/>
        <v>18.679066477247336</v>
      </c>
      <c r="Z157" s="379">
        <f t="shared" si="81"/>
        <v>44.099798370213058</v>
      </c>
      <c r="AA157" s="379">
        <f t="shared" si="81"/>
        <v>57.539387298575377</v>
      </c>
      <c r="AB157" s="379">
        <f t="shared" si="81"/>
        <v>66.04229173804292</v>
      </c>
      <c r="AC157" s="379">
        <f t="shared" si="81"/>
        <v>32.188860171598741</v>
      </c>
      <c r="AD157" s="379">
        <f t="shared" si="81"/>
        <v>85.383699533472509</v>
      </c>
      <c r="AE157" s="379">
        <f t="shared" si="81"/>
        <v>55.480769474573925</v>
      </c>
      <c r="AF157" s="379">
        <f t="shared" si="81"/>
        <v>38.585333633923895</v>
      </c>
      <c r="AG157" s="379">
        <f t="shared" si="81"/>
        <v>75.303309390695603</v>
      </c>
      <c r="AH157" s="379">
        <f t="shared" si="81"/>
        <v>51.701038416578868</v>
      </c>
      <c r="AI157" s="379">
        <f t="shared" si="81"/>
        <v>33.439320855619229</v>
      </c>
      <c r="AJ157" s="379">
        <f t="shared" si="81"/>
        <v>71.788126288861207</v>
      </c>
      <c r="AK157" s="379">
        <f t="shared" si="81"/>
        <v>59.258280706389762</v>
      </c>
      <c r="AL157" s="379">
        <f t="shared" si="81"/>
        <v>50.414523123431529</v>
      </c>
      <c r="AM157" s="379">
        <f t="shared" si="81"/>
        <v>66.014611683151969</v>
      </c>
      <c r="AN157" s="380">
        <f t="shared" si="81"/>
        <v>66.014611683151969</v>
      </c>
    </row>
    <row r="158" spans="1:40">
      <c r="A158" s="151" t="s">
        <v>285</v>
      </c>
      <c r="B158" s="141" t="s">
        <v>2</v>
      </c>
      <c r="C158" s="144" t="s">
        <v>148</v>
      </c>
      <c r="D158" s="381">
        <f t="shared" ref="D158:AN158" si="82">1-(D152/D$47)</f>
        <v>0.57027487620023809</v>
      </c>
      <c r="E158" s="382">
        <f t="shared" si="82"/>
        <v>0.67714342829112861</v>
      </c>
      <c r="F158" s="382">
        <f t="shared" si="82"/>
        <v>0.63672982263421574</v>
      </c>
      <c r="G158" s="382">
        <f t="shared" si="82"/>
        <v>0.57027487620023809</v>
      </c>
      <c r="H158" s="382">
        <f t="shared" si="82"/>
        <v>0.59268311594053857</v>
      </c>
      <c r="I158" s="382">
        <f t="shared" si="82"/>
        <v>0.47906868888993881</v>
      </c>
      <c r="J158" s="382">
        <f t="shared" si="82"/>
        <v>0.66533598320868514</v>
      </c>
      <c r="K158" s="382">
        <f t="shared" si="82"/>
        <v>0.49246165272398457</v>
      </c>
      <c r="L158" s="382">
        <f t="shared" si="82"/>
        <v>0.44252620990559766</v>
      </c>
      <c r="M158" s="382">
        <f t="shared" si="82"/>
        <v>0.63409840404814644</v>
      </c>
      <c r="N158" s="382">
        <f t="shared" si="82"/>
        <v>0.46114908727701698</v>
      </c>
      <c r="O158" s="382">
        <f t="shared" si="82"/>
        <v>0.66196884438356596</v>
      </c>
      <c r="P158" s="382">
        <f t="shared" si="82"/>
        <v>0.59606505648877761</v>
      </c>
      <c r="Q158" s="382">
        <f t="shared" si="82"/>
        <v>0.65337450484578574</v>
      </c>
      <c r="R158" s="382">
        <f t="shared" si="82"/>
        <v>0.62148578949449163</v>
      </c>
      <c r="S158" s="382">
        <f t="shared" si="82"/>
        <v>0.71288023514069709</v>
      </c>
      <c r="T158" s="382">
        <f t="shared" si="82"/>
        <v>0.46114908727701698</v>
      </c>
      <c r="U158" s="382">
        <f t="shared" si="82"/>
        <v>0.63602314147856287</v>
      </c>
      <c r="V158" s="382">
        <f t="shared" si="82"/>
        <v>0.51827916603255475</v>
      </c>
      <c r="W158" s="382">
        <f t="shared" si="82"/>
        <v>0.55876521917310151</v>
      </c>
      <c r="X158" s="382">
        <f t="shared" si="82"/>
        <v>0.57185141660628225</v>
      </c>
      <c r="Y158" s="382">
        <f t="shared" si="82"/>
        <v>0.63438581791315718</v>
      </c>
      <c r="Z158" s="382">
        <f t="shared" si="82"/>
        <v>0.68717211383548249</v>
      </c>
      <c r="AA158" s="382">
        <f t="shared" si="82"/>
        <v>0.52096826748549552</v>
      </c>
      <c r="AB158" s="382">
        <f t="shared" si="82"/>
        <v>0.66209266217633833</v>
      </c>
      <c r="AC158" s="382">
        <f t="shared" si="82"/>
        <v>0.65396012194415232</v>
      </c>
      <c r="AD158" s="382">
        <f t="shared" si="82"/>
        <v>0.61090639866468188</v>
      </c>
      <c r="AE158" s="382">
        <f t="shared" si="82"/>
        <v>0.52096826748549552</v>
      </c>
      <c r="AF158" s="382">
        <f t="shared" si="82"/>
        <v>0.58905621365224281</v>
      </c>
      <c r="AG158" s="382">
        <f t="shared" si="82"/>
        <v>0.58480231358230528</v>
      </c>
      <c r="AH158" s="382">
        <f t="shared" si="82"/>
        <v>0.72189691854466931</v>
      </c>
      <c r="AI158" s="382">
        <f t="shared" si="82"/>
        <v>0.59606505648877761</v>
      </c>
      <c r="AJ158" s="382">
        <f t="shared" si="82"/>
        <v>0.63492289188941897</v>
      </c>
      <c r="AK158" s="382">
        <f t="shared" si="82"/>
        <v>0.62388040616707818</v>
      </c>
      <c r="AL158" s="382">
        <f t="shared" si="82"/>
        <v>0.6341900535867635</v>
      </c>
      <c r="AM158" s="382">
        <f t="shared" si="82"/>
        <v>0.63492289188941908</v>
      </c>
      <c r="AN158" s="383">
        <f t="shared" si="82"/>
        <v>0.63492289188941908</v>
      </c>
    </row>
    <row r="159" spans="1:40">
      <c r="A159" s="129"/>
      <c r="B159" s="142" t="s">
        <v>3</v>
      </c>
      <c r="C159" s="131" t="s">
        <v>148</v>
      </c>
      <c r="D159" s="384">
        <f t="shared" ref="D159:AN159" si="83">1-(D153/D$48)</f>
        <v>0.50526645302658313</v>
      </c>
      <c r="E159" s="385">
        <f t="shared" si="83"/>
        <v>0.67714342829112861</v>
      </c>
      <c r="F159" s="385">
        <f t="shared" si="83"/>
        <v>0.63672982263421574</v>
      </c>
      <c r="G159" s="385">
        <f t="shared" si="83"/>
        <v>0.50526645302658335</v>
      </c>
      <c r="H159" s="385">
        <f t="shared" si="83"/>
        <v>0.57000058139776399</v>
      </c>
      <c r="I159" s="385">
        <f t="shared" si="83"/>
        <v>0.49697914794790088</v>
      </c>
      <c r="J159" s="385">
        <f t="shared" si="83"/>
        <v>0.59924162450763552</v>
      </c>
      <c r="K159" s="385">
        <f t="shared" si="83"/>
        <v>0.49783457286067023</v>
      </c>
      <c r="L159" s="385">
        <f t="shared" si="83"/>
        <v>0.44252620990559766</v>
      </c>
      <c r="M159" s="385">
        <f t="shared" si="83"/>
        <v>0.60132426579750609</v>
      </c>
      <c r="N159" s="385">
        <f t="shared" si="83"/>
        <v>0.48075796886982269</v>
      </c>
      <c r="O159" s="385">
        <f t="shared" si="83"/>
        <v>0.66196884438356596</v>
      </c>
      <c r="P159" s="385">
        <f t="shared" si="83"/>
        <v>0.59606505648877761</v>
      </c>
      <c r="Q159" s="385">
        <f t="shared" si="83"/>
        <v>0.66671614179412109</v>
      </c>
      <c r="R159" s="385">
        <f t="shared" si="83"/>
        <v>0.62148578949449163</v>
      </c>
      <c r="S159" s="385">
        <f t="shared" si="83"/>
        <v>0.71638718351922481</v>
      </c>
      <c r="T159" s="385">
        <f t="shared" si="83"/>
        <v>0.48075796886982269</v>
      </c>
      <c r="U159" s="385">
        <f t="shared" si="83"/>
        <v>0.62031892458353088</v>
      </c>
      <c r="V159" s="385">
        <f t="shared" si="83"/>
        <v>0.51827916603255475</v>
      </c>
      <c r="W159" s="385">
        <f t="shared" si="83"/>
        <v>0.60411965809643586</v>
      </c>
      <c r="X159" s="385">
        <f t="shared" si="83"/>
        <v>0.56591800212105481</v>
      </c>
      <c r="Y159" s="385">
        <f t="shared" si="83"/>
        <v>0.6339601696717071</v>
      </c>
      <c r="Z159" s="385">
        <f t="shared" si="83"/>
        <v>0.60509327018663006</v>
      </c>
      <c r="AA159" s="385">
        <f t="shared" si="83"/>
        <v>0.51882600290864755</v>
      </c>
      <c r="AB159" s="385">
        <f t="shared" si="83"/>
        <v>0.55437353654618649</v>
      </c>
      <c r="AC159" s="385">
        <f t="shared" si="83"/>
        <v>0.60655412053016766</v>
      </c>
      <c r="AD159" s="385">
        <f t="shared" si="83"/>
        <v>0.60988887338087117</v>
      </c>
      <c r="AE159" s="385">
        <f t="shared" si="83"/>
        <v>0.51882600290864778</v>
      </c>
      <c r="AF159" s="385">
        <f t="shared" si="83"/>
        <v>0.58905621365224281</v>
      </c>
      <c r="AG159" s="385">
        <f t="shared" si="83"/>
        <v>0.56068149082138596</v>
      </c>
      <c r="AH159" s="385">
        <f t="shared" si="83"/>
        <v>0.7322132234147356</v>
      </c>
      <c r="AI159" s="385">
        <f t="shared" si="83"/>
        <v>0.59606505648877761</v>
      </c>
      <c r="AJ159" s="385">
        <f t="shared" si="83"/>
        <v>0.63492289188941897</v>
      </c>
      <c r="AK159" s="385">
        <f t="shared" si="83"/>
        <v>0.62388040616707818</v>
      </c>
      <c r="AL159" s="385">
        <f t="shared" si="83"/>
        <v>0.6341900535867635</v>
      </c>
      <c r="AM159" s="385">
        <f t="shared" si="83"/>
        <v>0.63492289188941908</v>
      </c>
      <c r="AN159" s="386">
        <f t="shared" si="83"/>
        <v>0.63492289188941908</v>
      </c>
    </row>
    <row r="160" spans="1:40">
      <c r="A160" s="129"/>
      <c r="B160" s="142" t="s">
        <v>4</v>
      </c>
      <c r="C160" s="131" t="s">
        <v>148</v>
      </c>
      <c r="D160" s="384">
        <f t="shared" ref="D160:AN160" si="84">1-(D154/D$49)</f>
        <v>0.47813756307387822</v>
      </c>
      <c r="E160" s="385">
        <f t="shared" si="84"/>
        <v>0.67714342829112861</v>
      </c>
      <c r="F160" s="385">
        <f t="shared" si="84"/>
        <v>0.63021584490750893</v>
      </c>
      <c r="G160" s="385">
        <f t="shared" si="84"/>
        <v>0.47813756307387822</v>
      </c>
      <c r="H160" s="385">
        <f t="shared" si="84"/>
        <v>0.5912026566464883</v>
      </c>
      <c r="I160" s="385">
        <f t="shared" si="84"/>
        <v>0.49697914794790088</v>
      </c>
      <c r="J160" s="385">
        <f t="shared" si="84"/>
        <v>0.48475476303048703</v>
      </c>
      <c r="K160" s="385">
        <f t="shared" si="84"/>
        <v>0.47836264579486487</v>
      </c>
      <c r="L160" s="385">
        <f t="shared" si="84"/>
        <v>0.41180370469715633</v>
      </c>
      <c r="M160" s="385">
        <f t="shared" si="84"/>
        <v>0.60132426579750609</v>
      </c>
      <c r="N160" s="385">
        <f t="shared" si="84"/>
        <v>0.44168113817398913</v>
      </c>
      <c r="O160" s="385">
        <f t="shared" si="84"/>
        <v>0.54229414464565906</v>
      </c>
      <c r="P160" s="385">
        <f t="shared" si="84"/>
        <v>0.59606505648877761</v>
      </c>
      <c r="Q160" s="385">
        <f t="shared" si="84"/>
        <v>0.61913859140613514</v>
      </c>
      <c r="R160" s="385">
        <f t="shared" si="84"/>
        <v>0.57716508254552701</v>
      </c>
      <c r="S160" s="385">
        <f t="shared" si="84"/>
        <v>0.67831870470408184</v>
      </c>
      <c r="T160" s="385">
        <f t="shared" si="84"/>
        <v>0.44168113817398935</v>
      </c>
      <c r="U160" s="385">
        <f t="shared" si="84"/>
        <v>0.62427832986333565</v>
      </c>
      <c r="V160" s="385">
        <f t="shared" si="84"/>
        <v>0.43415318252875834</v>
      </c>
      <c r="W160" s="385">
        <f t="shared" si="84"/>
        <v>0.53265694767736749</v>
      </c>
      <c r="X160" s="385">
        <f t="shared" si="84"/>
        <v>0.54081796001341464</v>
      </c>
      <c r="Y160" s="385">
        <f t="shared" si="84"/>
        <v>0.57459441409534806</v>
      </c>
      <c r="Z160" s="385">
        <f t="shared" si="84"/>
        <v>0.62923143550550775</v>
      </c>
      <c r="AA160" s="385">
        <f t="shared" si="84"/>
        <v>0.46083894163026018</v>
      </c>
      <c r="AB160" s="385">
        <f t="shared" si="84"/>
        <v>0.47742875457487199</v>
      </c>
      <c r="AC160" s="385">
        <f t="shared" si="84"/>
        <v>0.60003405324297066</v>
      </c>
      <c r="AD160" s="385">
        <f t="shared" si="84"/>
        <v>0.60988887338087117</v>
      </c>
      <c r="AE160" s="385">
        <f t="shared" si="84"/>
        <v>0.46083894163026018</v>
      </c>
      <c r="AF160" s="385">
        <f t="shared" si="84"/>
        <v>0.5873441600880619</v>
      </c>
      <c r="AG160" s="385">
        <f t="shared" si="84"/>
        <v>0.56068149082138596</v>
      </c>
      <c r="AH160" s="385">
        <f t="shared" si="84"/>
        <v>0.67252021413727525</v>
      </c>
      <c r="AI160" s="385">
        <f t="shared" si="84"/>
        <v>0.59606505648877761</v>
      </c>
      <c r="AJ160" s="385">
        <f t="shared" si="84"/>
        <v>0.63492289188941897</v>
      </c>
      <c r="AK160" s="385">
        <f t="shared" si="84"/>
        <v>0.62388040616707818</v>
      </c>
      <c r="AL160" s="385">
        <f t="shared" si="84"/>
        <v>0.62763100928492399</v>
      </c>
      <c r="AM160" s="385">
        <f t="shared" si="84"/>
        <v>0.63492289188941908</v>
      </c>
      <c r="AN160" s="386">
        <f t="shared" si="84"/>
        <v>0.63492289188941908</v>
      </c>
    </row>
    <row r="161" spans="1:40">
      <c r="A161" s="129"/>
      <c r="B161" s="142" t="s">
        <v>5</v>
      </c>
      <c r="C161" s="131" t="s">
        <v>148</v>
      </c>
      <c r="D161" s="384">
        <f t="shared" ref="D161:AN161" si="85">1-(D155/D$50)</f>
        <v>0.43492857141109942</v>
      </c>
      <c r="E161" s="385">
        <f t="shared" si="85"/>
        <v>0.64409875707100928</v>
      </c>
      <c r="F161" s="385">
        <f t="shared" si="85"/>
        <v>0.62779999136857356</v>
      </c>
      <c r="G161" s="385">
        <f t="shared" si="85"/>
        <v>0.43492857141109953</v>
      </c>
      <c r="H161" s="385">
        <f t="shared" si="85"/>
        <v>0.61215044061754009</v>
      </c>
      <c r="I161" s="385">
        <f t="shared" si="85"/>
        <v>0.49705678394412467</v>
      </c>
      <c r="J161" s="385">
        <f t="shared" si="85"/>
        <v>0.49421872032286951</v>
      </c>
      <c r="K161" s="385">
        <f t="shared" si="85"/>
        <v>0.45237877539048621</v>
      </c>
      <c r="L161" s="385">
        <f t="shared" si="85"/>
        <v>0.30281527755882898</v>
      </c>
      <c r="M161" s="385">
        <f t="shared" si="85"/>
        <v>0.6425981259110658</v>
      </c>
      <c r="N161" s="385">
        <f t="shared" si="85"/>
        <v>0.38444421894049197</v>
      </c>
      <c r="O161" s="385">
        <f t="shared" si="85"/>
        <v>0.51356400439197325</v>
      </c>
      <c r="P161" s="385">
        <f t="shared" si="85"/>
        <v>0.61658240202480896</v>
      </c>
      <c r="Q161" s="385">
        <f t="shared" si="85"/>
        <v>0.61913859140613514</v>
      </c>
      <c r="R161" s="385">
        <f t="shared" si="85"/>
        <v>0.51191926220449746</v>
      </c>
      <c r="S161" s="385">
        <f t="shared" si="85"/>
        <v>0.60780555728093244</v>
      </c>
      <c r="T161" s="385">
        <f t="shared" si="85"/>
        <v>0.38444421894049186</v>
      </c>
      <c r="U161" s="385">
        <f t="shared" si="85"/>
        <v>0.5257275635197276</v>
      </c>
      <c r="V161" s="385">
        <f t="shared" si="85"/>
        <v>0.43415318252875834</v>
      </c>
      <c r="W161" s="385">
        <f t="shared" si="85"/>
        <v>0.45016328431979902</v>
      </c>
      <c r="X161" s="385">
        <f t="shared" si="85"/>
        <v>0.47851978147783392</v>
      </c>
      <c r="Y161" s="385">
        <f t="shared" si="85"/>
        <v>0.63283514779053096</v>
      </c>
      <c r="Z161" s="385">
        <f t="shared" si="85"/>
        <v>0.48332127987691131</v>
      </c>
      <c r="AA161" s="385">
        <f t="shared" si="85"/>
        <v>0.45254093897177627</v>
      </c>
      <c r="AB161" s="385">
        <f t="shared" si="85"/>
        <v>0.47742875457487199</v>
      </c>
      <c r="AC161" s="385">
        <f t="shared" si="85"/>
        <v>0.59112067856091843</v>
      </c>
      <c r="AD161" s="385">
        <f t="shared" si="85"/>
        <v>0.57981928059970278</v>
      </c>
      <c r="AE161" s="385">
        <f t="shared" si="85"/>
        <v>0.45254093897177616</v>
      </c>
      <c r="AF161" s="385">
        <f t="shared" si="85"/>
        <v>0.50347832951716787</v>
      </c>
      <c r="AG161" s="385">
        <f t="shared" si="85"/>
        <v>0.4919032364280912</v>
      </c>
      <c r="AH161" s="385">
        <f t="shared" si="85"/>
        <v>0.57498540880166382</v>
      </c>
      <c r="AI161" s="385">
        <f t="shared" si="85"/>
        <v>0.61658240202480896</v>
      </c>
      <c r="AJ161" s="385">
        <f t="shared" si="85"/>
        <v>0.59807754566306581</v>
      </c>
      <c r="AK161" s="385">
        <f t="shared" si="85"/>
        <v>0.58330892424344805</v>
      </c>
      <c r="AL161" s="385">
        <f t="shared" si="85"/>
        <v>0.62559808011314266</v>
      </c>
      <c r="AM161" s="385">
        <f t="shared" si="85"/>
        <v>0.59807754566306592</v>
      </c>
      <c r="AN161" s="386">
        <f t="shared" si="85"/>
        <v>0.59807754566306592</v>
      </c>
    </row>
    <row r="162" spans="1:40">
      <c r="A162" s="129"/>
      <c r="B162" s="142" t="s">
        <v>6</v>
      </c>
      <c r="C162" s="131" t="s">
        <v>148</v>
      </c>
      <c r="D162" s="384">
        <f t="shared" ref="D162:AN162" si="86">1-(D156/D$51)</f>
        <v>0.39691251383243775</v>
      </c>
      <c r="E162" s="385">
        <f t="shared" si="86"/>
        <v>0.64409875707100928</v>
      </c>
      <c r="F162" s="385">
        <f t="shared" si="86"/>
        <v>0.59419776013088321</v>
      </c>
      <c r="G162" s="385">
        <f t="shared" si="86"/>
        <v>0.39691251383243764</v>
      </c>
      <c r="H162" s="385">
        <f t="shared" si="86"/>
        <v>0.5475652355699796</v>
      </c>
      <c r="I162" s="385">
        <f t="shared" si="86"/>
        <v>0.44364990236119761</v>
      </c>
      <c r="J162" s="385">
        <f t="shared" si="86"/>
        <v>0.35482671592463488</v>
      </c>
      <c r="K162" s="385">
        <f t="shared" si="86"/>
        <v>0.45237877539048621</v>
      </c>
      <c r="L162" s="385">
        <f t="shared" si="86"/>
        <v>0.28568093151327523</v>
      </c>
      <c r="M162" s="385">
        <f t="shared" si="86"/>
        <v>0.6425981259110658</v>
      </c>
      <c r="N162" s="385">
        <f t="shared" si="86"/>
        <v>0.38461691211600513</v>
      </c>
      <c r="O162" s="385">
        <f t="shared" si="86"/>
        <v>0.40719224450099978</v>
      </c>
      <c r="P162" s="385">
        <f t="shared" si="86"/>
        <v>0.61658240202480896</v>
      </c>
      <c r="Q162" s="385">
        <f t="shared" si="86"/>
        <v>0.5506922665098275</v>
      </c>
      <c r="R162" s="385">
        <f t="shared" si="86"/>
        <v>0.51191926220449746</v>
      </c>
      <c r="S162" s="385">
        <f t="shared" si="86"/>
        <v>0.56358421189379215</v>
      </c>
      <c r="T162" s="385">
        <f t="shared" si="86"/>
        <v>0.38461691211600502</v>
      </c>
      <c r="U162" s="385">
        <f t="shared" si="86"/>
        <v>0.49623038376987549</v>
      </c>
      <c r="V162" s="385">
        <f t="shared" si="86"/>
        <v>0.43415318252875834</v>
      </c>
      <c r="W162" s="385">
        <f t="shared" si="86"/>
        <v>0.40060540251503263</v>
      </c>
      <c r="X162" s="385">
        <f t="shared" si="86"/>
        <v>0.4729887616684032</v>
      </c>
      <c r="Y162" s="385">
        <f t="shared" si="86"/>
        <v>0.62768451863127928</v>
      </c>
      <c r="Z162" s="385">
        <f t="shared" si="86"/>
        <v>0.45482279077136789</v>
      </c>
      <c r="AA162" s="385">
        <f t="shared" si="86"/>
        <v>0.44490250531242659</v>
      </c>
      <c r="AB162" s="385">
        <f t="shared" si="86"/>
        <v>0.47742875457487199</v>
      </c>
      <c r="AC162" s="385">
        <f t="shared" si="86"/>
        <v>0.57447646885475256</v>
      </c>
      <c r="AD162" s="385">
        <f t="shared" si="86"/>
        <v>0.57981928059970278</v>
      </c>
      <c r="AE162" s="385">
        <f t="shared" si="86"/>
        <v>0.44490250531242659</v>
      </c>
      <c r="AF162" s="385">
        <f t="shared" si="86"/>
        <v>0.44961427954512656</v>
      </c>
      <c r="AG162" s="385">
        <f t="shared" si="86"/>
        <v>0.49245958078978269</v>
      </c>
      <c r="AH162" s="385">
        <f t="shared" si="86"/>
        <v>0.45460444717441828</v>
      </c>
      <c r="AI162" s="385">
        <f t="shared" si="86"/>
        <v>0.61658240202480896</v>
      </c>
      <c r="AJ162" s="385">
        <f t="shared" si="86"/>
        <v>0.58423344882455064</v>
      </c>
      <c r="AK162" s="385">
        <f t="shared" si="86"/>
        <v>0.56712195439656798</v>
      </c>
      <c r="AL162" s="385">
        <f t="shared" si="86"/>
        <v>0.59101568340455901</v>
      </c>
      <c r="AM162" s="385">
        <f t="shared" si="86"/>
        <v>0.58423344882455086</v>
      </c>
      <c r="AN162" s="386">
        <f t="shared" si="86"/>
        <v>0.58423344882455086</v>
      </c>
    </row>
    <row r="163" spans="1:40">
      <c r="A163" s="121"/>
      <c r="B163" s="374" t="s">
        <v>7</v>
      </c>
      <c r="C163" s="122" t="s">
        <v>148</v>
      </c>
      <c r="D163" s="191">
        <f t="shared" ref="D163:AN163" si="87">1-(D157/D$52)</f>
        <v>0.38141475999757868</v>
      </c>
      <c r="E163" s="387">
        <f t="shared" si="87"/>
        <v>0.52300856209167612</v>
      </c>
      <c r="F163" s="387">
        <f t="shared" si="87"/>
        <v>0.46988582502094356</v>
      </c>
      <c r="G163" s="387">
        <f t="shared" si="87"/>
        <v>0.38141475999757879</v>
      </c>
      <c r="H163" s="387">
        <f t="shared" si="87"/>
        <v>0.71209825070322663</v>
      </c>
      <c r="I163" s="387">
        <f t="shared" si="87"/>
        <v>0.38759386285273556</v>
      </c>
      <c r="J163" s="387">
        <f t="shared" si="87"/>
        <v>0.37660305258221249</v>
      </c>
      <c r="K163" s="387">
        <f t="shared" si="87"/>
        <v>0.38361394678887939</v>
      </c>
      <c r="L163" s="387">
        <f t="shared" si="87"/>
        <v>0.28568093151327523</v>
      </c>
      <c r="M163" s="387">
        <f t="shared" si="87"/>
        <v>0.53350377069620081</v>
      </c>
      <c r="N163" s="387">
        <f t="shared" si="87"/>
        <v>0.35116431594152919</v>
      </c>
      <c r="O163" s="387">
        <f t="shared" si="87"/>
        <v>0.39704755897295962</v>
      </c>
      <c r="P163" s="387">
        <f t="shared" si="87"/>
        <v>0.52887745739174452</v>
      </c>
      <c r="Q163" s="387">
        <f t="shared" si="87"/>
        <v>0.38382302574905158</v>
      </c>
      <c r="R163" s="387">
        <f t="shared" si="87"/>
        <v>0.38027578925707717</v>
      </c>
      <c r="S163" s="387">
        <f t="shared" si="87"/>
        <v>0.46440397279391554</v>
      </c>
      <c r="T163" s="387">
        <f t="shared" si="87"/>
        <v>0.3511643159415293</v>
      </c>
      <c r="U163" s="387">
        <f t="shared" si="87"/>
        <v>0.46573844172892098</v>
      </c>
      <c r="V163" s="387">
        <f t="shared" si="87"/>
        <v>0.32511019634087213</v>
      </c>
      <c r="W163" s="387">
        <f t="shared" si="87"/>
        <v>0.34430725655868821</v>
      </c>
      <c r="X163" s="387">
        <f t="shared" si="87"/>
        <v>0.34564438252151752</v>
      </c>
      <c r="Y163" s="387">
        <f t="shared" si="87"/>
        <v>0.61736705658811886</v>
      </c>
      <c r="Z163" s="387">
        <f t="shared" si="87"/>
        <v>0.43327055020006822</v>
      </c>
      <c r="AA163" s="387">
        <f t="shared" si="87"/>
        <v>0.36233050863894478</v>
      </c>
      <c r="AB163" s="387">
        <f t="shared" si="87"/>
        <v>0.46071299742987715</v>
      </c>
      <c r="AC163" s="387">
        <f t="shared" si="87"/>
        <v>0.51859589410493634</v>
      </c>
      <c r="AD163" s="387">
        <f t="shared" si="87"/>
        <v>0.47512232792655418</v>
      </c>
      <c r="AE163" s="387">
        <f t="shared" si="87"/>
        <v>0.36233050863894467</v>
      </c>
      <c r="AF163" s="387">
        <f t="shared" si="87"/>
        <v>0.34683615840837823</v>
      </c>
      <c r="AG163" s="387">
        <f t="shared" si="87"/>
        <v>0.33997416288798332</v>
      </c>
      <c r="AH163" s="387">
        <f t="shared" si="87"/>
        <v>0.40185606783775452</v>
      </c>
      <c r="AI163" s="387">
        <f t="shared" si="87"/>
        <v>0.52887745739174452</v>
      </c>
      <c r="AJ163" s="387">
        <f t="shared" si="87"/>
        <v>0.53100840040237596</v>
      </c>
      <c r="AK163" s="387">
        <f t="shared" si="87"/>
        <v>0.51263993797621565</v>
      </c>
      <c r="AL163" s="387">
        <f t="shared" si="87"/>
        <v>0.46423906442845653</v>
      </c>
      <c r="AM163" s="387">
        <f t="shared" si="87"/>
        <v>0.53100840040237585</v>
      </c>
      <c r="AN163" s="388">
        <f t="shared" si="87"/>
        <v>0.53100840040237585</v>
      </c>
    </row>
    <row r="164" spans="1:40">
      <c r="A164" s="334" t="s">
        <v>281</v>
      </c>
      <c r="B164" s="359" t="s">
        <v>287</v>
      </c>
      <c r="C164" s="443" t="s">
        <v>286</v>
      </c>
      <c r="D164" s="420">
        <f>('Energy Efficiency Measures-DBT'!D$57*Detached!D$21+'Energy Efficiency Measures-DBT'!D$16*Detached!D$14+'Energy Efficiency Measures-DBT'!D$36*Detached!D$12)/D$4</f>
        <v>170.13529528212823</v>
      </c>
      <c r="E164" s="421">
        <f>('Energy Efficiency Measures-DBT'!E$57*Detached!E$21+'Energy Efficiency Measures-DBT'!E$16*Detached!E$14+'Energy Efficiency Measures-DBT'!E$36*Detached!E$12)/E$4</f>
        <v>222.45406154278734</v>
      </c>
      <c r="F164" s="421">
        <f>('Energy Efficiency Measures-DBT'!F$57*Detached!F$21+'Energy Efficiency Measures-DBT'!F$16*Detached!F$14+'Energy Efficiency Measures-DBT'!F$36*Detached!F$12)/F$4</f>
        <v>186.0393276184688</v>
      </c>
      <c r="G164" s="421">
        <f>('Energy Efficiency Measures-DBT'!G$57*Detached!G$21+'Energy Efficiency Measures-DBT'!G$16*Detached!G$14+'Energy Efficiency Measures-DBT'!G$36*Detached!G$12)/G$4</f>
        <v>170.13529528212823</v>
      </c>
      <c r="H164" s="421">
        <f>('Energy Efficiency Measures-DBT'!H$57*Detached!H$21+'Energy Efficiency Measures-DBT'!H$16*Detached!H$14+'Energy Efficiency Measures-DBT'!H$36*Detached!H$12)/H$4</f>
        <v>252.73410602692474</v>
      </c>
      <c r="I164" s="421">
        <f>('Energy Efficiency Measures-DBT'!I$57*Detached!I$21+'Energy Efficiency Measures-DBT'!I$16*Detached!I$14+'Energy Efficiency Measures-DBT'!I$36*Detached!I$12)/I$4</f>
        <v>177.54413425809216</v>
      </c>
      <c r="J164" s="421">
        <f>('Energy Efficiency Measures-DBT'!J$57*Detached!J$21+'Energy Efficiency Measures-DBT'!J$16*Detached!J$14+'Energy Efficiency Measures-DBT'!J$36*Detached!J$12)/J$4</f>
        <v>190.39033033210356</v>
      </c>
      <c r="K164" s="421">
        <f>('Energy Efficiency Measures-DBT'!K$57*Detached!K$21+'Energy Efficiency Measures-DBT'!K$16*Detached!K$14+'Energy Efficiency Measures-DBT'!K$36*Detached!K$12)/K$4</f>
        <v>176.85791299415141</v>
      </c>
      <c r="L164" s="421">
        <f>('Energy Efficiency Measures-DBT'!L$57*Detached!L$21+'Energy Efficiency Measures-DBT'!L$16*Detached!L$14+'Energy Efficiency Measures-DBT'!L$36*Detached!L$12)/L$4</f>
        <v>149.47637372661083</v>
      </c>
      <c r="M164" s="421">
        <f>('Energy Efficiency Measures-DBT'!M$57*Detached!M$21+'Energy Efficiency Measures-DBT'!M$16*Detached!M$14+'Energy Efficiency Measures-DBT'!M$36*Detached!M$12)/M$4</f>
        <v>236.28289459786262</v>
      </c>
      <c r="N164" s="421">
        <f>('Energy Efficiency Measures-DBT'!N$57*Detached!N$21+'Energy Efficiency Measures-DBT'!N$16*Detached!N$14+'Energy Efficiency Measures-DBT'!N$36*Detached!N$12)/N$4</f>
        <v>225.43093238497488</v>
      </c>
      <c r="O164" s="421">
        <f>('Energy Efficiency Measures-DBT'!O$57*Detached!O$21+'Energy Efficiency Measures-DBT'!O$16*Detached!O$14+'Energy Efficiency Measures-DBT'!O$36*Detached!O$12)/O$4</f>
        <v>220.12967329641484</v>
      </c>
      <c r="P164" s="421">
        <f>('Energy Efficiency Measures-DBT'!P$57*Detached!P$21+'Energy Efficiency Measures-DBT'!P$16*Detached!P$14+'Energy Efficiency Measures-DBT'!P$36*Detached!P$12)/P$4</f>
        <v>252.73410602692474</v>
      </c>
      <c r="Q164" s="421">
        <f>('Energy Efficiency Measures-DBT'!Q$57*Detached!Q$21+'Energy Efficiency Measures-DBT'!Q$16*Detached!Q$14+'Energy Efficiency Measures-DBT'!Q$36*Detached!Q$12)/Q$4</f>
        <v>175.37540008635605</v>
      </c>
      <c r="R164" s="421">
        <f>('Energy Efficiency Measures-DBT'!R$57*Detached!R$21+'Energy Efficiency Measures-DBT'!R$16*Detached!R$14+'Energy Efficiency Measures-DBT'!R$36*Detached!R$12)/R$4</f>
        <v>140.22708020855467</v>
      </c>
      <c r="S164" s="421">
        <f>('Energy Efficiency Measures-DBT'!S$57*Detached!S$21+'Energy Efficiency Measures-DBT'!S$16*Detached!S$14+'Energy Efficiency Measures-DBT'!S$36*Detached!S$12)/S$4</f>
        <v>197.45385343418786</v>
      </c>
      <c r="T164" s="421">
        <f>('Energy Efficiency Measures-DBT'!T$57*Detached!T$21+'Energy Efficiency Measures-DBT'!T$16*Detached!T$14+'Energy Efficiency Measures-DBT'!T$36*Detached!T$12)/T$4</f>
        <v>220.18093238497488</v>
      </c>
      <c r="U164" s="421">
        <f>('Energy Efficiency Measures-DBT'!U$57*Detached!U$21+'Energy Efficiency Measures-DBT'!U$16*Detached!U$14+'Energy Efficiency Measures-DBT'!U$36*Detached!U$12)/U$4</f>
        <v>224.39599132769754</v>
      </c>
      <c r="V164" s="421">
        <f>('Energy Efficiency Measures-DBT'!V$57*Detached!V$21+'Energy Efficiency Measures-DBT'!V$16*Detached!V$14+'Energy Efficiency Measures-DBT'!V$36*Detached!V$12)/V$4</f>
        <v>136.62322063487869</v>
      </c>
      <c r="W164" s="421">
        <f>('Energy Efficiency Measures-DBT'!W$57*Detached!W$21+'Energy Efficiency Measures-DBT'!W$16*Detached!W$14+'Energy Efficiency Measures-DBT'!W$36*Detached!W$12)/W$4</f>
        <v>236.71044150831045</v>
      </c>
      <c r="X164" s="421">
        <f>('Energy Efficiency Measures-DBT'!X$57*Detached!X$21+'Energy Efficiency Measures-DBT'!X$16*Detached!X$14+'Energy Efficiency Measures-DBT'!X$36*Detached!X$12)/X$4</f>
        <v>137.22580015448901</v>
      </c>
      <c r="Y164" s="421">
        <f>('Energy Efficiency Measures-DBT'!Y$57*Detached!Y$21+'Energy Efficiency Measures-DBT'!Y$16*Detached!Y$14+'Energy Efficiency Measures-DBT'!Y$36*Detached!Y$12)/Y$4</f>
        <v>240.13803823314348</v>
      </c>
      <c r="Z164" s="421">
        <f>('Energy Efficiency Measures-DBT'!Z$57*Detached!Z$21+'Energy Efficiency Measures-DBT'!Z$16*Detached!Z$14+'Energy Efficiency Measures-DBT'!Z$36*Detached!Z$12)/Z$4</f>
        <v>200.62420079293557</v>
      </c>
      <c r="AA164" s="421">
        <f>('Energy Efficiency Measures-DBT'!AA$57*Detached!AA$21+'Energy Efficiency Measures-DBT'!AA$16*Detached!AA$14+'Energy Efficiency Measures-DBT'!AA$36*Detached!AA$12)/AA$4</f>
        <v>190.54517567349927</v>
      </c>
      <c r="AB164" s="421">
        <f>('Energy Efficiency Measures-DBT'!AB$57*Detached!AB$21+'Energy Efficiency Measures-DBT'!AB$16*Detached!AB$14+'Energy Efficiency Measures-DBT'!AB$36*Detached!AB$12)/AB$4</f>
        <v>142.19227670661499</v>
      </c>
      <c r="AC164" s="421">
        <f>('Energy Efficiency Measures-DBT'!AC$57*Detached!AC$21+'Energy Efficiency Measures-DBT'!AC$16*Detached!AC$14+'Energy Efficiency Measures-DBT'!AC$36*Detached!AC$12)/AC$4</f>
        <v>229.07515237331927</v>
      </c>
      <c r="AD164" s="421">
        <f>('Energy Efficiency Measures-DBT'!AD$57*Detached!AD$21+'Energy Efficiency Measures-DBT'!AD$16*Detached!AD$14+'Energy Efficiency Measures-DBT'!AD$36*Detached!AD$12)/AD$4</f>
        <v>173.54385893726328</v>
      </c>
      <c r="AE164" s="421">
        <f>('Energy Efficiency Measures-DBT'!AE$57*Detached!AE$21+'Energy Efficiency Measures-DBT'!AE$16*Detached!AE$14+'Energy Efficiency Measures-DBT'!AE$36*Detached!AE$12)/AE$4</f>
        <v>190.54517567349927</v>
      </c>
      <c r="AF164" s="421">
        <f>('Energy Efficiency Measures-DBT'!AF$57*Detached!AF$21+'Energy Efficiency Measures-DBT'!AF$16*Detached!AF$14+'Energy Efficiency Measures-DBT'!AF$36*Detached!AF$12)/AF$4</f>
        <v>137.7372311950794</v>
      </c>
      <c r="AG164" s="421">
        <f>('Energy Efficiency Measures-DBT'!AG$57*Detached!AG$21+'Energy Efficiency Measures-DBT'!AG$16*Detached!AG$14+'Energy Efficiency Measures-DBT'!AG$36*Detached!AG$12)/AG$4</f>
        <v>157.78364862205683</v>
      </c>
      <c r="AH164" s="421">
        <f>('Energy Efficiency Measures-DBT'!AH$57*Detached!AH$21+'Energy Efficiency Measures-DBT'!AH$16*Detached!AH$14+'Energy Efficiency Measures-DBT'!AH$36*Detached!AH$12)/AH$4</f>
        <v>247.7274932510181</v>
      </c>
      <c r="AI164" s="421">
        <f>('Energy Efficiency Measures-DBT'!AI$57*Detached!AI$21+'Energy Efficiency Measures-DBT'!AI$16*Detached!AI$14+'Energy Efficiency Measures-DBT'!AI$36*Detached!AI$12)/AI$4</f>
        <v>142.03983155554684</v>
      </c>
      <c r="AJ164" s="421">
        <f>('Energy Efficiency Measures-DBT'!AJ$57*Detached!AJ$21+'Energy Efficiency Measures-DBT'!AJ$16*Detached!AJ$14+'Energy Efficiency Measures-DBT'!AJ$36*Detached!AJ$12)/AJ$4</f>
        <v>175.37540008635605</v>
      </c>
      <c r="AK164" s="421">
        <f>('Energy Efficiency Measures-DBT'!AK$57*Detached!AK$21+'Energy Efficiency Measures-DBT'!AK$16*Detached!AK$14+'Energy Efficiency Measures-DBT'!AK$36*Detached!AK$12)/AK$4</f>
        <v>142.03983155554684</v>
      </c>
      <c r="AL164" s="421">
        <f>('Energy Efficiency Measures-DBT'!AL$57*Detached!AL$21+'Energy Efficiency Measures-DBT'!AL$16*Detached!AL$14+'Energy Efficiency Measures-DBT'!AL$36*Detached!AL$12)/AL$4</f>
        <v>175.37540008635605</v>
      </c>
      <c r="AM164" s="421">
        <f>('Energy Efficiency Measures-DBT'!AM$57*Detached!AM$21+'Energy Efficiency Measures-DBT'!AM$16*Detached!AM$14+'Energy Efficiency Measures-DBT'!AM$36*Detached!AM$12)/AM$4</f>
        <v>175.37540008635605</v>
      </c>
      <c r="AN164" s="422">
        <f>('Energy Efficiency Measures-DBT'!AN$57*Detached!AN$21+'Energy Efficiency Measures-DBT'!AN$16*Detached!AN$14+'Energy Efficiency Measures-DBT'!AN$36*Detached!AN$12)/AN$4</f>
        <v>175.37540008635605</v>
      </c>
    </row>
    <row r="165" spans="1:40">
      <c r="A165" s="407"/>
      <c r="B165" s="347" t="s">
        <v>291</v>
      </c>
      <c r="C165" s="450" t="s">
        <v>292</v>
      </c>
      <c r="D165" s="451">
        <f t="shared" ref="D165:AN165" si="88">PMT(0.12,20,-D166,0,1)/(D40-D146)/3.6*1000</f>
        <v>46.082699087209313</v>
      </c>
      <c r="E165" s="452">
        <f t="shared" si="88"/>
        <v>50.071013948622294</v>
      </c>
      <c r="F165" s="452">
        <f t="shared" si="88"/>
        <v>46.947311554291986</v>
      </c>
      <c r="G165" s="452">
        <f t="shared" si="88"/>
        <v>47.300277581184979</v>
      </c>
      <c r="H165" s="452">
        <f t="shared" si="88"/>
        <v>169.01006658578888</v>
      </c>
      <c r="I165" s="452">
        <f t="shared" si="88"/>
        <v>64.078169450690979</v>
      </c>
      <c r="J165" s="452">
        <f t="shared" si="88"/>
        <v>38.834293873520416</v>
      </c>
      <c r="K165" s="452">
        <f t="shared" si="88"/>
        <v>89.081813541176771</v>
      </c>
      <c r="L165" s="452">
        <f t="shared" si="88"/>
        <v>80.032293238576642</v>
      </c>
      <c r="M165" s="452">
        <f t="shared" si="88"/>
        <v>65.823315187590097</v>
      </c>
      <c r="N165" s="452">
        <f t="shared" si="88"/>
        <v>77.60518101780265</v>
      </c>
      <c r="O165" s="452">
        <f t="shared" si="88"/>
        <v>44.75672823217581</v>
      </c>
      <c r="P165" s="452">
        <f t="shared" si="88"/>
        <v>78.303628400183712</v>
      </c>
      <c r="Q165" s="452">
        <f t="shared" si="88"/>
        <v>45.817491001189858</v>
      </c>
      <c r="R165" s="452">
        <f t="shared" si="88"/>
        <v>38.681475956835065</v>
      </c>
      <c r="S165" s="452">
        <f t="shared" si="88"/>
        <v>42.196986531013408</v>
      </c>
      <c r="T165" s="452">
        <f t="shared" si="88"/>
        <v>89.111224168781476</v>
      </c>
      <c r="U165" s="452">
        <f t="shared" si="88"/>
        <v>67.625689985182021</v>
      </c>
      <c r="V165" s="452">
        <f t="shared" si="88"/>
        <v>43.02457283522989</v>
      </c>
      <c r="W165" s="452">
        <f t="shared" si="88"/>
        <v>61.361073106878067</v>
      </c>
      <c r="X165" s="452">
        <f t="shared" si="88"/>
        <v>34.420935786447828</v>
      </c>
      <c r="Y165" s="452">
        <f t="shared" si="88"/>
        <v>192.63908820870398</v>
      </c>
      <c r="Z165" s="452">
        <f t="shared" si="88"/>
        <v>41.733010211275896</v>
      </c>
      <c r="AA165" s="452">
        <f t="shared" si="88"/>
        <v>76.767102477026299</v>
      </c>
      <c r="AB165" s="452">
        <f t="shared" si="88"/>
        <v>25.03883777952927</v>
      </c>
      <c r="AC165" s="452">
        <f t="shared" si="88"/>
        <v>97.053280301729544</v>
      </c>
      <c r="AD165" s="452">
        <f t="shared" si="88"/>
        <v>35.497193087620786</v>
      </c>
      <c r="AE165" s="452">
        <f t="shared" si="88"/>
        <v>79.615551172904219</v>
      </c>
      <c r="AF165" s="452">
        <f t="shared" si="88"/>
        <v>40.746785678019378</v>
      </c>
      <c r="AG165" s="452">
        <f t="shared" si="88"/>
        <v>31.946413120952379</v>
      </c>
      <c r="AH165" s="452">
        <f t="shared" si="88"/>
        <v>42.913223900014671</v>
      </c>
      <c r="AI165" s="452">
        <f t="shared" si="88"/>
        <v>44.007650423585218</v>
      </c>
      <c r="AJ165" s="452">
        <f t="shared" si="88"/>
        <v>43.719223962421417</v>
      </c>
      <c r="AK165" s="452">
        <f t="shared" si="88"/>
        <v>44.904126724162907</v>
      </c>
      <c r="AL165" s="452">
        <f t="shared" si="88"/>
        <v>45.641821826203689</v>
      </c>
      <c r="AM165" s="452">
        <f t="shared" si="88"/>
        <v>47.542825611535307</v>
      </c>
      <c r="AN165" s="453">
        <f t="shared" si="88"/>
        <v>47.542825611535307</v>
      </c>
    </row>
    <row r="166" spans="1:40">
      <c r="A166" s="404"/>
      <c r="B166" s="338" t="s">
        <v>287</v>
      </c>
      <c r="C166" s="444" t="s">
        <v>288</v>
      </c>
      <c r="D166" s="423">
        <f t="shared" ref="D166:AN166" si="89">D164*D$4</f>
        <v>25484.672214869541</v>
      </c>
      <c r="E166" s="424">
        <f t="shared" si="89"/>
        <v>31675.836395516693</v>
      </c>
      <c r="F166" s="424">
        <f t="shared" si="89"/>
        <v>14791.997868754952</v>
      </c>
      <c r="G166" s="424">
        <f t="shared" si="89"/>
        <v>25484.672214869541</v>
      </c>
      <c r="H166" s="424">
        <f t="shared" si="89"/>
        <v>28907.485686288397</v>
      </c>
      <c r="I166" s="424">
        <f t="shared" si="89"/>
        <v>22160.44142836818</v>
      </c>
      <c r="J166" s="424">
        <f t="shared" si="89"/>
        <v>25551.977325560656</v>
      </c>
      <c r="K166" s="424">
        <f t="shared" si="89"/>
        <v>29557.378709147553</v>
      </c>
      <c r="L166" s="424">
        <f t="shared" si="89"/>
        <v>15935.910507209797</v>
      </c>
      <c r="M166" s="424">
        <f t="shared" si="89"/>
        <v>32774.868241001721</v>
      </c>
      <c r="N166" s="424">
        <f t="shared" si="89"/>
        <v>27333.500551678204</v>
      </c>
      <c r="O166" s="424">
        <f t="shared" si="89"/>
        <v>30714.951692252791</v>
      </c>
      <c r="P166" s="424">
        <f t="shared" si="89"/>
        <v>28907.485686288397</v>
      </c>
      <c r="Q166" s="424">
        <f t="shared" si="89"/>
        <v>15073.754367185669</v>
      </c>
      <c r="R166" s="424">
        <f t="shared" si="89"/>
        <v>16327.533948021452</v>
      </c>
      <c r="S166" s="424">
        <f t="shared" si="89"/>
        <v>29050.361904359324</v>
      </c>
      <c r="T166" s="424">
        <f t="shared" si="89"/>
        <v>26696.938051678204</v>
      </c>
      <c r="U166" s="424">
        <f t="shared" si="89"/>
        <v>30770.300310810526</v>
      </c>
      <c r="V166" s="424">
        <f t="shared" si="89"/>
        <v>16495.933769792216</v>
      </c>
      <c r="W166" s="424">
        <f t="shared" si="89"/>
        <v>25903.994994405675</v>
      </c>
      <c r="X166" s="424">
        <f t="shared" si="89"/>
        <v>16467.096018538679</v>
      </c>
      <c r="Y166" s="424">
        <f t="shared" si="89"/>
        <v>29673.254037648479</v>
      </c>
      <c r="Z166" s="424">
        <f t="shared" si="89"/>
        <v>28746.990327167958</v>
      </c>
      <c r="AA166" s="424">
        <f t="shared" si="89"/>
        <v>29701.229258106698</v>
      </c>
      <c r="AB166" s="424">
        <f t="shared" si="89"/>
        <v>17112.452849946741</v>
      </c>
      <c r="AC166" s="424">
        <f t="shared" si="89"/>
        <v>33231.337332089141</v>
      </c>
      <c r="AD166" s="424">
        <f t="shared" si="89"/>
        <v>15758.255732378759</v>
      </c>
      <c r="AE166" s="424">
        <f t="shared" si="89"/>
        <v>29701.229258106698</v>
      </c>
      <c r="AF166" s="424">
        <f t="shared" si="89"/>
        <v>16442.83926152017</v>
      </c>
      <c r="AG166" s="424">
        <f t="shared" si="89"/>
        <v>18964.734643486241</v>
      </c>
      <c r="AH166" s="424">
        <f t="shared" si="89"/>
        <v>25289.880467263312</v>
      </c>
      <c r="AI166" s="424">
        <f t="shared" si="89"/>
        <v>16246.380285284313</v>
      </c>
      <c r="AJ166" s="424">
        <f t="shared" si="89"/>
        <v>15073.754367185669</v>
      </c>
      <c r="AK166" s="424">
        <f t="shared" si="89"/>
        <v>16246.380285284313</v>
      </c>
      <c r="AL166" s="424">
        <f t="shared" si="89"/>
        <v>15073.754367185669</v>
      </c>
      <c r="AM166" s="424">
        <f t="shared" si="89"/>
        <v>15073.754367185669</v>
      </c>
      <c r="AN166" s="425">
        <f t="shared" si="89"/>
        <v>15073.754367185669</v>
      </c>
    </row>
    <row r="168" spans="1:40"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1:40"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1:40"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1:40"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1:40"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1:40"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1:40"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1:40"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1:40"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="5" customFormat="1"/>
    <row r="178" s="5" customFormat="1"/>
    <row r="179" s="5" customFormat="1"/>
    <row r="180" s="5" customFormat="1"/>
    <row r="181" s="5" customFormat="1"/>
    <row r="182" s="5" customFormat="1"/>
    <row r="183" s="5" customFormat="1"/>
    <row r="184" s="5" customFormat="1"/>
    <row r="185" s="5" customFormat="1"/>
    <row r="186" s="5" customFormat="1"/>
    <row r="187" s="5" customFormat="1"/>
    <row r="188" s="5" customFormat="1"/>
    <row r="189" s="5" customFormat="1"/>
    <row r="190" s="5" customFormat="1"/>
    <row r="191" s="5" customFormat="1"/>
    <row r="192" s="5" customFormat="1"/>
    <row r="193" s="5" customFormat="1"/>
    <row r="194" s="5" customFormat="1"/>
    <row r="195" s="5" customFormat="1"/>
    <row r="196" s="5" customFormat="1"/>
    <row r="197" s="5" customFormat="1"/>
    <row r="198" s="5" customFormat="1"/>
    <row r="199" s="5" customFormat="1"/>
    <row r="200" s="5" customFormat="1"/>
    <row r="201" s="5" customFormat="1"/>
    <row r="202" s="5" customFormat="1"/>
    <row r="203" s="5" customFormat="1"/>
    <row r="204" s="5" customFormat="1"/>
    <row r="205" s="5" customFormat="1"/>
    <row r="206" s="5" customFormat="1"/>
    <row r="207" s="5" customFormat="1"/>
    <row r="208" s="5" customFormat="1"/>
    <row r="209" s="5" customFormat="1"/>
    <row r="210" s="5" customFormat="1"/>
    <row r="211" s="5" customFormat="1"/>
    <row r="212" s="5" customFormat="1"/>
    <row r="213" s="5" customFormat="1"/>
    <row r="214" s="5" customFormat="1"/>
    <row r="215" s="5" customFormat="1"/>
    <row r="216" s="5" customFormat="1"/>
    <row r="217" s="5" customFormat="1"/>
    <row r="218" s="5" customFormat="1"/>
    <row r="219" s="5" customFormat="1"/>
    <row r="220" s="5" customFormat="1"/>
    <row r="221" s="5" customFormat="1"/>
    <row r="222" s="5" customFormat="1"/>
    <row r="223" s="5" customFormat="1"/>
    <row r="224" s="5" customFormat="1"/>
    <row r="225" s="5" customFormat="1"/>
    <row r="226" s="5" customFormat="1"/>
    <row r="227" s="5" customFormat="1"/>
    <row r="228" s="5" customFormat="1"/>
    <row r="229" s="5" customFormat="1"/>
    <row r="230" s="5" customFormat="1"/>
    <row r="231" s="5" customFormat="1"/>
    <row r="232" s="5" customFormat="1"/>
    <row r="233" s="5" customFormat="1"/>
    <row r="234" s="5" customFormat="1"/>
    <row r="235" s="5" customFormat="1"/>
    <row r="236" s="5" customFormat="1"/>
    <row r="237" s="5" customFormat="1"/>
    <row r="238" s="5" customFormat="1"/>
    <row r="239" s="5" customFormat="1"/>
    <row r="240" s="5" customFormat="1"/>
    <row r="241" s="5" customFormat="1"/>
    <row r="242" s="5" customFormat="1"/>
    <row r="243" s="5" customFormat="1"/>
    <row r="244" s="5" customFormat="1"/>
    <row r="245" s="5" customFormat="1"/>
    <row r="246" s="5" customFormat="1"/>
    <row r="247" s="5" customFormat="1"/>
    <row r="248" s="5" customFormat="1"/>
    <row r="249" s="5" customFormat="1"/>
    <row r="250" s="5" customFormat="1"/>
    <row r="251" s="5" customFormat="1"/>
    <row r="252" s="5" customFormat="1"/>
    <row r="253" s="5" customFormat="1"/>
    <row r="254" s="5" customFormat="1"/>
    <row r="255" s="5" customFormat="1"/>
    <row r="256" s="5" customFormat="1"/>
    <row r="257" s="5" customFormat="1"/>
    <row r="258" s="5" customFormat="1"/>
    <row r="259" s="5" customFormat="1"/>
    <row r="260" s="5" customFormat="1"/>
    <row r="261" s="5" customFormat="1"/>
    <row r="262" s="5" customFormat="1"/>
    <row r="263" s="5" customFormat="1"/>
    <row r="264" s="5" customFormat="1"/>
    <row r="265" s="5" customFormat="1"/>
    <row r="266" s="5" customFormat="1"/>
    <row r="267" s="5" customFormat="1"/>
    <row r="268" s="5" customFormat="1"/>
    <row r="269" s="5" customFormat="1"/>
    <row r="270" s="5" customFormat="1"/>
    <row r="271" s="5" customFormat="1"/>
    <row r="272" s="5" customFormat="1"/>
    <row r="273" s="5" customFormat="1"/>
    <row r="274" s="5" customFormat="1"/>
    <row r="275" s="5" customFormat="1"/>
    <row r="276" s="5" customFormat="1"/>
    <row r="277" s="5" customFormat="1"/>
    <row r="278" s="5" customFormat="1"/>
    <row r="279" s="5" customFormat="1"/>
    <row r="280" s="5" customFormat="1"/>
    <row r="281" s="5" customFormat="1"/>
    <row r="282" s="5" customFormat="1"/>
    <row r="283" s="5" customFormat="1"/>
    <row r="284" s="5" customFormat="1"/>
    <row r="285" s="5" customFormat="1"/>
    <row r="286" s="5" customFormat="1"/>
    <row r="287" s="5" customFormat="1"/>
    <row r="288" s="5" customFormat="1"/>
    <row r="289" s="5" customFormat="1"/>
    <row r="290" s="5" customFormat="1"/>
    <row r="291" s="5" customFormat="1"/>
    <row r="292" s="5" customFormat="1"/>
    <row r="293" s="5" customFormat="1"/>
    <row r="294" s="5" customFormat="1"/>
    <row r="295" s="5" customFormat="1"/>
    <row r="296" s="5" customFormat="1"/>
    <row r="297" s="5" customFormat="1"/>
    <row r="298" s="5" customFormat="1"/>
    <row r="299" s="5" customFormat="1"/>
    <row r="300" s="5" customFormat="1"/>
    <row r="301" s="5" customFormat="1"/>
    <row r="302" s="5" customFormat="1"/>
    <row r="303" s="5" customFormat="1"/>
    <row r="304" s="5" customFormat="1"/>
    <row r="305" s="5" customFormat="1"/>
    <row r="306" s="5" customFormat="1"/>
    <row r="307" s="5" customFormat="1"/>
    <row r="308" s="5" customFormat="1"/>
    <row r="309" s="5" customFormat="1"/>
    <row r="310" s="5" customFormat="1"/>
    <row r="311" s="5" customFormat="1"/>
    <row r="312" s="5" customFormat="1"/>
    <row r="313" s="5" customFormat="1"/>
    <row r="314" s="5" customFormat="1"/>
    <row r="315" s="5" customFormat="1"/>
    <row r="316" s="5" customFormat="1"/>
    <row r="317" s="5" customFormat="1"/>
    <row r="318" s="5" customFormat="1"/>
    <row r="319" s="5" customFormat="1"/>
    <row r="320" s="5" customFormat="1"/>
    <row r="321" s="5" customFormat="1"/>
    <row r="322" s="5" customFormat="1"/>
    <row r="323" s="5" customFormat="1"/>
    <row r="324" s="5" customFormat="1"/>
    <row r="325" s="5" customFormat="1"/>
    <row r="326" s="5" customFormat="1"/>
    <row r="327" s="5" customFormat="1"/>
    <row r="328" s="5" customFormat="1"/>
    <row r="329" s="5" customFormat="1"/>
    <row r="330" s="5" customFormat="1"/>
    <row r="331" s="5" customFormat="1"/>
    <row r="332" s="5" customFormat="1"/>
    <row r="333" s="5" customFormat="1"/>
    <row r="334" s="5" customFormat="1"/>
    <row r="335" s="5" customFormat="1"/>
    <row r="336" s="5" customFormat="1"/>
    <row r="337" s="5" customFormat="1"/>
    <row r="338" s="5" customFormat="1"/>
    <row r="339" s="5" customFormat="1"/>
    <row r="340" s="5" customFormat="1"/>
    <row r="341" s="5" customFormat="1"/>
    <row r="342" s="5" customFormat="1"/>
    <row r="343" s="5" customFormat="1"/>
    <row r="344" s="5" customFormat="1"/>
    <row r="345" s="5" customFormat="1"/>
    <row r="346" s="5" customFormat="1"/>
    <row r="347" s="5" customFormat="1"/>
    <row r="348" s="5" customFormat="1"/>
    <row r="349" s="5" customFormat="1"/>
    <row r="350" s="5" customFormat="1"/>
    <row r="351" s="5" customFormat="1"/>
    <row r="352" s="5" customFormat="1"/>
    <row r="353" s="5" customFormat="1"/>
    <row r="354" s="5" customFormat="1"/>
    <row r="355" s="5" customFormat="1"/>
    <row r="356" s="5" customFormat="1"/>
    <row r="357" s="5" customFormat="1"/>
    <row r="358" s="5" customFormat="1"/>
    <row r="359" s="5" customFormat="1"/>
    <row r="360" s="5" customFormat="1"/>
    <row r="361" s="5" customFormat="1"/>
    <row r="362" s="5" customFormat="1"/>
    <row r="363" s="5" customFormat="1"/>
    <row r="364" s="5" customFormat="1"/>
    <row r="365" s="5" customFormat="1"/>
    <row r="366" s="5" customFormat="1"/>
    <row r="367" s="5" customFormat="1"/>
    <row r="368" s="5" customFormat="1"/>
    <row r="369" s="5" customFormat="1"/>
    <row r="370" s="5" customFormat="1"/>
    <row r="371" s="5" customFormat="1"/>
    <row r="372" s="5" customFormat="1"/>
    <row r="373" s="5" customFormat="1"/>
    <row r="374" s="5" customFormat="1"/>
    <row r="375" s="5" customFormat="1"/>
    <row r="376" s="5" customFormat="1"/>
    <row r="377" s="5" customFormat="1"/>
    <row r="378" s="5" customFormat="1"/>
    <row r="379" s="5" customFormat="1"/>
    <row r="380" s="5" customFormat="1"/>
    <row r="381" s="5" customFormat="1"/>
    <row r="382" s="5" customFormat="1"/>
    <row r="383" s="5" customFormat="1"/>
    <row r="384" s="5" customFormat="1"/>
    <row r="385" s="5" customFormat="1"/>
    <row r="386" s="5" customFormat="1"/>
    <row r="387" s="5" customFormat="1"/>
    <row r="388" s="5" customFormat="1"/>
    <row r="389" s="5" customFormat="1"/>
    <row r="390" s="5" customFormat="1"/>
    <row r="391" s="5" customFormat="1"/>
    <row r="392" s="5" customFormat="1"/>
    <row r="393" s="5" customFormat="1"/>
    <row r="394" s="5" customFormat="1"/>
    <row r="395" s="5" customFormat="1"/>
    <row r="396" s="5" customFormat="1"/>
    <row r="397" s="5" customFormat="1"/>
  </sheetData>
  <mergeCells count="5">
    <mergeCell ref="A23:B23"/>
    <mergeCell ref="A61:B61"/>
    <mergeCell ref="A97:B97"/>
    <mergeCell ref="A133:B133"/>
    <mergeCell ref="A59:AN59"/>
  </mergeCell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3">
    <tabColor theme="6"/>
  </sheetPr>
  <dimension ref="A1:AN400"/>
  <sheetViews>
    <sheetView zoomScale="70" zoomScaleNormal="70" workbookViewId="0">
      <pane ySplit="2" topLeftCell="A3" activePane="bottomLeft" state="frozen"/>
      <selection activeCell="J18" sqref="J18"/>
      <selection pane="bottomLeft" activeCell="B14" sqref="B14"/>
    </sheetView>
  </sheetViews>
  <sheetFormatPr defaultColWidth="9.109375" defaultRowHeight="14.4"/>
  <cols>
    <col min="1" max="1" width="40.44140625" style="5" customWidth="1"/>
    <col min="2" max="2" width="28.88671875" style="5" bestFit="1" customWidth="1"/>
    <col min="3" max="3" width="19.109375" style="5" customWidth="1"/>
    <col min="4" max="40" width="9.33203125" style="164" customWidth="1"/>
    <col min="41" max="16384" width="9.109375" style="5"/>
  </cols>
  <sheetData>
    <row r="1" spans="1:40" ht="21">
      <c r="A1" s="3" t="s">
        <v>124</v>
      </c>
      <c r="B1" s="3" t="s">
        <v>85</v>
      </c>
      <c r="C1" s="3" t="s">
        <v>199</v>
      </c>
      <c r="D1" s="163"/>
      <c r="E1" s="163"/>
      <c r="F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U1" s="163"/>
      <c r="V1" s="163"/>
      <c r="W1" s="163"/>
      <c r="X1" s="163"/>
      <c r="Y1" s="163"/>
      <c r="Z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</row>
    <row r="2" spans="1:40">
      <c r="A2" s="344" t="s">
        <v>253</v>
      </c>
      <c r="B2" s="158"/>
      <c r="C2" s="159" t="s">
        <v>1</v>
      </c>
      <c r="D2" s="165" t="s">
        <v>88</v>
      </c>
      <c r="E2" s="165" t="s">
        <v>89</v>
      </c>
      <c r="F2" s="165" t="s">
        <v>90</v>
      </c>
      <c r="G2" s="165" t="s">
        <v>91</v>
      </c>
      <c r="H2" s="165" t="s">
        <v>92</v>
      </c>
      <c r="I2" s="165" t="s">
        <v>93</v>
      </c>
      <c r="J2" s="165" t="s">
        <v>94</v>
      </c>
      <c r="K2" s="165" t="s">
        <v>95</v>
      </c>
      <c r="L2" s="165" t="s">
        <v>96</v>
      </c>
      <c r="M2" s="165" t="s">
        <v>97</v>
      </c>
      <c r="N2" s="165" t="s">
        <v>98</v>
      </c>
      <c r="O2" s="165" t="s">
        <v>99</v>
      </c>
      <c r="P2" s="165" t="s">
        <v>205</v>
      </c>
      <c r="Q2" s="165" t="s">
        <v>118</v>
      </c>
      <c r="R2" s="165" t="s">
        <v>100</v>
      </c>
      <c r="S2" s="165" t="s">
        <v>101</v>
      </c>
      <c r="T2" s="165" t="s">
        <v>102</v>
      </c>
      <c r="U2" s="165" t="s">
        <v>103</v>
      </c>
      <c r="V2" s="165" t="s">
        <v>104</v>
      </c>
      <c r="W2" s="165" t="s">
        <v>105</v>
      </c>
      <c r="X2" s="165" t="s">
        <v>106</v>
      </c>
      <c r="Y2" s="165" t="s">
        <v>107</v>
      </c>
      <c r="Z2" s="165" t="s">
        <v>108</v>
      </c>
      <c r="AA2" s="165" t="s">
        <v>109</v>
      </c>
      <c r="AB2" s="165" t="s">
        <v>110</v>
      </c>
      <c r="AC2" s="165" t="s">
        <v>111</v>
      </c>
      <c r="AD2" s="165" t="s">
        <v>112</v>
      </c>
      <c r="AE2" s="165" t="s">
        <v>113</v>
      </c>
      <c r="AF2" s="165" t="s">
        <v>114</v>
      </c>
      <c r="AG2" s="165" t="s">
        <v>115</v>
      </c>
      <c r="AH2" s="165" t="s">
        <v>52</v>
      </c>
      <c r="AI2" s="165" t="s">
        <v>116</v>
      </c>
      <c r="AJ2" s="165" t="s">
        <v>117</v>
      </c>
      <c r="AK2" s="165" t="s">
        <v>119</v>
      </c>
      <c r="AL2" s="165" t="s">
        <v>120</v>
      </c>
      <c r="AM2" s="165" t="s">
        <v>121</v>
      </c>
      <c r="AN2" s="166" t="s">
        <v>122</v>
      </c>
    </row>
    <row r="3" spans="1:40">
      <c r="A3" s="147" t="s">
        <v>86</v>
      </c>
      <c r="B3" s="116"/>
      <c r="C3" s="117" t="s">
        <v>125</v>
      </c>
      <c r="D3" s="167">
        <f>LOOKUP(D2,'Data by dwelling type'!$A$4:$A$40,'Data by dwelling type'!$AT$4:$AT$40)</f>
        <v>6</v>
      </c>
      <c r="E3" s="168">
        <f>LOOKUP(E2,'Data by dwelling type'!$A$4:$A$40,'Data by dwelling type'!$AT$4:$AT$40)</f>
        <v>6</v>
      </c>
      <c r="F3" s="168">
        <f>LOOKUP(F2,'Data by dwelling type'!$A$4:$A$40,'Data by dwelling type'!$AT$4:$AT$40)</f>
        <v>6</v>
      </c>
      <c r="G3" s="168">
        <f>LOOKUP(G2,'Data by dwelling type'!$A$4:$A$40,'Data by dwelling type'!$AT$4:$AT$40)</f>
        <v>6</v>
      </c>
      <c r="H3" s="168">
        <f>LOOKUP(H2,'Data by dwelling type'!$A$4:$A$40,'Data by dwelling type'!$AT$4:$AT$40)</f>
        <v>6</v>
      </c>
      <c r="I3" s="168">
        <f>LOOKUP(I2,'Data by dwelling type'!$A$4:$A$40,'Data by dwelling type'!$AT$4:$AT$40)</f>
        <v>6</v>
      </c>
      <c r="J3" s="168">
        <f>LOOKUP(J2,'Data by dwelling type'!$A$4:$A$40,'Data by dwelling type'!$AT$4:$AT$40)</f>
        <v>6</v>
      </c>
      <c r="K3" s="168">
        <f>LOOKUP(K2,'Data by dwelling type'!$A$4:$A$40,'Data by dwelling type'!$AT$4:$AT$40)</f>
        <v>6</v>
      </c>
      <c r="L3" s="168">
        <f>LOOKUP(L2,'Data by dwelling type'!$A$4:$A$40,'Data by dwelling type'!$AT$4:$AT$40)</f>
        <v>6</v>
      </c>
      <c r="M3" s="168">
        <f>LOOKUP(M2,'Data by dwelling type'!$A$4:$A$40,'Data by dwelling type'!$AT$4:$AT$40)</f>
        <v>6</v>
      </c>
      <c r="N3" s="168">
        <f>LOOKUP(N2,'Data by dwelling type'!$A$4:$A$40,'Data by dwelling type'!$AT$4:$AT$40)</f>
        <v>6</v>
      </c>
      <c r="O3" s="168">
        <f>LOOKUP(O2,'Data by dwelling type'!$A$4:$A$40,'Data by dwelling type'!$AT$4:$AT$40)</f>
        <v>6</v>
      </c>
      <c r="P3" s="168">
        <f>LOOKUP(P2,'Data by dwelling type'!$A$4:$A$40,'Data by dwelling type'!$AT$4:$AT$40)</f>
        <v>4</v>
      </c>
      <c r="Q3" s="168">
        <f>LOOKUP(Q2,'Data by dwelling type'!$A$4:$A$40,'Data by dwelling type'!$AT$4:$AT$40)</f>
        <v>6</v>
      </c>
      <c r="R3" s="168">
        <f>LOOKUP(R2,'Data by dwelling type'!$A$4:$A$40,'Data by dwelling type'!$AT$4:$AT$40)</f>
        <v>6</v>
      </c>
      <c r="S3" s="168">
        <f>LOOKUP(S2,'Data by dwelling type'!$A$4:$A$40,'Data by dwelling type'!$AT$4:$AT$40)</f>
        <v>6</v>
      </c>
      <c r="T3" s="168">
        <f>LOOKUP(T2,'Data by dwelling type'!$A$4:$A$40,'Data by dwelling type'!$AT$4:$AT$40)</f>
        <v>6</v>
      </c>
      <c r="U3" s="168">
        <f>LOOKUP(U2,'Data by dwelling type'!$A$4:$A$40,'Data by dwelling type'!$AT$4:$AT$40)</f>
        <v>6</v>
      </c>
      <c r="V3" s="168">
        <f>LOOKUP(V2,'Data by dwelling type'!$A$4:$A$40,'Data by dwelling type'!$AT$4:$AT$40)</f>
        <v>6</v>
      </c>
      <c r="W3" s="168">
        <f>LOOKUP(W2,'Data by dwelling type'!$A$4:$A$40,'Data by dwelling type'!$AT$4:$AT$40)</f>
        <v>4</v>
      </c>
      <c r="X3" s="168">
        <f>LOOKUP(X2,'Data by dwelling type'!$A$4:$A$40,'Data by dwelling type'!$AT$4:$AT$40)</f>
        <v>6</v>
      </c>
      <c r="Y3" s="168">
        <f>LOOKUP(Y2,'Data by dwelling type'!$A$4:$A$40,'Data by dwelling type'!$AT$4:$AT$40)</f>
        <v>6</v>
      </c>
      <c r="Z3" s="168">
        <f>LOOKUP(Z2,'Data by dwelling type'!$A$4:$A$40,'Data by dwelling type'!$AT$4:$AT$40)</f>
        <v>6</v>
      </c>
      <c r="AA3" s="168">
        <f>LOOKUP(AA2,'Data by dwelling type'!$A$4:$A$40,'Data by dwelling type'!$AT$4:$AT$40)</f>
        <v>6</v>
      </c>
      <c r="AB3" s="168">
        <f>LOOKUP(AB2,'Data by dwelling type'!$A$4:$A$40,'Data by dwelling type'!$AT$4:$AT$40)</f>
        <v>6</v>
      </c>
      <c r="AC3" s="168">
        <f>LOOKUP(AC2,'Data by dwelling type'!$A$4:$A$40,'Data by dwelling type'!$AT$4:$AT$40)</f>
        <v>6</v>
      </c>
      <c r="AD3" s="168">
        <f>LOOKUP(AD2,'Data by dwelling type'!$A$4:$A$40,'Data by dwelling type'!$AT$4:$AT$40)</f>
        <v>6</v>
      </c>
      <c r="AE3" s="168">
        <f>LOOKUP(AE2,'Data by dwelling type'!$A$4:$A$40,'Data by dwelling type'!$AT$4:$AT$40)</f>
        <v>6</v>
      </c>
      <c r="AF3" s="168">
        <f>LOOKUP(AF2,'Data by dwelling type'!$A$4:$A$40,'Data by dwelling type'!$AT$4:$AT$40)</f>
        <v>6</v>
      </c>
      <c r="AG3" s="168">
        <f>LOOKUP(AG2,'Data by dwelling type'!$A$4:$A$40,'Data by dwelling type'!$AT$4:$AT$40)</f>
        <v>6</v>
      </c>
      <c r="AH3" s="168">
        <f>LOOKUP(AH2,'Data by dwelling type'!$A$4:$A$40,'Data by dwelling type'!$AT$4:$AT$40)</f>
        <v>6</v>
      </c>
      <c r="AI3" s="168">
        <f>LOOKUP(AI2,'Data by dwelling type'!$A$4:$A$40,'Data by dwelling type'!$AT$4:$AT$40)</f>
        <v>6</v>
      </c>
      <c r="AJ3" s="168">
        <f>LOOKUP(AJ2,'Data by dwelling type'!$A$4:$A$40,'Data by dwelling type'!$AT$4:$AT$40)</f>
        <v>6</v>
      </c>
      <c r="AK3" s="168">
        <f>LOOKUP(AK2,'Data by dwelling type'!$A$4:$A$40,'Data by dwelling type'!$AT$4:$AT$40)</f>
        <v>6</v>
      </c>
      <c r="AL3" s="168">
        <f>LOOKUP(AL2,'Data by dwelling type'!$A$4:$A$40,'Data by dwelling type'!$AT$4:$AT$40)</f>
        <v>6</v>
      </c>
      <c r="AM3" s="168">
        <f>LOOKUP(AM2,'Data by dwelling type'!$A$4:$A$40,'Data by dwelling type'!$AT$4:$AT$40)</f>
        <v>6</v>
      </c>
      <c r="AN3" s="169">
        <f>LOOKUP(AN2,'Data by dwelling type'!$A$4:$A$40,'Data by dwelling type'!$AT$4:$AT$40)</f>
        <v>6</v>
      </c>
    </row>
    <row r="4" spans="1:40">
      <c r="A4" s="161" t="s">
        <v>87</v>
      </c>
      <c r="B4" s="119"/>
      <c r="C4" s="118" t="s">
        <v>66</v>
      </c>
      <c r="D4" s="170">
        <f>LOOKUP(D2,'Data by dwelling type'!$A$4:$A$40,'Data by dwelling type'!$AK$4:$AK$40)</f>
        <v>102.34804270462634</v>
      </c>
      <c r="E4" s="171">
        <f>LOOKUP(E2,'Data by dwelling type'!$A$4:$A$40,'Data by dwelling type'!$AK$4:$AK$40)</f>
        <v>104.15610743939044</v>
      </c>
      <c r="F4" s="171">
        <f>LOOKUP(F2,'Data by dwelling type'!$A$4:$A$40,'Data by dwelling type'!$AK$4:$AK$40)</f>
        <v>54.741470751515152</v>
      </c>
      <c r="G4" s="171">
        <f>LOOKUP(G2,'Data by dwelling type'!$A$4:$A$40,'Data by dwelling type'!$AK$4:$AK$40)</f>
        <v>107.20179362267494</v>
      </c>
      <c r="H4" s="171">
        <f>LOOKUP(H2,'Data by dwelling type'!$A$4:$A$40,'Data by dwelling type'!$AK$4:$AK$40)</f>
        <v>81.4314512412178</v>
      </c>
      <c r="I4" s="171">
        <f>LOOKUP(I2,'Data by dwelling type'!$A$4:$A$40,'Data by dwelling type'!$AK$4:$AK$40)</f>
        <v>86.306391925601744</v>
      </c>
      <c r="J4" s="171">
        <f>LOOKUP(J2,'Data by dwelling type'!$A$4:$A$40,'Data by dwelling type'!$AK$4:$AK$40)</f>
        <v>95.673298811881196</v>
      </c>
      <c r="K4" s="171">
        <f>LOOKUP(K2,'Data by dwelling type'!$A$4:$A$40,'Data by dwelling type'!$AK$4:$AK$40)</f>
        <v>114.94718742323752</v>
      </c>
      <c r="L4" s="171">
        <f>LOOKUP(L2,'Data by dwelling type'!$A$4:$A$40,'Data by dwelling type'!$AK$4:$AK$40)</f>
        <v>72.848628600097896</v>
      </c>
      <c r="M4" s="171">
        <f>LOOKUP(M2,'Data by dwelling type'!$A$4:$A$40,'Data by dwelling type'!$AK$4:$AK$40)</f>
        <v>102.96627916224816</v>
      </c>
      <c r="N4" s="171">
        <f>LOOKUP(N2,'Data by dwelling type'!$A$4:$A$40,'Data by dwelling type'!$AK$4:$AK$40)</f>
        <v>84.910219170847625</v>
      </c>
      <c r="O4" s="171">
        <f>LOOKUP(O2,'Data by dwelling type'!$A$4:$A$40,'Data by dwelling type'!$AK$4:$AK$40)</f>
        <v>98.579401443680567</v>
      </c>
      <c r="P4" s="171">
        <f>LOOKUP(P2,'Data by dwelling type'!$A$4:$A$40,'Data by dwelling type'!$AK$4:$AK$40)</f>
        <v>78.902404272844265</v>
      </c>
      <c r="Q4" s="171">
        <f>LOOKUP(Q2,'Data by dwelling type'!$A$4:$A$40,'Data by dwelling type'!$AK$4:$AK$40)</f>
        <v>58.069801466453661</v>
      </c>
      <c r="R4" s="171">
        <f>LOOKUP(R2,'Data by dwelling type'!$A$4:$A$40,'Data by dwelling type'!$AK$4:$AK$40)</f>
        <v>78.768270355158265</v>
      </c>
      <c r="S4" s="171">
        <f>LOOKUP(S2,'Data by dwelling type'!$A$4:$A$40,'Data by dwelling type'!$AK$4:$AK$40)</f>
        <v>107.01604878738112</v>
      </c>
      <c r="T4" s="171">
        <f>LOOKUP(T2,'Data by dwelling type'!$A$4:$A$40,'Data by dwelling type'!$AK$4:$AK$40)</f>
        <v>85.897015414890134</v>
      </c>
      <c r="U4" s="171">
        <f>LOOKUP(U2,'Data by dwelling type'!$A$4:$A$40,'Data by dwelling type'!$AK$4:$AK$40)</f>
        <v>100.64409005628519</v>
      </c>
      <c r="V4" s="171">
        <f>LOOKUP(V2,'Data by dwelling type'!$A$4:$A$40,'Data by dwelling type'!$AK$4:$AK$40)</f>
        <v>82.838030906148859</v>
      </c>
      <c r="W4" s="171">
        <f>LOOKUP(W2,'Data by dwelling type'!$A$4:$A$40,'Data by dwelling type'!$AK$4:$AK$40)</f>
        <v>78.943214735421165</v>
      </c>
      <c r="X4" s="171">
        <f>LOOKUP(X2,'Data by dwelling type'!$A$4:$A$40,'Data by dwelling type'!$AK$4:$AK$40)</f>
        <v>81.448999046711151</v>
      </c>
      <c r="Y4" s="171">
        <f>LOOKUP(Y2,'Data by dwelling type'!$A$4:$A$40,'Data by dwelling type'!$AK$4:$AK$40)</f>
        <v>97.092235722772259</v>
      </c>
      <c r="Z4" s="171">
        <f>LOOKUP(Z2,'Data by dwelling type'!$A$4:$A$40,'Data by dwelling type'!$AK$4:$AK$40)</f>
        <v>110.24218194706997</v>
      </c>
      <c r="AA4" s="171">
        <f>LOOKUP(AA2,'Data by dwelling type'!$A$4:$A$40,'Data by dwelling type'!$AK$4:$AK$40)</f>
        <v>109.38375151760422</v>
      </c>
      <c r="AB4" s="171">
        <f>LOOKUP(AB2,'Data by dwelling type'!$A$4:$A$40,'Data by dwelling type'!$AK$4:$AK$40)</f>
        <v>81.468176505190314</v>
      </c>
      <c r="AC4" s="171">
        <f>LOOKUP(AC2,'Data by dwelling type'!$A$4:$A$40,'Data by dwelling type'!$AK$4:$AK$40)</f>
        <v>101.9509910416043</v>
      </c>
      <c r="AD4" s="171">
        <f>LOOKUP(AD2,'Data by dwelling type'!$A$4:$A$40,'Data by dwelling type'!$AK$4:$AK$40)</f>
        <v>60.828063690860219</v>
      </c>
      <c r="AE4" s="171">
        <f>LOOKUP(AE2,'Data by dwelling type'!$A$4:$A$40,'Data by dwelling type'!$AK$4:$AK$40)</f>
        <v>106.67709225935448</v>
      </c>
      <c r="AF4" s="171">
        <f>LOOKUP(AF2,'Data by dwelling type'!$A$4:$A$40,'Data by dwelling type'!$AK$4:$AK$40)</f>
        <v>80.416135863377619</v>
      </c>
      <c r="AG4" s="171">
        <f>LOOKUP(AG2,'Data by dwelling type'!$A$4:$A$40,'Data by dwelling type'!$AK$4:$AK$40)</f>
        <v>80.622566396892211</v>
      </c>
      <c r="AH4" s="171">
        <f>LOOKUP(AH2,'Data by dwelling type'!$A$4:$A$40,'Data by dwelling type'!$AK$4:$AK$40)</f>
        <v>77.345868409393006</v>
      </c>
      <c r="AI4" s="171">
        <f>LOOKUP(AI2,'Data by dwelling type'!$A$4:$A$40,'Data by dwelling type'!$AK$4:$AK$40)</f>
        <v>78.902404272844265</v>
      </c>
      <c r="AJ4" s="171">
        <f>LOOKUP(AJ2,'Data by dwelling type'!$A$4:$A$40,'Data by dwelling type'!$AK$4:$AK$40)</f>
        <v>58.069801466453669</v>
      </c>
      <c r="AK4" s="171">
        <f>LOOKUP(AK2,'Data by dwelling type'!$A$4:$A$40,'Data by dwelling type'!$AK$4:$AK$40)</f>
        <v>78.902404272844279</v>
      </c>
      <c r="AL4" s="171">
        <f>LOOKUP(AL2,'Data by dwelling type'!$A$4:$A$40,'Data by dwelling type'!$AK$4:$AK$40)</f>
        <v>59.176209927272723</v>
      </c>
      <c r="AM4" s="171">
        <f>LOOKUP(AM2,'Data by dwelling type'!$A$4:$A$40,'Data by dwelling type'!$AK$4:$AK$40)</f>
        <v>58.069801466453661</v>
      </c>
      <c r="AN4" s="172">
        <f>LOOKUP(AN2,'Data by dwelling type'!$A$4:$A$40,'Data by dwelling type'!$AK$4:$AK$40)</f>
        <v>58.069801466453669</v>
      </c>
    </row>
    <row r="5" spans="1:40">
      <c r="A5" s="152" t="s">
        <v>160</v>
      </c>
      <c r="B5" s="130"/>
      <c r="C5" s="129" t="s">
        <v>66</v>
      </c>
      <c r="D5" s="176">
        <f t="shared" ref="D5:AN5" si="0">D4*D3</f>
        <v>614.08825622775805</v>
      </c>
      <c r="E5" s="177">
        <f t="shared" si="0"/>
        <v>624.93664463634263</v>
      </c>
      <c r="F5" s="177">
        <f t="shared" si="0"/>
        <v>328.44882450909091</v>
      </c>
      <c r="G5" s="177">
        <f t="shared" si="0"/>
        <v>643.21076173604968</v>
      </c>
      <c r="H5" s="177">
        <f t="shared" si="0"/>
        <v>488.58870744730677</v>
      </c>
      <c r="I5" s="177">
        <f t="shared" si="0"/>
        <v>517.83835155361044</v>
      </c>
      <c r="J5" s="177">
        <f t="shared" si="0"/>
        <v>574.0397928712872</v>
      </c>
      <c r="K5" s="177">
        <f t="shared" si="0"/>
        <v>689.68312453942508</v>
      </c>
      <c r="L5" s="177">
        <f t="shared" si="0"/>
        <v>437.09177160058738</v>
      </c>
      <c r="M5" s="177">
        <f t="shared" si="0"/>
        <v>617.79767497348894</v>
      </c>
      <c r="N5" s="177">
        <f t="shared" si="0"/>
        <v>509.46131502508575</v>
      </c>
      <c r="O5" s="177">
        <f t="shared" si="0"/>
        <v>591.47640866208337</v>
      </c>
      <c r="P5" s="177">
        <f t="shared" si="0"/>
        <v>315.60961709137706</v>
      </c>
      <c r="Q5" s="177">
        <f t="shared" si="0"/>
        <v>348.41880879872195</v>
      </c>
      <c r="R5" s="177">
        <f t="shared" si="0"/>
        <v>472.60962213094956</v>
      </c>
      <c r="S5" s="177">
        <f t="shared" si="0"/>
        <v>642.09629272428674</v>
      </c>
      <c r="T5" s="177">
        <f t="shared" si="0"/>
        <v>515.38209248934083</v>
      </c>
      <c r="U5" s="177">
        <f t="shared" si="0"/>
        <v>603.86454033771111</v>
      </c>
      <c r="V5" s="177">
        <f t="shared" si="0"/>
        <v>497.02818543689318</v>
      </c>
      <c r="W5" s="177">
        <f t="shared" si="0"/>
        <v>315.77285894168466</v>
      </c>
      <c r="X5" s="177">
        <f t="shared" si="0"/>
        <v>488.69399428026691</v>
      </c>
      <c r="Y5" s="177">
        <f t="shared" si="0"/>
        <v>582.55341433663352</v>
      </c>
      <c r="Z5" s="177">
        <f t="shared" si="0"/>
        <v>661.45309168241977</v>
      </c>
      <c r="AA5" s="177">
        <f t="shared" si="0"/>
        <v>656.3025091056254</v>
      </c>
      <c r="AB5" s="177">
        <f t="shared" si="0"/>
        <v>488.80905903114189</v>
      </c>
      <c r="AC5" s="177">
        <f t="shared" si="0"/>
        <v>611.70594624962575</v>
      </c>
      <c r="AD5" s="177">
        <f t="shared" si="0"/>
        <v>364.96838214516129</v>
      </c>
      <c r="AE5" s="177">
        <f t="shared" si="0"/>
        <v>640.06255355612689</v>
      </c>
      <c r="AF5" s="177">
        <f t="shared" si="0"/>
        <v>482.49681518026568</v>
      </c>
      <c r="AG5" s="177">
        <f t="shared" si="0"/>
        <v>483.73539838135326</v>
      </c>
      <c r="AH5" s="177">
        <f t="shared" si="0"/>
        <v>464.07521045635804</v>
      </c>
      <c r="AI5" s="177">
        <f t="shared" si="0"/>
        <v>473.41442563706562</v>
      </c>
      <c r="AJ5" s="177">
        <f t="shared" si="0"/>
        <v>348.41880879872201</v>
      </c>
      <c r="AK5" s="177">
        <f t="shared" si="0"/>
        <v>473.41442563706568</v>
      </c>
      <c r="AL5" s="177">
        <f t="shared" si="0"/>
        <v>355.05725956363631</v>
      </c>
      <c r="AM5" s="177">
        <f t="shared" si="0"/>
        <v>348.41880879872195</v>
      </c>
      <c r="AN5" s="178">
        <f t="shared" si="0"/>
        <v>348.41880879872201</v>
      </c>
    </row>
    <row r="6" spans="1:40">
      <c r="A6" s="140"/>
      <c r="B6" s="132" t="s">
        <v>67</v>
      </c>
      <c r="C6" s="121" t="s">
        <v>66</v>
      </c>
      <c r="D6" s="173">
        <f t="shared" ref="D6:AN6" si="1">D9*D7*D8</f>
        <v>614.08825622775794</v>
      </c>
      <c r="E6" s="174">
        <f t="shared" si="1"/>
        <v>624.93664463634263</v>
      </c>
      <c r="F6" s="174">
        <f t="shared" si="1"/>
        <v>328.44882450909091</v>
      </c>
      <c r="G6" s="174">
        <f t="shared" si="1"/>
        <v>643.21076173604956</v>
      </c>
      <c r="H6" s="174">
        <f t="shared" si="1"/>
        <v>488.58870744730683</v>
      </c>
      <c r="I6" s="174">
        <f t="shared" si="1"/>
        <v>517.83835155361044</v>
      </c>
      <c r="J6" s="174">
        <f t="shared" si="1"/>
        <v>574.0397928712872</v>
      </c>
      <c r="K6" s="174">
        <f t="shared" si="1"/>
        <v>689.68312453942519</v>
      </c>
      <c r="L6" s="174">
        <f t="shared" si="1"/>
        <v>437.09177160058744</v>
      </c>
      <c r="M6" s="174">
        <f t="shared" si="1"/>
        <v>617.79767497348894</v>
      </c>
      <c r="N6" s="174">
        <f t="shared" si="1"/>
        <v>509.46131502508575</v>
      </c>
      <c r="O6" s="174">
        <f t="shared" si="1"/>
        <v>591.47640866208349</v>
      </c>
      <c r="P6" s="174">
        <f t="shared" si="1"/>
        <v>315.60961709137706</v>
      </c>
      <c r="Q6" s="174">
        <f t="shared" si="1"/>
        <v>348.41880879872195</v>
      </c>
      <c r="R6" s="174">
        <f t="shared" si="1"/>
        <v>472.60962213094956</v>
      </c>
      <c r="S6" s="174">
        <f t="shared" si="1"/>
        <v>642.09629272428674</v>
      </c>
      <c r="T6" s="174">
        <f t="shared" si="1"/>
        <v>515.38209248934072</v>
      </c>
      <c r="U6" s="174">
        <f t="shared" si="1"/>
        <v>603.86454033771111</v>
      </c>
      <c r="V6" s="174">
        <f t="shared" si="1"/>
        <v>497.02818543689312</v>
      </c>
      <c r="W6" s="174">
        <f t="shared" si="1"/>
        <v>315.77285894168466</v>
      </c>
      <c r="X6" s="174">
        <f t="shared" si="1"/>
        <v>488.69399428026685</v>
      </c>
      <c r="Y6" s="174">
        <f t="shared" si="1"/>
        <v>582.55341433663341</v>
      </c>
      <c r="Z6" s="174">
        <f t="shared" si="1"/>
        <v>661.45309168241977</v>
      </c>
      <c r="AA6" s="174">
        <f t="shared" si="1"/>
        <v>656.3025091056254</v>
      </c>
      <c r="AB6" s="174">
        <f t="shared" si="1"/>
        <v>488.80905903114194</v>
      </c>
      <c r="AC6" s="174">
        <f t="shared" si="1"/>
        <v>611.70594624962587</v>
      </c>
      <c r="AD6" s="174">
        <f t="shared" si="1"/>
        <v>364.96838214516129</v>
      </c>
      <c r="AE6" s="174">
        <f t="shared" si="1"/>
        <v>640.062553556127</v>
      </c>
      <c r="AF6" s="174">
        <f t="shared" si="1"/>
        <v>482.49681518026563</v>
      </c>
      <c r="AG6" s="174">
        <f t="shared" si="1"/>
        <v>483.73539838135332</v>
      </c>
      <c r="AH6" s="174">
        <f t="shared" si="1"/>
        <v>464.07521045635804</v>
      </c>
      <c r="AI6" s="174">
        <f t="shared" si="1"/>
        <v>473.41442563706556</v>
      </c>
      <c r="AJ6" s="174">
        <f t="shared" si="1"/>
        <v>348.41880879872195</v>
      </c>
      <c r="AK6" s="174">
        <f t="shared" si="1"/>
        <v>473.41442563706573</v>
      </c>
      <c r="AL6" s="174">
        <f t="shared" si="1"/>
        <v>355.05725956363631</v>
      </c>
      <c r="AM6" s="174">
        <f t="shared" si="1"/>
        <v>348.41880879872195</v>
      </c>
      <c r="AN6" s="175">
        <f t="shared" si="1"/>
        <v>348.41880879872195</v>
      </c>
    </row>
    <row r="7" spans="1:40">
      <c r="A7" s="146" t="s">
        <v>83</v>
      </c>
      <c r="B7" s="124" t="s">
        <v>139</v>
      </c>
      <c r="C7" s="123" t="s">
        <v>68</v>
      </c>
      <c r="D7" s="170">
        <f t="shared" ref="D7:AN7" si="2">SQRT(D4/D9)</f>
        <v>7.1536019844769925</v>
      </c>
      <c r="E7" s="171">
        <f t="shared" si="2"/>
        <v>7.2165125732375204</v>
      </c>
      <c r="F7" s="171">
        <f t="shared" si="2"/>
        <v>5.2317048249836855</v>
      </c>
      <c r="G7" s="171">
        <f t="shared" si="2"/>
        <v>7.3212633343800348</v>
      </c>
      <c r="H7" s="171">
        <f t="shared" si="2"/>
        <v>6.3808875260898388</v>
      </c>
      <c r="I7" s="171">
        <f t="shared" si="2"/>
        <v>6.5691092214090085</v>
      </c>
      <c r="J7" s="171">
        <f t="shared" si="2"/>
        <v>6.9164043697531596</v>
      </c>
      <c r="K7" s="171">
        <f t="shared" si="2"/>
        <v>7.5811340650076069</v>
      </c>
      <c r="L7" s="171">
        <f t="shared" si="2"/>
        <v>6.0352559432097781</v>
      </c>
      <c r="M7" s="171">
        <f t="shared" si="2"/>
        <v>7.1751752299943226</v>
      </c>
      <c r="N7" s="171">
        <f t="shared" si="2"/>
        <v>6.5157585579442561</v>
      </c>
      <c r="O7" s="171">
        <f t="shared" si="2"/>
        <v>7.0206624133225697</v>
      </c>
      <c r="P7" s="171">
        <f t="shared" si="2"/>
        <v>6.2810191956737507</v>
      </c>
      <c r="Q7" s="171">
        <f t="shared" si="2"/>
        <v>5.3884042845008233</v>
      </c>
      <c r="R7" s="171">
        <f t="shared" si="2"/>
        <v>6.2756780651638859</v>
      </c>
      <c r="S7" s="171">
        <f t="shared" si="2"/>
        <v>7.3149179348568607</v>
      </c>
      <c r="T7" s="171">
        <f t="shared" si="2"/>
        <v>6.5535110976822999</v>
      </c>
      <c r="U7" s="171">
        <f t="shared" si="2"/>
        <v>7.0938032837218286</v>
      </c>
      <c r="V7" s="171">
        <f t="shared" si="2"/>
        <v>6.4357606740053992</v>
      </c>
      <c r="W7" s="171">
        <f t="shared" si="2"/>
        <v>6.2826433423926416</v>
      </c>
      <c r="X7" s="171">
        <f t="shared" si="2"/>
        <v>6.3815750033479643</v>
      </c>
      <c r="Y7" s="171">
        <f t="shared" si="2"/>
        <v>6.9675044213395463</v>
      </c>
      <c r="Z7" s="171">
        <f t="shared" si="2"/>
        <v>7.424357950256371</v>
      </c>
      <c r="AA7" s="171">
        <f t="shared" si="2"/>
        <v>7.3953955782501666</v>
      </c>
      <c r="AB7" s="171">
        <f t="shared" si="2"/>
        <v>6.3823262414730229</v>
      </c>
      <c r="AC7" s="171">
        <f t="shared" si="2"/>
        <v>7.1397125656991367</v>
      </c>
      <c r="AD7" s="171">
        <f t="shared" si="2"/>
        <v>5.5148918253606851</v>
      </c>
      <c r="AE7" s="171">
        <f t="shared" si="2"/>
        <v>7.303324320450054</v>
      </c>
      <c r="AF7" s="171">
        <f t="shared" si="2"/>
        <v>6.3409831991331442</v>
      </c>
      <c r="AG7" s="171">
        <f t="shared" si="2"/>
        <v>6.3491167258482584</v>
      </c>
      <c r="AH7" s="171">
        <f t="shared" si="2"/>
        <v>6.2187566445951639</v>
      </c>
      <c r="AI7" s="171">
        <f t="shared" si="2"/>
        <v>6.2810191956737507</v>
      </c>
      <c r="AJ7" s="171">
        <f t="shared" si="2"/>
        <v>5.3884042845008233</v>
      </c>
      <c r="AK7" s="171">
        <f t="shared" si="2"/>
        <v>6.2810191956737516</v>
      </c>
      <c r="AL7" s="171">
        <f t="shared" si="2"/>
        <v>5.4394949180632901</v>
      </c>
      <c r="AM7" s="171">
        <f t="shared" si="2"/>
        <v>5.3884042845008233</v>
      </c>
      <c r="AN7" s="172">
        <f t="shared" si="2"/>
        <v>5.3884042845008233</v>
      </c>
    </row>
    <row r="8" spans="1:40">
      <c r="A8" s="126"/>
      <c r="B8" s="127" t="s">
        <v>140</v>
      </c>
      <c r="C8" s="126" t="s">
        <v>68</v>
      </c>
      <c r="D8" s="176">
        <f t="shared" ref="D8:AN8" si="3">SQRT(D4/D9)*D3</f>
        <v>42.921611906861955</v>
      </c>
      <c r="E8" s="177">
        <f t="shared" si="3"/>
        <v>43.299075439425124</v>
      </c>
      <c r="F8" s="177">
        <f t="shared" si="3"/>
        <v>31.390228949902113</v>
      </c>
      <c r="G8" s="177">
        <f t="shared" si="3"/>
        <v>43.927580006280209</v>
      </c>
      <c r="H8" s="177">
        <f t="shared" si="3"/>
        <v>38.285325156539031</v>
      </c>
      <c r="I8" s="177">
        <f t="shared" si="3"/>
        <v>39.414655328454053</v>
      </c>
      <c r="J8" s="177">
        <f t="shared" si="3"/>
        <v>41.498426218518958</v>
      </c>
      <c r="K8" s="177">
        <f t="shared" si="3"/>
        <v>45.486804390045641</v>
      </c>
      <c r="L8" s="177">
        <f t="shared" si="3"/>
        <v>36.211535659258672</v>
      </c>
      <c r="M8" s="177">
        <f t="shared" si="3"/>
        <v>43.051051379965934</v>
      </c>
      <c r="N8" s="177">
        <f t="shared" si="3"/>
        <v>39.094551347665536</v>
      </c>
      <c r="O8" s="177">
        <f t="shared" si="3"/>
        <v>42.12397447993542</v>
      </c>
      <c r="P8" s="177">
        <f t="shared" si="3"/>
        <v>25.124076782695003</v>
      </c>
      <c r="Q8" s="177">
        <f t="shared" si="3"/>
        <v>32.330425707004942</v>
      </c>
      <c r="R8" s="177">
        <f t="shared" si="3"/>
        <v>37.654068390983312</v>
      </c>
      <c r="S8" s="177">
        <f t="shared" si="3"/>
        <v>43.889507609141162</v>
      </c>
      <c r="T8" s="177">
        <f t="shared" si="3"/>
        <v>39.321066586093799</v>
      </c>
      <c r="U8" s="177">
        <f t="shared" si="3"/>
        <v>42.56281970233097</v>
      </c>
      <c r="V8" s="177">
        <f t="shared" si="3"/>
        <v>38.614564044032392</v>
      </c>
      <c r="W8" s="177">
        <f t="shared" si="3"/>
        <v>25.130573369570566</v>
      </c>
      <c r="X8" s="177">
        <f t="shared" si="3"/>
        <v>38.289450020087784</v>
      </c>
      <c r="Y8" s="177">
        <f t="shared" si="3"/>
        <v>41.805026528037274</v>
      </c>
      <c r="Z8" s="177">
        <f t="shared" si="3"/>
        <v>44.546147701538224</v>
      </c>
      <c r="AA8" s="177">
        <f t="shared" si="3"/>
        <v>44.372373469500999</v>
      </c>
      <c r="AB8" s="177">
        <f t="shared" si="3"/>
        <v>38.293957448838135</v>
      </c>
      <c r="AC8" s="177">
        <f t="shared" si="3"/>
        <v>42.838275394194824</v>
      </c>
      <c r="AD8" s="177">
        <f t="shared" si="3"/>
        <v>33.089350952164111</v>
      </c>
      <c r="AE8" s="177">
        <f t="shared" si="3"/>
        <v>43.819945922700327</v>
      </c>
      <c r="AF8" s="177">
        <f t="shared" si="3"/>
        <v>38.045899194798864</v>
      </c>
      <c r="AG8" s="177">
        <f t="shared" si="3"/>
        <v>38.09470035508955</v>
      </c>
      <c r="AH8" s="177">
        <f t="shared" si="3"/>
        <v>37.312539867570983</v>
      </c>
      <c r="AI8" s="177">
        <f t="shared" si="3"/>
        <v>37.686115174042506</v>
      </c>
      <c r="AJ8" s="177">
        <f t="shared" si="3"/>
        <v>32.330425707004942</v>
      </c>
      <c r="AK8" s="177">
        <f t="shared" si="3"/>
        <v>37.686115174042513</v>
      </c>
      <c r="AL8" s="177">
        <f t="shared" si="3"/>
        <v>32.636969508379742</v>
      </c>
      <c r="AM8" s="177">
        <f t="shared" si="3"/>
        <v>32.330425707004942</v>
      </c>
      <c r="AN8" s="178">
        <f t="shared" si="3"/>
        <v>32.330425707004942</v>
      </c>
    </row>
    <row r="9" spans="1:40">
      <c r="A9" s="126"/>
      <c r="B9" s="127" t="s">
        <v>72</v>
      </c>
      <c r="C9" s="126" t="s">
        <v>125</v>
      </c>
      <c r="D9" s="409">
        <v>2</v>
      </c>
      <c r="E9" s="180">
        <v>2</v>
      </c>
      <c r="F9" s="180">
        <v>2</v>
      </c>
      <c r="G9" s="180">
        <v>2</v>
      </c>
      <c r="H9" s="180">
        <v>2</v>
      </c>
      <c r="I9" s="180">
        <v>2</v>
      </c>
      <c r="J9" s="180">
        <v>2</v>
      </c>
      <c r="K9" s="180">
        <v>2</v>
      </c>
      <c r="L9" s="180">
        <v>2</v>
      </c>
      <c r="M9" s="180">
        <v>2</v>
      </c>
      <c r="N9" s="180">
        <v>2</v>
      </c>
      <c r="O9" s="180">
        <v>2</v>
      </c>
      <c r="P9" s="180">
        <v>2</v>
      </c>
      <c r="Q9" s="180">
        <v>2</v>
      </c>
      <c r="R9" s="180">
        <v>2</v>
      </c>
      <c r="S9" s="180">
        <v>2</v>
      </c>
      <c r="T9" s="180">
        <v>2</v>
      </c>
      <c r="U9" s="180">
        <v>2</v>
      </c>
      <c r="V9" s="180">
        <v>2</v>
      </c>
      <c r="W9" s="180">
        <v>2</v>
      </c>
      <c r="X9" s="180">
        <v>2</v>
      </c>
      <c r="Y9" s="180">
        <v>2</v>
      </c>
      <c r="Z9" s="180">
        <v>2</v>
      </c>
      <c r="AA9" s="180">
        <v>2</v>
      </c>
      <c r="AB9" s="180">
        <v>2</v>
      </c>
      <c r="AC9" s="180">
        <v>2</v>
      </c>
      <c r="AD9" s="180">
        <v>2</v>
      </c>
      <c r="AE9" s="180">
        <v>2</v>
      </c>
      <c r="AF9" s="180">
        <v>2</v>
      </c>
      <c r="AG9" s="180">
        <v>2</v>
      </c>
      <c r="AH9" s="180">
        <v>2</v>
      </c>
      <c r="AI9" s="180">
        <v>2</v>
      </c>
      <c r="AJ9" s="180">
        <v>2</v>
      </c>
      <c r="AK9" s="180">
        <v>2</v>
      </c>
      <c r="AL9" s="180">
        <v>2</v>
      </c>
      <c r="AM9" s="180">
        <v>2</v>
      </c>
      <c r="AN9" s="181">
        <v>2</v>
      </c>
    </row>
    <row r="10" spans="1:40">
      <c r="A10" s="126"/>
      <c r="B10" s="127" t="s">
        <v>84</v>
      </c>
      <c r="C10" s="126" t="s">
        <v>68</v>
      </c>
      <c r="D10" s="176">
        <v>3</v>
      </c>
      <c r="E10" s="177">
        <v>3</v>
      </c>
      <c r="F10" s="177">
        <v>3</v>
      </c>
      <c r="G10" s="177">
        <v>3</v>
      </c>
      <c r="H10" s="177">
        <v>3</v>
      </c>
      <c r="I10" s="177">
        <v>3</v>
      </c>
      <c r="J10" s="177">
        <v>3</v>
      </c>
      <c r="K10" s="177">
        <v>3</v>
      </c>
      <c r="L10" s="177">
        <v>3</v>
      </c>
      <c r="M10" s="177">
        <v>3</v>
      </c>
      <c r="N10" s="177">
        <v>3</v>
      </c>
      <c r="O10" s="177">
        <v>3</v>
      </c>
      <c r="P10" s="177">
        <v>3</v>
      </c>
      <c r="Q10" s="177">
        <v>3</v>
      </c>
      <c r="R10" s="177">
        <v>3</v>
      </c>
      <c r="S10" s="177">
        <v>3</v>
      </c>
      <c r="T10" s="177">
        <v>3</v>
      </c>
      <c r="U10" s="177">
        <v>3</v>
      </c>
      <c r="V10" s="177">
        <v>3</v>
      </c>
      <c r="W10" s="177">
        <v>3</v>
      </c>
      <c r="X10" s="177">
        <v>3</v>
      </c>
      <c r="Y10" s="177">
        <v>3</v>
      </c>
      <c r="Z10" s="177">
        <v>3</v>
      </c>
      <c r="AA10" s="177">
        <v>3</v>
      </c>
      <c r="AB10" s="177">
        <v>3</v>
      </c>
      <c r="AC10" s="177">
        <v>3</v>
      </c>
      <c r="AD10" s="177">
        <v>3</v>
      </c>
      <c r="AE10" s="177">
        <v>3</v>
      </c>
      <c r="AF10" s="177">
        <v>3</v>
      </c>
      <c r="AG10" s="177">
        <v>3</v>
      </c>
      <c r="AH10" s="177">
        <v>3</v>
      </c>
      <c r="AI10" s="177">
        <v>3</v>
      </c>
      <c r="AJ10" s="177">
        <v>3</v>
      </c>
      <c r="AK10" s="177">
        <v>3</v>
      </c>
      <c r="AL10" s="177">
        <v>3</v>
      </c>
      <c r="AM10" s="177">
        <v>3</v>
      </c>
      <c r="AN10" s="178">
        <v>3</v>
      </c>
    </row>
    <row r="11" spans="1:40">
      <c r="A11" s="129"/>
      <c r="B11" s="130" t="s">
        <v>161</v>
      </c>
      <c r="C11" s="129" t="s">
        <v>68</v>
      </c>
      <c r="D11" s="176">
        <f t="shared" ref="D11:AN11" si="4">D9*D10</f>
        <v>6</v>
      </c>
      <c r="E11" s="177">
        <f t="shared" si="4"/>
        <v>6</v>
      </c>
      <c r="F11" s="177">
        <f t="shared" si="4"/>
        <v>6</v>
      </c>
      <c r="G11" s="177">
        <f t="shared" si="4"/>
        <v>6</v>
      </c>
      <c r="H11" s="177">
        <f t="shared" si="4"/>
        <v>6</v>
      </c>
      <c r="I11" s="177">
        <f t="shared" si="4"/>
        <v>6</v>
      </c>
      <c r="J11" s="177">
        <f t="shared" si="4"/>
        <v>6</v>
      </c>
      <c r="K11" s="177">
        <f t="shared" si="4"/>
        <v>6</v>
      </c>
      <c r="L11" s="177">
        <f t="shared" si="4"/>
        <v>6</v>
      </c>
      <c r="M11" s="177">
        <f t="shared" si="4"/>
        <v>6</v>
      </c>
      <c r="N11" s="177">
        <f t="shared" si="4"/>
        <v>6</v>
      </c>
      <c r="O11" s="177">
        <f t="shared" si="4"/>
        <v>6</v>
      </c>
      <c r="P11" s="177">
        <f t="shared" si="4"/>
        <v>6</v>
      </c>
      <c r="Q11" s="177">
        <f t="shared" si="4"/>
        <v>6</v>
      </c>
      <c r="R11" s="177">
        <f t="shared" si="4"/>
        <v>6</v>
      </c>
      <c r="S11" s="177">
        <f t="shared" si="4"/>
        <v>6</v>
      </c>
      <c r="T11" s="177">
        <f t="shared" si="4"/>
        <v>6</v>
      </c>
      <c r="U11" s="177">
        <f t="shared" si="4"/>
        <v>6</v>
      </c>
      <c r="V11" s="177">
        <f t="shared" si="4"/>
        <v>6</v>
      </c>
      <c r="W11" s="177">
        <f t="shared" si="4"/>
        <v>6</v>
      </c>
      <c r="X11" s="177">
        <f t="shared" si="4"/>
        <v>6</v>
      </c>
      <c r="Y11" s="177">
        <f t="shared" si="4"/>
        <v>6</v>
      </c>
      <c r="Z11" s="177">
        <f t="shared" si="4"/>
        <v>6</v>
      </c>
      <c r="AA11" s="177">
        <f t="shared" si="4"/>
        <v>6</v>
      </c>
      <c r="AB11" s="177">
        <f t="shared" si="4"/>
        <v>6</v>
      </c>
      <c r="AC11" s="177">
        <f t="shared" si="4"/>
        <v>6</v>
      </c>
      <c r="AD11" s="177">
        <f t="shared" si="4"/>
        <v>6</v>
      </c>
      <c r="AE11" s="177">
        <f t="shared" si="4"/>
        <v>6</v>
      </c>
      <c r="AF11" s="177">
        <f t="shared" si="4"/>
        <v>6</v>
      </c>
      <c r="AG11" s="177">
        <f t="shared" si="4"/>
        <v>6</v>
      </c>
      <c r="AH11" s="177">
        <f t="shared" si="4"/>
        <v>6</v>
      </c>
      <c r="AI11" s="177">
        <f t="shared" si="4"/>
        <v>6</v>
      </c>
      <c r="AJ11" s="177">
        <f t="shared" si="4"/>
        <v>6</v>
      </c>
      <c r="AK11" s="177">
        <f t="shared" si="4"/>
        <v>6</v>
      </c>
      <c r="AL11" s="177">
        <f t="shared" si="4"/>
        <v>6</v>
      </c>
      <c r="AM11" s="177">
        <f t="shared" si="4"/>
        <v>6</v>
      </c>
      <c r="AN11" s="178">
        <f t="shared" si="4"/>
        <v>6</v>
      </c>
    </row>
    <row r="12" spans="1:40">
      <c r="A12" s="129"/>
      <c r="B12" s="130" t="s">
        <v>73</v>
      </c>
      <c r="C12" s="129" t="s">
        <v>66</v>
      </c>
      <c r="D12" s="176">
        <f t="shared" ref="D12:AN12" si="5">(D7*D11)*2+(D8*D11)*2</f>
        <v>600.90256669606742</v>
      </c>
      <c r="E12" s="177">
        <f t="shared" si="5"/>
        <v>606.18705615195177</v>
      </c>
      <c r="F12" s="177">
        <f t="shared" si="5"/>
        <v>439.46320529862959</v>
      </c>
      <c r="G12" s="177">
        <f t="shared" si="5"/>
        <v>614.98612008792293</v>
      </c>
      <c r="H12" s="177">
        <f t="shared" si="5"/>
        <v>535.9945521915464</v>
      </c>
      <c r="I12" s="177">
        <f t="shared" si="5"/>
        <v>551.80517459835676</v>
      </c>
      <c r="J12" s="177">
        <f t="shared" si="5"/>
        <v>580.97796705926544</v>
      </c>
      <c r="K12" s="177">
        <f t="shared" si="5"/>
        <v>636.81526146063891</v>
      </c>
      <c r="L12" s="177">
        <f t="shared" si="5"/>
        <v>506.96149922962138</v>
      </c>
      <c r="M12" s="177">
        <f t="shared" si="5"/>
        <v>602.71471931952306</v>
      </c>
      <c r="N12" s="177">
        <f t="shared" si="5"/>
        <v>547.32371886731744</v>
      </c>
      <c r="O12" s="177">
        <f t="shared" si="5"/>
        <v>589.73564271909595</v>
      </c>
      <c r="P12" s="177">
        <f t="shared" si="5"/>
        <v>376.86115174042504</v>
      </c>
      <c r="Q12" s="177">
        <f t="shared" si="5"/>
        <v>452.6259598980692</v>
      </c>
      <c r="R12" s="177">
        <f t="shared" si="5"/>
        <v>527.1569574737664</v>
      </c>
      <c r="S12" s="177">
        <f t="shared" si="5"/>
        <v>614.45310652797627</v>
      </c>
      <c r="T12" s="177">
        <f t="shared" si="5"/>
        <v>550.49493220531326</v>
      </c>
      <c r="U12" s="177">
        <f t="shared" si="5"/>
        <v>595.8794758326336</v>
      </c>
      <c r="V12" s="177">
        <f t="shared" si="5"/>
        <v>540.60389661645354</v>
      </c>
      <c r="W12" s="177">
        <f t="shared" si="5"/>
        <v>376.95860054355848</v>
      </c>
      <c r="X12" s="177">
        <f t="shared" si="5"/>
        <v>536.05230028122901</v>
      </c>
      <c r="Y12" s="177">
        <f t="shared" si="5"/>
        <v>585.27037139252184</v>
      </c>
      <c r="Z12" s="177">
        <f t="shared" si="5"/>
        <v>623.64606782153521</v>
      </c>
      <c r="AA12" s="177">
        <f t="shared" si="5"/>
        <v>621.21322857301402</v>
      </c>
      <c r="AB12" s="177">
        <f t="shared" si="5"/>
        <v>536.11540428373382</v>
      </c>
      <c r="AC12" s="177">
        <f t="shared" si="5"/>
        <v>599.73585551872748</v>
      </c>
      <c r="AD12" s="177">
        <f t="shared" si="5"/>
        <v>463.25091333029752</v>
      </c>
      <c r="AE12" s="177">
        <f t="shared" si="5"/>
        <v>613.47924291780464</v>
      </c>
      <c r="AF12" s="177">
        <f t="shared" si="5"/>
        <v>532.64258872718415</v>
      </c>
      <c r="AG12" s="177">
        <f t="shared" si="5"/>
        <v>533.32580497125377</v>
      </c>
      <c r="AH12" s="177">
        <f t="shared" si="5"/>
        <v>522.37555814599375</v>
      </c>
      <c r="AI12" s="177">
        <f t="shared" si="5"/>
        <v>527.60561243659515</v>
      </c>
      <c r="AJ12" s="177">
        <f t="shared" si="5"/>
        <v>452.6259598980692</v>
      </c>
      <c r="AK12" s="177">
        <f t="shared" si="5"/>
        <v>527.60561243659515</v>
      </c>
      <c r="AL12" s="177">
        <f t="shared" si="5"/>
        <v>456.91757311731641</v>
      </c>
      <c r="AM12" s="177">
        <f t="shared" si="5"/>
        <v>452.6259598980692</v>
      </c>
      <c r="AN12" s="178">
        <f t="shared" si="5"/>
        <v>452.6259598980692</v>
      </c>
    </row>
    <row r="13" spans="1:40">
      <c r="A13" s="129"/>
      <c r="B13" s="130" t="s">
        <v>77</v>
      </c>
      <c r="C13" s="129" t="s">
        <v>66</v>
      </c>
      <c r="D13" s="176">
        <f t="shared" ref="D13:AN13" si="6">D12-D22</f>
        <v>546.90256669606742</v>
      </c>
      <c r="E13" s="177">
        <f t="shared" si="6"/>
        <v>552.18705615195177</v>
      </c>
      <c r="F13" s="177">
        <f t="shared" si="6"/>
        <v>385.46320529862959</v>
      </c>
      <c r="G13" s="177">
        <f t="shared" si="6"/>
        <v>560.98612008792293</v>
      </c>
      <c r="H13" s="177">
        <f t="shared" si="6"/>
        <v>481.9945521915464</v>
      </c>
      <c r="I13" s="177">
        <f t="shared" si="6"/>
        <v>497.80517459835676</v>
      </c>
      <c r="J13" s="177">
        <f t="shared" si="6"/>
        <v>526.97796705926544</v>
      </c>
      <c r="K13" s="177">
        <f t="shared" si="6"/>
        <v>582.81526146063891</v>
      </c>
      <c r="L13" s="177">
        <f t="shared" si="6"/>
        <v>452.96149922962138</v>
      </c>
      <c r="M13" s="177">
        <f t="shared" si="6"/>
        <v>548.71471931952306</v>
      </c>
      <c r="N13" s="177">
        <f t="shared" si="6"/>
        <v>493.32371886731744</v>
      </c>
      <c r="O13" s="177">
        <f t="shared" si="6"/>
        <v>535.73564271909595</v>
      </c>
      <c r="P13" s="177">
        <f t="shared" si="6"/>
        <v>340.86115174042504</v>
      </c>
      <c r="Q13" s="177">
        <f t="shared" si="6"/>
        <v>398.6259598980692</v>
      </c>
      <c r="R13" s="177">
        <f t="shared" si="6"/>
        <v>473.1569574737664</v>
      </c>
      <c r="S13" s="177">
        <f t="shared" si="6"/>
        <v>560.45310652797627</v>
      </c>
      <c r="T13" s="177">
        <f t="shared" si="6"/>
        <v>496.49493220531326</v>
      </c>
      <c r="U13" s="177">
        <f t="shared" si="6"/>
        <v>541.8794758326336</v>
      </c>
      <c r="V13" s="177">
        <f t="shared" si="6"/>
        <v>486.60389661645354</v>
      </c>
      <c r="W13" s="177">
        <f t="shared" si="6"/>
        <v>340.95860054355848</v>
      </c>
      <c r="X13" s="177">
        <f t="shared" si="6"/>
        <v>482.05230028122901</v>
      </c>
      <c r="Y13" s="177">
        <f t="shared" si="6"/>
        <v>531.27037139252184</v>
      </c>
      <c r="Z13" s="177">
        <f t="shared" si="6"/>
        <v>569.64606782153521</v>
      </c>
      <c r="AA13" s="177">
        <f t="shared" si="6"/>
        <v>567.21322857301402</v>
      </c>
      <c r="AB13" s="177">
        <f t="shared" si="6"/>
        <v>482.11540428373382</v>
      </c>
      <c r="AC13" s="177">
        <f t="shared" si="6"/>
        <v>545.73585551872748</v>
      </c>
      <c r="AD13" s="177">
        <f t="shared" si="6"/>
        <v>409.25091333029752</v>
      </c>
      <c r="AE13" s="177">
        <f t="shared" si="6"/>
        <v>559.47924291780464</v>
      </c>
      <c r="AF13" s="177">
        <f t="shared" si="6"/>
        <v>478.64258872718415</v>
      </c>
      <c r="AG13" s="177">
        <f t="shared" si="6"/>
        <v>479.32580497125377</v>
      </c>
      <c r="AH13" s="177">
        <f t="shared" si="6"/>
        <v>468.37555814599375</v>
      </c>
      <c r="AI13" s="177">
        <f t="shared" si="6"/>
        <v>473.60561243659515</v>
      </c>
      <c r="AJ13" s="177">
        <f t="shared" si="6"/>
        <v>398.6259598980692</v>
      </c>
      <c r="AK13" s="177">
        <f t="shared" si="6"/>
        <v>473.60561243659515</v>
      </c>
      <c r="AL13" s="177">
        <f t="shared" si="6"/>
        <v>402.91757311731641</v>
      </c>
      <c r="AM13" s="177">
        <f t="shared" si="6"/>
        <v>398.6259598980692</v>
      </c>
      <c r="AN13" s="178">
        <f t="shared" si="6"/>
        <v>398.6259598980692</v>
      </c>
    </row>
    <row r="14" spans="1:40">
      <c r="A14" s="126"/>
      <c r="B14" s="127" t="s">
        <v>137</v>
      </c>
      <c r="C14" s="126" t="s">
        <v>76</v>
      </c>
      <c r="D14" s="176">
        <v>1.1000000000000001</v>
      </c>
      <c r="E14" s="177">
        <v>1.1000000000000001</v>
      </c>
      <c r="F14" s="177">
        <v>1.1000000000000001</v>
      </c>
      <c r="G14" s="177">
        <v>1.1000000000000001</v>
      </c>
      <c r="H14" s="177">
        <v>1.1000000000000001</v>
      </c>
      <c r="I14" s="177">
        <v>1.1000000000000001</v>
      </c>
      <c r="J14" s="177">
        <v>1.1000000000000001</v>
      </c>
      <c r="K14" s="177">
        <v>1.1000000000000001</v>
      </c>
      <c r="L14" s="177">
        <v>1.1000000000000001</v>
      </c>
      <c r="M14" s="177">
        <v>1.1000000000000001</v>
      </c>
      <c r="N14" s="177">
        <v>1.1000000000000001</v>
      </c>
      <c r="O14" s="177">
        <v>1.1000000000000001</v>
      </c>
      <c r="P14" s="177">
        <v>1.1000000000000001</v>
      </c>
      <c r="Q14" s="177">
        <v>1.1000000000000001</v>
      </c>
      <c r="R14" s="177">
        <v>1.1000000000000001</v>
      </c>
      <c r="S14" s="177">
        <v>1.1000000000000001</v>
      </c>
      <c r="T14" s="177">
        <v>1.1000000000000001</v>
      </c>
      <c r="U14" s="177">
        <v>1.1000000000000001</v>
      </c>
      <c r="V14" s="177">
        <v>1.1000000000000001</v>
      </c>
      <c r="W14" s="177">
        <v>1.1000000000000001</v>
      </c>
      <c r="X14" s="177">
        <v>1.1000000000000001</v>
      </c>
      <c r="Y14" s="177">
        <v>1.1000000000000001</v>
      </c>
      <c r="Z14" s="177">
        <v>1.1000000000000001</v>
      </c>
      <c r="AA14" s="177">
        <v>1.1000000000000001</v>
      </c>
      <c r="AB14" s="177">
        <v>1.1000000000000001</v>
      </c>
      <c r="AC14" s="177">
        <v>1.1000000000000001</v>
      </c>
      <c r="AD14" s="177">
        <v>1.1000000000000001</v>
      </c>
      <c r="AE14" s="177">
        <v>1.1000000000000001</v>
      </c>
      <c r="AF14" s="177">
        <v>1.1000000000000001</v>
      </c>
      <c r="AG14" s="177">
        <v>1.1000000000000001</v>
      </c>
      <c r="AH14" s="177">
        <v>1.1000000000000001</v>
      </c>
      <c r="AI14" s="177">
        <v>1.1000000000000001</v>
      </c>
      <c r="AJ14" s="177">
        <v>1.1000000000000001</v>
      </c>
      <c r="AK14" s="177">
        <v>1.1000000000000001</v>
      </c>
      <c r="AL14" s="177">
        <v>1.1000000000000001</v>
      </c>
      <c r="AM14" s="177">
        <v>1.1000000000000001</v>
      </c>
      <c r="AN14" s="178">
        <v>1.1000000000000001</v>
      </c>
    </row>
    <row r="15" spans="1:40">
      <c r="A15" s="129"/>
      <c r="B15" s="130" t="s">
        <v>74</v>
      </c>
      <c r="C15" s="129" t="s">
        <v>66</v>
      </c>
      <c r="D15" s="176">
        <f t="shared" ref="D15:AN15" si="7">D7*D8*D14</f>
        <v>337.74854092526687</v>
      </c>
      <c r="E15" s="177">
        <f t="shared" si="7"/>
        <v>343.71515454998848</v>
      </c>
      <c r="F15" s="177">
        <f t="shared" si="7"/>
        <v>180.64685348</v>
      </c>
      <c r="G15" s="177">
        <f t="shared" si="7"/>
        <v>353.76591895482727</v>
      </c>
      <c r="H15" s="177">
        <f t="shared" si="7"/>
        <v>268.72378909601878</v>
      </c>
      <c r="I15" s="177">
        <f t="shared" si="7"/>
        <v>284.81109335448576</v>
      </c>
      <c r="J15" s="177">
        <f t="shared" si="7"/>
        <v>315.72188607920799</v>
      </c>
      <c r="K15" s="177">
        <f t="shared" si="7"/>
        <v>379.32571849668386</v>
      </c>
      <c r="L15" s="177">
        <f t="shared" si="7"/>
        <v>240.40047438032312</v>
      </c>
      <c r="M15" s="177">
        <f t="shared" si="7"/>
        <v>339.78872123541896</v>
      </c>
      <c r="N15" s="177">
        <f t="shared" si="7"/>
        <v>280.2037232637972</v>
      </c>
      <c r="O15" s="177">
        <f t="shared" si="7"/>
        <v>325.31202476414592</v>
      </c>
      <c r="P15" s="177">
        <f t="shared" si="7"/>
        <v>173.58528940025741</v>
      </c>
      <c r="Q15" s="177">
        <f t="shared" si="7"/>
        <v>191.63034483929709</v>
      </c>
      <c r="R15" s="177">
        <f t="shared" si="7"/>
        <v>259.93529217202229</v>
      </c>
      <c r="S15" s="177">
        <f t="shared" si="7"/>
        <v>353.15296099835774</v>
      </c>
      <c r="T15" s="177">
        <f t="shared" si="7"/>
        <v>283.46015086913741</v>
      </c>
      <c r="U15" s="177">
        <f t="shared" si="7"/>
        <v>332.12549718574115</v>
      </c>
      <c r="V15" s="177">
        <f t="shared" si="7"/>
        <v>273.36550199029125</v>
      </c>
      <c r="W15" s="177">
        <f t="shared" si="7"/>
        <v>173.67507241792657</v>
      </c>
      <c r="X15" s="177">
        <f t="shared" si="7"/>
        <v>268.78169685414679</v>
      </c>
      <c r="Y15" s="177">
        <f t="shared" si="7"/>
        <v>320.40437788514839</v>
      </c>
      <c r="Z15" s="177">
        <f t="shared" si="7"/>
        <v>363.79920042533092</v>
      </c>
      <c r="AA15" s="177">
        <f t="shared" si="7"/>
        <v>360.96638000809401</v>
      </c>
      <c r="AB15" s="177">
        <f t="shared" si="7"/>
        <v>268.84498246712809</v>
      </c>
      <c r="AC15" s="177">
        <f t="shared" si="7"/>
        <v>336.43827043729425</v>
      </c>
      <c r="AD15" s="177">
        <f t="shared" si="7"/>
        <v>200.73261017983873</v>
      </c>
      <c r="AE15" s="177">
        <f t="shared" si="7"/>
        <v>352.03440445586989</v>
      </c>
      <c r="AF15" s="177">
        <f t="shared" si="7"/>
        <v>265.37324834914614</v>
      </c>
      <c r="AG15" s="177">
        <f t="shared" si="7"/>
        <v>266.05446910974433</v>
      </c>
      <c r="AH15" s="177">
        <f t="shared" si="7"/>
        <v>255.24136575099695</v>
      </c>
      <c r="AI15" s="177">
        <f t="shared" si="7"/>
        <v>260.37793410038608</v>
      </c>
      <c r="AJ15" s="177">
        <f t="shared" si="7"/>
        <v>191.63034483929709</v>
      </c>
      <c r="AK15" s="177">
        <f t="shared" si="7"/>
        <v>260.3779341003862</v>
      </c>
      <c r="AL15" s="177">
        <f t="shared" si="7"/>
        <v>195.28149275999999</v>
      </c>
      <c r="AM15" s="177">
        <f t="shared" si="7"/>
        <v>191.63034483929709</v>
      </c>
      <c r="AN15" s="178">
        <f t="shared" si="7"/>
        <v>191.63034483929709</v>
      </c>
    </row>
    <row r="16" spans="1:40">
      <c r="A16" s="129"/>
      <c r="B16" s="130" t="s">
        <v>71</v>
      </c>
      <c r="C16" s="129" t="s">
        <v>66</v>
      </c>
      <c r="D16" s="176">
        <f t="shared" ref="D16:AN16" si="8">D15</f>
        <v>337.74854092526687</v>
      </c>
      <c r="E16" s="177">
        <f t="shared" si="8"/>
        <v>343.71515454998848</v>
      </c>
      <c r="F16" s="177">
        <f t="shared" si="8"/>
        <v>180.64685348</v>
      </c>
      <c r="G16" s="177">
        <f t="shared" si="8"/>
        <v>353.76591895482727</v>
      </c>
      <c r="H16" s="177">
        <f t="shared" si="8"/>
        <v>268.72378909601878</v>
      </c>
      <c r="I16" s="177">
        <f t="shared" si="8"/>
        <v>284.81109335448576</v>
      </c>
      <c r="J16" s="177">
        <f t="shared" si="8"/>
        <v>315.72188607920799</v>
      </c>
      <c r="K16" s="177">
        <f t="shared" si="8"/>
        <v>379.32571849668386</v>
      </c>
      <c r="L16" s="177">
        <f t="shared" si="8"/>
        <v>240.40047438032312</v>
      </c>
      <c r="M16" s="177">
        <f t="shared" si="8"/>
        <v>339.78872123541896</v>
      </c>
      <c r="N16" s="177">
        <f t="shared" si="8"/>
        <v>280.2037232637972</v>
      </c>
      <c r="O16" s="177">
        <f t="shared" si="8"/>
        <v>325.31202476414592</v>
      </c>
      <c r="P16" s="177">
        <f t="shared" si="8"/>
        <v>173.58528940025741</v>
      </c>
      <c r="Q16" s="177">
        <f t="shared" si="8"/>
        <v>191.63034483929709</v>
      </c>
      <c r="R16" s="177">
        <f t="shared" si="8"/>
        <v>259.93529217202229</v>
      </c>
      <c r="S16" s="177">
        <f t="shared" si="8"/>
        <v>353.15296099835774</v>
      </c>
      <c r="T16" s="177">
        <f t="shared" si="8"/>
        <v>283.46015086913741</v>
      </c>
      <c r="U16" s="177">
        <f t="shared" si="8"/>
        <v>332.12549718574115</v>
      </c>
      <c r="V16" s="177">
        <f t="shared" si="8"/>
        <v>273.36550199029125</v>
      </c>
      <c r="W16" s="177">
        <f t="shared" si="8"/>
        <v>173.67507241792657</v>
      </c>
      <c r="X16" s="177">
        <f t="shared" si="8"/>
        <v>268.78169685414679</v>
      </c>
      <c r="Y16" s="177">
        <f t="shared" si="8"/>
        <v>320.40437788514839</v>
      </c>
      <c r="Z16" s="177">
        <f t="shared" si="8"/>
        <v>363.79920042533092</v>
      </c>
      <c r="AA16" s="177">
        <f t="shared" si="8"/>
        <v>360.96638000809401</v>
      </c>
      <c r="AB16" s="177">
        <f t="shared" si="8"/>
        <v>268.84498246712809</v>
      </c>
      <c r="AC16" s="177">
        <f t="shared" si="8"/>
        <v>336.43827043729425</v>
      </c>
      <c r="AD16" s="177">
        <f t="shared" si="8"/>
        <v>200.73261017983873</v>
      </c>
      <c r="AE16" s="177">
        <f t="shared" si="8"/>
        <v>352.03440445586989</v>
      </c>
      <c r="AF16" s="177">
        <f t="shared" si="8"/>
        <v>265.37324834914614</v>
      </c>
      <c r="AG16" s="177">
        <f t="shared" si="8"/>
        <v>266.05446910974433</v>
      </c>
      <c r="AH16" s="177">
        <f t="shared" si="8"/>
        <v>255.24136575099695</v>
      </c>
      <c r="AI16" s="177">
        <f t="shared" si="8"/>
        <v>260.37793410038608</v>
      </c>
      <c r="AJ16" s="177">
        <f t="shared" si="8"/>
        <v>191.63034483929709</v>
      </c>
      <c r="AK16" s="177">
        <f t="shared" si="8"/>
        <v>260.3779341003862</v>
      </c>
      <c r="AL16" s="177">
        <f t="shared" si="8"/>
        <v>195.28149275999999</v>
      </c>
      <c r="AM16" s="177">
        <f t="shared" si="8"/>
        <v>191.63034483929709</v>
      </c>
      <c r="AN16" s="178">
        <f t="shared" si="8"/>
        <v>191.63034483929709</v>
      </c>
    </row>
    <row r="17" spans="1:40">
      <c r="A17" s="129"/>
      <c r="B17" s="130" t="s">
        <v>138</v>
      </c>
      <c r="C17" s="129" t="s">
        <v>66</v>
      </c>
      <c r="D17" s="176">
        <f t="shared" ref="D17:AN17" si="9">SUM(D15:D16,D13)</f>
        <v>1222.3996485466012</v>
      </c>
      <c r="E17" s="177">
        <f t="shared" si="9"/>
        <v>1239.6173652519287</v>
      </c>
      <c r="F17" s="177">
        <f t="shared" si="9"/>
        <v>746.75691225862965</v>
      </c>
      <c r="G17" s="177">
        <f t="shared" si="9"/>
        <v>1268.5179579975775</v>
      </c>
      <c r="H17" s="177">
        <f t="shared" si="9"/>
        <v>1019.442130383584</v>
      </c>
      <c r="I17" s="177">
        <f t="shared" si="9"/>
        <v>1067.4273613073283</v>
      </c>
      <c r="J17" s="177">
        <f t="shared" si="9"/>
        <v>1158.4217392176815</v>
      </c>
      <c r="K17" s="177">
        <f t="shared" si="9"/>
        <v>1341.4666984540067</v>
      </c>
      <c r="L17" s="177">
        <f t="shared" si="9"/>
        <v>933.76244799026767</v>
      </c>
      <c r="M17" s="177">
        <f t="shared" si="9"/>
        <v>1228.292161790361</v>
      </c>
      <c r="N17" s="177">
        <f t="shared" si="9"/>
        <v>1053.7311653949118</v>
      </c>
      <c r="O17" s="177">
        <f t="shared" si="9"/>
        <v>1186.3596922473878</v>
      </c>
      <c r="P17" s="177">
        <f t="shared" si="9"/>
        <v>688.03173054093986</v>
      </c>
      <c r="Q17" s="177">
        <f t="shared" si="9"/>
        <v>781.88664957666333</v>
      </c>
      <c r="R17" s="177">
        <f t="shared" si="9"/>
        <v>993.02754181781097</v>
      </c>
      <c r="S17" s="177">
        <f t="shared" si="9"/>
        <v>1266.7590285246918</v>
      </c>
      <c r="T17" s="177">
        <f t="shared" si="9"/>
        <v>1063.4152339435882</v>
      </c>
      <c r="U17" s="177">
        <f t="shared" si="9"/>
        <v>1206.1304702041159</v>
      </c>
      <c r="V17" s="177">
        <f t="shared" si="9"/>
        <v>1033.334900597036</v>
      </c>
      <c r="W17" s="177">
        <f t="shared" si="9"/>
        <v>688.30874537941168</v>
      </c>
      <c r="X17" s="177">
        <f t="shared" si="9"/>
        <v>1019.6156939895226</v>
      </c>
      <c r="Y17" s="177">
        <f t="shared" si="9"/>
        <v>1172.0791271628186</v>
      </c>
      <c r="Z17" s="177">
        <f t="shared" si="9"/>
        <v>1297.2444686721969</v>
      </c>
      <c r="AA17" s="177">
        <f t="shared" si="9"/>
        <v>1289.145988589202</v>
      </c>
      <c r="AB17" s="177">
        <f t="shared" si="9"/>
        <v>1019.80536921799</v>
      </c>
      <c r="AC17" s="177">
        <f t="shared" si="9"/>
        <v>1218.612396393316</v>
      </c>
      <c r="AD17" s="177">
        <f t="shared" si="9"/>
        <v>810.71613368997498</v>
      </c>
      <c r="AE17" s="177">
        <f t="shared" si="9"/>
        <v>1263.5480518295444</v>
      </c>
      <c r="AF17" s="177">
        <f t="shared" si="9"/>
        <v>1009.3890854254764</v>
      </c>
      <c r="AG17" s="177">
        <f t="shared" si="9"/>
        <v>1011.4347431907424</v>
      </c>
      <c r="AH17" s="177">
        <f t="shared" si="9"/>
        <v>978.8582896479877</v>
      </c>
      <c r="AI17" s="177">
        <f t="shared" si="9"/>
        <v>994.36148063736732</v>
      </c>
      <c r="AJ17" s="177">
        <f t="shared" si="9"/>
        <v>781.88664957666333</v>
      </c>
      <c r="AK17" s="177">
        <f t="shared" si="9"/>
        <v>994.36148063736755</v>
      </c>
      <c r="AL17" s="177">
        <f t="shared" si="9"/>
        <v>793.48055863731634</v>
      </c>
      <c r="AM17" s="177">
        <f t="shared" si="9"/>
        <v>781.88664957666333</v>
      </c>
      <c r="AN17" s="178">
        <f t="shared" si="9"/>
        <v>781.88664957666333</v>
      </c>
    </row>
    <row r="18" spans="1:40">
      <c r="A18" s="121"/>
      <c r="B18" s="132" t="s">
        <v>75</v>
      </c>
      <c r="C18" s="121" t="s">
        <v>69</v>
      </c>
      <c r="D18" s="200">
        <f t="shared" ref="D18:AN18" si="10">D7*D8*D11</f>
        <v>1842.2647686832738</v>
      </c>
      <c r="E18" s="201">
        <f t="shared" si="10"/>
        <v>1874.8099339090279</v>
      </c>
      <c r="F18" s="201">
        <f t="shared" si="10"/>
        <v>985.34647352727279</v>
      </c>
      <c r="G18" s="201">
        <f t="shared" si="10"/>
        <v>1929.6322852081487</v>
      </c>
      <c r="H18" s="201">
        <f t="shared" si="10"/>
        <v>1465.7661223419204</v>
      </c>
      <c r="I18" s="201">
        <f t="shared" si="10"/>
        <v>1553.5150546608313</v>
      </c>
      <c r="J18" s="201">
        <f t="shared" si="10"/>
        <v>1722.1193786138615</v>
      </c>
      <c r="K18" s="201">
        <f t="shared" si="10"/>
        <v>2069.0493736182757</v>
      </c>
      <c r="L18" s="201">
        <f t="shared" si="10"/>
        <v>1311.2753148017623</v>
      </c>
      <c r="M18" s="201">
        <f t="shared" si="10"/>
        <v>1853.3930249204668</v>
      </c>
      <c r="N18" s="201">
        <f t="shared" si="10"/>
        <v>1528.3839450752573</v>
      </c>
      <c r="O18" s="201">
        <f t="shared" si="10"/>
        <v>1774.4292259862505</v>
      </c>
      <c r="P18" s="201">
        <f t="shared" si="10"/>
        <v>946.82885127413124</v>
      </c>
      <c r="Q18" s="201">
        <f t="shared" si="10"/>
        <v>1045.2564263961658</v>
      </c>
      <c r="R18" s="201">
        <f t="shared" si="10"/>
        <v>1417.8288663928488</v>
      </c>
      <c r="S18" s="201">
        <f t="shared" si="10"/>
        <v>1926.2888781728602</v>
      </c>
      <c r="T18" s="201">
        <f t="shared" si="10"/>
        <v>1546.1462774680222</v>
      </c>
      <c r="U18" s="201">
        <f t="shared" si="10"/>
        <v>1811.5936210131333</v>
      </c>
      <c r="V18" s="201">
        <f t="shared" si="10"/>
        <v>1491.0845563106793</v>
      </c>
      <c r="W18" s="201">
        <f t="shared" si="10"/>
        <v>947.31857682505392</v>
      </c>
      <c r="X18" s="201">
        <f t="shared" si="10"/>
        <v>1466.0819828408005</v>
      </c>
      <c r="Y18" s="201">
        <f t="shared" si="10"/>
        <v>1747.6602430099001</v>
      </c>
      <c r="Z18" s="201">
        <f t="shared" si="10"/>
        <v>1984.3592750472594</v>
      </c>
      <c r="AA18" s="201">
        <f t="shared" si="10"/>
        <v>1968.9075273168762</v>
      </c>
      <c r="AB18" s="201">
        <f t="shared" si="10"/>
        <v>1466.4271770934258</v>
      </c>
      <c r="AC18" s="201">
        <f t="shared" si="10"/>
        <v>1835.1178387488776</v>
      </c>
      <c r="AD18" s="201">
        <f t="shared" si="10"/>
        <v>1094.9051464354839</v>
      </c>
      <c r="AE18" s="201">
        <f t="shared" si="10"/>
        <v>1920.1876606683809</v>
      </c>
      <c r="AF18" s="201">
        <f t="shared" si="10"/>
        <v>1447.4904455407968</v>
      </c>
      <c r="AG18" s="201">
        <f t="shared" si="10"/>
        <v>1451.2061951440601</v>
      </c>
      <c r="AH18" s="201">
        <f t="shared" si="10"/>
        <v>1392.2256313690741</v>
      </c>
      <c r="AI18" s="201">
        <f t="shared" si="10"/>
        <v>1420.2432769111967</v>
      </c>
      <c r="AJ18" s="201">
        <f t="shared" si="10"/>
        <v>1045.2564263961658</v>
      </c>
      <c r="AK18" s="201">
        <f t="shared" si="10"/>
        <v>1420.2432769111972</v>
      </c>
      <c r="AL18" s="201">
        <f t="shared" si="10"/>
        <v>1065.1717786909089</v>
      </c>
      <c r="AM18" s="201">
        <f t="shared" si="10"/>
        <v>1045.2564263961658</v>
      </c>
      <c r="AN18" s="202">
        <f t="shared" si="10"/>
        <v>1045.2564263961658</v>
      </c>
    </row>
    <row r="19" spans="1:40">
      <c r="A19" s="203" t="s">
        <v>70</v>
      </c>
      <c r="B19" s="133"/>
      <c r="C19" s="134" t="s">
        <v>76</v>
      </c>
      <c r="D19" s="184">
        <f t="shared" ref="D19:AN19" si="11">(D17+D22)/D18</f>
        <v>0.6928426739978778</v>
      </c>
      <c r="E19" s="185">
        <f t="shared" si="11"/>
        <v>0.68999920570865692</v>
      </c>
      <c r="F19" s="185">
        <f t="shared" si="11"/>
        <v>0.81266532511364997</v>
      </c>
      <c r="G19" s="185">
        <f t="shared" si="11"/>
        <v>0.68537304653094466</v>
      </c>
      <c r="H19" s="185">
        <f t="shared" si="11"/>
        <v>0.73234202511686997</v>
      </c>
      <c r="I19" s="185">
        <f t="shared" si="11"/>
        <v>0.72186449557913179</v>
      </c>
      <c r="J19" s="185">
        <f t="shared" si="11"/>
        <v>0.70402885785627889</v>
      </c>
      <c r="K19" s="185">
        <f t="shared" si="11"/>
        <v>0.6744482351398251</v>
      </c>
      <c r="L19" s="185">
        <f t="shared" si="11"/>
        <v>0.75328379695731318</v>
      </c>
      <c r="M19" s="185">
        <f t="shared" si="11"/>
        <v>0.69186197668213789</v>
      </c>
      <c r="N19" s="185">
        <f t="shared" si="11"/>
        <v>0.72477283536262704</v>
      </c>
      <c r="O19" s="185">
        <f t="shared" si="11"/>
        <v>0.69901897133033297</v>
      </c>
      <c r="P19" s="185">
        <f t="shared" si="11"/>
        <v>0.76469124231546481</v>
      </c>
      <c r="Q19" s="185">
        <f t="shared" si="11"/>
        <v>0.79969529817542728</v>
      </c>
      <c r="R19" s="185">
        <f t="shared" si="11"/>
        <v>0.73847243954172881</v>
      </c>
      <c r="S19" s="185">
        <f t="shared" si="11"/>
        <v>0.68564951160257404</v>
      </c>
      <c r="T19" s="185">
        <f t="shared" si="11"/>
        <v>0.72270990800008494</v>
      </c>
      <c r="U19" s="185">
        <f t="shared" si="11"/>
        <v>0.69559224297742239</v>
      </c>
      <c r="V19" s="185">
        <f t="shared" si="11"/>
        <v>0.72922417175815823</v>
      </c>
      <c r="W19" s="185">
        <f t="shared" si="11"/>
        <v>0.76458834767807304</v>
      </c>
      <c r="X19" s="185">
        <f t="shared" si="11"/>
        <v>0.73230263147303454</v>
      </c>
      <c r="Y19" s="185">
        <f t="shared" si="11"/>
        <v>0.7015546254294881</v>
      </c>
      <c r="Z19" s="185">
        <f t="shared" si="11"/>
        <v>0.680947490539492</v>
      </c>
      <c r="AA19" s="185">
        <f t="shared" si="11"/>
        <v>0.6821782993635922</v>
      </c>
      <c r="AB19" s="185">
        <f t="shared" si="11"/>
        <v>0.73225959392430018</v>
      </c>
      <c r="AC19" s="185">
        <f t="shared" si="11"/>
        <v>0.69347720866848572</v>
      </c>
      <c r="AD19" s="185">
        <f t="shared" si="11"/>
        <v>0.78976351193991534</v>
      </c>
      <c r="AE19" s="185">
        <f t="shared" si="11"/>
        <v>0.68615587883266105</v>
      </c>
      <c r="AF19" s="185">
        <f t="shared" si="11"/>
        <v>0.734643250117056</v>
      </c>
      <c r="AG19" s="185">
        <f t="shared" si="11"/>
        <v>0.73417185425188847</v>
      </c>
      <c r="AH19" s="185">
        <f t="shared" si="11"/>
        <v>0.74187564599877753</v>
      </c>
      <c r="AI19" s="185">
        <f t="shared" si="11"/>
        <v>0.73815627060554501</v>
      </c>
      <c r="AJ19" s="185">
        <f t="shared" si="11"/>
        <v>0.79969529817542728</v>
      </c>
      <c r="AK19" s="185">
        <f t="shared" si="11"/>
        <v>0.7381562706055449</v>
      </c>
      <c r="AL19" s="185">
        <f t="shared" si="11"/>
        <v>0.79562806261997099</v>
      </c>
      <c r="AM19" s="185">
        <f t="shared" si="11"/>
        <v>0.79969529817542728</v>
      </c>
      <c r="AN19" s="186">
        <f t="shared" si="11"/>
        <v>0.79969529817542728</v>
      </c>
    </row>
    <row r="20" spans="1:40">
      <c r="A20" s="162"/>
    </row>
    <row r="21" spans="1:40">
      <c r="A21" s="146"/>
      <c r="B21" s="124" t="s">
        <v>79</v>
      </c>
      <c r="C21" s="125" t="s">
        <v>125</v>
      </c>
      <c r="D21" s="188">
        <f t="shared" ref="D21:AN21" si="12">D3*5</f>
        <v>30</v>
      </c>
      <c r="E21" s="189">
        <f t="shared" si="12"/>
        <v>30</v>
      </c>
      <c r="F21" s="189">
        <f t="shared" si="12"/>
        <v>30</v>
      </c>
      <c r="G21" s="189">
        <f t="shared" si="12"/>
        <v>30</v>
      </c>
      <c r="H21" s="189">
        <f t="shared" si="12"/>
        <v>30</v>
      </c>
      <c r="I21" s="189">
        <f t="shared" si="12"/>
        <v>30</v>
      </c>
      <c r="J21" s="189">
        <f t="shared" si="12"/>
        <v>30</v>
      </c>
      <c r="K21" s="189">
        <f t="shared" si="12"/>
        <v>30</v>
      </c>
      <c r="L21" s="189">
        <f t="shared" si="12"/>
        <v>30</v>
      </c>
      <c r="M21" s="189">
        <f t="shared" si="12"/>
        <v>30</v>
      </c>
      <c r="N21" s="189">
        <f t="shared" si="12"/>
        <v>30</v>
      </c>
      <c r="O21" s="189">
        <f t="shared" si="12"/>
        <v>30</v>
      </c>
      <c r="P21" s="189">
        <f t="shared" si="12"/>
        <v>20</v>
      </c>
      <c r="Q21" s="189">
        <f t="shared" si="12"/>
        <v>30</v>
      </c>
      <c r="R21" s="189">
        <f t="shared" si="12"/>
        <v>30</v>
      </c>
      <c r="S21" s="189">
        <f t="shared" si="12"/>
        <v>30</v>
      </c>
      <c r="T21" s="189">
        <f t="shared" si="12"/>
        <v>30</v>
      </c>
      <c r="U21" s="189">
        <f t="shared" si="12"/>
        <v>30</v>
      </c>
      <c r="V21" s="189">
        <f t="shared" si="12"/>
        <v>30</v>
      </c>
      <c r="W21" s="189">
        <f t="shared" si="12"/>
        <v>20</v>
      </c>
      <c r="X21" s="189">
        <f t="shared" si="12"/>
        <v>30</v>
      </c>
      <c r="Y21" s="189">
        <f t="shared" si="12"/>
        <v>30</v>
      </c>
      <c r="Z21" s="189">
        <f t="shared" si="12"/>
        <v>30</v>
      </c>
      <c r="AA21" s="189">
        <f t="shared" si="12"/>
        <v>30</v>
      </c>
      <c r="AB21" s="189">
        <f t="shared" si="12"/>
        <v>30</v>
      </c>
      <c r="AC21" s="189">
        <f t="shared" si="12"/>
        <v>30</v>
      </c>
      <c r="AD21" s="189">
        <f t="shared" si="12"/>
        <v>30</v>
      </c>
      <c r="AE21" s="189">
        <f t="shared" si="12"/>
        <v>30</v>
      </c>
      <c r="AF21" s="189">
        <f t="shared" si="12"/>
        <v>30</v>
      </c>
      <c r="AG21" s="189">
        <f t="shared" si="12"/>
        <v>30</v>
      </c>
      <c r="AH21" s="189">
        <f t="shared" si="12"/>
        <v>30</v>
      </c>
      <c r="AI21" s="189">
        <f t="shared" si="12"/>
        <v>30</v>
      </c>
      <c r="AJ21" s="189">
        <f t="shared" si="12"/>
        <v>30</v>
      </c>
      <c r="AK21" s="189">
        <f t="shared" si="12"/>
        <v>30</v>
      </c>
      <c r="AL21" s="189">
        <f t="shared" si="12"/>
        <v>30</v>
      </c>
      <c r="AM21" s="189">
        <f t="shared" si="12"/>
        <v>30</v>
      </c>
      <c r="AN21" s="190">
        <f t="shared" si="12"/>
        <v>30</v>
      </c>
    </row>
    <row r="22" spans="1:40">
      <c r="A22" s="129"/>
      <c r="B22" s="130" t="s">
        <v>78</v>
      </c>
      <c r="C22" s="131" t="s">
        <v>66</v>
      </c>
      <c r="D22" s="176">
        <f t="shared" ref="D22:AN22" si="13">D21*(1.2*1.5)</f>
        <v>53.999999999999993</v>
      </c>
      <c r="E22" s="182">
        <f t="shared" si="13"/>
        <v>53.999999999999993</v>
      </c>
      <c r="F22" s="182">
        <f t="shared" si="13"/>
        <v>53.999999999999993</v>
      </c>
      <c r="G22" s="182">
        <f t="shared" si="13"/>
        <v>53.999999999999993</v>
      </c>
      <c r="H22" s="182">
        <f t="shared" si="13"/>
        <v>53.999999999999993</v>
      </c>
      <c r="I22" s="182">
        <f t="shared" si="13"/>
        <v>53.999999999999993</v>
      </c>
      <c r="J22" s="182">
        <f t="shared" si="13"/>
        <v>53.999999999999993</v>
      </c>
      <c r="K22" s="182">
        <f t="shared" si="13"/>
        <v>53.999999999999993</v>
      </c>
      <c r="L22" s="182">
        <f t="shared" si="13"/>
        <v>53.999999999999993</v>
      </c>
      <c r="M22" s="182">
        <f t="shared" si="13"/>
        <v>53.999999999999993</v>
      </c>
      <c r="N22" s="182">
        <f t="shared" si="13"/>
        <v>53.999999999999993</v>
      </c>
      <c r="O22" s="182">
        <f t="shared" si="13"/>
        <v>53.999999999999993</v>
      </c>
      <c r="P22" s="182">
        <f t="shared" si="13"/>
        <v>36</v>
      </c>
      <c r="Q22" s="182">
        <f t="shared" si="13"/>
        <v>53.999999999999993</v>
      </c>
      <c r="R22" s="182">
        <f t="shared" si="13"/>
        <v>53.999999999999993</v>
      </c>
      <c r="S22" s="182">
        <f t="shared" si="13"/>
        <v>53.999999999999993</v>
      </c>
      <c r="T22" s="182">
        <f t="shared" si="13"/>
        <v>53.999999999999993</v>
      </c>
      <c r="U22" s="182">
        <f t="shared" si="13"/>
        <v>53.999999999999993</v>
      </c>
      <c r="V22" s="182">
        <f t="shared" si="13"/>
        <v>53.999999999999993</v>
      </c>
      <c r="W22" s="182">
        <f t="shared" si="13"/>
        <v>36</v>
      </c>
      <c r="X22" s="182">
        <f t="shared" si="13"/>
        <v>53.999999999999993</v>
      </c>
      <c r="Y22" s="182">
        <f t="shared" si="13"/>
        <v>53.999999999999993</v>
      </c>
      <c r="Z22" s="182">
        <f t="shared" si="13"/>
        <v>53.999999999999993</v>
      </c>
      <c r="AA22" s="182">
        <f t="shared" si="13"/>
        <v>53.999999999999993</v>
      </c>
      <c r="AB22" s="182">
        <f t="shared" si="13"/>
        <v>53.999999999999993</v>
      </c>
      <c r="AC22" s="182">
        <f t="shared" si="13"/>
        <v>53.999999999999993</v>
      </c>
      <c r="AD22" s="182">
        <f t="shared" si="13"/>
        <v>53.999999999999993</v>
      </c>
      <c r="AE22" s="182">
        <f t="shared" si="13"/>
        <v>53.999999999999993</v>
      </c>
      <c r="AF22" s="182">
        <f t="shared" si="13"/>
        <v>53.999999999999993</v>
      </c>
      <c r="AG22" s="182">
        <f t="shared" si="13"/>
        <v>53.999999999999993</v>
      </c>
      <c r="AH22" s="182">
        <f t="shared" si="13"/>
        <v>53.999999999999993</v>
      </c>
      <c r="AI22" s="182">
        <f t="shared" si="13"/>
        <v>53.999999999999993</v>
      </c>
      <c r="AJ22" s="182">
        <f t="shared" si="13"/>
        <v>53.999999999999993</v>
      </c>
      <c r="AK22" s="182">
        <f t="shared" si="13"/>
        <v>53.999999999999993</v>
      </c>
      <c r="AL22" s="182">
        <f t="shared" si="13"/>
        <v>53.999999999999993</v>
      </c>
      <c r="AM22" s="182">
        <f t="shared" si="13"/>
        <v>53.999999999999993</v>
      </c>
      <c r="AN22" s="183">
        <f t="shared" si="13"/>
        <v>53.999999999999993</v>
      </c>
    </row>
    <row r="23" spans="1:40" ht="30.75" customHeight="1">
      <c r="A23" s="121"/>
      <c r="B23" s="132" t="s">
        <v>149</v>
      </c>
      <c r="C23" s="122" t="s">
        <v>148</v>
      </c>
      <c r="D23" s="191">
        <f t="shared" ref="D23:AN23" si="14">D22/(D12)</f>
        <v>8.9864818346354042E-2</v>
      </c>
      <c r="E23" s="192">
        <f t="shared" si="14"/>
        <v>8.9081413817691149E-2</v>
      </c>
      <c r="F23" s="192">
        <f t="shared" si="14"/>
        <v>0.12287718140886272</v>
      </c>
      <c r="G23" s="192">
        <f t="shared" si="14"/>
        <v>8.7806859758525535E-2</v>
      </c>
      <c r="H23" s="192">
        <f t="shared" si="14"/>
        <v>0.1007472926342397</v>
      </c>
      <c r="I23" s="192">
        <f t="shared" si="14"/>
        <v>9.7860626333026057E-2</v>
      </c>
      <c r="J23" s="192">
        <f t="shared" si="14"/>
        <v>9.2946726144076758E-2</v>
      </c>
      <c r="K23" s="192">
        <f t="shared" si="14"/>
        <v>8.4796962742604898E-2</v>
      </c>
      <c r="L23" s="192">
        <f t="shared" si="14"/>
        <v>0.10651696446783115</v>
      </c>
      <c r="M23" s="192">
        <f t="shared" si="14"/>
        <v>8.959462622875225E-2</v>
      </c>
      <c r="N23" s="192">
        <f t="shared" si="14"/>
        <v>9.8661903620315614E-2</v>
      </c>
      <c r="O23" s="192">
        <f t="shared" si="14"/>
        <v>9.1566451284887621E-2</v>
      </c>
      <c r="P23" s="192">
        <f t="shared" si="14"/>
        <v>9.5525898155711553E-2</v>
      </c>
      <c r="Q23" s="192">
        <f t="shared" si="14"/>
        <v>0.11930380664016868</v>
      </c>
      <c r="R23" s="192">
        <f t="shared" si="14"/>
        <v>0.10243628436353752</v>
      </c>
      <c r="S23" s="192">
        <f t="shared" si="14"/>
        <v>8.7883028706831595E-2</v>
      </c>
      <c r="T23" s="192">
        <f t="shared" si="14"/>
        <v>9.8093546081656005E-2</v>
      </c>
      <c r="U23" s="192">
        <f t="shared" si="14"/>
        <v>9.0622352657044908E-2</v>
      </c>
      <c r="V23" s="192">
        <f t="shared" si="14"/>
        <v>9.9888292219084379E-2</v>
      </c>
      <c r="W23" s="192">
        <f t="shared" si="14"/>
        <v>9.5501203442737506E-2</v>
      </c>
      <c r="X23" s="192">
        <f t="shared" si="14"/>
        <v>0.10073643928338706</v>
      </c>
      <c r="Y23" s="192">
        <f t="shared" si="14"/>
        <v>9.2265049863226284E-2</v>
      </c>
      <c r="Z23" s="192">
        <f t="shared" si="14"/>
        <v>8.6587573924145747E-2</v>
      </c>
      <c r="AA23" s="192">
        <f t="shared" si="14"/>
        <v>8.6926674314459038E-2</v>
      </c>
      <c r="AB23" s="192">
        <f t="shared" si="14"/>
        <v>0.10072458199955214</v>
      </c>
      <c r="AC23" s="192">
        <f t="shared" si="14"/>
        <v>9.0039639122950155E-2</v>
      </c>
      <c r="AD23" s="192">
        <f t="shared" si="14"/>
        <v>0.11656749818752767</v>
      </c>
      <c r="AE23" s="192">
        <f t="shared" si="14"/>
        <v>8.8022538045733095E-2</v>
      </c>
      <c r="AF23" s="192">
        <f t="shared" si="14"/>
        <v>0.10138130360367864</v>
      </c>
      <c r="AG23" s="192">
        <f t="shared" si="14"/>
        <v>0.10125142923266311</v>
      </c>
      <c r="AH23" s="192">
        <f t="shared" si="14"/>
        <v>0.10337390246905091</v>
      </c>
      <c r="AI23" s="192">
        <f t="shared" si="14"/>
        <v>0.1023491765954052</v>
      </c>
      <c r="AJ23" s="192">
        <f t="shared" si="14"/>
        <v>0.11930380664016868</v>
      </c>
      <c r="AK23" s="192">
        <f t="shared" si="14"/>
        <v>0.1023491765954052</v>
      </c>
      <c r="AL23" s="192">
        <f t="shared" si="14"/>
        <v>0.11818324174223686</v>
      </c>
      <c r="AM23" s="192">
        <f t="shared" si="14"/>
        <v>0.11930380664016868</v>
      </c>
      <c r="AN23" s="193">
        <f t="shared" si="14"/>
        <v>0.11930380664016868</v>
      </c>
    </row>
    <row r="24" spans="1:40" ht="29.25" customHeight="1">
      <c r="A24" s="938" t="s">
        <v>123</v>
      </c>
      <c r="B24" s="939"/>
      <c r="C24" s="138"/>
      <c r="D24" s="194">
        <v>1</v>
      </c>
      <c r="E24" s="195">
        <v>1</v>
      </c>
      <c r="F24" s="195">
        <v>1</v>
      </c>
      <c r="G24" s="195">
        <v>1</v>
      </c>
      <c r="H24" s="195">
        <v>1</v>
      </c>
      <c r="I24" s="195">
        <v>1</v>
      </c>
      <c r="J24" s="195">
        <v>1</v>
      </c>
      <c r="K24" s="195">
        <v>1</v>
      </c>
      <c r="L24" s="195">
        <v>1</v>
      </c>
      <c r="M24" s="195">
        <v>1</v>
      </c>
      <c r="N24" s="195">
        <v>1</v>
      </c>
      <c r="O24" s="195">
        <v>1</v>
      </c>
      <c r="P24" s="195">
        <v>1</v>
      </c>
      <c r="Q24" s="195">
        <v>1</v>
      </c>
      <c r="R24" s="195">
        <v>1</v>
      </c>
      <c r="S24" s="195">
        <v>1</v>
      </c>
      <c r="T24" s="195">
        <v>1</v>
      </c>
      <c r="U24" s="195">
        <v>1</v>
      </c>
      <c r="V24" s="195">
        <v>1</v>
      </c>
      <c r="W24" s="195">
        <v>1</v>
      </c>
      <c r="X24" s="195">
        <v>1</v>
      </c>
      <c r="Y24" s="195">
        <v>1</v>
      </c>
      <c r="Z24" s="195">
        <v>1</v>
      </c>
      <c r="AA24" s="195">
        <v>1</v>
      </c>
      <c r="AB24" s="195">
        <v>1</v>
      </c>
      <c r="AC24" s="195">
        <v>1</v>
      </c>
      <c r="AD24" s="195">
        <v>1</v>
      </c>
      <c r="AE24" s="195">
        <v>1</v>
      </c>
      <c r="AF24" s="195">
        <v>1</v>
      </c>
      <c r="AG24" s="195">
        <v>1</v>
      </c>
      <c r="AH24" s="195">
        <v>1</v>
      </c>
      <c r="AI24" s="195">
        <v>1</v>
      </c>
      <c r="AJ24" s="195">
        <v>1</v>
      </c>
      <c r="AK24" s="195">
        <v>1</v>
      </c>
      <c r="AL24" s="195">
        <v>1</v>
      </c>
      <c r="AM24" s="195">
        <v>1</v>
      </c>
      <c r="AN24" s="196">
        <v>1</v>
      </c>
    </row>
    <row r="26" spans="1:40">
      <c r="A26" s="151" t="s">
        <v>193</v>
      </c>
      <c r="B26" s="141" t="s">
        <v>2</v>
      </c>
      <c r="C26" s="360" t="s">
        <v>195</v>
      </c>
      <c r="D26" s="170">
        <f>((LOOKUP(D2,'Ceiling-U'!$A$4:$A$40,'Ceiling-U'!$E$4:$E$40)*D15)+(LOOKUP(D2,'Floor-U'!$A$4:$A$40,'Floor-U'!$E$4:$E$40)*D16)+(LOOKUP(D2,'Wall-U'!$A$4:$A$40,'Wall-U'!$E$4:$E$40)*D13)+(LOOKUP(D2,'Window-U'!$A$4:$A$40,'Window-U'!$E$4:$E$40)*D22))*D24</f>
        <v>1714.3937022054524</v>
      </c>
      <c r="E26" s="171">
        <f>((LOOKUP(E2,'Ceiling-U'!$A$4:$A$40,'Ceiling-U'!$E$4:$E$40)*E15)+(LOOKUP(E2,'Floor-U'!$A$4:$A$40,'Floor-U'!$E$4:$E$40)*E16)+(LOOKUP(E2,'Wall-U'!$A$4:$A$40,'Wall-U'!$E$4:$E$40)*E13)+(LOOKUP(E2,'Window-U'!$A$4:$A$40,'Window-U'!$E$4:$E$40)*E22))*E24</f>
        <v>2226.7743477792978</v>
      </c>
      <c r="F26" s="171">
        <f>((LOOKUP(F2,'Ceiling-U'!$A$4:$A$40,'Ceiling-U'!$E$4:$E$40)*F15)+(LOOKUP(F2,'Floor-U'!$A$4:$A$40,'Floor-U'!$E$4:$E$40)*F16)+(LOOKUP(F2,'Wall-U'!$A$4:$A$40,'Wall-U'!$E$4:$E$40)*F13)+(LOOKUP(F2,'Window-U'!$A$4:$A$40,'Window-U'!$E$4:$E$40)*F22))*F24</f>
        <v>1177.3770549999936</v>
      </c>
      <c r="G26" s="171">
        <f>((LOOKUP(G2,'Ceiling-U'!$A$4:$A$40,'Ceiling-U'!$E$4:$E$40)*G15)+(LOOKUP(G2,'Floor-U'!$A$4:$A$40,'Floor-U'!$E$4:$E$40)*G16)+(LOOKUP(G2,'Wall-U'!$A$4:$A$40,'Wall-U'!$E$4:$E$40)*G13)+(LOOKUP(G2,'Window-U'!$A$4:$A$40,'Window-U'!$E$4:$E$40)*G22))*G24</f>
        <v>1770.9230815349097</v>
      </c>
      <c r="H26" s="171">
        <f>((LOOKUP(H2,'Ceiling-U'!$A$4:$A$40,'Ceiling-U'!$E$4:$E$40)*H15)+(LOOKUP(H2,'Floor-U'!$A$4:$A$40,'Floor-U'!$E$4:$E$40)*H16)+(LOOKUP(H2,'Wall-U'!$A$4:$A$40,'Wall-U'!$E$4:$E$40)*H13)+(LOOKUP(H2,'Window-U'!$A$4:$A$40,'Window-U'!$E$4:$E$40)*H22))*H24</f>
        <v>2910.0676645082904</v>
      </c>
      <c r="I26" s="171">
        <f>((LOOKUP(I2,'Ceiling-U'!$A$4:$A$40,'Ceiling-U'!$E$4:$E$40)*I15)+(LOOKUP(I2,'Floor-U'!$A$4:$A$40,'Floor-U'!$E$4:$E$40)*I16)+(LOOKUP(I2,'Wall-U'!$A$4:$A$40,'Wall-U'!$E$4:$E$40)*I13)+(LOOKUP(I2,'Window-U'!$A$4:$A$40,'Window-U'!$E$4:$E$40)*I22))*I24</f>
        <v>1272.203575065118</v>
      </c>
      <c r="J26" s="171">
        <f>((LOOKUP(J2,'Ceiling-U'!$A$4:$A$40,'Ceiling-U'!$E$4:$E$40)*J15)+(LOOKUP(J2,'Floor-U'!$A$4:$A$40,'Floor-U'!$E$4:$E$40)*J16)+(LOOKUP(J2,'Wall-U'!$A$4:$A$40,'Wall-U'!$E$4:$E$40)*J13)+(LOOKUP(J2,'Window-U'!$A$4:$A$40,'Window-U'!$E$4:$E$40)*J22))*J24</f>
        <v>2074.2091236215897</v>
      </c>
      <c r="K26" s="171">
        <f>((LOOKUP(K2,'Ceiling-U'!$A$4:$A$40,'Ceiling-U'!$E$4:$E$40)*K15)+(LOOKUP(K2,'Floor-U'!$A$4:$A$40,'Floor-U'!$E$4:$E$40)*K16)+(LOOKUP(K2,'Wall-U'!$A$4:$A$40,'Wall-U'!$E$4:$E$40)*K13)+(LOOKUP(K2,'Window-U'!$A$4:$A$40,'Window-U'!$E$4:$E$40)*K22))*K24</f>
        <v>1072.466801488875</v>
      </c>
      <c r="L26" s="171">
        <f>((LOOKUP(L2,'Ceiling-U'!$A$4:$A$40,'Ceiling-U'!$E$4:$E$40)*L15)+(LOOKUP(L2,'Floor-U'!$A$4:$A$40,'Floor-U'!$E$4:$E$40)*L16)+(LOOKUP(L2,'Wall-U'!$A$4:$A$40,'Wall-U'!$E$4:$E$40)*L13)+(LOOKUP(L2,'Window-U'!$A$4:$A$40,'Window-U'!$E$4:$E$40)*L22))*L24</f>
        <v>527.67214500611499</v>
      </c>
      <c r="M26" s="171">
        <f>((LOOKUP(M2,'Ceiling-U'!$A$4:$A$40,'Ceiling-U'!$E$4:$E$40)*M15)+(LOOKUP(M2,'Floor-U'!$A$4:$A$40,'Floor-U'!$E$4:$E$40)*M16)+(LOOKUP(M2,'Wall-U'!$A$4:$A$40,'Wall-U'!$E$4:$E$40)*M13)+(LOOKUP(M2,'Window-U'!$A$4:$A$40,'Window-U'!$E$4:$E$40)*M22))*M24</f>
        <v>3117.6737218739581</v>
      </c>
      <c r="N26" s="171">
        <f>((LOOKUP(N2,'Ceiling-U'!$A$4:$A$40,'Ceiling-U'!$E$4:$E$40)*N15)+(LOOKUP(N2,'Floor-U'!$A$4:$A$40,'Floor-U'!$E$4:$E$40)*N16)+(LOOKUP(N2,'Wall-U'!$A$4:$A$40,'Wall-U'!$E$4:$E$40)*N13)+(LOOKUP(N2,'Window-U'!$A$4:$A$40,'Window-U'!$E$4:$E$40)*N22))*N24</f>
        <v>709.00814074737741</v>
      </c>
      <c r="O26" s="171">
        <f>((LOOKUP(O2,'Ceiling-U'!$A$4:$A$40,'Ceiling-U'!$E$4:$E$40)*O15)+(LOOKUP(O2,'Floor-U'!$A$4:$A$40,'Floor-U'!$E$4:$E$40)*O16)+(LOOKUP(O2,'Wall-U'!$A$4:$A$40,'Wall-U'!$E$4:$E$40)*O13)+(LOOKUP(O2,'Window-U'!$A$4:$A$40,'Window-U'!$E$4:$E$40)*O22))*O24</f>
        <v>3030.0432182363966</v>
      </c>
      <c r="P26" s="171">
        <f>((LOOKUP(P2,'Ceiling-U'!$A$4:$A$40,'Ceiling-U'!$E$4:$E$40)*P15)+(LOOKUP(P2,'Floor-U'!$A$4:$A$40,'Floor-U'!$E$4:$E$40)*P16)+(LOOKUP(P2,'Wall-U'!$A$4:$A$40,'Wall-U'!$E$4:$E$40)*P13)+(LOOKUP(P2,'Window-U'!$A$4:$A$40,'Window-U'!$E$4:$E$40)*P22))*P24</f>
        <v>1938.5948521105313</v>
      </c>
      <c r="Q26" s="171">
        <f>((LOOKUP(Q2,'Ceiling-U'!$A$4:$A$40,'Ceiling-U'!$E$4:$E$40)*Q15)+(LOOKUP(Q2,'Floor-U'!$A$4:$A$40,'Floor-U'!$E$4:$E$40)*Q16)+(LOOKUP(Q2,'Wall-U'!$A$4:$A$40,'Wall-U'!$E$4:$E$40)*Q13)+(LOOKUP(Q2,'Window-U'!$A$4:$A$40,'Window-U'!$E$4:$E$40)*Q22))*Q24</f>
        <v>1144.5160424868736</v>
      </c>
      <c r="R26" s="171">
        <f>((LOOKUP(R2,'Ceiling-U'!$A$4:$A$40,'Ceiling-U'!$E$4:$E$40)*R15)+(LOOKUP(R2,'Floor-U'!$A$4:$A$40,'Floor-U'!$E$4:$E$40)*R16)+(LOOKUP(R2,'Wall-U'!$A$4:$A$40,'Wall-U'!$E$4:$E$40)*R13)+(LOOKUP(R2,'Window-U'!$A$4:$A$40,'Window-U'!$E$4:$E$40)*R22))*R24</f>
        <v>1463.9087747364752</v>
      </c>
      <c r="S26" s="171">
        <f>((LOOKUP(S2,'Ceiling-U'!$A$4:$A$40,'Ceiling-U'!$E$4:$E$40)*S15)+(LOOKUP(S2,'Floor-U'!$A$4:$A$40,'Floor-U'!$E$4:$E$40)*S16)+(LOOKUP(S2,'Wall-U'!$A$4:$A$40,'Wall-U'!$E$4:$E$40)*S13)+(LOOKUP(S2,'Window-U'!$A$4:$A$40,'Window-U'!$E$4:$E$40)*S22))*S24</f>
        <v>2282.4809588007029</v>
      </c>
      <c r="T26" s="171">
        <f>((LOOKUP(T2,'Ceiling-U'!$A$4:$A$40,'Ceiling-U'!$E$4:$E$40)*T15)+(LOOKUP(T2,'Floor-U'!$A$4:$A$40,'Floor-U'!$E$4:$E$40)*T16)+(LOOKUP(T2,'Wall-U'!$A$4:$A$40,'Wall-U'!$E$4:$E$40)*T13)+(LOOKUP(T2,'Window-U'!$A$4:$A$40,'Window-U'!$E$4:$E$40)*T22))*T24</f>
        <v>714.33011773578221</v>
      </c>
      <c r="U26" s="171">
        <f>((LOOKUP(U2,'Ceiling-U'!$A$4:$A$40,'Ceiling-U'!$E$4:$E$40)*U15)+(LOOKUP(U2,'Floor-U'!$A$4:$A$40,'Floor-U'!$E$4:$E$40)*U16)+(LOOKUP(U2,'Wall-U'!$A$4:$A$40,'Wall-U'!$E$4:$E$40)*U13)+(LOOKUP(U2,'Window-U'!$A$4:$A$40,'Window-U'!$E$4:$E$40)*U22))*U24</f>
        <v>2556.4662206638441</v>
      </c>
      <c r="V26" s="171">
        <f>((LOOKUP(V2,'Ceiling-U'!$A$4:$A$40,'Ceiling-U'!$E$4:$E$40)*V15)+(LOOKUP(V2,'Floor-U'!$A$4:$A$40,'Floor-U'!$E$4:$E$40)*V16)+(LOOKUP(V2,'Wall-U'!$A$4:$A$40,'Wall-U'!$E$4:$E$40)*V13)+(LOOKUP(V2,'Window-U'!$A$4:$A$40,'Window-U'!$E$4:$E$40)*V22))*V24</f>
        <v>1093.169416252716</v>
      </c>
      <c r="W26" s="171">
        <f>((LOOKUP(W2,'Ceiling-U'!$A$4:$A$40,'Ceiling-U'!$E$4:$E$40)*W15)+(LOOKUP(W2,'Floor-U'!$A$4:$A$40,'Floor-U'!$E$4:$E$40)*W16)+(LOOKUP(W2,'Wall-U'!$A$4:$A$40,'Wall-U'!$E$4:$E$40)*W13)+(LOOKUP(W2,'Window-U'!$A$4:$A$40,'Window-U'!$E$4:$E$40)*W22))*W24</f>
        <v>1061.5803880494484</v>
      </c>
      <c r="X26" s="171">
        <f>((LOOKUP(X2,'Ceiling-U'!$A$4:$A$40,'Ceiling-U'!$E$4:$E$40)*X15)+(LOOKUP(X2,'Floor-U'!$A$4:$A$40,'Floor-U'!$E$4:$E$40)*X16)+(LOOKUP(X2,'Wall-U'!$A$4:$A$40,'Wall-U'!$E$4:$E$40)*X13)+(LOOKUP(X2,'Window-U'!$A$4:$A$40,'Window-U'!$E$4:$E$40)*X22))*X24</f>
        <v>1192.2938636749373</v>
      </c>
      <c r="Y26" s="171">
        <f>((LOOKUP(Y2,'Ceiling-U'!$A$4:$A$40,'Ceiling-U'!$E$4:$E$40)*Y15)+(LOOKUP(Y2,'Floor-U'!$A$4:$A$40,'Floor-U'!$E$4:$E$40)*Y16)+(LOOKUP(Y2,'Wall-U'!$A$4:$A$40,'Wall-U'!$E$4:$E$40)*Y13)+(LOOKUP(Y2,'Window-U'!$A$4:$A$40,'Window-U'!$E$4:$E$40)*Y22))*Y24</f>
        <v>3409.5388208894237</v>
      </c>
      <c r="Z26" s="171">
        <f>((LOOKUP(Z2,'Ceiling-U'!$A$4:$A$40,'Ceiling-U'!$E$4:$E$40)*Z15)+(LOOKUP(Z2,'Floor-U'!$A$4:$A$40,'Floor-U'!$E$4:$E$40)*Z16)+(LOOKUP(Z2,'Wall-U'!$A$4:$A$40,'Wall-U'!$E$4:$E$40)*Z13)+(LOOKUP(Z2,'Window-U'!$A$4:$A$40,'Window-U'!$E$4:$E$40)*Z22))*Z24</f>
        <v>2552.9529197996812</v>
      </c>
      <c r="AA26" s="171">
        <f>((LOOKUP(AA2,'Ceiling-U'!$A$4:$A$40,'Ceiling-U'!$E$4:$E$40)*AA15)+(LOOKUP(AA2,'Floor-U'!$A$4:$A$40,'Floor-U'!$E$4:$E$40)*AA16)+(LOOKUP(AA2,'Wall-U'!$A$4:$A$40,'Wall-U'!$E$4:$E$40)*AA13)+(LOOKUP(AA2,'Window-U'!$A$4:$A$40,'Window-U'!$E$4:$E$40)*AA22))*AA24</f>
        <v>651.19147032046965</v>
      </c>
      <c r="AB26" s="171">
        <f>((LOOKUP(AB2,'Ceiling-U'!$A$4:$A$40,'Ceiling-U'!$E$4:$E$40)*AB15)+(LOOKUP(AB2,'Floor-U'!$A$4:$A$40,'Floor-U'!$E$4:$E$40)*AB16)+(LOOKUP(AB2,'Wall-U'!$A$4:$A$40,'Wall-U'!$E$4:$E$40)*AB13)+(LOOKUP(AB2,'Window-U'!$A$4:$A$40,'Window-U'!$E$4:$E$40)*AB22))*AB24</f>
        <v>1875.1520004354998</v>
      </c>
      <c r="AC26" s="171">
        <f>((LOOKUP(AC2,'Ceiling-U'!$A$4:$A$40,'Ceiling-U'!$E$4:$E$40)*AC15)+(LOOKUP(AC2,'Floor-U'!$A$4:$A$40,'Floor-U'!$E$4:$E$40)*AC16)+(LOOKUP(AC2,'Wall-U'!$A$4:$A$40,'Wall-U'!$E$4:$E$40)*AC13)+(LOOKUP(AC2,'Window-U'!$A$4:$A$40,'Window-U'!$E$4:$E$40)*AC22))*AC24</f>
        <v>2995.0630632239263</v>
      </c>
      <c r="AD26" s="171">
        <f>((LOOKUP(AD2,'Ceiling-U'!$A$4:$A$40,'Ceiling-U'!$E$4:$E$40)*AD15)+(LOOKUP(AD2,'Floor-U'!$A$4:$A$40,'Floor-U'!$E$4:$E$40)*AD16)+(LOOKUP(AD2,'Wall-U'!$A$4:$A$40,'Wall-U'!$E$4:$E$40)*AD13)+(LOOKUP(AD2,'Window-U'!$A$4:$A$40,'Window-U'!$E$4:$E$40)*AD22))*AD24</f>
        <v>1540.2478268850655</v>
      </c>
      <c r="AE26" s="171">
        <f>((LOOKUP(AE2,'Ceiling-U'!$A$4:$A$40,'Ceiling-U'!$E$4:$E$40)*AE15)+(LOOKUP(AE2,'Floor-U'!$A$4:$A$40,'Floor-U'!$E$4:$E$40)*AE16)+(LOOKUP(AE2,'Wall-U'!$A$4:$A$40,'Wall-U'!$E$4:$E$40)*AE13)+(LOOKUP(AE2,'Window-U'!$A$4:$A$40,'Window-U'!$E$4:$E$40)*AE22))*AE24</f>
        <v>641.49473358597902</v>
      </c>
      <c r="AF26" s="171">
        <f>((LOOKUP(AF2,'Ceiling-U'!$A$4:$A$40,'Ceiling-U'!$E$4:$E$40)*AF15)+(LOOKUP(AF2,'Floor-U'!$A$4:$A$40,'Floor-U'!$E$4:$E$40)*AF16)+(LOOKUP(AF2,'Wall-U'!$A$4:$A$40,'Wall-U'!$E$4:$E$40)*AF13)+(LOOKUP(AF2,'Window-U'!$A$4:$A$40,'Window-U'!$E$4:$E$40)*AF22))*AF24</f>
        <v>1410.0580954210936</v>
      </c>
      <c r="AG26" s="171">
        <f>((LOOKUP(AG2,'Ceiling-U'!$A$4:$A$40,'Ceiling-U'!$E$4:$E$40)*AG15)+(LOOKUP(AG2,'Floor-U'!$A$4:$A$40,'Floor-U'!$E$4:$E$40)*AG16)+(LOOKUP(AG2,'Wall-U'!$A$4:$A$40,'Wall-U'!$E$4:$E$40)*AG13)+(LOOKUP(AG2,'Window-U'!$A$4:$A$40,'Window-U'!$E$4:$E$40)*AG22))*AG24</f>
        <v>1983.0065838958578</v>
      </c>
      <c r="AH26" s="171">
        <f>((LOOKUP(AH2,'Ceiling-U'!$A$4:$A$40,'Ceiling-U'!$E$4:$E$40)*AH15)+(LOOKUP(AH2,'Floor-U'!$A$4:$A$40,'Floor-U'!$E$4:$E$40)*AH16)+(LOOKUP(AH2,'Wall-U'!$A$4:$A$40,'Wall-U'!$E$4:$E$40)*AH13)+(LOOKUP(AH2,'Window-U'!$A$4:$A$40,'Window-U'!$E$4:$E$40)*AH22))*AH24</f>
        <v>1845.0100383234669</v>
      </c>
      <c r="AI26" s="171">
        <f>((LOOKUP(AI2,'Ceiling-U'!$A$4:$A$40,'Ceiling-U'!$E$4:$E$40)*AI15)+(LOOKUP(AI2,'Floor-U'!$A$4:$A$40,'Floor-U'!$E$4:$E$40)*AI16)+(LOOKUP(AI2,'Wall-U'!$A$4:$A$40,'Wall-U'!$E$4:$E$40)*AI13)+(LOOKUP(AI2,'Window-U'!$A$4:$A$40,'Window-U'!$E$4:$E$40)*AI22))*AI24</f>
        <v>2824.9828247829028</v>
      </c>
      <c r="AJ26" s="171">
        <f>((LOOKUP(AJ2,'Ceiling-U'!$A$4:$A$40,'Ceiling-U'!$E$4:$E$40)*AJ15)+(LOOKUP(AJ2,'Floor-U'!$A$4:$A$40,'Floor-U'!$E$4:$E$40)*AJ16)+(LOOKUP(AJ2,'Wall-U'!$A$4:$A$40,'Wall-U'!$E$4:$E$40)*AJ13)+(LOOKUP(AJ2,'Window-U'!$A$4:$A$40,'Window-U'!$E$4:$E$40)*AJ22))*AJ24</f>
        <v>1140.5150625663312</v>
      </c>
      <c r="AK26" s="171">
        <f>((LOOKUP(AK2,'Ceiling-U'!$A$4:$A$40,'Ceiling-U'!$E$4:$E$40)*AK15)+(LOOKUP(AK2,'Floor-U'!$A$4:$A$40,'Floor-U'!$E$4:$E$40)*AK16)+(LOOKUP(AK2,'Wall-U'!$A$4:$A$40,'Wall-U'!$E$4:$E$40)*AK13)+(LOOKUP(AK2,'Window-U'!$A$4:$A$40,'Window-U'!$E$4:$E$40)*AK22))*AK24</f>
        <v>1392.91802030287</v>
      </c>
      <c r="AL26" s="171">
        <f>((LOOKUP(AL2,'Ceiling-U'!$A$4:$A$40,'Ceiling-U'!$E$4:$E$40)*AL15)+(LOOKUP(AL2,'Floor-U'!$A$4:$A$40,'Floor-U'!$E$4:$E$40)*AL16)+(LOOKUP(AL2,'Wall-U'!$A$4:$A$40,'Wall-U'!$E$4:$E$40)*AL13)+(LOOKUP(AL2,'Window-U'!$A$4:$A$40,'Window-U'!$E$4:$E$40)*AL22))*AL24</f>
        <v>1238.9919111392794</v>
      </c>
      <c r="AM26" s="171">
        <f>((LOOKUP(AM2,'Ceiling-U'!$A$4:$A$40,'Ceiling-U'!$E$4:$E$40)*AM15)+(LOOKUP(AM2,'Floor-U'!$A$4:$A$40,'Floor-U'!$E$4:$E$40)*AM16)+(LOOKUP(AM2,'Wall-U'!$A$4:$A$40,'Wall-U'!$E$4:$E$40)*AM13)+(LOOKUP(AM2,'Window-U'!$A$4:$A$40,'Window-U'!$E$4:$E$40)*AM22))*AM24</f>
        <v>1140.5150625663312</v>
      </c>
      <c r="AN26" s="172">
        <f>((LOOKUP(AN2,'Ceiling-U'!$A$4:$A$40,'Ceiling-U'!$E$4:$E$40)*AN15)+(LOOKUP(AN2,'Floor-U'!$A$4:$A$40,'Floor-U'!$E$4:$E$40)*AN16)+(LOOKUP(AN2,'Wall-U'!$A$4:$A$40,'Wall-U'!$E$4:$E$40)*AN13)+(LOOKUP(AN2,'Window-U'!$A$4:$A$40,'Window-U'!$E$4:$E$40)*AN22))*AN24</f>
        <v>1140.5150625663312</v>
      </c>
    </row>
    <row r="27" spans="1:40">
      <c r="A27" s="129"/>
      <c r="B27" s="142" t="s">
        <v>3</v>
      </c>
      <c r="C27" s="129" t="s">
        <v>195</v>
      </c>
      <c r="D27" s="176">
        <f>((LOOKUP(D2,'Ceiling-U'!$A$4:$A$40,'Ceiling-U'!$F$4:$F$40)*D15)+(LOOKUP(D2,'Floor-U'!$A$4:$A$40,'Floor-U'!$F$4:$F$40)*D16)+(LOOKUP(D2,'Wall-U'!$A$4:$A$40,'Wall-U'!$F$4:$F$40)*D13)+(LOOKUP(D2,'Window-U'!$A$4:$A$40,'Window-U'!$F$4:$F$40)*D22))*D24</f>
        <v>1592.2349896193364</v>
      </c>
      <c r="E27" s="177">
        <f>((LOOKUP(E2,'Ceiling-U'!$A$4:$A$40,'Ceiling-U'!$F$4:$F$40)*E15)+(LOOKUP(E2,'Floor-U'!$A$4:$A$40,'Floor-U'!$F$4:$F$40)*E16)+(LOOKUP(E2,'Wall-U'!$A$4:$A$40,'Wall-U'!$F$4:$F$40)*E13)+(LOOKUP(E2,'Window-U'!$A$4:$A$40,'Window-U'!$F$4:$F$40)*E22))*E24</f>
        <v>2226.7743477792978</v>
      </c>
      <c r="F27" s="177">
        <f>((LOOKUP(F2,'Ceiling-U'!$A$4:$A$40,'Ceiling-U'!$F$4:$F$40)*F15)+(LOOKUP(F2,'Floor-U'!$A$4:$A$40,'Floor-U'!$F$4:$F$40)*F16)+(LOOKUP(F2,'Wall-U'!$A$4:$A$40,'Wall-U'!$F$4:$F$40)*F13)+(LOOKUP(F2,'Window-U'!$A$4:$A$40,'Window-U'!$F$4:$F$40)*F22))*F24</f>
        <v>1177.3770549999936</v>
      </c>
      <c r="G27" s="177">
        <f>((LOOKUP(G2,'Ceiling-U'!$A$4:$A$40,'Ceiling-U'!$F$4:$F$40)*G15)+(LOOKUP(G2,'Floor-U'!$A$4:$A$40,'Floor-U'!$F$4:$F$40)*G16)+(LOOKUP(G2,'Wall-U'!$A$4:$A$40,'Wall-U'!$F$4:$F$40)*G13)+(LOOKUP(G2,'Window-U'!$A$4:$A$40,'Window-U'!$F$4:$F$40)*G22))*G24</f>
        <v>1646.2306207604631</v>
      </c>
      <c r="H27" s="177">
        <f>((LOOKUP(H2,'Ceiling-U'!$A$4:$A$40,'Ceiling-U'!$F$4:$F$40)*H15)+(LOOKUP(H2,'Floor-U'!$A$4:$A$40,'Floor-U'!$F$4:$F$40)*H16)+(LOOKUP(H2,'Wall-U'!$A$4:$A$40,'Wall-U'!$F$4:$F$40)*H13)+(LOOKUP(H2,'Window-U'!$A$4:$A$40,'Window-U'!$F$4:$F$40)*H22))*H24</f>
        <v>2738.9595984802913</v>
      </c>
      <c r="I27" s="177">
        <f>((LOOKUP(I2,'Ceiling-U'!$A$4:$A$40,'Ceiling-U'!$F$4:$F$40)*I15)+(LOOKUP(I2,'Floor-U'!$A$4:$A$40,'Floor-U'!$F$4:$F$40)*I16)+(LOOKUP(I2,'Wall-U'!$A$4:$A$40,'Wall-U'!$F$4:$F$40)*I13)+(LOOKUP(I2,'Window-U'!$A$4:$A$40,'Window-U'!$F$4:$F$40)*I22))*I24</f>
        <v>1005.1418890458625</v>
      </c>
      <c r="J27" s="177">
        <f>((LOOKUP(J2,'Ceiling-U'!$A$4:$A$40,'Ceiling-U'!$F$4:$F$40)*J15)+(LOOKUP(J2,'Floor-U'!$A$4:$A$40,'Floor-U'!$F$4:$F$40)*J16)+(LOOKUP(J2,'Wall-U'!$A$4:$A$40,'Wall-U'!$F$4:$F$40)*J13)+(LOOKUP(J2,'Window-U'!$A$4:$A$40,'Window-U'!$F$4:$F$40)*J22))*J24</f>
        <v>1805.6794658568922</v>
      </c>
      <c r="K27" s="177">
        <f>((LOOKUP(K2,'Ceiling-U'!$A$4:$A$40,'Ceiling-U'!$F$4:$F$40)*K15)+(LOOKUP(K2,'Floor-U'!$A$4:$A$40,'Floor-U'!$F$4:$F$40)*K16)+(LOOKUP(K2,'Wall-U'!$A$4:$A$40,'Wall-U'!$F$4:$F$40)*K13)+(LOOKUP(K2,'Window-U'!$A$4:$A$40,'Window-U'!$F$4:$F$40)*K22))*K24</f>
        <v>1024.8917194780943</v>
      </c>
      <c r="L27" s="177">
        <f>((LOOKUP(L2,'Ceiling-U'!$A$4:$A$40,'Ceiling-U'!$F$4:$F$40)*L15)+(LOOKUP(L2,'Floor-U'!$A$4:$A$40,'Floor-U'!$F$4:$F$40)*L16)+(LOOKUP(L2,'Wall-U'!$A$4:$A$40,'Wall-U'!$F$4:$F$40)*L13)+(LOOKUP(L2,'Window-U'!$A$4:$A$40,'Window-U'!$F$4:$F$40)*L22))*L24</f>
        <v>527.67214500611499</v>
      </c>
      <c r="M27" s="177">
        <f>((LOOKUP(M2,'Ceiling-U'!$A$4:$A$40,'Ceiling-U'!$F$4:$F$40)*M15)+(LOOKUP(M2,'Floor-U'!$A$4:$A$40,'Floor-U'!$F$4:$F$40)*M16)+(LOOKUP(M2,'Wall-U'!$A$4:$A$40,'Wall-U'!$F$4:$F$40)*M13)+(LOOKUP(M2,'Window-U'!$A$4:$A$40,'Window-U'!$F$4:$F$40)*M22))*M24</f>
        <v>2774.555267269885</v>
      </c>
      <c r="N27" s="177">
        <f>((LOOKUP(N2,'Ceiling-U'!$A$4:$A$40,'Ceiling-U'!$F$4:$F$40)*N15)+(LOOKUP(N2,'Floor-U'!$A$4:$A$40,'Floor-U'!$F$4:$F$40)*N16)+(LOOKUP(N2,'Wall-U'!$A$4:$A$40,'Wall-U'!$F$4:$F$40)*N13)+(LOOKUP(N2,'Window-U'!$A$4:$A$40,'Window-U'!$F$4:$F$40)*N22))*N24</f>
        <v>627.63037287464942</v>
      </c>
      <c r="O27" s="177">
        <f>((LOOKUP(O2,'Ceiling-U'!$A$4:$A$40,'Ceiling-U'!$F$4:$F$40)*O15)+(LOOKUP(O2,'Floor-U'!$A$4:$A$40,'Floor-U'!$F$4:$F$40)*O16)+(LOOKUP(O2,'Wall-U'!$A$4:$A$40,'Wall-U'!$F$4:$F$40)*O13)+(LOOKUP(O2,'Window-U'!$A$4:$A$40,'Window-U'!$F$4:$F$40)*O22))*O24</f>
        <v>3030.0432182363966</v>
      </c>
      <c r="P27" s="177">
        <f>((LOOKUP(P2,'Ceiling-U'!$A$4:$A$40,'Ceiling-U'!$F$4:$F$40)*P15)+(LOOKUP(P2,'Floor-U'!$A$4:$A$40,'Floor-U'!$F$4:$F$40)*P16)+(LOOKUP(P2,'Wall-U'!$A$4:$A$40,'Wall-U'!$F$4:$F$40)*P13)+(LOOKUP(P2,'Window-U'!$A$4:$A$40,'Window-U'!$F$4:$F$40)*P22))*P24</f>
        <v>1938.5948521105313</v>
      </c>
      <c r="Q27" s="177">
        <f>((LOOKUP(Q2,'Ceiling-U'!$A$4:$A$40,'Ceiling-U'!$F$4:$F$40)*Q15)+(LOOKUP(Q2,'Floor-U'!$A$4:$A$40,'Floor-U'!$F$4:$F$40)*Q16)+(LOOKUP(Q2,'Wall-U'!$A$4:$A$40,'Wall-U'!$F$4:$F$40)*Q13)+(LOOKUP(Q2,'Window-U'!$A$4:$A$40,'Window-U'!$F$4:$F$40)*Q22))*Q24</f>
        <v>1216.268715268526</v>
      </c>
      <c r="R27" s="177">
        <f>((LOOKUP(R2,'Ceiling-U'!$A$4:$A$40,'Ceiling-U'!$F$4:$F$40)*R15)+(LOOKUP(R2,'Floor-U'!$A$4:$A$40,'Floor-U'!$F$4:$F$40)*R16)+(LOOKUP(R2,'Wall-U'!$A$4:$A$40,'Wall-U'!$F$4:$F$40)*R13)+(LOOKUP(R2,'Window-U'!$A$4:$A$40,'Window-U'!$F$4:$F$40)*R22))*R24</f>
        <v>1463.9087747364752</v>
      </c>
      <c r="S27" s="177">
        <f>((LOOKUP(S2,'Ceiling-U'!$A$4:$A$40,'Ceiling-U'!$F$4:$F$40)*S15)+(LOOKUP(S2,'Floor-U'!$A$4:$A$40,'Floor-U'!$F$4:$F$40)*S16)+(LOOKUP(S2,'Wall-U'!$A$4:$A$40,'Wall-U'!$F$4:$F$40)*S13)+(LOOKUP(S2,'Window-U'!$A$4:$A$40,'Window-U'!$F$4:$F$40)*S22))*S24</f>
        <v>2329.2910306280746</v>
      </c>
      <c r="T27" s="177">
        <f>((LOOKUP(T2,'Ceiling-U'!$A$4:$A$40,'Ceiling-U'!$F$4:$F$40)*T15)+(LOOKUP(T2,'Floor-U'!$A$4:$A$40,'Floor-U'!$F$4:$F$40)*T16)+(LOOKUP(T2,'Wall-U'!$A$4:$A$40,'Wall-U'!$F$4:$F$40)*T13)+(LOOKUP(T2,'Window-U'!$A$4:$A$40,'Window-U'!$F$4:$F$40)*T22))*T24</f>
        <v>632.10908725635943</v>
      </c>
      <c r="U27" s="177">
        <f>((LOOKUP(U2,'Ceiling-U'!$A$4:$A$40,'Ceiling-U'!$F$4:$F$40)*U15)+(LOOKUP(U2,'Floor-U'!$A$4:$A$40,'Floor-U'!$F$4:$F$40)*U16)+(LOOKUP(U2,'Wall-U'!$A$4:$A$40,'Wall-U'!$F$4:$F$40)*U13)+(LOOKUP(U2,'Window-U'!$A$4:$A$40,'Window-U'!$F$4:$F$40)*U22))*U24</f>
        <v>2414.8777757787434</v>
      </c>
      <c r="V27" s="177">
        <f>((LOOKUP(V2,'Ceiling-U'!$A$4:$A$40,'Ceiling-U'!$F$4:$F$40)*V15)+(LOOKUP(V2,'Floor-U'!$A$4:$A$40,'Floor-U'!$F$4:$F$40)*V16)+(LOOKUP(V2,'Wall-U'!$A$4:$A$40,'Wall-U'!$F$4:$F$40)*V13)+(LOOKUP(V2,'Window-U'!$A$4:$A$40,'Window-U'!$F$4:$F$40)*V22))*V24</f>
        <v>1093.169416252716</v>
      </c>
      <c r="W27" s="177">
        <f>((LOOKUP(W2,'Ceiling-U'!$A$4:$A$40,'Ceiling-U'!$F$4:$F$40)*W15)+(LOOKUP(W2,'Floor-U'!$A$4:$A$40,'Floor-U'!$F$4:$F$40)*W16)+(LOOKUP(W2,'Wall-U'!$A$4:$A$40,'Wall-U'!$F$4:$F$40)*W13)+(LOOKUP(W2,'Window-U'!$A$4:$A$40,'Window-U'!$F$4:$F$40)*W22))*W24</f>
        <v>1068.9295087132575</v>
      </c>
      <c r="X27" s="177">
        <f>((LOOKUP(X2,'Ceiling-U'!$A$4:$A$40,'Ceiling-U'!$F$4:$F$40)*X15)+(LOOKUP(X2,'Floor-U'!$A$4:$A$40,'Floor-U'!$F$4:$F$40)*X16)+(LOOKUP(X2,'Wall-U'!$A$4:$A$40,'Wall-U'!$F$4:$F$40)*X13)+(LOOKUP(X2,'Window-U'!$A$4:$A$40,'Window-U'!$F$4:$F$40)*X22))*X24</f>
        <v>1181.4938636749373</v>
      </c>
      <c r="Y27" s="177">
        <f>((LOOKUP(Y2,'Ceiling-U'!$A$4:$A$40,'Ceiling-U'!$F$4:$F$40)*Y15)+(LOOKUP(Y2,'Floor-U'!$A$4:$A$40,'Floor-U'!$F$4:$F$40)*Y16)+(LOOKUP(Y2,'Wall-U'!$A$4:$A$40,'Wall-U'!$F$4:$F$40)*Y13)+(LOOKUP(Y2,'Window-U'!$A$4:$A$40,'Window-U'!$F$4:$F$40)*Y22))*Y24</f>
        <v>3402.7789293248024</v>
      </c>
      <c r="Z27" s="177">
        <f>((LOOKUP(Z2,'Ceiling-U'!$A$4:$A$40,'Ceiling-U'!$F$4:$F$40)*Z15)+(LOOKUP(Z2,'Floor-U'!$A$4:$A$40,'Floor-U'!$F$4:$F$40)*Z16)+(LOOKUP(Z2,'Wall-U'!$A$4:$A$40,'Wall-U'!$F$4:$F$40)*Z13)+(LOOKUP(Z2,'Window-U'!$A$4:$A$40,'Window-U'!$F$4:$F$40)*Z22))*Z24</f>
        <v>1950.8909989454728</v>
      </c>
      <c r="AA27" s="177">
        <f>((LOOKUP(AA2,'Ceiling-U'!$A$4:$A$40,'Ceiling-U'!$F$4:$F$40)*AA15)+(LOOKUP(AA2,'Floor-U'!$A$4:$A$40,'Floor-U'!$F$4:$F$40)*AA16)+(LOOKUP(AA2,'Wall-U'!$A$4:$A$40,'Wall-U'!$F$4:$F$40)*AA13)+(LOOKUP(AA2,'Window-U'!$A$4:$A$40,'Window-U'!$F$4:$F$40)*AA22))*AA24</f>
        <v>649.10982432046967</v>
      </c>
      <c r="AB27" s="177">
        <f>((LOOKUP(AB2,'Ceiling-U'!$A$4:$A$40,'Ceiling-U'!$F$4:$F$40)*AB15)+(LOOKUP(AB2,'Floor-U'!$A$4:$A$40,'Floor-U'!$F$4:$F$40)*AB16)+(LOOKUP(AB2,'Wall-U'!$A$4:$A$40,'Wall-U'!$F$4:$F$40)*AB13)+(LOOKUP(AB2,'Window-U'!$A$4:$A$40,'Window-U'!$F$4:$F$40)*AB22))*AB24</f>
        <v>1282.1740796772626</v>
      </c>
      <c r="AC27" s="177">
        <f>((LOOKUP(AC2,'Ceiling-U'!$A$4:$A$40,'Ceiling-U'!$F$4:$F$40)*AC15)+(LOOKUP(AC2,'Floor-U'!$A$4:$A$40,'Floor-U'!$F$4:$F$40)*AC16)+(LOOKUP(AC2,'Wall-U'!$A$4:$A$40,'Wall-U'!$F$4:$F$40)*AC13)+(LOOKUP(AC2,'Window-U'!$A$4:$A$40,'Window-U'!$F$4:$F$40)*AC22))*AC24</f>
        <v>2727.5951354645626</v>
      </c>
      <c r="AD27" s="177">
        <f>((LOOKUP(AD2,'Ceiling-U'!$A$4:$A$40,'Ceiling-U'!$F$4:$F$40)*AD15)+(LOOKUP(AD2,'Floor-U'!$A$4:$A$40,'Floor-U'!$F$4:$F$40)*AD16)+(LOOKUP(AD2,'Wall-U'!$A$4:$A$40,'Wall-U'!$F$4:$F$40)*AD13)+(LOOKUP(AD2,'Window-U'!$A$4:$A$40,'Window-U'!$F$4:$F$40)*AD22))*AD24</f>
        <v>1372.7046001470703</v>
      </c>
      <c r="AE27" s="177">
        <f>((LOOKUP(AE2,'Ceiling-U'!$A$4:$A$40,'Ceiling-U'!$F$4:$F$40)*AE15)+(LOOKUP(AE2,'Floor-U'!$A$4:$A$40,'Floor-U'!$F$4:$F$40)*AE16)+(LOOKUP(AE2,'Wall-U'!$A$4:$A$40,'Wall-U'!$F$4:$F$40)*AE13)+(LOOKUP(AE2,'Window-U'!$A$4:$A$40,'Window-U'!$F$4:$F$40)*AE22))*AE24</f>
        <v>639.41308758597904</v>
      </c>
      <c r="AF27" s="177">
        <f>((LOOKUP(AF2,'Ceiling-U'!$A$4:$A$40,'Ceiling-U'!$F$4:$F$40)*AF15)+(LOOKUP(AF2,'Floor-U'!$A$4:$A$40,'Floor-U'!$F$4:$F$40)*AF16)+(LOOKUP(AF2,'Wall-U'!$A$4:$A$40,'Wall-U'!$F$4:$F$40)*AF13)+(LOOKUP(AF2,'Window-U'!$A$4:$A$40,'Window-U'!$F$4:$F$40)*AF22))*AF24</f>
        <v>1410.0580954210936</v>
      </c>
      <c r="AG27" s="177">
        <f>((LOOKUP(AG2,'Ceiling-U'!$A$4:$A$40,'Ceiling-U'!$F$4:$F$40)*AG15)+(LOOKUP(AG2,'Floor-U'!$A$4:$A$40,'Floor-U'!$F$4:$F$40)*AG16)+(LOOKUP(AG2,'Wall-U'!$A$4:$A$40,'Wall-U'!$F$4:$F$40)*AG13)+(LOOKUP(AG2,'Window-U'!$A$4:$A$40,'Window-U'!$F$4:$F$40)*AG22))*AG24</f>
        <v>1626.3652671166863</v>
      </c>
      <c r="AH27" s="177">
        <f>((LOOKUP(AH2,'Ceiling-U'!$A$4:$A$40,'Ceiling-U'!$F$4:$F$40)*AH15)+(LOOKUP(AH2,'Floor-U'!$A$4:$A$40,'Floor-U'!$F$4:$F$40)*AH16)+(LOOKUP(AH2,'Wall-U'!$A$4:$A$40,'Wall-U'!$F$4:$F$40)*AH13)+(LOOKUP(AH2,'Window-U'!$A$4:$A$40,'Window-U'!$F$4:$F$40)*AH22))*AH24</f>
        <v>1952.8336766339753</v>
      </c>
      <c r="AI27" s="177">
        <f>((LOOKUP(AI2,'Ceiling-U'!$A$4:$A$40,'Ceiling-U'!$F$4:$F$40)*AI15)+(LOOKUP(AI2,'Floor-U'!$A$4:$A$40,'Floor-U'!$F$4:$F$40)*AI16)+(LOOKUP(AI2,'Wall-U'!$A$4:$A$40,'Wall-U'!$F$4:$F$40)*AI13)+(LOOKUP(AI2,'Window-U'!$A$4:$A$40,'Window-U'!$F$4:$F$40)*AI22))*AI24</f>
        <v>2824.9828247829028</v>
      </c>
      <c r="AJ27" s="177">
        <f>((LOOKUP(AJ2,'Ceiling-U'!$A$4:$A$40,'Ceiling-U'!$F$4:$F$40)*AJ15)+(LOOKUP(AJ2,'Floor-U'!$A$4:$A$40,'Floor-U'!$F$4:$F$40)*AJ16)+(LOOKUP(AJ2,'Wall-U'!$A$4:$A$40,'Wall-U'!$F$4:$F$40)*AJ13)+(LOOKUP(AJ2,'Window-U'!$A$4:$A$40,'Window-U'!$F$4:$F$40)*AJ22))*AJ24</f>
        <v>1140.5150625663312</v>
      </c>
      <c r="AK27" s="177">
        <f>((LOOKUP(AK2,'Ceiling-U'!$A$4:$A$40,'Ceiling-U'!$F$4:$F$40)*AK15)+(LOOKUP(AK2,'Floor-U'!$A$4:$A$40,'Floor-U'!$F$4:$F$40)*AK16)+(LOOKUP(AK2,'Wall-U'!$A$4:$A$40,'Wall-U'!$F$4:$F$40)*AK13)+(LOOKUP(AK2,'Window-U'!$A$4:$A$40,'Window-U'!$F$4:$F$40)*AK22))*AK24</f>
        <v>1392.91802030287</v>
      </c>
      <c r="AL27" s="177">
        <f>((LOOKUP(AL2,'Ceiling-U'!$A$4:$A$40,'Ceiling-U'!$F$4:$F$40)*AL15)+(LOOKUP(AL2,'Floor-U'!$A$4:$A$40,'Floor-U'!$F$4:$F$40)*AL16)+(LOOKUP(AL2,'Wall-U'!$A$4:$A$40,'Wall-U'!$F$4:$F$40)*AL13)+(LOOKUP(AL2,'Window-U'!$A$4:$A$40,'Window-U'!$F$4:$F$40)*AL22))*AL24</f>
        <v>1238.9919111392794</v>
      </c>
      <c r="AM27" s="177">
        <f>((LOOKUP(AM2,'Ceiling-U'!$A$4:$A$40,'Ceiling-U'!$F$4:$F$40)*AM15)+(LOOKUP(AM2,'Floor-U'!$A$4:$A$40,'Floor-U'!$F$4:$F$40)*AM16)+(LOOKUP(AM2,'Wall-U'!$A$4:$A$40,'Wall-U'!$F$4:$F$40)*AM13)+(LOOKUP(AM2,'Window-U'!$A$4:$A$40,'Window-U'!$F$4:$F$40)*AM22))*AM24</f>
        <v>1140.5150625663312</v>
      </c>
      <c r="AN27" s="178">
        <f>((LOOKUP(AN2,'Ceiling-U'!$A$4:$A$40,'Ceiling-U'!$F$4:$F$40)*AN15)+(LOOKUP(AN2,'Floor-U'!$A$4:$A$40,'Floor-U'!$F$4:$F$40)*AN16)+(LOOKUP(AN2,'Wall-U'!$A$4:$A$40,'Wall-U'!$F$4:$F$40)*AN13)+(LOOKUP(AN2,'Window-U'!$A$4:$A$40,'Window-U'!$F$4:$F$40)*AN22))*AN24</f>
        <v>1140.5150625663312</v>
      </c>
    </row>
    <row r="28" spans="1:40">
      <c r="A28" s="129"/>
      <c r="B28" s="142" t="s">
        <v>4</v>
      </c>
      <c r="C28" s="129" t="s">
        <v>195</v>
      </c>
      <c r="D28" s="176">
        <f>((LOOKUP(D2,'Ceiling-U'!$A$4:$A$40,'Ceiling-U'!$G$4:$G$40)*D15)+(LOOKUP(D2,'Floor-U'!$A$4:$A$40,'Floor-U'!$G$4:$G$40)*D16)+(LOOKUP(D2,'Wall-U'!$A$4:$A$40,'Wall-U'!$G$4:$G$40)*D13)+(LOOKUP(D2,'Window-U'!$A$4:$A$40,'Window-U'!$G$4:$G$40)*D22))*D24</f>
        <v>1194.6128051302312</v>
      </c>
      <c r="E28" s="177">
        <f>((LOOKUP(E2,'Ceiling-U'!$A$4:$A$40,'Ceiling-U'!$G$4:$G$40)*E15)+(LOOKUP(E2,'Floor-U'!$A$4:$A$40,'Floor-U'!$G$4:$G$40)*E16)+(LOOKUP(E2,'Wall-U'!$A$4:$A$40,'Wall-U'!$G$4:$G$40)*E13)+(LOOKUP(E2,'Window-U'!$A$4:$A$40,'Window-U'!$G$4:$G$40)*E22))*E24</f>
        <v>2226.7743477792978</v>
      </c>
      <c r="F28" s="177">
        <f>((LOOKUP(F2,'Ceiling-U'!$A$4:$A$40,'Ceiling-U'!$G$4:$G$40)*F15)+(LOOKUP(F2,'Floor-U'!$A$4:$A$40,'Floor-U'!$G$4:$G$40)*F16)+(LOOKUP(F2,'Wall-U'!$A$4:$A$40,'Wall-U'!$G$4:$G$40)*F13)+(LOOKUP(F2,'Window-U'!$A$4:$A$40,'Window-U'!$G$4:$G$40)*F22))*F24</f>
        <v>1096.798568202958</v>
      </c>
      <c r="G28" s="177">
        <f>((LOOKUP(G2,'Ceiling-U'!$A$4:$A$40,'Ceiling-U'!$G$4:$G$40)*G15)+(LOOKUP(G2,'Floor-U'!$A$4:$A$40,'Floor-U'!$G$4:$G$40)*G16)+(LOOKUP(G2,'Wall-U'!$A$4:$A$40,'Wall-U'!$G$4:$G$40)*G13)+(LOOKUP(G2,'Window-U'!$A$4:$A$40,'Window-U'!$G$4:$G$40)*G22))*G24</f>
        <v>1233.5232944679053</v>
      </c>
      <c r="H28" s="177">
        <f>((LOOKUP(H2,'Ceiling-U'!$A$4:$A$40,'Ceiling-U'!$G$4:$G$40)*H15)+(LOOKUP(H2,'Floor-U'!$A$4:$A$40,'Floor-U'!$G$4:$G$40)*H16)+(LOOKUP(H2,'Wall-U'!$A$4:$A$40,'Wall-U'!$G$4:$G$40)*H13)+(LOOKUP(H2,'Window-U'!$A$4:$A$40,'Window-U'!$G$4:$G$40)*H22))*H24</f>
        <v>2735.2515324522919</v>
      </c>
      <c r="I28" s="177">
        <f>((LOOKUP(I2,'Ceiling-U'!$A$4:$A$40,'Ceiling-U'!$G$4:$G$40)*I15)+(LOOKUP(I2,'Floor-U'!$A$4:$A$40,'Floor-U'!$G$4:$G$40)*I16)+(LOOKUP(I2,'Wall-U'!$A$4:$A$40,'Wall-U'!$G$4:$G$40)*I13)+(LOOKUP(I2,'Window-U'!$A$4:$A$40,'Window-U'!$G$4:$G$40)*I22))*I24</f>
        <v>1005.1418890458625</v>
      </c>
      <c r="J28" s="177">
        <f>((LOOKUP(J2,'Ceiling-U'!$A$4:$A$40,'Ceiling-U'!$G$4:$G$40)*J15)+(LOOKUP(J2,'Floor-U'!$A$4:$A$40,'Floor-U'!$G$4:$G$40)*J16)+(LOOKUP(J2,'Wall-U'!$A$4:$A$40,'Wall-U'!$G$4:$G$40)*J13)+(LOOKUP(J2,'Window-U'!$A$4:$A$40,'Window-U'!$G$4:$G$40)*J22))*J24</f>
        <v>1033.689837907421</v>
      </c>
      <c r="K28" s="177">
        <f>((LOOKUP(K2,'Ceiling-U'!$A$4:$A$40,'Ceiling-U'!$G$4:$G$40)*K15)+(LOOKUP(K2,'Floor-U'!$A$4:$A$40,'Floor-U'!$G$4:$G$40)*K16)+(LOOKUP(K2,'Wall-U'!$A$4:$A$40,'Wall-U'!$G$4:$G$40)*K13)+(LOOKUP(K2,'Window-U'!$A$4:$A$40,'Window-U'!$G$4:$G$40)*K22))*K24</f>
        <v>635.1751376588229</v>
      </c>
      <c r="L28" s="177">
        <f>((LOOKUP(L2,'Ceiling-U'!$A$4:$A$40,'Ceiling-U'!$G$4:$G$40)*L15)+(LOOKUP(L2,'Floor-U'!$A$4:$A$40,'Floor-U'!$G$4:$G$40)*L16)+(LOOKUP(L2,'Wall-U'!$A$4:$A$40,'Wall-U'!$G$4:$G$40)*L13)+(LOOKUP(L2,'Window-U'!$A$4:$A$40,'Window-U'!$G$4:$G$40)*L22))*L24</f>
        <v>410.90762681200124</v>
      </c>
      <c r="M28" s="177">
        <f>((LOOKUP(M2,'Ceiling-U'!$A$4:$A$40,'Ceiling-U'!$G$4:$G$40)*M15)+(LOOKUP(M2,'Floor-U'!$A$4:$A$40,'Floor-U'!$G$4:$G$40)*M16)+(LOOKUP(M2,'Wall-U'!$A$4:$A$40,'Wall-U'!$G$4:$G$40)*M13)+(LOOKUP(M2,'Window-U'!$A$4:$A$40,'Window-U'!$G$4:$G$40)*M22))*M24</f>
        <v>2774.555267269885</v>
      </c>
      <c r="N28" s="177">
        <f>((LOOKUP(N2,'Ceiling-U'!$A$4:$A$40,'Ceiling-U'!$G$4:$G$40)*N15)+(LOOKUP(N2,'Floor-U'!$A$4:$A$40,'Floor-U'!$G$4:$G$40)*N16)+(LOOKUP(N2,'Wall-U'!$A$4:$A$40,'Wall-U'!$G$4:$G$40)*N13)+(LOOKUP(N2,'Window-U'!$A$4:$A$40,'Window-U'!$G$4:$G$40)*N22))*N24</f>
        <v>495.43056349536971</v>
      </c>
      <c r="O28" s="177">
        <f>((LOOKUP(O2,'Ceiling-U'!$A$4:$A$40,'Ceiling-U'!$G$4:$G$40)*O15)+(LOOKUP(O2,'Floor-U'!$A$4:$A$40,'Floor-U'!$G$4:$G$40)*O16)+(LOOKUP(O2,'Wall-U'!$A$4:$A$40,'Wall-U'!$G$4:$G$40)*O13)+(LOOKUP(O2,'Window-U'!$A$4:$A$40,'Window-U'!$G$4:$G$40)*O22))*O24</f>
        <v>1196.4380786271074</v>
      </c>
      <c r="P28" s="177">
        <f>((LOOKUP(P2,'Ceiling-U'!$A$4:$A$40,'Ceiling-U'!$G$4:$G$40)*P15)+(LOOKUP(P2,'Floor-U'!$A$4:$A$40,'Floor-U'!$G$4:$G$40)*P16)+(LOOKUP(P2,'Wall-U'!$A$4:$A$40,'Wall-U'!$G$4:$G$40)*P13)+(LOOKUP(P2,'Window-U'!$A$4:$A$40,'Window-U'!$G$4:$G$40)*P22))*P24</f>
        <v>1938.5948521105313</v>
      </c>
      <c r="Q28" s="177">
        <f>((LOOKUP(Q2,'Ceiling-U'!$A$4:$A$40,'Ceiling-U'!$G$4:$G$40)*Q15)+(LOOKUP(Q2,'Floor-U'!$A$4:$A$40,'Floor-U'!$G$4:$G$40)*Q16)+(LOOKUP(Q2,'Wall-U'!$A$4:$A$40,'Wall-U'!$G$4:$G$40)*Q13)+(LOOKUP(Q2,'Window-U'!$A$4:$A$40,'Window-U'!$G$4:$G$40)*Q22))*Q24</f>
        <v>1072.7486493836595</v>
      </c>
      <c r="R28" s="177">
        <f>((LOOKUP(R2,'Ceiling-U'!$A$4:$A$40,'Ceiling-U'!$G$4:$G$40)*R15)+(LOOKUP(R2,'Floor-U'!$A$4:$A$40,'Floor-U'!$G$4:$G$40)*R16)+(LOOKUP(R2,'Wall-U'!$A$4:$A$40,'Wall-U'!$G$4:$G$40)*R13)+(LOOKUP(R2,'Window-U'!$A$4:$A$40,'Window-U'!$G$4:$G$40)*R22))*R24</f>
        <v>1243.9810998427388</v>
      </c>
      <c r="S28" s="177">
        <f>((LOOKUP(S2,'Ceiling-U'!$A$4:$A$40,'Ceiling-U'!$G$4:$G$40)*S15)+(LOOKUP(S2,'Floor-U'!$A$4:$A$40,'Floor-U'!$G$4:$G$40)*S16)+(LOOKUP(S2,'Wall-U'!$A$4:$A$40,'Wall-U'!$G$4:$G$40)*S13)+(LOOKUP(S2,'Window-U'!$A$4:$A$40,'Window-U'!$G$4:$G$40)*S22))*S24</f>
        <v>1869.4773997371485</v>
      </c>
      <c r="T28" s="177">
        <f>((LOOKUP(T2,'Ceiling-U'!$A$4:$A$40,'Ceiling-U'!$G$4:$G$40)*T15)+(LOOKUP(T2,'Floor-U'!$A$4:$A$40,'Floor-U'!$G$4:$G$40)*T16)+(LOOKUP(T2,'Wall-U'!$A$4:$A$40,'Wall-U'!$G$4:$G$40)*T13)+(LOOKUP(T2,'Window-U'!$A$4:$A$40,'Window-U'!$G$4:$G$40)*T22))*T24</f>
        <v>498.86414711678253</v>
      </c>
      <c r="U28" s="177">
        <f>((LOOKUP(U2,'Ceiling-U'!$A$4:$A$40,'Ceiling-U'!$G$4:$G$40)*U15)+(LOOKUP(U2,'Floor-U'!$A$4:$A$40,'Floor-U'!$G$4:$G$40)*U16)+(LOOKUP(U2,'Wall-U'!$A$4:$A$40,'Wall-U'!$G$4:$G$40)*U13)+(LOOKUP(U2,'Window-U'!$A$4:$A$40,'Window-U'!$G$4:$G$40)*U22))*U24</f>
        <v>2255.4338517637339</v>
      </c>
      <c r="V28" s="177">
        <f>((LOOKUP(V2,'Ceiling-U'!$A$4:$A$40,'Ceiling-U'!$G$4:$G$40)*V15)+(LOOKUP(V2,'Floor-U'!$A$4:$A$40,'Floor-U'!$G$4:$G$40)*V16)+(LOOKUP(V2,'Wall-U'!$A$4:$A$40,'Wall-U'!$G$4:$G$40)*V13)+(LOOKUP(V2,'Window-U'!$A$4:$A$40,'Window-U'!$G$4:$G$40)*V22))*V24</f>
        <v>646.99988126269068</v>
      </c>
      <c r="W28" s="177">
        <f>((LOOKUP(W2,'Ceiling-U'!$A$4:$A$40,'Ceiling-U'!$G$4:$G$40)*W15)+(LOOKUP(W2,'Floor-U'!$A$4:$A$40,'Floor-U'!$G$4:$G$40)*W16)+(LOOKUP(W2,'Wall-U'!$A$4:$A$40,'Wall-U'!$G$4:$G$40)*W13)+(LOOKUP(W2,'Window-U'!$A$4:$A$40,'Window-U'!$G$4:$G$40)*W22))*W24</f>
        <v>525.08362555401891</v>
      </c>
      <c r="X28" s="177">
        <f>((LOOKUP(X2,'Ceiling-U'!$A$4:$A$40,'Ceiling-U'!$G$4:$G$40)*X15)+(LOOKUP(X2,'Floor-U'!$A$4:$A$40,'Floor-U'!$G$4:$G$40)*X16)+(LOOKUP(X2,'Wall-U'!$A$4:$A$40,'Wall-U'!$G$4:$G$40)*X13)+(LOOKUP(X2,'Window-U'!$A$4:$A$40,'Window-U'!$G$4:$G$40)*X22))*X24</f>
        <v>1079.5322942759849</v>
      </c>
      <c r="Y28" s="177">
        <f>((LOOKUP(Y2,'Ceiling-U'!$A$4:$A$40,'Ceiling-U'!$G$4:$G$40)*Y15)+(LOOKUP(Y2,'Floor-U'!$A$4:$A$40,'Floor-U'!$G$4:$G$40)*Y16)+(LOOKUP(Y2,'Wall-U'!$A$4:$A$40,'Wall-U'!$G$4:$G$40)*Y13)+(LOOKUP(Y2,'Window-U'!$A$4:$A$40,'Window-U'!$G$4:$G$40)*Y22))*Y24</f>
        <v>2850.25774307658</v>
      </c>
      <c r="Z28" s="177">
        <f>((LOOKUP(Z2,'Ceiling-U'!$A$4:$A$40,'Ceiling-U'!$G$4:$G$40)*Z15)+(LOOKUP(Z2,'Floor-U'!$A$4:$A$40,'Floor-U'!$G$4:$G$40)*Z16)+(LOOKUP(Z2,'Wall-U'!$A$4:$A$40,'Wall-U'!$G$4:$G$40)*Z13)+(LOOKUP(Z2,'Window-U'!$A$4:$A$40,'Window-U'!$G$4:$G$40)*Z22))*Z24</f>
        <v>1858.5343873310953</v>
      </c>
      <c r="AA28" s="177">
        <f>((LOOKUP(AA2,'Ceiling-U'!$A$4:$A$40,'Ceiling-U'!$G$4:$G$40)*AA15)+(LOOKUP(AA2,'Floor-U'!$A$4:$A$40,'Floor-U'!$G$4:$G$40)*AA16)+(LOOKUP(AA2,'Wall-U'!$A$4:$A$40,'Wall-U'!$G$4:$G$40)*AA13)+(LOOKUP(AA2,'Window-U'!$A$4:$A$40,'Window-U'!$G$4:$G$40)*AA22))*AA24</f>
        <v>408.74086774624828</v>
      </c>
      <c r="AB28" s="177">
        <f>((LOOKUP(AB2,'Ceiling-U'!$A$4:$A$40,'Ceiling-U'!$G$4:$G$40)*AB15)+(LOOKUP(AB2,'Floor-U'!$A$4:$A$40,'Floor-U'!$G$4:$G$40)*AB16)+(LOOKUP(AB2,'Wall-U'!$A$4:$A$40,'Wall-U'!$G$4:$G$40)*AB13)+(LOOKUP(AB2,'Window-U'!$A$4:$A$40,'Window-U'!$G$4:$G$40)*AB22))*AB24</f>
        <v>867.31369461679697</v>
      </c>
      <c r="AC28" s="177">
        <f>((LOOKUP(AC2,'Ceiling-U'!$A$4:$A$40,'Ceiling-U'!$G$4:$G$40)*AC15)+(LOOKUP(AC2,'Floor-U'!$A$4:$A$40,'Floor-U'!$G$4:$G$40)*AC16)+(LOOKUP(AC2,'Wall-U'!$A$4:$A$40,'Wall-U'!$G$4:$G$40)*AC13)+(LOOKUP(AC2,'Window-U'!$A$4:$A$40,'Window-U'!$G$4:$G$40)*AC22))*AC24</f>
        <v>2660.3074813771036</v>
      </c>
      <c r="AD28" s="177">
        <f>((LOOKUP(AD2,'Ceiling-U'!$A$4:$A$40,'Ceiling-U'!$G$4:$G$40)*AD15)+(LOOKUP(AD2,'Floor-U'!$A$4:$A$40,'Floor-U'!$G$4:$G$40)*AD16)+(LOOKUP(AD2,'Wall-U'!$A$4:$A$40,'Wall-U'!$G$4:$G$40)*AD13)+(LOOKUP(AD2,'Window-U'!$A$4:$A$40,'Window-U'!$G$4:$G$40)*AD22))*AD24</f>
        <v>1372.7046001470703</v>
      </c>
      <c r="AE28" s="177">
        <f>((LOOKUP(AE2,'Ceiling-U'!$A$4:$A$40,'Ceiling-U'!$G$4:$G$40)*AE15)+(LOOKUP(AE2,'Floor-U'!$A$4:$A$40,'Floor-U'!$G$4:$G$40)*AE16)+(LOOKUP(AE2,'Wall-U'!$A$4:$A$40,'Wall-U'!$G$4:$G$40)*AE13)+(LOOKUP(AE2,'Window-U'!$A$4:$A$40,'Window-U'!$G$4:$G$40)*AE22))*AE24</f>
        <v>403.50254037812306</v>
      </c>
      <c r="AF28" s="177">
        <f>((LOOKUP(AF2,'Ceiling-U'!$A$4:$A$40,'Ceiling-U'!$G$4:$G$40)*AF15)+(LOOKUP(AF2,'Floor-U'!$A$4:$A$40,'Floor-U'!$G$4:$G$40)*AF16)+(LOOKUP(AF2,'Wall-U'!$A$4:$A$40,'Wall-U'!$G$4:$G$40)*AF13)+(LOOKUP(AF2,'Window-U'!$A$4:$A$40,'Window-U'!$G$4:$G$40)*AF22))*AF24</f>
        <v>1261.1714712465209</v>
      </c>
      <c r="AG28" s="177">
        <f>((LOOKUP(AG2,'Ceiling-U'!$A$4:$A$40,'Ceiling-U'!$G$4:$G$40)*AG15)+(LOOKUP(AG2,'Floor-U'!$A$4:$A$40,'Floor-U'!$G$4:$G$40)*AG16)+(LOOKUP(AG2,'Wall-U'!$A$4:$A$40,'Wall-U'!$G$4:$G$40)*AG13)+(LOOKUP(AG2,'Window-U'!$A$4:$A$40,'Window-U'!$G$4:$G$40)*AG22))*AG24</f>
        <v>1626.3652671166863</v>
      </c>
      <c r="AH28" s="177">
        <f>((LOOKUP(AH2,'Ceiling-U'!$A$4:$A$40,'Ceiling-U'!$G$4:$G$40)*AH15)+(LOOKUP(AH2,'Floor-U'!$A$4:$A$40,'Floor-U'!$G$4:$G$40)*AH16)+(LOOKUP(AH2,'Wall-U'!$A$4:$A$40,'Wall-U'!$G$4:$G$40)*AH13)+(LOOKUP(AH2,'Window-U'!$A$4:$A$40,'Window-U'!$G$4:$G$40)*AH22))*AH24</f>
        <v>1429.4226215567705</v>
      </c>
      <c r="AI28" s="177">
        <f>((LOOKUP(AI2,'Ceiling-U'!$A$4:$A$40,'Ceiling-U'!$G$4:$G$40)*AI15)+(LOOKUP(AI2,'Floor-U'!$A$4:$A$40,'Floor-U'!$G$4:$G$40)*AI16)+(LOOKUP(AI2,'Wall-U'!$A$4:$A$40,'Wall-U'!$G$4:$G$40)*AI13)+(LOOKUP(AI2,'Window-U'!$A$4:$A$40,'Window-U'!$G$4:$G$40)*AI22))*AI24</f>
        <v>2824.9828247829028</v>
      </c>
      <c r="AJ28" s="177">
        <f>((LOOKUP(AJ2,'Ceiling-U'!$A$4:$A$40,'Ceiling-U'!$G$4:$G$40)*AJ15)+(LOOKUP(AJ2,'Floor-U'!$A$4:$A$40,'Floor-U'!$G$4:$G$40)*AJ16)+(LOOKUP(AJ2,'Wall-U'!$A$4:$A$40,'Wall-U'!$G$4:$G$40)*AJ13)+(LOOKUP(AJ2,'Window-U'!$A$4:$A$40,'Window-U'!$G$4:$G$40)*AJ22))*AJ24</f>
        <v>1140.5150625663312</v>
      </c>
      <c r="AK28" s="177">
        <f>((LOOKUP(AK2,'Ceiling-U'!$A$4:$A$40,'Ceiling-U'!$G$4:$G$40)*AK15)+(LOOKUP(AK2,'Floor-U'!$A$4:$A$40,'Floor-U'!$G$4:$G$40)*AK16)+(LOOKUP(AK2,'Wall-U'!$A$4:$A$40,'Wall-U'!$G$4:$G$40)*AK13)+(LOOKUP(AK2,'Window-U'!$A$4:$A$40,'Window-U'!$G$4:$G$40)*AK22))*AK24</f>
        <v>1392.91802030287</v>
      </c>
      <c r="AL28" s="177">
        <f>((LOOKUP(AL2,'Ceiling-U'!$A$4:$A$40,'Ceiling-U'!$G$4:$G$40)*AL15)+(LOOKUP(AL2,'Floor-U'!$A$4:$A$40,'Floor-U'!$G$4:$G$40)*AL16)+(LOOKUP(AL2,'Wall-U'!$A$4:$A$40,'Wall-U'!$G$4:$G$40)*AL13)+(LOOKUP(AL2,'Window-U'!$A$4:$A$40,'Window-U'!$G$4:$G$40)*AL22))*AL24</f>
        <v>1153.5383187408013</v>
      </c>
      <c r="AM28" s="177">
        <f>((LOOKUP(AM2,'Ceiling-U'!$A$4:$A$40,'Ceiling-U'!$G$4:$G$40)*AM15)+(LOOKUP(AM2,'Floor-U'!$A$4:$A$40,'Floor-U'!$G$4:$G$40)*AM16)+(LOOKUP(AM2,'Wall-U'!$A$4:$A$40,'Wall-U'!$G$4:$G$40)*AM13)+(LOOKUP(AM2,'Window-U'!$A$4:$A$40,'Window-U'!$G$4:$G$40)*AM22))*AM24</f>
        <v>1140.5150625663312</v>
      </c>
      <c r="AN28" s="178">
        <f>((LOOKUP(AN2,'Ceiling-U'!$A$4:$A$40,'Ceiling-U'!$G$4:$G$40)*AN15)+(LOOKUP(AN2,'Floor-U'!$A$4:$A$40,'Floor-U'!$G$4:$G$40)*AN16)+(LOOKUP(AN2,'Wall-U'!$A$4:$A$40,'Wall-U'!$G$4:$G$40)*AN13)+(LOOKUP(AN2,'Window-U'!$A$4:$A$40,'Window-U'!$G$4:$G$40)*AN22))*AN24</f>
        <v>1140.5150625663312</v>
      </c>
    </row>
    <row r="29" spans="1:40">
      <c r="A29" s="129"/>
      <c r="B29" s="142" t="s">
        <v>5</v>
      </c>
      <c r="C29" s="129" t="s">
        <v>195</v>
      </c>
      <c r="D29" s="176">
        <f>((LOOKUP(D2,'Ceiling-U'!$A$4:$A$40,'Ceiling-U'!$H$4:$H$40)*D15)+(LOOKUP(D2,'Floor-U'!$A$4:$A$40,'Floor-U'!$H$4:$H$40)*D16)+(LOOKUP(D2,'Wall-U'!$A$4:$A$40,'Wall-U'!$H$4:$H$40)*D13)+(LOOKUP(D2,'Window-U'!$A$4:$A$40,'Window-U'!$H$4:$H$40)*D22))*D24</f>
        <v>756.66035518518402</v>
      </c>
      <c r="E29" s="177">
        <f>((LOOKUP(E2,'Ceiling-U'!$A$4:$A$40,'Ceiling-U'!$H$4:$H$40)*E15)+(LOOKUP(E2,'Floor-U'!$A$4:$A$40,'Floor-U'!$H$4:$H$40)*E16)+(LOOKUP(E2,'Wall-U'!$A$4:$A$40,'Wall-U'!$H$4:$H$40)*E13)+(LOOKUP(E2,'Window-U'!$A$4:$A$40,'Window-U'!$H$4:$H$40)*E22))*E24</f>
        <v>1814.6900126659802</v>
      </c>
      <c r="F29" s="177">
        <f>((LOOKUP(F2,'Ceiling-U'!$A$4:$A$40,'Ceiling-U'!$H$4:$H$40)*F15)+(LOOKUP(F2,'Floor-U'!$A$4:$A$40,'Floor-U'!$H$4:$H$40)*F16)+(LOOKUP(F2,'Wall-U'!$A$4:$A$40,'Wall-U'!$H$4:$H$40)*F13)+(LOOKUP(F2,'Window-U'!$A$4:$A$40,'Window-U'!$H$4:$H$40)*F22))*F24</f>
        <v>916.36843434395541</v>
      </c>
      <c r="G29" s="177">
        <f>((LOOKUP(G2,'Ceiling-U'!$A$4:$A$40,'Ceiling-U'!$H$4:$H$40)*G15)+(LOOKUP(G2,'Floor-U'!$A$4:$A$40,'Floor-U'!$H$4:$H$40)*G16)+(LOOKUP(G2,'Wall-U'!$A$4:$A$40,'Wall-U'!$H$4:$H$40)*G13)+(LOOKUP(G2,'Window-U'!$A$4:$A$40,'Window-U'!$H$4:$H$40)*G22))*G24</f>
        <v>780.23030511649449</v>
      </c>
      <c r="H29" s="177">
        <f>((LOOKUP(H2,'Ceiling-U'!$A$4:$A$40,'Ceiling-U'!$H$4:$H$40)*H15)+(LOOKUP(H2,'Floor-U'!$A$4:$A$40,'Floor-U'!$H$4:$H$40)*H16)+(LOOKUP(H2,'Wall-U'!$A$4:$A$40,'Wall-U'!$H$4:$H$40)*H13)+(LOOKUP(H2,'Window-U'!$A$4:$A$40,'Window-U'!$H$4:$H$40)*H22))*H24</f>
        <v>2627.7620168138842</v>
      </c>
      <c r="I29" s="177">
        <f>((LOOKUP(I2,'Ceiling-U'!$A$4:$A$40,'Ceiling-U'!$H$4:$H$40)*I15)+(LOOKUP(I2,'Floor-U'!$A$4:$A$40,'Floor-U'!$H$4:$H$40)*I16)+(LOOKUP(I2,'Wall-U'!$A$4:$A$40,'Wall-U'!$H$4:$H$40)*I13)+(LOOKUP(I2,'Window-U'!$A$4:$A$40,'Window-U'!$H$4:$H$40)*I22))*I24</f>
        <v>869.91804357968124</v>
      </c>
      <c r="J29" s="177">
        <f>((LOOKUP(J2,'Ceiling-U'!$A$4:$A$40,'Ceiling-U'!$H$4:$H$40)*J15)+(LOOKUP(J2,'Floor-U'!$A$4:$A$40,'Floor-U'!$H$4:$H$40)*J16)+(LOOKUP(J2,'Wall-U'!$A$4:$A$40,'Wall-U'!$H$4:$H$40)*J13)+(LOOKUP(J2,'Window-U'!$A$4:$A$40,'Window-U'!$H$4:$H$40)*J22))*J24</f>
        <v>754.94906142644197</v>
      </c>
      <c r="K29" s="177">
        <f>((LOOKUP(K2,'Ceiling-U'!$A$4:$A$40,'Ceiling-U'!$H$4:$H$40)*K15)+(LOOKUP(K2,'Floor-U'!$A$4:$A$40,'Floor-U'!$H$4:$H$40)*K16)+(LOOKUP(K2,'Wall-U'!$A$4:$A$40,'Wall-U'!$H$4:$H$40)*K13)+(LOOKUP(K2,'Window-U'!$A$4:$A$40,'Window-U'!$H$4:$H$40)*K22))*K24</f>
        <v>510.78842920466502</v>
      </c>
      <c r="L29" s="177">
        <f>((LOOKUP(L2,'Ceiling-U'!$A$4:$A$40,'Ceiling-U'!$H$4:$H$40)*L15)+(LOOKUP(L2,'Floor-U'!$A$4:$A$40,'Floor-U'!$H$4:$H$40)*L16)+(LOOKUP(L2,'Wall-U'!$A$4:$A$40,'Wall-U'!$H$4:$H$40)*L13)+(LOOKUP(L2,'Window-U'!$A$4:$A$40,'Window-U'!$H$4:$H$40)*L22))*L24</f>
        <v>293.37641474991176</v>
      </c>
      <c r="M29" s="177">
        <f>((LOOKUP(M2,'Ceiling-U'!$A$4:$A$40,'Ceiling-U'!$H$4:$H$40)*M15)+(LOOKUP(M2,'Floor-U'!$A$4:$A$40,'Floor-U'!$H$4:$H$40)*M16)+(LOOKUP(M2,'Wall-U'!$A$4:$A$40,'Wall-U'!$H$4:$H$40)*M13)+(LOOKUP(M2,'Window-U'!$A$4:$A$40,'Window-U'!$H$4:$H$40)*M22))*M24</f>
        <v>1667.7632491349912</v>
      </c>
      <c r="N29" s="177">
        <f>((LOOKUP(N2,'Ceiling-U'!$A$4:$A$40,'Ceiling-U'!$H$4:$H$40)*N15)+(LOOKUP(N2,'Floor-U'!$A$4:$A$40,'Floor-U'!$H$4:$H$40)*N16)+(LOOKUP(N2,'Wall-U'!$A$4:$A$40,'Wall-U'!$H$4:$H$40)*N13)+(LOOKUP(N2,'Window-U'!$A$4:$A$40,'Window-U'!$H$4:$H$40)*N22))*N24</f>
        <v>390.61032628859289</v>
      </c>
      <c r="O29" s="177">
        <f>((LOOKUP(O2,'Ceiling-U'!$A$4:$A$40,'Ceiling-U'!$H$4:$H$40)*O15)+(LOOKUP(O2,'Floor-U'!$A$4:$A$40,'Floor-U'!$H$4:$H$40)*O16)+(LOOKUP(O2,'Wall-U'!$A$4:$A$40,'Wall-U'!$H$4:$H$40)*O13)+(LOOKUP(O2,'Window-U'!$A$4:$A$40,'Window-U'!$H$4:$H$40)*O22))*O24</f>
        <v>985.98908815878599</v>
      </c>
      <c r="P29" s="177">
        <f>((LOOKUP(P2,'Ceiling-U'!$A$4:$A$40,'Ceiling-U'!$H$4:$H$40)*P15)+(LOOKUP(P2,'Floor-U'!$A$4:$A$40,'Floor-U'!$H$4:$H$40)*P16)+(LOOKUP(P2,'Wall-U'!$A$4:$A$40,'Wall-U'!$H$4:$H$40)*P13)+(LOOKUP(P2,'Window-U'!$A$4:$A$40,'Window-U'!$H$4:$H$40)*P22))*P24</f>
        <v>1869.1607363504284</v>
      </c>
      <c r="Q29" s="177">
        <f>((LOOKUP(Q2,'Ceiling-U'!$A$4:$A$40,'Ceiling-U'!$H$4:$H$40)*Q15)+(LOOKUP(Q2,'Floor-U'!$A$4:$A$40,'Floor-U'!$H$4:$H$40)*Q16)+(LOOKUP(Q2,'Wall-U'!$A$4:$A$40,'Wall-U'!$H$4:$H$40)*Q13)+(LOOKUP(Q2,'Window-U'!$A$4:$A$40,'Window-U'!$H$4:$H$40)*Q22))*Q24</f>
        <v>1072.7486493836595</v>
      </c>
      <c r="R29" s="177">
        <f>((LOOKUP(R2,'Ceiling-U'!$A$4:$A$40,'Ceiling-U'!$H$4:$H$40)*R15)+(LOOKUP(R2,'Floor-U'!$A$4:$A$40,'Floor-U'!$H$4:$H$40)*R16)+(LOOKUP(R2,'Wall-U'!$A$4:$A$40,'Wall-U'!$H$4:$H$40)*R13)+(LOOKUP(R2,'Window-U'!$A$4:$A$40,'Window-U'!$H$4:$H$40)*R22))*R24</f>
        <v>877.43497501984439</v>
      </c>
      <c r="S29" s="177">
        <f>((LOOKUP(S2,'Ceiling-U'!$A$4:$A$40,'Ceiling-U'!$H$4:$H$40)*S15)+(LOOKUP(S2,'Floor-U'!$A$4:$A$40,'Floor-U'!$H$4:$H$40)*S16)+(LOOKUP(S2,'Wall-U'!$A$4:$A$40,'Wall-U'!$H$4:$H$40)*S13)+(LOOKUP(S2,'Window-U'!$A$4:$A$40,'Window-U'!$H$4:$H$40)*S22))*S24</f>
        <v>1112.536082079296</v>
      </c>
      <c r="T29" s="177">
        <f>((LOOKUP(T2,'Ceiling-U'!$A$4:$A$40,'Ceiling-U'!$H$4:$H$40)*T15)+(LOOKUP(T2,'Floor-U'!$A$4:$A$40,'Floor-U'!$H$4:$H$40)*T16)+(LOOKUP(T2,'Wall-U'!$A$4:$A$40,'Wall-U'!$H$4:$H$40)*T13)+(LOOKUP(T2,'Window-U'!$A$4:$A$40,'Window-U'!$H$4:$H$40)*T22))*T24</f>
        <v>393.32143941088555</v>
      </c>
      <c r="U29" s="177">
        <f>((LOOKUP(U2,'Ceiling-U'!$A$4:$A$40,'Ceiling-U'!$H$4:$H$40)*U15)+(LOOKUP(U2,'Floor-U'!$A$4:$A$40,'Floor-U'!$H$4:$H$40)*U16)+(LOOKUP(U2,'Wall-U'!$A$4:$A$40,'Wall-U'!$H$4:$H$40)*U13)+(LOOKUP(U2,'Window-U'!$A$4:$A$40,'Window-U'!$H$4:$H$40)*U22))*U24</f>
        <v>1716.4559673898573</v>
      </c>
      <c r="V29" s="177">
        <f>((LOOKUP(V2,'Ceiling-U'!$A$4:$A$40,'Ceiling-U'!$H$4:$H$40)*V15)+(LOOKUP(V2,'Floor-U'!$A$4:$A$40,'Floor-U'!$H$4:$H$40)*V16)+(LOOKUP(V2,'Wall-U'!$A$4:$A$40,'Wall-U'!$H$4:$H$40)*V13)+(LOOKUP(V2,'Window-U'!$A$4:$A$40,'Window-U'!$H$4:$H$40)*V22))*V24</f>
        <v>646.99988126269068</v>
      </c>
      <c r="W29" s="177">
        <f>((LOOKUP(W2,'Ceiling-U'!$A$4:$A$40,'Ceiling-U'!$H$4:$H$40)*W15)+(LOOKUP(W2,'Floor-U'!$A$4:$A$40,'Floor-U'!$H$4:$H$40)*W16)+(LOOKUP(W2,'Wall-U'!$A$4:$A$40,'Wall-U'!$H$4:$H$40)*W13)+(LOOKUP(W2,'Window-U'!$A$4:$A$40,'Window-U'!$H$4:$H$40)*W22))*W24</f>
        <v>430.39667536935832</v>
      </c>
      <c r="X29" s="177">
        <f>((LOOKUP(X2,'Ceiling-U'!$A$4:$A$40,'Ceiling-U'!$H$4:$H$40)*X15)+(LOOKUP(X2,'Floor-U'!$A$4:$A$40,'Floor-U'!$H$4:$H$40)*X16)+(LOOKUP(X2,'Wall-U'!$A$4:$A$40,'Wall-U'!$H$4:$H$40)*X13)+(LOOKUP(X2,'Window-U'!$A$4:$A$40,'Window-U'!$H$4:$H$40)*X22))*X24</f>
        <v>553.25150762393196</v>
      </c>
      <c r="Y29" s="177">
        <f>((LOOKUP(Y2,'Ceiling-U'!$A$4:$A$40,'Ceiling-U'!$H$4:$H$40)*Y15)+(LOOKUP(Y2,'Floor-U'!$A$4:$A$40,'Floor-U'!$H$4:$H$40)*Y16)+(LOOKUP(Y2,'Wall-U'!$A$4:$A$40,'Wall-U'!$H$4:$H$40)*Y13)+(LOOKUP(Y2,'Window-U'!$A$4:$A$40,'Window-U'!$H$4:$H$40)*Y22))*Y24</f>
        <v>2529.8533651914317</v>
      </c>
      <c r="Z29" s="177">
        <f>((LOOKUP(Z2,'Ceiling-U'!$A$4:$A$40,'Ceiling-U'!$H$4:$H$40)*Z15)+(LOOKUP(Z2,'Floor-U'!$A$4:$A$40,'Floor-U'!$H$4:$H$40)*Z16)+(LOOKUP(Z2,'Wall-U'!$A$4:$A$40,'Wall-U'!$H$4:$H$40)*Z13)+(LOOKUP(Z2,'Window-U'!$A$4:$A$40,'Window-U'!$H$4:$H$40)*Z22))*Z24</f>
        <v>1106.9605265985774</v>
      </c>
      <c r="AA29" s="177">
        <f>((LOOKUP(AA2,'Ceiling-U'!$A$4:$A$40,'Ceiling-U'!$H$4:$H$40)*AA15)+(LOOKUP(AA2,'Floor-U'!$A$4:$A$40,'Floor-U'!$H$4:$H$40)*AA16)+(LOOKUP(AA2,'Wall-U'!$A$4:$A$40,'Wall-U'!$H$4:$H$40)*AA13)+(LOOKUP(AA2,'Window-U'!$A$4:$A$40,'Window-U'!$H$4:$H$40)*AA22))*AA24</f>
        <v>403.88086774624827</v>
      </c>
      <c r="AB29" s="177">
        <f>((LOOKUP(AB2,'Ceiling-U'!$A$4:$A$40,'Ceiling-U'!$H$4:$H$40)*AB15)+(LOOKUP(AB2,'Floor-U'!$A$4:$A$40,'Floor-U'!$H$4:$H$40)*AB16)+(LOOKUP(AB2,'Wall-U'!$A$4:$A$40,'Wall-U'!$H$4:$H$40)*AB13)+(LOOKUP(AB2,'Window-U'!$A$4:$A$40,'Window-U'!$H$4:$H$40)*AB22))*AB24</f>
        <v>867.31369461679697</v>
      </c>
      <c r="AC29" s="177">
        <f>((LOOKUP(AC2,'Ceiling-U'!$A$4:$A$40,'Ceiling-U'!$H$4:$H$40)*AC15)+(LOOKUP(AC2,'Floor-U'!$A$4:$A$40,'Floor-U'!$H$4:$H$40)*AC16)+(LOOKUP(AC2,'Wall-U'!$A$4:$A$40,'Wall-U'!$H$4:$H$40)*AC13)+(LOOKUP(AC2,'Window-U'!$A$4:$A$40,'Window-U'!$H$4:$H$40)*AC22))*AC24</f>
        <v>2577.4900687815011</v>
      </c>
      <c r="AD29" s="177">
        <f>((LOOKUP(AD2,'Ceiling-U'!$A$4:$A$40,'Ceiling-U'!$H$4:$H$40)*AD15)+(LOOKUP(AD2,'Floor-U'!$A$4:$A$40,'Floor-U'!$H$4:$H$40)*AD16)+(LOOKUP(AD2,'Wall-U'!$A$4:$A$40,'Wall-U'!$H$4:$H$40)*AD13)+(LOOKUP(AD2,'Window-U'!$A$4:$A$40,'Window-U'!$H$4:$H$40)*AD22))*AD24</f>
        <v>1143.3844517609996</v>
      </c>
      <c r="AE29" s="177">
        <f>((LOOKUP(AE2,'Ceiling-U'!$A$4:$A$40,'Ceiling-U'!$H$4:$H$40)*AE15)+(LOOKUP(AE2,'Floor-U'!$A$4:$A$40,'Floor-U'!$H$4:$H$40)*AE16)+(LOOKUP(AE2,'Wall-U'!$A$4:$A$40,'Wall-U'!$H$4:$H$40)*AE13)+(LOOKUP(AE2,'Window-U'!$A$4:$A$40,'Window-U'!$H$4:$H$40)*AE22))*AE24</f>
        <v>398.64254037812304</v>
      </c>
      <c r="AF29" s="177">
        <f>((LOOKUP(AF2,'Ceiling-U'!$A$4:$A$40,'Ceiling-U'!$H$4:$H$40)*AF15)+(LOOKUP(AF2,'Floor-U'!$A$4:$A$40,'Floor-U'!$H$4:$H$40)*AF16)+(LOOKUP(AF2,'Wall-U'!$A$4:$A$40,'Wall-U'!$H$4:$H$40)*AF13)+(LOOKUP(AF2,'Window-U'!$A$4:$A$40,'Window-U'!$H$4:$H$40)*AF22))*AF24</f>
        <v>941.77552721309951</v>
      </c>
      <c r="AG29" s="177">
        <f>((LOOKUP(AG2,'Ceiling-U'!$A$4:$A$40,'Ceiling-U'!$H$4:$H$40)*AG15)+(LOOKUP(AG2,'Floor-U'!$A$4:$A$40,'Floor-U'!$H$4:$H$40)*AG16)+(LOOKUP(AG2,'Wall-U'!$A$4:$A$40,'Wall-U'!$H$4:$H$40)*AG13)+(LOOKUP(AG2,'Window-U'!$A$4:$A$40,'Window-U'!$H$4:$H$40)*AG22))*AG24</f>
        <v>1354.2728715675635</v>
      </c>
      <c r="AH29" s="177">
        <f>((LOOKUP(AH2,'Ceiling-U'!$A$4:$A$40,'Ceiling-U'!$H$4:$H$40)*AH15)+(LOOKUP(AH2,'Floor-U'!$A$4:$A$40,'Floor-U'!$H$4:$H$40)*AH16)+(LOOKUP(AH2,'Wall-U'!$A$4:$A$40,'Wall-U'!$H$4:$H$40)*AH13)+(LOOKUP(AH2,'Window-U'!$A$4:$A$40,'Window-U'!$H$4:$H$40)*AH22))*AH24</f>
        <v>760.28973205467173</v>
      </c>
      <c r="AI29" s="177">
        <f>((LOOKUP(AI2,'Ceiling-U'!$A$4:$A$40,'Ceiling-U'!$H$4:$H$40)*AI15)+(LOOKUP(AI2,'Floor-U'!$A$4:$A$40,'Floor-U'!$H$4:$H$40)*AI16)+(LOOKUP(AI2,'Wall-U'!$A$4:$A$40,'Wall-U'!$H$4:$H$40)*AI13)+(LOOKUP(AI2,'Window-U'!$A$4:$A$40,'Window-U'!$H$4:$H$40)*AI22))*AI24</f>
        <v>2720.8316511427483</v>
      </c>
      <c r="AJ29" s="177">
        <f>((LOOKUP(AJ2,'Ceiling-U'!$A$4:$A$40,'Ceiling-U'!$H$4:$H$40)*AJ15)+(LOOKUP(AJ2,'Floor-U'!$A$4:$A$40,'Floor-U'!$H$4:$H$40)*AJ16)+(LOOKUP(AJ2,'Wall-U'!$A$4:$A$40,'Wall-U'!$H$4:$H$40)*AJ13)+(LOOKUP(AJ2,'Window-U'!$A$4:$A$40,'Window-U'!$H$4:$H$40)*AJ22))*AJ24</f>
        <v>956.54122086252323</v>
      </c>
      <c r="AK29" s="177">
        <f>((LOOKUP(AK2,'Ceiling-U'!$A$4:$A$40,'Ceiling-U'!$H$4:$H$40)*AK15)+(LOOKUP(AK2,'Floor-U'!$A$4:$A$40,'Floor-U'!$H$4:$H$40)*AK16)+(LOOKUP(AK2,'Wall-U'!$A$4:$A$40,'Wall-U'!$H$4:$H$40)*AK13)+(LOOKUP(AK2,'Window-U'!$A$4:$A$40,'Window-U'!$H$4:$H$40)*AK22))*AK24</f>
        <v>1159.9503261895513</v>
      </c>
      <c r="AL29" s="177">
        <f>((LOOKUP(AL2,'Ceiling-U'!$A$4:$A$40,'Ceiling-U'!$H$4:$H$40)*AL15)+(LOOKUP(AL2,'Floor-U'!$A$4:$A$40,'Floor-U'!$H$4:$H$40)*AL16)+(LOOKUP(AL2,'Wall-U'!$A$4:$A$40,'Wall-U'!$H$4:$H$40)*AL13)+(LOOKUP(AL2,'Window-U'!$A$4:$A$40,'Window-U'!$H$4:$H$40)*AL22))*AL24</f>
        <v>962.48525528797973</v>
      </c>
      <c r="AM29" s="177">
        <f>((LOOKUP(AM2,'Ceiling-U'!$A$4:$A$40,'Ceiling-U'!$H$4:$H$40)*AM15)+(LOOKUP(AM2,'Floor-U'!$A$4:$A$40,'Floor-U'!$H$4:$H$40)*AM16)+(LOOKUP(AM2,'Wall-U'!$A$4:$A$40,'Wall-U'!$H$4:$H$40)*AM13)+(LOOKUP(AM2,'Window-U'!$A$4:$A$40,'Window-U'!$H$4:$H$40)*AM22))*AM24</f>
        <v>956.54122086252323</v>
      </c>
      <c r="AN29" s="178">
        <f>((LOOKUP(AN2,'Ceiling-U'!$A$4:$A$40,'Ceiling-U'!$H$4:$H$40)*AN15)+(LOOKUP(AN2,'Floor-U'!$A$4:$A$40,'Floor-U'!$H$4:$H$40)*AN16)+(LOOKUP(AN2,'Wall-U'!$A$4:$A$40,'Wall-U'!$H$4:$H$40)*AN13)+(LOOKUP(AN2,'Window-U'!$A$4:$A$40,'Window-U'!$H$4:$H$40)*AN22))*AN24</f>
        <v>956.54122086252323</v>
      </c>
    </row>
    <row r="30" spans="1:40">
      <c r="A30" s="129"/>
      <c r="B30" s="142" t="s">
        <v>6</v>
      </c>
      <c r="C30" s="129" t="s">
        <v>195</v>
      </c>
      <c r="D30" s="176">
        <f>((LOOKUP(D2,'Ceiling-U'!$A$4:$A$40,'Ceiling-U'!$I$4:$I$40)*D15)+(LOOKUP(D2,'Floor-U'!$A$4:$A$40,'Floor-U'!$I$4:$I$40)*D16)+(LOOKUP(D2,'Wall-U'!$A$4:$A$40,'Wall-U'!$I$4:$I$40)*D13)+(LOOKUP(D2,'Window-U'!$A$4:$A$40,'Window-U'!$I$4:$I$40)*D22))*D24</f>
        <v>630.05011608824714</v>
      </c>
      <c r="E30" s="177">
        <f>((LOOKUP(E2,'Ceiling-U'!$A$4:$A$40,'Ceiling-U'!$I$4:$I$40)*E15)+(LOOKUP(E2,'Floor-U'!$A$4:$A$40,'Floor-U'!$I$4:$I$40)*E16)+(LOOKUP(E2,'Wall-U'!$A$4:$A$40,'Wall-U'!$I$4:$I$40)*E13)+(LOOKUP(E2,'Window-U'!$A$4:$A$40,'Window-U'!$I$4:$I$40)*E22))*E24</f>
        <v>1814.6900126659802</v>
      </c>
      <c r="F30" s="177">
        <f>((LOOKUP(F2,'Ceiling-U'!$A$4:$A$40,'Ceiling-U'!$I$4:$I$40)*F15)+(LOOKUP(F2,'Floor-U'!$A$4:$A$40,'Floor-U'!$I$4:$I$40)*F16)+(LOOKUP(F2,'Wall-U'!$A$4:$A$40,'Wall-U'!$I$4:$I$40)*F13)+(LOOKUP(F2,'Window-U'!$A$4:$A$40,'Window-U'!$I$4:$I$40)*F22))*F24</f>
        <v>678.42259011953593</v>
      </c>
      <c r="G30" s="177">
        <f>((LOOKUP(G2,'Ceiling-U'!$A$4:$A$40,'Ceiling-U'!$I$4:$I$40)*G15)+(LOOKUP(G2,'Floor-U'!$A$4:$A$40,'Floor-U'!$I$4:$I$40)*G16)+(LOOKUP(G2,'Wall-U'!$A$4:$A$40,'Wall-U'!$I$4:$I$40)*G13)+(LOOKUP(G2,'Window-U'!$A$4:$A$40,'Window-U'!$I$4:$I$40)*G22))*G24</f>
        <v>649.90579520782319</v>
      </c>
      <c r="H30" s="177">
        <f>((LOOKUP(H2,'Ceiling-U'!$A$4:$A$40,'Ceiling-U'!$I$4:$I$40)*H15)+(LOOKUP(H2,'Floor-U'!$A$4:$A$40,'Floor-U'!$I$4:$I$40)*H16)+(LOOKUP(H2,'Wall-U'!$A$4:$A$40,'Wall-U'!$I$4:$I$40)*H13)+(LOOKUP(H2,'Window-U'!$A$4:$A$40,'Window-U'!$I$4:$I$40)*H22))*H24</f>
        <v>2400.9620168138845</v>
      </c>
      <c r="I30" s="177">
        <f>((LOOKUP(I2,'Ceiling-U'!$A$4:$A$40,'Ceiling-U'!$I$4:$I$40)*I15)+(LOOKUP(I2,'Floor-U'!$A$4:$A$40,'Floor-U'!$I$4:$I$40)*I16)+(LOOKUP(I2,'Wall-U'!$A$4:$A$40,'Wall-U'!$I$4:$I$40)*I13)+(LOOKUP(I2,'Window-U'!$A$4:$A$40,'Window-U'!$I$4:$I$40)*I22))*I24</f>
        <v>624.18286725602195</v>
      </c>
      <c r="J30" s="177">
        <f>((LOOKUP(J2,'Ceiling-U'!$A$4:$A$40,'Ceiling-U'!$I$4:$I$40)*J15)+(LOOKUP(J2,'Floor-U'!$A$4:$A$40,'Floor-U'!$I$4:$I$40)*J16)+(LOOKUP(J2,'Wall-U'!$A$4:$A$40,'Wall-U'!$I$4:$I$40)*J13)+(LOOKUP(J2,'Window-U'!$A$4:$A$40,'Window-U'!$I$4:$I$40)*J22))*J24</f>
        <v>407.60086812015868</v>
      </c>
      <c r="K30" s="177">
        <f>((LOOKUP(K2,'Ceiling-U'!$A$4:$A$40,'Ceiling-U'!$I$4:$I$40)*K15)+(LOOKUP(K2,'Floor-U'!$A$4:$A$40,'Floor-U'!$I$4:$I$40)*K16)+(LOOKUP(K2,'Wall-U'!$A$4:$A$40,'Wall-U'!$I$4:$I$40)*K13)+(LOOKUP(K2,'Window-U'!$A$4:$A$40,'Window-U'!$I$4:$I$40)*K22))*K24</f>
        <v>510.78842920466502</v>
      </c>
      <c r="L30" s="177">
        <f>((LOOKUP(L2,'Ceiling-U'!$A$4:$A$40,'Ceiling-U'!$I$4:$I$40)*L15)+(LOOKUP(L2,'Floor-U'!$A$4:$A$40,'Floor-U'!$I$4:$I$40)*L16)+(LOOKUP(L2,'Wall-U'!$A$4:$A$40,'Wall-U'!$I$4:$I$40)*L13)+(LOOKUP(L2,'Window-U'!$A$4:$A$40,'Window-U'!$I$4:$I$40)*L22))*L24</f>
        <v>242.75650335977789</v>
      </c>
      <c r="M30" s="177">
        <f>((LOOKUP(M2,'Ceiling-U'!$A$4:$A$40,'Ceiling-U'!$I$4:$I$40)*M15)+(LOOKUP(M2,'Floor-U'!$A$4:$A$40,'Floor-U'!$I$4:$I$40)*M16)+(LOOKUP(M2,'Wall-U'!$A$4:$A$40,'Wall-U'!$I$4:$I$40)*M13)+(LOOKUP(M2,'Window-U'!$A$4:$A$40,'Window-U'!$I$4:$I$40)*M22))*M24</f>
        <v>1667.7632491349912</v>
      </c>
      <c r="N30" s="177">
        <f>((LOOKUP(N2,'Ceiling-U'!$A$4:$A$40,'Ceiling-U'!$I$4:$I$40)*N15)+(LOOKUP(N2,'Floor-U'!$A$4:$A$40,'Floor-U'!$I$4:$I$40)*N16)+(LOOKUP(N2,'Wall-U'!$A$4:$A$40,'Wall-U'!$I$4:$I$40)*N13)+(LOOKUP(N2,'Window-U'!$A$4:$A$40,'Window-U'!$I$4:$I$40)*N22))*N24</f>
        <v>383.94065184529939</v>
      </c>
      <c r="O30" s="177">
        <f>((LOOKUP(O2,'Ceiling-U'!$A$4:$A$40,'Ceiling-U'!$I$4:$I$40)*O15)+(LOOKUP(O2,'Floor-U'!$A$4:$A$40,'Floor-U'!$I$4:$I$40)*O16)+(LOOKUP(O2,'Wall-U'!$A$4:$A$40,'Wall-U'!$I$4:$I$40)*O13)+(LOOKUP(O2,'Window-U'!$A$4:$A$40,'Window-U'!$I$4:$I$40)*O22))*O24</f>
        <v>521.84083268905033</v>
      </c>
      <c r="P30" s="177">
        <f>((LOOKUP(P2,'Ceiling-U'!$A$4:$A$40,'Ceiling-U'!$I$4:$I$40)*P15)+(LOOKUP(P2,'Floor-U'!$A$4:$A$40,'Floor-U'!$I$4:$I$40)*P16)+(LOOKUP(P2,'Wall-U'!$A$4:$A$40,'Wall-U'!$I$4:$I$40)*P13)+(LOOKUP(P2,'Window-U'!$A$4:$A$40,'Window-U'!$I$4:$I$40)*P22))*P24</f>
        <v>1869.1607363504284</v>
      </c>
      <c r="Q30" s="177">
        <f>((LOOKUP(Q2,'Ceiling-U'!$A$4:$A$40,'Ceiling-U'!$I$4:$I$40)*Q15)+(LOOKUP(Q2,'Floor-U'!$A$4:$A$40,'Floor-U'!$I$4:$I$40)*Q16)+(LOOKUP(Q2,'Wall-U'!$A$4:$A$40,'Wall-U'!$I$4:$I$40)*Q13)+(LOOKUP(Q2,'Window-U'!$A$4:$A$40,'Window-U'!$I$4:$I$40)*Q22))*Q24</f>
        <v>717.2442088000555</v>
      </c>
      <c r="R30" s="177">
        <f>((LOOKUP(R2,'Ceiling-U'!$A$4:$A$40,'Ceiling-U'!$I$4:$I$40)*R15)+(LOOKUP(R2,'Floor-U'!$A$4:$A$40,'Floor-U'!$I$4:$I$40)*R16)+(LOOKUP(R2,'Wall-U'!$A$4:$A$40,'Wall-U'!$I$4:$I$40)*R13)+(LOOKUP(R2,'Window-U'!$A$4:$A$40,'Window-U'!$I$4:$I$40)*R22))*R24</f>
        <v>877.43497501984439</v>
      </c>
      <c r="S30" s="177">
        <f>((LOOKUP(S2,'Ceiling-U'!$A$4:$A$40,'Ceiling-U'!$I$4:$I$40)*S15)+(LOOKUP(S2,'Floor-U'!$A$4:$A$40,'Floor-U'!$I$4:$I$40)*S16)+(LOOKUP(S2,'Wall-U'!$A$4:$A$40,'Wall-U'!$I$4:$I$40)*S13)+(LOOKUP(S2,'Window-U'!$A$4:$A$40,'Window-U'!$I$4:$I$40)*S22))*S24</f>
        <v>930.38882245770344</v>
      </c>
      <c r="T30" s="177">
        <f>((LOOKUP(T2,'Ceiling-U'!$A$4:$A$40,'Ceiling-U'!$I$4:$I$40)*T15)+(LOOKUP(T2,'Floor-U'!$A$4:$A$40,'Floor-U'!$I$4:$I$40)*T16)+(LOOKUP(T2,'Wall-U'!$A$4:$A$40,'Wall-U'!$I$4:$I$40)*T13)+(LOOKUP(T2,'Window-U'!$A$4:$A$40,'Window-U'!$I$4:$I$40)*T22))*T24</f>
        <v>386.58706248682188</v>
      </c>
      <c r="U30" s="177">
        <f>((LOOKUP(U2,'Ceiling-U'!$A$4:$A$40,'Ceiling-U'!$I$4:$I$40)*U15)+(LOOKUP(U2,'Floor-U'!$A$4:$A$40,'Floor-U'!$I$4:$I$40)*U16)+(LOOKUP(U2,'Wall-U'!$A$4:$A$40,'Wall-U'!$I$4:$I$40)*U13)+(LOOKUP(U2,'Window-U'!$A$4:$A$40,'Window-U'!$I$4:$I$40)*U22))*U24</f>
        <v>1568.748946577814</v>
      </c>
      <c r="V30" s="177">
        <f>((LOOKUP(V2,'Ceiling-U'!$A$4:$A$40,'Ceiling-U'!$I$4:$I$40)*V15)+(LOOKUP(V2,'Floor-U'!$A$4:$A$40,'Floor-U'!$I$4:$I$40)*V16)+(LOOKUP(V2,'Wall-U'!$A$4:$A$40,'Wall-U'!$I$4:$I$40)*V13)+(LOOKUP(V2,'Window-U'!$A$4:$A$40,'Window-U'!$I$4:$I$40)*V22))*V24</f>
        <v>646.99988126269068</v>
      </c>
      <c r="W30" s="177">
        <f>((LOOKUP(W2,'Ceiling-U'!$A$4:$A$40,'Ceiling-U'!$I$4:$I$40)*W15)+(LOOKUP(W2,'Floor-U'!$A$4:$A$40,'Floor-U'!$I$4:$I$40)*W16)+(LOOKUP(W2,'Wall-U'!$A$4:$A$40,'Wall-U'!$I$4:$I$40)*W13)+(LOOKUP(W2,'Window-U'!$A$4:$A$40,'Window-U'!$I$4:$I$40)*W22))*W24</f>
        <v>359.80154954772598</v>
      </c>
      <c r="X30" s="177">
        <f>((LOOKUP(X2,'Ceiling-U'!$A$4:$A$40,'Ceiling-U'!$I$4:$I$40)*X15)+(LOOKUP(X2,'Floor-U'!$A$4:$A$40,'Floor-U'!$I$4:$I$40)*X16)+(LOOKUP(X2,'Wall-U'!$A$4:$A$40,'Wall-U'!$I$4:$I$40)*X13)+(LOOKUP(X2,'Window-U'!$A$4:$A$40,'Window-U'!$I$4:$I$40)*X22))*X24</f>
        <v>539.81242278122454</v>
      </c>
      <c r="Y30" s="177">
        <f>((LOOKUP(Y2,'Ceiling-U'!$A$4:$A$40,'Ceiling-U'!$I$4:$I$40)*Y15)+(LOOKUP(Y2,'Floor-U'!$A$4:$A$40,'Floor-U'!$I$4:$I$40)*Y16)+(LOOKUP(Y2,'Wall-U'!$A$4:$A$40,'Wall-U'!$I$4:$I$40)*Y13)+(LOOKUP(Y2,'Window-U'!$A$4:$A$40,'Window-U'!$I$4:$I$40)*Y22))*Y24</f>
        <v>2468.9765333932537</v>
      </c>
      <c r="Z30" s="177">
        <f>((LOOKUP(Z2,'Ceiling-U'!$A$4:$A$40,'Ceiling-U'!$I$4:$I$40)*Z15)+(LOOKUP(Z2,'Floor-U'!$A$4:$A$40,'Floor-U'!$I$4:$I$40)*Z16)+(LOOKUP(Z2,'Wall-U'!$A$4:$A$40,'Wall-U'!$I$4:$I$40)*Z13)+(LOOKUP(Z2,'Window-U'!$A$4:$A$40,'Window-U'!$I$4:$I$40)*Z22))*Z24</f>
        <v>975.55640427864125</v>
      </c>
      <c r="AA30" s="177">
        <f>((LOOKUP(AA2,'Ceiling-U'!$A$4:$A$40,'Ceiling-U'!$I$4:$I$40)*AA15)+(LOOKUP(AA2,'Floor-U'!$A$4:$A$40,'Floor-U'!$I$4:$I$40)*AA16)+(LOOKUP(AA2,'Wall-U'!$A$4:$A$40,'Wall-U'!$I$4:$I$40)*AA13)+(LOOKUP(AA2,'Window-U'!$A$4:$A$40,'Window-U'!$I$4:$I$40)*AA22))*AA24</f>
        <v>353.34695034589447</v>
      </c>
      <c r="AB30" s="177">
        <f>((LOOKUP(AB2,'Ceiling-U'!$A$4:$A$40,'Ceiling-U'!$I$4:$I$40)*AB15)+(LOOKUP(AB2,'Floor-U'!$A$4:$A$40,'Floor-U'!$I$4:$I$40)*AB16)+(LOOKUP(AB2,'Wall-U'!$A$4:$A$40,'Wall-U'!$I$4:$I$40)*AB13)+(LOOKUP(AB2,'Window-U'!$A$4:$A$40,'Window-U'!$I$4:$I$40)*AB22))*AB24</f>
        <v>867.31369461679697</v>
      </c>
      <c r="AC30" s="177">
        <f>((LOOKUP(AC2,'Ceiling-U'!$A$4:$A$40,'Ceiling-U'!$I$4:$I$40)*AC15)+(LOOKUP(AC2,'Floor-U'!$A$4:$A$40,'Floor-U'!$I$4:$I$40)*AC16)+(LOOKUP(AC2,'Wall-U'!$A$4:$A$40,'Wall-U'!$I$4:$I$40)*AC13)+(LOOKUP(AC2,'Window-U'!$A$4:$A$40,'Window-U'!$I$4:$I$40)*AC22))*AC24</f>
        <v>2362.0114165465675</v>
      </c>
      <c r="AD30" s="177">
        <f>((LOOKUP(AD2,'Ceiling-U'!$A$4:$A$40,'Ceiling-U'!$I$4:$I$40)*AD15)+(LOOKUP(AD2,'Floor-U'!$A$4:$A$40,'Floor-U'!$I$4:$I$40)*AD16)+(LOOKUP(AD2,'Wall-U'!$A$4:$A$40,'Wall-U'!$I$4:$I$40)*AD13)+(LOOKUP(AD2,'Window-U'!$A$4:$A$40,'Window-U'!$I$4:$I$40)*AD22))*AD24</f>
        <v>1143.3844517609996</v>
      </c>
      <c r="AE30" s="177">
        <f>((LOOKUP(AE2,'Ceiling-U'!$A$4:$A$40,'Ceiling-U'!$I$4:$I$40)*AE15)+(LOOKUP(AE2,'Floor-U'!$A$4:$A$40,'Floor-U'!$I$4:$I$40)*AE16)+(LOOKUP(AE2,'Wall-U'!$A$4:$A$40,'Wall-U'!$I$4:$I$40)*AE13)+(LOOKUP(AE2,'Window-U'!$A$4:$A$40,'Window-U'!$I$4:$I$40)*AE22))*AE24</f>
        <v>348.91796124020061</v>
      </c>
      <c r="AF30" s="177">
        <f>((LOOKUP(AF2,'Ceiling-U'!$A$4:$A$40,'Ceiling-U'!$I$4:$I$40)*AF15)+(LOOKUP(AF2,'Floor-U'!$A$4:$A$40,'Floor-U'!$I$4:$I$40)*AF16)+(LOOKUP(AF2,'Wall-U'!$A$4:$A$40,'Wall-U'!$I$4:$I$40)*AF13)+(LOOKUP(AF2,'Window-U'!$A$4:$A$40,'Window-U'!$I$4:$I$40)*AF22))*AF24</f>
        <v>625.69013916799929</v>
      </c>
      <c r="AG30" s="177">
        <f>((LOOKUP(AG2,'Ceiling-U'!$A$4:$A$40,'Ceiling-U'!$I$4:$I$40)*AG15)+(LOOKUP(AG2,'Floor-U'!$A$4:$A$40,'Floor-U'!$I$4:$I$40)*AG16)+(LOOKUP(AG2,'Wall-U'!$A$4:$A$40,'Wall-U'!$I$4:$I$40)*AG13)+(LOOKUP(AG2,'Window-U'!$A$4:$A$40,'Window-U'!$I$4:$I$40)*AG22))*AG24</f>
        <v>1194.6401901017168</v>
      </c>
      <c r="AH30" s="177">
        <f>((LOOKUP(AH2,'Ceiling-U'!$A$4:$A$40,'Ceiling-U'!$I$4:$I$40)*AH15)+(LOOKUP(AH2,'Floor-U'!$A$4:$A$40,'Floor-U'!$I$4:$I$40)*AH16)+(LOOKUP(AH2,'Wall-U'!$A$4:$A$40,'Wall-U'!$I$4:$I$40)*AH13)+(LOOKUP(AH2,'Window-U'!$A$4:$A$40,'Window-U'!$I$4:$I$40)*AH22))*AH24</f>
        <v>552.81001332714709</v>
      </c>
      <c r="AI30" s="177">
        <f>((LOOKUP(AI2,'Ceiling-U'!$A$4:$A$40,'Ceiling-U'!$I$4:$I$40)*AI15)+(LOOKUP(AI2,'Floor-U'!$A$4:$A$40,'Floor-U'!$I$4:$I$40)*AI16)+(LOOKUP(AI2,'Wall-U'!$A$4:$A$40,'Wall-U'!$I$4:$I$40)*AI13)+(LOOKUP(AI2,'Window-U'!$A$4:$A$40,'Window-U'!$I$4:$I$40)*AI22))*AI24</f>
        <v>2720.8316511427483</v>
      </c>
      <c r="AJ30" s="177">
        <f>((LOOKUP(AJ2,'Ceiling-U'!$A$4:$A$40,'Ceiling-U'!$I$4:$I$40)*AJ15)+(LOOKUP(AJ2,'Floor-U'!$A$4:$A$40,'Floor-U'!$I$4:$I$40)*AJ16)+(LOOKUP(AJ2,'Wall-U'!$A$4:$A$40,'Wall-U'!$I$4:$I$40)*AJ13)+(LOOKUP(AJ2,'Window-U'!$A$4:$A$40,'Window-U'!$I$4:$I$40)*AJ22))*AJ24</f>
        <v>893.33407314682177</v>
      </c>
      <c r="AK30" s="177">
        <f>((LOOKUP(AK2,'Ceiling-U'!$A$4:$A$40,'Ceiling-U'!$I$4:$I$40)*AK15)+(LOOKUP(AK2,'Floor-U'!$A$4:$A$40,'Floor-U'!$I$4:$I$40)*AK16)+(LOOKUP(AK2,'Wall-U'!$A$4:$A$40,'Wall-U'!$I$4:$I$40)*AK13)+(LOOKUP(AK2,'Window-U'!$A$4:$A$40,'Window-U'!$I$4:$I$40)*AK22))*AK24</f>
        <v>1078.9330748308339</v>
      </c>
      <c r="AL30" s="177">
        <f>((LOOKUP(AL2,'Ceiling-U'!$A$4:$A$40,'Ceiling-U'!$I$4:$I$40)*AL15)+(LOOKUP(AL2,'Floor-U'!$A$4:$A$40,'Floor-U'!$I$4:$I$40)*AL16)+(LOOKUP(AL2,'Wall-U'!$A$4:$A$40,'Wall-U'!$I$4:$I$40)*AL13)+(LOOKUP(AL2,'Window-U'!$A$4:$A$40,'Window-U'!$I$4:$I$40)*AL22))*AL24</f>
        <v>708.88512503156539</v>
      </c>
      <c r="AM30" s="177">
        <f>((LOOKUP(AM2,'Ceiling-U'!$A$4:$A$40,'Ceiling-U'!$I$4:$I$40)*AM15)+(LOOKUP(AM2,'Floor-U'!$A$4:$A$40,'Floor-U'!$I$4:$I$40)*AM16)+(LOOKUP(AM2,'Wall-U'!$A$4:$A$40,'Wall-U'!$I$4:$I$40)*AM13)+(LOOKUP(AM2,'Window-U'!$A$4:$A$40,'Window-U'!$I$4:$I$40)*AM22))*AM24</f>
        <v>893.33407314682177</v>
      </c>
      <c r="AN30" s="178">
        <f>((LOOKUP(AN2,'Ceiling-U'!$A$4:$A$40,'Ceiling-U'!$I$4:$I$40)*AN15)+(LOOKUP(AN2,'Floor-U'!$A$4:$A$40,'Floor-U'!$I$4:$I$40)*AN16)+(LOOKUP(AN2,'Wall-U'!$A$4:$A$40,'Wall-U'!$I$4:$I$40)*AN13)+(LOOKUP(AN2,'Window-U'!$A$4:$A$40,'Window-U'!$I$4:$I$40)*AN22))*AN24</f>
        <v>893.33407314682177</v>
      </c>
    </row>
    <row r="31" spans="1:40">
      <c r="A31" s="129"/>
      <c r="B31" s="142" t="s">
        <v>7</v>
      </c>
      <c r="C31" s="129" t="s">
        <v>195</v>
      </c>
      <c r="D31" s="176">
        <f>((LOOKUP(D2,'Ceiling-U'!$A$4:$A$40,'Ceiling-U'!$J$4:$J$40)*D15)+(LOOKUP(D2,'Floor-U'!$A$4:$A$40,'Floor-U'!$J$4:$J$40)*D16)+(LOOKUP(D2,'Wall-U'!$A$4:$A$40,'Wall-U'!$J$4:$J$40)*D13)+(LOOKUP(D2,'Window-U'!$A$4:$A$40,'Window-U'!$J$4:$J$40)*D22))*D24</f>
        <v>536.51025038689579</v>
      </c>
      <c r="E31" s="177">
        <f>((LOOKUP(E2,'Ceiling-U'!$A$4:$A$40,'Ceiling-U'!$J$4:$J$40)*E15)+(LOOKUP(E2,'Floor-U'!$A$4:$A$40,'Floor-U'!$J$4:$J$40)*E16)+(LOOKUP(E2,'Wall-U'!$A$4:$A$40,'Wall-U'!$J$4:$J$40)*E13)+(LOOKUP(E2,'Window-U'!$A$4:$A$40,'Window-U'!$J$4:$J$40)*E22))*E24</f>
        <v>959.35833153100918</v>
      </c>
      <c r="F31" s="177">
        <f>((LOOKUP(F2,'Ceiling-U'!$A$4:$A$40,'Ceiling-U'!$J$4:$J$40)*F15)+(LOOKUP(F2,'Floor-U'!$A$4:$A$40,'Floor-U'!$J$4:$J$40)*F16)+(LOOKUP(F2,'Wall-U'!$A$4:$A$40,'Wall-U'!$J$4:$J$40)*F13)+(LOOKUP(F2,'Window-U'!$A$4:$A$40,'Window-U'!$J$4:$J$40)*F22))*F24</f>
        <v>428.48934503591755</v>
      </c>
      <c r="G31" s="177">
        <f>((LOOKUP(G2,'Ceiling-U'!$A$4:$A$40,'Ceiling-U'!$J$4:$J$40)*G15)+(LOOKUP(G2,'Floor-U'!$A$4:$A$40,'Floor-U'!$J$4:$J$40)*G16)+(LOOKUP(G2,'Wall-U'!$A$4:$A$40,'Wall-U'!$J$4:$J$40)*G13)+(LOOKUP(G2,'Window-U'!$A$4:$A$40,'Window-U'!$J$4:$J$40)*G22))*G24</f>
        <v>552.77862379155818</v>
      </c>
      <c r="H31" s="177">
        <f>((LOOKUP(H2,'Ceiling-U'!$A$4:$A$40,'Ceiling-U'!$J$4:$J$40)*H15)+(LOOKUP(H2,'Floor-U'!$A$4:$A$40,'Floor-U'!$J$4:$J$40)*H16)+(LOOKUP(H2,'Wall-U'!$A$4:$A$40,'Wall-U'!$J$4:$J$40)*H13)+(LOOKUP(H2,'Window-U'!$A$4:$A$40,'Window-U'!$J$4:$J$40)*H22))*H24</f>
        <v>1916.9162549254345</v>
      </c>
      <c r="I31" s="177">
        <f>((LOOKUP(I2,'Ceiling-U'!$A$4:$A$40,'Ceiling-U'!$J$4:$J$40)*I15)+(LOOKUP(I2,'Floor-U'!$A$4:$A$40,'Floor-U'!$J$4:$J$40)*I16)+(LOOKUP(I2,'Wall-U'!$A$4:$A$40,'Wall-U'!$J$4:$J$40)*I13)+(LOOKUP(I2,'Window-U'!$A$4:$A$40,'Window-U'!$J$4:$J$40)*I22))*I24</f>
        <v>468.94128796133612</v>
      </c>
      <c r="J31" s="177">
        <f>((LOOKUP(J2,'Ceiling-U'!$A$4:$A$40,'Ceiling-U'!$J$4:$J$40)*J15)+(LOOKUP(J2,'Floor-U'!$A$4:$A$40,'Floor-U'!$J$4:$J$40)*J16)+(LOOKUP(J2,'Wall-U'!$A$4:$A$40,'Wall-U'!$J$4:$J$40)*J13)+(LOOKUP(J2,'Window-U'!$A$4:$A$40,'Window-U'!$J$4:$J$40)*J22))*J24</f>
        <v>447.64654467509934</v>
      </c>
      <c r="K31" s="177">
        <f>((LOOKUP(K2,'Ceiling-U'!$A$4:$A$40,'Ceiling-U'!$J$4:$J$40)*K15)+(LOOKUP(K2,'Floor-U'!$A$4:$A$40,'Floor-U'!$J$4:$J$40)*K16)+(LOOKUP(K2,'Wall-U'!$A$4:$A$40,'Wall-U'!$J$4:$J$40)*K13)+(LOOKUP(K2,'Window-U'!$A$4:$A$40,'Window-U'!$J$4:$J$40)*K22))*K24</f>
        <v>344.05821876673832</v>
      </c>
      <c r="L31" s="177">
        <f>((LOOKUP(L2,'Ceiling-U'!$A$4:$A$40,'Ceiling-U'!$J$4:$J$40)*L15)+(LOOKUP(L2,'Floor-U'!$A$4:$A$40,'Floor-U'!$J$4:$J$40)*L16)+(LOOKUP(L2,'Wall-U'!$A$4:$A$40,'Wall-U'!$J$4:$J$40)*L13)+(LOOKUP(L2,'Window-U'!$A$4:$A$40,'Window-U'!$J$4:$J$40)*L22))*L24</f>
        <v>242.75650335977789</v>
      </c>
      <c r="M31" s="177">
        <f>((LOOKUP(M2,'Ceiling-U'!$A$4:$A$40,'Ceiling-U'!$J$4:$J$40)*M15)+(LOOKUP(M2,'Floor-U'!$A$4:$A$40,'Floor-U'!$J$4:$J$40)*M16)+(LOOKUP(M2,'Wall-U'!$A$4:$A$40,'Wall-U'!$J$4:$J$40)*M13)+(LOOKUP(M2,'Window-U'!$A$4:$A$40,'Window-U'!$J$4:$J$40)*M22))*M24</f>
        <v>1027.7097897875378</v>
      </c>
      <c r="N31" s="177">
        <f>((LOOKUP(N2,'Ceiling-U'!$A$4:$A$40,'Ceiling-U'!$J$4:$J$40)*N15)+(LOOKUP(N2,'Floor-U'!$A$4:$A$40,'Floor-U'!$J$4:$J$40)*N16)+(LOOKUP(N2,'Wall-U'!$A$4:$A$40,'Wall-U'!$J$4:$J$40)*N13)+(LOOKUP(N2,'Window-U'!$A$4:$A$40,'Window-U'!$J$4:$J$40)*N22))*N24</f>
        <v>336.75686099053024</v>
      </c>
      <c r="O31" s="177">
        <f>((LOOKUP(O2,'Ceiling-U'!$A$4:$A$40,'Ceiling-U'!$J$4:$J$40)*O15)+(LOOKUP(O2,'Floor-U'!$A$4:$A$40,'Floor-U'!$J$4:$J$40)*O16)+(LOOKUP(O2,'Wall-U'!$A$4:$A$40,'Wall-U'!$J$4:$J$40)*O13)+(LOOKUP(O2,'Window-U'!$A$4:$A$40,'Window-U'!$J$4:$J$40)*O22))*O24</f>
        <v>501.78621755580292</v>
      </c>
      <c r="P31" s="177">
        <f>((LOOKUP(P2,'Ceiling-U'!$A$4:$A$40,'Ceiling-U'!$J$4:$J$40)*P15)+(LOOKUP(P2,'Floor-U'!$A$4:$A$40,'Floor-U'!$J$4:$J$40)*P16)+(LOOKUP(P2,'Wall-U'!$A$4:$A$40,'Wall-U'!$J$4:$J$40)*P13)+(LOOKUP(P2,'Window-U'!$A$4:$A$40,'Window-U'!$J$4:$J$40)*P22))*P24</f>
        <v>547.45375848989943</v>
      </c>
      <c r="Q31" s="177">
        <f>((LOOKUP(Q2,'Ceiling-U'!$A$4:$A$40,'Ceiling-U'!$J$4:$J$40)*Q15)+(LOOKUP(Q2,'Floor-U'!$A$4:$A$40,'Floor-U'!$J$4:$J$40)*Q16)+(LOOKUP(Q2,'Wall-U'!$A$4:$A$40,'Wall-U'!$J$4:$J$40)*Q13)+(LOOKUP(Q2,'Window-U'!$A$4:$A$40,'Window-U'!$J$4:$J$40)*Q22))*Q24</f>
        <v>412.8653505142828</v>
      </c>
      <c r="R31" s="177">
        <f>((LOOKUP(R2,'Ceiling-U'!$A$4:$A$40,'Ceiling-U'!$J$4:$J$40)*R15)+(LOOKUP(R2,'Floor-U'!$A$4:$A$40,'Floor-U'!$J$4:$J$40)*R16)+(LOOKUP(R2,'Wall-U'!$A$4:$A$40,'Wall-U'!$J$4:$J$40)*R13)+(LOOKUP(R2,'Window-U'!$A$4:$A$40,'Window-U'!$J$4:$J$40)*R22))*R24</f>
        <v>488.87209999221159</v>
      </c>
      <c r="S31" s="177">
        <f>((LOOKUP(S2,'Ceiling-U'!$A$4:$A$40,'Ceiling-U'!$J$4:$J$40)*S15)+(LOOKUP(S2,'Floor-U'!$A$4:$A$40,'Floor-U'!$J$4:$J$40)*S16)+(LOOKUP(S2,'Wall-U'!$A$4:$A$40,'Wall-U'!$J$4:$J$40)*S13)+(LOOKUP(S2,'Window-U'!$A$4:$A$40,'Window-U'!$J$4:$J$40)*S22))*S24</f>
        <v>537.76955409828042</v>
      </c>
      <c r="T31" s="177">
        <f>((LOOKUP(T2,'Ceiling-U'!$A$4:$A$40,'Ceiling-U'!$J$4:$J$40)*T15)+(LOOKUP(T2,'Floor-U'!$A$4:$A$40,'Floor-U'!$J$4:$J$40)*T16)+(LOOKUP(T2,'Wall-U'!$A$4:$A$40,'Wall-U'!$J$4:$J$40)*T13)+(LOOKUP(T2,'Window-U'!$A$4:$A$40,'Window-U'!$J$4:$J$40)*T22))*T24</f>
        <v>339.06305101883902</v>
      </c>
      <c r="U31" s="177">
        <f>((LOOKUP(U2,'Ceiling-U'!$A$4:$A$40,'Ceiling-U'!$J$4:$J$40)*U15)+(LOOKUP(U2,'Floor-U'!$A$4:$A$40,'Floor-U'!$J$4:$J$40)*U16)+(LOOKUP(U2,'Wall-U'!$A$4:$A$40,'Wall-U'!$J$4:$J$40)*U13)+(LOOKUP(U2,'Window-U'!$A$4:$A$40,'Window-U'!$J$4:$J$40)*U22))*U24</f>
        <v>1514.748946577814</v>
      </c>
      <c r="V31" s="177">
        <f>((LOOKUP(V2,'Ceiling-U'!$A$4:$A$40,'Ceiling-U'!$J$4:$J$40)*V15)+(LOOKUP(V2,'Floor-U'!$A$4:$A$40,'Floor-U'!$J$4:$J$40)*V16)+(LOOKUP(V2,'Wall-U'!$A$4:$A$40,'Wall-U'!$J$4:$J$40)*V13)+(LOOKUP(V2,'Window-U'!$A$4:$A$40,'Window-U'!$J$4:$J$40)*V22))*V24</f>
        <v>333.62069254533054</v>
      </c>
      <c r="W31" s="177">
        <f>((LOOKUP(W2,'Ceiling-U'!$A$4:$A$40,'Ceiling-U'!$J$4:$J$40)*W15)+(LOOKUP(W2,'Floor-U'!$A$4:$A$40,'Floor-U'!$J$4:$J$40)*W16)+(LOOKUP(W2,'Wall-U'!$A$4:$A$40,'Wall-U'!$J$4:$J$40)*W13)+(LOOKUP(W2,'Window-U'!$A$4:$A$40,'Window-U'!$J$4:$J$40)*W22))*W24</f>
        <v>279.02430726189772</v>
      </c>
      <c r="X31" s="177">
        <f>((LOOKUP(X2,'Ceiling-U'!$A$4:$A$40,'Ceiling-U'!$J$4:$J$40)*X15)+(LOOKUP(X2,'Floor-U'!$A$4:$A$40,'Floor-U'!$J$4:$J$40)*X16)+(LOOKUP(X2,'Wall-U'!$A$4:$A$40,'Wall-U'!$J$4:$J$40)*X13)+(LOOKUP(X2,'Window-U'!$A$4:$A$40,'Window-U'!$J$4:$J$40)*X22))*X24</f>
        <v>303.26462854061162</v>
      </c>
      <c r="Y31" s="177">
        <f>((LOOKUP(Y2,'Ceiling-U'!$A$4:$A$40,'Ceiling-U'!$J$4:$J$40)*Y15)+(LOOKUP(Y2,'Floor-U'!$A$4:$A$40,'Floor-U'!$J$4:$J$40)*Y16)+(LOOKUP(Y2,'Wall-U'!$A$4:$A$40,'Wall-U'!$J$4:$J$40)*Y13)+(LOOKUP(Y2,'Window-U'!$A$4:$A$40,'Window-U'!$J$4:$J$40)*Y22))*Y24</f>
        <v>2358.4230314921201</v>
      </c>
      <c r="Z31" s="177">
        <f>((LOOKUP(Z2,'Ceiling-U'!$A$4:$A$40,'Ceiling-U'!$J$4:$J$40)*Z15)+(LOOKUP(Z2,'Floor-U'!$A$4:$A$40,'Floor-U'!$J$4:$J$40)*Z16)+(LOOKUP(Z2,'Wall-U'!$A$4:$A$40,'Wall-U'!$J$4:$J$40)*Z13)+(LOOKUP(Z2,'Window-U'!$A$4:$A$40,'Window-U'!$J$4:$J$40)*Z22))*Z24</f>
        <v>630.49634548987206</v>
      </c>
      <c r="AA31" s="177">
        <f>((LOOKUP(AA2,'Ceiling-U'!$A$4:$A$40,'Ceiling-U'!$J$4:$J$40)*AA15)+(LOOKUP(AA2,'Floor-U'!$A$4:$A$40,'Floor-U'!$J$4:$J$40)*AA16)+(LOOKUP(AA2,'Wall-U'!$A$4:$A$40,'Wall-U'!$J$4:$J$40)*AA13)+(LOOKUP(AA2,'Window-U'!$A$4:$A$40,'Window-U'!$J$4:$J$40)*AA22))*AA24</f>
        <v>317.1987023458945</v>
      </c>
      <c r="AB31" s="177">
        <f>((LOOKUP(AB2,'Ceiling-U'!$A$4:$A$40,'Ceiling-U'!$J$4:$J$40)*AB15)+(LOOKUP(AB2,'Floor-U'!$A$4:$A$40,'Floor-U'!$J$4:$J$40)*AB16)+(LOOKUP(AB2,'Wall-U'!$A$4:$A$40,'Wall-U'!$J$4:$J$40)*AB13)+(LOOKUP(AB2,'Window-U'!$A$4:$A$40,'Window-U'!$J$4:$J$40)*AB22))*AB24</f>
        <v>651.71302578114057</v>
      </c>
      <c r="AC31" s="177">
        <f>((LOOKUP(AC2,'Ceiling-U'!$A$4:$A$40,'Ceiling-U'!$J$4:$J$40)*AC15)+(LOOKUP(AC2,'Floor-U'!$A$4:$A$40,'Floor-U'!$J$4:$J$40)*AC16)+(LOOKUP(AC2,'Wall-U'!$A$4:$A$40,'Wall-U'!$J$4:$J$40)*AC13)+(LOOKUP(AC2,'Window-U'!$A$4:$A$40,'Window-U'!$J$4:$J$40)*AC22))*AC24</f>
        <v>1460.0095378298256</v>
      </c>
      <c r="AD31" s="177">
        <f>((LOOKUP(AD2,'Ceiling-U'!$A$4:$A$40,'Ceiling-U'!$J$4:$J$40)*AD15)+(LOOKUP(AD2,'Floor-U'!$A$4:$A$40,'Floor-U'!$J$4:$J$40)*AD16)+(LOOKUP(AD2,'Wall-U'!$A$4:$A$40,'Wall-U'!$J$4:$J$40)*AD13)+(LOOKUP(AD2,'Window-U'!$A$4:$A$40,'Window-U'!$J$4:$J$40)*AD22))*AD24</f>
        <v>885.53756439291294</v>
      </c>
      <c r="AE31" s="177">
        <f>((LOOKUP(AE2,'Ceiling-U'!$A$4:$A$40,'Ceiling-U'!$J$4:$J$40)*AE15)+(LOOKUP(AE2,'Floor-U'!$A$4:$A$40,'Floor-U'!$J$4:$J$40)*AE16)+(LOOKUP(AE2,'Wall-U'!$A$4:$A$40,'Wall-U'!$J$4:$J$40)*AE13)+(LOOKUP(AE2,'Window-U'!$A$4:$A$40,'Window-U'!$J$4:$J$40)*AE22))*AE24</f>
        <v>312.76971324020059</v>
      </c>
      <c r="AF31" s="177">
        <f>((LOOKUP(AF2,'Ceiling-U'!$A$4:$A$40,'Ceiling-U'!$J$4:$J$40)*AF15)+(LOOKUP(AF2,'Floor-U'!$A$4:$A$40,'Floor-U'!$J$4:$J$40)*AF16)+(LOOKUP(AF2,'Wall-U'!$A$4:$A$40,'Wall-U'!$J$4:$J$40)*AF13)+(LOOKUP(AF2,'Window-U'!$A$4:$A$40,'Window-U'!$J$4:$J$40)*AF22))*AF24</f>
        <v>310.36922418327003</v>
      </c>
      <c r="AG31" s="177">
        <f>((LOOKUP(AG2,'Ceiling-U'!$A$4:$A$40,'Ceiling-U'!$J$4:$J$40)*AG15)+(LOOKUP(AG2,'Floor-U'!$A$4:$A$40,'Floor-U'!$J$4:$J$40)*AG16)+(LOOKUP(AG2,'Wall-U'!$A$4:$A$40,'Wall-U'!$J$4:$J$40)*AG13)+(LOOKUP(AG2,'Window-U'!$A$4:$A$40,'Window-U'!$J$4:$J$40)*AG22))*AG24</f>
        <v>658.16068012944436</v>
      </c>
      <c r="AH31" s="177">
        <f>((LOOKUP(AH2,'Ceiling-U'!$A$4:$A$40,'Ceiling-U'!$J$4:$J$40)*AH15)+(LOOKUP(AH2,'Floor-U'!$A$4:$A$40,'Floor-U'!$J$4:$J$40)*AH16)+(LOOKUP(AH2,'Wall-U'!$A$4:$A$40,'Wall-U'!$J$4:$J$40)*AH13)+(LOOKUP(AH2,'Window-U'!$A$4:$A$40,'Window-U'!$J$4:$J$40)*AH22))*AH24</f>
        <v>444.42451540806434</v>
      </c>
      <c r="AI31" s="177">
        <f>((LOOKUP(AI2,'Ceiling-U'!$A$4:$A$40,'Ceiling-U'!$J$4:$J$40)*AI15)+(LOOKUP(AI2,'Floor-U'!$A$4:$A$40,'Floor-U'!$J$4:$J$40)*AI16)+(LOOKUP(AI2,'Wall-U'!$A$4:$A$40,'Wall-U'!$J$4:$J$40)*AI13)+(LOOKUP(AI2,'Window-U'!$A$4:$A$40,'Window-U'!$J$4:$J$40)*AI22))*AI24</f>
        <v>798.56896863042357</v>
      </c>
      <c r="AJ31" s="177">
        <f>((LOOKUP(AJ2,'Ceiling-U'!$A$4:$A$40,'Ceiling-U'!$J$4:$J$40)*AJ15)+(LOOKUP(AJ2,'Floor-U'!$A$4:$A$40,'Floor-U'!$J$4:$J$40)*AJ16)+(LOOKUP(AJ2,'Wall-U'!$A$4:$A$40,'Wall-U'!$J$4:$J$40)*AJ13)+(LOOKUP(AJ2,'Window-U'!$A$4:$A$40,'Window-U'!$J$4:$J$40)*AJ22))*AJ24</f>
        <v>757.86432944131332</v>
      </c>
      <c r="AK31" s="177">
        <f>((LOOKUP(AK2,'Ceiling-U'!$A$4:$A$40,'Ceiling-U'!$J$4:$J$40)*AK15)+(LOOKUP(AK2,'Floor-U'!$A$4:$A$40,'Floor-U'!$J$4:$J$40)*AK16)+(LOOKUP(AK2,'Wall-U'!$A$4:$A$40,'Wall-U'!$J$4:$J$40)*AK13)+(LOOKUP(AK2,'Window-U'!$A$4:$A$40,'Window-U'!$J$4:$J$40)*AK22))*AK24</f>
        <v>918.15526222845699</v>
      </c>
      <c r="AL31" s="177">
        <f>((LOOKUP(AL2,'Ceiling-U'!$A$4:$A$40,'Ceiling-U'!$J$4:$J$40)*AL15)+(LOOKUP(AL2,'Floor-U'!$A$4:$A$40,'Floor-U'!$J$4:$J$40)*AL16)+(LOOKUP(AL2,'Wall-U'!$A$4:$A$40,'Wall-U'!$J$4:$J$40)*AL13)+(LOOKUP(AL2,'Window-U'!$A$4:$A$40,'Window-U'!$J$4:$J$40)*AL22))*AL24</f>
        <v>447.61516278285944</v>
      </c>
      <c r="AM31" s="177">
        <f>((LOOKUP(AM2,'Ceiling-U'!$A$4:$A$40,'Ceiling-U'!$J$4:$J$40)*AM15)+(LOOKUP(AM2,'Floor-U'!$A$4:$A$40,'Floor-U'!$J$4:$J$40)*AM16)+(LOOKUP(AM2,'Wall-U'!$A$4:$A$40,'Wall-U'!$J$4:$J$40)*AM13)+(LOOKUP(AM2,'Window-U'!$A$4:$A$40,'Window-U'!$J$4:$J$40)*AM22))*AM24</f>
        <v>757.86432944131332</v>
      </c>
      <c r="AN31" s="178">
        <f>((LOOKUP(AN2,'Ceiling-U'!$A$4:$A$40,'Ceiling-U'!$J$4:$J$40)*AN15)+(LOOKUP(AN2,'Floor-U'!$A$4:$A$40,'Floor-U'!$J$4:$J$40)*AN16)+(LOOKUP(AN2,'Wall-U'!$A$4:$A$40,'Wall-U'!$J$4:$J$40)*AN13)+(LOOKUP(AN2,'Window-U'!$A$4:$A$40,'Window-U'!$J$4:$J$40)*AN22))*AN24</f>
        <v>757.86432944131332</v>
      </c>
    </row>
    <row r="32" spans="1:40" s="135" customFormat="1">
      <c r="A32" s="121"/>
      <c r="B32" s="143" t="s">
        <v>187</v>
      </c>
      <c r="C32" s="122" t="s">
        <v>195</v>
      </c>
      <c r="D32" s="197">
        <f>((LOOKUP(D2,'Ceiling-U'!$A$4:$A$40,'Ceiling-U'!$K$4:$K$40)*D15)+(LOOKUP(D2,'Floor-U'!$A$4:$A$40,'Floor-U'!$K$4:$K$40)*D16)+(LOOKUP(D2,'Wall-U'!$A$4:$A$40,'Wall-U'!$K$4:$K$40)*D13)+(LOOKUP(D2,'Window-U'!$A$4:$A$40,'Window-U'!$K$4:$K$40)*D22))*D24</f>
        <v>1265.4241659992579</v>
      </c>
      <c r="E32" s="198">
        <f>((LOOKUP(E2,'Ceiling-U'!$A$4:$A$40,'Ceiling-U'!$K$4:$K$40)*E15)+(LOOKUP(E2,'Floor-U'!$A$4:$A$40,'Floor-U'!$K$4:$K$40)*E16)+(LOOKUP(E2,'Wall-U'!$A$4:$A$40,'Wall-U'!$K$4:$K$40)*E13)+(LOOKUP(E2,'Window-U'!$A$4:$A$40,'Window-U'!$K$4:$K$40)*E22))*E24</f>
        <v>2066.9763209883213</v>
      </c>
      <c r="F32" s="198">
        <f>((LOOKUP(F2,'Ceiling-U'!$A$4:$A$40,'Ceiling-U'!$K$4:$K$40)*F15)+(LOOKUP(F2,'Floor-U'!$A$4:$A$40,'Floor-U'!$K$4:$K$40)*F16)+(LOOKUP(F2,'Wall-U'!$A$4:$A$40,'Wall-U'!$K$4:$K$40)*F13)+(LOOKUP(F2,'Window-U'!$A$4:$A$40,'Window-U'!$K$4:$K$40)*F22))*F24</f>
        <v>968.22073552875918</v>
      </c>
      <c r="G32" s="198">
        <f>((LOOKUP(G2,'Ceiling-U'!$A$4:$A$40,'Ceiling-U'!$K$4:$K$40)*G15)+(LOOKUP(G2,'Floor-U'!$A$4:$A$40,'Floor-U'!$K$4:$K$40)*G16)+(LOOKUP(G2,'Wall-U'!$A$4:$A$40,'Wall-U'!$K$4:$K$40)*G13)+(LOOKUP(G2,'Window-U'!$A$4:$A$40,'Window-U'!$K$4:$K$40)*G22))*G24</f>
        <v>1307.1357759873274</v>
      </c>
      <c r="H32" s="198">
        <f>((LOOKUP(H2,'Ceiling-U'!$A$4:$A$40,'Ceiling-U'!$K$4:$K$40)*H15)+(LOOKUP(H2,'Floor-U'!$A$4:$A$40,'Floor-U'!$K$4:$K$40)*H16)+(LOOKUP(H2,'Wall-U'!$A$4:$A$40,'Wall-U'!$K$4:$K$40)*H13)+(LOOKUP(H2,'Window-U'!$A$4:$A$40,'Window-U'!$K$4:$K$40)*H22))*H24</f>
        <v>2363.9306398963527</v>
      </c>
      <c r="I32" s="198">
        <f>((LOOKUP(I2,'Ceiling-U'!$A$4:$A$40,'Ceiling-U'!$K$4:$K$40)*I15)+(LOOKUP(I2,'Floor-U'!$A$4:$A$40,'Floor-U'!$K$4:$K$40)*I16)+(LOOKUP(I2,'Wall-U'!$A$4:$A$40,'Wall-U'!$K$4:$K$40)*I13)+(LOOKUP(I2,'Window-U'!$A$4:$A$40,'Window-U'!$K$4:$K$40)*I22))*I24</f>
        <v>985.38385077626549</v>
      </c>
      <c r="J32" s="198">
        <f>((LOOKUP(J2,'Ceiling-U'!$A$4:$A$40,'Ceiling-U'!$K$4:$K$40)*J15)+(LOOKUP(J2,'Floor-U'!$A$4:$A$40,'Floor-U'!$K$4:$K$40)*J16)+(LOOKUP(J2,'Wall-U'!$A$4:$A$40,'Wall-U'!$K$4:$K$40)*J13)+(LOOKUP(J2,'Window-U'!$A$4:$A$40,'Window-U'!$K$4:$K$40)*J22))*J24</f>
        <v>1376.3649661539155</v>
      </c>
      <c r="K32" s="198">
        <f>((LOOKUP(K2,'Ceiling-U'!$A$4:$A$40,'Ceiling-U'!$K$4:$K$40)*K15)+(LOOKUP(K2,'Floor-U'!$A$4:$A$40,'Floor-U'!$K$4:$K$40)*K16)+(LOOKUP(K2,'Wall-U'!$A$4:$A$40,'Wall-U'!$K$4:$K$40)*K13)+(LOOKUP(K2,'Window-U'!$A$4:$A$40,'Window-U'!$K$4:$K$40)*K22))*K24</f>
        <v>851.92845682446182</v>
      </c>
      <c r="L32" s="198">
        <f>((LOOKUP(L2,'Ceiling-U'!$A$4:$A$40,'Ceiling-U'!$K$4:$K$40)*L15)+(LOOKUP(L2,'Floor-U'!$A$4:$A$40,'Floor-U'!$K$4:$K$40)*L16)+(LOOKUP(L2,'Wall-U'!$A$4:$A$40,'Wall-U'!$K$4:$K$40)*L13)+(LOOKUP(L2,'Window-U'!$A$4:$A$40,'Window-U'!$K$4:$K$40)*L22))*L24</f>
        <v>421.62566843207503</v>
      </c>
      <c r="M32" s="198">
        <f>((LOOKUP(M2,'Ceiling-U'!$A$4:$A$40,'Ceiling-U'!$K$4:$K$40)*M15)+(LOOKUP(M2,'Floor-U'!$A$4:$A$40,'Floor-U'!$K$4:$K$40)*M16)+(LOOKUP(M2,'Wall-U'!$A$4:$A$40,'Wall-U'!$K$4:$K$40)*M13)+(LOOKUP(M2,'Window-U'!$A$4:$A$40,'Window-U'!$K$4:$K$40)*M22))*M24</f>
        <v>2195.4500947603792</v>
      </c>
      <c r="N32" s="198">
        <f>((LOOKUP(N2,'Ceiling-U'!$A$4:$A$40,'Ceiling-U'!$K$4:$K$40)*N15)+(LOOKUP(N2,'Floor-U'!$A$4:$A$40,'Floor-U'!$K$4:$K$40)*N16)+(LOOKUP(N2,'Wall-U'!$A$4:$A$40,'Wall-U'!$K$4:$K$40)*N13)+(LOOKUP(N2,'Window-U'!$A$4:$A$40,'Window-U'!$K$4:$K$40)*N22))*N24</f>
        <v>511.03608557245877</v>
      </c>
      <c r="O32" s="198">
        <f>((LOOKUP(O2,'Ceiling-U'!$A$4:$A$40,'Ceiling-U'!$K$4:$K$40)*O15)+(LOOKUP(O2,'Floor-U'!$A$4:$A$40,'Floor-U'!$K$4:$K$40)*O16)+(LOOKUP(O2,'Wall-U'!$A$4:$A$40,'Wall-U'!$K$4:$K$40)*O13)+(LOOKUP(O2,'Window-U'!$A$4:$A$40,'Window-U'!$K$4:$K$40)*O22))*O24</f>
        <v>1840.5560022344062</v>
      </c>
      <c r="P32" s="198">
        <f>((LOOKUP(P2,'Ceiling-U'!$A$4:$A$40,'Ceiling-U'!$K$4:$K$40)*P15)+(LOOKUP(P2,'Floor-U'!$A$4:$A$40,'Floor-U'!$K$4:$K$40)*P16)+(LOOKUP(P2,'Wall-U'!$A$4:$A$40,'Wall-U'!$K$4:$K$40)*P13)+(LOOKUP(P2,'Window-U'!$A$4:$A$40,'Window-U'!$K$4:$K$40)*P22))*P24</f>
        <v>1829.060996196439</v>
      </c>
      <c r="Q32" s="198">
        <f>((LOOKUP(Q2,'Ceiling-U'!$A$4:$A$40,'Ceiling-U'!$K$4:$K$40)*Q15)+(LOOKUP(Q2,'Floor-U'!$A$4:$A$40,'Floor-U'!$K$4:$K$40)*Q16)+(LOOKUP(Q2,'Wall-U'!$A$4:$A$40,'Wall-U'!$K$4:$K$40)*Q13)+(LOOKUP(Q2,'Window-U'!$A$4:$A$40,'Window-U'!$K$4:$K$40)*Q22))*Q24</f>
        <v>1010.7646509853098</v>
      </c>
      <c r="R32" s="198">
        <f>((LOOKUP(R2,'Ceiling-U'!$A$4:$A$40,'Ceiling-U'!$K$4:$K$40)*R15)+(LOOKUP(R2,'Floor-U'!$A$4:$A$40,'Floor-U'!$K$4:$K$40)*R16)+(LOOKUP(R2,'Wall-U'!$A$4:$A$40,'Wall-U'!$K$4:$K$40)*R13)+(LOOKUP(R2,'Window-U'!$A$4:$A$40,'Window-U'!$K$4:$K$40)*R22))*R24</f>
        <v>1156.9813491001926</v>
      </c>
      <c r="S32" s="198">
        <f>((LOOKUP(S2,'Ceiling-U'!$A$4:$A$40,'Ceiling-U'!$K$4:$K$40)*S15)+(LOOKUP(S2,'Floor-U'!$A$4:$A$40,'Floor-U'!$K$4:$K$40)*S16)+(LOOKUP(S2,'Wall-U'!$A$4:$A$40,'Wall-U'!$K$4:$K$40)*S13)+(LOOKUP(S2,'Window-U'!$A$4:$A$40,'Window-U'!$K$4:$K$40)*S22))*S24</f>
        <v>1399.5564108668323</v>
      </c>
      <c r="T32" s="198">
        <f>((LOOKUP(T2,'Ceiling-U'!$A$4:$A$40,'Ceiling-U'!$K$4:$K$40)*T15)+(LOOKUP(T2,'Floor-U'!$A$4:$A$40,'Floor-U'!$K$4:$K$40)*T16)+(LOOKUP(T2,'Wall-U'!$A$4:$A$40,'Wall-U'!$K$4:$K$40)*T13)+(LOOKUP(T2,'Window-U'!$A$4:$A$40,'Window-U'!$K$4:$K$40)*T22))*T24</f>
        <v>514.66431800989426</v>
      </c>
      <c r="U32" s="198">
        <f>((LOOKUP(U2,'Ceiling-U'!$A$4:$A$40,'Ceiling-U'!$K$4:$K$40)*U15)+(LOOKUP(U2,'Floor-U'!$A$4:$A$40,'Floor-U'!$K$4:$K$40)*U16)+(LOOKUP(U2,'Wall-U'!$A$4:$A$40,'Wall-U'!$K$4:$K$40)*U13)+(LOOKUP(U2,'Window-U'!$A$4:$A$40,'Window-U'!$K$4:$K$40)*U22))*U24</f>
        <v>2242.3003157203152</v>
      </c>
      <c r="V32" s="198">
        <f>((LOOKUP(V2,'Ceiling-U'!$A$4:$A$40,'Ceiling-U'!$K$4:$K$40)*V15)+(LOOKUP(V2,'Floor-U'!$A$4:$A$40,'Floor-U'!$K$4:$K$40)*V16)+(LOOKUP(V2,'Wall-U'!$A$4:$A$40,'Wall-U'!$K$4:$K$40)*V13)+(LOOKUP(V2,'Window-U'!$A$4:$A$40,'Window-U'!$K$4:$K$40)*V22))*V24</f>
        <v>869.04862793234918</v>
      </c>
      <c r="W32" s="198">
        <f>((LOOKUP(W2,'Ceiling-U'!$A$4:$A$40,'Ceiling-U'!$K$4:$K$40)*W15)+(LOOKUP(W2,'Floor-U'!$A$4:$A$40,'Floor-U'!$K$4:$K$40)*W16)+(LOOKUP(W2,'Wall-U'!$A$4:$A$40,'Wall-U'!$K$4:$K$40)*W13)+(LOOKUP(W2,'Window-U'!$A$4:$A$40,'Window-U'!$K$4:$K$40)*W22))*W24</f>
        <v>764.44248435598968</v>
      </c>
      <c r="X32" s="198">
        <f>((LOOKUP(X2,'Ceiling-U'!$A$4:$A$40,'Ceiling-U'!$K$4:$K$40)*X15)+(LOOKUP(X2,'Floor-U'!$A$4:$A$40,'Floor-U'!$K$4:$K$40)*X16)+(LOOKUP(X2,'Wall-U'!$A$4:$A$40,'Wall-U'!$K$4:$K$40)*X13)+(LOOKUP(X2,'Window-U'!$A$4:$A$40,'Window-U'!$K$4:$K$40)*X22))*X24</f>
        <v>935.50973233578895</v>
      </c>
      <c r="Y32" s="198">
        <f>((LOOKUP(Y2,'Ceiling-U'!$A$4:$A$40,'Ceiling-U'!$K$4:$K$40)*Y15)+(LOOKUP(Y2,'Floor-U'!$A$4:$A$40,'Floor-U'!$K$4:$K$40)*Y16)+(LOOKUP(Y2,'Wall-U'!$A$4:$A$40,'Wall-U'!$K$4:$K$40)*Y13)+(LOOKUP(Y2,'Window-U'!$A$4:$A$40,'Window-U'!$K$4:$K$40)*Y22))*Y24</f>
        <v>2948.9928069314374</v>
      </c>
      <c r="Z32" s="198">
        <f>((LOOKUP(Z2,'Ceiling-U'!$A$4:$A$40,'Ceiling-U'!$K$4:$K$40)*Z15)+(LOOKUP(Z2,'Floor-U'!$A$4:$A$40,'Floor-U'!$K$4:$K$40)*Z16)+(LOOKUP(Z2,'Wall-U'!$A$4:$A$40,'Wall-U'!$K$4:$K$40)*Z13)+(LOOKUP(Z2,'Window-U'!$A$4:$A$40,'Window-U'!$K$4:$K$40)*Z22))*Z24</f>
        <v>1718.960251331051</v>
      </c>
      <c r="AA32" s="198">
        <f>((LOOKUP(AA2,'Ceiling-U'!$A$4:$A$40,'Ceiling-U'!$K$4:$K$40)*AA15)+(LOOKUP(AA2,'Floor-U'!$A$4:$A$40,'Floor-U'!$K$4:$K$40)*AA16)+(LOOKUP(AA2,'Wall-U'!$A$4:$A$40,'Wall-U'!$K$4:$K$40)*AA13)+(LOOKUP(AA2,'Window-U'!$A$4:$A$40,'Window-U'!$K$4:$K$40)*AA22))*AA24</f>
        <v>497.04056665139785</v>
      </c>
      <c r="AB32" s="198">
        <f>((LOOKUP(AB2,'Ceiling-U'!$A$4:$A$40,'Ceiling-U'!$K$4:$K$40)*AB15)+(LOOKUP(AB2,'Floor-U'!$A$4:$A$40,'Floor-U'!$K$4:$K$40)*AB16)+(LOOKUP(AB2,'Wall-U'!$A$4:$A$40,'Wall-U'!$K$4:$K$40)*AB13)+(LOOKUP(AB2,'Window-U'!$A$4:$A$40,'Window-U'!$K$4:$K$40)*AB22))*AB24</f>
        <v>1131.5998850115841</v>
      </c>
      <c r="AC32" s="198">
        <f>((LOOKUP(AC2,'Ceiling-U'!$A$4:$A$40,'Ceiling-U'!$K$4:$K$40)*AC15)+(LOOKUP(AC2,'Floor-U'!$A$4:$A$40,'Floor-U'!$K$4:$K$40)*AC16)+(LOOKUP(AC2,'Wall-U'!$A$4:$A$40,'Wall-U'!$K$4:$K$40)*AC13)+(LOOKUP(AC2,'Window-U'!$A$4:$A$40,'Window-U'!$K$4:$K$40)*AC22))*AC24</f>
        <v>2516.0251970923223</v>
      </c>
      <c r="AD32" s="198">
        <f>((LOOKUP(AD2,'Ceiling-U'!$A$4:$A$40,'Ceiling-U'!$K$4:$K$40)*AD15)+(LOOKUP(AD2,'Floor-U'!$A$4:$A$40,'Floor-U'!$K$4:$K$40)*AD16)+(LOOKUP(AD2,'Wall-U'!$A$4:$A$40,'Wall-U'!$K$4:$K$40)*AD13)+(LOOKUP(AD2,'Window-U'!$A$4:$A$40,'Window-U'!$K$4:$K$40)*AD22))*AD24</f>
        <v>1293.0285874662065</v>
      </c>
      <c r="AE32" s="198">
        <f>((LOOKUP(AE2,'Ceiling-U'!$A$4:$A$40,'Ceiling-U'!$K$4:$K$40)*AE15)+(LOOKUP(AE2,'Floor-U'!$A$4:$A$40,'Floor-U'!$K$4:$K$40)*AE16)+(LOOKUP(AE2,'Wall-U'!$A$4:$A$40,'Wall-U'!$K$4:$K$40)*AE13)+(LOOKUP(AE2,'Window-U'!$A$4:$A$40,'Window-U'!$K$4:$K$40)*AE22))*AE24</f>
        <v>541.74200064152205</v>
      </c>
      <c r="AF32" s="198">
        <f>((LOOKUP(AF2,'Ceiling-U'!$A$4:$A$40,'Ceiling-U'!$K$4:$K$40)*AF15)+(LOOKUP(AF2,'Floor-U'!$A$4:$A$40,'Floor-U'!$K$4:$K$40)*AF16)+(LOOKUP(AF2,'Wall-U'!$A$4:$A$40,'Wall-U'!$K$4:$K$40)*AF13)+(LOOKUP(AF2,'Window-U'!$A$4:$A$40,'Window-U'!$K$4:$K$40)*AF22))*AF24</f>
        <v>1162.5271612454924</v>
      </c>
      <c r="AG32" s="198">
        <f>((LOOKUP(AG2,'Ceiling-U'!$A$4:$A$40,'Ceiling-U'!$K$4:$K$40)*AG15)+(LOOKUP(AG2,'Floor-U'!$A$4:$A$40,'Floor-U'!$K$4:$K$40)*AG16)+(LOOKUP(AG2,'Wall-U'!$A$4:$A$40,'Wall-U'!$K$4:$K$40)*AG13)+(LOOKUP(AG2,'Window-U'!$A$4:$A$40,'Window-U'!$K$4:$K$40)*AG22))*AG24</f>
        <v>1544.8936012189693</v>
      </c>
      <c r="AH32" s="198">
        <f>((LOOKUP(AH2,'Ceiling-U'!$A$4:$A$40,'Ceiling-U'!$K$4:$K$40)*AH15)+(LOOKUP(AH2,'Floor-U'!$A$4:$A$40,'Floor-U'!$K$4:$K$40)*AH16)+(LOOKUP(AH2,'Wall-U'!$A$4:$A$40,'Wall-U'!$K$4:$K$40)*AH13)+(LOOKUP(AH2,'Window-U'!$A$4:$A$40,'Window-U'!$K$4:$K$40)*AH22))*AH24</f>
        <v>1543.9027224819495</v>
      </c>
      <c r="AI32" s="198">
        <f>((LOOKUP(AI2,'Ceiling-U'!$A$4:$A$40,'Ceiling-U'!$K$4:$K$40)*AI15)+(LOOKUP(AI2,'Floor-U'!$A$4:$A$40,'Floor-U'!$K$4:$K$40)*AI16)+(LOOKUP(AI2,'Wall-U'!$A$4:$A$40,'Wall-U'!$K$4:$K$40)*AI13)+(LOOKUP(AI2,'Window-U'!$A$4:$A$40,'Window-U'!$K$4:$K$40)*AI22))*AI24</f>
        <v>2664.4994320870646</v>
      </c>
      <c r="AJ32" s="198">
        <f>((LOOKUP(AJ2,'Ceiling-U'!$A$4:$A$40,'Ceiling-U'!$K$4:$K$40)*AJ15)+(LOOKUP(AJ2,'Floor-U'!$A$4:$A$40,'Floor-U'!$K$4:$K$40)*AJ16)+(LOOKUP(AJ2,'Wall-U'!$A$4:$A$40,'Wall-U'!$K$4:$K$40)*AJ13)+(LOOKUP(AJ2,'Window-U'!$A$4:$A$40,'Window-U'!$K$4:$K$40)*AJ22))*AJ24</f>
        <v>1056.691346327369</v>
      </c>
      <c r="AK32" s="198">
        <f>((LOOKUP(AK2,'Ceiling-U'!$A$4:$A$40,'Ceiling-U'!$K$4:$K$40)*AK15)+(LOOKUP(AK2,'Floor-U'!$A$4:$A$40,'Floor-U'!$K$4:$K$40)*AK16)+(LOOKUP(AK2,'Wall-U'!$A$4:$A$40,'Wall-U'!$K$4:$K$40)*AK13)+(LOOKUP(AK2,'Window-U'!$A$4:$A$40,'Window-U'!$K$4:$K$40)*AK22))*AK24</f>
        <v>1287.358644130001</v>
      </c>
      <c r="AL32" s="198">
        <f>((LOOKUP(AL2,'Ceiling-U'!$A$4:$A$40,'Ceiling-U'!$K$4:$K$40)*AL15)+(LOOKUP(AL2,'Floor-U'!$A$4:$A$40,'Floor-U'!$K$4:$K$40)*AL16)+(LOOKUP(AL2,'Wall-U'!$A$4:$A$40,'Wall-U'!$K$4:$K$40)*AL13)+(LOOKUP(AL2,'Window-U'!$A$4:$A$40,'Window-U'!$K$4:$K$40)*AL22))*AL24</f>
        <v>1017.5444054399371</v>
      </c>
      <c r="AM32" s="198">
        <f>((LOOKUP(AM2,'Ceiling-U'!$A$4:$A$40,'Ceiling-U'!$K$4:$K$40)*AM15)+(LOOKUP(AM2,'Floor-U'!$A$4:$A$40,'Floor-U'!$K$4:$K$40)*AM16)+(LOOKUP(AM2,'Wall-U'!$A$4:$A$40,'Wall-U'!$K$4:$K$40)*AM13)+(LOOKUP(AM2,'Window-U'!$A$4:$A$40,'Window-U'!$K$4:$K$40)*AM22))*AM24</f>
        <v>1056.691346327369</v>
      </c>
      <c r="AN32" s="199">
        <f>((LOOKUP(AN2,'Ceiling-U'!$A$4:$A$40,'Ceiling-U'!$K$4:$K$40)*AN15)+(LOOKUP(AN2,'Floor-U'!$A$4:$A$40,'Floor-U'!$K$4:$K$40)*AN16)+(LOOKUP(AN2,'Wall-U'!$A$4:$A$40,'Wall-U'!$K$4:$K$40)*AN13)+(LOOKUP(AN2,'Window-U'!$A$4:$A$40,'Window-U'!$K$4:$K$40)*AN22))*AN24</f>
        <v>1056.6913463273693</v>
      </c>
    </row>
    <row r="33" spans="1:40" s="135" customFormat="1">
      <c r="A33" s="332" t="s">
        <v>280</v>
      </c>
      <c r="B33" s="142" t="s">
        <v>2</v>
      </c>
      <c r="C33" s="360" t="s">
        <v>261</v>
      </c>
      <c r="D33" s="351">
        <f>D26*24*LOOKUP(D$2,'HDD-by Country'!$A$4:$A$40,'HDD-by Country'!$C$4:$C$40)/1000/D$3</f>
        <v>24508.972366729151</v>
      </c>
      <c r="E33" s="352">
        <f>E26*24*LOOKUP(E$2,'HDD-by Country'!$A$4:$A$40,'HDD-by Country'!$C$4:$C$40)/1000/E$3</f>
        <v>25581.183707288572</v>
      </c>
      <c r="F33" s="352">
        <f>F26*24*LOOKUP(F$2,'HDD-by Country'!$A$4:$A$40,'HDD-by Country'!$C$4:$C$40)/1000/F$3</f>
        <v>12654.448587139932</v>
      </c>
      <c r="G33" s="352">
        <f>G26*24*LOOKUP(G$2,'HDD-by Country'!$A$4:$A$40,'HDD-by Country'!$C$4:$C$40)/1000/G$3</f>
        <v>24665.416679618225</v>
      </c>
      <c r="H33" s="352">
        <f>H26*24*LOOKUP(H$2,'HDD-by Country'!$A$4:$A$40,'HDD-by Country'!$C$4:$C$40)/1000/H$3</f>
        <v>9102.6916545819331</v>
      </c>
      <c r="I33" s="352">
        <f>I26*24*LOOKUP(I$2,'HDD-by Country'!$A$4:$A$40,'HDD-by Country'!$C$4:$C$40)/1000/I$3</f>
        <v>18172.155866230143</v>
      </c>
      <c r="J33" s="352">
        <f>J26*24*LOOKUP(J$2,'HDD-by Country'!$A$4:$A$40,'HDD-by Country'!$C$4:$C$40)/1000/J$3</f>
        <v>26873.453405641314</v>
      </c>
      <c r="K33" s="352">
        <f>K26*24*LOOKUP(K$2,'HDD-by Country'!$A$4:$A$40,'HDD-by Country'!$C$4:$C$40)/1000/K$3</f>
        <v>15027.40482246212</v>
      </c>
      <c r="L33" s="352">
        <f>L26*24*LOOKUP(L$2,'HDD-by Country'!$A$4:$A$40,'HDD-by Country'!$C$4:$C$40)/1000/L$3</f>
        <v>9382.0107382087244</v>
      </c>
      <c r="M33" s="352">
        <f>M26*24*LOOKUP(M$2,'HDD-by Country'!$A$4:$A$40,'HDD-by Country'!$C$4:$C$40)/1000/M$3</f>
        <v>22971.019982767324</v>
      </c>
      <c r="N33" s="352">
        <f>N26*24*LOOKUP(N$2,'HDD-by Country'!$A$4:$A$40,'HDD-by Country'!$C$4:$C$40)/1000/N$3</f>
        <v>16590.790493488632</v>
      </c>
      <c r="O33" s="352">
        <f>O26*24*LOOKUP(O$2,'HDD-by Country'!$A$4:$A$40,'HDD-by Country'!$C$4:$C$40)/1000/O$3</f>
        <v>30094.389243523892</v>
      </c>
      <c r="P33" s="352">
        <f>P26*24*LOOKUP(P$2,'HDD-by Country'!$A$4:$A$40,'HDD-by Country'!$C$4:$C$40)/1000/P$3</f>
        <v>19343.299434358883</v>
      </c>
      <c r="Q33" s="352">
        <f>Q26*24*LOOKUP(Q$2,'HDD-by Country'!$A$4:$A$40,'HDD-by Country'!$C$4:$C$40)/1000/Q$3</f>
        <v>11880.076521013749</v>
      </c>
      <c r="R33" s="352">
        <f>R26*24*LOOKUP(R$2,'HDD-by Country'!$A$4:$A$40,'HDD-by Country'!$C$4:$C$40)/1000/R$3</f>
        <v>17110.165759119922</v>
      </c>
      <c r="S33" s="352">
        <f>S26*24*LOOKUP(S$2,'HDD-by Country'!$A$4:$A$40,'HDD-by Country'!$C$4:$C$40)/1000/S$3</f>
        <v>26531.558665099376</v>
      </c>
      <c r="T33" s="352">
        <f>T26*24*LOOKUP(T$2,'HDD-by Country'!$A$4:$A$40,'HDD-by Country'!$C$4:$C$40)/1000/T$3</f>
        <v>14218.026663413009</v>
      </c>
      <c r="U33" s="352">
        <f>U26*24*LOOKUP(U$2,'HDD-by Country'!$A$4:$A$40,'HDD-by Country'!$C$4:$C$40)/1000/U$3</f>
        <v>20155.179683713748</v>
      </c>
      <c r="V33" s="352">
        <f>V26*24*LOOKUP(V$2,'HDD-by Country'!$A$4:$A$40,'HDD-by Country'!$C$4:$C$40)/1000/V$3</f>
        <v>17901.742360554475</v>
      </c>
      <c r="W33" s="352">
        <f>W26*24*LOOKUP(W$2,'HDD-by Country'!$A$4:$A$40,'HDD-by Country'!$C$4:$C$40)/1000/W$3</f>
        <v>20446.038273832375</v>
      </c>
      <c r="X33" s="352">
        <f>X26*24*LOOKUP(X$2,'HDD-by Country'!$A$4:$A$40,'HDD-by Country'!$C$4:$C$40)/1000/X$3</f>
        <v>20340.533314294429</v>
      </c>
      <c r="Y33" s="352">
        <f>Y26*24*LOOKUP(Y$2,'HDD-by Country'!$A$4:$A$40,'HDD-by Country'!$C$4:$C$40)/1000/Y$3</f>
        <v>7637.3669587923096</v>
      </c>
      <c r="Z33" s="352">
        <f>Z26*24*LOOKUP(Z$2,'HDD-by Country'!$A$4:$A$40,'HDD-by Country'!$C$4:$C$40)/1000/Z$3</f>
        <v>29634.677493034702</v>
      </c>
      <c r="AA33" s="352">
        <f>AA26*24*LOOKUP(AA$2,'HDD-by Country'!$A$4:$A$40,'HDD-by Country'!$C$4:$C$40)/1000/AA$3</f>
        <v>14706.508165717483</v>
      </c>
      <c r="AB33" s="352">
        <f>AB26*24*LOOKUP(AB$2,'HDD-by Country'!$A$4:$A$40,'HDD-by Country'!$C$4:$C$40)/1000/AB$3</f>
        <v>27122.19853429907</v>
      </c>
      <c r="AC33" s="352">
        <f>AC26*24*LOOKUP(AC$2,'HDD-by Country'!$A$4:$A$40,'HDD-by Country'!$C$4:$C$40)/1000/AC$3</f>
        <v>15358.683388212294</v>
      </c>
      <c r="AD33" s="352">
        <f>AD26*24*LOOKUP(AD$2,'HDD-by Country'!$A$4:$A$40,'HDD-by Country'!$C$4:$C$40)/1000/AD$3</f>
        <v>19277.74180129348</v>
      </c>
      <c r="AE33" s="352">
        <f>AE26*24*LOOKUP(AE$2,'HDD-by Country'!$A$4:$A$40,'HDD-by Country'!$C$4:$C$40)/1000/AE$3</f>
        <v>13969.189318568278</v>
      </c>
      <c r="AF33" s="352">
        <f>AF26*24*LOOKUP(AF$2,'HDD-by Country'!$A$4:$A$40,'HDD-by Country'!$C$4:$C$40)/1000/AF$3</f>
        <v>17219.629461282395</v>
      </c>
      <c r="AG33" s="352">
        <f>AG26*24*LOOKUP(AG$2,'HDD-by Country'!$A$4:$A$40,'HDD-by Country'!$C$4:$C$40)/1000/AG$3</f>
        <v>27389.286936769586</v>
      </c>
      <c r="AH33" s="352">
        <f>AH26*24*LOOKUP(AH$2,'HDD-by Country'!$A$4:$A$40,'HDD-by Country'!$C$4:$C$40)/1000/AH$3</f>
        <v>22988.825077510395</v>
      </c>
      <c r="AI33" s="352">
        <f>AI26*24*LOOKUP(AI$2,'HDD-by Country'!$A$4:$A$40,'HDD-by Country'!$C$4:$C$40)/1000/AI$3</f>
        <v>18791.785750455867</v>
      </c>
      <c r="AJ33" s="352">
        <f>AJ26*24*LOOKUP(AJ$2,'HDD-by Country'!$A$4:$A$40,'HDD-by Country'!$C$4:$C$40)/1000/AJ$3</f>
        <v>13330.34005127528</v>
      </c>
      <c r="AK33" s="352">
        <f>AK26*24*LOOKUP(AK$2,'HDD-by Country'!$A$4:$A$40,'HDD-by Country'!$C$4:$C$40)/1000/AK$3</f>
        <v>14458.48905074379</v>
      </c>
      <c r="AL33" s="352">
        <f>AL26*24*LOOKUP(AL$2,'HDD-by Country'!$A$4:$A$40,'HDD-by Country'!$C$4:$C$40)/1000/AL$3</f>
        <v>13316.685060924976</v>
      </c>
      <c r="AM33" s="352">
        <f>AM26*24*LOOKUP(AM$2,'HDD-by Country'!$A$4:$A$40,'HDD-by Country'!$C$4:$C$40)/1000/AM$3</f>
        <v>12258.255892462928</v>
      </c>
      <c r="AN33" s="353">
        <f>AN26*24*LOOKUP(AN$2,'HDD-by Country'!$A$4:$A$40,'HDD-by Country'!$C$4:$C$40)/1000/AN$3</f>
        <v>12258.255892462928</v>
      </c>
    </row>
    <row r="34" spans="1:40" s="135" customFormat="1">
      <c r="A34" s="129"/>
      <c r="B34" s="142" t="s">
        <v>3</v>
      </c>
      <c r="C34" s="129" t="s">
        <v>261</v>
      </c>
      <c r="D34" s="345">
        <f>D27*24*LOOKUP(D$2,'HDD-by Country'!$A$4:$A$40,'HDD-by Country'!$C$4:$C$40)/1000/D$3</f>
        <v>22762.59141159803</v>
      </c>
      <c r="E34" s="349">
        <f>E27*24*LOOKUP(E$2,'HDD-by Country'!$A$4:$A$40,'HDD-by Country'!$C$4:$C$40)/1000/E$3</f>
        <v>25581.183707288572</v>
      </c>
      <c r="F34" s="349">
        <f>F27*24*LOOKUP(F$2,'HDD-by Country'!$A$4:$A$40,'HDD-by Country'!$C$4:$C$40)/1000/F$3</f>
        <v>12654.448587139932</v>
      </c>
      <c r="G34" s="349">
        <f>G27*24*LOOKUP(G$2,'HDD-by Country'!$A$4:$A$40,'HDD-by Country'!$C$4:$C$40)/1000/G$3</f>
        <v>22928.700085951728</v>
      </c>
      <c r="H34" s="349">
        <f>H27*24*LOOKUP(H$2,'HDD-by Country'!$A$4:$A$40,'HDD-by Country'!$C$4:$C$40)/1000/H$3</f>
        <v>8567.4656240463519</v>
      </c>
      <c r="I34" s="349">
        <f>I27*24*LOOKUP(I$2,'HDD-by Country'!$A$4:$A$40,'HDD-by Country'!$C$4:$C$40)/1000/I$3</f>
        <v>14357.446743131099</v>
      </c>
      <c r="J34" s="349">
        <f>J27*24*LOOKUP(J$2,'HDD-by Country'!$A$4:$A$40,'HDD-by Country'!$C$4:$C$40)/1000/J$3</f>
        <v>23394.383159641893</v>
      </c>
      <c r="K34" s="349">
        <f>K27*24*LOOKUP(K$2,'HDD-by Country'!$A$4:$A$40,'HDD-by Country'!$C$4:$C$40)/1000/K$3</f>
        <v>14360.782773327059</v>
      </c>
      <c r="L34" s="349">
        <f>L27*24*LOOKUP(L$2,'HDD-by Country'!$A$4:$A$40,'HDD-by Country'!$C$4:$C$40)/1000/L$3</f>
        <v>9382.0107382087244</v>
      </c>
      <c r="M34" s="349">
        <f>M27*24*LOOKUP(M$2,'HDD-by Country'!$A$4:$A$40,'HDD-by Country'!$C$4:$C$40)/1000/M$3</f>
        <v>20442.923209244513</v>
      </c>
      <c r="N34" s="349">
        <f>N27*24*LOOKUP(N$2,'HDD-by Country'!$A$4:$A$40,'HDD-by Country'!$C$4:$C$40)/1000/N$3</f>
        <v>14686.550725266796</v>
      </c>
      <c r="O34" s="349">
        <f>O27*24*LOOKUP(O$2,'HDD-by Country'!$A$4:$A$40,'HDD-by Country'!$C$4:$C$40)/1000/O$3</f>
        <v>30094.389243523892</v>
      </c>
      <c r="P34" s="349">
        <f>P27*24*LOOKUP(P$2,'HDD-by Country'!$A$4:$A$40,'HDD-by Country'!$C$4:$C$40)/1000/P$3</f>
        <v>19343.299434358883</v>
      </c>
      <c r="Q34" s="349">
        <f>Q27*24*LOOKUP(Q$2,'HDD-by Country'!$A$4:$A$40,'HDD-by Country'!$C$4:$C$40)/1000/Q$3</f>
        <v>12624.869264487301</v>
      </c>
      <c r="R34" s="349">
        <f>R27*24*LOOKUP(R$2,'HDD-by Country'!$A$4:$A$40,'HDD-by Country'!$C$4:$C$40)/1000/R$3</f>
        <v>17110.165759119922</v>
      </c>
      <c r="S34" s="349">
        <f>S27*24*LOOKUP(S$2,'HDD-by Country'!$A$4:$A$40,'HDD-by Country'!$C$4:$C$40)/1000/S$3</f>
        <v>27075.678940020738</v>
      </c>
      <c r="T34" s="349">
        <f>T27*24*LOOKUP(T$2,'HDD-by Country'!$A$4:$A$40,'HDD-by Country'!$C$4:$C$40)/1000/T$3</f>
        <v>12581.499272750576</v>
      </c>
      <c r="U34" s="349">
        <f>U27*24*LOOKUP(U$2,'HDD-by Country'!$A$4:$A$40,'HDD-by Country'!$C$4:$C$40)/1000/U$3</f>
        <v>19038.896384239615</v>
      </c>
      <c r="V34" s="349">
        <f>V27*24*LOOKUP(V$2,'HDD-by Country'!$A$4:$A$40,'HDD-by Country'!$C$4:$C$40)/1000/V$3</f>
        <v>17901.742360554475</v>
      </c>
      <c r="W34" s="349">
        <f>W27*24*LOOKUP(W$2,'HDD-by Country'!$A$4:$A$40,'HDD-by Country'!$C$4:$C$40)/1000/W$3</f>
        <v>20587.582337817337</v>
      </c>
      <c r="X34" s="349">
        <f>X27*24*LOOKUP(X$2,'HDD-by Country'!$A$4:$A$40,'HDD-by Country'!$C$4:$C$40)/1000/X$3</f>
        <v>20156.28531429443</v>
      </c>
      <c r="Y34" s="349">
        <f>Y27*24*LOOKUP(Y$2,'HDD-by Country'!$A$4:$A$40,'HDD-by Country'!$C$4:$C$40)/1000/Y$3</f>
        <v>7622.2248016875574</v>
      </c>
      <c r="Z34" s="349">
        <f>Z27*24*LOOKUP(Z$2,'HDD-by Country'!$A$4:$A$40,'HDD-by Country'!$C$4:$C$40)/1000/Z$3</f>
        <v>22645.942715759051</v>
      </c>
      <c r="AA34" s="349">
        <f>AA27*24*LOOKUP(AA$2,'HDD-by Country'!$A$4:$A$40,'HDD-by Country'!$C$4:$C$40)/1000/AA$3</f>
        <v>14659.496272453487</v>
      </c>
      <c r="AB34" s="349">
        <f>AB27*24*LOOKUP(AB$2,'HDD-by Country'!$A$4:$A$40,'HDD-by Country'!$C$4:$C$40)/1000/AB$3</f>
        <v>18545.365888451928</v>
      </c>
      <c r="AC34" s="349">
        <f>AC27*24*LOOKUP(AC$2,'HDD-by Country'!$A$4:$A$40,'HDD-by Country'!$C$4:$C$40)/1000/AC$3</f>
        <v>13987.107854662276</v>
      </c>
      <c r="AD34" s="349">
        <f>AD27*24*LOOKUP(AD$2,'HDD-by Country'!$A$4:$A$40,'HDD-by Country'!$C$4:$C$40)/1000/AD$3</f>
        <v>17180.770775440735</v>
      </c>
      <c r="AE34" s="349">
        <f>AE27*24*LOOKUP(AE$2,'HDD-by Country'!$A$4:$A$40,'HDD-by Country'!$C$4:$C$40)/1000/AE$3</f>
        <v>13923.85939527228</v>
      </c>
      <c r="AF34" s="349">
        <f>AF27*24*LOOKUP(AF$2,'HDD-by Country'!$A$4:$A$40,'HDD-by Country'!$C$4:$C$40)/1000/AF$3</f>
        <v>17219.629461282395</v>
      </c>
      <c r="AG34" s="349">
        <f>AG27*24*LOOKUP(AG$2,'HDD-by Country'!$A$4:$A$40,'HDD-by Country'!$C$4:$C$40)/1000/AG$3</f>
        <v>22463.35706941567</v>
      </c>
      <c r="AH34" s="349">
        <f>AH27*24*LOOKUP(AH$2,'HDD-by Country'!$A$4:$A$40,'HDD-by Country'!$C$4:$C$40)/1000/AH$3</f>
        <v>24332.307610859334</v>
      </c>
      <c r="AI34" s="349">
        <f>AI27*24*LOOKUP(AI$2,'HDD-by Country'!$A$4:$A$40,'HDD-by Country'!$C$4:$C$40)/1000/AI$3</f>
        <v>18791.785750455867</v>
      </c>
      <c r="AJ34" s="349">
        <f>AJ27*24*LOOKUP(AJ$2,'HDD-by Country'!$A$4:$A$40,'HDD-by Country'!$C$4:$C$40)/1000/AJ$3</f>
        <v>13330.34005127528</v>
      </c>
      <c r="AK34" s="349">
        <f>AK27*24*LOOKUP(AK$2,'HDD-by Country'!$A$4:$A$40,'HDD-by Country'!$C$4:$C$40)/1000/AK$3</f>
        <v>14458.48905074379</v>
      </c>
      <c r="AL34" s="349">
        <f>AL27*24*LOOKUP(AL$2,'HDD-by Country'!$A$4:$A$40,'HDD-by Country'!$C$4:$C$40)/1000/AL$3</f>
        <v>13316.685060924976</v>
      </c>
      <c r="AM34" s="349">
        <f>AM27*24*LOOKUP(AM$2,'HDD-by Country'!$A$4:$A$40,'HDD-by Country'!$C$4:$C$40)/1000/AM$3</f>
        <v>12258.255892462928</v>
      </c>
      <c r="AN34" s="354">
        <f>AN27*24*LOOKUP(AN$2,'HDD-by Country'!$A$4:$A$40,'HDD-by Country'!$C$4:$C$40)/1000/AN$3</f>
        <v>12258.255892462928</v>
      </c>
    </row>
    <row r="35" spans="1:40" s="135" customFormat="1">
      <c r="A35" s="129"/>
      <c r="B35" s="142" t="s">
        <v>4</v>
      </c>
      <c r="C35" s="129" t="s">
        <v>261</v>
      </c>
      <c r="D35" s="345">
        <f>D28*24*LOOKUP(D$2,'HDD-by Country'!$A$4:$A$40,'HDD-by Country'!$C$4:$C$40)/1000/D$3</f>
        <v>17078.184662141783</v>
      </c>
      <c r="E35" s="349">
        <f>E28*24*LOOKUP(E$2,'HDD-by Country'!$A$4:$A$40,'HDD-by Country'!$C$4:$C$40)/1000/E$3</f>
        <v>25581.183707288572</v>
      </c>
      <c r="F35" s="349">
        <f>F28*24*LOOKUP(F$2,'HDD-by Country'!$A$4:$A$40,'HDD-by Country'!$C$4:$C$40)/1000/F$3</f>
        <v>11788.391011045393</v>
      </c>
      <c r="G35" s="349">
        <f>G28*24*LOOKUP(G$2,'HDD-by Country'!$A$4:$A$40,'HDD-by Country'!$C$4:$C$40)/1000/G$3</f>
        <v>17180.512445348981</v>
      </c>
      <c r="H35" s="349">
        <f>H28*24*LOOKUP(H$2,'HDD-by Country'!$A$4:$A$40,'HDD-by Country'!$C$4:$C$40)/1000/H$3</f>
        <v>8555.8667935107696</v>
      </c>
      <c r="I35" s="349">
        <f>I28*24*LOOKUP(I$2,'HDD-by Country'!$A$4:$A$40,'HDD-by Country'!$C$4:$C$40)/1000/I$3</f>
        <v>14357.446743131099</v>
      </c>
      <c r="J35" s="349">
        <f>J28*24*LOOKUP(J$2,'HDD-by Country'!$A$4:$A$40,'HDD-by Country'!$C$4:$C$40)/1000/J$3</f>
        <v>13392.485539928546</v>
      </c>
      <c r="K35" s="349">
        <f>K28*24*LOOKUP(K$2,'HDD-by Country'!$A$4:$A$40,'HDD-by Country'!$C$4:$C$40)/1000/K$3</f>
        <v>8900.0740288754259</v>
      </c>
      <c r="L35" s="349">
        <f>L28*24*LOOKUP(L$2,'HDD-by Country'!$A$4:$A$40,'HDD-by Country'!$C$4:$C$40)/1000/L$3</f>
        <v>7305.9376047173828</v>
      </c>
      <c r="M35" s="349">
        <f>M28*24*LOOKUP(M$2,'HDD-by Country'!$A$4:$A$40,'HDD-by Country'!$C$4:$C$40)/1000/M$3</f>
        <v>20442.923209244513</v>
      </c>
      <c r="N35" s="349">
        <f>N28*24*LOOKUP(N$2,'HDD-by Country'!$A$4:$A$40,'HDD-by Country'!$C$4:$C$40)/1000/N$3</f>
        <v>11593.075185791653</v>
      </c>
      <c r="O35" s="349">
        <f>O28*24*LOOKUP(O$2,'HDD-by Country'!$A$4:$A$40,'HDD-by Country'!$C$4:$C$40)/1000/O$3</f>
        <v>11883.02299692443</v>
      </c>
      <c r="P35" s="349">
        <f>P28*24*LOOKUP(P$2,'HDD-by Country'!$A$4:$A$40,'HDD-by Country'!$C$4:$C$40)/1000/P$3</f>
        <v>19343.299434358883</v>
      </c>
      <c r="Q35" s="349">
        <f>Q28*24*LOOKUP(Q$2,'HDD-by Country'!$A$4:$A$40,'HDD-by Country'!$C$4:$C$40)/1000/Q$3</f>
        <v>11135.130980602386</v>
      </c>
      <c r="R35" s="349">
        <f>R28*24*LOOKUP(R$2,'HDD-by Country'!$A$4:$A$40,'HDD-by Country'!$C$4:$C$40)/1000/R$3</f>
        <v>14539.651094961931</v>
      </c>
      <c r="S35" s="349">
        <f>S28*24*LOOKUP(S$2,'HDD-by Country'!$A$4:$A$40,'HDD-by Country'!$C$4:$C$40)/1000/S$3</f>
        <v>21730.805294544614</v>
      </c>
      <c r="T35" s="349">
        <f>T28*24*LOOKUP(T$2,'HDD-by Country'!$A$4:$A$40,'HDD-by Country'!$C$4:$C$40)/1000/T$3</f>
        <v>9929.3919842124396</v>
      </c>
      <c r="U35" s="349">
        <f>U28*24*LOOKUP(U$2,'HDD-by Country'!$A$4:$A$40,'HDD-by Country'!$C$4:$C$40)/1000/U$3</f>
        <v>17781.840487305279</v>
      </c>
      <c r="V35" s="349">
        <f>V28*24*LOOKUP(V$2,'HDD-by Country'!$A$4:$A$40,'HDD-by Country'!$C$4:$C$40)/1000/V$3</f>
        <v>10595.270055557821</v>
      </c>
      <c r="W35" s="349">
        <f>W28*24*LOOKUP(W$2,'HDD-by Country'!$A$4:$A$40,'HDD-by Country'!$C$4:$C$40)/1000/W$3</f>
        <v>10113.110628170405</v>
      </c>
      <c r="X35" s="349">
        <f>X28*24*LOOKUP(X$2,'HDD-by Country'!$A$4:$A$40,'HDD-by Country'!$C$4:$C$40)/1000/X$3</f>
        <v>18416.820940348302</v>
      </c>
      <c r="Y35" s="349">
        <f>Y28*24*LOOKUP(Y$2,'HDD-by Country'!$A$4:$A$40,'HDD-by Country'!$C$4:$C$40)/1000/Y$3</f>
        <v>6384.5773444915403</v>
      </c>
      <c r="Z35" s="349">
        <f>Z28*24*LOOKUP(Z$2,'HDD-by Country'!$A$4:$A$40,'HDD-by Country'!$C$4:$C$40)/1000/Z$3</f>
        <v>21573.867168139353</v>
      </c>
      <c r="AA35" s="349">
        <f>AA28*24*LOOKUP(AA$2,'HDD-by Country'!$A$4:$A$40,'HDD-by Country'!$C$4:$C$40)/1000/AA$3</f>
        <v>9231.00375718127</v>
      </c>
      <c r="AB35" s="349">
        <f>AB28*24*LOOKUP(AB$2,'HDD-by Country'!$A$4:$A$40,'HDD-by Country'!$C$4:$C$40)/1000/AB$3</f>
        <v>12544.825278937353</v>
      </c>
      <c r="AC35" s="349">
        <f>AC28*24*LOOKUP(AC$2,'HDD-by Country'!$A$4:$A$40,'HDD-by Country'!$C$4:$C$40)/1000/AC$3</f>
        <v>13642.056764501787</v>
      </c>
      <c r="AD35" s="349">
        <f>AD28*24*LOOKUP(AD$2,'HDD-by Country'!$A$4:$A$40,'HDD-by Country'!$C$4:$C$40)/1000/AD$3</f>
        <v>17180.770775440735</v>
      </c>
      <c r="AE35" s="349">
        <f>AE28*24*LOOKUP(AE$2,'HDD-by Country'!$A$4:$A$40,'HDD-by Country'!$C$4:$C$40)/1000/AE$3</f>
        <v>8786.6713192740081</v>
      </c>
      <c r="AF35" s="349">
        <f>AF28*24*LOOKUP(AF$2,'HDD-by Country'!$A$4:$A$40,'HDD-by Country'!$C$4:$C$40)/1000/AF$3</f>
        <v>15401.426006862514</v>
      </c>
      <c r="AG35" s="349">
        <f>AG28*24*LOOKUP(AG$2,'HDD-by Country'!$A$4:$A$40,'HDD-by Country'!$C$4:$C$40)/1000/AG$3</f>
        <v>22463.35706941567</v>
      </c>
      <c r="AH35" s="349">
        <f>AH28*24*LOOKUP(AH$2,'HDD-by Country'!$A$4:$A$40,'HDD-by Country'!$C$4:$C$40)/1000/AH$3</f>
        <v>17810.605864597361</v>
      </c>
      <c r="AI35" s="349">
        <f>AI28*24*LOOKUP(AI$2,'HDD-by Country'!$A$4:$A$40,'HDD-by Country'!$C$4:$C$40)/1000/AI$3</f>
        <v>18791.785750455867</v>
      </c>
      <c r="AJ35" s="349">
        <f>AJ28*24*LOOKUP(AJ$2,'HDD-by Country'!$A$4:$A$40,'HDD-by Country'!$C$4:$C$40)/1000/AJ$3</f>
        <v>13330.34005127528</v>
      </c>
      <c r="AK35" s="349">
        <f>AK28*24*LOOKUP(AK$2,'HDD-by Country'!$A$4:$A$40,'HDD-by Country'!$C$4:$C$40)/1000/AK$3</f>
        <v>14458.48905074379</v>
      </c>
      <c r="AL35" s="349">
        <f>AL28*24*LOOKUP(AL$2,'HDD-by Country'!$A$4:$A$40,'HDD-by Country'!$C$4:$C$40)/1000/AL$3</f>
        <v>12398.229849826132</v>
      </c>
      <c r="AM35" s="349">
        <f>AM28*24*LOOKUP(AM$2,'HDD-by Country'!$A$4:$A$40,'HDD-by Country'!$C$4:$C$40)/1000/AM$3</f>
        <v>12258.255892462928</v>
      </c>
      <c r="AN35" s="354">
        <f>AN28*24*LOOKUP(AN$2,'HDD-by Country'!$A$4:$A$40,'HDD-by Country'!$C$4:$C$40)/1000/AN$3</f>
        <v>12258.255892462928</v>
      </c>
    </row>
    <row r="36" spans="1:40" s="135" customFormat="1">
      <c r="A36" s="129"/>
      <c r="B36" s="142" t="s">
        <v>5</v>
      </c>
      <c r="C36" s="129" t="s">
        <v>261</v>
      </c>
      <c r="D36" s="345">
        <f>D29*24*LOOKUP(D$2,'HDD-by Country'!$A$4:$A$40,'HDD-by Country'!$C$4:$C$40)/1000/D$3</f>
        <v>10817.216437727389</v>
      </c>
      <c r="E36" s="349">
        <f>E29*24*LOOKUP(E$2,'HDD-by Country'!$A$4:$A$40,'HDD-by Country'!$C$4:$C$40)/1000/E$3</f>
        <v>20847.158865506779</v>
      </c>
      <c r="F36" s="349">
        <f>F29*24*LOOKUP(F$2,'HDD-by Country'!$A$4:$A$40,'HDD-by Country'!$C$4:$C$40)/1000/F$3</f>
        <v>9849.1279323288327</v>
      </c>
      <c r="G36" s="349">
        <f>G29*24*LOOKUP(G$2,'HDD-by Country'!$A$4:$A$40,'HDD-by Country'!$C$4:$C$40)/1000/G$3</f>
        <v>10867.047689662535</v>
      </c>
      <c r="H36" s="349">
        <f>H29*24*LOOKUP(H$2,'HDD-by Country'!$A$4:$A$40,'HDD-by Country'!$C$4:$C$40)/1000/H$3</f>
        <v>8219.6395885938309</v>
      </c>
      <c r="I36" s="349">
        <f>I29*24*LOOKUP(I$2,'HDD-by Country'!$A$4:$A$40,'HDD-by Country'!$C$4:$C$40)/1000/I$3</f>
        <v>12425.909334492166</v>
      </c>
      <c r="J36" s="349">
        <f>J29*24*LOOKUP(J$2,'HDD-by Country'!$A$4:$A$40,'HDD-by Country'!$C$4:$C$40)/1000/J$3</f>
        <v>9781.1200398409837</v>
      </c>
      <c r="K36" s="349">
        <f>K29*24*LOOKUP(K$2,'HDD-by Country'!$A$4:$A$40,'HDD-by Country'!$C$4:$C$40)/1000/K$3</f>
        <v>7157.1674700157646</v>
      </c>
      <c r="L36" s="349">
        <f>L29*24*LOOKUP(L$2,'HDD-by Country'!$A$4:$A$40,'HDD-by Country'!$C$4:$C$40)/1000/L$3</f>
        <v>5216.2326542534311</v>
      </c>
      <c r="M36" s="349">
        <f>M29*24*LOOKUP(M$2,'HDD-by Country'!$A$4:$A$40,'HDD-by Country'!$C$4:$C$40)/1000/M$3</f>
        <v>12288.079619626615</v>
      </c>
      <c r="N36" s="349">
        <f>N29*24*LOOKUP(N$2,'HDD-by Country'!$A$4:$A$40,'HDD-by Country'!$C$4:$C$40)/1000/N$3</f>
        <v>9140.2816351530728</v>
      </c>
      <c r="O36" s="349">
        <f>O29*24*LOOKUP(O$2,'HDD-by Country'!$A$4:$A$40,'HDD-by Country'!$C$4:$C$40)/1000/O$3</f>
        <v>9792.8436235930621</v>
      </c>
      <c r="P36" s="349">
        <f>P29*24*LOOKUP(P$2,'HDD-by Country'!$A$4:$A$40,'HDD-by Country'!$C$4:$C$40)/1000/P$3</f>
        <v>18650.485827304576</v>
      </c>
      <c r="Q36" s="349">
        <f>Q29*24*LOOKUP(Q$2,'HDD-by Country'!$A$4:$A$40,'HDD-by Country'!$C$4:$C$40)/1000/Q$3</f>
        <v>11135.130980602386</v>
      </c>
      <c r="R36" s="349">
        <f>R29*24*LOOKUP(R$2,'HDD-by Country'!$A$4:$A$40,'HDD-by Country'!$C$4:$C$40)/1000/R$3</f>
        <v>10255.459988031942</v>
      </c>
      <c r="S36" s="349">
        <f>S29*24*LOOKUP(S$2,'HDD-by Country'!$A$4:$A$40,'HDD-by Country'!$C$4:$C$40)/1000/S$3</f>
        <v>12932.119418089736</v>
      </c>
      <c r="T36" s="349">
        <f>T29*24*LOOKUP(T$2,'HDD-by Country'!$A$4:$A$40,'HDD-by Country'!$C$4:$C$40)/1000/T$3</f>
        <v>7828.6699300342661</v>
      </c>
      <c r="U36" s="349">
        <f>U29*24*LOOKUP(U$2,'HDD-by Country'!$A$4:$A$40,'HDD-by Country'!$C$4:$C$40)/1000/U$3</f>
        <v>13532.538846901634</v>
      </c>
      <c r="V36" s="349">
        <f>V29*24*LOOKUP(V$2,'HDD-by Country'!$A$4:$A$40,'HDD-by Country'!$C$4:$C$40)/1000/V$3</f>
        <v>10595.270055557821</v>
      </c>
      <c r="W36" s="349">
        <f>W29*24*LOOKUP(W$2,'HDD-by Country'!$A$4:$A$40,'HDD-by Country'!$C$4:$C$40)/1000/W$3</f>
        <v>8289.4399676138419</v>
      </c>
      <c r="X36" s="349">
        <f>X29*24*LOOKUP(X$2,'HDD-by Country'!$A$4:$A$40,'HDD-by Country'!$C$4:$C$40)/1000/X$3</f>
        <v>9438.4707200642788</v>
      </c>
      <c r="Y36" s="349">
        <f>Y29*24*LOOKUP(Y$2,'HDD-by Country'!$A$4:$A$40,'HDD-by Country'!$C$4:$C$40)/1000/Y$3</f>
        <v>5666.8715380288077</v>
      </c>
      <c r="Z36" s="349">
        <f>Z29*24*LOOKUP(Z$2,'HDD-by Country'!$A$4:$A$40,'HDD-by Country'!$C$4:$C$40)/1000/Z$3</f>
        <v>12849.597792756287</v>
      </c>
      <c r="AA36" s="349">
        <f>AA29*24*LOOKUP(AA$2,'HDD-by Country'!$A$4:$A$40,'HDD-by Country'!$C$4:$C$40)/1000/AA$3</f>
        <v>9121.2455171812708</v>
      </c>
      <c r="AB36" s="349">
        <f>AB29*24*LOOKUP(AB$2,'HDD-by Country'!$A$4:$A$40,'HDD-by Country'!$C$4:$C$40)/1000/AB$3</f>
        <v>12544.825278937353</v>
      </c>
      <c r="AC36" s="349">
        <f>AC29*24*LOOKUP(AC$2,'HDD-by Country'!$A$4:$A$40,'HDD-by Country'!$C$4:$C$40)/1000/AC$3</f>
        <v>13217.369072711539</v>
      </c>
      <c r="AD36" s="349">
        <f>AD29*24*LOOKUP(AD$2,'HDD-by Country'!$A$4:$A$40,'HDD-by Country'!$C$4:$C$40)/1000/AD$3</f>
        <v>14310.599798240672</v>
      </c>
      <c r="AE36" s="349">
        <f>AE29*24*LOOKUP(AE$2,'HDD-by Country'!$A$4:$A$40,'HDD-by Country'!$C$4:$C$40)/1000/AE$3</f>
        <v>8680.8399592740061</v>
      </c>
      <c r="AF36" s="349">
        <f>AF29*24*LOOKUP(AF$2,'HDD-by Country'!$A$4:$A$40,'HDD-by Country'!$C$4:$C$40)/1000/AF$3</f>
        <v>11500.962738326371</v>
      </c>
      <c r="AG36" s="349">
        <f>AG29*24*LOOKUP(AG$2,'HDD-by Country'!$A$4:$A$40,'HDD-by Country'!$C$4:$C$40)/1000/AG$3</f>
        <v>18705.216902091186</v>
      </c>
      <c r="AH36" s="349">
        <f>AH29*24*LOOKUP(AH$2,'HDD-by Country'!$A$4:$A$40,'HDD-by Country'!$C$4:$C$40)/1000/AH$3</f>
        <v>9473.2100614012106</v>
      </c>
      <c r="AI36" s="349">
        <f>AI29*24*LOOKUP(AI$2,'HDD-by Country'!$A$4:$A$40,'HDD-by Country'!$C$4:$C$40)/1000/AI$3</f>
        <v>18098.972143401563</v>
      </c>
      <c r="AJ36" s="349">
        <f>AJ29*24*LOOKUP(AJ$2,'HDD-by Country'!$A$4:$A$40,'HDD-by Country'!$C$4:$C$40)/1000/AJ$3</f>
        <v>11180.053789441174</v>
      </c>
      <c r="AK36" s="349">
        <f>AK29*24*LOOKUP(AK$2,'HDD-by Country'!$A$4:$A$40,'HDD-by Country'!$C$4:$C$40)/1000/AK$3</f>
        <v>12040.284385847541</v>
      </c>
      <c r="AL36" s="349">
        <f>AL29*24*LOOKUP(AL$2,'HDD-by Country'!$A$4:$A$40,'HDD-by Country'!$C$4:$C$40)/1000/AL$3</f>
        <v>10344.791523835205</v>
      </c>
      <c r="AM36" s="349">
        <f>AM29*24*LOOKUP(AM$2,'HDD-by Country'!$A$4:$A$40,'HDD-by Country'!$C$4:$C$40)/1000/AM$3</f>
        <v>10280.905041830401</v>
      </c>
      <c r="AN36" s="354">
        <f>AN29*24*LOOKUP(AN$2,'HDD-by Country'!$A$4:$A$40,'HDD-by Country'!$C$4:$C$40)/1000/AN$3</f>
        <v>10280.905041830401</v>
      </c>
    </row>
    <row r="37" spans="1:40" s="135" customFormat="1">
      <c r="A37" s="129"/>
      <c r="B37" s="142" t="s">
        <v>6</v>
      </c>
      <c r="C37" s="129" t="s">
        <v>261</v>
      </c>
      <c r="D37" s="345">
        <f>D30*24*LOOKUP(D$2,'HDD-by Country'!$A$4:$A$40,'HDD-by Country'!$C$4:$C$40)/1000/D$3</f>
        <v>9007.1964595975805</v>
      </c>
      <c r="E37" s="349">
        <f>E30*24*LOOKUP(E$2,'HDD-by Country'!$A$4:$A$40,'HDD-by Country'!$C$4:$C$40)/1000/E$3</f>
        <v>20847.158865506779</v>
      </c>
      <c r="F37" s="349">
        <f>F30*24*LOOKUP(F$2,'HDD-by Country'!$A$4:$A$40,'HDD-by Country'!$C$4:$C$40)/1000/F$3</f>
        <v>7291.6859986047721</v>
      </c>
      <c r="G37" s="349">
        <f>G30*24*LOOKUP(G$2,'HDD-by Country'!$A$4:$A$40,'HDD-by Country'!$C$4:$C$40)/1000/G$3</f>
        <v>9051.8879156545609</v>
      </c>
      <c r="H37" s="349">
        <f>H30*24*LOOKUP(H$2,'HDD-by Country'!$A$4:$A$40,'HDD-by Country'!$C$4:$C$40)/1000/H$3</f>
        <v>7510.2091885938307</v>
      </c>
      <c r="I37" s="349">
        <f>I30*24*LOOKUP(I$2,'HDD-by Country'!$A$4:$A$40,'HDD-by Country'!$C$4:$C$40)/1000/I$3</f>
        <v>8915.8280758850178</v>
      </c>
      <c r="J37" s="349">
        <f>J30*24*LOOKUP(J$2,'HDD-by Country'!$A$4:$A$40,'HDD-by Country'!$C$4:$C$40)/1000/J$3</f>
        <v>5280.8768473647751</v>
      </c>
      <c r="K37" s="349">
        <f>K30*24*LOOKUP(K$2,'HDD-by Country'!$A$4:$A$40,'HDD-by Country'!$C$4:$C$40)/1000/K$3</f>
        <v>7157.1674700157646</v>
      </c>
      <c r="L37" s="349">
        <f>L30*24*LOOKUP(L$2,'HDD-by Country'!$A$4:$A$40,'HDD-by Country'!$C$4:$C$40)/1000/L$3</f>
        <v>4316.2106297368509</v>
      </c>
      <c r="M37" s="349">
        <f>M30*24*LOOKUP(M$2,'HDD-by Country'!$A$4:$A$40,'HDD-by Country'!$C$4:$C$40)/1000/M$3</f>
        <v>12288.079619626615</v>
      </c>
      <c r="N37" s="349">
        <f>N30*24*LOOKUP(N$2,'HDD-by Country'!$A$4:$A$40,'HDD-by Country'!$C$4:$C$40)/1000/N$3</f>
        <v>8984.2112531800067</v>
      </c>
      <c r="O37" s="349">
        <f>O30*24*LOOKUP(O$2,'HDD-by Country'!$A$4:$A$40,'HDD-by Country'!$C$4:$C$40)/1000/O$3</f>
        <v>5182.9231502676475</v>
      </c>
      <c r="P37" s="349">
        <f>P30*24*LOOKUP(P$2,'HDD-by Country'!$A$4:$A$40,'HDD-by Country'!$C$4:$C$40)/1000/P$3</f>
        <v>18650.485827304576</v>
      </c>
      <c r="Q37" s="349">
        <f>Q30*24*LOOKUP(Q$2,'HDD-by Country'!$A$4:$A$40,'HDD-by Country'!$C$4:$C$40)/1000/Q$3</f>
        <v>7444.9948873445765</v>
      </c>
      <c r="R37" s="349">
        <f>R30*24*LOOKUP(R$2,'HDD-by Country'!$A$4:$A$40,'HDD-by Country'!$C$4:$C$40)/1000/R$3</f>
        <v>10255.459988031942</v>
      </c>
      <c r="S37" s="349">
        <f>S30*24*LOOKUP(S$2,'HDD-by Country'!$A$4:$A$40,'HDD-by Country'!$C$4:$C$40)/1000/S$3</f>
        <v>10814.839672248345</v>
      </c>
      <c r="T37" s="349">
        <f>T30*24*LOOKUP(T$2,'HDD-by Country'!$A$4:$A$40,'HDD-by Country'!$C$4:$C$40)/1000/T$3</f>
        <v>7694.6288917377033</v>
      </c>
      <c r="U37" s="349">
        <f>U30*24*LOOKUP(U$2,'HDD-by Country'!$A$4:$A$40,'HDD-by Country'!$C$4:$C$40)/1000/U$3</f>
        <v>12368.016694819484</v>
      </c>
      <c r="V37" s="349">
        <f>V30*24*LOOKUP(V$2,'HDD-by Country'!$A$4:$A$40,'HDD-by Country'!$C$4:$C$40)/1000/V$3</f>
        <v>10595.270055557821</v>
      </c>
      <c r="W37" s="349">
        <f>W30*24*LOOKUP(W$2,'HDD-by Country'!$A$4:$A$40,'HDD-by Country'!$C$4:$C$40)/1000/W$3</f>
        <v>6929.7778442892031</v>
      </c>
      <c r="X37" s="349">
        <f>X30*24*LOOKUP(X$2,'HDD-by Country'!$A$4:$A$40,'HDD-by Country'!$C$4:$C$40)/1000/X$3</f>
        <v>9209.1999326476907</v>
      </c>
      <c r="Y37" s="349">
        <f>Y30*24*LOOKUP(Y$2,'HDD-by Country'!$A$4:$A$40,'HDD-by Country'!$C$4:$C$40)/1000/Y$3</f>
        <v>5530.5074348008884</v>
      </c>
      <c r="Z37" s="349">
        <f>Z30*24*LOOKUP(Z$2,'HDD-by Country'!$A$4:$A$40,'HDD-by Country'!$C$4:$C$40)/1000/Z$3</f>
        <v>11324.258740866468</v>
      </c>
      <c r="AA37" s="349">
        <f>AA30*24*LOOKUP(AA$2,'HDD-by Country'!$A$4:$A$40,'HDD-by Country'!$C$4:$C$40)/1000/AA$3</f>
        <v>7979.9875266116796</v>
      </c>
      <c r="AB37" s="349">
        <f>AB30*24*LOOKUP(AB$2,'HDD-by Country'!$A$4:$A$40,'HDD-by Country'!$C$4:$C$40)/1000/AB$3</f>
        <v>12544.825278937353</v>
      </c>
      <c r="AC37" s="349">
        <f>AC30*24*LOOKUP(AC$2,'HDD-by Country'!$A$4:$A$40,'HDD-by Country'!$C$4:$C$40)/1000/AC$3</f>
        <v>12112.394544050798</v>
      </c>
      <c r="AD37" s="349">
        <f>AD30*24*LOOKUP(AD$2,'HDD-by Country'!$A$4:$A$40,'HDD-by Country'!$C$4:$C$40)/1000/AD$3</f>
        <v>14310.599798240672</v>
      </c>
      <c r="AE37" s="349">
        <f>AE30*24*LOOKUP(AE$2,'HDD-by Country'!$A$4:$A$40,'HDD-by Country'!$C$4:$C$40)/1000/AE$3</f>
        <v>7598.0375239666073</v>
      </c>
      <c r="AF37" s="349">
        <f>AF30*24*LOOKUP(AF$2,'HDD-by Country'!$A$4:$A$40,'HDD-by Country'!$C$4:$C$40)/1000/AF$3</f>
        <v>7640.9279795196062</v>
      </c>
      <c r="AG37" s="349">
        <f>AG30*24*LOOKUP(AG$2,'HDD-by Country'!$A$4:$A$40,'HDD-by Country'!$C$4:$C$40)/1000/AG$3</f>
        <v>16500.370305684912</v>
      </c>
      <c r="AH37" s="349">
        <f>AH30*24*LOOKUP(AH$2,'HDD-by Country'!$A$4:$A$40,'HDD-by Country'!$C$4:$C$40)/1000/AH$3</f>
        <v>6888.012766056253</v>
      </c>
      <c r="AI37" s="349">
        <f>AI30*24*LOOKUP(AI$2,'HDD-by Country'!$A$4:$A$40,'HDD-by Country'!$C$4:$C$40)/1000/AI$3</f>
        <v>18098.972143401563</v>
      </c>
      <c r="AJ37" s="349">
        <f>AJ30*24*LOOKUP(AJ$2,'HDD-by Country'!$A$4:$A$40,'HDD-by Country'!$C$4:$C$40)/1000/AJ$3</f>
        <v>10441.288646940053</v>
      </c>
      <c r="AK37" s="349">
        <f>AK30*24*LOOKUP(AK$2,'HDD-by Country'!$A$4:$A$40,'HDD-by Country'!$C$4:$C$40)/1000/AK$3</f>
        <v>11199.325316744056</v>
      </c>
      <c r="AL37" s="349">
        <f>AL30*24*LOOKUP(AL$2,'HDD-by Country'!$A$4:$A$40,'HDD-by Country'!$C$4:$C$40)/1000/AL$3</f>
        <v>7619.0973238392644</v>
      </c>
      <c r="AM37" s="349">
        <f>AM30*24*LOOKUP(AM$2,'HDD-by Country'!$A$4:$A$40,'HDD-by Country'!$C$4:$C$40)/1000/AM$3</f>
        <v>9601.5546181820409</v>
      </c>
      <c r="AN37" s="354">
        <f>AN30*24*LOOKUP(AN$2,'HDD-by Country'!$A$4:$A$40,'HDD-by Country'!$C$4:$C$40)/1000/AN$3</f>
        <v>9601.5546181820409</v>
      </c>
    </row>
    <row r="38" spans="1:40" s="135" customFormat="1">
      <c r="A38" s="130"/>
      <c r="B38" s="142" t="s">
        <v>7</v>
      </c>
      <c r="C38" s="129" t="s">
        <v>261</v>
      </c>
      <c r="D38" s="345">
        <f>D31*24*LOOKUP(D$2,'HDD-by Country'!$A$4:$A$40,'HDD-by Country'!$C$4:$C$40)/1000/D$3</f>
        <v>7669.9505395310634</v>
      </c>
      <c r="E38" s="349">
        <f>E31*24*LOOKUP(E$2,'HDD-by Country'!$A$4:$A$40,'HDD-by Country'!$C$4:$C$40)/1000/E$3</f>
        <v>11021.108512628234</v>
      </c>
      <c r="F38" s="349">
        <f>F31*24*LOOKUP(F$2,'HDD-by Country'!$A$4:$A$40,'HDD-by Country'!$C$4:$C$40)/1000/F$3</f>
        <v>4605.4034804460416</v>
      </c>
      <c r="G38" s="349">
        <f>G31*24*LOOKUP(G$2,'HDD-by Country'!$A$4:$A$40,'HDD-by Country'!$C$4:$C$40)/1000/G$3</f>
        <v>7699.1006721688218</v>
      </c>
      <c r="H38" s="349">
        <f>H31*24*LOOKUP(H$2,'HDD-by Country'!$A$4:$A$40,'HDD-by Country'!$C$4:$C$40)/1000/H$3</f>
        <v>5996.1140454067581</v>
      </c>
      <c r="I38" s="349">
        <f>I31*24*LOOKUP(I$2,'HDD-by Country'!$A$4:$A$40,'HDD-by Country'!$C$4:$C$40)/1000/I$3</f>
        <v>6698.3573572397254</v>
      </c>
      <c r="J38" s="349">
        <f>J31*24*LOOKUP(J$2,'HDD-by Country'!$A$4:$A$40,'HDD-by Country'!$C$4:$C$40)/1000/J$3</f>
        <v>5799.708632810587</v>
      </c>
      <c r="K38" s="349">
        <f>K31*24*LOOKUP(K$2,'HDD-by Country'!$A$4:$A$40,'HDD-by Country'!$C$4:$C$40)/1000/K$3</f>
        <v>4820.9437613595373</v>
      </c>
      <c r="L38" s="349">
        <f>L31*24*LOOKUP(L$2,'HDD-by Country'!$A$4:$A$40,'HDD-by Country'!$C$4:$C$40)/1000/L$3</f>
        <v>4316.2106297368509</v>
      </c>
      <c r="M38" s="349">
        <f>M31*24*LOOKUP(M$2,'HDD-by Country'!$A$4:$A$40,'HDD-by Country'!$C$4:$C$40)/1000/M$3</f>
        <v>7572.1657311545787</v>
      </c>
      <c r="N38" s="349">
        <f>N31*24*LOOKUP(N$2,'HDD-by Country'!$A$4:$A$40,'HDD-by Country'!$C$4:$C$40)/1000/N$3</f>
        <v>7880.1105471784076</v>
      </c>
      <c r="O38" s="349">
        <f>O31*24*LOOKUP(O$2,'HDD-by Country'!$A$4:$A$40,'HDD-by Country'!$C$4:$C$40)/1000/O$3</f>
        <v>4983.7407127642346</v>
      </c>
      <c r="P38" s="349">
        <f>P31*24*LOOKUP(P$2,'HDD-by Country'!$A$4:$A$40,'HDD-by Country'!$C$4:$C$40)/1000/P$3</f>
        <v>5462.4936022122165</v>
      </c>
      <c r="Q38" s="349">
        <f>Q31*24*LOOKUP(Q$2,'HDD-by Country'!$A$4:$A$40,'HDD-by Country'!$C$4:$C$40)/1000/Q$3</f>
        <v>4285.5423383382558</v>
      </c>
      <c r="R38" s="349">
        <f>R31*24*LOOKUP(R$2,'HDD-by Country'!$A$4:$A$40,'HDD-by Country'!$C$4:$C$40)/1000/R$3</f>
        <v>5713.9371047089699</v>
      </c>
      <c r="S38" s="349">
        <f>S31*24*LOOKUP(S$2,'HDD-by Country'!$A$4:$A$40,'HDD-by Country'!$C$4:$C$40)/1000/S$3</f>
        <v>6251.0332968384109</v>
      </c>
      <c r="T38" s="349">
        <f>T31*24*LOOKUP(T$2,'HDD-by Country'!$A$4:$A$40,'HDD-by Country'!$C$4:$C$40)/1000/T$3</f>
        <v>6748.7109674789717</v>
      </c>
      <c r="U38" s="349">
        <f>U31*24*LOOKUP(U$2,'HDD-by Country'!$A$4:$A$40,'HDD-by Country'!$C$4:$C$40)/1000/U$3</f>
        <v>11942.280694819485</v>
      </c>
      <c r="V38" s="349">
        <f>V31*24*LOOKUP(V$2,'HDD-by Country'!$A$4:$A$40,'HDD-by Country'!$C$4:$C$40)/1000/V$3</f>
        <v>5463.3724611223333</v>
      </c>
      <c r="W38" s="349">
        <f>W31*24*LOOKUP(W$2,'HDD-by Country'!$A$4:$A$40,'HDD-by Country'!$C$4:$C$40)/1000/W$3</f>
        <v>5374.0081578641493</v>
      </c>
      <c r="X38" s="349">
        <f>X31*24*LOOKUP(X$2,'HDD-by Country'!$A$4:$A$40,'HDD-by Country'!$C$4:$C$40)/1000/X$3</f>
        <v>5173.6945629028342</v>
      </c>
      <c r="Y38" s="349">
        <f>Y31*24*LOOKUP(Y$2,'HDD-by Country'!$A$4:$A$40,'HDD-by Country'!$C$4:$C$40)/1000/Y$3</f>
        <v>5282.8675905423488</v>
      </c>
      <c r="Z38" s="349">
        <f>Z31*24*LOOKUP(Z$2,'HDD-by Country'!$A$4:$A$40,'HDD-by Country'!$C$4:$C$40)/1000/Z$3</f>
        <v>7318.801578446436</v>
      </c>
      <c r="AA38" s="349">
        <f>AA31*24*LOOKUP(AA$2,'HDD-by Country'!$A$4:$A$40,'HDD-by Country'!$C$4:$C$40)/1000/AA$3</f>
        <v>7163.6154937796819</v>
      </c>
      <c r="AB38" s="349">
        <f>AB31*24*LOOKUP(AB$2,'HDD-by Country'!$A$4:$A$40,'HDD-by Country'!$C$4:$C$40)/1000/AB$3</f>
        <v>9426.3772048984192</v>
      </c>
      <c r="AC38" s="349">
        <f>AC31*24*LOOKUP(AC$2,'HDD-by Country'!$A$4:$A$40,'HDD-by Country'!$C$4:$C$40)/1000/AC$3</f>
        <v>7486.9289099913467</v>
      </c>
      <c r="AD38" s="349">
        <f>AD31*24*LOOKUP(AD$2,'HDD-by Country'!$A$4:$A$40,'HDD-by Country'!$C$4:$C$40)/1000/AD$3</f>
        <v>11083.388155941699</v>
      </c>
      <c r="AE38" s="349">
        <f>AE31*24*LOOKUP(AE$2,'HDD-by Country'!$A$4:$A$40,'HDD-by Country'!$C$4:$C$40)/1000/AE$3</f>
        <v>6810.8732755186074</v>
      </c>
      <c r="AF38" s="349">
        <f>AF31*24*LOOKUP(AF$2,'HDD-by Country'!$A$4:$A$40,'HDD-by Country'!$C$4:$C$40)/1000/AF$3</f>
        <v>3790.2289657260935</v>
      </c>
      <c r="AG38" s="349">
        <f>AG31*24*LOOKUP(AG$2,'HDD-by Country'!$A$4:$A$40,'HDD-by Country'!$C$4:$C$40)/1000/AG$3</f>
        <v>9090.5153139478862</v>
      </c>
      <c r="AH38" s="349">
        <f>AH31*24*LOOKUP(AH$2,'HDD-by Country'!$A$4:$A$40,'HDD-by Country'!$C$4:$C$40)/1000/AH$3</f>
        <v>5537.5294619844817</v>
      </c>
      <c r="AI38" s="349">
        <f>AI31*24*LOOKUP(AI$2,'HDD-by Country'!$A$4:$A$40,'HDD-by Country'!$C$4:$C$40)/1000/AI$3</f>
        <v>5312.080779329578</v>
      </c>
      <c r="AJ38" s="349">
        <f>AJ31*24*LOOKUP(AJ$2,'HDD-by Country'!$A$4:$A$40,'HDD-by Country'!$C$4:$C$40)/1000/AJ$3</f>
        <v>8857.9182825100706</v>
      </c>
      <c r="AK38" s="349">
        <f>AK31*24*LOOKUP(AK$2,'HDD-by Country'!$A$4:$A$40,'HDD-by Country'!$C$4:$C$40)/1000/AK$3</f>
        <v>9530.4516219313828</v>
      </c>
      <c r="AL38" s="349">
        <f>AL31*24*LOOKUP(AL$2,'HDD-by Country'!$A$4:$A$40,'HDD-by Country'!$C$4:$C$40)/1000/AL$3</f>
        <v>4810.9677695901737</v>
      </c>
      <c r="AM38" s="349">
        <f>AM31*24*LOOKUP(AM$2,'HDD-by Country'!$A$4:$A$40,'HDD-by Country'!$C$4:$C$40)/1000/AM$3</f>
        <v>8145.5258128352361</v>
      </c>
      <c r="AN38" s="354">
        <f>AN31*24*LOOKUP(AN$2,'HDD-by Country'!$A$4:$A$40,'HDD-by Country'!$C$4:$C$40)/1000/AN$3</f>
        <v>8145.5258128352361</v>
      </c>
    </row>
    <row r="39" spans="1:40" s="135" customFormat="1">
      <c r="A39" s="130"/>
      <c r="B39" s="153" t="s">
        <v>259</v>
      </c>
      <c r="C39" s="121" t="s">
        <v>261</v>
      </c>
      <c r="D39" s="348">
        <f>D32*24*LOOKUP(D$2,'HDD-by Country'!$A$4:$A$40,'HDD-by Country'!$C$4:$C$40)/1000/D$3</f>
        <v>18090.503877125393</v>
      </c>
      <c r="E39" s="350">
        <f>E32*24*LOOKUP(E$2,'HDD-by Country'!$A$4:$A$40,'HDD-by Country'!$C$4:$C$40)/1000/E$3</f>
        <v>23745.423975513837</v>
      </c>
      <c r="F39" s="350">
        <f>F32*24*LOOKUP(F$2,'HDD-by Country'!$A$4:$A$40,'HDD-by Country'!$C$4:$C$40)/1000/F$3</f>
        <v>10406.436465463103</v>
      </c>
      <c r="G39" s="350">
        <f>G32*24*LOOKUP(G$2,'HDD-by Country'!$A$4:$A$40,'HDD-by Country'!$C$4:$C$40)/1000/G$3</f>
        <v>18205.787087951496</v>
      </c>
      <c r="H39" s="350">
        <f>H32*24*LOOKUP(H$2,'HDD-by Country'!$A$4:$A$40,'HDD-by Country'!$C$4:$C$40)/1000/H$3</f>
        <v>7394.3750415957911</v>
      </c>
      <c r="I39" s="350">
        <f>I32*24*LOOKUP(I$2,'HDD-by Country'!$A$4:$A$40,'HDD-by Country'!$C$4:$C$40)/1000/I$3</f>
        <v>14075.222924488175</v>
      </c>
      <c r="J39" s="350">
        <f>J32*24*LOOKUP(J$2,'HDD-by Country'!$A$4:$A$40,'HDD-by Country'!$C$4:$C$40)/1000/J$3</f>
        <v>17832.18450149013</v>
      </c>
      <c r="K39" s="350">
        <f>K32*24*LOOKUP(K$2,'HDD-by Country'!$A$4:$A$40,'HDD-by Country'!$C$4:$C$40)/1000/K$3</f>
        <v>11937.221537024359</v>
      </c>
      <c r="L39" s="350">
        <f>L32*24*LOOKUP(L$2,'HDD-by Country'!$A$4:$A$40,'HDD-by Country'!$C$4:$C$40)/1000/L$3</f>
        <v>7496.5043847222942</v>
      </c>
      <c r="M39" s="350">
        <f>M32*24*LOOKUP(M$2,'HDD-by Country'!$A$4:$A$40,'HDD-by Country'!$C$4:$C$40)/1000/M$3</f>
        <v>16176.076298194474</v>
      </c>
      <c r="N39" s="350">
        <f>N32*24*LOOKUP(N$2,'HDD-by Country'!$A$4:$A$40,'HDD-by Country'!$C$4:$C$40)/1000/N$3</f>
        <v>11958.244402395534</v>
      </c>
      <c r="O39" s="350">
        <f>O32*24*LOOKUP(O$2,'HDD-by Country'!$A$4:$A$40,'HDD-by Country'!$C$4:$C$40)/1000/O$3</f>
        <v>18280.402214192123</v>
      </c>
      <c r="P39" s="350">
        <f>P32*24*LOOKUP(P$2,'HDD-by Country'!$A$4:$A$40,'HDD-by Country'!$C$4:$C$40)/1000/P$3</f>
        <v>18250.37062004807</v>
      </c>
      <c r="Q39" s="350">
        <f>Q32*24*LOOKUP(Q$2,'HDD-by Country'!$A$4:$A$40,'HDD-by Country'!$C$4:$C$40)/1000/Q$3</f>
        <v>10491.737077227515</v>
      </c>
      <c r="R39" s="350">
        <f>R32*24*LOOKUP(R$2,'HDD-by Country'!$A$4:$A$40,'HDD-by Country'!$C$4:$C$40)/1000/R$3</f>
        <v>13522.798008283053</v>
      </c>
      <c r="S39" s="350">
        <f>S32*24*LOOKUP(S$2,'HDD-by Country'!$A$4:$A$40,'HDD-by Country'!$C$4:$C$40)/1000/S$3</f>
        <v>16268.443719916058</v>
      </c>
      <c r="T39" s="350">
        <f>T32*24*LOOKUP(T$2,'HDD-by Country'!$A$4:$A$40,'HDD-by Country'!$C$4:$C$40)/1000/T$3</f>
        <v>10243.878585668936</v>
      </c>
      <c r="U39" s="350">
        <f>U32*24*LOOKUP(U$2,'HDD-by Country'!$A$4:$A$40,'HDD-by Country'!$C$4:$C$40)/1000/U$3</f>
        <v>17678.295689138966</v>
      </c>
      <c r="V39" s="350">
        <f>V32*24*LOOKUP(V$2,'HDD-by Country'!$A$4:$A$40,'HDD-by Country'!$C$4:$C$40)/1000/V$3</f>
        <v>14231.540331020151</v>
      </c>
      <c r="W39" s="350">
        <f>W32*24*LOOKUP(W$2,'HDD-by Country'!$A$4:$A$40,'HDD-by Country'!$C$4:$C$40)/1000/W$3</f>
        <v>14723.162248696362</v>
      </c>
      <c r="X39" s="350">
        <f>X32*24*LOOKUP(X$2,'HDD-by Country'!$A$4:$A$40,'HDD-by Country'!$C$4:$C$40)/1000/X$3</f>
        <v>15959.796033648558</v>
      </c>
      <c r="Y39" s="350">
        <f>Y32*24*LOOKUP(Y$2,'HDD-by Country'!$A$4:$A$40,'HDD-by Country'!$C$4:$C$40)/1000/Y$3</f>
        <v>6605.7438875264197</v>
      </c>
      <c r="Z39" s="350">
        <f>Z32*24*LOOKUP(Z$2,'HDD-by Country'!$A$4:$A$40,'HDD-by Country'!$C$4:$C$40)/1000/Z$3</f>
        <v>19953.690597450841</v>
      </c>
      <c r="AA39" s="350">
        <f>AA32*24*LOOKUP(AA$2,'HDD-by Country'!$A$4:$A$40,'HDD-by Country'!$C$4:$C$40)/1000/AA$3</f>
        <v>11225.164157255167</v>
      </c>
      <c r="AB39" s="350">
        <f>AB32*24*LOOKUP(AB$2,'HDD-by Country'!$A$4:$A$40,'HDD-by Country'!$C$4:$C$40)/1000/AB$3</f>
        <v>16367.460736807552</v>
      </c>
      <c r="AC39" s="350">
        <f>AC32*24*LOOKUP(AC$2,'HDD-by Country'!$A$4:$A$40,'HDD-by Country'!$C$4:$C$40)/1000/AC$3</f>
        <v>12902.17721068943</v>
      </c>
      <c r="AD39" s="350">
        <f>AD32*24*LOOKUP(AD$2,'HDD-by Country'!$A$4:$A$40,'HDD-by Country'!$C$4:$C$40)/1000/AD$3</f>
        <v>16183.545800727041</v>
      </c>
      <c r="AE39" s="350">
        <f>AE32*24*LOOKUP(AE$2,'HDD-by Country'!$A$4:$A$40,'HDD-by Country'!$C$4:$C$40)/1000/AE$3</f>
        <v>11796.973805969785</v>
      </c>
      <c r="AF39" s="350">
        <f>AF32*24*LOOKUP(AF$2,'HDD-by Country'!$A$4:$A$40,'HDD-by Country'!$C$4:$C$40)/1000/AF$3</f>
        <v>14196.781693129951</v>
      </c>
      <c r="AG39" s="350">
        <f>AG32*24*LOOKUP(AG$2,'HDD-by Country'!$A$4:$A$40,'HDD-by Country'!$C$4:$C$40)/1000/AG$3</f>
        <v>21338.070420036402</v>
      </c>
      <c r="AH39" s="350">
        <f>AH32*24*LOOKUP(AH$2,'HDD-by Country'!$A$4:$A$40,'HDD-by Country'!$C$4:$C$40)/1000/AH$3</f>
        <v>19237.027922125093</v>
      </c>
      <c r="AI39" s="350">
        <f>AI32*24*LOOKUP(AI$2,'HDD-by Country'!$A$4:$A$40,'HDD-by Country'!$C$4:$C$40)/1000/AI$3</f>
        <v>17724.250222243154</v>
      </c>
      <c r="AJ39" s="350">
        <f>AJ32*24*LOOKUP(AJ$2,'HDD-by Country'!$A$4:$A$40,'HDD-by Country'!$C$4:$C$40)/1000/AJ$3</f>
        <v>12350.60845587429</v>
      </c>
      <c r="AK39" s="350">
        <f>AK32*24*LOOKUP(AK$2,'HDD-by Country'!$A$4:$A$40,'HDD-by Country'!$C$4:$C$40)/1000/AK$3</f>
        <v>13362.78272606941</v>
      </c>
      <c r="AL39" s="350">
        <f>AL32*24*LOOKUP(AL$2,'HDD-by Country'!$A$4:$A$40,'HDD-by Country'!$C$4:$C$40)/1000/AL$3</f>
        <v>10936.567269668443</v>
      </c>
      <c r="AM39" s="350">
        <f>AM32*24*LOOKUP(AM$2,'HDD-by Country'!$A$4:$A$40,'HDD-by Country'!$C$4:$C$40)/1000/AM$3</f>
        <v>11357.318590326562</v>
      </c>
      <c r="AN39" s="355">
        <f>AN32*24*LOOKUP(AN$2,'HDD-by Country'!$A$4:$A$40,'HDD-by Country'!$C$4:$C$40)/1000/AN$3</f>
        <v>11357.318590326564</v>
      </c>
    </row>
    <row r="40" spans="1:40" s="135" customFormat="1">
      <c r="A40" s="150" t="s">
        <v>263</v>
      </c>
      <c r="B40" s="361" t="s">
        <v>259</v>
      </c>
      <c r="C40" s="362" t="s">
        <v>190</v>
      </c>
      <c r="D40" s="363">
        <f t="shared" ref="D40:AN40" si="15">D39/D$4</f>
        <v>176.75476148903107</v>
      </c>
      <c r="E40" s="364">
        <f t="shared" si="15"/>
        <v>227.97918009111041</v>
      </c>
      <c r="F40" s="364">
        <f t="shared" si="15"/>
        <v>190.1015139454409</v>
      </c>
      <c r="G40" s="364">
        <f t="shared" si="15"/>
        <v>169.82726195824276</v>
      </c>
      <c r="H40" s="364">
        <f t="shared" si="15"/>
        <v>90.804903128792731</v>
      </c>
      <c r="I40" s="364">
        <f t="shared" si="15"/>
        <v>163.08436270422899</v>
      </c>
      <c r="J40" s="364">
        <f t="shared" si="15"/>
        <v>186.38621980154446</v>
      </c>
      <c r="K40" s="364">
        <f t="shared" si="15"/>
        <v>103.849618286625</v>
      </c>
      <c r="L40" s="364">
        <f t="shared" si="15"/>
        <v>102.90522318373773</v>
      </c>
      <c r="M40" s="364">
        <f t="shared" si="15"/>
        <v>157.10071714551492</v>
      </c>
      <c r="N40" s="364">
        <f t="shared" si="15"/>
        <v>140.8339834612178</v>
      </c>
      <c r="O40" s="364">
        <f t="shared" si="15"/>
        <v>185.43835676092948</v>
      </c>
      <c r="P40" s="364">
        <f t="shared" si="15"/>
        <v>231.30309891366994</v>
      </c>
      <c r="Q40" s="364">
        <f t="shared" si="15"/>
        <v>180.67458149118153</v>
      </c>
      <c r="R40" s="364">
        <f t="shared" si="15"/>
        <v>171.67823982055347</v>
      </c>
      <c r="S40" s="364">
        <f t="shared" si="15"/>
        <v>152.01872900613355</v>
      </c>
      <c r="T40" s="364">
        <f t="shared" si="15"/>
        <v>119.2576777690133</v>
      </c>
      <c r="U40" s="364">
        <f t="shared" si="15"/>
        <v>175.65160238671123</v>
      </c>
      <c r="V40" s="364">
        <f t="shared" si="15"/>
        <v>171.79959706120658</v>
      </c>
      <c r="W40" s="364">
        <f t="shared" si="15"/>
        <v>186.50320104192821</v>
      </c>
      <c r="X40" s="364">
        <f t="shared" si="15"/>
        <v>195.94833847492202</v>
      </c>
      <c r="Y40" s="364">
        <f t="shared" si="15"/>
        <v>68.035758352375566</v>
      </c>
      <c r="Z40" s="364">
        <f t="shared" si="15"/>
        <v>180.9986907464432</v>
      </c>
      <c r="AA40" s="364">
        <f t="shared" si="15"/>
        <v>102.62186112211181</v>
      </c>
      <c r="AB40" s="364">
        <f t="shared" si="15"/>
        <v>200.90618740883178</v>
      </c>
      <c r="AC40" s="364">
        <f t="shared" si="15"/>
        <v>126.55273949641443</v>
      </c>
      <c r="AD40" s="364">
        <f t="shared" si="15"/>
        <v>266.05393660029847</v>
      </c>
      <c r="AE40" s="364">
        <f t="shared" si="15"/>
        <v>110.5858207804245</v>
      </c>
      <c r="AF40" s="364">
        <f t="shared" si="15"/>
        <v>176.54145577511292</v>
      </c>
      <c r="AG40" s="364">
        <f t="shared" si="15"/>
        <v>264.66622651271655</v>
      </c>
      <c r="AH40" s="364">
        <f t="shared" si="15"/>
        <v>248.71435692341282</v>
      </c>
      <c r="AI40" s="364">
        <f t="shared" si="15"/>
        <v>224.63510948225041</v>
      </c>
      <c r="AJ40" s="364">
        <f t="shared" si="15"/>
        <v>212.68556364893223</v>
      </c>
      <c r="AK40" s="364">
        <f t="shared" si="15"/>
        <v>169.35837189271123</v>
      </c>
      <c r="AL40" s="364">
        <f t="shared" si="15"/>
        <v>184.81358105072007</v>
      </c>
      <c r="AM40" s="364">
        <f t="shared" si="15"/>
        <v>195.58046184965124</v>
      </c>
      <c r="AN40" s="365">
        <f t="shared" si="15"/>
        <v>195.58046184965124</v>
      </c>
    </row>
    <row r="41" spans="1:40" s="135" customFormat="1">
      <c r="A41" s="151" t="s">
        <v>260</v>
      </c>
      <c r="B41" s="141" t="s">
        <v>2</v>
      </c>
      <c r="C41" s="360" t="s">
        <v>261</v>
      </c>
      <c r="D41" s="351">
        <f t="shared" ref="D41:AN46" si="16">D33/(1.355*(D26/D$17)^0.16)</f>
        <v>17134.925934731567</v>
      </c>
      <c r="E41" s="352">
        <f t="shared" si="16"/>
        <v>17190.130434209361</v>
      </c>
      <c r="F41" s="352">
        <f t="shared" si="16"/>
        <v>8682.9264006353442</v>
      </c>
      <c r="G41" s="352">
        <f t="shared" si="16"/>
        <v>17256.974951412849</v>
      </c>
      <c r="H41" s="352">
        <f t="shared" si="16"/>
        <v>5679.944012952551</v>
      </c>
      <c r="I41" s="352">
        <f t="shared" si="16"/>
        <v>13039.839112831585</v>
      </c>
      <c r="J41" s="352">
        <f t="shared" si="16"/>
        <v>18067.848892440357</v>
      </c>
      <c r="K41" s="352">
        <f t="shared" si="16"/>
        <v>11494.658071572921</v>
      </c>
      <c r="L41" s="352">
        <f t="shared" si="16"/>
        <v>7586.0585120361093</v>
      </c>
      <c r="M41" s="352">
        <f t="shared" si="16"/>
        <v>14605.497249855662</v>
      </c>
      <c r="N41" s="352">
        <f t="shared" si="16"/>
        <v>13045.4889256848</v>
      </c>
      <c r="O41" s="352">
        <f t="shared" si="16"/>
        <v>19115.649034066118</v>
      </c>
      <c r="P41" s="352">
        <f t="shared" si="16"/>
        <v>12095.134036216836</v>
      </c>
      <c r="Q41" s="352">
        <f t="shared" si="16"/>
        <v>8249.0407481702405</v>
      </c>
      <c r="R41" s="352">
        <f t="shared" si="16"/>
        <v>11867.151492657409</v>
      </c>
      <c r="S41" s="352">
        <f t="shared" si="16"/>
        <v>17820.068309972081</v>
      </c>
      <c r="T41" s="352">
        <f t="shared" si="16"/>
        <v>11182.751023121175</v>
      </c>
      <c r="U41" s="352">
        <f t="shared" si="16"/>
        <v>13190.099021149155</v>
      </c>
      <c r="V41" s="352">
        <f t="shared" si="16"/>
        <v>13093.163384674237</v>
      </c>
      <c r="W41" s="352">
        <f t="shared" si="16"/>
        <v>14078.70595273608</v>
      </c>
      <c r="X41" s="352">
        <f t="shared" si="16"/>
        <v>14640.353153108585</v>
      </c>
      <c r="Y41" s="352">
        <f t="shared" si="16"/>
        <v>4751.2312589409839</v>
      </c>
      <c r="Z41" s="352">
        <f t="shared" si="16"/>
        <v>19625.356453842352</v>
      </c>
      <c r="AA41" s="352">
        <f t="shared" si="16"/>
        <v>12106.68427926555</v>
      </c>
      <c r="AB41" s="352">
        <f t="shared" si="16"/>
        <v>18157.770645098033</v>
      </c>
      <c r="AC41" s="352">
        <f t="shared" si="16"/>
        <v>9815.8572019835392</v>
      </c>
      <c r="AD41" s="352">
        <f t="shared" si="16"/>
        <v>12838.709663277568</v>
      </c>
      <c r="AE41" s="352">
        <f t="shared" si="16"/>
        <v>11490.414479364492</v>
      </c>
      <c r="AF41" s="352">
        <f t="shared" si="16"/>
        <v>12046.363457894166</v>
      </c>
      <c r="AG41" s="352">
        <f t="shared" si="16"/>
        <v>18149.289345935409</v>
      </c>
      <c r="AH41" s="352">
        <f t="shared" si="16"/>
        <v>15329.671726795015</v>
      </c>
      <c r="AI41" s="352">
        <f t="shared" si="16"/>
        <v>11734.735740685424</v>
      </c>
      <c r="AJ41" s="352">
        <f t="shared" si="16"/>
        <v>9261.2322752095843</v>
      </c>
      <c r="AK41" s="352">
        <f t="shared" si="16"/>
        <v>10110.266719717947</v>
      </c>
      <c r="AL41" s="352">
        <f t="shared" si="16"/>
        <v>9151.4873705895152</v>
      </c>
      <c r="AM41" s="352">
        <f t="shared" si="16"/>
        <v>8516.4035330212719</v>
      </c>
      <c r="AN41" s="353">
        <f t="shared" si="16"/>
        <v>8516.4035330212719</v>
      </c>
    </row>
    <row r="42" spans="1:40" s="135" customFormat="1">
      <c r="A42" s="129"/>
      <c r="B42" s="142" t="s">
        <v>3</v>
      </c>
      <c r="C42" s="129" t="s">
        <v>261</v>
      </c>
      <c r="D42" s="345">
        <f t="shared" si="16"/>
        <v>16103.318256057766</v>
      </c>
      <c r="E42" s="349">
        <f t="shared" si="16"/>
        <v>17190.130434209361</v>
      </c>
      <c r="F42" s="349">
        <f t="shared" si="16"/>
        <v>8682.9264006353442</v>
      </c>
      <c r="G42" s="349">
        <f t="shared" si="16"/>
        <v>16230.39500402444</v>
      </c>
      <c r="H42" s="349">
        <f t="shared" si="16"/>
        <v>5398.056023862001</v>
      </c>
      <c r="I42" s="349">
        <f t="shared" si="16"/>
        <v>10698.322170091464</v>
      </c>
      <c r="J42" s="349">
        <f t="shared" si="16"/>
        <v>16081.570899650649</v>
      </c>
      <c r="K42" s="349">
        <f t="shared" si="16"/>
        <v>11064.788669536632</v>
      </c>
      <c r="L42" s="349">
        <f t="shared" si="16"/>
        <v>7586.0585120361093</v>
      </c>
      <c r="M42" s="349">
        <f t="shared" si="16"/>
        <v>13242.83689553178</v>
      </c>
      <c r="N42" s="349">
        <f t="shared" si="16"/>
        <v>11775.643631552402</v>
      </c>
      <c r="O42" s="349">
        <f t="shared" si="16"/>
        <v>19115.649034066118</v>
      </c>
      <c r="P42" s="349">
        <f t="shared" si="16"/>
        <v>12095.134036216836</v>
      </c>
      <c r="Q42" s="349">
        <f t="shared" si="16"/>
        <v>8681.322223968742</v>
      </c>
      <c r="R42" s="349">
        <f t="shared" si="16"/>
        <v>11867.151492657409</v>
      </c>
      <c r="S42" s="349">
        <f t="shared" si="16"/>
        <v>18126.556166646002</v>
      </c>
      <c r="T42" s="349">
        <f t="shared" si="16"/>
        <v>10091.107590711006</v>
      </c>
      <c r="U42" s="349">
        <f t="shared" si="16"/>
        <v>12573.678066840002</v>
      </c>
      <c r="V42" s="349">
        <f t="shared" si="16"/>
        <v>13093.163384674237</v>
      </c>
      <c r="W42" s="349">
        <f t="shared" si="16"/>
        <v>14160.530680280504</v>
      </c>
      <c r="X42" s="349">
        <f t="shared" si="16"/>
        <v>14528.875711905666</v>
      </c>
      <c r="Y42" s="349">
        <f t="shared" si="16"/>
        <v>4743.3172146434335</v>
      </c>
      <c r="Z42" s="349">
        <f t="shared" si="16"/>
        <v>15656.595118560866</v>
      </c>
      <c r="AA42" s="349">
        <f t="shared" si="16"/>
        <v>12074.167025287637</v>
      </c>
      <c r="AB42" s="349">
        <f t="shared" si="16"/>
        <v>13194.330521958023</v>
      </c>
      <c r="AC42" s="349">
        <f t="shared" si="16"/>
        <v>9074.0744467920322</v>
      </c>
      <c r="AD42" s="349">
        <f t="shared" si="16"/>
        <v>11654.939530688705</v>
      </c>
      <c r="AE42" s="349">
        <f t="shared" si="16"/>
        <v>11459.085832931105</v>
      </c>
      <c r="AF42" s="349">
        <f t="shared" si="16"/>
        <v>12046.363457894166</v>
      </c>
      <c r="AG42" s="349">
        <f t="shared" si="16"/>
        <v>15364.928005187536</v>
      </c>
      <c r="AH42" s="349">
        <f t="shared" si="16"/>
        <v>16078.766701087039</v>
      </c>
      <c r="AI42" s="349">
        <f t="shared" si="16"/>
        <v>11734.735740685424</v>
      </c>
      <c r="AJ42" s="349">
        <f t="shared" si="16"/>
        <v>9261.2322752095843</v>
      </c>
      <c r="AK42" s="349">
        <f t="shared" si="16"/>
        <v>10110.266719717947</v>
      </c>
      <c r="AL42" s="349">
        <f t="shared" si="16"/>
        <v>9151.4873705895152</v>
      </c>
      <c r="AM42" s="349">
        <f t="shared" si="16"/>
        <v>8516.4035330212719</v>
      </c>
      <c r="AN42" s="354">
        <f t="shared" si="16"/>
        <v>8516.4035330212719</v>
      </c>
    </row>
    <row r="43" spans="1:40" s="135" customFormat="1">
      <c r="A43" s="129"/>
      <c r="B43" s="142" t="s">
        <v>4</v>
      </c>
      <c r="C43" s="129" t="s">
        <v>261</v>
      </c>
      <c r="D43" s="345">
        <f t="shared" si="16"/>
        <v>12650.281159821963</v>
      </c>
      <c r="E43" s="349">
        <f t="shared" si="16"/>
        <v>17190.130434209361</v>
      </c>
      <c r="F43" s="349">
        <f t="shared" si="16"/>
        <v>8180.9477254980166</v>
      </c>
      <c r="G43" s="349">
        <f t="shared" si="16"/>
        <v>12736.224348179227</v>
      </c>
      <c r="H43" s="349">
        <f t="shared" si="16"/>
        <v>5391.9166290194089</v>
      </c>
      <c r="I43" s="349">
        <f t="shared" si="16"/>
        <v>10698.322170091464</v>
      </c>
      <c r="J43" s="349">
        <f t="shared" si="16"/>
        <v>10065.564201789444</v>
      </c>
      <c r="K43" s="349">
        <f t="shared" si="16"/>
        <v>7402.9386228780504</v>
      </c>
      <c r="L43" s="349">
        <f t="shared" si="16"/>
        <v>6148.5883237676117</v>
      </c>
      <c r="M43" s="349">
        <f t="shared" si="16"/>
        <v>13242.83689553178</v>
      </c>
      <c r="N43" s="349">
        <f t="shared" si="16"/>
        <v>9653.8130002684702</v>
      </c>
      <c r="O43" s="349">
        <f t="shared" si="16"/>
        <v>8757.8968813906522</v>
      </c>
      <c r="P43" s="349">
        <f t="shared" si="16"/>
        <v>12095.134036216836</v>
      </c>
      <c r="Q43" s="349">
        <f t="shared" si="16"/>
        <v>7812.3081643697724</v>
      </c>
      <c r="R43" s="349">
        <f t="shared" si="16"/>
        <v>10350.427595011381</v>
      </c>
      <c r="S43" s="349">
        <f t="shared" si="16"/>
        <v>15069.274070312749</v>
      </c>
      <c r="T43" s="349">
        <f t="shared" si="16"/>
        <v>8271.3929634697688</v>
      </c>
      <c r="U43" s="349">
        <f t="shared" si="16"/>
        <v>11872.541217997765</v>
      </c>
      <c r="V43" s="349">
        <f t="shared" si="16"/>
        <v>8427.6528686933798</v>
      </c>
      <c r="W43" s="349">
        <f t="shared" si="16"/>
        <v>7793.8892960753647</v>
      </c>
      <c r="X43" s="349">
        <f t="shared" si="16"/>
        <v>13468.136522989553</v>
      </c>
      <c r="Y43" s="349">
        <f t="shared" si="16"/>
        <v>4087.3751942473614</v>
      </c>
      <c r="Z43" s="349">
        <f t="shared" si="16"/>
        <v>15031.589307097447</v>
      </c>
      <c r="AA43" s="349">
        <f t="shared" si="16"/>
        <v>8187.0280576675086</v>
      </c>
      <c r="AB43" s="349">
        <f t="shared" si="16"/>
        <v>9501.2314185861451</v>
      </c>
      <c r="AC43" s="349">
        <f t="shared" si="16"/>
        <v>8885.6654547900125</v>
      </c>
      <c r="AD43" s="349">
        <f t="shared" si="16"/>
        <v>11654.939530688705</v>
      </c>
      <c r="AE43" s="349">
        <f t="shared" si="16"/>
        <v>7784.0275475061626</v>
      </c>
      <c r="AF43" s="349">
        <f t="shared" si="16"/>
        <v>10968.497815925195</v>
      </c>
      <c r="AG43" s="349">
        <f t="shared" si="16"/>
        <v>15364.928005187536</v>
      </c>
      <c r="AH43" s="349">
        <f t="shared" si="16"/>
        <v>12371.68533473259</v>
      </c>
      <c r="AI43" s="349">
        <f t="shared" si="16"/>
        <v>11734.735740685424</v>
      </c>
      <c r="AJ43" s="349">
        <f t="shared" si="16"/>
        <v>9261.2322752095843</v>
      </c>
      <c r="AK43" s="349">
        <f t="shared" si="16"/>
        <v>10110.266719717947</v>
      </c>
      <c r="AL43" s="349">
        <f t="shared" si="16"/>
        <v>8618.2893422765028</v>
      </c>
      <c r="AM43" s="349">
        <f t="shared" si="16"/>
        <v>8516.4035330212719</v>
      </c>
      <c r="AN43" s="354">
        <f t="shared" si="16"/>
        <v>8516.4035330212719</v>
      </c>
    </row>
    <row r="44" spans="1:40" s="135" customFormat="1">
      <c r="A44" s="129"/>
      <c r="B44" s="142" t="s">
        <v>5</v>
      </c>
      <c r="C44" s="129" t="s">
        <v>261</v>
      </c>
      <c r="D44" s="345">
        <f t="shared" si="16"/>
        <v>8619.9784890091087</v>
      </c>
      <c r="E44" s="349">
        <f t="shared" si="16"/>
        <v>14475.221336400284</v>
      </c>
      <c r="F44" s="349">
        <f t="shared" si="16"/>
        <v>7034.5439004650798</v>
      </c>
      <c r="G44" s="349">
        <f t="shared" si="16"/>
        <v>8668.5026548083133</v>
      </c>
      <c r="H44" s="349">
        <f t="shared" si="16"/>
        <v>5213.3601443462103</v>
      </c>
      <c r="I44" s="349">
        <f t="shared" si="16"/>
        <v>9475.594865979032</v>
      </c>
      <c r="J44" s="349">
        <f t="shared" si="16"/>
        <v>7730.3853157864878</v>
      </c>
      <c r="K44" s="349">
        <f t="shared" si="16"/>
        <v>6164.4750530032388</v>
      </c>
      <c r="L44" s="349">
        <f t="shared" si="16"/>
        <v>4633.0549541534137</v>
      </c>
      <c r="M44" s="349">
        <f t="shared" si="16"/>
        <v>8635.5794946413498</v>
      </c>
      <c r="N44" s="349">
        <f t="shared" si="16"/>
        <v>7906.3868349384984</v>
      </c>
      <c r="O44" s="349">
        <f t="shared" si="16"/>
        <v>7444.3127121824791</v>
      </c>
      <c r="P44" s="349">
        <f t="shared" si="16"/>
        <v>11730.181848869022</v>
      </c>
      <c r="Q44" s="349">
        <f t="shared" si="16"/>
        <v>7812.3081643697724</v>
      </c>
      <c r="R44" s="349">
        <f t="shared" si="16"/>
        <v>7719.9638325261722</v>
      </c>
      <c r="S44" s="349">
        <f t="shared" si="16"/>
        <v>9744.3123274772061</v>
      </c>
      <c r="T44" s="349">
        <f t="shared" si="16"/>
        <v>6774.2548178397483</v>
      </c>
      <c r="U44" s="349">
        <f t="shared" si="16"/>
        <v>9438.9100368964337</v>
      </c>
      <c r="V44" s="349">
        <f t="shared" si="16"/>
        <v>8427.6528686933798</v>
      </c>
      <c r="W44" s="349">
        <f t="shared" si="16"/>
        <v>6594.9604625454322</v>
      </c>
      <c r="X44" s="349">
        <f t="shared" si="16"/>
        <v>7681.4739585031011</v>
      </c>
      <c r="Y44" s="349">
        <f t="shared" si="16"/>
        <v>3697.7872932708583</v>
      </c>
      <c r="Z44" s="349">
        <f t="shared" si="16"/>
        <v>9726.8583107576487</v>
      </c>
      <c r="AA44" s="349">
        <f t="shared" si="16"/>
        <v>8105.1799596350083</v>
      </c>
      <c r="AB44" s="349">
        <f t="shared" si="16"/>
        <v>9501.2314185861451</v>
      </c>
      <c r="AC44" s="349">
        <f t="shared" si="16"/>
        <v>8652.7209204370956</v>
      </c>
      <c r="AD44" s="349">
        <f t="shared" si="16"/>
        <v>9996.0124147086808</v>
      </c>
      <c r="AE44" s="349">
        <f t="shared" si="16"/>
        <v>7705.1971213221295</v>
      </c>
      <c r="AF44" s="349">
        <f t="shared" si="16"/>
        <v>8582.4778994921726</v>
      </c>
      <c r="AG44" s="349">
        <f t="shared" si="16"/>
        <v>13174.693594657823</v>
      </c>
      <c r="AH44" s="349">
        <f t="shared" si="16"/>
        <v>7279.7486408297946</v>
      </c>
      <c r="AI44" s="349">
        <f t="shared" si="16"/>
        <v>11370.234869661275</v>
      </c>
      <c r="AJ44" s="349">
        <f t="shared" si="16"/>
        <v>7989.0477156645775</v>
      </c>
      <c r="AK44" s="349">
        <f t="shared" si="16"/>
        <v>8669.5036508211906</v>
      </c>
      <c r="AL44" s="349">
        <f t="shared" si="16"/>
        <v>7402.2747456043808</v>
      </c>
      <c r="AM44" s="349">
        <f t="shared" si="16"/>
        <v>7346.533611222012</v>
      </c>
      <c r="AN44" s="354">
        <f t="shared" si="16"/>
        <v>7346.533611222012</v>
      </c>
    </row>
    <row r="45" spans="1:40" s="135" customFormat="1">
      <c r="A45" s="129"/>
      <c r="B45" s="142" t="s">
        <v>6</v>
      </c>
      <c r="C45" s="129" t="s">
        <v>261</v>
      </c>
      <c r="D45" s="345">
        <f t="shared" si="16"/>
        <v>7391.0210552299177</v>
      </c>
      <c r="E45" s="349">
        <f t="shared" si="16"/>
        <v>14475.221336400284</v>
      </c>
      <c r="F45" s="349">
        <f t="shared" si="16"/>
        <v>5464.5863792278788</v>
      </c>
      <c r="G45" s="349">
        <f t="shared" si="16"/>
        <v>7434.8338251260138</v>
      </c>
      <c r="H45" s="349">
        <f t="shared" si="16"/>
        <v>4832.6918613899779</v>
      </c>
      <c r="I45" s="349">
        <f t="shared" si="16"/>
        <v>7169.7931784649936</v>
      </c>
      <c r="J45" s="349">
        <f t="shared" si="16"/>
        <v>4606.2531291100076</v>
      </c>
      <c r="K45" s="349">
        <f t="shared" si="16"/>
        <v>6164.4750530032388</v>
      </c>
      <c r="L45" s="349">
        <f t="shared" si="16"/>
        <v>3951.6076701208253</v>
      </c>
      <c r="M45" s="349">
        <f t="shared" si="16"/>
        <v>8635.5794946413498</v>
      </c>
      <c r="N45" s="349">
        <f t="shared" si="16"/>
        <v>7792.82953687808</v>
      </c>
      <c r="O45" s="349">
        <f t="shared" si="16"/>
        <v>4362.1842568493712</v>
      </c>
      <c r="P45" s="349">
        <f t="shared" si="16"/>
        <v>11730.181848869022</v>
      </c>
      <c r="Q45" s="349">
        <f t="shared" si="16"/>
        <v>5570.8490170309278</v>
      </c>
      <c r="R45" s="349">
        <f t="shared" si="16"/>
        <v>7719.9638325261722</v>
      </c>
      <c r="S45" s="349">
        <f t="shared" si="16"/>
        <v>8385.4334032493007</v>
      </c>
      <c r="T45" s="349">
        <f t="shared" si="16"/>
        <v>6676.690940671032</v>
      </c>
      <c r="U45" s="349">
        <f t="shared" si="16"/>
        <v>8751.7580417205209</v>
      </c>
      <c r="V45" s="349">
        <f t="shared" si="16"/>
        <v>8427.6528686933798</v>
      </c>
      <c r="W45" s="349">
        <f t="shared" si="16"/>
        <v>5673.5548556852928</v>
      </c>
      <c r="X45" s="349">
        <f t="shared" si="16"/>
        <v>7524.4296884563446</v>
      </c>
      <c r="Y45" s="349">
        <f t="shared" si="16"/>
        <v>3622.8977787645108</v>
      </c>
      <c r="Z45" s="349">
        <f t="shared" si="16"/>
        <v>8747.29149971263</v>
      </c>
      <c r="AA45" s="349">
        <f t="shared" si="16"/>
        <v>7244.3435534281089</v>
      </c>
      <c r="AB45" s="349">
        <f t="shared" si="16"/>
        <v>9501.2314185861451</v>
      </c>
      <c r="AC45" s="349">
        <f t="shared" si="16"/>
        <v>8040.8894188940394</v>
      </c>
      <c r="AD45" s="349">
        <f t="shared" si="16"/>
        <v>9996.0124147086808</v>
      </c>
      <c r="AE45" s="349">
        <f t="shared" si="16"/>
        <v>6889.3950495248801</v>
      </c>
      <c r="AF45" s="349">
        <f t="shared" si="16"/>
        <v>6087.4961282556051</v>
      </c>
      <c r="AG45" s="349">
        <f t="shared" si="16"/>
        <v>11857.319304980923</v>
      </c>
      <c r="AH45" s="349">
        <f t="shared" si="16"/>
        <v>5570.0318134877243</v>
      </c>
      <c r="AI45" s="349">
        <f t="shared" si="16"/>
        <v>11370.234869661275</v>
      </c>
      <c r="AJ45" s="349">
        <f t="shared" si="16"/>
        <v>7543.1994401225329</v>
      </c>
      <c r="AK45" s="349">
        <f t="shared" si="16"/>
        <v>8157.940447503086</v>
      </c>
      <c r="AL45" s="349">
        <f t="shared" si="16"/>
        <v>5725.2953339100068</v>
      </c>
      <c r="AM45" s="349">
        <f t="shared" si="16"/>
        <v>6936.5424009614126</v>
      </c>
      <c r="AN45" s="354">
        <f t="shared" si="16"/>
        <v>6936.5424009614126</v>
      </c>
    </row>
    <row r="46" spans="1:40" s="135" customFormat="1">
      <c r="A46" s="129"/>
      <c r="B46" s="142" t="s">
        <v>7</v>
      </c>
      <c r="C46" s="129" t="s">
        <v>261</v>
      </c>
      <c r="D46" s="345">
        <f t="shared" si="16"/>
        <v>6457.6558895078169</v>
      </c>
      <c r="E46" s="349">
        <f t="shared" si="16"/>
        <v>8474.1290060363608</v>
      </c>
      <c r="F46" s="349">
        <f t="shared" si="16"/>
        <v>3714.7249735458445</v>
      </c>
      <c r="G46" s="349">
        <f t="shared" si="16"/>
        <v>6489.6304080215514</v>
      </c>
      <c r="H46" s="349">
        <f t="shared" si="16"/>
        <v>3999.9273122785044</v>
      </c>
      <c r="I46" s="349">
        <f t="shared" si="16"/>
        <v>5638.7675999642033</v>
      </c>
      <c r="J46" s="349">
        <f t="shared" si="16"/>
        <v>4983.5166627577855</v>
      </c>
      <c r="K46" s="349">
        <f t="shared" si="16"/>
        <v>4423.2801204526459</v>
      </c>
      <c r="L46" s="349">
        <f t="shared" si="16"/>
        <v>3951.6076701208253</v>
      </c>
      <c r="M46" s="349">
        <f t="shared" si="16"/>
        <v>5750.0259601736452</v>
      </c>
      <c r="N46" s="349">
        <f t="shared" si="16"/>
        <v>6980.0599784459519</v>
      </c>
      <c r="O46" s="349">
        <f t="shared" si="16"/>
        <v>4220.9262966386323</v>
      </c>
      <c r="P46" s="349">
        <f t="shared" si="16"/>
        <v>4181.5126044223034</v>
      </c>
      <c r="Q46" s="349">
        <f t="shared" si="16"/>
        <v>3503.0001232552468</v>
      </c>
      <c r="R46" s="349">
        <f t="shared" si="16"/>
        <v>4723.2260059070441</v>
      </c>
      <c r="S46" s="349">
        <f t="shared" si="16"/>
        <v>5291.1267418154039</v>
      </c>
      <c r="T46" s="349">
        <f t="shared" si="16"/>
        <v>5980.1092665527804</v>
      </c>
      <c r="U46" s="349">
        <f t="shared" si="16"/>
        <v>8497.9967435193066</v>
      </c>
      <c r="V46" s="349">
        <f t="shared" si="16"/>
        <v>4831.4736233301173</v>
      </c>
      <c r="W46" s="349">
        <f t="shared" si="16"/>
        <v>4582.4910560466242</v>
      </c>
      <c r="X46" s="349">
        <f t="shared" si="16"/>
        <v>4635.748335792372</v>
      </c>
      <c r="Y46" s="349">
        <f t="shared" si="16"/>
        <v>3486.1339190144458</v>
      </c>
      <c r="Z46" s="349">
        <f t="shared" si="16"/>
        <v>6062.26558227241</v>
      </c>
      <c r="AA46" s="349">
        <f t="shared" si="16"/>
        <v>6616.4994970876178</v>
      </c>
      <c r="AB46" s="349">
        <f t="shared" si="16"/>
        <v>7473.4178002305498</v>
      </c>
      <c r="AC46" s="349">
        <f t="shared" si="16"/>
        <v>5367.919545835307</v>
      </c>
      <c r="AD46" s="349">
        <f t="shared" si="16"/>
        <v>8064.9028501684361</v>
      </c>
      <c r="AE46" s="349">
        <f t="shared" si="16"/>
        <v>6284.6664906862179</v>
      </c>
      <c r="AF46" s="349">
        <f t="shared" si="16"/>
        <v>3378.1189951828792</v>
      </c>
      <c r="AG46" s="349">
        <f t="shared" si="16"/>
        <v>7186.3134652342933</v>
      </c>
      <c r="AH46" s="349">
        <f t="shared" si="16"/>
        <v>4637.0763337539647</v>
      </c>
      <c r="AI46" s="349">
        <f t="shared" si="16"/>
        <v>4060.3406714544017</v>
      </c>
      <c r="AJ46" s="349">
        <f t="shared" si="16"/>
        <v>6569.9300739169439</v>
      </c>
      <c r="AK46" s="349">
        <f t="shared" si="16"/>
        <v>7123.8487848987224</v>
      </c>
      <c r="AL46" s="349">
        <f t="shared" si="16"/>
        <v>3891.1161286688794</v>
      </c>
      <c r="AM46" s="349">
        <f t="shared" si="16"/>
        <v>6041.5476073288255</v>
      </c>
      <c r="AN46" s="354">
        <f t="shared" si="16"/>
        <v>6041.5476073288255</v>
      </c>
    </row>
    <row r="47" spans="1:40" s="135" customFormat="1">
      <c r="A47" s="121"/>
      <c r="B47" s="143" t="s">
        <v>259</v>
      </c>
      <c r="C47" s="121" t="s">
        <v>261</v>
      </c>
      <c r="D47" s="356">
        <f>(LOOKUP(D2,'Dwelling stock'!$A$4:$A$40,'Dwelling stock'!$E$4:$E$40)*D41+D42*LOOKUP(D2,'Dwelling stock'!$A$4:$A$40,'Dwelling stock'!$F$4:$F$40)+D43*LOOKUP(D2,'Dwelling stock'!$A$4:$A$40,'Dwelling stock'!$G$4:$G$40)+D44*LOOKUP(D2,'Dwelling stock'!$A$4:$A$40,'Dwelling stock'!$H$4:$H$40)+D45*LOOKUP(D2,'Dwelling stock'!$A$4:$A$40,'Dwelling stock'!$I$4:$I$40)+D46*LOOKUP(D2,'Dwelling stock'!$A$4:$A$40,'Dwelling stock'!$J$4:$J$40))/LOOKUP(D2,'Dwelling stock'!$A$4:$A$40,'Dwelling stock'!$K$4:$K$40)</f>
        <v>13153.024534464586</v>
      </c>
      <c r="E47" s="357">
        <f>(LOOKUP(E2,'Dwelling stock'!$A$4:$A$40,'Dwelling stock'!$E$4:$E$40)*E41+E42*LOOKUP(E2,'Dwelling stock'!$A$4:$A$40,'Dwelling stock'!$F$4:$F$40)+E43*LOOKUP(E2,'Dwelling stock'!$A$4:$A$40,'Dwelling stock'!$G$4:$G$40)+E44*LOOKUP(E2,'Dwelling stock'!$A$4:$A$40,'Dwelling stock'!$H$4:$H$40)+E45*LOOKUP(E2,'Dwelling stock'!$A$4:$A$40,'Dwelling stock'!$I$4:$I$40)+E46*LOOKUP(E2,'Dwelling stock'!$A$4:$A$40,'Dwelling stock'!$J$4:$J$40))/LOOKUP(E2,'Dwelling stock'!$A$4:$A$40,'Dwelling stock'!$K$4:$K$40)</f>
        <v>16115.785242582702</v>
      </c>
      <c r="F47" s="357">
        <f>(LOOKUP(F2,'Dwelling stock'!$A$4:$A$40,'Dwelling stock'!$E$4:$E$40)*F41+F42*LOOKUP(F2,'Dwelling stock'!$A$4:$A$40,'Dwelling stock'!$F$4:$F$40)+F43*LOOKUP(F2,'Dwelling stock'!$A$4:$A$40,'Dwelling stock'!$G$4:$G$40)+F44*LOOKUP(F2,'Dwelling stock'!$A$4:$A$40,'Dwelling stock'!$H$4:$H$40)+F45*LOOKUP(F2,'Dwelling stock'!$A$4:$A$40,'Dwelling stock'!$I$4:$I$40)+F46*LOOKUP(F2,'Dwelling stock'!$A$4:$A$40,'Dwelling stock'!$J$4:$J$40))/LOOKUP(F2,'Dwelling stock'!$A$4:$A$40,'Dwelling stock'!$K$4:$K$40)</f>
        <v>7322.6753568174599</v>
      </c>
      <c r="G47" s="357">
        <f>(LOOKUP(G2,'Dwelling stock'!$A$4:$A$40,'Dwelling stock'!$E$4:$E$40)*G41+G42*LOOKUP(G2,'Dwelling stock'!$A$4:$A$40,'Dwelling stock'!$F$4:$F$40)+G43*LOOKUP(G2,'Dwelling stock'!$A$4:$A$40,'Dwelling stock'!$G$4:$G$40)+G44*LOOKUP(G2,'Dwelling stock'!$A$4:$A$40,'Dwelling stock'!$H$4:$H$40)+G45*LOOKUP(G2,'Dwelling stock'!$A$4:$A$40,'Dwelling stock'!$I$4:$I$40)+G46*LOOKUP(G2,'Dwelling stock'!$A$4:$A$40,'Dwelling stock'!$J$4:$J$40))/LOOKUP(G2,'Dwelling stock'!$A$4:$A$40,'Dwelling stock'!$K$4:$K$40)</f>
        <v>13246.094903616589</v>
      </c>
      <c r="H47" s="357">
        <f>(LOOKUP(H2,'Dwelling stock'!$A$4:$A$40,'Dwelling stock'!$E$4:$E$40)*H41+H42*LOOKUP(H2,'Dwelling stock'!$A$4:$A$40,'Dwelling stock'!$F$4:$F$40)+H43*LOOKUP(H2,'Dwelling stock'!$A$4:$A$40,'Dwelling stock'!$G$4:$G$40)+H44*LOOKUP(H2,'Dwelling stock'!$A$4:$A$40,'Dwelling stock'!$H$4:$H$40)+H45*LOOKUP(H2,'Dwelling stock'!$A$4:$A$40,'Dwelling stock'!$I$4:$I$40)+H46*LOOKUP(H2,'Dwelling stock'!$A$4:$A$40,'Dwelling stock'!$J$4:$J$40))/LOOKUP(H2,'Dwelling stock'!$A$4:$A$40,'Dwelling stock'!$K$4:$K$40)</f>
        <v>4762.4416911793041</v>
      </c>
      <c r="I47" s="357">
        <f>(LOOKUP(I2,'Dwelling stock'!$A$4:$A$40,'Dwelling stock'!$E$4:$E$40)*I41+I42*LOOKUP(I2,'Dwelling stock'!$A$4:$A$40,'Dwelling stock'!$F$4:$F$40)+I43*LOOKUP(I2,'Dwelling stock'!$A$4:$A$40,'Dwelling stock'!$G$4:$G$40)+I44*LOOKUP(I2,'Dwelling stock'!$A$4:$A$40,'Dwelling stock'!$H$4:$H$40)+I45*LOOKUP(I2,'Dwelling stock'!$A$4:$A$40,'Dwelling stock'!$I$4:$I$40)+I46*LOOKUP(I2,'Dwelling stock'!$A$4:$A$40,'Dwelling stock'!$J$4:$J$40))/LOOKUP(I2,'Dwelling stock'!$A$4:$A$40,'Dwelling stock'!$K$4:$K$40)</f>
        <v>10482.427185831015</v>
      </c>
      <c r="J47" s="357">
        <f>(LOOKUP(J2,'Dwelling stock'!$A$4:$A$40,'Dwelling stock'!$E$4:$E$40)*J41+J42*LOOKUP(J2,'Dwelling stock'!$A$4:$A$40,'Dwelling stock'!$F$4:$F$40)+J43*LOOKUP(J2,'Dwelling stock'!$A$4:$A$40,'Dwelling stock'!$G$4:$G$40)+J44*LOOKUP(J2,'Dwelling stock'!$A$4:$A$40,'Dwelling stock'!$H$4:$H$40)+J45*LOOKUP(J2,'Dwelling stock'!$A$4:$A$40,'Dwelling stock'!$I$4:$I$40)+J46*LOOKUP(J2,'Dwelling stock'!$A$4:$A$40,'Dwelling stock'!$J$4:$J$40))/LOOKUP(J2,'Dwelling stock'!$A$4:$A$40,'Dwelling stock'!$K$4:$K$40)</f>
        <v>12600.02209882918</v>
      </c>
      <c r="K47" s="357">
        <f>(LOOKUP(K2,'Dwelling stock'!$A$4:$A$40,'Dwelling stock'!$E$4:$E$40)*K41+K42*LOOKUP(K2,'Dwelling stock'!$A$4:$A$40,'Dwelling stock'!$F$4:$F$40)+K43*LOOKUP(K2,'Dwelling stock'!$A$4:$A$40,'Dwelling stock'!$G$4:$G$40)+K44*LOOKUP(K2,'Dwelling stock'!$A$4:$A$40,'Dwelling stock'!$H$4:$H$40)+K45*LOOKUP(K2,'Dwelling stock'!$A$4:$A$40,'Dwelling stock'!$I$4:$I$40)+K46*LOOKUP(K2,'Dwelling stock'!$A$4:$A$40,'Dwelling stock'!$J$4:$J$40))/LOOKUP(K2,'Dwelling stock'!$A$4:$A$40,'Dwelling stock'!$K$4:$K$40)</f>
        <v>9402.9097182065507</v>
      </c>
      <c r="L47" s="357">
        <f>(LOOKUP(L2,'Dwelling stock'!$A$4:$A$40,'Dwelling stock'!$E$4:$E$40)*L41+L42*LOOKUP(L2,'Dwelling stock'!$A$4:$A$40,'Dwelling stock'!$F$4:$F$40)+L43*LOOKUP(L2,'Dwelling stock'!$A$4:$A$40,'Dwelling stock'!$G$4:$G$40)+L44*LOOKUP(L2,'Dwelling stock'!$A$4:$A$40,'Dwelling stock'!$H$4:$H$40)+L45*LOOKUP(L2,'Dwelling stock'!$A$4:$A$40,'Dwelling stock'!$I$4:$I$40)+L46*LOOKUP(L2,'Dwelling stock'!$A$4:$A$40,'Dwelling stock'!$J$4:$J$40))/LOOKUP(L2,'Dwelling stock'!$A$4:$A$40,'Dwelling stock'!$K$4:$K$40)</f>
        <v>6251.7381201273101</v>
      </c>
      <c r="M47" s="357">
        <f>(LOOKUP(M2,'Dwelling stock'!$A$4:$A$40,'Dwelling stock'!$E$4:$E$40)*M41+M42*LOOKUP(M2,'Dwelling stock'!$A$4:$A$40,'Dwelling stock'!$F$4:$F$40)+M43*LOOKUP(M2,'Dwelling stock'!$A$4:$A$40,'Dwelling stock'!$G$4:$G$40)+M44*LOOKUP(M2,'Dwelling stock'!$A$4:$A$40,'Dwelling stock'!$H$4:$H$40)+M45*LOOKUP(M2,'Dwelling stock'!$A$4:$A$40,'Dwelling stock'!$I$4:$I$40)+M46*LOOKUP(M2,'Dwelling stock'!$A$4:$A$40,'Dwelling stock'!$J$4:$J$40))/LOOKUP(M2,'Dwelling stock'!$A$4:$A$40,'Dwelling stock'!$K$4:$K$40)</f>
        <v>10778.480568519462</v>
      </c>
      <c r="N47" s="357">
        <f>(LOOKUP(N2,'Dwelling stock'!$A$4:$A$40,'Dwelling stock'!$E$4:$E$40)*N41+N42*LOOKUP(N2,'Dwelling stock'!$A$4:$A$40,'Dwelling stock'!$F$4:$F$40)+N43*LOOKUP(N2,'Dwelling stock'!$A$4:$A$40,'Dwelling stock'!$G$4:$G$40)+N44*LOOKUP(N2,'Dwelling stock'!$A$4:$A$40,'Dwelling stock'!$H$4:$H$40)+N45*LOOKUP(N2,'Dwelling stock'!$A$4:$A$40,'Dwelling stock'!$I$4:$I$40)+N46*LOOKUP(N2,'Dwelling stock'!$A$4:$A$40,'Dwelling stock'!$J$4:$J$40))/LOOKUP(N2,'Dwelling stock'!$A$4:$A$40,'Dwelling stock'!$K$4:$K$40)</f>
        <v>9865.4410470610401</v>
      </c>
      <c r="O47" s="357">
        <f>(LOOKUP(O2,'Dwelling stock'!$A$4:$A$40,'Dwelling stock'!$E$4:$E$40)*O41+O42*LOOKUP(O2,'Dwelling stock'!$A$4:$A$40,'Dwelling stock'!$F$4:$F$40)+O43*LOOKUP(O2,'Dwelling stock'!$A$4:$A$40,'Dwelling stock'!$G$4:$G$40)+O44*LOOKUP(O2,'Dwelling stock'!$A$4:$A$40,'Dwelling stock'!$H$4:$H$40)+O45*LOOKUP(O2,'Dwelling stock'!$A$4:$A$40,'Dwelling stock'!$I$4:$I$40)+O46*LOOKUP(O2,'Dwelling stock'!$A$4:$A$40,'Dwelling stock'!$J$4:$J$40))/LOOKUP(O2,'Dwelling stock'!$A$4:$A$40,'Dwelling stock'!$K$4:$K$40)</f>
        <v>12252.783330435203</v>
      </c>
      <c r="P47" s="357">
        <f>(LOOKUP(P2,'Dwelling stock'!$A$4:$A$40,'Dwelling stock'!$E$4:$E$40)*P41+P42*LOOKUP(P2,'Dwelling stock'!$A$4:$A$40,'Dwelling stock'!$F$4:$F$40)+P43*LOOKUP(P2,'Dwelling stock'!$A$4:$A$40,'Dwelling stock'!$G$4:$G$40)+P44*LOOKUP(P2,'Dwelling stock'!$A$4:$A$40,'Dwelling stock'!$H$4:$H$40)+P45*LOOKUP(P2,'Dwelling stock'!$A$4:$A$40,'Dwelling stock'!$I$4:$I$40)+P46*LOOKUP(P2,'Dwelling stock'!$A$4:$A$40,'Dwelling stock'!$J$4:$J$40))/LOOKUP(P2,'Dwelling stock'!$A$4:$A$40,'Dwelling stock'!$K$4:$K$40)</f>
        <v>11481.323767241132</v>
      </c>
      <c r="Q47" s="357">
        <f>(LOOKUP(Q2,'Dwelling stock'!$A$4:$A$40,'Dwelling stock'!$E$4:$E$40)*Q41+Q42*LOOKUP(Q2,'Dwelling stock'!$A$4:$A$40,'Dwelling stock'!$F$4:$F$40)+Q43*LOOKUP(Q2,'Dwelling stock'!$A$4:$A$40,'Dwelling stock'!$G$4:$G$40)+Q44*LOOKUP(Q2,'Dwelling stock'!$A$4:$A$40,'Dwelling stock'!$H$4:$H$40)+Q45*LOOKUP(Q2,'Dwelling stock'!$A$4:$A$40,'Dwelling stock'!$I$4:$I$40)+Q46*LOOKUP(Q2,'Dwelling stock'!$A$4:$A$40,'Dwelling stock'!$J$4:$J$40))/LOOKUP(Q2,'Dwelling stock'!$A$4:$A$40,'Dwelling stock'!$K$4:$K$40)</f>
        <v>7391.4893725879438</v>
      </c>
      <c r="R47" s="357">
        <f>(LOOKUP(R2,'Dwelling stock'!$A$4:$A$40,'Dwelling stock'!$E$4:$E$40)*R41+R42*LOOKUP(R2,'Dwelling stock'!$A$4:$A$40,'Dwelling stock'!$F$4:$F$40)+R43*LOOKUP(R2,'Dwelling stock'!$A$4:$A$40,'Dwelling stock'!$G$4:$G$40)+R44*LOOKUP(R2,'Dwelling stock'!$A$4:$A$40,'Dwelling stock'!$H$4:$H$40)+R45*LOOKUP(R2,'Dwelling stock'!$A$4:$A$40,'Dwelling stock'!$I$4:$I$40)+R46*LOOKUP(R2,'Dwelling stock'!$A$4:$A$40,'Dwelling stock'!$J$4:$J$40))/LOOKUP(R2,'Dwelling stock'!$A$4:$A$40,'Dwelling stock'!$K$4:$K$40)</f>
        <v>9677.284779163263</v>
      </c>
      <c r="S47" s="357">
        <f>(LOOKUP(S2,'Dwelling stock'!$A$4:$A$40,'Dwelling stock'!$E$4:$E$40)*S41+S42*LOOKUP(S2,'Dwelling stock'!$A$4:$A$40,'Dwelling stock'!$F$4:$F$40)+S43*LOOKUP(S2,'Dwelling stock'!$A$4:$A$40,'Dwelling stock'!$G$4:$G$40)+S44*LOOKUP(S2,'Dwelling stock'!$A$4:$A$40,'Dwelling stock'!$H$4:$H$40)+S45*LOOKUP(S2,'Dwelling stock'!$A$4:$A$40,'Dwelling stock'!$I$4:$I$40)+S46*LOOKUP(S2,'Dwelling stock'!$A$4:$A$40,'Dwelling stock'!$J$4:$J$40))/LOOKUP(S2,'Dwelling stock'!$A$4:$A$40,'Dwelling stock'!$K$4:$K$40)</f>
        <v>11579.71754658009</v>
      </c>
      <c r="T47" s="357">
        <f>(LOOKUP(T2,'Dwelling stock'!$A$4:$A$40,'Dwelling stock'!$E$4:$E$40)*T41+T42*LOOKUP(T2,'Dwelling stock'!$A$4:$A$40,'Dwelling stock'!$F$4:$F$40)+T43*LOOKUP(T2,'Dwelling stock'!$A$4:$A$40,'Dwelling stock'!$G$4:$G$40)+T44*LOOKUP(T2,'Dwelling stock'!$A$4:$A$40,'Dwelling stock'!$H$4:$H$40)+T45*LOOKUP(T2,'Dwelling stock'!$A$4:$A$40,'Dwelling stock'!$I$4:$I$40)+T46*LOOKUP(T2,'Dwelling stock'!$A$4:$A$40,'Dwelling stock'!$J$4:$J$40))/LOOKUP(T2,'Dwelling stock'!$A$4:$A$40,'Dwelling stock'!$K$4:$K$40)</f>
        <v>8453.8552792365463</v>
      </c>
      <c r="U47" s="357">
        <f>(LOOKUP(U2,'Dwelling stock'!$A$4:$A$40,'Dwelling stock'!$E$4:$E$40)*U41+U42*LOOKUP(U2,'Dwelling stock'!$A$4:$A$40,'Dwelling stock'!$F$4:$F$40)+U43*LOOKUP(U2,'Dwelling stock'!$A$4:$A$40,'Dwelling stock'!$G$4:$G$40)+U44*LOOKUP(U2,'Dwelling stock'!$A$4:$A$40,'Dwelling stock'!$H$4:$H$40)+U45*LOOKUP(U2,'Dwelling stock'!$A$4:$A$40,'Dwelling stock'!$I$4:$I$40)+U46*LOOKUP(U2,'Dwelling stock'!$A$4:$A$40,'Dwelling stock'!$J$4:$J$40))/LOOKUP(U2,'Dwelling stock'!$A$4:$A$40,'Dwelling stock'!$K$4:$K$40)</f>
        <v>11794.598420911725</v>
      </c>
      <c r="V47" s="357">
        <f>(LOOKUP(V2,'Dwelling stock'!$A$4:$A$40,'Dwelling stock'!$E$4:$E$40)*V41+V42*LOOKUP(V2,'Dwelling stock'!$A$4:$A$40,'Dwelling stock'!$F$4:$F$40)+V43*LOOKUP(V2,'Dwelling stock'!$A$4:$A$40,'Dwelling stock'!$G$4:$G$40)+V44*LOOKUP(V2,'Dwelling stock'!$A$4:$A$40,'Dwelling stock'!$H$4:$H$40)+V45*LOOKUP(V2,'Dwelling stock'!$A$4:$A$40,'Dwelling stock'!$I$4:$I$40)+V46*LOOKUP(V2,'Dwelling stock'!$A$4:$A$40,'Dwelling stock'!$J$4:$J$40))/LOOKUP(V2,'Dwelling stock'!$A$4:$A$40,'Dwelling stock'!$K$4:$K$40)</f>
        <v>10733.825457665474</v>
      </c>
      <c r="W47" s="357">
        <f>(LOOKUP(W2,'Dwelling stock'!$A$4:$A$40,'Dwelling stock'!$E$4:$E$40)*W41+W42*LOOKUP(W2,'Dwelling stock'!$A$4:$A$40,'Dwelling stock'!$F$4:$F$40)+W43*LOOKUP(W2,'Dwelling stock'!$A$4:$A$40,'Dwelling stock'!$G$4:$G$40)+W44*LOOKUP(W2,'Dwelling stock'!$A$4:$A$40,'Dwelling stock'!$H$4:$H$40)+W45*LOOKUP(W2,'Dwelling stock'!$A$4:$A$40,'Dwelling stock'!$I$4:$I$40)+W46*LOOKUP(W2,'Dwelling stock'!$A$4:$A$40,'Dwelling stock'!$J$4:$J$40))/LOOKUP(W2,'Dwelling stock'!$A$4:$A$40,'Dwelling stock'!$K$4:$K$40)</f>
        <v>10531.600461494354</v>
      </c>
      <c r="X47" s="357">
        <f>(LOOKUP(X2,'Dwelling stock'!$A$4:$A$40,'Dwelling stock'!$E$4:$E$40)*X41+X42*LOOKUP(X2,'Dwelling stock'!$A$4:$A$40,'Dwelling stock'!$F$4:$F$40)+X43*LOOKUP(X2,'Dwelling stock'!$A$4:$A$40,'Dwelling stock'!$G$4:$G$40)+X44*LOOKUP(X2,'Dwelling stock'!$A$4:$A$40,'Dwelling stock'!$H$4:$H$40)+X45*LOOKUP(X2,'Dwelling stock'!$A$4:$A$40,'Dwelling stock'!$I$4:$I$40)+X46*LOOKUP(X2,'Dwelling stock'!$A$4:$A$40,'Dwelling stock'!$J$4:$J$40))/LOOKUP(X2,'Dwelling stock'!$A$4:$A$40,'Dwelling stock'!$K$4:$K$40)</f>
        <v>11833.149114822019</v>
      </c>
      <c r="Y47" s="357">
        <f>(LOOKUP(Y2,'Dwelling stock'!$A$4:$A$40,'Dwelling stock'!$E$4:$E$40)*Y41+Y42*LOOKUP(Y2,'Dwelling stock'!$A$4:$A$40,'Dwelling stock'!$F$4:$F$40)+Y43*LOOKUP(Y2,'Dwelling stock'!$A$4:$A$40,'Dwelling stock'!$G$4:$G$40)+Y44*LOOKUP(Y2,'Dwelling stock'!$A$4:$A$40,'Dwelling stock'!$H$4:$H$40)+Y45*LOOKUP(Y2,'Dwelling stock'!$A$4:$A$40,'Dwelling stock'!$I$4:$I$40)+Y46*LOOKUP(Y2,'Dwelling stock'!$A$4:$A$40,'Dwelling stock'!$J$4:$J$40))/LOOKUP(Y2,'Dwelling stock'!$A$4:$A$40,'Dwelling stock'!$K$4:$K$40)</f>
        <v>4199.9152959161465</v>
      </c>
      <c r="Z47" s="357">
        <f>(LOOKUP(Z2,'Dwelling stock'!$A$4:$A$40,'Dwelling stock'!$E$4:$E$40)*Z41+Z42*LOOKUP(Z2,'Dwelling stock'!$A$4:$A$40,'Dwelling stock'!$F$4:$F$40)+Z43*LOOKUP(Z2,'Dwelling stock'!$A$4:$A$40,'Dwelling stock'!$G$4:$G$40)+Z44*LOOKUP(Z2,'Dwelling stock'!$A$4:$A$40,'Dwelling stock'!$H$4:$H$40)+Z45*LOOKUP(Z2,'Dwelling stock'!$A$4:$A$40,'Dwelling stock'!$I$4:$I$40)+Z46*LOOKUP(Z2,'Dwelling stock'!$A$4:$A$40,'Dwelling stock'!$J$4:$J$40))/LOOKUP(Z2,'Dwelling stock'!$A$4:$A$40,'Dwelling stock'!$K$4:$K$40)</f>
        <v>13941.37982369235</v>
      </c>
      <c r="AA47" s="357">
        <f>(LOOKUP(AA2,'Dwelling stock'!$A$4:$A$40,'Dwelling stock'!$E$4:$E$40)*AA41+AA42*LOOKUP(AA2,'Dwelling stock'!$A$4:$A$40,'Dwelling stock'!$F$4:$F$40)+AA43*LOOKUP(AA2,'Dwelling stock'!$A$4:$A$40,'Dwelling stock'!$G$4:$G$40)+AA44*LOOKUP(AA2,'Dwelling stock'!$A$4:$A$40,'Dwelling stock'!$H$4:$H$40)+AA45*LOOKUP(AA2,'Dwelling stock'!$A$4:$A$40,'Dwelling stock'!$I$4:$I$40)+AA46*LOOKUP(AA2,'Dwelling stock'!$A$4:$A$40,'Dwelling stock'!$J$4:$J$40))/LOOKUP(AA2,'Dwelling stock'!$A$4:$A$40,'Dwelling stock'!$K$4:$K$40)</f>
        <v>9597.6594749070227</v>
      </c>
      <c r="AB47" s="357">
        <f>(LOOKUP(AB2,'Dwelling stock'!$A$4:$A$40,'Dwelling stock'!$E$4:$E$40)*AB41+AB42*LOOKUP(AB2,'Dwelling stock'!$A$4:$A$40,'Dwelling stock'!$F$4:$F$40)+AB43*LOOKUP(AB2,'Dwelling stock'!$A$4:$A$40,'Dwelling stock'!$G$4:$G$40)+AB44*LOOKUP(AB2,'Dwelling stock'!$A$4:$A$40,'Dwelling stock'!$H$4:$H$40)+AB45*LOOKUP(AB2,'Dwelling stock'!$A$4:$A$40,'Dwelling stock'!$I$4:$I$40)+AB46*LOOKUP(AB2,'Dwelling stock'!$A$4:$A$40,'Dwelling stock'!$J$4:$J$40))/LOOKUP(AB2,'Dwelling stock'!$A$4:$A$40,'Dwelling stock'!$K$4:$K$40)</f>
        <v>11771.170995536873</v>
      </c>
      <c r="AC47" s="357">
        <f>(LOOKUP(AC2,'Dwelling stock'!$A$4:$A$40,'Dwelling stock'!$E$4:$E$40)*AC41+AC42*LOOKUP(AC2,'Dwelling stock'!$A$4:$A$40,'Dwelling stock'!$F$4:$F$40)+AC43*LOOKUP(AC2,'Dwelling stock'!$A$4:$A$40,'Dwelling stock'!$G$4:$G$40)+AC44*LOOKUP(AC2,'Dwelling stock'!$A$4:$A$40,'Dwelling stock'!$H$4:$H$40)+AC45*LOOKUP(AC2,'Dwelling stock'!$A$4:$A$40,'Dwelling stock'!$I$4:$I$40)+AC46*LOOKUP(AC2,'Dwelling stock'!$A$4:$A$40,'Dwelling stock'!$J$4:$J$40))/LOOKUP(AC2,'Dwelling stock'!$A$4:$A$40,'Dwelling stock'!$K$4:$K$40)</f>
        <v>8461.6526558451969</v>
      </c>
      <c r="AD47" s="357">
        <f>(LOOKUP(AD2,'Dwelling stock'!$A$4:$A$40,'Dwelling stock'!$E$4:$E$40)*AD41+AD42*LOOKUP(AD2,'Dwelling stock'!$A$4:$A$40,'Dwelling stock'!$F$4:$F$40)+AD43*LOOKUP(AD2,'Dwelling stock'!$A$4:$A$40,'Dwelling stock'!$G$4:$G$40)+AD44*LOOKUP(AD2,'Dwelling stock'!$A$4:$A$40,'Dwelling stock'!$H$4:$H$40)+AD45*LOOKUP(AD2,'Dwelling stock'!$A$4:$A$40,'Dwelling stock'!$I$4:$I$40)+AD46*LOOKUP(AD2,'Dwelling stock'!$A$4:$A$40,'Dwelling stock'!$J$4:$J$40))/LOOKUP(AD2,'Dwelling stock'!$A$4:$A$40,'Dwelling stock'!$K$4:$K$40)</f>
        <v>11072.974013635641</v>
      </c>
      <c r="AE47" s="357">
        <f>(LOOKUP(AE2,'Dwelling stock'!$A$4:$A$40,'Dwelling stock'!$E$4:$E$40)*AE41+AE42*LOOKUP(AE2,'Dwelling stock'!$A$4:$A$40,'Dwelling stock'!$F$4:$F$40)+AE43*LOOKUP(AE2,'Dwelling stock'!$A$4:$A$40,'Dwelling stock'!$G$4:$G$40)+AE44*LOOKUP(AE2,'Dwelling stock'!$A$4:$A$40,'Dwelling stock'!$H$4:$H$40)+AE45*LOOKUP(AE2,'Dwelling stock'!$A$4:$A$40,'Dwelling stock'!$I$4:$I$40)+AE46*LOOKUP(AE2,'Dwelling stock'!$A$4:$A$40,'Dwelling stock'!$J$4:$J$40))/LOOKUP(AE2,'Dwelling stock'!$A$4:$A$40,'Dwelling stock'!$K$4:$K$40)</f>
        <v>9930.7122372473186</v>
      </c>
      <c r="AF47" s="357">
        <f>(LOOKUP(AF2,'Dwelling stock'!$A$4:$A$40,'Dwelling stock'!$E$4:$E$40)*AF41+AF42*LOOKUP(AF2,'Dwelling stock'!$A$4:$A$40,'Dwelling stock'!$F$4:$F$40)+AF43*LOOKUP(AF2,'Dwelling stock'!$A$4:$A$40,'Dwelling stock'!$G$4:$G$40)+AF44*LOOKUP(AF2,'Dwelling stock'!$A$4:$A$40,'Dwelling stock'!$H$4:$H$40)+AF45*LOOKUP(AF2,'Dwelling stock'!$A$4:$A$40,'Dwelling stock'!$I$4:$I$40)+AF46*LOOKUP(AF2,'Dwelling stock'!$A$4:$A$40,'Dwelling stock'!$J$4:$J$40))/LOOKUP(AF2,'Dwelling stock'!$A$4:$A$40,'Dwelling stock'!$K$4:$K$40)</f>
        <v>10157.627659821183</v>
      </c>
      <c r="AG47" s="357">
        <f>(LOOKUP(AG2,'Dwelling stock'!$A$4:$A$40,'Dwelling stock'!$E$4:$E$40)*AG41+AG42*LOOKUP(AG2,'Dwelling stock'!$A$4:$A$40,'Dwelling stock'!$F$4:$F$40)+AG43*LOOKUP(AG2,'Dwelling stock'!$A$4:$A$40,'Dwelling stock'!$G$4:$G$40)+AG44*LOOKUP(AG2,'Dwelling stock'!$A$4:$A$40,'Dwelling stock'!$H$4:$H$40)+AG45*LOOKUP(AG2,'Dwelling stock'!$A$4:$A$40,'Dwelling stock'!$I$4:$I$40)+AG46*LOOKUP(AG2,'Dwelling stock'!$A$4:$A$40,'Dwelling stock'!$J$4:$J$40))/LOOKUP(AG2,'Dwelling stock'!$A$4:$A$40,'Dwelling stock'!$K$4:$K$40)</f>
        <v>14648.489576493042</v>
      </c>
      <c r="AH47" s="357">
        <f>(LOOKUP(AH2,'Dwelling stock'!$A$4:$A$40,'Dwelling stock'!$E$4:$E$40)*AH41+AH42*LOOKUP(AH2,'Dwelling stock'!$A$4:$A$40,'Dwelling stock'!$F$4:$F$40)+AH43*LOOKUP(AH2,'Dwelling stock'!$A$4:$A$40,'Dwelling stock'!$G$4:$G$40)+AH44*LOOKUP(AH2,'Dwelling stock'!$A$4:$A$40,'Dwelling stock'!$H$4:$H$40)+AH45*LOOKUP(AH2,'Dwelling stock'!$A$4:$A$40,'Dwelling stock'!$I$4:$I$40)+AH46*LOOKUP(AH2,'Dwelling stock'!$A$4:$A$40,'Dwelling stock'!$J$4:$J$40))/LOOKUP(AH2,'Dwelling stock'!$A$4:$A$40,'Dwelling stock'!$K$4:$K$40)</f>
        <v>13062.952592100306</v>
      </c>
      <c r="AI47" s="357">
        <f>(LOOKUP(AI2,'Dwelling stock'!$A$4:$A$40,'Dwelling stock'!$E$4:$E$40)*AI41+AI42*LOOKUP(AI2,'Dwelling stock'!$A$4:$A$40,'Dwelling stock'!$F$4:$F$40)+AI43*LOOKUP(AI2,'Dwelling stock'!$A$4:$A$40,'Dwelling stock'!$G$4:$G$40)+AI44*LOOKUP(AI2,'Dwelling stock'!$A$4:$A$40,'Dwelling stock'!$H$4:$H$40)+AI45*LOOKUP(AI2,'Dwelling stock'!$A$4:$A$40,'Dwelling stock'!$I$4:$I$40)+AI46*LOOKUP(AI2,'Dwelling stock'!$A$4:$A$40,'Dwelling stock'!$J$4:$J$40))/LOOKUP(AI2,'Dwelling stock'!$A$4:$A$40,'Dwelling stock'!$K$4:$K$40)</f>
        <v>11136.210150727695</v>
      </c>
      <c r="AJ47" s="357">
        <f>(LOOKUP(AJ2,'Dwelling stock'!$A$4:$A$40,'Dwelling stock'!$E$4:$E$40)*AJ41+AJ42*LOOKUP(AJ2,'Dwelling stock'!$A$4:$A$40,'Dwelling stock'!$F$4:$F$40)+AJ43*LOOKUP(AJ2,'Dwelling stock'!$A$4:$A$40,'Dwelling stock'!$G$4:$G$40)+AJ44*LOOKUP(AJ2,'Dwelling stock'!$A$4:$A$40,'Dwelling stock'!$H$4:$H$40)+AJ45*LOOKUP(AJ2,'Dwelling stock'!$A$4:$A$40,'Dwelling stock'!$I$4:$I$40)+AJ46*LOOKUP(AJ2,'Dwelling stock'!$A$4:$A$40,'Dwelling stock'!$J$4:$J$40))/LOOKUP(AJ2,'Dwelling stock'!$A$4:$A$40,'Dwelling stock'!$K$4:$K$40)</f>
        <v>8677.6496709216844</v>
      </c>
      <c r="AK47" s="357">
        <f>(LOOKUP(AK2,'Dwelling stock'!$A$4:$A$40,'Dwelling stock'!$E$4:$E$40)*AK41+AK42*LOOKUP(AK2,'Dwelling stock'!$A$4:$A$40,'Dwelling stock'!$F$4:$F$40)+AK43*LOOKUP(AK2,'Dwelling stock'!$A$4:$A$40,'Dwelling stock'!$G$4:$G$40)+AK44*LOOKUP(AK2,'Dwelling stock'!$A$4:$A$40,'Dwelling stock'!$H$4:$H$40)+AK45*LOOKUP(AK2,'Dwelling stock'!$A$4:$A$40,'Dwelling stock'!$I$4:$I$40)+AK46*LOOKUP(AK2,'Dwelling stock'!$A$4:$A$40,'Dwelling stock'!$J$4:$J$40))/LOOKUP(AK2,'Dwelling stock'!$A$4:$A$40,'Dwelling stock'!$K$4:$K$40)</f>
        <v>9452.9972481763471</v>
      </c>
      <c r="AL47" s="357">
        <f>(LOOKUP(AL2,'Dwelling stock'!$A$4:$A$40,'Dwelling stock'!$E$4:$E$40)*AL41+AL42*LOOKUP(AL2,'Dwelling stock'!$A$4:$A$40,'Dwelling stock'!$F$4:$F$40)+AL43*LOOKUP(AL2,'Dwelling stock'!$A$4:$A$40,'Dwelling stock'!$G$4:$G$40)+AL44*LOOKUP(AL2,'Dwelling stock'!$A$4:$A$40,'Dwelling stock'!$H$4:$H$40)+AL45*LOOKUP(AL2,'Dwelling stock'!$A$4:$A$40,'Dwelling stock'!$I$4:$I$40)+AL46*LOOKUP(AL2,'Dwelling stock'!$A$4:$A$40,'Dwelling stock'!$J$4:$J$40))/LOOKUP(AL2,'Dwelling stock'!$A$4:$A$40,'Dwelling stock'!$K$4:$K$40)</f>
        <v>7708.6146498698618</v>
      </c>
      <c r="AM47" s="357">
        <f>(LOOKUP(AM2,'Dwelling stock'!$A$4:$A$40,'Dwelling stock'!$E$4:$E$40)*AM41+AM42*LOOKUP(AM2,'Dwelling stock'!$A$4:$A$40,'Dwelling stock'!$F$4:$F$40)+AM43*LOOKUP(AM2,'Dwelling stock'!$A$4:$A$40,'Dwelling stock'!$G$4:$G$40)+AM44*LOOKUP(AM2,'Dwelling stock'!$A$4:$A$40,'Dwelling stock'!$H$4:$H$40)+AM45*LOOKUP(AM2,'Dwelling stock'!$A$4:$A$40,'Dwelling stock'!$I$4:$I$40)+AM46*LOOKUP(AM2,'Dwelling stock'!$A$4:$A$40,'Dwelling stock'!$J$4:$J$40))/LOOKUP(AM2,'Dwelling stock'!$A$4:$A$40,'Dwelling stock'!$K$4:$K$40)</f>
        <v>7979.7551902007417</v>
      </c>
      <c r="AN47" s="358">
        <f>(LOOKUP(AN2,'Dwelling stock'!$A$4:$A$40,'Dwelling stock'!$E$4:$E$40)*AN41+AN42*LOOKUP(AN2,'Dwelling stock'!$A$4:$A$40,'Dwelling stock'!$F$4:$F$40)+AN43*LOOKUP(AN2,'Dwelling stock'!$A$4:$A$40,'Dwelling stock'!$G$4:$G$40)+AN44*LOOKUP(AN2,'Dwelling stock'!$A$4:$A$40,'Dwelling stock'!$H$4:$H$40)+AN45*LOOKUP(AN2,'Dwelling stock'!$A$4:$A$40,'Dwelling stock'!$I$4:$I$40)+AN46*LOOKUP(AN2,'Dwelling stock'!$A$4:$A$40,'Dwelling stock'!$J$4:$J$40))/LOOKUP(AN2,'Dwelling stock'!$A$4:$A$40,'Dwelling stock'!$K$4:$K$40)</f>
        <v>7979.7551902007408</v>
      </c>
    </row>
    <row r="48" spans="1:40" s="135" customFormat="1">
      <c r="A48" s="334" t="s">
        <v>262</v>
      </c>
      <c r="B48" s="359" t="s">
        <v>2</v>
      </c>
      <c r="C48" s="366" t="s">
        <v>190</v>
      </c>
      <c r="D48" s="369">
        <f t="shared" ref="D48:AN48" si="17">D41/D$4</f>
        <v>167.41820832062706</v>
      </c>
      <c r="E48" s="370">
        <f t="shared" si="17"/>
        <v>165.04198224009556</v>
      </c>
      <c r="F48" s="370">
        <f t="shared" si="17"/>
        <v>158.61697322765147</v>
      </c>
      <c r="G48" s="370">
        <f t="shared" si="17"/>
        <v>160.9765505617689</v>
      </c>
      <c r="H48" s="370">
        <f t="shared" si="17"/>
        <v>69.751231574239199</v>
      </c>
      <c r="I48" s="370">
        <f t="shared" si="17"/>
        <v>151.08775632831751</v>
      </c>
      <c r="J48" s="370">
        <f t="shared" si="17"/>
        <v>188.84943988360314</v>
      </c>
      <c r="K48" s="370">
        <f t="shared" si="17"/>
        <v>99.999472185860384</v>
      </c>
      <c r="L48" s="370">
        <f t="shared" si="17"/>
        <v>104.13454114118923</v>
      </c>
      <c r="M48" s="370">
        <f t="shared" si="17"/>
        <v>141.8473831305605</v>
      </c>
      <c r="N48" s="370">
        <f t="shared" si="17"/>
        <v>153.63862033421449</v>
      </c>
      <c r="O48" s="370">
        <f t="shared" si="17"/>
        <v>193.91118990499336</v>
      </c>
      <c r="P48" s="370">
        <f t="shared" si="17"/>
        <v>153.29233814462611</v>
      </c>
      <c r="Q48" s="370">
        <f t="shared" si="17"/>
        <v>142.05388239420154</v>
      </c>
      <c r="R48" s="370">
        <f t="shared" si="17"/>
        <v>150.65903363308104</v>
      </c>
      <c r="S48" s="370">
        <f t="shared" si="17"/>
        <v>166.51771871503956</v>
      </c>
      <c r="T48" s="370">
        <f t="shared" si="17"/>
        <v>130.18788800876845</v>
      </c>
      <c r="U48" s="370">
        <f t="shared" si="17"/>
        <v>131.0568659697017</v>
      </c>
      <c r="V48" s="370">
        <f t="shared" si="17"/>
        <v>158.05739515353889</v>
      </c>
      <c r="W48" s="370">
        <f t="shared" si="17"/>
        <v>178.33965844843004</v>
      </c>
      <c r="X48" s="370">
        <f t="shared" si="17"/>
        <v>179.74871790274938</v>
      </c>
      <c r="Y48" s="370">
        <f t="shared" si="17"/>
        <v>48.935233837926944</v>
      </c>
      <c r="Z48" s="370">
        <f t="shared" si="17"/>
        <v>178.02039207882314</v>
      </c>
      <c r="AA48" s="370">
        <f t="shared" si="17"/>
        <v>110.68082883696944</v>
      </c>
      <c r="AB48" s="370">
        <f t="shared" si="17"/>
        <v>222.88176100199328</v>
      </c>
      <c r="AC48" s="370">
        <f t="shared" si="17"/>
        <v>96.280154824369205</v>
      </c>
      <c r="AD48" s="370">
        <f t="shared" si="17"/>
        <v>211.06556553446006</v>
      </c>
      <c r="AE48" s="370">
        <f t="shared" si="17"/>
        <v>107.71210796999297</v>
      </c>
      <c r="AF48" s="370">
        <f t="shared" si="17"/>
        <v>149.80032711793368</v>
      </c>
      <c r="AG48" s="370">
        <f t="shared" si="17"/>
        <v>225.11425965516048</v>
      </c>
      <c r="AH48" s="370">
        <f t="shared" si="17"/>
        <v>198.19638775861694</v>
      </c>
      <c r="AI48" s="370">
        <f t="shared" si="17"/>
        <v>148.72469158362711</v>
      </c>
      <c r="AJ48" s="370">
        <f t="shared" si="17"/>
        <v>159.48448317943198</v>
      </c>
      <c r="AK48" s="370">
        <f t="shared" si="17"/>
        <v>128.13635798418355</v>
      </c>
      <c r="AL48" s="370">
        <f t="shared" si="17"/>
        <v>154.64808208968856</v>
      </c>
      <c r="AM48" s="370">
        <f t="shared" si="17"/>
        <v>146.65804459381718</v>
      </c>
      <c r="AN48" s="371">
        <f t="shared" si="17"/>
        <v>146.65804459381718</v>
      </c>
    </row>
    <row r="49" spans="1:40" s="135" customFormat="1">
      <c r="A49" s="154"/>
      <c r="B49" s="347" t="s">
        <v>3</v>
      </c>
      <c r="C49" s="367" t="s">
        <v>190</v>
      </c>
      <c r="D49" s="369">
        <f t="shared" ref="D49:AN49" si="18">D42/D$4</f>
        <v>157.33880033770166</v>
      </c>
      <c r="E49" s="370">
        <f t="shared" si="18"/>
        <v>165.04198224009556</v>
      </c>
      <c r="F49" s="370">
        <f t="shared" si="18"/>
        <v>158.61697322765147</v>
      </c>
      <c r="G49" s="370">
        <f t="shared" si="18"/>
        <v>151.40040530619856</v>
      </c>
      <c r="H49" s="370">
        <f t="shared" si="18"/>
        <v>66.289571677554619</v>
      </c>
      <c r="I49" s="370">
        <f t="shared" si="18"/>
        <v>123.9574721106831</v>
      </c>
      <c r="J49" s="370">
        <f t="shared" si="18"/>
        <v>168.08839142539901</v>
      </c>
      <c r="K49" s="370">
        <f t="shared" si="18"/>
        <v>96.25975996085829</v>
      </c>
      <c r="L49" s="370">
        <f t="shared" si="18"/>
        <v>104.13454114118923</v>
      </c>
      <c r="M49" s="370">
        <f t="shared" si="18"/>
        <v>128.61333830141132</v>
      </c>
      <c r="N49" s="370">
        <f t="shared" si="18"/>
        <v>138.6834676266547</v>
      </c>
      <c r="O49" s="370">
        <f t="shared" si="18"/>
        <v>193.91118990499336</v>
      </c>
      <c r="P49" s="370">
        <f t="shared" si="18"/>
        <v>153.29233814462611</v>
      </c>
      <c r="Q49" s="370">
        <f t="shared" si="18"/>
        <v>149.49805242547376</v>
      </c>
      <c r="R49" s="370">
        <f t="shared" si="18"/>
        <v>150.65903363308104</v>
      </c>
      <c r="S49" s="370">
        <f t="shared" si="18"/>
        <v>169.38166164833595</v>
      </c>
      <c r="T49" s="370">
        <f t="shared" si="18"/>
        <v>117.47914106177112</v>
      </c>
      <c r="U49" s="370">
        <f t="shared" si="18"/>
        <v>124.93210540040826</v>
      </c>
      <c r="V49" s="370">
        <f t="shared" si="18"/>
        <v>158.05739515353889</v>
      </c>
      <c r="W49" s="370">
        <f t="shared" si="18"/>
        <v>179.37615953112171</v>
      </c>
      <c r="X49" s="370">
        <f t="shared" si="18"/>
        <v>178.38004004902908</v>
      </c>
      <c r="Y49" s="370">
        <f t="shared" si="18"/>
        <v>48.853723259468872</v>
      </c>
      <c r="Z49" s="370">
        <f t="shared" si="18"/>
        <v>142.02000397704384</v>
      </c>
      <c r="AA49" s="370">
        <f t="shared" si="18"/>
        <v>110.38355201544189</v>
      </c>
      <c r="AB49" s="370">
        <f t="shared" si="18"/>
        <v>161.95686571083883</v>
      </c>
      <c r="AC49" s="370">
        <f t="shared" si="18"/>
        <v>89.00427895878984</v>
      </c>
      <c r="AD49" s="370">
        <f t="shared" si="18"/>
        <v>191.60464469034102</v>
      </c>
      <c r="AE49" s="370">
        <f t="shared" si="18"/>
        <v>107.41843061368465</v>
      </c>
      <c r="AF49" s="370">
        <f t="shared" si="18"/>
        <v>149.80032711793368</v>
      </c>
      <c r="AG49" s="370">
        <f t="shared" si="18"/>
        <v>190.57850291627301</v>
      </c>
      <c r="AH49" s="370">
        <f t="shared" si="18"/>
        <v>207.88139084536294</v>
      </c>
      <c r="AI49" s="370">
        <f t="shared" si="18"/>
        <v>148.72469158362711</v>
      </c>
      <c r="AJ49" s="370">
        <f t="shared" si="18"/>
        <v>159.48448317943198</v>
      </c>
      <c r="AK49" s="370">
        <f t="shared" si="18"/>
        <v>128.13635798418355</v>
      </c>
      <c r="AL49" s="370">
        <f t="shared" si="18"/>
        <v>154.64808208968856</v>
      </c>
      <c r="AM49" s="370">
        <f t="shared" si="18"/>
        <v>146.65804459381718</v>
      </c>
      <c r="AN49" s="371">
        <f t="shared" si="18"/>
        <v>146.65804459381718</v>
      </c>
    </row>
    <row r="50" spans="1:40" s="135" customFormat="1">
      <c r="A50" s="154"/>
      <c r="B50" s="347" t="s">
        <v>4</v>
      </c>
      <c r="C50" s="367" t="s">
        <v>190</v>
      </c>
      <c r="D50" s="369">
        <f t="shared" ref="D50:AN50" si="19">D43/D$4</f>
        <v>123.60061634329765</v>
      </c>
      <c r="E50" s="370">
        <f t="shared" si="19"/>
        <v>165.04198224009556</v>
      </c>
      <c r="F50" s="370">
        <f t="shared" si="19"/>
        <v>149.4469844011559</v>
      </c>
      <c r="G50" s="370">
        <f t="shared" si="19"/>
        <v>118.8060751390759</v>
      </c>
      <c r="H50" s="370">
        <f t="shared" si="19"/>
        <v>66.214178266912754</v>
      </c>
      <c r="I50" s="370">
        <f t="shared" si="19"/>
        <v>123.9574721106831</v>
      </c>
      <c r="J50" s="370">
        <f t="shared" si="19"/>
        <v>105.20766323298817</v>
      </c>
      <c r="K50" s="370">
        <f t="shared" si="19"/>
        <v>64.402955729750076</v>
      </c>
      <c r="L50" s="370">
        <f t="shared" si="19"/>
        <v>84.402252203267267</v>
      </c>
      <c r="M50" s="370">
        <f t="shared" si="19"/>
        <v>128.61333830141132</v>
      </c>
      <c r="N50" s="370">
        <f t="shared" si="19"/>
        <v>113.69435969590491</v>
      </c>
      <c r="O50" s="370">
        <f t="shared" si="19"/>
        <v>88.841043393777653</v>
      </c>
      <c r="P50" s="370">
        <f t="shared" si="19"/>
        <v>153.29233814462611</v>
      </c>
      <c r="Q50" s="370">
        <f t="shared" si="19"/>
        <v>134.53306136896066</v>
      </c>
      <c r="R50" s="370">
        <f t="shared" si="19"/>
        <v>131.4035149983913</v>
      </c>
      <c r="S50" s="370">
        <f t="shared" si="19"/>
        <v>140.81321671903899</v>
      </c>
      <c r="T50" s="370">
        <f t="shared" si="19"/>
        <v>96.294299906908449</v>
      </c>
      <c r="U50" s="370">
        <f t="shared" si="19"/>
        <v>117.96560743266741</v>
      </c>
      <c r="V50" s="370">
        <f t="shared" si="19"/>
        <v>101.73651855922877</v>
      </c>
      <c r="W50" s="370">
        <f t="shared" si="19"/>
        <v>98.727792150302577</v>
      </c>
      <c r="X50" s="370">
        <f t="shared" si="19"/>
        <v>165.35668554091808</v>
      </c>
      <c r="Y50" s="370">
        <f t="shared" si="19"/>
        <v>42.097858431420363</v>
      </c>
      <c r="Z50" s="370">
        <f t="shared" si="19"/>
        <v>136.35061499702982</v>
      </c>
      <c r="AA50" s="370">
        <f t="shared" si="19"/>
        <v>74.84683917016585</v>
      </c>
      <c r="AB50" s="370">
        <f t="shared" si="19"/>
        <v>116.62506546934709</v>
      </c>
      <c r="AC50" s="370">
        <f t="shared" si="19"/>
        <v>87.156244034586564</v>
      </c>
      <c r="AD50" s="370">
        <f t="shared" si="19"/>
        <v>191.60464469034102</v>
      </c>
      <c r="AE50" s="370">
        <f t="shared" si="19"/>
        <v>72.968126358202113</v>
      </c>
      <c r="AF50" s="370">
        <f t="shared" si="19"/>
        <v>136.39672807159053</v>
      </c>
      <c r="AG50" s="370">
        <f t="shared" si="19"/>
        <v>190.57850291627301</v>
      </c>
      <c r="AH50" s="370">
        <f t="shared" si="19"/>
        <v>159.95276268990929</v>
      </c>
      <c r="AI50" s="370">
        <f t="shared" si="19"/>
        <v>148.72469158362711</v>
      </c>
      <c r="AJ50" s="370">
        <f t="shared" si="19"/>
        <v>159.48448317943198</v>
      </c>
      <c r="AK50" s="370">
        <f t="shared" si="19"/>
        <v>128.13635798418355</v>
      </c>
      <c r="AL50" s="370">
        <f t="shared" si="19"/>
        <v>145.63773774745525</v>
      </c>
      <c r="AM50" s="370">
        <f t="shared" si="19"/>
        <v>146.65804459381718</v>
      </c>
      <c r="AN50" s="371">
        <f t="shared" si="19"/>
        <v>146.65804459381718</v>
      </c>
    </row>
    <row r="51" spans="1:40" s="135" customFormat="1">
      <c r="A51" s="154"/>
      <c r="B51" s="347" t="s">
        <v>5</v>
      </c>
      <c r="C51" s="367" t="s">
        <v>190</v>
      </c>
      <c r="D51" s="369">
        <f t="shared" ref="D51:AN51" si="20">D44/D$4</f>
        <v>84.22221139964671</v>
      </c>
      <c r="E51" s="370">
        <f t="shared" si="20"/>
        <v>138.97621265103029</v>
      </c>
      <c r="F51" s="370">
        <f t="shared" si="20"/>
        <v>128.50483927252495</v>
      </c>
      <c r="G51" s="370">
        <f t="shared" si="20"/>
        <v>80.861544959960284</v>
      </c>
      <c r="H51" s="370">
        <f t="shared" si="20"/>
        <v>64.021456880377769</v>
      </c>
      <c r="I51" s="370">
        <f t="shared" si="20"/>
        <v>109.79018650376707</v>
      </c>
      <c r="J51" s="370">
        <f t="shared" si="20"/>
        <v>80.799819926628146</v>
      </c>
      <c r="K51" s="370">
        <f t="shared" si="20"/>
        <v>53.628759356290601</v>
      </c>
      <c r="L51" s="370">
        <f t="shared" si="20"/>
        <v>63.598382607674615</v>
      </c>
      <c r="M51" s="370">
        <f t="shared" si="20"/>
        <v>83.868034903290194</v>
      </c>
      <c r="N51" s="370">
        <f t="shared" si="20"/>
        <v>93.11466761179922</v>
      </c>
      <c r="O51" s="370">
        <f t="shared" si="20"/>
        <v>75.515904977729974</v>
      </c>
      <c r="P51" s="370">
        <f t="shared" si="20"/>
        <v>148.66697608232684</v>
      </c>
      <c r="Q51" s="370">
        <f t="shared" si="20"/>
        <v>134.53306136896066</v>
      </c>
      <c r="R51" s="370">
        <f t="shared" si="20"/>
        <v>98.008548337009643</v>
      </c>
      <c r="S51" s="370">
        <f t="shared" si="20"/>
        <v>91.054682338694363</v>
      </c>
      <c r="T51" s="370">
        <f t="shared" si="20"/>
        <v>78.86484513017713</v>
      </c>
      <c r="U51" s="370">
        <f t="shared" si="20"/>
        <v>93.785040250428267</v>
      </c>
      <c r="V51" s="370">
        <f t="shared" si="20"/>
        <v>101.73651855922877</v>
      </c>
      <c r="W51" s="370">
        <f t="shared" si="20"/>
        <v>83.540561207806093</v>
      </c>
      <c r="X51" s="370">
        <f t="shared" si="20"/>
        <v>94.310231536396927</v>
      </c>
      <c r="Y51" s="370">
        <f t="shared" si="20"/>
        <v>38.085303791223438</v>
      </c>
      <c r="Z51" s="370">
        <f t="shared" si="20"/>
        <v>88.231728898723688</v>
      </c>
      <c r="AA51" s="370">
        <f t="shared" si="20"/>
        <v>74.098573574070187</v>
      </c>
      <c r="AB51" s="370">
        <f t="shared" si="20"/>
        <v>116.62506546934709</v>
      </c>
      <c r="AC51" s="370">
        <f t="shared" si="20"/>
        <v>84.871376256716147</v>
      </c>
      <c r="AD51" s="370">
        <f t="shared" si="20"/>
        <v>164.33224745588345</v>
      </c>
      <c r="AE51" s="370">
        <f t="shared" si="20"/>
        <v>72.229163338921651</v>
      </c>
      <c r="AF51" s="370">
        <f t="shared" si="20"/>
        <v>106.72581823719194</v>
      </c>
      <c r="AG51" s="370">
        <f t="shared" si="20"/>
        <v>163.41198480089159</v>
      </c>
      <c r="AH51" s="370">
        <f t="shared" si="20"/>
        <v>94.119424741577149</v>
      </c>
      <c r="AI51" s="370">
        <f t="shared" si="20"/>
        <v>144.10504945252416</v>
      </c>
      <c r="AJ51" s="370">
        <f t="shared" si="20"/>
        <v>137.57663215500691</v>
      </c>
      <c r="AK51" s="370">
        <f t="shared" si="20"/>
        <v>109.87629249980866</v>
      </c>
      <c r="AL51" s="370">
        <f t="shared" si="20"/>
        <v>125.08869281594311</v>
      </c>
      <c r="AM51" s="370">
        <f t="shared" si="20"/>
        <v>126.5121186175577</v>
      </c>
      <c r="AN51" s="371">
        <f t="shared" si="20"/>
        <v>126.51211861755769</v>
      </c>
    </row>
    <row r="52" spans="1:40" s="135" customFormat="1">
      <c r="A52" s="154"/>
      <c r="B52" s="347" t="s">
        <v>6</v>
      </c>
      <c r="C52" s="367" t="s">
        <v>190</v>
      </c>
      <c r="D52" s="369">
        <f t="shared" ref="D52:AN52" si="21">D45/D$4</f>
        <v>72.21458134338927</v>
      </c>
      <c r="E52" s="370">
        <f t="shared" si="21"/>
        <v>138.97621265103029</v>
      </c>
      <c r="F52" s="370">
        <f t="shared" si="21"/>
        <v>99.825348208727618</v>
      </c>
      <c r="G52" s="370">
        <f t="shared" si="21"/>
        <v>69.353632750725026</v>
      </c>
      <c r="H52" s="370">
        <f t="shared" si="21"/>
        <v>59.346748556334653</v>
      </c>
      <c r="I52" s="370">
        <f t="shared" si="21"/>
        <v>83.073721638665347</v>
      </c>
      <c r="J52" s="370">
        <f t="shared" si="21"/>
        <v>48.145649688186353</v>
      </c>
      <c r="K52" s="370">
        <f t="shared" si="21"/>
        <v>53.628759356290601</v>
      </c>
      <c r="L52" s="370">
        <f t="shared" si="21"/>
        <v>54.244091427076157</v>
      </c>
      <c r="M52" s="370">
        <f t="shared" si="21"/>
        <v>83.868034903290194</v>
      </c>
      <c r="N52" s="370">
        <f t="shared" si="21"/>
        <v>91.777286797460135</v>
      </c>
      <c r="O52" s="370">
        <f t="shared" si="21"/>
        <v>44.250464021548481</v>
      </c>
      <c r="P52" s="370">
        <f t="shared" si="21"/>
        <v>148.66697608232684</v>
      </c>
      <c r="Q52" s="370">
        <f t="shared" si="21"/>
        <v>95.933667351164459</v>
      </c>
      <c r="R52" s="370">
        <f t="shared" si="21"/>
        <v>98.008548337009643</v>
      </c>
      <c r="S52" s="370">
        <f t="shared" si="21"/>
        <v>78.356783849396564</v>
      </c>
      <c r="T52" s="370">
        <f t="shared" si="21"/>
        <v>77.729021298610064</v>
      </c>
      <c r="U52" s="370">
        <f t="shared" si="21"/>
        <v>86.957495833348005</v>
      </c>
      <c r="V52" s="370">
        <f t="shared" si="21"/>
        <v>101.73651855922877</v>
      </c>
      <c r="W52" s="370">
        <f t="shared" si="21"/>
        <v>71.868809430934107</v>
      </c>
      <c r="X52" s="370">
        <f t="shared" si="21"/>
        <v>92.382101395022303</v>
      </c>
      <c r="Y52" s="370">
        <f t="shared" si="21"/>
        <v>37.313980379532936</v>
      </c>
      <c r="Z52" s="370">
        <f t="shared" si="21"/>
        <v>79.346139066010352</v>
      </c>
      <c r="AA52" s="370">
        <f t="shared" si="21"/>
        <v>66.228698987913248</v>
      </c>
      <c r="AB52" s="370">
        <f t="shared" si="21"/>
        <v>116.62506546934709</v>
      </c>
      <c r="AC52" s="370">
        <f t="shared" si="21"/>
        <v>78.870144730743249</v>
      </c>
      <c r="AD52" s="370">
        <f t="shared" si="21"/>
        <v>164.33224745588345</v>
      </c>
      <c r="AE52" s="370">
        <f t="shared" si="21"/>
        <v>64.581766371877762</v>
      </c>
      <c r="AF52" s="370">
        <f t="shared" si="21"/>
        <v>75.699933388964496</v>
      </c>
      <c r="AG52" s="370">
        <f t="shared" si="21"/>
        <v>147.07196551656773</v>
      </c>
      <c r="AH52" s="370">
        <f t="shared" si="21"/>
        <v>72.01460049560049</v>
      </c>
      <c r="AI52" s="370">
        <f t="shared" si="21"/>
        <v>144.10504945252416</v>
      </c>
      <c r="AJ52" s="370">
        <f t="shared" si="21"/>
        <v>129.89883294986228</v>
      </c>
      <c r="AK52" s="370">
        <f t="shared" si="21"/>
        <v>103.39279927761076</v>
      </c>
      <c r="AL52" s="370">
        <f t="shared" si="21"/>
        <v>96.749949700164422</v>
      </c>
      <c r="AM52" s="370">
        <f t="shared" si="21"/>
        <v>119.45180155245723</v>
      </c>
      <c r="AN52" s="371">
        <f t="shared" si="21"/>
        <v>119.45180155245721</v>
      </c>
    </row>
    <row r="53" spans="1:40" s="135" customFormat="1">
      <c r="A53" s="154"/>
      <c r="B53" s="347" t="s">
        <v>7</v>
      </c>
      <c r="C53" s="367" t="s">
        <v>190</v>
      </c>
      <c r="D53" s="369">
        <f t="shared" ref="D53:AN53" si="22">D46/D$4</f>
        <v>63.095059943104488</v>
      </c>
      <c r="E53" s="370">
        <f t="shared" si="22"/>
        <v>81.359885794191641</v>
      </c>
      <c r="F53" s="370">
        <f t="shared" si="22"/>
        <v>67.85942946998783</v>
      </c>
      <c r="G53" s="370">
        <f t="shared" si="22"/>
        <v>60.536584218576806</v>
      </c>
      <c r="H53" s="370">
        <f t="shared" si="22"/>
        <v>49.120177171223972</v>
      </c>
      <c r="I53" s="370">
        <f t="shared" si="22"/>
        <v>65.334298817924875</v>
      </c>
      <c r="J53" s="370">
        <f t="shared" si="22"/>
        <v>52.088897577961504</v>
      </c>
      <c r="K53" s="370">
        <f t="shared" si="22"/>
        <v>38.480977391522003</v>
      </c>
      <c r="L53" s="370">
        <f t="shared" si="22"/>
        <v>54.244091427076157</v>
      </c>
      <c r="M53" s="370">
        <f t="shared" si="22"/>
        <v>55.843777273073016</v>
      </c>
      <c r="N53" s="370">
        <f t="shared" si="22"/>
        <v>82.205181503552495</v>
      </c>
      <c r="O53" s="370">
        <f t="shared" si="22"/>
        <v>42.817528153182096</v>
      </c>
      <c r="P53" s="370">
        <f t="shared" si="22"/>
        <v>52.99600998168124</v>
      </c>
      <c r="Q53" s="370">
        <f t="shared" si="22"/>
        <v>60.32395556370026</v>
      </c>
      <c r="R53" s="370">
        <f t="shared" si="22"/>
        <v>59.96356127423504</v>
      </c>
      <c r="S53" s="370">
        <f t="shared" si="22"/>
        <v>49.442366839087697</v>
      </c>
      <c r="T53" s="370">
        <f t="shared" si="22"/>
        <v>69.619523305534273</v>
      </c>
      <c r="U53" s="370">
        <f t="shared" si="22"/>
        <v>84.436122764553815</v>
      </c>
      <c r="V53" s="370">
        <f t="shared" si="22"/>
        <v>58.324341736272359</v>
      </c>
      <c r="W53" s="370">
        <f t="shared" si="22"/>
        <v>58.047940806627658</v>
      </c>
      <c r="X53" s="370">
        <f t="shared" si="22"/>
        <v>56.915964469173673</v>
      </c>
      <c r="Y53" s="370">
        <f t="shared" si="22"/>
        <v>35.905383093334201</v>
      </c>
      <c r="Z53" s="370">
        <f t="shared" si="22"/>
        <v>54.990435377839816</v>
      </c>
      <c r="AA53" s="370">
        <f t="shared" si="22"/>
        <v>60.488869738781617</v>
      </c>
      <c r="AB53" s="370">
        <f t="shared" si="22"/>
        <v>91.734197582714032</v>
      </c>
      <c r="AC53" s="370">
        <f t="shared" si="22"/>
        <v>52.651960427189564</v>
      </c>
      <c r="AD53" s="370">
        <f t="shared" si="22"/>
        <v>132.58523057968449</v>
      </c>
      <c r="AE53" s="370">
        <f t="shared" si="22"/>
        <v>58.912990198559875</v>
      </c>
      <c r="AF53" s="370">
        <f t="shared" si="22"/>
        <v>42.007974629894036</v>
      </c>
      <c r="AG53" s="370">
        <f t="shared" si="22"/>
        <v>89.135260590157884</v>
      </c>
      <c r="AH53" s="370">
        <f t="shared" si="22"/>
        <v>59.952476184116783</v>
      </c>
      <c r="AI53" s="370">
        <f t="shared" si="22"/>
        <v>51.460290834912414</v>
      </c>
      <c r="AJ53" s="370">
        <f t="shared" si="22"/>
        <v>113.1384972568285</v>
      </c>
      <c r="AK53" s="370">
        <f t="shared" si="22"/>
        <v>90.286840439797942</v>
      </c>
      <c r="AL53" s="370">
        <f t="shared" si="22"/>
        <v>65.754737139317342</v>
      </c>
      <c r="AM53" s="370">
        <f t="shared" si="22"/>
        <v>104.03940524609796</v>
      </c>
      <c r="AN53" s="371">
        <f t="shared" si="22"/>
        <v>104.03940524609794</v>
      </c>
    </row>
    <row r="54" spans="1:40">
      <c r="A54" s="155"/>
      <c r="B54" s="156" t="s">
        <v>259</v>
      </c>
      <c r="C54" s="157" t="s">
        <v>190</v>
      </c>
      <c r="D54" s="339">
        <f t="shared" ref="D54:AN54" si="23">D47/D$4</f>
        <v>128.5127119863333</v>
      </c>
      <c r="E54" s="340">
        <f t="shared" si="23"/>
        <v>154.72722280794386</v>
      </c>
      <c r="F54" s="340">
        <f t="shared" si="23"/>
        <v>133.76833424985719</v>
      </c>
      <c r="G54" s="340">
        <f t="shared" si="23"/>
        <v>123.56225074218182</v>
      </c>
      <c r="H54" s="340">
        <f t="shared" si="23"/>
        <v>58.48405767781184</v>
      </c>
      <c r="I54" s="340">
        <f t="shared" si="23"/>
        <v>121.4559773842374</v>
      </c>
      <c r="J54" s="340">
        <f t="shared" si="23"/>
        <v>131.69841800484093</v>
      </c>
      <c r="K54" s="340">
        <f t="shared" si="23"/>
        <v>81.801999065752483</v>
      </c>
      <c r="L54" s="340">
        <f t="shared" si="23"/>
        <v>85.818199192824736</v>
      </c>
      <c r="M54" s="340">
        <f t="shared" si="23"/>
        <v>104.67971316643745</v>
      </c>
      <c r="N54" s="340">
        <f t="shared" si="23"/>
        <v>116.18673398087469</v>
      </c>
      <c r="O54" s="340">
        <f t="shared" si="23"/>
        <v>124.29354561901397</v>
      </c>
      <c r="P54" s="340">
        <f t="shared" si="23"/>
        <v>145.51297736807552</v>
      </c>
      <c r="Q54" s="340">
        <f t="shared" si="23"/>
        <v>127.28628626116334</v>
      </c>
      <c r="R54" s="340">
        <f t="shared" si="23"/>
        <v>122.85765239644533</v>
      </c>
      <c r="S54" s="340">
        <f t="shared" si="23"/>
        <v>108.20542972565364</v>
      </c>
      <c r="T54" s="340">
        <f t="shared" si="23"/>
        <v>98.41849845892412</v>
      </c>
      <c r="U54" s="340">
        <f t="shared" si="23"/>
        <v>117.19116755206984</v>
      </c>
      <c r="V54" s="340">
        <f t="shared" si="23"/>
        <v>129.5760575215306</v>
      </c>
      <c r="W54" s="340">
        <f t="shared" si="23"/>
        <v>133.40729151696064</v>
      </c>
      <c r="X54" s="340">
        <f t="shared" si="23"/>
        <v>145.28292862181996</v>
      </c>
      <c r="Y54" s="340">
        <f t="shared" si="23"/>
        <v>43.256963490965198</v>
      </c>
      <c r="Z54" s="340">
        <f t="shared" si="23"/>
        <v>126.46139234060114</v>
      </c>
      <c r="AA54" s="340">
        <f t="shared" si="23"/>
        <v>87.743008826702891</v>
      </c>
      <c r="AB54" s="340">
        <f t="shared" si="23"/>
        <v>144.48796450951539</v>
      </c>
      <c r="AC54" s="340">
        <f t="shared" si="23"/>
        <v>82.997257499852594</v>
      </c>
      <c r="AD54" s="340">
        <f t="shared" si="23"/>
        <v>182.03725947797057</v>
      </c>
      <c r="AE54" s="340">
        <f t="shared" si="23"/>
        <v>93.09132848412915</v>
      </c>
      <c r="AF54" s="340">
        <f t="shared" si="23"/>
        <v>126.31330206015379</v>
      </c>
      <c r="AG54" s="340">
        <f t="shared" si="23"/>
        <v>181.69217665908616</v>
      </c>
      <c r="AH54" s="340">
        <f t="shared" si="23"/>
        <v>168.89011476292274</v>
      </c>
      <c r="AI54" s="340">
        <f t="shared" si="23"/>
        <v>141.13904707160398</v>
      </c>
      <c r="AJ54" s="340">
        <f t="shared" si="23"/>
        <v>149.43480865755456</v>
      </c>
      <c r="AK54" s="340">
        <f t="shared" si="23"/>
        <v>119.80620027100709</v>
      </c>
      <c r="AL54" s="340">
        <f t="shared" si="23"/>
        <v>130.26543368261861</v>
      </c>
      <c r="AM54" s="340">
        <f t="shared" si="23"/>
        <v>137.41660878263147</v>
      </c>
      <c r="AN54" s="341">
        <f t="shared" si="23"/>
        <v>137.41660878263144</v>
      </c>
    </row>
    <row r="56" spans="1:40">
      <c r="A56" s="5" t="s">
        <v>142</v>
      </c>
      <c r="C56" s="5" t="s">
        <v>159</v>
      </c>
      <c r="J56" s="164" t="s">
        <v>150</v>
      </c>
      <c r="O56" s="164" t="s">
        <v>156</v>
      </c>
      <c r="U56" s="164" t="s">
        <v>154</v>
      </c>
    </row>
    <row r="57" spans="1:40">
      <c r="A57" s="136"/>
      <c r="O57" s="164">
        <f>O47/1000000*3.6</f>
        <v>4.4110019989566734E-2</v>
      </c>
    </row>
    <row r="58" spans="1:40" ht="15" thickBot="1">
      <c r="A58" s="135"/>
    </row>
    <row r="59" spans="1:40" ht="21.6" thickBot="1">
      <c r="A59" s="940" t="s">
        <v>264</v>
      </c>
      <c r="B59" s="941"/>
      <c r="C59" s="941"/>
      <c r="D59" s="941"/>
      <c r="E59" s="941"/>
      <c r="F59" s="941"/>
      <c r="G59" s="941"/>
      <c r="H59" s="941"/>
      <c r="I59" s="941"/>
      <c r="J59" s="941"/>
      <c r="K59" s="941"/>
      <c r="L59" s="941"/>
      <c r="M59" s="941"/>
      <c r="N59" s="941"/>
      <c r="O59" s="941"/>
      <c r="P59" s="941"/>
      <c r="Q59" s="941"/>
      <c r="R59" s="941"/>
      <c r="S59" s="941"/>
      <c r="T59" s="941"/>
      <c r="U59" s="941"/>
      <c r="V59" s="941"/>
      <c r="W59" s="941"/>
      <c r="X59" s="941"/>
      <c r="Y59" s="941"/>
      <c r="Z59" s="941"/>
      <c r="AA59" s="941"/>
      <c r="AB59" s="941"/>
      <c r="AC59" s="941"/>
      <c r="AD59" s="941"/>
      <c r="AE59" s="941"/>
      <c r="AF59" s="941"/>
      <c r="AG59" s="941"/>
      <c r="AH59" s="941"/>
      <c r="AI59" s="941"/>
      <c r="AJ59" s="941"/>
      <c r="AK59" s="941"/>
      <c r="AL59" s="941"/>
      <c r="AM59" s="941"/>
      <c r="AN59" s="942"/>
    </row>
    <row r="60" spans="1:40">
      <c r="A60" s="5" t="s">
        <v>293</v>
      </c>
    </row>
    <row r="61" spans="1:40" ht="15" customHeight="1">
      <c r="A61" s="938" t="s">
        <v>123</v>
      </c>
      <c r="B61" s="939"/>
      <c r="C61" s="138" t="s">
        <v>76</v>
      </c>
      <c r="D61" s="194">
        <v>1</v>
      </c>
      <c r="E61" s="195">
        <v>1</v>
      </c>
      <c r="F61" s="195">
        <v>1</v>
      </c>
      <c r="G61" s="195">
        <v>1</v>
      </c>
      <c r="H61" s="195">
        <v>1</v>
      </c>
      <c r="I61" s="195">
        <v>1</v>
      </c>
      <c r="J61" s="195">
        <v>1</v>
      </c>
      <c r="K61" s="195">
        <v>1</v>
      </c>
      <c r="L61" s="195">
        <v>1</v>
      </c>
      <c r="M61" s="195">
        <v>1</v>
      </c>
      <c r="N61" s="195">
        <v>1</v>
      </c>
      <c r="O61" s="195">
        <v>1</v>
      </c>
      <c r="P61" s="195">
        <v>1</v>
      </c>
      <c r="Q61" s="195">
        <v>1</v>
      </c>
      <c r="R61" s="195">
        <v>1</v>
      </c>
      <c r="S61" s="195">
        <v>1</v>
      </c>
      <c r="T61" s="195">
        <v>1</v>
      </c>
      <c r="U61" s="195">
        <v>1</v>
      </c>
      <c r="V61" s="195">
        <v>1</v>
      </c>
      <c r="W61" s="195">
        <v>1</v>
      </c>
      <c r="X61" s="195">
        <v>1</v>
      </c>
      <c r="Y61" s="195">
        <v>1</v>
      </c>
      <c r="Z61" s="195">
        <v>1</v>
      </c>
      <c r="AA61" s="195">
        <v>1</v>
      </c>
      <c r="AB61" s="195">
        <v>1</v>
      </c>
      <c r="AC61" s="195">
        <v>1</v>
      </c>
      <c r="AD61" s="195">
        <v>1</v>
      </c>
      <c r="AE61" s="195">
        <v>1</v>
      </c>
      <c r="AF61" s="195">
        <v>1</v>
      </c>
      <c r="AG61" s="195">
        <v>1</v>
      </c>
      <c r="AH61" s="195">
        <v>1</v>
      </c>
      <c r="AI61" s="195">
        <v>1</v>
      </c>
      <c r="AJ61" s="195">
        <v>1</v>
      </c>
      <c r="AK61" s="195">
        <v>1</v>
      </c>
      <c r="AL61" s="195">
        <v>1</v>
      </c>
      <c r="AM61" s="195">
        <v>1</v>
      </c>
      <c r="AN61" s="196">
        <v>1</v>
      </c>
    </row>
    <row r="62" spans="1:40" ht="14.4" customHeight="1">
      <c r="A62" s="151" t="s">
        <v>193</v>
      </c>
      <c r="B62" s="141" t="s">
        <v>2</v>
      </c>
      <c r="C62" s="144" t="s">
        <v>195</v>
      </c>
      <c r="D62" s="170">
        <f>((LOOKUP(D$2,'Ceiling-U'!$A$4:$A$40,'Ceiling-U'!$E$4:$E$40)*D$15)+(LOOKUP(D$2,'Floor-U'!$A$4:$A$40,'Floor-U'!$E$4:$E$40)*D$16)+(LOOKUP(D$2,'Wall-U'!$A$4:$A$40,'Wall-U'!$E$4:$E$40)*D$13)+(LOOKUP(D$2,'Window-U'!$A$4:$A$40,'Window-U'!$S$4:$S$40)*D$22))*D$61</f>
        <v>1614.4937022054523</v>
      </c>
      <c r="E62" s="171">
        <f>((LOOKUP(E$2,'Ceiling-U'!$A$4:$A$40,'Ceiling-U'!$E$4:$E$40)*E$15)+(LOOKUP(E$2,'Floor-U'!$A$4:$A$40,'Floor-U'!$E$4:$E$40)*E$16)+(LOOKUP(E$2,'Wall-U'!$A$4:$A$40,'Wall-U'!$E$4:$E$40)*E$13)+(LOOKUP(E$2,'Window-U'!$A$4:$A$40,'Window-U'!$S$4:$S$40)*E$22))*E$61</f>
        <v>2048.574347779298</v>
      </c>
      <c r="F62" s="171">
        <f>((LOOKUP(F$2,'Ceiling-U'!$A$4:$A$40,'Ceiling-U'!$E$4:$E$40)*F$15)+(LOOKUP(F$2,'Floor-U'!$A$4:$A$40,'Floor-U'!$E$4:$E$40)*F$16)+(LOOKUP(F$2,'Wall-U'!$A$4:$A$40,'Wall-U'!$E$4:$E$40)*F$13)+(LOOKUP(F$2,'Window-U'!$A$4:$A$40,'Window-U'!$S$4:$S$40)*F$22))*F$61</f>
        <v>1069.3770549999936</v>
      </c>
      <c r="G62" s="171">
        <f>((LOOKUP(G$2,'Ceiling-U'!$A$4:$A$40,'Ceiling-U'!$E$4:$E$40)*G$15)+(LOOKUP(G$2,'Floor-U'!$A$4:$A$40,'Floor-U'!$E$4:$E$40)*G$16)+(LOOKUP(G$2,'Wall-U'!$A$4:$A$40,'Wall-U'!$E$4:$E$40)*G$13)+(LOOKUP(G$2,'Window-U'!$A$4:$A$40,'Window-U'!$S$4:$S$40)*G$22))*G$61</f>
        <v>1671.0230815349096</v>
      </c>
      <c r="H62" s="171">
        <f>((LOOKUP(H$2,'Ceiling-U'!$A$4:$A$40,'Ceiling-U'!$E$4:$E$40)*H$15)+(LOOKUP(H$2,'Floor-U'!$A$4:$A$40,'Floor-U'!$E$4:$E$40)*H$16)+(LOOKUP(H$2,'Wall-U'!$A$4:$A$40,'Wall-U'!$E$4:$E$40)*H$13)+(LOOKUP(H$2,'Window-U'!$A$4:$A$40,'Window-U'!$S$4:$S$40)*H$22))*H$61</f>
        <v>2799.3676645082901</v>
      </c>
      <c r="I62" s="171">
        <f>((LOOKUP(I$2,'Ceiling-U'!$A$4:$A$40,'Ceiling-U'!$E$4:$E$40)*I$15)+(LOOKUP(I$2,'Floor-U'!$A$4:$A$40,'Floor-U'!$E$4:$E$40)*I$16)+(LOOKUP(I$2,'Wall-U'!$A$4:$A$40,'Wall-U'!$E$4:$E$40)*I$13)+(LOOKUP(I$2,'Window-U'!$A$4:$A$40,'Window-U'!$S$4:$S$40)*I$22))*I$61</f>
        <v>1156.1035750651179</v>
      </c>
      <c r="J62" s="171">
        <f>((LOOKUP(J$2,'Ceiling-U'!$A$4:$A$40,'Ceiling-U'!$E$4:$E$40)*J$15)+(LOOKUP(J$2,'Floor-U'!$A$4:$A$40,'Floor-U'!$E$4:$E$40)*J$16)+(LOOKUP(J$2,'Wall-U'!$A$4:$A$40,'Wall-U'!$E$4:$E$40)*J$13)+(LOOKUP(J$2,'Window-U'!$A$4:$A$40,'Window-U'!$S$4:$S$40)*J$22))*J$61</f>
        <v>1919.9488356215898</v>
      </c>
      <c r="K62" s="171">
        <f>((LOOKUP(K$2,'Ceiling-U'!$A$4:$A$40,'Ceiling-U'!$E$4:$E$40)*K$15)+(LOOKUP(K$2,'Floor-U'!$A$4:$A$40,'Floor-U'!$E$4:$E$40)*K$16)+(LOOKUP(K$2,'Wall-U'!$A$4:$A$40,'Wall-U'!$E$4:$E$40)*K$13)+(LOOKUP(K$2,'Window-U'!$A$4:$A$40,'Window-U'!$S$4:$S$40)*K$22))*K$61</f>
        <v>970.48515548887508</v>
      </c>
      <c r="L62" s="171">
        <f>((LOOKUP(L$2,'Ceiling-U'!$A$4:$A$40,'Ceiling-U'!$E$4:$E$40)*L$15)+(LOOKUP(L$2,'Floor-U'!$A$4:$A$40,'Floor-U'!$E$4:$E$40)*L$16)+(LOOKUP(L$2,'Wall-U'!$A$4:$A$40,'Wall-U'!$E$4:$E$40)*L$13)+(LOOKUP(L$2,'Window-U'!$A$4:$A$40,'Window-U'!$S$4:$S$40)*L$22))*L$61</f>
        <v>469.62214500611503</v>
      </c>
      <c r="M62" s="171">
        <f>((LOOKUP(M$2,'Ceiling-U'!$A$4:$A$40,'Ceiling-U'!$E$4:$E$40)*M$15)+(LOOKUP(M$2,'Floor-U'!$A$4:$A$40,'Floor-U'!$E$4:$E$40)*M$16)+(LOOKUP(M$2,'Wall-U'!$A$4:$A$40,'Wall-U'!$E$4:$E$40)*M$13)+(LOOKUP(M$2,'Window-U'!$A$4:$A$40,'Window-U'!$S$4:$S$40)*M$22))*M$61</f>
        <v>2844.9737218739579</v>
      </c>
      <c r="N62" s="171">
        <f>((LOOKUP(N$2,'Ceiling-U'!$A$4:$A$40,'Ceiling-U'!$E$4:$E$40)*N$15)+(LOOKUP(N$2,'Floor-U'!$A$4:$A$40,'Floor-U'!$E$4:$E$40)*N$16)+(LOOKUP(N$2,'Wall-U'!$A$4:$A$40,'Wall-U'!$E$4:$E$40)*N$13)+(LOOKUP(N$2,'Window-U'!$A$4:$A$40,'Window-U'!$S$4:$S$40)*N$22))*N$61</f>
        <v>625.30814074737748</v>
      </c>
      <c r="O62" s="171">
        <f>((LOOKUP(O$2,'Ceiling-U'!$A$4:$A$40,'Ceiling-U'!$E$4:$E$40)*O$15)+(LOOKUP(O$2,'Floor-U'!$A$4:$A$40,'Floor-U'!$E$4:$E$40)*O$16)+(LOOKUP(O$2,'Wall-U'!$A$4:$A$40,'Wall-U'!$E$4:$E$40)*O$13)+(LOOKUP(O$2,'Window-U'!$A$4:$A$40,'Window-U'!$S$4:$S$40)*O$22))*O$61</f>
        <v>2838.3432182363963</v>
      </c>
      <c r="P62" s="171">
        <f>((LOOKUP(P$2,'Ceiling-U'!$A$4:$A$40,'Ceiling-U'!$E$4:$E$40)*P$15)+(LOOKUP(P$2,'Floor-U'!$A$4:$A$40,'Floor-U'!$E$4:$E$40)*P$16)+(LOOKUP(P$2,'Wall-U'!$A$4:$A$40,'Wall-U'!$E$4:$E$40)*P$13)+(LOOKUP(P$2,'Window-U'!$A$4:$A$40,'Window-U'!$S$4:$S$40)*P$22))*P$61</f>
        <v>1849.5233281105313</v>
      </c>
      <c r="Q62" s="171">
        <f>((LOOKUP(Q$2,'Ceiling-U'!$A$4:$A$40,'Ceiling-U'!$E$4:$E$40)*Q$15)+(LOOKUP(Q$2,'Floor-U'!$A$4:$A$40,'Floor-U'!$E$4:$E$40)*Q$16)+(LOOKUP(Q$2,'Wall-U'!$A$4:$A$40,'Wall-U'!$E$4:$E$40)*Q$13)+(LOOKUP(Q$2,'Window-U'!$A$4:$A$40,'Window-U'!$S$4:$S$40)*Q$22))*Q$61</f>
        <v>942.01604248687363</v>
      </c>
      <c r="R62" s="171">
        <f>((LOOKUP(R$2,'Ceiling-U'!$A$4:$A$40,'Ceiling-U'!$E$4:$E$40)*R$15)+(LOOKUP(R$2,'Floor-U'!$A$4:$A$40,'Floor-U'!$E$4:$E$40)*R$16)+(LOOKUP(R$2,'Wall-U'!$A$4:$A$40,'Wall-U'!$E$4:$E$40)*R$13)+(LOOKUP(R$2,'Window-U'!$A$4:$A$40,'Window-U'!$S$4:$S$40)*R$22))*R$61</f>
        <v>1364.0087747364751</v>
      </c>
      <c r="S62" s="171">
        <f>((LOOKUP(S$2,'Ceiling-U'!$A$4:$A$40,'Ceiling-U'!$E$4:$E$40)*S$15)+(LOOKUP(S$2,'Floor-U'!$A$4:$A$40,'Floor-U'!$E$4:$E$40)*S$16)+(LOOKUP(S$2,'Wall-U'!$A$4:$A$40,'Wall-U'!$E$4:$E$40)*S$13)+(LOOKUP(S$2,'Window-U'!$A$4:$A$40,'Window-U'!$S$4:$S$40)*S$22))*S$61</f>
        <v>2093.4809588007029</v>
      </c>
      <c r="T62" s="171">
        <f>((LOOKUP(T$2,'Ceiling-U'!$A$4:$A$40,'Ceiling-U'!$E$4:$E$40)*T$15)+(LOOKUP(T$2,'Floor-U'!$A$4:$A$40,'Floor-U'!$E$4:$E$40)*T$16)+(LOOKUP(T$2,'Wall-U'!$A$4:$A$40,'Wall-U'!$E$4:$E$40)*T$13)+(LOOKUP(T$2,'Window-U'!$A$4:$A$40,'Window-U'!$S$4:$S$40)*T$22))*T$61</f>
        <v>630.63011773578228</v>
      </c>
      <c r="U62" s="171">
        <f>((LOOKUP(U$2,'Ceiling-U'!$A$4:$A$40,'Ceiling-U'!$E$4:$E$40)*U$15)+(LOOKUP(U$2,'Floor-U'!$A$4:$A$40,'Floor-U'!$E$4:$E$40)*U$16)+(LOOKUP(U$2,'Wall-U'!$A$4:$A$40,'Wall-U'!$E$4:$E$40)*U$13)+(LOOKUP(U$2,'Window-U'!$A$4:$A$40,'Window-U'!$S$4:$S$40)*U$22))*U$61</f>
        <v>2289.1662206638439</v>
      </c>
      <c r="V62" s="171">
        <f>((LOOKUP(V$2,'Ceiling-U'!$A$4:$A$40,'Ceiling-U'!$E$4:$E$40)*V$15)+(LOOKUP(V$2,'Floor-U'!$A$4:$A$40,'Floor-U'!$E$4:$E$40)*V$16)+(LOOKUP(V$2,'Wall-U'!$A$4:$A$40,'Wall-U'!$E$4:$E$40)*V$13)+(LOOKUP(V$2,'Window-U'!$A$4:$A$40,'Window-U'!$S$4:$S$40)*V$22))*V$61</f>
        <v>1011.6294162527162</v>
      </c>
      <c r="W62" s="171">
        <f>((LOOKUP(W$2,'Ceiling-U'!$A$4:$A$40,'Ceiling-U'!$E$4:$E$40)*W$15)+(LOOKUP(W$2,'Floor-U'!$A$4:$A$40,'Floor-U'!$E$4:$E$40)*W$16)+(LOOKUP(W$2,'Wall-U'!$A$4:$A$40,'Wall-U'!$E$4:$E$40)*W$13)+(LOOKUP(W$2,'Window-U'!$A$4:$A$40,'Window-U'!$S$4:$S$40)*W$22))*W$61</f>
        <v>924.06038804944831</v>
      </c>
      <c r="X62" s="171">
        <f>((LOOKUP(X$2,'Ceiling-U'!$A$4:$A$40,'Ceiling-U'!$E$4:$E$40)*X$15)+(LOOKUP(X$2,'Floor-U'!$A$4:$A$40,'Floor-U'!$E$4:$E$40)*X$16)+(LOOKUP(X$2,'Wall-U'!$A$4:$A$40,'Wall-U'!$E$4:$E$40)*X$13)+(LOOKUP(X$2,'Window-U'!$A$4:$A$40,'Window-U'!$S$4:$S$40)*X$22))*X$61</f>
        <v>1081.5938636749372</v>
      </c>
      <c r="Y62" s="171">
        <f>((LOOKUP(Y$2,'Ceiling-U'!$A$4:$A$40,'Ceiling-U'!$E$4:$E$40)*Y$15)+(LOOKUP(Y$2,'Floor-U'!$A$4:$A$40,'Floor-U'!$E$4:$E$40)*Y$16)+(LOOKUP(Y$2,'Wall-U'!$A$4:$A$40,'Wall-U'!$E$4:$E$40)*Y$13)+(LOOKUP(Y$2,'Window-U'!$A$4:$A$40,'Window-U'!$S$4:$S$40)*Y$22))*Y$61</f>
        <v>3131.4388208894238</v>
      </c>
      <c r="Z62" s="171">
        <f>((LOOKUP(Z$2,'Ceiling-U'!$A$4:$A$40,'Ceiling-U'!$E$4:$E$40)*Z$15)+(LOOKUP(Z$2,'Floor-U'!$A$4:$A$40,'Floor-U'!$E$4:$E$40)*Z$16)+(LOOKUP(Z$2,'Wall-U'!$A$4:$A$40,'Wall-U'!$E$4:$E$40)*Z$13)+(LOOKUP(Z$2,'Window-U'!$A$4:$A$40,'Window-U'!$S$4:$S$40)*Z$22))*Z$61</f>
        <v>2383.6045997996812</v>
      </c>
      <c r="AA62" s="171">
        <f>((LOOKUP(AA$2,'Ceiling-U'!$A$4:$A$40,'Ceiling-U'!$E$4:$E$40)*AA$15)+(LOOKUP(AA$2,'Floor-U'!$A$4:$A$40,'Floor-U'!$E$4:$E$40)*AA$16)+(LOOKUP(AA$2,'Wall-U'!$A$4:$A$40,'Wall-U'!$E$4:$E$40)*AA$13)+(LOOKUP(AA$2,'Window-U'!$A$4:$A$40,'Window-U'!$S$4:$S$40)*AA$22))*AA$61</f>
        <v>549.20982432046969</v>
      </c>
      <c r="AB62" s="171">
        <f>((LOOKUP(AB$2,'Ceiling-U'!$A$4:$A$40,'Ceiling-U'!$E$4:$E$40)*AB$15)+(LOOKUP(AB$2,'Floor-U'!$A$4:$A$40,'Floor-U'!$E$4:$E$40)*AB$16)+(LOOKUP(AB$2,'Wall-U'!$A$4:$A$40,'Wall-U'!$E$4:$E$40)*AB$13)+(LOOKUP(AB$2,'Window-U'!$A$4:$A$40,'Window-U'!$S$4:$S$40)*AB$22))*AB$61</f>
        <v>1720.8917124354998</v>
      </c>
      <c r="AC62" s="171">
        <f>((LOOKUP(AC$2,'Ceiling-U'!$A$4:$A$40,'Ceiling-U'!$E$4:$E$40)*AC$15)+(LOOKUP(AC$2,'Floor-U'!$A$4:$A$40,'Floor-U'!$E$4:$E$40)*AC$16)+(LOOKUP(AC$2,'Wall-U'!$A$4:$A$40,'Wall-U'!$E$4:$E$40)*AC$13)+(LOOKUP(AC$2,'Window-U'!$A$4:$A$40,'Window-U'!$S$4:$S$40)*AC$22))*AC$61</f>
        <v>2808.7630632239261</v>
      </c>
      <c r="AD62" s="171">
        <f>((LOOKUP(AD$2,'Ceiling-U'!$A$4:$A$40,'Ceiling-U'!$E$4:$E$40)*AD$15)+(LOOKUP(AD$2,'Floor-U'!$A$4:$A$40,'Floor-U'!$E$4:$E$40)*AD$16)+(LOOKUP(AD$2,'Wall-U'!$A$4:$A$40,'Wall-U'!$E$4:$E$40)*AD$13)+(LOOKUP(AD$2,'Window-U'!$A$4:$A$40,'Window-U'!$S$4:$S$40)*AD$22))*AD$61</f>
        <v>1434.9478268850653</v>
      </c>
      <c r="AE62" s="171">
        <f>((LOOKUP(AE$2,'Ceiling-U'!$A$4:$A$40,'Ceiling-U'!$E$4:$E$40)*AE$15)+(LOOKUP(AE$2,'Floor-U'!$A$4:$A$40,'Floor-U'!$E$4:$E$40)*AE$16)+(LOOKUP(AE$2,'Wall-U'!$A$4:$A$40,'Wall-U'!$E$4:$E$40)*AE$13)+(LOOKUP(AE$2,'Window-U'!$A$4:$A$40,'Window-U'!$S$4:$S$40)*AE$22))*AE$61</f>
        <v>539.51308758597906</v>
      </c>
      <c r="AF62" s="171">
        <f>((LOOKUP(AF$2,'Ceiling-U'!$A$4:$A$40,'Ceiling-U'!$E$4:$E$40)*AF$15)+(LOOKUP(AF$2,'Floor-U'!$A$4:$A$40,'Floor-U'!$E$4:$E$40)*AF$16)+(LOOKUP(AF$2,'Wall-U'!$A$4:$A$40,'Wall-U'!$E$4:$E$40)*AF$13)+(LOOKUP(AF$2,'Window-U'!$A$4:$A$40,'Window-U'!$S$4:$S$40)*AF$22))*AF$61</f>
        <v>1315.5580954210936</v>
      </c>
      <c r="AG62" s="171">
        <f>((LOOKUP(AG$2,'Ceiling-U'!$A$4:$A$40,'Ceiling-U'!$E$4:$E$40)*AG$15)+(LOOKUP(AG$2,'Floor-U'!$A$4:$A$40,'Floor-U'!$E$4:$E$40)*AG$16)+(LOOKUP(AG$2,'Wall-U'!$A$4:$A$40,'Wall-U'!$E$4:$E$40)*AG$13)+(LOOKUP(AG$2,'Window-U'!$A$4:$A$40,'Window-U'!$S$4:$S$40)*AG$22))*AG$61</f>
        <v>1818.3065838958578</v>
      </c>
      <c r="AH62" s="171">
        <f>((LOOKUP(AH$2,'Ceiling-U'!$A$4:$A$40,'Ceiling-U'!$E$4:$E$40)*AH$15)+(LOOKUP(AH$2,'Floor-U'!$A$4:$A$40,'Floor-U'!$E$4:$E$40)*AH$16)+(LOOKUP(AH$2,'Wall-U'!$A$4:$A$40,'Wall-U'!$E$4:$E$40)*AH$13)+(LOOKUP(AH$2,'Window-U'!$A$4:$A$40,'Window-U'!$S$4:$S$40)*AH$22))*AH$61</f>
        <v>1667.6265183234668</v>
      </c>
      <c r="AI62" s="171">
        <f>((LOOKUP(AI$2,'Ceiling-U'!$A$4:$A$40,'Ceiling-U'!$E$4:$E$40)*AI$15)+(LOOKUP(AI$2,'Floor-U'!$A$4:$A$40,'Floor-U'!$E$4:$E$40)*AI$16)+(LOOKUP(AI$2,'Wall-U'!$A$4:$A$40,'Wall-U'!$E$4:$E$40)*AI$13)+(LOOKUP(AI$2,'Window-U'!$A$4:$A$40,'Window-U'!$S$4:$S$40)*AI$22))*AI$61</f>
        <v>2691.3755387829028</v>
      </c>
      <c r="AJ62" s="171">
        <f>((LOOKUP(AJ$2,'Ceiling-U'!$A$4:$A$40,'Ceiling-U'!$E$4:$E$40)*AJ$15)+(LOOKUP(AJ$2,'Floor-U'!$A$4:$A$40,'Floor-U'!$E$4:$E$40)*AJ$16)+(LOOKUP(AJ$2,'Wall-U'!$A$4:$A$40,'Wall-U'!$E$4:$E$40)*AJ$13)+(LOOKUP(AJ$2,'Window-U'!$A$4:$A$40,'Window-U'!$S$4:$S$40)*AJ$22))*AJ$61</f>
        <v>1013.6150625663313</v>
      </c>
      <c r="AK62" s="171">
        <f>((LOOKUP(AK$2,'Ceiling-U'!$A$4:$A$40,'Ceiling-U'!$E$4:$E$40)*AK$15)+(LOOKUP(AK$2,'Floor-U'!$A$4:$A$40,'Floor-U'!$E$4:$E$40)*AK$16)+(LOOKUP(AK$2,'Wall-U'!$A$4:$A$40,'Wall-U'!$E$4:$E$40)*AK$13)+(LOOKUP(AK$2,'Window-U'!$A$4:$A$40,'Window-U'!$S$4:$S$40)*AK$22))*AK$61</f>
        <v>1266.0180203028699</v>
      </c>
      <c r="AL62" s="171">
        <f>((LOOKUP(AL$2,'Ceiling-U'!$A$4:$A$40,'Ceiling-U'!$E$4:$E$40)*AL$15)+(LOOKUP(AL$2,'Floor-U'!$A$4:$A$40,'Floor-U'!$E$4:$E$40)*AL$16)+(LOOKUP(AL$2,'Wall-U'!$A$4:$A$40,'Wall-U'!$E$4:$E$40)*AL$13)+(LOOKUP(AL$2,'Window-U'!$A$4:$A$40,'Window-U'!$S$4:$S$40)*AL$22))*AL$61</f>
        <v>1130.9919111392794</v>
      </c>
      <c r="AM62" s="171">
        <f>((LOOKUP(AM$2,'Ceiling-U'!$A$4:$A$40,'Ceiling-U'!$E$4:$E$40)*AM$15)+(LOOKUP(AM$2,'Floor-U'!$A$4:$A$40,'Floor-U'!$E$4:$E$40)*AM$16)+(LOOKUP(AM$2,'Wall-U'!$A$4:$A$40,'Wall-U'!$E$4:$E$40)*AM$13)+(LOOKUP(AM$2,'Window-U'!$A$4:$A$40,'Window-U'!$S$4:$S$40)*AM$22))*AM$61</f>
        <v>1013.6150625663313</v>
      </c>
      <c r="AN62" s="172">
        <f>((LOOKUP(AN$2,'Ceiling-U'!$A$4:$A$40,'Ceiling-U'!$E$4:$E$40)*AN$15)+(LOOKUP(AN$2,'Floor-U'!$A$4:$A$40,'Floor-U'!$E$4:$E$40)*AN$16)+(LOOKUP(AN$2,'Wall-U'!$A$4:$A$40,'Wall-U'!$E$4:$E$40)*AN$13)+(LOOKUP(AN$2,'Window-U'!$A$4:$A$40,'Window-U'!$S$4:$S$40)*AN$22))*AN$61</f>
        <v>1013.6150625663313</v>
      </c>
    </row>
    <row r="63" spans="1:40">
      <c r="A63" s="372"/>
      <c r="B63" s="142" t="s">
        <v>3</v>
      </c>
      <c r="C63" s="131" t="s">
        <v>195</v>
      </c>
      <c r="D63" s="176">
        <f>((LOOKUP(D$2,'Ceiling-U'!$A$4:$A$40,'Ceiling-U'!$F$4:$F$40)*D$15)+(LOOKUP(D$2,'Floor-U'!$A$4:$A$40,'Floor-U'!$F$4:$F$40)*D$16)+(LOOKUP(D$2,'Wall-U'!$A$4:$A$40,'Wall-U'!$F$4:$F$40)*D$13)+(LOOKUP(D$2,'Window-U'!$A$4:$A$40,'Window-U'!$S$4:$S$40)*D$22))*D$61</f>
        <v>1492.3349896193363</v>
      </c>
      <c r="E63" s="177">
        <f>((LOOKUP(E$2,'Ceiling-U'!$A$4:$A$40,'Ceiling-U'!$F$4:$F$40)*E$15)+(LOOKUP(E$2,'Floor-U'!$A$4:$A$40,'Floor-U'!$F$4:$F$40)*E$16)+(LOOKUP(E$2,'Wall-U'!$A$4:$A$40,'Wall-U'!$F$4:$F$40)*E$13)+(LOOKUP(E$2,'Window-U'!$A$4:$A$40,'Window-U'!$S$4:$S$40)*E$22))*E$61</f>
        <v>2048.574347779298</v>
      </c>
      <c r="F63" s="177">
        <f>((LOOKUP(F$2,'Ceiling-U'!$A$4:$A$40,'Ceiling-U'!$F$4:$F$40)*F$15)+(LOOKUP(F$2,'Floor-U'!$A$4:$A$40,'Floor-U'!$F$4:$F$40)*F$16)+(LOOKUP(F$2,'Wall-U'!$A$4:$A$40,'Wall-U'!$F$4:$F$40)*F$13)+(LOOKUP(F$2,'Window-U'!$A$4:$A$40,'Window-U'!$S$4:$S$40)*F$22))*F$61</f>
        <v>1069.3770549999936</v>
      </c>
      <c r="G63" s="177">
        <f>((LOOKUP(G$2,'Ceiling-U'!$A$4:$A$40,'Ceiling-U'!$F$4:$F$40)*G$15)+(LOOKUP(G$2,'Floor-U'!$A$4:$A$40,'Floor-U'!$F$4:$F$40)*G$16)+(LOOKUP(G$2,'Wall-U'!$A$4:$A$40,'Wall-U'!$F$4:$F$40)*G$13)+(LOOKUP(G$2,'Window-U'!$A$4:$A$40,'Window-U'!$S$4:$S$40)*G$22))*G$61</f>
        <v>1546.330620760463</v>
      </c>
      <c r="H63" s="177">
        <f>((LOOKUP(H$2,'Ceiling-U'!$A$4:$A$40,'Ceiling-U'!$F$4:$F$40)*H$15)+(LOOKUP(H$2,'Floor-U'!$A$4:$A$40,'Floor-U'!$F$4:$F$40)*H$16)+(LOOKUP(H$2,'Wall-U'!$A$4:$A$40,'Wall-U'!$F$4:$F$40)*H$13)+(LOOKUP(H$2,'Window-U'!$A$4:$A$40,'Window-U'!$S$4:$S$40)*H$22))*H$61</f>
        <v>2628.2595984802911</v>
      </c>
      <c r="I63" s="177">
        <f>((LOOKUP(I$2,'Ceiling-U'!$A$4:$A$40,'Ceiling-U'!$F$4:$F$40)*I$15)+(LOOKUP(I$2,'Floor-U'!$A$4:$A$40,'Floor-U'!$F$4:$F$40)*I$16)+(LOOKUP(I$2,'Wall-U'!$A$4:$A$40,'Wall-U'!$F$4:$F$40)*I$13)+(LOOKUP(I$2,'Window-U'!$A$4:$A$40,'Window-U'!$S$4:$S$40)*I$22))*I$61</f>
        <v>889.0418890458626</v>
      </c>
      <c r="J63" s="177">
        <f>((LOOKUP(J$2,'Ceiling-U'!$A$4:$A$40,'Ceiling-U'!$F$4:$F$40)*J$15)+(LOOKUP(J$2,'Floor-U'!$A$4:$A$40,'Floor-U'!$F$4:$F$40)*J$16)+(LOOKUP(J$2,'Wall-U'!$A$4:$A$40,'Wall-U'!$F$4:$F$40)*J$13)+(LOOKUP(J$2,'Window-U'!$A$4:$A$40,'Window-U'!$S$4:$S$40)*J$22))*J$61</f>
        <v>1697.3626478568922</v>
      </c>
      <c r="K63" s="177">
        <f>((LOOKUP(K$2,'Ceiling-U'!$A$4:$A$40,'Ceiling-U'!$F$4:$F$40)*K$15)+(LOOKUP(K$2,'Floor-U'!$A$4:$A$40,'Floor-U'!$F$4:$F$40)*K$16)+(LOOKUP(K$2,'Wall-U'!$A$4:$A$40,'Wall-U'!$F$4:$F$40)*K$13)+(LOOKUP(K$2,'Window-U'!$A$4:$A$40,'Window-U'!$S$4:$S$40)*K$22))*K$61</f>
        <v>924.9917194780943</v>
      </c>
      <c r="L63" s="177">
        <f>((LOOKUP(L$2,'Ceiling-U'!$A$4:$A$40,'Ceiling-U'!$F$4:$F$40)*L$15)+(LOOKUP(L$2,'Floor-U'!$A$4:$A$40,'Floor-U'!$F$4:$F$40)*L$16)+(LOOKUP(L$2,'Wall-U'!$A$4:$A$40,'Wall-U'!$F$4:$F$40)*L$13)+(LOOKUP(L$2,'Window-U'!$A$4:$A$40,'Window-U'!$S$4:$S$40)*L$22))*L$61</f>
        <v>469.62214500611503</v>
      </c>
      <c r="M63" s="177">
        <f>((LOOKUP(M$2,'Ceiling-U'!$A$4:$A$40,'Ceiling-U'!$F$4:$F$40)*M$15)+(LOOKUP(M$2,'Floor-U'!$A$4:$A$40,'Floor-U'!$F$4:$F$40)*M$16)+(LOOKUP(M$2,'Wall-U'!$A$4:$A$40,'Wall-U'!$F$4:$F$40)*M$13)+(LOOKUP(M$2,'Window-U'!$A$4:$A$40,'Window-U'!$S$4:$S$40)*M$22))*M$61</f>
        <v>2501.8552672698847</v>
      </c>
      <c r="N63" s="177">
        <f>((LOOKUP(N$2,'Ceiling-U'!$A$4:$A$40,'Ceiling-U'!$F$4:$F$40)*N$15)+(LOOKUP(N$2,'Floor-U'!$A$4:$A$40,'Floor-U'!$F$4:$F$40)*N$16)+(LOOKUP(N$2,'Wall-U'!$A$4:$A$40,'Wall-U'!$F$4:$F$40)*N$13)+(LOOKUP(N$2,'Window-U'!$A$4:$A$40,'Window-U'!$S$4:$S$40)*N$22))*N$61</f>
        <v>543.93037287464949</v>
      </c>
      <c r="O63" s="177">
        <f>((LOOKUP(O$2,'Ceiling-U'!$A$4:$A$40,'Ceiling-U'!$F$4:$F$40)*O$15)+(LOOKUP(O$2,'Floor-U'!$A$4:$A$40,'Floor-U'!$F$4:$F$40)*O$16)+(LOOKUP(O$2,'Wall-U'!$A$4:$A$40,'Wall-U'!$F$4:$F$40)*O$13)+(LOOKUP(O$2,'Window-U'!$A$4:$A$40,'Window-U'!$S$4:$S$40)*O$22))*O$61</f>
        <v>2838.3432182363963</v>
      </c>
      <c r="P63" s="177">
        <f>((LOOKUP(P$2,'Ceiling-U'!$A$4:$A$40,'Ceiling-U'!$F$4:$F$40)*P$15)+(LOOKUP(P$2,'Floor-U'!$A$4:$A$40,'Floor-U'!$F$4:$F$40)*P$16)+(LOOKUP(P$2,'Wall-U'!$A$4:$A$40,'Wall-U'!$F$4:$F$40)*P$13)+(LOOKUP(P$2,'Window-U'!$A$4:$A$40,'Window-U'!$S$4:$S$40)*P$22))*P$61</f>
        <v>1849.5233281105313</v>
      </c>
      <c r="Q63" s="177">
        <f>((LOOKUP(Q$2,'Ceiling-U'!$A$4:$A$40,'Ceiling-U'!$F$4:$F$40)*Q$15)+(LOOKUP(Q$2,'Floor-U'!$A$4:$A$40,'Floor-U'!$F$4:$F$40)*Q$16)+(LOOKUP(Q$2,'Wall-U'!$A$4:$A$40,'Wall-U'!$F$4:$F$40)*Q$13)+(LOOKUP(Q$2,'Window-U'!$A$4:$A$40,'Window-U'!$S$4:$S$40)*Q$22))*Q$61</f>
        <v>1013.7687152685261</v>
      </c>
      <c r="R63" s="177">
        <f>((LOOKUP(R$2,'Ceiling-U'!$A$4:$A$40,'Ceiling-U'!$F$4:$F$40)*R$15)+(LOOKUP(R$2,'Floor-U'!$A$4:$A$40,'Floor-U'!$F$4:$F$40)*R$16)+(LOOKUP(R$2,'Wall-U'!$A$4:$A$40,'Wall-U'!$F$4:$F$40)*R$13)+(LOOKUP(R$2,'Window-U'!$A$4:$A$40,'Window-U'!$S$4:$S$40)*R$22))*R$61</f>
        <v>1364.0087747364751</v>
      </c>
      <c r="S63" s="177">
        <f>((LOOKUP(S$2,'Ceiling-U'!$A$4:$A$40,'Ceiling-U'!$F$4:$F$40)*S$15)+(LOOKUP(S$2,'Floor-U'!$A$4:$A$40,'Floor-U'!$F$4:$F$40)*S$16)+(LOOKUP(S$2,'Wall-U'!$A$4:$A$40,'Wall-U'!$F$4:$F$40)*S$13)+(LOOKUP(S$2,'Window-U'!$A$4:$A$40,'Window-U'!$S$4:$S$40)*S$22))*S$61</f>
        <v>2140.2910306280746</v>
      </c>
      <c r="T63" s="177">
        <f>((LOOKUP(T$2,'Ceiling-U'!$A$4:$A$40,'Ceiling-U'!$F$4:$F$40)*T$15)+(LOOKUP(T$2,'Floor-U'!$A$4:$A$40,'Floor-U'!$F$4:$F$40)*T$16)+(LOOKUP(T$2,'Wall-U'!$A$4:$A$40,'Wall-U'!$F$4:$F$40)*T$13)+(LOOKUP(T$2,'Window-U'!$A$4:$A$40,'Window-U'!$S$4:$S$40)*T$22))*T$61</f>
        <v>548.4090872563595</v>
      </c>
      <c r="U63" s="177">
        <f>((LOOKUP(U$2,'Ceiling-U'!$A$4:$A$40,'Ceiling-U'!$F$4:$F$40)*U$15)+(LOOKUP(U$2,'Floor-U'!$A$4:$A$40,'Floor-U'!$F$4:$F$40)*U$16)+(LOOKUP(U$2,'Wall-U'!$A$4:$A$40,'Wall-U'!$F$4:$F$40)*U$13)+(LOOKUP(U$2,'Window-U'!$A$4:$A$40,'Window-U'!$S$4:$S$40)*U$22))*U$61</f>
        <v>2147.5777757787432</v>
      </c>
      <c r="V63" s="177">
        <f>((LOOKUP(V$2,'Ceiling-U'!$A$4:$A$40,'Ceiling-U'!$F$4:$F$40)*V$15)+(LOOKUP(V$2,'Floor-U'!$A$4:$A$40,'Floor-U'!$F$4:$F$40)*V$16)+(LOOKUP(V$2,'Wall-U'!$A$4:$A$40,'Wall-U'!$F$4:$F$40)*V$13)+(LOOKUP(V$2,'Window-U'!$A$4:$A$40,'Window-U'!$S$4:$S$40)*V$22))*V$61</f>
        <v>1011.6294162527162</v>
      </c>
      <c r="W63" s="177">
        <f>((LOOKUP(W$2,'Ceiling-U'!$A$4:$A$40,'Ceiling-U'!$F$4:$F$40)*W$15)+(LOOKUP(W$2,'Floor-U'!$A$4:$A$40,'Floor-U'!$F$4:$F$40)*W$16)+(LOOKUP(W$2,'Wall-U'!$A$4:$A$40,'Wall-U'!$F$4:$F$40)*W$13)+(LOOKUP(W$2,'Window-U'!$A$4:$A$40,'Window-U'!$S$4:$S$40)*W$22))*W$61</f>
        <v>956.5806727132574</v>
      </c>
      <c r="X63" s="177">
        <f>((LOOKUP(X$2,'Ceiling-U'!$A$4:$A$40,'Ceiling-U'!$F$4:$F$40)*X$15)+(LOOKUP(X$2,'Floor-U'!$A$4:$A$40,'Floor-U'!$F$4:$F$40)*X$16)+(LOOKUP(X$2,'Wall-U'!$A$4:$A$40,'Wall-U'!$F$4:$F$40)*X$13)+(LOOKUP(X$2,'Window-U'!$A$4:$A$40,'Window-U'!$S$4:$S$40)*X$22))*X$61</f>
        <v>1081.5938636749372</v>
      </c>
      <c r="Y63" s="177">
        <f>((LOOKUP(Y$2,'Ceiling-U'!$A$4:$A$40,'Ceiling-U'!$F$4:$F$40)*Y$15)+(LOOKUP(Y$2,'Floor-U'!$A$4:$A$40,'Floor-U'!$F$4:$F$40)*Y$16)+(LOOKUP(Y$2,'Wall-U'!$A$4:$A$40,'Wall-U'!$F$4:$F$40)*Y$13)+(LOOKUP(Y$2,'Window-U'!$A$4:$A$40,'Window-U'!$S$4:$S$40)*Y$22))*Y$61</f>
        <v>3124.6789293248025</v>
      </c>
      <c r="Z63" s="177">
        <f>((LOOKUP(Z$2,'Ceiling-U'!$A$4:$A$40,'Ceiling-U'!$F$4:$F$40)*Z$15)+(LOOKUP(Z$2,'Floor-U'!$A$4:$A$40,'Floor-U'!$F$4:$F$40)*Z$16)+(LOOKUP(Z$2,'Wall-U'!$A$4:$A$40,'Wall-U'!$F$4:$F$40)*Z$13)+(LOOKUP(Z$2,'Window-U'!$A$4:$A$40,'Window-U'!$S$4:$S$40)*Z$22))*Z$61</f>
        <v>1800.4813969454729</v>
      </c>
      <c r="AA63" s="177">
        <f>((LOOKUP(AA$2,'Ceiling-U'!$A$4:$A$40,'Ceiling-U'!$F$4:$F$40)*AA$15)+(LOOKUP(AA$2,'Floor-U'!$A$4:$A$40,'Floor-U'!$F$4:$F$40)*AA$16)+(LOOKUP(AA$2,'Wall-U'!$A$4:$A$40,'Wall-U'!$F$4:$F$40)*AA$13)+(LOOKUP(AA$2,'Window-U'!$A$4:$A$40,'Window-U'!$S$4:$S$40)*AA$22))*AA$61</f>
        <v>549.20982432046969</v>
      </c>
      <c r="AB63" s="177">
        <f>((LOOKUP(AB$2,'Ceiling-U'!$A$4:$A$40,'Ceiling-U'!$F$4:$F$40)*AB$15)+(LOOKUP(AB$2,'Floor-U'!$A$4:$A$40,'Floor-U'!$F$4:$F$40)*AB$16)+(LOOKUP(AB$2,'Wall-U'!$A$4:$A$40,'Wall-U'!$F$4:$F$40)*AB$13)+(LOOKUP(AB$2,'Window-U'!$A$4:$A$40,'Window-U'!$S$4:$S$40)*AB$22))*AB$61</f>
        <v>1173.8572616772626</v>
      </c>
      <c r="AC63" s="177">
        <f>((LOOKUP(AC$2,'Ceiling-U'!$A$4:$A$40,'Ceiling-U'!$F$4:$F$40)*AC$15)+(LOOKUP(AC$2,'Floor-U'!$A$4:$A$40,'Floor-U'!$F$4:$F$40)*AC$16)+(LOOKUP(AC$2,'Wall-U'!$A$4:$A$40,'Wall-U'!$F$4:$F$40)*AC$13)+(LOOKUP(AC$2,'Window-U'!$A$4:$A$40,'Window-U'!$S$4:$S$40)*AC$22))*AC$61</f>
        <v>2535.8951354645624</v>
      </c>
      <c r="AD63" s="177">
        <f>((LOOKUP(AD$2,'Ceiling-U'!$A$4:$A$40,'Ceiling-U'!$F$4:$F$40)*AD$15)+(LOOKUP(AD$2,'Floor-U'!$A$4:$A$40,'Floor-U'!$F$4:$F$40)*AD$16)+(LOOKUP(AD$2,'Wall-U'!$A$4:$A$40,'Wall-U'!$F$4:$F$40)*AD$13)+(LOOKUP(AD$2,'Window-U'!$A$4:$A$40,'Window-U'!$S$4:$S$40)*AD$22))*AD$61</f>
        <v>1272.8046001470702</v>
      </c>
      <c r="AE63" s="177">
        <f>((LOOKUP(AE$2,'Ceiling-U'!$A$4:$A$40,'Ceiling-U'!$F$4:$F$40)*AE$15)+(LOOKUP(AE$2,'Floor-U'!$A$4:$A$40,'Floor-U'!$F$4:$F$40)*AE$16)+(LOOKUP(AE$2,'Wall-U'!$A$4:$A$40,'Wall-U'!$F$4:$F$40)*AE$13)+(LOOKUP(AE$2,'Window-U'!$A$4:$A$40,'Window-U'!$S$4:$S$40)*AE$22))*AE$61</f>
        <v>539.51308758597906</v>
      </c>
      <c r="AF63" s="177">
        <f>((LOOKUP(AF$2,'Ceiling-U'!$A$4:$A$40,'Ceiling-U'!$F$4:$F$40)*AF$15)+(LOOKUP(AF$2,'Floor-U'!$A$4:$A$40,'Floor-U'!$F$4:$F$40)*AF$16)+(LOOKUP(AF$2,'Wall-U'!$A$4:$A$40,'Wall-U'!$F$4:$F$40)*AF$13)+(LOOKUP(AF$2,'Window-U'!$A$4:$A$40,'Window-U'!$S$4:$S$40)*AF$22))*AF$61</f>
        <v>1315.5580954210936</v>
      </c>
      <c r="AG63" s="177">
        <f>((LOOKUP(AG$2,'Ceiling-U'!$A$4:$A$40,'Ceiling-U'!$F$4:$F$40)*AG$15)+(LOOKUP(AG$2,'Floor-U'!$A$4:$A$40,'Floor-U'!$F$4:$F$40)*AG$16)+(LOOKUP(AG$2,'Wall-U'!$A$4:$A$40,'Wall-U'!$F$4:$F$40)*AG$13)+(LOOKUP(AG$2,'Window-U'!$A$4:$A$40,'Window-U'!$S$4:$S$40)*AG$22))*AG$61</f>
        <v>1461.6652671166862</v>
      </c>
      <c r="AH63" s="177">
        <f>((LOOKUP(AH$2,'Ceiling-U'!$A$4:$A$40,'Ceiling-U'!$F$4:$F$40)*AH$15)+(LOOKUP(AH$2,'Floor-U'!$A$4:$A$40,'Floor-U'!$F$4:$F$40)*AH$16)+(LOOKUP(AH$2,'Wall-U'!$A$4:$A$40,'Wall-U'!$F$4:$F$40)*AH$13)+(LOOKUP(AH$2,'Window-U'!$A$4:$A$40,'Window-U'!$S$4:$S$40)*AH$22))*AH$61</f>
        <v>1778.8894166339753</v>
      </c>
      <c r="AI63" s="177">
        <f>((LOOKUP(AI$2,'Ceiling-U'!$A$4:$A$40,'Ceiling-U'!$F$4:$F$40)*AI$15)+(LOOKUP(AI$2,'Floor-U'!$A$4:$A$40,'Floor-U'!$F$4:$F$40)*AI$16)+(LOOKUP(AI$2,'Wall-U'!$A$4:$A$40,'Wall-U'!$F$4:$F$40)*AI$13)+(LOOKUP(AI$2,'Window-U'!$A$4:$A$40,'Window-U'!$S$4:$S$40)*AI$22))*AI$61</f>
        <v>2691.3755387829028</v>
      </c>
      <c r="AJ63" s="177">
        <f>((LOOKUP(AJ$2,'Ceiling-U'!$A$4:$A$40,'Ceiling-U'!$F$4:$F$40)*AJ$15)+(LOOKUP(AJ$2,'Floor-U'!$A$4:$A$40,'Floor-U'!$F$4:$F$40)*AJ$16)+(LOOKUP(AJ$2,'Wall-U'!$A$4:$A$40,'Wall-U'!$F$4:$F$40)*AJ$13)+(LOOKUP(AJ$2,'Window-U'!$A$4:$A$40,'Window-U'!$S$4:$S$40)*AJ$22))*AJ$61</f>
        <v>1013.6150625663313</v>
      </c>
      <c r="AK63" s="177">
        <f>((LOOKUP(AK$2,'Ceiling-U'!$A$4:$A$40,'Ceiling-U'!$F$4:$F$40)*AK$15)+(LOOKUP(AK$2,'Floor-U'!$A$4:$A$40,'Floor-U'!$F$4:$F$40)*AK$16)+(LOOKUP(AK$2,'Wall-U'!$A$4:$A$40,'Wall-U'!$F$4:$F$40)*AK$13)+(LOOKUP(AK$2,'Window-U'!$A$4:$A$40,'Window-U'!$S$4:$S$40)*AK$22))*AK$61</f>
        <v>1266.0180203028699</v>
      </c>
      <c r="AL63" s="177">
        <f>((LOOKUP(AL$2,'Ceiling-U'!$A$4:$A$40,'Ceiling-U'!$F$4:$F$40)*AL$15)+(LOOKUP(AL$2,'Floor-U'!$A$4:$A$40,'Floor-U'!$F$4:$F$40)*AL$16)+(LOOKUP(AL$2,'Wall-U'!$A$4:$A$40,'Wall-U'!$F$4:$F$40)*AL$13)+(LOOKUP(AL$2,'Window-U'!$A$4:$A$40,'Window-U'!$S$4:$S$40)*AL$22))*AL$61</f>
        <v>1130.9919111392794</v>
      </c>
      <c r="AM63" s="177">
        <f>((LOOKUP(AM$2,'Ceiling-U'!$A$4:$A$40,'Ceiling-U'!$F$4:$F$40)*AM$15)+(LOOKUP(AM$2,'Floor-U'!$A$4:$A$40,'Floor-U'!$F$4:$F$40)*AM$16)+(LOOKUP(AM$2,'Wall-U'!$A$4:$A$40,'Wall-U'!$F$4:$F$40)*AM$13)+(LOOKUP(AM$2,'Window-U'!$A$4:$A$40,'Window-U'!$S$4:$S$40)*AM$22))*AM$61</f>
        <v>1013.6150625663313</v>
      </c>
      <c r="AN63" s="178">
        <f>((LOOKUP(AN$2,'Ceiling-U'!$A$4:$A$40,'Ceiling-U'!$F$4:$F$40)*AN$15)+(LOOKUP(AN$2,'Floor-U'!$A$4:$A$40,'Floor-U'!$F$4:$F$40)*AN$16)+(LOOKUP(AN$2,'Wall-U'!$A$4:$A$40,'Wall-U'!$F$4:$F$40)*AN$13)+(LOOKUP(AN$2,'Window-U'!$A$4:$A$40,'Window-U'!$S$4:$S$40)*AN$22))*AN$61</f>
        <v>1013.6150625663313</v>
      </c>
    </row>
    <row r="64" spans="1:40">
      <c r="A64" s="372"/>
      <c r="B64" s="142" t="s">
        <v>4</v>
      </c>
      <c r="C64" s="131" t="s">
        <v>195</v>
      </c>
      <c r="D64" s="176">
        <f>((LOOKUP(D$2,'Ceiling-U'!$A$4:$A$40,'Ceiling-U'!$G$4:$G$40)*D$15)+(LOOKUP(D$2,'Floor-U'!$A$4:$A$40,'Floor-U'!$G$4:$G$40)*D$16)+(LOOKUP(D$2,'Wall-U'!$A$4:$A$40,'Wall-U'!$G$4:$G$40)*D$13)+(LOOKUP(D$2,'Window-U'!$A$4:$A$40,'Window-U'!$S$4:$S$40)*D$22))*D$61</f>
        <v>1105.5128051302311</v>
      </c>
      <c r="E64" s="177">
        <f>((LOOKUP(E$2,'Ceiling-U'!$A$4:$A$40,'Ceiling-U'!$G$4:$G$40)*E$15)+(LOOKUP(E$2,'Floor-U'!$A$4:$A$40,'Floor-U'!$G$4:$G$40)*E$16)+(LOOKUP(E$2,'Wall-U'!$A$4:$A$40,'Wall-U'!$G$4:$G$40)*E$13)+(LOOKUP(E$2,'Window-U'!$A$4:$A$40,'Window-U'!$S$4:$S$40)*E$22))*E$61</f>
        <v>2048.574347779298</v>
      </c>
      <c r="F64" s="177">
        <f>((LOOKUP(F$2,'Ceiling-U'!$A$4:$A$40,'Ceiling-U'!$G$4:$G$40)*F$15)+(LOOKUP(F$2,'Floor-U'!$A$4:$A$40,'Floor-U'!$G$4:$G$40)*F$16)+(LOOKUP(F$2,'Wall-U'!$A$4:$A$40,'Wall-U'!$G$4:$G$40)*F$13)+(LOOKUP(F$2,'Window-U'!$A$4:$A$40,'Window-U'!$S$4:$S$40)*F$22))*F$61</f>
        <v>988.79856820295811</v>
      </c>
      <c r="G64" s="177">
        <f>((LOOKUP(G$2,'Ceiling-U'!$A$4:$A$40,'Ceiling-U'!$G$4:$G$40)*G$15)+(LOOKUP(G$2,'Floor-U'!$A$4:$A$40,'Floor-U'!$G$4:$G$40)*G$16)+(LOOKUP(G$2,'Wall-U'!$A$4:$A$40,'Wall-U'!$G$4:$G$40)*G$13)+(LOOKUP(G$2,'Window-U'!$A$4:$A$40,'Window-U'!$S$4:$S$40)*G$22))*G$61</f>
        <v>1144.4232944679052</v>
      </c>
      <c r="H64" s="177">
        <f>((LOOKUP(H$2,'Ceiling-U'!$A$4:$A$40,'Ceiling-U'!$G$4:$G$40)*H$15)+(LOOKUP(H$2,'Floor-U'!$A$4:$A$40,'Floor-U'!$G$4:$G$40)*H$16)+(LOOKUP(H$2,'Wall-U'!$A$4:$A$40,'Wall-U'!$G$4:$G$40)*H$13)+(LOOKUP(H$2,'Window-U'!$A$4:$A$40,'Window-U'!$S$4:$S$40)*H$22))*H$61</f>
        <v>2457.151532452292</v>
      </c>
      <c r="I64" s="177">
        <f>((LOOKUP(I$2,'Ceiling-U'!$A$4:$A$40,'Ceiling-U'!$G$4:$G$40)*I$15)+(LOOKUP(I$2,'Floor-U'!$A$4:$A$40,'Floor-U'!$G$4:$G$40)*I$16)+(LOOKUP(I$2,'Wall-U'!$A$4:$A$40,'Wall-U'!$G$4:$G$40)*I$13)+(LOOKUP(I$2,'Window-U'!$A$4:$A$40,'Window-U'!$S$4:$S$40)*I$22))*I$61</f>
        <v>889.0418890458626</v>
      </c>
      <c r="J64" s="177">
        <f>((LOOKUP(J$2,'Ceiling-U'!$A$4:$A$40,'Ceiling-U'!$G$4:$G$40)*J$15)+(LOOKUP(J$2,'Floor-U'!$A$4:$A$40,'Floor-U'!$G$4:$G$40)*J$16)+(LOOKUP(J$2,'Wall-U'!$A$4:$A$40,'Wall-U'!$G$4:$G$40)*J$13)+(LOOKUP(J$2,'Window-U'!$A$4:$A$40,'Window-U'!$S$4:$S$40)*J$22))*J$61</f>
        <v>917.58983790742093</v>
      </c>
      <c r="K64" s="177">
        <f>((LOOKUP(K$2,'Ceiling-U'!$A$4:$A$40,'Ceiling-U'!$G$4:$G$40)*K$15)+(LOOKUP(K$2,'Floor-U'!$A$4:$A$40,'Floor-U'!$G$4:$G$40)*K$16)+(LOOKUP(K$2,'Wall-U'!$A$4:$A$40,'Wall-U'!$G$4:$G$40)*K$13)+(LOOKUP(K$2,'Window-U'!$A$4:$A$40,'Window-U'!$S$4:$S$40)*K$22))*K$61</f>
        <v>536.89513765882293</v>
      </c>
      <c r="L64" s="177">
        <f>((LOOKUP(L$2,'Ceiling-U'!$A$4:$A$40,'Ceiling-U'!$G$4:$G$40)*L$15)+(LOOKUP(L$2,'Floor-U'!$A$4:$A$40,'Floor-U'!$G$4:$G$40)*L$16)+(LOOKUP(L$2,'Wall-U'!$A$4:$A$40,'Wall-U'!$G$4:$G$40)*L$13)+(LOOKUP(L$2,'Window-U'!$A$4:$A$40,'Window-U'!$S$4:$S$40)*L$22))*L$61</f>
        <v>352.85762681200129</v>
      </c>
      <c r="M64" s="177">
        <f>((LOOKUP(M$2,'Ceiling-U'!$A$4:$A$40,'Ceiling-U'!$G$4:$G$40)*M$15)+(LOOKUP(M$2,'Floor-U'!$A$4:$A$40,'Floor-U'!$G$4:$G$40)*M$16)+(LOOKUP(M$2,'Wall-U'!$A$4:$A$40,'Wall-U'!$G$4:$G$40)*M$13)+(LOOKUP(M$2,'Window-U'!$A$4:$A$40,'Window-U'!$S$4:$S$40)*M$22))*M$61</f>
        <v>2501.8552672698847</v>
      </c>
      <c r="N64" s="177">
        <f>((LOOKUP(N$2,'Ceiling-U'!$A$4:$A$40,'Ceiling-U'!$G$4:$G$40)*N$15)+(LOOKUP(N$2,'Floor-U'!$A$4:$A$40,'Floor-U'!$G$4:$G$40)*N$16)+(LOOKUP(N$2,'Wall-U'!$A$4:$A$40,'Wall-U'!$G$4:$G$40)*N$13)+(LOOKUP(N$2,'Window-U'!$A$4:$A$40,'Window-U'!$S$4:$S$40)*N$22))*N$61</f>
        <v>419.83056349536969</v>
      </c>
      <c r="O64" s="177">
        <f>((LOOKUP(O$2,'Ceiling-U'!$A$4:$A$40,'Ceiling-U'!$G$4:$G$40)*O$15)+(LOOKUP(O$2,'Floor-U'!$A$4:$A$40,'Floor-U'!$G$4:$G$40)*O$16)+(LOOKUP(O$2,'Wall-U'!$A$4:$A$40,'Wall-U'!$G$4:$G$40)*O$13)+(LOOKUP(O$2,'Window-U'!$A$4:$A$40,'Window-U'!$S$4:$S$40)*O$22))*O$61</f>
        <v>1042.5380786271076</v>
      </c>
      <c r="P64" s="177">
        <f>((LOOKUP(P$2,'Ceiling-U'!$A$4:$A$40,'Ceiling-U'!$G$4:$G$40)*P$15)+(LOOKUP(P$2,'Floor-U'!$A$4:$A$40,'Floor-U'!$G$4:$G$40)*P$16)+(LOOKUP(P$2,'Wall-U'!$A$4:$A$40,'Wall-U'!$G$4:$G$40)*P$13)+(LOOKUP(P$2,'Window-U'!$A$4:$A$40,'Window-U'!$S$4:$S$40)*P$22))*P$61</f>
        <v>1849.5233281105313</v>
      </c>
      <c r="Q64" s="177">
        <f>((LOOKUP(Q$2,'Ceiling-U'!$A$4:$A$40,'Ceiling-U'!$G$4:$G$40)*Q$15)+(LOOKUP(Q$2,'Floor-U'!$A$4:$A$40,'Floor-U'!$G$4:$G$40)*Q$16)+(LOOKUP(Q$2,'Wall-U'!$A$4:$A$40,'Wall-U'!$G$4:$G$40)*Q$13)+(LOOKUP(Q$2,'Window-U'!$A$4:$A$40,'Window-U'!$S$4:$S$40)*Q$22))*Q$61</f>
        <v>945.84864938365956</v>
      </c>
      <c r="R64" s="177">
        <f>((LOOKUP(R$2,'Ceiling-U'!$A$4:$A$40,'Ceiling-U'!$G$4:$G$40)*R$15)+(LOOKUP(R$2,'Floor-U'!$A$4:$A$40,'Floor-U'!$G$4:$G$40)*R$16)+(LOOKUP(R$2,'Wall-U'!$A$4:$A$40,'Wall-U'!$G$4:$G$40)*R$13)+(LOOKUP(R$2,'Window-U'!$A$4:$A$40,'Window-U'!$S$4:$S$40)*R$22))*R$61</f>
        <v>1144.0810998427387</v>
      </c>
      <c r="S64" s="177">
        <f>((LOOKUP(S$2,'Ceiling-U'!$A$4:$A$40,'Ceiling-U'!$G$4:$G$40)*S$15)+(LOOKUP(S$2,'Floor-U'!$A$4:$A$40,'Floor-U'!$G$4:$G$40)*S$16)+(LOOKUP(S$2,'Wall-U'!$A$4:$A$40,'Wall-U'!$G$4:$G$40)*S$13)+(LOOKUP(S$2,'Window-U'!$A$4:$A$40,'Window-U'!$S$4:$S$40)*S$22))*S$61</f>
        <v>1680.4773997371485</v>
      </c>
      <c r="T64" s="177">
        <f>((LOOKUP(T$2,'Ceiling-U'!$A$4:$A$40,'Ceiling-U'!$G$4:$G$40)*T$15)+(LOOKUP(T$2,'Floor-U'!$A$4:$A$40,'Floor-U'!$G$4:$G$40)*T$16)+(LOOKUP(T$2,'Wall-U'!$A$4:$A$40,'Wall-U'!$G$4:$G$40)*T$13)+(LOOKUP(T$2,'Window-U'!$A$4:$A$40,'Window-U'!$S$4:$S$40)*T$22))*T$61</f>
        <v>423.26414711678251</v>
      </c>
      <c r="U64" s="177">
        <f>((LOOKUP(U$2,'Ceiling-U'!$A$4:$A$40,'Ceiling-U'!$G$4:$G$40)*U$15)+(LOOKUP(U$2,'Floor-U'!$A$4:$A$40,'Floor-U'!$G$4:$G$40)*U$16)+(LOOKUP(U$2,'Wall-U'!$A$4:$A$40,'Wall-U'!$G$4:$G$40)*U$13)+(LOOKUP(U$2,'Window-U'!$A$4:$A$40,'Window-U'!$S$4:$S$40)*U$22))*U$61</f>
        <v>2031.3338517637337</v>
      </c>
      <c r="V64" s="177">
        <f>((LOOKUP(V$2,'Ceiling-U'!$A$4:$A$40,'Ceiling-U'!$G$4:$G$40)*V$15)+(LOOKUP(V$2,'Floor-U'!$A$4:$A$40,'Floor-U'!$G$4:$G$40)*V$16)+(LOOKUP(V$2,'Wall-U'!$A$4:$A$40,'Wall-U'!$G$4:$G$40)*V$13)+(LOOKUP(V$2,'Window-U'!$A$4:$A$40,'Window-U'!$S$4:$S$40)*V$22))*V$61</f>
        <v>584.89988126269077</v>
      </c>
      <c r="W64" s="177">
        <f>((LOOKUP(W$2,'Ceiling-U'!$A$4:$A$40,'Ceiling-U'!$G$4:$G$40)*W$15)+(LOOKUP(W$2,'Floor-U'!$A$4:$A$40,'Floor-U'!$G$4:$G$40)*W$16)+(LOOKUP(W$2,'Wall-U'!$A$4:$A$40,'Wall-U'!$G$4:$G$40)*W$13)+(LOOKUP(W$2,'Window-U'!$A$4:$A$40,'Window-U'!$S$4:$S$40)*W$22))*W$61</f>
        <v>440.48362555401889</v>
      </c>
      <c r="X64" s="177">
        <f>((LOOKUP(X$2,'Ceiling-U'!$A$4:$A$40,'Ceiling-U'!$G$4:$G$40)*X$15)+(LOOKUP(X$2,'Floor-U'!$A$4:$A$40,'Floor-U'!$G$4:$G$40)*X$16)+(LOOKUP(X$2,'Wall-U'!$A$4:$A$40,'Wall-U'!$G$4:$G$40)*X$13)+(LOOKUP(X$2,'Window-U'!$A$4:$A$40,'Window-U'!$S$4:$S$40)*X$22))*X$61</f>
        <v>979.63229427598503</v>
      </c>
      <c r="Y64" s="177">
        <f>((LOOKUP(Y$2,'Ceiling-U'!$A$4:$A$40,'Ceiling-U'!$G$4:$G$40)*Y$15)+(LOOKUP(Y$2,'Floor-U'!$A$4:$A$40,'Floor-U'!$G$4:$G$40)*Y$16)+(LOOKUP(Y$2,'Wall-U'!$A$4:$A$40,'Wall-U'!$G$4:$G$40)*Y$13)+(LOOKUP(Y$2,'Window-U'!$A$4:$A$40,'Window-U'!$S$4:$S$40)*Y$22))*Y$61</f>
        <v>2572.1577430765801</v>
      </c>
      <c r="Z64" s="177">
        <f>((LOOKUP(Z$2,'Ceiling-U'!$A$4:$A$40,'Ceiling-U'!$G$4:$G$40)*Z$15)+(LOOKUP(Z$2,'Floor-U'!$A$4:$A$40,'Floor-U'!$G$4:$G$40)*Z$16)+(LOOKUP(Z$2,'Wall-U'!$A$4:$A$40,'Wall-U'!$G$4:$G$40)*Z$13)+(LOOKUP(Z$2,'Window-U'!$A$4:$A$40,'Window-U'!$S$4:$S$40)*Z$22))*Z$61</f>
        <v>1708.1247853310954</v>
      </c>
      <c r="AA64" s="177">
        <f>((LOOKUP(AA$2,'Ceiling-U'!$A$4:$A$40,'Ceiling-U'!$G$4:$G$40)*AA$15)+(LOOKUP(AA$2,'Floor-U'!$A$4:$A$40,'Floor-U'!$G$4:$G$40)*AA$16)+(LOOKUP(AA$2,'Wall-U'!$A$4:$A$40,'Wall-U'!$G$4:$G$40)*AA$13)+(LOOKUP(AA$2,'Window-U'!$A$4:$A$40,'Window-U'!$S$4:$S$40)*AA$22))*AA$61</f>
        <v>310.46086774624825</v>
      </c>
      <c r="AB64" s="177">
        <f>((LOOKUP(AB$2,'Ceiling-U'!$A$4:$A$40,'Ceiling-U'!$G$4:$G$40)*AB$15)+(LOOKUP(AB$2,'Floor-U'!$A$4:$A$40,'Floor-U'!$G$4:$G$40)*AB$16)+(LOOKUP(AB$2,'Wall-U'!$A$4:$A$40,'Wall-U'!$G$4:$G$40)*AB$13)+(LOOKUP(AB$2,'Window-U'!$A$4:$A$40,'Window-U'!$S$4:$S$40)*AB$22))*AB$61</f>
        <v>778.21369461679706</v>
      </c>
      <c r="AC64" s="177">
        <f>((LOOKUP(AC$2,'Ceiling-U'!$A$4:$A$40,'Ceiling-U'!$G$4:$G$40)*AC$15)+(LOOKUP(AC$2,'Floor-U'!$A$4:$A$40,'Floor-U'!$G$4:$G$40)*AC$16)+(LOOKUP(AC$2,'Wall-U'!$A$4:$A$40,'Wall-U'!$G$4:$G$40)*AC$13)+(LOOKUP(AC$2,'Window-U'!$A$4:$A$40,'Window-U'!$S$4:$S$40)*AC$22))*AC$61</f>
        <v>2468.6074813771033</v>
      </c>
      <c r="AD64" s="177">
        <f>((LOOKUP(AD$2,'Ceiling-U'!$A$4:$A$40,'Ceiling-U'!$G$4:$G$40)*AD$15)+(LOOKUP(AD$2,'Floor-U'!$A$4:$A$40,'Floor-U'!$G$4:$G$40)*AD$16)+(LOOKUP(AD$2,'Wall-U'!$A$4:$A$40,'Wall-U'!$G$4:$G$40)*AD$13)+(LOOKUP(AD$2,'Window-U'!$A$4:$A$40,'Window-U'!$S$4:$S$40)*AD$22))*AD$61</f>
        <v>1272.8046001470702</v>
      </c>
      <c r="AE64" s="177">
        <f>((LOOKUP(AE$2,'Ceiling-U'!$A$4:$A$40,'Ceiling-U'!$G$4:$G$40)*AE$15)+(LOOKUP(AE$2,'Floor-U'!$A$4:$A$40,'Floor-U'!$G$4:$G$40)*AE$16)+(LOOKUP(AE$2,'Wall-U'!$A$4:$A$40,'Wall-U'!$G$4:$G$40)*AE$13)+(LOOKUP(AE$2,'Window-U'!$A$4:$A$40,'Window-U'!$S$4:$S$40)*AE$22))*AE$61</f>
        <v>305.22254037812309</v>
      </c>
      <c r="AF64" s="177">
        <f>((LOOKUP(AF$2,'Ceiling-U'!$A$4:$A$40,'Ceiling-U'!$G$4:$G$40)*AF$15)+(LOOKUP(AF$2,'Floor-U'!$A$4:$A$40,'Floor-U'!$G$4:$G$40)*AF$16)+(LOOKUP(AF$2,'Wall-U'!$A$4:$A$40,'Wall-U'!$G$4:$G$40)*AF$13)+(LOOKUP(AF$2,'Window-U'!$A$4:$A$40,'Window-U'!$S$4:$S$40)*AF$22))*AF$61</f>
        <v>1182.8714712465207</v>
      </c>
      <c r="AG64" s="177">
        <f>((LOOKUP(AG$2,'Ceiling-U'!$A$4:$A$40,'Ceiling-U'!$G$4:$G$40)*AG$15)+(LOOKUP(AG$2,'Floor-U'!$A$4:$A$40,'Floor-U'!$G$4:$G$40)*AG$16)+(LOOKUP(AG$2,'Wall-U'!$A$4:$A$40,'Wall-U'!$G$4:$G$40)*AG$13)+(LOOKUP(AG$2,'Window-U'!$A$4:$A$40,'Window-U'!$S$4:$S$40)*AG$22))*AG$61</f>
        <v>1461.6652671166862</v>
      </c>
      <c r="AH64" s="177">
        <f>((LOOKUP(AH$2,'Ceiling-U'!$A$4:$A$40,'Ceiling-U'!$G$4:$G$40)*AH$15)+(LOOKUP(AH$2,'Floor-U'!$A$4:$A$40,'Floor-U'!$G$4:$G$40)*AH$16)+(LOOKUP(AH$2,'Wall-U'!$A$4:$A$40,'Wall-U'!$G$4:$G$40)*AH$13)+(LOOKUP(AH$2,'Window-U'!$A$4:$A$40,'Window-U'!$S$4:$S$40)*AH$22))*AH$61</f>
        <v>1272.7879535567704</v>
      </c>
      <c r="AI64" s="177">
        <f>((LOOKUP(AI$2,'Ceiling-U'!$A$4:$A$40,'Ceiling-U'!$G$4:$G$40)*AI$15)+(LOOKUP(AI$2,'Floor-U'!$A$4:$A$40,'Floor-U'!$G$4:$G$40)*AI$16)+(LOOKUP(AI$2,'Wall-U'!$A$4:$A$40,'Wall-U'!$G$4:$G$40)*AI$13)+(LOOKUP(AI$2,'Window-U'!$A$4:$A$40,'Window-U'!$S$4:$S$40)*AI$22))*AI$61</f>
        <v>2691.3755387829028</v>
      </c>
      <c r="AJ64" s="177">
        <f>((LOOKUP(AJ$2,'Ceiling-U'!$A$4:$A$40,'Ceiling-U'!$G$4:$G$40)*AJ$15)+(LOOKUP(AJ$2,'Floor-U'!$A$4:$A$40,'Floor-U'!$G$4:$G$40)*AJ$16)+(LOOKUP(AJ$2,'Wall-U'!$A$4:$A$40,'Wall-U'!$G$4:$G$40)*AJ$13)+(LOOKUP(AJ$2,'Window-U'!$A$4:$A$40,'Window-U'!$S$4:$S$40)*AJ$22))*AJ$61</f>
        <v>1013.6150625663313</v>
      </c>
      <c r="AK64" s="177">
        <f>((LOOKUP(AK$2,'Ceiling-U'!$A$4:$A$40,'Ceiling-U'!$G$4:$G$40)*AK$15)+(LOOKUP(AK$2,'Floor-U'!$A$4:$A$40,'Floor-U'!$G$4:$G$40)*AK$16)+(LOOKUP(AK$2,'Wall-U'!$A$4:$A$40,'Wall-U'!$G$4:$G$40)*AK$13)+(LOOKUP(AK$2,'Window-U'!$A$4:$A$40,'Window-U'!$S$4:$S$40)*AK$22))*AK$61</f>
        <v>1266.0180203028699</v>
      </c>
      <c r="AL64" s="177">
        <f>((LOOKUP(AL$2,'Ceiling-U'!$A$4:$A$40,'Ceiling-U'!$G$4:$G$40)*AL$15)+(LOOKUP(AL$2,'Floor-U'!$A$4:$A$40,'Floor-U'!$G$4:$G$40)*AL$16)+(LOOKUP(AL$2,'Wall-U'!$A$4:$A$40,'Wall-U'!$G$4:$G$40)*AL$13)+(LOOKUP(AL$2,'Window-U'!$A$4:$A$40,'Window-U'!$S$4:$S$40)*AL$22))*AL$61</f>
        <v>1045.5383187408013</v>
      </c>
      <c r="AM64" s="177">
        <f>((LOOKUP(AM$2,'Ceiling-U'!$A$4:$A$40,'Ceiling-U'!$G$4:$G$40)*AM$15)+(LOOKUP(AM$2,'Floor-U'!$A$4:$A$40,'Floor-U'!$G$4:$G$40)*AM$16)+(LOOKUP(AM$2,'Wall-U'!$A$4:$A$40,'Wall-U'!$G$4:$G$40)*AM$13)+(LOOKUP(AM$2,'Window-U'!$A$4:$A$40,'Window-U'!$S$4:$S$40)*AM$22))*AM$61</f>
        <v>1013.6150625663313</v>
      </c>
      <c r="AN64" s="178">
        <f>((LOOKUP(AN$2,'Ceiling-U'!$A$4:$A$40,'Ceiling-U'!$G$4:$G$40)*AN$15)+(LOOKUP(AN$2,'Floor-U'!$A$4:$A$40,'Floor-U'!$G$4:$G$40)*AN$16)+(LOOKUP(AN$2,'Wall-U'!$A$4:$A$40,'Wall-U'!$G$4:$G$40)*AN$13)+(LOOKUP(AN$2,'Window-U'!$A$4:$A$40,'Window-U'!$S$4:$S$40)*AN$22))*AN$61</f>
        <v>1013.6150625663313</v>
      </c>
    </row>
    <row r="65" spans="1:40">
      <c r="A65" s="372"/>
      <c r="B65" s="142" t="s">
        <v>5</v>
      </c>
      <c r="C65" s="131" t="s">
        <v>195</v>
      </c>
      <c r="D65" s="176">
        <f>((LOOKUP(D$2,'Ceiling-U'!$A$4:$A$40,'Ceiling-U'!$H$4:$H$40)*D$15)+(LOOKUP(D$2,'Floor-U'!$A$4:$A$40,'Floor-U'!$H$4:$H$40)*D$16)+(LOOKUP(D$2,'Wall-U'!$A$4:$A$40,'Wall-U'!$H$4:$H$40)*D$13)+(LOOKUP(D$2,'Window-U'!$A$4:$A$40,'Window-U'!$S$4:$S$40)*D$22))*D$61</f>
        <v>694.56035518518399</v>
      </c>
      <c r="E65" s="177">
        <f>((LOOKUP(E$2,'Ceiling-U'!$A$4:$A$40,'Ceiling-U'!$H$4:$H$40)*E$15)+(LOOKUP(E$2,'Floor-U'!$A$4:$A$40,'Floor-U'!$H$4:$H$40)*E$16)+(LOOKUP(E$2,'Wall-U'!$A$4:$A$40,'Wall-U'!$H$4:$H$40)*E$13)+(LOOKUP(E$2,'Window-U'!$A$4:$A$40,'Window-U'!$S$4:$S$40)*E$22))*E$61</f>
        <v>1655.3900126659801</v>
      </c>
      <c r="F65" s="177">
        <f>((LOOKUP(F$2,'Ceiling-U'!$A$4:$A$40,'Ceiling-U'!$H$4:$H$40)*F$15)+(LOOKUP(F$2,'Floor-U'!$A$4:$A$40,'Floor-U'!$H$4:$H$40)*F$16)+(LOOKUP(F$2,'Wall-U'!$A$4:$A$40,'Wall-U'!$H$4:$H$40)*F$13)+(LOOKUP(F$2,'Window-U'!$A$4:$A$40,'Window-U'!$S$4:$S$40)*F$22))*F$61</f>
        <v>808.36843434395553</v>
      </c>
      <c r="G65" s="177">
        <f>((LOOKUP(G$2,'Ceiling-U'!$A$4:$A$40,'Ceiling-U'!$H$4:$H$40)*G$15)+(LOOKUP(G$2,'Floor-U'!$A$4:$A$40,'Floor-U'!$H$4:$H$40)*G$16)+(LOOKUP(G$2,'Wall-U'!$A$4:$A$40,'Wall-U'!$H$4:$H$40)*G$13)+(LOOKUP(G$2,'Window-U'!$A$4:$A$40,'Window-U'!$S$4:$S$40)*G$22))*G$61</f>
        <v>718.13030511649447</v>
      </c>
      <c r="H65" s="177">
        <f>((LOOKUP(H$2,'Ceiling-U'!$A$4:$A$40,'Ceiling-U'!$H$4:$H$40)*H$15)+(LOOKUP(H$2,'Floor-U'!$A$4:$A$40,'Floor-U'!$H$4:$H$40)*H$16)+(LOOKUP(H$2,'Wall-U'!$A$4:$A$40,'Wall-U'!$H$4:$H$40)*H$13)+(LOOKUP(H$2,'Window-U'!$A$4:$A$40,'Window-U'!$S$4:$S$40)*H$22))*H$61</f>
        <v>2349.6620168138843</v>
      </c>
      <c r="I65" s="177">
        <f>((LOOKUP(I$2,'Ceiling-U'!$A$4:$A$40,'Ceiling-U'!$H$4:$H$40)*I$15)+(LOOKUP(I$2,'Floor-U'!$A$4:$A$40,'Floor-U'!$H$4:$H$40)*I$16)+(LOOKUP(I$2,'Wall-U'!$A$4:$A$40,'Wall-U'!$H$4:$H$40)*I$13)+(LOOKUP(I$2,'Window-U'!$A$4:$A$40,'Window-U'!$S$4:$S$40)*I$22))*I$61</f>
        <v>753.81804357968133</v>
      </c>
      <c r="J65" s="177">
        <f>((LOOKUP(J$2,'Ceiling-U'!$A$4:$A$40,'Ceiling-U'!$H$4:$H$40)*J$15)+(LOOKUP(J$2,'Floor-U'!$A$4:$A$40,'Floor-U'!$H$4:$H$40)*J$16)+(LOOKUP(J$2,'Wall-U'!$A$4:$A$40,'Wall-U'!$H$4:$H$40)*J$13)+(LOOKUP(J$2,'Window-U'!$A$4:$A$40,'Window-U'!$S$4:$S$40)*J$22))*J$61</f>
        <v>651.26906142644202</v>
      </c>
      <c r="K65" s="177">
        <f>((LOOKUP(K$2,'Ceiling-U'!$A$4:$A$40,'Ceiling-U'!$H$4:$H$40)*K$15)+(LOOKUP(K$2,'Floor-U'!$A$4:$A$40,'Floor-U'!$H$4:$H$40)*K$16)+(LOOKUP(K$2,'Wall-U'!$A$4:$A$40,'Wall-U'!$H$4:$H$40)*K$13)+(LOOKUP(K$2,'Window-U'!$A$4:$A$40,'Window-U'!$S$4:$S$40)*K$22))*K$61</f>
        <v>417.36842920466506</v>
      </c>
      <c r="L65" s="177">
        <f>((LOOKUP(L$2,'Ceiling-U'!$A$4:$A$40,'Ceiling-U'!$H$4:$H$40)*L$15)+(LOOKUP(L$2,'Floor-U'!$A$4:$A$40,'Floor-U'!$H$4:$H$40)*L$16)+(LOOKUP(L$2,'Wall-U'!$A$4:$A$40,'Wall-U'!$H$4:$H$40)*L$13)+(LOOKUP(L$2,'Window-U'!$A$4:$A$40,'Window-U'!$S$4:$S$40)*L$22))*L$61</f>
        <v>268.40141474991174</v>
      </c>
      <c r="M65" s="177">
        <f>((LOOKUP(M$2,'Ceiling-U'!$A$4:$A$40,'Ceiling-U'!$H$4:$H$40)*M$15)+(LOOKUP(M$2,'Floor-U'!$A$4:$A$40,'Floor-U'!$H$4:$H$40)*M$16)+(LOOKUP(M$2,'Wall-U'!$A$4:$A$40,'Wall-U'!$H$4:$H$40)*M$13)+(LOOKUP(M$2,'Window-U'!$A$4:$A$40,'Window-U'!$S$4:$S$40)*M$22))*M$61</f>
        <v>1524.663249134991</v>
      </c>
      <c r="N65" s="177">
        <f>((LOOKUP(N$2,'Ceiling-U'!$A$4:$A$40,'Ceiling-U'!$H$4:$H$40)*N$15)+(LOOKUP(N$2,'Floor-U'!$A$4:$A$40,'Floor-U'!$H$4:$H$40)*N$16)+(LOOKUP(N$2,'Wall-U'!$A$4:$A$40,'Wall-U'!$H$4:$H$40)*N$13)+(LOOKUP(N$2,'Window-U'!$A$4:$A$40,'Window-U'!$S$4:$S$40)*N$22))*N$61</f>
        <v>331.21032628859291</v>
      </c>
      <c r="O65" s="177">
        <f>((LOOKUP(O$2,'Ceiling-U'!$A$4:$A$40,'Ceiling-U'!$H$4:$H$40)*O$15)+(LOOKUP(O$2,'Floor-U'!$A$4:$A$40,'Floor-U'!$H$4:$H$40)*O$16)+(LOOKUP(O$2,'Wall-U'!$A$4:$A$40,'Wall-U'!$H$4:$H$40)*O$13)+(LOOKUP(O$2,'Window-U'!$A$4:$A$40,'Window-U'!$S$4:$S$40)*O$22))*O$61</f>
        <v>856.98411415878604</v>
      </c>
      <c r="P65" s="177">
        <f>((LOOKUP(P$2,'Ceiling-U'!$A$4:$A$40,'Ceiling-U'!$H$4:$H$40)*P$15)+(LOOKUP(P$2,'Floor-U'!$A$4:$A$40,'Floor-U'!$H$4:$H$40)*P$16)+(LOOKUP(P$2,'Wall-U'!$A$4:$A$40,'Wall-U'!$H$4:$H$40)*P$13)+(LOOKUP(P$2,'Window-U'!$A$4:$A$40,'Window-U'!$S$4:$S$40)*P$22))*P$61</f>
        <v>1780.0892123504284</v>
      </c>
      <c r="Q65" s="177">
        <f>((LOOKUP(Q$2,'Ceiling-U'!$A$4:$A$40,'Ceiling-U'!$H$4:$H$40)*Q$15)+(LOOKUP(Q$2,'Floor-U'!$A$4:$A$40,'Floor-U'!$H$4:$H$40)*Q$16)+(LOOKUP(Q$2,'Wall-U'!$A$4:$A$40,'Wall-U'!$H$4:$H$40)*Q$13)+(LOOKUP(Q$2,'Window-U'!$A$4:$A$40,'Window-U'!$S$4:$S$40)*Q$22))*Q$61</f>
        <v>945.84864938365956</v>
      </c>
      <c r="R65" s="177">
        <f>((LOOKUP(R$2,'Ceiling-U'!$A$4:$A$40,'Ceiling-U'!$H$4:$H$40)*R$15)+(LOOKUP(R$2,'Floor-U'!$A$4:$A$40,'Floor-U'!$H$4:$H$40)*R$16)+(LOOKUP(R$2,'Wall-U'!$A$4:$A$40,'Wall-U'!$H$4:$H$40)*R$13)+(LOOKUP(R$2,'Window-U'!$A$4:$A$40,'Window-U'!$S$4:$S$40)*R$22))*R$61</f>
        <v>777.53497501984441</v>
      </c>
      <c r="S65" s="177">
        <f>((LOOKUP(S$2,'Ceiling-U'!$A$4:$A$40,'Ceiling-U'!$H$4:$H$40)*S$15)+(LOOKUP(S$2,'Floor-U'!$A$4:$A$40,'Floor-U'!$H$4:$H$40)*S$16)+(LOOKUP(S$2,'Wall-U'!$A$4:$A$40,'Wall-U'!$H$4:$H$40)*S$13)+(LOOKUP(S$2,'Window-U'!$A$4:$A$40,'Window-U'!$S$4:$S$40)*S$22))*S$61</f>
        <v>969.43608207929594</v>
      </c>
      <c r="T65" s="177">
        <f>((LOOKUP(T$2,'Ceiling-U'!$A$4:$A$40,'Ceiling-U'!$H$4:$H$40)*T$15)+(LOOKUP(T$2,'Floor-U'!$A$4:$A$40,'Floor-U'!$H$4:$H$40)*T$16)+(LOOKUP(T$2,'Wall-U'!$A$4:$A$40,'Wall-U'!$H$4:$H$40)*T$13)+(LOOKUP(T$2,'Window-U'!$A$4:$A$40,'Window-U'!$S$4:$S$40)*T$22))*T$61</f>
        <v>333.92143941088557</v>
      </c>
      <c r="U65" s="177">
        <f>((LOOKUP(U$2,'Ceiling-U'!$A$4:$A$40,'Ceiling-U'!$H$4:$H$40)*U$15)+(LOOKUP(U$2,'Floor-U'!$A$4:$A$40,'Floor-U'!$H$4:$H$40)*U$16)+(LOOKUP(U$2,'Wall-U'!$A$4:$A$40,'Wall-U'!$H$4:$H$40)*U$13)+(LOOKUP(U$2,'Window-U'!$A$4:$A$40,'Window-U'!$S$4:$S$40)*U$22))*U$61</f>
        <v>1573.3559673898571</v>
      </c>
      <c r="V65" s="177">
        <f>((LOOKUP(V$2,'Ceiling-U'!$A$4:$A$40,'Ceiling-U'!$H$4:$H$40)*V$15)+(LOOKUP(V$2,'Floor-U'!$A$4:$A$40,'Floor-U'!$H$4:$H$40)*V$16)+(LOOKUP(V$2,'Wall-U'!$A$4:$A$40,'Wall-U'!$H$4:$H$40)*V$13)+(LOOKUP(V$2,'Window-U'!$A$4:$A$40,'Window-U'!$S$4:$S$40)*V$22))*V$61</f>
        <v>584.89988126269077</v>
      </c>
      <c r="W65" s="177">
        <f>((LOOKUP(W$2,'Ceiling-U'!$A$4:$A$40,'Ceiling-U'!$H$4:$H$40)*W$15)+(LOOKUP(W$2,'Floor-U'!$A$4:$A$40,'Floor-U'!$H$4:$H$40)*W$16)+(LOOKUP(W$2,'Wall-U'!$A$4:$A$40,'Wall-U'!$H$4:$H$40)*W$13)+(LOOKUP(W$2,'Window-U'!$A$4:$A$40,'Window-U'!$S$4:$S$40)*W$22))*W$61</f>
        <v>381.7966753693583</v>
      </c>
      <c r="X65" s="177">
        <f>((LOOKUP(X$2,'Ceiling-U'!$A$4:$A$40,'Ceiling-U'!$H$4:$H$40)*X$15)+(LOOKUP(X$2,'Floor-U'!$A$4:$A$40,'Floor-U'!$H$4:$H$40)*X$16)+(LOOKUP(X$2,'Wall-U'!$A$4:$A$40,'Wall-U'!$H$4:$H$40)*X$13)+(LOOKUP(X$2,'Window-U'!$A$4:$A$40,'Window-U'!$S$4:$S$40)*X$22))*X$61</f>
        <v>491.15150762393193</v>
      </c>
      <c r="Y65" s="177">
        <f>((LOOKUP(Y$2,'Ceiling-U'!$A$4:$A$40,'Ceiling-U'!$H$4:$H$40)*Y$15)+(LOOKUP(Y$2,'Floor-U'!$A$4:$A$40,'Floor-U'!$H$4:$H$40)*Y$16)+(LOOKUP(Y$2,'Wall-U'!$A$4:$A$40,'Wall-U'!$H$4:$H$40)*Y$13)+(LOOKUP(Y$2,'Window-U'!$A$4:$A$40,'Window-U'!$S$4:$S$40)*Y$22))*Y$61</f>
        <v>2251.7533651914318</v>
      </c>
      <c r="Z65" s="177">
        <f>((LOOKUP(Z$2,'Ceiling-U'!$A$4:$A$40,'Ceiling-U'!$H$4:$H$40)*Z$15)+(LOOKUP(Z$2,'Floor-U'!$A$4:$A$40,'Floor-U'!$H$4:$H$40)*Z$16)+(LOOKUP(Z$2,'Wall-U'!$A$4:$A$40,'Wall-U'!$H$4:$H$40)*Z$13)+(LOOKUP(Z$2,'Window-U'!$A$4:$A$40,'Window-U'!$S$4:$S$40)*Z$22))*Z$61</f>
        <v>960.47046059857746</v>
      </c>
      <c r="AA65" s="177">
        <f>((LOOKUP(AA$2,'Ceiling-U'!$A$4:$A$40,'Ceiling-U'!$H$4:$H$40)*AA$15)+(LOOKUP(AA$2,'Floor-U'!$A$4:$A$40,'Floor-U'!$H$4:$H$40)*AA$16)+(LOOKUP(AA$2,'Wall-U'!$A$4:$A$40,'Wall-U'!$H$4:$H$40)*AA$13)+(LOOKUP(AA$2,'Window-U'!$A$4:$A$40,'Window-U'!$S$4:$S$40)*AA$22))*AA$61</f>
        <v>310.46086774624825</v>
      </c>
      <c r="AB65" s="177">
        <f>((LOOKUP(AB$2,'Ceiling-U'!$A$4:$A$40,'Ceiling-U'!$H$4:$H$40)*AB$15)+(LOOKUP(AB$2,'Floor-U'!$A$4:$A$40,'Floor-U'!$H$4:$H$40)*AB$16)+(LOOKUP(AB$2,'Wall-U'!$A$4:$A$40,'Wall-U'!$H$4:$H$40)*AB$13)+(LOOKUP(AB$2,'Window-U'!$A$4:$A$40,'Window-U'!$S$4:$S$40)*AB$22))*AB$61</f>
        <v>778.21369461679706</v>
      </c>
      <c r="AC65" s="177">
        <f>((LOOKUP(AC$2,'Ceiling-U'!$A$4:$A$40,'Ceiling-U'!$H$4:$H$40)*AC$15)+(LOOKUP(AC$2,'Floor-U'!$A$4:$A$40,'Floor-U'!$H$4:$H$40)*AC$16)+(LOOKUP(AC$2,'Wall-U'!$A$4:$A$40,'Wall-U'!$H$4:$H$40)*AC$13)+(LOOKUP(AC$2,'Window-U'!$A$4:$A$40,'Window-U'!$S$4:$S$40)*AC$22))*AC$61</f>
        <v>2380.3900687815012</v>
      </c>
      <c r="AD65" s="177">
        <f>((LOOKUP(AD$2,'Ceiling-U'!$A$4:$A$40,'Ceiling-U'!$H$4:$H$40)*AD$15)+(LOOKUP(AD$2,'Floor-U'!$A$4:$A$40,'Floor-U'!$H$4:$H$40)*AD$16)+(LOOKUP(AD$2,'Wall-U'!$A$4:$A$40,'Wall-U'!$H$4:$H$40)*AD$13)+(LOOKUP(AD$2,'Window-U'!$A$4:$A$40,'Window-U'!$S$4:$S$40)*AD$22))*AD$61</f>
        <v>1048.8844517609996</v>
      </c>
      <c r="AE65" s="177">
        <f>((LOOKUP(AE$2,'Ceiling-U'!$A$4:$A$40,'Ceiling-U'!$H$4:$H$40)*AE$15)+(LOOKUP(AE$2,'Floor-U'!$A$4:$A$40,'Floor-U'!$H$4:$H$40)*AE$16)+(LOOKUP(AE$2,'Wall-U'!$A$4:$A$40,'Wall-U'!$H$4:$H$40)*AE$13)+(LOOKUP(AE$2,'Window-U'!$A$4:$A$40,'Window-U'!$S$4:$S$40)*AE$22))*AE$61</f>
        <v>305.22254037812309</v>
      </c>
      <c r="AF65" s="177">
        <f>((LOOKUP(AF$2,'Ceiling-U'!$A$4:$A$40,'Ceiling-U'!$H$4:$H$40)*AF$15)+(LOOKUP(AF$2,'Floor-U'!$A$4:$A$40,'Floor-U'!$H$4:$H$40)*AF$16)+(LOOKUP(AF$2,'Wall-U'!$A$4:$A$40,'Wall-U'!$H$4:$H$40)*AF$13)+(LOOKUP(AF$2,'Window-U'!$A$4:$A$40,'Window-U'!$S$4:$S$40)*AF$22))*AF$61</f>
        <v>890.47552721309955</v>
      </c>
      <c r="AG65" s="177">
        <f>((LOOKUP(AG$2,'Ceiling-U'!$A$4:$A$40,'Ceiling-U'!$H$4:$H$40)*AG$15)+(LOOKUP(AG$2,'Floor-U'!$A$4:$A$40,'Floor-U'!$H$4:$H$40)*AG$16)+(LOOKUP(AG$2,'Wall-U'!$A$4:$A$40,'Wall-U'!$H$4:$H$40)*AG$13)+(LOOKUP(AG$2,'Window-U'!$A$4:$A$40,'Window-U'!$S$4:$S$40)*AG$22))*AG$61</f>
        <v>1232.7728715675635</v>
      </c>
      <c r="AH65" s="177">
        <f>((LOOKUP(AH$2,'Ceiling-U'!$A$4:$A$40,'Ceiling-U'!$H$4:$H$40)*AH$15)+(LOOKUP(AH$2,'Floor-U'!$A$4:$A$40,'Floor-U'!$H$4:$H$40)*AH$16)+(LOOKUP(AH$2,'Wall-U'!$A$4:$A$40,'Wall-U'!$H$4:$H$40)*AH$13)+(LOOKUP(AH$2,'Window-U'!$A$4:$A$40,'Window-U'!$S$4:$S$40)*AH$22))*AH$61</f>
        <v>608.1072020546718</v>
      </c>
      <c r="AI65" s="177">
        <f>((LOOKUP(AI$2,'Ceiling-U'!$A$4:$A$40,'Ceiling-U'!$H$4:$H$40)*AI$15)+(LOOKUP(AI$2,'Floor-U'!$A$4:$A$40,'Floor-U'!$H$4:$H$40)*AI$16)+(LOOKUP(AI$2,'Wall-U'!$A$4:$A$40,'Wall-U'!$H$4:$H$40)*AI$13)+(LOOKUP(AI$2,'Window-U'!$A$4:$A$40,'Window-U'!$S$4:$S$40)*AI$22))*AI$61</f>
        <v>2587.2243651427484</v>
      </c>
      <c r="AJ65" s="177">
        <f>((LOOKUP(AJ$2,'Ceiling-U'!$A$4:$A$40,'Ceiling-U'!$H$4:$H$40)*AJ$15)+(LOOKUP(AJ$2,'Floor-U'!$A$4:$A$40,'Floor-U'!$H$4:$H$40)*AJ$16)+(LOOKUP(AJ$2,'Wall-U'!$A$4:$A$40,'Wall-U'!$H$4:$H$40)*AJ$13)+(LOOKUP(AJ$2,'Window-U'!$A$4:$A$40,'Window-U'!$S$4:$S$40)*AJ$22))*AJ$61</f>
        <v>829.64122086252326</v>
      </c>
      <c r="AK65" s="177">
        <f>((LOOKUP(AK$2,'Ceiling-U'!$A$4:$A$40,'Ceiling-U'!$H$4:$H$40)*AK$15)+(LOOKUP(AK$2,'Floor-U'!$A$4:$A$40,'Floor-U'!$H$4:$H$40)*AK$16)+(LOOKUP(AK$2,'Wall-U'!$A$4:$A$40,'Wall-U'!$H$4:$H$40)*AK$13)+(LOOKUP(AK$2,'Window-U'!$A$4:$A$40,'Window-U'!$S$4:$S$40)*AK$22))*AK$61</f>
        <v>1033.0503261895512</v>
      </c>
      <c r="AL65" s="177">
        <f>((LOOKUP(AL$2,'Ceiling-U'!$A$4:$A$40,'Ceiling-U'!$H$4:$H$40)*AL$15)+(LOOKUP(AL$2,'Floor-U'!$A$4:$A$40,'Floor-U'!$H$4:$H$40)*AL$16)+(LOOKUP(AL$2,'Wall-U'!$A$4:$A$40,'Wall-U'!$H$4:$H$40)*AL$13)+(LOOKUP(AL$2,'Window-U'!$A$4:$A$40,'Window-U'!$S$4:$S$40)*AL$22))*AL$61</f>
        <v>854.48525528797973</v>
      </c>
      <c r="AM65" s="177">
        <f>((LOOKUP(AM$2,'Ceiling-U'!$A$4:$A$40,'Ceiling-U'!$H$4:$H$40)*AM$15)+(LOOKUP(AM$2,'Floor-U'!$A$4:$A$40,'Floor-U'!$H$4:$H$40)*AM$16)+(LOOKUP(AM$2,'Wall-U'!$A$4:$A$40,'Wall-U'!$H$4:$H$40)*AM$13)+(LOOKUP(AM$2,'Window-U'!$A$4:$A$40,'Window-U'!$S$4:$S$40)*AM$22))*AM$61</f>
        <v>829.64122086252326</v>
      </c>
      <c r="AN65" s="178">
        <f>((LOOKUP(AN$2,'Ceiling-U'!$A$4:$A$40,'Ceiling-U'!$H$4:$H$40)*AN$15)+(LOOKUP(AN$2,'Floor-U'!$A$4:$A$40,'Floor-U'!$H$4:$H$40)*AN$16)+(LOOKUP(AN$2,'Wall-U'!$A$4:$A$40,'Wall-U'!$H$4:$H$40)*AN$13)+(LOOKUP(AN$2,'Window-U'!$A$4:$A$40,'Window-U'!$S$4:$S$40)*AN$22))*AN$61</f>
        <v>829.64122086252326</v>
      </c>
    </row>
    <row r="66" spans="1:40">
      <c r="A66" s="372"/>
      <c r="B66" s="142" t="s">
        <v>6</v>
      </c>
      <c r="C66" s="131" t="s">
        <v>195</v>
      </c>
      <c r="D66" s="176">
        <f>((LOOKUP(D$2,'Ceiling-U'!$A$4:$A$40,'Ceiling-U'!$I$4:$I$40)*D$15)+(LOOKUP(D$2,'Floor-U'!$A$4:$A$40,'Floor-U'!$I$4:$I$40)*D$16)+(LOOKUP(D$2,'Wall-U'!$A$4:$A$40,'Wall-U'!$I$4:$I$40)*D$13)+(LOOKUP(D$2,'Window-U'!$A$4:$A$40,'Window-U'!$S$4:$S$40)*D$22))*D$61</f>
        <v>578.75011608824718</v>
      </c>
      <c r="E66" s="177">
        <f>((LOOKUP(E$2,'Ceiling-U'!$A$4:$A$40,'Ceiling-U'!$I$4:$I$40)*E$15)+(LOOKUP(E$2,'Floor-U'!$A$4:$A$40,'Floor-U'!$I$4:$I$40)*E$16)+(LOOKUP(E$2,'Wall-U'!$A$4:$A$40,'Wall-U'!$I$4:$I$40)*E$13)+(LOOKUP(E$2,'Window-U'!$A$4:$A$40,'Window-U'!$S$4:$S$40)*E$22))*E$61</f>
        <v>1655.3900126659801</v>
      </c>
      <c r="F66" s="177">
        <f>((LOOKUP(F$2,'Ceiling-U'!$A$4:$A$40,'Ceiling-U'!$I$4:$I$40)*F$15)+(LOOKUP(F$2,'Floor-U'!$A$4:$A$40,'Floor-U'!$I$4:$I$40)*F$16)+(LOOKUP(F$2,'Wall-U'!$A$4:$A$40,'Wall-U'!$I$4:$I$40)*F$13)+(LOOKUP(F$2,'Window-U'!$A$4:$A$40,'Window-U'!$S$4:$S$40)*F$22))*F$61</f>
        <v>570.42259011953593</v>
      </c>
      <c r="G66" s="177">
        <f>((LOOKUP(G$2,'Ceiling-U'!$A$4:$A$40,'Ceiling-U'!$I$4:$I$40)*G$15)+(LOOKUP(G$2,'Floor-U'!$A$4:$A$40,'Floor-U'!$I$4:$I$40)*G$16)+(LOOKUP(G$2,'Wall-U'!$A$4:$A$40,'Wall-U'!$I$4:$I$40)*G$13)+(LOOKUP(G$2,'Window-U'!$A$4:$A$40,'Window-U'!$S$4:$S$40)*G$22))*G$61</f>
        <v>598.60579520782323</v>
      </c>
      <c r="H66" s="177">
        <f>((LOOKUP(H$2,'Ceiling-U'!$A$4:$A$40,'Ceiling-U'!$I$4:$I$40)*H$15)+(LOOKUP(H$2,'Floor-U'!$A$4:$A$40,'Floor-U'!$I$4:$I$40)*H$16)+(LOOKUP(H$2,'Wall-U'!$A$4:$A$40,'Wall-U'!$I$4:$I$40)*H$13)+(LOOKUP(H$2,'Window-U'!$A$4:$A$40,'Window-U'!$S$4:$S$40)*H$22))*H$61</f>
        <v>2349.6620168138843</v>
      </c>
      <c r="I66" s="177">
        <f>((LOOKUP(I$2,'Ceiling-U'!$A$4:$A$40,'Ceiling-U'!$I$4:$I$40)*I$15)+(LOOKUP(I$2,'Floor-U'!$A$4:$A$40,'Floor-U'!$I$4:$I$40)*I$16)+(LOOKUP(I$2,'Wall-U'!$A$4:$A$40,'Wall-U'!$I$4:$I$40)*I$13)+(LOOKUP(I$2,'Window-U'!$A$4:$A$40,'Window-U'!$S$4:$S$40)*I$22))*I$61</f>
        <v>529.68286725602195</v>
      </c>
      <c r="J66" s="177">
        <f>((LOOKUP(J$2,'Ceiling-U'!$A$4:$A$40,'Ceiling-U'!$I$4:$I$40)*J$15)+(LOOKUP(J$2,'Floor-U'!$A$4:$A$40,'Floor-U'!$I$4:$I$40)*J$16)+(LOOKUP(J$2,'Wall-U'!$A$4:$A$40,'Wall-U'!$I$4:$I$40)*J$13)+(LOOKUP(J$2,'Window-U'!$A$4:$A$40,'Window-U'!$S$4:$S$40)*J$22))*J$61</f>
        <v>356.30086812015873</v>
      </c>
      <c r="K66" s="177">
        <f>((LOOKUP(K$2,'Ceiling-U'!$A$4:$A$40,'Ceiling-U'!$I$4:$I$40)*K$15)+(LOOKUP(K$2,'Floor-U'!$A$4:$A$40,'Floor-U'!$I$4:$I$40)*K$16)+(LOOKUP(K$2,'Wall-U'!$A$4:$A$40,'Wall-U'!$I$4:$I$40)*K$13)+(LOOKUP(K$2,'Window-U'!$A$4:$A$40,'Window-U'!$S$4:$S$40)*K$22))*K$61</f>
        <v>417.36842920466506</v>
      </c>
      <c r="L66" s="177">
        <f>((LOOKUP(L$2,'Ceiling-U'!$A$4:$A$40,'Ceiling-U'!$I$4:$I$40)*L$15)+(LOOKUP(L$2,'Floor-U'!$A$4:$A$40,'Floor-U'!$I$4:$I$40)*L$16)+(LOOKUP(L$2,'Wall-U'!$A$4:$A$40,'Wall-U'!$I$4:$I$40)*L$13)+(LOOKUP(L$2,'Window-U'!$A$4:$A$40,'Window-U'!$S$4:$S$40)*L$22))*L$61</f>
        <v>221.1565033597779</v>
      </c>
      <c r="M66" s="177">
        <f>((LOOKUP(M$2,'Ceiling-U'!$A$4:$A$40,'Ceiling-U'!$I$4:$I$40)*M$15)+(LOOKUP(M$2,'Floor-U'!$A$4:$A$40,'Floor-U'!$I$4:$I$40)*M$16)+(LOOKUP(M$2,'Wall-U'!$A$4:$A$40,'Wall-U'!$I$4:$I$40)*M$13)+(LOOKUP(M$2,'Window-U'!$A$4:$A$40,'Window-U'!$S$4:$S$40)*M$22))*M$61</f>
        <v>1524.663249134991</v>
      </c>
      <c r="N66" s="177">
        <f>((LOOKUP(N$2,'Ceiling-U'!$A$4:$A$40,'Ceiling-U'!$I$4:$I$40)*N$15)+(LOOKUP(N$2,'Floor-U'!$A$4:$A$40,'Floor-U'!$I$4:$I$40)*N$16)+(LOOKUP(N$2,'Wall-U'!$A$4:$A$40,'Wall-U'!$I$4:$I$40)*N$13)+(LOOKUP(N$2,'Window-U'!$A$4:$A$40,'Window-U'!$S$4:$S$40)*N$22))*N$61</f>
        <v>324.54065184529941</v>
      </c>
      <c r="O66" s="177">
        <f>((LOOKUP(O$2,'Ceiling-U'!$A$4:$A$40,'Ceiling-U'!$I$4:$I$40)*O$15)+(LOOKUP(O$2,'Floor-U'!$A$4:$A$40,'Floor-U'!$I$4:$I$40)*O$16)+(LOOKUP(O$2,'Wall-U'!$A$4:$A$40,'Wall-U'!$I$4:$I$40)*O$13)+(LOOKUP(O$2,'Window-U'!$A$4:$A$40,'Window-U'!$S$4:$S$40)*O$22))*O$61</f>
        <v>454.34083268905033</v>
      </c>
      <c r="P66" s="177">
        <f>((LOOKUP(P$2,'Ceiling-U'!$A$4:$A$40,'Ceiling-U'!$I$4:$I$40)*P$15)+(LOOKUP(P$2,'Floor-U'!$A$4:$A$40,'Floor-U'!$I$4:$I$40)*P$16)+(LOOKUP(P$2,'Wall-U'!$A$4:$A$40,'Wall-U'!$I$4:$I$40)*P$13)+(LOOKUP(P$2,'Window-U'!$A$4:$A$40,'Window-U'!$S$4:$S$40)*P$22))*P$61</f>
        <v>1780.0892123504284</v>
      </c>
      <c r="Q66" s="177">
        <f>((LOOKUP(Q$2,'Ceiling-U'!$A$4:$A$40,'Ceiling-U'!$I$4:$I$40)*Q$15)+(LOOKUP(Q$2,'Floor-U'!$A$4:$A$40,'Floor-U'!$I$4:$I$40)*Q$16)+(LOOKUP(Q$2,'Wall-U'!$A$4:$A$40,'Wall-U'!$I$4:$I$40)*Q$13)+(LOOKUP(Q$2,'Window-U'!$A$4:$A$40,'Window-U'!$S$4:$S$40)*Q$22))*Q$61</f>
        <v>622.74420880005562</v>
      </c>
      <c r="R66" s="177">
        <f>((LOOKUP(R$2,'Ceiling-U'!$A$4:$A$40,'Ceiling-U'!$I$4:$I$40)*R$15)+(LOOKUP(R$2,'Floor-U'!$A$4:$A$40,'Floor-U'!$I$4:$I$40)*R$16)+(LOOKUP(R$2,'Wall-U'!$A$4:$A$40,'Wall-U'!$I$4:$I$40)*R$13)+(LOOKUP(R$2,'Window-U'!$A$4:$A$40,'Window-U'!$S$4:$S$40)*R$22))*R$61</f>
        <v>777.53497501984441</v>
      </c>
      <c r="S66" s="177">
        <f>((LOOKUP(S$2,'Ceiling-U'!$A$4:$A$40,'Ceiling-U'!$I$4:$I$40)*S$15)+(LOOKUP(S$2,'Floor-U'!$A$4:$A$40,'Floor-U'!$I$4:$I$40)*S$16)+(LOOKUP(S$2,'Wall-U'!$A$4:$A$40,'Wall-U'!$I$4:$I$40)*S$13)+(LOOKUP(S$2,'Window-U'!$A$4:$A$40,'Window-U'!$S$4:$S$40)*S$22))*S$61</f>
        <v>787.28882245770353</v>
      </c>
      <c r="T66" s="177">
        <f>((LOOKUP(T$2,'Ceiling-U'!$A$4:$A$40,'Ceiling-U'!$I$4:$I$40)*T$15)+(LOOKUP(T$2,'Floor-U'!$A$4:$A$40,'Floor-U'!$I$4:$I$40)*T$16)+(LOOKUP(T$2,'Wall-U'!$A$4:$A$40,'Wall-U'!$I$4:$I$40)*T$13)+(LOOKUP(T$2,'Window-U'!$A$4:$A$40,'Window-U'!$S$4:$S$40)*T$22))*T$61</f>
        <v>327.1870624868219</v>
      </c>
      <c r="U66" s="177">
        <f>((LOOKUP(U$2,'Ceiling-U'!$A$4:$A$40,'Ceiling-U'!$I$4:$I$40)*U$15)+(LOOKUP(U$2,'Floor-U'!$A$4:$A$40,'Floor-U'!$I$4:$I$40)*U$16)+(LOOKUP(U$2,'Wall-U'!$A$4:$A$40,'Wall-U'!$I$4:$I$40)*U$13)+(LOOKUP(U$2,'Window-U'!$A$4:$A$40,'Window-U'!$S$4:$S$40)*U$22))*U$61</f>
        <v>1425.6489465778138</v>
      </c>
      <c r="V66" s="177">
        <f>((LOOKUP(V$2,'Ceiling-U'!$A$4:$A$40,'Ceiling-U'!$I$4:$I$40)*V$15)+(LOOKUP(V$2,'Floor-U'!$A$4:$A$40,'Floor-U'!$I$4:$I$40)*V$16)+(LOOKUP(V$2,'Wall-U'!$A$4:$A$40,'Wall-U'!$I$4:$I$40)*V$13)+(LOOKUP(V$2,'Window-U'!$A$4:$A$40,'Window-U'!$S$4:$S$40)*V$22))*V$61</f>
        <v>584.89988126269077</v>
      </c>
      <c r="W66" s="177">
        <f>((LOOKUP(W$2,'Ceiling-U'!$A$4:$A$40,'Ceiling-U'!$I$4:$I$40)*W$15)+(LOOKUP(W$2,'Floor-U'!$A$4:$A$40,'Floor-U'!$I$4:$I$40)*W$16)+(LOOKUP(W$2,'Wall-U'!$A$4:$A$40,'Wall-U'!$I$4:$I$40)*W$13)+(LOOKUP(W$2,'Window-U'!$A$4:$A$40,'Window-U'!$S$4:$S$40)*W$22))*W$61</f>
        <v>325.60154954772594</v>
      </c>
      <c r="X66" s="177">
        <f>((LOOKUP(X$2,'Ceiling-U'!$A$4:$A$40,'Ceiling-U'!$I$4:$I$40)*X$15)+(LOOKUP(X$2,'Floor-U'!$A$4:$A$40,'Floor-U'!$I$4:$I$40)*X$16)+(LOOKUP(X$2,'Wall-U'!$A$4:$A$40,'Wall-U'!$I$4:$I$40)*X$13)+(LOOKUP(X$2,'Window-U'!$A$4:$A$40,'Window-U'!$S$4:$S$40)*X$22))*X$61</f>
        <v>477.71242278122463</v>
      </c>
      <c r="Y66" s="177">
        <f>((LOOKUP(Y$2,'Ceiling-U'!$A$4:$A$40,'Ceiling-U'!$I$4:$I$40)*Y$15)+(LOOKUP(Y$2,'Floor-U'!$A$4:$A$40,'Floor-U'!$I$4:$I$40)*Y$16)+(LOOKUP(Y$2,'Wall-U'!$A$4:$A$40,'Wall-U'!$I$4:$I$40)*Y$13)+(LOOKUP(Y$2,'Window-U'!$A$4:$A$40,'Window-U'!$S$4:$S$40)*Y$22))*Y$61</f>
        <v>2190.8765333932538</v>
      </c>
      <c r="Z66" s="177">
        <f>((LOOKUP(Z$2,'Ceiling-U'!$A$4:$A$40,'Ceiling-U'!$I$4:$I$40)*Z$15)+(LOOKUP(Z$2,'Floor-U'!$A$4:$A$40,'Floor-U'!$I$4:$I$40)*Z$16)+(LOOKUP(Z$2,'Wall-U'!$A$4:$A$40,'Wall-U'!$I$4:$I$40)*Z$13)+(LOOKUP(Z$2,'Window-U'!$A$4:$A$40,'Window-U'!$S$4:$S$40)*Z$22))*Z$61</f>
        <v>855.24894027864127</v>
      </c>
      <c r="AA66" s="177">
        <f>((LOOKUP(AA$2,'Ceiling-U'!$A$4:$A$40,'Ceiling-U'!$I$4:$I$40)*AA$15)+(LOOKUP(AA$2,'Floor-U'!$A$4:$A$40,'Floor-U'!$I$4:$I$40)*AA$16)+(LOOKUP(AA$2,'Wall-U'!$A$4:$A$40,'Wall-U'!$I$4:$I$40)*AA$13)+(LOOKUP(AA$2,'Window-U'!$A$4:$A$40,'Window-U'!$S$4:$S$40)*AA$22))*AA$61</f>
        <v>259.92695034589451</v>
      </c>
      <c r="AB66" s="177">
        <f>((LOOKUP(AB$2,'Ceiling-U'!$A$4:$A$40,'Ceiling-U'!$I$4:$I$40)*AB$15)+(LOOKUP(AB$2,'Floor-U'!$A$4:$A$40,'Floor-U'!$I$4:$I$40)*AB$16)+(LOOKUP(AB$2,'Wall-U'!$A$4:$A$40,'Wall-U'!$I$4:$I$40)*AB$13)+(LOOKUP(AB$2,'Window-U'!$A$4:$A$40,'Window-U'!$S$4:$S$40)*AB$22))*AB$61</f>
        <v>778.21369461679706</v>
      </c>
      <c r="AC66" s="177">
        <f>((LOOKUP(AC$2,'Ceiling-U'!$A$4:$A$40,'Ceiling-U'!$I$4:$I$40)*AC$15)+(LOOKUP(AC$2,'Floor-U'!$A$4:$A$40,'Floor-U'!$I$4:$I$40)*AC$16)+(LOOKUP(AC$2,'Wall-U'!$A$4:$A$40,'Wall-U'!$I$4:$I$40)*AC$13)+(LOOKUP(AC$2,'Window-U'!$A$4:$A$40,'Window-U'!$S$4:$S$40)*AC$22))*AC$61</f>
        <v>2170.3114165465672</v>
      </c>
      <c r="AD66" s="177">
        <f>((LOOKUP(AD$2,'Ceiling-U'!$A$4:$A$40,'Ceiling-U'!$I$4:$I$40)*AD$15)+(LOOKUP(AD$2,'Floor-U'!$A$4:$A$40,'Floor-U'!$I$4:$I$40)*AD$16)+(LOOKUP(AD$2,'Wall-U'!$A$4:$A$40,'Wall-U'!$I$4:$I$40)*AD$13)+(LOOKUP(AD$2,'Window-U'!$A$4:$A$40,'Window-U'!$S$4:$S$40)*AD$22))*AD$61</f>
        <v>1048.8844517609996</v>
      </c>
      <c r="AE66" s="177">
        <f>((LOOKUP(AE$2,'Ceiling-U'!$A$4:$A$40,'Ceiling-U'!$I$4:$I$40)*AE$15)+(LOOKUP(AE$2,'Floor-U'!$A$4:$A$40,'Floor-U'!$I$4:$I$40)*AE$16)+(LOOKUP(AE$2,'Wall-U'!$A$4:$A$40,'Wall-U'!$I$4:$I$40)*AE$13)+(LOOKUP(AE$2,'Window-U'!$A$4:$A$40,'Window-U'!$S$4:$S$40)*AE$22))*AE$61</f>
        <v>255.4979612402006</v>
      </c>
      <c r="AF66" s="177">
        <f>((LOOKUP(AF$2,'Ceiling-U'!$A$4:$A$40,'Ceiling-U'!$I$4:$I$40)*AF$15)+(LOOKUP(AF$2,'Floor-U'!$A$4:$A$40,'Floor-U'!$I$4:$I$40)*AF$16)+(LOOKUP(AF$2,'Wall-U'!$A$4:$A$40,'Wall-U'!$I$4:$I$40)*AF$13)+(LOOKUP(AF$2,'Window-U'!$A$4:$A$40,'Window-U'!$S$4:$S$40)*AF$22))*AF$61</f>
        <v>574.39013916799934</v>
      </c>
      <c r="AG66" s="177">
        <f>((LOOKUP(AG$2,'Ceiling-U'!$A$4:$A$40,'Ceiling-U'!$I$4:$I$40)*AG$15)+(LOOKUP(AG$2,'Floor-U'!$A$4:$A$40,'Floor-U'!$I$4:$I$40)*AG$16)+(LOOKUP(AG$2,'Wall-U'!$A$4:$A$40,'Wall-U'!$I$4:$I$40)*AG$13)+(LOOKUP(AG$2,'Window-U'!$A$4:$A$40,'Window-U'!$S$4:$S$40)*AG$22))*AG$61</f>
        <v>1073.1401901017168</v>
      </c>
      <c r="AH66" s="177">
        <f>((LOOKUP(AH$2,'Ceiling-U'!$A$4:$A$40,'Ceiling-U'!$I$4:$I$40)*AH$15)+(LOOKUP(AH$2,'Floor-U'!$A$4:$A$40,'Floor-U'!$I$4:$I$40)*AH$16)+(LOOKUP(AH$2,'Wall-U'!$A$4:$A$40,'Wall-U'!$I$4:$I$40)*AH$13)+(LOOKUP(AH$2,'Window-U'!$A$4:$A$40,'Window-U'!$S$4:$S$40)*AH$22))*AH$61</f>
        <v>474.61752732714717</v>
      </c>
      <c r="AI66" s="177">
        <f>((LOOKUP(AI$2,'Ceiling-U'!$A$4:$A$40,'Ceiling-U'!$I$4:$I$40)*AI$15)+(LOOKUP(AI$2,'Floor-U'!$A$4:$A$40,'Floor-U'!$I$4:$I$40)*AI$16)+(LOOKUP(AI$2,'Wall-U'!$A$4:$A$40,'Wall-U'!$I$4:$I$40)*AI$13)+(LOOKUP(AI$2,'Window-U'!$A$4:$A$40,'Window-U'!$S$4:$S$40)*AI$22))*AI$61</f>
        <v>2587.2243651427484</v>
      </c>
      <c r="AJ66" s="177">
        <f>((LOOKUP(AJ$2,'Ceiling-U'!$A$4:$A$40,'Ceiling-U'!$I$4:$I$40)*AJ$15)+(LOOKUP(AJ$2,'Floor-U'!$A$4:$A$40,'Floor-U'!$I$4:$I$40)*AJ$16)+(LOOKUP(AJ$2,'Wall-U'!$A$4:$A$40,'Wall-U'!$I$4:$I$40)*AJ$13)+(LOOKUP(AJ$2,'Window-U'!$A$4:$A$40,'Window-U'!$S$4:$S$40)*AJ$22))*AJ$61</f>
        <v>761.03407314682181</v>
      </c>
      <c r="AK66" s="177">
        <f>((LOOKUP(AK$2,'Ceiling-U'!$A$4:$A$40,'Ceiling-U'!$I$4:$I$40)*AK$15)+(LOOKUP(AK$2,'Floor-U'!$A$4:$A$40,'Floor-U'!$I$4:$I$40)*AK$16)+(LOOKUP(AK$2,'Wall-U'!$A$4:$A$40,'Wall-U'!$I$4:$I$40)*AK$13)+(LOOKUP(AK$2,'Window-U'!$A$4:$A$40,'Window-U'!$S$4:$S$40)*AK$22))*AK$61</f>
        <v>946.63307483083395</v>
      </c>
      <c r="AL66" s="177">
        <f>((LOOKUP(AL$2,'Ceiling-U'!$A$4:$A$40,'Ceiling-U'!$I$4:$I$40)*AL$15)+(LOOKUP(AL$2,'Floor-U'!$A$4:$A$40,'Floor-U'!$I$4:$I$40)*AL$16)+(LOOKUP(AL$2,'Wall-U'!$A$4:$A$40,'Wall-U'!$I$4:$I$40)*AL$13)+(LOOKUP(AL$2,'Window-U'!$A$4:$A$40,'Window-U'!$S$4:$S$40)*AL$22))*AL$61</f>
        <v>600.88512503156551</v>
      </c>
      <c r="AM66" s="177">
        <f>((LOOKUP(AM$2,'Ceiling-U'!$A$4:$A$40,'Ceiling-U'!$I$4:$I$40)*AM$15)+(LOOKUP(AM$2,'Floor-U'!$A$4:$A$40,'Floor-U'!$I$4:$I$40)*AM$16)+(LOOKUP(AM$2,'Wall-U'!$A$4:$A$40,'Wall-U'!$I$4:$I$40)*AM$13)+(LOOKUP(AM$2,'Window-U'!$A$4:$A$40,'Window-U'!$S$4:$S$40)*AM$22))*AM$61</f>
        <v>761.03407314682181</v>
      </c>
      <c r="AN66" s="178">
        <f>((LOOKUP(AN$2,'Ceiling-U'!$A$4:$A$40,'Ceiling-U'!$I$4:$I$40)*AN$15)+(LOOKUP(AN$2,'Floor-U'!$A$4:$A$40,'Floor-U'!$I$4:$I$40)*AN$16)+(LOOKUP(AN$2,'Wall-U'!$A$4:$A$40,'Wall-U'!$I$4:$I$40)*AN$13)+(LOOKUP(AN$2,'Window-U'!$A$4:$A$40,'Window-U'!$S$4:$S$40)*AN$22))*AN$61</f>
        <v>761.03407314682181</v>
      </c>
    </row>
    <row r="67" spans="1:40">
      <c r="A67" s="373"/>
      <c r="B67" s="374" t="s">
        <v>7</v>
      </c>
      <c r="C67" s="131" t="s">
        <v>195</v>
      </c>
      <c r="D67" s="176">
        <f>((LOOKUP(D$2,'Ceiling-U'!$A$4:$A$40,'Ceiling-U'!$J$4:$J$40)*D$15)+(LOOKUP(D$2,'Floor-U'!$A$4:$A$40,'Floor-U'!$J$4:$J$40)*D$16)+(LOOKUP(D$2,'Wall-U'!$A$4:$A$40,'Wall-U'!$J$4:$J$40)*D$13)+(LOOKUP(D$2,'Window-U'!$A$4:$A$40,'Window-U'!$S$4:$S$40)*D$22))*D$61</f>
        <v>490.61025038689581</v>
      </c>
      <c r="E67" s="174">
        <f>((LOOKUP(E$2,'Ceiling-U'!$A$4:$A$40,'Ceiling-U'!$J$4:$J$40)*E$15)+(LOOKUP(E$2,'Floor-U'!$A$4:$A$40,'Floor-U'!$J$4:$J$40)*E$16)+(LOOKUP(E$2,'Wall-U'!$A$4:$A$40,'Wall-U'!$J$4:$J$40)*E$13)+(LOOKUP(E$2,'Window-U'!$A$4:$A$40,'Window-U'!$S$4:$S$40)*E$22))*E$61</f>
        <v>861.07833153100921</v>
      </c>
      <c r="F67" s="174">
        <f>((LOOKUP(F$2,'Ceiling-U'!$A$4:$A$40,'Ceiling-U'!$J$4:$J$40)*F$15)+(LOOKUP(F$2,'Floor-U'!$A$4:$A$40,'Floor-U'!$J$4:$J$40)*F$16)+(LOOKUP(F$2,'Wall-U'!$A$4:$A$40,'Wall-U'!$J$4:$J$40)*F$13)+(LOOKUP(F$2,'Window-U'!$A$4:$A$40,'Window-U'!$S$4:$S$40)*F$22))*F$61</f>
        <v>343.43934503591754</v>
      </c>
      <c r="G67" s="174">
        <f>((LOOKUP(G$2,'Ceiling-U'!$A$4:$A$40,'Ceiling-U'!$J$4:$J$40)*G$15)+(LOOKUP(G$2,'Floor-U'!$A$4:$A$40,'Floor-U'!$J$4:$J$40)*G$16)+(LOOKUP(G$2,'Wall-U'!$A$4:$A$40,'Wall-U'!$J$4:$J$40)*G$13)+(LOOKUP(G$2,'Window-U'!$A$4:$A$40,'Window-U'!$S$4:$S$40)*G$22))*G$61</f>
        <v>506.8786237915582</v>
      </c>
      <c r="H67" s="174">
        <f>((LOOKUP(H$2,'Ceiling-U'!$A$4:$A$40,'Ceiling-U'!$J$4:$J$40)*H$15)+(LOOKUP(H$2,'Floor-U'!$A$4:$A$40,'Floor-U'!$J$4:$J$40)*H$16)+(LOOKUP(H$2,'Wall-U'!$A$4:$A$40,'Wall-U'!$J$4:$J$40)*H$13)+(LOOKUP(H$2,'Window-U'!$A$4:$A$40,'Window-U'!$S$4:$S$40)*H$22))*H$61</f>
        <v>1806.2162549254344</v>
      </c>
      <c r="I67" s="174">
        <f>((LOOKUP(I$2,'Ceiling-U'!$A$4:$A$40,'Ceiling-U'!$J$4:$J$40)*I$15)+(LOOKUP(I$2,'Floor-U'!$A$4:$A$40,'Floor-U'!$J$4:$J$40)*I$16)+(LOOKUP(I$2,'Wall-U'!$A$4:$A$40,'Wall-U'!$J$4:$J$40)*I$13)+(LOOKUP(I$2,'Window-U'!$A$4:$A$40,'Window-U'!$S$4:$S$40)*I$22))*I$61</f>
        <v>412.24128796133618</v>
      </c>
      <c r="J67" s="174">
        <f>((LOOKUP(J$2,'Ceiling-U'!$A$4:$A$40,'Ceiling-U'!$J$4:$J$40)*J$15)+(LOOKUP(J$2,'Floor-U'!$A$4:$A$40,'Floor-U'!$J$4:$J$40)*J$16)+(LOOKUP(J$2,'Wall-U'!$A$4:$A$40,'Wall-U'!$J$4:$J$40)*J$13)+(LOOKUP(J$2,'Window-U'!$A$4:$A$40,'Window-U'!$S$4:$S$40)*J$22))*J$61</f>
        <v>396.34654467509938</v>
      </c>
      <c r="K67" s="174">
        <f>((LOOKUP(K$2,'Ceiling-U'!$A$4:$A$40,'Ceiling-U'!$J$4:$J$40)*K$15)+(LOOKUP(K$2,'Floor-U'!$A$4:$A$40,'Floor-U'!$J$4:$J$40)*K$16)+(LOOKUP(K$2,'Wall-U'!$A$4:$A$40,'Wall-U'!$J$4:$J$40)*K$13)+(LOOKUP(K$2,'Window-U'!$A$4:$A$40,'Window-U'!$S$4:$S$40)*K$22))*K$61</f>
        <v>286.78646676673833</v>
      </c>
      <c r="L67" s="174">
        <f>((LOOKUP(L$2,'Ceiling-U'!$A$4:$A$40,'Ceiling-U'!$J$4:$J$40)*L$15)+(LOOKUP(L$2,'Floor-U'!$A$4:$A$40,'Floor-U'!$J$4:$J$40)*L$16)+(LOOKUP(L$2,'Wall-U'!$A$4:$A$40,'Wall-U'!$J$4:$J$40)*L$13)+(LOOKUP(L$2,'Window-U'!$A$4:$A$40,'Window-U'!$S$4:$S$40)*L$22))*L$61</f>
        <v>221.1565033597779</v>
      </c>
      <c r="M67" s="174">
        <f>((LOOKUP(M$2,'Ceiling-U'!$A$4:$A$40,'Ceiling-U'!$J$4:$J$40)*M$15)+(LOOKUP(M$2,'Floor-U'!$A$4:$A$40,'Floor-U'!$J$4:$J$40)*M$16)+(LOOKUP(M$2,'Wall-U'!$A$4:$A$40,'Wall-U'!$J$4:$J$40)*M$13)+(LOOKUP(M$2,'Window-U'!$A$4:$A$40,'Window-U'!$S$4:$S$40)*M$22))*M$61</f>
        <v>895.40978978753799</v>
      </c>
      <c r="N67" s="174">
        <f>((LOOKUP(N$2,'Ceiling-U'!$A$4:$A$40,'Ceiling-U'!$J$4:$J$40)*N$15)+(LOOKUP(N$2,'Floor-U'!$A$4:$A$40,'Floor-U'!$J$4:$J$40)*N$16)+(LOOKUP(N$2,'Wall-U'!$A$4:$A$40,'Wall-U'!$J$4:$J$40)*N$13)+(LOOKUP(N$2,'Window-U'!$A$4:$A$40,'Window-U'!$S$4:$S$40)*N$22))*N$61</f>
        <v>290.85686099053027</v>
      </c>
      <c r="O67" s="174">
        <f>((LOOKUP(O$2,'Ceiling-U'!$A$4:$A$40,'Ceiling-U'!$J$4:$J$40)*O$15)+(LOOKUP(O$2,'Floor-U'!$A$4:$A$40,'Floor-U'!$J$4:$J$40)*O$16)+(LOOKUP(O$2,'Wall-U'!$A$4:$A$40,'Wall-U'!$J$4:$J$40)*O$13)+(LOOKUP(O$2,'Window-U'!$A$4:$A$40,'Window-U'!$S$4:$S$40)*O$22))*O$61</f>
        <v>438.47170355580295</v>
      </c>
      <c r="P67" s="174">
        <f>((LOOKUP(P$2,'Ceiling-U'!$A$4:$A$40,'Ceiling-U'!$J$4:$J$40)*P$15)+(LOOKUP(P$2,'Floor-U'!$A$4:$A$40,'Floor-U'!$J$4:$J$40)*P$16)+(LOOKUP(P$2,'Wall-U'!$A$4:$A$40,'Wall-U'!$J$4:$J$40)*P$13)+(LOOKUP(P$2,'Window-U'!$A$4:$A$40,'Window-U'!$S$4:$S$40)*P$22))*P$61</f>
        <v>458.38223448989936</v>
      </c>
      <c r="Q67" s="174">
        <f>((LOOKUP(Q$2,'Ceiling-U'!$A$4:$A$40,'Ceiling-U'!$J$4:$J$40)*Q$15)+(LOOKUP(Q$2,'Floor-U'!$A$4:$A$40,'Floor-U'!$J$4:$J$40)*Q$16)+(LOOKUP(Q$2,'Wall-U'!$A$4:$A$40,'Wall-U'!$J$4:$J$40)*Q$13)+(LOOKUP(Q$2,'Window-U'!$A$4:$A$40,'Window-U'!$S$4:$S$40)*Q$22))*Q$61</f>
        <v>350.76535051428277</v>
      </c>
      <c r="R67" s="174">
        <f>((LOOKUP(R$2,'Ceiling-U'!$A$4:$A$40,'Ceiling-U'!$J$4:$J$40)*R$15)+(LOOKUP(R$2,'Floor-U'!$A$4:$A$40,'Floor-U'!$J$4:$J$40)*R$16)+(LOOKUP(R$2,'Wall-U'!$A$4:$A$40,'Wall-U'!$J$4:$J$40)*R$13)+(LOOKUP(R$2,'Window-U'!$A$4:$A$40,'Window-U'!$S$4:$S$40)*R$22))*R$61</f>
        <v>442.97209999221161</v>
      </c>
      <c r="S67" s="174">
        <f>((LOOKUP(S$2,'Ceiling-U'!$A$4:$A$40,'Ceiling-U'!$J$4:$J$40)*S$15)+(LOOKUP(S$2,'Floor-U'!$A$4:$A$40,'Floor-U'!$J$4:$J$40)*S$16)+(LOOKUP(S$2,'Wall-U'!$A$4:$A$40,'Wall-U'!$J$4:$J$40)*S$13)+(LOOKUP(S$2,'Window-U'!$A$4:$A$40,'Window-U'!$S$4:$S$40)*S$22))*S$61</f>
        <v>436.12972809828045</v>
      </c>
      <c r="T67" s="174">
        <f>((LOOKUP(T$2,'Ceiling-U'!$A$4:$A$40,'Ceiling-U'!$J$4:$J$40)*T$15)+(LOOKUP(T$2,'Floor-U'!$A$4:$A$40,'Floor-U'!$J$4:$J$40)*T$16)+(LOOKUP(T$2,'Wall-U'!$A$4:$A$40,'Wall-U'!$J$4:$J$40)*T$13)+(LOOKUP(T$2,'Window-U'!$A$4:$A$40,'Window-U'!$S$4:$S$40)*T$22))*T$61</f>
        <v>293.16305101883904</v>
      </c>
      <c r="U67" s="174">
        <f>((LOOKUP(U$2,'Ceiling-U'!$A$4:$A$40,'Ceiling-U'!$J$4:$J$40)*U$15)+(LOOKUP(U$2,'Floor-U'!$A$4:$A$40,'Floor-U'!$J$4:$J$40)*U$16)+(LOOKUP(U$2,'Wall-U'!$A$4:$A$40,'Wall-U'!$J$4:$J$40)*U$13)+(LOOKUP(U$2,'Window-U'!$A$4:$A$40,'Window-U'!$S$4:$S$40)*U$22))*U$61</f>
        <v>1425.6489465778138</v>
      </c>
      <c r="V67" s="174">
        <f>((LOOKUP(V$2,'Ceiling-U'!$A$4:$A$40,'Ceiling-U'!$J$4:$J$40)*V$15)+(LOOKUP(V$2,'Floor-U'!$A$4:$A$40,'Floor-U'!$J$4:$J$40)*V$16)+(LOOKUP(V$2,'Wall-U'!$A$4:$A$40,'Wall-U'!$J$4:$J$40)*V$13)+(LOOKUP(V$2,'Window-U'!$A$4:$A$40,'Window-U'!$S$4:$S$40)*V$22))*V$61</f>
        <v>281.24069254533055</v>
      </c>
      <c r="W67" s="174">
        <f>((LOOKUP(W$2,'Ceiling-U'!$A$4:$A$40,'Ceiling-U'!$J$4:$J$40)*W$15)+(LOOKUP(W$2,'Floor-U'!$A$4:$A$40,'Floor-U'!$J$4:$J$40)*W$16)+(LOOKUP(W$2,'Wall-U'!$A$4:$A$40,'Wall-U'!$J$4:$J$40)*W$13)+(LOOKUP(W$2,'Window-U'!$A$4:$A$40,'Window-U'!$S$4:$S$40)*W$22))*W$61</f>
        <v>255.62430726189774</v>
      </c>
      <c r="X67" s="174">
        <f>((LOOKUP(X$2,'Ceiling-U'!$A$4:$A$40,'Ceiling-U'!$J$4:$J$40)*X$15)+(LOOKUP(X$2,'Floor-U'!$A$4:$A$40,'Floor-U'!$J$4:$J$40)*X$16)+(LOOKUP(X$2,'Wall-U'!$A$4:$A$40,'Wall-U'!$J$4:$J$40)*X$13)+(LOOKUP(X$2,'Window-U'!$A$4:$A$40,'Window-U'!$S$4:$S$40)*X$22))*X$61</f>
        <v>250.88462854061166</v>
      </c>
      <c r="Y67" s="174">
        <f>((LOOKUP(Y$2,'Ceiling-U'!$A$4:$A$40,'Ceiling-U'!$J$4:$J$40)*Y$15)+(LOOKUP(Y$2,'Floor-U'!$A$4:$A$40,'Floor-U'!$J$4:$J$40)*Y$16)+(LOOKUP(Y$2,'Wall-U'!$A$4:$A$40,'Wall-U'!$J$4:$J$40)*Y$13)+(LOOKUP(Y$2,'Window-U'!$A$4:$A$40,'Window-U'!$S$4:$S$40)*Y$22))*Y$61</f>
        <v>2080.3230314921202</v>
      </c>
      <c r="Z67" s="174">
        <f>((LOOKUP(Z$2,'Ceiling-U'!$A$4:$A$40,'Ceiling-U'!$J$4:$J$40)*Z$15)+(LOOKUP(Z$2,'Floor-U'!$A$4:$A$40,'Floor-U'!$J$4:$J$40)*Z$16)+(LOOKUP(Z$2,'Wall-U'!$A$4:$A$40,'Wall-U'!$J$4:$J$40)*Z$13)+(LOOKUP(Z$2,'Window-U'!$A$4:$A$40,'Window-U'!$S$4:$S$40)*Z$22))*Z$61</f>
        <v>556.90017748987214</v>
      </c>
      <c r="AA67" s="174">
        <f>((LOOKUP(AA$2,'Ceiling-U'!$A$4:$A$40,'Ceiling-U'!$J$4:$J$40)*AA$15)+(LOOKUP(AA$2,'Floor-U'!$A$4:$A$40,'Floor-U'!$J$4:$J$40)*AA$16)+(LOOKUP(AA$2,'Wall-U'!$A$4:$A$40,'Wall-U'!$J$4:$J$40)*AA$13)+(LOOKUP(AA$2,'Window-U'!$A$4:$A$40,'Window-U'!$S$4:$S$40)*AA$22))*AA$61</f>
        <v>259.92695034589451</v>
      </c>
      <c r="AB67" s="174">
        <f>((LOOKUP(AB$2,'Ceiling-U'!$A$4:$A$40,'Ceiling-U'!$J$4:$J$40)*AB$15)+(LOOKUP(AB$2,'Floor-U'!$A$4:$A$40,'Floor-U'!$J$4:$J$40)*AB$16)+(LOOKUP(AB$2,'Wall-U'!$A$4:$A$40,'Wall-U'!$J$4:$J$40)*AB$13)+(LOOKUP(AB$2,'Window-U'!$A$4:$A$40,'Window-U'!$S$4:$S$40)*AB$22))*AB$61</f>
        <v>562.61302578114066</v>
      </c>
      <c r="AC67" s="174">
        <f>((LOOKUP(AC$2,'Ceiling-U'!$A$4:$A$40,'Ceiling-U'!$J$4:$J$40)*AC$15)+(LOOKUP(AC$2,'Floor-U'!$A$4:$A$40,'Floor-U'!$J$4:$J$40)*AC$16)+(LOOKUP(AC$2,'Wall-U'!$A$4:$A$40,'Wall-U'!$J$4:$J$40)*AC$13)+(LOOKUP(AC$2,'Window-U'!$A$4:$A$40,'Window-U'!$S$4:$S$40)*AC$22))*AC$61</f>
        <v>1325.0095378298256</v>
      </c>
      <c r="AD67" s="174">
        <f>((LOOKUP(AD$2,'Ceiling-U'!$A$4:$A$40,'Ceiling-U'!$J$4:$J$40)*AD$15)+(LOOKUP(AD$2,'Floor-U'!$A$4:$A$40,'Floor-U'!$J$4:$J$40)*AD$16)+(LOOKUP(AD$2,'Wall-U'!$A$4:$A$40,'Wall-U'!$J$4:$J$40)*AD$13)+(LOOKUP(AD$2,'Window-U'!$A$4:$A$40,'Window-U'!$S$4:$S$40)*AD$22))*AD$61</f>
        <v>845.03756439291294</v>
      </c>
      <c r="AE67" s="174">
        <f>((LOOKUP(AE$2,'Ceiling-U'!$A$4:$A$40,'Ceiling-U'!$J$4:$J$40)*AE$15)+(LOOKUP(AE$2,'Floor-U'!$A$4:$A$40,'Floor-U'!$J$4:$J$40)*AE$16)+(LOOKUP(AE$2,'Wall-U'!$A$4:$A$40,'Wall-U'!$J$4:$J$40)*AE$13)+(LOOKUP(AE$2,'Window-U'!$A$4:$A$40,'Window-U'!$S$4:$S$40)*AE$22))*AE$61</f>
        <v>255.4979612402006</v>
      </c>
      <c r="AF67" s="174">
        <f>((LOOKUP(AF$2,'Ceiling-U'!$A$4:$A$40,'Ceiling-U'!$J$4:$J$40)*AF$15)+(LOOKUP(AF$2,'Floor-U'!$A$4:$A$40,'Floor-U'!$J$4:$J$40)*AF$16)+(LOOKUP(AF$2,'Wall-U'!$A$4:$A$40,'Wall-U'!$J$4:$J$40)*AF$13)+(LOOKUP(AF$2,'Window-U'!$A$4:$A$40,'Window-U'!$S$4:$S$40)*AF$22))*AF$61</f>
        <v>275.26922418327001</v>
      </c>
      <c r="AG67" s="174">
        <f>((LOOKUP(AG$2,'Ceiling-U'!$A$4:$A$40,'Ceiling-U'!$J$4:$J$40)*AG$15)+(LOOKUP(AG$2,'Floor-U'!$A$4:$A$40,'Floor-U'!$J$4:$J$40)*AG$16)+(LOOKUP(AG$2,'Wall-U'!$A$4:$A$40,'Wall-U'!$J$4:$J$40)*AG$13)+(LOOKUP(AG$2,'Window-U'!$A$4:$A$40,'Window-U'!$S$4:$S$40)*AG$22))*AG$61</f>
        <v>601.46068012944443</v>
      </c>
      <c r="AH67" s="174">
        <f>((LOOKUP(AH$2,'Ceiling-U'!$A$4:$A$40,'Ceiling-U'!$J$4:$J$40)*AH$15)+(LOOKUP(AH$2,'Floor-U'!$A$4:$A$40,'Floor-U'!$J$4:$J$40)*AH$16)+(LOOKUP(AH$2,'Wall-U'!$A$4:$A$40,'Wall-U'!$J$4:$J$40)*AH$13)+(LOOKUP(AH$2,'Window-U'!$A$4:$A$40,'Window-U'!$S$4:$S$40)*AH$22))*AH$61</f>
        <v>381.11000140806436</v>
      </c>
      <c r="AI67" s="174">
        <f>((LOOKUP(AI$2,'Ceiling-U'!$A$4:$A$40,'Ceiling-U'!$J$4:$J$40)*AI$15)+(LOOKUP(AI$2,'Floor-U'!$A$4:$A$40,'Floor-U'!$J$4:$J$40)*AI$16)+(LOOKUP(AI$2,'Wall-U'!$A$4:$A$40,'Wall-U'!$J$4:$J$40)*AI$13)+(LOOKUP(AI$2,'Window-U'!$A$4:$A$40,'Window-U'!$S$4:$S$40)*AI$22))*AI$61</f>
        <v>664.96168263042364</v>
      </c>
      <c r="AJ67" s="174">
        <f>((LOOKUP(AJ$2,'Ceiling-U'!$A$4:$A$40,'Ceiling-U'!$J$4:$J$40)*AJ$15)+(LOOKUP(AJ$2,'Floor-U'!$A$4:$A$40,'Floor-U'!$J$4:$J$40)*AJ$16)+(LOOKUP(AJ$2,'Wall-U'!$A$4:$A$40,'Wall-U'!$J$4:$J$40)*AJ$13)+(LOOKUP(AJ$2,'Window-U'!$A$4:$A$40,'Window-U'!$S$4:$S$40)*AJ$22))*AJ$61</f>
        <v>652.56432944131336</v>
      </c>
      <c r="AK67" s="174">
        <f>((LOOKUP(AK$2,'Ceiling-U'!$A$4:$A$40,'Ceiling-U'!$J$4:$J$40)*AK$15)+(LOOKUP(AK$2,'Floor-U'!$A$4:$A$40,'Floor-U'!$J$4:$J$40)*AK$16)+(LOOKUP(AK$2,'Wall-U'!$A$4:$A$40,'Wall-U'!$J$4:$J$40)*AK$13)+(LOOKUP(AK$2,'Window-U'!$A$4:$A$40,'Window-U'!$S$4:$S$40)*AK$22))*AK$61</f>
        <v>812.85526222845704</v>
      </c>
      <c r="AL67" s="174">
        <f>((LOOKUP(AL$2,'Ceiling-U'!$A$4:$A$40,'Ceiling-U'!$J$4:$J$40)*AL$15)+(LOOKUP(AL$2,'Floor-U'!$A$4:$A$40,'Floor-U'!$J$4:$J$40)*AL$16)+(LOOKUP(AL$2,'Wall-U'!$A$4:$A$40,'Wall-U'!$J$4:$J$40)*AL$13)+(LOOKUP(AL$2,'Window-U'!$A$4:$A$40,'Window-U'!$S$4:$S$40)*AL$22))*AL$61</f>
        <v>362.56516278285949</v>
      </c>
      <c r="AM67" s="174">
        <f>((LOOKUP(AM$2,'Ceiling-U'!$A$4:$A$40,'Ceiling-U'!$J$4:$J$40)*AM$15)+(LOOKUP(AM$2,'Floor-U'!$A$4:$A$40,'Floor-U'!$J$4:$J$40)*AM$16)+(LOOKUP(AM$2,'Wall-U'!$A$4:$A$40,'Wall-U'!$J$4:$J$40)*AM$13)+(LOOKUP(AM$2,'Window-U'!$A$4:$A$40,'Window-U'!$S$4:$S$40)*AM$22))*AM$61</f>
        <v>652.56432944131336</v>
      </c>
      <c r="AN67" s="175">
        <f>((LOOKUP(AN$2,'Ceiling-U'!$A$4:$A$40,'Ceiling-U'!$J$4:$J$40)*AN$15)+(LOOKUP(AN$2,'Floor-U'!$A$4:$A$40,'Floor-U'!$J$4:$J$40)*AN$16)+(LOOKUP(AN$2,'Wall-U'!$A$4:$A$40,'Wall-U'!$J$4:$J$40)*AN$13)+(LOOKUP(AN$2,'Window-U'!$A$4:$A$40,'Window-U'!$S$4:$S$40)*AN$22))*AN$61</f>
        <v>652.56432944131336</v>
      </c>
    </row>
    <row r="68" spans="1:40">
      <c r="A68" s="332" t="s">
        <v>280</v>
      </c>
      <c r="B68" s="142" t="s">
        <v>2</v>
      </c>
      <c r="C68" s="360" t="s">
        <v>261</v>
      </c>
      <c r="D68" s="351">
        <f>D62*24*LOOKUP(D$2,'HDD-by Country'!$A$4:$A$40,'HDD-by Country'!$C$4:$C$40)/1000/D$3</f>
        <v>23080.801966729141</v>
      </c>
      <c r="E68" s="352">
        <f>E62*24*LOOKUP(E$2,'HDD-by Country'!$A$4:$A$40,'HDD-by Country'!$C$4:$C$40)/1000/E$3</f>
        <v>23534.022107288576</v>
      </c>
      <c r="F68" s="352">
        <f>F62*24*LOOKUP(F$2,'HDD-by Country'!$A$4:$A$40,'HDD-by Country'!$C$4:$C$40)/1000/F$3</f>
        <v>11493.664587139932</v>
      </c>
      <c r="G68" s="352">
        <f>G62*24*LOOKUP(G$2,'HDD-by Country'!$A$4:$A$40,'HDD-by Country'!$C$4:$C$40)/1000/G$3</f>
        <v>23274.009479618224</v>
      </c>
      <c r="H68" s="352">
        <f>H62*24*LOOKUP(H$2,'HDD-by Country'!$A$4:$A$40,'HDD-by Country'!$C$4:$C$40)/1000/H$3</f>
        <v>8756.4220545819317</v>
      </c>
      <c r="I68" s="352">
        <f>I62*24*LOOKUP(I$2,'HDD-by Country'!$A$4:$A$40,'HDD-by Country'!$C$4:$C$40)/1000/I$3</f>
        <v>16513.783466230143</v>
      </c>
      <c r="J68" s="352">
        <f>J62*24*LOOKUP(J$2,'HDD-by Country'!$A$4:$A$40,'HDD-by Country'!$C$4:$C$40)/1000/J$3</f>
        <v>24874.857114313316</v>
      </c>
      <c r="K68" s="352">
        <f>K62*24*LOOKUP(K$2,'HDD-by Country'!$A$4:$A$40,'HDD-by Country'!$C$4:$C$40)/1000/K$3</f>
        <v>13598.437998710118</v>
      </c>
      <c r="L68" s="352">
        <f>L62*24*LOOKUP(L$2,'HDD-by Country'!$A$4:$A$40,'HDD-by Country'!$C$4:$C$40)/1000/L$3</f>
        <v>8349.8817382087236</v>
      </c>
      <c r="M68" s="352">
        <f>M62*24*LOOKUP(M$2,'HDD-by Country'!$A$4:$A$40,'HDD-by Country'!$C$4:$C$40)/1000/M$3</f>
        <v>20961.76638276732</v>
      </c>
      <c r="N68" s="352">
        <f>N62*24*LOOKUP(N$2,'HDD-by Country'!$A$4:$A$40,'HDD-by Country'!$C$4:$C$40)/1000/N$3</f>
        <v>14632.210493488636</v>
      </c>
      <c r="O68" s="352">
        <f>O62*24*LOOKUP(O$2,'HDD-by Country'!$A$4:$A$40,'HDD-by Country'!$C$4:$C$40)/1000/O$3</f>
        <v>28190.424843523888</v>
      </c>
      <c r="P68" s="352">
        <f>P62*24*LOOKUP(P$2,'HDD-by Country'!$A$4:$A$40,'HDD-by Country'!$C$4:$C$40)/1000/P$3</f>
        <v>18454.54376788688</v>
      </c>
      <c r="Q68" s="352">
        <f>Q62*24*LOOKUP(Q$2,'HDD-by Country'!$A$4:$A$40,'HDD-by Country'!$C$4:$C$40)/1000/Q$3</f>
        <v>9778.1265210137481</v>
      </c>
      <c r="R68" s="352">
        <f>R62*24*LOOKUP(R$2,'HDD-by Country'!$A$4:$A$40,'HDD-by Country'!$C$4:$C$40)/1000/R$3</f>
        <v>15942.53455911992</v>
      </c>
      <c r="S68" s="352">
        <f>S62*24*LOOKUP(S$2,'HDD-by Country'!$A$4:$A$40,'HDD-by Country'!$C$4:$C$40)/1000/S$3</f>
        <v>24334.622665099374</v>
      </c>
      <c r="T68" s="352">
        <f>T62*24*LOOKUP(T$2,'HDD-by Country'!$A$4:$A$40,'HDD-by Country'!$C$4:$C$40)/1000/T$3</f>
        <v>12552.06186341301</v>
      </c>
      <c r="U68" s="352">
        <f>U62*24*LOOKUP(U$2,'HDD-by Country'!$A$4:$A$40,'HDD-by Country'!$C$4:$C$40)/1000/U$3</f>
        <v>18047.786483713746</v>
      </c>
      <c r="V68" s="352">
        <f>V62*24*LOOKUP(V$2,'HDD-by Country'!$A$4:$A$40,'HDD-by Country'!$C$4:$C$40)/1000/V$3</f>
        <v>16566.443320554481</v>
      </c>
      <c r="W68" s="352">
        <f>W62*24*LOOKUP(W$2,'HDD-by Country'!$A$4:$A$40,'HDD-by Country'!$C$4:$C$40)/1000/W$3</f>
        <v>17797.403073832375</v>
      </c>
      <c r="X68" s="352">
        <f>X62*24*LOOKUP(X$2,'HDD-by Country'!$A$4:$A$40,'HDD-by Country'!$C$4:$C$40)/1000/X$3</f>
        <v>18451.991314294432</v>
      </c>
      <c r="Y68" s="352">
        <f>Y62*24*LOOKUP(Y$2,'HDD-by Country'!$A$4:$A$40,'HDD-by Country'!$C$4:$C$40)/1000/Y$3</f>
        <v>7014.4229587923101</v>
      </c>
      <c r="Z68" s="352">
        <f>Z62*24*LOOKUP(Z$2,'HDD-by Country'!$A$4:$A$40,'HDD-by Country'!$C$4:$C$40)/1000/Z$3</f>
        <v>27668.882194474703</v>
      </c>
      <c r="AA68" s="352">
        <f>AA62*24*LOOKUP(AA$2,'HDD-by Country'!$A$4:$A$40,'HDD-by Country'!$C$4:$C$40)/1000/AA$3</f>
        <v>12403.354672453488</v>
      </c>
      <c r="AB68" s="352">
        <f>AB62*24*LOOKUP(AB$2,'HDD-by Country'!$A$4:$A$40,'HDD-by Country'!$C$4:$C$40)/1000/AB$3</f>
        <v>24890.977728667072</v>
      </c>
      <c r="AC68" s="352">
        <f>AC62*24*LOOKUP(AC$2,'HDD-by Country'!$A$4:$A$40,'HDD-by Country'!$C$4:$C$40)/1000/AC$3</f>
        <v>14403.336988212293</v>
      </c>
      <c r="AD68" s="352">
        <f>AD62*24*LOOKUP(AD$2,'HDD-by Country'!$A$4:$A$40,'HDD-by Country'!$C$4:$C$40)/1000/AD$3</f>
        <v>17959.807001293477</v>
      </c>
      <c r="AE68" s="352">
        <f>AE62*24*LOOKUP(AE$2,'HDD-by Country'!$A$4:$A$40,'HDD-by Country'!$C$4:$C$40)/1000/AE$3</f>
        <v>11748.436995272283</v>
      </c>
      <c r="AF68" s="352">
        <f>AF62*24*LOOKUP(AF$2,'HDD-by Country'!$A$4:$A$40,'HDD-by Country'!$C$4:$C$40)/1000/AF$3</f>
        <v>16065.595461282393</v>
      </c>
      <c r="AG68" s="352">
        <f>AG62*24*LOOKUP(AG$2,'HDD-by Country'!$A$4:$A$40,'HDD-by Country'!$C$4:$C$40)/1000/AG$3</f>
        <v>25114.450536769586</v>
      </c>
      <c r="AH68" s="352">
        <f>AH62*24*LOOKUP(AH$2,'HDD-by Country'!$A$4:$A$40,'HDD-by Country'!$C$4:$C$40)/1000/AH$3</f>
        <v>20778.626418310399</v>
      </c>
      <c r="AI68" s="352">
        <f>AI62*24*LOOKUP(AI$2,'HDD-by Country'!$A$4:$A$40,'HDD-by Country'!$C$4:$C$40)/1000/AI$3</f>
        <v>17903.030083983871</v>
      </c>
      <c r="AJ68" s="352">
        <f>AJ62*24*LOOKUP(AJ$2,'HDD-by Country'!$A$4:$A$40,'HDD-by Country'!$C$4:$C$40)/1000/AJ$3</f>
        <v>11847.132851275281</v>
      </c>
      <c r="AK68" s="352">
        <f>AK62*24*LOOKUP(AK$2,'HDD-by Country'!$A$4:$A$40,'HDD-by Country'!$C$4:$C$40)/1000/AK$3</f>
        <v>13141.267050743789</v>
      </c>
      <c r="AL68" s="352">
        <f>AL62*24*LOOKUP(AL$2,'HDD-by Country'!$A$4:$A$40,'HDD-by Country'!$C$4:$C$40)/1000/AL$3</f>
        <v>12155.901060924976</v>
      </c>
      <c r="AM68" s="352">
        <f>AM62*24*LOOKUP(AM$2,'HDD-by Country'!$A$4:$A$40,'HDD-by Country'!$C$4:$C$40)/1000/AM$3</f>
        <v>10894.334692462928</v>
      </c>
      <c r="AN68" s="353">
        <f>AN62*24*LOOKUP(AN$2,'HDD-by Country'!$A$4:$A$40,'HDD-by Country'!$C$4:$C$40)/1000/AN$3</f>
        <v>10894.334692462928</v>
      </c>
    </row>
    <row r="69" spans="1:40">
      <c r="A69" s="129"/>
      <c r="B69" s="142" t="s">
        <v>3</v>
      </c>
      <c r="C69" s="129" t="s">
        <v>261</v>
      </c>
      <c r="D69" s="345">
        <f>D63*24*LOOKUP(D$2,'HDD-by Country'!$A$4:$A$40,'HDD-by Country'!$C$4:$C$40)/1000/D$3</f>
        <v>21334.421011598035</v>
      </c>
      <c r="E69" s="349">
        <f>E63*24*LOOKUP(E$2,'HDD-by Country'!$A$4:$A$40,'HDD-by Country'!$C$4:$C$40)/1000/E$3</f>
        <v>23534.022107288576</v>
      </c>
      <c r="F69" s="349">
        <f>F63*24*LOOKUP(F$2,'HDD-by Country'!$A$4:$A$40,'HDD-by Country'!$C$4:$C$40)/1000/F$3</f>
        <v>11493.664587139932</v>
      </c>
      <c r="G69" s="349">
        <f>G63*24*LOOKUP(G$2,'HDD-by Country'!$A$4:$A$40,'HDD-by Country'!$C$4:$C$40)/1000/G$3</f>
        <v>21537.292885951731</v>
      </c>
      <c r="H69" s="349">
        <f>H63*24*LOOKUP(H$2,'HDD-by Country'!$A$4:$A$40,'HDD-by Country'!$C$4:$C$40)/1000/H$3</f>
        <v>8221.1960240463504</v>
      </c>
      <c r="I69" s="349">
        <f>I63*24*LOOKUP(I$2,'HDD-by Country'!$A$4:$A$40,'HDD-by Country'!$C$4:$C$40)/1000/I$3</f>
        <v>12699.0743431311</v>
      </c>
      <c r="J69" s="349">
        <f>J63*24*LOOKUP(J$2,'HDD-by Country'!$A$4:$A$40,'HDD-by Country'!$C$4:$C$40)/1000/J$3</f>
        <v>21991.030465633896</v>
      </c>
      <c r="K69" s="349">
        <f>K63*24*LOOKUP(K$2,'HDD-by Country'!$A$4:$A$40,'HDD-by Country'!$C$4:$C$40)/1000/K$3</f>
        <v>12960.983973327058</v>
      </c>
      <c r="L69" s="349">
        <f>L63*24*LOOKUP(L$2,'HDD-by Country'!$A$4:$A$40,'HDD-by Country'!$C$4:$C$40)/1000/L$3</f>
        <v>8349.8817382087236</v>
      </c>
      <c r="M69" s="349">
        <f>M63*24*LOOKUP(M$2,'HDD-by Country'!$A$4:$A$40,'HDD-by Country'!$C$4:$C$40)/1000/M$3</f>
        <v>18433.669609244513</v>
      </c>
      <c r="N69" s="349">
        <f>N63*24*LOOKUP(N$2,'HDD-by Country'!$A$4:$A$40,'HDD-by Country'!$C$4:$C$40)/1000/N$3</f>
        <v>12727.970725266799</v>
      </c>
      <c r="O69" s="349">
        <f>O63*24*LOOKUP(O$2,'HDD-by Country'!$A$4:$A$40,'HDD-by Country'!$C$4:$C$40)/1000/O$3</f>
        <v>28190.424843523888</v>
      </c>
      <c r="P69" s="349">
        <f>P63*24*LOOKUP(P$2,'HDD-by Country'!$A$4:$A$40,'HDD-by Country'!$C$4:$C$40)/1000/P$3</f>
        <v>18454.54376788688</v>
      </c>
      <c r="Q69" s="349">
        <f>Q63*24*LOOKUP(Q$2,'HDD-by Country'!$A$4:$A$40,'HDD-by Country'!$C$4:$C$40)/1000/Q$3</f>
        <v>10522.9192644873</v>
      </c>
      <c r="R69" s="349">
        <f>R63*24*LOOKUP(R$2,'HDD-by Country'!$A$4:$A$40,'HDD-by Country'!$C$4:$C$40)/1000/R$3</f>
        <v>15942.53455911992</v>
      </c>
      <c r="S69" s="349">
        <f>S63*24*LOOKUP(S$2,'HDD-by Country'!$A$4:$A$40,'HDD-by Country'!$C$4:$C$40)/1000/S$3</f>
        <v>24878.742940020737</v>
      </c>
      <c r="T69" s="349">
        <f>T63*24*LOOKUP(T$2,'HDD-by Country'!$A$4:$A$40,'HDD-by Country'!$C$4:$C$40)/1000/T$3</f>
        <v>10915.53447275058</v>
      </c>
      <c r="U69" s="349">
        <f>U63*24*LOOKUP(U$2,'HDD-by Country'!$A$4:$A$40,'HDD-by Country'!$C$4:$C$40)/1000/U$3</f>
        <v>16931.503184239609</v>
      </c>
      <c r="V69" s="349">
        <f>V63*24*LOOKUP(V$2,'HDD-by Country'!$A$4:$A$40,'HDD-by Country'!$C$4:$C$40)/1000/V$3</f>
        <v>16566.443320554481</v>
      </c>
      <c r="W69" s="349">
        <f>W63*24*LOOKUP(W$2,'HDD-by Country'!$A$4:$A$40,'HDD-by Country'!$C$4:$C$40)/1000/W$3</f>
        <v>18423.743756457337</v>
      </c>
      <c r="X69" s="349">
        <f>X63*24*LOOKUP(X$2,'HDD-by Country'!$A$4:$A$40,'HDD-by Country'!$C$4:$C$40)/1000/X$3</f>
        <v>18451.991314294432</v>
      </c>
      <c r="Y69" s="349">
        <f>Y63*24*LOOKUP(Y$2,'HDD-by Country'!$A$4:$A$40,'HDD-by Country'!$C$4:$C$40)/1000/Y$3</f>
        <v>6999.2808016875579</v>
      </c>
      <c r="Z69" s="349">
        <f>Z63*24*LOOKUP(Z$2,'HDD-by Country'!$A$4:$A$40,'HDD-by Country'!$C$4:$C$40)/1000/Z$3</f>
        <v>20899.988055743048</v>
      </c>
      <c r="AA69" s="349">
        <f>AA63*24*LOOKUP(AA$2,'HDD-by Country'!$A$4:$A$40,'HDD-by Country'!$C$4:$C$40)/1000/AA$3</f>
        <v>12403.354672453488</v>
      </c>
      <c r="AB69" s="349">
        <f>AB63*24*LOOKUP(AB$2,'HDD-by Country'!$A$4:$A$40,'HDD-by Country'!$C$4:$C$40)/1000/AB$3</f>
        <v>16978.671432899926</v>
      </c>
      <c r="AC69" s="349">
        <f>AC63*24*LOOKUP(AC$2,'HDD-by Country'!$A$4:$A$40,'HDD-by Country'!$C$4:$C$40)/1000/AC$3</f>
        <v>13004.070254662276</v>
      </c>
      <c r="AD69" s="349">
        <f>AD63*24*LOOKUP(AD$2,'HDD-by Country'!$A$4:$A$40,'HDD-by Country'!$C$4:$C$40)/1000/AD$3</f>
        <v>15930.42237544073</v>
      </c>
      <c r="AE69" s="349">
        <f>AE63*24*LOOKUP(AE$2,'HDD-by Country'!$A$4:$A$40,'HDD-by Country'!$C$4:$C$40)/1000/AE$3</f>
        <v>11748.436995272283</v>
      </c>
      <c r="AF69" s="349">
        <f>AF63*24*LOOKUP(AF$2,'HDD-by Country'!$A$4:$A$40,'HDD-by Country'!$C$4:$C$40)/1000/AF$3</f>
        <v>16065.595461282393</v>
      </c>
      <c r="AG69" s="349">
        <f>AG63*24*LOOKUP(AG$2,'HDD-by Country'!$A$4:$A$40,'HDD-by Country'!$C$4:$C$40)/1000/AG$3</f>
        <v>20188.52066941567</v>
      </c>
      <c r="AH69" s="349">
        <f>AH63*24*LOOKUP(AH$2,'HDD-by Country'!$A$4:$A$40,'HDD-by Country'!$C$4:$C$40)/1000/AH$3</f>
        <v>22164.962131259334</v>
      </c>
      <c r="AI69" s="349">
        <f>AI63*24*LOOKUP(AI$2,'HDD-by Country'!$A$4:$A$40,'HDD-by Country'!$C$4:$C$40)/1000/AI$3</f>
        <v>17903.030083983871</v>
      </c>
      <c r="AJ69" s="349">
        <f>AJ63*24*LOOKUP(AJ$2,'HDD-by Country'!$A$4:$A$40,'HDD-by Country'!$C$4:$C$40)/1000/AJ$3</f>
        <v>11847.132851275281</v>
      </c>
      <c r="AK69" s="349">
        <f>AK63*24*LOOKUP(AK$2,'HDD-by Country'!$A$4:$A$40,'HDD-by Country'!$C$4:$C$40)/1000/AK$3</f>
        <v>13141.267050743789</v>
      </c>
      <c r="AL69" s="349">
        <f>AL63*24*LOOKUP(AL$2,'HDD-by Country'!$A$4:$A$40,'HDD-by Country'!$C$4:$C$40)/1000/AL$3</f>
        <v>12155.901060924976</v>
      </c>
      <c r="AM69" s="349">
        <f>AM63*24*LOOKUP(AM$2,'HDD-by Country'!$A$4:$A$40,'HDD-by Country'!$C$4:$C$40)/1000/AM$3</f>
        <v>10894.334692462928</v>
      </c>
      <c r="AN69" s="354">
        <f>AN63*24*LOOKUP(AN$2,'HDD-by Country'!$A$4:$A$40,'HDD-by Country'!$C$4:$C$40)/1000/AN$3</f>
        <v>10894.334692462928</v>
      </c>
    </row>
    <row r="70" spans="1:40">
      <c r="A70" s="129"/>
      <c r="B70" s="142" t="s">
        <v>4</v>
      </c>
      <c r="C70" s="129" t="s">
        <v>261</v>
      </c>
      <c r="D70" s="345">
        <f>D64*24*LOOKUP(D$2,'HDD-by Country'!$A$4:$A$40,'HDD-by Country'!$C$4:$C$40)/1000/D$3</f>
        <v>15804.411062141784</v>
      </c>
      <c r="E70" s="349">
        <f>E64*24*LOOKUP(E$2,'HDD-by Country'!$A$4:$A$40,'HDD-by Country'!$C$4:$C$40)/1000/E$3</f>
        <v>23534.022107288576</v>
      </c>
      <c r="F70" s="349">
        <f>F64*24*LOOKUP(F$2,'HDD-by Country'!$A$4:$A$40,'HDD-by Country'!$C$4:$C$40)/1000/F$3</f>
        <v>10627.607011045393</v>
      </c>
      <c r="G70" s="349">
        <f>G64*24*LOOKUP(G$2,'HDD-by Country'!$A$4:$A$40,'HDD-by Country'!$C$4:$C$40)/1000/G$3</f>
        <v>15939.527645348984</v>
      </c>
      <c r="H70" s="349">
        <f>H64*24*LOOKUP(H$2,'HDD-by Country'!$A$4:$A$40,'HDD-by Country'!$C$4:$C$40)/1000/H$3</f>
        <v>7685.9699935107701</v>
      </c>
      <c r="I70" s="349">
        <f>I64*24*LOOKUP(I$2,'HDD-by Country'!$A$4:$A$40,'HDD-by Country'!$C$4:$C$40)/1000/I$3</f>
        <v>12699.0743431311</v>
      </c>
      <c r="J70" s="349">
        <f>J64*24*LOOKUP(J$2,'HDD-by Country'!$A$4:$A$40,'HDD-by Country'!$C$4:$C$40)/1000/J$3</f>
        <v>11888.293939928544</v>
      </c>
      <c r="K70" s="349">
        <f>K64*24*LOOKUP(K$2,'HDD-by Country'!$A$4:$A$40,'HDD-by Country'!$C$4:$C$40)/1000/K$3</f>
        <v>7522.9746688754276</v>
      </c>
      <c r="L70" s="349">
        <f>L64*24*LOOKUP(L$2,'HDD-by Country'!$A$4:$A$40,'HDD-by Country'!$C$4:$C$40)/1000/L$3</f>
        <v>6273.808604717382</v>
      </c>
      <c r="M70" s="349">
        <f>M64*24*LOOKUP(M$2,'HDD-by Country'!$A$4:$A$40,'HDD-by Country'!$C$4:$C$40)/1000/M$3</f>
        <v>18433.669609244513</v>
      </c>
      <c r="N70" s="349">
        <f>N64*24*LOOKUP(N$2,'HDD-by Country'!$A$4:$A$40,'HDD-by Country'!$C$4:$C$40)/1000/N$3</f>
        <v>9824.0351857916503</v>
      </c>
      <c r="O70" s="349">
        <f>O64*24*LOOKUP(O$2,'HDD-by Country'!$A$4:$A$40,'HDD-by Country'!$C$4:$C$40)/1000/O$3</f>
        <v>10354.488196924432</v>
      </c>
      <c r="P70" s="349">
        <f>P64*24*LOOKUP(P$2,'HDD-by Country'!$A$4:$A$40,'HDD-by Country'!$C$4:$C$40)/1000/P$3</f>
        <v>18454.54376788688</v>
      </c>
      <c r="Q70" s="349">
        <f>Q64*24*LOOKUP(Q$2,'HDD-by Country'!$A$4:$A$40,'HDD-by Country'!$C$4:$C$40)/1000/Q$3</f>
        <v>9817.9089806023858</v>
      </c>
      <c r="R70" s="349">
        <f>R64*24*LOOKUP(R$2,'HDD-by Country'!$A$4:$A$40,'HDD-by Country'!$C$4:$C$40)/1000/R$3</f>
        <v>13372.01989496193</v>
      </c>
      <c r="S70" s="349">
        <f>S64*24*LOOKUP(S$2,'HDD-by Country'!$A$4:$A$40,'HDD-by Country'!$C$4:$C$40)/1000/S$3</f>
        <v>19533.869294544613</v>
      </c>
      <c r="T70" s="349">
        <f>T64*24*LOOKUP(T$2,'HDD-by Country'!$A$4:$A$40,'HDD-by Country'!$C$4:$C$40)/1000/T$3</f>
        <v>8424.6495842124386</v>
      </c>
      <c r="U70" s="349">
        <f>U64*24*LOOKUP(U$2,'HDD-by Country'!$A$4:$A$40,'HDD-by Country'!$C$4:$C$40)/1000/U$3</f>
        <v>16015.036087305276</v>
      </c>
      <c r="V70" s="349">
        <f>V64*24*LOOKUP(V$2,'HDD-by Country'!$A$4:$A$40,'HDD-by Country'!$C$4:$C$40)/1000/V$3</f>
        <v>9578.320455557825</v>
      </c>
      <c r="W70" s="349">
        <f>W64*24*LOOKUP(W$2,'HDD-by Country'!$A$4:$A$40,'HDD-by Country'!$C$4:$C$40)/1000/W$3</f>
        <v>8483.7146281704026</v>
      </c>
      <c r="X70" s="349">
        <f>X64*24*LOOKUP(X$2,'HDD-by Country'!$A$4:$A$40,'HDD-by Country'!$C$4:$C$40)/1000/X$3</f>
        <v>16712.526940348303</v>
      </c>
      <c r="Y70" s="349">
        <f>Y64*24*LOOKUP(Y$2,'HDD-by Country'!$A$4:$A$40,'HDD-by Country'!$C$4:$C$40)/1000/Y$3</f>
        <v>5761.633344491539</v>
      </c>
      <c r="Z70" s="349">
        <f>Z64*24*LOOKUP(Z$2,'HDD-by Country'!$A$4:$A$40,'HDD-by Country'!$C$4:$C$40)/1000/Z$3</f>
        <v>19827.912508123354</v>
      </c>
      <c r="AA70" s="349">
        <f>AA64*24*LOOKUP(AA$2,'HDD-by Country'!$A$4:$A$40,'HDD-by Country'!$C$4:$C$40)/1000/AA$3</f>
        <v>7011.448237181271</v>
      </c>
      <c r="AB70" s="349">
        <f>AB64*24*LOOKUP(AB$2,'HDD-by Country'!$A$4:$A$40,'HDD-by Country'!$C$4:$C$40)/1000/AB$3</f>
        <v>11256.082878937354</v>
      </c>
      <c r="AC70" s="349">
        <f>AC64*24*LOOKUP(AC$2,'HDD-by Country'!$A$4:$A$40,'HDD-by Country'!$C$4:$C$40)/1000/AC$3</f>
        <v>12659.019164501786</v>
      </c>
      <c r="AD70" s="349">
        <f>AD64*24*LOOKUP(AD$2,'HDD-by Country'!$A$4:$A$40,'HDD-by Country'!$C$4:$C$40)/1000/AD$3</f>
        <v>15930.42237544073</v>
      </c>
      <c r="AE70" s="349">
        <f>AE64*24*LOOKUP(AE$2,'HDD-by Country'!$A$4:$A$40,'HDD-by Country'!$C$4:$C$40)/1000/AE$3</f>
        <v>6646.5260392740083</v>
      </c>
      <c r="AF70" s="349">
        <f>AF64*24*LOOKUP(AF$2,'HDD-by Country'!$A$4:$A$40,'HDD-by Country'!$C$4:$C$40)/1000/AF$3</f>
        <v>14445.226406862514</v>
      </c>
      <c r="AG70" s="349">
        <f>AG64*24*LOOKUP(AG$2,'HDD-by Country'!$A$4:$A$40,'HDD-by Country'!$C$4:$C$40)/1000/AG$3</f>
        <v>20188.52066941567</v>
      </c>
      <c r="AH70" s="349">
        <f>AH64*24*LOOKUP(AH$2,'HDD-by Country'!$A$4:$A$40,'HDD-by Country'!$C$4:$C$40)/1000/AH$3</f>
        <v>15858.937901317358</v>
      </c>
      <c r="AI70" s="349">
        <f>AI64*24*LOOKUP(AI$2,'HDD-by Country'!$A$4:$A$40,'HDD-by Country'!$C$4:$C$40)/1000/AI$3</f>
        <v>17903.030083983871</v>
      </c>
      <c r="AJ70" s="349">
        <f>AJ64*24*LOOKUP(AJ$2,'HDD-by Country'!$A$4:$A$40,'HDD-by Country'!$C$4:$C$40)/1000/AJ$3</f>
        <v>11847.132851275281</v>
      </c>
      <c r="AK70" s="349">
        <f>AK64*24*LOOKUP(AK$2,'HDD-by Country'!$A$4:$A$40,'HDD-by Country'!$C$4:$C$40)/1000/AK$3</f>
        <v>13141.267050743789</v>
      </c>
      <c r="AL70" s="349">
        <f>AL64*24*LOOKUP(AL$2,'HDD-by Country'!$A$4:$A$40,'HDD-by Country'!$C$4:$C$40)/1000/AL$3</f>
        <v>11237.445849826132</v>
      </c>
      <c r="AM70" s="349">
        <f>AM64*24*LOOKUP(AM$2,'HDD-by Country'!$A$4:$A$40,'HDD-by Country'!$C$4:$C$40)/1000/AM$3</f>
        <v>10894.334692462928</v>
      </c>
      <c r="AN70" s="354">
        <f>AN64*24*LOOKUP(AN$2,'HDD-by Country'!$A$4:$A$40,'HDD-by Country'!$C$4:$C$40)/1000/AN$3</f>
        <v>10894.334692462928</v>
      </c>
    </row>
    <row r="71" spans="1:40">
      <c r="A71" s="129"/>
      <c r="B71" s="142" t="s">
        <v>5</v>
      </c>
      <c r="C71" s="129" t="s">
        <v>261</v>
      </c>
      <c r="D71" s="345">
        <f>D65*24*LOOKUP(D$2,'HDD-by Country'!$A$4:$A$40,'HDD-by Country'!$C$4:$C$40)/1000/D$3</f>
        <v>9929.4348377273909</v>
      </c>
      <c r="E71" s="349">
        <f>E65*24*LOOKUP(E$2,'HDD-by Country'!$A$4:$A$40,'HDD-by Country'!$C$4:$C$40)/1000/E$3</f>
        <v>19017.120465506781</v>
      </c>
      <c r="F71" s="349">
        <f>F65*24*LOOKUP(F$2,'HDD-by Country'!$A$4:$A$40,'HDD-by Country'!$C$4:$C$40)/1000/F$3</f>
        <v>8688.3439323288349</v>
      </c>
      <c r="G71" s="349">
        <f>G65*24*LOOKUP(G$2,'HDD-by Country'!$A$4:$A$40,'HDD-by Country'!$C$4:$C$40)/1000/G$3</f>
        <v>10002.118889662534</v>
      </c>
      <c r="H71" s="349">
        <f>H65*24*LOOKUP(H$2,'HDD-by Country'!$A$4:$A$40,'HDD-by Country'!$C$4:$C$40)/1000/H$3</f>
        <v>7349.7427885938305</v>
      </c>
      <c r="I71" s="349">
        <f>I65*24*LOOKUP(I$2,'HDD-by Country'!$A$4:$A$40,'HDD-by Country'!$C$4:$C$40)/1000/I$3</f>
        <v>10767.536934492169</v>
      </c>
      <c r="J71" s="349">
        <f>J65*24*LOOKUP(J$2,'HDD-by Country'!$A$4:$A$40,'HDD-by Country'!$C$4:$C$40)/1000/J$3</f>
        <v>8437.8419598409837</v>
      </c>
      <c r="K71" s="349">
        <f>K65*24*LOOKUP(K$2,'HDD-by Country'!$A$4:$A$40,'HDD-by Country'!$C$4:$C$40)/1000/K$3</f>
        <v>5848.1664300157672</v>
      </c>
      <c r="L71" s="349">
        <f>L65*24*LOOKUP(L$2,'HDD-by Country'!$A$4:$A$40,'HDD-by Country'!$C$4:$C$40)/1000/L$3</f>
        <v>4772.1771542534307</v>
      </c>
      <c r="M71" s="349">
        <f>M65*24*LOOKUP(M$2,'HDD-by Country'!$A$4:$A$40,'HDD-by Country'!$C$4:$C$40)/1000/M$3</f>
        <v>11233.718819626614</v>
      </c>
      <c r="N71" s="349">
        <f>N65*24*LOOKUP(N$2,'HDD-by Country'!$A$4:$A$40,'HDD-by Country'!$C$4:$C$40)/1000/N$3</f>
        <v>7750.3216351530746</v>
      </c>
      <c r="O71" s="349">
        <f>O65*24*LOOKUP(O$2,'HDD-by Country'!$A$4:$A$40,'HDD-by Country'!$C$4:$C$40)/1000/O$3</f>
        <v>8511.5662218250636</v>
      </c>
      <c r="P71" s="349">
        <f>P65*24*LOOKUP(P$2,'HDD-by Country'!$A$4:$A$40,'HDD-by Country'!$C$4:$C$40)/1000/P$3</f>
        <v>17761.730160832576</v>
      </c>
      <c r="Q71" s="349">
        <f>Q65*24*LOOKUP(Q$2,'HDD-by Country'!$A$4:$A$40,'HDD-by Country'!$C$4:$C$40)/1000/Q$3</f>
        <v>9817.9089806023858</v>
      </c>
      <c r="R71" s="349">
        <f>R65*24*LOOKUP(R$2,'HDD-by Country'!$A$4:$A$40,'HDD-by Country'!$C$4:$C$40)/1000/R$3</f>
        <v>9087.8287880319422</v>
      </c>
      <c r="S71" s="349">
        <f>S65*24*LOOKUP(S$2,'HDD-by Country'!$A$4:$A$40,'HDD-by Country'!$C$4:$C$40)/1000/S$3</f>
        <v>11268.725018089737</v>
      </c>
      <c r="T71" s="349">
        <f>T65*24*LOOKUP(T$2,'HDD-by Country'!$A$4:$A$40,'HDD-by Country'!$C$4:$C$40)/1000/T$3</f>
        <v>6646.3723300342654</v>
      </c>
      <c r="U71" s="349">
        <f>U65*24*LOOKUP(U$2,'HDD-by Country'!$A$4:$A$40,'HDD-by Country'!$C$4:$C$40)/1000/U$3</f>
        <v>12404.338446901633</v>
      </c>
      <c r="V71" s="349">
        <f>V65*24*LOOKUP(V$2,'HDD-by Country'!$A$4:$A$40,'HDD-by Country'!$C$4:$C$40)/1000/V$3</f>
        <v>9578.320455557825</v>
      </c>
      <c r="W71" s="349">
        <f>W65*24*LOOKUP(W$2,'HDD-by Country'!$A$4:$A$40,'HDD-by Country'!$C$4:$C$40)/1000/W$3</f>
        <v>7353.4039676138409</v>
      </c>
      <c r="X71" s="349">
        <f>X65*24*LOOKUP(X$2,'HDD-by Country'!$A$4:$A$40,'HDD-by Country'!$C$4:$C$40)/1000/X$3</f>
        <v>8379.0447200642793</v>
      </c>
      <c r="Y71" s="349">
        <f>Y65*24*LOOKUP(Y$2,'HDD-by Country'!$A$4:$A$40,'HDD-by Country'!$C$4:$C$40)/1000/Y$3</f>
        <v>5043.9275380288072</v>
      </c>
      <c r="Z71" s="349">
        <f>Z65*24*LOOKUP(Z$2,'HDD-by Country'!$A$4:$A$40,'HDD-by Country'!$C$4:$C$40)/1000/Z$3</f>
        <v>11149.141106628287</v>
      </c>
      <c r="AA71" s="349">
        <f>AA65*24*LOOKUP(AA$2,'HDD-by Country'!$A$4:$A$40,'HDD-by Country'!$C$4:$C$40)/1000/AA$3</f>
        <v>7011.448237181271</v>
      </c>
      <c r="AB71" s="349">
        <f>AB65*24*LOOKUP(AB$2,'HDD-by Country'!$A$4:$A$40,'HDD-by Country'!$C$4:$C$40)/1000/AB$3</f>
        <v>11256.082878937354</v>
      </c>
      <c r="AC71" s="349">
        <f>AC65*24*LOOKUP(AC$2,'HDD-by Country'!$A$4:$A$40,'HDD-by Country'!$C$4:$C$40)/1000/AC$3</f>
        <v>12206.640272711536</v>
      </c>
      <c r="AD71" s="349">
        <f>AD65*24*LOOKUP(AD$2,'HDD-by Country'!$A$4:$A$40,'HDD-by Country'!$C$4:$C$40)/1000/AD$3</f>
        <v>13127.837798240673</v>
      </c>
      <c r="AE71" s="349">
        <f>AE65*24*LOOKUP(AE$2,'HDD-by Country'!$A$4:$A$40,'HDD-by Country'!$C$4:$C$40)/1000/AE$3</f>
        <v>6646.5260392740083</v>
      </c>
      <c r="AF71" s="349">
        <f>AF65*24*LOOKUP(AF$2,'HDD-by Country'!$A$4:$A$40,'HDD-by Country'!$C$4:$C$40)/1000/AF$3</f>
        <v>10874.487138326373</v>
      </c>
      <c r="AG71" s="349">
        <f>AG65*24*LOOKUP(AG$2,'HDD-by Country'!$A$4:$A$40,'HDD-by Country'!$C$4:$C$40)/1000/AG$3</f>
        <v>17027.058902091187</v>
      </c>
      <c r="AH71" s="349">
        <f>AH65*24*LOOKUP(AH$2,'HDD-by Country'!$A$4:$A$40,'HDD-by Country'!$C$4:$C$40)/1000/AH$3</f>
        <v>7577.0157376012103</v>
      </c>
      <c r="AI71" s="349">
        <f>AI65*24*LOOKUP(AI$2,'HDD-by Country'!$A$4:$A$40,'HDD-by Country'!$C$4:$C$40)/1000/AI$3</f>
        <v>17210.21647692956</v>
      </c>
      <c r="AJ71" s="349">
        <f>AJ65*24*LOOKUP(AJ$2,'HDD-by Country'!$A$4:$A$40,'HDD-by Country'!$C$4:$C$40)/1000/AJ$3</f>
        <v>9696.8465894411711</v>
      </c>
      <c r="AK71" s="349">
        <f>AK65*24*LOOKUP(AK$2,'HDD-by Country'!$A$4:$A$40,'HDD-by Country'!$C$4:$C$40)/1000/AK$3</f>
        <v>10723.062385847543</v>
      </c>
      <c r="AL71" s="349">
        <f>AL65*24*LOOKUP(AL$2,'HDD-by Country'!$A$4:$A$40,'HDD-by Country'!$C$4:$C$40)/1000/AL$3</f>
        <v>9184.0075238352056</v>
      </c>
      <c r="AM71" s="349">
        <f>AM65*24*LOOKUP(AM$2,'HDD-by Country'!$A$4:$A$40,'HDD-by Country'!$C$4:$C$40)/1000/AM$3</f>
        <v>8916.9838418304007</v>
      </c>
      <c r="AN71" s="354">
        <f>AN65*24*LOOKUP(AN$2,'HDD-by Country'!$A$4:$A$40,'HDD-by Country'!$C$4:$C$40)/1000/AN$3</f>
        <v>8916.9838418304007</v>
      </c>
    </row>
    <row r="72" spans="1:40">
      <c r="A72" s="129"/>
      <c r="B72" s="142" t="s">
        <v>6</v>
      </c>
      <c r="C72" s="129" t="s">
        <v>261</v>
      </c>
      <c r="D72" s="345">
        <f>D66*24*LOOKUP(D$2,'HDD-by Country'!$A$4:$A$40,'HDD-by Country'!$C$4:$C$40)/1000/D$3</f>
        <v>8273.8116595975825</v>
      </c>
      <c r="E72" s="349">
        <f>E66*24*LOOKUP(E$2,'HDD-by Country'!$A$4:$A$40,'HDD-by Country'!$C$4:$C$40)/1000/E$3</f>
        <v>19017.120465506781</v>
      </c>
      <c r="F72" s="349">
        <f>F66*24*LOOKUP(F$2,'HDD-by Country'!$A$4:$A$40,'HDD-by Country'!$C$4:$C$40)/1000/F$3</f>
        <v>6130.9019986047715</v>
      </c>
      <c r="G72" s="349">
        <f>G66*24*LOOKUP(G$2,'HDD-by Country'!$A$4:$A$40,'HDD-by Country'!$C$4:$C$40)/1000/G$3</f>
        <v>8337.3815156545625</v>
      </c>
      <c r="H72" s="349">
        <f>H66*24*LOOKUP(H$2,'HDD-by Country'!$A$4:$A$40,'HDD-by Country'!$C$4:$C$40)/1000/H$3</f>
        <v>7349.7427885938305</v>
      </c>
      <c r="I72" s="349">
        <f>I66*24*LOOKUP(I$2,'HDD-by Country'!$A$4:$A$40,'HDD-by Country'!$C$4:$C$40)/1000/I$3</f>
        <v>7565.9900758850172</v>
      </c>
      <c r="J72" s="349">
        <f>J66*24*LOOKUP(J$2,'HDD-by Country'!$A$4:$A$40,'HDD-by Country'!$C$4:$C$40)/1000/J$3</f>
        <v>4616.2340473647773</v>
      </c>
      <c r="K72" s="349">
        <f>K66*24*LOOKUP(K$2,'HDD-by Country'!$A$4:$A$40,'HDD-by Country'!$C$4:$C$40)/1000/K$3</f>
        <v>5848.1664300157672</v>
      </c>
      <c r="L72" s="349">
        <f>L66*24*LOOKUP(L$2,'HDD-by Country'!$A$4:$A$40,'HDD-by Country'!$C$4:$C$40)/1000/L$3</f>
        <v>3932.1626297368512</v>
      </c>
      <c r="M72" s="349">
        <f>M66*24*LOOKUP(M$2,'HDD-by Country'!$A$4:$A$40,'HDD-by Country'!$C$4:$C$40)/1000/M$3</f>
        <v>11233.718819626614</v>
      </c>
      <c r="N72" s="349">
        <f>N66*24*LOOKUP(N$2,'HDD-by Country'!$A$4:$A$40,'HDD-by Country'!$C$4:$C$40)/1000/N$3</f>
        <v>7594.2512531800057</v>
      </c>
      <c r="O72" s="349">
        <f>O66*24*LOOKUP(O$2,'HDD-by Country'!$A$4:$A$40,'HDD-by Country'!$C$4:$C$40)/1000/O$3</f>
        <v>4512.5131502676477</v>
      </c>
      <c r="P72" s="349">
        <f>P66*24*LOOKUP(P$2,'HDD-by Country'!$A$4:$A$40,'HDD-by Country'!$C$4:$C$40)/1000/P$3</f>
        <v>17761.730160832576</v>
      </c>
      <c r="Q72" s="349">
        <f>Q66*24*LOOKUP(Q$2,'HDD-by Country'!$A$4:$A$40,'HDD-by Country'!$C$4:$C$40)/1000/Q$3</f>
        <v>6464.0848873445766</v>
      </c>
      <c r="R72" s="349">
        <f>R66*24*LOOKUP(R$2,'HDD-by Country'!$A$4:$A$40,'HDD-by Country'!$C$4:$C$40)/1000/R$3</f>
        <v>9087.8287880319422</v>
      </c>
      <c r="S72" s="349">
        <f>S66*24*LOOKUP(S$2,'HDD-by Country'!$A$4:$A$40,'HDD-by Country'!$C$4:$C$40)/1000/S$3</f>
        <v>9151.4452722483456</v>
      </c>
      <c r="T72" s="349">
        <f>T66*24*LOOKUP(T$2,'HDD-by Country'!$A$4:$A$40,'HDD-by Country'!$C$4:$C$40)/1000/T$3</f>
        <v>6512.3312917377034</v>
      </c>
      <c r="U72" s="349">
        <f>U66*24*LOOKUP(U$2,'HDD-by Country'!$A$4:$A$40,'HDD-by Country'!$C$4:$C$40)/1000/U$3</f>
        <v>11239.816294819486</v>
      </c>
      <c r="V72" s="349">
        <f>V66*24*LOOKUP(V$2,'HDD-by Country'!$A$4:$A$40,'HDD-by Country'!$C$4:$C$40)/1000/V$3</f>
        <v>9578.320455557825</v>
      </c>
      <c r="W72" s="349">
        <f>W66*24*LOOKUP(W$2,'HDD-by Country'!$A$4:$A$40,'HDD-by Country'!$C$4:$C$40)/1000/W$3</f>
        <v>6271.0858442892022</v>
      </c>
      <c r="X72" s="349">
        <f>X66*24*LOOKUP(X$2,'HDD-by Country'!$A$4:$A$40,'HDD-by Country'!$C$4:$C$40)/1000/X$3</f>
        <v>8149.7739326476922</v>
      </c>
      <c r="Y72" s="349">
        <f>Y66*24*LOOKUP(Y$2,'HDD-by Country'!$A$4:$A$40,'HDD-by Country'!$C$4:$C$40)/1000/Y$3</f>
        <v>4907.5634348008889</v>
      </c>
      <c r="Z72" s="349">
        <f>Z66*24*LOOKUP(Z$2,'HDD-by Country'!$A$4:$A$40,'HDD-by Country'!$C$4:$C$40)/1000/Z$3</f>
        <v>9927.7296987544669</v>
      </c>
      <c r="AA72" s="349">
        <f>AA66*24*LOOKUP(AA$2,'HDD-by Country'!$A$4:$A$40,'HDD-by Country'!$C$4:$C$40)/1000/AA$3</f>
        <v>5870.1902466116817</v>
      </c>
      <c r="AB72" s="349">
        <f>AB66*24*LOOKUP(AB$2,'HDD-by Country'!$A$4:$A$40,'HDD-by Country'!$C$4:$C$40)/1000/AB$3</f>
        <v>11256.082878937354</v>
      </c>
      <c r="AC72" s="349">
        <f>AC66*24*LOOKUP(AC$2,'HDD-by Country'!$A$4:$A$40,'HDD-by Country'!$C$4:$C$40)/1000/AC$3</f>
        <v>11129.356944050798</v>
      </c>
      <c r="AD72" s="349">
        <f>AD66*24*LOOKUP(AD$2,'HDD-by Country'!$A$4:$A$40,'HDD-by Country'!$C$4:$C$40)/1000/AD$3</f>
        <v>13127.837798240673</v>
      </c>
      <c r="AE72" s="349">
        <f>AE66*24*LOOKUP(AE$2,'HDD-by Country'!$A$4:$A$40,'HDD-by Country'!$C$4:$C$40)/1000/AE$3</f>
        <v>5563.7236039666086</v>
      </c>
      <c r="AF72" s="349">
        <f>AF66*24*LOOKUP(AF$2,'HDD-by Country'!$A$4:$A$40,'HDD-by Country'!$C$4:$C$40)/1000/AF$3</f>
        <v>7014.4523795196073</v>
      </c>
      <c r="AG72" s="349">
        <f>AG66*24*LOOKUP(AG$2,'HDD-by Country'!$A$4:$A$40,'HDD-by Country'!$C$4:$C$40)/1000/AG$3</f>
        <v>14822.21230568491</v>
      </c>
      <c r="AH72" s="349">
        <f>AH66*24*LOOKUP(AH$2,'HDD-by Country'!$A$4:$A$40,'HDD-by Country'!$C$4:$C$40)/1000/AH$3</f>
        <v>5913.7343904962545</v>
      </c>
      <c r="AI72" s="349">
        <f>AI66*24*LOOKUP(AI$2,'HDD-by Country'!$A$4:$A$40,'HDD-by Country'!$C$4:$C$40)/1000/AI$3</f>
        <v>17210.21647692956</v>
      </c>
      <c r="AJ72" s="349">
        <f>AJ66*24*LOOKUP(AJ$2,'HDD-by Country'!$A$4:$A$40,'HDD-by Country'!$C$4:$C$40)/1000/AJ$3</f>
        <v>8894.9662469400519</v>
      </c>
      <c r="AK72" s="349">
        <f>AK66*24*LOOKUP(AK$2,'HDD-by Country'!$A$4:$A$40,'HDD-by Country'!$C$4:$C$40)/1000/AK$3</f>
        <v>9826.0513167440567</v>
      </c>
      <c r="AL72" s="349">
        <f>AL66*24*LOOKUP(AL$2,'HDD-by Country'!$A$4:$A$40,'HDD-by Country'!$C$4:$C$40)/1000/AL$3</f>
        <v>6458.3133238392656</v>
      </c>
      <c r="AM72" s="349">
        <f>AM66*24*LOOKUP(AM$2,'HDD-by Country'!$A$4:$A$40,'HDD-by Country'!$C$4:$C$40)/1000/AM$3</f>
        <v>8179.5942181820401</v>
      </c>
      <c r="AN72" s="354">
        <f>AN66*24*LOOKUP(AN$2,'HDD-by Country'!$A$4:$A$40,'HDD-by Country'!$C$4:$C$40)/1000/AN$3</f>
        <v>8179.5942181820401</v>
      </c>
    </row>
    <row r="73" spans="1:40">
      <c r="A73" s="130"/>
      <c r="B73" s="142" t="s">
        <v>7</v>
      </c>
      <c r="C73" s="129" t="s">
        <v>261</v>
      </c>
      <c r="D73" s="345">
        <f>D67*24*LOOKUP(D$2,'HDD-by Country'!$A$4:$A$40,'HDD-by Country'!$C$4:$C$40)/1000/D$3</f>
        <v>7013.7641395310629</v>
      </c>
      <c r="E73" s="349">
        <f>E67*24*LOOKUP(E$2,'HDD-by Country'!$A$4:$A$40,'HDD-by Country'!$C$4:$C$40)/1000/E$3</f>
        <v>9892.0678726282349</v>
      </c>
      <c r="F73" s="349">
        <f>F67*24*LOOKUP(F$2,'HDD-by Country'!$A$4:$A$40,'HDD-by Country'!$C$4:$C$40)/1000/F$3</f>
        <v>3691.2860804460415</v>
      </c>
      <c r="G73" s="349">
        <f>G67*24*LOOKUP(G$2,'HDD-by Country'!$A$4:$A$40,'HDD-by Country'!$C$4:$C$40)/1000/G$3</f>
        <v>7059.8054721688213</v>
      </c>
      <c r="H73" s="349">
        <f>H67*24*LOOKUP(H$2,'HDD-by Country'!$A$4:$A$40,'HDD-by Country'!$C$4:$C$40)/1000/H$3</f>
        <v>5649.8444454067585</v>
      </c>
      <c r="I73" s="349">
        <f>I67*24*LOOKUP(I$2,'HDD-by Country'!$A$4:$A$40,'HDD-by Country'!$C$4:$C$40)/1000/I$3</f>
        <v>5888.4545572397265</v>
      </c>
      <c r="J73" s="349">
        <f>J67*24*LOOKUP(J$2,'HDD-by Country'!$A$4:$A$40,'HDD-by Country'!$C$4:$C$40)/1000/J$3</f>
        <v>5135.0658328105883</v>
      </c>
      <c r="K73" s="349">
        <f>K67*24*LOOKUP(K$2,'HDD-by Country'!$A$4:$A$40,'HDD-by Country'!$C$4:$C$40)/1000/K$3</f>
        <v>4018.451972335537</v>
      </c>
      <c r="L73" s="349">
        <f>L67*24*LOOKUP(L$2,'HDD-by Country'!$A$4:$A$40,'HDD-by Country'!$C$4:$C$40)/1000/L$3</f>
        <v>3932.1626297368512</v>
      </c>
      <c r="M73" s="349">
        <f>M67*24*LOOKUP(M$2,'HDD-by Country'!$A$4:$A$40,'HDD-by Country'!$C$4:$C$40)/1000/M$3</f>
        <v>6597.3793311545805</v>
      </c>
      <c r="N73" s="349">
        <f>N67*24*LOOKUP(N$2,'HDD-by Country'!$A$4:$A$40,'HDD-by Country'!$C$4:$C$40)/1000/N$3</f>
        <v>6806.0505471784081</v>
      </c>
      <c r="O73" s="349">
        <f>O67*24*LOOKUP(O$2,'HDD-by Country'!$A$4:$A$40,'HDD-by Country'!$C$4:$C$40)/1000/O$3</f>
        <v>4354.9009597162349</v>
      </c>
      <c r="P73" s="349">
        <f>P67*24*LOOKUP(P$2,'HDD-by Country'!$A$4:$A$40,'HDD-by Country'!$C$4:$C$40)/1000/P$3</f>
        <v>4573.737935740216</v>
      </c>
      <c r="Q73" s="349">
        <f>Q67*24*LOOKUP(Q$2,'HDD-by Country'!$A$4:$A$40,'HDD-by Country'!$C$4:$C$40)/1000/Q$3</f>
        <v>3640.944338338255</v>
      </c>
      <c r="R73" s="349">
        <f>R67*24*LOOKUP(R$2,'HDD-by Country'!$A$4:$A$40,'HDD-by Country'!$C$4:$C$40)/1000/R$3</f>
        <v>5177.4579047089692</v>
      </c>
      <c r="S73" s="349">
        <f>S67*24*LOOKUP(S$2,'HDD-by Country'!$A$4:$A$40,'HDD-by Country'!$C$4:$C$40)/1000/S$3</f>
        <v>5069.571959414413</v>
      </c>
      <c r="T73" s="349">
        <f>T67*24*LOOKUP(T$2,'HDD-by Country'!$A$4:$A$40,'HDD-by Country'!$C$4:$C$40)/1000/T$3</f>
        <v>5835.1173674789716</v>
      </c>
      <c r="U73" s="349">
        <f>U67*24*LOOKUP(U$2,'HDD-by Country'!$A$4:$A$40,'HDD-by Country'!$C$4:$C$40)/1000/U$3</f>
        <v>11239.816294819486</v>
      </c>
      <c r="V73" s="349">
        <f>V67*24*LOOKUP(V$2,'HDD-by Country'!$A$4:$A$40,'HDD-by Country'!$C$4:$C$40)/1000/V$3</f>
        <v>4605.5975811223325</v>
      </c>
      <c r="W73" s="349">
        <f>W67*24*LOOKUP(W$2,'HDD-by Country'!$A$4:$A$40,'HDD-by Country'!$C$4:$C$40)/1000/W$3</f>
        <v>4923.3241578641509</v>
      </c>
      <c r="X73" s="349">
        <f>X67*24*LOOKUP(X$2,'HDD-by Country'!$A$4:$A$40,'HDD-by Country'!$C$4:$C$40)/1000/X$3</f>
        <v>4280.0917629028345</v>
      </c>
      <c r="Y73" s="349">
        <f>Y67*24*LOOKUP(Y$2,'HDD-by Country'!$A$4:$A$40,'HDD-by Country'!$C$4:$C$40)/1000/Y$3</f>
        <v>4659.9235905423493</v>
      </c>
      <c r="Z73" s="349">
        <f>Z67*24*LOOKUP(Z$2,'HDD-by Country'!$A$4:$A$40,'HDD-by Country'!$C$4:$C$40)/1000/Z$3</f>
        <v>6464.4972603024362</v>
      </c>
      <c r="AA73" s="349">
        <f>AA67*24*LOOKUP(AA$2,'HDD-by Country'!$A$4:$A$40,'HDD-by Country'!$C$4:$C$40)/1000/AA$3</f>
        <v>5870.1902466116817</v>
      </c>
      <c r="AB73" s="349">
        <f>AB67*24*LOOKUP(AB$2,'HDD-by Country'!$A$4:$A$40,'HDD-by Country'!$C$4:$C$40)/1000/AB$3</f>
        <v>8137.6348048984182</v>
      </c>
      <c r="AC73" s="349">
        <f>AC67*24*LOOKUP(AC$2,'HDD-by Country'!$A$4:$A$40,'HDD-by Country'!$C$4:$C$40)/1000/AC$3</f>
        <v>6794.648909991346</v>
      </c>
      <c r="AD73" s="349">
        <f>AD67*24*LOOKUP(AD$2,'HDD-by Country'!$A$4:$A$40,'HDD-by Country'!$C$4:$C$40)/1000/AD$3</f>
        <v>10576.490155941699</v>
      </c>
      <c r="AE73" s="349">
        <f>AE67*24*LOOKUP(AE$2,'HDD-by Country'!$A$4:$A$40,'HDD-by Country'!$C$4:$C$40)/1000/AE$3</f>
        <v>5563.7236039666086</v>
      </c>
      <c r="AF73" s="349">
        <f>AF67*24*LOOKUP(AF$2,'HDD-by Country'!$A$4:$A$40,'HDD-by Country'!$C$4:$C$40)/1000/AF$3</f>
        <v>3361.5877657260935</v>
      </c>
      <c r="AG73" s="349">
        <f>AG67*24*LOOKUP(AG$2,'HDD-by Country'!$A$4:$A$40,'HDD-by Country'!$C$4:$C$40)/1000/AG$3</f>
        <v>8307.3749139478859</v>
      </c>
      <c r="AH73" s="349">
        <f>AH67*24*LOOKUP(AH$2,'HDD-by Country'!$A$4:$A$40,'HDD-by Country'!$C$4:$C$40)/1000/AH$3</f>
        <v>4748.6306175444824</v>
      </c>
      <c r="AI73" s="349">
        <f>AI67*24*LOOKUP(AI$2,'HDD-by Country'!$A$4:$A$40,'HDD-by Country'!$C$4:$C$40)/1000/AI$3</f>
        <v>4423.3251128575785</v>
      </c>
      <c r="AJ73" s="349">
        <f>AJ67*24*LOOKUP(AJ$2,'HDD-by Country'!$A$4:$A$40,'HDD-by Country'!$C$4:$C$40)/1000/AJ$3</f>
        <v>7627.1718825100697</v>
      </c>
      <c r="AK73" s="349">
        <f>AK67*24*LOOKUP(AK$2,'HDD-by Country'!$A$4:$A$40,'HDD-by Country'!$C$4:$C$40)/1000/AK$3</f>
        <v>8437.4376219313835</v>
      </c>
      <c r="AL73" s="349">
        <f>AL67*24*LOOKUP(AL$2,'HDD-by Country'!$A$4:$A$40,'HDD-by Country'!$C$4:$C$40)/1000/AL$3</f>
        <v>3896.8503695901741</v>
      </c>
      <c r="AM73" s="349">
        <f>AM67*24*LOOKUP(AM$2,'HDD-by Country'!$A$4:$A$40,'HDD-by Country'!$C$4:$C$40)/1000/AM$3</f>
        <v>7013.7614128352352</v>
      </c>
      <c r="AN73" s="354">
        <f>AN67*24*LOOKUP(AN$2,'HDD-by Country'!$A$4:$A$40,'HDD-by Country'!$C$4:$C$40)/1000/AN$3</f>
        <v>7013.7614128352352</v>
      </c>
    </row>
    <row r="74" spans="1:40">
      <c r="A74" s="151" t="s">
        <v>260</v>
      </c>
      <c r="B74" s="141" t="s">
        <v>2</v>
      </c>
      <c r="C74" s="360" t="s">
        <v>261</v>
      </c>
      <c r="D74" s="351">
        <f>D68/(1.355*(D62/D$17)^0.16)</f>
        <v>16292.206173534993</v>
      </c>
      <c r="E74" s="352">
        <f t="shared" ref="E74:AN74" si="24">E68/(1.355*(E62/E$17)^0.16)</f>
        <v>16026.939933975975</v>
      </c>
      <c r="F74" s="352">
        <f t="shared" si="24"/>
        <v>8008.7911117843105</v>
      </c>
      <c r="G74" s="352">
        <f t="shared" si="24"/>
        <v>16435.471931758384</v>
      </c>
      <c r="H74" s="352">
        <f t="shared" si="24"/>
        <v>5497.8870416598847</v>
      </c>
      <c r="I74" s="352">
        <f t="shared" si="24"/>
        <v>12032.668286672826</v>
      </c>
      <c r="J74" s="352">
        <f t="shared" si="24"/>
        <v>16932.209235576618</v>
      </c>
      <c r="K74" s="352">
        <f t="shared" si="24"/>
        <v>10569.252908005785</v>
      </c>
      <c r="L74" s="352">
        <f t="shared" si="24"/>
        <v>6878.5846012427346</v>
      </c>
      <c r="M74" s="352">
        <f t="shared" si="24"/>
        <v>13524.596863440982</v>
      </c>
      <c r="N74" s="352">
        <f t="shared" si="24"/>
        <v>11739.034086380116</v>
      </c>
      <c r="O74" s="352">
        <f t="shared" si="24"/>
        <v>18094.498936784305</v>
      </c>
      <c r="P74" s="352">
        <f t="shared" si="24"/>
        <v>11626.575134185754</v>
      </c>
      <c r="Q74" s="352">
        <f t="shared" si="24"/>
        <v>7004.3854465303002</v>
      </c>
      <c r="R74" s="352">
        <f t="shared" si="24"/>
        <v>11183.072299083611</v>
      </c>
      <c r="S74" s="352">
        <f t="shared" si="24"/>
        <v>16572.091408510161</v>
      </c>
      <c r="T74" s="352">
        <f t="shared" si="24"/>
        <v>10071.27101658082</v>
      </c>
      <c r="U74" s="352">
        <f t="shared" si="24"/>
        <v>12021.519432841884</v>
      </c>
      <c r="V74" s="352">
        <f t="shared" si="24"/>
        <v>12267.755944496315</v>
      </c>
      <c r="W74" s="352">
        <f t="shared" si="24"/>
        <v>12529.986717889033</v>
      </c>
      <c r="X74" s="352">
        <f t="shared" si="24"/>
        <v>13489.737968352332</v>
      </c>
      <c r="Y74" s="352">
        <f t="shared" si="24"/>
        <v>4423.5071594069659</v>
      </c>
      <c r="Z74" s="352">
        <f t="shared" si="24"/>
        <v>18525.858265357227</v>
      </c>
      <c r="AA74" s="352">
        <f t="shared" si="24"/>
        <v>10492.768131128822</v>
      </c>
      <c r="AB74" s="352">
        <f t="shared" si="24"/>
        <v>16894.481250396089</v>
      </c>
      <c r="AC74" s="352">
        <f t="shared" si="24"/>
        <v>9300.3631004849103</v>
      </c>
      <c r="AD74" s="352">
        <f t="shared" si="24"/>
        <v>12097.276382348215</v>
      </c>
      <c r="AE74" s="352">
        <f t="shared" si="24"/>
        <v>9935.1667695121268</v>
      </c>
      <c r="AF74" s="352">
        <f t="shared" si="24"/>
        <v>11364.473061070052</v>
      </c>
      <c r="AG74" s="352">
        <f t="shared" si="24"/>
        <v>16874.375409750672</v>
      </c>
      <c r="AH74" s="352">
        <f t="shared" si="24"/>
        <v>14081.75890913335</v>
      </c>
      <c r="AI74" s="352">
        <f t="shared" si="24"/>
        <v>11266.744476468648</v>
      </c>
      <c r="AJ74" s="352">
        <f t="shared" si="24"/>
        <v>8387.5917161652524</v>
      </c>
      <c r="AK74" s="352">
        <f t="shared" si="24"/>
        <v>9330.7091149307635</v>
      </c>
      <c r="AL74" s="352">
        <f t="shared" si="24"/>
        <v>8476.5699075162029</v>
      </c>
      <c r="AM74" s="352">
        <f t="shared" si="24"/>
        <v>7713.0249628117826</v>
      </c>
      <c r="AN74" s="353">
        <f t="shared" si="24"/>
        <v>7713.0249628117826</v>
      </c>
    </row>
    <row r="75" spans="1:40">
      <c r="A75" s="129"/>
      <c r="B75" s="142" t="s">
        <v>3</v>
      </c>
      <c r="C75" s="129" t="s">
        <v>261</v>
      </c>
      <c r="D75" s="345">
        <f t="shared" ref="D75:AN75" si="25">D69/(1.355*(D63/D$17)^0.16)</f>
        <v>15250.253718799995</v>
      </c>
      <c r="E75" s="349">
        <f t="shared" si="25"/>
        <v>16026.939933975975</v>
      </c>
      <c r="F75" s="349">
        <f t="shared" si="25"/>
        <v>8008.7911117843105</v>
      </c>
      <c r="G75" s="349">
        <f t="shared" si="25"/>
        <v>15398.942632980068</v>
      </c>
      <c r="H75" s="349">
        <f t="shared" si="25"/>
        <v>5214.1893624486729</v>
      </c>
      <c r="I75" s="349">
        <f t="shared" si="25"/>
        <v>9650.2674024579082</v>
      </c>
      <c r="J75" s="349">
        <f t="shared" si="25"/>
        <v>15267.256929139185</v>
      </c>
      <c r="K75" s="349">
        <f t="shared" si="25"/>
        <v>10151.481010015788</v>
      </c>
      <c r="L75" s="349">
        <f t="shared" si="25"/>
        <v>6878.5846012427346</v>
      </c>
      <c r="M75" s="349">
        <f t="shared" si="25"/>
        <v>12140.562911938176</v>
      </c>
      <c r="N75" s="349">
        <f t="shared" si="25"/>
        <v>10441.664020587361</v>
      </c>
      <c r="O75" s="349">
        <f t="shared" si="25"/>
        <v>18094.498936784305</v>
      </c>
      <c r="P75" s="349">
        <f t="shared" si="25"/>
        <v>11626.575134185754</v>
      </c>
      <c r="Q75" s="349">
        <f t="shared" si="25"/>
        <v>7449.8877513239904</v>
      </c>
      <c r="R75" s="349">
        <f t="shared" si="25"/>
        <v>11183.072299083611</v>
      </c>
      <c r="S75" s="349">
        <f t="shared" si="25"/>
        <v>16882.801950230041</v>
      </c>
      <c r="T75" s="349">
        <f t="shared" si="25"/>
        <v>8956.1514286671536</v>
      </c>
      <c r="U75" s="349">
        <f t="shared" si="25"/>
        <v>11393.770922613627</v>
      </c>
      <c r="V75" s="349">
        <f t="shared" si="25"/>
        <v>12267.755944496315</v>
      </c>
      <c r="W75" s="349">
        <f t="shared" si="25"/>
        <v>12899.368786131177</v>
      </c>
      <c r="X75" s="349">
        <f t="shared" si="25"/>
        <v>13489.737968352332</v>
      </c>
      <c r="Y75" s="349">
        <f t="shared" si="25"/>
        <v>4415.4845273142773</v>
      </c>
      <c r="Z75" s="349">
        <f t="shared" si="25"/>
        <v>14636.190482085211</v>
      </c>
      <c r="AA75" s="349">
        <f t="shared" si="25"/>
        <v>10492.768131128822</v>
      </c>
      <c r="AB75" s="349">
        <f t="shared" si="25"/>
        <v>12251.484907591435</v>
      </c>
      <c r="AC75" s="349">
        <f t="shared" si="25"/>
        <v>8535.2746416380542</v>
      </c>
      <c r="AD75" s="349">
        <f t="shared" si="25"/>
        <v>10938.181570375891</v>
      </c>
      <c r="AE75" s="349">
        <f t="shared" si="25"/>
        <v>9935.1667695121268</v>
      </c>
      <c r="AF75" s="349">
        <f t="shared" si="25"/>
        <v>11364.473061070052</v>
      </c>
      <c r="AG75" s="349">
        <f t="shared" si="25"/>
        <v>14046.870936204063</v>
      </c>
      <c r="AH75" s="349">
        <f t="shared" si="25"/>
        <v>14866.852680649212</v>
      </c>
      <c r="AI75" s="349">
        <f t="shared" si="25"/>
        <v>11266.744476468648</v>
      </c>
      <c r="AJ75" s="349">
        <f t="shared" si="25"/>
        <v>8387.5917161652524</v>
      </c>
      <c r="AK75" s="349">
        <f t="shared" si="25"/>
        <v>9330.7091149307635</v>
      </c>
      <c r="AL75" s="349">
        <f t="shared" si="25"/>
        <v>8476.5699075162029</v>
      </c>
      <c r="AM75" s="349">
        <f t="shared" si="25"/>
        <v>7713.0249628117826</v>
      </c>
      <c r="AN75" s="354">
        <f t="shared" si="25"/>
        <v>7713.0249628117826</v>
      </c>
    </row>
    <row r="76" spans="1:40">
      <c r="A76" s="129"/>
      <c r="B76" s="142" t="s">
        <v>4</v>
      </c>
      <c r="C76" s="129" t="s">
        <v>261</v>
      </c>
      <c r="D76" s="345">
        <f t="shared" ref="D76:AN76" si="26">D70/(1.355*(D64/D$17)^0.16)</f>
        <v>11852.853917389486</v>
      </c>
      <c r="E76" s="349">
        <f t="shared" si="26"/>
        <v>16026.939933975975</v>
      </c>
      <c r="F76" s="349">
        <f t="shared" si="26"/>
        <v>7498.7283144964222</v>
      </c>
      <c r="G76" s="349">
        <f t="shared" si="26"/>
        <v>11958.858878184423</v>
      </c>
      <c r="H76" s="349">
        <f t="shared" si="26"/>
        <v>4927.5188167645611</v>
      </c>
      <c r="I76" s="349">
        <f t="shared" si="26"/>
        <v>9650.2674024579082</v>
      </c>
      <c r="J76" s="349">
        <f t="shared" si="26"/>
        <v>9106.9957928382501</v>
      </c>
      <c r="K76" s="349">
        <f t="shared" si="26"/>
        <v>6428.0725873756883</v>
      </c>
      <c r="L76" s="349">
        <f t="shared" si="26"/>
        <v>5410.2068957834326</v>
      </c>
      <c r="M76" s="349">
        <f t="shared" si="26"/>
        <v>12140.562911938176</v>
      </c>
      <c r="N76" s="349">
        <f t="shared" si="26"/>
        <v>8400.314341739193</v>
      </c>
      <c r="O76" s="349">
        <f t="shared" si="26"/>
        <v>7801.3408859884639</v>
      </c>
      <c r="P76" s="349">
        <f t="shared" si="26"/>
        <v>11626.575134185754</v>
      </c>
      <c r="Q76" s="349">
        <f t="shared" si="26"/>
        <v>7028.3155262390828</v>
      </c>
      <c r="R76" s="349">
        <f t="shared" si="26"/>
        <v>9647.5810567068911</v>
      </c>
      <c r="S76" s="349">
        <f t="shared" si="26"/>
        <v>13778.780931886809</v>
      </c>
      <c r="T76" s="349">
        <f t="shared" si="26"/>
        <v>7204.8869991836482</v>
      </c>
      <c r="U76" s="349">
        <f t="shared" si="26"/>
        <v>10873.433523739943</v>
      </c>
      <c r="V76" s="349">
        <f t="shared" si="26"/>
        <v>7742.7564379763617</v>
      </c>
      <c r="W76" s="349">
        <f t="shared" si="26"/>
        <v>6724.551427166497</v>
      </c>
      <c r="X76" s="349">
        <f t="shared" si="26"/>
        <v>12413.166251964012</v>
      </c>
      <c r="Y76" s="349">
        <f t="shared" si="26"/>
        <v>3749.6593574036337</v>
      </c>
      <c r="Z76" s="349">
        <f t="shared" si="26"/>
        <v>14002.902212304956</v>
      </c>
      <c r="AA76" s="349">
        <f t="shared" si="26"/>
        <v>6498.238912730304</v>
      </c>
      <c r="AB76" s="349">
        <f t="shared" si="26"/>
        <v>8674.3099239942749</v>
      </c>
      <c r="AC76" s="349">
        <f t="shared" si="26"/>
        <v>8344.6270294810292</v>
      </c>
      <c r="AD76" s="349">
        <f t="shared" si="26"/>
        <v>10938.181570375891</v>
      </c>
      <c r="AE76" s="349">
        <f t="shared" si="26"/>
        <v>6157.0324272309754</v>
      </c>
      <c r="AF76" s="349">
        <f t="shared" si="26"/>
        <v>10393.5623436775</v>
      </c>
      <c r="AG76" s="349">
        <f t="shared" si="26"/>
        <v>14046.870936204063</v>
      </c>
      <c r="AH76" s="349">
        <f t="shared" si="26"/>
        <v>11222.484287920064</v>
      </c>
      <c r="AI76" s="349">
        <f t="shared" si="26"/>
        <v>11266.744476468648</v>
      </c>
      <c r="AJ76" s="349">
        <f t="shared" si="26"/>
        <v>8387.5917161652524</v>
      </c>
      <c r="AK76" s="349">
        <f t="shared" si="26"/>
        <v>9330.7091149307635</v>
      </c>
      <c r="AL76" s="349">
        <f t="shared" si="26"/>
        <v>7935.2338630228296</v>
      </c>
      <c r="AM76" s="349">
        <f t="shared" si="26"/>
        <v>7713.0249628117826</v>
      </c>
      <c r="AN76" s="354">
        <f t="shared" si="26"/>
        <v>7713.0249628117826</v>
      </c>
    </row>
    <row r="77" spans="1:40">
      <c r="A77" s="129"/>
      <c r="B77" s="142" t="s">
        <v>5</v>
      </c>
      <c r="C77" s="129" t="s">
        <v>261</v>
      </c>
      <c r="D77" s="345">
        <f t="shared" ref="D77:AN77" si="27">D71/(1.355*(D65/D$17)^0.16)</f>
        <v>8021.6877176657517</v>
      </c>
      <c r="E77" s="349">
        <f t="shared" si="27"/>
        <v>13400.081312183645</v>
      </c>
      <c r="F77" s="349">
        <f t="shared" si="27"/>
        <v>6331.2417076307665</v>
      </c>
      <c r="G77" s="349">
        <f t="shared" si="27"/>
        <v>8085.1420718363088</v>
      </c>
      <c r="H77" s="349">
        <f t="shared" si="27"/>
        <v>4745.8061476933626</v>
      </c>
      <c r="I77" s="349">
        <f t="shared" si="27"/>
        <v>8401.3400472424728</v>
      </c>
      <c r="J77" s="349">
        <f t="shared" si="27"/>
        <v>6828.2449446545706</v>
      </c>
      <c r="K77" s="349">
        <f t="shared" si="27"/>
        <v>5202.4758927240146</v>
      </c>
      <c r="L77" s="349">
        <f t="shared" si="27"/>
        <v>4299.4164987679169</v>
      </c>
      <c r="M77" s="349">
        <f t="shared" si="27"/>
        <v>8008.7492033483122</v>
      </c>
      <c r="N77" s="349">
        <f t="shared" si="27"/>
        <v>6883.3615847798792</v>
      </c>
      <c r="O77" s="349">
        <f t="shared" si="27"/>
        <v>6617.1223529366162</v>
      </c>
      <c r="P77" s="349">
        <f t="shared" si="27"/>
        <v>11258.814001893461</v>
      </c>
      <c r="Q77" s="349">
        <f t="shared" si="27"/>
        <v>7028.3155262390828</v>
      </c>
      <c r="R77" s="349">
        <f t="shared" si="27"/>
        <v>6974.6024645051721</v>
      </c>
      <c r="S77" s="349">
        <f t="shared" si="27"/>
        <v>8680.0746179836042</v>
      </c>
      <c r="T77" s="349">
        <f t="shared" si="27"/>
        <v>5903.8422327146527</v>
      </c>
      <c r="U77" s="349">
        <f t="shared" si="27"/>
        <v>8773.3424121617281</v>
      </c>
      <c r="V77" s="349">
        <f t="shared" si="27"/>
        <v>7742.7564379763617</v>
      </c>
      <c r="W77" s="349">
        <f t="shared" si="27"/>
        <v>5963.5012293845857</v>
      </c>
      <c r="X77" s="349">
        <f t="shared" si="27"/>
        <v>6950.4124618426458</v>
      </c>
      <c r="Y77" s="349">
        <f t="shared" si="27"/>
        <v>3353.1989494102136</v>
      </c>
      <c r="Z77" s="349">
        <f t="shared" si="27"/>
        <v>8633.5253240840921</v>
      </c>
      <c r="AA77" s="349">
        <f t="shared" si="27"/>
        <v>6498.238912730304</v>
      </c>
      <c r="AB77" s="349">
        <f t="shared" si="27"/>
        <v>8674.3099239942749</v>
      </c>
      <c r="AC77" s="349">
        <f t="shared" si="27"/>
        <v>8093.4119240347491</v>
      </c>
      <c r="AD77" s="349">
        <f t="shared" si="27"/>
        <v>9297.2924873012598</v>
      </c>
      <c r="AE77" s="349">
        <f t="shared" si="27"/>
        <v>6157.0324272309754</v>
      </c>
      <c r="AF77" s="349">
        <f t="shared" si="27"/>
        <v>8188.0285314610055</v>
      </c>
      <c r="AG77" s="349">
        <f t="shared" si="27"/>
        <v>12174.443290077728</v>
      </c>
      <c r="AH77" s="349">
        <f t="shared" si="27"/>
        <v>6034.4437344596745</v>
      </c>
      <c r="AI77" s="349">
        <f t="shared" si="27"/>
        <v>10899.351781255396</v>
      </c>
      <c r="AJ77" s="349">
        <f t="shared" si="27"/>
        <v>7088.7846929817206</v>
      </c>
      <c r="AK77" s="349">
        <f t="shared" si="27"/>
        <v>7865.5154339809133</v>
      </c>
      <c r="AL77" s="349">
        <f t="shared" si="27"/>
        <v>6698.0133745998746</v>
      </c>
      <c r="AM77" s="349">
        <f t="shared" si="27"/>
        <v>6518.6736721567031</v>
      </c>
      <c r="AN77" s="354">
        <f t="shared" si="27"/>
        <v>6518.6736721567031</v>
      </c>
    </row>
    <row r="78" spans="1:40">
      <c r="A78" s="129"/>
      <c r="B78" s="142" t="s">
        <v>6</v>
      </c>
      <c r="C78" s="129" t="s">
        <v>261</v>
      </c>
      <c r="D78" s="345">
        <f t="shared" ref="D78:AN78" si="28">D72/(1.355*(D66/D$17)^0.16)</f>
        <v>6882.1142086978762</v>
      </c>
      <c r="E78" s="349">
        <f t="shared" si="28"/>
        <v>13400.081312183645</v>
      </c>
      <c r="F78" s="349">
        <f t="shared" si="28"/>
        <v>4723.9172835226473</v>
      </c>
      <c r="G78" s="349">
        <f t="shared" si="28"/>
        <v>6938.6549691878618</v>
      </c>
      <c r="H78" s="349">
        <f t="shared" si="28"/>
        <v>4745.8061476933626</v>
      </c>
      <c r="I78" s="349">
        <f t="shared" si="28"/>
        <v>6246.2312229966283</v>
      </c>
      <c r="J78" s="349">
        <f t="shared" si="28"/>
        <v>4114.1156481889884</v>
      </c>
      <c r="K78" s="349">
        <f t="shared" si="28"/>
        <v>5202.4758927240146</v>
      </c>
      <c r="L78" s="349">
        <f t="shared" si="28"/>
        <v>3654.0799605157931</v>
      </c>
      <c r="M78" s="349">
        <f t="shared" si="28"/>
        <v>8008.7492033483122</v>
      </c>
      <c r="N78" s="349">
        <f t="shared" si="28"/>
        <v>6766.7383149693633</v>
      </c>
      <c r="O78" s="349">
        <f t="shared" si="28"/>
        <v>3883.0476810343603</v>
      </c>
      <c r="P78" s="349">
        <f t="shared" si="28"/>
        <v>11258.814001893461</v>
      </c>
      <c r="Q78" s="349">
        <f t="shared" si="28"/>
        <v>4947.4476991765941</v>
      </c>
      <c r="R78" s="349">
        <f t="shared" si="28"/>
        <v>6974.6024645051721</v>
      </c>
      <c r="S78" s="349">
        <f t="shared" si="28"/>
        <v>7287.8592962740622</v>
      </c>
      <c r="T78" s="349">
        <f t="shared" si="28"/>
        <v>5803.6641330376005</v>
      </c>
      <c r="U78" s="349">
        <f t="shared" si="28"/>
        <v>8076.0869964210615</v>
      </c>
      <c r="V78" s="349">
        <f t="shared" si="28"/>
        <v>7742.7564379763617</v>
      </c>
      <c r="W78" s="349">
        <f t="shared" si="28"/>
        <v>5216.9772460699232</v>
      </c>
      <c r="X78" s="349">
        <f t="shared" si="28"/>
        <v>6790.3078310572328</v>
      </c>
      <c r="Y78" s="349">
        <f t="shared" si="28"/>
        <v>3276.8825168156181</v>
      </c>
      <c r="Z78" s="349">
        <f t="shared" si="28"/>
        <v>7831.759349445756</v>
      </c>
      <c r="AA78" s="349">
        <f t="shared" si="28"/>
        <v>5597.3827843595191</v>
      </c>
      <c r="AB78" s="349">
        <f t="shared" si="28"/>
        <v>8674.3099239942749</v>
      </c>
      <c r="AC78" s="349">
        <f t="shared" si="28"/>
        <v>7489.0329627870033</v>
      </c>
      <c r="AD78" s="349">
        <f t="shared" si="28"/>
        <v>9297.2924873012598</v>
      </c>
      <c r="AE78" s="349">
        <f t="shared" si="28"/>
        <v>5302.7230253722155</v>
      </c>
      <c r="AF78" s="349">
        <f t="shared" si="28"/>
        <v>5665.4020658958079</v>
      </c>
      <c r="AG78" s="349">
        <f t="shared" si="28"/>
        <v>10835.744588197613</v>
      </c>
      <c r="AH78" s="349">
        <f t="shared" si="28"/>
        <v>4900.3002138081974</v>
      </c>
      <c r="AI78" s="349">
        <f t="shared" si="28"/>
        <v>10899.351781255396</v>
      </c>
      <c r="AJ78" s="349">
        <f t="shared" si="28"/>
        <v>6593.0043248491347</v>
      </c>
      <c r="AK78" s="349">
        <f t="shared" si="28"/>
        <v>7308.9964606282301</v>
      </c>
      <c r="AL78" s="349">
        <f t="shared" si="28"/>
        <v>4983.0929670349624</v>
      </c>
      <c r="AM78" s="349">
        <f t="shared" si="28"/>
        <v>6062.7661262387492</v>
      </c>
      <c r="AN78" s="354">
        <f t="shared" si="28"/>
        <v>6062.7661262387492</v>
      </c>
    </row>
    <row r="79" spans="1:40">
      <c r="A79" s="129"/>
      <c r="B79" s="142" t="s">
        <v>7</v>
      </c>
      <c r="C79" s="129" t="s">
        <v>261</v>
      </c>
      <c r="D79" s="345">
        <f t="shared" ref="D79:AN79" si="29">D73/(1.355*(D67/D$17)^0.16)</f>
        <v>5990.2937239197354</v>
      </c>
      <c r="E79" s="349">
        <f t="shared" si="29"/>
        <v>7738.6818213015795</v>
      </c>
      <c r="F79" s="349">
        <f t="shared" si="29"/>
        <v>3084.6868525869677</v>
      </c>
      <c r="G79" s="349">
        <f t="shared" si="29"/>
        <v>6033.8743517684279</v>
      </c>
      <c r="H79" s="349">
        <f t="shared" si="29"/>
        <v>3804.9771105836749</v>
      </c>
      <c r="I79" s="349">
        <f t="shared" si="29"/>
        <v>5060.2494664330225</v>
      </c>
      <c r="J79" s="349">
        <f t="shared" si="29"/>
        <v>4499.180121001752</v>
      </c>
      <c r="K79" s="349">
        <f t="shared" si="29"/>
        <v>3795.970998118069</v>
      </c>
      <c r="L79" s="349">
        <f t="shared" si="29"/>
        <v>3654.0799605157931</v>
      </c>
      <c r="M79" s="349">
        <f t="shared" si="29"/>
        <v>5121.4971462828889</v>
      </c>
      <c r="N79" s="349">
        <f t="shared" si="29"/>
        <v>6171.6879157334924</v>
      </c>
      <c r="O79" s="349">
        <f t="shared" si="29"/>
        <v>3768.7988365389378</v>
      </c>
      <c r="P79" s="349">
        <f t="shared" si="29"/>
        <v>3602.0761693167306</v>
      </c>
      <c r="Q79" s="349">
        <f t="shared" si="29"/>
        <v>3054.7458416075488</v>
      </c>
      <c r="R79" s="349">
        <f t="shared" si="29"/>
        <v>4347.8131184502527</v>
      </c>
      <c r="S79" s="349">
        <f t="shared" si="29"/>
        <v>4437.3586045171496</v>
      </c>
      <c r="T79" s="349">
        <f t="shared" si="29"/>
        <v>5292.3101035281525</v>
      </c>
      <c r="U79" s="349">
        <f t="shared" si="29"/>
        <v>8076.0869964210615</v>
      </c>
      <c r="V79" s="349">
        <f t="shared" si="29"/>
        <v>4185.7449640579598</v>
      </c>
      <c r="W79" s="349">
        <f t="shared" si="29"/>
        <v>4257.4359031429458</v>
      </c>
      <c r="X79" s="349">
        <f t="shared" si="29"/>
        <v>3953.1908206732533</v>
      </c>
      <c r="Y79" s="349">
        <f t="shared" si="29"/>
        <v>3137.4129520742508</v>
      </c>
      <c r="Z79" s="349">
        <f t="shared" si="29"/>
        <v>5462.0362226288107</v>
      </c>
      <c r="AA79" s="349">
        <f t="shared" si="29"/>
        <v>5597.3827843595191</v>
      </c>
      <c r="AB79" s="349">
        <f t="shared" si="29"/>
        <v>6605.232400826616</v>
      </c>
      <c r="AC79" s="349">
        <f t="shared" si="29"/>
        <v>4947.7891025067893</v>
      </c>
      <c r="AD79" s="349">
        <f t="shared" si="29"/>
        <v>7753.9165453087926</v>
      </c>
      <c r="AE79" s="349">
        <f t="shared" si="29"/>
        <v>5302.7230253722155</v>
      </c>
      <c r="AF79" s="349">
        <f t="shared" si="29"/>
        <v>3054.1707287888116</v>
      </c>
      <c r="AG79" s="349">
        <f t="shared" si="29"/>
        <v>6662.5643365772394</v>
      </c>
      <c r="AH79" s="349">
        <f t="shared" si="29"/>
        <v>4075.4560072415675</v>
      </c>
      <c r="AI79" s="349">
        <f t="shared" si="29"/>
        <v>3481.522396528901</v>
      </c>
      <c r="AJ79" s="349">
        <f t="shared" si="29"/>
        <v>5794.1203683989625</v>
      </c>
      <c r="AK79" s="349">
        <f t="shared" si="29"/>
        <v>6430.9665583905007</v>
      </c>
      <c r="AL79" s="349">
        <f t="shared" si="29"/>
        <v>3259.8564034822675</v>
      </c>
      <c r="AM79" s="349">
        <f t="shared" si="29"/>
        <v>5328.131906190285</v>
      </c>
      <c r="AN79" s="354">
        <f t="shared" si="29"/>
        <v>5328.131906190285</v>
      </c>
    </row>
    <row r="80" spans="1:40">
      <c r="A80" s="334" t="s">
        <v>262</v>
      </c>
      <c r="B80" s="359" t="s">
        <v>2</v>
      </c>
      <c r="C80" s="366" t="s">
        <v>190</v>
      </c>
      <c r="D80" s="375">
        <f t="shared" ref="D80:AN80" si="30">D74/D$4</f>
        <v>159.18434532796934</v>
      </c>
      <c r="E80" s="376">
        <f t="shared" si="30"/>
        <v>153.87422137777398</v>
      </c>
      <c r="F80" s="376">
        <f t="shared" si="30"/>
        <v>146.30208143544701</v>
      </c>
      <c r="G80" s="376">
        <f t="shared" si="30"/>
        <v>153.31340434104465</v>
      </c>
      <c r="H80" s="376">
        <f t="shared" si="30"/>
        <v>67.51552327581561</v>
      </c>
      <c r="I80" s="376">
        <f t="shared" si="30"/>
        <v>139.41804330141949</v>
      </c>
      <c r="J80" s="376">
        <f t="shared" si="30"/>
        <v>176.97946496932005</v>
      </c>
      <c r="K80" s="376">
        <f t="shared" si="30"/>
        <v>91.948773562328356</v>
      </c>
      <c r="L80" s="376">
        <f t="shared" si="30"/>
        <v>94.422979998740715</v>
      </c>
      <c r="M80" s="376">
        <f t="shared" si="30"/>
        <v>131.34976784127281</v>
      </c>
      <c r="N80" s="376">
        <f t="shared" si="30"/>
        <v>138.2523116888915</v>
      </c>
      <c r="O80" s="376">
        <f t="shared" si="30"/>
        <v>183.5525340161644</v>
      </c>
      <c r="P80" s="376">
        <f t="shared" si="30"/>
        <v>147.35387649254761</v>
      </c>
      <c r="Q80" s="376">
        <f t="shared" si="30"/>
        <v>120.62010321451956</v>
      </c>
      <c r="R80" s="376">
        <f t="shared" si="30"/>
        <v>141.97432860541758</v>
      </c>
      <c r="S80" s="376">
        <f t="shared" si="30"/>
        <v>154.85613229316192</v>
      </c>
      <c r="T80" s="376">
        <f t="shared" si="30"/>
        <v>117.24820668024024</v>
      </c>
      <c r="U80" s="376">
        <f t="shared" si="30"/>
        <v>119.44585545081534</v>
      </c>
      <c r="V80" s="376">
        <f t="shared" si="30"/>
        <v>148.09328288349874</v>
      </c>
      <c r="W80" s="376">
        <f t="shared" si="30"/>
        <v>158.72151596414443</v>
      </c>
      <c r="X80" s="376">
        <f t="shared" si="30"/>
        <v>165.62189991574903</v>
      </c>
      <c r="Y80" s="376">
        <f t="shared" si="30"/>
        <v>45.559844476518379</v>
      </c>
      <c r="Z80" s="376">
        <f t="shared" si="30"/>
        <v>168.04691215429639</v>
      </c>
      <c r="AA80" s="376">
        <f t="shared" si="30"/>
        <v>95.926204628665673</v>
      </c>
      <c r="AB80" s="376">
        <f t="shared" si="30"/>
        <v>207.3752227573149</v>
      </c>
      <c r="AC80" s="376">
        <f t="shared" si="30"/>
        <v>91.223861636515196</v>
      </c>
      <c r="AD80" s="376">
        <f t="shared" si="30"/>
        <v>198.87656532729486</v>
      </c>
      <c r="AE80" s="376">
        <f t="shared" si="30"/>
        <v>93.133085642769899</v>
      </c>
      <c r="AF80" s="376">
        <f t="shared" si="30"/>
        <v>141.32080507297238</v>
      </c>
      <c r="AG80" s="376">
        <f t="shared" si="30"/>
        <v>209.30089631085144</v>
      </c>
      <c r="AH80" s="376">
        <f t="shared" si="30"/>
        <v>182.06219929677897</v>
      </c>
      <c r="AI80" s="376">
        <f t="shared" si="30"/>
        <v>142.79342410794328</v>
      </c>
      <c r="AJ80" s="376">
        <f t="shared" si="30"/>
        <v>144.43982077346482</v>
      </c>
      <c r="AK80" s="376">
        <f t="shared" si="30"/>
        <v>118.25633453025334</v>
      </c>
      <c r="AL80" s="376">
        <f t="shared" si="30"/>
        <v>143.24286597492247</v>
      </c>
      <c r="AM80" s="376">
        <f t="shared" si="30"/>
        <v>132.82333963665295</v>
      </c>
      <c r="AN80" s="377">
        <f t="shared" si="30"/>
        <v>132.82333963665295</v>
      </c>
    </row>
    <row r="81" spans="1:40">
      <c r="A81" s="154"/>
      <c r="B81" s="347" t="s">
        <v>3</v>
      </c>
      <c r="C81" s="367" t="s">
        <v>190</v>
      </c>
      <c r="D81" s="369">
        <f t="shared" ref="D81:AN81" si="31">D75/D$4</f>
        <v>149.00386285658448</v>
      </c>
      <c r="E81" s="370">
        <f t="shared" si="31"/>
        <v>153.87422137777398</v>
      </c>
      <c r="F81" s="370">
        <f t="shared" si="31"/>
        <v>146.30208143544701</v>
      </c>
      <c r="G81" s="370">
        <f t="shared" si="31"/>
        <v>143.64444952461074</v>
      </c>
      <c r="H81" s="370">
        <f t="shared" si="31"/>
        <v>64.031639900449534</v>
      </c>
      <c r="I81" s="370">
        <f t="shared" si="31"/>
        <v>111.81405208986929</v>
      </c>
      <c r="J81" s="370">
        <f t="shared" si="31"/>
        <v>159.57698876003656</v>
      </c>
      <c r="K81" s="370">
        <f t="shared" si="31"/>
        <v>88.314305356927619</v>
      </c>
      <c r="L81" s="370">
        <f t="shared" si="31"/>
        <v>94.422979998740715</v>
      </c>
      <c r="M81" s="370">
        <f t="shared" si="31"/>
        <v>117.90814440140929</v>
      </c>
      <c r="N81" s="370">
        <f t="shared" si="31"/>
        <v>122.97299574245258</v>
      </c>
      <c r="O81" s="370">
        <f t="shared" si="31"/>
        <v>183.5525340161644</v>
      </c>
      <c r="P81" s="370">
        <f t="shared" si="31"/>
        <v>147.35387649254761</v>
      </c>
      <c r="Q81" s="370">
        <f t="shared" si="31"/>
        <v>128.29194457686782</v>
      </c>
      <c r="R81" s="370">
        <f t="shared" si="31"/>
        <v>141.97432860541758</v>
      </c>
      <c r="S81" s="370">
        <f t="shared" si="31"/>
        <v>157.75953365436521</v>
      </c>
      <c r="T81" s="370">
        <f t="shared" si="31"/>
        <v>104.266153898458</v>
      </c>
      <c r="U81" s="370">
        <f t="shared" si="31"/>
        <v>113.20854424975835</v>
      </c>
      <c r="V81" s="370">
        <f t="shared" si="31"/>
        <v>148.09328288349874</v>
      </c>
      <c r="W81" s="370">
        <f t="shared" si="31"/>
        <v>163.40060167759216</v>
      </c>
      <c r="X81" s="370">
        <f t="shared" si="31"/>
        <v>165.62189991574903</v>
      </c>
      <c r="Y81" s="370">
        <f t="shared" si="31"/>
        <v>45.477215499721552</v>
      </c>
      <c r="Z81" s="370">
        <f t="shared" si="31"/>
        <v>132.76397676084108</v>
      </c>
      <c r="AA81" s="370">
        <f t="shared" si="31"/>
        <v>95.926204628665673</v>
      </c>
      <c r="AB81" s="370">
        <f t="shared" si="31"/>
        <v>150.38368886053189</v>
      </c>
      <c r="AC81" s="370">
        <f t="shared" si="31"/>
        <v>83.71938864385308</v>
      </c>
      <c r="AD81" s="370">
        <f t="shared" si="31"/>
        <v>179.82130133166507</v>
      </c>
      <c r="AE81" s="370">
        <f t="shared" si="31"/>
        <v>93.133085642769899</v>
      </c>
      <c r="AF81" s="370">
        <f t="shared" si="31"/>
        <v>141.32080507297238</v>
      </c>
      <c r="AG81" s="370">
        <f t="shared" si="31"/>
        <v>174.23001479577724</v>
      </c>
      <c r="AH81" s="370">
        <f t="shared" si="31"/>
        <v>192.21262863012547</v>
      </c>
      <c r="AI81" s="370">
        <f t="shared" si="31"/>
        <v>142.79342410794328</v>
      </c>
      <c r="AJ81" s="370">
        <f t="shared" si="31"/>
        <v>144.43982077346482</v>
      </c>
      <c r="AK81" s="370">
        <f t="shared" si="31"/>
        <v>118.25633453025334</v>
      </c>
      <c r="AL81" s="370">
        <f t="shared" si="31"/>
        <v>143.24286597492247</v>
      </c>
      <c r="AM81" s="370">
        <f t="shared" si="31"/>
        <v>132.82333963665295</v>
      </c>
      <c r="AN81" s="371">
        <f t="shared" si="31"/>
        <v>132.82333963665295</v>
      </c>
    </row>
    <row r="82" spans="1:40">
      <c r="A82" s="154"/>
      <c r="B82" s="347" t="s">
        <v>4</v>
      </c>
      <c r="C82" s="367" t="s">
        <v>190</v>
      </c>
      <c r="D82" s="369">
        <f t="shared" ref="D82:AN82" si="32">D76/D$4</f>
        <v>115.80928764408812</v>
      </c>
      <c r="E82" s="370">
        <f t="shared" si="32"/>
        <v>153.87422137777398</v>
      </c>
      <c r="F82" s="370">
        <f t="shared" si="32"/>
        <v>136.98441440375203</v>
      </c>
      <c r="G82" s="370">
        <f t="shared" si="32"/>
        <v>111.55465290326008</v>
      </c>
      <c r="H82" s="370">
        <f t="shared" si="32"/>
        <v>60.51124892970617</v>
      </c>
      <c r="I82" s="370">
        <f t="shared" si="32"/>
        <v>111.81405208986929</v>
      </c>
      <c r="J82" s="370">
        <f t="shared" si="32"/>
        <v>95.188478979333539</v>
      </c>
      <c r="K82" s="370">
        <f t="shared" si="32"/>
        <v>55.921964960372755</v>
      </c>
      <c r="L82" s="370">
        <f t="shared" si="32"/>
        <v>74.266420655393944</v>
      </c>
      <c r="M82" s="370">
        <f t="shared" si="32"/>
        <v>117.90814440140929</v>
      </c>
      <c r="N82" s="370">
        <f t="shared" si="32"/>
        <v>98.931723693198137</v>
      </c>
      <c r="O82" s="370">
        <f t="shared" si="32"/>
        <v>79.137636988447838</v>
      </c>
      <c r="P82" s="370">
        <f t="shared" si="32"/>
        <v>147.35387649254761</v>
      </c>
      <c r="Q82" s="370">
        <f t="shared" si="32"/>
        <v>121.03219485431288</v>
      </c>
      <c r="R82" s="370">
        <f t="shared" si="32"/>
        <v>122.48054975952768</v>
      </c>
      <c r="S82" s="370">
        <f t="shared" si="32"/>
        <v>128.75434187691243</v>
      </c>
      <c r="T82" s="370">
        <f t="shared" si="32"/>
        <v>83.878199543760758</v>
      </c>
      <c r="U82" s="370">
        <f t="shared" si="32"/>
        <v>108.03847019391776</v>
      </c>
      <c r="V82" s="370">
        <f t="shared" si="32"/>
        <v>93.468620068341536</v>
      </c>
      <c r="W82" s="370">
        <f t="shared" si="32"/>
        <v>85.182133128273108</v>
      </c>
      <c r="X82" s="370">
        <f t="shared" si="32"/>
        <v>152.4041596244177</v>
      </c>
      <c r="Y82" s="370">
        <f t="shared" si="32"/>
        <v>38.619559324084854</v>
      </c>
      <c r="Z82" s="370">
        <f t="shared" si="32"/>
        <v>127.01945811475412</v>
      </c>
      <c r="AA82" s="370">
        <f t="shared" si="32"/>
        <v>59.407716617622839</v>
      </c>
      <c r="AB82" s="370">
        <f t="shared" si="32"/>
        <v>106.47482607446894</v>
      </c>
      <c r="AC82" s="370">
        <f t="shared" si="32"/>
        <v>81.849395912941574</v>
      </c>
      <c r="AD82" s="370">
        <f t="shared" si="32"/>
        <v>179.82130133166507</v>
      </c>
      <c r="AE82" s="370">
        <f t="shared" si="32"/>
        <v>57.716537794842893</v>
      </c>
      <c r="AF82" s="370">
        <f t="shared" si="32"/>
        <v>129.24722423041518</v>
      </c>
      <c r="AG82" s="370">
        <f t="shared" si="32"/>
        <v>174.23001479577724</v>
      </c>
      <c r="AH82" s="370">
        <f t="shared" si="32"/>
        <v>145.09481267337077</v>
      </c>
      <c r="AI82" s="370">
        <f t="shared" si="32"/>
        <v>142.79342410794328</v>
      </c>
      <c r="AJ82" s="370">
        <f t="shared" si="32"/>
        <v>144.43982077346482</v>
      </c>
      <c r="AK82" s="370">
        <f t="shared" si="32"/>
        <v>118.25633453025334</v>
      </c>
      <c r="AL82" s="370">
        <f t="shared" si="32"/>
        <v>134.09499987875523</v>
      </c>
      <c r="AM82" s="370">
        <f t="shared" si="32"/>
        <v>132.82333963665295</v>
      </c>
      <c r="AN82" s="371">
        <f t="shared" si="32"/>
        <v>132.82333963665295</v>
      </c>
    </row>
    <row r="83" spans="1:40">
      <c r="A83" s="154"/>
      <c r="B83" s="347" t="s">
        <v>5</v>
      </c>
      <c r="C83" s="367" t="s">
        <v>190</v>
      </c>
      <c r="D83" s="369">
        <f t="shared" ref="D83:AN83" si="33">D77/D$4</f>
        <v>78.376562029780331</v>
      </c>
      <c r="E83" s="370">
        <f t="shared" si="33"/>
        <v>128.65382205245427</v>
      </c>
      <c r="F83" s="370">
        <f t="shared" si="33"/>
        <v>115.65713563615805</v>
      </c>
      <c r="G83" s="370">
        <f t="shared" si="33"/>
        <v>75.419839525205191</v>
      </c>
      <c r="H83" s="370">
        <f t="shared" si="33"/>
        <v>58.279768754645488</v>
      </c>
      <c r="I83" s="370">
        <f t="shared" si="33"/>
        <v>97.343196254625454</v>
      </c>
      <c r="J83" s="370">
        <f t="shared" si="33"/>
        <v>71.370434901389686</v>
      </c>
      <c r="K83" s="370">
        <f t="shared" si="33"/>
        <v>45.259705864471556</v>
      </c>
      <c r="L83" s="370">
        <f t="shared" si="33"/>
        <v>59.01849604293222</v>
      </c>
      <c r="M83" s="370">
        <f t="shared" si="33"/>
        <v>77.78031087953174</v>
      </c>
      <c r="N83" s="370">
        <f t="shared" si="33"/>
        <v>81.06635045812196</v>
      </c>
      <c r="O83" s="370">
        <f t="shared" si="33"/>
        <v>67.124797432626394</v>
      </c>
      <c r="P83" s="370">
        <f t="shared" si="33"/>
        <v>142.69291418497866</v>
      </c>
      <c r="Q83" s="370">
        <f t="shared" si="33"/>
        <v>121.03219485431288</v>
      </c>
      <c r="R83" s="370">
        <f t="shared" si="33"/>
        <v>88.545837468023436</v>
      </c>
      <c r="S83" s="370">
        <f t="shared" si="33"/>
        <v>81.110027106580318</v>
      </c>
      <c r="T83" s="370">
        <f t="shared" si="33"/>
        <v>68.731634087617309</v>
      </c>
      <c r="U83" s="370">
        <f t="shared" si="33"/>
        <v>87.171958206937319</v>
      </c>
      <c r="V83" s="370">
        <f t="shared" si="33"/>
        <v>93.468620068341536</v>
      </c>
      <c r="W83" s="370">
        <f t="shared" si="33"/>
        <v>75.541656738597595</v>
      </c>
      <c r="X83" s="370">
        <f t="shared" si="33"/>
        <v>85.334535024261882</v>
      </c>
      <c r="Y83" s="370">
        <f t="shared" si="33"/>
        <v>34.53622140275575</v>
      </c>
      <c r="Z83" s="370">
        <f t="shared" si="33"/>
        <v>78.314173137731103</v>
      </c>
      <c r="AA83" s="370">
        <f t="shared" si="33"/>
        <v>59.407716617622839</v>
      </c>
      <c r="AB83" s="370">
        <f t="shared" si="33"/>
        <v>106.47482607446894</v>
      </c>
      <c r="AC83" s="370">
        <f t="shared" si="33"/>
        <v>79.385318782550911</v>
      </c>
      <c r="AD83" s="370">
        <f t="shared" si="33"/>
        <v>152.84544539428163</v>
      </c>
      <c r="AE83" s="370">
        <f t="shared" si="33"/>
        <v>57.716537794842893</v>
      </c>
      <c r="AF83" s="370">
        <f t="shared" si="33"/>
        <v>101.82071599873929</v>
      </c>
      <c r="AG83" s="370">
        <f t="shared" si="33"/>
        <v>151.00540498977495</v>
      </c>
      <c r="AH83" s="370">
        <f t="shared" si="33"/>
        <v>78.01895380525383</v>
      </c>
      <c r="AI83" s="370">
        <f t="shared" si="33"/>
        <v>138.13713132955331</v>
      </c>
      <c r="AJ83" s="370">
        <f t="shared" si="33"/>
        <v>122.07351349525173</v>
      </c>
      <c r="AK83" s="370">
        <f t="shared" si="33"/>
        <v>99.686638277611721</v>
      </c>
      <c r="AL83" s="370">
        <f t="shared" si="33"/>
        <v>113.18760330936539</v>
      </c>
      <c r="AM83" s="370">
        <f t="shared" si="33"/>
        <v>112.25582846055492</v>
      </c>
      <c r="AN83" s="371">
        <f t="shared" si="33"/>
        <v>112.25582846055491</v>
      </c>
    </row>
    <row r="84" spans="1:40">
      <c r="A84" s="154"/>
      <c r="B84" s="347" t="s">
        <v>6</v>
      </c>
      <c r="C84" s="367" t="s">
        <v>190</v>
      </c>
      <c r="D84" s="369">
        <f t="shared" ref="D84:AN84" si="34">D78/D$4</f>
        <v>67.24226498946804</v>
      </c>
      <c r="E84" s="370">
        <f t="shared" si="34"/>
        <v>128.65382205245427</v>
      </c>
      <c r="F84" s="370">
        <f t="shared" si="34"/>
        <v>86.295037723148809</v>
      </c>
      <c r="G84" s="370">
        <f t="shared" si="34"/>
        <v>64.725176088100653</v>
      </c>
      <c r="H84" s="370">
        <f t="shared" si="34"/>
        <v>58.279768754645488</v>
      </c>
      <c r="I84" s="370">
        <f t="shared" si="34"/>
        <v>72.37275343848269</v>
      </c>
      <c r="J84" s="370">
        <f t="shared" si="34"/>
        <v>43.001712068885794</v>
      </c>
      <c r="K84" s="370">
        <f t="shared" si="34"/>
        <v>45.259705864471556</v>
      </c>
      <c r="L84" s="370">
        <f t="shared" si="34"/>
        <v>50.159900477671897</v>
      </c>
      <c r="M84" s="370">
        <f t="shared" si="34"/>
        <v>77.78031087953174</v>
      </c>
      <c r="N84" s="370">
        <f t="shared" si="34"/>
        <v>79.692861248585729</v>
      </c>
      <c r="O84" s="370">
        <f t="shared" si="34"/>
        <v>39.390051310595403</v>
      </c>
      <c r="P84" s="370">
        <f t="shared" si="34"/>
        <v>142.69291418497866</v>
      </c>
      <c r="Q84" s="370">
        <f t="shared" si="34"/>
        <v>85.198288512053637</v>
      </c>
      <c r="R84" s="370">
        <f t="shared" si="34"/>
        <v>88.545837468023436</v>
      </c>
      <c r="S84" s="370">
        <f t="shared" si="34"/>
        <v>68.100620223360508</v>
      </c>
      <c r="T84" s="370">
        <f t="shared" si="34"/>
        <v>67.565375874882179</v>
      </c>
      <c r="U84" s="370">
        <f t="shared" si="34"/>
        <v>80.244026170881085</v>
      </c>
      <c r="V84" s="370">
        <f t="shared" si="34"/>
        <v>93.468620068341536</v>
      </c>
      <c r="W84" s="370">
        <f t="shared" si="34"/>
        <v>66.085188746805727</v>
      </c>
      <c r="X84" s="370">
        <f t="shared" si="34"/>
        <v>83.368830931402584</v>
      </c>
      <c r="Y84" s="370">
        <f t="shared" si="34"/>
        <v>33.75020146999303</v>
      </c>
      <c r="Z84" s="370">
        <f t="shared" si="34"/>
        <v>71.041403672561373</v>
      </c>
      <c r="AA84" s="370">
        <f t="shared" si="34"/>
        <v>51.171976703127392</v>
      </c>
      <c r="AB84" s="370">
        <f t="shared" si="34"/>
        <v>106.47482607446894</v>
      </c>
      <c r="AC84" s="370">
        <f t="shared" si="34"/>
        <v>73.45718649984353</v>
      </c>
      <c r="AD84" s="370">
        <f t="shared" si="34"/>
        <v>152.84544539428163</v>
      </c>
      <c r="AE84" s="370">
        <f t="shared" si="34"/>
        <v>49.708169889747076</v>
      </c>
      <c r="AF84" s="370">
        <f t="shared" si="34"/>
        <v>70.451060661768182</v>
      </c>
      <c r="AG84" s="370">
        <f t="shared" si="34"/>
        <v>134.40088888829149</v>
      </c>
      <c r="AH84" s="370">
        <f t="shared" si="34"/>
        <v>63.355681623106541</v>
      </c>
      <c r="AI84" s="370">
        <f t="shared" si="34"/>
        <v>138.13713132955331</v>
      </c>
      <c r="AJ84" s="370">
        <f t="shared" si="34"/>
        <v>113.53585096477119</v>
      </c>
      <c r="AK84" s="370">
        <f t="shared" si="34"/>
        <v>92.633380794756803</v>
      </c>
      <c r="AL84" s="370">
        <f t="shared" si="34"/>
        <v>84.207707339810369</v>
      </c>
      <c r="AM84" s="370">
        <f t="shared" si="34"/>
        <v>104.4048020336551</v>
      </c>
      <c r="AN84" s="371">
        <f t="shared" si="34"/>
        <v>104.40480203365509</v>
      </c>
    </row>
    <row r="85" spans="1:40">
      <c r="A85" s="155"/>
      <c r="B85" s="338" t="s">
        <v>7</v>
      </c>
      <c r="C85" s="368" t="s">
        <v>190</v>
      </c>
      <c r="D85" s="378">
        <f t="shared" ref="D85:AN85" si="35">D79/D$4</f>
        <v>58.528659323828592</v>
      </c>
      <c r="E85" s="379">
        <f t="shared" si="35"/>
        <v>74.298877056295538</v>
      </c>
      <c r="F85" s="379">
        <f t="shared" si="35"/>
        <v>56.350090895239397</v>
      </c>
      <c r="G85" s="379">
        <f t="shared" si="35"/>
        <v>56.285199602221624</v>
      </c>
      <c r="H85" s="379">
        <f t="shared" si="35"/>
        <v>46.726136555180616</v>
      </c>
      <c r="I85" s="379">
        <f t="shared" si="35"/>
        <v>58.631224797290606</v>
      </c>
      <c r="J85" s="379">
        <f t="shared" si="35"/>
        <v>47.026497224145267</v>
      </c>
      <c r="K85" s="379">
        <f t="shared" si="35"/>
        <v>33.023609217520374</v>
      </c>
      <c r="L85" s="379">
        <f t="shared" si="35"/>
        <v>50.159900477671897</v>
      </c>
      <c r="M85" s="379">
        <f t="shared" si="35"/>
        <v>49.73955733811394</v>
      </c>
      <c r="N85" s="379">
        <f t="shared" si="35"/>
        <v>72.684866156280378</v>
      </c>
      <c r="O85" s="379">
        <f t="shared" si="35"/>
        <v>38.231098803050571</v>
      </c>
      <c r="P85" s="379">
        <f t="shared" si="35"/>
        <v>45.652299223490864</v>
      </c>
      <c r="Q85" s="379">
        <f t="shared" si="35"/>
        <v>52.604723358185488</v>
      </c>
      <c r="R85" s="379">
        <f t="shared" si="35"/>
        <v>55.197519240252419</v>
      </c>
      <c r="S85" s="379">
        <f t="shared" si="35"/>
        <v>41.464421970327727</v>
      </c>
      <c r="T85" s="379">
        <f t="shared" si="35"/>
        <v>61.612269971963862</v>
      </c>
      <c r="U85" s="379">
        <f t="shared" si="35"/>
        <v>80.244026170881085</v>
      </c>
      <c r="V85" s="379">
        <f t="shared" si="35"/>
        <v>50.529266790517859</v>
      </c>
      <c r="W85" s="379">
        <f t="shared" si="35"/>
        <v>53.930358896730738</v>
      </c>
      <c r="X85" s="379">
        <f t="shared" si="35"/>
        <v>48.535781494455087</v>
      </c>
      <c r="Y85" s="379">
        <f t="shared" si="35"/>
        <v>32.313736816530984</v>
      </c>
      <c r="Z85" s="379">
        <f t="shared" si="35"/>
        <v>49.54579205672173</v>
      </c>
      <c r="AA85" s="379">
        <f t="shared" si="35"/>
        <v>51.171976703127392</v>
      </c>
      <c r="AB85" s="379">
        <f t="shared" si="35"/>
        <v>81.077454831774688</v>
      </c>
      <c r="AC85" s="379">
        <f t="shared" si="35"/>
        <v>48.531054499388716</v>
      </c>
      <c r="AD85" s="379">
        <f t="shared" si="35"/>
        <v>127.47268406759864</v>
      </c>
      <c r="AE85" s="379">
        <f t="shared" si="35"/>
        <v>49.708169889747076</v>
      </c>
      <c r="AF85" s="379">
        <f t="shared" si="35"/>
        <v>37.979575815202956</v>
      </c>
      <c r="AG85" s="379">
        <f t="shared" si="35"/>
        <v>82.638951280445269</v>
      </c>
      <c r="AH85" s="379">
        <f t="shared" si="35"/>
        <v>52.691321347251659</v>
      </c>
      <c r="AI85" s="379">
        <f t="shared" si="35"/>
        <v>44.124414567771694</v>
      </c>
      <c r="AJ85" s="379">
        <f t="shared" si="35"/>
        <v>99.778546199200747</v>
      </c>
      <c r="AK85" s="379">
        <f t="shared" si="35"/>
        <v>81.505330764728512</v>
      </c>
      <c r="AL85" s="379">
        <f t="shared" si="35"/>
        <v>55.087279288224359</v>
      </c>
      <c r="AM85" s="379">
        <f t="shared" si="35"/>
        <v>91.753919793720897</v>
      </c>
      <c r="AN85" s="380">
        <f t="shared" si="35"/>
        <v>91.753919793720883</v>
      </c>
    </row>
    <row r="86" spans="1:40">
      <c r="A86" s="151" t="s">
        <v>285</v>
      </c>
      <c r="B86" s="141" t="s">
        <v>2</v>
      </c>
      <c r="C86" s="144" t="s">
        <v>148</v>
      </c>
      <c r="D86" s="381">
        <f t="shared" ref="D86:AN86" si="36">1-(D80/D$48)</f>
        <v>4.9181406701526931E-2</v>
      </c>
      <c r="E86" s="382">
        <f t="shared" si="36"/>
        <v>6.7666182329749525E-2</v>
      </c>
      <c r="F86" s="382">
        <f t="shared" si="36"/>
        <v>7.763918035763917E-2</v>
      </c>
      <c r="G86" s="382">
        <f t="shared" si="36"/>
        <v>4.7604114971912082E-2</v>
      </c>
      <c r="H86" s="382">
        <f t="shared" si="36"/>
        <v>3.2052599616739785E-2</v>
      </c>
      <c r="I86" s="382">
        <f t="shared" si="36"/>
        <v>7.7237979506025956E-2</v>
      </c>
      <c r="J86" s="382">
        <f t="shared" si="36"/>
        <v>6.2854170611250537E-2</v>
      </c>
      <c r="K86" s="382">
        <f t="shared" si="36"/>
        <v>8.0507411164819853E-2</v>
      </c>
      <c r="L86" s="382">
        <f t="shared" si="36"/>
        <v>9.3259748744475179E-2</v>
      </c>
      <c r="M86" s="382">
        <f t="shared" si="36"/>
        <v>7.4006407856148981E-2</v>
      </c>
      <c r="N86" s="382">
        <f t="shared" si="36"/>
        <v>0.10014610006164282</v>
      </c>
      <c r="O86" s="382">
        <f t="shared" si="36"/>
        <v>5.3419588080008018E-2</v>
      </c>
      <c r="P86" s="382">
        <f t="shared" si="36"/>
        <v>3.8739455108811494E-2</v>
      </c>
      <c r="Q86" s="382">
        <f t="shared" si="36"/>
        <v>0.15088485311653033</v>
      </c>
      <c r="R86" s="382">
        <f t="shared" si="36"/>
        <v>5.7644767912254147E-2</v>
      </c>
      <c r="S86" s="382">
        <f t="shared" si="36"/>
        <v>7.0032105363117658E-2</v>
      </c>
      <c r="T86" s="382">
        <f t="shared" si="36"/>
        <v>9.9392359200547897E-2</v>
      </c>
      <c r="U86" s="382">
        <f t="shared" si="36"/>
        <v>8.8595209667005514E-2</v>
      </c>
      <c r="V86" s="382">
        <f t="shared" si="36"/>
        <v>6.3041101369289865E-2</v>
      </c>
      <c r="W86" s="382">
        <f t="shared" si="36"/>
        <v>0.11000437398481688</v>
      </c>
      <c r="X86" s="382">
        <f t="shared" si="36"/>
        <v>7.8592037550128557E-2</v>
      </c>
      <c r="Y86" s="382">
        <f t="shared" si="36"/>
        <v>6.8976667662155711E-2</v>
      </c>
      <c r="Z86" s="382">
        <f t="shared" si="36"/>
        <v>5.6024367815742826E-2</v>
      </c>
      <c r="AA86" s="382">
        <f t="shared" si="36"/>
        <v>0.13330785794924815</v>
      </c>
      <c r="AB86" s="382">
        <f t="shared" si="36"/>
        <v>6.9572934882454085E-2</v>
      </c>
      <c r="AC86" s="382">
        <f t="shared" si="36"/>
        <v>5.2516462993620228E-2</v>
      </c>
      <c r="AD86" s="382">
        <f t="shared" si="36"/>
        <v>5.77498284777066E-2</v>
      </c>
      <c r="AE86" s="382">
        <f t="shared" si="36"/>
        <v>0.13535175016057222</v>
      </c>
      <c r="AF86" s="382">
        <f t="shared" si="36"/>
        <v>5.6605497518610881E-2</v>
      </c>
      <c r="AG86" s="382">
        <f t="shared" si="36"/>
        <v>7.0245942520623106E-2</v>
      </c>
      <c r="AH86" s="382">
        <f t="shared" si="36"/>
        <v>8.1405058105739836E-2</v>
      </c>
      <c r="AI86" s="382">
        <f t="shared" si="36"/>
        <v>3.9880852416148471E-2</v>
      </c>
      <c r="AJ86" s="382">
        <f t="shared" si="36"/>
        <v>9.4333079344407378E-2</v>
      </c>
      <c r="AK86" s="382">
        <f t="shared" si="36"/>
        <v>7.710554294940819E-2</v>
      </c>
      <c r="AL86" s="382">
        <f t="shared" si="36"/>
        <v>7.3749483088652923E-2</v>
      </c>
      <c r="AM86" s="382">
        <f t="shared" si="36"/>
        <v>9.4333079344407711E-2</v>
      </c>
      <c r="AN86" s="383">
        <f t="shared" si="36"/>
        <v>9.4333079344407711E-2</v>
      </c>
    </row>
    <row r="87" spans="1:40">
      <c r="A87" s="129"/>
      <c r="B87" s="142" t="s">
        <v>3</v>
      </c>
      <c r="C87" s="131" t="s">
        <v>148</v>
      </c>
      <c r="D87" s="384">
        <f t="shared" ref="D87:AN87" si="37">1-(D81/D$49)</f>
        <v>5.2974456797863057E-2</v>
      </c>
      <c r="E87" s="385">
        <f t="shared" si="37"/>
        <v>6.7666182329749525E-2</v>
      </c>
      <c r="F87" s="385">
        <f t="shared" si="37"/>
        <v>7.763918035763917E-2</v>
      </c>
      <c r="G87" s="385">
        <f t="shared" si="37"/>
        <v>5.1228104481635062E-2</v>
      </c>
      <c r="H87" s="385">
        <f t="shared" si="37"/>
        <v>3.4061643784456863E-2</v>
      </c>
      <c r="I87" s="385">
        <f t="shared" si="37"/>
        <v>9.796440516285132E-2</v>
      </c>
      <c r="J87" s="385">
        <f t="shared" si="37"/>
        <v>5.0636469259924932E-2</v>
      </c>
      <c r="K87" s="385">
        <f t="shared" si="37"/>
        <v>8.2541807783039323E-2</v>
      </c>
      <c r="L87" s="385">
        <f t="shared" si="37"/>
        <v>9.3259748744475179E-2</v>
      </c>
      <c r="M87" s="385">
        <f t="shared" si="37"/>
        <v>8.323548740266673E-2</v>
      </c>
      <c r="N87" s="385">
        <f t="shared" si="37"/>
        <v>0.11328294679287787</v>
      </c>
      <c r="O87" s="385">
        <f t="shared" si="37"/>
        <v>5.3419588080008018E-2</v>
      </c>
      <c r="P87" s="385">
        <f t="shared" si="37"/>
        <v>3.8739455108811494E-2</v>
      </c>
      <c r="Q87" s="385">
        <f t="shared" si="37"/>
        <v>0.1418487231409078</v>
      </c>
      <c r="R87" s="385">
        <f t="shared" si="37"/>
        <v>5.7644767912254147E-2</v>
      </c>
      <c r="S87" s="385">
        <f t="shared" si="37"/>
        <v>6.8615031172029606E-2</v>
      </c>
      <c r="T87" s="385">
        <f t="shared" si="37"/>
        <v>0.11247092074299092</v>
      </c>
      <c r="U87" s="385">
        <f t="shared" si="37"/>
        <v>9.3839458745018534E-2</v>
      </c>
      <c r="V87" s="385">
        <f t="shared" si="37"/>
        <v>6.3041101369289865E-2</v>
      </c>
      <c r="W87" s="385">
        <f t="shared" si="37"/>
        <v>8.9061767713662032E-2</v>
      </c>
      <c r="X87" s="385">
        <f t="shared" si="37"/>
        <v>7.1522240547616134E-2</v>
      </c>
      <c r="Y87" s="385">
        <f t="shared" si="37"/>
        <v>6.9114645404081521E-2</v>
      </c>
      <c r="Z87" s="385">
        <f t="shared" si="37"/>
        <v>6.5174108977626211E-2</v>
      </c>
      <c r="AA87" s="385">
        <f t="shared" si="37"/>
        <v>0.13097374674764717</v>
      </c>
      <c r="AB87" s="385">
        <f t="shared" si="37"/>
        <v>7.1458389859000659E-2</v>
      </c>
      <c r="AC87" s="385">
        <f t="shared" si="37"/>
        <v>5.937793527189561E-2</v>
      </c>
      <c r="AD87" s="385">
        <f t="shared" si="37"/>
        <v>6.1498213562199533E-2</v>
      </c>
      <c r="AE87" s="385">
        <f t="shared" si="37"/>
        <v>0.13298783913805257</v>
      </c>
      <c r="AF87" s="385">
        <f t="shared" si="37"/>
        <v>5.6605497518610881E-2</v>
      </c>
      <c r="AG87" s="385">
        <f t="shared" si="37"/>
        <v>8.5783484864912385E-2</v>
      </c>
      <c r="AH87" s="385">
        <f t="shared" si="37"/>
        <v>7.537356831950881E-2</v>
      </c>
      <c r="AI87" s="385">
        <f t="shared" si="37"/>
        <v>3.9880852416148471E-2</v>
      </c>
      <c r="AJ87" s="385">
        <f t="shared" si="37"/>
        <v>9.4333079344407378E-2</v>
      </c>
      <c r="AK87" s="385">
        <f t="shared" si="37"/>
        <v>7.710554294940819E-2</v>
      </c>
      <c r="AL87" s="385">
        <f t="shared" si="37"/>
        <v>7.3749483088652923E-2</v>
      </c>
      <c r="AM87" s="385">
        <f t="shared" si="37"/>
        <v>9.4333079344407711E-2</v>
      </c>
      <c r="AN87" s="386">
        <f t="shared" si="37"/>
        <v>9.4333079344407711E-2</v>
      </c>
    </row>
    <row r="88" spans="1:40">
      <c r="A88" s="129"/>
      <c r="B88" s="142" t="s">
        <v>4</v>
      </c>
      <c r="C88" s="131" t="s">
        <v>148</v>
      </c>
      <c r="D88" s="384">
        <f t="shared" ref="D88:AN88" si="38">1-(D82/D$50)</f>
        <v>6.3036325624536538E-2</v>
      </c>
      <c r="E88" s="385">
        <f t="shared" si="38"/>
        <v>6.7666182329749525E-2</v>
      </c>
      <c r="F88" s="385">
        <f t="shared" si="38"/>
        <v>8.3391244375670914E-2</v>
      </c>
      <c r="G88" s="385">
        <f t="shared" si="38"/>
        <v>6.1035786489261779E-2</v>
      </c>
      <c r="H88" s="385">
        <f t="shared" si="38"/>
        <v>8.6128522417325493E-2</v>
      </c>
      <c r="I88" s="385">
        <f t="shared" si="38"/>
        <v>9.796440516285132E-2</v>
      </c>
      <c r="J88" s="385">
        <f t="shared" si="38"/>
        <v>9.5232456893055373E-2</v>
      </c>
      <c r="K88" s="385">
        <f t="shared" si="38"/>
        <v>0.13168635931812744</v>
      </c>
      <c r="L88" s="385">
        <f t="shared" si="38"/>
        <v>0.12008958627624111</v>
      </c>
      <c r="M88" s="385">
        <f t="shared" si="38"/>
        <v>8.323548740266673E-2</v>
      </c>
      <c r="N88" s="385">
        <f t="shared" si="38"/>
        <v>0.12984492847483353</v>
      </c>
      <c r="O88" s="385">
        <f t="shared" si="38"/>
        <v>0.10922211215283217</v>
      </c>
      <c r="P88" s="385">
        <f t="shared" si="38"/>
        <v>3.8739455108811494E-2</v>
      </c>
      <c r="Q88" s="385">
        <f t="shared" si="38"/>
        <v>0.10035352185751045</v>
      </c>
      <c r="R88" s="385">
        <f t="shared" si="38"/>
        <v>6.7905072698952296E-2</v>
      </c>
      <c r="S88" s="385">
        <f t="shared" si="38"/>
        <v>8.5637379239672629E-2</v>
      </c>
      <c r="T88" s="385">
        <f t="shared" si="38"/>
        <v>0.12893909997944664</v>
      </c>
      <c r="U88" s="385">
        <f t="shared" si="38"/>
        <v>8.4152809066963652E-2</v>
      </c>
      <c r="V88" s="385">
        <f t="shared" si="38"/>
        <v>8.126775525618013E-2</v>
      </c>
      <c r="W88" s="385">
        <f t="shared" si="38"/>
        <v>0.13720208592741179</v>
      </c>
      <c r="X88" s="385">
        <f t="shared" si="38"/>
        <v>7.8330826928042385E-2</v>
      </c>
      <c r="Y88" s="385">
        <f t="shared" si="38"/>
        <v>8.2624134265685822E-2</v>
      </c>
      <c r="Z88" s="385">
        <f t="shared" si="38"/>
        <v>6.843501866477808E-2</v>
      </c>
      <c r="AA88" s="385">
        <f t="shared" si="38"/>
        <v>0.20627621318038358</v>
      </c>
      <c r="AB88" s="385">
        <f t="shared" si="38"/>
        <v>8.7033086361233192E-2</v>
      </c>
      <c r="AC88" s="385">
        <f t="shared" si="38"/>
        <v>6.088890337609143E-2</v>
      </c>
      <c r="AD88" s="385">
        <f t="shared" si="38"/>
        <v>6.1498213562199533E-2</v>
      </c>
      <c r="AE88" s="385">
        <f t="shared" si="38"/>
        <v>0.20901713288469048</v>
      </c>
      <c r="AF88" s="385">
        <f t="shared" si="38"/>
        <v>5.2416974675688621E-2</v>
      </c>
      <c r="AG88" s="385">
        <f t="shared" si="38"/>
        <v>8.5783484864912385E-2</v>
      </c>
      <c r="AH88" s="385">
        <f t="shared" si="38"/>
        <v>9.288961169956611E-2</v>
      </c>
      <c r="AI88" s="385">
        <f t="shared" si="38"/>
        <v>3.9880852416148471E-2</v>
      </c>
      <c r="AJ88" s="385">
        <f t="shared" si="38"/>
        <v>9.4333079344407378E-2</v>
      </c>
      <c r="AK88" s="385">
        <f t="shared" si="38"/>
        <v>7.710554294940819E-2</v>
      </c>
      <c r="AL88" s="385">
        <f t="shared" si="38"/>
        <v>7.9256503480683249E-2</v>
      </c>
      <c r="AM88" s="385">
        <f t="shared" si="38"/>
        <v>9.4333079344407711E-2</v>
      </c>
      <c r="AN88" s="386">
        <f t="shared" si="38"/>
        <v>9.4333079344407711E-2</v>
      </c>
    </row>
    <row r="89" spans="1:40">
      <c r="A89" s="129"/>
      <c r="B89" s="142" t="s">
        <v>5</v>
      </c>
      <c r="C89" s="131" t="s">
        <v>148</v>
      </c>
      <c r="D89" s="384">
        <f t="shared" ref="D89:AN89" si="39">1-(D83/D$51)</f>
        <v>6.9407455262934348E-2</v>
      </c>
      <c r="E89" s="385">
        <f t="shared" si="39"/>
        <v>7.4274513614035365E-2</v>
      </c>
      <c r="F89" s="385">
        <f t="shared" si="39"/>
        <v>9.9978364309847523E-2</v>
      </c>
      <c r="G89" s="385">
        <f t="shared" si="39"/>
        <v>6.7296580067195411E-2</v>
      </c>
      <c r="H89" s="385">
        <f t="shared" si="39"/>
        <v>8.9683809233839451E-2</v>
      </c>
      <c r="I89" s="385">
        <f t="shared" si="39"/>
        <v>0.11337069956352197</v>
      </c>
      <c r="J89" s="385">
        <f t="shared" si="39"/>
        <v>0.11670056980078669</v>
      </c>
      <c r="K89" s="385">
        <f t="shared" si="39"/>
        <v>0.15605532539393652</v>
      </c>
      <c r="L89" s="385">
        <f t="shared" si="39"/>
        <v>7.2012626374396649E-2</v>
      </c>
      <c r="M89" s="385">
        <f t="shared" si="39"/>
        <v>7.2586940075301865E-2</v>
      </c>
      <c r="N89" s="385">
        <f t="shared" si="39"/>
        <v>0.12939225862790416</v>
      </c>
      <c r="O89" s="385">
        <f t="shared" si="39"/>
        <v>0.11111708914271978</v>
      </c>
      <c r="P89" s="385">
        <f t="shared" si="39"/>
        <v>4.0184189217919775E-2</v>
      </c>
      <c r="Q89" s="385">
        <f t="shared" si="39"/>
        <v>0.10035352185751045</v>
      </c>
      <c r="R89" s="385">
        <f t="shared" si="39"/>
        <v>9.6549852329696595E-2</v>
      </c>
      <c r="S89" s="385">
        <f t="shared" si="39"/>
        <v>0.10921629702823077</v>
      </c>
      <c r="T89" s="385">
        <f t="shared" si="39"/>
        <v>0.12848831473432276</v>
      </c>
      <c r="U89" s="385">
        <f t="shared" si="39"/>
        <v>7.0513186600255739E-2</v>
      </c>
      <c r="V89" s="385">
        <f t="shared" si="39"/>
        <v>8.126775525618013E-2</v>
      </c>
      <c r="W89" s="385">
        <f t="shared" si="39"/>
        <v>9.574875190641019E-2</v>
      </c>
      <c r="X89" s="385">
        <f t="shared" si="39"/>
        <v>9.5172033467769368E-2</v>
      </c>
      <c r="Y89" s="385">
        <f t="shared" si="39"/>
        <v>9.3187713768100644E-2</v>
      </c>
      <c r="Z89" s="385">
        <f t="shared" si="39"/>
        <v>0.11240350704650026</v>
      </c>
      <c r="AA89" s="385">
        <f t="shared" si="39"/>
        <v>0.19826099542607412</v>
      </c>
      <c r="AB89" s="385">
        <f t="shared" si="39"/>
        <v>8.7033086361233192E-2</v>
      </c>
      <c r="AC89" s="385">
        <f t="shared" si="39"/>
        <v>6.4639666706607812E-2</v>
      </c>
      <c r="AD89" s="385">
        <f t="shared" si="39"/>
        <v>6.9899865908458203E-2</v>
      </c>
      <c r="AE89" s="385">
        <f t="shared" si="39"/>
        <v>0.20092473556672696</v>
      </c>
      <c r="AF89" s="385">
        <f t="shared" si="39"/>
        <v>4.5959846637590118E-2</v>
      </c>
      <c r="AG89" s="385">
        <f t="shared" si="39"/>
        <v>7.5922092410990349E-2</v>
      </c>
      <c r="AH89" s="385">
        <f t="shared" si="39"/>
        <v>0.17106427265710811</v>
      </c>
      <c r="AI89" s="385">
        <f t="shared" si="39"/>
        <v>4.1413664168214903E-2</v>
      </c>
      <c r="AJ89" s="385">
        <f t="shared" si="39"/>
        <v>0.11268715054957801</v>
      </c>
      <c r="AK89" s="385">
        <f t="shared" si="39"/>
        <v>9.2737514074882732E-2</v>
      </c>
      <c r="AL89" s="385">
        <f t="shared" si="39"/>
        <v>9.514120931848824E-2</v>
      </c>
      <c r="AM89" s="385">
        <f t="shared" si="39"/>
        <v>0.1126871505495779</v>
      </c>
      <c r="AN89" s="386">
        <f t="shared" si="39"/>
        <v>0.1126871505495779</v>
      </c>
    </row>
    <row r="90" spans="1:40">
      <c r="A90" s="129"/>
      <c r="B90" s="142" t="s">
        <v>6</v>
      </c>
      <c r="C90" s="131" t="s">
        <v>148</v>
      </c>
      <c r="D90" s="384">
        <f t="shared" ref="D90:AN90" si="40">1-(D84/D$52)</f>
        <v>6.8854741818376697E-2</v>
      </c>
      <c r="E90" s="385">
        <f t="shared" si="40"/>
        <v>7.4274513614035365E-2</v>
      </c>
      <c r="F90" s="385">
        <f t="shared" si="40"/>
        <v>0.135539827592566</v>
      </c>
      <c r="G90" s="385">
        <f t="shared" si="40"/>
        <v>6.6737047203572541E-2</v>
      </c>
      <c r="H90" s="385">
        <f t="shared" si="40"/>
        <v>1.7978740666413029E-2</v>
      </c>
      <c r="I90" s="385">
        <f t="shared" si="40"/>
        <v>0.12881291447044141</v>
      </c>
      <c r="J90" s="385">
        <f t="shared" si="40"/>
        <v>0.10684117158279294</v>
      </c>
      <c r="K90" s="385">
        <f t="shared" si="40"/>
        <v>0.15605532539393652</v>
      </c>
      <c r="L90" s="385">
        <f t="shared" si="40"/>
        <v>7.5292826222279063E-2</v>
      </c>
      <c r="M90" s="385">
        <f t="shared" si="40"/>
        <v>7.2586940075301865E-2</v>
      </c>
      <c r="N90" s="385">
        <f t="shared" si="40"/>
        <v>0.13167120069198679</v>
      </c>
      <c r="O90" s="385">
        <f t="shared" si="40"/>
        <v>0.10983868346750492</v>
      </c>
      <c r="P90" s="385">
        <f t="shared" si="40"/>
        <v>4.0184189217919775E-2</v>
      </c>
      <c r="Q90" s="385">
        <f t="shared" si="40"/>
        <v>0.111904184792749</v>
      </c>
      <c r="R90" s="385">
        <f t="shared" si="40"/>
        <v>9.6549852329696595E-2</v>
      </c>
      <c r="S90" s="385">
        <f t="shared" si="40"/>
        <v>0.13089056393315768</v>
      </c>
      <c r="T90" s="385">
        <f t="shared" si="40"/>
        <v>0.1307574089307314</v>
      </c>
      <c r="U90" s="385">
        <f t="shared" si="40"/>
        <v>7.720403627230854E-2</v>
      </c>
      <c r="V90" s="385">
        <f t="shared" si="40"/>
        <v>8.126775525618013E-2</v>
      </c>
      <c r="W90" s="385">
        <f t="shared" si="40"/>
        <v>8.0474697298087761E-2</v>
      </c>
      <c r="X90" s="385">
        <f t="shared" si="40"/>
        <v>9.7565116267266161E-2</v>
      </c>
      <c r="Y90" s="385">
        <f t="shared" si="40"/>
        <v>9.5507873276759025E-2</v>
      </c>
      <c r="Z90" s="385">
        <f t="shared" si="40"/>
        <v>0.10466464394115038</v>
      </c>
      <c r="AA90" s="385">
        <f t="shared" si="40"/>
        <v>0.22734437660527973</v>
      </c>
      <c r="AB90" s="385">
        <f t="shared" si="40"/>
        <v>8.7033086361233192E-2</v>
      </c>
      <c r="AC90" s="385">
        <f t="shared" si="40"/>
        <v>6.8631270417711998E-2</v>
      </c>
      <c r="AD90" s="385">
        <f t="shared" si="40"/>
        <v>6.9899865908458203E-2</v>
      </c>
      <c r="AE90" s="385">
        <f t="shared" si="40"/>
        <v>0.2303064365951969</v>
      </c>
      <c r="AF90" s="385">
        <f t="shared" si="40"/>
        <v>6.9337877752498667E-2</v>
      </c>
      <c r="AG90" s="385">
        <f t="shared" si="40"/>
        <v>8.6155621730973797E-2</v>
      </c>
      <c r="AH90" s="385">
        <f t="shared" si="40"/>
        <v>0.12023837961890715</v>
      </c>
      <c r="AI90" s="385">
        <f t="shared" si="40"/>
        <v>4.1413664168214903E-2</v>
      </c>
      <c r="AJ90" s="385">
        <f t="shared" si="40"/>
        <v>0.12596712082399386</v>
      </c>
      <c r="AK90" s="385">
        <f t="shared" si="40"/>
        <v>0.10406351852380746</v>
      </c>
      <c r="AL90" s="385">
        <f t="shared" si="40"/>
        <v>0.1296356473488971</v>
      </c>
      <c r="AM90" s="385">
        <f t="shared" si="40"/>
        <v>0.12596712082399397</v>
      </c>
      <c r="AN90" s="386">
        <f t="shared" si="40"/>
        <v>0.12596712082399397</v>
      </c>
    </row>
    <row r="91" spans="1:40">
      <c r="A91" s="121"/>
      <c r="B91" s="374" t="s">
        <v>7</v>
      </c>
      <c r="C91" s="122" t="s">
        <v>148</v>
      </c>
      <c r="D91" s="191">
        <f t="shared" ref="D91:AN91" si="41">1-(D85/D$53)</f>
        <v>7.2373346239683611E-2</v>
      </c>
      <c r="E91" s="387">
        <f t="shared" si="41"/>
        <v>8.6787348199549696E-2</v>
      </c>
      <c r="F91" s="387">
        <f t="shared" si="41"/>
        <v>0.16960559003577635</v>
      </c>
      <c r="G91" s="387">
        <f t="shared" si="41"/>
        <v>7.0228353172436919E-2</v>
      </c>
      <c r="H91" s="387">
        <f t="shared" si="41"/>
        <v>4.8738436095174587E-2</v>
      </c>
      <c r="I91" s="387">
        <f t="shared" si="41"/>
        <v>0.10259655559041891</v>
      </c>
      <c r="J91" s="387">
        <f t="shared" si="41"/>
        <v>9.7187703891013166E-2</v>
      </c>
      <c r="K91" s="387">
        <f t="shared" si="41"/>
        <v>0.14181989502179271</v>
      </c>
      <c r="L91" s="387">
        <f t="shared" si="41"/>
        <v>7.5292826222279063E-2</v>
      </c>
      <c r="M91" s="387">
        <f t="shared" si="41"/>
        <v>0.10930886542845719</v>
      </c>
      <c r="N91" s="387">
        <f t="shared" si="41"/>
        <v>0.11581162127670375</v>
      </c>
      <c r="O91" s="387">
        <f t="shared" si="41"/>
        <v>0.10711569649054276</v>
      </c>
      <c r="P91" s="387">
        <f t="shared" si="41"/>
        <v>0.1385710124352536</v>
      </c>
      <c r="Q91" s="387">
        <f t="shared" si="41"/>
        <v>0.12796296485172454</v>
      </c>
      <c r="R91" s="387">
        <f t="shared" si="41"/>
        <v>7.9482304464636222E-2</v>
      </c>
      <c r="S91" s="387">
        <f t="shared" si="41"/>
        <v>0.16135847409418191</v>
      </c>
      <c r="T91" s="387">
        <f t="shared" si="41"/>
        <v>0.11501448090113375</v>
      </c>
      <c r="U91" s="387">
        <f t="shared" si="41"/>
        <v>4.9648141771765131E-2</v>
      </c>
      <c r="V91" s="387">
        <f t="shared" si="41"/>
        <v>0.13365045731680647</v>
      </c>
      <c r="W91" s="387">
        <f t="shared" si="41"/>
        <v>7.0934159811346653E-2</v>
      </c>
      <c r="X91" s="387">
        <f t="shared" si="41"/>
        <v>0.14723782778481054</v>
      </c>
      <c r="Y91" s="387">
        <f t="shared" si="41"/>
        <v>0.10003085797655797</v>
      </c>
      <c r="Z91" s="387">
        <f t="shared" si="41"/>
        <v>9.9010733115820759E-2</v>
      </c>
      <c r="AA91" s="387">
        <f t="shared" si="41"/>
        <v>0.1540265684561275</v>
      </c>
      <c r="AB91" s="387">
        <f t="shared" si="41"/>
        <v>0.11616979307341158</v>
      </c>
      <c r="AC91" s="387">
        <f t="shared" si="41"/>
        <v>7.826690391708202E-2</v>
      </c>
      <c r="AD91" s="387">
        <f t="shared" si="41"/>
        <v>3.8560452696978054E-2</v>
      </c>
      <c r="AE91" s="387">
        <f t="shared" si="41"/>
        <v>0.15624432366764862</v>
      </c>
      <c r="AF91" s="387">
        <f t="shared" si="41"/>
        <v>9.5896049504475722E-2</v>
      </c>
      <c r="AG91" s="387">
        <f t="shared" si="41"/>
        <v>7.2881475486816782E-2</v>
      </c>
      <c r="AH91" s="387">
        <f t="shared" si="41"/>
        <v>0.12111517820491324</v>
      </c>
      <c r="AI91" s="387">
        <f t="shared" si="41"/>
        <v>0.14255411596243472</v>
      </c>
      <c r="AJ91" s="387">
        <f t="shared" si="41"/>
        <v>0.11808492583475083</v>
      </c>
      <c r="AK91" s="387">
        <f t="shared" si="41"/>
        <v>9.7262343352515712E-2</v>
      </c>
      <c r="AL91" s="387">
        <f t="shared" si="41"/>
        <v>0.16223101658046912</v>
      </c>
      <c r="AM91" s="387">
        <f t="shared" si="41"/>
        <v>0.11808492583475083</v>
      </c>
      <c r="AN91" s="388">
        <f t="shared" si="41"/>
        <v>0.11808492583475083</v>
      </c>
    </row>
    <row r="92" spans="1:40">
      <c r="A92" s="334" t="s">
        <v>281</v>
      </c>
      <c r="B92" s="359" t="s">
        <v>287</v>
      </c>
      <c r="C92" s="443" t="s">
        <v>286</v>
      </c>
      <c r="D92" s="420">
        <f>('Energy Efficiency Measures-DBT'!D$57*D$22)/D$5</f>
        <v>29.018630171280737</v>
      </c>
      <c r="E92" s="421">
        <f>('Energy Efficiency Measures-DBT'!E$57*E$22)/E$5</f>
        <v>43.204379566686455</v>
      </c>
      <c r="F92" s="421">
        <f>('Energy Efficiency Measures-DBT'!F$57*F$22)/F$5</f>
        <v>54.255027481478379</v>
      </c>
      <c r="G92" s="421">
        <f>('Energy Efficiency Measures-DBT'!G$57*G$22)/G$5</f>
        <v>27.704760336881112</v>
      </c>
      <c r="H92" s="421">
        <f>('Energy Efficiency Measures-DBT'!H$57*H$22)/H$5</f>
        <v>55.261203520369712</v>
      </c>
      <c r="I92" s="421">
        <f>('Energy Efficiency Measures-DBT'!I$57*I$22)/I$5</f>
        <v>44.735968146232757</v>
      </c>
      <c r="J92" s="421">
        <f>('Energy Efficiency Measures-DBT'!J$57*J$22)/J$5</f>
        <v>37.628053435039838</v>
      </c>
      <c r="K92" s="421">
        <f>('Energy Efficiency Measures-DBT'!K$57*K$22)/K$5</f>
        <v>39.148413292018382</v>
      </c>
      <c r="L92" s="421">
        <f>('Energy Efficiency Measures-DBT'!L$57*L$22)/L$5</f>
        <v>40.769470298525405</v>
      </c>
      <c r="M92" s="421">
        <f>('Energy Efficiency Measures-DBT'!M$57*M$22)/M$5</f>
        <v>50.94594393809647</v>
      </c>
      <c r="N92" s="421">
        <f>('Energy Efficiency Measures-DBT'!N$57*N$22)/N$5</f>
        <v>52.997154452581981</v>
      </c>
      <c r="O92" s="421">
        <f>('Energy Efficiency Measures-DBT'!O$57*O$22)/O$5</f>
        <v>49.039511738642389</v>
      </c>
      <c r="P92" s="421">
        <f>('Energy Efficiency Measures-DBT'!P$57*P$22)/P$5</f>
        <v>57.032482615346098</v>
      </c>
      <c r="Q92" s="421">
        <f>('Energy Efficiency Measures-DBT'!Q$57*Q$22)/Q$5</f>
        <v>51.145344481946239</v>
      </c>
      <c r="R92" s="421">
        <f>('Energy Efficiency Measures-DBT'!R$57*R$22)/R$5</f>
        <v>37.70553785945237</v>
      </c>
      <c r="S92" s="421">
        <f>('Energy Efficiency Measures-DBT'!S$57*S$22)/S$5</f>
        <v>33.639814222186985</v>
      </c>
      <c r="T92" s="421">
        <f>('Energy Efficiency Measures-DBT'!T$57*T$22)/T$5</f>
        <v>52.388316151202737</v>
      </c>
      <c r="U92" s="421">
        <f>('Energy Efficiency Measures-DBT'!U$57*U$22)/U$5</f>
        <v>44.71201436153256</v>
      </c>
      <c r="V92" s="421">
        <f>('Energy Efficiency Measures-DBT'!V$57*V$22)/V$5</f>
        <v>35.853097514653065</v>
      </c>
      <c r="W92" s="421">
        <f>('Energy Efficiency Measures-DBT'!W$57*W$22)/W$5</f>
        <v>57.002999118819609</v>
      </c>
      <c r="X92" s="421">
        <f>('Energy Efficiency Measures-DBT'!X$57*X$22)/X$5</f>
        <v>36.464536516853926</v>
      </c>
      <c r="Y92" s="421">
        <f>('Energy Efficiency Measures-DBT'!Y$57*Y$22)/Y$5</f>
        <v>46.347681320768665</v>
      </c>
      <c r="Z92" s="421">
        <f>('Energy Efficiency Measures-DBT'!Z$57*Z$22)/Z$5</f>
        <v>32.65537688403564</v>
      </c>
      <c r="AA92" s="421">
        <f>('Energy Efficiency Measures-DBT'!AA$57*AA$22)/AA$5</f>
        <v>41.1395654068033</v>
      </c>
      <c r="AB92" s="421">
        <f>('Energy Efficiency Measures-DBT'!AB$57*AB$22)/AB$5</f>
        <v>36.45595283221764</v>
      </c>
      <c r="AC92" s="421">
        <f>('Energy Efficiency Measures-DBT'!AC$57*AC$22)/AC$5</f>
        <v>51.453293706322157</v>
      </c>
      <c r="AD92" s="421">
        <f>('Energy Efficiency Measures-DBT'!AD$57*AD$22)/AD$5</f>
        <v>48.826147337092699</v>
      </c>
      <c r="AE92" s="421">
        <f>('Energy Efficiency Measures-DBT'!AE$57*AE$22)/AE$5</f>
        <v>42.183376999623796</v>
      </c>
      <c r="AF92" s="421">
        <f>('Energy Efficiency Measures-DBT'!AF$57*AF$22)/AF$5</f>
        <v>36.932886268570009</v>
      </c>
      <c r="AG92" s="421">
        <f>('Energy Efficiency Measures-DBT'!AG$57*AG$22)/AG$5</f>
        <v>36.838321238487453</v>
      </c>
      <c r="AH92" s="421">
        <f>('Energy Efficiency Measures-DBT'!AH$57*AH$22)/AH$5</f>
        <v>46.544179721987703</v>
      </c>
      <c r="AI92" s="421">
        <f>('Energy Efficiency Measures-DBT'!AI$57*AI$22)/AI$5</f>
        <v>37.641438526128411</v>
      </c>
      <c r="AJ92" s="421">
        <f>('Energy Efficiency Measures-DBT'!AJ$57*AJ$22)/AJ$5</f>
        <v>51.145344481946232</v>
      </c>
      <c r="AK92" s="421">
        <f>('Energy Efficiency Measures-DBT'!AK$57*AK$22)/AK$5</f>
        <v>37.641438526128411</v>
      </c>
      <c r="AL92" s="421">
        <f>('Energy Efficiency Measures-DBT'!AL$57*AL$22)/AL$5</f>
        <v>50.189087872476378</v>
      </c>
      <c r="AM92" s="421">
        <f>('Energy Efficiency Measures-DBT'!AM$57*AM$22)/AM$5</f>
        <v>51.145344481946239</v>
      </c>
      <c r="AN92" s="422">
        <f>('Energy Efficiency Measures-DBT'!AN$57*AN$22)/AN$5</f>
        <v>51.145344481946232</v>
      </c>
    </row>
    <row r="93" spans="1:40">
      <c r="A93" s="407"/>
      <c r="B93" s="347" t="s">
        <v>291</v>
      </c>
      <c r="C93" s="450" t="s">
        <v>292</v>
      </c>
      <c r="D93" s="451">
        <f t="shared" ref="D93:AN93" si="42">PMT(0.12,20,-D94,0,1)/(D41-D74)/3.6*1000</f>
        <v>117.02118568358915</v>
      </c>
      <c r="E93" s="452">
        <f t="shared" si="42"/>
        <v>128.45555501380414</v>
      </c>
      <c r="F93" s="452">
        <f t="shared" si="42"/>
        <v>146.28527431384163</v>
      </c>
      <c r="G93" s="452">
        <f t="shared" si="42"/>
        <v>120.04346094271635</v>
      </c>
      <c r="H93" s="452">
        <f t="shared" si="42"/>
        <v>820.72265749201267</v>
      </c>
      <c r="I93" s="452">
        <f t="shared" si="42"/>
        <v>127.28812433877076</v>
      </c>
      <c r="J93" s="452">
        <f t="shared" si="42"/>
        <v>105.25752980969891</v>
      </c>
      <c r="K93" s="452">
        <f t="shared" si="42"/>
        <v>161.46255410798136</v>
      </c>
      <c r="L93" s="452">
        <f t="shared" si="42"/>
        <v>139.39180533685598</v>
      </c>
      <c r="M93" s="452">
        <f t="shared" si="42"/>
        <v>161.14253194907897</v>
      </c>
      <c r="N93" s="452">
        <f t="shared" si="42"/>
        <v>114.36926619965435</v>
      </c>
      <c r="O93" s="452">
        <f t="shared" si="42"/>
        <v>157.193272051614</v>
      </c>
      <c r="P93" s="452">
        <f t="shared" si="42"/>
        <v>318.88900338159084</v>
      </c>
      <c r="Q93" s="452">
        <f t="shared" si="42"/>
        <v>79.231627844495719</v>
      </c>
      <c r="R93" s="452">
        <f t="shared" si="42"/>
        <v>144.15884385990418</v>
      </c>
      <c r="S93" s="452">
        <f t="shared" si="42"/>
        <v>95.782722336755299</v>
      </c>
      <c r="T93" s="452">
        <f t="shared" si="42"/>
        <v>134.43182100895416</v>
      </c>
      <c r="U93" s="452">
        <f t="shared" si="42"/>
        <v>127.86316207242824</v>
      </c>
      <c r="V93" s="452">
        <f t="shared" si="42"/>
        <v>119.4756199834557</v>
      </c>
      <c r="W93" s="452">
        <f t="shared" si="42"/>
        <v>96.478611443746175</v>
      </c>
      <c r="X93" s="452">
        <f t="shared" si="42"/>
        <v>85.707252051523426</v>
      </c>
      <c r="Y93" s="452">
        <f t="shared" si="42"/>
        <v>455.92704810759392</v>
      </c>
      <c r="Z93" s="452">
        <f t="shared" si="42"/>
        <v>108.717436997422</v>
      </c>
      <c r="AA93" s="452">
        <f t="shared" si="42"/>
        <v>92.581192317065558</v>
      </c>
      <c r="AB93" s="452">
        <f t="shared" si="42"/>
        <v>78.062925302623512</v>
      </c>
      <c r="AC93" s="452">
        <f t="shared" si="42"/>
        <v>337.88752295172986</v>
      </c>
      <c r="AD93" s="452">
        <f t="shared" si="42"/>
        <v>133.00733618351128</v>
      </c>
      <c r="AE93" s="452">
        <f t="shared" si="42"/>
        <v>96.073622451080752</v>
      </c>
      <c r="AF93" s="452">
        <f t="shared" si="42"/>
        <v>144.62157864887962</v>
      </c>
      <c r="AG93" s="452">
        <f t="shared" si="42"/>
        <v>77.351155129207612</v>
      </c>
      <c r="AH93" s="452">
        <f t="shared" si="42"/>
        <v>95.787641046427311</v>
      </c>
      <c r="AI93" s="452">
        <f t="shared" si="42"/>
        <v>210.72202238487668</v>
      </c>
      <c r="AJ93" s="452">
        <f t="shared" si="42"/>
        <v>112.87944983013334</v>
      </c>
      <c r="AK93" s="452">
        <f t="shared" si="42"/>
        <v>126.50260230754357</v>
      </c>
      <c r="AL93" s="452">
        <f t="shared" si="42"/>
        <v>146.11574162736139</v>
      </c>
      <c r="AM93" s="452">
        <f t="shared" si="42"/>
        <v>122.75167562472964</v>
      </c>
      <c r="AN93" s="453">
        <f t="shared" si="42"/>
        <v>122.75167562472964</v>
      </c>
    </row>
    <row r="94" spans="1:40">
      <c r="A94" s="404"/>
      <c r="B94" s="338" t="s">
        <v>287</v>
      </c>
      <c r="C94" s="444" t="s">
        <v>288</v>
      </c>
      <c r="D94" s="423">
        <f t="shared" ref="D94:AN94" si="43">D92*D$4</f>
        <v>2969.9999999999991</v>
      </c>
      <c r="E94" s="424">
        <f t="shared" si="43"/>
        <v>4499.9999999999991</v>
      </c>
      <c r="F94" s="424">
        <f t="shared" si="43"/>
        <v>2969.9999999999995</v>
      </c>
      <c r="G94" s="424">
        <f t="shared" si="43"/>
        <v>2969.9999999999991</v>
      </c>
      <c r="H94" s="424">
        <f t="shared" si="43"/>
        <v>4500</v>
      </c>
      <c r="I94" s="424">
        <f t="shared" si="43"/>
        <v>3860.9999999999995</v>
      </c>
      <c r="J94" s="424">
        <f t="shared" si="43"/>
        <v>3599.9999999999991</v>
      </c>
      <c r="K94" s="424">
        <f t="shared" si="43"/>
        <v>4500</v>
      </c>
      <c r="L94" s="424">
        <f t="shared" si="43"/>
        <v>2969.9999999999995</v>
      </c>
      <c r="M94" s="424">
        <f t="shared" si="43"/>
        <v>5245.7142857142853</v>
      </c>
      <c r="N94" s="424">
        <f t="shared" si="43"/>
        <v>4499.9999999999991</v>
      </c>
      <c r="O94" s="424">
        <f t="shared" si="43"/>
        <v>4834.2857142857138</v>
      </c>
      <c r="P94" s="424">
        <f t="shared" si="43"/>
        <v>4500</v>
      </c>
      <c r="Q94" s="424">
        <f t="shared" si="43"/>
        <v>2969.9999999999995</v>
      </c>
      <c r="R94" s="424">
        <f t="shared" si="43"/>
        <v>2969.9999999999995</v>
      </c>
      <c r="S94" s="424">
        <f t="shared" si="43"/>
        <v>3599.9999999999995</v>
      </c>
      <c r="T94" s="424">
        <f t="shared" si="43"/>
        <v>4499.9999999999991</v>
      </c>
      <c r="U94" s="424">
        <f t="shared" si="43"/>
        <v>4500</v>
      </c>
      <c r="V94" s="424">
        <f t="shared" si="43"/>
        <v>2969.9999999999995</v>
      </c>
      <c r="W94" s="424">
        <f t="shared" si="43"/>
        <v>4500</v>
      </c>
      <c r="X94" s="424">
        <f t="shared" si="43"/>
        <v>2969.9999999999995</v>
      </c>
      <c r="Y94" s="424">
        <f t="shared" si="43"/>
        <v>4500</v>
      </c>
      <c r="Z94" s="424">
        <f t="shared" si="43"/>
        <v>3599.9999999999995</v>
      </c>
      <c r="AA94" s="424">
        <f t="shared" si="43"/>
        <v>4499.9999999999991</v>
      </c>
      <c r="AB94" s="424">
        <f t="shared" si="43"/>
        <v>2969.9999999999995</v>
      </c>
      <c r="AC94" s="424">
        <f t="shared" si="43"/>
        <v>5245.7142857142853</v>
      </c>
      <c r="AD94" s="424">
        <f t="shared" si="43"/>
        <v>2970</v>
      </c>
      <c r="AE94" s="424">
        <f t="shared" si="43"/>
        <v>4499.9999999999991</v>
      </c>
      <c r="AF94" s="424">
        <f t="shared" si="43"/>
        <v>2969.9999999999995</v>
      </c>
      <c r="AG94" s="424">
        <f t="shared" si="43"/>
        <v>2969.9999999999991</v>
      </c>
      <c r="AH94" s="424">
        <f t="shared" si="43"/>
        <v>3599.9999999999991</v>
      </c>
      <c r="AI94" s="424">
        <f t="shared" si="43"/>
        <v>2969.9999999999991</v>
      </c>
      <c r="AJ94" s="424">
        <f t="shared" si="43"/>
        <v>2969.9999999999995</v>
      </c>
      <c r="AK94" s="424">
        <f t="shared" si="43"/>
        <v>2969.9999999999995</v>
      </c>
      <c r="AL94" s="424">
        <f t="shared" si="43"/>
        <v>2969.9999999999995</v>
      </c>
      <c r="AM94" s="424">
        <f t="shared" si="43"/>
        <v>2969.9999999999995</v>
      </c>
      <c r="AN94" s="425">
        <f t="shared" si="43"/>
        <v>2969.9999999999995</v>
      </c>
    </row>
    <row r="95" spans="1:40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</row>
    <row r="96" spans="1:40">
      <c r="A96" s="162" t="s">
        <v>294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</row>
    <row r="97" spans="1:40" ht="15" customHeight="1">
      <c r="A97" s="938" t="s">
        <v>123</v>
      </c>
      <c r="B97" s="939"/>
      <c r="C97" s="138" t="s">
        <v>76</v>
      </c>
      <c r="D97" s="194">
        <v>1</v>
      </c>
      <c r="E97" s="195">
        <v>1</v>
      </c>
      <c r="F97" s="195">
        <v>1</v>
      </c>
      <c r="G97" s="195">
        <v>1</v>
      </c>
      <c r="H97" s="195">
        <v>1</v>
      </c>
      <c r="I97" s="195">
        <v>1</v>
      </c>
      <c r="J97" s="195">
        <v>1</v>
      </c>
      <c r="K97" s="195">
        <v>1</v>
      </c>
      <c r="L97" s="195">
        <v>1</v>
      </c>
      <c r="M97" s="195">
        <v>1</v>
      </c>
      <c r="N97" s="195">
        <v>1</v>
      </c>
      <c r="O97" s="195">
        <v>1</v>
      </c>
      <c r="P97" s="195">
        <v>1</v>
      </c>
      <c r="Q97" s="195">
        <v>1</v>
      </c>
      <c r="R97" s="195">
        <v>1</v>
      </c>
      <c r="S97" s="195">
        <v>1</v>
      </c>
      <c r="T97" s="195">
        <v>1</v>
      </c>
      <c r="U97" s="195">
        <v>1</v>
      </c>
      <c r="V97" s="195">
        <v>1</v>
      </c>
      <c r="W97" s="195">
        <v>1</v>
      </c>
      <c r="X97" s="195">
        <v>1</v>
      </c>
      <c r="Y97" s="195">
        <v>1</v>
      </c>
      <c r="Z97" s="195">
        <v>1</v>
      </c>
      <c r="AA97" s="195">
        <v>1</v>
      </c>
      <c r="AB97" s="195">
        <v>1</v>
      </c>
      <c r="AC97" s="195">
        <v>1</v>
      </c>
      <c r="AD97" s="195">
        <v>1</v>
      </c>
      <c r="AE97" s="195">
        <v>1</v>
      </c>
      <c r="AF97" s="195">
        <v>1</v>
      </c>
      <c r="AG97" s="195">
        <v>1</v>
      </c>
      <c r="AH97" s="195">
        <v>1</v>
      </c>
      <c r="AI97" s="195">
        <v>1</v>
      </c>
      <c r="AJ97" s="195">
        <v>1</v>
      </c>
      <c r="AK97" s="195">
        <v>1</v>
      </c>
      <c r="AL97" s="195">
        <v>1</v>
      </c>
      <c r="AM97" s="195">
        <v>1</v>
      </c>
      <c r="AN97" s="196">
        <v>1</v>
      </c>
    </row>
    <row r="98" spans="1:40" ht="15" customHeight="1">
      <c r="A98" s="151" t="s">
        <v>193</v>
      </c>
      <c r="B98" s="141" t="s">
        <v>2</v>
      </c>
      <c r="C98" s="144" t="s">
        <v>195</v>
      </c>
      <c r="D98" s="170">
        <f>((LOOKUP(D$2,'Ceiling-U'!$A$4:$A$40,'Ceiling-U'!$X$4:$X$40)*D$15)+(LOOKUP(D$2,'Floor-U'!$A$4:$A$40,'Floor-U'!$E$4:$E$40)*D$16)+(LOOKUP(D$2,'Wall-U'!$A$4:$A$40,'Wall-U'!$E$4:$E$40)*D$13)+(LOOKUP(D$2,'Window-U'!$A$4:$A$40,'Window-U'!$S$4:$S$40)*D$22))*D$97</f>
        <v>1374.7495425038398</v>
      </c>
      <c r="E98" s="171">
        <f>((LOOKUP(E$2,'Ceiling-U'!$A$4:$A$40,'Ceiling-U'!$X$4:$X$40)*E$15)+(LOOKUP(E$2,'Floor-U'!$A$4:$A$40,'Floor-U'!$E$4:$E$40)*E$16)+(LOOKUP(E$2,'Wall-U'!$A$4:$A$40,'Wall-U'!$E$4:$E$40)*E$13)+(LOOKUP(E$2,'Window-U'!$A$4:$A$40,'Window-U'!$S$4:$S$40)*E$22))*E$97</f>
        <v>1479.2768654448246</v>
      </c>
      <c r="F98" s="171">
        <f>((LOOKUP(F$2,'Ceiling-U'!$A$4:$A$40,'Ceiling-U'!$X$4:$X$40)*F$15)+(LOOKUP(F$2,'Floor-U'!$A$4:$A$40,'Floor-U'!$E$4:$E$40)*F$16)+(LOOKUP(F$2,'Wall-U'!$A$4:$A$40,'Wall-U'!$E$4:$E$40)*F$13)+(LOOKUP(F$2,'Window-U'!$A$4:$A$40,'Window-U'!$S$4:$S$40)*F$22))*F$97</f>
        <v>883.27109331043323</v>
      </c>
      <c r="G98" s="171">
        <f>((LOOKUP(G$2,'Ceiling-U'!$A$4:$A$40,'Ceiling-U'!$X$4:$X$40)*G$15)+(LOOKUP(G$2,'Floor-U'!$A$4:$A$40,'Floor-U'!$E$4:$E$40)*G$16)+(LOOKUP(G$2,'Wall-U'!$A$4:$A$40,'Wall-U'!$E$4:$E$40)*G$13)+(LOOKUP(G$2,'Window-U'!$A$4:$A$40,'Window-U'!$S$4:$S$40)*G$22))*G$97</f>
        <v>1419.9093010325673</v>
      </c>
      <c r="H98" s="171">
        <f>((LOOKUP(H$2,'Ceiling-U'!$A$4:$A$40,'Ceiling-U'!$X$4:$X$40)*H$15)+(LOOKUP(H$2,'Floor-U'!$A$4:$A$40,'Floor-U'!$E$4:$E$40)*H$16)+(LOOKUP(H$2,'Wall-U'!$A$4:$A$40,'Wall-U'!$E$4:$E$40)*H$13)+(LOOKUP(H$2,'Window-U'!$A$4:$A$40,'Window-U'!$S$4:$S$40)*H$22))*H$97</f>
        <v>1946.808642777004</v>
      </c>
      <c r="I98" s="171">
        <f>((LOOKUP(I$2,'Ceiling-U'!$A$4:$A$40,'Ceiling-U'!$X$4:$X$40)*I$15)+(LOOKUP(I$2,'Floor-U'!$A$4:$A$40,'Floor-U'!$E$4:$E$40)*I$16)+(LOOKUP(I$2,'Wall-U'!$A$4:$A$40,'Wall-U'!$E$4:$E$40)*I$13)+(LOOKUP(I$2,'Window-U'!$A$4:$A$40,'Window-U'!$S$4:$S$40)*I$22))*I$97</f>
        <v>940.65678986759201</v>
      </c>
      <c r="J98" s="171">
        <f>((LOOKUP(J$2,'Ceiling-U'!$A$4:$A$40,'Ceiling-U'!$X$4:$X$40)*J$15)+(LOOKUP(J$2,'Floor-U'!$A$4:$A$40,'Floor-U'!$E$4:$E$40)*J$16)+(LOOKUP(J$2,'Wall-U'!$A$4:$A$40,'Wall-U'!$E$4:$E$40)*J$13)+(LOOKUP(J$2,'Window-U'!$A$4:$A$40,'Window-U'!$S$4:$S$40)*J$22))*J$97</f>
        <v>1376.5816022752438</v>
      </c>
      <c r="K98" s="171">
        <f>((LOOKUP(K$2,'Ceiling-U'!$A$4:$A$40,'Ceiling-U'!$X$4:$X$40)*K$15)+(LOOKUP(K$2,'Floor-U'!$A$4:$A$40,'Floor-U'!$E$4:$E$40)*K$16)+(LOOKUP(K$2,'Wall-U'!$A$4:$A$40,'Wall-U'!$E$4:$E$40)*K$13)+(LOOKUP(K$2,'Window-U'!$A$4:$A$40,'Window-U'!$S$4:$S$40)*K$22))*K$97</f>
        <v>873.77745417757569</v>
      </c>
      <c r="L98" s="171">
        <f>((LOOKUP(L$2,'Ceiling-U'!$A$4:$A$40,'Ceiling-U'!$X$4:$X$40)*L$15)+(LOOKUP(L$2,'Floor-U'!$A$4:$A$40,'Floor-U'!$E$4:$E$40)*L$16)+(LOOKUP(L$2,'Wall-U'!$A$4:$A$40,'Wall-U'!$E$4:$E$40)*L$13)+(LOOKUP(L$2,'Window-U'!$A$4:$A$40,'Window-U'!$S$4:$S$40)*L$22))*L$97</f>
        <v>399.09894870040171</v>
      </c>
      <c r="M98" s="171">
        <f>((LOOKUP(M$2,'Ceiling-U'!$A$4:$A$40,'Ceiling-U'!$X$4:$X$40)*M$15)+(LOOKUP(M$2,'Floor-U'!$A$4:$A$40,'Floor-U'!$E$4:$E$40)*M$16)+(LOOKUP(M$2,'Wall-U'!$A$4:$A$40,'Wall-U'!$E$4:$E$40)*M$13)+(LOOKUP(M$2,'Window-U'!$A$4:$A$40,'Window-U'!$S$4:$S$40)*M$22))*M$97</f>
        <v>2328.9722547086003</v>
      </c>
      <c r="N98" s="171">
        <f>((LOOKUP(N$2,'Ceiling-U'!$A$4:$A$40,'Ceiling-U'!$X$4:$X$40)*N$15)+(LOOKUP(N$2,'Floor-U'!$A$4:$A$40,'Floor-U'!$E$4:$E$40)*N$16)+(LOOKUP(N$2,'Wall-U'!$A$4:$A$40,'Wall-U'!$E$4:$E$40)*N$13)+(LOOKUP(N$2,'Window-U'!$A$4:$A$40,'Window-U'!$S$4:$S$40)*N$22))*N$97</f>
        <v>558.05924716406616</v>
      </c>
      <c r="O98" s="171">
        <f>((LOOKUP(O$2,'Ceiling-U'!$A$4:$A$40,'Ceiling-U'!$X$4:$X$40)*O$15)+(LOOKUP(O$2,'Floor-U'!$A$4:$A$40,'Floor-U'!$E$4:$E$40)*O$16)+(LOOKUP(O$2,'Wall-U'!$A$4:$A$40,'Wall-U'!$E$4:$E$40)*O$13)+(LOOKUP(O$2,'Window-U'!$A$4:$A$40,'Window-U'!$S$4:$S$40)*O$22))*O$97</f>
        <v>2103.4515960282356</v>
      </c>
      <c r="P98" s="171">
        <f>((LOOKUP(P$2,'Ceiling-U'!$A$4:$A$40,'Ceiling-U'!$X$4:$X$40)*P$15)+(LOOKUP(P$2,'Floor-U'!$A$4:$A$40,'Floor-U'!$E$4:$E$40)*P$16)+(LOOKUP(P$2,'Wall-U'!$A$4:$A$40,'Wall-U'!$E$4:$E$40)*P$13)+(LOOKUP(P$2,'Window-U'!$A$4:$A$40,'Window-U'!$S$4:$S$40)*P$22))*P$97</f>
        <v>1354.0318535155391</v>
      </c>
      <c r="Q98" s="171">
        <f>((LOOKUP(Q$2,'Ceiling-U'!$A$4:$A$40,'Ceiling-U'!$X$4:$X$40)*Q$15)+(LOOKUP(Q$2,'Floor-U'!$A$4:$A$40,'Floor-U'!$E$4:$E$40)*Q$16)+(LOOKUP(Q$2,'Wall-U'!$A$4:$A$40,'Wall-U'!$E$4:$E$40)*Q$13)+(LOOKUP(Q$2,'Window-U'!$A$4:$A$40,'Window-U'!$S$4:$S$40)*Q$22))*Q$97</f>
        <v>764.97140067183773</v>
      </c>
      <c r="R98" s="171">
        <f>((LOOKUP(R$2,'Ceiling-U'!$A$4:$A$40,'Ceiling-U'!$X$4:$X$40)*R$15)+(LOOKUP(R$2,'Floor-U'!$A$4:$A$40,'Floor-U'!$E$4:$E$40)*R$16)+(LOOKUP(R$2,'Wall-U'!$A$4:$A$40,'Wall-U'!$E$4:$E$40)*R$13)+(LOOKUP(R$2,'Window-U'!$A$4:$A$40,'Window-U'!$S$4:$S$40)*R$22))*R$97</f>
        <v>1108.7995787857624</v>
      </c>
      <c r="S98" s="171">
        <f>((LOOKUP(S$2,'Ceiling-U'!$A$4:$A$40,'Ceiling-U'!$X$4:$X$40)*S$15)+(LOOKUP(S$2,'Floor-U'!$A$4:$A$40,'Floor-U'!$E$4:$E$40)*S$16)+(LOOKUP(S$2,'Wall-U'!$A$4:$A$40,'Wall-U'!$E$4:$E$40)*S$13)+(LOOKUP(S$2,'Window-U'!$A$4:$A$40,'Window-U'!$S$4:$S$40)*S$22))*S$97</f>
        <v>1326.9347074562759</v>
      </c>
      <c r="T98" s="171">
        <f>((LOOKUP(T$2,'Ceiling-U'!$A$4:$A$40,'Ceiling-U'!$X$4:$X$40)*T$15)+(LOOKUP(T$2,'Floor-U'!$A$4:$A$40,'Floor-U'!$E$4:$E$40)*T$16)+(LOOKUP(T$2,'Wall-U'!$A$4:$A$40,'Wall-U'!$E$4:$E$40)*T$13)+(LOOKUP(T$2,'Window-U'!$A$4:$A$40,'Window-U'!$S$4:$S$40)*T$22))*T$97</f>
        <v>562.59968152718932</v>
      </c>
      <c r="U98" s="171">
        <f>((LOOKUP(U$2,'Ceiling-U'!$A$4:$A$40,'Ceiling-U'!$X$4:$X$40)*U$15)+(LOOKUP(U$2,'Floor-U'!$A$4:$A$40,'Floor-U'!$E$4:$E$40)*U$16)+(LOOKUP(U$2,'Wall-U'!$A$4:$A$40,'Wall-U'!$E$4:$E$40)*U$13)+(LOOKUP(U$2,'Window-U'!$A$4:$A$40,'Window-U'!$S$4:$S$40)*U$22))*U$97</f>
        <v>1703.0624021007711</v>
      </c>
      <c r="V98" s="171">
        <f>((LOOKUP(V$2,'Ceiling-U'!$A$4:$A$40,'Ceiling-U'!$X$4:$X$40)*V$15)+(LOOKUP(V$2,'Floor-U'!$A$4:$A$40,'Floor-U'!$E$4:$E$40)*V$16)+(LOOKUP(V$2,'Wall-U'!$A$4:$A$40,'Wall-U'!$E$4:$E$40)*V$13)+(LOOKUP(V$2,'Window-U'!$A$4:$A$40,'Window-U'!$S$4:$S$40)*V$22))*V$97</f>
        <v>845.04572660333838</v>
      </c>
      <c r="W98" s="171">
        <f>((LOOKUP(W$2,'Ceiling-U'!$A$4:$A$40,'Ceiling-U'!$X$4:$X$40)*W$15)+(LOOKUP(W$2,'Floor-U'!$A$4:$A$40,'Floor-U'!$E$4:$E$40)*W$16)+(LOOKUP(W$2,'Wall-U'!$A$4:$A$40,'Wall-U'!$E$4:$E$40)*W$13)+(LOOKUP(W$2,'Window-U'!$A$4:$A$40,'Window-U'!$S$4:$S$40)*W$22))*W$97</f>
        <v>710.74887881940947</v>
      </c>
      <c r="X98" s="171">
        <f>((LOOKUP(X$2,'Ceiling-U'!$A$4:$A$40,'Ceiling-U'!$X$4:$X$40)*X$15)+(LOOKUP(X$2,'Floor-U'!$A$4:$A$40,'Floor-U'!$E$4:$E$40)*X$16)+(LOOKUP(X$2,'Wall-U'!$A$4:$A$40,'Wall-U'!$E$4:$E$40)*X$13)+(LOOKUP(X$2,'Window-U'!$A$4:$A$40,'Window-U'!$S$4:$S$40)*X$22))*X$97</f>
        <v>817.69910676359325</v>
      </c>
      <c r="Y98" s="171">
        <f>((LOOKUP(Y$2,'Ceiling-U'!$A$4:$A$40,'Ceiling-U'!$X$4:$X$40)*Y$15)+(LOOKUP(Y$2,'Floor-U'!$A$4:$A$40,'Floor-U'!$E$4:$E$40)*Y$16)+(LOOKUP(Y$2,'Wall-U'!$A$4:$A$40,'Wall-U'!$E$4:$E$40)*Y$13)+(LOOKUP(Y$2,'Window-U'!$A$4:$A$40,'Window-U'!$S$4:$S$40)*Y$22))*Y$97</f>
        <v>2559.3521386091775</v>
      </c>
      <c r="Z98" s="171">
        <f>((LOOKUP(Z$2,'Ceiling-U'!$A$4:$A$40,'Ceiling-U'!$X$4:$X$40)*Z$15)+(LOOKUP(Z$2,'Floor-U'!$A$4:$A$40,'Floor-U'!$E$4:$E$40)*Z$16)+(LOOKUP(Z$2,'Wall-U'!$A$4:$A$40,'Wall-U'!$E$4:$E$40)*Z$13)+(LOOKUP(Z$2,'Window-U'!$A$4:$A$40,'Window-U'!$S$4:$S$40)*Z$22))*Z$97</f>
        <v>1553.3749517003916</v>
      </c>
      <c r="AA98" s="171">
        <f>((LOOKUP(AA$2,'Ceiling-U'!$A$4:$A$40,'Ceiling-U'!$X$4:$X$40)*AA$15)+(LOOKUP(AA$2,'Floor-U'!$A$4:$A$40,'Floor-U'!$E$4:$E$40)*AA$16)+(LOOKUP(AA$2,'Wall-U'!$A$4:$A$40,'Wall-U'!$E$4:$E$40)*AA$13)+(LOOKUP(AA$2,'Window-U'!$A$4:$A$40,'Window-U'!$S$4:$S$40)*AA$22))*AA$97</f>
        <v>447.21583555074085</v>
      </c>
      <c r="AB98" s="171">
        <f>((LOOKUP(AB$2,'Ceiling-U'!$A$4:$A$40,'Ceiling-U'!$X$4:$X$40)*AB$15)+(LOOKUP(AB$2,'Floor-U'!$A$4:$A$40,'Floor-U'!$E$4:$E$40)*AB$16)+(LOOKUP(AB$2,'Wall-U'!$A$4:$A$40,'Wall-U'!$E$4:$E$40)*AB$13)+(LOOKUP(AB$2,'Window-U'!$A$4:$A$40,'Window-U'!$S$4:$S$40)*AB$22))*AB$97</f>
        <v>1258.2010952713747</v>
      </c>
      <c r="AC98" s="171">
        <f>((LOOKUP(AC$2,'Ceiling-U'!$A$4:$A$40,'Ceiling-U'!$X$4:$X$40)*AC$15)+(LOOKUP(AC$2,'Floor-U'!$A$4:$A$40,'Floor-U'!$E$4:$E$40)*AC$16)+(LOOKUP(AC$2,'Wall-U'!$A$4:$A$40,'Wall-U'!$E$4:$E$40)*AC$13)+(LOOKUP(AC$2,'Window-U'!$A$4:$A$40,'Window-U'!$S$4:$S$40)*AC$22))*AC$97</f>
        <v>1848.4150100846</v>
      </c>
      <c r="AD98" s="171">
        <f>((LOOKUP(AD$2,'Ceiling-U'!$A$4:$A$40,'Ceiling-U'!$X$4:$X$40)*AD$15)+(LOOKUP(AD$2,'Floor-U'!$A$4:$A$40,'Floor-U'!$E$4:$E$40)*AD$16)+(LOOKUP(AD$2,'Wall-U'!$A$4:$A$40,'Wall-U'!$E$4:$E$40)*AD$13)+(LOOKUP(AD$2,'Window-U'!$A$4:$A$40,'Window-U'!$S$4:$S$40)*AD$22))*AD$97</f>
        <v>1198.886277313575</v>
      </c>
      <c r="AE98" s="171">
        <f>((LOOKUP(AE$2,'Ceiling-U'!$A$4:$A$40,'Ceiling-U'!$X$4:$X$40)*AE$15)+(LOOKUP(AE$2,'Floor-U'!$A$4:$A$40,'Floor-U'!$E$4:$E$40)*AE$16)+(LOOKUP(AE$2,'Wall-U'!$A$4:$A$40,'Wall-U'!$E$4:$E$40)*AE$13)+(LOOKUP(AE$2,'Window-U'!$A$4:$A$40,'Window-U'!$S$4:$S$40)*AE$22))*AE$97</f>
        <v>440.04290121065765</v>
      </c>
      <c r="AF98" s="171">
        <f>((LOOKUP(AF$2,'Ceiling-U'!$A$4:$A$40,'Ceiling-U'!$X$4:$X$40)*AF$15)+(LOOKUP(AF$2,'Floor-U'!$A$4:$A$40,'Floor-U'!$E$4:$E$40)*AF$16)+(LOOKUP(AF$2,'Wall-U'!$A$4:$A$40,'Wall-U'!$E$4:$E$40)*AF$13)+(LOOKUP(AF$2,'Window-U'!$A$4:$A$40,'Window-U'!$S$4:$S$40)*AF$22))*AF$97</f>
        <v>1055.0098152237504</v>
      </c>
      <c r="AG98" s="171">
        <f>((LOOKUP(AG$2,'Ceiling-U'!$A$4:$A$40,'Ceiling-U'!$X$4:$X$40)*AG$15)+(LOOKUP(AG$2,'Floor-U'!$A$4:$A$40,'Floor-U'!$E$4:$E$40)*AG$16)+(LOOKUP(AG$2,'Wall-U'!$A$4:$A$40,'Wall-U'!$E$4:$E$40)*AG$13)+(LOOKUP(AG$2,'Window-U'!$A$4:$A$40,'Window-U'!$S$4:$S$40)*AG$22))*AG$97</f>
        <v>1348.7986972316032</v>
      </c>
      <c r="AH98" s="171">
        <f>((LOOKUP(AH$2,'Ceiling-U'!$A$4:$A$40,'Ceiling-U'!$X$4:$X$40)*AH$15)+(LOOKUP(AH$2,'Floor-U'!$A$4:$A$40,'Floor-U'!$E$4:$E$40)*AH$16)+(LOOKUP(AH$2,'Wall-U'!$A$4:$A$40,'Wall-U'!$E$4:$E$40)*AH$13)+(LOOKUP(AH$2,'Window-U'!$A$4:$A$40,'Window-U'!$S$4:$S$40)*AH$22))*AH$97</f>
        <v>1113.6050780066505</v>
      </c>
      <c r="AI98" s="171">
        <f>((LOOKUP(AI$2,'Ceiling-U'!$A$4:$A$40,'Ceiling-U'!$X$4:$X$40)*AI$15)+(LOOKUP(AI$2,'Floor-U'!$A$4:$A$40,'Floor-U'!$E$4:$E$40)*AI$16)+(LOOKUP(AI$2,'Wall-U'!$A$4:$A$40,'Wall-U'!$E$4:$E$40)*AI$13)+(LOOKUP(AI$2,'Window-U'!$A$4:$A$40,'Window-U'!$S$4:$S$40)*AI$22))*AI$97</f>
        <v>1948.1383268904146</v>
      </c>
      <c r="AJ98" s="171">
        <f>((LOOKUP(AJ$2,'Ceiling-U'!$A$4:$A$40,'Ceiling-U'!$X$4:$X$40)*AJ$15)+(LOOKUP(AJ$2,'Floor-U'!$A$4:$A$40,'Floor-U'!$E$4:$E$40)*AJ$16)+(LOOKUP(AJ$2,'Wall-U'!$A$4:$A$40,'Wall-U'!$E$4:$E$40)*AJ$13)+(LOOKUP(AJ$2,'Window-U'!$A$4:$A$40,'Window-U'!$S$4:$S$40)*AJ$22))*AJ$97</f>
        <v>832.87361956463167</v>
      </c>
      <c r="AK98" s="171">
        <f>((LOOKUP(AK$2,'Ceiling-U'!$A$4:$A$40,'Ceiling-U'!$X$4:$X$40)*AK$15)+(LOOKUP(AK$2,'Floor-U'!$A$4:$A$40,'Floor-U'!$E$4:$E$40)*AK$16)+(LOOKUP(AK$2,'Wall-U'!$A$4:$A$40,'Wall-U'!$E$4:$E$40)*AK$13)+(LOOKUP(AK$2,'Window-U'!$A$4:$A$40,'Window-U'!$S$4:$S$40)*AK$22))*AK$97</f>
        <v>1020.4353931121133</v>
      </c>
      <c r="AL98" s="171">
        <f>((LOOKUP(AL$2,'Ceiling-U'!$A$4:$A$40,'Ceiling-U'!$X$4:$X$40)*AL$15)+(LOOKUP(AL$2,'Floor-U'!$A$4:$A$40,'Floor-U'!$E$4:$E$40)*AL$16)+(LOOKUP(AL$2,'Wall-U'!$A$4:$A$40,'Wall-U'!$E$4:$E$40)*AL$13)+(LOOKUP(AL$2,'Window-U'!$A$4:$A$40,'Window-U'!$S$4:$S$40)*AL$22))*AL$97</f>
        <v>929.80905458708173</v>
      </c>
      <c r="AM98" s="171">
        <f>((LOOKUP(AM$2,'Ceiling-U'!$A$4:$A$40,'Ceiling-U'!$X$4:$X$40)*AM$15)+(LOOKUP(AM$2,'Floor-U'!$A$4:$A$40,'Floor-U'!$E$4:$E$40)*AM$16)+(LOOKUP(AM$2,'Wall-U'!$A$4:$A$40,'Wall-U'!$E$4:$E$40)*AM$13)+(LOOKUP(AM$2,'Window-U'!$A$4:$A$40,'Window-U'!$S$4:$S$40)*AM$22))*AM$97</f>
        <v>832.87361956463167</v>
      </c>
      <c r="AN98" s="172">
        <f>((LOOKUP(AN$2,'Ceiling-U'!$A$4:$A$40,'Ceiling-U'!$X$4:$X$40)*AN$15)+(LOOKUP(AN$2,'Floor-U'!$A$4:$A$40,'Floor-U'!$E$4:$E$40)*AN$16)+(LOOKUP(AN$2,'Wall-U'!$A$4:$A$40,'Wall-U'!$E$4:$E$40)*AN$13)+(LOOKUP(AN$2,'Window-U'!$A$4:$A$40,'Window-U'!$S$4:$S$40)*AN$22))*AN$97</f>
        <v>832.87361956463167</v>
      </c>
    </row>
    <row r="99" spans="1:40">
      <c r="A99" s="372"/>
      <c r="B99" s="142" t="s">
        <v>3</v>
      </c>
      <c r="C99" s="131" t="s">
        <v>195</v>
      </c>
      <c r="D99" s="176">
        <f>((LOOKUP(D$2,'Ceiling-U'!$A$4:$A$40,'Ceiling-U'!$Y$4:$Y$40)*D$15)+(LOOKUP(D$2,'Floor-U'!$A$4:$A$40,'Floor-U'!$F$4:$F$40)*D$16)+(LOOKUP(D$2,'Wall-U'!$A$4:$A$40,'Wall-U'!$F$4:$F$40)*D$13)+(LOOKUP(D$2,'Window-U'!$A$4:$A$40,'Window-U'!$S$4:$S$40)*D$22))*D$97</f>
        <v>1305.4659198451109</v>
      </c>
      <c r="E99" s="177">
        <f>((LOOKUP(E$2,'Ceiling-U'!$A$4:$A$40,'Ceiling-U'!$Y$4:$Y$40)*E$15)+(LOOKUP(E$2,'Floor-U'!$A$4:$A$40,'Floor-U'!$F$4:$F$40)*E$16)+(LOOKUP(E$2,'Wall-U'!$A$4:$A$40,'Wall-U'!$F$4:$F$40)*E$13)+(LOOKUP(E$2,'Window-U'!$A$4:$A$40,'Window-U'!$S$4:$S$40)*E$22))*E$97</f>
        <v>1479.2768654448246</v>
      </c>
      <c r="F99" s="177">
        <f>((LOOKUP(F$2,'Ceiling-U'!$A$4:$A$40,'Ceiling-U'!$Y$4:$Y$40)*F$15)+(LOOKUP(F$2,'Floor-U'!$A$4:$A$40,'Floor-U'!$F$4:$F$40)*F$16)+(LOOKUP(F$2,'Wall-U'!$A$4:$A$40,'Wall-U'!$F$4:$F$40)*F$13)+(LOOKUP(F$2,'Window-U'!$A$4:$A$40,'Window-U'!$S$4:$S$40)*F$22))*F$97</f>
        <v>883.27109331043323</v>
      </c>
      <c r="G99" s="177">
        <f>((LOOKUP(G$2,'Ceiling-U'!$A$4:$A$40,'Ceiling-U'!$Y$4:$Y$40)*G$15)+(LOOKUP(G$2,'Floor-U'!$A$4:$A$40,'Floor-U'!$F$4:$F$40)*G$16)+(LOOKUP(G$2,'Wall-U'!$A$4:$A$40,'Wall-U'!$F$4:$F$40)*G$13)+(LOOKUP(G$2,'Window-U'!$A$4:$A$40,'Window-U'!$S$4:$S$40)*G$22))*G$97</f>
        <v>1350.5994770764396</v>
      </c>
      <c r="H99" s="177">
        <f>((LOOKUP(H$2,'Ceiling-U'!$A$4:$A$40,'Ceiling-U'!$Y$4:$Y$40)*H$15)+(LOOKUP(H$2,'Floor-U'!$A$4:$A$40,'Floor-U'!$F$4:$F$40)*H$16)+(LOOKUP(H$2,'Wall-U'!$A$4:$A$40,'Wall-U'!$F$4:$F$40)*H$13)+(LOOKUP(H$2,'Window-U'!$A$4:$A$40,'Window-U'!$S$4:$S$40)*H$22))*H$97</f>
        <v>1775.700576749005</v>
      </c>
      <c r="I99" s="177">
        <f>((LOOKUP(I$2,'Ceiling-U'!$A$4:$A$40,'Ceiling-U'!$Y$4:$Y$40)*I$15)+(LOOKUP(I$2,'Floor-U'!$A$4:$A$40,'Floor-U'!$F$4:$F$40)*I$16)+(LOOKUP(I$2,'Wall-U'!$A$4:$A$40,'Wall-U'!$F$4:$F$40)*I$13)+(LOOKUP(I$2,'Window-U'!$A$4:$A$40,'Window-U'!$S$4:$S$40)*I$22))*I$97</f>
        <v>770.73574257553776</v>
      </c>
      <c r="J99" s="177">
        <f>((LOOKUP(J$2,'Ceiling-U'!$A$4:$A$40,'Ceiling-U'!$Y$4:$Y$40)*J$15)+(LOOKUP(J$2,'Floor-U'!$A$4:$A$40,'Floor-U'!$F$4:$F$40)*J$16)+(LOOKUP(J$2,'Wall-U'!$A$4:$A$40,'Wall-U'!$F$4:$F$40)*J$13)+(LOOKUP(J$2,'Window-U'!$A$4:$A$40,'Window-U'!$S$4:$S$40)*J$22))*J$97</f>
        <v>1178.1196576642731</v>
      </c>
      <c r="K99" s="177">
        <f>((LOOKUP(K$2,'Ceiling-U'!$A$4:$A$40,'Ceiling-U'!$Y$4:$Y$40)*K$15)+(LOOKUP(K$2,'Floor-U'!$A$4:$A$40,'Floor-U'!$F$4:$F$40)*K$16)+(LOOKUP(K$2,'Wall-U'!$A$4:$A$40,'Wall-U'!$F$4:$F$40)*K$13)+(LOOKUP(K$2,'Window-U'!$A$4:$A$40,'Window-U'!$S$4:$S$40)*K$22))*K$97</f>
        <v>846.5439325889929</v>
      </c>
      <c r="L99" s="177">
        <f>((LOOKUP(L$2,'Ceiling-U'!$A$4:$A$40,'Ceiling-U'!$Y$4:$Y$40)*L$15)+(LOOKUP(L$2,'Floor-U'!$A$4:$A$40,'Floor-U'!$F$4:$F$40)*L$16)+(LOOKUP(L$2,'Wall-U'!$A$4:$A$40,'Wall-U'!$F$4:$F$40)*L$13)+(LOOKUP(L$2,'Window-U'!$A$4:$A$40,'Window-U'!$S$4:$S$40)*L$22))*L$97</f>
        <v>399.09894870040171</v>
      </c>
      <c r="M99" s="177">
        <f>((LOOKUP(M$2,'Ceiling-U'!$A$4:$A$40,'Ceiling-U'!$Y$4:$Y$40)*M$15)+(LOOKUP(M$2,'Floor-U'!$A$4:$A$40,'Floor-U'!$F$4:$F$40)*M$16)+(LOOKUP(M$2,'Wall-U'!$A$4:$A$40,'Wall-U'!$F$4:$F$40)*M$13)+(LOOKUP(M$2,'Window-U'!$A$4:$A$40,'Window-U'!$S$4:$S$40)*M$22))*M$97</f>
        <v>2112.191651656794</v>
      </c>
      <c r="N99" s="177">
        <f>((LOOKUP(N$2,'Ceiling-U'!$A$4:$A$40,'Ceiling-U'!$Y$4:$Y$40)*N$15)+(LOOKUP(N$2,'Floor-U'!$A$4:$A$40,'Floor-U'!$F$4:$F$40)*N$16)+(LOOKUP(N$2,'Wall-U'!$A$4:$A$40,'Wall-U'!$F$4:$F$40)*N$13)+(LOOKUP(N$2,'Window-U'!$A$4:$A$40,'Window-U'!$S$4:$S$40)*N$22))*N$97</f>
        <v>481.36117033966138</v>
      </c>
      <c r="O99" s="177">
        <f>((LOOKUP(O$2,'Ceiling-U'!$A$4:$A$40,'Ceiling-U'!$Y$4:$Y$40)*O$15)+(LOOKUP(O$2,'Floor-U'!$A$4:$A$40,'Floor-U'!$F$4:$F$40)*O$16)+(LOOKUP(O$2,'Wall-U'!$A$4:$A$40,'Wall-U'!$F$4:$F$40)*O$13)+(LOOKUP(O$2,'Window-U'!$A$4:$A$40,'Window-U'!$S$4:$S$40)*O$22))*O$97</f>
        <v>2103.4515960282356</v>
      </c>
      <c r="P99" s="177">
        <f>((LOOKUP(P$2,'Ceiling-U'!$A$4:$A$40,'Ceiling-U'!$Y$4:$Y$40)*P$15)+(LOOKUP(P$2,'Floor-U'!$A$4:$A$40,'Floor-U'!$F$4:$F$40)*P$16)+(LOOKUP(P$2,'Wall-U'!$A$4:$A$40,'Wall-U'!$F$4:$F$40)*P$13)+(LOOKUP(P$2,'Window-U'!$A$4:$A$40,'Window-U'!$S$4:$S$40)*P$22))*P$97</f>
        <v>1354.0318535155391</v>
      </c>
      <c r="Q99" s="177">
        <f>((LOOKUP(Q$2,'Ceiling-U'!$A$4:$A$40,'Ceiling-U'!$Y$4:$Y$40)*Q$15)+(LOOKUP(Q$2,'Floor-U'!$A$4:$A$40,'Floor-U'!$F$4:$F$40)*Q$16)+(LOOKUP(Q$2,'Wall-U'!$A$4:$A$40,'Wall-U'!$F$4:$F$40)*Q$13)+(LOOKUP(Q$2,'Window-U'!$A$4:$A$40,'Window-U'!$S$4:$S$40)*Q$22))*Q$97</f>
        <v>836.72407345349018</v>
      </c>
      <c r="R99" s="177">
        <f>((LOOKUP(R$2,'Ceiling-U'!$A$4:$A$40,'Ceiling-U'!$Y$4:$Y$40)*R$15)+(LOOKUP(R$2,'Floor-U'!$A$4:$A$40,'Floor-U'!$F$4:$F$40)*R$16)+(LOOKUP(R$2,'Wall-U'!$A$4:$A$40,'Wall-U'!$F$4:$F$40)*R$13)+(LOOKUP(R$2,'Window-U'!$A$4:$A$40,'Window-U'!$S$4:$S$40)*R$22))*R$97</f>
        <v>1108.7995787857624</v>
      </c>
      <c r="S99" s="177">
        <f>((LOOKUP(S$2,'Ceiling-U'!$A$4:$A$40,'Ceiling-U'!$Y$4:$Y$40)*S$15)+(LOOKUP(S$2,'Floor-U'!$A$4:$A$40,'Floor-U'!$F$4:$F$40)*S$16)+(LOOKUP(S$2,'Wall-U'!$A$4:$A$40,'Wall-U'!$F$4:$F$40)*S$13)+(LOOKUP(S$2,'Window-U'!$A$4:$A$40,'Window-U'!$S$4:$S$40)*S$22))*S$97</f>
        <v>1327.3771739468771</v>
      </c>
      <c r="T99" s="177">
        <f>((LOOKUP(T$2,'Ceiling-U'!$A$4:$A$40,'Ceiling-U'!$Y$4:$Y$40)*T$15)+(LOOKUP(T$2,'Floor-U'!$A$4:$A$40,'Floor-U'!$F$4:$F$40)*T$16)+(LOOKUP(T$2,'Wall-U'!$A$4:$A$40,'Wall-U'!$F$4:$F$40)*T$13)+(LOOKUP(T$2,'Window-U'!$A$4:$A$40,'Window-U'!$S$4:$S$40)*T$22))*T$97</f>
        <v>485.11272779424075</v>
      </c>
      <c r="U99" s="177">
        <f>((LOOKUP(U$2,'Ceiling-U'!$A$4:$A$40,'Ceiling-U'!$Y$4:$Y$40)*U$15)+(LOOKUP(U$2,'Floor-U'!$A$4:$A$40,'Floor-U'!$F$4:$F$40)*U$16)+(LOOKUP(U$2,'Wall-U'!$A$4:$A$40,'Wall-U'!$F$4:$F$40)*U$13)+(LOOKUP(U$2,'Window-U'!$A$4:$A$40,'Window-U'!$S$4:$S$40)*U$22))*U$97</f>
        <v>1594.2056012369621</v>
      </c>
      <c r="V99" s="177">
        <f>((LOOKUP(V$2,'Ceiling-U'!$A$4:$A$40,'Ceiling-U'!$Y$4:$Y$40)*V$15)+(LOOKUP(V$2,'Floor-U'!$A$4:$A$40,'Floor-U'!$F$4:$F$40)*V$16)+(LOOKUP(V$2,'Wall-U'!$A$4:$A$40,'Wall-U'!$F$4:$F$40)*V$13)+(LOOKUP(V$2,'Window-U'!$A$4:$A$40,'Window-U'!$S$4:$S$40)*V$22))*V$97</f>
        <v>845.04572660333838</v>
      </c>
      <c r="W99" s="177">
        <f>((LOOKUP(W$2,'Ceiling-U'!$A$4:$A$40,'Ceiling-U'!$Y$4:$Y$40)*W$15)+(LOOKUP(W$2,'Floor-U'!$A$4:$A$40,'Floor-U'!$F$4:$F$40)*W$16)+(LOOKUP(W$2,'Wall-U'!$A$4:$A$40,'Wall-U'!$F$4:$F$40)*W$13)+(LOOKUP(W$2,'Window-U'!$A$4:$A$40,'Window-U'!$S$4:$S$40)*W$22))*W$97</f>
        <v>831.25125866729252</v>
      </c>
      <c r="X99" s="177">
        <f>((LOOKUP(X$2,'Ceiling-U'!$A$4:$A$40,'Ceiling-U'!$Y$4:$Y$40)*X$15)+(LOOKUP(X$2,'Floor-U'!$A$4:$A$40,'Floor-U'!$F$4:$F$40)*X$16)+(LOOKUP(X$2,'Wall-U'!$A$4:$A$40,'Wall-U'!$F$4:$F$40)*X$13)+(LOOKUP(X$2,'Window-U'!$A$4:$A$40,'Window-U'!$S$4:$S$40)*X$22))*X$97</f>
        <v>817.69910676359325</v>
      </c>
      <c r="Y99" s="177">
        <f>((LOOKUP(Y$2,'Ceiling-U'!$A$4:$A$40,'Ceiling-U'!$Y$4:$Y$40)*Y$15)+(LOOKUP(Y$2,'Floor-U'!$A$4:$A$40,'Floor-U'!$F$4:$F$40)*Y$16)+(LOOKUP(Y$2,'Wall-U'!$A$4:$A$40,'Wall-U'!$F$4:$F$40)*Y$13)+(LOOKUP(Y$2,'Window-U'!$A$4:$A$40,'Window-U'!$S$4:$S$40)*Y$22))*Y$97</f>
        <v>2559.2594389392466</v>
      </c>
      <c r="Z99" s="177">
        <f>((LOOKUP(Z$2,'Ceiling-U'!$A$4:$A$40,'Ceiling-U'!$Y$4:$Y$40)*Z$15)+(LOOKUP(Z$2,'Floor-U'!$A$4:$A$40,'Floor-U'!$F$4:$F$40)*Z$16)+(LOOKUP(Z$2,'Wall-U'!$A$4:$A$40,'Wall-U'!$F$4:$F$40)*Z$13)+(LOOKUP(Z$2,'Window-U'!$A$4:$A$40,'Window-U'!$S$4:$S$40)*Z$22))*Z$97</f>
        <v>1434.2843016917968</v>
      </c>
      <c r="AA99" s="177">
        <f>((LOOKUP(AA$2,'Ceiling-U'!$A$4:$A$40,'Ceiling-U'!$Y$4:$Y$40)*AA$15)+(LOOKUP(AA$2,'Floor-U'!$A$4:$A$40,'Floor-U'!$F$4:$F$40)*AA$16)+(LOOKUP(AA$2,'Wall-U'!$A$4:$A$40,'Wall-U'!$F$4:$F$40)*AA$13)+(LOOKUP(AA$2,'Window-U'!$A$4:$A$40,'Window-U'!$S$4:$S$40)*AA$22))*AA$97</f>
        <v>447.21583555074085</v>
      </c>
      <c r="AB99" s="177">
        <f>((LOOKUP(AB$2,'Ceiling-U'!$A$4:$A$40,'Ceiling-U'!$Y$4:$Y$40)*AB$15)+(LOOKUP(AB$2,'Floor-U'!$A$4:$A$40,'Floor-U'!$F$4:$F$40)*AB$16)+(LOOKUP(AB$2,'Wall-U'!$A$4:$A$40,'Wall-U'!$F$4:$F$40)*AB$13)+(LOOKUP(AB$2,'Window-U'!$A$4:$A$40,'Window-U'!$S$4:$S$40)*AB$22))*AB$97</f>
        <v>994.83488581564745</v>
      </c>
      <c r="AC99" s="177">
        <f>((LOOKUP(AC$2,'Ceiling-U'!$A$4:$A$40,'Ceiling-U'!$Y$4:$Y$40)*AC$15)+(LOOKUP(AC$2,'Floor-U'!$A$4:$A$40,'Floor-U'!$F$4:$F$40)*AC$16)+(LOOKUP(AC$2,'Wall-U'!$A$4:$A$40,'Wall-U'!$F$4:$F$40)*AC$13)+(LOOKUP(AC$2,'Window-U'!$A$4:$A$40,'Window-U'!$S$4:$S$40)*AC$22))*AC$97</f>
        <v>1642.3859182926744</v>
      </c>
      <c r="AD99" s="177">
        <f>((LOOKUP(AD$2,'Ceiling-U'!$A$4:$A$40,'Ceiling-U'!$Y$4:$Y$40)*AD$15)+(LOOKUP(AD$2,'Floor-U'!$A$4:$A$40,'Floor-U'!$F$4:$F$40)*AD$16)+(LOOKUP(AD$2,'Wall-U'!$A$4:$A$40,'Wall-U'!$F$4:$F$40)*AD$13)+(LOOKUP(AD$2,'Window-U'!$A$4:$A$40,'Window-U'!$S$4:$S$40)*AD$22))*AD$97</f>
        <v>1056.2696355488188</v>
      </c>
      <c r="AE99" s="177">
        <f>((LOOKUP(AE$2,'Ceiling-U'!$A$4:$A$40,'Ceiling-U'!$Y$4:$Y$40)*AE$15)+(LOOKUP(AE$2,'Floor-U'!$A$4:$A$40,'Floor-U'!$F$4:$F$40)*AE$16)+(LOOKUP(AE$2,'Wall-U'!$A$4:$A$40,'Wall-U'!$F$4:$F$40)*AE$13)+(LOOKUP(AE$2,'Window-U'!$A$4:$A$40,'Window-U'!$S$4:$S$40)*AE$22))*AE$97</f>
        <v>440.04290121065765</v>
      </c>
      <c r="AF99" s="177">
        <f>((LOOKUP(AF$2,'Ceiling-U'!$A$4:$A$40,'Ceiling-U'!$Y$4:$Y$40)*AF$15)+(LOOKUP(AF$2,'Floor-U'!$A$4:$A$40,'Floor-U'!$F$4:$F$40)*AF$16)+(LOOKUP(AF$2,'Wall-U'!$A$4:$A$40,'Wall-U'!$F$4:$F$40)*AF$13)+(LOOKUP(AF$2,'Window-U'!$A$4:$A$40,'Window-U'!$S$4:$S$40)*AF$22))*AF$97</f>
        <v>1055.0098152237504</v>
      </c>
      <c r="AG99" s="177">
        <f>((LOOKUP(AG$2,'Ceiling-U'!$A$4:$A$40,'Ceiling-U'!$Y$4:$Y$40)*AG$15)+(LOOKUP(AG$2,'Floor-U'!$A$4:$A$40,'Floor-U'!$F$4:$F$40)*AG$16)+(LOOKUP(AG$2,'Wall-U'!$A$4:$A$40,'Wall-U'!$F$4:$F$40)*AG$13)+(LOOKUP(AG$2,'Window-U'!$A$4:$A$40,'Window-U'!$S$4:$S$40)*AG$22))*AG$97</f>
        <v>1122.8223111750308</v>
      </c>
      <c r="AH99" s="177">
        <f>((LOOKUP(AH$2,'Ceiling-U'!$A$4:$A$40,'Ceiling-U'!$Y$4:$Y$40)*AH$15)+(LOOKUP(AH$2,'Floor-U'!$A$4:$A$40,'Floor-U'!$F$4:$F$40)*AH$16)+(LOOKUP(AH$2,'Wall-U'!$A$4:$A$40,'Wall-U'!$F$4:$F$40)*AH$13)+(LOOKUP(AH$2,'Window-U'!$A$4:$A$40,'Window-U'!$S$4:$S$40)*AH$22))*AH$97</f>
        <v>1191.3557812634824</v>
      </c>
      <c r="AI99" s="177">
        <f>((LOOKUP(AI$2,'Ceiling-U'!$A$4:$A$40,'Ceiling-U'!$Y$4:$Y$40)*AI$15)+(LOOKUP(AI$2,'Floor-U'!$A$4:$A$40,'Floor-U'!$F$4:$F$40)*AI$16)+(LOOKUP(AI$2,'Wall-U'!$A$4:$A$40,'Wall-U'!$F$4:$F$40)*AI$13)+(LOOKUP(AI$2,'Window-U'!$A$4:$A$40,'Window-U'!$S$4:$S$40)*AI$22))*AI$97</f>
        <v>1948.1383268904146</v>
      </c>
      <c r="AJ99" s="177">
        <f>((LOOKUP(AJ$2,'Ceiling-U'!$A$4:$A$40,'Ceiling-U'!$Y$4:$Y$40)*AJ$15)+(LOOKUP(AJ$2,'Floor-U'!$A$4:$A$40,'Floor-U'!$F$4:$F$40)*AJ$16)+(LOOKUP(AJ$2,'Wall-U'!$A$4:$A$40,'Wall-U'!$F$4:$F$40)*AJ$13)+(LOOKUP(AJ$2,'Window-U'!$A$4:$A$40,'Window-U'!$S$4:$S$40)*AJ$22))*AJ$97</f>
        <v>832.87361956463167</v>
      </c>
      <c r="AK99" s="177">
        <f>((LOOKUP(AK$2,'Ceiling-U'!$A$4:$A$40,'Ceiling-U'!$Y$4:$Y$40)*AK$15)+(LOOKUP(AK$2,'Floor-U'!$A$4:$A$40,'Floor-U'!$F$4:$F$40)*AK$16)+(LOOKUP(AK$2,'Wall-U'!$A$4:$A$40,'Wall-U'!$F$4:$F$40)*AK$13)+(LOOKUP(AK$2,'Window-U'!$A$4:$A$40,'Window-U'!$S$4:$S$40)*AK$22))*AK$97</f>
        <v>1020.4353931121133</v>
      </c>
      <c r="AL99" s="177">
        <f>((LOOKUP(AL$2,'Ceiling-U'!$A$4:$A$40,'Ceiling-U'!$Y$4:$Y$40)*AL$15)+(LOOKUP(AL$2,'Floor-U'!$A$4:$A$40,'Floor-U'!$F$4:$F$40)*AL$16)+(LOOKUP(AL$2,'Wall-U'!$A$4:$A$40,'Wall-U'!$F$4:$F$40)*AL$13)+(LOOKUP(AL$2,'Window-U'!$A$4:$A$40,'Window-U'!$S$4:$S$40)*AL$22))*AL$97</f>
        <v>929.80905458708173</v>
      </c>
      <c r="AM99" s="177">
        <f>((LOOKUP(AM$2,'Ceiling-U'!$A$4:$A$40,'Ceiling-U'!$Y$4:$Y$40)*AM$15)+(LOOKUP(AM$2,'Floor-U'!$A$4:$A$40,'Floor-U'!$F$4:$F$40)*AM$16)+(LOOKUP(AM$2,'Wall-U'!$A$4:$A$40,'Wall-U'!$F$4:$F$40)*AM$13)+(LOOKUP(AM$2,'Window-U'!$A$4:$A$40,'Window-U'!$S$4:$S$40)*AM$22))*AM$97</f>
        <v>832.87361956463167</v>
      </c>
      <c r="AN99" s="178">
        <f>((LOOKUP(AN$2,'Ceiling-U'!$A$4:$A$40,'Ceiling-U'!$Y$4:$Y$40)*AN$15)+(LOOKUP(AN$2,'Floor-U'!$A$4:$A$40,'Floor-U'!$F$4:$F$40)*AN$16)+(LOOKUP(AN$2,'Wall-U'!$A$4:$A$40,'Wall-U'!$F$4:$F$40)*AN$13)+(LOOKUP(AN$2,'Window-U'!$A$4:$A$40,'Window-U'!$S$4:$S$40)*AN$22))*AN$97</f>
        <v>832.87361956463167</v>
      </c>
    </row>
    <row r="100" spans="1:40">
      <c r="A100" s="372"/>
      <c r="B100" s="142" t="s">
        <v>4</v>
      </c>
      <c r="C100" s="131" t="s">
        <v>195</v>
      </c>
      <c r="D100" s="176">
        <f>((LOOKUP(D$2,'Ceiling-U'!$A$4:$A$40,'Ceiling-U'!$Z$4:$Z$40)*D$15)+(LOOKUP(D$2,'Floor-U'!$A$4:$A$40,'Floor-U'!$G$4:$G$40)*D$16)+(LOOKUP(D$2,'Wall-U'!$A$4:$A$40,'Wall-U'!$G$4:$G$40)*D$13)+(LOOKUP(D$2,'Window-U'!$A$4:$A$40,'Window-U'!$S$4:$S$40)*D$22))*D$97</f>
        <v>1010.0792057757661</v>
      </c>
      <c r="E100" s="177">
        <f>((LOOKUP(E$2,'Ceiling-U'!$A$4:$A$40,'Ceiling-U'!$Z$4:$Z$40)*E$15)+(LOOKUP(E$2,'Floor-U'!$A$4:$A$40,'Floor-U'!$G$4:$G$40)*E$16)+(LOOKUP(E$2,'Wall-U'!$A$4:$A$40,'Wall-U'!$G$4:$G$40)*E$13)+(LOOKUP(E$2,'Window-U'!$A$4:$A$40,'Window-U'!$S$4:$S$40)*E$22))*E$97</f>
        <v>1479.2768654448246</v>
      </c>
      <c r="F100" s="177">
        <f>((LOOKUP(F$2,'Ceiling-U'!$A$4:$A$40,'Ceiling-U'!$Z$4:$Z$40)*F$15)+(LOOKUP(F$2,'Floor-U'!$A$4:$A$40,'Floor-U'!$G$4:$G$40)*F$16)+(LOOKUP(F$2,'Wall-U'!$A$4:$A$40,'Wall-U'!$G$4:$G$40)*F$13)+(LOOKUP(F$2,'Window-U'!$A$4:$A$40,'Window-U'!$S$4:$S$40)*F$22))*F$97</f>
        <v>820.15941733662874</v>
      </c>
      <c r="G100" s="177">
        <f>((LOOKUP(G$2,'Ceiling-U'!$A$4:$A$40,'Ceiling-U'!$Z$4:$Z$40)*G$15)+(LOOKUP(G$2,'Floor-U'!$A$4:$A$40,'Floor-U'!$G$4:$G$40)*G$16)+(LOOKUP(G$2,'Wall-U'!$A$4:$A$40,'Wall-U'!$G$4:$G$40)*G$13)+(LOOKUP(G$2,'Window-U'!$A$4:$A$40,'Window-U'!$S$4:$S$40)*G$22))*G$97</f>
        <v>1044.4638545771807</v>
      </c>
      <c r="H100" s="177">
        <f>((LOOKUP(H$2,'Ceiling-U'!$A$4:$A$40,'Ceiling-U'!$Z$4:$Z$40)*H$15)+(LOOKUP(H$2,'Floor-U'!$A$4:$A$40,'Floor-U'!$G$4:$G$40)*H$16)+(LOOKUP(H$2,'Wall-U'!$A$4:$A$40,'Wall-U'!$G$4:$G$40)*H$13)+(LOOKUP(H$2,'Window-U'!$A$4:$A$40,'Window-U'!$S$4:$S$40)*H$22))*H$97</f>
        <v>1604.592510721006</v>
      </c>
      <c r="I100" s="177">
        <f>((LOOKUP(I$2,'Ceiling-U'!$A$4:$A$40,'Ceiling-U'!$Z$4:$Z$40)*I$15)+(LOOKUP(I$2,'Floor-U'!$A$4:$A$40,'Floor-U'!$G$4:$G$40)*I$16)+(LOOKUP(I$2,'Wall-U'!$A$4:$A$40,'Wall-U'!$G$4:$G$40)*I$13)+(LOOKUP(I$2,'Window-U'!$A$4:$A$40,'Window-U'!$S$4:$S$40)*I$22))*I$97</f>
        <v>770.73574257553776</v>
      </c>
      <c r="J100" s="177">
        <f>((LOOKUP(J$2,'Ceiling-U'!$A$4:$A$40,'Ceiling-U'!$Z$4:$Z$40)*J$15)+(LOOKUP(J$2,'Floor-U'!$A$4:$A$40,'Floor-U'!$G$4:$G$40)*J$16)+(LOOKUP(J$2,'Wall-U'!$A$4:$A$40,'Wall-U'!$G$4:$G$40)*J$13)+(LOOKUP(J$2,'Window-U'!$A$4:$A$40,'Window-U'!$S$4:$S$40)*J$22))*J$97</f>
        <v>789.29864505430157</v>
      </c>
      <c r="K100" s="177">
        <f>((LOOKUP(K$2,'Ceiling-U'!$A$4:$A$40,'Ceiling-U'!$Z$4:$Z$40)*K$15)+(LOOKUP(K$2,'Floor-U'!$A$4:$A$40,'Floor-U'!$G$4:$G$40)*K$16)+(LOOKUP(K$2,'Wall-U'!$A$4:$A$40,'Wall-U'!$G$4:$G$40)*K$13)+(LOOKUP(K$2,'Window-U'!$A$4:$A$40,'Window-U'!$S$4:$S$40)*K$22))*K$97</f>
        <v>488.20700113279281</v>
      </c>
      <c r="L100" s="177">
        <f>((LOOKUP(L$2,'Ceiling-U'!$A$4:$A$40,'Ceiling-U'!$Z$4:$Z$40)*L$15)+(LOOKUP(L$2,'Floor-U'!$A$4:$A$40,'Floor-U'!$G$4:$G$40)*L$16)+(LOOKUP(L$2,'Wall-U'!$A$4:$A$40,'Wall-U'!$G$4:$G$40)*L$13)+(LOOKUP(L$2,'Window-U'!$A$4:$A$40,'Window-U'!$S$4:$S$40)*L$22))*L$97</f>
        <v>305.10239744185594</v>
      </c>
      <c r="M100" s="177">
        <f>((LOOKUP(M$2,'Ceiling-U'!$A$4:$A$40,'Ceiling-U'!$Z$4:$Z$40)*M$15)+(LOOKUP(M$2,'Floor-U'!$A$4:$A$40,'Floor-U'!$G$4:$G$40)*M$16)+(LOOKUP(M$2,'Wall-U'!$A$4:$A$40,'Wall-U'!$G$4:$G$40)*M$13)+(LOOKUP(M$2,'Window-U'!$A$4:$A$40,'Window-U'!$S$4:$S$40)*M$22))*M$97</f>
        <v>2112.191651656794</v>
      </c>
      <c r="N100" s="177">
        <f>((LOOKUP(N$2,'Ceiling-U'!$A$4:$A$40,'Ceiling-U'!$Z$4:$Z$40)*N$15)+(LOOKUP(N$2,'Floor-U'!$A$4:$A$40,'Floor-U'!$G$4:$G$40)*N$16)+(LOOKUP(N$2,'Wall-U'!$A$4:$A$40,'Wall-U'!$G$4:$G$40)*N$13)+(LOOKUP(N$2,'Window-U'!$A$4:$A$40,'Window-U'!$S$4:$S$40)*N$22))*N$97</f>
        <v>377.49798901665349</v>
      </c>
      <c r="O100" s="177">
        <f>((LOOKUP(O$2,'Ceiling-U'!$A$4:$A$40,'Ceiling-U'!$Z$4:$Z$40)*O$15)+(LOOKUP(O$2,'Floor-U'!$A$4:$A$40,'Floor-U'!$G$4:$G$40)*O$16)+(LOOKUP(O$2,'Wall-U'!$A$4:$A$40,'Wall-U'!$G$4:$G$40)*O$13)+(LOOKUP(O$2,'Window-U'!$A$4:$A$40,'Window-U'!$S$4:$S$40)*O$22))*O$97</f>
        <v>936.45807055184252</v>
      </c>
      <c r="P100" s="177">
        <f>((LOOKUP(P$2,'Ceiling-U'!$A$4:$A$40,'Ceiling-U'!$Z$4:$Z$40)*P$15)+(LOOKUP(P$2,'Floor-U'!$A$4:$A$40,'Floor-U'!$G$4:$G$40)*P$16)+(LOOKUP(P$2,'Wall-U'!$A$4:$A$40,'Wall-U'!$G$4:$G$40)*P$13)+(LOOKUP(P$2,'Window-U'!$A$4:$A$40,'Window-U'!$S$4:$S$40)*P$22))*P$97</f>
        <v>1354.0318535155391</v>
      </c>
      <c r="Q100" s="177">
        <f>((LOOKUP(Q$2,'Ceiling-U'!$A$4:$A$40,'Ceiling-U'!$Z$4:$Z$40)*Q$15)+(LOOKUP(Q$2,'Floor-U'!$A$4:$A$40,'Floor-U'!$G$4:$G$40)*Q$16)+(LOOKUP(Q$2,'Wall-U'!$A$4:$A$40,'Wall-U'!$G$4:$G$40)*Q$13)+(LOOKUP(Q$2,'Window-U'!$A$4:$A$40,'Window-U'!$S$4:$S$40)*Q$22))*Q$97</f>
        <v>765.10720638195983</v>
      </c>
      <c r="R100" s="177">
        <f>((LOOKUP(R$2,'Ceiling-U'!$A$4:$A$40,'Ceiling-U'!$Z$4:$Z$40)*R$15)+(LOOKUP(R$2,'Floor-U'!$A$4:$A$40,'Floor-U'!$G$4:$G$40)*R$16)+(LOOKUP(R$2,'Wall-U'!$A$4:$A$40,'Wall-U'!$G$4:$G$40)*R$13)+(LOOKUP(R$2,'Window-U'!$A$4:$A$40,'Window-U'!$S$4:$S$40)*R$22))*R$97</f>
        <v>963.61173984902041</v>
      </c>
      <c r="S100" s="177">
        <f>((LOOKUP(S$2,'Ceiling-U'!$A$4:$A$40,'Ceiling-U'!$Z$4:$Z$40)*S$15)+(LOOKUP(S$2,'Floor-U'!$A$4:$A$40,'Floor-U'!$G$4:$G$40)*S$16)+(LOOKUP(S$2,'Wall-U'!$A$4:$A$40,'Wall-U'!$G$4:$G$40)*S$13)+(LOOKUP(S$2,'Window-U'!$A$4:$A$40,'Window-U'!$S$4:$S$40)*S$22))*S$97</f>
        <v>1319.6599248634152</v>
      </c>
      <c r="T100" s="177">
        <f>((LOOKUP(T$2,'Ceiling-U'!$A$4:$A$40,'Ceiling-U'!$Z$4:$Z$40)*T$15)+(LOOKUP(T$2,'Floor-U'!$A$4:$A$40,'Floor-U'!$G$4:$G$40)*T$16)+(LOOKUP(T$2,'Wall-U'!$A$4:$A$40,'Wall-U'!$G$4:$G$40)*T$13)+(LOOKUP(T$2,'Window-U'!$A$4:$A$40,'Window-U'!$S$4:$S$40)*T$22))*T$97</f>
        <v>380.43959857529558</v>
      </c>
      <c r="U100" s="177">
        <f>((LOOKUP(U$2,'Ceiling-U'!$A$4:$A$40,'Ceiling-U'!$Z$4:$Z$40)*U$15)+(LOOKUP(U$2,'Floor-U'!$A$4:$A$40,'Floor-U'!$G$4:$G$40)*U$16)+(LOOKUP(U$2,'Wall-U'!$A$4:$A$40,'Wall-U'!$G$4:$G$40)*U$13)+(LOOKUP(U$2,'Window-U'!$A$4:$A$40,'Window-U'!$S$4:$S$40)*U$22))*U$97</f>
        <v>1510.6467819822169</v>
      </c>
      <c r="V100" s="177">
        <f>((LOOKUP(V$2,'Ceiling-U'!$A$4:$A$40,'Ceiling-U'!$Z$4:$Z$40)*V$15)+(LOOKUP(V$2,'Floor-U'!$A$4:$A$40,'Floor-U'!$G$4:$G$40)*V$16)+(LOOKUP(V$2,'Wall-U'!$A$4:$A$40,'Wall-U'!$G$4:$G$40)*V$13)+(LOOKUP(V$2,'Window-U'!$A$4:$A$40,'Window-U'!$S$4:$S$40)*V$22))*V$97</f>
        <v>507.65823360729451</v>
      </c>
      <c r="W100" s="177">
        <f>((LOOKUP(W$2,'Ceiling-U'!$A$4:$A$40,'Ceiling-U'!$Z$4:$Z$40)*W$15)+(LOOKUP(W$2,'Floor-U'!$A$4:$A$40,'Floor-U'!$G$4:$G$40)*W$16)+(LOOKUP(W$2,'Wall-U'!$A$4:$A$40,'Wall-U'!$G$4:$G$40)*W$13)+(LOOKUP(W$2,'Window-U'!$A$4:$A$40,'Window-U'!$S$4:$S$40)*W$22))*W$97</f>
        <v>372.36432150887845</v>
      </c>
      <c r="X100" s="177">
        <f>((LOOKUP(X$2,'Ceiling-U'!$A$4:$A$40,'Ceiling-U'!$Z$4:$Z$40)*X$15)+(LOOKUP(X$2,'Floor-U'!$A$4:$A$40,'Floor-U'!$G$4:$G$40)*X$16)+(LOOKUP(X$2,'Wall-U'!$A$4:$A$40,'Wall-U'!$G$4:$G$40)*X$13)+(LOOKUP(X$2,'Window-U'!$A$4:$A$40,'Window-U'!$S$4:$S$40)*X$22))*X$97</f>
        <v>767.43621781218496</v>
      </c>
      <c r="Y100" s="177">
        <f>((LOOKUP(Y$2,'Ceiling-U'!$A$4:$A$40,'Ceiling-U'!$Z$4:$Z$40)*Y$15)+(LOOKUP(Y$2,'Floor-U'!$A$4:$A$40,'Floor-U'!$G$4:$G$40)*Y$16)+(LOOKUP(Y$2,'Wall-U'!$A$4:$A$40,'Wall-U'!$G$4:$G$40)*Y$13)+(LOOKUP(Y$2,'Window-U'!$A$4:$A$40,'Window-U'!$S$4:$S$40)*Y$22))*Y$97</f>
        <v>2006.7382526910242</v>
      </c>
      <c r="Z100" s="177">
        <f>((LOOKUP(Z$2,'Ceiling-U'!$A$4:$A$40,'Ceiling-U'!$Z$4:$Z$40)*Z$15)+(LOOKUP(Z$2,'Floor-U'!$A$4:$A$40,'Floor-U'!$G$4:$G$40)*Z$16)+(LOOKUP(Z$2,'Wall-U'!$A$4:$A$40,'Wall-U'!$G$4:$G$40)*Z$13)+(LOOKUP(Z$2,'Window-U'!$A$4:$A$40,'Window-U'!$S$4:$S$40)*Z$22))*Z$97</f>
        <v>1341.9276900774194</v>
      </c>
      <c r="AA100" s="177">
        <f>((LOOKUP(AA$2,'Ceiling-U'!$A$4:$A$40,'Ceiling-U'!$Z$4:$Z$40)*AA$15)+(LOOKUP(AA$2,'Floor-U'!$A$4:$A$40,'Floor-U'!$G$4:$G$40)*AA$16)+(LOOKUP(AA$2,'Wall-U'!$A$4:$A$40,'Wall-U'!$G$4:$G$40)*AA$13)+(LOOKUP(AA$2,'Window-U'!$A$4:$A$40,'Window-U'!$S$4:$S$40)*AA$22))*AA$97</f>
        <v>284.27733630088505</v>
      </c>
      <c r="AB100" s="177">
        <f>((LOOKUP(AB$2,'Ceiling-U'!$A$4:$A$40,'Ceiling-U'!$Z$4:$Z$40)*AB$15)+(LOOKUP(AB$2,'Floor-U'!$A$4:$A$40,'Floor-U'!$G$4:$G$40)*AB$16)+(LOOKUP(AB$2,'Wall-U'!$A$4:$A$40,'Wall-U'!$G$4:$G$40)*AB$13)+(LOOKUP(AB$2,'Window-U'!$A$4:$A$40,'Window-U'!$S$4:$S$40)*AB$22))*AB$97</f>
        <v>672.60552947438805</v>
      </c>
      <c r="AC100" s="177">
        <f>((LOOKUP(AC$2,'Ceiling-U'!$A$4:$A$40,'Ceiling-U'!$Z$4:$Z$40)*AC$15)+(LOOKUP(AC$2,'Floor-U'!$A$4:$A$40,'Floor-U'!$G$4:$G$40)*AC$16)+(LOOKUP(AC$2,'Wall-U'!$A$4:$A$40,'Wall-U'!$G$4:$G$40)*AC$13)+(LOOKUP(AC$2,'Window-U'!$A$4:$A$40,'Window-U'!$S$4:$S$40)*AC$22))*AC$97</f>
        <v>1641.8765853699547</v>
      </c>
      <c r="AD100" s="177">
        <f>((LOOKUP(AD$2,'Ceiling-U'!$A$4:$A$40,'Ceiling-U'!$Z$4:$Z$40)*AD$15)+(LOOKUP(AD$2,'Floor-U'!$A$4:$A$40,'Floor-U'!$G$4:$G$40)*AD$16)+(LOOKUP(AD$2,'Wall-U'!$A$4:$A$40,'Wall-U'!$G$4:$G$40)*AD$13)+(LOOKUP(AD$2,'Window-U'!$A$4:$A$40,'Window-U'!$S$4:$S$40)*AD$22))*AD$97</f>
        <v>1056.2696355488188</v>
      </c>
      <c r="AE100" s="177">
        <f>((LOOKUP(AE$2,'Ceiling-U'!$A$4:$A$40,'Ceiling-U'!$Z$4:$Z$40)*AE$15)+(LOOKUP(AE$2,'Floor-U'!$A$4:$A$40,'Floor-U'!$G$4:$G$40)*AE$16)+(LOOKUP(AE$2,'Wall-U'!$A$4:$A$40,'Wall-U'!$G$4:$G$40)*AE$13)+(LOOKUP(AE$2,'Window-U'!$A$4:$A$40,'Window-U'!$S$4:$S$40)*AE$22))*AE$97</f>
        <v>279.68691044296588</v>
      </c>
      <c r="AF100" s="177">
        <f>((LOOKUP(AF$2,'Ceiling-U'!$A$4:$A$40,'Ceiling-U'!$Z$4:$Z$40)*AF$15)+(LOOKUP(AF$2,'Floor-U'!$A$4:$A$40,'Floor-U'!$G$4:$G$40)*AF$16)+(LOOKUP(AF$2,'Wall-U'!$A$4:$A$40,'Wall-U'!$G$4:$G$40)*AF$13)+(LOOKUP(AF$2,'Window-U'!$A$4:$A$40,'Window-U'!$S$4:$S$40)*AF$22))*AF$97</f>
        <v>998.62661596411374</v>
      </c>
      <c r="AG100" s="177">
        <f>((LOOKUP(AG$2,'Ceiling-U'!$A$4:$A$40,'Ceiling-U'!$Z$4:$Z$40)*AG$15)+(LOOKUP(AG$2,'Floor-U'!$A$4:$A$40,'Floor-U'!$G$4:$G$40)*AG$16)+(LOOKUP(AG$2,'Wall-U'!$A$4:$A$40,'Wall-U'!$G$4:$G$40)*AG$13)+(LOOKUP(AG$2,'Window-U'!$A$4:$A$40,'Window-U'!$S$4:$S$40)*AG$22))*AG$97</f>
        <v>1122.8223111750308</v>
      </c>
      <c r="AH100" s="177">
        <f>((LOOKUP(AH$2,'Ceiling-U'!$A$4:$A$40,'Ceiling-U'!$Z$4:$Z$40)*AH$15)+(LOOKUP(AH$2,'Floor-U'!$A$4:$A$40,'Floor-U'!$G$4:$G$40)*AH$16)+(LOOKUP(AH$2,'Wall-U'!$A$4:$A$40,'Wall-U'!$G$4:$G$40)*AH$13)+(LOOKUP(AH$2,'Window-U'!$A$4:$A$40,'Window-U'!$S$4:$S$40)*AH$22))*AH$97</f>
        <v>1012.0070590309391</v>
      </c>
      <c r="AI100" s="177">
        <f>((LOOKUP(AI$2,'Ceiling-U'!$A$4:$A$40,'Ceiling-U'!$Z$4:$Z$40)*AI$15)+(LOOKUP(AI$2,'Floor-U'!$A$4:$A$40,'Floor-U'!$G$4:$G$40)*AI$16)+(LOOKUP(AI$2,'Wall-U'!$A$4:$A$40,'Wall-U'!$G$4:$G$40)*AI$13)+(LOOKUP(AI$2,'Window-U'!$A$4:$A$40,'Window-U'!$S$4:$S$40)*AI$22))*AI$97</f>
        <v>1948.1383268904146</v>
      </c>
      <c r="AJ100" s="177">
        <f>((LOOKUP(AJ$2,'Ceiling-U'!$A$4:$A$40,'Ceiling-U'!$Z$4:$Z$40)*AJ$15)+(LOOKUP(AJ$2,'Floor-U'!$A$4:$A$40,'Floor-U'!$G$4:$G$40)*AJ$16)+(LOOKUP(AJ$2,'Wall-U'!$A$4:$A$40,'Wall-U'!$G$4:$G$40)*AJ$13)+(LOOKUP(AJ$2,'Window-U'!$A$4:$A$40,'Window-U'!$S$4:$S$40)*AJ$22))*AJ$97</f>
        <v>832.87361956463167</v>
      </c>
      <c r="AK100" s="177">
        <f>((LOOKUP(AK$2,'Ceiling-U'!$A$4:$A$40,'Ceiling-U'!$Z$4:$Z$40)*AK$15)+(LOOKUP(AK$2,'Floor-U'!$A$4:$A$40,'Floor-U'!$G$4:$G$40)*AK$16)+(LOOKUP(AK$2,'Wall-U'!$A$4:$A$40,'Wall-U'!$G$4:$G$40)*AK$13)+(LOOKUP(AK$2,'Window-U'!$A$4:$A$40,'Window-U'!$S$4:$S$40)*AK$22))*AK$97</f>
        <v>1020.4353931121133</v>
      </c>
      <c r="AL100" s="177">
        <f>((LOOKUP(AL$2,'Ceiling-U'!$A$4:$A$40,'Ceiling-U'!$Z$4:$Z$40)*AL$15)+(LOOKUP(AL$2,'Floor-U'!$A$4:$A$40,'Floor-U'!$G$4:$G$40)*AL$16)+(LOOKUP(AL$2,'Wall-U'!$A$4:$A$40,'Wall-U'!$G$4:$G$40)*AL$13)+(LOOKUP(AL$2,'Window-U'!$A$4:$A$40,'Window-U'!$S$4:$S$40)*AL$22))*AL$97</f>
        <v>863.23730167602503</v>
      </c>
      <c r="AM100" s="177">
        <f>((LOOKUP(AM$2,'Ceiling-U'!$A$4:$A$40,'Ceiling-U'!$Z$4:$Z$40)*AM$15)+(LOOKUP(AM$2,'Floor-U'!$A$4:$A$40,'Floor-U'!$G$4:$G$40)*AM$16)+(LOOKUP(AM$2,'Wall-U'!$A$4:$A$40,'Wall-U'!$G$4:$G$40)*AM$13)+(LOOKUP(AM$2,'Window-U'!$A$4:$A$40,'Window-U'!$S$4:$S$40)*AM$22))*AM$97</f>
        <v>832.87361956463167</v>
      </c>
      <c r="AN100" s="178">
        <f>((LOOKUP(AN$2,'Ceiling-U'!$A$4:$A$40,'Ceiling-U'!$Z$4:$Z$40)*AN$15)+(LOOKUP(AN$2,'Floor-U'!$A$4:$A$40,'Floor-U'!$G$4:$G$40)*AN$16)+(LOOKUP(AN$2,'Wall-U'!$A$4:$A$40,'Wall-U'!$G$4:$G$40)*AN$13)+(LOOKUP(AN$2,'Window-U'!$A$4:$A$40,'Window-U'!$S$4:$S$40)*AN$22))*AN$97</f>
        <v>832.87361956463167</v>
      </c>
    </row>
    <row r="101" spans="1:40">
      <c r="A101" s="372"/>
      <c r="B101" s="142" t="s">
        <v>5</v>
      </c>
      <c r="C101" s="131" t="s">
        <v>195</v>
      </c>
      <c r="D101" s="176">
        <f>((LOOKUP(D$2,'Ceiling-U'!$A$4:$A$40,'Ceiling-U'!$AA$4:$AA$40)*D$15)+(LOOKUP(D$2,'Floor-U'!$A$4:$A$40,'Floor-U'!$H$4:$H$40)*D$16)+(LOOKUP(D$2,'Wall-U'!$A$4:$A$40,'Wall-U'!$H$4:$H$40)*D$13)+(LOOKUP(D$2,'Window-U'!$A$4:$A$40,'Window-U'!$S$4:$S$40)*D$22))*D$97</f>
        <v>640.91793986175924</v>
      </c>
      <c r="E101" s="177">
        <f>((LOOKUP(E$2,'Ceiling-U'!$A$4:$A$40,'Ceiling-U'!$AA$4:$AA$40)*E$15)+(LOOKUP(E$2,'Floor-U'!$A$4:$A$40,'Floor-U'!$H$4:$H$40)*E$16)+(LOOKUP(E$2,'Wall-U'!$A$4:$A$40,'Wall-U'!$H$4:$H$40)*E$13)+(LOOKUP(E$2,'Window-U'!$A$4:$A$40,'Window-U'!$S$4:$S$40)*E$22))*E$97</f>
        <v>1271.2562378672501</v>
      </c>
      <c r="F101" s="177">
        <f>((LOOKUP(F$2,'Ceiling-U'!$A$4:$A$40,'Ceiling-U'!$AA$4:$AA$40)*F$15)+(LOOKUP(F$2,'Floor-U'!$A$4:$A$40,'Floor-U'!$H$4:$H$40)*F$16)+(LOOKUP(F$2,'Wall-U'!$A$4:$A$40,'Wall-U'!$H$4:$H$40)*F$13)+(LOOKUP(F$2,'Window-U'!$A$4:$A$40,'Window-U'!$S$4:$S$40)*F$22))*F$97</f>
        <v>651.90321907236739</v>
      </c>
      <c r="G101" s="177">
        <f>((LOOKUP(G$2,'Ceiling-U'!$A$4:$A$40,'Ceiling-U'!$AA$4:$AA$40)*G$15)+(LOOKUP(G$2,'Floor-U'!$A$4:$A$40,'Floor-U'!$H$4:$H$40)*G$16)+(LOOKUP(G$2,'Wall-U'!$A$4:$A$40,'Wall-U'!$H$4:$H$40)*G$13)+(LOOKUP(G$2,'Window-U'!$A$4:$A$40,'Window-U'!$S$4:$S$40)*G$22))*G$97</f>
        <v>661.94395328249254</v>
      </c>
      <c r="H101" s="177">
        <f>((LOOKUP(H$2,'Ceiling-U'!$A$4:$A$40,'Ceiling-U'!$AA$4:$AA$40)*H$15)+(LOOKUP(H$2,'Floor-U'!$A$4:$A$40,'Floor-U'!$H$4:$H$40)*H$16)+(LOOKUP(H$2,'Wall-U'!$A$4:$A$40,'Wall-U'!$H$4:$H$40)*H$13)+(LOOKUP(H$2,'Window-U'!$A$4:$A$40,'Window-U'!$S$4:$S$40)*H$22))*H$97</f>
        <v>1497.1029950825985</v>
      </c>
      <c r="I101" s="177">
        <f>((LOOKUP(I$2,'Ceiling-U'!$A$4:$A$40,'Ceiling-U'!$AA$4:$AA$40)*I$15)+(LOOKUP(I$2,'Floor-U'!$A$4:$A$40,'Floor-U'!$H$4:$H$40)*I$16)+(LOOKUP(I$2,'Wall-U'!$A$4:$A$40,'Wall-U'!$H$4:$H$40)*I$13)+(LOOKUP(I$2,'Window-U'!$A$4:$A$40,'Window-U'!$S$4:$S$40)*I$22))*I$97</f>
        <v>660.94486096408798</v>
      </c>
      <c r="J101" s="177">
        <f>((LOOKUP(J$2,'Ceiling-U'!$A$4:$A$40,'Ceiling-U'!$AA$4:$AA$40)*J$15)+(LOOKUP(J$2,'Floor-U'!$A$4:$A$40,'Floor-U'!$H$4:$H$40)*J$16)+(LOOKUP(J$2,'Wall-U'!$A$4:$A$40,'Wall-U'!$H$4:$H$40)*J$13)+(LOOKUP(J$2,'Window-U'!$A$4:$A$40,'Window-U'!$S$4:$S$40)*J$22))*J$97</f>
        <v>601.12499716680315</v>
      </c>
      <c r="K101" s="177">
        <f>((LOOKUP(K$2,'Ceiling-U'!$A$4:$A$40,'Ceiling-U'!$AA$4:$AA$40)*K$15)+(LOOKUP(K$2,'Floor-U'!$A$4:$A$40,'Floor-U'!$H$4:$H$40)*K$16)+(LOOKUP(K$2,'Wall-U'!$A$4:$A$40,'Wall-U'!$H$4:$H$40)*K$13)+(LOOKUP(K$2,'Window-U'!$A$4:$A$40,'Window-U'!$S$4:$S$40)*K$22))*K$97</f>
        <v>379.64370706376189</v>
      </c>
      <c r="L101" s="177">
        <f>((LOOKUP(L$2,'Ceiling-U'!$A$4:$A$40,'Ceiling-U'!$AA$4:$AA$40)*L$15)+(LOOKUP(L$2,'Floor-U'!$A$4:$A$40,'Floor-U'!$H$4:$H$40)*L$16)+(LOOKUP(L$2,'Wall-U'!$A$4:$A$40,'Wall-U'!$H$4:$H$40)*L$13)+(LOOKUP(L$2,'Window-U'!$A$4:$A$40,'Window-U'!$S$4:$S$40)*L$22))*L$97</f>
        <v>243.22321498165562</v>
      </c>
      <c r="M101" s="177">
        <f>((LOOKUP(M$2,'Ceiling-U'!$A$4:$A$40,'Ceiling-U'!$AA$4:$AA$40)*M$15)+(LOOKUP(M$2,'Floor-U'!$A$4:$A$40,'Floor-U'!$H$4:$H$40)*M$16)+(LOOKUP(M$2,'Wall-U'!$A$4:$A$40,'Wall-U'!$H$4:$H$40)*M$13)+(LOOKUP(M$2,'Window-U'!$A$4:$A$40,'Window-U'!$S$4:$S$40)*M$22))*M$97</f>
        <v>1256.4089955280813</v>
      </c>
      <c r="N101" s="177">
        <f>((LOOKUP(N$2,'Ceiling-U'!$A$4:$A$40,'Ceiling-U'!$AA$4:$AA$40)*N$15)+(LOOKUP(N$2,'Floor-U'!$A$4:$A$40,'Floor-U'!$H$4:$H$40)*N$16)+(LOOKUP(N$2,'Wall-U'!$A$4:$A$40,'Wall-U'!$H$4:$H$40)*N$13)+(LOOKUP(N$2,'Window-U'!$A$4:$A$40,'Window-U'!$S$4:$S$40)*N$22))*N$97</f>
        <v>302.35884122371885</v>
      </c>
      <c r="O101" s="177">
        <f>((LOOKUP(O$2,'Ceiling-U'!$A$4:$A$40,'Ceiling-U'!$AA$4:$AA$40)*O$15)+(LOOKUP(O$2,'Floor-U'!$A$4:$A$40,'Floor-U'!$H$4:$H$40)*O$16)+(LOOKUP(O$2,'Wall-U'!$A$4:$A$40,'Wall-U'!$H$4:$H$40)*O$13)+(LOOKUP(O$2,'Window-U'!$A$4:$A$40,'Window-U'!$S$4:$S$40)*O$22))*O$97</f>
        <v>791.47288732953541</v>
      </c>
      <c r="P101" s="177">
        <f>((LOOKUP(P$2,'Ceiling-U'!$A$4:$A$40,'Ceiling-U'!$AA$4:$AA$40)*P$15)+(LOOKUP(P$2,'Floor-U'!$A$4:$A$40,'Floor-U'!$H$4:$H$40)*P$16)+(LOOKUP(P$2,'Wall-U'!$A$4:$A$40,'Wall-U'!$H$4:$H$40)*P$13)+(LOOKUP(P$2,'Window-U'!$A$4:$A$40,'Window-U'!$S$4:$S$40)*P$22))*P$97</f>
        <v>1284.5977377554361</v>
      </c>
      <c r="Q101" s="177">
        <f>((LOOKUP(Q$2,'Ceiling-U'!$A$4:$A$40,'Ceiling-U'!$AA$4:$AA$40)*Q$15)+(LOOKUP(Q$2,'Floor-U'!$A$4:$A$40,'Floor-U'!$H$4:$H$40)*Q$16)+(LOOKUP(Q$2,'Wall-U'!$A$4:$A$40,'Wall-U'!$H$4:$H$40)*Q$13)+(LOOKUP(Q$2,'Window-U'!$A$4:$A$40,'Window-U'!$S$4:$S$40)*Q$22))*Q$97</f>
        <v>765.10720638195983</v>
      </c>
      <c r="R101" s="177">
        <f>((LOOKUP(R$2,'Ceiling-U'!$A$4:$A$40,'Ceiling-U'!$AA$4:$AA$40)*R$15)+(LOOKUP(R$2,'Floor-U'!$A$4:$A$40,'Floor-U'!$H$4:$H$40)*R$16)+(LOOKUP(R$2,'Wall-U'!$A$4:$A$40,'Wall-U'!$H$4:$H$40)*R$13)+(LOOKUP(R$2,'Window-U'!$A$4:$A$40,'Window-U'!$S$4:$S$40)*R$22))*R$97</f>
        <v>669.56185365608133</v>
      </c>
      <c r="S101" s="177">
        <f>((LOOKUP(S$2,'Ceiling-U'!$A$4:$A$40,'Ceiling-U'!$AA$4:$AA$40)*S$15)+(LOOKUP(S$2,'Floor-U'!$A$4:$A$40,'Floor-U'!$H$4:$H$40)*S$16)+(LOOKUP(S$2,'Wall-U'!$A$4:$A$40,'Wall-U'!$H$4:$H$40)*S$13)+(LOOKUP(S$2,'Window-U'!$A$4:$A$40,'Window-U'!$S$4:$S$40)*S$22))*S$97</f>
        <v>869.64983844836456</v>
      </c>
      <c r="T101" s="177">
        <f>((LOOKUP(T$2,'Ceiling-U'!$A$4:$A$40,'Ceiling-U'!$AA$4:$AA$40)*T$15)+(LOOKUP(T$2,'Floor-U'!$A$4:$A$40,'Floor-U'!$H$4:$H$40)*T$16)+(LOOKUP(T$2,'Wall-U'!$A$4:$A$40,'Wall-U'!$H$4:$H$40)*T$13)+(LOOKUP(T$2,'Window-U'!$A$4:$A$40,'Window-U'!$S$4:$S$40)*T$22))*T$97</f>
        <v>304.73465269003793</v>
      </c>
      <c r="U101" s="177">
        <f>((LOOKUP(U$2,'Ceiling-U'!$A$4:$A$40,'Ceiling-U'!$AA$4:$AA$40)*U$15)+(LOOKUP(U$2,'Floor-U'!$A$4:$A$40,'Floor-U'!$H$4:$H$40)*U$16)+(LOOKUP(U$2,'Wall-U'!$A$4:$A$40,'Wall-U'!$H$4:$H$40)*U$13)+(LOOKUP(U$2,'Window-U'!$A$4:$A$40,'Window-U'!$S$4:$S$40)*U$22))*U$97</f>
        <v>1182.7763826994255</v>
      </c>
      <c r="V101" s="177">
        <f>((LOOKUP(V$2,'Ceiling-U'!$A$4:$A$40,'Ceiling-U'!$AA$4:$AA$40)*V$15)+(LOOKUP(V$2,'Floor-U'!$A$4:$A$40,'Floor-U'!$H$4:$H$40)*V$16)+(LOOKUP(V$2,'Wall-U'!$A$4:$A$40,'Wall-U'!$H$4:$H$40)*V$13)+(LOOKUP(V$2,'Window-U'!$A$4:$A$40,'Window-U'!$S$4:$S$40)*V$22))*V$97</f>
        <v>507.65823360729451</v>
      </c>
      <c r="W101" s="177">
        <f>((LOOKUP(W$2,'Ceiling-U'!$A$4:$A$40,'Ceiling-U'!$AA$4:$AA$40)*W$15)+(LOOKUP(W$2,'Floor-U'!$A$4:$A$40,'Floor-U'!$H$4:$H$40)*W$16)+(LOOKUP(W$2,'Wall-U'!$A$4:$A$40,'Wall-U'!$H$4:$H$40)*W$13)+(LOOKUP(W$2,'Window-U'!$A$4:$A$40,'Window-U'!$S$4:$S$40)*W$22))*W$97</f>
        <v>347.29635692958095</v>
      </c>
      <c r="X101" s="177">
        <f>((LOOKUP(X$2,'Ceiling-U'!$A$4:$A$40,'Ceiling-U'!$AA$4:$AA$40)*X$15)+(LOOKUP(X$2,'Floor-U'!$A$4:$A$40,'Floor-U'!$H$4:$H$40)*X$16)+(LOOKUP(X$2,'Wall-U'!$A$4:$A$40,'Wall-U'!$H$4:$H$40)*X$13)+(LOOKUP(X$2,'Window-U'!$A$4:$A$40,'Window-U'!$S$4:$S$40)*X$22))*X$97</f>
        <v>403.50530212801448</v>
      </c>
      <c r="Y101" s="177">
        <f>((LOOKUP(Y$2,'Ceiling-U'!$A$4:$A$40,'Ceiling-U'!$AA$4:$AA$40)*Y$15)+(LOOKUP(Y$2,'Floor-U'!$A$4:$A$40,'Floor-U'!$H$4:$H$40)*Y$16)+(LOOKUP(Y$2,'Wall-U'!$A$4:$A$40,'Wall-U'!$H$4:$H$40)*Y$13)+(LOOKUP(Y$2,'Window-U'!$A$4:$A$40,'Window-U'!$S$4:$S$40)*Y$22))*Y$97</f>
        <v>1686.3338748058759</v>
      </c>
      <c r="Z101" s="177">
        <f>((LOOKUP(Z$2,'Ceiling-U'!$A$4:$A$40,'Ceiling-U'!$AA$4:$AA$40)*Z$15)+(LOOKUP(Z$2,'Floor-U'!$A$4:$A$40,'Floor-U'!$H$4:$H$40)*Z$16)+(LOOKUP(Z$2,'Wall-U'!$A$4:$A$40,'Wall-U'!$H$4:$H$40)*Z$13)+(LOOKUP(Z$2,'Window-U'!$A$4:$A$40,'Window-U'!$S$4:$S$40)*Z$22))*Z$97</f>
        <v>788.36520512687264</v>
      </c>
      <c r="AA101" s="177">
        <f>((LOOKUP(AA$2,'Ceiling-U'!$A$4:$A$40,'Ceiling-U'!$AA$4:$AA$40)*AA$15)+(LOOKUP(AA$2,'Floor-U'!$A$4:$A$40,'Floor-U'!$H$4:$H$40)*AA$16)+(LOOKUP(AA$2,'Wall-U'!$A$4:$A$40,'Wall-U'!$H$4:$H$40)*AA$13)+(LOOKUP(AA$2,'Window-U'!$A$4:$A$40,'Window-U'!$S$4:$S$40)*AA$22))*AA$97</f>
        <v>284.27733630088505</v>
      </c>
      <c r="AB101" s="177">
        <f>((LOOKUP(AB$2,'Ceiling-U'!$A$4:$A$40,'Ceiling-U'!$AA$4:$AA$40)*AB$15)+(LOOKUP(AB$2,'Floor-U'!$A$4:$A$40,'Floor-U'!$H$4:$H$40)*AB$16)+(LOOKUP(AB$2,'Wall-U'!$A$4:$A$40,'Wall-U'!$H$4:$H$40)*AB$13)+(LOOKUP(AB$2,'Window-U'!$A$4:$A$40,'Window-U'!$S$4:$S$40)*AB$22))*AB$97</f>
        <v>672.60552947438805</v>
      </c>
      <c r="AC101" s="177">
        <f>((LOOKUP(AC$2,'Ceiling-U'!$A$4:$A$40,'Ceiling-U'!$AA$4:$AA$40)*AC$15)+(LOOKUP(AC$2,'Floor-U'!$A$4:$A$40,'Floor-U'!$H$4:$H$40)*AC$16)+(LOOKUP(AC$2,'Wall-U'!$A$4:$A$40,'Wall-U'!$H$4:$H$40)*AC$13)+(LOOKUP(AC$2,'Window-U'!$A$4:$A$40,'Window-U'!$S$4:$S$40)*AC$22))*AC$97</f>
        <v>1587.0216822154166</v>
      </c>
      <c r="AD101" s="177">
        <f>((LOOKUP(AD$2,'Ceiling-U'!$A$4:$A$40,'Ceiling-U'!$AA$4:$AA$40)*AD$15)+(LOOKUP(AD$2,'Floor-U'!$A$4:$A$40,'Floor-U'!$H$4:$H$40)*AD$16)+(LOOKUP(AD$2,'Wall-U'!$A$4:$A$40,'Wall-U'!$H$4:$H$40)*AD$13)+(LOOKUP(AD$2,'Window-U'!$A$4:$A$40,'Window-U'!$S$4:$S$40)*AD$22))*AD$97</f>
        <v>851.80152540261258</v>
      </c>
      <c r="AE101" s="177">
        <f>((LOOKUP(AE$2,'Ceiling-U'!$A$4:$A$40,'Ceiling-U'!$AA$4:$AA$40)*AE$15)+(LOOKUP(AE$2,'Floor-U'!$A$4:$A$40,'Floor-U'!$H$4:$H$40)*AE$16)+(LOOKUP(AE$2,'Wall-U'!$A$4:$A$40,'Wall-U'!$H$4:$H$40)*AE$13)+(LOOKUP(AE$2,'Window-U'!$A$4:$A$40,'Window-U'!$S$4:$S$40)*AE$22))*AE$97</f>
        <v>279.68691044296588</v>
      </c>
      <c r="AF101" s="177">
        <f>((LOOKUP(AF$2,'Ceiling-U'!$A$4:$A$40,'Ceiling-U'!$AA$4:$AA$40)*AF$15)+(LOOKUP(AF$2,'Floor-U'!$A$4:$A$40,'Floor-U'!$H$4:$H$40)*AF$16)+(LOOKUP(AF$2,'Wall-U'!$A$4:$A$40,'Wall-U'!$H$4:$H$40)*AF$13)+(LOOKUP(AF$2,'Window-U'!$A$4:$A$40,'Window-U'!$S$4:$S$40)*AF$22))*AF$97</f>
        <v>731.25157820361198</v>
      </c>
      <c r="AG101" s="177">
        <f>((LOOKUP(AG$2,'Ceiling-U'!$A$4:$A$40,'Ceiling-U'!$AA$4:$AA$40)*AG$15)+(LOOKUP(AG$2,'Floor-U'!$A$4:$A$40,'Floor-U'!$H$4:$H$40)*AG$16)+(LOOKUP(AG$2,'Wall-U'!$A$4:$A$40,'Wall-U'!$H$4:$H$40)*AG$13)+(LOOKUP(AG$2,'Window-U'!$A$4:$A$40,'Window-U'!$S$4:$S$40)*AG$22))*AG$97</f>
        <v>1022.7298696388179</v>
      </c>
      <c r="AH101" s="177">
        <f>((LOOKUP(AH$2,'Ceiling-U'!$A$4:$A$40,'Ceiling-U'!$AA$4:$AA$40)*AH$15)+(LOOKUP(AH$2,'Floor-U'!$A$4:$A$40,'Floor-U'!$H$4:$H$40)*AH$16)+(LOOKUP(AH$2,'Wall-U'!$A$4:$A$40,'Wall-U'!$H$4:$H$40)*AH$13)+(LOOKUP(AH$2,'Window-U'!$A$4:$A$40,'Window-U'!$S$4:$S$40)*AH$22))*AH$97</f>
        <v>490.94813849300988</v>
      </c>
      <c r="AI101" s="177">
        <f>((LOOKUP(AI$2,'Ceiling-U'!$A$4:$A$40,'Ceiling-U'!$AA$4:$AA$40)*AI$15)+(LOOKUP(AI$2,'Floor-U'!$A$4:$A$40,'Floor-U'!$H$4:$H$40)*AI$16)+(LOOKUP(AI$2,'Wall-U'!$A$4:$A$40,'Wall-U'!$H$4:$H$40)*AI$13)+(LOOKUP(AI$2,'Window-U'!$A$4:$A$40,'Window-U'!$S$4:$S$40)*AI$22))*AI$97</f>
        <v>1843.9871532502602</v>
      </c>
      <c r="AJ101" s="177">
        <f>((LOOKUP(AJ$2,'Ceiling-U'!$A$4:$A$40,'Ceiling-U'!$AA$4:$AA$40)*AJ$15)+(LOOKUP(AJ$2,'Floor-U'!$A$4:$A$40,'Floor-U'!$H$4:$H$40)*AJ$16)+(LOOKUP(AJ$2,'Wall-U'!$A$4:$A$40,'Wall-U'!$H$4:$H$40)*AJ$13)+(LOOKUP(AJ$2,'Window-U'!$A$4:$A$40,'Window-U'!$S$4:$S$40)*AJ$22))*AJ$97</f>
        <v>723.61623498832205</v>
      </c>
      <c r="AK101" s="177">
        <f>((LOOKUP(AK$2,'Ceiling-U'!$A$4:$A$40,'Ceiling-U'!$AA$4:$AA$40)*AK$15)+(LOOKUP(AK$2,'Floor-U'!$A$4:$A$40,'Floor-U'!$H$4:$H$40)*AK$16)+(LOOKUP(AK$2,'Wall-U'!$A$4:$A$40,'Wall-U'!$H$4:$H$40)*AK$13)+(LOOKUP(AK$2,'Window-U'!$A$4:$A$40,'Window-U'!$S$4:$S$40)*AK$22))*AK$97</f>
        <v>888.98876428974756</v>
      </c>
      <c r="AL101" s="177">
        <f>((LOOKUP(AL$2,'Ceiling-U'!$A$4:$A$40,'Ceiling-U'!$AA$4:$AA$40)*AL$15)+(LOOKUP(AL$2,'Floor-U'!$A$4:$A$40,'Floor-U'!$H$4:$H$40)*AL$16)+(LOOKUP(AL$2,'Wall-U'!$A$4:$A$40,'Wall-U'!$H$4:$H$40)*AL$13)+(LOOKUP(AL$2,'Window-U'!$A$4:$A$40,'Window-U'!$S$4:$S$40)*AL$22))*AL$97</f>
        <v>685.34441383605099</v>
      </c>
      <c r="AM101" s="177">
        <f>((LOOKUP(AM$2,'Ceiling-U'!$A$4:$A$40,'Ceiling-U'!$AA$4:$AA$40)*AM$15)+(LOOKUP(AM$2,'Floor-U'!$A$4:$A$40,'Floor-U'!$H$4:$H$40)*AM$16)+(LOOKUP(AM$2,'Wall-U'!$A$4:$A$40,'Wall-U'!$H$4:$H$40)*AM$13)+(LOOKUP(AM$2,'Window-U'!$A$4:$A$40,'Window-U'!$S$4:$S$40)*AM$22))*AM$97</f>
        <v>723.61623498832205</v>
      </c>
      <c r="AN101" s="178">
        <f>((LOOKUP(AN$2,'Ceiling-U'!$A$4:$A$40,'Ceiling-U'!$AA$4:$AA$40)*AN$15)+(LOOKUP(AN$2,'Floor-U'!$A$4:$A$40,'Floor-U'!$H$4:$H$40)*AN$16)+(LOOKUP(AN$2,'Wall-U'!$A$4:$A$40,'Wall-U'!$H$4:$H$40)*AN$13)+(LOOKUP(AN$2,'Window-U'!$A$4:$A$40,'Window-U'!$S$4:$S$40)*AN$22))*AN$97</f>
        <v>723.61623498832205</v>
      </c>
    </row>
    <row r="102" spans="1:40">
      <c r="A102" s="372"/>
      <c r="B102" s="142" t="s">
        <v>6</v>
      </c>
      <c r="C102" s="131" t="s">
        <v>195</v>
      </c>
      <c r="D102" s="176">
        <f>((LOOKUP(D$2,'Ceiling-U'!$A$4:$A$40,'Ceiling-U'!$AB$4:$AB$40)*D$15)+(LOOKUP(D$2,'Floor-U'!$A$4:$A$40,'Floor-U'!$I$4:$I$40)*D$16)+(LOOKUP(D$2,'Wall-U'!$A$4:$A$40,'Wall-U'!$I$4:$I$40)*D$13)+(LOOKUP(D$2,'Window-U'!$A$4:$A$40,'Window-U'!$S$4:$S$40)*D$22))*D$97</f>
        <v>525.10770076482243</v>
      </c>
      <c r="E102" s="177">
        <f>((LOOKUP(E$2,'Ceiling-U'!$A$4:$A$40,'Ceiling-U'!$AB$4:$AB$40)*E$15)+(LOOKUP(E$2,'Floor-U'!$A$4:$A$40,'Floor-U'!$I$4:$I$40)*E$16)+(LOOKUP(E$2,'Wall-U'!$A$4:$A$40,'Wall-U'!$I$4:$I$40)*E$13)+(LOOKUP(E$2,'Window-U'!$A$4:$A$40,'Window-U'!$S$4:$S$40)*E$22))*E$97</f>
        <v>1271.2562378672501</v>
      </c>
      <c r="F102" s="177">
        <f>((LOOKUP(F$2,'Ceiling-U'!$A$4:$A$40,'Ceiling-U'!$AB$4:$AB$40)*F$15)+(LOOKUP(F$2,'Floor-U'!$A$4:$A$40,'Floor-U'!$I$4:$I$40)*F$16)+(LOOKUP(F$2,'Wall-U'!$A$4:$A$40,'Wall-U'!$I$4:$I$40)*F$13)+(LOOKUP(F$2,'Window-U'!$A$4:$A$40,'Window-U'!$S$4:$S$40)*F$22))*F$97</f>
        <v>509.9252769133368</v>
      </c>
      <c r="G102" s="177">
        <f>((LOOKUP(G$2,'Ceiling-U'!$A$4:$A$40,'Ceiling-U'!$AB$4:$AB$40)*G$15)+(LOOKUP(G$2,'Floor-U'!$A$4:$A$40,'Floor-U'!$I$4:$I$40)*G$16)+(LOOKUP(G$2,'Wall-U'!$A$4:$A$40,'Wall-U'!$I$4:$I$40)*G$13)+(LOOKUP(G$2,'Window-U'!$A$4:$A$40,'Window-U'!$S$4:$S$40)*G$22))*G$97</f>
        <v>542.41944337382131</v>
      </c>
      <c r="H102" s="177">
        <f>((LOOKUP(H$2,'Ceiling-U'!$A$4:$A$40,'Ceiling-U'!$AB$4:$AB$40)*H$15)+(LOOKUP(H$2,'Floor-U'!$A$4:$A$40,'Floor-U'!$I$4:$I$40)*H$16)+(LOOKUP(H$2,'Wall-U'!$A$4:$A$40,'Wall-U'!$I$4:$I$40)*H$13)+(LOOKUP(H$2,'Window-U'!$A$4:$A$40,'Window-U'!$S$4:$S$40)*H$22))*H$97</f>
        <v>1497.1029950825985</v>
      </c>
      <c r="I102" s="177">
        <f>((LOOKUP(I$2,'Ceiling-U'!$A$4:$A$40,'Ceiling-U'!$AB$4:$AB$40)*I$15)+(LOOKUP(I$2,'Floor-U'!$A$4:$A$40,'Floor-U'!$I$4:$I$40)*I$16)+(LOOKUP(I$2,'Wall-U'!$A$4:$A$40,'Wall-U'!$I$4:$I$40)*I$13)+(LOOKUP(I$2,'Window-U'!$A$4:$A$40,'Window-U'!$S$4:$S$40)*I$22))*I$97</f>
        <v>473.10552844100926</v>
      </c>
      <c r="J102" s="177">
        <f>((LOOKUP(J$2,'Ceiling-U'!$A$4:$A$40,'Ceiling-U'!$AB$4:$AB$40)*J$15)+(LOOKUP(J$2,'Floor-U'!$A$4:$A$40,'Floor-U'!$I$4:$I$40)*J$16)+(LOOKUP(J$2,'Wall-U'!$A$4:$A$40,'Wall-U'!$I$4:$I$40)*J$13)+(LOOKUP(J$2,'Window-U'!$A$4:$A$40,'Window-U'!$S$4:$S$40)*J$22))*J$97</f>
        <v>327.09107404443898</v>
      </c>
      <c r="K102" s="177">
        <f>((LOOKUP(K$2,'Ceiling-U'!$A$4:$A$40,'Ceiling-U'!$AB$4:$AB$40)*K$15)+(LOOKUP(K$2,'Floor-U'!$A$4:$A$40,'Floor-U'!$I$4:$I$40)*K$16)+(LOOKUP(K$2,'Wall-U'!$A$4:$A$40,'Wall-U'!$I$4:$I$40)*K$13)+(LOOKUP(K$2,'Window-U'!$A$4:$A$40,'Window-U'!$S$4:$S$40)*K$22))*K$97</f>
        <v>379.64370706376189</v>
      </c>
      <c r="L102" s="177">
        <f>((LOOKUP(L$2,'Ceiling-U'!$A$4:$A$40,'Ceiling-U'!$AB$4:$AB$40)*L$15)+(LOOKUP(L$2,'Floor-U'!$A$4:$A$40,'Floor-U'!$I$4:$I$40)*L$16)+(LOOKUP(L$2,'Wall-U'!$A$4:$A$40,'Wall-U'!$I$4:$I$40)*L$13)+(LOOKUP(L$2,'Window-U'!$A$4:$A$40,'Window-U'!$S$4:$S$40)*L$22))*L$97</f>
        <v>204.48722518340642</v>
      </c>
      <c r="M102" s="177">
        <f>((LOOKUP(M$2,'Ceiling-U'!$A$4:$A$40,'Ceiling-U'!$AB$4:$AB$40)*M$15)+(LOOKUP(M$2,'Floor-U'!$A$4:$A$40,'Floor-U'!$I$4:$I$40)*M$16)+(LOOKUP(M$2,'Wall-U'!$A$4:$A$40,'Wall-U'!$I$4:$I$40)*M$13)+(LOOKUP(M$2,'Window-U'!$A$4:$A$40,'Window-U'!$S$4:$S$40)*M$22))*M$97</f>
        <v>1256.4089955280813</v>
      </c>
      <c r="N102" s="177">
        <f>((LOOKUP(N$2,'Ceiling-U'!$A$4:$A$40,'Ceiling-U'!$AB$4:$AB$40)*N$15)+(LOOKUP(N$2,'Floor-U'!$A$4:$A$40,'Floor-U'!$I$4:$I$40)*N$16)+(LOOKUP(N$2,'Wall-U'!$A$4:$A$40,'Wall-U'!$I$4:$I$40)*N$13)+(LOOKUP(N$2,'Window-U'!$A$4:$A$40,'Window-U'!$S$4:$S$40)*N$22))*N$97</f>
        <v>296.67381580563961</v>
      </c>
      <c r="O102" s="177">
        <f>((LOOKUP(O$2,'Ceiling-U'!$A$4:$A$40,'Ceiling-U'!$AB$4:$AB$40)*O$15)+(LOOKUP(O$2,'Floor-U'!$A$4:$A$40,'Floor-U'!$I$4:$I$40)*O$16)+(LOOKUP(O$2,'Wall-U'!$A$4:$A$40,'Wall-U'!$I$4:$I$40)*O$13)+(LOOKUP(O$2,'Window-U'!$A$4:$A$40,'Window-U'!$S$4:$S$40)*O$22))*O$97</f>
        <v>419.69182709839936</v>
      </c>
      <c r="P102" s="177">
        <f>((LOOKUP(P$2,'Ceiling-U'!$A$4:$A$40,'Ceiling-U'!$AB$4:$AB$40)*P$15)+(LOOKUP(P$2,'Floor-U'!$A$4:$A$40,'Floor-U'!$I$4:$I$40)*P$16)+(LOOKUP(P$2,'Wall-U'!$A$4:$A$40,'Wall-U'!$I$4:$I$40)*P$13)+(LOOKUP(P$2,'Window-U'!$A$4:$A$40,'Window-U'!$S$4:$S$40)*P$22))*P$97</f>
        <v>1284.5977377554361</v>
      </c>
      <c r="Q102" s="177">
        <f>((LOOKUP(Q$2,'Ceiling-U'!$A$4:$A$40,'Ceiling-U'!$AB$4:$AB$40)*Q$15)+(LOOKUP(Q$2,'Floor-U'!$A$4:$A$40,'Floor-U'!$I$4:$I$40)*Q$16)+(LOOKUP(Q$2,'Wall-U'!$A$4:$A$40,'Wall-U'!$I$4:$I$40)*Q$13)+(LOOKUP(Q$2,'Window-U'!$A$4:$A$40,'Window-U'!$S$4:$S$40)*Q$22))*Q$97</f>
        <v>527.376396418882</v>
      </c>
      <c r="R102" s="177">
        <f>((LOOKUP(R$2,'Ceiling-U'!$A$4:$A$40,'Ceiling-U'!$AB$4:$AB$40)*R$15)+(LOOKUP(R$2,'Floor-U'!$A$4:$A$40,'Floor-U'!$I$4:$I$40)*R$16)+(LOOKUP(R$2,'Wall-U'!$A$4:$A$40,'Wall-U'!$I$4:$I$40)*R$13)+(LOOKUP(R$2,'Window-U'!$A$4:$A$40,'Window-U'!$S$4:$S$40)*R$22))*R$97</f>
        <v>669.56185365608133</v>
      </c>
      <c r="S102" s="177">
        <f>((LOOKUP(S$2,'Ceiling-U'!$A$4:$A$40,'Ceiling-U'!$AB$4:$AB$40)*S$15)+(LOOKUP(S$2,'Floor-U'!$A$4:$A$40,'Floor-U'!$I$4:$I$40)*S$16)+(LOOKUP(S$2,'Wall-U'!$A$4:$A$40,'Wall-U'!$I$4:$I$40)*S$13)+(LOOKUP(S$2,'Window-U'!$A$4:$A$40,'Window-U'!$S$4:$S$40)*S$22))*S$97</f>
        <v>687.50257882677226</v>
      </c>
      <c r="T102" s="177">
        <f>((LOOKUP(T$2,'Ceiling-U'!$A$4:$A$40,'Ceiling-U'!$AB$4:$AB$40)*T$15)+(LOOKUP(T$2,'Floor-U'!$A$4:$A$40,'Floor-U'!$I$4:$I$40)*T$16)+(LOOKUP(T$2,'Wall-U'!$A$4:$A$40,'Wall-U'!$I$4:$I$40)*T$13)+(LOOKUP(T$2,'Window-U'!$A$4:$A$40,'Window-U'!$S$4:$S$40)*T$22))*T$97</f>
        <v>298.99636803052135</v>
      </c>
      <c r="U102" s="177">
        <f>((LOOKUP(U$2,'Ceiling-U'!$A$4:$A$40,'Ceiling-U'!$AB$4:$AB$40)*U$15)+(LOOKUP(U$2,'Floor-U'!$A$4:$A$40,'Floor-U'!$I$4:$I$40)*U$16)+(LOOKUP(U$2,'Wall-U'!$A$4:$A$40,'Wall-U'!$I$4:$I$40)*U$13)+(LOOKUP(U$2,'Window-U'!$A$4:$A$40,'Window-U'!$S$4:$S$40)*U$22))*U$97</f>
        <v>1099.5620947954496</v>
      </c>
      <c r="V102" s="177">
        <f>((LOOKUP(V$2,'Ceiling-U'!$A$4:$A$40,'Ceiling-U'!$AB$4:$AB$40)*V$15)+(LOOKUP(V$2,'Floor-U'!$A$4:$A$40,'Floor-U'!$I$4:$I$40)*V$16)+(LOOKUP(V$2,'Wall-U'!$A$4:$A$40,'Wall-U'!$I$4:$I$40)*V$13)+(LOOKUP(V$2,'Window-U'!$A$4:$A$40,'Window-U'!$S$4:$S$40)*V$22))*V$97</f>
        <v>507.65823360729451</v>
      </c>
      <c r="W102" s="177">
        <f>((LOOKUP(W$2,'Ceiling-U'!$A$4:$A$40,'Ceiling-U'!$AB$4:$AB$40)*W$15)+(LOOKUP(W$2,'Floor-U'!$A$4:$A$40,'Floor-U'!$I$4:$I$40)*W$16)+(LOOKUP(W$2,'Wall-U'!$A$4:$A$40,'Wall-U'!$I$4:$I$40)*W$13)+(LOOKUP(W$2,'Window-U'!$A$4:$A$40,'Window-U'!$S$4:$S$40)*W$22))*W$97</f>
        <v>300.69400257656963</v>
      </c>
      <c r="X102" s="177">
        <f>((LOOKUP(X$2,'Ceiling-U'!$A$4:$A$40,'Ceiling-U'!$AB$4:$AB$40)*X$15)+(LOOKUP(X$2,'Floor-U'!$A$4:$A$40,'Floor-U'!$I$4:$I$40)*X$16)+(LOOKUP(X$2,'Wall-U'!$A$4:$A$40,'Wall-U'!$I$4:$I$40)*X$13)+(LOOKUP(X$2,'Window-U'!$A$4:$A$40,'Window-U'!$S$4:$S$40)*X$22))*X$97</f>
        <v>401.76596657708774</v>
      </c>
      <c r="Y102" s="177">
        <f>((LOOKUP(Y$2,'Ceiling-U'!$A$4:$A$40,'Ceiling-U'!$AB$4:$AB$40)*Y$15)+(LOOKUP(Y$2,'Floor-U'!$A$4:$A$40,'Floor-U'!$I$4:$I$40)*Y$16)+(LOOKUP(Y$2,'Wall-U'!$A$4:$A$40,'Wall-U'!$I$4:$I$40)*Y$13)+(LOOKUP(Y$2,'Window-U'!$A$4:$A$40,'Window-U'!$S$4:$S$40)*Y$22))*Y$97</f>
        <v>1685.4141983742161</v>
      </c>
      <c r="Z102" s="177">
        <f>((LOOKUP(Z$2,'Ceiling-U'!$A$4:$A$40,'Ceiling-U'!$AB$4:$AB$40)*Z$15)+(LOOKUP(Z$2,'Floor-U'!$A$4:$A$40,'Floor-U'!$I$4:$I$40)*Z$16)+(LOOKUP(Z$2,'Wall-U'!$A$4:$A$40,'Wall-U'!$I$4:$I$40)*Z$13)+(LOOKUP(Z$2,'Window-U'!$A$4:$A$40,'Window-U'!$S$4:$S$40)*Z$22))*Z$97</f>
        <v>714.39755286582465</v>
      </c>
      <c r="AA102" s="177">
        <f>((LOOKUP(AA$2,'Ceiling-U'!$A$4:$A$40,'Ceiling-U'!$AB$4:$AB$40)*AA$15)+(LOOKUP(AA$2,'Floor-U'!$A$4:$A$40,'Floor-U'!$I$4:$I$40)*AA$16)+(LOOKUP(AA$2,'Wall-U'!$A$4:$A$40,'Wall-U'!$I$4:$I$40)*AA$13)+(LOOKUP(AA$2,'Window-U'!$A$4:$A$40,'Window-U'!$S$4:$S$40)*AA$22))*AA$97</f>
        <v>240.43476582545739</v>
      </c>
      <c r="AB102" s="177">
        <f>((LOOKUP(AB$2,'Ceiling-U'!$A$4:$A$40,'Ceiling-U'!$AB$4:$AB$40)*AB$15)+(LOOKUP(AB$2,'Floor-U'!$A$4:$A$40,'Floor-U'!$I$4:$I$40)*AB$16)+(LOOKUP(AB$2,'Wall-U'!$A$4:$A$40,'Wall-U'!$I$4:$I$40)*AB$13)+(LOOKUP(AB$2,'Window-U'!$A$4:$A$40,'Window-U'!$S$4:$S$40)*AB$22))*AB$97</f>
        <v>672.60552947438805</v>
      </c>
      <c r="AC102" s="177">
        <f>((LOOKUP(AC$2,'Ceiling-U'!$A$4:$A$40,'Ceiling-U'!$AB$4:$AB$40)*AC$15)+(LOOKUP(AC$2,'Floor-U'!$A$4:$A$40,'Floor-U'!$I$4:$I$40)*AC$16)+(LOOKUP(AC$2,'Wall-U'!$A$4:$A$40,'Wall-U'!$I$4:$I$40)*AC$13)+(LOOKUP(AC$2,'Window-U'!$A$4:$A$40,'Window-U'!$S$4:$S$40)*AC$22))*AC$97</f>
        <v>1443.6047524020119</v>
      </c>
      <c r="AD102" s="177">
        <f>((LOOKUP(AD$2,'Ceiling-U'!$A$4:$A$40,'Ceiling-U'!$AB$4:$AB$40)*AD$15)+(LOOKUP(AD$2,'Floor-U'!$A$4:$A$40,'Floor-U'!$I$4:$I$40)*AD$16)+(LOOKUP(AD$2,'Wall-U'!$A$4:$A$40,'Wall-U'!$I$4:$I$40)*AD$13)+(LOOKUP(AD$2,'Window-U'!$A$4:$A$40,'Window-U'!$S$4:$S$40)*AD$22))*AD$97</f>
        <v>851.80152540261258</v>
      </c>
      <c r="AE102" s="177">
        <f>((LOOKUP(AE$2,'Ceiling-U'!$A$4:$A$40,'Ceiling-U'!$AB$4:$AB$40)*AE$15)+(LOOKUP(AE$2,'Floor-U'!$A$4:$A$40,'Floor-U'!$I$4:$I$40)*AE$16)+(LOOKUP(AE$2,'Wall-U'!$A$4:$A$40,'Wall-U'!$I$4:$I$40)*AE$13)+(LOOKUP(AE$2,'Window-U'!$A$4:$A$40,'Window-U'!$S$4:$S$40)*AE$22))*AE$97</f>
        <v>236.48810339958362</v>
      </c>
      <c r="AF102" s="177">
        <f>((LOOKUP(AF$2,'Ceiling-U'!$A$4:$A$40,'Ceiling-U'!$AB$4:$AB$40)*AF$15)+(LOOKUP(AF$2,'Floor-U'!$A$4:$A$40,'Floor-U'!$I$4:$I$40)*AF$16)+(LOOKUP(AF$2,'Wall-U'!$A$4:$A$40,'Wall-U'!$I$4:$I$40)*AF$13)+(LOOKUP(AF$2,'Window-U'!$A$4:$A$40,'Window-U'!$S$4:$S$40)*AF$22))*AF$97</f>
        <v>499.40676783213587</v>
      </c>
      <c r="AG102" s="177">
        <f>((LOOKUP(AG$2,'Ceiling-U'!$A$4:$A$40,'Ceiling-U'!$AB$4:$AB$40)*AG$15)+(LOOKUP(AG$2,'Floor-U'!$A$4:$A$40,'Floor-U'!$I$4:$I$40)*AG$16)+(LOOKUP(AG$2,'Wall-U'!$A$4:$A$40,'Wall-U'!$I$4:$I$40)*AG$13)+(LOOKUP(AG$2,'Window-U'!$A$4:$A$40,'Window-U'!$S$4:$S$40)*AG$22))*AG$97</f>
        <v>950.51326661204382</v>
      </c>
      <c r="AH102" s="177">
        <f>((LOOKUP(AH$2,'Ceiling-U'!$A$4:$A$40,'Ceiling-U'!$AB$4:$AB$40)*AH$15)+(LOOKUP(AH$2,'Floor-U'!$A$4:$A$40,'Floor-U'!$I$4:$I$40)*AH$16)+(LOOKUP(AH$2,'Wall-U'!$A$4:$A$40,'Wall-U'!$I$4:$I$40)*AH$13)+(LOOKUP(AH$2,'Window-U'!$A$4:$A$40,'Window-U'!$S$4:$S$40)*AH$22))*AH$97</f>
        <v>408.99096354171968</v>
      </c>
      <c r="AI102" s="177">
        <f>((LOOKUP(AI$2,'Ceiling-U'!$A$4:$A$40,'Ceiling-U'!$AB$4:$AB$40)*AI$15)+(LOOKUP(AI$2,'Floor-U'!$A$4:$A$40,'Floor-U'!$I$4:$I$40)*AI$16)+(LOOKUP(AI$2,'Wall-U'!$A$4:$A$40,'Wall-U'!$I$4:$I$40)*AI$13)+(LOOKUP(AI$2,'Window-U'!$A$4:$A$40,'Window-U'!$S$4:$S$40)*AI$22))*AI$97</f>
        <v>1843.9871532502602</v>
      </c>
      <c r="AJ102" s="177">
        <f>((LOOKUP(AJ$2,'Ceiling-U'!$A$4:$A$40,'Ceiling-U'!$AB$4:$AB$40)*AJ$15)+(LOOKUP(AJ$2,'Floor-U'!$A$4:$A$40,'Floor-U'!$I$4:$I$40)*AJ$16)+(LOOKUP(AJ$2,'Wall-U'!$A$4:$A$40,'Wall-U'!$I$4:$I$40)*AJ$13)+(LOOKUP(AJ$2,'Window-U'!$A$4:$A$40,'Window-U'!$S$4:$S$40)*AJ$22))*AJ$97</f>
        <v>681.43377605972921</v>
      </c>
      <c r="AK102" s="177">
        <f>((LOOKUP(AK$2,'Ceiling-U'!$A$4:$A$40,'Ceiling-U'!$AB$4:$AB$40)*AK$15)+(LOOKUP(AK$2,'Floor-U'!$A$4:$A$40,'Floor-U'!$I$4:$I$40)*AK$16)+(LOOKUP(AK$2,'Wall-U'!$A$4:$A$40,'Wall-U'!$I$4:$I$40)*AK$13)+(LOOKUP(AK$2,'Window-U'!$A$4:$A$40,'Window-U'!$S$4:$S$40)*AK$22))*AK$97</f>
        <v>838.47608681990437</v>
      </c>
      <c r="AL102" s="177">
        <f>((LOOKUP(AL$2,'Ceiling-U'!$A$4:$A$40,'Ceiling-U'!$AB$4:$AB$40)*AL$15)+(LOOKUP(AL$2,'Floor-U'!$A$4:$A$40,'Floor-U'!$I$4:$I$40)*AL$16)+(LOOKUP(AL$2,'Wall-U'!$A$4:$A$40,'Wall-U'!$I$4:$I$40)*AL$13)+(LOOKUP(AL$2,'Window-U'!$A$4:$A$40,'Window-U'!$S$4:$S$40)*AL$22))*AL$97</f>
        <v>535.48677790683246</v>
      </c>
      <c r="AM102" s="177">
        <f>((LOOKUP(AM$2,'Ceiling-U'!$A$4:$A$40,'Ceiling-U'!$AB$4:$AB$40)*AM$15)+(LOOKUP(AM$2,'Floor-U'!$A$4:$A$40,'Floor-U'!$I$4:$I$40)*AM$16)+(LOOKUP(AM$2,'Wall-U'!$A$4:$A$40,'Wall-U'!$I$4:$I$40)*AM$13)+(LOOKUP(AM$2,'Window-U'!$A$4:$A$40,'Window-U'!$S$4:$S$40)*AM$22))*AM$97</f>
        <v>681.43377605972921</v>
      </c>
      <c r="AN102" s="178">
        <f>((LOOKUP(AN$2,'Ceiling-U'!$A$4:$A$40,'Ceiling-U'!$AB$4:$AB$40)*AN$15)+(LOOKUP(AN$2,'Floor-U'!$A$4:$A$40,'Floor-U'!$I$4:$I$40)*AN$16)+(LOOKUP(AN$2,'Wall-U'!$A$4:$A$40,'Wall-U'!$I$4:$I$40)*AN$13)+(LOOKUP(AN$2,'Window-U'!$A$4:$A$40,'Window-U'!$S$4:$S$40)*AN$22))*AN$97</f>
        <v>681.43377605972921</v>
      </c>
    </row>
    <row r="103" spans="1:40">
      <c r="A103" s="373"/>
      <c r="B103" s="374" t="s">
        <v>7</v>
      </c>
      <c r="C103" s="131" t="s">
        <v>195</v>
      </c>
      <c r="D103" s="176">
        <f>((LOOKUP(D$2,'Ceiling-U'!$A$4:$A$40,'Ceiling-U'!$AC$4:$AC$40)*D$15)+(LOOKUP(D$2,'Floor-U'!$A$4:$A$40,'Floor-U'!$J$4:$J$40)*D$16)+(LOOKUP(D$2,'Wall-U'!$A$4:$A$40,'Wall-U'!$J$4:$J$40)*D$13)+(LOOKUP(D$2,'Window-U'!$A$4:$A$40,'Window-U'!$S$4:$S$40)*D$22))*D$97</f>
        <v>457.02046398802679</v>
      </c>
      <c r="E103" s="174">
        <f>((LOOKUP(E$2,'Ceiling-U'!$A$4:$A$40,'Ceiling-U'!$AC$4:$AC$40)*E$15)+(LOOKUP(E$2,'Floor-U'!$A$4:$A$40,'Floor-U'!$J$4:$J$40)*E$16)+(LOOKUP(E$2,'Wall-U'!$A$4:$A$40,'Wall-U'!$J$4:$J$40)*E$13)+(LOOKUP(E$2,'Window-U'!$A$4:$A$40,'Window-U'!$S$4:$S$40)*E$22))*E$97</f>
        <v>727.60456215257341</v>
      </c>
      <c r="F103" s="174">
        <f>((LOOKUP(F$2,'Ceiling-U'!$A$4:$A$40,'Ceiling-U'!$AC$4:$AC$40)*F$15)+(LOOKUP(F$2,'Floor-U'!$A$4:$A$40,'Floor-U'!$J$4:$J$40)*F$16)+(LOOKUP(F$2,'Wall-U'!$A$4:$A$40,'Wall-U'!$J$4:$J$40)*F$13)+(LOOKUP(F$2,'Window-U'!$A$4:$A$40,'Window-U'!$S$4:$S$40)*F$22))*F$97</f>
        <v>314.74837418909408</v>
      </c>
      <c r="G103" s="174">
        <f>((LOOKUP(G$2,'Ceiling-U'!$A$4:$A$40,'Ceiling-U'!$AC$4:$AC$40)*G$15)+(LOOKUP(G$2,'Floor-U'!$A$4:$A$40,'Floor-U'!$J$4:$J$40)*G$16)+(LOOKUP(G$2,'Wall-U'!$A$4:$A$40,'Wall-U'!$J$4:$J$40)*G$13)+(LOOKUP(G$2,'Window-U'!$A$4:$A$40,'Window-U'!$S$4:$S$40)*G$22))*G$97</f>
        <v>471.69587623522887</v>
      </c>
      <c r="H103" s="174">
        <f>((LOOKUP(H$2,'Ceiling-U'!$A$4:$A$40,'Ceiling-U'!$AC$4:$AC$40)*H$15)+(LOOKUP(H$2,'Floor-U'!$A$4:$A$40,'Floor-U'!$J$4:$J$40)*H$16)+(LOOKUP(H$2,'Wall-U'!$A$4:$A$40,'Wall-U'!$J$4:$J$40)*H$13)+(LOOKUP(H$2,'Window-U'!$A$4:$A$40,'Window-U'!$S$4:$S$40)*H$22))*H$97</f>
        <v>953.65723319414872</v>
      </c>
      <c r="I103" s="174">
        <f>((LOOKUP(I$2,'Ceiling-U'!$A$4:$A$40,'Ceiling-U'!$AC$4:$AC$40)*I$15)+(LOOKUP(I$2,'Floor-U'!$A$4:$A$40,'Floor-U'!$J$4:$J$40)*I$16)+(LOOKUP(I$2,'Wall-U'!$A$4:$A$40,'Wall-U'!$J$4:$J$40)*I$13)+(LOOKUP(I$2,'Window-U'!$A$4:$A$40,'Window-U'!$S$4:$S$40)*I$22))*I$97</f>
        <v>379.86276366419463</v>
      </c>
      <c r="J103" s="174">
        <f>((LOOKUP(J$2,'Ceiling-U'!$A$4:$A$40,'Ceiling-U'!$AC$4:$AC$40)*J$15)+(LOOKUP(J$2,'Floor-U'!$A$4:$A$40,'Floor-U'!$J$4:$J$40)*J$16)+(LOOKUP(J$2,'Wall-U'!$A$4:$A$40,'Wall-U'!$J$4:$J$40)*J$13)+(LOOKUP(J$2,'Window-U'!$A$4:$A$40,'Window-U'!$S$4:$S$40)*J$22))*J$97</f>
        <v>364.9473543609206</v>
      </c>
      <c r="K103" s="174">
        <f>((LOOKUP(K$2,'Ceiling-U'!$A$4:$A$40,'Ceiling-U'!$AC$4:$AC$40)*K$15)+(LOOKUP(K$2,'Floor-U'!$A$4:$A$40,'Floor-U'!$J$4:$J$40)*K$16)+(LOOKUP(K$2,'Wall-U'!$A$4:$A$40,'Wall-U'!$J$4:$J$40)*K$13)+(LOOKUP(K$2,'Window-U'!$A$4:$A$40,'Window-U'!$S$4:$S$40)*K$22))*K$97</f>
        <v>268.79429702503427</v>
      </c>
      <c r="L103" s="174">
        <f>((LOOKUP(L$2,'Ceiling-U'!$A$4:$A$40,'Ceiling-U'!$AC$4:$AC$40)*L$15)+(LOOKUP(L$2,'Floor-U'!$A$4:$A$40,'Floor-U'!$J$4:$J$40)*L$16)+(LOOKUP(L$2,'Wall-U'!$A$4:$A$40,'Wall-U'!$J$4:$J$40)*L$13)+(LOOKUP(L$2,'Window-U'!$A$4:$A$40,'Window-U'!$S$4:$S$40)*L$22))*L$97</f>
        <v>204.48722518340642</v>
      </c>
      <c r="M103" s="174">
        <f>((LOOKUP(M$2,'Ceiling-U'!$A$4:$A$40,'Ceiling-U'!$AC$4:$AC$40)*M$15)+(LOOKUP(M$2,'Floor-U'!$A$4:$A$40,'Floor-U'!$J$4:$J$40)*M$16)+(LOOKUP(M$2,'Wall-U'!$A$4:$A$40,'Wall-U'!$J$4:$J$40)*M$13)+(LOOKUP(M$2,'Window-U'!$A$4:$A$40,'Window-U'!$S$4:$S$40)*M$22))*M$97</f>
        <v>772.58037931780893</v>
      </c>
      <c r="N103" s="174">
        <f>((LOOKUP(N$2,'Ceiling-U'!$A$4:$A$40,'Ceiling-U'!$AC$4:$AC$40)*N$15)+(LOOKUP(N$2,'Floor-U'!$A$4:$A$40,'Floor-U'!$J$4:$J$40)*N$16)+(LOOKUP(N$2,'Wall-U'!$A$4:$A$40,'Wall-U'!$J$4:$J$40)*N$13)+(LOOKUP(N$2,'Window-U'!$A$4:$A$40,'Window-U'!$S$4:$S$40)*N$22))*N$97</f>
        <v>270.53163569109665</v>
      </c>
      <c r="O103" s="174">
        <f>((LOOKUP(O$2,'Ceiling-U'!$A$4:$A$40,'Ceiling-U'!$AC$4:$AC$40)*O$15)+(LOOKUP(O$2,'Floor-U'!$A$4:$A$40,'Floor-U'!$J$4:$J$40)*O$16)+(LOOKUP(O$2,'Wall-U'!$A$4:$A$40,'Wall-U'!$J$4:$J$40)*O$13)+(LOOKUP(O$2,'Window-U'!$A$4:$A$40,'Window-U'!$S$4:$S$40)*O$22))*O$97</f>
        <v>406.48836295293495</v>
      </c>
      <c r="P103" s="174">
        <f>((LOOKUP(P$2,'Ceiling-U'!$A$4:$A$40,'Ceiling-U'!$AC$4:$AC$40)*P$15)+(LOOKUP(P$2,'Floor-U'!$A$4:$A$40,'Floor-U'!$J$4:$J$40)*P$16)+(LOOKUP(P$2,'Wall-U'!$A$4:$A$40,'Wall-U'!$J$4:$J$40)*P$13)+(LOOKUP(P$2,'Window-U'!$A$4:$A$40,'Window-U'!$S$4:$S$40)*P$22))*P$97</f>
        <v>378.37519655723526</v>
      </c>
      <c r="Q103" s="174">
        <f>((LOOKUP(Q$2,'Ceiling-U'!$A$4:$A$40,'Ceiling-U'!$AC$4:$AC$40)*Q$15)+(LOOKUP(Q$2,'Floor-U'!$A$4:$A$40,'Floor-U'!$J$4:$J$40)*Q$16)+(LOOKUP(Q$2,'Wall-U'!$A$4:$A$40,'Wall-U'!$J$4:$J$40)*Q$13)+(LOOKUP(Q$2,'Window-U'!$A$4:$A$40,'Window-U'!$S$4:$S$40)*Q$22))*Q$97</f>
        <v>321.81425111131591</v>
      </c>
      <c r="R103" s="174">
        <f>((LOOKUP(R$2,'Ceiling-U'!$A$4:$A$40,'Ceiling-U'!$AC$4:$AC$40)*R$15)+(LOOKUP(R$2,'Floor-U'!$A$4:$A$40,'Floor-U'!$J$4:$J$40)*R$16)+(LOOKUP(R$2,'Wall-U'!$A$4:$A$40,'Wall-U'!$J$4:$J$40)*R$13)+(LOOKUP(R$2,'Window-U'!$A$4:$A$40,'Window-U'!$S$4:$S$40)*R$22))*R$97</f>
        <v>411.52831464882183</v>
      </c>
      <c r="S103" s="174">
        <f>((LOOKUP(S$2,'Ceiling-U'!$A$4:$A$40,'Ceiling-U'!$AC$4:$AC$40)*S$15)+(LOOKUP(S$2,'Floor-U'!$A$4:$A$40,'Floor-U'!$J$4:$J$40)*S$16)+(LOOKUP(S$2,'Wall-U'!$A$4:$A$40,'Wall-U'!$J$4:$J$40)*S$13)+(LOOKUP(S$2,'Window-U'!$A$4:$A$40,'Window-U'!$S$4:$S$40)*S$22))*S$97</f>
        <v>377.16579762079948</v>
      </c>
      <c r="T103" s="174">
        <f>((LOOKUP(T$2,'Ceiling-U'!$A$4:$A$40,'Ceiling-U'!$AC$4:$AC$40)*T$15)+(LOOKUP(T$2,'Floor-U'!$A$4:$A$40,'Floor-U'!$J$4:$J$40)*T$16)+(LOOKUP(T$2,'Wall-U'!$A$4:$A$40,'Wall-U'!$J$4:$J$40)*T$13)+(LOOKUP(T$2,'Window-U'!$A$4:$A$40,'Window-U'!$S$4:$S$40)*T$22))*T$97</f>
        <v>272.60161320952545</v>
      </c>
      <c r="U103" s="174">
        <f>((LOOKUP(U$2,'Ceiling-U'!$A$4:$A$40,'Ceiling-U'!$AC$4:$AC$40)*U$15)+(LOOKUP(U$2,'Floor-U'!$A$4:$A$40,'Floor-U'!$J$4:$J$40)*U$16)+(LOOKUP(U$2,'Wall-U'!$A$4:$A$40,'Wall-U'!$J$4:$J$40)*U$13)+(LOOKUP(U$2,'Window-U'!$A$4:$A$40,'Window-U'!$S$4:$S$40)*U$22))*U$97</f>
        <v>1099.5620947954496</v>
      </c>
      <c r="V103" s="174">
        <f>((LOOKUP(V$2,'Ceiling-U'!$A$4:$A$40,'Ceiling-U'!$AC$4:$AC$40)*V$15)+(LOOKUP(V$2,'Floor-U'!$A$4:$A$40,'Floor-U'!$J$4:$J$40)*V$16)+(LOOKUP(V$2,'Wall-U'!$A$4:$A$40,'Wall-U'!$J$4:$J$40)*V$13)+(LOOKUP(V$2,'Window-U'!$A$4:$A$40,'Window-U'!$S$4:$S$40)*V$22))*V$97</f>
        <v>261.41149344573626</v>
      </c>
      <c r="W103" s="174">
        <f>((LOOKUP(W$2,'Ceiling-U'!$A$4:$A$40,'Ceiling-U'!$AC$4:$AC$40)*W$15)+(LOOKUP(W$2,'Floor-U'!$A$4:$A$40,'Floor-U'!$J$4:$J$40)*W$16)+(LOOKUP(W$2,'Wall-U'!$A$4:$A$40,'Wall-U'!$J$4:$J$40)*W$13)+(LOOKUP(W$2,'Window-U'!$A$4:$A$40,'Window-U'!$S$4:$S$40)*W$22))*W$97</f>
        <v>234.61522592101952</v>
      </c>
      <c r="X103" s="174">
        <f>((LOOKUP(X$2,'Ceiling-U'!$A$4:$A$40,'Ceiling-U'!$AC$4:$AC$40)*X$15)+(LOOKUP(X$2,'Floor-U'!$A$4:$A$40,'Floor-U'!$J$4:$J$40)*X$16)+(LOOKUP(X$2,'Wall-U'!$A$4:$A$40,'Wall-U'!$J$4:$J$40)*X$13)+(LOOKUP(X$2,'Window-U'!$A$4:$A$40,'Window-U'!$S$4:$S$40)*X$22))*X$97</f>
        <v>231.38792635089297</v>
      </c>
      <c r="Y103" s="174">
        <f>((LOOKUP(Y$2,'Ceiling-U'!$A$4:$A$40,'Ceiling-U'!$AC$4:$AC$40)*Y$15)+(LOOKUP(Y$2,'Floor-U'!$A$4:$A$40,'Floor-U'!$J$4:$J$40)*Y$16)+(LOOKUP(Y$2,'Wall-U'!$A$4:$A$40,'Wall-U'!$J$4:$J$40)*Y$13)+(LOOKUP(Y$2,'Window-U'!$A$4:$A$40,'Window-U'!$S$4:$S$40)*Y$22))*Y$97</f>
        <v>1574.8606964730825</v>
      </c>
      <c r="Z103" s="174">
        <f>((LOOKUP(Z$2,'Ceiling-U'!$A$4:$A$40,'Ceiling-U'!$AC$4:$AC$40)*Z$15)+(LOOKUP(Z$2,'Floor-U'!$A$4:$A$40,'Floor-U'!$J$4:$J$40)*Z$16)+(LOOKUP(Z$2,'Wall-U'!$A$4:$A$40,'Wall-U'!$J$4:$J$40)*Z$13)+(LOOKUP(Z$2,'Window-U'!$A$4:$A$40,'Window-U'!$S$4:$S$40)*Z$22))*Z$97</f>
        <v>469.58836938779268</v>
      </c>
      <c r="AA103" s="174">
        <f>((LOOKUP(AA$2,'Ceiling-U'!$A$4:$A$40,'Ceiling-U'!$AC$4:$AC$40)*AA$15)+(LOOKUP(AA$2,'Floor-U'!$A$4:$A$40,'Floor-U'!$J$4:$J$40)*AA$16)+(LOOKUP(AA$2,'Wall-U'!$A$4:$A$40,'Wall-U'!$J$4:$J$40)*AA$13)+(LOOKUP(AA$2,'Window-U'!$A$4:$A$40,'Window-U'!$S$4:$S$40)*AA$22))*AA$97</f>
        <v>240.43476582545739</v>
      </c>
      <c r="AB103" s="174">
        <f>((LOOKUP(AB$2,'Ceiling-U'!$A$4:$A$40,'Ceiling-U'!$AC$4:$AC$40)*AB$15)+(LOOKUP(AB$2,'Floor-U'!$A$4:$A$40,'Floor-U'!$J$4:$J$40)*AB$16)+(LOOKUP(AB$2,'Wall-U'!$A$4:$A$40,'Wall-U'!$J$4:$J$40)*AB$13)+(LOOKUP(AB$2,'Window-U'!$A$4:$A$40,'Window-U'!$S$4:$S$40)*AB$22))*AB$97</f>
        <v>450.9389561409489</v>
      </c>
      <c r="AC103" s="174">
        <f>((LOOKUP(AC$2,'Ceiling-U'!$A$4:$A$40,'Ceiling-U'!$AC$4:$AC$40)*AC$15)+(LOOKUP(AC$2,'Floor-U'!$A$4:$A$40,'Floor-U'!$J$4:$J$40)*AC$16)+(LOOKUP(AC$2,'Wall-U'!$A$4:$A$40,'Wall-U'!$J$4:$J$40)*AC$13)+(LOOKUP(AC$2,'Window-U'!$A$4:$A$40,'Window-U'!$S$4:$S$40)*AC$22))*AC$97</f>
        <v>953.91460262366365</v>
      </c>
      <c r="AD103" s="174">
        <f>((LOOKUP(AD$2,'Ceiling-U'!$A$4:$A$40,'Ceiling-U'!$AC$4:$AC$40)*AD$15)+(LOOKUP(AD$2,'Floor-U'!$A$4:$A$40,'Floor-U'!$J$4:$J$40)*AD$16)+(LOOKUP(AD$2,'Wall-U'!$A$4:$A$40,'Wall-U'!$J$4:$J$40)*AD$13)+(LOOKUP(AD$2,'Window-U'!$A$4:$A$40,'Window-U'!$S$4:$S$40)*AD$22))*AD$97</f>
        <v>686.56445109304025</v>
      </c>
      <c r="AE103" s="174">
        <f>((LOOKUP(AE$2,'Ceiling-U'!$A$4:$A$40,'Ceiling-U'!$AC$4:$AC$40)*AE$15)+(LOOKUP(AE$2,'Floor-U'!$A$4:$A$40,'Floor-U'!$J$4:$J$40)*AE$16)+(LOOKUP(AE$2,'Wall-U'!$A$4:$A$40,'Wall-U'!$J$4:$J$40)*AE$13)+(LOOKUP(AE$2,'Window-U'!$A$4:$A$40,'Window-U'!$S$4:$S$40)*AE$22))*AE$97</f>
        <v>236.48810339958362</v>
      </c>
      <c r="AF103" s="174">
        <f>((LOOKUP(AF$2,'Ceiling-U'!$A$4:$A$40,'Ceiling-U'!$AC$4:$AC$40)*AF$15)+(LOOKUP(AF$2,'Floor-U'!$A$4:$A$40,'Floor-U'!$J$4:$J$40)*AF$16)+(LOOKUP(AF$2,'Wall-U'!$A$4:$A$40,'Wall-U'!$J$4:$J$40)*AF$13)+(LOOKUP(AF$2,'Window-U'!$A$4:$A$40,'Window-U'!$S$4:$S$40)*AF$22))*AF$97</f>
        <v>252.52294575334318</v>
      </c>
      <c r="AG103" s="174">
        <f>((LOOKUP(AG$2,'Ceiling-U'!$A$4:$A$40,'Ceiling-U'!$AC$4:$AC$40)*AG$15)+(LOOKUP(AG$2,'Floor-U'!$A$4:$A$40,'Floor-U'!$J$4:$J$40)*AG$16)+(LOOKUP(AG$2,'Wall-U'!$A$4:$A$40,'Wall-U'!$J$4:$J$40)*AG$13)+(LOOKUP(AG$2,'Window-U'!$A$4:$A$40,'Window-U'!$S$4:$S$40)*AG$22))*AG$97</f>
        <v>559.20497032966148</v>
      </c>
      <c r="AH103" s="174">
        <f>((LOOKUP(AH$2,'Ceiling-U'!$A$4:$A$40,'Ceiling-U'!$AC$4:$AC$40)*AH$15)+(LOOKUP(AH$2,'Floor-U'!$A$4:$A$40,'Floor-U'!$J$4:$J$40)*AH$16)+(LOOKUP(AH$2,'Wall-U'!$A$4:$A$40,'Wall-U'!$J$4:$J$40)*AH$13)+(LOOKUP(AH$2,'Window-U'!$A$4:$A$40,'Window-U'!$S$4:$S$40)*AH$22))*AH$97</f>
        <v>338.49381010508648</v>
      </c>
      <c r="AI103" s="174">
        <f>((LOOKUP(AI$2,'Ceiling-U'!$A$4:$A$40,'Ceiling-U'!$AC$4:$AC$40)*AI$15)+(LOOKUP(AI$2,'Floor-U'!$A$4:$A$40,'Floor-U'!$J$4:$J$40)*AI$16)+(LOOKUP(AI$2,'Wall-U'!$A$4:$A$40,'Wall-U'!$J$4:$J$40)*AI$13)+(LOOKUP(AI$2,'Window-U'!$A$4:$A$40,'Window-U'!$S$4:$S$40)*AI$22))*AI$97</f>
        <v>544.95112573142751</v>
      </c>
      <c r="AJ103" s="174">
        <f>((LOOKUP(AJ$2,'Ceiling-U'!$A$4:$A$40,'Ceiling-U'!$AC$4:$AC$40)*AJ$15)+(LOOKUP(AJ$2,'Floor-U'!$A$4:$A$40,'Floor-U'!$J$4:$J$40)*AJ$16)+(LOOKUP(AJ$2,'Wall-U'!$A$4:$A$40,'Wall-U'!$J$4:$J$40)*AJ$13)+(LOOKUP(AJ$2,'Window-U'!$A$4:$A$40,'Window-U'!$S$4:$S$40)*AJ$22))*AJ$97</f>
        <v>598.41761572509347</v>
      </c>
      <c r="AK103" s="174">
        <f>((LOOKUP(AK$2,'Ceiling-U'!$A$4:$A$40,'Ceiling-U'!$AC$4:$AC$40)*AK$15)+(LOOKUP(AK$2,'Floor-U'!$A$4:$A$40,'Floor-U'!$J$4:$J$40)*AK$16)+(LOOKUP(AK$2,'Wall-U'!$A$4:$A$40,'Wall-U'!$J$4:$J$40)*AK$13)+(LOOKUP(AK$2,'Window-U'!$A$4:$A$40,'Window-U'!$S$4:$S$40)*AK$22))*AK$97</f>
        <v>739.2833575931154</v>
      </c>
      <c r="AL103" s="174">
        <f>((LOOKUP(AL$2,'Ceiling-U'!$A$4:$A$40,'Ceiling-U'!$AC$4:$AC$40)*AL$15)+(LOOKUP(AL$2,'Floor-U'!$A$4:$A$40,'Floor-U'!$J$4:$J$40)*AL$16)+(LOOKUP(AL$2,'Wall-U'!$A$4:$A$40,'Wall-U'!$J$4:$J$40)*AL$13)+(LOOKUP(AL$2,'Window-U'!$A$4:$A$40,'Window-U'!$S$4:$S$40)*AL$22))*AL$97</f>
        <v>331.54986687391829</v>
      </c>
      <c r="AM103" s="174">
        <f>((LOOKUP(AM$2,'Ceiling-U'!$A$4:$A$40,'Ceiling-U'!$AC$4:$AC$40)*AM$15)+(LOOKUP(AM$2,'Floor-U'!$A$4:$A$40,'Floor-U'!$J$4:$J$40)*AM$16)+(LOOKUP(AM$2,'Wall-U'!$A$4:$A$40,'Wall-U'!$J$4:$J$40)*AM$13)+(LOOKUP(AM$2,'Window-U'!$A$4:$A$40,'Window-U'!$S$4:$S$40)*AM$22))*AM$97</f>
        <v>598.41761572509347</v>
      </c>
      <c r="AN103" s="175">
        <f>((LOOKUP(AN$2,'Ceiling-U'!$A$4:$A$40,'Ceiling-U'!$AC$4:$AC$40)*AN$15)+(LOOKUP(AN$2,'Floor-U'!$A$4:$A$40,'Floor-U'!$J$4:$J$40)*AN$16)+(LOOKUP(AN$2,'Wall-U'!$A$4:$A$40,'Wall-U'!$J$4:$J$40)*AN$13)+(LOOKUP(AN$2,'Window-U'!$A$4:$A$40,'Window-U'!$S$4:$S$40)*AN$22))*AN$97</f>
        <v>598.41761572509347</v>
      </c>
    </row>
    <row r="104" spans="1:40">
      <c r="A104" s="332" t="s">
        <v>280</v>
      </c>
      <c r="B104" s="142" t="s">
        <v>2</v>
      </c>
      <c r="C104" s="360" t="s">
        <v>261</v>
      </c>
      <c r="D104" s="351">
        <f>D98*24*LOOKUP(D$2,'HDD-by Country'!$A$4:$A$40,'HDD-by Country'!$C$4:$C$40)/1000/D$3</f>
        <v>19653.419459634893</v>
      </c>
      <c r="E104" s="352">
        <f>E98*24*LOOKUP(E$2,'HDD-by Country'!$A$4:$A$40,'HDD-by Country'!$C$4:$C$40)/1000/E$3</f>
        <v>16993.932630230145</v>
      </c>
      <c r="F104" s="352">
        <f>F98*24*LOOKUP(F$2,'HDD-by Country'!$A$4:$A$40,'HDD-by Country'!$C$4:$C$40)/1000/F$3</f>
        <v>9493.3977109005373</v>
      </c>
      <c r="G104" s="352">
        <f>G98*24*LOOKUP(G$2,'HDD-by Country'!$A$4:$A$40,'HDD-by Country'!$C$4:$C$40)/1000/G$3</f>
        <v>19776.496744781602</v>
      </c>
      <c r="H104" s="352">
        <f>H98*24*LOOKUP(H$2,'HDD-by Country'!$A$4:$A$40,'HDD-by Country'!$C$4:$C$40)/1000/H$3</f>
        <v>6089.617434606469</v>
      </c>
      <c r="I104" s="352">
        <f>I98*24*LOOKUP(I$2,'HDD-by Country'!$A$4:$A$40,'HDD-by Country'!$C$4:$C$40)/1000/I$3</f>
        <v>13436.341586468683</v>
      </c>
      <c r="J104" s="352">
        <f>J98*24*LOOKUP(J$2,'HDD-by Country'!$A$4:$A$40,'HDD-by Country'!$C$4:$C$40)/1000/J$3</f>
        <v>17834.991239078056</v>
      </c>
      <c r="K104" s="352">
        <f>K98*24*LOOKUP(K$2,'HDD-by Country'!$A$4:$A$40,'HDD-by Country'!$C$4:$C$40)/1000/K$3</f>
        <v>12243.369687936191</v>
      </c>
      <c r="L104" s="352">
        <f>L98*24*LOOKUP(L$2,'HDD-by Country'!$A$4:$A$40,'HDD-by Country'!$C$4:$C$40)/1000/L$3</f>
        <v>7095.9793078931425</v>
      </c>
      <c r="M104" s="352">
        <f>M98*24*LOOKUP(M$2,'HDD-by Country'!$A$4:$A$40,'HDD-by Country'!$C$4:$C$40)/1000/M$3</f>
        <v>17159.867572692969</v>
      </c>
      <c r="N104" s="352">
        <f>N98*24*LOOKUP(N$2,'HDD-by Country'!$A$4:$A$40,'HDD-by Country'!$C$4:$C$40)/1000/N$3</f>
        <v>13058.586383639149</v>
      </c>
      <c r="O104" s="352">
        <f>O98*24*LOOKUP(O$2,'HDD-by Country'!$A$4:$A$40,'HDD-by Country'!$C$4:$C$40)/1000/O$3</f>
        <v>20891.481251752437</v>
      </c>
      <c r="P104" s="352">
        <f>P98*24*LOOKUP(P$2,'HDD-by Country'!$A$4:$A$40,'HDD-by Country'!$C$4:$C$40)/1000/P$3</f>
        <v>13510.529834378049</v>
      </c>
      <c r="Q104" s="352">
        <f>Q98*24*LOOKUP(Q$2,'HDD-by Country'!$A$4:$A$40,'HDD-by Country'!$C$4:$C$40)/1000/Q$3</f>
        <v>7940.4031389736765</v>
      </c>
      <c r="R104" s="352">
        <f>R98*24*LOOKUP(R$2,'HDD-by Country'!$A$4:$A$40,'HDD-by Country'!$C$4:$C$40)/1000/R$3</f>
        <v>12959.64947684799</v>
      </c>
      <c r="S104" s="352">
        <f>S98*24*LOOKUP(S$2,'HDD-by Country'!$A$4:$A$40,'HDD-by Country'!$C$4:$C$40)/1000/S$3</f>
        <v>15424.289039471749</v>
      </c>
      <c r="T104" s="352">
        <f>T98*24*LOOKUP(T$2,'HDD-by Country'!$A$4:$A$40,'HDD-by Country'!$C$4:$C$40)/1000/T$3</f>
        <v>11197.984061117177</v>
      </c>
      <c r="U104" s="352">
        <f>U98*24*LOOKUP(U$2,'HDD-by Country'!$A$4:$A$40,'HDD-by Country'!$C$4:$C$40)/1000/U$3</f>
        <v>13426.943978162477</v>
      </c>
      <c r="V104" s="352">
        <f>V98*24*LOOKUP(V$2,'HDD-by Country'!$A$4:$A$40,'HDD-by Country'!$C$4:$C$40)/1000/V$3</f>
        <v>13838.468818856272</v>
      </c>
      <c r="W104" s="352">
        <f>W98*24*LOOKUP(W$2,'HDD-by Country'!$A$4:$A$40,'HDD-by Country'!$C$4:$C$40)/1000/W$3</f>
        <v>13689.023406061826</v>
      </c>
      <c r="X104" s="352">
        <f>X98*24*LOOKUP(X$2,'HDD-by Country'!$A$4:$A$40,'HDD-by Country'!$C$4:$C$40)/1000/X$3</f>
        <v>13949.9467613869</v>
      </c>
      <c r="Y104" s="352">
        <f>Y98*24*LOOKUP(Y$2,'HDD-by Country'!$A$4:$A$40,'HDD-by Country'!$C$4:$C$40)/1000/Y$3</f>
        <v>5732.9487904845582</v>
      </c>
      <c r="Z104" s="352">
        <f>Z98*24*LOOKUP(Z$2,'HDD-by Country'!$A$4:$A$40,'HDD-by Country'!$C$4:$C$40)/1000/Z$3</f>
        <v>18031.576439338143</v>
      </c>
      <c r="AA104" s="352">
        <f>AA98*24*LOOKUP(AA$2,'HDD-by Country'!$A$4:$A$40,'HDD-by Country'!$C$4:$C$40)/1000/AA$3</f>
        <v>10099.922430077931</v>
      </c>
      <c r="AB104" s="352">
        <f>AB98*24*LOOKUP(AB$2,'HDD-by Country'!$A$4:$A$40,'HDD-by Country'!$C$4:$C$40)/1000/AB$3</f>
        <v>18198.620642005164</v>
      </c>
      <c r="AC104" s="352">
        <f>AC98*24*LOOKUP(AC$2,'HDD-by Country'!$A$4:$A$40,'HDD-by Country'!$C$4:$C$40)/1000/AC$3</f>
        <v>9478.6721717138298</v>
      </c>
      <c r="AD104" s="352">
        <f>AD98*24*LOOKUP(AD$2,'HDD-by Country'!$A$4:$A$40,'HDD-by Country'!$C$4:$C$40)/1000/AD$3</f>
        <v>15005.260646856703</v>
      </c>
      <c r="AE104" s="352">
        <f>AE98*24*LOOKUP(AE$2,'HDD-by Country'!$A$4:$A$40,'HDD-by Country'!$C$4:$C$40)/1000/AE$3</f>
        <v>9582.3742167632809</v>
      </c>
      <c r="AF104" s="352">
        <f>AF98*24*LOOKUP(AF$2,'HDD-by Country'!$A$4:$A$40,'HDD-by Country'!$C$4:$C$40)/1000/AF$3</f>
        <v>12883.77986351244</v>
      </c>
      <c r="AG104" s="352">
        <f>AG98*24*LOOKUP(AG$2,'HDD-by Country'!$A$4:$A$40,'HDD-by Country'!$C$4:$C$40)/1000/AG$3</f>
        <v>18629.607606162906</v>
      </c>
      <c r="AH104" s="352">
        <f>AH98*24*LOOKUP(AH$2,'HDD-by Country'!$A$4:$A$40,'HDD-by Country'!$C$4:$C$40)/1000/AH$3</f>
        <v>13875.519271962863</v>
      </c>
      <c r="AI104" s="352">
        <f>AI98*24*LOOKUP(AI$2,'HDD-by Country'!$A$4:$A$40,'HDD-by Country'!$C$4:$C$40)/1000/AI$3</f>
        <v>12959.016150475038</v>
      </c>
      <c r="AJ104" s="352">
        <f>AJ98*24*LOOKUP(AJ$2,'HDD-by Country'!$A$4:$A$40,'HDD-by Country'!$C$4:$C$40)/1000/AJ$3</f>
        <v>9734.6268654714149</v>
      </c>
      <c r="AK104" s="352">
        <f>AK98*24*LOOKUP(AK$2,'HDD-by Country'!$A$4:$A$40,'HDD-by Country'!$C$4:$C$40)/1000/AK$3</f>
        <v>10592.119380503736</v>
      </c>
      <c r="AL104" s="352">
        <f>AL98*24*LOOKUP(AL$2,'HDD-by Country'!$A$4:$A$40,'HDD-by Country'!$C$4:$C$40)/1000/AL$3</f>
        <v>9993.5877187019541</v>
      </c>
      <c r="AM104" s="352">
        <f>AM98*24*LOOKUP(AM$2,'HDD-by Country'!$A$4:$A$40,'HDD-by Country'!$C$4:$C$40)/1000/AM$3</f>
        <v>8951.7256630806605</v>
      </c>
      <c r="AN104" s="353">
        <f>AN98*24*LOOKUP(AN$2,'HDD-by Country'!$A$4:$A$40,'HDD-by Country'!$C$4:$C$40)/1000/AN$3</f>
        <v>8951.7256630806605</v>
      </c>
    </row>
    <row r="105" spans="1:40">
      <c r="A105" s="129"/>
      <c r="B105" s="142" t="s">
        <v>3</v>
      </c>
      <c r="C105" s="129" t="s">
        <v>261</v>
      </c>
      <c r="D105" s="345">
        <f>D99*24*LOOKUP(D$2,'HDD-by Country'!$A$4:$A$40,'HDD-by Country'!$C$4:$C$40)/1000/D$3</f>
        <v>18662.940790105706</v>
      </c>
      <c r="E105" s="349">
        <f>E99*24*LOOKUP(E$2,'HDD-by Country'!$A$4:$A$40,'HDD-by Country'!$C$4:$C$40)/1000/E$3</f>
        <v>16993.932630230145</v>
      </c>
      <c r="F105" s="349">
        <f>F99*24*LOOKUP(F$2,'HDD-by Country'!$A$4:$A$40,'HDD-by Country'!$C$4:$C$40)/1000/F$3</f>
        <v>9493.3977109005373</v>
      </c>
      <c r="G105" s="349">
        <f>G99*24*LOOKUP(G$2,'HDD-by Country'!$A$4:$A$40,'HDD-by Country'!$C$4:$C$40)/1000/G$3</f>
        <v>18811.149516720649</v>
      </c>
      <c r="H105" s="349">
        <f>H99*24*LOOKUP(H$2,'HDD-by Country'!$A$4:$A$40,'HDD-by Country'!$C$4:$C$40)/1000/H$3</f>
        <v>5554.3914040708878</v>
      </c>
      <c r="I105" s="349">
        <f>I99*24*LOOKUP(I$2,'HDD-by Country'!$A$4:$A$40,'HDD-by Country'!$C$4:$C$40)/1000/I$3</f>
        <v>11009.189346948981</v>
      </c>
      <c r="J105" s="349">
        <f>J99*24*LOOKUP(J$2,'HDD-by Country'!$A$4:$A$40,'HDD-by Country'!$C$4:$C$40)/1000/J$3</f>
        <v>15263.71828469832</v>
      </c>
      <c r="K105" s="349">
        <f>K99*24*LOOKUP(K$2,'HDD-by Country'!$A$4:$A$40,'HDD-by Country'!$C$4:$C$40)/1000/K$3</f>
        <v>11861.773583436969</v>
      </c>
      <c r="L105" s="349">
        <f>L99*24*LOOKUP(L$2,'HDD-by Country'!$A$4:$A$40,'HDD-by Country'!$C$4:$C$40)/1000/L$3</f>
        <v>7095.9793078931425</v>
      </c>
      <c r="M105" s="349">
        <f>M99*24*LOOKUP(M$2,'HDD-by Country'!$A$4:$A$40,'HDD-by Country'!$C$4:$C$40)/1000/M$3</f>
        <v>15562.628089407257</v>
      </c>
      <c r="N105" s="349">
        <f>N99*24*LOOKUP(N$2,'HDD-by Country'!$A$4:$A$40,'HDD-by Country'!$C$4:$C$40)/1000/N$3</f>
        <v>11263.851385948075</v>
      </c>
      <c r="O105" s="349">
        <f>O99*24*LOOKUP(O$2,'HDD-by Country'!$A$4:$A$40,'HDD-by Country'!$C$4:$C$40)/1000/O$3</f>
        <v>20891.481251752437</v>
      </c>
      <c r="P105" s="349">
        <f>P99*24*LOOKUP(P$2,'HDD-by Country'!$A$4:$A$40,'HDD-by Country'!$C$4:$C$40)/1000/P$3</f>
        <v>13510.529834378049</v>
      </c>
      <c r="Q105" s="349">
        <f>Q99*24*LOOKUP(Q$2,'HDD-by Country'!$A$4:$A$40,'HDD-by Country'!$C$4:$C$40)/1000/Q$3</f>
        <v>8685.1958824472276</v>
      </c>
      <c r="R105" s="349">
        <f>R99*24*LOOKUP(R$2,'HDD-by Country'!$A$4:$A$40,'HDD-by Country'!$C$4:$C$40)/1000/R$3</f>
        <v>12959.64947684799</v>
      </c>
      <c r="S105" s="349">
        <f>S99*24*LOOKUP(S$2,'HDD-by Country'!$A$4:$A$40,'HDD-by Country'!$C$4:$C$40)/1000/S$3</f>
        <v>15429.432269958497</v>
      </c>
      <c r="T105" s="349">
        <f>T99*24*LOOKUP(T$2,'HDD-by Country'!$A$4:$A$40,'HDD-by Country'!$C$4:$C$40)/1000/T$3</f>
        <v>9655.6837340165675</v>
      </c>
      <c r="U105" s="349">
        <f>U99*24*LOOKUP(U$2,'HDD-by Country'!$A$4:$A$40,'HDD-by Country'!$C$4:$C$40)/1000/U$3</f>
        <v>12568.716960152209</v>
      </c>
      <c r="V105" s="349">
        <f>V99*24*LOOKUP(V$2,'HDD-by Country'!$A$4:$A$40,'HDD-by Country'!$C$4:$C$40)/1000/V$3</f>
        <v>13838.468818856272</v>
      </c>
      <c r="W105" s="349">
        <f>W99*24*LOOKUP(W$2,'HDD-by Country'!$A$4:$A$40,'HDD-by Country'!$C$4:$C$40)/1000/W$3</f>
        <v>16009.899241932055</v>
      </c>
      <c r="X105" s="349">
        <f>X99*24*LOOKUP(X$2,'HDD-by Country'!$A$4:$A$40,'HDD-by Country'!$C$4:$C$40)/1000/X$3</f>
        <v>13949.9467613869</v>
      </c>
      <c r="Y105" s="349">
        <f>Y99*24*LOOKUP(Y$2,'HDD-by Country'!$A$4:$A$40,'HDD-by Country'!$C$4:$C$40)/1000/Y$3</f>
        <v>5732.7411432239123</v>
      </c>
      <c r="Z105" s="349">
        <f>Z99*24*LOOKUP(Z$2,'HDD-by Country'!$A$4:$A$40,'HDD-by Country'!$C$4:$C$40)/1000/Z$3</f>
        <v>16649.172174038376</v>
      </c>
      <c r="AA105" s="349">
        <f>AA99*24*LOOKUP(AA$2,'HDD-by Country'!$A$4:$A$40,'HDD-by Country'!$C$4:$C$40)/1000/AA$3</f>
        <v>10099.922430077931</v>
      </c>
      <c r="AB105" s="349">
        <f>AB99*24*LOOKUP(AB$2,'HDD-by Country'!$A$4:$A$40,'HDD-by Country'!$C$4:$C$40)/1000/AB$3</f>
        <v>14389.291788437526</v>
      </c>
      <c r="AC105" s="349">
        <f>AC99*24*LOOKUP(AC$2,'HDD-by Country'!$A$4:$A$40,'HDD-by Country'!$C$4:$C$40)/1000/AC$3</f>
        <v>8422.1549890048354</v>
      </c>
      <c r="AD105" s="349">
        <f>AD99*24*LOOKUP(AD$2,'HDD-by Country'!$A$4:$A$40,'HDD-by Country'!$C$4:$C$40)/1000/AD$3</f>
        <v>13220.270758529014</v>
      </c>
      <c r="AE105" s="349">
        <f>AE99*24*LOOKUP(AE$2,'HDD-by Country'!$A$4:$A$40,'HDD-by Country'!$C$4:$C$40)/1000/AE$3</f>
        <v>9582.3742167632809</v>
      </c>
      <c r="AF105" s="349">
        <f>AF99*24*LOOKUP(AF$2,'HDD-by Country'!$A$4:$A$40,'HDD-by Country'!$C$4:$C$40)/1000/AF$3</f>
        <v>12883.77986351244</v>
      </c>
      <c r="AG105" s="349">
        <f>AG99*24*LOOKUP(AG$2,'HDD-by Country'!$A$4:$A$40,'HDD-by Country'!$C$4:$C$40)/1000/AG$3</f>
        <v>15508.421761949525</v>
      </c>
      <c r="AH105" s="349">
        <f>AH99*24*LOOKUP(AH$2,'HDD-by Country'!$A$4:$A$40,'HDD-by Country'!$C$4:$C$40)/1000/AH$3</f>
        <v>14844.29303454299</v>
      </c>
      <c r="AI105" s="349">
        <f>AI99*24*LOOKUP(AI$2,'HDD-by Country'!$A$4:$A$40,'HDD-by Country'!$C$4:$C$40)/1000/AI$3</f>
        <v>12959.016150475038</v>
      </c>
      <c r="AJ105" s="349">
        <f>AJ99*24*LOOKUP(AJ$2,'HDD-by Country'!$A$4:$A$40,'HDD-by Country'!$C$4:$C$40)/1000/AJ$3</f>
        <v>9734.6268654714149</v>
      </c>
      <c r="AK105" s="349">
        <f>AK99*24*LOOKUP(AK$2,'HDD-by Country'!$A$4:$A$40,'HDD-by Country'!$C$4:$C$40)/1000/AK$3</f>
        <v>10592.119380503736</v>
      </c>
      <c r="AL105" s="349">
        <f>AL99*24*LOOKUP(AL$2,'HDD-by Country'!$A$4:$A$40,'HDD-by Country'!$C$4:$C$40)/1000/AL$3</f>
        <v>9993.5877187019541</v>
      </c>
      <c r="AM105" s="349">
        <f>AM99*24*LOOKUP(AM$2,'HDD-by Country'!$A$4:$A$40,'HDD-by Country'!$C$4:$C$40)/1000/AM$3</f>
        <v>8951.7256630806605</v>
      </c>
      <c r="AN105" s="354">
        <f>AN99*24*LOOKUP(AN$2,'HDD-by Country'!$A$4:$A$40,'HDD-by Country'!$C$4:$C$40)/1000/AN$3</f>
        <v>8951.7256630806605</v>
      </c>
    </row>
    <row r="106" spans="1:40">
      <c r="A106" s="129"/>
      <c r="B106" s="142" t="s">
        <v>4</v>
      </c>
      <c r="C106" s="129" t="s">
        <v>261</v>
      </c>
      <c r="D106" s="345">
        <f>D100*24*LOOKUP(D$2,'HDD-by Country'!$A$4:$A$40,'HDD-by Country'!$C$4:$C$40)/1000/D$3</f>
        <v>14440.092325770353</v>
      </c>
      <c r="E106" s="349">
        <f>E100*24*LOOKUP(E$2,'HDD-by Country'!$A$4:$A$40,'HDD-by Country'!$C$4:$C$40)/1000/E$3</f>
        <v>16993.932630230145</v>
      </c>
      <c r="F106" s="349">
        <f>F100*24*LOOKUP(F$2,'HDD-by Country'!$A$4:$A$40,'HDD-by Country'!$C$4:$C$40)/1000/F$3</f>
        <v>8815.0734175340858</v>
      </c>
      <c r="G106" s="349">
        <f>G100*24*LOOKUP(G$2,'HDD-by Country'!$A$4:$A$40,'HDD-by Country'!$C$4:$C$40)/1000/G$3</f>
        <v>14547.292566550974</v>
      </c>
      <c r="H106" s="349">
        <f>H100*24*LOOKUP(H$2,'HDD-by Country'!$A$4:$A$40,'HDD-by Country'!$C$4:$C$40)/1000/H$3</f>
        <v>5019.1653735353066</v>
      </c>
      <c r="I106" s="349">
        <f>I100*24*LOOKUP(I$2,'HDD-by Country'!$A$4:$A$40,'HDD-by Country'!$C$4:$C$40)/1000/I$3</f>
        <v>11009.189346948981</v>
      </c>
      <c r="J106" s="349">
        <f>J100*24*LOOKUP(J$2,'HDD-by Country'!$A$4:$A$40,'HDD-by Country'!$C$4:$C$40)/1000/J$3</f>
        <v>10226.15324532353</v>
      </c>
      <c r="K106" s="349">
        <f>K100*24*LOOKUP(K$2,'HDD-by Country'!$A$4:$A$40,'HDD-by Country'!$C$4:$C$40)/1000/K$3</f>
        <v>6840.756499872693</v>
      </c>
      <c r="L106" s="349">
        <f>L100*24*LOOKUP(L$2,'HDD-by Country'!$A$4:$A$40,'HDD-by Country'!$C$4:$C$40)/1000/L$3</f>
        <v>5424.7206265161985</v>
      </c>
      <c r="M106" s="349">
        <f>M100*24*LOOKUP(M$2,'HDD-by Country'!$A$4:$A$40,'HDD-by Country'!$C$4:$C$40)/1000/M$3</f>
        <v>15562.628089407257</v>
      </c>
      <c r="N106" s="349">
        <f>N100*24*LOOKUP(N$2,'HDD-by Country'!$A$4:$A$40,'HDD-by Country'!$C$4:$C$40)/1000/N$3</f>
        <v>8833.452942989692</v>
      </c>
      <c r="O106" s="349">
        <f>O100*24*LOOKUP(O$2,'HDD-by Country'!$A$4:$A$40,'HDD-by Country'!$C$4:$C$40)/1000/O$3</f>
        <v>9300.9015567209008</v>
      </c>
      <c r="P106" s="349">
        <f>P100*24*LOOKUP(P$2,'HDD-by Country'!$A$4:$A$40,'HDD-by Country'!$C$4:$C$40)/1000/P$3</f>
        <v>13510.529834378049</v>
      </c>
      <c r="Q106" s="349">
        <f>Q100*24*LOOKUP(Q$2,'HDD-by Country'!$A$4:$A$40,'HDD-by Country'!$C$4:$C$40)/1000/Q$3</f>
        <v>7941.8128022447445</v>
      </c>
      <c r="R106" s="349">
        <f>R100*24*LOOKUP(R$2,'HDD-by Country'!$A$4:$A$40,'HDD-by Country'!$C$4:$C$40)/1000/R$3</f>
        <v>11262.694015355351</v>
      </c>
      <c r="S106" s="349">
        <f>S100*24*LOOKUP(S$2,'HDD-by Country'!$A$4:$A$40,'HDD-by Country'!$C$4:$C$40)/1000/S$3</f>
        <v>15339.726966612339</v>
      </c>
      <c r="T106" s="349">
        <f>T100*24*LOOKUP(T$2,'HDD-by Country'!$A$4:$A$40,'HDD-by Country'!$C$4:$C$40)/1000/T$3</f>
        <v>7572.2697700426825</v>
      </c>
      <c r="U106" s="349">
        <f>U100*24*LOOKUP(U$2,'HDD-by Country'!$A$4:$A$40,'HDD-by Country'!$C$4:$C$40)/1000/U$3</f>
        <v>11909.939229147798</v>
      </c>
      <c r="V106" s="349">
        <f>V100*24*LOOKUP(V$2,'HDD-by Country'!$A$4:$A$40,'HDD-by Country'!$C$4:$C$40)/1000/V$3</f>
        <v>8313.4112335530535</v>
      </c>
      <c r="W106" s="349">
        <f>W100*24*LOOKUP(W$2,'HDD-by Country'!$A$4:$A$40,'HDD-by Country'!$C$4:$C$40)/1000/W$3</f>
        <v>7171.7368322609991</v>
      </c>
      <c r="X106" s="349">
        <f>X100*24*LOOKUP(X$2,'HDD-by Country'!$A$4:$A$40,'HDD-by Country'!$C$4:$C$40)/1000/X$3</f>
        <v>13092.461875875875</v>
      </c>
      <c r="Y106" s="349">
        <f>Y100*24*LOOKUP(Y$2,'HDD-by Country'!$A$4:$A$40,'HDD-by Country'!$C$4:$C$40)/1000/Y$3</f>
        <v>4495.0936860278944</v>
      </c>
      <c r="Z106" s="349">
        <f>Z100*24*LOOKUP(Z$2,'HDD-by Country'!$A$4:$A$40,'HDD-by Country'!$C$4:$C$40)/1000/Z$3</f>
        <v>15577.096626418685</v>
      </c>
      <c r="AA106" s="349">
        <f>AA100*24*LOOKUP(AA$2,'HDD-by Country'!$A$4:$A$40,'HDD-by Country'!$C$4:$C$40)/1000/AA$3</f>
        <v>6420.1193630191883</v>
      </c>
      <c r="AB106" s="349">
        <f>AB100*24*LOOKUP(AB$2,'HDD-by Country'!$A$4:$A$40,'HDD-by Country'!$C$4:$C$40)/1000/AB$3</f>
        <v>9728.5663783175496</v>
      </c>
      <c r="AC106" s="349">
        <f>AC100*24*LOOKUP(AC$2,'HDD-by Country'!$A$4:$A$40,'HDD-by Country'!$C$4:$C$40)/1000/AC$3</f>
        <v>8419.5431297771265</v>
      </c>
      <c r="AD106" s="349">
        <f>AD100*24*LOOKUP(AD$2,'HDD-by Country'!$A$4:$A$40,'HDD-by Country'!$C$4:$C$40)/1000/AD$3</f>
        <v>13220.270758529014</v>
      </c>
      <c r="AE106" s="349">
        <f>AE100*24*LOOKUP(AE$2,'HDD-by Country'!$A$4:$A$40,'HDD-by Country'!$C$4:$C$40)/1000/AE$3</f>
        <v>6090.4621618060255</v>
      </c>
      <c r="AF106" s="349">
        <f>AF100*24*LOOKUP(AF$2,'HDD-by Country'!$A$4:$A$40,'HDD-by Country'!$C$4:$C$40)/1000/AF$3</f>
        <v>12195.228234153758</v>
      </c>
      <c r="AG106" s="349">
        <f>AG100*24*LOOKUP(AG$2,'HDD-by Country'!$A$4:$A$40,'HDD-by Country'!$C$4:$C$40)/1000/AG$3</f>
        <v>15508.421761949525</v>
      </c>
      <c r="AH106" s="349">
        <f>AH100*24*LOOKUP(AH$2,'HDD-by Country'!$A$4:$A$40,'HDD-by Country'!$C$4:$C$40)/1000/AH$3</f>
        <v>12609.6079555255</v>
      </c>
      <c r="AI106" s="349">
        <f>AI100*24*LOOKUP(AI$2,'HDD-by Country'!$A$4:$A$40,'HDD-by Country'!$C$4:$C$40)/1000/AI$3</f>
        <v>12959.016150475038</v>
      </c>
      <c r="AJ106" s="349">
        <f>AJ100*24*LOOKUP(AJ$2,'HDD-by Country'!$A$4:$A$40,'HDD-by Country'!$C$4:$C$40)/1000/AJ$3</f>
        <v>9734.6268654714149</v>
      </c>
      <c r="AK106" s="349">
        <f>AK100*24*LOOKUP(AK$2,'HDD-by Country'!$A$4:$A$40,'HDD-by Country'!$C$4:$C$40)/1000/AK$3</f>
        <v>10592.119380503736</v>
      </c>
      <c r="AL106" s="349">
        <f>AL100*24*LOOKUP(AL$2,'HDD-by Country'!$A$4:$A$40,'HDD-by Country'!$C$4:$C$40)/1000/AL$3</f>
        <v>9278.0745184139178</v>
      </c>
      <c r="AM106" s="349">
        <f>AM100*24*LOOKUP(AM$2,'HDD-by Country'!$A$4:$A$40,'HDD-by Country'!$C$4:$C$40)/1000/AM$3</f>
        <v>8951.7256630806605</v>
      </c>
      <c r="AN106" s="354">
        <f>AN100*24*LOOKUP(AN$2,'HDD-by Country'!$A$4:$A$40,'HDD-by Country'!$C$4:$C$40)/1000/AN$3</f>
        <v>8951.7256630806605</v>
      </c>
    </row>
    <row r="107" spans="1:40">
      <c r="A107" s="129"/>
      <c r="B107" s="142" t="s">
        <v>5</v>
      </c>
      <c r="C107" s="129" t="s">
        <v>261</v>
      </c>
      <c r="D107" s="345">
        <f>D101*24*LOOKUP(D$2,'HDD-by Country'!$A$4:$A$40,'HDD-by Country'!$C$4:$C$40)/1000/D$3</f>
        <v>9162.5628682637089</v>
      </c>
      <c r="E107" s="349">
        <f>E101*24*LOOKUP(E$2,'HDD-by Country'!$A$4:$A$40,'HDD-by Country'!$C$4:$C$40)/1000/E$3</f>
        <v>14604.191660618968</v>
      </c>
      <c r="F107" s="349">
        <f>F101*24*LOOKUP(F$2,'HDD-by Country'!$A$4:$A$40,'HDD-by Country'!$C$4:$C$40)/1000/F$3</f>
        <v>7006.6557985898044</v>
      </c>
      <c r="G107" s="349">
        <f>G101*24*LOOKUP(G$2,'HDD-by Country'!$A$4:$A$40,'HDD-by Country'!$C$4:$C$40)/1000/G$3</f>
        <v>9219.5553813185561</v>
      </c>
      <c r="H107" s="349">
        <f>H101*24*LOOKUP(H$2,'HDD-by Country'!$A$4:$A$40,'HDD-by Country'!$C$4:$C$40)/1000/H$3</f>
        <v>4682.9381686183679</v>
      </c>
      <c r="I107" s="349">
        <f>I101*24*LOOKUP(I$2,'HDD-by Country'!$A$4:$A$40,'HDD-by Country'!$C$4:$C$40)/1000/I$3</f>
        <v>9440.9363940110325</v>
      </c>
      <c r="J107" s="349">
        <f>J101*24*LOOKUP(J$2,'HDD-by Country'!$A$4:$A$40,'HDD-by Country'!$C$4:$C$40)/1000/J$3</f>
        <v>7788.1754632931015</v>
      </c>
      <c r="K107" s="349">
        <f>K101*24*LOOKUP(K$2,'HDD-by Country'!$A$4:$A$40,'HDD-by Country'!$C$4:$C$40)/1000/K$3</f>
        <v>5319.567623377432</v>
      </c>
      <c r="L107" s="349">
        <f>L101*24*LOOKUP(L$2,'HDD-by Country'!$A$4:$A$40,'HDD-by Country'!$C$4:$C$40)/1000/L$3</f>
        <v>4324.5087623738373</v>
      </c>
      <c r="M107" s="349">
        <f>M101*24*LOOKUP(M$2,'HDD-by Country'!$A$4:$A$40,'HDD-by Country'!$C$4:$C$40)/1000/M$3</f>
        <v>9257.2214790509024</v>
      </c>
      <c r="N107" s="349">
        <f>N101*24*LOOKUP(N$2,'HDD-by Country'!$A$4:$A$40,'HDD-by Country'!$C$4:$C$40)/1000/N$3</f>
        <v>7075.196884635021</v>
      </c>
      <c r="O107" s="349">
        <f>O101*24*LOOKUP(O$2,'HDD-by Country'!$A$4:$A$40,'HDD-by Country'!$C$4:$C$40)/1000/O$3</f>
        <v>7860.9087169569457</v>
      </c>
      <c r="P107" s="349">
        <f>P101*24*LOOKUP(P$2,'HDD-by Country'!$A$4:$A$40,'HDD-by Country'!$C$4:$C$40)/1000/P$3</f>
        <v>12817.716227323741</v>
      </c>
      <c r="Q107" s="349">
        <f>Q101*24*LOOKUP(Q$2,'HDD-by Country'!$A$4:$A$40,'HDD-by Country'!$C$4:$C$40)/1000/Q$3</f>
        <v>7941.8128022447445</v>
      </c>
      <c r="R107" s="349">
        <f>R101*24*LOOKUP(R$2,'HDD-by Country'!$A$4:$A$40,'HDD-by Country'!$C$4:$C$40)/1000/R$3</f>
        <v>7825.8389455322786</v>
      </c>
      <c r="S107" s="349">
        <f>S101*24*LOOKUP(S$2,'HDD-by Country'!$A$4:$A$40,'HDD-by Country'!$C$4:$C$40)/1000/S$3</f>
        <v>10108.809722123789</v>
      </c>
      <c r="T107" s="349">
        <f>T101*24*LOOKUP(T$2,'HDD-by Country'!$A$4:$A$40,'HDD-by Country'!$C$4:$C$40)/1000/T$3</f>
        <v>6065.4385271425153</v>
      </c>
      <c r="U107" s="349">
        <f>U101*24*LOOKUP(U$2,'HDD-by Country'!$A$4:$A$40,'HDD-by Country'!$C$4:$C$40)/1000/U$3</f>
        <v>9325.0090012022702</v>
      </c>
      <c r="V107" s="349">
        <f>V101*24*LOOKUP(V$2,'HDD-by Country'!$A$4:$A$40,'HDD-by Country'!$C$4:$C$40)/1000/V$3</f>
        <v>8313.4112335530535</v>
      </c>
      <c r="W107" s="349">
        <f>W101*24*LOOKUP(W$2,'HDD-by Country'!$A$4:$A$40,'HDD-by Country'!$C$4:$C$40)/1000/W$3</f>
        <v>6688.9278344637296</v>
      </c>
      <c r="X107" s="349">
        <f>X101*24*LOOKUP(X$2,'HDD-by Country'!$A$4:$A$40,'HDD-by Country'!$C$4:$C$40)/1000/X$3</f>
        <v>6883.8004543039269</v>
      </c>
      <c r="Y107" s="349">
        <f>Y101*24*LOOKUP(Y$2,'HDD-by Country'!$A$4:$A$40,'HDD-by Country'!$C$4:$C$40)/1000/Y$3</f>
        <v>3777.3878795651617</v>
      </c>
      <c r="Z107" s="349">
        <f>Z101*24*LOOKUP(Z$2,'HDD-by Country'!$A$4:$A$40,'HDD-by Country'!$C$4:$C$40)/1000/Z$3</f>
        <v>9151.3433011127363</v>
      </c>
      <c r="AA107" s="349">
        <f>AA101*24*LOOKUP(AA$2,'HDD-by Country'!$A$4:$A$40,'HDD-by Country'!$C$4:$C$40)/1000/AA$3</f>
        <v>6420.1193630191883</v>
      </c>
      <c r="AB107" s="349">
        <f>AB101*24*LOOKUP(AB$2,'HDD-by Country'!$A$4:$A$40,'HDD-by Country'!$C$4:$C$40)/1000/AB$3</f>
        <v>9728.5663783175496</v>
      </c>
      <c r="AC107" s="349">
        <f>AC101*24*LOOKUP(AC$2,'HDD-by Country'!$A$4:$A$40,'HDD-by Country'!$C$4:$C$40)/1000/AC$3</f>
        <v>8138.2471864006575</v>
      </c>
      <c r="AD107" s="349">
        <f>AD101*24*LOOKUP(AD$2,'HDD-by Country'!$A$4:$A$40,'HDD-by Country'!$C$4:$C$40)/1000/AD$3</f>
        <v>10661.147891939099</v>
      </c>
      <c r="AE107" s="349">
        <f>AE101*24*LOOKUP(AE$2,'HDD-by Country'!$A$4:$A$40,'HDD-by Country'!$C$4:$C$40)/1000/AE$3</f>
        <v>6090.4621618060255</v>
      </c>
      <c r="AF107" s="349">
        <f>AF101*24*LOOKUP(AF$2,'HDD-by Country'!$A$4:$A$40,'HDD-by Country'!$C$4:$C$40)/1000/AF$3</f>
        <v>8930.0442730225095</v>
      </c>
      <c r="AG107" s="349">
        <f>AG101*24*LOOKUP(AG$2,'HDD-by Country'!$A$4:$A$40,'HDD-by Country'!$C$4:$C$40)/1000/AG$3</f>
        <v>14125.944959451352</v>
      </c>
      <c r="AH107" s="349">
        <f>AH101*24*LOOKUP(AH$2,'HDD-by Country'!$A$4:$A$40,'HDD-by Country'!$C$4:$C$40)/1000/AH$3</f>
        <v>6117.2138056229023</v>
      </c>
      <c r="AI107" s="349">
        <f>AI101*24*LOOKUP(AI$2,'HDD-by Country'!$A$4:$A$40,'HDD-by Country'!$C$4:$C$40)/1000/AI$3</f>
        <v>12266.202543420732</v>
      </c>
      <c r="AJ107" s="349">
        <f>AJ101*24*LOOKUP(AJ$2,'HDD-by Country'!$A$4:$A$40,'HDD-by Country'!$C$4:$C$40)/1000/AJ$3</f>
        <v>8457.6265545435072</v>
      </c>
      <c r="AK107" s="349">
        <f>AK101*24*LOOKUP(AK$2,'HDD-by Country'!$A$4:$A$40,'HDD-by Country'!$C$4:$C$40)/1000/AK$3</f>
        <v>9227.7033733275803</v>
      </c>
      <c r="AL107" s="349">
        <f>AL101*24*LOOKUP(AL$2,'HDD-by Country'!$A$4:$A$40,'HDD-by Country'!$C$4:$C$40)/1000/AL$3</f>
        <v>7366.0817599098764</v>
      </c>
      <c r="AM107" s="349">
        <f>AM101*24*LOOKUP(AM$2,'HDD-by Country'!$A$4:$A$40,'HDD-by Country'!$C$4:$C$40)/1000/AM$3</f>
        <v>7777.4272936544849</v>
      </c>
      <c r="AN107" s="354">
        <f>AN101*24*LOOKUP(AN$2,'HDD-by Country'!$A$4:$A$40,'HDD-by Country'!$C$4:$C$40)/1000/AN$3</f>
        <v>7777.4272936544849</v>
      </c>
    </row>
    <row r="108" spans="1:40">
      <c r="A108" s="129"/>
      <c r="B108" s="142" t="s">
        <v>6</v>
      </c>
      <c r="C108" s="129" t="s">
        <v>261</v>
      </c>
      <c r="D108" s="345">
        <f>D102*24*LOOKUP(D$2,'HDD-by Country'!$A$4:$A$40,'HDD-by Country'!$C$4:$C$40)/1000/D$3</f>
        <v>7506.9396901339023</v>
      </c>
      <c r="E108" s="349">
        <f>E102*24*LOOKUP(E$2,'HDD-by Country'!$A$4:$A$40,'HDD-by Country'!$C$4:$C$40)/1000/E$3</f>
        <v>14604.191660618968</v>
      </c>
      <c r="F108" s="349">
        <f>F102*24*LOOKUP(F$2,'HDD-by Country'!$A$4:$A$40,'HDD-by Country'!$C$4:$C$40)/1000/F$3</f>
        <v>5480.6768762645443</v>
      </c>
      <c r="G108" s="349">
        <f>G102*24*LOOKUP(G$2,'HDD-by Country'!$A$4:$A$40,'HDD-by Country'!$C$4:$C$40)/1000/G$3</f>
        <v>7554.8180073105841</v>
      </c>
      <c r="H108" s="349">
        <f>H102*24*LOOKUP(H$2,'HDD-by Country'!$A$4:$A$40,'HDD-by Country'!$C$4:$C$40)/1000/H$3</f>
        <v>4682.9381686183679</v>
      </c>
      <c r="I108" s="349">
        <f>I102*24*LOOKUP(I$2,'HDD-by Country'!$A$4:$A$40,'HDD-by Country'!$C$4:$C$40)/1000/I$3</f>
        <v>6757.8393682513752</v>
      </c>
      <c r="J108" s="349">
        <f>J102*24*LOOKUP(J$2,'HDD-by Country'!$A$4:$A$40,'HDD-by Country'!$C$4:$C$40)/1000/J$3</f>
        <v>4237.7919553197517</v>
      </c>
      <c r="K108" s="349">
        <f>K102*24*LOOKUP(K$2,'HDD-by Country'!$A$4:$A$40,'HDD-by Country'!$C$4:$C$40)/1000/K$3</f>
        <v>5319.567623377432</v>
      </c>
      <c r="L108" s="349">
        <f>L102*24*LOOKUP(L$2,'HDD-by Country'!$A$4:$A$40,'HDD-by Country'!$C$4:$C$40)/1000/L$3</f>
        <v>3635.7828637609659</v>
      </c>
      <c r="M108" s="349">
        <f>M102*24*LOOKUP(M$2,'HDD-by Country'!$A$4:$A$40,'HDD-by Country'!$C$4:$C$40)/1000/M$3</f>
        <v>9257.2214790509024</v>
      </c>
      <c r="N108" s="349">
        <f>N102*24*LOOKUP(N$2,'HDD-by Country'!$A$4:$A$40,'HDD-by Country'!$C$4:$C$40)/1000/N$3</f>
        <v>6942.1672898519673</v>
      </c>
      <c r="O108" s="349">
        <f>O102*24*LOOKUP(O$2,'HDD-by Country'!$A$4:$A$40,'HDD-by Country'!$C$4:$C$40)/1000/O$3</f>
        <v>4168.3792267413028</v>
      </c>
      <c r="P108" s="349">
        <f>P102*24*LOOKUP(P$2,'HDD-by Country'!$A$4:$A$40,'HDD-by Country'!$C$4:$C$40)/1000/P$3</f>
        <v>12817.716227323741</v>
      </c>
      <c r="Q108" s="349">
        <f>Q102*24*LOOKUP(Q$2,'HDD-by Country'!$A$4:$A$40,'HDD-by Country'!$C$4:$C$40)/1000/Q$3</f>
        <v>5474.166994827995</v>
      </c>
      <c r="R108" s="349">
        <f>R102*24*LOOKUP(R$2,'HDD-by Country'!$A$4:$A$40,'HDD-by Country'!$C$4:$C$40)/1000/R$3</f>
        <v>7825.8389455322786</v>
      </c>
      <c r="S108" s="349">
        <f>S102*24*LOOKUP(S$2,'HDD-by Country'!$A$4:$A$40,'HDD-by Country'!$C$4:$C$40)/1000/S$3</f>
        <v>7991.5299762824025</v>
      </c>
      <c r="T108" s="349">
        <f>T102*24*LOOKUP(T$2,'HDD-by Country'!$A$4:$A$40,'HDD-by Country'!$C$4:$C$40)/1000/T$3</f>
        <v>5951.2237092794976</v>
      </c>
      <c r="U108" s="349">
        <f>U102*24*LOOKUP(U$2,'HDD-by Country'!$A$4:$A$40,'HDD-by Country'!$C$4:$C$40)/1000/U$3</f>
        <v>8668.9475553673255</v>
      </c>
      <c r="V108" s="349">
        <f>V102*24*LOOKUP(V$2,'HDD-by Country'!$A$4:$A$40,'HDD-by Country'!$C$4:$C$40)/1000/V$3</f>
        <v>8313.4112335530535</v>
      </c>
      <c r="W108" s="349">
        <f>W102*24*LOOKUP(W$2,'HDD-by Country'!$A$4:$A$40,'HDD-by Country'!$C$4:$C$40)/1000/W$3</f>
        <v>5791.366489624731</v>
      </c>
      <c r="X108" s="349">
        <f>X102*24*LOOKUP(X$2,'HDD-by Country'!$A$4:$A$40,'HDD-by Country'!$C$4:$C$40)/1000/X$3</f>
        <v>6854.1273898051177</v>
      </c>
      <c r="Y108" s="349">
        <f>Y102*24*LOOKUP(Y$2,'HDD-by Country'!$A$4:$A$40,'HDD-by Country'!$C$4:$C$40)/1000/Y$3</f>
        <v>3775.3278043582445</v>
      </c>
      <c r="Z108" s="349">
        <f>Z102*24*LOOKUP(Z$2,'HDD-by Country'!$A$4:$A$40,'HDD-by Country'!$C$4:$C$40)/1000/Z$3</f>
        <v>8292.7267936664921</v>
      </c>
      <c r="AA108" s="349">
        <f>AA102*24*LOOKUP(AA$2,'HDD-by Country'!$A$4:$A$40,'HDD-by Country'!$C$4:$C$40)/1000/AA$3</f>
        <v>5429.97875140213</v>
      </c>
      <c r="AB108" s="349">
        <f>AB102*24*LOOKUP(AB$2,'HDD-by Country'!$A$4:$A$40,'HDD-by Country'!$C$4:$C$40)/1000/AB$3</f>
        <v>9728.5663783175496</v>
      </c>
      <c r="AC108" s="349">
        <f>AC102*24*LOOKUP(AC$2,'HDD-by Country'!$A$4:$A$40,'HDD-by Country'!$C$4:$C$40)/1000/AC$3</f>
        <v>7402.8051703175151</v>
      </c>
      <c r="AD108" s="349">
        <f>AD102*24*LOOKUP(AD$2,'HDD-by Country'!$A$4:$A$40,'HDD-by Country'!$C$4:$C$40)/1000/AD$3</f>
        <v>10661.147891939099</v>
      </c>
      <c r="AE108" s="349">
        <f>AE102*24*LOOKUP(AE$2,'HDD-by Country'!$A$4:$A$40,'HDD-by Country'!$C$4:$C$40)/1000/AE$3</f>
        <v>5149.7649396293327</v>
      </c>
      <c r="AF108" s="349">
        <f>AF102*24*LOOKUP(AF$2,'HDD-by Country'!$A$4:$A$40,'HDD-by Country'!$C$4:$C$40)/1000/AF$3</f>
        <v>6098.7554487660445</v>
      </c>
      <c r="AG108" s="349">
        <f>AG102*24*LOOKUP(AG$2,'HDD-by Country'!$A$4:$A$40,'HDD-by Country'!$C$4:$C$40)/1000/AG$3</f>
        <v>13128.489238445547</v>
      </c>
      <c r="AH108" s="349">
        <f>AH102*24*LOOKUP(AH$2,'HDD-by Country'!$A$4:$A$40,'HDD-by Country'!$C$4:$C$40)/1000/AH$3</f>
        <v>5096.0274057298266</v>
      </c>
      <c r="AI108" s="349">
        <f>AI102*24*LOOKUP(AI$2,'HDD-by Country'!$A$4:$A$40,'HDD-by Country'!$C$4:$C$40)/1000/AI$3</f>
        <v>12266.202543420732</v>
      </c>
      <c r="AJ108" s="349">
        <f>AJ102*24*LOOKUP(AJ$2,'HDD-by Country'!$A$4:$A$40,'HDD-by Country'!$C$4:$C$40)/1000/AJ$3</f>
        <v>7964.597974586115</v>
      </c>
      <c r="AK108" s="349">
        <f>AK102*24*LOOKUP(AK$2,'HDD-by Country'!$A$4:$A$40,'HDD-by Country'!$C$4:$C$40)/1000/AK$3</f>
        <v>8703.3817811906065</v>
      </c>
      <c r="AL108" s="349">
        <f>AL102*24*LOOKUP(AL$2,'HDD-by Country'!$A$4:$A$40,'HDD-by Country'!$C$4:$C$40)/1000/AL$3</f>
        <v>5755.4118889426354</v>
      </c>
      <c r="AM108" s="349">
        <f>AM102*24*LOOKUP(AM$2,'HDD-by Country'!$A$4:$A$40,'HDD-by Country'!$C$4:$C$40)/1000/AM$3</f>
        <v>7324.0502250899699</v>
      </c>
      <c r="AN108" s="354">
        <f>AN102*24*LOOKUP(AN$2,'HDD-by Country'!$A$4:$A$40,'HDD-by Country'!$C$4:$C$40)/1000/AN$3</f>
        <v>7324.0502250899699</v>
      </c>
    </row>
    <row r="109" spans="1:40">
      <c r="A109" s="130"/>
      <c r="B109" s="142" t="s">
        <v>7</v>
      </c>
      <c r="C109" s="129" t="s">
        <v>261</v>
      </c>
      <c r="D109" s="345">
        <f>D103*24*LOOKUP(D$2,'HDD-by Country'!$A$4:$A$40,'HDD-by Country'!$C$4:$C$40)/1000/D$3</f>
        <v>6533.5645531728323</v>
      </c>
      <c r="E109" s="349">
        <f>E103*24*LOOKUP(E$2,'HDD-by Country'!$A$4:$A$40,'HDD-by Country'!$C$4:$C$40)/1000/E$3</f>
        <v>8358.7212100087618</v>
      </c>
      <c r="F109" s="349">
        <f>F103*24*LOOKUP(F$2,'HDD-by Country'!$A$4:$A$40,'HDD-by Country'!$C$4:$C$40)/1000/F$3</f>
        <v>3382.9155257843831</v>
      </c>
      <c r="G109" s="349">
        <f>G103*24*LOOKUP(G$2,'HDD-by Country'!$A$4:$A$40,'HDD-by Country'!$C$4:$C$40)/1000/G$3</f>
        <v>6569.7801642042687</v>
      </c>
      <c r="H109" s="349">
        <f>H103*24*LOOKUP(H$2,'HDD-by Country'!$A$4:$A$40,'HDD-by Country'!$C$4:$C$40)/1000/H$3</f>
        <v>2983.0398254312972</v>
      </c>
      <c r="I109" s="349">
        <f>I103*24*LOOKUP(I$2,'HDD-by Country'!$A$4:$A$40,'HDD-by Country'!$C$4:$C$40)/1000/I$3</f>
        <v>5425.9597161793563</v>
      </c>
      <c r="J109" s="349">
        <f>J103*24*LOOKUP(J$2,'HDD-by Country'!$A$4:$A$40,'HDD-by Country'!$C$4:$C$40)/1000/J$3</f>
        <v>4728.2579231000873</v>
      </c>
      <c r="K109" s="349">
        <f>K103*24*LOOKUP(K$2,'HDD-by Country'!$A$4:$A$40,'HDD-by Country'!$C$4:$C$40)/1000/K$3</f>
        <v>3766.3456899147805</v>
      </c>
      <c r="L109" s="349">
        <f>L103*24*LOOKUP(L$2,'HDD-by Country'!$A$4:$A$40,'HDD-by Country'!$C$4:$C$40)/1000/L$3</f>
        <v>3635.7828637609659</v>
      </c>
      <c r="M109" s="349">
        <f>M103*24*LOOKUP(M$2,'HDD-by Country'!$A$4:$A$40,'HDD-by Country'!$C$4:$C$40)/1000/M$3</f>
        <v>5692.3722348136171</v>
      </c>
      <c r="N109" s="349">
        <f>N103*24*LOOKUP(N$2,'HDD-by Country'!$A$4:$A$40,'HDD-by Country'!$C$4:$C$40)/1000/N$3</f>
        <v>6330.4402751716616</v>
      </c>
      <c r="O109" s="349">
        <f>O103*24*LOOKUP(O$2,'HDD-by Country'!$A$4:$A$40,'HDD-by Country'!$C$4:$C$40)/1000/O$3</f>
        <v>4037.24242084855</v>
      </c>
      <c r="P109" s="349">
        <f>P103*24*LOOKUP(P$2,'HDD-by Country'!$A$4:$A$40,'HDD-by Country'!$C$4:$C$40)/1000/P$3</f>
        <v>3775.4277112480931</v>
      </c>
      <c r="Q109" s="349">
        <f>Q103*24*LOOKUP(Q$2,'HDD-by Country'!$A$4:$A$40,'HDD-by Country'!$C$4:$C$40)/1000/Q$3</f>
        <v>3340.4319265354593</v>
      </c>
      <c r="R109" s="349">
        <f>R103*24*LOOKUP(R$2,'HDD-by Country'!$A$4:$A$40,'HDD-by Country'!$C$4:$C$40)/1000/R$3</f>
        <v>4809.9429416154298</v>
      </c>
      <c r="S109" s="349">
        <f>S103*24*LOOKUP(S$2,'HDD-by Country'!$A$4:$A$40,'HDD-by Country'!$C$4:$C$40)/1000/S$3</f>
        <v>4384.1752315441736</v>
      </c>
      <c r="T109" s="349">
        <f>T103*24*LOOKUP(T$2,'HDD-by Country'!$A$4:$A$40,'HDD-by Country'!$C$4:$C$40)/1000/T$3</f>
        <v>5425.8625093223955</v>
      </c>
      <c r="U109" s="349">
        <f>U103*24*LOOKUP(U$2,'HDD-by Country'!$A$4:$A$40,'HDD-by Country'!$C$4:$C$40)/1000/U$3</f>
        <v>8668.9475553673255</v>
      </c>
      <c r="V109" s="349">
        <f>V103*24*LOOKUP(V$2,'HDD-by Country'!$A$4:$A$40,'HDD-by Country'!$C$4:$C$40)/1000/V$3</f>
        <v>4280.8746166673764</v>
      </c>
      <c r="W109" s="349">
        <f>W103*24*LOOKUP(W$2,'HDD-by Country'!$A$4:$A$40,'HDD-by Country'!$C$4:$C$40)/1000/W$3</f>
        <v>4518.6892512388358</v>
      </c>
      <c r="X109" s="349">
        <f>X103*24*LOOKUP(X$2,'HDD-by Country'!$A$4:$A$40,'HDD-by Country'!$C$4:$C$40)/1000/X$3</f>
        <v>3947.4780235462345</v>
      </c>
      <c r="Y109" s="349">
        <f>Y103*24*LOOKUP(Y$2,'HDD-by Country'!$A$4:$A$40,'HDD-by Country'!$C$4:$C$40)/1000/Y$3</f>
        <v>3527.6879600997049</v>
      </c>
      <c r="Z109" s="349">
        <f>Z103*24*LOOKUP(Z$2,'HDD-by Country'!$A$4:$A$40,'HDD-by Country'!$C$4:$C$40)/1000/Z$3</f>
        <v>5450.9817918534973</v>
      </c>
      <c r="AA109" s="349">
        <f>AA103*24*LOOKUP(AA$2,'HDD-by Country'!$A$4:$A$40,'HDD-by Country'!$C$4:$C$40)/1000/AA$3</f>
        <v>5429.97875140213</v>
      </c>
      <c r="AB109" s="349">
        <f>AB103*24*LOOKUP(AB$2,'HDD-by Country'!$A$4:$A$40,'HDD-by Country'!$C$4:$C$40)/1000/AB$3</f>
        <v>6522.3810616226847</v>
      </c>
      <c r="AC109" s="349">
        <f>AC103*24*LOOKUP(AC$2,'HDD-by Country'!$A$4:$A$40,'HDD-by Country'!$C$4:$C$40)/1000/AC$3</f>
        <v>4891.6740822541469</v>
      </c>
      <c r="AD109" s="349">
        <f>AD103*24*LOOKUP(AD$2,'HDD-by Country'!$A$4:$A$40,'HDD-by Country'!$C$4:$C$40)/1000/AD$3</f>
        <v>8593.0406698804927</v>
      </c>
      <c r="AE109" s="349">
        <f>AE103*24*LOOKUP(AE$2,'HDD-by Country'!$A$4:$A$40,'HDD-by Country'!$C$4:$C$40)/1000/AE$3</f>
        <v>5149.7649396293327</v>
      </c>
      <c r="AF109" s="349">
        <f>AF103*24*LOOKUP(AF$2,'HDD-by Country'!$A$4:$A$40,'HDD-by Country'!$C$4:$C$40)/1000/AF$3</f>
        <v>3083.8102135398271</v>
      </c>
      <c r="AG109" s="349">
        <f>AG103*24*LOOKUP(AG$2,'HDD-by Country'!$A$4:$A$40,'HDD-by Country'!$C$4:$C$40)/1000/AG$3</f>
        <v>7723.7390501932832</v>
      </c>
      <c r="AH109" s="349">
        <f>AH103*24*LOOKUP(AH$2,'HDD-by Country'!$A$4:$A$40,'HDD-by Country'!$C$4:$C$40)/1000/AH$3</f>
        <v>4217.6328739093778</v>
      </c>
      <c r="AI109" s="349">
        <f>AI103*24*LOOKUP(AI$2,'HDD-by Country'!$A$4:$A$40,'HDD-by Country'!$C$4:$C$40)/1000/AI$3</f>
        <v>3625.014888365456</v>
      </c>
      <c r="AJ109" s="349">
        <f>AJ103*24*LOOKUP(AJ$2,'HDD-by Country'!$A$4:$A$40,'HDD-by Country'!$C$4:$C$40)/1000/AJ$3</f>
        <v>6994.3050925948919</v>
      </c>
      <c r="AK109" s="349">
        <f>AK103*24*LOOKUP(AK$2,'HDD-by Country'!$A$4:$A$40,'HDD-by Country'!$C$4:$C$40)/1000/AK$3</f>
        <v>7673.761251816537</v>
      </c>
      <c r="AL109" s="349">
        <f>AL103*24*LOOKUP(AL$2,'HDD-by Country'!$A$4:$A$40,'HDD-by Country'!$C$4:$C$40)/1000/AL$3</f>
        <v>3563.4979691608737</v>
      </c>
      <c r="AM109" s="349">
        <f>AM103*24*LOOKUP(AM$2,'HDD-by Country'!$A$4:$A$40,'HDD-by Country'!$C$4:$C$40)/1000/AM$3</f>
        <v>6431.7925338133036</v>
      </c>
      <c r="AN109" s="354">
        <f>AN103*24*LOOKUP(AN$2,'HDD-by Country'!$A$4:$A$40,'HDD-by Country'!$C$4:$C$40)/1000/AN$3</f>
        <v>6431.7925338133036</v>
      </c>
    </row>
    <row r="110" spans="1:40">
      <c r="A110" s="151" t="s">
        <v>260</v>
      </c>
      <c r="B110" s="141" t="s">
        <v>2</v>
      </c>
      <c r="C110" s="360" t="s">
        <v>261</v>
      </c>
      <c r="D110" s="351">
        <f>D104/(1.355*(D98/D$17)^0.16)</f>
        <v>14234.334565516885</v>
      </c>
      <c r="E110" s="352">
        <f t="shared" ref="E110:AN110" si="44">E104/(1.355*(E98/E$17)^0.16)</f>
        <v>12191.936914295731</v>
      </c>
      <c r="F110" s="352">
        <f t="shared" si="44"/>
        <v>6820.4969259203599</v>
      </c>
      <c r="G110" s="352">
        <f t="shared" si="44"/>
        <v>14334.278213986774</v>
      </c>
      <c r="H110" s="352">
        <f t="shared" si="44"/>
        <v>4052.2572199180222</v>
      </c>
      <c r="I110" s="352">
        <f t="shared" si="44"/>
        <v>10118.750388570432</v>
      </c>
      <c r="J110" s="352">
        <f t="shared" si="44"/>
        <v>12803.94981348691</v>
      </c>
      <c r="K110" s="352">
        <f t="shared" si="44"/>
        <v>9677.2133925450162</v>
      </c>
      <c r="L110" s="352">
        <f t="shared" si="44"/>
        <v>5999.8166173951622</v>
      </c>
      <c r="M110" s="352">
        <f t="shared" si="44"/>
        <v>11431.85257746862</v>
      </c>
      <c r="N110" s="352">
        <f t="shared" si="44"/>
        <v>10669.026495737415</v>
      </c>
      <c r="O110" s="352">
        <f t="shared" si="44"/>
        <v>14068.09705737028</v>
      </c>
      <c r="P110" s="352">
        <f t="shared" si="44"/>
        <v>8947.2550893295011</v>
      </c>
      <c r="Q110" s="352">
        <f t="shared" si="44"/>
        <v>5880.6188676418587</v>
      </c>
      <c r="R110" s="352">
        <f t="shared" si="44"/>
        <v>9397.0443958430114</v>
      </c>
      <c r="S110" s="352">
        <f t="shared" si="44"/>
        <v>11299.025076908523</v>
      </c>
      <c r="T110" s="352">
        <f t="shared" si="44"/>
        <v>9150.4213617725673</v>
      </c>
      <c r="U110" s="352">
        <f t="shared" si="44"/>
        <v>9377.0035004685742</v>
      </c>
      <c r="V110" s="352">
        <f t="shared" si="44"/>
        <v>10546.940267174701</v>
      </c>
      <c r="W110" s="352">
        <f t="shared" si="44"/>
        <v>10050.8758267499</v>
      </c>
      <c r="X110" s="352">
        <f t="shared" si="44"/>
        <v>10665.17861209006</v>
      </c>
      <c r="Y110" s="352">
        <f t="shared" si="44"/>
        <v>3733.9721059648659</v>
      </c>
      <c r="Z110" s="352">
        <f t="shared" si="44"/>
        <v>12929.260531794187</v>
      </c>
      <c r="AA110" s="352">
        <f t="shared" si="44"/>
        <v>8829.6671348588188</v>
      </c>
      <c r="AB110" s="352">
        <f t="shared" si="44"/>
        <v>12986.793484966069</v>
      </c>
      <c r="AC110" s="352">
        <f t="shared" si="44"/>
        <v>6544.2334697979441</v>
      </c>
      <c r="AD110" s="352">
        <f t="shared" si="44"/>
        <v>10402.046257273456</v>
      </c>
      <c r="AE110" s="352">
        <f t="shared" si="44"/>
        <v>8372.0017583751214</v>
      </c>
      <c r="AF110" s="352">
        <f t="shared" si="44"/>
        <v>9441.3117285363332</v>
      </c>
      <c r="AG110" s="352">
        <f t="shared" si="44"/>
        <v>13129.945670750687</v>
      </c>
      <c r="AH110" s="352">
        <f t="shared" si="44"/>
        <v>10031.090047563113</v>
      </c>
      <c r="AI110" s="352">
        <f t="shared" si="44"/>
        <v>8588.170467172411</v>
      </c>
      <c r="AJ110" s="352">
        <f t="shared" si="44"/>
        <v>7111.9773491873702</v>
      </c>
      <c r="AK110" s="352">
        <f t="shared" si="44"/>
        <v>7784.7554882483255</v>
      </c>
      <c r="AL110" s="352">
        <f t="shared" si="44"/>
        <v>7190.5967930484812</v>
      </c>
      <c r="AM110" s="352">
        <f t="shared" si="44"/>
        <v>6540.0010736709319</v>
      </c>
      <c r="AN110" s="353">
        <f t="shared" si="44"/>
        <v>6540.0010736709319</v>
      </c>
    </row>
    <row r="111" spans="1:40">
      <c r="A111" s="129"/>
      <c r="B111" s="142" t="s">
        <v>3</v>
      </c>
      <c r="C111" s="129" t="s">
        <v>261</v>
      </c>
      <c r="D111" s="345">
        <f t="shared" ref="D111:AN111" si="45">D105/(1.355*(D99/D$17)^0.16)</f>
        <v>13629.264235385599</v>
      </c>
      <c r="E111" s="349">
        <f t="shared" si="45"/>
        <v>12191.936914295731</v>
      </c>
      <c r="F111" s="349">
        <f t="shared" si="45"/>
        <v>6820.4969259203599</v>
      </c>
      <c r="G111" s="349">
        <f t="shared" si="45"/>
        <v>13744.193060694732</v>
      </c>
      <c r="H111" s="349">
        <f t="shared" si="45"/>
        <v>3750.9047825024827</v>
      </c>
      <c r="I111" s="349">
        <f t="shared" si="45"/>
        <v>8559.4389560405507</v>
      </c>
      <c r="J111" s="349">
        <f t="shared" si="45"/>
        <v>11234.387874329894</v>
      </c>
      <c r="K111" s="349">
        <f t="shared" si="45"/>
        <v>9423.2171225862239</v>
      </c>
      <c r="L111" s="349">
        <f t="shared" si="45"/>
        <v>5999.8166173951622</v>
      </c>
      <c r="M111" s="349">
        <f t="shared" si="45"/>
        <v>10531.120476124062</v>
      </c>
      <c r="N111" s="349">
        <f t="shared" si="45"/>
        <v>9422.9962848923387</v>
      </c>
      <c r="O111" s="349">
        <f t="shared" si="45"/>
        <v>14068.09705737028</v>
      </c>
      <c r="P111" s="349">
        <f t="shared" si="45"/>
        <v>8947.2550893295011</v>
      </c>
      <c r="Q111" s="349">
        <f t="shared" si="45"/>
        <v>6340.5972491873663</v>
      </c>
      <c r="R111" s="349">
        <f t="shared" si="45"/>
        <v>9397.0443958430114</v>
      </c>
      <c r="S111" s="349">
        <f t="shared" si="45"/>
        <v>11302.189827624195</v>
      </c>
      <c r="T111" s="349">
        <f t="shared" si="45"/>
        <v>8079.4420513769219</v>
      </c>
      <c r="U111" s="349">
        <f t="shared" si="45"/>
        <v>8870.8992008670266</v>
      </c>
      <c r="V111" s="349">
        <f t="shared" si="45"/>
        <v>10546.940267174701</v>
      </c>
      <c r="W111" s="349">
        <f t="shared" si="45"/>
        <v>11464.033829340768</v>
      </c>
      <c r="X111" s="349">
        <f t="shared" si="45"/>
        <v>10665.17861209006</v>
      </c>
      <c r="Y111" s="349">
        <f t="shared" si="45"/>
        <v>3733.8585003602316</v>
      </c>
      <c r="Z111" s="349">
        <f t="shared" si="45"/>
        <v>12091.361412594048</v>
      </c>
      <c r="AA111" s="349">
        <f t="shared" si="45"/>
        <v>8829.6671348588188</v>
      </c>
      <c r="AB111" s="349">
        <f t="shared" si="45"/>
        <v>10661.608482289448</v>
      </c>
      <c r="AC111" s="349">
        <f t="shared" si="45"/>
        <v>5925.7918821692447</v>
      </c>
      <c r="AD111" s="349">
        <f t="shared" si="45"/>
        <v>9352.2497895407378</v>
      </c>
      <c r="AE111" s="349">
        <f t="shared" si="45"/>
        <v>8372.0017583751214</v>
      </c>
      <c r="AF111" s="349">
        <f t="shared" si="45"/>
        <v>9441.3117285363332</v>
      </c>
      <c r="AG111" s="349">
        <f t="shared" si="45"/>
        <v>11255.598726250715</v>
      </c>
      <c r="AH111" s="349">
        <f t="shared" si="45"/>
        <v>10616.191872821415</v>
      </c>
      <c r="AI111" s="349">
        <f t="shared" si="45"/>
        <v>8588.170467172411</v>
      </c>
      <c r="AJ111" s="349">
        <f t="shared" si="45"/>
        <v>7111.9773491873702</v>
      </c>
      <c r="AK111" s="349">
        <f t="shared" si="45"/>
        <v>7784.7554882483255</v>
      </c>
      <c r="AL111" s="349">
        <f t="shared" si="45"/>
        <v>7190.5967930484812</v>
      </c>
      <c r="AM111" s="349">
        <f t="shared" si="45"/>
        <v>6540.0010736709319</v>
      </c>
      <c r="AN111" s="354">
        <f t="shared" si="45"/>
        <v>6540.0010736709319</v>
      </c>
    </row>
    <row r="112" spans="1:40">
      <c r="A112" s="129"/>
      <c r="B112" s="142" t="s">
        <v>4</v>
      </c>
      <c r="C112" s="129" t="s">
        <v>261</v>
      </c>
      <c r="D112" s="345">
        <f t="shared" ref="D112:AN112" si="46">D106/(1.355*(D100/D$17)^0.16)</f>
        <v>10987.222528096732</v>
      </c>
      <c r="E112" s="349">
        <f t="shared" si="46"/>
        <v>12191.936914295731</v>
      </c>
      <c r="F112" s="349">
        <f t="shared" si="46"/>
        <v>6408.7243842411917</v>
      </c>
      <c r="G112" s="349">
        <f t="shared" si="46"/>
        <v>11075.093228448555</v>
      </c>
      <c r="H112" s="349">
        <f t="shared" si="46"/>
        <v>3444.8622523235813</v>
      </c>
      <c r="I112" s="349">
        <f t="shared" si="46"/>
        <v>8559.4389560405507</v>
      </c>
      <c r="J112" s="349">
        <f t="shared" si="46"/>
        <v>8024.7785413502916</v>
      </c>
      <c r="K112" s="349">
        <f t="shared" si="46"/>
        <v>5934.7301893022695</v>
      </c>
      <c r="L112" s="349">
        <f t="shared" si="46"/>
        <v>4788.1153803643756</v>
      </c>
      <c r="M112" s="349">
        <f t="shared" si="46"/>
        <v>10531.120476124062</v>
      </c>
      <c r="N112" s="349">
        <f t="shared" si="46"/>
        <v>7682.8372582969123</v>
      </c>
      <c r="O112" s="349">
        <f t="shared" si="46"/>
        <v>7128.8953563183641</v>
      </c>
      <c r="P112" s="349">
        <f t="shared" si="46"/>
        <v>8947.2550893295011</v>
      </c>
      <c r="Q112" s="349">
        <f t="shared" si="46"/>
        <v>5881.4958058311113</v>
      </c>
      <c r="R112" s="349">
        <f t="shared" si="46"/>
        <v>8352.0380458305226</v>
      </c>
      <c r="S112" s="349">
        <f t="shared" si="46"/>
        <v>11246.967785829433</v>
      </c>
      <c r="T112" s="349">
        <f t="shared" si="46"/>
        <v>6587.3923117456507</v>
      </c>
      <c r="U112" s="349">
        <f t="shared" si="46"/>
        <v>8478.6609300214932</v>
      </c>
      <c r="V112" s="349">
        <f t="shared" si="46"/>
        <v>6874.2783739672013</v>
      </c>
      <c r="W112" s="349">
        <f t="shared" si="46"/>
        <v>5839.4976175878519</v>
      </c>
      <c r="X112" s="349">
        <f t="shared" si="46"/>
        <v>10111.721461981628</v>
      </c>
      <c r="Y112" s="349">
        <f t="shared" si="46"/>
        <v>3043.925682120514</v>
      </c>
      <c r="Z112" s="349">
        <f t="shared" si="46"/>
        <v>11433.891132548344</v>
      </c>
      <c r="AA112" s="349">
        <f t="shared" si="46"/>
        <v>6034.6680476360943</v>
      </c>
      <c r="AB112" s="349">
        <f t="shared" si="46"/>
        <v>7674.1564541176385</v>
      </c>
      <c r="AC112" s="349">
        <f t="shared" si="46"/>
        <v>5924.2481818529504</v>
      </c>
      <c r="AD112" s="349">
        <f t="shared" si="46"/>
        <v>9352.2497895407378</v>
      </c>
      <c r="AE112" s="349">
        <f t="shared" si="46"/>
        <v>5721.34443097433</v>
      </c>
      <c r="AF112" s="349">
        <f t="shared" si="46"/>
        <v>9015.618211132165</v>
      </c>
      <c r="AG112" s="349">
        <f t="shared" si="46"/>
        <v>11255.598726250715</v>
      </c>
      <c r="AH112" s="349">
        <f t="shared" si="46"/>
        <v>9256.5274625612674</v>
      </c>
      <c r="AI112" s="349">
        <f t="shared" si="46"/>
        <v>8588.170467172411</v>
      </c>
      <c r="AJ112" s="349">
        <f t="shared" si="46"/>
        <v>7111.9773491873702</v>
      </c>
      <c r="AK112" s="349">
        <f t="shared" si="46"/>
        <v>7784.7554882483255</v>
      </c>
      <c r="AL112" s="349">
        <f t="shared" si="46"/>
        <v>6755.5939142756351</v>
      </c>
      <c r="AM112" s="349">
        <f t="shared" si="46"/>
        <v>6540.0010736709319</v>
      </c>
      <c r="AN112" s="354">
        <f t="shared" si="46"/>
        <v>6540.0010736709319</v>
      </c>
    </row>
    <row r="113" spans="1:40">
      <c r="A113" s="129"/>
      <c r="B113" s="142" t="s">
        <v>5</v>
      </c>
      <c r="C113" s="129" t="s">
        <v>261</v>
      </c>
      <c r="D113" s="345">
        <f t="shared" ref="D113:AN113" si="47">D107/(1.355*(D101/D$17)^0.16)</f>
        <v>7497.9648209412189</v>
      </c>
      <c r="E113" s="349">
        <f t="shared" si="47"/>
        <v>10734.62697321489</v>
      </c>
      <c r="F113" s="349">
        <f t="shared" si="47"/>
        <v>5284.584763068453</v>
      </c>
      <c r="G113" s="349">
        <f t="shared" si="47"/>
        <v>7550.3441286676607</v>
      </c>
      <c r="H113" s="349">
        <f t="shared" si="47"/>
        <v>3249.9514417542687</v>
      </c>
      <c r="I113" s="349">
        <f t="shared" si="47"/>
        <v>7522.8685378812525</v>
      </c>
      <c r="J113" s="349">
        <f t="shared" si="47"/>
        <v>6383.8215418481741</v>
      </c>
      <c r="K113" s="349">
        <f t="shared" si="47"/>
        <v>4804.5158379185359</v>
      </c>
      <c r="L113" s="349">
        <f t="shared" si="47"/>
        <v>3957.988307979113</v>
      </c>
      <c r="M113" s="349">
        <f t="shared" si="47"/>
        <v>6807.2023733516371</v>
      </c>
      <c r="N113" s="349">
        <f t="shared" si="47"/>
        <v>6376.0597606578558</v>
      </c>
      <c r="O113" s="349">
        <f t="shared" si="47"/>
        <v>6189.5391234328445</v>
      </c>
      <c r="P113" s="349">
        <f t="shared" si="47"/>
        <v>8560.240524269966</v>
      </c>
      <c r="Q113" s="349">
        <f t="shared" si="47"/>
        <v>5881.4958058311113</v>
      </c>
      <c r="R113" s="349">
        <f t="shared" si="47"/>
        <v>6151.4699282501888</v>
      </c>
      <c r="S113" s="349">
        <f t="shared" si="47"/>
        <v>7923.1277922701192</v>
      </c>
      <c r="T113" s="349">
        <f t="shared" si="47"/>
        <v>5467.2366894790166</v>
      </c>
      <c r="U113" s="349">
        <f t="shared" si="47"/>
        <v>6903.4888489924688</v>
      </c>
      <c r="V113" s="349">
        <f t="shared" si="47"/>
        <v>6874.2783739672013</v>
      </c>
      <c r="W113" s="349">
        <f t="shared" si="47"/>
        <v>5507.4492617175138</v>
      </c>
      <c r="X113" s="349">
        <f t="shared" si="47"/>
        <v>5892.5454358415018</v>
      </c>
      <c r="Y113" s="349">
        <f t="shared" si="47"/>
        <v>2630.1131103352677</v>
      </c>
      <c r="Z113" s="349">
        <f t="shared" si="47"/>
        <v>7313.9612175438588</v>
      </c>
      <c r="AA113" s="349">
        <f t="shared" si="47"/>
        <v>6034.6680476360943</v>
      </c>
      <c r="AB113" s="349">
        <f t="shared" si="47"/>
        <v>7674.1564541176385</v>
      </c>
      <c r="AC113" s="349">
        <f t="shared" si="47"/>
        <v>5757.5380734995506</v>
      </c>
      <c r="AD113" s="349">
        <f t="shared" si="47"/>
        <v>7806.0177971725616</v>
      </c>
      <c r="AE113" s="349">
        <f t="shared" si="47"/>
        <v>5721.34443097433</v>
      </c>
      <c r="AF113" s="349">
        <f t="shared" si="47"/>
        <v>6939.2574907730723</v>
      </c>
      <c r="AG113" s="349">
        <f t="shared" si="47"/>
        <v>10406.543955358709</v>
      </c>
      <c r="AH113" s="349">
        <f t="shared" si="47"/>
        <v>5041.5472017544826</v>
      </c>
      <c r="AI113" s="349">
        <f t="shared" si="47"/>
        <v>8200.8083104851285</v>
      </c>
      <c r="AJ113" s="349">
        <f t="shared" si="47"/>
        <v>6319.6188978753307</v>
      </c>
      <c r="AK113" s="349">
        <f t="shared" si="47"/>
        <v>6933.2684115395114</v>
      </c>
      <c r="AL113" s="349">
        <f t="shared" si="47"/>
        <v>5565.1596277920053</v>
      </c>
      <c r="AM113" s="349">
        <f t="shared" si="47"/>
        <v>5811.3675491413469</v>
      </c>
      <c r="AN113" s="354">
        <f t="shared" si="47"/>
        <v>5811.3675491413469</v>
      </c>
    </row>
    <row r="114" spans="1:40">
      <c r="A114" s="129"/>
      <c r="B114" s="142" t="s">
        <v>6</v>
      </c>
      <c r="C114" s="129" t="s">
        <v>261</v>
      </c>
      <c r="D114" s="345">
        <f t="shared" ref="D114:AN114" si="48">D108/(1.355*(D102/D$17)^0.16)</f>
        <v>6342.1718292990608</v>
      </c>
      <c r="E114" s="349">
        <f t="shared" si="48"/>
        <v>10734.62697321489</v>
      </c>
      <c r="F114" s="349">
        <f t="shared" si="48"/>
        <v>4299.3473790552998</v>
      </c>
      <c r="G114" s="349">
        <f t="shared" si="48"/>
        <v>6387.3178885751331</v>
      </c>
      <c r="H114" s="349">
        <f t="shared" si="48"/>
        <v>3249.9514417542687</v>
      </c>
      <c r="I114" s="349">
        <f t="shared" si="48"/>
        <v>5680.7989394700071</v>
      </c>
      <c r="J114" s="349">
        <f t="shared" si="48"/>
        <v>3828.8823145892529</v>
      </c>
      <c r="K114" s="349">
        <f t="shared" si="48"/>
        <v>4804.5158379185359</v>
      </c>
      <c r="L114" s="349">
        <f t="shared" si="48"/>
        <v>3421.2899275813188</v>
      </c>
      <c r="M114" s="349">
        <f t="shared" si="48"/>
        <v>6807.2023733516371</v>
      </c>
      <c r="N114" s="349">
        <f t="shared" si="48"/>
        <v>6275.2044060974758</v>
      </c>
      <c r="O114" s="349">
        <f t="shared" si="48"/>
        <v>3632.7345718052734</v>
      </c>
      <c r="P114" s="349">
        <f t="shared" si="48"/>
        <v>8560.240524269966</v>
      </c>
      <c r="Q114" s="349">
        <f t="shared" si="48"/>
        <v>4302.7136485359697</v>
      </c>
      <c r="R114" s="349">
        <f t="shared" si="48"/>
        <v>6151.4699282501888</v>
      </c>
      <c r="S114" s="349">
        <f t="shared" si="48"/>
        <v>6503.659354360092</v>
      </c>
      <c r="T114" s="349">
        <f t="shared" si="48"/>
        <v>5380.6271045713202</v>
      </c>
      <c r="U114" s="349">
        <f t="shared" si="48"/>
        <v>6493.1435606685627</v>
      </c>
      <c r="V114" s="349">
        <f t="shared" si="48"/>
        <v>6874.2783739672013</v>
      </c>
      <c r="W114" s="349">
        <f t="shared" si="48"/>
        <v>4879.6325212412485</v>
      </c>
      <c r="X114" s="349">
        <f t="shared" si="48"/>
        <v>5871.201901234781</v>
      </c>
      <c r="Y114" s="349">
        <f t="shared" si="48"/>
        <v>2628.9081738448908</v>
      </c>
      <c r="Z114" s="349">
        <f t="shared" si="48"/>
        <v>6733.0394882125083</v>
      </c>
      <c r="AA114" s="349">
        <f t="shared" si="48"/>
        <v>5242.6106903962664</v>
      </c>
      <c r="AB114" s="349">
        <f t="shared" si="48"/>
        <v>7674.1564541176385</v>
      </c>
      <c r="AC114" s="349">
        <f t="shared" si="48"/>
        <v>5317.2097273044419</v>
      </c>
      <c r="AD114" s="349">
        <f t="shared" si="48"/>
        <v>7806.0177971725616</v>
      </c>
      <c r="AE114" s="349">
        <f t="shared" si="48"/>
        <v>4969.278134435478</v>
      </c>
      <c r="AF114" s="349">
        <f t="shared" si="48"/>
        <v>5037.3090066266805</v>
      </c>
      <c r="AG114" s="349">
        <f t="shared" si="48"/>
        <v>9785.7069717634549</v>
      </c>
      <c r="AH114" s="349">
        <f t="shared" si="48"/>
        <v>4324.4754640615165</v>
      </c>
      <c r="AI114" s="349">
        <f t="shared" si="48"/>
        <v>8200.8083104851285</v>
      </c>
      <c r="AJ114" s="349">
        <f t="shared" si="48"/>
        <v>6008.6898335718606</v>
      </c>
      <c r="AK114" s="349">
        <f t="shared" si="48"/>
        <v>6600.8112945233615</v>
      </c>
      <c r="AL114" s="349">
        <f t="shared" si="48"/>
        <v>4523.3804902122811</v>
      </c>
      <c r="AM114" s="349">
        <f t="shared" si="48"/>
        <v>5525.4447579765874</v>
      </c>
      <c r="AN114" s="354">
        <f t="shared" si="48"/>
        <v>5525.4447579765874</v>
      </c>
    </row>
    <row r="115" spans="1:40">
      <c r="A115" s="129"/>
      <c r="B115" s="142" t="s">
        <v>7</v>
      </c>
      <c r="C115" s="129" t="s">
        <v>261</v>
      </c>
      <c r="D115" s="345">
        <f t="shared" ref="D115:AN115" si="49">D109/(1.355*(D103/D$17)^0.16)</f>
        <v>5643.8479150911908</v>
      </c>
      <c r="E115" s="349">
        <f t="shared" si="49"/>
        <v>6717.7417342335439</v>
      </c>
      <c r="F115" s="349">
        <f t="shared" si="49"/>
        <v>2866.7272781454849</v>
      </c>
      <c r="G115" s="349">
        <f t="shared" si="49"/>
        <v>5680.0619031939159</v>
      </c>
      <c r="H115" s="349">
        <f t="shared" si="49"/>
        <v>2225.1280043520114</v>
      </c>
      <c r="I115" s="349">
        <f t="shared" si="49"/>
        <v>4724.231021490983</v>
      </c>
      <c r="J115" s="349">
        <f t="shared" si="49"/>
        <v>4197.8189184226594</v>
      </c>
      <c r="K115" s="349">
        <f t="shared" si="49"/>
        <v>3594.8970600835059</v>
      </c>
      <c r="L115" s="349">
        <f t="shared" si="49"/>
        <v>3421.2899275813188</v>
      </c>
      <c r="M115" s="349">
        <f t="shared" si="49"/>
        <v>4524.5071349309583</v>
      </c>
      <c r="N115" s="349">
        <f t="shared" si="49"/>
        <v>5807.3299709174134</v>
      </c>
      <c r="O115" s="349">
        <f t="shared" si="49"/>
        <v>3536.4901695126837</v>
      </c>
      <c r="P115" s="349">
        <f t="shared" si="49"/>
        <v>3066.0313644150801</v>
      </c>
      <c r="Q115" s="349">
        <f t="shared" si="49"/>
        <v>2841.5120016564756</v>
      </c>
      <c r="R115" s="349">
        <f t="shared" si="49"/>
        <v>4087.0549886798817</v>
      </c>
      <c r="S115" s="349">
        <f t="shared" si="49"/>
        <v>3927.6653903817701</v>
      </c>
      <c r="T115" s="349">
        <f t="shared" si="49"/>
        <v>4978.7165586754054</v>
      </c>
      <c r="U115" s="349">
        <f t="shared" si="49"/>
        <v>6493.1435606685627</v>
      </c>
      <c r="V115" s="349">
        <f t="shared" si="49"/>
        <v>3936.4055894893586</v>
      </c>
      <c r="W115" s="349">
        <f t="shared" si="49"/>
        <v>3961.5169269987628</v>
      </c>
      <c r="X115" s="349">
        <f t="shared" si="49"/>
        <v>3693.4800406815784</v>
      </c>
      <c r="Y115" s="349">
        <f t="shared" si="49"/>
        <v>2483.2773859241415</v>
      </c>
      <c r="Z115" s="349">
        <f t="shared" si="49"/>
        <v>4733.0833820065909</v>
      </c>
      <c r="AA115" s="349">
        <f t="shared" si="49"/>
        <v>5242.6106903962664</v>
      </c>
      <c r="AB115" s="349">
        <f t="shared" si="49"/>
        <v>5484.9263368848606</v>
      </c>
      <c r="AC115" s="349">
        <f t="shared" si="49"/>
        <v>3754.3537703499464</v>
      </c>
      <c r="AD115" s="349">
        <f t="shared" si="49"/>
        <v>6512.6475016526883</v>
      </c>
      <c r="AE115" s="349">
        <f t="shared" si="49"/>
        <v>4969.278134435478</v>
      </c>
      <c r="AF115" s="349">
        <f t="shared" si="49"/>
        <v>2840.7275846656748</v>
      </c>
      <c r="AG115" s="349">
        <f t="shared" si="49"/>
        <v>6267.1053103827471</v>
      </c>
      <c r="AH115" s="349">
        <f t="shared" si="49"/>
        <v>3689.0669173334099</v>
      </c>
      <c r="AI115" s="349">
        <f t="shared" si="49"/>
        <v>2945.5091591475316</v>
      </c>
      <c r="AJ115" s="349">
        <f t="shared" si="49"/>
        <v>5387.5037529097108</v>
      </c>
      <c r="AK115" s="349">
        <f t="shared" si="49"/>
        <v>5938.3573171943526</v>
      </c>
      <c r="AL115" s="349">
        <f t="shared" si="49"/>
        <v>3023.9542031594569</v>
      </c>
      <c r="AM115" s="349">
        <f t="shared" si="49"/>
        <v>4954.2171745613941</v>
      </c>
      <c r="AN115" s="354">
        <f t="shared" si="49"/>
        <v>4954.2171745613941</v>
      </c>
    </row>
    <row r="116" spans="1:40">
      <c r="A116" s="334" t="s">
        <v>262</v>
      </c>
      <c r="B116" s="359" t="s">
        <v>2</v>
      </c>
      <c r="C116" s="366" t="s">
        <v>190</v>
      </c>
      <c r="D116" s="375">
        <f t="shared" ref="D116:AN116" si="50">D110/D$4</f>
        <v>139.07774090606486</v>
      </c>
      <c r="E116" s="376">
        <f t="shared" si="50"/>
        <v>117.05446002185086</v>
      </c>
      <c r="F116" s="376">
        <f t="shared" si="50"/>
        <v>124.59469634786127</v>
      </c>
      <c r="G116" s="376">
        <f t="shared" si="50"/>
        <v>133.71304461975754</v>
      </c>
      <c r="H116" s="376">
        <f t="shared" si="50"/>
        <v>49.7628024326172</v>
      </c>
      <c r="I116" s="376">
        <f t="shared" si="50"/>
        <v>117.24218986344657</v>
      </c>
      <c r="J116" s="376">
        <f t="shared" si="50"/>
        <v>133.8299188226261</v>
      </c>
      <c r="K116" s="376">
        <f t="shared" si="50"/>
        <v>84.188344312535023</v>
      </c>
      <c r="L116" s="376">
        <f t="shared" si="50"/>
        <v>82.360048949323655</v>
      </c>
      <c r="M116" s="376">
        <f t="shared" si="50"/>
        <v>111.02520816018792</v>
      </c>
      <c r="N116" s="376">
        <f t="shared" si="50"/>
        <v>125.65067667850786</v>
      </c>
      <c r="O116" s="376">
        <f t="shared" si="50"/>
        <v>142.70828237283962</v>
      </c>
      <c r="P116" s="376">
        <f t="shared" si="50"/>
        <v>113.39648229716703</v>
      </c>
      <c r="Q116" s="376">
        <f t="shared" si="50"/>
        <v>101.26810698739918</v>
      </c>
      <c r="R116" s="376">
        <f t="shared" si="50"/>
        <v>119.29986977589678</v>
      </c>
      <c r="S116" s="376">
        <f t="shared" si="50"/>
        <v>105.5825290219541</v>
      </c>
      <c r="T116" s="376">
        <f t="shared" si="50"/>
        <v>106.52781493716898</v>
      </c>
      <c r="U116" s="376">
        <f t="shared" si="50"/>
        <v>93.169936706909326</v>
      </c>
      <c r="V116" s="376">
        <f t="shared" si="50"/>
        <v>127.32002622230158</v>
      </c>
      <c r="W116" s="376">
        <f t="shared" si="50"/>
        <v>127.31779242124219</v>
      </c>
      <c r="X116" s="376">
        <f t="shared" si="50"/>
        <v>130.9430286058342</v>
      </c>
      <c r="Y116" s="376">
        <f t="shared" si="50"/>
        <v>38.457988717310904</v>
      </c>
      <c r="Z116" s="376">
        <f t="shared" si="50"/>
        <v>117.28052097156285</v>
      </c>
      <c r="AA116" s="376">
        <f t="shared" si="50"/>
        <v>80.721926358850212</v>
      </c>
      <c r="AB116" s="376">
        <f t="shared" si="50"/>
        <v>159.40940428608567</v>
      </c>
      <c r="AC116" s="376">
        <f t="shared" si="50"/>
        <v>64.189993671835566</v>
      </c>
      <c r="AD116" s="376">
        <f t="shared" si="50"/>
        <v>171.00735460097221</v>
      </c>
      <c r="AE116" s="376">
        <f t="shared" si="50"/>
        <v>78.47984587001136</v>
      </c>
      <c r="AF116" s="376">
        <f t="shared" si="50"/>
        <v>117.40568764180087</v>
      </c>
      <c r="AG116" s="376">
        <f t="shared" si="50"/>
        <v>162.85695503804766</v>
      </c>
      <c r="AH116" s="376">
        <f t="shared" si="50"/>
        <v>129.69134943922774</v>
      </c>
      <c r="AI116" s="376">
        <f t="shared" si="50"/>
        <v>108.8454850814754</v>
      </c>
      <c r="AJ116" s="376">
        <f t="shared" si="50"/>
        <v>122.47290621952422</v>
      </c>
      <c r="AK116" s="376">
        <f t="shared" si="50"/>
        <v>98.663096010720594</v>
      </c>
      <c r="AL116" s="376">
        <f t="shared" si="50"/>
        <v>121.51161424304954</v>
      </c>
      <c r="AM116" s="376">
        <f t="shared" si="50"/>
        <v>112.62310027784449</v>
      </c>
      <c r="AN116" s="377">
        <f t="shared" si="50"/>
        <v>112.62310027784447</v>
      </c>
    </row>
    <row r="117" spans="1:40">
      <c r="A117" s="154"/>
      <c r="B117" s="347" t="s">
        <v>3</v>
      </c>
      <c r="C117" s="367" t="s">
        <v>190</v>
      </c>
      <c r="D117" s="369">
        <f t="shared" ref="D117:AN117" si="51">D111/D$4</f>
        <v>133.16585129741352</v>
      </c>
      <c r="E117" s="370">
        <f t="shared" si="51"/>
        <v>117.05446002185086</v>
      </c>
      <c r="F117" s="370">
        <f t="shared" si="51"/>
        <v>124.59469634786127</v>
      </c>
      <c r="G117" s="370">
        <f t="shared" si="51"/>
        <v>128.20861103379534</v>
      </c>
      <c r="H117" s="370">
        <f t="shared" si="51"/>
        <v>46.062113904755066</v>
      </c>
      <c r="I117" s="370">
        <f t="shared" si="51"/>
        <v>99.175029393176345</v>
      </c>
      <c r="J117" s="370">
        <f t="shared" si="51"/>
        <v>117.4244853459025</v>
      </c>
      <c r="K117" s="370">
        <f t="shared" si="51"/>
        <v>81.978666323428826</v>
      </c>
      <c r="L117" s="370">
        <f t="shared" si="51"/>
        <v>82.360048949323655</v>
      </c>
      <c r="M117" s="370">
        <f t="shared" si="51"/>
        <v>102.27737237673459</v>
      </c>
      <c r="N117" s="370">
        <f t="shared" si="51"/>
        <v>110.97599767034346</v>
      </c>
      <c r="O117" s="370">
        <f t="shared" si="51"/>
        <v>142.70828237283962</v>
      </c>
      <c r="P117" s="370">
        <f t="shared" si="51"/>
        <v>113.39648229716703</v>
      </c>
      <c r="Q117" s="370">
        <f t="shared" si="51"/>
        <v>109.189235869013</v>
      </c>
      <c r="R117" s="370">
        <f t="shared" si="51"/>
        <v>119.29986977589678</v>
      </c>
      <c r="S117" s="370">
        <f t="shared" si="51"/>
        <v>105.61210169588041</v>
      </c>
      <c r="T117" s="370">
        <f t="shared" si="51"/>
        <v>94.059636558412492</v>
      </c>
      <c r="U117" s="370">
        <f t="shared" si="51"/>
        <v>88.14128277086094</v>
      </c>
      <c r="V117" s="370">
        <f t="shared" si="51"/>
        <v>127.32002622230158</v>
      </c>
      <c r="W117" s="370">
        <f t="shared" si="51"/>
        <v>145.21873561600665</v>
      </c>
      <c r="X117" s="370">
        <f t="shared" si="51"/>
        <v>130.9430286058342</v>
      </c>
      <c r="Y117" s="370">
        <f t="shared" si="51"/>
        <v>38.456818638119827</v>
      </c>
      <c r="Z117" s="370">
        <f t="shared" si="51"/>
        <v>109.6799899914845</v>
      </c>
      <c r="AA117" s="370">
        <f t="shared" si="51"/>
        <v>80.721926358850212</v>
      </c>
      <c r="AB117" s="370">
        <f t="shared" si="51"/>
        <v>130.86838247337229</v>
      </c>
      <c r="AC117" s="370">
        <f t="shared" si="51"/>
        <v>58.123926227956325</v>
      </c>
      <c r="AD117" s="370">
        <f t="shared" si="51"/>
        <v>153.74893136613142</v>
      </c>
      <c r="AE117" s="370">
        <f t="shared" si="51"/>
        <v>78.47984587001136</v>
      </c>
      <c r="AF117" s="370">
        <f t="shared" si="51"/>
        <v>117.40568764180087</v>
      </c>
      <c r="AG117" s="370">
        <f t="shared" si="51"/>
        <v>139.60853926233474</v>
      </c>
      <c r="AH117" s="370">
        <f t="shared" si="51"/>
        <v>137.2560951365848</v>
      </c>
      <c r="AI117" s="370">
        <f t="shared" si="51"/>
        <v>108.8454850814754</v>
      </c>
      <c r="AJ117" s="370">
        <f t="shared" si="51"/>
        <v>122.47290621952422</v>
      </c>
      <c r="AK117" s="370">
        <f t="shared" si="51"/>
        <v>98.663096010720594</v>
      </c>
      <c r="AL117" s="370">
        <f t="shared" si="51"/>
        <v>121.51161424304954</v>
      </c>
      <c r="AM117" s="370">
        <f t="shared" si="51"/>
        <v>112.62310027784449</v>
      </c>
      <c r="AN117" s="371">
        <f t="shared" si="51"/>
        <v>112.62310027784447</v>
      </c>
    </row>
    <row r="118" spans="1:40">
      <c r="A118" s="154"/>
      <c r="B118" s="347" t="s">
        <v>4</v>
      </c>
      <c r="C118" s="367" t="s">
        <v>190</v>
      </c>
      <c r="D118" s="369">
        <f t="shared" ref="D118:AN118" si="52">D112/D$4</f>
        <v>107.3515646977789</v>
      </c>
      <c r="E118" s="370">
        <f t="shared" si="52"/>
        <v>117.05446002185086</v>
      </c>
      <c r="F118" s="370">
        <f t="shared" si="52"/>
        <v>117.07256484452071</v>
      </c>
      <c r="G118" s="370">
        <f t="shared" si="52"/>
        <v>103.31070828376505</v>
      </c>
      <c r="H118" s="370">
        <f t="shared" si="52"/>
        <v>42.303829783398363</v>
      </c>
      <c r="I118" s="370">
        <f t="shared" si="52"/>
        <v>99.175029393176345</v>
      </c>
      <c r="J118" s="370">
        <f t="shared" si="52"/>
        <v>83.876887710636083</v>
      </c>
      <c r="K118" s="370">
        <f t="shared" si="52"/>
        <v>51.63006005053861</v>
      </c>
      <c r="L118" s="370">
        <f t="shared" si="52"/>
        <v>65.726911712349533</v>
      </c>
      <c r="M118" s="370">
        <f t="shared" si="52"/>
        <v>102.27737237673459</v>
      </c>
      <c r="N118" s="370">
        <f t="shared" si="52"/>
        <v>90.481891736002893</v>
      </c>
      <c r="O118" s="370">
        <f t="shared" si="52"/>
        <v>72.316277558158802</v>
      </c>
      <c r="P118" s="370">
        <f t="shared" si="52"/>
        <v>113.39648229716703</v>
      </c>
      <c r="Q118" s="370">
        <f t="shared" si="52"/>
        <v>101.2832084371563</v>
      </c>
      <c r="R118" s="370">
        <f t="shared" si="52"/>
        <v>106.03302583860248</v>
      </c>
      <c r="S118" s="370">
        <f t="shared" si="52"/>
        <v>105.09608524395107</v>
      </c>
      <c r="T118" s="370">
        <f t="shared" si="52"/>
        <v>76.689420231051884</v>
      </c>
      <c r="U118" s="370">
        <f t="shared" si="52"/>
        <v>84.244002059930224</v>
      </c>
      <c r="V118" s="370">
        <f t="shared" si="52"/>
        <v>82.984569994854155</v>
      </c>
      <c r="W118" s="370">
        <f t="shared" si="52"/>
        <v>73.970861677713231</v>
      </c>
      <c r="X118" s="370">
        <f t="shared" si="52"/>
        <v>124.14789107699822</v>
      </c>
      <c r="Y118" s="370">
        <f t="shared" si="52"/>
        <v>31.350866106449992</v>
      </c>
      <c r="Z118" s="370">
        <f t="shared" si="52"/>
        <v>103.71611782899981</v>
      </c>
      <c r="AA118" s="370">
        <f t="shared" si="52"/>
        <v>55.169693523126924</v>
      </c>
      <c r="AB118" s="370">
        <f t="shared" si="52"/>
        <v>94.198210679586282</v>
      </c>
      <c r="AC118" s="370">
        <f t="shared" si="52"/>
        <v>58.108784635897997</v>
      </c>
      <c r="AD118" s="370">
        <f t="shared" si="52"/>
        <v>153.74893136613142</v>
      </c>
      <c r="AE118" s="370">
        <f t="shared" si="52"/>
        <v>53.632362016997391</v>
      </c>
      <c r="AF118" s="370">
        <f t="shared" si="52"/>
        <v>112.11205455642859</v>
      </c>
      <c r="AG118" s="370">
        <f t="shared" si="52"/>
        <v>139.60853926233474</v>
      </c>
      <c r="AH118" s="370">
        <f t="shared" si="52"/>
        <v>119.67707717193514</v>
      </c>
      <c r="AI118" s="370">
        <f t="shared" si="52"/>
        <v>108.8454850814754</v>
      </c>
      <c r="AJ118" s="370">
        <f t="shared" si="52"/>
        <v>122.47290621952422</v>
      </c>
      <c r="AK118" s="370">
        <f t="shared" si="52"/>
        <v>98.663096010720594</v>
      </c>
      <c r="AL118" s="370">
        <f t="shared" si="52"/>
        <v>114.16063858395506</v>
      </c>
      <c r="AM118" s="370">
        <f t="shared" si="52"/>
        <v>112.62310027784449</v>
      </c>
      <c r="AN118" s="371">
        <f t="shared" si="52"/>
        <v>112.62310027784447</v>
      </c>
    </row>
    <row r="119" spans="1:40">
      <c r="A119" s="154"/>
      <c r="B119" s="347" t="s">
        <v>5</v>
      </c>
      <c r="C119" s="367" t="s">
        <v>190</v>
      </c>
      <c r="D119" s="369">
        <f t="shared" ref="D119:AN119" si="53">D113/D$4</f>
        <v>73.259484234399494</v>
      </c>
      <c r="E119" s="370">
        <f t="shared" si="53"/>
        <v>103.06286627945927</v>
      </c>
      <c r="F119" s="370">
        <f t="shared" si="53"/>
        <v>96.537135201508718</v>
      </c>
      <c r="G119" s="370">
        <f t="shared" si="53"/>
        <v>70.43113621067846</v>
      </c>
      <c r="H119" s="370">
        <f t="shared" si="53"/>
        <v>39.910272900911473</v>
      </c>
      <c r="I119" s="370">
        <f t="shared" si="53"/>
        <v>87.164674249922911</v>
      </c>
      <c r="J119" s="370">
        <f t="shared" si="53"/>
        <v>66.725216137894876</v>
      </c>
      <c r="K119" s="370">
        <f t="shared" si="53"/>
        <v>41.797593709085078</v>
      </c>
      <c r="L119" s="370">
        <f t="shared" si="53"/>
        <v>54.331679045139829</v>
      </c>
      <c r="M119" s="370">
        <f t="shared" si="53"/>
        <v>66.110987293473542</v>
      </c>
      <c r="N119" s="370">
        <f t="shared" si="53"/>
        <v>75.091783096550529</v>
      </c>
      <c r="O119" s="370">
        <f t="shared" si="53"/>
        <v>62.787347384828585</v>
      </c>
      <c r="P119" s="370">
        <f t="shared" si="53"/>
        <v>108.49150419635733</v>
      </c>
      <c r="Q119" s="370">
        <f t="shared" si="53"/>
        <v>101.2832084371563</v>
      </c>
      <c r="R119" s="370">
        <f t="shared" si="53"/>
        <v>78.095785276404129</v>
      </c>
      <c r="S119" s="370">
        <f t="shared" si="53"/>
        <v>74.036818608503708</v>
      </c>
      <c r="T119" s="370">
        <f t="shared" si="53"/>
        <v>63.648738702640401</v>
      </c>
      <c r="U119" s="370">
        <f t="shared" si="53"/>
        <v>68.593087235740256</v>
      </c>
      <c r="V119" s="370">
        <f t="shared" si="53"/>
        <v>82.984569994854155</v>
      </c>
      <c r="W119" s="370">
        <f t="shared" si="53"/>
        <v>69.764694536139373</v>
      </c>
      <c r="X119" s="370">
        <f t="shared" si="53"/>
        <v>72.346443845947277</v>
      </c>
      <c r="Y119" s="370">
        <f t="shared" si="53"/>
        <v>27.088809838976591</v>
      </c>
      <c r="Z119" s="370">
        <f t="shared" si="53"/>
        <v>66.344488909476368</v>
      </c>
      <c r="AA119" s="370">
        <f t="shared" si="53"/>
        <v>55.169693523126924</v>
      </c>
      <c r="AB119" s="370">
        <f t="shared" si="53"/>
        <v>94.198210679586282</v>
      </c>
      <c r="AC119" s="370">
        <f t="shared" si="53"/>
        <v>56.473586128750888</v>
      </c>
      <c r="AD119" s="370">
        <f t="shared" si="53"/>
        <v>128.32921719889404</v>
      </c>
      <c r="AE119" s="370">
        <f t="shared" si="53"/>
        <v>53.632362016997391</v>
      </c>
      <c r="AF119" s="370">
        <f t="shared" si="53"/>
        <v>86.2918544427759</v>
      </c>
      <c r="AG119" s="370">
        <f t="shared" si="53"/>
        <v>129.07730949829767</v>
      </c>
      <c r="AH119" s="370">
        <f t="shared" si="53"/>
        <v>65.181855287595795</v>
      </c>
      <c r="AI119" s="370">
        <f t="shared" si="53"/>
        <v>103.93610164433974</v>
      </c>
      <c r="AJ119" s="370">
        <f t="shared" si="53"/>
        <v>108.82797492473107</v>
      </c>
      <c r="AK119" s="370">
        <f t="shared" si="53"/>
        <v>87.871446699701181</v>
      </c>
      <c r="AL119" s="370">
        <f t="shared" si="53"/>
        <v>94.043867199868998</v>
      </c>
      <c r="AM119" s="370">
        <f t="shared" si="53"/>
        <v>100.0755539434471</v>
      </c>
      <c r="AN119" s="371">
        <f t="shared" si="53"/>
        <v>100.07555394344709</v>
      </c>
    </row>
    <row r="120" spans="1:40">
      <c r="A120" s="154"/>
      <c r="B120" s="347" t="s">
        <v>6</v>
      </c>
      <c r="C120" s="367" t="s">
        <v>190</v>
      </c>
      <c r="D120" s="369">
        <f t="shared" ref="D120:AN120" si="54">D114/D$4</f>
        <v>61.966713399711963</v>
      </c>
      <c r="E120" s="370">
        <f t="shared" si="54"/>
        <v>103.06286627945927</v>
      </c>
      <c r="F120" s="370">
        <f t="shared" si="54"/>
        <v>78.539128014500804</v>
      </c>
      <c r="G120" s="370">
        <f t="shared" si="54"/>
        <v>59.582192356379664</v>
      </c>
      <c r="H120" s="370">
        <f t="shared" si="54"/>
        <v>39.910272900911473</v>
      </c>
      <c r="I120" s="370">
        <f t="shared" si="54"/>
        <v>65.82130028523261</v>
      </c>
      <c r="J120" s="370">
        <f t="shared" si="54"/>
        <v>40.020385647178742</v>
      </c>
      <c r="K120" s="370">
        <f t="shared" si="54"/>
        <v>41.797593709085078</v>
      </c>
      <c r="L120" s="370">
        <f t="shared" si="54"/>
        <v>46.964369725646712</v>
      </c>
      <c r="M120" s="370">
        <f t="shared" si="54"/>
        <v>66.110987293473542</v>
      </c>
      <c r="N120" s="370">
        <f t="shared" si="54"/>
        <v>73.903994918104658</v>
      </c>
      <c r="O120" s="370">
        <f t="shared" si="54"/>
        <v>36.850848337527111</v>
      </c>
      <c r="P120" s="370">
        <f t="shared" si="54"/>
        <v>108.49150419635733</v>
      </c>
      <c r="Q120" s="370">
        <f t="shared" si="54"/>
        <v>74.095546047657905</v>
      </c>
      <c r="R120" s="370">
        <f t="shared" si="54"/>
        <v>78.095785276404129</v>
      </c>
      <c r="S120" s="370">
        <f t="shared" si="54"/>
        <v>60.772747901406127</v>
      </c>
      <c r="T120" s="370">
        <f t="shared" si="54"/>
        <v>62.640443076891771</v>
      </c>
      <c r="U120" s="370">
        <f t="shared" si="54"/>
        <v>64.515895141356765</v>
      </c>
      <c r="V120" s="370">
        <f t="shared" si="54"/>
        <v>82.984569994854155</v>
      </c>
      <c r="W120" s="370">
        <f t="shared" si="54"/>
        <v>61.811930735217423</v>
      </c>
      <c r="X120" s="370">
        <f t="shared" si="54"/>
        <v>72.084396001817481</v>
      </c>
      <c r="Y120" s="370">
        <f t="shared" si="54"/>
        <v>27.076399613983757</v>
      </c>
      <c r="Z120" s="370">
        <f t="shared" si="54"/>
        <v>61.074983906298307</v>
      </c>
      <c r="AA120" s="370">
        <f t="shared" si="54"/>
        <v>47.928605644436324</v>
      </c>
      <c r="AB120" s="370">
        <f t="shared" si="54"/>
        <v>94.198210679586282</v>
      </c>
      <c r="AC120" s="370">
        <f t="shared" si="54"/>
        <v>52.154566355657963</v>
      </c>
      <c r="AD120" s="370">
        <f t="shared" si="54"/>
        <v>128.32921719889404</v>
      </c>
      <c r="AE120" s="370">
        <f t="shared" si="54"/>
        <v>46.582429546862002</v>
      </c>
      <c r="AF120" s="370">
        <f t="shared" si="54"/>
        <v>62.640525468480334</v>
      </c>
      <c r="AG120" s="370">
        <f t="shared" si="54"/>
        <v>121.37677339108704</v>
      </c>
      <c r="AH120" s="370">
        <f t="shared" si="54"/>
        <v>55.910878667390399</v>
      </c>
      <c r="AI120" s="370">
        <f t="shared" si="54"/>
        <v>103.93610164433974</v>
      </c>
      <c r="AJ120" s="370">
        <f t="shared" si="54"/>
        <v>103.47357286976467</v>
      </c>
      <c r="AK120" s="370">
        <f t="shared" si="54"/>
        <v>83.657923422685272</v>
      </c>
      <c r="AL120" s="370">
        <f t="shared" si="54"/>
        <v>76.439172021518345</v>
      </c>
      <c r="AM120" s="370">
        <f t="shared" si="54"/>
        <v>95.151776283729518</v>
      </c>
      <c r="AN120" s="371">
        <f t="shared" si="54"/>
        <v>95.151776283729518</v>
      </c>
    </row>
    <row r="121" spans="1:40">
      <c r="A121" s="155"/>
      <c r="B121" s="338" t="s">
        <v>7</v>
      </c>
      <c r="C121" s="368" t="s">
        <v>190</v>
      </c>
      <c r="D121" s="378">
        <f t="shared" ref="D121:AN121" si="55">D115/D$4</f>
        <v>55.14368194982665</v>
      </c>
      <c r="E121" s="379">
        <f t="shared" si="55"/>
        <v>64.496858603732576</v>
      </c>
      <c r="F121" s="379">
        <f t="shared" si="55"/>
        <v>52.368473824137048</v>
      </c>
      <c r="G121" s="379">
        <f t="shared" si="55"/>
        <v>52.984765564524004</v>
      </c>
      <c r="H121" s="379">
        <f t="shared" si="55"/>
        <v>27.325167001637915</v>
      </c>
      <c r="I121" s="379">
        <f t="shared" si="55"/>
        <v>54.737904297556405</v>
      </c>
      <c r="J121" s="379">
        <f t="shared" si="55"/>
        <v>43.876598492508059</v>
      </c>
      <c r="K121" s="379">
        <f t="shared" si="55"/>
        <v>31.274336855646872</v>
      </c>
      <c r="L121" s="379">
        <f t="shared" si="55"/>
        <v>46.964369725646712</v>
      </c>
      <c r="M121" s="379">
        <f t="shared" si="55"/>
        <v>43.941639648855414</v>
      </c>
      <c r="N121" s="379">
        <f t="shared" si="55"/>
        <v>68.393769650181923</v>
      </c>
      <c r="O121" s="379">
        <f t="shared" si="55"/>
        <v>35.874534818849732</v>
      </c>
      <c r="P121" s="379">
        <f t="shared" si="55"/>
        <v>38.858528997579761</v>
      </c>
      <c r="Q121" s="379">
        <f t="shared" si="55"/>
        <v>48.932697028385547</v>
      </c>
      <c r="R121" s="379">
        <f t="shared" si="55"/>
        <v>51.887072932435345</v>
      </c>
      <c r="S121" s="379">
        <f t="shared" si="55"/>
        <v>36.701648349821184</v>
      </c>
      <c r="T121" s="379">
        <f t="shared" si="55"/>
        <v>57.961461578470065</v>
      </c>
      <c r="U121" s="379">
        <f t="shared" si="55"/>
        <v>64.515895141356765</v>
      </c>
      <c r="V121" s="379">
        <f t="shared" si="55"/>
        <v>47.519304194339185</v>
      </c>
      <c r="W121" s="379">
        <f t="shared" si="55"/>
        <v>50.181854644199881</v>
      </c>
      <c r="X121" s="379">
        <f t="shared" si="55"/>
        <v>45.347150780371912</v>
      </c>
      <c r="Y121" s="379">
        <f t="shared" si="55"/>
        <v>25.576477536418572</v>
      </c>
      <c r="Z121" s="379">
        <f t="shared" si="55"/>
        <v>42.933506017497578</v>
      </c>
      <c r="AA121" s="379">
        <f t="shared" si="55"/>
        <v>47.928605644436324</v>
      </c>
      <c r="AB121" s="379">
        <f t="shared" si="55"/>
        <v>67.325998594499254</v>
      </c>
      <c r="AC121" s="379">
        <f t="shared" si="55"/>
        <v>36.825083620990647</v>
      </c>
      <c r="AD121" s="379">
        <f t="shared" si="55"/>
        <v>107.06649376102453</v>
      </c>
      <c r="AE121" s="379">
        <f t="shared" si="55"/>
        <v>46.582429546862002</v>
      </c>
      <c r="AF121" s="379">
        <f t="shared" si="55"/>
        <v>35.325343031800323</v>
      </c>
      <c r="AG121" s="379">
        <f t="shared" si="55"/>
        <v>77.733885070474855</v>
      </c>
      <c r="AH121" s="379">
        <f t="shared" si="55"/>
        <v>47.695720446334839</v>
      </c>
      <c r="AI121" s="379">
        <f t="shared" si="55"/>
        <v>37.331044424983176</v>
      </c>
      <c r="AJ121" s="379">
        <f t="shared" si="55"/>
        <v>92.776341865436152</v>
      </c>
      <c r="AK121" s="379">
        <f t="shared" si="55"/>
        <v>75.26205787924448</v>
      </c>
      <c r="AL121" s="379">
        <f t="shared" si="55"/>
        <v>51.100842836604137</v>
      </c>
      <c r="AM121" s="379">
        <f t="shared" si="55"/>
        <v>85.314863310207727</v>
      </c>
      <c r="AN121" s="380">
        <f t="shared" si="55"/>
        <v>85.314863310207713</v>
      </c>
    </row>
    <row r="122" spans="1:40">
      <c r="A122" s="151" t="s">
        <v>285</v>
      </c>
      <c r="B122" s="141" t="s">
        <v>2</v>
      </c>
      <c r="C122" s="144" t="s">
        <v>148</v>
      </c>
      <c r="D122" s="381">
        <f t="shared" ref="D122:AN122" si="56">1-(D116/D$48)</f>
        <v>0.16927948100057677</v>
      </c>
      <c r="E122" s="382">
        <f t="shared" si="56"/>
        <v>0.29075948777950722</v>
      </c>
      <c r="F122" s="382">
        <f t="shared" si="56"/>
        <v>0.21449329278878926</v>
      </c>
      <c r="G122" s="382">
        <f t="shared" si="56"/>
        <v>0.16936321375298691</v>
      </c>
      <c r="H122" s="382">
        <f t="shared" si="56"/>
        <v>0.28656740089739441</v>
      </c>
      <c r="I122" s="382">
        <f t="shared" si="56"/>
        <v>0.22401263535427496</v>
      </c>
      <c r="J122" s="382">
        <f t="shared" si="56"/>
        <v>0.29134066320179808</v>
      </c>
      <c r="K122" s="382">
        <f t="shared" si="56"/>
        <v>0.15811211327134389</v>
      </c>
      <c r="L122" s="382">
        <f t="shared" si="56"/>
        <v>0.20909961241719943</v>
      </c>
      <c r="M122" s="382">
        <f t="shared" si="56"/>
        <v>0.21729110745739277</v>
      </c>
      <c r="N122" s="382">
        <f t="shared" si="56"/>
        <v>0.18216737168573671</v>
      </c>
      <c r="O122" s="382">
        <f t="shared" si="56"/>
        <v>0.2640533924692049</v>
      </c>
      <c r="P122" s="382">
        <f t="shared" si="56"/>
        <v>0.26025994730290236</v>
      </c>
      <c r="Q122" s="382">
        <f t="shared" si="56"/>
        <v>0.28711482375132313</v>
      </c>
      <c r="R122" s="382">
        <f t="shared" si="56"/>
        <v>0.20814658836560163</v>
      </c>
      <c r="S122" s="382">
        <f t="shared" si="56"/>
        <v>0.36593817260590367</v>
      </c>
      <c r="T122" s="382">
        <f t="shared" si="56"/>
        <v>0.1817378976914189</v>
      </c>
      <c r="U122" s="382">
        <f t="shared" si="56"/>
        <v>0.28908770999873634</v>
      </c>
      <c r="V122" s="382">
        <f t="shared" si="56"/>
        <v>0.19446966654979136</v>
      </c>
      <c r="W122" s="382">
        <f t="shared" si="56"/>
        <v>0.28609377449234996</v>
      </c>
      <c r="X122" s="382">
        <f t="shared" si="56"/>
        <v>0.27152176586494947</v>
      </c>
      <c r="Y122" s="382">
        <f t="shared" si="56"/>
        <v>0.214104323181873</v>
      </c>
      <c r="Z122" s="382">
        <f t="shared" si="56"/>
        <v>0.34119614274507459</v>
      </c>
      <c r="AA122" s="382">
        <f t="shared" si="56"/>
        <v>0.27067833510939887</v>
      </c>
      <c r="AB122" s="382">
        <f t="shared" si="56"/>
        <v>0.28478039849721015</v>
      </c>
      <c r="AC122" s="382">
        <f t="shared" si="56"/>
        <v>0.33329984991269856</v>
      </c>
      <c r="AD122" s="382">
        <f t="shared" si="56"/>
        <v>0.18979036600334354</v>
      </c>
      <c r="AE122" s="382">
        <f t="shared" si="56"/>
        <v>0.27139253562956256</v>
      </c>
      <c r="AF122" s="382">
        <f t="shared" si="56"/>
        <v>0.216252127744884</v>
      </c>
      <c r="AG122" s="382">
        <f t="shared" si="56"/>
        <v>0.27655868940724226</v>
      </c>
      <c r="AH122" s="382">
        <f t="shared" si="56"/>
        <v>0.34564221424066199</v>
      </c>
      <c r="AI122" s="382">
        <f t="shared" si="56"/>
        <v>0.26814112759297826</v>
      </c>
      <c r="AJ122" s="382">
        <f t="shared" si="56"/>
        <v>0.23207008118944694</v>
      </c>
      <c r="AK122" s="382">
        <f t="shared" si="56"/>
        <v>0.23001482512169558</v>
      </c>
      <c r="AL122" s="382">
        <f t="shared" si="56"/>
        <v>0.21427015064707655</v>
      </c>
      <c r="AM122" s="382">
        <f t="shared" si="56"/>
        <v>0.23207008118944705</v>
      </c>
      <c r="AN122" s="383">
        <f t="shared" si="56"/>
        <v>0.23207008118944716</v>
      </c>
    </row>
    <row r="123" spans="1:40">
      <c r="A123" s="129"/>
      <c r="B123" s="142" t="s">
        <v>3</v>
      </c>
      <c r="C123" s="131" t="s">
        <v>148</v>
      </c>
      <c r="D123" s="384">
        <f t="shared" ref="D123:AN123" si="57">1-(D117/D$49)</f>
        <v>0.15363628671634022</v>
      </c>
      <c r="E123" s="385">
        <f t="shared" si="57"/>
        <v>0.29075948777950722</v>
      </c>
      <c r="F123" s="385">
        <f t="shared" si="57"/>
        <v>0.21449329278878926</v>
      </c>
      <c r="G123" s="385">
        <f t="shared" si="57"/>
        <v>0.15318185063969392</v>
      </c>
      <c r="H123" s="385">
        <f t="shared" si="57"/>
        <v>0.30513785593893783</v>
      </c>
      <c r="I123" s="385">
        <f t="shared" si="57"/>
        <v>0.19992697733766474</v>
      </c>
      <c r="J123" s="385">
        <f t="shared" si="57"/>
        <v>0.30141228463110237</v>
      </c>
      <c r="K123" s="385">
        <f t="shared" si="57"/>
        <v>0.14835995480600128</v>
      </c>
      <c r="L123" s="385">
        <f t="shared" si="57"/>
        <v>0.20909961241719943</v>
      </c>
      <c r="M123" s="385">
        <f t="shared" si="57"/>
        <v>0.20476854323582805</v>
      </c>
      <c r="N123" s="385">
        <f t="shared" si="57"/>
        <v>0.19978927863919316</v>
      </c>
      <c r="O123" s="385">
        <f t="shared" si="57"/>
        <v>0.2640533924692049</v>
      </c>
      <c r="P123" s="385">
        <f t="shared" si="57"/>
        <v>0.26025994730290236</v>
      </c>
      <c r="Q123" s="385">
        <f t="shared" si="57"/>
        <v>0.26962770352179066</v>
      </c>
      <c r="R123" s="385">
        <f t="shared" si="57"/>
        <v>0.20814658836560163</v>
      </c>
      <c r="S123" s="385">
        <f t="shared" si="57"/>
        <v>0.37648443953071842</v>
      </c>
      <c r="T123" s="385">
        <f t="shared" si="57"/>
        <v>0.19935032118633322</v>
      </c>
      <c r="U123" s="385">
        <f t="shared" si="57"/>
        <v>0.29448653339854058</v>
      </c>
      <c r="V123" s="385">
        <f t="shared" si="57"/>
        <v>0.19446966654979136</v>
      </c>
      <c r="W123" s="385">
        <f t="shared" si="57"/>
        <v>0.19042343199007317</v>
      </c>
      <c r="X123" s="385">
        <f t="shared" si="57"/>
        <v>0.26593228384833001</v>
      </c>
      <c r="Y123" s="385">
        <f t="shared" si="57"/>
        <v>0.21281703681272457</v>
      </c>
      <c r="Z123" s="385">
        <f t="shared" si="57"/>
        <v>0.2277144985208337</v>
      </c>
      <c r="AA123" s="385">
        <f t="shared" si="57"/>
        <v>0.26871417992095625</v>
      </c>
      <c r="AB123" s="385">
        <f t="shared" si="57"/>
        <v>0.19195532774123059</v>
      </c>
      <c r="AC123" s="385">
        <f t="shared" si="57"/>
        <v>0.34695357450321607</v>
      </c>
      <c r="AD123" s="385">
        <f t="shared" si="57"/>
        <v>0.19757200241878037</v>
      </c>
      <c r="AE123" s="385">
        <f t="shared" si="57"/>
        <v>0.2694005542470348</v>
      </c>
      <c r="AF123" s="385">
        <f t="shared" si="57"/>
        <v>0.216252127744884</v>
      </c>
      <c r="AG123" s="385">
        <f t="shared" si="57"/>
        <v>0.2674486517313599</v>
      </c>
      <c r="AH123" s="385">
        <f t="shared" si="57"/>
        <v>0.33973842209529126</v>
      </c>
      <c r="AI123" s="385">
        <f t="shared" si="57"/>
        <v>0.26814112759297826</v>
      </c>
      <c r="AJ123" s="385">
        <f t="shared" si="57"/>
        <v>0.23207008118944694</v>
      </c>
      <c r="AK123" s="385">
        <f t="shared" si="57"/>
        <v>0.23001482512169558</v>
      </c>
      <c r="AL123" s="385">
        <f t="shared" si="57"/>
        <v>0.21427015064707655</v>
      </c>
      <c r="AM123" s="385">
        <f t="shared" si="57"/>
        <v>0.23207008118944705</v>
      </c>
      <c r="AN123" s="386">
        <f t="shared" si="57"/>
        <v>0.23207008118944716</v>
      </c>
    </row>
    <row r="124" spans="1:40">
      <c r="A124" s="129"/>
      <c r="B124" s="142" t="s">
        <v>4</v>
      </c>
      <c r="C124" s="131" t="s">
        <v>148</v>
      </c>
      <c r="D124" s="384">
        <f t="shared" ref="D124:AN124" si="58">1-(D118/D$50)</f>
        <v>0.13146416357979485</v>
      </c>
      <c r="E124" s="385">
        <f t="shared" si="58"/>
        <v>0.29075948777950722</v>
      </c>
      <c r="F124" s="385">
        <f t="shared" si="58"/>
        <v>0.21662812191468206</v>
      </c>
      <c r="G124" s="385">
        <f t="shared" si="58"/>
        <v>0.13042571128767422</v>
      </c>
      <c r="H124" s="385">
        <f t="shared" si="58"/>
        <v>0.36110617256519517</v>
      </c>
      <c r="I124" s="385">
        <f t="shared" si="58"/>
        <v>0.19992697733766474</v>
      </c>
      <c r="J124" s="385">
        <f t="shared" si="58"/>
        <v>0.20274925672585187</v>
      </c>
      <c r="K124" s="385">
        <f t="shared" si="58"/>
        <v>0.19832778689241426</v>
      </c>
      <c r="L124" s="385">
        <f t="shared" si="58"/>
        <v>0.22126590231196219</v>
      </c>
      <c r="M124" s="385">
        <f t="shared" si="58"/>
        <v>0.20476854323582805</v>
      </c>
      <c r="N124" s="385">
        <f t="shared" si="58"/>
        <v>0.20416551904586777</v>
      </c>
      <c r="O124" s="385">
        <f t="shared" si="58"/>
        <v>0.1860037343592954</v>
      </c>
      <c r="P124" s="385">
        <f t="shared" si="58"/>
        <v>0.26025994730290236</v>
      </c>
      <c r="Q124" s="385">
        <f t="shared" si="58"/>
        <v>0.24715005065272178</v>
      </c>
      <c r="R124" s="385">
        <f t="shared" si="58"/>
        <v>0.19307313933040082</v>
      </c>
      <c r="S124" s="385">
        <f t="shared" si="58"/>
        <v>0.25364899905918215</v>
      </c>
      <c r="T124" s="385">
        <f t="shared" si="58"/>
        <v>0.20359335593913019</v>
      </c>
      <c r="U124" s="385">
        <f t="shared" si="58"/>
        <v>0.28585963406313031</v>
      </c>
      <c r="V124" s="385">
        <f t="shared" si="58"/>
        <v>0.18431875623360983</v>
      </c>
      <c r="W124" s="385">
        <f t="shared" si="58"/>
        <v>0.25075948659825742</v>
      </c>
      <c r="X124" s="385">
        <f t="shared" si="58"/>
        <v>0.24921154127585965</v>
      </c>
      <c r="Y124" s="385">
        <f t="shared" si="58"/>
        <v>0.25528596288283378</v>
      </c>
      <c r="Z124" s="385">
        <f t="shared" si="58"/>
        <v>0.23934250071949359</v>
      </c>
      <c r="AA124" s="385">
        <f t="shared" si="58"/>
        <v>0.26289881931156134</v>
      </c>
      <c r="AB124" s="385">
        <f t="shared" si="58"/>
        <v>0.19229875412721908</v>
      </c>
      <c r="AC124" s="385">
        <f t="shared" si="58"/>
        <v>0.33328030275331211</v>
      </c>
      <c r="AD124" s="385">
        <f t="shared" si="58"/>
        <v>0.19757200241878037</v>
      </c>
      <c r="AE124" s="385">
        <f t="shared" si="58"/>
        <v>0.26498918509000813</v>
      </c>
      <c r="AF124" s="385">
        <f t="shared" si="58"/>
        <v>0.17804439929391602</v>
      </c>
      <c r="AG124" s="385">
        <f t="shared" si="58"/>
        <v>0.2674486517313599</v>
      </c>
      <c r="AH124" s="385">
        <f t="shared" si="58"/>
        <v>0.25179737342864272</v>
      </c>
      <c r="AI124" s="385">
        <f t="shared" si="58"/>
        <v>0.26814112759297826</v>
      </c>
      <c r="AJ124" s="385">
        <f t="shared" si="58"/>
        <v>0.23207008118944694</v>
      </c>
      <c r="AK124" s="385">
        <f t="shared" si="58"/>
        <v>0.23001482512169558</v>
      </c>
      <c r="AL124" s="385">
        <f t="shared" si="58"/>
        <v>0.21613284887797013</v>
      </c>
      <c r="AM124" s="385">
        <f t="shared" si="58"/>
        <v>0.23207008118944705</v>
      </c>
      <c r="AN124" s="386">
        <f t="shared" si="58"/>
        <v>0.23207008118944716</v>
      </c>
    </row>
    <row r="125" spans="1:40">
      <c r="A125" s="129"/>
      <c r="B125" s="142" t="s">
        <v>5</v>
      </c>
      <c r="C125" s="131" t="s">
        <v>148</v>
      </c>
      <c r="D125" s="384">
        <f t="shared" ref="D125:AN125" si="59">1-(D119/D$51)</f>
        <v>0.13016432343752493</v>
      </c>
      <c r="E125" s="385">
        <f t="shared" si="59"/>
        <v>0.25841362119825173</v>
      </c>
      <c r="F125" s="385">
        <f t="shared" si="59"/>
        <v>0.24876653869214327</v>
      </c>
      <c r="G125" s="385">
        <f t="shared" si="59"/>
        <v>0.12899096541435839</v>
      </c>
      <c r="H125" s="385">
        <f t="shared" si="59"/>
        <v>0.37661098566559248</v>
      </c>
      <c r="I125" s="385">
        <f t="shared" si="59"/>
        <v>0.20607955022526392</v>
      </c>
      <c r="J125" s="385">
        <f t="shared" si="59"/>
        <v>0.17419102915716878</v>
      </c>
      <c r="K125" s="385">
        <f t="shared" si="59"/>
        <v>0.22061233168948446</v>
      </c>
      <c r="L125" s="385">
        <f t="shared" si="59"/>
        <v>0.14570659162355093</v>
      </c>
      <c r="M125" s="385">
        <f t="shared" si="59"/>
        <v>0.21172604831259778</v>
      </c>
      <c r="N125" s="385">
        <f t="shared" si="59"/>
        <v>0.19355580573392805</v>
      </c>
      <c r="O125" s="385">
        <f t="shared" si="59"/>
        <v>0.16855465873917697</v>
      </c>
      <c r="P125" s="385">
        <f t="shared" si="59"/>
        <v>0.27023803769117949</v>
      </c>
      <c r="Q125" s="385">
        <f t="shared" si="59"/>
        <v>0.24715005065272178</v>
      </c>
      <c r="R125" s="385">
        <f t="shared" si="59"/>
        <v>0.20317373737782551</v>
      </c>
      <c r="S125" s="385">
        <f t="shared" si="59"/>
        <v>0.18689718412162082</v>
      </c>
      <c r="T125" s="385">
        <f t="shared" si="59"/>
        <v>0.19293902628503845</v>
      </c>
      <c r="U125" s="385">
        <f t="shared" si="59"/>
        <v>0.26861376769066292</v>
      </c>
      <c r="V125" s="385">
        <f t="shared" si="59"/>
        <v>0.18431875623360983</v>
      </c>
      <c r="W125" s="385">
        <f t="shared" si="59"/>
        <v>0.16490033670469872</v>
      </c>
      <c r="X125" s="385">
        <f t="shared" si="59"/>
        <v>0.2328887049966919</v>
      </c>
      <c r="Y125" s="385">
        <f t="shared" si="59"/>
        <v>0.28873326080126827</v>
      </c>
      <c r="Z125" s="385">
        <f t="shared" si="59"/>
        <v>0.24806540982972769</v>
      </c>
      <c r="AA125" s="385">
        <f t="shared" si="59"/>
        <v>0.25545539054164967</v>
      </c>
      <c r="AB125" s="385">
        <f t="shared" si="59"/>
        <v>0.19229875412721908</v>
      </c>
      <c r="AC125" s="385">
        <f t="shared" si="59"/>
        <v>0.33459796907344308</v>
      </c>
      <c r="AD125" s="385">
        <f t="shared" si="59"/>
        <v>0.21908682449349914</v>
      </c>
      <c r="AE125" s="385">
        <f t="shared" si="59"/>
        <v>0.25746942733729727</v>
      </c>
      <c r="AF125" s="385">
        <f t="shared" si="59"/>
        <v>0.19146223596058776</v>
      </c>
      <c r="AG125" s="385">
        <f t="shared" si="59"/>
        <v>0.21011112094641538</v>
      </c>
      <c r="AH125" s="385">
        <f t="shared" si="59"/>
        <v>0.30745586825923532</v>
      </c>
      <c r="AI125" s="385">
        <f t="shared" si="59"/>
        <v>0.27874767720348481</v>
      </c>
      <c r="AJ125" s="385">
        <f t="shared" si="59"/>
        <v>0.20896468230073306</v>
      </c>
      <c r="AK125" s="385">
        <f t="shared" si="59"/>
        <v>0.2002692782899077</v>
      </c>
      <c r="AL125" s="385">
        <f t="shared" si="59"/>
        <v>0.24818250888394688</v>
      </c>
      <c r="AM125" s="385">
        <f t="shared" si="59"/>
        <v>0.20896468230073306</v>
      </c>
      <c r="AN125" s="386">
        <f t="shared" si="59"/>
        <v>0.20896468230073306</v>
      </c>
    </row>
    <row r="126" spans="1:40">
      <c r="A126" s="129"/>
      <c r="B126" s="142" t="s">
        <v>6</v>
      </c>
      <c r="C126" s="131" t="s">
        <v>148</v>
      </c>
      <c r="D126" s="384">
        <f t="shared" ref="D126:AN126" si="60">1-(D120/D$52)</f>
        <v>0.14190856961348886</v>
      </c>
      <c r="E126" s="385">
        <f t="shared" si="60"/>
        <v>0.25841362119825173</v>
      </c>
      <c r="F126" s="385">
        <f t="shared" si="60"/>
        <v>0.21323462002575599</v>
      </c>
      <c r="G126" s="385">
        <f t="shared" si="60"/>
        <v>0.14089298580027465</v>
      </c>
      <c r="H126" s="385">
        <f t="shared" si="60"/>
        <v>0.3275070012803345</v>
      </c>
      <c r="I126" s="385">
        <f t="shared" si="60"/>
        <v>0.20767603777850818</v>
      </c>
      <c r="J126" s="385">
        <f t="shared" si="60"/>
        <v>0.16876424128930867</v>
      </c>
      <c r="K126" s="385">
        <f t="shared" si="60"/>
        <v>0.22061233168948446</v>
      </c>
      <c r="L126" s="385">
        <f t="shared" si="60"/>
        <v>0.13420303502024822</v>
      </c>
      <c r="M126" s="385">
        <f t="shared" si="60"/>
        <v>0.21172604831259778</v>
      </c>
      <c r="N126" s="385">
        <f t="shared" si="60"/>
        <v>0.19474635286178565</v>
      </c>
      <c r="O126" s="385">
        <f t="shared" si="60"/>
        <v>0.16722119976906924</v>
      </c>
      <c r="P126" s="385">
        <f t="shared" si="60"/>
        <v>0.27023803769117949</v>
      </c>
      <c r="Q126" s="385">
        <f t="shared" si="60"/>
        <v>0.22763771996298521</v>
      </c>
      <c r="R126" s="385">
        <f t="shared" si="60"/>
        <v>0.20317373737782551</v>
      </c>
      <c r="S126" s="385">
        <f t="shared" si="60"/>
        <v>0.22440987345508379</v>
      </c>
      <c r="T126" s="385">
        <f t="shared" si="60"/>
        <v>0.19411769207478891</v>
      </c>
      <c r="U126" s="385">
        <f t="shared" si="60"/>
        <v>0.25807551697440823</v>
      </c>
      <c r="V126" s="385">
        <f t="shared" si="60"/>
        <v>0.18431875623360983</v>
      </c>
      <c r="W126" s="385">
        <f t="shared" si="60"/>
        <v>0.13993384300294187</v>
      </c>
      <c r="X126" s="385">
        <f t="shared" si="60"/>
        <v>0.21971469675075495</v>
      </c>
      <c r="Y126" s="385">
        <f t="shared" si="60"/>
        <v>0.27436313846497562</v>
      </c>
      <c r="Z126" s="385">
        <f t="shared" si="60"/>
        <v>0.23027150879404157</v>
      </c>
      <c r="AA126" s="385">
        <f t="shared" si="60"/>
        <v>0.27631666668881261</v>
      </c>
      <c r="AB126" s="385">
        <f t="shared" si="60"/>
        <v>0.19229875412721908</v>
      </c>
      <c r="AC126" s="385">
        <f t="shared" si="60"/>
        <v>0.33872865919404949</v>
      </c>
      <c r="AD126" s="385">
        <f t="shared" si="60"/>
        <v>0.21908682449349914</v>
      </c>
      <c r="AE126" s="385">
        <f t="shared" si="60"/>
        <v>0.27870617104789508</v>
      </c>
      <c r="AF126" s="385">
        <f t="shared" si="60"/>
        <v>0.17251544797776475</v>
      </c>
      <c r="AG126" s="385">
        <f t="shared" si="60"/>
        <v>0.17471169325323332</v>
      </c>
      <c r="AH126" s="385">
        <f t="shared" si="60"/>
        <v>0.22361745697935098</v>
      </c>
      <c r="AI126" s="385">
        <f t="shared" si="60"/>
        <v>0.27874767720348481</v>
      </c>
      <c r="AJ126" s="385">
        <f t="shared" si="60"/>
        <v>0.20342954189817175</v>
      </c>
      <c r="AK126" s="385">
        <f t="shared" si="60"/>
        <v>0.19087282666500927</v>
      </c>
      <c r="AL126" s="385">
        <f t="shared" si="60"/>
        <v>0.20993062778420812</v>
      </c>
      <c r="AM126" s="385">
        <f t="shared" si="60"/>
        <v>0.20342954189817186</v>
      </c>
      <c r="AN126" s="386">
        <f t="shared" si="60"/>
        <v>0.20342954189817175</v>
      </c>
    </row>
    <row r="127" spans="1:40">
      <c r="A127" s="121"/>
      <c r="B127" s="374" t="s">
        <v>7</v>
      </c>
      <c r="C127" s="122" t="s">
        <v>148</v>
      </c>
      <c r="D127" s="191">
        <f t="shared" ref="D127:AN127" si="61">1-(D121/D$53)</f>
        <v>0.12602219572258011</v>
      </c>
      <c r="E127" s="387">
        <f t="shared" si="61"/>
        <v>0.20726463693810804</v>
      </c>
      <c r="F127" s="387">
        <f t="shared" si="61"/>
        <v>0.22828007495556624</v>
      </c>
      <c r="G127" s="387">
        <f t="shared" si="61"/>
        <v>0.12474801397425694</v>
      </c>
      <c r="H127" s="387">
        <f t="shared" si="61"/>
        <v>0.44370789001050692</v>
      </c>
      <c r="I127" s="387">
        <f t="shared" si="61"/>
        <v>0.16218731527063213</v>
      </c>
      <c r="J127" s="387">
        <f t="shared" si="61"/>
        <v>0.1576592991464657</v>
      </c>
      <c r="K127" s="387">
        <f t="shared" si="61"/>
        <v>0.18727800134990524</v>
      </c>
      <c r="L127" s="387">
        <f t="shared" si="61"/>
        <v>0.13420303502024822</v>
      </c>
      <c r="M127" s="387">
        <f t="shared" si="61"/>
        <v>0.21313274648340497</v>
      </c>
      <c r="N127" s="387">
        <f t="shared" si="61"/>
        <v>0.16801145135569961</v>
      </c>
      <c r="O127" s="387">
        <f t="shared" si="61"/>
        <v>0.1621530628646618</v>
      </c>
      <c r="P127" s="387">
        <f t="shared" si="61"/>
        <v>0.2667650071956037</v>
      </c>
      <c r="Q127" s="387">
        <f t="shared" si="61"/>
        <v>0.1888347411715382</v>
      </c>
      <c r="R127" s="387">
        <f t="shared" si="61"/>
        <v>0.13468993785847705</v>
      </c>
      <c r="S127" s="387">
        <f t="shared" si="61"/>
        <v>0.25768828039182934</v>
      </c>
      <c r="T127" s="387">
        <f t="shared" si="61"/>
        <v>0.16745391484370409</v>
      </c>
      <c r="U127" s="387">
        <f t="shared" si="61"/>
        <v>0.23592068146880307</v>
      </c>
      <c r="V127" s="387">
        <f t="shared" si="61"/>
        <v>0.18525777094563312</v>
      </c>
      <c r="W127" s="387">
        <f t="shared" si="61"/>
        <v>0.13551016716737108</v>
      </c>
      <c r="X127" s="387">
        <f t="shared" si="61"/>
        <v>0.20326131335378772</v>
      </c>
      <c r="Y127" s="387">
        <f t="shared" si="61"/>
        <v>0.28767011147231514</v>
      </c>
      <c r="Z127" s="387">
        <f t="shared" si="61"/>
        <v>0.21925502639684447</v>
      </c>
      <c r="AA127" s="387">
        <f t="shared" si="61"/>
        <v>0.20764587185355277</v>
      </c>
      <c r="AB127" s="387">
        <f t="shared" si="61"/>
        <v>0.26607524381740655</v>
      </c>
      <c r="AC127" s="387">
        <f t="shared" si="61"/>
        <v>0.30059425475876278</v>
      </c>
      <c r="AD127" s="387">
        <f t="shared" si="61"/>
        <v>0.19247043360024219</v>
      </c>
      <c r="AE127" s="387">
        <f t="shared" si="61"/>
        <v>0.20930121879977659</v>
      </c>
      <c r="AF127" s="387">
        <f t="shared" si="61"/>
        <v>0.15908007127147161</v>
      </c>
      <c r="AG127" s="387">
        <f t="shared" si="61"/>
        <v>0.12791094617545706</v>
      </c>
      <c r="AH127" s="387">
        <f t="shared" si="61"/>
        <v>0.20444119272306438</v>
      </c>
      <c r="AI127" s="387">
        <f t="shared" si="61"/>
        <v>0.27456600381946294</v>
      </c>
      <c r="AJ127" s="387">
        <f t="shared" si="61"/>
        <v>0.1799754803634126</v>
      </c>
      <c r="AK127" s="387">
        <f t="shared" si="61"/>
        <v>0.16641165520208656</v>
      </c>
      <c r="AL127" s="387">
        <f t="shared" si="61"/>
        <v>0.22285686081696865</v>
      </c>
      <c r="AM127" s="387">
        <f t="shared" si="61"/>
        <v>0.1799754803634126</v>
      </c>
      <c r="AN127" s="388">
        <f t="shared" si="61"/>
        <v>0.1799754803634126</v>
      </c>
    </row>
    <row r="128" spans="1:40">
      <c r="A128" s="334" t="s">
        <v>281</v>
      </c>
      <c r="B128" s="359" t="s">
        <v>287</v>
      </c>
      <c r="C128" s="443" t="s">
        <v>286</v>
      </c>
      <c r="D128" s="420">
        <f>(('Energy Efficiency Measures-DBT'!D$57*D$22)+('Energy Efficiency Measures-DBT'!D$16*D$15))/D$5</f>
        <v>51.018630171280734</v>
      </c>
      <c r="E128" s="421">
        <f>(('Energy Efficiency Measures-DBT'!E$57*E$22)+('Energy Efficiency Measures-DBT'!E$16*E$15))/E$5</f>
        <v>70.70437956668647</v>
      </c>
      <c r="F128" s="421">
        <f>(('Energy Efficiency Measures-DBT'!F$57*F$22)+('Energy Efficiency Measures-DBT'!F$16*F$15))/F$5</f>
        <v>70.755027481478379</v>
      </c>
      <c r="G128" s="421">
        <f>(('Energy Efficiency Measures-DBT'!G$57*G$22)+('Energy Efficiency Measures-DBT'!G$16*G$15))/G$5</f>
        <v>49.704760336881108</v>
      </c>
      <c r="H128" s="421">
        <f>(('Energy Efficiency Measures-DBT'!H$57*H$22)+('Energy Efficiency Measures-DBT'!H$16*H$15))/H$5</f>
        <v>85.511203520369719</v>
      </c>
      <c r="I128" s="421">
        <f>(('Energy Efficiency Measures-DBT'!I$57*I$22)+('Energy Efficiency Measures-DBT'!I$16*I$15))/I$5</f>
        <v>55.735968146232757</v>
      </c>
      <c r="J128" s="421">
        <f>(('Energy Efficiency Measures-DBT'!J$57*J$22)+('Energy Efficiency Measures-DBT'!J$16*J$15))/J$5</f>
        <v>45.878053435039845</v>
      </c>
      <c r="K128" s="421">
        <f>(('Energy Efficiency Measures-DBT'!K$57*K$22)+('Energy Efficiency Measures-DBT'!K$16*K$15))/K$5</f>
        <v>61.14841329201839</v>
      </c>
      <c r="L128" s="421">
        <f>(('Energy Efficiency Measures-DBT'!L$57*L$22)+('Energy Efficiency Measures-DBT'!L$16*L$15))/L$5</f>
        <v>57.269470298525405</v>
      </c>
      <c r="M128" s="421">
        <f>(('Energy Efficiency Measures-DBT'!M$57*M$22)+('Energy Efficiency Measures-DBT'!M$16*M$15))/M$5</f>
        <v>70.195943938096477</v>
      </c>
      <c r="N128" s="421">
        <f>(('Energy Efficiency Measures-DBT'!N$57*N$22)+('Energy Efficiency Measures-DBT'!N$16*N$15))/N$5</f>
        <v>80.497154452581995</v>
      </c>
      <c r="O128" s="421">
        <f>(('Energy Efficiency Measures-DBT'!O$57*O$22)+('Energy Efficiency Measures-DBT'!O$16*O$15))/O$5</f>
        <v>76.539511738642389</v>
      </c>
      <c r="P128" s="421">
        <f>(('Energy Efficiency Measures-DBT'!P$57*P$22)+('Energy Efficiency Measures-DBT'!P$16*P$15))/P$5</f>
        <v>87.282482615346098</v>
      </c>
      <c r="Q128" s="421">
        <f>(('Energy Efficiency Measures-DBT'!Q$57*Q$22)+('Energy Efficiency Measures-DBT'!Q$16*Q$15))/Q$5</f>
        <v>67.645344481946239</v>
      </c>
      <c r="R128" s="421">
        <f>(('Energy Efficiency Measures-DBT'!R$57*R$22)+('Energy Efficiency Measures-DBT'!R$16*R$15))/R$5</f>
        <v>54.20553785945237</v>
      </c>
      <c r="S128" s="421">
        <f>(('Energy Efficiency Measures-DBT'!S$57*S$22)+('Energy Efficiency Measures-DBT'!S$16*S$15))/S$5</f>
        <v>61.139814222186992</v>
      </c>
      <c r="T128" s="421">
        <f>(('Energy Efficiency Measures-DBT'!T$57*T$22)+('Energy Efficiency Measures-DBT'!T$16*T$15))/T$5</f>
        <v>74.38831615120273</v>
      </c>
      <c r="U128" s="421">
        <f>(('Energy Efficiency Measures-DBT'!U$57*U$22)+('Energy Efficiency Measures-DBT'!U$16*U$15))/U$5</f>
        <v>74.962014361532553</v>
      </c>
      <c r="V128" s="421">
        <f>(('Energy Efficiency Measures-DBT'!V$57*V$22)+('Energy Efficiency Measures-DBT'!V$16*V$15))/V$5</f>
        <v>52.353097514653065</v>
      </c>
      <c r="W128" s="421">
        <f>(('Energy Efficiency Measures-DBT'!W$57*W$22)+('Energy Efficiency Measures-DBT'!W$16*W$15))/W$5</f>
        <v>79.002999118819602</v>
      </c>
      <c r="X128" s="421">
        <f>(('Energy Efficiency Measures-DBT'!X$57*X$22)+('Energy Efficiency Measures-DBT'!X$16*X$15))/X$5</f>
        <v>52.964536516853926</v>
      </c>
      <c r="Y128" s="421">
        <f>(('Energy Efficiency Measures-DBT'!Y$57*Y$22)+('Energy Efficiency Measures-DBT'!Y$16*Y$15))/Y$5</f>
        <v>76.597681320768658</v>
      </c>
      <c r="Z128" s="421">
        <f>(('Energy Efficiency Measures-DBT'!Z$57*Z$22)+('Energy Efficiency Measures-DBT'!Z$16*Z$15))/Z$5</f>
        <v>60.15537688403564</v>
      </c>
      <c r="AA128" s="421">
        <f>(('Energy Efficiency Measures-DBT'!AA$57*AA$22)+('Energy Efficiency Measures-DBT'!AA$16*AA$15))/AA$5</f>
        <v>68.6395654068033</v>
      </c>
      <c r="AB128" s="421">
        <f>(('Energy Efficiency Measures-DBT'!AB$57*AB$22)+('Energy Efficiency Measures-DBT'!AB$16*AB$15))/AB$5</f>
        <v>58.455952832217648</v>
      </c>
      <c r="AC128" s="421">
        <f>(('Energy Efficiency Measures-DBT'!AC$57*AC$22)+('Energy Efficiency Measures-DBT'!AC$16*AC$15))/AC$5</f>
        <v>70.703293706322157</v>
      </c>
      <c r="AD128" s="421">
        <f>(('Energy Efficiency Measures-DBT'!AD$57*AD$22)+('Energy Efficiency Measures-DBT'!AD$16*AD$15))/AD$5</f>
        <v>70.826147337092692</v>
      </c>
      <c r="AE128" s="421">
        <f>(('Energy Efficiency Measures-DBT'!AE$57*AE$22)+('Energy Efficiency Measures-DBT'!AE$16*AE$15))/AE$5</f>
        <v>69.683376999623803</v>
      </c>
      <c r="AF128" s="421">
        <f>(('Energy Efficiency Measures-DBT'!AF$57*AF$22)+('Energy Efficiency Measures-DBT'!AF$16*AF$15))/AF$5</f>
        <v>53.432886268570009</v>
      </c>
      <c r="AG128" s="421">
        <f>(('Energy Efficiency Measures-DBT'!AG$57*AG$22)+('Energy Efficiency Measures-DBT'!AG$16*AG$15))/AG$5</f>
        <v>47.83832123848746</v>
      </c>
      <c r="AH128" s="421">
        <f>(('Energy Efficiency Measures-DBT'!AH$57*AH$22)+('Energy Efficiency Measures-DBT'!AH$16*AH$15))/AH$5</f>
        <v>74.044179721987717</v>
      </c>
      <c r="AI128" s="421">
        <f>(('Energy Efficiency Measures-DBT'!AI$57*AI$22)+('Energy Efficiency Measures-DBT'!AI$16*AI$15))/AI$5</f>
        <v>54.141438526128418</v>
      </c>
      <c r="AJ128" s="421">
        <f>(('Energy Efficiency Measures-DBT'!AJ$57*AJ$22)+('Energy Efficiency Measures-DBT'!AJ$16*AJ$15))/AJ$5</f>
        <v>67.645344481946225</v>
      </c>
      <c r="AK128" s="421">
        <f>(('Energy Efficiency Measures-DBT'!AK$57*AK$22)+('Energy Efficiency Measures-DBT'!AK$16*AK$15))/AK$5</f>
        <v>54.141438526128418</v>
      </c>
      <c r="AL128" s="421">
        <f>(('Energy Efficiency Measures-DBT'!AL$57*AL$22)+('Energy Efficiency Measures-DBT'!AL$16*AL$15))/AL$5</f>
        <v>66.689087872476378</v>
      </c>
      <c r="AM128" s="421">
        <f>(('Energy Efficiency Measures-DBT'!AM$57*AM$22)+('Energy Efficiency Measures-DBT'!AM$16*AM$15))/AM$5</f>
        <v>67.645344481946239</v>
      </c>
      <c r="AN128" s="422">
        <f>(('Energy Efficiency Measures-DBT'!AN$57*AN$22)+('Energy Efficiency Measures-DBT'!AN$16*AN$15))/AN$5</f>
        <v>67.645344481946225</v>
      </c>
    </row>
    <row r="129" spans="1:40">
      <c r="A129" s="407"/>
      <c r="B129" s="347" t="s">
        <v>291</v>
      </c>
      <c r="C129" s="450" t="s">
        <v>292</v>
      </c>
      <c r="D129" s="451">
        <f t="shared" ref="D129:AN129" si="62">PMT(0.12,20,-D130,0,1)/(D41-D110)/3.6*1000</f>
        <v>59.774094780913636</v>
      </c>
      <c r="E129" s="452">
        <f t="shared" si="62"/>
        <v>48.922564248563866</v>
      </c>
      <c r="F129" s="452">
        <f t="shared" si="62"/>
        <v>69.053413552570404</v>
      </c>
      <c r="G129" s="452">
        <f t="shared" si="62"/>
        <v>60.535133404067345</v>
      </c>
      <c r="H129" s="452">
        <f t="shared" si="62"/>
        <v>142.04814829942674</v>
      </c>
      <c r="I129" s="452">
        <f t="shared" si="62"/>
        <v>54.679556694511497</v>
      </c>
      <c r="J129" s="452">
        <f t="shared" si="62"/>
        <v>27.687223093025402</v>
      </c>
      <c r="K129" s="452">
        <f t="shared" si="62"/>
        <v>128.41435181552737</v>
      </c>
      <c r="L129" s="452">
        <f t="shared" si="62"/>
        <v>87.330581808371392</v>
      </c>
      <c r="M129" s="452">
        <f t="shared" si="62"/>
        <v>75.620572289203281</v>
      </c>
      <c r="N129" s="452">
        <f t="shared" si="62"/>
        <v>95.499425795167795</v>
      </c>
      <c r="O129" s="452">
        <f t="shared" si="62"/>
        <v>49.6343441170077</v>
      </c>
      <c r="P129" s="452">
        <f t="shared" si="62"/>
        <v>72.642457398447945</v>
      </c>
      <c r="Q129" s="452">
        <f t="shared" si="62"/>
        <v>55.070676584546511</v>
      </c>
      <c r="R129" s="452">
        <f t="shared" si="62"/>
        <v>57.394517138958314</v>
      </c>
      <c r="S129" s="452">
        <f t="shared" si="62"/>
        <v>33.315564019712035</v>
      </c>
      <c r="T129" s="452">
        <f t="shared" si="62"/>
        <v>104.39504104705777</v>
      </c>
      <c r="U129" s="452">
        <f t="shared" si="62"/>
        <v>65.696625700621325</v>
      </c>
      <c r="V129" s="452">
        <f t="shared" si="62"/>
        <v>56.554467181265323</v>
      </c>
      <c r="W129" s="452">
        <f t="shared" si="62"/>
        <v>51.413653115078453</v>
      </c>
      <c r="X129" s="452">
        <f t="shared" si="62"/>
        <v>36.033458530034345</v>
      </c>
      <c r="Y129" s="452">
        <f t="shared" si="62"/>
        <v>242.75028114774054</v>
      </c>
      <c r="Z129" s="452">
        <f t="shared" si="62"/>
        <v>32.884542853788517</v>
      </c>
      <c r="AA129" s="452">
        <f t="shared" si="62"/>
        <v>76.074629972846225</v>
      </c>
      <c r="AB129" s="452">
        <f t="shared" si="62"/>
        <v>30.579849439032316</v>
      </c>
      <c r="AC129" s="452">
        <f t="shared" si="62"/>
        <v>73.157519300606381</v>
      </c>
      <c r="AD129" s="452">
        <f t="shared" si="62"/>
        <v>58.707460186289232</v>
      </c>
      <c r="AE129" s="452">
        <f t="shared" si="62"/>
        <v>79.151288322413635</v>
      </c>
      <c r="AF129" s="452">
        <f t="shared" si="62"/>
        <v>54.767977802307051</v>
      </c>
      <c r="AG129" s="452">
        <f t="shared" si="62"/>
        <v>25.513899429750783</v>
      </c>
      <c r="AH129" s="452">
        <f t="shared" si="62"/>
        <v>35.888857700012274</v>
      </c>
      <c r="AI129" s="452">
        <f t="shared" si="62"/>
        <v>45.079024054729878</v>
      </c>
      <c r="AJ129" s="452">
        <f t="shared" si="62"/>
        <v>60.686423848165653</v>
      </c>
      <c r="AK129" s="452">
        <f t="shared" si="62"/>
        <v>60.994799653077386</v>
      </c>
      <c r="AL129" s="452">
        <f t="shared" si="62"/>
        <v>66.82512610245756</v>
      </c>
      <c r="AM129" s="452">
        <f t="shared" si="62"/>
        <v>65.99394510023815</v>
      </c>
      <c r="AN129" s="453">
        <f t="shared" si="62"/>
        <v>65.99394510023815</v>
      </c>
    </row>
    <row r="130" spans="1:40">
      <c r="A130" s="404"/>
      <c r="B130" s="338" t="s">
        <v>287</v>
      </c>
      <c r="C130" s="444" t="s">
        <v>288</v>
      </c>
      <c r="D130" s="423">
        <f t="shared" ref="D130:AN130" si="63">D128*D$4</f>
        <v>5221.6569395017787</v>
      </c>
      <c r="E130" s="424">
        <f t="shared" si="63"/>
        <v>7364.2929545832376</v>
      </c>
      <c r="F130" s="424">
        <f t="shared" si="63"/>
        <v>3873.2342673999997</v>
      </c>
      <c r="G130" s="424">
        <f t="shared" si="63"/>
        <v>5328.4394596988477</v>
      </c>
      <c r="H130" s="424">
        <f t="shared" si="63"/>
        <v>6963.3014000468384</v>
      </c>
      <c r="I130" s="424">
        <f t="shared" si="63"/>
        <v>4810.3703111816185</v>
      </c>
      <c r="J130" s="424">
        <f t="shared" si="63"/>
        <v>4389.3047151980199</v>
      </c>
      <c r="K130" s="424">
        <f t="shared" si="63"/>
        <v>7028.8381233112268</v>
      </c>
      <c r="L130" s="424">
        <f t="shared" si="63"/>
        <v>4172.0023719016144</v>
      </c>
      <c r="M130" s="424">
        <f t="shared" si="63"/>
        <v>7227.8151595875634</v>
      </c>
      <c r="N130" s="424">
        <f t="shared" si="63"/>
        <v>6835.0310271983099</v>
      </c>
      <c r="O130" s="424">
        <f t="shared" si="63"/>
        <v>7545.2192539869293</v>
      </c>
      <c r="P130" s="424">
        <f t="shared" si="63"/>
        <v>6886.7977292535388</v>
      </c>
      <c r="Q130" s="424">
        <f t="shared" si="63"/>
        <v>3928.1517241964848</v>
      </c>
      <c r="R130" s="424">
        <f t="shared" si="63"/>
        <v>4269.6764608601115</v>
      </c>
      <c r="S130" s="424">
        <f t="shared" si="63"/>
        <v>6542.9413416529815</v>
      </c>
      <c r="T130" s="424">
        <f t="shared" si="63"/>
        <v>6389.7343391275817</v>
      </c>
      <c r="U130" s="424">
        <f t="shared" si="63"/>
        <v>7544.483724202626</v>
      </c>
      <c r="V130" s="424">
        <f t="shared" si="63"/>
        <v>4336.8275099514558</v>
      </c>
      <c r="W130" s="424">
        <f t="shared" si="63"/>
        <v>6236.7507241792646</v>
      </c>
      <c r="X130" s="424">
        <f t="shared" si="63"/>
        <v>4313.9084842707334</v>
      </c>
      <c r="Y130" s="424">
        <f t="shared" si="63"/>
        <v>7437.0401306138601</v>
      </c>
      <c r="Z130" s="424">
        <f t="shared" si="63"/>
        <v>6631.6600035444235</v>
      </c>
      <c r="AA130" s="424">
        <f t="shared" si="63"/>
        <v>7508.0531667341147</v>
      </c>
      <c r="AB130" s="424">
        <f t="shared" si="63"/>
        <v>4762.2998831141867</v>
      </c>
      <c r="AC130" s="424">
        <f t="shared" si="63"/>
        <v>7208.2708632651675</v>
      </c>
      <c r="AD130" s="424">
        <f t="shared" si="63"/>
        <v>4308.2174011989246</v>
      </c>
      <c r="AE130" s="424">
        <f t="shared" si="63"/>
        <v>7433.6200371322484</v>
      </c>
      <c r="AF130" s="424">
        <f t="shared" si="63"/>
        <v>4296.8662417457299</v>
      </c>
      <c r="AG130" s="424">
        <f t="shared" si="63"/>
        <v>3856.8482303658138</v>
      </c>
      <c r="AH130" s="424">
        <f t="shared" si="63"/>
        <v>5727.0113812583077</v>
      </c>
      <c r="AI130" s="424">
        <f t="shared" si="63"/>
        <v>4271.8896705019297</v>
      </c>
      <c r="AJ130" s="424">
        <f t="shared" si="63"/>
        <v>3928.1517241964843</v>
      </c>
      <c r="AK130" s="424">
        <f t="shared" si="63"/>
        <v>4271.8896705019306</v>
      </c>
      <c r="AL130" s="424">
        <f t="shared" si="63"/>
        <v>3946.4074637999997</v>
      </c>
      <c r="AM130" s="424">
        <f t="shared" si="63"/>
        <v>3928.1517241964848</v>
      </c>
      <c r="AN130" s="425">
        <f t="shared" si="63"/>
        <v>3928.1517241964843</v>
      </c>
    </row>
    <row r="131" spans="1:40">
      <c r="B131" s="135"/>
      <c r="C131" s="135"/>
    </row>
    <row r="132" spans="1:40">
      <c r="A132" s="5" t="s">
        <v>295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</row>
    <row r="133" spans="1:40" ht="15" customHeight="1">
      <c r="A133" s="938" t="s">
        <v>123</v>
      </c>
      <c r="B133" s="939"/>
      <c r="C133" s="138" t="s">
        <v>76</v>
      </c>
      <c r="D133" s="194">
        <v>1.05</v>
      </c>
      <c r="E133" s="195">
        <v>1.05</v>
      </c>
      <c r="F133" s="195">
        <v>1.05</v>
      </c>
      <c r="G133" s="195">
        <v>1.05</v>
      </c>
      <c r="H133" s="195">
        <v>1.05</v>
      </c>
      <c r="I133" s="195">
        <v>1.05</v>
      </c>
      <c r="J133" s="195">
        <v>1.05</v>
      </c>
      <c r="K133" s="195">
        <v>1.05</v>
      </c>
      <c r="L133" s="195">
        <v>1.05</v>
      </c>
      <c r="M133" s="195">
        <v>1.05</v>
      </c>
      <c r="N133" s="195">
        <v>1.05</v>
      </c>
      <c r="O133" s="195">
        <v>1.05</v>
      </c>
      <c r="P133" s="195">
        <v>1.05</v>
      </c>
      <c r="Q133" s="195">
        <v>1.05</v>
      </c>
      <c r="R133" s="195">
        <v>1.05</v>
      </c>
      <c r="S133" s="195">
        <v>1.05</v>
      </c>
      <c r="T133" s="195">
        <v>1.05</v>
      </c>
      <c r="U133" s="195">
        <v>1.05</v>
      </c>
      <c r="V133" s="195">
        <v>1.05</v>
      </c>
      <c r="W133" s="195">
        <v>1.05</v>
      </c>
      <c r="X133" s="195">
        <v>1.05</v>
      </c>
      <c r="Y133" s="195">
        <v>1.05</v>
      </c>
      <c r="Z133" s="195">
        <v>1.05</v>
      </c>
      <c r="AA133" s="195">
        <v>1.05</v>
      </c>
      <c r="AB133" s="195">
        <v>1.05</v>
      </c>
      <c r="AC133" s="195">
        <v>1.05</v>
      </c>
      <c r="AD133" s="195">
        <v>1.05</v>
      </c>
      <c r="AE133" s="195">
        <v>1.05</v>
      </c>
      <c r="AF133" s="195">
        <v>1.05</v>
      </c>
      <c r="AG133" s="195">
        <v>1.05</v>
      </c>
      <c r="AH133" s="195">
        <v>1.05</v>
      </c>
      <c r="AI133" s="195">
        <v>1.05</v>
      </c>
      <c r="AJ133" s="195">
        <v>1.05</v>
      </c>
      <c r="AK133" s="195">
        <v>1.05</v>
      </c>
      <c r="AL133" s="195">
        <v>1.05</v>
      </c>
      <c r="AM133" s="195">
        <v>1.05</v>
      </c>
      <c r="AN133" s="196">
        <v>1.05</v>
      </c>
    </row>
    <row r="134" spans="1:40" ht="15" customHeight="1">
      <c r="A134" s="151" t="s">
        <v>193</v>
      </c>
      <c r="B134" s="141" t="s">
        <v>2</v>
      </c>
      <c r="C134" s="144" t="s">
        <v>195</v>
      </c>
      <c r="D134" s="170">
        <f>((LOOKUP(D$2,'Ceiling-U'!$A$4:$A$40,'Ceiling-U'!$X$4:$X$40)*D$15)+(LOOKUP(D$2,'Floor-U'!$A$4:$A$40,'Floor-U'!$E$4:$E$40)*D$16)+(LOOKUP(D$2,'Wall-U'!$A$4:$A$40,'Wall-U'!$X$4:$X$40)*D$13)+(LOOKUP(D$2,'Window-U'!$A$4:$A$40,'Window-U'!$S$4:$S$40)*D$22))*D$133</f>
        <v>735.98441075125402</v>
      </c>
      <c r="E134" s="171">
        <f>((LOOKUP(E$2,'Ceiling-U'!$A$4:$A$40,'Ceiling-U'!$X$4:$X$40)*E$15)+(LOOKUP(E$2,'Floor-U'!$A$4:$A$40,'Floor-U'!$E$4:$E$40)*E$16)+(LOOKUP(E$2,'Wall-U'!$A$4:$A$40,'Wall-U'!$X$4:$X$40)*E$13)+(LOOKUP(E$2,'Window-U'!$A$4:$A$40,'Window-U'!$S$4:$S$40)*E$22))*E$133</f>
        <v>679.72618381379164</v>
      </c>
      <c r="F134" s="171">
        <f>((LOOKUP(F$2,'Ceiling-U'!$A$4:$A$40,'Ceiling-U'!$X$4:$X$40)*F$15)+(LOOKUP(F$2,'Floor-U'!$A$4:$A$40,'Floor-U'!$E$4:$E$40)*F$16)+(LOOKUP(F$2,'Wall-U'!$A$4:$A$40,'Wall-U'!$X$4:$X$40)*F$13)+(LOOKUP(F$2,'Window-U'!$A$4:$A$40,'Window-U'!$S$4:$S$40)*F$22))*F$133</f>
        <v>405.48582549968296</v>
      </c>
      <c r="G134" s="171">
        <f>((LOOKUP(G$2,'Ceiling-U'!$A$4:$A$40,'Ceiling-U'!$X$4:$X$40)*G$15)+(LOOKUP(G$2,'Floor-U'!$A$4:$A$40,'Floor-U'!$E$4:$E$40)*G$16)+(LOOKUP(G$2,'Wall-U'!$A$4:$A$40,'Wall-U'!$X$4:$X$40)*G$13)+(LOOKUP(G$2,'Window-U'!$A$4:$A$40,'Window-U'!$S$4:$S$40)*G$22))*G$133</f>
        <v>765.18291419353113</v>
      </c>
      <c r="H134" s="171">
        <f>((LOOKUP(H$2,'Ceiling-U'!$A$4:$A$40,'Ceiling-U'!$X$4:$X$40)*H$15)+(LOOKUP(H$2,'Floor-U'!$A$4:$A$40,'Floor-U'!$E$4:$E$40)*H$16)+(LOOKUP(H$2,'Wall-U'!$A$4:$A$40,'Wall-U'!$X$4:$X$40)*H$13)+(LOOKUP(H$2,'Window-U'!$A$4:$A$40,'Window-U'!$S$4:$S$40)*H$22))*H$133</f>
        <v>1151.398765346672</v>
      </c>
      <c r="I134" s="171">
        <f>((LOOKUP(I$2,'Ceiling-U'!$A$4:$A$40,'Ceiling-U'!$X$4:$X$40)*I$15)+(LOOKUP(I$2,'Floor-U'!$A$4:$A$40,'Floor-U'!$E$4:$E$40)*I$16)+(LOOKUP(I$2,'Wall-U'!$A$4:$A$40,'Wall-U'!$X$4:$X$40)*I$13)+(LOOKUP(I$2,'Window-U'!$A$4:$A$40,'Window-U'!$S$4:$S$40)*I$22))*I$133</f>
        <v>689.62630710016492</v>
      </c>
      <c r="J134" s="171">
        <f>((LOOKUP(J$2,'Ceiling-U'!$A$4:$A$40,'Ceiling-U'!$X$4:$X$40)*J$15)+(LOOKUP(J$2,'Floor-U'!$A$4:$A$40,'Floor-U'!$E$4:$E$40)*J$16)+(LOOKUP(J$2,'Wall-U'!$A$4:$A$40,'Wall-U'!$X$4:$X$40)*J$13)+(LOOKUP(J$2,'Window-U'!$A$4:$A$40,'Window-U'!$S$4:$S$40)*J$22))*J$133</f>
        <v>652.31094985738707</v>
      </c>
      <c r="K134" s="171">
        <f>((LOOKUP(K$2,'Ceiling-U'!$A$4:$A$40,'Ceiling-U'!$X$4:$X$40)*K$15)+(LOOKUP(K$2,'Floor-U'!$A$4:$A$40,'Floor-U'!$E$4:$E$40)*K$16)+(LOOKUP(K$2,'Wall-U'!$A$4:$A$40,'Wall-U'!$X$4:$X$40)*K$13)+(LOOKUP(K$2,'Window-U'!$A$4:$A$40,'Window-U'!$S$4:$S$40)*K$22))*K$133</f>
        <v>566.69466064909841</v>
      </c>
      <c r="L134" s="171">
        <f>((LOOKUP(L$2,'Ceiling-U'!$A$4:$A$40,'Ceiling-U'!$X$4:$X$40)*L$15)+(LOOKUP(L$2,'Floor-U'!$A$4:$A$40,'Floor-U'!$E$4:$E$40)*L$16)+(LOOKUP(L$2,'Wall-U'!$A$4:$A$40,'Wall-U'!$X$4:$X$40)*L$13)+(LOOKUP(L$2,'Window-U'!$A$4:$A$40,'Window-U'!$S$4:$S$40)*L$22))*L$133</f>
        <v>296.4145702190018</v>
      </c>
      <c r="M134" s="171">
        <f>((LOOKUP(M$2,'Ceiling-U'!$A$4:$A$40,'Ceiling-U'!$X$4:$X$40)*M$15)+(LOOKUP(M$2,'Floor-U'!$A$4:$A$40,'Floor-U'!$E$4:$E$40)*M$16)+(LOOKUP(M$2,'Wall-U'!$A$4:$A$40,'Wall-U'!$X$4:$X$40)*M$13)+(LOOKUP(M$2,'Window-U'!$A$4:$A$40,'Window-U'!$S$4:$S$40)*M$22))*M$133</f>
        <v>1192.4120142779229</v>
      </c>
      <c r="N134" s="171">
        <f>((LOOKUP(N$2,'Ceiling-U'!$A$4:$A$40,'Ceiling-U'!$X$4:$X$40)*N$15)+(LOOKUP(N$2,'Floor-U'!$A$4:$A$40,'Floor-U'!$E$4:$E$40)*N$16)+(LOOKUP(N$2,'Wall-U'!$A$4:$A$40,'Wall-U'!$X$4:$X$40)*N$13)+(LOOKUP(N$2,'Window-U'!$A$4:$A$40,'Window-U'!$S$4:$S$40)*N$22))*N$133</f>
        <v>399.48584379042353</v>
      </c>
      <c r="O134" s="171">
        <f>((LOOKUP(O$2,'Ceiling-U'!$A$4:$A$40,'Ceiling-U'!$X$4:$X$40)*O$15)+(LOOKUP(O$2,'Floor-U'!$A$4:$A$40,'Floor-U'!$E$4:$E$40)*O$16)+(LOOKUP(O$2,'Wall-U'!$A$4:$A$40,'Wall-U'!$X$4:$X$40)*O$13)+(LOOKUP(O$2,'Window-U'!$A$4:$A$40,'Window-U'!$S$4:$S$40)*O$22))*O$133</f>
        <v>996.29136364203805</v>
      </c>
      <c r="P134" s="171">
        <f>((LOOKUP(P$2,'Ceiling-U'!$A$4:$A$40,'Ceiling-U'!$X$4:$X$40)*P$15)+(LOOKUP(P$2,'Floor-U'!$A$4:$A$40,'Floor-U'!$E$4:$E$40)*P$16)+(LOOKUP(P$2,'Wall-U'!$A$4:$A$40,'Wall-U'!$X$4:$X$40)*P$13)+(LOOKUP(P$2,'Window-U'!$A$4:$A$40,'Window-U'!$S$4:$S$40)*P$22))*P$133</f>
        <v>755.48099498176202</v>
      </c>
      <c r="Q134" s="171">
        <f>((LOOKUP(Q$2,'Ceiling-U'!$A$4:$A$40,'Ceiling-U'!$X$4:$X$40)*Q$15)+(LOOKUP(Q$2,'Floor-U'!$A$4:$A$40,'Floor-U'!$E$4:$E$40)*Q$16)+(LOOKUP(Q$2,'Wall-U'!$A$4:$A$40,'Wall-U'!$X$4:$X$40)*Q$13)+(LOOKUP(Q$2,'Window-U'!$A$4:$A$40,'Window-U'!$S$4:$S$40)*Q$22))*Q$133</f>
        <v>395.02698776980674</v>
      </c>
      <c r="R134" s="171">
        <f>((LOOKUP(R$2,'Ceiling-U'!$A$4:$A$40,'Ceiling-U'!$X$4:$X$40)*R$15)+(LOOKUP(R$2,'Floor-U'!$A$4:$A$40,'Floor-U'!$E$4:$E$40)*R$16)+(LOOKUP(R$2,'Wall-U'!$A$4:$A$40,'Wall-U'!$X$4:$X$40)*R$13)+(LOOKUP(R$2,'Window-U'!$A$4:$A$40,'Window-U'!$S$4:$S$40)*R$22))*R$133</f>
        <v>528.31660688030854</v>
      </c>
      <c r="S134" s="171">
        <f>((LOOKUP(S$2,'Ceiling-U'!$A$4:$A$40,'Ceiling-U'!$X$4:$X$40)*S$15)+(LOOKUP(S$2,'Floor-U'!$A$4:$A$40,'Floor-U'!$E$4:$E$40)*S$16)+(LOOKUP(S$2,'Wall-U'!$A$4:$A$40,'Wall-U'!$X$4:$X$40)*S$13)+(LOOKUP(S$2,'Window-U'!$A$4:$A$40,'Window-U'!$S$4:$S$40)*S$22))*S$133</f>
        <v>583.4267038961641</v>
      </c>
      <c r="T134" s="171">
        <f>((LOOKUP(T$2,'Ceiling-U'!$A$4:$A$40,'Ceiling-U'!$X$4:$X$40)*T$15)+(LOOKUP(T$2,'Floor-U'!$A$4:$A$40,'Floor-U'!$E$4:$E$40)*T$16)+(LOOKUP(T$2,'Wall-U'!$A$4:$A$40,'Wall-U'!$X$4:$X$40)*T$13)+(LOOKUP(T$2,'Window-U'!$A$4:$A$40,'Window-U'!$S$4:$S$40)*T$22))*T$133</f>
        <v>403.05458122994031</v>
      </c>
      <c r="U134" s="171">
        <f>((LOOKUP(U$2,'Ceiling-U'!$A$4:$A$40,'Ceiling-U'!$X$4:$X$40)*U$15)+(LOOKUP(U$2,'Floor-U'!$A$4:$A$40,'Floor-U'!$E$4:$E$40)*U$16)+(LOOKUP(U$2,'Wall-U'!$A$4:$A$40,'Wall-U'!$X$4:$X$40)*U$13)+(LOOKUP(U$2,'Window-U'!$A$4:$A$40,'Window-U'!$S$4:$S$40)*U$22))*U$133</f>
        <v>950.27280548643739</v>
      </c>
      <c r="V134" s="171">
        <f>((LOOKUP(V$2,'Ceiling-U'!$A$4:$A$40,'Ceiling-U'!$X$4:$X$40)*V$15)+(LOOKUP(V$2,'Floor-U'!$A$4:$A$40,'Floor-U'!$E$4:$E$40)*V$16)+(LOOKUP(V$2,'Wall-U'!$A$4:$A$40,'Wall-U'!$X$4:$X$40)*V$13)+(LOOKUP(V$2,'Window-U'!$A$4:$A$40,'Window-U'!$S$4:$S$40)*V$22))*V$133</f>
        <v>527.03434169071716</v>
      </c>
      <c r="W134" s="171">
        <f>((LOOKUP(W$2,'Ceiling-U'!$A$4:$A$40,'Ceiling-U'!$X$4:$X$40)*W$15)+(LOOKUP(W$2,'Floor-U'!$A$4:$A$40,'Floor-U'!$E$4:$E$40)*W$16)+(LOOKUP(W$2,'Wall-U'!$A$4:$A$40,'Wall-U'!$X$4:$X$40)*W$13)+(LOOKUP(W$2,'Window-U'!$A$4:$A$40,'Window-U'!$S$4:$S$40)*W$22))*W$133</f>
        <v>490.56737235271106</v>
      </c>
      <c r="X134" s="171">
        <f>((LOOKUP(X$2,'Ceiling-U'!$A$4:$A$40,'Ceiling-U'!$X$4:$X$40)*X$15)+(LOOKUP(X$2,'Floor-U'!$A$4:$A$40,'Floor-U'!$E$4:$E$40)*X$16)+(LOOKUP(X$2,'Wall-U'!$A$4:$A$40,'Wall-U'!$X$4:$X$40)*X$13)+(LOOKUP(X$2,'Window-U'!$A$4:$A$40,'Window-U'!$S$4:$S$40)*X$22))*X$133</f>
        <v>497.04483689085112</v>
      </c>
      <c r="Y134" s="171">
        <f>((LOOKUP(Y$2,'Ceiling-U'!$A$4:$A$40,'Ceiling-U'!$X$4:$X$40)*Y$15)+(LOOKUP(Y$2,'Floor-U'!$A$4:$A$40,'Floor-U'!$E$4:$E$40)*Y$16)+(LOOKUP(Y$2,'Wall-U'!$A$4:$A$40,'Wall-U'!$X$4:$X$40)*Y$13)+(LOOKUP(Y$2,'Window-U'!$A$4:$A$40,'Window-U'!$S$4:$S$40)*Y$22))*Y$133</f>
        <v>1320.6267151323739</v>
      </c>
      <c r="Z134" s="171">
        <f>((LOOKUP(Z$2,'Ceiling-U'!$A$4:$A$40,'Ceiling-U'!$X$4:$X$40)*Z$15)+(LOOKUP(Z$2,'Floor-U'!$A$4:$A$40,'Floor-U'!$E$4:$E$40)*Z$16)+(LOOKUP(Z$2,'Wall-U'!$A$4:$A$40,'Wall-U'!$X$4:$X$40)*Z$13)+(LOOKUP(Z$2,'Window-U'!$A$4:$A$40,'Window-U'!$S$4:$S$40)*Z$22))*Z$133</f>
        <v>736.92746078778555</v>
      </c>
      <c r="AA134" s="171">
        <f>((LOOKUP(AA$2,'Ceiling-U'!$A$4:$A$40,'Ceiling-U'!$X$4:$X$40)*AA$15)+(LOOKUP(AA$2,'Floor-U'!$A$4:$A$40,'Floor-U'!$E$4:$E$40)*AA$16)+(LOOKUP(AA$2,'Wall-U'!$A$4:$A$40,'Wall-U'!$X$4:$X$40)*AA$13)+(LOOKUP(AA$2,'Window-U'!$A$4:$A$40,'Window-U'!$S$4:$S$40)*AA$22))*AA$133</f>
        <v>313.64455430966018</v>
      </c>
      <c r="AB134" s="171">
        <f>((LOOKUP(AB$2,'Ceiling-U'!$A$4:$A$40,'Ceiling-U'!$X$4:$X$40)*AB$15)+(LOOKUP(AB$2,'Floor-U'!$A$4:$A$40,'Floor-U'!$E$4:$E$40)*AB$16)+(LOOKUP(AB$2,'Wall-U'!$A$4:$A$40,'Wall-U'!$X$4:$X$40)*AB$13)+(LOOKUP(AB$2,'Window-U'!$A$4:$A$40,'Window-U'!$S$4:$S$40)*AB$22))*AB$133</f>
        <v>595.529395031891</v>
      </c>
      <c r="AC134" s="171">
        <f>((LOOKUP(AC$2,'Ceiling-U'!$A$4:$A$40,'Ceiling-U'!$X$4:$X$40)*AC$15)+(LOOKUP(AC$2,'Floor-U'!$A$4:$A$40,'Floor-U'!$E$4:$E$40)*AC$16)+(LOOKUP(AC$2,'Wall-U'!$A$4:$A$40,'Wall-U'!$X$4:$X$40)*AC$13)+(LOOKUP(AC$2,'Window-U'!$A$4:$A$40,'Window-U'!$S$4:$S$40)*AC$22))*AC$133</f>
        <v>985.79801343105726</v>
      </c>
      <c r="AD134" s="171">
        <f>((LOOKUP(AD$2,'Ceiling-U'!$A$4:$A$40,'Ceiling-U'!$X$4:$X$40)*AD$15)+(LOOKUP(AD$2,'Floor-U'!$A$4:$A$40,'Floor-U'!$E$4:$E$40)*AD$16)+(LOOKUP(AD$2,'Wall-U'!$A$4:$A$40,'Wall-U'!$X$4:$X$40)*AD$13)+(LOOKUP(AD$2,'Window-U'!$A$4:$A$40,'Window-U'!$S$4:$S$40)*AD$22))*AD$133</f>
        <v>584.36729249295252</v>
      </c>
      <c r="AE134" s="171">
        <f>((LOOKUP(AE$2,'Ceiling-U'!$A$4:$A$40,'Ceiling-U'!$X$4:$X$40)*AE$15)+(LOOKUP(AE$2,'Floor-U'!$A$4:$A$40,'Floor-U'!$E$4:$E$40)*AE$16)+(LOOKUP(AE$2,'Wall-U'!$A$4:$A$40,'Wall-U'!$X$4:$X$40)*AE$13)+(LOOKUP(AE$2,'Window-U'!$A$4:$A$40,'Window-U'!$S$4:$S$40)*AE$22))*AE$133</f>
        <v>308.23911621815046</v>
      </c>
      <c r="AF134" s="171">
        <f>((LOOKUP(AF$2,'Ceiling-U'!$A$4:$A$40,'Ceiling-U'!$X$4:$X$40)*AF$15)+(LOOKUP(AF$2,'Floor-U'!$A$4:$A$40,'Floor-U'!$E$4:$E$40)*AF$16)+(LOOKUP(AF$2,'Wall-U'!$A$4:$A$40,'Wall-U'!$X$4:$X$40)*AF$13)+(LOOKUP(AF$2,'Window-U'!$A$4:$A$40,'Window-U'!$S$4:$S$40)*AF$22))*AF$133</f>
        <v>560.51227954019078</v>
      </c>
      <c r="AG134" s="171">
        <f>((LOOKUP(AG$2,'Ceiling-U'!$A$4:$A$40,'Ceiling-U'!$X$4:$X$40)*AG$15)+(LOOKUP(AG$2,'Floor-U'!$A$4:$A$40,'Floor-U'!$E$4:$E$40)*AG$16)+(LOOKUP(AG$2,'Wall-U'!$A$4:$A$40,'Wall-U'!$X$4:$X$40)*AG$13)+(LOOKUP(AG$2,'Window-U'!$A$4:$A$40,'Window-U'!$S$4:$S$40)*AG$22))*AG$133</f>
        <v>820.23483512234827</v>
      </c>
      <c r="AH134" s="171">
        <f>((LOOKUP(AH$2,'Ceiling-U'!$A$4:$A$40,'Ceiling-U'!$X$4:$X$40)*AH$15)+(LOOKUP(AH$2,'Floor-U'!$A$4:$A$40,'Floor-U'!$E$4:$E$40)*AH$16)+(LOOKUP(AH$2,'Wall-U'!$A$4:$A$40,'Wall-U'!$X$4:$X$40)*AH$13)+(LOOKUP(AH$2,'Window-U'!$A$4:$A$40,'Window-U'!$S$4:$S$40)*AH$22))*AH$133</f>
        <v>454.78028134830635</v>
      </c>
      <c r="AI134" s="171">
        <f>((LOOKUP(AI$2,'Ceiling-U'!$A$4:$A$40,'Ceiling-U'!$X$4:$X$40)*AI$15)+(LOOKUP(AI$2,'Floor-U'!$A$4:$A$40,'Floor-U'!$E$4:$E$40)*AI$16)+(LOOKUP(AI$2,'Wall-U'!$A$4:$A$40,'Wall-U'!$X$4:$X$40)*AI$13)+(LOOKUP(AI$2,'Window-U'!$A$4:$A$40,'Window-U'!$S$4:$S$40)*AI$22))*AI$133</f>
        <v>1119.8284269261753</v>
      </c>
      <c r="AJ134" s="171">
        <f>((LOOKUP(AJ$2,'Ceiling-U'!$A$4:$A$40,'Ceiling-U'!$X$4:$X$40)*AJ$15)+(LOOKUP(AJ$2,'Floor-U'!$A$4:$A$40,'Floor-U'!$E$4:$E$40)*AJ$16)+(LOOKUP(AJ$2,'Wall-U'!$A$4:$A$40,'Wall-U'!$X$4:$X$40)*AJ$13)+(LOOKUP(AJ$2,'Window-U'!$A$4:$A$40,'Window-U'!$S$4:$S$40)*AJ$22))*AJ$133</f>
        <v>398.83263312666054</v>
      </c>
      <c r="AK134" s="171">
        <f>((LOOKUP(AK$2,'Ceiling-U'!$A$4:$A$40,'Ceiling-U'!$X$4:$X$40)*AK$15)+(LOOKUP(AK$2,'Floor-U'!$A$4:$A$40,'Floor-U'!$E$4:$E$40)*AK$16)+(LOOKUP(AK$2,'Wall-U'!$A$4:$A$40,'Wall-U'!$X$4:$X$40)*AK$13)+(LOOKUP(AK$2,'Window-U'!$A$4:$A$40,'Window-U'!$S$4:$S$40)*AK$22))*AK$133</f>
        <v>506.29846538645512</v>
      </c>
      <c r="AL134" s="171">
        <f>((LOOKUP(AL$2,'Ceiling-U'!$A$4:$A$40,'Ceiling-U'!$X$4:$X$40)*AL$15)+(LOOKUP(AL$2,'Floor-U'!$A$4:$A$40,'Floor-U'!$E$4:$E$40)*AL$16)+(LOOKUP(AL$2,'Wall-U'!$A$4:$A$40,'Wall-U'!$X$4:$X$40)*AL$13)+(LOOKUP(AL$2,'Window-U'!$A$4:$A$40,'Window-U'!$S$4:$S$40)*AL$22))*AL$133</f>
        <v>430.71603799242291</v>
      </c>
      <c r="AM134" s="171">
        <f>((LOOKUP(AM$2,'Ceiling-U'!$A$4:$A$40,'Ceiling-U'!$X$4:$X$40)*AM$15)+(LOOKUP(AM$2,'Floor-U'!$A$4:$A$40,'Floor-U'!$E$4:$E$40)*AM$16)+(LOOKUP(AM$2,'Wall-U'!$A$4:$A$40,'Wall-U'!$X$4:$X$40)*AM$13)+(LOOKUP(AM$2,'Window-U'!$A$4:$A$40,'Window-U'!$S$4:$S$40)*AM$22))*AM$133</f>
        <v>398.83263312666054</v>
      </c>
      <c r="AN134" s="172">
        <f>((LOOKUP(AN$2,'Ceiling-U'!$A$4:$A$40,'Ceiling-U'!$X$4:$X$40)*AN$15)+(LOOKUP(AN$2,'Floor-U'!$A$4:$A$40,'Floor-U'!$E$4:$E$40)*AN$16)+(LOOKUP(AN$2,'Wall-U'!$A$4:$A$40,'Wall-U'!$X$4:$X$40)*AN$13)+(LOOKUP(AN$2,'Window-U'!$A$4:$A$40,'Window-U'!$S$4:$S$40)*AN$22))*AN$133</f>
        <v>398.83263312666054</v>
      </c>
    </row>
    <row r="135" spans="1:40">
      <c r="A135" s="372"/>
      <c r="B135" s="142" t="s">
        <v>3</v>
      </c>
      <c r="C135" s="131" t="s">
        <v>195</v>
      </c>
      <c r="D135" s="176">
        <f>((LOOKUP(D$2,'Ceiling-U'!$A$4:$A$40,'Ceiling-U'!$Y$4:$Y$40)*D$15)+(LOOKUP(D$2,'Floor-U'!$A$4:$A$40,'Floor-U'!$F$4:$F$40)*D$16)+(LOOKUP(D$2,'Wall-U'!$A$4:$A$40,'Wall-U'!$Y$4:$Y$40)*D$13)+(LOOKUP(D$2,'Window-U'!$A$4:$A$40,'Window-U'!$S$4:$S$40)*D$22))*D$133</f>
        <v>813.41897151822661</v>
      </c>
      <c r="E135" s="177">
        <f>((LOOKUP(E$2,'Ceiling-U'!$A$4:$A$40,'Ceiling-U'!$Y$4:$Y$40)*E$15)+(LOOKUP(E$2,'Floor-U'!$A$4:$A$40,'Floor-U'!$F$4:$F$40)*E$16)+(LOOKUP(E$2,'Wall-U'!$A$4:$A$40,'Wall-U'!$Y$4:$Y$40)*E$13)+(LOOKUP(E$2,'Window-U'!$A$4:$A$40,'Window-U'!$S$4:$S$40)*E$22))*E$133</f>
        <v>679.72618381379164</v>
      </c>
      <c r="F135" s="177">
        <f>((LOOKUP(F$2,'Ceiling-U'!$A$4:$A$40,'Ceiling-U'!$Y$4:$Y$40)*F$15)+(LOOKUP(F$2,'Floor-U'!$A$4:$A$40,'Floor-U'!$F$4:$F$40)*F$16)+(LOOKUP(F$2,'Wall-U'!$A$4:$A$40,'Wall-U'!$Y$4:$Y$40)*F$13)+(LOOKUP(F$2,'Window-U'!$A$4:$A$40,'Window-U'!$S$4:$S$40)*F$22))*F$133</f>
        <v>405.48582549968296</v>
      </c>
      <c r="G135" s="177">
        <f>((LOOKUP(G$2,'Ceiling-U'!$A$4:$A$40,'Ceiling-U'!$Y$4:$Y$40)*G$15)+(LOOKUP(G$2,'Floor-U'!$A$4:$A$40,'Floor-U'!$F$4:$F$40)*G$16)+(LOOKUP(G$2,'Wall-U'!$A$4:$A$40,'Wall-U'!$Y$4:$Y$40)*G$13)+(LOOKUP(G$2,'Window-U'!$A$4:$A$40,'Window-U'!$S$4:$S$40)*G$22))*G$133</f>
        <v>846.45738254738058</v>
      </c>
      <c r="H135" s="177">
        <f>((LOOKUP(H$2,'Ceiling-U'!$A$4:$A$40,'Ceiling-U'!$Y$4:$Y$40)*H$15)+(LOOKUP(H$2,'Floor-U'!$A$4:$A$40,'Floor-U'!$F$4:$F$40)*H$16)+(LOOKUP(H$2,'Wall-U'!$A$4:$A$40,'Wall-U'!$Y$4:$Y$40)*H$13)+(LOOKUP(H$2,'Window-U'!$A$4:$A$40,'Window-U'!$S$4:$S$40)*H$22))*H$133</f>
        <v>1146.0381769843962</v>
      </c>
      <c r="I135" s="177">
        <f>((LOOKUP(I$2,'Ceiling-U'!$A$4:$A$40,'Ceiling-U'!$Y$4:$Y$40)*I$15)+(LOOKUP(I$2,'Floor-U'!$A$4:$A$40,'Floor-U'!$F$4:$F$40)*I$16)+(LOOKUP(I$2,'Wall-U'!$A$4:$A$40,'Wall-U'!$Y$4:$Y$40)*I$13)+(LOOKUP(I$2,'Window-U'!$A$4:$A$40,'Window-U'!$S$4:$S$40)*I$22))*I$133</f>
        <v>530.50163192923492</v>
      </c>
      <c r="J135" s="177">
        <f>((LOOKUP(J$2,'Ceiling-U'!$A$4:$A$40,'Ceiling-U'!$Y$4:$Y$40)*J$15)+(LOOKUP(J$2,'Floor-U'!$A$4:$A$40,'Floor-U'!$F$4:$F$40)*J$16)+(LOOKUP(J$2,'Wall-U'!$A$4:$A$40,'Wall-U'!$Y$4:$Y$40)*J$13)+(LOOKUP(J$2,'Window-U'!$A$4:$A$40,'Window-U'!$S$4:$S$40)*J$22))*J$133</f>
        <v>689.11362004484704</v>
      </c>
      <c r="K135" s="177">
        <f>((LOOKUP(K$2,'Ceiling-U'!$A$4:$A$40,'Ceiling-U'!$Y$4:$Y$40)*K$15)+(LOOKUP(K$2,'Floor-U'!$A$4:$A$40,'Floor-U'!$F$4:$F$40)*K$16)+(LOOKUP(K$2,'Wall-U'!$A$4:$A$40,'Wall-U'!$Y$4:$Y$40)*K$13)+(LOOKUP(K$2,'Window-U'!$A$4:$A$40,'Window-U'!$S$4:$S$40)*K$22))*K$133</f>
        <v>535.16054703798079</v>
      </c>
      <c r="L135" s="177">
        <f>((LOOKUP(L$2,'Ceiling-U'!$A$4:$A$40,'Ceiling-U'!$Y$4:$Y$40)*L$15)+(LOOKUP(L$2,'Floor-U'!$A$4:$A$40,'Floor-U'!$F$4:$F$40)*L$16)+(LOOKUP(L$2,'Wall-U'!$A$4:$A$40,'Wall-U'!$Y$4:$Y$40)*L$13)+(LOOKUP(L$2,'Window-U'!$A$4:$A$40,'Window-U'!$S$4:$S$40)*L$22))*L$133</f>
        <v>296.4145702190018</v>
      </c>
      <c r="M135" s="177">
        <f>((LOOKUP(M$2,'Ceiling-U'!$A$4:$A$40,'Ceiling-U'!$Y$4:$Y$40)*M$15)+(LOOKUP(M$2,'Floor-U'!$A$4:$A$40,'Floor-U'!$F$4:$F$40)*M$16)+(LOOKUP(M$2,'Wall-U'!$A$4:$A$40,'Wall-U'!$Y$4:$Y$40)*M$13)+(LOOKUP(M$2,'Window-U'!$A$4:$A$40,'Window-U'!$S$4:$S$40)*M$22))*M$133</f>
        <v>1184.624554166598</v>
      </c>
      <c r="N135" s="177">
        <f>((LOOKUP(N$2,'Ceiling-U'!$A$4:$A$40,'Ceiling-U'!$Y$4:$Y$40)*N$15)+(LOOKUP(N$2,'Floor-U'!$A$4:$A$40,'Floor-U'!$F$4:$F$40)*N$16)+(LOOKUP(N$2,'Wall-U'!$A$4:$A$40,'Wall-U'!$Y$4:$Y$40)*N$13)+(LOOKUP(N$2,'Window-U'!$A$4:$A$40,'Window-U'!$S$4:$S$40)*N$22))*N$133</f>
        <v>336.21919328515452</v>
      </c>
      <c r="O135" s="177">
        <f>((LOOKUP(O$2,'Ceiling-U'!$A$4:$A$40,'Ceiling-U'!$Y$4:$Y$40)*O$15)+(LOOKUP(O$2,'Floor-U'!$A$4:$A$40,'Floor-U'!$F$4:$F$40)*O$16)+(LOOKUP(O$2,'Wall-U'!$A$4:$A$40,'Wall-U'!$Y$4:$Y$40)*O$13)+(LOOKUP(O$2,'Window-U'!$A$4:$A$40,'Window-U'!$S$4:$S$40)*O$22))*O$133</f>
        <v>996.29136364203805</v>
      </c>
      <c r="P135" s="177">
        <f>((LOOKUP(P$2,'Ceiling-U'!$A$4:$A$40,'Ceiling-U'!$Y$4:$Y$40)*P$15)+(LOOKUP(P$2,'Floor-U'!$A$4:$A$40,'Floor-U'!$F$4:$F$40)*P$16)+(LOOKUP(P$2,'Wall-U'!$A$4:$A$40,'Wall-U'!$Y$4:$Y$40)*P$13)+(LOOKUP(P$2,'Window-U'!$A$4:$A$40,'Window-U'!$S$4:$S$40)*P$22))*P$133</f>
        <v>755.48099498176202</v>
      </c>
      <c r="Q135" s="177">
        <f>((LOOKUP(Q$2,'Ceiling-U'!$A$4:$A$40,'Ceiling-U'!$Y$4:$Y$40)*Q$15)+(LOOKUP(Q$2,'Floor-U'!$A$4:$A$40,'Floor-U'!$F$4:$F$40)*Q$16)+(LOOKUP(Q$2,'Wall-U'!$A$4:$A$40,'Wall-U'!$Y$4:$Y$40)*Q$13)+(LOOKUP(Q$2,'Window-U'!$A$4:$A$40,'Window-U'!$S$4:$S$40)*Q$22))*Q$133</f>
        <v>398.88465834946544</v>
      </c>
      <c r="R135" s="177">
        <f>((LOOKUP(R$2,'Ceiling-U'!$A$4:$A$40,'Ceiling-U'!$Y$4:$Y$40)*R$15)+(LOOKUP(R$2,'Floor-U'!$A$4:$A$40,'Floor-U'!$F$4:$F$40)*R$16)+(LOOKUP(R$2,'Wall-U'!$A$4:$A$40,'Wall-U'!$Y$4:$Y$40)*R$13)+(LOOKUP(R$2,'Window-U'!$A$4:$A$40,'Window-U'!$S$4:$S$40)*R$22))*R$133</f>
        <v>528.31660688030854</v>
      </c>
      <c r="S135" s="177">
        <f>((LOOKUP(S$2,'Ceiling-U'!$A$4:$A$40,'Ceiling-U'!$Y$4:$Y$40)*S$15)+(LOOKUP(S$2,'Floor-U'!$A$4:$A$40,'Floor-U'!$F$4:$F$40)*S$16)+(LOOKUP(S$2,'Wall-U'!$A$4:$A$40,'Wall-U'!$Y$4:$Y$40)*S$13)+(LOOKUP(S$2,'Window-U'!$A$4:$A$40,'Window-U'!$S$4:$S$40)*S$22))*S$133</f>
        <v>583.89129371129536</v>
      </c>
      <c r="T135" s="177">
        <f>((LOOKUP(T$2,'Ceiling-U'!$A$4:$A$40,'Ceiling-U'!$Y$4:$Y$40)*T$15)+(LOOKUP(T$2,'Floor-U'!$A$4:$A$40,'Floor-U'!$F$4:$F$40)*T$16)+(LOOKUP(T$2,'Wall-U'!$A$4:$A$40,'Wall-U'!$Y$4:$Y$40)*T$13)+(LOOKUP(T$2,'Window-U'!$A$4:$A$40,'Window-U'!$S$4:$S$40)*T$22))*T$133</f>
        <v>339.07060243753034</v>
      </c>
      <c r="U135" s="177">
        <f>((LOOKUP(U$2,'Ceiling-U'!$A$4:$A$40,'Ceiling-U'!$Y$4:$Y$40)*U$15)+(LOOKUP(U$2,'Floor-U'!$A$4:$A$40,'Floor-U'!$F$4:$F$40)*U$16)+(LOOKUP(U$2,'Wall-U'!$A$4:$A$40,'Wall-U'!$Y$4:$Y$40)*U$13)+(LOOKUP(U$2,'Window-U'!$A$4:$A$40,'Window-U'!$S$4:$S$40)*U$22))*U$133</f>
        <v>945.62986577975062</v>
      </c>
      <c r="V135" s="177">
        <f>((LOOKUP(V$2,'Ceiling-U'!$A$4:$A$40,'Ceiling-U'!$Y$4:$Y$40)*V$15)+(LOOKUP(V$2,'Floor-U'!$A$4:$A$40,'Floor-U'!$F$4:$F$40)*V$16)+(LOOKUP(V$2,'Wall-U'!$A$4:$A$40,'Wall-U'!$Y$4:$Y$40)*V$13)+(LOOKUP(V$2,'Window-U'!$A$4:$A$40,'Window-U'!$S$4:$S$40)*V$22))*V$133</f>
        <v>527.03434169071716</v>
      </c>
      <c r="W135" s="177">
        <f>((LOOKUP(W$2,'Ceiling-U'!$A$4:$A$40,'Ceiling-U'!$Y$4:$Y$40)*W$15)+(LOOKUP(W$2,'Floor-U'!$A$4:$A$40,'Floor-U'!$F$4:$F$40)*W$16)+(LOOKUP(W$2,'Wall-U'!$A$4:$A$40,'Wall-U'!$Y$4:$Y$40)*W$13)+(LOOKUP(W$2,'Window-U'!$A$4:$A$40,'Window-U'!$S$4:$S$40)*W$22))*W$133</f>
        <v>428.87760269673106</v>
      </c>
      <c r="X135" s="177">
        <f>((LOOKUP(X$2,'Ceiling-U'!$A$4:$A$40,'Ceiling-U'!$Y$4:$Y$40)*X$15)+(LOOKUP(X$2,'Floor-U'!$A$4:$A$40,'Floor-U'!$F$4:$F$40)*X$16)+(LOOKUP(X$2,'Wall-U'!$A$4:$A$40,'Wall-U'!$Y$4:$Y$40)*X$13)+(LOOKUP(X$2,'Window-U'!$A$4:$A$40,'Window-U'!$S$4:$S$40)*X$22))*X$133</f>
        <v>497.04483689085112</v>
      </c>
      <c r="Y135" s="177">
        <f>((LOOKUP(Y$2,'Ceiling-U'!$A$4:$A$40,'Ceiling-U'!$Y$4:$Y$40)*Y$15)+(LOOKUP(Y$2,'Floor-U'!$A$4:$A$40,'Floor-U'!$F$4:$F$40)*Y$16)+(LOOKUP(Y$2,'Wall-U'!$A$4:$A$40,'Wall-U'!$Y$4:$Y$40)*Y$13)+(LOOKUP(Y$2,'Window-U'!$A$4:$A$40,'Window-U'!$S$4:$S$40)*Y$22))*Y$133</f>
        <v>1320.5293804789469</v>
      </c>
      <c r="Z135" s="177">
        <f>((LOOKUP(Z$2,'Ceiling-U'!$A$4:$A$40,'Ceiling-U'!$Y$4:$Y$40)*Z$15)+(LOOKUP(Z$2,'Floor-U'!$A$4:$A$40,'Floor-U'!$F$4:$F$40)*Z$16)+(LOOKUP(Z$2,'Wall-U'!$A$4:$A$40,'Wall-U'!$Y$4:$Y$40)*Z$13)+(LOOKUP(Z$2,'Window-U'!$A$4:$A$40,'Window-U'!$S$4:$S$40)*Z$22))*Z$133</f>
        <v>777.80716861857786</v>
      </c>
      <c r="AA135" s="177">
        <f>((LOOKUP(AA$2,'Ceiling-U'!$A$4:$A$40,'Ceiling-U'!$Y$4:$Y$40)*AA$15)+(LOOKUP(AA$2,'Floor-U'!$A$4:$A$40,'Floor-U'!$F$4:$F$40)*AA$16)+(LOOKUP(AA$2,'Wall-U'!$A$4:$A$40,'Wall-U'!$Y$4:$Y$40)*AA$13)+(LOOKUP(AA$2,'Window-U'!$A$4:$A$40,'Window-U'!$S$4:$S$40)*AA$22))*AA$133</f>
        <v>313.64455430966018</v>
      </c>
      <c r="AB135" s="177">
        <f>((LOOKUP(AB$2,'Ceiling-U'!$A$4:$A$40,'Ceiling-U'!$Y$4:$Y$40)*AB$15)+(LOOKUP(AB$2,'Floor-U'!$A$4:$A$40,'Floor-U'!$F$4:$F$40)*AB$16)+(LOOKUP(AB$2,'Wall-U'!$A$4:$A$40,'Wall-U'!$Y$4:$Y$40)*AB$13)+(LOOKUP(AB$2,'Window-U'!$A$4:$A$40,'Window-U'!$S$4:$S$40)*AB$22))*AB$133</f>
        <v>574.72263323655011</v>
      </c>
      <c r="AC135" s="177">
        <f>((LOOKUP(AC$2,'Ceiling-U'!$A$4:$A$40,'Ceiling-U'!$Y$4:$Y$40)*AC$15)+(LOOKUP(AC$2,'Floor-U'!$A$4:$A$40,'Floor-U'!$F$4:$F$40)*AC$16)+(LOOKUP(AC$2,'Wall-U'!$A$4:$A$40,'Wall-U'!$Y$4:$Y$40)*AC$13)+(LOOKUP(AC$2,'Window-U'!$A$4:$A$40,'Window-U'!$S$4:$S$40)*AC$22))*AC$133</f>
        <v>1045.9257622794171</v>
      </c>
      <c r="AD135" s="177">
        <f>((LOOKUP(AD$2,'Ceiling-U'!$A$4:$A$40,'Ceiling-U'!$Y$4:$Y$40)*AD$15)+(LOOKUP(AD$2,'Floor-U'!$A$4:$A$40,'Floor-U'!$F$4:$F$40)*AD$16)+(LOOKUP(AD$2,'Wall-U'!$A$4:$A$40,'Wall-U'!$Y$4:$Y$40)*AD$13)+(LOOKUP(AD$2,'Window-U'!$A$4:$A$40,'Window-U'!$S$4:$S$40)*AD$22))*AD$133</f>
        <v>517.71554756397984</v>
      </c>
      <c r="AE135" s="177">
        <f>((LOOKUP(AE$2,'Ceiling-U'!$A$4:$A$40,'Ceiling-U'!$Y$4:$Y$40)*AE$15)+(LOOKUP(AE$2,'Floor-U'!$A$4:$A$40,'Floor-U'!$F$4:$F$40)*AE$16)+(LOOKUP(AE$2,'Wall-U'!$A$4:$A$40,'Wall-U'!$Y$4:$Y$40)*AE$13)+(LOOKUP(AE$2,'Window-U'!$A$4:$A$40,'Window-U'!$S$4:$S$40)*AE$22))*AE$133</f>
        <v>308.23911621815046</v>
      </c>
      <c r="AF135" s="177">
        <f>((LOOKUP(AF$2,'Ceiling-U'!$A$4:$A$40,'Ceiling-U'!$Y$4:$Y$40)*AF$15)+(LOOKUP(AF$2,'Floor-U'!$A$4:$A$40,'Floor-U'!$F$4:$F$40)*AF$16)+(LOOKUP(AF$2,'Wall-U'!$A$4:$A$40,'Wall-U'!$Y$4:$Y$40)*AF$13)+(LOOKUP(AF$2,'Window-U'!$A$4:$A$40,'Window-U'!$S$4:$S$40)*AF$22))*AF$133</f>
        <v>560.51227954019078</v>
      </c>
      <c r="AG135" s="177">
        <f>((LOOKUP(AG$2,'Ceiling-U'!$A$4:$A$40,'Ceiling-U'!$Y$4:$Y$40)*AG$15)+(LOOKUP(AG$2,'Floor-U'!$A$4:$A$40,'Floor-U'!$F$4:$F$40)*AG$16)+(LOOKUP(AG$2,'Wall-U'!$A$4:$A$40,'Wall-U'!$Y$4:$Y$40)*AG$13)+(LOOKUP(AG$2,'Window-U'!$A$4:$A$40,'Window-U'!$S$4:$S$40)*AG$22))*AG$133</f>
        <v>726.00054103594755</v>
      </c>
      <c r="AH135" s="177">
        <f>((LOOKUP(AH$2,'Ceiling-U'!$A$4:$A$40,'Ceiling-U'!$Y$4:$Y$40)*AH$15)+(LOOKUP(AH$2,'Floor-U'!$A$4:$A$40,'Floor-U'!$F$4:$F$40)*AH$16)+(LOOKUP(AH$2,'Wall-U'!$A$4:$A$40,'Wall-U'!$Y$4:$Y$40)*AH$13)+(LOOKUP(AH$2,'Window-U'!$A$4:$A$40,'Window-U'!$S$4:$S$40)*AH$22))*AH$133</f>
        <v>457.6616082830767</v>
      </c>
      <c r="AI135" s="177">
        <f>((LOOKUP(AI$2,'Ceiling-U'!$A$4:$A$40,'Ceiling-U'!$Y$4:$Y$40)*AI$15)+(LOOKUP(AI$2,'Floor-U'!$A$4:$A$40,'Floor-U'!$F$4:$F$40)*AI$16)+(LOOKUP(AI$2,'Wall-U'!$A$4:$A$40,'Wall-U'!$Y$4:$Y$40)*AI$13)+(LOOKUP(AI$2,'Window-U'!$A$4:$A$40,'Window-U'!$S$4:$S$40)*AI$22))*AI$133</f>
        <v>1119.8284269261753</v>
      </c>
      <c r="AJ135" s="177">
        <f>((LOOKUP(AJ$2,'Ceiling-U'!$A$4:$A$40,'Ceiling-U'!$Y$4:$Y$40)*AJ$15)+(LOOKUP(AJ$2,'Floor-U'!$A$4:$A$40,'Floor-U'!$F$4:$F$40)*AJ$16)+(LOOKUP(AJ$2,'Wall-U'!$A$4:$A$40,'Wall-U'!$Y$4:$Y$40)*AJ$13)+(LOOKUP(AJ$2,'Window-U'!$A$4:$A$40,'Window-U'!$S$4:$S$40)*AJ$22))*AJ$133</f>
        <v>398.83263312666054</v>
      </c>
      <c r="AK135" s="177">
        <f>((LOOKUP(AK$2,'Ceiling-U'!$A$4:$A$40,'Ceiling-U'!$Y$4:$Y$40)*AK$15)+(LOOKUP(AK$2,'Floor-U'!$A$4:$A$40,'Floor-U'!$F$4:$F$40)*AK$16)+(LOOKUP(AK$2,'Wall-U'!$A$4:$A$40,'Wall-U'!$Y$4:$Y$40)*AK$13)+(LOOKUP(AK$2,'Window-U'!$A$4:$A$40,'Window-U'!$S$4:$S$40)*AK$22))*AK$133</f>
        <v>506.29846538645512</v>
      </c>
      <c r="AL135" s="177">
        <f>((LOOKUP(AL$2,'Ceiling-U'!$A$4:$A$40,'Ceiling-U'!$Y$4:$Y$40)*AL$15)+(LOOKUP(AL$2,'Floor-U'!$A$4:$A$40,'Floor-U'!$F$4:$F$40)*AL$16)+(LOOKUP(AL$2,'Wall-U'!$A$4:$A$40,'Wall-U'!$Y$4:$Y$40)*AL$13)+(LOOKUP(AL$2,'Window-U'!$A$4:$A$40,'Window-U'!$S$4:$S$40)*AL$22))*AL$133</f>
        <v>430.71603799242291</v>
      </c>
      <c r="AM135" s="177">
        <f>((LOOKUP(AM$2,'Ceiling-U'!$A$4:$A$40,'Ceiling-U'!$Y$4:$Y$40)*AM$15)+(LOOKUP(AM$2,'Floor-U'!$A$4:$A$40,'Floor-U'!$F$4:$F$40)*AM$16)+(LOOKUP(AM$2,'Wall-U'!$A$4:$A$40,'Wall-U'!$Y$4:$Y$40)*AM$13)+(LOOKUP(AM$2,'Window-U'!$A$4:$A$40,'Window-U'!$S$4:$S$40)*AM$22))*AM$133</f>
        <v>398.83263312666054</v>
      </c>
      <c r="AN135" s="178">
        <f>((LOOKUP(AN$2,'Ceiling-U'!$A$4:$A$40,'Ceiling-U'!$Y$4:$Y$40)*AN$15)+(LOOKUP(AN$2,'Floor-U'!$A$4:$A$40,'Floor-U'!$F$4:$F$40)*AN$16)+(LOOKUP(AN$2,'Wall-U'!$A$4:$A$40,'Wall-U'!$Y$4:$Y$40)*AN$13)+(LOOKUP(AN$2,'Window-U'!$A$4:$A$40,'Window-U'!$S$4:$S$40)*AN$22))*AN$133</f>
        <v>398.83263312666054</v>
      </c>
    </row>
    <row r="136" spans="1:40">
      <c r="A136" s="372"/>
      <c r="B136" s="142" t="s">
        <v>4</v>
      </c>
      <c r="C136" s="131" t="s">
        <v>195</v>
      </c>
      <c r="D136" s="176">
        <f>((LOOKUP(D$2,'Ceiling-U'!$A$4:$A$40,'Ceiling-U'!$Z$4:$Z$40)*D$15)+(LOOKUP(D$2,'Floor-U'!$A$4:$A$40,'Floor-U'!$G$4:$G$40)*D$16)+(LOOKUP(D$2,'Wall-U'!$A$4:$A$40,'Wall-U'!$Z$4:$Z$40)*D$13)+(LOOKUP(D$2,'Window-U'!$A$4:$A$40,'Window-U'!$S$4:$S$40)*D$22))*D$133</f>
        <v>650.40624104250401</v>
      </c>
      <c r="E136" s="177">
        <f>((LOOKUP(E$2,'Ceiling-U'!$A$4:$A$40,'Ceiling-U'!$Z$4:$Z$40)*E$15)+(LOOKUP(E$2,'Floor-U'!$A$4:$A$40,'Floor-U'!$G$4:$G$40)*E$16)+(LOOKUP(E$2,'Wall-U'!$A$4:$A$40,'Wall-U'!$Z$4:$Z$40)*E$13)+(LOOKUP(E$2,'Window-U'!$A$4:$A$40,'Window-U'!$S$4:$S$40)*E$22))*E$133</f>
        <v>679.72618381379164</v>
      </c>
      <c r="F136" s="177">
        <f>((LOOKUP(F$2,'Ceiling-U'!$A$4:$A$40,'Ceiling-U'!$Z$4:$Z$40)*F$15)+(LOOKUP(F$2,'Floor-U'!$A$4:$A$40,'Floor-U'!$G$4:$G$40)*F$16)+(LOOKUP(F$2,'Wall-U'!$A$4:$A$40,'Wall-U'!$Z$4:$Z$40)*F$13)+(LOOKUP(F$2,'Window-U'!$A$4:$A$40,'Window-U'!$S$4:$S$40)*F$22))*F$133</f>
        <v>385.74135371263378</v>
      </c>
      <c r="G136" s="177">
        <f>((LOOKUP(G$2,'Ceiling-U'!$A$4:$A$40,'Ceiling-U'!$Z$4:$Z$40)*G$15)+(LOOKUP(G$2,'Floor-U'!$A$4:$A$40,'Floor-U'!$G$4:$G$40)*G$16)+(LOOKUP(G$2,'Wall-U'!$A$4:$A$40,'Wall-U'!$Z$4:$Z$40)*G$13)+(LOOKUP(G$2,'Window-U'!$A$4:$A$40,'Window-U'!$S$4:$S$40)*G$22))*G$133</f>
        <v>675.94745724009772</v>
      </c>
      <c r="H136" s="177">
        <f>((LOOKUP(H$2,'Ceiling-U'!$A$4:$A$40,'Ceiling-U'!$Z$4:$Z$40)*H$15)+(LOOKUP(H$2,'Floor-U'!$A$4:$A$40,'Floor-U'!$G$4:$G$40)*H$16)+(LOOKUP(H$2,'Wall-U'!$A$4:$A$40,'Wall-U'!$Z$4:$Z$40)*H$13)+(LOOKUP(H$2,'Window-U'!$A$4:$A$40,'Window-U'!$S$4:$S$40)*H$22))*H$133</f>
        <v>1138.5513217298212</v>
      </c>
      <c r="I136" s="177">
        <f>((LOOKUP(I$2,'Ceiling-U'!$A$4:$A$40,'Ceiling-U'!$Z$4:$Z$40)*I$15)+(LOOKUP(I$2,'Floor-U'!$A$4:$A$40,'Floor-U'!$G$4:$G$40)*I$16)+(LOOKUP(I$2,'Wall-U'!$A$4:$A$40,'Wall-U'!$Z$4:$Z$40)*I$13)+(LOOKUP(I$2,'Window-U'!$A$4:$A$40,'Window-U'!$S$4:$S$40)*I$22))*I$133</f>
        <v>530.50163192923492</v>
      </c>
      <c r="J136" s="177">
        <f>((LOOKUP(J$2,'Ceiling-U'!$A$4:$A$40,'Ceiling-U'!$Z$4:$Z$40)*J$15)+(LOOKUP(J$2,'Floor-U'!$A$4:$A$40,'Floor-U'!$G$4:$G$40)*J$16)+(LOOKUP(J$2,'Wall-U'!$A$4:$A$40,'Wall-U'!$Z$4:$Z$40)*J$13)+(LOOKUP(J$2,'Window-U'!$A$4:$A$40,'Window-U'!$S$4:$S$40)*J$22))*J$133</f>
        <v>562.9725321318092</v>
      </c>
      <c r="K136" s="177">
        <f>((LOOKUP(K$2,'Ceiling-U'!$A$4:$A$40,'Ceiling-U'!$Z$4:$Z$40)*K$15)+(LOOKUP(K$2,'Floor-U'!$A$4:$A$40,'Floor-U'!$G$4:$G$40)*K$16)+(LOOKUP(K$2,'Wall-U'!$A$4:$A$40,'Wall-U'!$Z$4:$Z$40)*K$13)+(LOOKUP(K$2,'Window-U'!$A$4:$A$40,'Window-U'!$S$4:$S$40)*K$22))*K$133</f>
        <v>347.52674277310166</v>
      </c>
      <c r="L136" s="177">
        <f>((LOOKUP(L$2,'Ceiling-U'!$A$4:$A$40,'Ceiling-U'!$Z$4:$Z$40)*L$15)+(LOOKUP(L$2,'Floor-U'!$A$4:$A$40,'Floor-U'!$G$4:$G$40)*L$16)+(LOOKUP(L$2,'Wall-U'!$A$4:$A$40,'Wall-U'!$Z$4:$Z$40)*L$13)+(LOOKUP(L$2,'Window-U'!$A$4:$A$40,'Window-U'!$S$4:$S$40)*L$22))*L$133</f>
        <v>249.4069931640706</v>
      </c>
      <c r="M136" s="177">
        <f>((LOOKUP(M$2,'Ceiling-U'!$A$4:$A$40,'Ceiling-U'!$Z$4:$Z$40)*M$15)+(LOOKUP(M$2,'Floor-U'!$A$4:$A$40,'Floor-U'!$G$4:$G$40)*M$16)+(LOOKUP(M$2,'Wall-U'!$A$4:$A$40,'Wall-U'!$Z$4:$Z$40)*M$13)+(LOOKUP(M$2,'Window-U'!$A$4:$A$40,'Window-U'!$S$4:$S$40)*M$22))*M$133</f>
        <v>1184.624554166598</v>
      </c>
      <c r="N136" s="177">
        <f>((LOOKUP(N$2,'Ceiling-U'!$A$4:$A$40,'Ceiling-U'!$Z$4:$Z$40)*N$15)+(LOOKUP(N$2,'Floor-U'!$A$4:$A$40,'Floor-U'!$G$4:$G$40)*N$16)+(LOOKUP(N$2,'Wall-U'!$A$4:$A$40,'Wall-U'!$Z$4:$Z$40)*N$13)+(LOOKUP(N$2,'Window-U'!$A$4:$A$40,'Window-U'!$S$4:$S$40)*N$22))*N$133</f>
        <v>290.82842370155782</v>
      </c>
      <c r="O136" s="177">
        <f>((LOOKUP(O$2,'Ceiling-U'!$A$4:$A$40,'Ceiling-U'!$Z$4:$Z$40)*O$15)+(LOOKUP(O$2,'Floor-U'!$A$4:$A$40,'Floor-U'!$G$4:$G$40)*O$16)+(LOOKUP(O$2,'Wall-U'!$A$4:$A$40,'Wall-U'!$Z$4:$Z$40)*O$13)+(LOOKUP(O$2,'Window-U'!$A$4:$A$40,'Window-U'!$S$4:$S$40)*O$22))*O$133</f>
        <v>581.47924204011281</v>
      </c>
      <c r="P136" s="177">
        <f>((LOOKUP(P$2,'Ceiling-U'!$A$4:$A$40,'Ceiling-U'!$Z$4:$Z$40)*P$15)+(LOOKUP(P$2,'Floor-U'!$A$4:$A$40,'Floor-U'!$G$4:$G$40)*P$16)+(LOOKUP(P$2,'Wall-U'!$A$4:$A$40,'Wall-U'!$Z$4:$Z$40)*P$13)+(LOOKUP(P$2,'Window-U'!$A$4:$A$40,'Window-U'!$S$4:$S$40)*P$22))*P$133</f>
        <v>755.48099498176202</v>
      </c>
      <c r="Q136" s="177">
        <f>((LOOKUP(Q$2,'Ceiling-U'!$A$4:$A$40,'Ceiling-U'!$Z$4:$Z$40)*Q$15)+(LOOKUP(Q$2,'Floor-U'!$A$4:$A$40,'Floor-U'!$G$4:$G$40)*Q$16)+(LOOKUP(Q$2,'Wall-U'!$A$4:$A$40,'Wall-U'!$Z$4:$Z$40)*Q$13)+(LOOKUP(Q$2,'Window-U'!$A$4:$A$40,'Window-U'!$S$4:$S$40)*Q$22))*Q$133</f>
        <v>395.16958376543505</v>
      </c>
      <c r="R136" s="177">
        <f>((LOOKUP(R$2,'Ceiling-U'!$A$4:$A$40,'Ceiling-U'!$Z$4:$Z$40)*R$15)+(LOOKUP(R$2,'Floor-U'!$A$4:$A$40,'Floor-U'!$G$4:$G$40)*R$16)+(LOOKUP(R$2,'Wall-U'!$A$4:$A$40,'Wall-U'!$Z$4:$Z$40)*R$13)+(LOOKUP(R$2,'Window-U'!$A$4:$A$40,'Window-U'!$S$4:$S$40)*R$22))*R$133</f>
        <v>517.89996152547235</v>
      </c>
      <c r="S136" s="177">
        <f>((LOOKUP(S$2,'Ceiling-U'!$A$4:$A$40,'Ceiling-U'!$Z$4:$Z$40)*S$15)+(LOOKUP(S$2,'Floor-U'!$A$4:$A$40,'Floor-U'!$G$4:$G$40)*S$16)+(LOOKUP(S$2,'Wall-U'!$A$4:$A$40,'Wall-U'!$Z$4:$Z$40)*S$13)+(LOOKUP(S$2,'Window-U'!$A$4:$A$40,'Window-U'!$S$4:$S$40)*S$22))*S$133</f>
        <v>575.7881821736604</v>
      </c>
      <c r="T136" s="177">
        <f>((LOOKUP(T$2,'Ceiling-U'!$A$4:$A$40,'Ceiling-U'!$Z$4:$Z$40)*T$15)+(LOOKUP(T$2,'Floor-U'!$A$4:$A$40,'Floor-U'!$G$4:$G$40)*T$16)+(LOOKUP(T$2,'Wall-U'!$A$4:$A$40,'Wall-U'!$Z$4:$Z$40)*T$13)+(LOOKUP(T$2,'Window-U'!$A$4:$A$40,'Window-U'!$S$4:$S$40)*T$22))*T$133</f>
        <v>293.2386464323518</v>
      </c>
      <c r="U136" s="177">
        <f>((LOOKUP(U$2,'Ceiling-U'!$A$4:$A$40,'Ceiling-U'!$Z$4:$Z$40)*U$15)+(LOOKUP(U$2,'Floor-U'!$A$4:$A$40,'Floor-U'!$G$4:$G$40)*U$16)+(LOOKUP(U$2,'Wall-U'!$A$4:$A$40,'Wall-U'!$Z$4:$Z$40)*U$13)+(LOOKUP(U$2,'Window-U'!$A$4:$A$40,'Window-U'!$S$4:$S$40)*U$22))*U$133</f>
        <v>857.89310556226826</v>
      </c>
      <c r="V136" s="177">
        <f>((LOOKUP(V$2,'Ceiling-U'!$A$4:$A$40,'Ceiling-U'!$Z$4:$Z$40)*V$15)+(LOOKUP(V$2,'Floor-U'!$A$4:$A$40,'Floor-U'!$G$4:$G$40)*V$16)+(LOOKUP(V$2,'Wall-U'!$A$4:$A$40,'Wall-U'!$Z$4:$Z$40)*V$13)+(LOOKUP(V$2,'Window-U'!$A$4:$A$40,'Window-U'!$S$4:$S$40)*V$22))*V$133</f>
        <v>374.5428675578446</v>
      </c>
      <c r="W136" s="177">
        <f>((LOOKUP(W$2,'Ceiling-U'!$A$4:$A$40,'Ceiling-U'!$Z$4:$Z$40)*W$15)+(LOOKUP(W$2,'Floor-U'!$A$4:$A$40,'Floor-U'!$G$4:$G$40)*W$16)+(LOOKUP(W$2,'Wall-U'!$A$4:$A$40,'Wall-U'!$Z$4:$Z$40)*W$13)+(LOOKUP(W$2,'Window-U'!$A$4:$A$40,'Window-U'!$S$4:$S$40)*W$22))*W$133</f>
        <v>256.06321371040957</v>
      </c>
      <c r="X136" s="177">
        <f>((LOOKUP(X$2,'Ceiling-U'!$A$4:$A$40,'Ceiling-U'!$Z$4:$Z$40)*X$15)+(LOOKUP(X$2,'Floor-U'!$A$4:$A$40,'Floor-U'!$G$4:$G$40)*X$16)+(LOOKUP(X$2,'Wall-U'!$A$4:$A$40,'Wall-U'!$Z$4:$Z$40)*X$13)+(LOOKUP(X$2,'Window-U'!$A$4:$A$40,'Window-U'!$S$4:$S$40)*X$22))*X$133</f>
        <v>490.43458148034392</v>
      </c>
      <c r="Y136" s="177">
        <f>((LOOKUP(Y$2,'Ceiling-U'!$A$4:$A$40,'Ceiling-U'!$Z$4:$Z$40)*Y$15)+(LOOKUP(Y$2,'Floor-U'!$A$4:$A$40,'Floor-U'!$G$4:$G$40)*Y$16)+(LOOKUP(Y$2,'Wall-U'!$A$4:$A$40,'Wall-U'!$Z$4:$Z$40)*Y$13)+(LOOKUP(Y$2,'Window-U'!$A$4:$A$40,'Window-U'!$S$4:$S$40)*Y$22))*Y$133</f>
        <v>1307.1000460909693</v>
      </c>
      <c r="Z136" s="177">
        <f>((LOOKUP(Z$2,'Ceiling-U'!$A$4:$A$40,'Ceiling-U'!$Z$4:$Z$40)*Z$15)+(LOOKUP(Z$2,'Floor-U'!$A$4:$A$40,'Floor-U'!$G$4:$G$40)*Z$16)+(LOOKUP(Z$2,'Wall-U'!$A$4:$A$40,'Wall-U'!$Z$4:$Z$40)*Z$13)+(LOOKUP(Z$2,'Window-U'!$A$4:$A$40,'Window-U'!$S$4:$S$40)*Z$22))*Z$133</f>
        <v>680.83272642348152</v>
      </c>
      <c r="AA136" s="177">
        <f>((LOOKUP(AA$2,'Ceiling-U'!$A$4:$A$40,'Ceiling-U'!$Z$4:$Z$40)*AA$15)+(LOOKUP(AA$2,'Floor-U'!$A$4:$A$40,'Floor-U'!$G$4:$G$40)*AA$16)+(LOOKUP(AA$2,'Wall-U'!$A$4:$A$40,'Wall-U'!$Z$4:$Z$40)*AA$13)+(LOOKUP(AA$2,'Window-U'!$A$4:$A$40,'Window-U'!$S$4:$S$40)*AA$22))*AA$133</f>
        <v>241.22448292346158</v>
      </c>
      <c r="AB136" s="177">
        <f>((LOOKUP(AB$2,'Ceiling-U'!$A$4:$A$40,'Ceiling-U'!$Z$4:$Z$40)*AB$15)+(LOOKUP(AB$2,'Floor-U'!$A$4:$A$40,'Floor-U'!$G$4:$G$40)*AB$16)+(LOOKUP(AB$2,'Wall-U'!$A$4:$A$40,'Wall-U'!$Z$4:$Z$40)*AB$13)+(LOOKUP(AB$2,'Window-U'!$A$4:$A$40,'Window-U'!$S$4:$S$40)*AB$22))*AB$133</f>
        <v>467.50548392161033</v>
      </c>
      <c r="AC136" s="177">
        <f>((LOOKUP(AC$2,'Ceiling-U'!$A$4:$A$40,'Ceiling-U'!$Z$4:$Z$40)*AC$15)+(LOOKUP(AC$2,'Floor-U'!$A$4:$A$40,'Floor-U'!$G$4:$G$40)*AC$16)+(LOOKUP(AC$2,'Wall-U'!$A$4:$A$40,'Wall-U'!$Z$4:$Z$40)*AC$13)+(LOOKUP(AC$2,'Window-U'!$A$4:$A$40,'Window-U'!$S$4:$S$40)*AC$22))*AC$133</f>
        <v>1045.3909627105611</v>
      </c>
      <c r="AD136" s="177">
        <f>((LOOKUP(AD$2,'Ceiling-U'!$A$4:$A$40,'Ceiling-U'!$Z$4:$Z$40)*AD$15)+(LOOKUP(AD$2,'Floor-U'!$A$4:$A$40,'Floor-U'!$G$4:$G$40)*AD$16)+(LOOKUP(AD$2,'Wall-U'!$A$4:$A$40,'Wall-U'!$Z$4:$Z$40)*AD$13)+(LOOKUP(AD$2,'Window-U'!$A$4:$A$40,'Window-U'!$S$4:$S$40)*AD$22))*AD$133</f>
        <v>517.71554756397984</v>
      </c>
      <c r="AE136" s="177">
        <f>((LOOKUP(AE$2,'Ceiling-U'!$A$4:$A$40,'Ceiling-U'!$Z$4:$Z$40)*AE$15)+(LOOKUP(AE$2,'Floor-U'!$A$4:$A$40,'Floor-U'!$G$4:$G$40)*AE$16)+(LOOKUP(AE$2,'Wall-U'!$A$4:$A$40,'Wall-U'!$Z$4:$Z$40)*AE$13)+(LOOKUP(AE$2,'Window-U'!$A$4:$A$40,'Window-U'!$S$4:$S$40)*AE$22))*AE$133</f>
        <v>237.18537086283584</v>
      </c>
      <c r="AF136" s="177">
        <f>((LOOKUP(AF$2,'Ceiling-U'!$A$4:$A$40,'Ceiling-U'!$Z$4:$Z$40)*AF$15)+(LOOKUP(AF$2,'Floor-U'!$A$4:$A$40,'Floor-U'!$G$4:$G$40)*AF$16)+(LOOKUP(AF$2,'Wall-U'!$A$4:$A$40,'Wall-U'!$Z$4:$Z$40)*AF$13)+(LOOKUP(AF$2,'Window-U'!$A$4:$A$40,'Window-U'!$S$4:$S$40)*AF$22))*AF$133</f>
        <v>501.30992031757222</v>
      </c>
      <c r="AG136" s="177">
        <f>((LOOKUP(AG$2,'Ceiling-U'!$A$4:$A$40,'Ceiling-U'!$Z$4:$Z$40)*AG$15)+(LOOKUP(AG$2,'Floor-U'!$A$4:$A$40,'Floor-U'!$G$4:$G$40)*AG$16)+(LOOKUP(AG$2,'Wall-U'!$A$4:$A$40,'Wall-U'!$Z$4:$Z$40)*AG$13)+(LOOKUP(AG$2,'Window-U'!$A$4:$A$40,'Window-U'!$S$4:$S$40)*AG$22))*AG$133</f>
        <v>726.00054103594755</v>
      </c>
      <c r="AH136" s="177">
        <f>((LOOKUP(AH$2,'Ceiling-U'!$A$4:$A$40,'Ceiling-U'!$Z$4:$Z$40)*AH$15)+(LOOKUP(AH$2,'Floor-U'!$A$4:$A$40,'Floor-U'!$G$4:$G$40)*AH$16)+(LOOKUP(AH$2,'Wall-U'!$A$4:$A$40,'Wall-U'!$Z$4:$Z$40)*AH$13)+(LOOKUP(AH$2,'Window-U'!$A$4:$A$40,'Window-U'!$S$4:$S$40)*AH$22))*AH$133</f>
        <v>445.4970114238331</v>
      </c>
      <c r="AI136" s="177">
        <f>((LOOKUP(AI$2,'Ceiling-U'!$A$4:$A$40,'Ceiling-U'!$Z$4:$Z$40)*AI$15)+(LOOKUP(AI$2,'Floor-U'!$A$4:$A$40,'Floor-U'!$G$4:$G$40)*AI$16)+(LOOKUP(AI$2,'Wall-U'!$A$4:$A$40,'Wall-U'!$Z$4:$Z$40)*AI$13)+(LOOKUP(AI$2,'Window-U'!$A$4:$A$40,'Window-U'!$S$4:$S$40)*AI$22))*AI$133</f>
        <v>1119.8284269261753</v>
      </c>
      <c r="AJ136" s="177">
        <f>((LOOKUP(AJ$2,'Ceiling-U'!$A$4:$A$40,'Ceiling-U'!$Z$4:$Z$40)*AJ$15)+(LOOKUP(AJ$2,'Floor-U'!$A$4:$A$40,'Floor-U'!$G$4:$G$40)*AJ$16)+(LOOKUP(AJ$2,'Wall-U'!$A$4:$A$40,'Wall-U'!$Z$4:$Z$40)*AJ$13)+(LOOKUP(AJ$2,'Window-U'!$A$4:$A$40,'Window-U'!$S$4:$S$40)*AJ$22))*AJ$133</f>
        <v>398.83263312666054</v>
      </c>
      <c r="AK136" s="177">
        <f>((LOOKUP(AK$2,'Ceiling-U'!$A$4:$A$40,'Ceiling-U'!$Z$4:$Z$40)*AK$15)+(LOOKUP(AK$2,'Floor-U'!$A$4:$A$40,'Floor-U'!$G$4:$G$40)*AK$16)+(LOOKUP(AK$2,'Wall-U'!$A$4:$A$40,'Wall-U'!$Z$4:$Z$40)*AK$13)+(LOOKUP(AK$2,'Window-U'!$A$4:$A$40,'Window-U'!$S$4:$S$40)*AK$22))*AK$133</f>
        <v>506.29846538645512</v>
      </c>
      <c r="AL136" s="177">
        <f>((LOOKUP(AL$2,'Ceiling-U'!$A$4:$A$40,'Ceiling-U'!$Z$4:$Z$40)*AL$15)+(LOOKUP(AL$2,'Floor-U'!$A$4:$A$40,'Floor-U'!$G$4:$G$40)*AL$16)+(LOOKUP(AL$2,'Wall-U'!$A$4:$A$40,'Wall-U'!$Z$4:$Z$40)*AL$13)+(LOOKUP(AL$2,'Window-U'!$A$4:$A$40,'Window-U'!$S$4:$S$40)*AL$22))*AL$133</f>
        <v>409.44510893885172</v>
      </c>
      <c r="AM136" s="177">
        <f>((LOOKUP(AM$2,'Ceiling-U'!$A$4:$A$40,'Ceiling-U'!$Z$4:$Z$40)*AM$15)+(LOOKUP(AM$2,'Floor-U'!$A$4:$A$40,'Floor-U'!$G$4:$G$40)*AM$16)+(LOOKUP(AM$2,'Wall-U'!$A$4:$A$40,'Wall-U'!$Z$4:$Z$40)*AM$13)+(LOOKUP(AM$2,'Window-U'!$A$4:$A$40,'Window-U'!$S$4:$S$40)*AM$22))*AM$133</f>
        <v>398.83263312666054</v>
      </c>
      <c r="AN136" s="178">
        <f>((LOOKUP(AN$2,'Ceiling-U'!$A$4:$A$40,'Ceiling-U'!$Z$4:$Z$40)*AN$15)+(LOOKUP(AN$2,'Floor-U'!$A$4:$A$40,'Floor-U'!$G$4:$G$40)*AN$16)+(LOOKUP(AN$2,'Wall-U'!$A$4:$A$40,'Wall-U'!$Z$4:$Z$40)*AN$13)+(LOOKUP(AN$2,'Window-U'!$A$4:$A$40,'Window-U'!$S$4:$S$40)*AN$22))*AN$133</f>
        <v>398.83263312666054</v>
      </c>
    </row>
    <row r="137" spans="1:40">
      <c r="A137" s="372"/>
      <c r="B137" s="142" t="s">
        <v>5</v>
      </c>
      <c r="C137" s="131" t="s">
        <v>195</v>
      </c>
      <c r="D137" s="176">
        <f>((LOOKUP(D$2,'Ceiling-U'!$A$4:$A$40,'Ceiling-U'!$AA$4:$AA$40)*D$15)+(LOOKUP(D$2,'Floor-U'!$A$4:$A$40,'Floor-U'!$H$4:$H$40)*D$16)+(LOOKUP(D$2,'Wall-U'!$A$4:$A$40,'Wall-U'!$AA$4:$AA$40)*D$13)+(LOOKUP(D$2,'Window-U'!$A$4:$A$40,'Window-U'!$S$4:$S$40)*D$22))*D$133</f>
        <v>441.89750242575877</v>
      </c>
      <c r="E137" s="177">
        <f>((LOOKUP(E$2,'Ceiling-U'!$A$4:$A$40,'Ceiling-U'!$AA$4:$AA$40)*E$15)+(LOOKUP(E$2,'Floor-U'!$A$4:$A$40,'Floor-U'!$H$4:$H$40)*E$16)+(LOOKUP(E$2,'Wall-U'!$A$4:$A$40,'Wall-U'!$AA$4:$AA$40)*E$13)+(LOOKUP(E$2,'Window-U'!$A$4:$A$40,'Window-U'!$S$4:$S$40)*E$22))*E$133</f>
        <v>626.03288301398004</v>
      </c>
      <c r="F137" s="177">
        <f>((LOOKUP(F$2,'Ceiling-U'!$A$4:$A$40,'Ceiling-U'!$AA$4:$AA$40)*F$15)+(LOOKUP(F$2,'Floor-U'!$A$4:$A$40,'Floor-U'!$H$4:$H$40)*F$16)+(LOOKUP(F$2,'Wall-U'!$A$4:$A$40,'Wall-U'!$AA$4:$AA$40)*F$13)+(LOOKUP(F$2,'Window-U'!$A$4:$A$40,'Window-U'!$S$4:$S$40)*F$22))*F$133</f>
        <v>320.2356510187808</v>
      </c>
      <c r="G137" s="177">
        <f>((LOOKUP(G$2,'Ceiling-U'!$A$4:$A$40,'Ceiling-U'!$AA$4:$AA$40)*G$15)+(LOOKUP(G$2,'Floor-U'!$A$4:$A$40,'Floor-U'!$H$4:$H$40)*G$16)+(LOOKUP(G$2,'Wall-U'!$A$4:$A$40,'Wall-U'!$AA$4:$AA$40)*G$13)+(LOOKUP(G$2,'Window-U'!$A$4:$A$40,'Window-U'!$S$4:$S$40)*G$22))*G$133</f>
        <v>458.02451520946966</v>
      </c>
      <c r="H137" s="177">
        <f>((LOOKUP(H$2,'Ceiling-U'!$A$4:$A$40,'Ceiling-U'!$AA$4:$AA$40)*H$15)+(LOOKUP(H$2,'Floor-U'!$A$4:$A$40,'Floor-U'!$H$4:$H$40)*H$16)+(LOOKUP(H$2,'Wall-U'!$A$4:$A$40,'Wall-U'!$AA$4:$AA$40)*H$13)+(LOOKUP(H$2,'Window-U'!$A$4:$A$40,'Window-U'!$S$4:$S$40)*H$22))*H$133</f>
        <v>1025.6873303094933</v>
      </c>
      <c r="I137" s="177">
        <f>((LOOKUP(I$2,'Ceiling-U'!$A$4:$A$40,'Ceiling-U'!$AA$4:$AA$40)*I$15)+(LOOKUP(I$2,'Floor-U'!$A$4:$A$40,'Floor-U'!$H$4:$H$40)*I$16)+(LOOKUP(I$2,'Wall-U'!$A$4:$A$40,'Wall-U'!$AA$4:$AA$40)*I$13)+(LOOKUP(I$2,'Window-U'!$A$4:$A$40,'Window-U'!$S$4:$S$40)*I$22))*I$133</f>
        <v>461.15504734787925</v>
      </c>
      <c r="J137" s="177">
        <f>((LOOKUP(J$2,'Ceiling-U'!$A$4:$A$40,'Ceiling-U'!$AA$4:$AA$40)*J$15)+(LOOKUP(J$2,'Floor-U'!$A$4:$A$40,'Floor-U'!$H$4:$H$40)*J$16)+(LOOKUP(J$2,'Wall-U'!$A$4:$A$40,'Wall-U'!$AA$4:$AA$40)*J$13)+(LOOKUP(J$2,'Window-U'!$A$4:$A$40,'Window-U'!$S$4:$S$40)*J$22))*J$133</f>
        <v>403.79522572932547</v>
      </c>
      <c r="K137" s="177">
        <f>((LOOKUP(K$2,'Ceiling-U'!$A$4:$A$40,'Ceiling-U'!$AA$4:$AA$40)*K$15)+(LOOKUP(K$2,'Floor-U'!$A$4:$A$40,'Floor-U'!$H$4:$H$40)*K$16)+(LOOKUP(K$2,'Wall-U'!$A$4:$A$40,'Wall-U'!$AA$4:$AA$40)*K$13)+(LOOKUP(K$2,'Window-U'!$A$4:$A$40,'Window-U'!$S$4:$S$40)*K$22))*K$133</f>
        <v>298.6730750764504</v>
      </c>
      <c r="L137" s="177">
        <f>((LOOKUP(L$2,'Ceiling-U'!$A$4:$A$40,'Ceiling-U'!$AA$4:$AA$40)*L$15)+(LOOKUP(L$2,'Floor-U'!$A$4:$A$40,'Floor-U'!$H$4:$H$40)*L$16)+(LOOKUP(L$2,'Wall-U'!$A$4:$A$40,'Wall-U'!$AA$4:$AA$40)*L$13)+(LOOKUP(L$2,'Window-U'!$A$4:$A$40,'Window-U'!$S$4:$S$40)*L$22))*L$133</f>
        <v>208.16832601810262</v>
      </c>
      <c r="M137" s="177">
        <f>((LOOKUP(M$2,'Ceiling-U'!$A$4:$A$40,'Ceiling-U'!$AA$4:$AA$40)*M$15)+(LOOKUP(M$2,'Floor-U'!$A$4:$A$40,'Floor-U'!$H$4:$H$40)*M$16)+(LOOKUP(M$2,'Wall-U'!$A$4:$A$40,'Wall-U'!$AA$4:$AA$40)*M$13)+(LOOKUP(M$2,'Window-U'!$A$4:$A$40,'Window-U'!$S$4:$S$40)*M$22))*M$133</f>
        <v>581.75686253904644</v>
      </c>
      <c r="N137" s="177">
        <f>((LOOKUP(N$2,'Ceiling-U'!$A$4:$A$40,'Ceiling-U'!$AA$4:$AA$40)*N$15)+(LOOKUP(N$2,'Floor-U'!$A$4:$A$40,'Floor-U'!$H$4:$H$40)*N$16)+(LOOKUP(N$2,'Wall-U'!$A$4:$A$40,'Wall-U'!$AA$4:$AA$40)*N$13)+(LOOKUP(N$2,'Window-U'!$A$4:$A$40,'Window-U'!$S$4:$S$40)*N$22))*N$133</f>
        <v>256.05527960863071</v>
      </c>
      <c r="O137" s="177">
        <f>((LOOKUP(O$2,'Ceiling-U'!$A$4:$A$40,'Ceiling-U'!$AA$4:$AA$40)*O$15)+(LOOKUP(O$2,'Floor-U'!$A$4:$A$40,'Floor-U'!$H$4:$H$40)*O$16)+(LOOKUP(O$2,'Wall-U'!$A$4:$A$40,'Wall-U'!$AA$4:$AA$40)*O$13)+(LOOKUP(O$2,'Window-U'!$A$4:$A$40,'Window-U'!$S$4:$S$40)*O$22))*O$133</f>
        <v>511.81228702029188</v>
      </c>
      <c r="P137" s="177">
        <f>((LOOKUP(P$2,'Ceiling-U'!$A$4:$A$40,'Ceiling-U'!$AA$4:$AA$40)*P$15)+(LOOKUP(P$2,'Floor-U'!$A$4:$A$40,'Floor-U'!$H$4:$H$40)*P$16)+(LOOKUP(P$2,'Wall-U'!$A$4:$A$40,'Wall-U'!$AA$4:$AA$40)*P$13)+(LOOKUP(P$2,'Window-U'!$A$4:$A$40,'Window-U'!$S$4:$S$40)*P$22))*P$133</f>
        <v>682.57517343365396</v>
      </c>
      <c r="Q137" s="177">
        <f>((LOOKUP(Q$2,'Ceiling-U'!$A$4:$A$40,'Ceiling-U'!$AA$4:$AA$40)*Q$15)+(LOOKUP(Q$2,'Floor-U'!$A$4:$A$40,'Floor-U'!$H$4:$H$40)*Q$16)+(LOOKUP(Q$2,'Wall-U'!$A$4:$A$40,'Wall-U'!$AA$4:$AA$40)*Q$13)+(LOOKUP(Q$2,'Window-U'!$A$4:$A$40,'Window-U'!$S$4:$S$40)*Q$22))*Q$133</f>
        <v>395.16958376543505</v>
      </c>
      <c r="R137" s="177">
        <f>((LOOKUP(R$2,'Ceiling-U'!$A$4:$A$40,'Ceiling-U'!$AA$4:$AA$40)*R$15)+(LOOKUP(R$2,'Floor-U'!$A$4:$A$40,'Floor-U'!$H$4:$H$40)*R$16)+(LOOKUP(R$2,'Wall-U'!$A$4:$A$40,'Wall-U'!$AA$4:$AA$40)*R$13)+(LOOKUP(R$2,'Window-U'!$A$4:$A$40,'Window-U'!$S$4:$S$40)*R$22))*R$133</f>
        <v>438.07205015357607</v>
      </c>
      <c r="S137" s="177">
        <f>((LOOKUP(S$2,'Ceiling-U'!$A$4:$A$40,'Ceiling-U'!$AA$4:$AA$40)*S$15)+(LOOKUP(S$2,'Floor-U'!$A$4:$A$40,'Floor-U'!$H$4:$H$40)*S$16)+(LOOKUP(S$2,'Wall-U'!$A$4:$A$40,'Wall-U'!$AA$4:$AA$40)*S$13)+(LOOKUP(S$2,'Window-U'!$A$4:$A$40,'Window-U'!$S$4:$S$40)*S$22))*S$133</f>
        <v>438.42854914158687</v>
      </c>
      <c r="T137" s="177">
        <f>((LOOKUP(T$2,'Ceiling-U'!$A$4:$A$40,'Ceiling-U'!$AA$4:$AA$40)*T$15)+(LOOKUP(T$2,'Floor-U'!$A$4:$A$40,'Floor-U'!$H$4:$H$40)*T$16)+(LOOKUP(T$2,'Wall-U'!$A$4:$A$40,'Wall-U'!$AA$4:$AA$40)*T$13)+(LOOKUP(T$2,'Window-U'!$A$4:$A$40,'Window-U'!$S$4:$S$40)*T$22))*T$133</f>
        <v>258.15504822702826</v>
      </c>
      <c r="U137" s="177">
        <f>((LOOKUP(U$2,'Ceiling-U'!$A$4:$A$40,'Ceiling-U'!$AA$4:$AA$40)*U$15)+(LOOKUP(U$2,'Floor-U'!$A$4:$A$40,'Floor-U'!$H$4:$H$40)*U$16)+(LOOKUP(U$2,'Wall-U'!$A$4:$A$40,'Wall-U'!$AA$4:$AA$40)*U$13)+(LOOKUP(U$2,'Window-U'!$A$4:$A$40,'Window-U'!$S$4:$S$40)*U$22))*U$133</f>
        <v>835.50559495992172</v>
      </c>
      <c r="V137" s="177">
        <f>((LOOKUP(V$2,'Ceiling-U'!$A$4:$A$40,'Ceiling-U'!$AA$4:$AA$40)*V$15)+(LOOKUP(V$2,'Floor-U'!$A$4:$A$40,'Floor-U'!$H$4:$H$40)*V$16)+(LOOKUP(V$2,'Wall-U'!$A$4:$A$40,'Wall-U'!$AA$4:$AA$40)*V$13)+(LOOKUP(V$2,'Window-U'!$A$4:$A$40,'Window-U'!$S$4:$S$40)*V$22))*V$133</f>
        <v>374.5428675578446</v>
      </c>
      <c r="W137" s="177">
        <f>((LOOKUP(W$2,'Ceiling-U'!$A$4:$A$40,'Ceiling-U'!$AA$4:$AA$40)*W$15)+(LOOKUP(W$2,'Floor-U'!$A$4:$A$40,'Floor-U'!$H$4:$H$40)*W$16)+(LOOKUP(W$2,'Wall-U'!$A$4:$A$40,'Wall-U'!$AA$4:$AA$40)*W$13)+(LOOKUP(W$2,'Window-U'!$A$4:$A$40,'Window-U'!$S$4:$S$40)*W$22))*W$133</f>
        <v>245.56703352343223</v>
      </c>
      <c r="X137" s="177">
        <f>((LOOKUP(X$2,'Ceiling-U'!$A$4:$A$40,'Ceiling-U'!$AA$4:$AA$40)*X$15)+(LOOKUP(X$2,'Floor-U'!$A$4:$A$40,'Floor-U'!$H$4:$H$40)*X$16)+(LOOKUP(X$2,'Wall-U'!$A$4:$A$40,'Wall-U'!$AA$4:$AA$40)*X$13)+(LOOKUP(X$2,'Window-U'!$A$4:$A$40,'Window-U'!$S$4:$S$40)*X$22))*X$133</f>
        <v>283.08197965239003</v>
      </c>
      <c r="Y137" s="177">
        <f>((LOOKUP(Y$2,'Ceiling-U'!$A$4:$A$40,'Ceiling-U'!$AA$4:$AA$40)*Y$15)+(LOOKUP(Y$2,'Floor-U'!$A$4:$A$40,'Floor-U'!$H$4:$H$40)*Y$16)+(LOOKUP(Y$2,'Wall-U'!$A$4:$A$40,'Wall-U'!$AA$4:$AA$40)*Y$13)+(LOOKUP(Y$2,'Window-U'!$A$4:$A$40,'Window-U'!$S$4:$S$40)*Y$22))*Y$133</f>
        <v>970.67544931156374</v>
      </c>
      <c r="Z137" s="177">
        <f>((LOOKUP(Z$2,'Ceiling-U'!$A$4:$A$40,'Ceiling-U'!$AA$4:$AA$40)*Z$15)+(LOOKUP(Z$2,'Floor-U'!$A$4:$A$40,'Floor-U'!$H$4:$H$40)*Z$16)+(LOOKUP(Z$2,'Wall-U'!$A$4:$A$40,'Wall-U'!$AA$4:$AA$40)*Z$13)+(LOOKUP(Z$2,'Window-U'!$A$4:$A$40,'Window-U'!$S$4:$S$40)*Z$22))*Z$133</f>
        <v>621.77415978229499</v>
      </c>
      <c r="AA137" s="177">
        <f>((LOOKUP(AA$2,'Ceiling-U'!$A$4:$A$40,'Ceiling-U'!$AA$4:$AA$40)*AA$15)+(LOOKUP(AA$2,'Floor-U'!$A$4:$A$40,'Floor-U'!$H$4:$H$40)*AA$16)+(LOOKUP(AA$2,'Wall-U'!$A$4:$A$40,'Wall-U'!$AA$4:$AA$40)*AA$13)+(LOOKUP(AA$2,'Window-U'!$A$4:$A$40,'Window-U'!$S$4:$S$40)*AA$22))*AA$133</f>
        <v>241.22448292346158</v>
      </c>
      <c r="AB137" s="177">
        <f>((LOOKUP(AB$2,'Ceiling-U'!$A$4:$A$40,'Ceiling-U'!$AA$4:$AA$40)*AB$15)+(LOOKUP(AB$2,'Floor-U'!$A$4:$A$40,'Floor-U'!$H$4:$H$40)*AB$16)+(LOOKUP(AB$2,'Wall-U'!$A$4:$A$40,'Wall-U'!$AA$4:$AA$40)*AB$13)+(LOOKUP(AB$2,'Window-U'!$A$4:$A$40,'Window-U'!$S$4:$S$40)*AB$22))*AB$133</f>
        <v>467.50548392161033</v>
      </c>
      <c r="AC137" s="177">
        <f>((LOOKUP(AC$2,'Ceiling-U'!$A$4:$A$40,'Ceiling-U'!$AA$4:$AA$40)*AC$15)+(LOOKUP(AC$2,'Floor-U'!$A$4:$A$40,'Floor-U'!$H$4:$H$40)*AC$16)+(LOOKUP(AC$2,'Wall-U'!$A$4:$A$40,'Wall-U'!$AA$4:$AA$40)*AC$13)+(LOOKUP(AC$2,'Window-U'!$A$4:$A$40,'Window-U'!$S$4:$S$40)*AC$22))*AC$133</f>
        <v>1042.4147715164427</v>
      </c>
      <c r="AD137" s="177">
        <f>((LOOKUP(AD$2,'Ceiling-U'!$A$4:$A$40,'Ceiling-U'!$AA$4:$AA$40)*AD$15)+(LOOKUP(AD$2,'Floor-U'!$A$4:$A$40,'Floor-U'!$H$4:$H$40)*AD$16)+(LOOKUP(AD$2,'Wall-U'!$A$4:$A$40,'Wall-U'!$AA$4:$AA$40)*AD$13)+(LOOKUP(AD$2,'Window-U'!$A$4:$A$40,'Window-U'!$S$4:$S$40)*AD$22))*AD$133</f>
        <v>467.20586890532383</v>
      </c>
      <c r="AE137" s="177">
        <f>((LOOKUP(AE$2,'Ceiling-U'!$A$4:$A$40,'Ceiling-U'!$AA$4:$AA$40)*AE$15)+(LOOKUP(AE$2,'Floor-U'!$A$4:$A$40,'Floor-U'!$H$4:$H$40)*AE$16)+(LOOKUP(AE$2,'Wall-U'!$A$4:$A$40,'Wall-U'!$AA$4:$AA$40)*AE$13)+(LOOKUP(AE$2,'Window-U'!$A$4:$A$40,'Window-U'!$S$4:$S$40)*AE$22))*AE$133</f>
        <v>237.18537086283584</v>
      </c>
      <c r="AF137" s="177">
        <f>((LOOKUP(AF$2,'Ceiling-U'!$A$4:$A$40,'Ceiling-U'!$AA$4:$AA$40)*AF$15)+(LOOKUP(AF$2,'Floor-U'!$A$4:$A$40,'Floor-U'!$H$4:$H$40)*AF$16)+(LOOKUP(AF$2,'Wall-U'!$A$4:$A$40,'Wall-U'!$AA$4:$AA$40)*AF$13)+(LOOKUP(AF$2,'Window-U'!$A$4:$A$40,'Window-U'!$S$4:$S$40)*AF$22))*AF$133</f>
        <v>454.67144810420012</v>
      </c>
      <c r="AG137" s="177">
        <f>((LOOKUP(AG$2,'Ceiling-U'!$A$4:$A$40,'Ceiling-U'!$AA$4:$AA$40)*AG$15)+(LOOKUP(AG$2,'Floor-U'!$A$4:$A$40,'Floor-U'!$H$4:$H$40)*AG$16)+(LOOKUP(AG$2,'Wall-U'!$A$4:$A$40,'Wall-U'!$AA$4:$AA$40)*AG$13)+(LOOKUP(AG$2,'Window-U'!$A$4:$A$40,'Window-U'!$S$4:$S$40)*AG$22))*AG$133</f>
        <v>714.37200939231855</v>
      </c>
      <c r="AH137" s="177">
        <f>((LOOKUP(AH$2,'Ceiling-U'!$A$4:$A$40,'Ceiling-U'!$AA$4:$AA$40)*AH$15)+(LOOKUP(AH$2,'Floor-U'!$A$4:$A$40,'Floor-U'!$H$4:$H$40)*AH$16)+(LOOKUP(AH$2,'Wall-U'!$A$4:$A$40,'Wall-U'!$AA$4:$AA$40)*AH$13)+(LOOKUP(AH$2,'Window-U'!$A$4:$A$40,'Window-U'!$S$4:$S$40)*AH$22))*AH$133</f>
        <v>339.34606858332518</v>
      </c>
      <c r="AI137" s="177">
        <f>((LOOKUP(AI$2,'Ceiling-U'!$A$4:$A$40,'Ceiling-U'!$AA$4:$AA$40)*AI$15)+(LOOKUP(AI$2,'Floor-U'!$A$4:$A$40,'Floor-U'!$H$4:$H$40)*AI$16)+(LOOKUP(AI$2,'Wall-U'!$A$4:$A$40,'Wall-U'!$AA$4:$AA$40)*AI$13)+(LOOKUP(AI$2,'Window-U'!$A$4:$A$40,'Window-U'!$S$4:$S$40)*AI$22))*AI$133</f>
        <v>1010.4696946040134</v>
      </c>
      <c r="AJ137" s="177">
        <f>((LOOKUP(AJ$2,'Ceiling-U'!$A$4:$A$40,'Ceiling-U'!$AA$4:$AA$40)*AJ$15)+(LOOKUP(AJ$2,'Floor-U'!$A$4:$A$40,'Floor-U'!$H$4:$H$40)*AJ$16)+(LOOKUP(AJ$2,'Wall-U'!$A$4:$A$40,'Wall-U'!$AA$4:$AA$40)*AJ$13)+(LOOKUP(AJ$2,'Window-U'!$A$4:$A$40,'Window-U'!$S$4:$S$40)*AJ$22))*AJ$133</f>
        <v>383.09551463406268</v>
      </c>
      <c r="AK137" s="177">
        <f>((LOOKUP(AK$2,'Ceiling-U'!$A$4:$A$40,'Ceiling-U'!$AA$4:$AA$40)*AK$15)+(LOOKUP(AK$2,'Floor-U'!$A$4:$A$40,'Floor-U'!$H$4:$H$40)*AK$16)+(LOOKUP(AK$2,'Wall-U'!$A$4:$A$40,'Wall-U'!$AA$4:$AA$40)*AK$13)+(LOOKUP(AK$2,'Window-U'!$A$4:$A$40,'Window-U'!$S$4:$S$40)*AK$22))*AK$133</f>
        <v>485.88089875165252</v>
      </c>
      <c r="AL137" s="177">
        <f>((LOOKUP(AL$2,'Ceiling-U'!$A$4:$A$40,'Ceiling-U'!$AA$4:$AA$40)*AL$15)+(LOOKUP(AL$2,'Floor-U'!$A$4:$A$40,'Floor-U'!$H$4:$H$40)*AL$16)+(LOOKUP(AL$2,'Wall-U'!$A$4:$A$40,'Wall-U'!$AA$4:$AA$40)*AL$13)+(LOOKUP(AL$2,'Window-U'!$A$4:$A$40,'Window-U'!$S$4:$S$40)*AL$22))*AL$133</f>
        <v>338.85452793198948</v>
      </c>
      <c r="AM137" s="177">
        <f>((LOOKUP(AM$2,'Ceiling-U'!$A$4:$A$40,'Ceiling-U'!$AA$4:$AA$40)*AM$15)+(LOOKUP(AM$2,'Floor-U'!$A$4:$A$40,'Floor-U'!$H$4:$H$40)*AM$16)+(LOOKUP(AM$2,'Wall-U'!$A$4:$A$40,'Wall-U'!$AA$4:$AA$40)*AM$13)+(LOOKUP(AM$2,'Window-U'!$A$4:$A$40,'Window-U'!$S$4:$S$40)*AM$22))*AM$133</f>
        <v>383.09551463406268</v>
      </c>
      <c r="AN137" s="178">
        <f>((LOOKUP(AN$2,'Ceiling-U'!$A$4:$A$40,'Ceiling-U'!$AA$4:$AA$40)*AN$15)+(LOOKUP(AN$2,'Floor-U'!$A$4:$A$40,'Floor-U'!$H$4:$H$40)*AN$16)+(LOOKUP(AN$2,'Wall-U'!$A$4:$A$40,'Wall-U'!$AA$4:$AA$40)*AN$13)+(LOOKUP(AN$2,'Window-U'!$A$4:$A$40,'Window-U'!$S$4:$S$40)*AN$22))*AN$133</f>
        <v>383.09551463406268</v>
      </c>
    </row>
    <row r="138" spans="1:40">
      <c r="A138" s="372"/>
      <c r="B138" s="142" t="s">
        <v>6</v>
      </c>
      <c r="C138" s="131" t="s">
        <v>195</v>
      </c>
      <c r="D138" s="176">
        <f>((LOOKUP(D$2,'Ceiling-U'!$A$4:$A$40,'Ceiling-U'!$AB$4:$AB$40)*D$15)+(LOOKUP(D$2,'Floor-U'!$A$4:$A$40,'Floor-U'!$I$4:$I$40)*D$16)+(LOOKUP(D$2,'Wall-U'!$A$4:$A$40,'Wall-U'!$AB$4:$AB$40)*D$13)+(LOOKUP(D$2,'Window-U'!$A$4:$A$40,'Window-U'!$S$4:$S$40)*D$22))*D$133</f>
        <v>391.8498371833773</v>
      </c>
      <c r="E138" s="177">
        <f>((LOOKUP(E$2,'Ceiling-U'!$A$4:$A$40,'Ceiling-U'!$AB$4:$AB$40)*E$15)+(LOOKUP(E$2,'Floor-U'!$A$4:$A$40,'Floor-U'!$I$4:$I$40)*E$16)+(LOOKUP(E$2,'Wall-U'!$A$4:$A$40,'Wall-U'!$AB$4:$AB$40)*E$13)+(LOOKUP(E$2,'Window-U'!$A$4:$A$40,'Window-U'!$S$4:$S$40)*E$22))*E$133</f>
        <v>626.03288301398004</v>
      </c>
      <c r="F138" s="177">
        <f>((LOOKUP(F$2,'Ceiling-U'!$A$4:$A$40,'Ceiling-U'!$AB$4:$AB$40)*F$15)+(LOOKUP(F$2,'Floor-U'!$A$4:$A$40,'Floor-U'!$I$4:$I$40)*F$16)+(LOOKUP(F$2,'Wall-U'!$A$4:$A$40,'Wall-U'!$AB$4:$AB$40)*F$13)+(LOOKUP(F$2,'Window-U'!$A$4:$A$40,'Window-U'!$S$4:$S$40)*F$22))*F$133</f>
        <v>269.64294529342834</v>
      </c>
      <c r="G138" s="177">
        <f>((LOOKUP(G$2,'Ceiling-U'!$A$4:$A$40,'Ceiling-U'!$AB$4:$AB$40)*G$15)+(LOOKUP(G$2,'Floor-U'!$A$4:$A$40,'Floor-U'!$I$4:$I$40)*G$16)+(LOOKUP(G$2,'Wall-U'!$A$4:$A$40,'Wall-U'!$AB$4:$AB$40)*G$13)+(LOOKUP(G$2,'Window-U'!$A$4:$A$40,'Window-U'!$S$4:$S$40)*G$22))*G$133</f>
        <v>405.91946385020157</v>
      </c>
      <c r="H138" s="177">
        <f>((LOOKUP(H$2,'Ceiling-U'!$A$4:$A$40,'Ceiling-U'!$AB$4:$AB$40)*H$15)+(LOOKUP(H$2,'Floor-U'!$A$4:$A$40,'Floor-U'!$I$4:$I$40)*H$16)+(LOOKUP(H$2,'Wall-U'!$A$4:$A$40,'Wall-U'!$AB$4:$AB$40)*H$13)+(LOOKUP(H$2,'Window-U'!$A$4:$A$40,'Window-U'!$S$4:$S$40)*H$22))*H$133</f>
        <v>1025.6873303094933</v>
      </c>
      <c r="I138" s="177">
        <f>((LOOKUP(I$2,'Ceiling-U'!$A$4:$A$40,'Ceiling-U'!$AB$4:$AB$40)*I$15)+(LOOKUP(I$2,'Floor-U'!$A$4:$A$40,'Floor-U'!$I$4:$I$40)*I$16)+(LOOKUP(I$2,'Wall-U'!$A$4:$A$40,'Wall-U'!$AB$4:$AB$40)*I$13)+(LOOKUP(I$2,'Window-U'!$A$4:$A$40,'Window-U'!$S$4:$S$40)*I$22))*I$133</f>
        <v>372.23630457014724</v>
      </c>
      <c r="J138" s="177">
        <f>((LOOKUP(J$2,'Ceiling-U'!$A$4:$A$40,'Ceiling-U'!$AB$4:$AB$40)*J$15)+(LOOKUP(J$2,'Floor-U'!$A$4:$A$40,'Floor-U'!$I$4:$I$40)*J$16)+(LOOKUP(J$2,'Wall-U'!$A$4:$A$40,'Wall-U'!$AB$4:$AB$40)*J$13)+(LOOKUP(J$2,'Window-U'!$A$4:$A$40,'Window-U'!$S$4:$S$40)*J$22))*J$133</f>
        <v>279.65029502854514</v>
      </c>
      <c r="K138" s="177">
        <f>((LOOKUP(K$2,'Ceiling-U'!$A$4:$A$40,'Ceiling-U'!$AB$4:$AB$40)*K$15)+(LOOKUP(K$2,'Floor-U'!$A$4:$A$40,'Floor-U'!$I$4:$I$40)*K$16)+(LOOKUP(K$2,'Wall-U'!$A$4:$A$40,'Wall-U'!$AB$4:$AB$40)*K$13)+(LOOKUP(K$2,'Window-U'!$A$4:$A$40,'Window-U'!$S$4:$S$40)*K$22))*K$133</f>
        <v>298.6730750764504</v>
      </c>
      <c r="L138" s="177">
        <f>((LOOKUP(L$2,'Ceiling-U'!$A$4:$A$40,'Ceiling-U'!$AB$4:$AB$40)*L$15)+(LOOKUP(L$2,'Floor-U'!$A$4:$A$40,'Floor-U'!$I$4:$I$40)*L$16)+(LOOKUP(L$2,'Wall-U'!$A$4:$A$40,'Wall-U'!$AB$4:$AB$40)*L$13)+(LOOKUP(L$2,'Window-U'!$A$4:$A$40,'Window-U'!$S$4:$S$40)*L$22))*L$133</f>
        <v>176.18721093309745</v>
      </c>
      <c r="M138" s="177">
        <f>((LOOKUP(M$2,'Ceiling-U'!$A$4:$A$40,'Ceiling-U'!$AB$4:$AB$40)*M$15)+(LOOKUP(M$2,'Floor-U'!$A$4:$A$40,'Floor-U'!$I$4:$I$40)*M$16)+(LOOKUP(M$2,'Wall-U'!$A$4:$A$40,'Wall-U'!$AB$4:$AB$40)*M$13)+(LOOKUP(M$2,'Window-U'!$A$4:$A$40,'Window-U'!$S$4:$S$40)*M$22))*M$133</f>
        <v>581.75686253904644</v>
      </c>
      <c r="N138" s="177">
        <f>((LOOKUP(N$2,'Ceiling-U'!$A$4:$A$40,'Ceiling-U'!$AB$4:$AB$40)*N$15)+(LOOKUP(N$2,'Floor-U'!$A$4:$A$40,'Floor-U'!$I$4:$I$40)*N$16)+(LOOKUP(N$2,'Wall-U'!$A$4:$A$40,'Wall-U'!$AB$4:$AB$40)*N$13)+(LOOKUP(N$2,'Window-U'!$A$4:$A$40,'Window-U'!$S$4:$S$40)*N$22))*N$133</f>
        <v>251.78631757068979</v>
      </c>
      <c r="O138" s="177">
        <f>((LOOKUP(O$2,'Ceiling-U'!$A$4:$A$40,'Ceiling-U'!$AB$4:$AB$40)*O$15)+(LOOKUP(O$2,'Floor-U'!$A$4:$A$40,'Floor-U'!$I$4:$I$40)*O$16)+(LOOKUP(O$2,'Wall-U'!$A$4:$A$40,'Wall-U'!$AB$4:$AB$40)*O$13)+(LOOKUP(O$2,'Window-U'!$A$4:$A$40,'Window-U'!$S$4:$S$40)*O$22))*O$133</f>
        <v>328.17193348230916</v>
      </c>
      <c r="P138" s="177">
        <f>((LOOKUP(P$2,'Ceiling-U'!$A$4:$A$40,'Ceiling-U'!$AB$4:$AB$40)*P$15)+(LOOKUP(P$2,'Floor-U'!$A$4:$A$40,'Floor-U'!$I$4:$I$40)*P$16)+(LOOKUP(P$2,'Wall-U'!$A$4:$A$40,'Wall-U'!$AB$4:$AB$40)*P$13)+(LOOKUP(P$2,'Window-U'!$A$4:$A$40,'Window-U'!$S$4:$S$40)*P$22))*P$133</f>
        <v>682.57517343365396</v>
      </c>
      <c r="Q138" s="177">
        <f>((LOOKUP(Q$2,'Ceiling-U'!$A$4:$A$40,'Ceiling-U'!$AB$4:$AB$40)*Q$15)+(LOOKUP(Q$2,'Floor-U'!$A$4:$A$40,'Floor-U'!$I$4:$I$40)*Q$16)+(LOOKUP(Q$2,'Wall-U'!$A$4:$A$40,'Wall-U'!$AB$4:$AB$40)*Q$13)+(LOOKUP(Q$2,'Window-U'!$A$4:$A$40,'Window-U'!$S$4:$S$40)*Q$22))*Q$133</f>
        <v>319.31912277440432</v>
      </c>
      <c r="R138" s="177">
        <f>((LOOKUP(R$2,'Ceiling-U'!$A$4:$A$40,'Ceiling-U'!$AB$4:$AB$40)*R$15)+(LOOKUP(R$2,'Floor-U'!$A$4:$A$40,'Floor-U'!$I$4:$I$40)*R$16)+(LOOKUP(R$2,'Wall-U'!$A$4:$A$40,'Wall-U'!$AB$4:$AB$40)*R$13)+(LOOKUP(R$2,'Window-U'!$A$4:$A$40,'Window-U'!$S$4:$S$40)*R$22))*R$133</f>
        <v>438.07205015357607</v>
      </c>
      <c r="S138" s="177">
        <f>((LOOKUP(S$2,'Ceiling-U'!$A$4:$A$40,'Ceiling-U'!$AB$4:$AB$40)*S$15)+(LOOKUP(S$2,'Floor-U'!$A$4:$A$40,'Floor-U'!$I$4:$I$40)*S$16)+(LOOKUP(S$2,'Wall-U'!$A$4:$A$40,'Wall-U'!$AB$4:$AB$40)*S$13)+(LOOKUP(S$2,'Window-U'!$A$4:$A$40,'Window-U'!$S$4:$S$40)*S$22))*S$133</f>
        <v>421.06642737340098</v>
      </c>
      <c r="T138" s="177">
        <f>((LOOKUP(T$2,'Ceiling-U'!$A$4:$A$40,'Ceiling-U'!$AB$4:$AB$40)*T$15)+(LOOKUP(T$2,'Floor-U'!$A$4:$A$40,'Floor-U'!$I$4:$I$40)*T$16)+(LOOKUP(T$2,'Wall-U'!$A$4:$A$40,'Wall-U'!$AB$4:$AB$40)*T$13)+(LOOKUP(T$2,'Window-U'!$A$4:$A$40,'Window-U'!$S$4:$S$40)*T$22))*T$133</f>
        <v>253.84109405095717</v>
      </c>
      <c r="U138" s="177">
        <f>((LOOKUP(U$2,'Ceiling-U'!$A$4:$A$40,'Ceiling-U'!$AB$4:$AB$40)*U$15)+(LOOKUP(U$2,'Floor-U'!$A$4:$A$40,'Floor-U'!$I$4:$I$40)*U$16)+(LOOKUP(U$2,'Wall-U'!$A$4:$A$40,'Wall-U'!$AB$4:$AB$40)*U$13)+(LOOKUP(U$2,'Window-U'!$A$4:$A$40,'Window-U'!$S$4:$S$40)*U$22))*U$133</f>
        <v>825.67354565239702</v>
      </c>
      <c r="V138" s="177">
        <f>((LOOKUP(V$2,'Ceiling-U'!$A$4:$A$40,'Ceiling-U'!$AB$4:$AB$40)*V$15)+(LOOKUP(V$2,'Floor-U'!$A$4:$A$40,'Floor-U'!$I$4:$I$40)*V$16)+(LOOKUP(V$2,'Wall-U'!$A$4:$A$40,'Wall-U'!$AB$4:$AB$40)*V$13)+(LOOKUP(V$2,'Window-U'!$A$4:$A$40,'Window-U'!$S$4:$S$40)*V$22))*V$133</f>
        <v>374.5428675578446</v>
      </c>
      <c r="W138" s="177">
        <f>((LOOKUP(W$2,'Ceiling-U'!$A$4:$A$40,'Ceiling-U'!$AB$4:$AB$40)*W$15)+(LOOKUP(W$2,'Floor-U'!$A$4:$A$40,'Floor-U'!$I$4:$I$40)*W$16)+(LOOKUP(W$2,'Wall-U'!$A$4:$A$40,'Wall-U'!$AB$4:$AB$40)*W$13)+(LOOKUP(W$2,'Window-U'!$A$4:$A$40,'Window-U'!$S$4:$S$40)*W$22))*W$133</f>
        <v>222.67246829860261</v>
      </c>
      <c r="X138" s="177">
        <f>((LOOKUP(X$2,'Ceiling-U'!$A$4:$A$40,'Ceiling-U'!$AB$4:$AB$40)*X$15)+(LOOKUP(X$2,'Floor-U'!$A$4:$A$40,'Floor-U'!$I$4:$I$40)*X$16)+(LOOKUP(X$2,'Wall-U'!$A$4:$A$40,'Wall-U'!$AB$4:$AB$40)*X$13)+(LOOKUP(X$2,'Window-U'!$A$4:$A$40,'Window-U'!$S$4:$S$40)*X$22))*X$133</f>
        <v>281.25567732391704</v>
      </c>
      <c r="Y138" s="177">
        <f>((LOOKUP(Y$2,'Ceiling-U'!$A$4:$A$40,'Ceiling-U'!$AB$4:$AB$40)*Y$15)+(LOOKUP(Y$2,'Floor-U'!$A$4:$A$40,'Floor-U'!$I$4:$I$40)*Y$16)+(LOOKUP(Y$2,'Wall-U'!$A$4:$A$40,'Wall-U'!$AB$4:$AB$40)*Y$13)+(LOOKUP(Y$2,'Window-U'!$A$4:$A$40,'Window-U'!$S$4:$S$40)*Y$22))*Y$133</f>
        <v>969.70978905832089</v>
      </c>
      <c r="Z138" s="177">
        <f>((LOOKUP(Z$2,'Ceiling-U'!$A$4:$A$40,'Ceiling-U'!$AB$4:$AB$40)*Z$15)+(LOOKUP(Z$2,'Floor-U'!$A$4:$A$40,'Floor-U'!$I$4:$I$40)*Z$16)+(LOOKUP(Z$2,'Wall-U'!$A$4:$A$40,'Wall-U'!$AB$4:$AB$40)*Z$13)+(LOOKUP(Z$2,'Window-U'!$A$4:$A$40,'Window-U'!$S$4:$S$40)*Z$22))*Z$133</f>
        <v>576.14323624343751</v>
      </c>
      <c r="AA138" s="177">
        <f>((LOOKUP(AA$2,'Ceiling-U'!$A$4:$A$40,'Ceiling-U'!$AB$4:$AB$40)*AA$15)+(LOOKUP(AA$2,'Floor-U'!$A$4:$A$40,'Floor-U'!$I$4:$I$40)*AA$16)+(LOOKUP(AA$2,'Wall-U'!$A$4:$A$40,'Wall-U'!$AB$4:$AB$40)*AA$13)+(LOOKUP(AA$2,'Window-U'!$A$4:$A$40,'Window-U'!$S$4:$S$40)*AA$22))*AA$133</f>
        <v>219.18651439939589</v>
      </c>
      <c r="AB138" s="177">
        <f>((LOOKUP(AB$2,'Ceiling-U'!$A$4:$A$40,'Ceiling-U'!$AB$4:$AB$40)*AB$15)+(LOOKUP(AB$2,'Floor-U'!$A$4:$A$40,'Floor-U'!$I$4:$I$40)*AB$16)+(LOOKUP(AB$2,'Wall-U'!$A$4:$A$40,'Wall-U'!$AB$4:$AB$40)*AB$13)+(LOOKUP(AB$2,'Window-U'!$A$4:$A$40,'Window-U'!$S$4:$S$40)*AB$22))*AB$133</f>
        <v>467.50548392161033</v>
      </c>
      <c r="AC138" s="177">
        <f>((LOOKUP(AC$2,'Ceiling-U'!$A$4:$A$40,'Ceiling-U'!$AB$4:$AB$40)*AC$15)+(LOOKUP(AC$2,'Floor-U'!$A$4:$A$40,'Floor-U'!$I$4:$I$40)*AC$16)+(LOOKUP(AC$2,'Wall-U'!$A$4:$A$40,'Wall-U'!$AB$4:$AB$40)*AC$13)+(LOOKUP(AC$2,'Window-U'!$A$4:$A$40,'Window-U'!$S$4:$S$40)*AC$22))*AC$133</f>
        <v>1000.0646065569152</v>
      </c>
      <c r="AD138" s="177">
        <f>((LOOKUP(AD$2,'Ceiling-U'!$A$4:$A$40,'Ceiling-U'!$AB$4:$AB$40)*AD$15)+(LOOKUP(AD$2,'Floor-U'!$A$4:$A$40,'Floor-U'!$I$4:$I$40)*AD$16)+(LOOKUP(AD$2,'Wall-U'!$A$4:$A$40,'Wall-U'!$AB$4:$AB$40)*AD$13)+(LOOKUP(AD$2,'Window-U'!$A$4:$A$40,'Window-U'!$S$4:$S$40)*AD$22))*AD$133</f>
        <v>467.20586890532383</v>
      </c>
      <c r="AE138" s="177">
        <f>((LOOKUP(AE$2,'Ceiling-U'!$A$4:$A$40,'Ceiling-U'!$AB$4:$AB$40)*AE$15)+(LOOKUP(AE$2,'Floor-U'!$A$4:$A$40,'Floor-U'!$I$4:$I$40)*AE$16)+(LOOKUP(AE$2,'Wall-U'!$A$4:$A$40,'Wall-U'!$AB$4:$AB$40)*AE$13)+(LOOKUP(AE$2,'Window-U'!$A$4:$A$40,'Window-U'!$S$4:$S$40)*AE$22))*AE$133</f>
        <v>215.49615711428055</v>
      </c>
      <c r="AF138" s="177">
        <f>((LOOKUP(AF$2,'Ceiling-U'!$A$4:$A$40,'Ceiling-U'!$AB$4:$AB$40)*AF$15)+(LOOKUP(AF$2,'Floor-U'!$A$4:$A$40,'Floor-U'!$I$4:$I$40)*AF$16)+(LOOKUP(AF$2,'Wall-U'!$A$4:$A$40,'Wall-U'!$AB$4:$AB$40)*AF$13)+(LOOKUP(AF$2,'Window-U'!$A$4:$A$40,'Window-U'!$S$4:$S$40)*AF$22))*AF$133</f>
        <v>343.45020768486717</v>
      </c>
      <c r="AG138" s="177">
        <f>((LOOKUP(AG$2,'Ceiling-U'!$A$4:$A$40,'Ceiling-U'!$AB$4:$AB$40)*AG$15)+(LOOKUP(AG$2,'Floor-U'!$A$4:$A$40,'Floor-U'!$I$4:$I$40)*AG$16)+(LOOKUP(AG$2,'Wall-U'!$A$4:$A$40,'Wall-U'!$AB$4:$AB$40)*AG$13)+(LOOKUP(AG$2,'Window-U'!$A$4:$A$40,'Window-U'!$S$4:$S$40)*AG$22))*AG$133</f>
        <v>638.54457621420568</v>
      </c>
      <c r="AH138" s="177">
        <f>((LOOKUP(AH$2,'Ceiling-U'!$A$4:$A$40,'Ceiling-U'!$AB$4:$AB$40)*AH$15)+(LOOKUP(AH$2,'Floor-U'!$A$4:$A$40,'Floor-U'!$I$4:$I$40)*AH$16)+(LOOKUP(AH$2,'Wall-U'!$A$4:$A$40,'Wall-U'!$AB$4:$AB$40)*AH$13)+(LOOKUP(AH$2,'Window-U'!$A$4:$A$40,'Window-U'!$S$4:$S$40)*AH$22))*AH$133</f>
        <v>317.27499724855909</v>
      </c>
      <c r="AI138" s="177">
        <f>((LOOKUP(AI$2,'Ceiling-U'!$A$4:$A$40,'Ceiling-U'!$AB$4:$AB$40)*AI$15)+(LOOKUP(AI$2,'Floor-U'!$A$4:$A$40,'Floor-U'!$I$4:$I$40)*AI$16)+(LOOKUP(AI$2,'Wall-U'!$A$4:$A$40,'Wall-U'!$AB$4:$AB$40)*AI$13)+(LOOKUP(AI$2,'Window-U'!$A$4:$A$40,'Window-U'!$S$4:$S$40)*AI$22))*AI$133</f>
        <v>1010.4696946040134</v>
      </c>
      <c r="AJ138" s="177">
        <f>((LOOKUP(AJ$2,'Ceiling-U'!$A$4:$A$40,'Ceiling-U'!$AB$4:$AB$40)*AJ$15)+(LOOKUP(AJ$2,'Floor-U'!$A$4:$A$40,'Floor-U'!$I$4:$I$40)*AJ$16)+(LOOKUP(AJ$2,'Wall-U'!$A$4:$A$40,'Wall-U'!$AB$4:$AB$40)*AJ$13)+(LOOKUP(AJ$2,'Window-U'!$A$4:$A$40,'Window-U'!$S$4:$S$40)*AJ$22))*AJ$133</f>
        <v>377.86927682905105</v>
      </c>
      <c r="AK138" s="177">
        <f>((LOOKUP(AK$2,'Ceiling-U'!$A$4:$A$40,'Ceiling-U'!$AB$4:$AB$40)*AK$15)+(LOOKUP(AK$2,'Floor-U'!$A$4:$A$40,'Floor-U'!$I$4:$I$40)*AK$16)+(LOOKUP(AK$2,'Wall-U'!$A$4:$A$40,'Wall-U'!$AB$4:$AB$40)*AK$13)+(LOOKUP(AK$2,'Window-U'!$A$4:$A$40,'Window-U'!$S$4:$S$40)*AK$22))*AK$133</f>
        <v>479.25593742710356</v>
      </c>
      <c r="AL138" s="177">
        <f>((LOOKUP(AL$2,'Ceiling-U'!$A$4:$A$40,'Ceiling-U'!$AB$4:$AB$40)*AL$15)+(LOOKUP(AL$2,'Floor-U'!$A$4:$A$40,'Floor-U'!$I$4:$I$40)*AL$16)+(LOOKUP(AL$2,'Wall-U'!$A$4:$A$40,'Wall-U'!$AB$4:$AB$40)*AL$13)+(LOOKUP(AL$2,'Window-U'!$A$4:$A$40,'Window-U'!$S$4:$S$40)*AL$22))*AL$133</f>
        <v>284.44765704910822</v>
      </c>
      <c r="AM138" s="177">
        <f>((LOOKUP(AM$2,'Ceiling-U'!$A$4:$A$40,'Ceiling-U'!$AB$4:$AB$40)*AM$15)+(LOOKUP(AM$2,'Floor-U'!$A$4:$A$40,'Floor-U'!$I$4:$I$40)*AM$16)+(LOOKUP(AM$2,'Wall-U'!$A$4:$A$40,'Wall-U'!$AB$4:$AB$40)*AM$13)+(LOOKUP(AM$2,'Window-U'!$A$4:$A$40,'Window-U'!$S$4:$S$40)*AM$22))*AM$133</f>
        <v>377.86927682905105</v>
      </c>
      <c r="AN138" s="178">
        <f>((LOOKUP(AN$2,'Ceiling-U'!$A$4:$A$40,'Ceiling-U'!$AB$4:$AB$40)*AN$15)+(LOOKUP(AN$2,'Floor-U'!$A$4:$A$40,'Floor-U'!$I$4:$I$40)*AN$16)+(LOOKUP(AN$2,'Wall-U'!$A$4:$A$40,'Wall-U'!$AB$4:$AB$40)*AN$13)+(LOOKUP(AN$2,'Window-U'!$A$4:$A$40,'Window-U'!$S$4:$S$40)*AN$22))*AN$133</f>
        <v>377.86927682905105</v>
      </c>
    </row>
    <row r="139" spans="1:40">
      <c r="A139" s="373"/>
      <c r="B139" s="374" t="s">
        <v>7</v>
      </c>
      <c r="C139" s="131" t="s">
        <v>195</v>
      </c>
      <c r="D139" s="176">
        <f>((LOOKUP(D$2,'Ceiling-U'!$A$4:$A$40,'Ceiling-U'!$AC$4:$AC$40)*D$15)+(LOOKUP(D$2,'Floor-U'!$A$4:$A$40,'Floor-U'!$J$4:$J$40)*D$16)+(LOOKUP(D$2,'Wall-U'!$A$4:$A$40,'Wall-U'!$AC$4:$AC$40)*D$13)+(LOOKUP(D$2,'Window-U'!$A$4:$A$40,'Window-U'!$S$4:$S$40)*D$22))*D$133</f>
        <v>343.06541866536776</v>
      </c>
      <c r="E139" s="174">
        <f>((LOOKUP(E$2,'Ceiling-U'!$A$4:$A$40,'Ceiling-U'!$AC$4:$AC$40)*E$15)+(LOOKUP(E$2,'Floor-U'!$A$4:$A$40,'Floor-U'!$J$4:$J$40)*E$16)+(LOOKUP(E$2,'Wall-U'!$A$4:$A$40,'Wall-U'!$AC$4:$AC$40)*E$13)+(LOOKUP(E$2,'Window-U'!$A$4:$A$40,'Window-U'!$S$4:$S$40)*E$22))*E$133</f>
        <v>465.04569262377004</v>
      </c>
      <c r="F139" s="174">
        <f>((LOOKUP(F$2,'Ceiling-U'!$A$4:$A$40,'Ceiling-U'!$AC$4:$AC$40)*F$15)+(LOOKUP(F$2,'Floor-U'!$A$4:$A$40,'Floor-U'!$J$4:$J$40)*F$16)+(LOOKUP(F$2,'Wall-U'!$A$4:$A$40,'Wall-U'!$AC$4:$AC$40)*F$13)+(LOOKUP(F$2,'Window-U'!$A$4:$A$40,'Window-U'!$S$4:$S$40)*F$22))*F$133</f>
        <v>241.87305831682971</v>
      </c>
      <c r="G139" s="174">
        <f>((LOOKUP(G$2,'Ceiling-U'!$A$4:$A$40,'Ceiling-U'!$AC$4:$AC$40)*G$15)+(LOOKUP(G$2,'Floor-U'!$A$4:$A$40,'Floor-U'!$J$4:$J$40)*G$16)+(LOOKUP(G$2,'Wall-U'!$A$4:$A$40,'Wall-U'!$AC$4:$AC$40)*G$13)+(LOOKUP(G$2,'Window-U'!$A$4:$A$40,'Window-U'!$S$4:$S$40)*G$22))*G$133</f>
        <v>354.95164206617301</v>
      </c>
      <c r="H139" s="174">
        <f>((LOOKUP(H$2,'Ceiling-U'!$A$4:$A$40,'Ceiling-U'!$AC$4:$AC$40)*H$15)+(LOOKUP(H$2,'Floor-U'!$A$4:$A$40,'Floor-U'!$J$4:$J$40)*H$16)+(LOOKUP(H$2,'Wall-U'!$A$4:$A$40,'Wall-U'!$AC$4:$AC$40)*H$13)+(LOOKUP(H$2,'Window-U'!$A$4:$A$40,'Window-U'!$S$4:$S$40)*H$22))*H$133</f>
        <v>455.06928032662091</v>
      </c>
      <c r="I139" s="174">
        <f>((LOOKUP(I$2,'Ceiling-U'!$A$4:$A$40,'Ceiling-U'!$AC$4:$AC$40)*I$15)+(LOOKUP(I$2,'Floor-U'!$A$4:$A$40,'Floor-U'!$J$4:$J$40)*I$16)+(LOOKUP(I$2,'Wall-U'!$A$4:$A$40,'Wall-U'!$AC$4:$AC$40)*I$13)+(LOOKUP(I$2,'Window-U'!$A$4:$A$40,'Window-U'!$S$4:$S$40)*I$22))*I$133</f>
        <v>302.09023444663148</v>
      </c>
      <c r="J139" s="174">
        <f>((LOOKUP(J$2,'Ceiling-U'!$A$4:$A$40,'Ceiling-U'!$AC$4:$AC$40)*J$15)+(LOOKUP(J$2,'Floor-U'!$A$4:$A$40,'Floor-U'!$J$4:$J$40)*J$16)+(LOOKUP(J$2,'Wall-U'!$A$4:$A$40,'Wall-U'!$AC$4:$AC$40)*J$13)+(LOOKUP(J$2,'Window-U'!$A$4:$A$40,'Window-U'!$S$4:$S$40)*J$22))*J$133</f>
        <v>292.81800072830259</v>
      </c>
      <c r="K139" s="174">
        <f>((LOOKUP(K$2,'Ceiling-U'!$A$4:$A$40,'Ceiling-U'!$AC$4:$AC$40)*K$15)+(LOOKUP(K$2,'Floor-U'!$A$4:$A$40,'Floor-U'!$J$4:$J$40)*K$16)+(LOOKUP(K$2,'Wall-U'!$A$4:$A$40,'Wall-U'!$AC$4:$AC$40)*K$13)+(LOOKUP(K$2,'Window-U'!$A$4:$A$40,'Window-U'!$S$4:$S$40)*K$22))*K$133</f>
        <v>224.41188071885691</v>
      </c>
      <c r="L139" s="174">
        <f>((LOOKUP(L$2,'Ceiling-U'!$A$4:$A$40,'Ceiling-U'!$AC$4:$AC$40)*L$15)+(LOOKUP(L$2,'Floor-U'!$A$4:$A$40,'Floor-U'!$J$4:$J$40)*L$16)+(LOOKUP(L$2,'Wall-U'!$A$4:$A$40,'Wall-U'!$AC$4:$AC$40)*L$13)+(LOOKUP(L$2,'Window-U'!$A$4:$A$40,'Window-U'!$S$4:$S$40)*L$22))*L$133</f>
        <v>176.18721093309745</v>
      </c>
      <c r="M139" s="174">
        <f>((LOOKUP(M$2,'Ceiling-U'!$A$4:$A$40,'Ceiling-U'!$AC$4:$AC$40)*M$15)+(LOOKUP(M$2,'Floor-U'!$A$4:$A$40,'Floor-U'!$J$4:$J$40)*M$16)+(LOOKUP(M$2,'Wall-U'!$A$4:$A$40,'Wall-U'!$AC$4:$AC$40)*M$13)+(LOOKUP(M$2,'Window-U'!$A$4:$A$40,'Window-U'!$S$4:$S$40)*M$22))*M$133</f>
        <v>503.92915546476638</v>
      </c>
      <c r="N139" s="174">
        <f>((LOOKUP(N$2,'Ceiling-U'!$A$4:$A$40,'Ceiling-U'!$AC$4:$AC$40)*N$15)+(LOOKUP(N$2,'Floor-U'!$A$4:$A$40,'Floor-U'!$J$4:$J$40)*N$16)+(LOOKUP(N$2,'Wall-U'!$A$4:$A$40,'Wall-U'!$AC$4:$AC$40)*N$13)+(LOOKUP(N$2,'Window-U'!$A$4:$A$40,'Window-U'!$S$4:$S$40)*N$22))*N$133</f>
        <v>231.00349389201176</v>
      </c>
      <c r="O139" s="174">
        <f>((LOOKUP(O$2,'Ceiling-U'!$A$4:$A$40,'Ceiling-U'!$AC$4:$AC$40)*O$15)+(LOOKUP(O$2,'Floor-U'!$A$4:$A$40,'Floor-U'!$J$4:$J$40)*O$16)+(LOOKUP(O$2,'Wall-U'!$A$4:$A$40,'Wall-U'!$AC$4:$AC$40)*O$13)+(LOOKUP(O$2,'Window-U'!$A$4:$A$40,'Window-U'!$S$4:$S$40)*O$22))*O$133</f>
        <v>320.8053843144362</v>
      </c>
      <c r="P139" s="174">
        <f>((LOOKUP(P$2,'Ceiling-U'!$A$4:$A$40,'Ceiling-U'!$AC$4:$AC$40)*P$15)+(LOOKUP(P$2,'Floor-U'!$A$4:$A$40,'Floor-U'!$J$4:$J$40)*P$16)+(LOOKUP(P$2,'Wall-U'!$A$4:$A$40,'Wall-U'!$AC$4:$AC$40)*P$13)+(LOOKUP(P$2,'Window-U'!$A$4:$A$40,'Window-U'!$S$4:$S$40)*P$22))*P$133</f>
        <v>268.4484410272164</v>
      </c>
      <c r="Q139" s="174">
        <f>((LOOKUP(Q$2,'Ceiling-U'!$A$4:$A$40,'Ceiling-U'!$AC$4:$AC$40)*Q$15)+(LOOKUP(Q$2,'Floor-U'!$A$4:$A$40,'Floor-U'!$J$4:$J$40)*Q$16)+(LOOKUP(Q$2,'Wall-U'!$A$4:$A$40,'Wall-U'!$AC$4:$AC$40)*Q$13)+(LOOKUP(Q$2,'Window-U'!$A$4:$A$40,'Window-U'!$S$4:$S$40)*Q$22))*Q$133</f>
        <v>272.51953256900651</v>
      </c>
      <c r="R139" s="174">
        <f>((LOOKUP(R$2,'Ceiling-U'!$A$4:$A$40,'Ceiling-U'!$AC$4:$AC$40)*R$15)+(LOOKUP(R$2,'Floor-U'!$A$4:$A$40,'Floor-U'!$J$4:$J$40)*R$16)+(LOOKUP(R$2,'Wall-U'!$A$4:$A$40,'Wall-U'!$AC$4:$AC$40)*R$13)+(LOOKUP(R$2,'Window-U'!$A$4:$A$40,'Window-U'!$S$4:$S$40)*R$22))*R$133</f>
        <v>313.74590910731041</v>
      </c>
      <c r="S139" s="174">
        <f>((LOOKUP(S$2,'Ceiling-U'!$A$4:$A$40,'Ceiling-U'!$AC$4:$AC$40)*S$15)+(LOOKUP(S$2,'Floor-U'!$A$4:$A$40,'Floor-U'!$J$4:$J$40)*S$16)+(LOOKUP(S$2,'Wall-U'!$A$4:$A$40,'Wall-U'!$AC$4:$AC$40)*S$13)+(LOOKUP(S$2,'Window-U'!$A$4:$A$40,'Window-U'!$S$4:$S$40)*S$22))*S$133</f>
        <v>310.54990847572412</v>
      </c>
      <c r="T139" s="174">
        <f>((LOOKUP(T$2,'Ceiling-U'!$A$4:$A$40,'Ceiling-U'!$AC$4:$AC$40)*T$15)+(LOOKUP(T$2,'Floor-U'!$A$4:$A$40,'Floor-U'!$J$4:$J$40)*T$16)+(LOOKUP(T$2,'Wall-U'!$A$4:$A$40,'Wall-U'!$AC$4:$AC$40)*T$13)+(LOOKUP(T$2,'Window-U'!$A$4:$A$40,'Window-U'!$S$4:$S$40)*T$22))*T$133</f>
        <v>232.83592070646668</v>
      </c>
      <c r="U139" s="174">
        <f>((LOOKUP(U$2,'Ceiling-U'!$A$4:$A$40,'Ceiling-U'!$AC$4:$AC$40)*U$15)+(LOOKUP(U$2,'Floor-U'!$A$4:$A$40,'Floor-U'!$J$4:$J$40)*U$16)+(LOOKUP(U$2,'Wall-U'!$A$4:$A$40,'Wall-U'!$AC$4:$AC$40)*U$13)+(LOOKUP(U$2,'Window-U'!$A$4:$A$40,'Window-U'!$S$4:$S$40)*U$22))*U$133</f>
        <v>825.67354565239702</v>
      </c>
      <c r="V139" s="174">
        <f>((LOOKUP(V$2,'Ceiling-U'!$A$4:$A$40,'Ceiling-U'!$AC$4:$AC$40)*V$15)+(LOOKUP(V$2,'Floor-U'!$A$4:$A$40,'Floor-U'!$J$4:$J$40)*V$16)+(LOOKUP(V$2,'Wall-U'!$A$4:$A$40,'Wall-U'!$AC$4:$AC$40)*V$13)+(LOOKUP(V$2,'Window-U'!$A$4:$A$40,'Window-U'!$S$4:$S$40)*V$22))*V$133</f>
        <v>245.94023266476148</v>
      </c>
      <c r="W139" s="174">
        <f>((LOOKUP(W$2,'Ceiling-U'!$A$4:$A$40,'Ceiling-U'!$AC$4:$AC$40)*W$15)+(LOOKUP(W$2,'Floor-U'!$A$4:$A$40,'Floor-U'!$J$4:$J$40)*W$16)+(LOOKUP(W$2,'Wall-U'!$A$4:$A$40,'Wall-U'!$AC$4:$AC$40)*W$13)+(LOOKUP(W$2,'Window-U'!$A$4:$A$40,'Window-U'!$S$4:$S$40)*W$22))*W$133</f>
        <v>187.87158722385024</v>
      </c>
      <c r="X139" s="174">
        <f>((LOOKUP(X$2,'Ceiling-U'!$A$4:$A$40,'Ceiling-U'!$AC$4:$AC$40)*X$15)+(LOOKUP(X$2,'Floor-U'!$A$4:$A$40,'Floor-U'!$J$4:$J$40)*X$16)+(LOOKUP(X$2,'Wall-U'!$A$4:$A$40,'Wall-U'!$AC$4:$AC$40)*X$13)+(LOOKUP(X$2,'Window-U'!$A$4:$A$40,'Window-U'!$S$4:$S$40)*X$22))*X$133</f>
        <v>214.68246188297655</v>
      </c>
      <c r="Y139" s="174">
        <f>((LOOKUP(Y$2,'Ceiling-U'!$A$4:$A$40,'Ceiling-U'!$AC$4:$AC$40)*Y$15)+(LOOKUP(Y$2,'Floor-U'!$A$4:$A$40,'Floor-U'!$J$4:$J$40)*Y$16)+(LOOKUP(Y$2,'Wall-U'!$A$4:$A$40,'Wall-U'!$AC$4:$AC$40)*Y$13)+(LOOKUP(Y$2,'Window-U'!$A$4:$A$40,'Window-U'!$S$4:$S$40)*Y$22))*Y$133</f>
        <v>955.631774257296</v>
      </c>
      <c r="Z139" s="174">
        <f>((LOOKUP(Z$2,'Ceiling-U'!$A$4:$A$40,'Ceiling-U'!$AC$4:$AC$40)*Z$15)+(LOOKUP(Z$2,'Floor-U'!$A$4:$A$40,'Floor-U'!$J$4:$J$40)*Z$16)+(LOOKUP(Z$2,'Wall-U'!$A$4:$A$40,'Wall-U'!$AC$4:$AC$40)*Z$13)+(LOOKUP(Z$2,'Window-U'!$A$4:$A$40,'Window-U'!$S$4:$S$40)*Z$22))*Z$133</f>
        <v>373.44211361465995</v>
      </c>
      <c r="AA139" s="174">
        <f>((LOOKUP(AA$2,'Ceiling-U'!$A$4:$A$40,'Ceiling-U'!$AC$4:$AC$40)*AA$15)+(LOOKUP(AA$2,'Floor-U'!$A$4:$A$40,'Floor-U'!$J$4:$J$40)*AA$16)+(LOOKUP(AA$2,'Wall-U'!$A$4:$A$40,'Wall-U'!$AC$4:$AC$40)*AA$13)+(LOOKUP(AA$2,'Window-U'!$A$4:$A$40,'Window-U'!$S$4:$S$40)*AA$22))*AA$133</f>
        <v>219.18651439939589</v>
      </c>
      <c r="AB139" s="174">
        <f>((LOOKUP(AB$2,'Ceiling-U'!$A$4:$A$40,'Ceiling-U'!$AC$4:$AC$40)*AB$15)+(LOOKUP(AB$2,'Floor-U'!$A$4:$A$40,'Floor-U'!$J$4:$J$40)*AB$16)+(LOOKUP(AB$2,'Wall-U'!$A$4:$A$40,'Wall-U'!$AC$4:$AC$40)*AB$13)+(LOOKUP(AB$2,'Window-U'!$A$4:$A$40,'Window-U'!$S$4:$S$40)*AB$22))*AB$133</f>
        <v>362.6541468041334</v>
      </c>
      <c r="AC139" s="174">
        <f>((LOOKUP(AC$2,'Ceiling-U'!$A$4:$A$40,'Ceiling-U'!$AC$4:$AC$40)*AC$15)+(LOOKUP(AC$2,'Floor-U'!$A$4:$A$40,'Floor-U'!$J$4:$J$40)*AC$16)+(LOOKUP(AC$2,'Wall-U'!$A$4:$A$40,'Wall-U'!$AC$4:$AC$40)*AC$13)+(LOOKUP(AC$2,'Window-U'!$A$4:$A$40,'Window-U'!$S$4:$S$40)*AC$22))*AC$133</f>
        <v>711.22988132415787</v>
      </c>
      <c r="AD139" s="174">
        <f>((LOOKUP(AD$2,'Ceiling-U'!$A$4:$A$40,'Ceiling-U'!$AC$4:$AC$40)*AD$15)+(LOOKUP(AD$2,'Floor-U'!$A$4:$A$40,'Floor-U'!$J$4:$J$40)*AD$16)+(LOOKUP(AD$2,'Wall-U'!$A$4:$A$40,'Wall-U'!$AC$4:$AC$40)*AD$13)+(LOOKUP(AD$2,'Window-U'!$A$4:$A$40,'Window-U'!$S$4:$S$40)*AD$22))*AD$133</f>
        <v>453.14813381121689</v>
      </c>
      <c r="AE139" s="174">
        <f>((LOOKUP(AE$2,'Ceiling-U'!$A$4:$A$40,'Ceiling-U'!$AC$4:$AC$40)*AE$15)+(LOOKUP(AE$2,'Floor-U'!$A$4:$A$40,'Floor-U'!$J$4:$J$40)*AE$16)+(LOOKUP(AE$2,'Wall-U'!$A$4:$A$40,'Wall-U'!$AC$4:$AC$40)*AE$13)+(LOOKUP(AE$2,'Window-U'!$A$4:$A$40,'Window-U'!$S$4:$S$40)*AE$22))*AE$133</f>
        <v>215.49615711428055</v>
      </c>
      <c r="AF139" s="174">
        <f>((LOOKUP(AF$2,'Ceiling-U'!$A$4:$A$40,'Ceiling-U'!$AC$4:$AC$40)*AF$15)+(LOOKUP(AF$2,'Floor-U'!$A$4:$A$40,'Floor-U'!$J$4:$J$40)*AF$16)+(LOOKUP(AF$2,'Wall-U'!$A$4:$A$40,'Wall-U'!$AC$4:$AC$40)*AF$13)+(LOOKUP(AF$2,'Window-U'!$A$4:$A$40,'Window-U'!$S$4:$S$40)*AF$22))*AF$133</f>
        <v>207.20518435862539</v>
      </c>
      <c r="AG139" s="174">
        <f>((LOOKUP(AG$2,'Ceiling-U'!$A$4:$A$40,'Ceiling-U'!$AC$4:$AC$40)*AG$15)+(LOOKUP(AG$2,'Floor-U'!$A$4:$A$40,'Floor-U'!$J$4:$J$40)*AG$16)+(LOOKUP(AG$2,'Wall-U'!$A$4:$A$40,'Wall-U'!$AC$4:$AC$40)*AG$13)+(LOOKUP(AG$2,'Window-U'!$A$4:$A$40,'Window-U'!$S$4:$S$40)*AG$22))*AG$133</f>
        <v>463.33195448740832</v>
      </c>
      <c r="AH139" s="174">
        <f>((LOOKUP(AH$2,'Ceiling-U'!$A$4:$A$40,'Ceiling-U'!$AC$4:$AC$40)*AH$15)+(LOOKUP(AH$2,'Floor-U'!$A$4:$A$40,'Floor-U'!$J$4:$J$40)*AH$16)+(LOOKUP(AH$2,'Wall-U'!$A$4:$A$40,'Wall-U'!$AC$4:$AC$40)*AH$13)+(LOOKUP(AH$2,'Window-U'!$A$4:$A$40,'Window-U'!$S$4:$S$40)*AH$22))*AH$133</f>
        <v>283.98698235819074</v>
      </c>
      <c r="AI139" s="174">
        <f>((LOOKUP(AI$2,'Ceiling-U'!$A$4:$A$40,'Ceiling-U'!$AC$4:$AC$40)*AI$15)+(LOOKUP(AI$2,'Floor-U'!$A$4:$A$40,'Floor-U'!$J$4:$J$40)*AI$16)+(LOOKUP(AI$2,'Wall-U'!$A$4:$A$40,'Wall-U'!$AC$4:$AC$40)*AI$13)+(LOOKUP(AI$2,'Window-U'!$A$4:$A$40,'Window-U'!$S$4:$S$40)*AI$22))*AI$133</f>
        <v>393.17576051696585</v>
      </c>
      <c r="AJ139" s="174">
        <f>((LOOKUP(AJ$2,'Ceiling-U'!$A$4:$A$40,'Ceiling-U'!$AC$4:$AC$40)*AJ$15)+(LOOKUP(AJ$2,'Floor-U'!$A$4:$A$40,'Floor-U'!$J$4:$J$40)*AJ$16)+(LOOKUP(AJ$2,'Wall-U'!$A$4:$A$40,'Wall-U'!$AC$4:$AC$40)*AJ$13)+(LOOKUP(AJ$2,'Window-U'!$A$4:$A$40,'Window-U'!$S$4:$S$40)*AJ$22))*AJ$133</f>
        <v>367.54512813188046</v>
      </c>
      <c r="AK139" s="174">
        <f>((LOOKUP(AK$2,'Ceiling-U'!$A$4:$A$40,'Ceiling-U'!$AC$4:$AC$40)*AK$15)+(LOOKUP(AK$2,'Floor-U'!$A$4:$A$40,'Floor-U'!$J$4:$J$40)*AK$16)+(LOOKUP(AK$2,'Wall-U'!$A$4:$A$40,'Wall-U'!$AC$4:$AC$40)*AK$13)+(LOOKUP(AK$2,'Window-U'!$A$4:$A$40,'Window-U'!$S$4:$S$40)*AK$22))*AK$133</f>
        <v>466.400161336368</v>
      </c>
      <c r="AL139" s="174">
        <f>((LOOKUP(AL$2,'Ceiling-U'!$A$4:$A$40,'Ceiling-U'!$AC$4:$AC$40)*AL$15)+(LOOKUP(AL$2,'Floor-U'!$A$4:$A$40,'Floor-U'!$J$4:$J$40)*AL$16)+(LOOKUP(AL$2,'Wall-U'!$A$4:$A$40,'Wall-U'!$AC$4:$AC$40)*AL$13)+(LOOKUP(AL$2,'Window-U'!$A$4:$A$40,'Window-U'!$S$4:$S$40)*AL$22))*AL$133</f>
        <v>255.50210448848566</v>
      </c>
      <c r="AM139" s="174">
        <f>((LOOKUP(AM$2,'Ceiling-U'!$A$4:$A$40,'Ceiling-U'!$AC$4:$AC$40)*AM$15)+(LOOKUP(AM$2,'Floor-U'!$A$4:$A$40,'Floor-U'!$J$4:$J$40)*AM$16)+(LOOKUP(AM$2,'Wall-U'!$A$4:$A$40,'Wall-U'!$AC$4:$AC$40)*AM$13)+(LOOKUP(AM$2,'Window-U'!$A$4:$A$40,'Window-U'!$S$4:$S$40)*AM$22))*AM$133</f>
        <v>367.54512813188046</v>
      </c>
      <c r="AN139" s="175">
        <f>((LOOKUP(AN$2,'Ceiling-U'!$A$4:$A$40,'Ceiling-U'!$AC$4:$AC$40)*AN$15)+(LOOKUP(AN$2,'Floor-U'!$A$4:$A$40,'Floor-U'!$J$4:$J$40)*AN$16)+(LOOKUP(AN$2,'Wall-U'!$A$4:$A$40,'Wall-U'!$AC$4:$AC$40)*AN$13)+(LOOKUP(AN$2,'Window-U'!$A$4:$A$40,'Window-U'!$S$4:$S$40)*AN$22))*AN$133</f>
        <v>367.54512813188046</v>
      </c>
    </row>
    <row r="140" spans="1:40">
      <c r="A140" s="332" t="s">
        <v>280</v>
      </c>
      <c r="B140" s="142" t="s">
        <v>2</v>
      </c>
      <c r="C140" s="360" t="s">
        <v>261</v>
      </c>
      <c r="D140" s="351">
        <f>D134*24*LOOKUP(D$2,'HDD-by Country'!$A$4:$A$40,'HDD-by Country'!$C$4:$C$40)/1000/D$3</f>
        <v>10521.633136099927</v>
      </c>
      <c r="E140" s="352">
        <f>E134*24*LOOKUP(E$2,'HDD-by Country'!$A$4:$A$40,'HDD-by Country'!$C$4:$C$40)/1000/E$3</f>
        <v>7808.6943996528389</v>
      </c>
      <c r="F140" s="352">
        <f>F134*24*LOOKUP(F$2,'HDD-by Country'!$A$4:$A$40,'HDD-by Country'!$C$4:$C$40)/1000/F$3</f>
        <v>4358.1616524705923</v>
      </c>
      <c r="G140" s="352">
        <f>G134*24*LOOKUP(G$2,'HDD-by Country'!$A$4:$A$40,'HDD-by Country'!$C$4:$C$40)/1000/G$3</f>
        <v>10657.4676288875</v>
      </c>
      <c r="H140" s="352">
        <f>H134*24*LOOKUP(H$2,'HDD-by Country'!$A$4:$A$40,'HDD-by Country'!$C$4:$C$40)/1000/H$3</f>
        <v>3601.5753380043898</v>
      </c>
      <c r="I140" s="352">
        <f>I134*24*LOOKUP(I$2,'HDD-by Country'!$A$4:$A$40,'HDD-by Country'!$C$4:$C$40)/1000/I$3</f>
        <v>9850.6221706187553</v>
      </c>
      <c r="J140" s="352">
        <f>J134*24*LOOKUP(J$2,'HDD-by Country'!$A$4:$A$40,'HDD-by Country'!$C$4:$C$40)/1000/J$3</f>
        <v>8451.3406663523074</v>
      </c>
      <c r="K140" s="352">
        <f>K134*24*LOOKUP(K$2,'HDD-by Country'!$A$4:$A$40,'HDD-by Country'!$C$4:$C$40)/1000/K$3</f>
        <v>7940.5255850151671</v>
      </c>
      <c r="L140" s="352">
        <f>L134*24*LOOKUP(L$2,'HDD-by Country'!$A$4:$A$40,'HDD-by Country'!$C$4:$C$40)/1000/L$3</f>
        <v>5270.2510584938518</v>
      </c>
      <c r="M140" s="352">
        <f>M134*24*LOOKUP(M$2,'HDD-by Country'!$A$4:$A$40,'HDD-by Country'!$C$4:$C$40)/1000/M$3</f>
        <v>8785.691721199737</v>
      </c>
      <c r="N140" s="352">
        <f>N134*24*LOOKUP(N$2,'HDD-by Country'!$A$4:$A$40,'HDD-by Country'!$C$4:$C$40)/1000/N$3</f>
        <v>9347.9687446959106</v>
      </c>
      <c r="O140" s="352">
        <f>O134*24*LOOKUP(O$2,'HDD-by Country'!$A$4:$A$40,'HDD-by Country'!$C$4:$C$40)/1000/O$3</f>
        <v>9895.1658236927215</v>
      </c>
      <c r="P140" s="352">
        <f>P134*24*LOOKUP(P$2,'HDD-by Country'!$A$4:$A$40,'HDD-by Country'!$C$4:$C$40)/1000/P$3</f>
        <v>7538.1893679280229</v>
      </c>
      <c r="Q140" s="352">
        <f>Q134*24*LOOKUP(Q$2,'HDD-by Country'!$A$4:$A$40,'HDD-by Country'!$C$4:$C$40)/1000/Q$3</f>
        <v>4100.3801330505939</v>
      </c>
      <c r="R140" s="352">
        <f>R134*24*LOOKUP(R$2,'HDD-by Country'!$A$4:$A$40,'HDD-by Country'!$C$4:$C$40)/1000/R$3</f>
        <v>6174.9645012170467</v>
      </c>
      <c r="S140" s="352">
        <f>S134*24*LOOKUP(S$2,'HDD-by Country'!$A$4:$A$40,'HDD-by Country'!$C$4:$C$40)/1000/S$3</f>
        <v>6781.752006089012</v>
      </c>
      <c r="T140" s="352">
        <f>T134*24*LOOKUP(T$2,'HDD-by Country'!$A$4:$A$40,'HDD-by Country'!$C$4:$C$40)/1000/T$3</f>
        <v>8022.3983848007329</v>
      </c>
      <c r="U140" s="352">
        <f>U134*24*LOOKUP(U$2,'HDD-by Country'!$A$4:$A$40,'HDD-by Country'!$C$4:$C$40)/1000/U$3</f>
        <v>7491.9507984550719</v>
      </c>
      <c r="V140" s="352">
        <f>V134*24*LOOKUP(V$2,'HDD-by Country'!$A$4:$A$40,'HDD-by Country'!$C$4:$C$40)/1000/V$3</f>
        <v>8630.7143795271841</v>
      </c>
      <c r="W140" s="352">
        <f>W134*24*LOOKUP(W$2,'HDD-by Country'!$A$4:$A$40,'HDD-by Country'!$C$4:$C$40)/1000/W$3</f>
        <v>9448.3275915132144</v>
      </c>
      <c r="X140" s="352">
        <f>X134*24*LOOKUP(X$2,'HDD-by Country'!$A$4:$A$40,'HDD-by Country'!$C$4:$C$40)/1000/X$3</f>
        <v>8479.5849173579209</v>
      </c>
      <c r="Y140" s="352">
        <f>Y134*24*LOOKUP(Y$2,'HDD-by Country'!$A$4:$A$40,'HDD-by Country'!$C$4:$C$40)/1000/Y$3</f>
        <v>2958.203841896518</v>
      </c>
      <c r="Z140" s="352">
        <f>Z134*24*LOOKUP(Z$2,'HDD-by Country'!$A$4:$A$40,'HDD-by Country'!$C$4:$C$40)/1000/Z$3</f>
        <v>8554.2539648246147</v>
      </c>
      <c r="AA140" s="352">
        <f>AA134*24*LOOKUP(AA$2,'HDD-by Country'!$A$4:$A$40,'HDD-by Country'!$C$4:$C$40)/1000/AA$3</f>
        <v>7083.3486145293646</v>
      </c>
      <c r="AB140" s="352">
        <f>AB134*24*LOOKUP(AB$2,'HDD-by Country'!$A$4:$A$40,'HDD-by Country'!$C$4:$C$40)/1000/AB$3</f>
        <v>8613.7371697412727</v>
      </c>
      <c r="AC140" s="352">
        <f>AC134*24*LOOKUP(AC$2,'HDD-by Country'!$A$4:$A$40,'HDD-by Country'!$C$4:$C$40)/1000/AC$3</f>
        <v>5055.1722128744614</v>
      </c>
      <c r="AD140" s="352">
        <f>AD134*24*LOOKUP(AD$2,'HDD-by Country'!$A$4:$A$40,'HDD-by Country'!$C$4:$C$40)/1000/AD$3</f>
        <v>7313.9410328417944</v>
      </c>
      <c r="AE140" s="352">
        <f>AE134*24*LOOKUP(AE$2,'HDD-by Country'!$A$4:$A$40,'HDD-by Country'!$C$4:$C$40)/1000/AE$3</f>
        <v>6712.2149947664439</v>
      </c>
      <c r="AF140" s="352">
        <f>AF134*24*LOOKUP(AF$2,'HDD-by Country'!$A$4:$A$40,'HDD-by Country'!$C$4:$C$40)/1000/AF$3</f>
        <v>6844.9759577448094</v>
      </c>
      <c r="AG140" s="352">
        <f>AG134*24*LOOKUP(AG$2,'HDD-by Country'!$A$4:$A$40,'HDD-by Country'!$C$4:$C$40)/1000/AG$3</f>
        <v>11329.083542709874</v>
      </c>
      <c r="AH140" s="352">
        <f>AH134*24*LOOKUP(AH$2,'HDD-by Country'!$A$4:$A$40,'HDD-by Country'!$C$4:$C$40)/1000/AH$3</f>
        <v>5666.5623055998976</v>
      </c>
      <c r="AI140" s="352">
        <f>AI134*24*LOOKUP(AI$2,'HDD-by Country'!$A$4:$A$40,'HDD-by Country'!$C$4:$C$40)/1000/AI$3</f>
        <v>7449.0986959129186</v>
      </c>
      <c r="AJ140" s="352">
        <f>AJ134*24*LOOKUP(AJ$2,'HDD-by Country'!$A$4:$A$40,'HDD-by Country'!$C$4:$C$40)/1000/AJ$3</f>
        <v>4661.5558159844086</v>
      </c>
      <c r="AK140" s="352">
        <f>AK134*24*LOOKUP(AK$2,'HDD-by Country'!$A$4:$A$40,'HDD-by Country'!$C$4:$C$40)/1000/AK$3</f>
        <v>5255.3780707114047</v>
      </c>
      <c r="AL140" s="352">
        <f>AL134*24*LOOKUP(AL$2,'HDD-by Country'!$A$4:$A$40,'HDD-by Country'!$C$4:$C$40)/1000/AL$3</f>
        <v>4629.3359763425615</v>
      </c>
      <c r="AM140" s="352">
        <f>AM134*24*LOOKUP(AM$2,'HDD-by Country'!$A$4:$A$40,'HDD-by Country'!$C$4:$C$40)/1000/AM$3</f>
        <v>4286.6531408453475</v>
      </c>
      <c r="AN140" s="353">
        <f>AN134*24*LOOKUP(AN$2,'HDD-by Country'!$A$4:$A$40,'HDD-by Country'!$C$4:$C$40)/1000/AN$3</f>
        <v>4286.6531408453475</v>
      </c>
    </row>
    <row r="141" spans="1:40">
      <c r="A141" s="129"/>
      <c r="B141" s="142" t="s">
        <v>3</v>
      </c>
      <c r="C141" s="129" t="s">
        <v>261</v>
      </c>
      <c r="D141" s="345">
        <f>D135*24*LOOKUP(D$2,'HDD-by Country'!$A$4:$A$40,'HDD-by Country'!$C$4:$C$40)/1000/D$3</f>
        <v>11628.637616824568</v>
      </c>
      <c r="E141" s="349">
        <f>E135*24*LOOKUP(E$2,'HDD-by Country'!$A$4:$A$40,'HDD-by Country'!$C$4:$C$40)/1000/E$3</f>
        <v>7808.6943996528389</v>
      </c>
      <c r="F141" s="349">
        <f>F135*24*LOOKUP(F$2,'HDD-by Country'!$A$4:$A$40,'HDD-by Country'!$C$4:$C$40)/1000/F$3</f>
        <v>4358.1616524705923</v>
      </c>
      <c r="G141" s="349">
        <f>G135*24*LOOKUP(G$2,'HDD-by Country'!$A$4:$A$40,'HDD-by Country'!$C$4:$C$40)/1000/G$3</f>
        <v>11789.458424119914</v>
      </c>
      <c r="H141" s="349">
        <f>H135*24*LOOKUP(H$2,'HDD-by Country'!$A$4:$A$40,'HDD-by Country'!$C$4:$C$40)/1000/H$3</f>
        <v>3584.8074176071914</v>
      </c>
      <c r="I141" s="349">
        <f>I135*24*LOOKUP(I$2,'HDD-by Country'!$A$4:$A$40,'HDD-by Country'!$C$4:$C$40)/1000/I$3</f>
        <v>7577.6853104771908</v>
      </c>
      <c r="J141" s="349">
        <f>J135*24*LOOKUP(J$2,'HDD-by Country'!$A$4:$A$40,'HDD-by Country'!$C$4:$C$40)/1000/J$3</f>
        <v>8928.1560613010388</v>
      </c>
      <c r="K141" s="349">
        <f>K135*24*LOOKUP(K$2,'HDD-by Country'!$A$4:$A$40,'HDD-by Country'!$C$4:$C$40)/1000/K$3</f>
        <v>7498.6695850961869</v>
      </c>
      <c r="L141" s="349">
        <f>L135*24*LOOKUP(L$2,'HDD-by Country'!$A$4:$A$40,'HDD-by Country'!$C$4:$C$40)/1000/L$3</f>
        <v>5270.2510584938518</v>
      </c>
      <c r="M141" s="349">
        <f>M135*24*LOOKUP(M$2,'HDD-by Country'!$A$4:$A$40,'HDD-by Country'!$C$4:$C$40)/1000/M$3</f>
        <v>8728.3137150994953</v>
      </c>
      <c r="N141" s="349">
        <f>N135*24*LOOKUP(N$2,'HDD-by Country'!$A$4:$A$40,'HDD-by Country'!$C$4:$C$40)/1000/N$3</f>
        <v>7867.5291228726164</v>
      </c>
      <c r="O141" s="349">
        <f>O135*24*LOOKUP(O$2,'HDD-by Country'!$A$4:$A$40,'HDD-by Country'!$C$4:$C$40)/1000/O$3</f>
        <v>9895.1658236927215</v>
      </c>
      <c r="P141" s="349">
        <f>P135*24*LOOKUP(P$2,'HDD-by Country'!$A$4:$A$40,'HDD-by Country'!$C$4:$C$40)/1000/P$3</f>
        <v>7538.1893679280229</v>
      </c>
      <c r="Q141" s="349">
        <f>Q135*24*LOOKUP(Q$2,'HDD-by Country'!$A$4:$A$40,'HDD-by Country'!$C$4:$C$40)/1000/Q$3</f>
        <v>4140.4227536674507</v>
      </c>
      <c r="R141" s="349">
        <f>R135*24*LOOKUP(R$2,'HDD-by Country'!$A$4:$A$40,'HDD-by Country'!$C$4:$C$40)/1000/R$3</f>
        <v>6174.9645012170467</v>
      </c>
      <c r="S141" s="349">
        <f>S135*24*LOOKUP(S$2,'HDD-by Country'!$A$4:$A$40,'HDD-by Country'!$C$4:$C$40)/1000/S$3</f>
        <v>6787.1523981000964</v>
      </c>
      <c r="T141" s="349">
        <f>T135*24*LOOKUP(T$2,'HDD-by Country'!$A$4:$A$40,'HDD-by Country'!$C$4:$C$40)/1000/T$3</f>
        <v>6748.8612709166036</v>
      </c>
      <c r="U141" s="349">
        <f>U135*24*LOOKUP(U$2,'HDD-by Country'!$A$4:$A$40,'HDD-by Country'!$C$4:$C$40)/1000/U$3</f>
        <v>7455.3458618075538</v>
      </c>
      <c r="V141" s="349">
        <f>V135*24*LOOKUP(V$2,'HDD-by Country'!$A$4:$A$40,'HDD-by Country'!$C$4:$C$40)/1000/V$3</f>
        <v>8630.7143795271841</v>
      </c>
      <c r="W141" s="349">
        <f>W135*24*LOOKUP(W$2,'HDD-by Country'!$A$4:$A$40,'HDD-by Country'!$C$4:$C$40)/1000/W$3</f>
        <v>8260.1826279390407</v>
      </c>
      <c r="X141" s="349">
        <f>X135*24*LOOKUP(X$2,'HDD-by Country'!$A$4:$A$40,'HDD-by Country'!$C$4:$C$40)/1000/X$3</f>
        <v>8479.5849173579209</v>
      </c>
      <c r="Y141" s="349">
        <f>Y135*24*LOOKUP(Y$2,'HDD-by Country'!$A$4:$A$40,'HDD-by Country'!$C$4:$C$40)/1000/Y$3</f>
        <v>2957.9858122728415</v>
      </c>
      <c r="Z141" s="349">
        <f>Z135*24*LOOKUP(Z$2,'HDD-by Country'!$A$4:$A$40,'HDD-by Country'!$C$4:$C$40)/1000/Z$3</f>
        <v>9028.7856133244513</v>
      </c>
      <c r="AA141" s="349">
        <f>AA135*24*LOOKUP(AA$2,'HDD-by Country'!$A$4:$A$40,'HDD-by Country'!$C$4:$C$40)/1000/AA$3</f>
        <v>7083.3486145293646</v>
      </c>
      <c r="AB141" s="349">
        <f>AB135*24*LOOKUP(AB$2,'HDD-by Country'!$A$4:$A$40,'HDD-by Country'!$C$4:$C$40)/1000/AB$3</f>
        <v>8312.7881671334599</v>
      </c>
      <c r="AC141" s="349">
        <f>AC135*24*LOOKUP(AC$2,'HDD-by Country'!$A$4:$A$40,'HDD-by Country'!$C$4:$C$40)/1000/AC$3</f>
        <v>5363.5073089688512</v>
      </c>
      <c r="AD141" s="349">
        <f>AD135*24*LOOKUP(AD$2,'HDD-by Country'!$A$4:$A$40,'HDD-by Country'!$C$4:$C$40)/1000/AD$3</f>
        <v>6479.7277933107725</v>
      </c>
      <c r="AE141" s="349">
        <f>AE135*24*LOOKUP(AE$2,'HDD-by Country'!$A$4:$A$40,'HDD-by Country'!$C$4:$C$40)/1000/AE$3</f>
        <v>6712.2149947664439</v>
      </c>
      <c r="AF141" s="349">
        <f>AF135*24*LOOKUP(AF$2,'HDD-by Country'!$A$4:$A$40,'HDD-by Country'!$C$4:$C$40)/1000/AF$3</f>
        <v>6844.9759577448094</v>
      </c>
      <c r="AG141" s="349">
        <f>AG135*24*LOOKUP(AG$2,'HDD-by Country'!$A$4:$A$40,'HDD-by Country'!$C$4:$C$40)/1000/AG$3</f>
        <v>10027.519472788506</v>
      </c>
      <c r="AH141" s="349">
        <f>AH135*24*LOOKUP(AH$2,'HDD-by Country'!$A$4:$A$40,'HDD-by Country'!$C$4:$C$40)/1000/AH$3</f>
        <v>5702.4636392071361</v>
      </c>
      <c r="AI141" s="349">
        <f>AI135*24*LOOKUP(AI$2,'HDD-by Country'!$A$4:$A$40,'HDD-by Country'!$C$4:$C$40)/1000/AI$3</f>
        <v>7449.0986959129186</v>
      </c>
      <c r="AJ141" s="349">
        <f>AJ135*24*LOOKUP(AJ$2,'HDD-by Country'!$A$4:$A$40,'HDD-by Country'!$C$4:$C$40)/1000/AJ$3</f>
        <v>4661.5558159844086</v>
      </c>
      <c r="AK141" s="349">
        <f>AK135*24*LOOKUP(AK$2,'HDD-by Country'!$A$4:$A$40,'HDD-by Country'!$C$4:$C$40)/1000/AK$3</f>
        <v>5255.3780707114047</v>
      </c>
      <c r="AL141" s="349">
        <f>AL135*24*LOOKUP(AL$2,'HDD-by Country'!$A$4:$A$40,'HDD-by Country'!$C$4:$C$40)/1000/AL$3</f>
        <v>4629.3359763425615</v>
      </c>
      <c r="AM141" s="349">
        <f>AM135*24*LOOKUP(AM$2,'HDD-by Country'!$A$4:$A$40,'HDD-by Country'!$C$4:$C$40)/1000/AM$3</f>
        <v>4286.6531408453475</v>
      </c>
      <c r="AN141" s="354">
        <f>AN135*24*LOOKUP(AN$2,'HDD-by Country'!$A$4:$A$40,'HDD-by Country'!$C$4:$C$40)/1000/AN$3</f>
        <v>4286.6531408453475</v>
      </c>
    </row>
    <row r="142" spans="1:40">
      <c r="A142" s="129"/>
      <c r="B142" s="142" t="s">
        <v>4</v>
      </c>
      <c r="C142" s="129" t="s">
        <v>261</v>
      </c>
      <c r="D142" s="345">
        <f>D136*24*LOOKUP(D$2,'HDD-by Country'!$A$4:$A$40,'HDD-by Country'!$C$4:$C$40)/1000/D$3</f>
        <v>9298.2076219436367</v>
      </c>
      <c r="E142" s="349">
        <f>E136*24*LOOKUP(E$2,'HDD-by Country'!$A$4:$A$40,'HDD-by Country'!$C$4:$C$40)/1000/E$3</f>
        <v>7808.6943996528389</v>
      </c>
      <c r="F142" s="349">
        <f>F136*24*LOOKUP(F$2,'HDD-by Country'!$A$4:$A$40,'HDD-by Country'!$C$4:$C$40)/1000/F$3</f>
        <v>4145.9480697033878</v>
      </c>
      <c r="G142" s="349">
        <f>G136*24*LOOKUP(G$2,'HDD-by Country'!$A$4:$A$40,'HDD-by Country'!$C$4:$C$40)/1000/G$3</f>
        <v>9414.5961844400808</v>
      </c>
      <c r="H142" s="349">
        <f>H136*24*LOOKUP(H$2,'HDD-by Country'!$A$4:$A$40,'HDD-by Country'!$C$4:$C$40)/1000/H$3</f>
        <v>3561.3885343708807</v>
      </c>
      <c r="I142" s="349">
        <f>I136*24*LOOKUP(I$2,'HDD-by Country'!$A$4:$A$40,'HDD-by Country'!$C$4:$C$40)/1000/I$3</f>
        <v>7577.6853104771908</v>
      </c>
      <c r="J142" s="349">
        <f>J136*24*LOOKUP(J$2,'HDD-by Country'!$A$4:$A$40,'HDD-by Country'!$C$4:$C$40)/1000/J$3</f>
        <v>7293.8721262997205</v>
      </c>
      <c r="K142" s="349">
        <f>K136*24*LOOKUP(K$2,'HDD-by Country'!$A$4:$A$40,'HDD-by Country'!$C$4:$C$40)/1000/K$3</f>
        <v>4869.5447197367002</v>
      </c>
      <c r="L142" s="349">
        <f>L136*24*LOOKUP(L$2,'HDD-by Country'!$A$4:$A$40,'HDD-by Country'!$C$4:$C$40)/1000/L$3</f>
        <v>4434.4563384571748</v>
      </c>
      <c r="M142" s="349">
        <f>M136*24*LOOKUP(M$2,'HDD-by Country'!$A$4:$A$40,'HDD-by Country'!$C$4:$C$40)/1000/M$3</f>
        <v>8728.3137150994953</v>
      </c>
      <c r="N142" s="349">
        <f>N136*24*LOOKUP(N$2,'HDD-by Country'!$A$4:$A$40,'HDD-by Country'!$C$4:$C$40)/1000/N$3</f>
        <v>6805.3851146164534</v>
      </c>
      <c r="O142" s="349">
        <f>O136*24*LOOKUP(O$2,'HDD-by Country'!$A$4:$A$40,'HDD-by Country'!$C$4:$C$40)/1000/O$3</f>
        <v>5775.2518319424007</v>
      </c>
      <c r="P142" s="349">
        <f>P136*24*LOOKUP(P$2,'HDD-by Country'!$A$4:$A$40,'HDD-by Country'!$C$4:$C$40)/1000/P$3</f>
        <v>7538.1893679280229</v>
      </c>
      <c r="Q142" s="349">
        <f>Q136*24*LOOKUP(Q$2,'HDD-by Country'!$A$4:$A$40,'HDD-by Country'!$C$4:$C$40)/1000/Q$3</f>
        <v>4101.860279485215</v>
      </c>
      <c r="R142" s="349">
        <f>R136*24*LOOKUP(R$2,'HDD-by Country'!$A$4:$A$40,'HDD-by Country'!$C$4:$C$40)/1000/R$3</f>
        <v>6053.2147503097212</v>
      </c>
      <c r="S142" s="349">
        <f>S136*24*LOOKUP(S$2,'HDD-by Country'!$A$4:$A$40,'HDD-by Country'!$C$4:$C$40)/1000/S$3</f>
        <v>6692.9618295866276</v>
      </c>
      <c r="T142" s="349">
        <f>T136*24*LOOKUP(T$2,'HDD-by Country'!$A$4:$A$40,'HDD-by Country'!$C$4:$C$40)/1000/T$3</f>
        <v>5836.6220185895299</v>
      </c>
      <c r="U142" s="349">
        <f>U136*24*LOOKUP(U$2,'HDD-by Country'!$A$4:$A$40,'HDD-by Country'!$C$4:$C$40)/1000/U$3</f>
        <v>6763.6292442529229</v>
      </c>
      <c r="V142" s="349">
        <f>V136*24*LOOKUP(V$2,'HDD-by Country'!$A$4:$A$40,'HDD-by Country'!$C$4:$C$40)/1000/V$3</f>
        <v>6133.5139991272627</v>
      </c>
      <c r="W142" s="349">
        <f>W136*24*LOOKUP(W$2,'HDD-by Country'!$A$4:$A$40,'HDD-by Country'!$C$4:$C$40)/1000/W$3</f>
        <v>4931.7774960624884</v>
      </c>
      <c r="X142" s="349">
        <f>X136*24*LOOKUP(X$2,'HDD-by Country'!$A$4:$A$40,'HDD-by Country'!$C$4:$C$40)/1000/X$3</f>
        <v>8366.8139600546674</v>
      </c>
      <c r="Y142" s="349">
        <f>Y136*24*LOOKUP(Y$2,'HDD-by Country'!$A$4:$A$40,'HDD-by Country'!$C$4:$C$40)/1000/Y$3</f>
        <v>2927.9041032437713</v>
      </c>
      <c r="Z142" s="349">
        <f>Z136*24*LOOKUP(Z$2,'HDD-by Country'!$A$4:$A$40,'HDD-by Country'!$C$4:$C$40)/1000/Z$3</f>
        <v>7903.1062883237728</v>
      </c>
      <c r="AA142" s="349">
        <f>AA136*24*LOOKUP(AA$2,'HDD-by Country'!$A$4:$A$40,'HDD-by Country'!$C$4:$C$40)/1000/AA$3</f>
        <v>5447.8137223434569</v>
      </c>
      <c r="AB142" s="349">
        <f>AB136*24*LOOKUP(AB$2,'HDD-by Country'!$A$4:$A$40,'HDD-by Country'!$C$4:$C$40)/1000/AB$3</f>
        <v>6761.9993194421722</v>
      </c>
      <c r="AC142" s="349">
        <f>AC136*24*LOOKUP(AC$2,'HDD-by Country'!$A$4:$A$40,'HDD-by Country'!$C$4:$C$40)/1000/AC$3</f>
        <v>5360.7648567797569</v>
      </c>
      <c r="AD142" s="349">
        <f>AD136*24*LOOKUP(AD$2,'HDD-by Country'!$A$4:$A$40,'HDD-by Country'!$C$4:$C$40)/1000/AD$3</f>
        <v>6479.7277933107725</v>
      </c>
      <c r="AE142" s="349">
        <f>AE136*24*LOOKUP(AE$2,'HDD-by Country'!$A$4:$A$40,'HDD-by Country'!$C$4:$C$40)/1000/AE$3</f>
        <v>5164.9486359091134</v>
      </c>
      <c r="AF142" s="349">
        <f>AF136*24*LOOKUP(AF$2,'HDD-by Country'!$A$4:$A$40,'HDD-by Country'!$C$4:$C$40)/1000/AF$3</f>
        <v>6121.9967469181911</v>
      </c>
      <c r="AG142" s="349">
        <f>AG136*24*LOOKUP(AG$2,'HDD-by Country'!$A$4:$A$40,'HDD-by Country'!$C$4:$C$40)/1000/AG$3</f>
        <v>10027.519472788506</v>
      </c>
      <c r="AH142" s="349">
        <f>AH136*24*LOOKUP(AH$2,'HDD-by Country'!$A$4:$A$40,'HDD-by Country'!$C$4:$C$40)/1000/AH$3</f>
        <v>5550.8927623409609</v>
      </c>
      <c r="AI142" s="349">
        <f>AI136*24*LOOKUP(AI$2,'HDD-by Country'!$A$4:$A$40,'HDD-by Country'!$C$4:$C$40)/1000/AI$3</f>
        <v>7449.0986959129186</v>
      </c>
      <c r="AJ142" s="349">
        <f>AJ136*24*LOOKUP(AJ$2,'HDD-by Country'!$A$4:$A$40,'HDD-by Country'!$C$4:$C$40)/1000/AJ$3</f>
        <v>4661.5558159844086</v>
      </c>
      <c r="AK142" s="349">
        <f>AK136*24*LOOKUP(AK$2,'HDD-by Country'!$A$4:$A$40,'HDD-by Country'!$C$4:$C$40)/1000/AK$3</f>
        <v>5255.3780707114047</v>
      </c>
      <c r="AL142" s="349">
        <f>AL136*24*LOOKUP(AL$2,'HDD-by Country'!$A$4:$A$40,'HDD-by Country'!$C$4:$C$40)/1000/AL$3</f>
        <v>4400.716030874778</v>
      </c>
      <c r="AM142" s="349">
        <f>AM136*24*LOOKUP(AM$2,'HDD-by Country'!$A$4:$A$40,'HDD-by Country'!$C$4:$C$40)/1000/AM$3</f>
        <v>4286.6531408453475</v>
      </c>
      <c r="AN142" s="354">
        <f>AN136*24*LOOKUP(AN$2,'HDD-by Country'!$A$4:$A$40,'HDD-by Country'!$C$4:$C$40)/1000/AN$3</f>
        <v>4286.6531408453475</v>
      </c>
    </row>
    <row r="143" spans="1:40">
      <c r="A143" s="129"/>
      <c r="B143" s="142" t="s">
        <v>5</v>
      </c>
      <c r="C143" s="129" t="s">
        <v>261</v>
      </c>
      <c r="D143" s="345">
        <f>D137*24*LOOKUP(D$2,'HDD-by Country'!$A$4:$A$40,'HDD-by Country'!$C$4:$C$40)/1000/D$3</f>
        <v>6317.366694678647</v>
      </c>
      <c r="E143" s="349">
        <f>E137*24*LOOKUP(E$2,'HDD-by Country'!$A$4:$A$40,'HDD-by Country'!$C$4:$C$40)/1000/E$3</f>
        <v>7191.8657600646011</v>
      </c>
      <c r="F143" s="349">
        <f>F137*24*LOOKUP(F$2,'HDD-by Country'!$A$4:$A$40,'HDD-by Country'!$C$4:$C$40)/1000/F$3</f>
        <v>3441.8927771498561</v>
      </c>
      <c r="G143" s="349">
        <f>G137*24*LOOKUP(G$2,'HDD-by Country'!$A$4:$A$40,'HDD-by Country'!$C$4:$C$40)/1000/G$3</f>
        <v>6379.3654478374929</v>
      </c>
      <c r="H143" s="349">
        <f>H137*24*LOOKUP(H$2,'HDD-by Country'!$A$4:$A$40,'HDD-by Country'!$C$4:$C$40)/1000/H$3</f>
        <v>3208.3499692080945</v>
      </c>
      <c r="I143" s="349">
        <f>I137*24*LOOKUP(I$2,'HDD-by Country'!$A$4:$A$40,'HDD-by Country'!$C$4:$C$40)/1000/I$3</f>
        <v>6587.1386963171071</v>
      </c>
      <c r="J143" s="349">
        <f>J137*24*LOOKUP(J$2,'HDD-by Country'!$A$4:$A$40,'HDD-by Country'!$C$4:$C$40)/1000/J$3</f>
        <v>5231.5709445491411</v>
      </c>
      <c r="K143" s="349">
        <f>K137*24*LOOKUP(K$2,'HDD-by Country'!$A$4:$A$40,'HDD-by Country'!$C$4:$C$40)/1000/K$3</f>
        <v>4185.0071279712229</v>
      </c>
      <c r="L143" s="349">
        <f>L137*24*LOOKUP(L$2,'HDD-by Country'!$A$4:$A$40,'HDD-by Country'!$C$4:$C$40)/1000/L$3</f>
        <v>3701.2328366018651</v>
      </c>
      <c r="M143" s="349">
        <f>M137*24*LOOKUP(M$2,'HDD-by Country'!$A$4:$A$40,'HDD-by Country'!$C$4:$C$40)/1000/M$3</f>
        <v>4286.3845631876948</v>
      </c>
      <c r="N143" s="349">
        <f>N137*24*LOOKUP(N$2,'HDD-by Country'!$A$4:$A$40,'HDD-by Country'!$C$4:$C$40)/1000/N$3</f>
        <v>5991.6935428419592</v>
      </c>
      <c r="O143" s="349">
        <f>O137*24*LOOKUP(O$2,'HDD-by Country'!$A$4:$A$40,'HDD-by Country'!$C$4:$C$40)/1000/O$3</f>
        <v>5083.3196346855393</v>
      </c>
      <c r="P143" s="349">
        <f>P137*24*LOOKUP(P$2,'HDD-by Country'!$A$4:$A$40,'HDD-by Country'!$C$4:$C$40)/1000/P$3</f>
        <v>6810.735080520999</v>
      </c>
      <c r="Q143" s="349">
        <f>Q137*24*LOOKUP(Q$2,'HDD-by Country'!$A$4:$A$40,'HDD-by Country'!$C$4:$C$40)/1000/Q$3</f>
        <v>4101.860279485215</v>
      </c>
      <c r="R143" s="349">
        <f>R137*24*LOOKUP(R$2,'HDD-by Country'!$A$4:$A$40,'HDD-by Country'!$C$4:$C$40)/1000/R$3</f>
        <v>5120.1861221949966</v>
      </c>
      <c r="S143" s="349">
        <f>S137*24*LOOKUP(S$2,'HDD-by Country'!$A$4:$A$40,'HDD-by Country'!$C$4:$C$40)/1000/S$3</f>
        <v>5096.2934552218057</v>
      </c>
      <c r="T143" s="349">
        <f>T137*24*LOOKUP(T$2,'HDD-by Country'!$A$4:$A$40,'HDD-by Country'!$C$4:$C$40)/1000/T$3</f>
        <v>5138.3180799107704</v>
      </c>
      <c r="U143" s="349">
        <f>U137*24*LOOKUP(U$2,'HDD-by Country'!$A$4:$A$40,'HDD-by Country'!$C$4:$C$40)/1000/U$3</f>
        <v>6587.1261106640222</v>
      </c>
      <c r="V143" s="349">
        <f>V137*24*LOOKUP(V$2,'HDD-by Country'!$A$4:$A$40,'HDD-by Country'!$C$4:$C$40)/1000/V$3</f>
        <v>6133.5139991272627</v>
      </c>
      <c r="W143" s="349">
        <f>W137*24*LOOKUP(W$2,'HDD-by Country'!$A$4:$A$40,'HDD-by Country'!$C$4:$C$40)/1000/W$3</f>
        <v>4729.6210656613048</v>
      </c>
      <c r="X143" s="349">
        <f>X137*24*LOOKUP(X$2,'HDD-by Country'!$A$4:$A$40,'HDD-by Country'!$C$4:$C$40)/1000/X$3</f>
        <v>4829.378572869774</v>
      </c>
      <c r="Y143" s="349">
        <f>Y137*24*LOOKUP(Y$2,'HDD-by Country'!$A$4:$A$40,'HDD-by Country'!$C$4:$C$40)/1000/Y$3</f>
        <v>2174.3130064579027</v>
      </c>
      <c r="Z143" s="349">
        <f>Z137*24*LOOKUP(Z$2,'HDD-by Country'!$A$4:$A$40,'HDD-by Country'!$C$4:$C$40)/1000/Z$3</f>
        <v>7217.5544467528789</v>
      </c>
      <c r="AA143" s="349">
        <f>AA137*24*LOOKUP(AA$2,'HDD-by Country'!$A$4:$A$40,'HDD-by Country'!$C$4:$C$40)/1000/AA$3</f>
        <v>5447.8137223434569</v>
      </c>
      <c r="AB143" s="349">
        <f>AB137*24*LOOKUP(AB$2,'HDD-by Country'!$A$4:$A$40,'HDD-by Country'!$C$4:$C$40)/1000/AB$3</f>
        <v>6761.9993194421722</v>
      </c>
      <c r="AC143" s="349">
        <f>AC137*24*LOOKUP(AC$2,'HDD-by Country'!$A$4:$A$40,'HDD-by Country'!$C$4:$C$40)/1000/AC$3</f>
        <v>5345.5029483363187</v>
      </c>
      <c r="AD143" s="349">
        <f>AD137*24*LOOKUP(AD$2,'HDD-by Country'!$A$4:$A$40,'HDD-by Country'!$C$4:$C$40)/1000/AD$3</f>
        <v>5847.5486552190332</v>
      </c>
      <c r="AE143" s="349">
        <f>AE137*24*LOOKUP(AE$2,'HDD-by Country'!$A$4:$A$40,'HDD-by Country'!$C$4:$C$40)/1000/AE$3</f>
        <v>5164.9486359091134</v>
      </c>
      <c r="AF143" s="349">
        <f>AF137*24*LOOKUP(AF$2,'HDD-by Country'!$A$4:$A$40,'HDD-by Country'!$C$4:$C$40)/1000/AF$3</f>
        <v>5552.4477242484927</v>
      </c>
      <c r="AG143" s="349">
        <f>AG137*24*LOOKUP(AG$2,'HDD-by Country'!$A$4:$A$40,'HDD-by Country'!$C$4:$C$40)/1000/AG$3</f>
        <v>9866.9061937267052</v>
      </c>
      <c r="AH143" s="349">
        <f>AH137*24*LOOKUP(AH$2,'HDD-by Country'!$A$4:$A$40,'HDD-by Country'!$C$4:$C$40)/1000/AH$3</f>
        <v>4228.2520145482313</v>
      </c>
      <c r="AI143" s="349">
        <f>AI137*24*LOOKUP(AI$2,'HDD-by Country'!$A$4:$A$40,'HDD-by Country'!$C$4:$C$40)/1000/AI$3</f>
        <v>6721.6444085058965</v>
      </c>
      <c r="AJ143" s="349">
        <f>AJ137*24*LOOKUP(AJ$2,'HDD-by Country'!$A$4:$A$40,'HDD-by Country'!$C$4:$C$40)/1000/AJ$3</f>
        <v>4477.6203750429249</v>
      </c>
      <c r="AK143" s="349">
        <f>AK137*24*LOOKUP(AK$2,'HDD-by Country'!$A$4:$A$40,'HDD-by Country'!$C$4:$C$40)/1000/AK$3</f>
        <v>5043.4437290421529</v>
      </c>
      <c r="AL143" s="349">
        <f>AL137*24*LOOKUP(AL$2,'HDD-by Country'!$A$4:$A$40,'HDD-by Country'!$C$4:$C$40)/1000/AL$3</f>
        <v>3642.0084662130234</v>
      </c>
      <c r="AM143" s="349">
        <f>AM137*24*LOOKUP(AM$2,'HDD-by Country'!$A$4:$A$40,'HDD-by Country'!$C$4:$C$40)/1000/AM$3</f>
        <v>4117.5105912869058</v>
      </c>
      <c r="AN143" s="354">
        <f>AN137*24*LOOKUP(AN$2,'HDD-by Country'!$A$4:$A$40,'HDD-by Country'!$C$4:$C$40)/1000/AN$3</f>
        <v>4117.5105912869058</v>
      </c>
    </row>
    <row r="144" spans="1:40">
      <c r="A144" s="129"/>
      <c r="B144" s="142" t="s">
        <v>6</v>
      </c>
      <c r="C144" s="129" t="s">
        <v>261</v>
      </c>
      <c r="D144" s="345">
        <f>D138*24*LOOKUP(D$2,'HDD-by Country'!$A$4:$A$40,'HDD-by Country'!$C$4:$C$40)/1000/D$3</f>
        <v>5601.8852723735617</v>
      </c>
      <c r="E144" s="349">
        <f>E138*24*LOOKUP(E$2,'HDD-by Country'!$A$4:$A$40,'HDD-by Country'!$C$4:$C$40)/1000/E$3</f>
        <v>7191.8657600646011</v>
      </c>
      <c r="F144" s="349">
        <f>F138*24*LOOKUP(F$2,'HDD-by Country'!$A$4:$A$40,'HDD-by Country'!$C$4:$C$40)/1000/F$3</f>
        <v>2898.1223760137686</v>
      </c>
      <c r="G144" s="349">
        <f>G138*24*LOOKUP(G$2,'HDD-by Country'!$A$4:$A$40,'HDD-by Country'!$C$4:$C$40)/1000/G$3</f>
        <v>5653.6462925056085</v>
      </c>
      <c r="H144" s="349">
        <f>H138*24*LOOKUP(H$2,'HDD-by Country'!$A$4:$A$40,'HDD-by Country'!$C$4:$C$40)/1000/H$3</f>
        <v>3208.3499692080945</v>
      </c>
      <c r="I144" s="349">
        <f>I138*24*LOOKUP(I$2,'HDD-by Country'!$A$4:$A$40,'HDD-by Country'!$C$4:$C$40)/1000/I$3</f>
        <v>5317.0233744799834</v>
      </c>
      <c r="J144" s="349">
        <f>J138*24*LOOKUP(J$2,'HDD-by Country'!$A$4:$A$40,'HDD-by Country'!$C$4:$C$40)/1000/J$3</f>
        <v>3623.1492223898308</v>
      </c>
      <c r="K144" s="349">
        <f>K138*24*LOOKUP(K$2,'HDD-by Country'!$A$4:$A$40,'HDD-by Country'!$C$4:$C$40)/1000/K$3</f>
        <v>4185.0071279712229</v>
      </c>
      <c r="L144" s="349">
        <f>L138*24*LOOKUP(L$2,'HDD-by Country'!$A$4:$A$40,'HDD-by Country'!$C$4:$C$40)/1000/L$3</f>
        <v>3132.6086103904727</v>
      </c>
      <c r="M144" s="349">
        <f>M138*24*LOOKUP(M$2,'HDD-by Country'!$A$4:$A$40,'HDD-by Country'!$C$4:$C$40)/1000/M$3</f>
        <v>4286.3845631876948</v>
      </c>
      <c r="N144" s="349">
        <f>N138*24*LOOKUP(N$2,'HDD-by Country'!$A$4:$A$40,'HDD-by Country'!$C$4:$C$40)/1000/N$3</f>
        <v>5891.7998311541414</v>
      </c>
      <c r="O144" s="349">
        <f>O138*24*LOOKUP(O$2,'HDD-by Country'!$A$4:$A$40,'HDD-by Country'!$C$4:$C$40)/1000/O$3</f>
        <v>3259.4036433462938</v>
      </c>
      <c r="P144" s="349">
        <f>P138*24*LOOKUP(P$2,'HDD-by Country'!$A$4:$A$40,'HDD-by Country'!$C$4:$C$40)/1000/P$3</f>
        <v>6810.735080520999</v>
      </c>
      <c r="Q144" s="349">
        <f>Q138*24*LOOKUP(Q$2,'HDD-by Country'!$A$4:$A$40,'HDD-by Country'!$C$4:$C$40)/1000/Q$3</f>
        <v>3314.5324943983164</v>
      </c>
      <c r="R144" s="349">
        <f>R138*24*LOOKUP(R$2,'HDD-by Country'!$A$4:$A$40,'HDD-by Country'!$C$4:$C$40)/1000/R$3</f>
        <v>5120.1861221949966</v>
      </c>
      <c r="S144" s="349">
        <f>S138*24*LOOKUP(S$2,'HDD-by Country'!$A$4:$A$40,'HDD-by Country'!$C$4:$C$40)/1000/S$3</f>
        <v>4894.4761517884126</v>
      </c>
      <c r="T144" s="349">
        <f>T138*24*LOOKUP(T$2,'HDD-by Country'!$A$4:$A$40,'HDD-by Country'!$C$4:$C$40)/1000/T$3</f>
        <v>5052.4531359902512</v>
      </c>
      <c r="U144" s="349">
        <f>U138*24*LOOKUP(U$2,'HDD-by Country'!$A$4:$A$40,'HDD-by Country'!$C$4:$C$40)/1000/U$3</f>
        <v>6509.6102339234994</v>
      </c>
      <c r="V144" s="349">
        <f>V138*24*LOOKUP(V$2,'HDD-by Country'!$A$4:$A$40,'HDD-by Country'!$C$4:$C$40)/1000/V$3</f>
        <v>6133.5139991272627</v>
      </c>
      <c r="W144" s="349">
        <f>W138*24*LOOKUP(W$2,'HDD-by Country'!$A$4:$A$40,'HDD-by Country'!$C$4:$C$40)/1000/W$3</f>
        <v>4288.6717394310872</v>
      </c>
      <c r="X144" s="349">
        <f>X138*24*LOOKUP(X$2,'HDD-by Country'!$A$4:$A$40,'HDD-by Country'!$C$4:$C$40)/1000/X$3</f>
        <v>4798.2218551460246</v>
      </c>
      <c r="Y144" s="349">
        <f>Y138*24*LOOKUP(Y$2,'HDD-by Country'!$A$4:$A$40,'HDD-by Country'!$C$4:$C$40)/1000/Y$3</f>
        <v>2172.1499274906387</v>
      </c>
      <c r="Z144" s="349">
        <f>Z138*24*LOOKUP(Z$2,'HDD-by Country'!$A$4:$A$40,'HDD-by Country'!$C$4:$C$40)/1000/Z$3</f>
        <v>6687.8706863138223</v>
      </c>
      <c r="AA144" s="349">
        <f>AA138*24*LOOKUP(AA$2,'HDD-by Country'!$A$4:$A$40,'HDD-by Country'!$C$4:$C$40)/1000/AA$3</f>
        <v>4950.108241195956</v>
      </c>
      <c r="AB144" s="349">
        <f>AB138*24*LOOKUP(AB$2,'HDD-by Country'!$A$4:$A$40,'HDD-by Country'!$C$4:$C$40)/1000/AB$3</f>
        <v>6761.9993194421722</v>
      </c>
      <c r="AC144" s="349">
        <f>AC138*24*LOOKUP(AC$2,'HDD-by Country'!$A$4:$A$40,'HDD-by Country'!$C$4:$C$40)/1000/AC$3</f>
        <v>5128.3313024238605</v>
      </c>
      <c r="AD144" s="349">
        <f>AD138*24*LOOKUP(AD$2,'HDD-by Country'!$A$4:$A$40,'HDD-by Country'!$C$4:$C$40)/1000/AD$3</f>
        <v>5847.5486552190332</v>
      </c>
      <c r="AE144" s="349">
        <f>AE138*24*LOOKUP(AE$2,'HDD-by Country'!$A$4:$A$40,'HDD-by Country'!$C$4:$C$40)/1000/AE$3</f>
        <v>4692.6443173205735</v>
      </c>
      <c r="AF144" s="349">
        <f>AF138*24*LOOKUP(AF$2,'HDD-by Country'!$A$4:$A$40,'HDD-by Country'!$C$4:$C$40)/1000/AF$3</f>
        <v>4194.2139362475982</v>
      </c>
      <c r="AG144" s="349">
        <f>AG138*24*LOOKUP(AG$2,'HDD-by Country'!$A$4:$A$40,'HDD-by Country'!$C$4:$C$40)/1000/AG$3</f>
        <v>8819.5776866706092</v>
      </c>
      <c r="AH144" s="349">
        <f>AH138*24*LOOKUP(AH$2,'HDD-by Country'!$A$4:$A$40,'HDD-by Country'!$C$4:$C$40)/1000/AH$3</f>
        <v>3953.2464657170462</v>
      </c>
      <c r="AI144" s="349">
        <f>AI138*24*LOOKUP(AI$2,'HDD-by Country'!$A$4:$A$40,'HDD-by Country'!$C$4:$C$40)/1000/AI$3</f>
        <v>6721.6444085058965</v>
      </c>
      <c r="AJ144" s="349">
        <f>AJ138*24*LOOKUP(AJ$2,'HDD-by Country'!$A$4:$A$40,'HDD-by Country'!$C$4:$C$40)/1000/AJ$3</f>
        <v>4416.5361075779483</v>
      </c>
      <c r="AK144" s="349">
        <f>AK138*24*LOOKUP(AK$2,'HDD-by Country'!$A$4:$A$40,'HDD-by Country'!$C$4:$C$40)/1000/AK$3</f>
        <v>4974.6766304933344</v>
      </c>
      <c r="AL144" s="349">
        <f>AL138*24*LOOKUP(AL$2,'HDD-by Country'!$A$4:$A$40,'HDD-by Country'!$C$4:$C$40)/1000/AL$3</f>
        <v>3057.2434179638153</v>
      </c>
      <c r="AM144" s="349">
        <f>AM138*24*LOOKUP(AM$2,'HDD-by Country'!$A$4:$A$40,'HDD-by Country'!$C$4:$C$40)/1000/AM$3</f>
        <v>4061.3389873586402</v>
      </c>
      <c r="AN144" s="354">
        <f>AN138*24*LOOKUP(AN$2,'HDD-by Country'!$A$4:$A$40,'HDD-by Country'!$C$4:$C$40)/1000/AN$3</f>
        <v>4061.3389873586402</v>
      </c>
    </row>
    <row r="145" spans="1:40">
      <c r="A145" s="130"/>
      <c r="B145" s="142" t="s">
        <v>7</v>
      </c>
      <c r="C145" s="129" t="s">
        <v>261</v>
      </c>
      <c r="D145" s="345">
        <f>D139*24*LOOKUP(D$2,'HDD-by Country'!$A$4:$A$40,'HDD-by Country'!$C$4:$C$40)/1000/D$3</f>
        <v>4904.463225240097</v>
      </c>
      <c r="E145" s="349">
        <f>E139*24*LOOKUP(E$2,'HDD-by Country'!$A$4:$A$40,'HDD-by Country'!$C$4:$C$40)/1000/E$3</f>
        <v>5342.4449168618703</v>
      </c>
      <c r="F145" s="349">
        <f>F139*24*LOOKUP(F$2,'HDD-by Country'!$A$4:$A$40,'HDD-by Country'!$C$4:$C$40)/1000/F$3</f>
        <v>2599.6516307892857</v>
      </c>
      <c r="G145" s="349">
        <f>G139*24*LOOKUP(G$2,'HDD-by Country'!$A$4:$A$40,'HDD-by Country'!$C$4:$C$40)/1000/G$3</f>
        <v>4943.7664706976575</v>
      </c>
      <c r="H145" s="349">
        <f>H139*24*LOOKUP(H$2,'HDD-by Country'!$A$4:$A$40,'HDD-by Country'!$C$4:$C$40)/1000/H$3</f>
        <v>1423.4567088616702</v>
      </c>
      <c r="I145" s="349">
        <f>I139*24*LOOKUP(I$2,'HDD-by Country'!$A$4:$A$40,'HDD-by Country'!$C$4:$C$40)/1000/I$3</f>
        <v>4315.0569088356842</v>
      </c>
      <c r="J145" s="349">
        <f>J139*24*LOOKUP(J$2,'HDD-by Country'!$A$4:$A$40,'HDD-by Country'!$C$4:$C$40)/1000/J$3</f>
        <v>3793.7500174358884</v>
      </c>
      <c r="K145" s="349">
        <f>K139*24*LOOKUP(K$2,'HDD-by Country'!$A$4:$A$40,'HDD-by Country'!$C$4:$C$40)/1000/K$3</f>
        <v>3144.4592726326232</v>
      </c>
      <c r="L145" s="349">
        <f>L139*24*LOOKUP(L$2,'HDD-by Country'!$A$4:$A$40,'HDD-by Country'!$C$4:$C$40)/1000/L$3</f>
        <v>3132.6086103904727</v>
      </c>
      <c r="M145" s="349">
        <f>M139*24*LOOKUP(M$2,'HDD-by Country'!$A$4:$A$40,'HDD-by Country'!$C$4:$C$40)/1000/M$3</f>
        <v>3712.9500174643986</v>
      </c>
      <c r="N145" s="349">
        <f>N139*24*LOOKUP(N$2,'HDD-by Country'!$A$4:$A$40,'HDD-by Country'!$C$4:$C$40)/1000/N$3</f>
        <v>5405.4817570730747</v>
      </c>
      <c r="O145" s="349">
        <f>O139*24*LOOKUP(O$2,'HDD-by Country'!$A$4:$A$40,'HDD-by Country'!$C$4:$C$40)/1000/O$3</f>
        <v>3186.2390770109801</v>
      </c>
      <c r="P145" s="349">
        <f>P139*24*LOOKUP(P$2,'HDD-by Country'!$A$4:$A$40,'HDD-by Country'!$C$4:$C$40)/1000/P$3</f>
        <v>2678.5785445695656</v>
      </c>
      <c r="Q145" s="349">
        <f>Q139*24*LOOKUP(Q$2,'HDD-by Country'!$A$4:$A$40,'HDD-by Country'!$C$4:$C$40)/1000/Q$3</f>
        <v>2828.752748066287</v>
      </c>
      <c r="R145" s="349">
        <f>R139*24*LOOKUP(R$2,'HDD-by Country'!$A$4:$A$40,'HDD-by Country'!$C$4:$C$40)/1000/R$3</f>
        <v>3667.062185646244</v>
      </c>
      <c r="S145" s="349">
        <f>S139*24*LOOKUP(S$2,'HDD-by Country'!$A$4:$A$40,'HDD-by Country'!$C$4:$C$40)/1000/S$3</f>
        <v>3609.8321361218168</v>
      </c>
      <c r="T145" s="349">
        <f>T139*24*LOOKUP(T$2,'HDD-by Country'!$A$4:$A$40,'HDD-by Country'!$C$4:$C$40)/1000/T$3</f>
        <v>4634.3661657415123</v>
      </c>
      <c r="U145" s="349">
        <f>U139*24*LOOKUP(U$2,'HDD-by Country'!$A$4:$A$40,'HDD-by Country'!$C$4:$C$40)/1000/U$3</f>
        <v>6509.6102339234994</v>
      </c>
      <c r="V145" s="349">
        <f>V139*24*LOOKUP(V$2,'HDD-by Country'!$A$4:$A$40,'HDD-by Country'!$C$4:$C$40)/1000/V$3</f>
        <v>4027.5172501181346</v>
      </c>
      <c r="W145" s="349">
        <f>W139*24*LOOKUP(W$2,'HDD-by Country'!$A$4:$A$40,'HDD-by Country'!$C$4:$C$40)/1000/W$3</f>
        <v>3618.4067699313555</v>
      </c>
      <c r="X145" s="349">
        <f>X139*24*LOOKUP(X$2,'HDD-by Country'!$A$4:$A$40,'HDD-by Country'!$C$4:$C$40)/1000/X$3</f>
        <v>3662.4827997235802</v>
      </c>
      <c r="Y145" s="349">
        <f>Y139*24*LOOKUP(Y$2,'HDD-by Country'!$A$4:$A$40,'HDD-by Country'!$C$4:$C$40)/1000/Y$3</f>
        <v>2140.615174336343</v>
      </c>
      <c r="Z145" s="349">
        <f>Z139*24*LOOKUP(Z$2,'HDD-by Country'!$A$4:$A$40,'HDD-by Country'!$C$4:$C$40)/1000/Z$3</f>
        <v>4334.9160548389727</v>
      </c>
      <c r="AA145" s="349">
        <f>AA139*24*LOOKUP(AA$2,'HDD-by Country'!$A$4:$A$40,'HDD-by Country'!$C$4:$C$40)/1000/AA$3</f>
        <v>4950.108241195956</v>
      </c>
      <c r="AB145" s="349">
        <f>AB139*24*LOOKUP(AB$2,'HDD-by Country'!$A$4:$A$40,'HDD-by Country'!$C$4:$C$40)/1000/AB$3</f>
        <v>5245.4295793749852</v>
      </c>
      <c r="AC145" s="349">
        <f>AC139*24*LOOKUP(AC$2,'HDD-by Country'!$A$4:$A$40,'HDD-by Country'!$C$4:$C$40)/1000/AC$3</f>
        <v>3647.1868314302815</v>
      </c>
      <c r="AD145" s="349">
        <f>AD139*24*LOOKUP(AD$2,'HDD-by Country'!$A$4:$A$40,'HDD-by Country'!$C$4:$C$40)/1000/AD$3</f>
        <v>5671.60204278119</v>
      </c>
      <c r="AE145" s="349">
        <f>AE139*24*LOOKUP(AE$2,'HDD-by Country'!$A$4:$A$40,'HDD-by Country'!$C$4:$C$40)/1000/AE$3</f>
        <v>4692.6443173205735</v>
      </c>
      <c r="AF145" s="349">
        <f>AF139*24*LOOKUP(AF$2,'HDD-by Country'!$A$4:$A$40,'HDD-by Country'!$C$4:$C$40)/1000/AF$3</f>
        <v>2530.3897113875332</v>
      </c>
      <c r="AG145" s="349">
        <f>AG139*24*LOOKUP(AG$2,'HDD-by Country'!$A$4:$A$40,'HDD-by Country'!$C$4:$C$40)/1000/AG$3</f>
        <v>6399.5409553800828</v>
      </c>
      <c r="AH145" s="349">
        <f>AH139*24*LOOKUP(AH$2,'HDD-by Country'!$A$4:$A$40,'HDD-by Country'!$C$4:$C$40)/1000/AH$3</f>
        <v>3538.4778001830564</v>
      </c>
      <c r="AI145" s="349">
        <f>AI139*24*LOOKUP(AI$2,'HDD-by Country'!$A$4:$A$40,'HDD-by Country'!$C$4:$C$40)/1000/AI$3</f>
        <v>2615.4051589588566</v>
      </c>
      <c r="AJ145" s="349">
        <f>AJ139*24*LOOKUP(AJ$2,'HDD-by Country'!$A$4:$A$40,'HDD-by Country'!$C$4:$C$40)/1000/AJ$3</f>
        <v>4295.8674576054182</v>
      </c>
      <c r="AK145" s="349">
        <f>AK139*24*LOOKUP(AK$2,'HDD-by Country'!$A$4:$A$40,'HDD-by Country'!$C$4:$C$40)/1000/AK$3</f>
        <v>4841.2336746715</v>
      </c>
      <c r="AL145" s="349">
        <f>AL139*24*LOOKUP(AL$2,'HDD-by Country'!$A$4:$A$40,'HDD-by Country'!$C$4:$C$40)/1000/AL$3</f>
        <v>2746.1366190422436</v>
      </c>
      <c r="AM145" s="349">
        <f>AM139*24*LOOKUP(AM$2,'HDD-by Country'!$A$4:$A$40,'HDD-by Country'!$C$4:$C$40)/1000/AM$3</f>
        <v>3950.375037161451</v>
      </c>
      <c r="AN145" s="354">
        <f>AN139*24*LOOKUP(AN$2,'HDD-by Country'!$A$4:$A$40,'HDD-by Country'!$C$4:$C$40)/1000/AN$3</f>
        <v>3950.375037161451</v>
      </c>
    </row>
    <row r="146" spans="1:40">
      <c r="A146" s="151" t="s">
        <v>260</v>
      </c>
      <c r="B146" s="141" t="s">
        <v>2</v>
      </c>
      <c r="C146" s="360" t="s">
        <v>261</v>
      </c>
      <c r="D146" s="351">
        <f>D140/(1.355*(D134/D$17)^0.16)</f>
        <v>8421.6850501594472</v>
      </c>
      <c r="E146" s="352">
        <f t="shared" ref="E146:AN146" si="64">E140/(1.355*(E134/E$17)^0.16)</f>
        <v>6344.4169351045966</v>
      </c>
      <c r="F146" s="352">
        <f t="shared" si="64"/>
        <v>3546.4726229024354</v>
      </c>
      <c r="G146" s="352">
        <f t="shared" si="64"/>
        <v>8527.8537530740705</v>
      </c>
      <c r="H146" s="352">
        <f t="shared" si="64"/>
        <v>2606.7242942683356</v>
      </c>
      <c r="I146" s="352">
        <f t="shared" si="64"/>
        <v>7796.1518252637024</v>
      </c>
      <c r="J146" s="352">
        <f t="shared" si="64"/>
        <v>6837.4196810427929</v>
      </c>
      <c r="K146" s="352">
        <f t="shared" si="64"/>
        <v>6726.464867868337</v>
      </c>
      <c r="L146" s="352">
        <f t="shared" si="64"/>
        <v>4673.3241559347998</v>
      </c>
      <c r="M146" s="352">
        <f>M140/(1.355*(M134/M$17)^0.16)</f>
        <v>6514.7344675668201</v>
      </c>
      <c r="N146" s="352">
        <f t="shared" si="64"/>
        <v>8057.0211810563424</v>
      </c>
      <c r="O146" s="352">
        <f t="shared" si="64"/>
        <v>7509.596181858582</v>
      </c>
      <c r="P146" s="352">
        <f t="shared" si="64"/>
        <v>5480.6155151236762</v>
      </c>
      <c r="Q146" s="352">
        <f t="shared" si="64"/>
        <v>3375.4179091669289</v>
      </c>
      <c r="R146" s="352">
        <f t="shared" si="64"/>
        <v>5041.3389183113004</v>
      </c>
      <c r="S146" s="352">
        <f t="shared" si="64"/>
        <v>5665.9905014662836</v>
      </c>
      <c r="T146" s="352">
        <f t="shared" si="64"/>
        <v>6914.7928162323724</v>
      </c>
      <c r="U146" s="352">
        <f t="shared" si="64"/>
        <v>5744.1130605785675</v>
      </c>
      <c r="V146" s="352">
        <f t="shared" si="64"/>
        <v>7094.0100367796513</v>
      </c>
      <c r="W146" s="352">
        <f t="shared" si="64"/>
        <v>7361.209669035572</v>
      </c>
      <c r="X146" s="352">
        <f t="shared" si="64"/>
        <v>7020.3998721687076</v>
      </c>
      <c r="Y146" s="352">
        <f t="shared" si="64"/>
        <v>2141.889678894609</v>
      </c>
      <c r="Z146" s="352">
        <f t="shared" si="64"/>
        <v>6910.9599870821849</v>
      </c>
      <c r="AA146" s="352">
        <f t="shared" si="64"/>
        <v>6554.1687264356369</v>
      </c>
      <c r="AB146" s="352">
        <f t="shared" si="64"/>
        <v>6928.3620697758879</v>
      </c>
      <c r="AC146" s="352">
        <f t="shared" si="64"/>
        <v>3859.4825743745332</v>
      </c>
      <c r="AD146" s="352">
        <f t="shared" si="64"/>
        <v>5688.0240748865244</v>
      </c>
      <c r="AE146" s="352">
        <f t="shared" si="64"/>
        <v>6208.1071673595898</v>
      </c>
      <c r="AF146" s="352">
        <f t="shared" si="64"/>
        <v>5550.1968616287159</v>
      </c>
      <c r="AG146" s="352">
        <f t="shared" si="64"/>
        <v>8646.003946863395</v>
      </c>
      <c r="AH146" s="352">
        <f t="shared" si="64"/>
        <v>4727.6714180983472</v>
      </c>
      <c r="AI146" s="352">
        <f t="shared" si="64"/>
        <v>5393.9545403431111</v>
      </c>
      <c r="AJ146" s="352">
        <f t="shared" si="64"/>
        <v>3831.4934847885002</v>
      </c>
      <c r="AK146" s="352">
        <f t="shared" si="64"/>
        <v>4320.825211503673</v>
      </c>
      <c r="AL146" s="352">
        <f t="shared" si="64"/>
        <v>3767.3385133572938</v>
      </c>
      <c r="AM146" s="352">
        <f t="shared" si="64"/>
        <v>3523.3480471001708</v>
      </c>
      <c r="AN146" s="353">
        <f t="shared" si="64"/>
        <v>3523.3480471001708</v>
      </c>
    </row>
    <row r="147" spans="1:40">
      <c r="A147" s="129"/>
      <c r="B147" s="142" t="s">
        <v>3</v>
      </c>
      <c r="C147" s="129" t="s">
        <v>261</v>
      </c>
      <c r="D147" s="345">
        <f t="shared" ref="D147:AN147" si="65">D141/(1.355*(D135/D$17)^0.16)</f>
        <v>9159.9556017685863</v>
      </c>
      <c r="E147" s="349">
        <f t="shared" si="65"/>
        <v>6344.4169351045966</v>
      </c>
      <c r="F147" s="349">
        <f t="shared" si="65"/>
        <v>3546.4726229024354</v>
      </c>
      <c r="G147" s="349">
        <f t="shared" si="65"/>
        <v>9282.505252628207</v>
      </c>
      <c r="H147" s="349">
        <f t="shared" si="65"/>
        <v>2596.5261041667177</v>
      </c>
      <c r="I147" s="349">
        <f t="shared" si="65"/>
        <v>6254.3405877802606</v>
      </c>
      <c r="J147" s="349">
        <f t="shared" si="65"/>
        <v>7160.0262783268427</v>
      </c>
      <c r="K147" s="349">
        <f t="shared" si="65"/>
        <v>6410.6232091620077</v>
      </c>
      <c r="L147" s="349">
        <f t="shared" si="65"/>
        <v>4673.3241559347998</v>
      </c>
      <c r="M147" s="349">
        <f t="shared" si="65"/>
        <v>6478.9764924791416</v>
      </c>
      <c r="N147" s="349">
        <f t="shared" si="65"/>
        <v>6970.6974868260641</v>
      </c>
      <c r="O147" s="349">
        <f t="shared" si="65"/>
        <v>7509.596181858582</v>
      </c>
      <c r="P147" s="349">
        <f t="shared" si="65"/>
        <v>5480.6155151236762</v>
      </c>
      <c r="Q147" s="349">
        <f t="shared" si="65"/>
        <v>3403.0852270405317</v>
      </c>
      <c r="R147" s="349">
        <f t="shared" si="65"/>
        <v>5041.3389183113004</v>
      </c>
      <c r="S147" s="349">
        <f t="shared" si="65"/>
        <v>5669.7802539888489</v>
      </c>
      <c r="T147" s="349">
        <f t="shared" si="65"/>
        <v>5980.2211422401197</v>
      </c>
      <c r="U147" s="349">
        <f t="shared" si="65"/>
        <v>5720.5290831583761</v>
      </c>
      <c r="V147" s="349">
        <f t="shared" si="65"/>
        <v>7094.0100367796513</v>
      </c>
      <c r="W147" s="349">
        <f t="shared" si="65"/>
        <v>6575.4024868477482</v>
      </c>
      <c r="X147" s="349">
        <f t="shared" si="65"/>
        <v>7020.3998721687076</v>
      </c>
      <c r="Y147" s="349">
        <f t="shared" si="65"/>
        <v>2141.7570719241157</v>
      </c>
      <c r="Z147" s="349">
        <f t="shared" si="65"/>
        <v>7231.5938620806483</v>
      </c>
      <c r="AA147" s="349">
        <f t="shared" si="65"/>
        <v>6554.1687264356369</v>
      </c>
      <c r="AB147" s="349">
        <f t="shared" si="65"/>
        <v>6724.4513731213683</v>
      </c>
      <c r="AC147" s="349">
        <f t="shared" si="65"/>
        <v>4056.2801160637127</v>
      </c>
      <c r="AD147" s="349">
        <f t="shared" si="65"/>
        <v>5137.8554804831438</v>
      </c>
      <c r="AE147" s="349">
        <f t="shared" si="65"/>
        <v>6208.1071673595898</v>
      </c>
      <c r="AF147" s="349">
        <f t="shared" si="65"/>
        <v>5550.1968616287159</v>
      </c>
      <c r="AG147" s="349">
        <f t="shared" si="65"/>
        <v>7803.588617051093</v>
      </c>
      <c r="AH147" s="349">
        <f t="shared" si="65"/>
        <v>4752.8190933133174</v>
      </c>
      <c r="AI147" s="349">
        <f t="shared" si="65"/>
        <v>5393.9545403431111</v>
      </c>
      <c r="AJ147" s="349">
        <f t="shared" si="65"/>
        <v>3831.4934847885002</v>
      </c>
      <c r="AK147" s="349">
        <f t="shared" si="65"/>
        <v>4320.825211503673</v>
      </c>
      <c r="AL147" s="349">
        <f t="shared" si="65"/>
        <v>3767.3385133572938</v>
      </c>
      <c r="AM147" s="349">
        <f t="shared" si="65"/>
        <v>3523.3480471001708</v>
      </c>
      <c r="AN147" s="354">
        <f t="shared" si="65"/>
        <v>3523.3480471001708</v>
      </c>
    </row>
    <row r="148" spans="1:40">
      <c r="A148" s="129"/>
      <c r="B148" s="142" t="s">
        <v>4</v>
      </c>
      <c r="C148" s="129" t="s">
        <v>261</v>
      </c>
      <c r="D148" s="345">
        <f t="shared" ref="D148:AN148" si="66">D142/(1.355*(D136/D$17)^0.16)</f>
        <v>7591.0964041672787</v>
      </c>
      <c r="E148" s="349">
        <f t="shared" si="66"/>
        <v>6344.4169351045966</v>
      </c>
      <c r="F148" s="349">
        <f t="shared" si="66"/>
        <v>3400.8372662477923</v>
      </c>
      <c r="G148" s="349">
        <f t="shared" si="66"/>
        <v>7684.2907795481415</v>
      </c>
      <c r="H148" s="349">
        <f t="shared" si="66"/>
        <v>2582.2700341415652</v>
      </c>
      <c r="I148" s="349">
        <f t="shared" si="66"/>
        <v>6254.3405877802606</v>
      </c>
      <c r="J148" s="349">
        <f t="shared" si="66"/>
        <v>6041.7057345838448</v>
      </c>
      <c r="K148" s="349">
        <f t="shared" si="66"/>
        <v>4460.7073308164609</v>
      </c>
      <c r="L148" s="349">
        <f t="shared" si="66"/>
        <v>4042.3464536685992</v>
      </c>
      <c r="M148" s="349">
        <f t="shared" si="66"/>
        <v>6478.9764924791416</v>
      </c>
      <c r="N148" s="349">
        <f t="shared" si="66"/>
        <v>6171.1810469811981</v>
      </c>
      <c r="O148" s="349">
        <f t="shared" si="66"/>
        <v>4777.280898706018</v>
      </c>
      <c r="P148" s="349">
        <f t="shared" si="66"/>
        <v>5480.6155151236762</v>
      </c>
      <c r="Q148" s="349">
        <f t="shared" si="66"/>
        <v>3376.4413785587185</v>
      </c>
      <c r="R148" s="349">
        <f t="shared" si="66"/>
        <v>4957.7115258750364</v>
      </c>
      <c r="S148" s="349">
        <f t="shared" si="66"/>
        <v>5603.6119763282886</v>
      </c>
      <c r="T148" s="349">
        <f t="shared" si="66"/>
        <v>5293.4564128543852</v>
      </c>
      <c r="U148" s="349">
        <f t="shared" si="66"/>
        <v>5271.2580331843074</v>
      </c>
      <c r="V148" s="349">
        <f t="shared" si="66"/>
        <v>5324.6172683280629</v>
      </c>
      <c r="W148" s="349">
        <f t="shared" si="66"/>
        <v>4263.5754680972514</v>
      </c>
      <c r="X148" s="349">
        <f t="shared" si="66"/>
        <v>6941.8893234442958</v>
      </c>
      <c r="Y148" s="349">
        <f t="shared" si="66"/>
        <v>2123.4461379086088</v>
      </c>
      <c r="Z148" s="349">
        <f t="shared" si="66"/>
        <v>6466.2955730577905</v>
      </c>
      <c r="AA148" s="349">
        <f t="shared" si="66"/>
        <v>5257.0713193931479</v>
      </c>
      <c r="AB148" s="349">
        <f t="shared" si="66"/>
        <v>5653.6994932216139</v>
      </c>
      <c r="AC148" s="349">
        <f t="shared" si="66"/>
        <v>4054.537847177472</v>
      </c>
      <c r="AD148" s="349">
        <f t="shared" si="66"/>
        <v>5137.8554804831438</v>
      </c>
      <c r="AE148" s="349">
        <f t="shared" si="66"/>
        <v>4981.5825321066968</v>
      </c>
      <c r="AF148" s="349">
        <f t="shared" si="66"/>
        <v>5053.4289983610133</v>
      </c>
      <c r="AG148" s="349">
        <f t="shared" si="66"/>
        <v>7803.588617051093</v>
      </c>
      <c r="AH148" s="349">
        <f t="shared" si="66"/>
        <v>4646.4743769582237</v>
      </c>
      <c r="AI148" s="349">
        <f t="shared" si="66"/>
        <v>5393.9545403431111</v>
      </c>
      <c r="AJ148" s="349">
        <f t="shared" si="66"/>
        <v>3831.4934847885002</v>
      </c>
      <c r="AK148" s="349">
        <f t="shared" si="66"/>
        <v>4320.825211503673</v>
      </c>
      <c r="AL148" s="349">
        <f t="shared" si="66"/>
        <v>3610.4268192426471</v>
      </c>
      <c r="AM148" s="349">
        <f t="shared" si="66"/>
        <v>3523.3480471001708</v>
      </c>
      <c r="AN148" s="354">
        <f t="shared" si="66"/>
        <v>3523.3480471001708</v>
      </c>
    </row>
    <row r="149" spans="1:40">
      <c r="A149" s="129"/>
      <c r="B149" s="142" t="s">
        <v>5</v>
      </c>
      <c r="C149" s="129" t="s">
        <v>261</v>
      </c>
      <c r="D149" s="345">
        <f t="shared" ref="D149:AN149" si="67">D143/(1.355*(D137/D$17)^0.16)</f>
        <v>5486.551478013107</v>
      </c>
      <c r="E149" s="349">
        <f t="shared" si="67"/>
        <v>5920.6959390619986</v>
      </c>
      <c r="F149" s="349">
        <f t="shared" si="67"/>
        <v>2908.6507222867476</v>
      </c>
      <c r="G149" s="349">
        <f t="shared" si="67"/>
        <v>5541.4503954543579</v>
      </c>
      <c r="H149" s="349">
        <f t="shared" si="67"/>
        <v>2365.4733199246034</v>
      </c>
      <c r="I149" s="349">
        <f t="shared" si="67"/>
        <v>5560.0171476080341</v>
      </c>
      <c r="J149" s="349">
        <f t="shared" si="67"/>
        <v>4570.1000403956286</v>
      </c>
      <c r="K149" s="349">
        <f t="shared" si="67"/>
        <v>3927.7000877430137</v>
      </c>
      <c r="L149" s="349">
        <f t="shared" si="67"/>
        <v>3472.9504892829723</v>
      </c>
      <c r="M149" s="349">
        <f t="shared" si="67"/>
        <v>3565.1800158257879</v>
      </c>
      <c r="N149" s="349">
        <f t="shared" si="67"/>
        <v>5545.154762492476</v>
      </c>
      <c r="O149" s="349">
        <f t="shared" si="67"/>
        <v>4291.6572630893079</v>
      </c>
      <c r="P149" s="349">
        <f t="shared" si="67"/>
        <v>5032.7802650705989</v>
      </c>
      <c r="Q149" s="349">
        <f t="shared" si="67"/>
        <v>3376.4413785587185</v>
      </c>
      <c r="R149" s="349">
        <f t="shared" si="67"/>
        <v>4307.3778728405505</v>
      </c>
      <c r="S149" s="349">
        <f t="shared" si="67"/>
        <v>4456.9972029062073</v>
      </c>
      <c r="T149" s="349">
        <f t="shared" si="67"/>
        <v>4756.1248969156422</v>
      </c>
      <c r="U149" s="349">
        <f t="shared" si="67"/>
        <v>5155.4653362648623</v>
      </c>
      <c r="V149" s="349">
        <f t="shared" si="67"/>
        <v>5324.6172683280629</v>
      </c>
      <c r="W149" s="349">
        <f t="shared" si="67"/>
        <v>4116.2824488180895</v>
      </c>
      <c r="X149" s="349">
        <f t="shared" si="67"/>
        <v>4375.1791594932265</v>
      </c>
      <c r="Y149" s="349">
        <f t="shared" si="67"/>
        <v>1653.8039709830443</v>
      </c>
      <c r="Z149" s="349">
        <f t="shared" si="67"/>
        <v>5991.7410915571154</v>
      </c>
      <c r="AA149" s="349">
        <f t="shared" si="67"/>
        <v>5257.0713193931479</v>
      </c>
      <c r="AB149" s="349">
        <f t="shared" si="67"/>
        <v>5653.6994932216139</v>
      </c>
      <c r="AC149" s="349">
        <f t="shared" si="67"/>
        <v>4044.8394103286455</v>
      </c>
      <c r="AD149" s="349">
        <f t="shared" si="67"/>
        <v>4713.3775950663958</v>
      </c>
      <c r="AE149" s="349">
        <f t="shared" si="67"/>
        <v>4981.5825321066968</v>
      </c>
      <c r="AF149" s="349">
        <f t="shared" si="67"/>
        <v>4655.4635495834764</v>
      </c>
      <c r="AG149" s="349">
        <f t="shared" si="67"/>
        <v>7698.4599399361523</v>
      </c>
      <c r="AH149" s="349">
        <f t="shared" si="67"/>
        <v>3696.8675354476341</v>
      </c>
      <c r="AI149" s="349">
        <f t="shared" si="67"/>
        <v>4947.8850125215249</v>
      </c>
      <c r="AJ149" s="349">
        <f t="shared" si="67"/>
        <v>3704.0927413283503</v>
      </c>
      <c r="AK149" s="349">
        <f t="shared" si="67"/>
        <v>4173.9784167762427</v>
      </c>
      <c r="AL149" s="349">
        <f t="shared" si="67"/>
        <v>3079.8200031363899</v>
      </c>
      <c r="AM149" s="349">
        <f t="shared" si="67"/>
        <v>3406.193427771826</v>
      </c>
      <c r="AN149" s="354">
        <f t="shared" si="67"/>
        <v>3406.193427771826</v>
      </c>
    </row>
    <row r="150" spans="1:40">
      <c r="A150" s="129"/>
      <c r="B150" s="142" t="s">
        <v>6</v>
      </c>
      <c r="C150" s="129" t="s">
        <v>261</v>
      </c>
      <c r="D150" s="345">
        <f t="shared" ref="D150:AN150" si="68">D144/(1.355*(D138/D$17)^0.16)</f>
        <v>4959.6368969655841</v>
      </c>
      <c r="E150" s="349">
        <f t="shared" si="68"/>
        <v>5920.6959390619986</v>
      </c>
      <c r="F150" s="349">
        <f t="shared" si="68"/>
        <v>2517.4442116520759</v>
      </c>
      <c r="G150" s="349">
        <f t="shared" si="68"/>
        <v>5006.8711843387673</v>
      </c>
      <c r="H150" s="349">
        <f t="shared" si="68"/>
        <v>2365.4733199246034</v>
      </c>
      <c r="I150" s="349">
        <f t="shared" si="68"/>
        <v>4644.4298837715096</v>
      </c>
      <c r="J150" s="349">
        <f t="shared" si="68"/>
        <v>3356.6584498180246</v>
      </c>
      <c r="K150" s="349">
        <f t="shared" si="68"/>
        <v>3927.7000877430137</v>
      </c>
      <c r="L150" s="349">
        <f t="shared" si="68"/>
        <v>3018.900267586263</v>
      </c>
      <c r="M150" s="349">
        <f t="shared" si="68"/>
        <v>3565.1800158257879</v>
      </c>
      <c r="N150" s="349">
        <f t="shared" si="68"/>
        <v>5467.3933504201232</v>
      </c>
      <c r="O150" s="349">
        <f t="shared" si="68"/>
        <v>2954.5901317255084</v>
      </c>
      <c r="P150" s="349">
        <f t="shared" si="68"/>
        <v>5032.7802650705989</v>
      </c>
      <c r="Q150" s="349">
        <f t="shared" si="68"/>
        <v>2822.9943247749707</v>
      </c>
      <c r="R150" s="349">
        <f t="shared" si="68"/>
        <v>4307.3778728405505</v>
      </c>
      <c r="S150" s="349">
        <f t="shared" si="68"/>
        <v>4308.2595998818242</v>
      </c>
      <c r="T150" s="349">
        <f t="shared" si="68"/>
        <v>4689.2733555974091</v>
      </c>
      <c r="U150" s="349">
        <f t="shared" si="68"/>
        <v>5104.4556825297141</v>
      </c>
      <c r="V150" s="349">
        <f t="shared" si="68"/>
        <v>5324.6172683280629</v>
      </c>
      <c r="W150" s="349">
        <f t="shared" si="68"/>
        <v>3791.4225878852581</v>
      </c>
      <c r="X150" s="349">
        <f t="shared" si="68"/>
        <v>4351.4566719400564</v>
      </c>
      <c r="Y150" s="349">
        <f t="shared" si="68"/>
        <v>1652.4218431807833</v>
      </c>
      <c r="Z150" s="349">
        <f t="shared" si="68"/>
        <v>5620.1407168032629</v>
      </c>
      <c r="AA150" s="349">
        <f t="shared" si="68"/>
        <v>4850.5783463813186</v>
      </c>
      <c r="AB150" s="349">
        <f t="shared" si="68"/>
        <v>5653.6994932216139</v>
      </c>
      <c r="AC150" s="349">
        <f t="shared" si="68"/>
        <v>3906.3466870093839</v>
      </c>
      <c r="AD150" s="349">
        <f t="shared" si="68"/>
        <v>4713.3775950663958</v>
      </c>
      <c r="AE150" s="349">
        <f t="shared" si="68"/>
        <v>4596.0283590446288</v>
      </c>
      <c r="AF150" s="349">
        <f t="shared" si="68"/>
        <v>3678.0908743028299</v>
      </c>
      <c r="AG150" s="349">
        <f t="shared" si="68"/>
        <v>7005.96492005239</v>
      </c>
      <c r="AH150" s="349">
        <f t="shared" si="68"/>
        <v>3493.8160210963792</v>
      </c>
      <c r="AI150" s="349">
        <f t="shared" si="68"/>
        <v>4947.8850125215249</v>
      </c>
      <c r="AJ150" s="349">
        <f t="shared" si="68"/>
        <v>3661.5995379926389</v>
      </c>
      <c r="AK150" s="349">
        <f t="shared" si="68"/>
        <v>4126.1199271994547</v>
      </c>
      <c r="AL150" s="349">
        <f t="shared" si="68"/>
        <v>2658.7417308089757</v>
      </c>
      <c r="AM150" s="349">
        <f t="shared" si="68"/>
        <v>3367.1177134107534</v>
      </c>
      <c r="AN150" s="354">
        <f t="shared" si="68"/>
        <v>3367.1177134107534</v>
      </c>
    </row>
    <row r="151" spans="1:40">
      <c r="A151" s="129"/>
      <c r="B151" s="142" t="s">
        <v>7</v>
      </c>
      <c r="C151" s="129" t="s">
        <v>261</v>
      </c>
      <c r="D151" s="345">
        <f t="shared" ref="D151:AN151" si="69">D145/(1.355*(D139/D$17)^0.16)</f>
        <v>4435.53480031033</v>
      </c>
      <c r="E151" s="349">
        <f t="shared" si="69"/>
        <v>4612.4055061044646</v>
      </c>
      <c r="F151" s="349">
        <f t="shared" si="69"/>
        <v>2297.7910811194852</v>
      </c>
      <c r="G151" s="349">
        <f t="shared" si="69"/>
        <v>4473.2074687699551</v>
      </c>
      <c r="H151" s="349">
        <f t="shared" si="69"/>
        <v>1195.227502349243</v>
      </c>
      <c r="I151" s="349">
        <f t="shared" si="69"/>
        <v>3897.2610373837401</v>
      </c>
      <c r="J151" s="349">
        <f t="shared" si="69"/>
        <v>3488.9315069877771</v>
      </c>
      <c r="K151" s="349">
        <f t="shared" si="69"/>
        <v>3089.2433959852697</v>
      </c>
      <c r="L151" s="349">
        <f t="shared" si="69"/>
        <v>3018.900267586263</v>
      </c>
      <c r="M151" s="349">
        <f t="shared" si="69"/>
        <v>3160.0136520002934</v>
      </c>
      <c r="N151" s="349">
        <f t="shared" si="69"/>
        <v>5085.7254930891049</v>
      </c>
      <c r="O151" s="349">
        <f t="shared" si="69"/>
        <v>2898.778435437599</v>
      </c>
      <c r="P151" s="349">
        <f t="shared" si="69"/>
        <v>2298.077674188311</v>
      </c>
      <c r="Q151" s="349">
        <f t="shared" si="69"/>
        <v>2471.1270781445141</v>
      </c>
      <c r="R151" s="349">
        <f t="shared" si="69"/>
        <v>3254.1704349009206</v>
      </c>
      <c r="S151" s="349">
        <f t="shared" si="69"/>
        <v>3336.0897673738145</v>
      </c>
      <c r="T151" s="349">
        <f t="shared" si="69"/>
        <v>4361.0946555142982</v>
      </c>
      <c r="U151" s="349">
        <f t="shared" si="69"/>
        <v>5104.4556825297141</v>
      </c>
      <c r="V151" s="349">
        <f t="shared" si="69"/>
        <v>3739.7619355739375</v>
      </c>
      <c r="W151" s="349">
        <f t="shared" si="69"/>
        <v>3287.0449372514054</v>
      </c>
      <c r="X151" s="349">
        <f t="shared" si="69"/>
        <v>3468.1565238109747</v>
      </c>
      <c r="Y151" s="349">
        <f t="shared" si="69"/>
        <v>1632.2471560905158</v>
      </c>
      <c r="Z151" s="349">
        <f t="shared" si="69"/>
        <v>3904.5335802007185</v>
      </c>
      <c r="AA151" s="349">
        <f t="shared" si="69"/>
        <v>4850.5783463813186</v>
      </c>
      <c r="AB151" s="349">
        <f t="shared" si="69"/>
        <v>4567.5752304283787</v>
      </c>
      <c r="AC151" s="349">
        <f t="shared" si="69"/>
        <v>2933.834501069553</v>
      </c>
      <c r="AD151" s="349">
        <f t="shared" si="69"/>
        <v>4593.9581469199029</v>
      </c>
      <c r="AE151" s="349">
        <f t="shared" si="69"/>
        <v>4596.0283590446288</v>
      </c>
      <c r="AF151" s="349">
        <f t="shared" si="69"/>
        <v>2405.8768637908956</v>
      </c>
      <c r="AG151" s="349">
        <f t="shared" si="69"/>
        <v>5351.2695308177081</v>
      </c>
      <c r="AH151" s="349">
        <f t="shared" si="69"/>
        <v>3183.2049572505657</v>
      </c>
      <c r="AI151" s="349">
        <f t="shared" si="69"/>
        <v>2239.0969065315489</v>
      </c>
      <c r="AJ151" s="349">
        <f t="shared" si="69"/>
        <v>3577.3783847446753</v>
      </c>
      <c r="AK151" s="349">
        <f t="shared" si="69"/>
        <v>4032.9463656521889</v>
      </c>
      <c r="AL151" s="349">
        <f t="shared" si="69"/>
        <v>2429.548278865243</v>
      </c>
      <c r="AM151" s="349">
        <f t="shared" si="69"/>
        <v>3289.6699930899877</v>
      </c>
      <c r="AN151" s="354">
        <f t="shared" si="69"/>
        <v>3289.6699930899877</v>
      </c>
    </row>
    <row r="152" spans="1:40">
      <c r="A152" s="334" t="s">
        <v>262</v>
      </c>
      <c r="B152" s="359" t="s">
        <v>2</v>
      </c>
      <c r="C152" s="366" t="s">
        <v>190</v>
      </c>
      <c r="D152" s="375">
        <f t="shared" ref="D152:AN152" si="70">D146/D$4</f>
        <v>82.284768986390887</v>
      </c>
      <c r="E152" s="376">
        <f t="shared" si="70"/>
        <v>60.912577198571682</v>
      </c>
      <c r="F152" s="376">
        <f t="shared" si="70"/>
        <v>64.785848356189348</v>
      </c>
      <c r="G152" s="376">
        <f t="shared" si="70"/>
        <v>79.549543574710199</v>
      </c>
      <c r="H152" s="376">
        <f t="shared" si="70"/>
        <v>32.011271499345469</v>
      </c>
      <c r="I152" s="376">
        <f t="shared" si="70"/>
        <v>90.331105858117425</v>
      </c>
      <c r="J152" s="376">
        <f t="shared" si="70"/>
        <v>71.466331421130917</v>
      </c>
      <c r="K152" s="376">
        <f t="shared" si="70"/>
        <v>58.517872587011439</v>
      </c>
      <c r="L152" s="376">
        <f t="shared" si="70"/>
        <v>64.151161740998376</v>
      </c>
      <c r="M152" s="376">
        <f t="shared" si="70"/>
        <v>63.270563145253483</v>
      </c>
      <c r="N152" s="376">
        <f t="shared" si="70"/>
        <v>94.888710213370572</v>
      </c>
      <c r="O152" s="376">
        <f t="shared" si="70"/>
        <v>76.178147481945217</v>
      </c>
      <c r="P152" s="376">
        <f t="shared" si="70"/>
        <v>69.460690908374929</v>
      </c>
      <c r="Q152" s="376">
        <f t="shared" si="70"/>
        <v>58.126906308038158</v>
      </c>
      <c r="R152" s="376">
        <f t="shared" si="70"/>
        <v>64.002153349063107</v>
      </c>
      <c r="S152" s="376">
        <f t="shared" si="70"/>
        <v>52.945241070556072</v>
      </c>
      <c r="T152" s="376">
        <f t="shared" si="70"/>
        <v>80.500967150410474</v>
      </c>
      <c r="U152" s="376">
        <f t="shared" si="70"/>
        <v>57.073525701967924</v>
      </c>
      <c r="V152" s="376">
        <f t="shared" si="70"/>
        <v>85.637115696494433</v>
      </c>
      <c r="W152" s="376">
        <f t="shared" si="70"/>
        <v>93.246895172773577</v>
      </c>
      <c r="X152" s="376">
        <f t="shared" si="70"/>
        <v>86.193813973606908</v>
      </c>
      <c r="Y152" s="376">
        <f t="shared" si="70"/>
        <v>22.060360058144635</v>
      </c>
      <c r="Z152" s="376">
        <f t="shared" si="70"/>
        <v>62.688889724627458</v>
      </c>
      <c r="AA152" s="376">
        <f t="shared" si="70"/>
        <v>59.919034001871921</v>
      </c>
      <c r="AB152" s="376">
        <f t="shared" si="70"/>
        <v>85.043784787971589</v>
      </c>
      <c r="AC152" s="376">
        <f t="shared" si="70"/>
        <v>37.856253626799472</v>
      </c>
      <c r="AD152" s="376">
        <f t="shared" si="70"/>
        <v>93.509865837488164</v>
      </c>
      <c r="AE152" s="376">
        <f t="shared" si="70"/>
        <v>58.195316687732486</v>
      </c>
      <c r="AF152" s="376">
        <f t="shared" si="70"/>
        <v>69.018447629194469</v>
      </c>
      <c r="AG152" s="376">
        <f t="shared" si="70"/>
        <v>107.24049522686337</v>
      </c>
      <c r="AH152" s="376">
        <f t="shared" si="70"/>
        <v>61.123774486242773</v>
      </c>
      <c r="AI152" s="376">
        <f t="shared" si="70"/>
        <v>68.362359677796803</v>
      </c>
      <c r="AJ152" s="376">
        <f t="shared" si="70"/>
        <v>65.980826316444606</v>
      </c>
      <c r="AK152" s="376">
        <f t="shared" si="70"/>
        <v>54.761641946451626</v>
      </c>
      <c r="AL152" s="376">
        <f t="shared" si="70"/>
        <v>63.663058482240324</v>
      </c>
      <c r="AM152" s="376">
        <f t="shared" si="70"/>
        <v>60.674360134252801</v>
      </c>
      <c r="AN152" s="377">
        <f t="shared" si="70"/>
        <v>60.674360134252794</v>
      </c>
    </row>
    <row r="153" spans="1:40">
      <c r="A153" s="154"/>
      <c r="B153" s="347" t="s">
        <v>3</v>
      </c>
      <c r="C153" s="367" t="s">
        <v>190</v>
      </c>
      <c r="D153" s="369">
        <f t="shared" ref="D153:AN153" si="71">D147/D$4</f>
        <v>89.498102354570364</v>
      </c>
      <c r="E153" s="370">
        <f t="shared" si="71"/>
        <v>60.912577198571682</v>
      </c>
      <c r="F153" s="370">
        <f t="shared" si="71"/>
        <v>64.785848356189348</v>
      </c>
      <c r="G153" s="370">
        <f t="shared" si="71"/>
        <v>86.589085302998186</v>
      </c>
      <c r="H153" s="370">
        <f t="shared" si="71"/>
        <v>31.886034997402152</v>
      </c>
      <c r="I153" s="370">
        <f t="shared" si="71"/>
        <v>72.466713626166381</v>
      </c>
      <c r="J153" s="370">
        <f t="shared" si="71"/>
        <v>74.83829205476998</v>
      </c>
      <c r="K153" s="370">
        <f t="shared" si="71"/>
        <v>55.770161522595437</v>
      </c>
      <c r="L153" s="370">
        <f t="shared" si="71"/>
        <v>64.151161740998376</v>
      </c>
      <c r="M153" s="370">
        <f t="shared" si="71"/>
        <v>62.923284644188755</v>
      </c>
      <c r="N153" s="370">
        <f t="shared" si="71"/>
        <v>82.094918078121339</v>
      </c>
      <c r="O153" s="370">
        <f t="shared" si="71"/>
        <v>76.178147481945217</v>
      </c>
      <c r="P153" s="370">
        <f t="shared" si="71"/>
        <v>69.460690908374929</v>
      </c>
      <c r="Q153" s="370">
        <f t="shared" si="71"/>
        <v>58.603355635828372</v>
      </c>
      <c r="R153" s="370">
        <f t="shared" si="71"/>
        <v>64.002153349063107</v>
      </c>
      <c r="S153" s="370">
        <f t="shared" si="71"/>
        <v>52.980654006891399</v>
      </c>
      <c r="T153" s="370">
        <f t="shared" si="71"/>
        <v>69.620825745284932</v>
      </c>
      <c r="U153" s="370">
        <f t="shared" si="71"/>
        <v>56.839195227053779</v>
      </c>
      <c r="V153" s="370">
        <f t="shared" si="71"/>
        <v>85.637115696494433</v>
      </c>
      <c r="W153" s="370">
        <f t="shared" si="71"/>
        <v>83.292813814148104</v>
      </c>
      <c r="X153" s="370">
        <f t="shared" si="71"/>
        <v>86.193813973606908</v>
      </c>
      <c r="Y153" s="370">
        <f t="shared" si="71"/>
        <v>22.058994274675896</v>
      </c>
      <c r="Z153" s="370">
        <f t="shared" si="71"/>
        <v>65.597339732922904</v>
      </c>
      <c r="AA153" s="370">
        <f t="shared" si="71"/>
        <v>59.919034001871921</v>
      </c>
      <c r="AB153" s="370">
        <f t="shared" si="71"/>
        <v>82.540835717526534</v>
      </c>
      <c r="AC153" s="370">
        <f t="shared" si="71"/>
        <v>39.786568768207665</v>
      </c>
      <c r="AD153" s="370">
        <f t="shared" si="71"/>
        <v>84.465215046046865</v>
      </c>
      <c r="AE153" s="370">
        <f t="shared" si="71"/>
        <v>58.195316687732486</v>
      </c>
      <c r="AF153" s="370">
        <f t="shared" si="71"/>
        <v>69.018447629194469</v>
      </c>
      <c r="AG153" s="370">
        <f t="shared" si="71"/>
        <v>96.791617605364408</v>
      </c>
      <c r="AH153" s="370">
        <f t="shared" si="71"/>
        <v>61.448907240352703</v>
      </c>
      <c r="AI153" s="370">
        <f t="shared" si="71"/>
        <v>68.362359677796803</v>
      </c>
      <c r="AJ153" s="370">
        <f t="shared" si="71"/>
        <v>65.980826316444606</v>
      </c>
      <c r="AK153" s="370">
        <f t="shared" si="71"/>
        <v>54.761641946451626</v>
      </c>
      <c r="AL153" s="370">
        <f t="shared" si="71"/>
        <v>63.663058482240324</v>
      </c>
      <c r="AM153" s="370">
        <f t="shared" si="71"/>
        <v>60.674360134252801</v>
      </c>
      <c r="AN153" s="371">
        <f t="shared" si="71"/>
        <v>60.674360134252794</v>
      </c>
    </row>
    <row r="154" spans="1:40">
      <c r="A154" s="154"/>
      <c r="B154" s="347" t="s">
        <v>4</v>
      </c>
      <c r="C154" s="367" t="s">
        <v>190</v>
      </c>
      <c r="D154" s="369">
        <f t="shared" ref="D154:AN154" si="72">D148/D$4</f>
        <v>74.169434056252314</v>
      </c>
      <c r="E154" s="370">
        <f t="shared" si="72"/>
        <v>60.912577198571682</v>
      </c>
      <c r="F154" s="370">
        <f t="shared" si="72"/>
        <v>62.125427387309699</v>
      </c>
      <c r="G154" s="370">
        <f t="shared" si="72"/>
        <v>71.680617645214355</v>
      </c>
      <c r="H154" s="370">
        <f t="shared" si="72"/>
        <v>31.710966644722021</v>
      </c>
      <c r="I154" s="370">
        <f t="shared" si="72"/>
        <v>72.466713626166381</v>
      </c>
      <c r="J154" s="370">
        <f t="shared" si="72"/>
        <v>63.149340616585441</v>
      </c>
      <c r="K154" s="370">
        <f t="shared" si="72"/>
        <v>38.806580924786438</v>
      </c>
      <c r="L154" s="370">
        <f t="shared" si="72"/>
        <v>55.489671272455048</v>
      </c>
      <c r="M154" s="370">
        <f t="shared" si="72"/>
        <v>62.923284644188755</v>
      </c>
      <c r="N154" s="370">
        <f t="shared" si="72"/>
        <v>72.678896689268711</v>
      </c>
      <c r="O154" s="370">
        <f t="shared" si="72"/>
        <v>48.461248787712798</v>
      </c>
      <c r="P154" s="370">
        <f t="shared" si="72"/>
        <v>69.460690908374929</v>
      </c>
      <c r="Q154" s="370">
        <f t="shared" si="72"/>
        <v>58.144531121038092</v>
      </c>
      <c r="R154" s="370">
        <f t="shared" si="72"/>
        <v>62.94046452361097</v>
      </c>
      <c r="S154" s="370">
        <f t="shared" si="72"/>
        <v>52.362351626918247</v>
      </c>
      <c r="T154" s="370">
        <f t="shared" si="72"/>
        <v>61.625615130939366</v>
      </c>
      <c r="U154" s="370">
        <f t="shared" si="72"/>
        <v>52.375236640684584</v>
      </c>
      <c r="V154" s="370">
        <f t="shared" si="72"/>
        <v>64.277448535209331</v>
      </c>
      <c r="W154" s="370">
        <f t="shared" si="72"/>
        <v>54.008130811326339</v>
      </c>
      <c r="X154" s="370">
        <f t="shared" si="72"/>
        <v>85.229891155115482</v>
      </c>
      <c r="Y154" s="370">
        <f t="shared" si="72"/>
        <v>21.870401089245597</v>
      </c>
      <c r="Z154" s="370">
        <f t="shared" si="72"/>
        <v>58.655366383825942</v>
      </c>
      <c r="AA154" s="370">
        <f t="shared" si="72"/>
        <v>48.060806531645376</v>
      </c>
      <c r="AB154" s="370">
        <f t="shared" si="72"/>
        <v>69.3976437886936</v>
      </c>
      <c r="AC154" s="370">
        <f t="shared" si="72"/>
        <v>39.769479489639203</v>
      </c>
      <c r="AD154" s="370">
        <f t="shared" si="72"/>
        <v>84.465215046046865</v>
      </c>
      <c r="AE154" s="370">
        <f t="shared" si="72"/>
        <v>46.69777200146607</v>
      </c>
      <c r="AF154" s="370">
        <f t="shared" si="72"/>
        <v>62.840982647394277</v>
      </c>
      <c r="AG154" s="370">
        <f t="shared" si="72"/>
        <v>96.791617605364408</v>
      </c>
      <c r="AH154" s="370">
        <f t="shared" si="72"/>
        <v>60.073982909654013</v>
      </c>
      <c r="AI154" s="370">
        <f t="shared" si="72"/>
        <v>68.362359677796803</v>
      </c>
      <c r="AJ154" s="370">
        <f t="shared" si="72"/>
        <v>65.980826316444606</v>
      </c>
      <c r="AK154" s="370">
        <f t="shared" si="72"/>
        <v>54.761641946451626</v>
      </c>
      <c r="AL154" s="370">
        <f t="shared" si="72"/>
        <v>61.011457538085729</v>
      </c>
      <c r="AM154" s="370">
        <f t="shared" si="72"/>
        <v>60.674360134252801</v>
      </c>
      <c r="AN154" s="371">
        <f t="shared" si="72"/>
        <v>60.674360134252794</v>
      </c>
    </row>
    <row r="155" spans="1:40">
      <c r="A155" s="154"/>
      <c r="B155" s="347" t="s">
        <v>5</v>
      </c>
      <c r="C155" s="367" t="s">
        <v>190</v>
      </c>
      <c r="D155" s="369">
        <f t="shared" ref="D155:AN155" si="73">D149/D$4</f>
        <v>53.606804126651888</v>
      </c>
      <c r="E155" s="370">
        <f t="shared" si="73"/>
        <v>56.844443255594157</v>
      </c>
      <c r="F155" s="370">
        <f t="shared" si="73"/>
        <v>53.134318138615981</v>
      </c>
      <c r="G155" s="370">
        <f t="shared" si="73"/>
        <v>51.691769402282183</v>
      </c>
      <c r="H155" s="370">
        <f t="shared" si="73"/>
        <v>29.048645012079586</v>
      </c>
      <c r="I155" s="370">
        <f t="shared" si="73"/>
        <v>64.421846673893015</v>
      </c>
      <c r="J155" s="370">
        <f t="shared" si="73"/>
        <v>47.767769034301246</v>
      </c>
      <c r="K155" s="370">
        <f t="shared" si="73"/>
        <v>34.169605849346745</v>
      </c>
      <c r="L155" s="370">
        <f t="shared" si="73"/>
        <v>47.673519131673885</v>
      </c>
      <c r="M155" s="370">
        <f t="shared" si="73"/>
        <v>34.624733891840343</v>
      </c>
      <c r="N155" s="370">
        <f t="shared" si="73"/>
        <v>65.306094091396531</v>
      </c>
      <c r="O155" s="370">
        <f t="shared" si="73"/>
        <v>43.535030647768501</v>
      </c>
      <c r="P155" s="370">
        <f t="shared" si="73"/>
        <v>63.784878438776857</v>
      </c>
      <c r="Q155" s="370">
        <f t="shared" si="73"/>
        <v>58.144531121038092</v>
      </c>
      <c r="R155" s="370">
        <f t="shared" si="73"/>
        <v>54.684174902140342</v>
      </c>
      <c r="S155" s="370">
        <f t="shared" si="73"/>
        <v>41.647932748492181</v>
      </c>
      <c r="T155" s="370">
        <f t="shared" si="73"/>
        <v>55.370083278716272</v>
      </c>
      <c r="U155" s="370">
        <f t="shared" si="73"/>
        <v>51.224720034546181</v>
      </c>
      <c r="V155" s="370">
        <f t="shared" si="73"/>
        <v>64.277448535209331</v>
      </c>
      <c r="W155" s="370">
        <f t="shared" si="73"/>
        <v>52.142321067286709</v>
      </c>
      <c r="X155" s="370">
        <f t="shared" si="73"/>
        <v>53.716794689939078</v>
      </c>
      <c r="Y155" s="370">
        <f t="shared" si="73"/>
        <v>17.033328758698641</v>
      </c>
      <c r="Z155" s="370">
        <f t="shared" si="73"/>
        <v>54.350712093433529</v>
      </c>
      <c r="AA155" s="370">
        <f t="shared" si="73"/>
        <v>48.060806531645376</v>
      </c>
      <c r="AB155" s="370">
        <f t="shared" si="73"/>
        <v>69.3976437886936</v>
      </c>
      <c r="AC155" s="370">
        <f t="shared" si="73"/>
        <v>39.674351068132552</v>
      </c>
      <c r="AD155" s="370">
        <f t="shared" si="73"/>
        <v>77.486891889583674</v>
      </c>
      <c r="AE155" s="370">
        <f t="shared" si="73"/>
        <v>46.69777200146607</v>
      </c>
      <c r="AF155" s="370">
        <f t="shared" si="73"/>
        <v>57.892156836444379</v>
      </c>
      <c r="AG155" s="370">
        <f t="shared" si="73"/>
        <v>95.487656669695241</v>
      </c>
      <c r="AH155" s="370">
        <f t="shared" si="73"/>
        <v>47.796574160626797</v>
      </c>
      <c r="AI155" s="370">
        <f t="shared" si="73"/>
        <v>62.708925768747861</v>
      </c>
      <c r="AJ155" s="370">
        <f t="shared" si="73"/>
        <v>63.786902103809787</v>
      </c>
      <c r="AK155" s="370">
        <f t="shared" si="73"/>
        <v>52.90052255369352</v>
      </c>
      <c r="AL155" s="370">
        <f t="shared" si="73"/>
        <v>52.044901268963898</v>
      </c>
      <c r="AM155" s="370">
        <f t="shared" si="73"/>
        <v>58.65688088738429</v>
      </c>
      <c r="AN155" s="371">
        <f t="shared" si="73"/>
        <v>58.656880887384283</v>
      </c>
    </row>
    <row r="156" spans="1:40">
      <c r="A156" s="154"/>
      <c r="B156" s="347" t="s">
        <v>6</v>
      </c>
      <c r="C156" s="367" t="s">
        <v>190</v>
      </c>
      <c r="D156" s="369">
        <f t="shared" ref="D156:AN156" si="74">D150/D$4</f>
        <v>48.458541716122127</v>
      </c>
      <c r="E156" s="370">
        <f t="shared" si="74"/>
        <v>56.844443255594157</v>
      </c>
      <c r="F156" s="370">
        <f t="shared" si="74"/>
        <v>45.987880433088243</v>
      </c>
      <c r="G156" s="370">
        <f t="shared" si="74"/>
        <v>46.705106464559485</v>
      </c>
      <c r="H156" s="370">
        <f t="shared" si="74"/>
        <v>29.048645012079586</v>
      </c>
      <c r="I156" s="370">
        <f t="shared" si="74"/>
        <v>53.813278253772019</v>
      </c>
      <c r="J156" s="370">
        <f t="shared" si="74"/>
        <v>35.084589864702956</v>
      </c>
      <c r="K156" s="370">
        <f t="shared" si="74"/>
        <v>34.169605849346745</v>
      </c>
      <c r="L156" s="370">
        <f t="shared" si="74"/>
        <v>41.44072888672342</v>
      </c>
      <c r="M156" s="370">
        <f t="shared" si="74"/>
        <v>34.624733891840343</v>
      </c>
      <c r="N156" s="370">
        <f t="shared" si="74"/>
        <v>64.390286632274439</v>
      </c>
      <c r="O156" s="370">
        <f t="shared" si="74"/>
        <v>29.971678550041677</v>
      </c>
      <c r="P156" s="370">
        <f t="shared" si="74"/>
        <v>63.784878438776857</v>
      </c>
      <c r="Q156" s="370">
        <f t="shared" si="74"/>
        <v>48.61381050881991</v>
      </c>
      <c r="R156" s="370">
        <f t="shared" si="74"/>
        <v>54.684174902140342</v>
      </c>
      <c r="S156" s="370">
        <f t="shared" si="74"/>
        <v>40.258070155827284</v>
      </c>
      <c r="T156" s="370">
        <f t="shared" si="74"/>
        <v>54.591807793877429</v>
      </c>
      <c r="U156" s="370">
        <f t="shared" si="74"/>
        <v>50.717887952238904</v>
      </c>
      <c r="V156" s="370">
        <f t="shared" si="74"/>
        <v>64.277448535209331</v>
      </c>
      <c r="W156" s="370">
        <f t="shared" si="74"/>
        <v>48.027212985843583</v>
      </c>
      <c r="X156" s="370">
        <f t="shared" si="74"/>
        <v>53.425538961436324</v>
      </c>
      <c r="Y156" s="370">
        <f t="shared" si="74"/>
        <v>17.019093554493359</v>
      </c>
      <c r="Z156" s="370">
        <f t="shared" si="74"/>
        <v>50.979948124590216</v>
      </c>
      <c r="AA156" s="370">
        <f t="shared" si="74"/>
        <v>44.344596698172914</v>
      </c>
      <c r="AB156" s="370">
        <f t="shared" si="74"/>
        <v>69.3976437886936</v>
      </c>
      <c r="AC156" s="370">
        <f t="shared" si="74"/>
        <v>38.315926575105841</v>
      </c>
      <c r="AD156" s="370">
        <f t="shared" si="74"/>
        <v>77.486891889583674</v>
      </c>
      <c r="AE156" s="370">
        <f t="shared" si="74"/>
        <v>43.083554882342646</v>
      </c>
      <c r="AF156" s="370">
        <f t="shared" si="74"/>
        <v>45.738219510468575</v>
      </c>
      <c r="AG156" s="370">
        <f t="shared" si="74"/>
        <v>86.898311889045146</v>
      </c>
      <c r="AH156" s="370">
        <f t="shared" si="74"/>
        <v>45.171333555963855</v>
      </c>
      <c r="AI156" s="370">
        <f t="shared" si="74"/>
        <v>62.708925768747861</v>
      </c>
      <c r="AJ156" s="370">
        <f t="shared" si="74"/>
        <v>63.055141321740315</v>
      </c>
      <c r="AK156" s="370">
        <f t="shared" si="74"/>
        <v>52.293969559296876</v>
      </c>
      <c r="AL156" s="370">
        <f t="shared" si="74"/>
        <v>44.92923311710156</v>
      </c>
      <c r="AM156" s="370">
        <f t="shared" si="74"/>
        <v>57.983971502914528</v>
      </c>
      <c r="AN156" s="371">
        <f t="shared" si="74"/>
        <v>57.983971502914521</v>
      </c>
    </row>
    <row r="157" spans="1:40">
      <c r="A157" s="155"/>
      <c r="B157" s="338" t="s">
        <v>7</v>
      </c>
      <c r="C157" s="368" t="s">
        <v>190</v>
      </c>
      <c r="D157" s="378">
        <f t="shared" ref="D157:AN157" si="75">D151/D$4</f>
        <v>43.337758916515504</v>
      </c>
      <c r="E157" s="379">
        <f t="shared" si="75"/>
        <v>44.283581822491527</v>
      </c>
      <c r="F157" s="379">
        <f t="shared" si="75"/>
        <v>41.975326011055088</v>
      </c>
      <c r="G157" s="379">
        <f t="shared" si="75"/>
        <v>41.726983454349572</v>
      </c>
      <c r="H157" s="379">
        <f t="shared" si="75"/>
        <v>14.677713391214375</v>
      </c>
      <c r="I157" s="379">
        <f t="shared" si="75"/>
        <v>45.156111273233108</v>
      </c>
      <c r="J157" s="379">
        <f t="shared" si="75"/>
        <v>36.467139215591715</v>
      </c>
      <c r="K157" s="379">
        <f t="shared" si="75"/>
        <v>26.875328272371053</v>
      </c>
      <c r="L157" s="379">
        <f t="shared" si="75"/>
        <v>41.44072888672342</v>
      </c>
      <c r="M157" s="379">
        <f t="shared" si="75"/>
        <v>30.689791626061687</v>
      </c>
      <c r="N157" s="379">
        <f t="shared" si="75"/>
        <v>59.895328769039331</v>
      </c>
      <c r="O157" s="379">
        <f t="shared" si="75"/>
        <v>29.40551872891723</v>
      </c>
      <c r="P157" s="379">
        <f t="shared" si="75"/>
        <v>29.125572222635519</v>
      </c>
      <c r="Q157" s="379">
        <f t="shared" si="75"/>
        <v>42.554426151638545</v>
      </c>
      <c r="R157" s="379">
        <f t="shared" si="75"/>
        <v>41.313214321302105</v>
      </c>
      <c r="S157" s="379">
        <f t="shared" si="75"/>
        <v>31.173733334165036</v>
      </c>
      <c r="T157" s="379">
        <f t="shared" si="75"/>
        <v>50.771201239645265</v>
      </c>
      <c r="U157" s="379">
        <f t="shared" si="75"/>
        <v>50.717887952238904</v>
      </c>
      <c r="V157" s="379">
        <f t="shared" si="75"/>
        <v>45.145471164215522</v>
      </c>
      <c r="W157" s="379">
        <f t="shared" si="75"/>
        <v>41.63809325814718</v>
      </c>
      <c r="X157" s="379">
        <f t="shared" si="75"/>
        <v>42.580713874973227</v>
      </c>
      <c r="Y157" s="379">
        <f t="shared" si="75"/>
        <v>16.811304672714261</v>
      </c>
      <c r="Z157" s="379">
        <f t="shared" si="75"/>
        <v>35.417782116063186</v>
      </c>
      <c r="AA157" s="379">
        <f t="shared" si="75"/>
        <v>44.344596698172914</v>
      </c>
      <c r="AB157" s="379">
        <f t="shared" si="75"/>
        <v>56.065759985893138</v>
      </c>
      <c r="AC157" s="379">
        <f t="shared" si="75"/>
        <v>28.776910073118465</v>
      </c>
      <c r="AD157" s="379">
        <f t="shared" si="75"/>
        <v>75.523662404696481</v>
      </c>
      <c r="AE157" s="379">
        <f t="shared" si="75"/>
        <v>43.083554882342646</v>
      </c>
      <c r="AF157" s="379">
        <f t="shared" si="75"/>
        <v>29.917837234536385</v>
      </c>
      <c r="AG157" s="379">
        <f t="shared" si="75"/>
        <v>66.374338723903307</v>
      </c>
      <c r="AH157" s="379">
        <f t="shared" si="75"/>
        <v>41.155462117275704</v>
      </c>
      <c r="AI157" s="379">
        <f t="shared" si="75"/>
        <v>28.378056754630176</v>
      </c>
      <c r="AJ157" s="379">
        <f t="shared" si="75"/>
        <v>61.604797922570654</v>
      </c>
      <c r="AK157" s="379">
        <f t="shared" si="75"/>
        <v>51.113098552818144</v>
      </c>
      <c r="AL157" s="379">
        <f t="shared" si="75"/>
        <v>41.056165676226072</v>
      </c>
      <c r="AM157" s="379">
        <f t="shared" si="75"/>
        <v>56.650271053370084</v>
      </c>
      <c r="AN157" s="380">
        <f t="shared" si="75"/>
        <v>56.650271053370076</v>
      </c>
    </row>
    <row r="158" spans="1:40">
      <c r="A158" s="151" t="s">
        <v>285</v>
      </c>
      <c r="B158" s="141" t="s">
        <v>2</v>
      </c>
      <c r="C158" s="144" t="s">
        <v>148</v>
      </c>
      <c r="D158" s="381">
        <f t="shared" ref="D158:AN158" si="76">1-(D152/D$48)</f>
        <v>0.50850764793274372</v>
      </c>
      <c r="E158" s="382">
        <f t="shared" si="76"/>
        <v>0.63092677165038635</v>
      </c>
      <c r="F158" s="382">
        <f t="shared" si="76"/>
        <v>0.59155790809848008</v>
      </c>
      <c r="G158" s="382">
        <f t="shared" si="76"/>
        <v>0.50583148106291453</v>
      </c>
      <c r="H158" s="382">
        <f t="shared" si="76"/>
        <v>0.54106514283873952</v>
      </c>
      <c r="I158" s="382">
        <f t="shared" si="76"/>
        <v>0.40212821969620327</v>
      </c>
      <c r="J158" s="382">
        <f t="shared" si="76"/>
        <v>0.62156979938527224</v>
      </c>
      <c r="K158" s="382">
        <f t="shared" si="76"/>
        <v>0.41481818545752602</v>
      </c>
      <c r="L158" s="382">
        <f t="shared" si="76"/>
        <v>0.38395885709027133</v>
      </c>
      <c r="M158" s="382">
        <f t="shared" si="76"/>
        <v>0.55395325772758608</v>
      </c>
      <c r="N158" s="382">
        <f t="shared" si="76"/>
        <v>0.38239024792752996</v>
      </c>
      <c r="O158" s="382">
        <f t="shared" si="76"/>
        <v>0.60714929592630185</v>
      </c>
      <c r="P158" s="382">
        <f t="shared" si="76"/>
        <v>0.54687434643445043</v>
      </c>
      <c r="Q158" s="382">
        <f t="shared" si="76"/>
        <v>0.59081085762418539</v>
      </c>
      <c r="R158" s="382">
        <f t="shared" si="76"/>
        <v>0.57518542495808367</v>
      </c>
      <c r="S158" s="382">
        <f t="shared" si="76"/>
        <v>0.68204440056519844</v>
      </c>
      <c r="T158" s="382">
        <f t="shared" si="76"/>
        <v>0.38165547977098646</v>
      </c>
      <c r="U158" s="382">
        <f t="shared" si="76"/>
        <v>0.56451327231369608</v>
      </c>
      <c r="V158" s="382">
        <f t="shared" si="76"/>
        <v>0.45818975687087915</v>
      </c>
      <c r="W158" s="382">
        <f t="shared" si="76"/>
        <v>0.47713875879302803</v>
      </c>
      <c r="X158" s="382">
        <f t="shared" si="76"/>
        <v>0.52047605691273469</v>
      </c>
      <c r="Y158" s="382">
        <f t="shared" si="76"/>
        <v>0.54919271191779018</v>
      </c>
      <c r="Z158" s="382">
        <f t="shared" si="76"/>
        <v>0.64785556872119276</v>
      </c>
      <c r="AA158" s="382">
        <f t="shared" si="76"/>
        <v>0.45863222536821246</v>
      </c>
      <c r="AB158" s="382">
        <f t="shared" si="76"/>
        <v>0.61843542331303181</v>
      </c>
      <c r="AC158" s="382">
        <f t="shared" si="76"/>
        <v>0.60681145874915254</v>
      </c>
      <c r="AD158" s="382">
        <f t="shared" si="76"/>
        <v>0.55696294845299588</v>
      </c>
      <c r="AE158" s="382">
        <f t="shared" si="76"/>
        <v>0.45971425325790805</v>
      </c>
      <c r="AF158" s="382">
        <f t="shared" si="76"/>
        <v>0.53926370551341885</v>
      </c>
      <c r="AG158" s="382">
        <f t="shared" si="76"/>
        <v>0.52361749366237886</v>
      </c>
      <c r="AH158" s="382">
        <f t="shared" si="76"/>
        <v>0.69159995710575051</v>
      </c>
      <c r="AI158" s="382">
        <f t="shared" si="76"/>
        <v>0.54034290506928362</v>
      </c>
      <c r="AJ158" s="382">
        <f t="shared" si="76"/>
        <v>0.5862868600062412</v>
      </c>
      <c r="AK158" s="382">
        <f t="shared" si="76"/>
        <v>0.57262994822116675</v>
      </c>
      <c r="AL158" s="382">
        <f t="shared" si="76"/>
        <v>0.58833593264144868</v>
      </c>
      <c r="AM158" s="382">
        <f t="shared" si="76"/>
        <v>0.5862868600062412</v>
      </c>
      <c r="AN158" s="383">
        <f t="shared" si="76"/>
        <v>0.58628686000624131</v>
      </c>
    </row>
    <row r="159" spans="1:40">
      <c r="A159" s="129"/>
      <c r="B159" s="142" t="s">
        <v>3</v>
      </c>
      <c r="C159" s="131" t="s">
        <v>148</v>
      </c>
      <c r="D159" s="384">
        <f t="shared" ref="D159:AN159" si="77">1-(D153/D$49)</f>
        <v>0.43117589455062888</v>
      </c>
      <c r="E159" s="385">
        <f t="shared" si="77"/>
        <v>0.63092677165038635</v>
      </c>
      <c r="F159" s="385">
        <f t="shared" si="77"/>
        <v>0.59155790809848008</v>
      </c>
      <c r="G159" s="385">
        <f t="shared" si="77"/>
        <v>0.42807890687031669</v>
      </c>
      <c r="H159" s="385">
        <f t="shared" si="77"/>
        <v>0.51898867060867382</v>
      </c>
      <c r="I159" s="385">
        <f t="shared" si="77"/>
        <v>0.41539051747150835</v>
      </c>
      <c r="J159" s="385">
        <f t="shared" si="77"/>
        <v>0.55476822985729679</v>
      </c>
      <c r="K159" s="385">
        <f t="shared" si="77"/>
        <v>0.42062849995394724</v>
      </c>
      <c r="L159" s="385">
        <f t="shared" si="77"/>
        <v>0.38395885709027133</v>
      </c>
      <c r="M159" s="385">
        <f t="shared" si="77"/>
        <v>0.51075615114876249</v>
      </c>
      <c r="N159" s="385">
        <f t="shared" si="77"/>
        <v>0.40804106298288978</v>
      </c>
      <c r="O159" s="385">
        <f t="shared" si="77"/>
        <v>0.60714929592630185</v>
      </c>
      <c r="P159" s="385">
        <f t="shared" si="77"/>
        <v>0.54687434643445043</v>
      </c>
      <c r="Q159" s="385">
        <f t="shared" si="77"/>
        <v>0.6079992034341537</v>
      </c>
      <c r="R159" s="385">
        <f t="shared" si="77"/>
        <v>0.57518542495808367</v>
      </c>
      <c r="S159" s="385">
        <f t="shared" si="77"/>
        <v>0.68721139294944511</v>
      </c>
      <c r="T159" s="385">
        <f t="shared" si="77"/>
        <v>0.40737712996490194</v>
      </c>
      <c r="U159" s="385">
        <f t="shared" si="77"/>
        <v>0.54503932319971904</v>
      </c>
      <c r="V159" s="385">
        <f t="shared" si="77"/>
        <v>0.45818975687087915</v>
      </c>
      <c r="W159" s="385">
        <f t="shared" si="77"/>
        <v>0.5356528201302202</v>
      </c>
      <c r="X159" s="385">
        <f t="shared" si="77"/>
        <v>0.51679675624068766</v>
      </c>
      <c r="Y159" s="385">
        <f t="shared" si="77"/>
        <v>0.54846851369920091</v>
      </c>
      <c r="Z159" s="385">
        <f t="shared" si="77"/>
        <v>0.5381119708775246</v>
      </c>
      <c r="AA159" s="385">
        <f t="shared" si="77"/>
        <v>0.45717425370140596</v>
      </c>
      <c r="AB159" s="385">
        <f t="shared" si="77"/>
        <v>0.49035296925974925</v>
      </c>
      <c r="AC159" s="385">
        <f t="shared" si="77"/>
        <v>0.55298139332571439</v>
      </c>
      <c r="AD159" s="385">
        <f t="shared" si="77"/>
        <v>0.55916927179633846</v>
      </c>
      <c r="AE159" s="385">
        <f t="shared" si="77"/>
        <v>0.45823713532900334</v>
      </c>
      <c r="AF159" s="385">
        <f t="shared" si="77"/>
        <v>0.53926370551341885</v>
      </c>
      <c r="AG159" s="385">
        <f t="shared" si="77"/>
        <v>0.49211681210504665</v>
      </c>
      <c r="AH159" s="385">
        <f t="shared" si="77"/>
        <v>0.70440400177011131</v>
      </c>
      <c r="AI159" s="385">
        <f t="shared" si="77"/>
        <v>0.54034290506928362</v>
      </c>
      <c r="AJ159" s="385">
        <f t="shared" si="77"/>
        <v>0.5862868600062412</v>
      </c>
      <c r="AK159" s="385">
        <f t="shared" si="77"/>
        <v>0.57262994822116675</v>
      </c>
      <c r="AL159" s="385">
        <f t="shared" si="77"/>
        <v>0.58833593264144868</v>
      </c>
      <c r="AM159" s="385">
        <f t="shared" si="77"/>
        <v>0.5862868600062412</v>
      </c>
      <c r="AN159" s="386">
        <f t="shared" si="77"/>
        <v>0.58628686000624131</v>
      </c>
    </row>
    <row r="160" spans="1:40">
      <c r="A160" s="129"/>
      <c r="B160" s="142" t="s">
        <v>4</v>
      </c>
      <c r="C160" s="131" t="s">
        <v>148</v>
      </c>
      <c r="D160" s="384">
        <f t="shared" ref="D160:AN160" si="78">1-(D154/D$50)</f>
        <v>0.3999266650074903</v>
      </c>
      <c r="E160" s="385">
        <f t="shared" si="78"/>
        <v>0.63092677165038635</v>
      </c>
      <c r="F160" s="385">
        <f t="shared" si="78"/>
        <v>0.58429788572683172</v>
      </c>
      <c r="G160" s="385">
        <f t="shared" si="78"/>
        <v>0.3966586509881409</v>
      </c>
      <c r="H160" s="385">
        <f t="shared" si="78"/>
        <v>0.5210849477449756</v>
      </c>
      <c r="I160" s="385">
        <f t="shared" si="78"/>
        <v>0.41539051747150835</v>
      </c>
      <c r="J160" s="385">
        <f t="shared" si="78"/>
        <v>0.39976482058405061</v>
      </c>
      <c r="K160" s="385">
        <f t="shared" si="78"/>
        <v>0.39744099498122476</v>
      </c>
      <c r="L160" s="385">
        <f t="shared" si="78"/>
        <v>0.34255698368310827</v>
      </c>
      <c r="M160" s="385">
        <f t="shared" si="78"/>
        <v>0.51075615114876249</v>
      </c>
      <c r="N160" s="385">
        <f t="shared" si="78"/>
        <v>0.36075195916788749</v>
      </c>
      <c r="O160" s="385">
        <f t="shared" si="78"/>
        <v>0.45451733864815258</v>
      </c>
      <c r="P160" s="385">
        <f t="shared" si="78"/>
        <v>0.54687434643445043</v>
      </c>
      <c r="Q160" s="385">
        <f t="shared" si="78"/>
        <v>0.5678048910105814</v>
      </c>
      <c r="R160" s="385">
        <f t="shared" si="78"/>
        <v>0.52101384407881701</v>
      </c>
      <c r="S160" s="385">
        <f t="shared" si="78"/>
        <v>0.62814320383437083</v>
      </c>
      <c r="T160" s="385">
        <f t="shared" si="78"/>
        <v>0.36002842130307489</v>
      </c>
      <c r="U160" s="385">
        <f t="shared" si="78"/>
        <v>0.55601265673489286</v>
      </c>
      <c r="V160" s="385">
        <f t="shared" si="78"/>
        <v>0.36819689286115675</v>
      </c>
      <c r="W160" s="385">
        <f t="shared" si="78"/>
        <v>0.45295919583510291</v>
      </c>
      <c r="X160" s="385">
        <f t="shared" si="78"/>
        <v>0.48456942713679962</v>
      </c>
      <c r="Y160" s="385">
        <f t="shared" si="78"/>
        <v>0.48048661133502468</v>
      </c>
      <c r="Z160" s="385">
        <f t="shared" si="78"/>
        <v>0.56981956857984351</v>
      </c>
      <c r="AA160" s="385">
        <f t="shared" si="78"/>
        <v>0.35787794027777009</v>
      </c>
      <c r="AB160" s="385">
        <f t="shared" si="78"/>
        <v>0.40495086961444338</v>
      </c>
      <c r="AC160" s="385">
        <f t="shared" si="78"/>
        <v>0.54369902087729571</v>
      </c>
      <c r="AD160" s="385">
        <f t="shared" si="78"/>
        <v>0.55916927179633846</v>
      </c>
      <c r="AE160" s="385">
        <f t="shared" si="78"/>
        <v>0.3600250639268755</v>
      </c>
      <c r="AF160" s="385">
        <f t="shared" si="78"/>
        <v>0.53927793184004424</v>
      </c>
      <c r="AG160" s="385">
        <f t="shared" si="78"/>
        <v>0.49211681210504665</v>
      </c>
      <c r="AH160" s="385">
        <f t="shared" si="78"/>
        <v>0.6244267251193667</v>
      </c>
      <c r="AI160" s="385">
        <f t="shared" si="78"/>
        <v>0.54034290506928362</v>
      </c>
      <c r="AJ160" s="385">
        <f t="shared" si="78"/>
        <v>0.5862868600062412</v>
      </c>
      <c r="AK160" s="385">
        <f t="shared" si="78"/>
        <v>0.57262994822116675</v>
      </c>
      <c r="AL160" s="385">
        <f t="shared" si="78"/>
        <v>0.58107384472091073</v>
      </c>
      <c r="AM160" s="385">
        <f t="shared" si="78"/>
        <v>0.5862868600062412</v>
      </c>
      <c r="AN160" s="386">
        <f t="shared" si="78"/>
        <v>0.58628686000624131</v>
      </c>
    </row>
    <row r="161" spans="1:40">
      <c r="A161" s="129"/>
      <c r="B161" s="142" t="s">
        <v>5</v>
      </c>
      <c r="C161" s="131" t="s">
        <v>148</v>
      </c>
      <c r="D161" s="384">
        <f t="shared" ref="D161:AN161" si="79">1-(D155/D$51)</f>
        <v>0.3635075209284192</v>
      </c>
      <c r="E161" s="385">
        <f t="shared" si="79"/>
        <v>0.5909771739259384</v>
      </c>
      <c r="F161" s="385">
        <f t="shared" si="79"/>
        <v>0.58651893236540242</v>
      </c>
      <c r="G161" s="385">
        <f t="shared" si="79"/>
        <v>0.36073730191677544</v>
      </c>
      <c r="H161" s="385">
        <f t="shared" si="79"/>
        <v>0.54626704190196529</v>
      </c>
      <c r="I161" s="385">
        <f t="shared" si="79"/>
        <v>0.41322764150981195</v>
      </c>
      <c r="J161" s="385">
        <f t="shared" si="79"/>
        <v>0.4088134221378501</v>
      </c>
      <c r="K161" s="385">
        <f t="shared" si="79"/>
        <v>0.36284922009222864</v>
      </c>
      <c r="L161" s="385">
        <f t="shared" si="79"/>
        <v>0.25039730293516971</v>
      </c>
      <c r="M161" s="385">
        <f t="shared" si="79"/>
        <v>0.58715219771434046</v>
      </c>
      <c r="N161" s="385">
        <f t="shared" si="79"/>
        <v>0.2986486901971056</v>
      </c>
      <c r="O161" s="385">
        <f t="shared" si="79"/>
        <v>0.42349852444187486</v>
      </c>
      <c r="P161" s="385">
        <f t="shared" si="79"/>
        <v>0.57095462543440112</v>
      </c>
      <c r="Q161" s="385">
        <f t="shared" si="79"/>
        <v>0.5678048910105814</v>
      </c>
      <c r="R161" s="385">
        <f t="shared" si="79"/>
        <v>0.44204688437885276</v>
      </c>
      <c r="S161" s="385">
        <f t="shared" si="79"/>
        <v>0.54260526006147425</v>
      </c>
      <c r="T161" s="385">
        <f t="shared" si="79"/>
        <v>0.29791172242435227</v>
      </c>
      <c r="U161" s="385">
        <f t="shared" si="79"/>
        <v>0.45380713280322693</v>
      </c>
      <c r="V161" s="385">
        <f t="shared" si="79"/>
        <v>0.36819689286115675</v>
      </c>
      <c r="W161" s="385">
        <f t="shared" si="79"/>
        <v>0.3758442568085778</v>
      </c>
      <c r="X161" s="385">
        <f t="shared" si="79"/>
        <v>0.43042452748927584</v>
      </c>
      <c r="Y161" s="385">
        <f t="shared" si="79"/>
        <v>0.55275849046466363</v>
      </c>
      <c r="Z161" s="385">
        <f t="shared" si="79"/>
        <v>0.38400037297444667</v>
      </c>
      <c r="AA161" s="385">
        <f t="shared" si="79"/>
        <v>0.35139363400021484</v>
      </c>
      <c r="AB161" s="385">
        <f t="shared" si="79"/>
        <v>0.40495086961444338</v>
      </c>
      <c r="AC161" s="385">
        <f t="shared" si="79"/>
        <v>0.5325355518198871</v>
      </c>
      <c r="AD161" s="385">
        <f t="shared" si="79"/>
        <v>0.52847421556511143</v>
      </c>
      <c r="AE161" s="385">
        <f t="shared" si="79"/>
        <v>0.35347760042095977</v>
      </c>
      <c r="AF161" s="385">
        <f t="shared" si="79"/>
        <v>0.45756183655783822</v>
      </c>
      <c r="AG161" s="385">
        <f t="shared" si="79"/>
        <v>0.41566307522644907</v>
      </c>
      <c r="AH161" s="385">
        <f t="shared" si="79"/>
        <v>0.4921709913563389</v>
      </c>
      <c r="AI161" s="385">
        <f t="shared" si="79"/>
        <v>0.56483880331058423</v>
      </c>
      <c r="AJ161" s="385">
        <f t="shared" si="79"/>
        <v>0.53635365901426191</v>
      </c>
      <c r="AK161" s="385">
        <f t="shared" si="79"/>
        <v>0.51854470741460768</v>
      </c>
      <c r="AL161" s="385">
        <f t="shared" si="79"/>
        <v>0.58393600494695908</v>
      </c>
      <c r="AM161" s="385">
        <f t="shared" si="79"/>
        <v>0.53635365901426202</v>
      </c>
      <c r="AN161" s="386">
        <f t="shared" si="79"/>
        <v>0.53635365901426202</v>
      </c>
    </row>
    <row r="162" spans="1:40">
      <c r="A162" s="129"/>
      <c r="B162" s="142" t="s">
        <v>6</v>
      </c>
      <c r="C162" s="131" t="s">
        <v>148</v>
      </c>
      <c r="D162" s="384">
        <f t="shared" ref="D162:AN162" si="80">1-(D156/D$52)</f>
        <v>0.32896458284933117</v>
      </c>
      <c r="E162" s="385">
        <f t="shared" si="80"/>
        <v>0.5909771739259384</v>
      </c>
      <c r="F162" s="385">
        <f t="shared" si="80"/>
        <v>0.53931660386567448</v>
      </c>
      <c r="G162" s="385">
        <f t="shared" si="80"/>
        <v>0.32656582485837804</v>
      </c>
      <c r="H162" s="385">
        <f t="shared" si="80"/>
        <v>0.51052676484027959</v>
      </c>
      <c r="I162" s="385">
        <f t="shared" si="80"/>
        <v>0.35222261393516907</v>
      </c>
      <c r="J162" s="385">
        <f t="shared" si="80"/>
        <v>0.27128224269633716</v>
      </c>
      <c r="K162" s="385">
        <f t="shared" si="80"/>
        <v>0.36284922009222864</v>
      </c>
      <c r="L162" s="385">
        <f t="shared" si="80"/>
        <v>0.23603238995283249</v>
      </c>
      <c r="M162" s="385">
        <f t="shared" si="80"/>
        <v>0.58715219771434046</v>
      </c>
      <c r="N162" s="385">
        <f t="shared" si="80"/>
        <v>0.29840716718533034</v>
      </c>
      <c r="O162" s="385">
        <f t="shared" si="80"/>
        <v>0.32268103368483358</v>
      </c>
      <c r="P162" s="385">
        <f t="shared" si="80"/>
        <v>0.57095462543440112</v>
      </c>
      <c r="Q162" s="385">
        <f t="shared" si="80"/>
        <v>0.49325599811722587</v>
      </c>
      <c r="R162" s="385">
        <f t="shared" si="80"/>
        <v>0.44204688437885276</v>
      </c>
      <c r="S162" s="385">
        <f t="shared" si="80"/>
        <v>0.48622099864123869</v>
      </c>
      <c r="T162" s="385">
        <f t="shared" si="80"/>
        <v>0.29766505634808982</v>
      </c>
      <c r="U162" s="385">
        <f t="shared" si="80"/>
        <v>0.41675082215524528</v>
      </c>
      <c r="V162" s="385">
        <f t="shared" si="80"/>
        <v>0.36819689286115675</v>
      </c>
      <c r="W162" s="385">
        <f t="shared" si="80"/>
        <v>0.33173774038934489</v>
      </c>
      <c r="X162" s="385">
        <f t="shared" si="80"/>
        <v>0.42168950311066444</v>
      </c>
      <c r="Y162" s="385">
        <f t="shared" si="80"/>
        <v>0.54389498570277195</v>
      </c>
      <c r="Z162" s="385">
        <f t="shared" si="80"/>
        <v>0.35749932227731307</v>
      </c>
      <c r="AA162" s="385">
        <f t="shared" si="80"/>
        <v>0.33043231445229182</v>
      </c>
      <c r="AB162" s="385">
        <f t="shared" si="80"/>
        <v>0.40495086961444338</v>
      </c>
      <c r="AC162" s="385">
        <f t="shared" si="80"/>
        <v>0.51418972659536077</v>
      </c>
      <c r="AD162" s="385">
        <f t="shared" si="80"/>
        <v>0.52847421556511143</v>
      </c>
      <c r="AE162" s="385">
        <f t="shared" si="80"/>
        <v>0.33288360937269978</v>
      </c>
      <c r="AF162" s="385">
        <f t="shared" si="80"/>
        <v>0.39579577599554039</v>
      </c>
      <c r="AG162" s="385">
        <f t="shared" si="80"/>
        <v>0.40914428127870495</v>
      </c>
      <c r="AH162" s="385">
        <f t="shared" si="80"/>
        <v>0.37274756445085799</v>
      </c>
      <c r="AI162" s="385">
        <f t="shared" si="80"/>
        <v>0.56483880331058423</v>
      </c>
      <c r="AJ162" s="385">
        <f t="shared" si="80"/>
        <v>0.51458269570383264</v>
      </c>
      <c r="AK162" s="385">
        <f t="shared" si="80"/>
        <v>0.49422039131673945</v>
      </c>
      <c r="AL162" s="385">
        <f t="shared" si="80"/>
        <v>0.53561492014889178</v>
      </c>
      <c r="AM162" s="385">
        <f t="shared" si="80"/>
        <v>0.51458269570383264</v>
      </c>
      <c r="AN162" s="386">
        <f t="shared" si="80"/>
        <v>0.51458269570383264</v>
      </c>
    </row>
    <row r="163" spans="1:40">
      <c r="A163" s="121"/>
      <c r="B163" s="374" t="s">
        <v>7</v>
      </c>
      <c r="C163" s="122" t="s">
        <v>148</v>
      </c>
      <c r="D163" s="191">
        <f t="shared" ref="D163:AN163" si="81">1-(D157/D$53)</f>
        <v>0.31313546645973533</v>
      </c>
      <c r="E163" s="387">
        <f t="shared" si="81"/>
        <v>0.45570742399379116</v>
      </c>
      <c r="F163" s="387">
        <f t="shared" si="81"/>
        <v>0.38143709225230804</v>
      </c>
      <c r="G163" s="387">
        <f t="shared" si="81"/>
        <v>0.31071460352490698</v>
      </c>
      <c r="H163" s="387">
        <f t="shared" si="81"/>
        <v>0.70118769441627737</v>
      </c>
      <c r="I163" s="387">
        <f t="shared" si="81"/>
        <v>0.30884524529642243</v>
      </c>
      <c r="J163" s="387">
        <f t="shared" si="81"/>
        <v>0.29990572058064169</v>
      </c>
      <c r="K163" s="387">
        <f t="shared" si="81"/>
        <v>0.30159444759082099</v>
      </c>
      <c r="L163" s="387">
        <f t="shared" si="81"/>
        <v>0.23603238995283249</v>
      </c>
      <c r="M163" s="387">
        <f t="shared" si="81"/>
        <v>0.45043488953137456</v>
      </c>
      <c r="N163" s="387">
        <f t="shared" si="81"/>
        <v>0.27139229336229909</v>
      </c>
      <c r="O163" s="387">
        <f t="shared" si="81"/>
        <v>0.3132364244914525</v>
      </c>
      <c r="P163" s="387">
        <f t="shared" si="81"/>
        <v>0.45041952719264811</v>
      </c>
      <c r="Q163" s="387">
        <f t="shared" si="81"/>
        <v>0.29456837248176859</v>
      </c>
      <c r="R163" s="387">
        <f t="shared" si="81"/>
        <v>0.31102800695305866</v>
      </c>
      <c r="S163" s="387">
        <f t="shared" si="81"/>
        <v>0.36949350674045833</v>
      </c>
      <c r="T163" s="387">
        <f t="shared" si="81"/>
        <v>0.27073328243243944</v>
      </c>
      <c r="U163" s="387">
        <f t="shared" si="81"/>
        <v>0.39933423881075913</v>
      </c>
      <c r="V163" s="387">
        <f t="shared" si="81"/>
        <v>0.22595832511317993</v>
      </c>
      <c r="W163" s="387">
        <f t="shared" si="81"/>
        <v>0.28269474025178298</v>
      </c>
      <c r="X163" s="387">
        <f t="shared" si="81"/>
        <v>0.25186695381336421</v>
      </c>
      <c r="Y163" s="387">
        <f t="shared" si="81"/>
        <v>0.53178873961561313</v>
      </c>
      <c r="Z163" s="387">
        <f t="shared" si="81"/>
        <v>0.35592831966673366</v>
      </c>
      <c r="AA163" s="387">
        <f t="shared" si="81"/>
        <v>0.26689658957634688</v>
      </c>
      <c r="AB163" s="387">
        <f t="shared" si="81"/>
        <v>0.38882378149827612</v>
      </c>
      <c r="AC163" s="387">
        <f t="shared" si="81"/>
        <v>0.45345035892988295</v>
      </c>
      <c r="AD163" s="387">
        <f t="shared" si="81"/>
        <v>0.43037650517712589</v>
      </c>
      <c r="AE163" s="387">
        <f t="shared" si="81"/>
        <v>0.26869176497179692</v>
      </c>
      <c r="AF163" s="387">
        <f t="shared" si="81"/>
        <v>0.28780576787803469</v>
      </c>
      <c r="AG163" s="387">
        <f t="shared" si="81"/>
        <v>0.25535261484126726</v>
      </c>
      <c r="AH163" s="387">
        <f t="shared" si="81"/>
        <v>0.31353190498945516</v>
      </c>
      <c r="AI163" s="387">
        <f t="shared" si="81"/>
        <v>0.44854457108164003</v>
      </c>
      <c r="AJ163" s="387">
        <f t="shared" si="81"/>
        <v>0.45549216742091314</v>
      </c>
      <c r="AK163" s="387">
        <f t="shared" si="81"/>
        <v>0.43388096976436252</v>
      </c>
      <c r="AL163" s="387">
        <f t="shared" si="81"/>
        <v>0.37561661011223213</v>
      </c>
      <c r="AM163" s="387">
        <f t="shared" si="81"/>
        <v>0.45549216742091303</v>
      </c>
      <c r="AN163" s="388">
        <f t="shared" si="81"/>
        <v>0.45549216742091303</v>
      </c>
    </row>
    <row r="164" spans="1:40">
      <c r="A164" s="334" t="s">
        <v>281</v>
      </c>
      <c r="B164" s="359" t="s">
        <v>287</v>
      </c>
      <c r="C164" s="443" t="s">
        <v>286</v>
      </c>
      <c r="D164" s="420">
        <f>('Energy Efficiency Measures-DBT'!D$57*D$22+'Energy Efficiency Measures-DBT'!D$16*D$15+'Energy Efficiency Measures-DBT'!D$36*D$13)/D$5</f>
        <v>113.3601247048058</v>
      </c>
      <c r="E164" s="421">
        <f>('Energy Efficiency Measures-DBT'!E$57*E$22+'Energy Efficiency Measures-DBT'!E$16*E$15+'Energy Efficiency Measures-DBT'!E$36*E$13)/E$5</f>
        <v>136.97354391613129</v>
      </c>
      <c r="F164" s="421">
        <f>('Energy Efficiency Measures-DBT'!F$57*F$22+'Energy Efficiency Measures-DBT'!F$16*F$15+'Energy Efficiency Measures-DBT'!F$36*F$13)/F$5</f>
        <v>105.96263151611792</v>
      </c>
      <c r="G164" s="421">
        <f>('Energy Efficiency Measures-DBT'!G$57*G$22+'Energy Efficiency Measures-DBT'!G$16*G$15+'Energy Efficiency Measures-DBT'!G$36*G$13)/G$5</f>
        <v>110.75633276419256</v>
      </c>
      <c r="H164" s="421">
        <f>('Energy Efficiency Measures-DBT'!H$57*H$22+'Energy Efficiency Measures-DBT'!H$16*H$15+'Energy Efficiency Measures-DBT'!H$36*H$13)/H$5</f>
        <v>154.5664603020607</v>
      </c>
      <c r="I164" s="421">
        <f>('Energy Efficiency Measures-DBT'!I$57*I$22+'Energy Efficiency Measures-DBT'!I$16*I$15+'Energy Efficiency Measures-DBT'!I$36*I$13)/I$5</f>
        <v>103.80166018167679</v>
      </c>
      <c r="J164" s="421">
        <f>('Energy Efficiency Measures-DBT'!J$57*J$22+'Energy Efficiency Measures-DBT'!J$16*J$15+'Energy Efficiency Measures-DBT'!J$36*J$13)/J$5</f>
        <v>114.72928643363258</v>
      </c>
      <c r="K164" s="421">
        <f>('Energy Efficiency Measures-DBT'!K$57*K$22+'Energy Efficiency Measures-DBT'!K$16*K$15+'Energy Efficiency Measures-DBT'!K$36*K$13)/K$5</f>
        <v>110.44287289075233</v>
      </c>
      <c r="L164" s="421">
        <f>('Energy Efficiency Measures-DBT'!L$57*L$22+'Energy Efficiency Measures-DBT'!L$16*L$15+'Energy Efficiency Measures-DBT'!L$36*L$13)/L$5</f>
        <v>88.358696542999468</v>
      </c>
      <c r="M164" s="421">
        <f>('Energy Efficiency Measures-DBT'!M$57*M$22+'Energy Efficiency Measures-DBT'!M$16*M$15+'Energy Efficiency Measures-DBT'!M$36*M$13)/M$5</f>
        <v>136.80934443483713</v>
      </c>
      <c r="N164" s="421">
        <f>('Energy Efficiency Measures-DBT'!N$57*N$22+'Energy Efficiency Measures-DBT'!N$16*N$15+'Energy Efficiency Measures-DBT'!N$36*N$13)/N$5</f>
        <v>136.9827326215738</v>
      </c>
      <c r="O164" s="421">
        <f>('Energy Efficiency Measures-DBT'!O$57*O$22+'Energy Efficiency Measures-DBT'!O$16*O$15+'Energy Efficiency Measures-DBT'!O$36*O$13)/O$5</f>
        <v>134.65910857187507</v>
      </c>
      <c r="P164" s="421">
        <f>('Energy Efficiency Measures-DBT'!P$57*P$22+'Energy Efficiency Measures-DBT'!P$16*P$15+'Energy Efficiency Measures-DBT'!P$36*P$13)/P$5</f>
        <v>162.88309593544523</v>
      </c>
      <c r="Q164" s="421">
        <f>('Energy Efficiency Measures-DBT'!Q$57*Q$22+'Energy Efficiency Measures-DBT'!Q$16*Q$15+'Energy Efficiency Measures-DBT'!Q$36*Q$13)/Q$5</f>
        <v>101.96834454664868</v>
      </c>
      <c r="R164" s="421">
        <f>('Energy Efficiency Measures-DBT'!R$57*R$22+'Energy Efficiency Measures-DBT'!R$16*R$15+'Energy Efficiency Measures-DBT'!R$36*R$13)/R$5</f>
        <v>84.240281249166841</v>
      </c>
      <c r="S164" s="421">
        <f>('Energy Efficiency Measures-DBT'!S$57*S$22+'Energy Efficiency Measures-DBT'!S$16*S$15+'Energy Efficiency Measures-DBT'!S$36*S$13)/S$5</f>
        <v>126.60348916610606</v>
      </c>
      <c r="T164" s="421">
        <f>('Energy Efficiency Measures-DBT'!T$57*T$22+'Energy Efficiency Measures-DBT'!T$16*T$15+'Energy Efficiency Measures-DBT'!T$36*T$13)/T$5</f>
        <v>130.58391316691058</v>
      </c>
      <c r="U164" s="421">
        <f>('Energy Efficiency Measures-DBT'!U$57*U$22+'Energy Efficiency Measures-DBT'!U$16*U$15+'Energy Efficiency Measures-DBT'!U$36*U$13)/U$5</f>
        <v>137.7767033761767</v>
      </c>
      <c r="V164" s="421">
        <f>('Energy Efficiency Measures-DBT'!V$57*V$22+'Energy Efficiency Measures-DBT'!V$16*V$15+'Energy Efficiency Measures-DBT'!V$36*V$13)/V$5</f>
        <v>81.723900471555197</v>
      </c>
      <c r="W164" s="421">
        <f>('Energy Efficiency Measures-DBT'!W$57*W$22+'Energy Efficiency Measures-DBT'!W$16*W$15+'Energy Efficiency Measures-DBT'!W$36*W$13)/W$5</f>
        <v>141.98894339862008</v>
      </c>
      <c r="X164" s="421">
        <f>('Energy Efficiency Measures-DBT'!X$57*X$22+'Energy Efficiency Measures-DBT'!X$16*X$15+'Energy Efficiency Measures-DBT'!X$36*X$13)/X$5</f>
        <v>82.556815484258493</v>
      </c>
      <c r="Y164" s="421">
        <f>('Energy Efficiency Measures-DBT'!Y$57*Y$22+'Energy Efficiency Measures-DBT'!Y$16*Y$15+'Energy Efficiency Measures-DBT'!Y$36*Y$13)/Y$5</f>
        <v>140.43547727605352</v>
      </c>
      <c r="Z164" s="421">
        <f>('Energy Efficiency Measures-DBT'!Z$57*Z$22+'Energy Efficiency Measures-DBT'!Z$16*Z$15+'Energy Efficiency Measures-DBT'!Z$36*Z$13)/Z$5</f>
        <v>124.74567908966468</v>
      </c>
      <c r="AA164" s="421">
        <f>('Energy Efficiency Measures-DBT'!AA$57*AA$22+'Energy Efficiency Measures-DBT'!AA$16*AA$15+'Energy Efficiency Measures-DBT'!AA$36*AA$13)/AA$5</f>
        <v>119.05448516463821</v>
      </c>
      <c r="AB164" s="421">
        <f>('Energy Efficiency Measures-DBT'!AB$57*AB$22+'Energy Efficiency Measures-DBT'!AB$16*AB$15+'Energy Efficiency Measures-DBT'!AB$36*AB$13)/AB$5</f>
        <v>88.045138755203084</v>
      </c>
      <c r="AC164" s="421">
        <f>('Energy Efficiency Measures-DBT'!AC$57*AC$22+'Energy Efficiency Measures-DBT'!AC$16*AC$15+'Energy Efficiency Measures-DBT'!AC$36*AC$13)/AC$5</f>
        <v>137.61483742246207</v>
      </c>
      <c r="AD164" s="421">
        <f>('Energy Efficiency Measures-DBT'!AD$57*AD$22+'Energy Efficiency Measures-DBT'!AD$16*AD$15+'Energy Efficiency Measures-DBT'!AD$36*AD$13)/AD$5</f>
        <v>104.46612274467664</v>
      </c>
      <c r="AE164" s="421">
        <f>('Energy Efficiency Measures-DBT'!AE$57*AE$22+'Energy Efficiency Measures-DBT'!AE$16*AE$15+'Energy Efficiency Measures-DBT'!AE$36*AE$13)/AE$5</f>
        <v>120.67259514538337</v>
      </c>
      <c r="AF164" s="421">
        <f>('Energy Efficiency Measures-DBT'!AF$57*AF$22+'Energy Efficiency Measures-DBT'!AF$16*AF$15+'Energy Efficiency Measures-DBT'!AF$36*AF$13)/AF$5</f>
        <v>83.193243663780493</v>
      </c>
      <c r="AG164" s="421">
        <f>('Energy Efficiency Measures-DBT'!AG$57*AG$22+'Energy Efficiency Measures-DBT'!AG$16*AG$15+'Energy Efficiency Measures-DBT'!AG$36*AG$13)/AG$5</f>
        <v>97.38253555225748</v>
      </c>
      <c r="AH164" s="421">
        <f>('Energy Efficiency Measures-DBT'!AH$57*AH$22+'Energy Efficiency Measures-DBT'!AH$16*AH$15+'Energy Efficiency Measures-DBT'!AH$36*AH$13)/AH$5</f>
        <v>149.73916637383991</v>
      </c>
      <c r="AI164" s="421">
        <f>('Energy Efficiency Measures-DBT'!AI$57*AI$22+'Energy Efficiency Measures-DBT'!AI$16*AI$15+'Energy Efficiency Measures-DBT'!AI$36*AI$13)/AI$5</f>
        <v>84.153553923706696</v>
      </c>
      <c r="AJ164" s="421">
        <f>('Energy Efficiency Measures-DBT'!AJ$57*AJ$22+'Energy Efficiency Measures-DBT'!AJ$16*AJ$15+'Energy Efficiency Measures-DBT'!AJ$36*AJ$13)/AJ$5</f>
        <v>101.96834454664867</v>
      </c>
      <c r="AK164" s="421">
        <f>('Energy Efficiency Measures-DBT'!AK$57*AK$22+'Energy Efficiency Measures-DBT'!AK$16*AK$15+'Energy Efficiency Measures-DBT'!AK$36*AK$13)/AK$5</f>
        <v>84.153553923706696</v>
      </c>
      <c r="AL164" s="421">
        <f>('Energy Efficiency Measures-DBT'!AL$57*AL$22+'Energy Efficiency Measures-DBT'!AL$16*AL$15+'Energy Efficiency Measures-DBT'!AL$36*AL$13)/AL$5</f>
        <v>100.73296915623045</v>
      </c>
      <c r="AM164" s="421">
        <f>('Energy Efficiency Measures-DBT'!AM$57*AM$22+'Energy Efficiency Measures-DBT'!AM$16*AM$15+'Energy Efficiency Measures-DBT'!AM$36*AM$13)/AM$5</f>
        <v>101.96834454664868</v>
      </c>
      <c r="AN164" s="422">
        <f>('Energy Efficiency Measures-DBT'!AN$57*AN$22+'Energy Efficiency Measures-DBT'!AN$16*AN$15+'Energy Efficiency Measures-DBT'!AN$36*AN$13)/AN$5</f>
        <v>101.96834454664867</v>
      </c>
    </row>
    <row r="165" spans="1:40">
      <c r="A165" s="407"/>
      <c r="B165" s="347" t="s">
        <v>291</v>
      </c>
      <c r="C165" s="450" t="s">
        <v>292</v>
      </c>
      <c r="D165" s="451">
        <f t="shared" ref="D165:AN165" si="82">PMT(0.12,20,-D166,0,1)/(D41-D146)/3.6*1000</f>
        <v>44.2131399395671</v>
      </c>
      <c r="E165" s="452">
        <f t="shared" si="82"/>
        <v>43.677173729854779</v>
      </c>
      <c r="F165" s="452">
        <f t="shared" si="82"/>
        <v>37.497044241851931</v>
      </c>
      <c r="G165" s="452">
        <f t="shared" si="82"/>
        <v>45.163887665022216</v>
      </c>
      <c r="H165" s="452">
        <f t="shared" si="82"/>
        <v>135.98939690474043</v>
      </c>
      <c r="I165" s="452">
        <f t="shared" si="82"/>
        <v>56.728552127601347</v>
      </c>
      <c r="J165" s="452">
        <f t="shared" si="82"/>
        <v>32.453378074147473</v>
      </c>
      <c r="K165" s="452">
        <f t="shared" si="82"/>
        <v>88.404306745495489</v>
      </c>
      <c r="L165" s="452">
        <f t="shared" si="82"/>
        <v>73.37718140171566</v>
      </c>
      <c r="M165" s="452">
        <f t="shared" si="82"/>
        <v>57.811273418719431</v>
      </c>
      <c r="N165" s="452">
        <f t="shared" si="82"/>
        <v>77.419407236186174</v>
      </c>
      <c r="O165" s="452">
        <f t="shared" si="82"/>
        <v>37.977693997518585</v>
      </c>
      <c r="P165" s="452">
        <f t="shared" si="82"/>
        <v>64.514782633275956</v>
      </c>
      <c r="Q165" s="452">
        <f t="shared" si="82"/>
        <v>40.341776199293562</v>
      </c>
      <c r="R165" s="452">
        <f t="shared" si="82"/>
        <v>32.278101349552173</v>
      </c>
      <c r="S165" s="452">
        <f t="shared" si="82"/>
        <v>37.013810523653547</v>
      </c>
      <c r="T165" s="452">
        <f t="shared" si="82"/>
        <v>87.264743732732228</v>
      </c>
      <c r="U165" s="452">
        <f t="shared" si="82"/>
        <v>61.834816524186401</v>
      </c>
      <c r="V165" s="452">
        <f t="shared" si="82"/>
        <v>37.469691088594928</v>
      </c>
      <c r="W165" s="452">
        <f t="shared" si="82"/>
        <v>55.405531220563624</v>
      </c>
      <c r="X165" s="452">
        <f t="shared" si="82"/>
        <v>29.300673153686613</v>
      </c>
      <c r="Y165" s="452">
        <f t="shared" si="82"/>
        <v>173.50884712175838</v>
      </c>
      <c r="Z165" s="452">
        <f t="shared" si="82"/>
        <v>35.914414030647897</v>
      </c>
      <c r="AA165" s="452">
        <f t="shared" si="82"/>
        <v>77.875350553007124</v>
      </c>
      <c r="AB165" s="452">
        <f t="shared" si="82"/>
        <v>21.209367485022593</v>
      </c>
      <c r="AC165" s="452">
        <f t="shared" si="82"/>
        <v>78.210656433303825</v>
      </c>
      <c r="AD165" s="452">
        <f t="shared" si="82"/>
        <v>29.506860821856371</v>
      </c>
      <c r="AE165" s="452">
        <f t="shared" si="82"/>
        <v>80.918417544291728</v>
      </c>
      <c r="AF165" s="452">
        <f t="shared" si="82"/>
        <v>34.195214081312507</v>
      </c>
      <c r="AG165" s="452">
        <f t="shared" si="82"/>
        <v>27.431853165345146</v>
      </c>
      <c r="AH165" s="452">
        <f t="shared" si="82"/>
        <v>36.272370692810298</v>
      </c>
      <c r="AI165" s="452">
        <f t="shared" si="82"/>
        <v>34.770517463106735</v>
      </c>
      <c r="AJ165" s="452">
        <f t="shared" si="82"/>
        <v>36.209955844964298</v>
      </c>
      <c r="AK165" s="452">
        <f t="shared" si="82"/>
        <v>38.081780970310717</v>
      </c>
      <c r="AL165" s="452">
        <f t="shared" si="82"/>
        <v>36.761476472168518</v>
      </c>
      <c r="AM165" s="452">
        <f t="shared" si="82"/>
        <v>39.37681093374978</v>
      </c>
      <c r="AN165" s="453">
        <f t="shared" si="82"/>
        <v>39.37681093374978</v>
      </c>
    </row>
    <row r="166" spans="1:40">
      <c r="A166" s="404"/>
      <c r="B166" s="338" t="s">
        <v>287</v>
      </c>
      <c r="C166" s="444" t="s">
        <v>288</v>
      </c>
      <c r="D166" s="423">
        <f t="shared" ref="D166:AN166" si="83">D164*D$4</f>
        <v>11602.186884289231</v>
      </c>
      <c r="E166" s="424">
        <f t="shared" si="83"/>
        <v>14266.631156482636</v>
      </c>
      <c r="F166" s="424">
        <f t="shared" si="83"/>
        <v>5800.5502938931468</v>
      </c>
      <c r="G166" s="424">
        <f t="shared" si="83"/>
        <v>11873.277527391281</v>
      </c>
      <c r="H166" s="424">
        <f t="shared" si="83"/>
        <v>12586.571175614883</v>
      </c>
      <c r="I166" s="424">
        <f t="shared" si="83"/>
        <v>8958.7467661679257</v>
      </c>
      <c r="J166" s="424">
        <f t="shared" si="83"/>
        <v>10976.529303438838</v>
      </c>
      <c r="K166" s="424">
        <f t="shared" si="83"/>
        <v>12695.097609734106</v>
      </c>
      <c r="L166" s="424">
        <f t="shared" si="83"/>
        <v>6436.8098680497224</v>
      </c>
      <c r="M166" s="424">
        <f t="shared" si="83"/>
        <v>14086.749151081602</v>
      </c>
      <c r="N166" s="424">
        <f t="shared" si="83"/>
        <v>11631.233849519451</v>
      </c>
      <c r="O166" s="424">
        <f t="shared" si="83"/>
        <v>13274.614321955039</v>
      </c>
      <c r="P166" s="424">
        <f t="shared" si="83"/>
        <v>12851.867884710975</v>
      </c>
      <c r="Q166" s="424">
        <f t="shared" si="83"/>
        <v>5921.2815236868319</v>
      </c>
      <c r="R166" s="424">
        <f t="shared" si="83"/>
        <v>6635.4612482289431</v>
      </c>
      <c r="S166" s="424">
        <f t="shared" si="83"/>
        <v>13548.605173252683</v>
      </c>
      <c r="T166" s="424">
        <f t="shared" si="83"/>
        <v>11216.768402234793</v>
      </c>
      <c r="U166" s="424">
        <f t="shared" si="83"/>
        <v>13866.410942250021</v>
      </c>
      <c r="V166" s="424">
        <f t="shared" si="83"/>
        <v>6769.8469930337224</v>
      </c>
      <c r="W166" s="424">
        <f t="shared" si="83"/>
        <v>11209.063648772826</v>
      </c>
      <c r="X166" s="424">
        <f t="shared" si="83"/>
        <v>6724.1699856768782</v>
      </c>
      <c r="Y166" s="424">
        <f t="shared" si="83"/>
        <v>13635.194463526615</v>
      </c>
      <c r="Z166" s="424">
        <f t="shared" si="83"/>
        <v>13752.235851313615</v>
      </c>
      <c r="AA166" s="424">
        <f t="shared" si="83"/>
        <v>13022.626222305084</v>
      </c>
      <c r="AB166" s="424">
        <f t="shared" si="83"/>
        <v>7172.8769045328572</v>
      </c>
      <c r="AC166" s="424">
        <f t="shared" si="83"/>
        <v>14029.969057249262</v>
      </c>
      <c r="AD166" s="424">
        <f t="shared" si="83"/>
        <v>6354.4719678504116</v>
      </c>
      <c r="AE166" s="424">
        <f t="shared" si="83"/>
        <v>12873.001565499793</v>
      </c>
      <c r="AF166" s="424">
        <f t="shared" si="83"/>
        <v>6690.0791853816518</v>
      </c>
      <c r="AG166" s="424">
        <f t="shared" si="83"/>
        <v>7851.2299384595954</v>
      </c>
      <c r="AH166" s="424">
        <f t="shared" si="83"/>
        <v>11581.705858083227</v>
      </c>
      <c r="AI166" s="424">
        <f t="shared" si="83"/>
        <v>6639.9177326849058</v>
      </c>
      <c r="AJ166" s="424">
        <f t="shared" si="83"/>
        <v>5921.2815236868319</v>
      </c>
      <c r="AK166" s="424">
        <f t="shared" si="83"/>
        <v>6639.9177326849067</v>
      </c>
      <c r="AL166" s="424">
        <f t="shared" si="83"/>
        <v>5960.9953293865819</v>
      </c>
      <c r="AM166" s="424">
        <f t="shared" si="83"/>
        <v>5921.2815236868319</v>
      </c>
      <c r="AN166" s="425">
        <f t="shared" si="83"/>
        <v>5921.2815236868319</v>
      </c>
    </row>
    <row r="171" spans="1:40"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1:40"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1:40"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1:40"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1:40"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1:40"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="5" customFormat="1"/>
    <row r="178" s="5" customFormat="1"/>
    <row r="179" s="5" customFormat="1"/>
    <row r="180" s="5" customFormat="1"/>
    <row r="181" s="5" customFormat="1"/>
    <row r="182" s="5" customFormat="1"/>
    <row r="183" s="5" customFormat="1"/>
    <row r="184" s="5" customFormat="1"/>
    <row r="185" s="5" customFormat="1"/>
    <row r="186" s="5" customFormat="1"/>
    <row r="187" s="5" customFormat="1"/>
    <row r="188" s="5" customFormat="1"/>
    <row r="189" s="5" customFormat="1"/>
    <row r="190" s="5" customFormat="1"/>
    <row r="191" s="5" customFormat="1"/>
    <row r="192" s="5" customFormat="1"/>
    <row r="193" s="5" customFormat="1"/>
    <row r="194" s="5" customFormat="1"/>
    <row r="195" s="5" customFormat="1"/>
    <row r="196" s="5" customFormat="1"/>
    <row r="197" s="5" customFormat="1"/>
    <row r="198" s="5" customFormat="1"/>
    <row r="199" s="5" customFormat="1"/>
    <row r="200" s="5" customFormat="1"/>
    <row r="201" s="5" customFormat="1"/>
    <row r="202" s="5" customFormat="1"/>
    <row r="203" s="5" customFormat="1"/>
    <row r="204" s="5" customFormat="1"/>
    <row r="205" s="5" customFormat="1"/>
    <row r="206" s="5" customFormat="1"/>
    <row r="207" s="5" customFormat="1"/>
    <row r="208" s="5" customFormat="1"/>
    <row r="209" s="5" customFormat="1"/>
    <row r="210" s="5" customFormat="1"/>
    <row r="211" s="5" customFormat="1"/>
    <row r="212" s="5" customFormat="1"/>
    <row r="213" s="5" customFormat="1"/>
    <row r="214" s="5" customFormat="1"/>
    <row r="215" s="5" customFormat="1"/>
    <row r="216" s="5" customFormat="1"/>
    <row r="217" s="5" customFormat="1"/>
    <row r="218" s="5" customFormat="1"/>
    <row r="219" s="5" customFormat="1"/>
    <row r="220" s="5" customFormat="1"/>
    <row r="221" s="5" customFormat="1"/>
    <row r="222" s="5" customFormat="1"/>
    <row r="223" s="5" customFormat="1"/>
    <row r="224" s="5" customFormat="1"/>
    <row r="225" s="5" customFormat="1"/>
    <row r="226" s="5" customFormat="1"/>
    <row r="227" s="5" customFormat="1"/>
    <row r="228" s="5" customFormat="1"/>
    <row r="229" s="5" customFormat="1"/>
    <row r="230" s="5" customFormat="1"/>
    <row r="231" s="5" customFormat="1"/>
    <row r="232" s="5" customFormat="1"/>
    <row r="233" s="5" customFormat="1"/>
    <row r="234" s="5" customFormat="1"/>
    <row r="235" s="5" customFormat="1"/>
    <row r="236" s="5" customFormat="1"/>
    <row r="237" s="5" customFormat="1"/>
    <row r="238" s="5" customFormat="1"/>
    <row r="239" s="5" customFormat="1"/>
    <row r="240" s="5" customFormat="1"/>
    <row r="241" s="5" customFormat="1"/>
    <row r="242" s="5" customFormat="1"/>
    <row r="243" s="5" customFormat="1"/>
    <row r="244" s="5" customFormat="1"/>
    <row r="245" s="5" customFormat="1"/>
    <row r="246" s="5" customFormat="1"/>
    <row r="247" s="5" customFormat="1"/>
    <row r="248" s="5" customFormat="1"/>
    <row r="249" s="5" customFormat="1"/>
    <row r="250" s="5" customFormat="1"/>
    <row r="251" s="5" customFormat="1"/>
    <row r="252" s="5" customFormat="1"/>
    <row r="253" s="5" customFormat="1"/>
    <row r="254" s="5" customFormat="1"/>
    <row r="255" s="5" customFormat="1"/>
    <row r="256" s="5" customFormat="1"/>
    <row r="257" s="5" customFormat="1"/>
    <row r="258" s="5" customFormat="1"/>
    <row r="259" s="5" customFormat="1"/>
    <row r="260" s="5" customFormat="1"/>
    <row r="261" s="5" customFormat="1"/>
    <row r="262" s="5" customFormat="1"/>
    <row r="263" s="5" customFormat="1"/>
    <row r="264" s="5" customFormat="1"/>
    <row r="265" s="5" customFormat="1"/>
    <row r="266" s="5" customFormat="1"/>
    <row r="267" s="5" customFormat="1"/>
    <row r="268" s="5" customFormat="1"/>
    <row r="269" s="5" customFormat="1"/>
    <row r="270" s="5" customFormat="1"/>
    <row r="271" s="5" customFormat="1"/>
    <row r="272" s="5" customFormat="1"/>
    <row r="273" s="5" customFormat="1"/>
    <row r="274" s="5" customFormat="1"/>
    <row r="275" s="5" customFormat="1"/>
    <row r="276" s="5" customFormat="1"/>
    <row r="277" s="5" customFormat="1"/>
    <row r="278" s="5" customFormat="1"/>
    <row r="279" s="5" customFormat="1"/>
    <row r="280" s="5" customFormat="1"/>
    <row r="281" s="5" customFormat="1"/>
    <row r="282" s="5" customFormat="1"/>
    <row r="283" s="5" customFormat="1"/>
    <row r="284" s="5" customFormat="1"/>
    <row r="285" s="5" customFormat="1"/>
    <row r="286" s="5" customFormat="1"/>
    <row r="287" s="5" customFormat="1"/>
    <row r="288" s="5" customFormat="1"/>
    <row r="289" s="5" customFormat="1"/>
    <row r="290" s="5" customFormat="1"/>
    <row r="291" s="5" customFormat="1"/>
    <row r="292" s="5" customFormat="1"/>
    <row r="293" s="5" customFormat="1"/>
    <row r="294" s="5" customFormat="1"/>
    <row r="295" s="5" customFormat="1"/>
    <row r="296" s="5" customFormat="1"/>
    <row r="297" s="5" customFormat="1"/>
    <row r="298" s="5" customFormat="1"/>
    <row r="299" s="5" customFormat="1"/>
    <row r="300" s="5" customFormat="1"/>
    <row r="301" s="5" customFormat="1"/>
    <row r="302" s="5" customFormat="1"/>
    <row r="303" s="5" customFormat="1"/>
    <row r="304" s="5" customFormat="1"/>
    <row r="305" s="5" customFormat="1"/>
    <row r="306" s="5" customFormat="1"/>
    <row r="307" s="5" customFormat="1"/>
    <row r="308" s="5" customFormat="1"/>
    <row r="309" s="5" customFormat="1"/>
    <row r="310" s="5" customFormat="1"/>
    <row r="311" s="5" customFormat="1"/>
    <row r="312" s="5" customFormat="1"/>
    <row r="313" s="5" customFormat="1"/>
    <row r="314" s="5" customFormat="1"/>
    <row r="315" s="5" customFormat="1"/>
    <row r="316" s="5" customFormat="1"/>
    <row r="317" s="5" customFormat="1"/>
    <row r="318" s="5" customFormat="1"/>
    <row r="319" s="5" customFormat="1"/>
    <row r="320" s="5" customFormat="1"/>
    <row r="321" s="5" customFormat="1"/>
    <row r="322" s="5" customFormat="1"/>
    <row r="323" s="5" customFormat="1"/>
    <row r="324" s="5" customFormat="1"/>
    <row r="325" s="5" customFormat="1"/>
    <row r="326" s="5" customFormat="1"/>
    <row r="327" s="5" customFormat="1"/>
    <row r="328" s="5" customFormat="1"/>
    <row r="329" s="5" customFormat="1"/>
    <row r="330" s="5" customFormat="1"/>
    <row r="331" s="5" customFormat="1"/>
    <row r="332" s="5" customFormat="1"/>
    <row r="333" s="5" customFormat="1"/>
    <row r="334" s="5" customFormat="1"/>
    <row r="335" s="5" customFormat="1"/>
    <row r="336" s="5" customFormat="1" hidden="1"/>
    <row r="337" s="5" customFormat="1" hidden="1"/>
    <row r="338" s="5" customFormat="1" hidden="1"/>
    <row r="339" s="5" customFormat="1" hidden="1"/>
    <row r="340" s="5" customFormat="1" hidden="1"/>
    <row r="341" s="5" customFormat="1" hidden="1"/>
    <row r="342" s="5" customFormat="1" hidden="1"/>
    <row r="343" s="5" customFormat="1" hidden="1"/>
    <row r="344" s="5" customFormat="1" hidden="1"/>
    <row r="345" s="5" customFormat="1" hidden="1"/>
    <row r="346" s="5" customFormat="1" hidden="1"/>
    <row r="347" s="5" customFormat="1" hidden="1"/>
    <row r="348" s="5" customFormat="1" hidden="1"/>
    <row r="349" s="5" customFormat="1" hidden="1"/>
    <row r="350" s="5" customFormat="1" hidden="1"/>
    <row r="351" s="5" customFormat="1" hidden="1"/>
    <row r="352" s="5" customFormat="1" hidden="1"/>
    <row r="353" s="5" customFormat="1" hidden="1"/>
    <row r="354" s="5" customFormat="1" hidden="1"/>
    <row r="355" s="5" customFormat="1" hidden="1"/>
    <row r="356" s="5" customFormat="1" hidden="1"/>
    <row r="357" s="5" customFormat="1" hidden="1"/>
    <row r="358" s="5" customFormat="1" hidden="1"/>
    <row r="359" s="5" customFormat="1" hidden="1"/>
    <row r="360" s="5" customFormat="1" hidden="1"/>
    <row r="361" s="5" customFormat="1" hidden="1"/>
    <row r="362" s="5" customFormat="1" hidden="1"/>
    <row r="363" s="5" customFormat="1" hidden="1"/>
    <row r="364" s="5" customFormat="1" hidden="1"/>
    <row r="365" s="5" customFormat="1" hidden="1"/>
    <row r="366" s="5" customFormat="1" hidden="1"/>
    <row r="367" s="5" customFormat="1" hidden="1"/>
    <row r="368" s="5" customFormat="1" hidden="1"/>
    <row r="369" s="5" customFormat="1"/>
    <row r="370" s="5" customFormat="1"/>
    <row r="371" s="5" customFormat="1"/>
    <row r="372" s="5" customFormat="1"/>
    <row r="373" s="5" customFormat="1"/>
    <row r="374" s="5" customFormat="1"/>
    <row r="375" s="5" customFormat="1"/>
    <row r="376" s="5" customFormat="1"/>
    <row r="377" s="5" customFormat="1"/>
    <row r="378" s="5" customFormat="1"/>
    <row r="379" s="5" customFormat="1"/>
    <row r="380" s="5" customFormat="1"/>
    <row r="381" s="5" customFormat="1"/>
    <row r="382" s="5" customFormat="1"/>
    <row r="383" s="5" customFormat="1"/>
    <row r="384" s="5" customFormat="1"/>
    <row r="385" s="5" customFormat="1"/>
    <row r="386" s="5" customFormat="1"/>
    <row r="387" s="5" customFormat="1"/>
    <row r="388" s="5" customFormat="1"/>
    <row r="389" s="5" customFormat="1"/>
    <row r="390" s="5" customFormat="1"/>
    <row r="391" s="5" customFormat="1"/>
    <row r="392" s="5" customFormat="1"/>
    <row r="393" s="5" customFormat="1"/>
    <row r="394" s="5" customFormat="1"/>
    <row r="395" s="5" customFormat="1"/>
    <row r="396" s="5" customFormat="1"/>
    <row r="397" s="5" customFormat="1"/>
    <row r="398" s="5" customFormat="1"/>
    <row r="399" s="5" customFormat="1"/>
    <row r="400" s="5" customFormat="1"/>
  </sheetData>
  <mergeCells count="5">
    <mergeCell ref="A24:B24"/>
    <mergeCell ref="A61:B61"/>
    <mergeCell ref="A97:B97"/>
    <mergeCell ref="A133:B133"/>
    <mergeCell ref="A59:AN59"/>
  </mergeCell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4">
    <tabColor theme="6"/>
  </sheetPr>
  <dimension ref="A1:AN166"/>
  <sheetViews>
    <sheetView zoomScale="70" zoomScaleNormal="70" workbookViewId="0">
      <pane ySplit="2" topLeftCell="A21" activePane="bottomLeft" state="frozen"/>
      <selection activeCell="J18" sqref="J18"/>
      <selection pane="bottomLeft" activeCell="J38" sqref="J38"/>
    </sheetView>
  </sheetViews>
  <sheetFormatPr defaultColWidth="9.109375" defaultRowHeight="14.4"/>
  <cols>
    <col min="1" max="1" width="38.88671875" style="5" customWidth="1"/>
    <col min="2" max="2" width="28.88671875" style="5" bestFit="1" customWidth="1"/>
    <col min="3" max="3" width="19.109375" style="5" customWidth="1"/>
    <col min="4" max="40" width="9.33203125" style="164" customWidth="1"/>
    <col min="41" max="16384" width="9.109375" style="5"/>
  </cols>
  <sheetData>
    <row r="1" spans="1:40" ht="21">
      <c r="A1" s="3" t="s">
        <v>124</v>
      </c>
      <c r="B1" s="3" t="s">
        <v>58</v>
      </c>
      <c r="C1" s="3" t="s">
        <v>189</v>
      </c>
      <c r="D1" s="163"/>
      <c r="E1" s="163"/>
      <c r="F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U1" s="163"/>
      <c r="V1" s="163"/>
      <c r="W1" s="163"/>
      <c r="X1" s="163"/>
      <c r="Y1" s="163"/>
      <c r="Z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</row>
    <row r="2" spans="1:40">
      <c r="A2" s="344" t="s">
        <v>253</v>
      </c>
      <c r="B2" s="158"/>
      <c r="C2" s="159" t="s">
        <v>1</v>
      </c>
      <c r="D2" s="165" t="s">
        <v>88</v>
      </c>
      <c r="E2" s="165" t="s">
        <v>89</v>
      </c>
      <c r="F2" s="165" t="s">
        <v>90</v>
      </c>
      <c r="G2" s="165" t="s">
        <v>91</v>
      </c>
      <c r="H2" s="165" t="s">
        <v>92</v>
      </c>
      <c r="I2" s="165" t="s">
        <v>93</v>
      </c>
      <c r="J2" s="165" t="s">
        <v>94</v>
      </c>
      <c r="K2" s="165" t="s">
        <v>95</v>
      </c>
      <c r="L2" s="165" t="s">
        <v>96</v>
      </c>
      <c r="M2" s="165" t="s">
        <v>97</v>
      </c>
      <c r="N2" s="165" t="s">
        <v>98</v>
      </c>
      <c r="O2" s="165" t="s">
        <v>99</v>
      </c>
      <c r="P2" s="165" t="s">
        <v>205</v>
      </c>
      <c r="Q2" s="165" t="s">
        <v>118</v>
      </c>
      <c r="R2" s="165" t="s">
        <v>100</v>
      </c>
      <c r="S2" s="165" t="s">
        <v>101</v>
      </c>
      <c r="T2" s="165" t="s">
        <v>102</v>
      </c>
      <c r="U2" s="165" t="s">
        <v>103</v>
      </c>
      <c r="V2" s="165" t="s">
        <v>104</v>
      </c>
      <c r="W2" s="165" t="s">
        <v>105</v>
      </c>
      <c r="X2" s="165" t="s">
        <v>106</v>
      </c>
      <c r="Y2" s="165" t="s">
        <v>107</v>
      </c>
      <c r="Z2" s="165" t="s">
        <v>108</v>
      </c>
      <c r="AA2" s="165" t="s">
        <v>109</v>
      </c>
      <c r="AB2" s="165" t="s">
        <v>110</v>
      </c>
      <c r="AC2" s="165" t="s">
        <v>111</v>
      </c>
      <c r="AD2" s="165" t="s">
        <v>112</v>
      </c>
      <c r="AE2" s="165" t="s">
        <v>113</v>
      </c>
      <c r="AF2" s="165" t="s">
        <v>114</v>
      </c>
      <c r="AG2" s="165" t="s">
        <v>115</v>
      </c>
      <c r="AH2" s="165" t="s">
        <v>52</v>
      </c>
      <c r="AI2" s="165" t="s">
        <v>116</v>
      </c>
      <c r="AJ2" s="165" t="s">
        <v>117</v>
      </c>
      <c r="AK2" s="165" t="s">
        <v>119</v>
      </c>
      <c r="AL2" s="165" t="s">
        <v>120</v>
      </c>
      <c r="AM2" s="165" t="s">
        <v>121</v>
      </c>
      <c r="AN2" s="166" t="s">
        <v>122</v>
      </c>
    </row>
    <row r="3" spans="1:40">
      <c r="A3" s="147" t="s">
        <v>86</v>
      </c>
      <c r="B3" s="116"/>
      <c r="C3" s="117" t="s">
        <v>125</v>
      </c>
      <c r="D3" s="167" t="str">
        <f>LOOKUP(D2,'Data by dwelling type'!$A$4:$A$40,'Data by dwelling type'!$AS$4:$AS$40)</f>
        <v>20</v>
      </c>
      <c r="E3" s="168" t="str">
        <f>LOOKUP(E2,'Data by dwelling type'!$A$4:$A$40,'Data by dwelling type'!$AS$4:$AS$40)</f>
        <v>20</v>
      </c>
      <c r="F3" s="168" t="str">
        <f>LOOKUP(F2,'Data by dwelling type'!$A$4:$A$40,'Data by dwelling type'!$AS$4:$AS$40)</f>
        <v>40</v>
      </c>
      <c r="G3" s="168">
        <f>LOOKUP(G2,'Data by dwelling type'!$A$4:$A$40,'Data by dwelling type'!$AS$4:$AS$40)</f>
        <v>20</v>
      </c>
      <c r="H3" s="168">
        <f>LOOKUP(H2,'Data by dwelling type'!$A$4:$A$40,'Data by dwelling type'!$AS$4:$AS$40)</f>
        <v>20</v>
      </c>
      <c r="I3" s="168" t="str">
        <f>LOOKUP(I2,'Data by dwelling type'!$A$4:$A$40,'Data by dwelling type'!$AS$4:$AS$40)</f>
        <v>20</v>
      </c>
      <c r="J3" s="168" t="str">
        <f>LOOKUP(J2,'Data by dwelling type'!$A$4:$A$40,'Data by dwelling type'!$AS$4:$AS$40)</f>
        <v>20</v>
      </c>
      <c r="K3" s="168" t="str">
        <f>LOOKUP(K2,'Data by dwelling type'!$A$4:$A$40,'Data by dwelling type'!$AS$4:$AS$40)</f>
        <v>30</v>
      </c>
      <c r="L3" s="168">
        <f>LOOKUP(L2,'Data by dwelling type'!$A$4:$A$40,'Data by dwelling type'!$AS$4:$AS$40)</f>
        <v>20</v>
      </c>
      <c r="M3" s="168" t="str">
        <f>LOOKUP(M2,'Data by dwelling type'!$A$4:$A$40,'Data by dwelling type'!$AS$4:$AS$40)</f>
        <v>10</v>
      </c>
      <c r="N3" s="168" t="str">
        <f>LOOKUP(N2,'Data by dwelling type'!$A$4:$A$40,'Data by dwelling type'!$AS$4:$AS$40)</f>
        <v>50</v>
      </c>
      <c r="O3" s="168" t="str">
        <f>LOOKUP(O2,'Data by dwelling type'!$A$4:$A$40,'Data by dwelling type'!$AS$4:$AS$40)</f>
        <v>20</v>
      </c>
      <c r="P3" s="168" t="str">
        <f>LOOKUP(P2,'Data by dwelling type'!$A$4:$A$40,'Data by dwelling type'!$AS$4:$AS$40)</f>
        <v>10</v>
      </c>
      <c r="Q3" s="168">
        <f>LOOKUP(Q2,'Data by dwelling type'!$A$4:$A$40,'Data by dwelling type'!$AS$4:$AS$40)</f>
        <v>20</v>
      </c>
      <c r="R3" s="168">
        <f>LOOKUP(R2,'Data by dwelling type'!$A$4:$A$40,'Data by dwelling type'!$AS$4:$AS$40)</f>
        <v>20</v>
      </c>
      <c r="S3" s="168">
        <f>LOOKUP(S2,'Data by dwelling type'!$A$4:$A$40,'Data by dwelling type'!$AS$4:$AS$40)</f>
        <v>80</v>
      </c>
      <c r="T3" s="168">
        <f>LOOKUP(T2,'Data by dwelling type'!$A$4:$A$40,'Data by dwelling type'!$AS$4:$AS$40)</f>
        <v>20</v>
      </c>
      <c r="U3" s="168" t="str">
        <f>LOOKUP(U2,'Data by dwelling type'!$A$4:$A$40,'Data by dwelling type'!$AS$4:$AS$40)</f>
        <v>20</v>
      </c>
      <c r="V3" s="168" t="str">
        <f>LOOKUP(V2,'Data by dwelling type'!$A$4:$A$40,'Data by dwelling type'!$AS$4:$AS$40)</f>
        <v>20</v>
      </c>
      <c r="W3" s="168" t="str">
        <f>LOOKUP(W2,'Data by dwelling type'!$A$4:$A$40,'Data by dwelling type'!$AS$4:$AS$40)</f>
        <v>20</v>
      </c>
      <c r="X3" s="168">
        <f>LOOKUP(X2,'Data by dwelling type'!$A$4:$A$40,'Data by dwelling type'!$AS$4:$AS$40)</f>
        <v>20</v>
      </c>
      <c r="Y3" s="168">
        <f>LOOKUP(Y2,'Data by dwelling type'!$A$4:$A$40,'Data by dwelling type'!$AS$4:$AS$40)</f>
        <v>20</v>
      </c>
      <c r="Z3" s="168" t="str">
        <f>LOOKUP(Z2,'Data by dwelling type'!$A$4:$A$40,'Data by dwelling type'!$AS$4:$AS$40)</f>
        <v>20</v>
      </c>
      <c r="AA3" s="168">
        <f>LOOKUP(AA2,'Data by dwelling type'!$A$4:$A$40,'Data by dwelling type'!$AS$4:$AS$40)</f>
        <v>20</v>
      </c>
      <c r="AB3" s="168" t="str">
        <f>LOOKUP(AB2,'Data by dwelling type'!$A$4:$A$40,'Data by dwelling type'!$AS$4:$AS$40)</f>
        <v>30</v>
      </c>
      <c r="AC3" s="168">
        <f>LOOKUP(AC2,'Data by dwelling type'!$A$4:$A$40,'Data by dwelling type'!$AS$4:$AS$40)</f>
        <v>20</v>
      </c>
      <c r="AD3" s="168">
        <f>LOOKUP(AD2,'Data by dwelling type'!$A$4:$A$40,'Data by dwelling type'!$AS$4:$AS$40)</f>
        <v>80</v>
      </c>
      <c r="AE3" s="168">
        <f>LOOKUP(AE2,'Data by dwelling type'!$A$4:$A$40,'Data by dwelling type'!$AS$4:$AS$40)</f>
        <v>20</v>
      </c>
      <c r="AF3" s="168" t="str">
        <f>LOOKUP(AF2,'Data by dwelling type'!$A$4:$A$40,'Data by dwelling type'!$AS$4:$AS$40)</f>
        <v>20</v>
      </c>
      <c r="AG3" s="168" t="str">
        <f>LOOKUP(AG2,'Data by dwelling type'!$A$4:$A$40,'Data by dwelling type'!$AS$4:$AS$40)</f>
        <v>20</v>
      </c>
      <c r="AH3" s="168">
        <f>LOOKUP(AH2,'Data by dwelling type'!$A$4:$A$40,'Data by dwelling type'!$AS$4:$AS$40)</f>
        <v>80</v>
      </c>
      <c r="AI3" s="168">
        <f>LOOKUP(AI2,'Data by dwelling type'!$A$4:$A$40,'Data by dwelling type'!$AS$4:$AS$40)</f>
        <v>20</v>
      </c>
      <c r="AJ3" s="168">
        <f>LOOKUP(AJ2,'Data by dwelling type'!$A$4:$A$40,'Data by dwelling type'!$AS$4:$AS$40)</f>
        <v>20</v>
      </c>
      <c r="AK3" s="168">
        <f>LOOKUP(AK2,'Data by dwelling type'!$A$4:$A$40,'Data by dwelling type'!$AS$4:$AS$40)</f>
        <v>20</v>
      </c>
      <c r="AL3" s="168">
        <f>LOOKUP(AL2,'Data by dwelling type'!$A$4:$A$40,'Data by dwelling type'!$AS$4:$AS$40)</f>
        <v>20</v>
      </c>
      <c r="AM3" s="168">
        <f>LOOKUP(AM2,'Data by dwelling type'!$A$4:$A$40,'Data by dwelling type'!$AS$4:$AS$40)</f>
        <v>20</v>
      </c>
      <c r="AN3" s="169">
        <f>LOOKUP(AN2,'Data by dwelling type'!$A$4:$A$40,'Data by dwelling type'!$AS$4:$AS$40)</f>
        <v>20</v>
      </c>
    </row>
    <row r="4" spans="1:40">
      <c r="A4" s="161" t="s">
        <v>87</v>
      </c>
      <c r="B4" s="119"/>
      <c r="C4" s="118" t="s">
        <v>66</v>
      </c>
      <c r="D4" s="170">
        <f>LOOKUP(D2,'Data by dwelling type'!$A$4:$A$40,'Data by dwelling type'!$AH$4:$AH$40)</f>
        <v>71.566659999999999</v>
      </c>
      <c r="E4" s="171">
        <f>LOOKUP(E2,'Data by dwelling type'!$A$4:$A$40,'Data by dwelling type'!$AH$4:$AH$40)</f>
        <v>73.238457999999994</v>
      </c>
      <c r="F4" s="171">
        <f>LOOKUP(F2,'Data by dwelling type'!$A$4:$A$40,'Data by dwelling type'!$AH$4:$AH$40)</f>
        <v>64.480271000000002</v>
      </c>
      <c r="G4" s="171">
        <f>LOOKUP(G2,'Data by dwelling type'!$A$4:$A$40,'Data by dwelling type'!$AH$4:$AH$40)</f>
        <v>71.566659999999999</v>
      </c>
      <c r="H4" s="171">
        <f>LOOKUP(H2,'Data by dwelling type'!$A$4:$A$40,'Data by dwelling type'!$AH$4:$AH$40)</f>
        <v>73</v>
      </c>
      <c r="I4" s="171">
        <f>LOOKUP(I2,'Data by dwelling type'!$A$4:$A$40,'Data by dwelling type'!$AH$4:$AH$40)</f>
        <v>60.987507000000001</v>
      </c>
      <c r="J4" s="171">
        <f>LOOKUP(J2,'Data by dwelling type'!$A$4:$A$40,'Data by dwelling type'!$AH$4:$AH$40)</f>
        <v>62.708385999999997</v>
      </c>
      <c r="K4" s="171">
        <f>LOOKUP(K2,'Data by dwelling type'!$A$4:$A$40,'Data by dwelling type'!$AH$4:$AH$40)</f>
        <v>78.400000000000006</v>
      </c>
      <c r="L4" s="171">
        <f>LOOKUP(L2,'Data by dwelling type'!$A$4:$A$40,'Data by dwelling type'!$AH$4:$AH$40)</f>
        <v>47.799030999999999</v>
      </c>
      <c r="M4" s="171">
        <f>LOOKUP(M2,'Data by dwelling type'!$A$4:$A$40,'Data by dwelling type'!$AH$4:$AH$40)</f>
        <v>86.369613000000001</v>
      </c>
      <c r="N4" s="171">
        <f>LOOKUP(N2,'Data by dwelling type'!$A$4:$A$40,'Data by dwelling type'!$AH$4:$AH$40)</f>
        <v>56</v>
      </c>
      <c r="O4" s="171">
        <f>LOOKUP(O2,'Data by dwelling type'!$A$4:$A$40,'Data by dwelling type'!$AH$4:$AH$40)</f>
        <v>65.924092999999999</v>
      </c>
      <c r="P4" s="171">
        <f>LOOKUP(P2,'Data by dwelling type'!$A$4:$A$40,'Data by dwelling type'!$AH$4:$AH$40)</f>
        <v>73</v>
      </c>
      <c r="Q4" s="171">
        <f>LOOKUP(Q2,'Data by dwelling type'!$A$4:$A$40,'Data by dwelling type'!$AH$4:$AH$40)</f>
        <v>63.612324000000001</v>
      </c>
      <c r="R4" s="171">
        <f>LOOKUP(R2,'Data by dwelling type'!$A$4:$A$40,'Data by dwelling type'!$AH$4:$AH$40)</f>
        <v>46.734516999999997</v>
      </c>
      <c r="S4" s="171">
        <f>LOOKUP(S2,'Data by dwelling type'!$A$4:$A$40,'Data by dwelling type'!$AH$4:$AH$40)</f>
        <v>66.545016000000004</v>
      </c>
      <c r="T4" s="171">
        <f>LOOKUP(T2,'Data by dwelling type'!$A$4:$A$40,'Data by dwelling type'!$AH$4:$AH$40)</f>
        <v>56</v>
      </c>
      <c r="U4" s="171">
        <f>LOOKUP(U2,'Data by dwelling type'!$A$4:$A$40,'Data by dwelling type'!$AH$4:$AH$40)</f>
        <v>90.8</v>
      </c>
      <c r="V4" s="171">
        <f>LOOKUP(V2,'Data by dwelling type'!$A$4:$A$40,'Data by dwelling type'!$AH$4:$AH$40)</f>
        <v>51.561754000000001</v>
      </c>
      <c r="W4" s="171">
        <f>LOOKUP(W2,'Data by dwelling type'!$A$4:$A$40,'Data by dwelling type'!$AH$4:$AH$40)</f>
        <v>85.800105000000002</v>
      </c>
      <c r="X4" s="171">
        <f>LOOKUP(X2,'Data by dwelling type'!$A$4:$A$40,'Data by dwelling type'!$AH$4:$AH$40)</f>
        <v>51.5</v>
      </c>
      <c r="Y4" s="171">
        <f>LOOKUP(Y2,'Data by dwelling type'!$A$4:$A$40,'Data by dwelling type'!$AH$4:$AH$40)</f>
        <v>85.031452000000002</v>
      </c>
      <c r="Z4" s="171">
        <f>LOOKUP(Z2,'Data by dwelling type'!$A$4:$A$40,'Data by dwelling type'!$AH$4:$AH$40)</f>
        <v>75.8</v>
      </c>
      <c r="AA4" s="171">
        <f>LOOKUP(AA2,'Data by dwelling type'!$A$4:$A$40,'Data by dwelling type'!$AH$4:$AH$40)</f>
        <v>66.8</v>
      </c>
      <c r="AB4" s="171">
        <f>LOOKUP(AB2,'Data by dwelling type'!$A$4:$A$40,'Data by dwelling type'!$AH$4:$AH$40)</f>
        <v>52.479734999999998</v>
      </c>
      <c r="AC4" s="171">
        <f>LOOKUP(AC2,'Data by dwelling type'!$A$4:$A$40,'Data by dwelling type'!$AH$4:$AH$40)</f>
        <v>96.660163999999995</v>
      </c>
      <c r="AD4" s="171">
        <f>LOOKUP(AD2,'Data by dwelling type'!$A$4:$A$40,'Data by dwelling type'!$AH$4:$AH$40)</f>
        <v>47.950344000000001</v>
      </c>
      <c r="AE4" s="171">
        <f>LOOKUP(AE2,'Data by dwelling type'!$A$4:$A$40,'Data by dwelling type'!$AH$4:$AH$40)</f>
        <v>66.8</v>
      </c>
      <c r="AF4" s="171">
        <f>LOOKUP(AF2,'Data by dwelling type'!$A$4:$A$40,'Data by dwelling type'!$AH$4:$AH$40)</f>
        <v>51.560870999999999</v>
      </c>
      <c r="AG4" s="171">
        <f>LOOKUP(AG2,'Data by dwelling type'!$A$4:$A$40,'Data by dwelling type'!$AH$4:$AH$40)</f>
        <v>61.252890999999998</v>
      </c>
      <c r="AH4" s="171">
        <f>LOOKUP(AH2,'Data by dwelling type'!$A$4:$A$40,'Data by dwelling type'!$AH$4:$AH$40)</f>
        <v>48.41</v>
      </c>
      <c r="AI4" s="171">
        <f>LOOKUP(AI2,'Data by dwelling type'!$A$4:$A$40,'Data by dwelling type'!$AH$4:$AH$40)</f>
        <v>73</v>
      </c>
      <c r="AJ4" s="171">
        <f>LOOKUP(AJ2,'Data by dwelling type'!$A$4:$A$40,'Data by dwelling type'!$AH$4:$AH$40)</f>
        <v>63.612324000000001</v>
      </c>
      <c r="AK4" s="171">
        <f>LOOKUP(AK2,'Data by dwelling type'!$A$4:$A$40,'Data by dwelling type'!$AH$4:$AH$40)</f>
        <v>73</v>
      </c>
      <c r="AL4" s="171">
        <f>LOOKUP(AL2,'Data by dwelling type'!$A$4:$A$40,'Data by dwelling type'!$AH$4:$AH$40)</f>
        <v>63.612324000000001</v>
      </c>
      <c r="AM4" s="171">
        <f>LOOKUP(AM2,'Data by dwelling type'!$A$4:$A$40,'Data by dwelling type'!$AH$4:$AH$40)</f>
        <v>63.612324000000001</v>
      </c>
      <c r="AN4" s="172">
        <f>LOOKUP(AN2,'Data by dwelling type'!$A$4:$A$40,'Data by dwelling type'!$AH$4:$AH$40)</f>
        <v>63.612324000000001</v>
      </c>
    </row>
    <row r="5" spans="1:40">
      <c r="A5" s="152" t="s">
        <v>160</v>
      </c>
      <c r="B5" s="130"/>
      <c r="C5" s="129" t="s">
        <v>66</v>
      </c>
      <c r="D5" s="176">
        <f t="shared" ref="D5:AN5" si="0">D4*D3</f>
        <v>1431.3332</v>
      </c>
      <c r="E5" s="177">
        <f t="shared" si="0"/>
        <v>1464.7691599999998</v>
      </c>
      <c r="F5" s="177">
        <f t="shared" si="0"/>
        <v>2579.2108400000002</v>
      </c>
      <c r="G5" s="177">
        <f t="shared" si="0"/>
        <v>1431.3332</v>
      </c>
      <c r="H5" s="177">
        <f t="shared" si="0"/>
        <v>1460</v>
      </c>
      <c r="I5" s="177">
        <f t="shared" si="0"/>
        <v>1219.7501400000001</v>
      </c>
      <c r="J5" s="177">
        <f t="shared" si="0"/>
        <v>1254.1677199999999</v>
      </c>
      <c r="K5" s="177">
        <f t="shared" si="0"/>
        <v>2352</v>
      </c>
      <c r="L5" s="177">
        <f t="shared" si="0"/>
        <v>955.98062000000004</v>
      </c>
      <c r="M5" s="177">
        <f t="shared" si="0"/>
        <v>863.69613000000004</v>
      </c>
      <c r="N5" s="177">
        <f t="shared" si="0"/>
        <v>2800</v>
      </c>
      <c r="O5" s="177">
        <f t="shared" si="0"/>
        <v>1318.4818599999999</v>
      </c>
      <c r="P5" s="177">
        <f t="shared" si="0"/>
        <v>730</v>
      </c>
      <c r="Q5" s="177">
        <f t="shared" si="0"/>
        <v>1272.24648</v>
      </c>
      <c r="R5" s="177">
        <f t="shared" si="0"/>
        <v>934.69033999999988</v>
      </c>
      <c r="S5" s="177">
        <f t="shared" si="0"/>
        <v>5323.6012800000008</v>
      </c>
      <c r="T5" s="177">
        <f t="shared" si="0"/>
        <v>1120</v>
      </c>
      <c r="U5" s="177">
        <f t="shared" si="0"/>
        <v>1816</v>
      </c>
      <c r="V5" s="177">
        <f t="shared" si="0"/>
        <v>1031.2350799999999</v>
      </c>
      <c r="W5" s="177">
        <f t="shared" si="0"/>
        <v>1716.0021000000002</v>
      </c>
      <c r="X5" s="177">
        <f t="shared" si="0"/>
        <v>1030</v>
      </c>
      <c r="Y5" s="177">
        <f t="shared" si="0"/>
        <v>1700.62904</v>
      </c>
      <c r="Z5" s="177">
        <f t="shared" si="0"/>
        <v>1516</v>
      </c>
      <c r="AA5" s="177">
        <f t="shared" si="0"/>
        <v>1336</v>
      </c>
      <c r="AB5" s="177">
        <f t="shared" si="0"/>
        <v>1574.3920499999999</v>
      </c>
      <c r="AC5" s="177">
        <f t="shared" si="0"/>
        <v>1933.2032799999999</v>
      </c>
      <c r="AD5" s="177">
        <f t="shared" si="0"/>
        <v>3836.0275200000001</v>
      </c>
      <c r="AE5" s="177">
        <f t="shared" si="0"/>
        <v>1336</v>
      </c>
      <c r="AF5" s="177">
        <f t="shared" si="0"/>
        <v>1031.2174199999999</v>
      </c>
      <c r="AG5" s="177">
        <f t="shared" si="0"/>
        <v>1225.05782</v>
      </c>
      <c r="AH5" s="177">
        <f t="shared" si="0"/>
        <v>3872.7999999999997</v>
      </c>
      <c r="AI5" s="177">
        <f t="shared" si="0"/>
        <v>1460</v>
      </c>
      <c r="AJ5" s="177">
        <f t="shared" si="0"/>
        <v>1272.24648</v>
      </c>
      <c r="AK5" s="177">
        <f t="shared" si="0"/>
        <v>1460</v>
      </c>
      <c r="AL5" s="177">
        <f t="shared" si="0"/>
        <v>1272.24648</v>
      </c>
      <c r="AM5" s="177">
        <f t="shared" si="0"/>
        <v>1272.24648</v>
      </c>
      <c r="AN5" s="178">
        <f t="shared" si="0"/>
        <v>1272.24648</v>
      </c>
    </row>
    <row r="6" spans="1:40">
      <c r="A6" s="140"/>
      <c r="B6" s="132" t="s">
        <v>67</v>
      </c>
      <c r="C6" s="121" t="s">
        <v>66</v>
      </c>
      <c r="D6" s="173">
        <f t="shared" ref="D6:AN6" si="1">D9*D7*D8</f>
        <v>1431.3332000000003</v>
      </c>
      <c r="E6" s="174">
        <f t="shared" si="1"/>
        <v>1464.7691599999998</v>
      </c>
      <c r="F6" s="174">
        <f t="shared" si="1"/>
        <v>2579.2108400000002</v>
      </c>
      <c r="G6" s="174">
        <f t="shared" si="1"/>
        <v>1431.3332000000003</v>
      </c>
      <c r="H6" s="174">
        <f t="shared" si="1"/>
        <v>1460</v>
      </c>
      <c r="I6" s="174">
        <f t="shared" si="1"/>
        <v>1219.7501399999999</v>
      </c>
      <c r="J6" s="174">
        <f t="shared" si="1"/>
        <v>1254.1677199999999</v>
      </c>
      <c r="K6" s="174">
        <f t="shared" si="1"/>
        <v>2352.0000000000005</v>
      </c>
      <c r="L6" s="174">
        <f t="shared" si="1"/>
        <v>955.98062000000016</v>
      </c>
      <c r="M6" s="174">
        <f t="shared" si="1"/>
        <v>863.69612999999993</v>
      </c>
      <c r="N6" s="174">
        <f t="shared" si="1"/>
        <v>2800</v>
      </c>
      <c r="O6" s="174">
        <f t="shared" si="1"/>
        <v>1318.4818599999999</v>
      </c>
      <c r="P6" s="174">
        <f t="shared" si="1"/>
        <v>730</v>
      </c>
      <c r="Q6" s="174">
        <f t="shared" si="1"/>
        <v>1272.2464800000002</v>
      </c>
      <c r="R6" s="174">
        <f t="shared" si="1"/>
        <v>934.69033999999999</v>
      </c>
      <c r="S6" s="174">
        <f t="shared" si="1"/>
        <v>5323.6012800000008</v>
      </c>
      <c r="T6" s="174">
        <f t="shared" si="1"/>
        <v>1120</v>
      </c>
      <c r="U6" s="174">
        <f t="shared" si="1"/>
        <v>1816</v>
      </c>
      <c r="V6" s="174">
        <f t="shared" si="1"/>
        <v>1031.2350799999999</v>
      </c>
      <c r="W6" s="174">
        <f t="shared" si="1"/>
        <v>1716.0021000000004</v>
      </c>
      <c r="X6" s="174">
        <f t="shared" si="1"/>
        <v>1029.9999999999998</v>
      </c>
      <c r="Y6" s="174">
        <f t="shared" si="1"/>
        <v>1700.6290399999998</v>
      </c>
      <c r="Z6" s="174">
        <f t="shared" si="1"/>
        <v>1516</v>
      </c>
      <c r="AA6" s="174">
        <f t="shared" si="1"/>
        <v>1336</v>
      </c>
      <c r="AB6" s="174">
        <f t="shared" si="1"/>
        <v>1574.3920499999997</v>
      </c>
      <c r="AC6" s="174">
        <f t="shared" si="1"/>
        <v>1933.2032799999999</v>
      </c>
      <c r="AD6" s="174">
        <f t="shared" si="1"/>
        <v>3836.0275199999996</v>
      </c>
      <c r="AE6" s="174">
        <f t="shared" si="1"/>
        <v>1336</v>
      </c>
      <c r="AF6" s="174">
        <f t="shared" si="1"/>
        <v>1031.2174199999999</v>
      </c>
      <c r="AG6" s="174">
        <f t="shared" si="1"/>
        <v>1225.05782</v>
      </c>
      <c r="AH6" s="174">
        <f t="shared" si="1"/>
        <v>3872.7999999999997</v>
      </c>
      <c r="AI6" s="174">
        <f t="shared" si="1"/>
        <v>1460</v>
      </c>
      <c r="AJ6" s="174">
        <f t="shared" si="1"/>
        <v>1272.2464800000002</v>
      </c>
      <c r="AK6" s="174">
        <f t="shared" si="1"/>
        <v>1460</v>
      </c>
      <c r="AL6" s="174">
        <f t="shared" si="1"/>
        <v>1272.2464800000002</v>
      </c>
      <c r="AM6" s="174">
        <f t="shared" si="1"/>
        <v>1272.2464800000002</v>
      </c>
      <c r="AN6" s="175">
        <f t="shared" si="1"/>
        <v>1272.2464800000002</v>
      </c>
    </row>
    <row r="7" spans="1:40">
      <c r="A7" s="146" t="s">
        <v>83</v>
      </c>
      <c r="B7" s="124" t="s">
        <v>139</v>
      </c>
      <c r="C7" s="123" t="s">
        <v>68</v>
      </c>
      <c r="D7" s="170">
        <f>SQRT(D$5/D$9)</f>
        <v>13.375972861814576</v>
      </c>
      <c r="E7" s="171">
        <f>SQRT(E$5/E$9)</f>
        <v>13.531302413293407</v>
      </c>
      <c r="F7" s="171">
        <f>SQRT(F4*3)</f>
        <v>13.908300147753499</v>
      </c>
      <c r="G7" s="171">
        <f t="shared" ref="G7:M8" si="2">SQRT(G$5/G$9)</f>
        <v>13.375972861814576</v>
      </c>
      <c r="H7" s="171">
        <f t="shared" si="2"/>
        <v>13.509256086106296</v>
      </c>
      <c r="I7" s="171">
        <f t="shared" si="2"/>
        <v>12.347824403513357</v>
      </c>
      <c r="J7" s="171">
        <f t="shared" si="2"/>
        <v>12.520821259006935</v>
      </c>
      <c r="K7" s="171">
        <f t="shared" si="2"/>
        <v>17.146428199482248</v>
      </c>
      <c r="L7" s="171">
        <f t="shared" si="2"/>
        <v>10.931494751405227</v>
      </c>
      <c r="M7" s="171">
        <f t="shared" si="2"/>
        <v>11.997889606093231</v>
      </c>
      <c r="N7" s="171">
        <f>SQRT(N4*4)</f>
        <v>14.966629547095765</v>
      </c>
      <c r="O7" s="171">
        <f t="shared" ref="O7:R8" si="3">SQRT(O$5/O$9)</f>
        <v>12.837843763654393</v>
      </c>
      <c r="P7" s="171">
        <f t="shared" si="3"/>
        <v>11.030261405182864</v>
      </c>
      <c r="Q7" s="171">
        <f t="shared" si="3"/>
        <v>12.610741849708923</v>
      </c>
      <c r="R7" s="171">
        <f t="shared" si="3"/>
        <v>10.809083795586007</v>
      </c>
      <c r="S7" s="171">
        <f>SQRT(S4*4)</f>
        <v>16.315025712514217</v>
      </c>
      <c r="T7" s="171">
        <f t="shared" ref="T7:AA8" si="4">SQRT(T$5/T$9)</f>
        <v>11.832159566199232</v>
      </c>
      <c r="U7" s="171">
        <f t="shared" si="4"/>
        <v>15.066519173319364</v>
      </c>
      <c r="V7" s="171">
        <f t="shared" si="4"/>
        <v>11.353606695671644</v>
      </c>
      <c r="W7" s="171">
        <f t="shared" si="4"/>
        <v>14.645827477476308</v>
      </c>
      <c r="X7" s="171">
        <f t="shared" si="4"/>
        <v>11.346805717910216</v>
      </c>
      <c r="Y7" s="171">
        <f t="shared" si="4"/>
        <v>14.58007647442221</v>
      </c>
      <c r="Z7" s="171">
        <f t="shared" si="4"/>
        <v>13.765899897936205</v>
      </c>
      <c r="AA7" s="171">
        <f t="shared" si="4"/>
        <v>12.922847983320086</v>
      </c>
      <c r="AB7" s="171">
        <f>SQRT(AB4*3)</f>
        <v>12.547478033453574</v>
      </c>
      <c r="AC7" s="171">
        <f>SQRT(AC$5/AC$9)</f>
        <v>15.54510887707127</v>
      </c>
      <c r="AD7" s="171">
        <f>SQRT(AD4*4)</f>
        <v>13.849237379726004</v>
      </c>
      <c r="AE7" s="171">
        <f t="shared" ref="AE7:AN8" si="5">SQRT(AE$5/AE$9)</f>
        <v>12.922847983320086</v>
      </c>
      <c r="AF7" s="171">
        <f t="shared" si="5"/>
        <v>11.353509479451716</v>
      </c>
      <c r="AG7" s="171">
        <f t="shared" si="5"/>
        <v>12.374660702419279</v>
      </c>
      <c r="AH7" s="171">
        <f t="shared" si="5"/>
        <v>16.632154744006304</v>
      </c>
      <c r="AI7" s="171">
        <f t="shared" si="5"/>
        <v>13.509256086106296</v>
      </c>
      <c r="AJ7" s="171">
        <f t="shared" si="5"/>
        <v>12.610741849708923</v>
      </c>
      <c r="AK7" s="171">
        <f t="shared" si="5"/>
        <v>13.509256086106296</v>
      </c>
      <c r="AL7" s="171">
        <f t="shared" si="5"/>
        <v>12.610741849708923</v>
      </c>
      <c r="AM7" s="171">
        <f t="shared" si="5"/>
        <v>12.610741849708923</v>
      </c>
      <c r="AN7" s="172">
        <f t="shared" si="5"/>
        <v>12.610741849708923</v>
      </c>
    </row>
    <row r="8" spans="1:40">
      <c r="A8" s="126"/>
      <c r="B8" s="127" t="s">
        <v>140</v>
      </c>
      <c r="C8" s="126" t="s">
        <v>68</v>
      </c>
      <c r="D8" s="176">
        <f>SQRT(D$5/D$9)</f>
        <v>13.375972861814576</v>
      </c>
      <c r="E8" s="177">
        <f>SQRT(E$5/E$9)</f>
        <v>13.531302413293407</v>
      </c>
      <c r="F8" s="177">
        <f>SQRT(F4*3)*(F3/3/F9)</f>
        <v>23.180500246255832</v>
      </c>
      <c r="G8" s="177">
        <f t="shared" si="2"/>
        <v>13.375972861814576</v>
      </c>
      <c r="H8" s="177">
        <f t="shared" si="2"/>
        <v>13.509256086106296</v>
      </c>
      <c r="I8" s="177">
        <f t="shared" si="2"/>
        <v>12.347824403513357</v>
      </c>
      <c r="J8" s="177">
        <f t="shared" si="2"/>
        <v>12.520821259006935</v>
      </c>
      <c r="K8" s="177">
        <f t="shared" si="2"/>
        <v>17.146428199482248</v>
      </c>
      <c r="L8" s="177">
        <f t="shared" si="2"/>
        <v>10.931494751405227</v>
      </c>
      <c r="M8" s="177">
        <f t="shared" si="2"/>
        <v>11.997889606093231</v>
      </c>
      <c r="N8" s="177">
        <f>SQRT(N4*4)*(N3/4/N9)</f>
        <v>23.385358667337133</v>
      </c>
      <c r="O8" s="177">
        <f t="shared" si="3"/>
        <v>12.837843763654393</v>
      </c>
      <c r="P8" s="177">
        <f t="shared" si="3"/>
        <v>11.030261405182864</v>
      </c>
      <c r="Q8" s="177">
        <f t="shared" si="3"/>
        <v>12.610741849708923</v>
      </c>
      <c r="R8" s="177">
        <f t="shared" si="3"/>
        <v>10.809083795586007</v>
      </c>
      <c r="S8" s="177">
        <f>SQRT(S4*4)*(S3/4/S9)</f>
        <v>40.78756428128554</v>
      </c>
      <c r="T8" s="177">
        <f t="shared" si="4"/>
        <v>11.832159566199232</v>
      </c>
      <c r="U8" s="177">
        <f t="shared" si="4"/>
        <v>15.066519173319364</v>
      </c>
      <c r="V8" s="177">
        <f t="shared" si="4"/>
        <v>11.353606695671644</v>
      </c>
      <c r="W8" s="177">
        <f t="shared" si="4"/>
        <v>14.645827477476308</v>
      </c>
      <c r="X8" s="177">
        <f t="shared" si="4"/>
        <v>11.346805717910216</v>
      </c>
      <c r="Y8" s="177">
        <f t="shared" si="4"/>
        <v>14.58007647442221</v>
      </c>
      <c r="Z8" s="177">
        <f t="shared" si="4"/>
        <v>13.765899897936205</v>
      </c>
      <c r="AA8" s="177">
        <f t="shared" si="4"/>
        <v>12.922847983320086</v>
      </c>
      <c r="AB8" s="177">
        <f>SQRT(AB4*3)*(AB3/3/AB9)</f>
        <v>15.684347541816967</v>
      </c>
      <c r="AC8" s="177">
        <f>SQRT(AC$5/AC$9)</f>
        <v>15.54510887707127</v>
      </c>
      <c r="AD8" s="177">
        <f>SQRT(AD4*4)*(AD3/4/AD9)</f>
        <v>34.623093449315007</v>
      </c>
      <c r="AE8" s="177">
        <f t="shared" si="5"/>
        <v>12.922847983320086</v>
      </c>
      <c r="AF8" s="177">
        <f t="shared" si="5"/>
        <v>11.353509479451716</v>
      </c>
      <c r="AG8" s="177">
        <f t="shared" si="5"/>
        <v>12.374660702419279</v>
      </c>
      <c r="AH8" s="177">
        <f t="shared" si="5"/>
        <v>16.632154744006304</v>
      </c>
      <c r="AI8" s="177">
        <f t="shared" si="5"/>
        <v>13.509256086106296</v>
      </c>
      <c r="AJ8" s="177">
        <f t="shared" si="5"/>
        <v>12.610741849708923</v>
      </c>
      <c r="AK8" s="177">
        <f t="shared" si="5"/>
        <v>13.509256086106296</v>
      </c>
      <c r="AL8" s="177">
        <f t="shared" si="5"/>
        <v>12.610741849708923</v>
      </c>
      <c r="AM8" s="177">
        <f t="shared" si="5"/>
        <v>12.610741849708923</v>
      </c>
      <c r="AN8" s="178">
        <f t="shared" si="5"/>
        <v>12.610741849708923</v>
      </c>
    </row>
    <row r="9" spans="1:40">
      <c r="A9" s="126"/>
      <c r="B9" s="127" t="s">
        <v>72</v>
      </c>
      <c r="C9" s="126" t="s">
        <v>125</v>
      </c>
      <c r="D9" s="409">
        <v>8</v>
      </c>
      <c r="E9" s="180">
        <v>8</v>
      </c>
      <c r="F9" s="180">
        <v>8</v>
      </c>
      <c r="G9" s="180">
        <v>8</v>
      </c>
      <c r="H9" s="180">
        <v>8</v>
      </c>
      <c r="I9" s="180">
        <v>8</v>
      </c>
      <c r="J9" s="180">
        <v>8</v>
      </c>
      <c r="K9" s="180">
        <v>8</v>
      </c>
      <c r="L9" s="180">
        <v>8</v>
      </c>
      <c r="M9" s="180">
        <v>6</v>
      </c>
      <c r="N9" s="180">
        <v>8</v>
      </c>
      <c r="O9" s="180">
        <v>8</v>
      </c>
      <c r="P9" s="180">
        <v>6</v>
      </c>
      <c r="Q9" s="180">
        <v>8</v>
      </c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80">
        <v>8</v>
      </c>
      <c r="X9" s="180">
        <v>8</v>
      </c>
      <c r="Y9" s="180">
        <v>8</v>
      </c>
      <c r="Z9" s="180">
        <v>8</v>
      </c>
      <c r="AA9" s="180">
        <v>8</v>
      </c>
      <c r="AB9" s="180">
        <v>8</v>
      </c>
      <c r="AC9" s="180">
        <v>8</v>
      </c>
      <c r="AD9" s="180">
        <v>8</v>
      </c>
      <c r="AE9" s="180">
        <v>8</v>
      </c>
      <c r="AF9" s="180">
        <v>8</v>
      </c>
      <c r="AG9" s="180">
        <v>8</v>
      </c>
      <c r="AH9" s="180">
        <v>14</v>
      </c>
      <c r="AI9" s="180">
        <v>8</v>
      </c>
      <c r="AJ9" s="180">
        <v>8</v>
      </c>
      <c r="AK9" s="180">
        <v>8</v>
      </c>
      <c r="AL9" s="180">
        <v>8</v>
      </c>
      <c r="AM9" s="180">
        <v>8</v>
      </c>
      <c r="AN9" s="181">
        <v>8</v>
      </c>
    </row>
    <row r="10" spans="1:40">
      <c r="A10" s="126"/>
      <c r="B10" s="127" t="s">
        <v>84</v>
      </c>
      <c r="C10" s="126" t="s">
        <v>68</v>
      </c>
      <c r="D10" s="179">
        <v>3</v>
      </c>
      <c r="E10" s="177">
        <v>3</v>
      </c>
      <c r="F10" s="177">
        <v>3</v>
      </c>
      <c r="G10" s="177">
        <v>3</v>
      </c>
      <c r="H10" s="177">
        <v>3</v>
      </c>
      <c r="I10" s="177">
        <v>3</v>
      </c>
      <c r="J10" s="177">
        <v>3</v>
      </c>
      <c r="K10" s="177">
        <v>3</v>
      </c>
      <c r="L10" s="177">
        <v>3</v>
      </c>
      <c r="M10" s="177">
        <v>3</v>
      </c>
      <c r="N10" s="177">
        <v>3</v>
      </c>
      <c r="O10" s="177">
        <v>3</v>
      </c>
      <c r="P10" s="177">
        <v>3</v>
      </c>
      <c r="Q10" s="177">
        <v>3</v>
      </c>
      <c r="R10" s="177">
        <v>3</v>
      </c>
      <c r="S10" s="177">
        <v>3</v>
      </c>
      <c r="T10" s="177">
        <v>3</v>
      </c>
      <c r="U10" s="177">
        <v>3</v>
      </c>
      <c r="V10" s="177">
        <v>3</v>
      </c>
      <c r="W10" s="177">
        <v>3</v>
      </c>
      <c r="X10" s="177">
        <v>3</v>
      </c>
      <c r="Y10" s="177">
        <v>3</v>
      </c>
      <c r="Z10" s="177">
        <v>3</v>
      </c>
      <c r="AA10" s="177">
        <v>3</v>
      </c>
      <c r="AB10" s="177">
        <v>3</v>
      </c>
      <c r="AC10" s="177">
        <v>3</v>
      </c>
      <c r="AD10" s="177">
        <v>3</v>
      </c>
      <c r="AE10" s="177">
        <v>3</v>
      </c>
      <c r="AF10" s="177">
        <v>3</v>
      </c>
      <c r="AG10" s="177">
        <v>3</v>
      </c>
      <c r="AH10" s="177">
        <v>3</v>
      </c>
      <c r="AI10" s="177">
        <v>3</v>
      </c>
      <c r="AJ10" s="177">
        <v>3</v>
      </c>
      <c r="AK10" s="177">
        <v>3</v>
      </c>
      <c r="AL10" s="177">
        <v>3</v>
      </c>
      <c r="AM10" s="177">
        <v>3</v>
      </c>
      <c r="AN10" s="178">
        <v>3</v>
      </c>
    </row>
    <row r="11" spans="1:40">
      <c r="A11" s="129"/>
      <c r="B11" s="130" t="s">
        <v>161</v>
      </c>
      <c r="C11" s="129" t="s">
        <v>68</v>
      </c>
      <c r="D11" s="176">
        <f t="shared" ref="D11:AN11" si="6">D9*D10</f>
        <v>24</v>
      </c>
      <c r="E11" s="177">
        <f t="shared" si="6"/>
        <v>24</v>
      </c>
      <c r="F11" s="177">
        <f t="shared" si="6"/>
        <v>24</v>
      </c>
      <c r="G11" s="177">
        <f t="shared" si="6"/>
        <v>24</v>
      </c>
      <c r="H11" s="177">
        <f t="shared" si="6"/>
        <v>24</v>
      </c>
      <c r="I11" s="177">
        <f t="shared" si="6"/>
        <v>24</v>
      </c>
      <c r="J11" s="177">
        <f t="shared" si="6"/>
        <v>24</v>
      </c>
      <c r="K11" s="177">
        <f t="shared" si="6"/>
        <v>24</v>
      </c>
      <c r="L11" s="177">
        <f t="shared" si="6"/>
        <v>24</v>
      </c>
      <c r="M11" s="177">
        <f t="shared" si="6"/>
        <v>18</v>
      </c>
      <c r="N11" s="177">
        <f t="shared" si="6"/>
        <v>24</v>
      </c>
      <c r="O11" s="177">
        <f t="shared" si="6"/>
        <v>24</v>
      </c>
      <c r="P11" s="177">
        <f t="shared" si="6"/>
        <v>18</v>
      </c>
      <c r="Q11" s="177">
        <f t="shared" si="6"/>
        <v>24</v>
      </c>
      <c r="R11" s="177">
        <f t="shared" si="6"/>
        <v>24</v>
      </c>
      <c r="S11" s="177">
        <f t="shared" si="6"/>
        <v>24</v>
      </c>
      <c r="T11" s="177">
        <f t="shared" si="6"/>
        <v>24</v>
      </c>
      <c r="U11" s="177">
        <f t="shared" si="6"/>
        <v>24</v>
      </c>
      <c r="V11" s="177">
        <f t="shared" si="6"/>
        <v>24</v>
      </c>
      <c r="W11" s="177">
        <f t="shared" si="6"/>
        <v>24</v>
      </c>
      <c r="X11" s="177">
        <f t="shared" si="6"/>
        <v>24</v>
      </c>
      <c r="Y11" s="177">
        <f t="shared" si="6"/>
        <v>24</v>
      </c>
      <c r="Z11" s="177">
        <f t="shared" si="6"/>
        <v>24</v>
      </c>
      <c r="AA11" s="177">
        <f t="shared" si="6"/>
        <v>24</v>
      </c>
      <c r="AB11" s="177">
        <f t="shared" si="6"/>
        <v>24</v>
      </c>
      <c r="AC11" s="177">
        <f t="shared" si="6"/>
        <v>24</v>
      </c>
      <c r="AD11" s="177">
        <f t="shared" si="6"/>
        <v>24</v>
      </c>
      <c r="AE11" s="177">
        <f t="shared" si="6"/>
        <v>24</v>
      </c>
      <c r="AF11" s="177">
        <f t="shared" si="6"/>
        <v>24</v>
      </c>
      <c r="AG11" s="177">
        <f t="shared" si="6"/>
        <v>24</v>
      </c>
      <c r="AH11" s="177">
        <f t="shared" si="6"/>
        <v>42</v>
      </c>
      <c r="AI11" s="177">
        <f t="shared" si="6"/>
        <v>24</v>
      </c>
      <c r="AJ11" s="177">
        <f t="shared" si="6"/>
        <v>24</v>
      </c>
      <c r="AK11" s="177">
        <f t="shared" si="6"/>
        <v>24</v>
      </c>
      <c r="AL11" s="177">
        <f t="shared" si="6"/>
        <v>24</v>
      </c>
      <c r="AM11" s="177">
        <f t="shared" si="6"/>
        <v>24</v>
      </c>
      <c r="AN11" s="178">
        <f t="shared" si="6"/>
        <v>24</v>
      </c>
    </row>
    <row r="12" spans="1:40">
      <c r="A12" s="129"/>
      <c r="B12" s="130" t="s">
        <v>73</v>
      </c>
      <c r="C12" s="129" t="s">
        <v>66</v>
      </c>
      <c r="D12" s="176">
        <f t="shared" ref="D12:AN12" si="7">(D7*D11)*2+(D8*D11)*2</f>
        <v>1284.0933947341994</v>
      </c>
      <c r="E12" s="177">
        <f t="shared" si="7"/>
        <v>1299.0050316761672</v>
      </c>
      <c r="F12" s="177">
        <f t="shared" si="7"/>
        <v>1780.2624189124479</v>
      </c>
      <c r="G12" s="177">
        <f t="shared" si="7"/>
        <v>1284.0933947341994</v>
      </c>
      <c r="H12" s="177">
        <f t="shared" si="7"/>
        <v>1296.8885842662044</v>
      </c>
      <c r="I12" s="177">
        <f t="shared" si="7"/>
        <v>1185.3911427372823</v>
      </c>
      <c r="J12" s="177">
        <f t="shared" si="7"/>
        <v>1201.9988408646657</v>
      </c>
      <c r="K12" s="177">
        <f t="shared" si="7"/>
        <v>1646.0571071502959</v>
      </c>
      <c r="L12" s="177">
        <f t="shared" si="7"/>
        <v>1049.4234961349018</v>
      </c>
      <c r="M12" s="177">
        <f t="shared" si="7"/>
        <v>863.8480516387126</v>
      </c>
      <c r="N12" s="177">
        <f t="shared" si="7"/>
        <v>1840.8954342927791</v>
      </c>
      <c r="O12" s="177">
        <f t="shared" si="7"/>
        <v>1232.4330013108217</v>
      </c>
      <c r="P12" s="177">
        <f t="shared" si="7"/>
        <v>794.17882117316628</v>
      </c>
      <c r="Q12" s="177">
        <f t="shared" si="7"/>
        <v>1210.6312175720566</v>
      </c>
      <c r="R12" s="177">
        <f t="shared" si="7"/>
        <v>1037.6720443762567</v>
      </c>
      <c r="S12" s="177">
        <f t="shared" si="7"/>
        <v>2740.9243197023884</v>
      </c>
      <c r="T12" s="177">
        <f t="shared" si="7"/>
        <v>1135.8873183551264</v>
      </c>
      <c r="U12" s="177">
        <f t="shared" si="7"/>
        <v>1446.3858406386589</v>
      </c>
      <c r="V12" s="177">
        <f t="shared" si="7"/>
        <v>1089.9462427844778</v>
      </c>
      <c r="W12" s="177">
        <f t="shared" si="7"/>
        <v>1405.9994378377255</v>
      </c>
      <c r="X12" s="177">
        <f t="shared" si="7"/>
        <v>1089.2933489193808</v>
      </c>
      <c r="Y12" s="177">
        <f t="shared" si="7"/>
        <v>1399.687341544532</v>
      </c>
      <c r="Z12" s="177">
        <f t="shared" si="7"/>
        <v>1321.5263902018755</v>
      </c>
      <c r="AA12" s="177">
        <f t="shared" si="7"/>
        <v>1240.5934063987283</v>
      </c>
      <c r="AB12" s="177">
        <f t="shared" si="7"/>
        <v>1355.1276276129861</v>
      </c>
      <c r="AC12" s="177">
        <f t="shared" si="7"/>
        <v>1492.3304521988418</v>
      </c>
      <c r="AD12" s="177">
        <f t="shared" si="7"/>
        <v>2326.6718797939684</v>
      </c>
      <c r="AE12" s="177">
        <f t="shared" si="7"/>
        <v>1240.5934063987283</v>
      </c>
      <c r="AF12" s="177">
        <f t="shared" si="7"/>
        <v>1089.9369100273648</v>
      </c>
      <c r="AG12" s="177">
        <f t="shared" si="7"/>
        <v>1187.9674274322508</v>
      </c>
      <c r="AH12" s="177">
        <f t="shared" si="7"/>
        <v>2794.2019969930589</v>
      </c>
      <c r="AI12" s="177">
        <f t="shared" si="7"/>
        <v>1296.8885842662044</v>
      </c>
      <c r="AJ12" s="177">
        <f t="shared" si="7"/>
        <v>1210.6312175720566</v>
      </c>
      <c r="AK12" s="177">
        <f t="shared" si="7"/>
        <v>1296.8885842662044</v>
      </c>
      <c r="AL12" s="177">
        <f t="shared" si="7"/>
        <v>1210.6312175720566</v>
      </c>
      <c r="AM12" s="177">
        <f t="shared" si="7"/>
        <v>1210.6312175720566</v>
      </c>
      <c r="AN12" s="178">
        <f t="shared" si="7"/>
        <v>1210.6312175720566</v>
      </c>
    </row>
    <row r="13" spans="1:40">
      <c r="A13" s="129"/>
      <c r="B13" s="130" t="s">
        <v>77</v>
      </c>
      <c r="C13" s="129" t="s">
        <v>66</v>
      </c>
      <c r="D13" s="176">
        <f t="shared" ref="D13:AN13" si="8">D12-D22</f>
        <v>1140.0933947341994</v>
      </c>
      <c r="E13" s="177">
        <f t="shared" si="8"/>
        <v>1155.0050316761672</v>
      </c>
      <c r="F13" s="177">
        <f t="shared" si="8"/>
        <v>1492.2624189124479</v>
      </c>
      <c r="G13" s="177">
        <f t="shared" si="8"/>
        <v>1140.0933947341994</v>
      </c>
      <c r="H13" s="177">
        <f t="shared" si="8"/>
        <v>1152.8885842662044</v>
      </c>
      <c r="I13" s="177">
        <f t="shared" si="8"/>
        <v>1041.3911427372823</v>
      </c>
      <c r="J13" s="177">
        <f t="shared" si="8"/>
        <v>1057.9988408646657</v>
      </c>
      <c r="K13" s="177">
        <f t="shared" si="8"/>
        <v>1430.0571071502959</v>
      </c>
      <c r="L13" s="177">
        <f t="shared" si="8"/>
        <v>905.42349613490182</v>
      </c>
      <c r="M13" s="177">
        <f t="shared" si="8"/>
        <v>791.8480516387126</v>
      </c>
      <c r="N13" s="177">
        <f t="shared" si="8"/>
        <v>1480.8954342927791</v>
      </c>
      <c r="O13" s="177">
        <f t="shared" si="8"/>
        <v>1088.4330013108217</v>
      </c>
      <c r="P13" s="177">
        <f t="shared" si="8"/>
        <v>722.17882117316628</v>
      </c>
      <c r="Q13" s="177">
        <f t="shared" si="8"/>
        <v>1066.6312175720566</v>
      </c>
      <c r="R13" s="177">
        <f t="shared" si="8"/>
        <v>893.67204437625674</v>
      </c>
      <c r="S13" s="177">
        <f t="shared" si="8"/>
        <v>2164.9243197023884</v>
      </c>
      <c r="T13" s="177">
        <f t="shared" si="8"/>
        <v>991.88731835512635</v>
      </c>
      <c r="U13" s="177">
        <f t="shared" si="8"/>
        <v>1302.3858406386589</v>
      </c>
      <c r="V13" s="177">
        <f t="shared" si="8"/>
        <v>945.94624278447782</v>
      </c>
      <c r="W13" s="177">
        <f t="shared" si="8"/>
        <v>1261.9994378377255</v>
      </c>
      <c r="X13" s="177">
        <f t="shared" si="8"/>
        <v>945.29334891938083</v>
      </c>
      <c r="Y13" s="177">
        <f t="shared" si="8"/>
        <v>1255.687341544532</v>
      </c>
      <c r="Z13" s="177">
        <f t="shared" si="8"/>
        <v>1177.5263902018755</v>
      </c>
      <c r="AA13" s="177">
        <f t="shared" si="8"/>
        <v>1096.5934063987283</v>
      </c>
      <c r="AB13" s="177">
        <f t="shared" si="8"/>
        <v>1139.1276276129861</v>
      </c>
      <c r="AC13" s="177">
        <f t="shared" si="8"/>
        <v>1348.3304521988418</v>
      </c>
      <c r="AD13" s="177">
        <f t="shared" si="8"/>
        <v>1750.6718797939684</v>
      </c>
      <c r="AE13" s="177">
        <f t="shared" si="8"/>
        <v>1096.5934063987283</v>
      </c>
      <c r="AF13" s="177">
        <f t="shared" si="8"/>
        <v>945.93691002736477</v>
      </c>
      <c r="AG13" s="177">
        <f t="shared" si="8"/>
        <v>1043.9674274322508</v>
      </c>
      <c r="AH13" s="177">
        <f t="shared" si="8"/>
        <v>2218.2019969930589</v>
      </c>
      <c r="AI13" s="177">
        <f t="shared" si="8"/>
        <v>1152.8885842662044</v>
      </c>
      <c r="AJ13" s="177">
        <f t="shared" si="8"/>
        <v>1066.6312175720566</v>
      </c>
      <c r="AK13" s="177">
        <f t="shared" si="8"/>
        <v>1152.8885842662044</v>
      </c>
      <c r="AL13" s="177">
        <f t="shared" si="8"/>
        <v>1066.6312175720566</v>
      </c>
      <c r="AM13" s="177">
        <f t="shared" si="8"/>
        <v>1066.6312175720566</v>
      </c>
      <c r="AN13" s="178">
        <f t="shared" si="8"/>
        <v>1066.6312175720566</v>
      </c>
    </row>
    <row r="14" spans="1:40">
      <c r="A14" s="126"/>
      <c r="B14" s="127" t="s">
        <v>137</v>
      </c>
      <c r="C14" s="126"/>
      <c r="D14" s="176">
        <v>1.2</v>
      </c>
      <c r="E14" s="177">
        <v>1.2</v>
      </c>
      <c r="F14" s="177">
        <v>1.2</v>
      </c>
      <c r="G14" s="177">
        <v>1.2</v>
      </c>
      <c r="H14" s="177">
        <v>1.2</v>
      </c>
      <c r="I14" s="177">
        <v>1.2</v>
      </c>
      <c r="J14" s="177">
        <v>1.2</v>
      </c>
      <c r="K14" s="177">
        <v>1.2</v>
      </c>
      <c r="L14" s="177">
        <v>1.2</v>
      </c>
      <c r="M14" s="177">
        <v>1.2</v>
      </c>
      <c r="N14" s="177">
        <v>1.2</v>
      </c>
      <c r="O14" s="177">
        <v>1.2</v>
      </c>
      <c r="P14" s="177">
        <v>1.2</v>
      </c>
      <c r="Q14" s="177">
        <v>1.2</v>
      </c>
      <c r="R14" s="177">
        <v>1.2</v>
      </c>
      <c r="S14" s="177">
        <v>1.2</v>
      </c>
      <c r="T14" s="177">
        <v>1.2</v>
      </c>
      <c r="U14" s="177">
        <v>1.2</v>
      </c>
      <c r="V14" s="177">
        <v>1.2</v>
      </c>
      <c r="W14" s="177">
        <v>1.2</v>
      </c>
      <c r="X14" s="177">
        <v>1.2</v>
      </c>
      <c r="Y14" s="177">
        <v>1.2</v>
      </c>
      <c r="Z14" s="177">
        <v>1.2</v>
      </c>
      <c r="AA14" s="177">
        <v>1.2</v>
      </c>
      <c r="AB14" s="177">
        <v>1.2</v>
      </c>
      <c r="AC14" s="177">
        <v>1.2</v>
      </c>
      <c r="AD14" s="177">
        <v>1.2</v>
      </c>
      <c r="AE14" s="177">
        <v>1.2</v>
      </c>
      <c r="AF14" s="177">
        <v>1.2</v>
      </c>
      <c r="AG14" s="177">
        <v>1.2</v>
      </c>
      <c r="AH14" s="177">
        <v>1.2</v>
      </c>
      <c r="AI14" s="177">
        <v>1.2</v>
      </c>
      <c r="AJ14" s="177">
        <v>1.2</v>
      </c>
      <c r="AK14" s="177">
        <v>1.2</v>
      </c>
      <c r="AL14" s="177">
        <v>1.2</v>
      </c>
      <c r="AM14" s="177">
        <v>1.2</v>
      </c>
      <c r="AN14" s="178">
        <v>1.2</v>
      </c>
    </row>
    <row r="15" spans="1:40">
      <c r="A15" s="129"/>
      <c r="B15" s="130" t="s">
        <v>74</v>
      </c>
      <c r="C15" s="129" t="s">
        <v>66</v>
      </c>
      <c r="D15" s="176">
        <f t="shared" ref="D15:AN15" si="9">D7*D8*D14</f>
        <v>214.69998000000004</v>
      </c>
      <c r="E15" s="177">
        <f t="shared" si="9"/>
        <v>219.71537399999997</v>
      </c>
      <c r="F15" s="177">
        <f t="shared" si="9"/>
        <v>386.88162600000004</v>
      </c>
      <c r="G15" s="177">
        <f t="shared" si="9"/>
        <v>214.69998000000004</v>
      </c>
      <c r="H15" s="177">
        <f t="shared" si="9"/>
        <v>219</v>
      </c>
      <c r="I15" s="177">
        <f t="shared" si="9"/>
        <v>182.96252099999998</v>
      </c>
      <c r="J15" s="177">
        <f t="shared" si="9"/>
        <v>188.12515799999997</v>
      </c>
      <c r="K15" s="177">
        <f t="shared" si="9"/>
        <v>352.80000000000007</v>
      </c>
      <c r="L15" s="177">
        <f t="shared" si="9"/>
        <v>143.39709300000001</v>
      </c>
      <c r="M15" s="177">
        <f t="shared" si="9"/>
        <v>172.739226</v>
      </c>
      <c r="N15" s="177">
        <f t="shared" si="9"/>
        <v>420</v>
      </c>
      <c r="O15" s="177">
        <f t="shared" si="9"/>
        <v>197.77227899999997</v>
      </c>
      <c r="P15" s="177">
        <f t="shared" si="9"/>
        <v>145.99999999999997</v>
      </c>
      <c r="Q15" s="177">
        <f t="shared" si="9"/>
        <v>190.83697200000003</v>
      </c>
      <c r="R15" s="177">
        <f t="shared" si="9"/>
        <v>140.203551</v>
      </c>
      <c r="S15" s="177">
        <f t="shared" si="9"/>
        <v>798.54019200000005</v>
      </c>
      <c r="T15" s="177">
        <f t="shared" si="9"/>
        <v>168</v>
      </c>
      <c r="U15" s="177">
        <f t="shared" si="9"/>
        <v>272.39999999999998</v>
      </c>
      <c r="V15" s="177">
        <f t="shared" si="9"/>
        <v>154.68526199999999</v>
      </c>
      <c r="W15" s="177">
        <f t="shared" si="9"/>
        <v>257.40031500000003</v>
      </c>
      <c r="X15" s="177">
        <f t="shared" si="9"/>
        <v>154.49999999999997</v>
      </c>
      <c r="Y15" s="177">
        <f t="shared" si="9"/>
        <v>255.09435599999995</v>
      </c>
      <c r="Z15" s="177">
        <f t="shared" si="9"/>
        <v>227.4</v>
      </c>
      <c r="AA15" s="177">
        <f t="shared" si="9"/>
        <v>200.4</v>
      </c>
      <c r="AB15" s="177">
        <f t="shared" si="9"/>
        <v>236.15880749999994</v>
      </c>
      <c r="AC15" s="177">
        <f t="shared" si="9"/>
        <v>289.98049199999997</v>
      </c>
      <c r="AD15" s="177">
        <f t="shared" si="9"/>
        <v>575.4041279999999</v>
      </c>
      <c r="AE15" s="177">
        <f t="shared" si="9"/>
        <v>200.4</v>
      </c>
      <c r="AF15" s="177">
        <f t="shared" si="9"/>
        <v>154.68261299999998</v>
      </c>
      <c r="AG15" s="177">
        <f t="shared" si="9"/>
        <v>183.75867299999999</v>
      </c>
      <c r="AH15" s="177">
        <f t="shared" si="9"/>
        <v>331.95428571428562</v>
      </c>
      <c r="AI15" s="177">
        <f t="shared" si="9"/>
        <v>219</v>
      </c>
      <c r="AJ15" s="177">
        <f t="shared" si="9"/>
        <v>190.83697200000003</v>
      </c>
      <c r="AK15" s="177">
        <f t="shared" si="9"/>
        <v>219</v>
      </c>
      <c r="AL15" s="177">
        <f t="shared" si="9"/>
        <v>190.83697200000003</v>
      </c>
      <c r="AM15" s="177">
        <f t="shared" si="9"/>
        <v>190.83697200000003</v>
      </c>
      <c r="AN15" s="178">
        <f t="shared" si="9"/>
        <v>190.83697200000003</v>
      </c>
    </row>
    <row r="16" spans="1:40">
      <c r="A16" s="129"/>
      <c r="B16" s="130" t="s">
        <v>71</v>
      </c>
      <c r="C16" s="129" t="s">
        <v>66</v>
      </c>
      <c r="D16" s="176">
        <f t="shared" ref="D16:AN16" si="10">D15</f>
        <v>214.69998000000004</v>
      </c>
      <c r="E16" s="177">
        <f t="shared" si="10"/>
        <v>219.71537399999997</v>
      </c>
      <c r="F16" s="177">
        <f t="shared" si="10"/>
        <v>386.88162600000004</v>
      </c>
      <c r="G16" s="177">
        <f t="shared" si="10"/>
        <v>214.69998000000004</v>
      </c>
      <c r="H16" s="177">
        <f t="shared" si="10"/>
        <v>219</v>
      </c>
      <c r="I16" s="177">
        <f t="shared" si="10"/>
        <v>182.96252099999998</v>
      </c>
      <c r="J16" s="177">
        <f t="shared" si="10"/>
        <v>188.12515799999997</v>
      </c>
      <c r="K16" s="177">
        <f t="shared" si="10"/>
        <v>352.80000000000007</v>
      </c>
      <c r="L16" s="177">
        <f t="shared" si="10"/>
        <v>143.39709300000001</v>
      </c>
      <c r="M16" s="177">
        <f t="shared" si="10"/>
        <v>172.739226</v>
      </c>
      <c r="N16" s="177">
        <f t="shared" si="10"/>
        <v>420</v>
      </c>
      <c r="O16" s="177">
        <f t="shared" si="10"/>
        <v>197.77227899999997</v>
      </c>
      <c r="P16" s="177">
        <f t="shared" si="10"/>
        <v>145.99999999999997</v>
      </c>
      <c r="Q16" s="177">
        <f t="shared" si="10"/>
        <v>190.83697200000003</v>
      </c>
      <c r="R16" s="177">
        <f t="shared" si="10"/>
        <v>140.203551</v>
      </c>
      <c r="S16" s="177">
        <f t="shared" si="10"/>
        <v>798.54019200000005</v>
      </c>
      <c r="T16" s="177">
        <f t="shared" si="10"/>
        <v>168</v>
      </c>
      <c r="U16" s="177">
        <f t="shared" si="10"/>
        <v>272.39999999999998</v>
      </c>
      <c r="V16" s="177">
        <f t="shared" si="10"/>
        <v>154.68526199999999</v>
      </c>
      <c r="W16" s="177">
        <f t="shared" si="10"/>
        <v>257.40031500000003</v>
      </c>
      <c r="X16" s="177">
        <f t="shared" si="10"/>
        <v>154.49999999999997</v>
      </c>
      <c r="Y16" s="177">
        <f t="shared" si="10"/>
        <v>255.09435599999995</v>
      </c>
      <c r="Z16" s="177">
        <f t="shared" si="10"/>
        <v>227.4</v>
      </c>
      <c r="AA16" s="177">
        <f t="shared" si="10"/>
        <v>200.4</v>
      </c>
      <c r="AB16" s="177">
        <f t="shared" si="10"/>
        <v>236.15880749999994</v>
      </c>
      <c r="AC16" s="177">
        <f t="shared" si="10"/>
        <v>289.98049199999997</v>
      </c>
      <c r="AD16" s="177">
        <f t="shared" si="10"/>
        <v>575.4041279999999</v>
      </c>
      <c r="AE16" s="177">
        <f t="shared" si="10"/>
        <v>200.4</v>
      </c>
      <c r="AF16" s="177">
        <f t="shared" si="10"/>
        <v>154.68261299999998</v>
      </c>
      <c r="AG16" s="177">
        <f t="shared" si="10"/>
        <v>183.75867299999999</v>
      </c>
      <c r="AH16" s="177">
        <f t="shared" si="10"/>
        <v>331.95428571428562</v>
      </c>
      <c r="AI16" s="177">
        <f t="shared" si="10"/>
        <v>219</v>
      </c>
      <c r="AJ16" s="177">
        <f t="shared" si="10"/>
        <v>190.83697200000003</v>
      </c>
      <c r="AK16" s="177">
        <f t="shared" si="10"/>
        <v>219</v>
      </c>
      <c r="AL16" s="177">
        <f t="shared" si="10"/>
        <v>190.83697200000003</v>
      </c>
      <c r="AM16" s="177">
        <f t="shared" si="10"/>
        <v>190.83697200000003</v>
      </c>
      <c r="AN16" s="178">
        <f t="shared" si="10"/>
        <v>190.83697200000003</v>
      </c>
    </row>
    <row r="17" spans="1:40">
      <c r="A17" s="129"/>
      <c r="B17" s="130" t="s">
        <v>138</v>
      </c>
      <c r="C17" s="129" t="s">
        <v>66</v>
      </c>
      <c r="D17" s="176">
        <f t="shared" ref="D17:AN17" si="11">SUM(D15:D16,D13)</f>
        <v>1569.4933547341993</v>
      </c>
      <c r="E17" s="177">
        <f t="shared" si="11"/>
        <v>1594.4357796761672</v>
      </c>
      <c r="F17" s="177">
        <f>SUM(F15:F16,F13)</f>
        <v>2266.0256709124478</v>
      </c>
      <c r="G17" s="177">
        <f t="shared" si="11"/>
        <v>1569.4933547341993</v>
      </c>
      <c r="H17" s="177">
        <f t="shared" si="11"/>
        <v>1590.8885842662044</v>
      </c>
      <c r="I17" s="177">
        <f t="shared" si="11"/>
        <v>1407.3161847372821</v>
      </c>
      <c r="J17" s="177">
        <f t="shared" si="11"/>
        <v>1434.2491568646656</v>
      </c>
      <c r="K17" s="177">
        <f t="shared" si="11"/>
        <v>2135.6571071502958</v>
      </c>
      <c r="L17" s="177">
        <f t="shared" si="11"/>
        <v>1192.2176821349019</v>
      </c>
      <c r="M17" s="177">
        <f t="shared" si="11"/>
        <v>1137.3265036387127</v>
      </c>
      <c r="N17" s="177">
        <f t="shared" si="11"/>
        <v>2320.8954342927791</v>
      </c>
      <c r="O17" s="177">
        <f t="shared" si="11"/>
        <v>1483.9775593108216</v>
      </c>
      <c r="P17" s="177">
        <f t="shared" si="11"/>
        <v>1014.1788211731662</v>
      </c>
      <c r="Q17" s="177">
        <f t="shared" si="11"/>
        <v>1448.3051615720567</v>
      </c>
      <c r="R17" s="177">
        <f t="shared" si="11"/>
        <v>1174.0791463762566</v>
      </c>
      <c r="S17" s="177">
        <f t="shared" si="11"/>
        <v>3762.0047037023887</v>
      </c>
      <c r="T17" s="177">
        <f t="shared" si="11"/>
        <v>1327.8873183551264</v>
      </c>
      <c r="U17" s="177">
        <f t="shared" si="11"/>
        <v>1847.1858406386589</v>
      </c>
      <c r="V17" s="177">
        <f t="shared" si="11"/>
        <v>1255.3167667844777</v>
      </c>
      <c r="W17" s="177">
        <f t="shared" si="11"/>
        <v>1776.8000678377257</v>
      </c>
      <c r="X17" s="177">
        <f t="shared" si="11"/>
        <v>1254.2933489193808</v>
      </c>
      <c r="Y17" s="177">
        <f t="shared" si="11"/>
        <v>1765.8760535445319</v>
      </c>
      <c r="Z17" s="177">
        <f t="shared" si="11"/>
        <v>1632.3263902018755</v>
      </c>
      <c r="AA17" s="177">
        <f t="shared" si="11"/>
        <v>1497.3934063987283</v>
      </c>
      <c r="AB17" s="177">
        <f t="shared" si="11"/>
        <v>1611.445242612986</v>
      </c>
      <c r="AC17" s="177">
        <f t="shared" si="11"/>
        <v>1928.2914361988419</v>
      </c>
      <c r="AD17" s="177">
        <f t="shared" si="11"/>
        <v>2901.4801357939682</v>
      </c>
      <c r="AE17" s="177">
        <f t="shared" si="11"/>
        <v>1497.3934063987283</v>
      </c>
      <c r="AF17" s="177">
        <f t="shared" si="11"/>
        <v>1255.3021360273647</v>
      </c>
      <c r="AG17" s="177">
        <f t="shared" si="11"/>
        <v>1411.4847734322507</v>
      </c>
      <c r="AH17" s="177">
        <f t="shared" si="11"/>
        <v>2882.11056842163</v>
      </c>
      <c r="AI17" s="177">
        <f t="shared" si="11"/>
        <v>1590.8885842662044</v>
      </c>
      <c r="AJ17" s="177">
        <f t="shared" si="11"/>
        <v>1448.3051615720567</v>
      </c>
      <c r="AK17" s="177">
        <f t="shared" si="11"/>
        <v>1590.8885842662044</v>
      </c>
      <c r="AL17" s="177">
        <f t="shared" si="11"/>
        <v>1448.3051615720567</v>
      </c>
      <c r="AM17" s="177">
        <f t="shared" si="11"/>
        <v>1448.3051615720567</v>
      </c>
      <c r="AN17" s="178">
        <f t="shared" si="11"/>
        <v>1448.3051615720567</v>
      </c>
    </row>
    <row r="18" spans="1:40">
      <c r="A18" s="121"/>
      <c r="B18" s="132" t="s">
        <v>75</v>
      </c>
      <c r="C18" s="121" t="s">
        <v>69</v>
      </c>
      <c r="D18" s="173">
        <f t="shared" ref="D18:AN18" si="12">D7*D8*D11</f>
        <v>4293.999600000001</v>
      </c>
      <c r="E18" s="174">
        <f t="shared" si="12"/>
        <v>4394.3074799999995</v>
      </c>
      <c r="F18" s="174">
        <f t="shared" si="12"/>
        <v>7737.632520000001</v>
      </c>
      <c r="G18" s="174">
        <f t="shared" si="12"/>
        <v>4293.999600000001</v>
      </c>
      <c r="H18" s="174">
        <f t="shared" si="12"/>
        <v>4380</v>
      </c>
      <c r="I18" s="174">
        <f t="shared" si="12"/>
        <v>3659.2504199999994</v>
      </c>
      <c r="J18" s="174">
        <f t="shared" si="12"/>
        <v>3762.5031599999998</v>
      </c>
      <c r="K18" s="174">
        <f t="shared" si="12"/>
        <v>7056.0000000000018</v>
      </c>
      <c r="L18" s="174">
        <f t="shared" si="12"/>
        <v>2867.9418600000004</v>
      </c>
      <c r="M18" s="174">
        <f t="shared" si="12"/>
        <v>2591.0883899999999</v>
      </c>
      <c r="N18" s="174">
        <f t="shared" si="12"/>
        <v>8400</v>
      </c>
      <c r="O18" s="174">
        <f t="shared" si="12"/>
        <v>3955.4455799999996</v>
      </c>
      <c r="P18" s="174">
        <f t="shared" si="12"/>
        <v>2190</v>
      </c>
      <c r="Q18" s="174">
        <f t="shared" si="12"/>
        <v>3816.7394400000007</v>
      </c>
      <c r="R18" s="174">
        <f t="shared" si="12"/>
        <v>2804.0710199999999</v>
      </c>
      <c r="S18" s="174">
        <f t="shared" si="12"/>
        <v>15970.803840000002</v>
      </c>
      <c r="T18" s="174">
        <f t="shared" si="12"/>
        <v>3360</v>
      </c>
      <c r="U18" s="174">
        <f t="shared" si="12"/>
        <v>5448</v>
      </c>
      <c r="V18" s="174">
        <f t="shared" si="12"/>
        <v>3093.7052399999998</v>
      </c>
      <c r="W18" s="174">
        <f t="shared" si="12"/>
        <v>5148.0063000000009</v>
      </c>
      <c r="X18" s="174">
        <f t="shared" si="12"/>
        <v>3089.9999999999991</v>
      </c>
      <c r="Y18" s="174">
        <f t="shared" si="12"/>
        <v>5101.8871199999994</v>
      </c>
      <c r="Z18" s="174">
        <f t="shared" si="12"/>
        <v>4548</v>
      </c>
      <c r="AA18" s="174">
        <f t="shared" si="12"/>
        <v>4008</v>
      </c>
      <c r="AB18" s="174">
        <f t="shared" si="12"/>
        <v>4723.1761499999993</v>
      </c>
      <c r="AC18" s="174">
        <f t="shared" si="12"/>
        <v>5799.6098400000001</v>
      </c>
      <c r="AD18" s="174">
        <f t="shared" si="12"/>
        <v>11508.082559999999</v>
      </c>
      <c r="AE18" s="174">
        <f t="shared" si="12"/>
        <v>4008</v>
      </c>
      <c r="AF18" s="174">
        <f t="shared" si="12"/>
        <v>3093.6522599999998</v>
      </c>
      <c r="AG18" s="174">
        <f t="shared" si="12"/>
        <v>3675.17346</v>
      </c>
      <c r="AH18" s="174">
        <f t="shared" si="12"/>
        <v>11618.399999999998</v>
      </c>
      <c r="AI18" s="174">
        <f t="shared" si="12"/>
        <v>4380</v>
      </c>
      <c r="AJ18" s="174">
        <f t="shared" si="12"/>
        <v>3816.7394400000007</v>
      </c>
      <c r="AK18" s="174">
        <f t="shared" si="12"/>
        <v>4380</v>
      </c>
      <c r="AL18" s="174">
        <f t="shared" si="12"/>
        <v>3816.7394400000007</v>
      </c>
      <c r="AM18" s="174">
        <f t="shared" si="12"/>
        <v>3816.7394400000007</v>
      </c>
      <c r="AN18" s="175">
        <f t="shared" si="12"/>
        <v>3816.7394400000007</v>
      </c>
    </row>
    <row r="19" spans="1:40">
      <c r="A19" s="203" t="s">
        <v>70</v>
      </c>
      <c r="B19" s="133"/>
      <c r="C19" s="134" t="s">
        <v>76</v>
      </c>
      <c r="D19" s="184">
        <f t="shared" ref="D19:AN19" si="13">(D17+D22)/D18</f>
        <v>0.39904366892213938</v>
      </c>
      <c r="E19" s="185">
        <f t="shared" si="13"/>
        <v>0.39561086418926866</v>
      </c>
      <c r="F19" s="185">
        <f t="shared" si="13"/>
        <v>0.33007843992472874</v>
      </c>
      <c r="G19" s="185">
        <f t="shared" si="13"/>
        <v>0.39904366892213938</v>
      </c>
      <c r="H19" s="185">
        <f t="shared" si="13"/>
        <v>0.3960932840790421</v>
      </c>
      <c r="I19" s="185">
        <f t="shared" si="13"/>
        <v>0.42394370613675636</v>
      </c>
      <c r="J19" s="185">
        <f t="shared" si="13"/>
        <v>0.41946786215181958</v>
      </c>
      <c r="K19" s="185">
        <f t="shared" si="13"/>
        <v>0.33328473740792164</v>
      </c>
      <c r="L19" s="185">
        <f t="shared" si="13"/>
        <v>0.46591519192613678</v>
      </c>
      <c r="M19" s="185">
        <f t="shared" si="13"/>
        <v>0.46672529903108118</v>
      </c>
      <c r="N19" s="185">
        <f t="shared" si="13"/>
        <v>0.31915421836818797</v>
      </c>
      <c r="O19" s="185">
        <f t="shared" si="13"/>
        <v>0.41157880354678567</v>
      </c>
      <c r="P19" s="185">
        <f t="shared" si="13"/>
        <v>0.49597206446263298</v>
      </c>
      <c r="Q19" s="185">
        <f t="shared" si="13"/>
        <v>0.41718990426342972</v>
      </c>
      <c r="R19" s="185">
        <f t="shared" si="13"/>
        <v>0.47005911653987165</v>
      </c>
      <c r="S19" s="185">
        <f t="shared" si="13"/>
        <v>0.27162093700240375</v>
      </c>
      <c r="T19" s="185">
        <f t="shared" si="13"/>
        <v>0.43806170189140664</v>
      </c>
      <c r="U19" s="185">
        <f t="shared" si="13"/>
        <v>0.36548932463998879</v>
      </c>
      <c r="V19" s="185">
        <f t="shared" si="13"/>
        <v>0.45231095344573868</v>
      </c>
      <c r="W19" s="185">
        <f t="shared" si="13"/>
        <v>0.37311532968359523</v>
      </c>
      <c r="X19" s="185">
        <f t="shared" si="13"/>
        <v>0.45252211939138554</v>
      </c>
      <c r="Y19" s="185">
        <f t="shared" si="13"/>
        <v>0.37434698350294587</v>
      </c>
      <c r="Z19" s="185">
        <f t="shared" si="13"/>
        <v>0.39057308491685916</v>
      </c>
      <c r="AA19" s="185">
        <f t="shared" si="13"/>
        <v>0.40952929301365476</v>
      </c>
      <c r="AB19" s="185">
        <f t="shared" si="13"/>
        <v>0.38691024526218154</v>
      </c>
      <c r="AC19" s="185">
        <f t="shared" si="13"/>
        <v>0.35731566318586044</v>
      </c>
      <c r="AD19" s="185">
        <f t="shared" si="13"/>
        <v>0.30217719743174737</v>
      </c>
      <c r="AE19" s="185">
        <f t="shared" si="13"/>
        <v>0.40952929301365476</v>
      </c>
      <c r="AF19" s="185">
        <f t="shared" si="13"/>
        <v>0.45231397016397851</v>
      </c>
      <c r="AG19" s="185">
        <f t="shared" si="13"/>
        <v>0.4232411858547353</v>
      </c>
      <c r="AH19" s="185">
        <f t="shared" si="13"/>
        <v>0.29764086005143831</v>
      </c>
      <c r="AI19" s="185">
        <f t="shared" si="13"/>
        <v>0.3960932840790421</v>
      </c>
      <c r="AJ19" s="185">
        <f t="shared" si="13"/>
        <v>0.41718990426342972</v>
      </c>
      <c r="AK19" s="185">
        <f t="shared" si="13"/>
        <v>0.3960932840790421</v>
      </c>
      <c r="AL19" s="185">
        <f t="shared" si="13"/>
        <v>0.41718990426342972</v>
      </c>
      <c r="AM19" s="185">
        <f t="shared" si="13"/>
        <v>0.41718990426342972</v>
      </c>
      <c r="AN19" s="186">
        <f t="shared" si="13"/>
        <v>0.41718990426342972</v>
      </c>
    </row>
    <row r="20" spans="1:40">
      <c r="A20" s="162"/>
    </row>
    <row r="21" spans="1:40">
      <c r="A21" s="146"/>
      <c r="B21" s="124" t="s">
        <v>79</v>
      </c>
      <c r="C21" s="125" t="s">
        <v>125</v>
      </c>
      <c r="D21" s="188">
        <f t="shared" ref="D21:AN21" si="14">D3*4</f>
        <v>80</v>
      </c>
      <c r="E21" s="189">
        <f t="shared" si="14"/>
        <v>80</v>
      </c>
      <c r="F21" s="189">
        <f t="shared" si="14"/>
        <v>160</v>
      </c>
      <c r="G21" s="189">
        <f t="shared" si="14"/>
        <v>80</v>
      </c>
      <c r="H21" s="189">
        <f t="shared" si="14"/>
        <v>80</v>
      </c>
      <c r="I21" s="189">
        <f t="shared" si="14"/>
        <v>80</v>
      </c>
      <c r="J21" s="189">
        <f t="shared" si="14"/>
        <v>80</v>
      </c>
      <c r="K21" s="189">
        <f t="shared" si="14"/>
        <v>120</v>
      </c>
      <c r="L21" s="189">
        <f t="shared" si="14"/>
        <v>80</v>
      </c>
      <c r="M21" s="189">
        <f t="shared" si="14"/>
        <v>40</v>
      </c>
      <c r="N21" s="189">
        <f t="shared" si="14"/>
        <v>200</v>
      </c>
      <c r="O21" s="189">
        <f t="shared" si="14"/>
        <v>80</v>
      </c>
      <c r="P21" s="189">
        <f t="shared" si="14"/>
        <v>40</v>
      </c>
      <c r="Q21" s="189">
        <f t="shared" si="14"/>
        <v>80</v>
      </c>
      <c r="R21" s="189">
        <f t="shared" si="14"/>
        <v>80</v>
      </c>
      <c r="S21" s="189">
        <f t="shared" si="14"/>
        <v>320</v>
      </c>
      <c r="T21" s="189">
        <f t="shared" si="14"/>
        <v>80</v>
      </c>
      <c r="U21" s="189">
        <f t="shared" si="14"/>
        <v>80</v>
      </c>
      <c r="V21" s="189">
        <f t="shared" si="14"/>
        <v>80</v>
      </c>
      <c r="W21" s="189">
        <f t="shared" si="14"/>
        <v>80</v>
      </c>
      <c r="X21" s="189">
        <f t="shared" si="14"/>
        <v>80</v>
      </c>
      <c r="Y21" s="189">
        <f t="shared" si="14"/>
        <v>80</v>
      </c>
      <c r="Z21" s="189">
        <f t="shared" si="14"/>
        <v>80</v>
      </c>
      <c r="AA21" s="189">
        <f t="shared" si="14"/>
        <v>80</v>
      </c>
      <c r="AB21" s="189">
        <f t="shared" si="14"/>
        <v>120</v>
      </c>
      <c r="AC21" s="189">
        <f t="shared" si="14"/>
        <v>80</v>
      </c>
      <c r="AD21" s="189">
        <f t="shared" si="14"/>
        <v>320</v>
      </c>
      <c r="AE21" s="189">
        <f t="shared" si="14"/>
        <v>80</v>
      </c>
      <c r="AF21" s="189">
        <f t="shared" si="14"/>
        <v>80</v>
      </c>
      <c r="AG21" s="189">
        <f t="shared" si="14"/>
        <v>80</v>
      </c>
      <c r="AH21" s="189">
        <f t="shared" si="14"/>
        <v>320</v>
      </c>
      <c r="AI21" s="189">
        <f t="shared" si="14"/>
        <v>80</v>
      </c>
      <c r="AJ21" s="189">
        <f t="shared" si="14"/>
        <v>80</v>
      </c>
      <c r="AK21" s="189">
        <f t="shared" si="14"/>
        <v>80</v>
      </c>
      <c r="AL21" s="189">
        <f t="shared" si="14"/>
        <v>80</v>
      </c>
      <c r="AM21" s="189">
        <f t="shared" si="14"/>
        <v>80</v>
      </c>
      <c r="AN21" s="190">
        <f t="shared" si="14"/>
        <v>80</v>
      </c>
    </row>
    <row r="22" spans="1:40">
      <c r="A22" s="129"/>
      <c r="B22" s="130" t="s">
        <v>78</v>
      </c>
      <c r="C22" s="131" t="s">
        <v>66</v>
      </c>
      <c r="D22" s="176">
        <f t="shared" ref="D22:AN22" si="15">D21*(1.2*1.5)</f>
        <v>144</v>
      </c>
      <c r="E22" s="182">
        <f t="shared" si="15"/>
        <v>144</v>
      </c>
      <c r="F22" s="182">
        <f t="shared" si="15"/>
        <v>288</v>
      </c>
      <c r="G22" s="182">
        <f t="shared" si="15"/>
        <v>144</v>
      </c>
      <c r="H22" s="182">
        <f t="shared" si="15"/>
        <v>144</v>
      </c>
      <c r="I22" s="182">
        <f t="shared" si="15"/>
        <v>144</v>
      </c>
      <c r="J22" s="182">
        <f t="shared" si="15"/>
        <v>144</v>
      </c>
      <c r="K22" s="182">
        <f t="shared" si="15"/>
        <v>215.99999999999997</v>
      </c>
      <c r="L22" s="182">
        <f t="shared" si="15"/>
        <v>144</v>
      </c>
      <c r="M22" s="182">
        <f t="shared" si="15"/>
        <v>72</v>
      </c>
      <c r="N22" s="182">
        <f t="shared" si="15"/>
        <v>359.99999999999994</v>
      </c>
      <c r="O22" s="182">
        <f t="shared" si="15"/>
        <v>144</v>
      </c>
      <c r="P22" s="182">
        <f t="shared" si="15"/>
        <v>72</v>
      </c>
      <c r="Q22" s="182">
        <f t="shared" si="15"/>
        <v>144</v>
      </c>
      <c r="R22" s="182">
        <f t="shared" si="15"/>
        <v>144</v>
      </c>
      <c r="S22" s="182">
        <f t="shared" si="15"/>
        <v>576</v>
      </c>
      <c r="T22" s="182">
        <f t="shared" si="15"/>
        <v>144</v>
      </c>
      <c r="U22" s="182">
        <f t="shared" si="15"/>
        <v>144</v>
      </c>
      <c r="V22" s="182">
        <f t="shared" si="15"/>
        <v>144</v>
      </c>
      <c r="W22" s="182">
        <f t="shared" si="15"/>
        <v>144</v>
      </c>
      <c r="X22" s="182">
        <f t="shared" si="15"/>
        <v>144</v>
      </c>
      <c r="Y22" s="182">
        <f t="shared" si="15"/>
        <v>144</v>
      </c>
      <c r="Z22" s="182">
        <f t="shared" si="15"/>
        <v>144</v>
      </c>
      <c r="AA22" s="182">
        <f t="shared" si="15"/>
        <v>144</v>
      </c>
      <c r="AB22" s="182">
        <f t="shared" si="15"/>
        <v>215.99999999999997</v>
      </c>
      <c r="AC22" s="182">
        <f t="shared" si="15"/>
        <v>144</v>
      </c>
      <c r="AD22" s="182">
        <f t="shared" si="15"/>
        <v>576</v>
      </c>
      <c r="AE22" s="182">
        <f t="shared" si="15"/>
        <v>144</v>
      </c>
      <c r="AF22" s="182">
        <f t="shared" si="15"/>
        <v>144</v>
      </c>
      <c r="AG22" s="182">
        <f t="shared" si="15"/>
        <v>144</v>
      </c>
      <c r="AH22" s="182">
        <f t="shared" si="15"/>
        <v>576</v>
      </c>
      <c r="AI22" s="182">
        <f t="shared" si="15"/>
        <v>144</v>
      </c>
      <c r="AJ22" s="182">
        <f t="shared" si="15"/>
        <v>144</v>
      </c>
      <c r="AK22" s="182">
        <f t="shared" si="15"/>
        <v>144</v>
      </c>
      <c r="AL22" s="182">
        <f t="shared" si="15"/>
        <v>144</v>
      </c>
      <c r="AM22" s="182">
        <f t="shared" si="15"/>
        <v>144</v>
      </c>
      <c r="AN22" s="183">
        <f t="shared" si="15"/>
        <v>144</v>
      </c>
    </row>
    <row r="23" spans="1:40">
      <c r="A23" s="121"/>
      <c r="B23" s="132" t="s">
        <v>149</v>
      </c>
      <c r="C23" s="122" t="s">
        <v>148</v>
      </c>
      <c r="D23" s="191">
        <f t="shared" ref="D23:AN23" si="16">D22/(D12)</f>
        <v>0.11214137584580228</v>
      </c>
      <c r="E23" s="192">
        <f t="shared" si="16"/>
        <v>0.11085407407097572</v>
      </c>
      <c r="F23" s="192">
        <f t="shared" si="16"/>
        <v>0.16177390307207493</v>
      </c>
      <c r="G23" s="192">
        <f t="shared" si="16"/>
        <v>0.11214137584580228</v>
      </c>
      <c r="H23" s="192">
        <f t="shared" si="16"/>
        <v>0.11103498152964079</v>
      </c>
      <c r="I23" s="192">
        <f t="shared" si="16"/>
        <v>0.12147888980128364</v>
      </c>
      <c r="J23" s="192">
        <f t="shared" si="16"/>
        <v>0.11980044830693236</v>
      </c>
      <c r="K23" s="192">
        <f t="shared" si="16"/>
        <v>0.13122266479195593</v>
      </c>
      <c r="L23" s="192">
        <f t="shared" si="16"/>
        <v>0.13721819697230128</v>
      </c>
      <c r="M23" s="192">
        <f t="shared" si="16"/>
        <v>8.3347991424436968E-2</v>
      </c>
      <c r="N23" s="192">
        <f t="shared" si="16"/>
        <v>0.19555700627738368</v>
      </c>
      <c r="O23" s="192">
        <f t="shared" si="16"/>
        <v>0.11684205133004463</v>
      </c>
      <c r="P23" s="192">
        <f t="shared" si="16"/>
        <v>9.0659682782324919E-2</v>
      </c>
      <c r="Q23" s="192">
        <f t="shared" si="16"/>
        <v>0.11894621409878615</v>
      </c>
      <c r="R23" s="192">
        <f t="shared" si="16"/>
        <v>0.13877216870245185</v>
      </c>
      <c r="S23" s="192">
        <f t="shared" si="16"/>
        <v>0.21014808612539237</v>
      </c>
      <c r="T23" s="192">
        <f t="shared" si="16"/>
        <v>0.12677313820927749</v>
      </c>
      <c r="U23" s="192">
        <f t="shared" si="16"/>
        <v>9.9558496739995797E-2</v>
      </c>
      <c r="V23" s="192">
        <f t="shared" si="16"/>
        <v>0.13211660754215201</v>
      </c>
      <c r="W23" s="192">
        <f t="shared" si="16"/>
        <v>0.10241824863134823</v>
      </c>
      <c r="X23" s="192">
        <f t="shared" si="16"/>
        <v>0.13219579477176951</v>
      </c>
      <c r="Y23" s="192">
        <f t="shared" si="16"/>
        <v>0.10288011881360473</v>
      </c>
      <c r="Z23" s="192">
        <f t="shared" si="16"/>
        <v>0.10896490684382221</v>
      </c>
      <c r="AA23" s="192">
        <f t="shared" si="16"/>
        <v>0.11607348488012051</v>
      </c>
      <c r="AB23" s="192">
        <f t="shared" si="16"/>
        <v>0.15939458070121193</v>
      </c>
      <c r="AC23" s="192">
        <f t="shared" si="16"/>
        <v>9.6493373694697668E-2</v>
      </c>
      <c r="AD23" s="192">
        <f t="shared" si="16"/>
        <v>0.24756391522254784</v>
      </c>
      <c r="AE23" s="192">
        <f t="shared" si="16"/>
        <v>0.11607348488012051</v>
      </c>
      <c r="AF23" s="192">
        <f t="shared" si="16"/>
        <v>0.13211773881149197</v>
      </c>
      <c r="AG23" s="192">
        <f t="shared" si="16"/>
        <v>0.12121544469552575</v>
      </c>
      <c r="AH23" s="192">
        <f t="shared" si="16"/>
        <v>0.20614114535021244</v>
      </c>
      <c r="AI23" s="192">
        <f t="shared" si="16"/>
        <v>0.11103498152964079</v>
      </c>
      <c r="AJ23" s="192">
        <f t="shared" si="16"/>
        <v>0.11894621409878615</v>
      </c>
      <c r="AK23" s="192">
        <f t="shared" si="16"/>
        <v>0.11103498152964079</v>
      </c>
      <c r="AL23" s="192">
        <f t="shared" si="16"/>
        <v>0.11894621409878615</v>
      </c>
      <c r="AM23" s="192">
        <f t="shared" si="16"/>
        <v>0.11894621409878615</v>
      </c>
      <c r="AN23" s="193">
        <f t="shared" si="16"/>
        <v>0.11894621409878615</v>
      </c>
    </row>
    <row r="24" spans="1:40" ht="31.5" customHeight="1">
      <c r="A24" s="938" t="s">
        <v>123</v>
      </c>
      <c r="B24" s="939"/>
      <c r="C24" s="138"/>
      <c r="D24" s="194">
        <v>1</v>
      </c>
      <c r="E24" s="195">
        <v>1</v>
      </c>
      <c r="F24" s="195">
        <v>1</v>
      </c>
      <c r="G24" s="195">
        <v>1</v>
      </c>
      <c r="H24" s="195">
        <v>1</v>
      </c>
      <c r="I24" s="195">
        <v>1</v>
      </c>
      <c r="J24" s="195">
        <v>1</v>
      </c>
      <c r="K24" s="195">
        <v>1</v>
      </c>
      <c r="L24" s="195">
        <v>1</v>
      </c>
      <c r="M24" s="195">
        <v>1</v>
      </c>
      <c r="N24" s="195">
        <v>1</v>
      </c>
      <c r="O24" s="195">
        <v>1</v>
      </c>
      <c r="P24" s="195">
        <v>1</v>
      </c>
      <c r="Q24" s="195">
        <v>1</v>
      </c>
      <c r="R24" s="195">
        <v>1</v>
      </c>
      <c r="S24" s="195">
        <v>1</v>
      </c>
      <c r="T24" s="195">
        <v>1</v>
      </c>
      <c r="U24" s="195">
        <v>1</v>
      </c>
      <c r="V24" s="195">
        <v>1</v>
      </c>
      <c r="W24" s="195">
        <v>1</v>
      </c>
      <c r="X24" s="195">
        <v>1</v>
      </c>
      <c r="Y24" s="195">
        <v>1</v>
      </c>
      <c r="Z24" s="195">
        <v>1</v>
      </c>
      <c r="AA24" s="195">
        <v>1</v>
      </c>
      <c r="AB24" s="195">
        <v>1</v>
      </c>
      <c r="AC24" s="195">
        <v>1</v>
      </c>
      <c r="AD24" s="195">
        <v>1</v>
      </c>
      <c r="AE24" s="195">
        <v>1</v>
      </c>
      <c r="AF24" s="195">
        <v>1</v>
      </c>
      <c r="AG24" s="195">
        <v>1</v>
      </c>
      <c r="AH24" s="195">
        <v>1</v>
      </c>
      <c r="AI24" s="195">
        <v>1</v>
      </c>
      <c r="AJ24" s="195">
        <v>1</v>
      </c>
      <c r="AK24" s="195">
        <v>1</v>
      </c>
      <c r="AL24" s="195">
        <v>1</v>
      </c>
      <c r="AM24" s="195">
        <v>1</v>
      </c>
      <c r="AN24" s="196">
        <v>1</v>
      </c>
    </row>
    <row r="26" spans="1:40">
      <c r="A26" s="151" t="s">
        <v>193</v>
      </c>
      <c r="B26" s="141" t="s">
        <v>2</v>
      </c>
      <c r="C26" s="360" t="s">
        <v>195</v>
      </c>
      <c r="D26" s="170">
        <f>((LOOKUP(D2,'Ceiling-U'!$A$4:$A$40,'Ceiling-U'!$E$4:$E$40)*D15)+(LOOKUP(D2,'Floor-U'!$A$4:$A$40,'Floor-U'!$E$4:$E$40)*D16)+(LOOKUP(D2,'Wall-U'!$A$4:$A$40,'Wall-U'!$E$4:$E$40)*D13)+(LOOKUP(D2,'Window-U'!$A$4:$A$40,'Window-U'!$E$4:$E$40)*D22))*D24</f>
        <v>2592.2684368102291</v>
      </c>
      <c r="E26" s="171">
        <f>((LOOKUP(E2,'Ceiling-U'!$A$4:$A$40,'Ceiling-U'!$E$4:$E$40)*E15)+(LOOKUP(E2,'Floor-U'!$A$4:$A$40,'Floor-U'!$E$4:$E$40)*E16)+(LOOKUP(E2,'Wall-U'!$A$4:$A$40,'Wall-U'!$E$4:$E$40)*E13)+(LOOKUP(E2,'Window-U'!$A$4:$A$40,'Window-U'!$E$4:$E$40)*E22))*E24</f>
        <v>3327.6059714657667</v>
      </c>
      <c r="F26" s="171">
        <f>((LOOKUP(F2,'Ceiling-U'!$A$4:$A$40,'Ceiling-U'!$E$4:$E$40)*F15)+(LOOKUP(F2,'Floor-U'!$A$4:$A$40,'Floor-U'!$E$4:$E$40)*F16)+(LOOKUP(F2,'Wall-U'!$A$4:$A$40,'Wall-U'!$E$4:$E$40)*F13)+(LOOKUP(F2,'Window-U'!$A$4:$A$40,'Window-U'!$E$4:$E$40)*F22))*F24</f>
        <v>4051.7014179890411</v>
      </c>
      <c r="G26" s="171">
        <f>((LOOKUP(G2,'Ceiling-U'!$A$4:$A$40,'Ceiling-U'!$E$4:$E$40)*G15)+(LOOKUP(G2,'Floor-U'!$A$4:$A$40,'Floor-U'!$E$4:$E$40)*G16)+(LOOKUP(G2,'Wall-U'!$A$4:$A$40,'Wall-U'!$E$4:$E$40)*G13)+(LOOKUP(G2,'Window-U'!$A$4:$A$40,'Window-U'!$E$4:$E$40)*G22))*G24</f>
        <v>2592.2684368102291</v>
      </c>
      <c r="H26" s="171">
        <f>((LOOKUP(H2,'Ceiling-U'!$A$4:$A$40,'Ceiling-U'!$E$4:$E$40)*H15)+(LOOKUP(H2,'Floor-U'!$A$4:$A$40,'Floor-U'!$E$4:$E$40)*H16)+(LOOKUP(H2,'Wall-U'!$A$4:$A$40,'Wall-U'!$E$4:$E$40)*H13)+(LOOKUP(H2,'Window-U'!$A$4:$A$40,'Window-U'!$E$4:$E$40)*H22))*H24</f>
        <v>4237.7460269590292</v>
      </c>
      <c r="I26" s="171">
        <f>((LOOKUP(I2,'Ceiling-U'!$A$4:$A$40,'Ceiling-U'!$E$4:$E$40)*I15)+(LOOKUP(I2,'Floor-U'!$A$4:$A$40,'Floor-U'!$E$4:$E$40)*I16)+(LOOKUP(I2,'Wall-U'!$A$4:$A$40,'Wall-U'!$E$4:$E$40)*I13)+(LOOKUP(I2,'Window-U'!$A$4:$A$40,'Window-U'!$E$4:$E$40)*I22))*I24</f>
        <v>1730.4521934191603</v>
      </c>
      <c r="J26" s="171">
        <f>((LOOKUP(J2,'Ceiling-U'!$A$4:$A$40,'Ceiling-U'!$E$4:$E$40)*J15)+(LOOKUP(J2,'Floor-U'!$A$4:$A$40,'Floor-U'!$E$4:$E$40)*J16)+(LOOKUP(J2,'Wall-U'!$A$4:$A$40,'Wall-U'!$E$4:$E$40)*J13)+(LOOKUP(J2,'Window-U'!$A$4:$A$40,'Window-U'!$E$4:$E$40)*J22))*J24</f>
        <v>2936.9194901243045</v>
      </c>
      <c r="K26" s="171">
        <f>((LOOKUP(K2,'Ceiling-U'!$A$4:$A$40,'Ceiling-U'!$E$4:$E$40)*K15)+(LOOKUP(K2,'Floor-U'!$A$4:$A$40,'Floor-U'!$E$4:$E$40)*K16)+(LOOKUP(K2,'Wall-U'!$A$4:$A$40,'Wall-U'!$E$4:$E$40)*K13)+(LOOKUP(K2,'Window-U'!$A$4:$A$40,'Window-U'!$E$4:$E$40)*K22))*K24</f>
        <v>2168.3458189831758</v>
      </c>
      <c r="L26" s="171">
        <f>((LOOKUP(L2,'Ceiling-U'!$A$4:$A$40,'Ceiling-U'!$E$4:$E$40)*L15)+(LOOKUP(L2,'Floor-U'!$A$4:$A$40,'Floor-U'!$E$4:$E$40)*L16)+(LOOKUP(L2,'Wall-U'!$A$4:$A$40,'Wall-U'!$E$4:$E$40)*L13)+(LOOKUP(L2,'Window-U'!$A$4:$A$40,'Window-U'!$E$4:$E$40)*L22))*L24</f>
        <v>809.32600802657839</v>
      </c>
      <c r="M26" s="171">
        <f>((LOOKUP(M2,'Ceiling-U'!$A$4:$A$40,'Ceiling-U'!$E$4:$E$40)*M15)+(LOOKUP(M2,'Floor-U'!$A$4:$A$40,'Floor-U'!$E$4:$E$40)*M16)+(LOOKUP(M2,'Wall-U'!$A$4:$A$40,'Wall-U'!$E$4:$E$40)*M13)+(LOOKUP(M2,'Window-U'!$A$4:$A$40,'Window-U'!$E$4:$E$40)*M22))*M24</f>
        <v>3131.361839329556</v>
      </c>
      <c r="N26" s="171">
        <f>((LOOKUP(N2,'Ceiling-U'!$A$4:$A$40,'Ceiling-U'!$E$4:$E$40)*N15)+(LOOKUP(N2,'Floor-U'!$A$4:$A$40,'Floor-U'!$E$4:$E$40)*N16)+(LOOKUP(N2,'Wall-U'!$A$4:$A$40,'Wall-U'!$E$4:$E$40)*N13)+(LOOKUP(N2,'Window-U'!$A$4:$A$40,'Window-U'!$E$4:$E$40)*N22))*N24</f>
        <v>2121.5372605756675</v>
      </c>
      <c r="O26" s="171">
        <f>((LOOKUP(O2,'Ceiling-U'!$A$4:$A$40,'Ceiling-U'!$E$4:$E$40)*O15)+(LOOKUP(O2,'Floor-U'!$A$4:$A$40,'Floor-U'!$E$4:$E$40)*O16)+(LOOKUP(O2,'Wall-U'!$A$4:$A$40,'Wall-U'!$E$4:$E$40)*O13)+(LOOKUP(O2,'Window-U'!$A$4:$A$40,'Window-U'!$E$4:$E$40)*O22))*O24</f>
        <v>4215.8577587770542</v>
      </c>
      <c r="P26" s="171">
        <f>((LOOKUP(P2,'Ceiling-U'!$A$4:$A$40,'Ceiling-U'!$E$4:$E$40)*P15)+(LOOKUP(P2,'Floor-U'!$A$4:$A$40,'Floor-U'!$E$4:$E$40)*P16)+(LOOKUP(P2,'Wall-U'!$A$4:$A$40,'Wall-U'!$E$4:$E$40)*P13)+(LOOKUP(P2,'Window-U'!$A$4:$A$40,'Window-U'!$E$4:$E$40)*P22))*P24</f>
        <v>2718.9364545809658</v>
      </c>
      <c r="Q26" s="171">
        <f>((LOOKUP(Q2,'Ceiling-U'!$A$4:$A$40,'Ceiling-U'!$E$4:$E$40)*Q15)+(LOOKUP(Q2,'Floor-U'!$A$4:$A$40,'Floor-U'!$E$4:$E$40)*Q16)+(LOOKUP(Q2,'Wall-U'!$A$4:$A$40,'Wall-U'!$E$4:$E$40)*Q13)+(LOOKUP(Q2,'Window-U'!$A$4:$A$40,'Window-U'!$E$4:$E$40)*Q22))*Q24</f>
        <v>2393.9204905322326</v>
      </c>
      <c r="R26" s="171">
        <f>((LOOKUP(R2,'Ceiling-U'!$A$4:$A$40,'Ceiling-U'!$E$4:$E$40)*R15)+(LOOKUP(R2,'Floor-U'!$A$4:$A$40,'Floor-U'!$E$4:$E$40)*R16)+(LOOKUP(R2,'Wall-U'!$A$4:$A$40,'Wall-U'!$E$4:$E$40)*R13)+(LOOKUP(R2,'Window-U'!$A$4:$A$40,'Window-U'!$E$4:$E$40)*R22))*R24</f>
        <v>2098.3230832020108</v>
      </c>
      <c r="S26" s="171">
        <f>((LOOKUP(S2,'Ceiling-U'!$A$4:$A$40,'Ceiling-U'!$E$4:$E$40)*S15)+(LOOKUP(S2,'Floor-U'!$A$4:$A$40,'Floor-U'!$E$4:$E$40)*S16)+(LOOKUP(S2,'Wall-U'!$A$4:$A$40,'Wall-U'!$E$4:$E$40)*S13)+(LOOKUP(S2,'Window-U'!$A$4:$A$40,'Window-U'!$E$4:$E$40)*S22))*S24</f>
        <v>8570.7491444855805</v>
      </c>
      <c r="T26" s="171">
        <f>((LOOKUP(T2,'Ceiling-U'!$A$4:$A$40,'Ceiling-U'!$E$4:$E$40)*T15)+(LOOKUP(T2,'Floor-U'!$A$4:$A$40,'Floor-U'!$E$4:$E$40)*T16)+(LOOKUP(T2,'Wall-U'!$A$4:$A$40,'Wall-U'!$E$4:$E$40)*T13)+(LOOKUP(T2,'Window-U'!$A$4:$A$40,'Window-U'!$E$4:$E$40)*T22))*T24</f>
        <v>1088.3323910130757</v>
      </c>
      <c r="U26" s="171">
        <f>((LOOKUP(U2,'Ceiling-U'!$A$4:$A$40,'Ceiling-U'!$E$4:$E$40)*U15)+(LOOKUP(U2,'Floor-U'!$A$4:$A$40,'Floor-U'!$E$4:$E$40)*U16)+(LOOKUP(U2,'Wall-U'!$A$4:$A$40,'Wall-U'!$E$4:$E$40)*U13)+(LOOKUP(U2,'Window-U'!$A$4:$A$40,'Window-U'!$E$4:$E$40)*U22))*U24</f>
        <v>4199.4345131495857</v>
      </c>
      <c r="V26" s="171">
        <f>((LOOKUP(V2,'Ceiling-U'!$A$4:$A$40,'Ceiling-U'!$E$4:$E$40)*V15)+(LOOKUP(V2,'Floor-U'!$A$4:$A$40,'Floor-U'!$E$4:$E$40)*V16)+(LOOKUP(V2,'Wall-U'!$A$4:$A$40,'Wall-U'!$E$4:$E$40)*V13)+(LOOKUP(V2,'Window-U'!$A$4:$A$40,'Window-U'!$E$4:$E$40)*V22))*V24</f>
        <v>1527.5071045766331</v>
      </c>
      <c r="W26" s="171">
        <f>((LOOKUP(W2,'Ceiling-U'!$A$4:$A$40,'Ceiling-U'!$E$4:$E$40)*W15)+(LOOKUP(W2,'Floor-U'!$A$4:$A$40,'Floor-U'!$E$4:$E$40)*W16)+(LOOKUP(W2,'Wall-U'!$A$4:$A$40,'Wall-U'!$E$4:$E$40)*W13)+(LOOKUP(W2,'Window-U'!$A$4:$A$40,'Window-U'!$E$4:$E$40)*W22))*W24</f>
        <v>2735.2021459866505</v>
      </c>
      <c r="X26" s="171">
        <f>((LOOKUP(X2,'Ceiling-U'!$A$4:$A$40,'Ceiling-U'!$E$4:$E$40)*X15)+(LOOKUP(X2,'Floor-U'!$A$4:$A$40,'Floor-U'!$E$4:$E$40)*X16)+(LOOKUP(X2,'Wall-U'!$A$4:$A$40,'Wall-U'!$E$4:$E$40)*X13)+(LOOKUP(X2,'Window-U'!$A$4:$A$40,'Window-U'!$E$4:$E$40)*X22))*X24</f>
        <v>1658.5433489193808</v>
      </c>
      <c r="Y26" s="171">
        <f>((LOOKUP(Y2,'Ceiling-U'!$A$4:$A$40,'Ceiling-U'!$E$4:$E$40)*Y15)+(LOOKUP(Y2,'Floor-U'!$A$4:$A$40,'Floor-U'!$E$4:$E$40)*Y16)+(LOOKUP(Y2,'Wall-U'!$A$4:$A$40,'Wall-U'!$E$4:$E$40)*Y13)+(LOOKUP(Y2,'Window-U'!$A$4:$A$40,'Window-U'!$E$4:$E$40)*Y22))*Y24</f>
        <v>5631.9783170475775</v>
      </c>
      <c r="Z26" s="171">
        <f>((LOOKUP(Z2,'Ceiling-U'!$A$4:$A$40,'Ceiling-U'!$E$4:$E$40)*Z15)+(LOOKUP(Z2,'Floor-U'!$A$4:$A$40,'Floor-U'!$E$4:$E$40)*Z16)+(LOOKUP(Z2,'Wall-U'!$A$4:$A$40,'Wall-U'!$E$4:$E$40)*Z13)+(LOOKUP(Z2,'Window-U'!$A$4:$A$40,'Window-U'!$E$4:$E$40)*Z22))*Z24</f>
        <v>3510.5926223184142</v>
      </c>
      <c r="AA26" s="171">
        <f>((LOOKUP(AA2,'Ceiling-U'!$A$4:$A$40,'Ceiling-U'!$E$4:$E$40)*AA15)+(LOOKUP(AA2,'Floor-U'!$A$4:$A$40,'Floor-U'!$E$4:$E$40)*AA16)+(LOOKUP(AA2,'Wall-U'!$A$4:$A$40,'Wall-U'!$E$4:$E$40)*AA13)+(LOOKUP(AA2,'Window-U'!$A$4:$A$40,'Window-U'!$E$4:$E$40)*AA22))*AA24</f>
        <v>1026.1838910713896</v>
      </c>
      <c r="AB26" s="171">
        <f>((LOOKUP(AB2,'Ceiling-U'!$A$4:$A$40,'Ceiling-U'!$E$4:$E$40)*AB15)+(LOOKUP(AB2,'Floor-U'!$A$4:$A$40,'Floor-U'!$E$4:$E$40)*AB16)+(LOOKUP(AB2,'Wall-U'!$A$4:$A$40,'Wall-U'!$E$4:$E$40)*AB13)+(LOOKUP(AB2,'Window-U'!$A$4:$A$40,'Window-U'!$E$4:$E$40)*AB22))*AB24</f>
        <v>3497.2275057257152</v>
      </c>
      <c r="AC26" s="171">
        <f>((LOOKUP(AC2,'Ceiling-U'!$A$4:$A$40,'Ceiling-U'!$E$4:$E$40)*AC15)+(LOOKUP(AC2,'Floor-U'!$A$4:$A$40,'Floor-U'!$E$4:$E$40)*AC16)+(LOOKUP(AC2,'Wall-U'!$A$4:$A$40,'Wall-U'!$E$4:$E$40)*AC13)+(LOOKUP(AC2,'Window-U'!$A$4:$A$40,'Window-U'!$E$4:$E$40)*AC22))*AC24</f>
        <v>4736.9633643976831</v>
      </c>
      <c r="AD26" s="171">
        <f>((LOOKUP(AD2,'Ceiling-U'!$A$4:$A$40,'Ceiling-U'!$E$4:$E$40)*AD15)+(LOOKUP(AD2,'Floor-U'!$A$4:$A$40,'Floor-U'!$E$4:$E$40)*AD16)+(LOOKUP(AD2,'Wall-U'!$A$4:$A$40,'Wall-U'!$E$4:$E$40)*AD13)+(LOOKUP(AD2,'Window-U'!$A$4:$A$40,'Window-U'!$E$4:$E$40)*AD22))*AD24</f>
        <v>6607.6293684085394</v>
      </c>
      <c r="AE26" s="171">
        <f>((LOOKUP(AE2,'Ceiling-U'!$A$4:$A$40,'Ceiling-U'!$E$4:$E$40)*AE15)+(LOOKUP(AE2,'Floor-U'!$A$4:$A$40,'Floor-U'!$E$4:$E$40)*AE16)+(LOOKUP(AE2,'Wall-U'!$A$4:$A$40,'Wall-U'!$E$4:$E$40)*AE13)+(LOOKUP(AE2,'Window-U'!$A$4:$A$40,'Window-U'!$E$4:$E$40)*AE22))*AE24</f>
        <v>1026.1838910713896</v>
      </c>
      <c r="AF26" s="171">
        <f>((LOOKUP(AF2,'Ceiling-U'!$A$4:$A$40,'Ceiling-U'!$E$4:$E$40)*AF15)+(LOOKUP(AF2,'Floor-U'!$A$4:$A$40,'Floor-U'!$E$4:$E$40)*AF16)+(LOOKUP(AF2,'Wall-U'!$A$4:$A$40,'Wall-U'!$E$4:$E$40)*AF13)+(LOOKUP(AF2,'Window-U'!$A$4:$A$40,'Window-U'!$E$4:$E$40)*AF22))*AF24</f>
        <v>2025.6816839383105</v>
      </c>
      <c r="AG26" s="171">
        <f>((LOOKUP(AG2,'Ceiling-U'!$A$4:$A$40,'Ceiling-U'!$E$4:$E$40)*AG15)+(LOOKUP(AG2,'Floor-U'!$A$4:$A$40,'Floor-U'!$E$4:$E$40)*AG16)+(LOOKUP(AG2,'Wall-U'!$A$4:$A$40,'Wall-U'!$E$4:$E$40)*AG13)+(LOOKUP(AG2,'Window-U'!$A$4:$A$40,'Window-U'!$E$4:$E$40)*AG22))*AG24</f>
        <v>2833.7858331483767</v>
      </c>
      <c r="AH26" s="171">
        <f>((LOOKUP(AH2,'Ceiling-U'!$A$4:$A$40,'Ceiling-U'!$E$4:$E$40)*AH15)+(LOOKUP(AH2,'Floor-U'!$A$4:$A$40,'Floor-U'!$E$4:$E$40)*AH16)+(LOOKUP(AH2,'Wall-U'!$A$4:$A$40,'Wall-U'!$E$4:$E$40)*AH13)+(LOOKUP(AH2,'Window-U'!$A$4:$A$40,'Window-U'!$E$4:$E$40)*AH22))*AH24</f>
        <v>7252.8925445007562</v>
      </c>
      <c r="AI26" s="171">
        <f>((LOOKUP(AI2,'Ceiling-U'!$A$4:$A$40,'Ceiling-U'!$E$4:$E$40)*AI15)+(LOOKUP(AI2,'Floor-U'!$A$4:$A$40,'Floor-U'!$E$4:$E$40)*AI16)+(LOOKUP(AI2,'Wall-U'!$A$4:$A$40,'Wall-U'!$E$4:$E$40)*AI13)+(LOOKUP(AI2,'Window-U'!$A$4:$A$40,'Window-U'!$E$4:$E$40)*AI22))*AI24</f>
        <v>4344.0409813856495</v>
      </c>
      <c r="AJ26" s="171">
        <f>((LOOKUP(AJ2,'Ceiling-U'!$A$4:$A$40,'Ceiling-U'!$E$4:$E$40)*AJ15)+(LOOKUP(AJ2,'Floor-U'!$A$4:$A$40,'Floor-U'!$E$4:$E$40)*AJ16)+(LOOKUP(AJ2,'Wall-U'!$A$4:$A$40,'Wall-U'!$E$4:$E$40)*AJ13)+(LOOKUP(AJ2,'Window-U'!$A$4:$A$40,'Window-U'!$E$4:$E$40)*AJ22))*AJ24</f>
        <v>2377.4645369594823</v>
      </c>
      <c r="AK26" s="171">
        <f>((LOOKUP(AK2,'Ceiling-U'!$A$4:$A$40,'Ceiling-U'!$E$4:$E$40)*AK15)+(LOOKUP(AK2,'Floor-U'!$A$4:$A$40,'Floor-U'!$E$4:$E$40)*AK16)+(LOOKUP(AK2,'Wall-U'!$A$4:$A$40,'Wall-U'!$E$4:$E$40)*AK13)+(LOOKUP(AK2,'Window-U'!$A$4:$A$40,'Window-U'!$E$4:$E$40)*AK22))*AK24</f>
        <v>2561.3984471859962</v>
      </c>
      <c r="AL26" s="171">
        <f>((LOOKUP(AL2,'Ceiling-U'!$A$4:$A$40,'Ceiling-U'!$E$4:$E$40)*AL15)+(LOOKUP(AL2,'Floor-U'!$A$4:$A$40,'Floor-U'!$E$4:$E$40)*AL16)+(LOOKUP(AL2,'Wall-U'!$A$4:$A$40,'Wall-U'!$E$4:$E$40)*AL13)+(LOOKUP(AL2,'Window-U'!$A$4:$A$40,'Window-U'!$E$4:$E$40)*AL22))*AL24</f>
        <v>2535.8929261710114</v>
      </c>
      <c r="AM26" s="171">
        <f>((LOOKUP(AM2,'Ceiling-U'!$A$4:$A$40,'Ceiling-U'!$E$4:$E$40)*AM15)+(LOOKUP(AM2,'Floor-U'!$A$4:$A$40,'Floor-U'!$E$4:$E$40)*AM16)+(LOOKUP(AM2,'Wall-U'!$A$4:$A$40,'Wall-U'!$E$4:$E$40)*AM13)+(LOOKUP(AM2,'Window-U'!$A$4:$A$40,'Window-U'!$E$4:$E$40)*AM22))*AM24</f>
        <v>2377.4645369594823</v>
      </c>
      <c r="AN26" s="172">
        <f>((LOOKUP(AN2,'Ceiling-U'!$A$4:$A$40,'Ceiling-U'!$E$4:$E$40)*AN15)+(LOOKUP(AN2,'Floor-U'!$A$4:$A$40,'Floor-U'!$E$4:$E$40)*AN16)+(LOOKUP(AN2,'Wall-U'!$A$4:$A$40,'Wall-U'!$E$4:$E$40)*AN13)+(LOOKUP(AN2,'Window-U'!$A$4:$A$40,'Window-U'!$E$4:$E$40)*AN22))*AN24</f>
        <v>2377.4645369594823</v>
      </c>
    </row>
    <row r="27" spans="1:40">
      <c r="A27" s="129"/>
      <c r="B27" s="142" t="s">
        <v>3</v>
      </c>
      <c r="C27" s="129" t="s">
        <v>195</v>
      </c>
      <c r="D27" s="176">
        <f>((LOOKUP(D2,'Ceiling-U'!$A$4:$A$40,'Ceiling-U'!$F$4:$F$40)*D15)+(LOOKUP(D2,'Floor-U'!$A$4:$A$40,'Floor-U'!$F$4:$F$40)*D16)+(LOOKUP(D2,'Wall-U'!$A$4:$A$40,'Wall-U'!$F$4:$F$40)*D13)+(LOOKUP(D2,'Window-U'!$A$4:$A$40,'Window-U'!$F$4:$F$40)*D22))*D24</f>
        <v>2296.6940332861041</v>
      </c>
      <c r="E27" s="177">
        <f>((LOOKUP(E2,'Ceiling-U'!$A$4:$A$40,'Ceiling-U'!$F$4:$F$40)*E15)+(LOOKUP(E2,'Floor-U'!$A$4:$A$40,'Floor-U'!$F$4:$F$40)*E16)+(LOOKUP(E2,'Wall-U'!$A$4:$A$40,'Wall-U'!$F$4:$F$40)*E13)+(LOOKUP(E2,'Window-U'!$A$4:$A$40,'Window-U'!$F$4:$F$40)*E22))*E24</f>
        <v>3327.6059714657667</v>
      </c>
      <c r="F27" s="177">
        <f>((LOOKUP(F2,'Ceiling-U'!$A$4:$A$40,'Ceiling-U'!$F$4:$F$40)*F15)+(LOOKUP(F2,'Floor-U'!$A$4:$A$40,'Floor-U'!$F$4:$F$40)*F16)+(LOOKUP(F2,'Wall-U'!$A$4:$A$40,'Wall-U'!$F$4:$F$40)*F13)+(LOOKUP(F2,'Window-U'!$A$4:$A$40,'Window-U'!$F$4:$F$40)*F22))*F24</f>
        <v>4051.7014179890411</v>
      </c>
      <c r="G27" s="177">
        <f>((LOOKUP(G2,'Ceiling-U'!$A$4:$A$40,'Ceiling-U'!$F$4:$F$40)*G15)+(LOOKUP(G2,'Floor-U'!$A$4:$A$40,'Floor-U'!$F$4:$F$40)*G16)+(LOOKUP(G2,'Wall-U'!$A$4:$A$40,'Wall-U'!$F$4:$F$40)*G13)+(LOOKUP(G2,'Window-U'!$A$4:$A$40,'Window-U'!$F$4:$F$40)*G22))*G24</f>
        <v>2296.6940332861041</v>
      </c>
      <c r="H27" s="177">
        <f>((LOOKUP(H2,'Ceiling-U'!$A$4:$A$40,'Ceiling-U'!$F$4:$F$40)*H15)+(LOOKUP(H2,'Floor-U'!$A$4:$A$40,'Floor-U'!$F$4:$F$40)*H16)+(LOOKUP(H2,'Wall-U'!$A$4:$A$40,'Wall-U'!$F$4:$F$40)*H13)+(LOOKUP(H2,'Window-U'!$A$4:$A$40,'Window-U'!$F$4:$F$40)*H22))*H24</f>
        <v>3828.470579544527</v>
      </c>
      <c r="I27" s="177">
        <f>((LOOKUP(I2,'Ceiling-U'!$A$4:$A$40,'Ceiling-U'!$F$4:$F$40)*I15)+(LOOKUP(I2,'Floor-U'!$A$4:$A$40,'Floor-U'!$F$4:$F$40)*I16)+(LOOKUP(I2,'Wall-U'!$A$4:$A$40,'Wall-U'!$F$4:$F$40)*I13)+(LOOKUP(I2,'Window-U'!$A$4:$A$40,'Window-U'!$F$4:$F$40)*I22))*I24</f>
        <v>1529.052947789826</v>
      </c>
      <c r="J27" s="177">
        <f>((LOOKUP(J2,'Ceiling-U'!$A$4:$A$40,'Ceiling-U'!$F$4:$F$40)*J15)+(LOOKUP(J2,'Floor-U'!$A$4:$A$40,'Floor-U'!$F$4:$F$40)*J16)+(LOOKUP(J2,'Wall-U'!$A$4:$A$40,'Wall-U'!$F$4:$F$40)*J13)+(LOOKUP(J2,'Window-U'!$A$4:$A$40,'Window-U'!$F$4:$F$40)*J22))*J24</f>
        <v>2337.034872030772</v>
      </c>
      <c r="K27" s="177">
        <f>((LOOKUP(K2,'Ceiling-U'!$A$4:$A$40,'Ceiling-U'!$F$4:$F$40)*K15)+(LOOKUP(K2,'Floor-U'!$A$4:$A$40,'Floor-U'!$F$4:$F$40)*K16)+(LOOKUP(K2,'Wall-U'!$A$4:$A$40,'Wall-U'!$F$4:$F$40)*K13)+(LOOKUP(K2,'Window-U'!$A$4:$A$40,'Window-U'!$F$4:$F$40)*K22))*K24</f>
        <v>2122.4605410777513</v>
      </c>
      <c r="L27" s="177">
        <f>((LOOKUP(L2,'Ceiling-U'!$A$4:$A$40,'Ceiling-U'!$F$4:$F$40)*L15)+(LOOKUP(L2,'Floor-U'!$A$4:$A$40,'Floor-U'!$F$4:$F$40)*L16)+(LOOKUP(L2,'Wall-U'!$A$4:$A$40,'Wall-U'!$F$4:$F$40)*L13)+(LOOKUP(L2,'Window-U'!$A$4:$A$40,'Window-U'!$F$4:$F$40)*L22))*L24</f>
        <v>809.32600802657839</v>
      </c>
      <c r="M27" s="177">
        <f>((LOOKUP(M2,'Ceiling-U'!$A$4:$A$40,'Ceiling-U'!$F$4:$F$40)*M15)+(LOOKUP(M2,'Floor-U'!$A$4:$A$40,'Floor-U'!$F$4:$F$40)*M16)+(LOOKUP(M2,'Wall-U'!$A$4:$A$40,'Wall-U'!$F$4:$F$40)*M13)+(LOOKUP(M2,'Window-U'!$A$4:$A$40,'Window-U'!$F$4:$F$40)*M22))*M24</f>
        <v>2756.9001933104578</v>
      </c>
      <c r="N27" s="177">
        <f>((LOOKUP(N2,'Ceiling-U'!$A$4:$A$40,'Ceiling-U'!$F$4:$F$40)*N15)+(LOOKUP(N2,'Floor-U'!$A$4:$A$40,'Floor-U'!$F$4:$F$40)*N16)+(LOOKUP(N2,'Wall-U'!$A$4:$A$40,'Wall-U'!$F$4:$F$40)*N13)+(LOOKUP(N2,'Window-U'!$A$4:$A$40,'Window-U'!$F$4:$F$40)*N22))*N24</f>
        <v>1969.9014432039562</v>
      </c>
      <c r="O27" s="177">
        <f>((LOOKUP(O2,'Ceiling-U'!$A$4:$A$40,'Ceiling-U'!$F$4:$F$40)*O15)+(LOOKUP(O2,'Floor-U'!$A$4:$A$40,'Floor-U'!$F$4:$F$40)*O16)+(LOOKUP(O2,'Wall-U'!$A$4:$A$40,'Wall-U'!$F$4:$F$40)*O13)+(LOOKUP(O2,'Window-U'!$A$4:$A$40,'Window-U'!$F$4:$F$40)*O22))*O24</f>
        <v>4215.8577587770542</v>
      </c>
      <c r="P27" s="177">
        <f>((LOOKUP(P2,'Ceiling-U'!$A$4:$A$40,'Ceiling-U'!$F$4:$F$40)*P15)+(LOOKUP(P2,'Floor-U'!$A$4:$A$40,'Floor-U'!$F$4:$F$40)*P16)+(LOOKUP(P2,'Wall-U'!$A$4:$A$40,'Wall-U'!$F$4:$F$40)*P13)+(LOOKUP(P2,'Window-U'!$A$4:$A$40,'Window-U'!$F$4:$F$40)*P22))*P24</f>
        <v>2718.9364545809658</v>
      </c>
      <c r="Q27" s="177">
        <f>((LOOKUP(Q2,'Ceiling-U'!$A$4:$A$40,'Ceiling-U'!$F$4:$F$40)*Q15)+(LOOKUP(Q2,'Floor-U'!$A$4:$A$40,'Floor-U'!$F$4:$F$40)*Q16)+(LOOKUP(Q2,'Wall-U'!$A$4:$A$40,'Wall-U'!$F$4:$F$40)*Q13)+(LOOKUP(Q2,'Window-U'!$A$4:$A$40,'Window-U'!$F$4:$F$40)*Q22))*Q24</f>
        <v>2585.9141096952026</v>
      </c>
      <c r="R27" s="177">
        <f>((LOOKUP(R2,'Ceiling-U'!$A$4:$A$40,'Ceiling-U'!$F$4:$F$40)*R15)+(LOOKUP(R2,'Floor-U'!$A$4:$A$40,'Floor-U'!$F$4:$F$40)*R16)+(LOOKUP(R2,'Wall-U'!$A$4:$A$40,'Wall-U'!$F$4:$F$40)*R13)+(LOOKUP(R2,'Window-U'!$A$4:$A$40,'Window-U'!$F$4:$F$40)*R22))*R24</f>
        <v>2098.3230832020108</v>
      </c>
      <c r="S27" s="177">
        <f>((LOOKUP(S2,'Ceiling-U'!$A$4:$A$40,'Ceiling-U'!$F$4:$F$40)*S15)+(LOOKUP(S2,'Floor-U'!$A$4:$A$40,'Floor-U'!$F$4:$F$40)*S16)+(LOOKUP(S2,'Wall-U'!$A$4:$A$40,'Wall-U'!$F$4:$F$40)*S13)+(LOOKUP(S2,'Window-U'!$A$4:$A$40,'Window-U'!$F$4:$F$40)*S22))*S24</f>
        <v>8676.5948483949887</v>
      </c>
      <c r="T27" s="177">
        <f>((LOOKUP(T2,'Ceiling-U'!$A$4:$A$40,'Ceiling-U'!$F$4:$F$40)*T15)+(LOOKUP(T2,'Floor-U'!$A$4:$A$40,'Floor-U'!$F$4:$F$40)*T16)+(LOOKUP(T2,'Wall-U'!$A$4:$A$40,'Wall-U'!$F$4:$F$40)*T13)+(LOOKUP(T2,'Window-U'!$A$4:$A$40,'Window-U'!$F$4:$F$40)*T22))*T24</f>
        <v>1011.6968982788708</v>
      </c>
      <c r="U27" s="177">
        <f>((LOOKUP(U2,'Ceiling-U'!$A$4:$A$40,'Ceiling-U'!$F$4:$F$40)*U15)+(LOOKUP(U2,'Floor-U'!$A$4:$A$40,'Floor-U'!$F$4:$F$40)*U16)+(LOOKUP(U2,'Wall-U'!$A$4:$A$40,'Wall-U'!$F$4:$F$40)*U13)+(LOOKUP(U2,'Window-U'!$A$4:$A$40,'Window-U'!$F$4:$F$40)*U22))*U24</f>
        <v>3911.7173450218543</v>
      </c>
      <c r="V27" s="177">
        <f>((LOOKUP(V2,'Ceiling-U'!$A$4:$A$40,'Ceiling-U'!$F$4:$F$40)*V15)+(LOOKUP(V2,'Floor-U'!$A$4:$A$40,'Floor-U'!$F$4:$F$40)*V16)+(LOOKUP(V2,'Wall-U'!$A$4:$A$40,'Wall-U'!$F$4:$F$40)*V13)+(LOOKUP(V2,'Window-U'!$A$4:$A$40,'Window-U'!$F$4:$F$40)*V22))*V24</f>
        <v>1527.5071045766331</v>
      </c>
      <c r="W27" s="177">
        <f>((LOOKUP(W2,'Ceiling-U'!$A$4:$A$40,'Ceiling-U'!$F$4:$F$40)*W15)+(LOOKUP(W2,'Floor-U'!$A$4:$A$40,'Floor-U'!$F$4:$F$40)*W16)+(LOOKUP(W2,'Wall-U'!$A$4:$A$40,'Wall-U'!$F$4:$F$40)*W13)+(LOOKUP(W2,'Window-U'!$A$4:$A$40,'Window-U'!$F$4:$F$40)*W22))*W24</f>
        <v>3105.1800268340344</v>
      </c>
      <c r="X27" s="177">
        <f>((LOOKUP(X2,'Ceiling-U'!$A$4:$A$40,'Ceiling-U'!$F$4:$F$40)*X15)+(LOOKUP(X2,'Floor-U'!$A$4:$A$40,'Floor-U'!$F$4:$F$40)*X16)+(LOOKUP(X2,'Wall-U'!$A$4:$A$40,'Wall-U'!$F$4:$F$40)*X13)+(LOOKUP(X2,'Window-U'!$A$4:$A$40,'Window-U'!$F$4:$F$40)*X22))*X24</f>
        <v>1629.7433489193809</v>
      </c>
      <c r="Y27" s="177">
        <f>((LOOKUP(Y2,'Ceiling-U'!$A$4:$A$40,'Ceiling-U'!$F$4:$F$40)*Y15)+(LOOKUP(Y2,'Floor-U'!$A$4:$A$40,'Floor-U'!$F$4:$F$40)*Y16)+(LOOKUP(Y2,'Wall-U'!$A$4:$A$40,'Wall-U'!$F$4:$F$40)*Y13)+(LOOKUP(Y2,'Window-U'!$A$4:$A$40,'Window-U'!$F$4:$F$40)*Y22))*Y24</f>
        <v>5626.5963363246892</v>
      </c>
      <c r="Z27" s="177">
        <f>((LOOKUP(Z2,'Ceiling-U'!$A$4:$A$40,'Ceiling-U'!$F$4:$F$40)*Z15)+(LOOKUP(Z2,'Floor-U'!$A$4:$A$40,'Floor-U'!$F$4:$F$40)*Z16)+(LOOKUP(Z2,'Wall-U'!$A$4:$A$40,'Wall-U'!$F$4:$F$40)*Z13)+(LOOKUP(Z2,'Window-U'!$A$4:$A$40,'Window-U'!$F$4:$F$40)*Z22))*Z24</f>
        <v>2858.9131872151092</v>
      </c>
      <c r="AA27" s="177">
        <f>((LOOKUP(AA2,'Ceiling-U'!$A$4:$A$40,'Ceiling-U'!$F$4:$F$40)*AA15)+(LOOKUP(AA2,'Floor-U'!$A$4:$A$40,'Floor-U'!$F$4:$F$40)*AA16)+(LOOKUP(AA2,'Wall-U'!$A$4:$A$40,'Wall-U'!$F$4:$F$40)*AA13)+(LOOKUP(AA2,'Window-U'!$A$4:$A$40,'Window-U'!$F$4:$F$40)*AA22))*AA24</f>
        <v>1020.6328350713896</v>
      </c>
      <c r="AB27" s="177">
        <f>((LOOKUP(AB2,'Ceiling-U'!$A$4:$A$40,'Ceiling-U'!$F$4:$F$40)*AB15)+(LOOKUP(AB2,'Floor-U'!$A$4:$A$40,'Floor-U'!$F$4:$F$40)*AB16)+(LOOKUP(AB2,'Wall-U'!$A$4:$A$40,'Wall-U'!$F$4:$F$40)*AB13)+(LOOKUP(AB2,'Window-U'!$A$4:$A$40,'Window-U'!$F$4:$F$40)*AB22))*AB24</f>
        <v>2454.1966331889726</v>
      </c>
      <c r="AC27" s="177">
        <f>((LOOKUP(AC2,'Ceiling-U'!$A$4:$A$40,'Ceiling-U'!$F$4:$F$40)*AC15)+(LOOKUP(AC2,'Floor-U'!$A$4:$A$40,'Floor-U'!$F$4:$F$40)*AC16)+(LOOKUP(AC2,'Wall-U'!$A$4:$A$40,'Wall-U'!$F$4:$F$40)*AC13)+(LOOKUP(AC2,'Window-U'!$A$4:$A$40,'Window-U'!$F$4:$F$40)*AC22))*AC24</f>
        <v>4077.1981382982626</v>
      </c>
      <c r="AD27" s="177">
        <f>((LOOKUP(AD2,'Ceiling-U'!$A$4:$A$40,'Ceiling-U'!$F$4:$F$40)*AD15)+(LOOKUP(AD2,'Floor-U'!$A$4:$A$40,'Floor-U'!$F$4:$F$40)*AD16)+(LOOKUP(AD2,'Wall-U'!$A$4:$A$40,'Wall-U'!$F$4:$F$40)*AD13)+(LOOKUP(AD2,'Window-U'!$A$4:$A$40,'Window-U'!$F$4:$F$40)*AD22))*AD24</f>
        <v>5969.7333412497464</v>
      </c>
      <c r="AE27" s="177">
        <f>((LOOKUP(AE2,'Ceiling-U'!$A$4:$A$40,'Ceiling-U'!$F$4:$F$40)*AE15)+(LOOKUP(AE2,'Floor-U'!$A$4:$A$40,'Floor-U'!$F$4:$F$40)*AE16)+(LOOKUP(AE2,'Wall-U'!$A$4:$A$40,'Wall-U'!$F$4:$F$40)*AE13)+(LOOKUP(AE2,'Window-U'!$A$4:$A$40,'Window-U'!$F$4:$F$40)*AE22))*AE24</f>
        <v>1020.6328350713896</v>
      </c>
      <c r="AF27" s="177">
        <f>((LOOKUP(AF2,'Ceiling-U'!$A$4:$A$40,'Ceiling-U'!$F$4:$F$40)*AF15)+(LOOKUP(AF2,'Floor-U'!$A$4:$A$40,'Floor-U'!$F$4:$F$40)*AF16)+(LOOKUP(AF2,'Wall-U'!$A$4:$A$40,'Wall-U'!$F$4:$F$40)*AF13)+(LOOKUP(AF2,'Window-U'!$A$4:$A$40,'Window-U'!$F$4:$F$40)*AF22))*AF24</f>
        <v>2025.6816839383105</v>
      </c>
      <c r="AG27" s="177">
        <f>((LOOKUP(AG2,'Ceiling-U'!$A$4:$A$40,'Ceiling-U'!$F$4:$F$40)*AG15)+(LOOKUP(AG2,'Floor-U'!$A$4:$A$40,'Floor-U'!$F$4:$F$40)*AG16)+(LOOKUP(AG2,'Wall-U'!$A$4:$A$40,'Wall-U'!$F$4:$F$40)*AG13)+(LOOKUP(AG2,'Window-U'!$A$4:$A$40,'Window-U'!$F$4:$F$40)*AG22))*AG24</f>
        <v>2373.5886665187008</v>
      </c>
      <c r="AH27" s="177">
        <f>((LOOKUP(AH2,'Ceiling-U'!$A$4:$A$40,'Ceiling-U'!$F$4:$F$40)*AH15)+(LOOKUP(AH2,'Floor-U'!$A$4:$A$40,'Floor-U'!$F$4:$F$40)*AH16)+(LOOKUP(AH2,'Wall-U'!$A$4:$A$40,'Wall-U'!$F$4:$F$40)*AH13)+(LOOKUP(AH2,'Window-U'!$A$4:$A$40,'Window-U'!$F$4:$F$40)*AH22))*AH24</f>
        <v>7626.916030856798</v>
      </c>
      <c r="AI27" s="177">
        <f>((LOOKUP(AI2,'Ceiling-U'!$A$4:$A$40,'Ceiling-U'!$F$4:$F$40)*AI15)+(LOOKUP(AI2,'Floor-U'!$A$4:$A$40,'Floor-U'!$F$4:$F$40)*AI16)+(LOOKUP(AI2,'Wall-U'!$A$4:$A$40,'Wall-U'!$F$4:$F$40)*AI13)+(LOOKUP(AI2,'Window-U'!$A$4:$A$40,'Window-U'!$F$4:$F$40)*AI22))*AI24</f>
        <v>4344.0409813856495</v>
      </c>
      <c r="AJ27" s="177">
        <f>((LOOKUP(AJ2,'Ceiling-U'!$A$4:$A$40,'Ceiling-U'!$F$4:$F$40)*AJ15)+(LOOKUP(AJ2,'Floor-U'!$A$4:$A$40,'Floor-U'!$F$4:$F$40)*AJ16)+(LOOKUP(AJ2,'Wall-U'!$A$4:$A$40,'Wall-U'!$F$4:$F$40)*AJ13)+(LOOKUP(AJ2,'Window-U'!$A$4:$A$40,'Window-U'!$F$4:$F$40)*AJ22))*AJ24</f>
        <v>2377.4645369594823</v>
      </c>
      <c r="AK27" s="177">
        <f>((LOOKUP(AK2,'Ceiling-U'!$A$4:$A$40,'Ceiling-U'!$F$4:$F$40)*AK15)+(LOOKUP(AK2,'Floor-U'!$A$4:$A$40,'Floor-U'!$F$4:$F$40)*AK16)+(LOOKUP(AK2,'Wall-U'!$A$4:$A$40,'Wall-U'!$F$4:$F$40)*AK13)+(LOOKUP(AK2,'Window-U'!$A$4:$A$40,'Window-U'!$F$4:$F$40)*AK22))*AK24</f>
        <v>2561.3984471859962</v>
      </c>
      <c r="AL27" s="177">
        <f>((LOOKUP(AL2,'Ceiling-U'!$A$4:$A$40,'Ceiling-U'!$F$4:$F$40)*AL15)+(LOOKUP(AL2,'Floor-U'!$A$4:$A$40,'Floor-U'!$F$4:$F$40)*AL16)+(LOOKUP(AL2,'Wall-U'!$A$4:$A$40,'Wall-U'!$F$4:$F$40)*AL13)+(LOOKUP(AL2,'Window-U'!$A$4:$A$40,'Window-U'!$F$4:$F$40)*AL22))*AL24</f>
        <v>2535.8929261710114</v>
      </c>
      <c r="AM27" s="177">
        <f>((LOOKUP(AM2,'Ceiling-U'!$A$4:$A$40,'Ceiling-U'!$F$4:$F$40)*AM15)+(LOOKUP(AM2,'Floor-U'!$A$4:$A$40,'Floor-U'!$F$4:$F$40)*AM16)+(LOOKUP(AM2,'Wall-U'!$A$4:$A$40,'Wall-U'!$F$4:$F$40)*AM13)+(LOOKUP(AM2,'Window-U'!$A$4:$A$40,'Window-U'!$F$4:$F$40)*AM22))*AM24</f>
        <v>2377.4645369594823</v>
      </c>
      <c r="AN27" s="178">
        <f>((LOOKUP(AN2,'Ceiling-U'!$A$4:$A$40,'Ceiling-U'!$F$4:$F$40)*AN15)+(LOOKUP(AN2,'Floor-U'!$A$4:$A$40,'Floor-U'!$F$4:$F$40)*AN16)+(LOOKUP(AN2,'Wall-U'!$A$4:$A$40,'Wall-U'!$F$4:$F$40)*AN13)+(LOOKUP(AN2,'Window-U'!$A$4:$A$40,'Window-U'!$F$4:$F$40)*AN22))*AN24</f>
        <v>2377.4645369594823</v>
      </c>
    </row>
    <row r="28" spans="1:40">
      <c r="A28" s="129"/>
      <c r="B28" s="142" t="s">
        <v>4</v>
      </c>
      <c r="C28" s="129" t="s">
        <v>195</v>
      </c>
      <c r="D28" s="176">
        <f>((LOOKUP(D2,'Ceiling-U'!$A$4:$A$40,'Ceiling-U'!$G$4:$G$40)*D15)+(LOOKUP(D2,'Floor-U'!$A$4:$A$40,'Floor-U'!$G$4:$G$40)*D16)+(LOOKUP(D2,'Wall-U'!$A$4:$A$40,'Wall-U'!$G$4:$G$40)*D13)+(LOOKUP(D2,'Window-U'!$A$4:$A$40,'Window-U'!$G$4:$G$40)*D22))*D24</f>
        <v>1804.0783637341995</v>
      </c>
      <c r="E28" s="177">
        <f>((LOOKUP(E2,'Ceiling-U'!$A$4:$A$40,'Ceiling-U'!$G$4:$G$40)*E15)+(LOOKUP(E2,'Floor-U'!$A$4:$A$40,'Floor-U'!$G$4:$G$40)*E16)+(LOOKUP(E2,'Wall-U'!$A$4:$A$40,'Wall-U'!$G$4:$G$40)*E13)+(LOOKUP(E2,'Window-U'!$A$4:$A$40,'Window-U'!$G$4:$G$40)*E22))*E24</f>
        <v>3327.6059714657667</v>
      </c>
      <c r="F28" s="177">
        <f>((LOOKUP(F2,'Ceiling-U'!$A$4:$A$40,'Ceiling-U'!$G$4:$G$40)*F15)+(LOOKUP(F2,'Floor-U'!$A$4:$A$40,'Floor-U'!$G$4:$G$40)*F16)+(LOOKUP(F2,'Wall-U'!$A$4:$A$40,'Wall-U'!$G$4:$G$40)*F13)+(LOOKUP(F2,'Window-U'!$A$4:$A$40,'Window-U'!$G$4:$G$40)*F22))*F24</f>
        <v>3799.1224187795474</v>
      </c>
      <c r="G28" s="177">
        <f>((LOOKUP(G2,'Ceiling-U'!$A$4:$A$40,'Ceiling-U'!$G$4:$G$40)*G15)+(LOOKUP(G2,'Floor-U'!$A$4:$A$40,'Floor-U'!$G$4:$G$40)*G16)+(LOOKUP(G2,'Wall-U'!$A$4:$A$40,'Wall-U'!$G$4:$G$40)*G13)+(LOOKUP(G2,'Window-U'!$A$4:$A$40,'Window-U'!$G$4:$G$40)*G22))*G24</f>
        <v>1804.0783637341995</v>
      </c>
      <c r="H28" s="177">
        <f>((LOOKUP(H2,'Ceiling-U'!$A$4:$A$40,'Ceiling-U'!$G$4:$G$40)*H15)+(LOOKUP(H2,'Floor-U'!$A$4:$A$40,'Floor-U'!$G$4:$G$40)*H16)+(LOOKUP(H2,'Wall-U'!$A$4:$A$40,'Wall-U'!$G$4:$G$40)*H13)+(LOOKUP(H2,'Window-U'!$A$4:$A$40,'Window-U'!$G$4:$G$40)*H22))*H24</f>
        <v>3865.5951321300236</v>
      </c>
      <c r="I28" s="177">
        <f>((LOOKUP(I2,'Ceiling-U'!$A$4:$A$40,'Ceiling-U'!$G$4:$G$40)*I15)+(LOOKUP(I2,'Floor-U'!$A$4:$A$40,'Floor-U'!$G$4:$G$40)*I16)+(LOOKUP(I2,'Wall-U'!$A$4:$A$40,'Wall-U'!$G$4:$G$40)*I13)+(LOOKUP(I2,'Window-U'!$A$4:$A$40,'Window-U'!$G$4:$G$40)*I22))*I24</f>
        <v>1529.052947789826</v>
      </c>
      <c r="J28" s="177">
        <f>((LOOKUP(J2,'Ceiling-U'!$A$4:$A$40,'Ceiling-U'!$G$4:$G$40)*J15)+(LOOKUP(J2,'Floor-U'!$A$4:$A$40,'Floor-U'!$G$4:$G$40)*J16)+(LOOKUP(J2,'Wall-U'!$A$4:$A$40,'Wall-U'!$G$4:$G$40)*J13)+(LOOKUP(J2,'Window-U'!$A$4:$A$40,'Window-U'!$G$4:$G$40)*J22))*J24</f>
        <v>1479.5943887198525</v>
      </c>
      <c r="K28" s="177">
        <f>((LOOKUP(K2,'Ceiling-U'!$A$4:$A$40,'Ceiling-U'!$G$4:$G$40)*K15)+(LOOKUP(K2,'Floor-U'!$A$4:$A$40,'Floor-U'!$G$4:$G$40)*K16)+(LOOKUP(K2,'Wall-U'!$A$4:$A$40,'Wall-U'!$G$4:$G$40)*K13)+(LOOKUP(K2,'Window-U'!$A$4:$A$40,'Window-U'!$G$4:$G$40)*K22))*K24</f>
        <v>1435.3439825036451</v>
      </c>
      <c r="L28" s="177">
        <f>((LOOKUP(L2,'Ceiling-U'!$A$4:$A$40,'Ceiling-U'!$G$4:$G$40)*L15)+(LOOKUP(L2,'Floor-U'!$A$4:$A$40,'Floor-U'!$G$4:$G$40)*L16)+(LOOKUP(L2,'Wall-U'!$A$4:$A$40,'Wall-U'!$G$4:$G$40)*L13)+(LOOKUP(L2,'Window-U'!$A$4:$A$40,'Window-U'!$G$4:$G$40)*L22))*L24</f>
        <v>647.56771882451756</v>
      </c>
      <c r="M28" s="177">
        <f>((LOOKUP(M2,'Ceiling-U'!$A$4:$A$40,'Ceiling-U'!$G$4:$G$40)*M15)+(LOOKUP(M2,'Floor-U'!$A$4:$A$40,'Floor-U'!$G$4:$G$40)*M16)+(LOOKUP(M2,'Wall-U'!$A$4:$A$40,'Wall-U'!$G$4:$G$40)*M13)+(LOOKUP(M2,'Window-U'!$A$4:$A$40,'Window-U'!$G$4:$G$40)*M22))*M24</f>
        <v>2756.9001933104578</v>
      </c>
      <c r="N28" s="177">
        <f>((LOOKUP(N2,'Ceiling-U'!$A$4:$A$40,'Ceiling-U'!$G$4:$G$40)*N15)+(LOOKUP(N2,'Floor-U'!$A$4:$A$40,'Floor-U'!$G$4:$G$40)*N16)+(LOOKUP(N2,'Wall-U'!$A$4:$A$40,'Wall-U'!$G$4:$G$40)*N13)+(LOOKUP(N2,'Window-U'!$A$4:$A$40,'Window-U'!$G$4:$G$40)*N22))*N24</f>
        <v>1614.9626508885754</v>
      </c>
      <c r="O28" s="177">
        <f>((LOOKUP(O2,'Ceiling-U'!$A$4:$A$40,'Ceiling-U'!$G$4:$G$40)*O15)+(LOOKUP(O2,'Floor-U'!$A$4:$A$40,'Floor-U'!$G$4:$G$40)*O16)+(LOOKUP(O2,'Wall-U'!$A$4:$A$40,'Wall-U'!$G$4:$G$40)*O13)+(LOOKUP(O2,'Window-U'!$A$4:$A$40,'Window-U'!$G$4:$G$40)*O22))*O24</f>
        <v>1879.2028058608216</v>
      </c>
      <c r="P28" s="177">
        <f>((LOOKUP(P2,'Ceiling-U'!$A$4:$A$40,'Ceiling-U'!$G$4:$G$40)*P15)+(LOOKUP(P2,'Floor-U'!$A$4:$A$40,'Floor-U'!$G$4:$G$40)*P16)+(LOOKUP(P2,'Wall-U'!$A$4:$A$40,'Wall-U'!$G$4:$G$40)*P13)+(LOOKUP(P2,'Window-U'!$A$4:$A$40,'Window-U'!$G$4:$G$40)*P22))*P24</f>
        <v>2718.9364545809658</v>
      </c>
      <c r="Q28" s="177">
        <f>((LOOKUP(Q2,'Ceiling-U'!$A$4:$A$40,'Ceiling-U'!$G$4:$G$40)*Q15)+(LOOKUP(Q2,'Floor-U'!$A$4:$A$40,'Floor-U'!$G$4:$G$40)*Q16)+(LOOKUP(Q2,'Wall-U'!$A$4:$A$40,'Wall-U'!$G$4:$G$40)*Q13)+(LOOKUP(Q2,'Window-U'!$A$4:$A$40,'Window-U'!$G$4:$G$40)*Q22))*Q24</f>
        <v>2196.1372299722325</v>
      </c>
      <c r="R28" s="177">
        <f>((LOOKUP(R2,'Ceiling-U'!$A$4:$A$40,'Ceiling-U'!$G$4:$G$40)*R15)+(LOOKUP(R2,'Floor-U'!$A$4:$A$40,'Floor-U'!$G$4:$G$40)*R16)+(LOOKUP(R2,'Wall-U'!$A$4:$A$40,'Wall-U'!$G$4:$G$40)*R13)+(LOOKUP(R2,'Window-U'!$A$4:$A$40,'Window-U'!$G$4:$G$40)*R22))*R24</f>
        <v>1788.1604045891338</v>
      </c>
      <c r="S28" s="177">
        <f>((LOOKUP(S2,'Ceiling-U'!$A$4:$A$40,'Ceiling-U'!$G$4:$G$40)*S15)+(LOOKUP(S2,'Floor-U'!$A$4:$A$40,'Floor-U'!$G$4:$G$40)*S16)+(LOOKUP(S2,'Wall-U'!$A$4:$A$40,'Wall-U'!$G$4:$G$40)*S13)+(LOOKUP(S2,'Window-U'!$A$4:$A$40,'Window-U'!$G$4:$G$40)*S22))*S24</f>
        <v>7636.8763534463797</v>
      </c>
      <c r="T28" s="177">
        <f>((LOOKUP(T2,'Ceiling-U'!$A$4:$A$40,'Ceiling-U'!$G$4:$G$40)*T15)+(LOOKUP(T2,'Floor-U'!$A$4:$A$40,'Floor-U'!$G$4:$G$40)*T16)+(LOOKUP(T2,'Wall-U'!$A$4:$A$40,'Wall-U'!$G$4:$G$40)*T13)+(LOOKUP(T2,'Window-U'!$A$4:$A$40,'Window-U'!$G$4:$G$40)*T22))*T24</f>
        <v>807.79436393382616</v>
      </c>
      <c r="U28" s="177">
        <f>((LOOKUP(U2,'Ceiling-U'!$A$4:$A$40,'Ceiling-U'!$G$4:$G$40)*U15)+(LOOKUP(U2,'Floor-U'!$A$4:$A$40,'Floor-U'!$G$4:$G$40)*U16)+(LOOKUP(U2,'Wall-U'!$A$4:$A$40,'Wall-U'!$G$4:$G$40)*U13)+(LOOKUP(U2,'Window-U'!$A$4:$A$40,'Window-U'!$G$4:$G$40)*U22))*U24</f>
        <v>3701.1773450218539</v>
      </c>
      <c r="V28" s="177">
        <f>((LOOKUP(V2,'Ceiling-U'!$A$4:$A$40,'Ceiling-U'!$G$4:$G$40)*V15)+(LOOKUP(V2,'Floor-U'!$A$4:$A$40,'Floor-U'!$G$4:$G$40)*V16)+(LOOKUP(V2,'Wall-U'!$A$4:$A$40,'Wall-U'!$G$4:$G$40)*V13)+(LOOKUP(V2,'Window-U'!$A$4:$A$40,'Window-U'!$G$4:$G$40)*V22))*V24</f>
        <v>932.43049620361808</v>
      </c>
      <c r="W28" s="177">
        <f>((LOOKUP(W2,'Ceiling-U'!$A$4:$A$40,'Ceiling-U'!$G$4:$G$40)*W15)+(LOOKUP(W2,'Floor-U'!$A$4:$A$40,'Floor-U'!$G$4:$G$40)*W16)+(LOOKUP(W2,'Wall-U'!$A$4:$A$40,'Wall-U'!$G$4:$G$40)*W13)+(LOOKUP(W2,'Window-U'!$A$4:$A$40,'Window-U'!$G$4:$G$40)*W22))*W24</f>
        <v>1519.2875961245998</v>
      </c>
      <c r="X28" s="177">
        <f>((LOOKUP(X2,'Ceiling-U'!$A$4:$A$40,'Ceiling-U'!$G$4:$G$40)*X15)+(LOOKUP(X2,'Floor-U'!$A$4:$A$40,'Floor-U'!$G$4:$G$40)*X16)+(LOOKUP(X2,'Wall-U'!$A$4:$A$40,'Wall-U'!$G$4:$G$40)*X13)+(LOOKUP(X2,'Window-U'!$A$4:$A$40,'Window-U'!$G$4:$G$40)*X22))*X24</f>
        <v>1504.3140140274427</v>
      </c>
      <c r="Y28" s="177">
        <f>((LOOKUP(Y2,'Ceiling-U'!$A$4:$A$40,'Ceiling-U'!$G$4:$G$40)*Y15)+(LOOKUP(Y2,'Floor-U'!$A$4:$A$40,'Floor-U'!$G$4:$G$40)*Y16)+(LOOKUP(Y2,'Wall-U'!$A$4:$A$40,'Wall-U'!$G$4:$G$40)*Y13)+(LOOKUP(Y2,'Window-U'!$A$4:$A$40,'Window-U'!$G$4:$G$40)*Y22))*Y24</f>
        <v>4320.6815011183762</v>
      </c>
      <c r="Z28" s="177">
        <f>((LOOKUP(Z2,'Ceiling-U'!$A$4:$A$40,'Ceiling-U'!$G$4:$G$40)*Z15)+(LOOKUP(Z2,'Floor-U'!$A$4:$A$40,'Floor-U'!$G$4:$G$40)*Z16)+(LOOKUP(Z2,'Wall-U'!$A$4:$A$40,'Wall-U'!$G$4:$G$40)*Z13)+(LOOKUP(Z2,'Window-U'!$A$4:$A$40,'Window-U'!$G$4:$G$40)*Z22))*Z24</f>
        <v>2801.1838314151091</v>
      </c>
      <c r="AA28" s="177">
        <f>((LOOKUP(AA2,'Ceiling-U'!$A$4:$A$40,'Ceiling-U'!$G$4:$G$40)*AA15)+(LOOKUP(AA2,'Floor-U'!$A$4:$A$40,'Floor-U'!$G$4:$G$40)*AA16)+(LOOKUP(AA2,'Wall-U'!$A$4:$A$40,'Wall-U'!$G$4:$G$40)*AA13)+(LOOKUP(AA2,'Window-U'!$A$4:$A$40,'Window-U'!$G$4:$G$40)*AA22))*AA24</f>
        <v>703.97635159968218</v>
      </c>
      <c r="AB28" s="177">
        <f>((LOOKUP(AB2,'Ceiling-U'!$A$4:$A$40,'Ceiling-U'!$G$4:$G$40)*AB15)+(LOOKUP(AB2,'Floor-U'!$A$4:$A$40,'Floor-U'!$G$4:$G$40)*AB16)+(LOOKUP(AB2,'Wall-U'!$A$4:$A$40,'Wall-U'!$G$4:$G$40)*AB13)+(LOOKUP(AB2,'Window-U'!$A$4:$A$40,'Window-U'!$G$4:$G$40)*AB22))*AB24</f>
        <v>1671.9742330699796</v>
      </c>
      <c r="AC28" s="177">
        <f>((LOOKUP(AC2,'Ceiling-U'!$A$4:$A$40,'Ceiling-U'!$G$4:$G$40)*AC15)+(LOOKUP(AC2,'Floor-U'!$A$4:$A$40,'Floor-U'!$G$4:$G$40)*AC16)+(LOOKUP(AC2,'Wall-U'!$A$4:$A$40,'Wall-U'!$G$4:$G$40)*AC13)+(LOOKUP(AC2,'Window-U'!$A$4:$A$40,'Window-U'!$G$4:$G$40)*AC22))*AC24</f>
        <v>4019.2020398982627</v>
      </c>
      <c r="AD28" s="177">
        <f>((LOOKUP(AD2,'Ceiling-U'!$A$4:$A$40,'Ceiling-U'!$G$4:$G$40)*AD15)+(LOOKUP(AD2,'Floor-U'!$A$4:$A$40,'Floor-U'!$G$4:$G$40)*AD16)+(LOOKUP(AD2,'Wall-U'!$A$4:$A$40,'Wall-U'!$G$4:$G$40)*AD13)+(LOOKUP(AD2,'Window-U'!$A$4:$A$40,'Window-U'!$G$4:$G$40)*AD22))*AD24</f>
        <v>5969.7333412497464</v>
      </c>
      <c r="AE28" s="177">
        <f>((LOOKUP(AE2,'Ceiling-U'!$A$4:$A$40,'Ceiling-U'!$G$4:$G$40)*AE15)+(LOOKUP(AE2,'Floor-U'!$A$4:$A$40,'Floor-U'!$G$4:$G$40)*AE16)+(LOOKUP(AE2,'Wall-U'!$A$4:$A$40,'Wall-U'!$G$4:$G$40)*AE13)+(LOOKUP(AE2,'Window-U'!$A$4:$A$40,'Window-U'!$G$4:$G$40)*AE22))*AE24</f>
        <v>703.97635159968218</v>
      </c>
      <c r="AF28" s="177">
        <f>((LOOKUP(AF2,'Ceiling-U'!$A$4:$A$40,'Ceiling-U'!$G$4:$G$40)*AF15)+(LOOKUP(AF2,'Floor-U'!$A$4:$A$40,'Floor-U'!$G$4:$G$40)*AF16)+(LOOKUP(AF2,'Wall-U'!$A$4:$A$40,'Wall-U'!$G$4:$G$40)*AF13)+(LOOKUP(AF2,'Window-U'!$A$4:$A$40,'Window-U'!$G$4:$G$40)*AF22))*AF24</f>
        <v>1905.1403774383107</v>
      </c>
      <c r="AG28" s="177">
        <f>((LOOKUP(AG2,'Ceiling-U'!$A$4:$A$40,'Ceiling-U'!$G$4:$G$40)*AG15)+(LOOKUP(AG2,'Floor-U'!$A$4:$A$40,'Floor-U'!$G$4:$G$40)*AG16)+(LOOKUP(AG2,'Wall-U'!$A$4:$A$40,'Wall-U'!$G$4:$G$40)*AG13)+(LOOKUP(AG2,'Window-U'!$A$4:$A$40,'Window-U'!$G$4:$G$40)*AG22))*AG24</f>
        <v>2373.5886665187008</v>
      </c>
      <c r="AH28" s="177">
        <f>((LOOKUP(AH2,'Ceiling-U'!$A$4:$A$40,'Ceiling-U'!$G$4:$G$40)*AH15)+(LOOKUP(AH2,'Floor-U'!$A$4:$A$40,'Floor-U'!$G$4:$G$40)*AH16)+(LOOKUP(AH2,'Wall-U'!$A$4:$A$40,'Wall-U'!$G$4:$G$40)*AH13)+(LOOKUP(AH2,'Window-U'!$A$4:$A$40,'Window-U'!$G$4:$G$40)*AH22))*AH24</f>
        <v>6187.0972494535399</v>
      </c>
      <c r="AI28" s="177">
        <f>((LOOKUP(AI2,'Ceiling-U'!$A$4:$A$40,'Ceiling-U'!$G$4:$G$40)*AI15)+(LOOKUP(AI2,'Floor-U'!$A$4:$A$40,'Floor-U'!$G$4:$G$40)*AI16)+(LOOKUP(AI2,'Wall-U'!$A$4:$A$40,'Wall-U'!$G$4:$G$40)*AI13)+(LOOKUP(AI2,'Window-U'!$A$4:$A$40,'Window-U'!$G$4:$G$40)*AI22))*AI24</f>
        <v>4344.0409813856495</v>
      </c>
      <c r="AJ28" s="177">
        <f>((LOOKUP(AJ2,'Ceiling-U'!$A$4:$A$40,'Ceiling-U'!$G$4:$G$40)*AJ15)+(LOOKUP(AJ2,'Floor-U'!$A$4:$A$40,'Floor-U'!$G$4:$G$40)*AJ16)+(LOOKUP(AJ2,'Wall-U'!$A$4:$A$40,'Wall-U'!$G$4:$G$40)*AJ13)+(LOOKUP(AJ2,'Window-U'!$A$4:$A$40,'Window-U'!$G$4:$G$40)*AJ22))*AJ24</f>
        <v>2377.4645369594823</v>
      </c>
      <c r="AK28" s="177">
        <f>((LOOKUP(AK2,'Ceiling-U'!$A$4:$A$40,'Ceiling-U'!$G$4:$G$40)*AK15)+(LOOKUP(AK2,'Floor-U'!$A$4:$A$40,'Floor-U'!$G$4:$G$40)*AK16)+(LOOKUP(AK2,'Wall-U'!$A$4:$A$40,'Wall-U'!$G$4:$G$40)*AK13)+(LOOKUP(AK2,'Window-U'!$A$4:$A$40,'Window-U'!$G$4:$G$40)*AK22))*AK24</f>
        <v>2561.3984471859962</v>
      </c>
      <c r="AL28" s="177">
        <f>((LOOKUP(AL2,'Ceiling-U'!$A$4:$A$40,'Ceiling-U'!$G$4:$G$40)*AL15)+(LOOKUP(AL2,'Floor-U'!$A$4:$A$40,'Floor-U'!$G$4:$G$40)*AL16)+(LOOKUP(AL2,'Wall-U'!$A$4:$A$40,'Wall-U'!$G$4:$G$40)*AL13)+(LOOKUP(AL2,'Window-U'!$A$4:$A$40,'Window-U'!$G$4:$G$40)*AL22))*AL24</f>
        <v>2371.6381553823644</v>
      </c>
      <c r="AM28" s="177">
        <f>((LOOKUP(AM2,'Ceiling-U'!$A$4:$A$40,'Ceiling-U'!$G$4:$G$40)*AM15)+(LOOKUP(AM2,'Floor-U'!$A$4:$A$40,'Floor-U'!$G$4:$G$40)*AM16)+(LOOKUP(AM2,'Wall-U'!$A$4:$A$40,'Wall-U'!$G$4:$G$40)*AM13)+(LOOKUP(AM2,'Window-U'!$A$4:$A$40,'Window-U'!$G$4:$G$40)*AM22))*AM24</f>
        <v>2377.4645369594823</v>
      </c>
      <c r="AN28" s="178">
        <f>((LOOKUP(AN2,'Ceiling-U'!$A$4:$A$40,'Ceiling-U'!$G$4:$G$40)*AN15)+(LOOKUP(AN2,'Floor-U'!$A$4:$A$40,'Floor-U'!$G$4:$G$40)*AN16)+(LOOKUP(AN2,'Wall-U'!$A$4:$A$40,'Wall-U'!$G$4:$G$40)*AN13)+(LOOKUP(AN2,'Window-U'!$A$4:$A$40,'Window-U'!$G$4:$G$40)*AN22))*AN24</f>
        <v>2377.4645369594823</v>
      </c>
    </row>
    <row r="29" spans="1:40">
      <c r="A29" s="129"/>
      <c r="B29" s="142" t="s">
        <v>5</v>
      </c>
      <c r="C29" s="129" t="s">
        <v>195</v>
      </c>
      <c r="D29" s="176">
        <f>((LOOKUP(D2,'Ceiling-U'!$A$4:$A$40,'Ceiling-U'!$H$4:$H$40)*D15)+(LOOKUP(D2,'Floor-U'!$A$4:$A$40,'Floor-U'!$H$4:$H$40)*D16)+(LOOKUP(D2,'Wall-U'!$A$4:$A$40,'Wall-U'!$H$4:$H$40)*D13)+(LOOKUP(D2,'Window-U'!$A$4:$A$40,'Window-U'!$H$4:$H$40)*D22))*D24</f>
        <v>1193.4906885772298</v>
      </c>
      <c r="E29" s="177">
        <f>((LOOKUP(E2,'Ceiling-U'!$A$4:$A$40,'Ceiling-U'!$H$4:$H$40)*E15)+(LOOKUP(E2,'Floor-U'!$A$4:$A$40,'Floor-U'!$H$4:$H$40)*E16)+(LOOKUP(E2,'Wall-U'!$A$4:$A$40,'Wall-U'!$H$4:$H$40)*E13)+(LOOKUP(E2,'Window-U'!$A$4:$A$40,'Window-U'!$H$4:$H$40)*E22))*E24</f>
        <v>2789.2701865412973</v>
      </c>
      <c r="F29" s="177">
        <f>((LOOKUP(F2,'Ceiling-U'!$A$4:$A$40,'Ceiling-U'!$H$4:$H$40)*F15)+(LOOKUP(F2,'Floor-U'!$A$4:$A$40,'Floor-U'!$H$4:$H$40)*F16)+(LOOKUP(F2,'Wall-U'!$A$4:$A$40,'Wall-U'!$H$4:$H$40)*F13)+(LOOKUP(F2,'Window-U'!$A$4:$A$40,'Window-U'!$H$4:$H$40)*F22))*F24</f>
        <v>3219.3512994149373</v>
      </c>
      <c r="G29" s="177">
        <f>((LOOKUP(G2,'Ceiling-U'!$A$4:$A$40,'Ceiling-U'!$H$4:$H$40)*G15)+(LOOKUP(G2,'Floor-U'!$A$4:$A$40,'Floor-U'!$H$4:$H$40)*G16)+(LOOKUP(G2,'Wall-U'!$A$4:$A$40,'Wall-U'!$H$4:$H$40)*G13)+(LOOKUP(G2,'Window-U'!$A$4:$A$40,'Window-U'!$H$4:$H$40)*G22))*G24</f>
        <v>1193.4906885772298</v>
      </c>
      <c r="H29" s="177">
        <f>((LOOKUP(H2,'Ceiling-U'!$A$4:$A$40,'Ceiling-U'!$H$4:$H$40)*H15)+(LOOKUP(H2,'Floor-U'!$A$4:$A$40,'Floor-U'!$H$4:$H$40)*H16)+(LOOKUP(H2,'Wall-U'!$A$4:$A$40,'Wall-U'!$H$4:$H$40)*H13)+(LOOKUP(H2,'Window-U'!$A$4:$A$40,'Window-U'!$H$4:$H$40)*H22))*H24</f>
        <v>3777.9951321300241</v>
      </c>
      <c r="I29" s="177">
        <f>((LOOKUP(I2,'Ceiling-U'!$A$4:$A$40,'Ceiling-U'!$H$4:$H$40)*I15)+(LOOKUP(I2,'Floor-U'!$A$4:$A$40,'Floor-U'!$H$4:$H$40)*I16)+(LOOKUP(I2,'Wall-U'!$A$4:$A$40,'Wall-U'!$H$4:$H$40)*I13)+(LOOKUP(I2,'Window-U'!$A$4:$A$40,'Window-U'!$H$4:$H$40)*I22))*I24</f>
        <v>1370.0250772160975</v>
      </c>
      <c r="J29" s="177">
        <f>((LOOKUP(J2,'Ceiling-U'!$A$4:$A$40,'Ceiling-U'!$H$4:$H$40)*J15)+(LOOKUP(J2,'Floor-U'!$A$4:$A$40,'Floor-U'!$H$4:$H$40)*J16)+(LOOKUP(J2,'Wall-U'!$A$4:$A$40,'Wall-U'!$H$4:$H$40)*J13)+(LOOKUP(J2,'Window-U'!$A$4:$A$40,'Window-U'!$H$4:$H$40)*J22))*J24</f>
        <v>1228.2656192706793</v>
      </c>
      <c r="K29" s="177">
        <f>((LOOKUP(K2,'Ceiling-U'!$A$4:$A$40,'Ceiling-U'!$H$4:$H$40)*K15)+(LOOKUP(K2,'Floor-U'!$A$4:$A$40,'Floor-U'!$H$4:$H$40)*K16)+(LOOKUP(K2,'Wall-U'!$A$4:$A$40,'Wall-U'!$H$4:$H$40)*K13)+(LOOKUP(K2,'Window-U'!$A$4:$A$40,'Window-U'!$H$4:$H$40)*K22))*K24</f>
        <v>1180.4159875026035</v>
      </c>
      <c r="L29" s="177">
        <f>((LOOKUP(L2,'Ceiling-U'!$A$4:$A$40,'Ceiling-U'!$H$4:$H$40)*L15)+(LOOKUP(L2,'Floor-U'!$A$4:$A$40,'Floor-U'!$H$4:$H$40)*L16)+(LOOKUP(L2,'Wall-U'!$A$4:$A$40,'Wall-U'!$H$4:$H$40)*L13)+(LOOKUP(L2,'Window-U'!$A$4:$A$40,'Window-U'!$H$4:$H$40)*L22))*L24</f>
        <v>461.3475670844</v>
      </c>
      <c r="M29" s="177">
        <f>((LOOKUP(M2,'Ceiling-U'!$A$4:$A$40,'Ceiling-U'!$H$4:$H$40)*M15)+(LOOKUP(M2,'Floor-U'!$A$4:$A$40,'Floor-U'!$H$4:$H$40)*M16)+(LOOKUP(M2,'Wall-U'!$A$4:$A$40,'Wall-U'!$H$4:$H$40)*M13)+(LOOKUP(M2,'Window-U'!$A$4:$A$40,'Window-U'!$H$4:$H$40)*M22))*M24</f>
        <v>1815.4874894219402</v>
      </c>
      <c r="N29" s="177">
        <f>((LOOKUP(N2,'Ceiling-U'!$A$4:$A$40,'Ceiling-U'!$H$4:$H$40)*N15)+(LOOKUP(N2,'Floor-U'!$A$4:$A$40,'Floor-U'!$H$4:$H$40)*N16)+(LOOKUP(N2,'Wall-U'!$A$4:$A$40,'Wall-U'!$H$4:$H$40)*N13)+(LOOKUP(N2,'Window-U'!$A$4:$A$40,'Window-U'!$H$4:$H$40)*N22))*N24</f>
        <v>1285.155198773442</v>
      </c>
      <c r="O29" s="177">
        <f>((LOOKUP(O2,'Ceiling-U'!$A$4:$A$40,'Ceiling-U'!$H$4:$H$40)*O15)+(LOOKUP(O2,'Floor-U'!$A$4:$A$40,'Floor-U'!$H$4:$H$40)*O16)+(LOOKUP(O2,'Wall-U'!$A$4:$A$40,'Wall-U'!$H$4:$H$40)*O13)+(LOOKUP(O2,'Window-U'!$A$4:$A$40,'Window-U'!$H$4:$H$40)*O22))*O24</f>
        <v>1576.6712301518614</v>
      </c>
      <c r="P29" s="177">
        <f>((LOOKUP(P2,'Ceiling-U'!$A$4:$A$40,'Ceiling-U'!$H$4:$H$40)*P15)+(LOOKUP(P2,'Floor-U'!$A$4:$A$40,'Floor-U'!$H$4:$H$40)*P16)+(LOOKUP(P2,'Wall-U'!$A$4:$A$40,'Wall-U'!$H$4:$H$40)*P13)+(LOOKUP(P2,'Window-U'!$A$4:$A$40,'Window-U'!$H$4:$H$40)*P22))*P24</f>
        <v>2660.5364545809657</v>
      </c>
      <c r="Q29" s="177">
        <f>((LOOKUP(Q2,'Ceiling-U'!$A$4:$A$40,'Ceiling-U'!$H$4:$H$40)*Q15)+(LOOKUP(Q2,'Floor-U'!$A$4:$A$40,'Floor-U'!$H$4:$H$40)*Q16)+(LOOKUP(Q2,'Wall-U'!$A$4:$A$40,'Wall-U'!$H$4:$H$40)*Q13)+(LOOKUP(Q2,'Window-U'!$A$4:$A$40,'Window-U'!$H$4:$H$40)*Q22))*Q24</f>
        <v>2196.1372299722325</v>
      </c>
      <c r="R29" s="177">
        <f>((LOOKUP(R2,'Ceiling-U'!$A$4:$A$40,'Ceiling-U'!$H$4:$H$40)*R15)+(LOOKUP(R2,'Floor-U'!$A$4:$A$40,'Floor-U'!$H$4:$H$40)*R16)+(LOOKUP(R2,'Wall-U'!$A$4:$A$40,'Wall-U'!$H$4:$H$40)*R13)+(LOOKUP(R2,'Window-U'!$A$4:$A$40,'Window-U'!$H$4:$H$40)*R22))*R24</f>
        <v>1271.2226069010053</v>
      </c>
      <c r="S29" s="177">
        <f>((LOOKUP(S2,'Ceiling-U'!$A$4:$A$40,'Ceiling-U'!$H$4:$H$40)*S15)+(LOOKUP(S2,'Floor-U'!$A$4:$A$40,'Floor-U'!$H$4:$H$40)*S16)+(LOOKUP(S2,'Wall-U'!$A$4:$A$40,'Wall-U'!$H$4:$H$40)*S13)+(LOOKUP(S2,'Window-U'!$A$4:$A$40,'Window-U'!$H$4:$H$40)*S22))*S24</f>
        <v>5000.9029244726271</v>
      </c>
      <c r="T29" s="177">
        <f>((LOOKUP(T2,'Ceiling-U'!$A$4:$A$40,'Ceiling-U'!$H$4:$H$40)*T15)+(LOOKUP(T2,'Floor-U'!$A$4:$A$40,'Floor-U'!$H$4:$H$40)*T16)+(LOOKUP(T2,'Wall-U'!$A$4:$A$40,'Wall-U'!$H$4:$H$40)*T13)+(LOOKUP(T2,'Window-U'!$A$4:$A$40,'Window-U'!$H$4:$H$40)*T22))*T24</f>
        <v>627.92788573121106</v>
      </c>
      <c r="U29" s="177">
        <f>((LOOKUP(U2,'Ceiling-U'!$A$4:$A$40,'Ceiling-U'!$H$4:$H$40)*U15)+(LOOKUP(U2,'Floor-U'!$A$4:$A$40,'Floor-U'!$H$4:$H$40)*U16)+(LOOKUP(U2,'Wall-U'!$A$4:$A$40,'Wall-U'!$H$4:$H$40)*U13)+(LOOKUP(U2,'Window-U'!$A$4:$A$40,'Window-U'!$H$4:$H$40)*U22))*U24</f>
        <v>2594.7858406386586</v>
      </c>
      <c r="V29" s="177">
        <f>((LOOKUP(V2,'Ceiling-U'!$A$4:$A$40,'Ceiling-U'!$H$4:$H$40)*V15)+(LOOKUP(V2,'Floor-U'!$A$4:$A$40,'Floor-U'!$H$4:$H$40)*V16)+(LOOKUP(V2,'Wall-U'!$A$4:$A$40,'Wall-U'!$H$4:$H$40)*V13)+(LOOKUP(V2,'Window-U'!$A$4:$A$40,'Window-U'!$H$4:$H$40)*V22))*V24</f>
        <v>932.43049620361808</v>
      </c>
      <c r="W29" s="177">
        <f>((LOOKUP(W2,'Ceiling-U'!$A$4:$A$40,'Ceiling-U'!$H$4:$H$40)*W15)+(LOOKUP(W2,'Floor-U'!$A$4:$A$40,'Floor-U'!$H$4:$H$40)*W16)+(LOOKUP(W2,'Wall-U'!$A$4:$A$40,'Wall-U'!$H$4:$H$40)*W13)+(LOOKUP(W2,'Window-U'!$A$4:$A$40,'Window-U'!$H$4:$H$40)*W22))*W24</f>
        <v>1248.3868603690712</v>
      </c>
      <c r="X29" s="177">
        <f>((LOOKUP(X2,'Ceiling-U'!$A$4:$A$40,'Ceiling-U'!$H$4:$H$40)*X15)+(LOOKUP(X2,'Floor-U'!$A$4:$A$40,'Floor-U'!$H$4:$H$40)*X16)+(LOOKUP(X2,'Wall-U'!$A$4:$A$40,'Wall-U'!$H$4:$H$40)*X13)+(LOOKUP(X2,'Window-U'!$A$4:$A$40,'Window-U'!$H$4:$H$40)*X22))*X24</f>
        <v>855.44667445969048</v>
      </c>
      <c r="Y29" s="177">
        <f>((LOOKUP(Y2,'Ceiling-U'!$A$4:$A$40,'Ceiling-U'!$H$4:$H$40)*Y15)+(LOOKUP(Y2,'Floor-U'!$A$4:$A$40,'Floor-U'!$H$4:$H$40)*Y16)+(LOOKUP(Y2,'Wall-U'!$A$4:$A$40,'Wall-U'!$H$4:$H$40)*Y13)+(LOOKUP(Y2,'Window-U'!$A$4:$A$40,'Window-U'!$H$4:$H$40)*Y22))*Y24</f>
        <v>4065.5871451183762</v>
      </c>
      <c r="Z29" s="177">
        <f>((LOOKUP(Z2,'Ceiling-U'!$A$4:$A$40,'Ceiling-U'!$H$4:$H$40)*Z15)+(LOOKUP(Z2,'Floor-U'!$A$4:$A$40,'Floor-U'!$H$4:$H$40)*Z16)+(LOOKUP(Z2,'Wall-U'!$A$4:$A$40,'Wall-U'!$H$4:$H$40)*Z13)+(LOOKUP(Z2,'Window-U'!$A$4:$A$40,'Window-U'!$H$4:$H$40)*Z22))*Z24</f>
        <v>1540.2480288730783</v>
      </c>
      <c r="AA29" s="177">
        <f>((LOOKUP(AA2,'Ceiling-U'!$A$4:$A$40,'Ceiling-U'!$H$4:$H$40)*AA15)+(LOOKUP(AA2,'Floor-U'!$A$4:$A$40,'Floor-U'!$H$4:$H$40)*AA16)+(LOOKUP(AA2,'Wall-U'!$A$4:$A$40,'Wall-U'!$H$4:$H$40)*AA13)+(LOOKUP(AA2,'Window-U'!$A$4:$A$40,'Window-U'!$H$4:$H$40)*AA22))*AA24</f>
        <v>691.01635159968214</v>
      </c>
      <c r="AB29" s="177">
        <f>((LOOKUP(AB2,'Ceiling-U'!$A$4:$A$40,'Ceiling-U'!$H$4:$H$40)*AB15)+(LOOKUP(AB2,'Floor-U'!$A$4:$A$40,'Floor-U'!$H$4:$H$40)*AB16)+(LOOKUP(AB2,'Wall-U'!$A$4:$A$40,'Wall-U'!$H$4:$H$40)*AB13)+(LOOKUP(AB2,'Window-U'!$A$4:$A$40,'Window-U'!$H$4:$H$40)*AB22))*AB24</f>
        <v>1671.9742330699796</v>
      </c>
      <c r="AC29" s="177">
        <f>((LOOKUP(AC2,'Ceiling-U'!$A$4:$A$40,'Ceiling-U'!$H$4:$H$40)*AC15)+(LOOKUP(AC2,'Floor-U'!$A$4:$A$40,'Floor-U'!$H$4:$H$40)*AC16)+(LOOKUP(AC2,'Wall-U'!$A$4:$A$40,'Wall-U'!$H$4:$H$40)*AC13)+(LOOKUP(AC2,'Window-U'!$A$4:$A$40,'Window-U'!$H$4:$H$40)*AC22))*AC24</f>
        <v>3869.7709454783781</v>
      </c>
      <c r="AD29" s="177">
        <f>((LOOKUP(AD2,'Ceiling-U'!$A$4:$A$40,'Ceiling-U'!$H$4:$H$40)*AD15)+(LOOKUP(AD2,'Floor-U'!$A$4:$A$40,'Floor-U'!$H$4:$H$40)*AD16)+(LOOKUP(AD2,'Wall-U'!$A$4:$A$40,'Wall-U'!$H$4:$H$40)*AD13)+(LOOKUP(AD2,'Window-U'!$A$4:$A$40,'Window-U'!$H$4:$H$40)*AD22))*AD24</f>
        <v>5039.2433509321581</v>
      </c>
      <c r="AE29" s="177">
        <f>((LOOKUP(AE2,'Ceiling-U'!$A$4:$A$40,'Ceiling-U'!$H$4:$H$40)*AE15)+(LOOKUP(AE2,'Floor-U'!$A$4:$A$40,'Floor-U'!$H$4:$H$40)*AE16)+(LOOKUP(AE2,'Wall-U'!$A$4:$A$40,'Wall-U'!$H$4:$H$40)*AE13)+(LOOKUP(AE2,'Window-U'!$A$4:$A$40,'Window-U'!$H$4:$H$40)*AE22))*AE24</f>
        <v>691.01635159968214</v>
      </c>
      <c r="AF29" s="177">
        <f>((LOOKUP(AF2,'Ceiling-U'!$A$4:$A$40,'Ceiling-U'!$H$4:$H$40)*AF15)+(LOOKUP(AF2,'Floor-U'!$A$4:$A$40,'Floor-U'!$H$4:$H$40)*AF16)+(LOOKUP(AF2,'Wall-U'!$A$4:$A$40,'Wall-U'!$H$4:$H$40)*AF13)+(LOOKUP(AF2,'Window-U'!$A$4:$A$40,'Window-U'!$H$4:$H$40)*AF22))*AF24</f>
        <v>1329.2353998246283</v>
      </c>
      <c r="AG29" s="177">
        <f>((LOOKUP(AG2,'Ceiling-U'!$A$4:$A$40,'Ceiling-U'!$H$4:$H$40)*AG15)+(LOOKUP(AG2,'Floor-U'!$A$4:$A$40,'Floor-U'!$H$4:$H$40)*AG16)+(LOOKUP(AG2,'Wall-U'!$A$4:$A$40,'Wall-U'!$H$4:$H$40)*AG13)+(LOOKUP(AG2,'Window-U'!$A$4:$A$40,'Window-U'!$H$4:$H$40)*AG22))*AG24</f>
        <v>1957.7158445322507</v>
      </c>
      <c r="AH29" s="177">
        <f>((LOOKUP(AH2,'Ceiling-U'!$A$4:$A$40,'Ceiling-U'!$H$4:$H$40)*AH15)+(LOOKUP(AH2,'Floor-U'!$A$4:$A$40,'Floor-U'!$H$4:$H$40)*AH16)+(LOOKUP(AH2,'Wall-U'!$A$4:$A$40,'Wall-U'!$H$4:$H$40)*AH13)+(LOOKUP(AH2,'Window-U'!$A$4:$A$40,'Window-U'!$H$4:$H$40)*AH22))*AH24</f>
        <v>3704.8454209517922</v>
      </c>
      <c r="AI29" s="177">
        <f>((LOOKUP(AI2,'Ceiling-U'!$A$4:$A$40,'Ceiling-U'!$H$4:$H$40)*AI15)+(LOOKUP(AI2,'Floor-U'!$A$4:$A$40,'Floor-U'!$H$4:$H$40)*AI16)+(LOOKUP(AI2,'Wall-U'!$A$4:$A$40,'Wall-U'!$H$4:$H$40)*AI13)+(LOOKUP(AI2,'Window-U'!$A$4:$A$40,'Window-U'!$H$4:$H$40)*AI22))*AI24</f>
        <v>4256.44098138565</v>
      </c>
      <c r="AJ29" s="177">
        <f>((LOOKUP(AJ2,'Ceiling-U'!$A$4:$A$40,'Ceiling-U'!$H$4:$H$40)*AJ15)+(LOOKUP(AJ2,'Floor-U'!$A$4:$A$40,'Floor-U'!$H$4:$H$40)*AJ16)+(LOOKUP(AJ2,'Wall-U'!$A$4:$A$40,'Wall-U'!$H$4:$H$40)*AJ13)+(LOOKUP(AJ2,'Window-U'!$A$4:$A$40,'Window-U'!$H$4:$H$40)*AJ22))*AJ24</f>
        <v>2026.838464886468</v>
      </c>
      <c r="AK29" s="177">
        <f>((LOOKUP(AK2,'Ceiling-U'!$A$4:$A$40,'Ceiling-U'!$H$4:$H$40)*AK15)+(LOOKUP(AK2,'Floor-U'!$A$4:$A$40,'Floor-U'!$H$4:$H$40)*AK16)+(LOOKUP(AK2,'Wall-U'!$A$4:$A$40,'Wall-U'!$H$4:$H$40)*AK13)+(LOOKUP(AK2,'Window-U'!$A$4:$A$40,'Window-U'!$H$4:$H$40)*AK22))*AK24</f>
        <v>2176.8163011194451</v>
      </c>
      <c r="AL29" s="177">
        <f>((LOOKUP(AL2,'Ceiling-U'!$A$4:$A$40,'Ceiling-U'!$H$4:$H$40)*AL15)+(LOOKUP(AL2,'Floor-U'!$A$4:$A$40,'Floor-U'!$H$4:$H$40)*AL16)+(LOOKUP(AL2,'Wall-U'!$A$4:$A$40,'Wall-U'!$H$4:$H$40)*AL13)+(LOOKUP(AL2,'Window-U'!$A$4:$A$40,'Window-U'!$H$4:$H$40)*AL22))*AL24</f>
        <v>1989.7970529264678</v>
      </c>
      <c r="AM29" s="177">
        <f>((LOOKUP(AM2,'Ceiling-U'!$A$4:$A$40,'Ceiling-U'!$H$4:$H$40)*AM15)+(LOOKUP(AM2,'Floor-U'!$A$4:$A$40,'Floor-U'!$H$4:$H$40)*AM16)+(LOOKUP(AM2,'Wall-U'!$A$4:$A$40,'Wall-U'!$H$4:$H$40)*AM13)+(LOOKUP(AM2,'Window-U'!$A$4:$A$40,'Window-U'!$H$4:$H$40)*AM22))*AM24</f>
        <v>2026.838464886468</v>
      </c>
      <c r="AN29" s="178">
        <f>((LOOKUP(AN2,'Ceiling-U'!$A$4:$A$40,'Ceiling-U'!$H$4:$H$40)*AN15)+(LOOKUP(AN2,'Floor-U'!$A$4:$A$40,'Floor-U'!$H$4:$H$40)*AN16)+(LOOKUP(AN2,'Wall-U'!$A$4:$A$40,'Wall-U'!$H$4:$H$40)*AN13)+(LOOKUP(AN2,'Window-U'!$A$4:$A$40,'Window-U'!$H$4:$H$40)*AN22))*AN24</f>
        <v>2026.838464886468</v>
      </c>
    </row>
    <row r="30" spans="1:40">
      <c r="A30" s="129"/>
      <c r="B30" s="142" t="s">
        <v>6</v>
      </c>
      <c r="C30" s="129" t="s">
        <v>195</v>
      </c>
      <c r="D30" s="176">
        <f>((LOOKUP(D2,'Ceiling-U'!$A$4:$A$40,'Ceiling-U'!$I$4:$I$40)*D15)+(LOOKUP(D2,'Floor-U'!$A$4:$A$40,'Floor-U'!$I$4:$I$40)*D16)+(LOOKUP(D2,'Wall-U'!$A$4:$A$40,'Wall-U'!$I$4:$I$40)*D13)+(LOOKUP(D2,'Window-U'!$A$4:$A$40,'Window-U'!$I$4:$I$40)*D22))*D24</f>
        <v>972.20668136709969</v>
      </c>
      <c r="E30" s="177">
        <f>((LOOKUP(E2,'Ceiling-U'!$A$4:$A$40,'Ceiling-U'!$I$4:$I$40)*E15)+(LOOKUP(E2,'Floor-U'!$A$4:$A$40,'Floor-U'!$I$4:$I$40)*E16)+(LOOKUP(E2,'Wall-U'!$A$4:$A$40,'Wall-U'!$I$4:$I$40)*E13)+(LOOKUP(E2,'Window-U'!$A$4:$A$40,'Window-U'!$I$4:$I$40)*E22))*E24</f>
        <v>2789.2701865412973</v>
      </c>
      <c r="F30" s="177">
        <f>((LOOKUP(F2,'Ceiling-U'!$A$4:$A$40,'Ceiling-U'!$I$4:$I$40)*F15)+(LOOKUP(F2,'Floor-U'!$A$4:$A$40,'Floor-U'!$I$4:$I$40)*F16)+(LOOKUP(F2,'Wall-U'!$A$4:$A$40,'Wall-U'!$I$4:$I$40)*F13)+(LOOKUP(F2,'Window-U'!$A$4:$A$40,'Window-U'!$I$4:$I$40)*F22))*F24</f>
        <v>2534.4037739849637</v>
      </c>
      <c r="G30" s="177">
        <f>((LOOKUP(G2,'Ceiling-U'!$A$4:$A$40,'Ceiling-U'!$I$4:$I$40)*G15)+(LOOKUP(G2,'Floor-U'!$A$4:$A$40,'Floor-U'!$I$4:$I$40)*G16)+(LOOKUP(G2,'Wall-U'!$A$4:$A$40,'Wall-U'!$I$4:$I$40)*G13)+(LOOKUP(G2,'Window-U'!$A$4:$A$40,'Window-U'!$I$4:$I$40)*G22))*G24</f>
        <v>972.20668136709969</v>
      </c>
      <c r="H30" s="177">
        <f>((LOOKUP(H2,'Ceiling-U'!$A$4:$A$40,'Ceiling-U'!$I$4:$I$40)*H15)+(LOOKUP(H2,'Floor-U'!$A$4:$A$40,'Floor-U'!$I$4:$I$40)*H16)+(LOOKUP(H2,'Wall-U'!$A$4:$A$40,'Wall-U'!$I$4:$I$40)*H13)+(LOOKUP(H2,'Window-U'!$A$4:$A$40,'Window-U'!$I$4:$I$40)*H22))*H24</f>
        <v>3173.1951321300244</v>
      </c>
      <c r="I30" s="177">
        <f>((LOOKUP(I2,'Ceiling-U'!$A$4:$A$40,'Ceiling-U'!$I$4:$I$40)*I15)+(LOOKUP(I2,'Floor-U'!$A$4:$A$40,'Floor-U'!$I$4:$I$40)*I16)+(LOOKUP(I2,'Wall-U'!$A$4:$A$40,'Wall-U'!$I$4:$I$40)*I13)+(LOOKUP(I2,'Window-U'!$A$4:$A$40,'Window-U'!$I$4:$I$40)*I22))*I24</f>
        <v>988.04040918177702</v>
      </c>
      <c r="J30" s="177">
        <f>((LOOKUP(J2,'Ceiling-U'!$A$4:$A$40,'Ceiling-U'!$I$4:$I$40)*J15)+(LOOKUP(J2,'Floor-U'!$A$4:$A$40,'Floor-U'!$I$4:$I$40)*J16)+(LOOKUP(J2,'Wall-U'!$A$4:$A$40,'Wall-U'!$I$4:$I$40)*J13)+(LOOKUP(J2,'Window-U'!$A$4:$A$40,'Window-U'!$I$4:$I$40)*J22))*J24</f>
        <v>630.10851234210645</v>
      </c>
      <c r="K30" s="177">
        <f>((LOOKUP(K2,'Ceiling-U'!$A$4:$A$40,'Ceiling-U'!$I$4:$I$40)*K15)+(LOOKUP(K2,'Floor-U'!$A$4:$A$40,'Floor-U'!$I$4:$I$40)*K16)+(LOOKUP(K2,'Wall-U'!$A$4:$A$40,'Wall-U'!$I$4:$I$40)*K13)+(LOOKUP(K2,'Window-U'!$A$4:$A$40,'Window-U'!$I$4:$I$40)*K22))*K24</f>
        <v>1180.4159875026035</v>
      </c>
      <c r="L30" s="177">
        <f>((LOOKUP(L2,'Ceiling-U'!$A$4:$A$40,'Ceiling-U'!$I$4:$I$40)*L15)+(LOOKUP(L2,'Floor-U'!$A$4:$A$40,'Floor-U'!$I$4:$I$40)*L16)+(LOOKUP(L2,'Wall-U'!$A$4:$A$40,'Wall-U'!$I$4:$I$40)*L13)+(LOOKUP(L2,'Window-U'!$A$4:$A$40,'Window-U'!$I$4:$I$40)*L22))*L24</f>
        <v>405.10926918035295</v>
      </c>
      <c r="M30" s="177">
        <f>((LOOKUP(M2,'Ceiling-U'!$A$4:$A$40,'Ceiling-U'!$I$4:$I$40)*M15)+(LOOKUP(M2,'Floor-U'!$A$4:$A$40,'Floor-U'!$I$4:$I$40)*M16)+(LOOKUP(M2,'Wall-U'!$A$4:$A$40,'Wall-U'!$I$4:$I$40)*M13)+(LOOKUP(M2,'Window-U'!$A$4:$A$40,'Window-U'!$I$4:$I$40)*M22))*M24</f>
        <v>1815.4874894219402</v>
      </c>
      <c r="N30" s="177">
        <f>((LOOKUP(N2,'Ceiling-U'!$A$4:$A$40,'Ceiling-U'!$I$4:$I$40)*N15)+(LOOKUP(N2,'Floor-U'!$A$4:$A$40,'Floor-U'!$I$4:$I$40)*N16)+(LOOKUP(N2,'Wall-U'!$A$4:$A$40,'Wall-U'!$I$4:$I$40)*N13)+(LOOKUP(N2,'Window-U'!$A$4:$A$40,'Window-U'!$I$4:$I$40)*N22))*N24</f>
        <v>1271.4507216019781</v>
      </c>
      <c r="O30" s="177">
        <f>((LOOKUP(O2,'Ceiling-U'!$A$4:$A$40,'Ceiling-U'!$I$4:$I$40)*O15)+(LOOKUP(O2,'Floor-U'!$A$4:$A$40,'Floor-U'!$I$4:$I$40)*O16)+(LOOKUP(O2,'Wall-U'!$A$4:$A$40,'Wall-U'!$I$4:$I$40)*O13)+(LOOKUP(O2,'Window-U'!$A$4:$A$40,'Window-U'!$I$4:$I$40)*O22))*O24</f>
        <v>833.56973629432855</v>
      </c>
      <c r="P30" s="177">
        <f>((LOOKUP(P2,'Ceiling-U'!$A$4:$A$40,'Ceiling-U'!$I$4:$I$40)*P15)+(LOOKUP(P2,'Floor-U'!$A$4:$A$40,'Floor-U'!$I$4:$I$40)*P16)+(LOOKUP(P2,'Wall-U'!$A$4:$A$40,'Wall-U'!$I$4:$I$40)*P13)+(LOOKUP(P2,'Window-U'!$A$4:$A$40,'Window-U'!$I$4:$I$40)*P22))*P24</f>
        <v>2660.5364545809657</v>
      </c>
      <c r="Q30" s="177">
        <f>((LOOKUP(Q2,'Ceiling-U'!$A$4:$A$40,'Ceiling-U'!$I$4:$I$40)*Q15)+(LOOKUP(Q2,'Floor-U'!$A$4:$A$40,'Floor-U'!$I$4:$I$40)*Q16)+(LOOKUP(Q2,'Wall-U'!$A$4:$A$40,'Wall-U'!$I$4:$I$40)*Q13)+(LOOKUP(Q2,'Window-U'!$A$4:$A$40,'Window-U'!$I$4:$I$40)*Q22))*Q24</f>
        <v>1486.6254530648068</v>
      </c>
      <c r="R30" s="177">
        <f>((LOOKUP(R2,'Ceiling-U'!$A$4:$A$40,'Ceiling-U'!$I$4:$I$40)*R15)+(LOOKUP(R2,'Floor-U'!$A$4:$A$40,'Floor-U'!$I$4:$I$40)*R16)+(LOOKUP(R2,'Wall-U'!$A$4:$A$40,'Wall-U'!$I$4:$I$40)*R13)+(LOOKUP(R2,'Window-U'!$A$4:$A$40,'Window-U'!$I$4:$I$40)*R22))*R24</f>
        <v>1271.2226069010053</v>
      </c>
      <c r="S30" s="177">
        <f>((LOOKUP(S2,'Ceiling-U'!$A$4:$A$40,'Ceiling-U'!$I$4:$I$40)*S15)+(LOOKUP(S2,'Floor-U'!$A$4:$A$40,'Floor-U'!$I$4:$I$40)*S16)+(LOOKUP(S2,'Wall-U'!$A$4:$A$40,'Wall-U'!$I$4:$I$40)*S13)+(LOOKUP(S2,'Window-U'!$A$4:$A$40,'Window-U'!$I$4:$I$40)*S22))*S24</f>
        <v>4297.3025205693511</v>
      </c>
      <c r="T30" s="177">
        <f>((LOOKUP(T2,'Ceiling-U'!$A$4:$A$40,'Ceiling-U'!$I$4:$I$40)*T15)+(LOOKUP(T2,'Floor-U'!$A$4:$A$40,'Floor-U'!$I$4:$I$40)*T16)+(LOOKUP(T2,'Wall-U'!$A$4:$A$40,'Wall-U'!$I$4:$I$40)*T13)+(LOOKUP(T2,'Window-U'!$A$4:$A$40,'Window-U'!$I$4:$I$40)*T22))*T24</f>
        <v>620.44844913943541</v>
      </c>
      <c r="U30" s="177">
        <f>((LOOKUP(U2,'Ceiling-U'!$A$4:$A$40,'Ceiling-U'!$I$4:$I$40)*U15)+(LOOKUP(U2,'Floor-U'!$A$4:$A$40,'Floor-U'!$I$4:$I$40)*U16)+(LOOKUP(U2,'Wall-U'!$A$4:$A$40,'Wall-U'!$I$4:$I$40)*U13)+(LOOKUP(U2,'Window-U'!$A$4:$A$40,'Window-U'!$I$4:$I$40)*U22))*U24</f>
        <v>2344.9479645428596</v>
      </c>
      <c r="V30" s="177">
        <f>((LOOKUP(V2,'Ceiling-U'!$A$4:$A$40,'Ceiling-U'!$I$4:$I$40)*V15)+(LOOKUP(V2,'Floor-U'!$A$4:$A$40,'Floor-U'!$I$4:$I$40)*V16)+(LOOKUP(V2,'Wall-U'!$A$4:$A$40,'Wall-U'!$I$4:$I$40)*V13)+(LOOKUP(V2,'Window-U'!$A$4:$A$40,'Window-U'!$I$4:$I$40)*V22))*V24</f>
        <v>932.43049620361808</v>
      </c>
      <c r="W30" s="177">
        <f>((LOOKUP(W2,'Ceiling-U'!$A$4:$A$40,'Ceiling-U'!$I$4:$I$40)*W15)+(LOOKUP(W2,'Floor-U'!$A$4:$A$40,'Floor-U'!$I$4:$I$40)*W16)+(LOOKUP(W2,'Wall-U'!$A$4:$A$40,'Wall-U'!$I$4:$I$40)*W13)+(LOOKUP(W2,'Window-U'!$A$4:$A$40,'Window-U'!$I$4:$I$40)*W22))*W24</f>
        <v>1039.6860224523859</v>
      </c>
      <c r="X30" s="177">
        <f>((LOOKUP(X2,'Ceiling-U'!$A$4:$A$40,'Ceiling-U'!$I$4:$I$40)*X15)+(LOOKUP(X2,'Floor-U'!$A$4:$A$40,'Floor-U'!$I$4:$I$40)*X16)+(LOOKUP(X2,'Wall-U'!$A$4:$A$40,'Wall-U'!$I$4:$I$40)*X13)+(LOOKUP(X2,'Window-U'!$A$4:$A$40,'Window-U'!$I$4:$I$40)*X22))*X24</f>
        <v>847.72167445969035</v>
      </c>
      <c r="Y30" s="177">
        <f>((LOOKUP(Y2,'Ceiling-U'!$A$4:$A$40,'Ceiling-U'!$I$4:$I$40)*Y15)+(LOOKUP(Y2,'Floor-U'!$A$4:$A$40,'Floor-U'!$I$4:$I$40)*Y16)+(LOOKUP(Y2,'Wall-U'!$A$4:$A$40,'Wall-U'!$I$4:$I$40)*Y13)+(LOOKUP(Y2,'Window-U'!$A$4:$A$40,'Window-U'!$I$4:$I$40)*Y22))*Y24</f>
        <v>4017.1192174783764</v>
      </c>
      <c r="Z30" s="177">
        <f>((LOOKUP(Z2,'Ceiling-U'!$A$4:$A$40,'Ceiling-U'!$I$4:$I$40)*Z15)+(LOOKUP(Z2,'Floor-U'!$A$4:$A$40,'Floor-U'!$I$4:$I$40)*Z16)+(LOOKUP(Z2,'Wall-U'!$A$4:$A$40,'Wall-U'!$I$4:$I$40)*Z13)+(LOOKUP(Z2,'Window-U'!$A$4:$A$40,'Window-U'!$I$4:$I$40)*Z22))*Z24</f>
        <v>1351.1373212986455</v>
      </c>
      <c r="AA30" s="177">
        <f>((LOOKUP(AA2,'Ceiling-U'!$A$4:$A$40,'Ceiling-U'!$I$4:$I$40)*AA15)+(LOOKUP(AA2,'Floor-U'!$A$4:$A$40,'Floor-U'!$I$4:$I$40)*AA16)+(LOOKUP(AA2,'Wall-U'!$A$4:$A$40,'Wall-U'!$I$4:$I$40)*AA13)+(LOOKUP(AA2,'Window-U'!$A$4:$A$40,'Window-U'!$I$4:$I$40)*AA22))*AA24</f>
        <v>608.24281315177109</v>
      </c>
      <c r="AB30" s="177">
        <f>((LOOKUP(AB2,'Ceiling-U'!$A$4:$A$40,'Ceiling-U'!$I$4:$I$40)*AB15)+(LOOKUP(AB2,'Floor-U'!$A$4:$A$40,'Floor-U'!$I$4:$I$40)*AB16)+(LOOKUP(AB2,'Wall-U'!$A$4:$A$40,'Wall-U'!$I$4:$I$40)*AB13)+(LOOKUP(AB2,'Window-U'!$A$4:$A$40,'Window-U'!$I$4:$I$40)*AB22))*AB24</f>
        <v>1671.9742330699796</v>
      </c>
      <c r="AC30" s="177">
        <f>((LOOKUP(AC2,'Ceiling-U'!$A$4:$A$40,'Ceiling-U'!$I$4:$I$40)*AC15)+(LOOKUP(AC2,'Floor-U'!$A$4:$A$40,'Floor-U'!$I$4:$I$40)*AC16)+(LOOKUP(AC2,'Wall-U'!$A$4:$A$40,'Wall-U'!$I$4:$I$40)*AC13)+(LOOKUP(AC2,'Window-U'!$A$4:$A$40,'Window-U'!$I$4:$I$40)*AC22))*AC24</f>
        <v>3498.7107074386104</v>
      </c>
      <c r="AD30" s="177">
        <f>((LOOKUP(AD2,'Ceiling-U'!$A$4:$A$40,'Ceiling-U'!$I$4:$I$40)*AD15)+(LOOKUP(AD2,'Floor-U'!$A$4:$A$40,'Floor-U'!$I$4:$I$40)*AD16)+(LOOKUP(AD2,'Wall-U'!$A$4:$A$40,'Wall-U'!$I$4:$I$40)*AD13)+(LOOKUP(AD2,'Window-U'!$A$4:$A$40,'Window-U'!$I$4:$I$40)*AD22))*AD24</f>
        <v>5039.2433509321581</v>
      </c>
      <c r="AE30" s="177">
        <f>((LOOKUP(AE2,'Ceiling-U'!$A$4:$A$40,'Ceiling-U'!$I$4:$I$40)*AE15)+(LOOKUP(AE2,'Floor-U'!$A$4:$A$40,'Floor-U'!$I$4:$I$40)*AE16)+(LOOKUP(AE2,'Wall-U'!$A$4:$A$40,'Wall-U'!$I$4:$I$40)*AE13)+(LOOKUP(AE2,'Window-U'!$A$4:$A$40,'Window-U'!$I$4:$I$40)*AE22))*AE24</f>
        <v>608.24281315177109</v>
      </c>
      <c r="AF30" s="177">
        <f>((LOOKUP(AF2,'Ceiling-U'!$A$4:$A$40,'Ceiling-U'!$I$4:$I$40)*AF15)+(LOOKUP(AF2,'Floor-U'!$A$4:$A$40,'Floor-U'!$I$4:$I$40)*AF16)+(LOOKUP(AF2,'Wall-U'!$A$4:$A$40,'Wall-U'!$I$4:$I$40)*AF13)+(LOOKUP(AF2,'Window-U'!$A$4:$A$40,'Window-U'!$I$4:$I$40)*AF22))*AF24</f>
        <v>944.91062836641879</v>
      </c>
      <c r="AG30" s="177">
        <f>((LOOKUP(AG2,'Ceiling-U'!$A$4:$A$40,'Ceiling-U'!$I$4:$I$40)*AG15)+(LOOKUP(AG2,'Floor-U'!$A$4:$A$40,'Floor-U'!$I$4:$I$40)*AG16)+(LOOKUP(AG2,'Wall-U'!$A$4:$A$40,'Wall-U'!$I$4:$I$40)*AG13)+(LOOKUP(AG2,'Window-U'!$A$4:$A$40,'Window-U'!$I$4:$I$40)*AG22))*AG24</f>
        <v>1847.4606407322508</v>
      </c>
      <c r="AH30" s="177">
        <f>((LOOKUP(AH2,'Ceiling-U'!$A$4:$A$40,'Ceiling-U'!$I$4:$I$40)*AH15)+(LOOKUP(AH2,'Floor-U'!$A$4:$A$40,'Floor-U'!$I$4:$I$40)*AH16)+(LOOKUP(AH2,'Wall-U'!$A$4:$A$40,'Wall-U'!$I$4:$I$40)*AH13)+(LOOKUP(AH2,'Window-U'!$A$4:$A$40,'Window-U'!$I$4:$I$40)*AH22))*AH24</f>
        <v>2483.0483693462975</v>
      </c>
      <c r="AI30" s="177">
        <f>((LOOKUP(AI2,'Ceiling-U'!$A$4:$A$40,'Ceiling-U'!$I$4:$I$40)*AI15)+(LOOKUP(AI2,'Floor-U'!$A$4:$A$40,'Floor-U'!$I$4:$I$40)*AI16)+(LOOKUP(AI2,'Wall-U'!$A$4:$A$40,'Wall-U'!$I$4:$I$40)*AI13)+(LOOKUP(AI2,'Window-U'!$A$4:$A$40,'Window-U'!$I$4:$I$40)*AI22))*AI24</f>
        <v>4256.44098138565</v>
      </c>
      <c r="AJ30" s="177">
        <f>((LOOKUP(AJ2,'Ceiling-U'!$A$4:$A$40,'Ceiling-U'!$I$4:$I$40)*AJ15)+(LOOKUP(AJ2,'Floor-U'!$A$4:$A$40,'Floor-U'!$I$4:$I$40)*AJ16)+(LOOKUP(AJ2,'Wall-U'!$A$4:$A$40,'Wall-U'!$I$4:$I$40)*AJ13)+(LOOKUP(AJ2,'Window-U'!$A$4:$A$40,'Window-U'!$I$4:$I$40)*AJ22))*AJ24</f>
        <v>1905.9497973292625</v>
      </c>
      <c r="AK30" s="177">
        <f>((LOOKUP(AK2,'Ceiling-U'!$A$4:$A$40,'Ceiling-U'!$I$4:$I$40)*AK15)+(LOOKUP(AK2,'Floor-U'!$A$4:$A$40,'Floor-U'!$I$4:$I$40)*AK16)+(LOOKUP(AK2,'Wall-U'!$A$4:$A$40,'Wall-U'!$I$4:$I$40)*AK13)+(LOOKUP(AK2,'Window-U'!$A$4:$A$40,'Window-U'!$I$4:$I$40)*AK22))*AK24</f>
        <v>2043.0774426928249</v>
      </c>
      <c r="AL30" s="177">
        <f>((LOOKUP(AL2,'Ceiling-U'!$A$4:$A$40,'Ceiling-U'!$I$4:$I$40)*AL15)+(LOOKUP(AL2,'Floor-U'!$A$4:$A$40,'Floor-U'!$I$4:$I$40)*AL16)+(LOOKUP(AL2,'Wall-U'!$A$4:$A$40,'Wall-U'!$I$4:$I$40)*AL13)+(LOOKUP(AL2,'Window-U'!$A$4:$A$40,'Window-U'!$I$4:$I$40)*AL22))*AL24</f>
        <v>1565.000291873017</v>
      </c>
      <c r="AM30" s="177">
        <f>((LOOKUP(AM2,'Ceiling-U'!$A$4:$A$40,'Ceiling-U'!$I$4:$I$40)*AM15)+(LOOKUP(AM2,'Floor-U'!$A$4:$A$40,'Floor-U'!$I$4:$I$40)*AM16)+(LOOKUP(AM2,'Wall-U'!$A$4:$A$40,'Wall-U'!$I$4:$I$40)*AM13)+(LOOKUP(AM2,'Window-U'!$A$4:$A$40,'Window-U'!$I$4:$I$40)*AM22))*AM24</f>
        <v>1905.9497973292625</v>
      </c>
      <c r="AN30" s="178">
        <f>((LOOKUP(AN2,'Ceiling-U'!$A$4:$A$40,'Ceiling-U'!$I$4:$I$40)*AN15)+(LOOKUP(AN2,'Floor-U'!$A$4:$A$40,'Floor-U'!$I$4:$I$40)*AN16)+(LOOKUP(AN2,'Wall-U'!$A$4:$A$40,'Wall-U'!$I$4:$I$40)*AN13)+(LOOKUP(AN2,'Window-U'!$A$4:$A$40,'Window-U'!$I$4:$I$40)*AN22))*AN24</f>
        <v>1905.9497973292625</v>
      </c>
    </row>
    <row r="31" spans="1:40">
      <c r="A31" s="129"/>
      <c r="B31" s="142" t="s">
        <v>7</v>
      </c>
      <c r="C31" s="129" t="s">
        <v>195</v>
      </c>
      <c r="D31" s="176">
        <f>((LOOKUP(D2,'Ceiling-U'!$A$4:$A$40,'Ceiling-U'!$J$4:$J$40)*D15)+(LOOKUP(D2,'Floor-U'!$A$4:$A$40,'Floor-U'!$J$4:$J$40)*D16)+(LOOKUP(D2,'Wall-U'!$A$4:$A$40,'Wall-U'!$J$4:$J$40)*D13)+(LOOKUP(D2,'Window-U'!$A$4:$A$40,'Window-U'!$J$4:$J$40)*D22))*D24</f>
        <v>862.15601523038981</v>
      </c>
      <c r="E31" s="177">
        <f>((LOOKUP(E2,'Ceiling-U'!$A$4:$A$40,'Ceiling-U'!$J$4:$J$40)*E15)+(LOOKUP(E2,'Floor-U'!$A$4:$A$40,'Floor-U'!$J$4:$J$40)*E16)+(LOOKUP(E2,'Wall-U'!$A$4:$A$40,'Wall-U'!$J$4:$J$40)*E13)+(LOOKUP(E2,'Window-U'!$A$4:$A$40,'Window-U'!$J$4:$J$40)*E22))*E24</f>
        <v>1509.2566048074104</v>
      </c>
      <c r="F31" s="177">
        <f>((LOOKUP(F2,'Ceiling-U'!$A$4:$A$40,'Ceiling-U'!$J$4:$J$40)*F15)+(LOOKUP(F2,'Floor-U'!$A$4:$A$40,'Floor-U'!$J$4:$J$40)*F16)+(LOOKUP(F2,'Wall-U'!$A$4:$A$40,'Wall-U'!$J$4:$J$40)*F13)+(LOOKUP(F2,'Window-U'!$A$4:$A$40,'Window-U'!$J$4:$J$40)*F22))*F24</f>
        <v>1584.5168288377904</v>
      </c>
      <c r="G31" s="177">
        <f>((LOOKUP(G2,'Ceiling-U'!$A$4:$A$40,'Ceiling-U'!$J$4:$J$40)*G15)+(LOOKUP(G2,'Floor-U'!$A$4:$A$40,'Floor-U'!$J$4:$J$40)*G16)+(LOOKUP(G2,'Wall-U'!$A$4:$A$40,'Wall-U'!$J$4:$J$40)*G13)+(LOOKUP(G2,'Window-U'!$A$4:$A$40,'Window-U'!$J$4:$J$40)*G22))*G24</f>
        <v>862.15601523038981</v>
      </c>
      <c r="H31" s="177">
        <f>((LOOKUP(H2,'Ceiling-U'!$A$4:$A$40,'Ceiling-U'!$J$4:$J$40)*H15)+(LOOKUP(H2,'Floor-U'!$A$4:$A$40,'Floor-U'!$J$4:$J$40)*H16)+(LOOKUP(H2,'Wall-U'!$A$4:$A$40,'Wall-U'!$J$4:$J$40)*H13)+(LOOKUP(H2,'Window-U'!$A$4:$A$40,'Window-U'!$J$4:$J$40)*H22))*H24</f>
        <v>2888.7068331300243</v>
      </c>
      <c r="I31" s="177">
        <f>((LOOKUP(I2,'Ceiling-U'!$A$4:$A$40,'Ceiling-U'!$J$4:$J$40)*I15)+(LOOKUP(I2,'Floor-U'!$A$4:$A$40,'Floor-U'!$J$4:$J$40)*I16)+(LOOKUP(I2,'Wall-U'!$A$4:$A$40,'Wall-U'!$J$4:$J$40)*I13)+(LOOKUP(I2,'Window-U'!$A$4:$A$40,'Window-U'!$J$4:$J$40)*I22))*I24</f>
        <v>761.28389810016722</v>
      </c>
      <c r="J31" s="177">
        <f>((LOOKUP(J2,'Ceiling-U'!$A$4:$A$40,'Ceiling-U'!$J$4:$J$40)*J15)+(LOOKUP(J2,'Floor-U'!$A$4:$A$40,'Floor-U'!$J$4:$J$40)*J16)+(LOOKUP(J2,'Wall-U'!$A$4:$A$40,'Wall-U'!$J$4:$J$40)*J13)+(LOOKUP(J2,'Window-U'!$A$4:$A$40,'Window-U'!$J$4:$J$40)*J22))*J24</f>
        <v>706.04968278263289</v>
      </c>
      <c r="K31" s="177">
        <f>((LOOKUP(K2,'Ceiling-U'!$A$4:$A$40,'Ceiling-U'!$J$4:$J$40)*K15)+(LOOKUP(K2,'Floor-U'!$A$4:$A$40,'Floor-U'!$J$4:$J$40)*K16)+(LOOKUP(K2,'Wall-U'!$A$4:$A$40,'Wall-U'!$J$4:$J$40)*K13)+(LOOKUP(K2,'Window-U'!$A$4:$A$40,'Window-U'!$J$4:$J$40)*K22))*K24</f>
        <v>823.18489242644682</v>
      </c>
      <c r="L31" s="177">
        <f>((LOOKUP(L2,'Ceiling-U'!$A$4:$A$40,'Ceiling-U'!$J$4:$J$40)*L15)+(LOOKUP(L2,'Floor-U'!$A$4:$A$40,'Floor-U'!$J$4:$J$40)*L16)+(LOOKUP(L2,'Wall-U'!$A$4:$A$40,'Wall-U'!$J$4:$J$40)*L13)+(LOOKUP(L2,'Window-U'!$A$4:$A$40,'Window-U'!$J$4:$J$40)*L22))*L24</f>
        <v>405.10926918035295</v>
      </c>
      <c r="M31" s="177">
        <f>((LOOKUP(M2,'Ceiling-U'!$A$4:$A$40,'Ceiling-U'!$J$4:$J$40)*M15)+(LOOKUP(M2,'Floor-U'!$A$4:$A$40,'Floor-U'!$J$4:$J$40)*M16)+(LOOKUP(M2,'Wall-U'!$A$4:$A$40,'Wall-U'!$J$4:$J$40)*M13)+(LOOKUP(M2,'Window-U'!$A$4:$A$40,'Window-U'!$J$4:$J$40)*M22))*M24</f>
        <v>1070.8750815509702</v>
      </c>
      <c r="N31" s="177">
        <f>((LOOKUP(N2,'Ceiling-U'!$A$4:$A$40,'Ceiling-U'!$J$4:$J$40)*N15)+(LOOKUP(N2,'Floor-U'!$A$4:$A$40,'Floor-U'!$J$4:$J$40)*N16)+(LOOKUP(N2,'Wall-U'!$A$4:$A$40,'Wall-U'!$J$4:$J$40)*N13)+(LOOKUP(N2,'Window-U'!$A$4:$A$40,'Window-U'!$J$4:$J$40)*N22))*N24</f>
        <v>1116.1328129161225</v>
      </c>
      <c r="O31" s="177">
        <f>((LOOKUP(O2,'Ceiling-U'!$A$4:$A$40,'Ceiling-U'!$J$4:$J$40)*O15)+(LOOKUP(O2,'Floor-U'!$A$4:$A$40,'Floor-U'!$J$4:$J$40)*O16)+(LOOKUP(O2,'Wall-U'!$A$4:$A$40,'Wall-U'!$J$4:$J$40)*O13)+(LOOKUP(O2,'Window-U'!$A$4:$A$40,'Window-U'!$J$4:$J$40)*O22))*O24</f>
        <v>800.93695087670028</v>
      </c>
      <c r="P31" s="177">
        <f>((LOOKUP(P2,'Ceiling-U'!$A$4:$A$40,'Ceiling-U'!$J$4:$J$40)*P15)+(LOOKUP(P2,'Floor-U'!$A$4:$A$40,'Floor-U'!$J$4:$J$40)*P16)+(LOOKUP(P2,'Wall-U'!$A$4:$A$40,'Wall-U'!$J$4:$J$40)*P13)+(LOOKUP(P2,'Window-U'!$A$4:$A$40,'Window-U'!$J$4:$J$40)*P22))*P24</f>
        <v>852.09147470389973</v>
      </c>
      <c r="Q31" s="177">
        <f>((LOOKUP(Q2,'Ceiling-U'!$A$4:$A$40,'Ceiling-U'!$J$4:$J$40)*Q15)+(LOOKUP(Q2,'Floor-U'!$A$4:$A$40,'Floor-U'!$J$4:$J$40)*Q16)+(LOOKUP(Q2,'Wall-U'!$A$4:$A$40,'Wall-U'!$J$4:$J$40)*Q13)+(LOOKUP(Q2,'Window-U'!$A$4:$A$40,'Window-U'!$J$4:$J$40)*Q22))*Q24</f>
        <v>801.2413676544993</v>
      </c>
      <c r="R31" s="177">
        <f>((LOOKUP(R2,'Ceiling-U'!$A$4:$A$40,'Ceiling-U'!$J$4:$J$40)*R15)+(LOOKUP(R2,'Floor-U'!$A$4:$A$40,'Floor-U'!$J$4:$J$40)*R16)+(LOOKUP(R2,'Wall-U'!$A$4:$A$40,'Wall-U'!$J$4:$J$40)*R13)+(LOOKUP(R2,'Window-U'!$A$4:$A$40,'Window-U'!$J$4:$J$40)*R22))*R24</f>
        <v>723.30508321931552</v>
      </c>
      <c r="S31" s="177">
        <f>((LOOKUP(S2,'Ceiling-U'!$A$4:$A$40,'Ceiling-U'!$J$4:$J$40)*S15)+(LOOKUP(S2,'Floor-U'!$A$4:$A$40,'Floor-U'!$J$4:$J$40)*S16)+(LOOKUP(S2,'Wall-U'!$A$4:$A$40,'Wall-U'!$J$4:$J$40)*S13)+(LOOKUP(S2,'Window-U'!$A$4:$A$40,'Window-U'!$J$4:$J$40)*S22))*S24</f>
        <v>2656.5180335463779</v>
      </c>
      <c r="T31" s="177">
        <f>((LOOKUP(T2,'Ceiling-U'!$A$4:$A$40,'Ceiling-U'!$J$4:$J$40)*T15)+(LOOKUP(T2,'Floor-U'!$A$4:$A$40,'Floor-U'!$J$4:$J$40)*T16)+(LOOKUP(T2,'Wall-U'!$A$4:$A$40,'Wall-U'!$J$4:$J$40)*T13)+(LOOKUP(T2,'Window-U'!$A$4:$A$40,'Window-U'!$J$4:$J$40)*T22))*T24</f>
        <v>550.33070277233287</v>
      </c>
      <c r="U31" s="177">
        <f>((LOOKUP(U2,'Ceiling-U'!$A$4:$A$40,'Ceiling-U'!$J$4:$J$40)*U15)+(LOOKUP(U2,'Floor-U'!$A$4:$A$40,'Floor-U'!$J$4:$J$40)*U16)+(LOOKUP(U2,'Wall-U'!$A$4:$A$40,'Wall-U'!$J$4:$J$40)*U13)+(LOOKUP(U2,'Window-U'!$A$4:$A$40,'Window-U'!$J$4:$J$40)*U22))*U24</f>
        <v>2200.9479645428596</v>
      </c>
      <c r="V31" s="177">
        <f>((LOOKUP(V2,'Ceiling-U'!$A$4:$A$40,'Ceiling-U'!$J$4:$J$40)*V15)+(LOOKUP(V2,'Floor-U'!$A$4:$A$40,'Floor-U'!$J$4:$J$40)*V16)+(LOOKUP(V2,'Wall-U'!$A$4:$A$40,'Wall-U'!$J$4:$J$40)*V13)+(LOOKUP(V2,'Window-U'!$A$4:$A$40,'Window-U'!$J$4:$J$40)*V22))*V24</f>
        <v>493.26777566120603</v>
      </c>
      <c r="W31" s="177">
        <f>((LOOKUP(W2,'Ceiling-U'!$A$4:$A$40,'Ceiling-U'!$J$4:$J$40)*W15)+(LOOKUP(W2,'Floor-U'!$A$4:$A$40,'Floor-U'!$J$4:$J$40)*W16)+(LOOKUP(W2,'Wall-U'!$A$4:$A$40,'Wall-U'!$J$4:$J$40)*W13)+(LOOKUP(W2,'Window-U'!$A$4:$A$40,'Window-U'!$J$4:$J$40)*W22))*W24</f>
        <v>796.21000799320404</v>
      </c>
      <c r="X31" s="177">
        <f>((LOOKUP(X2,'Ceiling-U'!$A$4:$A$40,'Ceiling-U'!$J$4:$J$40)*X15)+(LOOKUP(X2,'Floor-U'!$A$4:$A$40,'Floor-U'!$J$4:$J$40)*X16)+(LOOKUP(X2,'Wall-U'!$A$4:$A$40,'Wall-U'!$J$4:$J$40)*X13)+(LOOKUP(X2,'Window-U'!$A$4:$A$40,'Window-U'!$J$4:$J$40)*X22))*X24</f>
        <v>477.59280280548853</v>
      </c>
      <c r="Y31" s="177">
        <f>((LOOKUP(Y2,'Ceiling-U'!$A$4:$A$40,'Ceiling-U'!$J$4:$J$40)*Y15)+(LOOKUP(Y2,'Floor-U'!$A$4:$A$40,'Floor-U'!$J$4:$J$40)*Y16)+(LOOKUP(Y2,'Wall-U'!$A$4:$A$40,'Wall-U'!$J$4:$J$40)*Y13)+(LOOKUP(Y2,'Window-U'!$A$4:$A$40,'Window-U'!$J$4:$J$40)*Y22))*Y24</f>
        <v>3770.8857919049151</v>
      </c>
      <c r="Z31" s="177">
        <f>((LOOKUP(Z2,'Ceiling-U'!$A$4:$A$40,'Ceiling-U'!$J$4:$J$40)*Z15)+(LOOKUP(Z2,'Floor-U'!$A$4:$A$40,'Floor-U'!$J$4:$J$40)*Z16)+(LOOKUP(Z2,'Wall-U'!$A$4:$A$40,'Wall-U'!$J$4:$J$40)*Z13)+(LOOKUP(Z2,'Window-U'!$A$4:$A$40,'Window-U'!$J$4:$J$40)*Z22))*Z24</f>
        <v>944.60120128075027</v>
      </c>
      <c r="AA31" s="177">
        <f>((LOOKUP(AA2,'Ceiling-U'!$A$4:$A$40,'Ceiling-U'!$J$4:$J$40)*AA15)+(LOOKUP(AA2,'Floor-U'!$A$4:$A$40,'Floor-U'!$J$4:$J$40)*AA16)+(LOOKUP(AA2,'Wall-U'!$A$4:$A$40,'Wall-U'!$J$4:$J$40)*AA13)+(LOOKUP(AA2,'Window-U'!$A$4:$A$40,'Window-U'!$J$4:$J$40)*AA22))*AA24</f>
        <v>511.84748515177102</v>
      </c>
      <c r="AB31" s="177">
        <f>((LOOKUP(AB2,'Ceiling-U'!$A$4:$A$40,'Ceiling-U'!$J$4:$J$40)*AB15)+(LOOKUP(AB2,'Floor-U'!$A$4:$A$40,'Floor-U'!$J$4:$J$40)*AB16)+(LOOKUP(AB2,'Wall-U'!$A$4:$A$40,'Wall-U'!$J$4:$J$40)*AB13)+(LOOKUP(AB2,'Window-U'!$A$4:$A$40,'Window-U'!$J$4:$J$40)*AB22))*AB24</f>
        <v>1264.319810735519</v>
      </c>
      <c r="AC31" s="177">
        <f>((LOOKUP(AC2,'Ceiling-U'!$A$4:$A$40,'Ceiling-U'!$J$4:$J$40)*AC15)+(LOOKUP(AC2,'Floor-U'!$A$4:$A$40,'Floor-U'!$J$4:$J$40)*AC16)+(LOOKUP(AC2,'Wall-U'!$A$4:$A$40,'Wall-U'!$J$4:$J$40)*AC13)+(LOOKUP(AC2,'Window-U'!$A$4:$A$40,'Window-U'!$J$4:$J$40)*AC22))*AC24</f>
        <v>2241.4140200131083</v>
      </c>
      <c r="AD31" s="177">
        <f>((LOOKUP(AD2,'Ceiling-U'!$A$4:$A$40,'Ceiling-U'!$J$4:$J$40)*AD15)+(LOOKUP(AD2,'Floor-U'!$A$4:$A$40,'Floor-U'!$J$4:$J$40)*AD16)+(LOOKUP(AD2,'Wall-U'!$A$4:$A$40,'Wall-U'!$J$4:$J$40)*AD13)+(LOOKUP(AD2,'Window-U'!$A$4:$A$40,'Window-U'!$J$4:$J$40)*AD22))*AD24</f>
        <v>3647.8937734145716</v>
      </c>
      <c r="AE31" s="177">
        <f>((LOOKUP(AE2,'Ceiling-U'!$A$4:$A$40,'Ceiling-U'!$J$4:$J$40)*AE15)+(LOOKUP(AE2,'Floor-U'!$A$4:$A$40,'Floor-U'!$J$4:$J$40)*AE16)+(LOOKUP(AE2,'Wall-U'!$A$4:$A$40,'Wall-U'!$J$4:$J$40)*AE13)+(LOOKUP(AE2,'Window-U'!$A$4:$A$40,'Window-U'!$J$4:$J$40)*AE22))*AE24</f>
        <v>511.84748515177102</v>
      </c>
      <c r="AF31" s="177">
        <f>((LOOKUP(AF2,'Ceiling-U'!$A$4:$A$40,'Ceiling-U'!$J$4:$J$40)*AF15)+(LOOKUP(AF2,'Floor-U'!$A$4:$A$40,'Floor-U'!$J$4:$J$40)*AF16)+(LOOKUP(AF2,'Wall-U'!$A$4:$A$40,'Wall-U'!$J$4:$J$40)*AF13)+(LOOKUP(AF2,'Window-U'!$A$4:$A$40,'Window-U'!$J$4:$J$40)*AF22))*AF24</f>
        <v>513.93538000766216</v>
      </c>
      <c r="AG31" s="177">
        <f>((LOOKUP(AG2,'Ceiling-U'!$A$4:$A$40,'Ceiling-U'!$J$4:$J$40)*AG15)+(LOOKUP(AG2,'Floor-U'!$A$4:$A$40,'Floor-U'!$J$4:$J$40)*AG16)+(LOOKUP(AG2,'Wall-U'!$A$4:$A$40,'Wall-U'!$J$4:$J$40)*AG13)+(LOOKUP(AG2,'Window-U'!$A$4:$A$40,'Window-U'!$J$4:$J$40)*AG22))*AG24</f>
        <v>963.91129151883536</v>
      </c>
      <c r="AH31" s="177">
        <f>((LOOKUP(AH2,'Ceiling-U'!$A$4:$A$40,'Ceiling-U'!$J$4:$J$40)*AH15)+(LOOKUP(AH2,'Floor-U'!$A$4:$A$40,'Floor-U'!$J$4:$J$40)*AH16)+(LOOKUP(AH2,'Wall-U'!$A$4:$A$40,'Wall-U'!$J$4:$J$40)*AH13)+(LOOKUP(AH2,'Window-U'!$A$4:$A$40,'Window-U'!$J$4:$J$40)*AH22))*AH24</f>
        <v>2021.6765050706595</v>
      </c>
      <c r="AI31" s="177">
        <f>((LOOKUP(AI2,'Ceiling-U'!$A$4:$A$40,'Ceiling-U'!$J$4:$J$40)*AI15)+(LOOKUP(AI2,'Floor-U'!$A$4:$A$40,'Floor-U'!$J$4:$J$40)*AI16)+(LOOKUP(AI2,'Wall-U'!$A$4:$A$40,'Wall-U'!$J$4:$J$40)*AI13)+(LOOKUP(AI2,'Window-U'!$A$4:$A$40,'Window-U'!$J$4:$J$40)*AI22))*AI24</f>
        <v>1432.3809475597227</v>
      </c>
      <c r="AJ31" s="177">
        <f>((LOOKUP(AJ2,'Ceiling-U'!$A$4:$A$40,'Ceiling-U'!$J$4:$J$40)*AJ15)+(LOOKUP(AJ2,'Floor-U'!$A$4:$A$40,'Floor-U'!$J$4:$J$40)*AJ16)+(LOOKUP(AJ2,'Wall-U'!$A$4:$A$40,'Wall-U'!$J$4:$J$40)*AJ13)+(LOOKUP(AJ2,'Window-U'!$A$4:$A$40,'Window-U'!$J$4:$J$40)*AJ22))*AJ24</f>
        <v>1591.9980080148512</v>
      </c>
      <c r="AK31" s="177">
        <f>((LOOKUP(AK2,'Ceiling-U'!$A$4:$A$40,'Ceiling-U'!$J$4:$J$40)*AK15)+(LOOKUP(AK2,'Floor-U'!$A$4:$A$40,'Floor-U'!$J$4:$J$40)*AK16)+(LOOKUP(AK2,'Wall-U'!$A$4:$A$40,'Wall-U'!$J$4:$J$40)*AK13)+(LOOKUP(AK2,'Window-U'!$A$4:$A$40,'Window-U'!$J$4:$J$40)*AK22))*AK24</f>
        <v>1707.6497258395839</v>
      </c>
      <c r="AL31" s="177">
        <f>((LOOKUP(AL2,'Ceiling-U'!$A$4:$A$40,'Ceiling-U'!$J$4:$J$40)*AL15)+(LOOKUP(AL2,'Floor-U'!$A$4:$A$40,'Floor-U'!$J$4:$J$40)*AL16)+(LOOKUP(AL2,'Wall-U'!$A$4:$A$40,'Wall-U'!$J$4:$J$40)*AL13)+(LOOKUP(AL2,'Window-U'!$A$4:$A$40,'Window-U'!$J$4:$J$40)*AL22))*AL24</f>
        <v>926.38784506812408</v>
      </c>
      <c r="AM31" s="177">
        <f>((LOOKUP(AM2,'Ceiling-U'!$A$4:$A$40,'Ceiling-U'!$J$4:$J$40)*AM15)+(LOOKUP(AM2,'Floor-U'!$A$4:$A$40,'Floor-U'!$J$4:$J$40)*AM16)+(LOOKUP(AM2,'Wall-U'!$A$4:$A$40,'Wall-U'!$J$4:$J$40)*AM13)+(LOOKUP(AM2,'Window-U'!$A$4:$A$40,'Window-U'!$J$4:$J$40)*AM22))*AM24</f>
        <v>1591.9980080148512</v>
      </c>
      <c r="AN31" s="178">
        <f>((LOOKUP(AN2,'Ceiling-U'!$A$4:$A$40,'Ceiling-U'!$J$4:$J$40)*AN15)+(LOOKUP(AN2,'Floor-U'!$A$4:$A$40,'Floor-U'!$J$4:$J$40)*AN16)+(LOOKUP(AN2,'Wall-U'!$A$4:$A$40,'Wall-U'!$J$4:$J$40)*AN13)+(LOOKUP(AN2,'Window-U'!$A$4:$A$40,'Window-U'!$J$4:$J$40)*AN22))*AN24</f>
        <v>1591.9980080148512</v>
      </c>
    </row>
    <row r="32" spans="1:40" s="135" customFormat="1">
      <c r="A32" s="121"/>
      <c r="B32" s="143" t="s">
        <v>187</v>
      </c>
      <c r="C32" s="122" t="s">
        <v>195</v>
      </c>
      <c r="D32" s="197">
        <f>((LOOKUP(D2,'Ceiling-U'!$A$4:$A$40,'Ceiling-U'!$K$4:$K$40)*D15)+(LOOKUP(D2,'Floor-U'!$A$4:$A$40,'Floor-U'!$K$4:$K$40)*D16)+(LOOKUP(D2,'Wall-U'!$A$4:$A$40,'Wall-U'!$K$4:$K$40)*D13)+(LOOKUP(D2,'Window-U'!$A$4:$A$40,'Window-U'!$K$4:$K$40)*D22))*D24</f>
        <v>1892.3978984331341</v>
      </c>
      <c r="E32" s="198">
        <f>((LOOKUP(E2,'Ceiling-U'!$A$4:$A$40,'Ceiling-U'!$K$4:$K$40)*E15)+(LOOKUP(E2,'Floor-U'!$A$4:$A$40,'Floor-U'!$K$4:$K$40)*E16)+(LOOKUP(E2,'Wall-U'!$A$4:$A$40,'Wall-U'!$K$4:$K$40)*E13)+(LOOKUP(E2,'Window-U'!$A$4:$A$40,'Window-U'!$K$4:$K$40)*E22))*E24</f>
        <v>3109.2699939388976</v>
      </c>
      <c r="F32" s="198">
        <f>((LOOKUP(F2,'Ceiling-U'!$A$4:$A$40,'Ceiling-U'!$K$4:$K$40)*F15)+(LOOKUP(F2,'Floor-U'!$A$4:$A$40,'Floor-U'!$K$4:$K$40)*F16)+(LOOKUP(F2,'Wall-U'!$A$4:$A$40,'Wall-U'!$K$4:$K$40)*F13)+(LOOKUP(F2,'Window-U'!$A$4:$A$40,'Window-U'!$K$4:$K$40)*F22))*F24</f>
        <v>3380.9192804619615</v>
      </c>
      <c r="G32" s="198">
        <f>((LOOKUP(G2,'Ceiling-U'!$A$4:$A$40,'Ceiling-U'!$K$4:$K$40)*G15)+(LOOKUP(G2,'Floor-U'!$A$4:$A$40,'Floor-U'!$K$4:$K$40)*G16)+(LOOKUP(G2,'Wall-U'!$A$4:$A$40,'Wall-U'!$K$4:$K$40)*G13)+(LOOKUP(G2,'Window-U'!$A$4:$A$40,'Window-U'!$K$4:$K$40)*G22))*G24</f>
        <v>1892.3978984331345</v>
      </c>
      <c r="H32" s="198">
        <f>((LOOKUP(H2,'Ceiling-U'!$A$4:$A$40,'Ceiling-U'!$K$4:$K$40)*H15)+(LOOKUP(H2,'Floor-U'!$A$4:$A$40,'Floor-U'!$K$4:$K$40)*H16)+(LOOKUP(H2,'Wall-U'!$A$4:$A$40,'Wall-U'!$K$4:$K$40)*H13)+(LOOKUP(H2,'Window-U'!$A$4:$A$40,'Window-U'!$K$4:$K$40)*H22))*H24</f>
        <v>3381.2641020763599</v>
      </c>
      <c r="I32" s="198">
        <f>((LOOKUP(I2,'Ceiling-U'!$A$4:$A$40,'Ceiling-U'!$K$4:$K$40)*I15)+(LOOKUP(I2,'Floor-U'!$A$4:$A$40,'Floor-U'!$K$4:$K$40)*I16)+(LOOKUP(I2,'Wall-U'!$A$4:$A$40,'Wall-U'!$K$4:$K$40)*I13)+(LOOKUP(I2,'Window-U'!$A$4:$A$40,'Window-U'!$K$4:$K$40)*I22))*I24</f>
        <v>1462.8309540321093</v>
      </c>
      <c r="J32" s="198">
        <f>((LOOKUP(J2,'Ceiling-U'!$A$4:$A$40,'Ceiling-U'!$K$4:$K$40)*J15)+(LOOKUP(J2,'Floor-U'!$A$4:$A$40,'Floor-U'!$K$4:$K$40)*J16)+(LOOKUP(J2,'Wall-U'!$A$4:$A$40,'Wall-U'!$K$4:$K$40)*J13)+(LOOKUP(J2,'Window-U'!$A$4:$A$40,'Window-U'!$K$4:$K$40)*J22))*J24</f>
        <v>1908.2633309654641</v>
      </c>
      <c r="K32" s="198">
        <f>((LOOKUP(K2,'Ceiling-U'!$A$4:$A$40,'Ceiling-U'!$K$4:$K$40)*K15)+(LOOKUP(K2,'Floor-U'!$A$4:$A$40,'Floor-U'!$K$4:$K$40)*K16)+(LOOKUP(K2,'Wall-U'!$A$4:$A$40,'Wall-U'!$K$4:$K$40)*K13)+(LOOKUP(K2,'Window-U'!$A$4:$A$40,'Window-U'!$K$4:$K$40)*K22))*K24</f>
        <v>1790.531280636756</v>
      </c>
      <c r="L32" s="198">
        <f>((LOOKUP(L2,'Ceiling-U'!$A$4:$A$40,'Ceiling-U'!$K$4:$K$40)*L15)+(LOOKUP(L2,'Floor-U'!$A$4:$A$40,'Floor-U'!$K$4:$K$40)*L16)+(LOOKUP(L2,'Wall-U'!$A$4:$A$40,'Wall-U'!$K$4:$K$40)*L13)+(LOOKUP(L2,'Window-U'!$A$4:$A$40,'Window-U'!$K$4:$K$40)*L22))*L24</f>
        <v>656.56021829358178</v>
      </c>
      <c r="M32" s="198">
        <f>((LOOKUP(M2,'Ceiling-U'!$A$4:$A$40,'Ceiling-U'!$K$4:$K$40)*M15)+(LOOKUP(M2,'Floor-U'!$A$4:$A$40,'Floor-U'!$K$4:$K$40)*M16)+(LOOKUP(M2,'Wall-U'!$A$4:$A$40,'Wall-U'!$K$4:$K$40)*M13)+(LOOKUP(M2,'Window-U'!$A$4:$A$40,'Window-U'!$K$4:$K$40)*M22))*M24</f>
        <v>2234.2605603265774</v>
      </c>
      <c r="N32" s="198">
        <f>((LOOKUP(N2,'Ceiling-U'!$A$4:$A$40,'Ceiling-U'!$K$4:$K$40)*N15)+(LOOKUP(N2,'Floor-U'!$A$4:$A$40,'Floor-U'!$K$4:$K$40)*N16)+(LOOKUP(N2,'Wall-U'!$A$4:$A$40,'Wall-U'!$K$4:$K$40)*N13)+(LOOKUP(N2,'Window-U'!$A$4:$A$40,'Window-U'!$K$4:$K$40)*N22))*N24</f>
        <v>1625.928317347335</v>
      </c>
      <c r="O32" s="198">
        <f>((LOOKUP(O2,'Ceiling-U'!$A$4:$A$40,'Ceiling-U'!$K$4:$K$40)*O15)+(LOOKUP(O2,'Floor-U'!$A$4:$A$40,'Floor-U'!$K$4:$K$40)*O16)+(LOOKUP(O2,'Wall-U'!$A$4:$A$40,'Wall-U'!$K$4:$K$40)*O13)+(LOOKUP(O2,'Window-U'!$A$4:$A$40,'Window-U'!$K$4:$K$40)*O22))*O24</f>
        <v>2655.3747983434187</v>
      </c>
      <c r="P32" s="198">
        <f>((LOOKUP(P2,'Ceiling-U'!$A$4:$A$40,'Ceiling-U'!$K$4:$K$40)*P15)+(LOOKUP(P2,'Floor-U'!$A$4:$A$40,'Floor-U'!$K$4:$K$40)*P16)+(LOOKUP(P2,'Wall-U'!$A$4:$A$40,'Wall-U'!$K$4:$K$40)*P13)+(LOOKUP(P2,'Window-U'!$A$4:$A$40,'Window-U'!$K$4:$K$40)*P22))*P24</f>
        <v>2582.6969240100134</v>
      </c>
      <c r="Q32" s="198">
        <f>((LOOKUP(Q2,'Ceiling-U'!$A$4:$A$40,'Ceiling-U'!$K$4:$K$40)*Q15)+(LOOKUP(Q2,'Floor-U'!$A$4:$A$40,'Floor-U'!$K$4:$K$40)*Q16)+(LOOKUP(Q2,'Wall-U'!$A$4:$A$40,'Wall-U'!$K$4:$K$40)*Q13)+(LOOKUP(Q2,'Window-U'!$A$4:$A$40,'Window-U'!$K$4:$K$40)*Q22))*Q24</f>
        <v>2098.9207766081227</v>
      </c>
      <c r="R32" s="198">
        <f>((LOOKUP(R2,'Ceiling-U'!$A$4:$A$40,'Ceiling-U'!$K$4:$K$40)*R15)+(LOOKUP(R2,'Floor-U'!$A$4:$A$40,'Floor-U'!$K$4:$K$40)*R16)+(LOOKUP(R2,'Wall-U'!$A$4:$A$40,'Wall-U'!$K$4:$K$40)*R13)+(LOOKUP(R2,'Window-U'!$A$4:$A$40,'Window-U'!$K$4:$K$40)*R22))*R24</f>
        <v>1665.4723529228481</v>
      </c>
      <c r="S32" s="198">
        <f>((LOOKUP(S2,'Ceiling-U'!$A$4:$A$40,'Ceiling-U'!$K$4:$K$40)*S15)+(LOOKUP(S2,'Floor-U'!$A$4:$A$40,'Floor-U'!$K$4:$K$40)*S16)+(LOOKUP(S2,'Wall-U'!$A$4:$A$40,'Wall-U'!$K$4:$K$40)*S13)+(LOOKUP(S2,'Window-U'!$A$4:$A$40,'Window-U'!$K$4:$K$40)*S22))*S24</f>
        <v>5719.7380365941499</v>
      </c>
      <c r="T32" s="198">
        <f>((LOOKUP(T2,'Ceiling-U'!$A$4:$A$40,'Ceiling-U'!$K$4:$K$40)*T15)+(LOOKUP(T2,'Floor-U'!$A$4:$A$40,'Floor-U'!$K$4:$K$40)*T16)+(LOOKUP(T2,'Wall-U'!$A$4:$A$40,'Wall-U'!$K$4:$K$40)*T13)+(LOOKUP(T2,'Window-U'!$A$4:$A$40,'Window-U'!$K$4:$K$40)*T22))*T24</f>
        <v>818.72632405164336</v>
      </c>
      <c r="U32" s="198">
        <f>((LOOKUP(U2,'Ceiling-U'!$A$4:$A$40,'Ceiling-U'!$K$4:$K$40)*U15)+(LOOKUP(U2,'Floor-U'!$A$4:$A$40,'Floor-U'!$K$4:$K$40)*U16)+(LOOKUP(U2,'Wall-U'!$A$4:$A$40,'Wall-U'!$K$4:$K$40)*U13)+(LOOKUP(U2,'Window-U'!$A$4:$A$40,'Window-U'!$K$4:$K$40)*U22))*U24</f>
        <v>3609.4630474282785</v>
      </c>
      <c r="V32" s="198">
        <f>((LOOKUP(V2,'Ceiling-U'!$A$4:$A$40,'Ceiling-U'!$K$4:$K$40)*V15)+(LOOKUP(V2,'Floor-U'!$A$4:$A$40,'Floor-U'!$K$4:$K$40)*V16)+(LOOKUP(V2,'Wall-U'!$A$4:$A$40,'Wall-U'!$K$4:$K$40)*V13)+(LOOKUP(V2,'Window-U'!$A$4:$A$40,'Window-U'!$K$4:$K$40)*V22))*V24</f>
        <v>1227.5413834059534</v>
      </c>
      <c r="W32" s="198">
        <f>((LOOKUP(W2,'Ceiling-U'!$A$4:$A$40,'Ceiling-U'!$K$4:$K$40)*W15)+(LOOKUP(W2,'Floor-U'!$A$4:$A$40,'Floor-U'!$K$4:$K$40)*W16)+(LOOKUP(W2,'Wall-U'!$A$4:$A$40,'Wall-U'!$K$4:$K$40)*W13)+(LOOKUP(W2,'Window-U'!$A$4:$A$40,'Window-U'!$K$4:$K$40)*W22))*W24</f>
        <v>2118.7060069738427</v>
      </c>
      <c r="X32" s="198">
        <f>((LOOKUP(X2,'Ceiling-U'!$A$4:$A$40,'Ceiling-U'!$K$4:$K$40)*X15)+(LOOKUP(X2,'Floor-U'!$A$4:$A$40,'Floor-U'!$K$4:$K$40)*X16)+(LOOKUP(X2,'Wall-U'!$A$4:$A$40,'Wall-U'!$K$4:$K$40)*X13)+(LOOKUP(X2,'Window-U'!$A$4:$A$40,'Window-U'!$K$4:$K$40)*X22))*X24</f>
        <v>1325.3938942690932</v>
      </c>
      <c r="Y32" s="198">
        <f>((LOOKUP(Y2,'Ceiling-U'!$A$4:$A$40,'Ceiling-U'!$K$4:$K$40)*Y15)+(LOOKUP(Y2,'Floor-U'!$A$4:$A$40,'Floor-U'!$K$4:$K$40)*Y16)+(LOOKUP(Y2,'Wall-U'!$A$4:$A$40,'Wall-U'!$K$4:$K$40)*Y13)+(LOOKUP(Y2,'Window-U'!$A$4:$A$40,'Window-U'!$K$4:$K$40)*Y22))*Y24</f>
        <v>4776.6888590256549</v>
      </c>
      <c r="Z32" s="198">
        <f>((LOOKUP(Z2,'Ceiling-U'!$A$4:$A$40,'Ceiling-U'!$K$4:$K$40)*Z15)+(LOOKUP(Z2,'Floor-U'!$A$4:$A$40,'Floor-U'!$K$4:$K$40)*Z16)+(LOOKUP(Z2,'Wall-U'!$A$4:$A$40,'Wall-U'!$K$4:$K$40)*Z13)+(LOOKUP(Z2,'Window-U'!$A$4:$A$40,'Window-U'!$K$4:$K$40)*Z22))*Z24</f>
        <v>2457.1009821886364</v>
      </c>
      <c r="AA32" s="198">
        <f>((LOOKUP(AA2,'Ceiling-U'!$A$4:$A$40,'Ceiling-U'!$K$4:$K$40)*AA15)+(LOOKUP(AA2,'Floor-U'!$A$4:$A$40,'Floor-U'!$K$4:$K$40)*AA16)+(LOOKUP(AA2,'Wall-U'!$A$4:$A$40,'Wall-U'!$K$4:$K$40)*AA13)+(LOOKUP(AA2,'Window-U'!$A$4:$A$40,'Window-U'!$K$4:$K$40)*AA22))*AA24</f>
        <v>808.90271070583412</v>
      </c>
      <c r="AB32" s="198">
        <f>((LOOKUP(AB2,'Ceiling-U'!$A$4:$A$40,'Ceiling-U'!$K$4:$K$40)*AB15)+(LOOKUP(AB2,'Floor-U'!$A$4:$A$40,'Floor-U'!$K$4:$K$40)*AB16)+(LOOKUP(AB2,'Wall-U'!$A$4:$A$40,'Wall-U'!$K$4:$K$40)*AB13)+(LOOKUP(AB2,'Window-U'!$A$4:$A$40,'Window-U'!$K$4:$K$40)*AB22))*AB24</f>
        <v>2154.7401934421937</v>
      </c>
      <c r="AC32" s="198">
        <f>((LOOKUP(AC2,'Ceiling-U'!$A$4:$A$40,'Ceiling-U'!$K$4:$K$40)*AC15)+(LOOKUP(AC2,'Floor-U'!$A$4:$A$40,'Floor-U'!$K$4:$K$40)*AC16)+(LOOKUP(AC2,'Wall-U'!$A$4:$A$40,'Wall-U'!$K$4:$K$40)*AC13)+(LOOKUP(AC2,'Window-U'!$A$4:$A$40,'Window-U'!$K$4:$K$40)*AC22))*AC24</f>
        <v>3808.1960493334482</v>
      </c>
      <c r="AD32" s="198">
        <f>((LOOKUP(AD2,'Ceiling-U'!$A$4:$A$40,'Ceiling-U'!$K$4:$K$40)*AD15)+(LOOKUP(AD2,'Floor-U'!$A$4:$A$40,'Floor-U'!$K$4:$K$40)*AD16)+(LOOKUP(AD2,'Wall-U'!$A$4:$A$40,'Wall-U'!$K$4:$K$40)*AD13)+(LOOKUP(AD2,'Window-U'!$A$4:$A$40,'Window-U'!$K$4:$K$40)*AD22))*AD24</f>
        <v>5628.2112492102979</v>
      </c>
      <c r="AE32" s="198">
        <f>((LOOKUP(AE2,'Ceiling-U'!$A$4:$A$40,'Ceiling-U'!$K$4:$K$40)*AE15)+(LOOKUP(AE2,'Floor-U'!$A$4:$A$40,'Floor-U'!$K$4:$K$40)*AE16)+(LOOKUP(AE2,'Wall-U'!$A$4:$A$40,'Wall-U'!$K$4:$K$40)*AE13)+(LOOKUP(AE2,'Window-U'!$A$4:$A$40,'Window-U'!$K$4:$K$40)*AE22))*AE24</f>
        <v>885.93126361831196</v>
      </c>
      <c r="AF32" s="198">
        <f>((LOOKUP(AF2,'Ceiling-U'!$A$4:$A$40,'Ceiling-U'!$K$4:$K$40)*AF15)+(LOOKUP(AF2,'Floor-U'!$A$4:$A$40,'Floor-U'!$K$4:$K$40)*AF16)+(LOOKUP(AF2,'Wall-U'!$A$4:$A$40,'Wall-U'!$K$4:$K$40)*AF13)+(LOOKUP(AF2,'Window-U'!$A$4:$A$40,'Window-U'!$K$4:$K$40)*AF22))*AF24</f>
        <v>1695.3158161542815</v>
      </c>
      <c r="AG32" s="198">
        <f>((LOOKUP(AG2,'Ceiling-U'!$A$4:$A$40,'Ceiling-U'!$K$4:$K$40)*AG15)+(LOOKUP(AG2,'Floor-U'!$A$4:$A$40,'Floor-U'!$K$4:$K$40)*AG16)+(LOOKUP(AG2,'Wall-U'!$A$4:$A$40,'Wall-U'!$K$4:$K$40)*AG13)+(LOOKUP(AG2,'Window-U'!$A$4:$A$40,'Window-U'!$K$4:$K$40)*AG22))*AG24</f>
        <v>2245.8436187347406</v>
      </c>
      <c r="AH32" s="198">
        <f>((LOOKUP(AH2,'Ceiling-U'!$A$4:$A$40,'Ceiling-U'!$K$4:$K$40)*AH15)+(LOOKUP(AH2,'Floor-U'!$A$4:$A$40,'Floor-U'!$K$4:$K$40)*AH16)+(LOOKUP(AH2,'Wall-U'!$A$4:$A$40,'Wall-U'!$K$4:$K$40)*AH13)+(LOOKUP(AH2,'Window-U'!$A$4:$A$40,'Window-U'!$K$4:$K$40)*AH22))*AH24</f>
        <v>6220.2277393889162</v>
      </c>
      <c r="AI32" s="198">
        <f>((LOOKUP(AI2,'Ceiling-U'!$A$4:$A$40,'Ceiling-U'!$K$4:$K$40)*AI15)+(LOOKUP(AI2,'Floor-U'!$A$4:$A$40,'Floor-U'!$K$4:$K$40)*AI16)+(LOOKUP(AI2,'Wall-U'!$A$4:$A$40,'Wall-U'!$K$4:$K$40)*AI13)+(LOOKUP(AI2,'Window-U'!$A$4:$A$40,'Window-U'!$K$4:$K$40)*AI22))*AI24</f>
        <v>4132.6295360027452</v>
      </c>
      <c r="AJ32" s="198">
        <f>((LOOKUP(AJ2,'Ceiling-U'!$A$4:$A$40,'Ceiling-U'!$K$4:$K$40)*AJ15)+(LOOKUP(AJ2,'Floor-U'!$A$4:$A$40,'Floor-U'!$K$4:$K$40)*AJ16)+(LOOKUP(AJ2,'Wall-U'!$A$4:$A$40,'Wall-U'!$K$4:$K$40)*AJ13)+(LOOKUP(AJ2,'Window-U'!$A$4:$A$40,'Window-U'!$K$4:$K$40)*AJ22))*AJ24</f>
        <v>2213.7825677966498</v>
      </c>
      <c r="AK32" s="198">
        <f>((LOOKUP(AK2,'Ceiling-U'!$A$4:$A$40,'Ceiling-U'!$K$4:$K$40)*AK15)+(LOOKUP(AK2,'Floor-U'!$A$4:$A$40,'Floor-U'!$K$4:$K$40)*AK16)+(LOOKUP(AK2,'Wall-U'!$A$4:$A$40,'Wall-U'!$K$4:$K$40)*AK13)+(LOOKUP(AK2,'Window-U'!$A$4:$A$40,'Window-U'!$K$4:$K$40)*AK22))*AK24</f>
        <v>2382.2981883068455</v>
      </c>
      <c r="AL32" s="198">
        <f>((LOOKUP(AL2,'Ceiling-U'!$A$4:$A$40,'Ceiling-U'!$K$4:$K$40)*AL15)+(LOOKUP(AL2,'Floor-U'!$A$4:$A$40,'Floor-U'!$K$4:$K$40)*AL16)+(LOOKUP(AL2,'Wall-U'!$A$4:$A$40,'Wall-U'!$K$4:$K$40)*AL13)+(LOOKUP(AL2,'Window-U'!$A$4:$A$40,'Window-U'!$K$4:$K$40)*AL22))*AL24</f>
        <v>2099.6399258288079</v>
      </c>
      <c r="AM32" s="198">
        <f>((LOOKUP(AM2,'Ceiling-U'!$A$4:$A$40,'Ceiling-U'!$K$4:$K$40)*AM15)+(LOOKUP(AM2,'Floor-U'!$A$4:$A$40,'Floor-U'!$K$4:$K$40)*AM16)+(LOOKUP(AM2,'Wall-U'!$A$4:$A$40,'Wall-U'!$K$4:$K$40)*AM13)+(LOOKUP(AM2,'Window-U'!$A$4:$A$40,'Window-U'!$K$4:$K$40)*AM22))*AM24</f>
        <v>2213.7825677966498</v>
      </c>
      <c r="AN32" s="199">
        <f>((LOOKUP(AN2,'Ceiling-U'!$A$4:$A$40,'Ceiling-U'!$K$4:$K$40)*AN15)+(LOOKUP(AN2,'Floor-U'!$A$4:$A$40,'Floor-U'!$K$4:$K$40)*AN16)+(LOOKUP(AN2,'Wall-U'!$A$4:$A$40,'Wall-U'!$K$4:$K$40)*AN13)+(LOOKUP(AN2,'Window-U'!$A$4:$A$40,'Window-U'!$K$4:$K$40)*AN22))*AN24</f>
        <v>2213.7825677966503</v>
      </c>
    </row>
    <row r="33" spans="1:40" s="135" customFormat="1">
      <c r="A33" s="332" t="s">
        <v>280</v>
      </c>
      <c r="B33" s="142" t="s">
        <v>2</v>
      </c>
      <c r="C33" s="360" t="s">
        <v>261</v>
      </c>
      <c r="D33" s="351">
        <f>D26*24*LOOKUP(D$2,'HDD-by Country'!$A$4:$A$40,'HDD-by Country'!$C$4:$C$40)/1000/D$3</f>
        <v>11117.720871791711</v>
      </c>
      <c r="E33" s="352">
        <f>E26*24*LOOKUP(E$2,'HDD-by Country'!$A$4:$A$40,'HDD-by Country'!$C$4:$C$40)/1000/E$3</f>
        <v>11468.261220059616</v>
      </c>
      <c r="F33" s="352">
        <f>F26*24*LOOKUP(F$2,'HDD-by Country'!$A$4:$A$40,'HDD-by Country'!$C$4:$C$40)/1000/F$3</f>
        <v>6532.1530260819327</v>
      </c>
      <c r="G33" s="352">
        <f>G26*24*LOOKUP(G$2,'HDD-by Country'!$A$4:$A$40,'HDD-by Country'!$C$4:$C$40)/1000/G$3</f>
        <v>10831.534436367863</v>
      </c>
      <c r="H33" s="352">
        <f>H26*24*LOOKUP(H$2,'HDD-by Country'!$A$4:$A$40,'HDD-by Country'!$C$4:$C$40)/1000/H$3</f>
        <v>3976.7008716983523</v>
      </c>
      <c r="I33" s="352">
        <f>I26*24*LOOKUP(I$2,'HDD-by Country'!$A$4:$A$40,'HDD-by Country'!$C$4:$C$40)/1000/I$3</f>
        <v>7415.3337392397862</v>
      </c>
      <c r="J33" s="352">
        <f>J26*24*LOOKUP(J$2,'HDD-by Country'!$A$4:$A$40,'HDD-by Country'!$C$4:$C$40)/1000/J$3</f>
        <v>11415.218674215148</v>
      </c>
      <c r="K33" s="352">
        <f>K26*24*LOOKUP(K$2,'HDD-by Country'!$A$4:$A$40,'HDD-by Country'!$C$4:$C$40)/1000/K$3</f>
        <v>6076.5723231184511</v>
      </c>
      <c r="L33" s="352">
        <f>L26*24*LOOKUP(L$2,'HDD-by Country'!$A$4:$A$40,'HDD-by Country'!$C$4:$C$40)/1000/L$3</f>
        <v>4316.9449268137696</v>
      </c>
      <c r="M33" s="352">
        <f>M26*24*LOOKUP(M$2,'HDD-by Country'!$A$4:$A$40,'HDD-by Country'!$C$4:$C$40)/1000/M$3</f>
        <v>13843.124419308098</v>
      </c>
      <c r="N33" s="352">
        <f>N26*24*LOOKUP(N$2,'HDD-by Country'!$A$4:$A$40,'HDD-by Country'!$C$4:$C$40)/1000/N$3</f>
        <v>5957.276627696474</v>
      </c>
      <c r="O33" s="352">
        <f>O26*24*LOOKUP(O$2,'HDD-by Country'!$A$4:$A$40,'HDD-by Country'!$C$4:$C$40)/1000/O$3</f>
        <v>12561.569778052111</v>
      </c>
      <c r="P33" s="352">
        <f>P26*24*LOOKUP(P$2,'HDD-by Country'!$A$4:$A$40,'HDD-by Country'!$C$4:$C$40)/1000/P$3</f>
        <v>10851.81917752355</v>
      </c>
      <c r="Q33" s="352">
        <f>Q26*24*LOOKUP(Q$2,'HDD-by Country'!$A$4:$A$40,'HDD-by Country'!$C$4:$C$40)/1000/Q$3</f>
        <v>7454.6684075173716</v>
      </c>
      <c r="R33" s="352">
        <f>R26*24*LOOKUP(R$2,'HDD-by Country'!$A$4:$A$40,'HDD-by Country'!$C$4:$C$40)/1000/R$3</f>
        <v>7357.5600589395308</v>
      </c>
      <c r="S33" s="352">
        <f>S26*24*LOOKUP(S$2,'HDD-by Country'!$A$4:$A$40,'HDD-by Country'!$C$4:$C$40)/1000/S$3</f>
        <v>7471.9791041625285</v>
      </c>
      <c r="T33" s="352">
        <f>T26*24*LOOKUP(T$2,'HDD-by Country'!$A$4:$A$40,'HDD-by Country'!$C$4:$C$40)/1000/T$3</f>
        <v>6498.6503732172778</v>
      </c>
      <c r="U33" s="352">
        <f>U26*24*LOOKUP(U$2,'HDD-by Country'!$A$4:$A$40,'HDD-by Country'!$C$4:$C$40)/1000/U$3</f>
        <v>9932.5025105013992</v>
      </c>
      <c r="V33" s="352">
        <f>V26*24*LOOKUP(V$2,'HDD-by Country'!$A$4:$A$40,'HDD-by Country'!$C$4:$C$40)/1000/V$3</f>
        <v>7504.3369033640829</v>
      </c>
      <c r="W33" s="352">
        <f>W26*24*LOOKUP(W$2,'HDD-by Country'!$A$4:$A$40,'HDD-by Country'!$C$4:$C$40)/1000/W$3</f>
        <v>10535.99866634058</v>
      </c>
      <c r="X33" s="352">
        <f>X26*24*LOOKUP(X$2,'HDD-by Country'!$A$4:$A$40,'HDD-by Country'!$C$4:$C$40)/1000/X$3</f>
        <v>8488.4248597693913</v>
      </c>
      <c r="Y33" s="352">
        <f>Y26*24*LOOKUP(Y$2,'HDD-by Country'!$A$4:$A$40,'HDD-by Country'!$C$4:$C$40)/1000/Y$3</f>
        <v>3784.6894290559712</v>
      </c>
      <c r="Z33" s="352">
        <f>Z26*24*LOOKUP(Z$2,'HDD-by Country'!$A$4:$A$40,'HDD-by Country'!$C$4:$C$40)/1000/Z$3</f>
        <v>12225.287747961647</v>
      </c>
      <c r="AA33" s="352">
        <f>AA26*24*LOOKUP(AA$2,'HDD-by Country'!$A$4:$A$40,'HDD-by Country'!$C$4:$C$40)/1000/AA$3</f>
        <v>6952.6010987868776</v>
      </c>
      <c r="AB33" s="352">
        <f>AB26*24*LOOKUP(AB$2,'HDD-by Country'!$A$4:$A$40,'HDD-by Country'!$C$4:$C$40)/1000/AB$3</f>
        <v>10116.77972856335</v>
      </c>
      <c r="AC33" s="352">
        <f>AC26*24*LOOKUP(AC$2,'HDD-by Country'!$A$4:$A$40,'HDD-by Country'!$C$4:$C$40)/1000/AC$3</f>
        <v>7287.3444397893954</v>
      </c>
      <c r="AD33" s="352">
        <f>AD26*24*LOOKUP(AD$2,'HDD-by Country'!$A$4:$A$40,'HDD-by Country'!$C$4:$C$40)/1000/AD$3</f>
        <v>6202.5816881250958</v>
      </c>
      <c r="AE33" s="352">
        <f>AE26*24*LOOKUP(AE$2,'HDD-by Country'!$A$4:$A$40,'HDD-by Country'!$C$4:$C$40)/1000/AE$3</f>
        <v>6703.8541235911734</v>
      </c>
      <c r="AF33" s="352">
        <f>AF26*24*LOOKUP(AF$2,'HDD-by Country'!$A$4:$A$40,'HDD-by Country'!$C$4:$C$40)/1000/AF$3</f>
        <v>7421.2874172763941</v>
      </c>
      <c r="AG33" s="352">
        <f>AG26*24*LOOKUP(AG$2,'HDD-by Country'!$A$4:$A$40,'HDD-by Country'!$C$4:$C$40)/1000/AG$3</f>
        <v>11742.074978233613</v>
      </c>
      <c r="AH33" s="352">
        <f>AH26*24*LOOKUP(AH$2,'HDD-by Country'!$A$4:$A$40,'HDD-by Country'!$C$4:$C$40)/1000/AH$3</f>
        <v>6777.8280828359584</v>
      </c>
      <c r="AI33" s="352">
        <f>AI26*24*LOOKUP(AI$2,'HDD-by Country'!$A$4:$A$40,'HDD-by Country'!$C$4:$C$40)/1000/AI$3</f>
        <v>8668.9681824532017</v>
      </c>
      <c r="AJ33" s="352">
        <f>AJ26*24*LOOKUP(AJ$2,'HDD-by Country'!$A$4:$A$40,'HDD-by Country'!$C$4:$C$40)/1000/AJ$3</f>
        <v>8336.341652394729</v>
      </c>
      <c r="AK33" s="352">
        <f>AK26*24*LOOKUP(AK$2,'HDD-by Country'!$A$4:$A$40,'HDD-by Country'!$C$4:$C$40)/1000/AK$3</f>
        <v>7976.1947645371911</v>
      </c>
      <c r="AL33" s="352">
        <f>AL26*24*LOOKUP(AL$2,'HDD-by Country'!$A$4:$A$40,'HDD-by Country'!$C$4:$C$40)/1000/AL$3</f>
        <v>8176.7331511458106</v>
      </c>
      <c r="AM33" s="352">
        <f>AM26*24*LOOKUP(AM$2,'HDD-by Country'!$A$4:$A$40,'HDD-by Country'!$C$4:$C$40)/1000/AM$3</f>
        <v>7665.8966529721556</v>
      </c>
      <c r="AN33" s="353">
        <f>AN26*24*LOOKUP(AN$2,'HDD-by Country'!$A$4:$A$40,'HDD-by Country'!$C$4:$C$40)/1000/AN$3</f>
        <v>7665.8966529721556</v>
      </c>
    </row>
    <row r="34" spans="1:40" s="135" customFormat="1">
      <c r="A34" s="129"/>
      <c r="B34" s="142" t="s">
        <v>3</v>
      </c>
      <c r="C34" s="129" t="s">
        <v>261</v>
      </c>
      <c r="D34" s="345">
        <f>D27*24*LOOKUP(D$2,'HDD-by Country'!$A$4:$A$40,'HDD-by Country'!$C$4:$C$40)/1000/D$3</f>
        <v>9850.0613699574424</v>
      </c>
      <c r="E34" s="349">
        <f>E27*24*LOOKUP(E$2,'HDD-by Country'!$A$4:$A$40,'HDD-by Country'!$C$4:$C$40)/1000/E$3</f>
        <v>11468.261220059616</v>
      </c>
      <c r="F34" s="349">
        <f>F27*24*LOOKUP(F$2,'HDD-by Country'!$A$4:$A$40,'HDD-by Country'!$C$4:$C$40)/1000/F$3</f>
        <v>6532.1530260819327</v>
      </c>
      <c r="G34" s="349">
        <f>G27*24*LOOKUP(G$2,'HDD-by Country'!$A$4:$A$40,'HDD-by Country'!$C$4:$C$40)/1000/G$3</f>
        <v>9596.5063486826566</v>
      </c>
      <c r="H34" s="349">
        <f>H27*24*LOOKUP(H$2,'HDD-by Country'!$A$4:$A$40,'HDD-by Country'!$C$4:$C$40)/1000/H$3</f>
        <v>3592.6367918445844</v>
      </c>
      <c r="I34" s="349">
        <f>I27*24*LOOKUP(I$2,'HDD-by Country'!$A$4:$A$40,'HDD-by Country'!$C$4:$C$40)/1000/I$3</f>
        <v>6552.2976918689619</v>
      </c>
      <c r="J34" s="349">
        <f>J27*24*LOOKUP(J$2,'HDD-by Country'!$A$4:$A$40,'HDD-by Country'!$C$4:$C$40)/1000/J$3</f>
        <v>9083.5871406092047</v>
      </c>
      <c r="K34" s="349">
        <f>K27*24*LOOKUP(K$2,'HDD-by Country'!$A$4:$A$40,'HDD-by Country'!$C$4:$C$40)/1000/K$3</f>
        <v>5947.98342031629</v>
      </c>
      <c r="L34" s="349">
        <f>L27*24*LOOKUP(L$2,'HDD-by Country'!$A$4:$A$40,'HDD-by Country'!$C$4:$C$40)/1000/L$3</f>
        <v>4316.9449268137696</v>
      </c>
      <c r="M34" s="349">
        <f>M27*24*LOOKUP(M$2,'HDD-by Country'!$A$4:$A$40,'HDD-by Country'!$C$4:$C$40)/1000/M$3</f>
        <v>12187.704374586872</v>
      </c>
      <c r="N34" s="349">
        <f>N27*24*LOOKUP(N$2,'HDD-by Country'!$A$4:$A$40,'HDD-by Country'!$C$4:$C$40)/1000/N$3</f>
        <v>5531.4832525167076</v>
      </c>
      <c r="O34" s="349">
        <f>O27*24*LOOKUP(O$2,'HDD-by Country'!$A$4:$A$40,'HDD-by Country'!$C$4:$C$40)/1000/O$3</f>
        <v>12561.569778052111</v>
      </c>
      <c r="P34" s="349">
        <f>P27*24*LOOKUP(P$2,'HDD-by Country'!$A$4:$A$40,'HDD-by Country'!$C$4:$C$40)/1000/P$3</f>
        <v>10851.81917752355</v>
      </c>
      <c r="Q34" s="349">
        <f>Q27*24*LOOKUP(Q$2,'HDD-by Country'!$A$4:$A$40,'HDD-by Country'!$C$4:$C$40)/1000/Q$3</f>
        <v>8052.5365375908614</v>
      </c>
      <c r="R34" s="349">
        <f>R27*24*LOOKUP(R$2,'HDD-by Country'!$A$4:$A$40,'HDD-by Country'!$C$4:$C$40)/1000/R$3</f>
        <v>7357.5600589395308</v>
      </c>
      <c r="S34" s="349">
        <f>S27*24*LOOKUP(S$2,'HDD-by Country'!$A$4:$A$40,'HDD-by Country'!$C$4:$C$40)/1000/S$3</f>
        <v>7564.2553888307502</v>
      </c>
      <c r="T34" s="349">
        <f>T27*24*LOOKUP(T$2,'HDD-by Country'!$A$4:$A$40,'HDD-by Country'!$C$4:$C$40)/1000/T$3</f>
        <v>6041.0445190027931</v>
      </c>
      <c r="U34" s="349">
        <f>U27*24*LOOKUP(U$2,'HDD-by Country'!$A$4:$A$40,'HDD-by Country'!$C$4:$C$40)/1000/U$3</f>
        <v>9251.9938644456888</v>
      </c>
      <c r="V34" s="349">
        <f>V27*24*LOOKUP(V$2,'HDD-by Country'!$A$4:$A$40,'HDD-by Country'!$C$4:$C$40)/1000/V$3</f>
        <v>7504.3369033640829</v>
      </c>
      <c r="W34" s="349">
        <f>W27*24*LOOKUP(W$2,'HDD-by Country'!$A$4:$A$40,'HDD-by Country'!$C$4:$C$40)/1000/W$3</f>
        <v>11961.153463364701</v>
      </c>
      <c r="X34" s="349">
        <f>X27*24*LOOKUP(X$2,'HDD-by Country'!$A$4:$A$40,'HDD-by Country'!$C$4:$C$40)/1000/X$3</f>
        <v>8341.0264597693931</v>
      </c>
      <c r="Y34" s="349">
        <f>Y27*24*LOOKUP(Y$2,'HDD-by Country'!$A$4:$A$40,'HDD-by Country'!$C$4:$C$40)/1000/Y$3</f>
        <v>3781.0727380101912</v>
      </c>
      <c r="Z34" s="349">
        <f>Z27*24*LOOKUP(Z$2,'HDD-by Country'!$A$4:$A$40,'HDD-by Country'!$C$4:$C$40)/1000/Z$3</f>
        <v>9955.8792831578976</v>
      </c>
      <c r="AA34" s="349">
        <f>AA27*24*LOOKUP(AA$2,'HDD-by Country'!$A$4:$A$40,'HDD-by Country'!$C$4:$C$40)/1000/AA$3</f>
        <v>6914.9915841756792</v>
      </c>
      <c r="AB34" s="349">
        <f>AB27*24*LOOKUP(AB$2,'HDD-by Country'!$A$4:$A$40,'HDD-by Country'!$C$4:$C$40)/1000/AB$3</f>
        <v>7099.5000204890594</v>
      </c>
      <c r="AC34" s="349">
        <f>AC27*24*LOOKUP(AC$2,'HDD-by Country'!$A$4:$A$40,'HDD-by Country'!$C$4:$C$40)/1000/AC$3</f>
        <v>6272.361615958047</v>
      </c>
      <c r="AD34" s="349">
        <f>AD27*24*LOOKUP(AD$2,'HDD-by Country'!$A$4:$A$40,'HDD-by Country'!$C$4:$C$40)/1000/AD$3</f>
        <v>5603.7886874311371</v>
      </c>
      <c r="AE34" s="349">
        <f>AE27*24*LOOKUP(AE$2,'HDD-by Country'!$A$4:$A$40,'HDD-by Country'!$C$4:$C$40)/1000/AE$3</f>
        <v>6667.5901849543752</v>
      </c>
      <c r="AF34" s="349">
        <f>AF27*24*LOOKUP(AF$2,'HDD-by Country'!$A$4:$A$40,'HDD-by Country'!$C$4:$C$40)/1000/AF$3</f>
        <v>7421.2874172763941</v>
      </c>
      <c r="AG34" s="349">
        <f>AG27*24*LOOKUP(AG$2,'HDD-by Country'!$A$4:$A$40,'HDD-by Country'!$C$4:$C$40)/1000/AG$3</f>
        <v>9835.2019985868883</v>
      </c>
      <c r="AH34" s="349">
        <f>AH27*24*LOOKUP(AH$2,'HDD-by Country'!$A$4:$A$40,'HDD-by Country'!$C$4:$C$40)/1000/AH$3</f>
        <v>7127.3530308356767</v>
      </c>
      <c r="AI34" s="349">
        <f>AI27*24*LOOKUP(AI$2,'HDD-by Country'!$A$4:$A$40,'HDD-by Country'!$C$4:$C$40)/1000/AI$3</f>
        <v>8668.9681824532017</v>
      </c>
      <c r="AJ34" s="349">
        <f>AJ27*24*LOOKUP(AJ$2,'HDD-by Country'!$A$4:$A$40,'HDD-by Country'!$C$4:$C$40)/1000/AJ$3</f>
        <v>8336.341652394729</v>
      </c>
      <c r="AK34" s="349">
        <f>AK27*24*LOOKUP(AK$2,'HDD-by Country'!$A$4:$A$40,'HDD-by Country'!$C$4:$C$40)/1000/AK$3</f>
        <v>7976.1947645371911</v>
      </c>
      <c r="AL34" s="349">
        <f>AL27*24*LOOKUP(AL$2,'HDD-by Country'!$A$4:$A$40,'HDD-by Country'!$C$4:$C$40)/1000/AL$3</f>
        <v>8176.7331511458106</v>
      </c>
      <c r="AM34" s="349">
        <f>AM27*24*LOOKUP(AM$2,'HDD-by Country'!$A$4:$A$40,'HDD-by Country'!$C$4:$C$40)/1000/AM$3</f>
        <v>7665.8966529721556</v>
      </c>
      <c r="AN34" s="354">
        <f>AN27*24*LOOKUP(AN$2,'HDD-by Country'!$A$4:$A$40,'HDD-by Country'!$C$4:$C$40)/1000/AN$3</f>
        <v>7665.8966529721556</v>
      </c>
    </row>
    <row r="35" spans="1:40" s="135" customFormat="1">
      <c r="A35" s="129"/>
      <c r="B35" s="142" t="s">
        <v>4</v>
      </c>
      <c r="C35" s="129" t="s">
        <v>261</v>
      </c>
      <c r="D35" s="345">
        <f>D28*24*LOOKUP(D$2,'HDD-by Country'!$A$4:$A$40,'HDD-by Country'!$C$4:$C$40)/1000/D$3</f>
        <v>7737.3312863832352</v>
      </c>
      <c r="E35" s="349">
        <f>E28*24*LOOKUP(E$2,'HDD-by Country'!$A$4:$A$40,'HDD-by Country'!$C$4:$C$40)/1000/E$3</f>
        <v>11468.261220059616</v>
      </c>
      <c r="F35" s="349">
        <f>F28*24*LOOKUP(F$2,'HDD-by Country'!$A$4:$A$40,'HDD-by Country'!$C$4:$C$40)/1000/F$3</f>
        <v>6124.9451635563864</v>
      </c>
      <c r="G35" s="349">
        <f>G28*24*LOOKUP(G$2,'HDD-by Country'!$A$4:$A$40,'HDD-by Country'!$C$4:$C$40)/1000/G$3</f>
        <v>7538.1610350269793</v>
      </c>
      <c r="H35" s="349">
        <f>H28*24*LOOKUP(H$2,'HDD-by Country'!$A$4:$A$40,'HDD-by Country'!$C$4:$C$40)/1000/H$3</f>
        <v>3627.4744719908144</v>
      </c>
      <c r="I35" s="349">
        <f>I28*24*LOOKUP(I$2,'HDD-by Country'!$A$4:$A$40,'HDD-by Country'!$C$4:$C$40)/1000/I$3</f>
        <v>6552.2976918689619</v>
      </c>
      <c r="J35" s="349">
        <f>J28*24*LOOKUP(J$2,'HDD-by Country'!$A$4:$A$40,'HDD-by Country'!$C$4:$C$40)/1000/J$3</f>
        <v>5750.8874700763226</v>
      </c>
      <c r="K35" s="349">
        <f>K28*24*LOOKUP(K$2,'HDD-by Country'!$A$4:$A$40,'HDD-by Country'!$C$4:$C$40)/1000/K$3</f>
        <v>4022.4079765682154</v>
      </c>
      <c r="L35" s="349">
        <f>L28*24*LOOKUP(L$2,'HDD-by Country'!$A$4:$A$40,'HDD-by Country'!$C$4:$C$40)/1000/L$3</f>
        <v>3454.126212209977</v>
      </c>
      <c r="M35" s="349">
        <f>M28*24*LOOKUP(M$2,'HDD-by Country'!$A$4:$A$40,'HDD-by Country'!$C$4:$C$40)/1000/M$3</f>
        <v>12187.704374586872</v>
      </c>
      <c r="N35" s="349">
        <f>N28*24*LOOKUP(N$2,'HDD-by Country'!$A$4:$A$40,'HDD-by Country'!$C$4:$C$40)/1000/N$3</f>
        <v>4534.8151236951189</v>
      </c>
      <c r="O35" s="349">
        <f>O28*24*LOOKUP(O$2,'HDD-by Country'!$A$4:$A$40,'HDD-by Country'!$C$4:$C$40)/1000/O$3</f>
        <v>5599.272680342905</v>
      </c>
      <c r="P35" s="349">
        <f>P28*24*LOOKUP(P$2,'HDD-by Country'!$A$4:$A$40,'HDD-by Country'!$C$4:$C$40)/1000/P$3</f>
        <v>10851.81917752355</v>
      </c>
      <c r="Q35" s="349">
        <f>Q28*24*LOOKUP(Q$2,'HDD-by Country'!$A$4:$A$40,'HDD-by Country'!$C$4:$C$40)/1000/Q$3</f>
        <v>6838.7713341335329</v>
      </c>
      <c r="R35" s="349">
        <f>R28*24*LOOKUP(R$2,'HDD-by Country'!$A$4:$A$40,'HDD-by Country'!$C$4:$C$40)/1000/R$3</f>
        <v>6270.0056426513383</v>
      </c>
      <c r="S35" s="349">
        <f>S28*24*LOOKUP(S$2,'HDD-by Country'!$A$4:$A$40,'HDD-by Country'!$C$4:$C$40)/1000/S$3</f>
        <v>6657.8288049345547</v>
      </c>
      <c r="T35" s="349">
        <f>T28*24*LOOKUP(T$2,'HDD-by Country'!$A$4:$A$40,'HDD-by Country'!$C$4:$C$40)/1000/T$3</f>
        <v>4823.5017059216625</v>
      </c>
      <c r="U35" s="349">
        <f>U28*24*LOOKUP(U$2,'HDD-by Country'!$A$4:$A$40,'HDD-by Country'!$C$4:$C$40)/1000/U$3</f>
        <v>8754.0246564456902</v>
      </c>
      <c r="V35" s="349">
        <f>V28*24*LOOKUP(V$2,'HDD-by Country'!$A$4:$A$40,'HDD-by Country'!$C$4:$C$40)/1000/V$3</f>
        <v>4580.8445417491348</v>
      </c>
      <c r="W35" s="349">
        <f>W28*24*LOOKUP(W$2,'HDD-by Country'!$A$4:$A$40,'HDD-by Country'!$C$4:$C$40)/1000/W$3</f>
        <v>5852.2958202719583</v>
      </c>
      <c r="X35" s="349">
        <f>X28*24*LOOKUP(X$2,'HDD-by Country'!$A$4:$A$40,'HDD-by Country'!$C$4:$C$40)/1000/X$3</f>
        <v>7699.0791237924514</v>
      </c>
      <c r="Y35" s="349">
        <f>Y28*24*LOOKUP(Y$2,'HDD-by Country'!$A$4:$A$40,'HDD-by Country'!$C$4:$C$40)/1000/Y$3</f>
        <v>2903.4979687515488</v>
      </c>
      <c r="Z35" s="349">
        <f>Z28*24*LOOKUP(Z$2,'HDD-by Country'!$A$4:$A$40,'HDD-by Country'!$C$4:$C$40)/1000/Z$3</f>
        <v>9754.8425745199747</v>
      </c>
      <c r="AA35" s="349">
        <f>AA28*24*LOOKUP(AA$2,'HDD-by Country'!$A$4:$A$40,'HDD-by Country'!$C$4:$C$40)/1000/AA$3</f>
        <v>4769.5805773581669</v>
      </c>
      <c r="AB35" s="349">
        <f>AB28*24*LOOKUP(AB$2,'HDD-by Country'!$A$4:$A$40,'HDD-by Country'!$C$4:$C$40)/1000/AB$3</f>
        <v>4836.6870614248373</v>
      </c>
      <c r="AC35" s="349">
        <f>AC28*24*LOOKUP(AC$2,'HDD-by Country'!$A$4:$A$40,'HDD-by Country'!$C$4:$C$40)/1000/AC$3</f>
        <v>6183.1404181794878</v>
      </c>
      <c r="AD35" s="349">
        <f>AD28*24*LOOKUP(AD$2,'HDD-by Country'!$A$4:$A$40,'HDD-by Country'!$C$4:$C$40)/1000/AD$3</f>
        <v>5603.7886874311371</v>
      </c>
      <c r="AE35" s="349">
        <f>AE28*24*LOOKUP(AE$2,'HDD-by Country'!$A$4:$A$40,'HDD-by Country'!$C$4:$C$40)/1000/AE$3</f>
        <v>4598.9367097304039</v>
      </c>
      <c r="AF35" s="349">
        <f>AF28*24*LOOKUP(AF$2,'HDD-by Country'!$A$4:$A$40,'HDD-by Country'!$C$4:$C$40)/1000/AF$3</f>
        <v>6979.672286782994</v>
      </c>
      <c r="AG35" s="349">
        <f>AG28*24*LOOKUP(AG$2,'HDD-by Country'!$A$4:$A$40,'HDD-by Country'!$C$4:$C$40)/1000/AG$3</f>
        <v>9835.2019985868883</v>
      </c>
      <c r="AH35" s="349">
        <f>AH28*24*LOOKUP(AH$2,'HDD-by Country'!$A$4:$A$40,'HDD-by Country'!$C$4:$C$40)/1000/AH$3</f>
        <v>5781.8423796143343</v>
      </c>
      <c r="AI35" s="349">
        <f>AI28*24*LOOKUP(AI$2,'HDD-by Country'!$A$4:$A$40,'HDD-by Country'!$C$4:$C$40)/1000/AI$3</f>
        <v>8668.9681824532017</v>
      </c>
      <c r="AJ35" s="349">
        <f>AJ28*24*LOOKUP(AJ$2,'HDD-by Country'!$A$4:$A$40,'HDD-by Country'!$C$4:$C$40)/1000/AJ$3</f>
        <v>8336.341652394729</v>
      </c>
      <c r="AK35" s="349">
        <f>AK28*24*LOOKUP(AK$2,'HDD-by Country'!$A$4:$A$40,'HDD-by Country'!$C$4:$C$40)/1000/AK$3</f>
        <v>7976.1947645371911</v>
      </c>
      <c r="AL35" s="349">
        <f>AL28*24*LOOKUP(AL$2,'HDD-by Country'!$A$4:$A$40,'HDD-by Country'!$C$4:$C$40)/1000/AL$3</f>
        <v>7647.1100682148945</v>
      </c>
      <c r="AM35" s="349">
        <f>AM28*24*LOOKUP(AM$2,'HDD-by Country'!$A$4:$A$40,'HDD-by Country'!$C$4:$C$40)/1000/AM$3</f>
        <v>7665.8966529721556</v>
      </c>
      <c r="AN35" s="354">
        <f>AN28*24*LOOKUP(AN$2,'HDD-by Country'!$A$4:$A$40,'HDD-by Country'!$C$4:$C$40)/1000/AN$3</f>
        <v>7665.8966529721556</v>
      </c>
    </row>
    <row r="36" spans="1:40" s="135" customFormat="1">
      <c r="A36" s="129"/>
      <c r="B36" s="142" t="s">
        <v>5</v>
      </c>
      <c r="C36" s="129" t="s">
        <v>261</v>
      </c>
      <c r="D36" s="345">
        <f>D29*24*LOOKUP(D$2,'HDD-by Country'!$A$4:$A$40,'HDD-by Country'!$C$4:$C$40)/1000/D$3</f>
        <v>5118.6428651700226</v>
      </c>
      <c r="E36" s="349">
        <f>E29*24*LOOKUP(E$2,'HDD-by Country'!$A$4:$A$40,'HDD-by Country'!$C$4:$C$40)/1000/E$3</f>
        <v>9612.9407708959279</v>
      </c>
      <c r="F36" s="349">
        <f>F29*24*LOOKUP(F$2,'HDD-by Country'!$A$4:$A$40,'HDD-by Country'!$C$4:$C$40)/1000/F$3</f>
        <v>5190.2381649167619</v>
      </c>
      <c r="G36" s="349">
        <f>G29*24*LOOKUP(G$2,'HDD-by Country'!$A$4:$A$40,'HDD-by Country'!$C$4:$C$40)/1000/G$3</f>
        <v>4986.8814931510969</v>
      </c>
      <c r="H36" s="349">
        <f>H29*24*LOOKUP(H$2,'HDD-by Country'!$A$4:$A$40,'HDD-by Country'!$C$4:$C$40)/1000/H$3</f>
        <v>3545.2706319908139</v>
      </c>
      <c r="I36" s="349">
        <f>I29*24*LOOKUP(I$2,'HDD-by Country'!$A$4:$A$40,'HDD-by Country'!$C$4:$C$40)/1000/I$3</f>
        <v>5870.8314608864202</v>
      </c>
      <c r="J36" s="349">
        <f>J29*24*LOOKUP(J$2,'HDD-by Country'!$A$4:$A$40,'HDD-by Country'!$C$4:$C$40)/1000/J$3</f>
        <v>4774.0228089812763</v>
      </c>
      <c r="K36" s="349">
        <f>K29*24*LOOKUP(K$2,'HDD-by Country'!$A$4:$A$40,'HDD-by Country'!$C$4:$C$40)/1000/K$3</f>
        <v>3307.997763377296</v>
      </c>
      <c r="L36" s="349">
        <f>L29*24*LOOKUP(L$2,'HDD-by Country'!$A$4:$A$40,'HDD-by Country'!$C$4:$C$40)/1000/L$3</f>
        <v>2460.8279228281895</v>
      </c>
      <c r="M36" s="349">
        <f>M29*24*LOOKUP(M$2,'HDD-by Country'!$A$4:$A$40,'HDD-by Country'!$C$4:$C$40)/1000/M$3</f>
        <v>8025.9070932365139</v>
      </c>
      <c r="N36" s="349">
        <f>N29*24*LOOKUP(N$2,'HDD-by Country'!$A$4:$A$40,'HDD-by Country'!$C$4:$C$40)/1000/N$3</f>
        <v>3608.7157981558248</v>
      </c>
      <c r="O36" s="349">
        <f>O29*24*LOOKUP(O$2,'HDD-by Country'!$A$4:$A$40,'HDD-by Country'!$C$4:$C$40)/1000/O$3</f>
        <v>4697.8495973604859</v>
      </c>
      <c r="P36" s="349">
        <f>P29*24*LOOKUP(P$2,'HDD-by Country'!$A$4:$A$40,'HDD-by Country'!$C$4:$C$40)/1000/P$3</f>
        <v>10618.733097523549</v>
      </c>
      <c r="Q36" s="349">
        <f>Q29*24*LOOKUP(Q$2,'HDD-by Country'!$A$4:$A$40,'HDD-by Country'!$C$4:$C$40)/1000/Q$3</f>
        <v>6838.7713341335329</v>
      </c>
      <c r="R36" s="349">
        <f>R29*24*LOOKUP(R$2,'HDD-by Country'!$A$4:$A$40,'HDD-by Country'!$C$4:$C$40)/1000/R$3</f>
        <v>4457.4149488376843</v>
      </c>
      <c r="S36" s="349">
        <f>S29*24*LOOKUP(S$2,'HDD-by Country'!$A$4:$A$40,'HDD-by Country'!$C$4:$C$40)/1000/S$3</f>
        <v>4359.7871695552367</v>
      </c>
      <c r="T36" s="349">
        <f>T29*24*LOOKUP(T$2,'HDD-by Country'!$A$4:$A$40,'HDD-by Country'!$C$4:$C$40)/1000/T$3</f>
        <v>3749.482991278207</v>
      </c>
      <c r="U36" s="349">
        <f>U29*24*LOOKUP(U$2,'HDD-by Country'!$A$4:$A$40,'HDD-by Country'!$C$4:$C$40)/1000/U$3</f>
        <v>6137.1874702785553</v>
      </c>
      <c r="V36" s="349">
        <f>V29*24*LOOKUP(V$2,'HDD-by Country'!$A$4:$A$40,'HDD-by Country'!$C$4:$C$40)/1000/V$3</f>
        <v>4580.8445417491348</v>
      </c>
      <c r="W36" s="349">
        <f>W29*24*LOOKUP(W$2,'HDD-by Country'!$A$4:$A$40,'HDD-by Country'!$C$4:$C$40)/1000/W$3</f>
        <v>4808.7861861416623</v>
      </c>
      <c r="X36" s="349">
        <f>X29*24*LOOKUP(X$2,'HDD-by Country'!$A$4:$A$40,'HDD-by Country'!$C$4:$C$40)/1000/X$3</f>
        <v>4378.1760798846963</v>
      </c>
      <c r="Y36" s="349">
        <f>Y29*24*LOOKUP(Y$2,'HDD-by Country'!$A$4:$A$40,'HDD-by Country'!$C$4:$C$40)/1000/Y$3</f>
        <v>2732.0745615195492</v>
      </c>
      <c r="Z36" s="349">
        <f>Z29*24*LOOKUP(Z$2,'HDD-by Country'!$A$4:$A$40,'HDD-by Country'!$C$4:$C$40)/1000/Z$3</f>
        <v>5363.7597357476079</v>
      </c>
      <c r="AA36" s="349">
        <f>AA29*24*LOOKUP(AA$2,'HDD-by Country'!$A$4:$A$40,'HDD-by Country'!$C$4:$C$40)/1000/AA$3</f>
        <v>4681.773985358167</v>
      </c>
      <c r="AB36" s="349">
        <f>AB29*24*LOOKUP(AB$2,'HDD-by Country'!$A$4:$A$40,'HDD-by Country'!$C$4:$C$40)/1000/AB$3</f>
        <v>4836.6870614248373</v>
      </c>
      <c r="AC36" s="349">
        <f>AC29*24*LOOKUP(AC$2,'HDD-by Country'!$A$4:$A$40,'HDD-by Country'!$C$4:$C$40)/1000/AC$3</f>
        <v>5953.2556225239368</v>
      </c>
      <c r="AD36" s="349">
        <f>AD29*24*LOOKUP(AD$2,'HDD-by Country'!$A$4:$A$40,'HDD-by Country'!$C$4:$C$40)/1000/AD$3</f>
        <v>4730.3377335200166</v>
      </c>
      <c r="AE36" s="349">
        <f>AE29*24*LOOKUP(AE$2,'HDD-by Country'!$A$4:$A$40,'HDD-by Country'!$C$4:$C$40)/1000/AE$3</f>
        <v>4514.2716217304032</v>
      </c>
      <c r="AF36" s="349">
        <f>AF29*24*LOOKUP(AF$2,'HDD-by Country'!$A$4:$A$40,'HDD-by Country'!$C$4:$C$40)/1000/AF$3</f>
        <v>4869.7868107975091</v>
      </c>
      <c r="AG36" s="349">
        <f>AG29*24*LOOKUP(AG$2,'HDD-by Country'!$A$4:$A$40,'HDD-by Country'!$C$4:$C$40)/1000/AG$3</f>
        <v>8111.9913734038328</v>
      </c>
      <c r="AH36" s="349">
        <f>AH29*24*LOOKUP(AH$2,'HDD-by Country'!$A$4:$A$40,'HDD-by Country'!$C$4:$C$40)/1000/AH$3</f>
        <v>3462.1780458794506</v>
      </c>
      <c r="AI36" s="349">
        <f>AI29*24*LOOKUP(AI$2,'HDD-by Country'!$A$4:$A$40,'HDD-by Country'!$C$4:$C$40)/1000/AI$3</f>
        <v>8494.1536224532028</v>
      </c>
      <c r="AJ36" s="349">
        <f>AJ29*24*LOOKUP(AJ$2,'HDD-by Country'!$A$4:$A$40,'HDD-by Country'!$C$4:$C$40)/1000/AJ$3</f>
        <v>7106.90639327791</v>
      </c>
      <c r="AK36" s="349">
        <f>AK29*24*LOOKUP(AK$2,'HDD-by Country'!$A$4:$A$40,'HDD-by Country'!$C$4:$C$40)/1000/AK$3</f>
        <v>6778.605961685952</v>
      </c>
      <c r="AL36" s="349">
        <f>AL29*24*LOOKUP(AL$2,'HDD-by Country'!$A$4:$A$40,'HDD-by Country'!$C$4:$C$40)/1000/AL$3</f>
        <v>6415.9016174561029</v>
      </c>
      <c r="AM36" s="349">
        <f>AM29*24*LOOKUP(AM$2,'HDD-by Country'!$A$4:$A$40,'HDD-by Country'!$C$4:$C$40)/1000/AM$3</f>
        <v>6535.3379461799268</v>
      </c>
      <c r="AN36" s="354">
        <f>AN29*24*LOOKUP(AN$2,'HDD-by Country'!$A$4:$A$40,'HDD-by Country'!$C$4:$C$40)/1000/AN$3</f>
        <v>6535.3379461799268</v>
      </c>
    </row>
    <row r="37" spans="1:40" s="135" customFormat="1">
      <c r="A37" s="129"/>
      <c r="B37" s="142" t="s">
        <v>6</v>
      </c>
      <c r="C37" s="129" t="s">
        <v>261</v>
      </c>
      <c r="D37" s="345">
        <f>D30*24*LOOKUP(D$2,'HDD-by Country'!$A$4:$A$40,'HDD-by Country'!$C$4:$C$40)/1000/D$3</f>
        <v>4169.6000150472173</v>
      </c>
      <c r="E37" s="349">
        <f>E30*24*LOOKUP(E$2,'HDD-by Country'!$A$4:$A$40,'HDD-by Country'!$C$4:$C$40)/1000/E$3</f>
        <v>9612.9407708959279</v>
      </c>
      <c r="F37" s="349">
        <f>F30*24*LOOKUP(F$2,'HDD-by Country'!$A$4:$A$40,'HDD-by Country'!$C$4:$C$40)/1000/F$3</f>
        <v>4085.9657644185586</v>
      </c>
      <c r="G37" s="349">
        <f>G30*24*LOOKUP(G$2,'HDD-by Country'!$A$4:$A$40,'HDD-by Country'!$C$4:$C$40)/1000/G$3</f>
        <v>4062.2683974242887</v>
      </c>
      <c r="H37" s="349">
        <f>H30*24*LOOKUP(H$2,'HDD-by Country'!$A$4:$A$40,'HDD-by Country'!$C$4:$C$40)/1000/H$3</f>
        <v>2977.7263119908152</v>
      </c>
      <c r="I37" s="349">
        <f>I30*24*LOOKUP(I$2,'HDD-by Country'!$A$4:$A$40,'HDD-by Country'!$C$4:$C$40)/1000/I$3</f>
        <v>4233.9507614257509</v>
      </c>
      <c r="J37" s="349">
        <f>J30*24*LOOKUP(J$2,'HDD-by Country'!$A$4:$A$40,'HDD-by Country'!$C$4:$C$40)/1000/J$3</f>
        <v>2449.105765771299</v>
      </c>
      <c r="K37" s="349">
        <f>K30*24*LOOKUP(K$2,'HDD-by Country'!$A$4:$A$40,'HDD-by Country'!$C$4:$C$40)/1000/K$3</f>
        <v>3307.997763377296</v>
      </c>
      <c r="L37" s="349">
        <f>L30*24*LOOKUP(L$2,'HDD-by Country'!$A$4:$A$40,'HDD-by Country'!$C$4:$C$40)/1000/L$3</f>
        <v>2160.8528418080032</v>
      </c>
      <c r="M37" s="349">
        <f>M30*24*LOOKUP(M$2,'HDD-by Country'!$A$4:$A$40,'HDD-by Country'!$C$4:$C$40)/1000/M$3</f>
        <v>8025.9070932365139</v>
      </c>
      <c r="N37" s="349">
        <f>N30*24*LOOKUP(N$2,'HDD-by Country'!$A$4:$A$40,'HDD-by Country'!$C$4:$C$40)/1000/N$3</f>
        <v>3570.233626258354</v>
      </c>
      <c r="O37" s="349">
        <f>O30*24*LOOKUP(O$2,'HDD-by Country'!$A$4:$A$40,'HDD-by Country'!$C$4:$C$40)/1000/O$3</f>
        <v>2483.7043862625815</v>
      </c>
      <c r="P37" s="349">
        <f>P30*24*LOOKUP(P$2,'HDD-by Country'!$A$4:$A$40,'HDD-by Country'!$C$4:$C$40)/1000/P$3</f>
        <v>10618.733097523549</v>
      </c>
      <c r="Q37" s="349">
        <f>Q30*24*LOOKUP(Q$2,'HDD-by Country'!$A$4:$A$40,'HDD-by Country'!$C$4:$C$40)/1000/Q$3</f>
        <v>4629.3516608438094</v>
      </c>
      <c r="R37" s="349">
        <f>R30*24*LOOKUP(R$2,'HDD-by Country'!$A$4:$A$40,'HDD-by Country'!$C$4:$C$40)/1000/R$3</f>
        <v>4457.4149488376843</v>
      </c>
      <c r="S37" s="349">
        <f>S30*24*LOOKUP(S$2,'HDD-by Country'!$A$4:$A$40,'HDD-by Country'!$C$4:$C$40)/1000/S$3</f>
        <v>3746.3883374323595</v>
      </c>
      <c r="T37" s="349">
        <f>T30*24*LOOKUP(T$2,'HDD-by Country'!$A$4:$A$40,'HDD-by Country'!$C$4:$C$40)/1000/T$3</f>
        <v>3704.8217795013966</v>
      </c>
      <c r="U37" s="349">
        <f>U30*24*LOOKUP(U$2,'HDD-by Country'!$A$4:$A$40,'HDD-by Country'!$C$4:$C$40)/1000/U$3</f>
        <v>5546.2709257367715</v>
      </c>
      <c r="V37" s="349">
        <f>V30*24*LOOKUP(V$2,'HDD-by Country'!$A$4:$A$40,'HDD-by Country'!$C$4:$C$40)/1000/V$3</f>
        <v>4580.8445417491348</v>
      </c>
      <c r="W37" s="349">
        <f>W30*24*LOOKUP(W$2,'HDD-by Country'!$A$4:$A$40,'HDD-by Country'!$C$4:$C$40)/1000/W$3</f>
        <v>4004.8705584865907</v>
      </c>
      <c r="X37" s="349">
        <f>X30*24*LOOKUP(X$2,'HDD-by Country'!$A$4:$A$40,'HDD-by Country'!$C$4:$C$40)/1000/X$3</f>
        <v>4338.6395298846955</v>
      </c>
      <c r="Y37" s="349">
        <f>Y30*24*LOOKUP(Y$2,'HDD-by Country'!$A$4:$A$40,'HDD-by Country'!$C$4:$C$40)/1000/Y$3</f>
        <v>2699.5041141454694</v>
      </c>
      <c r="Z37" s="349">
        <f>Z30*24*LOOKUP(Z$2,'HDD-by Country'!$A$4:$A$40,'HDD-by Country'!$C$4:$C$40)/1000/Z$3</f>
        <v>4705.2006076904026</v>
      </c>
      <c r="AA37" s="349">
        <f>AA30*24*LOOKUP(AA$2,'HDD-by Country'!$A$4:$A$40,'HDD-by Country'!$C$4:$C$40)/1000/AA$3</f>
        <v>4120.9667076658789</v>
      </c>
      <c r="AB37" s="349">
        <f>AB30*24*LOOKUP(AB$2,'HDD-by Country'!$A$4:$A$40,'HDD-by Country'!$C$4:$C$40)/1000/AB$3</f>
        <v>4836.6870614248373</v>
      </c>
      <c r="AC37" s="349">
        <f>AC30*24*LOOKUP(AC$2,'HDD-by Country'!$A$4:$A$40,'HDD-by Country'!$C$4:$C$40)/1000/AC$3</f>
        <v>5382.4165523235579</v>
      </c>
      <c r="AD37" s="349">
        <f>AD30*24*LOOKUP(AD$2,'HDD-by Country'!$A$4:$A$40,'HDD-by Country'!$C$4:$C$40)/1000/AD$3</f>
        <v>4730.3377335200166</v>
      </c>
      <c r="AE37" s="349">
        <f>AE30*24*LOOKUP(AE$2,'HDD-by Country'!$A$4:$A$40,'HDD-by Country'!$C$4:$C$40)/1000/AE$3</f>
        <v>3973.5286497578904</v>
      </c>
      <c r="AF37" s="349">
        <f>AF30*24*LOOKUP(AF$2,'HDD-by Country'!$A$4:$A$40,'HDD-by Country'!$C$4:$C$40)/1000/AF$3</f>
        <v>3461.774578083212</v>
      </c>
      <c r="AG37" s="349">
        <f>AG30*24*LOOKUP(AG$2,'HDD-by Country'!$A$4:$A$40,'HDD-by Country'!$C$4:$C$40)/1000/AG$3</f>
        <v>7655.1379109381542</v>
      </c>
      <c r="AH37" s="349">
        <f>AH30*24*LOOKUP(AH$2,'HDD-by Country'!$A$4:$A$40,'HDD-by Country'!$C$4:$C$40)/1000/AH$3</f>
        <v>2320.4087011541151</v>
      </c>
      <c r="AI37" s="349">
        <f>AI30*24*LOOKUP(AI$2,'HDD-by Country'!$A$4:$A$40,'HDD-by Country'!$C$4:$C$40)/1000/AI$3</f>
        <v>8494.1536224532028</v>
      </c>
      <c r="AJ37" s="349">
        <f>AJ30*24*LOOKUP(AJ$2,'HDD-by Country'!$A$4:$A$40,'HDD-by Country'!$C$4:$C$40)/1000/AJ$3</f>
        <v>6683.0223693553253</v>
      </c>
      <c r="AK37" s="349">
        <f>AK30*24*LOOKUP(AK$2,'HDD-by Country'!$A$4:$A$40,'HDD-by Country'!$C$4:$C$40)/1000/AK$3</f>
        <v>6362.1431565454568</v>
      </c>
      <c r="AL37" s="349">
        <f>AL30*24*LOOKUP(AL$2,'HDD-by Country'!$A$4:$A$40,'HDD-by Country'!$C$4:$C$40)/1000/AL$3</f>
        <v>5046.1869411153557</v>
      </c>
      <c r="AM37" s="349">
        <f>AM30*24*LOOKUP(AM$2,'HDD-by Country'!$A$4:$A$40,'HDD-by Country'!$C$4:$C$40)/1000/AM$3</f>
        <v>6145.5445265084736</v>
      </c>
      <c r="AN37" s="354">
        <f>AN30*24*LOOKUP(AN$2,'HDD-by Country'!$A$4:$A$40,'HDD-by Country'!$C$4:$C$40)/1000/AN$3</f>
        <v>6145.5445265084736</v>
      </c>
    </row>
    <row r="38" spans="1:40" s="135" customFormat="1">
      <c r="A38" s="130"/>
      <c r="B38" s="142" t="s">
        <v>7</v>
      </c>
      <c r="C38" s="129" t="s">
        <v>261</v>
      </c>
      <c r="D38" s="345">
        <f>D31*24*LOOKUP(D$2,'HDD-by Country'!$A$4:$A$40,'HDD-by Country'!$C$4:$C$40)/1000/D$3</f>
        <v>3697.6147181200954</v>
      </c>
      <c r="E38" s="349">
        <f>E31*24*LOOKUP(E$2,'HDD-by Country'!$A$4:$A$40,'HDD-by Country'!$C$4:$C$40)/1000/E$3</f>
        <v>5201.50196280826</v>
      </c>
      <c r="F38" s="349">
        <f>F31*24*LOOKUP(F$2,'HDD-by Country'!$A$4:$A$40,'HDD-by Country'!$C$4:$C$40)/1000/F$3</f>
        <v>2554.5580314522858</v>
      </c>
      <c r="G38" s="349">
        <f>G31*24*LOOKUP(G$2,'HDD-by Country'!$A$4:$A$40,'HDD-by Country'!$C$4:$C$40)/1000/G$3</f>
        <v>3602.4326940386609</v>
      </c>
      <c r="H38" s="349">
        <f>H31*24*LOOKUP(H$2,'HDD-by Country'!$A$4:$A$40,'HDD-by Country'!$C$4:$C$40)/1000/H$3</f>
        <v>2710.7624922092141</v>
      </c>
      <c r="I38" s="349">
        <f>I31*24*LOOKUP(I$2,'HDD-by Country'!$A$4:$A$40,'HDD-by Country'!$C$4:$C$40)/1000/I$3</f>
        <v>3262.2537601388367</v>
      </c>
      <c r="J38" s="349">
        <f>J31*24*LOOKUP(J$2,'HDD-by Country'!$A$4:$A$40,'HDD-by Country'!$C$4:$C$40)/1000/J$3</f>
        <v>2744.2739070395373</v>
      </c>
      <c r="K38" s="349">
        <f>K31*24*LOOKUP(K$2,'HDD-by Country'!$A$4:$A$40,'HDD-by Country'!$C$4:$C$40)/1000/K$3</f>
        <v>2306.893342535875</v>
      </c>
      <c r="L38" s="349">
        <f>L31*24*LOOKUP(L$2,'HDD-by Country'!$A$4:$A$40,'HDD-by Country'!$C$4:$C$40)/1000/L$3</f>
        <v>2160.8528418080032</v>
      </c>
      <c r="M38" s="349">
        <f>M31*24*LOOKUP(M$2,'HDD-by Country'!$A$4:$A$40,'HDD-by Country'!$C$4:$C$40)/1000/M$3</f>
        <v>4734.1245605205286</v>
      </c>
      <c r="N38" s="349">
        <f>N31*24*LOOKUP(N$2,'HDD-by Country'!$A$4:$A$40,'HDD-by Country'!$C$4:$C$40)/1000/N$3</f>
        <v>3134.1009386684723</v>
      </c>
      <c r="O38" s="349">
        <f>O31*24*LOOKUP(O$2,'HDD-by Country'!$A$4:$A$40,'HDD-by Country'!$C$4:$C$40)/1000/O$3</f>
        <v>2386.471738832216</v>
      </c>
      <c r="P38" s="349">
        <f>P31*24*LOOKUP(P$2,'HDD-by Country'!$A$4:$A$40,'HDD-by Country'!$C$4:$C$40)/1000/P$3</f>
        <v>3400.8674938382042</v>
      </c>
      <c r="Q38" s="349">
        <f>Q31*24*LOOKUP(Q$2,'HDD-by Country'!$A$4:$A$40,'HDD-by Country'!$C$4:$C$40)/1000/Q$3</f>
        <v>2495.0656188761104</v>
      </c>
      <c r="R38" s="349">
        <f>R31*24*LOOKUP(R$2,'HDD-by Country'!$A$4:$A$40,'HDD-by Country'!$C$4:$C$40)/1000/R$3</f>
        <v>2536.1969438002079</v>
      </c>
      <c r="S38" s="349">
        <f>S31*24*LOOKUP(S$2,'HDD-by Country'!$A$4:$A$40,'HDD-by Country'!$C$4:$C$40)/1000/S$3</f>
        <v>2315.9524216457321</v>
      </c>
      <c r="T38" s="349">
        <f>T31*24*LOOKUP(T$2,'HDD-by Country'!$A$4:$A$40,'HDD-by Country'!$C$4:$C$40)/1000/T$3</f>
        <v>3286.1346923941542</v>
      </c>
      <c r="U38" s="349">
        <f>U31*24*LOOKUP(U$2,'HDD-by Country'!$A$4:$A$40,'HDD-by Country'!$C$4:$C$40)/1000/U$3</f>
        <v>5205.6821257367719</v>
      </c>
      <c r="V38" s="349">
        <f>V31*24*LOOKUP(V$2,'HDD-by Country'!$A$4:$A$40,'HDD-by Country'!$C$4:$C$40)/1000/V$3</f>
        <v>2423.325928268373</v>
      </c>
      <c r="W38" s="349">
        <f>W31*24*LOOKUP(W$2,'HDD-by Country'!$A$4:$A$40,'HDD-by Country'!$C$4:$C$40)/1000/W$3</f>
        <v>3067.0009507898217</v>
      </c>
      <c r="X38" s="349">
        <f>X31*24*LOOKUP(X$2,'HDD-by Country'!$A$4:$A$40,'HDD-by Country'!$C$4:$C$40)/1000/X$3</f>
        <v>2444.3199647584902</v>
      </c>
      <c r="Y38" s="349">
        <f>Y31*24*LOOKUP(Y$2,'HDD-by Country'!$A$4:$A$40,'HDD-by Country'!$C$4:$C$40)/1000/Y$3</f>
        <v>2534.0352521601026</v>
      </c>
      <c r="Z38" s="349">
        <f>Z31*24*LOOKUP(Z$2,'HDD-by Country'!$A$4:$A$40,'HDD-by Country'!$C$4:$C$40)/1000/Z$3</f>
        <v>3289.4792233400849</v>
      </c>
      <c r="AA38" s="349">
        <f>AA31*24*LOOKUP(AA$2,'HDD-by Country'!$A$4:$A$40,'HDD-by Country'!$C$4:$C$40)/1000/AA$3</f>
        <v>3467.8690814002789</v>
      </c>
      <c r="AB38" s="349">
        <f>AB31*24*LOOKUP(AB$2,'HDD-by Country'!$A$4:$A$40,'HDD-by Country'!$C$4:$C$40)/1000/AB$3</f>
        <v>3657.4243484957096</v>
      </c>
      <c r="AC38" s="349">
        <f>AC31*24*LOOKUP(AC$2,'HDD-by Country'!$A$4:$A$40,'HDD-by Country'!$C$4:$C$40)/1000/AC$3</f>
        <v>3448.1913283881659</v>
      </c>
      <c r="AD38" s="349">
        <f>AD31*24*LOOKUP(AD$2,'HDD-by Country'!$A$4:$A$40,'HDD-by Country'!$C$4:$C$40)/1000/AD$3</f>
        <v>3424.2778851042581</v>
      </c>
      <c r="AE38" s="349">
        <f>AE31*24*LOOKUP(AE$2,'HDD-by Country'!$A$4:$A$40,'HDD-by Country'!$C$4:$C$40)/1000/AE$3</f>
        <v>3343.7972509994897</v>
      </c>
      <c r="AF38" s="349">
        <f>AF31*24*LOOKUP(AF$2,'HDD-by Country'!$A$4:$A$40,'HDD-by Country'!$C$4:$C$40)/1000/AF$3</f>
        <v>1882.8536581960711</v>
      </c>
      <c r="AG38" s="349">
        <f>AG31*24*LOOKUP(AG$2,'HDD-by Country'!$A$4:$A$40,'HDD-by Country'!$C$4:$C$40)/1000/AG$3</f>
        <v>3994.0628275374465</v>
      </c>
      <c r="AH38" s="349">
        <f>AH31*24*LOOKUP(AH$2,'HDD-by Country'!$A$4:$A$40,'HDD-by Country'!$C$4:$C$40)/1000/AH$3</f>
        <v>1889.256693988531</v>
      </c>
      <c r="AI38" s="349">
        <f>AI31*24*LOOKUP(AI$2,'HDD-by Country'!$A$4:$A$40,'HDD-by Country'!$C$4:$C$40)/1000/AI$3</f>
        <v>2858.4594189501827</v>
      </c>
      <c r="AJ38" s="349">
        <f>AJ31*24*LOOKUP(AJ$2,'HDD-by Country'!$A$4:$A$40,'HDD-by Country'!$C$4:$C$40)/1000/AJ$3</f>
        <v>5582.1818153032746</v>
      </c>
      <c r="AK38" s="349">
        <f>AK31*24*LOOKUP(AK$2,'HDD-by Country'!$A$4:$A$40,'HDD-by Country'!$C$4:$C$40)/1000/AK$3</f>
        <v>5317.6212462644644</v>
      </c>
      <c r="AL38" s="349">
        <f>AL31*24*LOOKUP(AL$2,'HDD-by Country'!$A$4:$A$40,'HDD-by Country'!$C$4:$C$40)/1000/AL$3</f>
        <v>2987.0449676376593</v>
      </c>
      <c r="AM38" s="349">
        <f>AM31*24*LOOKUP(AM$2,'HDD-by Country'!$A$4:$A$40,'HDD-by Country'!$C$4:$C$40)/1000/AM$3</f>
        <v>5133.2383770430861</v>
      </c>
      <c r="AN38" s="354">
        <f>AN31*24*LOOKUP(AN$2,'HDD-by Country'!$A$4:$A$40,'HDD-by Country'!$C$4:$C$40)/1000/AN$3</f>
        <v>5133.2383770430861</v>
      </c>
    </row>
    <row r="39" spans="1:40" s="135" customFormat="1">
      <c r="A39" s="130"/>
      <c r="B39" s="153" t="s">
        <v>259</v>
      </c>
      <c r="C39" s="121" t="s">
        <v>261</v>
      </c>
      <c r="D39" s="348">
        <f>D32*24*LOOKUP(D$2,'HDD-by Country'!$A$4:$A$40,'HDD-by Country'!$C$4:$C$40)/1000/D$3</f>
        <v>8116.1161068000265</v>
      </c>
      <c r="E39" s="350">
        <f>E32*24*LOOKUP(E$2,'HDD-by Country'!$A$4:$A$40,'HDD-by Country'!$C$4:$C$40)/1000/E$3</f>
        <v>10715.788107111015</v>
      </c>
      <c r="F39" s="350">
        <f>F32*24*LOOKUP(F$2,'HDD-by Country'!$A$4:$A$40,'HDD-by Country'!$C$4:$C$40)/1000/F$3</f>
        <v>5450.7180639607741</v>
      </c>
      <c r="G39" s="350">
        <f>G32*24*LOOKUP(G$2,'HDD-by Country'!$A$4:$A$40,'HDD-by Country'!$C$4:$C$40)/1000/G$3</f>
        <v>7907.1953788130095</v>
      </c>
      <c r="H39" s="350">
        <f>H32*24*LOOKUP(H$2,'HDD-by Country'!$A$4:$A$40,'HDD-by Country'!$C$4:$C$40)/1000/H$3</f>
        <v>3172.9782333884559</v>
      </c>
      <c r="I39" s="350">
        <f>I32*24*LOOKUP(I$2,'HDD-by Country'!$A$4:$A$40,'HDD-by Country'!$C$4:$C$40)/1000/I$3</f>
        <v>6268.5232042183943</v>
      </c>
      <c r="J39" s="350">
        <f>J32*24*LOOKUP(J$2,'HDD-by Country'!$A$4:$A$40,'HDD-by Country'!$C$4:$C$40)/1000/J$3</f>
        <v>7417.037914796565</v>
      </c>
      <c r="K39" s="350">
        <f>K32*24*LOOKUP(K$2,'HDD-by Country'!$A$4:$A$40,'HDD-by Country'!$C$4:$C$40)/1000/K$3</f>
        <v>5017.7848608564445</v>
      </c>
      <c r="L39" s="350">
        <f>L32*24*LOOKUP(L$2,'HDD-by Country'!$A$4:$A$40,'HDD-by Country'!$C$4:$C$40)/1000/L$3</f>
        <v>3502.0922043779647</v>
      </c>
      <c r="M39" s="350">
        <f>M32*24*LOOKUP(M$2,'HDD-by Country'!$A$4:$A$40,'HDD-by Country'!$C$4:$C$40)/1000/M$3</f>
        <v>9877.2190850917341</v>
      </c>
      <c r="N39" s="350">
        <f>N32*24*LOOKUP(N$2,'HDD-by Country'!$A$4:$A$40,'HDD-by Country'!$C$4:$C$40)/1000/N$3</f>
        <v>4565.6067151113166</v>
      </c>
      <c r="O39" s="350">
        <f>O32*24*LOOKUP(O$2,'HDD-by Country'!$A$4:$A$40,'HDD-by Country'!$C$4:$C$40)/1000/O$3</f>
        <v>7911.9547491440508</v>
      </c>
      <c r="P39" s="350">
        <f>P32*24*LOOKUP(P$2,'HDD-by Country'!$A$4:$A$40,'HDD-by Country'!$C$4:$C$40)/1000/P$3</f>
        <v>10308.059963108766</v>
      </c>
      <c r="Q39" s="350">
        <f>Q32*24*LOOKUP(Q$2,'HDD-by Country'!$A$4:$A$40,'HDD-by Country'!$C$4:$C$40)/1000/Q$3</f>
        <v>6536.039298357694</v>
      </c>
      <c r="R39" s="350">
        <f>R32*24*LOOKUP(R$2,'HDD-by Country'!$A$4:$A$40,'HDD-by Country'!$C$4:$C$40)/1000/R$3</f>
        <v>5839.8122582886735</v>
      </c>
      <c r="S39" s="350">
        <f>S32*24*LOOKUP(S$2,'HDD-by Country'!$A$4:$A$40,'HDD-by Country'!$C$4:$C$40)/1000/S$3</f>
        <v>4986.4676203027793</v>
      </c>
      <c r="T39" s="350">
        <f>T32*24*LOOKUP(T$2,'HDD-by Country'!$A$4:$A$40,'HDD-by Country'!$C$4:$C$40)/1000/T$3</f>
        <v>4888.7786261771735</v>
      </c>
      <c r="U39" s="350">
        <f>U32*24*LOOKUP(U$2,'HDD-by Country'!$A$4:$A$40,'HDD-by Country'!$C$4:$C$40)/1000/U$3</f>
        <v>8537.1019997773656</v>
      </c>
      <c r="V39" s="350">
        <f>V32*24*LOOKUP(V$2,'HDD-by Country'!$A$4:$A$40,'HDD-by Country'!$C$4:$C$40)/1000/V$3</f>
        <v>6030.6653083967676</v>
      </c>
      <c r="W39" s="350">
        <f>W32*24*LOOKUP(W$2,'HDD-by Country'!$A$4:$A$40,'HDD-by Country'!$C$4:$C$40)/1000/W$3</f>
        <v>8161.2555388632418</v>
      </c>
      <c r="X39" s="350">
        <f>X32*24*LOOKUP(X$2,'HDD-by Country'!$A$4:$A$40,'HDD-by Country'!$C$4:$C$40)/1000/X$3</f>
        <v>6783.365950869219</v>
      </c>
      <c r="Y39" s="350">
        <f>Y32*24*LOOKUP(Y$2,'HDD-by Country'!$A$4:$A$40,'HDD-by Country'!$C$4:$C$40)/1000/Y$3</f>
        <v>3209.9349132652401</v>
      </c>
      <c r="Z39" s="350">
        <f>Z32*24*LOOKUP(Z$2,'HDD-by Country'!$A$4:$A$40,'HDD-by Country'!$C$4:$C$40)/1000/Z$3</f>
        <v>8556.6084603737072</v>
      </c>
      <c r="AA39" s="350">
        <f>AA32*24*LOOKUP(AA$2,'HDD-by Country'!$A$4:$A$40,'HDD-by Country'!$C$4:$C$40)/1000/AA$3</f>
        <v>5480.4776455741676</v>
      </c>
      <c r="AB39" s="350">
        <f>AB32*24*LOOKUP(AB$2,'HDD-by Country'!$A$4:$A$40,'HDD-by Country'!$C$4:$C$40)/1000/AB$3</f>
        <v>6233.2324315895776</v>
      </c>
      <c r="AC39" s="350">
        <f>AC32*24*LOOKUP(AC$2,'HDD-by Country'!$A$4:$A$40,'HDD-by Country'!$C$4:$C$40)/1000/AC$3</f>
        <v>5858.528802294577</v>
      </c>
      <c r="AD39" s="350">
        <f>AD32*24*LOOKUP(AD$2,'HDD-by Country'!$A$4:$A$40,'HDD-by Country'!$C$4:$C$40)/1000/AD$3</f>
        <v>5283.2018996337074</v>
      </c>
      <c r="AE39" s="350">
        <f>AE32*24*LOOKUP(AE$2,'HDD-by Country'!$A$4:$A$40,'HDD-by Country'!$C$4:$C$40)/1000/AE$3</f>
        <v>5787.6117589657078</v>
      </c>
      <c r="AF39" s="350">
        <f>AF32*24*LOOKUP(AF$2,'HDD-by Country'!$A$4:$A$40,'HDD-by Country'!$C$4:$C$40)/1000/AF$3</f>
        <v>6210.9590240628258</v>
      </c>
      <c r="AG39" s="350">
        <f>AG32*24*LOOKUP(AG$2,'HDD-by Country'!$A$4:$A$40,'HDD-by Country'!$C$4:$C$40)/1000/AG$3</f>
        <v>9305.8776185892712</v>
      </c>
      <c r="AH39" s="350">
        <f>AH32*24*LOOKUP(AH$2,'HDD-by Country'!$A$4:$A$40,'HDD-by Country'!$C$4:$C$40)/1000/AH$3</f>
        <v>5812.8028224589416</v>
      </c>
      <c r="AI39" s="350">
        <f>AI32*24*LOOKUP(AI$2,'HDD-by Country'!$A$4:$A$40,'HDD-by Country'!$C$4:$C$40)/1000/AI$3</f>
        <v>8247.0755020470788</v>
      </c>
      <c r="AJ39" s="350">
        <f>AJ32*24*LOOKUP(AJ$2,'HDD-by Country'!$A$4:$A$40,'HDD-by Country'!$C$4:$C$40)/1000/AJ$3</f>
        <v>7762.4071957221722</v>
      </c>
      <c r="AK39" s="350">
        <f>AK32*24*LOOKUP(AK$2,'HDD-by Country'!$A$4:$A$40,'HDD-by Country'!$C$4:$C$40)/1000/AK$3</f>
        <v>7418.4765583875169</v>
      </c>
      <c r="AL39" s="350">
        <f>AL32*24*LOOKUP(AL$2,'HDD-by Country'!$A$4:$A$40,'HDD-by Country'!$C$4:$C$40)/1000/AL$3</f>
        <v>6770.0789768424092</v>
      </c>
      <c r="AM39" s="350">
        <f>AM32*24*LOOKUP(AM$2,'HDD-by Country'!$A$4:$A$40,'HDD-by Country'!$C$4:$C$40)/1000/AM$3</f>
        <v>7138.120511603518</v>
      </c>
      <c r="AN39" s="355">
        <f>AN32*24*LOOKUP(AN$2,'HDD-by Country'!$A$4:$A$40,'HDD-by Country'!$C$4:$C$40)/1000/AN$3</f>
        <v>7138.1205116035198</v>
      </c>
    </row>
    <row r="40" spans="1:40" s="135" customFormat="1">
      <c r="A40" s="150" t="s">
        <v>263</v>
      </c>
      <c r="B40" s="361" t="s">
        <v>259</v>
      </c>
      <c r="C40" s="362" t="s">
        <v>190</v>
      </c>
      <c r="D40" s="363">
        <f t="shared" ref="D40:AN40" si="17">D39/D$4</f>
        <v>113.40638373790291</v>
      </c>
      <c r="E40" s="364">
        <f t="shared" si="17"/>
        <v>146.31367726380881</v>
      </c>
      <c r="F40" s="364">
        <f t="shared" si="17"/>
        <v>84.533113453582942</v>
      </c>
      <c r="G40" s="364">
        <f t="shared" si="17"/>
        <v>110.48713715035758</v>
      </c>
      <c r="H40" s="364">
        <f t="shared" si="17"/>
        <v>43.465455251896657</v>
      </c>
      <c r="I40" s="364">
        <f t="shared" si="17"/>
        <v>102.78372592305493</v>
      </c>
      <c r="J40" s="364">
        <f t="shared" si="17"/>
        <v>118.27824614711923</v>
      </c>
      <c r="K40" s="364">
        <f t="shared" si="17"/>
        <v>64.002357919087302</v>
      </c>
      <c r="L40" s="364">
        <f t="shared" si="17"/>
        <v>73.267012554668</v>
      </c>
      <c r="M40" s="364">
        <f t="shared" si="17"/>
        <v>114.35988586740262</v>
      </c>
      <c r="N40" s="364">
        <f t="shared" si="17"/>
        <v>81.528691341273515</v>
      </c>
      <c r="O40" s="364">
        <f t="shared" si="17"/>
        <v>120.01613354231587</v>
      </c>
      <c r="P40" s="364">
        <f t="shared" si="17"/>
        <v>141.20630086450365</v>
      </c>
      <c r="Q40" s="364">
        <f t="shared" si="17"/>
        <v>102.74800364718153</v>
      </c>
      <c r="R40" s="364">
        <f t="shared" si="17"/>
        <v>124.95715443659499</v>
      </c>
      <c r="S40" s="364">
        <f t="shared" si="17"/>
        <v>74.933750414948861</v>
      </c>
      <c r="T40" s="364">
        <f t="shared" si="17"/>
        <v>87.299618324592387</v>
      </c>
      <c r="U40" s="364">
        <f t="shared" si="17"/>
        <v>94.020947134111964</v>
      </c>
      <c r="V40" s="364">
        <f t="shared" si="17"/>
        <v>116.96004966000125</v>
      </c>
      <c r="W40" s="364">
        <f t="shared" si="17"/>
        <v>95.119412020104662</v>
      </c>
      <c r="X40" s="364">
        <f t="shared" si="17"/>
        <v>131.71584370619843</v>
      </c>
      <c r="Y40" s="364">
        <f t="shared" si="17"/>
        <v>37.749971778269057</v>
      </c>
      <c r="Z40" s="364">
        <f t="shared" si="17"/>
        <v>112.88401662762148</v>
      </c>
      <c r="AA40" s="364">
        <f t="shared" si="17"/>
        <v>82.043078526559398</v>
      </c>
      <c r="AB40" s="364">
        <f t="shared" si="17"/>
        <v>118.77408358844758</v>
      </c>
      <c r="AC40" s="364">
        <f t="shared" si="17"/>
        <v>60.60954751012607</v>
      </c>
      <c r="AD40" s="364">
        <f t="shared" si="17"/>
        <v>110.18068816427484</v>
      </c>
      <c r="AE40" s="364">
        <f t="shared" si="17"/>
        <v>86.640894595295038</v>
      </c>
      <c r="AF40" s="364">
        <f t="shared" si="17"/>
        <v>120.45876851193663</v>
      </c>
      <c r="AG40" s="364">
        <f t="shared" si="17"/>
        <v>151.92552492892574</v>
      </c>
      <c r="AH40" s="364">
        <f t="shared" si="17"/>
        <v>120.0744231038823</v>
      </c>
      <c r="AI40" s="364">
        <f t="shared" si="17"/>
        <v>112.97363701434354</v>
      </c>
      <c r="AJ40" s="364">
        <f t="shared" si="17"/>
        <v>122.02678203868439</v>
      </c>
      <c r="AK40" s="364">
        <f t="shared" si="17"/>
        <v>101.62296655325366</v>
      </c>
      <c r="AL40" s="364">
        <f t="shared" si="17"/>
        <v>106.42715988245311</v>
      </c>
      <c r="AM40" s="364">
        <f t="shared" si="17"/>
        <v>112.212855351795</v>
      </c>
      <c r="AN40" s="365">
        <f t="shared" si="17"/>
        <v>112.21285535179503</v>
      </c>
    </row>
    <row r="41" spans="1:40" s="135" customFormat="1">
      <c r="A41" s="151" t="s">
        <v>260</v>
      </c>
      <c r="B41" s="141" t="s">
        <v>2</v>
      </c>
      <c r="C41" s="360" t="s">
        <v>261</v>
      </c>
      <c r="D41" s="351">
        <f t="shared" ref="D41:AN46" si="18">D33/(1.355*(D26/D$17)^0.16)</f>
        <v>7571.9753669360625</v>
      </c>
      <c r="E41" s="352">
        <f>E33/(1.355*(E26/E$17)^0.16)</f>
        <v>7523.7490800650448</v>
      </c>
      <c r="F41" s="352">
        <f>F33/(1.355*(F26/F$17)^0.16)</f>
        <v>4392.7596122870391</v>
      </c>
      <c r="G41" s="352">
        <f t="shared" si="18"/>
        <v>7377.0616193820297</v>
      </c>
      <c r="H41" s="352">
        <f t="shared" si="18"/>
        <v>2509.0216205228726</v>
      </c>
      <c r="I41" s="352">
        <f t="shared" si="18"/>
        <v>5294.5437213630994</v>
      </c>
      <c r="J41" s="352">
        <f t="shared" si="18"/>
        <v>7511.7677193042955</v>
      </c>
      <c r="K41" s="352">
        <f t="shared" si="18"/>
        <v>4473.6690453286583</v>
      </c>
      <c r="L41" s="352">
        <f t="shared" si="18"/>
        <v>3389.6459856249071</v>
      </c>
      <c r="M41" s="352">
        <f t="shared" si="18"/>
        <v>8687.9863893866805</v>
      </c>
      <c r="N41" s="352">
        <f t="shared" si="18"/>
        <v>4460.1478723868304</v>
      </c>
      <c r="O41" s="352">
        <f t="shared" si="18"/>
        <v>7844.2466584184895</v>
      </c>
      <c r="P41" s="352">
        <f t="shared" si="18"/>
        <v>6839.710658219602</v>
      </c>
      <c r="Q41" s="352">
        <f t="shared" si="18"/>
        <v>5076.5549573958078</v>
      </c>
      <c r="R41" s="352">
        <f t="shared" si="18"/>
        <v>4948.1917771990411</v>
      </c>
      <c r="S41" s="352">
        <f t="shared" si="18"/>
        <v>4833.7083338508901</v>
      </c>
      <c r="T41" s="352">
        <f t="shared" si="18"/>
        <v>4951.1698416073905</v>
      </c>
      <c r="U41" s="352">
        <f t="shared" si="18"/>
        <v>6427.625317729412</v>
      </c>
      <c r="V41" s="352">
        <f t="shared" si="18"/>
        <v>5367.0574309342283</v>
      </c>
      <c r="W41" s="352">
        <f t="shared" si="18"/>
        <v>7257.0526373072908</v>
      </c>
      <c r="X41" s="352">
        <f t="shared" si="18"/>
        <v>5990.6697697258287</v>
      </c>
      <c r="Y41" s="352">
        <f t="shared" si="18"/>
        <v>2320.0579398900804</v>
      </c>
      <c r="Z41" s="352">
        <f t="shared" si="18"/>
        <v>7981.9323994435845</v>
      </c>
      <c r="AA41" s="352">
        <f t="shared" si="18"/>
        <v>5450.8688552790827</v>
      </c>
      <c r="AB41" s="352">
        <f t="shared" si="18"/>
        <v>6595.7117229851756</v>
      </c>
      <c r="AC41" s="352">
        <f t="shared" si="18"/>
        <v>4657.7655604992924</v>
      </c>
      <c r="AD41" s="352">
        <f t="shared" si="18"/>
        <v>4012.7770014255798</v>
      </c>
      <c r="AE41" s="352">
        <f t="shared" si="18"/>
        <v>5255.8501679311603</v>
      </c>
      <c r="AF41" s="352">
        <f t="shared" si="18"/>
        <v>5073.2736319268979</v>
      </c>
      <c r="AG41" s="352">
        <f t="shared" si="18"/>
        <v>7751.3084927193149</v>
      </c>
      <c r="AH41" s="352">
        <f t="shared" si="18"/>
        <v>4315.4208632047612</v>
      </c>
      <c r="AI41" s="352">
        <f t="shared" si="18"/>
        <v>5447.8789613945446</v>
      </c>
      <c r="AJ41" s="352">
        <f t="shared" si="18"/>
        <v>5683.2344843576184</v>
      </c>
      <c r="AK41" s="352">
        <f t="shared" si="18"/>
        <v>5454.5945559913307</v>
      </c>
      <c r="AL41" s="352">
        <f t="shared" si="18"/>
        <v>5517.1805449974972</v>
      </c>
      <c r="AM41" s="352">
        <f t="shared" si="18"/>
        <v>5226.1639491680089</v>
      </c>
      <c r="AN41" s="353">
        <f t="shared" si="18"/>
        <v>5226.1639491680089</v>
      </c>
    </row>
    <row r="42" spans="1:40" s="135" customFormat="1">
      <c r="A42" s="129"/>
      <c r="B42" s="142" t="s">
        <v>3</v>
      </c>
      <c r="C42" s="129" t="s">
        <v>261</v>
      </c>
      <c r="D42" s="345">
        <f t="shared" si="18"/>
        <v>6839.8197262652684</v>
      </c>
      <c r="E42" s="349">
        <f t="shared" si="18"/>
        <v>7523.7490800650448</v>
      </c>
      <c r="F42" s="349">
        <f t="shared" si="18"/>
        <v>4392.7596122870391</v>
      </c>
      <c r="G42" s="349">
        <f t="shared" si="18"/>
        <v>6663.7527383479755</v>
      </c>
      <c r="H42" s="349">
        <f t="shared" si="18"/>
        <v>2303.840083840525</v>
      </c>
      <c r="I42" s="349">
        <f t="shared" si="18"/>
        <v>4771.8786469094011</v>
      </c>
      <c r="J42" s="349">
        <f t="shared" si="18"/>
        <v>6199.9986835644222</v>
      </c>
      <c r="K42" s="349">
        <f t="shared" si="18"/>
        <v>4394.0111853674734</v>
      </c>
      <c r="L42" s="349">
        <f t="shared" si="18"/>
        <v>3389.6459856249071</v>
      </c>
      <c r="M42" s="349">
        <f t="shared" si="18"/>
        <v>7806.5091801997933</v>
      </c>
      <c r="N42" s="349">
        <f t="shared" si="18"/>
        <v>4190.7917351622937</v>
      </c>
      <c r="O42" s="349">
        <f t="shared" si="18"/>
        <v>7844.2466584184895</v>
      </c>
      <c r="P42" s="349">
        <f t="shared" si="18"/>
        <v>6839.710658219602</v>
      </c>
      <c r="Q42" s="349">
        <f t="shared" si="18"/>
        <v>5416.4254006643559</v>
      </c>
      <c r="R42" s="349">
        <f t="shared" si="18"/>
        <v>4948.1917771990411</v>
      </c>
      <c r="S42" s="349">
        <f t="shared" si="18"/>
        <v>4883.8024748328589</v>
      </c>
      <c r="T42" s="349">
        <f t="shared" si="18"/>
        <v>4656.6164691123968</v>
      </c>
      <c r="U42" s="349">
        <f t="shared" si="18"/>
        <v>6055.6245489540042</v>
      </c>
      <c r="V42" s="349">
        <f t="shared" si="18"/>
        <v>5367.0574309342283</v>
      </c>
      <c r="W42" s="349">
        <f t="shared" si="18"/>
        <v>8073.1319679824219</v>
      </c>
      <c r="X42" s="349">
        <f t="shared" si="18"/>
        <v>5903.165891627681</v>
      </c>
      <c r="Y42" s="349">
        <f t="shared" si="18"/>
        <v>2318.1954561367943</v>
      </c>
      <c r="Z42" s="349">
        <f t="shared" si="18"/>
        <v>6717.3394049166573</v>
      </c>
      <c r="AA42" s="349">
        <f t="shared" si="18"/>
        <v>5426.0898578349206</v>
      </c>
      <c r="AB42" s="349">
        <f t="shared" si="18"/>
        <v>4898.4362576073336</v>
      </c>
      <c r="AC42" s="349">
        <f t="shared" si="18"/>
        <v>4106.4026365691388</v>
      </c>
      <c r="AD42" s="349">
        <f t="shared" si="18"/>
        <v>3684.7565713981621</v>
      </c>
      <c r="AE42" s="349">
        <f t="shared" si="18"/>
        <v>5231.9577020994175</v>
      </c>
      <c r="AF42" s="349">
        <f t="shared" si="18"/>
        <v>5073.2736319268979</v>
      </c>
      <c r="AG42" s="349">
        <f t="shared" si="18"/>
        <v>6679.243967340054</v>
      </c>
      <c r="AH42" s="349">
        <f t="shared" si="18"/>
        <v>4501.599388877974</v>
      </c>
      <c r="AI42" s="349">
        <f t="shared" si="18"/>
        <v>5447.8789613945446</v>
      </c>
      <c r="AJ42" s="349">
        <f t="shared" si="18"/>
        <v>5683.2344843576184</v>
      </c>
      <c r="AK42" s="349">
        <f t="shared" si="18"/>
        <v>5454.5945559913307</v>
      </c>
      <c r="AL42" s="349">
        <f t="shared" si="18"/>
        <v>5517.1805449974972</v>
      </c>
      <c r="AM42" s="349">
        <f t="shared" si="18"/>
        <v>5226.1639491680089</v>
      </c>
      <c r="AN42" s="354">
        <f t="shared" si="18"/>
        <v>5226.1639491680089</v>
      </c>
    </row>
    <row r="43" spans="1:40" s="135" customFormat="1">
      <c r="A43" s="129"/>
      <c r="B43" s="142" t="s">
        <v>4</v>
      </c>
      <c r="C43" s="129" t="s">
        <v>261</v>
      </c>
      <c r="D43" s="345">
        <f t="shared" si="18"/>
        <v>5584.3489768861236</v>
      </c>
      <c r="E43" s="349">
        <f t="shared" si="18"/>
        <v>7523.7490800650448</v>
      </c>
      <c r="F43" s="349">
        <f t="shared" si="18"/>
        <v>4161.5580364711823</v>
      </c>
      <c r="G43" s="349">
        <f t="shared" si="18"/>
        <v>5440.5996467592277</v>
      </c>
      <c r="H43" s="349">
        <f t="shared" si="18"/>
        <v>2322.5913997378957</v>
      </c>
      <c r="I43" s="349">
        <f t="shared" si="18"/>
        <v>4771.8786469094011</v>
      </c>
      <c r="J43" s="349">
        <f t="shared" si="18"/>
        <v>4223.112811919098</v>
      </c>
      <c r="K43" s="349">
        <f t="shared" si="18"/>
        <v>3163.4349408902867</v>
      </c>
      <c r="L43" s="349">
        <f t="shared" si="18"/>
        <v>2810.6719923293617</v>
      </c>
      <c r="M43" s="349">
        <f t="shared" si="18"/>
        <v>7806.5091801997933</v>
      </c>
      <c r="N43" s="349">
        <f t="shared" si="18"/>
        <v>3546.6569689891166</v>
      </c>
      <c r="O43" s="349">
        <f t="shared" si="18"/>
        <v>3979.1005310351138</v>
      </c>
      <c r="P43" s="349">
        <f t="shared" si="18"/>
        <v>6839.710658219602</v>
      </c>
      <c r="Q43" s="349">
        <f t="shared" si="18"/>
        <v>4721.8358376685555</v>
      </c>
      <c r="R43" s="349">
        <f t="shared" si="18"/>
        <v>4326.0863168122787</v>
      </c>
      <c r="S43" s="349">
        <f t="shared" si="18"/>
        <v>4387.265334492713</v>
      </c>
      <c r="T43" s="349">
        <f t="shared" si="18"/>
        <v>3854.4357075095968</v>
      </c>
      <c r="U43" s="349">
        <f t="shared" si="18"/>
        <v>5780.6381083382139</v>
      </c>
      <c r="V43" s="349">
        <f t="shared" si="18"/>
        <v>3545.4238021590709</v>
      </c>
      <c r="W43" s="349">
        <f t="shared" si="18"/>
        <v>4428.6029661887378</v>
      </c>
      <c r="X43" s="349">
        <f t="shared" si="18"/>
        <v>5519.1117361920524</v>
      </c>
      <c r="Y43" s="349">
        <f t="shared" si="18"/>
        <v>1856.9811938234786</v>
      </c>
      <c r="Z43" s="349">
        <f t="shared" si="18"/>
        <v>6603.2149139690191</v>
      </c>
      <c r="AA43" s="349">
        <f t="shared" si="18"/>
        <v>3971.7815158747926</v>
      </c>
      <c r="AB43" s="349">
        <f t="shared" si="18"/>
        <v>3548.5133985162197</v>
      </c>
      <c r="AC43" s="349">
        <f t="shared" si="18"/>
        <v>4057.2808174199463</v>
      </c>
      <c r="AD43" s="349">
        <f t="shared" si="18"/>
        <v>3684.7565713981621</v>
      </c>
      <c r="AE43" s="349">
        <f t="shared" si="18"/>
        <v>3829.6809373755527</v>
      </c>
      <c r="AF43" s="349">
        <f t="shared" si="18"/>
        <v>4818.4476224956743</v>
      </c>
      <c r="AG43" s="349">
        <f t="shared" si="18"/>
        <v>6679.243967340054</v>
      </c>
      <c r="AH43" s="349">
        <f t="shared" si="18"/>
        <v>3776.0935418722365</v>
      </c>
      <c r="AI43" s="349">
        <f t="shared" si="18"/>
        <v>5447.8789613945446</v>
      </c>
      <c r="AJ43" s="349">
        <f t="shared" si="18"/>
        <v>5683.2344843576184</v>
      </c>
      <c r="AK43" s="349">
        <f t="shared" si="18"/>
        <v>5454.5945559913307</v>
      </c>
      <c r="AL43" s="349">
        <f t="shared" si="18"/>
        <v>5215.4034502187278</v>
      </c>
      <c r="AM43" s="349">
        <f t="shared" si="18"/>
        <v>5226.1639491680089</v>
      </c>
      <c r="AN43" s="354">
        <f t="shared" si="18"/>
        <v>5226.1639491680089</v>
      </c>
    </row>
    <row r="44" spans="1:40" s="135" customFormat="1">
      <c r="A44" s="129"/>
      <c r="B44" s="142" t="s">
        <v>5</v>
      </c>
      <c r="C44" s="129" t="s">
        <v>261</v>
      </c>
      <c r="D44" s="345">
        <f t="shared" si="18"/>
        <v>3946.8080511430903</v>
      </c>
      <c r="E44" s="349">
        <f t="shared" si="18"/>
        <v>6487.1748352530594</v>
      </c>
      <c r="F44" s="349">
        <f t="shared" si="18"/>
        <v>3621.1575824532597</v>
      </c>
      <c r="G44" s="349">
        <f t="shared" si="18"/>
        <v>3845.2114253162399</v>
      </c>
      <c r="H44" s="349">
        <f t="shared" si="18"/>
        <v>2278.298568800411</v>
      </c>
      <c r="I44" s="349">
        <f t="shared" si="18"/>
        <v>4351.3741174757433</v>
      </c>
      <c r="J44" s="349">
        <f t="shared" si="18"/>
        <v>3611.7556732396151</v>
      </c>
      <c r="K44" s="349">
        <f t="shared" si="18"/>
        <v>2684.264716512695</v>
      </c>
      <c r="L44" s="349">
        <f t="shared" si="18"/>
        <v>2114.0454630791451</v>
      </c>
      <c r="M44" s="349">
        <f t="shared" si="18"/>
        <v>5496.1368367853474</v>
      </c>
      <c r="N44" s="349">
        <f t="shared" si="18"/>
        <v>2927.4223561349422</v>
      </c>
      <c r="O44" s="349">
        <f t="shared" si="18"/>
        <v>3433.5992380779903</v>
      </c>
      <c r="P44" s="349">
        <f t="shared" si="18"/>
        <v>6716.0923825191476</v>
      </c>
      <c r="Q44" s="349">
        <f t="shared" si="18"/>
        <v>4721.8358376685555</v>
      </c>
      <c r="R44" s="349">
        <f t="shared" si="18"/>
        <v>3248.0289589774907</v>
      </c>
      <c r="S44" s="349">
        <f t="shared" si="18"/>
        <v>3074.293588479055</v>
      </c>
      <c r="T44" s="349">
        <f t="shared" si="18"/>
        <v>3119.4090310753463</v>
      </c>
      <c r="U44" s="349">
        <f t="shared" si="18"/>
        <v>4289.5876466779009</v>
      </c>
      <c r="V44" s="349">
        <f t="shared" si="18"/>
        <v>3545.4238021590709</v>
      </c>
      <c r="W44" s="349">
        <f t="shared" si="18"/>
        <v>3755.1083433221374</v>
      </c>
      <c r="X44" s="349">
        <f t="shared" si="18"/>
        <v>3435.1595801854169</v>
      </c>
      <c r="Y44" s="349">
        <f t="shared" si="18"/>
        <v>1764.4410908448544</v>
      </c>
      <c r="Z44" s="349">
        <f t="shared" si="18"/>
        <v>3995.4402012327823</v>
      </c>
      <c r="AA44" s="349">
        <f t="shared" si="18"/>
        <v>3910.2701588900677</v>
      </c>
      <c r="AB44" s="349">
        <f t="shared" si="18"/>
        <v>3548.5133985162197</v>
      </c>
      <c r="AC44" s="349">
        <f t="shared" si="18"/>
        <v>3930.1870622408169</v>
      </c>
      <c r="AD44" s="349">
        <f t="shared" si="18"/>
        <v>3195.9026167439688</v>
      </c>
      <c r="AE44" s="349">
        <f t="shared" si="18"/>
        <v>3770.3703055255978</v>
      </c>
      <c r="AF44" s="349">
        <f t="shared" si="18"/>
        <v>3561.1812077763716</v>
      </c>
      <c r="AG44" s="349">
        <f t="shared" si="18"/>
        <v>5681.4139280510963</v>
      </c>
      <c r="AH44" s="349">
        <f t="shared" si="18"/>
        <v>2454.4861746825009</v>
      </c>
      <c r="AI44" s="349">
        <f t="shared" si="18"/>
        <v>5355.4469291856176</v>
      </c>
      <c r="AJ44" s="349">
        <f t="shared" si="18"/>
        <v>4970.3600579233071</v>
      </c>
      <c r="AK44" s="349">
        <f t="shared" si="18"/>
        <v>4757.8634264679331</v>
      </c>
      <c r="AL44" s="349">
        <f t="shared" si="18"/>
        <v>4500.353283578067</v>
      </c>
      <c r="AM44" s="349">
        <f t="shared" si="18"/>
        <v>4570.6219971389219</v>
      </c>
      <c r="AN44" s="354">
        <f t="shared" si="18"/>
        <v>4570.6219971389219</v>
      </c>
    </row>
    <row r="45" spans="1:40" s="135" customFormat="1">
      <c r="A45" s="129"/>
      <c r="B45" s="142" t="s">
        <v>6</v>
      </c>
      <c r="C45" s="129" t="s">
        <v>261</v>
      </c>
      <c r="D45" s="345">
        <f t="shared" si="18"/>
        <v>3322.2724220676164</v>
      </c>
      <c r="E45" s="349">
        <f t="shared" si="18"/>
        <v>6487.1748352530594</v>
      </c>
      <c r="F45" s="349">
        <f t="shared" si="18"/>
        <v>2961.9496468916486</v>
      </c>
      <c r="G45" s="349">
        <f t="shared" si="18"/>
        <v>3236.7522589925679</v>
      </c>
      <c r="H45" s="349">
        <f t="shared" si="18"/>
        <v>1967.7429317283729</v>
      </c>
      <c r="I45" s="349">
        <f t="shared" si="18"/>
        <v>3306.6271243720762</v>
      </c>
      <c r="J45" s="349">
        <f t="shared" si="18"/>
        <v>2061.68222476444</v>
      </c>
      <c r="K45" s="349">
        <f t="shared" si="18"/>
        <v>2684.264716512695</v>
      </c>
      <c r="L45" s="349">
        <f t="shared" si="18"/>
        <v>1895.3579313043085</v>
      </c>
      <c r="M45" s="349">
        <f t="shared" si="18"/>
        <v>5496.1368367853474</v>
      </c>
      <c r="N45" s="349">
        <f t="shared" si="18"/>
        <v>2901.177545905216</v>
      </c>
      <c r="O45" s="349">
        <f t="shared" si="18"/>
        <v>2010.1953880507165</v>
      </c>
      <c r="P45" s="349">
        <f t="shared" si="18"/>
        <v>6716.0923825191476</v>
      </c>
      <c r="Q45" s="349">
        <f t="shared" si="18"/>
        <v>3402.2501315576515</v>
      </c>
      <c r="R45" s="349">
        <f t="shared" si="18"/>
        <v>3248.0289589774907</v>
      </c>
      <c r="S45" s="349">
        <f t="shared" si="18"/>
        <v>2706.6321899663808</v>
      </c>
      <c r="T45" s="349">
        <f t="shared" si="18"/>
        <v>3088.1679332894355</v>
      </c>
      <c r="U45" s="349">
        <f t="shared" si="18"/>
        <v>3939.872485298964</v>
      </c>
      <c r="V45" s="349">
        <f t="shared" si="18"/>
        <v>3545.4238021590709</v>
      </c>
      <c r="W45" s="349">
        <f t="shared" si="18"/>
        <v>3220.2308457039226</v>
      </c>
      <c r="X45" s="349">
        <f t="shared" si="18"/>
        <v>3409.083249322397</v>
      </c>
      <c r="Y45" s="349">
        <f t="shared" si="18"/>
        <v>1746.7549310874581</v>
      </c>
      <c r="Z45" s="349">
        <f t="shared" si="18"/>
        <v>3579.1182819922437</v>
      </c>
      <c r="AA45" s="349">
        <f t="shared" si="18"/>
        <v>3512.8632165486629</v>
      </c>
      <c r="AB45" s="349">
        <f t="shared" si="18"/>
        <v>3548.5133985162197</v>
      </c>
      <c r="AC45" s="349">
        <f t="shared" si="18"/>
        <v>3611.1069598358463</v>
      </c>
      <c r="AD45" s="349">
        <f t="shared" si="18"/>
        <v>3195.9026167439688</v>
      </c>
      <c r="AE45" s="349">
        <f t="shared" si="18"/>
        <v>3387.1816066048395</v>
      </c>
      <c r="AF45" s="349">
        <f t="shared" si="18"/>
        <v>2673.6016127389703</v>
      </c>
      <c r="AG45" s="349">
        <f t="shared" si="18"/>
        <v>5411.4030782912041</v>
      </c>
      <c r="AH45" s="349">
        <f t="shared" si="18"/>
        <v>1753.8048366966111</v>
      </c>
      <c r="AI45" s="349">
        <f t="shared" si="18"/>
        <v>5355.4469291856176</v>
      </c>
      <c r="AJ45" s="349">
        <f t="shared" si="18"/>
        <v>4720.1239030070155</v>
      </c>
      <c r="AK45" s="349">
        <f t="shared" si="18"/>
        <v>4511.0841832615397</v>
      </c>
      <c r="AL45" s="349">
        <f t="shared" si="18"/>
        <v>3678.2339198502646</v>
      </c>
      <c r="AM45" s="349">
        <f t="shared" si="18"/>
        <v>4340.510926550257</v>
      </c>
      <c r="AN45" s="354">
        <f t="shared" si="18"/>
        <v>4340.510926550257</v>
      </c>
    </row>
    <row r="46" spans="1:40" s="135" customFormat="1">
      <c r="A46" s="129"/>
      <c r="B46" s="142" t="s">
        <v>7</v>
      </c>
      <c r="C46" s="129" t="s">
        <v>261</v>
      </c>
      <c r="D46" s="345">
        <f t="shared" si="18"/>
        <v>3003.3790054683736</v>
      </c>
      <c r="E46" s="349">
        <f t="shared" si="18"/>
        <v>3872.6166017189348</v>
      </c>
      <c r="F46" s="349">
        <f t="shared" si="18"/>
        <v>1996.3438803312563</v>
      </c>
      <c r="G46" s="349">
        <f t="shared" si="18"/>
        <v>2926.0676264803801</v>
      </c>
      <c r="H46" s="349">
        <f t="shared" si="18"/>
        <v>1818.4525788308756</v>
      </c>
      <c r="I46" s="349">
        <f t="shared" si="18"/>
        <v>2656.2787701824536</v>
      </c>
      <c r="J46" s="349">
        <f t="shared" si="18"/>
        <v>2268.4773934234709</v>
      </c>
      <c r="K46" s="349">
        <f t="shared" si="18"/>
        <v>1983.0500795262226</v>
      </c>
      <c r="L46" s="349">
        <f t="shared" si="18"/>
        <v>1895.3579313043085</v>
      </c>
      <c r="M46" s="349">
        <f t="shared" si="18"/>
        <v>3527.6362830906919</v>
      </c>
      <c r="N46" s="349">
        <f t="shared" si="18"/>
        <v>2600.4232239012217</v>
      </c>
      <c r="O46" s="349">
        <f t="shared" si="18"/>
        <v>1943.8808486385401</v>
      </c>
      <c r="P46" s="349">
        <f t="shared" si="18"/>
        <v>2580.7797749189176</v>
      </c>
      <c r="Q46" s="349">
        <f t="shared" si="18"/>
        <v>2024.3152693284378</v>
      </c>
      <c r="R46" s="349">
        <f t="shared" si="18"/>
        <v>2022.5711902165131</v>
      </c>
      <c r="S46" s="349">
        <f t="shared" si="18"/>
        <v>1807.0384287270472</v>
      </c>
      <c r="T46" s="349">
        <f t="shared" si="18"/>
        <v>2792.2356139677472</v>
      </c>
      <c r="U46" s="349">
        <f t="shared" si="18"/>
        <v>3735.6181827786877</v>
      </c>
      <c r="V46" s="349">
        <f t="shared" si="18"/>
        <v>2076.7289993864429</v>
      </c>
      <c r="W46" s="349">
        <f t="shared" si="18"/>
        <v>2573.667060541467</v>
      </c>
      <c r="X46" s="349">
        <f t="shared" si="18"/>
        <v>2105.2970172140904</v>
      </c>
      <c r="Y46" s="349">
        <f t="shared" si="18"/>
        <v>1656.3650233571936</v>
      </c>
      <c r="Z46" s="349">
        <f t="shared" si="18"/>
        <v>2649.7031000135903</v>
      </c>
      <c r="AA46" s="349">
        <f t="shared" si="18"/>
        <v>3038.8877137265722</v>
      </c>
      <c r="AB46" s="349">
        <f t="shared" si="18"/>
        <v>2806.0372638982767</v>
      </c>
      <c r="AC46" s="349">
        <f t="shared" si="18"/>
        <v>2484.2548952421444</v>
      </c>
      <c r="AD46" s="349">
        <f t="shared" si="18"/>
        <v>2436.2513501041385</v>
      </c>
      <c r="AE46" s="349">
        <f t="shared" si="18"/>
        <v>2930.1637820629576</v>
      </c>
      <c r="AF46" s="349">
        <f t="shared" si="18"/>
        <v>1602.9930209394975</v>
      </c>
      <c r="AG46" s="349">
        <f t="shared" si="18"/>
        <v>3133.1259792339079</v>
      </c>
      <c r="AH46" s="349">
        <f t="shared" si="18"/>
        <v>1475.6776860834066</v>
      </c>
      <c r="AI46" s="349">
        <f t="shared" si="18"/>
        <v>2145.2886375594012</v>
      </c>
      <c r="AJ46" s="349">
        <f t="shared" si="18"/>
        <v>4057.8079790335546</v>
      </c>
      <c r="AK46" s="349">
        <f t="shared" si="18"/>
        <v>3880.2227836225939</v>
      </c>
      <c r="AL46" s="349">
        <f t="shared" si="18"/>
        <v>2367.8447402206689</v>
      </c>
      <c r="AM46" s="349">
        <f t="shared" si="18"/>
        <v>3731.4613414316086</v>
      </c>
      <c r="AN46" s="354">
        <f t="shared" si="18"/>
        <v>3731.4613414316086</v>
      </c>
    </row>
    <row r="47" spans="1:40" s="135" customFormat="1">
      <c r="A47" s="121"/>
      <c r="B47" s="143" t="s">
        <v>259</v>
      </c>
      <c r="C47" s="121" t="s">
        <v>261</v>
      </c>
      <c r="D47" s="356">
        <f>(LOOKUP(D2,'Dwelling stock'!$A$4:$A$40,'Dwelling stock'!$E$4:$E$40)*D41+D42*LOOKUP(D2,'Dwelling stock'!$A$4:$A$40,'Dwelling stock'!$F$4:$F$40)+D43*LOOKUP(D2,'Dwelling stock'!$A$4:$A$40,'Dwelling stock'!$G$4:$G$40)+D44*LOOKUP(D2,'Dwelling stock'!$A$4:$A$40,'Dwelling stock'!$H$4:$H$40)+D45*LOOKUP(D2,'Dwelling stock'!$A$4:$A$40,'Dwelling stock'!$I$4:$I$40)+D46*LOOKUP(D2,'Dwelling stock'!$A$4:$A$40,'Dwelling stock'!$J$4:$J$40))/LOOKUP(D2,'Dwelling stock'!$A$4:$A$40,'Dwelling stock'!$K$4:$K$40)</f>
        <v>5764.099906743495</v>
      </c>
      <c r="E47" s="357">
        <f>(LOOKUP(E2,'Dwelling stock'!$A$4:$A$40,'Dwelling stock'!$E$4:$E$40)*E41+E42*LOOKUP(E2,'Dwelling stock'!$A$4:$A$40,'Dwelling stock'!$F$4:$F$40)+E43*LOOKUP(E2,'Dwelling stock'!$A$4:$A$40,'Dwelling stock'!$G$4:$G$40)+E44*LOOKUP(E2,'Dwelling stock'!$A$4:$A$40,'Dwelling stock'!$H$4:$H$40)+E45*LOOKUP(E2,'Dwelling stock'!$A$4:$A$40,'Dwelling stock'!$I$4:$I$40)+E46*LOOKUP(E2,'Dwelling stock'!$A$4:$A$40,'Dwelling stock'!$J$4:$J$40))/LOOKUP(E2,'Dwelling stock'!$A$4:$A$40,'Dwelling stock'!$K$4:$K$40)</f>
        <v>7094.511117184541</v>
      </c>
      <c r="F47" s="357">
        <f>(LOOKUP(F2,'Dwelling stock'!$A$4:$A$40,'Dwelling stock'!$E$4:$E$40)*F41+F42*LOOKUP(F2,'Dwelling stock'!$A$4:$A$40,'Dwelling stock'!$F$4:$F$40)+F43*LOOKUP(F2,'Dwelling stock'!$A$4:$A$40,'Dwelling stock'!$G$4:$G$40)+F44*LOOKUP(F2,'Dwelling stock'!$A$4:$A$40,'Dwelling stock'!$H$4:$H$40)+F45*LOOKUP(F2,'Dwelling stock'!$A$4:$A$40,'Dwelling stock'!$I$4:$I$40)+F46*LOOKUP(F2,'Dwelling stock'!$A$4:$A$40,'Dwelling stock'!$J$4:$J$40))/LOOKUP(F2,'Dwelling stock'!$A$4:$A$40,'Dwelling stock'!$K$4:$K$40)</f>
        <v>3753.4842414921864</v>
      </c>
      <c r="G47" s="357">
        <f>(LOOKUP(G2,'Dwelling stock'!$A$4:$A$40,'Dwelling stock'!$E$4:$E$40)*G41+G42*LOOKUP(G2,'Dwelling stock'!$A$4:$A$40,'Dwelling stock'!$F$4:$F$40)+G43*LOOKUP(G2,'Dwelling stock'!$A$4:$A$40,'Dwelling stock'!$G$4:$G$40)+G44*LOOKUP(G2,'Dwelling stock'!$A$4:$A$40,'Dwelling stock'!$H$4:$H$40)+G45*LOOKUP(G2,'Dwelling stock'!$A$4:$A$40,'Dwelling stock'!$I$4:$I$40)+G46*LOOKUP(G2,'Dwelling stock'!$A$4:$A$40,'Dwelling stock'!$J$4:$J$40))/LOOKUP(G2,'Dwelling stock'!$A$4:$A$40,'Dwelling stock'!$K$4:$K$40)</f>
        <v>5615.7235241412563</v>
      </c>
      <c r="H47" s="357">
        <f>(LOOKUP(H2,'Dwelling stock'!$A$4:$A$40,'Dwelling stock'!$E$4:$E$40)*H41+H42*LOOKUP(H2,'Dwelling stock'!$A$4:$A$40,'Dwelling stock'!$F$4:$F$40)+H43*LOOKUP(H2,'Dwelling stock'!$A$4:$A$40,'Dwelling stock'!$G$4:$G$40)+H44*LOOKUP(H2,'Dwelling stock'!$A$4:$A$40,'Dwelling stock'!$H$4:$H$40)+H45*LOOKUP(H2,'Dwelling stock'!$A$4:$A$40,'Dwelling stock'!$I$4:$I$40)+H46*LOOKUP(H2,'Dwelling stock'!$A$4:$A$40,'Dwelling stock'!$J$4:$J$40))/LOOKUP(H2,'Dwelling stock'!$A$4:$A$40,'Dwelling stock'!$K$4:$K$40)</f>
        <v>2073.1164085769483</v>
      </c>
      <c r="I47" s="357">
        <f>(LOOKUP(I2,'Dwelling stock'!$A$4:$A$40,'Dwelling stock'!$E$4:$E$40)*I41+I42*LOOKUP(I2,'Dwelling stock'!$A$4:$A$40,'Dwelling stock'!$F$4:$F$40)+I43*LOOKUP(I2,'Dwelling stock'!$A$4:$A$40,'Dwelling stock'!$G$4:$G$40)+I44*LOOKUP(I2,'Dwelling stock'!$A$4:$A$40,'Dwelling stock'!$H$4:$H$40)+I45*LOOKUP(I2,'Dwelling stock'!$A$4:$A$40,'Dwelling stock'!$I$4:$I$40)+I46*LOOKUP(I2,'Dwelling stock'!$A$4:$A$40,'Dwelling stock'!$J$4:$J$40))/LOOKUP(I2,'Dwelling stock'!$A$4:$A$40,'Dwelling stock'!$K$4:$K$40)</f>
        <v>4586.4154572074003</v>
      </c>
      <c r="J47" s="357">
        <f>(LOOKUP(J2,'Dwelling stock'!$A$4:$A$40,'Dwelling stock'!$E$4:$E$40)*J41+J42*LOOKUP(J2,'Dwelling stock'!$A$4:$A$40,'Dwelling stock'!$F$4:$F$40)+J43*LOOKUP(J2,'Dwelling stock'!$A$4:$A$40,'Dwelling stock'!$G$4:$G$40)+J44*LOOKUP(J2,'Dwelling stock'!$A$4:$A$40,'Dwelling stock'!$H$4:$H$40)+J45*LOOKUP(J2,'Dwelling stock'!$A$4:$A$40,'Dwelling stock'!$I$4:$I$40)+J46*LOOKUP(J2,'Dwelling stock'!$A$4:$A$40,'Dwelling stock'!$J$4:$J$40))/LOOKUP(J2,'Dwelling stock'!$A$4:$A$40,'Dwelling stock'!$K$4:$K$40)</f>
        <v>5160.011189275433</v>
      </c>
      <c r="K47" s="357">
        <f>(LOOKUP(K2,'Dwelling stock'!$A$4:$A$40,'Dwelling stock'!$E$4:$E$40)*K41+K42*LOOKUP(K2,'Dwelling stock'!$A$4:$A$40,'Dwelling stock'!$F$4:$F$40)+K43*LOOKUP(K2,'Dwelling stock'!$A$4:$A$40,'Dwelling stock'!$G$4:$G$40)+K44*LOOKUP(K2,'Dwelling stock'!$A$4:$A$40,'Dwelling stock'!$H$4:$H$40)+K45*LOOKUP(K2,'Dwelling stock'!$A$4:$A$40,'Dwelling stock'!$I$4:$I$40)+K46*LOOKUP(K2,'Dwelling stock'!$A$4:$A$40,'Dwelling stock'!$J$4:$J$40))/LOOKUP(K2,'Dwelling stock'!$A$4:$A$40,'Dwelling stock'!$K$4:$K$40)</f>
        <v>3788.3228548775451</v>
      </c>
      <c r="L47" s="357">
        <f>(LOOKUP(L2,'Dwelling stock'!$A$4:$A$40,'Dwelling stock'!$E$4:$E$40)*L41+L42*LOOKUP(L2,'Dwelling stock'!$A$4:$A$40,'Dwelling stock'!$F$4:$F$40)+L43*LOOKUP(L2,'Dwelling stock'!$A$4:$A$40,'Dwelling stock'!$G$4:$G$40)+L44*LOOKUP(L2,'Dwelling stock'!$A$4:$A$40,'Dwelling stock'!$H$4:$H$40)+L45*LOOKUP(L2,'Dwelling stock'!$A$4:$A$40,'Dwelling stock'!$I$4:$I$40)+L46*LOOKUP(L2,'Dwelling stock'!$A$4:$A$40,'Dwelling stock'!$J$4:$J$40))/LOOKUP(L2,'Dwelling stock'!$A$4:$A$40,'Dwelling stock'!$K$4:$K$40)</f>
        <v>2831.1864003823971</v>
      </c>
      <c r="M47" s="357">
        <f>(LOOKUP(M2,'Dwelling stock'!$A$4:$A$40,'Dwelling stock'!$E$4:$E$40)*M41+M42*LOOKUP(M2,'Dwelling stock'!$A$4:$A$40,'Dwelling stock'!$F$4:$F$40)+M43*LOOKUP(M2,'Dwelling stock'!$A$4:$A$40,'Dwelling stock'!$G$4:$G$40)+M44*LOOKUP(M2,'Dwelling stock'!$A$4:$A$40,'Dwelling stock'!$H$4:$H$40)+M45*LOOKUP(M2,'Dwelling stock'!$A$4:$A$40,'Dwelling stock'!$I$4:$I$40)+M46*LOOKUP(M2,'Dwelling stock'!$A$4:$A$40,'Dwelling stock'!$J$4:$J$40))/LOOKUP(M2,'Dwelling stock'!$A$4:$A$40,'Dwelling stock'!$K$4:$K$40)</f>
        <v>6490.1790420127109</v>
      </c>
      <c r="N47" s="357">
        <f>(LOOKUP(N2,'Dwelling stock'!$A$4:$A$40,'Dwelling stock'!$E$4:$E$40)*N41+N42*LOOKUP(N2,'Dwelling stock'!$A$4:$A$40,'Dwelling stock'!$F$4:$F$40)+N43*LOOKUP(N2,'Dwelling stock'!$A$4:$A$40,'Dwelling stock'!$G$4:$G$40)+N44*LOOKUP(N2,'Dwelling stock'!$A$4:$A$40,'Dwelling stock'!$H$4:$H$40)+N45*LOOKUP(N2,'Dwelling stock'!$A$4:$A$40,'Dwelling stock'!$I$4:$I$40)+N46*LOOKUP(N2,'Dwelling stock'!$A$4:$A$40,'Dwelling stock'!$J$4:$J$40))/LOOKUP(N2,'Dwelling stock'!$A$4:$A$40,'Dwelling stock'!$K$4:$K$40)</f>
        <v>3555.0182625897469</v>
      </c>
      <c r="O47" s="357">
        <f>(LOOKUP(O2,'Dwelling stock'!$A$4:$A$40,'Dwelling stock'!$E$4:$E$40)*O41+O42*LOOKUP(O2,'Dwelling stock'!$A$4:$A$40,'Dwelling stock'!$F$4:$F$40)+O43*LOOKUP(O2,'Dwelling stock'!$A$4:$A$40,'Dwelling stock'!$G$4:$G$40)+O44*LOOKUP(O2,'Dwelling stock'!$A$4:$A$40,'Dwelling stock'!$H$4:$H$40)+O45*LOOKUP(O2,'Dwelling stock'!$A$4:$A$40,'Dwelling stock'!$I$4:$I$40)+O46*LOOKUP(O2,'Dwelling stock'!$A$4:$A$40,'Dwelling stock'!$J$4:$J$40))/LOOKUP(O2,'Dwelling stock'!$A$4:$A$40,'Dwelling stock'!$K$4:$K$40)</f>
        <v>5205.0115406236227</v>
      </c>
      <c r="P47" s="357">
        <f>(LOOKUP(P2,'Dwelling stock'!$A$4:$A$40,'Dwelling stock'!$E$4:$E$40)*P41+P42*LOOKUP(P2,'Dwelling stock'!$A$4:$A$40,'Dwelling stock'!$F$4:$F$40)+P43*LOOKUP(P2,'Dwelling stock'!$A$4:$A$40,'Dwelling stock'!$G$4:$G$40)+P44*LOOKUP(P2,'Dwelling stock'!$A$4:$A$40,'Dwelling stock'!$H$4:$H$40)+P45*LOOKUP(P2,'Dwelling stock'!$A$4:$A$40,'Dwelling stock'!$I$4:$I$40)+P46*LOOKUP(P2,'Dwelling stock'!$A$4:$A$40,'Dwelling stock'!$J$4:$J$40))/LOOKUP(P2,'Dwelling stock'!$A$4:$A$40,'Dwelling stock'!$K$4:$K$40)</f>
        <v>6531.8715965947749</v>
      </c>
      <c r="Q47" s="357">
        <f>(LOOKUP(Q2,'Dwelling stock'!$A$4:$A$40,'Dwelling stock'!$E$4:$E$40)*Q41+Q42*LOOKUP(Q2,'Dwelling stock'!$A$4:$A$40,'Dwelling stock'!$F$4:$F$40)+Q43*LOOKUP(Q2,'Dwelling stock'!$A$4:$A$40,'Dwelling stock'!$G$4:$G$40)+Q44*LOOKUP(Q2,'Dwelling stock'!$A$4:$A$40,'Dwelling stock'!$H$4:$H$40)+Q45*LOOKUP(Q2,'Dwelling stock'!$A$4:$A$40,'Dwelling stock'!$I$4:$I$40)+Q46*LOOKUP(Q2,'Dwelling stock'!$A$4:$A$40,'Dwelling stock'!$J$4:$J$40))/LOOKUP(Q2,'Dwelling stock'!$A$4:$A$40,'Dwelling stock'!$K$4:$K$40)</f>
        <v>4518.4128964839756</v>
      </c>
      <c r="R47" s="357">
        <f>(LOOKUP(R2,'Dwelling stock'!$A$4:$A$40,'Dwelling stock'!$E$4:$E$40)*R41+R42*LOOKUP(R2,'Dwelling stock'!$A$4:$A$40,'Dwelling stock'!$F$4:$F$40)+R43*LOOKUP(R2,'Dwelling stock'!$A$4:$A$40,'Dwelling stock'!$G$4:$G$40)+R44*LOOKUP(R2,'Dwelling stock'!$A$4:$A$40,'Dwelling stock'!$H$4:$H$40)+R45*LOOKUP(R2,'Dwelling stock'!$A$4:$A$40,'Dwelling stock'!$I$4:$I$40)+R46*LOOKUP(R2,'Dwelling stock'!$A$4:$A$40,'Dwelling stock'!$J$4:$J$40))/LOOKUP(R2,'Dwelling stock'!$A$4:$A$40,'Dwelling stock'!$K$4:$K$40)</f>
        <v>4050.708109514957</v>
      </c>
      <c r="S47" s="357">
        <f>(LOOKUP(S2,'Dwelling stock'!$A$4:$A$40,'Dwelling stock'!$E$4:$E$40)*S41+S42*LOOKUP(S2,'Dwelling stock'!$A$4:$A$40,'Dwelling stock'!$F$4:$F$40)+S43*LOOKUP(S2,'Dwelling stock'!$A$4:$A$40,'Dwelling stock'!$G$4:$G$40)+S44*LOOKUP(S2,'Dwelling stock'!$A$4:$A$40,'Dwelling stock'!$H$4:$H$40)+S45*LOOKUP(S2,'Dwelling stock'!$A$4:$A$40,'Dwelling stock'!$I$4:$I$40)+S46*LOOKUP(S2,'Dwelling stock'!$A$4:$A$40,'Dwelling stock'!$J$4:$J$40))/LOOKUP(S2,'Dwelling stock'!$A$4:$A$40,'Dwelling stock'!$K$4:$K$40)</f>
        <v>3394.4554171970294</v>
      </c>
      <c r="T47" s="357">
        <f>(LOOKUP(T2,'Dwelling stock'!$A$4:$A$40,'Dwelling stock'!$E$4:$E$40)*T41+T42*LOOKUP(T2,'Dwelling stock'!$A$4:$A$40,'Dwelling stock'!$F$4:$F$40)+T43*LOOKUP(T2,'Dwelling stock'!$A$4:$A$40,'Dwelling stock'!$G$4:$G$40)+T44*LOOKUP(T2,'Dwelling stock'!$A$4:$A$40,'Dwelling stock'!$H$4:$H$40)+T45*LOOKUP(T2,'Dwelling stock'!$A$4:$A$40,'Dwelling stock'!$I$4:$I$40)+T46*LOOKUP(T2,'Dwelling stock'!$A$4:$A$40,'Dwelling stock'!$J$4:$J$40))/LOOKUP(T2,'Dwelling stock'!$A$4:$A$40,'Dwelling stock'!$K$4:$K$40)</f>
        <v>3882.8502983297553</v>
      </c>
      <c r="U47" s="357">
        <f>(LOOKUP(U2,'Dwelling stock'!$A$4:$A$40,'Dwelling stock'!$E$4:$E$40)*U41+U42*LOOKUP(U2,'Dwelling stock'!$A$4:$A$40,'Dwelling stock'!$F$4:$F$40)+U43*LOOKUP(U2,'Dwelling stock'!$A$4:$A$40,'Dwelling stock'!$G$4:$G$40)+U44*LOOKUP(U2,'Dwelling stock'!$A$4:$A$40,'Dwelling stock'!$H$4:$H$40)+U45*LOOKUP(U2,'Dwelling stock'!$A$4:$A$40,'Dwelling stock'!$I$4:$I$40)+U46*LOOKUP(U2,'Dwelling stock'!$A$4:$A$40,'Dwelling stock'!$J$4:$J$40))/LOOKUP(U2,'Dwelling stock'!$A$4:$A$40,'Dwelling stock'!$K$4:$K$40)</f>
        <v>5646.5790107711764</v>
      </c>
      <c r="V47" s="357">
        <f>(LOOKUP(V2,'Dwelling stock'!$A$4:$A$40,'Dwelling stock'!$E$4:$E$40)*V41+V42*LOOKUP(V2,'Dwelling stock'!$A$4:$A$40,'Dwelling stock'!$F$4:$F$40)+V43*LOOKUP(V2,'Dwelling stock'!$A$4:$A$40,'Dwelling stock'!$G$4:$G$40)+V44*LOOKUP(V2,'Dwelling stock'!$A$4:$A$40,'Dwelling stock'!$H$4:$H$40)+V45*LOOKUP(V2,'Dwelling stock'!$A$4:$A$40,'Dwelling stock'!$I$4:$I$40)+V46*LOOKUP(V2,'Dwelling stock'!$A$4:$A$40,'Dwelling stock'!$J$4:$J$40))/LOOKUP(V2,'Dwelling stock'!$A$4:$A$40,'Dwelling stock'!$K$4:$K$40)</f>
        <v>4442.6755622791325</v>
      </c>
      <c r="W47" s="357">
        <f>(LOOKUP(W2,'Dwelling stock'!$A$4:$A$40,'Dwelling stock'!$E$4:$E$40)*W41+W42*LOOKUP(W2,'Dwelling stock'!$A$4:$A$40,'Dwelling stock'!$F$4:$F$40)+W43*LOOKUP(W2,'Dwelling stock'!$A$4:$A$40,'Dwelling stock'!$G$4:$G$40)+W44*LOOKUP(W2,'Dwelling stock'!$A$4:$A$40,'Dwelling stock'!$H$4:$H$40)+W45*LOOKUP(W2,'Dwelling stock'!$A$4:$A$40,'Dwelling stock'!$I$4:$I$40)+W46*LOOKUP(W2,'Dwelling stock'!$A$4:$A$40,'Dwelling stock'!$J$4:$J$40))/LOOKUP(W2,'Dwelling stock'!$A$4:$A$40,'Dwelling stock'!$K$4:$K$40)</f>
        <v>5777.8802193819238</v>
      </c>
      <c r="X47" s="357">
        <f>(LOOKUP(X2,'Dwelling stock'!$A$4:$A$40,'Dwelling stock'!$E$4:$E$40)*X41+X42*LOOKUP(X2,'Dwelling stock'!$A$4:$A$40,'Dwelling stock'!$F$4:$F$40)+X43*LOOKUP(X2,'Dwelling stock'!$A$4:$A$40,'Dwelling stock'!$G$4:$G$40)+X44*LOOKUP(X2,'Dwelling stock'!$A$4:$A$40,'Dwelling stock'!$H$4:$H$40)+X45*LOOKUP(X2,'Dwelling stock'!$A$4:$A$40,'Dwelling stock'!$I$4:$I$40)+X46*LOOKUP(X2,'Dwelling stock'!$A$4:$A$40,'Dwelling stock'!$J$4:$J$40))/LOOKUP(X2,'Dwelling stock'!$A$4:$A$40,'Dwelling stock'!$K$4:$K$40)</f>
        <v>4926.2944322779804</v>
      </c>
      <c r="Y47" s="357">
        <f>(LOOKUP(Y2,'Dwelling stock'!$A$4:$A$40,'Dwelling stock'!$E$4:$E$40)*Y41+Y42*LOOKUP(Y2,'Dwelling stock'!$A$4:$A$40,'Dwelling stock'!$F$4:$F$40)+Y43*LOOKUP(Y2,'Dwelling stock'!$A$4:$A$40,'Dwelling stock'!$G$4:$G$40)+Y44*LOOKUP(Y2,'Dwelling stock'!$A$4:$A$40,'Dwelling stock'!$H$4:$H$40)+Y45*LOOKUP(Y2,'Dwelling stock'!$A$4:$A$40,'Dwelling stock'!$I$4:$I$40)+Y46*LOOKUP(Y2,'Dwelling stock'!$A$4:$A$40,'Dwelling stock'!$J$4:$J$40))/LOOKUP(Y2,'Dwelling stock'!$A$4:$A$40,'Dwelling stock'!$K$4:$K$40)</f>
        <v>2016.693104861957</v>
      </c>
      <c r="Z47" s="357">
        <f>(LOOKUP(Z2,'Dwelling stock'!$A$4:$A$40,'Dwelling stock'!$E$4:$E$40)*Z41+Z42*LOOKUP(Z2,'Dwelling stock'!$A$4:$A$40,'Dwelling stock'!$F$4:$F$40)+Z43*LOOKUP(Z2,'Dwelling stock'!$A$4:$A$40,'Dwelling stock'!$G$4:$G$40)+Z44*LOOKUP(Z2,'Dwelling stock'!$A$4:$A$40,'Dwelling stock'!$H$4:$H$40)+Z45*LOOKUP(Z2,'Dwelling stock'!$A$4:$A$40,'Dwelling stock'!$I$4:$I$40)+Z46*LOOKUP(Z2,'Dwelling stock'!$A$4:$A$40,'Dwelling stock'!$J$4:$J$40))/LOOKUP(Z2,'Dwelling stock'!$A$4:$A$40,'Dwelling stock'!$K$4:$K$40)</f>
        <v>5858.7315832824097</v>
      </c>
      <c r="AA47" s="357">
        <f>(LOOKUP(AA2,'Dwelling stock'!$A$4:$A$40,'Dwelling stock'!$E$4:$E$40)*AA41+AA42*LOOKUP(AA2,'Dwelling stock'!$A$4:$A$40,'Dwelling stock'!$F$4:$F$40)+AA43*LOOKUP(AA2,'Dwelling stock'!$A$4:$A$40,'Dwelling stock'!$G$4:$G$40)+AA44*LOOKUP(AA2,'Dwelling stock'!$A$4:$A$40,'Dwelling stock'!$H$4:$H$40)+AA45*LOOKUP(AA2,'Dwelling stock'!$A$4:$A$40,'Dwelling stock'!$I$4:$I$40)+AA46*LOOKUP(AA2,'Dwelling stock'!$A$4:$A$40,'Dwelling stock'!$J$4:$J$40))/LOOKUP(AA2,'Dwelling stock'!$A$4:$A$40,'Dwelling stock'!$K$4:$K$40)</f>
        <v>4444.9990536428695</v>
      </c>
      <c r="AB47" s="357">
        <f>(LOOKUP(AB2,'Dwelling stock'!$A$4:$A$40,'Dwelling stock'!$E$4:$E$40)*AB41+AB42*LOOKUP(AB2,'Dwelling stock'!$A$4:$A$40,'Dwelling stock'!$F$4:$F$40)+AB43*LOOKUP(AB2,'Dwelling stock'!$A$4:$A$40,'Dwelling stock'!$G$4:$G$40)+AB44*LOOKUP(AB2,'Dwelling stock'!$A$4:$A$40,'Dwelling stock'!$H$4:$H$40)+AB45*LOOKUP(AB2,'Dwelling stock'!$A$4:$A$40,'Dwelling stock'!$I$4:$I$40)+AB46*LOOKUP(AB2,'Dwelling stock'!$A$4:$A$40,'Dwelling stock'!$J$4:$J$40))/LOOKUP(AB2,'Dwelling stock'!$A$4:$A$40,'Dwelling stock'!$K$4:$K$40)</f>
        <v>4354.0800025420685</v>
      </c>
      <c r="AC47" s="357">
        <f>(LOOKUP(AC2,'Dwelling stock'!$A$4:$A$40,'Dwelling stock'!$E$4:$E$40)*AC41+AC42*LOOKUP(AC2,'Dwelling stock'!$A$4:$A$40,'Dwelling stock'!$F$4:$F$40)+AC43*LOOKUP(AC2,'Dwelling stock'!$A$4:$A$40,'Dwelling stock'!$G$4:$G$40)+AC44*LOOKUP(AC2,'Dwelling stock'!$A$4:$A$40,'Dwelling stock'!$H$4:$H$40)+AC45*LOOKUP(AC2,'Dwelling stock'!$A$4:$A$40,'Dwelling stock'!$I$4:$I$40)+AC46*LOOKUP(AC2,'Dwelling stock'!$A$4:$A$40,'Dwelling stock'!$J$4:$J$40))/LOOKUP(AC2,'Dwelling stock'!$A$4:$A$40,'Dwelling stock'!$K$4:$K$40)</f>
        <v>3869.1335417095524</v>
      </c>
      <c r="AD47" s="357">
        <f>(LOOKUP(AD2,'Dwelling stock'!$A$4:$A$40,'Dwelling stock'!$E$4:$E$40)*AD41+AD42*LOOKUP(AD2,'Dwelling stock'!$A$4:$A$40,'Dwelling stock'!$F$4:$F$40)+AD43*LOOKUP(AD2,'Dwelling stock'!$A$4:$A$40,'Dwelling stock'!$G$4:$G$40)+AD44*LOOKUP(AD2,'Dwelling stock'!$A$4:$A$40,'Dwelling stock'!$H$4:$H$40)+AD45*LOOKUP(AD2,'Dwelling stock'!$A$4:$A$40,'Dwelling stock'!$I$4:$I$40)+AD46*LOOKUP(AD2,'Dwelling stock'!$A$4:$A$40,'Dwelling stock'!$J$4:$J$40))/LOOKUP(AD2,'Dwelling stock'!$A$4:$A$40,'Dwelling stock'!$K$4:$K$40)</f>
        <v>3503.4387659925669</v>
      </c>
      <c r="AE47" s="357">
        <f>(LOOKUP(AE2,'Dwelling stock'!$A$4:$A$40,'Dwelling stock'!$E$4:$E$40)*AE41+AE42*LOOKUP(AE2,'Dwelling stock'!$A$4:$A$40,'Dwelling stock'!$F$4:$F$40)+AE43*LOOKUP(AE2,'Dwelling stock'!$A$4:$A$40,'Dwelling stock'!$G$4:$G$40)+AE44*LOOKUP(AE2,'Dwelling stock'!$A$4:$A$40,'Dwelling stock'!$H$4:$H$40)+AE45*LOOKUP(AE2,'Dwelling stock'!$A$4:$A$40,'Dwelling stock'!$I$4:$I$40)+AE46*LOOKUP(AE2,'Dwelling stock'!$A$4:$A$40,'Dwelling stock'!$J$4:$J$40))/LOOKUP(AE2,'Dwelling stock'!$A$4:$A$40,'Dwelling stock'!$K$4:$K$40)</f>
        <v>4632.1244958179341</v>
      </c>
      <c r="AF47" s="357">
        <f>(LOOKUP(AF2,'Dwelling stock'!$A$4:$A$40,'Dwelling stock'!$E$4:$E$40)*AF41+AF42*LOOKUP(AF2,'Dwelling stock'!$A$4:$A$40,'Dwelling stock'!$F$4:$F$40)+AF43*LOOKUP(AF2,'Dwelling stock'!$A$4:$A$40,'Dwelling stock'!$G$4:$G$40)+AF44*LOOKUP(AF2,'Dwelling stock'!$A$4:$A$40,'Dwelling stock'!$H$4:$H$40)+AF45*LOOKUP(AF2,'Dwelling stock'!$A$4:$A$40,'Dwelling stock'!$I$4:$I$40)+AF46*LOOKUP(AF2,'Dwelling stock'!$A$4:$A$40,'Dwelling stock'!$J$4:$J$40))/LOOKUP(AF2,'Dwelling stock'!$A$4:$A$40,'Dwelling stock'!$K$4:$K$40)</f>
        <v>4335.6154078015998</v>
      </c>
      <c r="AG47" s="357">
        <f>(LOOKUP(AG2,'Dwelling stock'!$A$4:$A$40,'Dwelling stock'!$E$4:$E$40)*AG41+AG42*LOOKUP(AG2,'Dwelling stock'!$A$4:$A$40,'Dwelling stock'!$F$4:$F$40)+AG43*LOOKUP(AG2,'Dwelling stock'!$A$4:$A$40,'Dwelling stock'!$G$4:$G$40)+AG44*LOOKUP(AG2,'Dwelling stock'!$A$4:$A$40,'Dwelling stock'!$H$4:$H$40)+AG45*LOOKUP(AG2,'Dwelling stock'!$A$4:$A$40,'Dwelling stock'!$I$4:$I$40)+AG46*LOOKUP(AG2,'Dwelling stock'!$A$4:$A$40,'Dwelling stock'!$J$4:$J$40))/LOOKUP(AG2,'Dwelling stock'!$A$4:$A$40,'Dwelling stock'!$K$4:$K$40)</f>
        <v>6348.7201613116449</v>
      </c>
      <c r="AH47" s="357">
        <f>(LOOKUP(AH2,'Dwelling stock'!$A$4:$A$40,'Dwelling stock'!$E$4:$E$40)*AH41+AH42*LOOKUP(AH2,'Dwelling stock'!$A$4:$A$40,'Dwelling stock'!$F$4:$F$40)+AH43*LOOKUP(AH2,'Dwelling stock'!$A$4:$A$40,'Dwelling stock'!$G$4:$G$40)+AH44*LOOKUP(AH2,'Dwelling stock'!$A$4:$A$40,'Dwelling stock'!$H$4:$H$40)+AH45*LOOKUP(AH2,'Dwelling stock'!$A$4:$A$40,'Dwelling stock'!$I$4:$I$40)+AH46*LOOKUP(AH2,'Dwelling stock'!$A$4:$A$40,'Dwelling stock'!$J$4:$J$40))/LOOKUP(AH2,'Dwelling stock'!$A$4:$A$40,'Dwelling stock'!$K$4:$K$40)</f>
        <v>3762.3408891660647</v>
      </c>
      <c r="AI47" s="357">
        <f>(LOOKUP(AI2,'Dwelling stock'!$A$4:$A$40,'Dwelling stock'!$E$4:$E$40)*AI41+AI42*LOOKUP(AI2,'Dwelling stock'!$A$4:$A$40,'Dwelling stock'!$F$4:$F$40)+AI43*LOOKUP(AI2,'Dwelling stock'!$A$4:$A$40,'Dwelling stock'!$G$4:$G$40)+AI44*LOOKUP(AI2,'Dwelling stock'!$A$4:$A$40,'Dwelling stock'!$H$4:$H$40)+AI45*LOOKUP(AI2,'Dwelling stock'!$A$4:$A$40,'Dwelling stock'!$I$4:$I$40)+AI46*LOOKUP(AI2,'Dwelling stock'!$A$4:$A$40,'Dwelling stock'!$J$4:$J$40))/LOOKUP(AI2,'Dwelling stock'!$A$4:$A$40,'Dwelling stock'!$K$4:$K$40)</f>
        <v>5210.2245338821504</v>
      </c>
      <c r="AJ47" s="357">
        <f>(LOOKUP(AJ2,'Dwelling stock'!$A$4:$A$40,'Dwelling stock'!$E$4:$E$40)*AJ41+AJ42*LOOKUP(AJ2,'Dwelling stock'!$A$4:$A$40,'Dwelling stock'!$F$4:$F$40)+AJ43*LOOKUP(AJ2,'Dwelling stock'!$A$4:$A$40,'Dwelling stock'!$G$4:$G$40)+AJ44*LOOKUP(AJ2,'Dwelling stock'!$A$4:$A$40,'Dwelling stock'!$H$4:$H$40)+AJ45*LOOKUP(AJ2,'Dwelling stock'!$A$4:$A$40,'Dwelling stock'!$I$4:$I$40)+AJ46*LOOKUP(AJ2,'Dwelling stock'!$A$4:$A$40,'Dwelling stock'!$J$4:$J$40))/LOOKUP(AJ2,'Dwelling stock'!$A$4:$A$40,'Dwelling stock'!$K$4:$K$40)</f>
        <v>5348.0660687597037</v>
      </c>
      <c r="AK47" s="357">
        <f>(LOOKUP(AK2,'Dwelling stock'!$A$4:$A$40,'Dwelling stock'!$E$4:$E$40)*AK41+AK42*LOOKUP(AK2,'Dwelling stock'!$A$4:$A$40,'Dwelling stock'!$F$4:$F$40)+AK43*LOOKUP(AK2,'Dwelling stock'!$A$4:$A$40,'Dwelling stock'!$G$4:$G$40)+AK44*LOOKUP(AK2,'Dwelling stock'!$A$4:$A$40,'Dwelling stock'!$H$4:$H$40)+AK45*LOOKUP(AK2,'Dwelling stock'!$A$4:$A$40,'Dwelling stock'!$I$4:$I$40)+AK46*LOOKUP(AK2,'Dwelling stock'!$A$4:$A$40,'Dwelling stock'!$J$4:$J$40))/LOOKUP(AK2,'Dwelling stock'!$A$4:$A$40,'Dwelling stock'!$K$4:$K$40)</f>
        <v>5127.7981757343441</v>
      </c>
      <c r="AL47" s="357">
        <f>(LOOKUP(AL2,'Dwelling stock'!$A$4:$A$40,'Dwelling stock'!$E$4:$E$40)*AL41+AL42*LOOKUP(AL2,'Dwelling stock'!$A$4:$A$40,'Dwelling stock'!$F$4:$F$40)+AL43*LOOKUP(AL2,'Dwelling stock'!$A$4:$A$40,'Dwelling stock'!$G$4:$G$40)+AL44*LOOKUP(AL2,'Dwelling stock'!$A$4:$A$40,'Dwelling stock'!$H$4:$H$40)+AL45*LOOKUP(AL2,'Dwelling stock'!$A$4:$A$40,'Dwelling stock'!$I$4:$I$40)+AL46*LOOKUP(AL2,'Dwelling stock'!$A$4:$A$40,'Dwelling stock'!$J$4:$J$40))/LOOKUP(AL2,'Dwelling stock'!$A$4:$A$40,'Dwelling stock'!$K$4:$K$40)</f>
        <v>4680.7814395587639</v>
      </c>
      <c r="AM47" s="357">
        <f>(LOOKUP(AM2,'Dwelling stock'!$A$4:$A$40,'Dwelling stock'!$E$4:$E$40)*AM41+AM42*LOOKUP(AM2,'Dwelling stock'!$A$4:$A$40,'Dwelling stock'!$F$4:$F$40)+AM43*LOOKUP(AM2,'Dwelling stock'!$A$4:$A$40,'Dwelling stock'!$G$4:$G$40)+AM44*LOOKUP(AM2,'Dwelling stock'!$A$4:$A$40,'Dwelling stock'!$H$4:$H$40)+AM45*LOOKUP(AM2,'Dwelling stock'!$A$4:$A$40,'Dwelling stock'!$I$4:$I$40)+AM46*LOOKUP(AM2,'Dwelling stock'!$A$4:$A$40,'Dwelling stock'!$J$4:$J$40))/LOOKUP(AM2,'Dwelling stock'!$A$4:$A$40,'Dwelling stock'!$K$4:$K$40)</f>
        <v>4917.9512411900505</v>
      </c>
      <c r="AN47" s="358">
        <f>(LOOKUP(AN2,'Dwelling stock'!$A$4:$A$40,'Dwelling stock'!$E$4:$E$40)*AN41+AN42*LOOKUP(AN2,'Dwelling stock'!$A$4:$A$40,'Dwelling stock'!$F$4:$F$40)+AN43*LOOKUP(AN2,'Dwelling stock'!$A$4:$A$40,'Dwelling stock'!$G$4:$G$40)+AN44*LOOKUP(AN2,'Dwelling stock'!$A$4:$A$40,'Dwelling stock'!$H$4:$H$40)+AN45*LOOKUP(AN2,'Dwelling stock'!$A$4:$A$40,'Dwelling stock'!$I$4:$I$40)+AN46*LOOKUP(AN2,'Dwelling stock'!$A$4:$A$40,'Dwelling stock'!$J$4:$J$40))/LOOKUP(AN2,'Dwelling stock'!$A$4:$A$40,'Dwelling stock'!$K$4:$K$40)</f>
        <v>4917.9512411900505</v>
      </c>
    </row>
    <row r="48" spans="1:40" s="135" customFormat="1">
      <c r="A48" s="334" t="s">
        <v>262</v>
      </c>
      <c r="B48" s="359" t="s">
        <v>2</v>
      </c>
      <c r="C48" s="366" t="s">
        <v>190</v>
      </c>
      <c r="D48" s="369">
        <f t="shared" ref="D48:AN48" si="19">D41/D$4</f>
        <v>105.80311232822746</v>
      </c>
      <c r="E48" s="370">
        <f t="shared" si="19"/>
        <v>102.72948510282734</v>
      </c>
      <c r="F48" s="370">
        <f t="shared" si="19"/>
        <v>68.125638186090114</v>
      </c>
      <c r="G48" s="370">
        <f t="shared" si="19"/>
        <v>103.07958509426079</v>
      </c>
      <c r="H48" s="370">
        <f t="shared" si="19"/>
        <v>34.37015918524483</v>
      </c>
      <c r="I48" s="370">
        <f t="shared" si="19"/>
        <v>86.813578416364834</v>
      </c>
      <c r="J48" s="370">
        <f t="shared" si="19"/>
        <v>119.78888627917</v>
      </c>
      <c r="K48" s="370">
        <f t="shared" si="19"/>
        <v>57.062105170008394</v>
      </c>
      <c r="L48" s="370">
        <f t="shared" si="19"/>
        <v>70.914533510625077</v>
      </c>
      <c r="M48" s="370">
        <f t="shared" si="19"/>
        <v>100.59077594091663</v>
      </c>
      <c r="N48" s="370">
        <f t="shared" si="19"/>
        <v>79.645497721193394</v>
      </c>
      <c r="O48" s="370">
        <f t="shared" si="19"/>
        <v>118.98907215027576</v>
      </c>
      <c r="P48" s="370">
        <f t="shared" si="19"/>
        <v>93.694666550953457</v>
      </c>
      <c r="Q48" s="370">
        <f t="shared" si="19"/>
        <v>79.80458247989506</v>
      </c>
      <c r="R48" s="370">
        <f t="shared" si="19"/>
        <v>105.87874005842494</v>
      </c>
      <c r="S48" s="370">
        <f t="shared" si="19"/>
        <v>72.638172238938068</v>
      </c>
      <c r="T48" s="370">
        <f t="shared" si="19"/>
        <v>88.413747171560544</v>
      </c>
      <c r="U48" s="370">
        <f t="shared" si="19"/>
        <v>70.78882508512568</v>
      </c>
      <c r="V48" s="370">
        <f t="shared" si="19"/>
        <v>104.08989249927821</v>
      </c>
      <c r="W48" s="370">
        <f t="shared" si="19"/>
        <v>84.580929560718957</v>
      </c>
      <c r="X48" s="370">
        <f t="shared" si="19"/>
        <v>116.32368484904522</v>
      </c>
      <c r="Y48" s="370">
        <f t="shared" si="19"/>
        <v>27.284703310606531</v>
      </c>
      <c r="Z48" s="370">
        <f t="shared" si="19"/>
        <v>105.30253825123462</v>
      </c>
      <c r="AA48" s="370">
        <f t="shared" si="19"/>
        <v>81.59983316286052</v>
      </c>
      <c r="AB48" s="370">
        <f t="shared" si="19"/>
        <v>125.68111715855989</v>
      </c>
      <c r="AC48" s="370">
        <f t="shared" si="19"/>
        <v>48.187023151536266</v>
      </c>
      <c r="AD48" s="370">
        <f t="shared" si="19"/>
        <v>83.686094127407713</v>
      </c>
      <c r="AE48" s="370">
        <f t="shared" si="19"/>
        <v>78.680391735496414</v>
      </c>
      <c r="AF48" s="370">
        <f t="shared" si="19"/>
        <v>98.393869877157385</v>
      </c>
      <c r="AG48" s="370">
        <f t="shared" si="19"/>
        <v>126.54600242002154</v>
      </c>
      <c r="AH48" s="370">
        <f t="shared" si="19"/>
        <v>89.143170072397467</v>
      </c>
      <c r="AI48" s="370">
        <f t="shared" si="19"/>
        <v>74.628478923212938</v>
      </c>
      <c r="AJ48" s="370">
        <f t="shared" si="19"/>
        <v>89.341720707415405</v>
      </c>
      <c r="AK48" s="370">
        <f t="shared" si="19"/>
        <v>74.720473369744255</v>
      </c>
      <c r="AL48" s="370">
        <f t="shared" si="19"/>
        <v>86.731315538754671</v>
      </c>
      <c r="AM48" s="370">
        <f t="shared" si="19"/>
        <v>82.156469384265989</v>
      </c>
      <c r="AN48" s="371">
        <f t="shared" si="19"/>
        <v>82.156469384265989</v>
      </c>
    </row>
    <row r="49" spans="1:40" s="135" customFormat="1">
      <c r="A49" s="154"/>
      <c r="B49" s="347" t="s">
        <v>3</v>
      </c>
      <c r="C49" s="367" t="s">
        <v>190</v>
      </c>
      <c r="D49" s="369">
        <f t="shared" ref="D49:AN49" si="20">D42/D$4</f>
        <v>95.572711179552996</v>
      </c>
      <c r="E49" s="370">
        <f t="shared" si="20"/>
        <v>102.72948510282734</v>
      </c>
      <c r="F49" s="370">
        <f t="shared" si="20"/>
        <v>68.125638186090114</v>
      </c>
      <c r="G49" s="370">
        <f t="shared" si="20"/>
        <v>93.1125294703983</v>
      </c>
      <c r="H49" s="370">
        <f t="shared" si="20"/>
        <v>31.559453203294865</v>
      </c>
      <c r="I49" s="370">
        <f t="shared" si="20"/>
        <v>78.243543336004876</v>
      </c>
      <c r="J49" s="370">
        <f t="shared" si="20"/>
        <v>98.870327862758614</v>
      </c>
      <c r="K49" s="370">
        <f t="shared" si="20"/>
        <v>56.046061037850421</v>
      </c>
      <c r="L49" s="370">
        <f t="shared" si="20"/>
        <v>70.914533510625077</v>
      </c>
      <c r="M49" s="370">
        <f t="shared" si="20"/>
        <v>90.384904007845833</v>
      </c>
      <c r="N49" s="370">
        <f t="shared" si="20"/>
        <v>74.835566699326677</v>
      </c>
      <c r="O49" s="370">
        <f t="shared" si="20"/>
        <v>118.98907215027576</v>
      </c>
      <c r="P49" s="370">
        <f t="shared" si="20"/>
        <v>93.694666550953457</v>
      </c>
      <c r="Q49" s="370">
        <f t="shared" si="20"/>
        <v>85.147422072873113</v>
      </c>
      <c r="R49" s="370">
        <f t="shared" si="20"/>
        <v>105.87874005842494</v>
      </c>
      <c r="S49" s="370">
        <f t="shared" si="20"/>
        <v>73.390958007025773</v>
      </c>
      <c r="T49" s="370">
        <f t="shared" si="20"/>
        <v>83.153865519864226</v>
      </c>
      <c r="U49" s="370">
        <f t="shared" si="20"/>
        <v>66.691900318876705</v>
      </c>
      <c r="V49" s="370">
        <f t="shared" si="20"/>
        <v>104.08989249927821</v>
      </c>
      <c r="W49" s="370">
        <f t="shared" si="20"/>
        <v>94.092332031323522</v>
      </c>
      <c r="X49" s="370">
        <f t="shared" si="20"/>
        <v>114.62458041995497</v>
      </c>
      <c r="Y49" s="370">
        <f t="shared" si="20"/>
        <v>27.262799841837278</v>
      </c>
      <c r="Z49" s="370">
        <f t="shared" si="20"/>
        <v>88.619253363016597</v>
      </c>
      <c r="AA49" s="370">
        <f t="shared" si="20"/>
        <v>81.228890087349114</v>
      </c>
      <c r="AB49" s="370">
        <f t="shared" si="20"/>
        <v>93.339576840609695</v>
      </c>
      <c r="AC49" s="370">
        <f t="shared" si="20"/>
        <v>42.482885054582972</v>
      </c>
      <c r="AD49" s="370">
        <f t="shared" si="20"/>
        <v>76.845258323864414</v>
      </c>
      <c r="AE49" s="370">
        <f t="shared" si="20"/>
        <v>78.322720091308653</v>
      </c>
      <c r="AF49" s="370">
        <f t="shared" si="20"/>
        <v>98.393869877157385</v>
      </c>
      <c r="AG49" s="370">
        <f t="shared" si="20"/>
        <v>109.04373423517356</v>
      </c>
      <c r="AH49" s="370">
        <f t="shared" si="20"/>
        <v>92.989039224911679</v>
      </c>
      <c r="AI49" s="370">
        <f t="shared" si="20"/>
        <v>74.628478923212938</v>
      </c>
      <c r="AJ49" s="370">
        <f t="shared" si="20"/>
        <v>89.341720707415405</v>
      </c>
      <c r="AK49" s="370">
        <f t="shared" si="20"/>
        <v>74.720473369744255</v>
      </c>
      <c r="AL49" s="370">
        <f t="shared" si="20"/>
        <v>86.731315538754671</v>
      </c>
      <c r="AM49" s="370">
        <f t="shared" si="20"/>
        <v>82.156469384265989</v>
      </c>
      <c r="AN49" s="371">
        <f t="shared" si="20"/>
        <v>82.156469384265989</v>
      </c>
    </row>
    <row r="50" spans="1:40" s="135" customFormat="1">
      <c r="A50" s="154"/>
      <c r="B50" s="347" t="s">
        <v>4</v>
      </c>
      <c r="C50" s="367" t="s">
        <v>190</v>
      </c>
      <c r="D50" s="369">
        <f t="shared" ref="D50:AN50" si="21">D43/D$4</f>
        <v>78.030034891751598</v>
      </c>
      <c r="E50" s="370">
        <f t="shared" si="21"/>
        <v>102.72948510282734</v>
      </c>
      <c r="F50" s="370">
        <f t="shared" si="21"/>
        <v>64.540020876636547</v>
      </c>
      <c r="G50" s="370">
        <f t="shared" si="21"/>
        <v>76.021427390341088</v>
      </c>
      <c r="H50" s="370">
        <f t="shared" si="21"/>
        <v>31.816320544354735</v>
      </c>
      <c r="I50" s="370">
        <f t="shared" si="21"/>
        <v>78.243543336004876</v>
      </c>
      <c r="J50" s="370">
        <f t="shared" si="21"/>
        <v>67.345264027670851</v>
      </c>
      <c r="K50" s="370">
        <f t="shared" si="21"/>
        <v>40.349935470539371</v>
      </c>
      <c r="L50" s="370">
        <f t="shared" si="21"/>
        <v>58.801861324957862</v>
      </c>
      <c r="M50" s="370">
        <f t="shared" si="21"/>
        <v>90.384904007845833</v>
      </c>
      <c r="N50" s="370">
        <f t="shared" si="21"/>
        <v>63.333160160519938</v>
      </c>
      <c r="O50" s="370">
        <f t="shared" si="21"/>
        <v>60.358821031259602</v>
      </c>
      <c r="P50" s="370">
        <f t="shared" si="21"/>
        <v>93.694666550953457</v>
      </c>
      <c r="Q50" s="370">
        <f t="shared" si="21"/>
        <v>74.228318362783838</v>
      </c>
      <c r="R50" s="370">
        <f t="shared" si="21"/>
        <v>92.567262796623723</v>
      </c>
      <c r="S50" s="370">
        <f t="shared" si="21"/>
        <v>65.929285139742291</v>
      </c>
      <c r="T50" s="370">
        <f t="shared" si="21"/>
        <v>68.829209062671367</v>
      </c>
      <c r="U50" s="370">
        <f t="shared" si="21"/>
        <v>63.663415290068436</v>
      </c>
      <c r="V50" s="370">
        <f t="shared" si="21"/>
        <v>68.760729166798143</v>
      </c>
      <c r="W50" s="370">
        <f t="shared" si="21"/>
        <v>51.615356020703445</v>
      </c>
      <c r="X50" s="370">
        <f t="shared" si="21"/>
        <v>107.16721817848645</v>
      </c>
      <c r="Y50" s="370">
        <f t="shared" si="21"/>
        <v>21.838756720554162</v>
      </c>
      <c r="Z50" s="370">
        <f t="shared" si="21"/>
        <v>87.113653218588652</v>
      </c>
      <c r="AA50" s="370">
        <f t="shared" si="21"/>
        <v>59.45780712387414</v>
      </c>
      <c r="AB50" s="370">
        <f t="shared" si="21"/>
        <v>67.616831497266901</v>
      </c>
      <c r="AC50" s="370">
        <f t="shared" si="21"/>
        <v>41.974694119285239</v>
      </c>
      <c r="AD50" s="370">
        <f t="shared" si="21"/>
        <v>76.845258323864414</v>
      </c>
      <c r="AE50" s="370">
        <f t="shared" si="21"/>
        <v>57.330552954723842</v>
      </c>
      <c r="AF50" s="370">
        <f t="shared" si="21"/>
        <v>93.45163355552458</v>
      </c>
      <c r="AG50" s="370">
        <f t="shared" si="21"/>
        <v>109.04373423517356</v>
      </c>
      <c r="AH50" s="370">
        <f t="shared" si="21"/>
        <v>78.002345421859886</v>
      </c>
      <c r="AI50" s="370">
        <f t="shared" si="21"/>
        <v>74.628478923212938</v>
      </c>
      <c r="AJ50" s="370">
        <f t="shared" si="21"/>
        <v>89.341720707415405</v>
      </c>
      <c r="AK50" s="370">
        <f t="shared" si="21"/>
        <v>74.720473369744255</v>
      </c>
      <c r="AL50" s="370">
        <f t="shared" si="21"/>
        <v>81.987311927461221</v>
      </c>
      <c r="AM50" s="370">
        <f t="shared" si="21"/>
        <v>82.156469384265989</v>
      </c>
      <c r="AN50" s="371">
        <f t="shared" si="21"/>
        <v>82.156469384265989</v>
      </c>
    </row>
    <row r="51" spans="1:40" s="135" customFormat="1">
      <c r="A51" s="154"/>
      <c r="B51" s="347" t="s">
        <v>5</v>
      </c>
      <c r="C51" s="367" t="s">
        <v>190</v>
      </c>
      <c r="D51" s="369">
        <f t="shared" ref="D51:AN51" si="22">D44/D$4</f>
        <v>55.148697048920411</v>
      </c>
      <c r="E51" s="370">
        <f t="shared" si="22"/>
        <v>88.576070720290971</v>
      </c>
      <c r="F51" s="370">
        <f t="shared" si="22"/>
        <v>56.159155758716643</v>
      </c>
      <c r="G51" s="370">
        <f t="shared" si="22"/>
        <v>53.729088730929178</v>
      </c>
      <c r="H51" s="370">
        <f t="shared" si="22"/>
        <v>31.209569435622068</v>
      </c>
      <c r="I51" s="370">
        <f t="shared" si="22"/>
        <v>71.348614355981852</v>
      </c>
      <c r="J51" s="370">
        <f t="shared" si="22"/>
        <v>57.596055386270272</v>
      </c>
      <c r="K51" s="370">
        <f t="shared" si="22"/>
        <v>34.238070363682333</v>
      </c>
      <c r="L51" s="370">
        <f t="shared" si="22"/>
        <v>44.227789117297064</v>
      </c>
      <c r="M51" s="370">
        <f t="shared" si="22"/>
        <v>63.635075414606149</v>
      </c>
      <c r="N51" s="370">
        <f t="shared" si="22"/>
        <v>52.275399216695398</v>
      </c>
      <c r="O51" s="370">
        <f t="shared" si="22"/>
        <v>52.084133157175032</v>
      </c>
      <c r="P51" s="370">
        <f t="shared" si="22"/>
        <v>92.001265513960931</v>
      </c>
      <c r="Q51" s="370">
        <f t="shared" si="22"/>
        <v>74.228318362783838</v>
      </c>
      <c r="R51" s="370">
        <f t="shared" si="22"/>
        <v>69.499572638730612</v>
      </c>
      <c r="S51" s="370">
        <f t="shared" si="22"/>
        <v>46.198705376809208</v>
      </c>
      <c r="T51" s="370">
        <f t="shared" si="22"/>
        <v>55.703732697774043</v>
      </c>
      <c r="U51" s="370">
        <f t="shared" si="22"/>
        <v>47.242154699095828</v>
      </c>
      <c r="V51" s="370">
        <f t="shared" si="22"/>
        <v>68.760729166798143</v>
      </c>
      <c r="W51" s="370">
        <f t="shared" si="22"/>
        <v>43.765777947732552</v>
      </c>
      <c r="X51" s="370">
        <f t="shared" si="22"/>
        <v>66.702127770590621</v>
      </c>
      <c r="Y51" s="370">
        <f t="shared" si="22"/>
        <v>20.75045232492154</v>
      </c>
      <c r="Z51" s="370">
        <f t="shared" si="22"/>
        <v>52.710292892253065</v>
      </c>
      <c r="AA51" s="370">
        <f t="shared" si="22"/>
        <v>58.536978426498024</v>
      </c>
      <c r="AB51" s="370">
        <f t="shared" si="22"/>
        <v>67.616831497266901</v>
      </c>
      <c r="AC51" s="370">
        <f t="shared" si="22"/>
        <v>40.659842685977829</v>
      </c>
      <c r="AD51" s="370">
        <f t="shared" si="22"/>
        <v>66.650254203472841</v>
      </c>
      <c r="AE51" s="370">
        <f t="shared" si="22"/>
        <v>56.442669244395177</v>
      </c>
      <c r="AF51" s="370">
        <f t="shared" si="22"/>
        <v>69.067514545601284</v>
      </c>
      <c r="AG51" s="370">
        <f t="shared" si="22"/>
        <v>92.753400456659207</v>
      </c>
      <c r="AH51" s="370">
        <f t="shared" si="22"/>
        <v>50.702048640415228</v>
      </c>
      <c r="AI51" s="370">
        <f t="shared" si="22"/>
        <v>73.362286701172849</v>
      </c>
      <c r="AJ51" s="370">
        <f t="shared" si="22"/>
        <v>78.135174843216021</v>
      </c>
      <c r="AK51" s="370">
        <f t="shared" si="22"/>
        <v>65.176211321478533</v>
      </c>
      <c r="AL51" s="370">
        <f t="shared" si="22"/>
        <v>70.746562939251632</v>
      </c>
      <c r="AM51" s="370">
        <f t="shared" si="22"/>
        <v>71.851202876016941</v>
      </c>
      <c r="AN51" s="371">
        <f t="shared" si="22"/>
        <v>71.851202876016941</v>
      </c>
    </row>
    <row r="52" spans="1:40" s="135" customFormat="1">
      <c r="A52" s="154"/>
      <c r="B52" s="347" t="s">
        <v>6</v>
      </c>
      <c r="C52" s="367" t="s">
        <v>190</v>
      </c>
      <c r="D52" s="369">
        <f t="shared" ref="D52:AN52" si="23">D45/D$4</f>
        <v>46.422068908450058</v>
      </c>
      <c r="E52" s="370">
        <f t="shared" si="23"/>
        <v>88.576070720290971</v>
      </c>
      <c r="F52" s="370">
        <f t="shared" si="23"/>
        <v>45.935750594032839</v>
      </c>
      <c r="G52" s="370">
        <f t="shared" si="23"/>
        <v>45.227096793291288</v>
      </c>
      <c r="H52" s="370">
        <f t="shared" si="23"/>
        <v>26.955382626416068</v>
      </c>
      <c r="I52" s="370">
        <f t="shared" si="23"/>
        <v>54.218106084776942</v>
      </c>
      <c r="J52" s="370">
        <f t="shared" si="23"/>
        <v>32.877296901955667</v>
      </c>
      <c r="K52" s="370">
        <f t="shared" si="23"/>
        <v>34.238070363682333</v>
      </c>
      <c r="L52" s="370">
        <f t="shared" si="23"/>
        <v>39.652643404095549</v>
      </c>
      <c r="M52" s="370">
        <f t="shared" si="23"/>
        <v>63.635075414606149</v>
      </c>
      <c r="N52" s="370">
        <f t="shared" si="23"/>
        <v>51.80674189116457</v>
      </c>
      <c r="O52" s="370">
        <f t="shared" si="23"/>
        <v>30.492575575529216</v>
      </c>
      <c r="P52" s="370">
        <f t="shared" si="23"/>
        <v>92.001265513960931</v>
      </c>
      <c r="Q52" s="370">
        <f t="shared" si="23"/>
        <v>53.484135111266355</v>
      </c>
      <c r="R52" s="370">
        <f t="shared" si="23"/>
        <v>69.499572638730612</v>
      </c>
      <c r="S52" s="370">
        <f t="shared" si="23"/>
        <v>40.673702595043039</v>
      </c>
      <c r="T52" s="370">
        <f t="shared" si="23"/>
        <v>55.145855951597063</v>
      </c>
      <c r="U52" s="370">
        <f t="shared" si="23"/>
        <v>43.390666137653788</v>
      </c>
      <c r="V52" s="370">
        <f t="shared" si="23"/>
        <v>68.760729166798143</v>
      </c>
      <c r="W52" s="370">
        <f t="shared" si="23"/>
        <v>37.531782108004677</v>
      </c>
      <c r="X52" s="370">
        <f t="shared" si="23"/>
        <v>66.19579124897858</v>
      </c>
      <c r="Y52" s="370">
        <f t="shared" si="23"/>
        <v>20.542456820418145</v>
      </c>
      <c r="Z52" s="370">
        <f t="shared" si="23"/>
        <v>47.21791928749662</v>
      </c>
      <c r="AA52" s="370">
        <f t="shared" si="23"/>
        <v>52.587772702824296</v>
      </c>
      <c r="AB52" s="370">
        <f t="shared" si="23"/>
        <v>67.616831497266901</v>
      </c>
      <c r="AC52" s="370">
        <f t="shared" si="23"/>
        <v>37.358791982143195</v>
      </c>
      <c r="AD52" s="370">
        <f t="shared" si="23"/>
        <v>66.650254203472841</v>
      </c>
      <c r="AE52" s="370">
        <f t="shared" si="23"/>
        <v>50.706311476120355</v>
      </c>
      <c r="AF52" s="370">
        <f t="shared" si="23"/>
        <v>51.853305828347438</v>
      </c>
      <c r="AG52" s="370">
        <f t="shared" si="23"/>
        <v>88.345268116262531</v>
      </c>
      <c r="AH52" s="370">
        <f t="shared" si="23"/>
        <v>36.228151966465838</v>
      </c>
      <c r="AI52" s="370">
        <f t="shared" si="23"/>
        <v>73.362286701172849</v>
      </c>
      <c r="AJ52" s="370">
        <f t="shared" si="23"/>
        <v>74.201406365958519</v>
      </c>
      <c r="AK52" s="370">
        <f t="shared" si="23"/>
        <v>61.795673743308761</v>
      </c>
      <c r="AL52" s="370">
        <f t="shared" si="23"/>
        <v>57.822662159776847</v>
      </c>
      <c r="AM52" s="370">
        <f t="shared" si="23"/>
        <v>68.233805237963907</v>
      </c>
      <c r="AN52" s="371">
        <f t="shared" si="23"/>
        <v>68.233805237963907</v>
      </c>
    </row>
    <row r="53" spans="1:40" s="135" customFormat="1">
      <c r="A53" s="154"/>
      <c r="B53" s="347" t="s">
        <v>7</v>
      </c>
      <c r="C53" s="367" t="s">
        <v>190</v>
      </c>
      <c r="D53" s="369">
        <f t="shared" ref="D53:AN53" si="24">D46/D$4</f>
        <v>41.966175387650807</v>
      </c>
      <c r="E53" s="370">
        <f t="shared" si="24"/>
        <v>52.876817828673225</v>
      </c>
      <c r="F53" s="370">
        <f t="shared" si="24"/>
        <v>30.960537996672752</v>
      </c>
      <c r="G53" s="370">
        <f t="shared" si="24"/>
        <v>40.885904504700655</v>
      </c>
      <c r="H53" s="370">
        <f t="shared" si="24"/>
        <v>24.91030929905309</v>
      </c>
      <c r="I53" s="370">
        <f t="shared" si="24"/>
        <v>43.554473708565489</v>
      </c>
      <c r="J53" s="370">
        <f t="shared" si="24"/>
        <v>36.175024396632864</v>
      </c>
      <c r="K53" s="370">
        <f t="shared" si="24"/>
        <v>25.2940061164059</v>
      </c>
      <c r="L53" s="370">
        <f t="shared" si="24"/>
        <v>39.652643404095549</v>
      </c>
      <c r="M53" s="370">
        <f t="shared" si="24"/>
        <v>40.843488358465748</v>
      </c>
      <c r="N53" s="370">
        <f t="shared" si="24"/>
        <v>46.4361289982361</v>
      </c>
      <c r="O53" s="370">
        <f t="shared" si="24"/>
        <v>29.48665290910472</v>
      </c>
      <c r="P53" s="370">
        <f t="shared" si="24"/>
        <v>35.353147601629011</v>
      </c>
      <c r="Q53" s="370">
        <f t="shared" si="24"/>
        <v>31.82269003925148</v>
      </c>
      <c r="R53" s="370">
        <f t="shared" si="24"/>
        <v>43.277887951993023</v>
      </c>
      <c r="S53" s="370">
        <f t="shared" si="24"/>
        <v>27.155128022315708</v>
      </c>
      <c r="T53" s="370">
        <f t="shared" si="24"/>
        <v>49.861350249424056</v>
      </c>
      <c r="U53" s="370">
        <f t="shared" si="24"/>
        <v>41.141169413862201</v>
      </c>
      <c r="V53" s="370">
        <f t="shared" si="24"/>
        <v>40.276539067822299</v>
      </c>
      <c r="W53" s="370">
        <f t="shared" si="24"/>
        <v>29.996082878237353</v>
      </c>
      <c r="X53" s="370">
        <f t="shared" si="24"/>
        <v>40.879553732312438</v>
      </c>
      <c r="Y53" s="370">
        <f t="shared" si="24"/>
        <v>19.479439482665704</v>
      </c>
      <c r="Z53" s="370">
        <f t="shared" si="24"/>
        <v>34.956505277224146</v>
      </c>
      <c r="AA53" s="370">
        <f t="shared" si="24"/>
        <v>45.492331043810964</v>
      </c>
      <c r="AB53" s="370">
        <f t="shared" si="24"/>
        <v>53.468967857750748</v>
      </c>
      <c r="AC53" s="370">
        <f t="shared" si="24"/>
        <v>25.70091744559987</v>
      </c>
      <c r="AD53" s="370">
        <f t="shared" si="24"/>
        <v>50.807797126630383</v>
      </c>
      <c r="AE53" s="370">
        <f t="shared" si="24"/>
        <v>43.864727276391584</v>
      </c>
      <c r="AF53" s="370">
        <f t="shared" si="24"/>
        <v>31.089331693785731</v>
      </c>
      <c r="AG53" s="370">
        <f t="shared" si="24"/>
        <v>51.150662900693256</v>
      </c>
      <c r="AH53" s="370">
        <f t="shared" si="24"/>
        <v>30.482910268196793</v>
      </c>
      <c r="AI53" s="370">
        <f t="shared" si="24"/>
        <v>29.387515583005495</v>
      </c>
      <c r="AJ53" s="370">
        <f t="shared" si="24"/>
        <v>63.789651499504316</v>
      </c>
      <c r="AK53" s="370">
        <f t="shared" si="24"/>
        <v>53.15373676195334</v>
      </c>
      <c r="AL53" s="370">
        <f t="shared" si="24"/>
        <v>37.223050367106048</v>
      </c>
      <c r="AM53" s="370">
        <f t="shared" si="24"/>
        <v>58.659409164670805</v>
      </c>
      <c r="AN53" s="371">
        <f t="shared" si="24"/>
        <v>58.659409164670805</v>
      </c>
    </row>
    <row r="54" spans="1:40">
      <c r="A54" s="155"/>
      <c r="B54" s="156" t="s">
        <v>259</v>
      </c>
      <c r="C54" s="157" t="s">
        <v>190</v>
      </c>
      <c r="D54" s="339">
        <f t="shared" ref="D54:AN54" si="25">D47/D$4</f>
        <v>80.54169227323861</v>
      </c>
      <c r="E54" s="340">
        <f t="shared" si="25"/>
        <v>96.86865768234145</v>
      </c>
      <c r="F54" s="340">
        <f t="shared" si="25"/>
        <v>58.21135958768204</v>
      </c>
      <c r="G54" s="340">
        <f t="shared" si="25"/>
        <v>78.468431028376287</v>
      </c>
      <c r="H54" s="340">
        <f t="shared" si="25"/>
        <v>28.39885491201299</v>
      </c>
      <c r="I54" s="340">
        <f t="shared" si="25"/>
        <v>75.202540369577662</v>
      </c>
      <c r="J54" s="340">
        <f t="shared" si="25"/>
        <v>82.285823610185616</v>
      </c>
      <c r="K54" s="340">
        <f t="shared" si="25"/>
        <v>48.320444577519702</v>
      </c>
      <c r="L54" s="340">
        <f t="shared" si="25"/>
        <v>59.231041741879601</v>
      </c>
      <c r="M54" s="340">
        <f t="shared" si="25"/>
        <v>75.144241320297581</v>
      </c>
      <c r="N54" s="340">
        <f t="shared" si="25"/>
        <v>63.482468974816911</v>
      </c>
      <c r="O54" s="340">
        <f>O47/O$4</f>
        <v>78.954617405561009</v>
      </c>
      <c r="P54" s="340">
        <f t="shared" si="25"/>
        <v>89.477693104038011</v>
      </c>
      <c r="Q54" s="340">
        <f t="shared" si="25"/>
        <v>71.030464104470937</v>
      </c>
      <c r="R54" s="340">
        <f t="shared" si="25"/>
        <v>86.674868374374284</v>
      </c>
      <c r="S54" s="340">
        <f t="shared" si="25"/>
        <v>51.009912105168468</v>
      </c>
      <c r="T54" s="340">
        <f t="shared" si="25"/>
        <v>69.336612470174202</v>
      </c>
      <c r="U54" s="340">
        <f t="shared" si="25"/>
        <v>62.186993510695778</v>
      </c>
      <c r="V54" s="340">
        <f t="shared" si="25"/>
        <v>86.162227186436141</v>
      </c>
      <c r="W54" s="340">
        <f t="shared" si="25"/>
        <v>67.341178887624011</v>
      </c>
      <c r="X54" s="340">
        <f t="shared" si="25"/>
        <v>95.656202568504469</v>
      </c>
      <c r="Y54" s="340">
        <f t="shared" si="25"/>
        <v>23.71702537623322</v>
      </c>
      <c r="Z54" s="340">
        <f t="shared" si="25"/>
        <v>77.291973394227043</v>
      </c>
      <c r="AA54" s="340">
        <f t="shared" si="25"/>
        <v>66.541902000641755</v>
      </c>
      <c r="AB54" s="340">
        <f t="shared" si="25"/>
        <v>82.966882407886942</v>
      </c>
      <c r="AC54" s="340">
        <f t="shared" si="25"/>
        <v>40.028212053411707</v>
      </c>
      <c r="AD54" s="340">
        <f t="shared" si="25"/>
        <v>73.063892221348127</v>
      </c>
      <c r="AE54" s="340">
        <f t="shared" si="25"/>
        <v>69.343181075118778</v>
      </c>
      <c r="AF54" s="340">
        <f t="shared" si="25"/>
        <v>84.087319002070387</v>
      </c>
      <c r="AG54" s="340">
        <f t="shared" si="25"/>
        <v>103.64768189164566</v>
      </c>
      <c r="AH54" s="340">
        <f t="shared" si="25"/>
        <v>77.718258400455795</v>
      </c>
      <c r="AI54" s="340">
        <f t="shared" si="25"/>
        <v>71.372938820303432</v>
      </c>
      <c r="AJ54" s="340">
        <f t="shared" si="25"/>
        <v>84.072798043971858</v>
      </c>
      <c r="AK54" s="340">
        <f t="shared" si="25"/>
        <v>70.243810626497861</v>
      </c>
      <c r="AL54" s="340">
        <f t="shared" si="25"/>
        <v>73.582934016980161</v>
      </c>
      <c r="AM54" s="340">
        <f t="shared" si="25"/>
        <v>77.311296490127461</v>
      </c>
      <c r="AN54" s="341">
        <f t="shared" si="25"/>
        <v>77.311296490127461</v>
      </c>
    </row>
    <row r="56" spans="1:40">
      <c r="A56" s="5" t="s">
        <v>142</v>
      </c>
      <c r="C56" s="5" t="s">
        <v>159</v>
      </c>
      <c r="J56" s="164" t="s">
        <v>152</v>
      </c>
      <c r="O56" s="164" t="s">
        <v>158</v>
      </c>
      <c r="P56" s="164">
        <f>'Dwelling stock'!R68</f>
        <v>0</v>
      </c>
      <c r="U56" s="164" t="s">
        <v>157</v>
      </c>
    </row>
    <row r="57" spans="1:40">
      <c r="A57" s="136"/>
      <c r="O57" s="164">
        <f>O47/1000000*3.6</f>
        <v>1.8738041546245043E-2</v>
      </c>
    </row>
    <row r="58" spans="1:40" ht="15" thickBot="1">
      <c r="A58" s="135"/>
      <c r="P58" s="164">
        <f ca="1">P56*O57*'All Stock'!O24</f>
        <v>0</v>
      </c>
    </row>
    <row r="59" spans="1:40" ht="21.6" thickBot="1">
      <c r="A59" s="940" t="s">
        <v>264</v>
      </c>
      <c r="B59" s="941"/>
      <c r="C59" s="941"/>
      <c r="D59" s="941"/>
      <c r="E59" s="941"/>
      <c r="F59" s="941"/>
      <c r="G59" s="941"/>
      <c r="H59" s="941"/>
      <c r="I59" s="941"/>
      <c r="J59" s="941"/>
      <c r="K59" s="941"/>
      <c r="L59" s="941"/>
      <c r="M59" s="941"/>
      <c r="N59" s="941"/>
      <c r="O59" s="941"/>
      <c r="P59" s="941"/>
      <c r="Q59" s="941"/>
      <c r="R59" s="941"/>
      <c r="S59" s="941"/>
      <c r="T59" s="941"/>
      <c r="U59" s="941"/>
      <c r="V59" s="941"/>
      <c r="W59" s="941"/>
      <c r="X59" s="941"/>
      <c r="Y59" s="941"/>
      <c r="Z59" s="941"/>
      <c r="AA59" s="941"/>
      <c r="AB59" s="941"/>
      <c r="AC59" s="941"/>
      <c r="AD59" s="941"/>
      <c r="AE59" s="941"/>
      <c r="AF59" s="941"/>
      <c r="AG59" s="941"/>
      <c r="AH59" s="941"/>
      <c r="AI59" s="941"/>
      <c r="AJ59" s="941"/>
      <c r="AK59" s="941"/>
      <c r="AL59" s="941"/>
      <c r="AM59" s="941"/>
      <c r="AN59" s="942"/>
    </row>
    <row r="60" spans="1:40">
      <c r="A60" s="5" t="s">
        <v>293</v>
      </c>
    </row>
    <row r="61" spans="1:40">
      <c r="A61" s="938" t="s">
        <v>123</v>
      </c>
      <c r="B61" s="939"/>
      <c r="C61" s="138" t="s">
        <v>76</v>
      </c>
      <c r="D61" s="194">
        <v>1</v>
      </c>
      <c r="E61" s="195">
        <v>1</v>
      </c>
      <c r="F61" s="195">
        <v>1</v>
      </c>
      <c r="G61" s="195">
        <v>1</v>
      </c>
      <c r="H61" s="195">
        <v>1</v>
      </c>
      <c r="I61" s="195">
        <v>1</v>
      </c>
      <c r="J61" s="195">
        <v>1</v>
      </c>
      <c r="K61" s="195">
        <v>1</v>
      </c>
      <c r="L61" s="195">
        <v>1</v>
      </c>
      <c r="M61" s="195">
        <v>1</v>
      </c>
      <c r="N61" s="195">
        <v>1</v>
      </c>
      <c r="O61" s="195">
        <v>1</v>
      </c>
      <c r="P61" s="195">
        <v>1</v>
      </c>
      <c r="Q61" s="195">
        <v>1</v>
      </c>
      <c r="R61" s="195">
        <v>1</v>
      </c>
      <c r="S61" s="195">
        <v>1</v>
      </c>
      <c r="T61" s="195">
        <v>1</v>
      </c>
      <c r="U61" s="195">
        <v>1</v>
      </c>
      <c r="V61" s="195">
        <v>1</v>
      </c>
      <c r="W61" s="195">
        <v>1</v>
      </c>
      <c r="X61" s="195">
        <v>1</v>
      </c>
      <c r="Y61" s="195">
        <v>1</v>
      </c>
      <c r="Z61" s="195">
        <v>1</v>
      </c>
      <c r="AA61" s="195">
        <v>1</v>
      </c>
      <c r="AB61" s="195">
        <v>1</v>
      </c>
      <c r="AC61" s="195">
        <v>1</v>
      </c>
      <c r="AD61" s="195">
        <v>1</v>
      </c>
      <c r="AE61" s="195">
        <v>1</v>
      </c>
      <c r="AF61" s="195">
        <v>1</v>
      </c>
      <c r="AG61" s="195">
        <v>1</v>
      </c>
      <c r="AH61" s="195">
        <v>1</v>
      </c>
      <c r="AI61" s="195">
        <v>1</v>
      </c>
      <c r="AJ61" s="195">
        <v>1</v>
      </c>
      <c r="AK61" s="195">
        <v>1</v>
      </c>
      <c r="AL61" s="195">
        <v>1</v>
      </c>
      <c r="AM61" s="195">
        <v>1</v>
      </c>
      <c r="AN61" s="196">
        <v>1</v>
      </c>
    </row>
    <row r="62" spans="1:40">
      <c r="A62" s="151" t="s">
        <v>193</v>
      </c>
      <c r="B62" s="141" t="s">
        <v>2</v>
      </c>
      <c r="C62" s="144" t="s">
        <v>195</v>
      </c>
      <c r="D62" s="170">
        <f>((LOOKUP(D$2,'Ceiling-U'!$A$4:$A$40,'Ceiling-U'!$E$4:$E$40)*D$15)+(LOOKUP(D$2,'Floor-U'!$A$4:$A$40,'Floor-U'!$E$4:$E$40)*D$16)+(LOOKUP(D$2,'Wall-U'!$A$4:$A$40,'Wall-U'!$E$4:$E$40)*D$13)+(LOOKUP(D$2,'Window-U'!$A$4:$A$40,'Window-U'!$S$4:$S$40)*D$22))*D$61</f>
        <v>2325.868436810229</v>
      </c>
      <c r="E62" s="171">
        <f>((LOOKUP(E$2,'Ceiling-U'!$A$4:$A$40,'Ceiling-U'!$E$4:$E$40)*E$15)+(LOOKUP(E$2,'Floor-U'!$A$4:$A$40,'Floor-U'!$E$4:$E$40)*E$16)+(LOOKUP(E$2,'Wall-U'!$A$4:$A$40,'Wall-U'!$E$4:$E$40)*E$13)+(LOOKUP(E$2,'Window-U'!$A$4:$A$40,'Window-U'!$S$4:$S$40)*E$22))*E$61</f>
        <v>2852.4059714657665</v>
      </c>
      <c r="F62" s="171">
        <f>((LOOKUP(F$2,'Ceiling-U'!$A$4:$A$40,'Ceiling-U'!$E$4:$E$40)*F$15)+(LOOKUP(F$2,'Floor-U'!$A$4:$A$40,'Floor-U'!$E$4:$E$40)*F$16)+(LOOKUP(F$2,'Wall-U'!$A$4:$A$40,'Wall-U'!$E$4:$E$40)*F$13)+(LOOKUP(F$2,'Window-U'!$A$4:$A$40,'Window-U'!$S$4:$S$40)*F$22))*F$61</f>
        <v>3475.7014179890411</v>
      </c>
      <c r="G62" s="171">
        <f>((LOOKUP(G$2,'Ceiling-U'!$A$4:$A$40,'Ceiling-U'!$E$4:$E$40)*G$15)+(LOOKUP(G$2,'Floor-U'!$A$4:$A$40,'Floor-U'!$E$4:$E$40)*G$16)+(LOOKUP(G$2,'Wall-U'!$A$4:$A$40,'Wall-U'!$E$4:$E$40)*G$13)+(LOOKUP(G$2,'Window-U'!$A$4:$A$40,'Window-U'!$S$4:$S$40)*G$22))*G$61</f>
        <v>2325.868436810229</v>
      </c>
      <c r="H62" s="171">
        <f>((LOOKUP(H$2,'Ceiling-U'!$A$4:$A$40,'Ceiling-U'!$E$4:$E$40)*H$15)+(LOOKUP(H$2,'Floor-U'!$A$4:$A$40,'Floor-U'!$E$4:$E$40)*H$16)+(LOOKUP(H$2,'Wall-U'!$A$4:$A$40,'Wall-U'!$E$4:$E$40)*H$13)+(LOOKUP(H$2,'Window-U'!$A$4:$A$40,'Window-U'!$S$4:$S$40)*H$22))*H$61</f>
        <v>3942.5460269590294</v>
      </c>
      <c r="I62" s="171">
        <f>((LOOKUP(I$2,'Ceiling-U'!$A$4:$A$40,'Ceiling-U'!$E$4:$E$40)*I$15)+(LOOKUP(I$2,'Floor-U'!$A$4:$A$40,'Floor-U'!$E$4:$E$40)*I$16)+(LOOKUP(I$2,'Wall-U'!$A$4:$A$40,'Wall-U'!$E$4:$E$40)*I$13)+(LOOKUP(I$2,'Window-U'!$A$4:$A$40,'Window-U'!$S$4:$S$40)*I$22))*I$61</f>
        <v>1420.8521934191601</v>
      </c>
      <c r="J62" s="171">
        <f>((LOOKUP(J$2,'Ceiling-U'!$A$4:$A$40,'Ceiling-U'!$E$4:$E$40)*J$15)+(LOOKUP(J$2,'Floor-U'!$A$4:$A$40,'Floor-U'!$E$4:$E$40)*J$16)+(LOOKUP(J$2,'Wall-U'!$A$4:$A$40,'Wall-U'!$E$4:$E$40)*J$13)+(LOOKUP(J$2,'Window-U'!$A$4:$A$40,'Window-U'!$S$4:$S$40)*J$22))*J$61</f>
        <v>2525.5587221243045</v>
      </c>
      <c r="K62" s="171">
        <f>((LOOKUP(K$2,'Ceiling-U'!$A$4:$A$40,'Ceiling-U'!$E$4:$E$40)*K$15)+(LOOKUP(K$2,'Floor-U'!$A$4:$A$40,'Floor-U'!$E$4:$E$40)*K$16)+(LOOKUP(K$2,'Wall-U'!$A$4:$A$40,'Wall-U'!$E$4:$E$40)*K$13)+(LOOKUP(K$2,'Window-U'!$A$4:$A$40,'Window-U'!$S$4:$S$40)*K$22))*K$61</f>
        <v>1760.419234983176</v>
      </c>
      <c r="L62" s="171">
        <f>((LOOKUP(L$2,'Ceiling-U'!$A$4:$A$40,'Ceiling-U'!$E$4:$E$40)*L$15)+(LOOKUP(L$2,'Floor-U'!$A$4:$A$40,'Floor-U'!$E$4:$E$40)*L$16)+(LOOKUP(L$2,'Wall-U'!$A$4:$A$40,'Wall-U'!$E$4:$E$40)*L$13)+(LOOKUP(L$2,'Window-U'!$A$4:$A$40,'Window-U'!$S$4:$S$40)*L$22))*L$61</f>
        <v>654.52600802657844</v>
      </c>
      <c r="M62" s="171">
        <f>((LOOKUP(M$2,'Ceiling-U'!$A$4:$A$40,'Ceiling-U'!$E$4:$E$40)*M$15)+(LOOKUP(M$2,'Floor-U'!$A$4:$A$40,'Floor-U'!$E$4:$E$40)*M$16)+(LOOKUP(M$2,'Wall-U'!$A$4:$A$40,'Wall-U'!$E$4:$E$40)*M$13)+(LOOKUP(M$2,'Window-U'!$A$4:$A$40,'Window-U'!$S$4:$S$40)*M$22))*M$61</f>
        <v>2767.7618393295561</v>
      </c>
      <c r="N62" s="171">
        <f>((LOOKUP(N$2,'Ceiling-U'!$A$4:$A$40,'Ceiling-U'!$E$4:$E$40)*N$15)+(LOOKUP(N$2,'Floor-U'!$A$4:$A$40,'Floor-U'!$E$4:$E$40)*N$16)+(LOOKUP(N$2,'Wall-U'!$A$4:$A$40,'Wall-U'!$E$4:$E$40)*N$13)+(LOOKUP(N$2,'Window-U'!$A$4:$A$40,'Window-U'!$S$4:$S$40)*N$22))*N$61</f>
        <v>1563.5372605756675</v>
      </c>
      <c r="O62" s="171">
        <f>((LOOKUP(O$2,'Ceiling-U'!$A$4:$A$40,'Ceiling-U'!$E$4:$E$40)*O$15)+(LOOKUP(O$2,'Floor-U'!$A$4:$A$40,'Floor-U'!$E$4:$E$40)*O$16)+(LOOKUP(O$2,'Wall-U'!$A$4:$A$40,'Wall-U'!$E$4:$E$40)*O$13)+(LOOKUP(O$2,'Window-U'!$A$4:$A$40,'Window-U'!$S$4:$S$40)*O$22))*O$61</f>
        <v>3704.6577587770544</v>
      </c>
      <c r="P62" s="171">
        <f>((LOOKUP(P$2,'Ceiling-U'!$A$4:$A$40,'Ceiling-U'!$E$4:$E$40)*P$15)+(LOOKUP(P$2,'Floor-U'!$A$4:$A$40,'Floor-U'!$E$4:$E$40)*P$16)+(LOOKUP(P$2,'Wall-U'!$A$4:$A$40,'Wall-U'!$E$4:$E$40)*P$13)+(LOOKUP(P$2,'Window-U'!$A$4:$A$40,'Window-U'!$S$4:$S$40)*P$22))*P$61</f>
        <v>2540.7934065809659</v>
      </c>
      <c r="Q62" s="171">
        <f>((LOOKUP(Q$2,'Ceiling-U'!$A$4:$A$40,'Ceiling-U'!$E$4:$E$40)*Q$15)+(LOOKUP(Q$2,'Floor-U'!$A$4:$A$40,'Floor-U'!$E$4:$E$40)*Q$16)+(LOOKUP(Q$2,'Wall-U'!$A$4:$A$40,'Wall-U'!$E$4:$E$40)*Q$13)+(LOOKUP(Q$2,'Window-U'!$A$4:$A$40,'Window-U'!$S$4:$S$40)*Q$22))*Q$61</f>
        <v>1853.9204905322324</v>
      </c>
      <c r="R62" s="171">
        <f>((LOOKUP(R$2,'Ceiling-U'!$A$4:$A$40,'Ceiling-U'!$E$4:$E$40)*R$15)+(LOOKUP(R$2,'Floor-U'!$A$4:$A$40,'Floor-U'!$E$4:$E$40)*R$16)+(LOOKUP(R$2,'Wall-U'!$A$4:$A$40,'Wall-U'!$E$4:$E$40)*R$13)+(LOOKUP(R$2,'Window-U'!$A$4:$A$40,'Window-U'!$S$4:$S$40)*R$22))*R$61</f>
        <v>1831.9230832020107</v>
      </c>
      <c r="S62" s="171">
        <f>((LOOKUP(S$2,'Ceiling-U'!$A$4:$A$40,'Ceiling-U'!$E$4:$E$40)*S$15)+(LOOKUP(S$2,'Floor-U'!$A$4:$A$40,'Floor-U'!$E$4:$E$40)*S$16)+(LOOKUP(S$2,'Wall-U'!$A$4:$A$40,'Wall-U'!$E$4:$E$40)*S$13)+(LOOKUP(S$2,'Window-U'!$A$4:$A$40,'Window-U'!$S$4:$S$40)*S$22))*S$61</f>
        <v>6554.7491444855796</v>
      </c>
      <c r="T62" s="171">
        <f>((LOOKUP(T$2,'Ceiling-U'!$A$4:$A$40,'Ceiling-U'!$E$4:$E$40)*T$15)+(LOOKUP(T$2,'Floor-U'!$A$4:$A$40,'Floor-U'!$E$4:$E$40)*T$16)+(LOOKUP(T$2,'Wall-U'!$A$4:$A$40,'Wall-U'!$E$4:$E$40)*T$13)+(LOOKUP(T$2,'Window-U'!$A$4:$A$40,'Window-U'!$S$4:$S$40)*T$22))*T$61</f>
        <v>865.13239101307579</v>
      </c>
      <c r="U62" s="171">
        <f>((LOOKUP(U$2,'Ceiling-U'!$A$4:$A$40,'Ceiling-U'!$E$4:$E$40)*U$15)+(LOOKUP(U$2,'Floor-U'!$A$4:$A$40,'Floor-U'!$E$4:$E$40)*U$16)+(LOOKUP(U$2,'Wall-U'!$A$4:$A$40,'Wall-U'!$E$4:$E$40)*U$13)+(LOOKUP(U$2,'Window-U'!$A$4:$A$40,'Window-U'!$S$4:$S$40)*U$22))*U$61</f>
        <v>3486.6345131495859</v>
      </c>
      <c r="V62" s="171">
        <f>((LOOKUP(V$2,'Ceiling-U'!$A$4:$A$40,'Ceiling-U'!$E$4:$E$40)*V$15)+(LOOKUP(V$2,'Floor-U'!$A$4:$A$40,'Floor-U'!$E$4:$E$40)*V$16)+(LOOKUP(V$2,'Wall-U'!$A$4:$A$40,'Wall-U'!$E$4:$E$40)*V$13)+(LOOKUP(V$2,'Window-U'!$A$4:$A$40,'Window-U'!$S$4:$S$40)*V$22))*V$61</f>
        <v>1310.067104576633</v>
      </c>
      <c r="W62" s="171">
        <f>((LOOKUP(W$2,'Ceiling-U'!$A$4:$A$40,'Ceiling-U'!$E$4:$E$40)*W$15)+(LOOKUP(W$2,'Floor-U'!$A$4:$A$40,'Floor-U'!$E$4:$E$40)*W$16)+(LOOKUP(W$2,'Wall-U'!$A$4:$A$40,'Wall-U'!$E$4:$E$40)*W$13)+(LOOKUP(W$2,'Window-U'!$A$4:$A$40,'Window-U'!$S$4:$S$40)*W$22))*W$61</f>
        <v>2185.1221459866506</v>
      </c>
      <c r="X62" s="171">
        <f>((LOOKUP(X$2,'Ceiling-U'!$A$4:$A$40,'Ceiling-U'!$E$4:$E$40)*X$15)+(LOOKUP(X$2,'Floor-U'!$A$4:$A$40,'Floor-U'!$E$4:$E$40)*X$16)+(LOOKUP(X$2,'Wall-U'!$A$4:$A$40,'Wall-U'!$E$4:$E$40)*X$13)+(LOOKUP(X$2,'Window-U'!$A$4:$A$40,'Window-U'!$S$4:$S$40)*X$22))*X$61</f>
        <v>1363.3433489193808</v>
      </c>
      <c r="Y62" s="171">
        <f>((LOOKUP(Y$2,'Ceiling-U'!$A$4:$A$40,'Ceiling-U'!$E$4:$E$40)*Y$15)+(LOOKUP(Y$2,'Floor-U'!$A$4:$A$40,'Floor-U'!$E$4:$E$40)*Y$16)+(LOOKUP(Y$2,'Wall-U'!$A$4:$A$40,'Wall-U'!$E$4:$E$40)*Y$13)+(LOOKUP(Y$2,'Window-U'!$A$4:$A$40,'Window-U'!$S$4:$S$40)*Y$22))*Y$61</f>
        <v>4890.3783170475781</v>
      </c>
      <c r="Z62" s="171">
        <f>((LOOKUP(Z$2,'Ceiling-U'!$A$4:$A$40,'Ceiling-U'!$E$4:$E$40)*Z$15)+(LOOKUP(Z$2,'Floor-U'!$A$4:$A$40,'Floor-U'!$E$4:$E$40)*Z$16)+(LOOKUP(Z$2,'Wall-U'!$A$4:$A$40,'Wall-U'!$E$4:$E$40)*Z$13)+(LOOKUP(Z$2,'Window-U'!$A$4:$A$40,'Window-U'!$S$4:$S$40)*Z$22))*Z$61</f>
        <v>3058.9971023184139</v>
      </c>
      <c r="AA62" s="171">
        <f>((LOOKUP(AA$2,'Ceiling-U'!$A$4:$A$40,'Ceiling-U'!$E$4:$E$40)*AA$15)+(LOOKUP(AA$2,'Floor-U'!$A$4:$A$40,'Floor-U'!$E$4:$E$40)*AA$16)+(LOOKUP(AA$2,'Wall-U'!$A$4:$A$40,'Wall-U'!$E$4:$E$40)*AA$13)+(LOOKUP(AA$2,'Window-U'!$A$4:$A$40,'Window-U'!$S$4:$S$40)*AA$22))*AA$61</f>
        <v>754.23283507138967</v>
      </c>
      <c r="AB62" s="171">
        <f>((LOOKUP(AB$2,'Ceiling-U'!$A$4:$A$40,'Ceiling-U'!$E$4:$E$40)*AB$15)+(LOOKUP(AB$2,'Floor-U'!$A$4:$A$40,'Floor-U'!$E$4:$E$40)*AB$16)+(LOOKUP(AB$2,'Wall-U'!$A$4:$A$40,'Wall-U'!$E$4:$E$40)*AB$13)+(LOOKUP(AB$2,'Window-U'!$A$4:$A$40,'Window-U'!$S$4:$S$40)*AB$22))*AB$61</f>
        <v>2880.1863537257154</v>
      </c>
      <c r="AC62" s="171">
        <f>((LOOKUP(AC$2,'Ceiling-U'!$A$4:$A$40,'Ceiling-U'!$E$4:$E$40)*AC$15)+(LOOKUP(AC$2,'Floor-U'!$A$4:$A$40,'Floor-U'!$E$4:$E$40)*AC$16)+(LOOKUP(AC$2,'Wall-U'!$A$4:$A$40,'Wall-U'!$E$4:$E$40)*AC$13)+(LOOKUP(AC$2,'Window-U'!$A$4:$A$40,'Window-U'!$S$4:$S$40)*AC$22))*AC$61</f>
        <v>4240.1633643976838</v>
      </c>
      <c r="AD62" s="171">
        <f>((LOOKUP(AD$2,'Ceiling-U'!$A$4:$A$40,'Ceiling-U'!$E$4:$E$40)*AD$15)+(LOOKUP(AD$2,'Floor-U'!$A$4:$A$40,'Floor-U'!$E$4:$E$40)*AD$16)+(LOOKUP(AD$2,'Wall-U'!$A$4:$A$40,'Wall-U'!$E$4:$E$40)*AD$13)+(LOOKUP(AD$2,'Window-U'!$A$4:$A$40,'Window-U'!$S$4:$S$40)*AD$22))*AD$61</f>
        <v>5484.4293684085387</v>
      </c>
      <c r="AE62" s="171">
        <f>((LOOKUP(AE$2,'Ceiling-U'!$A$4:$A$40,'Ceiling-U'!$E$4:$E$40)*AE$15)+(LOOKUP(AE$2,'Floor-U'!$A$4:$A$40,'Floor-U'!$E$4:$E$40)*AE$16)+(LOOKUP(AE$2,'Wall-U'!$A$4:$A$40,'Wall-U'!$E$4:$E$40)*AE$13)+(LOOKUP(AE$2,'Window-U'!$A$4:$A$40,'Window-U'!$S$4:$S$40)*AE$22))*AE$61</f>
        <v>754.23283507138967</v>
      </c>
      <c r="AF62" s="171">
        <f>((LOOKUP(AF$2,'Ceiling-U'!$A$4:$A$40,'Ceiling-U'!$E$4:$E$40)*AF$15)+(LOOKUP(AF$2,'Floor-U'!$A$4:$A$40,'Floor-U'!$E$4:$E$40)*AF$16)+(LOOKUP(AF$2,'Wall-U'!$A$4:$A$40,'Wall-U'!$E$4:$E$40)*AF$13)+(LOOKUP(AF$2,'Window-U'!$A$4:$A$40,'Window-U'!$S$4:$S$40)*AF$22))*AF$61</f>
        <v>1773.6816839383105</v>
      </c>
      <c r="AG62" s="171">
        <f>((LOOKUP(AG$2,'Ceiling-U'!$A$4:$A$40,'Ceiling-U'!$E$4:$E$40)*AG$15)+(LOOKUP(AG$2,'Floor-U'!$A$4:$A$40,'Floor-U'!$E$4:$E$40)*AG$16)+(LOOKUP(AG$2,'Wall-U'!$A$4:$A$40,'Wall-U'!$E$4:$E$40)*AG$13)+(LOOKUP(AG$2,'Window-U'!$A$4:$A$40,'Window-U'!$S$4:$S$40)*AG$22))*AG$61</f>
        <v>2394.5858331483764</v>
      </c>
      <c r="AH62" s="171">
        <f>((LOOKUP(AH$2,'Ceiling-U'!$A$4:$A$40,'Ceiling-U'!$E$4:$E$40)*AH$15)+(LOOKUP(AH$2,'Floor-U'!$A$4:$A$40,'Floor-U'!$E$4:$E$40)*AH$16)+(LOOKUP(AH$2,'Wall-U'!$A$4:$A$40,'Wall-U'!$E$4:$E$40)*AH$13)+(LOOKUP(AH$2,'Window-U'!$A$4:$A$40,'Window-U'!$S$4:$S$40)*AH$22))*AH$61</f>
        <v>5360.8016645007556</v>
      </c>
      <c r="AI62" s="171">
        <f>((LOOKUP(AI$2,'Ceiling-U'!$A$4:$A$40,'Ceiling-U'!$E$4:$E$40)*AI$15)+(LOOKUP(AI$2,'Floor-U'!$A$4:$A$40,'Floor-U'!$E$4:$E$40)*AI$16)+(LOOKUP(AI$2,'Wall-U'!$A$4:$A$40,'Wall-U'!$E$4:$E$40)*AI$13)+(LOOKUP(AI$2,'Window-U'!$A$4:$A$40,'Window-U'!$S$4:$S$40)*AI$22))*AI$61</f>
        <v>3987.7548853856492</v>
      </c>
      <c r="AJ62" s="171">
        <f>((LOOKUP(AJ$2,'Ceiling-U'!$A$4:$A$40,'Ceiling-U'!$E$4:$E$40)*AJ$15)+(LOOKUP(AJ$2,'Floor-U'!$A$4:$A$40,'Floor-U'!$E$4:$E$40)*AJ$16)+(LOOKUP(AJ$2,'Wall-U'!$A$4:$A$40,'Wall-U'!$E$4:$E$40)*AJ$13)+(LOOKUP(AJ$2,'Window-U'!$A$4:$A$40,'Window-U'!$S$4:$S$40)*AJ$22))*AJ$61</f>
        <v>2039.0645369594822</v>
      </c>
      <c r="AK62" s="171">
        <f>((LOOKUP(AK$2,'Ceiling-U'!$A$4:$A$40,'Ceiling-U'!$E$4:$E$40)*AK$15)+(LOOKUP(AK$2,'Floor-U'!$A$4:$A$40,'Floor-U'!$E$4:$E$40)*AK$16)+(LOOKUP(AK$2,'Wall-U'!$A$4:$A$40,'Wall-U'!$E$4:$E$40)*AK$13)+(LOOKUP(AK$2,'Window-U'!$A$4:$A$40,'Window-U'!$S$4:$S$40)*AK$22))*AK$61</f>
        <v>2222.9984471859962</v>
      </c>
      <c r="AL62" s="171">
        <f>((LOOKUP(AL$2,'Ceiling-U'!$A$4:$A$40,'Ceiling-U'!$E$4:$E$40)*AL$15)+(LOOKUP(AL$2,'Floor-U'!$A$4:$A$40,'Floor-U'!$E$4:$E$40)*AL$16)+(LOOKUP(AL$2,'Wall-U'!$A$4:$A$40,'Wall-U'!$E$4:$E$40)*AL$13)+(LOOKUP(AL$2,'Window-U'!$A$4:$A$40,'Window-U'!$S$4:$S$40)*AL$22))*AL$61</f>
        <v>2247.8929261710114</v>
      </c>
      <c r="AM62" s="171">
        <f>((LOOKUP(AM$2,'Ceiling-U'!$A$4:$A$40,'Ceiling-U'!$E$4:$E$40)*AM$15)+(LOOKUP(AM$2,'Floor-U'!$A$4:$A$40,'Floor-U'!$E$4:$E$40)*AM$16)+(LOOKUP(AM$2,'Wall-U'!$A$4:$A$40,'Wall-U'!$E$4:$E$40)*AM$13)+(LOOKUP(AM$2,'Window-U'!$A$4:$A$40,'Window-U'!$S$4:$S$40)*AM$22))*AM$61</f>
        <v>2039.0645369594822</v>
      </c>
      <c r="AN62" s="172">
        <f>((LOOKUP(AN$2,'Ceiling-U'!$A$4:$A$40,'Ceiling-U'!$E$4:$E$40)*AN$15)+(LOOKUP(AN$2,'Floor-U'!$A$4:$A$40,'Floor-U'!$E$4:$E$40)*AN$16)+(LOOKUP(AN$2,'Wall-U'!$A$4:$A$40,'Wall-U'!$E$4:$E$40)*AN$13)+(LOOKUP(AN$2,'Window-U'!$A$4:$A$40,'Window-U'!$S$4:$S$40)*AN$22))*AN$61</f>
        <v>2039.0645369594822</v>
      </c>
    </row>
    <row r="63" spans="1:40">
      <c r="A63" s="372"/>
      <c r="B63" s="142" t="s">
        <v>3</v>
      </c>
      <c r="C63" s="131" t="s">
        <v>195</v>
      </c>
      <c r="D63" s="176">
        <f>((LOOKUP(D$2,'Ceiling-U'!$A$4:$A$40,'Ceiling-U'!$F$4:$F$40)*D$15)+(LOOKUP(D$2,'Floor-U'!$A$4:$A$40,'Floor-U'!$F$4:$F$40)*D$16)+(LOOKUP(D$2,'Wall-U'!$A$4:$A$40,'Wall-U'!$F$4:$F$40)*D$13)+(LOOKUP(D$2,'Window-U'!$A$4:$A$40,'Window-U'!$S$4:$S$40)*D$22))*D$61</f>
        <v>2030.294033286104</v>
      </c>
      <c r="E63" s="177">
        <f>((LOOKUP(E$2,'Ceiling-U'!$A$4:$A$40,'Ceiling-U'!$F$4:$F$40)*E$15)+(LOOKUP(E$2,'Floor-U'!$A$4:$A$40,'Floor-U'!$F$4:$F$40)*E$16)+(LOOKUP(E$2,'Wall-U'!$A$4:$A$40,'Wall-U'!$F$4:$F$40)*E$13)+(LOOKUP(E$2,'Window-U'!$A$4:$A$40,'Window-U'!$S$4:$S$40)*E$22))*E$61</f>
        <v>2852.4059714657665</v>
      </c>
      <c r="F63" s="177">
        <f>((LOOKUP(F$2,'Ceiling-U'!$A$4:$A$40,'Ceiling-U'!$F$4:$F$40)*F$15)+(LOOKUP(F$2,'Floor-U'!$A$4:$A$40,'Floor-U'!$F$4:$F$40)*F$16)+(LOOKUP(F$2,'Wall-U'!$A$4:$A$40,'Wall-U'!$F$4:$F$40)*F$13)+(LOOKUP(F$2,'Window-U'!$A$4:$A$40,'Window-U'!$S$4:$S$40)*F$22))*F$61</f>
        <v>3475.7014179890411</v>
      </c>
      <c r="G63" s="177">
        <f>((LOOKUP(G$2,'Ceiling-U'!$A$4:$A$40,'Ceiling-U'!$F$4:$F$40)*G$15)+(LOOKUP(G$2,'Floor-U'!$A$4:$A$40,'Floor-U'!$F$4:$F$40)*G$16)+(LOOKUP(G$2,'Wall-U'!$A$4:$A$40,'Wall-U'!$F$4:$F$40)*G$13)+(LOOKUP(G$2,'Window-U'!$A$4:$A$40,'Window-U'!$S$4:$S$40)*G$22))*G$61</f>
        <v>2030.294033286104</v>
      </c>
      <c r="H63" s="177">
        <f>((LOOKUP(H$2,'Ceiling-U'!$A$4:$A$40,'Ceiling-U'!$F$4:$F$40)*H$15)+(LOOKUP(H$2,'Floor-U'!$A$4:$A$40,'Floor-U'!$F$4:$F$40)*H$16)+(LOOKUP(H$2,'Wall-U'!$A$4:$A$40,'Wall-U'!$F$4:$F$40)*H$13)+(LOOKUP(H$2,'Window-U'!$A$4:$A$40,'Window-U'!$S$4:$S$40)*H$22))*H$61</f>
        <v>3533.2705795445268</v>
      </c>
      <c r="I63" s="177">
        <f>((LOOKUP(I$2,'Ceiling-U'!$A$4:$A$40,'Ceiling-U'!$F$4:$F$40)*I$15)+(LOOKUP(I$2,'Floor-U'!$A$4:$A$40,'Floor-U'!$F$4:$F$40)*I$16)+(LOOKUP(I$2,'Wall-U'!$A$4:$A$40,'Wall-U'!$F$4:$F$40)*I$13)+(LOOKUP(I$2,'Window-U'!$A$4:$A$40,'Window-U'!$S$4:$S$40)*I$22))*I$61</f>
        <v>1219.4529477898259</v>
      </c>
      <c r="J63" s="177">
        <f>((LOOKUP(J$2,'Ceiling-U'!$A$4:$A$40,'Ceiling-U'!$F$4:$F$40)*J$15)+(LOOKUP(J$2,'Floor-U'!$A$4:$A$40,'Floor-U'!$F$4:$F$40)*J$16)+(LOOKUP(J$2,'Wall-U'!$A$4:$A$40,'Wall-U'!$F$4:$F$40)*J$13)+(LOOKUP(J$2,'Window-U'!$A$4:$A$40,'Window-U'!$S$4:$S$40)*J$22))*J$61</f>
        <v>2048.1900240307718</v>
      </c>
      <c r="K63" s="177">
        <f>((LOOKUP(K$2,'Ceiling-U'!$A$4:$A$40,'Ceiling-U'!$F$4:$F$40)*K$15)+(LOOKUP(K$2,'Floor-U'!$A$4:$A$40,'Floor-U'!$F$4:$F$40)*K$16)+(LOOKUP(K$2,'Wall-U'!$A$4:$A$40,'Wall-U'!$F$4:$F$40)*K$13)+(LOOKUP(K$2,'Window-U'!$A$4:$A$40,'Window-U'!$S$4:$S$40)*K$22))*K$61</f>
        <v>1722.8605410777513</v>
      </c>
      <c r="L63" s="177">
        <f>((LOOKUP(L$2,'Ceiling-U'!$A$4:$A$40,'Ceiling-U'!$F$4:$F$40)*L$15)+(LOOKUP(L$2,'Floor-U'!$A$4:$A$40,'Floor-U'!$F$4:$F$40)*L$16)+(LOOKUP(L$2,'Wall-U'!$A$4:$A$40,'Wall-U'!$F$4:$F$40)*L$13)+(LOOKUP(L$2,'Window-U'!$A$4:$A$40,'Window-U'!$S$4:$S$40)*L$22))*L$61</f>
        <v>654.52600802657844</v>
      </c>
      <c r="M63" s="177">
        <f>((LOOKUP(M$2,'Ceiling-U'!$A$4:$A$40,'Ceiling-U'!$F$4:$F$40)*M$15)+(LOOKUP(M$2,'Floor-U'!$A$4:$A$40,'Floor-U'!$F$4:$F$40)*M$16)+(LOOKUP(M$2,'Wall-U'!$A$4:$A$40,'Wall-U'!$F$4:$F$40)*M$13)+(LOOKUP(M$2,'Window-U'!$A$4:$A$40,'Window-U'!$S$4:$S$40)*M$22))*M$61</f>
        <v>2393.3001933104579</v>
      </c>
      <c r="N63" s="177">
        <f>((LOOKUP(N$2,'Ceiling-U'!$A$4:$A$40,'Ceiling-U'!$F$4:$F$40)*N$15)+(LOOKUP(N$2,'Floor-U'!$A$4:$A$40,'Floor-U'!$F$4:$F$40)*N$16)+(LOOKUP(N$2,'Wall-U'!$A$4:$A$40,'Wall-U'!$F$4:$F$40)*N$13)+(LOOKUP(N$2,'Window-U'!$A$4:$A$40,'Window-U'!$S$4:$S$40)*N$22))*N$61</f>
        <v>1411.9014432039564</v>
      </c>
      <c r="O63" s="177">
        <f>((LOOKUP(O$2,'Ceiling-U'!$A$4:$A$40,'Ceiling-U'!$F$4:$F$40)*O$15)+(LOOKUP(O$2,'Floor-U'!$A$4:$A$40,'Floor-U'!$F$4:$F$40)*O$16)+(LOOKUP(O$2,'Wall-U'!$A$4:$A$40,'Wall-U'!$F$4:$F$40)*O$13)+(LOOKUP(O$2,'Window-U'!$A$4:$A$40,'Window-U'!$S$4:$S$40)*O$22))*O$61</f>
        <v>3704.6577587770544</v>
      </c>
      <c r="P63" s="177">
        <f>((LOOKUP(P$2,'Ceiling-U'!$A$4:$A$40,'Ceiling-U'!$F$4:$F$40)*P$15)+(LOOKUP(P$2,'Floor-U'!$A$4:$A$40,'Floor-U'!$F$4:$F$40)*P$16)+(LOOKUP(P$2,'Wall-U'!$A$4:$A$40,'Wall-U'!$F$4:$F$40)*P$13)+(LOOKUP(P$2,'Window-U'!$A$4:$A$40,'Window-U'!$S$4:$S$40)*P$22))*P$61</f>
        <v>2540.7934065809659</v>
      </c>
      <c r="Q63" s="177">
        <f>((LOOKUP(Q$2,'Ceiling-U'!$A$4:$A$40,'Ceiling-U'!$F$4:$F$40)*Q$15)+(LOOKUP(Q$2,'Floor-U'!$A$4:$A$40,'Floor-U'!$F$4:$F$40)*Q$16)+(LOOKUP(Q$2,'Wall-U'!$A$4:$A$40,'Wall-U'!$F$4:$F$40)*Q$13)+(LOOKUP(Q$2,'Window-U'!$A$4:$A$40,'Window-U'!$S$4:$S$40)*Q$22))*Q$61</f>
        <v>2045.9141096952026</v>
      </c>
      <c r="R63" s="177">
        <f>((LOOKUP(R$2,'Ceiling-U'!$A$4:$A$40,'Ceiling-U'!$F$4:$F$40)*R$15)+(LOOKUP(R$2,'Floor-U'!$A$4:$A$40,'Floor-U'!$F$4:$F$40)*R$16)+(LOOKUP(R$2,'Wall-U'!$A$4:$A$40,'Wall-U'!$F$4:$F$40)*R$13)+(LOOKUP(R$2,'Window-U'!$A$4:$A$40,'Window-U'!$S$4:$S$40)*R$22))*R$61</f>
        <v>1831.9230832020107</v>
      </c>
      <c r="S63" s="177">
        <f>((LOOKUP(S$2,'Ceiling-U'!$A$4:$A$40,'Ceiling-U'!$F$4:$F$40)*S$15)+(LOOKUP(S$2,'Floor-U'!$A$4:$A$40,'Floor-U'!$F$4:$F$40)*S$16)+(LOOKUP(S$2,'Wall-U'!$A$4:$A$40,'Wall-U'!$F$4:$F$40)*S$13)+(LOOKUP(S$2,'Window-U'!$A$4:$A$40,'Window-U'!$S$4:$S$40)*S$22))*S$61</f>
        <v>6660.5948483949878</v>
      </c>
      <c r="T63" s="177">
        <f>((LOOKUP(T$2,'Ceiling-U'!$A$4:$A$40,'Ceiling-U'!$F$4:$F$40)*T$15)+(LOOKUP(T$2,'Floor-U'!$A$4:$A$40,'Floor-U'!$F$4:$F$40)*T$16)+(LOOKUP(T$2,'Wall-U'!$A$4:$A$40,'Wall-U'!$F$4:$F$40)*T$13)+(LOOKUP(T$2,'Window-U'!$A$4:$A$40,'Window-U'!$S$4:$S$40)*T$22))*T$61</f>
        <v>788.49689827887084</v>
      </c>
      <c r="U63" s="177">
        <f>((LOOKUP(U$2,'Ceiling-U'!$A$4:$A$40,'Ceiling-U'!$F$4:$F$40)*U$15)+(LOOKUP(U$2,'Floor-U'!$A$4:$A$40,'Floor-U'!$F$4:$F$40)*U$16)+(LOOKUP(U$2,'Wall-U'!$A$4:$A$40,'Wall-U'!$F$4:$F$40)*U$13)+(LOOKUP(U$2,'Window-U'!$A$4:$A$40,'Window-U'!$S$4:$S$40)*U$22))*U$61</f>
        <v>3198.9173450218541</v>
      </c>
      <c r="V63" s="177">
        <f>((LOOKUP(V$2,'Ceiling-U'!$A$4:$A$40,'Ceiling-U'!$F$4:$F$40)*V$15)+(LOOKUP(V$2,'Floor-U'!$A$4:$A$40,'Floor-U'!$F$4:$F$40)*V$16)+(LOOKUP(V$2,'Wall-U'!$A$4:$A$40,'Wall-U'!$F$4:$F$40)*V$13)+(LOOKUP(V$2,'Window-U'!$A$4:$A$40,'Window-U'!$S$4:$S$40)*V$22))*V$61</f>
        <v>1310.067104576633</v>
      </c>
      <c r="W63" s="177">
        <f>((LOOKUP(W$2,'Ceiling-U'!$A$4:$A$40,'Ceiling-U'!$F$4:$F$40)*W$15)+(LOOKUP(W$2,'Floor-U'!$A$4:$A$40,'Floor-U'!$F$4:$F$40)*W$16)+(LOOKUP(W$2,'Wall-U'!$A$4:$A$40,'Wall-U'!$F$4:$F$40)*W$13)+(LOOKUP(W$2,'Window-U'!$A$4:$A$40,'Window-U'!$S$4:$S$40)*W$22))*W$61</f>
        <v>2655.7846828340344</v>
      </c>
      <c r="X63" s="177">
        <f>((LOOKUP(X$2,'Ceiling-U'!$A$4:$A$40,'Ceiling-U'!$F$4:$F$40)*X$15)+(LOOKUP(X$2,'Floor-U'!$A$4:$A$40,'Floor-U'!$F$4:$F$40)*X$16)+(LOOKUP(X$2,'Wall-U'!$A$4:$A$40,'Wall-U'!$F$4:$F$40)*X$13)+(LOOKUP(X$2,'Window-U'!$A$4:$A$40,'Window-U'!$S$4:$S$40)*X$22))*X$61</f>
        <v>1363.3433489193808</v>
      </c>
      <c r="Y63" s="177">
        <f>((LOOKUP(Y$2,'Ceiling-U'!$A$4:$A$40,'Ceiling-U'!$F$4:$F$40)*Y$15)+(LOOKUP(Y$2,'Floor-U'!$A$4:$A$40,'Floor-U'!$F$4:$F$40)*Y$16)+(LOOKUP(Y$2,'Wall-U'!$A$4:$A$40,'Wall-U'!$F$4:$F$40)*Y$13)+(LOOKUP(Y$2,'Window-U'!$A$4:$A$40,'Window-U'!$S$4:$S$40)*Y$22))*Y$61</f>
        <v>4884.9963363246898</v>
      </c>
      <c r="Z63" s="177">
        <f>((LOOKUP(Z$2,'Ceiling-U'!$A$4:$A$40,'Ceiling-U'!$F$4:$F$40)*Z$15)+(LOOKUP(Z$2,'Floor-U'!$A$4:$A$40,'Floor-U'!$F$4:$F$40)*Z$16)+(LOOKUP(Z$2,'Wall-U'!$A$4:$A$40,'Wall-U'!$F$4:$F$40)*Z$13)+(LOOKUP(Z$2,'Window-U'!$A$4:$A$40,'Window-U'!$S$4:$S$40)*Z$22))*Z$61</f>
        <v>2457.8209152151089</v>
      </c>
      <c r="AA63" s="177">
        <f>((LOOKUP(AA$2,'Ceiling-U'!$A$4:$A$40,'Ceiling-U'!$F$4:$F$40)*AA$15)+(LOOKUP(AA$2,'Floor-U'!$A$4:$A$40,'Floor-U'!$F$4:$F$40)*AA$16)+(LOOKUP(AA$2,'Wall-U'!$A$4:$A$40,'Wall-U'!$F$4:$F$40)*AA$13)+(LOOKUP(AA$2,'Window-U'!$A$4:$A$40,'Window-U'!$S$4:$S$40)*AA$22))*AA$61</f>
        <v>754.23283507138967</v>
      </c>
      <c r="AB63" s="177">
        <f>((LOOKUP(AB$2,'Ceiling-U'!$A$4:$A$40,'Ceiling-U'!$F$4:$F$40)*AB$15)+(LOOKUP(AB$2,'Floor-U'!$A$4:$A$40,'Floor-U'!$F$4:$F$40)*AB$16)+(LOOKUP(AB$2,'Wall-U'!$A$4:$A$40,'Wall-U'!$F$4:$F$40)*AB$13)+(LOOKUP(AB$2,'Window-U'!$A$4:$A$40,'Window-U'!$S$4:$S$40)*AB$22))*AB$61</f>
        <v>2020.929361188973</v>
      </c>
      <c r="AC63" s="177">
        <f>((LOOKUP(AC$2,'Ceiling-U'!$A$4:$A$40,'Ceiling-U'!$F$4:$F$40)*AC$15)+(LOOKUP(AC$2,'Floor-U'!$A$4:$A$40,'Floor-U'!$F$4:$F$40)*AC$16)+(LOOKUP(AC$2,'Wall-U'!$A$4:$A$40,'Wall-U'!$F$4:$F$40)*AC$13)+(LOOKUP(AC$2,'Window-U'!$A$4:$A$40,'Window-U'!$S$4:$S$40)*AC$22))*AC$61</f>
        <v>3565.9981382982623</v>
      </c>
      <c r="AD63" s="177">
        <f>((LOOKUP(AD$2,'Ceiling-U'!$A$4:$A$40,'Ceiling-U'!$F$4:$F$40)*AD$15)+(LOOKUP(AD$2,'Floor-U'!$A$4:$A$40,'Floor-U'!$F$4:$F$40)*AD$16)+(LOOKUP(AD$2,'Wall-U'!$A$4:$A$40,'Wall-U'!$F$4:$F$40)*AD$13)+(LOOKUP(AD$2,'Window-U'!$A$4:$A$40,'Window-U'!$S$4:$S$40)*AD$22))*AD$61</f>
        <v>4904.1333412497461</v>
      </c>
      <c r="AE63" s="177">
        <f>((LOOKUP(AE$2,'Ceiling-U'!$A$4:$A$40,'Ceiling-U'!$F$4:$F$40)*AE$15)+(LOOKUP(AE$2,'Floor-U'!$A$4:$A$40,'Floor-U'!$F$4:$F$40)*AE$16)+(LOOKUP(AE$2,'Wall-U'!$A$4:$A$40,'Wall-U'!$F$4:$F$40)*AE$13)+(LOOKUP(AE$2,'Window-U'!$A$4:$A$40,'Window-U'!$S$4:$S$40)*AE$22))*AE$61</f>
        <v>754.23283507138967</v>
      </c>
      <c r="AF63" s="177">
        <f>((LOOKUP(AF$2,'Ceiling-U'!$A$4:$A$40,'Ceiling-U'!$F$4:$F$40)*AF$15)+(LOOKUP(AF$2,'Floor-U'!$A$4:$A$40,'Floor-U'!$F$4:$F$40)*AF$16)+(LOOKUP(AF$2,'Wall-U'!$A$4:$A$40,'Wall-U'!$F$4:$F$40)*AF$13)+(LOOKUP(AF$2,'Window-U'!$A$4:$A$40,'Window-U'!$S$4:$S$40)*AF$22))*AF$61</f>
        <v>1773.6816839383105</v>
      </c>
      <c r="AG63" s="177">
        <f>((LOOKUP(AG$2,'Ceiling-U'!$A$4:$A$40,'Ceiling-U'!$F$4:$F$40)*AG$15)+(LOOKUP(AG$2,'Floor-U'!$A$4:$A$40,'Floor-U'!$F$4:$F$40)*AG$16)+(LOOKUP(AG$2,'Wall-U'!$A$4:$A$40,'Wall-U'!$F$4:$F$40)*AG$13)+(LOOKUP(AG$2,'Window-U'!$A$4:$A$40,'Window-U'!$S$4:$S$40)*AG$22))*AG$61</f>
        <v>1934.3886665187008</v>
      </c>
      <c r="AH63" s="177">
        <f>((LOOKUP(AH$2,'Ceiling-U'!$A$4:$A$40,'Ceiling-U'!$F$4:$F$40)*AH$15)+(LOOKUP(AH$2,'Floor-U'!$A$4:$A$40,'Floor-U'!$F$4:$F$40)*AH$16)+(LOOKUP(AH$2,'Wall-U'!$A$4:$A$40,'Wall-U'!$F$4:$F$40)*AH$13)+(LOOKUP(AH$2,'Window-U'!$A$4:$A$40,'Window-U'!$S$4:$S$40)*AH$22))*AH$61</f>
        <v>5771.5105908567975</v>
      </c>
      <c r="AI63" s="177">
        <f>((LOOKUP(AI$2,'Ceiling-U'!$A$4:$A$40,'Ceiling-U'!$F$4:$F$40)*AI$15)+(LOOKUP(AI$2,'Floor-U'!$A$4:$A$40,'Floor-U'!$F$4:$F$40)*AI$16)+(LOOKUP(AI$2,'Wall-U'!$A$4:$A$40,'Wall-U'!$F$4:$F$40)*AI$13)+(LOOKUP(AI$2,'Window-U'!$A$4:$A$40,'Window-U'!$S$4:$S$40)*AI$22))*AI$61</f>
        <v>3987.7548853856492</v>
      </c>
      <c r="AJ63" s="177">
        <f>((LOOKUP(AJ$2,'Ceiling-U'!$A$4:$A$40,'Ceiling-U'!$F$4:$F$40)*AJ$15)+(LOOKUP(AJ$2,'Floor-U'!$A$4:$A$40,'Floor-U'!$F$4:$F$40)*AJ$16)+(LOOKUP(AJ$2,'Wall-U'!$A$4:$A$40,'Wall-U'!$F$4:$F$40)*AJ$13)+(LOOKUP(AJ$2,'Window-U'!$A$4:$A$40,'Window-U'!$S$4:$S$40)*AJ$22))*AJ$61</f>
        <v>2039.0645369594822</v>
      </c>
      <c r="AK63" s="177">
        <f>((LOOKUP(AK$2,'Ceiling-U'!$A$4:$A$40,'Ceiling-U'!$F$4:$F$40)*AK$15)+(LOOKUP(AK$2,'Floor-U'!$A$4:$A$40,'Floor-U'!$F$4:$F$40)*AK$16)+(LOOKUP(AK$2,'Wall-U'!$A$4:$A$40,'Wall-U'!$F$4:$F$40)*AK$13)+(LOOKUP(AK$2,'Window-U'!$A$4:$A$40,'Window-U'!$S$4:$S$40)*AK$22))*AK$61</f>
        <v>2222.9984471859962</v>
      </c>
      <c r="AL63" s="177">
        <f>((LOOKUP(AL$2,'Ceiling-U'!$A$4:$A$40,'Ceiling-U'!$F$4:$F$40)*AL$15)+(LOOKUP(AL$2,'Floor-U'!$A$4:$A$40,'Floor-U'!$F$4:$F$40)*AL$16)+(LOOKUP(AL$2,'Wall-U'!$A$4:$A$40,'Wall-U'!$F$4:$F$40)*AL$13)+(LOOKUP(AL$2,'Window-U'!$A$4:$A$40,'Window-U'!$S$4:$S$40)*AL$22))*AL$61</f>
        <v>2247.8929261710114</v>
      </c>
      <c r="AM63" s="177">
        <f>((LOOKUP(AM$2,'Ceiling-U'!$A$4:$A$40,'Ceiling-U'!$F$4:$F$40)*AM$15)+(LOOKUP(AM$2,'Floor-U'!$A$4:$A$40,'Floor-U'!$F$4:$F$40)*AM$16)+(LOOKUP(AM$2,'Wall-U'!$A$4:$A$40,'Wall-U'!$F$4:$F$40)*AM$13)+(LOOKUP(AM$2,'Window-U'!$A$4:$A$40,'Window-U'!$S$4:$S$40)*AM$22))*AM$61</f>
        <v>2039.0645369594822</v>
      </c>
      <c r="AN63" s="178">
        <f>((LOOKUP(AN$2,'Ceiling-U'!$A$4:$A$40,'Ceiling-U'!$F$4:$F$40)*AN$15)+(LOOKUP(AN$2,'Floor-U'!$A$4:$A$40,'Floor-U'!$F$4:$F$40)*AN$16)+(LOOKUP(AN$2,'Wall-U'!$A$4:$A$40,'Wall-U'!$F$4:$F$40)*AN$13)+(LOOKUP(AN$2,'Window-U'!$A$4:$A$40,'Window-U'!$S$4:$S$40)*AN$22))*AN$61</f>
        <v>2039.0645369594822</v>
      </c>
    </row>
    <row r="64" spans="1:40">
      <c r="A64" s="372"/>
      <c r="B64" s="142" t="s">
        <v>4</v>
      </c>
      <c r="C64" s="131" t="s">
        <v>195</v>
      </c>
      <c r="D64" s="176">
        <f>((LOOKUP(D$2,'Ceiling-U'!$A$4:$A$40,'Ceiling-U'!$G$4:$G$40)*D$15)+(LOOKUP(D$2,'Floor-U'!$A$4:$A$40,'Floor-U'!$G$4:$G$40)*D$16)+(LOOKUP(D$2,'Wall-U'!$A$4:$A$40,'Wall-U'!$G$4:$G$40)*D$13)+(LOOKUP(D$2,'Window-U'!$A$4:$A$40,'Window-U'!$S$4:$S$40)*D$22))*D$61</f>
        <v>1566.4783637341993</v>
      </c>
      <c r="E64" s="177">
        <f>((LOOKUP(E$2,'Ceiling-U'!$A$4:$A$40,'Ceiling-U'!$G$4:$G$40)*E$15)+(LOOKUP(E$2,'Floor-U'!$A$4:$A$40,'Floor-U'!$G$4:$G$40)*E$16)+(LOOKUP(E$2,'Wall-U'!$A$4:$A$40,'Wall-U'!$G$4:$G$40)*E$13)+(LOOKUP(E$2,'Window-U'!$A$4:$A$40,'Window-U'!$S$4:$S$40)*E$22))*E$61</f>
        <v>2852.4059714657665</v>
      </c>
      <c r="F64" s="177">
        <f>((LOOKUP(F$2,'Ceiling-U'!$A$4:$A$40,'Ceiling-U'!$G$4:$G$40)*F$15)+(LOOKUP(F$2,'Floor-U'!$A$4:$A$40,'Floor-U'!$G$4:$G$40)*F$16)+(LOOKUP(F$2,'Wall-U'!$A$4:$A$40,'Wall-U'!$G$4:$G$40)*F$13)+(LOOKUP(F$2,'Window-U'!$A$4:$A$40,'Window-U'!$S$4:$S$40)*F$22))*F$61</f>
        <v>3223.1224187795474</v>
      </c>
      <c r="G64" s="177">
        <f>((LOOKUP(G$2,'Ceiling-U'!$A$4:$A$40,'Ceiling-U'!$G$4:$G$40)*G$15)+(LOOKUP(G$2,'Floor-U'!$A$4:$A$40,'Floor-U'!$G$4:$G$40)*G$16)+(LOOKUP(G$2,'Wall-U'!$A$4:$A$40,'Wall-U'!$G$4:$G$40)*G$13)+(LOOKUP(G$2,'Window-U'!$A$4:$A$40,'Window-U'!$S$4:$S$40)*G$22))*G$61</f>
        <v>1566.4783637341993</v>
      </c>
      <c r="H64" s="177">
        <f>((LOOKUP(H$2,'Ceiling-U'!$A$4:$A$40,'Ceiling-U'!$G$4:$G$40)*H$15)+(LOOKUP(H$2,'Floor-U'!$A$4:$A$40,'Floor-U'!$G$4:$G$40)*H$16)+(LOOKUP(H$2,'Wall-U'!$A$4:$A$40,'Wall-U'!$G$4:$G$40)*H$13)+(LOOKUP(H$2,'Window-U'!$A$4:$A$40,'Window-U'!$S$4:$S$40)*H$22))*H$61</f>
        <v>3123.9951321300236</v>
      </c>
      <c r="I64" s="177">
        <f>((LOOKUP(I$2,'Ceiling-U'!$A$4:$A$40,'Ceiling-U'!$G$4:$G$40)*I$15)+(LOOKUP(I$2,'Floor-U'!$A$4:$A$40,'Floor-U'!$G$4:$G$40)*I$16)+(LOOKUP(I$2,'Wall-U'!$A$4:$A$40,'Wall-U'!$G$4:$G$40)*I$13)+(LOOKUP(I$2,'Window-U'!$A$4:$A$40,'Window-U'!$S$4:$S$40)*I$22))*I$61</f>
        <v>1219.4529477898259</v>
      </c>
      <c r="J64" s="177">
        <f>((LOOKUP(J$2,'Ceiling-U'!$A$4:$A$40,'Ceiling-U'!$G$4:$G$40)*J$15)+(LOOKUP(J$2,'Floor-U'!$A$4:$A$40,'Floor-U'!$G$4:$G$40)*J$16)+(LOOKUP(J$2,'Wall-U'!$A$4:$A$40,'Wall-U'!$G$4:$G$40)*J$13)+(LOOKUP(J$2,'Window-U'!$A$4:$A$40,'Window-U'!$S$4:$S$40)*J$22))*J$61</f>
        <v>1169.9943887198524</v>
      </c>
      <c r="K64" s="177">
        <f>((LOOKUP(K$2,'Ceiling-U'!$A$4:$A$40,'Ceiling-U'!$G$4:$G$40)*K$15)+(LOOKUP(K$2,'Floor-U'!$A$4:$A$40,'Floor-U'!$G$4:$G$40)*K$16)+(LOOKUP(K$2,'Wall-U'!$A$4:$A$40,'Wall-U'!$G$4:$G$40)*K$13)+(LOOKUP(K$2,'Window-U'!$A$4:$A$40,'Window-U'!$S$4:$S$40)*K$22))*K$61</f>
        <v>1042.2239825036449</v>
      </c>
      <c r="L64" s="177">
        <f>((LOOKUP(L$2,'Ceiling-U'!$A$4:$A$40,'Ceiling-U'!$G$4:$G$40)*L$15)+(LOOKUP(L$2,'Floor-U'!$A$4:$A$40,'Floor-U'!$G$4:$G$40)*L$16)+(LOOKUP(L$2,'Wall-U'!$A$4:$A$40,'Wall-U'!$G$4:$G$40)*L$13)+(LOOKUP(L$2,'Window-U'!$A$4:$A$40,'Window-U'!$S$4:$S$40)*L$22))*L$61</f>
        <v>492.7677188245176</v>
      </c>
      <c r="M64" s="177">
        <f>((LOOKUP(M$2,'Ceiling-U'!$A$4:$A$40,'Ceiling-U'!$G$4:$G$40)*M$15)+(LOOKUP(M$2,'Floor-U'!$A$4:$A$40,'Floor-U'!$G$4:$G$40)*M$16)+(LOOKUP(M$2,'Wall-U'!$A$4:$A$40,'Wall-U'!$G$4:$G$40)*M$13)+(LOOKUP(M$2,'Window-U'!$A$4:$A$40,'Window-U'!$S$4:$S$40)*M$22))*M$61</f>
        <v>2393.3001933104579</v>
      </c>
      <c r="N64" s="177">
        <f>((LOOKUP(N$2,'Ceiling-U'!$A$4:$A$40,'Ceiling-U'!$G$4:$G$40)*N$15)+(LOOKUP(N$2,'Floor-U'!$A$4:$A$40,'Floor-U'!$G$4:$G$40)*N$16)+(LOOKUP(N$2,'Wall-U'!$A$4:$A$40,'Wall-U'!$G$4:$G$40)*N$13)+(LOOKUP(N$2,'Window-U'!$A$4:$A$40,'Window-U'!$S$4:$S$40)*N$22))*N$61</f>
        <v>1110.9626508885756</v>
      </c>
      <c r="O64" s="177">
        <f>((LOOKUP(O$2,'Ceiling-U'!$A$4:$A$40,'Ceiling-U'!$G$4:$G$40)*O$15)+(LOOKUP(O$2,'Floor-U'!$A$4:$A$40,'Floor-U'!$G$4:$G$40)*O$16)+(LOOKUP(O$2,'Wall-U'!$A$4:$A$40,'Wall-U'!$G$4:$G$40)*O$13)+(LOOKUP(O$2,'Window-U'!$A$4:$A$40,'Window-U'!$S$4:$S$40)*O$22))*O$61</f>
        <v>1468.8028058608215</v>
      </c>
      <c r="P64" s="177">
        <f>((LOOKUP(P$2,'Ceiling-U'!$A$4:$A$40,'Ceiling-U'!$G$4:$G$40)*P$15)+(LOOKUP(P$2,'Floor-U'!$A$4:$A$40,'Floor-U'!$G$4:$G$40)*P$16)+(LOOKUP(P$2,'Wall-U'!$A$4:$A$40,'Wall-U'!$G$4:$G$40)*P$13)+(LOOKUP(P$2,'Window-U'!$A$4:$A$40,'Window-U'!$S$4:$S$40)*P$22))*P$61</f>
        <v>2540.7934065809659</v>
      </c>
      <c r="Q64" s="177">
        <f>((LOOKUP(Q$2,'Ceiling-U'!$A$4:$A$40,'Ceiling-U'!$G$4:$G$40)*Q$15)+(LOOKUP(Q$2,'Floor-U'!$A$4:$A$40,'Floor-U'!$G$4:$G$40)*Q$16)+(LOOKUP(Q$2,'Wall-U'!$A$4:$A$40,'Wall-U'!$G$4:$G$40)*Q$13)+(LOOKUP(Q$2,'Window-U'!$A$4:$A$40,'Window-U'!$S$4:$S$40)*Q$22))*Q$61</f>
        <v>1857.7372299722324</v>
      </c>
      <c r="R64" s="177">
        <f>((LOOKUP(R$2,'Ceiling-U'!$A$4:$A$40,'Ceiling-U'!$G$4:$G$40)*R$15)+(LOOKUP(R$2,'Floor-U'!$A$4:$A$40,'Floor-U'!$G$4:$G$40)*R$16)+(LOOKUP(R$2,'Wall-U'!$A$4:$A$40,'Wall-U'!$G$4:$G$40)*R$13)+(LOOKUP(R$2,'Window-U'!$A$4:$A$40,'Window-U'!$S$4:$S$40)*R$22))*R$61</f>
        <v>1521.7604045891337</v>
      </c>
      <c r="S64" s="177">
        <f>((LOOKUP(S$2,'Ceiling-U'!$A$4:$A$40,'Ceiling-U'!$G$4:$G$40)*S$15)+(LOOKUP(S$2,'Floor-U'!$A$4:$A$40,'Floor-U'!$G$4:$G$40)*S$16)+(LOOKUP(S$2,'Wall-U'!$A$4:$A$40,'Wall-U'!$G$4:$G$40)*S$13)+(LOOKUP(S$2,'Window-U'!$A$4:$A$40,'Window-U'!$S$4:$S$40)*S$22))*S$61</f>
        <v>5620.8763534463797</v>
      </c>
      <c r="T64" s="177">
        <f>((LOOKUP(T$2,'Ceiling-U'!$A$4:$A$40,'Ceiling-U'!$G$4:$G$40)*T$15)+(LOOKUP(T$2,'Floor-U'!$A$4:$A$40,'Floor-U'!$G$4:$G$40)*T$16)+(LOOKUP(T$2,'Wall-U'!$A$4:$A$40,'Wall-U'!$G$4:$G$40)*T$13)+(LOOKUP(T$2,'Window-U'!$A$4:$A$40,'Window-U'!$S$4:$S$40)*T$22))*T$61</f>
        <v>606.19436393382614</v>
      </c>
      <c r="U64" s="177">
        <f>((LOOKUP(U$2,'Ceiling-U'!$A$4:$A$40,'Ceiling-U'!$G$4:$G$40)*U$15)+(LOOKUP(U$2,'Floor-U'!$A$4:$A$40,'Floor-U'!$G$4:$G$40)*U$16)+(LOOKUP(U$2,'Wall-U'!$A$4:$A$40,'Wall-U'!$G$4:$G$40)*U$13)+(LOOKUP(U$2,'Window-U'!$A$4:$A$40,'Window-U'!$S$4:$S$40)*U$22))*U$61</f>
        <v>3103.5773450218539</v>
      </c>
      <c r="V64" s="177">
        <f>((LOOKUP(V$2,'Ceiling-U'!$A$4:$A$40,'Ceiling-U'!$G$4:$G$40)*V$15)+(LOOKUP(V$2,'Floor-U'!$A$4:$A$40,'Floor-U'!$G$4:$G$40)*V$16)+(LOOKUP(V$2,'Wall-U'!$A$4:$A$40,'Wall-U'!$G$4:$G$40)*V$13)+(LOOKUP(V$2,'Window-U'!$A$4:$A$40,'Window-U'!$S$4:$S$40)*V$22))*V$61</f>
        <v>766.83049620361805</v>
      </c>
      <c r="W64" s="177">
        <f>((LOOKUP(W$2,'Ceiling-U'!$A$4:$A$40,'Ceiling-U'!$G$4:$G$40)*W$15)+(LOOKUP(W$2,'Floor-U'!$A$4:$A$40,'Floor-U'!$G$4:$G$40)*W$16)+(LOOKUP(W$2,'Wall-U'!$A$4:$A$40,'Wall-U'!$G$4:$G$40)*W$13)+(LOOKUP(W$2,'Window-U'!$A$4:$A$40,'Window-U'!$S$4:$S$40)*W$22))*W$61</f>
        <v>1180.8875961245997</v>
      </c>
      <c r="X64" s="177">
        <f>((LOOKUP(X$2,'Ceiling-U'!$A$4:$A$40,'Ceiling-U'!$G$4:$G$40)*X$15)+(LOOKUP(X$2,'Floor-U'!$A$4:$A$40,'Floor-U'!$G$4:$G$40)*X$16)+(LOOKUP(X$2,'Wall-U'!$A$4:$A$40,'Wall-U'!$G$4:$G$40)*X$13)+(LOOKUP(X$2,'Window-U'!$A$4:$A$40,'Window-U'!$S$4:$S$40)*X$22))*X$61</f>
        <v>1237.9140140274426</v>
      </c>
      <c r="Y64" s="177">
        <f>((LOOKUP(Y$2,'Ceiling-U'!$A$4:$A$40,'Ceiling-U'!$G$4:$G$40)*Y$15)+(LOOKUP(Y$2,'Floor-U'!$A$4:$A$40,'Floor-U'!$G$4:$G$40)*Y$16)+(LOOKUP(Y$2,'Wall-U'!$A$4:$A$40,'Wall-U'!$G$4:$G$40)*Y$13)+(LOOKUP(Y$2,'Window-U'!$A$4:$A$40,'Window-U'!$S$4:$S$40)*Y$22))*Y$61</f>
        <v>3579.0815011183763</v>
      </c>
      <c r="Z64" s="177">
        <f>((LOOKUP(Z$2,'Ceiling-U'!$A$4:$A$40,'Ceiling-U'!$G$4:$G$40)*Z$15)+(LOOKUP(Z$2,'Floor-U'!$A$4:$A$40,'Floor-U'!$G$4:$G$40)*Z$16)+(LOOKUP(Z$2,'Wall-U'!$A$4:$A$40,'Wall-U'!$G$4:$G$40)*Z$13)+(LOOKUP(Z$2,'Window-U'!$A$4:$A$40,'Window-U'!$S$4:$S$40)*Z$22))*Z$61</f>
        <v>2400.0915594151088</v>
      </c>
      <c r="AA64" s="177">
        <f>((LOOKUP(AA$2,'Ceiling-U'!$A$4:$A$40,'Ceiling-U'!$G$4:$G$40)*AA$15)+(LOOKUP(AA$2,'Floor-U'!$A$4:$A$40,'Floor-U'!$G$4:$G$40)*AA$16)+(LOOKUP(AA$2,'Wall-U'!$A$4:$A$40,'Wall-U'!$G$4:$G$40)*AA$13)+(LOOKUP(AA$2,'Window-U'!$A$4:$A$40,'Window-U'!$S$4:$S$40)*AA$22))*AA$61</f>
        <v>441.89635159968213</v>
      </c>
      <c r="AB64" s="177">
        <f>((LOOKUP(AB$2,'Ceiling-U'!$A$4:$A$40,'Ceiling-U'!$G$4:$G$40)*AB$15)+(LOOKUP(AB$2,'Floor-U'!$A$4:$A$40,'Floor-U'!$G$4:$G$40)*AB$16)+(LOOKUP(AB$2,'Wall-U'!$A$4:$A$40,'Wall-U'!$G$4:$G$40)*AB$13)+(LOOKUP(AB$2,'Window-U'!$A$4:$A$40,'Window-U'!$S$4:$S$40)*AB$22))*AB$61</f>
        <v>1315.5742330699795</v>
      </c>
      <c r="AC64" s="177">
        <f>((LOOKUP(AC$2,'Ceiling-U'!$A$4:$A$40,'Ceiling-U'!$G$4:$G$40)*AC$15)+(LOOKUP(AC$2,'Floor-U'!$A$4:$A$40,'Floor-U'!$G$4:$G$40)*AC$16)+(LOOKUP(AC$2,'Wall-U'!$A$4:$A$40,'Wall-U'!$G$4:$G$40)*AC$13)+(LOOKUP(AC$2,'Window-U'!$A$4:$A$40,'Window-U'!$S$4:$S$40)*AC$22))*AC$61</f>
        <v>3508.0020398982624</v>
      </c>
      <c r="AD64" s="177">
        <f>((LOOKUP(AD$2,'Ceiling-U'!$A$4:$A$40,'Ceiling-U'!$G$4:$G$40)*AD$15)+(LOOKUP(AD$2,'Floor-U'!$A$4:$A$40,'Floor-U'!$G$4:$G$40)*AD$16)+(LOOKUP(AD$2,'Wall-U'!$A$4:$A$40,'Wall-U'!$G$4:$G$40)*AD$13)+(LOOKUP(AD$2,'Window-U'!$A$4:$A$40,'Window-U'!$S$4:$S$40)*AD$22))*AD$61</f>
        <v>4904.1333412497461</v>
      </c>
      <c r="AE64" s="177">
        <f>((LOOKUP(AE$2,'Ceiling-U'!$A$4:$A$40,'Ceiling-U'!$G$4:$G$40)*AE$15)+(LOOKUP(AE$2,'Floor-U'!$A$4:$A$40,'Floor-U'!$G$4:$G$40)*AE$16)+(LOOKUP(AE$2,'Wall-U'!$A$4:$A$40,'Wall-U'!$G$4:$G$40)*AE$13)+(LOOKUP(AE$2,'Window-U'!$A$4:$A$40,'Window-U'!$S$4:$S$40)*AE$22))*AE$61</f>
        <v>441.89635159968213</v>
      </c>
      <c r="AF64" s="177">
        <f>((LOOKUP(AF$2,'Ceiling-U'!$A$4:$A$40,'Ceiling-U'!$G$4:$G$40)*AF$15)+(LOOKUP(AF$2,'Floor-U'!$A$4:$A$40,'Floor-U'!$G$4:$G$40)*AF$16)+(LOOKUP(AF$2,'Wall-U'!$A$4:$A$40,'Wall-U'!$G$4:$G$40)*AF$13)+(LOOKUP(AF$2,'Window-U'!$A$4:$A$40,'Window-U'!$S$4:$S$40)*AF$22))*AF$61</f>
        <v>1696.3403774383105</v>
      </c>
      <c r="AG64" s="177">
        <f>((LOOKUP(AG$2,'Ceiling-U'!$A$4:$A$40,'Ceiling-U'!$G$4:$G$40)*AG$15)+(LOOKUP(AG$2,'Floor-U'!$A$4:$A$40,'Floor-U'!$G$4:$G$40)*AG$16)+(LOOKUP(AG$2,'Wall-U'!$A$4:$A$40,'Wall-U'!$G$4:$G$40)*AG$13)+(LOOKUP(AG$2,'Window-U'!$A$4:$A$40,'Window-U'!$S$4:$S$40)*AG$22))*AG$61</f>
        <v>1934.3886665187008</v>
      </c>
      <c r="AH64" s="177">
        <f>((LOOKUP(AH$2,'Ceiling-U'!$A$4:$A$40,'Ceiling-U'!$G$4:$G$40)*AH$15)+(LOOKUP(AH$2,'Floor-U'!$A$4:$A$40,'Floor-U'!$G$4:$G$40)*AH$16)+(LOOKUP(AH$2,'Wall-U'!$A$4:$A$40,'Wall-U'!$G$4:$G$40)*AH$13)+(LOOKUP(AH$2,'Window-U'!$A$4:$A$40,'Window-U'!$S$4:$S$40)*AH$22))*AH$61</f>
        <v>4516.3274574535399</v>
      </c>
      <c r="AI64" s="177">
        <f>((LOOKUP(AI$2,'Ceiling-U'!$A$4:$A$40,'Ceiling-U'!$G$4:$G$40)*AI$15)+(LOOKUP(AI$2,'Floor-U'!$A$4:$A$40,'Floor-U'!$G$4:$G$40)*AI$16)+(LOOKUP(AI$2,'Wall-U'!$A$4:$A$40,'Wall-U'!$G$4:$G$40)*AI$13)+(LOOKUP(AI$2,'Window-U'!$A$4:$A$40,'Window-U'!$S$4:$S$40)*AI$22))*AI$61</f>
        <v>3987.7548853856492</v>
      </c>
      <c r="AJ64" s="177">
        <f>((LOOKUP(AJ$2,'Ceiling-U'!$A$4:$A$40,'Ceiling-U'!$G$4:$G$40)*AJ$15)+(LOOKUP(AJ$2,'Floor-U'!$A$4:$A$40,'Floor-U'!$G$4:$G$40)*AJ$16)+(LOOKUP(AJ$2,'Wall-U'!$A$4:$A$40,'Wall-U'!$G$4:$G$40)*AJ$13)+(LOOKUP(AJ$2,'Window-U'!$A$4:$A$40,'Window-U'!$S$4:$S$40)*AJ$22))*AJ$61</f>
        <v>2039.0645369594822</v>
      </c>
      <c r="AK64" s="177">
        <f>((LOOKUP(AK$2,'Ceiling-U'!$A$4:$A$40,'Ceiling-U'!$G$4:$G$40)*AK$15)+(LOOKUP(AK$2,'Floor-U'!$A$4:$A$40,'Floor-U'!$G$4:$G$40)*AK$16)+(LOOKUP(AK$2,'Wall-U'!$A$4:$A$40,'Wall-U'!$G$4:$G$40)*AK$13)+(LOOKUP(AK$2,'Window-U'!$A$4:$A$40,'Window-U'!$S$4:$S$40)*AK$22))*AK$61</f>
        <v>2222.9984471859962</v>
      </c>
      <c r="AL64" s="177">
        <f>((LOOKUP(AL$2,'Ceiling-U'!$A$4:$A$40,'Ceiling-U'!$G$4:$G$40)*AL$15)+(LOOKUP(AL$2,'Floor-U'!$A$4:$A$40,'Floor-U'!$G$4:$G$40)*AL$16)+(LOOKUP(AL$2,'Wall-U'!$A$4:$A$40,'Wall-U'!$G$4:$G$40)*AL$13)+(LOOKUP(AL$2,'Window-U'!$A$4:$A$40,'Window-U'!$S$4:$S$40)*AL$22))*AL$61</f>
        <v>2083.6381553823644</v>
      </c>
      <c r="AM64" s="177">
        <f>((LOOKUP(AM$2,'Ceiling-U'!$A$4:$A$40,'Ceiling-U'!$G$4:$G$40)*AM$15)+(LOOKUP(AM$2,'Floor-U'!$A$4:$A$40,'Floor-U'!$G$4:$G$40)*AM$16)+(LOOKUP(AM$2,'Wall-U'!$A$4:$A$40,'Wall-U'!$G$4:$G$40)*AM$13)+(LOOKUP(AM$2,'Window-U'!$A$4:$A$40,'Window-U'!$S$4:$S$40)*AM$22))*AM$61</f>
        <v>2039.0645369594822</v>
      </c>
      <c r="AN64" s="178">
        <f>((LOOKUP(AN$2,'Ceiling-U'!$A$4:$A$40,'Ceiling-U'!$G$4:$G$40)*AN$15)+(LOOKUP(AN$2,'Floor-U'!$A$4:$A$40,'Floor-U'!$G$4:$G$40)*AN$16)+(LOOKUP(AN$2,'Wall-U'!$A$4:$A$40,'Wall-U'!$G$4:$G$40)*AN$13)+(LOOKUP(AN$2,'Window-U'!$A$4:$A$40,'Window-U'!$S$4:$S$40)*AN$22))*AN$61</f>
        <v>2039.0645369594822</v>
      </c>
    </row>
    <row r="65" spans="1:40">
      <c r="A65" s="372"/>
      <c r="B65" s="142" t="s">
        <v>5</v>
      </c>
      <c r="C65" s="131" t="s">
        <v>195</v>
      </c>
      <c r="D65" s="176">
        <f>((LOOKUP(D$2,'Ceiling-U'!$A$4:$A$40,'Ceiling-U'!$H$4:$H$40)*D$15)+(LOOKUP(D$2,'Floor-U'!$A$4:$A$40,'Floor-U'!$H$4:$H$40)*D$16)+(LOOKUP(D$2,'Wall-U'!$A$4:$A$40,'Wall-U'!$H$4:$H$40)*D$13)+(LOOKUP(D$2,'Window-U'!$A$4:$A$40,'Window-U'!$S$4:$S$40)*D$22))*D$61</f>
        <v>1027.8906885772296</v>
      </c>
      <c r="E65" s="177">
        <f>((LOOKUP(E$2,'Ceiling-U'!$A$4:$A$40,'Ceiling-U'!$H$4:$H$40)*E$15)+(LOOKUP(E$2,'Floor-U'!$A$4:$A$40,'Floor-U'!$H$4:$H$40)*E$16)+(LOOKUP(E$2,'Wall-U'!$A$4:$A$40,'Wall-U'!$H$4:$H$40)*E$13)+(LOOKUP(E$2,'Window-U'!$A$4:$A$40,'Window-U'!$S$4:$S$40)*E$22))*E$61</f>
        <v>2364.4701865412972</v>
      </c>
      <c r="F65" s="177">
        <f>((LOOKUP(F$2,'Ceiling-U'!$A$4:$A$40,'Ceiling-U'!$H$4:$H$40)*F$15)+(LOOKUP(F$2,'Floor-U'!$A$4:$A$40,'Floor-U'!$H$4:$H$40)*F$16)+(LOOKUP(F$2,'Wall-U'!$A$4:$A$40,'Wall-U'!$H$4:$H$40)*F$13)+(LOOKUP(F$2,'Window-U'!$A$4:$A$40,'Window-U'!$S$4:$S$40)*F$22))*F$61</f>
        <v>2643.3512994149373</v>
      </c>
      <c r="G65" s="177">
        <f>((LOOKUP(G$2,'Ceiling-U'!$A$4:$A$40,'Ceiling-U'!$H$4:$H$40)*G$15)+(LOOKUP(G$2,'Floor-U'!$A$4:$A$40,'Floor-U'!$H$4:$H$40)*G$16)+(LOOKUP(G$2,'Wall-U'!$A$4:$A$40,'Wall-U'!$H$4:$H$40)*G$13)+(LOOKUP(G$2,'Window-U'!$A$4:$A$40,'Window-U'!$S$4:$S$40)*G$22))*G$61</f>
        <v>1027.8906885772296</v>
      </c>
      <c r="H65" s="177">
        <f>((LOOKUP(H$2,'Ceiling-U'!$A$4:$A$40,'Ceiling-U'!$H$4:$H$40)*H$15)+(LOOKUP(H$2,'Floor-U'!$A$4:$A$40,'Floor-U'!$H$4:$H$40)*H$16)+(LOOKUP(H$2,'Wall-U'!$A$4:$A$40,'Wall-U'!$H$4:$H$40)*H$13)+(LOOKUP(H$2,'Window-U'!$A$4:$A$40,'Window-U'!$S$4:$S$40)*H$22))*H$61</f>
        <v>3036.3951321300242</v>
      </c>
      <c r="I65" s="177">
        <f>((LOOKUP(I$2,'Ceiling-U'!$A$4:$A$40,'Ceiling-U'!$H$4:$H$40)*I$15)+(LOOKUP(I$2,'Floor-U'!$A$4:$A$40,'Floor-U'!$H$4:$H$40)*I$16)+(LOOKUP(I$2,'Wall-U'!$A$4:$A$40,'Wall-U'!$H$4:$H$40)*I$13)+(LOOKUP(I$2,'Window-U'!$A$4:$A$40,'Window-U'!$S$4:$S$40)*I$22))*I$61</f>
        <v>1060.4250772160974</v>
      </c>
      <c r="J65" s="177">
        <f>((LOOKUP(J$2,'Ceiling-U'!$A$4:$A$40,'Ceiling-U'!$H$4:$H$40)*J$15)+(LOOKUP(J$2,'Floor-U'!$A$4:$A$40,'Floor-U'!$H$4:$H$40)*J$16)+(LOOKUP(J$2,'Wall-U'!$A$4:$A$40,'Wall-U'!$H$4:$H$40)*J$13)+(LOOKUP(J$2,'Window-U'!$A$4:$A$40,'Window-U'!$S$4:$S$40)*J$22))*J$61</f>
        <v>951.78561927067938</v>
      </c>
      <c r="K65" s="177">
        <f>((LOOKUP(K$2,'Ceiling-U'!$A$4:$A$40,'Ceiling-U'!$H$4:$H$40)*K$15)+(LOOKUP(K$2,'Floor-U'!$A$4:$A$40,'Floor-U'!$H$4:$H$40)*K$16)+(LOOKUP(K$2,'Wall-U'!$A$4:$A$40,'Wall-U'!$H$4:$H$40)*K$13)+(LOOKUP(K$2,'Window-U'!$A$4:$A$40,'Window-U'!$S$4:$S$40)*K$22))*K$61</f>
        <v>806.73598750260351</v>
      </c>
      <c r="L65" s="177">
        <f>((LOOKUP(L$2,'Ceiling-U'!$A$4:$A$40,'Ceiling-U'!$H$4:$H$40)*L$15)+(LOOKUP(L$2,'Floor-U'!$A$4:$A$40,'Floor-U'!$H$4:$H$40)*L$16)+(LOOKUP(L$2,'Wall-U'!$A$4:$A$40,'Wall-U'!$H$4:$H$40)*L$13)+(LOOKUP(L$2,'Window-U'!$A$4:$A$40,'Window-U'!$S$4:$S$40)*L$22))*L$61</f>
        <v>394.74756708439998</v>
      </c>
      <c r="M65" s="177">
        <f>((LOOKUP(M$2,'Ceiling-U'!$A$4:$A$40,'Ceiling-U'!$H$4:$H$40)*M$15)+(LOOKUP(M$2,'Floor-U'!$A$4:$A$40,'Floor-U'!$H$4:$H$40)*M$16)+(LOOKUP(M$2,'Wall-U'!$A$4:$A$40,'Wall-U'!$H$4:$H$40)*M$13)+(LOOKUP(M$2,'Window-U'!$A$4:$A$40,'Window-U'!$S$4:$S$40)*M$22))*M$61</f>
        <v>1624.6874894219402</v>
      </c>
      <c r="N65" s="177">
        <f>((LOOKUP(N$2,'Ceiling-U'!$A$4:$A$40,'Ceiling-U'!$H$4:$H$40)*N$15)+(LOOKUP(N$2,'Floor-U'!$A$4:$A$40,'Floor-U'!$H$4:$H$40)*N$16)+(LOOKUP(N$2,'Wall-U'!$A$4:$A$40,'Wall-U'!$H$4:$H$40)*N$13)+(LOOKUP(N$2,'Window-U'!$A$4:$A$40,'Window-U'!$S$4:$S$40)*N$22))*N$61</f>
        <v>889.15519877344195</v>
      </c>
      <c r="O65" s="177">
        <f>((LOOKUP(O$2,'Ceiling-U'!$A$4:$A$40,'Ceiling-U'!$H$4:$H$40)*O$15)+(LOOKUP(O$2,'Floor-U'!$A$4:$A$40,'Floor-U'!$H$4:$H$40)*O$16)+(LOOKUP(O$2,'Wall-U'!$A$4:$A$40,'Wall-U'!$H$4:$H$40)*O$13)+(LOOKUP(O$2,'Window-U'!$A$4:$A$40,'Window-U'!$S$4:$S$40)*O$22))*O$61</f>
        <v>1232.6579661518613</v>
      </c>
      <c r="P65" s="177">
        <f>((LOOKUP(P$2,'Ceiling-U'!$A$4:$A$40,'Ceiling-U'!$H$4:$H$40)*P$15)+(LOOKUP(P$2,'Floor-U'!$A$4:$A$40,'Floor-U'!$H$4:$H$40)*P$16)+(LOOKUP(P$2,'Wall-U'!$A$4:$A$40,'Wall-U'!$H$4:$H$40)*P$13)+(LOOKUP(P$2,'Window-U'!$A$4:$A$40,'Window-U'!$S$4:$S$40)*P$22))*P$61</f>
        <v>2482.3934065809658</v>
      </c>
      <c r="Q65" s="177">
        <f>((LOOKUP(Q$2,'Ceiling-U'!$A$4:$A$40,'Ceiling-U'!$H$4:$H$40)*Q$15)+(LOOKUP(Q$2,'Floor-U'!$A$4:$A$40,'Floor-U'!$H$4:$H$40)*Q$16)+(LOOKUP(Q$2,'Wall-U'!$A$4:$A$40,'Wall-U'!$H$4:$H$40)*Q$13)+(LOOKUP(Q$2,'Window-U'!$A$4:$A$40,'Window-U'!$S$4:$S$40)*Q$22))*Q$61</f>
        <v>1857.7372299722324</v>
      </c>
      <c r="R65" s="177">
        <f>((LOOKUP(R$2,'Ceiling-U'!$A$4:$A$40,'Ceiling-U'!$H$4:$H$40)*R$15)+(LOOKUP(R$2,'Floor-U'!$A$4:$A$40,'Floor-U'!$H$4:$H$40)*R$16)+(LOOKUP(R$2,'Wall-U'!$A$4:$A$40,'Wall-U'!$H$4:$H$40)*R$13)+(LOOKUP(R$2,'Window-U'!$A$4:$A$40,'Window-U'!$S$4:$S$40)*R$22))*R$61</f>
        <v>1004.8226069010054</v>
      </c>
      <c r="S65" s="177">
        <f>((LOOKUP(S$2,'Ceiling-U'!$A$4:$A$40,'Ceiling-U'!$H$4:$H$40)*S$15)+(LOOKUP(S$2,'Floor-U'!$A$4:$A$40,'Floor-U'!$H$4:$H$40)*S$16)+(LOOKUP(S$2,'Wall-U'!$A$4:$A$40,'Wall-U'!$H$4:$H$40)*S$13)+(LOOKUP(S$2,'Window-U'!$A$4:$A$40,'Window-U'!$S$4:$S$40)*S$22))*S$61</f>
        <v>3474.5029244726275</v>
      </c>
      <c r="T65" s="177">
        <f>((LOOKUP(T$2,'Ceiling-U'!$A$4:$A$40,'Ceiling-U'!$H$4:$H$40)*T$15)+(LOOKUP(T$2,'Floor-U'!$A$4:$A$40,'Floor-U'!$H$4:$H$40)*T$16)+(LOOKUP(T$2,'Wall-U'!$A$4:$A$40,'Wall-U'!$H$4:$H$40)*T$13)+(LOOKUP(T$2,'Window-U'!$A$4:$A$40,'Window-U'!$S$4:$S$40)*T$22))*T$61</f>
        <v>469.52788573121103</v>
      </c>
      <c r="U65" s="177">
        <f>((LOOKUP(U$2,'Ceiling-U'!$A$4:$A$40,'Ceiling-U'!$H$4:$H$40)*U$15)+(LOOKUP(U$2,'Floor-U'!$A$4:$A$40,'Floor-U'!$H$4:$H$40)*U$16)+(LOOKUP(U$2,'Wall-U'!$A$4:$A$40,'Wall-U'!$H$4:$H$40)*U$13)+(LOOKUP(U$2,'Window-U'!$A$4:$A$40,'Window-U'!$S$4:$S$40)*U$22))*U$61</f>
        <v>2213.1858406386586</v>
      </c>
      <c r="V65" s="177">
        <f>((LOOKUP(V$2,'Ceiling-U'!$A$4:$A$40,'Ceiling-U'!$H$4:$H$40)*V$15)+(LOOKUP(V$2,'Floor-U'!$A$4:$A$40,'Floor-U'!$H$4:$H$40)*V$16)+(LOOKUP(V$2,'Wall-U'!$A$4:$A$40,'Wall-U'!$H$4:$H$40)*V$13)+(LOOKUP(V$2,'Window-U'!$A$4:$A$40,'Window-U'!$S$4:$S$40)*V$22))*V$61</f>
        <v>766.83049620361805</v>
      </c>
      <c r="W65" s="177">
        <f>((LOOKUP(W$2,'Ceiling-U'!$A$4:$A$40,'Ceiling-U'!$H$4:$H$40)*W$15)+(LOOKUP(W$2,'Floor-U'!$A$4:$A$40,'Floor-U'!$H$4:$H$40)*W$16)+(LOOKUP(W$2,'Wall-U'!$A$4:$A$40,'Wall-U'!$H$4:$H$40)*W$13)+(LOOKUP(W$2,'Window-U'!$A$4:$A$40,'Window-U'!$S$4:$S$40)*W$22))*W$61</f>
        <v>1053.9868603690713</v>
      </c>
      <c r="X65" s="177">
        <f>((LOOKUP(X$2,'Ceiling-U'!$A$4:$A$40,'Ceiling-U'!$H$4:$H$40)*X$15)+(LOOKUP(X$2,'Floor-U'!$A$4:$A$40,'Floor-U'!$H$4:$H$40)*X$16)+(LOOKUP(X$2,'Wall-U'!$A$4:$A$40,'Wall-U'!$H$4:$H$40)*X$13)+(LOOKUP(X$2,'Window-U'!$A$4:$A$40,'Window-U'!$S$4:$S$40)*X$22))*X$61</f>
        <v>689.84667445969046</v>
      </c>
      <c r="Y65" s="177">
        <f>((LOOKUP(Y$2,'Ceiling-U'!$A$4:$A$40,'Ceiling-U'!$H$4:$H$40)*Y$15)+(LOOKUP(Y$2,'Floor-U'!$A$4:$A$40,'Floor-U'!$H$4:$H$40)*Y$16)+(LOOKUP(Y$2,'Wall-U'!$A$4:$A$40,'Wall-U'!$H$4:$H$40)*Y$13)+(LOOKUP(Y$2,'Window-U'!$A$4:$A$40,'Window-U'!$S$4:$S$40)*Y$22))*Y$61</f>
        <v>3323.9871451183762</v>
      </c>
      <c r="Z65" s="177">
        <f>((LOOKUP(Z$2,'Ceiling-U'!$A$4:$A$40,'Ceiling-U'!$H$4:$H$40)*Z$15)+(LOOKUP(Z$2,'Floor-U'!$A$4:$A$40,'Floor-U'!$H$4:$H$40)*Z$16)+(LOOKUP(Z$2,'Wall-U'!$A$4:$A$40,'Wall-U'!$H$4:$H$40)*Z$13)+(LOOKUP(Z$2,'Window-U'!$A$4:$A$40,'Window-U'!$S$4:$S$40)*Z$22))*Z$61</f>
        <v>1149.6078528730782</v>
      </c>
      <c r="AA65" s="177">
        <f>((LOOKUP(AA$2,'Ceiling-U'!$A$4:$A$40,'Ceiling-U'!$H$4:$H$40)*AA$15)+(LOOKUP(AA$2,'Floor-U'!$A$4:$A$40,'Floor-U'!$H$4:$H$40)*AA$16)+(LOOKUP(AA$2,'Wall-U'!$A$4:$A$40,'Wall-U'!$H$4:$H$40)*AA$13)+(LOOKUP(AA$2,'Window-U'!$A$4:$A$40,'Window-U'!$S$4:$S$40)*AA$22))*AA$61</f>
        <v>441.89635159968213</v>
      </c>
      <c r="AB65" s="177">
        <f>((LOOKUP(AB$2,'Ceiling-U'!$A$4:$A$40,'Ceiling-U'!$H$4:$H$40)*AB$15)+(LOOKUP(AB$2,'Floor-U'!$A$4:$A$40,'Floor-U'!$H$4:$H$40)*AB$16)+(LOOKUP(AB$2,'Wall-U'!$A$4:$A$40,'Wall-U'!$H$4:$H$40)*AB$13)+(LOOKUP(AB$2,'Window-U'!$A$4:$A$40,'Window-U'!$S$4:$S$40)*AB$22))*AB$61</f>
        <v>1315.5742330699795</v>
      </c>
      <c r="AC65" s="177">
        <f>((LOOKUP(AC$2,'Ceiling-U'!$A$4:$A$40,'Ceiling-U'!$H$4:$H$40)*AC$15)+(LOOKUP(AC$2,'Floor-U'!$A$4:$A$40,'Floor-U'!$H$4:$H$40)*AC$16)+(LOOKUP(AC$2,'Wall-U'!$A$4:$A$40,'Wall-U'!$H$4:$H$40)*AC$13)+(LOOKUP(AC$2,'Window-U'!$A$4:$A$40,'Window-U'!$S$4:$S$40)*AC$22))*AC$61</f>
        <v>3344.1709454783781</v>
      </c>
      <c r="AD65" s="177">
        <f>((LOOKUP(AD$2,'Ceiling-U'!$A$4:$A$40,'Ceiling-U'!$H$4:$H$40)*AD$15)+(LOOKUP(AD$2,'Floor-U'!$A$4:$A$40,'Floor-U'!$H$4:$H$40)*AD$16)+(LOOKUP(AD$2,'Wall-U'!$A$4:$A$40,'Wall-U'!$H$4:$H$40)*AD$13)+(LOOKUP(AD$2,'Window-U'!$A$4:$A$40,'Window-U'!$S$4:$S$40)*AD$22))*AD$61</f>
        <v>4031.2433509321586</v>
      </c>
      <c r="AE65" s="177">
        <f>((LOOKUP(AE$2,'Ceiling-U'!$A$4:$A$40,'Ceiling-U'!$H$4:$H$40)*AE$15)+(LOOKUP(AE$2,'Floor-U'!$A$4:$A$40,'Floor-U'!$H$4:$H$40)*AE$16)+(LOOKUP(AE$2,'Wall-U'!$A$4:$A$40,'Wall-U'!$H$4:$H$40)*AE$13)+(LOOKUP(AE$2,'Window-U'!$A$4:$A$40,'Window-U'!$S$4:$S$40)*AE$22))*AE$61</f>
        <v>441.89635159968213</v>
      </c>
      <c r="AF65" s="177">
        <f>((LOOKUP(AF$2,'Ceiling-U'!$A$4:$A$40,'Ceiling-U'!$H$4:$H$40)*AF$15)+(LOOKUP(AF$2,'Floor-U'!$A$4:$A$40,'Floor-U'!$H$4:$H$40)*AF$16)+(LOOKUP(AF$2,'Wall-U'!$A$4:$A$40,'Wall-U'!$H$4:$H$40)*AF$13)+(LOOKUP(AF$2,'Window-U'!$A$4:$A$40,'Window-U'!$S$4:$S$40)*AF$22))*AF$61</f>
        <v>1192.4353998246281</v>
      </c>
      <c r="AG65" s="177">
        <f>((LOOKUP(AG$2,'Ceiling-U'!$A$4:$A$40,'Ceiling-U'!$H$4:$H$40)*AG$15)+(LOOKUP(AG$2,'Floor-U'!$A$4:$A$40,'Floor-U'!$H$4:$H$40)*AG$16)+(LOOKUP(AG$2,'Wall-U'!$A$4:$A$40,'Wall-U'!$H$4:$H$40)*AG$13)+(LOOKUP(AG$2,'Window-U'!$A$4:$A$40,'Window-U'!$S$4:$S$40)*AG$22))*AG$61</f>
        <v>1633.7158445322507</v>
      </c>
      <c r="AH65" s="177">
        <f>((LOOKUP(AH$2,'Ceiling-U'!$A$4:$A$40,'Ceiling-U'!$H$4:$H$40)*AH$15)+(LOOKUP(AH$2,'Floor-U'!$A$4:$A$40,'Floor-U'!$H$4:$H$40)*AH$16)+(LOOKUP(AH$2,'Wall-U'!$A$4:$A$40,'Wall-U'!$H$4:$H$40)*AH$13)+(LOOKUP(AH$2,'Window-U'!$A$4:$A$40,'Window-U'!$S$4:$S$40)*AH$22))*AH$61</f>
        <v>2081.5651009517919</v>
      </c>
      <c r="AI65" s="177">
        <f>((LOOKUP(AI$2,'Ceiling-U'!$A$4:$A$40,'Ceiling-U'!$H$4:$H$40)*AI$15)+(LOOKUP(AI$2,'Floor-U'!$A$4:$A$40,'Floor-U'!$H$4:$H$40)*AI$16)+(LOOKUP(AI$2,'Wall-U'!$A$4:$A$40,'Wall-U'!$H$4:$H$40)*AI$13)+(LOOKUP(AI$2,'Window-U'!$A$4:$A$40,'Window-U'!$S$4:$S$40)*AI$22))*AI$61</f>
        <v>3900.1548853856498</v>
      </c>
      <c r="AJ65" s="177">
        <f>((LOOKUP(AJ$2,'Ceiling-U'!$A$4:$A$40,'Ceiling-U'!$H$4:$H$40)*AJ$15)+(LOOKUP(AJ$2,'Floor-U'!$A$4:$A$40,'Floor-U'!$H$4:$H$40)*AJ$16)+(LOOKUP(AJ$2,'Wall-U'!$A$4:$A$40,'Wall-U'!$H$4:$H$40)*AJ$13)+(LOOKUP(AJ$2,'Window-U'!$A$4:$A$40,'Window-U'!$S$4:$S$40)*AJ$22))*AJ$61</f>
        <v>1688.438464886468</v>
      </c>
      <c r="AK65" s="177">
        <f>((LOOKUP(AK$2,'Ceiling-U'!$A$4:$A$40,'Ceiling-U'!$H$4:$H$40)*AK$15)+(LOOKUP(AK$2,'Floor-U'!$A$4:$A$40,'Floor-U'!$H$4:$H$40)*AK$16)+(LOOKUP(AK$2,'Wall-U'!$A$4:$A$40,'Wall-U'!$H$4:$H$40)*AK$13)+(LOOKUP(AK$2,'Window-U'!$A$4:$A$40,'Window-U'!$S$4:$S$40)*AK$22))*AK$61</f>
        <v>1838.4163011194451</v>
      </c>
      <c r="AL65" s="177">
        <f>((LOOKUP(AL$2,'Ceiling-U'!$A$4:$A$40,'Ceiling-U'!$H$4:$H$40)*AL$15)+(LOOKUP(AL$2,'Floor-U'!$A$4:$A$40,'Floor-U'!$H$4:$H$40)*AL$16)+(LOOKUP(AL$2,'Wall-U'!$A$4:$A$40,'Wall-U'!$H$4:$H$40)*AL$13)+(LOOKUP(AL$2,'Window-U'!$A$4:$A$40,'Window-U'!$S$4:$S$40)*AL$22))*AL$61</f>
        <v>1701.7970529264678</v>
      </c>
      <c r="AM65" s="177">
        <f>((LOOKUP(AM$2,'Ceiling-U'!$A$4:$A$40,'Ceiling-U'!$H$4:$H$40)*AM$15)+(LOOKUP(AM$2,'Floor-U'!$A$4:$A$40,'Floor-U'!$H$4:$H$40)*AM$16)+(LOOKUP(AM$2,'Wall-U'!$A$4:$A$40,'Wall-U'!$H$4:$H$40)*AM$13)+(LOOKUP(AM$2,'Window-U'!$A$4:$A$40,'Window-U'!$S$4:$S$40)*AM$22))*AM$61</f>
        <v>1688.438464886468</v>
      </c>
      <c r="AN65" s="178">
        <f>((LOOKUP(AN$2,'Ceiling-U'!$A$4:$A$40,'Ceiling-U'!$H$4:$H$40)*AN$15)+(LOOKUP(AN$2,'Floor-U'!$A$4:$A$40,'Floor-U'!$H$4:$H$40)*AN$16)+(LOOKUP(AN$2,'Wall-U'!$A$4:$A$40,'Wall-U'!$H$4:$H$40)*AN$13)+(LOOKUP(AN$2,'Window-U'!$A$4:$A$40,'Window-U'!$S$4:$S$40)*AN$22))*AN$61</f>
        <v>1688.438464886468</v>
      </c>
    </row>
    <row r="66" spans="1:40">
      <c r="A66" s="372"/>
      <c r="B66" s="142" t="s">
        <v>6</v>
      </c>
      <c r="C66" s="131" t="s">
        <v>195</v>
      </c>
      <c r="D66" s="176">
        <f>((LOOKUP(D$2,'Ceiling-U'!$A$4:$A$40,'Ceiling-U'!$I$4:$I$40)*D$15)+(LOOKUP(D$2,'Floor-U'!$A$4:$A$40,'Floor-U'!$I$4:$I$40)*D$16)+(LOOKUP(D$2,'Wall-U'!$A$4:$A$40,'Wall-U'!$I$4:$I$40)*D$13)+(LOOKUP(D$2,'Window-U'!$A$4:$A$40,'Window-U'!$S$4:$S$40)*D$22))*D$61</f>
        <v>835.40668136709974</v>
      </c>
      <c r="E66" s="177">
        <f>((LOOKUP(E$2,'Ceiling-U'!$A$4:$A$40,'Ceiling-U'!$I$4:$I$40)*E$15)+(LOOKUP(E$2,'Floor-U'!$A$4:$A$40,'Floor-U'!$I$4:$I$40)*E$16)+(LOOKUP(E$2,'Wall-U'!$A$4:$A$40,'Wall-U'!$I$4:$I$40)*E$13)+(LOOKUP(E$2,'Window-U'!$A$4:$A$40,'Window-U'!$S$4:$S$40)*E$22))*E$61</f>
        <v>2364.4701865412972</v>
      </c>
      <c r="F66" s="177">
        <f>((LOOKUP(F$2,'Ceiling-U'!$A$4:$A$40,'Ceiling-U'!$I$4:$I$40)*F$15)+(LOOKUP(F$2,'Floor-U'!$A$4:$A$40,'Floor-U'!$I$4:$I$40)*F$16)+(LOOKUP(F$2,'Wall-U'!$A$4:$A$40,'Wall-U'!$I$4:$I$40)*F$13)+(LOOKUP(F$2,'Window-U'!$A$4:$A$40,'Window-U'!$S$4:$S$40)*F$22))*F$61</f>
        <v>1958.4037739849637</v>
      </c>
      <c r="G66" s="177">
        <f>((LOOKUP(G$2,'Ceiling-U'!$A$4:$A$40,'Ceiling-U'!$I$4:$I$40)*G$15)+(LOOKUP(G$2,'Floor-U'!$A$4:$A$40,'Floor-U'!$I$4:$I$40)*G$16)+(LOOKUP(G$2,'Wall-U'!$A$4:$A$40,'Wall-U'!$I$4:$I$40)*G$13)+(LOOKUP(G$2,'Window-U'!$A$4:$A$40,'Window-U'!$S$4:$S$40)*G$22))*G$61</f>
        <v>835.40668136709974</v>
      </c>
      <c r="H66" s="177">
        <f>((LOOKUP(H$2,'Ceiling-U'!$A$4:$A$40,'Ceiling-U'!$I$4:$I$40)*H$15)+(LOOKUP(H$2,'Floor-U'!$A$4:$A$40,'Floor-U'!$I$4:$I$40)*H$16)+(LOOKUP(H$2,'Wall-U'!$A$4:$A$40,'Wall-U'!$I$4:$I$40)*H$13)+(LOOKUP(H$2,'Window-U'!$A$4:$A$40,'Window-U'!$S$4:$S$40)*H$22))*H$61</f>
        <v>3036.3951321300242</v>
      </c>
      <c r="I66" s="177">
        <f>((LOOKUP(I$2,'Ceiling-U'!$A$4:$A$40,'Ceiling-U'!$I$4:$I$40)*I$15)+(LOOKUP(I$2,'Floor-U'!$A$4:$A$40,'Floor-U'!$I$4:$I$40)*I$16)+(LOOKUP(I$2,'Wall-U'!$A$4:$A$40,'Wall-U'!$I$4:$I$40)*I$13)+(LOOKUP(I$2,'Window-U'!$A$4:$A$40,'Window-U'!$S$4:$S$40)*I$22))*I$61</f>
        <v>736.04040918177702</v>
      </c>
      <c r="J66" s="177">
        <f>((LOOKUP(J$2,'Ceiling-U'!$A$4:$A$40,'Ceiling-U'!$I$4:$I$40)*J$15)+(LOOKUP(J$2,'Floor-U'!$A$4:$A$40,'Floor-U'!$I$4:$I$40)*J$16)+(LOOKUP(J$2,'Wall-U'!$A$4:$A$40,'Wall-U'!$I$4:$I$40)*J$13)+(LOOKUP(J$2,'Window-U'!$A$4:$A$40,'Window-U'!$S$4:$S$40)*J$22))*J$61</f>
        <v>493.30851234210644</v>
      </c>
      <c r="K66" s="177">
        <f>((LOOKUP(K$2,'Ceiling-U'!$A$4:$A$40,'Ceiling-U'!$I$4:$I$40)*K$15)+(LOOKUP(K$2,'Floor-U'!$A$4:$A$40,'Floor-U'!$I$4:$I$40)*K$16)+(LOOKUP(K$2,'Wall-U'!$A$4:$A$40,'Wall-U'!$I$4:$I$40)*K$13)+(LOOKUP(K$2,'Window-U'!$A$4:$A$40,'Window-U'!$S$4:$S$40)*K$22))*K$61</f>
        <v>806.73598750260351</v>
      </c>
      <c r="L66" s="177">
        <f>((LOOKUP(L$2,'Ceiling-U'!$A$4:$A$40,'Ceiling-U'!$I$4:$I$40)*L$15)+(LOOKUP(L$2,'Floor-U'!$A$4:$A$40,'Floor-U'!$I$4:$I$40)*L$16)+(LOOKUP(L$2,'Wall-U'!$A$4:$A$40,'Wall-U'!$I$4:$I$40)*L$13)+(LOOKUP(L$2,'Window-U'!$A$4:$A$40,'Window-U'!$S$4:$S$40)*L$22))*L$61</f>
        <v>347.50926918035293</v>
      </c>
      <c r="M66" s="177">
        <f>((LOOKUP(M$2,'Ceiling-U'!$A$4:$A$40,'Ceiling-U'!$I$4:$I$40)*M$15)+(LOOKUP(M$2,'Floor-U'!$A$4:$A$40,'Floor-U'!$I$4:$I$40)*M$16)+(LOOKUP(M$2,'Wall-U'!$A$4:$A$40,'Wall-U'!$I$4:$I$40)*M$13)+(LOOKUP(M$2,'Window-U'!$A$4:$A$40,'Window-U'!$S$4:$S$40)*M$22))*M$61</f>
        <v>1624.6874894219402</v>
      </c>
      <c r="N66" s="177">
        <f>((LOOKUP(N$2,'Ceiling-U'!$A$4:$A$40,'Ceiling-U'!$I$4:$I$40)*N$15)+(LOOKUP(N$2,'Floor-U'!$A$4:$A$40,'Floor-U'!$I$4:$I$40)*N$16)+(LOOKUP(N$2,'Wall-U'!$A$4:$A$40,'Wall-U'!$I$4:$I$40)*N$13)+(LOOKUP(N$2,'Window-U'!$A$4:$A$40,'Window-U'!$S$4:$S$40)*N$22))*N$61</f>
        <v>875.45072160197822</v>
      </c>
      <c r="O66" s="177">
        <f>((LOOKUP(O$2,'Ceiling-U'!$A$4:$A$40,'Ceiling-U'!$I$4:$I$40)*O$15)+(LOOKUP(O$2,'Floor-U'!$A$4:$A$40,'Floor-U'!$I$4:$I$40)*O$16)+(LOOKUP(O$2,'Wall-U'!$A$4:$A$40,'Wall-U'!$I$4:$I$40)*O$13)+(LOOKUP(O$2,'Window-U'!$A$4:$A$40,'Window-U'!$S$4:$S$40)*O$22))*O$61</f>
        <v>653.56973629432866</v>
      </c>
      <c r="P66" s="177">
        <f>((LOOKUP(P$2,'Ceiling-U'!$A$4:$A$40,'Ceiling-U'!$I$4:$I$40)*P$15)+(LOOKUP(P$2,'Floor-U'!$A$4:$A$40,'Floor-U'!$I$4:$I$40)*P$16)+(LOOKUP(P$2,'Wall-U'!$A$4:$A$40,'Wall-U'!$I$4:$I$40)*P$13)+(LOOKUP(P$2,'Window-U'!$A$4:$A$40,'Window-U'!$S$4:$S$40)*P$22))*P$61</f>
        <v>2482.3934065809658</v>
      </c>
      <c r="Q66" s="177">
        <f>((LOOKUP(Q$2,'Ceiling-U'!$A$4:$A$40,'Ceiling-U'!$I$4:$I$40)*Q$15)+(LOOKUP(Q$2,'Floor-U'!$A$4:$A$40,'Floor-U'!$I$4:$I$40)*Q$16)+(LOOKUP(Q$2,'Wall-U'!$A$4:$A$40,'Wall-U'!$I$4:$I$40)*Q$13)+(LOOKUP(Q$2,'Window-U'!$A$4:$A$40,'Window-U'!$S$4:$S$40)*Q$22))*Q$61</f>
        <v>1234.6254530648068</v>
      </c>
      <c r="R66" s="177">
        <f>((LOOKUP(R$2,'Ceiling-U'!$A$4:$A$40,'Ceiling-U'!$I$4:$I$40)*R$15)+(LOOKUP(R$2,'Floor-U'!$A$4:$A$40,'Floor-U'!$I$4:$I$40)*R$16)+(LOOKUP(R$2,'Wall-U'!$A$4:$A$40,'Wall-U'!$I$4:$I$40)*R$13)+(LOOKUP(R$2,'Window-U'!$A$4:$A$40,'Window-U'!$S$4:$S$40)*R$22))*R$61</f>
        <v>1004.8226069010054</v>
      </c>
      <c r="S66" s="177">
        <f>((LOOKUP(S$2,'Ceiling-U'!$A$4:$A$40,'Ceiling-U'!$I$4:$I$40)*S$15)+(LOOKUP(S$2,'Floor-U'!$A$4:$A$40,'Floor-U'!$I$4:$I$40)*S$16)+(LOOKUP(S$2,'Wall-U'!$A$4:$A$40,'Wall-U'!$I$4:$I$40)*S$13)+(LOOKUP(S$2,'Window-U'!$A$4:$A$40,'Window-U'!$S$4:$S$40)*S$22))*S$61</f>
        <v>2770.9025205693511</v>
      </c>
      <c r="T66" s="177">
        <f>((LOOKUP(T$2,'Ceiling-U'!$A$4:$A$40,'Ceiling-U'!$I$4:$I$40)*T$15)+(LOOKUP(T$2,'Floor-U'!$A$4:$A$40,'Floor-U'!$I$4:$I$40)*T$16)+(LOOKUP(T$2,'Wall-U'!$A$4:$A$40,'Wall-U'!$I$4:$I$40)*T$13)+(LOOKUP(T$2,'Window-U'!$A$4:$A$40,'Window-U'!$S$4:$S$40)*T$22))*T$61</f>
        <v>462.04844913943543</v>
      </c>
      <c r="U66" s="177">
        <f>((LOOKUP(U$2,'Ceiling-U'!$A$4:$A$40,'Ceiling-U'!$I$4:$I$40)*U$15)+(LOOKUP(U$2,'Floor-U'!$A$4:$A$40,'Floor-U'!$I$4:$I$40)*U$16)+(LOOKUP(U$2,'Wall-U'!$A$4:$A$40,'Wall-U'!$I$4:$I$40)*U$13)+(LOOKUP(U$2,'Window-U'!$A$4:$A$40,'Window-U'!$S$4:$S$40)*U$22))*U$61</f>
        <v>1963.3479645428597</v>
      </c>
      <c r="V66" s="177">
        <f>((LOOKUP(V$2,'Ceiling-U'!$A$4:$A$40,'Ceiling-U'!$I$4:$I$40)*V$15)+(LOOKUP(V$2,'Floor-U'!$A$4:$A$40,'Floor-U'!$I$4:$I$40)*V$16)+(LOOKUP(V$2,'Wall-U'!$A$4:$A$40,'Wall-U'!$I$4:$I$40)*V$13)+(LOOKUP(V$2,'Window-U'!$A$4:$A$40,'Window-U'!$S$4:$S$40)*V$22))*V$61</f>
        <v>766.83049620361805</v>
      </c>
      <c r="W66" s="177">
        <f>((LOOKUP(W$2,'Ceiling-U'!$A$4:$A$40,'Ceiling-U'!$I$4:$I$40)*W$15)+(LOOKUP(W$2,'Floor-U'!$A$4:$A$40,'Floor-U'!$I$4:$I$40)*W$16)+(LOOKUP(W$2,'Wall-U'!$A$4:$A$40,'Wall-U'!$I$4:$I$40)*W$13)+(LOOKUP(W$2,'Window-U'!$A$4:$A$40,'Window-U'!$S$4:$S$40)*W$22))*W$61</f>
        <v>902.88602245238599</v>
      </c>
      <c r="X66" s="177">
        <f>((LOOKUP(X$2,'Ceiling-U'!$A$4:$A$40,'Ceiling-U'!$I$4:$I$40)*X$15)+(LOOKUP(X$2,'Floor-U'!$A$4:$A$40,'Floor-U'!$I$4:$I$40)*X$16)+(LOOKUP(X$2,'Wall-U'!$A$4:$A$40,'Wall-U'!$I$4:$I$40)*X$13)+(LOOKUP(X$2,'Window-U'!$A$4:$A$40,'Window-U'!$S$4:$S$40)*X$22))*X$61</f>
        <v>682.12167445969044</v>
      </c>
      <c r="Y66" s="177">
        <f>((LOOKUP(Y$2,'Ceiling-U'!$A$4:$A$40,'Ceiling-U'!$I$4:$I$40)*Y$15)+(LOOKUP(Y$2,'Floor-U'!$A$4:$A$40,'Floor-U'!$I$4:$I$40)*Y$16)+(LOOKUP(Y$2,'Wall-U'!$A$4:$A$40,'Wall-U'!$I$4:$I$40)*Y$13)+(LOOKUP(Y$2,'Window-U'!$A$4:$A$40,'Window-U'!$S$4:$S$40)*Y$22))*Y$61</f>
        <v>3275.5192174783765</v>
      </c>
      <c r="Z66" s="177">
        <f>((LOOKUP(Z$2,'Ceiling-U'!$A$4:$A$40,'Ceiling-U'!$I$4:$I$40)*Z$15)+(LOOKUP(Z$2,'Floor-U'!$A$4:$A$40,'Floor-U'!$I$4:$I$40)*Z$16)+(LOOKUP(Z$2,'Wall-U'!$A$4:$A$40,'Wall-U'!$I$4:$I$40)*Z$13)+(LOOKUP(Z$2,'Window-U'!$A$4:$A$40,'Window-U'!$S$4:$S$40)*Z$22))*Z$61</f>
        <v>1030.3174172986455</v>
      </c>
      <c r="AA66" s="177">
        <f>((LOOKUP(AA$2,'Ceiling-U'!$A$4:$A$40,'Ceiling-U'!$I$4:$I$40)*AA$15)+(LOOKUP(AA$2,'Floor-U'!$A$4:$A$40,'Floor-U'!$I$4:$I$40)*AA$16)+(LOOKUP(AA$2,'Wall-U'!$A$4:$A$40,'Wall-U'!$I$4:$I$40)*AA$13)+(LOOKUP(AA$2,'Window-U'!$A$4:$A$40,'Window-U'!$S$4:$S$40)*AA$22))*AA$61</f>
        <v>359.12281315177108</v>
      </c>
      <c r="AB66" s="177">
        <f>((LOOKUP(AB$2,'Ceiling-U'!$A$4:$A$40,'Ceiling-U'!$I$4:$I$40)*AB$15)+(LOOKUP(AB$2,'Floor-U'!$A$4:$A$40,'Floor-U'!$I$4:$I$40)*AB$16)+(LOOKUP(AB$2,'Wall-U'!$A$4:$A$40,'Wall-U'!$I$4:$I$40)*AB$13)+(LOOKUP(AB$2,'Window-U'!$A$4:$A$40,'Window-U'!$S$4:$S$40)*AB$22))*AB$61</f>
        <v>1315.5742330699795</v>
      </c>
      <c r="AC66" s="177">
        <f>((LOOKUP(AC$2,'Ceiling-U'!$A$4:$A$40,'Ceiling-U'!$I$4:$I$40)*AC$15)+(LOOKUP(AC$2,'Floor-U'!$A$4:$A$40,'Floor-U'!$I$4:$I$40)*AC$16)+(LOOKUP(AC$2,'Wall-U'!$A$4:$A$40,'Wall-U'!$I$4:$I$40)*AC$13)+(LOOKUP(AC$2,'Window-U'!$A$4:$A$40,'Window-U'!$S$4:$S$40)*AC$22))*AC$61</f>
        <v>2987.5107074386101</v>
      </c>
      <c r="AD66" s="177">
        <f>((LOOKUP(AD$2,'Ceiling-U'!$A$4:$A$40,'Ceiling-U'!$I$4:$I$40)*AD$15)+(LOOKUP(AD$2,'Floor-U'!$A$4:$A$40,'Floor-U'!$I$4:$I$40)*AD$16)+(LOOKUP(AD$2,'Wall-U'!$A$4:$A$40,'Wall-U'!$I$4:$I$40)*AD$13)+(LOOKUP(AD$2,'Window-U'!$A$4:$A$40,'Window-U'!$S$4:$S$40)*AD$22))*AD$61</f>
        <v>4031.2433509321586</v>
      </c>
      <c r="AE66" s="177">
        <f>((LOOKUP(AE$2,'Ceiling-U'!$A$4:$A$40,'Ceiling-U'!$I$4:$I$40)*AE$15)+(LOOKUP(AE$2,'Floor-U'!$A$4:$A$40,'Floor-U'!$I$4:$I$40)*AE$16)+(LOOKUP(AE$2,'Wall-U'!$A$4:$A$40,'Wall-U'!$I$4:$I$40)*AE$13)+(LOOKUP(AE$2,'Window-U'!$A$4:$A$40,'Window-U'!$S$4:$S$40)*AE$22))*AE$61</f>
        <v>359.12281315177108</v>
      </c>
      <c r="AF66" s="177">
        <f>((LOOKUP(AF$2,'Ceiling-U'!$A$4:$A$40,'Ceiling-U'!$I$4:$I$40)*AF$15)+(LOOKUP(AF$2,'Floor-U'!$A$4:$A$40,'Floor-U'!$I$4:$I$40)*AF$16)+(LOOKUP(AF$2,'Wall-U'!$A$4:$A$40,'Wall-U'!$I$4:$I$40)*AF$13)+(LOOKUP(AF$2,'Window-U'!$A$4:$A$40,'Window-U'!$S$4:$S$40)*AF$22))*AF$61</f>
        <v>808.11062836641884</v>
      </c>
      <c r="AG66" s="177">
        <f>((LOOKUP(AG$2,'Ceiling-U'!$A$4:$A$40,'Ceiling-U'!$I$4:$I$40)*AG$15)+(LOOKUP(AG$2,'Floor-U'!$A$4:$A$40,'Floor-U'!$I$4:$I$40)*AG$16)+(LOOKUP(AG$2,'Wall-U'!$A$4:$A$40,'Wall-U'!$I$4:$I$40)*AG$13)+(LOOKUP(AG$2,'Window-U'!$A$4:$A$40,'Window-U'!$S$4:$S$40)*AG$22))*AG$61</f>
        <v>1523.4606407322508</v>
      </c>
      <c r="AH66" s="177">
        <f>((LOOKUP(AH$2,'Ceiling-U'!$A$4:$A$40,'Ceiling-U'!$I$4:$I$40)*AH$15)+(LOOKUP(AH$2,'Floor-U'!$A$4:$A$40,'Floor-U'!$I$4:$I$40)*AH$16)+(LOOKUP(AH$2,'Wall-U'!$A$4:$A$40,'Wall-U'!$I$4:$I$40)*AH$13)+(LOOKUP(AH$2,'Window-U'!$A$4:$A$40,'Window-U'!$S$4:$S$40)*AH$22))*AH$61</f>
        <v>1648.9951853462976</v>
      </c>
      <c r="AI66" s="177">
        <f>((LOOKUP(AI$2,'Ceiling-U'!$A$4:$A$40,'Ceiling-U'!$I$4:$I$40)*AI$15)+(LOOKUP(AI$2,'Floor-U'!$A$4:$A$40,'Floor-U'!$I$4:$I$40)*AI$16)+(LOOKUP(AI$2,'Wall-U'!$A$4:$A$40,'Wall-U'!$I$4:$I$40)*AI$13)+(LOOKUP(AI$2,'Window-U'!$A$4:$A$40,'Window-U'!$S$4:$S$40)*AI$22))*AI$61</f>
        <v>3900.1548853856498</v>
      </c>
      <c r="AJ66" s="177">
        <f>((LOOKUP(AJ$2,'Ceiling-U'!$A$4:$A$40,'Ceiling-U'!$I$4:$I$40)*AJ$15)+(LOOKUP(AJ$2,'Floor-U'!$A$4:$A$40,'Floor-U'!$I$4:$I$40)*AJ$16)+(LOOKUP(AJ$2,'Wall-U'!$A$4:$A$40,'Wall-U'!$I$4:$I$40)*AJ$13)+(LOOKUP(AJ$2,'Window-U'!$A$4:$A$40,'Window-U'!$S$4:$S$40)*AJ$22))*AJ$61</f>
        <v>1553.1497973292624</v>
      </c>
      <c r="AK66" s="177">
        <f>((LOOKUP(AK$2,'Ceiling-U'!$A$4:$A$40,'Ceiling-U'!$I$4:$I$40)*AK$15)+(LOOKUP(AK$2,'Floor-U'!$A$4:$A$40,'Floor-U'!$I$4:$I$40)*AK$16)+(LOOKUP(AK$2,'Wall-U'!$A$4:$A$40,'Wall-U'!$I$4:$I$40)*AK$13)+(LOOKUP(AK$2,'Window-U'!$A$4:$A$40,'Window-U'!$S$4:$S$40)*AK$22))*AK$61</f>
        <v>1690.2774426928247</v>
      </c>
      <c r="AL66" s="177">
        <f>((LOOKUP(AL$2,'Ceiling-U'!$A$4:$A$40,'Ceiling-U'!$I$4:$I$40)*AL$15)+(LOOKUP(AL$2,'Floor-U'!$A$4:$A$40,'Floor-U'!$I$4:$I$40)*AL$16)+(LOOKUP(AL$2,'Wall-U'!$A$4:$A$40,'Wall-U'!$I$4:$I$40)*AL$13)+(LOOKUP(AL$2,'Window-U'!$A$4:$A$40,'Window-U'!$S$4:$S$40)*AL$22))*AL$61</f>
        <v>1277.000291873017</v>
      </c>
      <c r="AM66" s="177">
        <f>((LOOKUP(AM$2,'Ceiling-U'!$A$4:$A$40,'Ceiling-U'!$I$4:$I$40)*AM$15)+(LOOKUP(AM$2,'Floor-U'!$A$4:$A$40,'Floor-U'!$I$4:$I$40)*AM$16)+(LOOKUP(AM$2,'Wall-U'!$A$4:$A$40,'Wall-U'!$I$4:$I$40)*AM$13)+(LOOKUP(AM$2,'Window-U'!$A$4:$A$40,'Window-U'!$S$4:$S$40)*AM$22))*AM$61</f>
        <v>1553.1497973292624</v>
      </c>
      <c r="AN66" s="178">
        <f>((LOOKUP(AN$2,'Ceiling-U'!$A$4:$A$40,'Ceiling-U'!$I$4:$I$40)*AN$15)+(LOOKUP(AN$2,'Floor-U'!$A$4:$A$40,'Floor-U'!$I$4:$I$40)*AN$16)+(LOOKUP(AN$2,'Wall-U'!$A$4:$A$40,'Wall-U'!$I$4:$I$40)*AN$13)+(LOOKUP(AN$2,'Window-U'!$A$4:$A$40,'Window-U'!$S$4:$S$40)*AN$22))*AN$61</f>
        <v>1553.1497973292624</v>
      </c>
    </row>
    <row r="67" spans="1:40">
      <c r="A67" s="373"/>
      <c r="B67" s="374" t="s">
        <v>7</v>
      </c>
      <c r="C67" s="131" t="s">
        <v>195</v>
      </c>
      <c r="D67" s="176">
        <f>((LOOKUP(D$2,'Ceiling-U'!$A$4:$A$40,'Ceiling-U'!$J$4:$J$40)*D$15)+(LOOKUP(D$2,'Floor-U'!$A$4:$A$40,'Floor-U'!$J$4:$J$40)*D$16)+(LOOKUP(D$2,'Wall-U'!$A$4:$A$40,'Wall-U'!$J$4:$J$40)*D$13)+(LOOKUP(D$2,'Window-U'!$A$4:$A$40,'Window-U'!$S$4:$S$40)*D$22))*D$61</f>
        <v>739.75601523038983</v>
      </c>
      <c r="E67" s="174">
        <f>((LOOKUP(E$2,'Ceiling-U'!$A$4:$A$40,'Ceiling-U'!$J$4:$J$40)*E$15)+(LOOKUP(E$2,'Floor-U'!$A$4:$A$40,'Floor-U'!$J$4:$J$40)*E$16)+(LOOKUP(E$2,'Wall-U'!$A$4:$A$40,'Wall-U'!$J$4:$J$40)*E$13)+(LOOKUP(E$2,'Window-U'!$A$4:$A$40,'Window-U'!$S$4:$S$40)*E$22))*E$61</f>
        <v>1247.1766048074103</v>
      </c>
      <c r="F67" s="174">
        <f>((LOOKUP(F$2,'Ceiling-U'!$A$4:$A$40,'Ceiling-U'!$J$4:$J$40)*F$15)+(LOOKUP(F$2,'Floor-U'!$A$4:$A$40,'Floor-U'!$J$4:$J$40)*F$16)+(LOOKUP(F$2,'Wall-U'!$A$4:$A$40,'Wall-U'!$J$4:$J$40)*F$13)+(LOOKUP(F$2,'Window-U'!$A$4:$A$40,'Window-U'!$S$4:$S$40)*F$22))*F$61</f>
        <v>1130.9168288377905</v>
      </c>
      <c r="G67" s="174">
        <f>((LOOKUP(G$2,'Ceiling-U'!$A$4:$A$40,'Ceiling-U'!$J$4:$J$40)*G$15)+(LOOKUP(G$2,'Floor-U'!$A$4:$A$40,'Floor-U'!$J$4:$J$40)*G$16)+(LOOKUP(G$2,'Wall-U'!$A$4:$A$40,'Wall-U'!$J$4:$J$40)*G$13)+(LOOKUP(G$2,'Window-U'!$A$4:$A$40,'Window-U'!$S$4:$S$40)*G$22))*G$61</f>
        <v>739.75601523038983</v>
      </c>
      <c r="H67" s="174">
        <f>((LOOKUP(H$2,'Ceiling-U'!$A$4:$A$40,'Ceiling-U'!$J$4:$J$40)*H$15)+(LOOKUP(H$2,'Floor-U'!$A$4:$A$40,'Floor-U'!$J$4:$J$40)*H$16)+(LOOKUP(H$2,'Wall-U'!$A$4:$A$40,'Wall-U'!$J$4:$J$40)*H$13)+(LOOKUP(H$2,'Window-U'!$A$4:$A$40,'Window-U'!$S$4:$S$40)*H$22))*H$61</f>
        <v>2593.506833130024</v>
      </c>
      <c r="I67" s="174">
        <f>((LOOKUP(I$2,'Ceiling-U'!$A$4:$A$40,'Ceiling-U'!$J$4:$J$40)*I$15)+(LOOKUP(I$2,'Floor-U'!$A$4:$A$40,'Floor-U'!$J$4:$J$40)*I$16)+(LOOKUP(I$2,'Wall-U'!$A$4:$A$40,'Wall-U'!$J$4:$J$40)*I$13)+(LOOKUP(I$2,'Window-U'!$A$4:$A$40,'Window-U'!$S$4:$S$40)*I$22))*I$61</f>
        <v>610.08389810016729</v>
      </c>
      <c r="J67" s="174">
        <f>((LOOKUP(J$2,'Ceiling-U'!$A$4:$A$40,'Ceiling-U'!$J$4:$J$40)*J$15)+(LOOKUP(J$2,'Floor-U'!$A$4:$A$40,'Floor-U'!$J$4:$J$40)*J$16)+(LOOKUP(J$2,'Wall-U'!$A$4:$A$40,'Wall-U'!$J$4:$J$40)*J$13)+(LOOKUP(J$2,'Window-U'!$A$4:$A$40,'Window-U'!$S$4:$S$40)*J$22))*J$61</f>
        <v>569.24968278263293</v>
      </c>
      <c r="K67" s="174">
        <f>((LOOKUP(K$2,'Ceiling-U'!$A$4:$A$40,'Ceiling-U'!$J$4:$J$40)*K$15)+(LOOKUP(K$2,'Floor-U'!$A$4:$A$40,'Floor-U'!$J$4:$J$40)*K$16)+(LOOKUP(K$2,'Wall-U'!$A$4:$A$40,'Wall-U'!$J$4:$J$40)*K$13)+(LOOKUP(K$2,'Window-U'!$A$4:$A$40,'Window-U'!$S$4:$S$40)*K$22))*K$61</f>
        <v>594.09788442644685</v>
      </c>
      <c r="L67" s="174">
        <f>((LOOKUP(L$2,'Ceiling-U'!$A$4:$A$40,'Ceiling-U'!$J$4:$J$40)*L$15)+(LOOKUP(L$2,'Floor-U'!$A$4:$A$40,'Floor-U'!$J$4:$J$40)*L$16)+(LOOKUP(L$2,'Wall-U'!$A$4:$A$40,'Wall-U'!$J$4:$J$40)*L$13)+(LOOKUP(L$2,'Window-U'!$A$4:$A$40,'Window-U'!$S$4:$S$40)*L$22))*L$61</f>
        <v>347.50926918035293</v>
      </c>
      <c r="M67" s="174">
        <f>((LOOKUP(M$2,'Ceiling-U'!$A$4:$A$40,'Ceiling-U'!$J$4:$J$40)*M$15)+(LOOKUP(M$2,'Floor-U'!$A$4:$A$40,'Floor-U'!$J$4:$J$40)*M$16)+(LOOKUP(M$2,'Wall-U'!$A$4:$A$40,'Wall-U'!$J$4:$J$40)*M$13)+(LOOKUP(M$2,'Window-U'!$A$4:$A$40,'Window-U'!$S$4:$S$40)*M$22))*M$61</f>
        <v>894.47508155097012</v>
      </c>
      <c r="N67" s="174">
        <f>((LOOKUP(N$2,'Ceiling-U'!$A$4:$A$40,'Ceiling-U'!$J$4:$J$40)*N$15)+(LOOKUP(N$2,'Floor-U'!$A$4:$A$40,'Floor-U'!$J$4:$J$40)*N$16)+(LOOKUP(N$2,'Wall-U'!$A$4:$A$40,'Wall-U'!$J$4:$J$40)*N$13)+(LOOKUP(N$2,'Window-U'!$A$4:$A$40,'Window-U'!$S$4:$S$40)*N$22))*N$61</f>
        <v>810.13281291612259</v>
      </c>
      <c r="O67" s="174">
        <f>((LOOKUP(O$2,'Ceiling-U'!$A$4:$A$40,'Ceiling-U'!$J$4:$J$40)*O$15)+(LOOKUP(O$2,'Floor-U'!$A$4:$A$40,'Floor-U'!$J$4:$J$40)*O$16)+(LOOKUP(O$2,'Wall-U'!$A$4:$A$40,'Wall-U'!$J$4:$J$40)*O$13)+(LOOKUP(O$2,'Window-U'!$A$4:$A$40,'Window-U'!$S$4:$S$40)*O$22))*O$61</f>
        <v>632.09824687670027</v>
      </c>
      <c r="P67" s="174">
        <f>((LOOKUP(P$2,'Ceiling-U'!$A$4:$A$40,'Ceiling-U'!$J$4:$J$40)*P$15)+(LOOKUP(P$2,'Floor-U'!$A$4:$A$40,'Floor-U'!$J$4:$J$40)*P$16)+(LOOKUP(P$2,'Wall-U'!$A$4:$A$40,'Wall-U'!$J$4:$J$40)*P$13)+(LOOKUP(P$2,'Window-U'!$A$4:$A$40,'Window-U'!$S$4:$S$40)*P$22))*P$61</f>
        <v>673.94842670389971</v>
      </c>
      <c r="Q67" s="174">
        <f>((LOOKUP(Q$2,'Ceiling-U'!$A$4:$A$40,'Ceiling-U'!$J$4:$J$40)*Q$15)+(LOOKUP(Q$2,'Floor-U'!$A$4:$A$40,'Floor-U'!$J$4:$J$40)*Q$16)+(LOOKUP(Q$2,'Wall-U'!$A$4:$A$40,'Wall-U'!$J$4:$J$40)*Q$13)+(LOOKUP(Q$2,'Window-U'!$A$4:$A$40,'Window-U'!$S$4:$S$40)*Q$22))*Q$61</f>
        <v>635.64136765449928</v>
      </c>
      <c r="R67" s="174">
        <f>((LOOKUP(R$2,'Ceiling-U'!$A$4:$A$40,'Ceiling-U'!$J$4:$J$40)*R$15)+(LOOKUP(R$2,'Floor-U'!$A$4:$A$40,'Floor-U'!$J$4:$J$40)*R$16)+(LOOKUP(R$2,'Wall-U'!$A$4:$A$40,'Wall-U'!$J$4:$J$40)*R$13)+(LOOKUP(R$2,'Window-U'!$A$4:$A$40,'Window-U'!$S$4:$S$40)*R$22))*R$61</f>
        <v>600.90508321931554</v>
      </c>
      <c r="S67" s="174">
        <f>((LOOKUP(S$2,'Ceiling-U'!$A$4:$A$40,'Ceiling-U'!$J$4:$J$40)*S$15)+(LOOKUP(S$2,'Floor-U'!$A$4:$A$40,'Floor-U'!$J$4:$J$40)*S$16)+(LOOKUP(S$2,'Wall-U'!$A$4:$A$40,'Wall-U'!$J$4:$J$40)*S$13)+(LOOKUP(S$2,'Window-U'!$A$4:$A$40,'Window-U'!$S$4:$S$40)*S$22))*S$61</f>
        <v>1572.3598895463779</v>
      </c>
      <c r="T67" s="174">
        <f>((LOOKUP(T$2,'Ceiling-U'!$A$4:$A$40,'Ceiling-U'!$J$4:$J$40)*T$15)+(LOOKUP(T$2,'Floor-U'!$A$4:$A$40,'Floor-U'!$J$4:$J$40)*T$16)+(LOOKUP(T$2,'Wall-U'!$A$4:$A$40,'Wall-U'!$J$4:$J$40)*T$13)+(LOOKUP(T$2,'Window-U'!$A$4:$A$40,'Window-U'!$S$4:$S$40)*T$22))*T$61</f>
        <v>427.93070277233289</v>
      </c>
      <c r="U67" s="174">
        <f>((LOOKUP(U$2,'Ceiling-U'!$A$4:$A$40,'Ceiling-U'!$J$4:$J$40)*U$15)+(LOOKUP(U$2,'Floor-U'!$A$4:$A$40,'Floor-U'!$J$4:$J$40)*U$16)+(LOOKUP(U$2,'Wall-U'!$A$4:$A$40,'Wall-U'!$J$4:$J$40)*U$13)+(LOOKUP(U$2,'Window-U'!$A$4:$A$40,'Window-U'!$S$4:$S$40)*U$22))*U$61</f>
        <v>1963.3479645428597</v>
      </c>
      <c r="V67" s="174">
        <f>((LOOKUP(V$2,'Ceiling-U'!$A$4:$A$40,'Ceiling-U'!$J$4:$J$40)*V$15)+(LOOKUP(V$2,'Floor-U'!$A$4:$A$40,'Floor-U'!$J$4:$J$40)*V$16)+(LOOKUP(V$2,'Wall-U'!$A$4:$A$40,'Wall-U'!$J$4:$J$40)*V$13)+(LOOKUP(V$2,'Window-U'!$A$4:$A$40,'Window-U'!$S$4:$S$40)*V$22))*V$61</f>
        <v>353.58777566120602</v>
      </c>
      <c r="W67" s="174">
        <f>((LOOKUP(W$2,'Ceiling-U'!$A$4:$A$40,'Ceiling-U'!$J$4:$J$40)*W$15)+(LOOKUP(W$2,'Floor-U'!$A$4:$A$40,'Floor-U'!$J$4:$J$40)*W$16)+(LOOKUP(W$2,'Wall-U'!$A$4:$A$40,'Wall-U'!$J$4:$J$40)*W$13)+(LOOKUP(W$2,'Window-U'!$A$4:$A$40,'Window-U'!$S$4:$S$40)*W$22))*W$61</f>
        <v>702.61000799320402</v>
      </c>
      <c r="X67" s="174">
        <f>((LOOKUP(X$2,'Ceiling-U'!$A$4:$A$40,'Ceiling-U'!$J$4:$J$40)*X$15)+(LOOKUP(X$2,'Floor-U'!$A$4:$A$40,'Floor-U'!$J$4:$J$40)*X$16)+(LOOKUP(X$2,'Wall-U'!$A$4:$A$40,'Wall-U'!$J$4:$J$40)*X$13)+(LOOKUP(X$2,'Window-U'!$A$4:$A$40,'Window-U'!$S$4:$S$40)*X$22))*X$61</f>
        <v>337.91280280548852</v>
      </c>
      <c r="Y67" s="174">
        <f>((LOOKUP(Y$2,'Ceiling-U'!$A$4:$A$40,'Ceiling-U'!$J$4:$J$40)*Y$15)+(LOOKUP(Y$2,'Floor-U'!$A$4:$A$40,'Floor-U'!$J$4:$J$40)*Y$16)+(LOOKUP(Y$2,'Wall-U'!$A$4:$A$40,'Wall-U'!$J$4:$J$40)*Y$13)+(LOOKUP(Y$2,'Window-U'!$A$4:$A$40,'Window-U'!$S$4:$S$40)*Y$22))*Y$61</f>
        <v>3029.2857919049152</v>
      </c>
      <c r="Z67" s="174">
        <f>((LOOKUP(Z$2,'Ceiling-U'!$A$4:$A$40,'Ceiling-U'!$J$4:$J$40)*Z$15)+(LOOKUP(Z$2,'Floor-U'!$A$4:$A$40,'Floor-U'!$J$4:$J$40)*Z$16)+(LOOKUP(Z$2,'Wall-U'!$A$4:$A$40,'Wall-U'!$J$4:$J$40)*Z$13)+(LOOKUP(Z$2,'Window-U'!$A$4:$A$40,'Window-U'!$S$4:$S$40)*Z$22))*Z$61</f>
        <v>748.3447532807503</v>
      </c>
      <c r="AA67" s="174">
        <f>((LOOKUP(AA$2,'Ceiling-U'!$A$4:$A$40,'Ceiling-U'!$J$4:$J$40)*AA$15)+(LOOKUP(AA$2,'Floor-U'!$A$4:$A$40,'Floor-U'!$J$4:$J$40)*AA$16)+(LOOKUP(AA$2,'Wall-U'!$A$4:$A$40,'Wall-U'!$J$4:$J$40)*AA$13)+(LOOKUP(AA$2,'Window-U'!$A$4:$A$40,'Window-U'!$S$4:$S$40)*AA$22))*AA$61</f>
        <v>359.12281315177108</v>
      </c>
      <c r="AB67" s="174">
        <f>((LOOKUP(AB$2,'Ceiling-U'!$A$4:$A$40,'Ceiling-U'!$J$4:$J$40)*AB$15)+(LOOKUP(AB$2,'Floor-U'!$A$4:$A$40,'Floor-U'!$J$4:$J$40)*AB$16)+(LOOKUP(AB$2,'Wall-U'!$A$4:$A$40,'Wall-U'!$J$4:$J$40)*AB$13)+(LOOKUP(AB$2,'Window-U'!$A$4:$A$40,'Window-U'!$S$4:$S$40)*AB$22))*AB$61</f>
        <v>907.91981073551904</v>
      </c>
      <c r="AC67" s="174">
        <f>((LOOKUP(AC$2,'Ceiling-U'!$A$4:$A$40,'Ceiling-U'!$J$4:$J$40)*AC$15)+(LOOKUP(AC$2,'Floor-U'!$A$4:$A$40,'Floor-U'!$J$4:$J$40)*AC$16)+(LOOKUP(AC$2,'Wall-U'!$A$4:$A$40,'Wall-U'!$J$4:$J$40)*AC$13)+(LOOKUP(AC$2,'Window-U'!$A$4:$A$40,'Window-U'!$S$4:$S$40)*AC$22))*AC$61</f>
        <v>1881.414020013108</v>
      </c>
      <c r="AD67" s="174">
        <f>((LOOKUP(AD$2,'Ceiling-U'!$A$4:$A$40,'Ceiling-U'!$J$4:$J$40)*AD$15)+(LOOKUP(AD$2,'Floor-U'!$A$4:$A$40,'Floor-U'!$J$4:$J$40)*AD$16)+(LOOKUP(AD$2,'Wall-U'!$A$4:$A$40,'Wall-U'!$J$4:$J$40)*AD$13)+(LOOKUP(AD$2,'Window-U'!$A$4:$A$40,'Window-U'!$S$4:$S$40)*AD$22))*AD$61</f>
        <v>3215.8937734145716</v>
      </c>
      <c r="AE67" s="174">
        <f>((LOOKUP(AE$2,'Ceiling-U'!$A$4:$A$40,'Ceiling-U'!$J$4:$J$40)*AE$15)+(LOOKUP(AE$2,'Floor-U'!$A$4:$A$40,'Floor-U'!$J$4:$J$40)*AE$16)+(LOOKUP(AE$2,'Wall-U'!$A$4:$A$40,'Wall-U'!$J$4:$J$40)*AE$13)+(LOOKUP(AE$2,'Window-U'!$A$4:$A$40,'Window-U'!$S$4:$S$40)*AE$22))*AE$61</f>
        <v>359.12281315177108</v>
      </c>
      <c r="AF67" s="174">
        <f>((LOOKUP(AF$2,'Ceiling-U'!$A$4:$A$40,'Ceiling-U'!$J$4:$J$40)*AF$15)+(LOOKUP(AF$2,'Floor-U'!$A$4:$A$40,'Floor-U'!$J$4:$J$40)*AF$16)+(LOOKUP(AF$2,'Wall-U'!$A$4:$A$40,'Wall-U'!$J$4:$J$40)*AF$13)+(LOOKUP(AF$2,'Window-U'!$A$4:$A$40,'Window-U'!$S$4:$S$40)*AF$22))*AF$61</f>
        <v>420.33538000766214</v>
      </c>
      <c r="AG67" s="174">
        <f>((LOOKUP(AG$2,'Ceiling-U'!$A$4:$A$40,'Ceiling-U'!$J$4:$J$40)*AG$15)+(LOOKUP(AG$2,'Floor-U'!$A$4:$A$40,'Floor-U'!$J$4:$J$40)*AG$16)+(LOOKUP(AG$2,'Wall-U'!$A$4:$A$40,'Wall-U'!$J$4:$J$40)*AG$13)+(LOOKUP(AG$2,'Window-U'!$A$4:$A$40,'Window-U'!$S$4:$S$40)*AG$22))*AG$61</f>
        <v>812.71129151883542</v>
      </c>
      <c r="AH67" s="174">
        <f>((LOOKUP(AH$2,'Ceiling-U'!$A$4:$A$40,'Ceiling-U'!$J$4:$J$40)*AH$15)+(LOOKUP(AH$2,'Floor-U'!$A$4:$A$40,'Floor-U'!$J$4:$J$40)*AH$16)+(LOOKUP(AH$2,'Wall-U'!$A$4:$A$40,'Wall-U'!$J$4:$J$40)*AH$13)+(LOOKUP(AH$2,'Window-U'!$A$4:$A$40,'Window-U'!$S$4:$S$40)*AH$22))*AH$61</f>
        <v>1346.3216890706594</v>
      </c>
      <c r="AI67" s="174">
        <f>((LOOKUP(AI$2,'Ceiling-U'!$A$4:$A$40,'Ceiling-U'!$J$4:$J$40)*AI$15)+(LOOKUP(AI$2,'Floor-U'!$A$4:$A$40,'Floor-U'!$J$4:$J$40)*AI$16)+(LOOKUP(AI$2,'Wall-U'!$A$4:$A$40,'Wall-U'!$J$4:$J$40)*AI$13)+(LOOKUP(AI$2,'Window-U'!$A$4:$A$40,'Window-U'!$S$4:$S$40)*AI$22))*AI$61</f>
        <v>1076.0948515597227</v>
      </c>
      <c r="AJ67" s="174">
        <f>((LOOKUP(AJ$2,'Ceiling-U'!$A$4:$A$40,'Ceiling-U'!$J$4:$J$40)*AJ$15)+(LOOKUP(AJ$2,'Floor-U'!$A$4:$A$40,'Floor-U'!$J$4:$J$40)*AJ$16)+(LOOKUP(AJ$2,'Wall-U'!$A$4:$A$40,'Wall-U'!$J$4:$J$40)*AJ$13)+(LOOKUP(AJ$2,'Window-U'!$A$4:$A$40,'Window-U'!$S$4:$S$40)*AJ$22))*AJ$61</f>
        <v>1311.198008014851</v>
      </c>
      <c r="AK67" s="174">
        <f>((LOOKUP(AK$2,'Ceiling-U'!$A$4:$A$40,'Ceiling-U'!$J$4:$J$40)*AK$15)+(LOOKUP(AK$2,'Floor-U'!$A$4:$A$40,'Floor-U'!$J$4:$J$40)*AK$16)+(LOOKUP(AK$2,'Wall-U'!$A$4:$A$40,'Wall-U'!$J$4:$J$40)*AK$13)+(LOOKUP(AK$2,'Window-U'!$A$4:$A$40,'Window-U'!$S$4:$S$40)*AK$22))*AK$61</f>
        <v>1426.8497258395837</v>
      </c>
      <c r="AL67" s="174">
        <f>((LOOKUP(AL$2,'Ceiling-U'!$A$4:$A$40,'Ceiling-U'!$J$4:$J$40)*AL$15)+(LOOKUP(AL$2,'Floor-U'!$A$4:$A$40,'Floor-U'!$J$4:$J$40)*AL$16)+(LOOKUP(AL$2,'Wall-U'!$A$4:$A$40,'Wall-U'!$J$4:$J$40)*AL$13)+(LOOKUP(AL$2,'Window-U'!$A$4:$A$40,'Window-U'!$S$4:$S$40)*AL$22))*AL$61</f>
        <v>699.58784506812401</v>
      </c>
      <c r="AM67" s="174">
        <f>((LOOKUP(AM$2,'Ceiling-U'!$A$4:$A$40,'Ceiling-U'!$J$4:$J$40)*AM$15)+(LOOKUP(AM$2,'Floor-U'!$A$4:$A$40,'Floor-U'!$J$4:$J$40)*AM$16)+(LOOKUP(AM$2,'Wall-U'!$A$4:$A$40,'Wall-U'!$J$4:$J$40)*AM$13)+(LOOKUP(AM$2,'Window-U'!$A$4:$A$40,'Window-U'!$S$4:$S$40)*AM$22))*AM$61</f>
        <v>1311.198008014851</v>
      </c>
      <c r="AN67" s="175">
        <f>((LOOKUP(AN$2,'Ceiling-U'!$A$4:$A$40,'Ceiling-U'!$J$4:$J$40)*AN$15)+(LOOKUP(AN$2,'Floor-U'!$A$4:$A$40,'Floor-U'!$J$4:$J$40)*AN$16)+(LOOKUP(AN$2,'Wall-U'!$A$4:$A$40,'Wall-U'!$J$4:$J$40)*AN$13)+(LOOKUP(AN$2,'Window-U'!$A$4:$A$40,'Window-U'!$S$4:$S$40)*AN$22))*AN$61</f>
        <v>1311.198008014851</v>
      </c>
    </row>
    <row r="68" spans="1:40">
      <c r="A68" s="332" t="s">
        <v>280</v>
      </c>
      <c r="B68" s="142" t="s">
        <v>2</v>
      </c>
      <c r="C68" s="360" t="s">
        <v>261</v>
      </c>
      <c r="D68" s="351">
        <f>D62*24*LOOKUP(D$2,'HDD-by Country'!$A$4:$A$40,'HDD-by Country'!$C$4:$C$40)/1000/D$3</f>
        <v>9975.18455179171</v>
      </c>
      <c r="E68" s="352">
        <f>E62*24*LOOKUP(E$2,'HDD-by Country'!$A$4:$A$40,'HDD-by Country'!$C$4:$C$40)/1000/E$3</f>
        <v>9830.5319400596163</v>
      </c>
      <c r="F68" s="352">
        <f>F62*24*LOOKUP(F$2,'HDD-by Country'!$A$4:$A$40,'HDD-by Country'!$C$4:$C$40)/1000/F$3</f>
        <v>5603.5258260819328</v>
      </c>
      <c r="G68" s="352">
        <f>G62*24*LOOKUP(G$2,'HDD-by Country'!$A$4:$A$40,'HDD-by Country'!$C$4:$C$40)/1000/G$3</f>
        <v>9718.4086763678606</v>
      </c>
      <c r="H68" s="352">
        <f>H62*24*LOOKUP(H$2,'HDD-by Country'!$A$4:$A$40,'HDD-by Country'!$C$4:$C$40)/1000/H$3</f>
        <v>3699.6851916983528</v>
      </c>
      <c r="I68" s="352">
        <f>I62*24*LOOKUP(I$2,'HDD-by Country'!$A$4:$A$40,'HDD-by Country'!$C$4:$C$40)/1000/I$3</f>
        <v>6088.6358192397847</v>
      </c>
      <c r="J68" s="352">
        <f>J62*24*LOOKUP(J$2,'HDD-by Country'!$A$4:$A$40,'HDD-by Country'!$C$4:$C$40)/1000/J$3</f>
        <v>9816.3416411527469</v>
      </c>
      <c r="K68" s="352">
        <f>K62*24*LOOKUP(K$2,'HDD-by Country'!$A$4:$A$40,'HDD-by Country'!$C$4:$C$40)/1000/K$3</f>
        <v>4933.3988641168526</v>
      </c>
      <c r="L68" s="352">
        <f>L62*24*LOOKUP(L$2,'HDD-by Country'!$A$4:$A$40,'HDD-by Country'!$C$4:$C$40)/1000/L$3</f>
        <v>3491.2417268137697</v>
      </c>
      <c r="M68" s="352">
        <f>M62*24*LOOKUP(M$2,'HDD-by Country'!$A$4:$A$40,'HDD-by Country'!$C$4:$C$40)/1000/M$3</f>
        <v>12235.721539308102</v>
      </c>
      <c r="N68" s="352">
        <f>N62*24*LOOKUP(N$2,'HDD-by Country'!$A$4:$A$40,'HDD-by Country'!$C$4:$C$40)/1000/N$3</f>
        <v>4390.4126276964744</v>
      </c>
      <c r="O68" s="352">
        <f>O62*24*LOOKUP(O$2,'HDD-by Country'!$A$4:$A$40,'HDD-by Country'!$C$4:$C$40)/1000/O$3</f>
        <v>11038.39825805211</v>
      </c>
      <c r="P68" s="352">
        <f>P62*24*LOOKUP(P$2,'HDD-by Country'!$A$4:$A$40,'HDD-by Country'!$C$4:$C$40)/1000/P$3</f>
        <v>10140.814644345952</v>
      </c>
      <c r="Q68" s="352">
        <f>Q62*24*LOOKUP(Q$2,'HDD-by Country'!$A$4:$A$40,'HDD-by Country'!$C$4:$C$40)/1000/Q$3</f>
        <v>5773.1084075173721</v>
      </c>
      <c r="R68" s="352">
        <f>R62*24*LOOKUP(R$2,'HDD-by Country'!$A$4:$A$40,'HDD-by Country'!$C$4:$C$40)/1000/R$3</f>
        <v>6423.4550989395302</v>
      </c>
      <c r="S68" s="352">
        <f>S62*24*LOOKUP(S$2,'HDD-by Country'!$A$4:$A$40,'HDD-by Country'!$C$4:$C$40)/1000/S$3</f>
        <v>5714.430304162528</v>
      </c>
      <c r="T68" s="352">
        <f>T62*24*LOOKUP(T$2,'HDD-by Country'!$A$4:$A$40,'HDD-by Country'!$C$4:$C$40)/1000/T$3</f>
        <v>5165.8785332172783</v>
      </c>
      <c r="U68" s="352">
        <f>U62*24*LOOKUP(U$2,'HDD-by Country'!$A$4:$A$40,'HDD-by Country'!$C$4:$C$40)/1000/U$3</f>
        <v>8246.5879505014018</v>
      </c>
      <c r="V68" s="352">
        <f>V62*24*LOOKUP(V$2,'HDD-by Country'!$A$4:$A$40,'HDD-by Country'!$C$4:$C$40)/1000/V$3</f>
        <v>6436.097671364083</v>
      </c>
      <c r="W68" s="352">
        <f>W62*24*LOOKUP(W$2,'HDD-by Country'!$A$4:$A$40,'HDD-by Country'!$C$4:$C$40)/1000/W$3</f>
        <v>8417.0905063405771</v>
      </c>
      <c r="X68" s="352">
        <f>X62*24*LOOKUP(X$2,'HDD-by Country'!$A$4:$A$40,'HDD-by Country'!$C$4:$C$40)/1000/X$3</f>
        <v>6977.5912597693914</v>
      </c>
      <c r="Y68" s="352">
        <f>Y62*24*LOOKUP(Y$2,'HDD-by Country'!$A$4:$A$40,'HDD-by Country'!$C$4:$C$40)/1000/Y$3</f>
        <v>3286.3342290559726</v>
      </c>
      <c r="Z68" s="352">
        <f>Z62*24*LOOKUP(Z$2,'HDD-by Country'!$A$4:$A$40,'HDD-by Country'!$C$4:$C$40)/1000/Z$3</f>
        <v>10652.651509113646</v>
      </c>
      <c r="AA68" s="352">
        <f>AA62*24*LOOKUP(AA$2,'HDD-by Country'!$A$4:$A$40,'HDD-by Country'!$C$4:$C$40)/1000/AA$3</f>
        <v>5110.0783041756795</v>
      </c>
      <c r="AB68" s="352">
        <f>AB62*24*LOOKUP(AB$2,'HDD-by Country'!$A$4:$A$40,'HDD-by Country'!$C$4:$C$40)/1000/AB$3</f>
        <v>8331.8030840577485</v>
      </c>
      <c r="AC68" s="352">
        <f>AC62*24*LOOKUP(AC$2,'HDD-by Country'!$A$4:$A$40,'HDD-by Country'!$C$4:$C$40)/1000/AC$3</f>
        <v>6523.0673197893975</v>
      </c>
      <c r="AD68" s="352">
        <f>AD62*24*LOOKUP(AD$2,'HDD-by Country'!$A$4:$A$40,'HDD-by Country'!$C$4:$C$40)/1000/AD$3</f>
        <v>5148.2338481250954</v>
      </c>
      <c r="AE68" s="352">
        <f>AE62*24*LOOKUP(AE$2,'HDD-by Country'!$A$4:$A$40,'HDD-by Country'!$C$4:$C$40)/1000/AE$3</f>
        <v>4927.2522649543744</v>
      </c>
      <c r="AF68" s="352">
        <f>AF62*24*LOOKUP(AF$2,'HDD-by Country'!$A$4:$A$40,'HDD-by Country'!$C$4:$C$40)/1000/AF$3</f>
        <v>6498.0602172763956</v>
      </c>
      <c r="AG68" s="352">
        <f>AG62*24*LOOKUP(AG$2,'HDD-by Country'!$A$4:$A$40,'HDD-by Country'!$C$4:$C$40)/1000/AG$3</f>
        <v>9922.205858233614</v>
      </c>
      <c r="AH68" s="352">
        <f>AH62*24*LOOKUP(AH$2,'HDD-by Country'!$A$4:$A$40,'HDD-by Country'!$C$4:$C$40)/1000/AH$3</f>
        <v>5009.6691554759564</v>
      </c>
      <c r="AI68" s="352">
        <f>AI62*24*LOOKUP(AI$2,'HDD-by Country'!$A$4:$A$40,'HDD-by Country'!$C$4:$C$40)/1000/AI$3</f>
        <v>7957.9636492756008</v>
      </c>
      <c r="AJ68" s="352">
        <f>AJ62*24*LOOKUP(AJ$2,'HDD-by Country'!$A$4:$A$40,'HDD-by Country'!$C$4:$C$40)/1000/AJ$3</f>
        <v>7149.7758923947285</v>
      </c>
      <c r="AK68" s="352">
        <f>AK62*24*LOOKUP(AK$2,'HDD-by Country'!$A$4:$A$40,'HDD-by Country'!$C$4:$C$40)/1000/AK$3</f>
        <v>6922.4171645371916</v>
      </c>
      <c r="AL68" s="352">
        <f>AL62*24*LOOKUP(AL$2,'HDD-by Country'!$A$4:$A$40,'HDD-by Country'!$C$4:$C$40)/1000/AL$3</f>
        <v>7248.1059511458097</v>
      </c>
      <c r="AM68" s="352">
        <f>AM62*24*LOOKUP(AM$2,'HDD-by Country'!$A$4:$A$40,'HDD-by Country'!$C$4:$C$40)/1000/AM$3</f>
        <v>6574.7596929721549</v>
      </c>
      <c r="AN68" s="353">
        <f>AN62*24*LOOKUP(AN$2,'HDD-by Country'!$A$4:$A$40,'HDD-by Country'!$C$4:$C$40)/1000/AN$3</f>
        <v>6574.7596929721549</v>
      </c>
    </row>
    <row r="69" spans="1:40">
      <c r="A69" s="129"/>
      <c r="B69" s="142" t="s">
        <v>3</v>
      </c>
      <c r="C69" s="129" t="s">
        <v>261</v>
      </c>
      <c r="D69" s="345">
        <f>D63*24*LOOKUP(D$2,'HDD-by Country'!$A$4:$A$40,'HDD-by Country'!$C$4:$C$40)/1000/D$3</f>
        <v>8707.5250499574431</v>
      </c>
      <c r="E69" s="349">
        <f>E63*24*LOOKUP(E$2,'HDD-by Country'!$A$4:$A$40,'HDD-by Country'!$C$4:$C$40)/1000/E$3</f>
        <v>9830.5319400596163</v>
      </c>
      <c r="F69" s="349">
        <f>F63*24*LOOKUP(F$2,'HDD-by Country'!$A$4:$A$40,'HDD-by Country'!$C$4:$C$40)/1000/F$3</f>
        <v>5603.5258260819328</v>
      </c>
      <c r="G69" s="349">
        <f>G63*24*LOOKUP(G$2,'HDD-by Country'!$A$4:$A$40,'HDD-by Country'!$C$4:$C$40)/1000/G$3</f>
        <v>8483.3805886826576</v>
      </c>
      <c r="H69" s="349">
        <f>H63*24*LOOKUP(H$2,'HDD-by Country'!$A$4:$A$40,'HDD-by Country'!$C$4:$C$40)/1000/H$3</f>
        <v>3315.6211118445835</v>
      </c>
      <c r="I69" s="349">
        <f>I63*24*LOOKUP(I$2,'HDD-by Country'!$A$4:$A$40,'HDD-by Country'!$C$4:$C$40)/1000/I$3</f>
        <v>5225.5997718689623</v>
      </c>
      <c r="J69" s="349">
        <f>J63*24*LOOKUP(J$2,'HDD-by Country'!$A$4:$A$40,'HDD-by Country'!$C$4:$C$40)/1000/J$3</f>
        <v>7960.9049854028053</v>
      </c>
      <c r="K69" s="349">
        <f>K63*24*LOOKUP(K$2,'HDD-by Country'!$A$4:$A$40,'HDD-by Country'!$C$4:$C$40)/1000/K$3</f>
        <v>4828.144380316292</v>
      </c>
      <c r="L69" s="349">
        <f>L63*24*LOOKUP(L$2,'HDD-by Country'!$A$4:$A$40,'HDD-by Country'!$C$4:$C$40)/1000/L$3</f>
        <v>3491.2417268137697</v>
      </c>
      <c r="M69" s="349">
        <f>M63*24*LOOKUP(M$2,'HDD-by Country'!$A$4:$A$40,'HDD-by Country'!$C$4:$C$40)/1000/M$3</f>
        <v>10580.301494586873</v>
      </c>
      <c r="N69" s="349">
        <f>N63*24*LOOKUP(N$2,'HDD-by Country'!$A$4:$A$40,'HDD-by Country'!$C$4:$C$40)/1000/N$3</f>
        <v>3964.6192525167094</v>
      </c>
      <c r="O69" s="349">
        <f>O63*24*LOOKUP(O$2,'HDD-by Country'!$A$4:$A$40,'HDD-by Country'!$C$4:$C$40)/1000/O$3</f>
        <v>11038.39825805211</v>
      </c>
      <c r="P69" s="349">
        <f>P63*24*LOOKUP(P$2,'HDD-by Country'!$A$4:$A$40,'HDD-by Country'!$C$4:$C$40)/1000/P$3</f>
        <v>10140.814644345952</v>
      </c>
      <c r="Q69" s="349">
        <f>Q63*24*LOOKUP(Q$2,'HDD-by Country'!$A$4:$A$40,'HDD-by Country'!$C$4:$C$40)/1000/Q$3</f>
        <v>6370.9765375908601</v>
      </c>
      <c r="R69" s="349">
        <f>R63*24*LOOKUP(R$2,'HDD-by Country'!$A$4:$A$40,'HDD-by Country'!$C$4:$C$40)/1000/R$3</f>
        <v>6423.4550989395302</v>
      </c>
      <c r="S69" s="349">
        <f>S63*24*LOOKUP(S$2,'HDD-by Country'!$A$4:$A$40,'HDD-by Country'!$C$4:$C$40)/1000/S$3</f>
        <v>5806.7065888307498</v>
      </c>
      <c r="T69" s="349">
        <f>T63*24*LOOKUP(T$2,'HDD-by Country'!$A$4:$A$40,'HDD-by Country'!$C$4:$C$40)/1000/T$3</f>
        <v>4708.2726790027937</v>
      </c>
      <c r="U69" s="349">
        <f>U63*24*LOOKUP(U$2,'HDD-by Country'!$A$4:$A$40,'HDD-by Country'!$C$4:$C$40)/1000/U$3</f>
        <v>7566.0793044456877</v>
      </c>
      <c r="V69" s="349">
        <f>V63*24*LOOKUP(V$2,'HDD-by Country'!$A$4:$A$40,'HDD-by Country'!$C$4:$C$40)/1000/V$3</f>
        <v>6436.097671364083</v>
      </c>
      <c r="W69" s="349">
        <f>W63*24*LOOKUP(W$2,'HDD-by Country'!$A$4:$A$40,'HDD-by Country'!$C$4:$C$40)/1000/W$3</f>
        <v>10230.0825982767</v>
      </c>
      <c r="X69" s="349">
        <f>X63*24*LOOKUP(X$2,'HDD-by Country'!$A$4:$A$40,'HDD-by Country'!$C$4:$C$40)/1000/X$3</f>
        <v>6977.5912597693914</v>
      </c>
      <c r="Y69" s="349">
        <f>Y63*24*LOOKUP(Y$2,'HDD-by Country'!$A$4:$A$40,'HDD-by Country'!$C$4:$C$40)/1000/Y$3</f>
        <v>3282.7175380101917</v>
      </c>
      <c r="Z69" s="349">
        <f>Z63*24*LOOKUP(Z$2,'HDD-by Country'!$A$4:$A$40,'HDD-by Country'!$C$4:$C$40)/1000/Z$3</f>
        <v>8559.1155551450956</v>
      </c>
      <c r="AA69" s="349">
        <f>AA63*24*LOOKUP(AA$2,'HDD-by Country'!$A$4:$A$40,'HDD-by Country'!$C$4:$C$40)/1000/AA$3</f>
        <v>5110.0783041756795</v>
      </c>
      <c r="AB69" s="349">
        <f>AB63*24*LOOKUP(AB$2,'HDD-by Country'!$A$4:$A$40,'HDD-by Country'!$C$4:$C$40)/1000/AB$3</f>
        <v>5846.1444560474602</v>
      </c>
      <c r="AC69" s="349">
        <f>AC63*24*LOOKUP(AC$2,'HDD-by Country'!$A$4:$A$40,'HDD-by Country'!$C$4:$C$40)/1000/AC$3</f>
        <v>5485.931535958046</v>
      </c>
      <c r="AD69" s="349">
        <f>AD63*24*LOOKUP(AD$2,'HDD-by Country'!$A$4:$A$40,'HDD-by Country'!$C$4:$C$40)/1000/AD$3</f>
        <v>4603.5099674311368</v>
      </c>
      <c r="AE69" s="349">
        <f>AE63*24*LOOKUP(AE$2,'HDD-by Country'!$A$4:$A$40,'HDD-by Country'!$C$4:$C$40)/1000/AE$3</f>
        <v>4927.2522649543744</v>
      </c>
      <c r="AF69" s="349">
        <f>AF63*24*LOOKUP(AF$2,'HDD-by Country'!$A$4:$A$40,'HDD-by Country'!$C$4:$C$40)/1000/AF$3</f>
        <v>6498.0602172763956</v>
      </c>
      <c r="AG69" s="349">
        <f>AG63*24*LOOKUP(AG$2,'HDD-by Country'!$A$4:$A$40,'HDD-by Country'!$C$4:$C$40)/1000/AG$3</f>
        <v>8015.3328785868889</v>
      </c>
      <c r="AH69" s="349">
        <f>AH63*24*LOOKUP(AH$2,'HDD-by Country'!$A$4:$A$40,'HDD-by Country'!$C$4:$C$40)/1000/AH$3</f>
        <v>5393.4766471556777</v>
      </c>
      <c r="AI69" s="349">
        <f>AI63*24*LOOKUP(AI$2,'HDD-by Country'!$A$4:$A$40,'HDD-by Country'!$C$4:$C$40)/1000/AI$3</f>
        <v>7957.9636492756008</v>
      </c>
      <c r="AJ69" s="349">
        <f>AJ63*24*LOOKUP(AJ$2,'HDD-by Country'!$A$4:$A$40,'HDD-by Country'!$C$4:$C$40)/1000/AJ$3</f>
        <v>7149.7758923947285</v>
      </c>
      <c r="AK69" s="349">
        <f>AK63*24*LOOKUP(AK$2,'HDD-by Country'!$A$4:$A$40,'HDD-by Country'!$C$4:$C$40)/1000/AK$3</f>
        <v>6922.4171645371916</v>
      </c>
      <c r="AL69" s="349">
        <f>AL63*24*LOOKUP(AL$2,'HDD-by Country'!$A$4:$A$40,'HDD-by Country'!$C$4:$C$40)/1000/AL$3</f>
        <v>7248.1059511458097</v>
      </c>
      <c r="AM69" s="349">
        <f>AM63*24*LOOKUP(AM$2,'HDD-by Country'!$A$4:$A$40,'HDD-by Country'!$C$4:$C$40)/1000/AM$3</f>
        <v>6574.7596929721549</v>
      </c>
      <c r="AN69" s="354">
        <f>AN63*24*LOOKUP(AN$2,'HDD-by Country'!$A$4:$A$40,'HDD-by Country'!$C$4:$C$40)/1000/AN$3</f>
        <v>6574.7596929721549</v>
      </c>
    </row>
    <row r="70" spans="1:40">
      <c r="A70" s="129"/>
      <c r="B70" s="142" t="s">
        <v>4</v>
      </c>
      <c r="C70" s="129" t="s">
        <v>261</v>
      </c>
      <c r="D70" s="345">
        <f>D64*24*LOOKUP(D$2,'HDD-by Country'!$A$4:$A$40,'HDD-by Country'!$C$4:$C$40)/1000/D$3</f>
        <v>6718.3124063832338</v>
      </c>
      <c r="E70" s="349">
        <f>E64*24*LOOKUP(E$2,'HDD-by Country'!$A$4:$A$40,'HDD-by Country'!$C$4:$C$40)/1000/E$3</f>
        <v>9830.5319400596163</v>
      </c>
      <c r="F70" s="349">
        <f>F64*24*LOOKUP(F$2,'HDD-by Country'!$A$4:$A$40,'HDD-by Country'!$C$4:$C$40)/1000/F$3</f>
        <v>5196.3179635563865</v>
      </c>
      <c r="G70" s="349">
        <f>G64*24*LOOKUP(G$2,'HDD-by Country'!$A$4:$A$40,'HDD-by Country'!$C$4:$C$40)/1000/G$3</f>
        <v>6545.3731950269785</v>
      </c>
      <c r="H70" s="349">
        <f>H64*24*LOOKUP(H$2,'HDD-by Country'!$A$4:$A$40,'HDD-by Country'!$C$4:$C$40)/1000/H$3</f>
        <v>2931.5570319908143</v>
      </c>
      <c r="I70" s="349">
        <f>I64*24*LOOKUP(I$2,'HDD-by Country'!$A$4:$A$40,'HDD-by Country'!$C$4:$C$40)/1000/I$3</f>
        <v>5225.5997718689623</v>
      </c>
      <c r="J70" s="349">
        <f>J64*24*LOOKUP(J$2,'HDD-by Country'!$A$4:$A$40,'HDD-by Country'!$C$4:$C$40)/1000/J$3</f>
        <v>4547.5341900763215</v>
      </c>
      <c r="K70" s="349">
        <f>K64*24*LOOKUP(K$2,'HDD-by Country'!$A$4:$A$40,'HDD-by Country'!$C$4:$C$40)/1000/K$3</f>
        <v>2920.7284885682147</v>
      </c>
      <c r="L70" s="349">
        <f>L64*24*LOOKUP(L$2,'HDD-by Country'!$A$4:$A$40,'HDD-by Country'!$C$4:$C$40)/1000/L$3</f>
        <v>2628.4230122099771</v>
      </c>
      <c r="M70" s="349">
        <f>M64*24*LOOKUP(M$2,'HDD-by Country'!$A$4:$A$40,'HDD-by Country'!$C$4:$C$40)/1000/M$3</f>
        <v>10580.301494586873</v>
      </c>
      <c r="N70" s="349">
        <f>N64*24*LOOKUP(N$2,'HDD-by Country'!$A$4:$A$40,'HDD-by Country'!$C$4:$C$40)/1000/N$3</f>
        <v>3119.5831236951203</v>
      </c>
      <c r="O70" s="349">
        <f>O64*24*LOOKUP(O$2,'HDD-by Country'!$A$4:$A$40,'HDD-by Country'!$C$4:$C$40)/1000/O$3</f>
        <v>4376.4448403429033</v>
      </c>
      <c r="P70" s="349">
        <f>P64*24*LOOKUP(P$2,'HDD-by Country'!$A$4:$A$40,'HDD-by Country'!$C$4:$C$40)/1000/P$3</f>
        <v>10140.814644345952</v>
      </c>
      <c r="Q70" s="349">
        <f>Q64*24*LOOKUP(Q$2,'HDD-by Country'!$A$4:$A$40,'HDD-by Country'!$C$4:$C$40)/1000/Q$3</f>
        <v>5784.9937341335317</v>
      </c>
      <c r="R70" s="349">
        <f>R64*24*LOOKUP(R$2,'HDD-by Country'!$A$4:$A$40,'HDD-by Country'!$C$4:$C$40)/1000/R$3</f>
        <v>5335.9006826513378</v>
      </c>
      <c r="S70" s="349">
        <f>S64*24*LOOKUP(S$2,'HDD-by Country'!$A$4:$A$40,'HDD-by Country'!$C$4:$C$40)/1000/S$3</f>
        <v>4900.2800049345542</v>
      </c>
      <c r="T70" s="349">
        <f>T64*24*LOOKUP(T$2,'HDD-by Country'!$A$4:$A$40,'HDD-by Country'!$C$4:$C$40)/1000/T$3</f>
        <v>3619.7077859216633</v>
      </c>
      <c r="U70" s="349">
        <f>U64*24*LOOKUP(U$2,'HDD-by Country'!$A$4:$A$40,'HDD-by Country'!$C$4:$C$40)/1000/U$3</f>
        <v>7340.5811364456877</v>
      </c>
      <c r="V70" s="349">
        <f>V64*24*LOOKUP(V$2,'HDD-by Country'!$A$4:$A$40,'HDD-by Country'!$C$4:$C$40)/1000/V$3</f>
        <v>3767.284861749135</v>
      </c>
      <c r="W70" s="349">
        <f>W64*24*LOOKUP(W$2,'HDD-by Country'!$A$4:$A$40,'HDD-by Country'!$C$4:$C$40)/1000/W$3</f>
        <v>4548.779020271958</v>
      </c>
      <c r="X70" s="349">
        <f>X64*24*LOOKUP(X$2,'HDD-by Country'!$A$4:$A$40,'HDD-by Country'!$C$4:$C$40)/1000/X$3</f>
        <v>6335.6439237924515</v>
      </c>
      <c r="Y70" s="349">
        <f>Y64*24*LOOKUP(Y$2,'HDD-by Country'!$A$4:$A$40,'HDD-by Country'!$C$4:$C$40)/1000/Y$3</f>
        <v>2405.1427687515488</v>
      </c>
      <c r="Z70" s="349">
        <f>Z64*24*LOOKUP(Z$2,'HDD-by Country'!$A$4:$A$40,'HDD-by Country'!$C$4:$C$40)/1000/Z$3</f>
        <v>8358.0788465071746</v>
      </c>
      <c r="AA70" s="349">
        <f>AA64*24*LOOKUP(AA$2,'HDD-by Country'!$A$4:$A$40,'HDD-by Country'!$C$4:$C$40)/1000/AA$3</f>
        <v>2993.9361613581668</v>
      </c>
      <c r="AB70" s="349">
        <f>AB64*24*LOOKUP(AB$2,'HDD-by Country'!$A$4:$A$40,'HDD-by Country'!$C$4:$C$40)/1000/AB$3</f>
        <v>3805.693141424837</v>
      </c>
      <c r="AC70" s="349">
        <f>AC64*24*LOOKUP(AC$2,'HDD-by Country'!$A$4:$A$40,'HDD-by Country'!$C$4:$C$40)/1000/AC$3</f>
        <v>5396.7103381794859</v>
      </c>
      <c r="AD70" s="349">
        <f>AD64*24*LOOKUP(AD$2,'HDD-by Country'!$A$4:$A$40,'HDD-by Country'!$C$4:$C$40)/1000/AD$3</f>
        <v>4603.5099674311368</v>
      </c>
      <c r="AE70" s="349">
        <f>AE64*24*LOOKUP(AE$2,'HDD-by Country'!$A$4:$A$40,'HDD-by Country'!$C$4:$C$40)/1000/AE$3</f>
        <v>2886.8204857304036</v>
      </c>
      <c r="AF70" s="349">
        <f>AF64*24*LOOKUP(AF$2,'HDD-by Country'!$A$4:$A$40,'HDD-by Country'!$C$4:$C$40)/1000/AF$3</f>
        <v>6214.712606782994</v>
      </c>
      <c r="AG70" s="349">
        <f>AG64*24*LOOKUP(AG$2,'HDD-by Country'!$A$4:$A$40,'HDD-by Country'!$C$4:$C$40)/1000/AG$3</f>
        <v>8015.3328785868889</v>
      </c>
      <c r="AH70" s="349">
        <f>AH64*24*LOOKUP(AH$2,'HDD-by Country'!$A$4:$A$40,'HDD-by Country'!$C$4:$C$40)/1000/AH$3</f>
        <v>4220.5080089903331</v>
      </c>
      <c r="AI70" s="349">
        <f>AI64*24*LOOKUP(AI$2,'HDD-by Country'!$A$4:$A$40,'HDD-by Country'!$C$4:$C$40)/1000/AI$3</f>
        <v>7957.9636492756008</v>
      </c>
      <c r="AJ70" s="349">
        <f>AJ64*24*LOOKUP(AJ$2,'HDD-by Country'!$A$4:$A$40,'HDD-by Country'!$C$4:$C$40)/1000/AJ$3</f>
        <v>7149.7758923947285</v>
      </c>
      <c r="AK70" s="349">
        <f>AK64*24*LOOKUP(AK$2,'HDD-by Country'!$A$4:$A$40,'HDD-by Country'!$C$4:$C$40)/1000/AK$3</f>
        <v>6922.4171645371916</v>
      </c>
      <c r="AL70" s="349">
        <f>AL64*24*LOOKUP(AL$2,'HDD-by Country'!$A$4:$A$40,'HDD-by Country'!$C$4:$C$40)/1000/AL$3</f>
        <v>6718.4828682148946</v>
      </c>
      <c r="AM70" s="349">
        <f>AM64*24*LOOKUP(AM$2,'HDD-by Country'!$A$4:$A$40,'HDD-by Country'!$C$4:$C$40)/1000/AM$3</f>
        <v>6574.7596929721549</v>
      </c>
      <c r="AN70" s="354">
        <f>AN64*24*LOOKUP(AN$2,'HDD-by Country'!$A$4:$A$40,'HDD-by Country'!$C$4:$C$40)/1000/AN$3</f>
        <v>6574.7596929721549</v>
      </c>
    </row>
    <row r="71" spans="1:40">
      <c r="A71" s="129"/>
      <c r="B71" s="142" t="s">
        <v>5</v>
      </c>
      <c r="C71" s="129" t="s">
        <v>261</v>
      </c>
      <c r="D71" s="345">
        <f>D65*24*LOOKUP(D$2,'HDD-by Country'!$A$4:$A$40,'HDD-by Country'!$C$4:$C$40)/1000/D$3</f>
        <v>4408.4175851700229</v>
      </c>
      <c r="E71" s="349">
        <f>E65*24*LOOKUP(E$2,'HDD-by Country'!$A$4:$A$40,'HDD-by Country'!$C$4:$C$40)/1000/E$3</f>
        <v>8148.9100508959264</v>
      </c>
      <c r="F71" s="349">
        <f>F65*24*LOOKUP(F$2,'HDD-by Country'!$A$4:$A$40,'HDD-by Country'!$C$4:$C$40)/1000/F$3</f>
        <v>4261.610964916762</v>
      </c>
      <c r="G71" s="349">
        <f>G65*24*LOOKUP(G$2,'HDD-by Country'!$A$4:$A$40,'HDD-by Country'!$C$4:$C$40)/1000/G$3</f>
        <v>4294.9384531510968</v>
      </c>
      <c r="H71" s="349">
        <f>H65*24*LOOKUP(H$2,'HDD-by Country'!$A$4:$A$40,'HDD-by Country'!$C$4:$C$40)/1000/H$3</f>
        <v>2849.3531919908146</v>
      </c>
      <c r="I71" s="349">
        <f>I65*24*LOOKUP(I$2,'HDD-by Country'!$A$4:$A$40,'HDD-by Country'!$C$4:$C$40)/1000/I$3</f>
        <v>4544.1335408864197</v>
      </c>
      <c r="J71" s="349">
        <f>J65*24*LOOKUP(J$2,'HDD-by Country'!$A$4:$A$40,'HDD-by Country'!$C$4:$C$40)/1000/J$3</f>
        <v>3699.4003449812762</v>
      </c>
      <c r="K71" s="349">
        <f>K65*24*LOOKUP(K$2,'HDD-by Country'!$A$4:$A$40,'HDD-by Country'!$C$4:$C$40)/1000/K$3</f>
        <v>2260.7969313772965</v>
      </c>
      <c r="L71" s="349">
        <f>L65*24*LOOKUP(L$2,'HDD-by Country'!$A$4:$A$40,'HDD-by Country'!$C$4:$C$40)/1000/L$3</f>
        <v>2105.5835228281894</v>
      </c>
      <c r="M71" s="349">
        <f>M65*24*LOOKUP(M$2,'HDD-by Country'!$A$4:$A$40,'HDD-by Country'!$C$4:$C$40)/1000/M$3</f>
        <v>7182.4184532365125</v>
      </c>
      <c r="N71" s="349">
        <f>N65*24*LOOKUP(N$2,'HDD-by Country'!$A$4:$A$40,'HDD-by Country'!$C$4:$C$40)/1000/N$3</f>
        <v>2496.747798155825</v>
      </c>
      <c r="O71" s="349">
        <f>O65*24*LOOKUP(O$2,'HDD-by Country'!$A$4:$A$40,'HDD-by Country'!$C$4:$C$40)/1000/O$3</f>
        <v>3672.8276759460859</v>
      </c>
      <c r="P71" s="349">
        <f>P65*24*LOOKUP(P$2,'HDD-by Country'!$A$4:$A$40,'HDD-by Country'!$C$4:$C$40)/1000/P$3</f>
        <v>9907.7285643459509</v>
      </c>
      <c r="Q71" s="349">
        <f>Q65*24*LOOKUP(Q$2,'HDD-by Country'!$A$4:$A$40,'HDD-by Country'!$C$4:$C$40)/1000/Q$3</f>
        <v>5784.9937341335317</v>
      </c>
      <c r="R71" s="349">
        <f>R65*24*LOOKUP(R$2,'HDD-by Country'!$A$4:$A$40,'HDD-by Country'!$C$4:$C$40)/1000/R$3</f>
        <v>3523.3099888376855</v>
      </c>
      <c r="S71" s="349">
        <f>S65*24*LOOKUP(S$2,'HDD-by Country'!$A$4:$A$40,'HDD-by Country'!$C$4:$C$40)/1000/S$3</f>
        <v>3029.0716495552365</v>
      </c>
      <c r="T71" s="349">
        <f>T65*24*LOOKUP(T$2,'HDD-by Country'!$A$4:$A$40,'HDD-by Country'!$C$4:$C$40)/1000/T$3</f>
        <v>2803.6449112782075</v>
      </c>
      <c r="U71" s="349">
        <f>U65*24*LOOKUP(U$2,'HDD-by Country'!$A$4:$A$40,'HDD-by Country'!$C$4:$C$40)/1000/U$3</f>
        <v>5234.6271502785557</v>
      </c>
      <c r="V71" s="349">
        <f>V65*24*LOOKUP(V$2,'HDD-by Country'!$A$4:$A$40,'HDD-by Country'!$C$4:$C$40)/1000/V$3</f>
        <v>3767.284861749135</v>
      </c>
      <c r="W71" s="349">
        <f>W65*24*LOOKUP(W$2,'HDD-by Country'!$A$4:$A$40,'HDD-by Country'!$C$4:$C$40)/1000/W$3</f>
        <v>4059.9573861416634</v>
      </c>
      <c r="X71" s="349">
        <f>X65*24*LOOKUP(X$2,'HDD-by Country'!$A$4:$A$40,'HDD-by Country'!$C$4:$C$40)/1000/X$3</f>
        <v>3530.6352798846956</v>
      </c>
      <c r="Y71" s="349">
        <f>Y65*24*LOOKUP(Y$2,'HDD-by Country'!$A$4:$A$40,'HDD-by Country'!$C$4:$C$40)/1000/Y$3</f>
        <v>2233.7193615195492</v>
      </c>
      <c r="Z71" s="349">
        <f>Z65*24*LOOKUP(Z$2,'HDD-by Country'!$A$4:$A$40,'HDD-by Country'!$C$4:$C$40)/1000/Z$3</f>
        <v>4003.394386845207</v>
      </c>
      <c r="AA71" s="349">
        <f>AA65*24*LOOKUP(AA$2,'HDD-by Country'!$A$4:$A$40,'HDD-by Country'!$C$4:$C$40)/1000/AA$3</f>
        <v>2993.9361613581668</v>
      </c>
      <c r="AB71" s="349">
        <f>AB65*24*LOOKUP(AB$2,'HDD-by Country'!$A$4:$A$40,'HDD-by Country'!$C$4:$C$40)/1000/AB$3</f>
        <v>3805.693141424837</v>
      </c>
      <c r="AC71" s="349">
        <f>AC65*24*LOOKUP(AC$2,'HDD-by Country'!$A$4:$A$40,'HDD-by Country'!$C$4:$C$40)/1000/AC$3</f>
        <v>5144.6725825239373</v>
      </c>
      <c r="AD71" s="349">
        <f>AD65*24*LOOKUP(AD$2,'HDD-by Country'!$A$4:$A$40,'HDD-by Country'!$C$4:$C$40)/1000/AD$3</f>
        <v>3784.1281335200174</v>
      </c>
      <c r="AE71" s="349">
        <f>AE65*24*LOOKUP(AE$2,'HDD-by Country'!$A$4:$A$40,'HDD-by Country'!$C$4:$C$40)/1000/AE$3</f>
        <v>2886.8204857304036</v>
      </c>
      <c r="AF71" s="349">
        <f>AF65*24*LOOKUP(AF$2,'HDD-by Country'!$A$4:$A$40,'HDD-by Country'!$C$4:$C$40)/1000/AF$3</f>
        <v>4368.6063307975073</v>
      </c>
      <c r="AG71" s="349">
        <f>AG65*24*LOOKUP(AG$2,'HDD-by Country'!$A$4:$A$40,'HDD-by Country'!$C$4:$C$40)/1000/AG$3</f>
        <v>6769.4649734038339</v>
      </c>
      <c r="AH71" s="349">
        <f>AH65*24*LOOKUP(AH$2,'HDD-by Country'!$A$4:$A$40,'HDD-by Country'!$C$4:$C$40)/1000/AH$3</f>
        <v>1945.2225868394496</v>
      </c>
      <c r="AI71" s="349">
        <f>AI65*24*LOOKUP(AI$2,'HDD-by Country'!$A$4:$A$40,'HDD-by Country'!$C$4:$C$40)/1000/AI$3</f>
        <v>7783.1490892756028</v>
      </c>
      <c r="AJ71" s="349">
        <f>AJ65*24*LOOKUP(AJ$2,'HDD-by Country'!$A$4:$A$40,'HDD-by Country'!$C$4:$C$40)/1000/AJ$3</f>
        <v>5920.3406332779105</v>
      </c>
      <c r="AK71" s="349">
        <f>AK65*24*LOOKUP(AK$2,'HDD-by Country'!$A$4:$A$40,'HDD-by Country'!$C$4:$C$40)/1000/AK$3</f>
        <v>5724.8283616859517</v>
      </c>
      <c r="AL71" s="349">
        <f>AL65*24*LOOKUP(AL$2,'HDD-by Country'!$A$4:$A$40,'HDD-by Country'!$C$4:$C$40)/1000/AL$3</f>
        <v>5487.274417456103</v>
      </c>
      <c r="AM71" s="349">
        <f>AM65*24*LOOKUP(AM$2,'HDD-by Country'!$A$4:$A$40,'HDD-by Country'!$C$4:$C$40)/1000/AM$3</f>
        <v>5444.200986179927</v>
      </c>
      <c r="AN71" s="354">
        <f>AN65*24*LOOKUP(AN$2,'HDD-by Country'!$A$4:$A$40,'HDD-by Country'!$C$4:$C$40)/1000/AN$3</f>
        <v>5444.200986179927</v>
      </c>
    </row>
    <row r="72" spans="1:40">
      <c r="A72" s="129"/>
      <c r="B72" s="142" t="s">
        <v>6</v>
      </c>
      <c r="C72" s="129" t="s">
        <v>261</v>
      </c>
      <c r="D72" s="345">
        <f>D66*24*LOOKUP(D$2,'HDD-by Country'!$A$4:$A$40,'HDD-by Country'!$C$4:$C$40)/1000/D$3</f>
        <v>3582.8921750472173</v>
      </c>
      <c r="E72" s="349">
        <f>E66*24*LOOKUP(E$2,'HDD-by Country'!$A$4:$A$40,'HDD-by Country'!$C$4:$C$40)/1000/E$3</f>
        <v>8148.9100508959264</v>
      </c>
      <c r="F72" s="349">
        <f>F66*24*LOOKUP(F$2,'HDD-by Country'!$A$4:$A$40,'HDD-by Country'!$C$4:$C$40)/1000/F$3</f>
        <v>3157.3385644185582</v>
      </c>
      <c r="G72" s="349">
        <f>G66*24*LOOKUP(G$2,'HDD-by Country'!$A$4:$A$40,'HDD-by Country'!$C$4:$C$40)/1000/G$3</f>
        <v>3490.6632774242889</v>
      </c>
      <c r="H72" s="349">
        <f>H66*24*LOOKUP(H$2,'HDD-by Country'!$A$4:$A$40,'HDD-by Country'!$C$4:$C$40)/1000/H$3</f>
        <v>2849.3531919908146</v>
      </c>
      <c r="I72" s="349">
        <f>I66*24*LOOKUP(I$2,'HDD-by Country'!$A$4:$A$40,'HDD-by Country'!$C$4:$C$40)/1000/I$3</f>
        <v>3154.0803614257507</v>
      </c>
      <c r="J72" s="349">
        <f>J66*24*LOOKUP(J$2,'HDD-by Country'!$A$4:$A$40,'HDD-by Country'!$C$4:$C$40)/1000/J$3</f>
        <v>1917.3915257712993</v>
      </c>
      <c r="K72" s="349">
        <f>K66*24*LOOKUP(K$2,'HDD-by Country'!$A$4:$A$40,'HDD-by Country'!$C$4:$C$40)/1000/K$3</f>
        <v>2260.7969313772965</v>
      </c>
      <c r="L72" s="349">
        <f>L66*24*LOOKUP(L$2,'HDD-by Country'!$A$4:$A$40,'HDD-by Country'!$C$4:$C$40)/1000/L$3</f>
        <v>1853.6144418080025</v>
      </c>
      <c r="M72" s="349">
        <f>M66*24*LOOKUP(M$2,'HDD-by Country'!$A$4:$A$40,'HDD-by Country'!$C$4:$C$40)/1000/M$3</f>
        <v>7182.4184532365125</v>
      </c>
      <c r="N72" s="349">
        <f>N66*24*LOOKUP(N$2,'HDD-by Country'!$A$4:$A$40,'HDD-by Country'!$C$4:$C$40)/1000/N$3</f>
        <v>2458.2656262583546</v>
      </c>
      <c r="O72" s="349">
        <f>O66*24*LOOKUP(O$2,'HDD-by Country'!$A$4:$A$40,'HDD-by Country'!$C$4:$C$40)/1000/O$3</f>
        <v>1947.3763862625815</v>
      </c>
      <c r="P72" s="349">
        <f>P66*24*LOOKUP(P$2,'HDD-by Country'!$A$4:$A$40,'HDD-by Country'!$C$4:$C$40)/1000/P$3</f>
        <v>9907.7285643459509</v>
      </c>
      <c r="Q72" s="349">
        <f>Q66*24*LOOKUP(Q$2,'HDD-by Country'!$A$4:$A$40,'HDD-by Country'!$C$4:$C$40)/1000/Q$3</f>
        <v>3844.6236608438094</v>
      </c>
      <c r="R72" s="349">
        <f>R66*24*LOOKUP(R$2,'HDD-by Country'!$A$4:$A$40,'HDD-by Country'!$C$4:$C$40)/1000/R$3</f>
        <v>3523.3099888376855</v>
      </c>
      <c r="S72" s="349">
        <f>S66*24*LOOKUP(S$2,'HDD-by Country'!$A$4:$A$40,'HDD-by Country'!$C$4:$C$40)/1000/S$3</f>
        <v>2415.6728174323603</v>
      </c>
      <c r="T72" s="349">
        <f>T66*24*LOOKUP(T$2,'HDD-by Country'!$A$4:$A$40,'HDD-by Country'!$C$4:$C$40)/1000/T$3</f>
        <v>2758.9836995013966</v>
      </c>
      <c r="U72" s="349">
        <f>U66*24*LOOKUP(U$2,'HDD-by Country'!$A$4:$A$40,'HDD-by Country'!$C$4:$C$40)/1000/U$3</f>
        <v>4643.7106057367719</v>
      </c>
      <c r="V72" s="349">
        <f>V66*24*LOOKUP(V$2,'HDD-by Country'!$A$4:$A$40,'HDD-by Country'!$C$4:$C$40)/1000/V$3</f>
        <v>3767.284861749135</v>
      </c>
      <c r="W72" s="349">
        <f>W66*24*LOOKUP(W$2,'HDD-by Country'!$A$4:$A$40,'HDD-by Country'!$C$4:$C$40)/1000/W$3</f>
        <v>3477.9169584865908</v>
      </c>
      <c r="X72" s="349">
        <f>X66*24*LOOKUP(X$2,'HDD-by Country'!$A$4:$A$40,'HDD-by Country'!$C$4:$C$40)/1000/X$3</f>
        <v>3491.0987298846958</v>
      </c>
      <c r="Y72" s="349">
        <f>Y66*24*LOOKUP(Y$2,'HDD-by Country'!$A$4:$A$40,'HDD-by Country'!$C$4:$C$40)/1000/Y$3</f>
        <v>2201.148914145469</v>
      </c>
      <c r="Z72" s="349">
        <f>Z66*24*LOOKUP(Z$2,'HDD-by Country'!$A$4:$A$40,'HDD-by Country'!$C$4:$C$40)/1000/Z$3</f>
        <v>3587.9773740008036</v>
      </c>
      <c r="AA72" s="349">
        <f>AA66*24*LOOKUP(AA$2,'HDD-by Country'!$A$4:$A$40,'HDD-by Country'!$C$4:$C$40)/1000/AA$3</f>
        <v>2433.1288836658796</v>
      </c>
      <c r="AB72" s="349">
        <f>AB66*24*LOOKUP(AB$2,'HDD-by Country'!$A$4:$A$40,'HDD-by Country'!$C$4:$C$40)/1000/AB$3</f>
        <v>3805.693141424837</v>
      </c>
      <c r="AC72" s="349">
        <f>AC66*24*LOOKUP(AC$2,'HDD-by Country'!$A$4:$A$40,'HDD-by Country'!$C$4:$C$40)/1000/AC$3</f>
        <v>4595.9864723235578</v>
      </c>
      <c r="AD72" s="349">
        <f>AD66*24*LOOKUP(AD$2,'HDD-by Country'!$A$4:$A$40,'HDD-by Country'!$C$4:$C$40)/1000/AD$3</f>
        <v>3784.1281335200174</v>
      </c>
      <c r="AE72" s="349">
        <f>AE66*24*LOOKUP(AE$2,'HDD-by Country'!$A$4:$A$40,'HDD-by Country'!$C$4:$C$40)/1000/AE$3</f>
        <v>2346.0775137578903</v>
      </c>
      <c r="AF72" s="349">
        <f>AF66*24*LOOKUP(AF$2,'HDD-by Country'!$A$4:$A$40,'HDD-by Country'!$C$4:$C$40)/1000/AF$3</f>
        <v>2960.594098083212</v>
      </c>
      <c r="AG72" s="349">
        <f>AG66*24*LOOKUP(AG$2,'HDD-by Country'!$A$4:$A$40,'HDD-by Country'!$C$4:$C$40)/1000/AG$3</f>
        <v>6312.6115109381544</v>
      </c>
      <c r="AH72" s="349">
        <f>AH66*24*LOOKUP(AH$2,'HDD-by Country'!$A$4:$A$40,'HDD-by Country'!$C$4:$C$40)/1000/AH$3</f>
        <v>1540.9860007061152</v>
      </c>
      <c r="AI72" s="349">
        <f>AI66*24*LOOKUP(AI$2,'HDD-by Country'!$A$4:$A$40,'HDD-by Country'!$C$4:$C$40)/1000/AI$3</f>
        <v>7783.1490892756028</v>
      </c>
      <c r="AJ72" s="349">
        <f>AJ66*24*LOOKUP(AJ$2,'HDD-by Country'!$A$4:$A$40,'HDD-by Country'!$C$4:$C$40)/1000/AJ$3</f>
        <v>5445.9644493553251</v>
      </c>
      <c r="AK72" s="349">
        <f>AK66*24*LOOKUP(AK$2,'HDD-by Country'!$A$4:$A$40,'HDD-by Country'!$C$4:$C$40)/1000/AK$3</f>
        <v>5263.5239565454558</v>
      </c>
      <c r="AL72" s="349">
        <f>AL66*24*LOOKUP(AL$2,'HDD-by Country'!$A$4:$A$40,'HDD-by Country'!$C$4:$C$40)/1000/AL$3</f>
        <v>4117.5597411153558</v>
      </c>
      <c r="AM72" s="349">
        <f>AM66*24*LOOKUP(AM$2,'HDD-by Country'!$A$4:$A$40,'HDD-by Country'!$C$4:$C$40)/1000/AM$3</f>
        <v>5007.9762065084733</v>
      </c>
      <c r="AN72" s="354">
        <f>AN66*24*LOOKUP(AN$2,'HDD-by Country'!$A$4:$A$40,'HDD-by Country'!$C$4:$C$40)/1000/AN$3</f>
        <v>5007.9762065084733</v>
      </c>
    </row>
    <row r="73" spans="1:40">
      <c r="A73" s="130"/>
      <c r="B73" s="142" t="s">
        <v>7</v>
      </c>
      <c r="C73" s="129" t="s">
        <v>261</v>
      </c>
      <c r="D73" s="345">
        <f>D67*24*LOOKUP(D$2,'HDD-by Country'!$A$4:$A$40,'HDD-by Country'!$C$4:$C$40)/1000/D$3</f>
        <v>3172.6655981200956</v>
      </c>
      <c r="E73" s="349">
        <f>E67*24*LOOKUP(E$2,'HDD-by Country'!$A$4:$A$40,'HDD-by Country'!$C$4:$C$40)/1000/E$3</f>
        <v>4298.2694508082586</v>
      </c>
      <c r="F73" s="349">
        <f>F67*24*LOOKUP(F$2,'HDD-by Country'!$A$4:$A$40,'HDD-by Country'!$C$4:$C$40)/1000/F$3</f>
        <v>1823.264111452286</v>
      </c>
      <c r="G73" s="349">
        <f>G67*24*LOOKUP(G$2,'HDD-by Country'!$A$4:$A$40,'HDD-by Country'!$C$4:$C$40)/1000/G$3</f>
        <v>3090.9965340386607</v>
      </c>
      <c r="H73" s="349">
        <f>H67*24*LOOKUP(H$2,'HDD-by Country'!$A$4:$A$40,'HDD-by Country'!$C$4:$C$40)/1000/H$3</f>
        <v>2433.7468122092141</v>
      </c>
      <c r="I73" s="349">
        <f>I67*24*LOOKUP(I$2,'HDD-by Country'!$A$4:$A$40,'HDD-by Country'!$C$4:$C$40)/1000/I$3</f>
        <v>2614.3315201388368</v>
      </c>
      <c r="J73" s="349">
        <f>J67*24*LOOKUP(J$2,'HDD-by Country'!$A$4:$A$40,'HDD-by Country'!$C$4:$C$40)/1000/J$3</f>
        <v>2212.5596670395375</v>
      </c>
      <c r="K73" s="349">
        <f>K67*24*LOOKUP(K$2,'HDD-by Country'!$A$4:$A$40,'HDD-by Country'!$C$4:$C$40)/1000/K$3</f>
        <v>1664.8999113166747</v>
      </c>
      <c r="L73" s="349">
        <f>L67*24*LOOKUP(L$2,'HDD-by Country'!$A$4:$A$40,'HDD-by Country'!$C$4:$C$40)/1000/L$3</f>
        <v>1853.6144418080025</v>
      </c>
      <c r="M73" s="349">
        <f>M67*24*LOOKUP(M$2,'HDD-by Country'!$A$4:$A$40,'HDD-by Country'!$C$4:$C$40)/1000/M$3</f>
        <v>3954.2954405205287</v>
      </c>
      <c r="N73" s="349">
        <f>N67*24*LOOKUP(N$2,'HDD-by Country'!$A$4:$A$40,'HDD-by Country'!$C$4:$C$40)/1000/N$3</f>
        <v>2274.8529386684722</v>
      </c>
      <c r="O73" s="349">
        <f>O67*24*LOOKUP(O$2,'HDD-by Country'!$A$4:$A$40,'HDD-by Country'!$C$4:$C$40)/1000/O$3</f>
        <v>1883.3999363938165</v>
      </c>
      <c r="P73" s="349">
        <f>P67*24*LOOKUP(P$2,'HDD-by Country'!$A$4:$A$40,'HDD-by Country'!$C$4:$C$40)/1000/P$3</f>
        <v>2689.8629606606041</v>
      </c>
      <c r="Q73" s="349">
        <f>Q67*24*LOOKUP(Q$2,'HDD-by Country'!$A$4:$A$40,'HDD-by Country'!$C$4:$C$40)/1000/Q$3</f>
        <v>1979.3872188761106</v>
      </c>
      <c r="R73" s="349">
        <f>R67*24*LOOKUP(R$2,'HDD-by Country'!$A$4:$A$40,'HDD-by Country'!$C$4:$C$40)/1000/R$3</f>
        <v>2107.0135838002079</v>
      </c>
      <c r="S73" s="349">
        <f>S67*24*LOOKUP(S$2,'HDD-by Country'!$A$4:$A$40,'HDD-by Country'!$C$4:$C$40)/1000/S$3</f>
        <v>1370.7833517065321</v>
      </c>
      <c r="T73" s="349">
        <f>T67*24*LOOKUP(T$2,'HDD-by Country'!$A$4:$A$40,'HDD-by Country'!$C$4:$C$40)/1000/T$3</f>
        <v>2555.2598123941543</v>
      </c>
      <c r="U73" s="349">
        <f>U67*24*LOOKUP(U$2,'HDD-by Country'!$A$4:$A$40,'HDD-by Country'!$C$4:$C$40)/1000/U$3</f>
        <v>4643.7106057367719</v>
      </c>
      <c r="V73" s="349">
        <f>V67*24*LOOKUP(V$2,'HDD-by Country'!$A$4:$A$40,'HDD-by Country'!$C$4:$C$40)/1000/V$3</f>
        <v>1737.1060242683732</v>
      </c>
      <c r="W73" s="349">
        <f>W67*24*LOOKUP(W$2,'HDD-by Country'!$A$4:$A$40,'HDD-by Country'!$C$4:$C$40)/1000/W$3</f>
        <v>2706.4537507898217</v>
      </c>
      <c r="X73" s="349">
        <f>X67*24*LOOKUP(X$2,'HDD-by Country'!$A$4:$A$40,'HDD-by Country'!$C$4:$C$40)/1000/X$3</f>
        <v>1729.43772475849</v>
      </c>
      <c r="Y73" s="349">
        <f>Y67*24*LOOKUP(Y$2,'HDD-by Country'!$A$4:$A$40,'HDD-by Country'!$C$4:$C$40)/1000/Y$3</f>
        <v>2035.6800521601031</v>
      </c>
      <c r="Z73" s="349">
        <f>Z67*24*LOOKUP(Z$2,'HDD-by Country'!$A$4:$A$40,'HDD-by Country'!$C$4:$C$40)/1000/Z$3</f>
        <v>2606.0357688248846</v>
      </c>
      <c r="AA73" s="349">
        <f>AA67*24*LOOKUP(AA$2,'HDD-by Country'!$A$4:$A$40,'HDD-by Country'!$C$4:$C$40)/1000/AA$3</f>
        <v>2433.1288836658796</v>
      </c>
      <c r="AB73" s="349">
        <f>AB67*24*LOOKUP(AB$2,'HDD-by Country'!$A$4:$A$40,'HDD-by Country'!$C$4:$C$40)/1000/AB$3</f>
        <v>2626.4304284957097</v>
      </c>
      <c r="AC73" s="349">
        <f>AC67*24*LOOKUP(AC$2,'HDD-by Country'!$A$4:$A$40,'HDD-by Country'!$C$4:$C$40)/1000/AC$3</f>
        <v>2894.3673283881658</v>
      </c>
      <c r="AD73" s="349">
        <f>AD67*24*LOOKUP(AD$2,'HDD-by Country'!$A$4:$A$40,'HDD-by Country'!$C$4:$C$40)/1000/AD$3</f>
        <v>3018.7594851042586</v>
      </c>
      <c r="AE73" s="349">
        <f>AE67*24*LOOKUP(AE$2,'HDD-by Country'!$A$4:$A$40,'HDD-by Country'!$C$4:$C$40)/1000/AE$3</f>
        <v>2346.0775137578903</v>
      </c>
      <c r="AF73" s="349">
        <f>AF67*24*LOOKUP(AF$2,'HDD-by Country'!$A$4:$A$40,'HDD-by Country'!$C$4:$C$40)/1000/AF$3</f>
        <v>1539.9406981960713</v>
      </c>
      <c r="AG73" s="349">
        <f>AG67*24*LOOKUP(AG$2,'HDD-by Country'!$A$4:$A$40,'HDD-by Country'!$C$4:$C$40)/1000/AG$3</f>
        <v>3367.5505075374458</v>
      </c>
      <c r="AH73" s="349">
        <f>AH67*24*LOOKUP(AH$2,'HDD-by Country'!$A$4:$A$40,'HDD-by Country'!$C$4:$C$40)/1000/AH$3</f>
        <v>1258.1376184365313</v>
      </c>
      <c r="AI73" s="349">
        <f>AI67*24*LOOKUP(AI$2,'HDD-by Country'!$A$4:$A$40,'HDD-by Country'!$C$4:$C$40)/1000/AI$3</f>
        <v>2147.4548857725827</v>
      </c>
      <c r="AJ73" s="349">
        <f>AJ67*24*LOOKUP(AJ$2,'HDD-by Country'!$A$4:$A$40,'HDD-by Country'!$C$4:$C$40)/1000/AJ$3</f>
        <v>4597.5846953032733</v>
      </c>
      <c r="AK73" s="349">
        <f>AK67*24*LOOKUP(AK$2,'HDD-by Country'!$A$4:$A$40,'HDD-by Country'!$C$4:$C$40)/1000/AK$3</f>
        <v>4443.2100462644639</v>
      </c>
      <c r="AL73" s="349">
        <f>AL67*24*LOOKUP(AL$2,'HDD-by Country'!$A$4:$A$40,'HDD-by Country'!$C$4:$C$40)/1000/AL$3</f>
        <v>2255.7510476376592</v>
      </c>
      <c r="AM73" s="349">
        <f>AM67*24*LOOKUP(AM$2,'HDD-by Country'!$A$4:$A$40,'HDD-by Country'!$C$4:$C$40)/1000/AM$3</f>
        <v>4227.8268570430855</v>
      </c>
      <c r="AN73" s="354">
        <f>AN67*24*LOOKUP(AN$2,'HDD-by Country'!$A$4:$A$40,'HDD-by Country'!$C$4:$C$40)/1000/AN$3</f>
        <v>4227.8268570430855</v>
      </c>
    </row>
    <row r="74" spans="1:40">
      <c r="A74" s="151" t="s">
        <v>260</v>
      </c>
      <c r="B74" s="141" t="s">
        <v>2</v>
      </c>
      <c r="C74" s="360" t="s">
        <v>261</v>
      </c>
      <c r="D74" s="351">
        <f t="shared" ref="D74:AN79" si="26">D68/(1.355*(D62/D$17)^0.16)</f>
        <v>6912.7291013461027</v>
      </c>
      <c r="E74" s="352">
        <f t="shared" si="26"/>
        <v>6610.2979401583298</v>
      </c>
      <c r="F74" s="352">
        <f t="shared" si="26"/>
        <v>3861.870095306916</v>
      </c>
      <c r="G74" s="352">
        <f t="shared" si="26"/>
        <v>6734.7853192185594</v>
      </c>
      <c r="H74" s="352">
        <f t="shared" si="26"/>
        <v>2361.3673550339622</v>
      </c>
      <c r="I74" s="352">
        <f t="shared" si="26"/>
        <v>4486.5813623594859</v>
      </c>
      <c r="J74" s="352">
        <f t="shared" si="26"/>
        <v>6617.4872139377976</v>
      </c>
      <c r="K74" s="352">
        <f t="shared" si="26"/>
        <v>3755.2028468551975</v>
      </c>
      <c r="L74" s="352">
        <f t="shared" si="26"/>
        <v>2836.0194723924351</v>
      </c>
      <c r="M74" s="352">
        <f t="shared" si="26"/>
        <v>7832.3361863397367</v>
      </c>
      <c r="N74" s="352">
        <f t="shared" si="26"/>
        <v>3451.5456189088486</v>
      </c>
      <c r="O74" s="352">
        <f t="shared" si="26"/>
        <v>7037.1278653950358</v>
      </c>
      <c r="P74" s="352">
        <f t="shared" si="26"/>
        <v>6461.2534756703708</v>
      </c>
      <c r="Q74" s="352">
        <f t="shared" si="26"/>
        <v>4095.5615149538844</v>
      </c>
      <c r="R74" s="352">
        <f t="shared" si="26"/>
        <v>4414.8486508268152</v>
      </c>
      <c r="S74" s="352">
        <f t="shared" si="26"/>
        <v>3858.7955267638608</v>
      </c>
      <c r="T74" s="352">
        <f t="shared" si="26"/>
        <v>4082.9821302833184</v>
      </c>
      <c r="U74" s="352">
        <f t="shared" si="26"/>
        <v>5497.8345537522973</v>
      </c>
      <c r="V74" s="352">
        <f t="shared" si="26"/>
        <v>4717.5541836961656</v>
      </c>
      <c r="W74" s="352">
        <f t="shared" si="26"/>
        <v>6009.6441496238658</v>
      </c>
      <c r="X74" s="352">
        <f t="shared" si="26"/>
        <v>5081.2814412061989</v>
      </c>
      <c r="Y74" s="352">
        <f t="shared" si="26"/>
        <v>2060.5885234197431</v>
      </c>
      <c r="Z74" s="352">
        <f t="shared" si="26"/>
        <v>7110.0866645685301</v>
      </c>
      <c r="AA74" s="352">
        <f t="shared" si="26"/>
        <v>4208.6337819695891</v>
      </c>
      <c r="AB74" s="352">
        <f t="shared" si="26"/>
        <v>5603.3389783364746</v>
      </c>
      <c r="AC74" s="352">
        <f t="shared" si="26"/>
        <v>4243.8397730721017</v>
      </c>
      <c r="AD74" s="352">
        <f t="shared" si="26"/>
        <v>3431.4452585972685</v>
      </c>
      <c r="AE74" s="352">
        <f t="shared" si="26"/>
        <v>4058.0592116617859</v>
      </c>
      <c r="AF74" s="352">
        <f t="shared" si="26"/>
        <v>4537.577443298318</v>
      </c>
      <c r="AG74" s="352">
        <f t="shared" si="26"/>
        <v>6728.8409685947909</v>
      </c>
      <c r="AH74" s="352">
        <f t="shared" si="26"/>
        <v>3347.7012463163583</v>
      </c>
      <c r="AI74" s="352">
        <f t="shared" si="26"/>
        <v>5070.0059075490735</v>
      </c>
      <c r="AJ74" s="352">
        <f t="shared" si="26"/>
        <v>4995.5325267251947</v>
      </c>
      <c r="AK74" s="352">
        <f t="shared" si="26"/>
        <v>4842.5104806962636</v>
      </c>
      <c r="AL74" s="352">
        <f t="shared" si="26"/>
        <v>4985.8447490786039</v>
      </c>
      <c r="AM74" s="352">
        <f t="shared" si="26"/>
        <v>4593.7699860748116</v>
      </c>
      <c r="AN74" s="353">
        <f t="shared" si="26"/>
        <v>4593.7699860748116</v>
      </c>
    </row>
    <row r="75" spans="1:40">
      <c r="A75" s="129"/>
      <c r="B75" s="142" t="s">
        <v>3</v>
      </c>
      <c r="C75" s="129" t="s">
        <v>261</v>
      </c>
      <c r="D75" s="345">
        <f t="shared" si="26"/>
        <v>6166.9087760478424</v>
      </c>
      <c r="E75" s="349">
        <f t="shared" si="26"/>
        <v>6610.2979401583298</v>
      </c>
      <c r="F75" s="349">
        <f t="shared" si="26"/>
        <v>3861.870095306916</v>
      </c>
      <c r="G75" s="349">
        <f t="shared" si="26"/>
        <v>6008.1635025737514</v>
      </c>
      <c r="H75" s="349">
        <f t="shared" si="26"/>
        <v>2153.6724870083117</v>
      </c>
      <c r="I75" s="349">
        <f t="shared" si="26"/>
        <v>3945.9639239809344</v>
      </c>
      <c r="J75" s="349">
        <f t="shared" si="26"/>
        <v>5549.6276136705583</v>
      </c>
      <c r="K75" s="349">
        <f t="shared" si="26"/>
        <v>3687.7882619862644</v>
      </c>
      <c r="L75" s="349">
        <f t="shared" si="26"/>
        <v>2836.0194723924351</v>
      </c>
      <c r="M75" s="349">
        <f t="shared" si="26"/>
        <v>6932.0362589145207</v>
      </c>
      <c r="N75" s="349">
        <f t="shared" si="26"/>
        <v>3168.0963498957017</v>
      </c>
      <c r="O75" s="349">
        <f t="shared" si="26"/>
        <v>7037.1278653950358</v>
      </c>
      <c r="P75" s="349">
        <f t="shared" si="26"/>
        <v>6461.2534756703708</v>
      </c>
      <c r="Q75" s="349">
        <f t="shared" si="26"/>
        <v>4448.9993208659471</v>
      </c>
      <c r="R75" s="349">
        <f t="shared" si="26"/>
        <v>4414.8486508268152</v>
      </c>
      <c r="S75" s="349">
        <f t="shared" si="26"/>
        <v>3911.0700752116754</v>
      </c>
      <c r="T75" s="349">
        <f t="shared" si="26"/>
        <v>3776.9402044455119</v>
      </c>
      <c r="U75" s="349">
        <f t="shared" si="26"/>
        <v>5114.1422692493279</v>
      </c>
      <c r="V75" s="349">
        <f t="shared" si="26"/>
        <v>4717.5541836961656</v>
      </c>
      <c r="W75" s="349">
        <f t="shared" si="26"/>
        <v>7079.6397184602629</v>
      </c>
      <c r="X75" s="349">
        <f t="shared" si="26"/>
        <v>5081.2814412061989</v>
      </c>
      <c r="Y75" s="349">
        <f t="shared" si="26"/>
        <v>2058.6834641401779</v>
      </c>
      <c r="Z75" s="349">
        <f t="shared" si="26"/>
        <v>5916.3066663809523</v>
      </c>
      <c r="AA75" s="349">
        <f t="shared" si="26"/>
        <v>4208.6337819695891</v>
      </c>
      <c r="AB75" s="349">
        <f t="shared" si="26"/>
        <v>4160.9888711392969</v>
      </c>
      <c r="AC75" s="349">
        <f t="shared" si="26"/>
        <v>3669.3550608720707</v>
      </c>
      <c r="AD75" s="349">
        <f t="shared" si="26"/>
        <v>3123.7693954541887</v>
      </c>
      <c r="AE75" s="349">
        <f t="shared" si="26"/>
        <v>4058.0592116617859</v>
      </c>
      <c r="AF75" s="349">
        <f t="shared" si="26"/>
        <v>4537.577443298318</v>
      </c>
      <c r="AG75" s="349">
        <f t="shared" si="26"/>
        <v>5624.4940483773298</v>
      </c>
      <c r="AH75" s="349">
        <f t="shared" si="26"/>
        <v>3561.8603659199748</v>
      </c>
      <c r="AI75" s="349">
        <f t="shared" si="26"/>
        <v>5070.0059075490735</v>
      </c>
      <c r="AJ75" s="349">
        <f t="shared" si="26"/>
        <v>4995.5325267251947</v>
      </c>
      <c r="AK75" s="349">
        <f t="shared" si="26"/>
        <v>4842.5104806962636</v>
      </c>
      <c r="AL75" s="349">
        <f t="shared" si="26"/>
        <v>4985.8447490786039</v>
      </c>
      <c r="AM75" s="349">
        <f t="shared" si="26"/>
        <v>4593.7699860748116</v>
      </c>
      <c r="AN75" s="354">
        <f t="shared" si="26"/>
        <v>4593.7699860748116</v>
      </c>
    </row>
    <row r="76" spans="1:40">
      <c r="A76" s="129"/>
      <c r="B76" s="142" t="s">
        <v>4</v>
      </c>
      <c r="C76" s="129" t="s">
        <v>261</v>
      </c>
      <c r="D76" s="345">
        <f t="shared" si="26"/>
        <v>4959.6897762735334</v>
      </c>
      <c r="E76" s="349">
        <f t="shared" si="26"/>
        <v>6610.2979401583298</v>
      </c>
      <c r="F76" s="349">
        <f t="shared" si="26"/>
        <v>3624.7203536927882</v>
      </c>
      <c r="G76" s="349">
        <f t="shared" si="26"/>
        <v>4832.0200898109797</v>
      </c>
      <c r="H76" s="349">
        <f t="shared" si="26"/>
        <v>1942.0828766559964</v>
      </c>
      <c r="I76" s="349">
        <f t="shared" si="26"/>
        <v>3945.9639239809344</v>
      </c>
      <c r="J76" s="349">
        <f t="shared" si="26"/>
        <v>3467.2663888242269</v>
      </c>
      <c r="K76" s="349">
        <f t="shared" si="26"/>
        <v>2417.7042036952098</v>
      </c>
      <c r="L76" s="349">
        <f t="shared" si="26"/>
        <v>2234.3442938828316</v>
      </c>
      <c r="M76" s="349">
        <f t="shared" si="26"/>
        <v>6932.0362589145207</v>
      </c>
      <c r="N76" s="349">
        <f t="shared" si="26"/>
        <v>2590.3010732165958</v>
      </c>
      <c r="O76" s="349">
        <f t="shared" si="26"/>
        <v>3235.1645741198513</v>
      </c>
      <c r="P76" s="349">
        <f t="shared" si="26"/>
        <v>6461.2534756703708</v>
      </c>
      <c r="Q76" s="349">
        <f t="shared" si="26"/>
        <v>4102.6429727409968</v>
      </c>
      <c r="R76" s="349">
        <f t="shared" si="26"/>
        <v>3777.84919225264</v>
      </c>
      <c r="S76" s="349">
        <f t="shared" si="26"/>
        <v>3391.4080738241746</v>
      </c>
      <c r="T76" s="349">
        <f t="shared" si="26"/>
        <v>3028.4618655568679</v>
      </c>
      <c r="U76" s="349">
        <f t="shared" si="26"/>
        <v>4985.7997443633512</v>
      </c>
      <c r="V76" s="349">
        <f t="shared" si="26"/>
        <v>3008.4153629014859</v>
      </c>
      <c r="W76" s="349">
        <f t="shared" si="26"/>
        <v>3583.8047793421847</v>
      </c>
      <c r="X76" s="349">
        <f t="shared" si="26"/>
        <v>4685.5960855077428</v>
      </c>
      <c r="Y76" s="349">
        <f t="shared" si="26"/>
        <v>1585.3010474264884</v>
      </c>
      <c r="Z76" s="349">
        <f t="shared" si="26"/>
        <v>5799.3569364075356</v>
      </c>
      <c r="AA76" s="349">
        <f t="shared" si="26"/>
        <v>2685.9982208568354</v>
      </c>
      <c r="AB76" s="349">
        <f t="shared" si="26"/>
        <v>2901.2857396379491</v>
      </c>
      <c r="AC76" s="349">
        <f t="shared" si="26"/>
        <v>3619.1606964522471</v>
      </c>
      <c r="AD76" s="349">
        <f t="shared" si="26"/>
        <v>3123.7693954541887</v>
      </c>
      <c r="AE76" s="349">
        <f t="shared" si="26"/>
        <v>2589.8998077124706</v>
      </c>
      <c r="AF76" s="349">
        <f t="shared" si="26"/>
        <v>4370.7845337478366</v>
      </c>
      <c r="AG76" s="349">
        <f t="shared" si="26"/>
        <v>5624.4940483773298</v>
      </c>
      <c r="AH76" s="349">
        <f t="shared" si="26"/>
        <v>2898.7680633734458</v>
      </c>
      <c r="AI76" s="349">
        <f t="shared" si="26"/>
        <v>5070.0059075490735</v>
      </c>
      <c r="AJ76" s="349">
        <f t="shared" si="26"/>
        <v>4995.5325267251947</v>
      </c>
      <c r="AK76" s="349">
        <f t="shared" si="26"/>
        <v>4842.5104806962636</v>
      </c>
      <c r="AL76" s="349">
        <f t="shared" si="26"/>
        <v>4677.9757177484398</v>
      </c>
      <c r="AM76" s="349">
        <f t="shared" si="26"/>
        <v>4593.7699860748116</v>
      </c>
      <c r="AN76" s="354">
        <f t="shared" si="26"/>
        <v>4593.7699860748116</v>
      </c>
    </row>
    <row r="77" spans="1:40">
      <c r="A77" s="129"/>
      <c r="B77" s="142" t="s">
        <v>5</v>
      </c>
      <c r="C77" s="129" t="s">
        <v>261</v>
      </c>
      <c r="D77" s="345">
        <f t="shared" si="26"/>
        <v>3481.3961026790989</v>
      </c>
      <c r="E77" s="349">
        <f t="shared" si="26"/>
        <v>5646.5078865376545</v>
      </c>
      <c r="F77" s="349">
        <f t="shared" si="26"/>
        <v>3068.5421737764259</v>
      </c>
      <c r="G77" s="349">
        <f t="shared" si="26"/>
        <v>3391.7798627668221</v>
      </c>
      <c r="H77" s="349">
        <f t="shared" si="26"/>
        <v>1896.2344266174664</v>
      </c>
      <c r="I77" s="349">
        <f t="shared" si="26"/>
        <v>3508.9538902847962</v>
      </c>
      <c r="J77" s="349">
        <f t="shared" si="26"/>
        <v>2915.3165081263201</v>
      </c>
      <c r="K77" s="349">
        <f t="shared" si="26"/>
        <v>1949.7111482832111</v>
      </c>
      <c r="L77" s="349">
        <f t="shared" si="26"/>
        <v>1854.5517377030026</v>
      </c>
      <c r="M77" s="349">
        <f t="shared" si="26"/>
        <v>5006.6802984804435</v>
      </c>
      <c r="N77" s="349">
        <f t="shared" si="26"/>
        <v>2148.344185001336</v>
      </c>
      <c r="O77" s="349">
        <f t="shared" si="26"/>
        <v>2792.2533239987947</v>
      </c>
      <c r="P77" s="349">
        <f t="shared" si="26"/>
        <v>6336.2723081737895</v>
      </c>
      <c r="Q77" s="349">
        <f t="shared" si="26"/>
        <v>4102.6429727409968</v>
      </c>
      <c r="R77" s="349">
        <f t="shared" si="26"/>
        <v>2665.8078111964978</v>
      </c>
      <c r="S77" s="349">
        <f t="shared" si="26"/>
        <v>2264.0943214141098</v>
      </c>
      <c r="T77" s="349">
        <f t="shared" si="26"/>
        <v>2443.5638204207398</v>
      </c>
      <c r="U77" s="349">
        <f t="shared" si="26"/>
        <v>3753.0581326022993</v>
      </c>
      <c r="V77" s="349">
        <f t="shared" si="26"/>
        <v>3008.4153629014859</v>
      </c>
      <c r="W77" s="349">
        <f t="shared" si="26"/>
        <v>3257.3971978360282</v>
      </c>
      <c r="X77" s="349">
        <f t="shared" si="26"/>
        <v>2867.1935332776807</v>
      </c>
      <c r="Y77" s="349">
        <f t="shared" si="26"/>
        <v>1489.8325360517795</v>
      </c>
      <c r="Z77" s="349">
        <f t="shared" si="26"/>
        <v>3125.0016108378099</v>
      </c>
      <c r="AA77" s="349">
        <f t="shared" si="26"/>
        <v>2685.9982208568354</v>
      </c>
      <c r="AB77" s="349">
        <f t="shared" si="26"/>
        <v>2901.2857396379491</v>
      </c>
      <c r="AC77" s="349">
        <f t="shared" si="26"/>
        <v>3476.6415634661726</v>
      </c>
      <c r="AD77" s="349">
        <f t="shared" si="26"/>
        <v>2649.5702091287631</v>
      </c>
      <c r="AE77" s="349">
        <f t="shared" si="26"/>
        <v>2589.8998077124706</v>
      </c>
      <c r="AF77" s="349">
        <f t="shared" si="26"/>
        <v>3250.6765683186054</v>
      </c>
      <c r="AG77" s="349">
        <f t="shared" si="26"/>
        <v>4880.3952804836854</v>
      </c>
      <c r="AH77" s="349">
        <f t="shared" si="26"/>
        <v>1512.3116958252106</v>
      </c>
      <c r="AI77" s="349">
        <f t="shared" si="26"/>
        <v>4976.2858597167815</v>
      </c>
      <c r="AJ77" s="349">
        <f t="shared" si="26"/>
        <v>4263.3145309657757</v>
      </c>
      <c r="AK77" s="349">
        <f t="shared" si="26"/>
        <v>4128.3310858105442</v>
      </c>
      <c r="AL77" s="349">
        <f t="shared" si="26"/>
        <v>3946.4786194343556</v>
      </c>
      <c r="AM77" s="349">
        <f t="shared" si="26"/>
        <v>3920.4401590366324</v>
      </c>
      <c r="AN77" s="354">
        <f t="shared" si="26"/>
        <v>3920.4401590366324</v>
      </c>
    </row>
    <row r="78" spans="1:40">
      <c r="A78" s="129"/>
      <c r="B78" s="142" t="s">
        <v>6</v>
      </c>
      <c r="C78" s="129" t="s">
        <v>261</v>
      </c>
      <c r="D78" s="345">
        <f t="shared" si="26"/>
        <v>2924.9085312984871</v>
      </c>
      <c r="E78" s="349">
        <f t="shared" si="26"/>
        <v>5646.5078865376545</v>
      </c>
      <c r="F78" s="349">
        <f t="shared" si="26"/>
        <v>2385.1729372383038</v>
      </c>
      <c r="G78" s="349">
        <f t="shared" si="26"/>
        <v>2849.6170973646699</v>
      </c>
      <c r="H78" s="349">
        <f t="shared" si="26"/>
        <v>1896.2344266174664</v>
      </c>
      <c r="I78" s="349">
        <f t="shared" si="26"/>
        <v>2582.0928969405541</v>
      </c>
      <c r="J78" s="349">
        <f t="shared" si="26"/>
        <v>1678.5429850802934</v>
      </c>
      <c r="K78" s="349">
        <f t="shared" si="26"/>
        <v>1949.7111482832111</v>
      </c>
      <c r="L78" s="349">
        <f t="shared" si="26"/>
        <v>1666.2584918108871</v>
      </c>
      <c r="M78" s="349">
        <f t="shared" si="26"/>
        <v>5006.6802984804435</v>
      </c>
      <c r="N78" s="349">
        <f t="shared" si="26"/>
        <v>2120.495388579156</v>
      </c>
      <c r="O78" s="349">
        <f t="shared" si="26"/>
        <v>1638.6728876173459</v>
      </c>
      <c r="P78" s="349">
        <f t="shared" si="26"/>
        <v>6336.2723081737895</v>
      </c>
      <c r="Q78" s="349">
        <f t="shared" si="26"/>
        <v>2910.7607866632225</v>
      </c>
      <c r="R78" s="349">
        <f t="shared" si="26"/>
        <v>2665.8078111964978</v>
      </c>
      <c r="S78" s="349">
        <f t="shared" si="26"/>
        <v>1872.1752992271067</v>
      </c>
      <c r="T78" s="349">
        <f t="shared" si="26"/>
        <v>2410.8247003463739</v>
      </c>
      <c r="U78" s="349">
        <f t="shared" si="26"/>
        <v>3393.8135707349388</v>
      </c>
      <c r="V78" s="349">
        <f t="shared" si="26"/>
        <v>3008.4153629014859</v>
      </c>
      <c r="W78" s="349">
        <f t="shared" si="26"/>
        <v>2860.3607776181566</v>
      </c>
      <c r="X78" s="349">
        <f t="shared" si="26"/>
        <v>2840.1991885279795</v>
      </c>
      <c r="Y78" s="349">
        <f t="shared" si="26"/>
        <v>1471.5632724930754</v>
      </c>
      <c r="Z78" s="349">
        <f t="shared" si="26"/>
        <v>2850.2578743282957</v>
      </c>
      <c r="AA78" s="349">
        <f t="shared" si="26"/>
        <v>2256.5277909800402</v>
      </c>
      <c r="AB78" s="349">
        <f t="shared" si="26"/>
        <v>2901.2857396379491</v>
      </c>
      <c r="AC78" s="349">
        <f t="shared" si="26"/>
        <v>3162.4055159184777</v>
      </c>
      <c r="AD78" s="349">
        <f t="shared" si="26"/>
        <v>2649.5702091287631</v>
      </c>
      <c r="AE78" s="349">
        <f t="shared" si="26"/>
        <v>2175.7947740161776</v>
      </c>
      <c r="AF78" s="349">
        <f t="shared" si="26"/>
        <v>2344.4661447433041</v>
      </c>
      <c r="AG78" s="349">
        <f t="shared" si="26"/>
        <v>4602.1944160019602</v>
      </c>
      <c r="AH78" s="349">
        <f t="shared" si="26"/>
        <v>1243.5349568444615</v>
      </c>
      <c r="AI78" s="349">
        <f t="shared" si="26"/>
        <v>4976.2858597167815</v>
      </c>
      <c r="AJ78" s="349">
        <f t="shared" si="26"/>
        <v>3974.4678130897714</v>
      </c>
      <c r="AK78" s="349">
        <f t="shared" si="26"/>
        <v>3847.0372534227049</v>
      </c>
      <c r="AL78" s="349">
        <f t="shared" si="26"/>
        <v>3100.613737709185</v>
      </c>
      <c r="AM78" s="349">
        <f t="shared" si="26"/>
        <v>3654.8237555688625</v>
      </c>
      <c r="AN78" s="354">
        <f t="shared" si="26"/>
        <v>3654.8237555688625</v>
      </c>
    </row>
    <row r="79" spans="1:40">
      <c r="A79" s="129"/>
      <c r="B79" s="142" t="s">
        <v>7</v>
      </c>
      <c r="C79" s="129" t="s">
        <v>261</v>
      </c>
      <c r="D79" s="345">
        <f t="shared" si="26"/>
        <v>2640.9024557280663</v>
      </c>
      <c r="E79" s="349">
        <f t="shared" si="26"/>
        <v>3299.3090180440799</v>
      </c>
      <c r="F79" s="349">
        <f t="shared" si="26"/>
        <v>1503.847346104503</v>
      </c>
      <c r="G79" s="349">
        <f t="shared" si="26"/>
        <v>2572.9217545733427</v>
      </c>
      <c r="H79" s="349">
        <f t="shared" si="26"/>
        <v>1661.0261873597774</v>
      </c>
      <c r="I79" s="349">
        <f t="shared" si="26"/>
        <v>2205.4727845963516</v>
      </c>
      <c r="J79" s="349">
        <f t="shared" si="26"/>
        <v>1893.0722314442471</v>
      </c>
      <c r="K79" s="349">
        <f t="shared" si="26"/>
        <v>1507.8446453631152</v>
      </c>
      <c r="L79" s="349">
        <f t="shared" si="26"/>
        <v>1666.2584918108871</v>
      </c>
      <c r="M79" s="349">
        <f t="shared" si="26"/>
        <v>3032.6376675703555</v>
      </c>
      <c r="N79" s="349">
        <f t="shared" si="26"/>
        <v>1986.7806760431961</v>
      </c>
      <c r="O79" s="349">
        <f t="shared" si="26"/>
        <v>1593.3313300274085</v>
      </c>
      <c r="P79" s="349">
        <f t="shared" si="26"/>
        <v>2119.282828416362</v>
      </c>
      <c r="Q79" s="349">
        <f t="shared" si="26"/>
        <v>1666.5376686723162</v>
      </c>
      <c r="R79" s="349">
        <f t="shared" si="26"/>
        <v>1730.8948259315503</v>
      </c>
      <c r="S79" s="349">
        <f t="shared" si="26"/>
        <v>1163.1836967405923</v>
      </c>
      <c r="T79" s="349">
        <f t="shared" si="26"/>
        <v>2260.3818618187061</v>
      </c>
      <c r="U79" s="349">
        <f t="shared" si="26"/>
        <v>3393.8135707349388</v>
      </c>
      <c r="V79" s="349">
        <f t="shared" si="26"/>
        <v>1570.102500394353</v>
      </c>
      <c r="W79" s="349">
        <f t="shared" si="26"/>
        <v>2317.0168479337995</v>
      </c>
      <c r="X79" s="349">
        <f t="shared" si="26"/>
        <v>1574.3480427798138</v>
      </c>
      <c r="Y79" s="349">
        <f t="shared" si="26"/>
        <v>1378.0641057355786</v>
      </c>
      <c r="Z79" s="349">
        <f t="shared" si="26"/>
        <v>2178.8830603481774</v>
      </c>
      <c r="AA79" s="349">
        <f t="shared" si="26"/>
        <v>2256.5277909800402</v>
      </c>
      <c r="AB79" s="349">
        <f t="shared" si="26"/>
        <v>2124.6798329880239</v>
      </c>
      <c r="AC79" s="349">
        <f t="shared" si="26"/>
        <v>2144.4922420027738</v>
      </c>
      <c r="AD79" s="349">
        <f t="shared" si="26"/>
        <v>2191.4929736254931</v>
      </c>
      <c r="AE79" s="349">
        <f t="shared" si="26"/>
        <v>2175.7947740161776</v>
      </c>
      <c r="AF79" s="349">
        <f t="shared" si="26"/>
        <v>1353.9077463402143</v>
      </c>
      <c r="AG79" s="349">
        <f t="shared" si="26"/>
        <v>2714.7710389884664</v>
      </c>
      <c r="AH79" s="349">
        <f t="shared" si="26"/>
        <v>1048.7663395147538</v>
      </c>
      <c r="AI79" s="349">
        <f t="shared" si="26"/>
        <v>1687.1396325236121</v>
      </c>
      <c r="AJ79" s="349">
        <f t="shared" si="26"/>
        <v>3447.475042459359</v>
      </c>
      <c r="AK79" s="349">
        <f t="shared" si="26"/>
        <v>3336.7171524612031</v>
      </c>
      <c r="AL79" s="349">
        <f t="shared" si="26"/>
        <v>1870.3148592050072</v>
      </c>
      <c r="AM79" s="349">
        <f t="shared" si="26"/>
        <v>3170.214044862525</v>
      </c>
      <c r="AN79" s="354">
        <f t="shared" si="26"/>
        <v>3170.214044862525</v>
      </c>
    </row>
    <row r="80" spans="1:40">
      <c r="A80" s="334" t="s">
        <v>262</v>
      </c>
      <c r="B80" s="359" t="s">
        <v>2</v>
      </c>
      <c r="C80" s="366" t="s">
        <v>190</v>
      </c>
      <c r="D80" s="375">
        <f t="shared" ref="D80:AN80" si="27">D74/D$4</f>
        <v>96.591472919738081</v>
      </c>
      <c r="E80" s="376">
        <f t="shared" si="27"/>
        <v>90.257197115732964</v>
      </c>
      <c r="F80" s="376">
        <f t="shared" si="27"/>
        <v>59.892274573519025</v>
      </c>
      <c r="G80" s="376">
        <f t="shared" si="27"/>
        <v>94.10506678973924</v>
      </c>
      <c r="H80" s="376">
        <f t="shared" si="27"/>
        <v>32.347498014163868</v>
      </c>
      <c r="I80" s="376">
        <f t="shared" si="27"/>
        <v>73.565580609148128</v>
      </c>
      <c r="J80" s="376">
        <f t="shared" si="27"/>
        <v>105.5279466758688</v>
      </c>
      <c r="K80" s="376">
        <f t="shared" si="27"/>
        <v>47.897995495602004</v>
      </c>
      <c r="L80" s="376">
        <f t="shared" si="27"/>
        <v>59.33215408472266</v>
      </c>
      <c r="M80" s="376">
        <f t="shared" si="27"/>
        <v>90.683932858883324</v>
      </c>
      <c r="N80" s="376">
        <f t="shared" si="27"/>
        <v>61.634743194800869</v>
      </c>
      <c r="O80" s="376">
        <f t="shared" si="27"/>
        <v>106.74591860361333</v>
      </c>
      <c r="P80" s="376">
        <f t="shared" si="27"/>
        <v>88.510321584525627</v>
      </c>
      <c r="Q80" s="376">
        <f t="shared" si="27"/>
        <v>64.383145551385368</v>
      </c>
      <c r="R80" s="376">
        <f t="shared" si="27"/>
        <v>94.466551367735661</v>
      </c>
      <c r="S80" s="376">
        <f t="shared" si="27"/>
        <v>57.987746621983838</v>
      </c>
      <c r="T80" s="376">
        <f t="shared" si="27"/>
        <v>72.910395183630683</v>
      </c>
      <c r="U80" s="376">
        <f t="shared" si="27"/>
        <v>60.548838697712526</v>
      </c>
      <c r="V80" s="376">
        <f t="shared" si="27"/>
        <v>91.493283639966279</v>
      </c>
      <c r="W80" s="376">
        <f t="shared" si="27"/>
        <v>70.042386890131027</v>
      </c>
      <c r="X80" s="376">
        <f t="shared" si="27"/>
        <v>98.665659052547554</v>
      </c>
      <c r="Y80" s="376">
        <f t="shared" si="27"/>
        <v>24.233251049502755</v>
      </c>
      <c r="Z80" s="376">
        <f t="shared" si="27"/>
        <v>93.800615627553171</v>
      </c>
      <c r="AA80" s="376">
        <f t="shared" si="27"/>
        <v>63.003499730083675</v>
      </c>
      <c r="AB80" s="376">
        <f t="shared" si="27"/>
        <v>106.77148004532559</v>
      </c>
      <c r="AC80" s="376">
        <f t="shared" si="27"/>
        <v>43.904744182640762</v>
      </c>
      <c r="AD80" s="376">
        <f t="shared" si="27"/>
        <v>71.562474267072375</v>
      </c>
      <c r="AE80" s="376">
        <f t="shared" si="27"/>
        <v>60.749389396134525</v>
      </c>
      <c r="AF80" s="376">
        <f t="shared" si="27"/>
        <v>88.004282225921244</v>
      </c>
      <c r="AG80" s="376">
        <f t="shared" si="27"/>
        <v>109.853442976182</v>
      </c>
      <c r="AH80" s="376">
        <f t="shared" si="27"/>
        <v>69.153093293046041</v>
      </c>
      <c r="AI80" s="376">
        <f t="shared" si="27"/>
        <v>69.452135719850318</v>
      </c>
      <c r="AJ80" s="376">
        <f t="shared" si="27"/>
        <v>78.530891698363263</v>
      </c>
      <c r="AK80" s="376">
        <f t="shared" si="27"/>
        <v>66.335760009537864</v>
      </c>
      <c r="AL80" s="376">
        <f t="shared" si="27"/>
        <v>78.378597661022468</v>
      </c>
      <c r="AM80" s="376">
        <f t="shared" si="27"/>
        <v>72.215094453628382</v>
      </c>
      <c r="AN80" s="377">
        <f t="shared" si="27"/>
        <v>72.215094453628382</v>
      </c>
    </row>
    <row r="81" spans="1:40">
      <c r="A81" s="154"/>
      <c r="B81" s="347" t="s">
        <v>3</v>
      </c>
      <c r="C81" s="367" t="s">
        <v>190</v>
      </c>
      <c r="D81" s="369">
        <f t="shared" ref="D81:AN81" si="28">D75/D$4</f>
        <v>86.170135312278688</v>
      </c>
      <c r="E81" s="370">
        <f t="shared" si="28"/>
        <v>90.257197115732964</v>
      </c>
      <c r="F81" s="370">
        <f t="shared" si="28"/>
        <v>59.892274573519025</v>
      </c>
      <c r="G81" s="370">
        <f t="shared" si="28"/>
        <v>83.951989691481359</v>
      </c>
      <c r="H81" s="370">
        <f t="shared" si="28"/>
        <v>29.502362835730295</v>
      </c>
      <c r="I81" s="370">
        <f t="shared" si="28"/>
        <v>64.701184194673417</v>
      </c>
      <c r="J81" s="370">
        <f t="shared" si="28"/>
        <v>88.498970674680706</v>
      </c>
      <c r="K81" s="370">
        <f t="shared" si="28"/>
        <v>47.038115586559492</v>
      </c>
      <c r="L81" s="370">
        <f t="shared" si="28"/>
        <v>59.33215408472266</v>
      </c>
      <c r="M81" s="370">
        <f t="shared" si="28"/>
        <v>80.260128743595516</v>
      </c>
      <c r="N81" s="370">
        <f t="shared" si="28"/>
        <v>56.573149105280386</v>
      </c>
      <c r="O81" s="370">
        <f t="shared" si="28"/>
        <v>106.74591860361333</v>
      </c>
      <c r="P81" s="370">
        <f t="shared" si="28"/>
        <v>88.510321584525627</v>
      </c>
      <c r="Q81" s="370">
        <f t="shared" si="28"/>
        <v>69.939267127953812</v>
      </c>
      <c r="R81" s="370">
        <f t="shared" si="28"/>
        <v>94.466551367735661</v>
      </c>
      <c r="S81" s="370">
        <f t="shared" si="28"/>
        <v>58.773298291966377</v>
      </c>
      <c r="T81" s="370">
        <f t="shared" si="28"/>
        <v>67.445360793669849</v>
      </c>
      <c r="U81" s="370">
        <f t="shared" si="28"/>
        <v>56.323152745036651</v>
      </c>
      <c r="V81" s="370">
        <f t="shared" si="28"/>
        <v>91.493283639966279</v>
      </c>
      <c r="W81" s="370">
        <f t="shared" si="28"/>
        <v>82.513182454266953</v>
      </c>
      <c r="X81" s="370">
        <f t="shared" si="28"/>
        <v>98.665659052547554</v>
      </c>
      <c r="Y81" s="370">
        <f t="shared" si="28"/>
        <v>24.210846877461034</v>
      </c>
      <c r="Z81" s="370">
        <f t="shared" si="28"/>
        <v>78.051539134313359</v>
      </c>
      <c r="AA81" s="370">
        <f t="shared" si="28"/>
        <v>63.003499730083675</v>
      </c>
      <c r="AB81" s="370">
        <f t="shared" si="28"/>
        <v>79.287535867688675</v>
      </c>
      <c r="AC81" s="370">
        <f t="shared" si="28"/>
        <v>37.961399081343075</v>
      </c>
      <c r="AD81" s="370">
        <f t="shared" si="28"/>
        <v>65.145922528818332</v>
      </c>
      <c r="AE81" s="370">
        <f t="shared" si="28"/>
        <v>60.749389396134525</v>
      </c>
      <c r="AF81" s="370">
        <f t="shared" si="28"/>
        <v>88.004282225921244</v>
      </c>
      <c r="AG81" s="370">
        <f t="shared" si="28"/>
        <v>91.824140159806177</v>
      </c>
      <c r="AH81" s="370">
        <f t="shared" si="28"/>
        <v>73.576954470563422</v>
      </c>
      <c r="AI81" s="370">
        <f t="shared" si="28"/>
        <v>69.452135719850318</v>
      </c>
      <c r="AJ81" s="370">
        <f t="shared" si="28"/>
        <v>78.530891698363263</v>
      </c>
      <c r="AK81" s="370">
        <f t="shared" si="28"/>
        <v>66.335760009537864</v>
      </c>
      <c r="AL81" s="370">
        <f t="shared" si="28"/>
        <v>78.378597661022468</v>
      </c>
      <c r="AM81" s="370">
        <f t="shared" si="28"/>
        <v>72.215094453628382</v>
      </c>
      <c r="AN81" s="371">
        <f t="shared" si="28"/>
        <v>72.215094453628382</v>
      </c>
    </row>
    <row r="82" spans="1:40">
      <c r="A82" s="154"/>
      <c r="B82" s="347" t="s">
        <v>4</v>
      </c>
      <c r="C82" s="367" t="s">
        <v>190</v>
      </c>
      <c r="D82" s="369">
        <f t="shared" ref="D82:AN82" si="29">D76/D$4</f>
        <v>69.301680087816493</v>
      </c>
      <c r="E82" s="370">
        <f t="shared" si="29"/>
        <v>90.257197115732964</v>
      </c>
      <c r="F82" s="370">
        <f t="shared" si="29"/>
        <v>56.214409422888252</v>
      </c>
      <c r="G82" s="370">
        <f t="shared" si="29"/>
        <v>67.517753236087586</v>
      </c>
      <c r="H82" s="370">
        <f t="shared" si="29"/>
        <v>26.603875022684882</v>
      </c>
      <c r="I82" s="370">
        <f t="shared" si="29"/>
        <v>64.701184194673417</v>
      </c>
      <c r="J82" s="370">
        <f t="shared" si="29"/>
        <v>55.291909264324346</v>
      </c>
      <c r="K82" s="370">
        <f t="shared" si="29"/>
        <v>30.83806382264298</v>
      </c>
      <c r="L82" s="370">
        <f t="shared" si="29"/>
        <v>46.744552078531292</v>
      </c>
      <c r="M82" s="370">
        <f t="shared" si="29"/>
        <v>80.260128743595516</v>
      </c>
      <c r="N82" s="370">
        <f t="shared" si="29"/>
        <v>46.255376307439214</v>
      </c>
      <c r="O82" s="370">
        <f t="shared" si="29"/>
        <v>49.074085465534601</v>
      </c>
      <c r="P82" s="370">
        <f t="shared" si="29"/>
        <v>88.510321584525627</v>
      </c>
      <c r="Q82" s="370">
        <f t="shared" si="29"/>
        <v>64.494467656000069</v>
      </c>
      <c r="R82" s="370">
        <f t="shared" si="29"/>
        <v>80.836380362134491</v>
      </c>
      <c r="S82" s="370">
        <f t="shared" si="29"/>
        <v>50.964118392039673</v>
      </c>
      <c r="T82" s="370">
        <f t="shared" si="29"/>
        <v>54.079676170658352</v>
      </c>
      <c r="U82" s="370">
        <f t="shared" si="29"/>
        <v>54.909688814574352</v>
      </c>
      <c r="V82" s="370">
        <f t="shared" si="29"/>
        <v>58.345869360873294</v>
      </c>
      <c r="W82" s="370">
        <f t="shared" si="29"/>
        <v>41.769235356322518</v>
      </c>
      <c r="X82" s="370">
        <f t="shared" si="29"/>
        <v>90.982448262286269</v>
      </c>
      <c r="Y82" s="370">
        <f t="shared" si="29"/>
        <v>18.643701949562008</v>
      </c>
      <c r="Z82" s="370">
        <f t="shared" si="29"/>
        <v>76.508666707223426</v>
      </c>
      <c r="AA82" s="370">
        <f t="shared" si="29"/>
        <v>40.209554204443641</v>
      </c>
      <c r="AB82" s="370">
        <f t="shared" si="29"/>
        <v>55.28392511200655</v>
      </c>
      <c r="AC82" s="370">
        <f t="shared" si="29"/>
        <v>37.44211210372297</v>
      </c>
      <c r="AD82" s="370">
        <f t="shared" si="29"/>
        <v>65.145922528818332</v>
      </c>
      <c r="AE82" s="370">
        <f t="shared" si="29"/>
        <v>38.770955205276508</v>
      </c>
      <c r="AF82" s="370">
        <f t="shared" si="29"/>
        <v>84.769408448275371</v>
      </c>
      <c r="AG82" s="370">
        <f t="shared" si="29"/>
        <v>91.824140159806177</v>
      </c>
      <c r="AH82" s="370">
        <f t="shared" si="29"/>
        <v>59.879530332027393</v>
      </c>
      <c r="AI82" s="370">
        <f t="shared" si="29"/>
        <v>69.452135719850318</v>
      </c>
      <c r="AJ82" s="370">
        <f t="shared" si="29"/>
        <v>78.530891698363263</v>
      </c>
      <c r="AK82" s="370">
        <f t="shared" si="29"/>
        <v>66.335760009537864</v>
      </c>
      <c r="AL82" s="370">
        <f t="shared" si="29"/>
        <v>73.538827440865703</v>
      </c>
      <c r="AM82" s="370">
        <f t="shared" si="29"/>
        <v>72.215094453628382</v>
      </c>
      <c r="AN82" s="371">
        <f t="shared" si="29"/>
        <v>72.215094453628382</v>
      </c>
    </row>
    <row r="83" spans="1:40">
      <c r="A83" s="154"/>
      <c r="B83" s="347" t="s">
        <v>5</v>
      </c>
      <c r="C83" s="367" t="s">
        <v>190</v>
      </c>
      <c r="D83" s="369">
        <f t="shared" ref="D83:AN83" si="30">D77/D$4</f>
        <v>48.645502007206971</v>
      </c>
      <c r="E83" s="370">
        <f t="shared" si="30"/>
        <v>77.097580161199659</v>
      </c>
      <c r="F83" s="370">
        <f t="shared" si="30"/>
        <v>47.588853554545793</v>
      </c>
      <c r="G83" s="370">
        <f t="shared" si="30"/>
        <v>47.393295464212279</v>
      </c>
      <c r="H83" s="370">
        <f t="shared" si="30"/>
        <v>25.975814063252965</v>
      </c>
      <c r="I83" s="370">
        <f t="shared" si="30"/>
        <v>57.535617750120466</v>
      </c>
      <c r="J83" s="370">
        <f t="shared" si="30"/>
        <v>46.490058094085221</v>
      </c>
      <c r="K83" s="370">
        <f t="shared" si="30"/>
        <v>24.868764646469526</v>
      </c>
      <c r="L83" s="370">
        <f t="shared" si="30"/>
        <v>38.798940039244783</v>
      </c>
      <c r="M83" s="370">
        <f t="shared" si="30"/>
        <v>57.968076092692968</v>
      </c>
      <c r="N83" s="370">
        <f t="shared" si="30"/>
        <v>38.363289017881002</v>
      </c>
      <c r="O83" s="370">
        <f t="shared" si="30"/>
        <v>42.355581956945464</v>
      </c>
      <c r="P83" s="370">
        <f t="shared" si="30"/>
        <v>86.798250796901229</v>
      </c>
      <c r="Q83" s="370">
        <f t="shared" si="30"/>
        <v>64.494467656000069</v>
      </c>
      <c r="R83" s="370">
        <f t="shared" si="30"/>
        <v>57.041518396274384</v>
      </c>
      <c r="S83" s="370">
        <f t="shared" si="30"/>
        <v>34.023499542236337</v>
      </c>
      <c r="T83" s="370">
        <f t="shared" si="30"/>
        <v>43.635068221798925</v>
      </c>
      <c r="U83" s="370">
        <f t="shared" si="30"/>
        <v>41.333239345840305</v>
      </c>
      <c r="V83" s="370">
        <f t="shared" si="30"/>
        <v>58.345869360873294</v>
      </c>
      <c r="W83" s="370">
        <f t="shared" si="30"/>
        <v>37.964955845170913</v>
      </c>
      <c r="X83" s="370">
        <f t="shared" si="30"/>
        <v>55.673660840343317</v>
      </c>
      <c r="Y83" s="370">
        <f t="shared" si="30"/>
        <v>17.520958433730843</v>
      </c>
      <c r="Z83" s="370">
        <f t="shared" si="30"/>
        <v>41.226934179918338</v>
      </c>
      <c r="AA83" s="370">
        <f t="shared" si="30"/>
        <v>40.209554204443641</v>
      </c>
      <c r="AB83" s="370">
        <f t="shared" si="30"/>
        <v>55.28392511200655</v>
      </c>
      <c r="AC83" s="370">
        <f t="shared" si="30"/>
        <v>35.967677061526324</v>
      </c>
      <c r="AD83" s="370">
        <f t="shared" si="30"/>
        <v>55.256542249806657</v>
      </c>
      <c r="AE83" s="370">
        <f t="shared" si="30"/>
        <v>38.770955205276508</v>
      </c>
      <c r="AF83" s="370">
        <f t="shared" si="30"/>
        <v>63.045416131907572</v>
      </c>
      <c r="AG83" s="370">
        <f t="shared" si="30"/>
        <v>79.67616223181507</v>
      </c>
      <c r="AH83" s="370">
        <f t="shared" si="30"/>
        <v>31.239654943714328</v>
      </c>
      <c r="AI83" s="370">
        <f t="shared" si="30"/>
        <v>68.168299448175091</v>
      </c>
      <c r="AJ83" s="370">
        <f t="shared" si="30"/>
        <v>67.020260586074102</v>
      </c>
      <c r="AK83" s="370">
        <f t="shared" si="30"/>
        <v>56.552480627541705</v>
      </c>
      <c r="AL83" s="370">
        <f t="shared" si="30"/>
        <v>62.039528998097218</v>
      </c>
      <c r="AM83" s="370">
        <f t="shared" si="30"/>
        <v>61.630198560842274</v>
      </c>
      <c r="AN83" s="371">
        <f t="shared" si="30"/>
        <v>61.630198560842274</v>
      </c>
    </row>
    <row r="84" spans="1:40">
      <c r="A84" s="154"/>
      <c r="B84" s="347" t="s">
        <v>6</v>
      </c>
      <c r="C84" s="367" t="s">
        <v>190</v>
      </c>
      <c r="D84" s="369">
        <f t="shared" ref="D84:AN84" si="31">D78/D$4</f>
        <v>40.869708482951239</v>
      </c>
      <c r="E84" s="370">
        <f t="shared" si="31"/>
        <v>77.097580161199659</v>
      </c>
      <c r="F84" s="370">
        <f t="shared" si="31"/>
        <v>36.990739961969197</v>
      </c>
      <c r="G84" s="370">
        <f t="shared" si="31"/>
        <v>39.817662265706822</v>
      </c>
      <c r="H84" s="370">
        <f t="shared" si="31"/>
        <v>25.975814063252965</v>
      </c>
      <c r="I84" s="370">
        <f t="shared" si="31"/>
        <v>42.338062727183683</v>
      </c>
      <c r="J84" s="370">
        <f t="shared" si="31"/>
        <v>26.767440403908555</v>
      </c>
      <c r="K84" s="370">
        <f t="shared" si="31"/>
        <v>24.868764646469526</v>
      </c>
      <c r="L84" s="370">
        <f t="shared" si="31"/>
        <v>34.85967093790849</v>
      </c>
      <c r="M84" s="370">
        <f t="shared" si="31"/>
        <v>57.968076092692968</v>
      </c>
      <c r="N84" s="370">
        <f t="shared" si="31"/>
        <v>37.865989081770643</v>
      </c>
      <c r="O84" s="370">
        <f t="shared" si="31"/>
        <v>24.856965231472291</v>
      </c>
      <c r="P84" s="370">
        <f t="shared" si="31"/>
        <v>86.798250796901229</v>
      </c>
      <c r="Q84" s="370">
        <f t="shared" si="31"/>
        <v>45.757812380242896</v>
      </c>
      <c r="R84" s="370">
        <f t="shared" si="31"/>
        <v>57.041518396274384</v>
      </c>
      <c r="S84" s="370">
        <f t="shared" si="31"/>
        <v>28.133967226442724</v>
      </c>
      <c r="T84" s="370">
        <f t="shared" si="31"/>
        <v>43.050441077613819</v>
      </c>
      <c r="U84" s="370">
        <f t="shared" si="31"/>
        <v>37.376801439812105</v>
      </c>
      <c r="V84" s="370">
        <f t="shared" si="31"/>
        <v>58.345869360873294</v>
      </c>
      <c r="W84" s="370">
        <f t="shared" si="31"/>
        <v>33.337497403041134</v>
      </c>
      <c r="X84" s="370">
        <f t="shared" si="31"/>
        <v>55.149498806368534</v>
      </c>
      <c r="Y84" s="370">
        <f t="shared" si="31"/>
        <v>17.306105421945226</v>
      </c>
      <c r="Z84" s="370">
        <f t="shared" si="31"/>
        <v>37.602346627022371</v>
      </c>
      <c r="AA84" s="370">
        <f t="shared" si="31"/>
        <v>33.780356152395811</v>
      </c>
      <c r="AB84" s="370">
        <f t="shared" si="31"/>
        <v>55.28392511200655</v>
      </c>
      <c r="AC84" s="370">
        <f t="shared" si="31"/>
        <v>32.716740641144348</v>
      </c>
      <c r="AD84" s="370">
        <f t="shared" si="31"/>
        <v>55.256542249806657</v>
      </c>
      <c r="AE84" s="370">
        <f t="shared" si="31"/>
        <v>32.571778054134398</v>
      </c>
      <c r="AF84" s="370">
        <f t="shared" si="31"/>
        <v>45.46987083952294</v>
      </c>
      <c r="AG84" s="370">
        <f t="shared" si="31"/>
        <v>75.134321676375407</v>
      </c>
      <c r="AH84" s="370">
        <f t="shared" si="31"/>
        <v>25.687563661319182</v>
      </c>
      <c r="AI84" s="370">
        <f t="shared" si="31"/>
        <v>68.168299448175091</v>
      </c>
      <c r="AJ84" s="370">
        <f t="shared" si="31"/>
        <v>62.479525399665818</v>
      </c>
      <c r="AK84" s="370">
        <f t="shared" si="31"/>
        <v>52.699140457845274</v>
      </c>
      <c r="AL84" s="370">
        <f t="shared" si="31"/>
        <v>48.742343350153106</v>
      </c>
      <c r="AM84" s="370">
        <f t="shared" si="31"/>
        <v>57.454649126934306</v>
      </c>
      <c r="AN84" s="371">
        <f t="shared" si="31"/>
        <v>57.454649126934306</v>
      </c>
    </row>
    <row r="85" spans="1:40">
      <c r="A85" s="155"/>
      <c r="B85" s="338" t="s">
        <v>7</v>
      </c>
      <c r="C85" s="368" t="s">
        <v>190</v>
      </c>
      <c r="D85" s="378">
        <f t="shared" ref="D85:AN85" si="32">D79/D$4</f>
        <v>36.901295320028439</v>
      </c>
      <c r="E85" s="379">
        <f t="shared" si="32"/>
        <v>45.048859685768917</v>
      </c>
      <c r="F85" s="379">
        <f t="shared" si="32"/>
        <v>23.322596552122167</v>
      </c>
      <c r="G85" s="379">
        <f t="shared" si="32"/>
        <v>35.951401875864299</v>
      </c>
      <c r="H85" s="379">
        <f t="shared" si="32"/>
        <v>22.753783388490103</v>
      </c>
      <c r="I85" s="379">
        <f t="shared" si="32"/>
        <v>36.162697789833445</v>
      </c>
      <c r="J85" s="379">
        <f t="shared" si="32"/>
        <v>30.188501924515283</v>
      </c>
      <c r="K85" s="379">
        <f t="shared" si="32"/>
        <v>19.23271231330504</v>
      </c>
      <c r="L85" s="379">
        <f t="shared" si="32"/>
        <v>34.85967093790849</v>
      </c>
      <c r="M85" s="379">
        <f t="shared" si="32"/>
        <v>35.112322056720984</v>
      </c>
      <c r="N85" s="379">
        <f t="shared" si="32"/>
        <v>35.478226357914217</v>
      </c>
      <c r="O85" s="379">
        <f t="shared" si="32"/>
        <v>24.169180909738245</v>
      </c>
      <c r="P85" s="379">
        <f t="shared" si="32"/>
        <v>29.031271622141944</v>
      </c>
      <c r="Q85" s="379">
        <f t="shared" si="32"/>
        <v>26.198345915994455</v>
      </c>
      <c r="R85" s="379">
        <f t="shared" si="32"/>
        <v>37.036754352923992</v>
      </c>
      <c r="S85" s="379">
        <f t="shared" si="32"/>
        <v>17.479651620199359</v>
      </c>
      <c r="T85" s="379">
        <f t="shared" si="32"/>
        <v>40.363961818191179</v>
      </c>
      <c r="U85" s="379">
        <f t="shared" si="32"/>
        <v>37.376801439812105</v>
      </c>
      <c r="V85" s="379">
        <f t="shared" si="32"/>
        <v>30.450913295043318</v>
      </c>
      <c r="W85" s="379">
        <f t="shared" si="32"/>
        <v>27.004825319663645</v>
      </c>
      <c r="X85" s="379">
        <f t="shared" si="32"/>
        <v>30.569864908345899</v>
      </c>
      <c r="Y85" s="379">
        <f t="shared" si="32"/>
        <v>16.206522096501168</v>
      </c>
      <c r="Z85" s="379">
        <f t="shared" si="32"/>
        <v>28.745159107495745</v>
      </c>
      <c r="AA85" s="379">
        <f t="shared" si="32"/>
        <v>33.780356152395811</v>
      </c>
      <c r="AB85" s="379">
        <f t="shared" si="32"/>
        <v>40.485719544658984</v>
      </c>
      <c r="AC85" s="379">
        <f t="shared" si="32"/>
        <v>22.185894925677697</v>
      </c>
      <c r="AD85" s="379">
        <f t="shared" si="32"/>
        <v>45.703383767705461</v>
      </c>
      <c r="AE85" s="379">
        <f t="shared" si="32"/>
        <v>32.571778054134398</v>
      </c>
      <c r="AF85" s="379">
        <f t="shared" si="32"/>
        <v>26.258434353062313</v>
      </c>
      <c r="AG85" s="379">
        <f t="shared" si="32"/>
        <v>44.320700536215774</v>
      </c>
      <c r="AH85" s="379">
        <f t="shared" si="32"/>
        <v>21.664249938334102</v>
      </c>
      <c r="AI85" s="379">
        <f t="shared" si="32"/>
        <v>23.111501815391946</v>
      </c>
      <c r="AJ85" s="379">
        <f t="shared" si="32"/>
        <v>54.19508085350504</v>
      </c>
      <c r="AK85" s="379">
        <f t="shared" si="32"/>
        <v>45.708454143304152</v>
      </c>
      <c r="AL85" s="379">
        <f t="shared" si="32"/>
        <v>29.401769053509305</v>
      </c>
      <c r="AM85" s="379">
        <f t="shared" si="32"/>
        <v>49.836475788284751</v>
      </c>
      <c r="AN85" s="380">
        <f t="shared" si="32"/>
        <v>49.836475788284751</v>
      </c>
    </row>
    <row r="86" spans="1:40">
      <c r="A86" s="151" t="s">
        <v>285</v>
      </c>
      <c r="B86" s="141" t="s">
        <v>2</v>
      </c>
      <c r="C86" s="144" t="s">
        <v>148</v>
      </c>
      <c r="D86" s="381">
        <f t="shared" ref="D86:AN86" si="33">1-(D80/D$48)</f>
        <v>8.7063973883042212E-2</v>
      </c>
      <c r="E86" s="382">
        <f t="shared" si="33"/>
        <v>0.12140903825820026</v>
      </c>
      <c r="F86" s="382">
        <f t="shared" si="33"/>
        <v>0.12085558141974484</v>
      </c>
      <c r="G86" s="382">
        <f t="shared" si="33"/>
        <v>8.7063973883042212E-2</v>
      </c>
      <c r="H86" s="382">
        <f t="shared" si="33"/>
        <v>5.8849339631493303E-2</v>
      </c>
      <c r="I86" s="382">
        <f t="shared" si="33"/>
        <v>0.15260283067331071</v>
      </c>
      <c r="J86" s="382">
        <f t="shared" si="33"/>
        <v>0.11905060683230528</v>
      </c>
      <c r="K86" s="382">
        <f t="shared" si="33"/>
        <v>0.16059887112652493</v>
      </c>
      <c r="L86" s="382">
        <f t="shared" si="33"/>
        <v>0.16332871207799793</v>
      </c>
      <c r="M86" s="382">
        <f t="shared" si="33"/>
        <v>9.8486595707863112E-2</v>
      </c>
      <c r="N86" s="382">
        <f t="shared" si="33"/>
        <v>0.22613650541102615</v>
      </c>
      <c r="O86" s="382">
        <f t="shared" si="33"/>
        <v>0.10289309199083496</v>
      </c>
      <c r="P86" s="382">
        <f t="shared" si="33"/>
        <v>5.5332338085737898E-2</v>
      </c>
      <c r="Q86" s="382">
        <f t="shared" si="33"/>
        <v>0.19323999260812841</v>
      </c>
      <c r="R86" s="382">
        <f t="shared" si="33"/>
        <v>0.10778545989867194</v>
      </c>
      <c r="S86" s="382">
        <f t="shared" si="33"/>
        <v>0.20169044959945726</v>
      </c>
      <c r="T86" s="382">
        <f t="shared" si="33"/>
        <v>0.17535001607664835</v>
      </c>
      <c r="U86" s="382">
        <f t="shared" si="33"/>
        <v>0.1446554081820014</v>
      </c>
      <c r="V86" s="382">
        <f t="shared" si="33"/>
        <v>0.12101663818510788</v>
      </c>
      <c r="W86" s="382">
        <f t="shared" si="33"/>
        <v>0.17188913323719146</v>
      </c>
      <c r="X86" s="382">
        <f t="shared" si="33"/>
        <v>0.15180077745484699</v>
      </c>
      <c r="Y86" s="382">
        <f t="shared" si="33"/>
        <v>0.11183747268080313</v>
      </c>
      <c r="Z86" s="382">
        <f t="shared" si="33"/>
        <v>0.10922740149187804</v>
      </c>
      <c r="AA86" s="382">
        <f t="shared" si="33"/>
        <v>0.22789670900014547</v>
      </c>
      <c r="AB86" s="382">
        <f t="shared" si="33"/>
        <v>0.15045726470888865</v>
      </c>
      <c r="AC86" s="382">
        <f t="shared" si="33"/>
        <v>8.8867887842517201E-2</v>
      </c>
      <c r="AD86" s="382">
        <f t="shared" si="33"/>
        <v>0.14487018406998131</v>
      </c>
      <c r="AE86" s="382">
        <f t="shared" si="33"/>
        <v>0.22789670900014558</v>
      </c>
      <c r="AF86" s="382">
        <f t="shared" si="33"/>
        <v>0.10559181851681732</v>
      </c>
      <c r="AG86" s="382">
        <f t="shared" si="33"/>
        <v>0.1319090222102387</v>
      </c>
      <c r="AH86" s="382">
        <f t="shared" si="33"/>
        <v>0.22424686897623813</v>
      </c>
      <c r="AI86" s="382">
        <f t="shared" si="33"/>
        <v>6.9361499497915369E-2</v>
      </c>
      <c r="AJ86" s="382">
        <f t="shared" si="33"/>
        <v>0.12100538162295371</v>
      </c>
      <c r="AK86" s="382">
        <f t="shared" si="33"/>
        <v>0.11221440365769308</v>
      </c>
      <c r="AL86" s="382">
        <f t="shared" si="33"/>
        <v>9.6305674897781413E-2</v>
      </c>
      <c r="AM86" s="382">
        <f t="shared" si="33"/>
        <v>0.1210053816229536</v>
      </c>
      <c r="AN86" s="383">
        <f t="shared" si="33"/>
        <v>0.1210053816229536</v>
      </c>
    </row>
    <row r="87" spans="1:40">
      <c r="A87" s="129"/>
      <c r="B87" s="142" t="s">
        <v>3</v>
      </c>
      <c r="C87" s="131" t="s">
        <v>148</v>
      </c>
      <c r="D87" s="384">
        <f t="shared" ref="D87:AN87" si="34">1-(D81/D$49)</f>
        <v>9.838138681249331E-2</v>
      </c>
      <c r="E87" s="385">
        <f t="shared" si="34"/>
        <v>0.12140903825820026</v>
      </c>
      <c r="F87" s="385">
        <f t="shared" si="34"/>
        <v>0.12085558141974484</v>
      </c>
      <c r="G87" s="385">
        <f t="shared" si="34"/>
        <v>9.838138681249331E-2</v>
      </c>
      <c r="H87" s="385">
        <f t="shared" si="34"/>
        <v>6.5181432463785716E-2</v>
      </c>
      <c r="I87" s="385">
        <f t="shared" si="34"/>
        <v>0.17307957390395623</v>
      </c>
      <c r="J87" s="385">
        <f t="shared" si="34"/>
        <v>0.1048985819332402</v>
      </c>
      <c r="K87" s="385">
        <f t="shared" si="34"/>
        <v>0.16072397032875263</v>
      </c>
      <c r="L87" s="385">
        <f t="shared" si="34"/>
        <v>0.16332871207799793</v>
      </c>
      <c r="M87" s="385">
        <f t="shared" si="34"/>
        <v>0.11201843245163412</v>
      </c>
      <c r="N87" s="385">
        <f t="shared" si="34"/>
        <v>0.24403393198612078</v>
      </c>
      <c r="O87" s="385">
        <f t="shared" si="34"/>
        <v>0.10289309199083496</v>
      </c>
      <c r="P87" s="385">
        <f t="shared" si="34"/>
        <v>5.5332338085737898E-2</v>
      </c>
      <c r="Q87" s="385">
        <f t="shared" si="34"/>
        <v>0.17860969333755583</v>
      </c>
      <c r="R87" s="385">
        <f t="shared" si="34"/>
        <v>0.10778545989867194</v>
      </c>
      <c r="S87" s="385">
        <f t="shared" si="34"/>
        <v>0.19917521329616705</v>
      </c>
      <c r="T87" s="385">
        <f t="shared" si="34"/>
        <v>0.18890889350708351</v>
      </c>
      <c r="U87" s="385">
        <f t="shared" si="34"/>
        <v>0.15547236657320507</v>
      </c>
      <c r="V87" s="385">
        <f t="shared" si="34"/>
        <v>0.12101663818510788</v>
      </c>
      <c r="W87" s="385">
        <f t="shared" si="34"/>
        <v>0.12306156439189808</v>
      </c>
      <c r="X87" s="385">
        <f t="shared" si="34"/>
        <v>0.13922774075977451</v>
      </c>
      <c r="Y87" s="385">
        <f t="shared" si="34"/>
        <v>0.11194569090782602</v>
      </c>
      <c r="Z87" s="385">
        <f t="shared" si="34"/>
        <v>0.11924851347386156</v>
      </c>
      <c r="AA87" s="385">
        <f t="shared" si="34"/>
        <v>0.22437079144706829</v>
      </c>
      <c r="AB87" s="385">
        <f t="shared" si="34"/>
        <v>0.15054751101900576</v>
      </c>
      <c r="AC87" s="385">
        <f t="shared" si="34"/>
        <v>0.10643076541130836</v>
      </c>
      <c r="AD87" s="385">
        <f t="shared" si="34"/>
        <v>0.15224538312746927</v>
      </c>
      <c r="AE87" s="385">
        <f t="shared" si="34"/>
        <v>0.2243707914470684</v>
      </c>
      <c r="AF87" s="385">
        <f t="shared" si="34"/>
        <v>0.10559181851681732</v>
      </c>
      <c r="AG87" s="385">
        <f t="shared" si="34"/>
        <v>0.1579145669959362</v>
      </c>
      <c r="AH87" s="385">
        <f t="shared" si="34"/>
        <v>0.20875669773720795</v>
      </c>
      <c r="AI87" s="385">
        <f t="shared" si="34"/>
        <v>6.9361499497915369E-2</v>
      </c>
      <c r="AJ87" s="385">
        <f t="shared" si="34"/>
        <v>0.12100538162295371</v>
      </c>
      <c r="AK87" s="385">
        <f t="shared" si="34"/>
        <v>0.11221440365769308</v>
      </c>
      <c r="AL87" s="385">
        <f t="shared" si="34"/>
        <v>9.6305674897781413E-2</v>
      </c>
      <c r="AM87" s="385">
        <f t="shared" si="34"/>
        <v>0.1210053816229536</v>
      </c>
      <c r="AN87" s="386">
        <f t="shared" si="34"/>
        <v>0.1210053816229536</v>
      </c>
    </row>
    <row r="88" spans="1:40">
      <c r="A88" s="129"/>
      <c r="B88" s="142" t="s">
        <v>4</v>
      </c>
      <c r="C88" s="131" t="s">
        <v>148</v>
      </c>
      <c r="D88" s="384">
        <f t="shared" ref="D88:AN88" si="35">1-(D82/D$50)</f>
        <v>0.11185891196952114</v>
      </c>
      <c r="E88" s="385">
        <f t="shared" si="35"/>
        <v>0.12140903825820026</v>
      </c>
      <c r="F88" s="385">
        <f t="shared" si="35"/>
        <v>0.12899920608426951</v>
      </c>
      <c r="G88" s="385">
        <f t="shared" si="35"/>
        <v>0.11185891196952114</v>
      </c>
      <c r="H88" s="385">
        <f t="shared" si="35"/>
        <v>0.16382929994696427</v>
      </c>
      <c r="I88" s="385">
        <f t="shared" si="35"/>
        <v>0.17307957390395623</v>
      </c>
      <c r="J88" s="385">
        <f t="shared" si="35"/>
        <v>0.17897850631922707</v>
      </c>
      <c r="K88" s="385">
        <f t="shared" si="35"/>
        <v>0.2357344946645894</v>
      </c>
      <c r="L88" s="385">
        <f t="shared" si="35"/>
        <v>0.20504978881185454</v>
      </c>
      <c r="M88" s="385">
        <f t="shared" si="35"/>
        <v>0.11201843245163412</v>
      </c>
      <c r="N88" s="385">
        <f t="shared" si="35"/>
        <v>0.26964995603877229</v>
      </c>
      <c r="O88" s="385">
        <f t="shared" si="35"/>
        <v>0.18696083476979575</v>
      </c>
      <c r="P88" s="385">
        <f t="shared" si="35"/>
        <v>5.5332338085737898E-2</v>
      </c>
      <c r="Q88" s="385">
        <f t="shared" si="35"/>
        <v>0.13113392464598894</v>
      </c>
      <c r="R88" s="385">
        <f t="shared" si="35"/>
        <v>0.1267281982860694</v>
      </c>
      <c r="S88" s="385">
        <f t="shared" si="35"/>
        <v>0.22698815429262997</v>
      </c>
      <c r="T88" s="385">
        <f t="shared" si="35"/>
        <v>0.21429176788277571</v>
      </c>
      <c r="U88" s="385">
        <f t="shared" si="35"/>
        <v>0.13750010796011558</v>
      </c>
      <c r="V88" s="385">
        <f t="shared" si="35"/>
        <v>0.15146523214814567</v>
      </c>
      <c r="W88" s="385">
        <f t="shared" si="35"/>
        <v>0.19075952242645666</v>
      </c>
      <c r="X88" s="385">
        <f t="shared" si="35"/>
        <v>0.1510235143851969</v>
      </c>
      <c r="Y88" s="385">
        <f t="shared" si="35"/>
        <v>0.14630204511528067</v>
      </c>
      <c r="Z88" s="385">
        <f t="shared" si="35"/>
        <v>0.12173736400142487</v>
      </c>
      <c r="AA88" s="385">
        <f t="shared" si="35"/>
        <v>0.3237296134943014</v>
      </c>
      <c r="AB88" s="385">
        <f t="shared" si="35"/>
        <v>0.18239402989119435</v>
      </c>
      <c r="AC88" s="385">
        <f t="shared" si="35"/>
        <v>0.1079836818508173</v>
      </c>
      <c r="AD88" s="385">
        <f t="shared" si="35"/>
        <v>0.15224538312746927</v>
      </c>
      <c r="AE88" s="385">
        <f t="shared" si="35"/>
        <v>0.32372961349430152</v>
      </c>
      <c r="AF88" s="385">
        <f t="shared" si="35"/>
        <v>9.2906081755014358E-2</v>
      </c>
      <c r="AG88" s="385">
        <f t="shared" si="35"/>
        <v>0.1579145669959362</v>
      </c>
      <c r="AH88" s="385">
        <f t="shared" si="35"/>
        <v>0.23233679694910347</v>
      </c>
      <c r="AI88" s="385">
        <f t="shared" si="35"/>
        <v>6.9361499497915369E-2</v>
      </c>
      <c r="AJ88" s="385">
        <f t="shared" si="35"/>
        <v>0.12100538162295371</v>
      </c>
      <c r="AK88" s="385">
        <f t="shared" si="35"/>
        <v>0.11221440365769308</v>
      </c>
      <c r="AL88" s="385">
        <f t="shared" si="35"/>
        <v>0.10304624322932265</v>
      </c>
      <c r="AM88" s="385">
        <f t="shared" si="35"/>
        <v>0.1210053816229536</v>
      </c>
      <c r="AN88" s="386">
        <f t="shared" si="35"/>
        <v>0.1210053816229536</v>
      </c>
    </row>
    <row r="89" spans="1:40">
      <c r="A89" s="129"/>
      <c r="B89" s="142" t="s">
        <v>5</v>
      </c>
      <c r="C89" s="131" t="s">
        <v>148</v>
      </c>
      <c r="D89" s="384">
        <f t="shared" ref="D89:AN89" si="36">1-(D83/D$51)</f>
        <v>0.11792110040142367</v>
      </c>
      <c r="E89" s="385">
        <f t="shared" si="36"/>
        <v>0.1295890692119156</v>
      </c>
      <c r="F89" s="385">
        <f t="shared" si="36"/>
        <v>0.15260739034241311</v>
      </c>
      <c r="G89" s="385">
        <f t="shared" si="36"/>
        <v>0.11792110040142367</v>
      </c>
      <c r="H89" s="385">
        <f t="shared" si="36"/>
        <v>0.16769713478954262</v>
      </c>
      <c r="I89" s="385">
        <f t="shared" si="36"/>
        <v>0.19359866663904324</v>
      </c>
      <c r="J89" s="385">
        <f t="shared" si="36"/>
        <v>0.19282565824520848</v>
      </c>
      <c r="K89" s="385">
        <f t="shared" si="36"/>
        <v>0.27365168707495846</v>
      </c>
      <c r="L89" s="385">
        <f t="shared" si="36"/>
        <v>0.12274746683932958</v>
      </c>
      <c r="M89" s="385">
        <f t="shared" si="36"/>
        <v>8.9054649263642371E-2</v>
      </c>
      <c r="N89" s="385">
        <f t="shared" si="36"/>
        <v>0.26613111343530838</v>
      </c>
      <c r="O89" s="385">
        <f t="shared" si="36"/>
        <v>0.18678531465372727</v>
      </c>
      <c r="P89" s="385">
        <f t="shared" si="36"/>
        <v>5.6553729864402325E-2</v>
      </c>
      <c r="Q89" s="385">
        <f t="shared" si="36"/>
        <v>0.13113392464598894</v>
      </c>
      <c r="R89" s="385">
        <f t="shared" si="36"/>
        <v>0.17925368127391361</v>
      </c>
      <c r="S89" s="385">
        <f t="shared" si="36"/>
        <v>0.26353997877794588</v>
      </c>
      <c r="T89" s="385">
        <f t="shared" si="36"/>
        <v>0.21665809258160162</v>
      </c>
      <c r="U89" s="385">
        <f t="shared" si="36"/>
        <v>0.12507717717135824</v>
      </c>
      <c r="V89" s="385">
        <f t="shared" si="36"/>
        <v>0.15146523214814567</v>
      </c>
      <c r="W89" s="385">
        <f t="shared" si="36"/>
        <v>0.13254241954728407</v>
      </c>
      <c r="X89" s="385">
        <f t="shared" si="36"/>
        <v>0.16533905737126764</v>
      </c>
      <c r="Y89" s="385">
        <f t="shared" si="36"/>
        <v>0.15563486716441532</v>
      </c>
      <c r="Z89" s="385">
        <f t="shared" si="36"/>
        <v>0.21785799475271861</v>
      </c>
      <c r="AA89" s="385">
        <f t="shared" si="36"/>
        <v>0.31309139478504544</v>
      </c>
      <c r="AB89" s="385">
        <f t="shared" si="36"/>
        <v>0.18239402989119435</v>
      </c>
      <c r="AC89" s="385">
        <f t="shared" si="36"/>
        <v>0.11540048643792888</v>
      </c>
      <c r="AD89" s="385">
        <f t="shared" si="36"/>
        <v>0.17094776441336523</v>
      </c>
      <c r="AE89" s="385">
        <f t="shared" si="36"/>
        <v>0.31309139478504533</v>
      </c>
      <c r="AF89" s="385">
        <f t="shared" si="36"/>
        <v>8.7191474216401277E-2</v>
      </c>
      <c r="AG89" s="385">
        <f t="shared" si="36"/>
        <v>0.1409893131729949</v>
      </c>
      <c r="AH89" s="385">
        <f t="shared" si="36"/>
        <v>0.38385813233564658</v>
      </c>
      <c r="AI89" s="385">
        <f t="shared" si="36"/>
        <v>7.0799146081071074E-2</v>
      </c>
      <c r="AJ89" s="385">
        <f t="shared" si="36"/>
        <v>0.14225237582746586</v>
      </c>
      <c r="AK89" s="385">
        <f t="shared" si="36"/>
        <v>0.13231408391323474</v>
      </c>
      <c r="AL89" s="385">
        <f t="shared" si="36"/>
        <v>0.12307359650292737</v>
      </c>
      <c r="AM89" s="385">
        <f t="shared" si="36"/>
        <v>0.14225237582746597</v>
      </c>
      <c r="AN89" s="386">
        <f t="shared" si="36"/>
        <v>0.14225237582746597</v>
      </c>
    </row>
    <row r="90" spans="1:40">
      <c r="A90" s="129"/>
      <c r="B90" s="142" t="s">
        <v>6</v>
      </c>
      <c r="C90" s="131" t="s">
        <v>148</v>
      </c>
      <c r="D90" s="384">
        <f t="shared" ref="D90:AN90" si="37">1-(D84/D$52)</f>
        <v>0.11960605281183712</v>
      </c>
      <c r="E90" s="385">
        <f t="shared" si="37"/>
        <v>0.1295890692119156</v>
      </c>
      <c r="F90" s="385">
        <f t="shared" si="37"/>
        <v>0.19472873560110326</v>
      </c>
      <c r="G90" s="385">
        <f t="shared" si="37"/>
        <v>0.11960605281183712</v>
      </c>
      <c r="H90" s="385">
        <f t="shared" si="37"/>
        <v>3.634036944454766E-2</v>
      </c>
      <c r="I90" s="385">
        <f t="shared" si="37"/>
        <v>0.21911579388290126</v>
      </c>
      <c r="J90" s="385">
        <f t="shared" si="37"/>
        <v>0.18583816413701804</v>
      </c>
      <c r="K90" s="385">
        <f t="shared" si="37"/>
        <v>0.27365168707495846</v>
      </c>
      <c r="L90" s="385">
        <f t="shared" si="37"/>
        <v>0.1208739709315827</v>
      </c>
      <c r="M90" s="385">
        <f t="shared" si="37"/>
        <v>8.9054649263642371E-2</v>
      </c>
      <c r="N90" s="385">
        <f t="shared" si="37"/>
        <v>0.26909147922640286</v>
      </c>
      <c r="O90" s="385">
        <f t="shared" si="37"/>
        <v>0.18481909899994131</v>
      </c>
      <c r="P90" s="385">
        <f t="shared" si="37"/>
        <v>5.6553729864402325E-2</v>
      </c>
      <c r="Q90" s="385">
        <f t="shared" si="37"/>
        <v>0.14446008549918421</v>
      </c>
      <c r="R90" s="385">
        <f t="shared" si="37"/>
        <v>0.17925368127391361</v>
      </c>
      <c r="S90" s="385">
        <f t="shared" si="37"/>
        <v>0.30830080785732428</v>
      </c>
      <c r="T90" s="385">
        <f t="shared" si="37"/>
        <v>0.21933497386638989</v>
      </c>
      <c r="U90" s="385">
        <f t="shared" si="37"/>
        <v>0.13859811874662464</v>
      </c>
      <c r="V90" s="385">
        <f t="shared" si="37"/>
        <v>0.15146523214814567</v>
      </c>
      <c r="W90" s="385">
        <f t="shared" si="37"/>
        <v>0.11175287901047992</v>
      </c>
      <c r="X90" s="385">
        <f t="shared" si="37"/>
        <v>0.16687303277427767</v>
      </c>
      <c r="Y90" s="385">
        <f t="shared" si="37"/>
        <v>0.15754451508721945</v>
      </c>
      <c r="Z90" s="385">
        <f t="shared" si="37"/>
        <v>0.20364244773107709</v>
      </c>
      <c r="AA90" s="385">
        <f t="shared" si="37"/>
        <v>0.35763858372002144</v>
      </c>
      <c r="AB90" s="385">
        <f t="shared" si="37"/>
        <v>0.18239402989119435</v>
      </c>
      <c r="AC90" s="385">
        <f t="shared" si="37"/>
        <v>0.12425592731204105</v>
      </c>
      <c r="AD90" s="385">
        <f t="shared" si="37"/>
        <v>0.17094776441336523</v>
      </c>
      <c r="AE90" s="385">
        <f t="shared" si="37"/>
        <v>0.35763858372002155</v>
      </c>
      <c r="AF90" s="385">
        <f t="shared" si="37"/>
        <v>0.12310565135337559</v>
      </c>
      <c r="AG90" s="385">
        <f t="shared" si="37"/>
        <v>0.14953768007700763</v>
      </c>
      <c r="AH90" s="385">
        <f t="shared" si="37"/>
        <v>0.29095020675919181</v>
      </c>
      <c r="AI90" s="385">
        <f t="shared" si="37"/>
        <v>7.0799146081071074E-2</v>
      </c>
      <c r="AJ90" s="385">
        <f t="shared" si="37"/>
        <v>0.15797383823806288</v>
      </c>
      <c r="AK90" s="385">
        <f t="shared" si="37"/>
        <v>0.14720340008346389</v>
      </c>
      <c r="AL90" s="385">
        <f t="shared" si="37"/>
        <v>0.15703737030531051</v>
      </c>
      <c r="AM90" s="385">
        <f t="shared" si="37"/>
        <v>0.15797383823806288</v>
      </c>
      <c r="AN90" s="386">
        <f t="shared" si="37"/>
        <v>0.15797383823806288</v>
      </c>
    </row>
    <row r="91" spans="1:40">
      <c r="A91" s="121"/>
      <c r="B91" s="374" t="s">
        <v>7</v>
      </c>
      <c r="C91" s="122" t="s">
        <v>148</v>
      </c>
      <c r="D91" s="191">
        <f t="shared" ref="D91:AN91" si="38">1-(D85/D$53)</f>
        <v>0.12068957966354943</v>
      </c>
      <c r="E91" s="387">
        <f t="shared" si="38"/>
        <v>0.14804140007569599</v>
      </c>
      <c r="F91" s="387">
        <f t="shared" si="38"/>
        <v>0.24669924809999799</v>
      </c>
      <c r="G91" s="387">
        <f t="shared" si="38"/>
        <v>0.12068957966354976</v>
      </c>
      <c r="H91" s="387">
        <f t="shared" si="38"/>
        <v>8.6571623205214943E-2</v>
      </c>
      <c r="I91" s="387">
        <f t="shared" si="38"/>
        <v>0.1697133563865878</v>
      </c>
      <c r="J91" s="387">
        <f t="shared" si="38"/>
        <v>0.16548772452727911</v>
      </c>
      <c r="K91" s="387">
        <f t="shared" si="38"/>
        <v>0.23963360233274611</v>
      </c>
      <c r="L91" s="387">
        <f t="shared" si="38"/>
        <v>0.1208739709315827</v>
      </c>
      <c r="M91" s="387">
        <f t="shared" si="38"/>
        <v>0.14032019624388548</v>
      </c>
      <c r="N91" s="387">
        <f t="shared" si="38"/>
        <v>0.23597795244168873</v>
      </c>
      <c r="O91" s="387">
        <f t="shared" si="38"/>
        <v>0.18033487950490901</v>
      </c>
      <c r="P91" s="387">
        <f t="shared" si="38"/>
        <v>0.17882073898268025</v>
      </c>
      <c r="Q91" s="387">
        <f t="shared" si="38"/>
        <v>0.17674005925708092</v>
      </c>
      <c r="R91" s="387">
        <f t="shared" si="38"/>
        <v>0.14421067881113214</v>
      </c>
      <c r="S91" s="387">
        <f t="shared" si="38"/>
        <v>0.35630384044461794</v>
      </c>
      <c r="T91" s="387">
        <f t="shared" si="38"/>
        <v>0.1904759575046322</v>
      </c>
      <c r="U91" s="387">
        <f t="shared" si="38"/>
        <v>9.1498808314907087E-2</v>
      </c>
      <c r="V91" s="387">
        <f t="shared" si="38"/>
        <v>0.24395407351742548</v>
      </c>
      <c r="W91" s="387">
        <f t="shared" si="38"/>
        <v>9.9721606008226993E-2</v>
      </c>
      <c r="X91" s="387">
        <f t="shared" si="38"/>
        <v>0.25219670673208572</v>
      </c>
      <c r="Y91" s="387">
        <f t="shared" si="38"/>
        <v>0.16801907411540407</v>
      </c>
      <c r="Z91" s="387">
        <f t="shared" si="38"/>
        <v>0.17768784723956355</v>
      </c>
      <c r="AA91" s="387">
        <f t="shared" si="38"/>
        <v>0.25744943428236389</v>
      </c>
      <c r="AB91" s="387">
        <f t="shared" si="38"/>
        <v>0.24281838294751634</v>
      </c>
      <c r="AC91" s="387">
        <f t="shared" si="38"/>
        <v>0.13676642195214561</v>
      </c>
      <c r="AD91" s="387">
        <f t="shared" si="38"/>
        <v>0.10046515786155774</v>
      </c>
      <c r="AE91" s="387">
        <f t="shared" si="38"/>
        <v>0.25744943428236378</v>
      </c>
      <c r="AF91" s="387">
        <f t="shared" si="38"/>
        <v>0.15538762261940287</v>
      </c>
      <c r="AG91" s="387">
        <f t="shared" si="38"/>
        <v>0.1335263704741726</v>
      </c>
      <c r="AH91" s="387">
        <f t="shared" si="38"/>
        <v>0.28929850372794985</v>
      </c>
      <c r="AI91" s="387">
        <f t="shared" si="38"/>
        <v>0.21356054239722477</v>
      </c>
      <c r="AJ91" s="387">
        <f t="shared" si="38"/>
        <v>0.1504095165980619</v>
      </c>
      <c r="AK91" s="387">
        <f t="shared" si="38"/>
        <v>0.14007072827245537</v>
      </c>
      <c r="AL91" s="387">
        <f t="shared" si="38"/>
        <v>0.21011930071449481</v>
      </c>
      <c r="AM91" s="387">
        <f t="shared" si="38"/>
        <v>0.15040951659806179</v>
      </c>
      <c r="AN91" s="388">
        <f t="shared" si="38"/>
        <v>0.15040951659806179</v>
      </c>
    </row>
    <row r="92" spans="1:40">
      <c r="A92" s="334" t="s">
        <v>281</v>
      </c>
      <c r="B92" s="359" t="s">
        <v>287</v>
      </c>
      <c r="C92" s="443" t="s">
        <v>286</v>
      </c>
      <c r="D92" s="420">
        <f>('Energy Efficiency Measures-DBT'!D$57*D$22)/D$5</f>
        <v>33.199816786196251</v>
      </c>
      <c r="E92" s="421">
        <f>('Energy Efficiency Measures-DBT'!E$57*E$22)/E$5</f>
        <v>49.154502952533498</v>
      </c>
      <c r="F92" s="421">
        <f>('Energy Efficiency Measures-DBT'!F$57*F$22)/F$5</f>
        <v>36.848480366963713</v>
      </c>
      <c r="G92" s="421">
        <f>('Energy Efficiency Measures-DBT'!G$57*G$22)/G$5</f>
        <v>33.199816786196251</v>
      </c>
      <c r="H92" s="421">
        <f>('Energy Efficiency Measures-DBT'!H$57*H$22)/H$5</f>
        <v>49.315068493150683</v>
      </c>
      <c r="I92" s="421">
        <f>('Energy Efficiency Measures-DBT'!I$57*I$22)/I$5</f>
        <v>50.646438130353481</v>
      </c>
      <c r="J92" s="421">
        <f>('Energy Efficiency Measures-DBT'!J$57*J$22)/J$5</f>
        <v>45.926871726534316</v>
      </c>
      <c r="K92" s="421">
        <f>('Energy Efficiency Measures-DBT'!K$57*K$22)/K$5</f>
        <v>45.918367346938773</v>
      </c>
      <c r="L92" s="421">
        <f>('Energy Efficiency Measures-DBT'!L$57*L$22)/L$5</f>
        <v>49.708120652069283</v>
      </c>
      <c r="M92" s="421">
        <f>('Energy Efficiency Measures-DBT'!M$57*M$22)/M$5</f>
        <v>48.58851722041905</v>
      </c>
      <c r="N92" s="421">
        <f>('Energy Efficiency Measures-DBT'!N$57*N$22)/N$5</f>
        <v>64.285714285714278</v>
      </c>
      <c r="O92" s="421">
        <f>('Energy Efficiency Measures-DBT'!O$57*O$22)/O$5</f>
        <v>58.664873423872081</v>
      </c>
      <c r="P92" s="421">
        <f>('Energy Efficiency Measures-DBT'!P$57*P$22)/P$5</f>
        <v>49.315068493150683</v>
      </c>
      <c r="Q92" s="421">
        <f>('Energy Efficiency Measures-DBT'!Q$57*Q$22)/Q$5</f>
        <v>37.351252879866486</v>
      </c>
      <c r="R92" s="421">
        <f>('Energy Efficiency Measures-DBT'!R$57*R$22)/R$5</f>
        <v>50.840367088847849</v>
      </c>
      <c r="S92" s="421">
        <f>('Energy Efficiency Measures-DBT'!S$57*S$22)/S$5</f>
        <v>43.278973740122019</v>
      </c>
      <c r="T92" s="421">
        <f>('Energy Efficiency Measures-DBT'!T$57*T$22)/T$5</f>
        <v>64.285714285714292</v>
      </c>
      <c r="U92" s="421">
        <f>('Energy Efficiency Measures-DBT'!U$57*U$22)/U$5</f>
        <v>39.647577092511014</v>
      </c>
      <c r="V92" s="421">
        <f>('Energy Efficiency Measures-DBT'!V$57*V$22)/V$5</f>
        <v>46.080666689500134</v>
      </c>
      <c r="W92" s="421">
        <f>('Energy Efficiency Measures-DBT'!W$57*W$22)/W$5</f>
        <v>41.957990610850651</v>
      </c>
      <c r="X92" s="421">
        <f>('Energy Efficiency Measures-DBT'!X$57*X$22)/X$5</f>
        <v>46.135922330097088</v>
      </c>
      <c r="Y92" s="421">
        <f>('Energy Efficiency Measures-DBT'!Y$57*Y$22)/Y$5</f>
        <v>42.337275388405693</v>
      </c>
      <c r="Z92" s="421">
        <f>('Energy Efficiency Measures-DBT'!Z$57*Z$22)/Z$5</f>
        <v>37.994722955145122</v>
      </c>
      <c r="AA92" s="421">
        <f>('Energy Efficiency Measures-DBT'!AA$57*AA$22)/AA$5</f>
        <v>53.892215568862277</v>
      </c>
      <c r="AB92" s="421">
        <f>('Energy Efficiency Measures-DBT'!AB$57*AB$22)/AB$5</f>
        <v>45.274618860022819</v>
      </c>
      <c r="AC92" s="421">
        <f>('Energy Efficiency Measures-DBT'!AC$57*AC$22)/AC$5</f>
        <v>43.415728412910916</v>
      </c>
      <c r="AD92" s="421">
        <f>('Energy Efficiency Measures-DBT'!AD$57*AD$22)/AD$5</f>
        <v>49.551260779276163</v>
      </c>
      <c r="AE92" s="421">
        <f>('Energy Efficiency Measures-DBT'!AE$57*AE$22)/AE$5</f>
        <v>53.892215568862277</v>
      </c>
      <c r="AF92" s="421">
        <f>('Energy Efficiency Measures-DBT'!AF$57*AF$22)/AF$5</f>
        <v>46.081455838866653</v>
      </c>
      <c r="AG92" s="421">
        <f>('Energy Efficiency Measures-DBT'!AG$57*AG$22)/AG$5</f>
        <v>38.790005846417927</v>
      </c>
      <c r="AH92" s="421">
        <f>('Energy Efficiency Measures-DBT'!AH$57*AH$22)/AH$5</f>
        <v>59.491840528816361</v>
      </c>
      <c r="AI92" s="421">
        <f>('Energy Efficiency Measures-DBT'!AI$57*AI$22)/AI$5</f>
        <v>32.547945205479451</v>
      </c>
      <c r="AJ92" s="421">
        <f>('Energy Efficiency Measures-DBT'!AJ$57*AJ$22)/AJ$5</f>
        <v>37.351252879866486</v>
      </c>
      <c r="AK92" s="421">
        <f>('Energy Efficiency Measures-DBT'!AK$57*AK$22)/AK$5</f>
        <v>32.547945205479451</v>
      </c>
      <c r="AL92" s="421">
        <f>('Energy Efficiency Measures-DBT'!AL$57*AL$22)/AL$5</f>
        <v>37.351252879866486</v>
      </c>
      <c r="AM92" s="421">
        <f>('Energy Efficiency Measures-DBT'!AM$57*AM$22)/AM$5</f>
        <v>37.351252879866486</v>
      </c>
      <c r="AN92" s="422">
        <f>('Energy Efficiency Measures-DBT'!AN$57*AN$22)/AN$5</f>
        <v>37.351252879866486</v>
      </c>
    </row>
    <row r="93" spans="1:40">
      <c r="A93" s="407"/>
      <c r="B93" s="347" t="s">
        <v>291</v>
      </c>
      <c r="C93" s="450" t="s">
        <v>292</v>
      </c>
      <c r="D93" s="451">
        <f t="shared" ref="D93:AN93" si="39">PMT(0.12,20,-D94,0,1)/(D41-D74)/3.6*1000</f>
        <v>119.67129226400731</v>
      </c>
      <c r="E93" s="452">
        <f t="shared" si="39"/>
        <v>130.86044760710314</v>
      </c>
      <c r="F93" s="452">
        <f t="shared" si="39"/>
        <v>148.60502986033771</v>
      </c>
      <c r="G93" s="452">
        <f t="shared" si="39"/>
        <v>122.83319889476211</v>
      </c>
      <c r="H93" s="452">
        <f t="shared" si="39"/>
        <v>809.55754742072781</v>
      </c>
      <c r="I93" s="452">
        <f t="shared" si="39"/>
        <v>126.93748308629338</v>
      </c>
      <c r="J93" s="452">
        <f t="shared" si="39"/>
        <v>106.93255578588118</v>
      </c>
      <c r="K93" s="452">
        <f t="shared" si="39"/>
        <v>166.37473730759896</v>
      </c>
      <c r="L93" s="452">
        <f t="shared" si="39"/>
        <v>142.50194063636502</v>
      </c>
      <c r="M93" s="452">
        <f t="shared" si="39"/>
        <v>162.85068307712967</v>
      </c>
      <c r="N93" s="452">
        <f t="shared" si="39"/>
        <v>118.51512786454506</v>
      </c>
      <c r="O93" s="452">
        <f t="shared" si="39"/>
        <v>159.10215590074895</v>
      </c>
      <c r="P93" s="452">
        <f t="shared" si="39"/>
        <v>315.847156685583</v>
      </c>
      <c r="Q93" s="452">
        <f t="shared" si="39"/>
        <v>80.421386229645549</v>
      </c>
      <c r="R93" s="452">
        <f t="shared" si="39"/>
        <v>147.9213823566019</v>
      </c>
      <c r="S93" s="452">
        <f t="shared" si="39"/>
        <v>98.088464253596044</v>
      </c>
      <c r="T93" s="452">
        <f t="shared" si="39"/>
        <v>137.68292671766707</v>
      </c>
      <c r="U93" s="452">
        <f t="shared" si="39"/>
        <v>128.56077911992838</v>
      </c>
      <c r="V93" s="452">
        <f t="shared" si="39"/>
        <v>121.46644817998093</v>
      </c>
      <c r="W93" s="452">
        <f t="shared" si="39"/>
        <v>95.826368199081514</v>
      </c>
      <c r="X93" s="452">
        <f t="shared" si="39"/>
        <v>86.753755298134465</v>
      </c>
      <c r="Y93" s="452">
        <f t="shared" si="39"/>
        <v>460.68868794437105</v>
      </c>
      <c r="Z93" s="452">
        <f t="shared" si="39"/>
        <v>109.68419779220874</v>
      </c>
      <c r="AA93" s="452">
        <f t="shared" si="39"/>
        <v>96.22544686083755</v>
      </c>
      <c r="AB93" s="452">
        <f t="shared" si="39"/>
        <v>79.499213323618065</v>
      </c>
      <c r="AC93" s="452">
        <f t="shared" si="39"/>
        <v>336.63817107744194</v>
      </c>
      <c r="AD93" s="452">
        <f t="shared" si="39"/>
        <v>135.71055339166548</v>
      </c>
      <c r="AE93" s="452">
        <f t="shared" si="39"/>
        <v>99.795898783300586</v>
      </c>
      <c r="AF93" s="452">
        <f t="shared" si="39"/>
        <v>147.2716330600424</v>
      </c>
      <c r="AG93" s="452">
        <f t="shared" si="39"/>
        <v>77.159274658549734</v>
      </c>
      <c r="AH93" s="452">
        <f t="shared" si="39"/>
        <v>98.81756901426624</v>
      </c>
      <c r="AI93" s="452">
        <f t="shared" si="39"/>
        <v>208.78136644174216</v>
      </c>
      <c r="AJ93" s="452">
        <f t="shared" si="39"/>
        <v>114.71954041686713</v>
      </c>
      <c r="AK93" s="452">
        <f t="shared" si="39"/>
        <v>128.8921828024028</v>
      </c>
      <c r="AL93" s="452">
        <f t="shared" si="39"/>
        <v>148.48021369788194</v>
      </c>
      <c r="AM93" s="452">
        <f t="shared" si="39"/>
        <v>124.75269709642194</v>
      </c>
      <c r="AN93" s="453">
        <f t="shared" si="39"/>
        <v>124.75269709642194</v>
      </c>
    </row>
    <row r="94" spans="1:40">
      <c r="A94" s="404"/>
      <c r="B94" s="338" t="s">
        <v>287</v>
      </c>
      <c r="C94" s="444" t="s">
        <v>288</v>
      </c>
      <c r="D94" s="423">
        <f t="shared" ref="D94:AN94" si="40">D92*D$4</f>
        <v>2376</v>
      </c>
      <c r="E94" s="424">
        <f t="shared" si="40"/>
        <v>3600.0000000000005</v>
      </c>
      <c r="F94" s="424">
        <f t="shared" si="40"/>
        <v>2375.9999999999995</v>
      </c>
      <c r="G94" s="424">
        <f t="shared" si="40"/>
        <v>2376</v>
      </c>
      <c r="H94" s="424">
        <f t="shared" si="40"/>
        <v>3600</v>
      </c>
      <c r="I94" s="424">
        <f t="shared" si="40"/>
        <v>3088.7999999999997</v>
      </c>
      <c r="J94" s="424">
        <f t="shared" si="40"/>
        <v>2880</v>
      </c>
      <c r="K94" s="424">
        <f t="shared" si="40"/>
        <v>3600</v>
      </c>
      <c r="L94" s="424">
        <f t="shared" si="40"/>
        <v>2376</v>
      </c>
      <c r="M94" s="424">
        <f t="shared" si="40"/>
        <v>4196.5714285714294</v>
      </c>
      <c r="N94" s="424">
        <f t="shared" si="40"/>
        <v>3599.9999999999995</v>
      </c>
      <c r="O94" s="424">
        <f t="shared" si="40"/>
        <v>3867.4285714285716</v>
      </c>
      <c r="P94" s="424">
        <f t="shared" si="40"/>
        <v>3600</v>
      </c>
      <c r="Q94" s="424">
        <f t="shared" si="40"/>
        <v>2376</v>
      </c>
      <c r="R94" s="424">
        <f t="shared" si="40"/>
        <v>2376</v>
      </c>
      <c r="S94" s="424">
        <f t="shared" si="40"/>
        <v>2880</v>
      </c>
      <c r="T94" s="424">
        <f t="shared" si="40"/>
        <v>3600.0000000000005</v>
      </c>
      <c r="U94" s="424">
        <f t="shared" si="40"/>
        <v>3600</v>
      </c>
      <c r="V94" s="424">
        <f t="shared" si="40"/>
        <v>2376.0000000000005</v>
      </c>
      <c r="W94" s="424">
        <f t="shared" si="40"/>
        <v>3600</v>
      </c>
      <c r="X94" s="424">
        <f t="shared" si="40"/>
        <v>2376</v>
      </c>
      <c r="Y94" s="424">
        <f t="shared" si="40"/>
        <v>3600</v>
      </c>
      <c r="Z94" s="424">
        <f t="shared" si="40"/>
        <v>2880</v>
      </c>
      <c r="AA94" s="424">
        <f t="shared" si="40"/>
        <v>3600</v>
      </c>
      <c r="AB94" s="424">
        <f t="shared" si="40"/>
        <v>2375.9999999999995</v>
      </c>
      <c r="AC94" s="424">
        <f t="shared" si="40"/>
        <v>4196.5714285714284</v>
      </c>
      <c r="AD94" s="424">
        <f t="shared" si="40"/>
        <v>2376</v>
      </c>
      <c r="AE94" s="424">
        <f t="shared" si="40"/>
        <v>3600</v>
      </c>
      <c r="AF94" s="424">
        <f t="shared" si="40"/>
        <v>2376</v>
      </c>
      <c r="AG94" s="424">
        <f t="shared" si="40"/>
        <v>2376</v>
      </c>
      <c r="AH94" s="424">
        <f t="shared" si="40"/>
        <v>2880</v>
      </c>
      <c r="AI94" s="424">
        <f t="shared" si="40"/>
        <v>2376</v>
      </c>
      <c r="AJ94" s="424">
        <f t="shared" si="40"/>
        <v>2376</v>
      </c>
      <c r="AK94" s="424">
        <f t="shared" si="40"/>
        <v>2376</v>
      </c>
      <c r="AL94" s="424">
        <f t="shared" si="40"/>
        <v>2376</v>
      </c>
      <c r="AM94" s="424">
        <f t="shared" si="40"/>
        <v>2376</v>
      </c>
      <c r="AN94" s="425">
        <f t="shared" si="40"/>
        <v>2376</v>
      </c>
    </row>
    <row r="95" spans="1:40">
      <c r="A95"/>
      <c r="B95"/>
      <c r="C95"/>
      <c r="D95" s="442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</row>
    <row r="96" spans="1:40">
      <c r="A96" s="162" t="s">
        <v>294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</row>
    <row r="97" spans="1:40">
      <c r="A97" s="938" t="s">
        <v>123</v>
      </c>
      <c r="B97" s="939"/>
      <c r="C97" s="138" t="s">
        <v>76</v>
      </c>
      <c r="D97" s="194">
        <v>1</v>
      </c>
      <c r="E97" s="195">
        <v>1</v>
      </c>
      <c r="F97" s="195">
        <v>1</v>
      </c>
      <c r="G97" s="195">
        <v>1</v>
      </c>
      <c r="H97" s="195">
        <v>1</v>
      </c>
      <c r="I97" s="195">
        <v>1</v>
      </c>
      <c r="J97" s="195">
        <v>1</v>
      </c>
      <c r="K97" s="195">
        <v>1</v>
      </c>
      <c r="L97" s="195">
        <v>1</v>
      </c>
      <c r="M97" s="195">
        <v>1</v>
      </c>
      <c r="N97" s="195">
        <v>1</v>
      </c>
      <c r="O97" s="195">
        <v>1</v>
      </c>
      <c r="P97" s="195">
        <v>1</v>
      </c>
      <c r="Q97" s="195">
        <v>1</v>
      </c>
      <c r="R97" s="195">
        <v>1</v>
      </c>
      <c r="S97" s="195">
        <v>1</v>
      </c>
      <c r="T97" s="195">
        <v>1</v>
      </c>
      <c r="U97" s="195">
        <v>1</v>
      </c>
      <c r="V97" s="195">
        <v>1</v>
      </c>
      <c r="W97" s="195">
        <v>1</v>
      </c>
      <c r="X97" s="195">
        <v>1</v>
      </c>
      <c r="Y97" s="195">
        <v>1</v>
      </c>
      <c r="Z97" s="195">
        <v>1</v>
      </c>
      <c r="AA97" s="195">
        <v>1</v>
      </c>
      <c r="AB97" s="195">
        <v>1</v>
      </c>
      <c r="AC97" s="195">
        <v>1</v>
      </c>
      <c r="AD97" s="195">
        <v>1</v>
      </c>
      <c r="AE97" s="195">
        <v>1</v>
      </c>
      <c r="AF97" s="195">
        <v>1</v>
      </c>
      <c r="AG97" s="195">
        <v>1</v>
      </c>
      <c r="AH97" s="195">
        <v>1</v>
      </c>
      <c r="AI97" s="195">
        <v>1</v>
      </c>
      <c r="AJ97" s="195">
        <v>1</v>
      </c>
      <c r="AK97" s="195">
        <v>1</v>
      </c>
      <c r="AL97" s="195">
        <v>1</v>
      </c>
      <c r="AM97" s="195">
        <v>1</v>
      </c>
      <c r="AN97" s="196">
        <v>1</v>
      </c>
    </row>
    <row r="98" spans="1:40">
      <c r="A98" s="151" t="s">
        <v>193</v>
      </c>
      <c r="B98" s="141" t="s">
        <v>2</v>
      </c>
      <c r="C98" s="144" t="s">
        <v>195</v>
      </c>
      <c r="D98" s="170">
        <f>((LOOKUP(D$2,'Ceiling-U'!$A$4:$A$40,'Ceiling-U'!$X$4:$X$40)*D$15)+(LOOKUP(D$2,'Floor-U'!$A$4:$A$40,'Floor-U'!$E$4:$E$40)*D$16)+(LOOKUP(D$2,'Wall-U'!$A$4:$A$40,'Wall-U'!$E$4:$E$40)*D$13)+(LOOKUP(D$2,'Window-U'!$A$4:$A$40,'Window-U'!$S$4:$S$40)*D$22))*D$97</f>
        <v>2173.4678782407032</v>
      </c>
      <c r="E98" s="171">
        <f>((LOOKUP(E$2,'Ceiling-U'!$A$4:$A$40,'Ceiling-U'!$X$4:$X$40)*E$15)+(LOOKUP(E$2,'Floor-U'!$A$4:$A$40,'Floor-U'!$E$4:$E$40)*E$16)+(LOOKUP(E$2,'Wall-U'!$A$4:$A$40,'Wall-U'!$E$4:$E$40)*E$13)+(LOOKUP(E$2,'Window-U'!$A$4:$A$40,'Window-U'!$S$4:$S$40)*E$22))*E$97</f>
        <v>2488.4900731046846</v>
      </c>
      <c r="F98" s="171">
        <f>((LOOKUP(F$2,'Ceiling-U'!$A$4:$A$40,'Ceiling-U'!$X$4:$X$40)*F$15)+(LOOKUP(F$2,'Floor-U'!$A$4:$A$40,'Floor-U'!$E$4:$E$40)*F$16)+(LOOKUP(F$2,'Wall-U'!$A$4:$A$40,'Wall-U'!$E$4:$E$40)*F$13)+(LOOKUP(F$2,'Window-U'!$A$4:$A$40,'Window-U'!$S$4:$S$40)*F$22))*F$97</f>
        <v>3077.1283142802495</v>
      </c>
      <c r="G98" s="171">
        <f>((LOOKUP(G$2,'Ceiling-U'!$A$4:$A$40,'Ceiling-U'!$X$4:$X$40)*G$15)+(LOOKUP(G$2,'Floor-U'!$A$4:$A$40,'Floor-U'!$E$4:$E$40)*G$16)+(LOOKUP(G$2,'Wall-U'!$A$4:$A$40,'Wall-U'!$E$4:$E$40)*G$13)+(LOOKUP(G$2,'Window-U'!$A$4:$A$40,'Window-U'!$S$4:$S$40)*G$22))*G$97</f>
        <v>2173.4678782407032</v>
      </c>
      <c r="H98" s="171">
        <f>((LOOKUP(H$2,'Ceiling-U'!$A$4:$A$40,'Ceiling-U'!$X$4:$X$40)*H$15)+(LOOKUP(H$2,'Floor-U'!$A$4:$A$40,'Floor-U'!$E$4:$E$40)*H$16)+(LOOKUP(H$2,'Wall-U'!$A$4:$A$40,'Wall-U'!$E$4:$E$40)*H$13)+(LOOKUP(H$2,'Window-U'!$A$4:$A$40,'Window-U'!$S$4:$S$40)*H$22))*H$97</f>
        <v>3247.7417954942916</v>
      </c>
      <c r="I98" s="171">
        <f>((LOOKUP(I$2,'Ceiling-U'!$A$4:$A$40,'Ceiling-U'!$X$4:$X$40)*I$15)+(LOOKUP(I$2,'Floor-U'!$A$4:$A$40,'Floor-U'!$E$4:$E$40)*I$16)+(LOOKUP(I$2,'Wall-U'!$A$4:$A$40,'Wall-U'!$E$4:$E$40)*I$13)+(LOOKUP(I$2,'Window-U'!$A$4:$A$40,'Window-U'!$S$4:$S$40)*I$22))*I$97</f>
        <v>1282.4492734457342</v>
      </c>
      <c r="J98" s="171">
        <f>((LOOKUP(J$2,'Ceiling-U'!$A$4:$A$40,'Ceiling-U'!$X$4:$X$40)*J$15)+(LOOKUP(J$2,'Floor-U'!$A$4:$A$40,'Floor-U'!$E$4:$E$40)*J$16)+(LOOKUP(J$2,'Wall-U'!$A$4:$A$40,'Wall-U'!$E$4:$E$40)*J$13)+(LOOKUP(J$2,'Window-U'!$A$4:$A$40,'Window-U'!$S$4:$S$40)*J$22))*J$97</f>
        <v>2201.7894456426006</v>
      </c>
      <c r="K98" s="171">
        <f>((LOOKUP(K$2,'Ceiling-U'!$A$4:$A$40,'Ceiling-U'!$X$4:$X$40)*K$15)+(LOOKUP(K$2,'Floor-U'!$A$4:$A$40,'Floor-U'!$E$4:$E$40)*K$16)+(LOOKUP(K$2,'Wall-U'!$A$4:$A$40,'Wall-U'!$E$4:$E$40)*K$13)+(LOOKUP(K$2,'Window-U'!$A$4:$A$40,'Window-U'!$S$4:$S$40)*K$22))*K$97</f>
        <v>1670.4741683585289</v>
      </c>
      <c r="L98" s="171">
        <f>((LOOKUP(L$2,'Ceiling-U'!$A$4:$A$40,'Ceiling-U'!$X$4:$X$40)*L$15)+(LOOKUP(L$2,'Floor-U'!$A$4:$A$40,'Floor-U'!$E$4:$E$40)*L$16)+(LOOKUP(L$2,'Wall-U'!$A$4:$A$40,'Wall-U'!$E$4:$E$40)*L$13)+(LOOKUP(L$2,'Window-U'!$A$4:$A$40,'Window-U'!$S$4:$S$40)*L$22))*L$97</f>
        <v>612.45944653007837</v>
      </c>
      <c r="M98" s="171">
        <f>((LOOKUP(M$2,'Ceiling-U'!$A$4:$A$40,'Ceiling-U'!$X$4:$X$40)*M$15)+(LOOKUP(M$2,'Floor-U'!$A$4:$A$40,'Floor-U'!$E$4:$E$40)*M$16)+(LOOKUP(M$2,'Wall-U'!$A$4:$A$40,'Wall-U'!$E$4:$E$40)*M$13)+(LOOKUP(M$2,'Window-U'!$A$4:$A$40,'Window-U'!$S$4:$S$40)*M$22))*M$97</f>
        <v>2505.4409072841013</v>
      </c>
      <c r="N98" s="171">
        <f>((LOOKUP(N$2,'Ceiling-U'!$A$4:$A$40,'Ceiling-U'!$X$4:$X$40)*N$15)+(LOOKUP(N$2,'Floor-U'!$A$4:$A$40,'Floor-U'!$E$4:$E$40)*N$16)+(LOOKUP(N$2,'Wall-U'!$A$4:$A$40,'Wall-U'!$E$4:$E$40)*N$13)+(LOOKUP(N$2,'Window-U'!$A$4:$A$40,'Window-U'!$S$4:$S$40)*N$22))*N$97</f>
        <v>1462.7372605756675</v>
      </c>
      <c r="O98" s="171">
        <f>((LOOKUP(O$2,'Ceiling-U'!$A$4:$A$40,'Ceiling-U'!$X$4:$X$40)*O$15)+(LOOKUP(O$2,'Floor-U'!$A$4:$A$40,'Floor-U'!$E$4:$E$40)*O$16)+(LOOKUP(O$2,'Wall-U'!$A$4:$A$40,'Wall-U'!$E$4:$E$40)*O$13)+(LOOKUP(O$2,'Window-U'!$A$4:$A$40,'Window-U'!$S$4:$S$40)*O$22))*O$97</f>
        <v>3257.8830321204277</v>
      </c>
      <c r="P98" s="171">
        <f>((LOOKUP(P$2,'Ceiling-U'!$A$4:$A$40,'Ceiling-U'!$X$4:$X$40)*P$15)+(LOOKUP(P$2,'Floor-U'!$A$4:$A$40,'Floor-U'!$E$4:$E$40)*P$16)+(LOOKUP(P$2,'Wall-U'!$A$4:$A$40,'Wall-U'!$E$4:$E$40)*P$13)+(LOOKUP(P$2,'Window-U'!$A$4:$A$40,'Window-U'!$S$4:$S$40)*P$22))*P$97</f>
        <v>2124.042911531461</v>
      </c>
      <c r="Q98" s="171">
        <f>((LOOKUP(Q$2,'Ceiling-U'!$A$4:$A$40,'Ceiling-U'!$X$4:$X$40)*Q$15)+(LOOKUP(Q$2,'Floor-U'!$A$4:$A$40,'Floor-U'!$E$4:$E$40)*Q$16)+(LOOKUP(Q$2,'Wall-U'!$A$4:$A$40,'Wall-U'!$E$4:$E$40)*Q$13)+(LOOKUP(Q$2,'Window-U'!$A$4:$A$40,'Window-U'!$S$4:$S$40)*Q$22))*Q$97</f>
        <v>1677.6088349792467</v>
      </c>
      <c r="R98" s="171">
        <f>((LOOKUP(R$2,'Ceiling-U'!$A$4:$A$40,'Ceiling-U'!$X$4:$X$40)*R$15)+(LOOKUP(R$2,'Floor-U'!$A$4:$A$40,'Floor-U'!$E$4:$E$40)*R$16)+(LOOKUP(R$2,'Wall-U'!$A$4:$A$40,'Wall-U'!$E$4:$E$40)*R$13)+(LOOKUP(R$2,'Window-U'!$A$4:$A$40,'Window-U'!$S$4:$S$40)*R$22))*R$97</f>
        <v>1694.268687674738</v>
      </c>
      <c r="S98" s="171">
        <f>((LOOKUP(S$2,'Ceiling-U'!$A$4:$A$40,'Ceiling-U'!$X$4:$X$40)*S$15)+(LOOKUP(S$2,'Floor-U'!$A$4:$A$40,'Floor-U'!$E$4:$E$40)*S$16)+(LOOKUP(S$2,'Wall-U'!$A$4:$A$40,'Wall-U'!$E$4:$E$40)*S$13)+(LOOKUP(S$2,'Window-U'!$A$4:$A$40,'Window-U'!$S$4:$S$40)*S$22))*S$97</f>
        <v>4821.454911315308</v>
      </c>
      <c r="T98" s="171">
        <f>((LOOKUP(T$2,'Ceiling-U'!$A$4:$A$40,'Ceiling-U'!$X$4:$X$40)*T$15)+(LOOKUP(T$2,'Floor-U'!$A$4:$A$40,'Floor-U'!$E$4:$E$40)*T$16)+(LOOKUP(T$2,'Wall-U'!$A$4:$A$40,'Wall-U'!$E$4:$E$40)*T$13)+(LOOKUP(T$2,'Window-U'!$A$4:$A$40,'Window-U'!$S$4:$S$40)*T$22))*T$97</f>
        <v>824.81239101307585</v>
      </c>
      <c r="U98" s="171">
        <f>((LOOKUP(U$2,'Ceiling-U'!$A$4:$A$40,'Ceiling-U'!$X$4:$X$40)*U$15)+(LOOKUP(U$2,'Floor-U'!$A$4:$A$40,'Floor-U'!$E$4:$E$40)*U$16)+(LOOKUP(U$2,'Wall-U'!$A$4:$A$40,'Wall-U'!$E$4:$E$40)*U$13)+(LOOKUP(U$2,'Window-U'!$A$4:$A$40,'Window-U'!$S$4:$S$40)*U$22))*U$97</f>
        <v>3005.9286307966449</v>
      </c>
      <c r="V98" s="171">
        <f>((LOOKUP(V$2,'Ceiling-U'!$A$4:$A$40,'Ceiling-U'!$X$4:$X$40)*V$15)+(LOOKUP(V$2,'Floor-U'!$A$4:$A$40,'Floor-U'!$E$4:$E$40)*V$16)+(LOOKUP(V$2,'Wall-U'!$A$4:$A$40,'Wall-U'!$E$4:$E$40)*V$13)+(LOOKUP(V$2,'Window-U'!$A$4:$A$40,'Window-U'!$S$4:$S$40)*V$22))*V$97</f>
        <v>1215.8048751046206</v>
      </c>
      <c r="W98" s="171">
        <f>((LOOKUP(W$2,'Ceiling-U'!$A$4:$A$40,'Ceiling-U'!$X$4:$X$40)*W$15)+(LOOKUP(W$2,'Floor-U'!$A$4:$A$40,'Floor-U'!$E$4:$E$40)*W$16)+(LOOKUP(W$2,'Wall-U'!$A$4:$A$40,'Wall-U'!$E$4:$E$40)*W$13)+(LOOKUP(W$2,'Window-U'!$A$4:$A$40,'Window-U'!$S$4:$S$40)*W$22))*W$97</f>
        <v>1868.9774690072613</v>
      </c>
      <c r="X98" s="171">
        <f>((LOOKUP(X$2,'Ceiling-U'!$A$4:$A$40,'Ceiling-U'!$X$4:$X$40)*X$15)+(LOOKUP(X$2,'Floor-U'!$A$4:$A$40,'Floor-U'!$E$4:$E$40)*X$16)+(LOOKUP(X$2,'Wall-U'!$A$4:$A$40,'Wall-U'!$E$4:$E$40)*X$13)+(LOOKUP(X$2,'Window-U'!$A$4:$A$40,'Window-U'!$S$4:$S$40)*X$22))*X$97</f>
        <v>1211.6524398284716</v>
      </c>
      <c r="Y98" s="171">
        <f>((LOOKUP(Y$2,'Ceiling-U'!$A$4:$A$40,'Ceiling-U'!$X$4:$X$40)*Y$15)+(LOOKUP(Y$2,'Floor-U'!$A$4:$A$40,'Floor-U'!$E$4:$E$40)*Y$16)+(LOOKUP(Y$2,'Wall-U'!$A$4:$A$40,'Wall-U'!$E$4:$E$40)*Y$13)+(LOOKUP(Y$2,'Window-U'!$A$4:$A$40,'Window-U'!$S$4:$S$40)*Y$22))*Y$97</f>
        <v>4434.9036298547326</v>
      </c>
      <c r="Z98" s="171">
        <f>((LOOKUP(Z$2,'Ceiling-U'!$A$4:$A$40,'Ceiling-U'!$X$4:$X$40)*Z$15)+(LOOKUP(Z$2,'Floor-U'!$A$4:$A$40,'Floor-U'!$E$4:$E$40)*Z$16)+(LOOKUP(Z$2,'Wall-U'!$A$4:$A$40,'Wall-U'!$E$4:$E$40)*Z$13)+(LOOKUP(Z$2,'Window-U'!$A$4:$A$40,'Window-U'!$S$4:$S$40)*Z$22))*Z$97</f>
        <v>2540.0453790681922</v>
      </c>
      <c r="AA98" s="171">
        <f>((LOOKUP(AA$2,'Ceiling-U'!$A$4:$A$40,'Ceiling-U'!$X$4:$X$40)*AA$15)+(LOOKUP(AA$2,'Floor-U'!$A$4:$A$40,'Floor-U'!$E$4:$E$40)*AA$16)+(LOOKUP(AA$2,'Wall-U'!$A$4:$A$40,'Wall-U'!$E$4:$E$40)*AA$13)+(LOOKUP(AA$2,'Window-U'!$A$4:$A$40,'Window-U'!$S$4:$S$40)*AA$22))*AA$97</f>
        <v>697.6081839085989</v>
      </c>
      <c r="AB98" s="171">
        <f>((LOOKUP(AB$2,'Ceiling-U'!$A$4:$A$40,'Ceiling-U'!$X$4:$X$40)*AB$15)+(LOOKUP(AB$2,'Floor-U'!$A$4:$A$40,'Floor-U'!$E$4:$E$40)*AB$16)+(LOOKUP(AB$2,'Wall-U'!$A$4:$A$40,'Wall-U'!$E$4:$E$40)*AB$13)+(LOOKUP(AB$2,'Window-U'!$A$4:$A$40,'Window-U'!$S$4:$S$40)*AB$22))*AB$97</f>
        <v>2473.7496652363589</v>
      </c>
      <c r="AC98" s="171">
        <f>((LOOKUP(AC$2,'Ceiling-U'!$A$4:$A$40,'Ceiling-U'!$X$4:$X$40)*AC$15)+(LOOKUP(AC$2,'Floor-U'!$A$4:$A$40,'Floor-U'!$E$4:$E$40)*AC$16)+(LOOKUP(AC$2,'Wall-U'!$A$4:$A$40,'Wall-U'!$E$4:$E$40)*AC$13)+(LOOKUP(AC$2,'Window-U'!$A$4:$A$40,'Window-U'!$S$4:$S$40)*AC$22))*AC$97</f>
        <v>3412.4269699065944</v>
      </c>
      <c r="AD98" s="171">
        <f>((LOOKUP(AD$2,'Ceiling-U'!$A$4:$A$40,'Ceiling-U'!$X$4:$X$40)*AD$15)+(LOOKUP(AD$2,'Floor-U'!$A$4:$A$40,'Floor-U'!$E$4:$E$40)*AD$16)+(LOOKUP(AD$2,'Wall-U'!$A$4:$A$40,'Wall-U'!$E$4:$E$40)*AD$13)+(LOOKUP(AD$2,'Window-U'!$A$4:$A$40,'Window-U'!$S$4:$S$40)*AD$22))*AD$97</f>
        <v>4807.7541138805391</v>
      </c>
      <c r="AE98" s="171">
        <f>((LOOKUP(AE$2,'Ceiling-U'!$A$4:$A$40,'Ceiling-U'!$X$4:$X$40)*AE$15)+(LOOKUP(AE$2,'Floor-U'!$A$4:$A$40,'Floor-U'!$E$4:$E$40)*AE$16)+(LOOKUP(AE$2,'Wall-U'!$A$4:$A$40,'Wall-U'!$E$4:$E$40)*AE$13)+(LOOKUP(AE$2,'Window-U'!$A$4:$A$40,'Window-U'!$S$4:$S$40)*AE$22))*AE$97</f>
        <v>697.6081839085989</v>
      </c>
      <c r="AF98" s="171">
        <f>((LOOKUP(AF$2,'Ceiling-U'!$A$4:$A$40,'Ceiling-U'!$X$4:$X$40)*AF$15)+(LOOKUP(AF$2,'Floor-U'!$A$4:$A$40,'Floor-U'!$E$4:$E$40)*AF$16)+(LOOKUP(AF$2,'Wall-U'!$A$4:$A$40,'Wall-U'!$E$4:$E$40)*AF$13)+(LOOKUP(AF$2,'Window-U'!$A$4:$A$40,'Window-U'!$S$4:$S$40)*AF$22))*AF$97</f>
        <v>1621.8114820837652</v>
      </c>
      <c r="AG98" s="171">
        <f>((LOOKUP(AG$2,'Ceiling-U'!$A$4:$A$40,'Ceiling-U'!$X$4:$X$40)*AG$15)+(LOOKUP(AG$2,'Floor-U'!$A$4:$A$40,'Floor-U'!$E$4:$E$40)*AG$16)+(LOOKUP(AG$2,'Wall-U'!$A$4:$A$40,'Wall-U'!$E$4:$E$40)*AG$13)+(LOOKUP(AG$2,'Window-U'!$A$4:$A$40,'Window-U'!$S$4:$S$40)*AG$22))*AG$97</f>
        <v>2070.3058219719055</v>
      </c>
      <c r="AH98" s="171">
        <f>((LOOKUP(AH$2,'Ceiling-U'!$A$4:$A$40,'Ceiling-U'!$X$4:$X$40)*AH$15)+(LOOKUP(AH$2,'Floor-U'!$A$4:$A$40,'Floor-U'!$E$4:$E$40)*AH$16)+(LOOKUP(AH$2,'Wall-U'!$A$4:$A$40,'Wall-U'!$E$4:$E$40)*AH$13)+(LOOKUP(AH$2,'Window-U'!$A$4:$A$40,'Window-U'!$S$4:$S$40)*AH$22))*AH$97</f>
        <v>4640.2688035765459</v>
      </c>
      <c r="AI98" s="171">
        <f>((LOOKUP(AI$2,'Ceiling-U'!$A$4:$A$40,'Ceiling-U'!$X$4:$X$40)*AI$15)+(LOOKUP(AI$2,'Floor-U'!$A$4:$A$40,'Floor-U'!$E$4:$E$40)*AI$16)+(LOOKUP(AI$2,'Wall-U'!$A$4:$A$40,'Wall-U'!$E$4:$E$40)*AI$13)+(LOOKUP(AI$2,'Window-U'!$A$4:$A$40,'Window-U'!$S$4:$S$40)*AI$22))*AI$97</f>
        <v>3362.6291428113923</v>
      </c>
      <c r="AJ98" s="171">
        <f>((LOOKUP(AJ$2,'Ceiling-U'!$A$4:$A$40,'Ceiling-U'!$X$4:$X$40)*AJ$15)+(LOOKUP(AJ$2,'Floor-U'!$A$4:$A$40,'Floor-U'!$E$4:$E$40)*AJ$16)+(LOOKUP(AJ$2,'Wall-U'!$A$4:$A$40,'Wall-U'!$E$4:$E$40)*AJ$13)+(LOOKUP(AJ$2,'Window-U'!$A$4:$A$40,'Window-U'!$S$4:$S$40)*AJ$22))*AJ$97</f>
        <v>1859.0713854245287</v>
      </c>
      <c r="AK98" s="171">
        <f>((LOOKUP(AK$2,'Ceiling-U'!$A$4:$A$40,'Ceiling-U'!$X$4:$X$40)*AK$15)+(LOOKUP(AK$2,'Floor-U'!$A$4:$A$40,'Floor-U'!$E$4:$E$40)*AK$16)+(LOOKUP(AK$2,'Wall-U'!$A$4:$A$40,'Wall-U'!$E$4:$E$40)*AK$13)+(LOOKUP(AK$2,'Window-U'!$A$4:$A$40,'Window-U'!$S$4:$S$40)*AK$22))*AK$97</f>
        <v>2016.4425593355288</v>
      </c>
      <c r="AL98" s="171">
        <f>((LOOKUP(AL$2,'Ceiling-U'!$A$4:$A$40,'Ceiling-U'!$X$4:$X$40)*AL$15)+(LOOKUP(AL$2,'Floor-U'!$A$4:$A$40,'Floor-U'!$E$4:$E$40)*AL$16)+(LOOKUP(AL$2,'Wall-U'!$A$4:$A$40,'Wall-U'!$E$4:$E$40)*AL$13)+(LOOKUP(AL$2,'Window-U'!$A$4:$A$40,'Window-U'!$S$4:$S$40)*AL$22))*AL$97</f>
        <v>2051.2889028193626</v>
      </c>
      <c r="AM98" s="171">
        <f>((LOOKUP(AM$2,'Ceiling-U'!$A$4:$A$40,'Ceiling-U'!$X$4:$X$40)*AM$15)+(LOOKUP(AM$2,'Floor-U'!$A$4:$A$40,'Floor-U'!$E$4:$E$40)*AM$16)+(LOOKUP(AM$2,'Wall-U'!$A$4:$A$40,'Wall-U'!$E$4:$E$40)*AM$13)+(LOOKUP(AM$2,'Window-U'!$A$4:$A$40,'Window-U'!$S$4:$S$40)*AM$22))*AM$97</f>
        <v>1859.0713854245287</v>
      </c>
      <c r="AN98" s="172">
        <f>((LOOKUP(AN$2,'Ceiling-U'!$A$4:$A$40,'Ceiling-U'!$X$4:$X$40)*AN$15)+(LOOKUP(AN$2,'Floor-U'!$A$4:$A$40,'Floor-U'!$E$4:$E$40)*AN$16)+(LOOKUP(AN$2,'Wall-U'!$A$4:$A$40,'Wall-U'!$E$4:$E$40)*AN$13)+(LOOKUP(AN$2,'Window-U'!$A$4:$A$40,'Window-U'!$S$4:$S$40)*AN$22))*AN$97</f>
        <v>1859.0713854245287</v>
      </c>
    </row>
    <row r="99" spans="1:40">
      <c r="A99" s="372"/>
      <c r="B99" s="142" t="s">
        <v>3</v>
      </c>
      <c r="C99" s="131" t="s">
        <v>195</v>
      </c>
      <c r="D99" s="176">
        <f>((LOOKUP(D$2,'Ceiling-U'!$A$4:$A$40,'Ceiling-U'!$Y$4:$Y$40)*D$15)+(LOOKUP(D$2,'Floor-U'!$A$4:$A$40,'Floor-U'!$F$4:$F$40)*D$16)+(LOOKUP(D$2,'Wall-U'!$A$4:$A$40,'Wall-U'!$F$4:$F$40)*D$13)+(LOOKUP(D$2,'Window-U'!$A$4:$A$40,'Window-U'!$S$4:$S$40)*D$22))*D$97</f>
        <v>1911.5051099254483</v>
      </c>
      <c r="E99" s="177">
        <f>((LOOKUP(E$2,'Ceiling-U'!$A$4:$A$40,'Ceiling-U'!$Y$4:$Y$40)*E$15)+(LOOKUP(E$2,'Floor-U'!$A$4:$A$40,'Floor-U'!$F$4:$F$40)*E$16)+(LOOKUP(E$2,'Wall-U'!$A$4:$A$40,'Wall-U'!$F$4:$F$40)*E$13)+(LOOKUP(E$2,'Window-U'!$A$4:$A$40,'Window-U'!$S$4:$S$40)*E$22))*E$97</f>
        <v>2488.4900731046846</v>
      </c>
      <c r="F99" s="177">
        <f>((LOOKUP(F$2,'Ceiling-U'!$A$4:$A$40,'Ceiling-U'!$Y$4:$Y$40)*F$15)+(LOOKUP(F$2,'Floor-U'!$A$4:$A$40,'Floor-U'!$F$4:$F$40)*F$16)+(LOOKUP(F$2,'Wall-U'!$A$4:$A$40,'Wall-U'!$F$4:$F$40)*F$13)+(LOOKUP(F$2,'Window-U'!$A$4:$A$40,'Window-U'!$S$4:$S$40)*F$22))*F$97</f>
        <v>3077.1283142802495</v>
      </c>
      <c r="G99" s="177">
        <f>((LOOKUP(G$2,'Ceiling-U'!$A$4:$A$40,'Ceiling-U'!$Y$4:$Y$40)*G$15)+(LOOKUP(G$2,'Floor-U'!$A$4:$A$40,'Floor-U'!$F$4:$F$40)*G$16)+(LOOKUP(G$2,'Wall-U'!$A$4:$A$40,'Wall-U'!$F$4:$F$40)*G$13)+(LOOKUP(G$2,'Window-U'!$A$4:$A$40,'Window-U'!$S$4:$S$40)*G$22))*G$97</f>
        <v>1911.5051099254483</v>
      </c>
      <c r="H99" s="177">
        <f>((LOOKUP(H$2,'Ceiling-U'!$A$4:$A$40,'Ceiling-U'!$Y$4:$Y$40)*H$15)+(LOOKUP(H$2,'Floor-U'!$A$4:$A$40,'Floor-U'!$F$4:$F$40)*H$16)+(LOOKUP(H$2,'Wall-U'!$A$4:$A$40,'Wall-U'!$F$4:$F$40)*H$13)+(LOOKUP(H$2,'Window-U'!$A$4:$A$40,'Window-U'!$S$4:$S$40)*H$22))*H$97</f>
        <v>2838.466348079789</v>
      </c>
      <c r="I99" s="177">
        <f>((LOOKUP(I$2,'Ceiling-U'!$A$4:$A$40,'Ceiling-U'!$Y$4:$Y$40)*I$15)+(LOOKUP(I$2,'Floor-U'!$A$4:$A$40,'Floor-U'!$F$4:$F$40)*I$16)+(LOOKUP(I$2,'Wall-U'!$A$4:$A$40,'Wall-U'!$F$4:$F$40)*I$13)+(LOOKUP(I$2,'Window-U'!$A$4:$A$40,'Window-U'!$S$4:$S$40)*I$22))*I$97</f>
        <v>1143.4531313744412</v>
      </c>
      <c r="J99" s="177">
        <f>((LOOKUP(J$2,'Ceiling-U'!$A$4:$A$40,'Ceiling-U'!$Y$4:$Y$40)*J$15)+(LOOKUP(J$2,'Floor-U'!$A$4:$A$40,'Floor-U'!$F$4:$F$40)*J$16)+(LOOKUP(J$2,'Wall-U'!$A$4:$A$40,'Wall-U'!$F$4:$F$40)*J$13)+(LOOKUP(J$2,'Window-U'!$A$4:$A$40,'Window-U'!$S$4:$S$40)*J$22))*J$97</f>
        <v>1738.7953514489907</v>
      </c>
      <c r="K99" s="177">
        <f>((LOOKUP(K$2,'Ceiling-U'!$A$4:$A$40,'Ceiling-U'!$Y$4:$Y$40)*K$15)+(LOOKUP(K$2,'Floor-U'!$A$4:$A$40,'Floor-U'!$F$4:$F$40)*K$16)+(LOOKUP(K$2,'Wall-U'!$A$4:$A$40,'Wall-U'!$F$4:$F$40)*K$13)+(LOOKUP(K$2,'Window-U'!$A$4:$A$40,'Window-U'!$S$4:$S$40)*K$22))*K$97</f>
        <v>1649.8984985245602</v>
      </c>
      <c r="L99" s="177">
        <f>((LOOKUP(L$2,'Ceiling-U'!$A$4:$A$40,'Ceiling-U'!$Y$4:$Y$40)*L$15)+(LOOKUP(L$2,'Floor-U'!$A$4:$A$40,'Floor-U'!$F$4:$F$40)*L$16)+(LOOKUP(L$2,'Wall-U'!$A$4:$A$40,'Wall-U'!$F$4:$F$40)*L$13)+(LOOKUP(L$2,'Window-U'!$A$4:$A$40,'Window-U'!$S$4:$S$40)*L$22))*L$97</f>
        <v>612.45944653007837</v>
      </c>
      <c r="M99" s="177">
        <f>((LOOKUP(M$2,'Ceiling-U'!$A$4:$A$40,'Ceiling-U'!$Y$4:$Y$40)*M$15)+(LOOKUP(M$2,'Floor-U'!$A$4:$A$40,'Floor-U'!$F$4:$F$40)*M$16)+(LOOKUP(M$2,'Wall-U'!$A$4:$A$40,'Wall-U'!$F$4:$F$40)*M$13)+(LOOKUP(M$2,'Window-U'!$A$4:$A$40,'Window-U'!$S$4:$S$40)*M$22))*M$97</f>
        <v>2195.205944870906</v>
      </c>
      <c r="N99" s="177">
        <f>((LOOKUP(N$2,'Ceiling-U'!$A$4:$A$40,'Ceiling-U'!$Y$4:$Y$40)*N$15)+(LOOKUP(N$2,'Floor-U'!$A$4:$A$40,'Floor-U'!$F$4:$F$40)*N$16)+(LOOKUP(N$2,'Wall-U'!$A$4:$A$40,'Wall-U'!$F$4:$F$40)*N$13)+(LOOKUP(N$2,'Window-U'!$A$4:$A$40,'Window-U'!$S$4:$S$40)*N$22))*N$97</f>
        <v>1318.1158761936472</v>
      </c>
      <c r="O99" s="177">
        <f>((LOOKUP(O$2,'Ceiling-U'!$A$4:$A$40,'Ceiling-U'!$Y$4:$Y$40)*O$15)+(LOOKUP(O$2,'Floor-U'!$A$4:$A$40,'Floor-U'!$F$4:$F$40)*O$16)+(LOOKUP(O$2,'Wall-U'!$A$4:$A$40,'Wall-U'!$F$4:$F$40)*O$13)+(LOOKUP(O$2,'Window-U'!$A$4:$A$40,'Window-U'!$S$4:$S$40)*O$22))*O$97</f>
        <v>3257.8830321204277</v>
      </c>
      <c r="P99" s="177">
        <f>((LOOKUP(P$2,'Ceiling-U'!$A$4:$A$40,'Ceiling-U'!$Y$4:$Y$40)*P$15)+(LOOKUP(P$2,'Floor-U'!$A$4:$A$40,'Floor-U'!$F$4:$F$40)*P$16)+(LOOKUP(P$2,'Wall-U'!$A$4:$A$40,'Wall-U'!$F$4:$F$40)*P$13)+(LOOKUP(P$2,'Window-U'!$A$4:$A$40,'Window-U'!$S$4:$S$40)*P$22))*P$97</f>
        <v>2124.042911531461</v>
      </c>
      <c r="Q99" s="177">
        <f>((LOOKUP(Q$2,'Ceiling-U'!$A$4:$A$40,'Ceiling-U'!$Y$4:$Y$40)*Q$15)+(LOOKUP(Q$2,'Floor-U'!$A$4:$A$40,'Floor-U'!$F$4:$F$40)*Q$16)+(LOOKUP(Q$2,'Wall-U'!$A$4:$A$40,'Wall-U'!$F$4:$F$40)*Q$13)+(LOOKUP(Q$2,'Window-U'!$A$4:$A$40,'Window-U'!$S$4:$S$40)*Q$22))*Q$97</f>
        <v>1869.6024541422169</v>
      </c>
      <c r="R99" s="177">
        <f>((LOOKUP(R$2,'Ceiling-U'!$A$4:$A$40,'Ceiling-U'!$Y$4:$Y$40)*R$15)+(LOOKUP(R$2,'Floor-U'!$A$4:$A$40,'Floor-U'!$F$4:$F$40)*R$16)+(LOOKUP(R$2,'Wall-U'!$A$4:$A$40,'Wall-U'!$F$4:$F$40)*R$13)+(LOOKUP(R$2,'Window-U'!$A$4:$A$40,'Window-U'!$S$4:$S$40)*R$22))*R$97</f>
        <v>1694.268687674738</v>
      </c>
      <c r="S99" s="177">
        <f>((LOOKUP(S$2,'Ceiling-U'!$A$4:$A$40,'Ceiling-U'!$Y$4:$Y$40)*S$15)+(LOOKUP(S$2,'Floor-U'!$A$4:$A$40,'Floor-U'!$F$4:$F$40)*S$16)+(LOOKUP(S$2,'Wall-U'!$A$4:$A$40,'Wall-U'!$F$4:$F$40)*S$13)+(LOOKUP(S$2,'Window-U'!$A$4:$A$40,'Window-U'!$S$4:$S$40)*S$22))*S$97</f>
        <v>4822.4554049126418</v>
      </c>
      <c r="T99" s="177">
        <f>((LOOKUP(T$2,'Ceiling-U'!$A$4:$A$40,'Ceiling-U'!$Y$4:$Y$40)*T$15)+(LOOKUP(T$2,'Floor-U'!$A$4:$A$40,'Floor-U'!$F$4:$F$40)*T$16)+(LOOKUP(T$2,'Wall-U'!$A$4:$A$40,'Wall-U'!$F$4:$F$40)*T$13)+(LOOKUP(T$2,'Window-U'!$A$4:$A$40,'Window-U'!$S$4:$S$40)*T$22))*T$97</f>
        <v>750.98267147474712</v>
      </c>
      <c r="U99" s="177">
        <f>((LOOKUP(U$2,'Ceiling-U'!$A$4:$A$40,'Ceiling-U'!$Y$4:$Y$40)*U$15)+(LOOKUP(U$2,'Floor-U'!$A$4:$A$40,'Floor-U'!$F$4:$F$40)*U$16)+(LOOKUP(U$2,'Wall-U'!$A$4:$A$40,'Wall-U'!$F$4:$F$40)*U$13)+(LOOKUP(U$2,'Window-U'!$A$4:$A$40,'Window-U'!$S$4:$S$40)*U$22))*U$97</f>
        <v>2745.0570373295463</v>
      </c>
      <c r="V99" s="177">
        <f>((LOOKUP(V$2,'Ceiling-U'!$A$4:$A$40,'Ceiling-U'!$Y$4:$Y$40)*V$15)+(LOOKUP(V$2,'Floor-U'!$A$4:$A$40,'Floor-U'!$F$4:$F$40)*V$16)+(LOOKUP(V$2,'Wall-U'!$A$4:$A$40,'Wall-U'!$F$4:$F$40)*V$13)+(LOOKUP(V$2,'Window-U'!$A$4:$A$40,'Window-U'!$S$4:$S$40)*V$22))*V$97</f>
        <v>1215.8048751046206</v>
      </c>
      <c r="W99" s="177">
        <f>((LOOKUP(W$2,'Ceiling-U'!$A$4:$A$40,'Ceiling-U'!$Y$4:$Y$40)*W$15)+(LOOKUP(W$2,'Floor-U'!$A$4:$A$40,'Floor-U'!$F$4:$F$40)*W$16)+(LOOKUP(W$2,'Wall-U'!$A$4:$A$40,'Wall-U'!$F$4:$F$40)*W$13)+(LOOKUP(W$2,'Window-U'!$A$4:$A$40,'Window-U'!$S$4:$S$40)*W$22))*W$97</f>
        <v>2470.0364910810595</v>
      </c>
      <c r="X99" s="177">
        <f>((LOOKUP(X$2,'Ceiling-U'!$A$4:$A$40,'Ceiling-U'!$Y$4:$Y$40)*X$15)+(LOOKUP(X$2,'Floor-U'!$A$4:$A$40,'Floor-U'!$F$4:$F$40)*X$16)+(LOOKUP(X$2,'Wall-U'!$A$4:$A$40,'Wall-U'!$F$4:$F$40)*X$13)+(LOOKUP(X$2,'Window-U'!$A$4:$A$40,'Window-U'!$S$4:$S$40)*X$22))*X$97</f>
        <v>1211.6524398284716</v>
      </c>
      <c r="Y99" s="177">
        <f>((LOOKUP(Y$2,'Ceiling-U'!$A$4:$A$40,'Ceiling-U'!$Y$4:$Y$40)*Y$15)+(LOOKUP(Y$2,'Floor-U'!$A$4:$A$40,'Floor-U'!$F$4:$F$40)*Y$16)+(LOOKUP(Y$2,'Wall-U'!$A$4:$A$40,'Wall-U'!$F$4:$F$40)*Y$13)+(LOOKUP(Y$2,'Window-U'!$A$4:$A$40,'Window-U'!$S$4:$S$40)*Y$22))*Y$97</f>
        <v>4434.8298257364549</v>
      </c>
      <c r="Z99" s="177">
        <f>((LOOKUP(Z$2,'Ceiling-U'!$A$4:$A$40,'Ceiling-U'!$Y$4:$Y$40)*Z$15)+(LOOKUP(Z$2,'Floor-U'!$A$4:$A$40,'Floor-U'!$F$4:$F$40)*Z$16)+(LOOKUP(Z$2,'Wall-U'!$A$4:$A$40,'Wall-U'!$F$4:$F$40)*Z$13)+(LOOKUP(Z$2,'Window-U'!$A$4:$A$40,'Window-U'!$S$4:$S$40)*Z$22))*Z$97</f>
        <v>2228.9220628720354</v>
      </c>
      <c r="AA99" s="177">
        <f>((LOOKUP(AA$2,'Ceiling-U'!$A$4:$A$40,'Ceiling-U'!$Y$4:$Y$40)*AA$15)+(LOOKUP(AA$2,'Floor-U'!$A$4:$A$40,'Floor-U'!$F$4:$F$40)*AA$16)+(LOOKUP(AA$2,'Wall-U'!$A$4:$A$40,'Wall-U'!$F$4:$F$40)*AA$13)+(LOOKUP(AA$2,'Window-U'!$A$4:$A$40,'Window-U'!$S$4:$S$40)*AA$22))*AA$97</f>
        <v>697.6081839085989</v>
      </c>
      <c r="AB99" s="177">
        <f>((LOOKUP(AB$2,'Ceiling-U'!$A$4:$A$40,'Ceiling-U'!$Y$4:$Y$40)*AB$15)+(LOOKUP(AB$2,'Floor-U'!$A$4:$A$40,'Floor-U'!$F$4:$F$40)*AB$16)+(LOOKUP(AB$2,'Wall-U'!$A$4:$A$40,'Wall-U'!$F$4:$F$40)*AB$13)+(LOOKUP(AB$2,'Window-U'!$A$4:$A$40,'Window-U'!$S$4:$S$40)*AB$22))*AB$97</f>
        <v>1863.6725271155856</v>
      </c>
      <c r="AC99" s="177">
        <f>((LOOKUP(AC$2,'Ceiling-U'!$A$4:$A$40,'Ceiling-U'!$Y$4:$Y$40)*AC$15)+(LOOKUP(AC$2,'Floor-U'!$A$4:$A$40,'Floor-U'!$F$4:$F$40)*AC$16)+(LOOKUP(AC$2,'Wall-U'!$A$4:$A$40,'Wall-U'!$F$4:$F$40)*AC$13)+(LOOKUP(AC$2,'Window-U'!$A$4:$A$40,'Window-U'!$S$4:$S$40)*AC$22))*AC$97</f>
        <v>2795.8710000708938</v>
      </c>
      <c r="AD99" s="177">
        <f>((LOOKUP(AD$2,'Ceiling-U'!$A$4:$A$40,'Ceiling-U'!$Y$4:$Y$40)*AD$15)+(LOOKUP(AD$2,'Floor-U'!$A$4:$A$40,'Floor-U'!$F$4:$F$40)*AD$16)+(LOOKUP(AD$2,'Wall-U'!$A$4:$A$40,'Wall-U'!$F$4:$F$40)*AD$13)+(LOOKUP(AD$2,'Window-U'!$A$4:$A$40,'Window-U'!$S$4:$S$40)*AD$22))*AD$97</f>
        <v>4283.4314414710225</v>
      </c>
      <c r="AE99" s="177">
        <f>((LOOKUP(AE$2,'Ceiling-U'!$A$4:$A$40,'Ceiling-U'!$Y$4:$Y$40)*AE$15)+(LOOKUP(AE$2,'Floor-U'!$A$4:$A$40,'Floor-U'!$F$4:$F$40)*AE$16)+(LOOKUP(AE$2,'Wall-U'!$A$4:$A$40,'Wall-U'!$F$4:$F$40)*AE$13)+(LOOKUP(AE$2,'Window-U'!$A$4:$A$40,'Window-U'!$S$4:$S$40)*AE$22))*AE$97</f>
        <v>697.6081839085989</v>
      </c>
      <c r="AF99" s="177">
        <f>((LOOKUP(AF$2,'Ceiling-U'!$A$4:$A$40,'Ceiling-U'!$Y$4:$Y$40)*AF$15)+(LOOKUP(AF$2,'Floor-U'!$A$4:$A$40,'Floor-U'!$F$4:$F$40)*AF$16)+(LOOKUP(AF$2,'Wall-U'!$A$4:$A$40,'Wall-U'!$F$4:$F$40)*AF$13)+(LOOKUP(AF$2,'Window-U'!$A$4:$A$40,'Window-U'!$S$4:$S$40)*AF$22))*AF$97</f>
        <v>1621.8114820837652</v>
      </c>
      <c r="AG99" s="177">
        <f>((LOOKUP(AG$2,'Ceiling-U'!$A$4:$A$40,'Ceiling-U'!$Y$4:$Y$40)*AG$15)+(LOOKUP(AG$2,'Floor-U'!$A$4:$A$40,'Floor-U'!$F$4:$F$40)*AG$16)+(LOOKUP(AG$2,'Wall-U'!$A$4:$A$40,'Wall-U'!$F$4:$F$40)*AG$13)+(LOOKUP(AG$2,'Window-U'!$A$4:$A$40,'Window-U'!$S$4:$S$40)*AG$22))*AG$97</f>
        <v>1700.3563943017198</v>
      </c>
      <c r="AH99" s="177">
        <f>((LOOKUP(AH$2,'Ceiling-U'!$A$4:$A$40,'Ceiling-U'!$Y$4:$Y$40)*AH$15)+(LOOKUP(AH$2,'Floor-U'!$A$4:$A$40,'Floor-U'!$F$4:$F$40)*AH$16)+(LOOKUP(AH$2,'Wall-U'!$A$4:$A$40,'Wall-U'!$F$4:$F$40)*AH$13)+(LOOKUP(AH$2,'Window-U'!$A$4:$A$40,'Window-U'!$S$4:$S$40)*AH$22))*AH$97</f>
        <v>5007.3934279170062</v>
      </c>
      <c r="AI99" s="177">
        <f>((LOOKUP(AI$2,'Ceiling-U'!$A$4:$A$40,'Ceiling-U'!$Y$4:$Y$40)*AI$15)+(LOOKUP(AI$2,'Floor-U'!$A$4:$A$40,'Floor-U'!$F$4:$F$40)*AI$16)+(LOOKUP(AI$2,'Wall-U'!$A$4:$A$40,'Wall-U'!$F$4:$F$40)*AI$13)+(LOOKUP(AI$2,'Window-U'!$A$4:$A$40,'Window-U'!$S$4:$S$40)*AI$22))*AI$97</f>
        <v>3362.6291428113923</v>
      </c>
      <c r="AJ99" s="177">
        <f>((LOOKUP(AJ$2,'Ceiling-U'!$A$4:$A$40,'Ceiling-U'!$Y$4:$Y$40)*AJ$15)+(LOOKUP(AJ$2,'Floor-U'!$A$4:$A$40,'Floor-U'!$F$4:$F$40)*AJ$16)+(LOOKUP(AJ$2,'Wall-U'!$A$4:$A$40,'Wall-U'!$F$4:$F$40)*AJ$13)+(LOOKUP(AJ$2,'Window-U'!$A$4:$A$40,'Window-U'!$S$4:$S$40)*AJ$22))*AJ$97</f>
        <v>1859.0713854245287</v>
      </c>
      <c r="AK99" s="177">
        <f>((LOOKUP(AK$2,'Ceiling-U'!$A$4:$A$40,'Ceiling-U'!$Y$4:$Y$40)*AK$15)+(LOOKUP(AK$2,'Floor-U'!$A$4:$A$40,'Floor-U'!$F$4:$F$40)*AK$16)+(LOOKUP(AK$2,'Wall-U'!$A$4:$A$40,'Wall-U'!$F$4:$F$40)*AK$13)+(LOOKUP(AK$2,'Window-U'!$A$4:$A$40,'Window-U'!$S$4:$S$40)*AK$22))*AK$97</f>
        <v>2016.4425593355288</v>
      </c>
      <c r="AL99" s="177">
        <f>((LOOKUP(AL$2,'Ceiling-U'!$A$4:$A$40,'Ceiling-U'!$Y$4:$Y$40)*AL$15)+(LOOKUP(AL$2,'Floor-U'!$A$4:$A$40,'Floor-U'!$F$4:$F$40)*AL$16)+(LOOKUP(AL$2,'Wall-U'!$A$4:$A$40,'Wall-U'!$F$4:$F$40)*AL$13)+(LOOKUP(AL$2,'Window-U'!$A$4:$A$40,'Window-U'!$S$4:$S$40)*AL$22))*AL$97</f>
        <v>2051.2889028193626</v>
      </c>
      <c r="AM99" s="177">
        <f>((LOOKUP(AM$2,'Ceiling-U'!$A$4:$A$40,'Ceiling-U'!$Y$4:$Y$40)*AM$15)+(LOOKUP(AM$2,'Floor-U'!$A$4:$A$40,'Floor-U'!$F$4:$F$40)*AM$16)+(LOOKUP(AM$2,'Wall-U'!$A$4:$A$40,'Wall-U'!$F$4:$F$40)*AM$13)+(LOOKUP(AM$2,'Window-U'!$A$4:$A$40,'Window-U'!$S$4:$S$40)*AM$22))*AM$97</f>
        <v>1859.0713854245287</v>
      </c>
      <c r="AN99" s="178">
        <f>((LOOKUP(AN$2,'Ceiling-U'!$A$4:$A$40,'Ceiling-U'!$Y$4:$Y$40)*AN$15)+(LOOKUP(AN$2,'Floor-U'!$A$4:$A$40,'Floor-U'!$F$4:$F$40)*AN$16)+(LOOKUP(AN$2,'Wall-U'!$A$4:$A$40,'Wall-U'!$F$4:$F$40)*AN$13)+(LOOKUP(AN$2,'Window-U'!$A$4:$A$40,'Window-U'!$S$4:$S$40)*AN$22))*AN$97</f>
        <v>1859.0713854245287</v>
      </c>
    </row>
    <row r="100" spans="1:40">
      <c r="A100" s="372"/>
      <c r="B100" s="142" t="s">
        <v>4</v>
      </c>
      <c r="C100" s="131" t="s">
        <v>195</v>
      </c>
      <c r="D100" s="176">
        <f>((LOOKUP(D$2,'Ceiling-U'!$A$4:$A$40,'Ceiling-U'!$Z$4:$Z$40)*D$15)+(LOOKUP(D$2,'Floor-U'!$A$4:$A$40,'Floor-U'!$G$4:$G$40)*D$16)+(LOOKUP(D$2,'Wall-U'!$A$4:$A$40,'Wall-U'!$G$4:$G$40)*D$13)+(LOOKUP(D$2,'Window-U'!$A$4:$A$40,'Window-U'!$S$4:$S$40)*D$22))*D$97</f>
        <v>1505.8131368272225</v>
      </c>
      <c r="E100" s="177">
        <f>((LOOKUP(E$2,'Ceiling-U'!$A$4:$A$40,'Ceiling-U'!$Z$4:$Z$40)*E$15)+(LOOKUP(E$2,'Floor-U'!$A$4:$A$40,'Floor-U'!$G$4:$G$40)*E$16)+(LOOKUP(E$2,'Wall-U'!$A$4:$A$40,'Wall-U'!$G$4:$G$40)*E$13)+(LOOKUP(E$2,'Window-U'!$A$4:$A$40,'Window-U'!$S$4:$S$40)*E$22))*E$97</f>
        <v>2488.4900731046846</v>
      </c>
      <c r="F100" s="177">
        <f>((LOOKUP(F$2,'Ceiling-U'!$A$4:$A$40,'Ceiling-U'!$Z$4:$Z$40)*F$15)+(LOOKUP(F$2,'Floor-U'!$A$4:$A$40,'Floor-U'!$G$4:$G$40)*F$16)+(LOOKUP(F$2,'Wall-U'!$A$4:$A$40,'Wall-U'!$G$4:$G$40)*F$13)+(LOOKUP(F$2,'Window-U'!$A$4:$A$40,'Window-U'!$S$4:$S$40)*F$22))*F$97</f>
        <v>2861.9570420371942</v>
      </c>
      <c r="G100" s="177">
        <f>((LOOKUP(G$2,'Ceiling-U'!$A$4:$A$40,'Ceiling-U'!$Z$4:$Z$40)*G$15)+(LOOKUP(G$2,'Floor-U'!$A$4:$A$40,'Floor-U'!$G$4:$G$40)*G$16)+(LOOKUP(G$2,'Wall-U'!$A$4:$A$40,'Wall-U'!$G$4:$G$40)*G$13)+(LOOKUP(G$2,'Window-U'!$A$4:$A$40,'Window-U'!$S$4:$S$40)*G$22))*G$97</f>
        <v>1505.8131368272225</v>
      </c>
      <c r="H100" s="177">
        <f>((LOOKUP(H$2,'Ceiling-U'!$A$4:$A$40,'Ceiling-U'!$Z$4:$Z$40)*H$15)+(LOOKUP(H$2,'Floor-U'!$A$4:$A$40,'Floor-U'!$G$4:$G$40)*H$16)+(LOOKUP(H$2,'Wall-U'!$A$4:$A$40,'Wall-U'!$G$4:$G$40)*H$13)+(LOOKUP(H$2,'Window-U'!$A$4:$A$40,'Window-U'!$S$4:$S$40)*H$22))*H$97</f>
        <v>2429.1909006652859</v>
      </c>
      <c r="I100" s="177">
        <f>((LOOKUP(I$2,'Ceiling-U'!$A$4:$A$40,'Ceiling-U'!$Z$4:$Z$40)*I$15)+(LOOKUP(I$2,'Floor-U'!$A$4:$A$40,'Floor-U'!$G$4:$G$40)*I$16)+(LOOKUP(I$2,'Wall-U'!$A$4:$A$40,'Wall-U'!$G$4:$G$40)*I$13)+(LOOKUP(I$2,'Window-U'!$A$4:$A$40,'Window-U'!$S$4:$S$40)*I$22))*I$97</f>
        <v>1143.4531313744412</v>
      </c>
      <c r="J100" s="177">
        <f>((LOOKUP(J$2,'Ceiling-U'!$A$4:$A$40,'Ceiling-U'!$Z$4:$Z$40)*J$15)+(LOOKUP(J$2,'Floor-U'!$A$4:$A$40,'Floor-U'!$G$4:$G$40)*J$16)+(LOOKUP(J$2,'Wall-U'!$A$4:$A$40,'Wall-U'!$G$4:$G$40)*J$13)+(LOOKUP(J$2,'Window-U'!$A$4:$A$40,'Window-U'!$S$4:$S$40)*J$22))*J$97</f>
        <v>1093.551158175339</v>
      </c>
      <c r="K100" s="177">
        <f>((LOOKUP(K$2,'Ceiling-U'!$A$4:$A$40,'Ceiling-U'!$Z$4:$Z$40)*K$15)+(LOOKUP(K$2,'Floor-U'!$A$4:$A$40,'Floor-U'!$G$4:$G$40)*K$16)+(LOOKUP(K$2,'Wall-U'!$A$4:$A$40,'Wall-U'!$G$4:$G$40)*K$13)+(LOOKUP(K$2,'Window-U'!$A$4:$A$40,'Window-U'!$S$4:$S$40)*K$22))*K$97</f>
        <v>996.94053946567033</v>
      </c>
      <c r="L100" s="177">
        <f>((LOOKUP(L$2,'Ceiling-U'!$A$4:$A$40,'Ceiling-U'!$Z$4:$Z$40)*L$15)+(LOOKUP(L$2,'Floor-U'!$A$4:$A$40,'Floor-U'!$G$4:$G$40)*L$16)+(LOOKUP(L$2,'Wall-U'!$A$4:$A$40,'Wall-U'!$G$4:$G$40)*L$13)+(LOOKUP(L$2,'Window-U'!$A$4:$A$40,'Window-U'!$S$4:$S$40)*L$22))*L$97</f>
        <v>464.28208007992305</v>
      </c>
      <c r="M100" s="177">
        <f>((LOOKUP(M$2,'Ceiling-U'!$A$4:$A$40,'Ceiling-U'!$Z$4:$Z$40)*M$15)+(LOOKUP(M$2,'Floor-U'!$A$4:$A$40,'Floor-U'!$G$4:$G$40)*M$16)+(LOOKUP(M$2,'Wall-U'!$A$4:$A$40,'Wall-U'!$G$4:$G$40)*M$13)+(LOOKUP(M$2,'Window-U'!$A$4:$A$40,'Window-U'!$S$4:$S$40)*M$22))*M$97</f>
        <v>2195.205944870906</v>
      </c>
      <c r="N100" s="177">
        <f>((LOOKUP(N$2,'Ceiling-U'!$A$4:$A$40,'Ceiling-U'!$Z$4:$Z$40)*N$15)+(LOOKUP(N$2,'Floor-U'!$A$4:$A$40,'Floor-U'!$G$4:$G$40)*N$16)+(LOOKUP(N$2,'Wall-U'!$A$4:$A$40,'Wall-U'!$G$4:$G$40)*N$13)+(LOOKUP(N$2,'Window-U'!$A$4:$A$40,'Window-U'!$S$4:$S$40)*N$22))*N$97</f>
        <v>1047.5099562777971</v>
      </c>
      <c r="O100" s="177">
        <f>((LOOKUP(O$2,'Ceiling-U'!$A$4:$A$40,'Ceiling-U'!$Z$4:$Z$40)*O$15)+(LOOKUP(O$2,'Floor-U'!$A$4:$A$40,'Floor-U'!$G$4:$G$40)*O$16)+(LOOKUP(O$2,'Wall-U'!$A$4:$A$40,'Wall-U'!$G$4:$G$40)*O$13)+(LOOKUP(O$2,'Window-U'!$A$4:$A$40,'Window-U'!$S$4:$S$40)*O$22))*O$97</f>
        <v>1404.3118453173433</v>
      </c>
      <c r="P100" s="177">
        <f>((LOOKUP(P$2,'Ceiling-U'!$A$4:$A$40,'Ceiling-U'!$Z$4:$Z$40)*P$15)+(LOOKUP(P$2,'Floor-U'!$A$4:$A$40,'Floor-U'!$G$4:$G$40)*P$16)+(LOOKUP(P$2,'Wall-U'!$A$4:$A$40,'Wall-U'!$G$4:$G$40)*P$13)+(LOOKUP(P$2,'Window-U'!$A$4:$A$40,'Window-U'!$S$4:$S$40)*P$22))*P$97</f>
        <v>2124.042911531461</v>
      </c>
      <c r="Q100" s="177">
        <f>((LOOKUP(Q$2,'Ceiling-U'!$A$4:$A$40,'Ceiling-U'!$Z$4:$Z$40)*Q$15)+(LOOKUP(Q$2,'Floor-U'!$A$4:$A$40,'Floor-U'!$G$4:$G$40)*Q$16)+(LOOKUP(Q$2,'Wall-U'!$A$4:$A$40,'Wall-U'!$G$4:$G$40)*Q$13)+(LOOKUP(Q$2,'Window-U'!$A$4:$A$40,'Window-U'!$S$4:$S$40)*Q$22))*Q$97</f>
        <v>1677.7440784372793</v>
      </c>
      <c r="R100" s="177">
        <f>((LOOKUP(R$2,'Ceiling-U'!$A$4:$A$40,'Ceiling-U'!$Z$4:$Z$40)*R$15)+(LOOKUP(R$2,'Floor-U'!$A$4:$A$40,'Floor-U'!$G$4:$G$40)*R$16)+(LOOKUP(R$2,'Wall-U'!$A$4:$A$40,'Wall-U'!$G$4:$G$40)*R$13)+(LOOKUP(R$2,'Window-U'!$A$4:$A$40,'Window-U'!$S$4:$S$40)*R$22))*R$97</f>
        <v>1424.4190820377053</v>
      </c>
      <c r="S100" s="177">
        <f>((LOOKUP(S$2,'Ceiling-U'!$A$4:$A$40,'Ceiling-U'!$Z$4:$Z$40)*S$15)+(LOOKUP(S$2,'Floor-U'!$A$4:$A$40,'Floor-U'!$G$4:$G$40)*S$16)+(LOOKUP(S$2,'Wall-U'!$A$4:$A$40,'Wall-U'!$G$4:$G$40)*S$13)+(LOOKUP(S$2,'Window-U'!$A$4:$A$40,'Window-U'!$S$4:$S$40)*S$22))*S$97</f>
        <v>4805.0053641501408</v>
      </c>
      <c r="T100" s="177">
        <f>((LOOKUP(T$2,'Ceiling-U'!$A$4:$A$40,'Ceiling-U'!$Z$4:$Z$40)*T$15)+(LOOKUP(T$2,'Floor-U'!$A$4:$A$40,'Floor-U'!$G$4:$G$40)*T$16)+(LOOKUP(T$2,'Wall-U'!$A$4:$A$40,'Wall-U'!$G$4:$G$40)*T$13)+(LOOKUP(T$2,'Window-U'!$A$4:$A$40,'Window-U'!$S$4:$S$40)*T$22))*T$97</f>
        <v>580.8132860895148</v>
      </c>
      <c r="U100" s="177">
        <f>((LOOKUP(U$2,'Ceiling-U'!$A$4:$A$40,'Ceiling-U'!$Z$4:$Z$40)*U$15)+(LOOKUP(U$2,'Floor-U'!$A$4:$A$40,'Floor-U'!$G$4:$G$40)*U$16)+(LOOKUP(U$2,'Wall-U'!$A$4:$A$40,'Wall-U'!$G$4:$G$40)*U$13)+(LOOKUP(U$2,'Window-U'!$A$4:$A$40,'Window-U'!$S$4:$S$40)*U$22))*U$97</f>
        <v>2676.5244417960475</v>
      </c>
      <c r="V100" s="177">
        <f>((LOOKUP(V$2,'Ceiling-U'!$A$4:$A$40,'Ceiling-U'!$Z$4:$Z$40)*V$15)+(LOOKUP(V$2,'Floor-U'!$A$4:$A$40,'Floor-U'!$G$4:$G$40)*V$16)+(LOOKUP(V$2,'Wall-U'!$A$4:$A$40,'Wall-U'!$G$4:$G$40)*V$13)+(LOOKUP(V$2,'Window-U'!$A$4:$A$40,'Window-U'!$S$4:$S$40)*V$22))*V$97</f>
        <v>723.122916359432</v>
      </c>
      <c r="W100" s="177">
        <f>((LOOKUP(W$2,'Ceiling-U'!$A$4:$A$40,'Ceiling-U'!$Z$4:$Z$40)*W$15)+(LOOKUP(W$2,'Floor-U'!$A$4:$A$40,'Floor-U'!$G$4:$G$40)*W$16)+(LOOKUP(W$2,'Wall-U'!$A$4:$A$40,'Wall-U'!$G$4:$G$40)*W$13)+(LOOKUP(W$2,'Window-U'!$A$4:$A$40,'Window-U'!$S$4:$S$40)*W$22))*W$97</f>
        <v>1079.929352234499</v>
      </c>
      <c r="X100" s="177">
        <f>((LOOKUP(X$2,'Ceiling-U'!$A$4:$A$40,'Ceiling-U'!$Z$4:$Z$40)*X$15)+(LOOKUP(X$2,'Floor-U'!$A$4:$A$40,'Floor-U'!$G$4:$G$40)*X$16)+(LOOKUP(X$2,'Wall-U'!$A$4:$A$40,'Wall-U'!$G$4:$G$40)*X$13)+(LOOKUP(X$2,'Window-U'!$A$4:$A$40,'Window-U'!$S$4:$S$40)*X$22))*X$97</f>
        <v>1115.9403298169163</v>
      </c>
      <c r="Y100" s="177">
        <f>((LOOKUP(Y$2,'Ceiling-U'!$A$4:$A$40,'Ceiling-U'!$Z$4:$Z$40)*Y$15)+(LOOKUP(Y$2,'Floor-U'!$A$4:$A$40,'Floor-U'!$G$4:$G$40)*Y$16)+(LOOKUP(Y$2,'Wall-U'!$A$4:$A$40,'Wall-U'!$G$4:$G$40)*Y$13)+(LOOKUP(Y$2,'Window-U'!$A$4:$A$40,'Window-U'!$S$4:$S$40)*Y$22))*Y$97</f>
        <v>3128.914990530141</v>
      </c>
      <c r="Z100" s="177">
        <f>((LOOKUP(Z$2,'Ceiling-U'!$A$4:$A$40,'Ceiling-U'!$Z$4:$Z$40)*Z$15)+(LOOKUP(Z$2,'Floor-U'!$A$4:$A$40,'Floor-U'!$G$4:$G$40)*Z$16)+(LOOKUP(Z$2,'Wall-U'!$A$4:$A$40,'Wall-U'!$G$4:$G$40)*Z$13)+(LOOKUP(Z$2,'Window-U'!$A$4:$A$40,'Window-U'!$S$4:$S$40)*Z$22))*Z$97</f>
        <v>2171.1927070720353</v>
      </c>
      <c r="AA100" s="177">
        <f>((LOOKUP(AA$2,'Ceiling-U'!$A$4:$A$40,'Ceiling-U'!$Z$4:$Z$40)*AA$15)+(LOOKUP(AA$2,'Floor-U'!$A$4:$A$40,'Floor-U'!$G$4:$G$40)*AA$16)+(LOOKUP(AA$2,'Wall-U'!$A$4:$A$40,'Wall-U'!$G$4:$G$40)*AA$13)+(LOOKUP(AA$2,'Window-U'!$A$4:$A$40,'Window-U'!$S$4:$S$40)*AA$22))*AA$97</f>
        <v>427.35987398774182</v>
      </c>
      <c r="AB100" s="177">
        <f>((LOOKUP(AB$2,'Ceiling-U'!$A$4:$A$40,'Ceiling-U'!$Z$4:$Z$40)*AB$15)+(LOOKUP(AB$2,'Floor-U'!$A$4:$A$40,'Floor-U'!$G$4:$G$40)*AB$16)+(LOOKUP(AB$2,'Wall-U'!$A$4:$A$40,'Wall-U'!$G$4:$G$40)*AB$13)+(LOOKUP(AB$2,'Window-U'!$A$4:$A$40,'Window-U'!$S$4:$S$40)*AB$22))*AB$97</f>
        <v>1222.8059094307469</v>
      </c>
      <c r="AC100" s="177">
        <f>((LOOKUP(AC$2,'Ceiling-U'!$A$4:$A$40,'Ceiling-U'!$Z$4:$Z$40)*AC$15)+(LOOKUP(AC$2,'Floor-U'!$A$4:$A$40,'Floor-U'!$G$4:$G$40)*AC$16)+(LOOKUP(AC$2,'Wall-U'!$A$4:$A$40,'Wall-U'!$G$4:$G$40)*AC$13)+(LOOKUP(AC$2,'Window-U'!$A$4:$A$40,'Window-U'!$S$4:$S$40)*AC$22))*AC$97</f>
        <v>2795.4319994443299</v>
      </c>
      <c r="AD100" s="177">
        <f>((LOOKUP(AD$2,'Ceiling-U'!$A$4:$A$40,'Ceiling-U'!$Z$4:$Z$40)*AD$15)+(LOOKUP(AD$2,'Floor-U'!$A$4:$A$40,'Floor-U'!$G$4:$G$40)*AD$16)+(LOOKUP(AD$2,'Wall-U'!$A$4:$A$40,'Wall-U'!$G$4:$G$40)*AD$13)+(LOOKUP(AD$2,'Window-U'!$A$4:$A$40,'Window-U'!$S$4:$S$40)*AD$22))*AD$97</f>
        <v>4283.4314414710225</v>
      </c>
      <c r="AE100" s="177">
        <f>((LOOKUP(AE$2,'Ceiling-U'!$A$4:$A$40,'Ceiling-U'!$Z$4:$Z$40)*AE$15)+(LOOKUP(AE$2,'Floor-U'!$A$4:$A$40,'Floor-U'!$G$4:$G$40)*AE$16)+(LOOKUP(AE$2,'Wall-U'!$A$4:$A$40,'Wall-U'!$G$4:$G$40)*AE$13)+(LOOKUP(AE$2,'Window-U'!$A$4:$A$40,'Window-U'!$S$4:$S$40)*AE$22))*AE$97</f>
        <v>427.35987398774182</v>
      </c>
      <c r="AF100" s="177">
        <f>((LOOKUP(AF$2,'Ceiling-U'!$A$4:$A$40,'Ceiling-U'!$Z$4:$Z$40)*AF$15)+(LOOKUP(AF$2,'Floor-U'!$A$4:$A$40,'Floor-U'!$G$4:$G$40)*AF$16)+(LOOKUP(AF$2,'Wall-U'!$A$4:$A$40,'Wall-U'!$G$4:$G$40)*AF$13)+(LOOKUP(AF$2,'Window-U'!$A$4:$A$40,'Window-U'!$S$4:$S$40)*AF$22))*AF$97</f>
        <v>1588.9464489840248</v>
      </c>
      <c r="AG100" s="177">
        <f>((LOOKUP(AG$2,'Ceiling-U'!$A$4:$A$40,'Ceiling-U'!$Z$4:$Z$40)*AG$15)+(LOOKUP(AG$2,'Floor-U'!$A$4:$A$40,'Floor-U'!$G$4:$G$40)*AG$16)+(LOOKUP(AG$2,'Wall-U'!$A$4:$A$40,'Wall-U'!$G$4:$G$40)*AG$13)+(LOOKUP(AG$2,'Window-U'!$A$4:$A$40,'Window-U'!$S$4:$S$40)*AG$22))*AG$97</f>
        <v>1700.3563943017198</v>
      </c>
      <c r="AH100" s="177">
        <f>((LOOKUP(AH$2,'Ceiling-U'!$A$4:$A$40,'Ceiling-U'!$Z$4:$Z$40)*AH$15)+(LOOKUP(AH$2,'Floor-U'!$A$4:$A$40,'Floor-U'!$G$4:$G$40)*AH$16)+(LOOKUP(AH$2,'Wall-U'!$A$4:$A$40,'Wall-U'!$G$4:$G$40)*AH$13)+(LOOKUP(AH$2,'Window-U'!$A$4:$A$40,'Window-U'!$S$4:$S$40)*AH$22))*AH$97</f>
        <v>4177.168734824284</v>
      </c>
      <c r="AI100" s="177">
        <f>((LOOKUP(AI$2,'Ceiling-U'!$A$4:$A$40,'Ceiling-U'!$Z$4:$Z$40)*AI$15)+(LOOKUP(AI$2,'Floor-U'!$A$4:$A$40,'Floor-U'!$G$4:$G$40)*AI$16)+(LOOKUP(AI$2,'Wall-U'!$A$4:$A$40,'Wall-U'!$G$4:$G$40)*AI$13)+(LOOKUP(AI$2,'Window-U'!$A$4:$A$40,'Window-U'!$S$4:$S$40)*AI$22))*AI$97</f>
        <v>3362.6291428113923</v>
      </c>
      <c r="AJ100" s="177">
        <f>((LOOKUP(AJ$2,'Ceiling-U'!$A$4:$A$40,'Ceiling-U'!$Z$4:$Z$40)*AJ$15)+(LOOKUP(AJ$2,'Floor-U'!$A$4:$A$40,'Floor-U'!$G$4:$G$40)*AJ$16)+(LOOKUP(AJ$2,'Wall-U'!$A$4:$A$40,'Wall-U'!$G$4:$G$40)*AJ$13)+(LOOKUP(AJ$2,'Window-U'!$A$4:$A$40,'Window-U'!$S$4:$S$40)*AJ$22))*AJ$97</f>
        <v>1859.0713854245287</v>
      </c>
      <c r="AK100" s="177">
        <f>((LOOKUP(AK$2,'Ceiling-U'!$A$4:$A$40,'Ceiling-U'!$Z$4:$Z$40)*AK$15)+(LOOKUP(AK$2,'Floor-U'!$A$4:$A$40,'Floor-U'!$G$4:$G$40)*AK$16)+(LOOKUP(AK$2,'Wall-U'!$A$4:$A$40,'Wall-U'!$G$4:$G$40)*AK$13)+(LOOKUP(AK$2,'Window-U'!$A$4:$A$40,'Window-U'!$S$4:$S$40)*AK$22))*AK$97</f>
        <v>2016.4425593355288</v>
      </c>
      <c r="AL100" s="177">
        <f>((LOOKUP(AL$2,'Ceiling-U'!$A$4:$A$40,'Ceiling-U'!$Z$4:$Z$40)*AL$15)+(LOOKUP(AL$2,'Floor-U'!$A$4:$A$40,'Floor-U'!$G$4:$G$40)*AL$16)+(LOOKUP(AL$2,'Wall-U'!$A$4:$A$40,'Wall-U'!$G$4:$G$40)*AL$13)+(LOOKUP(AL$2,'Window-U'!$A$4:$A$40,'Window-U'!$S$4:$S$40)*AL$22))*AL$97</f>
        <v>1905.4862291682466</v>
      </c>
      <c r="AM100" s="177">
        <f>((LOOKUP(AM$2,'Ceiling-U'!$A$4:$A$40,'Ceiling-U'!$Z$4:$Z$40)*AM$15)+(LOOKUP(AM$2,'Floor-U'!$A$4:$A$40,'Floor-U'!$G$4:$G$40)*AM$16)+(LOOKUP(AM$2,'Wall-U'!$A$4:$A$40,'Wall-U'!$G$4:$G$40)*AM$13)+(LOOKUP(AM$2,'Window-U'!$A$4:$A$40,'Window-U'!$S$4:$S$40)*AM$22))*AM$97</f>
        <v>1859.0713854245287</v>
      </c>
      <c r="AN100" s="178">
        <f>((LOOKUP(AN$2,'Ceiling-U'!$A$4:$A$40,'Ceiling-U'!$Z$4:$Z$40)*AN$15)+(LOOKUP(AN$2,'Floor-U'!$A$4:$A$40,'Floor-U'!$G$4:$G$40)*AN$16)+(LOOKUP(AN$2,'Wall-U'!$A$4:$A$40,'Wall-U'!$G$4:$G$40)*AN$13)+(LOOKUP(AN$2,'Window-U'!$A$4:$A$40,'Window-U'!$S$4:$S$40)*AN$22))*AN$97</f>
        <v>1859.0713854245287</v>
      </c>
    </row>
    <row r="101" spans="1:40">
      <c r="A101" s="372"/>
      <c r="B101" s="142" t="s">
        <v>5</v>
      </c>
      <c r="C101" s="131" t="s">
        <v>195</v>
      </c>
      <c r="D101" s="176">
        <f>((LOOKUP(D$2,'Ceiling-U'!$A$4:$A$40,'Ceiling-U'!$AA$4:$AA$40)*D$15)+(LOOKUP(D$2,'Floor-U'!$A$4:$A$40,'Floor-U'!$H$4:$H$40)*D$16)+(LOOKUP(D$2,'Wall-U'!$A$4:$A$40,'Wall-U'!$H$4:$H$40)*D$13)+(LOOKUP(D$2,'Window-U'!$A$4:$A$40,'Window-U'!$S$4:$S$40)*D$22))*D$97</f>
        <v>993.79127998899446</v>
      </c>
      <c r="E101" s="177">
        <f>((LOOKUP(E$2,'Ceiling-U'!$A$4:$A$40,'Ceiling-U'!$AA$4:$AA$40)*E$15)+(LOOKUP(E$2,'Floor-U'!$A$4:$A$40,'Floor-U'!$H$4:$H$40)*E$16)+(LOOKUP(E$2,'Wall-U'!$A$4:$A$40,'Wall-U'!$H$4:$H$40)*E$13)+(LOOKUP(E$2,'Window-U'!$A$4:$A$40,'Window-U'!$S$4:$S$40)*E$22))*E$97</f>
        <v>2118.917743250177</v>
      </c>
      <c r="F101" s="177">
        <f>((LOOKUP(F$2,'Ceiling-U'!$A$4:$A$40,'Ceiling-U'!$AA$4:$AA$40)*F$15)+(LOOKUP(F$2,'Floor-U'!$A$4:$A$40,'Floor-U'!$H$4:$H$40)*F$16)+(LOOKUP(F$2,'Wall-U'!$A$4:$A$40,'Wall-U'!$H$4:$H$40)*F$13)+(LOOKUP(F$2,'Window-U'!$A$4:$A$40,'Window-U'!$S$4:$S$40)*F$22))*F$97</f>
        <v>2308.2581841428582</v>
      </c>
      <c r="G101" s="177">
        <f>((LOOKUP(G$2,'Ceiling-U'!$A$4:$A$40,'Ceiling-U'!$AA$4:$AA$40)*G$15)+(LOOKUP(G$2,'Floor-U'!$A$4:$A$40,'Floor-U'!$H$4:$H$40)*G$16)+(LOOKUP(G$2,'Wall-U'!$A$4:$A$40,'Wall-U'!$H$4:$H$40)*G$13)+(LOOKUP(G$2,'Window-U'!$A$4:$A$40,'Window-U'!$S$4:$S$40)*G$22))*G$97</f>
        <v>993.79127998899446</v>
      </c>
      <c r="H101" s="177">
        <f>((LOOKUP(H$2,'Ceiling-U'!$A$4:$A$40,'Ceiling-U'!$AA$4:$AA$40)*H$15)+(LOOKUP(H$2,'Floor-U'!$A$4:$A$40,'Floor-U'!$H$4:$H$40)*H$16)+(LOOKUP(H$2,'Wall-U'!$A$4:$A$40,'Wall-U'!$H$4:$H$40)*H$13)+(LOOKUP(H$2,'Window-U'!$A$4:$A$40,'Window-U'!$S$4:$S$40)*H$22))*H$97</f>
        <v>2341.590900665286</v>
      </c>
      <c r="I101" s="177">
        <f>((LOOKUP(I$2,'Ceiling-U'!$A$4:$A$40,'Ceiling-U'!$AA$4:$AA$40)*I$15)+(LOOKUP(I$2,'Floor-U'!$A$4:$A$40,'Floor-U'!$H$4:$H$40)*I$16)+(LOOKUP(I$2,'Wall-U'!$A$4:$A$40,'Wall-U'!$H$4:$H$40)*I$13)+(LOOKUP(I$2,'Window-U'!$A$4:$A$40,'Window-U'!$S$4:$S$40)*I$22))*I$97</f>
        <v>1000.7633855856627</v>
      </c>
      <c r="J101" s="177">
        <f>((LOOKUP(J$2,'Ceiling-U'!$A$4:$A$40,'Ceiling-U'!$AA$4:$AA$40)*J$15)+(LOOKUP(J$2,'Floor-U'!$A$4:$A$40,'Floor-U'!$H$4:$H$40)*J$16)+(LOOKUP(J$2,'Wall-U'!$A$4:$A$40,'Wall-U'!$H$4:$H$40)*J$13)+(LOOKUP(J$2,'Window-U'!$A$4:$A$40,'Window-U'!$S$4:$S$40)*J$22))*J$97</f>
        <v>921.90691770597346</v>
      </c>
      <c r="K101" s="177">
        <f>((LOOKUP(K$2,'Ceiling-U'!$A$4:$A$40,'Ceiling-U'!$AA$4:$AA$40)*K$15)+(LOOKUP(K$2,'Floor-U'!$A$4:$A$40,'Floor-U'!$H$4:$H$40)*K$16)+(LOOKUP(K$2,'Wall-U'!$A$4:$A$40,'Wall-U'!$H$4:$H$40)*K$13)+(LOOKUP(K$2,'Window-U'!$A$4:$A$40,'Window-U'!$S$4:$S$40)*K$22))*K$97</f>
        <v>771.64930257109665</v>
      </c>
      <c r="L101" s="177">
        <f>((LOOKUP(L$2,'Ceiling-U'!$A$4:$A$40,'Ceiling-U'!$AA$4:$AA$40)*L$15)+(LOOKUP(L$2,'Floor-U'!$A$4:$A$40,'Floor-U'!$H$4:$H$40)*L$16)+(LOOKUP(L$2,'Wall-U'!$A$4:$A$40,'Wall-U'!$H$4:$H$40)*L$13)+(LOOKUP(L$2,'Window-U'!$A$4:$A$40,'Window-U'!$S$4:$S$40)*L$22))*L$97</f>
        <v>379.72895839384773</v>
      </c>
      <c r="M101" s="177">
        <f>((LOOKUP(M$2,'Ceiling-U'!$A$4:$A$40,'Ceiling-U'!$AA$4:$AA$40)*M$15)+(LOOKUP(M$2,'Floor-U'!$A$4:$A$40,'Floor-U'!$H$4:$H$40)*M$16)+(LOOKUP(M$2,'Wall-U'!$A$4:$A$40,'Wall-U'!$H$4:$H$40)*M$13)+(LOOKUP(M$2,'Window-U'!$A$4:$A$40,'Window-U'!$S$4:$S$40)*M$22))*M$97</f>
        <v>1488.3144162640453</v>
      </c>
      <c r="N101" s="177">
        <f>((LOOKUP(N$2,'Ceiling-U'!$A$4:$A$40,'Ceiling-U'!$AA$4:$AA$40)*N$15)+(LOOKUP(N$2,'Floor-U'!$A$4:$A$40,'Floor-U'!$H$4:$H$40)*N$16)+(LOOKUP(N$2,'Wall-U'!$A$4:$A$40,'Wall-U'!$H$4:$H$40)*N$13)+(LOOKUP(N$2,'Window-U'!$A$4:$A$40,'Window-U'!$S$4:$S$40)*N$22))*N$97</f>
        <v>845.90943606157759</v>
      </c>
      <c r="O101" s="177">
        <f>((LOOKUP(O$2,'Ceiling-U'!$A$4:$A$40,'Ceiling-U'!$AA$4:$AA$40)*O$15)+(LOOKUP(O$2,'Floor-U'!$A$4:$A$40,'Floor-U'!$H$4:$H$40)*O$16)+(LOOKUP(O$2,'Wall-U'!$A$4:$A$40,'Wall-U'!$H$4:$H$40)*O$13)+(LOOKUP(O$2,'Window-U'!$A$4:$A$40,'Window-U'!$S$4:$S$40)*O$22))*O$97</f>
        <v>1192.8306507014095</v>
      </c>
      <c r="P101" s="177">
        <f>((LOOKUP(P$2,'Ceiling-U'!$A$4:$A$40,'Ceiling-U'!$AA$4:$AA$40)*P$15)+(LOOKUP(P$2,'Floor-U'!$A$4:$A$40,'Floor-U'!$H$4:$H$40)*P$16)+(LOOKUP(P$2,'Wall-U'!$A$4:$A$40,'Wall-U'!$H$4:$H$40)*P$13)+(LOOKUP(P$2,'Window-U'!$A$4:$A$40,'Window-U'!$S$4:$S$40)*P$22))*P$97</f>
        <v>2065.6429115314609</v>
      </c>
      <c r="Q101" s="177">
        <f>((LOOKUP(Q$2,'Ceiling-U'!$A$4:$A$40,'Ceiling-U'!$AA$4:$AA$40)*Q$15)+(LOOKUP(Q$2,'Floor-U'!$A$4:$A$40,'Floor-U'!$H$4:$H$40)*Q$16)+(LOOKUP(Q$2,'Wall-U'!$A$4:$A$40,'Wall-U'!$H$4:$H$40)*Q$13)+(LOOKUP(Q$2,'Window-U'!$A$4:$A$40,'Window-U'!$S$4:$S$40)*Q$22))*Q$97</f>
        <v>1677.7440784372793</v>
      </c>
      <c r="R101" s="177">
        <f>((LOOKUP(R$2,'Ceiling-U'!$A$4:$A$40,'Ceiling-U'!$AA$4:$AA$40)*R$15)+(LOOKUP(R$2,'Floor-U'!$A$4:$A$40,'Floor-U'!$H$4:$H$40)*R$16)+(LOOKUP(R$2,'Wall-U'!$A$4:$A$40,'Wall-U'!$H$4:$H$40)*R$13)+(LOOKUP(R$2,'Window-U'!$A$4:$A$40,'Window-U'!$S$4:$S$40)*R$22))*R$97</f>
        <v>946.58420879331311</v>
      </c>
      <c r="S101" s="177">
        <f>((LOOKUP(S$2,'Ceiling-U'!$A$4:$A$40,'Ceiling-U'!$AA$4:$AA$40)*S$15)+(LOOKUP(S$2,'Floor-U'!$A$4:$A$40,'Floor-U'!$H$4:$H$40)*S$16)+(LOOKUP(S$2,'Wall-U'!$A$4:$A$40,'Wall-U'!$H$4:$H$40)*S$13)+(LOOKUP(S$2,'Window-U'!$A$4:$A$40,'Window-U'!$S$4:$S$40)*S$22))*S$97</f>
        <v>3248.8688934772786</v>
      </c>
      <c r="T101" s="177">
        <f>((LOOKUP(T$2,'Ceiling-U'!$A$4:$A$40,'Ceiling-U'!$AA$4:$AA$40)*T$15)+(LOOKUP(T$2,'Floor-U'!$A$4:$A$40,'Floor-U'!$H$4:$H$40)*T$16)+(LOOKUP(T$2,'Wall-U'!$A$4:$A$40,'Wall-U'!$H$4:$H$40)*T$13)+(LOOKUP(T$2,'Window-U'!$A$4:$A$40,'Window-U'!$S$4:$S$40)*T$22))*T$97</f>
        <v>452.22958064646525</v>
      </c>
      <c r="U101" s="177">
        <f>((LOOKUP(U$2,'Ceiling-U'!$A$4:$A$40,'Ceiling-U'!$AA$4:$AA$40)*U$15)+(LOOKUP(U$2,'Floor-U'!$A$4:$A$40,'Floor-U'!$H$4:$H$40)*U$16)+(LOOKUP(U$2,'Wall-U'!$A$4:$A$40,'Wall-U'!$H$4:$H$40)*U$13)+(LOOKUP(U$2,'Window-U'!$A$4:$A$40,'Window-U'!$S$4:$S$40)*U$22))*U$97</f>
        <v>1892.8434406386589</v>
      </c>
      <c r="V101" s="177">
        <f>((LOOKUP(V$2,'Ceiling-U'!$A$4:$A$40,'Ceiling-U'!$AA$4:$AA$40)*V$15)+(LOOKUP(V$2,'Floor-U'!$A$4:$A$40,'Floor-U'!$H$4:$H$40)*V$16)+(LOOKUP(V$2,'Wall-U'!$A$4:$A$40,'Wall-U'!$H$4:$H$40)*V$13)+(LOOKUP(V$2,'Window-U'!$A$4:$A$40,'Window-U'!$S$4:$S$40)*V$22))*V$97</f>
        <v>723.122916359432</v>
      </c>
      <c r="W101" s="177">
        <f>((LOOKUP(W$2,'Ceiling-U'!$A$4:$A$40,'Ceiling-U'!$AA$4:$AA$40)*W$15)+(LOOKUP(W$2,'Floor-U'!$A$4:$A$40,'Floor-U'!$H$4:$H$40)*W$16)+(LOOKUP(W$2,'Wall-U'!$A$4:$A$40,'Wall-U'!$H$4:$H$40)*W$13)+(LOOKUP(W$2,'Window-U'!$A$4:$A$40,'Window-U'!$S$4:$S$40)*W$22))*W$97</f>
        <v>1002.8546356325849</v>
      </c>
      <c r="X101" s="177">
        <f>((LOOKUP(X$2,'Ceiling-U'!$A$4:$A$40,'Ceiling-U'!$AA$4:$AA$40)*X$15)+(LOOKUP(X$2,'Floor-U'!$A$4:$A$40,'Floor-U'!$H$4:$H$40)*X$16)+(LOOKUP(X$2,'Wall-U'!$A$4:$A$40,'Wall-U'!$H$4:$H$40)*X$13)+(LOOKUP(X$2,'Window-U'!$A$4:$A$40,'Window-U'!$S$4:$S$40)*X$22))*X$97</f>
        <v>639.46623967708172</v>
      </c>
      <c r="Y101" s="177">
        <f>((LOOKUP(Y$2,'Ceiling-U'!$A$4:$A$40,'Ceiling-U'!$AA$4:$AA$40)*Y$15)+(LOOKUP(Y$2,'Floor-U'!$A$4:$A$40,'Floor-U'!$H$4:$H$40)*Y$16)+(LOOKUP(Y$2,'Wall-U'!$A$4:$A$40,'Wall-U'!$H$4:$H$40)*Y$13)+(LOOKUP(Y$2,'Window-U'!$A$4:$A$40,'Window-U'!$S$4:$S$40)*Y$22))*Y$97</f>
        <v>2873.820634530141</v>
      </c>
      <c r="Z101" s="177">
        <f>((LOOKUP(Z$2,'Ceiling-U'!$A$4:$A$40,'Ceiling-U'!$AA$4:$AA$40)*Z$15)+(LOOKUP(Z$2,'Floor-U'!$A$4:$A$40,'Floor-U'!$H$4:$H$40)*Z$16)+(LOOKUP(Z$2,'Wall-U'!$A$4:$A$40,'Wall-U'!$H$4:$H$40)*Z$13)+(LOOKUP(Z$2,'Window-U'!$A$4:$A$40,'Window-U'!$S$4:$S$40)*Z$22))*Z$97</f>
        <v>1042.0300048500219</v>
      </c>
      <c r="AA101" s="177">
        <f>((LOOKUP(AA$2,'Ceiling-U'!$A$4:$A$40,'Ceiling-U'!$AA$4:$AA$40)*AA$15)+(LOOKUP(AA$2,'Floor-U'!$A$4:$A$40,'Floor-U'!$H$4:$H$40)*AA$16)+(LOOKUP(AA$2,'Wall-U'!$A$4:$A$40,'Wall-U'!$H$4:$H$40)*AA$13)+(LOOKUP(AA$2,'Window-U'!$A$4:$A$40,'Window-U'!$S$4:$S$40)*AA$22))*AA$97</f>
        <v>427.35987398774182</v>
      </c>
      <c r="AB101" s="177">
        <f>((LOOKUP(AB$2,'Ceiling-U'!$A$4:$A$40,'Ceiling-U'!$AA$4:$AA$40)*AB$15)+(LOOKUP(AB$2,'Floor-U'!$A$4:$A$40,'Floor-U'!$H$4:$H$40)*AB$16)+(LOOKUP(AB$2,'Wall-U'!$A$4:$A$40,'Wall-U'!$H$4:$H$40)*AB$13)+(LOOKUP(AB$2,'Window-U'!$A$4:$A$40,'Window-U'!$S$4:$S$40)*AB$22))*AB$97</f>
        <v>1222.8059094307469</v>
      </c>
      <c r="AC101" s="177">
        <f>((LOOKUP(AC$2,'Ceiling-U'!$A$4:$A$40,'Ceiling-U'!$AA$4:$AA$40)*AC$15)+(LOOKUP(AC$2,'Floor-U'!$A$4:$A$40,'Floor-U'!$H$4:$H$40)*AC$16)+(LOOKUP(AC$2,'Wall-U'!$A$4:$A$40,'Wall-U'!$H$4:$H$40)*AC$13)+(LOOKUP(AC$2,'Window-U'!$A$4:$A$40,'Window-U'!$S$4:$S$40)*AC$22))*AC$97</f>
        <v>2660.3564829481456</v>
      </c>
      <c r="AD101" s="177">
        <f>((LOOKUP(AD$2,'Ceiling-U'!$A$4:$A$40,'Ceiling-U'!$AA$4:$AA$40)*AD$15)+(LOOKUP(AD$2,'Floor-U'!$A$4:$A$40,'Floor-U'!$H$4:$H$40)*AD$16)+(LOOKUP(AD$2,'Wall-U'!$A$4:$A$40,'Wall-U'!$H$4:$H$40)*AD$13)+(LOOKUP(AD$2,'Window-U'!$A$4:$A$40,'Window-U'!$S$4:$S$40)*AD$22))*AD$97</f>
        <v>3466.3011161685226</v>
      </c>
      <c r="AE101" s="177">
        <f>((LOOKUP(AE$2,'Ceiling-U'!$A$4:$A$40,'Ceiling-U'!$AA$4:$AA$40)*AE$15)+(LOOKUP(AE$2,'Floor-U'!$A$4:$A$40,'Floor-U'!$H$4:$H$40)*AE$16)+(LOOKUP(AE$2,'Wall-U'!$A$4:$A$40,'Wall-U'!$H$4:$H$40)*AE$13)+(LOOKUP(AE$2,'Window-U'!$A$4:$A$40,'Window-U'!$S$4:$S$40)*AE$22))*AE$97</f>
        <v>427.35987398774182</v>
      </c>
      <c r="AF101" s="177">
        <f>((LOOKUP(AF$2,'Ceiling-U'!$A$4:$A$40,'Ceiling-U'!$AA$4:$AA$40)*AF$15)+(LOOKUP(AF$2,'Floor-U'!$A$4:$A$40,'Floor-U'!$H$4:$H$40)*AF$16)+(LOOKUP(AF$2,'Wall-U'!$A$4:$A$40,'Wall-U'!$H$4:$H$40)*AF$13)+(LOOKUP(AF$2,'Window-U'!$A$4:$A$40,'Window-U'!$S$4:$S$40)*AF$22))*AF$97</f>
        <v>1099.6258320246282</v>
      </c>
      <c r="AG101" s="177">
        <f>((LOOKUP(AG$2,'Ceiling-U'!$A$4:$A$40,'Ceiling-U'!$AA$4:$AA$40)*AG$15)+(LOOKUP(AG$2,'Floor-U'!$A$4:$A$40,'Floor-U'!$H$4:$H$40)*AG$16)+(LOOKUP(AG$2,'Wall-U'!$A$4:$A$40,'Wall-U'!$H$4:$H$40)*AG$13)+(LOOKUP(AG$2,'Window-U'!$A$4:$A$40,'Window-U'!$S$4:$S$40)*AG$22))*AG$97</f>
        <v>1488.6432079533033</v>
      </c>
      <c r="AH101" s="177">
        <f>((LOOKUP(AH$2,'Ceiling-U'!$A$4:$A$40,'Ceiling-U'!$AA$4:$AA$40)*AH$15)+(LOOKUP(AH$2,'Floor-U'!$A$4:$A$40,'Floor-U'!$H$4:$H$40)*AH$16)+(LOOKUP(AH$2,'Wall-U'!$A$4:$A$40,'Wall-U'!$H$4:$H$40)*AH$13)+(LOOKUP(AH$2,'Window-U'!$A$4:$A$40,'Window-U'!$S$4:$S$40)*AH$22))*AH$97</f>
        <v>1929.1938223185828</v>
      </c>
      <c r="AI101" s="177">
        <f>((LOOKUP(AI$2,'Ceiling-U'!$A$4:$A$40,'Ceiling-U'!$AA$4:$AA$40)*AI$15)+(LOOKUP(AI$2,'Floor-U'!$A$4:$A$40,'Floor-U'!$H$4:$H$40)*AI$16)+(LOOKUP(AI$2,'Wall-U'!$A$4:$A$40,'Wall-U'!$H$4:$H$40)*AI$13)+(LOOKUP(AI$2,'Window-U'!$A$4:$A$40,'Window-U'!$S$4:$S$40)*AI$22))*AI$97</f>
        <v>3275.0291428113919</v>
      </c>
      <c r="AJ101" s="177">
        <f>((LOOKUP(AJ$2,'Ceiling-U'!$A$4:$A$40,'Ceiling-U'!$AA$4:$AA$40)*AJ$15)+(LOOKUP(AJ$2,'Floor-U'!$A$4:$A$40,'Floor-U'!$H$4:$H$40)*AJ$16)+(LOOKUP(AJ$2,'Wall-U'!$A$4:$A$40,'Wall-U'!$H$4:$H$40)*AJ$13)+(LOOKUP(AJ$2,'Window-U'!$A$4:$A$40,'Window-U'!$S$4:$S$40)*AJ$22))*AJ$97</f>
        <v>1582.8524352963038</v>
      </c>
      <c r="AK101" s="177">
        <f>((LOOKUP(AK$2,'Ceiling-U'!$A$4:$A$40,'Ceiling-U'!$AA$4:$AA$40)*AK$15)+(LOOKUP(AK$2,'Floor-U'!$A$4:$A$40,'Floor-U'!$H$4:$H$40)*AK$16)+(LOOKUP(AK$2,'Wall-U'!$A$4:$A$40,'Wall-U'!$H$4:$H$40)*AK$13)+(LOOKUP(AK$2,'Window-U'!$A$4:$A$40,'Window-U'!$S$4:$S$40)*AK$22))*AK$97</f>
        <v>1717.24826833256</v>
      </c>
      <c r="AL101" s="177">
        <f>((LOOKUP(AL$2,'Ceiling-U'!$A$4:$A$40,'Ceiling-U'!$AA$4:$AA$40)*AL$15)+(LOOKUP(AL$2,'Floor-U'!$A$4:$A$40,'Floor-U'!$H$4:$H$40)*AL$16)+(LOOKUP(AL$2,'Wall-U'!$A$4:$A$40,'Wall-U'!$H$4:$H$40)*AL$13)+(LOOKUP(AL$2,'Window-U'!$A$4:$A$40,'Window-U'!$S$4:$S$40)*AL$22))*AL$97</f>
        <v>1536.5057825248837</v>
      </c>
      <c r="AM101" s="177">
        <f>((LOOKUP(AM$2,'Ceiling-U'!$A$4:$A$40,'Ceiling-U'!$AA$4:$AA$40)*AM$15)+(LOOKUP(AM$2,'Floor-U'!$A$4:$A$40,'Floor-U'!$H$4:$H$40)*AM$16)+(LOOKUP(AM$2,'Wall-U'!$A$4:$A$40,'Wall-U'!$H$4:$H$40)*AM$13)+(LOOKUP(AM$2,'Window-U'!$A$4:$A$40,'Window-U'!$S$4:$S$40)*AM$22))*AM$97</f>
        <v>1582.8524352963038</v>
      </c>
      <c r="AN101" s="178">
        <f>((LOOKUP(AN$2,'Ceiling-U'!$A$4:$A$40,'Ceiling-U'!$AA$4:$AA$40)*AN$15)+(LOOKUP(AN$2,'Floor-U'!$A$4:$A$40,'Floor-U'!$H$4:$H$40)*AN$16)+(LOOKUP(AN$2,'Wall-U'!$A$4:$A$40,'Wall-U'!$H$4:$H$40)*AN$13)+(LOOKUP(AN$2,'Window-U'!$A$4:$A$40,'Window-U'!$S$4:$S$40)*AN$22))*AN$97</f>
        <v>1582.8524352963038</v>
      </c>
    </row>
    <row r="102" spans="1:40">
      <c r="A102" s="372"/>
      <c r="B102" s="142" t="s">
        <v>6</v>
      </c>
      <c r="C102" s="131" t="s">
        <v>195</v>
      </c>
      <c r="D102" s="176">
        <f>((LOOKUP(D$2,'Ceiling-U'!$A$4:$A$40,'Ceiling-U'!$AB$4:$AB$40)*D$15)+(LOOKUP(D$2,'Floor-U'!$A$4:$A$40,'Floor-U'!$I$4:$I$40)*D$16)+(LOOKUP(D$2,'Wall-U'!$A$4:$A$40,'Wall-U'!$I$4:$I$40)*D$13)+(LOOKUP(D$2,'Window-U'!$A$4:$A$40,'Window-U'!$S$4:$S$40)*D$22))*D$97</f>
        <v>801.30727277886444</v>
      </c>
      <c r="E102" s="177">
        <f>((LOOKUP(E$2,'Ceiling-U'!$A$4:$A$40,'Ceiling-U'!$AB$4:$AB$40)*E$15)+(LOOKUP(E$2,'Floor-U'!$A$4:$A$40,'Floor-U'!$I$4:$I$40)*E$16)+(LOOKUP(E$2,'Wall-U'!$A$4:$A$40,'Wall-U'!$I$4:$I$40)*E$13)+(LOOKUP(E$2,'Window-U'!$A$4:$A$40,'Window-U'!$S$4:$S$40)*E$22))*E$97</f>
        <v>2118.917743250177</v>
      </c>
      <c r="F102" s="177">
        <f>((LOOKUP(F$2,'Ceiling-U'!$A$4:$A$40,'Ceiling-U'!$AB$4:$AB$40)*F$15)+(LOOKUP(F$2,'Floor-U'!$A$4:$A$40,'Floor-U'!$I$4:$I$40)*F$16)+(LOOKUP(F$2,'Wall-U'!$A$4:$A$40,'Wall-U'!$I$4:$I$40)*F$13)+(LOOKUP(F$2,'Window-U'!$A$4:$A$40,'Window-U'!$S$4:$S$40)*F$22))*F$97</f>
        <v>1828.8399401790409</v>
      </c>
      <c r="G102" s="177">
        <f>((LOOKUP(G$2,'Ceiling-U'!$A$4:$A$40,'Ceiling-U'!$AB$4:$AB$40)*G$15)+(LOOKUP(G$2,'Floor-U'!$A$4:$A$40,'Floor-U'!$I$4:$I$40)*G$16)+(LOOKUP(G$2,'Wall-U'!$A$4:$A$40,'Wall-U'!$I$4:$I$40)*G$13)+(LOOKUP(G$2,'Window-U'!$A$4:$A$40,'Window-U'!$S$4:$S$40)*G$22))*G$97</f>
        <v>801.30727277886444</v>
      </c>
      <c r="H102" s="177">
        <f>((LOOKUP(H$2,'Ceiling-U'!$A$4:$A$40,'Ceiling-U'!$AB$4:$AB$40)*H$15)+(LOOKUP(H$2,'Floor-U'!$A$4:$A$40,'Floor-U'!$I$4:$I$40)*H$16)+(LOOKUP(H$2,'Wall-U'!$A$4:$A$40,'Wall-U'!$I$4:$I$40)*H$13)+(LOOKUP(H$2,'Window-U'!$A$4:$A$40,'Window-U'!$S$4:$S$40)*H$22))*H$97</f>
        <v>2341.590900665286</v>
      </c>
      <c r="I102" s="177">
        <f>((LOOKUP(I$2,'Ceiling-U'!$A$4:$A$40,'Ceiling-U'!$AB$4:$AB$40)*I$15)+(LOOKUP(I$2,'Floor-U'!$A$4:$A$40,'Floor-U'!$I$4:$I$40)*I$16)+(LOOKUP(I$2,'Wall-U'!$A$4:$A$40,'Wall-U'!$I$4:$I$40)*I$13)+(LOOKUP(I$2,'Window-U'!$A$4:$A$40,'Window-U'!$S$4:$S$40)*I$22))*I$97</f>
        <v>699.69515163177709</v>
      </c>
      <c r="J102" s="177">
        <f>((LOOKUP(J$2,'Ceiling-U'!$A$4:$A$40,'Ceiling-U'!$AB$4:$AB$40)*J$15)+(LOOKUP(J$2,'Floor-U'!$A$4:$A$40,'Floor-U'!$I$4:$I$40)*J$16)+(LOOKUP(J$2,'Wall-U'!$A$4:$A$40,'Wall-U'!$I$4:$I$40)*J$13)+(LOOKUP(J$2,'Window-U'!$A$4:$A$40,'Window-U'!$S$4:$S$40)*J$22))*J$97</f>
        <v>475.90364632574278</v>
      </c>
      <c r="K102" s="177">
        <f>((LOOKUP(K$2,'Ceiling-U'!$A$4:$A$40,'Ceiling-U'!$AB$4:$AB$40)*K$15)+(LOOKUP(K$2,'Floor-U'!$A$4:$A$40,'Floor-U'!$I$4:$I$40)*K$16)+(LOOKUP(K$2,'Wall-U'!$A$4:$A$40,'Wall-U'!$I$4:$I$40)*K$13)+(LOOKUP(K$2,'Window-U'!$A$4:$A$40,'Window-U'!$S$4:$S$40)*K$22))*K$97</f>
        <v>771.64930257109665</v>
      </c>
      <c r="L102" s="177">
        <f>((LOOKUP(L$2,'Ceiling-U'!$A$4:$A$40,'Ceiling-U'!$AB$4:$AB$40)*L$15)+(LOOKUP(L$2,'Floor-U'!$A$4:$A$40,'Floor-U'!$I$4:$I$40)*L$16)+(LOOKUP(L$2,'Wall-U'!$A$4:$A$40,'Wall-U'!$I$4:$I$40)*L$13)+(LOOKUP(L$2,'Window-U'!$A$4:$A$40,'Window-U'!$S$4:$S$40)*L$22))*L$97</f>
        <v>337.56616886384347</v>
      </c>
      <c r="M102" s="177">
        <f>((LOOKUP(M$2,'Ceiling-U'!$A$4:$A$40,'Ceiling-U'!$AB$4:$AB$40)*M$15)+(LOOKUP(M$2,'Floor-U'!$A$4:$A$40,'Floor-U'!$I$4:$I$40)*M$16)+(LOOKUP(M$2,'Wall-U'!$A$4:$A$40,'Wall-U'!$I$4:$I$40)*M$13)+(LOOKUP(M$2,'Window-U'!$A$4:$A$40,'Window-U'!$S$4:$S$40)*M$22))*M$97</f>
        <v>1488.3144162640453</v>
      </c>
      <c r="N102" s="177">
        <f>((LOOKUP(N$2,'Ceiling-U'!$A$4:$A$40,'Ceiling-U'!$AB$4:$AB$40)*N$15)+(LOOKUP(N$2,'Floor-U'!$A$4:$A$40,'Floor-U'!$I$4:$I$40)*N$16)+(LOOKUP(N$2,'Wall-U'!$A$4:$A$40,'Wall-U'!$I$4:$I$40)*N$13)+(LOOKUP(N$2,'Window-U'!$A$4:$A$40,'Window-U'!$S$4:$S$40)*N$22))*N$97</f>
        <v>833.68085858827953</v>
      </c>
      <c r="O102" s="177">
        <f>((LOOKUP(O$2,'Ceiling-U'!$A$4:$A$40,'Ceiling-U'!$AB$4:$AB$40)*O$15)+(LOOKUP(O$2,'Floor-U'!$A$4:$A$40,'Floor-U'!$I$4:$I$40)*O$16)+(LOOKUP(O$2,'Wall-U'!$A$4:$A$40,'Wall-U'!$I$4:$I$40)*O$13)+(LOOKUP(O$2,'Window-U'!$A$4:$A$40,'Window-U'!$S$4:$S$40)*O$22))*O$97</f>
        <v>632.50499758473143</v>
      </c>
      <c r="P102" s="177">
        <f>((LOOKUP(P$2,'Ceiling-U'!$A$4:$A$40,'Ceiling-U'!$AB$4:$AB$40)*P$15)+(LOOKUP(P$2,'Floor-U'!$A$4:$A$40,'Floor-U'!$I$4:$I$40)*P$16)+(LOOKUP(P$2,'Wall-U'!$A$4:$A$40,'Wall-U'!$I$4:$I$40)*P$13)+(LOOKUP(P$2,'Window-U'!$A$4:$A$40,'Window-U'!$S$4:$S$40)*P$22))*P$97</f>
        <v>2065.6429115314609</v>
      </c>
      <c r="Q102" s="177">
        <f>((LOOKUP(Q$2,'Ceiling-U'!$A$4:$A$40,'Ceiling-U'!$AB$4:$AB$40)*Q$15)+(LOOKUP(Q$2,'Floor-U'!$A$4:$A$40,'Floor-U'!$I$4:$I$40)*Q$16)+(LOOKUP(Q$2,'Wall-U'!$A$4:$A$40,'Wall-U'!$I$4:$I$40)*Q$13)+(LOOKUP(Q$2,'Window-U'!$A$4:$A$40,'Window-U'!$S$4:$S$40)*Q$22))*Q$97</f>
        <v>1139.6524749785351</v>
      </c>
      <c r="R102" s="177">
        <f>((LOOKUP(R$2,'Ceiling-U'!$A$4:$A$40,'Ceiling-U'!$AB$4:$AB$40)*R$15)+(LOOKUP(R$2,'Floor-U'!$A$4:$A$40,'Floor-U'!$I$4:$I$40)*R$16)+(LOOKUP(R$2,'Wall-U'!$A$4:$A$40,'Wall-U'!$I$4:$I$40)*R$13)+(LOOKUP(R$2,'Window-U'!$A$4:$A$40,'Window-U'!$S$4:$S$40)*R$22))*R$97</f>
        <v>946.58420879331311</v>
      </c>
      <c r="S102" s="177">
        <f>((LOOKUP(S$2,'Ceiling-U'!$A$4:$A$40,'Ceiling-U'!$AB$4:$AB$40)*S$15)+(LOOKUP(S$2,'Floor-U'!$A$4:$A$40,'Floor-U'!$I$4:$I$40)*S$16)+(LOOKUP(S$2,'Wall-U'!$A$4:$A$40,'Wall-U'!$I$4:$I$40)*S$13)+(LOOKUP(S$2,'Window-U'!$A$4:$A$40,'Window-U'!$S$4:$S$40)*S$22))*S$97</f>
        <v>2545.2684895740022</v>
      </c>
      <c r="T102" s="177">
        <f>((LOOKUP(T$2,'Ceiling-U'!$A$4:$A$40,'Ceiling-U'!$AB$4:$AB$40)*T$15)+(LOOKUP(T$2,'Floor-U'!$A$4:$A$40,'Floor-U'!$I$4:$I$40)*T$16)+(LOOKUP(T$2,'Wall-U'!$A$4:$A$40,'Wall-U'!$I$4:$I$40)*T$13)+(LOOKUP(T$2,'Window-U'!$A$4:$A$40,'Window-U'!$S$4:$S$40)*T$22))*T$97</f>
        <v>445.34050393395592</v>
      </c>
      <c r="U102" s="177">
        <f>((LOOKUP(U$2,'Ceiling-U'!$A$4:$A$40,'Ceiling-U'!$AB$4:$AB$40)*U$15)+(LOOKUP(U$2,'Floor-U'!$A$4:$A$40,'Floor-U'!$I$4:$I$40)*U$16)+(LOOKUP(U$2,'Wall-U'!$A$4:$A$40,'Wall-U'!$I$4:$I$40)*U$13)+(LOOKUP(U$2,'Window-U'!$A$4:$A$40,'Window-U'!$S$4:$S$40)*U$22))*U$97</f>
        <v>1695.9006918155872</v>
      </c>
      <c r="V102" s="177">
        <f>((LOOKUP(V$2,'Ceiling-U'!$A$4:$A$40,'Ceiling-U'!$AB$4:$AB$40)*V$15)+(LOOKUP(V$2,'Floor-U'!$A$4:$A$40,'Floor-U'!$I$4:$I$40)*V$16)+(LOOKUP(V$2,'Wall-U'!$A$4:$A$40,'Wall-U'!$I$4:$I$40)*V$13)+(LOOKUP(V$2,'Window-U'!$A$4:$A$40,'Window-U'!$S$4:$S$40)*V$22))*V$97</f>
        <v>723.122916359432</v>
      </c>
      <c r="W102" s="177">
        <f>((LOOKUP(W$2,'Ceiling-U'!$A$4:$A$40,'Ceiling-U'!$AB$4:$AB$40)*W$15)+(LOOKUP(W$2,'Floor-U'!$A$4:$A$40,'Floor-U'!$I$4:$I$40)*W$16)+(LOOKUP(W$2,'Wall-U'!$A$4:$A$40,'Wall-U'!$I$4:$I$40)*W$13)+(LOOKUP(W$2,'Window-U'!$A$4:$A$40,'Window-U'!$S$4:$S$40)*W$22))*W$97</f>
        <v>865.97105044750799</v>
      </c>
      <c r="X102" s="177">
        <f>((LOOKUP(X$2,'Ceiling-U'!$A$4:$A$40,'Ceiling-U'!$AB$4:$AB$40)*X$15)+(LOOKUP(X$2,'Floor-U'!$A$4:$A$40,'Floor-U'!$I$4:$I$40)*X$16)+(LOOKUP(X$2,'Wall-U'!$A$4:$A$40,'Wall-U'!$I$4:$I$40)*X$13)+(LOOKUP(X$2,'Window-U'!$A$4:$A$40,'Window-U'!$S$4:$S$40)*X$22))*X$97</f>
        <v>638.46644190155087</v>
      </c>
      <c r="Y102" s="177">
        <f>((LOOKUP(Y$2,'Ceiling-U'!$A$4:$A$40,'Ceiling-U'!$AB$4:$AB$40)*Y$15)+(LOOKUP(Y$2,'Floor-U'!$A$4:$A$40,'Floor-U'!$I$4:$I$40)*Y$16)+(LOOKUP(Y$2,'Wall-U'!$A$4:$A$40,'Wall-U'!$I$4:$I$40)*Y$13)+(LOOKUP(Y$2,'Window-U'!$A$4:$A$40,'Window-U'!$S$4:$S$40)*Y$22))*Y$97</f>
        <v>2873.0884214792109</v>
      </c>
      <c r="Z102" s="177">
        <f>((LOOKUP(Z$2,'Ceiling-U'!$A$4:$A$40,'Ceiling-U'!$AB$4:$AB$40)*Z$15)+(LOOKUP(Z$2,'Floor-U'!$A$4:$A$40,'Floor-U'!$I$4:$I$40)*Z$16)+(LOOKUP(Z$2,'Wall-U'!$A$4:$A$40,'Wall-U'!$I$4:$I$40)*Z$13)+(LOOKUP(Z$2,'Window-U'!$A$4:$A$40,'Window-U'!$S$4:$S$40)*Z$22))*Z$97</f>
        <v>942.27542748605799</v>
      </c>
      <c r="AA102" s="177">
        <f>((LOOKUP(AA$2,'Ceiling-U'!$A$4:$A$40,'Ceiling-U'!$AB$4:$AB$40)*AA$15)+(LOOKUP(AA$2,'Floor-U'!$A$4:$A$40,'Floor-U'!$I$4:$I$40)*AA$16)+(LOOKUP(AA$2,'Wall-U'!$A$4:$A$40,'Wall-U'!$I$4:$I$40)*AA$13)+(LOOKUP(AA$2,'Window-U'!$A$4:$A$40,'Window-U'!$S$4:$S$40)*AA$22))*AA$97</f>
        <v>348.30121315177109</v>
      </c>
      <c r="AB102" s="177">
        <f>((LOOKUP(AB$2,'Ceiling-U'!$A$4:$A$40,'Ceiling-U'!$AB$4:$AB$40)*AB$15)+(LOOKUP(AB$2,'Floor-U'!$A$4:$A$40,'Floor-U'!$I$4:$I$40)*AB$16)+(LOOKUP(AB$2,'Wall-U'!$A$4:$A$40,'Wall-U'!$I$4:$I$40)*AB$13)+(LOOKUP(AB$2,'Window-U'!$A$4:$A$40,'Window-U'!$S$4:$S$40)*AB$22))*AB$97</f>
        <v>1222.8059094307469</v>
      </c>
      <c r="AC102" s="177">
        <f>((LOOKUP(AC$2,'Ceiling-U'!$A$4:$A$40,'Ceiling-U'!$AB$4:$AB$40)*AC$15)+(LOOKUP(AC$2,'Floor-U'!$A$4:$A$40,'Floor-U'!$I$4:$I$40)*AC$16)+(LOOKUP(AC$2,'Wall-U'!$A$4:$A$40,'Wall-U'!$I$4:$I$40)*AC$13)+(LOOKUP(AC$2,'Window-U'!$A$4:$A$40,'Window-U'!$S$4:$S$40)*AC$22))*AC$97</f>
        <v>2361.1528447186101</v>
      </c>
      <c r="AD102" s="177">
        <f>((LOOKUP(AD$2,'Ceiling-U'!$A$4:$A$40,'Ceiling-U'!$AB$4:$AB$40)*AD$15)+(LOOKUP(AD$2,'Floor-U'!$A$4:$A$40,'Floor-U'!$I$4:$I$40)*AD$16)+(LOOKUP(AD$2,'Wall-U'!$A$4:$A$40,'Wall-U'!$I$4:$I$40)*AD$13)+(LOOKUP(AD$2,'Window-U'!$A$4:$A$40,'Window-U'!$S$4:$S$40)*AD$22))*AD$97</f>
        <v>3466.3011161685226</v>
      </c>
      <c r="AE102" s="177">
        <f>((LOOKUP(AE$2,'Ceiling-U'!$A$4:$A$40,'Ceiling-U'!$AB$4:$AB$40)*AE$15)+(LOOKUP(AE$2,'Floor-U'!$A$4:$A$40,'Floor-U'!$I$4:$I$40)*AE$16)+(LOOKUP(AE$2,'Wall-U'!$A$4:$A$40,'Wall-U'!$I$4:$I$40)*AE$13)+(LOOKUP(AE$2,'Window-U'!$A$4:$A$40,'Window-U'!$S$4:$S$40)*AE$22))*AE$97</f>
        <v>348.30121315177109</v>
      </c>
      <c r="AF102" s="177">
        <f>((LOOKUP(AF$2,'Ceiling-U'!$A$4:$A$40,'Ceiling-U'!$AB$4:$AB$40)*AF$15)+(LOOKUP(AF$2,'Floor-U'!$A$4:$A$40,'Floor-U'!$I$4:$I$40)*AF$16)+(LOOKUP(AF$2,'Wall-U'!$A$4:$A$40,'Wall-U'!$I$4:$I$40)*AF$13)+(LOOKUP(AF$2,'Window-U'!$A$4:$A$40,'Window-U'!$S$4:$S$40)*AF$22))*AF$97</f>
        <v>764.40379701874451</v>
      </c>
      <c r="AG102" s="177">
        <f>((LOOKUP(AG$2,'Ceiling-U'!$A$4:$A$40,'Ceiling-U'!$AB$4:$AB$40)*AG$15)+(LOOKUP(AG$2,'Floor-U'!$A$4:$A$40,'Floor-U'!$I$4:$I$40)*AG$16)+(LOOKUP(AG$2,'Wall-U'!$A$4:$A$40,'Wall-U'!$I$4:$I$40)*AG$13)+(LOOKUP(AG$2,'Window-U'!$A$4:$A$40,'Window-U'!$S$4:$S$40)*AG$22))*AG$97</f>
        <v>1438.7645978131598</v>
      </c>
      <c r="AH102" s="177">
        <f>((LOOKUP(AH$2,'Ceiling-U'!$A$4:$A$40,'Ceiling-U'!$AB$4:$AB$40)*AH$15)+(LOOKUP(AH$2,'Floor-U'!$A$4:$A$40,'Floor-U'!$I$4:$I$40)*AH$16)+(LOOKUP(AH$2,'Wall-U'!$A$4:$A$40,'Wall-U'!$I$4:$I$40)*AH$13)+(LOOKUP(AH$2,'Window-U'!$A$4:$A$40,'Window-U'!$S$4:$S$40)*AH$22))*AH$97</f>
        <v>1563.6445250362945</v>
      </c>
      <c r="AI102" s="177">
        <f>((LOOKUP(AI$2,'Ceiling-U'!$A$4:$A$40,'Ceiling-U'!$AB$4:$AB$40)*AI$15)+(LOOKUP(AI$2,'Floor-U'!$A$4:$A$40,'Floor-U'!$I$4:$I$40)*AI$16)+(LOOKUP(AI$2,'Wall-U'!$A$4:$A$40,'Wall-U'!$I$4:$I$40)*AI$13)+(LOOKUP(AI$2,'Window-U'!$A$4:$A$40,'Window-U'!$S$4:$S$40)*AI$22))*AI$97</f>
        <v>3275.0291428113919</v>
      </c>
      <c r="AJ102" s="177">
        <f>((LOOKUP(AJ$2,'Ceiling-U'!$A$4:$A$40,'Ceiling-U'!$AB$4:$AB$40)*AJ$15)+(LOOKUP(AJ$2,'Floor-U'!$A$4:$A$40,'Floor-U'!$I$4:$I$40)*AJ$16)+(LOOKUP(AJ$2,'Wall-U'!$A$4:$A$40,'Wall-U'!$I$4:$I$40)*AJ$13)+(LOOKUP(AJ$2,'Window-U'!$A$4:$A$40,'Window-U'!$S$4:$S$40)*AJ$22))*AJ$97</f>
        <v>1473.8790551138777</v>
      </c>
      <c r="AK102" s="177">
        <f>((LOOKUP(AK$2,'Ceiling-U'!$A$4:$A$40,'Ceiling-U'!$AB$4:$AB$40)*AK$15)+(LOOKUP(AK$2,'Floor-U'!$A$4:$A$40,'Floor-U'!$I$4:$I$40)*AK$16)+(LOOKUP(AK$2,'Wall-U'!$A$4:$A$40,'Wall-U'!$I$4:$I$40)*AK$13)+(LOOKUP(AK$2,'Window-U'!$A$4:$A$40,'Window-U'!$S$4:$S$40)*AK$22))*AK$97</f>
        <v>1599.3082119235939</v>
      </c>
      <c r="AL102" s="177">
        <f>((LOOKUP(AL$2,'Ceiling-U'!$A$4:$A$40,'Ceiling-U'!$AB$4:$AB$40)*AL$15)+(LOOKUP(AL$2,'Floor-U'!$A$4:$A$40,'Floor-U'!$I$4:$I$40)*AL$16)+(LOOKUP(AL$2,'Wall-U'!$A$4:$A$40,'Wall-U'!$I$4:$I$40)*AL$13)+(LOOKUP(AL$2,'Window-U'!$A$4:$A$40,'Window-U'!$S$4:$S$40)*AL$22))*AL$97</f>
        <v>1213.0903823229742</v>
      </c>
      <c r="AM102" s="177">
        <f>((LOOKUP(AM$2,'Ceiling-U'!$A$4:$A$40,'Ceiling-U'!$AB$4:$AB$40)*AM$15)+(LOOKUP(AM$2,'Floor-U'!$A$4:$A$40,'Floor-U'!$I$4:$I$40)*AM$16)+(LOOKUP(AM$2,'Wall-U'!$A$4:$A$40,'Wall-U'!$I$4:$I$40)*AM$13)+(LOOKUP(AM$2,'Window-U'!$A$4:$A$40,'Window-U'!$S$4:$S$40)*AM$22))*AM$97</f>
        <v>1473.8790551138777</v>
      </c>
      <c r="AN102" s="178">
        <f>((LOOKUP(AN$2,'Ceiling-U'!$A$4:$A$40,'Ceiling-U'!$AB$4:$AB$40)*AN$15)+(LOOKUP(AN$2,'Floor-U'!$A$4:$A$40,'Floor-U'!$I$4:$I$40)*AN$16)+(LOOKUP(AN$2,'Wall-U'!$A$4:$A$40,'Wall-U'!$I$4:$I$40)*AN$13)+(LOOKUP(AN$2,'Window-U'!$A$4:$A$40,'Window-U'!$S$4:$S$40)*AN$22))*AN$97</f>
        <v>1473.8790551138777</v>
      </c>
    </row>
    <row r="103" spans="1:40">
      <c r="A103" s="373"/>
      <c r="B103" s="374" t="s">
        <v>7</v>
      </c>
      <c r="C103" s="131" t="s">
        <v>195</v>
      </c>
      <c r="D103" s="176">
        <f>((LOOKUP(D$2,'Ceiling-U'!$A$4:$A$40,'Ceiling-U'!$AC$4:$AC$40)*D$15)+(LOOKUP(D$2,'Floor-U'!$A$4:$A$40,'Floor-U'!$J$4:$J$40)*D$16)+(LOOKUP(D$2,'Wall-U'!$A$4:$A$40,'Wall-U'!$J$4:$J$40)*D$13)+(LOOKUP(D$2,'Window-U'!$A$4:$A$40,'Window-U'!$S$4:$S$40)*D$22))*D$97</f>
        <v>718.40366105504734</v>
      </c>
      <c r="E103" s="174">
        <f>((LOOKUP(E$2,'Ceiling-U'!$A$4:$A$40,'Ceiling-U'!$AC$4:$AC$40)*E$15)+(LOOKUP(E$2,'Floor-U'!$A$4:$A$40,'Floor-U'!$J$4:$J$40)*E$16)+(LOOKUP(E$2,'Wall-U'!$A$4:$A$40,'Wall-U'!$J$4:$J$40)*E$13)+(LOOKUP(E$2,'Window-U'!$A$4:$A$40,'Window-U'!$S$4:$S$40)*E$22))*E$97</f>
        <v>1161.8552601708366</v>
      </c>
      <c r="F103" s="174">
        <f>((LOOKUP(F$2,'Ceiling-U'!$A$4:$A$40,'Ceiling-U'!$AC$4:$AC$40)*F$15)+(LOOKUP(F$2,'Floor-U'!$A$4:$A$40,'Floor-U'!$J$4:$J$40)*F$16)+(LOOKUP(F$2,'Wall-U'!$A$4:$A$40,'Wall-U'!$J$4:$J$40)*F$13)+(LOOKUP(F$2,'Window-U'!$A$4:$A$40,'Window-U'!$S$4:$S$40)*F$22))*F$97</f>
        <v>1069.4709235319081</v>
      </c>
      <c r="G103" s="174">
        <f>((LOOKUP(G$2,'Ceiling-U'!$A$4:$A$40,'Ceiling-U'!$AC$4:$AC$40)*G$15)+(LOOKUP(G$2,'Floor-U'!$A$4:$A$40,'Floor-U'!$J$4:$J$40)*G$16)+(LOOKUP(G$2,'Wall-U'!$A$4:$A$40,'Wall-U'!$J$4:$J$40)*G$13)+(LOOKUP(G$2,'Window-U'!$A$4:$A$40,'Window-U'!$S$4:$S$40)*G$22))*G$97</f>
        <v>718.40366105504734</v>
      </c>
      <c r="H103" s="174">
        <f>((LOOKUP(H$2,'Ceiling-U'!$A$4:$A$40,'Ceiling-U'!$AC$4:$AC$40)*H$15)+(LOOKUP(H$2,'Floor-U'!$A$4:$A$40,'Floor-U'!$J$4:$J$40)*H$16)+(LOOKUP(H$2,'Wall-U'!$A$4:$A$40,'Wall-U'!$J$4:$J$40)*H$13)+(LOOKUP(H$2,'Window-U'!$A$4:$A$40,'Window-U'!$S$4:$S$40)*H$22))*H$97</f>
        <v>1898.702601665286</v>
      </c>
      <c r="I103" s="174">
        <f>((LOOKUP(I$2,'Ceiling-U'!$A$4:$A$40,'Ceiling-U'!$AC$4:$AC$40)*I$15)+(LOOKUP(I$2,'Floor-U'!$A$4:$A$40,'Floor-U'!$J$4:$J$40)*I$16)+(LOOKUP(I$2,'Wall-U'!$A$4:$A$40,'Wall-U'!$J$4:$J$40)*I$13)+(LOOKUP(I$2,'Window-U'!$A$4:$A$40,'Window-U'!$S$4:$S$40)*I$22))*I$97</f>
        <v>589.28394834437779</v>
      </c>
      <c r="J103" s="174">
        <f>((LOOKUP(J$2,'Ceiling-U'!$A$4:$A$40,'Ceiling-U'!$AC$4:$AC$40)*J$15)+(LOOKUP(J$2,'Floor-U'!$A$4:$A$40,'Floor-U'!$J$4:$J$40)*J$16)+(LOOKUP(J$2,'Wall-U'!$A$4:$A$40,'Wall-U'!$J$4:$J$40)*J$13)+(LOOKUP(J$2,'Window-U'!$A$4:$A$40,'Window-U'!$S$4:$S$40)*J$22))*J$97</f>
        <v>550.54024926098907</v>
      </c>
      <c r="K103" s="174">
        <f>((LOOKUP(K$2,'Ceiling-U'!$A$4:$A$40,'Ceiling-U'!$AC$4:$AC$40)*K$15)+(LOOKUP(K$2,'Floor-U'!$A$4:$A$40,'Floor-U'!$J$4:$J$40)*K$16)+(LOOKUP(K$2,'Wall-U'!$A$4:$A$40,'Wall-U'!$J$4:$J$40)*K$13)+(LOOKUP(K$2,'Window-U'!$A$4:$A$40,'Window-U'!$S$4:$S$40)*K$22))*K$97</f>
        <v>577.36388202336775</v>
      </c>
      <c r="L103" s="174">
        <f>((LOOKUP(L$2,'Ceiling-U'!$A$4:$A$40,'Ceiling-U'!$AC$4:$AC$40)*L$15)+(LOOKUP(L$2,'Floor-U'!$A$4:$A$40,'Floor-U'!$J$4:$J$40)*L$16)+(LOOKUP(L$2,'Wall-U'!$A$4:$A$40,'Wall-U'!$J$4:$J$40)*L$13)+(LOOKUP(L$2,'Window-U'!$A$4:$A$40,'Window-U'!$S$4:$S$40)*L$22))*L$97</f>
        <v>337.56616886384347</v>
      </c>
      <c r="M103" s="174">
        <f>((LOOKUP(M$2,'Ceiling-U'!$A$4:$A$40,'Ceiling-U'!$AC$4:$AC$40)*M$15)+(LOOKUP(M$2,'Floor-U'!$A$4:$A$40,'Floor-U'!$J$4:$J$40)*M$16)+(LOOKUP(M$2,'Wall-U'!$A$4:$A$40,'Wall-U'!$J$4:$J$40)*M$13)+(LOOKUP(M$2,'Window-U'!$A$4:$A$40,'Window-U'!$S$4:$S$40)*M$22))*M$97</f>
        <v>832.03199274733367</v>
      </c>
      <c r="N103" s="174">
        <f>((LOOKUP(N$2,'Ceiling-U'!$A$4:$A$40,'Ceiling-U'!$AC$4:$AC$40)*N$15)+(LOOKUP(N$2,'Floor-U'!$A$4:$A$40,'Floor-U'!$J$4:$J$40)*N$16)+(LOOKUP(N$2,'Wall-U'!$A$4:$A$40,'Wall-U'!$J$4:$J$40)*N$13)+(LOOKUP(N$2,'Window-U'!$A$4:$A$40,'Window-U'!$S$4:$S$40)*N$22))*N$97</f>
        <v>779.66714127433147</v>
      </c>
      <c r="O103" s="174">
        <f>((LOOKUP(O$2,'Ceiling-U'!$A$4:$A$40,'Ceiling-U'!$AC$4:$AC$40)*O$15)+(LOOKUP(O$2,'Floor-U'!$A$4:$A$40,'Floor-U'!$J$4:$J$40)*O$16)+(LOOKUP(O$2,'Wall-U'!$A$4:$A$40,'Wall-U'!$J$4:$J$40)*O$13)+(LOOKUP(O$2,'Window-U'!$A$4:$A$40,'Window-U'!$S$4:$S$40)*O$22))*O$97</f>
        <v>612.65408963828156</v>
      </c>
      <c r="P103" s="174">
        <f>((LOOKUP(P$2,'Ceiling-U'!$A$4:$A$40,'Ceiling-U'!$AC$4:$AC$40)*P$15)+(LOOKUP(P$2,'Floor-U'!$A$4:$A$40,'Floor-U'!$J$4:$J$40)*P$16)+(LOOKUP(P$2,'Wall-U'!$A$4:$A$40,'Wall-U'!$J$4:$J$40)*P$13)+(LOOKUP(P$2,'Window-U'!$A$4:$A$40,'Window-U'!$S$4:$S$40)*P$22))*P$97</f>
        <v>606.65569943117248</v>
      </c>
      <c r="Q103" s="174">
        <f>((LOOKUP(Q$2,'Ceiling-U'!$A$4:$A$40,'Ceiling-U'!$AC$4:$AC$40)*Q$15)+(LOOKUP(Q$2,'Floor-U'!$A$4:$A$40,'Floor-U'!$J$4:$J$40)*Q$16)+(LOOKUP(Q$2,'Wall-U'!$A$4:$A$40,'Wall-U'!$J$4:$J$40)*Q$13)+(LOOKUP(Q$2,'Window-U'!$A$4:$A$40,'Window-U'!$S$4:$S$40)*Q$22))*Q$97</f>
        <v>606.81012930982865</v>
      </c>
      <c r="R103" s="174">
        <f>((LOOKUP(R$2,'Ceiling-U'!$A$4:$A$40,'Ceiling-U'!$AC$4:$AC$40)*R$15)+(LOOKUP(R$2,'Floor-U'!$A$4:$A$40,'Floor-U'!$J$4:$J$40)*R$16)+(LOOKUP(R$2,'Wall-U'!$A$4:$A$40,'Wall-U'!$J$4:$J$40)*R$13)+(LOOKUP(R$2,'Window-U'!$A$4:$A$40,'Window-U'!$S$4:$S$40)*R$22))*R$97</f>
        <v>583.94497624350913</v>
      </c>
      <c r="S103" s="174">
        <f>((LOOKUP(S$2,'Ceiling-U'!$A$4:$A$40,'Ceiling-U'!$AC$4:$AC$40)*S$15)+(LOOKUP(S$2,'Floor-U'!$A$4:$A$40,'Floor-U'!$J$4:$J$40)*S$16)+(LOOKUP(S$2,'Wall-U'!$A$4:$A$40,'Wall-U'!$J$4:$J$40)*S$13)+(LOOKUP(S$2,'Window-U'!$A$4:$A$40,'Window-U'!$S$4:$S$40)*S$22))*S$97</f>
        <v>1439.032199948495</v>
      </c>
      <c r="T103" s="174">
        <f>((LOOKUP(T$2,'Ceiling-U'!$A$4:$A$40,'Ceiling-U'!$AC$4:$AC$40)*T$15)+(LOOKUP(T$2,'Floor-U'!$A$4:$A$40,'Floor-U'!$J$4:$J$40)*T$16)+(LOOKUP(T$2,'Wall-U'!$A$4:$A$40,'Wall-U'!$J$4:$J$40)*T$13)+(LOOKUP(T$2,'Window-U'!$A$4:$A$40,'Window-U'!$S$4:$S$40)*T$22))*T$97</f>
        <v>415.74443411561651</v>
      </c>
      <c r="U103" s="174">
        <f>((LOOKUP(U$2,'Ceiling-U'!$A$4:$A$40,'Ceiling-U'!$AC$4:$AC$40)*U$15)+(LOOKUP(U$2,'Floor-U'!$A$4:$A$40,'Floor-U'!$J$4:$J$40)*U$16)+(LOOKUP(U$2,'Wall-U'!$A$4:$A$40,'Wall-U'!$J$4:$J$40)*U$13)+(LOOKUP(U$2,'Window-U'!$A$4:$A$40,'Window-U'!$S$4:$S$40)*U$22))*U$97</f>
        <v>1695.9006918155872</v>
      </c>
      <c r="V103" s="174">
        <f>((LOOKUP(V$2,'Ceiling-U'!$A$4:$A$40,'Ceiling-U'!$AC$4:$AC$40)*V$15)+(LOOKUP(V$2,'Floor-U'!$A$4:$A$40,'Floor-U'!$J$4:$J$40)*V$16)+(LOOKUP(V$2,'Wall-U'!$A$4:$A$40,'Wall-U'!$J$4:$J$40)*V$13)+(LOOKUP(V$2,'Window-U'!$A$4:$A$40,'Window-U'!$S$4:$S$40)*V$22))*V$97</f>
        <v>342.36732232807168</v>
      </c>
      <c r="W103" s="174">
        <f>((LOOKUP(W$2,'Ceiling-U'!$A$4:$A$40,'Ceiling-U'!$AC$4:$AC$40)*W$15)+(LOOKUP(W$2,'Floor-U'!$A$4:$A$40,'Floor-U'!$J$4:$J$40)*W$16)+(LOOKUP(W$2,'Wall-U'!$A$4:$A$40,'Wall-U'!$J$4:$J$40)*W$13)+(LOOKUP(W$2,'Window-U'!$A$4:$A$40,'Window-U'!$S$4:$S$40)*W$22))*W$97</f>
        <v>671.47287311417165</v>
      </c>
      <c r="X103" s="174">
        <f>((LOOKUP(X$2,'Ceiling-U'!$A$4:$A$40,'Ceiling-U'!$AC$4:$AC$40)*X$15)+(LOOKUP(X$2,'Floor-U'!$A$4:$A$40,'Floor-U'!$J$4:$J$40)*X$16)+(LOOKUP(X$2,'Wall-U'!$A$4:$A$40,'Wall-U'!$J$4:$J$40)*X$13)+(LOOKUP(X$2,'Window-U'!$A$4:$A$40,'Window-U'!$S$4:$S$40)*X$22))*X$97</f>
        <v>326.70578788011539</v>
      </c>
      <c r="Y103" s="174">
        <f>((LOOKUP(Y$2,'Ceiling-U'!$A$4:$A$40,'Ceiling-U'!$AC$4:$AC$40)*Y$15)+(LOOKUP(Y$2,'Floor-U'!$A$4:$A$40,'Floor-U'!$J$4:$J$40)*Y$16)+(LOOKUP(Y$2,'Wall-U'!$A$4:$A$40,'Wall-U'!$J$4:$J$40)*Y$13)+(LOOKUP(Y$2,'Window-U'!$A$4:$A$40,'Window-U'!$S$4:$S$40)*Y$22))*Y$97</f>
        <v>2626.8549959057495</v>
      </c>
      <c r="Z103" s="174">
        <f>((LOOKUP(Z$2,'Ceiling-U'!$A$4:$A$40,'Ceiling-U'!$AC$4:$AC$40)*Z$15)+(LOOKUP(Z$2,'Floor-U'!$A$4:$A$40,'Floor-U'!$J$4:$J$40)*Z$16)+(LOOKUP(Z$2,'Wall-U'!$A$4:$A$40,'Wall-U'!$J$4:$J$40)*Z$13)+(LOOKUP(Z$2,'Window-U'!$A$4:$A$40,'Window-U'!$S$4:$S$40)*Z$22))*Z$97</f>
        <v>693.76875328075027</v>
      </c>
      <c r="AA103" s="174">
        <f>((LOOKUP(AA$2,'Ceiling-U'!$A$4:$A$40,'Ceiling-U'!$AC$4:$AC$40)*AA$15)+(LOOKUP(AA$2,'Floor-U'!$A$4:$A$40,'Floor-U'!$J$4:$J$40)*AA$16)+(LOOKUP(AA$2,'Wall-U'!$A$4:$A$40,'Wall-U'!$J$4:$J$40)*AA$13)+(LOOKUP(AA$2,'Window-U'!$A$4:$A$40,'Window-U'!$S$4:$S$40)*AA$22))*AA$97</f>
        <v>348.30121315177109</v>
      </c>
      <c r="AB103" s="174">
        <f>((LOOKUP(AB$2,'Ceiling-U'!$A$4:$A$40,'Ceiling-U'!$AC$4:$AC$40)*AB$15)+(LOOKUP(AB$2,'Floor-U'!$A$4:$A$40,'Floor-U'!$J$4:$J$40)*AB$16)+(LOOKUP(AB$2,'Wall-U'!$A$4:$A$40,'Wall-U'!$J$4:$J$40)*AB$13)+(LOOKUP(AB$2,'Window-U'!$A$4:$A$40,'Window-U'!$S$4:$S$40)*AB$22))*AB$97</f>
        <v>809.82307531244203</v>
      </c>
      <c r="AC103" s="174">
        <f>((LOOKUP(AC$2,'Ceiling-U'!$A$4:$A$40,'Ceiling-U'!$AC$4:$AC$40)*AC$15)+(LOOKUP(AC$2,'Floor-U'!$A$4:$A$40,'Floor-U'!$J$4:$J$40)*AC$16)+(LOOKUP(AC$2,'Wall-U'!$A$4:$A$40,'Wall-U'!$J$4:$J$40)*AC$13)+(LOOKUP(AC$2,'Window-U'!$A$4:$A$40,'Window-U'!$S$4:$S$40)*AC$22))*AC$97</f>
        <v>1561.5625008921656</v>
      </c>
      <c r="AD103" s="174">
        <f>((LOOKUP(AD$2,'Ceiling-U'!$A$4:$A$40,'Ceiling-U'!$AC$4:$AC$40)*AD$15)+(LOOKUP(AD$2,'Floor-U'!$A$4:$A$40,'Floor-U'!$J$4:$J$40)*AD$16)+(LOOKUP(AD$2,'Wall-U'!$A$4:$A$40,'Wall-U'!$J$4:$J$40)*AD$13)+(LOOKUP(AD$2,'Window-U'!$A$4:$A$40,'Window-U'!$S$4:$S$40)*AD$22))*AD$97</f>
        <v>2761.6273565724664</v>
      </c>
      <c r="AE103" s="174">
        <f>((LOOKUP(AE$2,'Ceiling-U'!$A$4:$A$40,'Ceiling-U'!$AC$4:$AC$40)*AE$15)+(LOOKUP(AE$2,'Floor-U'!$A$4:$A$40,'Floor-U'!$J$4:$J$40)*AE$16)+(LOOKUP(AE$2,'Wall-U'!$A$4:$A$40,'Wall-U'!$J$4:$J$40)*AE$13)+(LOOKUP(AE$2,'Window-U'!$A$4:$A$40,'Window-U'!$S$4:$S$40)*AE$22))*AE$97</f>
        <v>348.30121315177109</v>
      </c>
      <c r="AF103" s="174">
        <f>((LOOKUP(AF$2,'Ceiling-U'!$A$4:$A$40,'Ceiling-U'!$AC$4:$AC$40)*AF$15)+(LOOKUP(AF$2,'Floor-U'!$A$4:$A$40,'Floor-U'!$J$4:$J$40)*AF$16)+(LOOKUP(AF$2,'Wall-U'!$A$4:$A$40,'Wall-U'!$J$4:$J$40)*AF$13)+(LOOKUP(AF$2,'Window-U'!$A$4:$A$40,'Window-U'!$S$4:$S$40)*AF$22))*AF$97</f>
        <v>407.07687032194787</v>
      </c>
      <c r="AG103" s="174">
        <f>((LOOKUP(AG$2,'Ceiling-U'!$A$4:$A$40,'Ceiling-U'!$AC$4:$AC$40)*AG$15)+(LOOKUP(AG$2,'Floor-U'!$A$4:$A$40,'Floor-U'!$J$4:$J$40)*AG$16)+(LOOKUP(AG$2,'Wall-U'!$A$4:$A$40,'Wall-U'!$J$4:$J$40)*AG$13)+(LOOKUP(AG$2,'Window-U'!$A$4:$A$40,'Window-U'!$S$4:$S$40)*AG$22))*AG$97</f>
        <v>783.52609051295303</v>
      </c>
      <c r="AH103" s="174">
        <f>((LOOKUP(AH$2,'Ceiling-U'!$A$4:$A$40,'Ceiling-U'!$AC$4:$AC$40)*AH$15)+(LOOKUP(AH$2,'Floor-U'!$A$4:$A$40,'Floor-U'!$J$4:$J$40)*AH$16)+(LOOKUP(AH$2,'Wall-U'!$A$4:$A$40,'Wall-U'!$J$4:$J$40)*AH$13)+(LOOKUP(AH$2,'Window-U'!$A$4:$A$40,'Window-U'!$S$4:$S$40)*AH$22))*AH$97</f>
        <v>1290.8971801858252</v>
      </c>
      <c r="AI103" s="174">
        <f>((LOOKUP(AI$2,'Ceiling-U'!$A$4:$A$40,'Ceiling-U'!$AC$4:$AC$40)*AI$15)+(LOOKUP(AI$2,'Floor-U'!$A$4:$A$40,'Floor-U'!$J$4:$J$40)*AI$16)+(LOOKUP(AI$2,'Wall-U'!$A$4:$A$40,'Wall-U'!$J$4:$J$40)*AI$13)+(LOOKUP(AI$2,'Window-U'!$A$4:$A$40,'Window-U'!$S$4:$S$40)*AI$22))*AI$97</f>
        <v>975.15576065063169</v>
      </c>
      <c r="AJ103" s="174">
        <f>((LOOKUP(AJ$2,'Ceiling-U'!$A$4:$A$40,'Ceiling-U'!$AC$4:$AC$40)*AJ$15)+(LOOKUP(AJ$2,'Floor-U'!$A$4:$A$40,'Floor-U'!$J$4:$J$40)*AJ$16)+(LOOKUP(AJ$2,'Wall-U'!$A$4:$A$40,'Wall-U'!$J$4:$J$40)*AJ$13)+(LOOKUP(AJ$2,'Window-U'!$A$4:$A$40,'Window-U'!$S$4:$S$40)*AJ$22))*AJ$97</f>
        <v>1257.2754682520601</v>
      </c>
      <c r="AK103" s="174">
        <f>((LOOKUP(AK$2,'Ceiling-U'!$A$4:$A$40,'Ceiling-U'!$AC$4:$AC$40)*AK$15)+(LOOKUP(AK$2,'Floor-U'!$A$4:$A$40,'Floor-U'!$J$4:$J$40)*AK$16)+(LOOKUP(AK$2,'Wall-U'!$A$4:$A$40,'Wall-U'!$J$4:$J$40)*AK$13)+(LOOKUP(AK$2,'Window-U'!$A$4:$A$40,'Window-U'!$S$4:$S$40)*AK$22))*AK$97</f>
        <v>1364.9694932814443</v>
      </c>
      <c r="AL103" s="174">
        <f>((LOOKUP(AL$2,'Ceiling-U'!$A$4:$A$40,'Ceiling-U'!$AC$4:$AC$40)*AL$15)+(LOOKUP(AL$2,'Floor-U'!$A$4:$A$40,'Floor-U'!$J$4:$J$40)*AL$16)+(LOOKUP(AL$2,'Wall-U'!$A$4:$A$40,'Wall-U'!$J$4:$J$40)*AL$13)+(LOOKUP(AL$2,'Window-U'!$A$4:$A$40,'Window-U'!$S$4:$S$40)*AL$22))*AL$97</f>
        <v>669.27844363282998</v>
      </c>
      <c r="AM103" s="174">
        <f>((LOOKUP(AM$2,'Ceiling-U'!$A$4:$A$40,'Ceiling-U'!$AC$4:$AC$40)*AM$15)+(LOOKUP(AM$2,'Floor-U'!$A$4:$A$40,'Floor-U'!$J$4:$J$40)*AM$16)+(LOOKUP(AM$2,'Wall-U'!$A$4:$A$40,'Wall-U'!$J$4:$J$40)*AM$13)+(LOOKUP(AM$2,'Window-U'!$A$4:$A$40,'Window-U'!$S$4:$S$40)*AM$22))*AM$97</f>
        <v>1257.2754682520601</v>
      </c>
      <c r="AN103" s="175">
        <f>((LOOKUP(AN$2,'Ceiling-U'!$A$4:$A$40,'Ceiling-U'!$AC$4:$AC$40)*AN$15)+(LOOKUP(AN$2,'Floor-U'!$A$4:$A$40,'Floor-U'!$J$4:$J$40)*AN$16)+(LOOKUP(AN$2,'Wall-U'!$A$4:$A$40,'Wall-U'!$J$4:$J$40)*AN$13)+(LOOKUP(AN$2,'Window-U'!$A$4:$A$40,'Window-U'!$S$4:$S$40)*AN$22))*AN$97</f>
        <v>1257.2754682520601</v>
      </c>
    </row>
    <row r="104" spans="1:40">
      <c r="A104" s="332" t="s">
        <v>280</v>
      </c>
      <c r="B104" s="142" t="s">
        <v>2</v>
      </c>
      <c r="C104" s="360" t="s">
        <v>261</v>
      </c>
      <c r="D104" s="351">
        <f>D98*24*LOOKUP(D$2,'HDD-by Country'!$A$4:$A$40,'HDD-by Country'!$C$4:$C$40)/1000/D$3</f>
        <v>9321.5690361987272</v>
      </c>
      <c r="E104" s="352">
        <f>E98*24*LOOKUP(E$2,'HDD-by Country'!$A$4:$A$40,'HDD-by Country'!$C$4:$C$40)/1000/E$3</f>
        <v>8576.3321879479863</v>
      </c>
      <c r="F104" s="352">
        <f>F98*24*LOOKUP(F$2,'HDD-by Country'!$A$4:$A$40,'HDD-by Country'!$C$4:$C$40)/1000/F$3</f>
        <v>4960.9462682826179</v>
      </c>
      <c r="G104" s="352">
        <f>G98*24*LOOKUP(G$2,'HDD-by Country'!$A$4:$A$40,'HDD-by Country'!$C$4:$C$40)/1000/G$3</f>
        <v>9081.6181824409541</v>
      </c>
      <c r="H104" s="352">
        <f>H98*24*LOOKUP(H$2,'HDD-by Country'!$A$4:$A$40,'HDD-by Country'!$C$4:$C$40)/1000/H$3</f>
        <v>3047.6809008918431</v>
      </c>
      <c r="I104" s="352">
        <f>I98*24*LOOKUP(I$2,'HDD-by Country'!$A$4:$A$40,'HDD-by Country'!$C$4:$C$40)/1000/I$3</f>
        <v>5495.5516265696597</v>
      </c>
      <c r="J104" s="352">
        <f>J98*24*LOOKUP(J$2,'HDD-by Country'!$A$4:$A$40,'HDD-by Country'!$C$4:$C$40)/1000/J$3</f>
        <v>8557.9152173236616</v>
      </c>
      <c r="K104" s="352">
        <f>K98*24*LOOKUP(K$2,'HDD-by Country'!$A$4:$A$40,'HDD-by Country'!$C$4:$C$40)/1000/K$3</f>
        <v>4681.3368094079424</v>
      </c>
      <c r="L104" s="352">
        <f>L98*24*LOOKUP(L$2,'HDD-by Country'!$A$4:$A$40,'HDD-by Country'!$C$4:$C$40)/1000/L$3</f>
        <v>3266.8586877914381</v>
      </c>
      <c r="M104" s="352">
        <f>M98*24*LOOKUP(M$2,'HDD-by Country'!$A$4:$A$40,'HDD-by Country'!$C$4:$C$40)/1000/M$3</f>
        <v>11076.053162921555</v>
      </c>
      <c r="N104" s="352">
        <f>N98*24*LOOKUP(N$2,'HDD-by Country'!$A$4:$A$40,'HDD-by Country'!$C$4:$C$40)/1000/N$3</f>
        <v>4107.3662276964742</v>
      </c>
      <c r="O104" s="352">
        <f>O98*24*LOOKUP(O$2,'HDD-by Country'!$A$4:$A$40,'HDD-by Country'!$C$4:$C$40)/1000/O$3</f>
        <v>9707.1882825060275</v>
      </c>
      <c r="P104" s="352">
        <f>P98*24*LOOKUP(P$2,'HDD-by Country'!$A$4:$A$40,'HDD-by Country'!$C$4:$C$40)/1000/P$3</f>
        <v>8477.4800685043665</v>
      </c>
      <c r="Q104" s="352">
        <f>Q98*24*LOOKUP(Q$2,'HDD-by Country'!$A$4:$A$40,'HDD-by Country'!$C$4:$C$40)/1000/Q$3</f>
        <v>5224.0739121253737</v>
      </c>
      <c r="R104" s="352">
        <f>R98*24*LOOKUP(R$2,'HDD-by Country'!$A$4:$A$40,'HDD-by Country'!$C$4:$C$40)/1000/R$3</f>
        <v>5940.7837264627015</v>
      </c>
      <c r="S104" s="352">
        <f>S98*24*LOOKUP(S$2,'HDD-by Country'!$A$4:$A$40,'HDD-by Country'!$C$4:$C$40)/1000/S$3</f>
        <v>4203.3443916846863</v>
      </c>
      <c r="T104" s="352">
        <f>T98*24*LOOKUP(T$2,'HDD-by Country'!$A$4:$A$40,'HDD-by Country'!$C$4:$C$40)/1000/T$3</f>
        <v>4925.1197492172778</v>
      </c>
      <c r="U104" s="352">
        <f>U98*24*LOOKUP(U$2,'HDD-by Country'!$A$4:$A$40,'HDD-by Country'!$C$4:$C$40)/1000/U$3</f>
        <v>7109.6223975602243</v>
      </c>
      <c r="V104" s="352">
        <f>V98*24*LOOKUP(V$2,'HDD-by Country'!$A$4:$A$40,'HDD-by Country'!$C$4:$C$40)/1000/V$3</f>
        <v>5973.0061904139793</v>
      </c>
      <c r="W104" s="352">
        <f>W98*24*LOOKUP(W$2,'HDD-by Country'!$A$4:$A$40,'HDD-by Country'!$C$4:$C$40)/1000/W$3</f>
        <v>7199.3012106159713</v>
      </c>
      <c r="X104" s="352">
        <f>X98*24*LOOKUP(X$2,'HDD-by Country'!$A$4:$A$40,'HDD-by Country'!$C$4:$C$40)/1000/X$3</f>
        <v>6201.2371870421175</v>
      </c>
      <c r="Y104" s="352">
        <f>Y98*24*LOOKUP(Y$2,'HDD-by Country'!$A$4:$A$40,'HDD-by Country'!$C$4:$C$40)/1000/Y$3</f>
        <v>2980.2552392623807</v>
      </c>
      <c r="Z104" s="352">
        <f>Z98*24*LOOKUP(Z$2,'HDD-by Country'!$A$4:$A$40,'HDD-by Country'!$C$4:$C$40)/1000/Z$3</f>
        <v>8845.4540280670735</v>
      </c>
      <c r="AA104" s="352">
        <f>AA98*24*LOOKUP(AA$2,'HDD-by Country'!$A$4:$A$40,'HDD-by Country'!$C$4:$C$40)/1000/AA$3</f>
        <v>4726.4349676175389</v>
      </c>
      <c r="AB104" s="352">
        <f>AB98*24*LOOKUP(AB$2,'HDD-by Country'!$A$4:$A$40,'HDD-by Country'!$C$4:$C$40)/1000/AB$3</f>
        <v>7156.0630315957387</v>
      </c>
      <c r="AC104" s="352">
        <f>AC98*24*LOOKUP(AC$2,'HDD-by Country'!$A$4:$A$40,'HDD-by Country'!$C$4:$C$40)/1000/AC$3</f>
        <v>5249.6776505043044</v>
      </c>
      <c r="AD104" s="352">
        <f>AD98*24*LOOKUP(AD$2,'HDD-by Country'!$A$4:$A$40,'HDD-by Country'!$C$4:$C$40)/1000/AD$3</f>
        <v>4513.0387866996625</v>
      </c>
      <c r="AE104" s="352">
        <f>AE98*24*LOOKUP(AE$2,'HDD-by Country'!$A$4:$A$40,'HDD-by Country'!$C$4:$C$40)/1000/AE$3</f>
        <v>4557.3347438380943</v>
      </c>
      <c r="AF104" s="352">
        <f>AF98*24*LOOKUP(AF$2,'HDD-by Country'!$A$4:$A$40,'HDD-by Country'!$C$4:$C$40)/1000/AF$3</f>
        <v>5941.6685457620824</v>
      </c>
      <c r="AG104" s="352">
        <f>AG98*24*LOOKUP(AG$2,'HDD-by Country'!$A$4:$A$40,'HDD-by Country'!$C$4:$C$40)/1000/AG$3</f>
        <v>8578.5192039227877</v>
      </c>
      <c r="AH104" s="352">
        <f>AH98*24*LOOKUP(AH$2,'HDD-by Country'!$A$4:$A$40,'HDD-by Country'!$C$4:$C$40)/1000/AH$3</f>
        <v>4336.3311969422821</v>
      </c>
      <c r="AI104" s="352">
        <f>AI98*24*LOOKUP(AI$2,'HDD-by Country'!$A$4:$A$40,'HDD-by Country'!$C$4:$C$40)/1000/AI$3</f>
        <v>6710.4627173944145</v>
      </c>
      <c r="AJ104" s="352">
        <f>AJ98*24*LOOKUP(AJ$2,'HDD-by Country'!$A$4:$A$40,'HDD-by Country'!$C$4:$C$40)/1000/AJ$3</f>
        <v>6518.6479058525674</v>
      </c>
      <c r="AK104" s="352">
        <f>AK98*24*LOOKUP(AK$2,'HDD-by Country'!$A$4:$A$40,'HDD-by Country'!$C$4:$C$40)/1000/AK$3</f>
        <v>6279.2021297708361</v>
      </c>
      <c r="AL104" s="352">
        <f>AL98*24*LOOKUP(AL$2,'HDD-by Country'!$A$4:$A$40,'HDD-by Country'!$C$4:$C$40)/1000/AL$3</f>
        <v>6614.1759382507535</v>
      </c>
      <c r="AM104" s="352">
        <f>AM98*24*LOOKUP(AM$2,'HDD-by Country'!$A$4:$A$40,'HDD-by Country'!$C$4:$C$40)/1000/AM$3</f>
        <v>5994.3897751628501</v>
      </c>
      <c r="AN104" s="353">
        <f>AN98*24*LOOKUP(AN$2,'HDD-by Country'!$A$4:$A$40,'HDD-by Country'!$C$4:$C$40)/1000/AN$3</f>
        <v>5994.3897751628501</v>
      </c>
    </row>
    <row r="105" spans="1:40">
      <c r="A105" s="129"/>
      <c r="B105" s="142" t="s">
        <v>3</v>
      </c>
      <c r="C105" s="129" t="s">
        <v>261</v>
      </c>
      <c r="D105" s="345">
        <f>D99*24*LOOKUP(D$2,'HDD-by Country'!$A$4:$A$40,'HDD-by Country'!$C$4:$C$40)/1000/D$3</f>
        <v>8198.0631154482617</v>
      </c>
      <c r="E105" s="349">
        <f>E99*24*LOOKUP(E$2,'HDD-by Country'!$A$4:$A$40,'HDD-by Country'!$C$4:$C$40)/1000/E$3</f>
        <v>8576.3321879479863</v>
      </c>
      <c r="F105" s="349">
        <f>F99*24*LOOKUP(F$2,'HDD-by Country'!$A$4:$A$40,'HDD-by Country'!$C$4:$C$40)/1000/F$3</f>
        <v>4960.9462682826179</v>
      </c>
      <c r="G105" s="349">
        <f>G99*24*LOOKUP(G$2,'HDD-by Country'!$A$4:$A$40,'HDD-by Country'!$C$4:$C$40)/1000/G$3</f>
        <v>7987.0329513124934</v>
      </c>
      <c r="H105" s="349">
        <f>H99*24*LOOKUP(H$2,'HDD-by Country'!$A$4:$A$40,'HDD-by Country'!$C$4:$C$40)/1000/H$3</f>
        <v>2663.6168210380738</v>
      </c>
      <c r="I105" s="349">
        <f>I99*24*LOOKUP(I$2,'HDD-by Country'!$A$4:$A$40,'HDD-by Country'!$C$4:$C$40)/1000/I$3</f>
        <v>4899.9253585657552</v>
      </c>
      <c r="J105" s="349">
        <f>J99*24*LOOKUP(J$2,'HDD-by Country'!$A$4:$A$40,'HDD-by Country'!$C$4:$C$40)/1000/J$3</f>
        <v>6758.3497720119367</v>
      </c>
      <c r="K105" s="349">
        <f>K99*24*LOOKUP(K$2,'HDD-by Country'!$A$4:$A$40,'HDD-by Country'!$C$4:$C$40)/1000/K$3</f>
        <v>4623.6755522652265</v>
      </c>
      <c r="L105" s="349">
        <f>L99*24*LOOKUP(L$2,'HDD-by Country'!$A$4:$A$40,'HDD-by Country'!$C$4:$C$40)/1000/L$3</f>
        <v>3266.8586877914381</v>
      </c>
      <c r="M105" s="349">
        <f>M99*24*LOOKUP(M$2,'HDD-by Country'!$A$4:$A$40,'HDD-by Country'!$C$4:$C$40)/1000/M$3</f>
        <v>9704.5664410853024</v>
      </c>
      <c r="N105" s="349">
        <f>N99*24*LOOKUP(N$2,'HDD-by Country'!$A$4:$A$40,'HDD-by Country'!$C$4:$C$40)/1000/N$3</f>
        <v>3701.2693803517614</v>
      </c>
      <c r="O105" s="349">
        <f>O99*24*LOOKUP(O$2,'HDD-by Country'!$A$4:$A$40,'HDD-by Country'!$C$4:$C$40)/1000/O$3</f>
        <v>9707.1882825060275</v>
      </c>
      <c r="P105" s="349">
        <f>P99*24*LOOKUP(P$2,'HDD-by Country'!$A$4:$A$40,'HDD-by Country'!$C$4:$C$40)/1000/P$3</f>
        <v>8477.4800685043665</v>
      </c>
      <c r="Q105" s="349">
        <f>Q99*24*LOOKUP(Q$2,'HDD-by Country'!$A$4:$A$40,'HDD-by Country'!$C$4:$C$40)/1000/Q$3</f>
        <v>5821.9420421988634</v>
      </c>
      <c r="R105" s="349">
        <f>R99*24*LOOKUP(R$2,'HDD-by Country'!$A$4:$A$40,'HDD-by Country'!$C$4:$C$40)/1000/R$3</f>
        <v>5940.7837264627015</v>
      </c>
      <c r="S105" s="349">
        <f>S99*24*LOOKUP(S$2,'HDD-by Country'!$A$4:$A$40,'HDD-by Country'!$C$4:$C$40)/1000/S$3</f>
        <v>4204.2166220028403</v>
      </c>
      <c r="T105" s="349">
        <f>T99*24*LOOKUP(T$2,'HDD-by Country'!$A$4:$A$40,'HDD-by Country'!$C$4:$C$40)/1000/T$3</f>
        <v>4484.2677279100108</v>
      </c>
      <c r="U105" s="349">
        <f>U99*24*LOOKUP(U$2,'HDD-by Country'!$A$4:$A$40,'HDD-by Country'!$C$4:$C$40)/1000/U$3</f>
        <v>6492.6089046918432</v>
      </c>
      <c r="V105" s="349">
        <f>V99*24*LOOKUP(V$2,'HDD-by Country'!$A$4:$A$40,'HDD-by Country'!$C$4:$C$40)/1000/V$3</f>
        <v>5973.0061904139793</v>
      </c>
      <c r="W105" s="349">
        <f>W99*24*LOOKUP(W$2,'HDD-by Country'!$A$4:$A$40,'HDD-by Country'!$C$4:$C$40)/1000/W$3</f>
        <v>9514.5805636442419</v>
      </c>
      <c r="X105" s="349">
        <f>X99*24*LOOKUP(X$2,'HDD-by Country'!$A$4:$A$40,'HDD-by Country'!$C$4:$C$40)/1000/X$3</f>
        <v>6201.2371870421175</v>
      </c>
      <c r="Y105" s="349">
        <f>Y99*24*LOOKUP(Y$2,'HDD-by Country'!$A$4:$A$40,'HDD-by Country'!$C$4:$C$40)/1000/Y$3</f>
        <v>2980.2056428948977</v>
      </c>
      <c r="Z105" s="349">
        <f>Z99*24*LOOKUP(Z$2,'HDD-by Country'!$A$4:$A$40,'HDD-by Country'!$C$4:$C$40)/1000/Z$3</f>
        <v>7761.9981917455762</v>
      </c>
      <c r="AA105" s="349">
        <f>AA99*24*LOOKUP(AA$2,'HDD-by Country'!$A$4:$A$40,'HDD-by Country'!$C$4:$C$40)/1000/AA$3</f>
        <v>4726.4349676175389</v>
      </c>
      <c r="AB105" s="349">
        <f>AB99*24*LOOKUP(AB$2,'HDD-by Country'!$A$4:$A$40,'HDD-by Country'!$C$4:$C$40)/1000/AB$3</f>
        <v>5391.2318864399667</v>
      </c>
      <c r="AC105" s="349">
        <f>AC99*24*LOOKUP(AC$2,'HDD-by Country'!$A$4:$A$40,'HDD-by Country'!$C$4:$C$40)/1000/AC$3</f>
        <v>4301.1679465090619</v>
      </c>
      <c r="AD105" s="349">
        <f>AD99*24*LOOKUP(AD$2,'HDD-by Country'!$A$4:$A$40,'HDD-by Country'!$C$4:$C$40)/1000/AD$3</f>
        <v>4020.8570941088487</v>
      </c>
      <c r="AE105" s="349">
        <f>AE99*24*LOOKUP(AE$2,'HDD-by Country'!$A$4:$A$40,'HDD-by Country'!$C$4:$C$40)/1000/AE$3</f>
        <v>4557.3347438380943</v>
      </c>
      <c r="AF105" s="349">
        <f>AF99*24*LOOKUP(AF$2,'HDD-by Country'!$A$4:$A$40,'HDD-by Country'!$C$4:$C$40)/1000/AF$3</f>
        <v>5941.6685457620824</v>
      </c>
      <c r="AG105" s="349">
        <f>AG99*24*LOOKUP(AG$2,'HDD-by Country'!$A$4:$A$40,'HDD-by Country'!$C$4:$C$40)/1000/AG$3</f>
        <v>7045.5967554286062</v>
      </c>
      <c r="AH105" s="349">
        <f>AH99*24*LOOKUP(AH$2,'HDD-by Country'!$A$4:$A$40,'HDD-by Country'!$C$4:$C$40)/1000/AH$3</f>
        <v>4679.4091583884419</v>
      </c>
      <c r="AI105" s="349">
        <f>AI99*24*LOOKUP(AI$2,'HDD-by Country'!$A$4:$A$40,'HDD-by Country'!$C$4:$C$40)/1000/AI$3</f>
        <v>6710.4627173944145</v>
      </c>
      <c r="AJ105" s="349">
        <f>AJ99*24*LOOKUP(AJ$2,'HDD-by Country'!$A$4:$A$40,'HDD-by Country'!$C$4:$C$40)/1000/AJ$3</f>
        <v>6518.6479058525674</v>
      </c>
      <c r="AK105" s="349">
        <f>AK99*24*LOOKUP(AK$2,'HDD-by Country'!$A$4:$A$40,'HDD-by Country'!$C$4:$C$40)/1000/AK$3</f>
        <v>6279.2021297708361</v>
      </c>
      <c r="AL105" s="349">
        <f>AL99*24*LOOKUP(AL$2,'HDD-by Country'!$A$4:$A$40,'HDD-by Country'!$C$4:$C$40)/1000/AL$3</f>
        <v>6614.1759382507535</v>
      </c>
      <c r="AM105" s="349">
        <f>AM99*24*LOOKUP(AM$2,'HDD-by Country'!$A$4:$A$40,'HDD-by Country'!$C$4:$C$40)/1000/AM$3</f>
        <v>5994.3897751628501</v>
      </c>
      <c r="AN105" s="354">
        <f>AN99*24*LOOKUP(AN$2,'HDD-by Country'!$A$4:$A$40,'HDD-by Country'!$C$4:$C$40)/1000/AN$3</f>
        <v>5994.3897751628501</v>
      </c>
    </row>
    <row r="106" spans="1:40">
      <c r="A106" s="129"/>
      <c r="B106" s="142" t="s">
        <v>4</v>
      </c>
      <c r="C106" s="129" t="s">
        <v>261</v>
      </c>
      <c r="D106" s="345">
        <f>D100*24*LOOKUP(D$2,'HDD-by Country'!$A$4:$A$40,'HDD-by Country'!$C$4:$C$40)/1000/D$3</f>
        <v>6458.1313812245917</v>
      </c>
      <c r="E106" s="349">
        <f>E100*24*LOOKUP(E$2,'HDD-by Country'!$A$4:$A$40,'HDD-by Country'!$C$4:$C$40)/1000/E$3</f>
        <v>8576.3321879479863</v>
      </c>
      <c r="F106" s="349">
        <f>F100*24*LOOKUP(F$2,'HDD-by Country'!$A$4:$A$40,'HDD-by Country'!$C$4:$C$40)/1000/F$3</f>
        <v>4614.0471431723654</v>
      </c>
      <c r="G106" s="349">
        <f>G100*24*LOOKUP(G$2,'HDD-by Country'!$A$4:$A$40,'HDD-by Country'!$C$4:$C$40)/1000/G$3</f>
        <v>6291.8896109188663</v>
      </c>
      <c r="H106" s="349">
        <f>H100*24*LOOKUP(H$2,'HDD-by Country'!$A$4:$A$40,'HDD-by Country'!$C$4:$C$40)/1000/H$3</f>
        <v>2279.5527411843041</v>
      </c>
      <c r="I106" s="349">
        <f>I100*24*LOOKUP(I$2,'HDD-by Country'!$A$4:$A$40,'HDD-by Country'!$C$4:$C$40)/1000/I$3</f>
        <v>4899.9253585657552</v>
      </c>
      <c r="J106" s="349">
        <f>J100*24*LOOKUP(J$2,'HDD-by Country'!$A$4:$A$40,'HDD-by Country'!$C$4:$C$40)/1000/J$3</f>
        <v>4250.4146415959076</v>
      </c>
      <c r="K106" s="349">
        <f>K100*24*LOOKUP(K$2,'HDD-by Country'!$A$4:$A$40,'HDD-by Country'!$C$4:$C$40)/1000/K$3</f>
        <v>2793.8261677985943</v>
      </c>
      <c r="L106" s="349">
        <f>L100*24*LOOKUP(L$2,'HDD-by Country'!$A$4:$A$40,'HDD-by Country'!$C$4:$C$40)/1000/L$3</f>
        <v>2476.4806151463094</v>
      </c>
      <c r="M106" s="349">
        <f>M100*24*LOOKUP(M$2,'HDD-by Country'!$A$4:$A$40,'HDD-by Country'!$C$4:$C$40)/1000/M$3</f>
        <v>9704.5664410853024</v>
      </c>
      <c r="N106" s="349">
        <f>N100*24*LOOKUP(N$2,'HDD-by Country'!$A$4:$A$40,'HDD-by Country'!$C$4:$C$40)/1000/N$3</f>
        <v>2941.4079572280543</v>
      </c>
      <c r="O106" s="349">
        <f>O100*24*LOOKUP(O$2,'HDD-by Country'!$A$4:$A$40,'HDD-by Country'!$C$4:$C$40)/1000/O$3</f>
        <v>4184.2875743075565</v>
      </c>
      <c r="P106" s="349">
        <f>P100*24*LOOKUP(P$2,'HDD-by Country'!$A$4:$A$40,'HDD-by Country'!$C$4:$C$40)/1000/P$3</f>
        <v>8477.4800685043665</v>
      </c>
      <c r="Q106" s="349">
        <f>Q100*24*LOOKUP(Q$2,'HDD-by Country'!$A$4:$A$40,'HDD-by Country'!$C$4:$C$40)/1000/Q$3</f>
        <v>5224.4950602536883</v>
      </c>
      <c r="R106" s="349">
        <f>R100*24*LOOKUP(R$2,'HDD-by Country'!$A$4:$A$40,'HDD-by Country'!$C$4:$C$40)/1000/R$3</f>
        <v>4994.5830692570098</v>
      </c>
      <c r="S106" s="349">
        <f>S100*24*LOOKUP(S$2,'HDD-by Country'!$A$4:$A$40,'HDD-by Country'!$C$4:$C$40)/1000/S$3</f>
        <v>4189.0036764660927</v>
      </c>
      <c r="T106" s="349">
        <f>T100*24*LOOKUP(T$2,'HDD-by Country'!$A$4:$A$40,'HDD-by Country'!$C$4:$C$40)/1000/T$3</f>
        <v>3468.1522938977105</v>
      </c>
      <c r="U106" s="349">
        <f>U100*24*LOOKUP(U$2,'HDD-by Country'!$A$4:$A$40,'HDD-by Country'!$C$4:$C$40)/1000/U$3</f>
        <v>6330.5156097360123</v>
      </c>
      <c r="V106" s="349">
        <f>V100*24*LOOKUP(V$2,'HDD-by Country'!$A$4:$A$40,'HDD-by Country'!$C$4:$C$40)/1000/V$3</f>
        <v>3552.5582634906177</v>
      </c>
      <c r="W106" s="349">
        <f>W100*24*LOOKUP(W$2,'HDD-by Country'!$A$4:$A$40,'HDD-by Country'!$C$4:$C$40)/1000/W$3</f>
        <v>4159.8878648072905</v>
      </c>
      <c r="X106" s="349">
        <f>X100*24*LOOKUP(X$2,'HDD-by Country'!$A$4:$A$40,'HDD-by Country'!$C$4:$C$40)/1000/X$3</f>
        <v>5711.3826080029776</v>
      </c>
      <c r="Y106" s="349">
        <f>Y100*24*LOOKUP(Y$2,'HDD-by Country'!$A$4:$A$40,'HDD-by Country'!$C$4:$C$40)/1000/Y$3</f>
        <v>2102.6308736362544</v>
      </c>
      <c r="Z106" s="349">
        <f>Z100*24*LOOKUP(Z$2,'HDD-by Country'!$A$4:$A$40,'HDD-by Country'!$C$4:$C$40)/1000/Z$3</f>
        <v>7560.9614831076542</v>
      </c>
      <c r="AA106" s="349">
        <f>AA100*24*LOOKUP(AA$2,'HDD-by Country'!$A$4:$A$40,'HDD-by Country'!$C$4:$C$40)/1000/AA$3</f>
        <v>2895.4486182417481</v>
      </c>
      <c r="AB106" s="349">
        <f>AB100*24*LOOKUP(AB$2,'HDD-by Country'!$A$4:$A$40,'HDD-by Country'!$C$4:$C$40)/1000/AB$3</f>
        <v>3537.3329348012644</v>
      </c>
      <c r="AC106" s="349">
        <f>AC100*24*LOOKUP(AC$2,'HDD-by Country'!$A$4:$A$40,'HDD-by Country'!$C$4:$C$40)/1000/AC$3</f>
        <v>4300.4925879451566</v>
      </c>
      <c r="AD106" s="349">
        <f>AD100*24*LOOKUP(AD$2,'HDD-by Country'!$A$4:$A$40,'HDD-by Country'!$C$4:$C$40)/1000/AD$3</f>
        <v>4020.8570941088487</v>
      </c>
      <c r="AE106" s="349">
        <f>AE100*24*LOOKUP(AE$2,'HDD-by Country'!$A$4:$A$40,'HDD-by Country'!$C$4:$C$40)/1000/AE$3</f>
        <v>2791.85658478712</v>
      </c>
      <c r="AF106" s="349">
        <f>AF100*24*LOOKUP(AF$2,'HDD-by Country'!$A$4:$A$40,'HDD-by Country'!$C$4:$C$40)/1000/AF$3</f>
        <v>5821.2642104978731</v>
      </c>
      <c r="AG106" s="349">
        <f>AG100*24*LOOKUP(AG$2,'HDD-by Country'!$A$4:$A$40,'HDD-by Country'!$C$4:$C$40)/1000/AG$3</f>
        <v>7045.5967554286062</v>
      </c>
      <c r="AH106" s="349">
        <f>AH100*24*LOOKUP(AH$2,'HDD-by Country'!$A$4:$A$40,'HDD-by Country'!$C$4:$C$40)/1000/AH$3</f>
        <v>3903.5641826932929</v>
      </c>
      <c r="AI106" s="349">
        <f>AI100*24*LOOKUP(AI$2,'HDD-by Country'!$A$4:$A$40,'HDD-by Country'!$C$4:$C$40)/1000/AI$3</f>
        <v>6710.4627173944145</v>
      </c>
      <c r="AJ106" s="349">
        <f>AJ100*24*LOOKUP(AJ$2,'HDD-by Country'!$A$4:$A$40,'HDD-by Country'!$C$4:$C$40)/1000/AJ$3</f>
        <v>6518.6479058525674</v>
      </c>
      <c r="AK106" s="349">
        <f>AK100*24*LOOKUP(AK$2,'HDD-by Country'!$A$4:$A$40,'HDD-by Country'!$C$4:$C$40)/1000/AK$3</f>
        <v>6279.2021297708361</v>
      </c>
      <c r="AL106" s="349">
        <f>AL100*24*LOOKUP(AL$2,'HDD-by Country'!$A$4:$A$40,'HDD-by Country'!$C$4:$C$40)/1000/AL$3</f>
        <v>6144.0497973300935</v>
      </c>
      <c r="AM106" s="349">
        <f>AM100*24*LOOKUP(AM$2,'HDD-by Country'!$A$4:$A$40,'HDD-by Country'!$C$4:$C$40)/1000/AM$3</f>
        <v>5994.3897751628501</v>
      </c>
      <c r="AN106" s="354">
        <f>AN100*24*LOOKUP(AN$2,'HDD-by Country'!$A$4:$A$40,'HDD-by Country'!$C$4:$C$40)/1000/AN$3</f>
        <v>5994.3897751628501</v>
      </c>
    </row>
    <row r="107" spans="1:40">
      <c r="A107" s="129"/>
      <c r="B107" s="142" t="s">
        <v>5</v>
      </c>
      <c r="C107" s="129" t="s">
        <v>261</v>
      </c>
      <c r="D107" s="345">
        <f>D101*24*LOOKUP(D$2,'HDD-by Country'!$A$4:$A$40,'HDD-by Country'!$C$4:$C$40)/1000/D$3</f>
        <v>4262.1720416167991</v>
      </c>
      <c r="E107" s="349">
        <f>E101*24*LOOKUP(E$2,'HDD-by Country'!$A$4:$A$40,'HDD-by Country'!$C$4:$C$40)/1000/E$3</f>
        <v>7302.6381103374106</v>
      </c>
      <c r="F107" s="349">
        <f>F101*24*LOOKUP(F$2,'HDD-by Country'!$A$4:$A$40,'HDD-by Country'!$C$4:$C$40)/1000/F$3</f>
        <v>3721.3738444751157</v>
      </c>
      <c r="G107" s="349">
        <f>G101*24*LOOKUP(G$2,'HDD-by Country'!$A$4:$A$40,'HDD-by Country'!$C$4:$C$40)/1000/G$3</f>
        <v>4152.4574843060145</v>
      </c>
      <c r="H107" s="349">
        <f>H101*24*LOOKUP(H$2,'HDD-by Country'!$A$4:$A$40,'HDD-by Country'!$C$4:$C$40)/1000/H$3</f>
        <v>2197.3489011843044</v>
      </c>
      <c r="I107" s="349">
        <f>I101*24*LOOKUP(I$2,'HDD-by Country'!$A$4:$A$40,'HDD-by Country'!$C$4:$C$40)/1000/I$3</f>
        <v>4288.471259911681</v>
      </c>
      <c r="J107" s="349">
        <f>J101*24*LOOKUP(J$2,'HDD-by Country'!$A$4:$A$40,'HDD-by Country'!$C$4:$C$40)/1000/J$3</f>
        <v>3583.2678077395772</v>
      </c>
      <c r="K107" s="349">
        <f>K101*24*LOOKUP(K$2,'HDD-by Country'!$A$4:$A$40,'HDD-by Country'!$C$4:$C$40)/1000/K$3</f>
        <v>2162.4700055252415</v>
      </c>
      <c r="L107" s="349">
        <f>L101*24*LOOKUP(L$2,'HDD-by Country'!$A$4:$A$40,'HDD-by Country'!$C$4:$C$40)/1000/L$3</f>
        <v>2025.4742640727836</v>
      </c>
      <c r="M107" s="349">
        <f>M101*24*LOOKUP(M$2,'HDD-by Country'!$A$4:$A$40,'HDD-by Country'!$C$4:$C$40)/1000/M$3</f>
        <v>6579.540371420092</v>
      </c>
      <c r="N107" s="349">
        <f>N101*24*LOOKUP(N$2,'HDD-by Country'!$A$4:$A$40,'HDD-by Country'!$C$4:$C$40)/1000/N$3</f>
        <v>2375.3136964609098</v>
      </c>
      <c r="O107" s="349">
        <f>O101*24*LOOKUP(O$2,'HDD-by Country'!$A$4:$A$40,'HDD-by Country'!$C$4:$C$40)/1000/O$3</f>
        <v>3554.1582068299199</v>
      </c>
      <c r="P107" s="349">
        <f>P101*24*LOOKUP(P$2,'HDD-by Country'!$A$4:$A$40,'HDD-by Country'!$C$4:$C$40)/1000/P$3</f>
        <v>8244.3939885043674</v>
      </c>
      <c r="Q107" s="349">
        <f>Q101*24*LOOKUP(Q$2,'HDD-by Country'!$A$4:$A$40,'HDD-by Country'!$C$4:$C$40)/1000/Q$3</f>
        <v>5224.4950602536883</v>
      </c>
      <c r="R107" s="349">
        <f>R101*24*LOOKUP(R$2,'HDD-by Country'!$A$4:$A$40,'HDD-by Country'!$C$4:$C$40)/1000/R$3</f>
        <v>3319.1028697128727</v>
      </c>
      <c r="S107" s="349">
        <f>S101*24*LOOKUP(S$2,'HDD-by Country'!$A$4:$A$40,'HDD-by Country'!$C$4:$C$40)/1000/S$3</f>
        <v>2832.3639013334914</v>
      </c>
      <c r="T107" s="349">
        <f>T101*24*LOOKUP(T$2,'HDD-by Country'!$A$4:$A$40,'HDD-by Country'!$C$4:$C$40)/1000/T$3</f>
        <v>2700.3532719561726</v>
      </c>
      <c r="U107" s="349">
        <f>U101*24*LOOKUP(U$2,'HDD-by Country'!$A$4:$A$40,'HDD-by Country'!$C$4:$C$40)/1000/U$3</f>
        <v>4476.9533057985554</v>
      </c>
      <c r="V107" s="349">
        <f>V101*24*LOOKUP(V$2,'HDD-by Country'!$A$4:$A$40,'HDD-by Country'!$C$4:$C$40)/1000/V$3</f>
        <v>3552.5582634906177</v>
      </c>
      <c r="W107" s="349">
        <f>W101*24*LOOKUP(W$2,'HDD-by Country'!$A$4:$A$40,'HDD-by Country'!$C$4:$C$40)/1000/W$3</f>
        <v>3862.9960564567164</v>
      </c>
      <c r="X107" s="349">
        <f>X101*24*LOOKUP(X$2,'HDD-by Country'!$A$4:$A$40,'HDD-by Country'!$C$4:$C$40)/1000/X$3</f>
        <v>3272.7882146673037</v>
      </c>
      <c r="Y107" s="349">
        <f>Y101*24*LOOKUP(Y$2,'HDD-by Country'!$A$4:$A$40,'HDD-by Country'!$C$4:$C$40)/1000/Y$3</f>
        <v>1931.2074664042545</v>
      </c>
      <c r="Z107" s="349">
        <f>Z101*24*LOOKUP(Z$2,'HDD-by Country'!$A$4:$A$40,'HDD-by Country'!$C$4:$C$40)/1000/Z$3</f>
        <v>3628.765288889716</v>
      </c>
      <c r="AA107" s="349">
        <f>AA101*24*LOOKUP(AA$2,'HDD-by Country'!$A$4:$A$40,'HDD-by Country'!$C$4:$C$40)/1000/AA$3</f>
        <v>2895.4486182417481</v>
      </c>
      <c r="AB107" s="349">
        <f>AB101*24*LOOKUP(AB$2,'HDD-by Country'!$A$4:$A$40,'HDD-by Country'!$C$4:$C$40)/1000/AB$3</f>
        <v>3537.3329348012644</v>
      </c>
      <c r="AC107" s="349">
        <f>AC101*24*LOOKUP(AC$2,'HDD-by Country'!$A$4:$A$40,'HDD-by Country'!$C$4:$C$40)/1000/AC$3</f>
        <v>4092.692413367427</v>
      </c>
      <c r="AD107" s="349">
        <f>AD101*24*LOOKUP(AD$2,'HDD-by Country'!$A$4:$A$40,'HDD-by Country'!$C$4:$C$40)/1000/AD$3</f>
        <v>3253.8168577473925</v>
      </c>
      <c r="AE107" s="349">
        <f>AE101*24*LOOKUP(AE$2,'HDD-by Country'!$A$4:$A$40,'HDD-by Country'!$C$4:$C$40)/1000/AE$3</f>
        <v>2791.85658478712</v>
      </c>
      <c r="AF107" s="349">
        <f>AF101*24*LOOKUP(AF$2,'HDD-by Country'!$A$4:$A$40,'HDD-by Country'!$C$4:$C$40)/1000/AF$3</f>
        <v>4028.5891982054281</v>
      </c>
      <c r="AG107" s="349">
        <f>AG101*24*LOOKUP(AG$2,'HDD-by Country'!$A$4:$A$40,'HDD-by Country'!$C$4:$C$40)/1000/AG$3</f>
        <v>6168.3419964753075</v>
      </c>
      <c r="AH107" s="349">
        <f>AH101*24*LOOKUP(AH$2,'HDD-by Country'!$A$4:$A$40,'HDD-by Country'!$C$4:$C$40)/1000/AH$3</f>
        <v>1802.8316269567156</v>
      </c>
      <c r="AI107" s="349">
        <f>AI101*24*LOOKUP(AI$2,'HDD-by Country'!$A$4:$A$40,'HDD-by Country'!$C$4:$C$40)/1000/AI$3</f>
        <v>6535.6481573944138</v>
      </c>
      <c r="AJ107" s="349">
        <f>AJ101*24*LOOKUP(AJ$2,'HDD-by Country'!$A$4:$A$40,'HDD-by Country'!$C$4:$C$40)/1000/AJ$3</f>
        <v>5550.1137791229603</v>
      </c>
      <c r="AK107" s="349">
        <f>AK101*24*LOOKUP(AK$2,'HDD-by Country'!$A$4:$A$40,'HDD-by Country'!$C$4:$C$40)/1000/AK$3</f>
        <v>5347.5111075875921</v>
      </c>
      <c r="AL107" s="349">
        <f>AL101*24*LOOKUP(AL$2,'HDD-by Country'!$A$4:$A$40,'HDD-by Country'!$C$4:$C$40)/1000/AL$3</f>
        <v>4954.3092451732346</v>
      </c>
      <c r="AM107" s="349">
        <f>AM101*24*LOOKUP(AM$2,'HDD-by Country'!$A$4:$A$40,'HDD-by Country'!$C$4:$C$40)/1000/AM$3</f>
        <v>5103.7493923694019</v>
      </c>
      <c r="AN107" s="354">
        <f>AN101*24*LOOKUP(AN$2,'HDD-by Country'!$A$4:$A$40,'HDD-by Country'!$C$4:$C$40)/1000/AN$3</f>
        <v>5103.7493923694019</v>
      </c>
    </row>
    <row r="108" spans="1:40">
      <c r="A108" s="129"/>
      <c r="B108" s="142" t="s">
        <v>6</v>
      </c>
      <c r="C108" s="129" t="s">
        <v>261</v>
      </c>
      <c r="D108" s="345">
        <f>D102*24*LOOKUP(D$2,'HDD-by Country'!$A$4:$A$40,'HDD-by Country'!$C$4:$C$40)/1000/D$3</f>
        <v>3436.6466314939944</v>
      </c>
      <c r="E108" s="349">
        <f>E102*24*LOOKUP(E$2,'HDD-by Country'!$A$4:$A$40,'HDD-by Country'!$C$4:$C$40)/1000/E$3</f>
        <v>7302.6381103374106</v>
      </c>
      <c r="F108" s="349">
        <f>F102*24*LOOKUP(F$2,'HDD-by Country'!$A$4:$A$40,'HDD-by Country'!$C$4:$C$40)/1000/F$3</f>
        <v>2948.4557515566498</v>
      </c>
      <c r="G108" s="349">
        <f>G102*24*LOOKUP(G$2,'HDD-by Country'!$A$4:$A$40,'HDD-by Country'!$C$4:$C$40)/1000/G$3</f>
        <v>3348.1823085792071</v>
      </c>
      <c r="H108" s="349">
        <f>H102*24*LOOKUP(H$2,'HDD-by Country'!$A$4:$A$40,'HDD-by Country'!$C$4:$C$40)/1000/H$3</f>
        <v>2197.3489011843044</v>
      </c>
      <c r="I108" s="349">
        <f>I102*24*LOOKUP(I$2,'HDD-by Country'!$A$4:$A$40,'HDD-by Country'!$C$4:$C$40)/1000/I$3</f>
        <v>2998.333663772491</v>
      </c>
      <c r="J108" s="349">
        <f>J102*24*LOOKUP(J$2,'HDD-by Country'!$A$4:$A$40,'HDD-by Country'!$C$4:$C$40)/1000/J$3</f>
        <v>1849.7422925388969</v>
      </c>
      <c r="K108" s="349">
        <f>K102*24*LOOKUP(K$2,'HDD-by Country'!$A$4:$A$40,'HDD-by Country'!$C$4:$C$40)/1000/K$3</f>
        <v>2162.4700055252415</v>
      </c>
      <c r="L108" s="349">
        <f>L102*24*LOOKUP(L$2,'HDD-by Country'!$A$4:$A$40,'HDD-by Country'!$C$4:$C$40)/1000/L$3</f>
        <v>1800.5779447197413</v>
      </c>
      <c r="M108" s="349">
        <f>M102*24*LOOKUP(M$2,'HDD-by Country'!$A$4:$A$40,'HDD-by Country'!$C$4:$C$40)/1000/M$3</f>
        <v>6579.540371420092</v>
      </c>
      <c r="N108" s="349">
        <f>N102*24*LOOKUP(N$2,'HDD-by Country'!$A$4:$A$40,'HDD-by Country'!$C$4:$C$40)/1000/N$3</f>
        <v>2340.9758509158887</v>
      </c>
      <c r="O108" s="349">
        <f>O102*24*LOOKUP(O$2,'HDD-by Country'!$A$4:$A$40,'HDD-by Country'!$C$4:$C$40)/1000/O$3</f>
        <v>1884.6118908034655</v>
      </c>
      <c r="P108" s="349">
        <f>P102*24*LOOKUP(P$2,'HDD-by Country'!$A$4:$A$40,'HDD-by Country'!$C$4:$C$40)/1000/P$3</f>
        <v>8244.3939885043674</v>
      </c>
      <c r="Q108" s="349">
        <f>Q102*24*LOOKUP(Q$2,'HDD-by Country'!$A$4:$A$40,'HDD-by Country'!$C$4:$C$40)/1000/Q$3</f>
        <v>3548.877807083159</v>
      </c>
      <c r="R108" s="349">
        <f>R102*24*LOOKUP(R$2,'HDD-by Country'!$A$4:$A$40,'HDD-by Country'!$C$4:$C$40)/1000/R$3</f>
        <v>3319.1028697128727</v>
      </c>
      <c r="S108" s="349">
        <f>S102*24*LOOKUP(S$2,'HDD-by Country'!$A$4:$A$40,'HDD-by Country'!$C$4:$C$40)/1000/S$3</f>
        <v>2218.9650692106152</v>
      </c>
      <c r="T108" s="349">
        <f>T102*24*LOOKUP(T$2,'HDD-by Country'!$A$4:$A$40,'HDD-by Country'!$C$4:$C$40)/1000/T$3</f>
        <v>2659.2172170904373</v>
      </c>
      <c r="U108" s="349">
        <f>U102*24*LOOKUP(U$2,'HDD-by Country'!$A$4:$A$40,'HDD-by Country'!$C$4:$C$40)/1000/U$3</f>
        <v>4011.1443162822266</v>
      </c>
      <c r="V108" s="349">
        <f>V102*24*LOOKUP(V$2,'HDD-by Country'!$A$4:$A$40,'HDD-by Country'!$C$4:$C$40)/1000/V$3</f>
        <v>3552.5582634906177</v>
      </c>
      <c r="W108" s="349">
        <f>W102*24*LOOKUP(W$2,'HDD-by Country'!$A$4:$A$40,'HDD-by Country'!$C$4:$C$40)/1000/W$3</f>
        <v>3335.7204863238012</v>
      </c>
      <c r="X108" s="349">
        <f>X102*24*LOOKUP(X$2,'HDD-by Country'!$A$4:$A$40,'HDD-by Country'!$C$4:$C$40)/1000/X$3</f>
        <v>3267.6712496521377</v>
      </c>
      <c r="Y108" s="349">
        <f>Y102*24*LOOKUP(Y$2,'HDD-by Country'!$A$4:$A$40,'HDD-by Country'!$C$4:$C$40)/1000/Y$3</f>
        <v>1930.7154192340295</v>
      </c>
      <c r="Z108" s="349">
        <f>Z102*24*LOOKUP(Z$2,'HDD-by Country'!$A$4:$A$40,'HDD-by Country'!$C$4:$C$40)/1000/Z$3</f>
        <v>3281.3799486774478</v>
      </c>
      <c r="AA108" s="349">
        <f>AA102*24*LOOKUP(AA$2,'HDD-by Country'!$A$4:$A$40,'HDD-by Country'!$C$4:$C$40)/1000/AA$3</f>
        <v>2359.8103793458795</v>
      </c>
      <c r="AB108" s="349">
        <f>AB102*24*LOOKUP(AB$2,'HDD-by Country'!$A$4:$A$40,'HDD-by Country'!$C$4:$C$40)/1000/AB$3</f>
        <v>3537.3329348012644</v>
      </c>
      <c r="AC108" s="349">
        <f>AC102*24*LOOKUP(AC$2,'HDD-by Country'!$A$4:$A$40,'HDD-by Country'!$C$4:$C$40)/1000/AC$3</f>
        <v>3632.3975363151098</v>
      </c>
      <c r="AD108" s="349">
        <f>AD102*24*LOOKUP(AD$2,'HDD-by Country'!$A$4:$A$40,'HDD-by Country'!$C$4:$C$40)/1000/AD$3</f>
        <v>3253.8168577473925</v>
      </c>
      <c r="AE108" s="349">
        <f>AE102*24*LOOKUP(AE$2,'HDD-by Country'!$A$4:$A$40,'HDD-by Country'!$C$4:$C$40)/1000/AE$3</f>
        <v>2275.3821652778902</v>
      </c>
      <c r="AF108" s="349">
        <f>AF102*24*LOOKUP(AF$2,'HDD-by Country'!$A$4:$A$40,'HDD-by Country'!$C$4:$C$40)/1000/AF$3</f>
        <v>2800.4697507578721</v>
      </c>
      <c r="AG108" s="349">
        <f>AG102*24*LOOKUP(AG$2,'HDD-by Country'!$A$4:$A$40,'HDD-by Country'!$C$4:$C$40)/1000/AG$3</f>
        <v>5961.6649874986088</v>
      </c>
      <c r="AH108" s="349">
        <f>AH102*24*LOOKUP(AH$2,'HDD-by Country'!$A$4:$A$40,'HDD-by Country'!$C$4:$C$40)/1000/AH$3</f>
        <v>1461.2258086464171</v>
      </c>
      <c r="AI108" s="349">
        <f>AI102*24*LOOKUP(AI$2,'HDD-by Country'!$A$4:$A$40,'HDD-by Country'!$C$4:$C$40)/1000/AI$3</f>
        <v>6535.6481573944138</v>
      </c>
      <c r="AJ108" s="349">
        <f>AJ102*24*LOOKUP(AJ$2,'HDD-by Country'!$A$4:$A$40,'HDD-by Country'!$C$4:$C$40)/1000/AJ$3</f>
        <v>5168.0095188513014</v>
      </c>
      <c r="AK108" s="349">
        <f>AK102*24*LOOKUP(AK$2,'HDD-by Country'!$A$4:$A$40,'HDD-by Country'!$C$4:$C$40)/1000/AK$3</f>
        <v>4980.245771930071</v>
      </c>
      <c r="AL108" s="349">
        <f>AL102*24*LOOKUP(AL$2,'HDD-by Country'!$A$4:$A$40,'HDD-by Country'!$C$4:$C$40)/1000/AL$3</f>
        <v>3911.488628762198</v>
      </c>
      <c r="AM108" s="349">
        <f>AM102*24*LOOKUP(AM$2,'HDD-by Country'!$A$4:$A$40,'HDD-by Country'!$C$4:$C$40)/1000/AM$3</f>
        <v>4752.3756253091879</v>
      </c>
      <c r="AN108" s="354">
        <f>AN102*24*LOOKUP(AN$2,'HDD-by Country'!$A$4:$A$40,'HDD-by Country'!$C$4:$C$40)/1000/AN$3</f>
        <v>4752.3756253091879</v>
      </c>
    </row>
    <row r="109" spans="1:40">
      <c r="A109" s="130"/>
      <c r="B109" s="142" t="s">
        <v>7</v>
      </c>
      <c r="C109" s="129" t="s">
        <v>261</v>
      </c>
      <c r="D109" s="345">
        <f>D103*24*LOOKUP(D$2,'HDD-by Country'!$A$4:$A$40,'HDD-by Country'!$C$4:$C$40)/1000/D$3</f>
        <v>3081.0896215328867</v>
      </c>
      <c r="E109" s="349">
        <f>E103*24*LOOKUP(E$2,'HDD-by Country'!$A$4:$A$40,'HDD-by Country'!$C$4:$C$40)/1000/E$3</f>
        <v>4004.2179686527716</v>
      </c>
      <c r="F109" s="349">
        <f>F103*24*LOOKUP(F$2,'HDD-by Country'!$A$4:$A$40,'HDD-by Country'!$C$4:$C$40)/1000/F$3</f>
        <v>1724.2010229181426</v>
      </c>
      <c r="G109" s="349">
        <f>G103*24*LOOKUP(G$2,'HDD-by Country'!$A$4:$A$40,'HDD-by Country'!$C$4:$C$40)/1000/G$3</f>
        <v>3001.7778573524092</v>
      </c>
      <c r="H109" s="349">
        <f>H103*24*LOOKUP(H$2,'HDD-by Country'!$A$4:$A$40,'HDD-by Country'!$C$4:$C$40)/1000/H$3</f>
        <v>1781.7425214027044</v>
      </c>
      <c r="I109" s="349">
        <f>I103*24*LOOKUP(I$2,'HDD-by Country'!$A$4:$A$40,'HDD-by Country'!$C$4:$C$40)/1000/I$3</f>
        <v>2525.1995754453283</v>
      </c>
      <c r="J109" s="349">
        <f>J103*24*LOOKUP(J$2,'HDD-by Country'!$A$4:$A$40,'HDD-by Country'!$C$4:$C$40)/1000/J$3</f>
        <v>2139.8398408276125</v>
      </c>
      <c r="K109" s="349">
        <f>K103*24*LOOKUP(K$2,'HDD-by Country'!$A$4:$A$40,'HDD-by Country'!$C$4:$C$40)/1000/K$3</f>
        <v>1618.0045429822858</v>
      </c>
      <c r="L109" s="349">
        <f>L103*24*LOOKUP(L$2,'HDD-by Country'!$A$4:$A$40,'HDD-by Country'!$C$4:$C$40)/1000/L$3</f>
        <v>1800.5779447197413</v>
      </c>
      <c r="M109" s="349">
        <f>M103*24*LOOKUP(M$2,'HDD-by Country'!$A$4:$A$40,'HDD-by Country'!$C$4:$C$40)/1000/M$3</f>
        <v>3678.2470335374128</v>
      </c>
      <c r="N109" s="349">
        <f>N103*24*LOOKUP(N$2,'HDD-by Country'!$A$4:$A$40,'HDD-by Country'!$C$4:$C$40)/1000/N$3</f>
        <v>2189.3053326983227</v>
      </c>
      <c r="O109" s="349">
        <f>O103*24*LOOKUP(O$2,'HDD-by Country'!$A$4:$A$40,'HDD-by Country'!$C$4:$C$40)/1000/O$3</f>
        <v>1825.464125486224</v>
      </c>
      <c r="P109" s="349">
        <f>P103*24*LOOKUP(P$2,'HDD-by Country'!$A$4:$A$40,'HDD-by Country'!$C$4:$C$40)/1000/P$3</f>
        <v>2421.2842275696958</v>
      </c>
      <c r="Q109" s="349">
        <f>Q103*24*LOOKUP(Q$2,'HDD-by Country'!$A$4:$A$40,'HDD-by Country'!$C$4:$C$40)/1000/Q$3</f>
        <v>1889.6067426708064</v>
      </c>
      <c r="R109" s="349">
        <f>R103*24*LOOKUP(R$2,'HDD-by Country'!$A$4:$A$40,'HDD-by Country'!$C$4:$C$40)/1000/R$3</f>
        <v>2047.5446647002402</v>
      </c>
      <c r="S109" s="349">
        <f>S103*24*LOOKUP(S$2,'HDD-by Country'!$A$4:$A$40,'HDD-by Country'!$C$4:$C$40)/1000/S$3</f>
        <v>1254.548271915098</v>
      </c>
      <c r="T109" s="349">
        <f>T103*24*LOOKUP(T$2,'HDD-by Country'!$A$4:$A$40,'HDD-by Country'!$C$4:$C$40)/1000/T$3</f>
        <v>2482.4931649911696</v>
      </c>
      <c r="U109" s="349">
        <f>U103*24*LOOKUP(U$2,'HDD-by Country'!$A$4:$A$40,'HDD-by Country'!$C$4:$C$40)/1000/U$3</f>
        <v>4011.1443162822266</v>
      </c>
      <c r="V109" s="349">
        <f>V103*24*LOOKUP(V$2,'HDD-by Country'!$A$4:$A$40,'HDD-by Country'!$C$4:$C$40)/1000/V$3</f>
        <v>1681.9821811333507</v>
      </c>
      <c r="W109" s="349">
        <f>W103*24*LOOKUP(W$2,'HDD-by Country'!$A$4:$A$40,'HDD-by Country'!$C$4:$C$40)/1000/W$3</f>
        <v>2586.5135072357889</v>
      </c>
      <c r="X109" s="349">
        <f>X103*24*LOOKUP(X$2,'HDD-by Country'!$A$4:$A$40,'HDD-by Country'!$C$4:$C$40)/1000/X$3</f>
        <v>1672.0802223704309</v>
      </c>
      <c r="Y109" s="349">
        <f>Y103*24*LOOKUP(Y$2,'HDD-by Country'!$A$4:$A$40,'HDD-by Country'!$C$4:$C$40)/1000/Y$3</f>
        <v>1765.246557248664</v>
      </c>
      <c r="Z109" s="349">
        <f>Z103*24*LOOKUP(Z$2,'HDD-by Country'!$A$4:$A$40,'HDD-by Country'!$C$4:$C$40)/1000/Z$3</f>
        <v>2415.9803064248845</v>
      </c>
      <c r="AA109" s="349">
        <f>AA103*24*LOOKUP(AA$2,'HDD-by Country'!$A$4:$A$40,'HDD-by Country'!$C$4:$C$40)/1000/AA$3</f>
        <v>2359.8103793458795</v>
      </c>
      <c r="AB109" s="349">
        <f>AB103*24*LOOKUP(AB$2,'HDD-by Country'!$A$4:$A$40,'HDD-by Country'!$C$4:$C$40)/1000/AB$3</f>
        <v>2342.6561922638325</v>
      </c>
      <c r="AC109" s="349">
        <f>AC103*24*LOOKUP(AC$2,'HDD-by Country'!$A$4:$A$40,'HDD-by Country'!$C$4:$C$40)/1000/AC$3</f>
        <v>2402.3077513725079</v>
      </c>
      <c r="AD109" s="349">
        <f>AD103*24*LOOKUP(AD$2,'HDD-by Country'!$A$4:$A$40,'HDD-by Country'!$C$4:$C$40)/1000/AD$3</f>
        <v>2592.3395996145746</v>
      </c>
      <c r="AE109" s="349">
        <f>AE103*24*LOOKUP(AE$2,'HDD-by Country'!$A$4:$A$40,'HDD-by Country'!$C$4:$C$40)/1000/AE$3</f>
        <v>2275.3821652778902</v>
      </c>
      <c r="AF109" s="349">
        <f>AF103*24*LOOKUP(AF$2,'HDD-by Country'!$A$4:$A$40,'HDD-by Country'!$C$4:$C$40)/1000/AF$3</f>
        <v>1491.3668221114883</v>
      </c>
      <c r="AG109" s="349">
        <f>AG103*24*LOOKUP(AG$2,'HDD-by Country'!$A$4:$A$40,'HDD-by Country'!$C$4:$C$40)/1000/AG$3</f>
        <v>3246.6187086494724</v>
      </c>
      <c r="AH109" s="349">
        <f>AH103*24*LOOKUP(AH$2,'HDD-by Country'!$A$4:$A$40,'HDD-by Country'!$C$4:$C$40)/1000/AH$3</f>
        <v>1206.3434148836536</v>
      </c>
      <c r="AI109" s="349">
        <f>AI103*24*LOOKUP(AI$2,'HDD-by Country'!$A$4:$A$40,'HDD-by Country'!$C$4:$C$40)/1000/AI$3</f>
        <v>1946.0208359544006</v>
      </c>
      <c r="AJ109" s="349">
        <f>AJ103*24*LOOKUP(AJ$2,'HDD-by Country'!$A$4:$A$40,'HDD-by Country'!$C$4:$C$40)/1000/AJ$3</f>
        <v>4408.5107018790241</v>
      </c>
      <c r="AK109" s="349">
        <f>AK103*24*LOOKUP(AK$2,'HDD-by Country'!$A$4:$A$40,'HDD-by Country'!$C$4:$C$40)/1000/AK$3</f>
        <v>4250.5150020784176</v>
      </c>
      <c r="AL109" s="349">
        <f>AL103*24*LOOKUP(AL$2,'HDD-by Country'!$A$4:$A$40,'HDD-by Country'!$C$4:$C$40)/1000/AL$3</f>
        <v>2158.021413649697</v>
      </c>
      <c r="AM109" s="349">
        <f>AM103*24*LOOKUP(AM$2,'HDD-by Country'!$A$4:$A$40,'HDD-by Country'!$C$4:$C$40)/1000/AM$3</f>
        <v>4053.9590198319429</v>
      </c>
      <c r="AN109" s="354">
        <f>AN103*24*LOOKUP(AN$2,'HDD-by Country'!$A$4:$A$40,'HDD-by Country'!$C$4:$C$40)/1000/AN$3</f>
        <v>4053.9590198319429</v>
      </c>
    </row>
    <row r="110" spans="1:40">
      <c r="A110" s="151" t="s">
        <v>260</v>
      </c>
      <c r="B110" s="141" t="s">
        <v>2</v>
      </c>
      <c r="C110" s="360" t="s">
        <v>261</v>
      </c>
      <c r="D110" s="351">
        <f t="shared" ref="D110:AN110" si="41">D104/(1.355*(D98/D$17)^0.16)</f>
        <v>6530.2036592124223</v>
      </c>
      <c r="E110" s="352">
        <f t="shared" si="41"/>
        <v>5894.2652806581491</v>
      </c>
      <c r="F110" s="352">
        <f t="shared" si="41"/>
        <v>3486.2963649869353</v>
      </c>
      <c r="G110" s="352">
        <f t="shared" si="41"/>
        <v>6362.1066428029253</v>
      </c>
      <c r="H110" s="352">
        <f t="shared" si="41"/>
        <v>2006.5016518632783</v>
      </c>
      <c r="I110" s="352">
        <f t="shared" si="41"/>
        <v>4116.5010896636259</v>
      </c>
      <c r="J110" s="352">
        <f t="shared" si="41"/>
        <v>5897.181511064854</v>
      </c>
      <c r="K110" s="352">
        <f t="shared" si="41"/>
        <v>3593.3645178700781</v>
      </c>
      <c r="L110" s="352">
        <f t="shared" si="41"/>
        <v>2682.1037235836357</v>
      </c>
      <c r="M110" s="352">
        <f t="shared" si="41"/>
        <v>7203.8704764252498</v>
      </c>
      <c r="N110" s="352">
        <f t="shared" si="41"/>
        <v>3263.6412421621476</v>
      </c>
      <c r="O110" s="352">
        <f t="shared" si="41"/>
        <v>6317.0287504806238</v>
      </c>
      <c r="P110" s="352">
        <f t="shared" si="41"/>
        <v>5558.5265228305298</v>
      </c>
      <c r="Q110" s="352">
        <f t="shared" si="41"/>
        <v>3765.7988412581735</v>
      </c>
      <c r="R110" s="352">
        <f t="shared" si="41"/>
        <v>4134.4606358476085</v>
      </c>
      <c r="S110" s="352">
        <f t="shared" si="41"/>
        <v>2981.3590029017073</v>
      </c>
      <c r="T110" s="352">
        <f t="shared" si="41"/>
        <v>3922.5317416220646</v>
      </c>
      <c r="U110" s="352">
        <f t="shared" si="41"/>
        <v>4853.6935014907176</v>
      </c>
      <c r="V110" s="352">
        <f t="shared" si="41"/>
        <v>4430.7370977340042</v>
      </c>
      <c r="W110" s="352">
        <f t="shared" si="41"/>
        <v>5270.3149430460171</v>
      </c>
      <c r="X110" s="352">
        <f t="shared" si="41"/>
        <v>4601.955521193483</v>
      </c>
      <c r="Y110" s="352">
        <f t="shared" si="41"/>
        <v>1898.1316454732337</v>
      </c>
      <c r="Z110" s="352">
        <f t="shared" si="41"/>
        <v>6082.1246806860181</v>
      </c>
      <c r="AA110" s="352">
        <f t="shared" si="41"/>
        <v>3941.5794717669546</v>
      </c>
      <c r="AB110" s="352">
        <f t="shared" si="41"/>
        <v>4931.1978842197959</v>
      </c>
      <c r="AC110" s="352">
        <f t="shared" si="41"/>
        <v>3536.1512355601726</v>
      </c>
      <c r="AD110" s="352">
        <f t="shared" si="41"/>
        <v>3072.1197998843309</v>
      </c>
      <c r="AE110" s="352">
        <f t="shared" si="41"/>
        <v>3800.5594481578637</v>
      </c>
      <c r="AF110" s="352">
        <f t="shared" si="41"/>
        <v>4208.9017645434351</v>
      </c>
      <c r="AG110" s="352">
        <f t="shared" si="41"/>
        <v>5954.6426491613183</v>
      </c>
      <c r="AH110" s="352">
        <f t="shared" si="41"/>
        <v>2965.4455187914064</v>
      </c>
      <c r="AI110" s="352">
        <f t="shared" si="41"/>
        <v>4393.4622531573859</v>
      </c>
      <c r="AJ110" s="352">
        <f t="shared" si="41"/>
        <v>4622.4100708137148</v>
      </c>
      <c r="AK110" s="352">
        <f t="shared" si="41"/>
        <v>4461.6324874994962</v>
      </c>
      <c r="AL110" s="352">
        <f t="shared" si="41"/>
        <v>4616.8925527643414</v>
      </c>
      <c r="AM110" s="352">
        <f t="shared" si="41"/>
        <v>4250.6556674457397</v>
      </c>
      <c r="AN110" s="353">
        <f t="shared" si="41"/>
        <v>4250.6556674457397</v>
      </c>
    </row>
    <row r="111" spans="1:40">
      <c r="A111" s="129"/>
      <c r="B111" s="142" t="s">
        <v>3</v>
      </c>
      <c r="C111" s="129" t="s">
        <v>261</v>
      </c>
      <c r="D111" s="345">
        <f t="shared" ref="D111:AN111" si="42">D105/(1.355*(D99/D$17)^0.16)</f>
        <v>5862.3724297155777</v>
      </c>
      <c r="E111" s="349">
        <f t="shared" si="42"/>
        <v>5894.2652806581491</v>
      </c>
      <c r="F111" s="349">
        <f t="shared" si="42"/>
        <v>3486.2963649869353</v>
      </c>
      <c r="G111" s="349">
        <f t="shared" si="42"/>
        <v>5711.466368290332</v>
      </c>
      <c r="H111" s="349">
        <f t="shared" si="42"/>
        <v>1791.8490309373205</v>
      </c>
      <c r="I111" s="349">
        <f t="shared" si="42"/>
        <v>3738.3322680486444</v>
      </c>
      <c r="J111" s="349">
        <f t="shared" si="42"/>
        <v>4836.3926284985973</v>
      </c>
      <c r="K111" s="349">
        <f t="shared" si="42"/>
        <v>3556.1489573906088</v>
      </c>
      <c r="L111" s="349">
        <f t="shared" si="42"/>
        <v>2682.1037235836357</v>
      </c>
      <c r="M111" s="349">
        <f t="shared" si="42"/>
        <v>6446.7736902775196</v>
      </c>
      <c r="N111" s="349">
        <f t="shared" si="42"/>
        <v>2990.3616643618266</v>
      </c>
      <c r="O111" s="349">
        <f t="shared" si="42"/>
        <v>6317.0287504806238</v>
      </c>
      <c r="P111" s="349">
        <f t="shared" si="42"/>
        <v>5558.5265228305298</v>
      </c>
      <c r="Q111" s="349">
        <f t="shared" si="42"/>
        <v>4124.6424954730392</v>
      </c>
      <c r="R111" s="349">
        <f t="shared" si="42"/>
        <v>4134.4606358476085</v>
      </c>
      <c r="S111" s="349">
        <f t="shared" si="42"/>
        <v>2981.8786668110142</v>
      </c>
      <c r="T111" s="349">
        <f t="shared" si="42"/>
        <v>3625.4109964028889</v>
      </c>
      <c r="U111" s="349">
        <f t="shared" si="42"/>
        <v>4497.3161946090058</v>
      </c>
      <c r="V111" s="349">
        <f t="shared" si="42"/>
        <v>4430.7370977340042</v>
      </c>
      <c r="W111" s="349">
        <f t="shared" si="42"/>
        <v>6661.3151901621459</v>
      </c>
      <c r="X111" s="349">
        <f t="shared" si="42"/>
        <v>4601.955521193483</v>
      </c>
      <c r="Y111" s="349">
        <f t="shared" si="42"/>
        <v>1898.1051114806689</v>
      </c>
      <c r="Z111" s="349">
        <f t="shared" si="42"/>
        <v>5449.8955771889832</v>
      </c>
      <c r="AA111" s="349">
        <f t="shared" si="42"/>
        <v>3941.5794717669546</v>
      </c>
      <c r="AB111" s="349">
        <f t="shared" si="42"/>
        <v>3887.264289620105</v>
      </c>
      <c r="AC111" s="349">
        <f t="shared" si="42"/>
        <v>2991.1072971299645</v>
      </c>
      <c r="AD111" s="349">
        <f t="shared" si="42"/>
        <v>2788.1220936266882</v>
      </c>
      <c r="AE111" s="349">
        <f t="shared" si="42"/>
        <v>3800.5594481578637</v>
      </c>
      <c r="AF111" s="349">
        <f t="shared" si="42"/>
        <v>4208.9017645434351</v>
      </c>
      <c r="AG111" s="349">
        <f t="shared" si="42"/>
        <v>5047.081134430553</v>
      </c>
      <c r="AH111" s="349">
        <f t="shared" si="42"/>
        <v>3161.3134071107274</v>
      </c>
      <c r="AI111" s="349">
        <f t="shared" si="42"/>
        <v>4393.4622531573859</v>
      </c>
      <c r="AJ111" s="349">
        <f t="shared" si="42"/>
        <v>4622.4100708137148</v>
      </c>
      <c r="AK111" s="349">
        <f t="shared" si="42"/>
        <v>4461.6324874994962</v>
      </c>
      <c r="AL111" s="349">
        <f t="shared" si="42"/>
        <v>4616.8925527643414</v>
      </c>
      <c r="AM111" s="349">
        <f t="shared" si="42"/>
        <v>4250.6556674457397</v>
      </c>
      <c r="AN111" s="354">
        <f t="shared" si="42"/>
        <v>4250.6556674457397</v>
      </c>
    </row>
    <row r="112" spans="1:40">
      <c r="A112" s="129"/>
      <c r="B112" s="142" t="s">
        <v>4</v>
      </c>
      <c r="C112" s="129" t="s">
        <v>261</v>
      </c>
      <c r="D112" s="345">
        <f t="shared" ref="D112:AN112" si="43">D106/(1.355*(D100/D$17)^0.16)</f>
        <v>4797.8395990542394</v>
      </c>
      <c r="E112" s="349">
        <f t="shared" si="43"/>
        <v>5894.2652806581491</v>
      </c>
      <c r="F112" s="349">
        <f t="shared" si="43"/>
        <v>3280.3411101671818</v>
      </c>
      <c r="G112" s="349">
        <f t="shared" si="43"/>
        <v>4674.3361734490381</v>
      </c>
      <c r="H112" s="349">
        <f t="shared" si="43"/>
        <v>1572.1676248003268</v>
      </c>
      <c r="I112" s="349">
        <f t="shared" si="43"/>
        <v>3738.3322680486444</v>
      </c>
      <c r="J112" s="349">
        <f t="shared" si="43"/>
        <v>3275.953159491914</v>
      </c>
      <c r="K112" s="349">
        <f t="shared" si="43"/>
        <v>2329.1531645296932</v>
      </c>
      <c r="L112" s="349">
        <f t="shared" si="43"/>
        <v>2125.3351240973593</v>
      </c>
      <c r="M112" s="349">
        <f t="shared" si="43"/>
        <v>6446.7736902775196</v>
      </c>
      <c r="N112" s="349">
        <f t="shared" si="43"/>
        <v>2465.4463369818754</v>
      </c>
      <c r="O112" s="349">
        <f t="shared" si="43"/>
        <v>3115.4187792173434</v>
      </c>
      <c r="P112" s="349">
        <f t="shared" si="43"/>
        <v>5558.5265228305298</v>
      </c>
      <c r="Q112" s="349">
        <f t="shared" si="43"/>
        <v>3766.0538524052308</v>
      </c>
      <c r="R112" s="349">
        <f t="shared" si="43"/>
        <v>3573.793709419122</v>
      </c>
      <c r="S112" s="349">
        <f t="shared" si="43"/>
        <v>2972.812507274778</v>
      </c>
      <c r="T112" s="349">
        <f t="shared" si="43"/>
        <v>2921.586935143479</v>
      </c>
      <c r="U112" s="349">
        <f t="shared" si="43"/>
        <v>4402.8114693977395</v>
      </c>
      <c r="V112" s="349">
        <f t="shared" si="43"/>
        <v>2863.706510169764</v>
      </c>
      <c r="W112" s="349">
        <f t="shared" si="43"/>
        <v>3324.6141065219808</v>
      </c>
      <c r="X112" s="349">
        <f t="shared" si="43"/>
        <v>4294.6053708501977</v>
      </c>
      <c r="Y112" s="349">
        <f t="shared" si="43"/>
        <v>1416.036259988337</v>
      </c>
      <c r="Z112" s="349">
        <f t="shared" si="43"/>
        <v>5331.0789150559085</v>
      </c>
      <c r="AA112" s="349">
        <f t="shared" si="43"/>
        <v>2611.579886025097</v>
      </c>
      <c r="AB112" s="349">
        <f t="shared" si="43"/>
        <v>2728.4369745043955</v>
      </c>
      <c r="AC112" s="349">
        <f t="shared" si="43"/>
        <v>2990.7127810177358</v>
      </c>
      <c r="AD112" s="349">
        <f t="shared" si="43"/>
        <v>2788.1220936266882</v>
      </c>
      <c r="AE112" s="349">
        <f t="shared" si="43"/>
        <v>2518.1439779526445</v>
      </c>
      <c r="AF112" s="349">
        <f t="shared" si="43"/>
        <v>4137.1403757934831</v>
      </c>
      <c r="AG112" s="349">
        <f t="shared" si="43"/>
        <v>5047.081134430553</v>
      </c>
      <c r="AH112" s="349">
        <f t="shared" si="43"/>
        <v>2714.7797954227035</v>
      </c>
      <c r="AI112" s="349">
        <f t="shared" si="43"/>
        <v>4393.4622531573859</v>
      </c>
      <c r="AJ112" s="349">
        <f t="shared" si="43"/>
        <v>4622.4100708137148</v>
      </c>
      <c r="AK112" s="349">
        <f t="shared" si="43"/>
        <v>4461.6324874994962</v>
      </c>
      <c r="AL112" s="349">
        <f t="shared" si="43"/>
        <v>4339.6241162398383</v>
      </c>
      <c r="AM112" s="349">
        <f t="shared" si="43"/>
        <v>4250.6556674457397</v>
      </c>
      <c r="AN112" s="354">
        <f t="shared" si="43"/>
        <v>4250.6556674457397</v>
      </c>
    </row>
    <row r="113" spans="1:40">
      <c r="A113" s="129"/>
      <c r="B113" s="142" t="s">
        <v>5</v>
      </c>
      <c r="C113" s="129" t="s">
        <v>261</v>
      </c>
      <c r="D113" s="345">
        <f t="shared" ref="D113:AN113" si="44">D107/(1.355*(D101/D$17)^0.16)</f>
        <v>3384.1216678139267</v>
      </c>
      <c r="E113" s="349">
        <f t="shared" si="44"/>
        <v>5149.6694534439594</v>
      </c>
      <c r="F113" s="349">
        <f t="shared" si="44"/>
        <v>2738.2990535167819</v>
      </c>
      <c r="G113" s="349">
        <f t="shared" si="44"/>
        <v>3297.0094144734458</v>
      </c>
      <c r="H113" s="349">
        <f t="shared" si="44"/>
        <v>1524.4048599217815</v>
      </c>
      <c r="I113" s="349">
        <f t="shared" si="44"/>
        <v>3342.3571326408996</v>
      </c>
      <c r="J113" s="349">
        <f t="shared" si="44"/>
        <v>2838.2456267930634</v>
      </c>
      <c r="K113" s="349">
        <f t="shared" si="44"/>
        <v>1878.229451794225</v>
      </c>
      <c r="L113" s="349">
        <f t="shared" si="44"/>
        <v>1795.0995111715581</v>
      </c>
      <c r="M113" s="349">
        <f t="shared" si="44"/>
        <v>4651.2184405120461</v>
      </c>
      <c r="N113" s="349">
        <f t="shared" si="44"/>
        <v>2060.2254632356171</v>
      </c>
      <c r="O113" s="349">
        <f t="shared" si="44"/>
        <v>2716.2718162920391</v>
      </c>
      <c r="P113" s="349">
        <f t="shared" si="44"/>
        <v>5429.863713078249</v>
      </c>
      <c r="Q113" s="349">
        <f t="shared" si="44"/>
        <v>3766.0538524052308</v>
      </c>
      <c r="R113" s="349">
        <f t="shared" si="44"/>
        <v>2535.4060170202715</v>
      </c>
      <c r="S113" s="349">
        <f t="shared" si="44"/>
        <v>2139.9306500543657</v>
      </c>
      <c r="T113" s="349">
        <f t="shared" si="44"/>
        <v>2367.7162241971073</v>
      </c>
      <c r="U113" s="349">
        <f t="shared" si="44"/>
        <v>3291.1419405952374</v>
      </c>
      <c r="V113" s="349">
        <f t="shared" si="44"/>
        <v>2863.706510169764</v>
      </c>
      <c r="W113" s="349">
        <f t="shared" si="44"/>
        <v>3124.1297442429054</v>
      </c>
      <c r="X113" s="349">
        <f t="shared" si="44"/>
        <v>2690.2438491410785</v>
      </c>
      <c r="Y113" s="349">
        <f t="shared" si="44"/>
        <v>1318.4076853246313</v>
      </c>
      <c r="Z113" s="349">
        <f t="shared" si="44"/>
        <v>2877.4505431575094</v>
      </c>
      <c r="AA113" s="349">
        <f t="shared" si="44"/>
        <v>2611.579886025097</v>
      </c>
      <c r="AB113" s="349">
        <f t="shared" si="44"/>
        <v>2728.4369745043955</v>
      </c>
      <c r="AC113" s="349">
        <f t="shared" si="44"/>
        <v>2868.8448723924262</v>
      </c>
      <c r="AD113" s="349">
        <f t="shared" si="44"/>
        <v>2333.9650048025592</v>
      </c>
      <c r="AE113" s="349">
        <f t="shared" si="44"/>
        <v>2518.1439779526445</v>
      </c>
      <c r="AF113" s="349">
        <f t="shared" si="44"/>
        <v>3036.7862349762104</v>
      </c>
      <c r="AG113" s="349">
        <f t="shared" si="44"/>
        <v>4513.6807850535652</v>
      </c>
      <c r="AH113" s="349">
        <f t="shared" si="44"/>
        <v>1418.7616382579058</v>
      </c>
      <c r="AI113" s="349">
        <f t="shared" si="44"/>
        <v>4297.1182446808998</v>
      </c>
      <c r="AJ113" s="349">
        <f t="shared" si="44"/>
        <v>4038.2177661425726</v>
      </c>
      <c r="AK113" s="349">
        <f t="shared" si="44"/>
        <v>3898.5352793200573</v>
      </c>
      <c r="AL113" s="349">
        <f t="shared" si="44"/>
        <v>3621.8958439486123</v>
      </c>
      <c r="AM113" s="349">
        <f t="shared" si="44"/>
        <v>3713.4466590092716</v>
      </c>
      <c r="AN113" s="354">
        <f t="shared" si="44"/>
        <v>3713.4466590092716</v>
      </c>
    </row>
    <row r="114" spans="1:40">
      <c r="A114" s="129"/>
      <c r="B114" s="142" t="s">
        <v>6</v>
      </c>
      <c r="C114" s="129" t="s">
        <v>261</v>
      </c>
      <c r="D114" s="345">
        <f t="shared" ref="D114:AN114" si="45">D108/(1.355*(D102/D$17)^0.16)</f>
        <v>2824.289731062056</v>
      </c>
      <c r="E114" s="349">
        <f t="shared" si="45"/>
        <v>5149.6694534439594</v>
      </c>
      <c r="F114" s="349">
        <f t="shared" si="45"/>
        <v>2251.9024830748135</v>
      </c>
      <c r="G114" s="349">
        <f t="shared" si="45"/>
        <v>2751.5883725680128</v>
      </c>
      <c r="H114" s="349">
        <f t="shared" si="45"/>
        <v>1524.4048599217815</v>
      </c>
      <c r="I114" s="349">
        <f t="shared" si="45"/>
        <v>2474.5595894414982</v>
      </c>
      <c r="J114" s="349">
        <f t="shared" si="45"/>
        <v>1628.6539710125626</v>
      </c>
      <c r="K114" s="349">
        <f t="shared" si="45"/>
        <v>1878.229451794225</v>
      </c>
      <c r="L114" s="349">
        <f t="shared" si="45"/>
        <v>1626.1181377801547</v>
      </c>
      <c r="M114" s="349">
        <f t="shared" si="45"/>
        <v>4651.2184405120461</v>
      </c>
      <c r="N114" s="349">
        <f t="shared" si="45"/>
        <v>2035.1787409775027</v>
      </c>
      <c r="O114" s="349">
        <f t="shared" si="45"/>
        <v>1594.1925354613772</v>
      </c>
      <c r="P114" s="349">
        <f t="shared" si="45"/>
        <v>5429.863713078249</v>
      </c>
      <c r="Q114" s="349">
        <f t="shared" si="45"/>
        <v>2721.4839254916174</v>
      </c>
      <c r="R114" s="349">
        <f t="shared" si="45"/>
        <v>2535.4060170202715</v>
      </c>
      <c r="S114" s="349">
        <f t="shared" si="45"/>
        <v>1743.2548725214372</v>
      </c>
      <c r="T114" s="349">
        <f t="shared" si="45"/>
        <v>2337.3812886352875</v>
      </c>
      <c r="U114" s="349">
        <f t="shared" si="45"/>
        <v>3001.004317429853</v>
      </c>
      <c r="V114" s="349">
        <f t="shared" si="45"/>
        <v>2863.706510169764</v>
      </c>
      <c r="W114" s="349">
        <f t="shared" si="45"/>
        <v>2761.7984854301303</v>
      </c>
      <c r="X114" s="349">
        <f t="shared" si="45"/>
        <v>2686.7102292667455</v>
      </c>
      <c r="Y114" s="349">
        <f t="shared" si="45"/>
        <v>1318.1255121841521</v>
      </c>
      <c r="Z114" s="349">
        <f t="shared" si="45"/>
        <v>2644.2218312542245</v>
      </c>
      <c r="AA114" s="349">
        <f t="shared" si="45"/>
        <v>2199.2710652883165</v>
      </c>
      <c r="AB114" s="349">
        <f t="shared" si="45"/>
        <v>2728.4369745043955</v>
      </c>
      <c r="AC114" s="349">
        <f t="shared" si="45"/>
        <v>2595.2658294401122</v>
      </c>
      <c r="AD114" s="349">
        <f t="shared" si="45"/>
        <v>2333.9650048025592</v>
      </c>
      <c r="AE114" s="349">
        <f t="shared" si="45"/>
        <v>2120.5865532110515</v>
      </c>
      <c r="AF114" s="349">
        <f t="shared" si="45"/>
        <v>2237.482565333753</v>
      </c>
      <c r="AG114" s="349">
        <f t="shared" si="45"/>
        <v>4386.2977084893255</v>
      </c>
      <c r="AH114" s="349">
        <f t="shared" si="45"/>
        <v>1189.2404061207089</v>
      </c>
      <c r="AI114" s="349">
        <f t="shared" si="45"/>
        <v>4297.1182446808998</v>
      </c>
      <c r="AJ114" s="349">
        <f t="shared" si="45"/>
        <v>3803.3625571104913</v>
      </c>
      <c r="AK114" s="349">
        <f t="shared" si="45"/>
        <v>3672.3553291474132</v>
      </c>
      <c r="AL114" s="349">
        <f t="shared" si="45"/>
        <v>2969.7335396392109</v>
      </c>
      <c r="AM114" s="349">
        <f t="shared" si="45"/>
        <v>3497.4795314701882</v>
      </c>
      <c r="AN114" s="354">
        <f t="shared" si="45"/>
        <v>3497.4795314701882</v>
      </c>
    </row>
    <row r="115" spans="1:40">
      <c r="A115" s="129"/>
      <c r="B115" s="142" t="s">
        <v>7</v>
      </c>
      <c r="C115" s="129" t="s">
        <v>261</v>
      </c>
      <c r="D115" s="345">
        <f t="shared" ref="D115:AN115" si="46">D109/(1.355*(D103/D$17)^0.16)</f>
        <v>2576.7221275714401</v>
      </c>
      <c r="E115" s="349">
        <f t="shared" si="46"/>
        <v>3108.6456153857562</v>
      </c>
      <c r="F115" s="349">
        <f t="shared" si="46"/>
        <v>1434.9076078792057</v>
      </c>
      <c r="G115" s="349">
        <f t="shared" si="46"/>
        <v>2510.393522161095</v>
      </c>
      <c r="H115" s="349">
        <f t="shared" si="46"/>
        <v>1278.2473486335059</v>
      </c>
      <c r="I115" s="349">
        <f t="shared" si="46"/>
        <v>2142.1365124519434</v>
      </c>
      <c r="J115" s="349">
        <f t="shared" si="46"/>
        <v>1840.6688320779406</v>
      </c>
      <c r="K115" s="349">
        <f t="shared" si="46"/>
        <v>1472.0872375228498</v>
      </c>
      <c r="L115" s="349">
        <f t="shared" si="46"/>
        <v>1626.1181377801547</v>
      </c>
      <c r="M115" s="349">
        <f t="shared" si="46"/>
        <v>2853.7821660446471</v>
      </c>
      <c r="N115" s="349">
        <f t="shared" si="46"/>
        <v>1923.8289445922637</v>
      </c>
      <c r="O115" s="349">
        <f t="shared" si="46"/>
        <v>1552.0579287500293</v>
      </c>
      <c r="P115" s="349">
        <f t="shared" si="46"/>
        <v>1940.0549837719188</v>
      </c>
      <c r="Q115" s="349">
        <f t="shared" si="46"/>
        <v>1602.8072411869459</v>
      </c>
      <c r="R115" s="349">
        <f t="shared" si="46"/>
        <v>1689.7644172712878</v>
      </c>
      <c r="S115" s="349">
        <f t="shared" si="46"/>
        <v>1079.7516911164169</v>
      </c>
      <c r="T115" s="349">
        <f t="shared" si="46"/>
        <v>2206.1870497208556</v>
      </c>
      <c r="U115" s="349">
        <f t="shared" si="46"/>
        <v>3001.004317429853</v>
      </c>
      <c r="V115" s="349">
        <f t="shared" si="46"/>
        <v>1528.1425169608581</v>
      </c>
      <c r="W115" s="349">
        <f t="shared" si="46"/>
        <v>2230.4529673376019</v>
      </c>
      <c r="X115" s="349">
        <f t="shared" si="46"/>
        <v>1530.3704854227447</v>
      </c>
      <c r="Y115" s="349">
        <f t="shared" si="46"/>
        <v>1222.5593085175092</v>
      </c>
      <c r="Z115" s="349">
        <f t="shared" si="46"/>
        <v>2044.6023577203098</v>
      </c>
      <c r="AA115" s="349">
        <f t="shared" si="46"/>
        <v>2199.2710652883165</v>
      </c>
      <c r="AB115" s="349">
        <f t="shared" si="46"/>
        <v>1930.1067338349546</v>
      </c>
      <c r="AC115" s="349">
        <f t="shared" si="46"/>
        <v>1833.7810292417012</v>
      </c>
      <c r="AD115" s="349">
        <f t="shared" si="46"/>
        <v>1928.3476054674679</v>
      </c>
      <c r="AE115" s="349">
        <f t="shared" si="46"/>
        <v>2120.5865532110515</v>
      </c>
      <c r="AF115" s="349">
        <f t="shared" si="46"/>
        <v>1317.9431482041491</v>
      </c>
      <c r="AG115" s="349">
        <f t="shared" si="46"/>
        <v>2632.6409317262041</v>
      </c>
      <c r="AH115" s="349">
        <f t="shared" si="46"/>
        <v>1012.3780033590915</v>
      </c>
      <c r="AI115" s="349">
        <f t="shared" si="46"/>
        <v>1553.1690032050642</v>
      </c>
      <c r="AJ115" s="349">
        <f t="shared" si="46"/>
        <v>3327.9848919899905</v>
      </c>
      <c r="AK115" s="349">
        <f t="shared" si="46"/>
        <v>3214.7333035866595</v>
      </c>
      <c r="AL115" s="349">
        <f t="shared" si="46"/>
        <v>1802.0090724655661</v>
      </c>
      <c r="AM115" s="349">
        <f t="shared" si="46"/>
        <v>3060.333814092096</v>
      </c>
      <c r="AN115" s="354">
        <f t="shared" si="46"/>
        <v>3060.333814092096</v>
      </c>
    </row>
    <row r="116" spans="1:40">
      <c r="A116" s="334" t="s">
        <v>262</v>
      </c>
      <c r="B116" s="359" t="s">
        <v>2</v>
      </c>
      <c r="C116" s="366" t="s">
        <v>190</v>
      </c>
      <c r="D116" s="375">
        <f t="shared" ref="D116:AN116" si="47">D110/D$4</f>
        <v>91.246449942087878</v>
      </c>
      <c r="E116" s="376">
        <f t="shared" si="47"/>
        <v>80.480466705868508</v>
      </c>
      <c r="F116" s="376">
        <f t="shared" si="47"/>
        <v>54.067644427036221</v>
      </c>
      <c r="G116" s="376">
        <f t="shared" si="47"/>
        <v>88.897632540109115</v>
      </c>
      <c r="H116" s="376">
        <f t="shared" si="47"/>
        <v>27.486323998127101</v>
      </c>
      <c r="I116" s="376">
        <f t="shared" si="47"/>
        <v>67.497448119393141</v>
      </c>
      <c r="J116" s="376">
        <f t="shared" si="47"/>
        <v>94.041353752349082</v>
      </c>
      <c r="K116" s="376">
        <f t="shared" si="47"/>
        <v>45.833731095281607</v>
      </c>
      <c r="L116" s="376">
        <f t="shared" si="47"/>
        <v>56.112094062819722</v>
      </c>
      <c r="M116" s="376">
        <f t="shared" si="47"/>
        <v>83.407465035477813</v>
      </c>
      <c r="N116" s="376">
        <f t="shared" si="47"/>
        <v>58.279307895752638</v>
      </c>
      <c r="O116" s="376">
        <f t="shared" si="47"/>
        <v>95.822763166125384</v>
      </c>
      <c r="P116" s="376">
        <f t="shared" si="47"/>
        <v>76.144198942883975</v>
      </c>
      <c r="Q116" s="376">
        <f t="shared" si="47"/>
        <v>59.19920236302282</v>
      </c>
      <c r="R116" s="376">
        <f t="shared" si="47"/>
        <v>88.466959781516707</v>
      </c>
      <c r="S116" s="376">
        <f t="shared" si="47"/>
        <v>44.802138193215058</v>
      </c>
      <c r="T116" s="376">
        <f t="shared" si="47"/>
        <v>70.045209671822576</v>
      </c>
      <c r="U116" s="376">
        <f t="shared" si="47"/>
        <v>53.454774245492487</v>
      </c>
      <c r="V116" s="376">
        <f t="shared" si="47"/>
        <v>85.930689978738968</v>
      </c>
      <c r="W116" s="376">
        <f t="shared" si="47"/>
        <v>61.425506915708517</v>
      </c>
      <c r="X116" s="376">
        <f t="shared" si="47"/>
        <v>89.358359634824907</v>
      </c>
      <c r="Y116" s="376">
        <f t="shared" si="47"/>
        <v>22.322700610513316</v>
      </c>
      <c r="Z116" s="376">
        <f t="shared" si="47"/>
        <v>80.239111882401303</v>
      </c>
      <c r="AA116" s="376">
        <f t="shared" si="47"/>
        <v>59.00568071507417</v>
      </c>
      <c r="AB116" s="376">
        <f t="shared" si="47"/>
        <v>93.963848792677709</v>
      </c>
      <c r="AC116" s="376">
        <f t="shared" si="47"/>
        <v>36.583335773775147</v>
      </c>
      <c r="AD116" s="376">
        <f t="shared" si="47"/>
        <v>64.068774978638956</v>
      </c>
      <c r="AE116" s="376">
        <f t="shared" si="47"/>
        <v>56.89460251733329</v>
      </c>
      <c r="AF116" s="376">
        <f t="shared" si="47"/>
        <v>81.629764643491669</v>
      </c>
      <c r="AG116" s="376">
        <f t="shared" si="47"/>
        <v>97.214066992549277</v>
      </c>
      <c r="AH116" s="376">
        <f t="shared" si="47"/>
        <v>61.256879132233145</v>
      </c>
      <c r="AI116" s="376">
        <f t="shared" si="47"/>
        <v>60.184414426813504</v>
      </c>
      <c r="AJ116" s="376">
        <f t="shared" si="47"/>
        <v>72.665323009008674</v>
      </c>
      <c r="AK116" s="376">
        <f t="shared" si="47"/>
        <v>61.118253253417755</v>
      </c>
      <c r="AL116" s="376">
        <f t="shared" si="47"/>
        <v>72.578586387825439</v>
      </c>
      <c r="AM116" s="376">
        <f t="shared" si="47"/>
        <v>66.821260412459381</v>
      </c>
      <c r="AN116" s="377">
        <f t="shared" si="47"/>
        <v>66.821260412459381</v>
      </c>
    </row>
    <row r="117" spans="1:40">
      <c r="A117" s="154"/>
      <c r="B117" s="347" t="s">
        <v>3</v>
      </c>
      <c r="C117" s="367" t="s">
        <v>190</v>
      </c>
      <c r="D117" s="369">
        <f t="shared" ref="D117:AN117" si="48">D111/D$4</f>
        <v>81.914852945709328</v>
      </c>
      <c r="E117" s="370">
        <f t="shared" si="48"/>
        <v>80.480466705868508</v>
      </c>
      <c r="F117" s="370">
        <f t="shared" si="48"/>
        <v>54.067644427036221</v>
      </c>
      <c r="G117" s="370">
        <f t="shared" si="48"/>
        <v>79.806244531885824</v>
      </c>
      <c r="H117" s="370">
        <f t="shared" si="48"/>
        <v>24.545877136127679</v>
      </c>
      <c r="I117" s="370">
        <f t="shared" si="48"/>
        <v>61.296689304723415</v>
      </c>
      <c r="J117" s="370">
        <f t="shared" si="48"/>
        <v>77.125133287573334</v>
      </c>
      <c r="K117" s="370">
        <f t="shared" si="48"/>
        <v>45.359042823859802</v>
      </c>
      <c r="L117" s="370">
        <f t="shared" si="48"/>
        <v>56.112094062819722</v>
      </c>
      <c r="M117" s="370">
        <f t="shared" si="48"/>
        <v>74.641687815337548</v>
      </c>
      <c r="N117" s="370">
        <f t="shared" si="48"/>
        <v>53.399315435032619</v>
      </c>
      <c r="O117" s="370">
        <f t="shared" si="48"/>
        <v>95.822763166125384</v>
      </c>
      <c r="P117" s="370">
        <f t="shared" si="48"/>
        <v>76.144198942883975</v>
      </c>
      <c r="Q117" s="370">
        <f t="shared" si="48"/>
        <v>64.840305087313567</v>
      </c>
      <c r="R117" s="370">
        <f t="shared" si="48"/>
        <v>88.466959781516707</v>
      </c>
      <c r="S117" s="370">
        <f t="shared" si="48"/>
        <v>44.809947401786097</v>
      </c>
      <c r="T117" s="370">
        <f t="shared" si="48"/>
        <v>64.739482078623013</v>
      </c>
      <c r="U117" s="370">
        <f t="shared" si="48"/>
        <v>49.529914037544117</v>
      </c>
      <c r="V117" s="370">
        <f t="shared" si="48"/>
        <v>85.930689978738968</v>
      </c>
      <c r="W117" s="370">
        <f t="shared" si="48"/>
        <v>77.637611167983366</v>
      </c>
      <c r="X117" s="370">
        <f t="shared" si="48"/>
        <v>89.358359634824907</v>
      </c>
      <c r="Y117" s="370">
        <f t="shared" si="48"/>
        <v>22.322388561360434</v>
      </c>
      <c r="Z117" s="370">
        <f t="shared" si="48"/>
        <v>71.898358538113243</v>
      </c>
      <c r="AA117" s="370">
        <f t="shared" si="48"/>
        <v>59.00568071507417</v>
      </c>
      <c r="AB117" s="370">
        <f t="shared" si="48"/>
        <v>74.071721010407259</v>
      </c>
      <c r="AC117" s="370">
        <f t="shared" si="48"/>
        <v>30.944570889926947</v>
      </c>
      <c r="AD117" s="370">
        <f t="shared" si="48"/>
        <v>58.146029017574683</v>
      </c>
      <c r="AE117" s="370">
        <f t="shared" si="48"/>
        <v>56.89460251733329</v>
      </c>
      <c r="AF117" s="370">
        <f t="shared" si="48"/>
        <v>81.629764643491669</v>
      </c>
      <c r="AG117" s="370">
        <f t="shared" si="48"/>
        <v>82.39743548480925</v>
      </c>
      <c r="AH117" s="370">
        <f t="shared" si="48"/>
        <v>65.302900374111289</v>
      </c>
      <c r="AI117" s="370">
        <f t="shared" si="48"/>
        <v>60.184414426813504</v>
      </c>
      <c r="AJ117" s="370">
        <f t="shared" si="48"/>
        <v>72.665323009008674</v>
      </c>
      <c r="AK117" s="370">
        <f t="shared" si="48"/>
        <v>61.118253253417755</v>
      </c>
      <c r="AL117" s="370">
        <f t="shared" si="48"/>
        <v>72.578586387825439</v>
      </c>
      <c r="AM117" s="370">
        <f t="shared" si="48"/>
        <v>66.821260412459381</v>
      </c>
      <c r="AN117" s="371">
        <f t="shared" si="48"/>
        <v>66.821260412459381</v>
      </c>
    </row>
    <row r="118" spans="1:40">
      <c r="A118" s="154"/>
      <c r="B118" s="347" t="s">
        <v>4</v>
      </c>
      <c r="C118" s="367" t="s">
        <v>190</v>
      </c>
      <c r="D118" s="369">
        <f t="shared" ref="D118:AN118" si="49">D112/D$4</f>
        <v>67.04014968777696</v>
      </c>
      <c r="E118" s="370">
        <f t="shared" si="49"/>
        <v>80.480466705868508</v>
      </c>
      <c r="F118" s="370">
        <f t="shared" si="49"/>
        <v>50.873562708307816</v>
      </c>
      <c r="G118" s="370">
        <f t="shared" si="49"/>
        <v>65.314437944275141</v>
      </c>
      <c r="H118" s="370">
        <f t="shared" si="49"/>
        <v>21.536542805483929</v>
      </c>
      <c r="I118" s="370">
        <f t="shared" si="49"/>
        <v>61.296689304723415</v>
      </c>
      <c r="J118" s="370">
        <f t="shared" si="49"/>
        <v>52.241069631291644</v>
      </c>
      <c r="K118" s="370">
        <f t="shared" si="49"/>
        <v>29.708586282266491</v>
      </c>
      <c r="L118" s="370">
        <f t="shared" si="49"/>
        <v>44.463979282286274</v>
      </c>
      <c r="M118" s="370">
        <f t="shared" si="49"/>
        <v>74.641687815337548</v>
      </c>
      <c r="N118" s="370">
        <f t="shared" si="49"/>
        <v>44.02582744610492</v>
      </c>
      <c r="O118" s="370">
        <f t="shared" si="49"/>
        <v>47.257666164892754</v>
      </c>
      <c r="P118" s="370">
        <f t="shared" si="49"/>
        <v>76.144198942883975</v>
      </c>
      <c r="Q118" s="370">
        <f t="shared" si="49"/>
        <v>59.203211195447452</v>
      </c>
      <c r="R118" s="370">
        <f t="shared" si="49"/>
        <v>76.470111147594025</v>
      </c>
      <c r="S118" s="370">
        <f t="shared" si="49"/>
        <v>44.673706401615078</v>
      </c>
      <c r="T118" s="370">
        <f t="shared" si="49"/>
        <v>52.171195270419268</v>
      </c>
      <c r="U118" s="370">
        <f t="shared" si="49"/>
        <v>48.489113099094048</v>
      </c>
      <c r="V118" s="370">
        <f t="shared" si="49"/>
        <v>55.53935403690425</v>
      </c>
      <c r="W118" s="370">
        <f t="shared" si="49"/>
        <v>38.748368740597471</v>
      </c>
      <c r="X118" s="370">
        <f t="shared" si="49"/>
        <v>83.390395550489274</v>
      </c>
      <c r="Y118" s="370">
        <f t="shared" si="49"/>
        <v>16.653088083081741</v>
      </c>
      <c r="Z118" s="370">
        <f t="shared" si="49"/>
        <v>70.33085639915447</v>
      </c>
      <c r="AA118" s="370">
        <f t="shared" si="49"/>
        <v>39.095507275824808</v>
      </c>
      <c r="AB118" s="370">
        <f t="shared" si="49"/>
        <v>51.990296340185324</v>
      </c>
      <c r="AC118" s="370">
        <f t="shared" si="49"/>
        <v>30.94048941420931</v>
      </c>
      <c r="AD118" s="370">
        <f t="shared" si="49"/>
        <v>58.146029017574683</v>
      </c>
      <c r="AE118" s="370">
        <f t="shared" si="49"/>
        <v>37.696766137015636</v>
      </c>
      <c r="AF118" s="370">
        <f t="shared" si="49"/>
        <v>80.2379846491244</v>
      </c>
      <c r="AG118" s="370">
        <f t="shared" si="49"/>
        <v>82.39743548480925</v>
      </c>
      <c r="AH118" s="370">
        <f t="shared" si="49"/>
        <v>56.078905090326458</v>
      </c>
      <c r="AI118" s="370">
        <f t="shared" si="49"/>
        <v>60.184414426813504</v>
      </c>
      <c r="AJ118" s="370">
        <f t="shared" si="49"/>
        <v>72.665323009008674</v>
      </c>
      <c r="AK118" s="370">
        <f t="shared" si="49"/>
        <v>61.118253253417755</v>
      </c>
      <c r="AL118" s="370">
        <f t="shared" si="49"/>
        <v>68.219864380993812</v>
      </c>
      <c r="AM118" s="370">
        <f t="shared" si="49"/>
        <v>66.821260412459381</v>
      </c>
      <c r="AN118" s="371">
        <f t="shared" si="49"/>
        <v>66.821260412459381</v>
      </c>
    </row>
    <row r="119" spans="1:40">
      <c r="A119" s="154"/>
      <c r="B119" s="347" t="s">
        <v>5</v>
      </c>
      <c r="C119" s="367" t="s">
        <v>190</v>
      </c>
      <c r="D119" s="369">
        <f t="shared" ref="D119:AN119" si="50">D113/D$4</f>
        <v>47.286287606742114</v>
      </c>
      <c r="E119" s="370">
        <f t="shared" si="50"/>
        <v>70.313733987189622</v>
      </c>
      <c r="F119" s="370">
        <f t="shared" si="50"/>
        <v>42.467238599490095</v>
      </c>
      <c r="G119" s="370">
        <f t="shared" si="50"/>
        <v>46.069069235219942</v>
      </c>
      <c r="H119" s="370">
        <f t="shared" si="50"/>
        <v>20.882258355092898</v>
      </c>
      <c r="I119" s="370">
        <f t="shared" si="50"/>
        <v>54.803963910853078</v>
      </c>
      <c r="J119" s="370">
        <f t="shared" si="50"/>
        <v>45.261021816014583</v>
      </c>
      <c r="K119" s="370">
        <f t="shared" si="50"/>
        <v>23.957008313701849</v>
      </c>
      <c r="L119" s="370">
        <f t="shared" si="50"/>
        <v>37.555144395532999</v>
      </c>
      <c r="M119" s="370">
        <f t="shared" si="50"/>
        <v>53.852486759574184</v>
      </c>
      <c r="N119" s="370">
        <f t="shared" si="50"/>
        <v>36.789740414921731</v>
      </c>
      <c r="O119" s="370">
        <f t="shared" si="50"/>
        <v>41.203021424838397</v>
      </c>
      <c r="P119" s="370">
        <f t="shared" si="50"/>
        <v>74.381694699702038</v>
      </c>
      <c r="Q119" s="370">
        <f t="shared" si="50"/>
        <v>59.203211195447452</v>
      </c>
      <c r="R119" s="370">
        <f t="shared" si="50"/>
        <v>54.251251104622987</v>
      </c>
      <c r="S119" s="370">
        <f t="shared" si="50"/>
        <v>32.157639725480955</v>
      </c>
      <c r="T119" s="370">
        <f t="shared" si="50"/>
        <v>42.280646860662628</v>
      </c>
      <c r="U119" s="370">
        <f t="shared" si="50"/>
        <v>36.246056614484992</v>
      </c>
      <c r="V119" s="370">
        <f t="shared" si="50"/>
        <v>55.53935403690425</v>
      </c>
      <c r="W119" s="370">
        <f t="shared" si="50"/>
        <v>36.411724021117521</v>
      </c>
      <c r="X119" s="370">
        <f t="shared" si="50"/>
        <v>52.237744643516088</v>
      </c>
      <c r="Y119" s="370">
        <f t="shared" si="50"/>
        <v>15.504941457716509</v>
      </c>
      <c r="Z119" s="370">
        <f t="shared" si="50"/>
        <v>37.961088959861605</v>
      </c>
      <c r="AA119" s="370">
        <f t="shared" si="50"/>
        <v>39.095507275824808</v>
      </c>
      <c r="AB119" s="370">
        <f t="shared" si="50"/>
        <v>51.990296340185324</v>
      </c>
      <c r="AC119" s="370">
        <f t="shared" si="50"/>
        <v>29.679702099330459</v>
      </c>
      <c r="AD119" s="370">
        <f t="shared" si="50"/>
        <v>48.674624832776153</v>
      </c>
      <c r="AE119" s="370">
        <f t="shared" si="50"/>
        <v>37.696766137015636</v>
      </c>
      <c r="AF119" s="370">
        <f t="shared" si="50"/>
        <v>58.897108913777089</v>
      </c>
      <c r="AG119" s="370">
        <f t="shared" si="50"/>
        <v>73.689269377564003</v>
      </c>
      <c r="AH119" s="370">
        <f t="shared" si="50"/>
        <v>29.307201781819995</v>
      </c>
      <c r="AI119" s="370">
        <f t="shared" si="50"/>
        <v>58.864633488779447</v>
      </c>
      <c r="AJ119" s="370">
        <f t="shared" si="50"/>
        <v>63.481688959242746</v>
      </c>
      <c r="AK119" s="370">
        <f t="shared" si="50"/>
        <v>53.404592867398044</v>
      </c>
      <c r="AL119" s="370">
        <f t="shared" si="50"/>
        <v>56.937014971322419</v>
      </c>
      <c r="AM119" s="370">
        <f t="shared" si="50"/>
        <v>58.376214316730064</v>
      </c>
      <c r="AN119" s="371">
        <f t="shared" si="50"/>
        <v>58.376214316730064</v>
      </c>
    </row>
    <row r="120" spans="1:40">
      <c r="A120" s="154"/>
      <c r="B120" s="347" t="s">
        <v>6</v>
      </c>
      <c r="C120" s="367" t="s">
        <v>190</v>
      </c>
      <c r="D120" s="369">
        <f t="shared" ref="D120:AN120" si="51">D114/D$4</f>
        <v>39.463763309089124</v>
      </c>
      <c r="E120" s="370">
        <f t="shared" si="51"/>
        <v>70.313733987189622</v>
      </c>
      <c r="F120" s="370">
        <f t="shared" si="51"/>
        <v>34.923899173358208</v>
      </c>
      <c r="G120" s="370">
        <f t="shared" si="51"/>
        <v>38.44790818193853</v>
      </c>
      <c r="H120" s="370">
        <f t="shared" si="51"/>
        <v>20.882258355092898</v>
      </c>
      <c r="I120" s="370">
        <f t="shared" si="51"/>
        <v>40.574860511046928</v>
      </c>
      <c r="J120" s="370">
        <f t="shared" si="51"/>
        <v>25.971868754723854</v>
      </c>
      <c r="K120" s="370">
        <f t="shared" si="51"/>
        <v>23.957008313701849</v>
      </c>
      <c r="L120" s="370">
        <f t="shared" si="51"/>
        <v>34.019897553574985</v>
      </c>
      <c r="M120" s="370">
        <f t="shared" si="51"/>
        <v>53.852486759574184</v>
      </c>
      <c r="N120" s="370">
        <f t="shared" si="51"/>
        <v>36.342477517455407</v>
      </c>
      <c r="O120" s="370">
        <f t="shared" si="51"/>
        <v>24.182244501435573</v>
      </c>
      <c r="P120" s="370">
        <f t="shared" si="51"/>
        <v>74.381694699702038</v>
      </c>
      <c r="Q120" s="370">
        <f t="shared" si="51"/>
        <v>42.78233767236074</v>
      </c>
      <c r="R120" s="370">
        <f t="shared" si="51"/>
        <v>54.251251104622987</v>
      </c>
      <c r="S120" s="370">
        <f t="shared" si="51"/>
        <v>26.196625642428835</v>
      </c>
      <c r="T120" s="370">
        <f t="shared" si="51"/>
        <v>41.738951582772991</v>
      </c>
      <c r="U120" s="370">
        <f t="shared" si="51"/>
        <v>33.050708341738471</v>
      </c>
      <c r="V120" s="370">
        <f t="shared" si="51"/>
        <v>55.53935403690425</v>
      </c>
      <c r="W120" s="370">
        <f t="shared" si="51"/>
        <v>32.188754144649707</v>
      </c>
      <c r="X120" s="370">
        <f t="shared" si="51"/>
        <v>52.1691306653737</v>
      </c>
      <c r="Y120" s="370">
        <f t="shared" si="51"/>
        <v>15.501623001617707</v>
      </c>
      <c r="Z120" s="370">
        <f t="shared" si="51"/>
        <v>34.884193024462064</v>
      </c>
      <c r="AA120" s="370">
        <f t="shared" si="51"/>
        <v>32.923219540244261</v>
      </c>
      <c r="AB120" s="370">
        <f t="shared" si="51"/>
        <v>51.990296340185324</v>
      </c>
      <c r="AC120" s="370">
        <f t="shared" si="51"/>
        <v>26.849383676196869</v>
      </c>
      <c r="AD120" s="370">
        <f t="shared" si="51"/>
        <v>48.674624832776153</v>
      </c>
      <c r="AE120" s="370">
        <f t="shared" si="51"/>
        <v>31.745307682800174</v>
      </c>
      <c r="AF120" s="370">
        <f t="shared" si="51"/>
        <v>43.394972232601596</v>
      </c>
      <c r="AG120" s="370">
        <f t="shared" si="51"/>
        <v>71.609643836881517</v>
      </c>
      <c r="AH120" s="370">
        <f t="shared" si="51"/>
        <v>24.566007149777093</v>
      </c>
      <c r="AI120" s="370">
        <f t="shared" si="51"/>
        <v>58.864633488779447</v>
      </c>
      <c r="AJ120" s="370">
        <f t="shared" si="51"/>
        <v>59.789712400862626</v>
      </c>
      <c r="AK120" s="370">
        <f t="shared" si="51"/>
        <v>50.306237385580999</v>
      </c>
      <c r="AL120" s="370">
        <f t="shared" si="51"/>
        <v>46.684877283200827</v>
      </c>
      <c r="AM120" s="370">
        <f t="shared" si="51"/>
        <v>54.981162635563955</v>
      </c>
      <c r="AN120" s="371">
        <f t="shared" si="51"/>
        <v>54.981162635563955</v>
      </c>
    </row>
    <row r="121" spans="1:40">
      <c r="A121" s="155"/>
      <c r="B121" s="338" t="s">
        <v>7</v>
      </c>
      <c r="C121" s="368" t="s">
        <v>190</v>
      </c>
      <c r="D121" s="378">
        <f t="shared" ref="D121:AN121" si="52">D115/D$4</f>
        <v>36.004504437840751</v>
      </c>
      <c r="E121" s="379">
        <f t="shared" si="52"/>
        <v>42.44553613329429</v>
      </c>
      <c r="F121" s="379">
        <f t="shared" si="52"/>
        <v>22.253436370935937</v>
      </c>
      <c r="G121" s="379">
        <f t="shared" si="52"/>
        <v>35.077695705809035</v>
      </c>
      <c r="H121" s="379">
        <f t="shared" si="52"/>
        <v>17.51023765251378</v>
      </c>
      <c r="I121" s="379">
        <f t="shared" si="52"/>
        <v>35.124185555771994</v>
      </c>
      <c r="J121" s="379">
        <f t="shared" si="52"/>
        <v>29.352833799261564</v>
      </c>
      <c r="K121" s="379">
        <f t="shared" si="52"/>
        <v>18.776622927587368</v>
      </c>
      <c r="L121" s="379">
        <f t="shared" si="52"/>
        <v>34.019897553574985</v>
      </c>
      <c r="M121" s="379">
        <f t="shared" si="52"/>
        <v>33.041506924948791</v>
      </c>
      <c r="N121" s="379">
        <f t="shared" si="52"/>
        <v>34.354088296290421</v>
      </c>
      <c r="O121" s="379">
        <f t="shared" si="52"/>
        <v>23.54310629271804</v>
      </c>
      <c r="P121" s="379">
        <f t="shared" si="52"/>
        <v>26.576095668108476</v>
      </c>
      <c r="Q121" s="379">
        <f t="shared" si="52"/>
        <v>25.196489302716653</v>
      </c>
      <c r="R121" s="379">
        <f t="shared" si="52"/>
        <v>36.15666804198036</v>
      </c>
      <c r="S121" s="379">
        <f t="shared" si="52"/>
        <v>16.225883710305467</v>
      </c>
      <c r="T121" s="379">
        <f t="shared" si="52"/>
        <v>39.396197316443853</v>
      </c>
      <c r="U121" s="379">
        <f t="shared" si="52"/>
        <v>33.050708341738471</v>
      </c>
      <c r="V121" s="379">
        <f t="shared" si="52"/>
        <v>29.637132145676386</v>
      </c>
      <c r="W121" s="379">
        <f t="shared" si="52"/>
        <v>25.995923517081962</v>
      </c>
      <c r="X121" s="379">
        <f t="shared" si="52"/>
        <v>29.715931755781451</v>
      </c>
      <c r="Y121" s="379">
        <f t="shared" si="52"/>
        <v>14.377730589823507</v>
      </c>
      <c r="Z121" s="379">
        <f t="shared" si="52"/>
        <v>26.97364588021517</v>
      </c>
      <c r="AA121" s="379">
        <f t="shared" si="52"/>
        <v>32.923219540244261</v>
      </c>
      <c r="AB121" s="379">
        <f t="shared" si="52"/>
        <v>36.778134147113256</v>
      </c>
      <c r="AC121" s="379">
        <f t="shared" si="52"/>
        <v>18.971424766480855</v>
      </c>
      <c r="AD121" s="379">
        <f t="shared" si="52"/>
        <v>40.215511393775778</v>
      </c>
      <c r="AE121" s="379">
        <f t="shared" si="52"/>
        <v>31.745307682800174</v>
      </c>
      <c r="AF121" s="379">
        <f t="shared" si="52"/>
        <v>25.560917080011102</v>
      </c>
      <c r="AG121" s="379">
        <f t="shared" si="52"/>
        <v>42.97986411329066</v>
      </c>
      <c r="AH121" s="379">
        <f t="shared" si="52"/>
        <v>20.912580114833538</v>
      </c>
      <c r="AI121" s="379">
        <f t="shared" si="52"/>
        <v>21.276287715137865</v>
      </c>
      <c r="AJ121" s="379">
        <f t="shared" si="52"/>
        <v>52.316668889349025</v>
      </c>
      <c r="AK121" s="379">
        <f t="shared" si="52"/>
        <v>44.037442514885747</v>
      </c>
      <c r="AL121" s="379">
        <f t="shared" si="52"/>
        <v>28.32798676661406</v>
      </c>
      <c r="AM121" s="379">
        <f t="shared" si="52"/>
        <v>48.109133917070785</v>
      </c>
      <c r="AN121" s="380">
        <f t="shared" si="52"/>
        <v>48.109133917070785</v>
      </c>
    </row>
    <row r="122" spans="1:40">
      <c r="A122" s="151" t="s">
        <v>285</v>
      </c>
      <c r="B122" s="141" t="s">
        <v>2</v>
      </c>
      <c r="C122" s="144" t="s">
        <v>148</v>
      </c>
      <c r="D122" s="381">
        <f t="shared" ref="D122:AN122" si="53">1-(D116/D$48)</f>
        <v>0.13758255372470718</v>
      </c>
      <c r="E122" s="382">
        <f t="shared" si="53"/>
        <v>0.21657870060079265</v>
      </c>
      <c r="F122" s="382">
        <f t="shared" si="53"/>
        <v>0.20635393859582596</v>
      </c>
      <c r="G122" s="382">
        <f t="shared" si="53"/>
        <v>0.1375825537247074</v>
      </c>
      <c r="H122" s="382">
        <f t="shared" si="53"/>
        <v>0.20028522853257458</v>
      </c>
      <c r="I122" s="382">
        <f t="shared" si="53"/>
        <v>0.22250125670813836</v>
      </c>
      <c r="J122" s="382">
        <f t="shared" si="53"/>
        <v>0.21494091252184999</v>
      </c>
      <c r="K122" s="382">
        <f t="shared" si="53"/>
        <v>0.19677462023655545</v>
      </c>
      <c r="L122" s="382">
        <f t="shared" si="53"/>
        <v>0.20873632970577904</v>
      </c>
      <c r="M122" s="382">
        <f t="shared" si="53"/>
        <v>0.17082392241940425</v>
      </c>
      <c r="N122" s="382">
        <f t="shared" si="53"/>
        <v>0.26826613476928884</v>
      </c>
      <c r="O122" s="382">
        <f t="shared" si="53"/>
        <v>0.19469274417816096</v>
      </c>
      <c r="P122" s="382">
        <f t="shared" si="53"/>
        <v>0.18731554584833399</v>
      </c>
      <c r="Q122" s="382">
        <f t="shared" si="53"/>
        <v>0.25819795651538302</v>
      </c>
      <c r="R122" s="382">
        <f t="shared" si="53"/>
        <v>0.1644502028197562</v>
      </c>
      <c r="S122" s="382">
        <f t="shared" si="53"/>
        <v>0.38321495692593099</v>
      </c>
      <c r="T122" s="382">
        <f t="shared" si="53"/>
        <v>0.20775657731252062</v>
      </c>
      <c r="U122" s="382">
        <f t="shared" si="53"/>
        <v>0.24486987626632417</v>
      </c>
      <c r="V122" s="382">
        <f t="shared" si="53"/>
        <v>0.17445692453438899</v>
      </c>
      <c r="W122" s="382">
        <f t="shared" si="53"/>
        <v>0.27376647153526046</v>
      </c>
      <c r="X122" s="382">
        <f t="shared" si="53"/>
        <v>0.23181285263799523</v>
      </c>
      <c r="Y122" s="382">
        <f t="shared" si="53"/>
        <v>0.18186024028211845</v>
      </c>
      <c r="Z122" s="382">
        <f t="shared" si="53"/>
        <v>0.23801350646492569</v>
      </c>
      <c r="AA122" s="382">
        <f t="shared" si="53"/>
        <v>0.27688968925576052</v>
      </c>
      <c r="AB122" s="382">
        <f t="shared" si="53"/>
        <v>0.25236303657189429</v>
      </c>
      <c r="AC122" s="382">
        <f t="shared" si="53"/>
        <v>0.24080523383381436</v>
      </c>
      <c r="AD122" s="382">
        <f t="shared" si="53"/>
        <v>0.23441551853169795</v>
      </c>
      <c r="AE122" s="382">
        <f t="shared" si="53"/>
        <v>0.27688968925576074</v>
      </c>
      <c r="AF122" s="382">
        <f t="shared" si="53"/>
        <v>0.17037753728555793</v>
      </c>
      <c r="AG122" s="382">
        <f t="shared" si="53"/>
        <v>0.23178871609168661</v>
      </c>
      <c r="AH122" s="382">
        <f t="shared" si="53"/>
        <v>0.31282588354796581</v>
      </c>
      <c r="AI122" s="382">
        <f t="shared" si="53"/>
        <v>0.19354628025128695</v>
      </c>
      <c r="AJ122" s="382">
        <f t="shared" si="53"/>
        <v>0.1866585685429113</v>
      </c>
      <c r="AK122" s="382">
        <f t="shared" si="53"/>
        <v>0.18204140716584782</v>
      </c>
      <c r="AL122" s="382">
        <f t="shared" si="53"/>
        <v>0.16317899783965906</v>
      </c>
      <c r="AM122" s="382">
        <f t="shared" si="53"/>
        <v>0.1866585685429113</v>
      </c>
      <c r="AN122" s="383">
        <f t="shared" si="53"/>
        <v>0.1866585685429113</v>
      </c>
    </row>
    <row r="123" spans="1:40">
      <c r="A123" s="129"/>
      <c r="B123" s="142" t="s">
        <v>3</v>
      </c>
      <c r="C123" s="131" t="s">
        <v>148</v>
      </c>
      <c r="D123" s="384">
        <f t="shared" ref="D123:AN123" si="54">1-(D117/D$49)</f>
        <v>0.14290541793027689</v>
      </c>
      <c r="E123" s="385">
        <f t="shared" si="54"/>
        <v>0.21657870060079265</v>
      </c>
      <c r="F123" s="385">
        <f t="shared" si="54"/>
        <v>0.20635393859582596</v>
      </c>
      <c r="G123" s="385">
        <f t="shared" si="54"/>
        <v>0.14290541793027667</v>
      </c>
      <c r="H123" s="385">
        <f t="shared" si="54"/>
        <v>0.22223376374705239</v>
      </c>
      <c r="I123" s="385">
        <f t="shared" si="54"/>
        <v>0.21659108609774735</v>
      </c>
      <c r="J123" s="385">
        <f t="shared" si="54"/>
        <v>0.21993650719323665</v>
      </c>
      <c r="K123" s="385">
        <f t="shared" si="54"/>
        <v>0.19068277085116103</v>
      </c>
      <c r="L123" s="385">
        <f t="shared" si="54"/>
        <v>0.20873632970577904</v>
      </c>
      <c r="M123" s="385">
        <f t="shared" si="54"/>
        <v>0.17417970805325744</v>
      </c>
      <c r="N123" s="385">
        <f t="shared" si="54"/>
        <v>0.28644469748482482</v>
      </c>
      <c r="O123" s="385">
        <f t="shared" si="54"/>
        <v>0.19469274417816096</v>
      </c>
      <c r="P123" s="385">
        <f t="shared" si="54"/>
        <v>0.18731554584833399</v>
      </c>
      <c r="Q123" s="385">
        <f t="shared" si="54"/>
        <v>0.23849362072500291</v>
      </c>
      <c r="R123" s="385">
        <f t="shared" si="54"/>
        <v>0.1644502028197562</v>
      </c>
      <c r="S123" s="385">
        <f t="shared" si="54"/>
        <v>0.38943503915705246</v>
      </c>
      <c r="T123" s="385">
        <f t="shared" si="54"/>
        <v>0.22144951802441815</v>
      </c>
      <c r="U123" s="385">
        <f t="shared" si="54"/>
        <v>0.25733239267850039</v>
      </c>
      <c r="V123" s="385">
        <f t="shared" si="54"/>
        <v>0.17445692453438899</v>
      </c>
      <c r="W123" s="385">
        <f t="shared" si="54"/>
        <v>0.17487844660776763</v>
      </c>
      <c r="X123" s="385">
        <f t="shared" si="54"/>
        <v>0.22042585187715524</v>
      </c>
      <c r="Y123" s="385">
        <f t="shared" si="54"/>
        <v>0.18121437670152019</v>
      </c>
      <c r="Z123" s="385">
        <f t="shared" si="54"/>
        <v>0.18868241595772095</v>
      </c>
      <c r="AA123" s="385">
        <f t="shared" si="54"/>
        <v>0.27358750499209483</v>
      </c>
      <c r="AB123" s="385">
        <f t="shared" si="54"/>
        <v>0.20642750355623507</v>
      </c>
      <c r="AC123" s="385">
        <f t="shared" si="54"/>
        <v>0.27159911926488367</v>
      </c>
      <c r="AD123" s="385">
        <f t="shared" si="54"/>
        <v>0.24333615000006648</v>
      </c>
      <c r="AE123" s="385">
        <f t="shared" si="54"/>
        <v>0.27358750499209494</v>
      </c>
      <c r="AF123" s="385">
        <f t="shared" si="54"/>
        <v>0.17037753728555793</v>
      </c>
      <c r="AG123" s="385">
        <f t="shared" si="54"/>
        <v>0.24436341012401952</v>
      </c>
      <c r="AH123" s="385">
        <f t="shared" si="54"/>
        <v>0.2977355082015225</v>
      </c>
      <c r="AI123" s="385">
        <f t="shared" si="54"/>
        <v>0.19354628025128695</v>
      </c>
      <c r="AJ123" s="385">
        <f t="shared" si="54"/>
        <v>0.1866585685429113</v>
      </c>
      <c r="AK123" s="385">
        <f t="shared" si="54"/>
        <v>0.18204140716584782</v>
      </c>
      <c r="AL123" s="385">
        <f t="shared" si="54"/>
        <v>0.16317899783965906</v>
      </c>
      <c r="AM123" s="385">
        <f t="shared" si="54"/>
        <v>0.1866585685429113</v>
      </c>
      <c r="AN123" s="386">
        <f t="shared" si="54"/>
        <v>0.1866585685429113</v>
      </c>
    </row>
    <row r="124" spans="1:40">
      <c r="A124" s="129"/>
      <c r="B124" s="142" t="s">
        <v>4</v>
      </c>
      <c r="C124" s="131" t="s">
        <v>148</v>
      </c>
      <c r="D124" s="384">
        <f t="shared" ref="D124:AN124" si="55">1-(D118/D$50)</f>
        <v>0.14084173125413224</v>
      </c>
      <c r="E124" s="385">
        <f t="shared" si="55"/>
        <v>0.21657870060079265</v>
      </c>
      <c r="F124" s="385">
        <f t="shared" si="55"/>
        <v>0.21175168496538221</v>
      </c>
      <c r="G124" s="385">
        <f t="shared" si="55"/>
        <v>0.14084173125413224</v>
      </c>
      <c r="H124" s="385">
        <f t="shared" si="55"/>
        <v>0.32309762923528185</v>
      </c>
      <c r="I124" s="385">
        <f t="shared" si="55"/>
        <v>0.21659108609774735</v>
      </c>
      <c r="J124" s="385">
        <f t="shared" si="55"/>
        <v>0.22427997891838669</v>
      </c>
      <c r="K124" s="385">
        <f t="shared" si="55"/>
        <v>0.26372654786628913</v>
      </c>
      <c r="L124" s="385">
        <f t="shared" si="55"/>
        <v>0.24383381273316962</v>
      </c>
      <c r="M124" s="385">
        <f t="shared" si="55"/>
        <v>0.17417970805325744</v>
      </c>
      <c r="N124" s="385">
        <f t="shared" si="55"/>
        <v>0.30485345536966668</v>
      </c>
      <c r="O124" s="385">
        <f t="shared" si="55"/>
        <v>0.21705451900032657</v>
      </c>
      <c r="P124" s="385">
        <f t="shared" si="55"/>
        <v>0.18731554584833399</v>
      </c>
      <c r="Q124" s="385">
        <f t="shared" si="55"/>
        <v>0.20241745332155592</v>
      </c>
      <c r="R124" s="385">
        <f t="shared" si="55"/>
        <v>0.17389680933308127</v>
      </c>
      <c r="S124" s="385">
        <f t="shared" si="55"/>
        <v>0.32239965431256146</v>
      </c>
      <c r="T124" s="385">
        <f t="shared" si="55"/>
        <v>0.24201954401487313</v>
      </c>
      <c r="U124" s="385">
        <f t="shared" si="55"/>
        <v>0.23835199732587387</v>
      </c>
      <c r="V124" s="385">
        <f t="shared" si="55"/>
        <v>0.19228090350557214</v>
      </c>
      <c r="W124" s="385">
        <f t="shared" si="55"/>
        <v>0.24928603175661312</v>
      </c>
      <c r="X124" s="385">
        <f t="shared" si="55"/>
        <v>0.22186656546778138</v>
      </c>
      <c r="Y124" s="385">
        <f t="shared" si="55"/>
        <v>0.23745255757127337</v>
      </c>
      <c r="Z124" s="385">
        <f t="shared" si="55"/>
        <v>0.19265403526726399</v>
      </c>
      <c r="AA124" s="385">
        <f t="shared" si="55"/>
        <v>0.34246637797500001</v>
      </c>
      <c r="AB124" s="385">
        <f t="shared" si="55"/>
        <v>0.23110422081391391</v>
      </c>
      <c r="AC124" s="385">
        <f t="shared" si="55"/>
        <v>0.26287754888024961</v>
      </c>
      <c r="AD124" s="385">
        <f t="shared" si="55"/>
        <v>0.24333615000006648</v>
      </c>
      <c r="AE124" s="385">
        <f t="shared" si="55"/>
        <v>0.3424663779749999</v>
      </c>
      <c r="AF124" s="385">
        <f t="shared" si="55"/>
        <v>0.14139559046390826</v>
      </c>
      <c r="AG124" s="385">
        <f t="shared" si="55"/>
        <v>0.24436341012401952</v>
      </c>
      <c r="AH124" s="385">
        <f t="shared" si="55"/>
        <v>0.28106129646441969</v>
      </c>
      <c r="AI124" s="385">
        <f t="shared" si="55"/>
        <v>0.19354628025128695</v>
      </c>
      <c r="AJ124" s="385">
        <f t="shared" si="55"/>
        <v>0.1866585685429113</v>
      </c>
      <c r="AK124" s="385">
        <f t="shared" si="55"/>
        <v>0.18204140716584782</v>
      </c>
      <c r="AL124" s="385">
        <f t="shared" si="55"/>
        <v>0.16792168474371061</v>
      </c>
      <c r="AM124" s="385">
        <f t="shared" si="55"/>
        <v>0.1866585685429113</v>
      </c>
      <c r="AN124" s="386">
        <f t="shared" si="55"/>
        <v>0.1866585685429113</v>
      </c>
    </row>
    <row r="125" spans="1:40">
      <c r="A125" s="129"/>
      <c r="B125" s="142" t="s">
        <v>5</v>
      </c>
      <c r="C125" s="131" t="s">
        <v>148</v>
      </c>
      <c r="D125" s="384">
        <f t="shared" ref="D125:AN125" si="56">1-(D119/D$51)</f>
        <v>0.14256745603987409</v>
      </c>
      <c r="E125" s="385">
        <f t="shared" si="56"/>
        <v>0.20617686678347791</v>
      </c>
      <c r="F125" s="385">
        <f t="shared" si="56"/>
        <v>0.24380560879605784</v>
      </c>
      <c r="G125" s="385">
        <f t="shared" si="56"/>
        <v>0.14256745603987397</v>
      </c>
      <c r="H125" s="385">
        <f t="shared" si="56"/>
        <v>0.330902068413086</v>
      </c>
      <c r="I125" s="385">
        <f t="shared" si="56"/>
        <v>0.2318846777119179</v>
      </c>
      <c r="J125" s="385">
        <f t="shared" si="56"/>
        <v>0.21416455497742493</v>
      </c>
      <c r="K125" s="385">
        <f t="shared" si="56"/>
        <v>0.30028158540400718</v>
      </c>
      <c r="L125" s="385">
        <f t="shared" si="56"/>
        <v>0.15086995879598375</v>
      </c>
      <c r="M125" s="385">
        <f t="shared" si="56"/>
        <v>0.1537295051713975</v>
      </c>
      <c r="N125" s="385">
        <f t="shared" si="56"/>
        <v>0.29623224372867063</v>
      </c>
      <c r="O125" s="385">
        <f t="shared" si="56"/>
        <v>0.20891413704631601</v>
      </c>
      <c r="P125" s="385">
        <f t="shared" si="56"/>
        <v>0.19151443967458437</v>
      </c>
      <c r="Q125" s="385">
        <f t="shared" si="56"/>
        <v>0.20241745332155592</v>
      </c>
      <c r="R125" s="385">
        <f t="shared" si="56"/>
        <v>0.21940165896228925</v>
      </c>
      <c r="S125" s="385">
        <f t="shared" si="56"/>
        <v>0.30392768664847858</v>
      </c>
      <c r="T125" s="385">
        <f t="shared" si="56"/>
        <v>0.24097282510562901</v>
      </c>
      <c r="U125" s="385">
        <f t="shared" si="56"/>
        <v>0.23276029966561396</v>
      </c>
      <c r="V125" s="385">
        <f t="shared" si="56"/>
        <v>0.19228090350557214</v>
      </c>
      <c r="W125" s="385">
        <f t="shared" si="56"/>
        <v>0.16803206229757039</v>
      </c>
      <c r="X125" s="385">
        <f t="shared" si="56"/>
        <v>0.21685040058725036</v>
      </c>
      <c r="Y125" s="385">
        <f t="shared" si="56"/>
        <v>0.2527901939229108</v>
      </c>
      <c r="Z125" s="385">
        <f t="shared" si="56"/>
        <v>0.27981639112764589</v>
      </c>
      <c r="AA125" s="385">
        <f t="shared" si="56"/>
        <v>0.33212290202311867</v>
      </c>
      <c r="AB125" s="385">
        <f t="shared" si="56"/>
        <v>0.23110422081391391</v>
      </c>
      <c r="AC125" s="385">
        <f t="shared" si="56"/>
        <v>0.27004877198981492</v>
      </c>
      <c r="AD125" s="385">
        <f t="shared" si="56"/>
        <v>0.26970083738645456</v>
      </c>
      <c r="AE125" s="385">
        <f t="shared" si="56"/>
        <v>0.33212290202311845</v>
      </c>
      <c r="AF125" s="385">
        <f t="shared" si="56"/>
        <v>0.14725310008237324</v>
      </c>
      <c r="AG125" s="385">
        <f t="shared" si="56"/>
        <v>0.20553565675474383</v>
      </c>
      <c r="AH125" s="385">
        <f t="shared" si="56"/>
        <v>0.42197203924302851</v>
      </c>
      <c r="AI125" s="385">
        <f t="shared" si="56"/>
        <v>0.19761724810251347</v>
      </c>
      <c r="AJ125" s="385">
        <f t="shared" si="56"/>
        <v>0.18754019445629411</v>
      </c>
      <c r="AK125" s="385">
        <f t="shared" si="56"/>
        <v>0.18061219293673803</v>
      </c>
      <c r="AL125" s="385">
        <f t="shared" si="56"/>
        <v>0.19519743990654559</v>
      </c>
      <c r="AM125" s="385">
        <f t="shared" si="56"/>
        <v>0.18754019445629444</v>
      </c>
      <c r="AN125" s="386">
        <f t="shared" si="56"/>
        <v>0.18754019445629444</v>
      </c>
    </row>
    <row r="126" spans="1:40">
      <c r="A126" s="129"/>
      <c r="B126" s="142" t="s">
        <v>6</v>
      </c>
      <c r="C126" s="131" t="s">
        <v>148</v>
      </c>
      <c r="D126" s="384">
        <f t="shared" ref="D126:AN126" si="57">1-(D120/D$52)</f>
        <v>0.14989219056745517</v>
      </c>
      <c r="E126" s="385">
        <f t="shared" si="57"/>
        <v>0.20617686678347791</v>
      </c>
      <c r="F126" s="385">
        <f t="shared" si="57"/>
        <v>0.23972290162392806</v>
      </c>
      <c r="G126" s="385">
        <f t="shared" si="57"/>
        <v>0.14989219056745517</v>
      </c>
      <c r="H126" s="385">
        <f t="shared" si="57"/>
        <v>0.22530284045649407</v>
      </c>
      <c r="I126" s="385">
        <f t="shared" si="57"/>
        <v>0.25163633625263582</v>
      </c>
      <c r="J126" s="385">
        <f t="shared" si="57"/>
        <v>0.21003637153701193</v>
      </c>
      <c r="K126" s="385">
        <f t="shared" si="57"/>
        <v>0.30028158540400718</v>
      </c>
      <c r="L126" s="385">
        <f t="shared" si="57"/>
        <v>0.14205221561442694</v>
      </c>
      <c r="M126" s="385">
        <f t="shared" si="57"/>
        <v>0.1537295051713975</v>
      </c>
      <c r="N126" s="385">
        <f t="shared" si="57"/>
        <v>0.29849907191995273</v>
      </c>
      <c r="O126" s="385">
        <f t="shared" si="57"/>
        <v>0.20694647647795894</v>
      </c>
      <c r="P126" s="385">
        <f t="shared" si="57"/>
        <v>0.19151443967458437</v>
      </c>
      <c r="Q126" s="385">
        <f t="shared" si="57"/>
        <v>0.20009293254236993</v>
      </c>
      <c r="R126" s="385">
        <f t="shared" si="57"/>
        <v>0.21940165896228925</v>
      </c>
      <c r="S126" s="385">
        <f t="shared" si="57"/>
        <v>0.3559321140922771</v>
      </c>
      <c r="T126" s="385">
        <f t="shared" si="57"/>
        <v>0.24311716877858702</v>
      </c>
      <c r="U126" s="385">
        <f t="shared" si="57"/>
        <v>0.23829912551036991</v>
      </c>
      <c r="V126" s="385">
        <f t="shared" si="57"/>
        <v>0.19228090350557214</v>
      </c>
      <c r="W126" s="385">
        <f t="shared" si="57"/>
        <v>0.14236009225406387</v>
      </c>
      <c r="X126" s="385">
        <f t="shared" si="57"/>
        <v>0.211896561986051</v>
      </c>
      <c r="Y126" s="385">
        <f t="shared" si="57"/>
        <v>0.24538612215994093</v>
      </c>
      <c r="Z126" s="385">
        <f t="shared" si="57"/>
        <v>0.26120859303303834</v>
      </c>
      <c r="AA126" s="385">
        <f t="shared" si="57"/>
        <v>0.37393774544712599</v>
      </c>
      <c r="AB126" s="385">
        <f t="shared" si="57"/>
        <v>0.23110422081391391</v>
      </c>
      <c r="AC126" s="385">
        <f t="shared" si="57"/>
        <v>0.28131017488385668</v>
      </c>
      <c r="AD126" s="385">
        <f t="shared" si="57"/>
        <v>0.26970083738645456</v>
      </c>
      <c r="AE126" s="385">
        <f t="shared" si="57"/>
        <v>0.3739377454471261</v>
      </c>
      <c r="AF126" s="385">
        <f t="shared" si="57"/>
        <v>0.16312043100484053</v>
      </c>
      <c r="AG126" s="385">
        <f t="shared" si="57"/>
        <v>0.1894343028916603</v>
      </c>
      <c r="AH126" s="385">
        <f t="shared" si="57"/>
        <v>0.32190835534430995</v>
      </c>
      <c r="AI126" s="385">
        <f t="shared" si="57"/>
        <v>0.19761724810251347</v>
      </c>
      <c r="AJ126" s="385">
        <f t="shared" si="57"/>
        <v>0.19422400020314934</v>
      </c>
      <c r="AK126" s="385">
        <f t="shared" si="57"/>
        <v>0.18592622527999925</v>
      </c>
      <c r="AL126" s="385">
        <f t="shared" si="57"/>
        <v>0.19261971795417943</v>
      </c>
      <c r="AM126" s="385">
        <f t="shared" si="57"/>
        <v>0.19422400020314934</v>
      </c>
      <c r="AN126" s="386">
        <f t="shared" si="57"/>
        <v>0.19422400020314934</v>
      </c>
    </row>
    <row r="127" spans="1:40">
      <c r="A127" s="121"/>
      <c r="B127" s="374" t="s">
        <v>7</v>
      </c>
      <c r="C127" s="122" t="s">
        <v>148</v>
      </c>
      <c r="D127" s="191">
        <f t="shared" ref="D127:AN127" si="58">1-(D121/D$53)</f>
        <v>0.14205895330562746</v>
      </c>
      <c r="E127" s="387">
        <f t="shared" si="58"/>
        <v>0.19727514104909738</v>
      </c>
      <c r="F127" s="387">
        <f t="shared" si="58"/>
        <v>0.28123224559833371</v>
      </c>
      <c r="G127" s="387">
        <f t="shared" si="58"/>
        <v>0.14205895330562757</v>
      </c>
      <c r="H127" s="387">
        <f t="shared" si="58"/>
        <v>0.29706863763512592</v>
      </c>
      <c r="I127" s="387">
        <f t="shared" si="58"/>
        <v>0.19355734176017791</v>
      </c>
      <c r="J127" s="387">
        <f t="shared" si="58"/>
        <v>0.18858841731717813</v>
      </c>
      <c r="K127" s="387">
        <f t="shared" si="58"/>
        <v>0.25766512267075414</v>
      </c>
      <c r="L127" s="387">
        <f t="shared" si="58"/>
        <v>0.14205221561442694</v>
      </c>
      <c r="M127" s="387">
        <f t="shared" si="58"/>
        <v>0.19102142708875203</v>
      </c>
      <c r="N127" s="387">
        <f t="shared" si="58"/>
        <v>0.26018621626287197</v>
      </c>
      <c r="O127" s="387">
        <f t="shared" si="58"/>
        <v>0.2015673543792238</v>
      </c>
      <c r="P127" s="387">
        <f t="shared" si="58"/>
        <v>0.24826790622502037</v>
      </c>
      <c r="Q127" s="387">
        <f t="shared" si="58"/>
        <v>0.20822252073478964</v>
      </c>
      <c r="R127" s="387">
        <f t="shared" si="58"/>
        <v>0.16454638262181454</v>
      </c>
      <c r="S127" s="387">
        <f t="shared" si="58"/>
        <v>0.40247441673000917</v>
      </c>
      <c r="T127" s="387">
        <f t="shared" si="58"/>
        <v>0.20988506890868008</v>
      </c>
      <c r="U127" s="387">
        <f t="shared" si="58"/>
        <v>0.19665121792570417</v>
      </c>
      <c r="V127" s="387">
        <f t="shared" si="58"/>
        <v>0.26415891654022328</v>
      </c>
      <c r="W127" s="387">
        <f t="shared" si="58"/>
        <v>0.13335605776904857</v>
      </c>
      <c r="X127" s="387">
        <f t="shared" si="58"/>
        <v>0.27308571051515473</v>
      </c>
      <c r="Y127" s="387">
        <f t="shared" si="58"/>
        <v>0.26190224299739673</v>
      </c>
      <c r="Z127" s="387">
        <f t="shared" si="58"/>
        <v>0.22836548830326575</v>
      </c>
      <c r="AA127" s="387">
        <f t="shared" si="58"/>
        <v>0.27629077726226292</v>
      </c>
      <c r="AB127" s="387">
        <f t="shared" si="58"/>
        <v>0.31215926507206782</v>
      </c>
      <c r="AC127" s="387">
        <f t="shared" si="58"/>
        <v>0.26183861698178945</v>
      </c>
      <c r="AD127" s="387">
        <f t="shared" si="58"/>
        <v>0.20847756312786037</v>
      </c>
      <c r="AE127" s="387">
        <f t="shared" si="58"/>
        <v>0.27629077726226281</v>
      </c>
      <c r="AF127" s="387">
        <f t="shared" si="58"/>
        <v>0.17782352699719406</v>
      </c>
      <c r="AG127" s="387">
        <f t="shared" si="58"/>
        <v>0.1597398415591571</v>
      </c>
      <c r="AH127" s="387">
        <f t="shared" si="58"/>
        <v>0.31395723273010789</v>
      </c>
      <c r="AI127" s="387">
        <f t="shared" si="58"/>
        <v>0.27600930895152875</v>
      </c>
      <c r="AJ127" s="387">
        <f t="shared" si="58"/>
        <v>0.17985648675701649</v>
      </c>
      <c r="AK127" s="387">
        <f t="shared" si="58"/>
        <v>0.17150805949719983</v>
      </c>
      <c r="AL127" s="387">
        <f t="shared" si="58"/>
        <v>0.23896654123630179</v>
      </c>
      <c r="AM127" s="387">
        <f t="shared" si="58"/>
        <v>0.17985648675701638</v>
      </c>
      <c r="AN127" s="388">
        <f t="shared" si="58"/>
        <v>0.17985648675701638</v>
      </c>
    </row>
    <row r="128" spans="1:40">
      <c r="A128" s="334" t="s">
        <v>281</v>
      </c>
      <c r="B128" s="359" t="s">
        <v>287</v>
      </c>
      <c r="C128" s="443" t="s">
        <v>286</v>
      </c>
      <c r="D128" s="420">
        <f>(('Energy Efficiency Measures-DBT'!D$57*D$22)+('Energy Efficiency Measures-DBT'!D$16*D$15))/D$5</f>
        <v>39.199816786196259</v>
      </c>
      <c r="E128" s="421">
        <f>(('Energy Efficiency Measures-DBT'!E$57*E$22)+('Energy Efficiency Measures-DBT'!E$16*E$15))/E$5</f>
        <v>56.654502952533498</v>
      </c>
      <c r="F128" s="421">
        <f>(('Energy Efficiency Measures-DBT'!F$57*F$22)+('Energy Efficiency Measures-DBT'!F$16*F$15))/F$5</f>
        <v>41.34848036696372</v>
      </c>
      <c r="G128" s="421">
        <f>(('Energy Efficiency Measures-DBT'!G$57*G$22)+('Energy Efficiency Measures-DBT'!G$16*G$15))/G$5</f>
        <v>39.199816786196259</v>
      </c>
      <c r="H128" s="421">
        <f>(('Energy Efficiency Measures-DBT'!H$57*H$22)+('Energy Efficiency Measures-DBT'!H$16*H$15))/H$5</f>
        <v>57.565068493150683</v>
      </c>
      <c r="I128" s="421">
        <f>(('Energy Efficiency Measures-DBT'!I$57*I$22)+('Energy Efficiency Measures-DBT'!I$16*I$15))/I$5</f>
        <v>53.646438130353474</v>
      </c>
      <c r="J128" s="421">
        <f>(('Energy Efficiency Measures-DBT'!J$57*J$22)+('Energy Efficiency Measures-DBT'!J$16*J$15))/J$5</f>
        <v>48.176871726534316</v>
      </c>
      <c r="K128" s="421">
        <f>(('Energy Efficiency Measures-DBT'!K$57*K$22)+('Energy Efficiency Measures-DBT'!K$16*K$15))/K$5</f>
        <v>51.918367346938773</v>
      </c>
      <c r="L128" s="421">
        <f>(('Energy Efficiency Measures-DBT'!L$57*L$22)+('Energy Efficiency Measures-DBT'!L$16*L$15))/L$5</f>
        <v>54.208120652069283</v>
      </c>
      <c r="M128" s="421">
        <f>(('Energy Efficiency Measures-DBT'!M$57*M$22)+('Energy Efficiency Measures-DBT'!M$16*M$15))/M$5</f>
        <v>55.588517220419043</v>
      </c>
      <c r="N128" s="421">
        <f>(('Energy Efficiency Measures-DBT'!N$57*N$22)+('Energy Efficiency Measures-DBT'!N$16*N$15))/N$5</f>
        <v>71.785714285714278</v>
      </c>
      <c r="O128" s="421">
        <f>(('Energy Efficiency Measures-DBT'!O$57*O$22)+('Energy Efficiency Measures-DBT'!O$16*O$15))/O$5</f>
        <v>66.164873423872081</v>
      </c>
      <c r="P128" s="421">
        <f>(('Energy Efficiency Measures-DBT'!P$57*P$22)+('Energy Efficiency Measures-DBT'!P$16*P$15))/P$5</f>
        <v>60.315068493150683</v>
      </c>
      <c r="Q128" s="421">
        <f>(('Energy Efficiency Measures-DBT'!Q$57*Q$22)+('Energy Efficiency Measures-DBT'!Q$16*Q$15))/Q$5</f>
        <v>41.851252879866486</v>
      </c>
      <c r="R128" s="421">
        <f>(('Energy Efficiency Measures-DBT'!R$57*R$22)+('Energy Efficiency Measures-DBT'!R$16*R$15))/R$5</f>
        <v>55.340367088847849</v>
      </c>
      <c r="S128" s="421">
        <f>(('Energy Efficiency Measures-DBT'!S$57*S$22)+('Energy Efficiency Measures-DBT'!S$16*S$15))/S$5</f>
        <v>50.778973740122019</v>
      </c>
      <c r="T128" s="421">
        <f>(('Energy Efficiency Measures-DBT'!T$57*T$22)+('Energy Efficiency Measures-DBT'!T$16*T$15))/T$5</f>
        <v>70.285714285714292</v>
      </c>
      <c r="U128" s="421">
        <f>(('Energy Efficiency Measures-DBT'!U$57*U$22)+('Energy Efficiency Measures-DBT'!U$16*U$15))/U$5</f>
        <v>47.897577092511014</v>
      </c>
      <c r="V128" s="421">
        <f>(('Energy Efficiency Measures-DBT'!V$57*V$22)+('Energy Efficiency Measures-DBT'!V$16*V$15))/V$5</f>
        <v>50.580666689500134</v>
      </c>
      <c r="W128" s="421">
        <f>(('Energy Efficiency Measures-DBT'!W$57*W$22)+('Energy Efficiency Measures-DBT'!W$16*W$15))/W$5</f>
        <v>47.957990610850651</v>
      </c>
      <c r="X128" s="421">
        <f>(('Energy Efficiency Measures-DBT'!X$57*X$22)+('Energy Efficiency Measures-DBT'!X$16*X$15))/X$5</f>
        <v>50.635922330097088</v>
      </c>
      <c r="Y128" s="421">
        <f>(('Energy Efficiency Measures-DBT'!Y$57*Y$22)+('Energy Efficiency Measures-DBT'!Y$16*Y$15))/Y$5</f>
        <v>50.587275388405686</v>
      </c>
      <c r="Z128" s="421">
        <f>(('Energy Efficiency Measures-DBT'!Z$57*Z$22)+('Energy Efficiency Measures-DBT'!Z$16*Z$15))/Z$5</f>
        <v>45.494722955145122</v>
      </c>
      <c r="AA128" s="421">
        <f>(('Energy Efficiency Measures-DBT'!AA$57*AA$22)+('Energy Efficiency Measures-DBT'!AA$16*AA$15))/AA$5</f>
        <v>61.392215568862277</v>
      </c>
      <c r="AB128" s="421">
        <f>(('Energy Efficiency Measures-DBT'!AB$57*AB$22)+('Energy Efficiency Measures-DBT'!AB$16*AB$15))/AB$5</f>
        <v>51.274618860022819</v>
      </c>
      <c r="AC128" s="421">
        <f>(('Energy Efficiency Measures-DBT'!AC$57*AC$22)+('Energy Efficiency Measures-DBT'!AC$16*AC$15))/AC$5</f>
        <v>48.665728412910916</v>
      </c>
      <c r="AD128" s="421">
        <f>(('Energy Efficiency Measures-DBT'!AD$57*AD$22)+('Energy Efficiency Measures-DBT'!AD$16*AD$15))/AD$5</f>
        <v>55.551260779276156</v>
      </c>
      <c r="AE128" s="421">
        <f>(('Energy Efficiency Measures-DBT'!AE$57*AE$22)+('Energy Efficiency Measures-DBT'!AE$16*AE$15))/AE$5</f>
        <v>61.392215568862277</v>
      </c>
      <c r="AF128" s="421">
        <f>(('Energy Efficiency Measures-DBT'!AF$57*AF$22)+('Energy Efficiency Measures-DBT'!AF$16*AF$15))/AF$5</f>
        <v>50.581455838866646</v>
      </c>
      <c r="AG128" s="421">
        <f>(('Energy Efficiency Measures-DBT'!AG$57*AG$22)+('Energy Efficiency Measures-DBT'!AG$16*AG$15))/AG$5</f>
        <v>41.790005846417927</v>
      </c>
      <c r="AH128" s="421">
        <f>(('Energy Efficiency Measures-DBT'!AH$57*AH$22)+('Energy Efficiency Measures-DBT'!AH$16*AH$15))/AH$5</f>
        <v>63.777554814530653</v>
      </c>
      <c r="AI128" s="421">
        <f>(('Energy Efficiency Measures-DBT'!AI$57*AI$22)+('Energy Efficiency Measures-DBT'!AI$16*AI$15))/AI$5</f>
        <v>37.047945205479451</v>
      </c>
      <c r="AJ128" s="421">
        <f>(('Energy Efficiency Measures-DBT'!AJ$57*AJ$22)+('Energy Efficiency Measures-DBT'!AJ$16*AJ$15))/AJ$5</f>
        <v>41.851252879866486</v>
      </c>
      <c r="AK128" s="421">
        <f>(('Energy Efficiency Measures-DBT'!AK$57*AK$22)+('Energy Efficiency Measures-DBT'!AK$16*AK$15))/AK$5</f>
        <v>37.047945205479451</v>
      </c>
      <c r="AL128" s="421">
        <f>(('Energy Efficiency Measures-DBT'!AL$57*AL$22)+('Energy Efficiency Measures-DBT'!AL$16*AL$15))/AL$5</f>
        <v>41.851252879866486</v>
      </c>
      <c r="AM128" s="421">
        <f>(('Energy Efficiency Measures-DBT'!AM$57*AM$22)+('Energy Efficiency Measures-DBT'!AM$16*AM$15))/AM$5</f>
        <v>41.851252879866486</v>
      </c>
      <c r="AN128" s="422">
        <f>(('Energy Efficiency Measures-DBT'!AN$57*AN$22)+('Energy Efficiency Measures-DBT'!AN$16*AN$15))/AN$5</f>
        <v>41.851252879866486</v>
      </c>
    </row>
    <row r="129" spans="1:40">
      <c r="A129" s="407"/>
      <c r="B129" s="347" t="s">
        <v>291</v>
      </c>
      <c r="C129" s="450" t="s">
        <v>292</v>
      </c>
      <c r="D129" s="451">
        <f t="shared" ref="D129:AN129" si="59">PMT(0.12,20,-D130,0,1)/(D41-D110)/3.6*1000</f>
        <v>89.415631991460884</v>
      </c>
      <c r="E129" s="452">
        <f t="shared" si="59"/>
        <v>84.55023156243017</v>
      </c>
      <c r="F129" s="452">
        <f t="shared" si="59"/>
        <v>97.66240832958006</v>
      </c>
      <c r="G129" s="452">
        <f t="shared" si="59"/>
        <v>91.778135766077227</v>
      </c>
      <c r="H129" s="452">
        <f t="shared" si="59"/>
        <v>277.66413353511689</v>
      </c>
      <c r="I129" s="452">
        <f t="shared" si="59"/>
        <v>92.217212129159932</v>
      </c>
      <c r="J129" s="452">
        <f t="shared" si="59"/>
        <v>62.128977161980956</v>
      </c>
      <c r="K129" s="452">
        <f t="shared" si="59"/>
        <v>153.53075194356262</v>
      </c>
      <c r="L129" s="452">
        <f t="shared" si="59"/>
        <v>121.59683767116688</v>
      </c>
      <c r="M129" s="452">
        <f t="shared" si="59"/>
        <v>107.41612083802185</v>
      </c>
      <c r="N129" s="452">
        <f t="shared" si="59"/>
        <v>111.55837161092653</v>
      </c>
      <c r="O129" s="452">
        <f t="shared" si="59"/>
        <v>94.833518564599188</v>
      </c>
      <c r="P129" s="452">
        <f t="shared" si="59"/>
        <v>114.11122194891406</v>
      </c>
      <c r="Q129" s="452">
        <f t="shared" si="59"/>
        <v>67.440232058625966</v>
      </c>
      <c r="R129" s="452">
        <f t="shared" si="59"/>
        <v>105.53343649600005</v>
      </c>
      <c r="S129" s="452">
        <f t="shared" si="59"/>
        <v>60.571423913437101</v>
      </c>
      <c r="T129" s="452">
        <f t="shared" si="59"/>
        <v>127.05264372433878</v>
      </c>
      <c r="U129" s="452">
        <f t="shared" si="59"/>
        <v>91.74971035697628</v>
      </c>
      <c r="V129" s="452">
        <f t="shared" si="59"/>
        <v>92.486639578349397</v>
      </c>
      <c r="W129" s="452">
        <f t="shared" si="59"/>
        <v>68.77007353748165</v>
      </c>
      <c r="X129" s="452">
        <f t="shared" si="59"/>
        <v>62.351123783410415</v>
      </c>
      <c r="Y129" s="452">
        <f t="shared" si="59"/>
        <v>338.51312780772554</v>
      </c>
      <c r="Z129" s="452">
        <f t="shared" si="59"/>
        <v>60.271472967829808</v>
      </c>
      <c r="AA129" s="452">
        <f t="shared" si="59"/>
        <v>90.22117417666523</v>
      </c>
      <c r="AB129" s="452">
        <f t="shared" si="59"/>
        <v>53.678192906032884</v>
      </c>
      <c r="AC129" s="452">
        <f t="shared" si="59"/>
        <v>139.2574477149349</v>
      </c>
      <c r="AD129" s="452">
        <f t="shared" si="59"/>
        <v>94.025464000828137</v>
      </c>
      <c r="AE129" s="452">
        <f t="shared" si="59"/>
        <v>93.568837142074102</v>
      </c>
      <c r="AF129" s="452">
        <f t="shared" si="59"/>
        <v>100.18487703951331</v>
      </c>
      <c r="AG129" s="452">
        <f t="shared" si="59"/>
        <v>47.306730571596376</v>
      </c>
      <c r="AH129" s="452">
        <f t="shared" si="59"/>
        <v>75.939604923799124</v>
      </c>
      <c r="AI129" s="452">
        <f t="shared" si="59"/>
        <v>85.16593710657979</v>
      </c>
      <c r="AJ129" s="452">
        <f t="shared" si="59"/>
        <v>83.329244233053174</v>
      </c>
      <c r="AK129" s="452">
        <f t="shared" si="59"/>
        <v>90.436875594096477</v>
      </c>
      <c r="AL129" s="452">
        <f t="shared" si="59"/>
        <v>98.188243547840386</v>
      </c>
      <c r="AM129" s="452">
        <f t="shared" si="59"/>
        <v>90.617064253435515</v>
      </c>
      <c r="AN129" s="453">
        <f t="shared" si="59"/>
        <v>90.617064253435515</v>
      </c>
    </row>
    <row r="130" spans="1:40">
      <c r="A130" s="404"/>
      <c r="B130" s="338" t="s">
        <v>287</v>
      </c>
      <c r="C130" s="444" t="s">
        <v>288</v>
      </c>
      <c r="D130" s="423">
        <f t="shared" ref="D130:AN130" si="60">D128*D$4</f>
        <v>2805.3999600000002</v>
      </c>
      <c r="E130" s="424">
        <f t="shared" si="60"/>
        <v>4149.2884350000004</v>
      </c>
      <c r="F130" s="424">
        <f t="shared" si="60"/>
        <v>2666.1612195000002</v>
      </c>
      <c r="G130" s="424">
        <f t="shared" si="60"/>
        <v>2805.3999600000002</v>
      </c>
      <c r="H130" s="424">
        <f t="shared" si="60"/>
        <v>4202.25</v>
      </c>
      <c r="I130" s="424">
        <f t="shared" si="60"/>
        <v>3271.7625209999997</v>
      </c>
      <c r="J130" s="424">
        <f t="shared" si="60"/>
        <v>3021.0938685000001</v>
      </c>
      <c r="K130" s="424">
        <f t="shared" si="60"/>
        <v>4070.4</v>
      </c>
      <c r="L130" s="424">
        <f t="shared" si="60"/>
        <v>2591.0956394999998</v>
      </c>
      <c r="M130" s="424">
        <f t="shared" si="60"/>
        <v>4801.1587195714283</v>
      </c>
      <c r="N130" s="424">
        <f t="shared" si="60"/>
        <v>4019.9999999999995</v>
      </c>
      <c r="O130" s="424">
        <f t="shared" si="60"/>
        <v>4361.8592689285715</v>
      </c>
      <c r="P130" s="424">
        <f t="shared" si="60"/>
        <v>4403</v>
      </c>
      <c r="Q130" s="424">
        <f t="shared" si="60"/>
        <v>2662.2554580000001</v>
      </c>
      <c r="R130" s="424">
        <f t="shared" si="60"/>
        <v>2586.3053265000003</v>
      </c>
      <c r="S130" s="424">
        <f t="shared" si="60"/>
        <v>3379.0876199999998</v>
      </c>
      <c r="T130" s="424">
        <f t="shared" si="60"/>
        <v>3936.0000000000005</v>
      </c>
      <c r="U130" s="424">
        <f t="shared" si="60"/>
        <v>4349.1000000000004</v>
      </c>
      <c r="V130" s="424">
        <f t="shared" si="60"/>
        <v>2608.0278930000004</v>
      </c>
      <c r="W130" s="424">
        <f t="shared" si="60"/>
        <v>4114.8006299999997</v>
      </c>
      <c r="X130" s="424">
        <f t="shared" si="60"/>
        <v>2607.75</v>
      </c>
      <c r="Y130" s="424">
        <f t="shared" si="60"/>
        <v>4301.5094789999994</v>
      </c>
      <c r="Z130" s="424">
        <f t="shared" si="60"/>
        <v>3448.5</v>
      </c>
      <c r="AA130" s="424">
        <f t="shared" si="60"/>
        <v>4101</v>
      </c>
      <c r="AB130" s="424">
        <f t="shared" si="60"/>
        <v>2690.8784099999993</v>
      </c>
      <c r="AC130" s="424">
        <f t="shared" si="60"/>
        <v>4704.037289571429</v>
      </c>
      <c r="AD130" s="424">
        <f t="shared" si="60"/>
        <v>2663.7020639999996</v>
      </c>
      <c r="AE130" s="424">
        <f t="shared" si="60"/>
        <v>4101</v>
      </c>
      <c r="AF130" s="424">
        <f t="shared" si="60"/>
        <v>2608.0239194999999</v>
      </c>
      <c r="AG130" s="424">
        <f t="shared" si="60"/>
        <v>2559.7586729999998</v>
      </c>
      <c r="AH130" s="424">
        <f t="shared" si="60"/>
        <v>3087.4714285714285</v>
      </c>
      <c r="AI130" s="424">
        <f t="shared" si="60"/>
        <v>2704.5</v>
      </c>
      <c r="AJ130" s="424">
        <f t="shared" si="60"/>
        <v>2662.2554580000001</v>
      </c>
      <c r="AK130" s="424">
        <f t="shared" si="60"/>
        <v>2704.5</v>
      </c>
      <c r="AL130" s="424">
        <f t="shared" si="60"/>
        <v>2662.2554580000001</v>
      </c>
      <c r="AM130" s="424">
        <f t="shared" si="60"/>
        <v>2662.2554580000001</v>
      </c>
      <c r="AN130" s="425">
        <f t="shared" si="60"/>
        <v>2662.2554580000001</v>
      </c>
    </row>
    <row r="131" spans="1:40">
      <c r="B131" s="135"/>
      <c r="C131" s="135"/>
      <c r="D131" s="442"/>
    </row>
    <row r="132" spans="1:40">
      <c r="A132" s="5" t="s">
        <v>295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</row>
    <row r="133" spans="1:40">
      <c r="A133" s="938" t="s">
        <v>123</v>
      </c>
      <c r="B133" s="939"/>
      <c r="C133" s="138" t="s">
        <v>76</v>
      </c>
      <c r="D133" s="194">
        <v>1</v>
      </c>
      <c r="E133" s="195">
        <v>1</v>
      </c>
      <c r="F133" s="195">
        <v>1</v>
      </c>
      <c r="G133" s="195">
        <v>1</v>
      </c>
      <c r="H133" s="195">
        <v>1</v>
      </c>
      <c r="I133" s="195">
        <v>1</v>
      </c>
      <c r="J133" s="195">
        <v>1</v>
      </c>
      <c r="K133" s="195">
        <v>1</v>
      </c>
      <c r="L133" s="195">
        <v>1</v>
      </c>
      <c r="M133" s="195">
        <v>1</v>
      </c>
      <c r="N133" s="195">
        <v>1</v>
      </c>
      <c r="O133" s="195">
        <v>1</v>
      </c>
      <c r="P133" s="195">
        <v>1</v>
      </c>
      <c r="Q133" s="195">
        <v>1</v>
      </c>
      <c r="R133" s="195">
        <v>1</v>
      </c>
      <c r="S133" s="195">
        <v>1</v>
      </c>
      <c r="T133" s="195">
        <v>1</v>
      </c>
      <c r="U133" s="195">
        <v>1</v>
      </c>
      <c r="V133" s="195">
        <v>1</v>
      </c>
      <c r="W133" s="195">
        <v>1</v>
      </c>
      <c r="X133" s="195">
        <v>1</v>
      </c>
      <c r="Y133" s="195">
        <v>1</v>
      </c>
      <c r="Z133" s="195">
        <v>1</v>
      </c>
      <c r="AA133" s="195">
        <v>1</v>
      </c>
      <c r="AB133" s="195">
        <v>1</v>
      </c>
      <c r="AC133" s="195">
        <v>1</v>
      </c>
      <c r="AD133" s="195">
        <v>1</v>
      </c>
      <c r="AE133" s="195">
        <v>1</v>
      </c>
      <c r="AF133" s="195">
        <v>1</v>
      </c>
      <c r="AG133" s="195">
        <v>1</v>
      </c>
      <c r="AH133" s="195">
        <v>1</v>
      </c>
      <c r="AI133" s="195">
        <v>1</v>
      </c>
      <c r="AJ133" s="195">
        <v>1</v>
      </c>
      <c r="AK133" s="195">
        <v>1</v>
      </c>
      <c r="AL133" s="195">
        <v>1</v>
      </c>
      <c r="AM133" s="195">
        <v>1</v>
      </c>
      <c r="AN133" s="196">
        <v>1</v>
      </c>
    </row>
    <row r="134" spans="1:40">
      <c r="A134" s="151" t="s">
        <v>193</v>
      </c>
      <c r="B134" s="141" t="s">
        <v>2</v>
      </c>
      <c r="C134" s="144" t="s">
        <v>195</v>
      </c>
      <c r="D134" s="170">
        <f>((LOOKUP(D$2,'Ceiling-U'!$A$4:$A$40,'Ceiling-U'!$X$4:$X$40)*D$15)+(LOOKUP(D$2,'Floor-U'!$A$4:$A$40,'Floor-U'!$E$4:$E$40)*D$16)+(LOOKUP(D$2,'Wall-U'!$A$4:$A$40,'Wall-U'!$X$4:$X$40)*D$13)+(LOOKUP(D$2,'Window-U'!$A$4:$A$40,'Window-U'!$S$4:$S$40)*D$22))*D$133</f>
        <v>768.81434960023466</v>
      </c>
      <c r="E134" s="171">
        <f>((LOOKUP(E$2,'Ceiling-U'!$A$4:$A$40,'Ceiling-U'!$X$4:$X$40)*E$15)+(LOOKUP(E$2,'Floor-U'!$A$4:$A$40,'Floor-U'!$E$4:$E$40)*E$16)+(LOOKUP(E$2,'Wall-U'!$A$4:$A$40,'Wall-U'!$X$4:$X$40)*E$13)+(LOOKUP(E$2,'Window-U'!$A$4:$A$40,'Window-U'!$S$4:$S$40)*E$22))*E$133</f>
        <v>748.3729286815161</v>
      </c>
      <c r="F134" s="171">
        <f>((LOOKUP(F$2,'Ceiling-U'!$A$4:$A$40,'Ceiling-U'!$X$4:$X$40)*F$15)+(LOOKUP(F$2,'Floor-U'!$A$4:$A$40,'Floor-U'!$E$4:$E$40)*F$16)+(LOOKUP(F$2,'Wall-U'!$A$4:$A$40,'Wall-U'!$X$4:$X$40)*F$13)+(LOOKUP(F$2,'Window-U'!$A$4:$A$40,'Window-U'!$S$4:$S$40)*F$22))*F$133</f>
        <v>1152.7037291743015</v>
      </c>
      <c r="G134" s="171">
        <f>((LOOKUP(G$2,'Ceiling-U'!$A$4:$A$40,'Ceiling-U'!$X$4:$X$40)*G$15)+(LOOKUP(G$2,'Floor-U'!$A$4:$A$40,'Floor-U'!$E$4:$E$40)*G$16)+(LOOKUP(G$2,'Wall-U'!$A$4:$A$40,'Wall-U'!$X$4:$X$40)*G$13)+(LOOKUP(G$2,'Window-U'!$A$4:$A$40,'Window-U'!$S$4:$S$40)*G$22))*G$133</f>
        <v>768.81434960023466</v>
      </c>
      <c r="H134" s="171">
        <f>((LOOKUP(H$2,'Ceiling-U'!$A$4:$A$40,'Ceiling-U'!$X$4:$X$40)*H$15)+(LOOKUP(H$2,'Floor-U'!$A$4:$A$40,'Floor-U'!$E$4:$E$40)*H$16)+(LOOKUP(H$2,'Wall-U'!$A$4:$A$40,'Wall-U'!$X$4:$X$40)*H$13)+(LOOKUP(H$2,'Window-U'!$A$4:$A$40,'Window-U'!$S$4:$S$40)*H$22))*H$133</f>
        <v>1214.0463328487067</v>
      </c>
      <c r="I134" s="171">
        <f>((LOOKUP(I$2,'Ceiling-U'!$A$4:$A$40,'Ceiling-U'!$X$4:$X$40)*I$15)+(LOOKUP(I$2,'Floor-U'!$A$4:$A$40,'Floor-U'!$E$4:$E$40)*I$16)+(LOOKUP(I$2,'Wall-U'!$A$4:$A$40,'Wall-U'!$X$4:$X$40)*I$13)+(LOOKUP(I$2,'Window-U'!$A$4:$A$40,'Window-U'!$S$4:$S$40)*I$22))*I$133</f>
        <v>688.60344280441734</v>
      </c>
      <c r="J134" s="171">
        <f>((LOOKUP(J$2,'Ceiling-U'!$A$4:$A$40,'Ceiling-U'!$X$4:$X$40)*J$15)+(LOOKUP(J$2,'Floor-U'!$A$4:$A$40,'Floor-U'!$E$4:$E$40)*J$16)+(LOOKUP(J$2,'Wall-U'!$A$4:$A$40,'Wall-U'!$X$4:$X$40)*J$13)+(LOOKUP(J$2,'Window-U'!$A$4:$A$40,'Window-U'!$S$4:$S$40)*J$22))*J$133</f>
        <v>685.32847083813215</v>
      </c>
      <c r="K134" s="171">
        <f>((LOOKUP(K$2,'Ceiling-U'!$A$4:$A$40,'Ceiling-U'!$X$4:$X$40)*K$15)+(LOOKUP(K$2,'Floor-U'!$A$4:$A$40,'Floor-U'!$E$4:$E$40)*K$16)+(LOOKUP(K$2,'Wall-U'!$A$4:$A$40,'Wall-U'!$X$4:$X$40)*K$13)+(LOOKUP(K$2,'Window-U'!$A$4:$A$40,'Window-U'!$S$4:$S$40)*K$22))*K$133</f>
        <v>850.76900298829662</v>
      </c>
      <c r="L134" s="171">
        <f>((LOOKUP(L$2,'Ceiling-U'!$A$4:$A$40,'Ceiling-U'!$X$4:$X$40)*L$15)+(LOOKUP(L$2,'Floor-U'!$A$4:$A$40,'Floor-U'!$E$4:$E$40)*L$16)+(LOOKUP(L$2,'Wall-U'!$A$4:$A$40,'Wall-U'!$X$4:$X$40)*L$13)+(LOOKUP(L$2,'Window-U'!$A$4:$A$40,'Window-U'!$S$4:$S$40)*L$22))*L$133</f>
        <v>378.98953074100729</v>
      </c>
      <c r="M134" s="171">
        <f>((LOOKUP(M$2,'Ceiling-U'!$A$4:$A$40,'Ceiling-U'!$X$4:$X$40)*M$15)+(LOOKUP(M$2,'Floor-U'!$A$4:$A$40,'Floor-U'!$E$4:$E$40)*M$16)+(LOOKUP(M$2,'Wall-U'!$A$4:$A$40,'Wall-U'!$X$4:$X$40)*M$13)+(LOOKUP(M$2,'Window-U'!$A$4:$A$40,'Window-U'!$S$4:$S$40)*M$22))*M$133</f>
        <v>783.33410347366271</v>
      </c>
      <c r="N134" s="171">
        <f>((LOOKUP(N$2,'Ceiling-U'!$A$4:$A$40,'Ceiling-U'!$X$4:$X$40)*N$15)+(LOOKUP(N$2,'Floor-U'!$A$4:$A$40,'Floor-U'!$E$4:$E$40)*N$16)+(LOOKUP(N$2,'Wall-U'!$A$4:$A$40,'Wall-U'!$X$4:$X$40)*N$13)+(LOOKUP(N$2,'Window-U'!$A$4:$A$40,'Window-U'!$S$4:$S$40)*N$22))*N$133</f>
        <v>929.61490423026703</v>
      </c>
      <c r="O134" s="171">
        <f>((LOOKUP(O$2,'Ceiling-U'!$A$4:$A$40,'Ceiling-U'!$X$4:$X$40)*O$15)+(LOOKUP(O$2,'Floor-U'!$A$4:$A$40,'Floor-U'!$E$4:$E$40)*O$16)+(LOOKUP(O$2,'Wall-U'!$A$4:$A$40,'Wall-U'!$X$4:$X$40)*O$13)+(LOOKUP(O$2,'Window-U'!$A$4:$A$40,'Window-U'!$S$4:$S$40)*O$22))*O$133</f>
        <v>912.12225343331204</v>
      </c>
      <c r="P134" s="171">
        <f>((LOOKUP(P$2,'Ceiling-U'!$A$4:$A$40,'Ceiling-U'!$X$4:$X$40)*P$15)+(LOOKUP(P$2,'Floor-U'!$A$4:$A$40,'Floor-U'!$E$4:$E$40)*P$16)+(LOOKUP(P$2,'Wall-U'!$A$4:$A$40,'Wall-U'!$X$4:$X$40)*P$13)+(LOOKUP(P$2,'Window-U'!$A$4:$A$40,'Window-U'!$S$4:$S$40)*P$22))*P$133</f>
        <v>779.67925980910502</v>
      </c>
      <c r="Q134" s="171">
        <f>((LOOKUP(Q$2,'Ceiling-U'!$A$4:$A$40,'Ceiling-U'!$X$4:$X$40)*Q$15)+(LOOKUP(Q$2,'Floor-U'!$A$4:$A$40,'Floor-U'!$E$4:$E$40)*Q$16)+(LOOKUP(Q$2,'Wall-U'!$A$4:$A$40,'Wall-U'!$X$4:$X$40)*Q$13)+(LOOKUP(Q$2,'Window-U'!$A$4:$A$40,'Window-U'!$S$4:$S$40)*Q$22))*Q$133</f>
        <v>637.38943803278391</v>
      </c>
      <c r="R134" s="171">
        <f>((LOOKUP(R$2,'Ceiling-U'!$A$4:$A$40,'Ceiling-U'!$X$4:$X$40)*R$15)+(LOOKUP(R$2,'Floor-U'!$A$4:$A$40,'Floor-U'!$E$4:$E$40)*R$16)+(LOOKUP(R$2,'Wall-U'!$A$4:$A$40,'Wall-U'!$X$4:$X$40)*R$13)+(LOOKUP(R$2,'Window-U'!$A$4:$A$40,'Window-U'!$S$4:$S$40)*R$22))*R$133</f>
        <v>550.36847087312947</v>
      </c>
      <c r="S134" s="171">
        <f>((LOOKUP(S$2,'Ceiling-U'!$A$4:$A$40,'Ceiling-U'!$X$4:$X$40)*S$15)+(LOOKUP(S$2,'Floor-U'!$A$4:$A$40,'Floor-U'!$E$4:$E$40)*S$16)+(LOOKUP(S$2,'Wall-U'!$A$4:$A$40,'Wall-U'!$X$4:$X$40)*S$13)+(LOOKUP(S$2,'Window-U'!$A$4:$A$40,'Window-U'!$S$4:$S$40)*S$22))*S$133</f>
        <v>1842.1066808677363</v>
      </c>
      <c r="T134" s="171">
        <f>((LOOKUP(T$2,'Ceiling-U'!$A$4:$A$40,'Ceiling-U'!$X$4:$X$40)*T$15)+(LOOKUP(T$2,'Floor-U'!$A$4:$A$40,'Floor-U'!$E$4:$E$40)*T$16)+(LOOKUP(T$2,'Wall-U'!$A$4:$A$40,'Wall-U'!$X$4:$X$40)*T$13)+(LOOKUP(T$2,'Window-U'!$A$4:$A$40,'Window-U'!$S$4:$S$40)*T$22))*T$133</f>
        <v>467.73295640523031</v>
      </c>
      <c r="U134" s="171">
        <f>((LOOKUP(U$2,'Ceiling-U'!$A$4:$A$40,'Ceiling-U'!$X$4:$X$40)*U$15)+(LOOKUP(U$2,'Floor-U'!$A$4:$A$40,'Floor-U'!$E$4:$E$40)*U$16)+(LOOKUP(U$2,'Wall-U'!$A$4:$A$40,'Wall-U'!$X$4:$X$40)*U$13)+(LOOKUP(U$2,'Window-U'!$A$4:$A$40,'Window-U'!$S$4:$S$40)*U$22))*U$133</f>
        <v>1087.8694836742561</v>
      </c>
      <c r="V134" s="171">
        <f>((LOOKUP(V$2,'Ceiling-U'!$A$4:$A$40,'Ceiling-U'!$X$4:$X$40)*V$15)+(LOOKUP(V$2,'Floor-U'!$A$4:$A$40,'Floor-U'!$E$4:$E$40)*V$16)+(LOOKUP(V$2,'Wall-U'!$A$4:$A$40,'Wall-U'!$X$4:$X$40)*V$13)+(LOOKUP(V$2,'Window-U'!$A$4:$A$40,'Window-U'!$S$4:$S$40)*V$22))*V$133</f>
        <v>548.81069341176681</v>
      </c>
      <c r="W134" s="171">
        <f>((LOOKUP(W$2,'Ceiling-U'!$A$4:$A$40,'Ceiling-U'!$X$4:$X$40)*W$15)+(LOOKUP(W$2,'Floor-U'!$A$4:$A$40,'Floor-U'!$E$4:$E$40)*W$16)+(LOOKUP(W$2,'Wall-U'!$A$4:$A$40,'Wall-U'!$X$4:$X$40)*W$13)+(LOOKUP(W$2,'Window-U'!$A$4:$A$40,'Window-U'!$S$4:$S$40)*W$22))*W$133</f>
        <v>967.54929912317186</v>
      </c>
      <c r="X134" s="171">
        <f>((LOOKUP(X$2,'Ceiling-U'!$A$4:$A$40,'Ceiling-U'!$X$4:$X$40)*X$15)+(LOOKUP(X$2,'Floor-U'!$A$4:$A$40,'Floor-U'!$E$4:$E$40)*X$16)+(LOOKUP(X$2,'Wall-U'!$A$4:$A$40,'Wall-U'!$X$4:$X$40)*X$13)+(LOOKUP(X$2,'Window-U'!$A$4:$A$40,'Window-U'!$S$4:$S$40)*X$22))*X$133</f>
        <v>536.44290488605679</v>
      </c>
      <c r="Y134" s="171">
        <f>((LOOKUP(Y$2,'Ceiling-U'!$A$4:$A$40,'Ceiling-U'!$X$4:$X$40)*Y$15)+(LOOKUP(Y$2,'Floor-U'!$A$4:$A$40,'Floor-U'!$E$4:$E$40)*Y$16)+(LOOKUP(Y$2,'Wall-U'!$A$4:$A$40,'Wall-U'!$X$4:$X$40)*Y$13)+(LOOKUP(Y$2,'Window-U'!$A$4:$A$40,'Window-U'!$S$4:$S$40)*Y$22))*Y$133</f>
        <v>1358.469643070629</v>
      </c>
      <c r="Z134" s="171">
        <f>((LOOKUP(Z$2,'Ceiling-U'!$A$4:$A$40,'Ceiling-U'!$X$4:$X$40)*Z$15)+(LOOKUP(Z$2,'Floor-U'!$A$4:$A$40,'Floor-U'!$E$4:$E$40)*Z$16)+(LOOKUP(Z$2,'Wall-U'!$A$4:$A$40,'Wall-U'!$X$4:$X$40)*Z$13)+(LOOKUP(Z$2,'Window-U'!$A$4:$A$40,'Window-U'!$S$4:$S$40)*Z$22))*Z$133</f>
        <v>779.8120956937413</v>
      </c>
      <c r="AA134" s="171">
        <f>((LOOKUP(AA$2,'Ceiling-U'!$A$4:$A$40,'Ceiling-U'!$X$4:$X$40)*AA$15)+(LOOKUP(AA$2,'Floor-U'!$A$4:$A$40,'Floor-U'!$E$4:$E$40)*AA$16)+(LOOKUP(AA$2,'Wall-U'!$A$4:$A$40,'Wall-U'!$X$4:$X$40)*AA$13)+(LOOKUP(AA$2,'Window-U'!$A$4:$A$40,'Window-U'!$S$4:$S$40)*AA$22))*AA$133</f>
        <v>410.50009205147728</v>
      </c>
      <c r="AB134" s="171">
        <f>((LOOKUP(AB$2,'Ceiling-U'!$A$4:$A$40,'Ceiling-U'!$X$4:$X$40)*AB$15)+(LOOKUP(AB$2,'Floor-U'!$A$4:$A$40,'Floor-U'!$E$4:$E$40)*AB$16)+(LOOKUP(AB$2,'Wall-U'!$A$4:$A$40,'Wall-U'!$X$4:$X$40)*AB$13)+(LOOKUP(AB$2,'Window-U'!$A$4:$A$40,'Window-U'!$S$4:$S$40)*AB$22))*AB$133</f>
        <v>841.00440515184698</v>
      </c>
      <c r="AC134" s="171">
        <f>((LOOKUP(AC$2,'Ceiling-U'!$A$4:$A$40,'Ceiling-U'!$X$4:$X$40)*AC$15)+(LOOKUP(AC$2,'Floor-U'!$A$4:$A$40,'Floor-U'!$E$4:$E$40)*AC$16)+(LOOKUP(AC$2,'Wall-U'!$A$4:$A$40,'Wall-U'!$X$4:$X$40)*AC$13)+(LOOKUP(AC$2,'Window-U'!$A$4:$A$40,'Window-U'!$S$4:$S$40)*AC$22))*AC$133</f>
        <v>1165.2095495751914</v>
      </c>
      <c r="AD134" s="171">
        <f>((LOOKUP(AD$2,'Ceiling-U'!$A$4:$A$40,'Ceiling-U'!$X$4:$X$40)*AD$15)+(LOOKUP(AD$2,'Floor-U'!$A$4:$A$40,'Floor-U'!$E$4:$E$40)*AD$16)+(LOOKUP(AD$2,'Wall-U'!$A$4:$A$40,'Wall-U'!$X$4:$X$40)*AD$13)+(LOOKUP(AD$2,'Window-U'!$A$4:$A$40,'Window-U'!$S$4:$S$40)*AD$22))*AD$133</f>
        <v>2059.9604242908763</v>
      </c>
      <c r="AE134" s="171">
        <f>((LOOKUP(AE$2,'Ceiling-U'!$A$4:$A$40,'Ceiling-U'!$X$4:$X$40)*AE$15)+(LOOKUP(AE$2,'Floor-U'!$A$4:$A$40,'Floor-U'!$E$4:$E$40)*AE$16)+(LOOKUP(AE$2,'Wall-U'!$A$4:$A$40,'Wall-U'!$X$4:$X$40)*AE$13)+(LOOKUP(AE$2,'Window-U'!$A$4:$A$40,'Window-U'!$S$4:$S$40)*AE$22))*AE$133</f>
        <v>410.50009205147728</v>
      </c>
      <c r="AF134" s="171">
        <f>((LOOKUP(AF$2,'Ceiling-U'!$A$4:$A$40,'Ceiling-U'!$X$4:$X$40)*AF$15)+(LOOKUP(AF$2,'Floor-U'!$A$4:$A$40,'Floor-U'!$E$4:$E$40)*AF$16)+(LOOKUP(AF$2,'Wall-U'!$A$4:$A$40,'Wall-U'!$X$4:$X$40)*AF$13)+(LOOKUP(AF$2,'Window-U'!$A$4:$A$40,'Window-U'!$S$4:$S$40)*AF$22))*AF$133</f>
        <v>591.7912911650792</v>
      </c>
      <c r="AG134" s="171">
        <f>((LOOKUP(AG$2,'Ceiling-U'!$A$4:$A$40,'Ceiling-U'!$X$4:$X$40)*AG$15)+(LOOKUP(AG$2,'Floor-U'!$A$4:$A$40,'Floor-U'!$E$4:$E$40)*AG$16)+(LOOKUP(AG$2,'Wall-U'!$A$4:$A$40,'Wall-U'!$X$4:$X$40)*AG$13)+(LOOKUP(AG$2,'Window-U'!$A$4:$A$40,'Window-U'!$S$4:$S$40)*AG$22))*AG$133</f>
        <v>834.02860527581913</v>
      </c>
      <c r="AH134" s="171">
        <f>((LOOKUP(AH$2,'Ceiling-U'!$A$4:$A$40,'Ceiling-U'!$X$4:$X$40)*AH$15)+(LOOKUP(AH$2,'Floor-U'!$A$4:$A$40,'Floor-U'!$E$4:$E$40)*AH$16)+(LOOKUP(AH$2,'Wall-U'!$A$4:$A$40,'Wall-U'!$X$4:$X$40)*AH$13)+(LOOKUP(AH$2,'Window-U'!$A$4:$A$40,'Window-U'!$S$4:$S$40)*AH$22))*AH$133</f>
        <v>1417.5465926417435</v>
      </c>
      <c r="AI134" s="171">
        <f>((LOOKUP(AI$2,'Ceiling-U'!$A$4:$A$40,'Ceiling-U'!$X$4:$X$40)*AI$15)+(LOOKUP(AI$2,'Floor-U'!$A$4:$A$40,'Floor-U'!$E$4:$E$40)*AI$16)+(LOOKUP(AI$2,'Wall-U'!$A$4:$A$40,'Wall-U'!$X$4:$X$40)*AI$13)+(LOOKUP(AI$2,'Window-U'!$A$4:$A$40,'Window-U'!$S$4:$S$40)*AI$22))*AI$133</f>
        <v>1216.482701331227</v>
      </c>
      <c r="AJ134" s="171">
        <f>((LOOKUP(AJ$2,'Ceiling-U'!$A$4:$A$40,'Ceiling-U'!$X$4:$X$40)*AJ$15)+(LOOKUP(AJ$2,'Floor-U'!$A$4:$A$40,'Floor-U'!$E$4:$E$40)*AJ$16)+(LOOKUP(AJ$2,'Wall-U'!$A$4:$A$40,'Wall-U'!$X$4:$X$40)*AJ$13)+(LOOKUP(AJ$2,'Window-U'!$A$4:$A$40,'Window-U'!$S$4:$S$40)*AJ$22))*AJ$133</f>
        <v>646.85942058925923</v>
      </c>
      <c r="AK134" s="171">
        <f>((LOOKUP(AK$2,'Ceiling-U'!$A$4:$A$40,'Ceiling-U'!$X$4:$X$40)*AK$15)+(LOOKUP(AK$2,'Floor-U'!$A$4:$A$40,'Floor-U'!$E$4:$E$40)*AK$16)+(LOOKUP(AK$2,'Wall-U'!$A$4:$A$40,'Wall-U'!$X$4:$X$40)*AK$13)+(LOOKUP(AK$2,'Window-U'!$A$4:$A$40,'Window-U'!$S$4:$S$40)*AK$22))*AK$133</f>
        <v>706.20026289245084</v>
      </c>
      <c r="AL134" s="171">
        <f>((LOOKUP(AL$2,'Ceiling-U'!$A$4:$A$40,'Ceiling-U'!$X$4:$X$40)*AL$15)+(LOOKUP(AL$2,'Floor-U'!$A$4:$A$40,'Floor-U'!$E$4:$E$40)*AL$16)+(LOOKUP(AL$2,'Wall-U'!$A$4:$A$40,'Wall-U'!$X$4:$X$40)*AL$13)+(LOOKUP(AL$2,'Window-U'!$A$4:$A$40,'Window-U'!$S$4:$S$40)*AL$22))*AL$133</f>
        <v>675.75916198924949</v>
      </c>
      <c r="AM134" s="171">
        <f>((LOOKUP(AM$2,'Ceiling-U'!$A$4:$A$40,'Ceiling-U'!$X$4:$X$40)*AM$15)+(LOOKUP(AM$2,'Floor-U'!$A$4:$A$40,'Floor-U'!$E$4:$E$40)*AM$16)+(LOOKUP(AM$2,'Wall-U'!$A$4:$A$40,'Wall-U'!$X$4:$X$40)*AM$13)+(LOOKUP(AM$2,'Window-U'!$A$4:$A$40,'Window-U'!$S$4:$S$40)*AM$22))*AM$133</f>
        <v>646.85942058925923</v>
      </c>
      <c r="AN134" s="172">
        <f>((LOOKUP(AN$2,'Ceiling-U'!$A$4:$A$40,'Ceiling-U'!$X$4:$X$40)*AN$15)+(LOOKUP(AN$2,'Floor-U'!$A$4:$A$40,'Floor-U'!$E$4:$E$40)*AN$16)+(LOOKUP(AN$2,'Wall-U'!$A$4:$A$40,'Wall-U'!$X$4:$X$40)*AN$13)+(LOOKUP(AN$2,'Window-U'!$A$4:$A$40,'Window-U'!$S$4:$S$40)*AN$22))*AN$133</f>
        <v>646.85942058925923</v>
      </c>
    </row>
    <row r="135" spans="1:40">
      <c r="A135" s="372"/>
      <c r="B135" s="142" t="s">
        <v>3</v>
      </c>
      <c r="C135" s="131" t="s">
        <v>195</v>
      </c>
      <c r="D135" s="176">
        <f>((LOOKUP(D$2,'Ceiling-U'!$A$4:$A$40,'Ceiling-U'!$Y$4:$Y$40)*D$15)+(LOOKUP(D$2,'Floor-U'!$A$4:$A$40,'Floor-U'!$F$4:$F$40)*D$16)+(LOOKUP(D$2,'Wall-U'!$A$4:$A$40,'Wall-U'!$Y$4:$Y$40)*D$13)+(LOOKUP(D$2,'Window-U'!$A$4:$A$40,'Window-U'!$S$4:$S$40)*D$22))*D$133</f>
        <v>805.0189458569215</v>
      </c>
      <c r="E135" s="177">
        <f>((LOOKUP(E$2,'Ceiling-U'!$A$4:$A$40,'Ceiling-U'!$Y$4:$Y$40)*E$15)+(LOOKUP(E$2,'Floor-U'!$A$4:$A$40,'Floor-U'!$F$4:$F$40)*E$16)+(LOOKUP(E$2,'Wall-U'!$A$4:$A$40,'Wall-U'!$Y$4:$Y$40)*E$13)+(LOOKUP(E$2,'Window-U'!$A$4:$A$40,'Window-U'!$S$4:$S$40)*E$22))*E$133</f>
        <v>748.3729286815161</v>
      </c>
      <c r="F135" s="177">
        <f>((LOOKUP(F$2,'Ceiling-U'!$A$4:$A$40,'Ceiling-U'!$Y$4:$Y$40)*F$15)+(LOOKUP(F$2,'Floor-U'!$A$4:$A$40,'Floor-U'!$F$4:$F$40)*F$16)+(LOOKUP(F$2,'Wall-U'!$A$4:$A$40,'Wall-U'!$Y$4:$Y$40)*F$13)+(LOOKUP(F$2,'Window-U'!$A$4:$A$40,'Window-U'!$S$4:$S$40)*F$22))*F$133</f>
        <v>1152.7037291743015</v>
      </c>
      <c r="G135" s="177">
        <f>((LOOKUP(G$2,'Ceiling-U'!$A$4:$A$40,'Ceiling-U'!$Y$4:$Y$40)*G$15)+(LOOKUP(G$2,'Floor-U'!$A$4:$A$40,'Floor-U'!$F$4:$F$40)*G$16)+(LOOKUP(G$2,'Wall-U'!$A$4:$A$40,'Wall-U'!$Y$4:$Y$40)*G$13)+(LOOKUP(G$2,'Window-U'!$A$4:$A$40,'Window-U'!$S$4:$S$40)*G$22))*G$133</f>
        <v>805.0189458569215</v>
      </c>
      <c r="H135" s="177">
        <f>((LOOKUP(H$2,'Ceiling-U'!$A$4:$A$40,'Ceiling-U'!$Y$4:$Y$40)*H$15)+(LOOKUP(H$2,'Floor-U'!$A$4:$A$40,'Floor-U'!$F$4:$F$40)*H$16)+(LOOKUP(H$2,'Wall-U'!$A$4:$A$40,'Wall-U'!$Y$4:$Y$40)*H$13)+(LOOKUP(H$2,'Window-U'!$A$4:$A$40,'Window-U'!$S$4:$S$40)*H$22))*H$133</f>
        <v>1201.8348509678081</v>
      </c>
      <c r="I135" s="177">
        <f>((LOOKUP(I$2,'Ceiling-U'!$A$4:$A$40,'Ceiling-U'!$Y$4:$Y$40)*I$15)+(LOOKUP(I$2,'Floor-U'!$A$4:$A$40,'Floor-U'!$F$4:$F$40)*I$16)+(LOOKUP(I$2,'Wall-U'!$A$4:$A$40,'Wall-U'!$Y$4:$Y$40)*I$13)+(LOOKUP(I$2,'Window-U'!$A$4:$A$40,'Window-U'!$S$4:$S$40)*I$22))*I$133</f>
        <v>588.04452191455732</v>
      </c>
      <c r="J135" s="177">
        <f>((LOOKUP(J$2,'Ceiling-U'!$A$4:$A$40,'Ceiling-U'!$Y$4:$Y$40)*J$15)+(LOOKUP(J$2,'Floor-U'!$A$4:$A$40,'Floor-U'!$F$4:$F$40)*J$16)+(LOOKUP(J$2,'Wall-U'!$A$4:$A$40,'Wall-U'!$Y$4:$Y$40)*J$13)+(LOOKUP(J$2,'Window-U'!$A$4:$A$40,'Window-U'!$S$4:$S$40)*J$22))*J$133</f>
        <v>691.15006468753859</v>
      </c>
      <c r="K135" s="177">
        <f>((LOOKUP(K$2,'Ceiling-U'!$A$4:$A$40,'Ceiling-U'!$Y$4:$Y$40)*K$15)+(LOOKUP(K$2,'Floor-U'!$A$4:$A$40,'Floor-U'!$F$4:$F$40)*K$16)+(LOOKUP(K$2,'Wall-U'!$A$4:$A$40,'Wall-U'!$Y$4:$Y$40)*K$13)+(LOOKUP(K$2,'Window-U'!$A$4:$A$40,'Window-U'!$S$4:$S$40)*K$22))*K$133</f>
        <v>823.325490591689</v>
      </c>
      <c r="L135" s="177">
        <f>((LOOKUP(L$2,'Ceiling-U'!$A$4:$A$40,'Ceiling-U'!$Y$4:$Y$40)*L$15)+(LOOKUP(L$2,'Floor-U'!$A$4:$A$40,'Floor-U'!$F$4:$F$40)*L$16)+(LOOKUP(L$2,'Wall-U'!$A$4:$A$40,'Wall-U'!$Y$4:$Y$40)*L$13)+(LOOKUP(L$2,'Window-U'!$A$4:$A$40,'Window-U'!$S$4:$S$40)*L$22))*L$133</f>
        <v>378.98953074100729</v>
      </c>
      <c r="M135" s="177">
        <f>((LOOKUP(M$2,'Ceiling-U'!$A$4:$A$40,'Ceiling-U'!$Y$4:$Y$40)*M$15)+(LOOKUP(M$2,'Floor-U'!$A$4:$A$40,'Floor-U'!$F$4:$F$40)*M$16)+(LOOKUP(M$2,'Wall-U'!$A$4:$A$40,'Wall-U'!$Y$4:$Y$40)*M$13)+(LOOKUP(M$2,'Window-U'!$A$4:$A$40,'Window-U'!$S$4:$S$40)*M$22))*M$133</f>
        <v>775.23146839672597</v>
      </c>
      <c r="N135" s="177">
        <f>((LOOKUP(N$2,'Ceiling-U'!$A$4:$A$40,'Ceiling-U'!$Y$4:$Y$40)*N$15)+(LOOKUP(N$2,'Floor-U'!$A$4:$A$40,'Floor-U'!$F$4:$F$40)*N$16)+(LOOKUP(N$2,'Wall-U'!$A$4:$A$40,'Wall-U'!$Y$4:$Y$40)*N$13)+(LOOKUP(N$2,'Window-U'!$A$4:$A$40,'Window-U'!$S$4:$S$40)*N$22))*N$133</f>
        <v>834.35670099133915</v>
      </c>
      <c r="O135" s="177">
        <f>((LOOKUP(O$2,'Ceiling-U'!$A$4:$A$40,'Ceiling-U'!$Y$4:$Y$40)*O$15)+(LOOKUP(O$2,'Floor-U'!$A$4:$A$40,'Floor-U'!$F$4:$F$40)*O$16)+(LOOKUP(O$2,'Wall-U'!$A$4:$A$40,'Wall-U'!$Y$4:$Y$40)*O$13)+(LOOKUP(O$2,'Window-U'!$A$4:$A$40,'Window-U'!$S$4:$S$40)*O$22))*O$133</f>
        <v>912.12225343331204</v>
      </c>
      <c r="P135" s="177">
        <f>((LOOKUP(P$2,'Ceiling-U'!$A$4:$A$40,'Ceiling-U'!$Y$4:$Y$40)*P$15)+(LOOKUP(P$2,'Floor-U'!$A$4:$A$40,'Floor-U'!$F$4:$F$40)*P$16)+(LOOKUP(P$2,'Wall-U'!$A$4:$A$40,'Wall-U'!$Y$4:$Y$40)*P$13)+(LOOKUP(P$2,'Window-U'!$A$4:$A$40,'Window-U'!$S$4:$S$40)*P$22))*P$133</f>
        <v>779.67925980910502</v>
      </c>
      <c r="Q135" s="177">
        <f>((LOOKUP(Q$2,'Ceiling-U'!$A$4:$A$40,'Ceiling-U'!$Y$4:$Y$40)*Q$15)+(LOOKUP(Q$2,'Floor-U'!$A$4:$A$40,'Floor-U'!$F$4:$F$40)*Q$16)+(LOOKUP(Q$2,'Wall-U'!$A$4:$A$40,'Wall-U'!$Y$4:$Y$40)*Q$13)+(LOOKUP(Q$2,'Window-U'!$A$4:$A$40,'Window-U'!$S$4:$S$40)*Q$22))*Q$133</f>
        <v>647.22014049888583</v>
      </c>
      <c r="R135" s="177">
        <f>((LOOKUP(R$2,'Ceiling-U'!$A$4:$A$40,'Ceiling-U'!$Y$4:$Y$40)*R$15)+(LOOKUP(R$2,'Floor-U'!$A$4:$A$40,'Floor-U'!$F$4:$F$40)*R$16)+(LOOKUP(R$2,'Wall-U'!$A$4:$A$40,'Wall-U'!$Y$4:$Y$40)*R$13)+(LOOKUP(R$2,'Window-U'!$A$4:$A$40,'Window-U'!$S$4:$S$40)*R$22))*R$133</f>
        <v>550.36847087312947</v>
      </c>
      <c r="S135" s="177">
        <f>((LOOKUP(S$2,'Ceiling-U'!$A$4:$A$40,'Ceiling-U'!$Y$4:$Y$40)*S$15)+(LOOKUP(S$2,'Floor-U'!$A$4:$A$40,'Floor-U'!$F$4:$F$40)*S$16)+(LOOKUP(S$2,'Wall-U'!$A$4:$A$40,'Wall-U'!$Y$4:$Y$40)*S$13)+(LOOKUP(S$2,'Window-U'!$A$4:$A$40,'Window-U'!$S$4:$S$40)*S$22))*S$133</f>
        <v>1843.1071744650699</v>
      </c>
      <c r="T135" s="177">
        <f>((LOOKUP(T$2,'Ceiling-U'!$A$4:$A$40,'Ceiling-U'!$Y$4:$Y$40)*T$15)+(LOOKUP(T$2,'Floor-U'!$A$4:$A$40,'Floor-U'!$F$4:$F$40)*T$16)+(LOOKUP(T$2,'Wall-U'!$A$4:$A$40,'Wall-U'!$Y$4:$Y$40)*T$13)+(LOOKUP(T$2,'Window-U'!$A$4:$A$40,'Window-U'!$S$4:$S$40)*T$22))*T$133</f>
        <v>426.96614747873912</v>
      </c>
      <c r="U135" s="177">
        <f>((LOOKUP(U$2,'Ceiling-U'!$A$4:$A$40,'Ceiling-U'!$Y$4:$Y$40)*U$15)+(LOOKUP(U$2,'Floor-U'!$A$4:$A$40,'Floor-U'!$F$4:$F$40)*U$16)+(LOOKUP(U$2,'Wall-U'!$A$4:$A$40,'Wall-U'!$Y$4:$Y$40)*U$13)+(LOOKUP(U$2,'Window-U'!$A$4:$A$40,'Window-U'!$S$4:$S$40)*U$22))*U$133</f>
        <v>1078.003161312063</v>
      </c>
      <c r="V135" s="177">
        <f>((LOOKUP(V$2,'Ceiling-U'!$A$4:$A$40,'Ceiling-U'!$Y$4:$Y$40)*V$15)+(LOOKUP(V$2,'Floor-U'!$A$4:$A$40,'Floor-U'!$F$4:$F$40)*V$16)+(LOOKUP(V$2,'Wall-U'!$A$4:$A$40,'Wall-U'!$Y$4:$Y$40)*V$13)+(LOOKUP(V$2,'Window-U'!$A$4:$A$40,'Window-U'!$S$4:$S$40)*V$22))*V$133</f>
        <v>548.81069341176681</v>
      </c>
      <c r="W135" s="177">
        <f>((LOOKUP(W$2,'Ceiling-U'!$A$4:$A$40,'Ceiling-U'!$Y$4:$Y$40)*W$15)+(LOOKUP(W$2,'Floor-U'!$A$4:$A$40,'Floor-U'!$F$4:$F$40)*W$16)+(LOOKUP(W$2,'Wall-U'!$A$4:$A$40,'Wall-U'!$Y$4:$Y$40)*W$13)+(LOOKUP(W$2,'Window-U'!$A$4:$A$40,'Window-U'!$S$4:$S$40)*W$22))*W$133</f>
        <v>905.12856105137519</v>
      </c>
      <c r="X135" s="177">
        <f>((LOOKUP(X$2,'Ceiling-U'!$A$4:$A$40,'Ceiling-U'!$Y$4:$Y$40)*X$15)+(LOOKUP(X$2,'Floor-U'!$A$4:$A$40,'Floor-U'!$F$4:$F$40)*X$16)+(LOOKUP(X$2,'Wall-U'!$A$4:$A$40,'Wall-U'!$Y$4:$Y$40)*X$13)+(LOOKUP(X$2,'Window-U'!$A$4:$A$40,'Window-U'!$S$4:$S$40)*X$22))*X$133</f>
        <v>536.44290488605679</v>
      </c>
      <c r="Y135" s="177">
        <f>((LOOKUP(Y$2,'Ceiling-U'!$A$4:$A$40,'Ceiling-U'!$Y$4:$Y$40)*Y$15)+(LOOKUP(Y$2,'Floor-U'!$A$4:$A$40,'Floor-U'!$F$4:$F$40)*Y$16)+(LOOKUP(Y$2,'Wall-U'!$A$4:$A$40,'Wall-U'!$Y$4:$Y$40)*Y$13)+(LOOKUP(Y$2,'Window-U'!$A$4:$A$40,'Window-U'!$S$4:$S$40)*Y$22))*Y$133</f>
        <v>1358.3958389523507</v>
      </c>
      <c r="Z135" s="177">
        <f>((LOOKUP(Z$2,'Ceiling-U'!$A$4:$A$40,'Ceiling-U'!$Y$4:$Y$40)*Z$15)+(LOOKUP(Z$2,'Floor-U'!$A$4:$A$40,'Floor-U'!$F$4:$F$40)*Z$16)+(LOOKUP(Z$2,'Wall-U'!$A$4:$A$40,'Wall-U'!$Y$4:$Y$40)*Z$13)+(LOOKUP(Z$2,'Window-U'!$A$4:$A$40,'Window-U'!$S$4:$S$40)*Z$22))*Z$133</f>
        <v>795.34263270033773</v>
      </c>
      <c r="AA135" s="177">
        <f>((LOOKUP(AA$2,'Ceiling-U'!$A$4:$A$40,'Ceiling-U'!$Y$4:$Y$40)*AA$15)+(LOOKUP(AA$2,'Floor-U'!$A$4:$A$40,'Floor-U'!$F$4:$F$40)*AA$16)+(LOOKUP(AA$2,'Wall-U'!$A$4:$A$40,'Wall-U'!$Y$4:$Y$40)*AA$13)+(LOOKUP(AA$2,'Window-U'!$A$4:$A$40,'Window-U'!$S$4:$S$40)*AA$22))*AA$133</f>
        <v>410.50009205147728</v>
      </c>
      <c r="AB135" s="177">
        <f>((LOOKUP(AB$2,'Ceiling-U'!$A$4:$A$40,'Ceiling-U'!$Y$4:$Y$40)*AB$15)+(LOOKUP(AB$2,'Floor-U'!$A$4:$A$40,'Floor-U'!$F$4:$F$40)*AB$16)+(LOOKUP(AB$2,'Wall-U'!$A$4:$A$40,'Wall-U'!$Y$4:$Y$40)*AB$13)+(LOOKUP(AB$2,'Window-U'!$A$4:$A$40,'Window-U'!$S$4:$S$40)*AB$22))*AB$133</f>
        <v>806.3803873513607</v>
      </c>
      <c r="AC135" s="177">
        <f>((LOOKUP(AC$2,'Ceiling-U'!$A$4:$A$40,'Ceiling-U'!$Y$4:$Y$40)*AC$15)+(LOOKUP(AC$2,'Floor-U'!$A$4:$A$40,'Floor-U'!$F$4:$F$40)*AC$16)+(LOOKUP(AC$2,'Wall-U'!$A$4:$A$40,'Wall-U'!$Y$4:$Y$40)*AC$13)+(LOOKUP(AC$2,'Window-U'!$A$4:$A$40,'Window-U'!$S$4:$S$40)*AC$22))*AC$133</f>
        <v>1199.1638856248974</v>
      </c>
      <c r="AD135" s="177">
        <f>((LOOKUP(AD$2,'Ceiling-U'!$A$4:$A$40,'Ceiling-U'!$Y$4:$Y$40)*AD$15)+(LOOKUP(AD$2,'Floor-U'!$A$4:$A$40,'Floor-U'!$F$4:$F$40)*AD$16)+(LOOKUP(AD$2,'Wall-U'!$A$4:$A$40,'Wall-U'!$Y$4:$Y$40)*AD$13)+(LOOKUP(AD$2,'Window-U'!$A$4:$A$40,'Window-U'!$S$4:$S$40)*AD$22))*AD$133</f>
        <v>1874.1734735640853</v>
      </c>
      <c r="AE135" s="177">
        <f>((LOOKUP(AE$2,'Ceiling-U'!$A$4:$A$40,'Ceiling-U'!$Y$4:$Y$40)*AE$15)+(LOOKUP(AE$2,'Floor-U'!$A$4:$A$40,'Floor-U'!$F$4:$F$40)*AE$16)+(LOOKUP(AE$2,'Wall-U'!$A$4:$A$40,'Wall-U'!$Y$4:$Y$40)*AE$13)+(LOOKUP(AE$2,'Window-U'!$A$4:$A$40,'Window-U'!$S$4:$S$40)*AE$22))*AE$133</f>
        <v>410.50009205147728</v>
      </c>
      <c r="AF135" s="177">
        <f>((LOOKUP(AF$2,'Ceiling-U'!$A$4:$A$40,'Ceiling-U'!$Y$4:$Y$40)*AF$15)+(LOOKUP(AF$2,'Floor-U'!$A$4:$A$40,'Floor-U'!$F$4:$F$40)*AF$16)+(LOOKUP(AF$2,'Wall-U'!$A$4:$A$40,'Wall-U'!$Y$4:$Y$40)*AF$13)+(LOOKUP(AF$2,'Window-U'!$A$4:$A$40,'Window-U'!$S$4:$S$40)*AF$22))*AF$133</f>
        <v>591.7912911650792</v>
      </c>
      <c r="AG135" s="177">
        <f>((LOOKUP(AG$2,'Ceiling-U'!$A$4:$A$40,'Ceiling-U'!$Y$4:$Y$40)*AG$15)+(LOOKUP(AG$2,'Floor-U'!$A$4:$A$40,'Floor-U'!$F$4:$F$40)*AG$16)+(LOOKUP(AG$2,'Wall-U'!$A$4:$A$40,'Wall-U'!$Y$4:$Y$40)*AG$13)+(LOOKUP(AG$2,'Window-U'!$A$4:$A$40,'Window-U'!$S$4:$S$40)*AG$22))*AG$133</f>
        <v>760.78570961269418</v>
      </c>
      <c r="AH135" s="177">
        <f>((LOOKUP(AH$2,'Ceiling-U'!$A$4:$A$40,'Ceiling-U'!$Y$4:$Y$40)*AH$15)+(LOOKUP(AH$2,'Floor-U'!$A$4:$A$40,'Floor-U'!$F$4:$F$40)*AH$16)+(LOOKUP(AH$2,'Wall-U'!$A$4:$A$40,'Wall-U'!$Y$4:$Y$40)*AH$13)+(LOOKUP(AH$2,'Window-U'!$A$4:$A$40,'Window-U'!$S$4:$S$40)*AH$22))*AH$133</f>
        <v>1429.4439898148576</v>
      </c>
      <c r="AI135" s="177">
        <f>((LOOKUP(AI$2,'Ceiling-U'!$A$4:$A$40,'Ceiling-U'!$Y$4:$Y$40)*AI$15)+(LOOKUP(AI$2,'Floor-U'!$A$4:$A$40,'Floor-U'!$F$4:$F$40)*AI$16)+(LOOKUP(AI$2,'Wall-U'!$A$4:$A$40,'Wall-U'!$Y$4:$Y$40)*AI$13)+(LOOKUP(AI$2,'Window-U'!$A$4:$A$40,'Window-U'!$S$4:$S$40)*AI$22))*AI$133</f>
        <v>1216.482701331227</v>
      </c>
      <c r="AJ135" s="177">
        <f>((LOOKUP(AJ$2,'Ceiling-U'!$A$4:$A$40,'Ceiling-U'!$Y$4:$Y$40)*AJ$15)+(LOOKUP(AJ$2,'Floor-U'!$A$4:$A$40,'Floor-U'!$F$4:$F$40)*AJ$16)+(LOOKUP(AJ$2,'Wall-U'!$A$4:$A$40,'Wall-U'!$Y$4:$Y$40)*AJ$13)+(LOOKUP(AJ$2,'Window-U'!$A$4:$A$40,'Window-U'!$S$4:$S$40)*AJ$22))*AJ$133</f>
        <v>646.85942058925923</v>
      </c>
      <c r="AK135" s="177">
        <f>((LOOKUP(AK$2,'Ceiling-U'!$A$4:$A$40,'Ceiling-U'!$Y$4:$Y$40)*AK$15)+(LOOKUP(AK$2,'Floor-U'!$A$4:$A$40,'Floor-U'!$F$4:$F$40)*AK$16)+(LOOKUP(AK$2,'Wall-U'!$A$4:$A$40,'Wall-U'!$Y$4:$Y$40)*AK$13)+(LOOKUP(AK$2,'Window-U'!$A$4:$A$40,'Window-U'!$S$4:$S$40)*AK$22))*AK$133</f>
        <v>706.20026289245084</v>
      </c>
      <c r="AL135" s="177">
        <f>((LOOKUP(AL$2,'Ceiling-U'!$A$4:$A$40,'Ceiling-U'!$Y$4:$Y$40)*AL$15)+(LOOKUP(AL$2,'Floor-U'!$A$4:$A$40,'Floor-U'!$F$4:$F$40)*AL$16)+(LOOKUP(AL$2,'Wall-U'!$A$4:$A$40,'Wall-U'!$Y$4:$Y$40)*AL$13)+(LOOKUP(AL$2,'Window-U'!$A$4:$A$40,'Window-U'!$S$4:$S$40)*AL$22))*AL$133</f>
        <v>675.75916198924949</v>
      </c>
      <c r="AM135" s="177">
        <f>((LOOKUP(AM$2,'Ceiling-U'!$A$4:$A$40,'Ceiling-U'!$Y$4:$Y$40)*AM$15)+(LOOKUP(AM$2,'Floor-U'!$A$4:$A$40,'Floor-U'!$F$4:$F$40)*AM$16)+(LOOKUP(AM$2,'Wall-U'!$A$4:$A$40,'Wall-U'!$Y$4:$Y$40)*AM$13)+(LOOKUP(AM$2,'Window-U'!$A$4:$A$40,'Window-U'!$S$4:$S$40)*AM$22))*AM$133</f>
        <v>646.85942058925923</v>
      </c>
      <c r="AN135" s="178">
        <f>((LOOKUP(AN$2,'Ceiling-U'!$A$4:$A$40,'Ceiling-U'!$Y$4:$Y$40)*AN$15)+(LOOKUP(AN$2,'Floor-U'!$A$4:$A$40,'Floor-U'!$F$4:$F$40)*AN$16)+(LOOKUP(AN$2,'Wall-U'!$A$4:$A$40,'Wall-U'!$Y$4:$Y$40)*AN$13)+(LOOKUP(AN$2,'Window-U'!$A$4:$A$40,'Window-U'!$S$4:$S$40)*AN$22))*AN$133</f>
        <v>646.85942058925923</v>
      </c>
    </row>
    <row r="136" spans="1:40">
      <c r="A136" s="372"/>
      <c r="B136" s="142" t="s">
        <v>4</v>
      </c>
      <c r="C136" s="131" t="s">
        <v>195</v>
      </c>
      <c r="D136" s="176">
        <f>((LOOKUP(D$2,'Ceiling-U'!$A$4:$A$40,'Ceiling-U'!$Z$4:$Z$40)*D$15)+(LOOKUP(D$2,'Floor-U'!$A$4:$A$40,'Floor-U'!$G$4:$G$40)*D$16)+(LOOKUP(D$2,'Wall-U'!$A$4:$A$40,'Wall-U'!$Z$4:$Z$40)*D$13)+(LOOKUP(D$2,'Window-U'!$A$4:$A$40,'Window-U'!$S$4:$S$40)*D$22))*D$133</f>
        <v>691.46071201708025</v>
      </c>
      <c r="E136" s="177">
        <f>((LOOKUP(E$2,'Ceiling-U'!$A$4:$A$40,'Ceiling-U'!$Z$4:$Z$40)*E$15)+(LOOKUP(E$2,'Floor-U'!$A$4:$A$40,'Floor-U'!$G$4:$G$40)*E$16)+(LOOKUP(E$2,'Wall-U'!$A$4:$A$40,'Wall-U'!$Z$4:$Z$40)*E$13)+(LOOKUP(E$2,'Window-U'!$A$4:$A$40,'Window-U'!$S$4:$S$40)*E$22))*E$133</f>
        <v>748.3729286815161</v>
      </c>
      <c r="F136" s="177">
        <f>((LOOKUP(F$2,'Ceiling-U'!$A$4:$A$40,'Ceiling-U'!$Z$4:$Z$40)*F$15)+(LOOKUP(F$2,'Floor-U'!$A$4:$A$40,'Floor-U'!$G$4:$G$40)*F$16)+(LOOKUP(F$2,'Wall-U'!$A$4:$A$40,'Wall-U'!$Z$4:$Z$40)*F$13)+(LOOKUP(F$2,'Window-U'!$A$4:$A$40,'Window-U'!$S$4:$S$40)*F$22))*F$133</f>
        <v>1109.0619117580804</v>
      </c>
      <c r="G136" s="177">
        <f>((LOOKUP(G$2,'Ceiling-U'!$A$4:$A$40,'Ceiling-U'!$Z$4:$Z$40)*G$15)+(LOOKUP(G$2,'Floor-U'!$A$4:$A$40,'Floor-U'!$G$4:$G$40)*G$16)+(LOOKUP(G$2,'Wall-U'!$A$4:$A$40,'Wall-U'!$Z$4:$Z$40)*G$13)+(LOOKUP(G$2,'Window-U'!$A$4:$A$40,'Window-U'!$S$4:$S$40)*G$22))*G$133</f>
        <v>691.46071201708025</v>
      </c>
      <c r="H136" s="177">
        <f>((LOOKUP(H$2,'Ceiling-U'!$A$4:$A$40,'Ceiling-U'!$Z$4:$Z$40)*H$15)+(LOOKUP(H$2,'Floor-U'!$A$4:$A$40,'Floor-U'!$G$4:$G$40)*H$16)+(LOOKUP(H$2,'Wall-U'!$A$4:$A$40,'Wall-U'!$Z$4:$Z$40)*H$13)+(LOOKUP(H$2,'Window-U'!$A$4:$A$40,'Window-U'!$S$4:$S$40)*H$22))*H$133</f>
        <v>1184.7797086760497</v>
      </c>
      <c r="I136" s="177">
        <f>((LOOKUP(I$2,'Ceiling-U'!$A$4:$A$40,'Ceiling-U'!$Z$4:$Z$40)*I$15)+(LOOKUP(I$2,'Floor-U'!$A$4:$A$40,'Floor-U'!$G$4:$G$40)*I$16)+(LOOKUP(I$2,'Wall-U'!$A$4:$A$40,'Wall-U'!$Z$4:$Z$40)*I$13)+(LOOKUP(I$2,'Window-U'!$A$4:$A$40,'Window-U'!$S$4:$S$40)*I$22))*I$133</f>
        <v>588.04452191455732</v>
      </c>
      <c r="J136" s="177">
        <f>((LOOKUP(J$2,'Ceiling-U'!$A$4:$A$40,'Ceiling-U'!$Z$4:$Z$40)*J$15)+(LOOKUP(J$2,'Floor-U'!$A$4:$A$40,'Floor-U'!$G$4:$G$40)*J$16)+(LOOKUP(J$2,'Wall-U'!$A$4:$A$40,'Wall-U'!$Z$4:$Z$40)*J$13)+(LOOKUP(J$2,'Window-U'!$A$4:$A$40,'Window-U'!$S$4:$S$40)*J$22))*J$133</f>
        <v>585.34048689683823</v>
      </c>
      <c r="K136" s="177">
        <f>((LOOKUP(K$2,'Ceiling-U'!$A$4:$A$40,'Ceiling-U'!$Z$4:$Z$40)*K$15)+(LOOKUP(K$2,'Floor-U'!$A$4:$A$40,'Floor-U'!$G$4:$G$40)*K$16)+(LOOKUP(K$2,'Wall-U'!$A$4:$A$40,'Wall-U'!$Z$4:$Z$40)*K$13)+(LOOKUP(K$2,'Window-U'!$A$4:$A$40,'Window-U'!$S$4:$S$40)*K$22))*K$133</f>
        <v>611.14648168276472</v>
      </c>
      <c r="L136" s="177">
        <f>((LOOKUP(L$2,'Ceiling-U'!$A$4:$A$40,'Ceiling-U'!$Z$4:$Z$40)*L$15)+(LOOKUP(L$2,'Floor-U'!$A$4:$A$40,'Floor-U'!$G$4:$G$40)*L$16)+(LOOKUP(L$2,'Wall-U'!$A$4:$A$40,'Wall-U'!$Z$4:$Z$40)*L$13)+(LOOKUP(L$2,'Window-U'!$A$4:$A$40,'Window-U'!$S$4:$S$40)*L$22))*L$133</f>
        <v>329.21273935514108</v>
      </c>
      <c r="M136" s="177">
        <f>((LOOKUP(M$2,'Ceiling-U'!$A$4:$A$40,'Ceiling-U'!$Z$4:$Z$40)*M$15)+(LOOKUP(M$2,'Floor-U'!$A$4:$A$40,'Floor-U'!$G$4:$G$40)*M$16)+(LOOKUP(M$2,'Wall-U'!$A$4:$A$40,'Wall-U'!$Z$4:$Z$40)*M$13)+(LOOKUP(M$2,'Window-U'!$A$4:$A$40,'Window-U'!$S$4:$S$40)*M$22))*M$133</f>
        <v>775.23146839672597</v>
      </c>
      <c r="N136" s="177">
        <f>((LOOKUP(N$2,'Ceiling-U'!$A$4:$A$40,'Ceiling-U'!$Z$4:$Z$40)*N$15)+(LOOKUP(N$2,'Floor-U'!$A$4:$A$40,'Floor-U'!$G$4:$G$40)*N$16)+(LOOKUP(N$2,'Wall-U'!$A$4:$A$40,'Wall-U'!$Z$4:$Z$40)*N$13)+(LOOKUP(N$2,'Window-U'!$A$4:$A$40,'Window-U'!$S$4:$S$40)*N$22))*N$133</f>
        <v>745.7660139052839</v>
      </c>
      <c r="O136" s="177">
        <f>((LOOKUP(O$2,'Ceiling-U'!$A$4:$A$40,'Ceiling-U'!$Z$4:$Z$40)*O$15)+(LOOKUP(O$2,'Floor-U'!$A$4:$A$40,'Floor-U'!$G$4:$G$40)*O$16)+(LOOKUP(O$2,'Wall-U'!$A$4:$A$40,'Wall-U'!$Z$4:$Z$40)*O$13)+(LOOKUP(O$2,'Window-U'!$A$4:$A$40,'Window-U'!$S$4:$S$40)*O$22))*O$133</f>
        <v>626.85970152389939</v>
      </c>
      <c r="P136" s="177">
        <f>((LOOKUP(P$2,'Ceiling-U'!$A$4:$A$40,'Ceiling-U'!$Z$4:$Z$40)*P$15)+(LOOKUP(P$2,'Floor-U'!$A$4:$A$40,'Floor-U'!$G$4:$G$40)*P$16)+(LOOKUP(P$2,'Wall-U'!$A$4:$A$40,'Wall-U'!$Z$4:$Z$40)*P$13)+(LOOKUP(P$2,'Window-U'!$A$4:$A$40,'Window-U'!$S$4:$S$40)*P$22))*P$133</f>
        <v>779.67925980910502</v>
      </c>
      <c r="Q136" s="177">
        <f>((LOOKUP(Q$2,'Ceiling-U'!$A$4:$A$40,'Ceiling-U'!$Z$4:$Z$40)*Q$15)+(LOOKUP(Q$2,'Floor-U'!$A$4:$A$40,'Floor-U'!$G$4:$G$40)*Q$16)+(LOOKUP(Q$2,'Wall-U'!$A$4:$A$40,'Wall-U'!$Z$4:$Z$40)*Q$13)+(LOOKUP(Q$2,'Window-U'!$A$4:$A$40,'Window-U'!$S$4:$S$40)*Q$22))*Q$133</f>
        <v>637.52468149081653</v>
      </c>
      <c r="R136" s="177">
        <f>((LOOKUP(R$2,'Ceiling-U'!$A$4:$A$40,'Ceiling-U'!$Z$4:$Z$40)*R$15)+(LOOKUP(R$2,'Floor-U'!$A$4:$A$40,'Floor-U'!$G$4:$G$40)*R$16)+(LOOKUP(R$2,'Wall-U'!$A$4:$A$40,'Wall-U'!$Z$4:$Z$40)*R$13)+(LOOKUP(R$2,'Window-U'!$A$4:$A$40,'Window-U'!$S$4:$S$40)*R$22))*R$133</f>
        <v>536.00393204013233</v>
      </c>
      <c r="S136" s="177">
        <f>((LOOKUP(S$2,'Ceiling-U'!$A$4:$A$40,'Ceiling-U'!$Z$4:$Z$40)*S$15)+(LOOKUP(S$2,'Floor-U'!$A$4:$A$40,'Floor-U'!$G$4:$G$40)*S$16)+(LOOKUP(S$2,'Wall-U'!$A$4:$A$40,'Wall-U'!$Z$4:$Z$40)*S$13)+(LOOKUP(S$2,'Window-U'!$A$4:$A$40,'Window-U'!$S$4:$S$40)*S$22))*S$133</f>
        <v>1825.6571337025684</v>
      </c>
      <c r="T136" s="177">
        <f>((LOOKUP(T$2,'Ceiling-U'!$A$4:$A$40,'Ceiling-U'!$Z$4:$Z$40)*T$15)+(LOOKUP(T$2,'Floor-U'!$A$4:$A$40,'Floor-U'!$G$4:$G$40)*T$16)+(LOOKUP(T$2,'Wall-U'!$A$4:$A$40,'Wall-U'!$Z$4:$Z$40)*T$13)+(LOOKUP(T$2,'Window-U'!$A$4:$A$40,'Window-U'!$S$4:$S$40)*T$22))*T$133</f>
        <v>378.70854398616126</v>
      </c>
      <c r="U136" s="177">
        <f>((LOOKUP(U$2,'Ceiling-U'!$A$4:$A$40,'Ceiling-U'!$Z$4:$Z$40)*U$15)+(LOOKUP(U$2,'Floor-U'!$A$4:$A$40,'Floor-U'!$G$4:$G$40)*U$16)+(LOOKUP(U$2,'Wall-U'!$A$4:$A$40,'Wall-U'!$Z$4:$Z$40)*U$13)+(LOOKUP(U$2,'Window-U'!$A$4:$A$40,'Window-U'!$S$4:$S$40)*U$22))*U$133</f>
        <v>1009.4705657785644</v>
      </c>
      <c r="V136" s="177">
        <f>((LOOKUP(V$2,'Ceiling-U'!$A$4:$A$40,'Ceiling-U'!$Z$4:$Z$40)*V$15)+(LOOKUP(V$2,'Floor-U'!$A$4:$A$40,'Floor-U'!$G$4:$G$40)*V$16)+(LOOKUP(V$2,'Wall-U'!$A$4:$A$40,'Wall-U'!$Z$4:$Z$40)*V$13)+(LOOKUP(V$2,'Window-U'!$A$4:$A$40,'Window-U'!$S$4:$S$40)*V$22))*V$133</f>
        <v>429.67831593820466</v>
      </c>
      <c r="W136" s="177">
        <f>((LOOKUP(W$2,'Ceiling-U'!$A$4:$A$40,'Ceiling-U'!$Z$4:$Z$40)*W$15)+(LOOKUP(W$2,'Floor-U'!$A$4:$A$40,'Floor-U'!$G$4:$G$40)*W$16)+(LOOKUP(W$2,'Wall-U'!$A$4:$A$40,'Wall-U'!$Z$4:$Z$40)*W$13)+(LOOKUP(W$2,'Window-U'!$A$4:$A$40,'Window-U'!$S$4:$S$40)*W$22))*W$133</f>
        <v>604.3287797787915</v>
      </c>
      <c r="X136" s="177">
        <f>((LOOKUP(X$2,'Ceiling-U'!$A$4:$A$40,'Ceiling-U'!$Z$4:$Z$40)*X$15)+(LOOKUP(X$2,'Floor-U'!$A$4:$A$40,'Floor-U'!$G$4:$G$40)*X$16)+(LOOKUP(X$2,'Wall-U'!$A$4:$A$40,'Wall-U'!$Z$4:$Z$40)*X$13)+(LOOKUP(X$2,'Window-U'!$A$4:$A$40,'Window-U'!$S$4:$S$40)*X$22))*X$133</f>
        <v>526.94985856714834</v>
      </c>
      <c r="Y136" s="177">
        <f>((LOOKUP(Y$2,'Ceiling-U'!$A$4:$A$40,'Ceiling-U'!$Z$4:$Z$40)*Y$15)+(LOOKUP(Y$2,'Floor-U'!$A$4:$A$40,'Floor-U'!$G$4:$G$40)*Y$16)+(LOOKUP(Y$2,'Wall-U'!$A$4:$A$40,'Wall-U'!$Z$4:$Z$40)*Y$13)+(LOOKUP(Y$2,'Window-U'!$A$4:$A$40,'Window-U'!$S$4:$S$40)*Y$22))*Y$133</f>
        <v>1328.1663288781306</v>
      </c>
      <c r="Z136" s="177">
        <f>((LOOKUP(Z$2,'Ceiling-U'!$A$4:$A$40,'Ceiling-U'!$Z$4:$Z$40)*Z$15)+(LOOKUP(Z$2,'Floor-U'!$A$4:$A$40,'Floor-U'!$G$4:$G$40)*Z$16)+(LOOKUP(Z$2,'Wall-U'!$A$4:$A$40,'Wall-U'!$Z$4:$Z$40)*Z$13)+(LOOKUP(Z$2,'Window-U'!$A$4:$A$40,'Window-U'!$S$4:$S$40)*Z$22))*Z$133</f>
        <v>737.61327690033772</v>
      </c>
      <c r="AA136" s="177">
        <f>((LOOKUP(AA$2,'Ceiling-U'!$A$4:$A$40,'Ceiling-U'!$Z$4:$Z$40)*AA$15)+(LOOKUP(AA$2,'Floor-U'!$A$4:$A$40,'Floor-U'!$G$4:$G$40)*AA$16)+(LOOKUP(AA$2,'Wall-U'!$A$4:$A$40,'Wall-U'!$Z$4:$Z$40)*AA$13)+(LOOKUP(AA$2,'Window-U'!$A$4:$A$40,'Window-U'!$S$4:$S$40)*AA$22))*AA$133</f>
        <v>321.9182002955564</v>
      </c>
      <c r="AB136" s="177">
        <f>((LOOKUP(AB$2,'Ceiling-U'!$A$4:$A$40,'Ceiling-U'!$Z$4:$Z$40)*AB$15)+(LOOKUP(AB$2,'Floor-U'!$A$4:$A$40,'Floor-U'!$G$4:$G$40)*AB$16)+(LOOKUP(AB$2,'Wall-U'!$A$4:$A$40,'Wall-U'!$Z$4:$Z$40)*AB$13)+(LOOKUP(AB$2,'Window-U'!$A$4:$A$40,'Window-U'!$S$4:$S$40)*AB$22))*AB$133</f>
        <v>685.60138486883523</v>
      </c>
      <c r="AC136" s="177">
        <f>((LOOKUP(AC$2,'Ceiling-U'!$A$4:$A$40,'Ceiling-U'!$Z$4:$Z$40)*AC$15)+(LOOKUP(AC$2,'Floor-U'!$A$4:$A$40,'Floor-U'!$G$4:$G$40)*AC$16)+(LOOKUP(AC$2,'Wall-U'!$A$4:$A$40,'Wall-U'!$Z$4:$Z$40)*AC$13)+(LOOKUP(AC$2,'Window-U'!$A$4:$A$40,'Window-U'!$S$4:$S$40)*AC$22))*AC$133</f>
        <v>1198.7248849983332</v>
      </c>
      <c r="AD136" s="177">
        <f>((LOOKUP(AD$2,'Ceiling-U'!$A$4:$A$40,'Ceiling-U'!$Z$4:$Z$40)*AD$15)+(LOOKUP(AD$2,'Floor-U'!$A$4:$A$40,'Floor-U'!$G$4:$G$40)*AD$16)+(LOOKUP(AD$2,'Wall-U'!$A$4:$A$40,'Wall-U'!$Z$4:$Z$40)*AD$13)+(LOOKUP(AD$2,'Window-U'!$A$4:$A$40,'Window-U'!$S$4:$S$40)*AD$22))*AD$133</f>
        <v>1874.1734735640853</v>
      </c>
      <c r="AE136" s="177">
        <f>((LOOKUP(AE$2,'Ceiling-U'!$A$4:$A$40,'Ceiling-U'!$Z$4:$Z$40)*AE$15)+(LOOKUP(AE$2,'Floor-U'!$A$4:$A$40,'Floor-U'!$G$4:$G$40)*AE$16)+(LOOKUP(AE$2,'Wall-U'!$A$4:$A$40,'Wall-U'!$Z$4:$Z$40)*AE$13)+(LOOKUP(AE$2,'Window-U'!$A$4:$A$40,'Window-U'!$S$4:$S$40)*AE$22))*AE$133</f>
        <v>321.9182002955564</v>
      </c>
      <c r="AF136" s="177">
        <f>((LOOKUP(AF$2,'Ceiling-U'!$A$4:$A$40,'Ceiling-U'!$Z$4:$Z$40)*AF$15)+(LOOKUP(AF$2,'Floor-U'!$A$4:$A$40,'Floor-U'!$G$4:$G$40)*AF$16)+(LOOKUP(AF$2,'Wall-U'!$A$4:$A$40,'Wall-U'!$Z$4:$Z$40)*AF$13)+(LOOKUP(AF$2,'Window-U'!$A$4:$A$40,'Window-U'!$S$4:$S$40)*AF$22))*AF$133</f>
        <v>558.92625806533886</v>
      </c>
      <c r="AG136" s="177">
        <f>((LOOKUP(AG$2,'Ceiling-U'!$A$4:$A$40,'Ceiling-U'!$Z$4:$Z$40)*AG$15)+(LOOKUP(AG$2,'Floor-U'!$A$4:$A$40,'Floor-U'!$G$4:$G$40)*AG$16)+(LOOKUP(AG$2,'Wall-U'!$A$4:$A$40,'Wall-U'!$Z$4:$Z$40)*AG$13)+(LOOKUP(AG$2,'Window-U'!$A$4:$A$40,'Window-U'!$S$4:$S$40)*AG$22))*AG$133</f>
        <v>760.78570961269418</v>
      </c>
      <c r="AH136" s="177">
        <f>((LOOKUP(AH$2,'Ceiling-U'!$A$4:$A$40,'Ceiling-U'!$Z$4:$Z$40)*AH$15)+(LOOKUP(AH$2,'Floor-U'!$A$4:$A$40,'Floor-U'!$G$4:$G$40)*AH$16)+(LOOKUP(AH$2,'Wall-U'!$A$4:$A$40,'Wall-U'!$Z$4:$Z$40)*AH$13)+(LOOKUP(AH$2,'Window-U'!$A$4:$A$40,'Window-U'!$S$4:$S$40)*AH$22))*AH$133</f>
        <v>1393.7378928390449</v>
      </c>
      <c r="AI136" s="177">
        <f>((LOOKUP(AI$2,'Ceiling-U'!$A$4:$A$40,'Ceiling-U'!$Z$4:$Z$40)*AI$15)+(LOOKUP(AI$2,'Floor-U'!$A$4:$A$40,'Floor-U'!$G$4:$G$40)*AI$16)+(LOOKUP(AI$2,'Wall-U'!$A$4:$A$40,'Wall-U'!$Z$4:$Z$40)*AI$13)+(LOOKUP(AI$2,'Window-U'!$A$4:$A$40,'Window-U'!$S$4:$S$40)*AI$22))*AI$133</f>
        <v>1216.482701331227</v>
      </c>
      <c r="AJ136" s="177">
        <f>((LOOKUP(AJ$2,'Ceiling-U'!$A$4:$A$40,'Ceiling-U'!$Z$4:$Z$40)*AJ$15)+(LOOKUP(AJ$2,'Floor-U'!$A$4:$A$40,'Floor-U'!$G$4:$G$40)*AJ$16)+(LOOKUP(AJ$2,'Wall-U'!$A$4:$A$40,'Wall-U'!$Z$4:$Z$40)*AJ$13)+(LOOKUP(AJ$2,'Window-U'!$A$4:$A$40,'Window-U'!$S$4:$S$40)*AJ$22))*AJ$133</f>
        <v>646.85942058925923</v>
      </c>
      <c r="AK136" s="177">
        <f>((LOOKUP(AK$2,'Ceiling-U'!$A$4:$A$40,'Ceiling-U'!$Z$4:$Z$40)*AK$15)+(LOOKUP(AK$2,'Floor-U'!$A$4:$A$40,'Floor-U'!$G$4:$G$40)*AK$16)+(LOOKUP(AK$2,'Wall-U'!$A$4:$A$40,'Wall-U'!$Z$4:$Z$40)*AK$13)+(LOOKUP(AK$2,'Window-U'!$A$4:$A$40,'Window-U'!$S$4:$S$40)*AK$22))*AK$133</f>
        <v>706.20026289245084</v>
      </c>
      <c r="AL136" s="177">
        <f>((LOOKUP(AL$2,'Ceiling-U'!$A$4:$A$40,'Ceiling-U'!$Z$4:$Z$40)*AL$15)+(LOOKUP(AL$2,'Floor-U'!$A$4:$A$40,'Floor-U'!$G$4:$G$40)*AL$16)+(LOOKUP(AL$2,'Wall-U'!$A$4:$A$40,'Wall-U'!$Z$4:$Z$40)*AL$13)+(LOOKUP(AL$2,'Window-U'!$A$4:$A$40,'Window-U'!$S$4:$S$40)*AL$22))*AL$133</f>
        <v>652.56137936310233</v>
      </c>
      <c r="AM136" s="177">
        <f>((LOOKUP(AM$2,'Ceiling-U'!$A$4:$A$40,'Ceiling-U'!$Z$4:$Z$40)*AM$15)+(LOOKUP(AM$2,'Floor-U'!$A$4:$A$40,'Floor-U'!$G$4:$G$40)*AM$16)+(LOOKUP(AM$2,'Wall-U'!$A$4:$A$40,'Wall-U'!$Z$4:$Z$40)*AM$13)+(LOOKUP(AM$2,'Window-U'!$A$4:$A$40,'Window-U'!$S$4:$S$40)*AM$22))*AM$133</f>
        <v>646.85942058925923</v>
      </c>
      <c r="AN136" s="178">
        <f>((LOOKUP(AN$2,'Ceiling-U'!$A$4:$A$40,'Ceiling-U'!$Z$4:$Z$40)*AN$15)+(LOOKUP(AN$2,'Floor-U'!$A$4:$A$40,'Floor-U'!$G$4:$G$40)*AN$16)+(LOOKUP(AN$2,'Wall-U'!$A$4:$A$40,'Wall-U'!$Z$4:$Z$40)*AN$13)+(LOOKUP(AN$2,'Window-U'!$A$4:$A$40,'Window-U'!$S$4:$S$40)*AN$22))*AN$133</f>
        <v>646.85942058925923</v>
      </c>
    </row>
    <row r="137" spans="1:40">
      <c r="A137" s="372"/>
      <c r="B137" s="142" t="s">
        <v>5</v>
      </c>
      <c r="C137" s="131" t="s">
        <v>195</v>
      </c>
      <c r="D137" s="176">
        <f>((LOOKUP(D$2,'Ceiling-U'!$A$4:$A$40,'Ceiling-U'!$AA$4:$AA$40)*D$15)+(LOOKUP(D$2,'Floor-U'!$A$4:$A$40,'Floor-U'!$H$4:$H$40)*D$16)+(LOOKUP(D$2,'Wall-U'!$A$4:$A$40,'Wall-U'!$AA$4:$AA$40)*D$13)+(LOOKUP(D$2,'Window-U'!$A$4:$A$40,'Window-U'!$S$4:$S$40)*D$22))*D$133</f>
        <v>535.03941401261409</v>
      </c>
      <c r="E137" s="177">
        <f>((LOOKUP(E$2,'Ceiling-U'!$A$4:$A$40,'Ceiling-U'!$AA$4:$AA$40)*E$15)+(LOOKUP(E$2,'Floor-U'!$A$4:$A$40,'Floor-U'!$H$4:$H$40)*E$16)+(LOOKUP(E$2,'Wall-U'!$A$4:$A$40,'Wall-U'!$AA$4:$AA$40)*E$13)+(LOOKUP(E$2,'Window-U'!$A$4:$A$40,'Window-U'!$S$4:$S$40)*E$22))*E$133</f>
        <v>706.95386019698219</v>
      </c>
      <c r="F137" s="177">
        <f>((LOOKUP(F$2,'Ceiling-U'!$A$4:$A$40,'Ceiling-U'!$AA$4:$AA$40)*F$15)+(LOOKUP(F$2,'Floor-U'!$A$4:$A$40,'Floor-U'!$H$4:$H$40)*F$16)+(LOOKUP(F$2,'Wall-U'!$A$4:$A$40,'Wall-U'!$AA$4:$AA$40)*F$13)+(LOOKUP(F$2,'Window-U'!$A$4:$A$40,'Window-U'!$S$4:$S$40)*F$22))*F$133</f>
        <v>965.22200712165522</v>
      </c>
      <c r="G137" s="177">
        <f>((LOOKUP(G$2,'Ceiling-U'!$A$4:$A$40,'Ceiling-U'!$AA$4:$AA$40)*G$15)+(LOOKUP(G$2,'Floor-U'!$A$4:$A$40,'Floor-U'!$H$4:$H$40)*G$16)+(LOOKUP(G$2,'Wall-U'!$A$4:$A$40,'Wall-U'!$AA$4:$AA$40)*G$13)+(LOOKUP(G$2,'Window-U'!$A$4:$A$40,'Window-U'!$S$4:$S$40)*G$22))*G$133</f>
        <v>535.03941401261409</v>
      </c>
      <c r="H137" s="177">
        <f>((LOOKUP(H$2,'Ceiling-U'!$A$4:$A$40,'Ceiling-U'!$AA$4:$AA$40)*H$15)+(LOOKUP(H$2,'Floor-U'!$A$4:$A$40,'Floor-U'!$H$4:$H$40)*H$16)+(LOOKUP(H$2,'Wall-U'!$A$4:$A$40,'Wall-U'!$AA$4:$AA$40)*H$13)+(LOOKUP(H$2,'Window-U'!$A$4:$A$40,'Window-U'!$S$4:$S$40)*H$22))*H$133</f>
        <v>1097.1797086760498</v>
      </c>
      <c r="I137" s="177">
        <f>((LOOKUP(I$2,'Ceiling-U'!$A$4:$A$40,'Ceiling-U'!$AA$4:$AA$40)*I$15)+(LOOKUP(I$2,'Floor-U'!$A$4:$A$40,'Floor-U'!$H$4:$H$40)*I$16)+(LOOKUP(I$2,'Wall-U'!$A$4:$A$40,'Wall-U'!$AA$4:$AA$40)*I$13)+(LOOKUP(I$2,'Window-U'!$A$4:$A$40,'Window-U'!$S$4:$S$40)*I$22))*I$133</f>
        <v>536.87096745723704</v>
      </c>
      <c r="J137" s="177">
        <f>((LOOKUP(J$2,'Ceiling-U'!$A$4:$A$40,'Ceiling-U'!$AA$4:$AA$40)*J$15)+(LOOKUP(J$2,'Floor-U'!$A$4:$A$40,'Floor-U'!$H$4:$H$40)*J$16)+(LOOKUP(J$2,'Wall-U'!$A$4:$A$40,'Wall-U'!$AA$4:$AA$40)*J$13)+(LOOKUP(J$2,'Window-U'!$A$4:$A$40,'Window-U'!$S$4:$S$40)*J$22))*J$133</f>
        <v>487.12928083743725</v>
      </c>
      <c r="K137" s="177">
        <f>((LOOKUP(K$2,'Ceiling-U'!$A$4:$A$40,'Ceiling-U'!$AA$4:$AA$40)*K$15)+(LOOKUP(K$2,'Floor-U'!$A$4:$A$40,'Floor-U'!$H$4:$H$40)*K$16)+(LOOKUP(K$2,'Wall-U'!$A$4:$A$40,'Wall-U'!$AA$4:$AA$40)*K$13)+(LOOKUP(K$2,'Window-U'!$A$4:$A$40,'Window-U'!$S$4:$S$40)*K$22))*K$133</f>
        <v>538.07330840321504</v>
      </c>
      <c r="L137" s="177">
        <f>((LOOKUP(L$2,'Ceiling-U'!$A$4:$A$40,'Ceiling-U'!$AA$4:$AA$40)*L$15)+(LOOKUP(L$2,'Floor-U'!$A$4:$A$40,'Floor-U'!$H$4:$H$40)*L$16)+(LOOKUP(L$2,'Wall-U'!$A$4:$A$40,'Wall-U'!$AA$4:$AA$40)*L$13)+(LOOKUP(L$2,'Window-U'!$A$4:$A$40,'Window-U'!$S$4:$S$40)*L$22))*L$133</f>
        <v>289.84321360579889</v>
      </c>
      <c r="M137" s="177">
        <f>((LOOKUP(M$2,'Ceiling-U'!$A$4:$A$40,'Ceiling-U'!$AA$4:$AA$40)*M$15)+(LOOKUP(M$2,'Floor-U'!$A$4:$A$40,'Floor-U'!$H$4:$H$40)*M$16)+(LOOKUP(M$2,'Wall-U'!$A$4:$A$40,'Wall-U'!$AA$4:$AA$40)*M$13)+(LOOKUP(M$2,'Window-U'!$A$4:$A$40,'Window-U'!$S$4:$S$40)*M$22))*M$133</f>
        <v>474.74891016649332</v>
      </c>
      <c r="N137" s="177">
        <f>((LOOKUP(N$2,'Ceiling-U'!$A$4:$A$40,'Ceiling-U'!$AA$4:$AA$40)*N$15)+(LOOKUP(N$2,'Floor-U'!$A$4:$A$40,'Floor-U'!$H$4:$H$40)*N$16)+(LOOKUP(N$2,'Wall-U'!$A$4:$A$40,'Wall-U'!$AA$4:$AA$40)*N$13)+(LOOKUP(N$2,'Window-U'!$A$4:$A$40,'Window-U'!$S$4:$S$40)*N$22))*N$133</f>
        <v>670.30982781277328</v>
      </c>
      <c r="O137" s="177">
        <f>((LOOKUP(O$2,'Ceiling-U'!$A$4:$A$40,'Ceiling-U'!$AA$4:$AA$40)*O$15)+(LOOKUP(O$2,'Floor-U'!$A$4:$A$40,'Floor-U'!$H$4:$H$40)*O$16)+(LOOKUP(O$2,'Wall-U'!$A$4:$A$40,'Wall-U'!$AA$4:$AA$40)*O$13)+(LOOKUP(O$2,'Window-U'!$A$4:$A$40,'Window-U'!$S$4:$S$40)*O$22))*O$133</f>
        <v>575.13956550934563</v>
      </c>
      <c r="P137" s="177">
        <f>((LOOKUP(P$2,'Ceiling-U'!$A$4:$A$40,'Ceiling-U'!$AA$4:$AA$40)*P$15)+(LOOKUP(P$2,'Floor-U'!$A$4:$A$40,'Floor-U'!$H$4:$H$40)*P$16)+(LOOKUP(P$2,'Wall-U'!$A$4:$A$40,'Wall-U'!$AA$4:$AA$40)*P$13)+(LOOKUP(P$2,'Window-U'!$A$4:$A$40,'Window-U'!$S$4:$S$40)*P$22))*P$133</f>
        <v>721.27925980910504</v>
      </c>
      <c r="Q137" s="177">
        <f>((LOOKUP(Q$2,'Ceiling-U'!$A$4:$A$40,'Ceiling-U'!$AA$4:$AA$40)*Q$15)+(LOOKUP(Q$2,'Floor-U'!$A$4:$A$40,'Floor-U'!$H$4:$H$40)*Q$16)+(LOOKUP(Q$2,'Wall-U'!$A$4:$A$40,'Wall-U'!$AA$4:$AA$40)*Q$13)+(LOOKUP(Q$2,'Window-U'!$A$4:$A$40,'Window-U'!$S$4:$S$40)*Q$22))*Q$133</f>
        <v>637.52468149081653</v>
      </c>
      <c r="R137" s="177">
        <f>((LOOKUP(R$2,'Ceiling-U'!$A$4:$A$40,'Ceiling-U'!$AA$4:$AA$40)*R$15)+(LOOKUP(R$2,'Floor-U'!$A$4:$A$40,'Floor-U'!$H$4:$H$40)*R$16)+(LOOKUP(R$2,'Wall-U'!$A$4:$A$40,'Wall-U'!$AA$4:$AA$40)*R$13)+(LOOKUP(R$2,'Window-U'!$A$4:$A$40,'Window-U'!$S$4:$S$40)*R$22))*R$133</f>
        <v>469.95911845930948</v>
      </c>
      <c r="S137" s="177">
        <f>((LOOKUP(S$2,'Ceiling-U'!$A$4:$A$40,'Ceiling-U'!$AA$4:$AA$40)*S$15)+(LOOKUP(S$2,'Floor-U'!$A$4:$A$40,'Floor-U'!$H$4:$H$40)*S$16)+(LOOKUP(S$2,'Wall-U'!$A$4:$A$40,'Wall-U'!$AA$4:$AA$40)*S$13)+(LOOKUP(S$2,'Window-U'!$A$4:$A$40,'Window-U'!$S$4:$S$40)*S$22))*S$133</f>
        <v>1502.4966089173518</v>
      </c>
      <c r="T137" s="177">
        <f>((LOOKUP(T$2,'Ceiling-U'!$A$4:$A$40,'Ceiling-U'!$AA$4:$AA$40)*T$15)+(LOOKUP(T$2,'Floor-U'!$A$4:$A$40,'Floor-U'!$H$4:$H$40)*T$16)+(LOOKUP(T$2,'Wall-U'!$A$4:$A$40,'Wall-U'!$AA$4:$AA$40)*T$13)+(LOOKUP(T$2,'Window-U'!$A$4:$A$40,'Window-U'!$S$4:$S$40)*T$22))*T$133</f>
        <v>334.61491286048698</v>
      </c>
      <c r="U137" s="177">
        <f>((LOOKUP(U$2,'Ceiling-U'!$A$4:$A$40,'Ceiling-U'!$AA$4:$AA$40)*U$15)+(LOOKUP(U$2,'Floor-U'!$A$4:$A$40,'Floor-U'!$H$4:$H$40)*U$16)+(LOOKUP(U$2,'Wall-U'!$A$4:$A$40,'Wall-U'!$AA$4:$AA$40)*U$13)+(LOOKUP(U$2,'Window-U'!$A$4:$A$40,'Window-U'!$S$4:$S$40)*U$22))*U$133</f>
        <v>962.56784018247401</v>
      </c>
      <c r="V137" s="177">
        <f>((LOOKUP(V$2,'Ceiling-U'!$A$4:$A$40,'Ceiling-U'!$AA$4:$AA$40)*V$15)+(LOOKUP(V$2,'Floor-U'!$A$4:$A$40,'Floor-U'!$H$4:$H$40)*V$16)+(LOOKUP(V$2,'Wall-U'!$A$4:$A$40,'Wall-U'!$AA$4:$AA$40)*V$13)+(LOOKUP(V$2,'Window-U'!$A$4:$A$40,'Window-U'!$S$4:$S$40)*V$22))*V$133</f>
        <v>429.67831593820466</v>
      </c>
      <c r="W137" s="177">
        <f>((LOOKUP(W$2,'Ceiling-U'!$A$4:$A$40,'Ceiling-U'!$AA$4:$AA$40)*W$15)+(LOOKUP(W$2,'Floor-U'!$A$4:$A$40,'Floor-U'!$H$4:$H$40)*W$16)+(LOOKUP(W$2,'Wall-U'!$A$4:$A$40,'Wall-U'!$AA$4:$AA$40)*W$13)+(LOOKUP(W$2,'Window-U'!$A$4:$A$40,'Window-U'!$S$4:$S$40)*W$22))*W$133</f>
        <v>583.03899966924382</v>
      </c>
      <c r="X137" s="177">
        <f>((LOOKUP(X$2,'Ceiling-U'!$A$4:$A$40,'Ceiling-U'!$AA$4:$AA$40)*X$15)+(LOOKUP(X$2,'Floor-U'!$A$4:$A$40,'Floor-U'!$H$4:$H$40)*X$16)+(LOOKUP(X$2,'Wall-U'!$A$4:$A$40,'Wall-U'!$AA$4:$AA$40)*X$13)+(LOOKUP(X$2,'Window-U'!$A$4:$A$40,'Window-U'!$S$4:$S$40)*X$22))*X$133</f>
        <v>376.88475386614255</v>
      </c>
      <c r="Y137" s="177">
        <f>((LOOKUP(Y$2,'Ceiling-U'!$A$4:$A$40,'Ceiling-U'!$AA$4:$AA$40)*Y$15)+(LOOKUP(Y$2,'Floor-U'!$A$4:$A$40,'Floor-U'!$H$4:$H$40)*Y$16)+(LOOKUP(Y$2,'Wall-U'!$A$4:$A$40,'Wall-U'!$AA$4:$AA$40)*Y$13)+(LOOKUP(Y$2,'Window-U'!$A$4:$A$40,'Window-U'!$S$4:$S$40)*Y$22))*Y$133</f>
        <v>1073.0719728781305</v>
      </c>
      <c r="Z137" s="177">
        <f>((LOOKUP(Z$2,'Ceiling-U'!$A$4:$A$40,'Ceiling-U'!$AA$4:$AA$40)*Z$15)+(LOOKUP(Z$2,'Floor-U'!$A$4:$A$40,'Floor-U'!$H$4:$H$40)*Z$16)+(LOOKUP(Z$2,'Wall-U'!$A$4:$A$40,'Wall-U'!$AA$4:$AA$40)*Z$13)+(LOOKUP(Z$2,'Window-U'!$A$4:$A$40,'Window-U'!$S$4:$S$40)*Z$22))*Z$133</f>
        <v>636.46256206102339</v>
      </c>
      <c r="AA137" s="177">
        <f>((LOOKUP(AA$2,'Ceiling-U'!$A$4:$A$40,'Ceiling-U'!$AA$4:$AA$40)*AA$15)+(LOOKUP(AA$2,'Floor-U'!$A$4:$A$40,'Floor-U'!$H$4:$H$40)*AA$16)+(LOOKUP(AA$2,'Wall-U'!$A$4:$A$40,'Wall-U'!$AA$4:$AA$40)*AA$13)+(LOOKUP(AA$2,'Window-U'!$A$4:$A$40,'Window-U'!$S$4:$S$40)*AA$22))*AA$133</f>
        <v>321.9182002955564</v>
      </c>
      <c r="AB137" s="177">
        <f>((LOOKUP(AB$2,'Ceiling-U'!$A$4:$A$40,'Ceiling-U'!$AA$4:$AA$40)*AB$15)+(LOOKUP(AB$2,'Floor-U'!$A$4:$A$40,'Floor-U'!$H$4:$H$40)*AB$16)+(LOOKUP(AB$2,'Wall-U'!$A$4:$A$40,'Wall-U'!$AA$4:$AA$40)*AB$13)+(LOOKUP(AB$2,'Window-U'!$A$4:$A$40,'Window-U'!$S$4:$S$40)*AB$22))*AB$133</f>
        <v>685.60138486883523</v>
      </c>
      <c r="AC137" s="177">
        <f>((LOOKUP(AC$2,'Ceiling-U'!$A$4:$A$40,'Ceiling-U'!$AA$4:$AA$40)*AC$15)+(LOOKUP(AC$2,'Floor-U'!$A$4:$A$40,'Floor-U'!$H$4:$H$40)*AC$16)+(LOOKUP(AC$2,'Wall-U'!$A$4:$A$40,'Wall-U'!$AA$4:$AA$40)*AC$13)+(LOOKUP(AC$2,'Window-U'!$A$4:$A$40,'Window-U'!$S$4:$S$40)*AC$22))*AC$133</f>
        <v>1192.174434998296</v>
      </c>
      <c r="AD137" s="177">
        <f>((LOOKUP(AD$2,'Ceiling-U'!$A$4:$A$40,'Ceiling-U'!$AA$4:$AA$40)*AD$15)+(LOOKUP(AD$2,'Floor-U'!$A$4:$A$40,'Floor-U'!$H$4:$H$40)*AD$16)+(LOOKUP(AD$2,'Wall-U'!$A$4:$A$40,'Wall-U'!$AA$4:$AA$40)*AD$13)+(LOOKUP(AD$2,'Window-U'!$A$4:$A$40,'Window-U'!$S$4:$S$40)*AD$22))*AD$133</f>
        <v>1725.9273062556949</v>
      </c>
      <c r="AE137" s="177">
        <f>((LOOKUP(AE$2,'Ceiling-U'!$A$4:$A$40,'Ceiling-U'!$AA$4:$AA$40)*AE$15)+(LOOKUP(AE$2,'Floor-U'!$A$4:$A$40,'Floor-U'!$H$4:$H$40)*AE$16)+(LOOKUP(AE$2,'Wall-U'!$A$4:$A$40,'Wall-U'!$AA$4:$AA$40)*AE$13)+(LOOKUP(AE$2,'Window-U'!$A$4:$A$40,'Window-U'!$S$4:$S$40)*AE$22))*AE$133</f>
        <v>321.9182002955564</v>
      </c>
      <c r="AF137" s="177">
        <f>((LOOKUP(AF$2,'Ceiling-U'!$A$4:$A$40,'Ceiling-U'!$AA$4:$AA$40)*AF$15)+(LOOKUP(AF$2,'Floor-U'!$A$4:$A$40,'Floor-U'!$H$4:$H$40)*AF$16)+(LOOKUP(AF$2,'Wall-U'!$A$4:$A$40,'Wall-U'!$AA$4:$AA$40)*AF$13)+(LOOKUP(AF$2,'Window-U'!$A$4:$A$40,'Window-U'!$S$4:$S$40)*AF$22))*AF$133</f>
        <v>510.23437269988563</v>
      </c>
      <c r="AG137" s="177">
        <f>((LOOKUP(AG$2,'Ceiling-U'!$A$4:$A$40,'Ceiling-U'!$AA$4:$AA$40)*AG$15)+(LOOKUP(AG$2,'Floor-U'!$A$4:$A$40,'Floor-U'!$H$4:$H$40)*AG$16)+(LOOKUP(AG$2,'Wall-U'!$A$4:$A$40,'Wall-U'!$AA$4:$AA$40)*AG$13)+(LOOKUP(AG$2,'Window-U'!$A$4:$A$40,'Window-U'!$S$4:$S$40)*AG$22))*AG$133</f>
        <v>742.9521883588385</v>
      </c>
      <c r="AH137" s="177">
        <f>((LOOKUP(AH$2,'Ceiling-U'!$A$4:$A$40,'Ceiling-U'!$AA$4:$AA$40)*AH$15)+(LOOKUP(AH$2,'Floor-U'!$A$4:$A$40,'Floor-U'!$H$4:$H$40)*AH$16)+(LOOKUP(AH$2,'Wall-U'!$A$4:$A$40,'Wall-U'!$AA$4:$AA$40)*AH$13)+(LOOKUP(AH$2,'Window-U'!$A$4:$A$40,'Window-U'!$S$4:$S$40)*AH$22))*AH$133</f>
        <v>1134.6846288640595</v>
      </c>
      <c r="AI137" s="177">
        <f>((LOOKUP(AI$2,'Ceiling-U'!$A$4:$A$40,'Ceiling-U'!$AA$4:$AA$40)*AI$15)+(LOOKUP(AI$2,'Floor-U'!$A$4:$A$40,'Floor-U'!$H$4:$H$40)*AI$16)+(LOOKUP(AI$2,'Wall-U'!$A$4:$A$40,'Wall-U'!$AA$4:$AA$40)*AI$13)+(LOOKUP(AI$2,'Window-U'!$A$4:$A$40,'Window-U'!$S$4:$S$40)*AI$22))*AI$133</f>
        <v>1128.8827013312271</v>
      </c>
      <c r="AJ137" s="177">
        <f>((LOOKUP(AJ$2,'Ceiling-U'!$A$4:$A$40,'Ceiling-U'!$AA$4:$AA$40)*AJ$15)+(LOOKUP(AJ$2,'Floor-U'!$A$4:$A$40,'Floor-U'!$H$4:$H$40)*AJ$16)+(LOOKUP(AJ$2,'Wall-U'!$A$4:$A$40,'Wall-U'!$AA$4:$AA$40)*AJ$13)+(LOOKUP(AJ$2,'Window-U'!$A$4:$A$40,'Window-U'!$S$4:$S$40)*AJ$22))*AJ$133</f>
        <v>622.88433948145314</v>
      </c>
      <c r="AK137" s="177">
        <f>((LOOKUP(AK$2,'Ceiling-U'!$A$4:$A$40,'Ceiling-U'!$AA$4:$AA$40)*AK$15)+(LOOKUP(AK$2,'Floor-U'!$A$4:$A$40,'Floor-U'!$H$4:$H$40)*AK$16)+(LOOKUP(AK$2,'Wall-U'!$A$4:$A$40,'Wall-U'!$AA$4:$AA$40)*AK$13)+(LOOKUP(AK$2,'Window-U'!$A$4:$A$40,'Window-U'!$S$4:$S$40)*AK$22))*AK$133</f>
        <v>679.64854249297605</v>
      </c>
      <c r="AL137" s="177">
        <f>((LOOKUP(AL$2,'Ceiling-U'!$A$4:$A$40,'Ceiling-U'!$AA$4:$AA$40)*AL$15)+(LOOKUP(AL$2,'Floor-U'!$A$4:$A$40,'Floor-U'!$H$4:$H$40)*AL$16)+(LOOKUP(AL$2,'Wall-U'!$A$4:$A$40,'Wall-U'!$AA$4:$AA$40)*AL$13)+(LOOKUP(AL$2,'Window-U'!$A$4:$A$40,'Window-U'!$S$4:$S$40)*AL$22))*AL$133</f>
        <v>576.53768671003286</v>
      </c>
      <c r="AM137" s="177">
        <f>((LOOKUP(AM$2,'Ceiling-U'!$A$4:$A$40,'Ceiling-U'!$AA$4:$AA$40)*AM$15)+(LOOKUP(AM$2,'Floor-U'!$A$4:$A$40,'Floor-U'!$H$4:$H$40)*AM$16)+(LOOKUP(AM$2,'Wall-U'!$A$4:$A$40,'Wall-U'!$AA$4:$AA$40)*AM$13)+(LOOKUP(AM$2,'Window-U'!$A$4:$A$40,'Window-U'!$S$4:$S$40)*AM$22))*AM$133</f>
        <v>622.88433948145314</v>
      </c>
      <c r="AN137" s="178">
        <f>((LOOKUP(AN$2,'Ceiling-U'!$A$4:$A$40,'Ceiling-U'!$AA$4:$AA$40)*AN$15)+(LOOKUP(AN$2,'Floor-U'!$A$4:$A$40,'Floor-U'!$H$4:$H$40)*AN$16)+(LOOKUP(AN$2,'Wall-U'!$A$4:$A$40,'Wall-U'!$AA$4:$AA$40)*AN$13)+(LOOKUP(AN$2,'Window-U'!$A$4:$A$40,'Window-U'!$S$4:$S$40)*AN$22))*AN$133</f>
        <v>622.88433948145314</v>
      </c>
    </row>
    <row r="138" spans="1:40">
      <c r="A138" s="372"/>
      <c r="B138" s="142" t="s">
        <v>6</v>
      </c>
      <c r="C138" s="131" t="s">
        <v>195</v>
      </c>
      <c r="D138" s="176">
        <f>((LOOKUP(D$2,'Ceiling-U'!$A$4:$A$40,'Ceiling-U'!$AB$4:$AB$40)*D$15)+(LOOKUP(D$2,'Floor-U'!$A$4:$A$40,'Floor-U'!$I$4:$I$40)*D$16)+(LOOKUP(D$2,'Wall-U'!$A$4:$A$40,'Wall-U'!$AB$4:$AB$40)*D$13)+(LOOKUP(D$2,'Window-U'!$A$4:$A$40,'Window-U'!$S$4:$S$40)*D$22))*D$133</f>
        <v>484.61466313047572</v>
      </c>
      <c r="E138" s="177">
        <f>((LOOKUP(E$2,'Ceiling-U'!$A$4:$A$40,'Ceiling-U'!$AB$4:$AB$40)*E$15)+(LOOKUP(E$2,'Floor-U'!$A$4:$A$40,'Floor-U'!$I$4:$I$40)*E$16)+(LOOKUP(E$2,'Wall-U'!$A$4:$A$40,'Wall-U'!$AB$4:$AB$40)*E$13)+(LOOKUP(E$2,'Window-U'!$A$4:$A$40,'Window-U'!$S$4:$S$40)*E$22))*E$133</f>
        <v>706.95386019698219</v>
      </c>
      <c r="F138" s="177">
        <f>((LOOKUP(F$2,'Ceiling-U'!$A$4:$A$40,'Ceiling-U'!$AB$4:$AB$40)*F$15)+(LOOKUP(F$2,'Floor-U'!$A$4:$A$40,'Floor-U'!$I$4:$I$40)*F$16)+(LOOKUP(F$2,'Wall-U'!$A$4:$A$40,'Wall-U'!$AB$4:$AB$40)*F$13)+(LOOKUP(F$2,'Window-U'!$A$4:$A$40,'Window-U'!$S$4:$S$40)*F$22))*F$133</f>
        <v>848.9146270375727</v>
      </c>
      <c r="G138" s="177">
        <f>((LOOKUP(G$2,'Ceiling-U'!$A$4:$A$40,'Ceiling-U'!$AB$4:$AB$40)*G$15)+(LOOKUP(G$2,'Floor-U'!$A$4:$A$40,'Floor-U'!$I$4:$I$40)*G$16)+(LOOKUP(G$2,'Wall-U'!$A$4:$A$40,'Wall-U'!$AB$4:$AB$40)*G$13)+(LOOKUP(G$2,'Window-U'!$A$4:$A$40,'Window-U'!$S$4:$S$40)*G$22))*G$133</f>
        <v>484.61466313047572</v>
      </c>
      <c r="H138" s="177">
        <f>((LOOKUP(H$2,'Ceiling-U'!$A$4:$A$40,'Ceiling-U'!$AB$4:$AB$40)*H$15)+(LOOKUP(H$2,'Floor-U'!$A$4:$A$40,'Floor-U'!$I$4:$I$40)*H$16)+(LOOKUP(H$2,'Wall-U'!$A$4:$A$40,'Wall-U'!$AB$4:$AB$40)*H$13)+(LOOKUP(H$2,'Window-U'!$A$4:$A$40,'Window-U'!$S$4:$S$40)*H$22))*H$133</f>
        <v>1097.1797086760498</v>
      </c>
      <c r="I138" s="177">
        <f>((LOOKUP(I$2,'Ceiling-U'!$A$4:$A$40,'Ceiling-U'!$AB$4:$AB$40)*I$15)+(LOOKUP(I$2,'Floor-U'!$A$4:$A$40,'Floor-U'!$I$4:$I$40)*I$16)+(LOOKUP(I$2,'Wall-U'!$A$4:$A$40,'Wall-U'!$AB$4:$AB$40)*I$13)+(LOOKUP(I$2,'Window-U'!$A$4:$A$40,'Window-U'!$S$4:$S$40)*I$22))*I$133</f>
        <v>451.599026450248</v>
      </c>
      <c r="J138" s="177">
        <f>((LOOKUP(J$2,'Ceiling-U'!$A$4:$A$40,'Ceiling-U'!$AB$4:$AB$40)*J$15)+(LOOKUP(J$2,'Floor-U'!$A$4:$A$40,'Floor-U'!$I$4:$I$40)*J$16)+(LOOKUP(J$2,'Wall-U'!$A$4:$A$40,'Wall-U'!$AB$4:$AB$40)*J$13)+(LOOKUP(J$2,'Window-U'!$A$4:$A$40,'Window-U'!$S$4:$S$40)*J$22))*J$133</f>
        <v>353.92260349664014</v>
      </c>
      <c r="K138" s="177">
        <f>((LOOKUP(K$2,'Ceiling-U'!$A$4:$A$40,'Ceiling-U'!$AB$4:$AB$40)*K$15)+(LOOKUP(K$2,'Floor-U'!$A$4:$A$40,'Floor-U'!$I$4:$I$40)*K$16)+(LOOKUP(K$2,'Wall-U'!$A$4:$A$40,'Wall-U'!$AB$4:$AB$40)*K$13)+(LOOKUP(K$2,'Window-U'!$A$4:$A$40,'Window-U'!$S$4:$S$40)*K$22))*K$133</f>
        <v>538.07330840321504</v>
      </c>
      <c r="L138" s="177">
        <f>((LOOKUP(L$2,'Ceiling-U'!$A$4:$A$40,'Ceiling-U'!$AB$4:$AB$40)*L$15)+(LOOKUP(L$2,'Floor-U'!$A$4:$A$40,'Floor-U'!$I$4:$I$40)*L$16)+(LOOKUP(L$2,'Wall-U'!$A$4:$A$40,'Wall-U'!$AB$4:$AB$40)*L$13)+(LOOKUP(L$2,'Window-U'!$A$4:$A$40,'Window-U'!$S$4:$S$40)*L$22))*L$133</f>
        <v>264.22686567691642</v>
      </c>
      <c r="M138" s="177">
        <f>((LOOKUP(M$2,'Ceiling-U'!$A$4:$A$40,'Ceiling-U'!$AB$4:$AB$40)*M$15)+(LOOKUP(M$2,'Floor-U'!$A$4:$A$40,'Floor-U'!$I$4:$I$40)*M$16)+(LOOKUP(M$2,'Wall-U'!$A$4:$A$40,'Wall-U'!$AB$4:$AB$40)*M$13)+(LOOKUP(M$2,'Window-U'!$A$4:$A$40,'Window-U'!$S$4:$S$40)*M$22))*M$133</f>
        <v>474.74891016649332</v>
      </c>
      <c r="N138" s="177">
        <f>((LOOKUP(N$2,'Ceiling-U'!$A$4:$A$40,'Ceiling-U'!$AB$4:$AB$40)*N$15)+(LOOKUP(N$2,'Floor-U'!$A$4:$A$40,'Floor-U'!$I$4:$I$40)*N$16)+(LOOKUP(N$2,'Wall-U'!$A$4:$A$40,'Wall-U'!$AB$4:$AB$40)*N$13)+(LOOKUP(N$2,'Window-U'!$A$4:$A$40,'Window-U'!$S$4:$S$40)*N$22))*N$133</f>
        <v>662.94232616393549</v>
      </c>
      <c r="O138" s="177">
        <f>((LOOKUP(O$2,'Ceiling-U'!$A$4:$A$40,'Ceiling-U'!$AB$4:$AB$40)*O$15)+(LOOKUP(O$2,'Floor-U'!$A$4:$A$40,'Floor-U'!$I$4:$I$40)*O$16)+(LOOKUP(O$2,'Wall-U'!$A$4:$A$40,'Wall-U'!$AB$4:$AB$40)*O$13)+(LOOKUP(O$2,'Window-U'!$A$4:$A$40,'Window-U'!$S$4:$S$40)*O$22))*O$133</f>
        <v>414.81839732256708</v>
      </c>
      <c r="P138" s="177">
        <f>((LOOKUP(P$2,'Ceiling-U'!$A$4:$A$40,'Ceiling-U'!$AB$4:$AB$40)*P$15)+(LOOKUP(P$2,'Floor-U'!$A$4:$A$40,'Floor-U'!$I$4:$I$40)*P$16)+(LOOKUP(P$2,'Wall-U'!$A$4:$A$40,'Wall-U'!$AB$4:$AB$40)*P$13)+(LOOKUP(P$2,'Window-U'!$A$4:$A$40,'Window-U'!$S$4:$S$40)*P$22))*P$133</f>
        <v>721.27925980910504</v>
      </c>
      <c r="Q138" s="177">
        <f>((LOOKUP(Q$2,'Ceiling-U'!$A$4:$A$40,'Ceiling-U'!$AB$4:$AB$40)*Q$15)+(LOOKUP(Q$2,'Floor-U'!$A$4:$A$40,'Floor-U'!$I$4:$I$40)*Q$16)+(LOOKUP(Q$2,'Wall-U'!$A$4:$A$40,'Wall-U'!$AB$4:$AB$40)*Q$13)+(LOOKUP(Q$2,'Window-U'!$A$4:$A$40,'Window-U'!$S$4:$S$40)*Q$22))*Q$133</f>
        <v>542.25227515301515</v>
      </c>
      <c r="R138" s="177">
        <f>((LOOKUP(R$2,'Ceiling-U'!$A$4:$A$40,'Ceiling-U'!$AB$4:$AB$40)*R$15)+(LOOKUP(R$2,'Floor-U'!$A$4:$A$40,'Floor-U'!$I$4:$I$40)*R$16)+(LOOKUP(R$2,'Wall-U'!$A$4:$A$40,'Wall-U'!$AB$4:$AB$40)*R$13)+(LOOKUP(R$2,'Window-U'!$A$4:$A$40,'Window-U'!$S$4:$S$40)*R$22))*R$133</f>
        <v>469.95911845930948</v>
      </c>
      <c r="S138" s="177">
        <f>((LOOKUP(S$2,'Ceiling-U'!$A$4:$A$40,'Ceiling-U'!$AB$4:$AB$40)*S$15)+(LOOKUP(S$2,'Floor-U'!$A$4:$A$40,'Floor-U'!$I$4:$I$40)*S$16)+(LOOKUP(S$2,'Wall-U'!$A$4:$A$40,'Wall-U'!$AB$4:$AB$40)*S$13)+(LOOKUP(S$2,'Window-U'!$A$4:$A$40,'Window-U'!$S$4:$S$40)*S$22))*S$133</f>
        <v>1438.6236644495366</v>
      </c>
      <c r="T138" s="177">
        <f>((LOOKUP(T$2,'Ceiling-U'!$A$4:$A$40,'Ceiling-U'!$AB$4:$AB$40)*T$15)+(LOOKUP(T$2,'Floor-U'!$A$4:$A$40,'Floor-U'!$I$4:$I$40)*T$16)+(LOOKUP(T$2,'Wall-U'!$A$4:$A$40,'Wall-U'!$AB$4:$AB$40)*T$13)+(LOOKUP(T$2,'Window-U'!$A$4:$A$40,'Window-U'!$S$4:$S$40)*T$22))*T$133</f>
        <v>330.98173075889429</v>
      </c>
      <c r="U138" s="177">
        <f>((LOOKUP(U$2,'Ceiling-U'!$A$4:$A$40,'Ceiling-U'!$AB$4:$AB$40)*U$15)+(LOOKUP(U$2,'Floor-U'!$A$4:$A$40,'Floor-U'!$I$4:$I$40)*U$16)+(LOOKUP(U$2,'Wall-U'!$A$4:$A$40,'Wall-U'!$AB$4:$AB$40)*U$13)+(LOOKUP(U$2,'Window-U'!$A$4:$A$40,'Window-U'!$S$4:$S$40)*U$22))*U$133</f>
        <v>943.12167592644244</v>
      </c>
      <c r="V138" s="177">
        <f>((LOOKUP(V$2,'Ceiling-U'!$A$4:$A$40,'Ceiling-U'!$AB$4:$AB$40)*V$15)+(LOOKUP(V$2,'Floor-U'!$A$4:$A$40,'Floor-U'!$I$4:$I$40)*V$16)+(LOOKUP(V$2,'Wall-U'!$A$4:$A$40,'Wall-U'!$AB$4:$AB$40)*V$13)+(LOOKUP(V$2,'Window-U'!$A$4:$A$40,'Window-U'!$S$4:$S$40)*V$22))*V$133</f>
        <v>429.67831593820466</v>
      </c>
      <c r="W138" s="177">
        <f>((LOOKUP(W$2,'Ceiling-U'!$A$4:$A$40,'Ceiling-U'!$AB$4:$AB$40)*W$15)+(LOOKUP(W$2,'Floor-U'!$A$4:$A$40,'Floor-U'!$I$4:$I$40)*W$16)+(LOOKUP(W$2,'Wall-U'!$A$4:$A$40,'Wall-U'!$AB$4:$AB$40)*W$13)+(LOOKUP(W$2,'Window-U'!$A$4:$A$40,'Window-U'!$S$4:$S$40)*W$22))*W$133</f>
        <v>537.94095747279914</v>
      </c>
      <c r="X138" s="177">
        <f>((LOOKUP(X$2,'Ceiling-U'!$A$4:$A$40,'Ceiling-U'!$AB$4:$AB$40)*X$15)+(LOOKUP(X$2,'Floor-U'!$A$4:$A$40,'Floor-U'!$I$4:$I$40)*X$16)+(LOOKUP(X$2,'Wall-U'!$A$4:$A$40,'Wall-U'!$AB$4:$AB$40)*X$13)+(LOOKUP(X$2,'Window-U'!$A$4:$A$40,'Window-U'!$S$4:$S$40)*X$22))*X$133</f>
        <v>375.88495609061175</v>
      </c>
      <c r="Y138" s="177">
        <f>((LOOKUP(Y$2,'Ceiling-U'!$A$4:$A$40,'Ceiling-U'!$AB$4:$AB$40)*Y$15)+(LOOKUP(Y$2,'Floor-U'!$A$4:$A$40,'Floor-U'!$I$4:$I$40)*Y$16)+(LOOKUP(Y$2,'Wall-U'!$A$4:$A$40,'Wall-U'!$AB$4:$AB$40)*Y$13)+(LOOKUP(Y$2,'Window-U'!$A$4:$A$40,'Window-U'!$S$4:$S$40)*Y$22))*Y$133</f>
        <v>1072.3397598272004</v>
      </c>
      <c r="Z138" s="177">
        <f>((LOOKUP(Z$2,'Ceiling-U'!$A$4:$A$40,'Ceiling-U'!$AB$4:$AB$40)*Z$15)+(LOOKUP(Z$2,'Floor-U'!$A$4:$A$40,'Floor-U'!$I$4:$I$40)*Z$16)+(LOOKUP(Z$2,'Wall-U'!$A$4:$A$40,'Wall-U'!$AB$4:$AB$40)*Z$13)+(LOOKUP(Z$2,'Window-U'!$A$4:$A$40,'Window-U'!$S$4:$S$40)*Z$22))*Z$133</f>
        <v>599.77502987638775</v>
      </c>
      <c r="AA138" s="177">
        <f>((LOOKUP(AA$2,'Ceiling-U'!$A$4:$A$40,'Ceiling-U'!$AB$4:$AB$40)*AA$15)+(LOOKUP(AA$2,'Floor-U'!$A$4:$A$40,'Floor-U'!$I$4:$I$40)*AA$16)+(LOOKUP(AA$2,'Wall-U'!$A$4:$A$40,'Wall-U'!$AB$4:$AB$40)*AA$13)+(LOOKUP(AA$2,'Window-U'!$A$4:$A$40,'Window-U'!$S$4:$S$40)*AA$22))*AA$133</f>
        <v>287.0432366563939</v>
      </c>
      <c r="AB138" s="177">
        <f>((LOOKUP(AB$2,'Ceiling-U'!$A$4:$A$40,'Ceiling-U'!$AB$4:$AB$40)*AB$15)+(LOOKUP(AB$2,'Floor-U'!$A$4:$A$40,'Floor-U'!$I$4:$I$40)*AB$16)+(LOOKUP(AB$2,'Wall-U'!$A$4:$A$40,'Wall-U'!$AB$4:$AB$40)*AB$13)+(LOOKUP(AB$2,'Window-U'!$A$4:$A$40,'Window-U'!$S$4:$S$40)*AB$22))*AB$133</f>
        <v>685.60138486883523</v>
      </c>
      <c r="AC138" s="177">
        <f>((LOOKUP(AC$2,'Ceiling-U'!$A$4:$A$40,'Ceiling-U'!$AB$4:$AB$40)*AC$15)+(LOOKUP(AC$2,'Floor-U'!$A$4:$A$40,'Floor-U'!$I$4:$I$40)*AC$16)+(LOOKUP(AC$2,'Wall-U'!$A$4:$A$40,'Wall-U'!$AB$4:$AB$40)*AC$13)+(LOOKUP(AC$2,'Window-U'!$A$4:$A$40,'Window-U'!$S$4:$S$40)*AC$22))*AC$133</f>
        <v>1147.6554377396524</v>
      </c>
      <c r="AD138" s="177">
        <f>((LOOKUP(AD$2,'Ceiling-U'!$A$4:$A$40,'Ceiling-U'!$AB$4:$AB$40)*AD$15)+(LOOKUP(AD$2,'Floor-U'!$A$4:$A$40,'Floor-U'!$I$4:$I$40)*AD$16)+(LOOKUP(AD$2,'Wall-U'!$A$4:$A$40,'Wall-U'!$AB$4:$AB$40)*AD$13)+(LOOKUP(AD$2,'Window-U'!$A$4:$A$40,'Window-U'!$S$4:$S$40)*AD$22))*AD$133</f>
        <v>1725.9273062556949</v>
      </c>
      <c r="AE138" s="177">
        <f>((LOOKUP(AE$2,'Ceiling-U'!$A$4:$A$40,'Ceiling-U'!$AB$4:$AB$40)*AE$15)+(LOOKUP(AE$2,'Floor-U'!$A$4:$A$40,'Floor-U'!$I$4:$I$40)*AE$16)+(LOOKUP(AE$2,'Wall-U'!$A$4:$A$40,'Wall-U'!$AB$4:$AB$40)*AE$13)+(LOOKUP(AE$2,'Window-U'!$A$4:$A$40,'Window-U'!$S$4:$S$40)*AE$22))*AE$133</f>
        <v>287.0432366563939</v>
      </c>
      <c r="AF138" s="177">
        <f>((LOOKUP(AF$2,'Ceiling-U'!$A$4:$A$40,'Ceiling-U'!$AB$4:$AB$40)*AF$15)+(LOOKUP(AF$2,'Floor-U'!$A$4:$A$40,'Floor-U'!$I$4:$I$40)*AF$16)+(LOOKUP(AF$2,'Wall-U'!$A$4:$A$40,'Wall-U'!$AB$4:$AB$40)*AF$13)+(LOOKUP(AF$2,'Window-U'!$A$4:$A$40,'Window-U'!$S$4:$S$40)*AF$22))*AF$133</f>
        <v>423.86650940889314</v>
      </c>
      <c r="AG138" s="177">
        <f>((LOOKUP(AG$2,'Ceiling-U'!$A$4:$A$40,'Ceiling-U'!$AB$4:$AB$40)*AG$15)+(LOOKUP(AG$2,'Floor-U'!$A$4:$A$40,'Floor-U'!$I$4:$I$40)*AG$16)+(LOOKUP(AG$2,'Wall-U'!$A$4:$A$40,'Wall-U'!$AB$4:$AB$40)*AG$13)+(LOOKUP(AG$2,'Window-U'!$A$4:$A$40,'Window-U'!$S$4:$S$40)*AG$22))*AG$133</f>
        <v>693.07357821869493</v>
      </c>
      <c r="AH138" s="177">
        <f>((LOOKUP(AH$2,'Ceiling-U'!$A$4:$A$40,'Ceiling-U'!$AB$4:$AB$40)*AH$15)+(LOOKUP(AH$2,'Floor-U'!$A$4:$A$40,'Floor-U'!$I$4:$I$40)*AH$16)+(LOOKUP(AH$2,'Wall-U'!$A$4:$A$40,'Wall-U'!$AB$4:$AB$40)*AH$13)+(LOOKUP(AH$2,'Window-U'!$A$4:$A$40,'Window-U'!$S$4:$S$40)*AH$22))*AH$133</f>
        <v>1057.7302638263138</v>
      </c>
      <c r="AI138" s="177">
        <f>((LOOKUP(AI$2,'Ceiling-U'!$A$4:$A$40,'Ceiling-U'!$AB$4:$AB$40)*AI$15)+(LOOKUP(AI$2,'Floor-U'!$A$4:$A$40,'Floor-U'!$I$4:$I$40)*AI$16)+(LOOKUP(AI$2,'Wall-U'!$A$4:$A$40,'Wall-U'!$AB$4:$AB$40)*AI$13)+(LOOKUP(AI$2,'Window-U'!$A$4:$A$40,'Window-U'!$S$4:$S$40)*AI$22))*AI$133</f>
        <v>1128.8827013312271</v>
      </c>
      <c r="AJ138" s="177">
        <f>((LOOKUP(AJ$2,'Ceiling-U'!$A$4:$A$40,'Ceiling-U'!$AB$4:$AB$40)*AJ$15)+(LOOKUP(AJ$2,'Floor-U'!$A$4:$A$40,'Floor-U'!$I$4:$I$40)*AJ$16)+(LOOKUP(AJ$2,'Wall-U'!$A$4:$A$40,'Wall-U'!$AB$4:$AB$40)*AJ$13)+(LOOKUP(AJ$2,'Window-U'!$A$4:$A$40,'Window-U'!$S$4:$S$40)*AJ$22))*AJ$133</f>
        <v>613.46320627241869</v>
      </c>
      <c r="AK138" s="177">
        <f>((LOOKUP(AK$2,'Ceiling-U'!$A$4:$A$40,'Ceiling-U'!$AB$4:$AB$40)*AK$15)+(LOOKUP(AK$2,'Floor-U'!$A$4:$A$40,'Floor-U'!$I$4:$I$40)*AK$16)+(LOOKUP(AK$2,'Wall-U'!$A$4:$A$40,'Wall-U'!$AB$4:$AB$40)*AK$13)+(LOOKUP(AK$2,'Window-U'!$A$4:$A$40,'Window-U'!$S$4:$S$40)*AK$22))*AK$133</f>
        <v>669.31142061552248</v>
      </c>
      <c r="AL138" s="177">
        <f>((LOOKUP(AL$2,'Ceiling-U'!$A$4:$A$40,'Ceiling-U'!$AB$4:$AB$40)*AL$15)+(LOOKUP(AL$2,'Floor-U'!$A$4:$A$40,'Floor-U'!$I$4:$I$40)*AL$16)+(LOOKUP(AL$2,'Wall-U'!$A$4:$A$40,'Wall-U'!$AB$4:$AB$40)*AL$13)+(LOOKUP(AL$2,'Window-U'!$A$4:$A$40,'Window-U'!$S$4:$S$40)*AL$22))*AL$133</f>
        <v>512.66469536671309</v>
      </c>
      <c r="AM138" s="177">
        <f>((LOOKUP(AM$2,'Ceiling-U'!$A$4:$A$40,'Ceiling-U'!$AB$4:$AB$40)*AM$15)+(LOOKUP(AM$2,'Floor-U'!$A$4:$A$40,'Floor-U'!$I$4:$I$40)*AM$16)+(LOOKUP(AM$2,'Wall-U'!$A$4:$A$40,'Wall-U'!$AB$4:$AB$40)*AM$13)+(LOOKUP(AM$2,'Window-U'!$A$4:$A$40,'Window-U'!$S$4:$S$40)*AM$22))*AM$133</f>
        <v>613.46320627241869</v>
      </c>
      <c r="AN138" s="178">
        <f>((LOOKUP(AN$2,'Ceiling-U'!$A$4:$A$40,'Ceiling-U'!$AB$4:$AB$40)*AN$15)+(LOOKUP(AN$2,'Floor-U'!$A$4:$A$40,'Floor-U'!$I$4:$I$40)*AN$16)+(LOOKUP(AN$2,'Wall-U'!$A$4:$A$40,'Wall-U'!$AB$4:$AB$40)*AN$13)+(LOOKUP(AN$2,'Window-U'!$A$4:$A$40,'Window-U'!$S$4:$S$40)*AN$22))*AN$133</f>
        <v>613.46320627241869</v>
      </c>
    </row>
    <row r="139" spans="1:40">
      <c r="A139" s="373"/>
      <c r="B139" s="374" t="s">
        <v>7</v>
      </c>
      <c r="C139" s="131" t="s">
        <v>195</v>
      </c>
      <c r="D139" s="176">
        <f>((LOOKUP(D$2,'Ceiling-U'!$A$4:$A$40,'Ceiling-U'!$AC$4:$AC$40)*D$15)+(LOOKUP(D$2,'Floor-U'!$A$4:$A$40,'Floor-U'!$J$4:$J$40)*D$16)+(LOOKUP(D$2,'Wall-U'!$A$4:$A$40,'Wall-U'!$AC$4:$AC$40)*D$13)+(LOOKUP(D$2,'Window-U'!$A$4:$A$40,'Window-U'!$S$4:$S$40)*D$22))*D$133</f>
        <v>446.79317583895863</v>
      </c>
      <c r="E139" s="174">
        <f>((LOOKUP(E$2,'Ceiling-U'!$A$4:$A$40,'Ceiling-U'!$AC$4:$AC$40)*E$15)+(LOOKUP(E$2,'Floor-U'!$A$4:$A$40,'Floor-U'!$J$4:$J$40)*E$16)+(LOOKUP(E$2,'Wall-U'!$A$4:$A$40,'Wall-U'!$AC$4:$AC$40)*E$13)+(LOOKUP(E$2,'Window-U'!$A$4:$A$40,'Window-U'!$S$4:$S$40)*E$22))*E$133</f>
        <v>566.34249638119252</v>
      </c>
      <c r="F139" s="174">
        <f>((LOOKUP(F$2,'Ceiling-U'!$A$4:$A$40,'Ceiling-U'!$AC$4:$AC$40)*F$15)+(LOOKUP(F$2,'Floor-U'!$A$4:$A$40,'Floor-U'!$J$4:$J$40)*F$16)+(LOOKUP(F$2,'Wall-U'!$A$4:$A$40,'Wall-U'!$AC$4:$AC$40)*F$13)+(LOOKUP(F$2,'Window-U'!$A$4:$A$40,'Window-U'!$S$4:$S$40)*F$22))*F$133</f>
        <v>742.7558939366827</v>
      </c>
      <c r="G139" s="174">
        <f>((LOOKUP(G$2,'Ceiling-U'!$A$4:$A$40,'Ceiling-U'!$AC$4:$AC$40)*G$15)+(LOOKUP(G$2,'Floor-U'!$A$4:$A$40,'Floor-U'!$J$4:$J$40)*G$16)+(LOOKUP(G$2,'Wall-U'!$A$4:$A$40,'Wall-U'!$AC$4:$AC$40)*G$13)+(LOOKUP(G$2,'Window-U'!$A$4:$A$40,'Window-U'!$S$4:$S$40)*G$22))*G$133</f>
        <v>446.79317583895863</v>
      </c>
      <c r="H139" s="174">
        <f>((LOOKUP(H$2,'Ceiling-U'!$A$4:$A$40,'Ceiling-U'!$AC$4:$AC$40)*H$15)+(LOOKUP(H$2,'Floor-U'!$A$4:$A$40,'Floor-U'!$J$4:$J$40)*H$16)+(LOOKUP(H$2,'Wall-U'!$A$4:$A$40,'Wall-U'!$AC$4:$AC$40)*H$13)+(LOOKUP(H$2,'Window-U'!$A$4:$A$40,'Window-U'!$S$4:$S$40)*H$22))*H$133</f>
        <v>654.29140967604974</v>
      </c>
      <c r="I139" s="174">
        <f>((LOOKUP(I$2,'Ceiling-U'!$A$4:$A$40,'Ceiling-U'!$AC$4:$AC$40)*I$15)+(LOOKUP(I$2,'Floor-U'!$A$4:$A$40,'Floor-U'!$J$4:$J$40)*I$16)+(LOOKUP(I$2,'Wall-U'!$A$4:$A$40,'Wall-U'!$AC$4:$AC$40)*I$13)+(LOOKUP(I$2,'Window-U'!$A$4:$A$40,'Window-U'!$S$4:$S$40)*I$22))*I$133</f>
        <v>396.49307525301424</v>
      </c>
      <c r="J139" s="174">
        <f>((LOOKUP(J$2,'Ceiling-U'!$A$4:$A$40,'Ceiling-U'!$AC$4:$AC$40)*J$15)+(LOOKUP(J$2,'Floor-U'!$A$4:$A$40,'Floor-U'!$J$4:$J$40)*J$16)+(LOOKUP(J$2,'Wall-U'!$A$4:$A$40,'Wall-U'!$AC$4:$AC$40)*J$13)+(LOOKUP(J$2,'Window-U'!$A$4:$A$40,'Window-U'!$S$4:$S$40)*J$22))*J$133</f>
        <v>377.73377191976044</v>
      </c>
      <c r="K139" s="174">
        <f>((LOOKUP(K$2,'Ceiling-U'!$A$4:$A$40,'Ceiling-U'!$AC$4:$AC$40)*K$15)+(LOOKUP(K$2,'Floor-U'!$A$4:$A$40,'Floor-U'!$J$4:$J$40)*K$16)+(LOOKUP(K$2,'Wall-U'!$A$4:$A$40,'Wall-U'!$AC$4:$AC$40)*K$13)+(LOOKUP(K$2,'Window-U'!$A$4:$A$40,'Window-U'!$S$4:$S$40)*K$22))*K$133</f>
        <v>442.24150999464314</v>
      </c>
      <c r="L139" s="174">
        <f>((LOOKUP(L$2,'Ceiling-U'!$A$4:$A$40,'Ceiling-U'!$AC$4:$AC$40)*L$15)+(LOOKUP(L$2,'Floor-U'!$A$4:$A$40,'Floor-U'!$J$4:$J$40)*L$16)+(LOOKUP(L$2,'Wall-U'!$A$4:$A$40,'Wall-U'!$AC$4:$AC$40)*L$13)+(LOOKUP(L$2,'Window-U'!$A$4:$A$40,'Window-U'!$S$4:$S$40)*L$22))*L$133</f>
        <v>264.22686567691642</v>
      </c>
      <c r="M139" s="174">
        <f>((LOOKUP(M$2,'Ceiling-U'!$A$4:$A$40,'Ceiling-U'!$AC$4:$AC$40)*M$15)+(LOOKUP(M$2,'Floor-U'!$A$4:$A$40,'Floor-U'!$J$4:$J$40)*M$16)+(LOOKUP(M$2,'Wall-U'!$A$4:$A$40,'Wall-U'!$AC$4:$AC$40)*M$13)+(LOOKUP(M$2,'Window-U'!$A$4:$A$40,'Window-U'!$S$4:$S$40)*M$22))*M$133</f>
        <v>409.71303187335371</v>
      </c>
      <c r="N139" s="174">
        <f>((LOOKUP(N$2,'Ceiling-U'!$A$4:$A$40,'Ceiling-U'!$AC$4:$AC$40)*N$15)+(LOOKUP(N$2,'Floor-U'!$A$4:$A$40,'Floor-U'!$J$4:$J$40)*N$16)+(LOOKUP(N$2,'Wall-U'!$A$4:$A$40,'Wall-U'!$AC$4:$AC$40)*N$13)+(LOOKUP(N$2,'Window-U'!$A$4:$A$40,'Window-U'!$S$4:$S$40)*N$22))*N$133</f>
        <v>627.98754830737414</v>
      </c>
      <c r="O139" s="174">
        <f>((LOOKUP(O$2,'Ceiling-U'!$A$4:$A$40,'Ceiling-U'!$AC$4:$AC$40)*O$15)+(LOOKUP(O$2,'Floor-U'!$A$4:$A$40,'Floor-U'!$J$4:$J$40)*O$16)+(LOOKUP(O$2,'Wall-U'!$A$4:$A$40,'Wall-U'!$AC$4:$AC$40)*O$13)+(LOOKUP(O$2,'Window-U'!$A$4:$A$40,'Window-U'!$S$4:$S$40)*O$22))*O$133</f>
        <v>407.53880187917963</v>
      </c>
      <c r="P139" s="174">
        <f>((LOOKUP(P$2,'Ceiling-U'!$A$4:$A$40,'Ceiling-U'!$AC$4:$AC$40)*P$15)+(LOOKUP(P$2,'Floor-U'!$A$4:$A$40,'Floor-U'!$J$4:$J$40)*P$16)+(LOOKUP(P$2,'Wall-U'!$A$4:$A$40,'Wall-U'!$AC$4:$AC$40)*P$13)+(LOOKUP(P$2,'Window-U'!$A$4:$A$40,'Window-U'!$S$4:$S$40)*P$22))*P$133</f>
        <v>346.6713238088326</v>
      </c>
      <c r="Q139" s="174">
        <f>((LOOKUP(Q$2,'Ceiling-U'!$A$4:$A$40,'Ceiling-U'!$AC$4:$AC$40)*Q$15)+(LOOKUP(Q$2,'Floor-U'!$A$4:$A$40,'Floor-U'!$J$4:$J$40)*Q$16)+(LOOKUP(Q$2,'Wall-U'!$A$4:$A$40,'Wall-U'!$AC$4:$AC$40)*Q$13)+(LOOKUP(Q$2,'Window-U'!$A$4:$A$40,'Window-U'!$S$4:$S$40)*Q$22))*Q$133</f>
        <v>440.18503640262622</v>
      </c>
      <c r="R139" s="174">
        <f>((LOOKUP(R$2,'Ceiling-U'!$A$4:$A$40,'Ceiling-U'!$AC$4:$AC$40)*R$15)+(LOOKUP(R$2,'Floor-U'!$A$4:$A$40,'Floor-U'!$J$4:$J$40)*R$16)+(LOOKUP(R$2,'Wall-U'!$A$4:$A$40,'Wall-U'!$AC$4:$AC$40)*R$13)+(LOOKUP(R$2,'Window-U'!$A$4:$A$40,'Window-U'!$S$4:$S$40)*R$22))*R$133</f>
        <v>371.04075390681265</v>
      </c>
      <c r="S139" s="174">
        <f>((LOOKUP(S$2,'Ceiling-U'!$A$4:$A$40,'Ceiling-U'!$AC$4:$AC$40)*S$15)+(LOOKUP(S$2,'Floor-U'!$A$4:$A$40,'Floor-U'!$J$4:$J$40)*S$16)+(LOOKUP(S$2,'Wall-U'!$A$4:$A$40,'Wall-U'!$AC$4:$AC$40)*S$13)+(LOOKUP(S$2,'Window-U'!$A$4:$A$40,'Window-U'!$S$4:$S$40)*S$22))*S$133</f>
        <v>1124.5840257414077</v>
      </c>
      <c r="T139" s="174">
        <f>((LOOKUP(T$2,'Ceiling-U'!$A$4:$A$40,'Ceiling-U'!$AC$4:$AC$40)*T$15)+(LOOKUP(T$2,'Floor-U'!$A$4:$A$40,'Floor-U'!$J$4:$J$40)*T$16)+(LOOKUP(T$2,'Wall-U'!$A$4:$A$40,'Wall-U'!$AC$4:$AC$40)*T$13)+(LOOKUP(T$2,'Window-U'!$A$4:$A$40,'Window-U'!$S$4:$S$40)*T$22))*T$133</f>
        <v>314.15112696287929</v>
      </c>
      <c r="U139" s="174">
        <f>((LOOKUP(U$2,'Ceiling-U'!$A$4:$A$40,'Ceiling-U'!$AC$4:$AC$40)*U$15)+(LOOKUP(U$2,'Floor-U'!$A$4:$A$40,'Floor-U'!$J$4:$J$40)*U$16)+(LOOKUP(U$2,'Wall-U'!$A$4:$A$40,'Wall-U'!$AC$4:$AC$40)*U$13)+(LOOKUP(U$2,'Window-U'!$A$4:$A$40,'Window-U'!$S$4:$S$40)*U$22))*U$133</f>
        <v>943.12167592644244</v>
      </c>
      <c r="V139" s="174">
        <f>((LOOKUP(V$2,'Ceiling-U'!$A$4:$A$40,'Ceiling-U'!$AC$4:$AC$40)*V$15)+(LOOKUP(V$2,'Floor-U'!$A$4:$A$40,'Floor-U'!$J$4:$J$40)*V$16)+(LOOKUP(V$2,'Wall-U'!$A$4:$A$40,'Wall-U'!$AC$4:$AC$40)*V$13)+(LOOKUP(V$2,'Window-U'!$A$4:$A$40,'Window-U'!$S$4:$S$40)*V$22))*V$133</f>
        <v>289.52480807597328</v>
      </c>
      <c r="W139" s="174">
        <f>((LOOKUP(W$2,'Ceiling-U'!$A$4:$A$40,'Ceiling-U'!$AC$4:$AC$40)*W$15)+(LOOKUP(W$2,'Floor-U'!$A$4:$A$40,'Floor-U'!$J$4:$J$40)*W$16)+(LOOKUP(W$2,'Wall-U'!$A$4:$A$40,'Wall-U'!$AC$4:$AC$40)*W$13)+(LOOKUP(W$2,'Window-U'!$A$4:$A$40,'Window-U'!$S$4:$S$40)*W$22))*W$133</f>
        <v>465.34629826734317</v>
      </c>
      <c r="X139" s="174">
        <f>((LOOKUP(X$2,'Ceiling-U'!$A$4:$A$40,'Ceiling-U'!$AC$4:$AC$40)*X$15)+(LOOKUP(X$2,'Floor-U'!$A$4:$A$40,'Floor-U'!$J$4:$J$40)*X$16)+(LOOKUP(X$2,'Wall-U'!$A$4:$A$40,'Wall-U'!$AC$4:$AC$40)*X$13)+(LOOKUP(X$2,'Window-U'!$A$4:$A$40,'Window-U'!$S$4:$S$40)*X$22))*X$133</f>
        <v>273.89974563013624</v>
      </c>
      <c r="Y139" s="174">
        <f>((LOOKUP(Y$2,'Ceiling-U'!$A$4:$A$40,'Ceiling-U'!$AC$4:$AC$40)*Y$15)+(LOOKUP(Y$2,'Floor-U'!$A$4:$A$40,'Floor-U'!$J$4:$J$40)*Y$16)+(LOOKUP(Y$2,'Wall-U'!$A$4:$A$40,'Wall-U'!$AC$4:$AC$40)*Y$13)+(LOOKUP(Y$2,'Window-U'!$A$4:$A$40,'Window-U'!$S$4:$S$40)*Y$22))*Y$133</f>
        <v>1055.7160475945229</v>
      </c>
      <c r="Z139" s="174">
        <f>((LOOKUP(Z$2,'Ceiling-U'!$A$4:$A$40,'Ceiling-U'!$AC$4:$AC$40)*Z$15)+(LOOKUP(Z$2,'Floor-U'!$A$4:$A$40,'Floor-U'!$J$4:$J$40)*Z$16)+(LOOKUP(Z$2,'Wall-U'!$A$4:$A$40,'Wall-U'!$AC$4:$AC$40)*Z$13)+(LOOKUP(Z$2,'Window-U'!$A$4:$A$40,'Window-U'!$S$4:$S$40)*Z$22))*Z$133</f>
        <v>458.26347524037516</v>
      </c>
      <c r="AA139" s="174">
        <f>((LOOKUP(AA$2,'Ceiling-U'!$A$4:$A$40,'Ceiling-U'!$AC$4:$AC$40)*AA$15)+(LOOKUP(AA$2,'Floor-U'!$A$4:$A$40,'Floor-U'!$J$4:$J$40)*AA$16)+(LOOKUP(AA$2,'Wall-U'!$A$4:$A$40,'Wall-U'!$AC$4:$AC$40)*AA$13)+(LOOKUP(AA$2,'Window-U'!$A$4:$A$40,'Window-U'!$S$4:$S$40)*AA$22))*AA$133</f>
        <v>287.0432366563939</v>
      </c>
      <c r="AB139" s="174">
        <f>((LOOKUP(AB$2,'Ceiling-U'!$A$4:$A$40,'Ceiling-U'!$AC$4:$AC$40)*AB$15)+(LOOKUP(AB$2,'Floor-U'!$A$4:$A$40,'Floor-U'!$J$4:$J$40)*AB$16)+(LOOKUP(AB$2,'Wall-U'!$A$4:$A$40,'Wall-U'!$AC$4:$AC$40)*AB$13)+(LOOKUP(AB$2,'Window-U'!$A$4:$A$40,'Window-U'!$S$4:$S$40)*AB$22))*AB$133</f>
        <v>560.42316290323527</v>
      </c>
      <c r="AC139" s="174">
        <f>((LOOKUP(AC$2,'Ceiling-U'!$A$4:$A$40,'Ceiling-U'!$AC$4:$AC$40)*AC$15)+(LOOKUP(AC$2,'Floor-U'!$A$4:$A$40,'Floor-U'!$J$4:$J$40)*AC$16)+(LOOKUP(AC$2,'Wall-U'!$A$4:$A$40,'Wall-U'!$AC$4:$AC$40)*AC$13)+(LOOKUP(AC$2,'Window-U'!$A$4:$A$40,'Window-U'!$S$4:$S$40)*AC$22))*AC$133</f>
        <v>878.29316319242787</v>
      </c>
      <c r="AD139" s="174">
        <f>((LOOKUP(AD$2,'Ceiling-U'!$A$4:$A$40,'Ceiling-U'!$AC$4:$AC$40)*AD$15)+(LOOKUP(AD$2,'Floor-U'!$A$4:$A$40,'Floor-U'!$J$4:$J$40)*AD$16)+(LOOKUP(AD$2,'Wall-U'!$A$4:$A$40,'Wall-U'!$AC$4:$AC$40)*AD$13)+(LOOKUP(AD$2,'Window-U'!$A$4:$A$40,'Window-U'!$S$4:$S$40)*AD$22))*AD$133</f>
        <v>1670.8241083931475</v>
      </c>
      <c r="AE139" s="174">
        <f>((LOOKUP(AE$2,'Ceiling-U'!$A$4:$A$40,'Ceiling-U'!$AC$4:$AC$40)*AE$15)+(LOOKUP(AE$2,'Floor-U'!$A$4:$A$40,'Floor-U'!$J$4:$J$40)*AE$16)+(LOOKUP(AE$2,'Wall-U'!$A$4:$A$40,'Wall-U'!$AC$4:$AC$40)*AE$13)+(LOOKUP(AE$2,'Window-U'!$A$4:$A$40,'Window-U'!$S$4:$S$40)*AE$22))*AE$133</f>
        <v>287.0432366563939</v>
      </c>
      <c r="AF139" s="174">
        <f>((LOOKUP(AF$2,'Ceiling-U'!$A$4:$A$40,'Ceiling-U'!$AC$4:$AC$40)*AF$15)+(LOOKUP(AF$2,'Floor-U'!$A$4:$A$40,'Floor-U'!$J$4:$J$40)*AF$16)+(LOOKUP(AF$2,'Wall-U'!$A$4:$A$40,'Wall-U'!$AC$4:$AC$40)*AF$13)+(LOOKUP(AF$2,'Window-U'!$A$4:$A$40,'Window-U'!$S$4:$S$40)*AF$22))*AF$133</f>
        <v>298.01590893055754</v>
      </c>
      <c r="AG139" s="174">
        <f>((LOOKUP(AG$2,'Ceiling-U'!$A$4:$A$40,'Ceiling-U'!$AC$4:$AC$40)*AG$15)+(LOOKUP(AG$2,'Floor-U'!$A$4:$A$40,'Floor-U'!$J$4:$J$40)*AG$16)+(LOOKUP(AG$2,'Wall-U'!$A$4:$A$40,'Wall-U'!$AC$4:$AC$40)*AG$13)+(LOOKUP(AG$2,'Window-U'!$A$4:$A$40,'Window-U'!$S$4:$S$40)*AG$22))*AG$133</f>
        <v>526.6615467400876</v>
      </c>
      <c r="AH139" s="174">
        <f>((LOOKUP(AH$2,'Ceiling-U'!$A$4:$A$40,'Ceiling-U'!$AC$4:$AC$40)*AH$15)+(LOOKUP(AH$2,'Floor-U'!$A$4:$A$40,'Floor-U'!$J$4:$J$40)*AH$16)+(LOOKUP(AH$2,'Wall-U'!$A$4:$A$40,'Wall-U'!$AC$4:$AC$40)*AH$13)+(LOOKUP(AH$2,'Window-U'!$A$4:$A$40,'Window-U'!$S$4:$S$40)*AH$22))*AH$133</f>
        <v>968.71059766691837</v>
      </c>
      <c r="AI139" s="174">
        <f>((LOOKUP(AI$2,'Ceiling-U'!$A$4:$A$40,'Ceiling-U'!$AC$4:$AC$40)*AI$15)+(LOOKUP(AI$2,'Floor-U'!$A$4:$A$40,'Floor-U'!$J$4:$J$40)*AI$16)+(LOOKUP(AI$2,'Wall-U'!$A$4:$A$40,'Wall-U'!$AC$4:$AC$40)*AI$13)+(LOOKUP(AI$2,'Window-U'!$A$4:$A$40,'Window-U'!$S$4:$S$40)*AI$22))*AI$133</f>
        <v>560.11587031479814</v>
      </c>
      <c r="AJ139" s="174">
        <f>((LOOKUP(AJ$2,'Ceiling-U'!$A$4:$A$40,'Ceiling-U'!$AC$4:$AC$40)*AJ$15)+(LOOKUP(AJ$2,'Floor-U'!$A$4:$A$40,'Floor-U'!$J$4:$J$40)*AJ$16)+(LOOKUP(AJ$2,'Wall-U'!$A$4:$A$40,'Wall-U'!$AC$4:$AC$40)*AJ$13)+(LOOKUP(AJ$2,'Window-U'!$A$4:$A$40,'Window-U'!$S$4:$S$40)*AJ$22))*AJ$133</f>
        <v>592.68217114947117</v>
      </c>
      <c r="AK139" s="174">
        <f>((LOOKUP(AK$2,'Ceiling-U'!$A$4:$A$40,'Ceiling-U'!$AC$4:$AC$40)*AK$15)+(LOOKUP(AK$2,'Floor-U'!$A$4:$A$40,'Floor-U'!$J$4:$J$40)*AK$16)+(LOOKUP(AK$2,'Wall-U'!$A$4:$A$40,'Wall-U'!$AC$4:$AC$40)*AK$13)+(LOOKUP(AK$2,'Window-U'!$A$4:$A$40,'Window-U'!$S$4:$S$40)*AK$22))*AK$133</f>
        <v>646.63122154634789</v>
      </c>
      <c r="AL139" s="174">
        <f>((LOOKUP(AL$2,'Ceiling-U'!$A$4:$A$40,'Ceiling-U'!$AC$4:$AC$40)*AL$15)+(LOOKUP(AL$2,'Floor-U'!$A$4:$A$40,'Floor-U'!$J$4:$J$40)*AL$16)+(LOOKUP(AL$2,'Wall-U'!$A$4:$A$40,'Wall-U'!$AC$4:$AC$40)*AL$13)+(LOOKUP(AL$2,'Window-U'!$A$4:$A$40,'Window-U'!$S$4:$S$40)*AL$22))*AL$133</f>
        <v>435.75085130076604</v>
      </c>
      <c r="AM139" s="174">
        <f>((LOOKUP(AM$2,'Ceiling-U'!$A$4:$A$40,'Ceiling-U'!$AC$4:$AC$40)*AM$15)+(LOOKUP(AM$2,'Floor-U'!$A$4:$A$40,'Floor-U'!$J$4:$J$40)*AM$16)+(LOOKUP(AM$2,'Wall-U'!$A$4:$A$40,'Wall-U'!$AC$4:$AC$40)*AM$13)+(LOOKUP(AM$2,'Window-U'!$A$4:$A$40,'Window-U'!$S$4:$S$40)*AM$22))*AM$133</f>
        <v>592.68217114947117</v>
      </c>
      <c r="AN139" s="175">
        <f>((LOOKUP(AN$2,'Ceiling-U'!$A$4:$A$40,'Ceiling-U'!$AC$4:$AC$40)*AN$15)+(LOOKUP(AN$2,'Floor-U'!$A$4:$A$40,'Floor-U'!$J$4:$J$40)*AN$16)+(LOOKUP(AN$2,'Wall-U'!$A$4:$A$40,'Wall-U'!$AC$4:$AC$40)*AN$13)+(LOOKUP(AN$2,'Window-U'!$A$4:$A$40,'Window-U'!$S$4:$S$40)*AN$22))*AN$133</f>
        <v>592.68217114947117</v>
      </c>
    </row>
    <row r="140" spans="1:40">
      <c r="A140" s="332" t="s">
        <v>280</v>
      </c>
      <c r="B140" s="142" t="s">
        <v>2</v>
      </c>
      <c r="C140" s="360" t="s">
        <v>261</v>
      </c>
      <c r="D140" s="351">
        <f>D134*24*LOOKUP(D$2,'HDD-by Country'!$A$4:$A$40,'HDD-by Country'!$C$4:$C$40)/1000/D$3</f>
        <v>3297.290982565486</v>
      </c>
      <c r="E140" s="352">
        <f>E134*24*LOOKUP(E$2,'HDD-by Country'!$A$4:$A$40,'HDD-by Country'!$C$4:$C$40)/1000/E$3</f>
        <v>2579.1924614079771</v>
      </c>
      <c r="F140" s="352">
        <f>F134*24*LOOKUP(F$2,'HDD-by Country'!$A$4:$A$40,'HDD-by Country'!$C$4:$C$40)/1000/F$3</f>
        <v>1858.388952174809</v>
      </c>
      <c r="G140" s="352">
        <f>G134*24*LOOKUP(G$2,'HDD-by Country'!$A$4:$A$40,'HDD-by Country'!$C$4:$C$40)/1000/G$3</f>
        <v>3212.4138783696203</v>
      </c>
      <c r="H140" s="352">
        <f>H134*24*LOOKUP(H$2,'HDD-by Country'!$A$4:$A$40,'HDD-by Country'!$C$4:$C$40)/1000/H$3</f>
        <v>1139.2610787452263</v>
      </c>
      <c r="I140" s="352">
        <f>I134*24*LOOKUP(I$2,'HDD-by Country'!$A$4:$A$40,'HDD-by Country'!$C$4:$C$40)/1000/I$3</f>
        <v>2950.8034731054895</v>
      </c>
      <c r="J140" s="352">
        <f>J134*24*LOOKUP(J$2,'HDD-by Country'!$A$4:$A$40,'HDD-by Country'!$C$4:$C$40)/1000/J$3</f>
        <v>2663.7347004536523</v>
      </c>
      <c r="K140" s="352">
        <f>K134*24*LOOKUP(K$2,'HDD-by Country'!$A$4:$A$40,'HDD-by Country'!$C$4:$C$40)/1000/K$3</f>
        <v>2384.1950539744021</v>
      </c>
      <c r="L140" s="352">
        <f>L134*24*LOOKUP(L$2,'HDD-by Country'!$A$4:$A$40,'HDD-by Country'!$C$4:$C$40)/1000/L$3</f>
        <v>2021.5301569725332</v>
      </c>
      <c r="M140" s="352">
        <f>M134*24*LOOKUP(M$2,'HDD-by Country'!$A$4:$A$40,'HDD-by Country'!$C$4:$C$40)/1000/M$3</f>
        <v>3462.9634046363681</v>
      </c>
      <c r="N140" s="352">
        <f>N134*24*LOOKUP(N$2,'HDD-by Country'!$A$4:$A$40,'HDD-by Country'!$C$4:$C$40)/1000/N$3</f>
        <v>2610.3586510785904</v>
      </c>
      <c r="O140" s="352">
        <f>O134*24*LOOKUP(O$2,'HDD-by Country'!$A$4:$A$40,'HDD-by Country'!$C$4:$C$40)/1000/O$3</f>
        <v>2717.7594663298969</v>
      </c>
      <c r="P140" s="352">
        <f>P134*24*LOOKUP(P$2,'HDD-by Country'!$A$4:$A$40,'HDD-by Country'!$C$4:$C$40)/1000/P$3</f>
        <v>3111.8558617500998</v>
      </c>
      <c r="Q140" s="352">
        <f>Q134*24*LOOKUP(Q$2,'HDD-by Country'!$A$4:$A$40,'HDD-by Country'!$C$4:$C$40)/1000/Q$3</f>
        <v>1984.8307100340892</v>
      </c>
      <c r="R140" s="352">
        <f>R134*24*LOOKUP(R$2,'HDD-by Country'!$A$4:$A$40,'HDD-by Country'!$C$4:$C$40)/1000/R$3</f>
        <v>1929.8120062695411</v>
      </c>
      <c r="S140" s="352">
        <f>S134*24*LOOKUP(S$2,'HDD-by Country'!$A$4:$A$40,'HDD-by Country'!$C$4:$C$40)/1000/S$3</f>
        <v>1605.9486043804925</v>
      </c>
      <c r="T140" s="352">
        <f>T134*24*LOOKUP(T$2,'HDD-by Country'!$A$4:$A$40,'HDD-by Country'!$C$4:$C$40)/1000/T$3</f>
        <v>2792.9270292869114</v>
      </c>
      <c r="U140" s="352">
        <f>U134*24*LOOKUP(U$2,'HDD-by Country'!$A$4:$A$40,'HDD-by Country'!$C$4:$C$40)/1000/U$3</f>
        <v>2573.0289027863505</v>
      </c>
      <c r="V140" s="352">
        <f>V134*24*LOOKUP(V$2,'HDD-by Country'!$A$4:$A$40,'HDD-by Country'!$C$4:$C$40)/1000/V$3</f>
        <v>2696.1971745933279</v>
      </c>
      <c r="W140" s="352">
        <f>W134*24*LOOKUP(W$2,'HDD-by Country'!$A$4:$A$40,'HDD-by Country'!$C$4:$C$40)/1000/W$3</f>
        <v>3726.9999002224577</v>
      </c>
      <c r="X140" s="352">
        <f>X134*24*LOOKUP(X$2,'HDD-by Country'!$A$4:$A$40,'HDD-by Country'!$C$4:$C$40)/1000/X$3</f>
        <v>2745.5147872068387</v>
      </c>
      <c r="Y140" s="352">
        <f>Y134*24*LOOKUP(Y$2,'HDD-by Country'!$A$4:$A$40,'HDD-by Country'!$C$4:$C$40)/1000/Y$3</f>
        <v>912.89160014346248</v>
      </c>
      <c r="Z140" s="352">
        <f>Z134*24*LOOKUP(Z$2,'HDD-by Country'!$A$4:$A$40,'HDD-by Country'!$C$4:$C$40)/1000/Z$3</f>
        <v>2715.6176420438846</v>
      </c>
      <c r="AA140" s="352">
        <f>AA134*24*LOOKUP(AA$2,'HDD-by Country'!$A$4:$A$40,'HDD-by Country'!$C$4:$C$40)/1000/AA$3</f>
        <v>2781.2202236671687</v>
      </c>
      <c r="AB140" s="352">
        <f>AB134*24*LOOKUP(AB$2,'HDD-by Country'!$A$4:$A$40,'HDD-by Country'!$C$4:$C$40)/1000/AB$3</f>
        <v>2432.8575432232628</v>
      </c>
      <c r="AC140" s="352">
        <f>AC134*24*LOOKUP(AC$2,'HDD-by Country'!$A$4:$A$40,'HDD-by Country'!$C$4:$C$40)/1000/AC$3</f>
        <v>1792.5583710664746</v>
      </c>
      <c r="AD140" s="352">
        <f>AD134*24*LOOKUP(AD$2,'HDD-by Country'!$A$4:$A$40,'HDD-by Country'!$C$4:$C$40)/1000/AD$3</f>
        <v>1933.6848502818455</v>
      </c>
      <c r="AE140" s="352">
        <f>AE134*24*LOOKUP(AE$2,'HDD-by Country'!$A$4:$A$40,'HDD-by Country'!$C$4:$C$40)/1000/AE$3</f>
        <v>2681.7150013538912</v>
      </c>
      <c r="AF140" s="352">
        <f>AF134*24*LOOKUP(AF$2,'HDD-by Country'!$A$4:$A$40,'HDD-by Country'!$C$4:$C$40)/1000/AF$3</f>
        <v>2168.0865743123841</v>
      </c>
      <c r="AG140" s="352">
        <f>AG134*24*LOOKUP(AG$2,'HDD-by Country'!$A$4:$A$40,'HDD-by Country'!$C$4:$C$40)/1000/AG$3</f>
        <v>3455.8809288208845</v>
      </c>
      <c r="AH140" s="352">
        <f>AH134*24*LOOKUP(AH$2,'HDD-by Country'!$A$4:$A$40,'HDD-by Country'!$C$4:$C$40)/1000/AH$3</f>
        <v>1324.6972908237092</v>
      </c>
      <c r="AI140" s="352">
        <f>AI134*24*LOOKUP(AI$2,'HDD-by Country'!$A$4:$A$40,'HDD-by Country'!$C$4:$C$40)/1000/AI$3</f>
        <v>2427.6128787765965</v>
      </c>
      <c r="AJ140" s="352">
        <f>AJ134*24*LOOKUP(AJ$2,'HDD-by Country'!$A$4:$A$40,'HDD-by Country'!$C$4:$C$40)/1000/AJ$3</f>
        <v>2268.1478723541791</v>
      </c>
      <c r="AK140" s="352">
        <f>AK134*24*LOOKUP(AK$2,'HDD-by Country'!$A$4:$A$40,'HDD-by Country'!$C$4:$C$40)/1000/AK$3</f>
        <v>2199.1076186470918</v>
      </c>
      <c r="AL140" s="352">
        <f>AL134*24*LOOKUP(AL$2,'HDD-by Country'!$A$4:$A$40,'HDD-by Country'!$C$4:$C$40)/1000/AL$3</f>
        <v>2178.9178419181358</v>
      </c>
      <c r="AM140" s="352">
        <f>AM134*24*LOOKUP(AM$2,'HDD-by Country'!$A$4:$A$40,'HDD-by Country'!$C$4:$C$40)/1000/AM$3</f>
        <v>2085.7335157480074</v>
      </c>
      <c r="AN140" s="353">
        <f>AN134*24*LOOKUP(AN$2,'HDD-by Country'!$A$4:$A$40,'HDD-by Country'!$C$4:$C$40)/1000/AN$3</f>
        <v>2085.7335157480074</v>
      </c>
    </row>
    <row r="141" spans="1:40">
      <c r="A141" s="129"/>
      <c r="B141" s="142" t="s">
        <v>3</v>
      </c>
      <c r="C141" s="129" t="s">
        <v>261</v>
      </c>
      <c r="D141" s="345">
        <f>D135*24*LOOKUP(D$2,'HDD-by Country'!$A$4:$A$40,'HDD-by Country'!$C$4:$C$40)/1000/D$3</f>
        <v>3452.5652549911647</v>
      </c>
      <c r="E141" s="349">
        <f>E135*24*LOOKUP(E$2,'HDD-by Country'!$A$4:$A$40,'HDD-by Country'!$C$4:$C$40)/1000/E$3</f>
        <v>2579.1924614079771</v>
      </c>
      <c r="F141" s="349">
        <f>F135*24*LOOKUP(F$2,'HDD-by Country'!$A$4:$A$40,'HDD-by Country'!$C$4:$C$40)/1000/F$3</f>
        <v>1858.388952174809</v>
      </c>
      <c r="G141" s="349">
        <f>G135*24*LOOKUP(G$2,'HDD-by Country'!$A$4:$A$40,'HDD-by Country'!$C$4:$C$40)/1000/G$3</f>
        <v>3363.6911633685604</v>
      </c>
      <c r="H141" s="349">
        <f>H135*24*LOOKUP(H$2,'HDD-by Country'!$A$4:$A$40,'HDD-by Country'!$C$4:$C$40)/1000/H$3</f>
        <v>1127.8018241481911</v>
      </c>
      <c r="I141" s="349">
        <f>I135*24*LOOKUP(I$2,'HDD-by Country'!$A$4:$A$40,'HDD-by Country'!$C$4:$C$40)/1000/I$3</f>
        <v>2519.8883853082611</v>
      </c>
      <c r="J141" s="349">
        <f>J135*24*LOOKUP(J$2,'HDD-by Country'!$A$4:$A$40,'HDD-by Country'!$C$4:$C$40)/1000/J$3</f>
        <v>2686.3620714275253</v>
      </c>
      <c r="K141" s="349">
        <f>K135*24*LOOKUP(K$2,'HDD-by Country'!$A$4:$A$40,'HDD-by Country'!$C$4:$C$40)/1000/K$3</f>
        <v>2307.2873548341495</v>
      </c>
      <c r="L141" s="349">
        <f>L135*24*LOOKUP(L$2,'HDD-by Country'!$A$4:$A$40,'HDD-by Country'!$C$4:$C$40)/1000/L$3</f>
        <v>2021.5301569725332</v>
      </c>
      <c r="M141" s="349">
        <f>M135*24*LOOKUP(M$2,'HDD-by Country'!$A$4:$A$40,'HDD-by Country'!$C$4:$C$40)/1000/M$3</f>
        <v>3427.1432754882467</v>
      </c>
      <c r="N141" s="349">
        <f>N135*24*LOOKUP(N$2,'HDD-by Country'!$A$4:$A$40,'HDD-by Country'!$C$4:$C$40)/1000/N$3</f>
        <v>2342.8736163836807</v>
      </c>
      <c r="O141" s="349">
        <f>O135*24*LOOKUP(O$2,'HDD-by Country'!$A$4:$A$40,'HDD-by Country'!$C$4:$C$40)/1000/O$3</f>
        <v>2717.7594663298969</v>
      </c>
      <c r="P141" s="349">
        <f>P135*24*LOOKUP(P$2,'HDD-by Country'!$A$4:$A$40,'HDD-by Country'!$C$4:$C$40)/1000/P$3</f>
        <v>3111.8558617500998</v>
      </c>
      <c r="Q141" s="349">
        <f>Q135*24*LOOKUP(Q$2,'HDD-by Country'!$A$4:$A$40,'HDD-by Country'!$C$4:$C$40)/1000/Q$3</f>
        <v>2015.4435175135302</v>
      </c>
      <c r="R141" s="349">
        <f>R135*24*LOOKUP(R$2,'HDD-by Country'!$A$4:$A$40,'HDD-by Country'!$C$4:$C$40)/1000/R$3</f>
        <v>1929.8120062695411</v>
      </c>
      <c r="S141" s="349">
        <f>S135*24*LOOKUP(S$2,'HDD-by Country'!$A$4:$A$40,'HDD-by Country'!$C$4:$C$40)/1000/S$3</f>
        <v>1606.820834698648</v>
      </c>
      <c r="T141" s="349">
        <f>T135*24*LOOKUP(T$2,'HDD-by Country'!$A$4:$A$40,'HDD-by Country'!$C$4:$C$40)/1000/T$3</f>
        <v>2549.5002598250471</v>
      </c>
      <c r="U141" s="349">
        <f>U135*24*LOOKUP(U$2,'HDD-by Country'!$A$4:$A$40,'HDD-by Country'!$C$4:$C$40)/1000/U$3</f>
        <v>2549.6930771352913</v>
      </c>
      <c r="V141" s="349">
        <f>V135*24*LOOKUP(V$2,'HDD-by Country'!$A$4:$A$40,'HDD-by Country'!$C$4:$C$40)/1000/V$3</f>
        <v>2696.1971745933279</v>
      </c>
      <c r="W141" s="349">
        <f>W135*24*LOOKUP(W$2,'HDD-by Country'!$A$4:$A$40,'HDD-by Country'!$C$4:$C$40)/1000/W$3</f>
        <v>3486.5552171698973</v>
      </c>
      <c r="X141" s="349">
        <f>X135*24*LOOKUP(X$2,'HDD-by Country'!$A$4:$A$40,'HDD-by Country'!$C$4:$C$40)/1000/X$3</f>
        <v>2745.5147872068387</v>
      </c>
      <c r="Y141" s="349">
        <f>Y135*24*LOOKUP(Y$2,'HDD-by Country'!$A$4:$A$40,'HDD-by Country'!$C$4:$C$40)/1000/Y$3</f>
        <v>912.84200377597972</v>
      </c>
      <c r="Z141" s="349">
        <f>Z135*24*LOOKUP(Z$2,'HDD-by Country'!$A$4:$A$40,'HDD-by Country'!$C$4:$C$40)/1000/Z$3</f>
        <v>2769.7011841156559</v>
      </c>
      <c r="AA141" s="349">
        <f>AA135*24*LOOKUP(AA$2,'HDD-by Country'!$A$4:$A$40,'HDD-by Country'!$C$4:$C$40)/1000/AA$3</f>
        <v>2781.2202236671687</v>
      </c>
      <c r="AB141" s="349">
        <f>AB135*24*LOOKUP(AB$2,'HDD-by Country'!$A$4:$A$40,'HDD-by Country'!$C$4:$C$40)/1000/AB$3</f>
        <v>2332.6971845300163</v>
      </c>
      <c r="AC141" s="349">
        <f>AC135*24*LOOKUP(AC$2,'HDD-by Country'!$A$4:$A$40,'HDD-by Country'!$C$4:$C$40)/1000/AC$3</f>
        <v>1844.7937216453422</v>
      </c>
      <c r="AD141" s="349">
        <f>AD135*24*LOOKUP(AD$2,'HDD-by Country'!$A$4:$A$40,'HDD-by Country'!$C$4:$C$40)/1000/AD$3</f>
        <v>1759.2866396346067</v>
      </c>
      <c r="AE141" s="349">
        <f>AE135*24*LOOKUP(AE$2,'HDD-by Country'!$A$4:$A$40,'HDD-by Country'!$C$4:$C$40)/1000/AE$3</f>
        <v>2681.7150013538912</v>
      </c>
      <c r="AF141" s="349">
        <f>AF135*24*LOOKUP(AF$2,'HDD-by Country'!$A$4:$A$40,'HDD-by Country'!$C$4:$C$40)/1000/AF$3</f>
        <v>2168.0865743123841</v>
      </c>
      <c r="AG141" s="349">
        <f>AG135*24*LOOKUP(AG$2,'HDD-by Country'!$A$4:$A$40,'HDD-by Country'!$C$4:$C$40)/1000/AG$3</f>
        <v>3152.39166635116</v>
      </c>
      <c r="AH141" s="349">
        <f>AH135*24*LOOKUP(AH$2,'HDD-by Country'!$A$4:$A$40,'HDD-by Country'!$C$4:$C$40)/1000/AH$3</f>
        <v>1335.8154084819844</v>
      </c>
      <c r="AI141" s="349">
        <f>AI135*24*LOOKUP(AI$2,'HDD-by Country'!$A$4:$A$40,'HDD-by Country'!$C$4:$C$40)/1000/AI$3</f>
        <v>2427.6128787765965</v>
      </c>
      <c r="AJ141" s="349">
        <f>AJ135*24*LOOKUP(AJ$2,'HDD-by Country'!$A$4:$A$40,'HDD-by Country'!$C$4:$C$40)/1000/AJ$3</f>
        <v>2268.1478723541791</v>
      </c>
      <c r="AK141" s="349">
        <f>AK135*24*LOOKUP(AK$2,'HDD-by Country'!$A$4:$A$40,'HDD-by Country'!$C$4:$C$40)/1000/AK$3</f>
        <v>2199.1076186470918</v>
      </c>
      <c r="AL141" s="349">
        <f>AL135*24*LOOKUP(AL$2,'HDD-by Country'!$A$4:$A$40,'HDD-by Country'!$C$4:$C$40)/1000/AL$3</f>
        <v>2178.9178419181358</v>
      </c>
      <c r="AM141" s="349">
        <f>AM135*24*LOOKUP(AM$2,'HDD-by Country'!$A$4:$A$40,'HDD-by Country'!$C$4:$C$40)/1000/AM$3</f>
        <v>2085.7335157480074</v>
      </c>
      <c r="AN141" s="354">
        <f>AN135*24*LOOKUP(AN$2,'HDD-by Country'!$A$4:$A$40,'HDD-by Country'!$C$4:$C$40)/1000/AN$3</f>
        <v>2085.7335157480074</v>
      </c>
    </row>
    <row r="142" spans="1:40">
      <c r="A142" s="129"/>
      <c r="B142" s="142" t="s">
        <v>4</v>
      </c>
      <c r="C142" s="129" t="s">
        <v>261</v>
      </c>
      <c r="D142" s="345">
        <f>D136*24*LOOKUP(D$2,'HDD-by Country'!$A$4:$A$40,'HDD-by Country'!$C$4:$C$40)/1000/D$3</f>
        <v>2965.5367016988534</v>
      </c>
      <c r="E142" s="349">
        <f>E136*24*LOOKUP(E$2,'HDD-by Country'!$A$4:$A$40,'HDD-by Country'!$C$4:$C$40)/1000/E$3</f>
        <v>2579.1924614079771</v>
      </c>
      <c r="F142" s="349">
        <f>F136*24*LOOKUP(F$2,'HDD-by Country'!$A$4:$A$40,'HDD-by Country'!$C$4:$C$40)/1000/F$3</f>
        <v>1788.0296141363774</v>
      </c>
      <c r="G142" s="349">
        <f>G136*24*LOOKUP(G$2,'HDD-by Country'!$A$4:$A$40,'HDD-by Country'!$C$4:$C$40)/1000/G$3</f>
        <v>2889.1994390921677</v>
      </c>
      <c r="H142" s="349">
        <f>H136*24*LOOKUP(H$2,'HDD-by Country'!$A$4:$A$40,'HDD-by Country'!$C$4:$C$40)/1000/H$3</f>
        <v>1111.7972786216051</v>
      </c>
      <c r="I142" s="349">
        <f>I136*24*LOOKUP(I$2,'HDD-by Country'!$A$4:$A$40,'HDD-by Country'!$C$4:$C$40)/1000/I$3</f>
        <v>2519.8883853082611</v>
      </c>
      <c r="J142" s="349">
        <f>J136*24*LOOKUP(J$2,'HDD-by Country'!$A$4:$A$40,'HDD-by Country'!$C$4:$C$40)/1000/J$3</f>
        <v>2275.1014044706308</v>
      </c>
      <c r="K142" s="349">
        <f>K136*24*LOOKUP(K$2,'HDD-by Country'!$A$4:$A$40,'HDD-by Country'!$C$4:$C$40)/1000/K$3</f>
        <v>1712.6769002677797</v>
      </c>
      <c r="L142" s="349">
        <f>L136*24*LOOKUP(L$2,'HDD-by Country'!$A$4:$A$40,'HDD-by Country'!$C$4:$C$40)/1000/L$3</f>
        <v>1756.0207517203223</v>
      </c>
      <c r="M142" s="349">
        <f>M136*24*LOOKUP(M$2,'HDD-by Country'!$A$4:$A$40,'HDD-by Country'!$C$4:$C$40)/1000/M$3</f>
        <v>3427.1432754882467</v>
      </c>
      <c r="N142" s="349">
        <f>N136*24*LOOKUP(N$2,'HDD-by Country'!$A$4:$A$40,'HDD-by Country'!$C$4:$C$40)/1000/N$3</f>
        <v>2094.1109670460369</v>
      </c>
      <c r="O142" s="349">
        <f>O136*24*LOOKUP(O$2,'HDD-by Country'!$A$4:$A$40,'HDD-by Country'!$C$4:$C$40)/1000/O$3</f>
        <v>1867.7911666606105</v>
      </c>
      <c r="P142" s="349">
        <f>P136*24*LOOKUP(P$2,'HDD-by Country'!$A$4:$A$40,'HDD-by Country'!$C$4:$C$40)/1000/P$3</f>
        <v>3111.8558617500998</v>
      </c>
      <c r="Q142" s="349">
        <f>Q136*24*LOOKUP(Q$2,'HDD-by Country'!$A$4:$A$40,'HDD-by Country'!$C$4:$C$40)/1000/Q$3</f>
        <v>1985.2518581624026</v>
      </c>
      <c r="R142" s="349">
        <f>R136*24*LOOKUP(R$2,'HDD-by Country'!$A$4:$A$40,'HDD-by Country'!$C$4:$C$40)/1000/R$3</f>
        <v>1879.4441873055198</v>
      </c>
      <c r="S142" s="349">
        <f>S136*24*LOOKUP(S$2,'HDD-by Country'!$A$4:$A$40,'HDD-by Country'!$C$4:$C$40)/1000/S$3</f>
        <v>1591.607889161899</v>
      </c>
      <c r="T142" s="349">
        <f>T136*24*LOOKUP(T$2,'HDD-by Country'!$A$4:$A$40,'HDD-by Country'!$C$4:$C$40)/1000/T$3</f>
        <v>2261.3444578501667</v>
      </c>
      <c r="U142" s="349">
        <f>U136*24*LOOKUP(U$2,'HDD-by Country'!$A$4:$A$40,'HDD-by Country'!$C$4:$C$40)/1000/U$3</f>
        <v>2387.5997821794604</v>
      </c>
      <c r="V142" s="349">
        <f>V136*24*LOOKUP(V$2,'HDD-by Country'!$A$4:$A$40,'HDD-by Country'!$C$4:$C$40)/1000/V$3</f>
        <v>2110.9236305412119</v>
      </c>
      <c r="W142" s="349">
        <f>W136*24*LOOKUP(W$2,'HDD-by Country'!$A$4:$A$40,'HDD-by Country'!$C$4:$C$40)/1000/W$3</f>
        <v>2327.8744597079049</v>
      </c>
      <c r="X142" s="349">
        <f>X136*24*LOOKUP(X$2,'HDD-by Country'!$A$4:$A$40,'HDD-by Country'!$C$4:$C$40)/1000/X$3</f>
        <v>2696.9293761466652</v>
      </c>
      <c r="Y142" s="349">
        <f>Y136*24*LOOKUP(Y$2,'HDD-by Country'!$A$4:$A$40,'HDD-by Country'!$C$4:$C$40)/1000/Y$3</f>
        <v>892.52777300610376</v>
      </c>
      <c r="Z142" s="349">
        <f>Z136*24*LOOKUP(Z$2,'HDD-by Country'!$A$4:$A$40,'HDD-by Country'!$C$4:$C$40)/1000/Z$3</f>
        <v>2568.6644754777358</v>
      </c>
      <c r="AA142" s="349">
        <f>AA136*24*LOOKUP(AA$2,'HDD-by Country'!$A$4:$A$40,'HDD-by Country'!$C$4:$C$40)/1000/AA$3</f>
        <v>2181.0601906424536</v>
      </c>
      <c r="AB142" s="349">
        <f>AB136*24*LOOKUP(AB$2,'HDD-by Country'!$A$4:$A$40,'HDD-by Country'!$C$4:$C$40)/1000/AB$3</f>
        <v>1983.3076861485665</v>
      </c>
      <c r="AC142" s="349">
        <f>AC136*24*LOOKUP(AC$2,'HDD-by Country'!$A$4:$A$40,'HDD-by Country'!$C$4:$C$40)/1000/AC$3</f>
        <v>1844.1183630814357</v>
      </c>
      <c r="AD142" s="349">
        <f>AD136*24*LOOKUP(AD$2,'HDD-by Country'!$A$4:$A$40,'HDD-by Country'!$C$4:$C$40)/1000/AD$3</f>
        <v>1759.2866396346067</v>
      </c>
      <c r="AE142" s="349">
        <f>AE136*24*LOOKUP(AE$2,'HDD-by Country'!$A$4:$A$40,'HDD-by Country'!$C$4:$C$40)/1000/AE$3</f>
        <v>2103.0272188908107</v>
      </c>
      <c r="AF142" s="349">
        <f>AF136*24*LOOKUP(AF$2,'HDD-by Country'!$A$4:$A$40,'HDD-by Country'!$C$4:$C$40)/1000/AF$3</f>
        <v>2047.682239048175</v>
      </c>
      <c r="AG142" s="349">
        <f>AG136*24*LOOKUP(AG$2,'HDD-by Country'!$A$4:$A$40,'HDD-by Country'!$C$4:$C$40)/1000/AG$3</f>
        <v>3152.39166635116</v>
      </c>
      <c r="AH142" s="349">
        <f>AH136*24*LOOKUP(AH$2,'HDD-by Country'!$A$4:$A$40,'HDD-by Country'!$C$4:$C$40)/1000/AH$3</f>
        <v>1302.4480608580875</v>
      </c>
      <c r="AI142" s="349">
        <f>AI136*24*LOOKUP(AI$2,'HDD-by Country'!$A$4:$A$40,'HDD-by Country'!$C$4:$C$40)/1000/AI$3</f>
        <v>2427.6128787765965</v>
      </c>
      <c r="AJ142" s="349">
        <f>AJ136*24*LOOKUP(AJ$2,'HDD-by Country'!$A$4:$A$40,'HDD-by Country'!$C$4:$C$40)/1000/AJ$3</f>
        <v>2268.1478723541791</v>
      </c>
      <c r="AK142" s="349">
        <f>AK136*24*LOOKUP(AK$2,'HDD-by Country'!$A$4:$A$40,'HDD-by Country'!$C$4:$C$40)/1000/AK$3</f>
        <v>2199.1076186470918</v>
      </c>
      <c r="AL142" s="349">
        <f>AL136*24*LOOKUP(AL$2,'HDD-by Country'!$A$4:$A$40,'HDD-by Country'!$C$4:$C$40)/1000/AL$3</f>
        <v>2104.1189116183873</v>
      </c>
      <c r="AM142" s="349">
        <f>AM136*24*LOOKUP(AM$2,'HDD-by Country'!$A$4:$A$40,'HDD-by Country'!$C$4:$C$40)/1000/AM$3</f>
        <v>2085.7335157480074</v>
      </c>
      <c r="AN142" s="354">
        <f>AN136*24*LOOKUP(AN$2,'HDD-by Country'!$A$4:$A$40,'HDD-by Country'!$C$4:$C$40)/1000/AN$3</f>
        <v>2085.7335157480074</v>
      </c>
    </row>
    <row r="143" spans="1:40">
      <c r="A143" s="129"/>
      <c r="B143" s="142" t="s">
        <v>5</v>
      </c>
      <c r="C143" s="129" t="s">
        <v>261</v>
      </c>
      <c r="D143" s="345">
        <f>D137*24*LOOKUP(D$2,'HDD-by Country'!$A$4:$A$40,'HDD-by Country'!$C$4:$C$40)/1000/D$3</f>
        <v>2294.677038817299</v>
      </c>
      <c r="E143" s="349">
        <f>E137*24*LOOKUP(E$2,'HDD-by Country'!$A$4:$A$40,'HDD-by Country'!$C$4:$C$40)/1000/E$3</f>
        <v>2436.4457837828795</v>
      </c>
      <c r="F143" s="349">
        <f>F137*24*LOOKUP(F$2,'HDD-by Country'!$A$4:$A$40,'HDD-by Country'!$C$4:$C$40)/1000/F$3</f>
        <v>1556.1309198815325</v>
      </c>
      <c r="G143" s="349">
        <f>G137*24*LOOKUP(G$2,'HDD-by Country'!$A$4:$A$40,'HDD-by Country'!$C$4:$C$40)/1000/G$3</f>
        <v>2235.6086875103069</v>
      </c>
      <c r="H143" s="349">
        <f>H137*24*LOOKUP(H$2,'HDD-by Country'!$A$4:$A$40,'HDD-by Country'!$C$4:$C$40)/1000/H$3</f>
        <v>1029.5934386216052</v>
      </c>
      <c r="I143" s="349">
        <f>I137*24*LOOKUP(I$2,'HDD-by Country'!$A$4:$A$40,'HDD-by Country'!$C$4:$C$40)/1000/I$3</f>
        <v>2300.5994697477522</v>
      </c>
      <c r="J143" s="349">
        <f>J137*24*LOOKUP(J$2,'HDD-by Country'!$A$4:$A$40,'HDD-by Country'!$C$4:$C$40)/1000/J$3</f>
        <v>1893.3740887589508</v>
      </c>
      <c r="K143" s="349">
        <f>K137*24*LOOKUP(K$2,'HDD-by Country'!$A$4:$A$40,'HDD-by Country'!$C$4:$C$40)/1000/K$3</f>
        <v>1507.8966394691699</v>
      </c>
      <c r="L143" s="349">
        <f>L137*24*LOOKUP(L$2,'HDD-by Country'!$A$4:$A$40,'HDD-by Country'!$C$4:$C$40)/1000/L$3</f>
        <v>1546.0237013733315</v>
      </c>
      <c r="M143" s="349">
        <f>M137*24*LOOKUP(M$2,'HDD-by Country'!$A$4:$A$40,'HDD-by Country'!$C$4:$C$40)/1000/M$3</f>
        <v>2098.7699820640337</v>
      </c>
      <c r="N143" s="349">
        <f>N137*24*LOOKUP(N$2,'HDD-by Country'!$A$4:$A$40,'HDD-by Country'!$C$4:$C$40)/1000/N$3</f>
        <v>1882.2299964982674</v>
      </c>
      <c r="O143" s="349">
        <f>O137*24*LOOKUP(O$2,'HDD-by Country'!$A$4:$A$40,'HDD-by Country'!$C$4:$C$40)/1000/O$3</f>
        <v>1713.6858493916466</v>
      </c>
      <c r="P143" s="349">
        <f>P137*24*LOOKUP(P$2,'HDD-by Country'!$A$4:$A$40,'HDD-by Country'!$C$4:$C$40)/1000/P$3</f>
        <v>2878.7697817501003</v>
      </c>
      <c r="Q143" s="349">
        <f>Q137*24*LOOKUP(Q$2,'HDD-by Country'!$A$4:$A$40,'HDD-by Country'!$C$4:$C$40)/1000/Q$3</f>
        <v>1985.2518581624026</v>
      </c>
      <c r="R143" s="349">
        <f>R137*24*LOOKUP(R$2,'HDD-by Country'!$A$4:$A$40,'HDD-by Country'!$C$4:$C$40)/1000/R$3</f>
        <v>1647.8646529657228</v>
      </c>
      <c r="S143" s="349">
        <f>S137*24*LOOKUP(S$2,'HDD-by Country'!$A$4:$A$40,'HDD-by Country'!$C$4:$C$40)/1000/S$3</f>
        <v>1309.8765436541471</v>
      </c>
      <c r="T143" s="349">
        <f>T137*24*LOOKUP(T$2,'HDD-by Country'!$A$4:$A$40,'HDD-by Country'!$C$4:$C$40)/1000/T$3</f>
        <v>1998.0525676725399</v>
      </c>
      <c r="U143" s="349">
        <f>U137*24*LOOKUP(U$2,'HDD-by Country'!$A$4:$A$40,'HDD-by Country'!$C$4:$C$40)/1000/U$3</f>
        <v>2276.6654555995879</v>
      </c>
      <c r="V143" s="349">
        <f>V137*24*LOOKUP(V$2,'HDD-by Country'!$A$4:$A$40,'HDD-by Country'!$C$4:$C$40)/1000/V$3</f>
        <v>2110.9236305412119</v>
      </c>
      <c r="W143" s="349">
        <f>W137*24*LOOKUP(W$2,'HDD-by Country'!$A$4:$A$40,'HDD-by Country'!$C$4:$C$40)/1000/W$3</f>
        <v>2245.8662267259274</v>
      </c>
      <c r="X143" s="349">
        <f>X137*24*LOOKUP(X$2,'HDD-by Country'!$A$4:$A$40,'HDD-by Country'!$C$4:$C$40)/1000/X$3</f>
        <v>1928.8961702869176</v>
      </c>
      <c r="Y143" s="349">
        <f>Y137*24*LOOKUP(Y$2,'HDD-by Country'!$A$4:$A$40,'HDD-by Country'!$C$4:$C$40)/1000/Y$3</f>
        <v>721.10436577410371</v>
      </c>
      <c r="Z143" s="349">
        <f>Z137*24*LOOKUP(Z$2,'HDD-by Country'!$A$4:$A$40,'HDD-by Country'!$C$4:$C$40)/1000/Z$3</f>
        <v>2216.417226121308</v>
      </c>
      <c r="AA143" s="349">
        <f>AA137*24*LOOKUP(AA$2,'HDD-by Country'!$A$4:$A$40,'HDD-by Country'!$C$4:$C$40)/1000/AA$3</f>
        <v>2181.0601906424536</v>
      </c>
      <c r="AB143" s="349">
        <f>AB137*24*LOOKUP(AB$2,'HDD-by Country'!$A$4:$A$40,'HDD-by Country'!$C$4:$C$40)/1000/AB$3</f>
        <v>1983.3076861485665</v>
      </c>
      <c r="AC143" s="349">
        <f>AC137*24*LOOKUP(AC$2,'HDD-by Country'!$A$4:$A$40,'HDD-by Country'!$C$4:$C$40)/1000/AC$3</f>
        <v>1834.0411508013785</v>
      </c>
      <c r="AD143" s="349">
        <f>AD137*24*LOOKUP(AD$2,'HDD-by Country'!$A$4:$A$40,'HDD-by Country'!$C$4:$C$40)/1000/AD$3</f>
        <v>1620.1279623822209</v>
      </c>
      <c r="AE143" s="349">
        <f>AE137*24*LOOKUP(AE$2,'HDD-by Country'!$A$4:$A$40,'HDD-by Country'!$C$4:$C$40)/1000/AE$3</f>
        <v>2103.0272188908107</v>
      </c>
      <c r="AF143" s="349">
        <f>AF137*24*LOOKUP(AF$2,'HDD-by Country'!$A$4:$A$40,'HDD-by Country'!$C$4:$C$40)/1000/AF$3</f>
        <v>1869.2946478233011</v>
      </c>
      <c r="AG143" s="349">
        <f>AG137*24*LOOKUP(AG$2,'HDD-by Country'!$A$4:$A$40,'HDD-by Country'!$C$4:$C$40)/1000/AG$3</f>
        <v>3078.4966876836829</v>
      </c>
      <c r="AH143" s="349">
        <f>AH137*24*LOOKUP(AH$2,'HDD-by Country'!$A$4:$A$40,'HDD-by Country'!$C$4:$C$40)/1000/AH$3</f>
        <v>1060.3627856734633</v>
      </c>
      <c r="AI143" s="349">
        <f>AI137*24*LOOKUP(AI$2,'HDD-by Country'!$A$4:$A$40,'HDD-by Country'!$C$4:$C$40)/1000/AI$3</f>
        <v>2252.7983187765967</v>
      </c>
      <c r="AJ143" s="349">
        <f>AJ137*24*LOOKUP(AJ$2,'HDD-by Country'!$A$4:$A$40,'HDD-by Country'!$C$4:$C$40)/1000/AJ$3</f>
        <v>2184.0816479577675</v>
      </c>
      <c r="AK143" s="349">
        <f>AK137*24*LOOKUP(AK$2,'HDD-by Country'!$A$4:$A$40,'HDD-by Country'!$C$4:$C$40)/1000/AK$3</f>
        <v>2116.4255613231276</v>
      </c>
      <c r="AL143" s="349">
        <f>AL137*24*LOOKUP(AL$2,'HDD-by Country'!$A$4:$A$40,'HDD-by Country'!$C$4:$C$40)/1000/AL$3</f>
        <v>1858.98811702783</v>
      </c>
      <c r="AM143" s="349">
        <f>AM137*24*LOOKUP(AM$2,'HDD-by Country'!$A$4:$A$40,'HDD-by Country'!$C$4:$C$40)/1000/AM$3</f>
        <v>2008.4282642239978</v>
      </c>
      <c r="AN143" s="354">
        <f>AN137*24*LOOKUP(AN$2,'HDD-by Country'!$A$4:$A$40,'HDD-by Country'!$C$4:$C$40)/1000/AN$3</f>
        <v>2008.4282642239978</v>
      </c>
    </row>
    <row r="144" spans="1:40">
      <c r="A144" s="129"/>
      <c r="B144" s="142" t="s">
        <v>6</v>
      </c>
      <c r="C144" s="129" t="s">
        <v>261</v>
      </c>
      <c r="D144" s="345">
        <f>D138*24*LOOKUP(D$2,'HDD-by Country'!$A$4:$A$40,'HDD-by Country'!$C$4:$C$40)/1000/D$3</f>
        <v>2078.4153672339844</v>
      </c>
      <c r="E144" s="349">
        <f>E138*24*LOOKUP(E$2,'HDD-by Country'!$A$4:$A$40,'HDD-by Country'!$C$4:$C$40)/1000/E$3</f>
        <v>2436.4457837828795</v>
      </c>
      <c r="F144" s="349">
        <f>F138*24*LOOKUP(F$2,'HDD-by Country'!$A$4:$A$40,'HDD-by Country'!$C$4:$C$40)/1000/F$3</f>
        <v>1368.6201617099746</v>
      </c>
      <c r="G144" s="349">
        <f>G138*24*LOOKUP(G$2,'HDD-by Country'!$A$4:$A$40,'HDD-by Country'!$C$4:$C$40)/1000/G$3</f>
        <v>2024.9139084243798</v>
      </c>
      <c r="H144" s="349">
        <f>H138*24*LOOKUP(H$2,'HDD-by Country'!$A$4:$A$40,'HDD-by Country'!$C$4:$C$40)/1000/H$3</f>
        <v>1029.5934386216052</v>
      </c>
      <c r="I144" s="349">
        <f>I138*24*LOOKUP(I$2,'HDD-by Country'!$A$4:$A$40,'HDD-by Country'!$C$4:$C$40)/1000/I$3</f>
        <v>1935.1921481446029</v>
      </c>
      <c r="J144" s="349">
        <f>J138*24*LOOKUP(J$2,'HDD-by Country'!$A$4:$A$40,'HDD-by Country'!$C$4:$C$40)/1000/J$3</f>
        <v>1375.6263752707412</v>
      </c>
      <c r="K144" s="349">
        <f>K138*24*LOOKUP(K$2,'HDD-by Country'!$A$4:$A$40,'HDD-by Country'!$C$4:$C$40)/1000/K$3</f>
        <v>1507.8966394691699</v>
      </c>
      <c r="L144" s="349">
        <f>L138*24*LOOKUP(L$2,'HDD-by Country'!$A$4:$A$40,'HDD-by Country'!$C$4:$C$40)/1000/L$3</f>
        <v>1409.3861015206724</v>
      </c>
      <c r="M144" s="349">
        <f>M138*24*LOOKUP(M$2,'HDD-by Country'!$A$4:$A$40,'HDD-by Country'!$C$4:$C$40)/1000/M$3</f>
        <v>2098.7699820640337</v>
      </c>
      <c r="N144" s="349">
        <f>N138*24*LOOKUP(N$2,'HDD-by Country'!$A$4:$A$40,'HDD-by Country'!$C$4:$C$40)/1000/N$3</f>
        <v>1861.5420518683306</v>
      </c>
      <c r="O144" s="349">
        <f>O138*24*LOOKUP(O$2,'HDD-by Country'!$A$4:$A$40,'HDD-by Country'!$C$4:$C$40)/1000/O$3</f>
        <v>1235.9928966623208</v>
      </c>
      <c r="P144" s="349">
        <f>P138*24*LOOKUP(P$2,'HDD-by Country'!$A$4:$A$40,'HDD-by Country'!$C$4:$C$40)/1000/P$3</f>
        <v>2878.7697817501003</v>
      </c>
      <c r="Q144" s="349">
        <f>Q138*24*LOOKUP(Q$2,'HDD-by Country'!$A$4:$A$40,'HDD-by Country'!$C$4:$C$40)/1000/Q$3</f>
        <v>1688.5735848264892</v>
      </c>
      <c r="R144" s="349">
        <f>R138*24*LOOKUP(R$2,'HDD-by Country'!$A$4:$A$40,'HDD-by Country'!$C$4:$C$40)/1000/R$3</f>
        <v>1647.8646529657228</v>
      </c>
      <c r="S144" s="349">
        <f>S138*24*LOOKUP(S$2,'HDD-by Country'!$A$4:$A$40,'HDD-by Country'!$C$4:$C$40)/1000/S$3</f>
        <v>1254.1921106671059</v>
      </c>
      <c r="T144" s="349">
        <f>T138*24*LOOKUP(T$2,'HDD-by Country'!$A$4:$A$40,'HDD-by Country'!$C$4:$C$40)/1000/T$3</f>
        <v>1976.3581107075097</v>
      </c>
      <c r="U144" s="349">
        <f>U138*24*LOOKUP(U$2,'HDD-by Country'!$A$4:$A$40,'HDD-by Country'!$C$4:$C$40)/1000/U$3</f>
        <v>2230.6713879012214</v>
      </c>
      <c r="V144" s="349">
        <f>V138*24*LOOKUP(V$2,'HDD-by Country'!$A$4:$A$40,'HDD-by Country'!$C$4:$C$40)/1000/V$3</f>
        <v>2110.9236305412119</v>
      </c>
      <c r="W144" s="349">
        <f>W138*24*LOOKUP(W$2,'HDD-by Country'!$A$4:$A$40,'HDD-by Country'!$C$4:$C$40)/1000/W$3</f>
        <v>2072.1485681852218</v>
      </c>
      <c r="X144" s="349">
        <f>X138*24*LOOKUP(X$2,'HDD-by Country'!$A$4:$A$40,'HDD-by Country'!$C$4:$C$40)/1000/X$3</f>
        <v>1923.7792052717512</v>
      </c>
      <c r="Y144" s="349">
        <f>Y138*24*LOOKUP(Y$2,'HDD-by Country'!$A$4:$A$40,'HDD-by Country'!$C$4:$C$40)/1000/Y$3</f>
        <v>720.61231860387863</v>
      </c>
      <c r="Z144" s="349">
        <f>Z138*24*LOOKUP(Z$2,'HDD-by Country'!$A$4:$A$40,'HDD-by Country'!$C$4:$C$40)/1000/Z$3</f>
        <v>2088.6565640415329</v>
      </c>
      <c r="AA144" s="349">
        <f>AA138*24*LOOKUP(AA$2,'HDD-by Country'!$A$4:$A$40,'HDD-by Country'!$C$4:$C$40)/1000/AA$3</f>
        <v>1944.7753369943998</v>
      </c>
      <c r="AB144" s="349">
        <f>AB138*24*LOOKUP(AB$2,'HDD-by Country'!$A$4:$A$40,'HDD-by Country'!$C$4:$C$40)/1000/AB$3</f>
        <v>1983.3076861485665</v>
      </c>
      <c r="AC144" s="349">
        <f>AC138*24*LOOKUP(AC$2,'HDD-by Country'!$A$4:$A$40,'HDD-by Country'!$C$4:$C$40)/1000/AC$3</f>
        <v>1765.5531254186812</v>
      </c>
      <c r="AD144" s="349">
        <f>AD138*24*LOOKUP(AD$2,'HDD-by Country'!$A$4:$A$40,'HDD-by Country'!$C$4:$C$40)/1000/AD$3</f>
        <v>1620.1279623822209</v>
      </c>
      <c r="AE144" s="349">
        <f>AE138*24*LOOKUP(AE$2,'HDD-by Country'!$A$4:$A$40,'HDD-by Country'!$C$4:$C$40)/1000/AE$3</f>
        <v>1875.19605642889</v>
      </c>
      <c r="AF144" s="349">
        <f>AF138*24*LOOKUP(AF$2,'HDD-by Country'!$A$4:$A$40,'HDD-by Country'!$C$4:$C$40)/1000/AF$3</f>
        <v>1552.8773438704209</v>
      </c>
      <c r="AG144" s="349">
        <f>AG138*24*LOOKUP(AG$2,'HDD-by Country'!$A$4:$A$40,'HDD-by Country'!$C$4:$C$40)/1000/AG$3</f>
        <v>2871.8196787069846</v>
      </c>
      <c r="AH144" s="349">
        <f>AH138*24*LOOKUP(AH$2,'HDD-by Country'!$A$4:$A$40,'HDD-by Country'!$C$4:$C$40)/1000/AH$3</f>
        <v>988.44893154569013</v>
      </c>
      <c r="AI144" s="349">
        <f>AI138*24*LOOKUP(AI$2,'HDD-by Country'!$A$4:$A$40,'HDD-by Country'!$C$4:$C$40)/1000/AI$3</f>
        <v>2252.7983187765967</v>
      </c>
      <c r="AJ144" s="349">
        <f>AJ138*24*LOOKUP(AJ$2,'HDD-by Country'!$A$4:$A$40,'HDD-by Country'!$C$4:$C$40)/1000/AJ$3</f>
        <v>2151.0473864736091</v>
      </c>
      <c r="AK144" s="349">
        <f>AK138*24*LOOKUP(AK$2,'HDD-by Country'!$A$4:$A$40,'HDD-by Country'!$C$4:$C$40)/1000/AK$3</f>
        <v>2084.235763796737</v>
      </c>
      <c r="AL144" s="349">
        <f>AL138*24*LOOKUP(AL$2,'HDD-by Country'!$A$4:$A$40,'HDD-by Country'!$C$4:$C$40)/1000/AL$3</f>
        <v>1653.0360437404295</v>
      </c>
      <c r="AM144" s="349">
        <f>AM138*24*LOOKUP(AM$2,'HDD-by Country'!$A$4:$A$40,'HDD-by Country'!$C$4:$C$40)/1000/AM$3</f>
        <v>1978.050762304787</v>
      </c>
      <c r="AN144" s="354">
        <f>AN138*24*LOOKUP(AN$2,'HDD-by Country'!$A$4:$A$40,'HDD-by Country'!$C$4:$C$40)/1000/AN$3</f>
        <v>1978.050762304787</v>
      </c>
    </row>
    <row r="145" spans="1:40">
      <c r="A145" s="130"/>
      <c r="B145" s="142" t="s">
        <v>7</v>
      </c>
      <c r="C145" s="129" t="s">
        <v>261</v>
      </c>
      <c r="D145" s="345">
        <f>D139*24*LOOKUP(D$2,'HDD-by Country'!$A$4:$A$40,'HDD-by Country'!$C$4:$C$40)/1000/D$3</f>
        <v>1916.206572538126</v>
      </c>
      <c r="E145" s="349">
        <f>E139*24*LOOKUP(E$2,'HDD-by Country'!$A$4:$A$40,'HDD-by Country'!$C$4:$C$40)/1000/E$3</f>
        <v>1951.8427795281418</v>
      </c>
      <c r="F145" s="349">
        <f>F139*24*LOOKUP(F$2,'HDD-by Country'!$A$4:$A$40,'HDD-by Country'!$C$4:$C$40)/1000/F$3</f>
        <v>1197.4710522047199</v>
      </c>
      <c r="G145" s="349">
        <f>G139*24*LOOKUP(G$2,'HDD-by Country'!$A$4:$A$40,'HDD-by Country'!$C$4:$C$40)/1000/G$3</f>
        <v>1866.8806059255051</v>
      </c>
      <c r="H145" s="349">
        <f>H139*24*LOOKUP(H$2,'HDD-by Country'!$A$4:$A$40,'HDD-by Country'!$C$4:$C$40)/1000/H$3</f>
        <v>613.98705884000515</v>
      </c>
      <c r="I145" s="349">
        <f>I139*24*LOOKUP(I$2,'HDD-by Country'!$A$4:$A$40,'HDD-by Country'!$C$4:$C$40)/1000/I$3</f>
        <v>1699.0521260742164</v>
      </c>
      <c r="J145" s="349">
        <f>J139*24*LOOKUP(J$2,'HDD-by Country'!$A$4:$A$40,'HDD-by Country'!$C$4:$C$40)/1000/J$3</f>
        <v>1468.1756246977252</v>
      </c>
      <c r="K145" s="349">
        <f>K139*24*LOOKUP(K$2,'HDD-by Country'!$A$4:$A$40,'HDD-by Country'!$C$4:$C$40)/1000/K$3</f>
        <v>1239.3376076089878</v>
      </c>
      <c r="L145" s="349">
        <f>L139*24*LOOKUP(L$2,'HDD-by Country'!$A$4:$A$40,'HDD-by Country'!$C$4:$C$40)/1000/L$3</f>
        <v>1409.3861015206724</v>
      </c>
      <c r="M145" s="349">
        <f>M139*24*LOOKUP(M$2,'HDD-by Country'!$A$4:$A$40,'HDD-by Country'!$C$4:$C$40)/1000/M$3</f>
        <v>1811.259371305722</v>
      </c>
      <c r="N145" s="349">
        <f>N139*24*LOOKUP(N$2,'HDD-by Country'!$A$4:$A$40,'HDD-by Country'!$C$4:$C$40)/1000/N$3</f>
        <v>1763.3890356471063</v>
      </c>
      <c r="O145" s="349">
        <f>O139*24*LOOKUP(O$2,'HDD-by Country'!$A$4:$A$40,'HDD-by Country'!$C$4:$C$40)/1000/O$3</f>
        <v>1214.3026140792037</v>
      </c>
      <c r="P145" s="349">
        <f>P139*24*LOOKUP(P$2,'HDD-by Country'!$A$4:$A$40,'HDD-by Country'!$C$4:$C$40)/1000/P$3</f>
        <v>1383.6345875858128</v>
      </c>
      <c r="Q145" s="349">
        <f>Q139*24*LOOKUP(Q$2,'HDD-by Country'!$A$4:$A$40,'HDD-by Country'!$C$4:$C$40)/1000/Q$3</f>
        <v>1370.7362033577779</v>
      </c>
      <c r="R145" s="349">
        <f>R139*24*LOOKUP(R$2,'HDD-by Country'!$A$4:$A$40,'HDD-by Country'!$C$4:$C$40)/1000/R$3</f>
        <v>1301.0172994988479</v>
      </c>
      <c r="S145" s="349">
        <f>S139*24*LOOKUP(S$2,'HDD-by Country'!$A$4:$A$40,'HDD-by Country'!$C$4:$C$40)/1000/S$3</f>
        <v>980.41235364135935</v>
      </c>
      <c r="T145" s="349">
        <f>T139*24*LOOKUP(T$2,'HDD-by Country'!$A$4:$A$40,'HDD-by Country'!$C$4:$C$40)/1000/T$3</f>
        <v>1875.8592093207449</v>
      </c>
      <c r="U145" s="349">
        <f>U139*24*LOOKUP(U$2,'HDD-by Country'!$A$4:$A$40,'HDD-by Country'!$C$4:$C$40)/1000/U$3</f>
        <v>2230.6713879012214</v>
      </c>
      <c r="V145" s="349">
        <f>V139*24*LOOKUP(V$2,'HDD-by Country'!$A$4:$A$40,'HDD-by Country'!$C$4:$C$40)/1000/V$3</f>
        <v>1422.3774771156416</v>
      </c>
      <c r="W145" s="349">
        <f>W139*24*LOOKUP(W$2,'HDD-by Country'!$A$4:$A$40,'HDD-by Country'!$C$4:$C$40)/1000/W$3</f>
        <v>1792.5139409258059</v>
      </c>
      <c r="X145" s="349">
        <f>X139*24*LOOKUP(X$2,'HDD-by Country'!$A$4:$A$40,'HDD-by Country'!$C$4:$C$40)/1000/X$3</f>
        <v>1401.8188981350372</v>
      </c>
      <c r="Y145" s="349">
        <f>Y139*24*LOOKUP(Y$2,'HDD-by Country'!$A$4:$A$40,'HDD-by Country'!$C$4:$C$40)/1000/Y$3</f>
        <v>709.44118398351941</v>
      </c>
      <c r="Z145" s="349">
        <f>Z139*24*LOOKUP(Z$2,'HDD-by Country'!$A$4:$A$40,'HDD-by Country'!$C$4:$C$40)/1000/Z$3</f>
        <v>1595.8567261770827</v>
      </c>
      <c r="AA145" s="349">
        <f>AA139*24*LOOKUP(AA$2,'HDD-by Country'!$A$4:$A$40,'HDD-by Country'!$C$4:$C$40)/1000/AA$3</f>
        <v>1944.7753369943998</v>
      </c>
      <c r="AB145" s="349">
        <f>AB139*24*LOOKUP(AB$2,'HDD-by Country'!$A$4:$A$40,'HDD-by Country'!$C$4:$C$40)/1000/AB$3</f>
        <v>1621.1921256464791</v>
      </c>
      <c r="AC145" s="349">
        <f>AC139*24*LOOKUP(AC$2,'HDD-by Country'!$A$4:$A$40,'HDD-by Country'!$C$4:$C$40)/1000/AC$3</f>
        <v>1351.1662022552309</v>
      </c>
      <c r="AD145" s="349">
        <f>AD139*24*LOOKUP(AD$2,'HDD-by Country'!$A$4:$A$40,'HDD-by Country'!$C$4:$C$40)/1000/AD$3</f>
        <v>1568.4025905486474</v>
      </c>
      <c r="AE145" s="349">
        <f>AE139*24*LOOKUP(AE$2,'HDD-by Country'!$A$4:$A$40,'HDD-by Country'!$C$4:$C$40)/1000/AE$3</f>
        <v>1875.19605642889</v>
      </c>
      <c r="AF145" s="349">
        <f>AF139*24*LOOKUP(AF$2,'HDD-by Country'!$A$4:$A$40,'HDD-by Country'!$C$4:$C$40)/1000/AF$3</f>
        <v>1091.8110839579906</v>
      </c>
      <c r="AG145" s="349">
        <f>AG139*24*LOOKUP(AG$2,'HDD-by Country'!$A$4:$A$40,'HDD-by Country'!$C$4:$C$40)/1000/AG$3</f>
        <v>2182.2747850722271</v>
      </c>
      <c r="AH145" s="349">
        <f>AH139*24*LOOKUP(AH$2,'HDD-by Country'!$A$4:$A$40,'HDD-by Country'!$C$4:$C$40)/1000/AH$3</f>
        <v>905.26005351973527</v>
      </c>
      <c r="AI145" s="349">
        <f>AI139*24*LOOKUP(AI$2,'HDD-by Country'!$A$4:$A$40,'HDD-by Country'!$C$4:$C$40)/1000/AI$3</f>
        <v>1117.7672308002113</v>
      </c>
      <c r="AJ145" s="349">
        <f>AJ139*24*LOOKUP(AJ$2,'HDD-by Country'!$A$4:$A$40,'HDD-by Country'!$C$4:$C$40)/1000/AJ$3</f>
        <v>2078.1807649185057</v>
      </c>
      <c r="AK145" s="349">
        <f>AK139*24*LOOKUP(AK$2,'HDD-by Country'!$A$4:$A$40,'HDD-by Country'!$C$4:$C$40)/1000/AK$3</f>
        <v>2013.6096238953273</v>
      </c>
      <c r="AL145" s="349">
        <f>AL139*24*LOOKUP(AL$2,'HDD-by Country'!$A$4:$A$40,'HDD-by Country'!$C$4:$C$40)/1000/AL$3</f>
        <v>1405.03504493419</v>
      </c>
      <c r="AM145" s="349">
        <f>AM139*24*LOOKUP(AM$2,'HDD-by Country'!$A$4:$A$40,'HDD-by Country'!$C$4:$C$40)/1000/AM$3</f>
        <v>1911.0443926543551</v>
      </c>
      <c r="AN145" s="354">
        <f>AN139*24*LOOKUP(AN$2,'HDD-by Country'!$A$4:$A$40,'HDD-by Country'!$C$4:$C$40)/1000/AN$3</f>
        <v>1911.0443926543551</v>
      </c>
    </row>
    <row r="146" spans="1:40">
      <c r="A146" s="151" t="s">
        <v>260</v>
      </c>
      <c r="B146" s="141" t="s">
        <v>2</v>
      </c>
      <c r="C146" s="360" t="s">
        <v>261</v>
      </c>
      <c r="D146" s="351">
        <f t="shared" ref="D146:AN146" si="61">D140/(1.355*(D134/D$17)^0.16)</f>
        <v>2727.7719537185194</v>
      </c>
      <c r="E146" s="352">
        <f t="shared" si="61"/>
        <v>2148.3383916117446</v>
      </c>
      <c r="F146" s="352">
        <f t="shared" si="61"/>
        <v>1528.1460393049831</v>
      </c>
      <c r="G146" s="352">
        <f t="shared" si="61"/>
        <v>2657.5551043222954</v>
      </c>
      <c r="H146" s="352">
        <f t="shared" si="61"/>
        <v>877.94778202358327</v>
      </c>
      <c r="I146" s="352">
        <f t="shared" si="61"/>
        <v>2441.5666802356996</v>
      </c>
      <c r="J146" s="352">
        <f t="shared" si="61"/>
        <v>2212.421171406022</v>
      </c>
      <c r="K146" s="352">
        <f t="shared" si="61"/>
        <v>2038.7203886482669</v>
      </c>
      <c r="L146" s="352">
        <f t="shared" si="61"/>
        <v>1792.1628253598017</v>
      </c>
      <c r="M146" s="352">
        <f t="shared" si="61"/>
        <v>2712.8058102757118</v>
      </c>
      <c r="N146" s="352">
        <f t="shared" si="61"/>
        <v>2230.1664886268068</v>
      </c>
      <c r="O146" s="352">
        <f t="shared" si="61"/>
        <v>2168.161393418638</v>
      </c>
      <c r="P146" s="352">
        <f t="shared" si="61"/>
        <v>2395.2560528546051</v>
      </c>
      <c r="Q146" s="352">
        <f t="shared" si="61"/>
        <v>1670.3866492867658</v>
      </c>
      <c r="R146" s="352">
        <f t="shared" si="61"/>
        <v>1607.7655596142458</v>
      </c>
      <c r="S146" s="352">
        <f t="shared" si="61"/>
        <v>1328.6453629780046</v>
      </c>
      <c r="T146" s="352">
        <f t="shared" si="61"/>
        <v>2435.7146830404045</v>
      </c>
      <c r="U146" s="352">
        <f t="shared" si="61"/>
        <v>2066.7825061743933</v>
      </c>
      <c r="V146" s="352">
        <f t="shared" si="61"/>
        <v>2271.4609572484387</v>
      </c>
      <c r="W146" s="352">
        <f t="shared" si="61"/>
        <v>3031.4789674724902</v>
      </c>
      <c r="X146" s="352">
        <f t="shared" si="61"/>
        <v>2321.1573932500528</v>
      </c>
      <c r="Y146" s="352">
        <f t="shared" si="61"/>
        <v>702.59581803880519</v>
      </c>
      <c r="Z146" s="352">
        <f t="shared" si="61"/>
        <v>2255.5894352170963</v>
      </c>
      <c r="AA146" s="352">
        <f t="shared" si="61"/>
        <v>2524.7577193020688</v>
      </c>
      <c r="AB146" s="352">
        <f t="shared" si="61"/>
        <v>1992.3431883415797</v>
      </c>
      <c r="AC146" s="352">
        <f t="shared" si="61"/>
        <v>1433.9598556882736</v>
      </c>
      <c r="AD146" s="352">
        <f t="shared" si="61"/>
        <v>1507.4680472039877</v>
      </c>
      <c r="AE146" s="352">
        <f t="shared" si="61"/>
        <v>2434.4280949132954</v>
      </c>
      <c r="AF146" s="352">
        <f t="shared" si="61"/>
        <v>1804.6379110329958</v>
      </c>
      <c r="AG146" s="352">
        <f t="shared" si="61"/>
        <v>2774.4615825440542</v>
      </c>
      <c r="AH146" s="352">
        <f t="shared" si="61"/>
        <v>1095.1789308248431</v>
      </c>
      <c r="AI146" s="352">
        <f t="shared" si="61"/>
        <v>1870.1892231350128</v>
      </c>
      <c r="AJ146" s="352">
        <f t="shared" si="61"/>
        <v>1904.3207394211406</v>
      </c>
      <c r="AK146" s="352">
        <f t="shared" si="61"/>
        <v>1848.1664850545076</v>
      </c>
      <c r="AL146" s="352">
        <f t="shared" si="61"/>
        <v>1816.6550130097494</v>
      </c>
      <c r="AM146" s="352">
        <f t="shared" si="61"/>
        <v>1751.1669496319655</v>
      </c>
      <c r="AN146" s="353">
        <f t="shared" si="61"/>
        <v>1751.1669496319655</v>
      </c>
    </row>
    <row r="147" spans="1:40">
      <c r="A147" s="129"/>
      <c r="B147" s="142" t="s">
        <v>3</v>
      </c>
      <c r="C147" s="129" t="s">
        <v>261</v>
      </c>
      <c r="D147" s="345">
        <f t="shared" ref="D147:AN147" si="62">D141/(1.355*(D135/D$17)^0.16)</f>
        <v>2835.2746913252195</v>
      </c>
      <c r="E147" s="349">
        <f t="shared" si="62"/>
        <v>2148.3383916117446</v>
      </c>
      <c r="F147" s="349">
        <f t="shared" si="62"/>
        <v>1528.1460393049831</v>
      </c>
      <c r="G147" s="349">
        <f t="shared" si="62"/>
        <v>2762.2905638484649</v>
      </c>
      <c r="H147" s="349">
        <f t="shared" si="62"/>
        <v>870.52388784108132</v>
      </c>
      <c r="I147" s="349">
        <f t="shared" si="62"/>
        <v>2138.3512525870801</v>
      </c>
      <c r="J147" s="349">
        <f t="shared" si="62"/>
        <v>2228.197137098613</v>
      </c>
      <c r="K147" s="349">
        <f t="shared" si="62"/>
        <v>1983.3345841285038</v>
      </c>
      <c r="L147" s="349">
        <f t="shared" si="62"/>
        <v>1792.1628253598017</v>
      </c>
      <c r="M147" s="349">
        <f t="shared" si="62"/>
        <v>2689.2152685721194</v>
      </c>
      <c r="N147" s="349">
        <f t="shared" si="62"/>
        <v>2036.564536940969</v>
      </c>
      <c r="O147" s="349">
        <f t="shared" si="62"/>
        <v>2168.161393418638</v>
      </c>
      <c r="P147" s="349">
        <f t="shared" si="62"/>
        <v>2395.2560528546051</v>
      </c>
      <c r="Q147" s="349">
        <f t="shared" si="62"/>
        <v>1692.0010383603287</v>
      </c>
      <c r="R147" s="349">
        <f t="shared" si="62"/>
        <v>1607.7655596142458</v>
      </c>
      <c r="S147" s="349">
        <f t="shared" si="62"/>
        <v>1329.2514975168767</v>
      </c>
      <c r="T147" s="349">
        <f t="shared" si="62"/>
        <v>2256.1013750906041</v>
      </c>
      <c r="U147" s="349">
        <f t="shared" si="62"/>
        <v>2051.0256827477792</v>
      </c>
      <c r="V147" s="349">
        <f t="shared" si="62"/>
        <v>2271.4609572484387</v>
      </c>
      <c r="W147" s="349">
        <f t="shared" si="62"/>
        <v>2866.3272945510653</v>
      </c>
      <c r="X147" s="349">
        <f t="shared" si="62"/>
        <v>2321.1573932500528</v>
      </c>
      <c r="Y147" s="349">
        <f t="shared" si="62"/>
        <v>702.56375406150494</v>
      </c>
      <c r="Z147" s="349">
        <f t="shared" si="62"/>
        <v>2293.2640333123759</v>
      </c>
      <c r="AA147" s="349">
        <f t="shared" si="62"/>
        <v>2524.7577193020688</v>
      </c>
      <c r="AB147" s="349">
        <f t="shared" si="62"/>
        <v>1923.2120232004404</v>
      </c>
      <c r="AC147" s="349">
        <f t="shared" si="62"/>
        <v>1468.9789678271086</v>
      </c>
      <c r="AD147" s="349">
        <f t="shared" si="62"/>
        <v>1392.4091860533729</v>
      </c>
      <c r="AE147" s="349">
        <f t="shared" si="62"/>
        <v>2434.4280949132954</v>
      </c>
      <c r="AF147" s="349">
        <f t="shared" si="62"/>
        <v>1804.6379110329958</v>
      </c>
      <c r="AG147" s="349">
        <f t="shared" si="62"/>
        <v>2568.307924064773</v>
      </c>
      <c r="AH147" s="349">
        <f t="shared" si="62"/>
        <v>1102.8948599119906</v>
      </c>
      <c r="AI147" s="349">
        <f t="shared" si="62"/>
        <v>1870.1892231350128</v>
      </c>
      <c r="AJ147" s="349">
        <f t="shared" si="62"/>
        <v>1904.3207394211406</v>
      </c>
      <c r="AK147" s="349">
        <f t="shared" si="62"/>
        <v>1848.1664850545076</v>
      </c>
      <c r="AL147" s="349">
        <f t="shared" si="62"/>
        <v>1816.6550130097494</v>
      </c>
      <c r="AM147" s="349">
        <f t="shared" si="62"/>
        <v>1751.1669496319655</v>
      </c>
      <c r="AN147" s="354">
        <f t="shared" si="62"/>
        <v>1751.1669496319655</v>
      </c>
    </row>
    <row r="148" spans="1:40">
      <c r="A148" s="129"/>
      <c r="B148" s="142" t="s">
        <v>4</v>
      </c>
      <c r="C148" s="129" t="s">
        <v>261</v>
      </c>
      <c r="D148" s="345">
        <f t="shared" ref="D148:AN148" si="63">D142/(1.355*(D136/D$17)^0.16)</f>
        <v>2495.2997529611284</v>
      </c>
      <c r="E148" s="349">
        <f t="shared" si="63"/>
        <v>2148.3383916117446</v>
      </c>
      <c r="F148" s="349">
        <f t="shared" si="63"/>
        <v>1479.3974230014881</v>
      </c>
      <c r="G148" s="349">
        <f t="shared" si="63"/>
        <v>2431.0670788502098</v>
      </c>
      <c r="H148" s="349">
        <f t="shared" si="63"/>
        <v>860.13507268331421</v>
      </c>
      <c r="I148" s="349">
        <f t="shared" si="63"/>
        <v>2138.3512525870801</v>
      </c>
      <c r="J148" s="349">
        <f t="shared" si="63"/>
        <v>1937.9208242677814</v>
      </c>
      <c r="K148" s="349">
        <f t="shared" si="63"/>
        <v>1544.1089438397321</v>
      </c>
      <c r="L148" s="349">
        <f t="shared" si="63"/>
        <v>1592.2489708106482</v>
      </c>
      <c r="M148" s="349">
        <f t="shared" si="63"/>
        <v>2689.2152685721194</v>
      </c>
      <c r="N148" s="349">
        <f t="shared" si="63"/>
        <v>1853.3134342408032</v>
      </c>
      <c r="O148" s="349">
        <f t="shared" si="63"/>
        <v>1582.2319103154457</v>
      </c>
      <c r="P148" s="349">
        <f t="shared" si="63"/>
        <v>2395.2560528546051</v>
      </c>
      <c r="Q148" s="349">
        <f t="shared" si="63"/>
        <v>1670.6843640209579</v>
      </c>
      <c r="R148" s="349">
        <f t="shared" si="63"/>
        <v>1572.4427477371853</v>
      </c>
      <c r="S148" s="349">
        <f t="shared" si="63"/>
        <v>1318.6720660868627</v>
      </c>
      <c r="T148" s="349">
        <f t="shared" si="63"/>
        <v>2039.8789904589682</v>
      </c>
      <c r="U148" s="349">
        <f t="shared" si="63"/>
        <v>1940.9258505190965</v>
      </c>
      <c r="V148" s="349">
        <f t="shared" si="63"/>
        <v>1849.3998120503495</v>
      </c>
      <c r="W148" s="349">
        <f t="shared" si="63"/>
        <v>2041.5438188795952</v>
      </c>
      <c r="X148" s="349">
        <f t="shared" si="63"/>
        <v>2286.6044848157048</v>
      </c>
      <c r="Y148" s="349">
        <f t="shared" si="63"/>
        <v>689.40699248845544</v>
      </c>
      <c r="Z148" s="349">
        <f t="shared" si="63"/>
        <v>2152.6063077294207</v>
      </c>
      <c r="AA148" s="349">
        <f t="shared" si="63"/>
        <v>2058.4618257303591</v>
      </c>
      <c r="AB148" s="349">
        <f t="shared" si="63"/>
        <v>1678.1617511658128</v>
      </c>
      <c r="AC148" s="349">
        <f t="shared" si="63"/>
        <v>1468.5272219640678</v>
      </c>
      <c r="AD148" s="349">
        <f t="shared" si="63"/>
        <v>1392.4091860533729</v>
      </c>
      <c r="AE148" s="349">
        <f t="shared" si="63"/>
        <v>1984.8151220821956</v>
      </c>
      <c r="AF148" s="349">
        <f t="shared" si="63"/>
        <v>1720.0705846042833</v>
      </c>
      <c r="AG148" s="349">
        <f t="shared" si="63"/>
        <v>2568.307924064773</v>
      </c>
      <c r="AH148" s="349">
        <f t="shared" si="63"/>
        <v>1079.7068162316152</v>
      </c>
      <c r="AI148" s="349">
        <f t="shared" si="63"/>
        <v>1870.1892231350128</v>
      </c>
      <c r="AJ148" s="349">
        <f t="shared" si="63"/>
        <v>1904.3207394211406</v>
      </c>
      <c r="AK148" s="349">
        <f t="shared" si="63"/>
        <v>1848.1664850545076</v>
      </c>
      <c r="AL148" s="349">
        <f t="shared" si="63"/>
        <v>1764.1242843141738</v>
      </c>
      <c r="AM148" s="349">
        <f t="shared" si="63"/>
        <v>1751.1669496319655</v>
      </c>
      <c r="AN148" s="354">
        <f t="shared" si="63"/>
        <v>1751.1669496319655</v>
      </c>
    </row>
    <row r="149" spans="1:40">
      <c r="A149" s="129"/>
      <c r="B149" s="142" t="s">
        <v>5</v>
      </c>
      <c r="C149" s="129" t="s">
        <v>261</v>
      </c>
      <c r="D149" s="345">
        <f t="shared" ref="D149:AN149" si="64">D143/(1.355*(D137/D$17)^0.16)</f>
        <v>2011.6946811225205</v>
      </c>
      <c r="E149" s="349">
        <f t="shared" si="64"/>
        <v>2048.009705501438</v>
      </c>
      <c r="F149" s="349">
        <f t="shared" si="64"/>
        <v>1316.463597253339</v>
      </c>
      <c r="G149" s="349">
        <f t="shared" si="64"/>
        <v>1959.9107105955843</v>
      </c>
      <c r="H149" s="349">
        <f t="shared" si="64"/>
        <v>806.38862095751813</v>
      </c>
      <c r="I149" s="349">
        <f t="shared" si="64"/>
        <v>1980.9120883705402</v>
      </c>
      <c r="J149" s="349">
        <f t="shared" si="64"/>
        <v>1660.8636993974685</v>
      </c>
      <c r="K149" s="349">
        <f t="shared" si="64"/>
        <v>1387.4670888869759</v>
      </c>
      <c r="L149" s="349">
        <f t="shared" si="64"/>
        <v>1430.6969126700144</v>
      </c>
      <c r="M149" s="349">
        <f t="shared" si="64"/>
        <v>1781.2830614919349</v>
      </c>
      <c r="N149" s="349">
        <f t="shared" si="64"/>
        <v>1694.4712052045513</v>
      </c>
      <c r="O149" s="349">
        <f t="shared" si="64"/>
        <v>1471.8263356347757</v>
      </c>
      <c r="P149" s="349">
        <f t="shared" si="64"/>
        <v>2243.6205795053611</v>
      </c>
      <c r="Q149" s="349">
        <f t="shared" si="64"/>
        <v>1670.6843640209579</v>
      </c>
      <c r="R149" s="349">
        <f t="shared" si="64"/>
        <v>1408.0050418072888</v>
      </c>
      <c r="S149" s="349">
        <f t="shared" si="64"/>
        <v>1119.6131827105698</v>
      </c>
      <c r="T149" s="349">
        <f t="shared" si="64"/>
        <v>1838.4260441100903</v>
      </c>
      <c r="U149" s="349">
        <f t="shared" si="64"/>
        <v>1864.8873440755119</v>
      </c>
      <c r="V149" s="349">
        <f t="shared" si="64"/>
        <v>1849.3998120503495</v>
      </c>
      <c r="W149" s="349">
        <f t="shared" si="64"/>
        <v>1980.9574266190871</v>
      </c>
      <c r="X149" s="349">
        <f t="shared" si="64"/>
        <v>1725.5201835231514</v>
      </c>
      <c r="Y149" s="349">
        <f t="shared" si="64"/>
        <v>576.33082469119643</v>
      </c>
      <c r="Z149" s="349">
        <f t="shared" si="64"/>
        <v>1901.768650065686</v>
      </c>
      <c r="AA149" s="349">
        <f t="shared" si="64"/>
        <v>2058.4618257303591</v>
      </c>
      <c r="AB149" s="349">
        <f t="shared" si="64"/>
        <v>1678.1617511658128</v>
      </c>
      <c r="AC149" s="349">
        <f t="shared" si="64"/>
        <v>1461.7834462241628</v>
      </c>
      <c r="AD149" s="349">
        <f t="shared" si="64"/>
        <v>1299.2883931185945</v>
      </c>
      <c r="AE149" s="349">
        <f t="shared" si="64"/>
        <v>1984.8151220821956</v>
      </c>
      <c r="AF149" s="349">
        <f t="shared" si="64"/>
        <v>1593.2907550970035</v>
      </c>
      <c r="AG149" s="349">
        <f t="shared" si="64"/>
        <v>2517.6412663857618</v>
      </c>
      <c r="AH149" s="349">
        <f t="shared" si="64"/>
        <v>908.42453819507693</v>
      </c>
      <c r="AI149" s="349">
        <f t="shared" si="64"/>
        <v>1756.3924829343671</v>
      </c>
      <c r="AJ149" s="349">
        <f t="shared" si="64"/>
        <v>1844.8539952131753</v>
      </c>
      <c r="AK149" s="349">
        <f t="shared" si="64"/>
        <v>1789.618922049026</v>
      </c>
      <c r="AL149" s="349">
        <f t="shared" si="64"/>
        <v>1589.8000226794554</v>
      </c>
      <c r="AM149" s="349">
        <f t="shared" si="64"/>
        <v>1696.4827806768658</v>
      </c>
      <c r="AN149" s="354">
        <f t="shared" si="64"/>
        <v>1696.4827806768658</v>
      </c>
    </row>
    <row r="150" spans="1:40">
      <c r="A150" s="129"/>
      <c r="B150" s="142" t="s">
        <v>6</v>
      </c>
      <c r="C150" s="129" t="s">
        <v>261</v>
      </c>
      <c r="D150" s="345">
        <f t="shared" ref="D150:AN150" si="65">D144/(1.355*(D138/D$17)^0.16)</f>
        <v>1851.1905238794325</v>
      </c>
      <c r="E150" s="349">
        <f t="shared" si="65"/>
        <v>2048.009705501438</v>
      </c>
      <c r="F150" s="349">
        <f t="shared" si="65"/>
        <v>1181.8647173421391</v>
      </c>
      <c r="G150" s="349">
        <f t="shared" si="65"/>
        <v>1803.5381656822003</v>
      </c>
      <c r="H150" s="349">
        <f t="shared" si="65"/>
        <v>806.38862095751813</v>
      </c>
      <c r="I150" s="349">
        <f t="shared" si="65"/>
        <v>1713.0379634556077</v>
      </c>
      <c r="J150" s="349">
        <f t="shared" si="65"/>
        <v>1269.9768586923253</v>
      </c>
      <c r="K150" s="349">
        <f t="shared" si="65"/>
        <v>1387.4670888869759</v>
      </c>
      <c r="L150" s="349">
        <f t="shared" si="65"/>
        <v>1323.7051634199804</v>
      </c>
      <c r="M150" s="349">
        <f t="shared" si="65"/>
        <v>1781.2830614919349</v>
      </c>
      <c r="N150" s="349">
        <f t="shared" si="65"/>
        <v>1678.8130183842727</v>
      </c>
      <c r="O150" s="349">
        <f t="shared" si="65"/>
        <v>1118.5303470794502</v>
      </c>
      <c r="P150" s="349">
        <f t="shared" si="65"/>
        <v>2243.6205795053611</v>
      </c>
      <c r="Q150" s="349">
        <f t="shared" si="65"/>
        <v>1458.2973519895047</v>
      </c>
      <c r="R150" s="349">
        <f t="shared" si="65"/>
        <v>1408.0050418072888</v>
      </c>
      <c r="S150" s="349">
        <f t="shared" si="65"/>
        <v>1079.4941940228682</v>
      </c>
      <c r="T150" s="349">
        <f t="shared" si="65"/>
        <v>1821.6439562594596</v>
      </c>
      <c r="U150" s="349">
        <f t="shared" si="65"/>
        <v>1833.1886507252354</v>
      </c>
      <c r="V150" s="349">
        <f t="shared" si="65"/>
        <v>1849.3998120503495</v>
      </c>
      <c r="W150" s="349">
        <f t="shared" si="65"/>
        <v>1851.425439912917</v>
      </c>
      <c r="X150" s="349">
        <f t="shared" si="65"/>
        <v>1721.6743083954302</v>
      </c>
      <c r="Y150" s="349">
        <f t="shared" si="65"/>
        <v>576.00046773136683</v>
      </c>
      <c r="Z150" s="349">
        <f t="shared" si="65"/>
        <v>1809.2505750681091</v>
      </c>
      <c r="AA150" s="349">
        <f t="shared" si="65"/>
        <v>1869.4433911294934</v>
      </c>
      <c r="AB150" s="349">
        <f t="shared" si="65"/>
        <v>1678.1617511658128</v>
      </c>
      <c r="AC150" s="349">
        <f t="shared" si="65"/>
        <v>1415.7914307624603</v>
      </c>
      <c r="AD150" s="349">
        <f t="shared" si="65"/>
        <v>1299.2883931185945</v>
      </c>
      <c r="AE150" s="349">
        <f t="shared" si="65"/>
        <v>1802.5593023926608</v>
      </c>
      <c r="AF150" s="349">
        <f t="shared" si="65"/>
        <v>1363.4553640237159</v>
      </c>
      <c r="AG150" s="349">
        <f t="shared" si="65"/>
        <v>2374.8783516413678</v>
      </c>
      <c r="AH150" s="349">
        <f t="shared" si="65"/>
        <v>856.38421608359351</v>
      </c>
      <c r="AI150" s="349">
        <f t="shared" si="65"/>
        <v>1756.3924829343671</v>
      </c>
      <c r="AJ150" s="349">
        <f t="shared" si="65"/>
        <v>1821.3865780483773</v>
      </c>
      <c r="AK150" s="349">
        <f t="shared" si="65"/>
        <v>1766.726785018087</v>
      </c>
      <c r="AL150" s="349">
        <f t="shared" si="65"/>
        <v>1440.4802059515291</v>
      </c>
      <c r="AM150" s="349">
        <f t="shared" si="65"/>
        <v>1674.9027156796681</v>
      </c>
      <c r="AN150" s="354">
        <f t="shared" si="65"/>
        <v>1674.9027156796681</v>
      </c>
    </row>
    <row r="151" spans="1:40">
      <c r="A151" s="129"/>
      <c r="B151" s="142" t="s">
        <v>7</v>
      </c>
      <c r="C151" s="129" t="s">
        <v>261</v>
      </c>
      <c r="D151" s="345">
        <f t="shared" ref="D151:AN151" si="66">D145/(1.355*(D139/D$17)^0.16)</f>
        <v>1729.049801032221</v>
      </c>
      <c r="E151" s="349">
        <f t="shared" si="66"/>
        <v>1699.9259285350572</v>
      </c>
      <c r="F151" s="349">
        <f t="shared" si="66"/>
        <v>1056.4105344935313</v>
      </c>
      <c r="G151" s="349">
        <f t="shared" si="66"/>
        <v>1684.5415241170099</v>
      </c>
      <c r="H151" s="349">
        <f t="shared" si="66"/>
        <v>522.3467414878952</v>
      </c>
      <c r="I151" s="349">
        <f t="shared" si="66"/>
        <v>1535.6504801601209</v>
      </c>
      <c r="J151" s="349">
        <f t="shared" si="66"/>
        <v>1341.3710231377113</v>
      </c>
      <c r="K151" s="349">
        <f t="shared" si="66"/>
        <v>1176.7111175855846</v>
      </c>
      <c r="L151" s="349">
        <f t="shared" si="66"/>
        <v>1323.7051634199804</v>
      </c>
      <c r="M151" s="349">
        <f t="shared" si="66"/>
        <v>1573.9328921505478</v>
      </c>
      <c r="N151" s="349">
        <f t="shared" si="66"/>
        <v>1604.1374116855443</v>
      </c>
      <c r="O151" s="349">
        <f t="shared" si="66"/>
        <v>1102.0187247459717</v>
      </c>
      <c r="P151" s="349">
        <f t="shared" si="66"/>
        <v>1212.4771800032186</v>
      </c>
      <c r="Q151" s="349">
        <f t="shared" si="66"/>
        <v>1223.9693897349978</v>
      </c>
      <c r="R151" s="349">
        <f t="shared" si="66"/>
        <v>1154.48394537237</v>
      </c>
      <c r="S151" s="349">
        <f t="shared" si="66"/>
        <v>877.76420721671661</v>
      </c>
      <c r="T151" s="349">
        <f t="shared" si="66"/>
        <v>1743.5104741161774</v>
      </c>
      <c r="U151" s="349">
        <f t="shared" si="66"/>
        <v>1833.1886507252354</v>
      </c>
      <c r="V151" s="349">
        <f t="shared" si="66"/>
        <v>1327.4139552198892</v>
      </c>
      <c r="W151" s="349">
        <f t="shared" si="66"/>
        <v>1639.1594980545692</v>
      </c>
      <c r="X151" s="349">
        <f t="shared" si="66"/>
        <v>1319.7200467211437</v>
      </c>
      <c r="Y151" s="349">
        <f t="shared" si="66"/>
        <v>568.49047964486238</v>
      </c>
      <c r="Z151" s="349">
        <f t="shared" si="66"/>
        <v>1443.1958934565728</v>
      </c>
      <c r="AA151" s="349">
        <f t="shared" si="66"/>
        <v>1869.4433911294934</v>
      </c>
      <c r="AB151" s="349">
        <f t="shared" si="66"/>
        <v>1416.7300526781426</v>
      </c>
      <c r="AC151" s="349">
        <f t="shared" si="66"/>
        <v>1130.8754741373755</v>
      </c>
      <c r="AD151" s="349">
        <f t="shared" si="66"/>
        <v>1264.3533823836669</v>
      </c>
      <c r="AE151" s="349">
        <f t="shared" si="66"/>
        <v>1802.5593023926608</v>
      </c>
      <c r="AF151" s="349">
        <f t="shared" si="66"/>
        <v>1014.2140317931934</v>
      </c>
      <c r="AG151" s="349">
        <f t="shared" si="66"/>
        <v>1885.7029193214116</v>
      </c>
      <c r="AH151" s="349">
        <f t="shared" si="66"/>
        <v>795.42038222490771</v>
      </c>
      <c r="AI151" s="349">
        <f t="shared" si="66"/>
        <v>974.87734983267933</v>
      </c>
      <c r="AJ151" s="349">
        <f t="shared" si="66"/>
        <v>1769.416773923931</v>
      </c>
      <c r="AK151" s="349">
        <f t="shared" si="66"/>
        <v>1716.3002995802876</v>
      </c>
      <c r="AL151" s="349">
        <f t="shared" si="66"/>
        <v>1256.6298015175946</v>
      </c>
      <c r="AM151" s="349">
        <f t="shared" si="66"/>
        <v>1627.1125501483925</v>
      </c>
      <c r="AN151" s="354">
        <f t="shared" si="66"/>
        <v>1627.1125501483925</v>
      </c>
    </row>
    <row r="152" spans="1:40">
      <c r="A152" s="334" t="s">
        <v>262</v>
      </c>
      <c r="B152" s="359" t="s">
        <v>2</v>
      </c>
      <c r="C152" s="366" t="s">
        <v>190</v>
      </c>
      <c r="D152" s="375">
        <f t="shared" ref="D152:AN152" si="67">D146/D$4</f>
        <v>38.115121674233777</v>
      </c>
      <c r="E152" s="376">
        <f t="shared" si="67"/>
        <v>29.333473837089041</v>
      </c>
      <c r="F152" s="376">
        <f t="shared" si="67"/>
        <v>23.699435743763903</v>
      </c>
      <c r="G152" s="376">
        <f t="shared" si="67"/>
        <v>37.133982560067707</v>
      </c>
      <c r="H152" s="376">
        <f t="shared" si="67"/>
        <v>12.026681945528537</v>
      </c>
      <c r="I152" s="376">
        <f t="shared" si="67"/>
        <v>40.033882352916962</v>
      </c>
      <c r="J152" s="376">
        <f t="shared" si="67"/>
        <v>35.281105327858732</v>
      </c>
      <c r="K152" s="376">
        <f t="shared" si="67"/>
        <v>26.004086589901362</v>
      </c>
      <c r="L152" s="376">
        <f t="shared" si="67"/>
        <v>37.493706208391579</v>
      </c>
      <c r="M152" s="376">
        <f t="shared" si="67"/>
        <v>31.409262077806368</v>
      </c>
      <c r="N152" s="376">
        <f t="shared" si="67"/>
        <v>39.824401582621547</v>
      </c>
      <c r="O152" s="376">
        <f t="shared" si="67"/>
        <v>32.888755760638801</v>
      </c>
      <c r="P152" s="376">
        <f t="shared" si="67"/>
        <v>32.811726751432943</v>
      </c>
      <c r="Q152" s="376">
        <f t="shared" si="67"/>
        <v>26.258852754487727</v>
      </c>
      <c r="R152" s="376">
        <f t="shared" si="67"/>
        <v>34.402100691748799</v>
      </c>
      <c r="S152" s="376">
        <f t="shared" si="67"/>
        <v>19.966113810506929</v>
      </c>
      <c r="T152" s="376">
        <f t="shared" si="67"/>
        <v>43.494905054292936</v>
      </c>
      <c r="U152" s="376">
        <f t="shared" si="67"/>
        <v>22.761921874167328</v>
      </c>
      <c r="V152" s="376">
        <f t="shared" si="67"/>
        <v>44.053213497128873</v>
      </c>
      <c r="W152" s="376">
        <f t="shared" si="67"/>
        <v>35.331879459500549</v>
      </c>
      <c r="X152" s="376">
        <f t="shared" si="67"/>
        <v>45.071017344661222</v>
      </c>
      <c r="Y152" s="376">
        <f t="shared" si="67"/>
        <v>8.2627757319586301</v>
      </c>
      <c r="Z152" s="376">
        <f t="shared" si="67"/>
        <v>29.757116559592301</v>
      </c>
      <c r="AA152" s="376">
        <f t="shared" si="67"/>
        <v>37.795774241048939</v>
      </c>
      <c r="AB152" s="376">
        <f t="shared" si="67"/>
        <v>37.96404818624903</v>
      </c>
      <c r="AC152" s="376">
        <f t="shared" si="67"/>
        <v>14.835065412140969</v>
      </c>
      <c r="AD152" s="376">
        <f t="shared" si="67"/>
        <v>31.43810703848105</v>
      </c>
      <c r="AE152" s="376">
        <f t="shared" si="67"/>
        <v>36.443534354989453</v>
      </c>
      <c r="AF152" s="376">
        <f t="shared" si="67"/>
        <v>35.000144024583989</v>
      </c>
      <c r="AG152" s="376">
        <f t="shared" si="67"/>
        <v>45.295194026744866</v>
      </c>
      <c r="AH152" s="376">
        <f t="shared" si="67"/>
        <v>22.622989688594156</v>
      </c>
      <c r="AI152" s="376">
        <f t="shared" si="67"/>
        <v>25.619030453904283</v>
      </c>
      <c r="AJ152" s="376">
        <f t="shared" si="67"/>
        <v>29.936349117211009</v>
      </c>
      <c r="AK152" s="376">
        <f t="shared" si="67"/>
        <v>25.317349110335719</v>
      </c>
      <c r="AL152" s="376">
        <f t="shared" si="67"/>
        <v>28.558224236702141</v>
      </c>
      <c r="AM152" s="376">
        <f t="shared" si="67"/>
        <v>27.528737192999984</v>
      </c>
      <c r="AN152" s="377">
        <f t="shared" si="67"/>
        <v>27.528737192999984</v>
      </c>
    </row>
    <row r="153" spans="1:40">
      <c r="A153" s="154"/>
      <c r="B153" s="347" t="s">
        <v>3</v>
      </c>
      <c r="C153" s="367" t="s">
        <v>190</v>
      </c>
      <c r="D153" s="369">
        <f t="shared" ref="D153:AN153" si="68">D147/D$4</f>
        <v>39.617256014535535</v>
      </c>
      <c r="E153" s="370">
        <f t="shared" si="68"/>
        <v>29.333473837089041</v>
      </c>
      <c r="F153" s="370">
        <f t="shared" si="68"/>
        <v>23.699435743763903</v>
      </c>
      <c r="G153" s="370">
        <f t="shared" si="68"/>
        <v>38.597449760104283</v>
      </c>
      <c r="H153" s="370">
        <f t="shared" si="68"/>
        <v>11.92498476494632</v>
      </c>
      <c r="I153" s="370">
        <f t="shared" si="68"/>
        <v>35.062119404013025</v>
      </c>
      <c r="J153" s="370">
        <f t="shared" si="68"/>
        <v>35.532681978110759</v>
      </c>
      <c r="K153" s="370">
        <f t="shared" si="68"/>
        <v>25.297635001639076</v>
      </c>
      <c r="L153" s="370">
        <f t="shared" si="68"/>
        <v>37.493706208391579</v>
      </c>
      <c r="M153" s="370">
        <f t="shared" si="68"/>
        <v>31.136127338814397</v>
      </c>
      <c r="N153" s="370">
        <f t="shared" si="68"/>
        <v>36.367223873945875</v>
      </c>
      <c r="O153" s="370">
        <f t="shared" si="68"/>
        <v>32.888755760638801</v>
      </c>
      <c r="P153" s="370">
        <f t="shared" si="68"/>
        <v>32.811726751432943</v>
      </c>
      <c r="Q153" s="370">
        <f t="shared" si="68"/>
        <v>26.598635798313683</v>
      </c>
      <c r="R153" s="370">
        <f t="shared" si="68"/>
        <v>34.402100691748799</v>
      </c>
      <c r="S153" s="370">
        <f t="shared" si="68"/>
        <v>19.975222449670412</v>
      </c>
      <c r="T153" s="370">
        <f t="shared" si="68"/>
        <v>40.287524555189357</v>
      </c>
      <c r="U153" s="370">
        <f t="shared" si="68"/>
        <v>22.588388576517392</v>
      </c>
      <c r="V153" s="370">
        <f t="shared" si="68"/>
        <v>44.053213497128873</v>
      </c>
      <c r="W153" s="370">
        <f t="shared" si="68"/>
        <v>33.407037142332932</v>
      </c>
      <c r="X153" s="370">
        <f t="shared" si="68"/>
        <v>45.071017344661222</v>
      </c>
      <c r="Y153" s="370">
        <f t="shared" si="68"/>
        <v>8.262398648226128</v>
      </c>
      <c r="Z153" s="370">
        <f t="shared" si="68"/>
        <v>30.254142919688338</v>
      </c>
      <c r="AA153" s="370">
        <f t="shared" si="68"/>
        <v>37.795774241048939</v>
      </c>
      <c r="AB153" s="370">
        <f t="shared" si="68"/>
        <v>36.646755613389445</v>
      </c>
      <c r="AC153" s="370">
        <f t="shared" si="68"/>
        <v>15.197356460383293</v>
      </c>
      <c r="AD153" s="370">
        <f t="shared" si="68"/>
        <v>29.038565105046438</v>
      </c>
      <c r="AE153" s="370">
        <f t="shared" si="68"/>
        <v>36.443534354989453</v>
      </c>
      <c r="AF153" s="370">
        <f t="shared" si="68"/>
        <v>35.000144024583989</v>
      </c>
      <c r="AG153" s="370">
        <f t="shared" si="68"/>
        <v>41.929578867792102</v>
      </c>
      <c r="AH153" s="370">
        <f t="shared" si="68"/>
        <v>22.782376779838682</v>
      </c>
      <c r="AI153" s="370">
        <f t="shared" si="68"/>
        <v>25.619030453904283</v>
      </c>
      <c r="AJ153" s="370">
        <f t="shared" si="68"/>
        <v>29.936349117211009</v>
      </c>
      <c r="AK153" s="370">
        <f t="shared" si="68"/>
        <v>25.317349110335719</v>
      </c>
      <c r="AL153" s="370">
        <f t="shared" si="68"/>
        <v>28.558224236702141</v>
      </c>
      <c r="AM153" s="370">
        <f t="shared" si="68"/>
        <v>27.528737192999984</v>
      </c>
      <c r="AN153" s="371">
        <f t="shared" si="68"/>
        <v>27.528737192999984</v>
      </c>
    </row>
    <row r="154" spans="1:40">
      <c r="A154" s="154"/>
      <c r="B154" s="347" t="s">
        <v>4</v>
      </c>
      <c r="C154" s="367" t="s">
        <v>190</v>
      </c>
      <c r="D154" s="369">
        <f t="shared" ref="D154:AN154" si="69">D148/D$4</f>
        <v>34.866790667066596</v>
      </c>
      <c r="E154" s="370">
        <f t="shared" si="69"/>
        <v>29.333473837089041</v>
      </c>
      <c r="F154" s="370">
        <f t="shared" si="69"/>
        <v>22.943411993437312</v>
      </c>
      <c r="G154" s="370">
        <f t="shared" si="69"/>
        <v>33.969268355547257</v>
      </c>
      <c r="H154" s="370">
        <f t="shared" si="69"/>
        <v>11.782672228538551</v>
      </c>
      <c r="I154" s="370">
        <f t="shared" si="69"/>
        <v>35.062119404013025</v>
      </c>
      <c r="J154" s="370">
        <f t="shared" si="69"/>
        <v>30.903694830668766</v>
      </c>
      <c r="K154" s="370">
        <f t="shared" si="69"/>
        <v>19.695267140812909</v>
      </c>
      <c r="L154" s="370">
        <f t="shared" si="69"/>
        <v>33.31132321093807</v>
      </c>
      <c r="M154" s="370">
        <f t="shared" si="69"/>
        <v>31.136127338814397</v>
      </c>
      <c r="N154" s="370">
        <f t="shared" si="69"/>
        <v>33.094882754300059</v>
      </c>
      <c r="O154" s="370">
        <f t="shared" si="69"/>
        <v>24.000814244277063</v>
      </c>
      <c r="P154" s="370">
        <f t="shared" si="69"/>
        <v>32.811726751432943</v>
      </c>
      <c r="Q154" s="370">
        <f t="shared" si="69"/>
        <v>26.263532896879507</v>
      </c>
      <c r="R154" s="370">
        <f t="shared" si="69"/>
        <v>33.646282205873348</v>
      </c>
      <c r="S154" s="370">
        <f t="shared" si="69"/>
        <v>19.816240875002009</v>
      </c>
      <c r="T154" s="370">
        <f t="shared" si="69"/>
        <v>36.426410543910144</v>
      </c>
      <c r="U154" s="370">
        <f t="shared" si="69"/>
        <v>21.375835358139831</v>
      </c>
      <c r="V154" s="370">
        <f t="shared" si="69"/>
        <v>35.867666799123036</v>
      </c>
      <c r="W154" s="370">
        <f t="shared" si="69"/>
        <v>23.794187884497287</v>
      </c>
      <c r="X154" s="370">
        <f t="shared" si="69"/>
        <v>44.400087083800095</v>
      </c>
      <c r="Y154" s="370">
        <f t="shared" si="69"/>
        <v>8.1076704710211871</v>
      </c>
      <c r="Z154" s="370">
        <f t="shared" si="69"/>
        <v>28.398500101971251</v>
      </c>
      <c r="AA154" s="370">
        <f t="shared" si="69"/>
        <v>30.815296792370646</v>
      </c>
      <c r="AB154" s="370">
        <f t="shared" si="69"/>
        <v>31.977328985480067</v>
      </c>
      <c r="AC154" s="370">
        <f t="shared" si="69"/>
        <v>15.192682912932653</v>
      </c>
      <c r="AD154" s="370">
        <f t="shared" si="69"/>
        <v>29.038565105046438</v>
      </c>
      <c r="AE154" s="370">
        <f t="shared" si="69"/>
        <v>29.712801228775383</v>
      </c>
      <c r="AF154" s="370">
        <f t="shared" si="69"/>
        <v>33.359998604451107</v>
      </c>
      <c r="AG154" s="370">
        <f t="shared" si="69"/>
        <v>41.929578867792102</v>
      </c>
      <c r="AH154" s="370">
        <f t="shared" si="69"/>
        <v>22.303383933724753</v>
      </c>
      <c r="AI154" s="370">
        <f t="shared" si="69"/>
        <v>25.619030453904283</v>
      </c>
      <c r="AJ154" s="370">
        <f t="shared" si="69"/>
        <v>29.936349117211009</v>
      </c>
      <c r="AK154" s="370">
        <f t="shared" si="69"/>
        <v>25.317349110335719</v>
      </c>
      <c r="AL154" s="370">
        <f t="shared" si="69"/>
        <v>27.732429400223985</v>
      </c>
      <c r="AM154" s="370">
        <f t="shared" si="69"/>
        <v>27.528737192999984</v>
      </c>
      <c r="AN154" s="371">
        <f t="shared" si="69"/>
        <v>27.528737192999984</v>
      </c>
    </row>
    <row r="155" spans="1:40">
      <c r="A155" s="154"/>
      <c r="B155" s="347" t="s">
        <v>5</v>
      </c>
      <c r="C155" s="367" t="s">
        <v>190</v>
      </c>
      <c r="D155" s="369">
        <f t="shared" ref="D155:AN155" si="70">D149/D$4</f>
        <v>28.10938335144494</v>
      </c>
      <c r="E155" s="370">
        <f t="shared" si="70"/>
        <v>27.963583087746578</v>
      </c>
      <c r="F155" s="370">
        <f t="shared" si="70"/>
        <v>20.416533256402396</v>
      </c>
      <c r="G155" s="370">
        <f t="shared" si="70"/>
        <v>27.385806611564441</v>
      </c>
      <c r="H155" s="370">
        <f t="shared" si="70"/>
        <v>11.046419465171482</v>
      </c>
      <c r="I155" s="370">
        <f t="shared" si="70"/>
        <v>32.480620799445703</v>
      </c>
      <c r="J155" s="370">
        <f t="shared" si="70"/>
        <v>26.485511832459991</v>
      </c>
      <c r="K155" s="370">
        <f t="shared" si="70"/>
        <v>17.697284297027753</v>
      </c>
      <c r="L155" s="370">
        <f t="shared" si="70"/>
        <v>29.931504525060653</v>
      </c>
      <c r="M155" s="370">
        <f t="shared" si="70"/>
        <v>20.623955574421004</v>
      </c>
      <c r="N155" s="370">
        <f t="shared" si="70"/>
        <v>30.258414378652702</v>
      </c>
      <c r="O155" s="370">
        <f t="shared" si="70"/>
        <v>22.326076380524125</v>
      </c>
      <c r="P155" s="370">
        <f t="shared" si="70"/>
        <v>30.73452848637481</v>
      </c>
      <c r="Q155" s="370">
        <f t="shared" si="70"/>
        <v>26.263532896879507</v>
      </c>
      <c r="R155" s="370">
        <f t="shared" si="70"/>
        <v>30.127732823413769</v>
      </c>
      <c r="S155" s="370">
        <f t="shared" si="70"/>
        <v>16.824899143619859</v>
      </c>
      <c r="T155" s="370">
        <f t="shared" si="70"/>
        <v>32.829036501965895</v>
      </c>
      <c r="U155" s="370">
        <f t="shared" si="70"/>
        <v>20.538406873078326</v>
      </c>
      <c r="V155" s="370">
        <f t="shared" si="70"/>
        <v>35.867666799123036</v>
      </c>
      <c r="W155" s="370">
        <f t="shared" si="70"/>
        <v>23.088053640716257</v>
      </c>
      <c r="X155" s="370">
        <f t="shared" si="70"/>
        <v>33.505246282002943</v>
      </c>
      <c r="Y155" s="370">
        <f t="shared" si="70"/>
        <v>6.7778546777161512</v>
      </c>
      <c r="Z155" s="370">
        <f t="shared" si="70"/>
        <v>25.08929617500905</v>
      </c>
      <c r="AA155" s="370">
        <f t="shared" si="70"/>
        <v>30.815296792370646</v>
      </c>
      <c r="AB155" s="370">
        <f t="shared" si="70"/>
        <v>31.977328985480067</v>
      </c>
      <c r="AC155" s="370">
        <f t="shared" si="70"/>
        <v>15.122915022409469</v>
      </c>
      <c r="AD155" s="370">
        <f t="shared" si="70"/>
        <v>27.09653956014569</v>
      </c>
      <c r="AE155" s="370">
        <f t="shared" si="70"/>
        <v>29.712801228775383</v>
      </c>
      <c r="AF155" s="370">
        <f t="shared" si="70"/>
        <v>30.901160593214254</v>
      </c>
      <c r="AG155" s="370">
        <f t="shared" si="70"/>
        <v>41.102407172679605</v>
      </c>
      <c r="AH155" s="370">
        <f t="shared" si="70"/>
        <v>18.765224916237905</v>
      </c>
      <c r="AI155" s="370">
        <f t="shared" si="70"/>
        <v>24.060170999100919</v>
      </c>
      <c r="AJ155" s="370">
        <f t="shared" si="70"/>
        <v>29.001518561296002</v>
      </c>
      <c r="AK155" s="370">
        <f t="shared" si="70"/>
        <v>24.515327699301725</v>
      </c>
      <c r="AL155" s="370">
        <f t="shared" si="70"/>
        <v>24.992012910571471</v>
      </c>
      <c r="AM155" s="370">
        <f t="shared" si="70"/>
        <v>26.669089792677056</v>
      </c>
      <c r="AN155" s="371">
        <f t="shared" si="70"/>
        <v>26.669089792677056</v>
      </c>
    </row>
    <row r="156" spans="1:40">
      <c r="A156" s="154"/>
      <c r="B156" s="347" t="s">
        <v>6</v>
      </c>
      <c r="C156" s="367" t="s">
        <v>190</v>
      </c>
      <c r="D156" s="369">
        <f t="shared" ref="D156:AN156" si="71">D150/D$4</f>
        <v>25.866660870850094</v>
      </c>
      <c r="E156" s="370">
        <f t="shared" si="71"/>
        <v>27.963583087746578</v>
      </c>
      <c r="F156" s="370">
        <f t="shared" si="71"/>
        <v>18.329090418092985</v>
      </c>
      <c r="G156" s="370">
        <f t="shared" si="71"/>
        <v>25.200815095775049</v>
      </c>
      <c r="H156" s="370">
        <f t="shared" si="71"/>
        <v>11.046419465171482</v>
      </c>
      <c r="I156" s="370">
        <f t="shared" si="71"/>
        <v>28.088342149411151</v>
      </c>
      <c r="J156" s="370">
        <f t="shared" si="71"/>
        <v>20.25210565445466</v>
      </c>
      <c r="K156" s="370">
        <f t="shared" si="71"/>
        <v>17.697284297027753</v>
      </c>
      <c r="L156" s="370">
        <f t="shared" si="71"/>
        <v>27.693138034952643</v>
      </c>
      <c r="M156" s="370">
        <f t="shared" si="71"/>
        <v>20.623955574421004</v>
      </c>
      <c r="N156" s="370">
        <f t="shared" si="71"/>
        <v>29.978803899719157</v>
      </c>
      <c r="O156" s="370">
        <f t="shared" si="71"/>
        <v>16.96694328550641</v>
      </c>
      <c r="P156" s="370">
        <f t="shared" si="71"/>
        <v>30.73452848637481</v>
      </c>
      <c r="Q156" s="370">
        <f t="shared" si="71"/>
        <v>22.924761434427467</v>
      </c>
      <c r="R156" s="370">
        <f t="shared" si="71"/>
        <v>30.127732823413769</v>
      </c>
      <c r="S156" s="370">
        <f t="shared" si="71"/>
        <v>16.222014192961772</v>
      </c>
      <c r="T156" s="370">
        <f t="shared" si="71"/>
        <v>32.529356361776067</v>
      </c>
      <c r="U156" s="370">
        <f t="shared" si="71"/>
        <v>20.189302320762504</v>
      </c>
      <c r="V156" s="370">
        <f t="shared" si="71"/>
        <v>35.867666799123036</v>
      </c>
      <c r="W156" s="370">
        <f t="shared" si="71"/>
        <v>21.578358673487834</v>
      </c>
      <c r="X156" s="370">
        <f t="shared" si="71"/>
        <v>33.430569095056896</v>
      </c>
      <c r="Y156" s="370">
        <f t="shared" si="71"/>
        <v>6.77396956283149</v>
      </c>
      <c r="Z156" s="370">
        <f t="shared" si="71"/>
        <v>23.868741095885344</v>
      </c>
      <c r="AA156" s="370">
        <f t="shared" si="71"/>
        <v>27.985679507926548</v>
      </c>
      <c r="AB156" s="370">
        <f t="shared" si="71"/>
        <v>31.977328985480067</v>
      </c>
      <c r="AC156" s="370">
        <f t="shared" si="71"/>
        <v>14.647103544770113</v>
      </c>
      <c r="AD156" s="370">
        <f t="shared" si="71"/>
        <v>27.09653956014569</v>
      </c>
      <c r="AE156" s="370">
        <f t="shared" si="71"/>
        <v>26.984420694500912</v>
      </c>
      <c r="AF156" s="370">
        <f t="shared" si="71"/>
        <v>26.443606121853836</v>
      </c>
      <c r="AG156" s="370">
        <f t="shared" si="71"/>
        <v>38.771694084469708</v>
      </c>
      <c r="AH156" s="370">
        <f t="shared" si="71"/>
        <v>17.690233755083529</v>
      </c>
      <c r="AI156" s="370">
        <f t="shared" si="71"/>
        <v>24.060170999100919</v>
      </c>
      <c r="AJ156" s="370">
        <f t="shared" si="71"/>
        <v>28.632605500286033</v>
      </c>
      <c r="AK156" s="370">
        <f t="shared" si="71"/>
        <v>24.201736781069684</v>
      </c>
      <c r="AL156" s="370">
        <f t="shared" si="71"/>
        <v>22.644671902751565</v>
      </c>
      <c r="AM156" s="370">
        <f t="shared" si="71"/>
        <v>26.329846331029628</v>
      </c>
      <c r="AN156" s="371">
        <f t="shared" si="71"/>
        <v>26.329846331029628</v>
      </c>
    </row>
    <row r="157" spans="1:40">
      <c r="A157" s="155"/>
      <c r="B157" s="338" t="s">
        <v>7</v>
      </c>
      <c r="C157" s="368" t="s">
        <v>190</v>
      </c>
      <c r="D157" s="378">
        <f t="shared" ref="D157:AN157" si="72">D151/D$4</f>
        <v>24.15999015508368</v>
      </c>
      <c r="E157" s="379">
        <f t="shared" si="72"/>
        <v>23.210837242573529</v>
      </c>
      <c r="F157" s="379">
        <f t="shared" si="72"/>
        <v>16.383469208644165</v>
      </c>
      <c r="G157" s="379">
        <f t="shared" si="72"/>
        <v>23.538076586458136</v>
      </c>
      <c r="H157" s="379">
        <f t="shared" si="72"/>
        <v>7.1554348149026739</v>
      </c>
      <c r="I157" s="379">
        <f t="shared" si="72"/>
        <v>25.179754931778419</v>
      </c>
      <c r="J157" s="379">
        <f t="shared" si="72"/>
        <v>21.390616290741583</v>
      </c>
      <c r="K157" s="379">
        <f t="shared" si="72"/>
        <v>15.009070377367149</v>
      </c>
      <c r="L157" s="379">
        <f t="shared" si="72"/>
        <v>27.693138034952643</v>
      </c>
      <c r="M157" s="379">
        <f t="shared" si="72"/>
        <v>18.223225014919862</v>
      </c>
      <c r="N157" s="379">
        <f t="shared" si="72"/>
        <v>28.645310922956149</v>
      </c>
      <c r="O157" s="379">
        <f t="shared" si="72"/>
        <v>16.716479129200483</v>
      </c>
      <c r="P157" s="379">
        <f t="shared" si="72"/>
        <v>16.609276438400254</v>
      </c>
      <c r="Q157" s="379">
        <f t="shared" si="72"/>
        <v>19.241073313639628</v>
      </c>
      <c r="R157" s="379">
        <f t="shared" si="72"/>
        <v>24.703025076141689</v>
      </c>
      <c r="S157" s="379">
        <f t="shared" si="72"/>
        <v>13.190532664635869</v>
      </c>
      <c r="T157" s="379">
        <f t="shared" si="72"/>
        <v>31.134115609217453</v>
      </c>
      <c r="U157" s="379">
        <f t="shared" si="72"/>
        <v>20.189302320762504</v>
      </c>
      <c r="V157" s="379">
        <f t="shared" si="72"/>
        <v>25.744158261565136</v>
      </c>
      <c r="W157" s="379">
        <f t="shared" si="72"/>
        <v>19.104399674738968</v>
      </c>
      <c r="X157" s="379">
        <f t="shared" si="72"/>
        <v>25.625631975167838</v>
      </c>
      <c r="Y157" s="379">
        <f t="shared" si="72"/>
        <v>6.6856494423364943</v>
      </c>
      <c r="Z157" s="379">
        <f t="shared" si="72"/>
        <v>19.03952366037695</v>
      </c>
      <c r="AA157" s="379">
        <f t="shared" si="72"/>
        <v>27.985679507926548</v>
      </c>
      <c r="AB157" s="379">
        <f t="shared" si="72"/>
        <v>26.995754698039971</v>
      </c>
      <c r="AC157" s="379">
        <f t="shared" si="72"/>
        <v>11.699498814603455</v>
      </c>
      <c r="AD157" s="379">
        <f t="shared" si="72"/>
        <v>26.367973134534068</v>
      </c>
      <c r="AE157" s="379">
        <f t="shared" si="72"/>
        <v>26.984420694500912</v>
      </c>
      <c r="AF157" s="379">
        <f t="shared" si="72"/>
        <v>19.670226901193995</v>
      </c>
      <c r="AG157" s="379">
        <f t="shared" si="72"/>
        <v>30.785533360725971</v>
      </c>
      <c r="AH157" s="379">
        <f t="shared" si="72"/>
        <v>16.430910601629989</v>
      </c>
      <c r="AI157" s="379">
        <f t="shared" si="72"/>
        <v>13.354484244283279</v>
      </c>
      <c r="AJ157" s="379">
        <f t="shared" si="72"/>
        <v>27.815628523867968</v>
      </c>
      <c r="AK157" s="379">
        <f t="shared" si="72"/>
        <v>23.510963007949144</v>
      </c>
      <c r="AL157" s="379">
        <f t="shared" si="72"/>
        <v>19.754502311809809</v>
      </c>
      <c r="AM157" s="379">
        <f t="shared" si="72"/>
        <v>25.578574210688995</v>
      </c>
      <c r="AN157" s="380">
        <f t="shared" si="72"/>
        <v>25.578574210688995</v>
      </c>
    </row>
    <row r="158" spans="1:40">
      <c r="A158" s="151" t="s">
        <v>285</v>
      </c>
      <c r="B158" s="141" t="s">
        <v>2</v>
      </c>
      <c r="C158" s="144" t="s">
        <v>148</v>
      </c>
      <c r="D158" s="381">
        <f t="shared" ref="D158:AN158" si="73">1-(D152/D$48)</f>
        <v>0.6397542488543132</v>
      </c>
      <c r="E158" s="382">
        <f t="shared" si="73"/>
        <v>0.71445905907415352</v>
      </c>
      <c r="F158" s="382">
        <f t="shared" si="73"/>
        <v>0.65212163328250705</v>
      </c>
      <c r="G158" s="382">
        <f t="shared" si="73"/>
        <v>0.63975424885431331</v>
      </c>
      <c r="H158" s="382">
        <f t="shared" si="73"/>
        <v>0.65008361233626144</v>
      </c>
      <c r="I158" s="382">
        <f t="shared" si="73"/>
        <v>0.53885229611304264</v>
      </c>
      <c r="J158" s="382">
        <f t="shared" si="73"/>
        <v>0.70547263253090509</v>
      </c>
      <c r="K158" s="382">
        <f t="shared" si="73"/>
        <v>0.54428448595743362</v>
      </c>
      <c r="L158" s="382">
        <f t="shared" si="73"/>
        <v>0.4712831862205803</v>
      </c>
      <c r="M158" s="382">
        <f t="shared" si="73"/>
        <v>0.68775206489852481</v>
      </c>
      <c r="N158" s="382">
        <f t="shared" si="73"/>
        <v>0.49997924902132407</v>
      </c>
      <c r="O158" s="382">
        <f t="shared" si="73"/>
        <v>0.72359851903793015</v>
      </c>
      <c r="P158" s="382">
        <f t="shared" si="73"/>
        <v>0.64980155264665873</v>
      </c>
      <c r="Q158" s="382">
        <f t="shared" si="73"/>
        <v>0.67096058974930362</v>
      </c>
      <c r="R158" s="382">
        <f t="shared" si="73"/>
        <v>0.67508018443773143</v>
      </c>
      <c r="S158" s="382">
        <f t="shared" si="73"/>
        <v>0.72512918214916222</v>
      </c>
      <c r="T158" s="382">
        <f t="shared" si="73"/>
        <v>0.50805269038202638</v>
      </c>
      <c r="U158" s="382">
        <f t="shared" si="73"/>
        <v>0.67845317609389</v>
      </c>
      <c r="V158" s="382">
        <f t="shared" si="73"/>
        <v>0.57677722169388979</v>
      </c>
      <c r="W158" s="382">
        <f t="shared" si="73"/>
        <v>0.58227132708282081</v>
      </c>
      <c r="X158" s="382">
        <f t="shared" si="73"/>
        <v>0.61253791604735985</v>
      </c>
      <c r="Y158" s="382">
        <f t="shared" si="73"/>
        <v>0.69716453802352341</v>
      </c>
      <c r="Z158" s="382">
        <f t="shared" si="73"/>
        <v>0.71741311222150506</v>
      </c>
      <c r="AA158" s="382">
        <f t="shared" si="73"/>
        <v>0.53681554512967589</v>
      </c>
      <c r="AB158" s="382">
        <f t="shared" si="73"/>
        <v>0.69793355561636672</v>
      </c>
      <c r="AC158" s="382">
        <f t="shared" si="73"/>
        <v>0.6921356738413087</v>
      </c>
      <c r="AD158" s="382">
        <f t="shared" si="73"/>
        <v>0.6243329627665718</v>
      </c>
      <c r="AE158" s="382">
        <f t="shared" si="73"/>
        <v>0.536815545129676</v>
      </c>
      <c r="AF158" s="382">
        <f t="shared" si="73"/>
        <v>0.64428531911306153</v>
      </c>
      <c r="AG158" s="382">
        <f t="shared" si="73"/>
        <v>0.64206538997253648</v>
      </c>
      <c r="AH158" s="382">
        <f t="shared" si="73"/>
        <v>0.74621735271226131</v>
      </c>
      <c r="AI158" s="382">
        <f t="shared" si="73"/>
        <v>0.65671241296148719</v>
      </c>
      <c r="AJ158" s="382">
        <f t="shared" si="73"/>
        <v>0.66492307423483199</v>
      </c>
      <c r="AK158" s="382">
        <f t="shared" si="73"/>
        <v>0.66117252784178437</v>
      </c>
      <c r="AL158" s="382">
        <f t="shared" si="73"/>
        <v>0.67072764826285503</v>
      </c>
      <c r="AM158" s="382">
        <f t="shared" si="73"/>
        <v>0.6649230742348321</v>
      </c>
      <c r="AN158" s="383">
        <f t="shared" si="73"/>
        <v>0.6649230742348321</v>
      </c>
    </row>
    <row r="159" spans="1:40">
      <c r="A159" s="129"/>
      <c r="B159" s="142" t="s">
        <v>3</v>
      </c>
      <c r="C159" s="131" t="s">
        <v>148</v>
      </c>
      <c r="D159" s="384">
        <f t="shared" ref="D159:AN159" si="74">1-(D153/D$49)</f>
        <v>0.58547523110329713</v>
      </c>
      <c r="E159" s="385">
        <f t="shared" si="74"/>
        <v>0.71445905907415352</v>
      </c>
      <c r="F159" s="385">
        <f t="shared" si="74"/>
        <v>0.65212163328250705</v>
      </c>
      <c r="G159" s="385">
        <f t="shared" si="74"/>
        <v>0.58547523110329713</v>
      </c>
      <c r="H159" s="385">
        <f t="shared" si="74"/>
        <v>0.62214222508451666</v>
      </c>
      <c r="I159" s="385">
        <f t="shared" si="74"/>
        <v>0.55188482130155914</v>
      </c>
      <c r="J159" s="385">
        <f t="shared" si="74"/>
        <v>0.64061328867611844</v>
      </c>
      <c r="K159" s="385">
        <f t="shared" si="74"/>
        <v>0.54862777984425259</v>
      </c>
      <c r="L159" s="385">
        <f t="shared" si="74"/>
        <v>0.4712831862205803</v>
      </c>
      <c r="M159" s="385">
        <f t="shared" si="74"/>
        <v>0.65551628692207675</v>
      </c>
      <c r="N159" s="385">
        <f t="shared" si="74"/>
        <v>0.51403823772643276</v>
      </c>
      <c r="O159" s="385">
        <f t="shared" si="74"/>
        <v>0.72359851903793015</v>
      </c>
      <c r="P159" s="385">
        <f t="shared" si="74"/>
        <v>0.64980155264665873</v>
      </c>
      <c r="Q159" s="385">
        <f t="shared" si="74"/>
        <v>0.68761666353739592</v>
      </c>
      <c r="R159" s="385">
        <f t="shared" si="74"/>
        <v>0.67508018443773143</v>
      </c>
      <c r="S159" s="385">
        <f t="shared" si="74"/>
        <v>0.72782447603752265</v>
      </c>
      <c r="T159" s="385">
        <f t="shared" si="74"/>
        <v>0.51550629302295925</v>
      </c>
      <c r="U159" s="385">
        <f t="shared" si="74"/>
        <v>0.66130237002522629</v>
      </c>
      <c r="V159" s="385">
        <f t="shared" si="74"/>
        <v>0.57677722169388979</v>
      </c>
      <c r="W159" s="385">
        <f t="shared" si="74"/>
        <v>0.64495473306781614</v>
      </c>
      <c r="X159" s="385">
        <f t="shared" si="74"/>
        <v>0.60679448352584919</v>
      </c>
      <c r="Y159" s="385">
        <f t="shared" si="74"/>
        <v>0.69693506550465456</v>
      </c>
      <c r="Z159" s="385">
        <f t="shared" si="74"/>
        <v>0.65860530560152208</v>
      </c>
      <c r="AA159" s="385">
        <f t="shared" si="74"/>
        <v>0.53470034860250548</v>
      </c>
      <c r="AB159" s="385">
        <f t="shared" si="74"/>
        <v>0.60738245389767642</v>
      </c>
      <c r="AC159" s="385">
        <f t="shared" si="74"/>
        <v>0.64227108302890956</v>
      </c>
      <c r="AD159" s="385">
        <f t="shared" si="74"/>
        <v>0.62211637076339343</v>
      </c>
      <c r="AE159" s="385">
        <f t="shared" si="74"/>
        <v>0.53470034860250548</v>
      </c>
      <c r="AF159" s="385">
        <f t="shared" si="74"/>
        <v>0.64428531911306153</v>
      </c>
      <c r="AG159" s="385">
        <f t="shared" si="74"/>
        <v>0.61547924636033657</v>
      </c>
      <c r="AH159" s="385">
        <f t="shared" si="74"/>
        <v>0.7549993314294261</v>
      </c>
      <c r="AI159" s="385">
        <f t="shared" si="74"/>
        <v>0.65671241296148719</v>
      </c>
      <c r="AJ159" s="385">
        <f t="shared" si="74"/>
        <v>0.66492307423483199</v>
      </c>
      <c r="AK159" s="385">
        <f t="shared" si="74"/>
        <v>0.66117252784178437</v>
      </c>
      <c r="AL159" s="385">
        <f t="shared" si="74"/>
        <v>0.67072764826285503</v>
      </c>
      <c r="AM159" s="385">
        <f t="shared" si="74"/>
        <v>0.6649230742348321</v>
      </c>
      <c r="AN159" s="386">
        <f t="shared" si="74"/>
        <v>0.6649230742348321</v>
      </c>
    </row>
    <row r="160" spans="1:40">
      <c r="A160" s="129"/>
      <c r="B160" s="142" t="s">
        <v>4</v>
      </c>
      <c r="C160" s="131" t="s">
        <v>148</v>
      </c>
      <c r="D160" s="384">
        <f t="shared" ref="D160:AN160" si="75">1-(D154/D$50)</f>
        <v>0.55316192392536923</v>
      </c>
      <c r="E160" s="385">
        <f t="shared" si="75"/>
        <v>0.71445905907415352</v>
      </c>
      <c r="F160" s="385">
        <f t="shared" si="75"/>
        <v>0.64450876089284292</v>
      </c>
      <c r="G160" s="385">
        <f t="shared" si="75"/>
        <v>0.55316192392536911</v>
      </c>
      <c r="H160" s="385">
        <f t="shared" si="75"/>
        <v>0.62966578073940149</v>
      </c>
      <c r="I160" s="385">
        <f t="shared" si="75"/>
        <v>0.55188482130155914</v>
      </c>
      <c r="J160" s="385">
        <f t="shared" si="75"/>
        <v>0.54111554425013408</v>
      </c>
      <c r="K160" s="385">
        <f t="shared" si="75"/>
        <v>0.51188850958155863</v>
      </c>
      <c r="L160" s="385">
        <f t="shared" si="75"/>
        <v>0.43349883047325555</v>
      </c>
      <c r="M160" s="385">
        <f t="shared" si="75"/>
        <v>0.65551628692207675</v>
      </c>
      <c r="N160" s="385">
        <f t="shared" si="75"/>
        <v>0.47744779085048006</v>
      </c>
      <c r="O160" s="385">
        <f t="shared" si="75"/>
        <v>0.60236442935412648</v>
      </c>
      <c r="P160" s="385">
        <f t="shared" si="75"/>
        <v>0.64980155264665873</v>
      </c>
      <c r="Q160" s="385">
        <f t="shared" si="75"/>
        <v>0.64617906647811973</v>
      </c>
      <c r="R160" s="385">
        <f t="shared" si="75"/>
        <v>0.63652071813124245</v>
      </c>
      <c r="S160" s="385">
        <f t="shared" si="75"/>
        <v>0.69943188625509989</v>
      </c>
      <c r="T160" s="385">
        <f t="shared" si="75"/>
        <v>0.47077104270161463</v>
      </c>
      <c r="U160" s="385">
        <f t="shared" si="75"/>
        <v>0.66423674789130449</v>
      </c>
      <c r="V160" s="385">
        <f t="shared" si="75"/>
        <v>0.47836988883413234</v>
      </c>
      <c r="W160" s="385">
        <f t="shared" si="75"/>
        <v>0.53900951734299385</v>
      </c>
      <c r="X160" s="385">
        <f t="shared" si="75"/>
        <v>0.58569338797381132</v>
      </c>
      <c r="Y160" s="385">
        <f t="shared" si="75"/>
        <v>0.62874853295149236</v>
      </c>
      <c r="Z160" s="385">
        <f t="shared" si="75"/>
        <v>0.67400632331750876</v>
      </c>
      <c r="AA160" s="385">
        <f t="shared" si="75"/>
        <v>0.48172833336806065</v>
      </c>
      <c r="AB160" s="385">
        <f t="shared" si="75"/>
        <v>0.527080339652227</v>
      </c>
      <c r="AC160" s="385">
        <f t="shared" si="75"/>
        <v>0.63805137281626101</v>
      </c>
      <c r="AD160" s="385">
        <f t="shared" si="75"/>
        <v>0.62211637076339343</v>
      </c>
      <c r="AE160" s="385">
        <f t="shared" si="75"/>
        <v>0.48172833336806065</v>
      </c>
      <c r="AF160" s="385">
        <f t="shared" si="75"/>
        <v>0.64302391156565331</v>
      </c>
      <c r="AG160" s="385">
        <f t="shared" si="75"/>
        <v>0.61547924636033657</v>
      </c>
      <c r="AH160" s="385">
        <f t="shared" si="75"/>
        <v>0.71406777817895839</v>
      </c>
      <c r="AI160" s="385">
        <f t="shared" si="75"/>
        <v>0.65671241296148719</v>
      </c>
      <c r="AJ160" s="385">
        <f t="shared" si="75"/>
        <v>0.66492307423483199</v>
      </c>
      <c r="AK160" s="385">
        <f t="shared" si="75"/>
        <v>0.66117252784178437</v>
      </c>
      <c r="AL160" s="385">
        <f t="shared" si="75"/>
        <v>0.6617473027441072</v>
      </c>
      <c r="AM160" s="385">
        <f t="shared" si="75"/>
        <v>0.6649230742348321</v>
      </c>
      <c r="AN160" s="386">
        <f t="shared" si="75"/>
        <v>0.6649230742348321</v>
      </c>
    </row>
    <row r="161" spans="1:40">
      <c r="A161" s="129"/>
      <c r="B161" s="142" t="s">
        <v>5</v>
      </c>
      <c r="C161" s="131" t="s">
        <v>148</v>
      </c>
      <c r="D161" s="384">
        <f t="shared" ref="D161:AN161" si="76">1-(D155/D$51)</f>
        <v>0.49029832334007595</v>
      </c>
      <c r="E161" s="385">
        <f t="shared" si="76"/>
        <v>0.68429867276398959</v>
      </c>
      <c r="F161" s="385">
        <f t="shared" si="76"/>
        <v>0.63645227602565091</v>
      </c>
      <c r="G161" s="385">
        <f t="shared" si="76"/>
        <v>0.49029832334007584</v>
      </c>
      <c r="H161" s="385">
        <f t="shared" si="76"/>
        <v>0.64605665297761883</v>
      </c>
      <c r="I161" s="385">
        <f t="shared" si="76"/>
        <v>0.54476171551995201</v>
      </c>
      <c r="J161" s="385">
        <f t="shared" si="76"/>
        <v>0.54015059443161806</v>
      </c>
      <c r="K161" s="385">
        <f t="shared" si="76"/>
        <v>0.48311093151441276</v>
      </c>
      <c r="L161" s="385">
        <f t="shared" si="76"/>
        <v>0.32324212621890414</v>
      </c>
      <c r="M161" s="385">
        <f t="shared" si="76"/>
        <v>0.67590270868623514</v>
      </c>
      <c r="N161" s="385">
        <f t="shared" si="76"/>
        <v>0.4211729641083457</v>
      </c>
      <c r="O161" s="385">
        <f t="shared" si="76"/>
        <v>0.57134591617085362</v>
      </c>
      <c r="P161" s="385">
        <f t="shared" si="76"/>
        <v>0.66593363347039036</v>
      </c>
      <c r="Q161" s="385">
        <f t="shared" si="76"/>
        <v>0.64617906647811973</v>
      </c>
      <c r="R161" s="385">
        <f t="shared" si="76"/>
        <v>0.56650477579161063</v>
      </c>
      <c r="S161" s="385">
        <f t="shared" si="76"/>
        <v>0.63581448860111112</v>
      </c>
      <c r="T161" s="385">
        <f t="shared" si="76"/>
        <v>0.41064925253603757</v>
      </c>
      <c r="U161" s="385">
        <f t="shared" si="76"/>
        <v>0.56525253761400918</v>
      </c>
      <c r="V161" s="385">
        <f t="shared" si="76"/>
        <v>0.47836988883413234</v>
      </c>
      <c r="W161" s="385">
        <f t="shared" si="76"/>
        <v>0.47246330984246976</v>
      </c>
      <c r="X161" s="385">
        <f t="shared" si="76"/>
        <v>0.49768849357792733</v>
      </c>
      <c r="Y161" s="385">
        <f t="shared" si="76"/>
        <v>0.67336352135438182</v>
      </c>
      <c r="Z161" s="385">
        <f t="shared" si="76"/>
        <v>0.52401523880174694</v>
      </c>
      <c r="AA161" s="385">
        <f t="shared" si="76"/>
        <v>0.47357554795787959</v>
      </c>
      <c r="AB161" s="385">
        <f t="shared" si="76"/>
        <v>0.527080339652227</v>
      </c>
      <c r="AC161" s="385">
        <f t="shared" si="76"/>
        <v>0.6280626282987356</v>
      </c>
      <c r="AD161" s="385">
        <f t="shared" si="76"/>
        <v>0.59345181974213967</v>
      </c>
      <c r="AE161" s="385">
        <f t="shared" si="76"/>
        <v>0.47357554795787937</v>
      </c>
      <c r="AF161" s="385">
        <f t="shared" si="76"/>
        <v>0.55259486610290565</v>
      </c>
      <c r="AG161" s="385">
        <f t="shared" si="76"/>
        <v>0.55686360855432482</v>
      </c>
      <c r="AH161" s="385">
        <f t="shared" si="76"/>
        <v>0.62989217557414601</v>
      </c>
      <c r="AI161" s="385">
        <f t="shared" si="76"/>
        <v>0.67203624531081763</v>
      </c>
      <c r="AJ161" s="385">
        <f t="shared" si="76"/>
        <v>0.62882890299420602</v>
      </c>
      <c r="AK161" s="385">
        <f t="shared" si="76"/>
        <v>0.62386080439102165</v>
      </c>
      <c r="AL161" s="385">
        <f t="shared" si="76"/>
        <v>0.6467388397082765</v>
      </c>
      <c r="AM161" s="385">
        <f t="shared" si="76"/>
        <v>0.62882890299420624</v>
      </c>
      <c r="AN161" s="386">
        <f t="shared" si="76"/>
        <v>0.62882890299420624</v>
      </c>
    </row>
    <row r="162" spans="1:40">
      <c r="A162" s="129"/>
      <c r="B162" s="142" t="s">
        <v>6</v>
      </c>
      <c r="C162" s="131" t="s">
        <v>148</v>
      </c>
      <c r="D162" s="384">
        <f t="shared" ref="D162:AN162" si="77">1-(D156/D$52)</f>
        <v>0.44279388060316138</v>
      </c>
      <c r="E162" s="385">
        <f t="shared" si="77"/>
        <v>0.68429867276398959</v>
      </c>
      <c r="F162" s="385">
        <f t="shared" si="77"/>
        <v>0.60098419681697823</v>
      </c>
      <c r="G162" s="385">
        <f t="shared" si="77"/>
        <v>0.44279388060316127</v>
      </c>
      <c r="H162" s="385">
        <f t="shared" si="77"/>
        <v>0.59019615420535432</v>
      </c>
      <c r="I162" s="385">
        <f t="shared" si="77"/>
        <v>0.48193796910774722</v>
      </c>
      <c r="J162" s="385">
        <f t="shared" si="77"/>
        <v>0.38400940579607112</v>
      </c>
      <c r="K162" s="385">
        <f t="shared" si="77"/>
        <v>0.48311093151441276</v>
      </c>
      <c r="L162" s="385">
        <f t="shared" si="77"/>
        <v>0.30160676167954192</v>
      </c>
      <c r="M162" s="385">
        <f t="shared" si="77"/>
        <v>0.67590270868623514</v>
      </c>
      <c r="N162" s="385">
        <f t="shared" si="77"/>
        <v>0.42133392671752012</v>
      </c>
      <c r="O162" s="385">
        <f t="shared" si="77"/>
        <v>0.44357132956906875</v>
      </c>
      <c r="P162" s="385">
        <f t="shared" si="77"/>
        <v>0.66593363347039036</v>
      </c>
      <c r="Q162" s="385">
        <f t="shared" si="77"/>
        <v>0.57137268113739403</v>
      </c>
      <c r="R162" s="385">
        <f t="shared" si="77"/>
        <v>0.56650477579161063</v>
      </c>
      <c r="S162" s="385">
        <f t="shared" si="77"/>
        <v>0.60116701559059016</v>
      </c>
      <c r="T162" s="385">
        <f t="shared" si="77"/>
        <v>0.41012147149682621</v>
      </c>
      <c r="U162" s="385">
        <f t="shared" si="77"/>
        <v>0.53470863395566726</v>
      </c>
      <c r="V162" s="385">
        <f t="shared" si="77"/>
        <v>0.47836988883413234</v>
      </c>
      <c r="W162" s="385">
        <f t="shared" si="77"/>
        <v>0.42506437313868828</v>
      </c>
      <c r="X162" s="385">
        <f t="shared" si="77"/>
        <v>0.49497440147944849</v>
      </c>
      <c r="Y162" s="385">
        <f t="shared" si="77"/>
        <v>0.67024540335903193</v>
      </c>
      <c r="Z162" s="385">
        <f t="shared" si="77"/>
        <v>0.49449824439413992</v>
      </c>
      <c r="AA162" s="385">
        <f t="shared" si="77"/>
        <v>0.46782915363092492</v>
      </c>
      <c r="AB162" s="385">
        <f t="shared" si="77"/>
        <v>0.527080339652227</v>
      </c>
      <c r="AC162" s="385">
        <f t="shared" si="77"/>
        <v>0.60793422999942948</v>
      </c>
      <c r="AD162" s="385">
        <f t="shared" si="77"/>
        <v>0.59345181974213967</v>
      </c>
      <c r="AE162" s="385">
        <f t="shared" si="77"/>
        <v>0.46782915363092492</v>
      </c>
      <c r="AF162" s="385">
        <f t="shared" si="77"/>
        <v>0.49003046769300662</v>
      </c>
      <c r="AG162" s="385">
        <f t="shared" si="77"/>
        <v>0.56113445676064866</v>
      </c>
      <c r="AH162" s="385">
        <f t="shared" si="77"/>
        <v>0.51169925058671817</v>
      </c>
      <c r="AI162" s="385">
        <f t="shared" si="77"/>
        <v>0.67203624531081763</v>
      </c>
      <c r="AJ162" s="385">
        <f t="shared" si="77"/>
        <v>0.61412314263868384</v>
      </c>
      <c r="AK162" s="385">
        <f t="shared" si="77"/>
        <v>0.60835871971231237</v>
      </c>
      <c r="AL162" s="385">
        <f t="shared" si="77"/>
        <v>0.60837721652836896</v>
      </c>
      <c r="AM162" s="385">
        <f t="shared" si="77"/>
        <v>0.61412314263868373</v>
      </c>
      <c r="AN162" s="386">
        <f t="shared" si="77"/>
        <v>0.61412314263868373</v>
      </c>
    </row>
    <row r="163" spans="1:40">
      <c r="A163" s="121"/>
      <c r="B163" s="374" t="s">
        <v>7</v>
      </c>
      <c r="C163" s="122" t="s">
        <v>148</v>
      </c>
      <c r="D163" s="191">
        <f t="shared" ref="D163:AN163" si="78">1-(D157/D$53)</f>
        <v>0.42429849916242002</v>
      </c>
      <c r="E163" s="387">
        <f t="shared" si="78"/>
        <v>0.56103944609943768</v>
      </c>
      <c r="F163" s="387">
        <f t="shared" si="78"/>
        <v>0.47082737352933424</v>
      </c>
      <c r="G163" s="387">
        <f t="shared" si="78"/>
        <v>0.42429849916242013</v>
      </c>
      <c r="H163" s="387">
        <f t="shared" si="78"/>
        <v>0.71275206867163743</v>
      </c>
      <c r="I163" s="387">
        <f t="shared" si="78"/>
        <v>0.4218790221123363</v>
      </c>
      <c r="J163" s="387">
        <f t="shared" si="78"/>
        <v>0.40869103345421376</v>
      </c>
      <c r="K163" s="387">
        <f t="shared" si="78"/>
        <v>0.40661553143089724</v>
      </c>
      <c r="L163" s="387">
        <f t="shared" si="78"/>
        <v>0.30160676167954192</v>
      </c>
      <c r="M163" s="387">
        <f t="shared" si="78"/>
        <v>0.55382789895460327</v>
      </c>
      <c r="N163" s="387">
        <f t="shared" si="78"/>
        <v>0.38312448645225672</v>
      </c>
      <c r="O163" s="387">
        <f t="shared" si="78"/>
        <v>0.43308319256408845</v>
      </c>
      <c r="P163" s="387">
        <f t="shared" si="78"/>
        <v>0.53018959936583054</v>
      </c>
      <c r="Q163" s="387">
        <f t="shared" si="78"/>
        <v>0.39536622171454217</v>
      </c>
      <c r="R163" s="387">
        <f t="shared" si="78"/>
        <v>0.42919984673133593</v>
      </c>
      <c r="S163" s="387">
        <f t="shared" si="78"/>
        <v>0.51425260621875646</v>
      </c>
      <c r="T163" s="387">
        <f t="shared" si="78"/>
        <v>0.37558619143938887</v>
      </c>
      <c r="U163" s="387">
        <f t="shared" si="78"/>
        <v>0.50926766038984117</v>
      </c>
      <c r="V163" s="387">
        <f t="shared" si="78"/>
        <v>0.36081503382864788</v>
      </c>
      <c r="W163" s="387">
        <f t="shared" si="78"/>
        <v>0.3631035174729591</v>
      </c>
      <c r="X163" s="387">
        <f t="shared" si="78"/>
        <v>0.37314305965838956</v>
      </c>
      <c r="Y163" s="387">
        <f t="shared" si="78"/>
        <v>0.65678430078617522</v>
      </c>
      <c r="Z163" s="387">
        <f t="shared" si="78"/>
        <v>0.45533675321994727</v>
      </c>
      <c r="AA163" s="387">
        <f t="shared" si="78"/>
        <v>0.38482643413072848</v>
      </c>
      <c r="AB163" s="387">
        <f t="shared" si="78"/>
        <v>0.49511359991351089</v>
      </c>
      <c r="AC163" s="387">
        <f t="shared" si="78"/>
        <v>0.5447828335557543</v>
      </c>
      <c r="AD163" s="387">
        <f t="shared" si="78"/>
        <v>0.4810250665106367</v>
      </c>
      <c r="AE163" s="387">
        <f t="shared" si="78"/>
        <v>0.38482643413072837</v>
      </c>
      <c r="AF163" s="387">
        <f t="shared" si="78"/>
        <v>0.36729978325247292</v>
      </c>
      <c r="AG163" s="387">
        <f t="shared" si="78"/>
        <v>0.39814009017840646</v>
      </c>
      <c r="AH163" s="387">
        <f t="shared" si="78"/>
        <v>0.46097959620435036</v>
      </c>
      <c r="AI163" s="387">
        <f t="shared" si="78"/>
        <v>0.54557287408105903</v>
      </c>
      <c r="AJ163" s="387">
        <f t="shared" si="78"/>
        <v>0.56394763304069606</v>
      </c>
      <c r="AK163" s="387">
        <f t="shared" si="78"/>
        <v>0.55767995929915615</v>
      </c>
      <c r="AL163" s="387">
        <f t="shared" si="78"/>
        <v>0.46929383494946364</v>
      </c>
      <c r="AM163" s="387">
        <f t="shared" si="78"/>
        <v>0.56394763304069606</v>
      </c>
      <c r="AN163" s="388">
        <f t="shared" si="78"/>
        <v>0.56394763304069606</v>
      </c>
    </row>
    <row r="164" spans="1:40">
      <c r="A164" s="334" t="s">
        <v>281</v>
      </c>
      <c r="B164" s="359" t="s">
        <v>287</v>
      </c>
      <c r="C164" s="443" t="s">
        <v>286</v>
      </c>
      <c r="D164" s="420">
        <f>('Energy Efficiency Measures-DBT'!D$57*D$22+'Energy Efficiency Measures-DBT'!D$16*D$15+'Energy Efficiency Measures-DBT'!D$36*D$13)/D$5</f>
        <v>94.956601880955432</v>
      </c>
      <c r="E164" s="421">
        <f>('Energy Efficiency Measures-DBT'!E$57*E$22+'Energy Efficiency Measures-DBT'!E$16*E$15+'Energy Efficiency Measures-DBT'!E$36*E$13)/E$5</f>
        <v>115.7937719522389</v>
      </c>
      <c r="F164" s="421">
        <f>('Energy Efficiency Measures-DBT'!F$57*F$22+'Energy Efficiency Measures-DBT'!F$16*F$15+'Energy Efficiency Measures-DBT'!F$36*F$13)/F$5</f>
        <v>58.705678108647156</v>
      </c>
      <c r="G164" s="421">
        <f>('Energy Efficiency Measures-DBT'!G$57*G$22+'Energy Efficiency Measures-DBT'!G$16*G$15+'Energy Efficiency Measures-DBT'!G$36*G$13)/G$5</f>
        <v>94.956601880955432</v>
      </c>
      <c r="H164" s="421">
        <f>('Energy Efficiency Measures-DBT'!H$57*H$22+'Energy Efficiency Measures-DBT'!H$16*H$15+'Energy Efficiency Measures-DBT'!H$36*H$13)/H$5</f>
        <v>112.84054856070843</v>
      </c>
      <c r="I164" s="421">
        <f>('Energy Efficiency Measures-DBT'!I$57*I$22+'Energy Efficiency Measures-DBT'!I$16*I$15+'Energy Efficiency Measures-DBT'!I$36*I$13)/I$5</f>
        <v>96.335145783925952</v>
      </c>
      <c r="J164" s="421">
        <f>('Energy Efficiency Measures-DBT'!J$57*J$22+'Energy Efficiency Measures-DBT'!J$16*J$15+'Energy Efficiency Measures-DBT'!J$36*J$13)/J$5</f>
        <v>111.44585226196854</v>
      </c>
      <c r="K164" s="421">
        <f>('Energy Efficiency Measures-DBT'!K$57*K$22+'Energy Efficiency Measures-DBT'!K$16*K$15+'Energy Efficiency Measures-DBT'!K$36*K$13)/K$5</f>
        <v>87.386053536182217</v>
      </c>
      <c r="L164" s="421">
        <f>('Energy Efficiency Measures-DBT'!L$57*L$22+'Energy Efficiency Measures-DBT'!L$16*L$15+'Energy Efficiency Measures-DBT'!L$36*L$13)/L$5</f>
        <v>82.62156786614257</v>
      </c>
      <c r="M164" s="421">
        <f>('Energy Efficiency Measures-DBT'!M$57*M$22+'Energy Efficiency Measures-DBT'!M$16*M$15+'Energy Efficiency Measures-DBT'!M$36*M$13)/M$5</f>
        <v>124.34951059537309</v>
      </c>
      <c r="N164" s="421">
        <f>('Energy Efficiency Measures-DBT'!N$57*N$22+'Energy Efficiency Measures-DBT'!N$16*N$15+'Energy Efficiency Measures-DBT'!N$36*N$13)/N$5</f>
        <v>102.63770250014717</v>
      </c>
      <c r="O164" s="421">
        <f>('Energy Efficiency Measures-DBT'!O$57*O$22+'Energy Efficiency Measures-DBT'!O$16*O$15+'Energy Efficiency Measures-DBT'!O$36*O$13)/O$5</f>
        <v>119.13573309433511</v>
      </c>
      <c r="P164" s="421">
        <f>('Energy Efficiency Measures-DBT'!P$57*P$22+'Energy Efficiency Measures-DBT'!P$16*P$15+'Energy Efficiency Measures-DBT'!P$36*P$13)/P$5</f>
        <v>129.56509244126252</v>
      </c>
      <c r="Q164" s="421">
        <f>('Energy Efficiency Measures-DBT'!Q$57*Q$22+'Energy Efficiency Measures-DBT'!Q$16*Q$15+'Energy Efficiency Measures-DBT'!Q$36*Q$13)/Q$5</f>
        <v>67.002775819950941</v>
      </c>
      <c r="R164" s="421">
        <f>('Energy Efficiency Measures-DBT'!R$57*R$22+'Energy Efficiency Measures-DBT'!R$16*R$15+'Energy Efficiency Measures-DBT'!R$36*R$13)/R$5</f>
        <v>84.023836023904664</v>
      </c>
      <c r="S164" s="421">
        <f>('Energy Efficiency Measures-DBT'!S$57*S$22+'Energy Efficiency Measures-DBT'!S$16*S$15+'Energy Efficiency Measures-DBT'!S$36*S$13)/S$5</f>
        <v>81.278876989389985</v>
      </c>
      <c r="T164" s="421">
        <f>('Energy Efficiency Measures-DBT'!T$57*T$22+'Energy Efficiency Measures-DBT'!T$16*T$15+'Energy Efficiency Measures-DBT'!T$36*T$13)/T$5</f>
        <v>121.94651211671044</v>
      </c>
      <c r="U164" s="421">
        <f>('Energy Efficiency Measures-DBT'!U$57*U$22+'Energy Efficiency Measures-DBT'!U$16*U$15+'Energy Efficiency Measures-DBT'!U$36*U$13)/U$5</f>
        <v>98.099674473957108</v>
      </c>
      <c r="V164" s="421">
        <f>('Energy Efficiency Measures-DBT'!V$57*V$22+'Energy Efficiency Measures-DBT'!V$16*V$15+'Energy Efficiency Measures-DBT'!V$36*V$13)/V$5</f>
        <v>78.09950098238933</v>
      </c>
      <c r="W164" s="421">
        <f>('Energy Efficiency Measures-DBT'!W$57*W$22+'Energy Efficiency Measures-DBT'!W$16*W$15+'Energy Efficiency Measures-DBT'!W$36*W$13)/W$5</f>
        <v>90.858074400880582</v>
      </c>
      <c r="X164" s="421">
        <f>('Energy Efficiency Measures-DBT'!X$57*X$22+'Energy Efficiency Measures-DBT'!X$16*X$15+'Energy Efficiency Measures-DBT'!X$36*X$13)/X$5</f>
        <v>78.168738318040226</v>
      </c>
      <c r="Y164" s="421">
        <f>('Energy Efficiency Measures-DBT'!Y$57*Y$22+'Energy Efficiency Measures-DBT'!Y$16*Y$15+'Energy Efficiency Measures-DBT'!Y$36*Y$13)/Y$5</f>
        <v>102.27292336964753</v>
      </c>
      <c r="Z164" s="421">
        <f>('Energy Efficiency Measures-DBT'!Z$57*Z$22+'Energy Efficiency Measures-DBT'!Z$16*Z$15+'Energy Efficiency Measures-DBT'!Z$36*Z$13)/Z$5</f>
        <v>103.74965650734872</v>
      </c>
      <c r="AA164" s="421">
        <f>('Energy Efficiency Measures-DBT'!AA$57*AA$22+'Energy Efficiency Measures-DBT'!AA$16*AA$15+'Energy Efficiency Measures-DBT'!AA$36*AA$13)/AA$5</f>
        <v>109.27241669655126</v>
      </c>
      <c r="AB164" s="421">
        <f>('Energy Efficiency Measures-DBT'!AB$57*AB$22+'Energy Efficiency Measures-DBT'!AB$16*AB$15+'Energy Efficiency Measures-DBT'!AB$36*AB$13)/AB$5</f>
        <v>72.9806664917989</v>
      </c>
      <c r="AC164" s="421">
        <f>('Energy Efficiency Measures-DBT'!AC$57*AC$22+'Energy Efficiency Measures-DBT'!AC$16*AC$15+'Energy Efficiency Measures-DBT'!AC$36*AC$13)/AC$5</f>
        <v>100.97516992953877</v>
      </c>
      <c r="AD164" s="421">
        <f>('Energy Efficiency Measures-DBT'!AD$57*AD$22+'Energy Efficiency Measures-DBT'!AD$16*AD$15+'Energy Efficiency Measures-DBT'!AD$36*AD$13)/AD$5</f>
        <v>69.242548477290129</v>
      </c>
      <c r="AE164" s="421">
        <f>('Energy Efficiency Measures-DBT'!AE$57*AE$22+'Energy Efficiency Measures-DBT'!AE$16*AE$15+'Energy Efficiency Measures-DBT'!AE$36*AE$13)/AE$5</f>
        <v>109.27241669655126</v>
      </c>
      <c r="AF164" s="421">
        <f>('Energy Efficiency Measures-DBT'!AF$57*AF$22+'Energy Efficiency Measures-DBT'!AF$16*AF$15+'Energy Efficiency Measures-DBT'!AF$36*AF$13)/AF$5</f>
        <v>78.100489895545934</v>
      </c>
      <c r="AG164" s="421">
        <f>('Energy Efficiency Measures-DBT'!AG$57*AG$22+'Energy Efficiency Measures-DBT'!AG$16*AG$15+'Energy Efficiency Measures-DBT'!AG$36*AG$13)/AG$5</f>
        <v>84.398910111534605</v>
      </c>
      <c r="AH164" s="421">
        <f>('Energy Efficiency Measures-DBT'!AH$57*AH$22+'Energy Efficiency Measures-DBT'!AH$16*AH$15+'Energy Efficiency Measures-DBT'!AH$36*AH$13)/AH$5</f>
        <v>106.73488536980834</v>
      </c>
      <c r="AI164" s="421">
        <f>('Energy Efficiency Measures-DBT'!AI$57*AI$22+'Energy Efficiency Measures-DBT'!AI$16*AI$15+'Energy Efficiency Measures-DBT'!AI$36*AI$13)/AI$5</f>
        <v>60.737436663004196</v>
      </c>
      <c r="AJ164" s="421">
        <f>('Energy Efficiency Measures-DBT'!AJ$57*AJ$22+'Energy Efficiency Measures-DBT'!AJ$16*AJ$15+'Energy Efficiency Measures-DBT'!AJ$36*AJ$13)/AJ$5</f>
        <v>67.002775819950941</v>
      </c>
      <c r="AK164" s="421">
        <f>('Energy Efficiency Measures-DBT'!AK$57*AK$22+'Energy Efficiency Measures-DBT'!AK$16*AK$15+'Energy Efficiency Measures-DBT'!AK$36*AK$13)/AK$5</f>
        <v>60.737436663004196</v>
      </c>
      <c r="AL164" s="421">
        <f>('Energy Efficiency Measures-DBT'!AL$57*AL$22+'Energy Efficiency Measures-DBT'!AL$16*AL$15+'Energy Efficiency Measures-DBT'!AL$36*AL$13)/AL$5</f>
        <v>67.002775819950941</v>
      </c>
      <c r="AM164" s="421">
        <f>('Energy Efficiency Measures-DBT'!AM$57*AM$22+'Energy Efficiency Measures-DBT'!AM$16*AM$15+'Energy Efficiency Measures-DBT'!AM$36*AM$13)/AM$5</f>
        <v>67.002775819950941</v>
      </c>
      <c r="AN164" s="422">
        <f>('Energy Efficiency Measures-DBT'!AN$57*AN$22+'Energy Efficiency Measures-DBT'!AN$16*AN$15+'Energy Efficiency Measures-DBT'!AN$36*AN$13)/AN$5</f>
        <v>67.002775819950941</v>
      </c>
    </row>
    <row r="165" spans="1:40">
      <c r="A165" s="407"/>
      <c r="B165" s="347" t="s">
        <v>291</v>
      </c>
      <c r="C165" s="450" t="s">
        <v>292</v>
      </c>
      <c r="D165" s="451">
        <f t="shared" ref="D165:AN165" si="79">PMT(0.12,20,-D166,0,1)/(D41-D146)/3.6*1000</f>
        <v>46.580566421214527</v>
      </c>
      <c r="E165" s="452">
        <f t="shared" si="79"/>
        <v>52.384640198379245</v>
      </c>
      <c r="F165" s="452">
        <f t="shared" si="79"/>
        <v>43.876516524958078</v>
      </c>
      <c r="G165" s="452">
        <f t="shared" si="79"/>
        <v>47.811299365140904</v>
      </c>
      <c r="H165" s="452">
        <f t="shared" si="79"/>
        <v>167.68941502954601</v>
      </c>
      <c r="I165" s="452">
        <f t="shared" si="79"/>
        <v>68.37834513001593</v>
      </c>
      <c r="J165" s="452">
        <f t="shared" si="79"/>
        <v>43.788335267025921</v>
      </c>
      <c r="K165" s="452">
        <f t="shared" si="79"/>
        <v>93.424246515255689</v>
      </c>
      <c r="L165" s="452">
        <f t="shared" si="79"/>
        <v>82.085691035684079</v>
      </c>
      <c r="M165" s="452">
        <f t="shared" si="79"/>
        <v>59.682257474825271</v>
      </c>
      <c r="N165" s="452">
        <f t="shared" si="79"/>
        <v>85.582493204646141</v>
      </c>
      <c r="O165" s="452">
        <f t="shared" si="79"/>
        <v>45.943969716882656</v>
      </c>
      <c r="P165" s="452">
        <f t="shared" si="79"/>
        <v>70.661624466207257</v>
      </c>
      <c r="Q165" s="452">
        <f t="shared" si="79"/>
        <v>41.548866138667364</v>
      </c>
      <c r="R165" s="452">
        <f t="shared" si="79"/>
        <v>39.03279069041826</v>
      </c>
      <c r="S165" s="452">
        <f t="shared" si="79"/>
        <v>51.237581989548204</v>
      </c>
      <c r="T165" s="452">
        <f t="shared" si="79"/>
        <v>90.143009488288428</v>
      </c>
      <c r="U165" s="452">
        <f t="shared" si="79"/>
        <v>67.822564139106461</v>
      </c>
      <c r="V165" s="452">
        <f t="shared" si="79"/>
        <v>43.193940033116284</v>
      </c>
      <c r="W165" s="452">
        <f t="shared" si="79"/>
        <v>61.257164873837326</v>
      </c>
      <c r="X165" s="452">
        <f t="shared" si="79"/>
        <v>36.426982516374729</v>
      </c>
      <c r="Y165" s="452">
        <f t="shared" si="79"/>
        <v>178.52431235419911</v>
      </c>
      <c r="Z165" s="452">
        <f t="shared" si="79"/>
        <v>45.600514272133367</v>
      </c>
      <c r="AA165" s="452">
        <f t="shared" si="79"/>
        <v>82.829953294271874</v>
      </c>
      <c r="AB165" s="452">
        <f t="shared" si="79"/>
        <v>27.625804653460932</v>
      </c>
      <c r="AC165" s="452">
        <f t="shared" si="79"/>
        <v>100.527407730595</v>
      </c>
      <c r="AD165" s="452">
        <f t="shared" si="79"/>
        <v>44.004258079209293</v>
      </c>
      <c r="AE165" s="452">
        <f t="shared" si="79"/>
        <v>85.903364492920446</v>
      </c>
      <c r="AF165" s="452">
        <f t="shared" si="79"/>
        <v>40.907101036644441</v>
      </c>
      <c r="AG165" s="452">
        <f t="shared" si="79"/>
        <v>34.490569909669432</v>
      </c>
      <c r="AH165" s="452">
        <f t="shared" si="79"/>
        <v>53.277543526659855</v>
      </c>
      <c r="AI165" s="452">
        <f t="shared" si="79"/>
        <v>41.149813079585428</v>
      </c>
      <c r="AJ165" s="452">
        <f t="shared" si="79"/>
        <v>37.450558713869938</v>
      </c>
      <c r="AK165" s="452">
        <f t="shared" si="79"/>
        <v>40.821904968116478</v>
      </c>
      <c r="AL165" s="452">
        <f t="shared" si="79"/>
        <v>38.243873702818235</v>
      </c>
      <c r="AM165" s="452">
        <f t="shared" si="79"/>
        <v>40.725914611807937</v>
      </c>
      <c r="AN165" s="453">
        <f t="shared" si="79"/>
        <v>40.725914611807937</v>
      </c>
    </row>
    <row r="166" spans="1:40">
      <c r="A166" s="404"/>
      <c r="B166" s="338" t="s">
        <v>287</v>
      </c>
      <c r="C166" s="444" t="s">
        <v>288</v>
      </c>
      <c r="D166" s="423">
        <f t="shared" ref="D166:AN166" si="80">D164*D$4</f>
        <v>6795.7268415696981</v>
      </c>
      <c r="E166" s="424">
        <f t="shared" si="80"/>
        <v>8480.5573037856266</v>
      </c>
      <c r="F166" s="424">
        <f t="shared" si="80"/>
        <v>3785.3580336843361</v>
      </c>
      <c r="G166" s="424">
        <f t="shared" si="80"/>
        <v>6795.7268415696981</v>
      </c>
      <c r="H166" s="424">
        <f t="shared" si="80"/>
        <v>8237.3600449317146</v>
      </c>
      <c r="I166" s="424">
        <f t="shared" si="80"/>
        <v>5875.2403778432044</v>
      </c>
      <c r="J166" s="424">
        <f t="shared" si="80"/>
        <v>6988.5895217424959</v>
      </c>
      <c r="K166" s="424">
        <f t="shared" si="80"/>
        <v>6851.066597236686</v>
      </c>
      <c r="L166" s="424">
        <f t="shared" si="80"/>
        <v>3949.2308837023525</v>
      </c>
      <c r="M166" s="424">
        <f t="shared" si="80"/>
        <v>10740.019106861773</v>
      </c>
      <c r="N166" s="424">
        <f t="shared" si="80"/>
        <v>5747.7113400082417</v>
      </c>
      <c r="O166" s="424">
        <f t="shared" si="80"/>
        <v>7853.915148134125</v>
      </c>
      <c r="P166" s="424">
        <f t="shared" si="80"/>
        <v>9458.2517482121639</v>
      </c>
      <c r="Q166" s="424">
        <f t="shared" si="80"/>
        <v>4262.2022843580853</v>
      </c>
      <c r="R166" s="424">
        <f t="shared" si="80"/>
        <v>3926.8133930643849</v>
      </c>
      <c r="S166" s="424">
        <f t="shared" si="80"/>
        <v>5408.7041697209888</v>
      </c>
      <c r="T166" s="424">
        <f t="shared" si="80"/>
        <v>6829.0046785357845</v>
      </c>
      <c r="U166" s="424">
        <f t="shared" si="80"/>
        <v>8907.4504422353057</v>
      </c>
      <c r="V166" s="424">
        <f t="shared" si="80"/>
        <v>4026.9472571767169</v>
      </c>
      <c r="W166" s="424">
        <f t="shared" si="80"/>
        <v>7795.6323236933658</v>
      </c>
      <c r="X166" s="424">
        <f t="shared" si="80"/>
        <v>4025.6900233790716</v>
      </c>
      <c r="Y166" s="424">
        <f t="shared" si="80"/>
        <v>8696.4151744058618</v>
      </c>
      <c r="Z166" s="424">
        <f t="shared" si="80"/>
        <v>7864.2239632570327</v>
      </c>
      <c r="AA166" s="424">
        <f t="shared" si="80"/>
        <v>7299.3974353296235</v>
      </c>
      <c r="AB166" s="424">
        <f t="shared" si="80"/>
        <v>3830.0060376129859</v>
      </c>
      <c r="AC166" s="424">
        <f t="shared" si="80"/>
        <v>9760.2764853170847</v>
      </c>
      <c r="AD166" s="424">
        <f t="shared" si="80"/>
        <v>3320.2040189227378</v>
      </c>
      <c r="AE166" s="424">
        <f t="shared" si="80"/>
        <v>7299.3974353296235</v>
      </c>
      <c r="AF166" s="424">
        <f t="shared" si="80"/>
        <v>4026.9292845410473</v>
      </c>
      <c r="AG166" s="424">
        <f t="shared" si="80"/>
        <v>5169.6772415806272</v>
      </c>
      <c r="AH166" s="424">
        <f t="shared" si="80"/>
        <v>5167.035800752421</v>
      </c>
      <c r="AI166" s="424">
        <f t="shared" si="80"/>
        <v>4433.8328763993068</v>
      </c>
      <c r="AJ166" s="424">
        <f t="shared" si="80"/>
        <v>4262.2022843580853</v>
      </c>
      <c r="AK166" s="424">
        <f t="shared" si="80"/>
        <v>4433.8328763993068</v>
      </c>
      <c r="AL166" s="424">
        <f t="shared" si="80"/>
        <v>4262.2022843580853</v>
      </c>
      <c r="AM166" s="424">
        <f t="shared" si="80"/>
        <v>4262.2022843580853</v>
      </c>
      <c r="AN166" s="425">
        <f t="shared" si="80"/>
        <v>4262.2022843580853</v>
      </c>
    </row>
  </sheetData>
  <mergeCells count="5">
    <mergeCell ref="A24:B24"/>
    <mergeCell ref="A61:B61"/>
    <mergeCell ref="A97:B97"/>
    <mergeCell ref="A133:B133"/>
    <mergeCell ref="A59:AN59"/>
  </mergeCell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5">
    <tabColor rgb="FFFFFF00"/>
  </sheetPr>
  <dimension ref="A1:AN232"/>
  <sheetViews>
    <sheetView zoomScale="70" zoomScaleNormal="70" workbookViewId="0">
      <pane ySplit="2" topLeftCell="A3" activePane="bottomLeft" state="frozen"/>
      <selection activeCell="J18" sqref="J18"/>
      <selection pane="bottomLeft" activeCell="J18" sqref="J18"/>
    </sheetView>
  </sheetViews>
  <sheetFormatPr defaultRowHeight="14.4"/>
  <cols>
    <col min="1" max="1" width="34.44140625" customWidth="1"/>
    <col min="2" max="2" width="19.5546875" customWidth="1"/>
    <col min="3" max="3" width="15.6640625" bestFit="1" customWidth="1"/>
  </cols>
  <sheetData>
    <row r="1" spans="1:40" ht="21">
      <c r="A1" s="3" t="s">
        <v>124</v>
      </c>
      <c r="B1" s="3" t="s">
        <v>65</v>
      </c>
    </row>
    <row r="2" spans="1:40">
      <c r="A2" s="344" t="s">
        <v>253</v>
      </c>
      <c r="B2" s="158"/>
      <c r="C2" s="159" t="s">
        <v>1</v>
      </c>
      <c r="D2" s="165" t="s">
        <v>88</v>
      </c>
      <c r="E2" s="165" t="s">
        <v>89</v>
      </c>
      <c r="F2" s="165" t="s">
        <v>90</v>
      </c>
      <c r="G2" s="165" t="s">
        <v>91</v>
      </c>
      <c r="H2" s="165" t="s">
        <v>92</v>
      </c>
      <c r="I2" s="165" t="s">
        <v>93</v>
      </c>
      <c r="J2" s="165" t="s">
        <v>94</v>
      </c>
      <c r="K2" s="165" t="s">
        <v>95</v>
      </c>
      <c r="L2" s="165" t="s">
        <v>96</v>
      </c>
      <c r="M2" s="165" t="s">
        <v>97</v>
      </c>
      <c r="N2" s="165" t="s">
        <v>98</v>
      </c>
      <c r="O2" s="165" t="s">
        <v>99</v>
      </c>
      <c r="P2" s="165" t="s">
        <v>205</v>
      </c>
      <c r="Q2" s="165" t="s">
        <v>118</v>
      </c>
      <c r="R2" s="165" t="s">
        <v>100</v>
      </c>
      <c r="S2" s="165" t="s">
        <v>101</v>
      </c>
      <c r="T2" s="165" t="s">
        <v>102</v>
      </c>
      <c r="U2" s="165" t="s">
        <v>103</v>
      </c>
      <c r="V2" s="165" t="s">
        <v>104</v>
      </c>
      <c r="W2" s="165" t="s">
        <v>105</v>
      </c>
      <c r="X2" s="165" t="s">
        <v>106</v>
      </c>
      <c r="Y2" s="165" t="s">
        <v>107</v>
      </c>
      <c r="Z2" s="165" t="s">
        <v>108</v>
      </c>
      <c r="AA2" s="165" t="s">
        <v>109</v>
      </c>
      <c r="AB2" s="165" t="s">
        <v>110</v>
      </c>
      <c r="AC2" s="165" t="s">
        <v>111</v>
      </c>
      <c r="AD2" s="165" t="s">
        <v>112</v>
      </c>
      <c r="AE2" s="165" t="s">
        <v>113</v>
      </c>
      <c r="AF2" s="165" t="s">
        <v>114</v>
      </c>
      <c r="AG2" s="165" t="s">
        <v>115</v>
      </c>
      <c r="AH2" s="165" t="s">
        <v>52</v>
      </c>
      <c r="AI2" s="165" t="s">
        <v>116</v>
      </c>
      <c r="AJ2" s="165" t="s">
        <v>117</v>
      </c>
      <c r="AK2" s="165" t="s">
        <v>119</v>
      </c>
      <c r="AL2" s="165" t="s">
        <v>120</v>
      </c>
      <c r="AM2" s="165" t="s">
        <v>121</v>
      </c>
      <c r="AN2" s="166" t="s">
        <v>122</v>
      </c>
    </row>
    <row r="3" spans="1:40">
      <c r="A3" s="5" t="s">
        <v>223</v>
      </c>
      <c r="B3" s="5"/>
      <c r="C3" s="5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</row>
    <row r="4" spans="1:40">
      <c r="A4" s="938" t="s">
        <v>123</v>
      </c>
      <c r="B4" s="939"/>
      <c r="C4" s="138" t="s">
        <v>76</v>
      </c>
      <c r="D4" s="194">
        <v>1</v>
      </c>
      <c r="E4" s="195">
        <v>1</v>
      </c>
      <c r="F4" s="195">
        <v>1</v>
      </c>
      <c r="G4" s="195">
        <v>1</v>
      </c>
      <c r="H4" s="195">
        <v>1</v>
      </c>
      <c r="I4" s="195">
        <v>1</v>
      </c>
      <c r="J4" s="195">
        <v>1</v>
      </c>
      <c r="K4" s="195">
        <v>1</v>
      </c>
      <c r="L4" s="195">
        <v>1</v>
      </c>
      <c r="M4" s="195">
        <v>1</v>
      </c>
      <c r="N4" s="195">
        <v>1</v>
      </c>
      <c r="O4" s="195">
        <v>1</v>
      </c>
      <c r="P4" s="195">
        <v>1</v>
      </c>
      <c r="Q4" s="195">
        <v>1</v>
      </c>
      <c r="R4" s="195">
        <v>1</v>
      </c>
      <c r="S4" s="195">
        <v>1</v>
      </c>
      <c r="T4" s="195">
        <v>1</v>
      </c>
      <c r="U4" s="195">
        <v>1</v>
      </c>
      <c r="V4" s="195">
        <v>1</v>
      </c>
      <c r="W4" s="195">
        <v>1</v>
      </c>
      <c r="X4" s="195">
        <v>1</v>
      </c>
      <c r="Y4" s="195">
        <v>1</v>
      </c>
      <c r="Z4" s="195">
        <v>1</v>
      </c>
      <c r="AA4" s="195">
        <v>1</v>
      </c>
      <c r="AB4" s="195">
        <v>1</v>
      </c>
      <c r="AC4" s="195">
        <v>1</v>
      </c>
      <c r="AD4" s="195">
        <v>1</v>
      </c>
      <c r="AE4" s="195">
        <v>1</v>
      </c>
      <c r="AF4" s="195">
        <v>1</v>
      </c>
      <c r="AG4" s="195">
        <v>1</v>
      </c>
      <c r="AH4" s="195">
        <v>1</v>
      </c>
      <c r="AI4" s="195">
        <v>1</v>
      </c>
      <c r="AJ4" s="195">
        <v>1</v>
      </c>
      <c r="AK4" s="195">
        <v>1</v>
      </c>
      <c r="AL4" s="195">
        <v>1</v>
      </c>
      <c r="AM4" s="195">
        <v>1</v>
      </c>
      <c r="AN4" s="196">
        <v>1</v>
      </c>
    </row>
    <row r="5" spans="1:40">
      <c r="A5" s="151" t="s">
        <v>193</v>
      </c>
      <c r="B5" s="141" t="s">
        <v>2</v>
      </c>
      <c r="C5" s="144" t="s">
        <v>195</v>
      </c>
      <c r="D5" s="170">
        <f>((LOOKUP(Detached!D$2,'Ceiling-U'!$A$4:$A$40,'Ceiling-U'!$E$4:$E$40)*Detached!D$14)+(LOOKUP(Detached!D$2,'Floor-U'!$A$4:$A$40,'Floor-U'!$E$4:$E$40)*Detached!D$15)+(LOOKUP(Detached!D$2,'Wall-U'!$A$4:$A$40,'Wall-U'!$E$4:$E$40)*Detached!D$12)+(LOOKUP(Detached!D$2,'Window-U'!$A$4:$A$40,'Window-U'!$Q$4:$Q$40)*Detached!D$21))*D4</f>
        <v>526.80153005625198</v>
      </c>
      <c r="E5" s="171">
        <f>((LOOKUP(Detached!E$2,'Ceiling-U'!$A$4:$A$40,'Ceiling-U'!$E$4:$E$40)*Detached!E$14)+(LOOKUP(Detached!E$2,'Floor-U'!$A$4:$A$40,'Floor-U'!$E$4:$E$40)*Detached!E$15)+(LOOKUP(Detached!E$2,'Wall-U'!$A$4:$A$40,'Wall-U'!$E$4:$E$40)*Detached!E$12)+(LOOKUP(Detached!E$2,'Window-U'!$A$4:$A$40,'Window-U'!$Q$4:$Q$40)*Detached!E$21))*E4</f>
        <v>615.09087407510015</v>
      </c>
      <c r="F5" s="171">
        <f>((LOOKUP(Detached!F$2,'Ceiling-U'!$A$4:$A$40,'Ceiling-U'!$E$4:$E$40)*Detached!F$14)+(LOOKUP(Detached!F$2,'Floor-U'!$A$4:$A$40,'Floor-U'!$E$4:$E$40)*Detached!F$15)+(LOOKUP(Detached!F$2,'Wall-U'!$A$4:$A$40,'Wall-U'!$E$4:$E$40)*Detached!F$12)+(LOOKUP(Detached!F$2,'Window-U'!$A$4:$A$40,'Window-U'!$Q$4:$Q$40)*Detached!F$21))*F4</f>
        <v>371.92230993026567</v>
      </c>
      <c r="G5" s="171">
        <f>((LOOKUP(Detached!G$2,'Ceiling-U'!$A$4:$A$40,'Ceiling-U'!$E$4:$E$40)*Detached!G$14)+(LOOKUP(Detached!G$2,'Floor-U'!$A$4:$A$40,'Floor-U'!$E$4:$E$40)*Detached!G$15)+(LOOKUP(Detached!G$2,'Wall-U'!$A$4:$A$40,'Wall-U'!$E$4:$E$40)*Detached!G$12)+(LOOKUP(Detached!G$2,'Window-U'!$A$4:$A$40,'Window-U'!$Q$4:$Q$40)*Detached!G$21))*G4</f>
        <v>526.80153005625198</v>
      </c>
      <c r="H5" s="171">
        <f>((LOOKUP(Detached!H$2,'Ceiling-U'!$A$4:$A$40,'Ceiling-U'!$E$4:$E$40)*Detached!H$14)+(LOOKUP(Detached!H$2,'Floor-U'!$A$4:$A$40,'Floor-U'!$E$4:$E$40)*Detached!H$15)+(LOOKUP(Detached!H$2,'Wall-U'!$A$4:$A$40,'Wall-U'!$E$4:$E$40)*Detached!H$12)+(LOOKUP(Detached!H$2,'Window-U'!$A$4:$A$40,'Window-U'!$Q$4:$Q$40)*Detached!H$21))*H4</f>
        <v>790.66319389240198</v>
      </c>
      <c r="I5" s="171">
        <f>((LOOKUP(Detached!I$2,'Ceiling-U'!$A$4:$A$40,'Ceiling-U'!$E$4:$E$40)*Detached!I$14)+(LOOKUP(Detached!I$2,'Floor-U'!$A$4:$A$40,'Floor-U'!$E$4:$E$40)*Detached!I$15)+(LOOKUP(Detached!I$2,'Wall-U'!$A$4:$A$40,'Wall-U'!$E$4:$E$40)*Detached!I$12)+(LOOKUP(Detached!I$2,'Window-U'!$A$4:$A$40,'Window-U'!$Q$4:$Q$40)*Detached!I$21))*I4</f>
        <v>376.83211875279051</v>
      </c>
      <c r="J5" s="171">
        <f>((LOOKUP(Detached!J$2,'Ceiling-U'!$A$4:$A$40,'Ceiling-U'!$E$4:$E$40)*Detached!J$14)+(LOOKUP(Detached!J$2,'Floor-U'!$A$4:$A$40,'Floor-U'!$E$4:$E$40)*Detached!J$15)+(LOOKUP(Detached!J$2,'Wall-U'!$A$4:$A$40,'Wall-U'!$E$4:$E$40)*Detached!J$12)+(LOOKUP(Detached!J$2,'Window-U'!$A$4:$A$40,'Window-U'!$Q$4:$Q$40)*Detached!J$21))*J4</f>
        <v>587.83520726505049</v>
      </c>
      <c r="K5" s="171">
        <f>((LOOKUP(Detached!K$2,'Ceiling-U'!$A$4:$A$40,'Ceiling-U'!$E$4:$E$40)*Detached!K$14)+(LOOKUP(Detached!K$2,'Floor-U'!$A$4:$A$40,'Floor-U'!$E$4:$E$40)*Detached!K$15)+(LOOKUP(Detached!K$2,'Wall-U'!$A$4:$A$40,'Wall-U'!$E$4:$E$40)*Detached!K$12)+(LOOKUP(Detached!K$2,'Window-U'!$A$4:$A$40,'Window-U'!$Q$4:$Q$40)*Detached!K$21))*K4</f>
        <v>343.4625743153311</v>
      </c>
      <c r="L5" s="171">
        <f>((LOOKUP(Detached!L$2,'Ceiling-U'!$A$4:$A$40,'Ceiling-U'!$E$4:$E$40)*Detached!L$14)+(LOOKUP(Detached!L$2,'Floor-U'!$A$4:$A$40,'Floor-U'!$E$4:$E$40)*Detached!L$15)+(LOOKUP(Detached!L$2,'Wall-U'!$A$4:$A$40,'Wall-U'!$E$4:$E$40)*Detached!L$12)+(LOOKUP(Detached!L$2,'Window-U'!$A$4:$A$40,'Window-U'!$Q$4:$Q$40)*Detached!L$21))*L4</f>
        <v>201.05592744097808</v>
      </c>
      <c r="M5" s="171">
        <f>((LOOKUP(Detached!M$2,'Ceiling-U'!$A$4:$A$40,'Ceiling-U'!$E$4:$E$40)*Detached!M$14)+(LOOKUP(Detached!M$2,'Floor-U'!$A$4:$A$40,'Floor-U'!$E$4:$E$40)*Detached!M$15)+(LOOKUP(Detached!M$2,'Wall-U'!$A$4:$A$40,'Wall-U'!$E$4:$E$40)*Detached!M$12)+(LOOKUP(Detached!M$2,'Window-U'!$A$4:$A$40,'Window-U'!$Q$4:$Q$40)*Detached!M$21))*M4</f>
        <v>814.93202533265776</v>
      </c>
      <c r="N5" s="171">
        <f>((LOOKUP(Detached!N$2,'Ceiling-U'!$A$4:$A$40,'Ceiling-U'!$E$4:$E$40)*Detached!N$14)+(LOOKUP(Detached!N$2,'Floor-U'!$A$4:$A$40,'Floor-U'!$E$4:$E$40)*Detached!N$15)+(LOOKUP(Detached!N$2,'Wall-U'!$A$4:$A$40,'Wall-U'!$E$4:$E$40)*Detached!N$12)+(LOOKUP(Detached!N$2,'Window-U'!$A$4:$A$40,'Window-U'!$Q$4:$Q$40)*Detached!N$21))*N4</f>
        <v>241.96042531726152</v>
      </c>
      <c r="O5" s="171">
        <f>((LOOKUP(Detached!O$2,'Ceiling-U'!$A$4:$A$40,'Ceiling-U'!$E$4:$E$40)*Detached!O$14)+(LOOKUP(Detached!O$2,'Floor-U'!$A$4:$A$40,'Floor-U'!$E$4:$E$40)*Detached!O$15)+(LOOKUP(Detached!O$2,'Wall-U'!$A$4:$A$40,'Wall-U'!$E$4:$E$40)*Detached!O$12)+(LOOKUP(Detached!O$2,'Window-U'!$A$4:$A$40,'Window-U'!$Q$4:$Q$40)*Detached!O$21))*O4</f>
        <v>836.79717721929364</v>
      </c>
      <c r="P5" s="171">
        <f>((LOOKUP(Detached!P$2,'Ceiling-U'!$A$4:$A$40,'Ceiling-U'!$E$4:$E$40)*Detached!P$14)+(LOOKUP(Detached!P$2,'Floor-U'!$A$4:$A$40,'Floor-U'!$E$4:$E$40)*Detached!P$15)+(LOOKUP(Detached!P$2,'Wall-U'!$A$4:$A$40,'Wall-U'!$E$4:$E$40)*Detached!P$12)+(LOOKUP(Detached!P$2,'Window-U'!$A$4:$A$40,'Window-U'!$Q$4:$Q$40)*Detached!P$21))*P4</f>
        <v>786.59721542084981</v>
      </c>
      <c r="Q5" s="171">
        <f>((LOOKUP(Detached!Q$2,'Ceiling-U'!$A$4:$A$40,'Ceiling-U'!$E$4:$E$40)*Detached!Q$14)+(LOOKUP(Detached!Q$2,'Floor-U'!$A$4:$A$40,'Floor-U'!$E$4:$E$40)*Detached!Q$15)+(LOOKUP(Detached!Q$2,'Wall-U'!$A$4:$A$40,'Wall-U'!$E$4:$E$40)*Detached!Q$12)+(LOOKUP(Detached!Q$2,'Window-U'!$A$4:$A$40,'Window-U'!$Q$4:$Q$40)*Detached!Q$21))*Q4</f>
        <v>337.39518007835937</v>
      </c>
      <c r="R5" s="171">
        <f>((LOOKUP(Detached!R$2,'Ceiling-U'!$A$4:$A$40,'Ceiling-U'!$E$4:$E$40)*Detached!R$14)+(LOOKUP(Detached!R$2,'Floor-U'!$A$4:$A$40,'Floor-U'!$E$4:$E$40)*Detached!R$15)+(LOOKUP(Detached!R$2,'Wall-U'!$A$4:$A$40,'Wall-U'!$E$4:$E$40)*Detached!R$12)+(LOOKUP(Detached!R$2,'Window-U'!$A$4:$A$40,'Window-U'!$Q$4:$Q$40)*Detached!R$21))*R4</f>
        <v>460.47927104864419</v>
      </c>
      <c r="S5" s="171">
        <f>((LOOKUP(Detached!S$2,'Ceiling-U'!$A$4:$A$40,'Ceiling-U'!$E$4:$E$40)*Detached!S$14)+(LOOKUP(Detached!S$2,'Floor-U'!$A$4:$A$40,'Floor-U'!$E$4:$E$40)*Detached!S$15)+(LOOKUP(Detached!S$2,'Wall-U'!$A$4:$A$40,'Wall-U'!$E$4:$E$40)*Detached!S$12)+(LOOKUP(Detached!S$2,'Window-U'!$A$4:$A$40,'Window-U'!$Q$4:$Q$40)*Detached!S$21))*S4</f>
        <v>621.75136822825107</v>
      </c>
      <c r="T5" s="171">
        <f>((LOOKUP(Detached!T$2,'Ceiling-U'!$A$4:$A$40,'Ceiling-U'!$E$4:$E$40)*Detached!T$14)+(LOOKUP(Detached!T$2,'Floor-U'!$A$4:$A$40,'Floor-U'!$E$4:$E$40)*Detached!T$15)+(LOOKUP(Detached!T$2,'Wall-U'!$A$4:$A$40,'Wall-U'!$E$4:$E$40)*Detached!T$12)+(LOOKUP(Detached!T$2,'Window-U'!$A$4:$A$40,'Window-U'!$Q$4:$Q$40)*Detached!T$21))*T4</f>
        <v>241.96042531726152</v>
      </c>
      <c r="U5" s="171">
        <f>((LOOKUP(Detached!U$2,'Ceiling-U'!$A$4:$A$40,'Ceiling-U'!$E$4:$E$40)*Detached!U$14)+(LOOKUP(Detached!U$2,'Floor-U'!$A$4:$A$40,'Floor-U'!$E$4:$E$40)*Detached!U$15)+(LOOKUP(Detached!U$2,'Wall-U'!$A$4:$A$40,'Wall-U'!$E$4:$E$40)*Detached!U$12)+(LOOKUP(Detached!U$2,'Window-U'!$A$4:$A$40,'Window-U'!$Q$4:$Q$40)*Detached!U$21))*U4</f>
        <v>661.87060174227076</v>
      </c>
      <c r="V5" s="171">
        <f>((LOOKUP(Detached!V$2,'Ceiling-U'!$A$4:$A$40,'Ceiling-U'!$E$4:$E$40)*Detached!V$14)+(LOOKUP(Detached!V$2,'Floor-U'!$A$4:$A$40,'Floor-U'!$E$4:$E$40)*Detached!V$15)+(LOOKUP(Detached!V$2,'Wall-U'!$A$4:$A$40,'Wall-U'!$E$4:$E$40)*Detached!V$12)+(LOOKUP(Detached!V$2,'Window-U'!$A$4:$A$40,'Window-U'!$Q$4:$Q$40)*Detached!V$21))*V4</f>
        <v>350.64452969689313</v>
      </c>
      <c r="W5" s="171">
        <f>((LOOKUP(Detached!W$2,'Ceiling-U'!$A$4:$A$40,'Ceiling-U'!$E$4:$E$40)*Detached!W$14)+(LOOKUP(Detached!W$2,'Floor-U'!$A$4:$A$40,'Floor-U'!$E$4:$E$40)*Detached!W$15)+(LOOKUP(Detached!W$2,'Wall-U'!$A$4:$A$40,'Wall-U'!$E$4:$E$40)*Detached!W$12)+(LOOKUP(Detached!W$2,'Window-U'!$A$4:$A$40,'Window-U'!$Q$4:$Q$40)*Detached!W$21))*W4</f>
        <v>413.68141362437473</v>
      </c>
      <c r="X5" s="171">
        <f>((LOOKUP(Detached!X$2,'Ceiling-U'!$A$4:$A$40,'Ceiling-U'!$E$4:$E$40)*Detached!X$14)+(LOOKUP(Detached!X$2,'Floor-U'!$A$4:$A$40,'Floor-U'!$E$4:$E$40)*Detached!X$15)+(LOOKUP(Detached!X$2,'Wall-U'!$A$4:$A$40,'Wall-U'!$E$4:$E$40)*Detached!X$12)+(LOOKUP(Detached!X$2,'Window-U'!$A$4:$A$40,'Window-U'!$Q$4:$Q$40)*Detached!X$21))*X4</f>
        <v>369.20320061795604</v>
      </c>
      <c r="Y5" s="171">
        <f>((LOOKUP(Detached!Y$2,'Ceiling-U'!$A$4:$A$40,'Ceiling-U'!$E$4:$E$40)*Detached!Y$14)+(LOOKUP(Detached!Y$2,'Floor-U'!$A$4:$A$40,'Floor-U'!$E$4:$E$40)*Detached!Y$15)+(LOOKUP(Detached!Y$2,'Wall-U'!$A$4:$A$40,'Wall-U'!$E$4:$E$40)*Detached!Y$12)+(LOOKUP(Detached!Y$2,'Window-U'!$A$4:$A$40,'Window-U'!$Q$4:$Q$40)*Detached!Y$21))*Y4</f>
        <v>850.9430572278585</v>
      </c>
      <c r="Z5" s="171">
        <f>((LOOKUP(Detached!Z$2,'Ceiling-U'!$A$4:$A$40,'Ceiling-U'!$E$4:$E$40)*Detached!Z$14)+(LOOKUP(Detached!Z$2,'Floor-U'!$A$4:$A$40,'Floor-U'!$E$4:$E$40)*Detached!Z$15)+(LOOKUP(Detached!Z$2,'Wall-U'!$A$4:$A$40,'Wall-U'!$E$4:$E$40)*Detached!Z$12)+(LOOKUP(Detached!Z$2,'Window-U'!$A$4:$A$40,'Window-U'!$Q$4:$Q$40)*Detached!Z$21))*Z4</f>
        <v>667.52085535053038</v>
      </c>
      <c r="AA5" s="171">
        <f>((LOOKUP(Detached!AA$2,'Ceiling-U'!$A$4:$A$40,'Ceiling-U'!$E$4:$E$40)*Detached!AA$14)+(LOOKUP(Detached!AA$2,'Floor-U'!$A$4:$A$40,'Floor-U'!$E$4:$E$40)*Detached!AA$15)+(LOOKUP(Detached!AA$2,'Wall-U'!$A$4:$A$40,'Wall-U'!$E$4:$E$40)*Detached!AA$12)+(LOOKUP(Detached!AA$2,'Window-U'!$A$4:$A$40,'Window-U'!$Q$4:$Q$40)*Detached!AA$21))*AA4</f>
        <v>223.13014628813517</v>
      </c>
      <c r="AB5" s="171">
        <f>((LOOKUP(Detached!AB$2,'Ceiling-U'!$A$4:$A$40,'Ceiling-U'!$E$4:$E$40)*Detached!AB$14)+(LOOKUP(Detached!AB$2,'Floor-U'!$A$4:$A$40,'Floor-U'!$E$4:$E$40)*Detached!AB$15)+(LOOKUP(Detached!AB$2,'Wall-U'!$A$4:$A$40,'Wall-U'!$E$4:$E$40)*Detached!AB$12)+(LOOKUP(Detached!AB$2,'Window-U'!$A$4:$A$40,'Window-U'!$Q$4:$Q$40)*Detached!AB$21))*AB4</f>
        <v>552.59946775428409</v>
      </c>
      <c r="AC5" s="171">
        <f>((LOOKUP(Detached!AC$2,'Ceiling-U'!$A$4:$A$40,'Ceiling-U'!$E$4:$E$40)*Detached!AC$14)+(LOOKUP(Detached!AC$2,'Floor-U'!$A$4:$A$40,'Floor-U'!$E$4:$E$40)*Detached!AC$15)+(LOOKUP(Detached!AC$2,'Wall-U'!$A$4:$A$40,'Wall-U'!$E$4:$E$40)*Detached!AC$12)+(LOOKUP(Detached!AC$2,'Window-U'!$A$4:$A$40,'Window-U'!$Q$4:$Q$40)*Detached!AC$21))*AC4</f>
        <v>810.60218557416295</v>
      </c>
      <c r="AD5" s="171">
        <f>((LOOKUP(Detached!AD$2,'Ceiling-U'!$A$4:$A$40,'Ceiling-U'!$E$4:$E$40)*Detached!AD$14)+(LOOKUP(Detached!AD$2,'Floor-U'!$A$4:$A$40,'Floor-U'!$E$4:$E$40)*Detached!AD$15)+(LOOKUP(Detached!AD$2,'Wall-U'!$A$4:$A$40,'Wall-U'!$E$4:$E$40)*Detached!AD$12)+(LOOKUP(Detached!AD$2,'Window-U'!$A$4:$A$40,'Window-U'!$Q$4:$Q$40)*Detached!AD$21))*AD4</f>
        <v>479.03667448190464</v>
      </c>
      <c r="AE5" s="171">
        <f>((LOOKUP(Detached!AE$2,'Ceiling-U'!$A$4:$A$40,'Ceiling-U'!$E$4:$E$40)*Detached!AE$14)+(LOOKUP(Detached!AE$2,'Floor-U'!$A$4:$A$40,'Floor-U'!$E$4:$E$40)*Detached!AE$15)+(LOOKUP(Detached!AE$2,'Wall-U'!$A$4:$A$40,'Wall-U'!$E$4:$E$40)*Detached!AE$12)+(LOOKUP(Detached!AE$2,'Window-U'!$A$4:$A$40,'Window-U'!$Q$4:$Q$40)*Detached!AE$21))*AE4</f>
        <v>223.13014628813517</v>
      </c>
      <c r="AF5" s="171">
        <f>((LOOKUP(Detached!AF$2,'Ceiling-U'!$A$4:$A$40,'Ceiling-U'!$E$4:$E$40)*Detached!AF$14)+(LOOKUP(Detached!AF$2,'Floor-U'!$A$4:$A$40,'Floor-U'!$E$4:$E$40)*Detached!AF$15)+(LOOKUP(Detached!AF$2,'Wall-U'!$A$4:$A$40,'Wall-U'!$E$4:$E$40)*Detached!AF$12)+(LOOKUP(Detached!AF$2,'Window-U'!$A$4:$A$40,'Window-U'!$Q$4:$Q$40)*Detached!AF$21))*AF4</f>
        <v>442.73875507094124</v>
      </c>
      <c r="AG5" s="171">
        <f>((LOOKUP(Detached!AG$2,'Ceiling-U'!$A$4:$A$40,'Ceiling-U'!$E$4:$E$40)*Detached!AG$14)+(LOOKUP(Detached!AG$2,'Floor-U'!$A$4:$A$40,'Floor-U'!$E$4:$E$40)*Detached!AG$15)+(LOOKUP(Detached!AG$2,'Wall-U'!$A$4:$A$40,'Wall-U'!$E$4:$E$40)*Detached!AG$12)+(LOOKUP(Detached!AG$2,'Window-U'!$A$4:$A$40,'Window-U'!$Q$4:$Q$40)*Detached!AG$21))*AG4</f>
        <v>567.48931105458723</v>
      </c>
      <c r="AH5" s="171">
        <f>((LOOKUP(Detached!AH$2,'Ceiling-U'!$A$4:$A$40,'Ceiling-U'!$E$4:$E$40)*Detached!AH$14)+(LOOKUP(Detached!AH$2,'Floor-U'!$A$4:$A$40,'Floor-U'!$E$4:$E$40)*Detached!AH$15)+(LOOKUP(Detached!AH$2,'Wall-U'!$A$4:$A$40,'Wall-U'!$E$4:$E$40)*Detached!AH$12)+(LOOKUP(Detached!AH$2,'Window-U'!$A$4:$A$40,'Window-U'!$Q$4:$Q$40)*Detached!AH$21))*AH4</f>
        <v>500.52542622441456</v>
      </c>
      <c r="AI5" s="171">
        <f>((LOOKUP(Detached!AI$2,'Ceiling-U'!$A$4:$A$40,'Ceiling-U'!$E$4:$E$40)*Detached!AI$14)+(LOOKUP(Detached!AI$2,'Floor-U'!$A$4:$A$40,'Floor-U'!$E$4:$E$40)*Detached!AI$15)+(LOOKUP(Detached!AI$2,'Wall-U'!$A$4:$A$40,'Wall-U'!$E$4:$E$40)*Detached!AI$12)+(LOOKUP(Detached!AI$2,'Window-U'!$A$4:$A$40,'Window-U'!$Q$4:$Q$40)*Detached!AI$21))*AI4</f>
        <v>786.59721542084981</v>
      </c>
      <c r="AJ5" s="171">
        <f>((LOOKUP(Detached!AJ$2,'Ceiling-U'!$A$4:$A$40,'Ceiling-U'!$E$4:$E$40)*Detached!AJ$14)+(LOOKUP(Detached!AJ$2,'Floor-U'!$A$4:$A$40,'Floor-U'!$E$4:$E$40)*Detached!AJ$15)+(LOOKUP(Detached!AJ$2,'Wall-U'!$A$4:$A$40,'Wall-U'!$E$4:$E$40)*Detached!AJ$12)+(LOOKUP(Detached!AJ$2,'Window-U'!$A$4:$A$40,'Window-U'!$Q$4:$Q$40)*Detached!AJ$21))*AJ4</f>
        <v>359.944451793974</v>
      </c>
      <c r="AK5" s="171">
        <f>((LOOKUP(Detached!AK$2,'Ceiling-U'!$A$4:$A$40,'Ceiling-U'!$E$4:$E$40)*Detached!AK$14)+(LOOKUP(Detached!AK$2,'Floor-U'!$A$4:$A$40,'Floor-U'!$E$4:$E$40)*Detached!AK$15)+(LOOKUP(Detached!AK$2,'Wall-U'!$A$4:$A$40,'Wall-U'!$E$4:$E$40)*Detached!AK$12)+(LOOKUP(Detached!AK$2,'Window-U'!$A$4:$A$40,'Window-U'!$Q$4:$Q$40)*Detached!AK$21))*AK4</f>
        <v>426.1730729087418</v>
      </c>
      <c r="AL5" s="171">
        <f>((LOOKUP(Detached!AL$2,'Ceiling-U'!$A$4:$A$40,'Ceiling-U'!$E$4:$E$40)*Detached!AL$14)+(LOOKUP(Detached!AL$2,'Floor-U'!$A$4:$A$40,'Floor-U'!$E$4:$E$40)*Detached!AL$15)+(LOOKUP(Detached!AL$2,'Wall-U'!$A$4:$A$40,'Wall-U'!$E$4:$E$40)*Detached!AL$12)+(LOOKUP(Detached!AL$2,'Window-U'!$A$4:$A$40,'Window-U'!$Q$4:$Q$40)*Detached!AL$21))*AL4</f>
        <v>389.34278700521429</v>
      </c>
      <c r="AM5" s="171">
        <f>((LOOKUP(Detached!AM$2,'Ceiling-U'!$A$4:$A$40,'Ceiling-U'!$E$4:$E$40)*Detached!AM$14)+(LOOKUP(Detached!AM$2,'Floor-U'!$A$4:$A$40,'Floor-U'!$E$4:$E$40)*Detached!AM$15)+(LOOKUP(Detached!AM$2,'Wall-U'!$A$4:$A$40,'Wall-U'!$E$4:$E$40)*Detached!AM$12)+(LOOKUP(Detached!AM$2,'Window-U'!$A$4:$A$40,'Window-U'!$Q$4:$Q$40)*Detached!AM$21))*AM4</f>
        <v>359.944451793974</v>
      </c>
      <c r="AN5" s="172">
        <f>((LOOKUP(Detached!AN$2,'Ceiling-U'!$A$4:$A$40,'Ceiling-U'!$E$4:$E$40)*Detached!AN$14)+(LOOKUP(Detached!AN$2,'Floor-U'!$A$4:$A$40,'Floor-U'!$E$4:$E$40)*Detached!AN$15)+(LOOKUP(Detached!AN$2,'Wall-U'!$A$4:$A$40,'Wall-U'!$E$4:$E$40)*Detached!AN$12)+(LOOKUP(Detached!AN$2,'Window-U'!$A$4:$A$40,'Window-U'!$Q$4:$Q$40)*Detached!AN$21))*AN4</f>
        <v>359.944451793974</v>
      </c>
    </row>
    <row r="6" spans="1:40">
      <c r="A6" s="372"/>
      <c r="B6" s="142" t="s">
        <v>3</v>
      </c>
      <c r="C6" s="131" t="s">
        <v>195</v>
      </c>
      <c r="D6" s="176">
        <f>((LOOKUP(Detached!D$2,'Ceiling-U'!$A$4:$A$40,'Ceiling-U'!$F$4:$F$40)*Detached!D$14)+(LOOKUP(Detached!D$2,'Floor-U'!$A$4:$A$40,'Floor-U'!$F$4:$F$40)*Detached!D$15)+(LOOKUP(Detached!D$2,'Wall-U'!$A$4:$A$40,'Wall-U'!$F$4:$F$40)*Detached!D$12)+(LOOKUP(Detached!D$2,'Window-U'!$A$4:$A$40,'Window-U'!$Q$4:$Q$40)*Detached!D$21))*D4</f>
        <v>484.50893420387376</v>
      </c>
      <c r="E6" s="177">
        <f>((LOOKUP(Detached!E$2,'Ceiling-U'!$A$4:$A$40,'Ceiling-U'!$F$4:$F$40)*Detached!E$14)+(LOOKUP(Detached!E$2,'Floor-U'!$A$4:$A$40,'Floor-U'!$F$4:$F$40)*Detached!E$15)+(LOOKUP(Detached!E$2,'Wall-U'!$A$4:$A$40,'Wall-U'!$F$4:$F$40)*Detached!E$12)+(LOOKUP(Detached!E$2,'Window-U'!$A$4:$A$40,'Window-U'!$Q$4:$Q$40)*Detached!E$21))*E4</f>
        <v>615.09087407510015</v>
      </c>
      <c r="F6" s="177">
        <f>((LOOKUP(Detached!F$2,'Ceiling-U'!$A$4:$A$40,'Ceiling-U'!$F$4:$F$40)*Detached!F$14)+(LOOKUP(Detached!F$2,'Floor-U'!$A$4:$A$40,'Floor-U'!$F$4:$F$40)*Detached!F$15)+(LOOKUP(Detached!F$2,'Wall-U'!$A$4:$A$40,'Wall-U'!$F$4:$F$40)*Detached!F$12)+(LOOKUP(Detached!F$2,'Window-U'!$A$4:$A$40,'Window-U'!$Q$4:$Q$40)*Detached!F$21))*F4</f>
        <v>371.92230993026567</v>
      </c>
      <c r="G6" s="177">
        <f>((LOOKUP(Detached!G$2,'Ceiling-U'!$A$4:$A$40,'Ceiling-U'!$F$4:$F$40)*Detached!G$14)+(LOOKUP(Detached!G$2,'Floor-U'!$A$4:$A$40,'Floor-U'!$F$4:$F$40)*Detached!G$15)+(LOOKUP(Detached!G$2,'Wall-U'!$A$4:$A$40,'Wall-U'!$F$4:$F$40)*Detached!G$12)+(LOOKUP(Detached!G$2,'Window-U'!$A$4:$A$40,'Window-U'!$Q$4:$Q$40)*Detached!G$21))*G4</f>
        <v>484.50893420387376</v>
      </c>
      <c r="H6" s="177">
        <f>((LOOKUP(Detached!H$2,'Ceiling-U'!$A$4:$A$40,'Ceiling-U'!$F$4:$F$40)*Detached!H$14)+(LOOKUP(Detached!H$2,'Floor-U'!$A$4:$A$40,'Floor-U'!$F$4:$F$40)*Detached!H$15)+(LOOKUP(Detached!H$2,'Wall-U'!$A$4:$A$40,'Wall-U'!$F$4:$F$40)*Detached!H$12)+(LOOKUP(Detached!H$2,'Window-U'!$A$4:$A$40,'Window-U'!$Q$4:$Q$40)*Detached!H$21))*H4</f>
        <v>736.88175502841261</v>
      </c>
      <c r="I6" s="177">
        <f>((LOOKUP(Detached!I$2,'Ceiling-U'!$A$4:$A$40,'Ceiling-U'!$F$4:$F$40)*Detached!I$14)+(LOOKUP(Detached!I$2,'Floor-U'!$A$4:$A$40,'Floor-U'!$F$4:$F$40)*Detached!I$15)+(LOOKUP(Detached!I$2,'Wall-U'!$A$4:$A$40,'Wall-U'!$F$4:$F$40)*Detached!I$12)+(LOOKUP(Detached!I$2,'Window-U'!$A$4:$A$40,'Window-U'!$Q$4:$Q$40)*Detached!I$21))*I4</f>
        <v>313.52376597389093</v>
      </c>
      <c r="J6" s="177">
        <f>((LOOKUP(Detached!J$2,'Ceiling-U'!$A$4:$A$40,'Ceiling-U'!$F$4:$F$40)*Detached!J$14)+(LOOKUP(Detached!J$2,'Floor-U'!$A$4:$A$40,'Floor-U'!$F$4:$F$40)*Detached!J$15)+(LOOKUP(Detached!J$2,'Wall-U'!$A$4:$A$40,'Wall-U'!$F$4:$F$40)*Detached!J$12)+(LOOKUP(Detached!J$2,'Window-U'!$A$4:$A$40,'Window-U'!$Q$4:$Q$40)*Detached!J$21))*J4</f>
        <v>515.45798739998099</v>
      </c>
      <c r="K6" s="177">
        <f>((LOOKUP(Detached!K$2,'Ceiling-U'!$A$4:$A$40,'Ceiling-U'!$F$4:$F$40)*Detached!K$14)+(LOOKUP(Detached!K$2,'Floor-U'!$A$4:$A$40,'Floor-U'!$F$4:$F$40)*Detached!K$15)+(LOOKUP(Detached!K$2,'Wall-U'!$A$4:$A$40,'Wall-U'!$F$4:$F$40)*Detached!K$12)+(LOOKUP(Detached!K$2,'Window-U'!$A$4:$A$40,'Window-U'!$Q$4:$Q$40)*Detached!K$21))*K4</f>
        <v>333.23180404757863</v>
      </c>
      <c r="L6" s="177">
        <f>((LOOKUP(Detached!L$2,'Ceiling-U'!$A$4:$A$40,'Ceiling-U'!$F$4:$F$40)*Detached!L$14)+(LOOKUP(Detached!L$2,'Floor-U'!$A$4:$A$40,'Floor-U'!$F$4:$F$40)*Detached!L$15)+(LOOKUP(Detached!L$2,'Wall-U'!$A$4:$A$40,'Wall-U'!$F$4:$F$40)*Detached!L$12)+(LOOKUP(Detached!L$2,'Window-U'!$A$4:$A$40,'Window-U'!$Q$4:$Q$40)*Detached!L$21))*L4</f>
        <v>201.05592744097808</v>
      </c>
      <c r="M6" s="177">
        <f>((LOOKUP(Detached!M$2,'Ceiling-U'!$A$4:$A$40,'Ceiling-U'!$F$4:$F$40)*Detached!M$14)+(LOOKUP(Detached!M$2,'Floor-U'!$A$4:$A$40,'Floor-U'!$F$4:$F$40)*Detached!M$15)+(LOOKUP(Detached!M$2,'Wall-U'!$A$4:$A$40,'Wall-U'!$F$4:$F$40)*Detached!M$12)+(LOOKUP(Detached!M$2,'Window-U'!$A$4:$A$40,'Window-U'!$Q$4:$Q$40)*Detached!M$21))*M4</f>
        <v>721.00949037953797</v>
      </c>
      <c r="N6" s="177">
        <f>((LOOKUP(Detached!N$2,'Ceiling-U'!$A$4:$A$40,'Ceiling-U'!$F$4:$F$40)*Detached!N$14)+(LOOKUP(Detached!N$2,'Floor-U'!$A$4:$A$40,'Floor-U'!$F$4:$F$40)*Detached!N$15)+(LOOKUP(Detached!N$2,'Wall-U'!$A$4:$A$40,'Wall-U'!$F$4:$F$40)*Detached!N$12)+(LOOKUP(Detached!N$2,'Window-U'!$A$4:$A$40,'Window-U'!$Q$4:$Q$40)*Detached!N$21))*N4</f>
        <v>221.68129279611077</v>
      </c>
      <c r="O6" s="177">
        <f>((LOOKUP(Detached!O$2,'Ceiling-U'!$A$4:$A$40,'Ceiling-U'!$F$4:$F$40)*Detached!O$14)+(LOOKUP(Detached!O$2,'Floor-U'!$A$4:$A$40,'Floor-U'!$F$4:$F$40)*Detached!O$15)+(LOOKUP(Detached!O$2,'Wall-U'!$A$4:$A$40,'Wall-U'!$F$4:$F$40)*Detached!O$12)+(LOOKUP(Detached!O$2,'Window-U'!$A$4:$A$40,'Window-U'!$Q$4:$Q$40)*Detached!O$21))*O4</f>
        <v>836.79717721929364</v>
      </c>
      <c r="P6" s="177">
        <f>((LOOKUP(Detached!P$2,'Ceiling-U'!$A$4:$A$40,'Ceiling-U'!$F$4:$F$40)*Detached!P$14)+(LOOKUP(Detached!P$2,'Floor-U'!$A$4:$A$40,'Floor-U'!$F$4:$F$40)*Detached!P$15)+(LOOKUP(Detached!P$2,'Wall-U'!$A$4:$A$40,'Wall-U'!$F$4:$F$40)*Detached!P$12)+(LOOKUP(Detached!P$2,'Window-U'!$A$4:$A$40,'Window-U'!$Q$4:$Q$40)*Detached!P$21))*P4</f>
        <v>786.59721542084981</v>
      </c>
      <c r="Q6" s="177">
        <f>((LOOKUP(Detached!Q$2,'Ceiling-U'!$A$4:$A$40,'Ceiling-U'!$F$4:$F$40)*Detached!Q$14)+(LOOKUP(Detached!Q$2,'Floor-U'!$A$4:$A$40,'Floor-U'!$F$4:$F$40)*Detached!Q$15)+(LOOKUP(Detached!Q$2,'Wall-U'!$A$4:$A$40,'Wall-U'!$F$4:$F$40)*Detached!Q$12)+(LOOKUP(Detached!Q$2,'Window-U'!$A$4:$A$40,'Window-U'!$Q$4:$Q$40)*Detached!Q$21))*Q4</f>
        <v>360.31530264334839</v>
      </c>
      <c r="R6" s="177">
        <f>((LOOKUP(Detached!R$2,'Ceiling-U'!$A$4:$A$40,'Ceiling-U'!$F$4:$F$40)*Detached!R$14)+(LOOKUP(Detached!R$2,'Floor-U'!$A$4:$A$40,'Floor-U'!$F$4:$F$40)*Detached!R$15)+(LOOKUP(Detached!R$2,'Wall-U'!$A$4:$A$40,'Wall-U'!$F$4:$F$40)*Detached!R$12)+(LOOKUP(Detached!R$2,'Window-U'!$A$4:$A$40,'Window-U'!$Q$4:$Q$40)*Detached!R$21))*R4</f>
        <v>460.47927104864419</v>
      </c>
      <c r="S6" s="177">
        <f>((LOOKUP(Detached!S$2,'Ceiling-U'!$A$4:$A$40,'Ceiling-U'!$F$4:$F$40)*Detached!S$14)+(LOOKUP(Detached!S$2,'Floor-U'!$A$4:$A$40,'Floor-U'!$F$4:$F$40)*Detached!S$15)+(LOOKUP(Detached!S$2,'Wall-U'!$A$4:$A$40,'Wall-U'!$F$4:$F$40)*Detached!S$12)+(LOOKUP(Detached!S$2,'Window-U'!$A$4:$A$40,'Window-U'!$Q$4:$Q$40)*Detached!S$21))*S4</f>
        <v>631.98952304453974</v>
      </c>
      <c r="T6" s="177">
        <f>((LOOKUP(Detached!T$2,'Ceiling-U'!$A$4:$A$40,'Ceiling-U'!$F$4:$F$40)*Detached!T$14)+(LOOKUP(Detached!T$2,'Floor-U'!$A$4:$A$40,'Floor-U'!$F$4:$F$40)*Detached!T$15)+(LOOKUP(Detached!T$2,'Wall-U'!$A$4:$A$40,'Wall-U'!$F$4:$F$40)*Detached!T$12)+(LOOKUP(Detached!T$2,'Window-U'!$A$4:$A$40,'Window-U'!$Q$4:$Q$40)*Detached!T$21))*T4</f>
        <v>221.68129279611077</v>
      </c>
      <c r="U6" s="177">
        <f>((LOOKUP(Detached!U$2,'Ceiling-U'!$A$4:$A$40,'Ceiling-U'!$F$4:$F$40)*Detached!U$14)+(LOOKUP(Detached!U$2,'Floor-U'!$A$4:$A$40,'Floor-U'!$F$4:$F$40)*Detached!U$15)+(LOOKUP(Detached!U$2,'Wall-U'!$A$4:$A$40,'Wall-U'!$F$4:$F$40)*Detached!U$12)+(LOOKUP(Detached!U$2,'Window-U'!$A$4:$A$40,'Window-U'!$Q$4:$Q$40)*Detached!U$21))*U4</f>
        <v>620.92635085424058</v>
      </c>
      <c r="V6" s="177">
        <f>((LOOKUP(Detached!V$2,'Ceiling-U'!$A$4:$A$40,'Ceiling-U'!$F$4:$F$40)*Detached!V$14)+(LOOKUP(Detached!V$2,'Floor-U'!$A$4:$A$40,'Floor-U'!$F$4:$F$40)*Detached!V$15)+(LOOKUP(Detached!V$2,'Wall-U'!$A$4:$A$40,'Wall-U'!$F$4:$F$40)*Detached!V$12)+(LOOKUP(Detached!V$2,'Window-U'!$A$4:$A$40,'Window-U'!$Q$4:$Q$40)*Detached!V$21))*V4</f>
        <v>350.64452969689313</v>
      </c>
      <c r="W6" s="177">
        <f>((LOOKUP(Detached!W$2,'Ceiling-U'!$A$4:$A$40,'Ceiling-U'!$F$4:$F$40)*Detached!W$14)+(LOOKUP(Detached!W$2,'Floor-U'!$A$4:$A$40,'Floor-U'!$F$4:$F$40)*Detached!W$15)+(LOOKUP(Detached!W$2,'Wall-U'!$A$4:$A$40,'Wall-U'!$F$4:$F$40)*Detached!W$12)+(LOOKUP(Detached!W$2,'Window-U'!$A$4:$A$40,'Window-U'!$Q$4:$Q$40)*Detached!W$21))*W4</f>
        <v>443.83478901018429</v>
      </c>
      <c r="X6" s="177">
        <f>((LOOKUP(Detached!X$2,'Ceiling-U'!$A$4:$A$40,'Ceiling-U'!$F$4:$F$40)*Detached!X$14)+(LOOKUP(Detached!X$2,'Floor-U'!$A$4:$A$40,'Floor-U'!$F$4:$F$40)*Detached!X$15)+(LOOKUP(Detached!X$2,'Wall-U'!$A$4:$A$40,'Wall-U'!$F$4:$F$40)*Detached!X$12)+(LOOKUP(Detached!X$2,'Window-U'!$A$4:$A$40,'Window-U'!$Q$4:$Q$40)*Detached!X$21))*X4</f>
        <v>369.20320061795604</v>
      </c>
      <c r="Y6" s="177">
        <f>((LOOKUP(Detached!Y$2,'Ceiling-U'!$A$4:$A$40,'Ceiling-U'!$F$4:$F$40)*Detached!Y$14)+(LOOKUP(Detached!Y$2,'Floor-U'!$A$4:$A$40,'Floor-U'!$F$4:$F$40)*Detached!Y$15)+(LOOKUP(Detached!Y$2,'Wall-U'!$A$4:$A$40,'Wall-U'!$F$4:$F$40)*Detached!Y$12)+(LOOKUP(Detached!Y$2,'Window-U'!$A$4:$A$40,'Window-U'!$Q$4:$Q$40)*Detached!Y$21))*Y4</f>
        <v>849.57436813093921</v>
      </c>
      <c r="Z6" s="177">
        <f>((LOOKUP(Detached!Z$2,'Ceiling-U'!$A$4:$A$40,'Ceiling-U'!$F$4:$F$40)*Detached!Z$14)+(LOOKUP(Detached!Z$2,'Floor-U'!$A$4:$A$40,'Floor-U'!$F$4:$F$40)*Detached!Z$15)+(LOOKUP(Detached!Z$2,'Wall-U'!$A$4:$A$40,'Wall-U'!$F$4:$F$40)*Detached!Z$12)+(LOOKUP(Detached!Z$2,'Window-U'!$A$4:$A$40,'Window-U'!$Q$4:$Q$40)*Detached!Z$21))*Z4</f>
        <v>530.99493474375572</v>
      </c>
      <c r="AA6" s="177">
        <f>((LOOKUP(Detached!AA$2,'Ceiling-U'!$A$4:$A$40,'Ceiling-U'!$F$4:$F$40)*Detached!AA$14)+(LOOKUP(Detached!AA$2,'Floor-U'!$A$4:$A$40,'Floor-U'!$F$4:$F$40)*Detached!AA$15)+(LOOKUP(Detached!AA$2,'Wall-U'!$A$4:$A$40,'Wall-U'!$F$4:$F$40)*Detached!AA$12)+(LOOKUP(Detached!AA$2,'Window-U'!$A$4:$A$40,'Window-U'!$Q$4:$Q$40)*Detached!AA$21))*AA4</f>
        <v>223.13014628813517</v>
      </c>
      <c r="AB6" s="177">
        <f>((LOOKUP(Detached!AB$2,'Ceiling-U'!$A$4:$A$40,'Ceiling-U'!$F$4:$F$40)*Detached!AB$14)+(LOOKUP(Detached!AB$2,'Floor-U'!$A$4:$A$40,'Floor-U'!$F$4:$F$40)*Detached!AB$15)+(LOOKUP(Detached!AB$2,'Wall-U'!$A$4:$A$40,'Wall-U'!$F$4:$F$40)*Detached!AB$12)+(LOOKUP(Detached!AB$2,'Window-U'!$A$4:$A$40,'Window-U'!$Q$4:$Q$40)*Detached!AB$21))*AB4</f>
        <v>401.3516711481289</v>
      </c>
      <c r="AC6" s="177">
        <f>((LOOKUP(Detached!AC$2,'Ceiling-U'!$A$4:$A$40,'Ceiling-U'!$F$4:$F$40)*Detached!AC$14)+(LOOKUP(Detached!AC$2,'Floor-U'!$A$4:$A$40,'Floor-U'!$F$4:$F$40)*Detached!AC$15)+(LOOKUP(Detached!AC$2,'Wall-U'!$A$4:$A$40,'Wall-U'!$F$4:$F$40)*Detached!AC$12)+(LOOKUP(Detached!AC$2,'Window-U'!$A$4:$A$40,'Window-U'!$Q$4:$Q$40)*Detached!AC$21))*AC4</f>
        <v>723.40212207124728</v>
      </c>
      <c r="AD6" s="177">
        <f>((LOOKUP(Detached!AD$2,'Ceiling-U'!$A$4:$A$40,'Ceiling-U'!$F$4:$F$40)*Detached!AD$14)+(LOOKUP(Detached!AD$2,'Floor-U'!$A$4:$A$40,'Floor-U'!$F$4:$F$40)*Detached!AD$15)+(LOOKUP(Detached!AD$2,'Wall-U'!$A$4:$A$40,'Wall-U'!$F$4:$F$40)*Detached!AD$12)+(LOOKUP(Detached!AD$2,'Window-U'!$A$4:$A$40,'Window-U'!$Q$4:$Q$40)*Detached!AD$21))*AD4</f>
        <v>433.62544534104632</v>
      </c>
      <c r="AE6" s="177">
        <f>((LOOKUP(Detached!AE$2,'Ceiling-U'!$A$4:$A$40,'Ceiling-U'!$F$4:$F$40)*Detached!AE$14)+(LOOKUP(Detached!AE$2,'Floor-U'!$A$4:$A$40,'Floor-U'!$F$4:$F$40)*Detached!AE$15)+(LOOKUP(Detached!AE$2,'Wall-U'!$A$4:$A$40,'Wall-U'!$F$4:$F$40)*Detached!AE$12)+(LOOKUP(Detached!AE$2,'Window-U'!$A$4:$A$40,'Window-U'!$Q$4:$Q$40)*Detached!AE$21))*AE4</f>
        <v>223.13014628813517</v>
      </c>
      <c r="AF6" s="177">
        <f>((LOOKUP(Detached!AF$2,'Ceiling-U'!$A$4:$A$40,'Ceiling-U'!$F$4:$F$40)*Detached!AF$14)+(LOOKUP(Detached!AF$2,'Floor-U'!$A$4:$A$40,'Floor-U'!$F$4:$F$40)*Detached!AF$15)+(LOOKUP(Detached!AF$2,'Wall-U'!$A$4:$A$40,'Wall-U'!$F$4:$F$40)*Detached!AF$12)+(LOOKUP(Detached!AF$2,'Window-U'!$A$4:$A$40,'Window-U'!$Q$4:$Q$40)*Detached!AF$21))*AF4</f>
        <v>442.73875507094124</v>
      </c>
      <c r="AG6" s="177">
        <f>((LOOKUP(Detached!AG$2,'Ceiling-U'!$A$4:$A$40,'Ceiling-U'!$F$4:$F$40)*Detached!AG$14)+(LOOKUP(Detached!AG$2,'Floor-U'!$A$4:$A$40,'Floor-U'!$F$4:$F$40)*Detached!AG$15)+(LOOKUP(Detached!AG$2,'Wall-U'!$A$4:$A$40,'Wall-U'!$F$4:$F$40)*Detached!AG$12)+(LOOKUP(Detached!AG$2,'Window-U'!$A$4:$A$40,'Window-U'!$Q$4:$Q$40)*Detached!AG$21))*AG4</f>
        <v>470.19144884366983</v>
      </c>
      <c r="AH6" s="177">
        <f>((LOOKUP(Detached!AH$2,'Ceiling-U'!$A$4:$A$40,'Ceiling-U'!$F$4:$F$40)*Detached!AH$14)+(LOOKUP(Detached!AH$2,'Floor-U'!$A$4:$A$40,'Floor-U'!$F$4:$F$40)*Detached!AH$15)+(LOOKUP(Detached!AH$2,'Wall-U'!$A$4:$A$40,'Wall-U'!$F$4:$F$40)*Detached!AH$12)+(LOOKUP(Detached!AH$2,'Window-U'!$A$4:$A$40,'Window-U'!$Q$4:$Q$40)*Detached!AH$21))*AH4</f>
        <v>531.0166848015125</v>
      </c>
      <c r="AI6" s="177">
        <f>((LOOKUP(Detached!AI$2,'Ceiling-U'!$A$4:$A$40,'Ceiling-U'!$F$4:$F$40)*Detached!AI$14)+(LOOKUP(Detached!AI$2,'Floor-U'!$A$4:$A$40,'Floor-U'!$F$4:$F$40)*Detached!AI$15)+(LOOKUP(Detached!AI$2,'Wall-U'!$A$4:$A$40,'Wall-U'!$F$4:$F$40)*Detached!AI$12)+(LOOKUP(Detached!AI$2,'Window-U'!$A$4:$A$40,'Window-U'!$Q$4:$Q$40)*Detached!AI$21))*AI4</f>
        <v>786.59721542084981</v>
      </c>
      <c r="AJ6" s="177">
        <f>((LOOKUP(Detached!AJ$2,'Ceiling-U'!$A$4:$A$40,'Ceiling-U'!$F$4:$F$40)*Detached!AJ$14)+(LOOKUP(Detached!AJ$2,'Floor-U'!$A$4:$A$40,'Floor-U'!$F$4:$F$40)*Detached!AJ$15)+(LOOKUP(Detached!AJ$2,'Wall-U'!$A$4:$A$40,'Wall-U'!$F$4:$F$40)*Detached!AJ$12)+(LOOKUP(Detached!AJ$2,'Window-U'!$A$4:$A$40,'Window-U'!$Q$4:$Q$40)*Detached!AJ$21))*AJ4</f>
        <v>359.944451793974</v>
      </c>
      <c r="AK6" s="177">
        <f>((LOOKUP(Detached!AK$2,'Ceiling-U'!$A$4:$A$40,'Ceiling-U'!$F$4:$F$40)*Detached!AK$14)+(LOOKUP(Detached!AK$2,'Floor-U'!$A$4:$A$40,'Floor-U'!$F$4:$F$40)*Detached!AK$15)+(LOOKUP(Detached!AK$2,'Wall-U'!$A$4:$A$40,'Wall-U'!$F$4:$F$40)*Detached!AK$12)+(LOOKUP(Detached!AK$2,'Window-U'!$A$4:$A$40,'Window-U'!$Q$4:$Q$40)*Detached!AK$21))*AK4</f>
        <v>426.1730729087418</v>
      </c>
      <c r="AL6" s="177">
        <f>((LOOKUP(Detached!AL$2,'Ceiling-U'!$A$4:$A$40,'Ceiling-U'!$F$4:$F$40)*Detached!AL$14)+(LOOKUP(Detached!AL$2,'Floor-U'!$A$4:$A$40,'Floor-U'!$F$4:$F$40)*Detached!AL$15)+(LOOKUP(Detached!AL$2,'Wall-U'!$A$4:$A$40,'Wall-U'!$F$4:$F$40)*Detached!AL$12)+(LOOKUP(Detached!AL$2,'Window-U'!$A$4:$A$40,'Window-U'!$Q$4:$Q$40)*Detached!AL$21))*AL4</f>
        <v>389.34278700521429</v>
      </c>
      <c r="AM6" s="177">
        <f>((LOOKUP(Detached!AM$2,'Ceiling-U'!$A$4:$A$40,'Ceiling-U'!$F$4:$F$40)*Detached!AM$14)+(LOOKUP(Detached!AM$2,'Floor-U'!$A$4:$A$40,'Floor-U'!$F$4:$F$40)*Detached!AM$15)+(LOOKUP(Detached!AM$2,'Wall-U'!$A$4:$A$40,'Wall-U'!$F$4:$F$40)*Detached!AM$12)+(LOOKUP(Detached!AM$2,'Window-U'!$A$4:$A$40,'Window-U'!$Q$4:$Q$40)*Detached!AM$21))*AM4</f>
        <v>359.944451793974</v>
      </c>
      <c r="AN6" s="178">
        <f>((LOOKUP(Detached!AN$2,'Ceiling-U'!$A$4:$A$40,'Ceiling-U'!$F$4:$F$40)*Detached!AN$14)+(LOOKUP(Detached!AN$2,'Floor-U'!$A$4:$A$40,'Floor-U'!$F$4:$F$40)*Detached!AN$15)+(LOOKUP(Detached!AN$2,'Wall-U'!$A$4:$A$40,'Wall-U'!$F$4:$F$40)*Detached!AN$12)+(LOOKUP(Detached!AN$2,'Window-U'!$A$4:$A$40,'Window-U'!$Q$4:$Q$40)*Detached!AN$21))*AN4</f>
        <v>359.944451793974</v>
      </c>
    </row>
    <row r="7" spans="1:40">
      <c r="A7" s="372"/>
      <c r="B7" s="142" t="s">
        <v>4</v>
      </c>
      <c r="C7" s="131" t="s">
        <v>195</v>
      </c>
      <c r="D7" s="176">
        <f>((LOOKUP(Detached!D$2,'Ceiling-U'!$A$4:$A$40,'Ceiling-U'!$G$4:$G$40)*Detached!D$14)+(LOOKUP(Detached!D$2,'Floor-U'!$A$4:$A$40,'Floor-U'!$G$4:$G$40)*Detached!D$15)+(LOOKUP(Detached!D$2,'Wall-U'!$A$4:$A$40,'Wall-U'!$G$4:$G$40)*Detached!D$12)+(LOOKUP(Detached!D$2,'Window-U'!$A$4:$A$40,'Window-U'!$Q$4:$Q$40)*Detached!D$21))*D4</f>
        <v>380.59310809188634</v>
      </c>
      <c r="E7" s="177">
        <f>((LOOKUP(Detached!E$2,'Ceiling-U'!$A$4:$A$40,'Ceiling-U'!$G$4:$G$40)*Detached!E$14)+(LOOKUP(Detached!E$2,'Floor-U'!$A$4:$A$40,'Floor-U'!$G$4:$G$40)*Detached!E$15)+(LOOKUP(Detached!E$2,'Wall-U'!$A$4:$A$40,'Wall-U'!$G$4:$G$40)*Detached!E$12)+(LOOKUP(Detached!E$2,'Window-U'!$A$4:$A$40,'Window-U'!$Q$4:$Q$40)*Detached!E$21))*E4</f>
        <v>615.09087407510015</v>
      </c>
      <c r="F7" s="177">
        <f>((LOOKUP(Detached!F$2,'Ceiling-U'!$A$4:$A$40,'Ceiling-U'!$G$4:$G$40)*Detached!F$14)+(LOOKUP(Detached!F$2,'Floor-U'!$A$4:$A$40,'Floor-U'!$G$4:$G$40)*Detached!F$15)+(LOOKUP(Detached!F$2,'Wall-U'!$A$4:$A$40,'Wall-U'!$G$4:$G$40)*Detached!F$12)+(LOOKUP(Detached!F$2,'Window-U'!$A$4:$A$40,'Window-U'!$Q$4:$Q$40)*Detached!F$21))*F4</f>
        <v>349.43232379618337</v>
      </c>
      <c r="G7" s="177">
        <f>((LOOKUP(Detached!G$2,'Ceiling-U'!$A$4:$A$40,'Ceiling-U'!$G$4:$G$40)*Detached!G$14)+(LOOKUP(Detached!G$2,'Floor-U'!$A$4:$A$40,'Floor-U'!$G$4:$G$40)*Detached!G$15)+(LOOKUP(Detached!G$2,'Wall-U'!$A$4:$A$40,'Wall-U'!$G$4:$G$40)*Detached!G$12)+(LOOKUP(Detached!G$2,'Window-U'!$A$4:$A$40,'Window-U'!$Q$4:$Q$40)*Detached!G$21))*G4</f>
        <v>380.59310809188634</v>
      </c>
      <c r="H7" s="177">
        <f>((LOOKUP(Detached!H$2,'Ceiling-U'!$A$4:$A$40,'Ceiling-U'!$G$4:$G$40)*Detached!H$14)+(LOOKUP(Detached!H$2,'Floor-U'!$A$4:$A$40,'Floor-U'!$G$4:$G$40)*Detached!H$15)+(LOOKUP(Detached!H$2,'Wall-U'!$A$4:$A$40,'Wall-U'!$G$4:$G$40)*Detached!H$12)+(LOOKUP(Detached!H$2,'Window-U'!$A$4:$A$40,'Window-U'!$Q$4:$Q$40)*Detached!H$21))*H4</f>
        <v>683.10031616442325</v>
      </c>
      <c r="I7" s="177">
        <f>((LOOKUP(Detached!I$2,'Ceiling-U'!$A$4:$A$40,'Ceiling-U'!$G$4:$G$40)*Detached!I$14)+(LOOKUP(Detached!I$2,'Floor-U'!$A$4:$A$40,'Floor-U'!$G$4:$G$40)*Detached!I$15)+(LOOKUP(Detached!I$2,'Wall-U'!$A$4:$A$40,'Wall-U'!$G$4:$G$40)*Detached!I$12)+(LOOKUP(Detached!I$2,'Window-U'!$A$4:$A$40,'Window-U'!$Q$4:$Q$40)*Detached!I$21))*I4</f>
        <v>313.52376597389093</v>
      </c>
      <c r="J7" s="177">
        <f>((LOOKUP(Detached!J$2,'Ceiling-U'!$A$4:$A$40,'Ceiling-U'!$G$4:$G$40)*Detached!J$14)+(LOOKUP(Detached!J$2,'Floor-U'!$A$4:$A$40,'Floor-U'!$G$4:$G$40)*Detached!J$15)+(LOOKUP(Detached!J$2,'Wall-U'!$A$4:$A$40,'Wall-U'!$G$4:$G$40)*Detached!J$12)+(LOOKUP(Detached!J$2,'Window-U'!$A$4:$A$40,'Window-U'!$Q$4:$Q$40)*Detached!J$21))*J4</f>
        <v>314.20151318628183</v>
      </c>
      <c r="K7" s="177">
        <f>((LOOKUP(Detached!K$2,'Ceiling-U'!$A$4:$A$40,'Ceiling-U'!$G$4:$G$40)*Detached!K$14)+(LOOKUP(Detached!K$2,'Floor-U'!$A$4:$A$40,'Floor-U'!$G$4:$G$40)*Detached!K$15)+(LOOKUP(Detached!K$2,'Wall-U'!$A$4:$A$40,'Wall-U'!$G$4:$G$40)*Detached!K$12)+(LOOKUP(Detached!K$2,'Window-U'!$A$4:$A$40,'Window-U'!$Q$4:$Q$40)*Detached!K$21))*K4</f>
        <v>223.81328740683946</v>
      </c>
      <c r="L7" s="177">
        <f>((LOOKUP(Detached!L$2,'Ceiling-U'!$A$4:$A$40,'Ceiling-U'!$G$4:$G$40)*Detached!L$14)+(LOOKUP(Detached!L$2,'Floor-U'!$A$4:$A$40,'Floor-U'!$G$4:$G$40)*Detached!L$15)+(LOOKUP(Detached!L$2,'Wall-U'!$A$4:$A$40,'Wall-U'!$G$4:$G$40)*Detached!L$12)+(LOOKUP(Detached!L$2,'Window-U'!$A$4:$A$40,'Window-U'!$Q$4:$Q$40)*Detached!L$21))*L4</f>
        <v>168.10431256618278</v>
      </c>
      <c r="M7" s="177">
        <f>((LOOKUP(Detached!M$2,'Ceiling-U'!$A$4:$A$40,'Ceiling-U'!$G$4:$G$40)*Detached!M$14)+(LOOKUP(Detached!M$2,'Floor-U'!$A$4:$A$40,'Floor-U'!$G$4:$G$40)*Detached!M$15)+(LOOKUP(Detached!M$2,'Wall-U'!$A$4:$A$40,'Wall-U'!$G$4:$G$40)*Detached!M$12)+(LOOKUP(Detached!M$2,'Window-U'!$A$4:$A$40,'Window-U'!$Q$4:$Q$40)*Detached!M$21))*M4</f>
        <v>721.00949037953797</v>
      </c>
      <c r="N7" s="177">
        <f>((LOOKUP(Detached!N$2,'Ceiling-U'!$A$4:$A$40,'Ceiling-U'!$G$4:$G$40)*Detached!N$14)+(LOOKUP(Detached!N$2,'Floor-U'!$A$4:$A$40,'Floor-U'!$G$4:$G$40)*Detached!N$15)+(LOOKUP(Detached!N$2,'Wall-U'!$A$4:$A$40,'Wall-U'!$G$4:$G$40)*Detached!N$12)+(LOOKUP(Detached!N$2,'Window-U'!$A$4:$A$40,'Window-U'!$Q$4:$Q$40)*Detached!N$21))*N4</f>
        <v>186.54504490165152</v>
      </c>
      <c r="O7" s="177">
        <f>((LOOKUP(Detached!O$2,'Ceiling-U'!$A$4:$A$40,'Ceiling-U'!$G$4:$G$40)*Detached!O$14)+(LOOKUP(Detached!O$2,'Floor-U'!$A$4:$A$40,'Floor-U'!$G$4:$G$40)*Detached!O$15)+(LOOKUP(Detached!O$2,'Wall-U'!$A$4:$A$40,'Wall-U'!$G$4:$G$40)*Detached!O$12)+(LOOKUP(Detached!O$2,'Window-U'!$A$4:$A$40,'Window-U'!$Q$4:$Q$40)*Detached!O$21))*O4</f>
        <v>357.68001771115496</v>
      </c>
      <c r="P7" s="177">
        <f>((LOOKUP(Detached!P$2,'Ceiling-U'!$A$4:$A$40,'Ceiling-U'!$G$4:$G$40)*Detached!P$14)+(LOOKUP(Detached!P$2,'Floor-U'!$A$4:$A$40,'Floor-U'!$G$4:$G$40)*Detached!P$15)+(LOOKUP(Detached!P$2,'Wall-U'!$A$4:$A$40,'Wall-U'!$G$4:$G$40)*Detached!P$12)+(LOOKUP(Detached!P$2,'Window-U'!$A$4:$A$40,'Window-U'!$Q$4:$Q$40)*Detached!P$21))*P4</f>
        <v>786.59721542084981</v>
      </c>
      <c r="Q7" s="177">
        <f>((LOOKUP(Detached!Q$2,'Ceiling-U'!$A$4:$A$40,'Ceiling-U'!$G$4:$G$40)*Detached!Q$14)+(LOOKUP(Detached!Q$2,'Floor-U'!$A$4:$A$40,'Floor-U'!$G$4:$G$40)*Detached!Q$15)+(LOOKUP(Detached!Q$2,'Wall-U'!$A$4:$A$40,'Wall-U'!$G$4:$G$40)*Detached!Q$12)+(LOOKUP(Detached!Q$2,'Window-U'!$A$4:$A$40,'Window-U'!$Q$4:$Q$40)*Detached!Q$21))*Q4</f>
        <v>338.2976693714844</v>
      </c>
      <c r="R7" s="177">
        <f>((LOOKUP(Detached!R$2,'Ceiling-U'!$A$4:$A$40,'Ceiling-U'!$G$4:$G$40)*Detached!R$14)+(LOOKUP(Detached!R$2,'Floor-U'!$A$4:$A$40,'Floor-U'!$G$4:$G$40)*Detached!R$15)+(LOOKUP(Detached!R$2,'Wall-U'!$A$4:$A$40,'Wall-U'!$G$4:$G$40)*Detached!R$12)+(LOOKUP(Detached!R$2,'Window-U'!$A$4:$A$40,'Window-U'!$Q$4:$Q$40)*Detached!R$21))*R4</f>
        <v>396.20393156842965</v>
      </c>
      <c r="S7" s="177">
        <f>((LOOKUP(Detached!S$2,'Ceiling-U'!$A$4:$A$40,'Ceiling-U'!$G$4:$G$40)*Detached!S$14)+(LOOKUP(Detached!S$2,'Floor-U'!$A$4:$A$40,'Floor-U'!$G$4:$G$40)*Detached!S$15)+(LOOKUP(Detached!S$2,'Wall-U'!$A$4:$A$40,'Wall-U'!$G$4:$G$40)*Detached!S$12)+(LOOKUP(Detached!S$2,'Window-U'!$A$4:$A$40,'Window-U'!$Q$4:$Q$40)*Detached!S$21))*S4</f>
        <v>531.42050112416746</v>
      </c>
      <c r="T7" s="177">
        <f>((LOOKUP(Detached!T$2,'Ceiling-U'!$A$4:$A$40,'Ceiling-U'!$G$4:$G$40)*Detached!T$14)+(LOOKUP(Detached!T$2,'Floor-U'!$A$4:$A$40,'Floor-U'!$G$4:$G$40)*Detached!T$15)+(LOOKUP(Detached!T$2,'Wall-U'!$A$4:$A$40,'Wall-U'!$G$4:$G$40)*Detached!T$12)+(LOOKUP(Detached!T$2,'Window-U'!$A$4:$A$40,'Window-U'!$Q$4:$Q$40)*Detached!T$21))*T4</f>
        <v>186.54504490165152</v>
      </c>
      <c r="U7" s="177">
        <f>((LOOKUP(Detached!U$2,'Ceiling-U'!$A$4:$A$40,'Ceiling-U'!$G$4:$G$40)*Detached!U$14)+(LOOKUP(Detached!U$2,'Floor-U'!$A$4:$A$40,'Floor-U'!$G$4:$G$40)*Detached!U$15)+(LOOKUP(Detached!U$2,'Wall-U'!$A$4:$A$40,'Wall-U'!$G$4:$G$40)*Detached!U$12)+(LOOKUP(Detached!U$2,'Window-U'!$A$4:$A$40,'Window-U'!$Q$4:$Q$40)*Detached!U$21))*U4</f>
        <v>595.72963210424064</v>
      </c>
      <c r="V7" s="177">
        <f>((LOOKUP(Detached!V$2,'Ceiling-U'!$A$4:$A$40,'Ceiling-U'!$G$4:$G$40)*Detached!V$14)+(LOOKUP(Detached!V$2,'Floor-U'!$A$4:$A$40,'Floor-U'!$G$4:$G$40)*Detached!V$15)+(LOOKUP(Detached!V$2,'Wall-U'!$A$4:$A$40,'Wall-U'!$G$4:$G$40)*Detached!V$12)+(LOOKUP(Detached!V$2,'Window-U'!$A$4:$A$40,'Window-U'!$Q$4:$Q$40)*Detached!V$21))*V4</f>
        <v>232.05503322188488</v>
      </c>
      <c r="W7" s="177">
        <f>((LOOKUP(Detached!W$2,'Ceiling-U'!$A$4:$A$40,'Ceiling-U'!$G$4:$G$40)*Detached!W$14)+(LOOKUP(Detached!W$2,'Floor-U'!$A$4:$A$40,'Floor-U'!$G$4:$G$40)*Detached!W$15)+(LOOKUP(Detached!W$2,'Wall-U'!$A$4:$A$40,'Wall-U'!$G$4:$G$40)*Detached!W$12)+(LOOKUP(Detached!W$2,'Window-U'!$A$4:$A$40,'Window-U'!$Q$4:$Q$40)*Detached!W$21))*W4</f>
        <v>240.51128906274784</v>
      </c>
      <c r="X7" s="177">
        <f>((LOOKUP(Detached!X$2,'Ceiling-U'!$A$4:$A$40,'Ceiling-U'!$G$4:$G$40)*Detached!X$14)+(LOOKUP(Detached!X$2,'Floor-U'!$A$4:$A$40,'Floor-U'!$G$4:$G$40)*Detached!X$15)+(LOOKUP(Detached!X$2,'Wall-U'!$A$4:$A$40,'Wall-U'!$G$4:$G$40)*Detached!X$12)+(LOOKUP(Detached!X$2,'Window-U'!$A$4:$A$40,'Window-U'!$Q$4:$Q$40)*Detached!X$21))*X4</f>
        <v>341.01288055616044</v>
      </c>
      <c r="Y7" s="177">
        <f>((LOOKUP(Detached!Y$2,'Ceiling-U'!$A$4:$A$40,'Ceiling-U'!$G$4:$G$40)*Detached!Y$14)+(LOOKUP(Detached!Y$2,'Floor-U'!$A$4:$A$40,'Floor-U'!$G$4:$G$40)*Detached!Y$15)+(LOOKUP(Detached!Y$2,'Wall-U'!$A$4:$A$40,'Wall-U'!$G$4:$G$40)*Detached!Y$12)+(LOOKUP(Detached!Y$2,'Window-U'!$A$4:$A$40,'Window-U'!$Q$4:$Q$40)*Detached!Y$21))*Y4</f>
        <v>684.58218885194754</v>
      </c>
      <c r="Z7" s="177">
        <f>((LOOKUP(Detached!Z$2,'Ceiling-U'!$A$4:$A$40,'Ceiling-U'!$G$4:$G$40)*Detached!Z$14)+(LOOKUP(Detached!Z$2,'Floor-U'!$A$4:$A$40,'Floor-U'!$G$4:$G$40)*Detached!Z$15)+(LOOKUP(Detached!Z$2,'Wall-U'!$A$4:$A$40,'Wall-U'!$G$4:$G$40)*Detached!Z$12)+(LOOKUP(Detached!Z$2,'Window-U'!$A$4:$A$40,'Window-U'!$Q$4:$Q$40)*Detached!Z$21))*Z4</f>
        <v>511.89751834839944</v>
      </c>
      <c r="AA7" s="177">
        <f>((LOOKUP(Detached!AA$2,'Ceiling-U'!$A$4:$A$40,'Ceiling-U'!$G$4:$G$40)*Detached!AA$14)+(LOOKUP(Detached!AA$2,'Floor-U'!$A$4:$A$40,'Floor-U'!$G$4:$G$40)*Detached!AA$15)+(LOOKUP(Detached!AA$2,'Wall-U'!$A$4:$A$40,'Wall-U'!$G$4:$G$40)*Detached!AA$12)+(LOOKUP(Detached!AA$2,'Window-U'!$A$4:$A$40,'Window-U'!$Q$4:$Q$40)*Detached!AA$21))*AA4</f>
        <v>156.74804949902875</v>
      </c>
      <c r="AB7" s="177">
        <f>((LOOKUP(Detached!AB$2,'Ceiling-U'!$A$4:$A$40,'Ceiling-U'!$G$4:$G$40)*Detached!AB$14)+(LOOKUP(Detached!AB$2,'Floor-U'!$A$4:$A$40,'Floor-U'!$G$4:$G$40)*Detached!AB$15)+(LOOKUP(Detached!AB$2,'Wall-U'!$A$4:$A$40,'Wall-U'!$G$4:$G$40)*Detached!AB$12)+(LOOKUP(Detached!AB$2,'Window-U'!$A$4:$A$40,'Window-U'!$Q$4:$Q$40)*Detached!AB$21))*AB4</f>
        <v>286.93583619823528</v>
      </c>
      <c r="AC7" s="177">
        <f>((LOOKUP(Detached!AC$2,'Ceiling-U'!$A$4:$A$40,'Ceiling-U'!$G$4:$G$40)*Detached!AC$14)+(LOOKUP(Detached!AC$2,'Floor-U'!$A$4:$A$40,'Floor-U'!$G$4:$G$40)*Detached!AC$15)+(LOOKUP(Detached!AC$2,'Wall-U'!$A$4:$A$40,'Wall-U'!$G$4:$G$40)*Detached!AC$12)+(LOOKUP(Detached!AC$2,'Window-U'!$A$4:$A$40,'Window-U'!$Q$4:$Q$40)*Detached!AC$21))*AC4</f>
        <v>708.17004480874721</v>
      </c>
      <c r="AD7" s="177">
        <f>((LOOKUP(Detached!AD$2,'Ceiling-U'!$A$4:$A$40,'Ceiling-U'!$G$4:$G$40)*Detached!AD$14)+(LOOKUP(Detached!AD$2,'Floor-U'!$A$4:$A$40,'Floor-U'!$G$4:$G$40)*Detached!AD$15)+(LOOKUP(Detached!AD$2,'Wall-U'!$A$4:$A$40,'Wall-U'!$G$4:$G$40)*Detached!AD$12)+(LOOKUP(Detached!AD$2,'Window-U'!$A$4:$A$40,'Window-U'!$Q$4:$Q$40)*Detached!AD$21))*AD4</f>
        <v>433.62544534104632</v>
      </c>
      <c r="AE7" s="177">
        <f>((LOOKUP(Detached!AE$2,'Ceiling-U'!$A$4:$A$40,'Ceiling-U'!$G$4:$G$40)*Detached!AE$14)+(LOOKUP(Detached!AE$2,'Floor-U'!$A$4:$A$40,'Floor-U'!$G$4:$G$40)*Detached!AE$15)+(LOOKUP(Detached!AE$2,'Wall-U'!$A$4:$A$40,'Wall-U'!$G$4:$G$40)*Detached!AE$12)+(LOOKUP(Detached!AE$2,'Window-U'!$A$4:$A$40,'Window-U'!$Q$4:$Q$40)*Detached!AE$21))*AE4</f>
        <v>156.74804949902875</v>
      </c>
      <c r="AF7" s="177">
        <f>((LOOKUP(Detached!AF$2,'Ceiling-U'!$A$4:$A$40,'Ceiling-U'!$G$4:$G$40)*Detached!AF$14)+(LOOKUP(Detached!AF$2,'Floor-U'!$A$4:$A$40,'Floor-U'!$G$4:$G$40)*Detached!AF$15)+(LOOKUP(Detached!AF$2,'Wall-U'!$A$4:$A$40,'Wall-U'!$G$4:$G$40)*Detached!AF$12)+(LOOKUP(Detached!AF$2,'Window-U'!$A$4:$A$40,'Window-U'!$Q$4:$Q$40)*Detached!AF$21))*AF4</f>
        <v>411.40194607094122</v>
      </c>
      <c r="AG7" s="177">
        <f>((LOOKUP(Detached!AG$2,'Ceiling-U'!$A$4:$A$40,'Ceiling-U'!$G$4:$G$40)*Detached!AG$14)+(LOOKUP(Detached!AG$2,'Floor-U'!$A$4:$A$40,'Floor-U'!$G$4:$G$40)*Detached!AG$15)+(LOOKUP(Detached!AG$2,'Wall-U'!$A$4:$A$40,'Wall-U'!$G$4:$G$40)*Detached!AG$12)+(LOOKUP(Detached!AG$2,'Window-U'!$A$4:$A$40,'Window-U'!$Q$4:$Q$40)*Detached!AG$21))*AG4</f>
        <v>470.19144884366983</v>
      </c>
      <c r="AH7" s="177">
        <f>((LOOKUP(Detached!AH$2,'Ceiling-U'!$A$4:$A$40,'Ceiling-U'!$G$4:$G$40)*Detached!AH$14)+(LOOKUP(Detached!AH$2,'Floor-U'!$A$4:$A$40,'Floor-U'!$G$4:$G$40)*Detached!AH$15)+(LOOKUP(Detached!AH$2,'Wall-U'!$A$4:$A$40,'Wall-U'!$G$4:$G$40)*Detached!AH$12)+(LOOKUP(Detached!AH$2,'Window-U'!$A$4:$A$40,'Window-U'!$Q$4:$Q$40)*Detached!AH$21))*AH4</f>
        <v>408.74780929536678</v>
      </c>
      <c r="AI7" s="177">
        <f>((LOOKUP(Detached!AI$2,'Ceiling-U'!$A$4:$A$40,'Ceiling-U'!$G$4:$G$40)*Detached!AI$14)+(LOOKUP(Detached!AI$2,'Floor-U'!$A$4:$A$40,'Floor-U'!$G$4:$G$40)*Detached!AI$15)+(LOOKUP(Detached!AI$2,'Wall-U'!$A$4:$A$40,'Wall-U'!$G$4:$G$40)*Detached!AI$12)+(LOOKUP(Detached!AI$2,'Window-U'!$A$4:$A$40,'Window-U'!$Q$4:$Q$40)*Detached!AI$21))*AI4</f>
        <v>786.59721542084981</v>
      </c>
      <c r="AJ7" s="177">
        <f>((LOOKUP(Detached!AJ$2,'Ceiling-U'!$A$4:$A$40,'Ceiling-U'!$G$4:$G$40)*Detached!AJ$14)+(LOOKUP(Detached!AJ$2,'Floor-U'!$A$4:$A$40,'Floor-U'!$G$4:$G$40)*Detached!AJ$15)+(LOOKUP(Detached!AJ$2,'Wall-U'!$A$4:$A$40,'Wall-U'!$G$4:$G$40)*Detached!AJ$12)+(LOOKUP(Detached!AJ$2,'Window-U'!$A$4:$A$40,'Window-U'!$Q$4:$Q$40)*Detached!AJ$21))*AJ4</f>
        <v>359.944451793974</v>
      </c>
      <c r="AK7" s="177">
        <f>((LOOKUP(Detached!AK$2,'Ceiling-U'!$A$4:$A$40,'Ceiling-U'!$G$4:$G$40)*Detached!AK$14)+(LOOKUP(Detached!AK$2,'Floor-U'!$A$4:$A$40,'Floor-U'!$G$4:$G$40)*Detached!AK$15)+(LOOKUP(Detached!AK$2,'Wall-U'!$A$4:$A$40,'Wall-U'!$G$4:$G$40)*Detached!AK$12)+(LOOKUP(Detached!AK$2,'Window-U'!$A$4:$A$40,'Window-U'!$Q$4:$Q$40)*Detached!AK$21))*AK4</f>
        <v>426.1730729087418</v>
      </c>
      <c r="AL7" s="177">
        <f>((LOOKUP(Detached!AL$2,'Ceiling-U'!$A$4:$A$40,'Ceiling-U'!$G$4:$G$40)*Detached!AL$14)+(LOOKUP(Detached!AL$2,'Floor-U'!$A$4:$A$40,'Floor-U'!$G$4:$G$40)*Detached!AL$15)+(LOOKUP(Detached!AL$2,'Wall-U'!$A$4:$A$40,'Wall-U'!$G$4:$G$40)*Detached!AL$12)+(LOOKUP(Detached!AL$2,'Window-U'!$A$4:$A$40,'Window-U'!$Q$4:$Q$40)*Detached!AL$21))*AL4</f>
        <v>365.48905701053411</v>
      </c>
      <c r="AM7" s="177">
        <f>((LOOKUP(Detached!AM$2,'Ceiling-U'!$A$4:$A$40,'Ceiling-U'!$G$4:$G$40)*Detached!AM$14)+(LOOKUP(Detached!AM$2,'Floor-U'!$A$4:$A$40,'Floor-U'!$G$4:$G$40)*Detached!AM$15)+(LOOKUP(Detached!AM$2,'Wall-U'!$A$4:$A$40,'Wall-U'!$G$4:$G$40)*Detached!AM$12)+(LOOKUP(Detached!AM$2,'Window-U'!$A$4:$A$40,'Window-U'!$Q$4:$Q$40)*Detached!AM$21))*AM4</f>
        <v>359.944451793974</v>
      </c>
      <c r="AN7" s="178">
        <f>((LOOKUP(Detached!AN$2,'Ceiling-U'!$A$4:$A$40,'Ceiling-U'!$G$4:$G$40)*Detached!AN$14)+(LOOKUP(Detached!AN$2,'Floor-U'!$A$4:$A$40,'Floor-U'!$G$4:$G$40)*Detached!AN$15)+(LOOKUP(Detached!AN$2,'Wall-U'!$A$4:$A$40,'Wall-U'!$G$4:$G$40)*Detached!AN$12)+(LOOKUP(Detached!AN$2,'Window-U'!$A$4:$A$40,'Window-U'!$Q$4:$Q$40)*Detached!AN$21))*AN4</f>
        <v>359.944451793974</v>
      </c>
    </row>
    <row r="8" spans="1:40">
      <c r="A8" s="372"/>
      <c r="B8" s="142" t="s">
        <v>5</v>
      </c>
      <c r="C8" s="131" t="s">
        <v>195</v>
      </c>
      <c r="D8" s="176">
        <f>((LOOKUP(Detached!D$2,'Ceiling-U'!$A$4:$A$40,'Ceiling-U'!$H$4:$H$40)*Detached!D$14)+(LOOKUP(Detached!D$2,'Floor-U'!$A$4:$A$40,'Floor-U'!$H$4:$H$40)*Detached!D$15)+(LOOKUP(Detached!D$2,'Wall-U'!$A$4:$A$40,'Wall-U'!$H$4:$H$40)*Detached!D$12)+(LOOKUP(Detached!D$2,'Window-U'!$A$4:$A$40,'Window-U'!$Q$4:$Q$40)*Detached!D$21))*D4</f>
        <v>267.28171186128861</v>
      </c>
      <c r="E8" s="177">
        <f>((LOOKUP(Detached!E$2,'Ceiling-U'!$A$4:$A$40,'Ceiling-U'!$H$4:$H$40)*Detached!E$14)+(LOOKUP(Detached!E$2,'Floor-U'!$A$4:$A$40,'Floor-U'!$H$4:$H$40)*Detached!E$15)+(LOOKUP(Detached!E$2,'Wall-U'!$A$4:$A$40,'Wall-U'!$H$4:$H$40)*Detached!E$12)+(LOOKUP(Detached!E$2,'Window-U'!$A$4:$A$40,'Window-U'!$Q$4:$Q$40)*Detached!E$21))*E4</f>
        <v>514.11466279502611</v>
      </c>
      <c r="F8" s="177">
        <f>((LOOKUP(Detached!F$2,'Ceiling-U'!$A$4:$A$40,'Ceiling-U'!$H$4:$H$40)*Detached!F$14)+(LOOKUP(Detached!F$2,'Floor-U'!$A$4:$A$40,'Floor-U'!$H$4:$H$40)*Detached!F$15)+(LOOKUP(Detached!F$2,'Wall-U'!$A$4:$A$40,'Wall-U'!$H$4:$H$40)*Detached!F$12)+(LOOKUP(Detached!F$2,'Window-U'!$A$4:$A$40,'Window-U'!$Q$4:$Q$40)*Detached!F$21))*F4</f>
        <v>298.38616078894802</v>
      </c>
      <c r="G8" s="177">
        <f>((LOOKUP(Detached!G$2,'Ceiling-U'!$A$4:$A$40,'Ceiling-U'!$H$4:$H$40)*Detached!G$14)+(LOOKUP(Detached!G$2,'Floor-U'!$A$4:$A$40,'Floor-U'!$H$4:$H$40)*Detached!G$15)+(LOOKUP(Detached!G$2,'Wall-U'!$A$4:$A$40,'Wall-U'!$H$4:$H$40)*Detached!G$12)+(LOOKUP(Detached!G$2,'Window-U'!$A$4:$A$40,'Window-U'!$Q$4:$Q$40)*Detached!G$21))*G4</f>
        <v>267.28171186128861</v>
      </c>
      <c r="H8" s="177">
        <f>((LOOKUP(Detached!H$2,'Ceiling-U'!$A$4:$A$40,'Ceiling-U'!$H$4:$H$40)*Detached!H$14)+(LOOKUP(Detached!H$2,'Floor-U'!$A$4:$A$40,'Floor-U'!$H$4:$H$40)*Detached!H$15)+(LOOKUP(Detached!H$2,'Wall-U'!$A$4:$A$40,'Wall-U'!$H$4:$H$40)*Detached!H$12)+(LOOKUP(Detached!H$2,'Window-U'!$A$4:$A$40,'Window-U'!$Q$4:$Q$40)*Detached!H$21))*H4</f>
        <v>659.08071671442326</v>
      </c>
      <c r="I8" s="177">
        <f>((LOOKUP(Detached!I$2,'Ceiling-U'!$A$4:$A$40,'Ceiling-U'!$H$4:$H$40)*Detached!I$14)+(LOOKUP(Detached!I$2,'Floor-U'!$A$4:$A$40,'Floor-U'!$H$4:$H$40)*Detached!I$15)+(LOOKUP(Detached!I$2,'Wall-U'!$A$4:$A$40,'Wall-U'!$H$4:$H$40)*Detached!I$12)+(LOOKUP(Detached!I$2,'Window-U'!$A$4:$A$40,'Window-U'!$Q$4:$Q$40)*Detached!I$21))*I4</f>
        <v>277.90542779590453</v>
      </c>
      <c r="J8" s="177">
        <f>((LOOKUP(Detached!J$2,'Ceiling-U'!$A$4:$A$40,'Ceiling-U'!$H$4:$H$40)*Detached!J$14)+(LOOKUP(Detached!J$2,'Floor-U'!$A$4:$A$40,'Floor-U'!$H$4:$H$40)*Detached!J$15)+(LOOKUP(Detached!J$2,'Wall-U'!$A$4:$A$40,'Wall-U'!$H$4:$H$40)*Detached!J$12)+(LOOKUP(Detached!J$2,'Window-U'!$A$4:$A$40,'Window-U'!$Q$4:$Q$40)*Detached!J$21))*J4</f>
        <v>250.8472483635588</v>
      </c>
      <c r="K8" s="177">
        <f>((LOOKUP(Detached!K$2,'Ceiling-U'!$A$4:$A$40,'Ceiling-U'!$H$4:$H$40)*Detached!K$14)+(LOOKUP(Detached!K$2,'Floor-U'!$A$4:$A$40,'Floor-U'!$H$4:$H$40)*Detached!K$15)+(LOOKUP(Detached!K$2,'Wall-U'!$A$4:$A$40,'Wall-U'!$H$4:$H$40)*Detached!K$12)+(LOOKUP(Detached!K$2,'Window-U'!$A$4:$A$40,'Window-U'!$Q$4:$Q$40)*Detached!K$21))*K4</f>
        <v>188.52461600488533</v>
      </c>
      <c r="L8" s="177">
        <f>((LOOKUP(Detached!L$2,'Ceiling-U'!$A$4:$A$40,'Ceiling-U'!$H$4:$H$40)*Detached!L$14)+(LOOKUP(Detached!L$2,'Floor-U'!$A$4:$A$40,'Floor-U'!$H$4:$H$40)*Detached!L$15)+(LOOKUP(Detached!L$2,'Wall-U'!$A$4:$A$40,'Wall-U'!$H$4:$H$40)*Detached!L$12)+(LOOKUP(Detached!L$2,'Window-U'!$A$4:$A$40,'Window-U'!$Q$4:$Q$40)*Detached!L$21))*L4</f>
        <v>145.45844145159577</v>
      </c>
      <c r="M8" s="177">
        <f>((LOOKUP(Detached!M$2,'Ceiling-U'!$A$4:$A$40,'Ceiling-U'!$H$4:$H$40)*Detached!M$14)+(LOOKUP(Detached!M$2,'Floor-U'!$A$4:$A$40,'Floor-U'!$H$4:$H$40)*Detached!M$15)+(LOOKUP(Detached!M$2,'Wall-U'!$A$4:$A$40,'Wall-U'!$H$4:$H$40)*Detached!M$12)+(LOOKUP(Detached!M$2,'Window-U'!$A$4:$A$40,'Window-U'!$Q$4:$Q$40)*Detached!M$21))*M4</f>
        <v>483.87540670029858</v>
      </c>
      <c r="N8" s="177">
        <f>((LOOKUP(Detached!N$2,'Ceiling-U'!$A$4:$A$40,'Ceiling-U'!$H$4:$H$40)*Detached!N$14)+(LOOKUP(Detached!N$2,'Floor-U'!$A$4:$A$40,'Floor-U'!$H$4:$H$40)*Detached!N$15)+(LOOKUP(Detached!N$2,'Wall-U'!$A$4:$A$40,'Wall-U'!$H$4:$H$40)*Detached!N$12)+(LOOKUP(Detached!N$2,'Window-U'!$A$4:$A$40,'Window-U'!$Q$4:$Q$40)*Detached!N$21))*N4</f>
        <v>161.03686608819922</v>
      </c>
      <c r="O8" s="177">
        <f>((LOOKUP(Detached!O$2,'Ceiling-U'!$A$4:$A$40,'Ceiling-U'!$H$4:$H$40)*Detached!O$14)+(LOOKUP(Detached!O$2,'Floor-U'!$A$4:$A$40,'Floor-U'!$H$4:$H$40)*Detached!O$15)+(LOOKUP(Detached!O$2,'Wall-U'!$A$4:$A$40,'Wall-U'!$H$4:$H$40)*Detached!O$12)+(LOOKUP(Detached!O$2,'Window-U'!$A$4:$A$40,'Window-U'!$Q$4:$Q$40)*Detached!O$21))*O4</f>
        <v>307.83999911768711</v>
      </c>
      <c r="P8" s="177">
        <f>((LOOKUP(Detached!P$2,'Ceiling-U'!$A$4:$A$40,'Ceiling-U'!$H$4:$H$40)*Detached!P$14)+(LOOKUP(Detached!P$2,'Floor-U'!$A$4:$A$40,'Floor-U'!$H$4:$H$40)*Detached!P$15)+(LOOKUP(Detached!P$2,'Wall-U'!$A$4:$A$40,'Wall-U'!$H$4:$H$40)*Detached!P$12)+(LOOKUP(Detached!P$2,'Window-U'!$A$4:$A$40,'Window-U'!$Q$4:$Q$40)*Detached!P$21))*P4</f>
        <v>762.57761597084971</v>
      </c>
      <c r="Q8" s="177">
        <f>((LOOKUP(Detached!Q$2,'Ceiling-U'!$A$4:$A$40,'Ceiling-U'!$H$4:$H$40)*Detached!Q$14)+(LOOKUP(Detached!Q$2,'Floor-U'!$A$4:$A$40,'Floor-U'!$H$4:$H$40)*Detached!Q$15)+(LOOKUP(Detached!Q$2,'Wall-U'!$A$4:$A$40,'Wall-U'!$H$4:$H$40)*Detached!Q$12)+(LOOKUP(Detached!Q$2,'Window-U'!$A$4:$A$40,'Window-U'!$Q$4:$Q$40)*Detached!Q$21))*Q4</f>
        <v>338.2976693714844</v>
      </c>
      <c r="R8" s="177">
        <f>((LOOKUP(Detached!R$2,'Ceiling-U'!$A$4:$A$40,'Ceiling-U'!$H$4:$H$40)*Detached!R$14)+(LOOKUP(Detached!R$2,'Floor-U'!$A$4:$A$40,'Floor-U'!$H$4:$H$40)*Detached!R$15)+(LOOKUP(Detached!R$2,'Wall-U'!$A$4:$A$40,'Wall-U'!$H$4:$H$40)*Detached!R$12)+(LOOKUP(Detached!R$2,'Window-U'!$A$4:$A$40,'Window-U'!$Q$4:$Q$40)*Detached!R$21))*R4</f>
        <v>289.0783657680721</v>
      </c>
      <c r="S8" s="177">
        <f>((LOOKUP(Detached!S$2,'Ceiling-U'!$A$4:$A$40,'Ceiling-U'!$H$4:$H$40)*Detached!S$14)+(LOOKUP(Detached!S$2,'Floor-U'!$A$4:$A$40,'Floor-U'!$H$4:$H$40)*Detached!S$15)+(LOOKUP(Detached!S$2,'Wall-U'!$A$4:$A$40,'Wall-U'!$H$4:$H$40)*Detached!S$12)+(LOOKUP(Detached!S$2,'Window-U'!$A$4:$A$40,'Window-U'!$Q$4:$Q$40)*Detached!S$21))*S4</f>
        <v>343.94539601914505</v>
      </c>
      <c r="T8" s="177">
        <f>((LOOKUP(Detached!T$2,'Ceiling-U'!$A$4:$A$40,'Ceiling-U'!$H$4:$H$40)*Detached!T$14)+(LOOKUP(Detached!T$2,'Floor-U'!$A$4:$A$40,'Floor-U'!$H$4:$H$40)*Detached!T$15)+(LOOKUP(Detached!T$2,'Wall-U'!$A$4:$A$40,'Wall-U'!$H$4:$H$40)*Detached!T$12)+(LOOKUP(Detached!T$2,'Window-U'!$A$4:$A$40,'Window-U'!$Q$4:$Q$40)*Detached!T$21))*T4</f>
        <v>161.03686608819922</v>
      </c>
      <c r="U8" s="177">
        <f>((LOOKUP(Detached!U$2,'Ceiling-U'!$A$4:$A$40,'Ceiling-U'!$H$4:$H$40)*Detached!U$14)+(LOOKUP(Detached!U$2,'Floor-U'!$A$4:$A$40,'Floor-U'!$H$4:$H$40)*Detached!U$15)+(LOOKUP(Detached!U$2,'Wall-U'!$A$4:$A$40,'Wall-U'!$H$4:$H$40)*Detached!U$12)+(LOOKUP(Detached!U$2,'Window-U'!$A$4:$A$40,'Window-U'!$Q$4:$Q$40)*Detached!U$21))*U4</f>
        <v>465.6978169401504</v>
      </c>
      <c r="V8" s="177">
        <f>((LOOKUP(Detached!V$2,'Ceiling-U'!$A$4:$A$40,'Ceiling-U'!$H$4:$H$40)*Detached!V$14)+(LOOKUP(Detached!V$2,'Floor-U'!$A$4:$A$40,'Floor-U'!$H$4:$H$40)*Detached!V$15)+(LOOKUP(Detached!V$2,'Wall-U'!$A$4:$A$40,'Wall-U'!$H$4:$H$40)*Detached!V$12)+(LOOKUP(Detached!V$2,'Window-U'!$A$4:$A$40,'Window-U'!$Q$4:$Q$40)*Detached!V$21))*V4</f>
        <v>232.05503322188488</v>
      </c>
      <c r="W8" s="177">
        <f>((LOOKUP(Detached!W$2,'Ceiling-U'!$A$4:$A$40,'Ceiling-U'!$H$4:$H$40)*Detached!W$14)+(LOOKUP(Detached!W$2,'Floor-U'!$A$4:$A$40,'Floor-U'!$H$4:$H$40)*Detached!W$15)+(LOOKUP(Detached!W$2,'Wall-U'!$A$4:$A$40,'Wall-U'!$H$4:$H$40)*Detached!W$12)+(LOOKUP(Detached!W$2,'Window-U'!$A$4:$A$40,'Window-U'!$Q$4:$Q$40)*Detached!W$21))*W4</f>
        <v>219.26455948841377</v>
      </c>
      <c r="X8" s="177">
        <f>((LOOKUP(Detached!X$2,'Ceiling-U'!$A$4:$A$40,'Ceiling-U'!$H$4:$H$40)*Detached!X$14)+(LOOKUP(Detached!X$2,'Floor-U'!$A$4:$A$40,'Floor-U'!$H$4:$H$40)*Detached!X$15)+(LOOKUP(Detached!X$2,'Wall-U'!$A$4:$A$40,'Wall-U'!$H$4:$H$40)*Detached!X$12)+(LOOKUP(Detached!X$2,'Window-U'!$A$4:$A$40,'Window-U'!$Q$4:$Q$40)*Detached!X$21))*X4</f>
        <v>209.35160030897802</v>
      </c>
      <c r="Y8" s="177">
        <f>((LOOKUP(Detached!Y$2,'Ceiling-U'!$A$4:$A$40,'Ceiling-U'!$H$4:$H$40)*Detached!Y$14)+(LOOKUP(Detached!Y$2,'Floor-U'!$A$4:$A$40,'Floor-U'!$H$4:$H$40)*Detached!Y$15)+(LOOKUP(Detached!Y$2,'Wall-U'!$A$4:$A$40,'Wall-U'!$H$4:$H$40)*Detached!Y$12)+(LOOKUP(Detached!Y$2,'Window-U'!$A$4:$A$40,'Window-U'!$Q$4:$Q$40)*Detached!Y$21))*Y4</f>
        <v>619.70925791444756</v>
      </c>
      <c r="Z8" s="177">
        <f>((LOOKUP(Detached!Z$2,'Ceiling-U'!$A$4:$A$40,'Ceiling-U'!$H$4:$H$40)*Detached!Z$14)+(LOOKUP(Detached!Z$2,'Floor-U'!$A$4:$A$40,'Floor-U'!$H$4:$H$40)*Detached!Z$15)+(LOOKUP(Detached!Z$2,'Wall-U'!$A$4:$A$40,'Wall-U'!$H$4:$H$40)*Detached!Z$12)+(LOOKUP(Detached!Z$2,'Window-U'!$A$4:$A$40,'Window-U'!$Q$4:$Q$40)*Detached!Z$21))*Z4</f>
        <v>304.52807286502053</v>
      </c>
      <c r="AA8" s="177">
        <f>((LOOKUP(Detached!AA$2,'Ceiling-U'!$A$4:$A$40,'Ceiling-U'!$H$4:$H$40)*Detached!AA$14)+(LOOKUP(Detached!AA$2,'Floor-U'!$A$4:$A$40,'Floor-U'!$H$4:$H$40)*Detached!AA$15)+(LOOKUP(Detached!AA$2,'Wall-U'!$A$4:$A$40,'Wall-U'!$H$4:$H$40)*Detached!AA$12)+(LOOKUP(Detached!AA$2,'Window-U'!$A$4:$A$40,'Window-U'!$Q$4:$Q$40)*Detached!AA$21))*AA4</f>
        <v>156.74804949902875</v>
      </c>
      <c r="AB8" s="177">
        <f>((LOOKUP(Detached!AB$2,'Ceiling-U'!$A$4:$A$40,'Ceiling-U'!$H$4:$H$40)*Detached!AB$14)+(LOOKUP(Detached!AB$2,'Floor-U'!$A$4:$A$40,'Floor-U'!$H$4:$H$40)*Detached!AB$15)+(LOOKUP(Detached!AB$2,'Wall-U'!$A$4:$A$40,'Wall-U'!$H$4:$H$40)*Detached!AB$12)+(LOOKUP(Detached!AB$2,'Window-U'!$A$4:$A$40,'Window-U'!$Q$4:$Q$40)*Detached!AB$21))*AB4</f>
        <v>286.93583619823528</v>
      </c>
      <c r="AC8" s="177">
        <f>((LOOKUP(Detached!AC$2,'Ceiling-U'!$A$4:$A$40,'Ceiling-U'!$H$4:$H$40)*Detached!AC$14)+(LOOKUP(Detached!AC$2,'Floor-U'!$A$4:$A$40,'Floor-U'!$H$4:$H$40)*Detached!AC$15)+(LOOKUP(Detached!AC$2,'Wall-U'!$A$4:$A$40,'Wall-U'!$H$4:$H$40)*Detached!AC$12)+(LOOKUP(Detached!AC$2,'Window-U'!$A$4:$A$40,'Window-U'!$Q$4:$Q$40)*Detached!AC$21))*AC4</f>
        <v>683.11399347691406</v>
      </c>
      <c r="AD8" s="177">
        <f>((LOOKUP(Detached!AD$2,'Ceiling-U'!$A$4:$A$40,'Ceiling-U'!$H$4:$H$40)*Detached!AD$14)+(LOOKUP(Detached!AD$2,'Floor-U'!$A$4:$A$40,'Floor-U'!$H$4:$H$40)*Detached!AD$15)+(LOOKUP(Detached!AD$2,'Wall-U'!$A$4:$A$40,'Wall-U'!$H$4:$H$40)*Detached!AD$12)+(LOOKUP(Detached!AD$2,'Window-U'!$A$4:$A$40,'Window-U'!$Q$4:$Q$40)*Detached!AD$21))*AD4</f>
        <v>366.63870302807953</v>
      </c>
      <c r="AE8" s="177">
        <f>((LOOKUP(Detached!AE$2,'Ceiling-U'!$A$4:$A$40,'Ceiling-U'!$H$4:$H$40)*Detached!AE$14)+(LOOKUP(Detached!AE$2,'Floor-U'!$A$4:$A$40,'Floor-U'!$H$4:$H$40)*Detached!AE$15)+(LOOKUP(Detached!AE$2,'Wall-U'!$A$4:$A$40,'Wall-U'!$H$4:$H$40)*Detached!AE$12)+(LOOKUP(Detached!AE$2,'Window-U'!$A$4:$A$40,'Window-U'!$Q$4:$Q$40)*Detached!AE$21))*AE4</f>
        <v>156.74804949902875</v>
      </c>
      <c r="AF8" s="177">
        <f>((LOOKUP(Detached!AF$2,'Ceiling-U'!$A$4:$A$40,'Ceiling-U'!$H$4:$H$40)*Detached!AF$14)+(LOOKUP(Detached!AF$2,'Floor-U'!$A$4:$A$40,'Floor-U'!$H$4:$H$40)*Detached!AF$15)+(LOOKUP(Detached!AF$2,'Wall-U'!$A$4:$A$40,'Wall-U'!$H$4:$H$40)*Detached!AF$12)+(LOOKUP(Detached!AF$2,'Window-U'!$A$4:$A$40,'Window-U'!$Q$4:$Q$40)*Detached!AF$21))*AF4</f>
        <v>321.15671044560509</v>
      </c>
      <c r="AG8" s="177">
        <f>((LOOKUP(Detached!AG$2,'Ceiling-U'!$A$4:$A$40,'Ceiling-U'!$H$4:$H$40)*Detached!AG$14)+(LOOKUP(Detached!AG$2,'Floor-U'!$A$4:$A$40,'Floor-U'!$H$4:$H$40)*Detached!AG$15)+(LOOKUP(Detached!AG$2,'Wall-U'!$A$4:$A$40,'Wall-U'!$H$4:$H$40)*Detached!AG$12)+(LOOKUP(Detached!AG$2,'Window-U'!$A$4:$A$40,'Window-U'!$Q$4:$Q$40)*Detached!AG$21))*AG4</f>
        <v>407.42961199472484</v>
      </c>
      <c r="AH8" s="177">
        <f>((LOOKUP(Detached!AH$2,'Ceiling-U'!$A$4:$A$40,'Ceiling-U'!$H$4:$H$40)*Detached!AH$14)+(LOOKUP(Detached!AH$2,'Floor-U'!$A$4:$A$40,'Floor-U'!$H$4:$H$40)*Detached!AH$15)+(LOOKUP(Detached!AH$2,'Wall-U'!$A$4:$A$40,'Wall-U'!$H$4:$H$40)*Detached!AH$12)+(LOOKUP(Detached!AH$2,'Window-U'!$A$4:$A$40,'Window-U'!$Q$4:$Q$40)*Detached!AH$21))*AH4</f>
        <v>227.09781952755577</v>
      </c>
      <c r="AI8" s="177">
        <f>((LOOKUP(Detached!AI$2,'Ceiling-U'!$A$4:$A$40,'Ceiling-U'!$H$4:$H$40)*Detached!AI$14)+(LOOKUP(Detached!AI$2,'Floor-U'!$A$4:$A$40,'Floor-U'!$H$4:$H$40)*Detached!AI$15)+(LOOKUP(Detached!AI$2,'Wall-U'!$A$4:$A$40,'Wall-U'!$H$4:$H$40)*Detached!AI$12)+(LOOKUP(Detached!AI$2,'Window-U'!$A$4:$A$40,'Window-U'!$Q$4:$Q$40)*Detached!AI$21))*AI4</f>
        <v>762.57761597084971</v>
      </c>
      <c r="AJ8" s="177">
        <f>((LOOKUP(Detached!AJ$2,'Ceiling-U'!$A$4:$A$40,'Ceiling-U'!$H$4:$H$40)*Detached!AJ$14)+(LOOKUP(Detached!AJ$2,'Floor-U'!$A$4:$A$40,'Floor-U'!$H$4:$H$40)*Detached!AJ$15)+(LOOKUP(Detached!AJ$2,'Wall-U'!$A$4:$A$40,'Wall-U'!$H$4:$H$40)*Detached!AJ$12)+(LOOKUP(Detached!AJ$2,'Window-U'!$A$4:$A$40,'Window-U'!$Q$4:$Q$40)*Detached!AJ$21))*AJ4</f>
        <v>308.2561837827393</v>
      </c>
      <c r="AK8" s="177">
        <f>((LOOKUP(Detached!AK$2,'Ceiling-U'!$A$4:$A$40,'Ceiling-U'!$H$4:$H$40)*Detached!AK$14)+(LOOKUP(Detached!AK$2,'Floor-U'!$A$4:$A$40,'Floor-U'!$H$4:$H$40)*Detached!AK$15)+(LOOKUP(Detached!AK$2,'Wall-U'!$A$4:$A$40,'Wall-U'!$H$4:$H$40)*Detached!AK$12)+(LOOKUP(Detached!AK$2,'Window-U'!$A$4:$A$40,'Window-U'!$Q$4:$Q$40)*Detached!AK$21))*AK4</f>
        <v>361.87726079262256</v>
      </c>
      <c r="AL8" s="177">
        <f>((LOOKUP(Detached!AL$2,'Ceiling-U'!$A$4:$A$40,'Ceiling-U'!$H$4:$H$40)*Detached!AL$14)+(LOOKUP(Detached!AL$2,'Floor-U'!$A$4:$A$40,'Floor-U'!$H$4:$H$40)*Detached!AL$15)+(LOOKUP(Detached!AL$2,'Wall-U'!$A$4:$A$40,'Wall-U'!$H$4:$H$40)*Detached!AL$12)+(LOOKUP(Detached!AL$2,'Window-U'!$A$4:$A$40,'Window-U'!$Q$4:$Q$40)*Detached!AL$21))*AL4</f>
        <v>311.41489630867676</v>
      </c>
      <c r="AM8" s="177">
        <f>((LOOKUP(Detached!AM$2,'Ceiling-U'!$A$4:$A$40,'Ceiling-U'!$H$4:$H$40)*Detached!AM$14)+(LOOKUP(Detached!AM$2,'Floor-U'!$A$4:$A$40,'Floor-U'!$H$4:$H$40)*Detached!AM$15)+(LOOKUP(Detached!AM$2,'Wall-U'!$A$4:$A$40,'Wall-U'!$H$4:$H$40)*Detached!AM$12)+(LOOKUP(Detached!AM$2,'Window-U'!$A$4:$A$40,'Window-U'!$Q$4:$Q$40)*Detached!AM$21))*AM4</f>
        <v>308.2561837827393</v>
      </c>
      <c r="AN8" s="178">
        <f>((LOOKUP(Detached!AN$2,'Ceiling-U'!$A$4:$A$40,'Ceiling-U'!$H$4:$H$40)*Detached!AN$14)+(LOOKUP(Detached!AN$2,'Floor-U'!$A$4:$A$40,'Floor-U'!$H$4:$H$40)*Detached!AN$15)+(LOOKUP(Detached!AN$2,'Wall-U'!$A$4:$A$40,'Wall-U'!$H$4:$H$40)*Detached!AN$12)+(LOOKUP(Detached!AN$2,'Window-U'!$A$4:$A$40,'Window-U'!$Q$4:$Q$40)*Detached!AN$21))*AN4</f>
        <v>308.2561837827393</v>
      </c>
    </row>
    <row r="9" spans="1:40">
      <c r="A9" s="372"/>
      <c r="B9" s="142" t="s">
        <v>6</v>
      </c>
      <c r="C9" s="131" t="s">
        <v>195</v>
      </c>
      <c r="D9" s="176">
        <f>((LOOKUP(Detached!D$2,'Ceiling-U'!$A$4:$A$40,'Ceiling-U'!$I$4:$I$40)*Detached!D$14)+(LOOKUP(Detached!D$2,'Floor-U'!$A$4:$A$40,'Floor-U'!$I$4:$I$40)*Detached!D$15)+(LOOKUP(Detached!D$2,'Wall-U'!$A$4:$A$40,'Wall-U'!$I$4:$I$40)*Detached!D$12)+(LOOKUP(Detached!D$2,'Window-U'!$A$4:$A$40,'Window-U'!$Q$4:$Q$40)*Detached!D$21))*D4</f>
        <v>232.76255599906818</v>
      </c>
      <c r="E9" s="177">
        <f>((LOOKUP(Detached!E$2,'Ceiling-U'!$A$4:$A$40,'Ceiling-U'!$I$4:$I$40)*Detached!E$14)+(LOOKUP(Detached!E$2,'Floor-U'!$A$4:$A$40,'Floor-U'!$I$4:$I$40)*Detached!E$15)+(LOOKUP(Detached!E$2,'Wall-U'!$A$4:$A$40,'Wall-U'!$I$4:$I$40)*Detached!E$12)+(LOOKUP(Detached!E$2,'Window-U'!$A$4:$A$40,'Window-U'!$Q$4:$Q$40)*Detached!E$21))*E4</f>
        <v>514.11466279502611</v>
      </c>
      <c r="F9" s="177">
        <f>((LOOKUP(Detached!F$2,'Ceiling-U'!$A$4:$A$40,'Ceiling-U'!$I$4:$I$40)*Detached!F$14)+(LOOKUP(Detached!F$2,'Floor-U'!$A$4:$A$40,'Floor-U'!$I$4:$I$40)*Detached!F$15)+(LOOKUP(Detached!F$2,'Wall-U'!$A$4:$A$40,'Wall-U'!$I$4:$I$40)*Detached!F$12)+(LOOKUP(Detached!F$2,'Window-U'!$A$4:$A$40,'Window-U'!$Q$4:$Q$40)*Detached!F$21))*F4</f>
        <v>234.92045518356088</v>
      </c>
      <c r="G9" s="177">
        <f>((LOOKUP(Detached!G$2,'Ceiling-U'!$A$4:$A$40,'Ceiling-U'!$I$4:$I$40)*Detached!G$14)+(LOOKUP(Detached!G$2,'Floor-U'!$A$4:$A$40,'Floor-U'!$I$4:$I$40)*Detached!G$15)+(LOOKUP(Detached!G$2,'Wall-U'!$A$4:$A$40,'Wall-U'!$I$4:$I$40)*Detached!G$12)+(LOOKUP(Detached!G$2,'Window-U'!$A$4:$A$40,'Window-U'!$Q$4:$Q$40)*Detached!G$21))*G4</f>
        <v>232.76255599906818</v>
      </c>
      <c r="H9" s="177">
        <f>((LOOKUP(Detached!H$2,'Ceiling-U'!$A$4:$A$40,'Ceiling-U'!$I$4:$I$40)*Detached!H$14)+(LOOKUP(Detached!H$2,'Floor-U'!$A$4:$A$40,'Floor-U'!$I$4:$I$40)*Detached!H$15)+(LOOKUP(Detached!H$2,'Wall-U'!$A$4:$A$40,'Wall-U'!$I$4:$I$40)*Detached!H$12)+(LOOKUP(Detached!H$2,'Window-U'!$A$4:$A$40,'Window-U'!$Q$4:$Q$40)*Detached!H$21))*H4</f>
        <v>659.08071671442326</v>
      </c>
      <c r="I9" s="177">
        <f>((LOOKUP(Detached!I$2,'Ceiling-U'!$A$4:$A$40,'Ceiling-U'!$I$4:$I$40)*Detached!I$14)+(LOOKUP(Detached!I$2,'Floor-U'!$A$4:$A$40,'Floor-U'!$I$4:$I$40)*Detached!I$15)+(LOOKUP(Detached!I$2,'Wall-U'!$A$4:$A$40,'Wall-U'!$I$4:$I$40)*Detached!I$12)+(LOOKUP(Detached!I$2,'Window-U'!$A$4:$A$40,'Window-U'!$Q$4:$Q$40)*Detached!I$21))*I4</f>
        <v>215.07105207593864</v>
      </c>
      <c r="J9" s="177">
        <f>((LOOKUP(Detached!J$2,'Ceiling-U'!$A$4:$A$40,'Ceiling-U'!$I$4:$I$40)*Detached!J$14)+(LOOKUP(Detached!J$2,'Floor-U'!$A$4:$A$40,'Floor-U'!$I$4:$I$40)*Detached!J$15)+(LOOKUP(Detached!J$2,'Wall-U'!$A$4:$A$40,'Wall-U'!$I$4:$I$40)*Detached!J$12)+(LOOKUP(Detached!J$2,'Window-U'!$A$4:$A$40,'Window-U'!$Q$4:$Q$40)*Detached!J$21))*J4</f>
        <v>166.40099138671812</v>
      </c>
      <c r="K9" s="177">
        <f>((LOOKUP(Detached!K$2,'Ceiling-U'!$A$4:$A$40,'Ceiling-U'!$I$4:$I$40)*Detached!K$14)+(LOOKUP(Detached!K$2,'Floor-U'!$A$4:$A$40,'Floor-U'!$I$4:$I$40)*Detached!K$15)+(LOOKUP(Detached!K$2,'Wall-U'!$A$4:$A$40,'Wall-U'!$I$4:$I$40)*Detached!K$12)+(LOOKUP(Detached!K$2,'Window-U'!$A$4:$A$40,'Window-U'!$Q$4:$Q$40)*Detached!K$21))*K4</f>
        <v>188.52461600488533</v>
      </c>
      <c r="L9" s="177">
        <f>((LOOKUP(Detached!L$2,'Ceiling-U'!$A$4:$A$40,'Ceiling-U'!$I$4:$I$40)*Detached!L$14)+(LOOKUP(Detached!L$2,'Floor-U'!$A$4:$A$40,'Floor-U'!$I$4:$I$40)*Detached!L$15)+(LOOKUP(Detached!L$2,'Wall-U'!$A$4:$A$40,'Wall-U'!$I$4:$I$40)*Detached!L$12)+(LOOKUP(Detached!L$2,'Window-U'!$A$4:$A$40,'Window-U'!$Q$4:$Q$40)*Detached!L$21))*L4</f>
        <v>133.26571292126098</v>
      </c>
      <c r="M9" s="177">
        <f>((LOOKUP(Detached!M$2,'Ceiling-U'!$A$4:$A$40,'Ceiling-U'!$I$4:$I$40)*Detached!M$14)+(LOOKUP(Detached!M$2,'Floor-U'!$A$4:$A$40,'Floor-U'!$I$4:$I$40)*Detached!M$15)+(LOOKUP(Detached!M$2,'Wall-U'!$A$4:$A$40,'Wall-U'!$I$4:$I$40)*Detached!M$12)+(LOOKUP(Detached!M$2,'Window-U'!$A$4:$A$40,'Window-U'!$Q$4:$Q$40)*Detached!M$21))*M4</f>
        <v>483.87540670029858</v>
      </c>
      <c r="N9" s="177">
        <f>((LOOKUP(Detached!N$2,'Ceiling-U'!$A$4:$A$40,'Ceiling-U'!$I$4:$I$40)*Detached!N$14)+(LOOKUP(Detached!N$2,'Floor-U'!$A$4:$A$40,'Floor-U'!$I$4:$I$40)*Detached!N$15)+(LOOKUP(Detached!N$2,'Wall-U'!$A$4:$A$40,'Wall-U'!$I$4:$I$40)*Detached!N$12)+(LOOKUP(Detached!N$2,'Window-U'!$A$4:$A$40,'Window-U'!$Q$4:$Q$40)*Detached!N$21))*N4</f>
        <v>159.29767764805538</v>
      </c>
      <c r="O9" s="177">
        <f>((LOOKUP(Detached!O$2,'Ceiling-U'!$A$4:$A$40,'Ceiling-U'!$I$4:$I$40)*Detached!O$14)+(LOOKUP(Detached!O$2,'Floor-U'!$A$4:$A$40,'Floor-U'!$I$4:$I$40)*Detached!O$15)+(LOOKUP(Detached!O$2,'Wall-U'!$A$4:$A$40,'Wall-U'!$I$4:$I$40)*Detached!O$12)+(LOOKUP(Detached!O$2,'Window-U'!$A$4:$A$40,'Window-U'!$Q$4:$Q$40)*Detached!O$21))*O4</f>
        <v>195.33470039539949</v>
      </c>
      <c r="P9" s="177">
        <f>((LOOKUP(Detached!P$2,'Ceiling-U'!$A$4:$A$40,'Ceiling-U'!$I$4:$I$40)*Detached!P$14)+(LOOKUP(Detached!P$2,'Floor-U'!$A$4:$A$40,'Floor-U'!$I$4:$I$40)*Detached!P$15)+(LOOKUP(Detached!P$2,'Wall-U'!$A$4:$A$40,'Wall-U'!$I$4:$I$40)*Detached!P$12)+(LOOKUP(Detached!P$2,'Window-U'!$A$4:$A$40,'Window-U'!$Q$4:$Q$40)*Detached!P$21))*P4</f>
        <v>762.57761597084971</v>
      </c>
      <c r="Q9" s="177">
        <f>((LOOKUP(Detached!Q$2,'Ceiling-U'!$A$4:$A$40,'Ceiling-U'!$I$4:$I$40)*Detached!Q$14)+(LOOKUP(Detached!Q$2,'Floor-U'!$A$4:$A$40,'Floor-U'!$I$4:$I$40)*Detached!Q$15)+(LOOKUP(Detached!Q$2,'Wall-U'!$A$4:$A$40,'Wall-U'!$I$4:$I$40)*Detached!Q$12)+(LOOKUP(Detached!Q$2,'Window-U'!$A$4:$A$40,'Window-U'!$Q$4:$Q$40)*Detached!Q$21))*Q4</f>
        <v>247.15401446682432</v>
      </c>
      <c r="R9" s="177">
        <f>((LOOKUP(Detached!R$2,'Ceiling-U'!$A$4:$A$40,'Ceiling-U'!$I$4:$I$40)*Detached!R$14)+(LOOKUP(Detached!R$2,'Floor-U'!$A$4:$A$40,'Floor-U'!$I$4:$I$40)*Detached!R$15)+(LOOKUP(Detached!R$2,'Wall-U'!$A$4:$A$40,'Wall-U'!$I$4:$I$40)*Detached!R$12)+(LOOKUP(Detached!R$2,'Window-U'!$A$4:$A$40,'Window-U'!$Q$4:$Q$40)*Detached!R$21))*R4</f>
        <v>289.0783657680721</v>
      </c>
      <c r="S9" s="177">
        <f>((LOOKUP(Detached!S$2,'Ceiling-U'!$A$4:$A$40,'Ceiling-U'!$I$4:$I$40)*Detached!S$14)+(LOOKUP(Detached!S$2,'Floor-U'!$A$4:$A$40,'Floor-U'!$I$4:$I$40)*Detached!S$15)+(LOOKUP(Detached!S$2,'Wall-U'!$A$4:$A$40,'Wall-U'!$I$4:$I$40)*Detached!S$12)+(LOOKUP(Detached!S$2,'Window-U'!$A$4:$A$40,'Window-U'!$Q$4:$Q$40)*Detached!S$21))*S4</f>
        <v>286.79594228202552</v>
      </c>
      <c r="T9" s="177">
        <f>((LOOKUP(Detached!T$2,'Ceiling-U'!$A$4:$A$40,'Ceiling-U'!$I$4:$I$40)*Detached!T$14)+(LOOKUP(Detached!T$2,'Floor-U'!$A$4:$A$40,'Floor-U'!$I$4:$I$40)*Detached!T$15)+(LOOKUP(Detached!T$2,'Wall-U'!$A$4:$A$40,'Wall-U'!$I$4:$I$40)*Detached!T$12)+(LOOKUP(Detached!T$2,'Window-U'!$A$4:$A$40,'Window-U'!$Q$4:$Q$40)*Detached!T$21))*T4</f>
        <v>159.29767764805538</v>
      </c>
      <c r="U9" s="177">
        <f>((LOOKUP(Detached!U$2,'Ceiling-U'!$A$4:$A$40,'Ceiling-U'!$I$4:$I$40)*Detached!U$14)+(LOOKUP(Detached!U$2,'Floor-U'!$A$4:$A$40,'Floor-U'!$I$4:$I$40)*Detached!U$15)+(LOOKUP(Detached!U$2,'Wall-U'!$A$4:$A$40,'Wall-U'!$I$4:$I$40)*Detached!U$12)+(LOOKUP(Detached!U$2,'Window-U'!$A$4:$A$40,'Window-U'!$Q$4:$Q$40)*Detached!U$21))*U4</f>
        <v>425.99080064912789</v>
      </c>
      <c r="V9" s="177">
        <f>((LOOKUP(Detached!V$2,'Ceiling-U'!$A$4:$A$40,'Ceiling-U'!$I$4:$I$40)*Detached!V$14)+(LOOKUP(Detached!V$2,'Floor-U'!$A$4:$A$40,'Floor-U'!$I$4:$I$40)*Detached!V$15)+(LOOKUP(Detached!V$2,'Wall-U'!$A$4:$A$40,'Wall-U'!$I$4:$I$40)*Detached!V$12)+(LOOKUP(Detached!V$2,'Window-U'!$A$4:$A$40,'Window-U'!$Q$4:$Q$40)*Detached!V$21))*V4</f>
        <v>232.05503322188488</v>
      </c>
      <c r="W9" s="177">
        <f>((LOOKUP(Detached!W$2,'Ceiling-U'!$A$4:$A$40,'Ceiling-U'!$I$4:$I$40)*Detached!W$14)+(LOOKUP(Detached!W$2,'Floor-U'!$A$4:$A$40,'Floor-U'!$I$4:$I$40)*Detached!W$15)+(LOOKUP(Detached!W$2,'Wall-U'!$A$4:$A$40,'Wall-U'!$I$4:$I$40)*Detached!W$12)+(LOOKUP(Detached!W$2,'Window-U'!$A$4:$A$40,'Window-U'!$Q$4:$Q$40)*Detached!W$21))*W4</f>
        <v>197.56154927680234</v>
      </c>
      <c r="X9" s="177">
        <f>((LOOKUP(Detached!X$2,'Ceiling-U'!$A$4:$A$40,'Ceiling-U'!$I$4:$I$40)*Detached!X$14)+(LOOKUP(Detached!X$2,'Floor-U'!$A$4:$A$40,'Floor-U'!$I$4:$I$40)*Detached!X$15)+(LOOKUP(Detached!X$2,'Wall-U'!$A$4:$A$40,'Wall-U'!$I$4:$I$40)*Detached!X$12)+(LOOKUP(Detached!X$2,'Window-U'!$A$4:$A$40,'Window-U'!$Q$4:$Q$40)*Detached!X$21))*X4</f>
        <v>206.20160030897802</v>
      </c>
      <c r="Y9" s="177">
        <f>((LOOKUP(Detached!Y$2,'Ceiling-U'!$A$4:$A$40,'Ceiling-U'!$I$4:$I$40)*Detached!Y$14)+(LOOKUP(Detached!Y$2,'Floor-U'!$A$4:$A$40,'Floor-U'!$I$4:$I$40)*Detached!Y$15)+(LOOKUP(Detached!Y$2,'Wall-U'!$A$4:$A$40,'Wall-U'!$I$4:$I$40)*Detached!Y$12)+(LOOKUP(Detached!Y$2,'Window-U'!$A$4:$A$40,'Window-U'!$Q$4:$Q$40)*Detached!Y$21))*Y4</f>
        <v>607.38340103632254</v>
      </c>
      <c r="Z9" s="177">
        <f>((LOOKUP(Detached!Z$2,'Ceiling-U'!$A$4:$A$40,'Ceiling-U'!$I$4:$I$40)*Detached!Z$14)+(LOOKUP(Detached!Z$2,'Floor-U'!$A$4:$A$40,'Floor-U'!$I$4:$I$40)*Detached!Z$15)+(LOOKUP(Detached!Z$2,'Wall-U'!$A$4:$A$40,'Wall-U'!$I$4:$I$40)*Detached!Z$12)+(LOOKUP(Detached!Z$2,'Window-U'!$A$4:$A$40,'Window-U'!$Q$4:$Q$40)*Detached!Z$21))*Z4</f>
        <v>279.16419522631816</v>
      </c>
      <c r="AA9" s="177">
        <f>((LOOKUP(Detached!AA$2,'Ceiling-U'!$A$4:$A$40,'Ceiling-U'!$I$4:$I$40)*Detached!AA$14)+(LOOKUP(Detached!AA$2,'Floor-U'!$A$4:$A$40,'Floor-U'!$I$4:$I$40)*Detached!AA$15)+(LOOKUP(Detached!AA$2,'Wall-U'!$A$4:$A$40,'Wall-U'!$I$4:$I$40)*Detached!AA$12)+(LOOKUP(Detached!AA$2,'Window-U'!$A$4:$A$40,'Window-U'!$Q$4:$Q$40)*Detached!AA$21))*AA4</f>
        <v>141.56160563930069</v>
      </c>
      <c r="AB9" s="177">
        <f>((LOOKUP(Detached!AB$2,'Ceiling-U'!$A$4:$A$40,'Ceiling-U'!$I$4:$I$40)*Detached!AB$14)+(LOOKUP(Detached!AB$2,'Floor-U'!$A$4:$A$40,'Floor-U'!$I$4:$I$40)*Detached!AB$15)+(LOOKUP(Detached!AB$2,'Wall-U'!$A$4:$A$40,'Wall-U'!$I$4:$I$40)*Detached!AB$12)+(LOOKUP(Detached!AB$2,'Window-U'!$A$4:$A$40,'Window-U'!$Q$4:$Q$40)*Detached!AB$21))*AB4</f>
        <v>286.93583619823528</v>
      </c>
      <c r="AC9" s="177">
        <f>((LOOKUP(Detached!AC$2,'Ceiling-U'!$A$4:$A$40,'Ceiling-U'!$I$4:$I$40)*Detached!AC$14)+(LOOKUP(Detached!AC$2,'Floor-U'!$A$4:$A$40,'Floor-U'!$I$4:$I$40)*Detached!AC$15)+(LOOKUP(Detached!AC$2,'Wall-U'!$A$4:$A$40,'Wall-U'!$I$4:$I$40)*Detached!AC$12)+(LOOKUP(Detached!AC$2,'Window-U'!$A$4:$A$40,'Window-U'!$Q$4:$Q$40)*Detached!AC$21))*AC4</f>
        <v>625.38585218199773</v>
      </c>
      <c r="AD9" s="177">
        <f>((LOOKUP(Detached!AD$2,'Ceiling-U'!$A$4:$A$40,'Ceiling-U'!$I$4:$I$40)*Detached!AD$14)+(LOOKUP(Detached!AD$2,'Floor-U'!$A$4:$A$40,'Floor-U'!$I$4:$I$40)*Detached!AD$15)+(LOOKUP(Detached!AD$2,'Wall-U'!$A$4:$A$40,'Wall-U'!$I$4:$I$40)*Detached!AD$12)+(LOOKUP(Detached!AD$2,'Window-U'!$A$4:$A$40,'Window-U'!$Q$4:$Q$40)*Detached!AD$21))*AD4</f>
        <v>366.63870302807953</v>
      </c>
      <c r="AE9" s="177">
        <f>((LOOKUP(Detached!AE$2,'Ceiling-U'!$A$4:$A$40,'Ceiling-U'!$I$4:$I$40)*Detached!AE$14)+(LOOKUP(Detached!AE$2,'Floor-U'!$A$4:$A$40,'Floor-U'!$I$4:$I$40)*Detached!AE$15)+(LOOKUP(Detached!AE$2,'Wall-U'!$A$4:$A$40,'Wall-U'!$I$4:$I$40)*Detached!AE$12)+(LOOKUP(Detached!AE$2,'Window-U'!$A$4:$A$40,'Window-U'!$Q$4:$Q$40)*Detached!AE$21))*AE4</f>
        <v>141.56160563930069</v>
      </c>
      <c r="AF9" s="177">
        <f>((LOOKUP(Detached!AF$2,'Ceiling-U'!$A$4:$A$40,'Ceiling-U'!$I$4:$I$40)*Detached!AF$14)+(LOOKUP(Detached!AF$2,'Floor-U'!$A$4:$A$40,'Floor-U'!$I$4:$I$40)*Detached!AF$15)+(LOOKUP(Detached!AF$2,'Wall-U'!$A$4:$A$40,'Wall-U'!$I$4:$I$40)*Detached!AF$12)+(LOOKUP(Detached!AF$2,'Window-U'!$A$4:$A$40,'Window-U'!$Q$4:$Q$40)*Detached!AF$21))*AF4</f>
        <v>233.79255153040339</v>
      </c>
      <c r="AG9" s="177">
        <f>((LOOKUP(Detached!AG$2,'Ceiling-U'!$A$4:$A$40,'Ceiling-U'!$I$4:$I$40)*Detached!AG$14)+(LOOKUP(Detached!AG$2,'Floor-U'!$A$4:$A$40,'Floor-U'!$I$4:$I$40)*Detached!AG$15)+(LOOKUP(Detached!AG$2,'Wall-U'!$A$4:$A$40,'Wall-U'!$I$4:$I$40)*Detached!AG$12)+(LOOKUP(Detached!AG$2,'Window-U'!$A$4:$A$40,'Window-U'!$Q$4:$Q$40)*Detached!AG$21))*AG4</f>
        <v>369.56832874472485</v>
      </c>
      <c r="AH9" s="177">
        <f>((LOOKUP(Detached!AH$2,'Ceiling-U'!$A$4:$A$40,'Ceiling-U'!$I$4:$I$40)*Detached!AH$14)+(LOOKUP(Detached!AH$2,'Floor-U'!$A$4:$A$40,'Floor-U'!$I$4:$I$40)*Detached!AH$15)+(LOOKUP(Detached!AH$2,'Wall-U'!$A$4:$A$40,'Wall-U'!$I$4:$I$40)*Detached!AH$12)+(LOOKUP(Detached!AH$2,'Window-U'!$A$4:$A$40,'Window-U'!$Q$4:$Q$40)*Detached!AH$21))*AH4</f>
        <v>192.12816357727723</v>
      </c>
      <c r="AI9" s="177">
        <f>((LOOKUP(Detached!AI$2,'Ceiling-U'!$A$4:$A$40,'Ceiling-U'!$I$4:$I$40)*Detached!AI$14)+(LOOKUP(Detached!AI$2,'Floor-U'!$A$4:$A$40,'Floor-U'!$I$4:$I$40)*Detached!AI$15)+(LOOKUP(Detached!AI$2,'Wall-U'!$A$4:$A$40,'Wall-U'!$I$4:$I$40)*Detached!AI$12)+(LOOKUP(Detached!AI$2,'Window-U'!$A$4:$A$40,'Window-U'!$Q$4:$Q$40)*Detached!AI$21))*AI4</f>
        <v>762.57761597084971</v>
      </c>
      <c r="AJ9" s="177">
        <f>((LOOKUP(Detached!AJ$2,'Ceiling-U'!$A$4:$A$40,'Ceiling-U'!$I$4:$I$40)*Detached!AJ$14)+(LOOKUP(Detached!AJ$2,'Floor-U'!$A$4:$A$40,'Floor-U'!$I$4:$I$40)*Detached!AJ$15)+(LOOKUP(Detached!AJ$2,'Wall-U'!$A$4:$A$40,'Wall-U'!$I$4:$I$40)*Detached!AJ$12)+(LOOKUP(Detached!AJ$2,'Window-U'!$A$4:$A$40,'Window-U'!$Q$4:$Q$40)*Detached!AJ$21))*AJ4</f>
        <v>288.75411265930791</v>
      </c>
      <c r="AK9" s="177">
        <f>((LOOKUP(Detached!AK$2,'Ceiling-U'!$A$4:$A$40,'Ceiling-U'!$I$4:$I$40)*Detached!AK$14)+(LOOKUP(Detached!AK$2,'Floor-U'!$A$4:$A$40,'Floor-U'!$I$4:$I$40)*Detached!AK$15)+(LOOKUP(Detached!AK$2,'Wall-U'!$A$4:$A$40,'Wall-U'!$I$4:$I$40)*Detached!AK$12)+(LOOKUP(Detached!AK$2,'Window-U'!$A$4:$A$40,'Window-U'!$Q$4:$Q$40)*Detached!AK$21))*AK4</f>
        <v>337.72020991042484</v>
      </c>
      <c r="AL9" s="177">
        <f>((LOOKUP(Detached!AL$2,'Ceiling-U'!$A$4:$A$40,'Ceiling-U'!$I$4:$I$40)*Detached!AL$14)+(LOOKUP(Detached!AL$2,'Floor-U'!$A$4:$A$40,'Floor-U'!$I$4:$I$40)*Detached!AL$15)+(LOOKUP(Detached!AL$2,'Wall-U'!$A$4:$A$40,'Wall-U'!$I$4:$I$40)*Detached!AL$12)+(LOOKUP(Detached!AL$2,'Window-U'!$A$4:$A$40,'Window-U'!$Q$4:$Q$40)*Detached!AL$21))*AL4</f>
        <v>243.81195528081781</v>
      </c>
      <c r="AM9" s="177">
        <f>((LOOKUP(Detached!AM$2,'Ceiling-U'!$A$4:$A$40,'Ceiling-U'!$I$4:$I$40)*Detached!AM$14)+(LOOKUP(Detached!AM$2,'Floor-U'!$A$4:$A$40,'Floor-U'!$I$4:$I$40)*Detached!AM$15)+(LOOKUP(Detached!AM$2,'Wall-U'!$A$4:$A$40,'Wall-U'!$I$4:$I$40)*Detached!AM$12)+(LOOKUP(Detached!AM$2,'Window-U'!$A$4:$A$40,'Window-U'!$Q$4:$Q$40)*Detached!AM$21))*AM4</f>
        <v>288.75411265930791</v>
      </c>
      <c r="AN9" s="178">
        <f>((LOOKUP(Detached!AN$2,'Ceiling-U'!$A$4:$A$40,'Ceiling-U'!$I$4:$I$40)*Detached!AN$14)+(LOOKUP(Detached!AN$2,'Floor-U'!$A$4:$A$40,'Floor-U'!$I$4:$I$40)*Detached!AN$15)+(LOOKUP(Detached!AN$2,'Wall-U'!$A$4:$A$40,'Wall-U'!$I$4:$I$40)*Detached!AN$12)+(LOOKUP(Detached!AN$2,'Window-U'!$A$4:$A$40,'Window-U'!$Q$4:$Q$40)*Detached!AN$21))*AN4</f>
        <v>288.75411265930791</v>
      </c>
    </row>
    <row r="10" spans="1:40">
      <c r="A10" s="373"/>
      <c r="B10" s="374" t="s">
        <v>7</v>
      </c>
      <c r="C10" s="131" t="s">
        <v>195</v>
      </c>
      <c r="D10" s="176">
        <f>((LOOKUP(Detached!D$2,'Ceiling-U'!$A$4:$A$40,'Ceiling-U'!$J$4:$J$40)*Detached!D$14)+(LOOKUP(Detached!D$2,'Floor-U'!$A$4:$A$40,'Floor-U'!$J$4:$J$40)*Detached!D$15)+(LOOKUP(Detached!D$2,'Wall-U'!$A$4:$A$40,'Wall-U'!$J$4:$J$40)*Detached!D$12)+(LOOKUP(Detached!D$2,'Window-U'!$A$4:$A$40,'Window-U'!$Q$4:$Q$40)*Detached!D$21))*D4</f>
        <v>209.72229258666135</v>
      </c>
      <c r="E10" s="174">
        <f>((LOOKUP(Detached!E$2,'Ceiling-U'!$A$4:$A$40,'Ceiling-U'!$J$4:$J$40)*Detached!E$14)+(LOOKUP(Detached!E$2,'Floor-U'!$A$4:$A$40,'Floor-U'!$J$4:$J$40)*Detached!E$15)+(LOOKUP(Detached!E$2,'Wall-U'!$A$4:$A$40,'Wall-U'!$J$4:$J$40)*Detached!E$12)+(LOOKUP(Detached!E$2,'Window-U'!$A$4:$A$40,'Window-U'!$Q$4:$Q$40)*Detached!E$21))*E4</f>
        <v>301.52508693243612</v>
      </c>
      <c r="F10" s="174">
        <f>((LOOKUP(Detached!F$2,'Ceiling-U'!$A$4:$A$40,'Ceiling-U'!$J$4:$J$40)*Detached!F$14)+(LOOKUP(Detached!F$2,'Floor-U'!$A$4:$A$40,'Floor-U'!$J$4:$J$40)*Detached!F$15)+(LOOKUP(Detached!F$2,'Wall-U'!$A$4:$A$40,'Wall-U'!$J$4:$J$40)*Detached!F$12)+(LOOKUP(Detached!F$2,'Window-U'!$A$4:$A$40,'Window-U'!$Q$4:$Q$40)*Detached!F$21))*F4</f>
        <v>165.95684595710139</v>
      </c>
      <c r="G10" s="174">
        <f>((LOOKUP(Detached!G$2,'Ceiling-U'!$A$4:$A$40,'Ceiling-U'!$J$4:$J$40)*Detached!G$14)+(LOOKUP(Detached!G$2,'Floor-U'!$A$4:$A$40,'Floor-U'!$J$4:$J$40)*Detached!G$15)+(LOOKUP(Detached!G$2,'Wall-U'!$A$4:$A$40,'Wall-U'!$J$4:$J$40)*Detached!G$12)+(LOOKUP(Detached!G$2,'Window-U'!$A$4:$A$40,'Window-U'!$Q$4:$Q$40)*Detached!G$21))*G4</f>
        <v>209.72229258666135</v>
      </c>
      <c r="H10" s="174">
        <f>((LOOKUP(Detached!H$2,'Ceiling-U'!$A$4:$A$40,'Ceiling-U'!$J$4:$J$40)*Detached!H$14)+(LOOKUP(Detached!H$2,'Floor-U'!$A$4:$A$40,'Floor-U'!$J$4:$J$40)*Detached!H$15)+(LOOKUP(Detached!H$2,'Wall-U'!$A$4:$A$40,'Wall-U'!$J$4:$J$40)*Detached!H$12)+(LOOKUP(Detached!H$2,'Window-U'!$A$4:$A$40,'Window-U'!$Q$4:$Q$40)*Detached!H$21))*H4</f>
        <v>537.64236576611461</v>
      </c>
      <c r="I10" s="174">
        <f>((LOOKUP(Detached!I$2,'Ceiling-U'!$A$4:$A$40,'Ceiling-U'!$J$4:$J$40)*Detached!I$14)+(LOOKUP(Detached!I$2,'Floor-U'!$A$4:$A$40,'Floor-U'!$J$4:$J$40)*Detached!I$15)+(LOOKUP(Detached!I$2,'Wall-U'!$A$4:$A$40,'Wall-U'!$J$4:$J$40)*Detached!I$12)+(LOOKUP(Detached!I$2,'Window-U'!$A$4:$A$40,'Window-U'!$Q$4:$Q$40)*Detached!I$21))*I4</f>
        <v>184.89592140634818</v>
      </c>
      <c r="J10" s="174">
        <f>((LOOKUP(Detached!J$2,'Ceiling-U'!$A$4:$A$40,'Ceiling-U'!$J$4:$J$40)*Detached!J$14)+(LOOKUP(Detached!J$2,'Floor-U'!$A$4:$A$40,'Floor-U'!$J$4:$J$40)*Detached!J$15)+(LOOKUP(Detached!J$2,'Wall-U'!$A$4:$A$40,'Wall-U'!$J$4:$J$40)*Detached!J$12)+(LOOKUP(Detached!J$2,'Window-U'!$A$4:$A$40,'Window-U'!$Q$4:$Q$40)*Detached!J$21))*J4</f>
        <v>178.76766596449141</v>
      </c>
      <c r="K10" s="174">
        <f>((LOOKUP(Detached!K$2,'Ceiling-U'!$A$4:$A$40,'Ceiling-U'!$J$4:$J$40)*Detached!K$14)+(LOOKUP(Detached!K$2,'Floor-U'!$A$4:$A$40,'Floor-U'!$J$4:$J$40)*Detached!K$15)+(LOOKUP(Detached!K$2,'Wall-U'!$A$4:$A$40,'Wall-U'!$J$4:$J$40)*Detached!K$12)+(LOOKUP(Detached!K$2,'Window-U'!$A$4:$A$40,'Window-U'!$Q$4:$Q$40)*Detached!K$21))*K4</f>
        <v>152.71525768099056</v>
      </c>
      <c r="L10" s="174">
        <f>((LOOKUP(Detached!L$2,'Ceiling-U'!$A$4:$A$40,'Ceiling-U'!$J$4:$J$40)*Detached!L$14)+(LOOKUP(Detached!L$2,'Floor-U'!$A$4:$A$40,'Floor-U'!$J$4:$J$40)*Detached!L$15)+(LOOKUP(Detached!L$2,'Wall-U'!$A$4:$A$40,'Wall-U'!$J$4:$J$40)*Detached!L$12)+(LOOKUP(Detached!L$2,'Window-U'!$A$4:$A$40,'Window-U'!$Q$4:$Q$40)*Detached!L$21))*L4</f>
        <v>133.26571292126098</v>
      </c>
      <c r="M10" s="174">
        <f>((LOOKUP(Detached!M$2,'Ceiling-U'!$A$4:$A$40,'Ceiling-U'!$J$4:$J$40)*Detached!M$14)+(LOOKUP(Detached!M$2,'Floor-U'!$A$4:$A$40,'Floor-U'!$J$4:$J$40)*Detached!M$15)+(LOOKUP(Detached!M$2,'Wall-U'!$A$4:$A$40,'Wall-U'!$J$4:$J$40)*Detached!M$12)+(LOOKUP(Detached!M$2,'Window-U'!$A$4:$A$40,'Window-U'!$Q$4:$Q$40)*Detached!M$21))*M4</f>
        <v>307.19748966889927</v>
      </c>
      <c r="N10" s="174">
        <f>((LOOKUP(Detached!N$2,'Ceiling-U'!$A$4:$A$40,'Ceiling-U'!$J$4:$J$40)*Detached!N$14)+(LOOKUP(Detached!N$2,'Floor-U'!$A$4:$A$40,'Floor-U'!$J$4:$J$40)*Detached!N$15)+(LOOKUP(Detached!N$2,'Wall-U'!$A$4:$A$40,'Wall-U'!$J$4:$J$40)*Detached!N$12)+(LOOKUP(Detached!N$2,'Window-U'!$A$4:$A$40,'Window-U'!$Q$4:$Q$40)*Detached!N$21))*N4</f>
        <v>150.74951763747998</v>
      </c>
      <c r="O10" s="174">
        <f>((LOOKUP(Detached!O$2,'Ceiling-U'!$A$4:$A$40,'Ceiling-U'!$J$4:$J$40)*Detached!O$14)+(LOOKUP(Detached!O$2,'Floor-U'!$A$4:$A$40,'Floor-U'!$J$4:$J$40)*Detached!O$15)+(LOOKUP(Detached!O$2,'Wall-U'!$A$4:$A$40,'Wall-U'!$J$4:$J$40)*Detached!O$12)+(LOOKUP(Detached!O$2,'Window-U'!$A$4:$A$40,'Window-U'!$Q$4:$Q$40)*Detached!O$21))*O4</f>
        <v>190.98890094300123</v>
      </c>
      <c r="P10" s="174">
        <f>((LOOKUP(Detached!P$2,'Ceiling-U'!$A$4:$A$40,'Ceiling-U'!$J$4:$J$40)*Detached!P$14)+(LOOKUP(Detached!P$2,'Floor-U'!$A$4:$A$40,'Floor-U'!$J$4:$J$40)*Detached!P$15)+(LOOKUP(Detached!P$2,'Wall-U'!$A$4:$A$40,'Wall-U'!$J$4:$J$40)*Detached!P$12)+(LOOKUP(Detached!P$2,'Window-U'!$A$4:$A$40,'Window-U'!$Q$4:$Q$40)*Detached!P$21))*P4</f>
        <v>251.62400097612766</v>
      </c>
      <c r="Q10" s="174">
        <f>((LOOKUP(Detached!Q$2,'Ceiling-U'!$A$4:$A$40,'Ceiling-U'!$J$4:$J$40)*Detached!Q$14)+(LOOKUP(Detached!Q$2,'Floor-U'!$A$4:$A$40,'Floor-U'!$J$4:$J$40)*Detached!Q$15)+(LOOKUP(Detached!Q$2,'Wall-U'!$A$4:$A$40,'Wall-U'!$J$4:$J$40)*Detached!Q$12)+(LOOKUP(Detached!Q$2,'Window-U'!$A$4:$A$40,'Window-U'!$Q$4:$Q$40)*Detached!Q$21))*Q4</f>
        <v>166.71056162185425</v>
      </c>
      <c r="R10" s="174">
        <f>((LOOKUP(Detached!R$2,'Ceiling-U'!$A$4:$A$40,'Ceiling-U'!$J$4:$J$40)*Detached!R$14)+(LOOKUP(Detached!R$2,'Floor-U'!$A$4:$A$40,'Floor-U'!$J$4:$J$40)*Detached!R$15)+(LOOKUP(Detached!R$2,'Wall-U'!$A$4:$A$40,'Wall-U'!$J$4:$J$40)*Detached!R$12)+(LOOKUP(Detached!R$2,'Window-U'!$A$4:$A$40,'Window-U'!$Q$4:$Q$40)*Detached!R$21))*R4</f>
        <v>195.75173946407182</v>
      </c>
      <c r="S10" s="174">
        <f>((LOOKUP(Detached!S$2,'Ceiling-U'!$A$4:$A$40,'Ceiling-U'!$J$4:$J$40)*Detached!S$14)+(LOOKUP(Detached!S$2,'Floor-U'!$A$4:$A$40,'Floor-U'!$J$4:$J$40)*Detached!S$15)+(LOOKUP(Detached!S$2,'Wall-U'!$A$4:$A$40,'Wall-U'!$J$4:$J$40)*Detached!S$12)+(LOOKUP(Detached!S$2,'Window-U'!$A$4:$A$40,'Window-U'!$Q$4:$Q$40)*Detached!S$21))*S4</f>
        <v>185.988824363166</v>
      </c>
      <c r="T10" s="174">
        <f>((LOOKUP(Detached!T$2,'Ceiling-U'!$A$4:$A$40,'Ceiling-U'!$J$4:$J$40)*Detached!T$14)+(LOOKUP(Detached!T$2,'Floor-U'!$A$4:$A$40,'Floor-U'!$J$4:$J$40)*Detached!T$15)+(LOOKUP(Detached!T$2,'Wall-U'!$A$4:$A$40,'Wall-U'!$J$4:$J$40)*Detached!T$12)+(LOOKUP(Detached!T$2,'Window-U'!$A$4:$A$40,'Window-U'!$Q$4:$Q$40)*Detached!T$21))*T4</f>
        <v>150.74951763747998</v>
      </c>
      <c r="U10" s="174">
        <f>((LOOKUP(Detached!U$2,'Ceiling-U'!$A$4:$A$40,'Ceiling-U'!$J$4:$J$40)*Detached!U$14)+(LOOKUP(Detached!U$2,'Floor-U'!$A$4:$A$40,'Floor-U'!$J$4:$J$40)*Detached!U$15)+(LOOKUP(Detached!U$2,'Wall-U'!$A$4:$A$40,'Wall-U'!$J$4:$J$40)*Detached!U$12)+(LOOKUP(Detached!U$2,'Window-U'!$A$4:$A$40,'Window-U'!$Q$4:$Q$40)*Detached!U$21))*U4</f>
        <v>425.99080064912789</v>
      </c>
      <c r="V10" s="174">
        <f>((LOOKUP(Detached!V$2,'Ceiling-U'!$A$4:$A$40,'Ceiling-U'!$J$4:$J$40)*Detached!V$14)+(LOOKUP(Detached!V$2,'Floor-U'!$A$4:$A$40,'Floor-U'!$J$4:$J$40)*Detached!V$15)+(LOOKUP(Detached!V$2,'Wall-U'!$A$4:$A$40,'Wall-U'!$J$4:$J$40)*Detached!V$12)+(LOOKUP(Detached!V$2,'Window-U'!$A$4:$A$40,'Window-U'!$Q$4:$Q$40)*Detached!V$21))*V4</f>
        <v>145.9310734937533</v>
      </c>
      <c r="W10" s="174">
        <f>((LOOKUP(Detached!W$2,'Ceiling-U'!$A$4:$A$40,'Ceiling-U'!$J$4:$J$40)*Detached!W$14)+(LOOKUP(Detached!W$2,'Floor-U'!$A$4:$A$40,'Floor-U'!$J$4:$J$40)*Detached!W$15)+(LOOKUP(Detached!W$2,'Wall-U'!$A$4:$A$40,'Wall-U'!$J$4:$J$40)*Detached!W$12)+(LOOKUP(Detached!W$2,'Window-U'!$A$4:$A$40,'Window-U'!$Q$4:$Q$40)*Detached!W$21))*W4</f>
        <v>169.97947891237155</v>
      </c>
      <c r="X10" s="174">
        <f>((LOOKUP(Detached!X$2,'Ceiling-U'!$A$4:$A$40,'Ceiling-U'!$J$4:$J$40)*Detached!X$14)+(LOOKUP(Detached!X$2,'Floor-U'!$A$4:$A$40,'Floor-U'!$J$4:$J$40)*Detached!X$15)+(LOOKUP(Detached!X$2,'Wall-U'!$A$4:$A$40,'Wall-U'!$J$4:$J$40)*Detached!X$12)+(LOOKUP(Detached!X$2,'Window-U'!$A$4:$A$40,'Window-U'!$Q$4:$Q$40)*Detached!X$21))*X4</f>
        <v>139.3025761112321</v>
      </c>
      <c r="Y10" s="174">
        <f>((LOOKUP(Detached!Y$2,'Ceiling-U'!$A$4:$A$40,'Ceiling-U'!$J$4:$J$40)*Detached!Y$14)+(LOOKUP(Detached!Y$2,'Floor-U'!$A$4:$A$40,'Floor-U'!$J$4:$J$40)*Detached!Y$15)+(LOOKUP(Detached!Y$2,'Wall-U'!$A$4:$A$40,'Wall-U'!$J$4:$J$40)*Detached!Y$12)+(LOOKUP(Detached!Y$2,'Window-U'!$A$4:$A$40,'Window-U'!$Q$4:$Q$40)*Detached!Y$21))*Y4</f>
        <v>575.2944111245356</v>
      </c>
      <c r="Z10" s="174">
        <f>((LOOKUP(Detached!Z$2,'Ceiling-U'!$A$4:$A$40,'Ceiling-U'!$J$4:$J$40)*Detached!Z$14)+(LOOKUP(Detached!Z$2,'Floor-U'!$A$4:$A$40,'Floor-U'!$J$4:$J$40)*Detached!Z$15)+(LOOKUP(Detached!Z$2,'Wall-U'!$A$4:$A$40,'Wall-U'!$J$4:$J$40)*Detached!Z$12)+(LOOKUP(Detached!Z$2,'Window-U'!$A$4:$A$40,'Window-U'!$Q$4:$Q$40)*Detached!Z$21))*Z4</f>
        <v>211.03800532138331</v>
      </c>
      <c r="AA10" s="174">
        <f>((LOOKUP(Detached!AA$2,'Ceiling-U'!$A$4:$A$40,'Ceiling-U'!$J$4:$J$40)*Detached!AA$14)+(LOOKUP(Detached!AA$2,'Floor-U'!$A$4:$A$40,'Floor-U'!$J$4:$J$40)*Detached!AA$15)+(LOOKUP(Detached!AA$2,'Wall-U'!$A$4:$A$40,'Wall-U'!$J$4:$J$40)*Detached!AA$12)+(LOOKUP(Detached!AA$2,'Window-U'!$A$4:$A$40,'Window-U'!$Q$4:$Q$40)*Detached!AA$21))*AA4</f>
        <v>141.56160563930069</v>
      </c>
      <c r="AB10" s="174">
        <f>((LOOKUP(Detached!AB$2,'Ceiling-U'!$A$4:$A$40,'Ceiling-U'!$J$4:$J$40)*Detached!AB$14)+(LOOKUP(Detached!AB$2,'Floor-U'!$A$4:$A$40,'Floor-U'!$J$4:$J$40)*Detached!AB$15)+(LOOKUP(Detached!AB$2,'Wall-U'!$A$4:$A$40,'Wall-U'!$J$4:$J$40)*Detached!AB$12)+(LOOKUP(Detached!AB$2,'Window-U'!$A$4:$A$40,'Window-U'!$Q$4:$Q$40)*Detached!AB$21))*AB4</f>
        <v>223.19188389612049</v>
      </c>
      <c r="AC10" s="174">
        <f>((LOOKUP(Detached!AC$2,'Ceiling-U'!$A$4:$A$40,'Ceiling-U'!$J$4:$J$40)*Detached!AC$14)+(LOOKUP(Detached!AC$2,'Floor-U'!$A$4:$A$40,'Floor-U'!$J$4:$J$40)*Detached!AC$15)+(LOOKUP(Detached!AC$2,'Wall-U'!$A$4:$A$40,'Wall-U'!$J$4:$J$40)*Detached!AC$12)+(LOOKUP(Detached!AC$2,'Window-U'!$A$4:$A$40,'Window-U'!$Q$4:$Q$40)*Detached!AC$21))*AC4</f>
        <v>412.16269641230269</v>
      </c>
      <c r="AD10" s="174">
        <f>((LOOKUP(Detached!AD$2,'Ceiling-U'!$A$4:$A$40,'Ceiling-U'!$J$4:$J$40)*Detached!AD$14)+(LOOKUP(Detached!AD$2,'Floor-U'!$A$4:$A$40,'Floor-U'!$J$4:$J$40)*Detached!AD$15)+(LOOKUP(Detached!AD$2,'Wall-U'!$A$4:$A$40,'Wall-U'!$J$4:$J$40)*Detached!AD$12)+(LOOKUP(Detached!AD$2,'Window-U'!$A$4:$A$40,'Window-U'!$Q$4:$Q$40)*Detached!AD$21))*AD4</f>
        <v>304.41910390886278</v>
      </c>
      <c r="AE10" s="174">
        <f>((LOOKUP(Detached!AE$2,'Ceiling-U'!$A$4:$A$40,'Ceiling-U'!$J$4:$J$40)*Detached!AE$14)+(LOOKUP(Detached!AE$2,'Floor-U'!$A$4:$A$40,'Floor-U'!$J$4:$J$40)*Detached!AE$15)+(LOOKUP(Detached!AE$2,'Wall-U'!$A$4:$A$40,'Wall-U'!$J$4:$J$40)*Detached!AE$12)+(LOOKUP(Detached!AE$2,'Window-U'!$A$4:$A$40,'Window-U'!$Q$4:$Q$40)*Detached!AE$21))*AE4</f>
        <v>141.56160563930069</v>
      </c>
      <c r="AF10" s="174">
        <f>((LOOKUP(Detached!AF$2,'Ceiling-U'!$A$4:$A$40,'Ceiling-U'!$J$4:$J$40)*Detached!AF$14)+(LOOKUP(Detached!AF$2,'Floor-U'!$A$4:$A$40,'Floor-U'!$J$4:$J$40)*Detached!AF$15)+(LOOKUP(Detached!AF$2,'Wall-U'!$A$4:$A$40,'Wall-U'!$J$4:$J$40)*Detached!AF$12)+(LOOKUP(Detached!AF$2,'Window-U'!$A$4:$A$40,'Window-U'!$Q$4:$Q$40)*Detached!AF$21))*AF4</f>
        <v>149.58733393418825</v>
      </c>
      <c r="AG10" s="174">
        <f>((LOOKUP(Detached!AG$2,'Ceiling-U'!$A$4:$A$40,'Ceiling-U'!$J$4:$J$40)*Detached!AG$14)+(LOOKUP(Detached!AG$2,'Floor-U'!$A$4:$A$40,'Floor-U'!$J$4:$J$40)*Detached!AG$15)+(LOOKUP(Detached!AG$2,'Wall-U'!$A$4:$A$40,'Wall-U'!$J$4:$J$40)*Detached!AG$12)+(LOOKUP(Detached!AG$2,'Window-U'!$A$4:$A$40,'Window-U'!$Q$4:$Q$40)*Detached!AG$21))*AG4</f>
        <v>234.81754556507343</v>
      </c>
      <c r="AH10" s="174">
        <f>((LOOKUP(Detached!AH$2,'Ceiling-U'!$A$4:$A$40,'Ceiling-U'!$J$4:$J$40)*Detached!AH$14)+(LOOKUP(Detached!AH$2,'Floor-U'!$A$4:$A$40,'Floor-U'!$J$4:$J$40)*Detached!AH$15)+(LOOKUP(Detached!AH$2,'Wall-U'!$A$4:$A$40,'Wall-U'!$J$4:$J$40)*Detached!AH$12)+(LOOKUP(Detached!AH$2,'Window-U'!$A$4:$A$40,'Window-U'!$Q$4:$Q$40)*Detached!AH$21))*AH4</f>
        <v>167.64142558597655</v>
      </c>
      <c r="AI10" s="174">
        <f>((LOOKUP(Detached!AI$2,'Ceiling-U'!$A$4:$A$40,'Ceiling-U'!$J$4:$J$40)*Detached!AI$14)+(LOOKUP(Detached!AI$2,'Floor-U'!$A$4:$A$40,'Floor-U'!$J$4:$J$40)*Detached!AI$15)+(LOOKUP(Detached!AI$2,'Wall-U'!$A$4:$A$40,'Wall-U'!$J$4:$J$40)*Detached!AI$12)+(LOOKUP(Detached!AI$2,'Window-U'!$A$4:$A$40,'Window-U'!$Q$4:$Q$40)*Detached!AI$21))*AI4</f>
        <v>251.62400097612766</v>
      </c>
      <c r="AJ10" s="174">
        <f>((LOOKUP(Detached!AJ$2,'Ceiling-U'!$A$4:$A$40,'Ceiling-U'!$J$4:$J$40)*Detached!AJ$14)+(LOOKUP(Detached!AJ$2,'Floor-U'!$A$4:$A$40,'Floor-U'!$J$4:$J$40)*Detached!AJ$15)+(LOOKUP(Detached!AJ$2,'Wall-U'!$A$4:$A$40,'Wall-U'!$J$4:$J$40)*Detached!AJ$12)+(LOOKUP(Detached!AJ$2,'Window-U'!$A$4:$A$40,'Window-U'!$Q$4:$Q$40)*Detached!AJ$21))*AJ4</f>
        <v>256.51864011088259</v>
      </c>
      <c r="AK10" s="174">
        <f>((LOOKUP(Detached!AK$2,'Ceiling-U'!$A$4:$A$40,'Ceiling-U'!$J$4:$J$40)*Detached!AK$14)+(LOOKUP(Detached!AK$2,'Floor-U'!$A$4:$A$40,'Floor-U'!$J$4:$J$40)*Detached!AK$15)+(LOOKUP(Detached!AK$2,'Wall-U'!$A$4:$A$40,'Wall-U'!$J$4:$J$40)*Detached!AK$12)+(LOOKUP(Detached!AK$2,'Window-U'!$A$4:$A$40,'Window-U'!$Q$4:$Q$40)*Detached!AK$21))*AK4</f>
        <v>298.41345793977939</v>
      </c>
      <c r="AL10" s="174">
        <f>((LOOKUP(Detached!AL$2,'Ceiling-U'!$A$4:$A$40,'Ceiling-U'!$J$4:$J$40)*Detached!AL$14)+(LOOKUP(Detached!AL$2,'Floor-U'!$A$4:$A$40,'Floor-U'!$J$4:$J$40)*Detached!AL$15)+(LOOKUP(Detached!AL$2,'Wall-U'!$A$4:$A$40,'Wall-U'!$J$4:$J$40)*Detached!AL$12)+(LOOKUP(Detached!AL$2,'Window-U'!$A$4:$A$40,'Window-U'!$Q$4:$Q$40)*Detached!AL$21))*AL4</f>
        <v>171.21652778122404</v>
      </c>
      <c r="AM10" s="174">
        <f>((LOOKUP(Detached!AM$2,'Ceiling-U'!$A$4:$A$40,'Ceiling-U'!$J$4:$J$40)*Detached!AM$14)+(LOOKUP(Detached!AM$2,'Floor-U'!$A$4:$A$40,'Floor-U'!$J$4:$J$40)*Detached!AM$15)+(LOOKUP(Detached!AM$2,'Wall-U'!$A$4:$A$40,'Wall-U'!$J$4:$J$40)*Detached!AM$12)+(LOOKUP(Detached!AM$2,'Window-U'!$A$4:$A$40,'Window-U'!$Q$4:$Q$40)*Detached!AM$21))*AM4</f>
        <v>256.51864011088259</v>
      </c>
      <c r="AN10" s="175">
        <f>((LOOKUP(Detached!AN$2,'Ceiling-U'!$A$4:$A$40,'Ceiling-U'!$J$4:$J$40)*Detached!AN$14)+(LOOKUP(Detached!AN$2,'Floor-U'!$A$4:$A$40,'Floor-U'!$J$4:$J$40)*Detached!AN$15)+(LOOKUP(Detached!AN$2,'Wall-U'!$A$4:$A$40,'Wall-U'!$J$4:$J$40)*Detached!AN$12)+(LOOKUP(Detached!AN$2,'Window-U'!$A$4:$A$40,'Window-U'!$Q$4:$Q$40)*Detached!AN$21))*AN4</f>
        <v>256.51864011088259</v>
      </c>
    </row>
    <row r="11" spans="1:40">
      <c r="A11" s="332" t="s">
        <v>280</v>
      </c>
      <c r="B11" s="142" t="s">
        <v>2</v>
      </c>
      <c r="C11" s="360" t="s">
        <v>261</v>
      </c>
      <c r="D11" s="351">
        <f>D5*24*LOOKUP(Detached!D$2,'HDD-by Country'!$A$4:$A$40,'HDD-by Country'!$C$4:$C$40)/1000</f>
        <v>45186.928042105072</v>
      </c>
      <c r="E11" s="352">
        <f>E5*24*LOOKUP(Detached!E$2,'HDD-by Country'!$A$4:$A$40,'HDD-by Country'!$C$4:$C$40)/1000</f>
        <v>42396.983768248509</v>
      </c>
      <c r="F11" s="352">
        <f>F5*24*LOOKUP(Detached!F$2,'HDD-by Country'!$A$4:$A$40,'HDD-by Country'!$C$4:$C$40)/1000</f>
        <v>23984.52592278297</v>
      </c>
      <c r="G11" s="352">
        <f>G5*24*LOOKUP(Detached!G$2,'HDD-by Country'!$A$4:$A$40,'HDD-by Country'!$C$4:$C$40)/1000</f>
        <v>44023.750263740869</v>
      </c>
      <c r="H11" s="352">
        <f>H5*24*LOOKUP(Detached!H$2,'HDD-by Country'!$A$4:$A$40,'HDD-by Country'!$C$4:$C$40)/1000</f>
        <v>14839.1668229726</v>
      </c>
      <c r="I11" s="352">
        <f>I5*24*LOOKUP(Detached!I$2,'HDD-by Country'!$A$4:$A$40,'HDD-by Country'!$C$4:$C$40)/1000</f>
        <v>32296.019905589161</v>
      </c>
      <c r="J11" s="352">
        <f>J5*24*LOOKUP(Detached!J$2,'HDD-by Country'!$A$4:$A$40,'HDD-by Country'!$C$4:$C$40)/1000</f>
        <v>45695.957671955963</v>
      </c>
      <c r="K11" s="352">
        <f>K5*24*LOOKUP(Detached!K$2,'HDD-by Country'!$A$4:$A$40,'HDD-by Country'!$C$4:$C$40)/1000</f>
        <v>28875.585547838517</v>
      </c>
      <c r="L11" s="352">
        <f>L5*24*LOOKUP(Detached!L$2,'HDD-by Country'!$A$4:$A$40,'HDD-by Country'!$C$4:$C$40)/1000</f>
        <v>21448.646339403545</v>
      </c>
      <c r="M11" s="352">
        <f>M5*24*LOOKUP(Detached!M$2,'HDD-by Country'!$A$4:$A$40,'HDD-by Country'!$C$4:$C$40)/1000</f>
        <v>36026.514975906131</v>
      </c>
      <c r="N11" s="352">
        <f>N5*24*LOOKUP(Detached!N$2,'HDD-by Country'!$A$4:$A$40,'HDD-by Country'!$C$4:$C$40)/1000</f>
        <v>33971.243714543518</v>
      </c>
      <c r="O11" s="352">
        <f>O5*24*LOOKUP(Detached!O$2,'HDD-by Country'!$A$4:$A$40,'HDD-by Country'!$C$4:$C$40)/1000</f>
        <v>49866.417384852146</v>
      </c>
      <c r="P11" s="352">
        <f>P5*24*LOOKUP(Detached!P$2,'HDD-by Country'!$A$4:$A$40,'HDD-by Country'!$C$4:$C$40)/1000</f>
        <v>31394.668061876957</v>
      </c>
      <c r="Q11" s="352">
        <f>Q5*24*LOOKUP(Detached!Q$2,'HDD-by Country'!$A$4:$A$40,'HDD-by Country'!$C$4:$C$40)/1000</f>
        <v>21012.97181528022</v>
      </c>
      <c r="R11" s="352">
        <f>R5*24*LOOKUP(Detached!R$2,'HDD-by Country'!$A$4:$A$40,'HDD-by Country'!$C$4:$C$40)/1000</f>
        <v>32292.490320099321</v>
      </c>
      <c r="S11" s="352">
        <f>S5*24*LOOKUP(Detached!S$2,'HDD-by Country'!$A$4:$A$40,'HDD-by Country'!$C$4:$C$40)/1000</f>
        <v>43363.427425711139</v>
      </c>
      <c r="T11" s="352">
        <f>T5*24*LOOKUP(Detached!T$2,'HDD-by Country'!$A$4:$A$40,'HDD-by Country'!$C$4:$C$40)/1000</f>
        <v>28895.881833088639</v>
      </c>
      <c r="U11" s="352">
        <f>U5*24*LOOKUP(Detached!U$2,'HDD-by Country'!$A$4:$A$40,'HDD-by Country'!$C$4:$C$40)/1000</f>
        <v>31309.126944816377</v>
      </c>
      <c r="V11" s="352">
        <f>V5*24*LOOKUP(Detached!V$2,'HDD-by Country'!$A$4:$A$40,'HDD-by Country'!$C$4:$C$40)/1000</f>
        <v>34452.928909897928</v>
      </c>
      <c r="W11" s="352">
        <f>W5*24*LOOKUP(Detached!W$2,'HDD-by Country'!$A$4:$A$40,'HDD-by Country'!$C$4:$C$40)/1000</f>
        <v>31870.016105621831</v>
      </c>
      <c r="X11" s="352">
        <f>X5*24*LOOKUP(Detached!X$2,'HDD-by Country'!$A$4:$A$40,'HDD-by Country'!$C$4:$C$40)/1000</f>
        <v>37791.639615253975</v>
      </c>
      <c r="Y11" s="352">
        <f>Y5*24*LOOKUP(Detached!Y$2,'HDD-by Country'!$A$4:$A$40,'HDD-by Country'!$C$4:$C$40)/1000</f>
        <v>11436.674689142419</v>
      </c>
      <c r="Z11" s="352">
        <f>Z5*24*LOOKUP(Detached!Z$2,'HDD-by Country'!$A$4:$A$40,'HDD-by Country'!$C$4:$C$40)/1000</f>
        <v>46491.49253345374</v>
      </c>
      <c r="AA11" s="352">
        <f>AA5*24*LOOKUP(Detached!AA$2,'HDD-by Country'!$A$4:$A$40,'HDD-by Country'!$C$4:$C$40)/1000</f>
        <v>30235.027342627465</v>
      </c>
      <c r="AB11" s="352">
        <f>AB5*24*LOOKUP(Detached!AB$2,'HDD-by Country'!$A$4:$A$40,'HDD-by Country'!$C$4:$C$40)/1000</f>
        <v>47956.792209587795</v>
      </c>
      <c r="AC11" s="352">
        <f>AC5*24*LOOKUP(Detached!AC$2,'HDD-by Country'!$A$4:$A$40,'HDD-by Country'!$C$4:$C$40)/1000</f>
        <v>24940.608045745845</v>
      </c>
      <c r="AD11" s="352">
        <f>AD5*24*LOOKUP(Detached!AD$2,'HDD-by Country'!$A$4:$A$40,'HDD-by Country'!$C$4:$C$40)/1000</f>
        <v>35973.738106893114</v>
      </c>
      <c r="AE11" s="352">
        <f>AE5*24*LOOKUP(Detached!AE$2,'HDD-by Country'!$A$4:$A$40,'HDD-by Country'!$C$4:$C$40)/1000</f>
        <v>29153.292393422587</v>
      </c>
      <c r="AF11" s="352">
        <f>AF5*24*LOOKUP(Detached!AF$2,'HDD-by Country'!$A$4:$A$40,'HDD-by Country'!$C$4:$C$40)/1000</f>
        <v>32440.354061558006</v>
      </c>
      <c r="AG11" s="352">
        <f>AG5*24*LOOKUP(Detached!AG$2,'HDD-by Country'!$A$4:$A$40,'HDD-by Country'!$C$4:$C$40)/1000</f>
        <v>47028.97418571575</v>
      </c>
      <c r="AH11" s="352">
        <f>AH5*24*LOOKUP(Detached!AH$2,'HDD-by Country'!$A$4:$A$40,'HDD-by Country'!$C$4:$C$40)/1000</f>
        <v>37419.280864537235</v>
      </c>
      <c r="AI11" s="352">
        <f>AI5*24*LOOKUP(Detached!AI$2,'HDD-by Country'!$A$4:$A$40,'HDD-by Country'!$C$4:$C$40)/1000</f>
        <v>31394.668061876957</v>
      </c>
      <c r="AJ11" s="352">
        <f>AJ5*24*LOOKUP(Detached!AJ$2,'HDD-by Country'!$A$4:$A$40,'HDD-by Country'!$C$4:$C$40)/1000</f>
        <v>25242.184515407807</v>
      </c>
      <c r="AK11" s="352">
        <f>AK5*24*LOOKUP(Detached!AK$2,'HDD-by Country'!$A$4:$A$40,'HDD-by Country'!$C$4:$C$40)/1000</f>
        <v>26542.058980756443</v>
      </c>
      <c r="AL11" s="352">
        <f>AL5*24*LOOKUP(Detached!AL$2,'HDD-by Country'!$A$4:$A$40,'HDD-by Country'!$C$4:$C$40)/1000</f>
        <v>25107.937648392261</v>
      </c>
      <c r="AM11" s="352">
        <f>AM5*24*LOOKUP(Detached!AM$2,'HDD-by Country'!$A$4:$A$40,'HDD-by Country'!$C$4:$C$40)/1000</f>
        <v>23212.097807289796</v>
      </c>
      <c r="AN11" s="353">
        <f>AN5*24*LOOKUP(Detached!AN$2,'HDD-by Country'!$A$4:$A$40,'HDD-by Country'!$C$4:$C$40)/1000</f>
        <v>23212.097807289796</v>
      </c>
    </row>
    <row r="12" spans="1:40">
      <c r="A12" s="129"/>
      <c r="B12" s="142" t="s">
        <v>3</v>
      </c>
      <c r="C12" s="129" t="s">
        <v>261</v>
      </c>
      <c r="D12" s="345">
        <f>D6*24*LOOKUP(Detached!D$2,'HDD-by Country'!$A$4:$A$40,'HDD-by Country'!$C$4:$C$40)/1000</f>
        <v>41559.238340271477</v>
      </c>
      <c r="E12" s="349">
        <f>E6*24*LOOKUP(Detached!E$2,'HDD-by Country'!$A$4:$A$40,'HDD-by Country'!$C$4:$C$40)/1000</f>
        <v>42396.983768248509</v>
      </c>
      <c r="F12" s="349">
        <f>F6*24*LOOKUP(Detached!F$2,'HDD-by Country'!$A$4:$A$40,'HDD-by Country'!$C$4:$C$40)/1000</f>
        <v>23984.52592278297</v>
      </c>
      <c r="G12" s="349">
        <f>G6*24*LOOKUP(Detached!G$2,'HDD-by Country'!$A$4:$A$40,'HDD-by Country'!$C$4:$C$40)/1000</f>
        <v>40489.442613549327</v>
      </c>
      <c r="H12" s="349">
        <f>H6*24*LOOKUP(Detached!H$2,'HDD-by Country'!$A$4:$A$40,'HDD-by Country'!$C$4:$C$40)/1000</f>
        <v>13829.796778373249</v>
      </c>
      <c r="I12" s="349">
        <f>I6*24*LOOKUP(Detached!I$2,'HDD-by Country'!$A$4:$A$40,'HDD-by Country'!$C$4:$C$40)/1000</f>
        <v>26870.240839026348</v>
      </c>
      <c r="J12" s="349">
        <f>J6*24*LOOKUP(Detached!J$2,'HDD-by Country'!$A$4:$A$40,'HDD-by Country'!$C$4:$C$40)/1000</f>
        <v>40069.642108524924</v>
      </c>
      <c r="K12" s="349">
        <f>K6*24*LOOKUP(Detached!K$2,'HDD-by Country'!$A$4:$A$40,'HDD-by Country'!$C$4:$C$40)/1000</f>
        <v>28015.464229888028</v>
      </c>
      <c r="L12" s="349">
        <f>L6*24*LOOKUP(Detached!L$2,'HDD-by Country'!$A$4:$A$40,'HDD-by Country'!$C$4:$C$40)/1000</f>
        <v>21448.646339403545</v>
      </c>
      <c r="M12" s="349">
        <f>M6*24*LOOKUP(Detached!M$2,'HDD-by Country'!$A$4:$A$40,'HDD-by Country'!$C$4:$C$40)/1000</f>
        <v>31874.387550698615</v>
      </c>
      <c r="N12" s="349">
        <f>N6*24*LOOKUP(Detached!N$2,'HDD-by Country'!$A$4:$A$40,'HDD-by Country'!$C$4:$C$40)/1000</f>
        <v>31124.053508573954</v>
      </c>
      <c r="O12" s="349">
        <f>O6*24*LOOKUP(Detached!O$2,'HDD-by Country'!$A$4:$A$40,'HDD-by Country'!$C$4:$C$40)/1000</f>
        <v>49866.417384852146</v>
      </c>
      <c r="P12" s="349">
        <f>P6*24*LOOKUP(Detached!P$2,'HDD-by Country'!$A$4:$A$40,'HDD-by Country'!$C$4:$C$40)/1000</f>
        <v>31394.668061876957</v>
      </c>
      <c r="Q12" s="349">
        <f>Q6*24*LOOKUP(Detached!Q$2,'HDD-by Country'!$A$4:$A$40,'HDD-by Country'!$C$4:$C$40)/1000</f>
        <v>22440.437048627737</v>
      </c>
      <c r="R12" s="349">
        <f>R6*24*LOOKUP(Detached!R$2,'HDD-by Country'!$A$4:$A$40,'HDD-by Country'!$C$4:$C$40)/1000</f>
        <v>32292.490320099321</v>
      </c>
      <c r="S12" s="349">
        <f>S6*24*LOOKUP(Detached!S$2,'HDD-by Country'!$A$4:$A$40,'HDD-by Country'!$C$4:$C$40)/1000</f>
        <v>44077.477295218378</v>
      </c>
      <c r="T12" s="349">
        <f>T6*24*LOOKUP(Detached!T$2,'HDD-by Country'!$A$4:$A$40,'HDD-by Country'!$C$4:$C$40)/1000</f>
        <v>26474.066710882733</v>
      </c>
      <c r="U12" s="349">
        <f>U6*24*LOOKUP(Detached!U$2,'HDD-by Country'!$A$4:$A$40,'HDD-by Country'!$C$4:$C$40)/1000</f>
        <v>29372.300100808996</v>
      </c>
      <c r="V12" s="349">
        <f>V6*24*LOOKUP(Detached!V$2,'HDD-by Country'!$A$4:$A$40,'HDD-by Country'!$C$4:$C$40)/1000</f>
        <v>34452.928909897928</v>
      </c>
      <c r="W12" s="349">
        <f>W6*24*LOOKUP(Detached!W$2,'HDD-by Country'!$A$4:$A$40,'HDD-by Country'!$C$4:$C$40)/1000</f>
        <v>34193.032145344601</v>
      </c>
      <c r="X12" s="349">
        <f>X6*24*LOOKUP(Detached!X$2,'HDD-by Country'!$A$4:$A$40,'HDD-by Country'!$C$4:$C$40)/1000</f>
        <v>37791.639615253975</v>
      </c>
      <c r="Y12" s="349">
        <f>Y6*24*LOOKUP(Detached!Y$2,'HDD-by Country'!$A$4:$A$40,'HDD-by Country'!$C$4:$C$40)/1000</f>
        <v>11418.279507679823</v>
      </c>
      <c r="Z12" s="349">
        <f>Z6*24*LOOKUP(Detached!Z$2,'HDD-by Country'!$A$4:$A$40,'HDD-by Country'!$C$4:$C$40)/1000</f>
        <v>36982.735215033099</v>
      </c>
      <c r="AA12" s="349">
        <f>AA6*24*LOOKUP(Detached!AA$2,'HDD-by Country'!$A$4:$A$40,'HDD-by Country'!$C$4:$C$40)/1000</f>
        <v>30235.027342627465</v>
      </c>
      <c r="AB12" s="349">
        <f>AB6*24*LOOKUP(Detached!AB$2,'HDD-by Country'!$A$4:$A$40,'HDD-by Country'!$C$4:$C$40)/1000</f>
        <v>34830.90342891922</v>
      </c>
      <c r="AC12" s="349">
        <f>AC6*24*LOOKUP(Detached!AC$2,'HDD-by Country'!$A$4:$A$40,'HDD-by Country'!$C$4:$C$40)/1000</f>
        <v>22257.636491888137</v>
      </c>
      <c r="AD12" s="349">
        <f>AD6*24*LOOKUP(Detached!AD$2,'HDD-by Country'!$A$4:$A$40,'HDD-by Country'!$C$4:$C$40)/1000</f>
        <v>32563.536443331217</v>
      </c>
      <c r="AE12" s="349">
        <f>AE6*24*LOOKUP(Detached!AE$2,'HDD-by Country'!$A$4:$A$40,'HDD-by Country'!$C$4:$C$40)/1000</f>
        <v>29153.292393422587</v>
      </c>
      <c r="AF12" s="349">
        <f>AF6*24*LOOKUP(Detached!AF$2,'HDD-by Country'!$A$4:$A$40,'HDD-by Country'!$C$4:$C$40)/1000</f>
        <v>32440.354061558006</v>
      </c>
      <c r="AG12" s="349">
        <f>AG6*24*LOOKUP(Detached!AG$2,'HDD-by Country'!$A$4:$A$40,'HDD-by Country'!$C$4:$C$40)/1000</f>
        <v>38965.705748572604</v>
      </c>
      <c r="AH12" s="349">
        <f>AH6*24*LOOKUP(Detached!AH$2,'HDD-by Country'!$A$4:$A$40,'HDD-by Country'!$C$4:$C$40)/1000</f>
        <v>39698.807355761077</v>
      </c>
      <c r="AI12" s="349">
        <f>AI6*24*LOOKUP(Detached!AI$2,'HDD-by Country'!$A$4:$A$40,'HDD-by Country'!$C$4:$C$40)/1000</f>
        <v>31394.668061876957</v>
      </c>
      <c r="AJ12" s="349">
        <f>AJ6*24*LOOKUP(Detached!AJ$2,'HDD-by Country'!$A$4:$A$40,'HDD-by Country'!$C$4:$C$40)/1000</f>
        <v>25242.184515407807</v>
      </c>
      <c r="AK12" s="349">
        <f>AK6*24*LOOKUP(Detached!AK$2,'HDD-by Country'!$A$4:$A$40,'HDD-by Country'!$C$4:$C$40)/1000</f>
        <v>26542.058980756443</v>
      </c>
      <c r="AL12" s="349">
        <f>AL6*24*LOOKUP(Detached!AL$2,'HDD-by Country'!$A$4:$A$40,'HDD-by Country'!$C$4:$C$40)/1000</f>
        <v>25107.937648392261</v>
      </c>
      <c r="AM12" s="349">
        <f>AM6*24*LOOKUP(Detached!AM$2,'HDD-by Country'!$A$4:$A$40,'HDD-by Country'!$C$4:$C$40)/1000</f>
        <v>23212.097807289796</v>
      </c>
      <c r="AN12" s="354">
        <f>AN6*24*LOOKUP(Detached!AN$2,'HDD-by Country'!$A$4:$A$40,'HDD-by Country'!$C$4:$C$40)/1000</f>
        <v>23212.097807289796</v>
      </c>
    </row>
    <row r="13" spans="1:40">
      <c r="A13" s="129"/>
      <c r="B13" s="142" t="s">
        <v>4</v>
      </c>
      <c r="C13" s="129" t="s">
        <v>261</v>
      </c>
      <c r="D13" s="345">
        <f>D7*24*LOOKUP(Detached!D$2,'HDD-by Country'!$A$4:$A$40,'HDD-by Country'!$C$4:$C$40)/1000</f>
        <v>32645.754439689645</v>
      </c>
      <c r="E13" s="349">
        <f>E7*24*LOOKUP(Detached!E$2,'HDD-by Country'!$A$4:$A$40,'HDD-by Country'!$C$4:$C$40)/1000</f>
        <v>42396.983768248509</v>
      </c>
      <c r="F13" s="349">
        <f>F7*24*LOOKUP(Detached!F$2,'HDD-by Country'!$A$4:$A$40,'HDD-by Country'!$C$4:$C$40)/1000</f>
        <v>22534.191696968272</v>
      </c>
      <c r="G13" s="349">
        <f>G7*24*LOOKUP(Detached!G$2,'HDD-by Country'!$A$4:$A$40,'HDD-by Country'!$C$4:$C$40)/1000</f>
        <v>31805.404857022757</v>
      </c>
      <c r="H13" s="349">
        <f>H7*24*LOOKUP(Detached!H$2,'HDD-by Country'!$A$4:$A$40,'HDD-by Country'!$C$4:$C$40)/1000</f>
        <v>12820.426733773897</v>
      </c>
      <c r="I13" s="349">
        <f>I7*24*LOOKUP(Detached!I$2,'HDD-by Country'!$A$4:$A$40,'HDD-by Country'!$C$4:$C$40)/1000</f>
        <v>26870.240839026348</v>
      </c>
      <c r="J13" s="349">
        <f>J7*24*LOOKUP(Detached!J$2,'HDD-by Country'!$A$4:$A$40,'HDD-by Country'!$C$4:$C$40)/1000</f>
        <v>24424.768829048804</v>
      </c>
      <c r="K13" s="349">
        <f>K7*24*LOOKUP(Detached!K$2,'HDD-by Country'!$A$4:$A$40,'HDD-by Country'!$C$4:$C$40)/1000</f>
        <v>18816.430698867807</v>
      </c>
      <c r="L13" s="349">
        <f>L7*24*LOOKUP(Detached!L$2,'HDD-by Country'!$A$4:$A$40,'HDD-by Country'!$C$4:$C$40)/1000</f>
        <v>17933.368064560378</v>
      </c>
      <c r="M13" s="349">
        <f>M7*24*LOOKUP(Detached!M$2,'HDD-by Country'!$A$4:$A$40,'HDD-by Country'!$C$4:$C$40)/1000</f>
        <v>31874.387550698615</v>
      </c>
      <c r="N13" s="349">
        <f>N7*24*LOOKUP(Detached!N$2,'HDD-by Country'!$A$4:$A$40,'HDD-by Country'!$C$4:$C$40)/1000</f>
        <v>26190.924304191871</v>
      </c>
      <c r="O13" s="349">
        <f>O7*24*LOOKUP(Detached!O$2,'HDD-by Country'!$A$4:$A$40,'HDD-by Country'!$C$4:$C$40)/1000</f>
        <v>21314.867615443149</v>
      </c>
      <c r="P13" s="349">
        <f>P7*24*LOOKUP(Detached!P$2,'HDD-by Country'!$A$4:$A$40,'HDD-by Country'!$C$4:$C$40)/1000</f>
        <v>31394.668061876957</v>
      </c>
      <c r="Q13" s="349">
        <f>Q7*24*LOOKUP(Detached!Q$2,'HDD-by Country'!$A$4:$A$40,'HDD-by Country'!$C$4:$C$40)/1000</f>
        <v>21069.178848456046</v>
      </c>
      <c r="R13" s="349">
        <f>R7*24*LOOKUP(Detached!R$2,'HDD-by Country'!$A$4:$A$40,'HDD-by Country'!$C$4:$C$40)/1000</f>
        <v>27784.989313030834</v>
      </c>
      <c r="S13" s="349">
        <f>S7*24*LOOKUP(Detached!S$2,'HDD-by Country'!$A$4:$A$40,'HDD-by Country'!$C$4:$C$40)/1000</f>
        <v>37063.391430403935</v>
      </c>
      <c r="T13" s="349">
        <f>T7*24*LOOKUP(Detached!T$2,'HDD-by Country'!$A$4:$A$40,'HDD-by Country'!$C$4:$C$40)/1000</f>
        <v>22277.955442334831</v>
      </c>
      <c r="U13" s="349">
        <f>U7*24*LOOKUP(Detached!U$2,'HDD-by Country'!$A$4:$A$40,'HDD-by Country'!$C$4:$C$40)/1000</f>
        <v>28180.394517058998</v>
      </c>
      <c r="V13" s="349">
        <f>V7*24*LOOKUP(Detached!V$2,'HDD-by Country'!$A$4:$A$40,'HDD-by Country'!$C$4:$C$40)/1000</f>
        <v>22800.799344249521</v>
      </c>
      <c r="W13" s="349">
        <f>W7*24*LOOKUP(Detached!W$2,'HDD-by Country'!$A$4:$A$40,'HDD-by Country'!$C$4:$C$40)/1000</f>
        <v>18528.989709394093</v>
      </c>
      <c r="X13" s="349">
        <f>X7*24*LOOKUP(Detached!X$2,'HDD-by Country'!$A$4:$A$40,'HDD-by Country'!$C$4:$C$40)/1000</f>
        <v>34906.07845372858</v>
      </c>
      <c r="Y13" s="349">
        <f>Y7*24*LOOKUP(Detached!Y$2,'HDD-by Country'!$A$4:$A$40,'HDD-by Country'!$C$4:$C$40)/1000</f>
        <v>9200.7846181701734</v>
      </c>
      <c r="Z13" s="349">
        <f>Z7*24*LOOKUP(Detached!Z$2,'HDD-by Country'!$A$4:$A$40,'HDD-by Country'!$C$4:$C$40)/1000</f>
        <v>35652.638357929325</v>
      </c>
      <c r="AA13" s="349">
        <f>AA7*24*LOOKUP(Detached!AA$2,'HDD-by Country'!$A$4:$A$40,'HDD-by Country'!$C$4:$C$40)/1000</f>
        <v>21239.987699316393</v>
      </c>
      <c r="AB13" s="349">
        <f>AB7*24*LOOKUP(Detached!AB$2,'HDD-by Country'!$A$4:$A$40,'HDD-by Country'!$C$4:$C$40)/1000</f>
        <v>24901.43960862765</v>
      </c>
      <c r="AC13" s="349">
        <f>AC7*24*LOOKUP(Detached!AC$2,'HDD-by Country'!$A$4:$A$40,'HDD-by Country'!$C$4:$C$40)/1000</f>
        <v>21788.975938675532</v>
      </c>
      <c r="AD13" s="349">
        <f>AD7*24*LOOKUP(Detached!AD$2,'HDD-by Country'!$A$4:$A$40,'HDD-by Country'!$C$4:$C$40)/1000</f>
        <v>32563.536443331217</v>
      </c>
      <c r="AE13" s="349">
        <f>AE7*24*LOOKUP(Detached!AE$2,'HDD-by Country'!$A$4:$A$40,'HDD-by Country'!$C$4:$C$40)/1000</f>
        <v>20480.073155345101</v>
      </c>
      <c r="AF13" s="349">
        <f>AF7*24*LOOKUP(Detached!AF$2,'HDD-by Country'!$A$4:$A$40,'HDD-by Country'!$C$4:$C$40)/1000</f>
        <v>30144.243392510005</v>
      </c>
      <c r="AG13" s="349">
        <f>AG7*24*LOOKUP(Detached!AG$2,'HDD-by Country'!$A$4:$A$40,'HDD-by Country'!$C$4:$C$40)/1000</f>
        <v>38965.705748572604</v>
      </c>
      <c r="AH13" s="349">
        <f>AH7*24*LOOKUP(Detached!AH$2,'HDD-by Country'!$A$4:$A$40,'HDD-by Country'!$C$4:$C$40)/1000</f>
        <v>30557.98622292162</v>
      </c>
      <c r="AI13" s="349">
        <f>AI7*24*LOOKUP(Detached!AI$2,'HDD-by Country'!$A$4:$A$40,'HDD-by Country'!$C$4:$C$40)/1000</f>
        <v>31394.668061876957</v>
      </c>
      <c r="AJ13" s="349">
        <f>AJ7*24*LOOKUP(Detached!AJ$2,'HDD-by Country'!$A$4:$A$40,'HDD-by Country'!$C$4:$C$40)/1000</f>
        <v>25242.184515407807</v>
      </c>
      <c r="AK13" s="349">
        <f>AK7*24*LOOKUP(Detached!AK$2,'HDD-by Country'!$A$4:$A$40,'HDD-by Country'!$C$4:$C$40)/1000</f>
        <v>26542.058980756443</v>
      </c>
      <c r="AL13" s="349">
        <f>AL7*24*LOOKUP(Detached!AL$2,'HDD-by Country'!$A$4:$A$40,'HDD-by Country'!$C$4:$C$40)/1000</f>
        <v>23569.658308495327</v>
      </c>
      <c r="AM13" s="349">
        <f>AM7*24*LOOKUP(Detached!AM$2,'HDD-by Country'!$A$4:$A$40,'HDD-by Country'!$C$4:$C$40)/1000</f>
        <v>23212.097807289796</v>
      </c>
      <c r="AN13" s="354">
        <f>AN7*24*LOOKUP(Detached!AN$2,'HDD-by Country'!$A$4:$A$40,'HDD-by Country'!$C$4:$C$40)/1000</f>
        <v>23212.097807289796</v>
      </c>
    </row>
    <row r="14" spans="1:40">
      <c r="A14" s="129"/>
      <c r="B14" s="142" t="s">
        <v>5</v>
      </c>
      <c r="C14" s="129" t="s">
        <v>261</v>
      </c>
      <c r="D14" s="345">
        <f>D8*24*LOOKUP(Detached!D$2,'HDD-by Country'!$A$4:$A$40,'HDD-by Country'!$C$4:$C$40)/1000</f>
        <v>22926.35611661389</v>
      </c>
      <c r="E14" s="349">
        <f>E8*24*LOOKUP(Detached!E$2,'HDD-by Country'!$A$4:$A$40,'HDD-by Country'!$C$4:$C$40)/1000</f>
        <v>35436.895477135564</v>
      </c>
      <c r="F14" s="349">
        <f>F8*24*LOOKUP(Detached!F$2,'HDD-by Country'!$A$4:$A$40,'HDD-by Country'!$C$4:$C$40)/1000</f>
        <v>19242.326736957679</v>
      </c>
      <c r="G14" s="349">
        <f>G8*24*LOOKUP(Detached!G$2,'HDD-by Country'!$A$4:$A$40,'HDD-by Country'!$C$4:$C$40)/1000</f>
        <v>22336.198096824166</v>
      </c>
      <c r="H14" s="349">
        <f>H8*24*LOOKUP(Detached!H$2,'HDD-by Country'!$A$4:$A$40,'HDD-by Country'!$C$4:$C$40)/1000</f>
        <v>12369.626891296295</v>
      </c>
      <c r="I14" s="349">
        <f>I8*24*LOOKUP(Detached!I$2,'HDD-by Country'!$A$4:$A$40,'HDD-by Country'!$C$4:$C$40)/1000</f>
        <v>23817.6067838202</v>
      </c>
      <c r="J14" s="349">
        <f>J8*24*LOOKUP(Detached!J$2,'HDD-by Country'!$A$4:$A$40,'HDD-by Country'!$C$4:$C$40)/1000</f>
        <v>19499.861698789609</v>
      </c>
      <c r="K14" s="349">
        <f>K8*24*LOOKUP(Detached!K$2,'HDD-by Country'!$A$4:$A$40,'HDD-by Country'!$C$4:$C$40)/1000</f>
        <v>15849.64151676272</v>
      </c>
      <c r="L14" s="349">
        <f>L8*24*LOOKUP(Detached!L$2,'HDD-by Country'!$A$4:$A$40,'HDD-by Country'!$C$4:$C$40)/1000</f>
        <v>15517.506534056238</v>
      </c>
      <c r="M14" s="349">
        <f>M8*24*LOOKUP(Detached!M$2,'HDD-by Country'!$A$4:$A$40,'HDD-by Country'!$C$4:$C$40)/1000</f>
        <v>21391.1639794068</v>
      </c>
      <c r="N14" s="349">
        <f>N8*24*LOOKUP(Detached!N$2,'HDD-by Country'!$A$4:$A$40,'HDD-by Country'!$C$4:$C$40)/1000</f>
        <v>22609.57599878317</v>
      </c>
      <c r="O14" s="349">
        <f>O8*24*LOOKUP(Detached!O$2,'HDD-by Country'!$A$4:$A$40,'HDD-by Country'!$C$4:$C$40)/1000</f>
        <v>18344.801227421212</v>
      </c>
      <c r="P14" s="349">
        <f>P8*24*LOOKUP(Detached!P$2,'HDD-by Country'!$A$4:$A$40,'HDD-by Country'!$C$4:$C$40)/1000</f>
        <v>30435.997808628552</v>
      </c>
      <c r="Q14" s="349">
        <f>Q8*24*LOOKUP(Detached!Q$2,'HDD-by Country'!$A$4:$A$40,'HDD-by Country'!$C$4:$C$40)/1000</f>
        <v>21069.178848456046</v>
      </c>
      <c r="R14" s="349">
        <f>R8*24*LOOKUP(Detached!R$2,'HDD-by Country'!$A$4:$A$40,'HDD-by Country'!$C$4:$C$40)/1000</f>
        <v>20272.487634583362</v>
      </c>
      <c r="S14" s="349">
        <f>S8*24*LOOKUP(Detached!S$2,'HDD-by Country'!$A$4:$A$40,'HDD-by Country'!$C$4:$C$40)/1000</f>
        <v>23988.127699959256</v>
      </c>
      <c r="T14" s="349">
        <f>T8*24*LOOKUP(Detached!T$2,'HDD-by Country'!$A$4:$A$40,'HDD-by Country'!$C$4:$C$40)/1000</f>
        <v>19231.666695717104</v>
      </c>
      <c r="U14" s="349">
        <f>U8*24*LOOKUP(Detached!U$2,'HDD-by Country'!$A$4:$A$40,'HDD-by Country'!$C$4:$C$40)/1000</f>
        <v>22029.369532536875</v>
      </c>
      <c r="V14" s="349">
        <f>V8*24*LOOKUP(Detached!V$2,'HDD-by Country'!$A$4:$A$40,'HDD-by Country'!$C$4:$C$40)/1000</f>
        <v>22800.799344249521</v>
      </c>
      <c r="W14" s="349">
        <f>W8*24*LOOKUP(Detached!W$2,'HDD-by Country'!$A$4:$A$40,'HDD-by Country'!$C$4:$C$40)/1000</f>
        <v>16892.141662987397</v>
      </c>
      <c r="X14" s="349">
        <f>X8*24*LOOKUP(Detached!X$2,'HDD-by Country'!$A$4:$A$40,'HDD-by Country'!$C$4:$C$40)/1000</f>
        <v>21429.229807626987</v>
      </c>
      <c r="Y14" s="349">
        <f>Y8*24*LOOKUP(Detached!Y$2,'HDD-by Country'!$A$4:$A$40,'HDD-by Country'!$C$4:$C$40)/1000</f>
        <v>8328.8924263701756</v>
      </c>
      <c r="Z14" s="349">
        <f>Z8*24*LOOKUP(Detached!Z$2,'HDD-by Country'!$A$4:$A$40,'HDD-by Country'!$C$4:$C$40)/1000</f>
        <v>21209.771218902952</v>
      </c>
      <c r="AA14" s="349">
        <f>AA8*24*LOOKUP(Detached!AA$2,'HDD-by Country'!$A$4:$A$40,'HDD-by Country'!$C$4:$C$40)/1000</f>
        <v>21239.987699316393</v>
      </c>
      <c r="AB14" s="349">
        <f>AB8*24*LOOKUP(Detached!AB$2,'HDD-by Country'!$A$4:$A$40,'HDD-by Country'!$C$4:$C$40)/1000</f>
        <v>24901.43960862765</v>
      </c>
      <c r="AC14" s="349">
        <f>AC8*24*LOOKUP(Detached!AC$2,'HDD-by Country'!$A$4:$A$40,'HDD-by Country'!$C$4:$C$40)/1000</f>
        <v>21018.05135129769</v>
      </c>
      <c r="AD14" s="349">
        <f>AD8*24*LOOKUP(Detached!AD$2,'HDD-by Country'!$A$4:$A$40,'HDD-by Country'!$C$4:$C$40)/1000</f>
        <v>27533.100042596659</v>
      </c>
      <c r="AE14" s="349">
        <f>AE8*24*LOOKUP(Detached!AE$2,'HDD-by Country'!$A$4:$A$40,'HDD-by Country'!$C$4:$C$40)/1000</f>
        <v>20480.073155345101</v>
      </c>
      <c r="AF14" s="349">
        <f>AF8*24*LOOKUP(Detached!AF$2,'HDD-by Country'!$A$4:$A$40,'HDD-by Country'!$C$4:$C$40)/1000</f>
        <v>23531.794487770374</v>
      </c>
      <c r="AG14" s="349">
        <f>AG8*24*LOOKUP(Detached!AG$2,'HDD-by Country'!$A$4:$A$40,'HDD-by Country'!$C$4:$C$40)/1000</f>
        <v>33764.50680522684</v>
      </c>
      <c r="AH14" s="349">
        <f>AH8*24*LOOKUP(Detached!AH$2,'HDD-by Country'!$A$4:$A$40,'HDD-by Country'!$C$4:$C$40)/1000</f>
        <v>16977.832987880069</v>
      </c>
      <c r="AI14" s="349">
        <f>AI8*24*LOOKUP(Detached!AI$2,'HDD-by Country'!$A$4:$A$40,'HDD-by Country'!$C$4:$C$40)/1000</f>
        <v>30435.997808628552</v>
      </c>
      <c r="AJ14" s="349">
        <f>AJ8*24*LOOKUP(Detached!AJ$2,'HDD-by Country'!$A$4:$A$40,'HDD-by Country'!$C$4:$C$40)/1000</f>
        <v>21617.38965631594</v>
      </c>
      <c r="AK14" s="349">
        <f>AK8*24*LOOKUP(Detached!AK$2,'HDD-by Country'!$A$4:$A$40,'HDD-by Country'!$C$4:$C$40)/1000</f>
        <v>22537.715802164534</v>
      </c>
      <c r="AL14" s="349">
        <f>AL8*24*LOOKUP(Detached!AL$2,'HDD-by Country'!$A$4:$A$40,'HDD-by Country'!$C$4:$C$40)/1000</f>
        <v>20082.523833153944</v>
      </c>
      <c r="AM14" s="349">
        <f>AM8*24*LOOKUP(Detached!AM$2,'HDD-by Country'!$A$4:$A$40,'HDD-by Country'!$C$4:$C$40)/1000</f>
        <v>19878.824779781295</v>
      </c>
      <c r="AN14" s="354">
        <f>AN8*24*LOOKUP(Detached!AN$2,'HDD-by Country'!$A$4:$A$40,'HDD-by Country'!$C$4:$C$40)/1000</f>
        <v>19878.824779781295</v>
      </c>
    </row>
    <row r="15" spans="1:40">
      <c r="A15" s="129"/>
      <c r="B15" s="142" t="s">
        <v>6</v>
      </c>
      <c r="C15" s="129" t="s">
        <v>261</v>
      </c>
      <c r="D15" s="345">
        <f>D9*24*LOOKUP(Detached!D$2,'HDD-by Country'!$A$4:$A$40,'HDD-by Country'!$C$4:$C$40)/1000</f>
        <v>19965.441003376072</v>
      </c>
      <c r="E15" s="349">
        <f>E9*24*LOOKUP(Detached!E$2,'HDD-by Country'!$A$4:$A$40,'HDD-by Country'!$C$4:$C$40)/1000</f>
        <v>35436.895477135564</v>
      </c>
      <c r="F15" s="349">
        <f>F9*24*LOOKUP(Detached!F$2,'HDD-by Country'!$A$4:$A$40,'HDD-by Country'!$C$4:$C$40)/1000</f>
        <v>15149.550313877475</v>
      </c>
      <c r="G15" s="349">
        <f>G9*24*LOOKUP(Detached!G$2,'HDD-by Country'!$A$4:$A$40,'HDD-by Country'!$C$4:$C$40)/1000</f>
        <v>19451.501279730132</v>
      </c>
      <c r="H15" s="349">
        <f>H9*24*LOOKUP(Detached!H$2,'HDD-by Country'!$A$4:$A$40,'HDD-by Country'!$C$4:$C$40)/1000</f>
        <v>12369.626891296295</v>
      </c>
      <c r="I15" s="349">
        <f>I9*24*LOOKUP(Detached!I$2,'HDD-by Country'!$A$4:$A$40,'HDD-by Country'!$C$4:$C$40)/1000</f>
        <v>18432.449447116243</v>
      </c>
      <c r="J15" s="349">
        <f>J9*24*LOOKUP(Detached!J$2,'HDD-by Country'!$A$4:$A$40,'HDD-by Country'!$C$4:$C$40)/1000</f>
        <v>12935.347466437919</v>
      </c>
      <c r="K15" s="349">
        <f>K9*24*LOOKUP(Detached!K$2,'HDD-by Country'!$A$4:$A$40,'HDD-by Country'!$C$4:$C$40)/1000</f>
        <v>15849.64151676272</v>
      </c>
      <c r="L15" s="349">
        <f>L9*24*LOOKUP(Detached!L$2,'HDD-by Country'!$A$4:$A$40,'HDD-by Country'!$C$4:$C$40)/1000</f>
        <v>14216.786254440123</v>
      </c>
      <c r="M15" s="349">
        <f>M9*24*LOOKUP(Detached!M$2,'HDD-by Country'!$A$4:$A$40,'HDD-by Country'!$C$4:$C$40)/1000</f>
        <v>21391.1639794068</v>
      </c>
      <c r="N15" s="349">
        <f>N9*24*LOOKUP(Detached!N$2,'HDD-by Country'!$A$4:$A$40,'HDD-by Country'!$C$4:$C$40)/1000</f>
        <v>22365.393941786977</v>
      </c>
      <c r="O15" s="349">
        <f>O9*24*LOOKUP(Detached!O$2,'HDD-by Country'!$A$4:$A$40,'HDD-by Country'!$C$4:$C$40)/1000</f>
        <v>11640.385465962647</v>
      </c>
      <c r="P15" s="349">
        <f>P9*24*LOOKUP(Detached!P$2,'HDD-by Country'!$A$4:$A$40,'HDD-by Country'!$C$4:$C$40)/1000</f>
        <v>30435.997808628552</v>
      </c>
      <c r="Q15" s="349">
        <f>Q9*24*LOOKUP(Detached!Q$2,'HDD-by Country'!$A$4:$A$40,'HDD-by Country'!$C$4:$C$40)/1000</f>
        <v>15392.752020993819</v>
      </c>
      <c r="R15" s="349">
        <f>R9*24*LOOKUP(Detached!R$2,'HDD-by Country'!$A$4:$A$40,'HDD-by Country'!$C$4:$C$40)/1000</f>
        <v>20272.487634583362</v>
      </c>
      <c r="S15" s="349">
        <f>S9*24*LOOKUP(Detached!S$2,'HDD-by Country'!$A$4:$A$40,'HDD-by Country'!$C$4:$C$40)/1000</f>
        <v>20002.296198517586</v>
      </c>
      <c r="T15" s="349">
        <f>T9*24*LOOKUP(Detached!T$2,'HDD-by Country'!$A$4:$A$40,'HDD-by Country'!$C$4:$C$40)/1000</f>
        <v>19023.965855441369</v>
      </c>
      <c r="U15" s="349">
        <f>U9*24*LOOKUP(Detached!U$2,'HDD-by Country'!$A$4:$A$40,'HDD-by Country'!$C$4:$C$40)/1000</f>
        <v>20151.068833906349</v>
      </c>
      <c r="V15" s="349">
        <f>V9*24*LOOKUP(Detached!V$2,'HDD-by Country'!$A$4:$A$40,'HDD-by Country'!$C$4:$C$40)/1000</f>
        <v>22800.799344249521</v>
      </c>
      <c r="W15" s="349">
        <f>W9*24*LOOKUP(Detached!W$2,'HDD-by Country'!$A$4:$A$40,'HDD-by Country'!$C$4:$C$40)/1000</f>
        <v>15220.141756284851</v>
      </c>
      <c r="X15" s="349">
        <f>X9*24*LOOKUP(Detached!X$2,'HDD-by Country'!$A$4:$A$40,'HDD-by Country'!$C$4:$C$40)/1000</f>
        <v>21106.795807626993</v>
      </c>
      <c r="Y15" s="349">
        <f>Y9*24*LOOKUP(Detached!Y$2,'HDD-by Country'!$A$4:$A$40,'HDD-by Country'!$C$4:$C$40)/1000</f>
        <v>8163.2329099281751</v>
      </c>
      <c r="Z15" s="349">
        <f>Z9*24*LOOKUP(Detached!Z$2,'HDD-by Country'!$A$4:$A$40,'HDD-by Country'!$C$4:$C$40)/1000</f>
        <v>19443.227869122606</v>
      </c>
      <c r="AA15" s="349">
        <f>AA9*24*LOOKUP(Detached!AA$2,'HDD-by Country'!$A$4:$A$40,'HDD-by Country'!$C$4:$C$40)/1000</f>
        <v>19182.163810547801</v>
      </c>
      <c r="AB15" s="349">
        <f>AB9*24*LOOKUP(Detached!AB$2,'HDD-by Country'!$A$4:$A$40,'HDD-by Country'!$C$4:$C$40)/1000</f>
        <v>24901.43960862765</v>
      </c>
      <c r="AC15" s="349">
        <f>AC9*24*LOOKUP(Detached!AC$2,'HDD-by Country'!$A$4:$A$40,'HDD-by Country'!$C$4:$C$40)/1000</f>
        <v>19241.871899935708</v>
      </c>
      <c r="AD15" s="349">
        <f>AD9*24*LOOKUP(Detached!AD$2,'HDD-by Country'!$A$4:$A$40,'HDD-by Country'!$C$4:$C$40)/1000</f>
        <v>27533.100042596659</v>
      </c>
      <c r="AE15" s="349">
        <f>AE9*24*LOOKUP(Detached!AE$2,'HDD-by Country'!$A$4:$A$40,'HDD-by Country'!$C$4:$C$40)/1000</f>
        <v>18495.873146408474</v>
      </c>
      <c r="AF15" s="349">
        <f>AF9*24*LOOKUP(Detached!AF$2,'HDD-by Country'!$A$4:$A$40,'HDD-by Country'!$C$4:$C$40)/1000</f>
        <v>17130.447835735715</v>
      </c>
      <c r="AG15" s="349">
        <f>AG9*24*LOOKUP(Detached!AG$2,'HDD-by Country'!$A$4:$A$40,'HDD-by Country'!$C$4:$C$40)/1000</f>
        <v>30626.86653973284</v>
      </c>
      <c r="AH15" s="349">
        <f>AH9*24*LOOKUP(Detached!AH$2,'HDD-by Country'!$A$4:$A$40,'HDD-by Country'!$C$4:$C$40)/1000</f>
        <v>14363.501509037245</v>
      </c>
      <c r="AI15" s="349">
        <f>AI9*24*LOOKUP(Detached!AI$2,'HDD-by Country'!$A$4:$A$40,'HDD-by Country'!$C$4:$C$40)/1000</f>
        <v>30435.997808628552</v>
      </c>
      <c r="AJ15" s="349">
        <f>AJ9*24*LOOKUP(Detached!AJ$2,'HDD-by Country'!$A$4:$A$40,'HDD-by Country'!$C$4:$C$40)/1000</f>
        <v>20249.748412571946</v>
      </c>
      <c r="AK15" s="349">
        <f>AK9*24*LOOKUP(Detached!AK$2,'HDD-by Country'!$A$4:$A$40,'HDD-by Country'!$C$4:$C$40)/1000</f>
        <v>21033.21467322126</v>
      </c>
      <c r="AL15" s="349">
        <f>AL9*24*LOOKUP(Detached!AL$2,'HDD-by Country'!$A$4:$A$40,'HDD-by Country'!$C$4:$C$40)/1000</f>
        <v>15722.945372149379</v>
      </c>
      <c r="AM15" s="349">
        <f>AM9*24*LOOKUP(Detached!AM$2,'HDD-by Country'!$A$4:$A$40,'HDD-by Country'!$C$4:$C$40)/1000</f>
        <v>18621.175217173448</v>
      </c>
      <c r="AN15" s="354">
        <f>AN9*24*LOOKUP(Detached!AN$2,'HDD-by Country'!$A$4:$A$40,'HDD-by Country'!$C$4:$C$40)/1000</f>
        <v>18621.175217173448</v>
      </c>
    </row>
    <row r="16" spans="1:40">
      <c r="A16" s="130"/>
      <c r="B16" s="142" t="s">
        <v>7</v>
      </c>
      <c r="C16" s="129" t="s">
        <v>261</v>
      </c>
      <c r="D16" s="345">
        <f>D10*24*LOOKUP(Detached!D$2,'HDD-by Country'!$A$4:$A$40,'HDD-by Country'!$C$4:$C$40)/1000</f>
        <v>17989.139368913464</v>
      </c>
      <c r="E16" s="349">
        <f>E10*24*LOOKUP(Detached!E$2,'HDD-by Country'!$A$4:$A$40,'HDD-by Country'!$C$4:$C$40)/1000</f>
        <v>20783.521192078955</v>
      </c>
      <c r="F16" s="349">
        <f>F10*24*LOOKUP(Detached!F$2,'HDD-by Country'!$A$4:$A$40,'HDD-by Country'!$C$4:$C$40)/1000</f>
        <v>10702.225082081555</v>
      </c>
      <c r="G16" s="349">
        <f>G10*24*LOOKUP(Detached!G$2,'HDD-by Country'!$A$4:$A$40,'HDD-by Country'!$C$4:$C$40)/1000</f>
        <v>17526.072546882118</v>
      </c>
      <c r="H16" s="349">
        <f>H10*24*LOOKUP(Detached!H$2,'HDD-by Country'!$A$4:$A$40,'HDD-by Country'!$C$4:$C$40)/1000</f>
        <v>10090.471920698439</v>
      </c>
      <c r="I16" s="349">
        <f>I10*24*LOOKUP(Detached!I$2,'HDD-by Country'!$A$4:$A$40,'HDD-by Country'!$C$4:$C$40)/1000</f>
        <v>15846.320048209664</v>
      </c>
      <c r="J16" s="349">
        <f>J10*24*LOOKUP(Detached!J$2,'HDD-by Country'!$A$4:$A$40,'HDD-by Country'!$C$4:$C$40)/1000</f>
        <v>13896.683281415702</v>
      </c>
      <c r="K16" s="349">
        <f>K10*24*LOOKUP(Detached!K$2,'HDD-by Country'!$A$4:$A$40,'HDD-by Country'!$C$4:$C$40)/1000</f>
        <v>12839.077143756236</v>
      </c>
      <c r="L16" s="349">
        <f>L10*24*LOOKUP(Detached!L$2,'HDD-by Country'!$A$4:$A$40,'HDD-by Country'!$C$4:$C$40)/1000</f>
        <v>14216.786254440123</v>
      </c>
      <c r="M16" s="349">
        <f>M10*24*LOOKUP(Detached!M$2,'HDD-by Country'!$A$4:$A$40,'HDD-by Country'!$C$4:$C$40)/1000</f>
        <v>13580.586623282699</v>
      </c>
      <c r="N16" s="349">
        <f>N10*24*LOOKUP(Detached!N$2,'HDD-by Country'!$A$4:$A$40,'HDD-by Country'!$C$4:$C$40)/1000</f>
        <v>21165.232276302188</v>
      </c>
      <c r="O16" s="349">
        <f>O10*24*LOOKUP(Detached!O$2,'HDD-by Country'!$A$4:$A$40,'HDD-by Country'!$C$4:$C$40)/1000</f>
        <v>11381.41058499533</v>
      </c>
      <c r="P16" s="349">
        <f>P10*24*LOOKUP(Detached!P$2,'HDD-by Country'!$A$4:$A$40,'HDD-by Country'!$C$4:$C$40)/1000</f>
        <v>10042.817126959206</v>
      </c>
      <c r="Q16" s="349">
        <f>Q10*24*LOOKUP(Detached!Q$2,'HDD-by Country'!$A$4:$A$40,'HDD-by Country'!$C$4:$C$40)/1000</f>
        <v>10382.733777809084</v>
      </c>
      <c r="R16" s="349">
        <f>R10*24*LOOKUP(Detached!R$2,'HDD-by Country'!$A$4:$A$40,'HDD-by Country'!$C$4:$C$40)/1000</f>
        <v>13727.67798513643</v>
      </c>
      <c r="S16" s="349">
        <f>S10*24*LOOKUP(Detached!S$2,'HDD-by Country'!$A$4:$A$40,'HDD-by Country'!$C$4:$C$40)/1000</f>
        <v>12971.604566384649</v>
      </c>
      <c r="T16" s="349">
        <f>T10*24*LOOKUP(Detached!T$2,'HDD-by Country'!$A$4:$A$40,'HDD-by Country'!$C$4:$C$40)/1000</f>
        <v>18003.110394338411</v>
      </c>
      <c r="U16" s="349">
        <f>U10*24*LOOKUP(Detached!U$2,'HDD-by Country'!$A$4:$A$40,'HDD-by Country'!$C$4:$C$40)/1000</f>
        <v>20151.068833906349</v>
      </c>
      <c r="V16" s="349">
        <f>V10*24*LOOKUP(Detached!V$2,'HDD-by Country'!$A$4:$A$40,'HDD-by Country'!$C$4:$C$40)/1000</f>
        <v>14338.603557202225</v>
      </c>
      <c r="W16" s="349">
        <f>W10*24*LOOKUP(Detached!W$2,'HDD-by Country'!$A$4:$A$40,'HDD-by Country'!$C$4:$C$40)/1000</f>
        <v>13095.219055409105</v>
      </c>
      <c r="X16" s="349">
        <f>X10*24*LOOKUP(Detached!X$2,'HDD-by Country'!$A$4:$A$40,'HDD-by Country'!$C$4:$C$40)/1000</f>
        <v>14259.011690745718</v>
      </c>
      <c r="Y16" s="349">
        <f>Y10*24*LOOKUP(Detached!Y$2,'HDD-by Country'!$A$4:$A$40,'HDD-by Country'!$C$4:$C$40)/1000</f>
        <v>7731.9568855137586</v>
      </c>
      <c r="Z16" s="349">
        <f>Z10*24*LOOKUP(Detached!Z$2,'HDD-by Country'!$A$4:$A$40,'HDD-by Country'!$C$4:$C$40)/1000</f>
        <v>14698.374994623706</v>
      </c>
      <c r="AA16" s="349">
        <f>AA10*24*LOOKUP(Detached!AA$2,'HDD-by Country'!$A$4:$A$40,'HDD-by Country'!$C$4:$C$40)/1000</f>
        <v>19182.163810547801</v>
      </c>
      <c r="AB16" s="349">
        <f>AB10*24*LOOKUP(Detached!AB$2,'HDD-by Country'!$A$4:$A$40,'HDD-by Country'!$C$4:$C$40)/1000</f>
        <v>19369.484452040917</v>
      </c>
      <c r="AC16" s="349">
        <f>AC10*24*LOOKUP(Detached!AC$2,'HDD-by Country'!$A$4:$A$40,'HDD-by Country'!$C$4:$C$40)/1000</f>
        <v>12681.42184321373</v>
      </c>
      <c r="AD16" s="349">
        <f>AD10*24*LOOKUP(Detached!AD$2,'HDD-by Country'!$A$4:$A$40,'HDD-by Country'!$C$4:$C$40)/1000</f>
        <v>22860.657027139958</v>
      </c>
      <c r="AE16" s="349">
        <f>AE10*24*LOOKUP(Detached!AE$2,'HDD-by Country'!$A$4:$A$40,'HDD-by Country'!$C$4:$C$40)/1000</f>
        <v>18495.873146408474</v>
      </c>
      <c r="AF16" s="349">
        <f>AF10*24*LOOKUP(Detached!AF$2,'HDD-by Country'!$A$4:$A$40,'HDD-by Country'!$C$4:$C$40)/1000</f>
        <v>10960.563132025842</v>
      </c>
      <c r="AG16" s="349">
        <f>AG10*24*LOOKUP(Detached!AG$2,'HDD-by Country'!$A$4:$A$40,'HDD-by Country'!$C$4:$C$40)/1000</f>
        <v>19459.799636068765</v>
      </c>
      <c r="AH16" s="349">
        <f>AH10*24*LOOKUP(Detached!AH$2,'HDD-by Country'!$A$4:$A$40,'HDD-by Country'!$C$4:$C$40)/1000</f>
        <v>12532.872976807608</v>
      </c>
      <c r="AI16" s="349">
        <f>AI10*24*LOOKUP(Detached!AI$2,'HDD-by Country'!$A$4:$A$40,'HDD-by Country'!$C$4:$C$40)/1000</f>
        <v>10042.817126959206</v>
      </c>
      <c r="AJ16" s="349">
        <f>AJ10*24*LOOKUP(Detached!AJ$2,'HDD-by Country'!$A$4:$A$40,'HDD-by Country'!$C$4:$C$40)/1000</f>
        <v>17989.139193695974</v>
      </c>
      <c r="AK16" s="349">
        <f>AK10*24*LOOKUP(Detached!AK$2,'HDD-by Country'!$A$4:$A$40,'HDD-by Country'!$C$4:$C$40)/1000</f>
        <v>18585.190160489463</v>
      </c>
      <c r="AL16" s="349">
        <f>AL10*24*LOOKUP(Detached!AL$2,'HDD-by Country'!$A$4:$A$40,'HDD-by Country'!$C$4:$C$40)/1000</f>
        <v>11041.411443555577</v>
      </c>
      <c r="AM16" s="349">
        <f>AM10*24*LOOKUP(Detached!AM$2,'HDD-by Country'!$A$4:$A$40,'HDD-by Country'!$C$4:$C$40)/1000</f>
        <v>16542.374063470594</v>
      </c>
      <c r="AN16" s="354">
        <f>AN10*24*LOOKUP(Detached!AN$2,'HDD-by Country'!$A$4:$A$40,'HDD-by Country'!$C$4:$C$40)/1000</f>
        <v>16542.374063470594</v>
      </c>
    </row>
    <row r="17" spans="1:40">
      <c r="A17" s="151" t="s">
        <v>260</v>
      </c>
      <c r="B17" s="141" t="s">
        <v>2</v>
      </c>
      <c r="C17" s="360" t="s">
        <v>261</v>
      </c>
      <c r="D17" s="351">
        <f>D11/(1.355*(D5/Detached!D$17)^0.16)</f>
        <v>32510.746365443651</v>
      </c>
      <c r="E17" s="352">
        <f>E11/(1.355*(E5/Detached!E$17)^0.16)</f>
        <v>29516.361540687602</v>
      </c>
      <c r="F17" s="352">
        <f>F11/(1.355*(F5/Detached!F$17)^0.16)</f>
        <v>16486.422265481247</v>
      </c>
      <c r="G17" s="352">
        <f>G11/(1.355*(G5/Detached!G$17)^0.16)</f>
        <v>31673.872088549189</v>
      </c>
      <c r="H17" s="352">
        <f>H11/(1.355*(H5/Detached!H$17)^0.16)</f>
        <v>9582.2260912088768</v>
      </c>
      <c r="I17" s="352">
        <f>I11/(1.355*(I5/Detached!I$17)^0.16)</f>
        <v>23810.52527124908</v>
      </c>
      <c r="J17" s="352">
        <f>J11/(1.355*(J5/Detached!J$17)^0.16)</f>
        <v>31742.544286753156</v>
      </c>
      <c r="K17" s="352">
        <f>K11/(1.355*(K5/Detached!K$17)^0.16)</f>
        <v>22640.020993045822</v>
      </c>
      <c r="L17" s="352">
        <f>L11/(1.355*(L5/Detached!L$17)^0.16)</f>
        <v>17049.74882758857</v>
      </c>
      <c r="M17" s="352">
        <f>M11/(1.355*(M5/Detached!M$17)^0.16)</f>
        <v>23877.03104618096</v>
      </c>
      <c r="N17" s="352">
        <f>N11/(1.355*(N5/Detached!N$17)^0.16)</f>
        <v>26760.95069389743</v>
      </c>
      <c r="O17" s="352">
        <f>O11/(1.355*(O5/Detached!O$17)^0.16)</f>
        <v>32940.974275668312</v>
      </c>
      <c r="P17" s="352">
        <f>P11/(1.355*(P5/Detached!P$17)^0.16)</f>
        <v>20289.4862763895</v>
      </c>
      <c r="Q17" s="352">
        <f>Q11/(1.355*(Q5/Detached!Q$17)^0.16)</f>
        <v>14854.765664693179</v>
      </c>
      <c r="R17" s="352">
        <f>R11/(1.355*(R5/Detached!R$17)^0.16)</f>
        <v>22801.437240949665</v>
      </c>
      <c r="S17" s="352">
        <f>S11/(1.355*(S5/Detached!S$17)^0.16)</f>
        <v>30295.266433517831</v>
      </c>
      <c r="T17" s="352">
        <f>T11/(1.355*(T5/Detached!T$17)^0.16)</f>
        <v>22762.81891501429</v>
      </c>
      <c r="U17" s="352">
        <f>U11/(1.355*(U5/Detached!U$17)^0.16)</f>
        <v>21413.419783243411</v>
      </c>
      <c r="V17" s="352">
        <f>V11/(1.355*(V5/Detached!V$17)^0.16)</f>
        <v>25559.002730208387</v>
      </c>
      <c r="W17" s="352">
        <f>W11/(1.355*(W5/Detached!W$17)^0.16)</f>
        <v>22666.252382123097</v>
      </c>
      <c r="X17" s="352">
        <f>X11/(1.355*(X5/Detached!X$17)^0.16)</f>
        <v>27778.089075994601</v>
      </c>
      <c r="Y17" s="352">
        <f>Y11/(1.355*(Y5/Detached!Y$17)^0.16)</f>
        <v>7389.5921326665939</v>
      </c>
      <c r="Z17" s="352">
        <f>Z11/(1.355*(Z5/Detached!Z$17)^0.16)</f>
        <v>31978.10102074618</v>
      </c>
      <c r="AA17" s="352">
        <f>AA11/(1.355*(AA5/Detached!AA$17)^0.16)</f>
        <v>25118.019071167841</v>
      </c>
      <c r="AB17" s="352">
        <f>AB11/(1.355*(AB5/Detached!AB$17)^0.16)</f>
        <v>33062.398675833196</v>
      </c>
      <c r="AC17" s="352">
        <f>AC11/(1.355*(AC5/Detached!AC$17)^0.16)</f>
        <v>16662.841878968207</v>
      </c>
      <c r="AD17" s="352">
        <f>AD11/(1.355*(AD5/Detached!AD$17)^0.16)</f>
        <v>24256.184926870304</v>
      </c>
      <c r="AE17" s="352">
        <f>AE11/(1.355*(AE5/Detached!AE$17)^0.16)</f>
        <v>24219.358098377208</v>
      </c>
      <c r="AF17" s="352">
        <f>AF11/(1.355*(AF5/Detached!AF$17)^0.16)</f>
        <v>23142.493947703286</v>
      </c>
      <c r="AG17" s="352">
        <f>AG11/(1.355*(AG5/Detached!AG$17)^0.16)</f>
        <v>32278.544682876563</v>
      </c>
      <c r="AH17" s="352">
        <f>AH11/(1.355*(AH5/Detached!AH$17)^0.16)</f>
        <v>25528.363213134478</v>
      </c>
      <c r="AI17" s="352">
        <f>AI11/(1.355*(AI5/Detached!AI$17)^0.16)</f>
        <v>20289.4862763895</v>
      </c>
      <c r="AJ17" s="352">
        <f>AJ11/(1.355*(AJ5/Detached!AJ$17)^0.16)</f>
        <v>17660.776993771266</v>
      </c>
      <c r="AK17" s="352">
        <f>AK11/(1.355*(AK5/Detached!AK$17)^0.16)</f>
        <v>18920.664681761187</v>
      </c>
      <c r="AL17" s="352">
        <f>AL11/(1.355*(AL5/Detached!AL$17)^0.16)</f>
        <v>17347.561953321638</v>
      </c>
      <c r="AM17" s="352">
        <f>AM11/(1.355*(AM5/Detached!AM$17)^0.16)</f>
        <v>16240.420185579533</v>
      </c>
      <c r="AN17" s="353">
        <f>AN11/(1.355*(AN5/Detached!AN$17)^0.16)</f>
        <v>16240.420185579533</v>
      </c>
    </row>
    <row r="18" spans="1:40">
      <c r="A18" s="129"/>
      <c r="B18" s="142" t="s">
        <v>3</v>
      </c>
      <c r="C18" s="129" t="s">
        <v>261</v>
      </c>
      <c r="D18" s="345">
        <f>D12/(1.355*(D6/Detached!D$17)^0.16)</f>
        <v>30303.789463082067</v>
      </c>
      <c r="E18" s="349">
        <f>E12/(1.355*(E6/Detached!E$17)^0.16)</f>
        <v>29516.361540687602</v>
      </c>
      <c r="F18" s="349">
        <f>F12/(1.355*(F6/Detached!F$17)^0.16)</f>
        <v>16486.422265481247</v>
      </c>
      <c r="G18" s="349">
        <f>G12/(1.355*(G6/Detached!G$17)^0.16)</f>
        <v>29523.725492571841</v>
      </c>
      <c r="H18" s="349">
        <f>H12/(1.355*(H6/Detached!H$17)^0.16)</f>
        <v>9031.6622856504091</v>
      </c>
      <c r="I18" s="349">
        <f>I12/(1.355*(I6/Detached!I$17)^0.16)</f>
        <v>20401.961440768613</v>
      </c>
      <c r="J18" s="349">
        <f>J12/(1.355*(J6/Detached!J$17)^0.16)</f>
        <v>28425.583305137599</v>
      </c>
      <c r="K18" s="349">
        <f>K12/(1.355*(K6/Detached!K$17)^0.16)</f>
        <v>22072.174706745642</v>
      </c>
      <c r="L18" s="349">
        <f>L12/(1.355*(L6/Detached!L$17)^0.16)</f>
        <v>17049.74882758857</v>
      </c>
      <c r="M18" s="349">
        <f>M12/(1.355*(M6/Detached!M$17)^0.16)</f>
        <v>21543.129140506779</v>
      </c>
      <c r="N18" s="349">
        <f>N12/(1.355*(N6/Detached!N$17)^0.16)</f>
        <v>24863.867978086226</v>
      </c>
      <c r="O18" s="349">
        <f>O12/(1.355*(O6/Detached!O$17)^0.16)</f>
        <v>32940.974275668312</v>
      </c>
      <c r="P18" s="349">
        <f>P12/(1.355*(P6/Detached!P$17)^0.16)</f>
        <v>20289.4862763895</v>
      </c>
      <c r="Q18" s="349">
        <f>Q12/(1.355*(Q6/Detached!Q$17)^0.16)</f>
        <v>15697.93855550286</v>
      </c>
      <c r="R18" s="349">
        <f>R12/(1.355*(R6/Detached!R$17)^0.16)</f>
        <v>22801.437240949665</v>
      </c>
      <c r="S18" s="349">
        <f>S12/(1.355*(S6/Detached!S$17)^0.16)</f>
        <v>30713.761298748621</v>
      </c>
      <c r="T18" s="349">
        <f>T12/(1.355*(T6/Detached!T$17)^0.16)</f>
        <v>21149.163599821721</v>
      </c>
      <c r="U18" s="349">
        <f>U12/(1.355*(U6/Detached!U$17)^0.16)</f>
        <v>20295.058631513708</v>
      </c>
      <c r="V18" s="349">
        <f>V12/(1.355*(V6/Detached!V$17)^0.16)</f>
        <v>25559.002730208387</v>
      </c>
      <c r="W18" s="349">
        <f>W12/(1.355*(W6/Detached!W$17)^0.16)</f>
        <v>24046.185814810735</v>
      </c>
      <c r="X18" s="349">
        <f>X12/(1.355*(X6/Detached!X$17)^0.16)</f>
        <v>27778.089075994601</v>
      </c>
      <c r="Y18" s="349">
        <f>Y12/(1.355*(Y6/Detached!Y$17)^0.16)</f>
        <v>7379.6068588931967</v>
      </c>
      <c r="Z18" s="349">
        <f>Z12/(1.355*(Z6/Detached!Z$17)^0.16)</f>
        <v>26386.277360036587</v>
      </c>
      <c r="AA18" s="349">
        <f>AA12/(1.355*(AA6/Detached!AA$17)^0.16)</f>
        <v>25118.019071167841</v>
      </c>
      <c r="AB18" s="349">
        <f>AB12/(1.355*(AB6/Detached!AB$17)^0.16)</f>
        <v>25273.805190423667</v>
      </c>
      <c r="AC18" s="349">
        <f>AC12/(1.355*(AC6/Detached!AC$17)^0.16)</f>
        <v>15143.614998925961</v>
      </c>
      <c r="AD18" s="349">
        <f>AD12/(1.355*(AD6/Detached!AD$17)^0.16)</f>
        <v>22309.46372746972</v>
      </c>
      <c r="AE18" s="349">
        <f>AE12/(1.355*(AE6/Detached!AE$17)^0.16)</f>
        <v>24219.358098377208</v>
      </c>
      <c r="AF18" s="349">
        <f>AF12/(1.355*(AF6/Detached!AF$17)^0.16)</f>
        <v>23142.493947703286</v>
      </c>
      <c r="AG18" s="349">
        <f>AG12/(1.355*(AG6/Detached!AG$17)^0.16)</f>
        <v>27561.335646529289</v>
      </c>
      <c r="AH18" s="349">
        <f>AH12/(1.355*(AH6/Detached!AH$17)^0.16)</f>
        <v>26828.467746966529</v>
      </c>
      <c r="AI18" s="349">
        <f>AI12/(1.355*(AI6/Detached!AI$17)^0.16)</f>
        <v>20289.4862763895</v>
      </c>
      <c r="AJ18" s="349">
        <f>AJ12/(1.355*(AJ6/Detached!AJ$17)^0.16)</f>
        <v>17660.776993771266</v>
      </c>
      <c r="AK18" s="349">
        <f>AK12/(1.355*(AK6/Detached!AK$17)^0.16)</f>
        <v>18920.664681761187</v>
      </c>
      <c r="AL18" s="349">
        <f>AL12/(1.355*(AL6/Detached!AL$17)^0.16)</f>
        <v>17347.561953321638</v>
      </c>
      <c r="AM18" s="349">
        <f>AM12/(1.355*(AM6/Detached!AM$17)^0.16)</f>
        <v>16240.420185579533</v>
      </c>
      <c r="AN18" s="354">
        <f>AN12/(1.355*(AN6/Detached!AN$17)^0.16)</f>
        <v>16240.420185579533</v>
      </c>
    </row>
    <row r="19" spans="1:40">
      <c r="A19" s="129"/>
      <c r="B19" s="142" t="s">
        <v>4</v>
      </c>
      <c r="C19" s="129" t="s">
        <v>261</v>
      </c>
      <c r="D19" s="345">
        <f>D13/(1.355*(D7/Detached!D$17)^0.16)</f>
        <v>24741.76110342496</v>
      </c>
      <c r="E19" s="349">
        <f>E13/(1.355*(E7/Detached!E$17)^0.16)</f>
        <v>29516.361540687602</v>
      </c>
      <c r="F19" s="349">
        <f>F13/(1.355*(F7/Detached!F$17)^0.16)</f>
        <v>15644.854545136131</v>
      </c>
      <c r="G19" s="349">
        <f>G13/(1.355*(G7/Detached!G$17)^0.16)</f>
        <v>24104.871897628906</v>
      </c>
      <c r="H19" s="349">
        <f>H13/(1.355*(H7/Detached!H$17)^0.16)</f>
        <v>8474.6252642564559</v>
      </c>
      <c r="I19" s="349">
        <f>I13/(1.355*(I7/Detached!I$17)^0.16)</f>
        <v>20401.961440768613</v>
      </c>
      <c r="J19" s="349">
        <f>J13/(1.355*(J7/Detached!J$17)^0.16)</f>
        <v>18755.212283157907</v>
      </c>
      <c r="K19" s="349">
        <f>K13/(1.355*(K7/Detached!K$17)^0.16)</f>
        <v>15799.459845665673</v>
      </c>
      <c r="L19" s="349">
        <f>L13/(1.355*(L7/Detached!L$17)^0.16)</f>
        <v>14669.592278597762</v>
      </c>
      <c r="M19" s="349">
        <f>M13/(1.355*(M7/Detached!M$17)^0.16)</f>
        <v>21543.129140506779</v>
      </c>
      <c r="N19" s="349">
        <f>N13/(1.355*(N7/Detached!N$17)^0.16)</f>
        <v>21508.722462085105</v>
      </c>
      <c r="O19" s="349">
        <f>O13/(1.355*(O7/Detached!O$17)^0.16)</f>
        <v>16131.360478794066</v>
      </c>
      <c r="P19" s="349">
        <f>P13/(1.355*(P7/Detached!P$17)^0.16)</f>
        <v>20289.4862763895</v>
      </c>
      <c r="Q19" s="349">
        <f>Q13/(1.355*(Q7/Detached!Q$17)^0.16)</f>
        <v>14888.135604773412</v>
      </c>
      <c r="R19" s="349">
        <f>R13/(1.355*(R7/Detached!R$17)^0.16)</f>
        <v>20096.365803342997</v>
      </c>
      <c r="S19" s="349">
        <f>S13/(1.355*(S7/Detached!S$17)^0.16)</f>
        <v>26552.467285528131</v>
      </c>
      <c r="T19" s="349">
        <f>T13/(1.355*(T7/Detached!T$17)^0.16)</f>
        <v>18295.282559202649</v>
      </c>
      <c r="U19" s="349">
        <f>U13/(1.355*(U7/Detached!U$17)^0.16)</f>
        <v>19600.988072372635</v>
      </c>
      <c r="V19" s="349">
        <f>V13/(1.355*(V7/Detached!V$17)^0.16)</f>
        <v>18069.744051532576</v>
      </c>
      <c r="W19" s="349">
        <f>W13/(1.355*(W7/Detached!W$17)^0.16)</f>
        <v>14372.55781210482</v>
      </c>
      <c r="X19" s="349">
        <f>X13/(1.355*(X7/Detached!X$17)^0.16)</f>
        <v>25985.246445444136</v>
      </c>
      <c r="Y19" s="349">
        <f>Y13/(1.355*(Y7/Detached!Y$17)^0.16)</f>
        <v>6155.4746801310048</v>
      </c>
      <c r="Z19" s="349">
        <f>Z13/(1.355*(Z7/Detached!Z$17)^0.16)</f>
        <v>25586.798306452161</v>
      </c>
      <c r="AA19" s="349">
        <f>AA13/(1.355*(AA7/Detached!AA$17)^0.16)</f>
        <v>18670.943202711886</v>
      </c>
      <c r="AB19" s="349">
        <f>AB13/(1.355*(AB7/Detached!AB$17)^0.16)</f>
        <v>19065.52616308675</v>
      </c>
      <c r="AC19" s="349">
        <f>AC13/(1.355*(AC7/Detached!AC$17)^0.16)</f>
        <v>14875.312222441078</v>
      </c>
      <c r="AD19" s="349">
        <f>AD13/(1.355*(AD7/Detached!AD$17)^0.16)</f>
        <v>22309.46372746972</v>
      </c>
      <c r="AE19" s="349">
        <f>AE13/(1.355*(AE7/Detached!AE$17)^0.16)</f>
        <v>18002.942755147626</v>
      </c>
      <c r="AF19" s="349">
        <f>AF13/(1.355*(AF7/Detached!AF$17)^0.16)</f>
        <v>21758.550112785015</v>
      </c>
      <c r="AG19" s="349">
        <f>AG13/(1.355*(AG7/Detached!AG$17)^0.16)</f>
        <v>27561.335646529289</v>
      </c>
      <c r="AH19" s="349">
        <f>AH13/(1.355*(AH7/Detached!AH$17)^0.16)</f>
        <v>21534.142230461432</v>
      </c>
      <c r="AI19" s="349">
        <f>AI13/(1.355*(AI7/Detached!AI$17)^0.16)</f>
        <v>20289.4862763895</v>
      </c>
      <c r="AJ19" s="349">
        <f>AJ13/(1.355*(AJ7/Detached!AJ$17)^0.16)</f>
        <v>17660.776993771266</v>
      </c>
      <c r="AK19" s="349">
        <f>AK13/(1.355*(AK7/Detached!AK$17)^0.16)</f>
        <v>18920.664681761187</v>
      </c>
      <c r="AL19" s="349">
        <f>AL13/(1.355*(AL7/Detached!AL$17)^0.16)</f>
        <v>16450.30418757673</v>
      </c>
      <c r="AM19" s="349">
        <f>AM13/(1.355*(AM7/Detached!AM$17)^0.16)</f>
        <v>16240.420185579533</v>
      </c>
      <c r="AN19" s="354">
        <f>AN13/(1.355*(AN7/Detached!AN$17)^0.16)</f>
        <v>16240.420185579533</v>
      </c>
    </row>
    <row r="20" spans="1:40">
      <c r="A20" s="129"/>
      <c r="B20" s="142" t="s">
        <v>5</v>
      </c>
      <c r="C20" s="129" t="s">
        <v>261</v>
      </c>
      <c r="D20" s="345">
        <f>D14/(1.355*(D8/Detached!D$17)^0.16)</f>
        <v>18386.438006770943</v>
      </c>
      <c r="E20" s="349">
        <f>E14/(1.355*(E8/Detached!E$17)^0.16)</f>
        <v>25388.919288884172</v>
      </c>
      <c r="F20" s="349">
        <f>F14/(1.355*(F8/Detached!F$17)^0.16)</f>
        <v>13701.263981388111</v>
      </c>
      <c r="G20" s="349">
        <f>G14/(1.355*(G8/Detached!G$17)^0.16)</f>
        <v>17913.144135303981</v>
      </c>
      <c r="H20" s="349">
        <f>H14/(1.355*(H8/Detached!H$17)^0.16)</f>
        <v>8223.5997251246317</v>
      </c>
      <c r="I20" s="349">
        <f>I14/(1.355*(I8/Detached!I$17)^0.16)</f>
        <v>18436.489673289499</v>
      </c>
      <c r="J20" s="349">
        <f>J14/(1.355*(J8/Detached!J$17)^0.16)</f>
        <v>15522.82931962845</v>
      </c>
      <c r="K20" s="349">
        <f>K14/(1.355*(K8/Detached!K$17)^0.16)</f>
        <v>13678.777530444064</v>
      </c>
      <c r="L20" s="349">
        <f>L14/(1.355*(L8/Detached!L$17)^0.16)</f>
        <v>12990.698586992783</v>
      </c>
      <c r="M20" s="349">
        <f>M14/(1.355*(M8/Detached!M$17)^0.16)</f>
        <v>15410.422370660088</v>
      </c>
      <c r="N20" s="349">
        <f>N14/(1.355*(N8/Detached!N$17)^0.16)</f>
        <v>19009.625166641723</v>
      </c>
      <c r="O20" s="349">
        <f>O14/(1.355*(O8/Detached!O$17)^0.16)</f>
        <v>14220.946666742777</v>
      </c>
      <c r="P20" s="349">
        <f>P14/(1.355*(P8/Detached!P$17)^0.16)</f>
        <v>19767.768015583079</v>
      </c>
      <c r="Q20" s="349">
        <f>Q14/(1.355*(Q8/Detached!Q$17)^0.16)</f>
        <v>14888.135604773412</v>
      </c>
      <c r="R20" s="349">
        <f>R14/(1.355*(R8/Detached!R$17)^0.16)</f>
        <v>15421.224082476963</v>
      </c>
      <c r="S20" s="349">
        <f>S14/(1.355*(S8/Detached!S$17)^0.16)</f>
        <v>18424.168079630774</v>
      </c>
      <c r="T20" s="349">
        <f>T14/(1.355*(T8/Detached!T$17)^0.16)</f>
        <v>16169.554671659695</v>
      </c>
      <c r="U20" s="349">
        <f>U14/(1.355*(U8/Detached!U$17)^0.16)</f>
        <v>15938.379515520246</v>
      </c>
      <c r="V20" s="349">
        <f>V14/(1.355*(V8/Detached!V$17)^0.16)</f>
        <v>18069.744051532576</v>
      </c>
      <c r="W20" s="349">
        <f>W14/(1.355*(W8/Detached!W$17)^0.16)</f>
        <v>13298.227642518272</v>
      </c>
      <c r="X20" s="349">
        <f>X14/(1.355*(X8/Detached!X$17)^0.16)</f>
        <v>17247.869658049687</v>
      </c>
      <c r="Y20" s="349">
        <f>Y14/(1.355*(Y8/Detached!Y$17)^0.16)</f>
        <v>5661.6361494868133</v>
      </c>
      <c r="Z20" s="349">
        <f>Z14/(1.355*(Z8/Detached!Z$17)^0.16)</f>
        <v>16540.520282144065</v>
      </c>
      <c r="AA20" s="349">
        <f>AA14/(1.355*(AA8/Detached!AA$17)^0.16)</f>
        <v>18670.943202711886</v>
      </c>
      <c r="AB20" s="349">
        <f>AB14/(1.355*(AB8/Detached!AB$17)^0.16)</f>
        <v>19065.52616308675</v>
      </c>
      <c r="AC20" s="349">
        <f>AC14/(1.355*(AC8/Detached!AC$17)^0.16)</f>
        <v>14431.943460941086</v>
      </c>
      <c r="AD20" s="349">
        <f>AD14/(1.355*(AD8/Detached!AD$17)^0.16)</f>
        <v>19376.392003542143</v>
      </c>
      <c r="AE20" s="349">
        <f>AE14/(1.355*(AE8/Detached!AE$17)^0.16)</f>
        <v>18002.942755147626</v>
      </c>
      <c r="AF20" s="349">
        <f>AF14/(1.355*(AF8/Detached!AF$17)^0.16)</f>
        <v>17672.114076941198</v>
      </c>
      <c r="AG20" s="349">
        <f>AG14/(1.355*(AG8/Detached!AG$17)^0.16)</f>
        <v>24436.199698250752</v>
      </c>
      <c r="AH20" s="349">
        <f>AH14/(1.355*(AH8/Detached!AH$17)^0.16)</f>
        <v>13143.88949851836</v>
      </c>
      <c r="AI20" s="349">
        <f>AI14/(1.355*(AI8/Detached!AI$17)^0.16)</f>
        <v>19767.768015583079</v>
      </c>
      <c r="AJ20" s="349">
        <f>AJ14/(1.355*(AJ8/Detached!AJ$17)^0.16)</f>
        <v>15504.505172542982</v>
      </c>
      <c r="AK20" s="349">
        <f>AK14/(1.355*(AK8/Detached!AK$17)^0.16)</f>
        <v>16492.087534449045</v>
      </c>
      <c r="AL20" s="349">
        <f>AL14/(1.355*(AL8/Detached!AL$17)^0.16)</f>
        <v>14380.18710401614</v>
      </c>
      <c r="AM20" s="349">
        <f>AM14/(1.355*(AM8/Detached!AM$17)^0.16)</f>
        <v>14257.565160377482</v>
      </c>
      <c r="AN20" s="354">
        <f>AN14/(1.355*(AN8/Detached!AN$17)^0.16)</f>
        <v>14257.565160377482</v>
      </c>
    </row>
    <row r="21" spans="1:40">
      <c r="A21" s="129"/>
      <c r="B21" s="142" t="s">
        <v>6</v>
      </c>
      <c r="C21" s="129" t="s">
        <v>261</v>
      </c>
      <c r="D21" s="345">
        <f>D15/(1.355*(D9/Detached!D$17)^0.16)</f>
        <v>16370.066945541523</v>
      </c>
      <c r="E21" s="349">
        <f>E15/(1.355*(E9/Detached!E$17)^0.16)</f>
        <v>25388.919288884172</v>
      </c>
      <c r="F21" s="349">
        <f>F15/(1.355*(F9/Detached!F$17)^0.16)</f>
        <v>11207.791570921878</v>
      </c>
      <c r="G21" s="349">
        <f>G15/(1.355*(G9/Detached!G$17)^0.16)</f>
        <v>15948.677421481698</v>
      </c>
      <c r="H21" s="349">
        <f>H15/(1.355*(H9/Detached!H$17)^0.16)</f>
        <v>8223.5997251246317</v>
      </c>
      <c r="I21" s="349">
        <f>I15/(1.355*(I9/Detached!I$17)^0.16)</f>
        <v>14865.296503207046</v>
      </c>
      <c r="J21" s="349">
        <f>J15/(1.355*(J9/Detached!J$17)^0.16)</f>
        <v>10996.082747692903</v>
      </c>
      <c r="K21" s="349">
        <f>K15/(1.355*(K9/Detached!K$17)^0.16)</f>
        <v>13678.777530444064</v>
      </c>
      <c r="L21" s="349">
        <f>L15/(1.355*(L9/Detached!L$17)^0.16)</f>
        <v>12069.666879175553</v>
      </c>
      <c r="M21" s="349">
        <f>M15/(1.355*(M9/Detached!M$17)^0.16)</f>
        <v>15410.422370660088</v>
      </c>
      <c r="N21" s="349">
        <f>N15/(1.355*(N9/Detached!N$17)^0.16)</f>
        <v>18837.021184706642</v>
      </c>
      <c r="O21" s="349">
        <f>O15/(1.355*(O9/Detached!O$17)^0.16)</f>
        <v>9704.8798504036022</v>
      </c>
      <c r="P21" s="349">
        <f>P15/(1.355*(P9/Detached!P$17)^0.16)</f>
        <v>19767.768015583079</v>
      </c>
      <c r="Q21" s="349">
        <f>Q15/(1.355*(Q9/Detached!Q$17)^0.16)</f>
        <v>11437.259972567495</v>
      </c>
      <c r="R21" s="349">
        <f>R15/(1.355*(R9/Detached!R$17)^0.16)</f>
        <v>15421.224082476963</v>
      </c>
      <c r="S21" s="349">
        <f>S15/(1.355*(S9/Detached!S$17)^0.16)</f>
        <v>15816.049976727936</v>
      </c>
      <c r="T21" s="349">
        <f>T15/(1.355*(T9/Detached!T$17)^0.16)</f>
        <v>16022.738019675258</v>
      </c>
      <c r="U21" s="349">
        <f>U15/(1.355*(U9/Detached!U$17)^0.16)</f>
        <v>14788.796035771315</v>
      </c>
      <c r="V21" s="349">
        <f>V15/(1.355*(V9/Detached!V$17)^0.16)</f>
        <v>18069.744051532576</v>
      </c>
      <c r="W21" s="349">
        <f>W15/(1.355*(W9/Detached!W$17)^0.16)</f>
        <v>12183.450644655501</v>
      </c>
      <c r="X21" s="349">
        <f>X15/(1.355*(X9/Detached!X$17)^0.16)</f>
        <v>17029.609466420385</v>
      </c>
      <c r="Y21" s="349">
        <f>Y15/(1.355*(Y9/Detached!Y$17)^0.16)</f>
        <v>5566.8933456710784</v>
      </c>
      <c r="Z21" s="349">
        <f>Z15/(1.355*(Z9/Detached!Z$17)^0.16)</f>
        <v>15375.327212997179</v>
      </c>
      <c r="AA21" s="349">
        <f>AA15/(1.355*(AA9/Detached!AA$17)^0.16)</f>
        <v>17139.204426626882</v>
      </c>
      <c r="AB21" s="349">
        <f>AB15/(1.355*(AB9/Detached!AB$17)^0.16)</f>
        <v>19065.52616308675</v>
      </c>
      <c r="AC21" s="349">
        <f>AC15/(1.355*(AC9/Detached!AC$17)^0.16)</f>
        <v>13400.311989674219</v>
      </c>
      <c r="AD21" s="349">
        <f>AD15/(1.355*(AD9/Detached!AD$17)^0.16)</f>
        <v>19376.392003542143</v>
      </c>
      <c r="AE21" s="349">
        <f>AE15/(1.355*(AE9/Detached!AE$17)^0.16)</f>
        <v>16526.005826878634</v>
      </c>
      <c r="AF21" s="349">
        <f>AF15/(1.355*(AF9/Detached!AF$17)^0.16)</f>
        <v>13535.178545337982</v>
      </c>
      <c r="AG21" s="349">
        <f>AG15/(1.355*(AG9/Detached!AG$17)^0.16)</f>
        <v>22514.021493837805</v>
      </c>
      <c r="AH21" s="349">
        <f>AH15/(1.355*(AH9/Detached!AH$17)^0.16)</f>
        <v>11421.456125868435</v>
      </c>
      <c r="AI21" s="349">
        <f>AI15/(1.355*(AI9/Detached!AI$17)^0.16)</f>
        <v>19767.768015583079</v>
      </c>
      <c r="AJ21" s="349">
        <f>AJ15/(1.355*(AJ9/Detached!AJ$17)^0.16)</f>
        <v>14676.269235411428</v>
      </c>
      <c r="AK21" s="349">
        <f>AK15/(1.355*(AK9/Detached!AK$17)^0.16)</f>
        <v>15562.238486909038</v>
      </c>
      <c r="AL21" s="349">
        <f>AL15/(1.355*(AL9/Detached!AL$17)^0.16)</f>
        <v>11708.079236802982</v>
      </c>
      <c r="AM21" s="349">
        <f>AM15/(1.355*(AM9/Detached!AM$17)^0.16)</f>
        <v>13495.939574110371</v>
      </c>
      <c r="AN21" s="354">
        <f>AN15/(1.355*(AN9/Detached!AN$17)^0.16)</f>
        <v>13495.939574110371</v>
      </c>
    </row>
    <row r="22" spans="1:40">
      <c r="A22" s="129"/>
      <c r="B22" s="142" t="s">
        <v>7</v>
      </c>
      <c r="C22" s="129" t="s">
        <v>261</v>
      </c>
      <c r="D22" s="345">
        <f>D16/(1.355*(D10/Detached!D$17)^0.16)</f>
        <v>14997.708138751916</v>
      </c>
      <c r="E22" s="349">
        <f>E16/(1.355*(E10/Detached!E$17)^0.16)</f>
        <v>16217.560331269502</v>
      </c>
      <c r="F22" s="349">
        <f>F16/(1.355*(F10/Detached!F$17)^0.16)</f>
        <v>8370.3282656001957</v>
      </c>
      <c r="G22" s="349">
        <f>G16/(1.355*(G10/Detached!G$17)^0.16)</f>
        <v>14611.645142455001</v>
      </c>
      <c r="H22" s="349">
        <f>H16/(1.355*(H10/Detached!H$17)^0.16)</f>
        <v>6930.5557436516601</v>
      </c>
      <c r="I22" s="349">
        <f>I16/(1.355*(I10/Detached!I$17)^0.16)</f>
        <v>13092.533332395653</v>
      </c>
      <c r="J22" s="349">
        <f>J16/(1.355*(J10/Detached!J$17)^0.16)</f>
        <v>11678.572742170516</v>
      </c>
      <c r="K22" s="349">
        <f>K16/(1.355*(K10/Detached!K$17)^0.16)</f>
        <v>11460.388822924388</v>
      </c>
      <c r="L22" s="349">
        <f>L16/(1.355*(L10/Detached!L$17)^0.16)</f>
        <v>12069.666879175553</v>
      </c>
      <c r="M22" s="349">
        <f>M16/(1.355*(M10/Detached!M$17)^0.16)</f>
        <v>10521.294985136032</v>
      </c>
      <c r="N22" s="349">
        <f>N16/(1.355*(N10/Detached!N$17)^0.16)</f>
        <v>17984.206271170922</v>
      </c>
      <c r="O22" s="349">
        <f>O16/(1.355*(O10/Detached!O$17)^0.16)</f>
        <v>9523.186625158889</v>
      </c>
      <c r="P22" s="349">
        <f>P16/(1.355*(P10/Detached!P$17)^0.16)</f>
        <v>7788.803807108804</v>
      </c>
      <c r="Q22" s="349">
        <f>Q16/(1.355*(Q10/Detached!Q$17)^0.16)</f>
        <v>8216.3355479350266</v>
      </c>
      <c r="R22" s="349">
        <f>R16/(1.355*(R10/Detached!R$17)^0.16)</f>
        <v>11114.718826306056</v>
      </c>
      <c r="S22" s="349">
        <f>S16/(1.355*(S10/Detached!S$17)^0.16)</f>
        <v>10992.732502010034</v>
      </c>
      <c r="T22" s="349">
        <f>T16/(1.355*(T10/Detached!T$17)^0.16)</f>
        <v>15297.335112025046</v>
      </c>
      <c r="U22" s="349">
        <f>U16/(1.355*(U10/Detached!U$17)^0.16)</f>
        <v>14788.796035771315</v>
      </c>
      <c r="V22" s="349">
        <f>V16/(1.355*(V10/Detached!V$17)^0.16)</f>
        <v>12238.824300337357</v>
      </c>
      <c r="W22" s="349">
        <f>W16/(1.355*(W10/Detached!W$17)^0.16)</f>
        <v>10737.750964363833</v>
      </c>
      <c r="X22" s="349">
        <f>X16/(1.355*(X10/Detached!X$17)^0.16)</f>
        <v>12249.689099858733</v>
      </c>
      <c r="Y22" s="349">
        <f>Y16/(1.355*(Y10/Detached!Y$17)^0.16)</f>
        <v>5318.7769627656389</v>
      </c>
      <c r="Z22" s="349">
        <f>Z16/(1.355*(Z10/Detached!Z$17)^0.16)</f>
        <v>12155.285701833966</v>
      </c>
      <c r="AA22" s="349">
        <f>AA16/(1.355*(AA10/Detached!AA$17)^0.16)</f>
        <v>17139.204426626882</v>
      </c>
      <c r="AB22" s="349">
        <f>AB16/(1.355*(AB10/Detached!AB$17)^0.16)</f>
        <v>15438.298166604423</v>
      </c>
      <c r="AC22" s="349">
        <f>AC16/(1.355*(AC10/Detached!AC$17)^0.16)</f>
        <v>9440.787870241742</v>
      </c>
      <c r="AD22" s="349">
        <f>AD16/(1.355*(AD10/Detached!AD$17)^0.16)</f>
        <v>16574.068603239102</v>
      </c>
      <c r="AE22" s="349">
        <f>AE16/(1.355*(AE10/Detached!AE$17)^0.16)</f>
        <v>16526.005826878634</v>
      </c>
      <c r="AF22" s="349">
        <f>AF16/(1.355*(AF10/Detached!AF$17)^0.16)</f>
        <v>9301.6046378987503</v>
      </c>
      <c r="AG22" s="349">
        <f>AG16/(1.355*(AG10/Detached!AG$17)^0.16)</f>
        <v>15381.657859048075</v>
      </c>
      <c r="AH22" s="349">
        <f>AH16/(1.355*(AH10/Detached!AH$17)^0.16)</f>
        <v>10185.570035216306</v>
      </c>
      <c r="AI22" s="349">
        <f>AI16/(1.355*(AI10/Detached!AI$17)^0.16)</f>
        <v>7788.803807108804</v>
      </c>
      <c r="AJ22" s="349">
        <f>AJ16/(1.355*(AJ10/Detached!AJ$17)^0.16)</f>
        <v>13287.151920938277</v>
      </c>
      <c r="AK22" s="349">
        <f>AK16/(1.355*(AK10/Detached!AK$17)^0.16)</f>
        <v>14025.927973899739</v>
      </c>
      <c r="AL22" s="349">
        <f>AL16/(1.355*(AL10/Detached!AL$17)^0.16)</f>
        <v>8700.3721778803774</v>
      </c>
      <c r="AM22" s="349">
        <f>AM16/(1.355*(AM10/Detached!AM$17)^0.16)</f>
        <v>12218.541140164663</v>
      </c>
      <c r="AN22" s="354">
        <f>AN16/(1.355*(AN10/Detached!AN$17)^0.16)</f>
        <v>12218.541140164663</v>
      </c>
    </row>
    <row r="23" spans="1:40">
      <c r="A23" s="334" t="s">
        <v>262</v>
      </c>
      <c r="B23" s="359" t="s">
        <v>2</v>
      </c>
      <c r="C23" s="366" t="s">
        <v>190</v>
      </c>
      <c r="D23" s="375">
        <f>D17/Detached!D$4</f>
        <v>217.04126253190844</v>
      </c>
      <c r="E23" s="376">
        <f>E17/Detached!E$4</f>
        <v>207.28843351459597</v>
      </c>
      <c r="F23" s="376">
        <f>F17/Detached!F$4</f>
        <v>207.35014568809191</v>
      </c>
      <c r="G23" s="376">
        <f>G17/Detached!G$4</f>
        <v>211.45430222051073</v>
      </c>
      <c r="H23" s="376">
        <f>H17/Detached!H$4</f>
        <v>83.77606309974766</v>
      </c>
      <c r="I23" s="376">
        <f>I17/Detached!I$4</f>
        <v>190.76420969226317</v>
      </c>
      <c r="J23" s="376">
        <f>J17/Detached!J$4</f>
        <v>236.51686189823101</v>
      </c>
      <c r="K23" s="376">
        <f>K17/Detached!K$4</f>
        <v>135.46759008553971</v>
      </c>
      <c r="L23" s="376">
        <f>L17/Detached!L$4</f>
        <v>159.92400475294173</v>
      </c>
      <c r="M23" s="376">
        <f>M17/Detached!M$4</f>
        <v>172.13597835114402</v>
      </c>
      <c r="N23" s="376">
        <f>N17/Detached!N$4</f>
        <v>220.70887170224685</v>
      </c>
      <c r="O23" s="376">
        <f>O17/Detached!O$4</f>
        <v>236.08325932016547</v>
      </c>
      <c r="P23" s="376">
        <f>P17/Detached!P$4</f>
        <v>177.38814200091895</v>
      </c>
      <c r="Q23" s="376">
        <f>Q17/Detached!Q$4</f>
        <v>172.82757886156435</v>
      </c>
      <c r="R23" s="376">
        <f>R17/Detached!R$4</f>
        <v>195.82742740182317</v>
      </c>
      <c r="S23" s="376">
        <f>S17/Detached!S$4</f>
        <v>205.9154071060247</v>
      </c>
      <c r="T23" s="376">
        <f>T17/Detached!T$4</f>
        <v>187.73458898980857</v>
      </c>
      <c r="U23" s="376">
        <f>U17/Detached!U$4</f>
        <v>156.15985256695285</v>
      </c>
      <c r="V23" s="376">
        <f>V17/Detached!V$4</f>
        <v>211.68569890910226</v>
      </c>
      <c r="W23" s="376">
        <f>W17/Detached!W$4</f>
        <v>207.12398260846911</v>
      </c>
      <c r="X23" s="376">
        <f>X17/Detached!X$4</f>
        <v>231.48407563328834</v>
      </c>
      <c r="Y23" s="376">
        <f>Y17/Detached!Y$4</f>
        <v>59.802074818965579</v>
      </c>
      <c r="Z23" s="376">
        <f>Z17/Detached!Z$4</f>
        <v>223.17400490095054</v>
      </c>
      <c r="AA23" s="376">
        <f>AA17/Detached!AA$4</f>
        <v>161.14206300669025</v>
      </c>
      <c r="AB23" s="376">
        <f>AB17/Detached!AB$4</f>
        <v>274.72494927067839</v>
      </c>
      <c r="AC23" s="376">
        <f>AC17/Detached!AC$4</f>
        <v>114.86275753071546</v>
      </c>
      <c r="AD23" s="376">
        <f>AD17/Detached!AD$4</f>
        <v>267.13057630202024</v>
      </c>
      <c r="AE23" s="376">
        <f>AE17/Detached!AE$4</f>
        <v>155.37679614035096</v>
      </c>
      <c r="AF23" s="376">
        <f>AF17/Detached!AF$4</f>
        <v>193.85843214834389</v>
      </c>
      <c r="AG23" s="376">
        <f>AG17/Detached!AG$4</f>
        <v>268.55248164643541</v>
      </c>
      <c r="AH23" s="376">
        <f>AH17/Detached!AH$4</f>
        <v>250.06355541211684</v>
      </c>
      <c r="AI23" s="376">
        <f>AI17/Detached!AI$4</f>
        <v>177.38814200091895</v>
      </c>
      <c r="AJ23" s="376">
        <f>AJ17/Detached!AJ$4</f>
        <v>205.47408135169317</v>
      </c>
      <c r="AK23" s="376">
        <f>AK17/Detached!AK$4</f>
        <v>165.42072616326868</v>
      </c>
      <c r="AL23" s="376">
        <f>AL17/Detached!AL$4</f>
        <v>201.82998501750475</v>
      </c>
      <c r="AM23" s="376">
        <f>AM17/Detached!AM$4</f>
        <v>188.94895845037632</v>
      </c>
      <c r="AN23" s="377">
        <f>AN17/Detached!AN$4</f>
        <v>188.94895845037632</v>
      </c>
    </row>
    <row r="24" spans="1:40">
      <c r="A24" s="154"/>
      <c r="B24" s="347" t="s">
        <v>3</v>
      </c>
      <c r="C24" s="367" t="s">
        <v>190</v>
      </c>
      <c r="D24" s="369">
        <f>D18/Detached!D$4</f>
        <v>202.30765084985836</v>
      </c>
      <c r="E24" s="370">
        <f>E18/Detached!E$4</f>
        <v>207.28843351459597</v>
      </c>
      <c r="F24" s="370">
        <f>F18/Detached!F$4</f>
        <v>207.35014568809191</v>
      </c>
      <c r="G24" s="370">
        <f>G18/Detached!G$4</f>
        <v>197.09995530475848</v>
      </c>
      <c r="H24" s="370">
        <f>H18/Detached!H$4</f>
        <v>78.962560717746939</v>
      </c>
      <c r="I24" s="370">
        <f>I18/Detached!I$4</f>
        <v>163.45561494688025</v>
      </c>
      <c r="J24" s="370">
        <f>J18/Detached!J$4</f>
        <v>211.80185495601864</v>
      </c>
      <c r="K24" s="370">
        <f>K18/Detached!K$4</f>
        <v>132.06985613609959</v>
      </c>
      <c r="L24" s="370">
        <f>L18/Detached!L$4</f>
        <v>159.92400475294173</v>
      </c>
      <c r="M24" s="370">
        <f>M18/Detached!M$4</f>
        <v>155.31024791875498</v>
      </c>
      <c r="N24" s="370">
        <f>N18/Detached!N$4</f>
        <v>205.06282868524721</v>
      </c>
      <c r="O24" s="370">
        <f>O18/Detached!O$4</f>
        <v>236.08325932016547</v>
      </c>
      <c r="P24" s="370">
        <f>P18/Detached!P$4</f>
        <v>177.38814200091895</v>
      </c>
      <c r="Q24" s="370">
        <f>Q18/Detached!Q$4</f>
        <v>182.63746294655527</v>
      </c>
      <c r="R24" s="370">
        <f>R18/Detached!R$4</f>
        <v>195.82742740182317</v>
      </c>
      <c r="S24" s="370">
        <f>S18/Detached!S$4</f>
        <v>208.75989572390455</v>
      </c>
      <c r="T24" s="370">
        <f>T18/Detached!T$4</f>
        <v>174.42609154492141</v>
      </c>
      <c r="U24" s="370">
        <f>U18/Detached!U$4</f>
        <v>148.00407388524127</v>
      </c>
      <c r="V24" s="370">
        <f>V18/Detached!V$4</f>
        <v>211.68569890910226</v>
      </c>
      <c r="W24" s="370">
        <f>W18/Detached!W$4</f>
        <v>219.73380021282367</v>
      </c>
      <c r="X24" s="370">
        <f>X18/Detached!X$4</f>
        <v>231.48407563328834</v>
      </c>
      <c r="Y24" s="370">
        <f>Y18/Detached!Y$4</f>
        <v>59.721266558027224</v>
      </c>
      <c r="Z24" s="370">
        <f>Z18/Detached!Z$4</f>
        <v>184.14887078648792</v>
      </c>
      <c r="AA24" s="370">
        <f>AA18/Detached!AA$4</f>
        <v>161.14206300669025</v>
      </c>
      <c r="AB24" s="370">
        <f>AB18/Detached!AB$4</f>
        <v>210.00729308522179</v>
      </c>
      <c r="AC24" s="370">
        <f>AC18/Detached!AC$4</f>
        <v>104.39019888652076</v>
      </c>
      <c r="AD24" s="370">
        <f>AD18/Detached!AD$4</f>
        <v>245.69155951256772</v>
      </c>
      <c r="AE24" s="370">
        <f>AE18/Detached!AE$4</f>
        <v>155.37679614035096</v>
      </c>
      <c r="AF24" s="370">
        <f>AF18/Detached!AF$4</f>
        <v>193.85843214834389</v>
      </c>
      <c r="AG24" s="370">
        <f>AG18/Detached!AG$4</f>
        <v>229.30603464574133</v>
      </c>
      <c r="AH24" s="370">
        <f>AH18/Detached!AH$4</f>
        <v>262.79875349055004</v>
      </c>
      <c r="AI24" s="370">
        <f>AI18/Detached!AI$4</f>
        <v>177.38814200091895</v>
      </c>
      <c r="AJ24" s="370">
        <f>AJ18/Detached!AJ$4</f>
        <v>205.47408135169317</v>
      </c>
      <c r="AK24" s="370">
        <f>AK18/Detached!AK$4</f>
        <v>165.42072616326868</v>
      </c>
      <c r="AL24" s="370">
        <f>AL18/Detached!AL$4</f>
        <v>201.82998501750475</v>
      </c>
      <c r="AM24" s="370">
        <f>AM18/Detached!AM$4</f>
        <v>188.94895845037632</v>
      </c>
      <c r="AN24" s="371">
        <f>AN18/Detached!AN$4</f>
        <v>188.94895845037632</v>
      </c>
    </row>
    <row r="25" spans="1:40">
      <c r="A25" s="154"/>
      <c r="B25" s="347" t="s">
        <v>4</v>
      </c>
      <c r="C25" s="367" t="s">
        <v>190</v>
      </c>
      <c r="D25" s="369">
        <f>D19/Detached!D$4</f>
        <v>165.17563167537995</v>
      </c>
      <c r="E25" s="370">
        <f>E19/Detached!E$4</f>
        <v>207.28843351459597</v>
      </c>
      <c r="F25" s="370">
        <f>F19/Detached!F$4</f>
        <v>196.76572739466289</v>
      </c>
      <c r="G25" s="370">
        <f>G19/Detached!G$4</f>
        <v>160.92376874473223</v>
      </c>
      <c r="H25" s="370">
        <f>H19/Detached!H$4</f>
        <v>74.09246391466597</v>
      </c>
      <c r="I25" s="370">
        <f>I19/Detached!I$4</f>
        <v>163.45561494688025</v>
      </c>
      <c r="J25" s="370">
        <f>J19/Detached!J$4</f>
        <v>139.74695643092701</v>
      </c>
      <c r="K25" s="370">
        <f>K19/Detached!K$4</f>
        <v>94.5367829209614</v>
      </c>
      <c r="L25" s="370">
        <f>L19/Detached!L$4</f>
        <v>137.5985047644831</v>
      </c>
      <c r="M25" s="370">
        <f>M19/Detached!M$4</f>
        <v>155.31024791875498</v>
      </c>
      <c r="N25" s="370">
        <f>N19/Detached!N$4</f>
        <v>177.3915254604957</v>
      </c>
      <c r="O25" s="370">
        <f>O19/Detached!O$4</f>
        <v>115.61115731525958</v>
      </c>
      <c r="P25" s="370">
        <f>P19/Detached!P$4</f>
        <v>177.38814200091895</v>
      </c>
      <c r="Q25" s="370">
        <f>Q19/Detached!Q$4</f>
        <v>173.21582099752274</v>
      </c>
      <c r="R25" s="370">
        <f>R19/Detached!R$4</f>
        <v>172.59524361591184</v>
      </c>
      <c r="S25" s="370">
        <f>S19/Detached!S$4</f>
        <v>180.47578894106607</v>
      </c>
      <c r="T25" s="370">
        <f>T19/Detached!T$4</f>
        <v>150.88892832332081</v>
      </c>
      <c r="U25" s="370">
        <f>U19/Detached!U$4</f>
        <v>142.94248366361083</v>
      </c>
      <c r="V25" s="370">
        <f>V19/Detached!V$4</f>
        <v>149.65788919989211</v>
      </c>
      <c r="W25" s="370">
        <f>W19/Detached!W$4</f>
        <v>131.33628639295932</v>
      </c>
      <c r="X25" s="370">
        <f>X19/Detached!X$4</f>
        <v>216.54372037870112</v>
      </c>
      <c r="Y25" s="370">
        <f>Y19/Detached!Y$4</f>
        <v>49.814678639727177</v>
      </c>
      <c r="Z25" s="370">
        <f>Z19/Detached!Z$4</f>
        <v>178.56933552555719</v>
      </c>
      <c r="AA25" s="370">
        <f>AA19/Detached!AA$4</f>
        <v>119.78151212645957</v>
      </c>
      <c r="AB25" s="370">
        <f>AB19/Detached!AB$4</f>
        <v>158.4209227929166</v>
      </c>
      <c r="AC25" s="370">
        <f>AC19/Detached!AC$4</f>
        <v>102.54069464324404</v>
      </c>
      <c r="AD25" s="370">
        <f>AD19/Detached!AD$4</f>
        <v>245.69155951256772</v>
      </c>
      <c r="AE25" s="370">
        <f>AE19/Detached!AE$4</f>
        <v>115.49602409076263</v>
      </c>
      <c r="AF25" s="370">
        <f>AF19/Detached!AF$4</f>
        <v>182.26550778051671</v>
      </c>
      <c r="AG25" s="370">
        <f>AG19/Detached!AG$4</f>
        <v>229.30603464574133</v>
      </c>
      <c r="AH25" s="370">
        <f>AH19/Detached!AH$4</f>
        <v>210.93808968249229</v>
      </c>
      <c r="AI25" s="370">
        <f>AI19/Detached!AI$4</f>
        <v>177.38814200091895</v>
      </c>
      <c r="AJ25" s="370">
        <f>AJ19/Detached!AJ$4</f>
        <v>205.47408135169317</v>
      </c>
      <c r="AK25" s="370">
        <f>AK19/Detached!AK$4</f>
        <v>165.42072616326868</v>
      </c>
      <c r="AL25" s="370">
        <f>AL19/Detached!AL$4</f>
        <v>191.39085115509712</v>
      </c>
      <c r="AM25" s="370">
        <f>AM19/Detached!AM$4</f>
        <v>188.94895845037632</v>
      </c>
      <c r="AN25" s="371">
        <f>AN19/Detached!AN$4</f>
        <v>188.94895845037632</v>
      </c>
    </row>
    <row r="26" spans="1:40">
      <c r="A26" s="154"/>
      <c r="B26" s="347" t="s">
        <v>5</v>
      </c>
      <c r="C26" s="367" t="s">
        <v>190</v>
      </c>
      <c r="D26" s="369">
        <f>D20/Detached!D$4</f>
        <v>122.74758855416313</v>
      </c>
      <c r="E26" s="370">
        <f>E20/Detached!E$4</f>
        <v>178.30210206520965</v>
      </c>
      <c r="F26" s="370">
        <f>F20/Detached!F$4</f>
        <v>172.32114020275594</v>
      </c>
      <c r="G26" s="370">
        <f>G20/Detached!G$4</f>
        <v>119.58788565909235</v>
      </c>
      <c r="H26" s="370">
        <f>H20/Detached!H$4</f>
        <v>71.897782719943422</v>
      </c>
      <c r="I26" s="370">
        <f>I20/Detached!I$4</f>
        <v>147.70872721028982</v>
      </c>
      <c r="J26" s="370">
        <f>J20/Detached!J$4</f>
        <v>115.66214873306585</v>
      </c>
      <c r="K26" s="370">
        <f>K20/Detached!K$4</f>
        <v>81.847584325768523</v>
      </c>
      <c r="L26" s="370">
        <f>L20/Detached!L$4</f>
        <v>121.85074182492235</v>
      </c>
      <c r="M26" s="370">
        <f>M20/Detached!M$4</f>
        <v>111.09790519798388</v>
      </c>
      <c r="N26" s="370">
        <f>N20/Detached!N$4</f>
        <v>156.78041374549875</v>
      </c>
      <c r="O26" s="370">
        <f>O20/Detached!O$4</f>
        <v>101.91949429324411</v>
      </c>
      <c r="P26" s="370">
        <f>P20/Detached!P$4</f>
        <v>172.82683218401655</v>
      </c>
      <c r="Q26" s="370">
        <f>Q20/Detached!Q$4</f>
        <v>173.21582099752274</v>
      </c>
      <c r="R26" s="370">
        <f>R20/Detached!R$4</f>
        <v>132.44334589729257</v>
      </c>
      <c r="S26" s="370">
        <f>S20/Detached!S$4</f>
        <v>125.228146748022</v>
      </c>
      <c r="T26" s="370">
        <f>T20/Detached!T$4</f>
        <v>133.35715193121396</v>
      </c>
      <c r="U26" s="370">
        <f>U20/Detached!U$4</f>
        <v>116.23248507216223</v>
      </c>
      <c r="V26" s="370">
        <f>V20/Detached!V$4</f>
        <v>149.65788919989211</v>
      </c>
      <c r="W26" s="370">
        <f>W20/Detached!W$4</f>
        <v>121.51906828341866</v>
      </c>
      <c r="X26" s="370">
        <f>X20/Detached!X$4</f>
        <v>143.73224715041405</v>
      </c>
      <c r="Y26" s="370">
        <f>Y20/Detached!Y$4</f>
        <v>45.818170005980036</v>
      </c>
      <c r="Z26" s="370">
        <f>Z20/Detached!Z$4</f>
        <v>115.43568994658695</v>
      </c>
      <c r="AA26" s="370">
        <f>AA20/Detached!AA$4</f>
        <v>119.78151212645957</v>
      </c>
      <c r="AB26" s="370">
        <f>AB20/Detached!AB$4</f>
        <v>158.4209227929166</v>
      </c>
      <c r="AC26" s="370">
        <f>AC20/Detached!AC$4</f>
        <v>99.48439974956527</v>
      </c>
      <c r="AD26" s="370">
        <f>AD20/Detached!AD$4</f>
        <v>213.38997777949064</v>
      </c>
      <c r="AE26" s="370">
        <f>AE20/Detached!AE$4</f>
        <v>115.49602409076263</v>
      </c>
      <c r="AF26" s="370">
        <f>AF20/Detached!AF$4</f>
        <v>148.0345348882544</v>
      </c>
      <c r="AG26" s="370">
        <f>AG20/Detached!AG$4</f>
        <v>203.30538862411606</v>
      </c>
      <c r="AH26" s="370">
        <f>AH20/Detached!AH$4</f>
        <v>128.75121340534696</v>
      </c>
      <c r="AI26" s="370">
        <f>AI20/Detached!AI$4</f>
        <v>172.82683218401655</v>
      </c>
      <c r="AJ26" s="370">
        <f>AJ20/Detached!AJ$4</f>
        <v>180.38696475610482</v>
      </c>
      <c r="AK26" s="370">
        <f>AK20/Detached!AK$4</f>
        <v>144.1880156845954</v>
      </c>
      <c r="AL26" s="370">
        <f>AL20/Detached!AL$4</f>
        <v>167.30610073980813</v>
      </c>
      <c r="AM26" s="370">
        <f>AM20/Detached!AM$4</f>
        <v>165.87945732363238</v>
      </c>
      <c r="AN26" s="371">
        <f>AN20/Detached!AN$4</f>
        <v>165.87945732363238</v>
      </c>
    </row>
    <row r="27" spans="1:40">
      <c r="A27" s="154"/>
      <c r="B27" s="347" t="s">
        <v>6</v>
      </c>
      <c r="C27" s="367" t="s">
        <v>190</v>
      </c>
      <c r="D27" s="369">
        <f>D21/Detached!D$4</f>
        <v>109.28632513244085</v>
      </c>
      <c r="E27" s="370">
        <f>E21/Detached!E$4</f>
        <v>178.30210206520965</v>
      </c>
      <c r="F27" s="370">
        <f>F21/Detached!F$4</f>
        <v>140.96067525446117</v>
      </c>
      <c r="G27" s="370">
        <f>G21/Detached!G$4</f>
        <v>106.47313489400086</v>
      </c>
      <c r="H27" s="370">
        <f>H21/Detached!H$4</f>
        <v>71.897782719943422</v>
      </c>
      <c r="I27" s="370">
        <f>I21/Detached!I$4</f>
        <v>119.09718525611902</v>
      </c>
      <c r="J27" s="370">
        <f>J21/Detached!J$4</f>
        <v>81.932908753724419</v>
      </c>
      <c r="K27" s="370">
        <f>K21/Detached!K$4</f>
        <v>81.847584325768523</v>
      </c>
      <c r="L27" s="370">
        <f>L21/Detached!L$4</f>
        <v>113.21160697853497</v>
      </c>
      <c r="M27" s="370">
        <f>M21/Detached!M$4</f>
        <v>111.09790519798388</v>
      </c>
      <c r="N27" s="370">
        <f>N21/Detached!N$4</f>
        <v>155.35687575015788</v>
      </c>
      <c r="O27" s="370">
        <f>O21/Detached!O$4</f>
        <v>69.553488224731595</v>
      </c>
      <c r="P27" s="370">
        <f>P21/Detached!P$4</f>
        <v>172.82683218401655</v>
      </c>
      <c r="Q27" s="370">
        <f>Q21/Detached!Q$4</f>
        <v>133.06665311909177</v>
      </c>
      <c r="R27" s="370">
        <f>R21/Detached!R$4</f>
        <v>132.44334589729257</v>
      </c>
      <c r="S27" s="370">
        <f>S21/Detached!S$4</f>
        <v>107.50089875968111</v>
      </c>
      <c r="T27" s="370">
        <f>T21/Detached!T$4</f>
        <v>132.14629294577531</v>
      </c>
      <c r="U27" s="370">
        <f>U21/Detached!U$4</f>
        <v>107.84901393452189</v>
      </c>
      <c r="V27" s="370">
        <f>V21/Detached!V$4</f>
        <v>149.65788919989211</v>
      </c>
      <c r="W27" s="370">
        <f>W21/Detached!W$4</f>
        <v>111.3322474704748</v>
      </c>
      <c r="X27" s="370">
        <f>X21/Detached!X$4</f>
        <v>141.91341222016987</v>
      </c>
      <c r="Y27" s="370">
        <f>Y21/Detached!Y$4</f>
        <v>45.051440781872969</v>
      </c>
      <c r="Z27" s="370">
        <f>Z21/Detached!Z$4</f>
        <v>107.30384986153511</v>
      </c>
      <c r="AA27" s="370">
        <f>AA21/Detached!AA$4</f>
        <v>109.95479985005217</v>
      </c>
      <c r="AB27" s="370">
        <f>AB21/Detached!AB$4</f>
        <v>158.4209227929166</v>
      </c>
      <c r="AC27" s="370">
        <f>AC21/Detached!AC$4</f>
        <v>92.373005642492416</v>
      </c>
      <c r="AD27" s="370">
        <f>AD21/Detached!AD$4</f>
        <v>213.38997777949064</v>
      </c>
      <c r="AE27" s="370">
        <f>AE21/Detached!AE$4</f>
        <v>106.02088742183567</v>
      </c>
      <c r="AF27" s="370">
        <f>AF21/Detached!AF$4</f>
        <v>113.38054133562929</v>
      </c>
      <c r="AG27" s="370">
        <f>AG21/Detached!AG$4</f>
        <v>187.31316431433709</v>
      </c>
      <c r="AH27" s="370">
        <f>AH21/Detached!AH$4</f>
        <v>111.87908535196213</v>
      </c>
      <c r="AI27" s="370">
        <f>AI21/Detached!AI$4</f>
        <v>172.82683218401655</v>
      </c>
      <c r="AJ27" s="370">
        <f>AJ21/Detached!AJ$4</f>
        <v>170.750864465354</v>
      </c>
      <c r="AK27" s="370">
        <f>AK21/Detached!AK$4</f>
        <v>136.05847545683773</v>
      </c>
      <c r="AL27" s="370">
        <f>AL21/Detached!AL$4</f>
        <v>136.21749634364264</v>
      </c>
      <c r="AM27" s="370">
        <f>AM21/Detached!AM$4</f>
        <v>157.01833429788027</v>
      </c>
      <c r="AN27" s="371">
        <f>AN21/Detached!AN$4</f>
        <v>157.01833429788027</v>
      </c>
    </row>
    <row r="28" spans="1:40">
      <c r="A28" s="155"/>
      <c r="B28" s="338" t="s">
        <v>7</v>
      </c>
      <c r="C28" s="368" t="s">
        <v>190</v>
      </c>
      <c r="D28" s="378">
        <f>D22/Detached!D$4</f>
        <v>100.12447800890018</v>
      </c>
      <c r="E28" s="379">
        <f>E22/Detached!E$4</f>
        <v>113.89319350433034</v>
      </c>
      <c r="F28" s="379">
        <f>F22/Detached!F$4</f>
        <v>105.2738282073046</v>
      </c>
      <c r="G28" s="379">
        <f>G22/Detached!G$4</f>
        <v>97.547127148010773</v>
      </c>
      <c r="H28" s="379">
        <f>H22/Detached!H$4</f>
        <v>60.592879960237994</v>
      </c>
      <c r="I28" s="379">
        <f>I22/Detached!I$4</f>
        <v>104.8942325115303</v>
      </c>
      <c r="J28" s="379">
        <f>J22/Detached!J$4</f>
        <v>87.018209740077623</v>
      </c>
      <c r="K28" s="379">
        <f>K22/Detached!K$4</f>
        <v>68.573755110991101</v>
      </c>
      <c r="L28" s="379">
        <f>L22/Detached!L$4</f>
        <v>113.21160697853497</v>
      </c>
      <c r="M28" s="379">
        <f>M22/Detached!M$4</f>
        <v>75.850862792970801</v>
      </c>
      <c r="N28" s="379">
        <f>N22/Detached!N$4</f>
        <v>148.32335069006947</v>
      </c>
      <c r="O28" s="379">
        <f>O22/Detached!O$4</f>
        <v>68.25131882156829</v>
      </c>
      <c r="P28" s="379">
        <f>P22/Detached!P$4</f>
        <v>68.09642279412985</v>
      </c>
      <c r="Q28" s="379">
        <f>Q22/Detached!Q$4</f>
        <v>95.592849588929894</v>
      </c>
      <c r="R28" s="379">
        <f>R22/Detached!R$4</f>
        <v>95.4574385399345</v>
      </c>
      <c r="S28" s="379">
        <f>S22/Detached!S$4</f>
        <v>74.717051699359615</v>
      </c>
      <c r="T28" s="379">
        <f>T22/Detached!T$4</f>
        <v>126.16358855278389</v>
      </c>
      <c r="U28" s="379">
        <f>U22/Detached!U$4</f>
        <v>107.84901393452189</v>
      </c>
      <c r="V28" s="379">
        <f>V22/Detached!V$4</f>
        <v>101.36483426955269</v>
      </c>
      <c r="W28" s="379">
        <f>W22/Detached!W$4</f>
        <v>98.121458567675461</v>
      </c>
      <c r="X28" s="379">
        <f>X22/Detached!X$4</f>
        <v>102.08074249882277</v>
      </c>
      <c r="Y28" s="379">
        <f>Y22/Detached!Y$4</f>
        <v>43.043498499276673</v>
      </c>
      <c r="Z28" s="379">
        <f>Z22/Detached!Z$4</f>
        <v>84.831297175327023</v>
      </c>
      <c r="AA28" s="379">
        <f>AA22/Detached!AA$4</f>
        <v>109.95479985005217</v>
      </c>
      <c r="AB28" s="379">
        <f>AB22/Detached!AB$4</f>
        <v>128.28124547860332</v>
      </c>
      <c r="AC28" s="379">
        <f>AC22/Detached!AC$4</f>
        <v>65.078630399008773</v>
      </c>
      <c r="AD28" s="379">
        <f>AD22/Detached!AD$4</f>
        <v>182.52831230470585</v>
      </c>
      <c r="AE28" s="379">
        <f>AE22/Detached!AE$4</f>
        <v>106.02088742183567</v>
      </c>
      <c r="AF28" s="379">
        <f>AF22/Detached!AF$4</f>
        <v>77.917034164149314</v>
      </c>
      <c r="AG28" s="379">
        <f>AG22/Detached!AG$4</f>
        <v>127.97300592288148</v>
      </c>
      <c r="AH28" s="379">
        <f>AH22/Detached!AH$4</f>
        <v>99.772940224966874</v>
      </c>
      <c r="AI28" s="379">
        <f>AI22/Detached!AI$4</f>
        <v>68.09642279412985</v>
      </c>
      <c r="AJ28" s="379">
        <f>AJ22/Detached!AJ$4</f>
        <v>154.58919704937514</v>
      </c>
      <c r="AK28" s="379">
        <f>AK22/Detached!AK$4</f>
        <v>122.62672742109133</v>
      </c>
      <c r="AL28" s="379">
        <f>AL22/Detached!AL$4</f>
        <v>101.22436749517307</v>
      </c>
      <c r="AM28" s="379">
        <f>AM22/Detached!AM$4</f>
        <v>142.15645875142744</v>
      </c>
      <c r="AN28" s="380">
        <f>AN22/Detached!AN$4</f>
        <v>142.15645875142744</v>
      </c>
    </row>
    <row r="29" spans="1:40">
      <c r="A29" s="334" t="s">
        <v>299</v>
      </c>
      <c r="B29" s="359" t="s">
        <v>2</v>
      </c>
      <c r="C29" s="366" t="s">
        <v>190</v>
      </c>
      <c r="D29" s="376">
        <f>Detached!D$47-D23</f>
        <v>-2.0783711194240482</v>
      </c>
      <c r="E29" s="376">
        <f>Detached!E$47-E23</f>
        <v>10.56504973057352</v>
      </c>
      <c r="F29" s="376">
        <f>Detached!F$47-F23</f>
        <v>-0.70268871680372058</v>
      </c>
      <c r="G29" s="376">
        <f>Detached!G$47-G23</f>
        <v>-2.0248707996179576</v>
      </c>
      <c r="H29" s="376">
        <f>Detached!H$47-H23</f>
        <v>0</v>
      </c>
      <c r="I29" s="376">
        <f>Detached!I$47-I23</f>
        <v>1.2748928615107502</v>
      </c>
      <c r="J29" s="376">
        <f>Detached!J$47-J23</f>
        <v>8.1525541709693528</v>
      </c>
      <c r="K29" s="376">
        <f>Detached!K$47-K23</f>
        <v>-1.606532933991474</v>
      </c>
      <c r="L29" s="376">
        <f>Detached!L$47-L23</f>
        <v>-19.784842580980779</v>
      </c>
      <c r="M29" s="376">
        <f>Detached!M$47-M23</f>
        <v>15.833394970218819</v>
      </c>
      <c r="N29" s="376">
        <f>Detached!N$47-N23</f>
        <v>-11.551748210192841</v>
      </c>
      <c r="O29" s="376">
        <f>Detached!O$47-O23</f>
        <v>10.619456487105225</v>
      </c>
      <c r="P29" s="376">
        <f>Detached!P$47-P23</f>
        <v>2.4076514397013398</v>
      </c>
      <c r="Q29" s="376">
        <f>Detached!Q$47-Q23</f>
        <v>21.693383894216367</v>
      </c>
      <c r="R29" s="376">
        <f>Detached!R$47-R23</f>
        <v>-2.1455998705063166</v>
      </c>
      <c r="S29" s="376">
        <f>Detached!S$47-S23</f>
        <v>12.03557249543627</v>
      </c>
      <c r="T29" s="376">
        <f>Detached!T$47-T23</f>
        <v>-9.8258972810118337</v>
      </c>
      <c r="U29" s="376">
        <f>Detached!U$47-U23</f>
        <v>17.06958297075019</v>
      </c>
      <c r="V29" s="376">
        <f>Detached!V$47-V23</f>
        <v>-8.2461317586060545</v>
      </c>
      <c r="W29" s="376">
        <f>Detached!W$47-W23</f>
        <v>22.113867545726748</v>
      </c>
      <c r="X29" s="376">
        <f>Detached!X$47-X23</f>
        <v>0</v>
      </c>
      <c r="Y29" s="376">
        <f>Detached!Y$47-Y23</f>
        <v>5.4439867674733762</v>
      </c>
      <c r="Z29" s="376">
        <f>Detached!Z$47-Z23</f>
        <v>9.1153478293626335</v>
      </c>
      <c r="AA29" s="376">
        <f>Detached!AA$47-AA23</f>
        <v>-2.9434175482420812</v>
      </c>
      <c r="AB29" s="376">
        <f>Detached!AB$47-AB23</f>
        <v>10.071315835106589</v>
      </c>
      <c r="AC29" s="376">
        <f>Detached!AC$47-AC23</f>
        <v>4.9788765324386759</v>
      </c>
      <c r="AD29" s="376">
        <f>Detached!AD$47-AD23</f>
        <v>-1.4059615244599968</v>
      </c>
      <c r="AE29" s="376">
        <f>Detached!AE$47-AE23</f>
        <v>-2.8381093043977614</v>
      </c>
      <c r="AF29" s="376">
        <f>Detached!AF$47-AF23</f>
        <v>-3.3156619837813821</v>
      </c>
      <c r="AG29" s="376">
        <f>Detached!AG$47-AG23</f>
        <v>11.875942651562468</v>
      </c>
      <c r="AH29" s="376">
        <f>Detached!AH$47-AH23</f>
        <v>15.457582288715457</v>
      </c>
      <c r="AI29" s="376">
        <f>Detached!AI$47-AI23</f>
        <v>2.4076514397013398</v>
      </c>
      <c r="AJ29" s="376">
        <f>Detached!AJ$47-AJ23</f>
        <v>4.3070713877473565</v>
      </c>
      <c r="AK29" s="376">
        <f>Detached!AK$47-AK23</f>
        <v>2.9295256513181016</v>
      </c>
      <c r="AL29" s="376">
        <f>Detached!AL$47-AL23</f>
        <v>-0.65336841116231881</v>
      </c>
      <c r="AM29" s="376">
        <f>Detached!AM$47-AM23</f>
        <v>3.9606778983152253</v>
      </c>
      <c r="AN29" s="377">
        <f>Detached!AN$47-AN23</f>
        <v>3.9606778983152253</v>
      </c>
    </row>
    <row r="30" spans="1:40">
      <c r="A30" s="154"/>
      <c r="B30" s="347" t="s">
        <v>3</v>
      </c>
      <c r="C30" s="367" t="s">
        <v>190</v>
      </c>
      <c r="D30" s="370">
        <f>Detached!D$48-D24</f>
        <v>-2.106556761758668</v>
      </c>
      <c r="E30" s="370">
        <f>Detached!E$48-E24</f>
        <v>10.56504973057352</v>
      </c>
      <c r="F30" s="370">
        <f>Detached!F$48-F24</f>
        <v>-0.70268871680372058</v>
      </c>
      <c r="G30" s="370">
        <f>Detached!G$48-G24</f>
        <v>-2.0523309021946261</v>
      </c>
      <c r="H30" s="370">
        <f>Detached!H$48-H24</f>
        <v>0</v>
      </c>
      <c r="I30" s="370">
        <f>Detached!I$48-I24</f>
        <v>1.3127999931191994</v>
      </c>
      <c r="J30" s="370">
        <f>Detached!J$48-J24</f>
        <v>-0.45707745169042369</v>
      </c>
      <c r="K30" s="370">
        <f>Detached!K$48-K24</f>
        <v>-2.0004021525102189</v>
      </c>
      <c r="L30" s="370">
        <f>Detached!L$48-L24</f>
        <v>-19.784842580980779</v>
      </c>
      <c r="M30" s="370">
        <f>Detached!M$48-M24</f>
        <v>16.129482550033799</v>
      </c>
      <c r="N30" s="370">
        <f>Detached!N$48-N24</f>
        <v>-11.72024052764408</v>
      </c>
      <c r="O30" s="370">
        <f>Detached!O$48-O24</f>
        <v>10.619456487105225</v>
      </c>
      <c r="P30" s="370">
        <f>Detached!P$48-P24</f>
        <v>2.4076514397013398</v>
      </c>
      <c r="Q30" s="370">
        <f>Detached!Q$48-Q24</f>
        <v>21.481465754874137</v>
      </c>
      <c r="R30" s="370">
        <f>Detached!R$48-R24</f>
        <v>-2.1455998705063166</v>
      </c>
      <c r="S30" s="370">
        <f>Detached!S$48-S24</f>
        <v>12.005200927828639</v>
      </c>
      <c r="T30" s="370">
        <f>Detached!T$48-T24</f>
        <v>-9.9692165582148391</v>
      </c>
      <c r="U30" s="370">
        <f>Detached!U$48-U24</f>
        <v>17.233944905681085</v>
      </c>
      <c r="V30" s="370">
        <f>Detached!V$48-V24</f>
        <v>-8.2461317586060545</v>
      </c>
      <c r="W30" s="370">
        <f>Detached!W$48-W24</f>
        <v>13.284064639050484</v>
      </c>
      <c r="X30" s="370">
        <f>Detached!X$48-X24</f>
        <v>-3.1641279163229967</v>
      </c>
      <c r="Y30" s="370">
        <f>Detached!Y$48-Y24</f>
        <v>5.4453177473558156</v>
      </c>
      <c r="Z30" s="370">
        <f>Detached!Z$48-Z24</f>
        <v>6.4055714867859024</v>
      </c>
      <c r="AA30" s="370">
        <f>Detached!AA$48-AA24</f>
        <v>-3.6477435432451273</v>
      </c>
      <c r="AB30" s="370">
        <f>Detached!AB$48-AB24</f>
        <v>-0.58208718312258156</v>
      </c>
      <c r="AC30" s="370">
        <f>Detached!AC$48-AC24</f>
        <v>5.4281975383294707</v>
      </c>
      <c r="AD30" s="370">
        <f>Detached!AD$48-AD24</f>
        <v>-2.8588349172559333</v>
      </c>
      <c r="AE30" s="370">
        <f>Detached!AE$48-AE24</f>
        <v>-3.5172362467988023</v>
      </c>
      <c r="AF30" s="370">
        <f>Detached!AF$48-AF24</f>
        <v>-3.3156619837813821</v>
      </c>
      <c r="AG30" s="370">
        <f>Detached!AG$48-AG24</f>
        <v>12.228466458291678</v>
      </c>
      <c r="AH30" s="370">
        <f>Detached!AH$48-AH24</f>
        <v>14.530988168984322</v>
      </c>
      <c r="AI30" s="370">
        <f>Detached!AI$48-AI24</f>
        <v>2.4076514397013398</v>
      </c>
      <c r="AJ30" s="370">
        <f>Detached!AJ$48-AJ24</f>
        <v>4.3070713877473565</v>
      </c>
      <c r="AK30" s="370">
        <f>Detached!AK$48-AK24</f>
        <v>2.9295256513181016</v>
      </c>
      <c r="AL30" s="370">
        <f>Detached!AL$48-AL24</f>
        <v>-0.65336841116231881</v>
      </c>
      <c r="AM30" s="370">
        <f>Detached!AM$48-AM24</f>
        <v>3.9606778983152253</v>
      </c>
      <c r="AN30" s="371">
        <f>Detached!AN$48-AN24</f>
        <v>3.9606778983152253</v>
      </c>
    </row>
    <row r="31" spans="1:40">
      <c r="A31" s="154"/>
      <c r="B31" s="347" t="s">
        <v>4</v>
      </c>
      <c r="C31" s="367" t="s">
        <v>190</v>
      </c>
      <c r="D31" s="370">
        <f>Detached!D$49-D25</f>
        <v>-4.3858443775648084</v>
      </c>
      <c r="E31" s="370">
        <f>Detached!E$49-E25</f>
        <v>10.56504973057352</v>
      </c>
      <c r="F31" s="370">
        <f>Detached!F$49-F25</f>
        <v>-0.70975145160639386</v>
      </c>
      <c r="G31" s="370">
        <f>Detached!G$49-G25</f>
        <v>-4.2729463130052068</v>
      </c>
      <c r="H31" s="370">
        <f>Detached!H$49-H25</f>
        <v>8.3855266347052293</v>
      </c>
      <c r="I31" s="370">
        <f>Detached!I$49-I25</f>
        <v>1.3127999931191994</v>
      </c>
      <c r="J31" s="370">
        <f>Detached!J$49-J25</f>
        <v>1.119963804836658</v>
      </c>
      <c r="K31" s="370">
        <f>Detached!K$49-K25</f>
        <v>-2.4542911572569324</v>
      </c>
      <c r="L31" s="370">
        <f>Detached!L$49-L25</f>
        <v>-20.412067894558632</v>
      </c>
      <c r="M31" s="370">
        <f>Detached!M$49-M25</f>
        <v>16.129482550033799</v>
      </c>
      <c r="N31" s="370">
        <f>Detached!N$49-N25</f>
        <v>-15.712096134659845</v>
      </c>
      <c r="O31" s="370">
        <f>Detached!O$49-O25</f>
        <v>6.4821152838560039</v>
      </c>
      <c r="P31" s="370">
        <f>Detached!P$49-P25</f>
        <v>2.4076514397013398</v>
      </c>
      <c r="Q31" s="370">
        <f>Detached!Q$49-Q25</f>
        <v>3.8627308195726187</v>
      </c>
      <c r="R31" s="370">
        <f>Detached!R$49-R25</f>
        <v>-2.1982116724167042</v>
      </c>
      <c r="S31" s="370">
        <f>Detached!S$49-S25</f>
        <v>12.330555815733334</v>
      </c>
      <c r="T31" s="370">
        <f>Detached!T$49-T25</f>
        <v>-13.364682113857668</v>
      </c>
      <c r="U31" s="370">
        <f>Detached!U$49-U25</f>
        <v>12.594632184636254</v>
      </c>
      <c r="V31" s="370">
        <f>Detached!V$49-V25</f>
        <v>-14.769569040755812</v>
      </c>
      <c r="W31" s="370">
        <f>Detached!W$49-W25</f>
        <v>4.1161149360693798</v>
      </c>
      <c r="X31" s="370">
        <f>Detached!X$49-X25</f>
        <v>-3.2049437438371342</v>
      </c>
      <c r="Y31" s="370">
        <f>Detached!Y$49-Y25</f>
        <v>5.6257689867281968</v>
      </c>
      <c r="Z31" s="370">
        <f>Detached!Z$49-Z25</f>
        <v>6.4424452612621792</v>
      </c>
      <c r="AA31" s="370">
        <f>Detached!AA$49-AA25</f>
        <v>-4.4449748768552269</v>
      </c>
      <c r="AB31" s="370">
        <f>Detached!AB$49-AB25</f>
        <v>-5.5842240109126919</v>
      </c>
      <c r="AC31" s="370">
        <f>Detached!AC$49-AC25</f>
        <v>5.4461530938034599</v>
      </c>
      <c r="AD31" s="370">
        <f>Detached!AD$49-AD25</f>
        <v>-2.8588349172559333</v>
      </c>
      <c r="AE31" s="370">
        <f>Detached!AE$49-AE25</f>
        <v>-4.2859446031880282</v>
      </c>
      <c r="AF31" s="370">
        <f>Detached!AF$49-AF25</f>
        <v>-6.722544157184501</v>
      </c>
      <c r="AG31" s="370">
        <f>Detached!AG$49-AG25</f>
        <v>12.228466458291678</v>
      </c>
      <c r="AH31" s="370">
        <f>Detached!AH$49-AH25</f>
        <v>11.008376601264928</v>
      </c>
      <c r="AI31" s="370">
        <f>Detached!AI$49-AI25</f>
        <v>2.4076514397013398</v>
      </c>
      <c r="AJ31" s="370">
        <f>Detached!AJ$49-AJ25</f>
        <v>4.3070713877473565</v>
      </c>
      <c r="AK31" s="370">
        <f>Detached!AK$49-AK25</f>
        <v>2.9295256513181016</v>
      </c>
      <c r="AL31" s="370">
        <f>Detached!AL$49-AL25</f>
        <v>-0.66002461816955815</v>
      </c>
      <c r="AM31" s="370">
        <f>Detached!AM$49-AM25</f>
        <v>3.9606778983152253</v>
      </c>
      <c r="AN31" s="371">
        <f>Detached!AN$49-AN25</f>
        <v>3.9606778983152253</v>
      </c>
    </row>
    <row r="32" spans="1:40">
      <c r="A32" s="154"/>
      <c r="B32" s="347" t="s">
        <v>5</v>
      </c>
      <c r="C32" s="367" t="s">
        <v>190</v>
      </c>
      <c r="D32" s="370">
        <f>Detached!D$50-D26</f>
        <v>-10.503311671750254</v>
      </c>
      <c r="E32" s="370">
        <f>Detached!E$50-E26</f>
        <v>7.8333444094663207</v>
      </c>
      <c r="F32" s="370">
        <f>Detached!F$50-F26</f>
        <v>-0.7279564369257514</v>
      </c>
      <c r="G32" s="370">
        <f>Detached!G$50-G26</f>
        <v>-10.232941029948066</v>
      </c>
      <c r="H32" s="370">
        <f>Detached!H$50-H26</f>
        <v>8.4306344983405097</v>
      </c>
      <c r="I32" s="370">
        <f>Detached!I$50-I26</f>
        <v>1.3382461580426082</v>
      </c>
      <c r="J32" s="370">
        <f>Detached!J$50-J26</f>
        <v>-1.5124078116301831</v>
      </c>
      <c r="K32" s="370">
        <f>Detached!K$50-K26</f>
        <v>-3.515520272995218</v>
      </c>
      <c r="L32" s="370">
        <f>Detached!L$50-L26</f>
        <v>-34.526095722301875</v>
      </c>
      <c r="M32" s="370">
        <f>Detached!M$50-M26</f>
        <v>3.4613699264343154</v>
      </c>
      <c r="N32" s="370">
        <f>Detached!N$50-N26</f>
        <v>-23.662233741080627</v>
      </c>
      <c r="O32" s="370">
        <f>Detached!O$50-O26</f>
        <v>2.8208064319862984</v>
      </c>
      <c r="P32" s="370">
        <f>Detached!P$50-P26</f>
        <v>2.4195301794628392</v>
      </c>
      <c r="Q32" s="370">
        <f>Detached!Q$50-Q26</f>
        <v>3.8627308195726187</v>
      </c>
      <c r="R32" s="370">
        <f>Detached!R$50-R26</f>
        <v>-2.3129777692809341</v>
      </c>
      <c r="S32" s="370">
        <f>Detached!S$50-S26</f>
        <v>5.4824931549945575</v>
      </c>
      <c r="T32" s="370">
        <f>Detached!T$50-T26</f>
        <v>-20.127055571900371</v>
      </c>
      <c r="U32" s="370">
        <f>Detached!U$50-U26</f>
        <v>3.7622691090506493</v>
      </c>
      <c r="V32" s="370">
        <f>Detached!V$50-V26</f>
        <v>-14.769569040755812</v>
      </c>
      <c r="W32" s="370">
        <f>Detached!W$50-W26</f>
        <v>-9.8541336894443248</v>
      </c>
      <c r="X32" s="370">
        <f>Detached!X$50-X26</f>
        <v>-15.740436633488628</v>
      </c>
      <c r="Y32" s="370">
        <f>Detached!Y$50-Y26</f>
        <v>5.710181505665247</v>
      </c>
      <c r="Z32" s="370">
        <f>Detached!Z$50-Z26</f>
        <v>6.2988785097683291</v>
      </c>
      <c r="AA32" s="370">
        <f>Detached!AA$50-AA26</f>
        <v>-6.1931656747570969</v>
      </c>
      <c r="AB32" s="370">
        <f>Detached!AB$50-AB26</f>
        <v>-5.5842240109126919</v>
      </c>
      <c r="AC32" s="370">
        <f>Detached!AC$50-AC26</f>
        <v>5.8398058277741143</v>
      </c>
      <c r="AD32" s="370">
        <f>Detached!AD$50-AD26</f>
        <v>-4.4087728016747576</v>
      </c>
      <c r="AE32" s="370">
        <f>Detached!AE$50-AE26</f>
        <v>-5.9715894320541167</v>
      </c>
      <c r="AF32" s="370">
        <f>Detached!AF$50-AF26</f>
        <v>-12.886759164819551</v>
      </c>
      <c r="AG32" s="370">
        <f>Detached!AG$50-AG26</f>
        <v>2.5119892596956106</v>
      </c>
      <c r="AH32" s="370">
        <f>Detached!AH$50-AH26</f>
        <v>10.889363542773111</v>
      </c>
      <c r="AI32" s="370">
        <f>Detached!AI$50-AI26</f>
        <v>2.4195301794628392</v>
      </c>
      <c r="AJ32" s="370">
        <f>Detached!AJ$50-AJ26</f>
        <v>4.4137819380140684</v>
      </c>
      <c r="AK32" s="370">
        <f>Detached!AK$50-AK26</f>
        <v>3.0063043021317242</v>
      </c>
      <c r="AL32" s="370">
        <f>Detached!AL$50-AL26</f>
        <v>-0.67719005276819644</v>
      </c>
      <c r="AM32" s="370">
        <f>Detached!AM$50-AM26</f>
        <v>4.0588063201381601</v>
      </c>
      <c r="AN32" s="371">
        <f>Detached!AN$50-AN26</f>
        <v>4.0588063201381601</v>
      </c>
    </row>
    <row r="33" spans="1:40">
      <c r="A33" s="154"/>
      <c r="B33" s="347" t="s">
        <v>6</v>
      </c>
      <c r="C33" s="367" t="s">
        <v>190</v>
      </c>
      <c r="D33" s="370">
        <f>Detached!D$51-D27</f>
        <v>-13.171443314851373</v>
      </c>
      <c r="E33" s="370">
        <f>Detached!E$51-E27</f>
        <v>7.8333444094663207</v>
      </c>
      <c r="F33" s="370">
        <f>Detached!F$51-F27</f>
        <v>-0.75643221812626393</v>
      </c>
      <c r="G33" s="370">
        <f>Detached!G$51-G27</f>
        <v>-12.832391052689573</v>
      </c>
      <c r="H33" s="370">
        <f>Detached!H$51-H27</f>
        <v>-3.0362723467264487</v>
      </c>
      <c r="I33" s="370">
        <f>Detached!I$51-I27</f>
        <v>-4.200652892402033</v>
      </c>
      <c r="J33" s="370">
        <f>Detached!J$51-J27</f>
        <v>-13.884023156617488</v>
      </c>
      <c r="K33" s="370">
        <f>Detached!K$51-K27</f>
        <v>-3.515520272995218</v>
      </c>
      <c r="L33" s="370">
        <f>Detached!L$51-L27</f>
        <v>-36.563195397270562</v>
      </c>
      <c r="M33" s="370">
        <f>Detached!M$51-M27</f>
        <v>3.4613699264343154</v>
      </c>
      <c r="N33" s="370">
        <f>Detached!N$51-N27</f>
        <v>-23.707569949566562</v>
      </c>
      <c r="O33" s="370">
        <f>Detached!O$51-O27</f>
        <v>-7.252591799420621</v>
      </c>
      <c r="P33" s="370">
        <f>Detached!P$51-P27</f>
        <v>2.4195301794628392</v>
      </c>
      <c r="Q33" s="370">
        <f>Detached!Q$51-Q27</f>
        <v>-4.082299004124792</v>
      </c>
      <c r="R33" s="370">
        <f>Detached!R$51-R27</f>
        <v>-2.3129777692809341</v>
      </c>
      <c r="S33" s="370">
        <f>Detached!S$51-S27</f>
        <v>5.6397032256888622</v>
      </c>
      <c r="T33" s="370">
        <f>Detached!T$51-T27</f>
        <v>-20.165618473340729</v>
      </c>
      <c r="U33" s="370">
        <f>Detached!U$51-U27</f>
        <v>3.8152300029297805</v>
      </c>
      <c r="V33" s="370">
        <f>Detached!V$51-V27</f>
        <v>-14.769569040755812</v>
      </c>
      <c r="W33" s="370">
        <f>Detached!W$51-W27</f>
        <v>-15.844693306522785</v>
      </c>
      <c r="X33" s="370">
        <f>Detached!X$51-X27</f>
        <v>-15.781401694476457</v>
      </c>
      <c r="Y33" s="370">
        <f>Detached!Y$51-Y27</f>
        <v>5.7273017882166428</v>
      </c>
      <c r="Z33" s="370">
        <f>Detached!Z$51-Z27</f>
        <v>1.720723994372733</v>
      </c>
      <c r="AA33" s="370">
        <f>Detached!AA$51-AA27</f>
        <v>-6.2984370502878164</v>
      </c>
      <c r="AB33" s="370">
        <f>Detached!AB$51-AB27</f>
        <v>-5.5842240109126919</v>
      </c>
      <c r="AC33" s="370">
        <f>Detached!AC$51-AC27</f>
        <v>5.5519936447561093</v>
      </c>
      <c r="AD33" s="370">
        <f>Detached!AD$51-AD27</f>
        <v>-4.4087728016747576</v>
      </c>
      <c r="AE33" s="370">
        <f>Detached!AE$51-AE27</f>
        <v>-6.0730944565651725</v>
      </c>
      <c r="AF33" s="370">
        <f>Detached!AF$51-AF27</f>
        <v>-13.603931060882744</v>
      </c>
      <c r="AG33" s="370">
        <f>Detached!AG$51-AG27</f>
        <v>2.5511921624324145</v>
      </c>
      <c r="AH33" s="370">
        <f>Detached!AH$51-AH27</f>
        <v>-8.9027912559683102</v>
      </c>
      <c r="AI33" s="370">
        <f>Detached!AI$51-AI27</f>
        <v>2.4195301794628392</v>
      </c>
      <c r="AJ33" s="370">
        <f>Detached!AJ$51-AJ27</f>
        <v>5.9411670106287318</v>
      </c>
      <c r="AK33" s="370">
        <f>Detached!AK$51-AK27</f>
        <v>4.04957543224765</v>
      </c>
      <c r="AL33" s="370">
        <f>Detached!AL$51-AL27</f>
        <v>-0.70430804802614944</v>
      </c>
      <c r="AM33" s="370">
        <f>Detached!AM$51-AM27</f>
        <v>5.463352415318127</v>
      </c>
      <c r="AN33" s="371">
        <f>Detached!AN$51-AN27</f>
        <v>5.463352415318127</v>
      </c>
    </row>
    <row r="34" spans="1:40">
      <c r="A34" s="155"/>
      <c r="B34" s="338" t="s">
        <v>7</v>
      </c>
      <c r="C34" s="368" t="s">
        <v>190</v>
      </c>
      <c r="D34" s="379">
        <f>Detached!D$52-D28</f>
        <v>-14.649801162847581</v>
      </c>
      <c r="E34" s="379">
        <f>Detached!E$52-E28</f>
        <v>-2.1933308100110196</v>
      </c>
      <c r="F34" s="379">
        <f>Detached!F$52-F28</f>
        <v>-7.6470804606651512</v>
      </c>
      <c r="G34" s="379">
        <f>Detached!G$52-G28</f>
        <v>-14.272693802192308</v>
      </c>
      <c r="H34" s="379">
        <f>Detached!H$52-H28</f>
        <v>0</v>
      </c>
      <c r="I34" s="379">
        <f>Detached!I$52-I28</f>
        <v>-14.494689158173571</v>
      </c>
      <c r="J34" s="379">
        <f>Detached!J$52-J28</f>
        <v>-13.708277629946764</v>
      </c>
      <c r="K34" s="379">
        <f>Detached!K$52-K28</f>
        <v>-11.384486320511584</v>
      </c>
      <c r="L34" s="379">
        <f>Detached!L$52-L28</f>
        <v>-36.563195397270562</v>
      </c>
      <c r="M34" s="379">
        <f>Detached!M$52-M28</f>
        <v>2.4812140298422918</v>
      </c>
      <c r="N34" s="379">
        <f>Detached!N$52-N28</f>
        <v>-30.382223188802413</v>
      </c>
      <c r="O34" s="379">
        <f>Detached!O$52-O28</f>
        <v>-7.9944893800587025</v>
      </c>
      <c r="P34" s="379">
        <f>Detached!P$52-P28</f>
        <v>2.8815454229937814</v>
      </c>
      <c r="Q34" s="379">
        <f>Detached!Q$52-Q28</f>
        <v>-13.184929687882942</v>
      </c>
      <c r="R34" s="379">
        <f>Detached!R$52-R28</f>
        <v>-14.980518354418152</v>
      </c>
      <c r="S34" s="379">
        <f>Detached!S$52-S28</f>
        <v>-1.702258109121658</v>
      </c>
      <c r="T34" s="379">
        <f>Detached!T$52-T28</f>
        <v>-25.843067108971084</v>
      </c>
      <c r="U34" s="379">
        <f>Detached!U$52-U28</f>
        <v>-2.557790105809147</v>
      </c>
      <c r="V34" s="379">
        <f>Detached!V$52-V28</f>
        <v>-19.273074224146427</v>
      </c>
      <c r="W34" s="379">
        <f>Detached!W$52-W28</f>
        <v>-20.81267776296724</v>
      </c>
      <c r="X34" s="379">
        <f>Detached!X$52-X28</f>
        <v>-20.353245263639366</v>
      </c>
      <c r="Y34" s="379">
        <f>Detached!Y$52-Y28</f>
        <v>5.7736951032628028</v>
      </c>
      <c r="Z34" s="379">
        <f>Detached!Z$52-Z28</f>
        <v>-7.0167449480141926</v>
      </c>
      <c r="AA34" s="379">
        <f>Detached!AA$52-AA28</f>
        <v>-19.720927792347013</v>
      </c>
      <c r="AB34" s="379">
        <f>Detached!AB$52-AB28</f>
        <v>-5.8190102990052139</v>
      </c>
      <c r="AC34" s="379">
        <f>Detached!AC$52-AC28</f>
        <v>1.7859014515260867</v>
      </c>
      <c r="AD34" s="379">
        <f>Detached!AD$52-AD28</f>
        <v>-19.854790308279945</v>
      </c>
      <c r="AE34" s="379">
        <f>Detached!AE$52-AE28</f>
        <v>-19.015361477424264</v>
      </c>
      <c r="AF34" s="379">
        <f>Detached!AF$52-AF28</f>
        <v>-18.842524558872299</v>
      </c>
      <c r="AG34" s="379">
        <f>Detached!AG$52-AG28</f>
        <v>-13.881548957818083</v>
      </c>
      <c r="AH34" s="379">
        <f>Detached!AH$52-AH28</f>
        <v>-13.337158406227218</v>
      </c>
      <c r="AI34" s="379">
        <f>Detached!AI$52-AI28</f>
        <v>2.8815454229937814</v>
      </c>
      <c r="AJ34" s="379">
        <f>Detached!AJ$52-AJ28</f>
        <v>-1.520088028120739</v>
      </c>
      <c r="AK34" s="379">
        <f>Detached!AK$52-AK28</f>
        <v>-1.0363770335008695</v>
      </c>
      <c r="AL34" s="379">
        <f>Detached!AL$52-AL28</f>
        <v>-7.1254517732757563</v>
      </c>
      <c r="AM34" s="379">
        <f>Detached!AM$52-AM28</f>
        <v>-1.3978359108694178</v>
      </c>
      <c r="AN34" s="380">
        <f>Detached!AN$52-AN28</f>
        <v>-1.3978359108694178</v>
      </c>
    </row>
    <row r="35" spans="1:40">
      <c r="A35" s="5"/>
      <c r="B35" s="5"/>
      <c r="C35" s="5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</row>
    <row r="36" spans="1:40">
      <c r="A36" s="5" t="s">
        <v>224</v>
      </c>
      <c r="B36" s="5"/>
      <c r="C36" s="5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</row>
    <row r="37" spans="1:40">
      <c r="A37" s="938" t="s">
        <v>123</v>
      </c>
      <c r="B37" s="939"/>
      <c r="C37" s="138" t="s">
        <v>76</v>
      </c>
      <c r="D37" s="194">
        <v>1</v>
      </c>
      <c r="E37" s="195">
        <v>1</v>
      </c>
      <c r="F37" s="195">
        <v>1</v>
      </c>
      <c r="G37" s="195">
        <v>1</v>
      </c>
      <c r="H37" s="195">
        <v>1</v>
      </c>
      <c r="I37" s="195">
        <v>1</v>
      </c>
      <c r="J37" s="195">
        <v>1</v>
      </c>
      <c r="K37" s="195">
        <v>1</v>
      </c>
      <c r="L37" s="195">
        <v>1</v>
      </c>
      <c r="M37" s="195">
        <v>1</v>
      </c>
      <c r="N37" s="195">
        <v>1</v>
      </c>
      <c r="O37" s="195">
        <v>1</v>
      </c>
      <c r="P37" s="195">
        <v>1</v>
      </c>
      <c r="Q37" s="195">
        <v>1</v>
      </c>
      <c r="R37" s="195">
        <v>1</v>
      </c>
      <c r="S37" s="195">
        <v>1</v>
      </c>
      <c r="T37" s="195">
        <v>1</v>
      </c>
      <c r="U37" s="195">
        <v>1</v>
      </c>
      <c r="V37" s="195">
        <v>1</v>
      </c>
      <c r="W37" s="195">
        <v>1</v>
      </c>
      <c r="X37" s="195">
        <v>1</v>
      </c>
      <c r="Y37" s="195">
        <v>1</v>
      </c>
      <c r="Z37" s="195">
        <v>1</v>
      </c>
      <c r="AA37" s="195">
        <v>1</v>
      </c>
      <c r="AB37" s="195">
        <v>1</v>
      </c>
      <c r="AC37" s="195">
        <v>1</v>
      </c>
      <c r="AD37" s="195">
        <v>1</v>
      </c>
      <c r="AE37" s="195">
        <v>1</v>
      </c>
      <c r="AF37" s="195">
        <v>1</v>
      </c>
      <c r="AG37" s="195">
        <v>1</v>
      </c>
      <c r="AH37" s="195">
        <v>1</v>
      </c>
      <c r="AI37" s="195">
        <v>1</v>
      </c>
      <c r="AJ37" s="195">
        <v>1</v>
      </c>
      <c r="AK37" s="195">
        <v>1</v>
      </c>
      <c r="AL37" s="195">
        <v>1</v>
      </c>
      <c r="AM37" s="195">
        <v>1</v>
      </c>
      <c r="AN37" s="196">
        <v>1</v>
      </c>
    </row>
    <row r="38" spans="1:40">
      <c r="A38" s="151" t="s">
        <v>193</v>
      </c>
      <c r="B38" s="141" t="s">
        <v>2</v>
      </c>
      <c r="C38" s="144" t="s">
        <v>195</v>
      </c>
      <c r="D38" s="170">
        <f>((LOOKUP(Detached!D$2,'Ceiling-U'!$A$4:$A$40,'Ceiling-U'!$E$4:$E$40)*Detached!D$14)+(LOOKUP(Detached!D$2,'Floor-U'!$A$4:$A$40,'Floor-U'!$E$4:$E$40)*Detached!D$15)+(LOOKUP(Detached!D$2,'Wall-U'!$A$4:$A$40,'Wall-U'!$E$4:$E$40)*Detached!D$12)+(LOOKUP(Detached!D$2,'Window-U'!$A$4:$A$40,'Window-U'!$R$4:$R$40)*Detached!D$21))*D37</f>
        <v>496.80153005625198</v>
      </c>
      <c r="E38" s="171">
        <f>((LOOKUP(Detached!E$2,'Ceiling-U'!$A$4:$A$40,'Ceiling-U'!$E$4:$E$40)*Detached!E$14)+(LOOKUP(Detached!E$2,'Floor-U'!$A$4:$A$40,'Floor-U'!$E$4:$E$40)*Detached!E$15)+(LOOKUP(Detached!E$2,'Wall-U'!$A$4:$A$40,'Wall-U'!$E$4:$E$40)*Detached!E$12)+(LOOKUP(Detached!E$2,'Window-U'!$A$4:$A$40,'Window-U'!$R$4:$R$40)*Detached!E$21))*E37</f>
        <v>585.09087407510015</v>
      </c>
      <c r="F38" s="171">
        <f>((LOOKUP(Detached!F$2,'Ceiling-U'!$A$4:$A$40,'Ceiling-U'!$E$4:$E$40)*Detached!F$14)+(LOOKUP(Detached!F$2,'Floor-U'!$A$4:$A$40,'Floor-U'!$E$4:$E$40)*Detached!F$15)+(LOOKUP(Detached!F$2,'Wall-U'!$A$4:$A$40,'Wall-U'!$E$4:$E$40)*Detached!F$12)+(LOOKUP(Detached!F$2,'Window-U'!$A$4:$A$40,'Window-U'!$R$4:$R$40)*Detached!F$21))*F37</f>
        <v>341.92230993026567</v>
      </c>
      <c r="G38" s="171">
        <f>((LOOKUP(Detached!G$2,'Ceiling-U'!$A$4:$A$40,'Ceiling-U'!$E$4:$E$40)*Detached!G$14)+(LOOKUP(Detached!G$2,'Floor-U'!$A$4:$A$40,'Floor-U'!$E$4:$E$40)*Detached!G$15)+(LOOKUP(Detached!G$2,'Wall-U'!$A$4:$A$40,'Wall-U'!$E$4:$E$40)*Detached!G$12)+(LOOKUP(Detached!G$2,'Window-U'!$A$4:$A$40,'Window-U'!$R$4:$R$40)*Detached!G$21))*G37</f>
        <v>496.80153005625198</v>
      </c>
      <c r="H38" s="171">
        <f>((LOOKUP(Detached!H$2,'Ceiling-U'!$A$4:$A$40,'Ceiling-U'!$E$4:$E$40)*Detached!H$14)+(LOOKUP(Detached!H$2,'Floor-U'!$A$4:$A$40,'Floor-U'!$E$4:$E$40)*Detached!H$15)+(LOOKUP(Detached!H$2,'Wall-U'!$A$4:$A$40,'Wall-U'!$E$4:$E$40)*Detached!H$12)+(LOOKUP(Detached!H$2,'Window-U'!$A$4:$A$40,'Window-U'!$R$4:$R$40)*Detached!H$21))*H37</f>
        <v>760.66319389240198</v>
      </c>
      <c r="I38" s="171">
        <f>((LOOKUP(Detached!I$2,'Ceiling-U'!$A$4:$A$40,'Ceiling-U'!$E$4:$E$40)*Detached!I$14)+(LOOKUP(Detached!I$2,'Floor-U'!$A$4:$A$40,'Floor-U'!$E$4:$E$40)*Detached!I$15)+(LOOKUP(Detached!I$2,'Wall-U'!$A$4:$A$40,'Wall-U'!$E$4:$E$40)*Detached!I$12)+(LOOKUP(Detached!I$2,'Window-U'!$A$4:$A$40,'Window-U'!$R$4:$R$40)*Detached!I$21))*I37</f>
        <v>346.83211875279051</v>
      </c>
      <c r="J38" s="171">
        <f>((LOOKUP(Detached!J$2,'Ceiling-U'!$A$4:$A$40,'Ceiling-U'!$E$4:$E$40)*Detached!J$14)+(LOOKUP(Detached!J$2,'Floor-U'!$A$4:$A$40,'Floor-U'!$E$4:$E$40)*Detached!J$15)+(LOOKUP(Detached!J$2,'Wall-U'!$A$4:$A$40,'Wall-U'!$E$4:$E$40)*Detached!J$12)+(LOOKUP(Detached!J$2,'Window-U'!$A$4:$A$40,'Window-U'!$R$4:$R$40)*Detached!J$21))*J37</f>
        <v>557.83520726505049</v>
      </c>
      <c r="K38" s="171">
        <f>((LOOKUP(Detached!K$2,'Ceiling-U'!$A$4:$A$40,'Ceiling-U'!$E$4:$E$40)*Detached!K$14)+(LOOKUP(Detached!K$2,'Floor-U'!$A$4:$A$40,'Floor-U'!$E$4:$E$40)*Detached!K$15)+(LOOKUP(Detached!K$2,'Wall-U'!$A$4:$A$40,'Wall-U'!$E$4:$E$40)*Detached!K$12)+(LOOKUP(Detached!K$2,'Window-U'!$A$4:$A$40,'Window-U'!$R$4:$R$40)*Detached!K$21))*K37</f>
        <v>313.4625743153311</v>
      </c>
      <c r="L38" s="171">
        <f>((LOOKUP(Detached!L$2,'Ceiling-U'!$A$4:$A$40,'Ceiling-U'!$E$4:$E$40)*Detached!L$14)+(LOOKUP(Detached!L$2,'Floor-U'!$A$4:$A$40,'Floor-U'!$E$4:$E$40)*Detached!L$15)+(LOOKUP(Detached!L$2,'Wall-U'!$A$4:$A$40,'Wall-U'!$E$4:$E$40)*Detached!L$12)+(LOOKUP(Detached!L$2,'Window-U'!$A$4:$A$40,'Window-U'!$R$4:$R$40)*Detached!L$21))*L37</f>
        <v>171.05592744097808</v>
      </c>
      <c r="M38" s="171">
        <f>((LOOKUP(Detached!M$2,'Ceiling-U'!$A$4:$A$40,'Ceiling-U'!$E$4:$E$40)*Detached!M$14)+(LOOKUP(Detached!M$2,'Floor-U'!$A$4:$A$40,'Floor-U'!$E$4:$E$40)*Detached!M$15)+(LOOKUP(Detached!M$2,'Wall-U'!$A$4:$A$40,'Wall-U'!$E$4:$E$40)*Detached!M$12)+(LOOKUP(Detached!M$2,'Window-U'!$A$4:$A$40,'Window-U'!$R$4:$R$40)*Detached!M$21))*M37</f>
        <v>784.93202533265776</v>
      </c>
      <c r="N38" s="171">
        <f>((LOOKUP(Detached!N$2,'Ceiling-U'!$A$4:$A$40,'Ceiling-U'!$E$4:$E$40)*Detached!N$14)+(LOOKUP(Detached!N$2,'Floor-U'!$A$4:$A$40,'Floor-U'!$E$4:$E$40)*Detached!N$15)+(LOOKUP(Detached!N$2,'Wall-U'!$A$4:$A$40,'Wall-U'!$E$4:$E$40)*Detached!N$12)+(LOOKUP(Detached!N$2,'Window-U'!$A$4:$A$40,'Window-U'!$R$4:$R$40)*Detached!N$21))*N37</f>
        <v>211.96042531726152</v>
      </c>
      <c r="O38" s="171">
        <f>((LOOKUP(Detached!O$2,'Ceiling-U'!$A$4:$A$40,'Ceiling-U'!$E$4:$E$40)*Detached!O$14)+(LOOKUP(Detached!O$2,'Floor-U'!$A$4:$A$40,'Floor-U'!$E$4:$E$40)*Detached!O$15)+(LOOKUP(Detached!O$2,'Wall-U'!$A$4:$A$40,'Wall-U'!$E$4:$E$40)*Detached!O$12)+(LOOKUP(Detached!O$2,'Window-U'!$A$4:$A$40,'Window-U'!$R$4:$R$40)*Detached!O$21))*O37</f>
        <v>806.79717721929364</v>
      </c>
      <c r="P38" s="171">
        <f>((LOOKUP(Detached!P$2,'Ceiling-U'!$A$4:$A$40,'Ceiling-U'!$E$4:$E$40)*Detached!P$14)+(LOOKUP(Detached!P$2,'Floor-U'!$A$4:$A$40,'Floor-U'!$E$4:$E$40)*Detached!P$15)+(LOOKUP(Detached!P$2,'Wall-U'!$A$4:$A$40,'Wall-U'!$E$4:$E$40)*Detached!P$12)+(LOOKUP(Detached!P$2,'Window-U'!$A$4:$A$40,'Window-U'!$R$4:$R$40)*Detached!P$21))*P37</f>
        <v>756.59721542084981</v>
      </c>
      <c r="Q38" s="171">
        <f>((LOOKUP(Detached!Q$2,'Ceiling-U'!$A$4:$A$40,'Ceiling-U'!$E$4:$E$40)*Detached!Q$14)+(LOOKUP(Detached!Q$2,'Floor-U'!$A$4:$A$40,'Floor-U'!$E$4:$E$40)*Detached!Q$15)+(LOOKUP(Detached!Q$2,'Wall-U'!$A$4:$A$40,'Wall-U'!$E$4:$E$40)*Detached!Q$12)+(LOOKUP(Detached!Q$2,'Window-U'!$A$4:$A$40,'Window-U'!$R$4:$R$40)*Detached!Q$21))*Q37</f>
        <v>307.39518007835937</v>
      </c>
      <c r="R38" s="171">
        <f>((LOOKUP(Detached!R$2,'Ceiling-U'!$A$4:$A$40,'Ceiling-U'!$E$4:$E$40)*Detached!R$14)+(LOOKUP(Detached!R$2,'Floor-U'!$A$4:$A$40,'Floor-U'!$E$4:$E$40)*Detached!R$15)+(LOOKUP(Detached!R$2,'Wall-U'!$A$4:$A$40,'Wall-U'!$E$4:$E$40)*Detached!R$12)+(LOOKUP(Detached!R$2,'Window-U'!$A$4:$A$40,'Window-U'!$R$4:$R$40)*Detached!R$21))*R37</f>
        <v>430.47927104864419</v>
      </c>
      <c r="S38" s="171">
        <f>((LOOKUP(Detached!S$2,'Ceiling-U'!$A$4:$A$40,'Ceiling-U'!$E$4:$E$40)*Detached!S$14)+(LOOKUP(Detached!S$2,'Floor-U'!$A$4:$A$40,'Floor-U'!$E$4:$E$40)*Detached!S$15)+(LOOKUP(Detached!S$2,'Wall-U'!$A$4:$A$40,'Wall-U'!$E$4:$E$40)*Detached!S$12)+(LOOKUP(Detached!S$2,'Window-U'!$A$4:$A$40,'Window-U'!$R$4:$R$40)*Detached!S$21))*S37</f>
        <v>591.75136822825107</v>
      </c>
      <c r="T38" s="171">
        <f>((LOOKUP(Detached!T$2,'Ceiling-U'!$A$4:$A$40,'Ceiling-U'!$E$4:$E$40)*Detached!T$14)+(LOOKUP(Detached!T$2,'Floor-U'!$A$4:$A$40,'Floor-U'!$E$4:$E$40)*Detached!T$15)+(LOOKUP(Detached!T$2,'Wall-U'!$A$4:$A$40,'Wall-U'!$E$4:$E$40)*Detached!T$12)+(LOOKUP(Detached!T$2,'Window-U'!$A$4:$A$40,'Window-U'!$R$4:$R$40)*Detached!T$21))*T37</f>
        <v>211.96042531726152</v>
      </c>
      <c r="U38" s="171">
        <f>((LOOKUP(Detached!U$2,'Ceiling-U'!$A$4:$A$40,'Ceiling-U'!$E$4:$E$40)*Detached!U$14)+(LOOKUP(Detached!U$2,'Floor-U'!$A$4:$A$40,'Floor-U'!$E$4:$E$40)*Detached!U$15)+(LOOKUP(Detached!U$2,'Wall-U'!$A$4:$A$40,'Wall-U'!$E$4:$E$40)*Detached!U$12)+(LOOKUP(Detached!U$2,'Window-U'!$A$4:$A$40,'Window-U'!$R$4:$R$40)*Detached!U$21))*U37</f>
        <v>631.87060174227076</v>
      </c>
      <c r="V38" s="171">
        <f>((LOOKUP(Detached!V$2,'Ceiling-U'!$A$4:$A$40,'Ceiling-U'!$E$4:$E$40)*Detached!V$14)+(LOOKUP(Detached!V$2,'Floor-U'!$A$4:$A$40,'Floor-U'!$E$4:$E$40)*Detached!V$15)+(LOOKUP(Detached!V$2,'Wall-U'!$A$4:$A$40,'Wall-U'!$E$4:$E$40)*Detached!V$12)+(LOOKUP(Detached!V$2,'Window-U'!$A$4:$A$40,'Window-U'!$R$4:$R$40)*Detached!V$21))*V37</f>
        <v>320.64452969689313</v>
      </c>
      <c r="W38" s="171">
        <f>((LOOKUP(Detached!W$2,'Ceiling-U'!$A$4:$A$40,'Ceiling-U'!$E$4:$E$40)*Detached!W$14)+(LOOKUP(Detached!W$2,'Floor-U'!$A$4:$A$40,'Floor-U'!$E$4:$E$40)*Detached!W$15)+(LOOKUP(Detached!W$2,'Wall-U'!$A$4:$A$40,'Wall-U'!$E$4:$E$40)*Detached!W$12)+(LOOKUP(Detached!W$2,'Window-U'!$A$4:$A$40,'Window-U'!$R$4:$R$40)*Detached!W$21))*W37</f>
        <v>383.68141362437473</v>
      </c>
      <c r="X38" s="171">
        <f>((LOOKUP(Detached!X$2,'Ceiling-U'!$A$4:$A$40,'Ceiling-U'!$E$4:$E$40)*Detached!X$14)+(LOOKUP(Detached!X$2,'Floor-U'!$A$4:$A$40,'Floor-U'!$E$4:$E$40)*Detached!X$15)+(LOOKUP(Detached!X$2,'Wall-U'!$A$4:$A$40,'Wall-U'!$E$4:$E$40)*Detached!X$12)+(LOOKUP(Detached!X$2,'Window-U'!$A$4:$A$40,'Window-U'!$R$4:$R$40)*Detached!X$21))*X37</f>
        <v>339.20320061795604</v>
      </c>
      <c r="Y38" s="171">
        <f>((LOOKUP(Detached!Y$2,'Ceiling-U'!$A$4:$A$40,'Ceiling-U'!$E$4:$E$40)*Detached!Y$14)+(LOOKUP(Detached!Y$2,'Floor-U'!$A$4:$A$40,'Floor-U'!$E$4:$E$40)*Detached!Y$15)+(LOOKUP(Detached!Y$2,'Wall-U'!$A$4:$A$40,'Wall-U'!$E$4:$E$40)*Detached!Y$12)+(LOOKUP(Detached!Y$2,'Window-U'!$A$4:$A$40,'Window-U'!$R$4:$R$40)*Detached!Y$21))*Y37</f>
        <v>820.9430572278585</v>
      </c>
      <c r="Z38" s="171">
        <f>((LOOKUP(Detached!Z$2,'Ceiling-U'!$A$4:$A$40,'Ceiling-U'!$E$4:$E$40)*Detached!Z$14)+(LOOKUP(Detached!Z$2,'Floor-U'!$A$4:$A$40,'Floor-U'!$E$4:$E$40)*Detached!Z$15)+(LOOKUP(Detached!Z$2,'Wall-U'!$A$4:$A$40,'Wall-U'!$E$4:$E$40)*Detached!Z$12)+(LOOKUP(Detached!Z$2,'Window-U'!$A$4:$A$40,'Window-U'!$R$4:$R$40)*Detached!Z$21))*Z37</f>
        <v>637.52085535053038</v>
      </c>
      <c r="AA38" s="171">
        <f>((LOOKUP(Detached!AA$2,'Ceiling-U'!$A$4:$A$40,'Ceiling-U'!$E$4:$E$40)*Detached!AA$14)+(LOOKUP(Detached!AA$2,'Floor-U'!$A$4:$A$40,'Floor-U'!$E$4:$E$40)*Detached!AA$15)+(LOOKUP(Detached!AA$2,'Wall-U'!$A$4:$A$40,'Wall-U'!$E$4:$E$40)*Detached!AA$12)+(LOOKUP(Detached!AA$2,'Window-U'!$A$4:$A$40,'Window-U'!$R$4:$R$40)*Detached!AA$21))*AA37</f>
        <v>193.13014628813517</v>
      </c>
      <c r="AB38" s="171">
        <f>((LOOKUP(Detached!AB$2,'Ceiling-U'!$A$4:$A$40,'Ceiling-U'!$E$4:$E$40)*Detached!AB$14)+(LOOKUP(Detached!AB$2,'Floor-U'!$A$4:$A$40,'Floor-U'!$E$4:$E$40)*Detached!AB$15)+(LOOKUP(Detached!AB$2,'Wall-U'!$A$4:$A$40,'Wall-U'!$E$4:$E$40)*Detached!AB$12)+(LOOKUP(Detached!AB$2,'Window-U'!$A$4:$A$40,'Window-U'!$R$4:$R$40)*Detached!AB$21))*AB37</f>
        <v>522.59946775428409</v>
      </c>
      <c r="AC38" s="171">
        <f>((LOOKUP(Detached!AC$2,'Ceiling-U'!$A$4:$A$40,'Ceiling-U'!$E$4:$E$40)*Detached!AC$14)+(LOOKUP(Detached!AC$2,'Floor-U'!$A$4:$A$40,'Floor-U'!$E$4:$E$40)*Detached!AC$15)+(LOOKUP(Detached!AC$2,'Wall-U'!$A$4:$A$40,'Wall-U'!$E$4:$E$40)*Detached!AC$12)+(LOOKUP(Detached!AC$2,'Window-U'!$A$4:$A$40,'Window-U'!$R$4:$R$40)*Detached!AC$21))*AC37</f>
        <v>780.60218557416295</v>
      </c>
      <c r="AD38" s="171">
        <f>((LOOKUP(Detached!AD$2,'Ceiling-U'!$A$4:$A$40,'Ceiling-U'!$E$4:$E$40)*Detached!AD$14)+(LOOKUP(Detached!AD$2,'Floor-U'!$A$4:$A$40,'Floor-U'!$E$4:$E$40)*Detached!AD$15)+(LOOKUP(Detached!AD$2,'Wall-U'!$A$4:$A$40,'Wall-U'!$E$4:$E$40)*Detached!AD$12)+(LOOKUP(Detached!AD$2,'Window-U'!$A$4:$A$40,'Window-U'!$R$4:$R$40)*Detached!AD$21))*AD37</f>
        <v>449.03667448190464</v>
      </c>
      <c r="AE38" s="171">
        <f>((LOOKUP(Detached!AE$2,'Ceiling-U'!$A$4:$A$40,'Ceiling-U'!$E$4:$E$40)*Detached!AE$14)+(LOOKUP(Detached!AE$2,'Floor-U'!$A$4:$A$40,'Floor-U'!$E$4:$E$40)*Detached!AE$15)+(LOOKUP(Detached!AE$2,'Wall-U'!$A$4:$A$40,'Wall-U'!$E$4:$E$40)*Detached!AE$12)+(LOOKUP(Detached!AE$2,'Window-U'!$A$4:$A$40,'Window-U'!$R$4:$R$40)*Detached!AE$21))*AE37</f>
        <v>193.13014628813517</v>
      </c>
      <c r="AF38" s="171">
        <f>((LOOKUP(Detached!AF$2,'Ceiling-U'!$A$4:$A$40,'Ceiling-U'!$E$4:$E$40)*Detached!AF$14)+(LOOKUP(Detached!AF$2,'Floor-U'!$A$4:$A$40,'Floor-U'!$E$4:$E$40)*Detached!AF$15)+(LOOKUP(Detached!AF$2,'Wall-U'!$A$4:$A$40,'Wall-U'!$E$4:$E$40)*Detached!AF$12)+(LOOKUP(Detached!AF$2,'Window-U'!$A$4:$A$40,'Window-U'!$R$4:$R$40)*Detached!AF$21))*AF37</f>
        <v>412.73875507094124</v>
      </c>
      <c r="AG38" s="171">
        <f>((LOOKUP(Detached!AG$2,'Ceiling-U'!$A$4:$A$40,'Ceiling-U'!$E$4:$E$40)*Detached!AG$14)+(LOOKUP(Detached!AG$2,'Floor-U'!$A$4:$A$40,'Floor-U'!$E$4:$E$40)*Detached!AG$15)+(LOOKUP(Detached!AG$2,'Wall-U'!$A$4:$A$40,'Wall-U'!$E$4:$E$40)*Detached!AG$12)+(LOOKUP(Detached!AG$2,'Window-U'!$A$4:$A$40,'Window-U'!$R$4:$R$40)*Detached!AG$21))*AG37</f>
        <v>537.48931105458723</v>
      </c>
      <c r="AH38" s="171">
        <f>((LOOKUP(Detached!AH$2,'Ceiling-U'!$A$4:$A$40,'Ceiling-U'!$E$4:$E$40)*Detached!AH$14)+(LOOKUP(Detached!AH$2,'Floor-U'!$A$4:$A$40,'Floor-U'!$E$4:$E$40)*Detached!AH$15)+(LOOKUP(Detached!AH$2,'Wall-U'!$A$4:$A$40,'Wall-U'!$E$4:$E$40)*Detached!AH$12)+(LOOKUP(Detached!AH$2,'Window-U'!$A$4:$A$40,'Window-U'!$R$4:$R$40)*Detached!AH$21))*AH37</f>
        <v>470.52542622441456</v>
      </c>
      <c r="AI38" s="171">
        <f>((LOOKUP(Detached!AI$2,'Ceiling-U'!$A$4:$A$40,'Ceiling-U'!$E$4:$E$40)*Detached!AI$14)+(LOOKUP(Detached!AI$2,'Floor-U'!$A$4:$A$40,'Floor-U'!$E$4:$E$40)*Detached!AI$15)+(LOOKUP(Detached!AI$2,'Wall-U'!$A$4:$A$40,'Wall-U'!$E$4:$E$40)*Detached!AI$12)+(LOOKUP(Detached!AI$2,'Window-U'!$A$4:$A$40,'Window-U'!$R$4:$R$40)*Detached!AI$21))*AI37</f>
        <v>756.59721542084981</v>
      </c>
      <c r="AJ38" s="171">
        <f>((LOOKUP(Detached!AJ$2,'Ceiling-U'!$A$4:$A$40,'Ceiling-U'!$E$4:$E$40)*Detached!AJ$14)+(LOOKUP(Detached!AJ$2,'Floor-U'!$A$4:$A$40,'Floor-U'!$E$4:$E$40)*Detached!AJ$15)+(LOOKUP(Detached!AJ$2,'Wall-U'!$A$4:$A$40,'Wall-U'!$E$4:$E$40)*Detached!AJ$12)+(LOOKUP(Detached!AJ$2,'Window-U'!$A$4:$A$40,'Window-U'!$R$4:$R$40)*Detached!AJ$21))*AJ37</f>
        <v>329.944451793974</v>
      </c>
      <c r="AK38" s="171">
        <f>((LOOKUP(Detached!AK$2,'Ceiling-U'!$A$4:$A$40,'Ceiling-U'!$E$4:$E$40)*Detached!AK$14)+(LOOKUP(Detached!AK$2,'Floor-U'!$A$4:$A$40,'Floor-U'!$E$4:$E$40)*Detached!AK$15)+(LOOKUP(Detached!AK$2,'Wall-U'!$A$4:$A$40,'Wall-U'!$E$4:$E$40)*Detached!AK$12)+(LOOKUP(Detached!AK$2,'Window-U'!$A$4:$A$40,'Window-U'!$R$4:$R$40)*Detached!AK$21))*AK37</f>
        <v>396.1730729087418</v>
      </c>
      <c r="AL38" s="171">
        <f>((LOOKUP(Detached!AL$2,'Ceiling-U'!$A$4:$A$40,'Ceiling-U'!$E$4:$E$40)*Detached!AL$14)+(LOOKUP(Detached!AL$2,'Floor-U'!$A$4:$A$40,'Floor-U'!$E$4:$E$40)*Detached!AL$15)+(LOOKUP(Detached!AL$2,'Wall-U'!$A$4:$A$40,'Wall-U'!$E$4:$E$40)*Detached!AL$12)+(LOOKUP(Detached!AL$2,'Window-U'!$A$4:$A$40,'Window-U'!$R$4:$R$40)*Detached!AL$21))*AL37</f>
        <v>359.34278700521429</v>
      </c>
      <c r="AM38" s="171">
        <f>((LOOKUP(Detached!AM$2,'Ceiling-U'!$A$4:$A$40,'Ceiling-U'!$E$4:$E$40)*Detached!AM$14)+(LOOKUP(Detached!AM$2,'Floor-U'!$A$4:$A$40,'Floor-U'!$E$4:$E$40)*Detached!AM$15)+(LOOKUP(Detached!AM$2,'Wall-U'!$A$4:$A$40,'Wall-U'!$E$4:$E$40)*Detached!AM$12)+(LOOKUP(Detached!AM$2,'Window-U'!$A$4:$A$40,'Window-U'!$R$4:$R$40)*Detached!AM$21))*AM37</f>
        <v>329.944451793974</v>
      </c>
      <c r="AN38" s="172">
        <f>((LOOKUP(Detached!AN$2,'Ceiling-U'!$A$4:$A$40,'Ceiling-U'!$E$4:$E$40)*Detached!AN$14)+(LOOKUP(Detached!AN$2,'Floor-U'!$A$4:$A$40,'Floor-U'!$E$4:$E$40)*Detached!AN$15)+(LOOKUP(Detached!AN$2,'Wall-U'!$A$4:$A$40,'Wall-U'!$E$4:$E$40)*Detached!AN$12)+(LOOKUP(Detached!AN$2,'Window-U'!$A$4:$A$40,'Window-U'!$R$4:$R$40)*Detached!AN$21))*AN37</f>
        <v>329.944451793974</v>
      </c>
    </row>
    <row r="39" spans="1:40">
      <c r="A39" s="372"/>
      <c r="B39" s="142" t="s">
        <v>3</v>
      </c>
      <c r="C39" s="131" t="s">
        <v>195</v>
      </c>
      <c r="D39" s="176">
        <f>((LOOKUP(Detached!D$2,'Ceiling-U'!$A$4:$A$40,'Ceiling-U'!$F$4:$F$40)*Detached!D$14)+(LOOKUP(Detached!D$2,'Floor-U'!$A$4:$A$40,'Floor-U'!$F$4:$F$40)*Detached!D$15)+(LOOKUP(Detached!D$2,'Wall-U'!$A$4:$A$40,'Wall-U'!$F$4:$F$40)*Detached!D$12)+(LOOKUP(Detached!D$2,'Window-U'!$A$4:$A$40,'Window-U'!$R$4:$R$40)*Detached!D$21))*D37</f>
        <v>454.50893420387376</v>
      </c>
      <c r="E39" s="177">
        <f>((LOOKUP(Detached!E$2,'Ceiling-U'!$A$4:$A$40,'Ceiling-U'!$F$4:$F$40)*Detached!E$14)+(LOOKUP(Detached!E$2,'Floor-U'!$A$4:$A$40,'Floor-U'!$F$4:$F$40)*Detached!E$15)+(LOOKUP(Detached!E$2,'Wall-U'!$A$4:$A$40,'Wall-U'!$F$4:$F$40)*Detached!E$12)+(LOOKUP(Detached!E$2,'Window-U'!$A$4:$A$40,'Window-U'!$R$4:$R$40)*Detached!E$21))*E37</f>
        <v>585.09087407510015</v>
      </c>
      <c r="F39" s="177">
        <f>((LOOKUP(Detached!F$2,'Ceiling-U'!$A$4:$A$40,'Ceiling-U'!$F$4:$F$40)*Detached!F$14)+(LOOKUP(Detached!F$2,'Floor-U'!$A$4:$A$40,'Floor-U'!$F$4:$F$40)*Detached!F$15)+(LOOKUP(Detached!F$2,'Wall-U'!$A$4:$A$40,'Wall-U'!$F$4:$F$40)*Detached!F$12)+(LOOKUP(Detached!F$2,'Window-U'!$A$4:$A$40,'Window-U'!$R$4:$R$40)*Detached!F$21))*F37</f>
        <v>341.92230993026567</v>
      </c>
      <c r="G39" s="177">
        <f>((LOOKUP(Detached!G$2,'Ceiling-U'!$A$4:$A$40,'Ceiling-U'!$F$4:$F$40)*Detached!G$14)+(LOOKUP(Detached!G$2,'Floor-U'!$A$4:$A$40,'Floor-U'!$F$4:$F$40)*Detached!G$15)+(LOOKUP(Detached!G$2,'Wall-U'!$A$4:$A$40,'Wall-U'!$F$4:$F$40)*Detached!G$12)+(LOOKUP(Detached!G$2,'Window-U'!$A$4:$A$40,'Window-U'!$R$4:$R$40)*Detached!G$21))*G37</f>
        <v>454.50893420387376</v>
      </c>
      <c r="H39" s="177">
        <f>((LOOKUP(Detached!H$2,'Ceiling-U'!$A$4:$A$40,'Ceiling-U'!$F$4:$F$40)*Detached!H$14)+(LOOKUP(Detached!H$2,'Floor-U'!$A$4:$A$40,'Floor-U'!$F$4:$F$40)*Detached!H$15)+(LOOKUP(Detached!H$2,'Wall-U'!$A$4:$A$40,'Wall-U'!$F$4:$F$40)*Detached!H$12)+(LOOKUP(Detached!H$2,'Window-U'!$A$4:$A$40,'Window-U'!$R$4:$R$40)*Detached!H$21))*H37</f>
        <v>706.88175502841261</v>
      </c>
      <c r="I39" s="177">
        <f>((LOOKUP(Detached!I$2,'Ceiling-U'!$A$4:$A$40,'Ceiling-U'!$F$4:$F$40)*Detached!I$14)+(LOOKUP(Detached!I$2,'Floor-U'!$A$4:$A$40,'Floor-U'!$F$4:$F$40)*Detached!I$15)+(LOOKUP(Detached!I$2,'Wall-U'!$A$4:$A$40,'Wall-U'!$F$4:$F$40)*Detached!I$12)+(LOOKUP(Detached!I$2,'Window-U'!$A$4:$A$40,'Window-U'!$R$4:$R$40)*Detached!I$21))*I37</f>
        <v>283.52376597389093</v>
      </c>
      <c r="J39" s="177">
        <f>((LOOKUP(Detached!J$2,'Ceiling-U'!$A$4:$A$40,'Ceiling-U'!$F$4:$F$40)*Detached!J$14)+(LOOKUP(Detached!J$2,'Floor-U'!$A$4:$A$40,'Floor-U'!$F$4:$F$40)*Detached!J$15)+(LOOKUP(Detached!J$2,'Wall-U'!$A$4:$A$40,'Wall-U'!$F$4:$F$40)*Detached!J$12)+(LOOKUP(Detached!J$2,'Window-U'!$A$4:$A$40,'Window-U'!$R$4:$R$40)*Detached!J$21))*J37</f>
        <v>485.45798739998099</v>
      </c>
      <c r="K39" s="177">
        <f>((LOOKUP(Detached!K$2,'Ceiling-U'!$A$4:$A$40,'Ceiling-U'!$F$4:$F$40)*Detached!K$14)+(LOOKUP(Detached!K$2,'Floor-U'!$A$4:$A$40,'Floor-U'!$F$4:$F$40)*Detached!K$15)+(LOOKUP(Detached!K$2,'Wall-U'!$A$4:$A$40,'Wall-U'!$F$4:$F$40)*Detached!K$12)+(LOOKUP(Detached!K$2,'Window-U'!$A$4:$A$40,'Window-U'!$R$4:$R$40)*Detached!K$21))*K37</f>
        <v>303.23180404757863</v>
      </c>
      <c r="L39" s="177">
        <f>((LOOKUP(Detached!L$2,'Ceiling-U'!$A$4:$A$40,'Ceiling-U'!$F$4:$F$40)*Detached!L$14)+(LOOKUP(Detached!L$2,'Floor-U'!$A$4:$A$40,'Floor-U'!$F$4:$F$40)*Detached!L$15)+(LOOKUP(Detached!L$2,'Wall-U'!$A$4:$A$40,'Wall-U'!$F$4:$F$40)*Detached!L$12)+(LOOKUP(Detached!L$2,'Window-U'!$A$4:$A$40,'Window-U'!$R$4:$R$40)*Detached!L$21))*L37</f>
        <v>171.05592744097808</v>
      </c>
      <c r="M39" s="177">
        <f>((LOOKUP(Detached!M$2,'Ceiling-U'!$A$4:$A$40,'Ceiling-U'!$F$4:$F$40)*Detached!M$14)+(LOOKUP(Detached!M$2,'Floor-U'!$A$4:$A$40,'Floor-U'!$F$4:$F$40)*Detached!M$15)+(LOOKUP(Detached!M$2,'Wall-U'!$A$4:$A$40,'Wall-U'!$F$4:$F$40)*Detached!M$12)+(LOOKUP(Detached!M$2,'Window-U'!$A$4:$A$40,'Window-U'!$R$4:$R$40)*Detached!M$21))*M37</f>
        <v>691.00949037953797</v>
      </c>
      <c r="N39" s="177">
        <f>((LOOKUP(Detached!N$2,'Ceiling-U'!$A$4:$A$40,'Ceiling-U'!$F$4:$F$40)*Detached!N$14)+(LOOKUP(Detached!N$2,'Floor-U'!$A$4:$A$40,'Floor-U'!$F$4:$F$40)*Detached!N$15)+(LOOKUP(Detached!N$2,'Wall-U'!$A$4:$A$40,'Wall-U'!$F$4:$F$40)*Detached!N$12)+(LOOKUP(Detached!N$2,'Window-U'!$A$4:$A$40,'Window-U'!$R$4:$R$40)*Detached!N$21))*N37</f>
        <v>191.68129279611077</v>
      </c>
      <c r="O39" s="177">
        <f>((LOOKUP(Detached!O$2,'Ceiling-U'!$A$4:$A$40,'Ceiling-U'!$F$4:$F$40)*Detached!O$14)+(LOOKUP(Detached!O$2,'Floor-U'!$A$4:$A$40,'Floor-U'!$F$4:$F$40)*Detached!O$15)+(LOOKUP(Detached!O$2,'Wall-U'!$A$4:$A$40,'Wall-U'!$F$4:$F$40)*Detached!O$12)+(LOOKUP(Detached!O$2,'Window-U'!$A$4:$A$40,'Window-U'!$R$4:$R$40)*Detached!O$21))*O37</f>
        <v>806.79717721929364</v>
      </c>
      <c r="P39" s="177">
        <f>((LOOKUP(Detached!P$2,'Ceiling-U'!$A$4:$A$40,'Ceiling-U'!$F$4:$F$40)*Detached!P$14)+(LOOKUP(Detached!P$2,'Floor-U'!$A$4:$A$40,'Floor-U'!$F$4:$F$40)*Detached!P$15)+(LOOKUP(Detached!P$2,'Wall-U'!$A$4:$A$40,'Wall-U'!$F$4:$F$40)*Detached!P$12)+(LOOKUP(Detached!P$2,'Window-U'!$A$4:$A$40,'Window-U'!$R$4:$R$40)*Detached!P$21))*P37</f>
        <v>756.59721542084981</v>
      </c>
      <c r="Q39" s="177">
        <f>((LOOKUP(Detached!Q$2,'Ceiling-U'!$A$4:$A$40,'Ceiling-U'!$F$4:$F$40)*Detached!Q$14)+(LOOKUP(Detached!Q$2,'Floor-U'!$A$4:$A$40,'Floor-U'!$F$4:$F$40)*Detached!Q$15)+(LOOKUP(Detached!Q$2,'Wall-U'!$A$4:$A$40,'Wall-U'!$F$4:$F$40)*Detached!Q$12)+(LOOKUP(Detached!Q$2,'Window-U'!$A$4:$A$40,'Window-U'!$R$4:$R$40)*Detached!Q$21))*Q37</f>
        <v>330.31530264334839</v>
      </c>
      <c r="R39" s="177">
        <f>((LOOKUP(Detached!R$2,'Ceiling-U'!$A$4:$A$40,'Ceiling-U'!$F$4:$F$40)*Detached!R$14)+(LOOKUP(Detached!R$2,'Floor-U'!$A$4:$A$40,'Floor-U'!$F$4:$F$40)*Detached!R$15)+(LOOKUP(Detached!R$2,'Wall-U'!$A$4:$A$40,'Wall-U'!$F$4:$F$40)*Detached!R$12)+(LOOKUP(Detached!R$2,'Window-U'!$A$4:$A$40,'Window-U'!$R$4:$R$40)*Detached!R$21))*R37</f>
        <v>430.47927104864419</v>
      </c>
      <c r="S39" s="177">
        <f>((LOOKUP(Detached!S$2,'Ceiling-U'!$A$4:$A$40,'Ceiling-U'!$F$4:$F$40)*Detached!S$14)+(LOOKUP(Detached!S$2,'Floor-U'!$A$4:$A$40,'Floor-U'!$F$4:$F$40)*Detached!S$15)+(LOOKUP(Detached!S$2,'Wall-U'!$A$4:$A$40,'Wall-U'!$F$4:$F$40)*Detached!S$12)+(LOOKUP(Detached!S$2,'Window-U'!$A$4:$A$40,'Window-U'!$R$4:$R$40)*Detached!S$21))*S37</f>
        <v>601.98952304453974</v>
      </c>
      <c r="T39" s="177">
        <f>((LOOKUP(Detached!T$2,'Ceiling-U'!$A$4:$A$40,'Ceiling-U'!$F$4:$F$40)*Detached!T$14)+(LOOKUP(Detached!T$2,'Floor-U'!$A$4:$A$40,'Floor-U'!$F$4:$F$40)*Detached!T$15)+(LOOKUP(Detached!T$2,'Wall-U'!$A$4:$A$40,'Wall-U'!$F$4:$F$40)*Detached!T$12)+(LOOKUP(Detached!T$2,'Window-U'!$A$4:$A$40,'Window-U'!$R$4:$R$40)*Detached!T$21))*T37</f>
        <v>191.68129279611077</v>
      </c>
      <c r="U39" s="177">
        <f>((LOOKUP(Detached!U$2,'Ceiling-U'!$A$4:$A$40,'Ceiling-U'!$F$4:$F$40)*Detached!U$14)+(LOOKUP(Detached!U$2,'Floor-U'!$A$4:$A$40,'Floor-U'!$F$4:$F$40)*Detached!U$15)+(LOOKUP(Detached!U$2,'Wall-U'!$A$4:$A$40,'Wall-U'!$F$4:$F$40)*Detached!U$12)+(LOOKUP(Detached!U$2,'Window-U'!$A$4:$A$40,'Window-U'!$R$4:$R$40)*Detached!U$21))*U37</f>
        <v>590.92635085424058</v>
      </c>
      <c r="V39" s="177">
        <f>((LOOKUP(Detached!V$2,'Ceiling-U'!$A$4:$A$40,'Ceiling-U'!$F$4:$F$40)*Detached!V$14)+(LOOKUP(Detached!V$2,'Floor-U'!$A$4:$A$40,'Floor-U'!$F$4:$F$40)*Detached!V$15)+(LOOKUP(Detached!V$2,'Wall-U'!$A$4:$A$40,'Wall-U'!$F$4:$F$40)*Detached!V$12)+(LOOKUP(Detached!V$2,'Window-U'!$A$4:$A$40,'Window-U'!$R$4:$R$40)*Detached!V$21))*V37</f>
        <v>320.64452969689313</v>
      </c>
      <c r="W39" s="177">
        <f>((LOOKUP(Detached!W$2,'Ceiling-U'!$A$4:$A$40,'Ceiling-U'!$F$4:$F$40)*Detached!W$14)+(LOOKUP(Detached!W$2,'Floor-U'!$A$4:$A$40,'Floor-U'!$F$4:$F$40)*Detached!W$15)+(LOOKUP(Detached!W$2,'Wall-U'!$A$4:$A$40,'Wall-U'!$F$4:$F$40)*Detached!W$12)+(LOOKUP(Detached!W$2,'Window-U'!$A$4:$A$40,'Window-U'!$R$4:$R$40)*Detached!W$21))*W37</f>
        <v>413.83478901018429</v>
      </c>
      <c r="X39" s="177">
        <f>((LOOKUP(Detached!X$2,'Ceiling-U'!$A$4:$A$40,'Ceiling-U'!$F$4:$F$40)*Detached!X$14)+(LOOKUP(Detached!X$2,'Floor-U'!$A$4:$A$40,'Floor-U'!$F$4:$F$40)*Detached!X$15)+(LOOKUP(Detached!X$2,'Wall-U'!$A$4:$A$40,'Wall-U'!$F$4:$F$40)*Detached!X$12)+(LOOKUP(Detached!X$2,'Window-U'!$A$4:$A$40,'Window-U'!$R$4:$R$40)*Detached!X$21))*X37</f>
        <v>339.20320061795604</v>
      </c>
      <c r="Y39" s="177">
        <f>((LOOKUP(Detached!Y$2,'Ceiling-U'!$A$4:$A$40,'Ceiling-U'!$F$4:$F$40)*Detached!Y$14)+(LOOKUP(Detached!Y$2,'Floor-U'!$A$4:$A$40,'Floor-U'!$F$4:$F$40)*Detached!Y$15)+(LOOKUP(Detached!Y$2,'Wall-U'!$A$4:$A$40,'Wall-U'!$F$4:$F$40)*Detached!Y$12)+(LOOKUP(Detached!Y$2,'Window-U'!$A$4:$A$40,'Window-U'!$R$4:$R$40)*Detached!Y$21))*Y37</f>
        <v>819.57436813093921</v>
      </c>
      <c r="Z39" s="177">
        <f>((LOOKUP(Detached!Z$2,'Ceiling-U'!$A$4:$A$40,'Ceiling-U'!$F$4:$F$40)*Detached!Z$14)+(LOOKUP(Detached!Z$2,'Floor-U'!$A$4:$A$40,'Floor-U'!$F$4:$F$40)*Detached!Z$15)+(LOOKUP(Detached!Z$2,'Wall-U'!$A$4:$A$40,'Wall-U'!$F$4:$F$40)*Detached!Z$12)+(LOOKUP(Detached!Z$2,'Window-U'!$A$4:$A$40,'Window-U'!$R$4:$R$40)*Detached!Z$21))*Z37</f>
        <v>500.99493474375572</v>
      </c>
      <c r="AA39" s="177">
        <f>((LOOKUP(Detached!AA$2,'Ceiling-U'!$A$4:$A$40,'Ceiling-U'!$F$4:$F$40)*Detached!AA$14)+(LOOKUP(Detached!AA$2,'Floor-U'!$A$4:$A$40,'Floor-U'!$F$4:$F$40)*Detached!AA$15)+(LOOKUP(Detached!AA$2,'Wall-U'!$A$4:$A$40,'Wall-U'!$F$4:$F$40)*Detached!AA$12)+(LOOKUP(Detached!AA$2,'Window-U'!$A$4:$A$40,'Window-U'!$R$4:$R$40)*Detached!AA$21))*AA37</f>
        <v>193.13014628813517</v>
      </c>
      <c r="AB39" s="177">
        <f>((LOOKUP(Detached!AB$2,'Ceiling-U'!$A$4:$A$40,'Ceiling-U'!$F$4:$F$40)*Detached!AB$14)+(LOOKUP(Detached!AB$2,'Floor-U'!$A$4:$A$40,'Floor-U'!$F$4:$F$40)*Detached!AB$15)+(LOOKUP(Detached!AB$2,'Wall-U'!$A$4:$A$40,'Wall-U'!$F$4:$F$40)*Detached!AB$12)+(LOOKUP(Detached!AB$2,'Window-U'!$A$4:$A$40,'Window-U'!$R$4:$R$40)*Detached!AB$21))*AB37</f>
        <v>371.3516711481289</v>
      </c>
      <c r="AC39" s="177">
        <f>((LOOKUP(Detached!AC$2,'Ceiling-U'!$A$4:$A$40,'Ceiling-U'!$F$4:$F$40)*Detached!AC$14)+(LOOKUP(Detached!AC$2,'Floor-U'!$A$4:$A$40,'Floor-U'!$F$4:$F$40)*Detached!AC$15)+(LOOKUP(Detached!AC$2,'Wall-U'!$A$4:$A$40,'Wall-U'!$F$4:$F$40)*Detached!AC$12)+(LOOKUP(Detached!AC$2,'Window-U'!$A$4:$A$40,'Window-U'!$R$4:$R$40)*Detached!AC$21))*AC37</f>
        <v>693.40212207124728</v>
      </c>
      <c r="AD39" s="177">
        <f>((LOOKUP(Detached!AD$2,'Ceiling-U'!$A$4:$A$40,'Ceiling-U'!$F$4:$F$40)*Detached!AD$14)+(LOOKUP(Detached!AD$2,'Floor-U'!$A$4:$A$40,'Floor-U'!$F$4:$F$40)*Detached!AD$15)+(LOOKUP(Detached!AD$2,'Wall-U'!$A$4:$A$40,'Wall-U'!$F$4:$F$40)*Detached!AD$12)+(LOOKUP(Detached!AD$2,'Window-U'!$A$4:$A$40,'Window-U'!$R$4:$R$40)*Detached!AD$21))*AD37</f>
        <v>403.62544534104632</v>
      </c>
      <c r="AE39" s="177">
        <f>((LOOKUP(Detached!AE$2,'Ceiling-U'!$A$4:$A$40,'Ceiling-U'!$F$4:$F$40)*Detached!AE$14)+(LOOKUP(Detached!AE$2,'Floor-U'!$A$4:$A$40,'Floor-U'!$F$4:$F$40)*Detached!AE$15)+(LOOKUP(Detached!AE$2,'Wall-U'!$A$4:$A$40,'Wall-U'!$F$4:$F$40)*Detached!AE$12)+(LOOKUP(Detached!AE$2,'Window-U'!$A$4:$A$40,'Window-U'!$R$4:$R$40)*Detached!AE$21))*AE37</f>
        <v>193.13014628813517</v>
      </c>
      <c r="AF39" s="177">
        <f>((LOOKUP(Detached!AF$2,'Ceiling-U'!$A$4:$A$40,'Ceiling-U'!$F$4:$F$40)*Detached!AF$14)+(LOOKUP(Detached!AF$2,'Floor-U'!$A$4:$A$40,'Floor-U'!$F$4:$F$40)*Detached!AF$15)+(LOOKUP(Detached!AF$2,'Wall-U'!$A$4:$A$40,'Wall-U'!$F$4:$F$40)*Detached!AF$12)+(LOOKUP(Detached!AF$2,'Window-U'!$A$4:$A$40,'Window-U'!$R$4:$R$40)*Detached!AF$21))*AF37</f>
        <v>412.73875507094124</v>
      </c>
      <c r="AG39" s="177">
        <f>((LOOKUP(Detached!AG$2,'Ceiling-U'!$A$4:$A$40,'Ceiling-U'!$F$4:$F$40)*Detached!AG$14)+(LOOKUP(Detached!AG$2,'Floor-U'!$A$4:$A$40,'Floor-U'!$F$4:$F$40)*Detached!AG$15)+(LOOKUP(Detached!AG$2,'Wall-U'!$A$4:$A$40,'Wall-U'!$F$4:$F$40)*Detached!AG$12)+(LOOKUP(Detached!AG$2,'Window-U'!$A$4:$A$40,'Window-U'!$R$4:$R$40)*Detached!AG$21))*AG37</f>
        <v>440.19144884366983</v>
      </c>
      <c r="AH39" s="177">
        <f>((LOOKUP(Detached!AH$2,'Ceiling-U'!$A$4:$A$40,'Ceiling-U'!$F$4:$F$40)*Detached!AH$14)+(LOOKUP(Detached!AH$2,'Floor-U'!$A$4:$A$40,'Floor-U'!$F$4:$F$40)*Detached!AH$15)+(LOOKUP(Detached!AH$2,'Wall-U'!$A$4:$A$40,'Wall-U'!$F$4:$F$40)*Detached!AH$12)+(LOOKUP(Detached!AH$2,'Window-U'!$A$4:$A$40,'Window-U'!$R$4:$R$40)*Detached!AH$21))*AH37</f>
        <v>501.0166848015125</v>
      </c>
      <c r="AI39" s="177">
        <f>((LOOKUP(Detached!AI$2,'Ceiling-U'!$A$4:$A$40,'Ceiling-U'!$F$4:$F$40)*Detached!AI$14)+(LOOKUP(Detached!AI$2,'Floor-U'!$A$4:$A$40,'Floor-U'!$F$4:$F$40)*Detached!AI$15)+(LOOKUP(Detached!AI$2,'Wall-U'!$A$4:$A$40,'Wall-U'!$F$4:$F$40)*Detached!AI$12)+(LOOKUP(Detached!AI$2,'Window-U'!$A$4:$A$40,'Window-U'!$R$4:$R$40)*Detached!AI$21))*AI37</f>
        <v>756.59721542084981</v>
      </c>
      <c r="AJ39" s="177">
        <f>((LOOKUP(Detached!AJ$2,'Ceiling-U'!$A$4:$A$40,'Ceiling-U'!$F$4:$F$40)*Detached!AJ$14)+(LOOKUP(Detached!AJ$2,'Floor-U'!$A$4:$A$40,'Floor-U'!$F$4:$F$40)*Detached!AJ$15)+(LOOKUP(Detached!AJ$2,'Wall-U'!$A$4:$A$40,'Wall-U'!$F$4:$F$40)*Detached!AJ$12)+(LOOKUP(Detached!AJ$2,'Window-U'!$A$4:$A$40,'Window-U'!$R$4:$R$40)*Detached!AJ$21))*AJ37</f>
        <v>329.944451793974</v>
      </c>
      <c r="AK39" s="177">
        <f>((LOOKUP(Detached!AK$2,'Ceiling-U'!$A$4:$A$40,'Ceiling-U'!$F$4:$F$40)*Detached!AK$14)+(LOOKUP(Detached!AK$2,'Floor-U'!$A$4:$A$40,'Floor-U'!$F$4:$F$40)*Detached!AK$15)+(LOOKUP(Detached!AK$2,'Wall-U'!$A$4:$A$40,'Wall-U'!$F$4:$F$40)*Detached!AK$12)+(LOOKUP(Detached!AK$2,'Window-U'!$A$4:$A$40,'Window-U'!$R$4:$R$40)*Detached!AK$21))*AK37</f>
        <v>396.1730729087418</v>
      </c>
      <c r="AL39" s="177">
        <f>((LOOKUP(Detached!AL$2,'Ceiling-U'!$A$4:$A$40,'Ceiling-U'!$F$4:$F$40)*Detached!AL$14)+(LOOKUP(Detached!AL$2,'Floor-U'!$A$4:$A$40,'Floor-U'!$F$4:$F$40)*Detached!AL$15)+(LOOKUP(Detached!AL$2,'Wall-U'!$A$4:$A$40,'Wall-U'!$F$4:$F$40)*Detached!AL$12)+(LOOKUP(Detached!AL$2,'Window-U'!$A$4:$A$40,'Window-U'!$R$4:$R$40)*Detached!AL$21))*AL37</f>
        <v>359.34278700521429</v>
      </c>
      <c r="AM39" s="177">
        <f>((LOOKUP(Detached!AM$2,'Ceiling-U'!$A$4:$A$40,'Ceiling-U'!$F$4:$F$40)*Detached!AM$14)+(LOOKUP(Detached!AM$2,'Floor-U'!$A$4:$A$40,'Floor-U'!$F$4:$F$40)*Detached!AM$15)+(LOOKUP(Detached!AM$2,'Wall-U'!$A$4:$A$40,'Wall-U'!$F$4:$F$40)*Detached!AM$12)+(LOOKUP(Detached!AM$2,'Window-U'!$A$4:$A$40,'Window-U'!$R$4:$R$40)*Detached!AM$21))*AM37</f>
        <v>329.944451793974</v>
      </c>
      <c r="AN39" s="178">
        <f>((LOOKUP(Detached!AN$2,'Ceiling-U'!$A$4:$A$40,'Ceiling-U'!$F$4:$F$40)*Detached!AN$14)+(LOOKUP(Detached!AN$2,'Floor-U'!$A$4:$A$40,'Floor-U'!$F$4:$F$40)*Detached!AN$15)+(LOOKUP(Detached!AN$2,'Wall-U'!$A$4:$A$40,'Wall-U'!$F$4:$F$40)*Detached!AN$12)+(LOOKUP(Detached!AN$2,'Window-U'!$A$4:$A$40,'Window-U'!$R$4:$R$40)*Detached!AN$21))*AN37</f>
        <v>329.944451793974</v>
      </c>
    </row>
    <row r="40" spans="1:40">
      <c r="A40" s="372"/>
      <c r="B40" s="142" t="s">
        <v>4</v>
      </c>
      <c r="C40" s="131" t="s">
        <v>195</v>
      </c>
      <c r="D40" s="176">
        <f>((LOOKUP(Detached!D$2,'Ceiling-U'!$A$4:$A$40,'Ceiling-U'!$G$4:$G$40)*Detached!D$14)+(LOOKUP(Detached!D$2,'Floor-U'!$A$4:$A$40,'Floor-U'!$G$4:$G$40)*Detached!D$15)+(LOOKUP(Detached!D$2,'Wall-U'!$A$4:$A$40,'Wall-U'!$G$4:$G$40)*Detached!D$12)+(LOOKUP(Detached!D$2,'Window-U'!$A$4:$A$40,'Window-U'!$R$4:$R$40)*Detached!D$21))*D37</f>
        <v>350.59310809188634</v>
      </c>
      <c r="E40" s="177">
        <f>((LOOKUP(Detached!E$2,'Ceiling-U'!$A$4:$A$40,'Ceiling-U'!$G$4:$G$40)*Detached!E$14)+(LOOKUP(Detached!E$2,'Floor-U'!$A$4:$A$40,'Floor-U'!$G$4:$G$40)*Detached!E$15)+(LOOKUP(Detached!E$2,'Wall-U'!$A$4:$A$40,'Wall-U'!$G$4:$G$40)*Detached!E$12)+(LOOKUP(Detached!E$2,'Window-U'!$A$4:$A$40,'Window-U'!$R$4:$R$40)*Detached!E$21))*E37</f>
        <v>585.09087407510015</v>
      </c>
      <c r="F40" s="177">
        <f>((LOOKUP(Detached!F$2,'Ceiling-U'!$A$4:$A$40,'Ceiling-U'!$G$4:$G$40)*Detached!F$14)+(LOOKUP(Detached!F$2,'Floor-U'!$A$4:$A$40,'Floor-U'!$G$4:$G$40)*Detached!F$15)+(LOOKUP(Detached!F$2,'Wall-U'!$A$4:$A$40,'Wall-U'!$G$4:$G$40)*Detached!F$12)+(LOOKUP(Detached!F$2,'Window-U'!$A$4:$A$40,'Window-U'!$R$4:$R$40)*Detached!F$21))*F37</f>
        <v>319.43232379618337</v>
      </c>
      <c r="G40" s="177">
        <f>((LOOKUP(Detached!G$2,'Ceiling-U'!$A$4:$A$40,'Ceiling-U'!$G$4:$G$40)*Detached!G$14)+(LOOKUP(Detached!G$2,'Floor-U'!$A$4:$A$40,'Floor-U'!$G$4:$G$40)*Detached!G$15)+(LOOKUP(Detached!G$2,'Wall-U'!$A$4:$A$40,'Wall-U'!$G$4:$G$40)*Detached!G$12)+(LOOKUP(Detached!G$2,'Window-U'!$A$4:$A$40,'Window-U'!$R$4:$R$40)*Detached!G$21))*G37</f>
        <v>350.59310809188634</v>
      </c>
      <c r="H40" s="177">
        <f>((LOOKUP(Detached!H$2,'Ceiling-U'!$A$4:$A$40,'Ceiling-U'!$G$4:$G$40)*Detached!H$14)+(LOOKUP(Detached!H$2,'Floor-U'!$A$4:$A$40,'Floor-U'!$G$4:$G$40)*Detached!H$15)+(LOOKUP(Detached!H$2,'Wall-U'!$A$4:$A$40,'Wall-U'!$G$4:$G$40)*Detached!H$12)+(LOOKUP(Detached!H$2,'Window-U'!$A$4:$A$40,'Window-U'!$R$4:$R$40)*Detached!H$21))*H37</f>
        <v>653.10031616442325</v>
      </c>
      <c r="I40" s="177">
        <f>((LOOKUP(Detached!I$2,'Ceiling-U'!$A$4:$A$40,'Ceiling-U'!$G$4:$G$40)*Detached!I$14)+(LOOKUP(Detached!I$2,'Floor-U'!$A$4:$A$40,'Floor-U'!$G$4:$G$40)*Detached!I$15)+(LOOKUP(Detached!I$2,'Wall-U'!$A$4:$A$40,'Wall-U'!$G$4:$G$40)*Detached!I$12)+(LOOKUP(Detached!I$2,'Window-U'!$A$4:$A$40,'Window-U'!$R$4:$R$40)*Detached!I$21))*I37</f>
        <v>283.52376597389093</v>
      </c>
      <c r="J40" s="177">
        <f>((LOOKUP(Detached!J$2,'Ceiling-U'!$A$4:$A$40,'Ceiling-U'!$G$4:$G$40)*Detached!J$14)+(LOOKUP(Detached!J$2,'Floor-U'!$A$4:$A$40,'Floor-U'!$G$4:$G$40)*Detached!J$15)+(LOOKUP(Detached!J$2,'Wall-U'!$A$4:$A$40,'Wall-U'!$G$4:$G$40)*Detached!J$12)+(LOOKUP(Detached!J$2,'Window-U'!$A$4:$A$40,'Window-U'!$R$4:$R$40)*Detached!J$21))*J37</f>
        <v>284.20151318628183</v>
      </c>
      <c r="K40" s="177">
        <f>((LOOKUP(Detached!K$2,'Ceiling-U'!$A$4:$A$40,'Ceiling-U'!$G$4:$G$40)*Detached!K$14)+(LOOKUP(Detached!K$2,'Floor-U'!$A$4:$A$40,'Floor-U'!$G$4:$G$40)*Detached!K$15)+(LOOKUP(Detached!K$2,'Wall-U'!$A$4:$A$40,'Wall-U'!$G$4:$G$40)*Detached!K$12)+(LOOKUP(Detached!K$2,'Window-U'!$A$4:$A$40,'Window-U'!$R$4:$R$40)*Detached!K$21))*K37</f>
        <v>193.81328740683946</v>
      </c>
      <c r="L40" s="177">
        <f>((LOOKUP(Detached!L$2,'Ceiling-U'!$A$4:$A$40,'Ceiling-U'!$G$4:$G$40)*Detached!L$14)+(LOOKUP(Detached!L$2,'Floor-U'!$A$4:$A$40,'Floor-U'!$G$4:$G$40)*Detached!L$15)+(LOOKUP(Detached!L$2,'Wall-U'!$A$4:$A$40,'Wall-U'!$G$4:$G$40)*Detached!L$12)+(LOOKUP(Detached!L$2,'Window-U'!$A$4:$A$40,'Window-U'!$R$4:$R$40)*Detached!L$21))*L37</f>
        <v>138.10431256618278</v>
      </c>
      <c r="M40" s="177">
        <f>((LOOKUP(Detached!M$2,'Ceiling-U'!$A$4:$A$40,'Ceiling-U'!$G$4:$G$40)*Detached!M$14)+(LOOKUP(Detached!M$2,'Floor-U'!$A$4:$A$40,'Floor-U'!$G$4:$G$40)*Detached!M$15)+(LOOKUP(Detached!M$2,'Wall-U'!$A$4:$A$40,'Wall-U'!$G$4:$G$40)*Detached!M$12)+(LOOKUP(Detached!M$2,'Window-U'!$A$4:$A$40,'Window-U'!$R$4:$R$40)*Detached!M$21))*M37</f>
        <v>691.00949037953797</v>
      </c>
      <c r="N40" s="177">
        <f>((LOOKUP(Detached!N$2,'Ceiling-U'!$A$4:$A$40,'Ceiling-U'!$G$4:$G$40)*Detached!N$14)+(LOOKUP(Detached!N$2,'Floor-U'!$A$4:$A$40,'Floor-U'!$G$4:$G$40)*Detached!N$15)+(LOOKUP(Detached!N$2,'Wall-U'!$A$4:$A$40,'Wall-U'!$G$4:$G$40)*Detached!N$12)+(LOOKUP(Detached!N$2,'Window-U'!$A$4:$A$40,'Window-U'!$R$4:$R$40)*Detached!N$21))*N37</f>
        <v>156.54504490165152</v>
      </c>
      <c r="O40" s="177">
        <f>((LOOKUP(Detached!O$2,'Ceiling-U'!$A$4:$A$40,'Ceiling-U'!$G$4:$G$40)*Detached!O$14)+(LOOKUP(Detached!O$2,'Floor-U'!$A$4:$A$40,'Floor-U'!$G$4:$G$40)*Detached!O$15)+(LOOKUP(Detached!O$2,'Wall-U'!$A$4:$A$40,'Wall-U'!$G$4:$G$40)*Detached!O$12)+(LOOKUP(Detached!O$2,'Window-U'!$A$4:$A$40,'Window-U'!$R$4:$R$40)*Detached!O$21))*O37</f>
        <v>327.68001771115496</v>
      </c>
      <c r="P40" s="177">
        <f>((LOOKUP(Detached!P$2,'Ceiling-U'!$A$4:$A$40,'Ceiling-U'!$G$4:$G$40)*Detached!P$14)+(LOOKUP(Detached!P$2,'Floor-U'!$A$4:$A$40,'Floor-U'!$G$4:$G$40)*Detached!P$15)+(LOOKUP(Detached!P$2,'Wall-U'!$A$4:$A$40,'Wall-U'!$G$4:$G$40)*Detached!P$12)+(LOOKUP(Detached!P$2,'Window-U'!$A$4:$A$40,'Window-U'!$R$4:$R$40)*Detached!P$21))*P37</f>
        <v>756.59721542084981</v>
      </c>
      <c r="Q40" s="177">
        <f>((LOOKUP(Detached!Q$2,'Ceiling-U'!$A$4:$A$40,'Ceiling-U'!$G$4:$G$40)*Detached!Q$14)+(LOOKUP(Detached!Q$2,'Floor-U'!$A$4:$A$40,'Floor-U'!$G$4:$G$40)*Detached!Q$15)+(LOOKUP(Detached!Q$2,'Wall-U'!$A$4:$A$40,'Wall-U'!$G$4:$G$40)*Detached!Q$12)+(LOOKUP(Detached!Q$2,'Window-U'!$A$4:$A$40,'Window-U'!$R$4:$R$40)*Detached!Q$21))*Q37</f>
        <v>308.2976693714844</v>
      </c>
      <c r="R40" s="177">
        <f>((LOOKUP(Detached!R$2,'Ceiling-U'!$A$4:$A$40,'Ceiling-U'!$G$4:$G$40)*Detached!R$14)+(LOOKUP(Detached!R$2,'Floor-U'!$A$4:$A$40,'Floor-U'!$G$4:$G$40)*Detached!R$15)+(LOOKUP(Detached!R$2,'Wall-U'!$A$4:$A$40,'Wall-U'!$G$4:$G$40)*Detached!R$12)+(LOOKUP(Detached!R$2,'Window-U'!$A$4:$A$40,'Window-U'!$R$4:$R$40)*Detached!R$21))*R37</f>
        <v>366.20393156842965</v>
      </c>
      <c r="S40" s="177">
        <f>((LOOKUP(Detached!S$2,'Ceiling-U'!$A$4:$A$40,'Ceiling-U'!$G$4:$G$40)*Detached!S$14)+(LOOKUP(Detached!S$2,'Floor-U'!$A$4:$A$40,'Floor-U'!$G$4:$G$40)*Detached!S$15)+(LOOKUP(Detached!S$2,'Wall-U'!$A$4:$A$40,'Wall-U'!$G$4:$G$40)*Detached!S$12)+(LOOKUP(Detached!S$2,'Window-U'!$A$4:$A$40,'Window-U'!$R$4:$R$40)*Detached!S$21))*S37</f>
        <v>501.4205011241674</v>
      </c>
      <c r="T40" s="177">
        <f>((LOOKUP(Detached!T$2,'Ceiling-U'!$A$4:$A$40,'Ceiling-U'!$G$4:$G$40)*Detached!T$14)+(LOOKUP(Detached!T$2,'Floor-U'!$A$4:$A$40,'Floor-U'!$G$4:$G$40)*Detached!T$15)+(LOOKUP(Detached!T$2,'Wall-U'!$A$4:$A$40,'Wall-U'!$G$4:$G$40)*Detached!T$12)+(LOOKUP(Detached!T$2,'Window-U'!$A$4:$A$40,'Window-U'!$R$4:$R$40)*Detached!T$21))*T37</f>
        <v>156.54504490165152</v>
      </c>
      <c r="U40" s="177">
        <f>((LOOKUP(Detached!U$2,'Ceiling-U'!$A$4:$A$40,'Ceiling-U'!$G$4:$G$40)*Detached!U$14)+(LOOKUP(Detached!U$2,'Floor-U'!$A$4:$A$40,'Floor-U'!$G$4:$G$40)*Detached!U$15)+(LOOKUP(Detached!U$2,'Wall-U'!$A$4:$A$40,'Wall-U'!$G$4:$G$40)*Detached!U$12)+(LOOKUP(Detached!U$2,'Window-U'!$A$4:$A$40,'Window-U'!$R$4:$R$40)*Detached!U$21))*U37</f>
        <v>565.72963210424064</v>
      </c>
      <c r="V40" s="177">
        <f>((LOOKUP(Detached!V$2,'Ceiling-U'!$A$4:$A$40,'Ceiling-U'!$G$4:$G$40)*Detached!V$14)+(LOOKUP(Detached!V$2,'Floor-U'!$A$4:$A$40,'Floor-U'!$G$4:$G$40)*Detached!V$15)+(LOOKUP(Detached!V$2,'Wall-U'!$A$4:$A$40,'Wall-U'!$G$4:$G$40)*Detached!V$12)+(LOOKUP(Detached!V$2,'Window-U'!$A$4:$A$40,'Window-U'!$R$4:$R$40)*Detached!V$21))*V37</f>
        <v>202.05503322188488</v>
      </c>
      <c r="W40" s="177">
        <f>((LOOKUP(Detached!W$2,'Ceiling-U'!$A$4:$A$40,'Ceiling-U'!$G$4:$G$40)*Detached!W$14)+(LOOKUP(Detached!W$2,'Floor-U'!$A$4:$A$40,'Floor-U'!$G$4:$G$40)*Detached!W$15)+(LOOKUP(Detached!W$2,'Wall-U'!$A$4:$A$40,'Wall-U'!$G$4:$G$40)*Detached!W$12)+(LOOKUP(Detached!W$2,'Window-U'!$A$4:$A$40,'Window-U'!$R$4:$R$40)*Detached!W$21))*W37</f>
        <v>210.51128906274784</v>
      </c>
      <c r="X40" s="177">
        <f>((LOOKUP(Detached!X$2,'Ceiling-U'!$A$4:$A$40,'Ceiling-U'!$G$4:$G$40)*Detached!X$14)+(LOOKUP(Detached!X$2,'Floor-U'!$A$4:$A$40,'Floor-U'!$G$4:$G$40)*Detached!X$15)+(LOOKUP(Detached!X$2,'Wall-U'!$A$4:$A$40,'Wall-U'!$G$4:$G$40)*Detached!X$12)+(LOOKUP(Detached!X$2,'Window-U'!$A$4:$A$40,'Window-U'!$R$4:$R$40)*Detached!X$21))*X37</f>
        <v>311.01288055616044</v>
      </c>
      <c r="Y40" s="177">
        <f>((LOOKUP(Detached!Y$2,'Ceiling-U'!$A$4:$A$40,'Ceiling-U'!$G$4:$G$40)*Detached!Y$14)+(LOOKUP(Detached!Y$2,'Floor-U'!$A$4:$A$40,'Floor-U'!$G$4:$G$40)*Detached!Y$15)+(LOOKUP(Detached!Y$2,'Wall-U'!$A$4:$A$40,'Wall-U'!$G$4:$G$40)*Detached!Y$12)+(LOOKUP(Detached!Y$2,'Window-U'!$A$4:$A$40,'Window-U'!$R$4:$R$40)*Detached!Y$21))*Y37</f>
        <v>654.58218885194754</v>
      </c>
      <c r="Z40" s="177">
        <f>((LOOKUP(Detached!Z$2,'Ceiling-U'!$A$4:$A$40,'Ceiling-U'!$G$4:$G$40)*Detached!Z$14)+(LOOKUP(Detached!Z$2,'Floor-U'!$A$4:$A$40,'Floor-U'!$G$4:$G$40)*Detached!Z$15)+(LOOKUP(Detached!Z$2,'Wall-U'!$A$4:$A$40,'Wall-U'!$G$4:$G$40)*Detached!Z$12)+(LOOKUP(Detached!Z$2,'Window-U'!$A$4:$A$40,'Window-U'!$R$4:$R$40)*Detached!Z$21))*Z37</f>
        <v>481.89751834839944</v>
      </c>
      <c r="AA40" s="177">
        <f>((LOOKUP(Detached!AA$2,'Ceiling-U'!$A$4:$A$40,'Ceiling-U'!$G$4:$G$40)*Detached!AA$14)+(LOOKUP(Detached!AA$2,'Floor-U'!$A$4:$A$40,'Floor-U'!$G$4:$G$40)*Detached!AA$15)+(LOOKUP(Detached!AA$2,'Wall-U'!$A$4:$A$40,'Wall-U'!$G$4:$G$40)*Detached!AA$12)+(LOOKUP(Detached!AA$2,'Window-U'!$A$4:$A$40,'Window-U'!$R$4:$R$40)*Detached!AA$21))*AA37</f>
        <v>126.74804949902874</v>
      </c>
      <c r="AB40" s="177">
        <f>((LOOKUP(Detached!AB$2,'Ceiling-U'!$A$4:$A$40,'Ceiling-U'!$G$4:$G$40)*Detached!AB$14)+(LOOKUP(Detached!AB$2,'Floor-U'!$A$4:$A$40,'Floor-U'!$G$4:$G$40)*Detached!AB$15)+(LOOKUP(Detached!AB$2,'Wall-U'!$A$4:$A$40,'Wall-U'!$G$4:$G$40)*Detached!AB$12)+(LOOKUP(Detached!AB$2,'Window-U'!$A$4:$A$40,'Window-U'!$R$4:$R$40)*Detached!AB$21))*AB37</f>
        <v>256.93583619823528</v>
      </c>
      <c r="AC40" s="177">
        <f>((LOOKUP(Detached!AC$2,'Ceiling-U'!$A$4:$A$40,'Ceiling-U'!$G$4:$G$40)*Detached!AC$14)+(LOOKUP(Detached!AC$2,'Floor-U'!$A$4:$A$40,'Floor-U'!$G$4:$G$40)*Detached!AC$15)+(LOOKUP(Detached!AC$2,'Wall-U'!$A$4:$A$40,'Wall-U'!$G$4:$G$40)*Detached!AC$12)+(LOOKUP(Detached!AC$2,'Window-U'!$A$4:$A$40,'Window-U'!$R$4:$R$40)*Detached!AC$21))*AC37</f>
        <v>678.17004480874721</v>
      </c>
      <c r="AD40" s="177">
        <f>((LOOKUP(Detached!AD$2,'Ceiling-U'!$A$4:$A$40,'Ceiling-U'!$G$4:$G$40)*Detached!AD$14)+(LOOKUP(Detached!AD$2,'Floor-U'!$A$4:$A$40,'Floor-U'!$G$4:$G$40)*Detached!AD$15)+(LOOKUP(Detached!AD$2,'Wall-U'!$A$4:$A$40,'Wall-U'!$G$4:$G$40)*Detached!AD$12)+(LOOKUP(Detached!AD$2,'Window-U'!$A$4:$A$40,'Window-U'!$R$4:$R$40)*Detached!AD$21))*AD37</f>
        <v>403.62544534104632</v>
      </c>
      <c r="AE40" s="177">
        <f>((LOOKUP(Detached!AE$2,'Ceiling-U'!$A$4:$A$40,'Ceiling-U'!$G$4:$G$40)*Detached!AE$14)+(LOOKUP(Detached!AE$2,'Floor-U'!$A$4:$A$40,'Floor-U'!$G$4:$G$40)*Detached!AE$15)+(LOOKUP(Detached!AE$2,'Wall-U'!$A$4:$A$40,'Wall-U'!$G$4:$G$40)*Detached!AE$12)+(LOOKUP(Detached!AE$2,'Window-U'!$A$4:$A$40,'Window-U'!$R$4:$R$40)*Detached!AE$21))*AE37</f>
        <v>126.74804949902874</v>
      </c>
      <c r="AF40" s="177">
        <f>((LOOKUP(Detached!AF$2,'Ceiling-U'!$A$4:$A$40,'Ceiling-U'!$G$4:$G$40)*Detached!AF$14)+(LOOKUP(Detached!AF$2,'Floor-U'!$A$4:$A$40,'Floor-U'!$G$4:$G$40)*Detached!AF$15)+(LOOKUP(Detached!AF$2,'Wall-U'!$A$4:$A$40,'Wall-U'!$G$4:$G$40)*Detached!AF$12)+(LOOKUP(Detached!AF$2,'Window-U'!$A$4:$A$40,'Window-U'!$R$4:$R$40)*Detached!AF$21))*AF37</f>
        <v>381.40194607094122</v>
      </c>
      <c r="AG40" s="177">
        <f>((LOOKUP(Detached!AG$2,'Ceiling-U'!$A$4:$A$40,'Ceiling-U'!$G$4:$G$40)*Detached!AG$14)+(LOOKUP(Detached!AG$2,'Floor-U'!$A$4:$A$40,'Floor-U'!$G$4:$G$40)*Detached!AG$15)+(LOOKUP(Detached!AG$2,'Wall-U'!$A$4:$A$40,'Wall-U'!$G$4:$G$40)*Detached!AG$12)+(LOOKUP(Detached!AG$2,'Window-U'!$A$4:$A$40,'Window-U'!$R$4:$R$40)*Detached!AG$21))*AG37</f>
        <v>440.19144884366983</v>
      </c>
      <c r="AH40" s="177">
        <f>((LOOKUP(Detached!AH$2,'Ceiling-U'!$A$4:$A$40,'Ceiling-U'!$G$4:$G$40)*Detached!AH$14)+(LOOKUP(Detached!AH$2,'Floor-U'!$A$4:$A$40,'Floor-U'!$G$4:$G$40)*Detached!AH$15)+(LOOKUP(Detached!AH$2,'Wall-U'!$A$4:$A$40,'Wall-U'!$G$4:$G$40)*Detached!AH$12)+(LOOKUP(Detached!AH$2,'Window-U'!$A$4:$A$40,'Window-U'!$R$4:$R$40)*Detached!AH$21))*AH37</f>
        <v>378.74780929536678</v>
      </c>
      <c r="AI40" s="177">
        <f>((LOOKUP(Detached!AI$2,'Ceiling-U'!$A$4:$A$40,'Ceiling-U'!$G$4:$G$40)*Detached!AI$14)+(LOOKUP(Detached!AI$2,'Floor-U'!$A$4:$A$40,'Floor-U'!$G$4:$G$40)*Detached!AI$15)+(LOOKUP(Detached!AI$2,'Wall-U'!$A$4:$A$40,'Wall-U'!$G$4:$G$40)*Detached!AI$12)+(LOOKUP(Detached!AI$2,'Window-U'!$A$4:$A$40,'Window-U'!$R$4:$R$40)*Detached!AI$21))*AI37</f>
        <v>756.59721542084981</v>
      </c>
      <c r="AJ40" s="177">
        <f>((LOOKUP(Detached!AJ$2,'Ceiling-U'!$A$4:$A$40,'Ceiling-U'!$G$4:$G$40)*Detached!AJ$14)+(LOOKUP(Detached!AJ$2,'Floor-U'!$A$4:$A$40,'Floor-U'!$G$4:$G$40)*Detached!AJ$15)+(LOOKUP(Detached!AJ$2,'Wall-U'!$A$4:$A$40,'Wall-U'!$G$4:$G$40)*Detached!AJ$12)+(LOOKUP(Detached!AJ$2,'Window-U'!$A$4:$A$40,'Window-U'!$R$4:$R$40)*Detached!AJ$21))*AJ37</f>
        <v>329.944451793974</v>
      </c>
      <c r="AK40" s="177">
        <f>((LOOKUP(Detached!AK$2,'Ceiling-U'!$A$4:$A$40,'Ceiling-U'!$G$4:$G$40)*Detached!AK$14)+(LOOKUP(Detached!AK$2,'Floor-U'!$A$4:$A$40,'Floor-U'!$G$4:$G$40)*Detached!AK$15)+(LOOKUP(Detached!AK$2,'Wall-U'!$A$4:$A$40,'Wall-U'!$G$4:$G$40)*Detached!AK$12)+(LOOKUP(Detached!AK$2,'Window-U'!$A$4:$A$40,'Window-U'!$R$4:$R$40)*Detached!AK$21))*AK37</f>
        <v>396.1730729087418</v>
      </c>
      <c r="AL40" s="177">
        <f>((LOOKUP(Detached!AL$2,'Ceiling-U'!$A$4:$A$40,'Ceiling-U'!$G$4:$G$40)*Detached!AL$14)+(LOOKUP(Detached!AL$2,'Floor-U'!$A$4:$A$40,'Floor-U'!$G$4:$G$40)*Detached!AL$15)+(LOOKUP(Detached!AL$2,'Wall-U'!$A$4:$A$40,'Wall-U'!$G$4:$G$40)*Detached!AL$12)+(LOOKUP(Detached!AL$2,'Window-U'!$A$4:$A$40,'Window-U'!$R$4:$R$40)*Detached!AL$21))*AL37</f>
        <v>335.48905701053411</v>
      </c>
      <c r="AM40" s="177">
        <f>((LOOKUP(Detached!AM$2,'Ceiling-U'!$A$4:$A$40,'Ceiling-U'!$G$4:$G$40)*Detached!AM$14)+(LOOKUP(Detached!AM$2,'Floor-U'!$A$4:$A$40,'Floor-U'!$G$4:$G$40)*Detached!AM$15)+(LOOKUP(Detached!AM$2,'Wall-U'!$A$4:$A$40,'Wall-U'!$G$4:$G$40)*Detached!AM$12)+(LOOKUP(Detached!AM$2,'Window-U'!$A$4:$A$40,'Window-U'!$R$4:$R$40)*Detached!AM$21))*AM37</f>
        <v>329.944451793974</v>
      </c>
      <c r="AN40" s="178">
        <f>((LOOKUP(Detached!AN$2,'Ceiling-U'!$A$4:$A$40,'Ceiling-U'!$G$4:$G$40)*Detached!AN$14)+(LOOKUP(Detached!AN$2,'Floor-U'!$A$4:$A$40,'Floor-U'!$G$4:$G$40)*Detached!AN$15)+(LOOKUP(Detached!AN$2,'Wall-U'!$A$4:$A$40,'Wall-U'!$G$4:$G$40)*Detached!AN$12)+(LOOKUP(Detached!AN$2,'Window-U'!$A$4:$A$40,'Window-U'!$R$4:$R$40)*Detached!AN$21))*AN37</f>
        <v>329.944451793974</v>
      </c>
    </row>
    <row r="41" spans="1:40">
      <c r="A41" s="372"/>
      <c r="B41" s="142" t="s">
        <v>5</v>
      </c>
      <c r="C41" s="131" t="s">
        <v>195</v>
      </c>
      <c r="D41" s="176">
        <f>((LOOKUP(Detached!D$2,'Ceiling-U'!$A$4:$A$40,'Ceiling-U'!$H$4:$H$40)*Detached!D$14)+(LOOKUP(Detached!D$2,'Floor-U'!$A$4:$A$40,'Floor-U'!$H$4:$H$40)*Detached!D$15)+(LOOKUP(Detached!D$2,'Wall-U'!$A$4:$A$40,'Wall-U'!$H$4:$H$40)*Detached!D$12)+(LOOKUP(Detached!D$2,'Window-U'!$A$4:$A$40,'Window-U'!$R$4:$R$40)*Detached!D$21))*D37</f>
        <v>237.28171186128861</v>
      </c>
      <c r="E41" s="177">
        <f>((LOOKUP(Detached!E$2,'Ceiling-U'!$A$4:$A$40,'Ceiling-U'!$H$4:$H$40)*Detached!E$14)+(LOOKUP(Detached!E$2,'Floor-U'!$A$4:$A$40,'Floor-U'!$H$4:$H$40)*Detached!E$15)+(LOOKUP(Detached!E$2,'Wall-U'!$A$4:$A$40,'Wall-U'!$H$4:$H$40)*Detached!E$12)+(LOOKUP(Detached!E$2,'Window-U'!$A$4:$A$40,'Window-U'!$R$4:$R$40)*Detached!E$21))*E37</f>
        <v>484.11466279502611</v>
      </c>
      <c r="F41" s="177">
        <f>((LOOKUP(Detached!F$2,'Ceiling-U'!$A$4:$A$40,'Ceiling-U'!$H$4:$H$40)*Detached!F$14)+(LOOKUP(Detached!F$2,'Floor-U'!$A$4:$A$40,'Floor-U'!$H$4:$H$40)*Detached!F$15)+(LOOKUP(Detached!F$2,'Wall-U'!$A$4:$A$40,'Wall-U'!$H$4:$H$40)*Detached!F$12)+(LOOKUP(Detached!F$2,'Window-U'!$A$4:$A$40,'Window-U'!$R$4:$R$40)*Detached!F$21))*F37</f>
        <v>268.38616078894802</v>
      </c>
      <c r="G41" s="177">
        <f>((LOOKUP(Detached!G$2,'Ceiling-U'!$A$4:$A$40,'Ceiling-U'!$H$4:$H$40)*Detached!G$14)+(LOOKUP(Detached!G$2,'Floor-U'!$A$4:$A$40,'Floor-U'!$H$4:$H$40)*Detached!G$15)+(LOOKUP(Detached!G$2,'Wall-U'!$A$4:$A$40,'Wall-U'!$H$4:$H$40)*Detached!G$12)+(LOOKUP(Detached!G$2,'Window-U'!$A$4:$A$40,'Window-U'!$R$4:$R$40)*Detached!G$21))*G37</f>
        <v>237.28171186128861</v>
      </c>
      <c r="H41" s="177">
        <f>((LOOKUP(Detached!H$2,'Ceiling-U'!$A$4:$A$40,'Ceiling-U'!$H$4:$H$40)*Detached!H$14)+(LOOKUP(Detached!H$2,'Floor-U'!$A$4:$A$40,'Floor-U'!$H$4:$H$40)*Detached!H$15)+(LOOKUP(Detached!H$2,'Wall-U'!$A$4:$A$40,'Wall-U'!$H$4:$H$40)*Detached!H$12)+(LOOKUP(Detached!H$2,'Window-U'!$A$4:$A$40,'Window-U'!$R$4:$R$40)*Detached!H$21))*H37</f>
        <v>629.08071671442326</v>
      </c>
      <c r="I41" s="177">
        <f>((LOOKUP(Detached!I$2,'Ceiling-U'!$A$4:$A$40,'Ceiling-U'!$H$4:$H$40)*Detached!I$14)+(LOOKUP(Detached!I$2,'Floor-U'!$A$4:$A$40,'Floor-U'!$H$4:$H$40)*Detached!I$15)+(LOOKUP(Detached!I$2,'Wall-U'!$A$4:$A$40,'Wall-U'!$H$4:$H$40)*Detached!I$12)+(LOOKUP(Detached!I$2,'Window-U'!$A$4:$A$40,'Window-U'!$R$4:$R$40)*Detached!I$21))*I37</f>
        <v>247.90542779590453</v>
      </c>
      <c r="J41" s="177">
        <f>((LOOKUP(Detached!J$2,'Ceiling-U'!$A$4:$A$40,'Ceiling-U'!$H$4:$H$40)*Detached!J$14)+(LOOKUP(Detached!J$2,'Floor-U'!$A$4:$A$40,'Floor-U'!$H$4:$H$40)*Detached!J$15)+(LOOKUP(Detached!J$2,'Wall-U'!$A$4:$A$40,'Wall-U'!$H$4:$H$40)*Detached!J$12)+(LOOKUP(Detached!J$2,'Window-U'!$A$4:$A$40,'Window-U'!$R$4:$R$40)*Detached!J$21))*J37</f>
        <v>220.8472483635588</v>
      </c>
      <c r="K41" s="177">
        <f>((LOOKUP(Detached!K$2,'Ceiling-U'!$A$4:$A$40,'Ceiling-U'!$H$4:$H$40)*Detached!K$14)+(LOOKUP(Detached!K$2,'Floor-U'!$A$4:$A$40,'Floor-U'!$H$4:$H$40)*Detached!K$15)+(LOOKUP(Detached!K$2,'Wall-U'!$A$4:$A$40,'Wall-U'!$H$4:$H$40)*Detached!K$12)+(LOOKUP(Detached!K$2,'Window-U'!$A$4:$A$40,'Window-U'!$R$4:$R$40)*Detached!K$21))*K37</f>
        <v>158.52461600488533</v>
      </c>
      <c r="L41" s="177">
        <f>((LOOKUP(Detached!L$2,'Ceiling-U'!$A$4:$A$40,'Ceiling-U'!$H$4:$H$40)*Detached!L$14)+(LOOKUP(Detached!L$2,'Floor-U'!$A$4:$A$40,'Floor-U'!$H$4:$H$40)*Detached!L$15)+(LOOKUP(Detached!L$2,'Wall-U'!$A$4:$A$40,'Wall-U'!$H$4:$H$40)*Detached!L$12)+(LOOKUP(Detached!L$2,'Window-U'!$A$4:$A$40,'Window-U'!$R$4:$R$40)*Detached!L$21))*L37</f>
        <v>115.45844145159579</v>
      </c>
      <c r="M41" s="177">
        <f>((LOOKUP(Detached!M$2,'Ceiling-U'!$A$4:$A$40,'Ceiling-U'!$H$4:$H$40)*Detached!M$14)+(LOOKUP(Detached!M$2,'Floor-U'!$A$4:$A$40,'Floor-U'!$H$4:$H$40)*Detached!M$15)+(LOOKUP(Detached!M$2,'Wall-U'!$A$4:$A$40,'Wall-U'!$H$4:$H$40)*Detached!M$12)+(LOOKUP(Detached!M$2,'Window-U'!$A$4:$A$40,'Window-U'!$R$4:$R$40)*Detached!M$21))*M37</f>
        <v>453.87540670029858</v>
      </c>
      <c r="N41" s="177">
        <f>((LOOKUP(Detached!N$2,'Ceiling-U'!$A$4:$A$40,'Ceiling-U'!$H$4:$H$40)*Detached!N$14)+(LOOKUP(Detached!N$2,'Floor-U'!$A$4:$A$40,'Floor-U'!$H$4:$H$40)*Detached!N$15)+(LOOKUP(Detached!N$2,'Wall-U'!$A$4:$A$40,'Wall-U'!$H$4:$H$40)*Detached!N$12)+(LOOKUP(Detached!N$2,'Window-U'!$A$4:$A$40,'Window-U'!$R$4:$R$40)*Detached!N$21))*N37</f>
        <v>131.03686608819922</v>
      </c>
      <c r="O41" s="177">
        <f>((LOOKUP(Detached!O$2,'Ceiling-U'!$A$4:$A$40,'Ceiling-U'!$H$4:$H$40)*Detached!O$14)+(LOOKUP(Detached!O$2,'Floor-U'!$A$4:$A$40,'Floor-U'!$H$4:$H$40)*Detached!O$15)+(LOOKUP(Detached!O$2,'Wall-U'!$A$4:$A$40,'Wall-U'!$H$4:$H$40)*Detached!O$12)+(LOOKUP(Detached!O$2,'Window-U'!$A$4:$A$40,'Window-U'!$R$4:$R$40)*Detached!O$21))*O37</f>
        <v>277.83999911768711</v>
      </c>
      <c r="P41" s="177">
        <f>((LOOKUP(Detached!P$2,'Ceiling-U'!$A$4:$A$40,'Ceiling-U'!$H$4:$H$40)*Detached!P$14)+(LOOKUP(Detached!P$2,'Floor-U'!$A$4:$A$40,'Floor-U'!$H$4:$H$40)*Detached!P$15)+(LOOKUP(Detached!P$2,'Wall-U'!$A$4:$A$40,'Wall-U'!$H$4:$H$40)*Detached!P$12)+(LOOKUP(Detached!P$2,'Window-U'!$A$4:$A$40,'Window-U'!$R$4:$R$40)*Detached!P$21))*P37</f>
        <v>732.57761597084971</v>
      </c>
      <c r="Q41" s="177">
        <f>((LOOKUP(Detached!Q$2,'Ceiling-U'!$A$4:$A$40,'Ceiling-U'!$H$4:$H$40)*Detached!Q$14)+(LOOKUP(Detached!Q$2,'Floor-U'!$A$4:$A$40,'Floor-U'!$H$4:$H$40)*Detached!Q$15)+(LOOKUP(Detached!Q$2,'Wall-U'!$A$4:$A$40,'Wall-U'!$H$4:$H$40)*Detached!Q$12)+(LOOKUP(Detached!Q$2,'Window-U'!$A$4:$A$40,'Window-U'!$R$4:$R$40)*Detached!Q$21))*Q37</f>
        <v>308.2976693714844</v>
      </c>
      <c r="R41" s="177">
        <f>((LOOKUP(Detached!R$2,'Ceiling-U'!$A$4:$A$40,'Ceiling-U'!$H$4:$H$40)*Detached!R$14)+(LOOKUP(Detached!R$2,'Floor-U'!$A$4:$A$40,'Floor-U'!$H$4:$H$40)*Detached!R$15)+(LOOKUP(Detached!R$2,'Wall-U'!$A$4:$A$40,'Wall-U'!$H$4:$H$40)*Detached!R$12)+(LOOKUP(Detached!R$2,'Window-U'!$A$4:$A$40,'Window-U'!$R$4:$R$40)*Detached!R$21))*R37</f>
        <v>259.0783657680721</v>
      </c>
      <c r="S41" s="177">
        <f>((LOOKUP(Detached!S$2,'Ceiling-U'!$A$4:$A$40,'Ceiling-U'!$H$4:$H$40)*Detached!S$14)+(LOOKUP(Detached!S$2,'Floor-U'!$A$4:$A$40,'Floor-U'!$H$4:$H$40)*Detached!S$15)+(LOOKUP(Detached!S$2,'Wall-U'!$A$4:$A$40,'Wall-U'!$H$4:$H$40)*Detached!S$12)+(LOOKUP(Detached!S$2,'Window-U'!$A$4:$A$40,'Window-U'!$R$4:$R$40)*Detached!S$21))*S37</f>
        <v>313.94539601914505</v>
      </c>
      <c r="T41" s="177">
        <f>((LOOKUP(Detached!T$2,'Ceiling-U'!$A$4:$A$40,'Ceiling-U'!$H$4:$H$40)*Detached!T$14)+(LOOKUP(Detached!T$2,'Floor-U'!$A$4:$A$40,'Floor-U'!$H$4:$H$40)*Detached!T$15)+(LOOKUP(Detached!T$2,'Wall-U'!$A$4:$A$40,'Wall-U'!$H$4:$H$40)*Detached!T$12)+(LOOKUP(Detached!T$2,'Window-U'!$A$4:$A$40,'Window-U'!$R$4:$R$40)*Detached!T$21))*T37</f>
        <v>131.03686608819922</v>
      </c>
      <c r="U41" s="177">
        <f>((LOOKUP(Detached!U$2,'Ceiling-U'!$A$4:$A$40,'Ceiling-U'!$H$4:$H$40)*Detached!U$14)+(LOOKUP(Detached!U$2,'Floor-U'!$A$4:$A$40,'Floor-U'!$H$4:$H$40)*Detached!U$15)+(LOOKUP(Detached!U$2,'Wall-U'!$A$4:$A$40,'Wall-U'!$H$4:$H$40)*Detached!U$12)+(LOOKUP(Detached!U$2,'Window-U'!$A$4:$A$40,'Window-U'!$R$4:$R$40)*Detached!U$21))*U37</f>
        <v>435.6978169401504</v>
      </c>
      <c r="V41" s="177">
        <f>((LOOKUP(Detached!V$2,'Ceiling-U'!$A$4:$A$40,'Ceiling-U'!$H$4:$H$40)*Detached!V$14)+(LOOKUP(Detached!V$2,'Floor-U'!$A$4:$A$40,'Floor-U'!$H$4:$H$40)*Detached!V$15)+(LOOKUP(Detached!V$2,'Wall-U'!$A$4:$A$40,'Wall-U'!$H$4:$H$40)*Detached!V$12)+(LOOKUP(Detached!V$2,'Window-U'!$A$4:$A$40,'Window-U'!$R$4:$R$40)*Detached!V$21))*V37</f>
        <v>202.05503322188488</v>
      </c>
      <c r="W41" s="177">
        <f>((LOOKUP(Detached!W$2,'Ceiling-U'!$A$4:$A$40,'Ceiling-U'!$H$4:$H$40)*Detached!W$14)+(LOOKUP(Detached!W$2,'Floor-U'!$A$4:$A$40,'Floor-U'!$H$4:$H$40)*Detached!W$15)+(LOOKUP(Detached!W$2,'Wall-U'!$A$4:$A$40,'Wall-U'!$H$4:$H$40)*Detached!W$12)+(LOOKUP(Detached!W$2,'Window-U'!$A$4:$A$40,'Window-U'!$R$4:$R$40)*Detached!W$21))*W37</f>
        <v>189.26455948841377</v>
      </c>
      <c r="X41" s="177">
        <f>((LOOKUP(Detached!X$2,'Ceiling-U'!$A$4:$A$40,'Ceiling-U'!$H$4:$H$40)*Detached!X$14)+(LOOKUP(Detached!X$2,'Floor-U'!$A$4:$A$40,'Floor-U'!$H$4:$H$40)*Detached!X$15)+(LOOKUP(Detached!X$2,'Wall-U'!$A$4:$A$40,'Wall-U'!$H$4:$H$40)*Detached!X$12)+(LOOKUP(Detached!X$2,'Window-U'!$A$4:$A$40,'Window-U'!$R$4:$R$40)*Detached!X$21))*X37</f>
        <v>179.35160030897802</v>
      </c>
      <c r="Y41" s="177">
        <f>((LOOKUP(Detached!Y$2,'Ceiling-U'!$A$4:$A$40,'Ceiling-U'!$H$4:$H$40)*Detached!Y$14)+(LOOKUP(Detached!Y$2,'Floor-U'!$A$4:$A$40,'Floor-U'!$H$4:$H$40)*Detached!Y$15)+(LOOKUP(Detached!Y$2,'Wall-U'!$A$4:$A$40,'Wall-U'!$H$4:$H$40)*Detached!Y$12)+(LOOKUP(Detached!Y$2,'Window-U'!$A$4:$A$40,'Window-U'!$R$4:$R$40)*Detached!Y$21))*Y37</f>
        <v>589.70925791444756</v>
      </c>
      <c r="Z41" s="177">
        <f>((LOOKUP(Detached!Z$2,'Ceiling-U'!$A$4:$A$40,'Ceiling-U'!$H$4:$H$40)*Detached!Z$14)+(LOOKUP(Detached!Z$2,'Floor-U'!$A$4:$A$40,'Floor-U'!$H$4:$H$40)*Detached!Z$15)+(LOOKUP(Detached!Z$2,'Wall-U'!$A$4:$A$40,'Wall-U'!$H$4:$H$40)*Detached!Z$12)+(LOOKUP(Detached!Z$2,'Window-U'!$A$4:$A$40,'Window-U'!$R$4:$R$40)*Detached!Z$21))*Z37</f>
        <v>274.52807286502053</v>
      </c>
      <c r="AA41" s="177">
        <f>((LOOKUP(Detached!AA$2,'Ceiling-U'!$A$4:$A$40,'Ceiling-U'!$H$4:$H$40)*Detached!AA$14)+(LOOKUP(Detached!AA$2,'Floor-U'!$A$4:$A$40,'Floor-U'!$H$4:$H$40)*Detached!AA$15)+(LOOKUP(Detached!AA$2,'Wall-U'!$A$4:$A$40,'Wall-U'!$H$4:$H$40)*Detached!AA$12)+(LOOKUP(Detached!AA$2,'Window-U'!$A$4:$A$40,'Window-U'!$R$4:$R$40)*Detached!AA$21))*AA37</f>
        <v>126.74804949902874</v>
      </c>
      <c r="AB41" s="177">
        <f>((LOOKUP(Detached!AB$2,'Ceiling-U'!$A$4:$A$40,'Ceiling-U'!$H$4:$H$40)*Detached!AB$14)+(LOOKUP(Detached!AB$2,'Floor-U'!$A$4:$A$40,'Floor-U'!$H$4:$H$40)*Detached!AB$15)+(LOOKUP(Detached!AB$2,'Wall-U'!$A$4:$A$40,'Wall-U'!$H$4:$H$40)*Detached!AB$12)+(LOOKUP(Detached!AB$2,'Window-U'!$A$4:$A$40,'Window-U'!$R$4:$R$40)*Detached!AB$21))*AB37</f>
        <v>256.93583619823528</v>
      </c>
      <c r="AC41" s="177">
        <f>((LOOKUP(Detached!AC$2,'Ceiling-U'!$A$4:$A$40,'Ceiling-U'!$H$4:$H$40)*Detached!AC$14)+(LOOKUP(Detached!AC$2,'Floor-U'!$A$4:$A$40,'Floor-U'!$H$4:$H$40)*Detached!AC$15)+(LOOKUP(Detached!AC$2,'Wall-U'!$A$4:$A$40,'Wall-U'!$H$4:$H$40)*Detached!AC$12)+(LOOKUP(Detached!AC$2,'Window-U'!$A$4:$A$40,'Window-U'!$R$4:$R$40)*Detached!AC$21))*AC37</f>
        <v>653.11399347691406</v>
      </c>
      <c r="AD41" s="177">
        <f>((LOOKUP(Detached!AD$2,'Ceiling-U'!$A$4:$A$40,'Ceiling-U'!$H$4:$H$40)*Detached!AD$14)+(LOOKUP(Detached!AD$2,'Floor-U'!$A$4:$A$40,'Floor-U'!$H$4:$H$40)*Detached!AD$15)+(LOOKUP(Detached!AD$2,'Wall-U'!$A$4:$A$40,'Wall-U'!$H$4:$H$40)*Detached!AD$12)+(LOOKUP(Detached!AD$2,'Window-U'!$A$4:$A$40,'Window-U'!$R$4:$R$40)*Detached!AD$21))*AD37</f>
        <v>336.63870302807953</v>
      </c>
      <c r="AE41" s="177">
        <f>((LOOKUP(Detached!AE$2,'Ceiling-U'!$A$4:$A$40,'Ceiling-U'!$H$4:$H$40)*Detached!AE$14)+(LOOKUP(Detached!AE$2,'Floor-U'!$A$4:$A$40,'Floor-U'!$H$4:$H$40)*Detached!AE$15)+(LOOKUP(Detached!AE$2,'Wall-U'!$A$4:$A$40,'Wall-U'!$H$4:$H$40)*Detached!AE$12)+(LOOKUP(Detached!AE$2,'Window-U'!$A$4:$A$40,'Window-U'!$R$4:$R$40)*Detached!AE$21))*AE37</f>
        <v>126.74804949902874</v>
      </c>
      <c r="AF41" s="177">
        <f>((LOOKUP(Detached!AF$2,'Ceiling-U'!$A$4:$A$40,'Ceiling-U'!$H$4:$H$40)*Detached!AF$14)+(LOOKUP(Detached!AF$2,'Floor-U'!$A$4:$A$40,'Floor-U'!$H$4:$H$40)*Detached!AF$15)+(LOOKUP(Detached!AF$2,'Wall-U'!$A$4:$A$40,'Wall-U'!$H$4:$H$40)*Detached!AF$12)+(LOOKUP(Detached!AF$2,'Window-U'!$A$4:$A$40,'Window-U'!$R$4:$R$40)*Detached!AF$21))*AF37</f>
        <v>291.15671044560509</v>
      </c>
      <c r="AG41" s="177">
        <f>((LOOKUP(Detached!AG$2,'Ceiling-U'!$A$4:$A$40,'Ceiling-U'!$H$4:$H$40)*Detached!AG$14)+(LOOKUP(Detached!AG$2,'Floor-U'!$A$4:$A$40,'Floor-U'!$H$4:$H$40)*Detached!AG$15)+(LOOKUP(Detached!AG$2,'Wall-U'!$A$4:$A$40,'Wall-U'!$H$4:$H$40)*Detached!AG$12)+(LOOKUP(Detached!AG$2,'Window-U'!$A$4:$A$40,'Window-U'!$R$4:$R$40)*Detached!AG$21))*AG37</f>
        <v>377.42961199472484</v>
      </c>
      <c r="AH41" s="177">
        <f>((LOOKUP(Detached!AH$2,'Ceiling-U'!$A$4:$A$40,'Ceiling-U'!$H$4:$H$40)*Detached!AH$14)+(LOOKUP(Detached!AH$2,'Floor-U'!$A$4:$A$40,'Floor-U'!$H$4:$H$40)*Detached!AH$15)+(LOOKUP(Detached!AH$2,'Wall-U'!$A$4:$A$40,'Wall-U'!$H$4:$H$40)*Detached!AH$12)+(LOOKUP(Detached!AH$2,'Window-U'!$A$4:$A$40,'Window-U'!$R$4:$R$40)*Detached!AH$21))*AH37</f>
        <v>197.09781952755577</v>
      </c>
      <c r="AI41" s="177">
        <f>((LOOKUP(Detached!AI$2,'Ceiling-U'!$A$4:$A$40,'Ceiling-U'!$H$4:$H$40)*Detached!AI$14)+(LOOKUP(Detached!AI$2,'Floor-U'!$A$4:$A$40,'Floor-U'!$H$4:$H$40)*Detached!AI$15)+(LOOKUP(Detached!AI$2,'Wall-U'!$A$4:$A$40,'Wall-U'!$H$4:$H$40)*Detached!AI$12)+(LOOKUP(Detached!AI$2,'Window-U'!$A$4:$A$40,'Window-U'!$R$4:$R$40)*Detached!AI$21))*AI37</f>
        <v>732.57761597084971</v>
      </c>
      <c r="AJ41" s="177">
        <f>((LOOKUP(Detached!AJ$2,'Ceiling-U'!$A$4:$A$40,'Ceiling-U'!$H$4:$H$40)*Detached!AJ$14)+(LOOKUP(Detached!AJ$2,'Floor-U'!$A$4:$A$40,'Floor-U'!$H$4:$H$40)*Detached!AJ$15)+(LOOKUP(Detached!AJ$2,'Wall-U'!$A$4:$A$40,'Wall-U'!$H$4:$H$40)*Detached!AJ$12)+(LOOKUP(Detached!AJ$2,'Window-U'!$A$4:$A$40,'Window-U'!$R$4:$R$40)*Detached!AJ$21))*AJ37</f>
        <v>278.2561837827393</v>
      </c>
      <c r="AK41" s="177">
        <f>((LOOKUP(Detached!AK$2,'Ceiling-U'!$A$4:$A$40,'Ceiling-U'!$H$4:$H$40)*Detached!AK$14)+(LOOKUP(Detached!AK$2,'Floor-U'!$A$4:$A$40,'Floor-U'!$H$4:$H$40)*Detached!AK$15)+(LOOKUP(Detached!AK$2,'Wall-U'!$A$4:$A$40,'Wall-U'!$H$4:$H$40)*Detached!AK$12)+(LOOKUP(Detached!AK$2,'Window-U'!$A$4:$A$40,'Window-U'!$R$4:$R$40)*Detached!AK$21))*AK37</f>
        <v>331.87726079262256</v>
      </c>
      <c r="AL41" s="177">
        <f>((LOOKUP(Detached!AL$2,'Ceiling-U'!$A$4:$A$40,'Ceiling-U'!$H$4:$H$40)*Detached!AL$14)+(LOOKUP(Detached!AL$2,'Floor-U'!$A$4:$A$40,'Floor-U'!$H$4:$H$40)*Detached!AL$15)+(LOOKUP(Detached!AL$2,'Wall-U'!$A$4:$A$40,'Wall-U'!$H$4:$H$40)*Detached!AL$12)+(LOOKUP(Detached!AL$2,'Window-U'!$A$4:$A$40,'Window-U'!$R$4:$R$40)*Detached!AL$21))*AL37</f>
        <v>281.41489630867676</v>
      </c>
      <c r="AM41" s="177">
        <f>((LOOKUP(Detached!AM$2,'Ceiling-U'!$A$4:$A$40,'Ceiling-U'!$H$4:$H$40)*Detached!AM$14)+(LOOKUP(Detached!AM$2,'Floor-U'!$A$4:$A$40,'Floor-U'!$H$4:$H$40)*Detached!AM$15)+(LOOKUP(Detached!AM$2,'Wall-U'!$A$4:$A$40,'Wall-U'!$H$4:$H$40)*Detached!AM$12)+(LOOKUP(Detached!AM$2,'Window-U'!$A$4:$A$40,'Window-U'!$R$4:$R$40)*Detached!AM$21))*AM37</f>
        <v>278.2561837827393</v>
      </c>
      <c r="AN41" s="178">
        <f>((LOOKUP(Detached!AN$2,'Ceiling-U'!$A$4:$A$40,'Ceiling-U'!$H$4:$H$40)*Detached!AN$14)+(LOOKUP(Detached!AN$2,'Floor-U'!$A$4:$A$40,'Floor-U'!$H$4:$H$40)*Detached!AN$15)+(LOOKUP(Detached!AN$2,'Wall-U'!$A$4:$A$40,'Wall-U'!$H$4:$H$40)*Detached!AN$12)+(LOOKUP(Detached!AN$2,'Window-U'!$A$4:$A$40,'Window-U'!$R$4:$R$40)*Detached!AN$21))*AN37</f>
        <v>278.2561837827393</v>
      </c>
    </row>
    <row r="42" spans="1:40">
      <c r="A42" s="372"/>
      <c r="B42" s="142" t="s">
        <v>6</v>
      </c>
      <c r="C42" s="131" t="s">
        <v>195</v>
      </c>
      <c r="D42" s="176">
        <f>((LOOKUP(Detached!D$2,'Ceiling-U'!$A$4:$A$40,'Ceiling-U'!$I$4:$I$40)*Detached!D$14)+(LOOKUP(Detached!D$2,'Floor-U'!$A$4:$A$40,'Floor-U'!$I$4:$I$40)*Detached!D$15)+(LOOKUP(Detached!D$2,'Wall-U'!$A$4:$A$40,'Wall-U'!$I$4:$I$40)*Detached!D$12)+(LOOKUP(Detached!D$2,'Window-U'!$A$4:$A$40,'Window-U'!$R$4:$R$40)*Detached!D$21))*D37</f>
        <v>202.76255599906818</v>
      </c>
      <c r="E42" s="177">
        <f>((LOOKUP(Detached!E$2,'Ceiling-U'!$A$4:$A$40,'Ceiling-U'!$I$4:$I$40)*Detached!E$14)+(LOOKUP(Detached!E$2,'Floor-U'!$A$4:$A$40,'Floor-U'!$I$4:$I$40)*Detached!E$15)+(LOOKUP(Detached!E$2,'Wall-U'!$A$4:$A$40,'Wall-U'!$I$4:$I$40)*Detached!E$12)+(LOOKUP(Detached!E$2,'Window-U'!$A$4:$A$40,'Window-U'!$R$4:$R$40)*Detached!E$21))*E37</f>
        <v>484.11466279502611</v>
      </c>
      <c r="F42" s="177">
        <f>((LOOKUP(Detached!F$2,'Ceiling-U'!$A$4:$A$40,'Ceiling-U'!$I$4:$I$40)*Detached!F$14)+(LOOKUP(Detached!F$2,'Floor-U'!$A$4:$A$40,'Floor-U'!$I$4:$I$40)*Detached!F$15)+(LOOKUP(Detached!F$2,'Wall-U'!$A$4:$A$40,'Wall-U'!$I$4:$I$40)*Detached!F$12)+(LOOKUP(Detached!F$2,'Window-U'!$A$4:$A$40,'Window-U'!$R$4:$R$40)*Detached!F$21))*F37</f>
        <v>204.92045518356088</v>
      </c>
      <c r="G42" s="177">
        <f>((LOOKUP(Detached!G$2,'Ceiling-U'!$A$4:$A$40,'Ceiling-U'!$I$4:$I$40)*Detached!G$14)+(LOOKUP(Detached!G$2,'Floor-U'!$A$4:$A$40,'Floor-U'!$I$4:$I$40)*Detached!G$15)+(LOOKUP(Detached!G$2,'Wall-U'!$A$4:$A$40,'Wall-U'!$I$4:$I$40)*Detached!G$12)+(LOOKUP(Detached!G$2,'Window-U'!$A$4:$A$40,'Window-U'!$R$4:$R$40)*Detached!G$21))*G37</f>
        <v>202.76255599906818</v>
      </c>
      <c r="H42" s="177">
        <f>((LOOKUP(Detached!H$2,'Ceiling-U'!$A$4:$A$40,'Ceiling-U'!$I$4:$I$40)*Detached!H$14)+(LOOKUP(Detached!H$2,'Floor-U'!$A$4:$A$40,'Floor-U'!$I$4:$I$40)*Detached!H$15)+(LOOKUP(Detached!H$2,'Wall-U'!$A$4:$A$40,'Wall-U'!$I$4:$I$40)*Detached!H$12)+(LOOKUP(Detached!H$2,'Window-U'!$A$4:$A$40,'Window-U'!$R$4:$R$40)*Detached!H$21))*H37</f>
        <v>629.08071671442326</v>
      </c>
      <c r="I42" s="177">
        <f>((LOOKUP(Detached!I$2,'Ceiling-U'!$A$4:$A$40,'Ceiling-U'!$I$4:$I$40)*Detached!I$14)+(LOOKUP(Detached!I$2,'Floor-U'!$A$4:$A$40,'Floor-U'!$I$4:$I$40)*Detached!I$15)+(LOOKUP(Detached!I$2,'Wall-U'!$A$4:$A$40,'Wall-U'!$I$4:$I$40)*Detached!I$12)+(LOOKUP(Detached!I$2,'Window-U'!$A$4:$A$40,'Window-U'!$R$4:$R$40)*Detached!I$21))*I37</f>
        <v>185.07105207593864</v>
      </c>
      <c r="J42" s="177">
        <f>((LOOKUP(Detached!J$2,'Ceiling-U'!$A$4:$A$40,'Ceiling-U'!$I$4:$I$40)*Detached!J$14)+(LOOKUP(Detached!J$2,'Floor-U'!$A$4:$A$40,'Floor-U'!$I$4:$I$40)*Detached!J$15)+(LOOKUP(Detached!J$2,'Wall-U'!$A$4:$A$40,'Wall-U'!$I$4:$I$40)*Detached!J$12)+(LOOKUP(Detached!J$2,'Window-U'!$A$4:$A$40,'Window-U'!$R$4:$R$40)*Detached!J$21))*J37</f>
        <v>136.40099138671812</v>
      </c>
      <c r="K42" s="177">
        <f>((LOOKUP(Detached!K$2,'Ceiling-U'!$A$4:$A$40,'Ceiling-U'!$I$4:$I$40)*Detached!K$14)+(LOOKUP(Detached!K$2,'Floor-U'!$A$4:$A$40,'Floor-U'!$I$4:$I$40)*Detached!K$15)+(LOOKUP(Detached!K$2,'Wall-U'!$A$4:$A$40,'Wall-U'!$I$4:$I$40)*Detached!K$12)+(LOOKUP(Detached!K$2,'Window-U'!$A$4:$A$40,'Window-U'!$R$4:$R$40)*Detached!K$21))*K37</f>
        <v>158.52461600488533</v>
      </c>
      <c r="L42" s="177">
        <f>((LOOKUP(Detached!L$2,'Ceiling-U'!$A$4:$A$40,'Ceiling-U'!$I$4:$I$40)*Detached!L$14)+(LOOKUP(Detached!L$2,'Floor-U'!$A$4:$A$40,'Floor-U'!$I$4:$I$40)*Detached!L$15)+(LOOKUP(Detached!L$2,'Wall-U'!$A$4:$A$40,'Wall-U'!$I$4:$I$40)*Detached!L$12)+(LOOKUP(Detached!L$2,'Window-U'!$A$4:$A$40,'Window-U'!$R$4:$R$40)*Detached!L$21))*L37</f>
        <v>103.26571292126098</v>
      </c>
      <c r="M42" s="177">
        <f>((LOOKUP(Detached!M$2,'Ceiling-U'!$A$4:$A$40,'Ceiling-U'!$I$4:$I$40)*Detached!M$14)+(LOOKUP(Detached!M$2,'Floor-U'!$A$4:$A$40,'Floor-U'!$I$4:$I$40)*Detached!M$15)+(LOOKUP(Detached!M$2,'Wall-U'!$A$4:$A$40,'Wall-U'!$I$4:$I$40)*Detached!M$12)+(LOOKUP(Detached!M$2,'Window-U'!$A$4:$A$40,'Window-U'!$R$4:$R$40)*Detached!M$21))*M37</f>
        <v>453.87540670029858</v>
      </c>
      <c r="N42" s="177">
        <f>((LOOKUP(Detached!N$2,'Ceiling-U'!$A$4:$A$40,'Ceiling-U'!$I$4:$I$40)*Detached!N$14)+(LOOKUP(Detached!N$2,'Floor-U'!$A$4:$A$40,'Floor-U'!$I$4:$I$40)*Detached!N$15)+(LOOKUP(Detached!N$2,'Wall-U'!$A$4:$A$40,'Wall-U'!$I$4:$I$40)*Detached!N$12)+(LOOKUP(Detached!N$2,'Window-U'!$A$4:$A$40,'Window-U'!$R$4:$R$40)*Detached!N$21))*N37</f>
        <v>129.29767764805538</v>
      </c>
      <c r="O42" s="177">
        <f>((LOOKUP(Detached!O$2,'Ceiling-U'!$A$4:$A$40,'Ceiling-U'!$I$4:$I$40)*Detached!O$14)+(LOOKUP(Detached!O$2,'Floor-U'!$A$4:$A$40,'Floor-U'!$I$4:$I$40)*Detached!O$15)+(LOOKUP(Detached!O$2,'Wall-U'!$A$4:$A$40,'Wall-U'!$I$4:$I$40)*Detached!O$12)+(LOOKUP(Detached!O$2,'Window-U'!$A$4:$A$40,'Window-U'!$R$4:$R$40)*Detached!O$21))*O37</f>
        <v>165.33470039539949</v>
      </c>
      <c r="P42" s="177">
        <f>((LOOKUP(Detached!P$2,'Ceiling-U'!$A$4:$A$40,'Ceiling-U'!$I$4:$I$40)*Detached!P$14)+(LOOKUP(Detached!P$2,'Floor-U'!$A$4:$A$40,'Floor-U'!$I$4:$I$40)*Detached!P$15)+(LOOKUP(Detached!P$2,'Wall-U'!$A$4:$A$40,'Wall-U'!$I$4:$I$40)*Detached!P$12)+(LOOKUP(Detached!P$2,'Window-U'!$A$4:$A$40,'Window-U'!$R$4:$R$40)*Detached!P$21))*P37</f>
        <v>732.57761597084971</v>
      </c>
      <c r="Q42" s="177">
        <f>((LOOKUP(Detached!Q$2,'Ceiling-U'!$A$4:$A$40,'Ceiling-U'!$I$4:$I$40)*Detached!Q$14)+(LOOKUP(Detached!Q$2,'Floor-U'!$A$4:$A$40,'Floor-U'!$I$4:$I$40)*Detached!Q$15)+(LOOKUP(Detached!Q$2,'Wall-U'!$A$4:$A$40,'Wall-U'!$I$4:$I$40)*Detached!Q$12)+(LOOKUP(Detached!Q$2,'Window-U'!$A$4:$A$40,'Window-U'!$R$4:$R$40)*Detached!Q$21))*Q37</f>
        <v>217.15401446682432</v>
      </c>
      <c r="R42" s="177">
        <f>((LOOKUP(Detached!R$2,'Ceiling-U'!$A$4:$A$40,'Ceiling-U'!$I$4:$I$40)*Detached!R$14)+(LOOKUP(Detached!R$2,'Floor-U'!$A$4:$A$40,'Floor-U'!$I$4:$I$40)*Detached!R$15)+(LOOKUP(Detached!R$2,'Wall-U'!$A$4:$A$40,'Wall-U'!$I$4:$I$40)*Detached!R$12)+(LOOKUP(Detached!R$2,'Window-U'!$A$4:$A$40,'Window-U'!$R$4:$R$40)*Detached!R$21))*R37</f>
        <v>259.0783657680721</v>
      </c>
      <c r="S42" s="177">
        <f>((LOOKUP(Detached!S$2,'Ceiling-U'!$A$4:$A$40,'Ceiling-U'!$I$4:$I$40)*Detached!S$14)+(LOOKUP(Detached!S$2,'Floor-U'!$A$4:$A$40,'Floor-U'!$I$4:$I$40)*Detached!S$15)+(LOOKUP(Detached!S$2,'Wall-U'!$A$4:$A$40,'Wall-U'!$I$4:$I$40)*Detached!S$12)+(LOOKUP(Detached!S$2,'Window-U'!$A$4:$A$40,'Window-U'!$R$4:$R$40)*Detached!S$21))*S37</f>
        <v>256.79594228202552</v>
      </c>
      <c r="T42" s="177">
        <f>((LOOKUP(Detached!T$2,'Ceiling-U'!$A$4:$A$40,'Ceiling-U'!$I$4:$I$40)*Detached!T$14)+(LOOKUP(Detached!T$2,'Floor-U'!$A$4:$A$40,'Floor-U'!$I$4:$I$40)*Detached!T$15)+(LOOKUP(Detached!T$2,'Wall-U'!$A$4:$A$40,'Wall-U'!$I$4:$I$40)*Detached!T$12)+(LOOKUP(Detached!T$2,'Window-U'!$A$4:$A$40,'Window-U'!$R$4:$R$40)*Detached!T$21))*T37</f>
        <v>129.29767764805538</v>
      </c>
      <c r="U42" s="177">
        <f>((LOOKUP(Detached!U$2,'Ceiling-U'!$A$4:$A$40,'Ceiling-U'!$I$4:$I$40)*Detached!U$14)+(LOOKUP(Detached!U$2,'Floor-U'!$A$4:$A$40,'Floor-U'!$I$4:$I$40)*Detached!U$15)+(LOOKUP(Detached!U$2,'Wall-U'!$A$4:$A$40,'Wall-U'!$I$4:$I$40)*Detached!U$12)+(LOOKUP(Detached!U$2,'Window-U'!$A$4:$A$40,'Window-U'!$R$4:$R$40)*Detached!U$21))*U37</f>
        <v>395.99080064912789</v>
      </c>
      <c r="V42" s="177">
        <f>((LOOKUP(Detached!V$2,'Ceiling-U'!$A$4:$A$40,'Ceiling-U'!$I$4:$I$40)*Detached!V$14)+(LOOKUP(Detached!V$2,'Floor-U'!$A$4:$A$40,'Floor-U'!$I$4:$I$40)*Detached!V$15)+(LOOKUP(Detached!V$2,'Wall-U'!$A$4:$A$40,'Wall-U'!$I$4:$I$40)*Detached!V$12)+(LOOKUP(Detached!V$2,'Window-U'!$A$4:$A$40,'Window-U'!$R$4:$R$40)*Detached!V$21))*V37</f>
        <v>202.05503322188488</v>
      </c>
      <c r="W42" s="177">
        <f>((LOOKUP(Detached!W$2,'Ceiling-U'!$A$4:$A$40,'Ceiling-U'!$I$4:$I$40)*Detached!W$14)+(LOOKUP(Detached!W$2,'Floor-U'!$A$4:$A$40,'Floor-U'!$I$4:$I$40)*Detached!W$15)+(LOOKUP(Detached!W$2,'Wall-U'!$A$4:$A$40,'Wall-U'!$I$4:$I$40)*Detached!W$12)+(LOOKUP(Detached!W$2,'Window-U'!$A$4:$A$40,'Window-U'!$R$4:$R$40)*Detached!W$21))*W37</f>
        <v>167.56154927680234</v>
      </c>
      <c r="X42" s="177">
        <f>((LOOKUP(Detached!X$2,'Ceiling-U'!$A$4:$A$40,'Ceiling-U'!$I$4:$I$40)*Detached!X$14)+(LOOKUP(Detached!X$2,'Floor-U'!$A$4:$A$40,'Floor-U'!$I$4:$I$40)*Detached!X$15)+(LOOKUP(Detached!X$2,'Wall-U'!$A$4:$A$40,'Wall-U'!$I$4:$I$40)*Detached!X$12)+(LOOKUP(Detached!X$2,'Window-U'!$A$4:$A$40,'Window-U'!$R$4:$R$40)*Detached!X$21))*X37</f>
        <v>176.20160030897802</v>
      </c>
      <c r="Y42" s="177">
        <f>((LOOKUP(Detached!Y$2,'Ceiling-U'!$A$4:$A$40,'Ceiling-U'!$I$4:$I$40)*Detached!Y$14)+(LOOKUP(Detached!Y$2,'Floor-U'!$A$4:$A$40,'Floor-U'!$I$4:$I$40)*Detached!Y$15)+(LOOKUP(Detached!Y$2,'Wall-U'!$A$4:$A$40,'Wall-U'!$I$4:$I$40)*Detached!Y$12)+(LOOKUP(Detached!Y$2,'Window-U'!$A$4:$A$40,'Window-U'!$R$4:$R$40)*Detached!Y$21))*Y37</f>
        <v>577.38340103632254</v>
      </c>
      <c r="Z42" s="177">
        <f>((LOOKUP(Detached!Z$2,'Ceiling-U'!$A$4:$A$40,'Ceiling-U'!$I$4:$I$40)*Detached!Z$14)+(LOOKUP(Detached!Z$2,'Floor-U'!$A$4:$A$40,'Floor-U'!$I$4:$I$40)*Detached!Z$15)+(LOOKUP(Detached!Z$2,'Wall-U'!$A$4:$A$40,'Wall-U'!$I$4:$I$40)*Detached!Z$12)+(LOOKUP(Detached!Z$2,'Window-U'!$A$4:$A$40,'Window-U'!$R$4:$R$40)*Detached!Z$21))*Z37</f>
        <v>249.16419522631816</v>
      </c>
      <c r="AA42" s="177">
        <f>((LOOKUP(Detached!AA$2,'Ceiling-U'!$A$4:$A$40,'Ceiling-U'!$I$4:$I$40)*Detached!AA$14)+(LOOKUP(Detached!AA$2,'Floor-U'!$A$4:$A$40,'Floor-U'!$I$4:$I$40)*Detached!AA$15)+(LOOKUP(Detached!AA$2,'Wall-U'!$A$4:$A$40,'Wall-U'!$I$4:$I$40)*Detached!AA$12)+(LOOKUP(Detached!AA$2,'Window-U'!$A$4:$A$40,'Window-U'!$R$4:$R$40)*Detached!AA$21))*AA37</f>
        <v>111.56160563930069</v>
      </c>
      <c r="AB42" s="177">
        <f>((LOOKUP(Detached!AB$2,'Ceiling-U'!$A$4:$A$40,'Ceiling-U'!$I$4:$I$40)*Detached!AB$14)+(LOOKUP(Detached!AB$2,'Floor-U'!$A$4:$A$40,'Floor-U'!$I$4:$I$40)*Detached!AB$15)+(LOOKUP(Detached!AB$2,'Wall-U'!$A$4:$A$40,'Wall-U'!$I$4:$I$40)*Detached!AB$12)+(LOOKUP(Detached!AB$2,'Window-U'!$A$4:$A$40,'Window-U'!$R$4:$R$40)*Detached!AB$21))*AB37</f>
        <v>256.93583619823528</v>
      </c>
      <c r="AC42" s="177">
        <f>((LOOKUP(Detached!AC$2,'Ceiling-U'!$A$4:$A$40,'Ceiling-U'!$I$4:$I$40)*Detached!AC$14)+(LOOKUP(Detached!AC$2,'Floor-U'!$A$4:$A$40,'Floor-U'!$I$4:$I$40)*Detached!AC$15)+(LOOKUP(Detached!AC$2,'Wall-U'!$A$4:$A$40,'Wall-U'!$I$4:$I$40)*Detached!AC$12)+(LOOKUP(Detached!AC$2,'Window-U'!$A$4:$A$40,'Window-U'!$R$4:$R$40)*Detached!AC$21))*AC37</f>
        <v>595.38585218199773</v>
      </c>
      <c r="AD42" s="177">
        <f>((LOOKUP(Detached!AD$2,'Ceiling-U'!$A$4:$A$40,'Ceiling-U'!$I$4:$I$40)*Detached!AD$14)+(LOOKUP(Detached!AD$2,'Floor-U'!$A$4:$A$40,'Floor-U'!$I$4:$I$40)*Detached!AD$15)+(LOOKUP(Detached!AD$2,'Wall-U'!$A$4:$A$40,'Wall-U'!$I$4:$I$40)*Detached!AD$12)+(LOOKUP(Detached!AD$2,'Window-U'!$A$4:$A$40,'Window-U'!$R$4:$R$40)*Detached!AD$21))*AD37</f>
        <v>336.63870302807953</v>
      </c>
      <c r="AE42" s="177">
        <f>((LOOKUP(Detached!AE$2,'Ceiling-U'!$A$4:$A$40,'Ceiling-U'!$I$4:$I$40)*Detached!AE$14)+(LOOKUP(Detached!AE$2,'Floor-U'!$A$4:$A$40,'Floor-U'!$I$4:$I$40)*Detached!AE$15)+(LOOKUP(Detached!AE$2,'Wall-U'!$A$4:$A$40,'Wall-U'!$I$4:$I$40)*Detached!AE$12)+(LOOKUP(Detached!AE$2,'Window-U'!$A$4:$A$40,'Window-U'!$R$4:$R$40)*Detached!AE$21))*AE37</f>
        <v>111.56160563930069</v>
      </c>
      <c r="AF42" s="177">
        <f>((LOOKUP(Detached!AF$2,'Ceiling-U'!$A$4:$A$40,'Ceiling-U'!$I$4:$I$40)*Detached!AF$14)+(LOOKUP(Detached!AF$2,'Floor-U'!$A$4:$A$40,'Floor-U'!$I$4:$I$40)*Detached!AF$15)+(LOOKUP(Detached!AF$2,'Wall-U'!$A$4:$A$40,'Wall-U'!$I$4:$I$40)*Detached!AF$12)+(LOOKUP(Detached!AF$2,'Window-U'!$A$4:$A$40,'Window-U'!$R$4:$R$40)*Detached!AF$21))*AF37</f>
        <v>203.79255153040339</v>
      </c>
      <c r="AG42" s="177">
        <f>((LOOKUP(Detached!AG$2,'Ceiling-U'!$A$4:$A$40,'Ceiling-U'!$I$4:$I$40)*Detached!AG$14)+(LOOKUP(Detached!AG$2,'Floor-U'!$A$4:$A$40,'Floor-U'!$I$4:$I$40)*Detached!AG$15)+(LOOKUP(Detached!AG$2,'Wall-U'!$A$4:$A$40,'Wall-U'!$I$4:$I$40)*Detached!AG$12)+(LOOKUP(Detached!AG$2,'Window-U'!$A$4:$A$40,'Window-U'!$R$4:$R$40)*Detached!AG$21))*AG37</f>
        <v>339.56832874472485</v>
      </c>
      <c r="AH42" s="177">
        <f>((LOOKUP(Detached!AH$2,'Ceiling-U'!$A$4:$A$40,'Ceiling-U'!$I$4:$I$40)*Detached!AH$14)+(LOOKUP(Detached!AH$2,'Floor-U'!$A$4:$A$40,'Floor-U'!$I$4:$I$40)*Detached!AH$15)+(LOOKUP(Detached!AH$2,'Wall-U'!$A$4:$A$40,'Wall-U'!$I$4:$I$40)*Detached!AH$12)+(LOOKUP(Detached!AH$2,'Window-U'!$A$4:$A$40,'Window-U'!$R$4:$R$40)*Detached!AH$21))*AH37</f>
        <v>162.12816357727723</v>
      </c>
      <c r="AI42" s="177">
        <f>((LOOKUP(Detached!AI$2,'Ceiling-U'!$A$4:$A$40,'Ceiling-U'!$I$4:$I$40)*Detached!AI$14)+(LOOKUP(Detached!AI$2,'Floor-U'!$A$4:$A$40,'Floor-U'!$I$4:$I$40)*Detached!AI$15)+(LOOKUP(Detached!AI$2,'Wall-U'!$A$4:$A$40,'Wall-U'!$I$4:$I$40)*Detached!AI$12)+(LOOKUP(Detached!AI$2,'Window-U'!$A$4:$A$40,'Window-U'!$R$4:$R$40)*Detached!AI$21))*AI37</f>
        <v>732.57761597084971</v>
      </c>
      <c r="AJ42" s="177">
        <f>((LOOKUP(Detached!AJ$2,'Ceiling-U'!$A$4:$A$40,'Ceiling-U'!$I$4:$I$40)*Detached!AJ$14)+(LOOKUP(Detached!AJ$2,'Floor-U'!$A$4:$A$40,'Floor-U'!$I$4:$I$40)*Detached!AJ$15)+(LOOKUP(Detached!AJ$2,'Wall-U'!$A$4:$A$40,'Wall-U'!$I$4:$I$40)*Detached!AJ$12)+(LOOKUP(Detached!AJ$2,'Window-U'!$A$4:$A$40,'Window-U'!$R$4:$R$40)*Detached!AJ$21))*AJ37</f>
        <v>258.75411265930791</v>
      </c>
      <c r="AK42" s="177">
        <f>((LOOKUP(Detached!AK$2,'Ceiling-U'!$A$4:$A$40,'Ceiling-U'!$I$4:$I$40)*Detached!AK$14)+(LOOKUP(Detached!AK$2,'Floor-U'!$A$4:$A$40,'Floor-U'!$I$4:$I$40)*Detached!AK$15)+(LOOKUP(Detached!AK$2,'Wall-U'!$A$4:$A$40,'Wall-U'!$I$4:$I$40)*Detached!AK$12)+(LOOKUP(Detached!AK$2,'Window-U'!$A$4:$A$40,'Window-U'!$R$4:$R$40)*Detached!AK$21))*AK37</f>
        <v>307.72020991042484</v>
      </c>
      <c r="AL42" s="177">
        <f>((LOOKUP(Detached!AL$2,'Ceiling-U'!$A$4:$A$40,'Ceiling-U'!$I$4:$I$40)*Detached!AL$14)+(LOOKUP(Detached!AL$2,'Floor-U'!$A$4:$A$40,'Floor-U'!$I$4:$I$40)*Detached!AL$15)+(LOOKUP(Detached!AL$2,'Wall-U'!$A$4:$A$40,'Wall-U'!$I$4:$I$40)*Detached!AL$12)+(LOOKUP(Detached!AL$2,'Window-U'!$A$4:$A$40,'Window-U'!$R$4:$R$40)*Detached!AL$21))*AL37</f>
        <v>213.81195528081781</v>
      </c>
      <c r="AM42" s="177">
        <f>((LOOKUP(Detached!AM$2,'Ceiling-U'!$A$4:$A$40,'Ceiling-U'!$I$4:$I$40)*Detached!AM$14)+(LOOKUP(Detached!AM$2,'Floor-U'!$A$4:$A$40,'Floor-U'!$I$4:$I$40)*Detached!AM$15)+(LOOKUP(Detached!AM$2,'Wall-U'!$A$4:$A$40,'Wall-U'!$I$4:$I$40)*Detached!AM$12)+(LOOKUP(Detached!AM$2,'Window-U'!$A$4:$A$40,'Window-U'!$R$4:$R$40)*Detached!AM$21))*AM37</f>
        <v>258.75411265930791</v>
      </c>
      <c r="AN42" s="178">
        <f>((LOOKUP(Detached!AN$2,'Ceiling-U'!$A$4:$A$40,'Ceiling-U'!$I$4:$I$40)*Detached!AN$14)+(LOOKUP(Detached!AN$2,'Floor-U'!$A$4:$A$40,'Floor-U'!$I$4:$I$40)*Detached!AN$15)+(LOOKUP(Detached!AN$2,'Wall-U'!$A$4:$A$40,'Wall-U'!$I$4:$I$40)*Detached!AN$12)+(LOOKUP(Detached!AN$2,'Window-U'!$A$4:$A$40,'Window-U'!$R$4:$R$40)*Detached!AN$21))*AN37</f>
        <v>258.75411265930791</v>
      </c>
    </row>
    <row r="43" spans="1:40">
      <c r="A43" s="373"/>
      <c r="B43" s="374" t="s">
        <v>7</v>
      </c>
      <c r="C43" s="131" t="s">
        <v>195</v>
      </c>
      <c r="D43" s="176">
        <f>((LOOKUP(Detached!D$2,'Ceiling-U'!$A$4:$A$40,'Ceiling-U'!$J$4:$J$40)*Detached!D$14)+(LOOKUP(Detached!D$2,'Floor-U'!$A$4:$A$40,'Floor-U'!$J$4:$J$40)*Detached!D$15)+(LOOKUP(Detached!D$2,'Wall-U'!$A$4:$A$40,'Wall-U'!$J$4:$J$40)*Detached!D$12)+(LOOKUP(Detached!D$2,'Window-U'!$A$4:$A$40,'Window-U'!$R$4:$R$40)*Detached!D$21))*D37</f>
        <v>179.72229258666135</v>
      </c>
      <c r="E43" s="174">
        <f>((LOOKUP(Detached!E$2,'Ceiling-U'!$A$4:$A$40,'Ceiling-U'!$J$4:$J$40)*Detached!E$14)+(LOOKUP(Detached!E$2,'Floor-U'!$A$4:$A$40,'Floor-U'!$J$4:$J$40)*Detached!E$15)+(LOOKUP(Detached!E$2,'Wall-U'!$A$4:$A$40,'Wall-U'!$J$4:$J$40)*Detached!E$12)+(LOOKUP(Detached!E$2,'Window-U'!$A$4:$A$40,'Window-U'!$R$4:$R$40)*Detached!E$21))*E37</f>
        <v>271.52508693243612</v>
      </c>
      <c r="F43" s="174">
        <f>((LOOKUP(Detached!F$2,'Ceiling-U'!$A$4:$A$40,'Ceiling-U'!$J$4:$J$40)*Detached!F$14)+(LOOKUP(Detached!F$2,'Floor-U'!$A$4:$A$40,'Floor-U'!$J$4:$J$40)*Detached!F$15)+(LOOKUP(Detached!F$2,'Wall-U'!$A$4:$A$40,'Wall-U'!$J$4:$J$40)*Detached!F$12)+(LOOKUP(Detached!F$2,'Window-U'!$A$4:$A$40,'Window-U'!$R$4:$R$40)*Detached!F$21))*F37</f>
        <v>135.95684595710139</v>
      </c>
      <c r="G43" s="174">
        <f>((LOOKUP(Detached!G$2,'Ceiling-U'!$A$4:$A$40,'Ceiling-U'!$J$4:$J$40)*Detached!G$14)+(LOOKUP(Detached!G$2,'Floor-U'!$A$4:$A$40,'Floor-U'!$J$4:$J$40)*Detached!G$15)+(LOOKUP(Detached!G$2,'Wall-U'!$A$4:$A$40,'Wall-U'!$J$4:$J$40)*Detached!G$12)+(LOOKUP(Detached!G$2,'Window-U'!$A$4:$A$40,'Window-U'!$R$4:$R$40)*Detached!G$21))*G37</f>
        <v>179.72229258666135</v>
      </c>
      <c r="H43" s="174">
        <f>((LOOKUP(Detached!H$2,'Ceiling-U'!$A$4:$A$40,'Ceiling-U'!$J$4:$J$40)*Detached!H$14)+(LOOKUP(Detached!H$2,'Floor-U'!$A$4:$A$40,'Floor-U'!$J$4:$J$40)*Detached!H$15)+(LOOKUP(Detached!H$2,'Wall-U'!$A$4:$A$40,'Wall-U'!$J$4:$J$40)*Detached!H$12)+(LOOKUP(Detached!H$2,'Window-U'!$A$4:$A$40,'Window-U'!$R$4:$R$40)*Detached!H$21))*H37</f>
        <v>507.64236576611455</v>
      </c>
      <c r="I43" s="174">
        <f>((LOOKUP(Detached!I$2,'Ceiling-U'!$A$4:$A$40,'Ceiling-U'!$J$4:$J$40)*Detached!I$14)+(LOOKUP(Detached!I$2,'Floor-U'!$A$4:$A$40,'Floor-U'!$J$4:$J$40)*Detached!I$15)+(LOOKUP(Detached!I$2,'Wall-U'!$A$4:$A$40,'Wall-U'!$J$4:$J$40)*Detached!I$12)+(LOOKUP(Detached!I$2,'Window-U'!$A$4:$A$40,'Window-U'!$R$4:$R$40)*Detached!I$21))*I37</f>
        <v>154.89592140634818</v>
      </c>
      <c r="J43" s="174">
        <f>((LOOKUP(Detached!J$2,'Ceiling-U'!$A$4:$A$40,'Ceiling-U'!$J$4:$J$40)*Detached!J$14)+(LOOKUP(Detached!J$2,'Floor-U'!$A$4:$A$40,'Floor-U'!$J$4:$J$40)*Detached!J$15)+(LOOKUP(Detached!J$2,'Wall-U'!$A$4:$A$40,'Wall-U'!$J$4:$J$40)*Detached!J$12)+(LOOKUP(Detached!J$2,'Window-U'!$A$4:$A$40,'Window-U'!$R$4:$R$40)*Detached!J$21))*J37</f>
        <v>148.76766596449141</v>
      </c>
      <c r="K43" s="174">
        <f>((LOOKUP(Detached!K$2,'Ceiling-U'!$A$4:$A$40,'Ceiling-U'!$J$4:$J$40)*Detached!K$14)+(LOOKUP(Detached!K$2,'Floor-U'!$A$4:$A$40,'Floor-U'!$J$4:$J$40)*Detached!K$15)+(LOOKUP(Detached!K$2,'Wall-U'!$A$4:$A$40,'Wall-U'!$J$4:$J$40)*Detached!K$12)+(LOOKUP(Detached!K$2,'Window-U'!$A$4:$A$40,'Window-U'!$R$4:$R$40)*Detached!K$21))*K37</f>
        <v>122.71525768099056</v>
      </c>
      <c r="L43" s="174">
        <f>((LOOKUP(Detached!L$2,'Ceiling-U'!$A$4:$A$40,'Ceiling-U'!$J$4:$J$40)*Detached!L$14)+(LOOKUP(Detached!L$2,'Floor-U'!$A$4:$A$40,'Floor-U'!$J$4:$J$40)*Detached!L$15)+(LOOKUP(Detached!L$2,'Wall-U'!$A$4:$A$40,'Wall-U'!$J$4:$J$40)*Detached!L$12)+(LOOKUP(Detached!L$2,'Window-U'!$A$4:$A$40,'Window-U'!$R$4:$R$40)*Detached!L$21))*L37</f>
        <v>103.26571292126098</v>
      </c>
      <c r="M43" s="174">
        <f>((LOOKUP(Detached!M$2,'Ceiling-U'!$A$4:$A$40,'Ceiling-U'!$J$4:$J$40)*Detached!M$14)+(LOOKUP(Detached!M$2,'Floor-U'!$A$4:$A$40,'Floor-U'!$J$4:$J$40)*Detached!M$15)+(LOOKUP(Detached!M$2,'Wall-U'!$A$4:$A$40,'Wall-U'!$J$4:$J$40)*Detached!M$12)+(LOOKUP(Detached!M$2,'Window-U'!$A$4:$A$40,'Window-U'!$R$4:$R$40)*Detached!M$21))*M37</f>
        <v>277.19748966889927</v>
      </c>
      <c r="N43" s="174">
        <f>((LOOKUP(Detached!N$2,'Ceiling-U'!$A$4:$A$40,'Ceiling-U'!$J$4:$J$40)*Detached!N$14)+(LOOKUP(Detached!N$2,'Floor-U'!$A$4:$A$40,'Floor-U'!$J$4:$J$40)*Detached!N$15)+(LOOKUP(Detached!N$2,'Wall-U'!$A$4:$A$40,'Wall-U'!$J$4:$J$40)*Detached!N$12)+(LOOKUP(Detached!N$2,'Window-U'!$A$4:$A$40,'Window-U'!$R$4:$R$40)*Detached!N$21))*N37</f>
        <v>120.74951763748</v>
      </c>
      <c r="O43" s="174">
        <f>((LOOKUP(Detached!O$2,'Ceiling-U'!$A$4:$A$40,'Ceiling-U'!$J$4:$J$40)*Detached!O$14)+(LOOKUP(Detached!O$2,'Floor-U'!$A$4:$A$40,'Floor-U'!$J$4:$J$40)*Detached!O$15)+(LOOKUP(Detached!O$2,'Wall-U'!$A$4:$A$40,'Wall-U'!$J$4:$J$40)*Detached!O$12)+(LOOKUP(Detached!O$2,'Window-U'!$A$4:$A$40,'Window-U'!$R$4:$R$40)*Detached!O$21))*O37</f>
        <v>160.98890094300123</v>
      </c>
      <c r="P43" s="174">
        <f>((LOOKUP(Detached!P$2,'Ceiling-U'!$A$4:$A$40,'Ceiling-U'!$J$4:$J$40)*Detached!P$14)+(LOOKUP(Detached!P$2,'Floor-U'!$A$4:$A$40,'Floor-U'!$J$4:$J$40)*Detached!P$15)+(LOOKUP(Detached!P$2,'Wall-U'!$A$4:$A$40,'Wall-U'!$J$4:$J$40)*Detached!P$12)+(LOOKUP(Detached!P$2,'Window-U'!$A$4:$A$40,'Window-U'!$R$4:$R$40)*Detached!P$21))*P37</f>
        <v>221.62400097612766</v>
      </c>
      <c r="Q43" s="174">
        <f>((LOOKUP(Detached!Q$2,'Ceiling-U'!$A$4:$A$40,'Ceiling-U'!$J$4:$J$40)*Detached!Q$14)+(LOOKUP(Detached!Q$2,'Floor-U'!$A$4:$A$40,'Floor-U'!$J$4:$J$40)*Detached!Q$15)+(LOOKUP(Detached!Q$2,'Wall-U'!$A$4:$A$40,'Wall-U'!$J$4:$J$40)*Detached!Q$12)+(LOOKUP(Detached!Q$2,'Window-U'!$A$4:$A$40,'Window-U'!$R$4:$R$40)*Detached!Q$21))*Q37</f>
        <v>136.71056162185425</v>
      </c>
      <c r="R43" s="174">
        <f>((LOOKUP(Detached!R$2,'Ceiling-U'!$A$4:$A$40,'Ceiling-U'!$J$4:$J$40)*Detached!R$14)+(LOOKUP(Detached!R$2,'Floor-U'!$A$4:$A$40,'Floor-U'!$J$4:$J$40)*Detached!R$15)+(LOOKUP(Detached!R$2,'Wall-U'!$A$4:$A$40,'Wall-U'!$J$4:$J$40)*Detached!R$12)+(LOOKUP(Detached!R$2,'Window-U'!$A$4:$A$40,'Window-U'!$R$4:$R$40)*Detached!R$21))*R37</f>
        <v>165.75173946407182</v>
      </c>
      <c r="S43" s="174">
        <f>((LOOKUP(Detached!S$2,'Ceiling-U'!$A$4:$A$40,'Ceiling-U'!$J$4:$J$40)*Detached!S$14)+(LOOKUP(Detached!S$2,'Floor-U'!$A$4:$A$40,'Floor-U'!$J$4:$J$40)*Detached!S$15)+(LOOKUP(Detached!S$2,'Wall-U'!$A$4:$A$40,'Wall-U'!$J$4:$J$40)*Detached!S$12)+(LOOKUP(Detached!S$2,'Window-U'!$A$4:$A$40,'Window-U'!$R$4:$R$40)*Detached!S$21))*S37</f>
        <v>155.988824363166</v>
      </c>
      <c r="T43" s="174">
        <f>((LOOKUP(Detached!T$2,'Ceiling-U'!$A$4:$A$40,'Ceiling-U'!$J$4:$J$40)*Detached!T$14)+(LOOKUP(Detached!T$2,'Floor-U'!$A$4:$A$40,'Floor-U'!$J$4:$J$40)*Detached!T$15)+(LOOKUP(Detached!T$2,'Wall-U'!$A$4:$A$40,'Wall-U'!$J$4:$J$40)*Detached!T$12)+(LOOKUP(Detached!T$2,'Window-U'!$A$4:$A$40,'Window-U'!$R$4:$R$40)*Detached!T$21))*T37</f>
        <v>120.74951763748</v>
      </c>
      <c r="U43" s="174">
        <f>((LOOKUP(Detached!U$2,'Ceiling-U'!$A$4:$A$40,'Ceiling-U'!$J$4:$J$40)*Detached!U$14)+(LOOKUP(Detached!U$2,'Floor-U'!$A$4:$A$40,'Floor-U'!$J$4:$J$40)*Detached!U$15)+(LOOKUP(Detached!U$2,'Wall-U'!$A$4:$A$40,'Wall-U'!$J$4:$J$40)*Detached!U$12)+(LOOKUP(Detached!U$2,'Window-U'!$A$4:$A$40,'Window-U'!$R$4:$R$40)*Detached!U$21))*U37</f>
        <v>395.99080064912789</v>
      </c>
      <c r="V43" s="174">
        <f>((LOOKUP(Detached!V$2,'Ceiling-U'!$A$4:$A$40,'Ceiling-U'!$J$4:$J$40)*Detached!V$14)+(LOOKUP(Detached!V$2,'Floor-U'!$A$4:$A$40,'Floor-U'!$J$4:$J$40)*Detached!V$15)+(LOOKUP(Detached!V$2,'Wall-U'!$A$4:$A$40,'Wall-U'!$J$4:$J$40)*Detached!V$12)+(LOOKUP(Detached!V$2,'Window-U'!$A$4:$A$40,'Window-U'!$R$4:$R$40)*Detached!V$21))*V37</f>
        <v>115.9310734937533</v>
      </c>
      <c r="W43" s="174">
        <f>((LOOKUP(Detached!W$2,'Ceiling-U'!$A$4:$A$40,'Ceiling-U'!$J$4:$J$40)*Detached!W$14)+(LOOKUP(Detached!W$2,'Floor-U'!$A$4:$A$40,'Floor-U'!$J$4:$J$40)*Detached!W$15)+(LOOKUP(Detached!W$2,'Wall-U'!$A$4:$A$40,'Wall-U'!$J$4:$J$40)*Detached!W$12)+(LOOKUP(Detached!W$2,'Window-U'!$A$4:$A$40,'Window-U'!$R$4:$R$40)*Detached!W$21))*W37</f>
        <v>139.97947891237155</v>
      </c>
      <c r="X43" s="174">
        <f>((LOOKUP(Detached!X$2,'Ceiling-U'!$A$4:$A$40,'Ceiling-U'!$J$4:$J$40)*Detached!X$14)+(LOOKUP(Detached!X$2,'Floor-U'!$A$4:$A$40,'Floor-U'!$J$4:$J$40)*Detached!X$15)+(LOOKUP(Detached!X$2,'Wall-U'!$A$4:$A$40,'Wall-U'!$J$4:$J$40)*Detached!X$12)+(LOOKUP(Detached!X$2,'Window-U'!$A$4:$A$40,'Window-U'!$R$4:$R$40)*Detached!X$21))*X37</f>
        <v>109.30257611123209</v>
      </c>
      <c r="Y43" s="174">
        <f>((LOOKUP(Detached!Y$2,'Ceiling-U'!$A$4:$A$40,'Ceiling-U'!$J$4:$J$40)*Detached!Y$14)+(LOOKUP(Detached!Y$2,'Floor-U'!$A$4:$A$40,'Floor-U'!$J$4:$J$40)*Detached!Y$15)+(LOOKUP(Detached!Y$2,'Wall-U'!$A$4:$A$40,'Wall-U'!$J$4:$J$40)*Detached!Y$12)+(LOOKUP(Detached!Y$2,'Window-U'!$A$4:$A$40,'Window-U'!$R$4:$R$40)*Detached!Y$21))*Y37</f>
        <v>545.2944111245356</v>
      </c>
      <c r="Z43" s="174">
        <f>((LOOKUP(Detached!Z$2,'Ceiling-U'!$A$4:$A$40,'Ceiling-U'!$J$4:$J$40)*Detached!Z$14)+(LOOKUP(Detached!Z$2,'Floor-U'!$A$4:$A$40,'Floor-U'!$J$4:$J$40)*Detached!Z$15)+(LOOKUP(Detached!Z$2,'Wall-U'!$A$4:$A$40,'Wall-U'!$J$4:$J$40)*Detached!Z$12)+(LOOKUP(Detached!Z$2,'Window-U'!$A$4:$A$40,'Window-U'!$R$4:$R$40)*Detached!Z$21))*Z37</f>
        <v>181.03800532138331</v>
      </c>
      <c r="AA43" s="174">
        <f>((LOOKUP(Detached!AA$2,'Ceiling-U'!$A$4:$A$40,'Ceiling-U'!$J$4:$J$40)*Detached!AA$14)+(LOOKUP(Detached!AA$2,'Floor-U'!$A$4:$A$40,'Floor-U'!$J$4:$J$40)*Detached!AA$15)+(LOOKUP(Detached!AA$2,'Wall-U'!$A$4:$A$40,'Wall-U'!$J$4:$J$40)*Detached!AA$12)+(LOOKUP(Detached!AA$2,'Window-U'!$A$4:$A$40,'Window-U'!$R$4:$R$40)*Detached!AA$21))*AA37</f>
        <v>111.56160563930069</v>
      </c>
      <c r="AB43" s="174">
        <f>((LOOKUP(Detached!AB$2,'Ceiling-U'!$A$4:$A$40,'Ceiling-U'!$J$4:$J$40)*Detached!AB$14)+(LOOKUP(Detached!AB$2,'Floor-U'!$A$4:$A$40,'Floor-U'!$J$4:$J$40)*Detached!AB$15)+(LOOKUP(Detached!AB$2,'Wall-U'!$A$4:$A$40,'Wall-U'!$J$4:$J$40)*Detached!AB$12)+(LOOKUP(Detached!AB$2,'Window-U'!$A$4:$A$40,'Window-U'!$R$4:$R$40)*Detached!AB$21))*AB37</f>
        <v>193.19188389612049</v>
      </c>
      <c r="AC43" s="174">
        <f>((LOOKUP(Detached!AC$2,'Ceiling-U'!$A$4:$A$40,'Ceiling-U'!$J$4:$J$40)*Detached!AC$14)+(LOOKUP(Detached!AC$2,'Floor-U'!$A$4:$A$40,'Floor-U'!$J$4:$J$40)*Detached!AC$15)+(LOOKUP(Detached!AC$2,'Wall-U'!$A$4:$A$40,'Wall-U'!$J$4:$J$40)*Detached!AC$12)+(LOOKUP(Detached!AC$2,'Window-U'!$A$4:$A$40,'Window-U'!$R$4:$R$40)*Detached!AC$21))*AC37</f>
        <v>382.16269641230269</v>
      </c>
      <c r="AD43" s="174">
        <f>((LOOKUP(Detached!AD$2,'Ceiling-U'!$A$4:$A$40,'Ceiling-U'!$J$4:$J$40)*Detached!AD$14)+(LOOKUP(Detached!AD$2,'Floor-U'!$A$4:$A$40,'Floor-U'!$J$4:$J$40)*Detached!AD$15)+(LOOKUP(Detached!AD$2,'Wall-U'!$A$4:$A$40,'Wall-U'!$J$4:$J$40)*Detached!AD$12)+(LOOKUP(Detached!AD$2,'Window-U'!$A$4:$A$40,'Window-U'!$R$4:$R$40)*Detached!AD$21))*AD37</f>
        <v>274.41910390886278</v>
      </c>
      <c r="AE43" s="174">
        <f>((LOOKUP(Detached!AE$2,'Ceiling-U'!$A$4:$A$40,'Ceiling-U'!$J$4:$J$40)*Detached!AE$14)+(LOOKUP(Detached!AE$2,'Floor-U'!$A$4:$A$40,'Floor-U'!$J$4:$J$40)*Detached!AE$15)+(LOOKUP(Detached!AE$2,'Wall-U'!$A$4:$A$40,'Wall-U'!$J$4:$J$40)*Detached!AE$12)+(LOOKUP(Detached!AE$2,'Window-U'!$A$4:$A$40,'Window-U'!$R$4:$R$40)*Detached!AE$21))*AE37</f>
        <v>111.56160563930069</v>
      </c>
      <c r="AF43" s="174">
        <f>((LOOKUP(Detached!AF$2,'Ceiling-U'!$A$4:$A$40,'Ceiling-U'!$J$4:$J$40)*Detached!AF$14)+(LOOKUP(Detached!AF$2,'Floor-U'!$A$4:$A$40,'Floor-U'!$J$4:$J$40)*Detached!AF$15)+(LOOKUP(Detached!AF$2,'Wall-U'!$A$4:$A$40,'Wall-U'!$J$4:$J$40)*Detached!AF$12)+(LOOKUP(Detached!AF$2,'Window-U'!$A$4:$A$40,'Window-U'!$R$4:$R$40)*Detached!AF$21))*AF37</f>
        <v>119.58733393418825</v>
      </c>
      <c r="AG43" s="174">
        <f>((LOOKUP(Detached!AG$2,'Ceiling-U'!$A$4:$A$40,'Ceiling-U'!$J$4:$J$40)*Detached!AG$14)+(LOOKUP(Detached!AG$2,'Floor-U'!$A$4:$A$40,'Floor-U'!$J$4:$J$40)*Detached!AG$15)+(LOOKUP(Detached!AG$2,'Wall-U'!$A$4:$A$40,'Wall-U'!$J$4:$J$40)*Detached!AG$12)+(LOOKUP(Detached!AG$2,'Window-U'!$A$4:$A$40,'Window-U'!$R$4:$R$40)*Detached!AG$21))*AG37</f>
        <v>204.81754556507343</v>
      </c>
      <c r="AH43" s="174">
        <f>((LOOKUP(Detached!AH$2,'Ceiling-U'!$A$4:$A$40,'Ceiling-U'!$J$4:$J$40)*Detached!AH$14)+(LOOKUP(Detached!AH$2,'Floor-U'!$A$4:$A$40,'Floor-U'!$J$4:$J$40)*Detached!AH$15)+(LOOKUP(Detached!AH$2,'Wall-U'!$A$4:$A$40,'Wall-U'!$J$4:$J$40)*Detached!AH$12)+(LOOKUP(Detached!AH$2,'Window-U'!$A$4:$A$40,'Window-U'!$R$4:$R$40)*Detached!AH$21))*AH37</f>
        <v>137.64142558597655</v>
      </c>
      <c r="AI43" s="174">
        <f>((LOOKUP(Detached!AI$2,'Ceiling-U'!$A$4:$A$40,'Ceiling-U'!$J$4:$J$40)*Detached!AI$14)+(LOOKUP(Detached!AI$2,'Floor-U'!$A$4:$A$40,'Floor-U'!$J$4:$J$40)*Detached!AI$15)+(LOOKUP(Detached!AI$2,'Wall-U'!$A$4:$A$40,'Wall-U'!$J$4:$J$40)*Detached!AI$12)+(LOOKUP(Detached!AI$2,'Window-U'!$A$4:$A$40,'Window-U'!$R$4:$R$40)*Detached!AI$21))*AI37</f>
        <v>221.62400097612766</v>
      </c>
      <c r="AJ43" s="174">
        <f>((LOOKUP(Detached!AJ$2,'Ceiling-U'!$A$4:$A$40,'Ceiling-U'!$J$4:$J$40)*Detached!AJ$14)+(LOOKUP(Detached!AJ$2,'Floor-U'!$A$4:$A$40,'Floor-U'!$J$4:$J$40)*Detached!AJ$15)+(LOOKUP(Detached!AJ$2,'Wall-U'!$A$4:$A$40,'Wall-U'!$J$4:$J$40)*Detached!AJ$12)+(LOOKUP(Detached!AJ$2,'Window-U'!$A$4:$A$40,'Window-U'!$R$4:$R$40)*Detached!AJ$21))*AJ37</f>
        <v>226.51864011088259</v>
      </c>
      <c r="AK43" s="174">
        <f>((LOOKUP(Detached!AK$2,'Ceiling-U'!$A$4:$A$40,'Ceiling-U'!$J$4:$J$40)*Detached!AK$14)+(LOOKUP(Detached!AK$2,'Floor-U'!$A$4:$A$40,'Floor-U'!$J$4:$J$40)*Detached!AK$15)+(LOOKUP(Detached!AK$2,'Wall-U'!$A$4:$A$40,'Wall-U'!$J$4:$J$40)*Detached!AK$12)+(LOOKUP(Detached!AK$2,'Window-U'!$A$4:$A$40,'Window-U'!$R$4:$R$40)*Detached!AK$21))*AK37</f>
        <v>268.41345793977939</v>
      </c>
      <c r="AL43" s="174">
        <f>((LOOKUP(Detached!AL$2,'Ceiling-U'!$A$4:$A$40,'Ceiling-U'!$J$4:$J$40)*Detached!AL$14)+(LOOKUP(Detached!AL$2,'Floor-U'!$A$4:$A$40,'Floor-U'!$J$4:$J$40)*Detached!AL$15)+(LOOKUP(Detached!AL$2,'Wall-U'!$A$4:$A$40,'Wall-U'!$J$4:$J$40)*Detached!AL$12)+(LOOKUP(Detached!AL$2,'Window-U'!$A$4:$A$40,'Window-U'!$R$4:$R$40)*Detached!AL$21))*AL37</f>
        <v>141.21652778122404</v>
      </c>
      <c r="AM43" s="174">
        <f>((LOOKUP(Detached!AM$2,'Ceiling-U'!$A$4:$A$40,'Ceiling-U'!$J$4:$J$40)*Detached!AM$14)+(LOOKUP(Detached!AM$2,'Floor-U'!$A$4:$A$40,'Floor-U'!$J$4:$J$40)*Detached!AM$15)+(LOOKUP(Detached!AM$2,'Wall-U'!$A$4:$A$40,'Wall-U'!$J$4:$J$40)*Detached!AM$12)+(LOOKUP(Detached!AM$2,'Window-U'!$A$4:$A$40,'Window-U'!$R$4:$R$40)*Detached!AM$21))*AM37</f>
        <v>226.51864011088259</v>
      </c>
      <c r="AN43" s="175">
        <f>((LOOKUP(Detached!AN$2,'Ceiling-U'!$A$4:$A$40,'Ceiling-U'!$J$4:$J$40)*Detached!AN$14)+(LOOKUP(Detached!AN$2,'Floor-U'!$A$4:$A$40,'Floor-U'!$J$4:$J$40)*Detached!AN$15)+(LOOKUP(Detached!AN$2,'Wall-U'!$A$4:$A$40,'Wall-U'!$J$4:$J$40)*Detached!AN$12)+(LOOKUP(Detached!AN$2,'Window-U'!$A$4:$A$40,'Window-U'!$R$4:$R$40)*Detached!AN$21))*AN37</f>
        <v>226.51864011088259</v>
      </c>
    </row>
    <row r="44" spans="1:40">
      <c r="A44" s="332" t="s">
        <v>280</v>
      </c>
      <c r="B44" s="142" t="s">
        <v>2</v>
      </c>
      <c r="C44" s="360" t="s">
        <v>261</v>
      </c>
      <c r="D44" s="351">
        <f>D38*24*LOOKUP(Detached!D$2,'HDD-by Country'!$A$4:$A$40,'HDD-by Country'!$C$4:$C$40)/1000</f>
        <v>42613.648042105073</v>
      </c>
      <c r="E44" s="352">
        <f>E38*24*LOOKUP(Detached!E$2,'HDD-by Country'!$A$4:$A$40,'HDD-by Country'!$C$4:$C$40)/1000</f>
        <v>40329.143768248505</v>
      </c>
      <c r="F44" s="352">
        <f>F38*24*LOOKUP(Detached!F$2,'HDD-by Country'!$A$4:$A$40,'HDD-by Country'!$C$4:$C$40)/1000</f>
        <v>22049.885922782967</v>
      </c>
      <c r="G44" s="352">
        <f>G38*24*LOOKUP(Detached!G$2,'HDD-by Country'!$A$4:$A$40,'HDD-by Country'!$C$4:$C$40)/1000</f>
        <v>41516.710263740868</v>
      </c>
      <c r="H44" s="352">
        <f>H38*24*LOOKUP(Detached!H$2,'HDD-by Country'!$A$4:$A$40,'HDD-by Country'!$C$4:$C$40)/1000</f>
        <v>14276.126822972599</v>
      </c>
      <c r="I44" s="352">
        <f>I38*24*LOOKUP(Detached!I$2,'HDD-by Country'!$A$4:$A$40,'HDD-by Country'!$C$4:$C$40)/1000</f>
        <v>29724.899905589158</v>
      </c>
      <c r="J44" s="352">
        <f>J38*24*LOOKUP(Detached!J$2,'HDD-by Country'!$A$4:$A$40,'HDD-by Country'!$C$4:$C$40)/1000</f>
        <v>43363.877671955968</v>
      </c>
      <c r="K44" s="352">
        <f>K38*24*LOOKUP(Detached!K$2,'HDD-by Country'!$A$4:$A$40,'HDD-by Country'!$C$4:$C$40)/1000</f>
        <v>26353.425547838517</v>
      </c>
      <c r="L44" s="352">
        <f>L38*24*LOOKUP(Detached!L$2,'HDD-by Country'!$A$4:$A$40,'HDD-by Country'!$C$4:$C$40)/1000</f>
        <v>18248.246339403544</v>
      </c>
      <c r="M44" s="352">
        <f>M38*24*LOOKUP(Detached!M$2,'HDD-by Country'!$A$4:$A$40,'HDD-by Country'!$C$4:$C$40)/1000</f>
        <v>34700.274975906133</v>
      </c>
      <c r="N44" s="352">
        <f>N38*24*LOOKUP(Detached!N$2,'HDD-by Country'!$A$4:$A$40,'HDD-by Country'!$C$4:$C$40)/1000</f>
        <v>29759.243714543518</v>
      </c>
      <c r="O44" s="352">
        <f>O38*24*LOOKUP(Detached!O$2,'HDD-by Country'!$A$4:$A$40,'HDD-by Country'!$C$4:$C$40)/1000</f>
        <v>48078.657384852151</v>
      </c>
      <c r="P44" s="352">
        <f>P38*24*LOOKUP(Detached!P$2,'HDD-by Country'!$A$4:$A$40,'HDD-by Country'!$C$4:$C$40)/1000</f>
        <v>30197.308061876956</v>
      </c>
      <c r="Q44" s="352">
        <f>Q38*24*LOOKUP(Detached!Q$2,'HDD-by Country'!$A$4:$A$40,'HDD-by Country'!$C$4:$C$40)/1000</f>
        <v>19144.571815280222</v>
      </c>
      <c r="R44" s="352">
        <f>R38*24*LOOKUP(Detached!R$2,'HDD-by Country'!$A$4:$A$40,'HDD-by Country'!$C$4:$C$40)/1000</f>
        <v>30188.650320099321</v>
      </c>
      <c r="S44" s="352">
        <f>S38*24*LOOKUP(Detached!S$2,'HDD-by Country'!$A$4:$A$40,'HDD-by Country'!$C$4:$C$40)/1000</f>
        <v>41271.10742571114</v>
      </c>
      <c r="T44" s="352">
        <f>T38*24*LOOKUP(Detached!T$2,'HDD-by Country'!$A$4:$A$40,'HDD-by Country'!$C$4:$C$40)/1000</f>
        <v>25313.161833088641</v>
      </c>
      <c r="U44" s="352">
        <f>U38*24*LOOKUP(Detached!U$2,'HDD-by Country'!$A$4:$A$40,'HDD-by Country'!$C$4:$C$40)/1000</f>
        <v>29890.006944816378</v>
      </c>
      <c r="V44" s="352">
        <f>V38*24*LOOKUP(Detached!V$2,'HDD-by Country'!$A$4:$A$40,'HDD-by Country'!$C$4:$C$40)/1000</f>
        <v>31505.248909897931</v>
      </c>
      <c r="W44" s="352">
        <f>W38*24*LOOKUP(Detached!W$2,'HDD-by Country'!$A$4:$A$40,'HDD-by Country'!$C$4:$C$40)/1000</f>
        <v>29558.816105621831</v>
      </c>
      <c r="X44" s="352">
        <f>X38*24*LOOKUP(Detached!X$2,'HDD-by Country'!$A$4:$A$40,'HDD-by Country'!$C$4:$C$40)/1000</f>
        <v>34720.839615253979</v>
      </c>
      <c r="Y44" s="352">
        <f>Y38*24*LOOKUP(Detached!Y$2,'HDD-by Country'!$A$4:$A$40,'HDD-by Country'!$C$4:$C$40)/1000</f>
        <v>11033.474689142418</v>
      </c>
      <c r="Z44" s="352">
        <f>Z38*24*LOOKUP(Detached!Z$2,'HDD-by Country'!$A$4:$A$40,'HDD-by Country'!$C$4:$C$40)/1000</f>
        <v>44402.052533453738</v>
      </c>
      <c r="AA44" s="352">
        <f>AA38*24*LOOKUP(Detached!AA$2,'HDD-by Country'!$A$4:$A$40,'HDD-by Country'!$C$4:$C$40)/1000</f>
        <v>26169.907342627466</v>
      </c>
      <c r="AB44" s="352">
        <f>AB38*24*LOOKUP(Detached!AB$2,'HDD-by Country'!$A$4:$A$40,'HDD-by Country'!$C$4:$C$40)/1000</f>
        <v>45353.272209587798</v>
      </c>
      <c r="AC44" s="352">
        <f>AC38*24*LOOKUP(Detached!AC$2,'HDD-by Country'!$A$4:$A$40,'HDD-by Country'!$C$4:$C$40)/1000</f>
        <v>24017.568045745847</v>
      </c>
      <c r="AD44" s="352">
        <f>AD38*24*LOOKUP(Detached!AD$2,'HDD-by Country'!$A$4:$A$40,'HDD-by Country'!$C$4:$C$40)/1000</f>
        <v>33720.858106893116</v>
      </c>
      <c r="AE44" s="352">
        <f>AE38*24*LOOKUP(Detached!AE$2,'HDD-by Country'!$A$4:$A$40,'HDD-by Country'!$C$4:$C$40)/1000</f>
        <v>25233.612393422587</v>
      </c>
      <c r="AF44" s="352">
        <f>AF38*24*LOOKUP(Detached!AF$2,'HDD-by Country'!$A$4:$A$40,'HDD-by Country'!$C$4:$C$40)/1000</f>
        <v>30242.194061558006</v>
      </c>
      <c r="AG44" s="352">
        <f>AG38*24*LOOKUP(Detached!AG$2,'HDD-by Country'!$A$4:$A$40,'HDD-by Country'!$C$4:$C$40)/1000</f>
        <v>44542.814185715753</v>
      </c>
      <c r="AH44" s="352">
        <f>AH38*24*LOOKUP(Detached!AH$2,'HDD-by Country'!$A$4:$A$40,'HDD-by Country'!$C$4:$C$40)/1000</f>
        <v>35176.480864537232</v>
      </c>
      <c r="AI44" s="352">
        <f>AI38*24*LOOKUP(Detached!AI$2,'HDD-by Country'!$A$4:$A$40,'HDD-by Country'!$C$4:$C$40)/1000</f>
        <v>30197.308061876956</v>
      </c>
      <c r="AJ44" s="352">
        <f>AJ38*24*LOOKUP(Detached!AJ$2,'HDD-by Country'!$A$4:$A$40,'HDD-by Country'!$C$4:$C$40)/1000</f>
        <v>23138.344515407807</v>
      </c>
      <c r="AK44" s="352">
        <f>AK38*24*LOOKUP(Detached!AK$2,'HDD-by Country'!$A$4:$A$40,'HDD-by Country'!$C$4:$C$40)/1000</f>
        <v>24673.658980756441</v>
      </c>
      <c r="AL44" s="352">
        <f>AL38*24*LOOKUP(Detached!AL$2,'HDD-by Country'!$A$4:$A$40,'HDD-by Country'!$C$4:$C$40)/1000</f>
        <v>23173.297648392261</v>
      </c>
      <c r="AM44" s="352">
        <f>AM38*24*LOOKUP(Detached!AM$2,'HDD-by Country'!$A$4:$A$40,'HDD-by Country'!$C$4:$C$40)/1000</f>
        <v>21277.457807289797</v>
      </c>
      <c r="AN44" s="353">
        <f>AN38*24*LOOKUP(Detached!AN$2,'HDD-by Country'!$A$4:$A$40,'HDD-by Country'!$C$4:$C$40)/1000</f>
        <v>21277.457807289797</v>
      </c>
    </row>
    <row r="45" spans="1:40">
      <c r="A45" s="129"/>
      <c r="B45" s="142" t="s">
        <v>3</v>
      </c>
      <c r="C45" s="129" t="s">
        <v>261</v>
      </c>
      <c r="D45" s="345">
        <f>D39*24*LOOKUP(Detached!D$2,'HDD-by Country'!$A$4:$A$40,'HDD-by Country'!$C$4:$C$40)/1000</f>
        <v>38985.958340271478</v>
      </c>
      <c r="E45" s="349">
        <f>E39*24*LOOKUP(Detached!E$2,'HDD-by Country'!$A$4:$A$40,'HDD-by Country'!$C$4:$C$40)/1000</f>
        <v>40329.143768248505</v>
      </c>
      <c r="F45" s="349">
        <f>F39*24*LOOKUP(Detached!F$2,'HDD-by Country'!$A$4:$A$40,'HDD-by Country'!$C$4:$C$40)/1000</f>
        <v>22049.885922782967</v>
      </c>
      <c r="G45" s="349">
        <f>G39*24*LOOKUP(Detached!G$2,'HDD-by Country'!$A$4:$A$40,'HDD-by Country'!$C$4:$C$40)/1000</f>
        <v>37982.402613549326</v>
      </c>
      <c r="H45" s="349">
        <f>H39*24*LOOKUP(Detached!H$2,'HDD-by Country'!$A$4:$A$40,'HDD-by Country'!$C$4:$C$40)/1000</f>
        <v>13266.756778373248</v>
      </c>
      <c r="I45" s="349">
        <f>I39*24*LOOKUP(Detached!I$2,'HDD-by Country'!$A$4:$A$40,'HDD-by Country'!$C$4:$C$40)/1000</f>
        <v>24299.120839026345</v>
      </c>
      <c r="J45" s="349">
        <f>J39*24*LOOKUP(Detached!J$2,'HDD-by Country'!$A$4:$A$40,'HDD-by Country'!$C$4:$C$40)/1000</f>
        <v>37737.562108524929</v>
      </c>
      <c r="K45" s="349">
        <f>K39*24*LOOKUP(Detached!K$2,'HDD-by Country'!$A$4:$A$40,'HDD-by Country'!$C$4:$C$40)/1000</f>
        <v>25493.304229888028</v>
      </c>
      <c r="L45" s="349">
        <f>L39*24*LOOKUP(Detached!L$2,'HDD-by Country'!$A$4:$A$40,'HDD-by Country'!$C$4:$C$40)/1000</f>
        <v>18248.246339403544</v>
      </c>
      <c r="M45" s="349">
        <f>M39*24*LOOKUP(Detached!M$2,'HDD-by Country'!$A$4:$A$40,'HDD-by Country'!$C$4:$C$40)/1000</f>
        <v>30548.147550698617</v>
      </c>
      <c r="N45" s="349">
        <f>N39*24*LOOKUP(Detached!N$2,'HDD-by Country'!$A$4:$A$40,'HDD-by Country'!$C$4:$C$40)/1000</f>
        <v>26912.053508573954</v>
      </c>
      <c r="O45" s="349">
        <f>O39*24*LOOKUP(Detached!O$2,'HDD-by Country'!$A$4:$A$40,'HDD-by Country'!$C$4:$C$40)/1000</f>
        <v>48078.657384852151</v>
      </c>
      <c r="P45" s="349">
        <f>P39*24*LOOKUP(Detached!P$2,'HDD-by Country'!$A$4:$A$40,'HDD-by Country'!$C$4:$C$40)/1000</f>
        <v>30197.308061876956</v>
      </c>
      <c r="Q45" s="349">
        <f>Q39*24*LOOKUP(Detached!Q$2,'HDD-by Country'!$A$4:$A$40,'HDD-by Country'!$C$4:$C$40)/1000</f>
        <v>20572.037048627739</v>
      </c>
      <c r="R45" s="349">
        <f>R39*24*LOOKUP(Detached!R$2,'HDD-by Country'!$A$4:$A$40,'HDD-by Country'!$C$4:$C$40)/1000</f>
        <v>30188.650320099321</v>
      </c>
      <c r="S45" s="349">
        <f>S39*24*LOOKUP(Detached!S$2,'HDD-by Country'!$A$4:$A$40,'HDD-by Country'!$C$4:$C$40)/1000</f>
        <v>41985.157295218378</v>
      </c>
      <c r="T45" s="349">
        <f>T39*24*LOOKUP(Detached!T$2,'HDD-by Country'!$A$4:$A$40,'HDD-by Country'!$C$4:$C$40)/1000</f>
        <v>22891.346710882735</v>
      </c>
      <c r="U45" s="349">
        <f>U39*24*LOOKUP(Detached!U$2,'HDD-by Country'!$A$4:$A$40,'HDD-by Country'!$C$4:$C$40)/1000</f>
        <v>27953.180100808997</v>
      </c>
      <c r="V45" s="349">
        <f>V39*24*LOOKUP(Detached!V$2,'HDD-by Country'!$A$4:$A$40,'HDD-by Country'!$C$4:$C$40)/1000</f>
        <v>31505.248909897931</v>
      </c>
      <c r="W45" s="349">
        <f>W39*24*LOOKUP(Detached!W$2,'HDD-by Country'!$A$4:$A$40,'HDD-by Country'!$C$4:$C$40)/1000</f>
        <v>31881.832145344597</v>
      </c>
      <c r="X45" s="349">
        <f>X39*24*LOOKUP(Detached!X$2,'HDD-by Country'!$A$4:$A$40,'HDD-by Country'!$C$4:$C$40)/1000</f>
        <v>34720.839615253979</v>
      </c>
      <c r="Y45" s="349">
        <f>Y39*24*LOOKUP(Detached!Y$2,'HDD-by Country'!$A$4:$A$40,'HDD-by Country'!$C$4:$C$40)/1000</f>
        <v>11015.079507679824</v>
      </c>
      <c r="Z45" s="349">
        <f>Z39*24*LOOKUP(Detached!Z$2,'HDD-by Country'!$A$4:$A$40,'HDD-by Country'!$C$4:$C$40)/1000</f>
        <v>34893.295215033097</v>
      </c>
      <c r="AA45" s="349">
        <f>AA39*24*LOOKUP(Detached!AA$2,'HDD-by Country'!$A$4:$A$40,'HDD-by Country'!$C$4:$C$40)/1000</f>
        <v>26169.907342627466</v>
      </c>
      <c r="AB45" s="349">
        <f>AB39*24*LOOKUP(Detached!AB$2,'HDD-by Country'!$A$4:$A$40,'HDD-by Country'!$C$4:$C$40)/1000</f>
        <v>32227.38342891922</v>
      </c>
      <c r="AC45" s="349">
        <f>AC39*24*LOOKUP(Detached!AC$2,'HDD-by Country'!$A$4:$A$40,'HDD-by Country'!$C$4:$C$40)/1000</f>
        <v>21334.596491888136</v>
      </c>
      <c r="AD45" s="349">
        <f>AD39*24*LOOKUP(Detached!AD$2,'HDD-by Country'!$A$4:$A$40,'HDD-by Country'!$C$4:$C$40)/1000</f>
        <v>30310.656443331216</v>
      </c>
      <c r="AE45" s="349">
        <f>AE39*24*LOOKUP(Detached!AE$2,'HDD-by Country'!$A$4:$A$40,'HDD-by Country'!$C$4:$C$40)/1000</f>
        <v>25233.612393422587</v>
      </c>
      <c r="AF45" s="349">
        <f>AF39*24*LOOKUP(Detached!AF$2,'HDD-by Country'!$A$4:$A$40,'HDD-by Country'!$C$4:$C$40)/1000</f>
        <v>30242.194061558006</v>
      </c>
      <c r="AG45" s="349">
        <f>AG39*24*LOOKUP(Detached!AG$2,'HDD-by Country'!$A$4:$A$40,'HDD-by Country'!$C$4:$C$40)/1000</f>
        <v>36479.5457485726</v>
      </c>
      <c r="AH45" s="349">
        <f>AH39*24*LOOKUP(Detached!AH$2,'HDD-by Country'!$A$4:$A$40,'HDD-by Country'!$C$4:$C$40)/1000</f>
        <v>37456.007355761074</v>
      </c>
      <c r="AI45" s="349">
        <f>AI39*24*LOOKUP(Detached!AI$2,'HDD-by Country'!$A$4:$A$40,'HDD-by Country'!$C$4:$C$40)/1000</f>
        <v>30197.308061876956</v>
      </c>
      <c r="AJ45" s="349">
        <f>AJ39*24*LOOKUP(Detached!AJ$2,'HDD-by Country'!$A$4:$A$40,'HDD-by Country'!$C$4:$C$40)/1000</f>
        <v>23138.344515407807</v>
      </c>
      <c r="AK45" s="349">
        <f>AK39*24*LOOKUP(Detached!AK$2,'HDD-by Country'!$A$4:$A$40,'HDD-by Country'!$C$4:$C$40)/1000</f>
        <v>24673.658980756441</v>
      </c>
      <c r="AL45" s="349">
        <f>AL39*24*LOOKUP(Detached!AL$2,'HDD-by Country'!$A$4:$A$40,'HDD-by Country'!$C$4:$C$40)/1000</f>
        <v>23173.297648392261</v>
      </c>
      <c r="AM45" s="349">
        <f>AM39*24*LOOKUP(Detached!AM$2,'HDD-by Country'!$A$4:$A$40,'HDD-by Country'!$C$4:$C$40)/1000</f>
        <v>21277.457807289797</v>
      </c>
      <c r="AN45" s="354">
        <f>AN39*24*LOOKUP(Detached!AN$2,'HDD-by Country'!$A$4:$A$40,'HDD-by Country'!$C$4:$C$40)/1000</f>
        <v>21277.457807289797</v>
      </c>
    </row>
    <row r="46" spans="1:40">
      <c r="A46" s="129"/>
      <c r="B46" s="142" t="s">
        <v>4</v>
      </c>
      <c r="C46" s="129" t="s">
        <v>261</v>
      </c>
      <c r="D46" s="345">
        <f>D40*24*LOOKUP(Detached!D$2,'HDD-by Country'!$A$4:$A$40,'HDD-by Country'!$C$4:$C$40)/1000</f>
        <v>30072.474439689642</v>
      </c>
      <c r="E46" s="349">
        <f>E40*24*LOOKUP(Detached!E$2,'HDD-by Country'!$A$4:$A$40,'HDD-by Country'!$C$4:$C$40)/1000</f>
        <v>40329.143768248505</v>
      </c>
      <c r="F46" s="349">
        <f>F40*24*LOOKUP(Detached!F$2,'HDD-by Country'!$A$4:$A$40,'HDD-by Country'!$C$4:$C$40)/1000</f>
        <v>20599.551696968272</v>
      </c>
      <c r="G46" s="349">
        <f>G40*24*LOOKUP(Detached!G$2,'HDD-by Country'!$A$4:$A$40,'HDD-by Country'!$C$4:$C$40)/1000</f>
        <v>29298.36485702276</v>
      </c>
      <c r="H46" s="349">
        <f>H40*24*LOOKUP(Detached!H$2,'HDD-by Country'!$A$4:$A$40,'HDD-by Country'!$C$4:$C$40)/1000</f>
        <v>12257.386733773894</v>
      </c>
      <c r="I46" s="349">
        <f>I40*24*LOOKUP(Detached!I$2,'HDD-by Country'!$A$4:$A$40,'HDD-by Country'!$C$4:$C$40)/1000</f>
        <v>24299.120839026345</v>
      </c>
      <c r="J46" s="349">
        <f>J40*24*LOOKUP(Detached!J$2,'HDD-by Country'!$A$4:$A$40,'HDD-by Country'!$C$4:$C$40)/1000</f>
        <v>22092.688829048806</v>
      </c>
      <c r="K46" s="349">
        <f>K40*24*LOOKUP(Detached!K$2,'HDD-by Country'!$A$4:$A$40,'HDD-by Country'!$C$4:$C$40)/1000</f>
        <v>16294.270698867809</v>
      </c>
      <c r="L46" s="349">
        <f>L40*24*LOOKUP(Detached!L$2,'HDD-by Country'!$A$4:$A$40,'HDD-by Country'!$C$4:$C$40)/1000</f>
        <v>14732.96806456038</v>
      </c>
      <c r="M46" s="349">
        <f>M40*24*LOOKUP(Detached!M$2,'HDD-by Country'!$A$4:$A$40,'HDD-by Country'!$C$4:$C$40)/1000</f>
        <v>30548.147550698617</v>
      </c>
      <c r="N46" s="349">
        <f>N40*24*LOOKUP(Detached!N$2,'HDD-by Country'!$A$4:$A$40,'HDD-by Country'!$C$4:$C$40)/1000</f>
        <v>21978.924304191871</v>
      </c>
      <c r="O46" s="349">
        <f>O40*24*LOOKUP(Detached!O$2,'HDD-by Country'!$A$4:$A$40,'HDD-by Country'!$C$4:$C$40)/1000</f>
        <v>19527.107615443147</v>
      </c>
      <c r="P46" s="349">
        <f>P40*24*LOOKUP(Detached!P$2,'HDD-by Country'!$A$4:$A$40,'HDD-by Country'!$C$4:$C$40)/1000</f>
        <v>30197.308061876956</v>
      </c>
      <c r="Q46" s="349">
        <f>Q40*24*LOOKUP(Detached!Q$2,'HDD-by Country'!$A$4:$A$40,'HDD-by Country'!$C$4:$C$40)/1000</f>
        <v>19200.778848456048</v>
      </c>
      <c r="R46" s="349">
        <f>R40*24*LOOKUP(Detached!R$2,'HDD-by Country'!$A$4:$A$40,'HDD-by Country'!$C$4:$C$40)/1000</f>
        <v>25681.149313030834</v>
      </c>
      <c r="S46" s="349">
        <f>S40*24*LOOKUP(Detached!S$2,'HDD-by Country'!$A$4:$A$40,'HDD-by Country'!$C$4:$C$40)/1000</f>
        <v>34971.071430403936</v>
      </c>
      <c r="T46" s="349">
        <f>T40*24*LOOKUP(Detached!T$2,'HDD-by Country'!$A$4:$A$40,'HDD-by Country'!$C$4:$C$40)/1000</f>
        <v>18695.23544233483</v>
      </c>
      <c r="U46" s="349">
        <f>U40*24*LOOKUP(Detached!U$2,'HDD-by Country'!$A$4:$A$40,'HDD-by Country'!$C$4:$C$40)/1000</f>
        <v>26761.274517058999</v>
      </c>
      <c r="V46" s="349">
        <f>V40*24*LOOKUP(Detached!V$2,'HDD-by Country'!$A$4:$A$40,'HDD-by Country'!$C$4:$C$40)/1000</f>
        <v>19853.119344249521</v>
      </c>
      <c r="W46" s="349">
        <f>W40*24*LOOKUP(Detached!W$2,'HDD-by Country'!$A$4:$A$40,'HDD-by Country'!$C$4:$C$40)/1000</f>
        <v>16217.789709394092</v>
      </c>
      <c r="X46" s="349">
        <f>X40*24*LOOKUP(Detached!X$2,'HDD-by Country'!$A$4:$A$40,'HDD-by Country'!$C$4:$C$40)/1000</f>
        <v>31835.278453728584</v>
      </c>
      <c r="Y46" s="349">
        <f>Y40*24*LOOKUP(Detached!Y$2,'HDD-by Country'!$A$4:$A$40,'HDD-by Country'!$C$4:$C$40)/1000</f>
        <v>8797.5846181701745</v>
      </c>
      <c r="Z46" s="349">
        <f>Z40*24*LOOKUP(Detached!Z$2,'HDD-by Country'!$A$4:$A$40,'HDD-by Country'!$C$4:$C$40)/1000</f>
        <v>33563.19835792933</v>
      </c>
      <c r="AA46" s="349">
        <f>AA40*24*LOOKUP(Detached!AA$2,'HDD-by Country'!$A$4:$A$40,'HDD-by Country'!$C$4:$C$40)/1000</f>
        <v>17174.86769931639</v>
      </c>
      <c r="AB46" s="349">
        <f>AB40*24*LOOKUP(Detached!AB$2,'HDD-by Country'!$A$4:$A$40,'HDD-by Country'!$C$4:$C$40)/1000</f>
        <v>22297.91960862765</v>
      </c>
      <c r="AC46" s="349">
        <f>AC40*24*LOOKUP(Detached!AC$2,'HDD-by Country'!$A$4:$A$40,'HDD-by Country'!$C$4:$C$40)/1000</f>
        <v>20865.935938675535</v>
      </c>
      <c r="AD46" s="349">
        <f>AD40*24*LOOKUP(Detached!AD$2,'HDD-by Country'!$A$4:$A$40,'HDD-by Country'!$C$4:$C$40)/1000</f>
        <v>30310.656443331216</v>
      </c>
      <c r="AE46" s="349">
        <f>AE40*24*LOOKUP(Detached!AE$2,'HDD-by Country'!$A$4:$A$40,'HDD-by Country'!$C$4:$C$40)/1000</f>
        <v>16560.3931553451</v>
      </c>
      <c r="AF46" s="349">
        <f>AF40*24*LOOKUP(Detached!AF$2,'HDD-by Country'!$A$4:$A$40,'HDD-by Country'!$C$4:$C$40)/1000</f>
        <v>27946.083392510005</v>
      </c>
      <c r="AG46" s="349">
        <f>AG40*24*LOOKUP(Detached!AG$2,'HDD-by Country'!$A$4:$A$40,'HDD-by Country'!$C$4:$C$40)/1000</f>
        <v>36479.5457485726</v>
      </c>
      <c r="AH46" s="349">
        <f>AH40*24*LOOKUP(Detached!AH$2,'HDD-by Country'!$A$4:$A$40,'HDD-by Country'!$C$4:$C$40)/1000</f>
        <v>28315.18622292162</v>
      </c>
      <c r="AI46" s="349">
        <f>AI40*24*LOOKUP(Detached!AI$2,'HDD-by Country'!$A$4:$A$40,'HDD-by Country'!$C$4:$C$40)/1000</f>
        <v>30197.308061876956</v>
      </c>
      <c r="AJ46" s="349">
        <f>AJ40*24*LOOKUP(Detached!AJ$2,'HDD-by Country'!$A$4:$A$40,'HDD-by Country'!$C$4:$C$40)/1000</f>
        <v>23138.344515407807</v>
      </c>
      <c r="AK46" s="349">
        <f>AK40*24*LOOKUP(Detached!AK$2,'HDD-by Country'!$A$4:$A$40,'HDD-by Country'!$C$4:$C$40)/1000</f>
        <v>24673.658980756441</v>
      </c>
      <c r="AL46" s="349">
        <f>AL40*24*LOOKUP(Detached!AL$2,'HDD-by Country'!$A$4:$A$40,'HDD-by Country'!$C$4:$C$40)/1000</f>
        <v>21635.018308495324</v>
      </c>
      <c r="AM46" s="349">
        <f>AM40*24*LOOKUP(Detached!AM$2,'HDD-by Country'!$A$4:$A$40,'HDD-by Country'!$C$4:$C$40)/1000</f>
        <v>21277.457807289797</v>
      </c>
      <c r="AN46" s="354">
        <f>AN40*24*LOOKUP(Detached!AN$2,'HDD-by Country'!$A$4:$A$40,'HDD-by Country'!$C$4:$C$40)/1000</f>
        <v>21277.457807289797</v>
      </c>
    </row>
    <row r="47" spans="1:40">
      <c r="A47" s="129"/>
      <c r="B47" s="142" t="s">
        <v>5</v>
      </c>
      <c r="C47" s="129" t="s">
        <v>261</v>
      </c>
      <c r="D47" s="345">
        <f>D41*24*LOOKUP(Detached!D$2,'HDD-by Country'!$A$4:$A$40,'HDD-by Country'!$C$4:$C$40)/1000</f>
        <v>20353.076116613891</v>
      </c>
      <c r="E47" s="349">
        <f>E41*24*LOOKUP(Detached!E$2,'HDD-by Country'!$A$4:$A$40,'HDD-by Country'!$C$4:$C$40)/1000</f>
        <v>33369.05547713556</v>
      </c>
      <c r="F47" s="349">
        <f>F41*24*LOOKUP(Detached!F$2,'HDD-by Country'!$A$4:$A$40,'HDD-by Country'!$C$4:$C$40)/1000</f>
        <v>17307.686736957679</v>
      </c>
      <c r="G47" s="349">
        <f>G41*24*LOOKUP(Detached!G$2,'HDD-by Country'!$A$4:$A$40,'HDD-by Country'!$C$4:$C$40)/1000</f>
        <v>19829.158096824165</v>
      </c>
      <c r="H47" s="349">
        <f>H41*24*LOOKUP(Detached!H$2,'HDD-by Country'!$A$4:$A$40,'HDD-by Country'!$C$4:$C$40)/1000</f>
        <v>11806.586891296296</v>
      </c>
      <c r="I47" s="349">
        <f>I41*24*LOOKUP(Detached!I$2,'HDD-by Country'!$A$4:$A$40,'HDD-by Country'!$C$4:$C$40)/1000</f>
        <v>21246.486783820201</v>
      </c>
      <c r="J47" s="349">
        <f>J41*24*LOOKUP(Detached!J$2,'HDD-by Country'!$A$4:$A$40,'HDD-by Country'!$C$4:$C$40)/1000</f>
        <v>17167.781698789608</v>
      </c>
      <c r="K47" s="349">
        <f>K41*24*LOOKUP(Detached!K$2,'HDD-by Country'!$A$4:$A$40,'HDD-by Country'!$C$4:$C$40)/1000</f>
        <v>13327.48151676272</v>
      </c>
      <c r="L47" s="349">
        <f>L41*24*LOOKUP(Detached!L$2,'HDD-by Country'!$A$4:$A$40,'HDD-by Country'!$C$4:$C$40)/1000</f>
        <v>12317.106534056238</v>
      </c>
      <c r="M47" s="349">
        <f>M41*24*LOOKUP(Detached!M$2,'HDD-by Country'!$A$4:$A$40,'HDD-by Country'!$C$4:$C$40)/1000</f>
        <v>20064.923979406802</v>
      </c>
      <c r="N47" s="349">
        <f>N41*24*LOOKUP(Detached!N$2,'HDD-by Country'!$A$4:$A$40,'HDD-by Country'!$C$4:$C$40)/1000</f>
        <v>18397.57599878317</v>
      </c>
      <c r="O47" s="349">
        <f>O41*24*LOOKUP(Detached!O$2,'HDD-by Country'!$A$4:$A$40,'HDD-by Country'!$C$4:$C$40)/1000</f>
        <v>16557.04122742121</v>
      </c>
      <c r="P47" s="349">
        <f>P41*24*LOOKUP(Detached!P$2,'HDD-by Country'!$A$4:$A$40,'HDD-by Country'!$C$4:$C$40)/1000</f>
        <v>29238.637808628551</v>
      </c>
      <c r="Q47" s="349">
        <f>Q41*24*LOOKUP(Detached!Q$2,'HDD-by Country'!$A$4:$A$40,'HDD-by Country'!$C$4:$C$40)/1000</f>
        <v>19200.778848456048</v>
      </c>
      <c r="R47" s="349">
        <f>R41*24*LOOKUP(Detached!R$2,'HDD-by Country'!$A$4:$A$40,'HDD-by Country'!$C$4:$C$40)/1000</f>
        <v>18168.647634583362</v>
      </c>
      <c r="S47" s="349">
        <f>S41*24*LOOKUP(Detached!S$2,'HDD-by Country'!$A$4:$A$40,'HDD-by Country'!$C$4:$C$40)/1000</f>
        <v>21895.807699959252</v>
      </c>
      <c r="T47" s="349">
        <f>T41*24*LOOKUP(Detached!T$2,'HDD-by Country'!$A$4:$A$40,'HDD-by Country'!$C$4:$C$40)/1000</f>
        <v>15648.946695717104</v>
      </c>
      <c r="U47" s="349">
        <f>U41*24*LOOKUP(Detached!U$2,'HDD-by Country'!$A$4:$A$40,'HDD-by Country'!$C$4:$C$40)/1000</f>
        <v>20610.249532536876</v>
      </c>
      <c r="V47" s="349">
        <f>V41*24*LOOKUP(Detached!V$2,'HDD-by Country'!$A$4:$A$40,'HDD-by Country'!$C$4:$C$40)/1000</f>
        <v>19853.119344249521</v>
      </c>
      <c r="W47" s="349">
        <f>W41*24*LOOKUP(Detached!W$2,'HDD-by Country'!$A$4:$A$40,'HDD-by Country'!$C$4:$C$40)/1000</f>
        <v>14580.941662987398</v>
      </c>
      <c r="X47" s="349">
        <f>X41*24*LOOKUP(Detached!X$2,'HDD-by Country'!$A$4:$A$40,'HDD-by Country'!$C$4:$C$40)/1000</f>
        <v>18358.429807626988</v>
      </c>
      <c r="Y47" s="349">
        <f>Y41*24*LOOKUP(Detached!Y$2,'HDD-by Country'!$A$4:$A$40,'HDD-by Country'!$C$4:$C$40)/1000</f>
        <v>7925.6924263701758</v>
      </c>
      <c r="Z47" s="349">
        <f>Z41*24*LOOKUP(Detached!Z$2,'HDD-by Country'!$A$4:$A$40,'HDD-by Country'!$C$4:$C$40)/1000</f>
        <v>19120.331218902953</v>
      </c>
      <c r="AA47" s="349">
        <f>AA41*24*LOOKUP(Detached!AA$2,'HDD-by Country'!$A$4:$A$40,'HDD-by Country'!$C$4:$C$40)/1000</f>
        <v>17174.86769931639</v>
      </c>
      <c r="AB47" s="349">
        <f>AB41*24*LOOKUP(Detached!AB$2,'HDD-by Country'!$A$4:$A$40,'HDD-by Country'!$C$4:$C$40)/1000</f>
        <v>22297.91960862765</v>
      </c>
      <c r="AC47" s="349">
        <f>AC41*24*LOOKUP(Detached!AC$2,'HDD-by Country'!$A$4:$A$40,'HDD-by Country'!$C$4:$C$40)/1000</f>
        <v>20095.011351297693</v>
      </c>
      <c r="AD47" s="349">
        <f>AD41*24*LOOKUP(Detached!AD$2,'HDD-by Country'!$A$4:$A$40,'HDD-by Country'!$C$4:$C$40)/1000</f>
        <v>25280.220042596662</v>
      </c>
      <c r="AE47" s="349">
        <f>AE41*24*LOOKUP(Detached!AE$2,'HDD-by Country'!$A$4:$A$40,'HDD-by Country'!$C$4:$C$40)/1000</f>
        <v>16560.3931553451</v>
      </c>
      <c r="AF47" s="349">
        <f>AF41*24*LOOKUP(Detached!AF$2,'HDD-by Country'!$A$4:$A$40,'HDD-by Country'!$C$4:$C$40)/1000</f>
        <v>21333.634487770374</v>
      </c>
      <c r="AG47" s="349">
        <f>AG41*24*LOOKUP(Detached!AG$2,'HDD-by Country'!$A$4:$A$40,'HDD-by Country'!$C$4:$C$40)/1000</f>
        <v>31278.346805226836</v>
      </c>
      <c r="AH47" s="349">
        <f>AH41*24*LOOKUP(Detached!AH$2,'HDD-by Country'!$A$4:$A$40,'HDD-by Country'!$C$4:$C$40)/1000</f>
        <v>14735.032987880069</v>
      </c>
      <c r="AI47" s="349">
        <f>AI41*24*LOOKUP(Detached!AI$2,'HDD-by Country'!$A$4:$A$40,'HDD-by Country'!$C$4:$C$40)/1000</f>
        <v>29238.637808628551</v>
      </c>
      <c r="AJ47" s="349">
        <f>AJ41*24*LOOKUP(Detached!AJ$2,'HDD-by Country'!$A$4:$A$40,'HDD-by Country'!$C$4:$C$40)/1000</f>
        <v>19513.549656315943</v>
      </c>
      <c r="AK47" s="349">
        <f>AK41*24*LOOKUP(Detached!AK$2,'HDD-by Country'!$A$4:$A$40,'HDD-by Country'!$C$4:$C$40)/1000</f>
        <v>20669.315802164532</v>
      </c>
      <c r="AL47" s="349">
        <f>AL41*24*LOOKUP(Detached!AL$2,'HDD-by Country'!$A$4:$A$40,'HDD-by Country'!$C$4:$C$40)/1000</f>
        <v>18147.883833153945</v>
      </c>
      <c r="AM47" s="349">
        <f>AM41*24*LOOKUP(Detached!AM$2,'HDD-by Country'!$A$4:$A$40,'HDD-by Country'!$C$4:$C$40)/1000</f>
        <v>17944.184779781292</v>
      </c>
      <c r="AN47" s="354">
        <f>AN41*24*LOOKUP(Detached!AN$2,'HDD-by Country'!$A$4:$A$40,'HDD-by Country'!$C$4:$C$40)/1000</f>
        <v>17944.184779781292</v>
      </c>
    </row>
    <row r="48" spans="1:40">
      <c r="A48" s="129"/>
      <c r="B48" s="142" t="s">
        <v>6</v>
      </c>
      <c r="C48" s="129" t="s">
        <v>261</v>
      </c>
      <c r="D48" s="345">
        <f>D42*24*LOOKUP(Detached!D$2,'HDD-by Country'!$A$4:$A$40,'HDD-by Country'!$C$4:$C$40)/1000</f>
        <v>17392.161003376073</v>
      </c>
      <c r="E48" s="349">
        <f>E42*24*LOOKUP(Detached!E$2,'HDD-by Country'!$A$4:$A$40,'HDD-by Country'!$C$4:$C$40)/1000</f>
        <v>33369.05547713556</v>
      </c>
      <c r="F48" s="349">
        <f>F42*24*LOOKUP(Detached!F$2,'HDD-by Country'!$A$4:$A$40,'HDD-by Country'!$C$4:$C$40)/1000</f>
        <v>13214.910313877475</v>
      </c>
      <c r="G48" s="349">
        <f>G42*24*LOOKUP(Detached!G$2,'HDD-by Country'!$A$4:$A$40,'HDD-by Country'!$C$4:$C$40)/1000</f>
        <v>16944.461279730131</v>
      </c>
      <c r="H48" s="349">
        <f>H42*24*LOOKUP(Detached!H$2,'HDD-by Country'!$A$4:$A$40,'HDD-by Country'!$C$4:$C$40)/1000</f>
        <v>11806.586891296296</v>
      </c>
      <c r="I48" s="349">
        <f>I42*24*LOOKUP(Detached!I$2,'HDD-by Country'!$A$4:$A$40,'HDD-by Country'!$C$4:$C$40)/1000</f>
        <v>15861.329447116246</v>
      </c>
      <c r="J48" s="349">
        <f>J42*24*LOOKUP(Detached!J$2,'HDD-by Country'!$A$4:$A$40,'HDD-by Country'!$C$4:$C$40)/1000</f>
        <v>10603.267466437919</v>
      </c>
      <c r="K48" s="349">
        <f>K42*24*LOOKUP(Detached!K$2,'HDD-by Country'!$A$4:$A$40,'HDD-by Country'!$C$4:$C$40)/1000</f>
        <v>13327.48151676272</v>
      </c>
      <c r="L48" s="349">
        <f>L42*24*LOOKUP(Detached!L$2,'HDD-by Country'!$A$4:$A$40,'HDD-by Country'!$C$4:$C$40)/1000</f>
        <v>11016.386254440124</v>
      </c>
      <c r="M48" s="349">
        <f>M42*24*LOOKUP(Detached!M$2,'HDD-by Country'!$A$4:$A$40,'HDD-by Country'!$C$4:$C$40)/1000</f>
        <v>20064.923979406802</v>
      </c>
      <c r="N48" s="349">
        <f>N42*24*LOOKUP(Detached!N$2,'HDD-by Country'!$A$4:$A$40,'HDD-by Country'!$C$4:$C$40)/1000</f>
        <v>18153.393941786977</v>
      </c>
      <c r="O48" s="349">
        <f>O42*24*LOOKUP(Detached!O$2,'HDD-by Country'!$A$4:$A$40,'HDD-by Country'!$C$4:$C$40)/1000</f>
        <v>9852.6254659626466</v>
      </c>
      <c r="P48" s="349">
        <f>P42*24*LOOKUP(Detached!P$2,'HDD-by Country'!$A$4:$A$40,'HDD-by Country'!$C$4:$C$40)/1000</f>
        <v>29238.637808628551</v>
      </c>
      <c r="Q48" s="349">
        <f>Q42*24*LOOKUP(Detached!Q$2,'HDD-by Country'!$A$4:$A$40,'HDD-by Country'!$C$4:$C$40)/1000</f>
        <v>13524.35202099382</v>
      </c>
      <c r="R48" s="349">
        <f>R42*24*LOOKUP(Detached!R$2,'HDD-by Country'!$A$4:$A$40,'HDD-by Country'!$C$4:$C$40)/1000</f>
        <v>18168.647634583362</v>
      </c>
      <c r="S48" s="349">
        <f>S42*24*LOOKUP(Detached!S$2,'HDD-by Country'!$A$4:$A$40,'HDD-by Country'!$C$4:$C$40)/1000</f>
        <v>17909.976198517586</v>
      </c>
      <c r="T48" s="349">
        <f>T42*24*LOOKUP(Detached!T$2,'HDD-by Country'!$A$4:$A$40,'HDD-by Country'!$C$4:$C$40)/1000</f>
        <v>15441.245855441368</v>
      </c>
      <c r="U48" s="349">
        <f>U42*24*LOOKUP(Detached!U$2,'HDD-by Country'!$A$4:$A$40,'HDD-by Country'!$C$4:$C$40)/1000</f>
        <v>18731.94883390635</v>
      </c>
      <c r="V48" s="349">
        <f>V42*24*LOOKUP(Detached!V$2,'HDD-by Country'!$A$4:$A$40,'HDD-by Country'!$C$4:$C$40)/1000</f>
        <v>19853.119344249521</v>
      </c>
      <c r="W48" s="349">
        <f>W42*24*LOOKUP(Detached!W$2,'HDD-by Country'!$A$4:$A$40,'HDD-by Country'!$C$4:$C$40)/1000</f>
        <v>12908.941756284852</v>
      </c>
      <c r="X48" s="349">
        <f>X42*24*LOOKUP(Detached!X$2,'HDD-by Country'!$A$4:$A$40,'HDD-by Country'!$C$4:$C$40)/1000</f>
        <v>18035.995807626994</v>
      </c>
      <c r="Y48" s="349">
        <f>Y42*24*LOOKUP(Detached!Y$2,'HDD-by Country'!$A$4:$A$40,'HDD-by Country'!$C$4:$C$40)/1000</f>
        <v>7760.0329099281744</v>
      </c>
      <c r="Z48" s="349">
        <f>Z42*24*LOOKUP(Detached!Z$2,'HDD-by Country'!$A$4:$A$40,'HDD-by Country'!$C$4:$C$40)/1000</f>
        <v>17353.787869122607</v>
      </c>
      <c r="AA48" s="349">
        <f>AA42*24*LOOKUP(Detached!AA$2,'HDD-by Country'!$A$4:$A$40,'HDD-by Country'!$C$4:$C$40)/1000</f>
        <v>15117.043810547801</v>
      </c>
      <c r="AB48" s="349">
        <f>AB42*24*LOOKUP(Detached!AB$2,'HDD-by Country'!$A$4:$A$40,'HDD-by Country'!$C$4:$C$40)/1000</f>
        <v>22297.91960862765</v>
      </c>
      <c r="AC48" s="349">
        <f>AC42*24*LOOKUP(Detached!AC$2,'HDD-by Country'!$A$4:$A$40,'HDD-by Country'!$C$4:$C$40)/1000</f>
        <v>18318.831899935707</v>
      </c>
      <c r="AD48" s="349">
        <f>AD42*24*LOOKUP(Detached!AD$2,'HDD-by Country'!$A$4:$A$40,'HDD-by Country'!$C$4:$C$40)/1000</f>
        <v>25280.220042596662</v>
      </c>
      <c r="AE48" s="349">
        <f>AE42*24*LOOKUP(Detached!AE$2,'HDD-by Country'!$A$4:$A$40,'HDD-by Country'!$C$4:$C$40)/1000</f>
        <v>14576.193146408472</v>
      </c>
      <c r="AF48" s="349">
        <f>AF42*24*LOOKUP(Detached!AF$2,'HDD-by Country'!$A$4:$A$40,'HDD-by Country'!$C$4:$C$40)/1000</f>
        <v>14932.287835735717</v>
      </c>
      <c r="AG48" s="349">
        <f>AG42*24*LOOKUP(Detached!AG$2,'HDD-by Country'!$A$4:$A$40,'HDD-by Country'!$C$4:$C$40)/1000</f>
        <v>28140.706539732841</v>
      </c>
      <c r="AH48" s="349">
        <f>AH42*24*LOOKUP(Detached!AH$2,'HDD-by Country'!$A$4:$A$40,'HDD-by Country'!$C$4:$C$40)/1000</f>
        <v>12120.701509037246</v>
      </c>
      <c r="AI48" s="349">
        <f>AI42*24*LOOKUP(Detached!AI$2,'HDD-by Country'!$A$4:$A$40,'HDD-by Country'!$C$4:$C$40)/1000</f>
        <v>29238.637808628551</v>
      </c>
      <c r="AJ48" s="349">
        <f>AJ42*24*LOOKUP(Detached!AJ$2,'HDD-by Country'!$A$4:$A$40,'HDD-by Country'!$C$4:$C$40)/1000</f>
        <v>18145.908412571946</v>
      </c>
      <c r="AK48" s="349">
        <f>AK42*24*LOOKUP(Detached!AK$2,'HDD-by Country'!$A$4:$A$40,'HDD-by Country'!$C$4:$C$40)/1000</f>
        <v>19164.814673221259</v>
      </c>
      <c r="AL48" s="349">
        <f>AL42*24*LOOKUP(Detached!AL$2,'HDD-by Country'!$A$4:$A$40,'HDD-by Country'!$C$4:$C$40)/1000</f>
        <v>13788.30537214938</v>
      </c>
      <c r="AM48" s="349">
        <f>AM42*24*LOOKUP(Detached!AM$2,'HDD-by Country'!$A$4:$A$40,'HDD-by Country'!$C$4:$C$40)/1000</f>
        <v>16686.535217173448</v>
      </c>
      <c r="AN48" s="354">
        <f>AN42*24*LOOKUP(Detached!AN$2,'HDD-by Country'!$A$4:$A$40,'HDD-by Country'!$C$4:$C$40)/1000</f>
        <v>16686.535217173448</v>
      </c>
    </row>
    <row r="49" spans="1:40">
      <c r="A49" s="130"/>
      <c r="B49" s="142" t="s">
        <v>7</v>
      </c>
      <c r="C49" s="129" t="s">
        <v>261</v>
      </c>
      <c r="D49" s="345">
        <f>D43*24*LOOKUP(Detached!D$2,'HDD-by Country'!$A$4:$A$40,'HDD-by Country'!$C$4:$C$40)/1000</f>
        <v>15415.859368913467</v>
      </c>
      <c r="E49" s="349">
        <f>E43*24*LOOKUP(Detached!E$2,'HDD-by Country'!$A$4:$A$40,'HDD-by Country'!$C$4:$C$40)/1000</f>
        <v>18715.681192078955</v>
      </c>
      <c r="F49" s="349">
        <f>F43*24*LOOKUP(Detached!F$2,'HDD-by Country'!$A$4:$A$40,'HDD-by Country'!$C$4:$C$40)/1000</f>
        <v>8767.585082081554</v>
      </c>
      <c r="G49" s="349">
        <f>G43*24*LOOKUP(Detached!G$2,'HDD-by Country'!$A$4:$A$40,'HDD-by Country'!$C$4:$C$40)/1000</f>
        <v>15019.032546882117</v>
      </c>
      <c r="H49" s="349">
        <f>H43*24*LOOKUP(Detached!H$2,'HDD-by Country'!$A$4:$A$40,'HDD-by Country'!$C$4:$C$40)/1000</f>
        <v>9527.4319206984383</v>
      </c>
      <c r="I49" s="349">
        <f>I43*24*LOOKUP(Detached!I$2,'HDD-by Country'!$A$4:$A$40,'HDD-by Country'!$C$4:$C$40)/1000</f>
        <v>13275.200048209663</v>
      </c>
      <c r="J49" s="349">
        <f>J43*24*LOOKUP(Detached!J$2,'HDD-by Country'!$A$4:$A$40,'HDD-by Country'!$C$4:$C$40)/1000</f>
        <v>11564.603281415704</v>
      </c>
      <c r="K49" s="349">
        <f>K43*24*LOOKUP(Detached!K$2,'HDD-by Country'!$A$4:$A$40,'HDD-by Country'!$C$4:$C$40)/1000</f>
        <v>10316.917143756236</v>
      </c>
      <c r="L49" s="349">
        <f>L43*24*LOOKUP(Detached!L$2,'HDD-by Country'!$A$4:$A$40,'HDD-by Country'!$C$4:$C$40)/1000</f>
        <v>11016.386254440124</v>
      </c>
      <c r="M49" s="349">
        <f>M43*24*LOOKUP(Detached!M$2,'HDD-by Country'!$A$4:$A$40,'HDD-by Country'!$C$4:$C$40)/1000</f>
        <v>12254.3466232827</v>
      </c>
      <c r="N49" s="349">
        <f>N43*24*LOOKUP(Detached!N$2,'HDD-by Country'!$A$4:$A$40,'HDD-by Country'!$C$4:$C$40)/1000</f>
        <v>16953.232276302191</v>
      </c>
      <c r="O49" s="349">
        <f>O43*24*LOOKUP(Detached!O$2,'HDD-by Country'!$A$4:$A$40,'HDD-by Country'!$C$4:$C$40)/1000</f>
        <v>9593.6505849953301</v>
      </c>
      <c r="P49" s="349">
        <f>P43*24*LOOKUP(Detached!P$2,'HDD-by Country'!$A$4:$A$40,'HDD-by Country'!$C$4:$C$40)/1000</f>
        <v>8845.457126959207</v>
      </c>
      <c r="Q49" s="349">
        <f>Q43*24*LOOKUP(Detached!Q$2,'HDD-by Country'!$A$4:$A$40,'HDD-by Country'!$C$4:$C$40)/1000</f>
        <v>8514.3337778090827</v>
      </c>
      <c r="R49" s="349">
        <f>R43*24*LOOKUP(Detached!R$2,'HDD-by Country'!$A$4:$A$40,'HDD-by Country'!$C$4:$C$40)/1000</f>
        <v>11623.837985136428</v>
      </c>
      <c r="S49" s="349">
        <f>S43*24*LOOKUP(Detached!S$2,'HDD-by Country'!$A$4:$A$40,'HDD-by Country'!$C$4:$C$40)/1000</f>
        <v>10879.284566384649</v>
      </c>
      <c r="T49" s="349">
        <f>T43*24*LOOKUP(Detached!T$2,'HDD-by Country'!$A$4:$A$40,'HDD-by Country'!$C$4:$C$40)/1000</f>
        <v>14420.390394338412</v>
      </c>
      <c r="U49" s="349">
        <f>U43*24*LOOKUP(Detached!U$2,'HDD-by Country'!$A$4:$A$40,'HDD-by Country'!$C$4:$C$40)/1000</f>
        <v>18731.94883390635</v>
      </c>
      <c r="V49" s="349">
        <f>V43*24*LOOKUP(Detached!V$2,'HDD-by Country'!$A$4:$A$40,'HDD-by Country'!$C$4:$C$40)/1000</f>
        <v>11390.923557202226</v>
      </c>
      <c r="W49" s="349">
        <f>W43*24*LOOKUP(Detached!W$2,'HDD-by Country'!$A$4:$A$40,'HDD-by Country'!$C$4:$C$40)/1000</f>
        <v>10784.019055409106</v>
      </c>
      <c r="X49" s="349">
        <f>X43*24*LOOKUP(Detached!X$2,'HDD-by Country'!$A$4:$A$40,'HDD-by Country'!$C$4:$C$40)/1000</f>
        <v>11188.211690745715</v>
      </c>
      <c r="Y49" s="349">
        <f>Y43*24*LOOKUP(Detached!Y$2,'HDD-by Country'!$A$4:$A$40,'HDD-by Country'!$C$4:$C$40)/1000</f>
        <v>7328.7568855137579</v>
      </c>
      <c r="Z49" s="349">
        <f>Z43*24*LOOKUP(Detached!Z$2,'HDD-by Country'!$A$4:$A$40,'HDD-by Country'!$C$4:$C$40)/1000</f>
        <v>12608.934994623705</v>
      </c>
      <c r="AA49" s="349">
        <f>AA43*24*LOOKUP(Detached!AA$2,'HDD-by Country'!$A$4:$A$40,'HDD-by Country'!$C$4:$C$40)/1000</f>
        <v>15117.043810547801</v>
      </c>
      <c r="AB49" s="349">
        <f>AB43*24*LOOKUP(Detached!AB$2,'HDD-by Country'!$A$4:$A$40,'HDD-by Country'!$C$4:$C$40)/1000</f>
        <v>16765.964452040917</v>
      </c>
      <c r="AC49" s="349">
        <f>AC43*24*LOOKUP(Detached!AC$2,'HDD-by Country'!$A$4:$A$40,'HDD-by Country'!$C$4:$C$40)/1000</f>
        <v>11758.38184321373</v>
      </c>
      <c r="AD49" s="349">
        <f>AD43*24*LOOKUP(Detached!AD$2,'HDD-by Country'!$A$4:$A$40,'HDD-by Country'!$C$4:$C$40)/1000</f>
        <v>20607.777027139957</v>
      </c>
      <c r="AE49" s="349">
        <f>AE43*24*LOOKUP(Detached!AE$2,'HDD-by Country'!$A$4:$A$40,'HDD-by Country'!$C$4:$C$40)/1000</f>
        <v>14576.193146408472</v>
      </c>
      <c r="AF49" s="349">
        <f>AF43*24*LOOKUP(Detached!AF$2,'HDD-by Country'!$A$4:$A$40,'HDD-by Country'!$C$4:$C$40)/1000</f>
        <v>8762.4031320258418</v>
      </c>
      <c r="AG49" s="349">
        <f>AG43*24*LOOKUP(Detached!AG$2,'HDD-by Country'!$A$4:$A$40,'HDD-by Country'!$C$4:$C$40)/1000</f>
        <v>16973.639636068765</v>
      </c>
      <c r="AH49" s="349">
        <f>AH43*24*LOOKUP(Detached!AH$2,'HDD-by Country'!$A$4:$A$40,'HDD-by Country'!$C$4:$C$40)/1000</f>
        <v>10290.072976807607</v>
      </c>
      <c r="AI49" s="349">
        <f>AI43*24*LOOKUP(Detached!AI$2,'HDD-by Country'!$A$4:$A$40,'HDD-by Country'!$C$4:$C$40)/1000</f>
        <v>8845.457126959207</v>
      </c>
      <c r="AJ49" s="349">
        <f>AJ43*24*LOOKUP(Detached!AJ$2,'HDD-by Country'!$A$4:$A$40,'HDD-by Country'!$C$4:$C$40)/1000</f>
        <v>15885.299193695973</v>
      </c>
      <c r="AK49" s="349">
        <f>AK43*24*LOOKUP(Detached!AK$2,'HDD-by Country'!$A$4:$A$40,'HDD-by Country'!$C$4:$C$40)/1000</f>
        <v>16716.790160489461</v>
      </c>
      <c r="AL49" s="349">
        <f>AL43*24*LOOKUP(Detached!AL$2,'HDD-by Country'!$A$4:$A$40,'HDD-by Country'!$C$4:$C$40)/1000</f>
        <v>9106.7714435555772</v>
      </c>
      <c r="AM49" s="349">
        <f>AM43*24*LOOKUP(Detached!AM$2,'HDD-by Country'!$A$4:$A$40,'HDD-by Country'!$C$4:$C$40)/1000</f>
        <v>14607.734063470594</v>
      </c>
      <c r="AN49" s="354">
        <f>AN43*24*LOOKUP(Detached!AN$2,'HDD-by Country'!$A$4:$A$40,'HDD-by Country'!$C$4:$C$40)/1000</f>
        <v>14607.734063470594</v>
      </c>
    </row>
    <row r="50" spans="1:40">
      <c r="A50" s="151" t="s">
        <v>260</v>
      </c>
      <c r="B50" s="141" t="s">
        <v>2</v>
      </c>
      <c r="C50" s="360" t="s">
        <v>261</v>
      </c>
      <c r="D50" s="351">
        <f>D44/(1.355*(D38/Detached!D$17)^0.16)</f>
        <v>30948.32104840974</v>
      </c>
      <c r="E50" s="352">
        <f>E44/(1.355*(E38/Detached!E$17)^0.16)</f>
        <v>28302.279497220854</v>
      </c>
      <c r="F50" s="352">
        <f>F44/(1.355*(F38/Detached!F$17)^0.16)</f>
        <v>15361.923362688658</v>
      </c>
      <c r="G50" s="352">
        <f>G44/(1.355*(G38/Detached!G$17)^0.16)</f>
        <v>30151.665889916821</v>
      </c>
      <c r="H50" s="352">
        <f>H44/(1.355*(H38/Detached!H$17)^0.16)</f>
        <v>9275.8806719335389</v>
      </c>
      <c r="I50" s="352">
        <f>I44/(1.355*(I38/Detached!I$17)^0.16)</f>
        <v>22207.769929752245</v>
      </c>
      <c r="J50" s="352">
        <f>J44/(1.355*(J38/Detached!J$17)^0.16)</f>
        <v>30376.099659233376</v>
      </c>
      <c r="K50" s="352">
        <f>K44/(1.355*(K38/Detached!K$17)^0.16)</f>
        <v>20966.893845804636</v>
      </c>
      <c r="L50" s="352">
        <f>L44/(1.355*(L38/Detached!L$17)^0.16)</f>
        <v>14885.651003603456</v>
      </c>
      <c r="M50" s="352">
        <f>M44/(1.355*(M38/Detached!M$17)^0.16)</f>
        <v>23136.479774188734</v>
      </c>
      <c r="N50" s="352">
        <f>N44/(1.355*(N38/Detached!N$17)^0.16)</f>
        <v>23944.750163515888</v>
      </c>
      <c r="O50" s="352">
        <f>O44/(1.355*(O38/Detached!O$17)^0.16)</f>
        <v>31946.077232383763</v>
      </c>
      <c r="P50" s="352">
        <f>P44/(1.355*(P38/Detached!P$17)^0.16)</f>
        <v>19637.464433038895</v>
      </c>
      <c r="Q50" s="352">
        <f>Q44/(1.355*(Q38/Detached!Q$17)^0.16)</f>
        <v>13737.087858367309</v>
      </c>
      <c r="R50" s="352">
        <f>R44/(1.355*(R38/Detached!R$17)^0.16)</f>
        <v>21546.941679050942</v>
      </c>
      <c r="S50" s="352">
        <f>S44/(1.355*(S38/Detached!S$17)^0.16)</f>
        <v>29062.548434387103</v>
      </c>
      <c r="T50" s="352">
        <f>T44/(1.355*(T38/Detached!T$17)^0.16)</f>
        <v>20367.363557889756</v>
      </c>
      <c r="U50" s="352">
        <f>U44/(1.355*(U38/Detached!U$17)^0.16)</f>
        <v>20595.117781643447</v>
      </c>
      <c r="V50" s="352">
        <f>V44/(1.355*(V38/Detached!V$17)^0.16)</f>
        <v>23709.128405683619</v>
      </c>
      <c r="W50" s="352">
        <f>W44/(1.355*(W38/Detached!W$17)^0.16)</f>
        <v>21277.260584857919</v>
      </c>
      <c r="X50" s="352">
        <f>X44/(1.355*(X38/Detached!X$17)^0.16)</f>
        <v>25869.362884693459</v>
      </c>
      <c r="Y50" s="352">
        <f>Y44/(1.355*(Y38/Detached!Y$17)^0.16)</f>
        <v>7170.129469816181</v>
      </c>
      <c r="Z50" s="352">
        <f>Z44/(1.355*(Z38/Detached!Z$17)^0.16)</f>
        <v>30766.457838037208</v>
      </c>
      <c r="AA50" s="352">
        <f>AA44/(1.355*(AA38/Detached!AA$17)^0.16)</f>
        <v>22249.000923222229</v>
      </c>
      <c r="AB50" s="352">
        <f>AB44/(1.355*(AB38/Detached!AB$17)^0.16)</f>
        <v>31547.975806172788</v>
      </c>
      <c r="AC50" s="352">
        <f>AC44/(1.355*(AC38/Detached!AC$17)^0.16)</f>
        <v>16143.271351462759</v>
      </c>
      <c r="AD50" s="352">
        <f>AD44/(1.355*(AD38/Detached!AD$17)^0.16)</f>
        <v>22973.621216572606</v>
      </c>
      <c r="AE50" s="352">
        <f>AE44/(1.355*(AE38/Detached!AE$17)^0.16)</f>
        <v>21452.986366635108</v>
      </c>
      <c r="AF50" s="352">
        <f>AF44/(1.355*(AF38/Detached!AF$17)^0.16)</f>
        <v>21817.924547658367</v>
      </c>
      <c r="AG50" s="352">
        <f>AG44/(1.355*(AG38/Detached!AG$17)^0.16)</f>
        <v>30838.990172475224</v>
      </c>
      <c r="AH50" s="352">
        <f>AH44/(1.355*(AH38/Detached!AH$17)^0.16)</f>
        <v>24236.773849513407</v>
      </c>
      <c r="AI50" s="352">
        <f>AI44/(1.355*(AI38/Detached!AI$17)^0.16)</f>
        <v>19637.464433038895</v>
      </c>
      <c r="AJ50" s="352">
        <f>AJ44/(1.355*(AJ38/Detached!AJ$17)^0.16)</f>
        <v>16415.809264863878</v>
      </c>
      <c r="AK50" s="352">
        <f>AK44/(1.355*(AK38/Detached!AK$17)^0.16)</f>
        <v>17795.389799008404</v>
      </c>
      <c r="AL50" s="352">
        <f>AL44/(1.355*(AL38/Detached!AL$17)^0.16)</f>
        <v>16217.613941441403</v>
      </c>
      <c r="AM50" s="352">
        <f>AM44/(1.355*(AM38/Detached!AM$17)^0.16)</f>
        <v>15095.578198045599</v>
      </c>
      <c r="AN50" s="353">
        <f>AN44/(1.355*(AN38/Detached!AN$17)^0.16)</f>
        <v>15095.578198045599</v>
      </c>
    </row>
    <row r="51" spans="1:40">
      <c r="A51" s="129"/>
      <c r="B51" s="142" t="s">
        <v>3</v>
      </c>
      <c r="C51" s="129" t="s">
        <v>261</v>
      </c>
      <c r="D51" s="345">
        <f>D45/(1.355*(D39/Detached!D$17)^0.16)</f>
        <v>28719.645391279428</v>
      </c>
      <c r="E51" s="349">
        <f>E45/(1.355*(E39/Detached!E$17)^0.16)</f>
        <v>28302.279497220854</v>
      </c>
      <c r="F51" s="349">
        <f>F45/(1.355*(F39/Detached!F$17)^0.16)</f>
        <v>15361.923362688658</v>
      </c>
      <c r="G51" s="349">
        <f>G45/(1.355*(G39/Detached!G$17)^0.16)</f>
        <v>27980.359611761323</v>
      </c>
      <c r="H51" s="349">
        <f>H45/(1.355*(H39/Detached!H$17)^0.16)</f>
        <v>8721.7738950802213</v>
      </c>
      <c r="I51" s="349">
        <f>I45/(1.355*(I39/Detached!I$17)^0.16)</f>
        <v>18749.076620239506</v>
      </c>
      <c r="J51" s="349">
        <f>J45/(1.355*(J39/Detached!J$17)^0.16)</f>
        <v>27029.276584417341</v>
      </c>
      <c r="K51" s="349">
        <f>K45/(1.355*(K39/Detached!K$17)^0.16)</f>
        <v>20390.54818312799</v>
      </c>
      <c r="L51" s="349">
        <f>L45/(1.355*(L39/Detached!L$17)^0.16)</f>
        <v>14885.651003603456</v>
      </c>
      <c r="M51" s="349">
        <f>M45/(1.355*(M39/Detached!M$17)^0.16)</f>
        <v>20787.627728710111</v>
      </c>
      <c r="N51" s="349">
        <f>N45/(1.355*(N39/Detached!N$17)^0.16)</f>
        <v>22005.095918190247</v>
      </c>
      <c r="O51" s="349">
        <f>O45/(1.355*(O39/Detached!O$17)^0.16)</f>
        <v>31946.077232383763</v>
      </c>
      <c r="P51" s="349">
        <f>P45/(1.355*(P39/Detached!P$17)^0.16)</f>
        <v>19637.464433038895</v>
      </c>
      <c r="Q51" s="349">
        <f>Q45/(1.355*(Q39/Detached!Q$17)^0.16)</f>
        <v>14592.484940007838</v>
      </c>
      <c r="R51" s="349">
        <f>R45/(1.355*(R39/Detached!R$17)^0.16)</f>
        <v>21546.941679050942</v>
      </c>
      <c r="S51" s="349">
        <f>S45/(1.355*(S39/Detached!S$17)^0.16)</f>
        <v>29484.339971035432</v>
      </c>
      <c r="T51" s="349">
        <f>T45/(1.355*(T39/Detached!T$17)^0.16)</f>
        <v>18717.496972464047</v>
      </c>
      <c r="U51" s="349">
        <f>U45/(1.355*(U39/Detached!U$17)^0.16)</f>
        <v>19468.148648577469</v>
      </c>
      <c r="V51" s="349">
        <f>V45/(1.355*(V39/Detached!V$17)^0.16)</f>
        <v>23709.128405683619</v>
      </c>
      <c r="W51" s="349">
        <f>W45/(1.355*(W39/Detached!W$17)^0.16)</f>
        <v>22673.311261909159</v>
      </c>
      <c r="X51" s="349">
        <f>X45/(1.355*(X39/Detached!X$17)^0.16)</f>
        <v>25869.362884693459</v>
      </c>
      <c r="Y51" s="349">
        <f>Y45/(1.355*(Y39/Detached!Y$17)^0.16)</f>
        <v>7160.0866420280172</v>
      </c>
      <c r="Z51" s="349">
        <f>Z45/(1.355*(Z39/Detached!Z$17)^0.16)</f>
        <v>25128.247840174245</v>
      </c>
      <c r="AA51" s="349">
        <f>AA45/(1.355*(AA39/Detached!AA$17)^0.16)</f>
        <v>22249.000923222229</v>
      </c>
      <c r="AB51" s="349">
        <f>AB45/(1.355*(AB39/Detached!AB$17)^0.16)</f>
        <v>23677.142696280585</v>
      </c>
      <c r="AC51" s="349">
        <f>AC45/(1.355*(AC39/Detached!AC$17)^0.16)</f>
        <v>14614.302274421036</v>
      </c>
      <c r="AD51" s="349">
        <f>AD45/(1.355*(AD39/Detached!AD$17)^0.16)</f>
        <v>21005.581307158627</v>
      </c>
      <c r="AE51" s="349">
        <f>AE45/(1.355*(AE39/Detached!AE$17)^0.16)</f>
        <v>21452.986366635108</v>
      </c>
      <c r="AF51" s="349">
        <f>AF45/(1.355*(AF39/Detached!AF$17)^0.16)</f>
        <v>21817.924547658367</v>
      </c>
      <c r="AG51" s="349">
        <f>AG45/(1.355*(AG39/Detached!AG$17)^0.16)</f>
        <v>26076.448086635293</v>
      </c>
      <c r="AH51" s="349">
        <f>AH45/(1.355*(AH39/Detached!AH$17)^0.16)</f>
        <v>25549.408370110534</v>
      </c>
      <c r="AI51" s="349">
        <f>AI45/(1.355*(AI39/Detached!AI$17)^0.16)</f>
        <v>19637.464433038895</v>
      </c>
      <c r="AJ51" s="349">
        <f>AJ45/(1.355*(AJ39/Detached!AJ$17)^0.16)</f>
        <v>16415.809264863878</v>
      </c>
      <c r="AK51" s="349">
        <f>AK45/(1.355*(AK39/Detached!AK$17)^0.16)</f>
        <v>17795.389799008404</v>
      </c>
      <c r="AL51" s="349">
        <f>AL45/(1.355*(AL39/Detached!AL$17)^0.16)</f>
        <v>16217.613941441403</v>
      </c>
      <c r="AM51" s="349">
        <f>AM45/(1.355*(AM39/Detached!AM$17)^0.16)</f>
        <v>15095.578198045599</v>
      </c>
      <c r="AN51" s="354">
        <f>AN45/(1.355*(AN39/Detached!AN$17)^0.16)</f>
        <v>15095.578198045599</v>
      </c>
    </row>
    <row r="52" spans="1:40">
      <c r="A52" s="129"/>
      <c r="B52" s="142" t="s">
        <v>4</v>
      </c>
      <c r="C52" s="129" t="s">
        <v>261</v>
      </c>
      <c r="D52" s="345">
        <f>D46/(1.355*(D40/Detached!D$17)^0.16)</f>
        <v>23092.889172790954</v>
      </c>
      <c r="E52" s="349">
        <f>E46/(1.355*(E40/Detached!E$17)^0.16)</f>
        <v>28302.279497220854</v>
      </c>
      <c r="F52" s="349">
        <f>F46/(1.355*(F40/Detached!F$17)^0.16)</f>
        <v>14508.575990004534</v>
      </c>
      <c r="G52" s="349">
        <f>G46/(1.355*(G40/Detached!G$17)^0.16)</f>
        <v>22498.444347973727</v>
      </c>
      <c r="H52" s="349">
        <f>H46/(1.355*(H40/Detached!H$17)^0.16)</f>
        <v>8160.8734972956008</v>
      </c>
      <c r="I52" s="349">
        <f>I46/(1.355*(I40/Detached!I$17)^0.16)</f>
        <v>18749.076620239506</v>
      </c>
      <c r="J52" s="349">
        <f>J46/(1.355*(J40/Detached!J$17)^0.16)</f>
        <v>17239.044852590989</v>
      </c>
      <c r="K52" s="349">
        <f>K46/(1.355*(K40/Detached!K$17)^0.16)</f>
        <v>14000.395107044011</v>
      </c>
      <c r="L52" s="349">
        <f>L46/(1.355*(L40/Detached!L$17)^0.16)</f>
        <v>12436.720870656291</v>
      </c>
      <c r="M52" s="349">
        <f>M46/(1.355*(M40/Detached!M$17)^0.16)</f>
        <v>20787.627728710111</v>
      </c>
      <c r="N52" s="349">
        <f>N46/(1.355*(N40/Detached!N$17)^0.16)</f>
        <v>18563.220625461483</v>
      </c>
      <c r="O52" s="349">
        <f>O46/(1.355*(O40/Detached!O$17)^0.16)</f>
        <v>14986.955973620439</v>
      </c>
      <c r="P52" s="349">
        <f>P46/(1.355*(P40/Detached!P$17)^0.16)</f>
        <v>19637.464433038895</v>
      </c>
      <c r="Q52" s="349">
        <f>Q46/(1.355*(Q40/Detached!Q$17)^0.16)</f>
        <v>13770.958004143411</v>
      </c>
      <c r="R52" s="349">
        <f>R46/(1.355*(R40/Detached!R$17)^0.16)</f>
        <v>18810.185293645267</v>
      </c>
      <c r="S52" s="349">
        <f>S46/(1.355*(S40/Detached!S$17)^0.16)</f>
        <v>25287.532812188732</v>
      </c>
      <c r="T52" s="349">
        <f>T46/(1.355*(T40/Detached!T$17)^0.16)</f>
        <v>15789.84373201647</v>
      </c>
      <c r="U52" s="349">
        <f>U46/(1.355*(U40/Detached!U$17)^0.16)</f>
        <v>18768.438117289174</v>
      </c>
      <c r="V52" s="349">
        <f>V46/(1.355*(V40/Detached!V$17)^0.16)</f>
        <v>16086.075131908119</v>
      </c>
      <c r="W52" s="349">
        <f>W46/(1.355*(W40/Detached!W$17)^0.16)</f>
        <v>12850.842500805806</v>
      </c>
      <c r="X52" s="349">
        <f>X46/(1.355*(X40/Detached!X$17)^0.16)</f>
        <v>24051.004394542149</v>
      </c>
      <c r="Y52" s="349">
        <f>Y46/(1.355*(Y40/Detached!Y$17)^0.16)</f>
        <v>5928.0787383118441</v>
      </c>
      <c r="Z52" s="349">
        <f>Z46/(1.355*(Z40/Detached!Z$17)^0.16)</f>
        <v>24321.152164399053</v>
      </c>
      <c r="AA52" s="349">
        <f>AA46/(1.355*(AA40/Detached!AA$17)^0.16)</f>
        <v>15619.500268903819</v>
      </c>
      <c r="AB52" s="349">
        <f>AB46/(1.355*(AB40/Detached!AB$17)^0.16)</f>
        <v>17376.499926383633</v>
      </c>
      <c r="AC52" s="349">
        <f>AC46/(1.355*(AC40/Detached!AC$17)^0.16)</f>
        <v>14344.155095839271</v>
      </c>
      <c r="AD52" s="349">
        <f>AD46/(1.355*(AD40/Detached!AD$17)^0.16)</f>
        <v>21005.581307158627</v>
      </c>
      <c r="AE52" s="349">
        <f>AE46/(1.355*(AE40/Detached!AE$17)^0.16)</f>
        <v>15060.67294791222</v>
      </c>
      <c r="AF52" s="349">
        <f>AF46/(1.355*(AF40/Detached!AF$17)^0.16)</f>
        <v>20417.749230017063</v>
      </c>
      <c r="AG52" s="349">
        <f>AG46/(1.355*(AG40/Detached!AG$17)^0.16)</f>
        <v>26076.448086635293</v>
      </c>
      <c r="AH52" s="349">
        <f>AH46/(1.355*(AH40/Detached!AH$17)^0.16)</f>
        <v>20198.49997073369</v>
      </c>
      <c r="AI52" s="349">
        <f>AI46/(1.355*(AI40/Detached!AI$17)^0.16)</f>
        <v>19637.464433038895</v>
      </c>
      <c r="AJ52" s="349">
        <f>AJ46/(1.355*(AJ40/Detached!AJ$17)^0.16)</f>
        <v>16415.809264863878</v>
      </c>
      <c r="AK52" s="349">
        <f>AK46/(1.355*(AK40/Detached!AK$17)^0.16)</f>
        <v>17795.389799008404</v>
      </c>
      <c r="AL52" s="349">
        <f>AL46/(1.355*(AL40/Detached!AL$17)^0.16)</f>
        <v>15308.381496785087</v>
      </c>
      <c r="AM52" s="349">
        <f>AM46/(1.355*(AM40/Detached!AM$17)^0.16)</f>
        <v>15095.578198045599</v>
      </c>
      <c r="AN52" s="354">
        <f>AN46/(1.355*(AN40/Detached!AN$17)^0.16)</f>
        <v>15095.578198045599</v>
      </c>
    </row>
    <row r="53" spans="1:40">
      <c r="A53" s="129"/>
      <c r="B53" s="142" t="s">
        <v>5</v>
      </c>
      <c r="C53" s="129" t="s">
        <v>261</v>
      </c>
      <c r="D53" s="345">
        <f>D47/(1.355*(D41/Detached!D$17)^0.16)</f>
        <v>16636.632409739792</v>
      </c>
      <c r="E53" s="349">
        <f>E47/(1.355*(E41/Detached!E$17)^0.16)</f>
        <v>24138.503500775409</v>
      </c>
      <c r="F53" s="349">
        <f>F47/(1.355*(F41/Detached!F$17)^0.16)</f>
        <v>12534.443140390615</v>
      </c>
      <c r="G53" s="349">
        <f>G47/(1.355*(G41/Detached!G$17)^0.16)</f>
        <v>16208.381099808044</v>
      </c>
      <c r="H53" s="349">
        <f>H47/(1.355*(H41/Detached!H$17)^0.16)</f>
        <v>7908.0041424446626</v>
      </c>
      <c r="I53" s="349">
        <f>I47/(1.355*(I41/Detached!I$17)^0.16)</f>
        <v>16749.621592988813</v>
      </c>
      <c r="J53" s="349">
        <f>J47/(1.355*(J41/Detached!J$17)^0.16)</f>
        <v>13947.754968807087</v>
      </c>
      <c r="K53" s="349">
        <f>K47/(1.355*(K41/Detached!K$17)^0.16)</f>
        <v>11825.495525699536</v>
      </c>
      <c r="L53" s="349">
        <f>L47/(1.355*(L41/Detached!L$17)^0.16)</f>
        <v>10699.645413719372</v>
      </c>
      <c r="M53" s="349">
        <f>M47/(1.355*(M41/Detached!M$17)^0.16)</f>
        <v>14603.775482759496</v>
      </c>
      <c r="N53" s="349">
        <f>N47/(1.355*(N41/Detached!N$17)^0.16)</f>
        <v>15986.994703866323</v>
      </c>
      <c r="O53" s="349">
        <f>O47/(1.355*(O41/Detached!O$17)^0.16)</f>
        <v>13047.372822414061</v>
      </c>
      <c r="P53" s="349">
        <f>P47/(1.355*(P41/Detached!P$17)^0.16)</f>
        <v>19112.438128639333</v>
      </c>
      <c r="Q53" s="349">
        <f>Q47/(1.355*(Q41/Detached!Q$17)^0.16)</f>
        <v>13770.958004143411</v>
      </c>
      <c r="R53" s="349">
        <f>R47/(1.355*(R41/Detached!R$17)^0.16)</f>
        <v>14065.264922158331</v>
      </c>
      <c r="S53" s="349">
        <f>S47/(1.355*(S41/Detached!S$17)^0.16)</f>
        <v>17064.523514136665</v>
      </c>
      <c r="T53" s="349">
        <f>T47/(1.355*(T41/Detached!T$17)^0.16)</f>
        <v>13598.51036691262</v>
      </c>
      <c r="U53" s="349">
        <f>U47/(1.355*(U41/Detached!U$17)^0.16)</f>
        <v>15071.356975200844</v>
      </c>
      <c r="V53" s="349">
        <f>V47/(1.355*(V41/Detached!V$17)^0.16)</f>
        <v>16086.075131908119</v>
      </c>
      <c r="W53" s="349">
        <f>W47/(1.355*(W41/Detached!W$17)^0.16)</f>
        <v>11752.181318269264</v>
      </c>
      <c r="X53" s="349">
        <f>X47/(1.355*(X41/Detached!X$17)^0.16)</f>
        <v>15146.482844015824</v>
      </c>
      <c r="Y53" s="349">
        <f>Y47/(1.355*(Y41/Detached!Y$17)^0.16)</f>
        <v>5430.5013174709575</v>
      </c>
      <c r="Z53" s="349">
        <f>Z47/(1.355*(Z41/Detached!Z$17)^0.16)</f>
        <v>15160.554467407201</v>
      </c>
      <c r="AA53" s="349">
        <f>AA47/(1.355*(AA41/Detached!AA$17)^0.16)</f>
        <v>15619.500268903819</v>
      </c>
      <c r="AB53" s="349">
        <f>AB47/(1.355*(AB41/Detached!AB$17)^0.16)</f>
        <v>17376.499926383633</v>
      </c>
      <c r="AC53" s="349">
        <f>AC47/(1.355*(AC41/Detached!AC$17)^0.16)</f>
        <v>13897.647650660881</v>
      </c>
      <c r="AD53" s="349">
        <f>AD47/(1.355*(AD41/Detached!AD$17)^0.16)</f>
        <v>18035.597357312832</v>
      </c>
      <c r="AE53" s="349">
        <f>AE47/(1.355*(AE41/Detached!AE$17)^0.16)</f>
        <v>15060.67294791222</v>
      </c>
      <c r="AF53" s="349">
        <f>AF47/(1.355*(AF41/Detached!AF$17)^0.16)</f>
        <v>16274.690601877044</v>
      </c>
      <c r="AG53" s="349">
        <f>AG47/(1.355*(AG41/Detached!AG$17)^0.16)</f>
        <v>22915.624914169268</v>
      </c>
      <c r="AH53" s="349">
        <f>AH47/(1.355*(AH41/Detached!AH$17)^0.16)</f>
        <v>11669.110108492167</v>
      </c>
      <c r="AI53" s="349">
        <f>AI47/(1.355*(AI41/Detached!AI$17)^0.16)</f>
        <v>19112.438128639333</v>
      </c>
      <c r="AJ53" s="349">
        <f>AJ47/(1.355*(AJ41/Detached!AJ$17)^0.16)</f>
        <v>14226.74846219352</v>
      </c>
      <c r="AK53" s="349">
        <f>AK47/(1.355*(AK41/Detached!AK$17)^0.16)</f>
        <v>15335.757813339385</v>
      </c>
      <c r="AL53" s="349">
        <f>AL47/(1.355*(AL41/Detached!AL$17)^0.16)</f>
        <v>13207.207600408166</v>
      </c>
      <c r="AM53" s="349">
        <f>AM47/(1.355*(AM41/Detached!AM$17)^0.16)</f>
        <v>13082.571224474328</v>
      </c>
      <c r="AN53" s="354">
        <f>AN47/(1.355*(AN41/Detached!AN$17)^0.16)</f>
        <v>13082.571224474328</v>
      </c>
    </row>
    <row r="54" spans="1:40">
      <c r="A54" s="129"/>
      <c r="B54" s="142" t="s">
        <v>6</v>
      </c>
      <c r="C54" s="129" t="s">
        <v>261</v>
      </c>
      <c r="D54" s="345">
        <f>D48/(1.355*(D42/Detached!D$17)^0.16)</f>
        <v>14578.510459571644</v>
      </c>
      <c r="E54" s="349">
        <f>E48/(1.355*(E42/Detached!E$17)^0.16)</f>
        <v>24138.503500775409</v>
      </c>
      <c r="F54" s="349">
        <f>F48/(1.355*(F42/Detached!F$17)^0.16)</f>
        <v>9992.5931999763743</v>
      </c>
      <c r="G54" s="349">
        <f>G48/(1.355*(G42/Detached!G$17)^0.16)</f>
        <v>14203.238226141148</v>
      </c>
      <c r="H54" s="349">
        <f>H48/(1.355*(H42/Detached!H$17)^0.16)</f>
        <v>7908.0041424446626</v>
      </c>
      <c r="I54" s="349">
        <f>I48/(1.355*(I42/Detached!I$17)^0.16)</f>
        <v>13102.949427904816</v>
      </c>
      <c r="J54" s="349">
        <f>J48/(1.355*(J42/Detached!J$17)^0.16)</f>
        <v>9304.943876536614</v>
      </c>
      <c r="K54" s="349">
        <f>K48/(1.355*(K42/Detached!K$17)^0.16)</f>
        <v>11825.495525699536</v>
      </c>
      <c r="L54" s="349">
        <f>L48/(1.355*(L42/Detached!L$17)^0.16)</f>
        <v>9742.1535233920004</v>
      </c>
      <c r="M54" s="349">
        <f>M48/(1.355*(M42/Detached!M$17)^0.16)</f>
        <v>14603.775482759496</v>
      </c>
      <c r="N54" s="349">
        <f>N48/(1.355*(N42/Detached!N$17)^0.16)</f>
        <v>15808.566899948049</v>
      </c>
      <c r="O54" s="349">
        <f>O48/(1.355*(O42/Detached!O$17)^0.16)</f>
        <v>8436.4791419033263</v>
      </c>
      <c r="P54" s="349">
        <f>P48/(1.355*(P42/Detached!P$17)^0.16)</f>
        <v>19112.438128639333</v>
      </c>
      <c r="Q54" s="349">
        <f>Q48/(1.355*(Q42/Detached!Q$17)^0.16)</f>
        <v>10259.21556821776</v>
      </c>
      <c r="R54" s="349">
        <f>R48/(1.355*(R42/Detached!R$17)^0.16)</f>
        <v>14065.264922158331</v>
      </c>
      <c r="S54" s="349">
        <f>S48/(1.355*(S42/Detached!S$17)^0.16)</f>
        <v>14414.2071283721</v>
      </c>
      <c r="T54" s="349">
        <f>T48/(1.355*(T42/Detached!T$17)^0.16)</f>
        <v>13446.739981904529</v>
      </c>
      <c r="U54" s="349">
        <f>U48/(1.355*(U42/Detached!U$17)^0.16)</f>
        <v>13908.878563755296</v>
      </c>
      <c r="V54" s="349">
        <f>V48/(1.355*(V42/Detached!V$17)^0.16)</f>
        <v>16086.075131908119</v>
      </c>
      <c r="W54" s="349">
        <f>W48/(1.355*(W42/Detached!W$17)^0.16)</f>
        <v>10609.30027045004</v>
      </c>
      <c r="X54" s="349">
        <f>X48/(1.355*(X42/Detached!X$17)^0.16)</f>
        <v>14922.708475123893</v>
      </c>
      <c r="Y54" s="349">
        <f>Y48/(1.355*(Y42/Detached!Y$17)^0.16)</f>
        <v>5334.9954839219345</v>
      </c>
      <c r="Z54" s="349">
        <f>Z48/(1.355*(Z42/Detached!Z$17)^0.16)</f>
        <v>13974.946002365956</v>
      </c>
      <c r="AA54" s="349">
        <f>AA48/(1.355*(AA42/Detached!AA$17)^0.16)</f>
        <v>14031.653476794158</v>
      </c>
      <c r="AB54" s="349">
        <f>AB48/(1.355*(AB42/Detached!AB$17)^0.16)</f>
        <v>17376.499926383633</v>
      </c>
      <c r="AC54" s="349">
        <f>AC48/(1.355*(AC42/Detached!AC$17)^0.16)</f>
        <v>12858.233108375187</v>
      </c>
      <c r="AD54" s="349">
        <f>AD48/(1.355*(AD42/Detached!AD$17)^0.16)</f>
        <v>18035.597357312832</v>
      </c>
      <c r="AE54" s="349">
        <f>AE48/(1.355*(AE42/Detached!AE$17)^0.16)</f>
        <v>13529.635410497238</v>
      </c>
      <c r="AF54" s="349">
        <f>AF48/(1.355*(AF42/Detached!AF$17)^0.16)</f>
        <v>12060.474737955126</v>
      </c>
      <c r="AG54" s="349">
        <f>AG48/(1.355*(AG42/Detached!AG$17)^0.16)</f>
        <v>20968.546091074742</v>
      </c>
      <c r="AH54" s="349">
        <f>AH48/(1.355*(AH42/Detached!AH$17)^0.16)</f>
        <v>9903.4409988484294</v>
      </c>
      <c r="AI54" s="349">
        <f>AI48/(1.355*(AI42/Detached!AI$17)^0.16)</f>
        <v>19112.438128639333</v>
      </c>
      <c r="AJ54" s="349">
        <f>AJ48/(1.355*(AJ42/Detached!AJ$17)^0.16)</f>
        <v>13384.350458626162</v>
      </c>
      <c r="AK54" s="349">
        <f>AK48/(1.355*(AK42/Detached!AK$17)^0.16)</f>
        <v>14392.465624209124</v>
      </c>
      <c r="AL54" s="349">
        <f>AL48/(1.355*(AL42/Detached!AL$17)^0.16)</f>
        <v>10485.431867972362</v>
      </c>
      <c r="AM54" s="349">
        <f>AM48/(1.355*(AM42/Detached!AM$17)^0.16)</f>
        <v>12307.922546998117</v>
      </c>
      <c r="AN54" s="354">
        <f>AN48/(1.355*(AN42/Detached!AN$17)^0.16)</f>
        <v>12307.922546998117</v>
      </c>
    </row>
    <row r="55" spans="1:40">
      <c r="A55" s="129"/>
      <c r="B55" s="142" t="s">
        <v>7</v>
      </c>
      <c r="C55" s="129" t="s">
        <v>261</v>
      </c>
      <c r="D55" s="345">
        <f>D49/(1.355*(D43/Detached!D$17)^0.16)</f>
        <v>13173.73959891415</v>
      </c>
      <c r="E55" s="349">
        <f>E49/(1.355*(E43/Detached!E$17)^0.16)</f>
        <v>14850.948453547831</v>
      </c>
      <c r="F55" s="349">
        <f>F49/(1.355*(F43/Detached!F$17)^0.16)</f>
        <v>7079.5141403709731</v>
      </c>
      <c r="G55" s="349">
        <f>G49/(1.355*(G43/Detached!G$17)^0.16)</f>
        <v>12834.628227033874</v>
      </c>
      <c r="H55" s="349">
        <f>H49/(1.355*(H43/Detached!H$17)^0.16)</f>
        <v>6604.2291957564757</v>
      </c>
      <c r="I55" s="349">
        <f>I49/(1.355*(I43/Detached!I$17)^0.16)</f>
        <v>11283.356636953975</v>
      </c>
      <c r="J55" s="349">
        <f>J49/(1.355*(J43/Detached!J$17)^0.16)</f>
        <v>10008.620375837776</v>
      </c>
      <c r="K55" s="349">
        <f>K49/(1.355*(K43/Detached!K$17)^0.16)</f>
        <v>9537.0246533416594</v>
      </c>
      <c r="L55" s="349">
        <f>L49/(1.355*(L43/Detached!L$17)^0.16)</f>
        <v>9742.1535233920004</v>
      </c>
      <c r="M55" s="349">
        <f>M49/(1.355*(M43/Detached!M$17)^0.16)</f>
        <v>9651.2011371086228</v>
      </c>
      <c r="N55" s="349">
        <f>N49/(1.355*(N43/Detached!N$17)^0.16)</f>
        <v>14925.882990795484</v>
      </c>
      <c r="O55" s="349">
        <f>O49/(1.355*(O43/Detached!O$17)^0.16)</f>
        <v>8249.8120086818235</v>
      </c>
      <c r="P55" s="349">
        <f>P49/(1.355*(P43/Detached!P$17)^0.16)</f>
        <v>7000.9525703989848</v>
      </c>
      <c r="Q55" s="349">
        <f>Q49/(1.355*(Q43/Detached!Q$17)^0.16)</f>
        <v>6955.0921355731907</v>
      </c>
      <c r="R55" s="349">
        <f>R49/(1.355*(R43/Detached!R$17)^0.16)</f>
        <v>9665.1934544952455</v>
      </c>
      <c r="S55" s="349">
        <f>S49/(1.355*(S43/Detached!S$17)^0.16)</f>
        <v>9482.7703677458176</v>
      </c>
      <c r="T55" s="349">
        <f>T49/(1.355*(T43/Detached!T$17)^0.16)</f>
        <v>12695.930557640741</v>
      </c>
      <c r="U55" s="349">
        <f>U49/(1.355*(U43/Detached!U$17)^0.16)</f>
        <v>13908.878563755296</v>
      </c>
      <c r="V55" s="349">
        <f>V49/(1.355*(V43/Detached!V$17)^0.16)</f>
        <v>10087.497670299668</v>
      </c>
      <c r="W55" s="349">
        <f>W49/(1.355*(W43/Detached!W$17)^0.16)</f>
        <v>9121.6697731796976</v>
      </c>
      <c r="X55" s="349">
        <f>X49/(1.355*(X43/Detached!X$17)^0.16)</f>
        <v>9991.9192651323319</v>
      </c>
      <c r="Y55" s="349">
        <f>Y49/(1.355*(Y43/Detached!Y$17)^0.16)</f>
        <v>5084.8029551228728</v>
      </c>
      <c r="Z55" s="349">
        <f>Z49/(1.355*(Z43/Detached!Z$17)^0.16)</f>
        <v>10686.3353914894</v>
      </c>
      <c r="AA55" s="349">
        <f>AA49/(1.355*(AA43/Detached!AA$17)^0.16)</f>
        <v>14031.653476794158</v>
      </c>
      <c r="AB55" s="349">
        <f>AB49/(1.355*(AB43/Detached!AB$17)^0.16)</f>
        <v>13675.405953791997</v>
      </c>
      <c r="AC55" s="349">
        <f>AC49/(1.355*(AC43/Detached!AC$17)^0.16)</f>
        <v>8860.1099585099619</v>
      </c>
      <c r="AD55" s="349">
        <f>AD49/(1.355*(AD43/Detached!AD$17)^0.16)</f>
        <v>15190.804710439523</v>
      </c>
      <c r="AE55" s="349">
        <f>AE49/(1.355*(AE43/Detached!AE$17)^0.16)</f>
        <v>13529.635410497238</v>
      </c>
      <c r="AF55" s="349">
        <f>AF49/(1.355*(AF43/Detached!AF$17)^0.16)</f>
        <v>7707.2914144199422</v>
      </c>
      <c r="AG55" s="349">
        <f>AG49/(1.355*(AG43/Detached!AG$17)^0.16)</f>
        <v>13713.171328760161</v>
      </c>
      <c r="AH55" s="349">
        <f>AH49/(1.355*(AH43/Detached!AH$17)^0.16)</f>
        <v>8630.8646369796897</v>
      </c>
      <c r="AI55" s="349">
        <f>AI49/(1.355*(AI43/Detached!AI$17)^0.16)</f>
        <v>7000.9525703989848</v>
      </c>
      <c r="AJ55" s="349">
        <f>AJ49/(1.355*(AJ43/Detached!AJ$17)^0.16)</f>
        <v>11969.039899222884</v>
      </c>
      <c r="AK55" s="349">
        <f>AK49/(1.355*(AK43/Detached!AK$17)^0.16)</f>
        <v>12831.56845341446</v>
      </c>
      <c r="AL55" s="349">
        <f>AL49/(1.355*(AL43/Detached!AL$17)^0.16)</f>
        <v>7400.5381102296915</v>
      </c>
      <c r="AM55" s="349">
        <f>AM49/(1.355*(AM43/Detached!AM$17)^0.16)</f>
        <v>11006.43744326211</v>
      </c>
      <c r="AN55" s="354">
        <f>AN49/(1.355*(AN43/Detached!AN$17)^0.16)</f>
        <v>11006.43744326211</v>
      </c>
    </row>
    <row r="56" spans="1:40">
      <c r="A56" s="334" t="s">
        <v>262</v>
      </c>
      <c r="B56" s="359" t="s">
        <v>2</v>
      </c>
      <c r="C56" s="366" t="s">
        <v>190</v>
      </c>
      <c r="D56" s="375">
        <f>D50/Detached!D$4</f>
        <v>206.61053419337651</v>
      </c>
      <c r="E56" s="376">
        <f>E50/Detached!E$4</f>
        <v>198.76213989939183</v>
      </c>
      <c r="F56" s="376">
        <f>F50/Detached!F$4</f>
        <v>193.2072948278215</v>
      </c>
      <c r="G56" s="376">
        <f>G50/Detached!G$4</f>
        <v>201.29207612236627</v>
      </c>
      <c r="H56" s="376">
        <f>H50/Detached!H$4</f>
        <v>81.09772792676786</v>
      </c>
      <c r="I56" s="376">
        <f>I50/Detached!I$4</f>
        <v>177.92331884388341</v>
      </c>
      <c r="J56" s="376">
        <f>J50/Detached!J$4</f>
        <v>226.33534675757014</v>
      </c>
      <c r="K56" s="376">
        <f>K50/Detached!K$4</f>
        <v>125.4563580900801</v>
      </c>
      <c r="L56" s="376">
        <f>L50/Detached!L$4</f>
        <v>139.62510215979569</v>
      </c>
      <c r="M56" s="376">
        <f>M50/Detached!M$4</f>
        <v>166.79714382531819</v>
      </c>
      <c r="N56" s="376">
        <f>N50/Detached!N$4</f>
        <v>197.48247557538878</v>
      </c>
      <c r="O56" s="376">
        <f>O50/Detached!O$4</f>
        <v>228.95297426238244</v>
      </c>
      <c r="P56" s="376">
        <f>P50/Detached!P$4</f>
        <v>171.68760617855216</v>
      </c>
      <c r="Q56" s="376">
        <f>Q50/Detached!Q$4</f>
        <v>159.82397088990038</v>
      </c>
      <c r="R56" s="376">
        <f>R50/Detached!R$4</f>
        <v>185.05334171688941</v>
      </c>
      <c r="S56" s="376">
        <f>S50/Detached!S$4</f>
        <v>197.53668466781926</v>
      </c>
      <c r="T56" s="376">
        <f>T50/Detached!T$4</f>
        <v>167.97825614754439</v>
      </c>
      <c r="U56" s="376">
        <f>U50/Detached!U$4</f>
        <v>150.19229011225849</v>
      </c>
      <c r="V56" s="376">
        <f>V50/Detached!V$4</f>
        <v>196.36460272180057</v>
      </c>
      <c r="W56" s="376">
        <f>W50/Detached!W$4</f>
        <v>194.43138976118556</v>
      </c>
      <c r="X56" s="376">
        <f>X50/Detached!X$4</f>
        <v>215.57802403911217</v>
      </c>
      <c r="Y56" s="376">
        <f>Y50/Detached!Y$4</f>
        <v>58.026019747437054</v>
      </c>
      <c r="Z56" s="376">
        <f>Z50/Detached!Z$4</f>
        <v>214.71799116140218</v>
      </c>
      <c r="AA56" s="376">
        <f>AA50/Detached!AA$4</f>
        <v>142.73617272315784</v>
      </c>
      <c r="AB56" s="376">
        <f>AB50/Detached!AB$4</f>
        <v>262.14117547613154</v>
      </c>
      <c r="AC56" s="376">
        <f>AC50/Detached!AC$4</f>
        <v>111.28117739243837</v>
      </c>
      <c r="AD56" s="376">
        <f>AD50/Detached!AD$4</f>
        <v>253.00584959380879</v>
      </c>
      <c r="AE56" s="376">
        <f>AE50/Detached!AE$4</f>
        <v>137.62942336253477</v>
      </c>
      <c r="AF56" s="376">
        <f>AF50/Detached!AF$4</f>
        <v>182.76287141298661</v>
      </c>
      <c r="AG56" s="376">
        <f>AG50/Detached!AG$4</f>
        <v>256.57561156038457</v>
      </c>
      <c r="AH56" s="376">
        <f>AH50/Detached!AH$4</f>
        <v>237.41176784144392</v>
      </c>
      <c r="AI56" s="376">
        <f>AI50/Detached!AI$4</f>
        <v>171.68760617855216</v>
      </c>
      <c r="AJ56" s="376">
        <f>AJ50/Detached!AJ$4</f>
        <v>190.98952042326007</v>
      </c>
      <c r="AK56" s="376">
        <f>AK50/Detached!AK$4</f>
        <v>155.58260517919521</v>
      </c>
      <c r="AL56" s="376">
        <f>AL50/Detached!AL$4</f>
        <v>188.68361949813104</v>
      </c>
      <c r="AM56" s="376">
        <f>AM50/Detached!AM$4</f>
        <v>175.62930916403144</v>
      </c>
      <c r="AN56" s="377">
        <f>AN50/Detached!AN$4</f>
        <v>175.62930916403144</v>
      </c>
    </row>
    <row r="57" spans="1:40">
      <c r="A57" s="154"/>
      <c r="B57" s="347" t="s">
        <v>3</v>
      </c>
      <c r="C57" s="367" t="s">
        <v>190</v>
      </c>
      <c r="D57" s="369">
        <f>D51/Detached!D$4</f>
        <v>191.73192842528982</v>
      </c>
      <c r="E57" s="370">
        <f>E51/Detached!E$4</f>
        <v>198.76213989939183</v>
      </c>
      <c r="F57" s="370">
        <f>F51/Detached!F$4</f>
        <v>193.2072948278215</v>
      </c>
      <c r="G57" s="370">
        <f>G51/Detached!G$4</f>
        <v>186.7964674809343</v>
      </c>
      <c r="H57" s="370">
        <f>H51/Detached!H$4</f>
        <v>76.253249842051233</v>
      </c>
      <c r="I57" s="370">
        <f>I51/Detached!I$4</f>
        <v>150.213098752527</v>
      </c>
      <c r="J57" s="370">
        <f>J51/Detached!J$4</f>
        <v>201.39783438196574</v>
      </c>
      <c r="K57" s="370">
        <f>K51/Detached!K$4</f>
        <v>122.00776773748984</v>
      </c>
      <c r="L57" s="370">
        <f>L51/Detached!L$4</f>
        <v>139.62510215979569</v>
      </c>
      <c r="M57" s="370">
        <f>M51/Detached!M$4</f>
        <v>149.86363378931151</v>
      </c>
      <c r="N57" s="370">
        <f>N51/Detached!N$4</f>
        <v>181.48532716033193</v>
      </c>
      <c r="O57" s="370">
        <f>O51/Detached!O$4</f>
        <v>228.95297426238244</v>
      </c>
      <c r="P57" s="370">
        <f>P51/Detached!P$4</f>
        <v>171.68760617855216</v>
      </c>
      <c r="Q57" s="370">
        <f>Q51/Detached!Q$4</f>
        <v>169.77607716489587</v>
      </c>
      <c r="R57" s="370">
        <f>R51/Detached!R$4</f>
        <v>185.05334171688941</v>
      </c>
      <c r="S57" s="370">
        <f>S51/Detached!S$4</f>
        <v>200.40358059604665</v>
      </c>
      <c r="T57" s="370">
        <f>T51/Detached!T$4</f>
        <v>154.37110905124987</v>
      </c>
      <c r="U57" s="370">
        <f>U51/Detached!U$4</f>
        <v>141.97373672618028</v>
      </c>
      <c r="V57" s="370">
        <f>V51/Detached!V$4</f>
        <v>196.36460272180057</v>
      </c>
      <c r="W57" s="370">
        <f>W51/Detached!W$4</f>
        <v>207.18848657980917</v>
      </c>
      <c r="X57" s="370">
        <f>X51/Detached!X$4</f>
        <v>215.57802403911217</v>
      </c>
      <c r="Y57" s="370">
        <f>Y51/Detached!Y$4</f>
        <v>57.944745716611074</v>
      </c>
      <c r="Z57" s="370">
        <f>Z51/Detached!Z$4</f>
        <v>175.36912848568173</v>
      </c>
      <c r="AA57" s="370">
        <f>AA51/Detached!AA$4</f>
        <v>142.73617272315784</v>
      </c>
      <c r="AB57" s="370">
        <f>AB51/Detached!AB$4</f>
        <v>196.74016667353536</v>
      </c>
      <c r="AC57" s="370">
        <f>AC51/Detached!AC$4</f>
        <v>100.74146240001116</v>
      </c>
      <c r="AD57" s="370">
        <f>AD51/Detached!AD$4</f>
        <v>231.33205230160763</v>
      </c>
      <c r="AE57" s="370">
        <f>AE51/Detached!AE$4</f>
        <v>137.62942336253477</v>
      </c>
      <c r="AF57" s="370">
        <f>AF51/Detached!AF$4</f>
        <v>182.76287141298661</v>
      </c>
      <c r="AG57" s="370">
        <f>AG51/Detached!AG$4</f>
        <v>216.95200062428199</v>
      </c>
      <c r="AH57" s="370">
        <f>AH51/Detached!AH$4</f>
        <v>250.26970363766898</v>
      </c>
      <c r="AI57" s="370">
        <f>AI51/Detached!AI$4</f>
        <v>171.68760617855216</v>
      </c>
      <c r="AJ57" s="370">
        <f>AJ51/Detached!AJ$4</f>
        <v>190.98952042326007</v>
      </c>
      <c r="AK57" s="370">
        <f>AK51/Detached!AK$4</f>
        <v>155.58260517919521</v>
      </c>
      <c r="AL57" s="370">
        <f>AL51/Detached!AL$4</f>
        <v>188.68361949813104</v>
      </c>
      <c r="AM57" s="370">
        <f>AM51/Detached!AM$4</f>
        <v>175.62930916403144</v>
      </c>
      <c r="AN57" s="371">
        <f>AN51/Detached!AN$4</f>
        <v>175.62930916403144</v>
      </c>
    </row>
    <row r="58" spans="1:40">
      <c r="A58" s="154"/>
      <c r="B58" s="347" t="s">
        <v>4</v>
      </c>
      <c r="C58" s="367" t="s">
        <v>190</v>
      </c>
      <c r="D58" s="369">
        <f>D52/Detached!D$4</f>
        <v>154.16778702132362</v>
      </c>
      <c r="E58" s="370">
        <f>E52/Detached!E$4</f>
        <v>198.76213989939183</v>
      </c>
      <c r="F58" s="370">
        <f>F52/Detached!F$4</f>
        <v>182.47472355193719</v>
      </c>
      <c r="G58" s="370">
        <f>G52/Detached!G$4</f>
        <v>150.19928215116084</v>
      </c>
      <c r="H58" s="370">
        <f>H52/Detached!H$4</f>
        <v>71.349376079294942</v>
      </c>
      <c r="I58" s="370">
        <f>I52/Detached!I$4</f>
        <v>150.213098752527</v>
      </c>
      <c r="J58" s="370">
        <f>J52/Detached!J$4</f>
        <v>128.44984175887967</v>
      </c>
      <c r="K58" s="370">
        <f>K52/Detached!K$4</f>
        <v>83.77199764873005</v>
      </c>
      <c r="L58" s="370">
        <f>L52/Detached!L$4</f>
        <v>116.65451659977037</v>
      </c>
      <c r="M58" s="370">
        <f>M52/Detached!M$4</f>
        <v>149.86363378931151</v>
      </c>
      <c r="N58" s="370">
        <f>N52/Detached!N$4</f>
        <v>153.09872680792975</v>
      </c>
      <c r="O58" s="370">
        <f>O52/Detached!O$4</f>
        <v>107.40937362479859</v>
      </c>
      <c r="P58" s="370">
        <f>P52/Detached!P$4</f>
        <v>171.68760617855216</v>
      </c>
      <c r="Q58" s="370">
        <f>Q52/Detached!Q$4</f>
        <v>160.21803266255324</v>
      </c>
      <c r="R58" s="370">
        <f>R52/Detached!R$4</f>
        <v>161.54903553144368</v>
      </c>
      <c r="S58" s="370">
        <f>S52/Detached!S$4</f>
        <v>171.87809274282597</v>
      </c>
      <c r="T58" s="370">
        <f>T52/Detached!T$4</f>
        <v>130.22551531559975</v>
      </c>
      <c r="U58" s="370">
        <f>U52/Detached!U$4</f>
        <v>136.87101635215441</v>
      </c>
      <c r="V58" s="370">
        <f>V52/Detached!V$4</f>
        <v>133.22867456709005</v>
      </c>
      <c r="W58" s="370">
        <f>W52/Detached!W$4</f>
        <v>117.43086743092906</v>
      </c>
      <c r="X58" s="370">
        <f>X52/Detached!X$4</f>
        <v>200.42503662118457</v>
      </c>
      <c r="Y58" s="370">
        <f>Y52/Detached!Y$4</f>
        <v>47.974421575188572</v>
      </c>
      <c r="Z58" s="370">
        <f>Z52/Detached!Z$4</f>
        <v>169.73643709527892</v>
      </c>
      <c r="AA58" s="370">
        <f>AA52/Detached!AA$4</f>
        <v>100.20529442761071</v>
      </c>
      <c r="AB58" s="370">
        <f>AB52/Detached!AB$4</f>
        <v>144.38631956449808</v>
      </c>
      <c r="AC58" s="370">
        <f>AC52/Detached!AC$4</f>
        <v>98.879244052358828</v>
      </c>
      <c r="AD58" s="370">
        <f>AD52/Detached!AD$4</f>
        <v>231.33205230160763</v>
      </c>
      <c r="AE58" s="370">
        <f>AE52/Detached!AE$4</f>
        <v>96.62019533544327</v>
      </c>
      <c r="AF58" s="370">
        <f>AF52/Detached!AF$4</f>
        <v>171.03398029070155</v>
      </c>
      <c r="AG58" s="370">
        <f>AG52/Detached!AG$4</f>
        <v>216.95200062428199</v>
      </c>
      <c r="AH58" s="370">
        <f>AH52/Detached!AH$4</f>
        <v>197.85478115081366</v>
      </c>
      <c r="AI58" s="370">
        <f>AI52/Detached!AI$4</f>
        <v>171.68760617855216</v>
      </c>
      <c r="AJ58" s="370">
        <f>AJ52/Detached!AJ$4</f>
        <v>190.98952042326007</v>
      </c>
      <c r="AK58" s="370">
        <f>AK52/Detached!AK$4</f>
        <v>155.58260517919521</v>
      </c>
      <c r="AL58" s="370">
        <f>AL52/Detached!AL$4</f>
        <v>178.10516638891613</v>
      </c>
      <c r="AM58" s="370">
        <f>AM52/Detached!AM$4</f>
        <v>175.62930916403144</v>
      </c>
      <c r="AN58" s="371">
        <f>AN52/Detached!AN$4</f>
        <v>175.62930916403144</v>
      </c>
    </row>
    <row r="59" spans="1:40">
      <c r="A59" s="154"/>
      <c r="B59" s="347" t="s">
        <v>5</v>
      </c>
      <c r="C59" s="367" t="s">
        <v>190</v>
      </c>
      <c r="D59" s="369">
        <f>D53/Detached!D$4</f>
        <v>111.06591223409202</v>
      </c>
      <c r="E59" s="370">
        <f>E53/Detached!E$4</f>
        <v>169.52064268371754</v>
      </c>
      <c r="F59" s="370">
        <f>F53/Detached!F$4</f>
        <v>157.6460052658509</v>
      </c>
      <c r="G59" s="370">
        <f>G53/Detached!G$4</f>
        <v>108.2069128145239</v>
      </c>
      <c r="H59" s="370">
        <f>H53/Detached!H$4</f>
        <v>69.138574661509566</v>
      </c>
      <c r="I59" s="370">
        <f>I53/Detached!I$4</f>
        <v>134.19394530070178</v>
      </c>
      <c r="J59" s="370">
        <f>J53/Detached!J$4</f>
        <v>103.92611272576546</v>
      </c>
      <c r="K59" s="370">
        <f>K53/Detached!K$4</f>
        <v>70.758387588329313</v>
      </c>
      <c r="L59" s="370">
        <f>L53/Detached!L$4</f>
        <v>100.36101770775832</v>
      </c>
      <c r="M59" s="370">
        <f>M53/Detached!M$4</f>
        <v>105.28256949045324</v>
      </c>
      <c r="N59" s="370">
        <f>N53/Detached!N$4</f>
        <v>131.85150271229958</v>
      </c>
      <c r="O59" s="370">
        <f>O53/Detached!O$4</f>
        <v>93.508658113857962</v>
      </c>
      <c r="P59" s="370">
        <f>P53/Detached!P$4</f>
        <v>167.09737459898648</v>
      </c>
      <c r="Q59" s="370">
        <f>Q53/Detached!Q$4</f>
        <v>160.21803266255324</v>
      </c>
      <c r="R59" s="370">
        <f>R53/Detached!R$4</f>
        <v>120.79785218471838</v>
      </c>
      <c r="S59" s="370">
        <f>S53/Detached!S$4</f>
        <v>115.9867108016637</v>
      </c>
      <c r="T59" s="370">
        <f>T53/Detached!T$4</f>
        <v>112.1526628198979</v>
      </c>
      <c r="U59" s="370">
        <f>U53/Detached!U$4</f>
        <v>109.90962242625957</v>
      </c>
      <c r="V59" s="370">
        <f>V53/Detached!V$4</f>
        <v>133.22867456709005</v>
      </c>
      <c r="W59" s="370">
        <f>W53/Detached!W$4</f>
        <v>107.39131277372533</v>
      </c>
      <c r="X59" s="370">
        <f>X53/Detached!X$4</f>
        <v>126.22069036679854</v>
      </c>
      <c r="Y59" s="370">
        <f>Y53/Detached!Y$4</f>
        <v>43.947655061538399</v>
      </c>
      <c r="Z59" s="370">
        <f>Z53/Detached!Z$4</f>
        <v>105.80495867516377</v>
      </c>
      <c r="AA59" s="370">
        <f>AA53/Detached!AA$4</f>
        <v>100.20529442761071</v>
      </c>
      <c r="AB59" s="370">
        <f>AB53/Detached!AB$4</f>
        <v>144.38631956449808</v>
      </c>
      <c r="AC59" s="370">
        <f>AC53/Detached!AC$4</f>
        <v>95.801313121746148</v>
      </c>
      <c r="AD59" s="370">
        <f>AD53/Detached!AD$4</f>
        <v>198.62396046762836</v>
      </c>
      <c r="AE59" s="370">
        <f>AE53/Detached!AE$4</f>
        <v>96.62019533544327</v>
      </c>
      <c r="AF59" s="370">
        <f>AF53/Detached!AF$4</f>
        <v>136.32869520928963</v>
      </c>
      <c r="AG59" s="370">
        <f>AG53/Detached!AG$4</f>
        <v>190.6544424366102</v>
      </c>
      <c r="AH59" s="370">
        <f>AH53/Detached!AH$4</f>
        <v>114.30498453279947</v>
      </c>
      <c r="AI59" s="370">
        <f>AI53/Detached!AI$4</f>
        <v>167.09737459898648</v>
      </c>
      <c r="AJ59" s="370">
        <f>AJ53/Detached!AJ$4</f>
        <v>165.52092084746965</v>
      </c>
      <c r="AK59" s="370">
        <f>AK53/Detached!AK$4</f>
        <v>134.07838659030057</v>
      </c>
      <c r="AL59" s="370">
        <f>AL53/Detached!AL$4</f>
        <v>153.65908588688197</v>
      </c>
      <c r="AM59" s="370">
        <f>AM53/Detached!AM$4</f>
        <v>152.20900558424057</v>
      </c>
      <c r="AN59" s="371">
        <f>AN53/Detached!AN$4</f>
        <v>152.20900558424057</v>
      </c>
    </row>
    <row r="60" spans="1:40">
      <c r="A60" s="154"/>
      <c r="B60" s="347" t="s">
        <v>6</v>
      </c>
      <c r="C60" s="367" t="s">
        <v>190</v>
      </c>
      <c r="D60" s="369">
        <f>D54/Detached!D$4</f>
        <v>97.32592049450119</v>
      </c>
      <c r="E60" s="370">
        <f>E54/Detached!E$4</f>
        <v>169.52064268371754</v>
      </c>
      <c r="F60" s="370">
        <f>F54/Detached!F$4</f>
        <v>125.67709491192363</v>
      </c>
      <c r="G60" s="370">
        <f>G54/Detached!G$4</f>
        <v>94.820608607121756</v>
      </c>
      <c r="H60" s="370">
        <f>H54/Detached!H$4</f>
        <v>69.138574661509566</v>
      </c>
      <c r="I60" s="370">
        <f>I54/Detached!I$4</f>
        <v>104.97768376702545</v>
      </c>
      <c r="J60" s="370">
        <f>J54/Detached!J$4</f>
        <v>69.332064434924064</v>
      </c>
      <c r="K60" s="370">
        <f>K54/Detached!K$4</f>
        <v>70.758387588329313</v>
      </c>
      <c r="L60" s="370">
        <f>L54/Detached!L$4</f>
        <v>91.379891993352402</v>
      </c>
      <c r="M60" s="370">
        <f>M54/Detached!M$4</f>
        <v>105.28256949045324</v>
      </c>
      <c r="N60" s="370">
        <f>N54/Detached!N$4</f>
        <v>130.37993319544782</v>
      </c>
      <c r="O60" s="370">
        <f>O54/Detached!O$4</f>
        <v>60.463041449211104</v>
      </c>
      <c r="P60" s="370">
        <f>P54/Detached!P$4</f>
        <v>167.09737459898648</v>
      </c>
      <c r="Q60" s="370">
        <f>Q54/Detached!Q$4</f>
        <v>119.36071074404026</v>
      </c>
      <c r="R60" s="370">
        <f>R54/Detached!R$4</f>
        <v>120.79785218471838</v>
      </c>
      <c r="S60" s="370">
        <f>S54/Detached!S$4</f>
        <v>97.972643200307814</v>
      </c>
      <c r="T60" s="370">
        <f>T54/Detached!T$4</f>
        <v>110.90094830436725</v>
      </c>
      <c r="U60" s="370">
        <f>U54/Detached!U$4</f>
        <v>101.43211350049441</v>
      </c>
      <c r="V60" s="370">
        <f>V54/Detached!V$4</f>
        <v>133.22867456709005</v>
      </c>
      <c r="W60" s="370">
        <f>W54/Detached!W$4</f>
        <v>96.94767743951553</v>
      </c>
      <c r="X60" s="370">
        <f>X54/Detached!X$4</f>
        <v>124.35590395936578</v>
      </c>
      <c r="Y60" s="370">
        <f>Y54/Detached!Y$4</f>
        <v>43.17475083340134</v>
      </c>
      <c r="Z60" s="370">
        <f>Z54/Detached!Z$4</f>
        <v>97.530640284085379</v>
      </c>
      <c r="AA60" s="370">
        <f>AA54/Detached!AA$4</f>
        <v>90.018626956177428</v>
      </c>
      <c r="AB60" s="370">
        <f>AB54/Detached!AB$4</f>
        <v>144.38631956449808</v>
      </c>
      <c r="AC60" s="370">
        <f>AC54/Detached!AC$4</f>
        <v>88.636267602400792</v>
      </c>
      <c r="AD60" s="370">
        <f>AD54/Detached!AD$4</f>
        <v>198.62396046762836</v>
      </c>
      <c r="AE60" s="370">
        <f>AE54/Detached!AE$4</f>
        <v>86.797981783462632</v>
      </c>
      <c r="AF60" s="370">
        <f>AF54/Detached!AF$4</f>
        <v>101.02734514906162</v>
      </c>
      <c r="AG60" s="370">
        <f>AG54/Detached!AG$4</f>
        <v>174.45504884435061</v>
      </c>
      <c r="AH60" s="370">
        <f>AH54/Detached!AH$4</f>
        <v>97.009340015657443</v>
      </c>
      <c r="AI60" s="370">
        <f>AI54/Detached!AI$4</f>
        <v>167.09737459898648</v>
      </c>
      <c r="AJ60" s="370">
        <f>AJ54/Detached!AJ$4</f>
        <v>155.72005217807023</v>
      </c>
      <c r="AK60" s="370">
        <f>AK54/Detached!AK$4</f>
        <v>125.83131485499921</v>
      </c>
      <c r="AL60" s="370">
        <f>AL54/Detached!AL$4</f>
        <v>121.99262135563168</v>
      </c>
      <c r="AM60" s="370">
        <f>AM54/Detached!AM$4</f>
        <v>143.19636557237328</v>
      </c>
      <c r="AN60" s="371">
        <f>AN54/Detached!AN$4</f>
        <v>143.19636557237328</v>
      </c>
    </row>
    <row r="61" spans="1:40">
      <c r="A61" s="155"/>
      <c r="B61" s="338" t="s">
        <v>7</v>
      </c>
      <c r="C61" s="368" t="s">
        <v>190</v>
      </c>
      <c r="D61" s="378">
        <f>D55/Detached!D$4</f>
        <v>87.947690978084566</v>
      </c>
      <c r="E61" s="379">
        <f>E55/Detached!E$4</f>
        <v>104.29570856483781</v>
      </c>
      <c r="F61" s="379">
        <f>F55/Detached!F$4</f>
        <v>89.039226629561171</v>
      </c>
      <c r="G61" s="379">
        <f>G55/Detached!G$4</f>
        <v>85.683788468296157</v>
      </c>
      <c r="H61" s="379">
        <f>H55/Detached!H$4</f>
        <v>57.739852573139387</v>
      </c>
      <c r="I61" s="379">
        <f>I55/Detached!I$4</f>
        <v>90.399543353356734</v>
      </c>
      <c r="J61" s="379">
        <f>J55/Detached!J$4</f>
        <v>74.575228180802469</v>
      </c>
      <c r="K61" s="379">
        <f>K55/Detached!K$4</f>
        <v>57.065218568985244</v>
      </c>
      <c r="L61" s="379">
        <f>L55/Detached!L$4</f>
        <v>91.379891993352402</v>
      </c>
      <c r="M61" s="379">
        <f>M55/Detached!M$4</f>
        <v>69.578120780036755</v>
      </c>
      <c r="N61" s="379">
        <f>N55/Detached!N$4</f>
        <v>123.10006590346791</v>
      </c>
      <c r="O61" s="379">
        <f>O55/Detached!O$4</f>
        <v>59.125224757752918</v>
      </c>
      <c r="P61" s="379">
        <f>P55/Detached!P$4</f>
        <v>61.208349574862986</v>
      </c>
      <c r="Q61" s="379">
        <f>Q55/Detached!Q$4</f>
        <v>80.918929432001192</v>
      </c>
      <c r="R61" s="379">
        <f>R55/Detached!R$4</f>
        <v>83.00836256653065</v>
      </c>
      <c r="S61" s="379">
        <f>S55/Detached!S$4</f>
        <v>64.453914774189684</v>
      </c>
      <c r="T61" s="379">
        <f>T55/Detached!T$4</f>
        <v>104.70870563002673</v>
      </c>
      <c r="U61" s="379">
        <f>U55/Detached!U$4</f>
        <v>101.43211350049441</v>
      </c>
      <c r="V61" s="379">
        <f>V55/Detached!V$4</f>
        <v>83.54703887008489</v>
      </c>
      <c r="W61" s="379">
        <f>W55/Detached!W$4</f>
        <v>83.35372515971703</v>
      </c>
      <c r="X61" s="379">
        <f>X55/Detached!X$4</f>
        <v>83.265993876102769</v>
      </c>
      <c r="Y61" s="379">
        <f>Y55/Detached!Y$4</f>
        <v>41.150006834304797</v>
      </c>
      <c r="Z61" s="379">
        <f>Z55/Detached!Z$4</f>
        <v>74.579546342861818</v>
      </c>
      <c r="AA61" s="379">
        <f>AA55/Detached!AA$4</f>
        <v>90.018626956177428</v>
      </c>
      <c r="AB61" s="379">
        <f>AB55/Detached!AB$4</f>
        <v>113.63286867802435</v>
      </c>
      <c r="AC61" s="379">
        <f>AC55/Detached!AC$4</f>
        <v>61.07581583333279</v>
      </c>
      <c r="AD61" s="379">
        <f>AD55/Detached!AD$4</f>
        <v>167.29458606229116</v>
      </c>
      <c r="AE61" s="379">
        <f>AE55/Detached!AE$4</f>
        <v>86.797981783462632</v>
      </c>
      <c r="AF61" s="379">
        <f>AF55/Detached!AF$4</f>
        <v>64.561902147893704</v>
      </c>
      <c r="AG61" s="379">
        <f>AG55/Detached!AG$4</f>
        <v>114.0914569650634</v>
      </c>
      <c r="AH61" s="379">
        <f>AH55/Detached!AH$4</f>
        <v>84.543794656345682</v>
      </c>
      <c r="AI61" s="379">
        <f>AI55/Detached!AI$4</f>
        <v>61.208349574862986</v>
      </c>
      <c r="AJ61" s="379">
        <f>AJ55/Detached!AJ$4</f>
        <v>139.25363979296935</v>
      </c>
      <c r="AK61" s="379">
        <f>AK55/Detached!AK$4</f>
        <v>112.18460910750268</v>
      </c>
      <c r="AL61" s="379">
        <f>AL55/Detached!AL$4</f>
        <v>86.101464858762697</v>
      </c>
      <c r="AM61" s="379">
        <f>AM55/Detached!AM$4</f>
        <v>128.05425397799749</v>
      </c>
      <c r="AN61" s="380">
        <f>AN55/Detached!AN$4</f>
        <v>128.05425397799749</v>
      </c>
    </row>
    <row r="62" spans="1:40">
      <c r="A62" s="334" t="s">
        <v>299</v>
      </c>
      <c r="B62" s="359" t="s">
        <v>2</v>
      </c>
      <c r="C62" s="366" t="s">
        <v>190</v>
      </c>
      <c r="D62" s="376">
        <f>Detached!D$47-D56</f>
        <v>8.352357219107887</v>
      </c>
      <c r="E62" s="376">
        <f>Detached!E$47-E56</f>
        <v>19.091343345777659</v>
      </c>
      <c r="F62" s="376">
        <f>Detached!F$47-F56</f>
        <v>13.440162143466694</v>
      </c>
      <c r="G62" s="376">
        <f>Detached!G$47-G56</f>
        <v>8.1373552985265007</v>
      </c>
      <c r="H62" s="376">
        <f>Detached!H$47-H56</f>
        <v>2.6783351729797999</v>
      </c>
      <c r="I62" s="376">
        <f>Detached!I$47-I56</f>
        <v>14.115783709890508</v>
      </c>
      <c r="J62" s="376">
        <f>Detached!J$47-J56</f>
        <v>18.33406931163023</v>
      </c>
      <c r="K62" s="376">
        <f>Detached!K$47-K56</f>
        <v>8.4046990614681363</v>
      </c>
      <c r="L62" s="376">
        <f>Detached!L$47-L56</f>
        <v>0.51406001216525965</v>
      </c>
      <c r="M62" s="376">
        <f>Detached!M$47-M56</f>
        <v>21.17222949604465</v>
      </c>
      <c r="N62" s="376">
        <f>Detached!N$47-N56</f>
        <v>11.674647916665236</v>
      </c>
      <c r="O62" s="376">
        <f>Detached!O$47-O56</f>
        <v>17.749741544888252</v>
      </c>
      <c r="P62" s="376">
        <f>Detached!P$47-P56</f>
        <v>8.1081872620681281</v>
      </c>
      <c r="Q62" s="376">
        <f>Detached!Q$47-Q56</f>
        <v>34.696991865880335</v>
      </c>
      <c r="R62" s="376">
        <f>Detached!R$47-R56</f>
        <v>8.6284858144274494</v>
      </c>
      <c r="S62" s="376">
        <f>Detached!S$47-S56</f>
        <v>20.414294933641713</v>
      </c>
      <c r="T62" s="376">
        <f>Detached!T$47-T56</f>
        <v>9.9304355612523523</v>
      </c>
      <c r="U62" s="376">
        <f>Detached!U$47-U56</f>
        <v>23.03714542544455</v>
      </c>
      <c r="V62" s="376">
        <f>Detached!V$47-V56</f>
        <v>7.0749644286956368</v>
      </c>
      <c r="W62" s="376">
        <f>Detached!W$47-W56</f>
        <v>34.806460393010298</v>
      </c>
      <c r="X62" s="376">
        <f>Detached!X$47-X56</f>
        <v>15.906051594176176</v>
      </c>
      <c r="Y62" s="376">
        <f>Detached!Y$47-Y56</f>
        <v>7.220041839001901</v>
      </c>
      <c r="Z62" s="376">
        <f>Detached!Z$47-Z56</f>
        <v>17.571361568910987</v>
      </c>
      <c r="AA62" s="376">
        <f>Detached!AA$47-AA56</f>
        <v>15.462472735290334</v>
      </c>
      <c r="AB62" s="376">
        <f>Detached!AB$47-AB56</f>
        <v>22.655089629653446</v>
      </c>
      <c r="AC62" s="376">
        <f>Detached!AC$47-AC56</f>
        <v>8.5604566707157659</v>
      </c>
      <c r="AD62" s="376">
        <f>Detached!AD$47-AD56</f>
        <v>12.718765183751458</v>
      </c>
      <c r="AE62" s="376">
        <f>Detached!AE$47-AE56</f>
        <v>14.909263473418434</v>
      </c>
      <c r="AF62" s="376">
        <f>Detached!AF$47-AF56</f>
        <v>7.7798987515758995</v>
      </c>
      <c r="AG62" s="376">
        <f>Detached!AG$47-AG56</f>
        <v>23.852812737613306</v>
      </c>
      <c r="AH62" s="376">
        <f>Detached!AH$47-AH56</f>
        <v>28.10936985938838</v>
      </c>
      <c r="AI62" s="376">
        <f>Detached!AI$47-AI56</f>
        <v>8.1081872620681281</v>
      </c>
      <c r="AJ62" s="376">
        <f>Detached!AJ$47-AJ56</f>
        <v>18.791632316180454</v>
      </c>
      <c r="AK62" s="376">
        <f>Detached!AK$47-AK56</f>
        <v>12.767646635391571</v>
      </c>
      <c r="AL62" s="376">
        <f>Detached!AL$47-AL56</f>
        <v>12.492997108211398</v>
      </c>
      <c r="AM62" s="376">
        <f>Detached!AM$47-AM56</f>
        <v>17.280327184660109</v>
      </c>
      <c r="AN62" s="377">
        <f>Detached!AN$47-AN56</f>
        <v>17.280327184660109</v>
      </c>
    </row>
    <row r="63" spans="1:40">
      <c r="A63" s="154"/>
      <c r="B63" s="347" t="s">
        <v>3</v>
      </c>
      <c r="C63" s="367" t="s">
        <v>190</v>
      </c>
      <c r="D63" s="370">
        <f>Detached!D$48-D57</f>
        <v>8.4691656628098713</v>
      </c>
      <c r="E63" s="370">
        <f>Detached!E$48-E57</f>
        <v>19.091343345777659</v>
      </c>
      <c r="F63" s="370">
        <f>Detached!F$48-F57</f>
        <v>13.440162143466694</v>
      </c>
      <c r="G63" s="370">
        <f>Detached!G$48-G57</f>
        <v>8.2511569216295584</v>
      </c>
      <c r="H63" s="370">
        <f>Detached!H$48-H57</f>
        <v>2.7093108756957065</v>
      </c>
      <c r="I63" s="370">
        <f>Detached!I$48-I57</f>
        <v>14.555316187472442</v>
      </c>
      <c r="J63" s="370">
        <f>Detached!J$48-J57</f>
        <v>9.9469431223624838</v>
      </c>
      <c r="K63" s="370">
        <f>Detached!K$48-K57</f>
        <v>8.0616862460995264</v>
      </c>
      <c r="L63" s="370">
        <f>Detached!L$48-L57</f>
        <v>0.51406001216525965</v>
      </c>
      <c r="M63" s="370">
        <f>Detached!M$48-M57</f>
        <v>21.576096679477274</v>
      </c>
      <c r="N63" s="370">
        <f>Detached!N$48-N57</f>
        <v>11.857260997271197</v>
      </c>
      <c r="O63" s="370">
        <f>Detached!O$48-O57</f>
        <v>17.749741544888252</v>
      </c>
      <c r="P63" s="370">
        <f>Detached!P$48-P57</f>
        <v>8.1081872620681281</v>
      </c>
      <c r="Q63" s="370">
        <f>Detached!Q$48-Q57</f>
        <v>34.342851536533544</v>
      </c>
      <c r="R63" s="370">
        <f>Detached!R$48-R57</f>
        <v>8.6284858144274494</v>
      </c>
      <c r="S63" s="370">
        <f>Detached!S$48-S57</f>
        <v>20.361516055686536</v>
      </c>
      <c r="T63" s="370">
        <f>Detached!T$48-T57</f>
        <v>10.085765935456692</v>
      </c>
      <c r="U63" s="370">
        <f>Detached!U$48-U57</f>
        <v>23.264282064742076</v>
      </c>
      <c r="V63" s="370">
        <f>Detached!V$48-V57</f>
        <v>7.0749644286956368</v>
      </c>
      <c r="W63" s="370">
        <f>Detached!W$48-W57</f>
        <v>25.829378272064986</v>
      </c>
      <c r="X63" s="370">
        <f>Detached!X$48-X57</f>
        <v>12.74192367785318</v>
      </c>
      <c r="Y63" s="370">
        <f>Detached!Y$48-Y57</f>
        <v>7.2218385887719663</v>
      </c>
      <c r="Z63" s="370">
        <f>Detached!Z$48-Z57</f>
        <v>15.185313787592094</v>
      </c>
      <c r="AA63" s="370">
        <f>Detached!AA$48-AA57</f>
        <v>14.758146740287287</v>
      </c>
      <c r="AB63" s="370">
        <f>Detached!AB$48-AB57</f>
        <v>12.685039228563852</v>
      </c>
      <c r="AC63" s="370">
        <f>Detached!AC$48-AC57</f>
        <v>9.0769340248390762</v>
      </c>
      <c r="AD63" s="370">
        <f>Detached!AD$48-AD57</f>
        <v>11.500672293704156</v>
      </c>
      <c r="AE63" s="370">
        <f>Detached!AE$48-AE57</f>
        <v>14.230136531017394</v>
      </c>
      <c r="AF63" s="370">
        <f>Detached!AF$48-AF57</f>
        <v>7.7798987515758995</v>
      </c>
      <c r="AG63" s="370">
        <f>Detached!AG$48-AG57</f>
        <v>24.582500479751019</v>
      </c>
      <c r="AH63" s="370">
        <f>Detached!AH$48-AH57</f>
        <v>27.060038021865381</v>
      </c>
      <c r="AI63" s="370">
        <f>Detached!AI$48-AI57</f>
        <v>8.1081872620681281</v>
      </c>
      <c r="AJ63" s="370">
        <f>Detached!AJ$48-AJ57</f>
        <v>18.791632316180454</v>
      </c>
      <c r="AK63" s="370">
        <f>Detached!AK$48-AK57</f>
        <v>12.767646635391571</v>
      </c>
      <c r="AL63" s="370">
        <f>Detached!AL$48-AL57</f>
        <v>12.492997108211398</v>
      </c>
      <c r="AM63" s="370">
        <f>Detached!AM$48-AM57</f>
        <v>17.280327184660109</v>
      </c>
      <c r="AN63" s="371">
        <f>Detached!AN$48-AN57</f>
        <v>17.280327184660109</v>
      </c>
    </row>
    <row r="64" spans="1:40">
      <c r="A64" s="154"/>
      <c r="B64" s="347" t="s">
        <v>4</v>
      </c>
      <c r="C64" s="367" t="s">
        <v>190</v>
      </c>
      <c r="D64" s="370">
        <f>Detached!D$49-D58</f>
        <v>6.6220002764915193</v>
      </c>
      <c r="E64" s="370">
        <f>Detached!E$49-E58</f>
        <v>19.091343345777659</v>
      </c>
      <c r="F64" s="370">
        <f>Detached!F$49-F58</f>
        <v>13.581252391119307</v>
      </c>
      <c r="G64" s="370">
        <f>Detached!G$49-G58</f>
        <v>6.4515402805661779</v>
      </c>
      <c r="H64" s="370">
        <f>Detached!H$49-H58</f>
        <v>11.128614470076258</v>
      </c>
      <c r="I64" s="370">
        <f>Detached!I$49-I58</f>
        <v>14.555316187472442</v>
      </c>
      <c r="J64" s="370">
        <f>Detached!J$49-J58</f>
        <v>12.417078476884001</v>
      </c>
      <c r="K64" s="370">
        <f>Detached!K$49-K58</f>
        <v>8.3104941149744178</v>
      </c>
      <c r="L64" s="370">
        <f>Detached!L$49-L58</f>
        <v>0.53192027015408883</v>
      </c>
      <c r="M64" s="370">
        <f>Detached!M$49-M58</f>
        <v>21.576096679477274</v>
      </c>
      <c r="N64" s="370">
        <f>Detached!N$49-N58</f>
        <v>8.5807025179061043</v>
      </c>
      <c r="O64" s="370">
        <f>Detached!O$49-O58</f>
        <v>14.683898974316989</v>
      </c>
      <c r="P64" s="370">
        <f>Detached!P$49-P58</f>
        <v>8.1081872620681281</v>
      </c>
      <c r="Q64" s="370">
        <f>Detached!Q$49-Q58</f>
        <v>16.860519154542118</v>
      </c>
      <c r="R64" s="370">
        <f>Detached!R$49-R58</f>
        <v>8.847996412051458</v>
      </c>
      <c r="S64" s="370">
        <f>Detached!S$49-S58</f>
        <v>20.928252013973434</v>
      </c>
      <c r="T64" s="370">
        <f>Detached!T$49-T58</f>
        <v>7.298730893863393</v>
      </c>
      <c r="U64" s="370">
        <f>Detached!U$49-U58</f>
        <v>18.66609949609267</v>
      </c>
      <c r="V64" s="370">
        <f>Detached!V$49-V58</f>
        <v>1.6596455920462461</v>
      </c>
      <c r="W64" s="370">
        <f>Detached!W$49-W58</f>
        <v>18.021533898099648</v>
      </c>
      <c r="X64" s="370">
        <f>Detached!X$49-X58</f>
        <v>12.913740013679416</v>
      </c>
      <c r="Y64" s="370">
        <f>Detached!Y$49-Y58</f>
        <v>7.4660260512668017</v>
      </c>
      <c r="Z64" s="370">
        <f>Detached!Z$49-Z58</f>
        <v>15.275343691540456</v>
      </c>
      <c r="AA64" s="370">
        <f>Detached!AA$49-AA58</f>
        <v>15.131242821993638</v>
      </c>
      <c r="AB64" s="370">
        <f>Detached!AB$49-AB58</f>
        <v>8.4503792175058265</v>
      </c>
      <c r="AC64" s="370">
        <f>Detached!AC$49-AC58</f>
        <v>9.1076036846886694</v>
      </c>
      <c r="AD64" s="370">
        <f>Detached!AD$49-AD58</f>
        <v>11.500672293704156</v>
      </c>
      <c r="AE64" s="370">
        <f>Detached!AE$49-AE58</f>
        <v>14.589884152131333</v>
      </c>
      <c r="AF64" s="370">
        <f>Detached!AF$49-AF58</f>
        <v>4.5089833326306632</v>
      </c>
      <c r="AG64" s="370">
        <f>Detached!AG$49-AG58</f>
        <v>24.582500479751019</v>
      </c>
      <c r="AH64" s="370">
        <f>Detached!AH$49-AH58</f>
        <v>24.091685132943553</v>
      </c>
      <c r="AI64" s="370">
        <f>Detached!AI$49-AI58</f>
        <v>8.1081872620681281</v>
      </c>
      <c r="AJ64" s="370">
        <f>Detached!AJ$49-AJ58</f>
        <v>18.791632316180454</v>
      </c>
      <c r="AK64" s="370">
        <f>Detached!AK$49-AK58</f>
        <v>12.767646635391571</v>
      </c>
      <c r="AL64" s="370">
        <f>Detached!AL$49-AL58</f>
        <v>12.625660148011434</v>
      </c>
      <c r="AM64" s="370">
        <f>Detached!AM$49-AM58</f>
        <v>17.280327184660109</v>
      </c>
      <c r="AN64" s="371">
        <f>Detached!AN$49-AN58</f>
        <v>17.280327184660109</v>
      </c>
    </row>
    <row r="65" spans="1:40">
      <c r="A65" s="154"/>
      <c r="B65" s="347" t="s">
        <v>5</v>
      </c>
      <c r="C65" s="367" t="s">
        <v>190</v>
      </c>
      <c r="D65" s="370">
        <f>Detached!D$50-D59</f>
        <v>1.1783646483208514</v>
      </c>
      <c r="E65" s="370">
        <f>Detached!E$50-E59</f>
        <v>16.614803790958433</v>
      </c>
      <c r="F65" s="370">
        <f>Detached!F$50-F59</f>
        <v>13.947178499979287</v>
      </c>
      <c r="G65" s="370">
        <f>Detached!G$50-G59</f>
        <v>1.1480318146203814</v>
      </c>
      <c r="H65" s="370">
        <f>Detached!H$50-H59</f>
        <v>11.189842556774366</v>
      </c>
      <c r="I65" s="370">
        <f>Detached!I$50-I59</f>
        <v>14.853028067630646</v>
      </c>
      <c r="J65" s="370">
        <f>Detached!J$50-J59</f>
        <v>10.223628195670202</v>
      </c>
      <c r="K65" s="370">
        <f>Detached!K$50-K59</f>
        <v>7.5736764644439916</v>
      </c>
      <c r="L65" s="370">
        <f>Detached!L$50-L59</f>
        <v>-13.036371605137845</v>
      </c>
      <c r="M65" s="370">
        <f>Detached!M$50-M59</f>
        <v>9.2767056339649514</v>
      </c>
      <c r="N65" s="370">
        <f>Detached!N$50-N59</f>
        <v>1.2666772921185441</v>
      </c>
      <c r="O65" s="370">
        <f>Detached!O$50-O59</f>
        <v>11.23164261137245</v>
      </c>
      <c r="P65" s="370">
        <f>Detached!P$50-P59</f>
        <v>8.1489877644929152</v>
      </c>
      <c r="Q65" s="370">
        <f>Detached!Q$50-Q59</f>
        <v>16.860519154542118</v>
      </c>
      <c r="R65" s="370">
        <f>Detached!R$50-R59</f>
        <v>9.3325159432932594</v>
      </c>
      <c r="S65" s="370">
        <f>Detached!S$50-S59</f>
        <v>14.723929101352851</v>
      </c>
      <c r="T65" s="370">
        <f>Detached!T$50-T59</f>
        <v>1.0774335394156935</v>
      </c>
      <c r="U65" s="370">
        <f>Detached!U$50-U59</f>
        <v>10.085131754953309</v>
      </c>
      <c r="V65" s="370">
        <f>Detached!V$50-V59</f>
        <v>1.6596455920462461</v>
      </c>
      <c r="W65" s="370">
        <f>Detached!W$50-W59</f>
        <v>4.2736218202490051</v>
      </c>
      <c r="X65" s="370">
        <f>Detached!X$50-X59</f>
        <v>1.7711201501268903</v>
      </c>
      <c r="Y65" s="370">
        <f>Detached!Y$50-Y59</f>
        <v>7.5806964501068848</v>
      </c>
      <c r="Z65" s="370">
        <f>Detached!Z$50-Z59</f>
        <v>15.929609781191502</v>
      </c>
      <c r="AA65" s="370">
        <f>Detached!AA$50-AA59</f>
        <v>13.383052024091768</v>
      </c>
      <c r="AB65" s="370">
        <f>Detached!AB$50-AB59</f>
        <v>8.4503792175058265</v>
      </c>
      <c r="AC65" s="370">
        <f>Detached!AC$50-AC59</f>
        <v>9.5228924555932366</v>
      </c>
      <c r="AD65" s="370">
        <f>Detached!AD$50-AD59</f>
        <v>10.357244510187513</v>
      </c>
      <c r="AE65" s="370">
        <f>Detached!AE$50-AE59</f>
        <v>12.904239323265244</v>
      </c>
      <c r="AF65" s="370">
        <f>Detached!AF$50-AF59</f>
        <v>-1.1809194858547869</v>
      </c>
      <c r="AG65" s="370">
        <f>Detached!AG$50-AG59</f>
        <v>15.162935447201477</v>
      </c>
      <c r="AH65" s="370">
        <f>Detached!AH$50-AH59</f>
        <v>25.335592415320605</v>
      </c>
      <c r="AI65" s="370">
        <f>Detached!AI$50-AI59</f>
        <v>8.1489877644929152</v>
      </c>
      <c r="AJ65" s="370">
        <f>Detached!AJ$50-AJ59</f>
        <v>19.279825846649231</v>
      </c>
      <c r="AK65" s="370">
        <f>Detached!AK$50-AK59</f>
        <v>13.115933396426556</v>
      </c>
      <c r="AL65" s="370">
        <f>Detached!AL$50-AL59</f>
        <v>12.969824800157966</v>
      </c>
      <c r="AM65" s="370">
        <f>Detached!AM$50-AM59</f>
        <v>17.729258059529968</v>
      </c>
      <c r="AN65" s="371">
        <f>Detached!AN$50-AN59</f>
        <v>17.729258059529968</v>
      </c>
    </row>
    <row r="66" spans="1:40">
      <c r="A66" s="154"/>
      <c r="B66" s="347" t="s">
        <v>6</v>
      </c>
      <c r="C66" s="367" t="s">
        <v>190</v>
      </c>
      <c r="D66" s="370">
        <f>Detached!D$51-D60</f>
        <v>-1.2110386769117127</v>
      </c>
      <c r="E66" s="370">
        <f>Detached!E$51-E60</f>
        <v>16.614803790958433</v>
      </c>
      <c r="F66" s="370">
        <f>Detached!F$51-F60</f>
        <v>14.527148124411269</v>
      </c>
      <c r="G66" s="370">
        <f>Detached!G$51-G60</f>
        <v>-1.1798647658104642</v>
      </c>
      <c r="H66" s="370">
        <f>Detached!H$51-H60</f>
        <v>-0.27706428829259266</v>
      </c>
      <c r="I66" s="370">
        <f>Detached!I$51-I60</f>
        <v>9.9188485966915323</v>
      </c>
      <c r="J66" s="370">
        <f>Detached!J$51-J60</f>
        <v>-1.2831788378171325</v>
      </c>
      <c r="K66" s="370">
        <f>Detached!K$51-K60</f>
        <v>7.5736764644439916</v>
      </c>
      <c r="L66" s="370">
        <f>Detached!L$51-L60</f>
        <v>-14.73148041208799</v>
      </c>
      <c r="M66" s="370">
        <f>Detached!M$51-M60</f>
        <v>9.2767056339649514</v>
      </c>
      <c r="N66" s="370">
        <f>Detached!N$51-N60</f>
        <v>1.2693726051435021</v>
      </c>
      <c r="O66" s="370">
        <f>Detached!O$51-O60</f>
        <v>1.8378549760998695</v>
      </c>
      <c r="P66" s="370">
        <f>Detached!P$51-P60</f>
        <v>8.1489877644929152</v>
      </c>
      <c r="Q66" s="370">
        <f>Detached!Q$51-Q60</f>
        <v>9.6236433709267146</v>
      </c>
      <c r="R66" s="370">
        <f>Detached!R$51-R60</f>
        <v>9.3325159432932594</v>
      </c>
      <c r="S66" s="370">
        <f>Detached!S$51-S60</f>
        <v>15.167958785062154</v>
      </c>
      <c r="T66" s="370">
        <f>Detached!T$51-T60</f>
        <v>1.0797261680673387</v>
      </c>
      <c r="U66" s="370">
        <f>Detached!U$51-U60</f>
        <v>10.232130436957263</v>
      </c>
      <c r="V66" s="370">
        <f>Detached!V$51-V60</f>
        <v>1.6596455920462461</v>
      </c>
      <c r="W66" s="370">
        <f>Detached!W$51-W60</f>
        <v>-1.4601232755635181</v>
      </c>
      <c r="X66" s="370">
        <f>Detached!X$51-X60</f>
        <v>1.7761065663276412</v>
      </c>
      <c r="Y66" s="370">
        <f>Detached!Y$51-Y60</f>
        <v>7.6039917366882719</v>
      </c>
      <c r="Z66" s="370">
        <f>Detached!Z$51-Z60</f>
        <v>11.493933571822467</v>
      </c>
      <c r="AA66" s="370">
        <f>Detached!AA$51-AA60</f>
        <v>13.637735843586924</v>
      </c>
      <c r="AB66" s="370">
        <f>Detached!AB$51-AB60</f>
        <v>8.4503792175058265</v>
      </c>
      <c r="AC66" s="370">
        <f>Detached!AC$51-AC60</f>
        <v>9.2887316848477326</v>
      </c>
      <c r="AD66" s="370">
        <f>Detached!AD$51-AD60</f>
        <v>10.357244510187513</v>
      </c>
      <c r="AE66" s="370">
        <f>Detached!AE$51-AE60</f>
        <v>13.149811181807863</v>
      </c>
      <c r="AF66" s="370">
        <f>Detached!AF$51-AF60</f>
        <v>-1.2507348743150715</v>
      </c>
      <c r="AG66" s="370">
        <f>Detached!AG$51-AG60</f>
        <v>15.409307632418887</v>
      </c>
      <c r="AH66" s="370">
        <f>Detached!AH$51-AH60</f>
        <v>5.9669540803363788</v>
      </c>
      <c r="AI66" s="370">
        <f>Detached!AI$51-AI60</f>
        <v>8.1489877644929152</v>
      </c>
      <c r="AJ66" s="370">
        <f>Detached!AJ$51-AJ60</f>
        <v>20.971979297912497</v>
      </c>
      <c r="AK66" s="370">
        <f>Detached!AK$51-AK60</f>
        <v>14.27673603408617</v>
      </c>
      <c r="AL66" s="370">
        <f>Detached!AL$51-AL60</f>
        <v>13.520566939984803</v>
      </c>
      <c r="AM66" s="370">
        <f>Detached!AM$51-AM60</f>
        <v>19.285321140825118</v>
      </c>
      <c r="AN66" s="371">
        <f>Detached!AN$51-AN60</f>
        <v>19.285321140825118</v>
      </c>
    </row>
    <row r="67" spans="1:40">
      <c r="A67" s="155"/>
      <c r="B67" s="338" t="s">
        <v>7</v>
      </c>
      <c r="C67" s="368" t="s">
        <v>190</v>
      </c>
      <c r="D67" s="379">
        <f>Detached!D$52-D61</f>
        <v>-2.4730141320319632</v>
      </c>
      <c r="E67" s="379">
        <f>Detached!E$52-E61</f>
        <v>7.4041541294815119</v>
      </c>
      <c r="F67" s="379">
        <f>Detached!F$52-F61</f>
        <v>8.5875211170782819</v>
      </c>
      <c r="G67" s="379">
        <f>Detached!G$52-G61</f>
        <v>-2.4093551224776917</v>
      </c>
      <c r="H67" s="379">
        <f>Detached!H$52-H61</f>
        <v>2.8530273870986065</v>
      </c>
      <c r="I67" s="379">
        <f>Detached!I$52-I61</f>
        <v>0</v>
      </c>
      <c r="J67" s="379">
        <f>Detached!J$52-J61</f>
        <v>-1.2652960706716101</v>
      </c>
      <c r="K67" s="379">
        <f>Detached!K$52-K61</f>
        <v>0.12405022149427225</v>
      </c>
      <c r="L67" s="379">
        <f>Detached!L$52-L61</f>
        <v>-14.73148041208799</v>
      </c>
      <c r="M67" s="379">
        <f>Detached!M$52-M61</f>
        <v>8.7539560427763377</v>
      </c>
      <c r="N67" s="379">
        <f>Detached!N$52-N61</f>
        <v>-5.158938402200846</v>
      </c>
      <c r="O67" s="379">
        <f>Detached!O$52-O61</f>
        <v>1.1316046837566702</v>
      </c>
      <c r="P67" s="379">
        <f>Detached!P$52-P61</f>
        <v>9.7696186422606459</v>
      </c>
      <c r="Q67" s="379">
        <f>Detached!Q$52-Q61</f>
        <v>1.4889904690457598</v>
      </c>
      <c r="R67" s="379">
        <f>Detached!R$52-R61</f>
        <v>-2.5314423810143012</v>
      </c>
      <c r="S67" s="379">
        <f>Detached!S$52-S61</f>
        <v>8.5608788160482732</v>
      </c>
      <c r="T67" s="379">
        <f>Detached!T$52-T61</f>
        <v>-4.3881841862139197</v>
      </c>
      <c r="U67" s="379">
        <f>Detached!U$52-U61</f>
        <v>3.8591103282183354</v>
      </c>
      <c r="V67" s="379">
        <f>Detached!V$52-V61</f>
        <v>-1.4552788246786292</v>
      </c>
      <c r="W67" s="379">
        <f>Detached!W$52-W61</f>
        <v>-6.0449443550088091</v>
      </c>
      <c r="X67" s="379">
        <f>Detached!X$52-X61</f>
        <v>-1.5384966409193623</v>
      </c>
      <c r="Y67" s="379">
        <f>Detached!Y$52-Y61</f>
        <v>7.6671867682346786</v>
      </c>
      <c r="Z67" s="379">
        <f>Detached!Z$52-Z61</f>
        <v>3.235005884451013</v>
      </c>
      <c r="AA67" s="379">
        <f>Detached!AA$52-AA61</f>
        <v>0.21524510152772791</v>
      </c>
      <c r="AB67" s="379">
        <f>Detached!AB$52-AB61</f>
        <v>8.8293665015737588</v>
      </c>
      <c r="AC67" s="379">
        <f>Detached!AC$52-AC61</f>
        <v>5.78871601720207</v>
      </c>
      <c r="AD67" s="379">
        <f>Detached!AD$52-AD61</f>
        <v>-4.6210640658652551</v>
      </c>
      <c r="AE67" s="379">
        <f>Detached!AE$52-AE61</f>
        <v>0.20754416094877115</v>
      </c>
      <c r="AF67" s="379">
        <f>Detached!AF$52-AF61</f>
        <v>-5.4873925426166892</v>
      </c>
      <c r="AG67" s="379">
        <f>Detached!AG$52-AG61</f>
        <v>0</v>
      </c>
      <c r="AH67" s="379">
        <f>Detached!AH$52-AH61</f>
        <v>1.8919871623939741</v>
      </c>
      <c r="AI67" s="379">
        <f>Detached!AI$52-AI61</f>
        <v>9.7696186422606459</v>
      </c>
      <c r="AJ67" s="379">
        <f>Detached!AJ$52-AJ61</f>
        <v>13.815469228285053</v>
      </c>
      <c r="AK67" s="379">
        <f>Detached!AK$52-AK61</f>
        <v>9.4057412800877813</v>
      </c>
      <c r="AL67" s="379">
        <f>Detached!AL$52-AL61</f>
        <v>7.9974508631346168</v>
      </c>
      <c r="AM67" s="379">
        <f>Detached!AM$52-AM61</f>
        <v>12.704368862560528</v>
      </c>
      <c r="AN67" s="380">
        <f>Detached!AN$52-AN61</f>
        <v>12.704368862560528</v>
      </c>
    </row>
    <row r="68" spans="1:40">
      <c r="A68" s="5"/>
      <c r="B68" s="5"/>
      <c r="C68" s="5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</row>
    <row r="69" spans="1:40">
      <c r="A69" s="5" t="s">
        <v>225</v>
      </c>
      <c r="B69" s="5"/>
      <c r="C69" s="5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</row>
    <row r="70" spans="1:40">
      <c r="A70" s="938" t="s">
        <v>123</v>
      </c>
      <c r="B70" s="939"/>
      <c r="C70" s="138" t="s">
        <v>76</v>
      </c>
      <c r="D70" s="194">
        <v>1</v>
      </c>
      <c r="E70" s="195">
        <v>1</v>
      </c>
      <c r="F70" s="195">
        <v>1</v>
      </c>
      <c r="G70" s="195">
        <v>1</v>
      </c>
      <c r="H70" s="195">
        <v>1</v>
      </c>
      <c r="I70" s="195">
        <v>1</v>
      </c>
      <c r="J70" s="195">
        <v>1</v>
      </c>
      <c r="K70" s="195">
        <v>1</v>
      </c>
      <c r="L70" s="195">
        <v>1</v>
      </c>
      <c r="M70" s="195">
        <v>1</v>
      </c>
      <c r="N70" s="195">
        <v>1</v>
      </c>
      <c r="O70" s="195">
        <v>1</v>
      </c>
      <c r="P70" s="195">
        <v>1</v>
      </c>
      <c r="Q70" s="195">
        <v>1</v>
      </c>
      <c r="R70" s="195">
        <v>1</v>
      </c>
      <c r="S70" s="195">
        <v>1</v>
      </c>
      <c r="T70" s="195">
        <v>1</v>
      </c>
      <c r="U70" s="195">
        <v>1</v>
      </c>
      <c r="V70" s="195">
        <v>1</v>
      </c>
      <c r="W70" s="195">
        <v>1</v>
      </c>
      <c r="X70" s="195">
        <v>1</v>
      </c>
      <c r="Y70" s="195">
        <v>1</v>
      </c>
      <c r="Z70" s="195">
        <v>1</v>
      </c>
      <c r="AA70" s="195">
        <v>1</v>
      </c>
      <c r="AB70" s="195">
        <v>1</v>
      </c>
      <c r="AC70" s="195">
        <v>1</v>
      </c>
      <c r="AD70" s="195">
        <v>1</v>
      </c>
      <c r="AE70" s="195">
        <v>1</v>
      </c>
      <c r="AF70" s="195">
        <v>1</v>
      </c>
      <c r="AG70" s="195">
        <v>1</v>
      </c>
      <c r="AH70" s="195">
        <v>1</v>
      </c>
      <c r="AI70" s="195">
        <v>1</v>
      </c>
      <c r="AJ70" s="195">
        <v>1</v>
      </c>
      <c r="AK70" s="195">
        <v>1</v>
      </c>
      <c r="AL70" s="195">
        <v>1</v>
      </c>
      <c r="AM70" s="195">
        <v>1</v>
      </c>
      <c r="AN70" s="196">
        <v>1</v>
      </c>
    </row>
    <row r="71" spans="1:40">
      <c r="A71" s="151" t="s">
        <v>193</v>
      </c>
      <c r="B71" s="141" t="s">
        <v>2</v>
      </c>
      <c r="C71" s="144" t="s">
        <v>195</v>
      </c>
      <c r="D71" s="170">
        <f>((LOOKUP(Detached!D$2,'Ceiling-U'!$A$4:$A$40,'Ceiling-U'!$E$4:$E$40)*Detached!D$14)+(LOOKUP(Detached!D$2,'Floor-U'!$A$4:$A$40,'Floor-U'!$E$4:$E$40)*Detached!D$15)+(LOOKUP(Detached!D$2,'Wall-U'!$A$4:$A$40,'Wall-U'!$E$4:$E$40)*Detached!D$12)+(LOOKUP(Detached!D$2,'Window-U'!$A$4:$A$40,'Window-U'!$S$4:$S$40)*Detached!D$21))*D70</f>
        <v>465.30153005625198</v>
      </c>
      <c r="E71" s="171">
        <f>((LOOKUP(Detached!E$2,'Ceiling-U'!$A$4:$A$40,'Ceiling-U'!$E$4:$E$40)*Detached!E$14)+(LOOKUP(Detached!E$2,'Floor-U'!$A$4:$A$40,'Floor-U'!$E$4:$E$40)*Detached!E$15)+(LOOKUP(Detached!E$2,'Wall-U'!$A$4:$A$40,'Wall-U'!$E$4:$E$40)*Detached!E$12)+(LOOKUP(Detached!E$2,'Window-U'!$A$4:$A$40,'Window-U'!$S$4:$S$40)*Detached!E$21))*E70</f>
        <v>553.59087407510015</v>
      </c>
      <c r="F71" s="171">
        <f>((LOOKUP(Detached!F$2,'Ceiling-U'!$A$4:$A$40,'Ceiling-U'!$E$4:$E$40)*Detached!F$14)+(LOOKUP(Detached!F$2,'Floor-U'!$A$4:$A$40,'Floor-U'!$E$4:$E$40)*Detached!F$15)+(LOOKUP(Detached!F$2,'Wall-U'!$A$4:$A$40,'Wall-U'!$E$4:$E$40)*Detached!F$12)+(LOOKUP(Detached!F$2,'Window-U'!$A$4:$A$40,'Window-U'!$S$4:$S$40)*Detached!F$21))*F70</f>
        <v>310.42230993026567</v>
      </c>
      <c r="G71" s="171">
        <f>((LOOKUP(Detached!G$2,'Ceiling-U'!$A$4:$A$40,'Ceiling-U'!$E$4:$E$40)*Detached!G$14)+(LOOKUP(Detached!G$2,'Floor-U'!$A$4:$A$40,'Floor-U'!$E$4:$E$40)*Detached!G$15)+(LOOKUP(Detached!G$2,'Wall-U'!$A$4:$A$40,'Wall-U'!$E$4:$E$40)*Detached!G$12)+(LOOKUP(Detached!G$2,'Window-U'!$A$4:$A$40,'Window-U'!$S$4:$S$40)*Detached!G$21))*G70</f>
        <v>465.30153005625198</v>
      </c>
      <c r="H71" s="171">
        <f>((LOOKUP(Detached!H$2,'Ceiling-U'!$A$4:$A$40,'Ceiling-U'!$E$4:$E$40)*Detached!H$14)+(LOOKUP(Detached!H$2,'Floor-U'!$A$4:$A$40,'Floor-U'!$E$4:$E$40)*Detached!H$15)+(LOOKUP(Detached!H$2,'Wall-U'!$A$4:$A$40,'Wall-U'!$E$4:$E$40)*Detached!H$12)+(LOOKUP(Detached!H$2,'Window-U'!$A$4:$A$40,'Window-U'!$S$4:$S$40)*Detached!H$21))*H70</f>
        <v>729.16319389240198</v>
      </c>
      <c r="I71" s="171">
        <f>((LOOKUP(Detached!I$2,'Ceiling-U'!$A$4:$A$40,'Ceiling-U'!$E$4:$E$40)*Detached!I$14)+(LOOKUP(Detached!I$2,'Floor-U'!$A$4:$A$40,'Floor-U'!$E$4:$E$40)*Detached!I$15)+(LOOKUP(Detached!I$2,'Wall-U'!$A$4:$A$40,'Wall-U'!$E$4:$E$40)*Detached!I$12)+(LOOKUP(Detached!I$2,'Window-U'!$A$4:$A$40,'Window-U'!$S$4:$S$40)*Detached!I$21))*I70</f>
        <v>315.33211875279051</v>
      </c>
      <c r="J71" s="171">
        <f>((LOOKUP(Detached!J$2,'Ceiling-U'!$A$4:$A$40,'Ceiling-U'!$E$4:$E$40)*Detached!J$14)+(LOOKUP(Detached!J$2,'Floor-U'!$A$4:$A$40,'Floor-U'!$E$4:$E$40)*Detached!J$15)+(LOOKUP(Detached!J$2,'Wall-U'!$A$4:$A$40,'Wall-U'!$E$4:$E$40)*Detached!J$12)+(LOOKUP(Detached!J$2,'Window-U'!$A$4:$A$40,'Window-U'!$S$4:$S$40)*Detached!J$21))*J70</f>
        <v>526.33520726505049</v>
      </c>
      <c r="K71" s="171">
        <f>((LOOKUP(Detached!K$2,'Ceiling-U'!$A$4:$A$40,'Ceiling-U'!$E$4:$E$40)*Detached!K$14)+(LOOKUP(Detached!K$2,'Floor-U'!$A$4:$A$40,'Floor-U'!$E$4:$E$40)*Detached!K$15)+(LOOKUP(Detached!K$2,'Wall-U'!$A$4:$A$40,'Wall-U'!$E$4:$E$40)*Detached!K$12)+(LOOKUP(Detached!K$2,'Window-U'!$A$4:$A$40,'Window-U'!$S$4:$S$40)*Detached!K$21))*K70</f>
        <v>281.9625743153311</v>
      </c>
      <c r="L71" s="171">
        <f>((LOOKUP(Detached!L$2,'Ceiling-U'!$A$4:$A$40,'Ceiling-U'!$E$4:$E$40)*Detached!L$14)+(LOOKUP(Detached!L$2,'Floor-U'!$A$4:$A$40,'Floor-U'!$E$4:$E$40)*Detached!L$15)+(LOOKUP(Detached!L$2,'Wall-U'!$A$4:$A$40,'Wall-U'!$E$4:$E$40)*Detached!L$12)+(LOOKUP(Detached!L$2,'Window-U'!$A$4:$A$40,'Window-U'!$S$4:$S$40)*Detached!L$21))*L70</f>
        <v>139.55592744097808</v>
      </c>
      <c r="M71" s="171">
        <f>((LOOKUP(Detached!M$2,'Ceiling-U'!$A$4:$A$40,'Ceiling-U'!$E$4:$E$40)*Detached!M$14)+(LOOKUP(Detached!M$2,'Floor-U'!$A$4:$A$40,'Floor-U'!$E$4:$E$40)*Detached!M$15)+(LOOKUP(Detached!M$2,'Wall-U'!$A$4:$A$40,'Wall-U'!$E$4:$E$40)*Detached!M$12)+(LOOKUP(Detached!M$2,'Window-U'!$A$4:$A$40,'Window-U'!$S$4:$S$40)*Detached!M$21))*M70</f>
        <v>753.43202533265776</v>
      </c>
      <c r="N71" s="171">
        <f>((LOOKUP(Detached!N$2,'Ceiling-U'!$A$4:$A$40,'Ceiling-U'!$E$4:$E$40)*Detached!N$14)+(LOOKUP(Detached!N$2,'Floor-U'!$A$4:$A$40,'Floor-U'!$E$4:$E$40)*Detached!N$15)+(LOOKUP(Detached!N$2,'Wall-U'!$A$4:$A$40,'Wall-U'!$E$4:$E$40)*Detached!N$12)+(LOOKUP(Detached!N$2,'Window-U'!$A$4:$A$40,'Window-U'!$S$4:$S$40)*Detached!N$21))*N70</f>
        <v>180.46042531726152</v>
      </c>
      <c r="O71" s="171">
        <f>((LOOKUP(Detached!O$2,'Ceiling-U'!$A$4:$A$40,'Ceiling-U'!$E$4:$E$40)*Detached!O$14)+(LOOKUP(Detached!O$2,'Floor-U'!$A$4:$A$40,'Floor-U'!$E$4:$E$40)*Detached!O$15)+(LOOKUP(Detached!O$2,'Wall-U'!$A$4:$A$40,'Wall-U'!$E$4:$E$40)*Detached!O$12)+(LOOKUP(Detached!O$2,'Window-U'!$A$4:$A$40,'Window-U'!$S$4:$S$40)*Detached!O$21))*O70</f>
        <v>775.29717721929364</v>
      </c>
      <c r="P71" s="171">
        <f>((LOOKUP(Detached!P$2,'Ceiling-U'!$A$4:$A$40,'Ceiling-U'!$E$4:$E$40)*Detached!P$14)+(LOOKUP(Detached!P$2,'Floor-U'!$A$4:$A$40,'Floor-U'!$E$4:$E$40)*Detached!P$15)+(LOOKUP(Detached!P$2,'Wall-U'!$A$4:$A$40,'Wall-U'!$E$4:$E$40)*Detached!P$12)+(LOOKUP(Detached!P$2,'Window-U'!$A$4:$A$40,'Window-U'!$S$4:$S$40)*Detached!P$21))*P70</f>
        <v>725.09721542084981</v>
      </c>
      <c r="Q71" s="171">
        <f>((LOOKUP(Detached!Q$2,'Ceiling-U'!$A$4:$A$40,'Ceiling-U'!$E$4:$E$40)*Detached!Q$14)+(LOOKUP(Detached!Q$2,'Floor-U'!$A$4:$A$40,'Floor-U'!$E$4:$E$40)*Detached!Q$15)+(LOOKUP(Detached!Q$2,'Wall-U'!$A$4:$A$40,'Wall-U'!$E$4:$E$40)*Detached!Q$12)+(LOOKUP(Detached!Q$2,'Window-U'!$A$4:$A$40,'Window-U'!$S$4:$S$40)*Detached!Q$21))*Q70</f>
        <v>275.89518007835937</v>
      </c>
      <c r="R71" s="171">
        <f>((LOOKUP(Detached!R$2,'Ceiling-U'!$A$4:$A$40,'Ceiling-U'!$E$4:$E$40)*Detached!R$14)+(LOOKUP(Detached!R$2,'Floor-U'!$A$4:$A$40,'Floor-U'!$E$4:$E$40)*Detached!R$15)+(LOOKUP(Detached!R$2,'Wall-U'!$A$4:$A$40,'Wall-U'!$E$4:$E$40)*Detached!R$12)+(LOOKUP(Detached!R$2,'Window-U'!$A$4:$A$40,'Window-U'!$S$4:$S$40)*Detached!R$21))*R70</f>
        <v>398.97927104864419</v>
      </c>
      <c r="S71" s="171">
        <f>((LOOKUP(Detached!S$2,'Ceiling-U'!$A$4:$A$40,'Ceiling-U'!$E$4:$E$40)*Detached!S$14)+(LOOKUP(Detached!S$2,'Floor-U'!$A$4:$A$40,'Floor-U'!$E$4:$E$40)*Detached!S$15)+(LOOKUP(Detached!S$2,'Wall-U'!$A$4:$A$40,'Wall-U'!$E$4:$E$40)*Detached!S$12)+(LOOKUP(Detached!S$2,'Window-U'!$A$4:$A$40,'Window-U'!$S$4:$S$40)*Detached!S$21))*S70</f>
        <v>560.25136822825107</v>
      </c>
      <c r="T71" s="171">
        <f>((LOOKUP(Detached!T$2,'Ceiling-U'!$A$4:$A$40,'Ceiling-U'!$E$4:$E$40)*Detached!T$14)+(LOOKUP(Detached!T$2,'Floor-U'!$A$4:$A$40,'Floor-U'!$E$4:$E$40)*Detached!T$15)+(LOOKUP(Detached!T$2,'Wall-U'!$A$4:$A$40,'Wall-U'!$E$4:$E$40)*Detached!T$12)+(LOOKUP(Detached!T$2,'Window-U'!$A$4:$A$40,'Window-U'!$S$4:$S$40)*Detached!T$21))*T70</f>
        <v>180.46042531726152</v>
      </c>
      <c r="U71" s="171">
        <f>((LOOKUP(Detached!U$2,'Ceiling-U'!$A$4:$A$40,'Ceiling-U'!$E$4:$E$40)*Detached!U$14)+(LOOKUP(Detached!U$2,'Floor-U'!$A$4:$A$40,'Floor-U'!$E$4:$E$40)*Detached!U$15)+(LOOKUP(Detached!U$2,'Wall-U'!$A$4:$A$40,'Wall-U'!$E$4:$E$40)*Detached!U$12)+(LOOKUP(Detached!U$2,'Window-U'!$A$4:$A$40,'Window-U'!$S$4:$S$40)*Detached!U$21))*U70</f>
        <v>600.37060174227076</v>
      </c>
      <c r="V71" s="171">
        <f>((LOOKUP(Detached!V$2,'Ceiling-U'!$A$4:$A$40,'Ceiling-U'!$E$4:$E$40)*Detached!V$14)+(LOOKUP(Detached!V$2,'Floor-U'!$A$4:$A$40,'Floor-U'!$E$4:$E$40)*Detached!V$15)+(LOOKUP(Detached!V$2,'Wall-U'!$A$4:$A$40,'Wall-U'!$E$4:$E$40)*Detached!V$12)+(LOOKUP(Detached!V$2,'Window-U'!$A$4:$A$40,'Window-U'!$S$4:$S$40)*Detached!V$21))*V70</f>
        <v>289.14452969689313</v>
      </c>
      <c r="W71" s="171">
        <f>((LOOKUP(Detached!W$2,'Ceiling-U'!$A$4:$A$40,'Ceiling-U'!$E$4:$E$40)*Detached!W$14)+(LOOKUP(Detached!W$2,'Floor-U'!$A$4:$A$40,'Floor-U'!$E$4:$E$40)*Detached!W$15)+(LOOKUP(Detached!W$2,'Wall-U'!$A$4:$A$40,'Wall-U'!$E$4:$E$40)*Detached!W$12)+(LOOKUP(Detached!W$2,'Window-U'!$A$4:$A$40,'Window-U'!$S$4:$S$40)*Detached!W$21))*W70</f>
        <v>352.18141362437473</v>
      </c>
      <c r="X71" s="171">
        <f>((LOOKUP(Detached!X$2,'Ceiling-U'!$A$4:$A$40,'Ceiling-U'!$E$4:$E$40)*Detached!X$14)+(LOOKUP(Detached!X$2,'Floor-U'!$A$4:$A$40,'Floor-U'!$E$4:$E$40)*Detached!X$15)+(LOOKUP(Detached!X$2,'Wall-U'!$A$4:$A$40,'Wall-U'!$E$4:$E$40)*Detached!X$12)+(LOOKUP(Detached!X$2,'Window-U'!$A$4:$A$40,'Window-U'!$S$4:$S$40)*Detached!X$21))*X70</f>
        <v>307.70320061795604</v>
      </c>
      <c r="Y71" s="171">
        <f>((LOOKUP(Detached!Y$2,'Ceiling-U'!$A$4:$A$40,'Ceiling-U'!$E$4:$E$40)*Detached!Y$14)+(LOOKUP(Detached!Y$2,'Floor-U'!$A$4:$A$40,'Floor-U'!$E$4:$E$40)*Detached!Y$15)+(LOOKUP(Detached!Y$2,'Wall-U'!$A$4:$A$40,'Wall-U'!$E$4:$E$40)*Detached!Y$12)+(LOOKUP(Detached!Y$2,'Window-U'!$A$4:$A$40,'Window-U'!$S$4:$S$40)*Detached!Y$21))*Y70</f>
        <v>789.4430572278585</v>
      </c>
      <c r="Z71" s="171">
        <f>((LOOKUP(Detached!Z$2,'Ceiling-U'!$A$4:$A$40,'Ceiling-U'!$E$4:$E$40)*Detached!Z$14)+(LOOKUP(Detached!Z$2,'Floor-U'!$A$4:$A$40,'Floor-U'!$E$4:$E$40)*Detached!Z$15)+(LOOKUP(Detached!Z$2,'Wall-U'!$A$4:$A$40,'Wall-U'!$E$4:$E$40)*Detached!Z$12)+(LOOKUP(Detached!Z$2,'Window-U'!$A$4:$A$40,'Window-U'!$S$4:$S$40)*Detached!Z$21))*Z70</f>
        <v>606.02085535053038</v>
      </c>
      <c r="AA71" s="171">
        <f>((LOOKUP(Detached!AA$2,'Ceiling-U'!$A$4:$A$40,'Ceiling-U'!$E$4:$E$40)*Detached!AA$14)+(LOOKUP(Detached!AA$2,'Floor-U'!$A$4:$A$40,'Floor-U'!$E$4:$E$40)*Detached!AA$15)+(LOOKUP(Detached!AA$2,'Wall-U'!$A$4:$A$40,'Wall-U'!$E$4:$E$40)*Detached!AA$12)+(LOOKUP(Detached!AA$2,'Window-U'!$A$4:$A$40,'Window-U'!$S$4:$S$40)*Detached!AA$21))*AA70</f>
        <v>161.63014628813517</v>
      </c>
      <c r="AB71" s="171">
        <f>((LOOKUP(Detached!AB$2,'Ceiling-U'!$A$4:$A$40,'Ceiling-U'!$E$4:$E$40)*Detached!AB$14)+(LOOKUP(Detached!AB$2,'Floor-U'!$A$4:$A$40,'Floor-U'!$E$4:$E$40)*Detached!AB$15)+(LOOKUP(Detached!AB$2,'Wall-U'!$A$4:$A$40,'Wall-U'!$E$4:$E$40)*Detached!AB$12)+(LOOKUP(Detached!AB$2,'Window-U'!$A$4:$A$40,'Window-U'!$S$4:$S$40)*Detached!AB$21))*AB70</f>
        <v>491.09946775428409</v>
      </c>
      <c r="AC71" s="171">
        <f>((LOOKUP(Detached!AC$2,'Ceiling-U'!$A$4:$A$40,'Ceiling-U'!$E$4:$E$40)*Detached!AC$14)+(LOOKUP(Detached!AC$2,'Floor-U'!$A$4:$A$40,'Floor-U'!$E$4:$E$40)*Detached!AC$15)+(LOOKUP(Detached!AC$2,'Wall-U'!$A$4:$A$40,'Wall-U'!$E$4:$E$40)*Detached!AC$12)+(LOOKUP(Detached!AC$2,'Window-U'!$A$4:$A$40,'Window-U'!$S$4:$S$40)*Detached!AC$21))*AC70</f>
        <v>749.10218557416295</v>
      </c>
      <c r="AD71" s="171">
        <f>((LOOKUP(Detached!AD$2,'Ceiling-U'!$A$4:$A$40,'Ceiling-U'!$E$4:$E$40)*Detached!AD$14)+(LOOKUP(Detached!AD$2,'Floor-U'!$A$4:$A$40,'Floor-U'!$E$4:$E$40)*Detached!AD$15)+(LOOKUP(Detached!AD$2,'Wall-U'!$A$4:$A$40,'Wall-U'!$E$4:$E$40)*Detached!AD$12)+(LOOKUP(Detached!AD$2,'Window-U'!$A$4:$A$40,'Window-U'!$S$4:$S$40)*Detached!AD$21))*AD70</f>
        <v>417.53667448190464</v>
      </c>
      <c r="AE71" s="171">
        <f>((LOOKUP(Detached!AE$2,'Ceiling-U'!$A$4:$A$40,'Ceiling-U'!$E$4:$E$40)*Detached!AE$14)+(LOOKUP(Detached!AE$2,'Floor-U'!$A$4:$A$40,'Floor-U'!$E$4:$E$40)*Detached!AE$15)+(LOOKUP(Detached!AE$2,'Wall-U'!$A$4:$A$40,'Wall-U'!$E$4:$E$40)*Detached!AE$12)+(LOOKUP(Detached!AE$2,'Window-U'!$A$4:$A$40,'Window-U'!$S$4:$S$40)*Detached!AE$21))*AE70</f>
        <v>161.63014628813517</v>
      </c>
      <c r="AF71" s="171">
        <f>((LOOKUP(Detached!AF$2,'Ceiling-U'!$A$4:$A$40,'Ceiling-U'!$E$4:$E$40)*Detached!AF$14)+(LOOKUP(Detached!AF$2,'Floor-U'!$A$4:$A$40,'Floor-U'!$E$4:$E$40)*Detached!AF$15)+(LOOKUP(Detached!AF$2,'Wall-U'!$A$4:$A$40,'Wall-U'!$E$4:$E$40)*Detached!AF$12)+(LOOKUP(Detached!AF$2,'Window-U'!$A$4:$A$40,'Window-U'!$S$4:$S$40)*Detached!AF$21))*AF70</f>
        <v>381.23875507094124</v>
      </c>
      <c r="AG71" s="171">
        <f>((LOOKUP(Detached!AG$2,'Ceiling-U'!$A$4:$A$40,'Ceiling-U'!$E$4:$E$40)*Detached!AG$14)+(LOOKUP(Detached!AG$2,'Floor-U'!$A$4:$A$40,'Floor-U'!$E$4:$E$40)*Detached!AG$15)+(LOOKUP(Detached!AG$2,'Wall-U'!$A$4:$A$40,'Wall-U'!$E$4:$E$40)*Detached!AG$12)+(LOOKUP(Detached!AG$2,'Window-U'!$A$4:$A$40,'Window-U'!$S$4:$S$40)*Detached!AG$21))*AG70</f>
        <v>505.98931105458729</v>
      </c>
      <c r="AH71" s="171">
        <f>((LOOKUP(Detached!AH$2,'Ceiling-U'!$A$4:$A$40,'Ceiling-U'!$E$4:$E$40)*Detached!AH$14)+(LOOKUP(Detached!AH$2,'Floor-U'!$A$4:$A$40,'Floor-U'!$E$4:$E$40)*Detached!AH$15)+(LOOKUP(Detached!AH$2,'Wall-U'!$A$4:$A$40,'Wall-U'!$E$4:$E$40)*Detached!AH$12)+(LOOKUP(Detached!AH$2,'Window-U'!$A$4:$A$40,'Window-U'!$S$4:$S$40)*Detached!AH$21))*AH70</f>
        <v>439.02542622441456</v>
      </c>
      <c r="AI71" s="171">
        <f>((LOOKUP(Detached!AI$2,'Ceiling-U'!$A$4:$A$40,'Ceiling-U'!$E$4:$E$40)*Detached!AI$14)+(LOOKUP(Detached!AI$2,'Floor-U'!$A$4:$A$40,'Floor-U'!$E$4:$E$40)*Detached!AI$15)+(LOOKUP(Detached!AI$2,'Wall-U'!$A$4:$A$40,'Wall-U'!$E$4:$E$40)*Detached!AI$12)+(LOOKUP(Detached!AI$2,'Window-U'!$A$4:$A$40,'Window-U'!$S$4:$S$40)*Detached!AI$21))*AI70</f>
        <v>725.09721542084981</v>
      </c>
      <c r="AJ71" s="171">
        <f>((LOOKUP(Detached!AJ$2,'Ceiling-U'!$A$4:$A$40,'Ceiling-U'!$E$4:$E$40)*Detached!AJ$14)+(LOOKUP(Detached!AJ$2,'Floor-U'!$A$4:$A$40,'Floor-U'!$E$4:$E$40)*Detached!AJ$15)+(LOOKUP(Detached!AJ$2,'Wall-U'!$A$4:$A$40,'Wall-U'!$E$4:$E$40)*Detached!AJ$12)+(LOOKUP(Detached!AJ$2,'Window-U'!$A$4:$A$40,'Window-U'!$S$4:$S$40)*Detached!AJ$21))*AJ70</f>
        <v>298.444451793974</v>
      </c>
      <c r="AK71" s="171">
        <f>((LOOKUP(Detached!AK$2,'Ceiling-U'!$A$4:$A$40,'Ceiling-U'!$E$4:$E$40)*Detached!AK$14)+(LOOKUP(Detached!AK$2,'Floor-U'!$A$4:$A$40,'Floor-U'!$E$4:$E$40)*Detached!AK$15)+(LOOKUP(Detached!AK$2,'Wall-U'!$A$4:$A$40,'Wall-U'!$E$4:$E$40)*Detached!AK$12)+(LOOKUP(Detached!AK$2,'Window-U'!$A$4:$A$40,'Window-U'!$S$4:$S$40)*Detached!AK$21))*AK70</f>
        <v>364.6730729087418</v>
      </c>
      <c r="AL71" s="171">
        <f>((LOOKUP(Detached!AL$2,'Ceiling-U'!$A$4:$A$40,'Ceiling-U'!$E$4:$E$40)*Detached!AL$14)+(LOOKUP(Detached!AL$2,'Floor-U'!$A$4:$A$40,'Floor-U'!$E$4:$E$40)*Detached!AL$15)+(LOOKUP(Detached!AL$2,'Wall-U'!$A$4:$A$40,'Wall-U'!$E$4:$E$40)*Detached!AL$12)+(LOOKUP(Detached!AL$2,'Window-U'!$A$4:$A$40,'Window-U'!$S$4:$S$40)*Detached!AL$21))*AL70</f>
        <v>327.84278700521429</v>
      </c>
      <c r="AM71" s="171">
        <f>((LOOKUP(Detached!AM$2,'Ceiling-U'!$A$4:$A$40,'Ceiling-U'!$E$4:$E$40)*Detached!AM$14)+(LOOKUP(Detached!AM$2,'Floor-U'!$A$4:$A$40,'Floor-U'!$E$4:$E$40)*Detached!AM$15)+(LOOKUP(Detached!AM$2,'Wall-U'!$A$4:$A$40,'Wall-U'!$E$4:$E$40)*Detached!AM$12)+(LOOKUP(Detached!AM$2,'Window-U'!$A$4:$A$40,'Window-U'!$S$4:$S$40)*Detached!AM$21))*AM70</f>
        <v>298.444451793974</v>
      </c>
      <c r="AN71" s="172">
        <f>((LOOKUP(Detached!AN$2,'Ceiling-U'!$A$4:$A$40,'Ceiling-U'!$E$4:$E$40)*Detached!AN$14)+(LOOKUP(Detached!AN$2,'Floor-U'!$A$4:$A$40,'Floor-U'!$E$4:$E$40)*Detached!AN$15)+(LOOKUP(Detached!AN$2,'Wall-U'!$A$4:$A$40,'Wall-U'!$E$4:$E$40)*Detached!AN$12)+(LOOKUP(Detached!AN$2,'Window-U'!$A$4:$A$40,'Window-U'!$S$4:$S$40)*Detached!AN$21))*AN70</f>
        <v>298.444451793974</v>
      </c>
    </row>
    <row r="72" spans="1:40">
      <c r="A72" s="372"/>
      <c r="B72" s="142" t="s">
        <v>3</v>
      </c>
      <c r="C72" s="131" t="s">
        <v>195</v>
      </c>
      <c r="D72" s="176">
        <f>((LOOKUP(Detached!D$2,'Ceiling-U'!$A$4:$A$40,'Ceiling-U'!$F$4:$F$40)*Detached!D$14)+(LOOKUP(Detached!D$2,'Floor-U'!$A$4:$A$40,'Floor-U'!$F$4:$F$40)*Detached!D$15)+(LOOKUP(Detached!D$2,'Wall-U'!$A$4:$A$40,'Wall-U'!$F$4:$F$40)*Detached!D$12)+(LOOKUP(Detached!D$2,'Window-U'!$A$4:$A$40,'Window-U'!$S$4:$S$40)*Detached!D$21))*D70</f>
        <v>423.00893420387376</v>
      </c>
      <c r="E72" s="177">
        <f>((LOOKUP(Detached!E$2,'Ceiling-U'!$A$4:$A$40,'Ceiling-U'!$F$4:$F$40)*Detached!E$14)+(LOOKUP(Detached!E$2,'Floor-U'!$A$4:$A$40,'Floor-U'!$F$4:$F$40)*Detached!E$15)+(LOOKUP(Detached!E$2,'Wall-U'!$A$4:$A$40,'Wall-U'!$F$4:$F$40)*Detached!E$12)+(LOOKUP(Detached!E$2,'Window-U'!$A$4:$A$40,'Window-U'!$S$4:$S$40)*Detached!E$21))*E70</f>
        <v>553.59087407510015</v>
      </c>
      <c r="F72" s="177">
        <f>((LOOKUP(Detached!F$2,'Ceiling-U'!$A$4:$A$40,'Ceiling-U'!$F$4:$F$40)*Detached!F$14)+(LOOKUP(Detached!F$2,'Floor-U'!$A$4:$A$40,'Floor-U'!$F$4:$F$40)*Detached!F$15)+(LOOKUP(Detached!F$2,'Wall-U'!$A$4:$A$40,'Wall-U'!$F$4:$F$40)*Detached!F$12)+(LOOKUP(Detached!F$2,'Window-U'!$A$4:$A$40,'Window-U'!$S$4:$S$40)*Detached!F$21))*F70</f>
        <v>310.42230993026567</v>
      </c>
      <c r="G72" s="177">
        <f>((LOOKUP(Detached!G$2,'Ceiling-U'!$A$4:$A$40,'Ceiling-U'!$F$4:$F$40)*Detached!G$14)+(LOOKUP(Detached!G$2,'Floor-U'!$A$4:$A$40,'Floor-U'!$F$4:$F$40)*Detached!G$15)+(LOOKUP(Detached!G$2,'Wall-U'!$A$4:$A$40,'Wall-U'!$F$4:$F$40)*Detached!G$12)+(LOOKUP(Detached!G$2,'Window-U'!$A$4:$A$40,'Window-U'!$S$4:$S$40)*Detached!G$21))*G70</f>
        <v>423.00893420387376</v>
      </c>
      <c r="H72" s="177">
        <f>((LOOKUP(Detached!H$2,'Ceiling-U'!$A$4:$A$40,'Ceiling-U'!$F$4:$F$40)*Detached!H$14)+(LOOKUP(Detached!H$2,'Floor-U'!$A$4:$A$40,'Floor-U'!$F$4:$F$40)*Detached!H$15)+(LOOKUP(Detached!H$2,'Wall-U'!$A$4:$A$40,'Wall-U'!$F$4:$F$40)*Detached!H$12)+(LOOKUP(Detached!H$2,'Window-U'!$A$4:$A$40,'Window-U'!$S$4:$S$40)*Detached!H$21))*H70</f>
        <v>675.38175502841261</v>
      </c>
      <c r="I72" s="177">
        <f>((LOOKUP(Detached!I$2,'Ceiling-U'!$A$4:$A$40,'Ceiling-U'!$F$4:$F$40)*Detached!I$14)+(LOOKUP(Detached!I$2,'Floor-U'!$A$4:$A$40,'Floor-U'!$F$4:$F$40)*Detached!I$15)+(LOOKUP(Detached!I$2,'Wall-U'!$A$4:$A$40,'Wall-U'!$F$4:$F$40)*Detached!I$12)+(LOOKUP(Detached!I$2,'Window-U'!$A$4:$A$40,'Window-U'!$S$4:$S$40)*Detached!I$21))*I70</f>
        <v>252.02376597389093</v>
      </c>
      <c r="J72" s="177">
        <f>((LOOKUP(Detached!J$2,'Ceiling-U'!$A$4:$A$40,'Ceiling-U'!$F$4:$F$40)*Detached!J$14)+(LOOKUP(Detached!J$2,'Floor-U'!$A$4:$A$40,'Floor-U'!$F$4:$F$40)*Detached!J$15)+(LOOKUP(Detached!J$2,'Wall-U'!$A$4:$A$40,'Wall-U'!$F$4:$F$40)*Detached!J$12)+(LOOKUP(Detached!J$2,'Window-U'!$A$4:$A$40,'Window-U'!$S$4:$S$40)*Detached!J$21))*J70</f>
        <v>453.95798739998099</v>
      </c>
      <c r="K72" s="177">
        <f>((LOOKUP(Detached!K$2,'Ceiling-U'!$A$4:$A$40,'Ceiling-U'!$F$4:$F$40)*Detached!K$14)+(LOOKUP(Detached!K$2,'Floor-U'!$A$4:$A$40,'Floor-U'!$F$4:$F$40)*Detached!K$15)+(LOOKUP(Detached!K$2,'Wall-U'!$A$4:$A$40,'Wall-U'!$F$4:$F$40)*Detached!K$12)+(LOOKUP(Detached!K$2,'Window-U'!$A$4:$A$40,'Window-U'!$S$4:$S$40)*Detached!K$21))*K70</f>
        <v>271.73180404757863</v>
      </c>
      <c r="L72" s="177">
        <f>((LOOKUP(Detached!L$2,'Ceiling-U'!$A$4:$A$40,'Ceiling-U'!$F$4:$F$40)*Detached!L$14)+(LOOKUP(Detached!L$2,'Floor-U'!$A$4:$A$40,'Floor-U'!$F$4:$F$40)*Detached!L$15)+(LOOKUP(Detached!L$2,'Wall-U'!$A$4:$A$40,'Wall-U'!$F$4:$F$40)*Detached!L$12)+(LOOKUP(Detached!L$2,'Window-U'!$A$4:$A$40,'Window-U'!$S$4:$S$40)*Detached!L$21))*L70</f>
        <v>139.55592744097808</v>
      </c>
      <c r="M72" s="177">
        <f>((LOOKUP(Detached!M$2,'Ceiling-U'!$A$4:$A$40,'Ceiling-U'!$F$4:$F$40)*Detached!M$14)+(LOOKUP(Detached!M$2,'Floor-U'!$A$4:$A$40,'Floor-U'!$F$4:$F$40)*Detached!M$15)+(LOOKUP(Detached!M$2,'Wall-U'!$A$4:$A$40,'Wall-U'!$F$4:$F$40)*Detached!M$12)+(LOOKUP(Detached!M$2,'Window-U'!$A$4:$A$40,'Window-U'!$S$4:$S$40)*Detached!M$21))*M70</f>
        <v>659.50949037953797</v>
      </c>
      <c r="N72" s="177">
        <f>((LOOKUP(Detached!N$2,'Ceiling-U'!$A$4:$A$40,'Ceiling-U'!$F$4:$F$40)*Detached!N$14)+(LOOKUP(Detached!N$2,'Floor-U'!$A$4:$A$40,'Floor-U'!$F$4:$F$40)*Detached!N$15)+(LOOKUP(Detached!N$2,'Wall-U'!$A$4:$A$40,'Wall-U'!$F$4:$F$40)*Detached!N$12)+(LOOKUP(Detached!N$2,'Window-U'!$A$4:$A$40,'Window-U'!$S$4:$S$40)*Detached!N$21))*N70</f>
        <v>160.18129279611077</v>
      </c>
      <c r="O72" s="177">
        <f>((LOOKUP(Detached!O$2,'Ceiling-U'!$A$4:$A$40,'Ceiling-U'!$F$4:$F$40)*Detached!O$14)+(LOOKUP(Detached!O$2,'Floor-U'!$A$4:$A$40,'Floor-U'!$F$4:$F$40)*Detached!O$15)+(LOOKUP(Detached!O$2,'Wall-U'!$A$4:$A$40,'Wall-U'!$F$4:$F$40)*Detached!O$12)+(LOOKUP(Detached!O$2,'Window-U'!$A$4:$A$40,'Window-U'!$S$4:$S$40)*Detached!O$21))*O70</f>
        <v>775.29717721929364</v>
      </c>
      <c r="P72" s="177">
        <f>((LOOKUP(Detached!P$2,'Ceiling-U'!$A$4:$A$40,'Ceiling-U'!$F$4:$F$40)*Detached!P$14)+(LOOKUP(Detached!P$2,'Floor-U'!$A$4:$A$40,'Floor-U'!$F$4:$F$40)*Detached!P$15)+(LOOKUP(Detached!P$2,'Wall-U'!$A$4:$A$40,'Wall-U'!$F$4:$F$40)*Detached!P$12)+(LOOKUP(Detached!P$2,'Window-U'!$A$4:$A$40,'Window-U'!$S$4:$S$40)*Detached!P$21))*P70</f>
        <v>725.09721542084981</v>
      </c>
      <c r="Q72" s="177">
        <f>((LOOKUP(Detached!Q$2,'Ceiling-U'!$A$4:$A$40,'Ceiling-U'!$F$4:$F$40)*Detached!Q$14)+(LOOKUP(Detached!Q$2,'Floor-U'!$A$4:$A$40,'Floor-U'!$F$4:$F$40)*Detached!Q$15)+(LOOKUP(Detached!Q$2,'Wall-U'!$A$4:$A$40,'Wall-U'!$F$4:$F$40)*Detached!Q$12)+(LOOKUP(Detached!Q$2,'Window-U'!$A$4:$A$40,'Window-U'!$S$4:$S$40)*Detached!Q$21))*Q70</f>
        <v>298.81530264334839</v>
      </c>
      <c r="R72" s="177">
        <f>((LOOKUP(Detached!R$2,'Ceiling-U'!$A$4:$A$40,'Ceiling-U'!$F$4:$F$40)*Detached!R$14)+(LOOKUP(Detached!R$2,'Floor-U'!$A$4:$A$40,'Floor-U'!$F$4:$F$40)*Detached!R$15)+(LOOKUP(Detached!R$2,'Wall-U'!$A$4:$A$40,'Wall-U'!$F$4:$F$40)*Detached!R$12)+(LOOKUP(Detached!R$2,'Window-U'!$A$4:$A$40,'Window-U'!$S$4:$S$40)*Detached!R$21))*R70</f>
        <v>398.97927104864419</v>
      </c>
      <c r="S72" s="177">
        <f>((LOOKUP(Detached!S$2,'Ceiling-U'!$A$4:$A$40,'Ceiling-U'!$F$4:$F$40)*Detached!S$14)+(LOOKUP(Detached!S$2,'Floor-U'!$A$4:$A$40,'Floor-U'!$F$4:$F$40)*Detached!S$15)+(LOOKUP(Detached!S$2,'Wall-U'!$A$4:$A$40,'Wall-U'!$F$4:$F$40)*Detached!S$12)+(LOOKUP(Detached!S$2,'Window-U'!$A$4:$A$40,'Window-U'!$S$4:$S$40)*Detached!S$21))*S70</f>
        <v>570.48952304453974</v>
      </c>
      <c r="T72" s="177">
        <f>((LOOKUP(Detached!T$2,'Ceiling-U'!$A$4:$A$40,'Ceiling-U'!$F$4:$F$40)*Detached!T$14)+(LOOKUP(Detached!T$2,'Floor-U'!$A$4:$A$40,'Floor-U'!$F$4:$F$40)*Detached!T$15)+(LOOKUP(Detached!T$2,'Wall-U'!$A$4:$A$40,'Wall-U'!$F$4:$F$40)*Detached!T$12)+(LOOKUP(Detached!T$2,'Window-U'!$A$4:$A$40,'Window-U'!$S$4:$S$40)*Detached!T$21))*T70</f>
        <v>160.18129279611077</v>
      </c>
      <c r="U72" s="177">
        <f>((LOOKUP(Detached!U$2,'Ceiling-U'!$A$4:$A$40,'Ceiling-U'!$F$4:$F$40)*Detached!U$14)+(LOOKUP(Detached!U$2,'Floor-U'!$A$4:$A$40,'Floor-U'!$F$4:$F$40)*Detached!U$15)+(LOOKUP(Detached!U$2,'Wall-U'!$A$4:$A$40,'Wall-U'!$F$4:$F$40)*Detached!U$12)+(LOOKUP(Detached!U$2,'Window-U'!$A$4:$A$40,'Window-U'!$S$4:$S$40)*Detached!U$21))*U70</f>
        <v>559.42635085424058</v>
      </c>
      <c r="V72" s="177">
        <f>((LOOKUP(Detached!V$2,'Ceiling-U'!$A$4:$A$40,'Ceiling-U'!$F$4:$F$40)*Detached!V$14)+(LOOKUP(Detached!V$2,'Floor-U'!$A$4:$A$40,'Floor-U'!$F$4:$F$40)*Detached!V$15)+(LOOKUP(Detached!V$2,'Wall-U'!$A$4:$A$40,'Wall-U'!$F$4:$F$40)*Detached!V$12)+(LOOKUP(Detached!V$2,'Window-U'!$A$4:$A$40,'Window-U'!$S$4:$S$40)*Detached!V$21))*V70</f>
        <v>289.14452969689313</v>
      </c>
      <c r="W72" s="177">
        <f>((LOOKUP(Detached!W$2,'Ceiling-U'!$A$4:$A$40,'Ceiling-U'!$F$4:$F$40)*Detached!W$14)+(LOOKUP(Detached!W$2,'Floor-U'!$A$4:$A$40,'Floor-U'!$F$4:$F$40)*Detached!W$15)+(LOOKUP(Detached!W$2,'Wall-U'!$A$4:$A$40,'Wall-U'!$F$4:$F$40)*Detached!W$12)+(LOOKUP(Detached!W$2,'Window-U'!$A$4:$A$40,'Window-U'!$S$4:$S$40)*Detached!W$21))*W70</f>
        <v>382.33478901018429</v>
      </c>
      <c r="X72" s="177">
        <f>((LOOKUP(Detached!X$2,'Ceiling-U'!$A$4:$A$40,'Ceiling-U'!$F$4:$F$40)*Detached!X$14)+(LOOKUP(Detached!X$2,'Floor-U'!$A$4:$A$40,'Floor-U'!$F$4:$F$40)*Detached!X$15)+(LOOKUP(Detached!X$2,'Wall-U'!$A$4:$A$40,'Wall-U'!$F$4:$F$40)*Detached!X$12)+(LOOKUP(Detached!X$2,'Window-U'!$A$4:$A$40,'Window-U'!$S$4:$S$40)*Detached!X$21))*X70</f>
        <v>307.70320061795604</v>
      </c>
      <c r="Y72" s="177">
        <f>((LOOKUP(Detached!Y$2,'Ceiling-U'!$A$4:$A$40,'Ceiling-U'!$F$4:$F$40)*Detached!Y$14)+(LOOKUP(Detached!Y$2,'Floor-U'!$A$4:$A$40,'Floor-U'!$F$4:$F$40)*Detached!Y$15)+(LOOKUP(Detached!Y$2,'Wall-U'!$A$4:$A$40,'Wall-U'!$F$4:$F$40)*Detached!Y$12)+(LOOKUP(Detached!Y$2,'Window-U'!$A$4:$A$40,'Window-U'!$S$4:$S$40)*Detached!Y$21))*Y70</f>
        <v>788.07436813093921</v>
      </c>
      <c r="Z72" s="177">
        <f>((LOOKUP(Detached!Z$2,'Ceiling-U'!$A$4:$A$40,'Ceiling-U'!$F$4:$F$40)*Detached!Z$14)+(LOOKUP(Detached!Z$2,'Floor-U'!$A$4:$A$40,'Floor-U'!$F$4:$F$40)*Detached!Z$15)+(LOOKUP(Detached!Z$2,'Wall-U'!$A$4:$A$40,'Wall-U'!$F$4:$F$40)*Detached!Z$12)+(LOOKUP(Detached!Z$2,'Window-U'!$A$4:$A$40,'Window-U'!$S$4:$S$40)*Detached!Z$21))*Z70</f>
        <v>469.49493474375572</v>
      </c>
      <c r="AA72" s="177">
        <f>((LOOKUP(Detached!AA$2,'Ceiling-U'!$A$4:$A$40,'Ceiling-U'!$F$4:$F$40)*Detached!AA$14)+(LOOKUP(Detached!AA$2,'Floor-U'!$A$4:$A$40,'Floor-U'!$F$4:$F$40)*Detached!AA$15)+(LOOKUP(Detached!AA$2,'Wall-U'!$A$4:$A$40,'Wall-U'!$F$4:$F$40)*Detached!AA$12)+(LOOKUP(Detached!AA$2,'Window-U'!$A$4:$A$40,'Window-U'!$S$4:$S$40)*Detached!AA$21))*AA70</f>
        <v>161.63014628813517</v>
      </c>
      <c r="AB72" s="177">
        <f>((LOOKUP(Detached!AB$2,'Ceiling-U'!$A$4:$A$40,'Ceiling-U'!$F$4:$F$40)*Detached!AB$14)+(LOOKUP(Detached!AB$2,'Floor-U'!$A$4:$A$40,'Floor-U'!$F$4:$F$40)*Detached!AB$15)+(LOOKUP(Detached!AB$2,'Wall-U'!$A$4:$A$40,'Wall-U'!$F$4:$F$40)*Detached!AB$12)+(LOOKUP(Detached!AB$2,'Window-U'!$A$4:$A$40,'Window-U'!$S$4:$S$40)*Detached!AB$21))*AB70</f>
        <v>339.8516711481289</v>
      </c>
      <c r="AC72" s="177">
        <f>((LOOKUP(Detached!AC$2,'Ceiling-U'!$A$4:$A$40,'Ceiling-U'!$F$4:$F$40)*Detached!AC$14)+(LOOKUP(Detached!AC$2,'Floor-U'!$A$4:$A$40,'Floor-U'!$F$4:$F$40)*Detached!AC$15)+(LOOKUP(Detached!AC$2,'Wall-U'!$A$4:$A$40,'Wall-U'!$F$4:$F$40)*Detached!AC$12)+(LOOKUP(Detached!AC$2,'Window-U'!$A$4:$A$40,'Window-U'!$S$4:$S$40)*Detached!AC$21))*AC70</f>
        <v>661.90212207124728</v>
      </c>
      <c r="AD72" s="177">
        <f>((LOOKUP(Detached!AD$2,'Ceiling-U'!$A$4:$A$40,'Ceiling-U'!$F$4:$F$40)*Detached!AD$14)+(LOOKUP(Detached!AD$2,'Floor-U'!$A$4:$A$40,'Floor-U'!$F$4:$F$40)*Detached!AD$15)+(LOOKUP(Detached!AD$2,'Wall-U'!$A$4:$A$40,'Wall-U'!$F$4:$F$40)*Detached!AD$12)+(LOOKUP(Detached!AD$2,'Window-U'!$A$4:$A$40,'Window-U'!$S$4:$S$40)*Detached!AD$21))*AD70</f>
        <v>372.12544534104632</v>
      </c>
      <c r="AE72" s="177">
        <f>((LOOKUP(Detached!AE$2,'Ceiling-U'!$A$4:$A$40,'Ceiling-U'!$F$4:$F$40)*Detached!AE$14)+(LOOKUP(Detached!AE$2,'Floor-U'!$A$4:$A$40,'Floor-U'!$F$4:$F$40)*Detached!AE$15)+(LOOKUP(Detached!AE$2,'Wall-U'!$A$4:$A$40,'Wall-U'!$F$4:$F$40)*Detached!AE$12)+(LOOKUP(Detached!AE$2,'Window-U'!$A$4:$A$40,'Window-U'!$S$4:$S$40)*Detached!AE$21))*AE70</f>
        <v>161.63014628813517</v>
      </c>
      <c r="AF72" s="177">
        <f>((LOOKUP(Detached!AF$2,'Ceiling-U'!$A$4:$A$40,'Ceiling-U'!$F$4:$F$40)*Detached!AF$14)+(LOOKUP(Detached!AF$2,'Floor-U'!$A$4:$A$40,'Floor-U'!$F$4:$F$40)*Detached!AF$15)+(LOOKUP(Detached!AF$2,'Wall-U'!$A$4:$A$40,'Wall-U'!$F$4:$F$40)*Detached!AF$12)+(LOOKUP(Detached!AF$2,'Window-U'!$A$4:$A$40,'Window-U'!$S$4:$S$40)*Detached!AF$21))*AF70</f>
        <v>381.23875507094124</v>
      </c>
      <c r="AG72" s="177">
        <f>((LOOKUP(Detached!AG$2,'Ceiling-U'!$A$4:$A$40,'Ceiling-U'!$F$4:$F$40)*Detached!AG$14)+(LOOKUP(Detached!AG$2,'Floor-U'!$A$4:$A$40,'Floor-U'!$F$4:$F$40)*Detached!AG$15)+(LOOKUP(Detached!AG$2,'Wall-U'!$A$4:$A$40,'Wall-U'!$F$4:$F$40)*Detached!AG$12)+(LOOKUP(Detached!AG$2,'Window-U'!$A$4:$A$40,'Window-U'!$S$4:$S$40)*Detached!AG$21))*AG70</f>
        <v>408.69144884366983</v>
      </c>
      <c r="AH72" s="177">
        <f>((LOOKUP(Detached!AH$2,'Ceiling-U'!$A$4:$A$40,'Ceiling-U'!$F$4:$F$40)*Detached!AH$14)+(LOOKUP(Detached!AH$2,'Floor-U'!$A$4:$A$40,'Floor-U'!$F$4:$F$40)*Detached!AH$15)+(LOOKUP(Detached!AH$2,'Wall-U'!$A$4:$A$40,'Wall-U'!$F$4:$F$40)*Detached!AH$12)+(LOOKUP(Detached!AH$2,'Window-U'!$A$4:$A$40,'Window-U'!$S$4:$S$40)*Detached!AH$21))*AH70</f>
        <v>469.5166848015125</v>
      </c>
      <c r="AI72" s="177">
        <f>((LOOKUP(Detached!AI$2,'Ceiling-U'!$A$4:$A$40,'Ceiling-U'!$F$4:$F$40)*Detached!AI$14)+(LOOKUP(Detached!AI$2,'Floor-U'!$A$4:$A$40,'Floor-U'!$F$4:$F$40)*Detached!AI$15)+(LOOKUP(Detached!AI$2,'Wall-U'!$A$4:$A$40,'Wall-U'!$F$4:$F$40)*Detached!AI$12)+(LOOKUP(Detached!AI$2,'Window-U'!$A$4:$A$40,'Window-U'!$S$4:$S$40)*Detached!AI$21))*AI70</f>
        <v>725.09721542084981</v>
      </c>
      <c r="AJ72" s="177">
        <f>((LOOKUP(Detached!AJ$2,'Ceiling-U'!$A$4:$A$40,'Ceiling-U'!$F$4:$F$40)*Detached!AJ$14)+(LOOKUP(Detached!AJ$2,'Floor-U'!$A$4:$A$40,'Floor-U'!$F$4:$F$40)*Detached!AJ$15)+(LOOKUP(Detached!AJ$2,'Wall-U'!$A$4:$A$40,'Wall-U'!$F$4:$F$40)*Detached!AJ$12)+(LOOKUP(Detached!AJ$2,'Window-U'!$A$4:$A$40,'Window-U'!$S$4:$S$40)*Detached!AJ$21))*AJ70</f>
        <v>298.444451793974</v>
      </c>
      <c r="AK72" s="177">
        <f>((LOOKUP(Detached!AK$2,'Ceiling-U'!$A$4:$A$40,'Ceiling-U'!$F$4:$F$40)*Detached!AK$14)+(LOOKUP(Detached!AK$2,'Floor-U'!$A$4:$A$40,'Floor-U'!$F$4:$F$40)*Detached!AK$15)+(LOOKUP(Detached!AK$2,'Wall-U'!$A$4:$A$40,'Wall-U'!$F$4:$F$40)*Detached!AK$12)+(LOOKUP(Detached!AK$2,'Window-U'!$A$4:$A$40,'Window-U'!$S$4:$S$40)*Detached!AK$21))*AK70</f>
        <v>364.6730729087418</v>
      </c>
      <c r="AL72" s="177">
        <f>((LOOKUP(Detached!AL$2,'Ceiling-U'!$A$4:$A$40,'Ceiling-U'!$F$4:$F$40)*Detached!AL$14)+(LOOKUP(Detached!AL$2,'Floor-U'!$A$4:$A$40,'Floor-U'!$F$4:$F$40)*Detached!AL$15)+(LOOKUP(Detached!AL$2,'Wall-U'!$A$4:$A$40,'Wall-U'!$F$4:$F$40)*Detached!AL$12)+(LOOKUP(Detached!AL$2,'Window-U'!$A$4:$A$40,'Window-U'!$S$4:$S$40)*Detached!AL$21))*AL70</f>
        <v>327.84278700521429</v>
      </c>
      <c r="AM72" s="177">
        <f>((LOOKUP(Detached!AM$2,'Ceiling-U'!$A$4:$A$40,'Ceiling-U'!$F$4:$F$40)*Detached!AM$14)+(LOOKUP(Detached!AM$2,'Floor-U'!$A$4:$A$40,'Floor-U'!$F$4:$F$40)*Detached!AM$15)+(LOOKUP(Detached!AM$2,'Wall-U'!$A$4:$A$40,'Wall-U'!$F$4:$F$40)*Detached!AM$12)+(LOOKUP(Detached!AM$2,'Window-U'!$A$4:$A$40,'Window-U'!$S$4:$S$40)*Detached!AM$21))*AM70</f>
        <v>298.444451793974</v>
      </c>
      <c r="AN72" s="178">
        <f>((LOOKUP(Detached!AN$2,'Ceiling-U'!$A$4:$A$40,'Ceiling-U'!$F$4:$F$40)*Detached!AN$14)+(LOOKUP(Detached!AN$2,'Floor-U'!$A$4:$A$40,'Floor-U'!$F$4:$F$40)*Detached!AN$15)+(LOOKUP(Detached!AN$2,'Wall-U'!$A$4:$A$40,'Wall-U'!$F$4:$F$40)*Detached!AN$12)+(LOOKUP(Detached!AN$2,'Window-U'!$A$4:$A$40,'Window-U'!$S$4:$S$40)*Detached!AN$21))*AN70</f>
        <v>298.444451793974</v>
      </c>
    </row>
    <row r="73" spans="1:40">
      <c r="A73" s="372"/>
      <c r="B73" s="142" t="s">
        <v>4</v>
      </c>
      <c r="C73" s="131" t="s">
        <v>195</v>
      </c>
      <c r="D73" s="176">
        <f>((LOOKUP(Detached!D$2,'Ceiling-U'!$A$4:$A$40,'Ceiling-U'!$G$4:$G$40)*Detached!D$14)+(LOOKUP(Detached!D$2,'Floor-U'!$A$4:$A$40,'Floor-U'!$G$4:$G$40)*Detached!D$15)+(LOOKUP(Detached!D$2,'Wall-U'!$A$4:$A$40,'Wall-U'!$G$4:$G$40)*Detached!D$12)+(LOOKUP(Detached!D$2,'Window-U'!$A$4:$A$40,'Window-U'!$S$4:$S$40)*Detached!D$21))*D70</f>
        <v>319.09310809188634</v>
      </c>
      <c r="E73" s="177">
        <f>((LOOKUP(Detached!E$2,'Ceiling-U'!$A$4:$A$40,'Ceiling-U'!$G$4:$G$40)*Detached!E$14)+(LOOKUP(Detached!E$2,'Floor-U'!$A$4:$A$40,'Floor-U'!$G$4:$G$40)*Detached!E$15)+(LOOKUP(Detached!E$2,'Wall-U'!$A$4:$A$40,'Wall-U'!$G$4:$G$40)*Detached!E$12)+(LOOKUP(Detached!E$2,'Window-U'!$A$4:$A$40,'Window-U'!$S$4:$S$40)*Detached!E$21))*E70</f>
        <v>553.59087407510015</v>
      </c>
      <c r="F73" s="177">
        <f>((LOOKUP(Detached!F$2,'Ceiling-U'!$A$4:$A$40,'Ceiling-U'!$G$4:$G$40)*Detached!F$14)+(LOOKUP(Detached!F$2,'Floor-U'!$A$4:$A$40,'Floor-U'!$G$4:$G$40)*Detached!F$15)+(LOOKUP(Detached!F$2,'Wall-U'!$A$4:$A$40,'Wall-U'!$G$4:$G$40)*Detached!F$12)+(LOOKUP(Detached!F$2,'Window-U'!$A$4:$A$40,'Window-U'!$S$4:$S$40)*Detached!F$21))*F70</f>
        <v>287.93232379618337</v>
      </c>
      <c r="G73" s="177">
        <f>((LOOKUP(Detached!G$2,'Ceiling-U'!$A$4:$A$40,'Ceiling-U'!$G$4:$G$40)*Detached!G$14)+(LOOKUP(Detached!G$2,'Floor-U'!$A$4:$A$40,'Floor-U'!$G$4:$G$40)*Detached!G$15)+(LOOKUP(Detached!G$2,'Wall-U'!$A$4:$A$40,'Wall-U'!$G$4:$G$40)*Detached!G$12)+(LOOKUP(Detached!G$2,'Window-U'!$A$4:$A$40,'Window-U'!$S$4:$S$40)*Detached!G$21))*G70</f>
        <v>319.09310809188634</v>
      </c>
      <c r="H73" s="177">
        <f>((LOOKUP(Detached!H$2,'Ceiling-U'!$A$4:$A$40,'Ceiling-U'!$G$4:$G$40)*Detached!H$14)+(LOOKUP(Detached!H$2,'Floor-U'!$A$4:$A$40,'Floor-U'!$G$4:$G$40)*Detached!H$15)+(LOOKUP(Detached!H$2,'Wall-U'!$A$4:$A$40,'Wall-U'!$G$4:$G$40)*Detached!H$12)+(LOOKUP(Detached!H$2,'Window-U'!$A$4:$A$40,'Window-U'!$S$4:$S$40)*Detached!H$21))*H70</f>
        <v>621.60031616442325</v>
      </c>
      <c r="I73" s="177">
        <f>((LOOKUP(Detached!I$2,'Ceiling-U'!$A$4:$A$40,'Ceiling-U'!$G$4:$G$40)*Detached!I$14)+(LOOKUP(Detached!I$2,'Floor-U'!$A$4:$A$40,'Floor-U'!$G$4:$G$40)*Detached!I$15)+(LOOKUP(Detached!I$2,'Wall-U'!$A$4:$A$40,'Wall-U'!$G$4:$G$40)*Detached!I$12)+(LOOKUP(Detached!I$2,'Window-U'!$A$4:$A$40,'Window-U'!$S$4:$S$40)*Detached!I$21))*I70</f>
        <v>252.02376597389093</v>
      </c>
      <c r="J73" s="177">
        <f>((LOOKUP(Detached!J$2,'Ceiling-U'!$A$4:$A$40,'Ceiling-U'!$G$4:$G$40)*Detached!J$14)+(LOOKUP(Detached!J$2,'Floor-U'!$A$4:$A$40,'Floor-U'!$G$4:$G$40)*Detached!J$15)+(LOOKUP(Detached!J$2,'Wall-U'!$A$4:$A$40,'Wall-U'!$G$4:$G$40)*Detached!J$12)+(LOOKUP(Detached!J$2,'Window-U'!$A$4:$A$40,'Window-U'!$S$4:$S$40)*Detached!J$21))*J70</f>
        <v>252.70151318628183</v>
      </c>
      <c r="K73" s="177">
        <f>((LOOKUP(Detached!K$2,'Ceiling-U'!$A$4:$A$40,'Ceiling-U'!$G$4:$G$40)*Detached!K$14)+(LOOKUP(Detached!K$2,'Floor-U'!$A$4:$A$40,'Floor-U'!$G$4:$G$40)*Detached!K$15)+(LOOKUP(Detached!K$2,'Wall-U'!$A$4:$A$40,'Wall-U'!$G$4:$G$40)*Detached!K$12)+(LOOKUP(Detached!K$2,'Window-U'!$A$4:$A$40,'Window-U'!$S$4:$S$40)*Detached!K$21))*K70</f>
        <v>162.31328740683946</v>
      </c>
      <c r="L73" s="177">
        <f>((LOOKUP(Detached!L$2,'Ceiling-U'!$A$4:$A$40,'Ceiling-U'!$G$4:$G$40)*Detached!L$14)+(LOOKUP(Detached!L$2,'Floor-U'!$A$4:$A$40,'Floor-U'!$G$4:$G$40)*Detached!L$15)+(LOOKUP(Detached!L$2,'Wall-U'!$A$4:$A$40,'Wall-U'!$G$4:$G$40)*Detached!L$12)+(LOOKUP(Detached!L$2,'Window-U'!$A$4:$A$40,'Window-U'!$S$4:$S$40)*Detached!L$21))*L70</f>
        <v>106.60431256618278</v>
      </c>
      <c r="M73" s="177">
        <f>((LOOKUP(Detached!M$2,'Ceiling-U'!$A$4:$A$40,'Ceiling-U'!$G$4:$G$40)*Detached!M$14)+(LOOKUP(Detached!M$2,'Floor-U'!$A$4:$A$40,'Floor-U'!$G$4:$G$40)*Detached!M$15)+(LOOKUP(Detached!M$2,'Wall-U'!$A$4:$A$40,'Wall-U'!$G$4:$G$40)*Detached!M$12)+(LOOKUP(Detached!M$2,'Window-U'!$A$4:$A$40,'Window-U'!$S$4:$S$40)*Detached!M$21))*M70</f>
        <v>659.50949037953797</v>
      </c>
      <c r="N73" s="177">
        <f>((LOOKUP(Detached!N$2,'Ceiling-U'!$A$4:$A$40,'Ceiling-U'!$G$4:$G$40)*Detached!N$14)+(LOOKUP(Detached!N$2,'Floor-U'!$A$4:$A$40,'Floor-U'!$G$4:$G$40)*Detached!N$15)+(LOOKUP(Detached!N$2,'Wall-U'!$A$4:$A$40,'Wall-U'!$G$4:$G$40)*Detached!N$12)+(LOOKUP(Detached!N$2,'Window-U'!$A$4:$A$40,'Window-U'!$S$4:$S$40)*Detached!N$21))*N70</f>
        <v>125.04504490165154</v>
      </c>
      <c r="O73" s="177">
        <f>((LOOKUP(Detached!O$2,'Ceiling-U'!$A$4:$A$40,'Ceiling-U'!$G$4:$G$40)*Detached!O$14)+(LOOKUP(Detached!O$2,'Floor-U'!$A$4:$A$40,'Floor-U'!$G$4:$G$40)*Detached!O$15)+(LOOKUP(Detached!O$2,'Wall-U'!$A$4:$A$40,'Wall-U'!$G$4:$G$40)*Detached!O$12)+(LOOKUP(Detached!O$2,'Window-U'!$A$4:$A$40,'Window-U'!$S$4:$S$40)*Detached!O$21))*O70</f>
        <v>296.18001771115496</v>
      </c>
      <c r="P73" s="177">
        <f>((LOOKUP(Detached!P$2,'Ceiling-U'!$A$4:$A$40,'Ceiling-U'!$G$4:$G$40)*Detached!P$14)+(LOOKUP(Detached!P$2,'Floor-U'!$A$4:$A$40,'Floor-U'!$G$4:$G$40)*Detached!P$15)+(LOOKUP(Detached!P$2,'Wall-U'!$A$4:$A$40,'Wall-U'!$G$4:$G$40)*Detached!P$12)+(LOOKUP(Detached!P$2,'Window-U'!$A$4:$A$40,'Window-U'!$S$4:$S$40)*Detached!P$21))*P70</f>
        <v>725.09721542084981</v>
      </c>
      <c r="Q73" s="177">
        <f>((LOOKUP(Detached!Q$2,'Ceiling-U'!$A$4:$A$40,'Ceiling-U'!$G$4:$G$40)*Detached!Q$14)+(LOOKUP(Detached!Q$2,'Floor-U'!$A$4:$A$40,'Floor-U'!$G$4:$G$40)*Detached!Q$15)+(LOOKUP(Detached!Q$2,'Wall-U'!$A$4:$A$40,'Wall-U'!$G$4:$G$40)*Detached!Q$12)+(LOOKUP(Detached!Q$2,'Window-U'!$A$4:$A$40,'Window-U'!$S$4:$S$40)*Detached!Q$21))*Q70</f>
        <v>276.7976693714844</v>
      </c>
      <c r="R73" s="177">
        <f>((LOOKUP(Detached!R$2,'Ceiling-U'!$A$4:$A$40,'Ceiling-U'!$G$4:$G$40)*Detached!R$14)+(LOOKUP(Detached!R$2,'Floor-U'!$A$4:$A$40,'Floor-U'!$G$4:$G$40)*Detached!R$15)+(LOOKUP(Detached!R$2,'Wall-U'!$A$4:$A$40,'Wall-U'!$G$4:$G$40)*Detached!R$12)+(LOOKUP(Detached!R$2,'Window-U'!$A$4:$A$40,'Window-U'!$S$4:$S$40)*Detached!R$21))*R70</f>
        <v>334.70393156842965</v>
      </c>
      <c r="S73" s="177">
        <f>((LOOKUP(Detached!S$2,'Ceiling-U'!$A$4:$A$40,'Ceiling-U'!$G$4:$G$40)*Detached!S$14)+(LOOKUP(Detached!S$2,'Floor-U'!$A$4:$A$40,'Floor-U'!$G$4:$G$40)*Detached!S$15)+(LOOKUP(Detached!S$2,'Wall-U'!$A$4:$A$40,'Wall-U'!$G$4:$G$40)*Detached!S$12)+(LOOKUP(Detached!S$2,'Window-U'!$A$4:$A$40,'Window-U'!$S$4:$S$40)*Detached!S$21))*S70</f>
        <v>469.9205011241674</v>
      </c>
      <c r="T73" s="177">
        <f>((LOOKUP(Detached!T$2,'Ceiling-U'!$A$4:$A$40,'Ceiling-U'!$G$4:$G$40)*Detached!T$14)+(LOOKUP(Detached!T$2,'Floor-U'!$A$4:$A$40,'Floor-U'!$G$4:$G$40)*Detached!T$15)+(LOOKUP(Detached!T$2,'Wall-U'!$A$4:$A$40,'Wall-U'!$G$4:$G$40)*Detached!T$12)+(LOOKUP(Detached!T$2,'Window-U'!$A$4:$A$40,'Window-U'!$S$4:$S$40)*Detached!T$21))*T70</f>
        <v>125.04504490165154</v>
      </c>
      <c r="U73" s="177">
        <f>((LOOKUP(Detached!U$2,'Ceiling-U'!$A$4:$A$40,'Ceiling-U'!$G$4:$G$40)*Detached!U$14)+(LOOKUP(Detached!U$2,'Floor-U'!$A$4:$A$40,'Floor-U'!$G$4:$G$40)*Detached!U$15)+(LOOKUP(Detached!U$2,'Wall-U'!$A$4:$A$40,'Wall-U'!$G$4:$G$40)*Detached!U$12)+(LOOKUP(Detached!U$2,'Window-U'!$A$4:$A$40,'Window-U'!$S$4:$S$40)*Detached!U$21))*U70</f>
        <v>534.22963210424064</v>
      </c>
      <c r="V73" s="177">
        <f>((LOOKUP(Detached!V$2,'Ceiling-U'!$A$4:$A$40,'Ceiling-U'!$G$4:$G$40)*Detached!V$14)+(LOOKUP(Detached!V$2,'Floor-U'!$A$4:$A$40,'Floor-U'!$G$4:$G$40)*Detached!V$15)+(LOOKUP(Detached!V$2,'Wall-U'!$A$4:$A$40,'Wall-U'!$G$4:$G$40)*Detached!V$12)+(LOOKUP(Detached!V$2,'Window-U'!$A$4:$A$40,'Window-U'!$S$4:$S$40)*Detached!V$21))*V70</f>
        <v>170.55503322188488</v>
      </c>
      <c r="W73" s="177">
        <f>((LOOKUP(Detached!W$2,'Ceiling-U'!$A$4:$A$40,'Ceiling-U'!$G$4:$G$40)*Detached!W$14)+(LOOKUP(Detached!W$2,'Floor-U'!$A$4:$A$40,'Floor-U'!$G$4:$G$40)*Detached!W$15)+(LOOKUP(Detached!W$2,'Wall-U'!$A$4:$A$40,'Wall-U'!$G$4:$G$40)*Detached!W$12)+(LOOKUP(Detached!W$2,'Window-U'!$A$4:$A$40,'Window-U'!$S$4:$S$40)*Detached!W$21))*W70</f>
        <v>179.01128906274784</v>
      </c>
      <c r="X73" s="177">
        <f>((LOOKUP(Detached!X$2,'Ceiling-U'!$A$4:$A$40,'Ceiling-U'!$G$4:$G$40)*Detached!X$14)+(LOOKUP(Detached!X$2,'Floor-U'!$A$4:$A$40,'Floor-U'!$G$4:$G$40)*Detached!X$15)+(LOOKUP(Detached!X$2,'Wall-U'!$A$4:$A$40,'Wall-U'!$G$4:$G$40)*Detached!X$12)+(LOOKUP(Detached!X$2,'Window-U'!$A$4:$A$40,'Window-U'!$S$4:$S$40)*Detached!X$21))*X70</f>
        <v>279.51288055616044</v>
      </c>
      <c r="Y73" s="177">
        <f>((LOOKUP(Detached!Y$2,'Ceiling-U'!$A$4:$A$40,'Ceiling-U'!$G$4:$G$40)*Detached!Y$14)+(LOOKUP(Detached!Y$2,'Floor-U'!$A$4:$A$40,'Floor-U'!$G$4:$G$40)*Detached!Y$15)+(LOOKUP(Detached!Y$2,'Wall-U'!$A$4:$A$40,'Wall-U'!$G$4:$G$40)*Detached!Y$12)+(LOOKUP(Detached!Y$2,'Window-U'!$A$4:$A$40,'Window-U'!$S$4:$S$40)*Detached!Y$21))*Y70</f>
        <v>623.08218885194754</v>
      </c>
      <c r="Z73" s="177">
        <f>((LOOKUP(Detached!Z$2,'Ceiling-U'!$A$4:$A$40,'Ceiling-U'!$G$4:$G$40)*Detached!Z$14)+(LOOKUP(Detached!Z$2,'Floor-U'!$A$4:$A$40,'Floor-U'!$G$4:$G$40)*Detached!Z$15)+(LOOKUP(Detached!Z$2,'Wall-U'!$A$4:$A$40,'Wall-U'!$G$4:$G$40)*Detached!Z$12)+(LOOKUP(Detached!Z$2,'Window-U'!$A$4:$A$40,'Window-U'!$S$4:$S$40)*Detached!Z$21))*Z70</f>
        <v>450.39751834839944</v>
      </c>
      <c r="AA73" s="177">
        <f>((LOOKUP(Detached!AA$2,'Ceiling-U'!$A$4:$A$40,'Ceiling-U'!$G$4:$G$40)*Detached!AA$14)+(LOOKUP(Detached!AA$2,'Floor-U'!$A$4:$A$40,'Floor-U'!$G$4:$G$40)*Detached!AA$15)+(LOOKUP(Detached!AA$2,'Wall-U'!$A$4:$A$40,'Wall-U'!$G$4:$G$40)*Detached!AA$12)+(LOOKUP(Detached!AA$2,'Window-U'!$A$4:$A$40,'Window-U'!$S$4:$S$40)*Detached!AA$21))*AA70</f>
        <v>95.248049499028738</v>
      </c>
      <c r="AB73" s="177">
        <f>((LOOKUP(Detached!AB$2,'Ceiling-U'!$A$4:$A$40,'Ceiling-U'!$G$4:$G$40)*Detached!AB$14)+(LOOKUP(Detached!AB$2,'Floor-U'!$A$4:$A$40,'Floor-U'!$G$4:$G$40)*Detached!AB$15)+(LOOKUP(Detached!AB$2,'Wall-U'!$A$4:$A$40,'Wall-U'!$G$4:$G$40)*Detached!AB$12)+(LOOKUP(Detached!AB$2,'Window-U'!$A$4:$A$40,'Window-U'!$S$4:$S$40)*Detached!AB$21))*AB70</f>
        <v>225.43583619823531</v>
      </c>
      <c r="AC73" s="177">
        <f>((LOOKUP(Detached!AC$2,'Ceiling-U'!$A$4:$A$40,'Ceiling-U'!$G$4:$G$40)*Detached!AC$14)+(LOOKUP(Detached!AC$2,'Floor-U'!$A$4:$A$40,'Floor-U'!$G$4:$G$40)*Detached!AC$15)+(LOOKUP(Detached!AC$2,'Wall-U'!$A$4:$A$40,'Wall-U'!$G$4:$G$40)*Detached!AC$12)+(LOOKUP(Detached!AC$2,'Window-U'!$A$4:$A$40,'Window-U'!$S$4:$S$40)*Detached!AC$21))*AC70</f>
        <v>646.67004480874721</v>
      </c>
      <c r="AD73" s="177">
        <f>((LOOKUP(Detached!AD$2,'Ceiling-U'!$A$4:$A$40,'Ceiling-U'!$G$4:$G$40)*Detached!AD$14)+(LOOKUP(Detached!AD$2,'Floor-U'!$A$4:$A$40,'Floor-U'!$G$4:$G$40)*Detached!AD$15)+(LOOKUP(Detached!AD$2,'Wall-U'!$A$4:$A$40,'Wall-U'!$G$4:$G$40)*Detached!AD$12)+(LOOKUP(Detached!AD$2,'Window-U'!$A$4:$A$40,'Window-U'!$S$4:$S$40)*Detached!AD$21))*AD70</f>
        <v>372.12544534104632</v>
      </c>
      <c r="AE73" s="177">
        <f>((LOOKUP(Detached!AE$2,'Ceiling-U'!$A$4:$A$40,'Ceiling-U'!$G$4:$G$40)*Detached!AE$14)+(LOOKUP(Detached!AE$2,'Floor-U'!$A$4:$A$40,'Floor-U'!$G$4:$G$40)*Detached!AE$15)+(LOOKUP(Detached!AE$2,'Wall-U'!$A$4:$A$40,'Wall-U'!$G$4:$G$40)*Detached!AE$12)+(LOOKUP(Detached!AE$2,'Window-U'!$A$4:$A$40,'Window-U'!$S$4:$S$40)*Detached!AE$21))*AE70</f>
        <v>95.248049499028738</v>
      </c>
      <c r="AF73" s="177">
        <f>((LOOKUP(Detached!AF$2,'Ceiling-U'!$A$4:$A$40,'Ceiling-U'!$G$4:$G$40)*Detached!AF$14)+(LOOKUP(Detached!AF$2,'Floor-U'!$A$4:$A$40,'Floor-U'!$G$4:$G$40)*Detached!AF$15)+(LOOKUP(Detached!AF$2,'Wall-U'!$A$4:$A$40,'Wall-U'!$G$4:$G$40)*Detached!AF$12)+(LOOKUP(Detached!AF$2,'Window-U'!$A$4:$A$40,'Window-U'!$S$4:$S$40)*Detached!AF$21))*AF70</f>
        <v>349.90194607094122</v>
      </c>
      <c r="AG73" s="177">
        <f>((LOOKUP(Detached!AG$2,'Ceiling-U'!$A$4:$A$40,'Ceiling-U'!$G$4:$G$40)*Detached!AG$14)+(LOOKUP(Detached!AG$2,'Floor-U'!$A$4:$A$40,'Floor-U'!$G$4:$G$40)*Detached!AG$15)+(LOOKUP(Detached!AG$2,'Wall-U'!$A$4:$A$40,'Wall-U'!$G$4:$G$40)*Detached!AG$12)+(LOOKUP(Detached!AG$2,'Window-U'!$A$4:$A$40,'Window-U'!$S$4:$S$40)*Detached!AG$21))*AG70</f>
        <v>408.69144884366983</v>
      </c>
      <c r="AH73" s="177">
        <f>((LOOKUP(Detached!AH$2,'Ceiling-U'!$A$4:$A$40,'Ceiling-U'!$G$4:$G$40)*Detached!AH$14)+(LOOKUP(Detached!AH$2,'Floor-U'!$A$4:$A$40,'Floor-U'!$G$4:$G$40)*Detached!AH$15)+(LOOKUP(Detached!AH$2,'Wall-U'!$A$4:$A$40,'Wall-U'!$G$4:$G$40)*Detached!AH$12)+(LOOKUP(Detached!AH$2,'Window-U'!$A$4:$A$40,'Window-U'!$S$4:$S$40)*Detached!AH$21))*AH70</f>
        <v>347.24780929536678</v>
      </c>
      <c r="AI73" s="177">
        <f>((LOOKUP(Detached!AI$2,'Ceiling-U'!$A$4:$A$40,'Ceiling-U'!$G$4:$G$40)*Detached!AI$14)+(LOOKUP(Detached!AI$2,'Floor-U'!$A$4:$A$40,'Floor-U'!$G$4:$G$40)*Detached!AI$15)+(LOOKUP(Detached!AI$2,'Wall-U'!$A$4:$A$40,'Wall-U'!$G$4:$G$40)*Detached!AI$12)+(LOOKUP(Detached!AI$2,'Window-U'!$A$4:$A$40,'Window-U'!$S$4:$S$40)*Detached!AI$21))*AI70</f>
        <v>725.09721542084981</v>
      </c>
      <c r="AJ73" s="177">
        <f>((LOOKUP(Detached!AJ$2,'Ceiling-U'!$A$4:$A$40,'Ceiling-U'!$G$4:$G$40)*Detached!AJ$14)+(LOOKUP(Detached!AJ$2,'Floor-U'!$A$4:$A$40,'Floor-U'!$G$4:$G$40)*Detached!AJ$15)+(LOOKUP(Detached!AJ$2,'Wall-U'!$A$4:$A$40,'Wall-U'!$G$4:$G$40)*Detached!AJ$12)+(LOOKUP(Detached!AJ$2,'Window-U'!$A$4:$A$40,'Window-U'!$S$4:$S$40)*Detached!AJ$21))*AJ70</f>
        <v>298.444451793974</v>
      </c>
      <c r="AK73" s="177">
        <f>((LOOKUP(Detached!AK$2,'Ceiling-U'!$A$4:$A$40,'Ceiling-U'!$G$4:$G$40)*Detached!AK$14)+(LOOKUP(Detached!AK$2,'Floor-U'!$A$4:$A$40,'Floor-U'!$G$4:$G$40)*Detached!AK$15)+(LOOKUP(Detached!AK$2,'Wall-U'!$A$4:$A$40,'Wall-U'!$G$4:$G$40)*Detached!AK$12)+(LOOKUP(Detached!AK$2,'Window-U'!$A$4:$A$40,'Window-U'!$S$4:$S$40)*Detached!AK$21))*AK70</f>
        <v>364.6730729087418</v>
      </c>
      <c r="AL73" s="177">
        <f>((LOOKUP(Detached!AL$2,'Ceiling-U'!$A$4:$A$40,'Ceiling-U'!$G$4:$G$40)*Detached!AL$14)+(LOOKUP(Detached!AL$2,'Floor-U'!$A$4:$A$40,'Floor-U'!$G$4:$G$40)*Detached!AL$15)+(LOOKUP(Detached!AL$2,'Wall-U'!$A$4:$A$40,'Wall-U'!$G$4:$G$40)*Detached!AL$12)+(LOOKUP(Detached!AL$2,'Window-U'!$A$4:$A$40,'Window-U'!$S$4:$S$40)*Detached!AL$21))*AL70</f>
        <v>303.98905701053411</v>
      </c>
      <c r="AM73" s="177">
        <f>((LOOKUP(Detached!AM$2,'Ceiling-U'!$A$4:$A$40,'Ceiling-U'!$G$4:$G$40)*Detached!AM$14)+(LOOKUP(Detached!AM$2,'Floor-U'!$A$4:$A$40,'Floor-U'!$G$4:$G$40)*Detached!AM$15)+(LOOKUP(Detached!AM$2,'Wall-U'!$A$4:$A$40,'Wall-U'!$G$4:$G$40)*Detached!AM$12)+(LOOKUP(Detached!AM$2,'Window-U'!$A$4:$A$40,'Window-U'!$S$4:$S$40)*Detached!AM$21))*AM70</f>
        <v>298.444451793974</v>
      </c>
      <c r="AN73" s="178">
        <f>((LOOKUP(Detached!AN$2,'Ceiling-U'!$A$4:$A$40,'Ceiling-U'!$G$4:$G$40)*Detached!AN$14)+(LOOKUP(Detached!AN$2,'Floor-U'!$A$4:$A$40,'Floor-U'!$G$4:$G$40)*Detached!AN$15)+(LOOKUP(Detached!AN$2,'Wall-U'!$A$4:$A$40,'Wall-U'!$G$4:$G$40)*Detached!AN$12)+(LOOKUP(Detached!AN$2,'Window-U'!$A$4:$A$40,'Window-U'!$S$4:$S$40)*Detached!AN$21))*AN70</f>
        <v>298.444451793974</v>
      </c>
    </row>
    <row r="74" spans="1:40">
      <c r="A74" s="372"/>
      <c r="B74" s="142" t="s">
        <v>5</v>
      </c>
      <c r="C74" s="131" t="s">
        <v>195</v>
      </c>
      <c r="D74" s="176">
        <f>((LOOKUP(Detached!D$2,'Ceiling-U'!$A$4:$A$40,'Ceiling-U'!$H$4:$H$40)*Detached!D$14)+(LOOKUP(Detached!D$2,'Floor-U'!$A$4:$A$40,'Floor-U'!$H$4:$H$40)*Detached!D$15)+(LOOKUP(Detached!D$2,'Wall-U'!$A$4:$A$40,'Wall-U'!$H$4:$H$40)*Detached!D$12)+(LOOKUP(Detached!D$2,'Window-U'!$A$4:$A$40,'Window-U'!$S$4:$S$40)*Detached!D$21))*D70</f>
        <v>205.78171186128861</v>
      </c>
      <c r="E74" s="177">
        <f>((LOOKUP(Detached!E$2,'Ceiling-U'!$A$4:$A$40,'Ceiling-U'!$H$4:$H$40)*Detached!E$14)+(LOOKUP(Detached!E$2,'Floor-U'!$A$4:$A$40,'Floor-U'!$H$4:$H$40)*Detached!E$15)+(LOOKUP(Detached!E$2,'Wall-U'!$A$4:$A$40,'Wall-U'!$H$4:$H$40)*Detached!E$12)+(LOOKUP(Detached!E$2,'Window-U'!$A$4:$A$40,'Window-U'!$S$4:$S$40)*Detached!E$21))*E70</f>
        <v>452.61466279502611</v>
      </c>
      <c r="F74" s="177">
        <f>((LOOKUP(Detached!F$2,'Ceiling-U'!$A$4:$A$40,'Ceiling-U'!$H$4:$H$40)*Detached!F$14)+(LOOKUP(Detached!F$2,'Floor-U'!$A$4:$A$40,'Floor-U'!$H$4:$H$40)*Detached!F$15)+(LOOKUP(Detached!F$2,'Wall-U'!$A$4:$A$40,'Wall-U'!$H$4:$H$40)*Detached!F$12)+(LOOKUP(Detached!F$2,'Window-U'!$A$4:$A$40,'Window-U'!$S$4:$S$40)*Detached!F$21))*F70</f>
        <v>236.88616078894802</v>
      </c>
      <c r="G74" s="177">
        <f>((LOOKUP(Detached!G$2,'Ceiling-U'!$A$4:$A$40,'Ceiling-U'!$H$4:$H$40)*Detached!G$14)+(LOOKUP(Detached!G$2,'Floor-U'!$A$4:$A$40,'Floor-U'!$H$4:$H$40)*Detached!G$15)+(LOOKUP(Detached!G$2,'Wall-U'!$A$4:$A$40,'Wall-U'!$H$4:$H$40)*Detached!G$12)+(LOOKUP(Detached!G$2,'Window-U'!$A$4:$A$40,'Window-U'!$S$4:$S$40)*Detached!G$21))*G70</f>
        <v>205.78171186128861</v>
      </c>
      <c r="H74" s="177">
        <f>((LOOKUP(Detached!H$2,'Ceiling-U'!$A$4:$A$40,'Ceiling-U'!$H$4:$H$40)*Detached!H$14)+(LOOKUP(Detached!H$2,'Floor-U'!$A$4:$A$40,'Floor-U'!$H$4:$H$40)*Detached!H$15)+(LOOKUP(Detached!H$2,'Wall-U'!$A$4:$A$40,'Wall-U'!$H$4:$H$40)*Detached!H$12)+(LOOKUP(Detached!H$2,'Window-U'!$A$4:$A$40,'Window-U'!$S$4:$S$40)*Detached!H$21))*H70</f>
        <v>597.58071671442326</v>
      </c>
      <c r="I74" s="177">
        <f>((LOOKUP(Detached!I$2,'Ceiling-U'!$A$4:$A$40,'Ceiling-U'!$H$4:$H$40)*Detached!I$14)+(LOOKUP(Detached!I$2,'Floor-U'!$A$4:$A$40,'Floor-U'!$H$4:$H$40)*Detached!I$15)+(LOOKUP(Detached!I$2,'Wall-U'!$A$4:$A$40,'Wall-U'!$H$4:$H$40)*Detached!I$12)+(LOOKUP(Detached!I$2,'Window-U'!$A$4:$A$40,'Window-U'!$S$4:$S$40)*Detached!I$21))*I70</f>
        <v>216.40542779590453</v>
      </c>
      <c r="J74" s="177">
        <f>((LOOKUP(Detached!J$2,'Ceiling-U'!$A$4:$A$40,'Ceiling-U'!$H$4:$H$40)*Detached!J$14)+(LOOKUP(Detached!J$2,'Floor-U'!$A$4:$A$40,'Floor-U'!$H$4:$H$40)*Detached!J$15)+(LOOKUP(Detached!J$2,'Wall-U'!$A$4:$A$40,'Wall-U'!$H$4:$H$40)*Detached!J$12)+(LOOKUP(Detached!J$2,'Window-U'!$A$4:$A$40,'Window-U'!$S$4:$S$40)*Detached!J$21))*J70</f>
        <v>189.3472483635588</v>
      </c>
      <c r="K74" s="177">
        <f>((LOOKUP(Detached!K$2,'Ceiling-U'!$A$4:$A$40,'Ceiling-U'!$H$4:$H$40)*Detached!K$14)+(LOOKUP(Detached!K$2,'Floor-U'!$A$4:$A$40,'Floor-U'!$H$4:$H$40)*Detached!K$15)+(LOOKUP(Detached!K$2,'Wall-U'!$A$4:$A$40,'Wall-U'!$H$4:$H$40)*Detached!K$12)+(LOOKUP(Detached!K$2,'Window-U'!$A$4:$A$40,'Window-U'!$S$4:$S$40)*Detached!K$21))*K70</f>
        <v>127.02461600488533</v>
      </c>
      <c r="L74" s="177">
        <f>((LOOKUP(Detached!L$2,'Ceiling-U'!$A$4:$A$40,'Ceiling-U'!$H$4:$H$40)*Detached!L$14)+(LOOKUP(Detached!L$2,'Floor-U'!$A$4:$A$40,'Floor-U'!$H$4:$H$40)*Detached!L$15)+(LOOKUP(Detached!L$2,'Wall-U'!$A$4:$A$40,'Wall-U'!$H$4:$H$40)*Detached!L$12)+(LOOKUP(Detached!L$2,'Window-U'!$A$4:$A$40,'Window-U'!$S$4:$S$40)*Detached!L$21))*L70</f>
        <v>83.958441451595789</v>
      </c>
      <c r="M74" s="177">
        <f>((LOOKUP(Detached!M$2,'Ceiling-U'!$A$4:$A$40,'Ceiling-U'!$H$4:$H$40)*Detached!M$14)+(LOOKUP(Detached!M$2,'Floor-U'!$A$4:$A$40,'Floor-U'!$H$4:$H$40)*Detached!M$15)+(LOOKUP(Detached!M$2,'Wall-U'!$A$4:$A$40,'Wall-U'!$H$4:$H$40)*Detached!M$12)+(LOOKUP(Detached!M$2,'Window-U'!$A$4:$A$40,'Window-U'!$S$4:$S$40)*Detached!M$21))*M70</f>
        <v>422.37540670029858</v>
      </c>
      <c r="N74" s="177">
        <f>((LOOKUP(Detached!N$2,'Ceiling-U'!$A$4:$A$40,'Ceiling-U'!$H$4:$H$40)*Detached!N$14)+(LOOKUP(Detached!N$2,'Floor-U'!$A$4:$A$40,'Floor-U'!$H$4:$H$40)*Detached!N$15)+(LOOKUP(Detached!N$2,'Wall-U'!$A$4:$A$40,'Wall-U'!$H$4:$H$40)*Detached!N$12)+(LOOKUP(Detached!N$2,'Window-U'!$A$4:$A$40,'Window-U'!$S$4:$S$40)*Detached!N$21))*N70</f>
        <v>99.536866088199218</v>
      </c>
      <c r="O74" s="177">
        <f>((LOOKUP(Detached!O$2,'Ceiling-U'!$A$4:$A$40,'Ceiling-U'!$H$4:$H$40)*Detached!O$14)+(LOOKUP(Detached!O$2,'Floor-U'!$A$4:$A$40,'Floor-U'!$H$4:$H$40)*Detached!O$15)+(LOOKUP(Detached!O$2,'Wall-U'!$A$4:$A$40,'Wall-U'!$H$4:$H$40)*Detached!O$12)+(LOOKUP(Detached!O$2,'Window-U'!$A$4:$A$40,'Window-U'!$S$4:$S$40)*Detached!O$21))*O70</f>
        <v>246.33999911768711</v>
      </c>
      <c r="P74" s="177">
        <f>((LOOKUP(Detached!P$2,'Ceiling-U'!$A$4:$A$40,'Ceiling-U'!$H$4:$H$40)*Detached!P$14)+(LOOKUP(Detached!P$2,'Floor-U'!$A$4:$A$40,'Floor-U'!$H$4:$H$40)*Detached!P$15)+(LOOKUP(Detached!P$2,'Wall-U'!$A$4:$A$40,'Wall-U'!$H$4:$H$40)*Detached!P$12)+(LOOKUP(Detached!P$2,'Window-U'!$A$4:$A$40,'Window-U'!$S$4:$S$40)*Detached!P$21))*P70</f>
        <v>701.07761597084971</v>
      </c>
      <c r="Q74" s="177">
        <f>((LOOKUP(Detached!Q$2,'Ceiling-U'!$A$4:$A$40,'Ceiling-U'!$H$4:$H$40)*Detached!Q$14)+(LOOKUP(Detached!Q$2,'Floor-U'!$A$4:$A$40,'Floor-U'!$H$4:$H$40)*Detached!Q$15)+(LOOKUP(Detached!Q$2,'Wall-U'!$A$4:$A$40,'Wall-U'!$H$4:$H$40)*Detached!Q$12)+(LOOKUP(Detached!Q$2,'Window-U'!$A$4:$A$40,'Window-U'!$S$4:$S$40)*Detached!Q$21))*Q70</f>
        <v>276.7976693714844</v>
      </c>
      <c r="R74" s="177">
        <f>((LOOKUP(Detached!R$2,'Ceiling-U'!$A$4:$A$40,'Ceiling-U'!$H$4:$H$40)*Detached!R$14)+(LOOKUP(Detached!R$2,'Floor-U'!$A$4:$A$40,'Floor-U'!$H$4:$H$40)*Detached!R$15)+(LOOKUP(Detached!R$2,'Wall-U'!$A$4:$A$40,'Wall-U'!$H$4:$H$40)*Detached!R$12)+(LOOKUP(Detached!R$2,'Window-U'!$A$4:$A$40,'Window-U'!$S$4:$S$40)*Detached!R$21))*R70</f>
        <v>227.5783657680721</v>
      </c>
      <c r="S74" s="177">
        <f>((LOOKUP(Detached!S$2,'Ceiling-U'!$A$4:$A$40,'Ceiling-U'!$H$4:$H$40)*Detached!S$14)+(LOOKUP(Detached!S$2,'Floor-U'!$A$4:$A$40,'Floor-U'!$H$4:$H$40)*Detached!S$15)+(LOOKUP(Detached!S$2,'Wall-U'!$A$4:$A$40,'Wall-U'!$H$4:$H$40)*Detached!S$12)+(LOOKUP(Detached!S$2,'Window-U'!$A$4:$A$40,'Window-U'!$S$4:$S$40)*Detached!S$21))*S70</f>
        <v>282.44539601914505</v>
      </c>
      <c r="T74" s="177">
        <f>((LOOKUP(Detached!T$2,'Ceiling-U'!$A$4:$A$40,'Ceiling-U'!$H$4:$H$40)*Detached!T$14)+(LOOKUP(Detached!T$2,'Floor-U'!$A$4:$A$40,'Floor-U'!$H$4:$H$40)*Detached!T$15)+(LOOKUP(Detached!T$2,'Wall-U'!$A$4:$A$40,'Wall-U'!$H$4:$H$40)*Detached!T$12)+(LOOKUP(Detached!T$2,'Window-U'!$A$4:$A$40,'Window-U'!$S$4:$S$40)*Detached!T$21))*T70</f>
        <v>99.536866088199218</v>
      </c>
      <c r="U74" s="177">
        <f>((LOOKUP(Detached!U$2,'Ceiling-U'!$A$4:$A$40,'Ceiling-U'!$H$4:$H$40)*Detached!U$14)+(LOOKUP(Detached!U$2,'Floor-U'!$A$4:$A$40,'Floor-U'!$H$4:$H$40)*Detached!U$15)+(LOOKUP(Detached!U$2,'Wall-U'!$A$4:$A$40,'Wall-U'!$H$4:$H$40)*Detached!U$12)+(LOOKUP(Detached!U$2,'Window-U'!$A$4:$A$40,'Window-U'!$S$4:$S$40)*Detached!U$21))*U70</f>
        <v>404.1978169401504</v>
      </c>
      <c r="V74" s="177">
        <f>((LOOKUP(Detached!V$2,'Ceiling-U'!$A$4:$A$40,'Ceiling-U'!$H$4:$H$40)*Detached!V$14)+(LOOKUP(Detached!V$2,'Floor-U'!$A$4:$A$40,'Floor-U'!$H$4:$H$40)*Detached!V$15)+(LOOKUP(Detached!V$2,'Wall-U'!$A$4:$A$40,'Wall-U'!$H$4:$H$40)*Detached!V$12)+(LOOKUP(Detached!V$2,'Window-U'!$A$4:$A$40,'Window-U'!$S$4:$S$40)*Detached!V$21))*V70</f>
        <v>170.55503322188488</v>
      </c>
      <c r="W74" s="177">
        <f>((LOOKUP(Detached!W$2,'Ceiling-U'!$A$4:$A$40,'Ceiling-U'!$H$4:$H$40)*Detached!W$14)+(LOOKUP(Detached!W$2,'Floor-U'!$A$4:$A$40,'Floor-U'!$H$4:$H$40)*Detached!W$15)+(LOOKUP(Detached!W$2,'Wall-U'!$A$4:$A$40,'Wall-U'!$H$4:$H$40)*Detached!W$12)+(LOOKUP(Detached!W$2,'Window-U'!$A$4:$A$40,'Window-U'!$S$4:$S$40)*Detached!W$21))*W70</f>
        <v>157.76455948841377</v>
      </c>
      <c r="X74" s="177">
        <f>((LOOKUP(Detached!X$2,'Ceiling-U'!$A$4:$A$40,'Ceiling-U'!$H$4:$H$40)*Detached!X$14)+(LOOKUP(Detached!X$2,'Floor-U'!$A$4:$A$40,'Floor-U'!$H$4:$H$40)*Detached!X$15)+(LOOKUP(Detached!X$2,'Wall-U'!$A$4:$A$40,'Wall-U'!$H$4:$H$40)*Detached!X$12)+(LOOKUP(Detached!X$2,'Window-U'!$A$4:$A$40,'Window-U'!$S$4:$S$40)*Detached!X$21))*X70</f>
        <v>147.85160030897802</v>
      </c>
      <c r="Y74" s="177">
        <f>((LOOKUP(Detached!Y$2,'Ceiling-U'!$A$4:$A$40,'Ceiling-U'!$H$4:$H$40)*Detached!Y$14)+(LOOKUP(Detached!Y$2,'Floor-U'!$A$4:$A$40,'Floor-U'!$H$4:$H$40)*Detached!Y$15)+(LOOKUP(Detached!Y$2,'Wall-U'!$A$4:$A$40,'Wall-U'!$H$4:$H$40)*Detached!Y$12)+(LOOKUP(Detached!Y$2,'Window-U'!$A$4:$A$40,'Window-U'!$S$4:$S$40)*Detached!Y$21))*Y70</f>
        <v>558.20925791444756</v>
      </c>
      <c r="Z74" s="177">
        <f>((LOOKUP(Detached!Z$2,'Ceiling-U'!$A$4:$A$40,'Ceiling-U'!$H$4:$H$40)*Detached!Z$14)+(LOOKUP(Detached!Z$2,'Floor-U'!$A$4:$A$40,'Floor-U'!$H$4:$H$40)*Detached!Z$15)+(LOOKUP(Detached!Z$2,'Wall-U'!$A$4:$A$40,'Wall-U'!$H$4:$H$40)*Detached!Z$12)+(LOOKUP(Detached!Z$2,'Window-U'!$A$4:$A$40,'Window-U'!$S$4:$S$40)*Detached!Z$21))*Z70</f>
        <v>243.02807286502053</v>
      </c>
      <c r="AA74" s="177">
        <f>((LOOKUP(Detached!AA$2,'Ceiling-U'!$A$4:$A$40,'Ceiling-U'!$H$4:$H$40)*Detached!AA$14)+(LOOKUP(Detached!AA$2,'Floor-U'!$A$4:$A$40,'Floor-U'!$H$4:$H$40)*Detached!AA$15)+(LOOKUP(Detached!AA$2,'Wall-U'!$A$4:$A$40,'Wall-U'!$H$4:$H$40)*Detached!AA$12)+(LOOKUP(Detached!AA$2,'Window-U'!$A$4:$A$40,'Window-U'!$S$4:$S$40)*Detached!AA$21))*AA70</f>
        <v>95.248049499028738</v>
      </c>
      <c r="AB74" s="177">
        <f>((LOOKUP(Detached!AB$2,'Ceiling-U'!$A$4:$A$40,'Ceiling-U'!$H$4:$H$40)*Detached!AB$14)+(LOOKUP(Detached!AB$2,'Floor-U'!$A$4:$A$40,'Floor-U'!$H$4:$H$40)*Detached!AB$15)+(LOOKUP(Detached!AB$2,'Wall-U'!$A$4:$A$40,'Wall-U'!$H$4:$H$40)*Detached!AB$12)+(LOOKUP(Detached!AB$2,'Window-U'!$A$4:$A$40,'Window-U'!$S$4:$S$40)*Detached!AB$21))*AB70</f>
        <v>225.43583619823531</v>
      </c>
      <c r="AC74" s="177">
        <f>((LOOKUP(Detached!AC$2,'Ceiling-U'!$A$4:$A$40,'Ceiling-U'!$H$4:$H$40)*Detached!AC$14)+(LOOKUP(Detached!AC$2,'Floor-U'!$A$4:$A$40,'Floor-U'!$H$4:$H$40)*Detached!AC$15)+(LOOKUP(Detached!AC$2,'Wall-U'!$A$4:$A$40,'Wall-U'!$H$4:$H$40)*Detached!AC$12)+(LOOKUP(Detached!AC$2,'Window-U'!$A$4:$A$40,'Window-U'!$S$4:$S$40)*Detached!AC$21))*AC70</f>
        <v>621.61399347691406</v>
      </c>
      <c r="AD74" s="177">
        <f>((LOOKUP(Detached!AD$2,'Ceiling-U'!$A$4:$A$40,'Ceiling-U'!$H$4:$H$40)*Detached!AD$14)+(LOOKUP(Detached!AD$2,'Floor-U'!$A$4:$A$40,'Floor-U'!$H$4:$H$40)*Detached!AD$15)+(LOOKUP(Detached!AD$2,'Wall-U'!$A$4:$A$40,'Wall-U'!$H$4:$H$40)*Detached!AD$12)+(LOOKUP(Detached!AD$2,'Window-U'!$A$4:$A$40,'Window-U'!$S$4:$S$40)*Detached!AD$21))*AD70</f>
        <v>305.13870302807953</v>
      </c>
      <c r="AE74" s="177">
        <f>((LOOKUP(Detached!AE$2,'Ceiling-U'!$A$4:$A$40,'Ceiling-U'!$H$4:$H$40)*Detached!AE$14)+(LOOKUP(Detached!AE$2,'Floor-U'!$A$4:$A$40,'Floor-U'!$H$4:$H$40)*Detached!AE$15)+(LOOKUP(Detached!AE$2,'Wall-U'!$A$4:$A$40,'Wall-U'!$H$4:$H$40)*Detached!AE$12)+(LOOKUP(Detached!AE$2,'Window-U'!$A$4:$A$40,'Window-U'!$S$4:$S$40)*Detached!AE$21))*AE70</f>
        <v>95.248049499028738</v>
      </c>
      <c r="AF74" s="177">
        <f>((LOOKUP(Detached!AF$2,'Ceiling-U'!$A$4:$A$40,'Ceiling-U'!$H$4:$H$40)*Detached!AF$14)+(LOOKUP(Detached!AF$2,'Floor-U'!$A$4:$A$40,'Floor-U'!$H$4:$H$40)*Detached!AF$15)+(LOOKUP(Detached!AF$2,'Wall-U'!$A$4:$A$40,'Wall-U'!$H$4:$H$40)*Detached!AF$12)+(LOOKUP(Detached!AF$2,'Window-U'!$A$4:$A$40,'Window-U'!$S$4:$S$40)*Detached!AF$21))*AF70</f>
        <v>259.65671044560509</v>
      </c>
      <c r="AG74" s="177">
        <f>((LOOKUP(Detached!AG$2,'Ceiling-U'!$A$4:$A$40,'Ceiling-U'!$H$4:$H$40)*Detached!AG$14)+(LOOKUP(Detached!AG$2,'Floor-U'!$A$4:$A$40,'Floor-U'!$H$4:$H$40)*Detached!AG$15)+(LOOKUP(Detached!AG$2,'Wall-U'!$A$4:$A$40,'Wall-U'!$H$4:$H$40)*Detached!AG$12)+(LOOKUP(Detached!AG$2,'Window-U'!$A$4:$A$40,'Window-U'!$S$4:$S$40)*Detached!AG$21))*AG70</f>
        <v>345.92961199472484</v>
      </c>
      <c r="AH74" s="177">
        <f>((LOOKUP(Detached!AH$2,'Ceiling-U'!$A$4:$A$40,'Ceiling-U'!$H$4:$H$40)*Detached!AH$14)+(LOOKUP(Detached!AH$2,'Floor-U'!$A$4:$A$40,'Floor-U'!$H$4:$H$40)*Detached!AH$15)+(LOOKUP(Detached!AH$2,'Wall-U'!$A$4:$A$40,'Wall-U'!$H$4:$H$40)*Detached!AH$12)+(LOOKUP(Detached!AH$2,'Window-U'!$A$4:$A$40,'Window-U'!$S$4:$S$40)*Detached!AH$21))*AH70</f>
        <v>165.59781952755577</v>
      </c>
      <c r="AI74" s="177">
        <f>((LOOKUP(Detached!AI$2,'Ceiling-U'!$A$4:$A$40,'Ceiling-U'!$H$4:$H$40)*Detached!AI$14)+(LOOKUP(Detached!AI$2,'Floor-U'!$A$4:$A$40,'Floor-U'!$H$4:$H$40)*Detached!AI$15)+(LOOKUP(Detached!AI$2,'Wall-U'!$A$4:$A$40,'Wall-U'!$H$4:$H$40)*Detached!AI$12)+(LOOKUP(Detached!AI$2,'Window-U'!$A$4:$A$40,'Window-U'!$S$4:$S$40)*Detached!AI$21))*AI70</f>
        <v>701.07761597084971</v>
      </c>
      <c r="AJ74" s="177">
        <f>((LOOKUP(Detached!AJ$2,'Ceiling-U'!$A$4:$A$40,'Ceiling-U'!$H$4:$H$40)*Detached!AJ$14)+(LOOKUP(Detached!AJ$2,'Floor-U'!$A$4:$A$40,'Floor-U'!$H$4:$H$40)*Detached!AJ$15)+(LOOKUP(Detached!AJ$2,'Wall-U'!$A$4:$A$40,'Wall-U'!$H$4:$H$40)*Detached!AJ$12)+(LOOKUP(Detached!AJ$2,'Window-U'!$A$4:$A$40,'Window-U'!$S$4:$S$40)*Detached!AJ$21))*AJ70</f>
        <v>246.75618378273927</v>
      </c>
      <c r="AK74" s="177">
        <f>((LOOKUP(Detached!AK$2,'Ceiling-U'!$A$4:$A$40,'Ceiling-U'!$H$4:$H$40)*Detached!AK$14)+(LOOKUP(Detached!AK$2,'Floor-U'!$A$4:$A$40,'Floor-U'!$H$4:$H$40)*Detached!AK$15)+(LOOKUP(Detached!AK$2,'Wall-U'!$A$4:$A$40,'Wall-U'!$H$4:$H$40)*Detached!AK$12)+(LOOKUP(Detached!AK$2,'Window-U'!$A$4:$A$40,'Window-U'!$S$4:$S$40)*Detached!AK$21))*AK70</f>
        <v>300.37726079262256</v>
      </c>
      <c r="AL74" s="177">
        <f>((LOOKUP(Detached!AL$2,'Ceiling-U'!$A$4:$A$40,'Ceiling-U'!$H$4:$H$40)*Detached!AL$14)+(LOOKUP(Detached!AL$2,'Floor-U'!$A$4:$A$40,'Floor-U'!$H$4:$H$40)*Detached!AL$15)+(LOOKUP(Detached!AL$2,'Wall-U'!$A$4:$A$40,'Wall-U'!$H$4:$H$40)*Detached!AL$12)+(LOOKUP(Detached!AL$2,'Window-U'!$A$4:$A$40,'Window-U'!$S$4:$S$40)*Detached!AL$21))*AL70</f>
        <v>249.91489630867676</v>
      </c>
      <c r="AM74" s="177">
        <f>((LOOKUP(Detached!AM$2,'Ceiling-U'!$A$4:$A$40,'Ceiling-U'!$H$4:$H$40)*Detached!AM$14)+(LOOKUP(Detached!AM$2,'Floor-U'!$A$4:$A$40,'Floor-U'!$H$4:$H$40)*Detached!AM$15)+(LOOKUP(Detached!AM$2,'Wall-U'!$A$4:$A$40,'Wall-U'!$H$4:$H$40)*Detached!AM$12)+(LOOKUP(Detached!AM$2,'Window-U'!$A$4:$A$40,'Window-U'!$S$4:$S$40)*Detached!AM$21))*AM70</f>
        <v>246.75618378273927</v>
      </c>
      <c r="AN74" s="178">
        <f>((LOOKUP(Detached!AN$2,'Ceiling-U'!$A$4:$A$40,'Ceiling-U'!$H$4:$H$40)*Detached!AN$14)+(LOOKUP(Detached!AN$2,'Floor-U'!$A$4:$A$40,'Floor-U'!$H$4:$H$40)*Detached!AN$15)+(LOOKUP(Detached!AN$2,'Wall-U'!$A$4:$A$40,'Wall-U'!$H$4:$H$40)*Detached!AN$12)+(LOOKUP(Detached!AN$2,'Window-U'!$A$4:$A$40,'Window-U'!$S$4:$S$40)*Detached!AN$21))*AN70</f>
        <v>246.75618378273927</v>
      </c>
    </row>
    <row r="75" spans="1:40">
      <c r="A75" s="372"/>
      <c r="B75" s="142" t="s">
        <v>6</v>
      </c>
      <c r="C75" s="131" t="s">
        <v>195</v>
      </c>
      <c r="D75" s="176">
        <f>((LOOKUP(Detached!D$2,'Ceiling-U'!$A$4:$A$40,'Ceiling-U'!$I$4:$I$40)*Detached!D$14)+(LOOKUP(Detached!D$2,'Floor-U'!$A$4:$A$40,'Floor-U'!$I$4:$I$40)*Detached!D$15)+(LOOKUP(Detached!D$2,'Wall-U'!$A$4:$A$40,'Wall-U'!$I$4:$I$40)*Detached!D$12)+(LOOKUP(Detached!D$2,'Window-U'!$A$4:$A$40,'Window-U'!$S$4:$S$40)*Detached!D$21))*D70</f>
        <v>171.26255599906818</v>
      </c>
      <c r="E75" s="177">
        <f>((LOOKUP(Detached!E$2,'Ceiling-U'!$A$4:$A$40,'Ceiling-U'!$I$4:$I$40)*Detached!E$14)+(LOOKUP(Detached!E$2,'Floor-U'!$A$4:$A$40,'Floor-U'!$I$4:$I$40)*Detached!E$15)+(LOOKUP(Detached!E$2,'Wall-U'!$A$4:$A$40,'Wall-U'!$I$4:$I$40)*Detached!E$12)+(LOOKUP(Detached!E$2,'Window-U'!$A$4:$A$40,'Window-U'!$S$4:$S$40)*Detached!E$21))*E70</f>
        <v>452.61466279502611</v>
      </c>
      <c r="F75" s="177">
        <f>((LOOKUP(Detached!F$2,'Ceiling-U'!$A$4:$A$40,'Ceiling-U'!$I$4:$I$40)*Detached!F$14)+(LOOKUP(Detached!F$2,'Floor-U'!$A$4:$A$40,'Floor-U'!$I$4:$I$40)*Detached!F$15)+(LOOKUP(Detached!F$2,'Wall-U'!$A$4:$A$40,'Wall-U'!$I$4:$I$40)*Detached!F$12)+(LOOKUP(Detached!F$2,'Window-U'!$A$4:$A$40,'Window-U'!$S$4:$S$40)*Detached!F$21))*F70</f>
        <v>173.42045518356088</v>
      </c>
      <c r="G75" s="177">
        <f>((LOOKUP(Detached!G$2,'Ceiling-U'!$A$4:$A$40,'Ceiling-U'!$I$4:$I$40)*Detached!G$14)+(LOOKUP(Detached!G$2,'Floor-U'!$A$4:$A$40,'Floor-U'!$I$4:$I$40)*Detached!G$15)+(LOOKUP(Detached!G$2,'Wall-U'!$A$4:$A$40,'Wall-U'!$I$4:$I$40)*Detached!G$12)+(LOOKUP(Detached!G$2,'Window-U'!$A$4:$A$40,'Window-U'!$S$4:$S$40)*Detached!G$21))*G70</f>
        <v>171.26255599906818</v>
      </c>
      <c r="H75" s="177">
        <f>((LOOKUP(Detached!H$2,'Ceiling-U'!$A$4:$A$40,'Ceiling-U'!$I$4:$I$40)*Detached!H$14)+(LOOKUP(Detached!H$2,'Floor-U'!$A$4:$A$40,'Floor-U'!$I$4:$I$40)*Detached!H$15)+(LOOKUP(Detached!H$2,'Wall-U'!$A$4:$A$40,'Wall-U'!$I$4:$I$40)*Detached!H$12)+(LOOKUP(Detached!H$2,'Window-U'!$A$4:$A$40,'Window-U'!$S$4:$S$40)*Detached!H$21))*H70</f>
        <v>597.58071671442326</v>
      </c>
      <c r="I75" s="177">
        <f>((LOOKUP(Detached!I$2,'Ceiling-U'!$A$4:$A$40,'Ceiling-U'!$I$4:$I$40)*Detached!I$14)+(LOOKUP(Detached!I$2,'Floor-U'!$A$4:$A$40,'Floor-U'!$I$4:$I$40)*Detached!I$15)+(LOOKUP(Detached!I$2,'Wall-U'!$A$4:$A$40,'Wall-U'!$I$4:$I$40)*Detached!I$12)+(LOOKUP(Detached!I$2,'Window-U'!$A$4:$A$40,'Window-U'!$S$4:$S$40)*Detached!I$21))*I70</f>
        <v>153.57105207593864</v>
      </c>
      <c r="J75" s="177">
        <f>((LOOKUP(Detached!J$2,'Ceiling-U'!$A$4:$A$40,'Ceiling-U'!$I$4:$I$40)*Detached!J$14)+(LOOKUP(Detached!J$2,'Floor-U'!$A$4:$A$40,'Floor-U'!$I$4:$I$40)*Detached!J$15)+(LOOKUP(Detached!J$2,'Wall-U'!$A$4:$A$40,'Wall-U'!$I$4:$I$40)*Detached!J$12)+(LOOKUP(Detached!J$2,'Window-U'!$A$4:$A$40,'Window-U'!$S$4:$S$40)*Detached!J$21))*J70</f>
        <v>104.90099138671812</v>
      </c>
      <c r="K75" s="177">
        <f>((LOOKUP(Detached!K$2,'Ceiling-U'!$A$4:$A$40,'Ceiling-U'!$I$4:$I$40)*Detached!K$14)+(LOOKUP(Detached!K$2,'Floor-U'!$A$4:$A$40,'Floor-U'!$I$4:$I$40)*Detached!K$15)+(LOOKUP(Detached!K$2,'Wall-U'!$A$4:$A$40,'Wall-U'!$I$4:$I$40)*Detached!K$12)+(LOOKUP(Detached!K$2,'Window-U'!$A$4:$A$40,'Window-U'!$S$4:$S$40)*Detached!K$21))*K70</f>
        <v>127.02461600488533</v>
      </c>
      <c r="L75" s="177">
        <f>((LOOKUP(Detached!L$2,'Ceiling-U'!$A$4:$A$40,'Ceiling-U'!$I$4:$I$40)*Detached!L$14)+(LOOKUP(Detached!L$2,'Floor-U'!$A$4:$A$40,'Floor-U'!$I$4:$I$40)*Detached!L$15)+(LOOKUP(Detached!L$2,'Wall-U'!$A$4:$A$40,'Wall-U'!$I$4:$I$40)*Detached!L$12)+(LOOKUP(Detached!L$2,'Window-U'!$A$4:$A$40,'Window-U'!$S$4:$S$40)*Detached!L$21))*L70</f>
        <v>71.765712921260985</v>
      </c>
      <c r="M75" s="177">
        <f>((LOOKUP(Detached!M$2,'Ceiling-U'!$A$4:$A$40,'Ceiling-U'!$I$4:$I$40)*Detached!M$14)+(LOOKUP(Detached!M$2,'Floor-U'!$A$4:$A$40,'Floor-U'!$I$4:$I$40)*Detached!M$15)+(LOOKUP(Detached!M$2,'Wall-U'!$A$4:$A$40,'Wall-U'!$I$4:$I$40)*Detached!M$12)+(LOOKUP(Detached!M$2,'Window-U'!$A$4:$A$40,'Window-U'!$S$4:$S$40)*Detached!M$21))*M70</f>
        <v>422.37540670029858</v>
      </c>
      <c r="N75" s="177">
        <f>((LOOKUP(Detached!N$2,'Ceiling-U'!$A$4:$A$40,'Ceiling-U'!$I$4:$I$40)*Detached!N$14)+(LOOKUP(Detached!N$2,'Floor-U'!$A$4:$A$40,'Floor-U'!$I$4:$I$40)*Detached!N$15)+(LOOKUP(Detached!N$2,'Wall-U'!$A$4:$A$40,'Wall-U'!$I$4:$I$40)*Detached!N$12)+(LOOKUP(Detached!N$2,'Window-U'!$A$4:$A$40,'Window-U'!$S$4:$S$40)*Detached!N$21))*N70</f>
        <v>97.797677648055384</v>
      </c>
      <c r="O75" s="177">
        <f>((LOOKUP(Detached!O$2,'Ceiling-U'!$A$4:$A$40,'Ceiling-U'!$I$4:$I$40)*Detached!O$14)+(LOOKUP(Detached!O$2,'Floor-U'!$A$4:$A$40,'Floor-U'!$I$4:$I$40)*Detached!O$15)+(LOOKUP(Detached!O$2,'Wall-U'!$A$4:$A$40,'Wall-U'!$I$4:$I$40)*Detached!O$12)+(LOOKUP(Detached!O$2,'Window-U'!$A$4:$A$40,'Window-U'!$S$4:$S$40)*Detached!O$21))*O70</f>
        <v>133.83470039539949</v>
      </c>
      <c r="P75" s="177">
        <f>((LOOKUP(Detached!P$2,'Ceiling-U'!$A$4:$A$40,'Ceiling-U'!$I$4:$I$40)*Detached!P$14)+(LOOKUP(Detached!P$2,'Floor-U'!$A$4:$A$40,'Floor-U'!$I$4:$I$40)*Detached!P$15)+(LOOKUP(Detached!P$2,'Wall-U'!$A$4:$A$40,'Wall-U'!$I$4:$I$40)*Detached!P$12)+(LOOKUP(Detached!P$2,'Window-U'!$A$4:$A$40,'Window-U'!$S$4:$S$40)*Detached!P$21))*P70</f>
        <v>701.07761597084971</v>
      </c>
      <c r="Q75" s="177">
        <f>((LOOKUP(Detached!Q$2,'Ceiling-U'!$A$4:$A$40,'Ceiling-U'!$I$4:$I$40)*Detached!Q$14)+(LOOKUP(Detached!Q$2,'Floor-U'!$A$4:$A$40,'Floor-U'!$I$4:$I$40)*Detached!Q$15)+(LOOKUP(Detached!Q$2,'Wall-U'!$A$4:$A$40,'Wall-U'!$I$4:$I$40)*Detached!Q$12)+(LOOKUP(Detached!Q$2,'Window-U'!$A$4:$A$40,'Window-U'!$S$4:$S$40)*Detached!Q$21))*Q70</f>
        <v>185.65401446682432</v>
      </c>
      <c r="R75" s="177">
        <f>((LOOKUP(Detached!R$2,'Ceiling-U'!$A$4:$A$40,'Ceiling-U'!$I$4:$I$40)*Detached!R$14)+(LOOKUP(Detached!R$2,'Floor-U'!$A$4:$A$40,'Floor-U'!$I$4:$I$40)*Detached!R$15)+(LOOKUP(Detached!R$2,'Wall-U'!$A$4:$A$40,'Wall-U'!$I$4:$I$40)*Detached!R$12)+(LOOKUP(Detached!R$2,'Window-U'!$A$4:$A$40,'Window-U'!$S$4:$S$40)*Detached!R$21))*R70</f>
        <v>227.5783657680721</v>
      </c>
      <c r="S75" s="177">
        <f>((LOOKUP(Detached!S$2,'Ceiling-U'!$A$4:$A$40,'Ceiling-U'!$I$4:$I$40)*Detached!S$14)+(LOOKUP(Detached!S$2,'Floor-U'!$A$4:$A$40,'Floor-U'!$I$4:$I$40)*Detached!S$15)+(LOOKUP(Detached!S$2,'Wall-U'!$A$4:$A$40,'Wall-U'!$I$4:$I$40)*Detached!S$12)+(LOOKUP(Detached!S$2,'Window-U'!$A$4:$A$40,'Window-U'!$S$4:$S$40)*Detached!S$21))*S70</f>
        <v>225.29594228202549</v>
      </c>
      <c r="T75" s="177">
        <f>((LOOKUP(Detached!T$2,'Ceiling-U'!$A$4:$A$40,'Ceiling-U'!$I$4:$I$40)*Detached!T$14)+(LOOKUP(Detached!T$2,'Floor-U'!$A$4:$A$40,'Floor-U'!$I$4:$I$40)*Detached!T$15)+(LOOKUP(Detached!T$2,'Wall-U'!$A$4:$A$40,'Wall-U'!$I$4:$I$40)*Detached!T$12)+(LOOKUP(Detached!T$2,'Window-U'!$A$4:$A$40,'Window-U'!$S$4:$S$40)*Detached!T$21))*T70</f>
        <v>97.797677648055384</v>
      </c>
      <c r="U75" s="177">
        <f>((LOOKUP(Detached!U$2,'Ceiling-U'!$A$4:$A$40,'Ceiling-U'!$I$4:$I$40)*Detached!U$14)+(LOOKUP(Detached!U$2,'Floor-U'!$A$4:$A$40,'Floor-U'!$I$4:$I$40)*Detached!U$15)+(LOOKUP(Detached!U$2,'Wall-U'!$A$4:$A$40,'Wall-U'!$I$4:$I$40)*Detached!U$12)+(LOOKUP(Detached!U$2,'Window-U'!$A$4:$A$40,'Window-U'!$S$4:$S$40)*Detached!U$21))*U70</f>
        <v>364.49080064912789</v>
      </c>
      <c r="V75" s="177">
        <f>((LOOKUP(Detached!V$2,'Ceiling-U'!$A$4:$A$40,'Ceiling-U'!$I$4:$I$40)*Detached!V$14)+(LOOKUP(Detached!V$2,'Floor-U'!$A$4:$A$40,'Floor-U'!$I$4:$I$40)*Detached!V$15)+(LOOKUP(Detached!V$2,'Wall-U'!$A$4:$A$40,'Wall-U'!$I$4:$I$40)*Detached!V$12)+(LOOKUP(Detached!V$2,'Window-U'!$A$4:$A$40,'Window-U'!$S$4:$S$40)*Detached!V$21))*V70</f>
        <v>170.55503322188488</v>
      </c>
      <c r="W75" s="177">
        <f>((LOOKUP(Detached!W$2,'Ceiling-U'!$A$4:$A$40,'Ceiling-U'!$I$4:$I$40)*Detached!W$14)+(LOOKUP(Detached!W$2,'Floor-U'!$A$4:$A$40,'Floor-U'!$I$4:$I$40)*Detached!W$15)+(LOOKUP(Detached!W$2,'Wall-U'!$A$4:$A$40,'Wall-U'!$I$4:$I$40)*Detached!W$12)+(LOOKUP(Detached!W$2,'Window-U'!$A$4:$A$40,'Window-U'!$S$4:$S$40)*Detached!W$21))*W70</f>
        <v>136.06154927680234</v>
      </c>
      <c r="X75" s="177">
        <f>((LOOKUP(Detached!X$2,'Ceiling-U'!$A$4:$A$40,'Ceiling-U'!$I$4:$I$40)*Detached!X$14)+(LOOKUP(Detached!X$2,'Floor-U'!$A$4:$A$40,'Floor-U'!$I$4:$I$40)*Detached!X$15)+(LOOKUP(Detached!X$2,'Wall-U'!$A$4:$A$40,'Wall-U'!$I$4:$I$40)*Detached!X$12)+(LOOKUP(Detached!X$2,'Window-U'!$A$4:$A$40,'Window-U'!$S$4:$S$40)*Detached!X$21))*X70</f>
        <v>144.70160030897802</v>
      </c>
      <c r="Y75" s="177">
        <f>((LOOKUP(Detached!Y$2,'Ceiling-U'!$A$4:$A$40,'Ceiling-U'!$I$4:$I$40)*Detached!Y$14)+(LOOKUP(Detached!Y$2,'Floor-U'!$A$4:$A$40,'Floor-U'!$I$4:$I$40)*Detached!Y$15)+(LOOKUP(Detached!Y$2,'Wall-U'!$A$4:$A$40,'Wall-U'!$I$4:$I$40)*Detached!Y$12)+(LOOKUP(Detached!Y$2,'Window-U'!$A$4:$A$40,'Window-U'!$S$4:$S$40)*Detached!Y$21))*Y70</f>
        <v>545.88340103632254</v>
      </c>
      <c r="Z75" s="177">
        <f>((LOOKUP(Detached!Z$2,'Ceiling-U'!$A$4:$A$40,'Ceiling-U'!$I$4:$I$40)*Detached!Z$14)+(LOOKUP(Detached!Z$2,'Floor-U'!$A$4:$A$40,'Floor-U'!$I$4:$I$40)*Detached!Z$15)+(LOOKUP(Detached!Z$2,'Wall-U'!$A$4:$A$40,'Wall-U'!$I$4:$I$40)*Detached!Z$12)+(LOOKUP(Detached!Z$2,'Window-U'!$A$4:$A$40,'Window-U'!$S$4:$S$40)*Detached!Z$21))*Z70</f>
        <v>217.66419522631816</v>
      </c>
      <c r="AA75" s="177">
        <f>((LOOKUP(Detached!AA$2,'Ceiling-U'!$A$4:$A$40,'Ceiling-U'!$I$4:$I$40)*Detached!AA$14)+(LOOKUP(Detached!AA$2,'Floor-U'!$A$4:$A$40,'Floor-U'!$I$4:$I$40)*Detached!AA$15)+(LOOKUP(Detached!AA$2,'Wall-U'!$A$4:$A$40,'Wall-U'!$I$4:$I$40)*Detached!AA$12)+(LOOKUP(Detached!AA$2,'Window-U'!$A$4:$A$40,'Window-U'!$S$4:$S$40)*Detached!AA$21))*AA70</f>
        <v>80.061605639300694</v>
      </c>
      <c r="AB75" s="177">
        <f>((LOOKUP(Detached!AB$2,'Ceiling-U'!$A$4:$A$40,'Ceiling-U'!$I$4:$I$40)*Detached!AB$14)+(LOOKUP(Detached!AB$2,'Floor-U'!$A$4:$A$40,'Floor-U'!$I$4:$I$40)*Detached!AB$15)+(LOOKUP(Detached!AB$2,'Wall-U'!$A$4:$A$40,'Wall-U'!$I$4:$I$40)*Detached!AB$12)+(LOOKUP(Detached!AB$2,'Window-U'!$A$4:$A$40,'Window-U'!$S$4:$S$40)*Detached!AB$21))*AB70</f>
        <v>225.43583619823531</v>
      </c>
      <c r="AC75" s="177">
        <f>((LOOKUP(Detached!AC$2,'Ceiling-U'!$A$4:$A$40,'Ceiling-U'!$I$4:$I$40)*Detached!AC$14)+(LOOKUP(Detached!AC$2,'Floor-U'!$A$4:$A$40,'Floor-U'!$I$4:$I$40)*Detached!AC$15)+(LOOKUP(Detached!AC$2,'Wall-U'!$A$4:$A$40,'Wall-U'!$I$4:$I$40)*Detached!AC$12)+(LOOKUP(Detached!AC$2,'Window-U'!$A$4:$A$40,'Window-U'!$S$4:$S$40)*Detached!AC$21))*AC70</f>
        <v>563.88585218199773</v>
      </c>
      <c r="AD75" s="177">
        <f>((LOOKUP(Detached!AD$2,'Ceiling-U'!$A$4:$A$40,'Ceiling-U'!$I$4:$I$40)*Detached!AD$14)+(LOOKUP(Detached!AD$2,'Floor-U'!$A$4:$A$40,'Floor-U'!$I$4:$I$40)*Detached!AD$15)+(LOOKUP(Detached!AD$2,'Wall-U'!$A$4:$A$40,'Wall-U'!$I$4:$I$40)*Detached!AD$12)+(LOOKUP(Detached!AD$2,'Window-U'!$A$4:$A$40,'Window-U'!$S$4:$S$40)*Detached!AD$21))*AD70</f>
        <v>305.13870302807953</v>
      </c>
      <c r="AE75" s="177">
        <f>((LOOKUP(Detached!AE$2,'Ceiling-U'!$A$4:$A$40,'Ceiling-U'!$I$4:$I$40)*Detached!AE$14)+(LOOKUP(Detached!AE$2,'Floor-U'!$A$4:$A$40,'Floor-U'!$I$4:$I$40)*Detached!AE$15)+(LOOKUP(Detached!AE$2,'Wall-U'!$A$4:$A$40,'Wall-U'!$I$4:$I$40)*Detached!AE$12)+(LOOKUP(Detached!AE$2,'Window-U'!$A$4:$A$40,'Window-U'!$S$4:$S$40)*Detached!AE$21))*AE70</f>
        <v>80.061605639300694</v>
      </c>
      <c r="AF75" s="177">
        <f>((LOOKUP(Detached!AF$2,'Ceiling-U'!$A$4:$A$40,'Ceiling-U'!$I$4:$I$40)*Detached!AF$14)+(LOOKUP(Detached!AF$2,'Floor-U'!$A$4:$A$40,'Floor-U'!$I$4:$I$40)*Detached!AF$15)+(LOOKUP(Detached!AF$2,'Wall-U'!$A$4:$A$40,'Wall-U'!$I$4:$I$40)*Detached!AF$12)+(LOOKUP(Detached!AF$2,'Window-U'!$A$4:$A$40,'Window-U'!$S$4:$S$40)*Detached!AF$21))*AF70</f>
        <v>172.29255153040339</v>
      </c>
      <c r="AG75" s="177">
        <f>((LOOKUP(Detached!AG$2,'Ceiling-U'!$A$4:$A$40,'Ceiling-U'!$I$4:$I$40)*Detached!AG$14)+(LOOKUP(Detached!AG$2,'Floor-U'!$A$4:$A$40,'Floor-U'!$I$4:$I$40)*Detached!AG$15)+(LOOKUP(Detached!AG$2,'Wall-U'!$A$4:$A$40,'Wall-U'!$I$4:$I$40)*Detached!AG$12)+(LOOKUP(Detached!AG$2,'Window-U'!$A$4:$A$40,'Window-U'!$S$4:$S$40)*Detached!AG$21))*AG70</f>
        <v>308.06832874472485</v>
      </c>
      <c r="AH75" s="177">
        <f>((LOOKUP(Detached!AH$2,'Ceiling-U'!$A$4:$A$40,'Ceiling-U'!$I$4:$I$40)*Detached!AH$14)+(LOOKUP(Detached!AH$2,'Floor-U'!$A$4:$A$40,'Floor-U'!$I$4:$I$40)*Detached!AH$15)+(LOOKUP(Detached!AH$2,'Wall-U'!$A$4:$A$40,'Wall-U'!$I$4:$I$40)*Detached!AH$12)+(LOOKUP(Detached!AH$2,'Window-U'!$A$4:$A$40,'Window-U'!$S$4:$S$40)*Detached!AH$21))*AH70</f>
        <v>130.62816357727723</v>
      </c>
      <c r="AI75" s="177">
        <f>((LOOKUP(Detached!AI$2,'Ceiling-U'!$A$4:$A$40,'Ceiling-U'!$I$4:$I$40)*Detached!AI$14)+(LOOKUP(Detached!AI$2,'Floor-U'!$A$4:$A$40,'Floor-U'!$I$4:$I$40)*Detached!AI$15)+(LOOKUP(Detached!AI$2,'Wall-U'!$A$4:$A$40,'Wall-U'!$I$4:$I$40)*Detached!AI$12)+(LOOKUP(Detached!AI$2,'Window-U'!$A$4:$A$40,'Window-U'!$S$4:$S$40)*Detached!AI$21))*AI70</f>
        <v>701.07761597084971</v>
      </c>
      <c r="AJ75" s="177">
        <f>((LOOKUP(Detached!AJ$2,'Ceiling-U'!$A$4:$A$40,'Ceiling-U'!$I$4:$I$40)*Detached!AJ$14)+(LOOKUP(Detached!AJ$2,'Floor-U'!$A$4:$A$40,'Floor-U'!$I$4:$I$40)*Detached!AJ$15)+(LOOKUP(Detached!AJ$2,'Wall-U'!$A$4:$A$40,'Wall-U'!$I$4:$I$40)*Detached!AJ$12)+(LOOKUP(Detached!AJ$2,'Window-U'!$A$4:$A$40,'Window-U'!$S$4:$S$40)*Detached!AJ$21))*AJ70</f>
        <v>227.25411265930788</v>
      </c>
      <c r="AK75" s="177">
        <f>((LOOKUP(Detached!AK$2,'Ceiling-U'!$A$4:$A$40,'Ceiling-U'!$I$4:$I$40)*Detached!AK$14)+(LOOKUP(Detached!AK$2,'Floor-U'!$A$4:$A$40,'Floor-U'!$I$4:$I$40)*Detached!AK$15)+(LOOKUP(Detached!AK$2,'Wall-U'!$A$4:$A$40,'Wall-U'!$I$4:$I$40)*Detached!AK$12)+(LOOKUP(Detached!AK$2,'Window-U'!$A$4:$A$40,'Window-U'!$S$4:$S$40)*Detached!AK$21))*AK70</f>
        <v>276.22020991042484</v>
      </c>
      <c r="AL75" s="177">
        <f>((LOOKUP(Detached!AL$2,'Ceiling-U'!$A$4:$A$40,'Ceiling-U'!$I$4:$I$40)*Detached!AL$14)+(LOOKUP(Detached!AL$2,'Floor-U'!$A$4:$A$40,'Floor-U'!$I$4:$I$40)*Detached!AL$15)+(LOOKUP(Detached!AL$2,'Wall-U'!$A$4:$A$40,'Wall-U'!$I$4:$I$40)*Detached!AL$12)+(LOOKUP(Detached!AL$2,'Window-U'!$A$4:$A$40,'Window-U'!$S$4:$S$40)*Detached!AL$21))*AL70</f>
        <v>182.31195528081781</v>
      </c>
      <c r="AM75" s="177">
        <f>((LOOKUP(Detached!AM$2,'Ceiling-U'!$A$4:$A$40,'Ceiling-U'!$I$4:$I$40)*Detached!AM$14)+(LOOKUP(Detached!AM$2,'Floor-U'!$A$4:$A$40,'Floor-U'!$I$4:$I$40)*Detached!AM$15)+(LOOKUP(Detached!AM$2,'Wall-U'!$A$4:$A$40,'Wall-U'!$I$4:$I$40)*Detached!AM$12)+(LOOKUP(Detached!AM$2,'Window-U'!$A$4:$A$40,'Window-U'!$S$4:$S$40)*Detached!AM$21))*AM70</f>
        <v>227.25411265930788</v>
      </c>
      <c r="AN75" s="178">
        <f>((LOOKUP(Detached!AN$2,'Ceiling-U'!$A$4:$A$40,'Ceiling-U'!$I$4:$I$40)*Detached!AN$14)+(LOOKUP(Detached!AN$2,'Floor-U'!$A$4:$A$40,'Floor-U'!$I$4:$I$40)*Detached!AN$15)+(LOOKUP(Detached!AN$2,'Wall-U'!$A$4:$A$40,'Wall-U'!$I$4:$I$40)*Detached!AN$12)+(LOOKUP(Detached!AN$2,'Window-U'!$A$4:$A$40,'Window-U'!$S$4:$S$40)*Detached!AN$21))*AN70</f>
        <v>227.25411265930788</v>
      </c>
    </row>
    <row r="76" spans="1:40">
      <c r="A76" s="373"/>
      <c r="B76" s="374" t="s">
        <v>7</v>
      </c>
      <c r="C76" s="131" t="s">
        <v>195</v>
      </c>
      <c r="D76" s="176">
        <f>((LOOKUP(Detached!D$2,'Ceiling-U'!$A$4:$A$40,'Ceiling-U'!$J$4:$J$40)*Detached!D$14)+(LOOKUP(Detached!D$2,'Floor-U'!$A$4:$A$40,'Floor-U'!$J$4:$J$40)*Detached!D$15)+(LOOKUP(Detached!D$2,'Wall-U'!$A$4:$A$40,'Wall-U'!$J$4:$J$40)*Detached!D$12)+(LOOKUP(Detached!D$2,'Window-U'!$A$4:$A$40,'Window-U'!$S$4:$S$40)*Detached!D$21))*D70</f>
        <v>148.22229258666135</v>
      </c>
      <c r="E76" s="174">
        <f>((LOOKUP(Detached!E$2,'Ceiling-U'!$A$4:$A$40,'Ceiling-U'!$J$4:$J$40)*Detached!E$14)+(LOOKUP(Detached!E$2,'Floor-U'!$A$4:$A$40,'Floor-U'!$J$4:$J$40)*Detached!E$15)+(LOOKUP(Detached!E$2,'Wall-U'!$A$4:$A$40,'Wall-U'!$J$4:$J$40)*Detached!E$12)+(LOOKUP(Detached!E$2,'Window-U'!$A$4:$A$40,'Window-U'!$S$4:$S$40)*Detached!E$21))*E70</f>
        <v>240.02508693243612</v>
      </c>
      <c r="F76" s="174">
        <f>((LOOKUP(Detached!F$2,'Ceiling-U'!$A$4:$A$40,'Ceiling-U'!$J$4:$J$40)*Detached!F$14)+(LOOKUP(Detached!F$2,'Floor-U'!$A$4:$A$40,'Floor-U'!$J$4:$J$40)*Detached!F$15)+(LOOKUP(Detached!F$2,'Wall-U'!$A$4:$A$40,'Wall-U'!$J$4:$J$40)*Detached!F$12)+(LOOKUP(Detached!F$2,'Window-U'!$A$4:$A$40,'Window-U'!$S$4:$S$40)*Detached!F$21))*F70</f>
        <v>104.45684595710138</v>
      </c>
      <c r="G76" s="174">
        <f>((LOOKUP(Detached!G$2,'Ceiling-U'!$A$4:$A$40,'Ceiling-U'!$J$4:$J$40)*Detached!G$14)+(LOOKUP(Detached!G$2,'Floor-U'!$A$4:$A$40,'Floor-U'!$J$4:$J$40)*Detached!G$15)+(LOOKUP(Detached!G$2,'Wall-U'!$A$4:$A$40,'Wall-U'!$J$4:$J$40)*Detached!G$12)+(LOOKUP(Detached!G$2,'Window-U'!$A$4:$A$40,'Window-U'!$S$4:$S$40)*Detached!G$21))*G70</f>
        <v>148.22229258666135</v>
      </c>
      <c r="H76" s="174">
        <f>((LOOKUP(Detached!H$2,'Ceiling-U'!$A$4:$A$40,'Ceiling-U'!$J$4:$J$40)*Detached!H$14)+(LOOKUP(Detached!H$2,'Floor-U'!$A$4:$A$40,'Floor-U'!$J$4:$J$40)*Detached!H$15)+(LOOKUP(Detached!H$2,'Wall-U'!$A$4:$A$40,'Wall-U'!$J$4:$J$40)*Detached!H$12)+(LOOKUP(Detached!H$2,'Window-U'!$A$4:$A$40,'Window-U'!$S$4:$S$40)*Detached!H$21))*H70</f>
        <v>476.14236576611455</v>
      </c>
      <c r="I76" s="174">
        <f>((LOOKUP(Detached!I$2,'Ceiling-U'!$A$4:$A$40,'Ceiling-U'!$J$4:$J$40)*Detached!I$14)+(LOOKUP(Detached!I$2,'Floor-U'!$A$4:$A$40,'Floor-U'!$J$4:$J$40)*Detached!I$15)+(LOOKUP(Detached!I$2,'Wall-U'!$A$4:$A$40,'Wall-U'!$J$4:$J$40)*Detached!I$12)+(LOOKUP(Detached!I$2,'Window-U'!$A$4:$A$40,'Window-U'!$S$4:$S$40)*Detached!I$21))*I70</f>
        <v>123.39592140634818</v>
      </c>
      <c r="J76" s="174">
        <f>((LOOKUP(Detached!J$2,'Ceiling-U'!$A$4:$A$40,'Ceiling-U'!$J$4:$J$40)*Detached!J$14)+(LOOKUP(Detached!J$2,'Floor-U'!$A$4:$A$40,'Floor-U'!$J$4:$J$40)*Detached!J$15)+(LOOKUP(Detached!J$2,'Wall-U'!$A$4:$A$40,'Wall-U'!$J$4:$J$40)*Detached!J$12)+(LOOKUP(Detached!J$2,'Window-U'!$A$4:$A$40,'Window-U'!$S$4:$S$40)*Detached!J$21))*J70</f>
        <v>117.2676659644914</v>
      </c>
      <c r="K76" s="174">
        <f>((LOOKUP(Detached!K$2,'Ceiling-U'!$A$4:$A$40,'Ceiling-U'!$J$4:$J$40)*Detached!K$14)+(LOOKUP(Detached!K$2,'Floor-U'!$A$4:$A$40,'Floor-U'!$J$4:$J$40)*Detached!K$15)+(LOOKUP(Detached!K$2,'Wall-U'!$A$4:$A$40,'Wall-U'!$J$4:$J$40)*Detached!K$12)+(LOOKUP(Detached!K$2,'Window-U'!$A$4:$A$40,'Window-U'!$S$4:$S$40)*Detached!K$21))*K70</f>
        <v>91.215257680990561</v>
      </c>
      <c r="L76" s="174">
        <f>((LOOKUP(Detached!L$2,'Ceiling-U'!$A$4:$A$40,'Ceiling-U'!$J$4:$J$40)*Detached!L$14)+(LOOKUP(Detached!L$2,'Floor-U'!$A$4:$A$40,'Floor-U'!$J$4:$J$40)*Detached!L$15)+(LOOKUP(Detached!L$2,'Wall-U'!$A$4:$A$40,'Wall-U'!$J$4:$J$40)*Detached!L$12)+(LOOKUP(Detached!L$2,'Window-U'!$A$4:$A$40,'Window-U'!$S$4:$S$40)*Detached!L$21))*L70</f>
        <v>71.765712921260985</v>
      </c>
      <c r="M76" s="174">
        <f>((LOOKUP(Detached!M$2,'Ceiling-U'!$A$4:$A$40,'Ceiling-U'!$J$4:$J$40)*Detached!M$14)+(LOOKUP(Detached!M$2,'Floor-U'!$A$4:$A$40,'Floor-U'!$J$4:$J$40)*Detached!M$15)+(LOOKUP(Detached!M$2,'Wall-U'!$A$4:$A$40,'Wall-U'!$J$4:$J$40)*Detached!M$12)+(LOOKUP(Detached!M$2,'Window-U'!$A$4:$A$40,'Window-U'!$S$4:$S$40)*Detached!M$21))*M70</f>
        <v>245.69748966889929</v>
      </c>
      <c r="N76" s="174">
        <f>((LOOKUP(Detached!N$2,'Ceiling-U'!$A$4:$A$40,'Ceiling-U'!$J$4:$J$40)*Detached!N$14)+(LOOKUP(Detached!N$2,'Floor-U'!$A$4:$A$40,'Floor-U'!$J$4:$J$40)*Detached!N$15)+(LOOKUP(Detached!N$2,'Wall-U'!$A$4:$A$40,'Wall-U'!$J$4:$J$40)*Detached!N$12)+(LOOKUP(Detached!N$2,'Window-U'!$A$4:$A$40,'Window-U'!$S$4:$S$40)*Detached!N$21))*N70</f>
        <v>89.249517637479997</v>
      </c>
      <c r="O76" s="174">
        <f>((LOOKUP(Detached!O$2,'Ceiling-U'!$A$4:$A$40,'Ceiling-U'!$J$4:$J$40)*Detached!O$14)+(LOOKUP(Detached!O$2,'Floor-U'!$A$4:$A$40,'Floor-U'!$J$4:$J$40)*Detached!O$15)+(LOOKUP(Detached!O$2,'Wall-U'!$A$4:$A$40,'Wall-U'!$J$4:$J$40)*Detached!O$12)+(LOOKUP(Detached!O$2,'Window-U'!$A$4:$A$40,'Window-U'!$S$4:$S$40)*Detached!O$21))*O70</f>
        <v>129.48890094300123</v>
      </c>
      <c r="P76" s="174">
        <f>((LOOKUP(Detached!P$2,'Ceiling-U'!$A$4:$A$40,'Ceiling-U'!$J$4:$J$40)*Detached!P$14)+(LOOKUP(Detached!P$2,'Floor-U'!$A$4:$A$40,'Floor-U'!$J$4:$J$40)*Detached!P$15)+(LOOKUP(Detached!P$2,'Wall-U'!$A$4:$A$40,'Wall-U'!$J$4:$J$40)*Detached!P$12)+(LOOKUP(Detached!P$2,'Window-U'!$A$4:$A$40,'Window-U'!$S$4:$S$40)*Detached!P$21))*P70</f>
        <v>190.12400097612766</v>
      </c>
      <c r="Q76" s="174">
        <f>((LOOKUP(Detached!Q$2,'Ceiling-U'!$A$4:$A$40,'Ceiling-U'!$J$4:$J$40)*Detached!Q$14)+(LOOKUP(Detached!Q$2,'Floor-U'!$A$4:$A$40,'Floor-U'!$J$4:$J$40)*Detached!Q$15)+(LOOKUP(Detached!Q$2,'Wall-U'!$A$4:$A$40,'Wall-U'!$J$4:$J$40)*Detached!Q$12)+(LOOKUP(Detached!Q$2,'Window-U'!$A$4:$A$40,'Window-U'!$S$4:$S$40)*Detached!Q$21))*Q70</f>
        <v>105.21056162185425</v>
      </c>
      <c r="R76" s="174">
        <f>((LOOKUP(Detached!R$2,'Ceiling-U'!$A$4:$A$40,'Ceiling-U'!$J$4:$J$40)*Detached!R$14)+(LOOKUP(Detached!R$2,'Floor-U'!$A$4:$A$40,'Floor-U'!$J$4:$J$40)*Detached!R$15)+(LOOKUP(Detached!R$2,'Wall-U'!$A$4:$A$40,'Wall-U'!$J$4:$J$40)*Detached!R$12)+(LOOKUP(Detached!R$2,'Window-U'!$A$4:$A$40,'Window-U'!$S$4:$S$40)*Detached!R$21))*R70</f>
        <v>134.25173946407182</v>
      </c>
      <c r="S76" s="174">
        <f>((LOOKUP(Detached!S$2,'Ceiling-U'!$A$4:$A$40,'Ceiling-U'!$J$4:$J$40)*Detached!S$14)+(LOOKUP(Detached!S$2,'Floor-U'!$A$4:$A$40,'Floor-U'!$J$4:$J$40)*Detached!S$15)+(LOOKUP(Detached!S$2,'Wall-U'!$A$4:$A$40,'Wall-U'!$J$4:$J$40)*Detached!S$12)+(LOOKUP(Detached!S$2,'Window-U'!$A$4:$A$40,'Window-U'!$S$4:$S$40)*Detached!S$21))*S70</f>
        <v>124.488824363166</v>
      </c>
      <c r="T76" s="174">
        <f>((LOOKUP(Detached!T$2,'Ceiling-U'!$A$4:$A$40,'Ceiling-U'!$J$4:$J$40)*Detached!T$14)+(LOOKUP(Detached!T$2,'Floor-U'!$A$4:$A$40,'Floor-U'!$J$4:$J$40)*Detached!T$15)+(LOOKUP(Detached!T$2,'Wall-U'!$A$4:$A$40,'Wall-U'!$J$4:$J$40)*Detached!T$12)+(LOOKUP(Detached!T$2,'Window-U'!$A$4:$A$40,'Window-U'!$S$4:$S$40)*Detached!T$21))*T70</f>
        <v>89.249517637479997</v>
      </c>
      <c r="U76" s="174">
        <f>((LOOKUP(Detached!U$2,'Ceiling-U'!$A$4:$A$40,'Ceiling-U'!$J$4:$J$40)*Detached!U$14)+(LOOKUP(Detached!U$2,'Floor-U'!$A$4:$A$40,'Floor-U'!$J$4:$J$40)*Detached!U$15)+(LOOKUP(Detached!U$2,'Wall-U'!$A$4:$A$40,'Wall-U'!$J$4:$J$40)*Detached!U$12)+(LOOKUP(Detached!U$2,'Window-U'!$A$4:$A$40,'Window-U'!$S$4:$S$40)*Detached!U$21))*U70</f>
        <v>364.49080064912789</v>
      </c>
      <c r="V76" s="174">
        <f>((LOOKUP(Detached!V$2,'Ceiling-U'!$A$4:$A$40,'Ceiling-U'!$J$4:$J$40)*Detached!V$14)+(LOOKUP(Detached!V$2,'Floor-U'!$A$4:$A$40,'Floor-U'!$J$4:$J$40)*Detached!V$15)+(LOOKUP(Detached!V$2,'Wall-U'!$A$4:$A$40,'Wall-U'!$J$4:$J$40)*Detached!V$12)+(LOOKUP(Detached!V$2,'Window-U'!$A$4:$A$40,'Window-U'!$S$4:$S$40)*Detached!V$21))*V70</f>
        <v>84.431073493753303</v>
      </c>
      <c r="W76" s="174">
        <f>((LOOKUP(Detached!W$2,'Ceiling-U'!$A$4:$A$40,'Ceiling-U'!$J$4:$J$40)*Detached!W$14)+(LOOKUP(Detached!W$2,'Floor-U'!$A$4:$A$40,'Floor-U'!$J$4:$J$40)*Detached!W$15)+(LOOKUP(Detached!W$2,'Wall-U'!$A$4:$A$40,'Wall-U'!$J$4:$J$40)*Detached!W$12)+(LOOKUP(Detached!W$2,'Window-U'!$A$4:$A$40,'Window-U'!$S$4:$S$40)*Detached!W$21))*W70</f>
        <v>108.47947891237155</v>
      </c>
      <c r="X76" s="174">
        <f>((LOOKUP(Detached!X$2,'Ceiling-U'!$A$4:$A$40,'Ceiling-U'!$J$4:$J$40)*Detached!X$14)+(LOOKUP(Detached!X$2,'Floor-U'!$A$4:$A$40,'Floor-U'!$J$4:$J$40)*Detached!X$15)+(LOOKUP(Detached!X$2,'Wall-U'!$A$4:$A$40,'Wall-U'!$J$4:$J$40)*Detached!X$12)+(LOOKUP(Detached!X$2,'Window-U'!$A$4:$A$40,'Window-U'!$S$4:$S$40)*Detached!X$21))*X70</f>
        <v>77.802576111232085</v>
      </c>
      <c r="Y76" s="174">
        <f>((LOOKUP(Detached!Y$2,'Ceiling-U'!$A$4:$A$40,'Ceiling-U'!$J$4:$J$40)*Detached!Y$14)+(LOOKUP(Detached!Y$2,'Floor-U'!$A$4:$A$40,'Floor-U'!$J$4:$J$40)*Detached!Y$15)+(LOOKUP(Detached!Y$2,'Wall-U'!$A$4:$A$40,'Wall-U'!$J$4:$J$40)*Detached!Y$12)+(LOOKUP(Detached!Y$2,'Window-U'!$A$4:$A$40,'Window-U'!$S$4:$S$40)*Detached!Y$21))*Y70</f>
        <v>513.7944111245356</v>
      </c>
      <c r="Z76" s="174">
        <f>((LOOKUP(Detached!Z$2,'Ceiling-U'!$A$4:$A$40,'Ceiling-U'!$J$4:$J$40)*Detached!Z$14)+(LOOKUP(Detached!Z$2,'Floor-U'!$A$4:$A$40,'Floor-U'!$J$4:$J$40)*Detached!Z$15)+(LOOKUP(Detached!Z$2,'Wall-U'!$A$4:$A$40,'Wall-U'!$J$4:$J$40)*Detached!Z$12)+(LOOKUP(Detached!Z$2,'Window-U'!$A$4:$A$40,'Window-U'!$S$4:$S$40)*Detached!Z$21))*Z70</f>
        <v>149.53800532138331</v>
      </c>
      <c r="AA76" s="174">
        <f>((LOOKUP(Detached!AA$2,'Ceiling-U'!$A$4:$A$40,'Ceiling-U'!$J$4:$J$40)*Detached!AA$14)+(LOOKUP(Detached!AA$2,'Floor-U'!$A$4:$A$40,'Floor-U'!$J$4:$J$40)*Detached!AA$15)+(LOOKUP(Detached!AA$2,'Wall-U'!$A$4:$A$40,'Wall-U'!$J$4:$J$40)*Detached!AA$12)+(LOOKUP(Detached!AA$2,'Window-U'!$A$4:$A$40,'Window-U'!$S$4:$S$40)*Detached!AA$21))*AA70</f>
        <v>80.061605639300694</v>
      </c>
      <c r="AB76" s="174">
        <f>((LOOKUP(Detached!AB$2,'Ceiling-U'!$A$4:$A$40,'Ceiling-U'!$J$4:$J$40)*Detached!AB$14)+(LOOKUP(Detached!AB$2,'Floor-U'!$A$4:$A$40,'Floor-U'!$J$4:$J$40)*Detached!AB$15)+(LOOKUP(Detached!AB$2,'Wall-U'!$A$4:$A$40,'Wall-U'!$J$4:$J$40)*Detached!AB$12)+(LOOKUP(Detached!AB$2,'Window-U'!$A$4:$A$40,'Window-U'!$S$4:$S$40)*Detached!AB$21))*AB70</f>
        <v>161.69188389612049</v>
      </c>
      <c r="AC76" s="174">
        <f>((LOOKUP(Detached!AC$2,'Ceiling-U'!$A$4:$A$40,'Ceiling-U'!$J$4:$J$40)*Detached!AC$14)+(LOOKUP(Detached!AC$2,'Floor-U'!$A$4:$A$40,'Floor-U'!$J$4:$J$40)*Detached!AC$15)+(LOOKUP(Detached!AC$2,'Wall-U'!$A$4:$A$40,'Wall-U'!$J$4:$J$40)*Detached!AC$12)+(LOOKUP(Detached!AC$2,'Window-U'!$A$4:$A$40,'Window-U'!$S$4:$S$40)*Detached!AC$21))*AC70</f>
        <v>350.66269641230269</v>
      </c>
      <c r="AD76" s="174">
        <f>((LOOKUP(Detached!AD$2,'Ceiling-U'!$A$4:$A$40,'Ceiling-U'!$J$4:$J$40)*Detached!AD$14)+(LOOKUP(Detached!AD$2,'Floor-U'!$A$4:$A$40,'Floor-U'!$J$4:$J$40)*Detached!AD$15)+(LOOKUP(Detached!AD$2,'Wall-U'!$A$4:$A$40,'Wall-U'!$J$4:$J$40)*Detached!AD$12)+(LOOKUP(Detached!AD$2,'Window-U'!$A$4:$A$40,'Window-U'!$S$4:$S$40)*Detached!AD$21))*AD70</f>
        <v>242.91910390886275</v>
      </c>
      <c r="AE76" s="174">
        <f>((LOOKUP(Detached!AE$2,'Ceiling-U'!$A$4:$A$40,'Ceiling-U'!$J$4:$J$40)*Detached!AE$14)+(LOOKUP(Detached!AE$2,'Floor-U'!$A$4:$A$40,'Floor-U'!$J$4:$J$40)*Detached!AE$15)+(LOOKUP(Detached!AE$2,'Wall-U'!$A$4:$A$40,'Wall-U'!$J$4:$J$40)*Detached!AE$12)+(LOOKUP(Detached!AE$2,'Window-U'!$A$4:$A$40,'Window-U'!$S$4:$S$40)*Detached!AE$21))*AE70</f>
        <v>80.061605639300694</v>
      </c>
      <c r="AF76" s="174">
        <f>((LOOKUP(Detached!AF$2,'Ceiling-U'!$A$4:$A$40,'Ceiling-U'!$J$4:$J$40)*Detached!AF$14)+(LOOKUP(Detached!AF$2,'Floor-U'!$A$4:$A$40,'Floor-U'!$J$4:$J$40)*Detached!AF$15)+(LOOKUP(Detached!AF$2,'Wall-U'!$A$4:$A$40,'Wall-U'!$J$4:$J$40)*Detached!AF$12)+(LOOKUP(Detached!AF$2,'Window-U'!$A$4:$A$40,'Window-U'!$S$4:$S$40)*Detached!AF$21))*AF70</f>
        <v>88.087333934188251</v>
      </c>
      <c r="AG76" s="174">
        <f>((LOOKUP(Detached!AG$2,'Ceiling-U'!$A$4:$A$40,'Ceiling-U'!$J$4:$J$40)*Detached!AG$14)+(LOOKUP(Detached!AG$2,'Floor-U'!$A$4:$A$40,'Floor-U'!$J$4:$J$40)*Detached!AG$15)+(LOOKUP(Detached!AG$2,'Wall-U'!$A$4:$A$40,'Wall-U'!$J$4:$J$40)*Detached!AG$12)+(LOOKUP(Detached!AG$2,'Window-U'!$A$4:$A$40,'Window-U'!$S$4:$S$40)*Detached!AG$21))*AG70</f>
        <v>173.31754556507343</v>
      </c>
      <c r="AH76" s="174">
        <f>((LOOKUP(Detached!AH$2,'Ceiling-U'!$A$4:$A$40,'Ceiling-U'!$J$4:$J$40)*Detached!AH$14)+(LOOKUP(Detached!AH$2,'Floor-U'!$A$4:$A$40,'Floor-U'!$J$4:$J$40)*Detached!AH$15)+(LOOKUP(Detached!AH$2,'Wall-U'!$A$4:$A$40,'Wall-U'!$J$4:$J$40)*Detached!AH$12)+(LOOKUP(Detached!AH$2,'Window-U'!$A$4:$A$40,'Window-U'!$S$4:$S$40)*Detached!AH$21))*AH70</f>
        <v>106.14142558597656</v>
      </c>
      <c r="AI76" s="174">
        <f>((LOOKUP(Detached!AI$2,'Ceiling-U'!$A$4:$A$40,'Ceiling-U'!$J$4:$J$40)*Detached!AI$14)+(LOOKUP(Detached!AI$2,'Floor-U'!$A$4:$A$40,'Floor-U'!$J$4:$J$40)*Detached!AI$15)+(LOOKUP(Detached!AI$2,'Wall-U'!$A$4:$A$40,'Wall-U'!$J$4:$J$40)*Detached!AI$12)+(LOOKUP(Detached!AI$2,'Window-U'!$A$4:$A$40,'Window-U'!$S$4:$S$40)*Detached!AI$21))*AI70</f>
        <v>190.12400097612766</v>
      </c>
      <c r="AJ76" s="174">
        <f>((LOOKUP(Detached!AJ$2,'Ceiling-U'!$A$4:$A$40,'Ceiling-U'!$J$4:$J$40)*Detached!AJ$14)+(LOOKUP(Detached!AJ$2,'Floor-U'!$A$4:$A$40,'Floor-U'!$J$4:$J$40)*Detached!AJ$15)+(LOOKUP(Detached!AJ$2,'Wall-U'!$A$4:$A$40,'Wall-U'!$J$4:$J$40)*Detached!AJ$12)+(LOOKUP(Detached!AJ$2,'Window-U'!$A$4:$A$40,'Window-U'!$S$4:$S$40)*Detached!AJ$21))*AJ70</f>
        <v>195.01864011088259</v>
      </c>
      <c r="AK76" s="174">
        <f>((LOOKUP(Detached!AK$2,'Ceiling-U'!$A$4:$A$40,'Ceiling-U'!$J$4:$J$40)*Detached!AK$14)+(LOOKUP(Detached!AK$2,'Floor-U'!$A$4:$A$40,'Floor-U'!$J$4:$J$40)*Detached!AK$15)+(LOOKUP(Detached!AK$2,'Wall-U'!$A$4:$A$40,'Wall-U'!$J$4:$J$40)*Detached!AK$12)+(LOOKUP(Detached!AK$2,'Window-U'!$A$4:$A$40,'Window-U'!$S$4:$S$40)*Detached!AK$21))*AK70</f>
        <v>236.91345793977942</v>
      </c>
      <c r="AL76" s="174">
        <f>((LOOKUP(Detached!AL$2,'Ceiling-U'!$A$4:$A$40,'Ceiling-U'!$J$4:$J$40)*Detached!AL$14)+(LOOKUP(Detached!AL$2,'Floor-U'!$A$4:$A$40,'Floor-U'!$J$4:$J$40)*Detached!AL$15)+(LOOKUP(Detached!AL$2,'Wall-U'!$A$4:$A$40,'Wall-U'!$J$4:$J$40)*Detached!AL$12)+(LOOKUP(Detached!AL$2,'Window-U'!$A$4:$A$40,'Window-U'!$S$4:$S$40)*Detached!AL$21))*AL70</f>
        <v>109.71652778122406</v>
      </c>
      <c r="AM76" s="174">
        <f>((LOOKUP(Detached!AM$2,'Ceiling-U'!$A$4:$A$40,'Ceiling-U'!$J$4:$J$40)*Detached!AM$14)+(LOOKUP(Detached!AM$2,'Floor-U'!$A$4:$A$40,'Floor-U'!$J$4:$J$40)*Detached!AM$15)+(LOOKUP(Detached!AM$2,'Wall-U'!$A$4:$A$40,'Wall-U'!$J$4:$J$40)*Detached!AM$12)+(LOOKUP(Detached!AM$2,'Window-U'!$A$4:$A$40,'Window-U'!$S$4:$S$40)*Detached!AM$21))*AM70</f>
        <v>195.01864011088259</v>
      </c>
      <c r="AN76" s="175">
        <f>((LOOKUP(Detached!AN$2,'Ceiling-U'!$A$4:$A$40,'Ceiling-U'!$J$4:$J$40)*Detached!AN$14)+(LOOKUP(Detached!AN$2,'Floor-U'!$A$4:$A$40,'Floor-U'!$J$4:$J$40)*Detached!AN$15)+(LOOKUP(Detached!AN$2,'Wall-U'!$A$4:$A$40,'Wall-U'!$J$4:$J$40)*Detached!AN$12)+(LOOKUP(Detached!AN$2,'Window-U'!$A$4:$A$40,'Window-U'!$S$4:$S$40)*Detached!AN$21))*AN70</f>
        <v>195.01864011088259</v>
      </c>
    </row>
    <row r="77" spans="1:40">
      <c r="A77" s="332" t="s">
        <v>280</v>
      </c>
      <c r="B77" s="142" t="s">
        <v>2</v>
      </c>
      <c r="C77" s="360" t="s">
        <v>261</v>
      </c>
      <c r="D77" s="351">
        <f>D71*24*LOOKUP(Detached!D$2,'HDD-by Country'!$A$4:$A$40,'HDD-by Country'!$C$4:$C$40)/1000</f>
        <v>39911.70404210507</v>
      </c>
      <c r="E77" s="352">
        <f>E71*24*LOOKUP(Detached!E$2,'HDD-by Country'!$A$4:$A$40,'HDD-by Country'!$C$4:$C$40)/1000</f>
        <v>38157.911768248508</v>
      </c>
      <c r="F77" s="352">
        <f>F71*24*LOOKUP(Detached!F$2,'HDD-by Country'!$A$4:$A$40,'HDD-by Country'!$C$4:$C$40)/1000</f>
        <v>20018.513922782971</v>
      </c>
      <c r="G77" s="352">
        <f>G71*24*LOOKUP(Detached!G$2,'HDD-by Country'!$A$4:$A$40,'HDD-by Country'!$C$4:$C$40)/1000</f>
        <v>38884.318263740868</v>
      </c>
      <c r="H77" s="352">
        <f>H71*24*LOOKUP(Detached!H$2,'HDD-by Country'!$A$4:$A$40,'HDD-by Country'!$C$4:$C$40)/1000</f>
        <v>13684.9348229726</v>
      </c>
      <c r="I77" s="352">
        <f>I71*24*LOOKUP(Detached!I$2,'HDD-by Country'!$A$4:$A$40,'HDD-by Country'!$C$4:$C$40)/1000</f>
        <v>27025.223905589155</v>
      </c>
      <c r="J77" s="352">
        <f>J71*24*LOOKUP(Detached!J$2,'HDD-by Country'!$A$4:$A$40,'HDD-by Country'!$C$4:$C$40)/1000</f>
        <v>40915.193671955967</v>
      </c>
      <c r="K77" s="352">
        <f>K71*24*LOOKUP(Detached!K$2,'HDD-by Country'!$A$4:$A$40,'HDD-by Country'!$C$4:$C$40)/1000</f>
        <v>23705.157547838517</v>
      </c>
      <c r="L77" s="352">
        <f>L71*24*LOOKUP(Detached!L$2,'HDD-by Country'!$A$4:$A$40,'HDD-by Country'!$C$4:$C$40)/1000</f>
        <v>14887.826339403544</v>
      </c>
      <c r="M77" s="352">
        <f>M71*24*LOOKUP(Detached!M$2,'HDD-by Country'!$A$4:$A$40,'HDD-by Country'!$C$4:$C$40)/1000</f>
        <v>33307.72297590613</v>
      </c>
      <c r="N77" s="352">
        <f>N71*24*LOOKUP(Detached!N$2,'HDD-by Country'!$A$4:$A$40,'HDD-by Country'!$C$4:$C$40)/1000</f>
        <v>25336.643714543519</v>
      </c>
      <c r="O77" s="352">
        <f>O71*24*LOOKUP(Detached!O$2,'HDD-by Country'!$A$4:$A$40,'HDD-by Country'!$C$4:$C$40)/1000</f>
        <v>46201.50938485215</v>
      </c>
      <c r="P77" s="352">
        <f>P71*24*LOOKUP(Detached!P$2,'HDD-by Country'!$A$4:$A$40,'HDD-by Country'!$C$4:$C$40)/1000</f>
        <v>28940.080061876957</v>
      </c>
      <c r="Q77" s="352">
        <f>Q71*24*LOOKUP(Detached!Q$2,'HDD-by Country'!$A$4:$A$40,'HDD-by Country'!$C$4:$C$40)/1000</f>
        <v>17182.751815280222</v>
      </c>
      <c r="R77" s="352">
        <f>R71*24*LOOKUP(Detached!R$2,'HDD-by Country'!$A$4:$A$40,'HDD-by Country'!$C$4:$C$40)/1000</f>
        <v>27979.618320099322</v>
      </c>
      <c r="S77" s="352">
        <f>S71*24*LOOKUP(Detached!S$2,'HDD-by Country'!$A$4:$A$40,'HDD-by Country'!$C$4:$C$40)/1000</f>
        <v>39074.171425711138</v>
      </c>
      <c r="T77" s="352">
        <f>T71*24*LOOKUP(Detached!T$2,'HDD-by Country'!$A$4:$A$40,'HDD-by Country'!$C$4:$C$40)/1000</f>
        <v>21551.305833088642</v>
      </c>
      <c r="U77" s="352">
        <f>U71*24*LOOKUP(Detached!U$2,'HDD-by Country'!$A$4:$A$40,'HDD-by Country'!$C$4:$C$40)/1000</f>
        <v>28399.930944816377</v>
      </c>
      <c r="V77" s="352">
        <f>V71*24*LOOKUP(Detached!V$2,'HDD-by Country'!$A$4:$A$40,'HDD-by Country'!$C$4:$C$40)/1000</f>
        <v>28410.184909897929</v>
      </c>
      <c r="W77" s="352">
        <f>W71*24*LOOKUP(Detached!W$2,'HDD-by Country'!$A$4:$A$40,'HDD-by Country'!$C$4:$C$40)/1000</f>
        <v>27132.056105621828</v>
      </c>
      <c r="X77" s="352">
        <f>X71*24*LOOKUP(Detached!X$2,'HDD-by Country'!$A$4:$A$40,'HDD-by Country'!$C$4:$C$40)/1000</f>
        <v>31496.499615253979</v>
      </c>
      <c r="Y77" s="352">
        <f>Y71*24*LOOKUP(Detached!Y$2,'HDD-by Country'!$A$4:$A$40,'HDD-by Country'!$C$4:$C$40)/1000</f>
        <v>10610.11468914242</v>
      </c>
      <c r="Z77" s="352">
        <f>Z71*24*LOOKUP(Detached!Z$2,'HDD-by Country'!$A$4:$A$40,'HDD-by Country'!$C$4:$C$40)/1000</f>
        <v>42208.140533453741</v>
      </c>
      <c r="AA77" s="352">
        <f>AA71*24*LOOKUP(Detached!AA$2,'HDD-by Country'!$A$4:$A$40,'HDD-by Country'!$C$4:$C$40)/1000</f>
        <v>21901.531342627466</v>
      </c>
      <c r="AB77" s="352">
        <f>AB71*24*LOOKUP(Detached!AB$2,'HDD-by Country'!$A$4:$A$40,'HDD-by Country'!$C$4:$C$40)/1000</f>
        <v>42619.576209587794</v>
      </c>
      <c r="AC77" s="352">
        <f>AC71*24*LOOKUP(Detached!AC$2,'HDD-by Country'!$A$4:$A$40,'HDD-by Country'!$C$4:$C$40)/1000</f>
        <v>23048.376045745845</v>
      </c>
      <c r="AD77" s="352">
        <f>AD71*24*LOOKUP(Detached!AD$2,'HDD-by Country'!$A$4:$A$40,'HDD-by Country'!$C$4:$C$40)/1000</f>
        <v>31355.334106893111</v>
      </c>
      <c r="AE77" s="352">
        <f>AE71*24*LOOKUP(Detached!AE$2,'HDD-by Country'!$A$4:$A$40,'HDD-by Country'!$C$4:$C$40)/1000</f>
        <v>21117.94839342259</v>
      </c>
      <c r="AF77" s="352">
        <f>AF71*24*LOOKUP(Detached!AF$2,'HDD-by Country'!$A$4:$A$40,'HDD-by Country'!$C$4:$C$40)/1000</f>
        <v>27934.126061558003</v>
      </c>
      <c r="AG77" s="352">
        <f>AG71*24*LOOKUP(Detached!AG$2,'HDD-by Country'!$A$4:$A$40,'HDD-by Country'!$C$4:$C$40)/1000</f>
        <v>41932.34618571576</v>
      </c>
      <c r="AH77" s="352">
        <f>AH71*24*LOOKUP(Detached!AH$2,'HDD-by Country'!$A$4:$A$40,'HDD-by Country'!$C$4:$C$40)/1000</f>
        <v>32821.54086453723</v>
      </c>
      <c r="AI77" s="352">
        <f>AI71*24*LOOKUP(Detached!AI$2,'HDD-by Country'!$A$4:$A$40,'HDD-by Country'!$C$4:$C$40)/1000</f>
        <v>28940.080061876957</v>
      </c>
      <c r="AJ77" s="352">
        <f>AJ71*24*LOOKUP(Detached!AJ$2,'HDD-by Country'!$A$4:$A$40,'HDD-by Country'!$C$4:$C$40)/1000</f>
        <v>20929.312515407808</v>
      </c>
      <c r="AK77" s="352">
        <f>AK71*24*LOOKUP(Detached!AK$2,'HDD-by Country'!$A$4:$A$40,'HDD-by Country'!$C$4:$C$40)/1000</f>
        <v>22711.838980756442</v>
      </c>
      <c r="AL77" s="352">
        <f>AL71*24*LOOKUP(Detached!AL$2,'HDD-by Country'!$A$4:$A$40,'HDD-by Country'!$C$4:$C$40)/1000</f>
        <v>21141.925648392262</v>
      </c>
      <c r="AM77" s="352">
        <f>AM71*24*LOOKUP(Detached!AM$2,'HDD-by Country'!$A$4:$A$40,'HDD-by Country'!$C$4:$C$40)/1000</f>
        <v>19246.085807289797</v>
      </c>
      <c r="AN77" s="353">
        <f>AN71*24*LOOKUP(Detached!AN$2,'HDD-by Country'!$A$4:$A$40,'HDD-by Country'!$C$4:$C$40)/1000</f>
        <v>19246.085807289797</v>
      </c>
    </row>
    <row r="78" spans="1:40">
      <c r="A78" s="129"/>
      <c r="B78" s="142" t="s">
        <v>3</v>
      </c>
      <c r="C78" s="129" t="s">
        <v>261</v>
      </c>
      <c r="D78" s="345">
        <f>D72*24*LOOKUP(Detached!D$2,'HDD-by Country'!$A$4:$A$40,'HDD-by Country'!$C$4:$C$40)/1000</f>
        <v>36284.014340271482</v>
      </c>
      <c r="E78" s="349">
        <f>E72*24*LOOKUP(Detached!E$2,'HDD-by Country'!$A$4:$A$40,'HDD-by Country'!$C$4:$C$40)/1000</f>
        <v>38157.911768248508</v>
      </c>
      <c r="F78" s="349">
        <f>F72*24*LOOKUP(Detached!F$2,'HDD-by Country'!$A$4:$A$40,'HDD-by Country'!$C$4:$C$40)/1000</f>
        <v>20018.513922782971</v>
      </c>
      <c r="G78" s="349">
        <f>G72*24*LOOKUP(Detached!G$2,'HDD-by Country'!$A$4:$A$40,'HDD-by Country'!$C$4:$C$40)/1000</f>
        <v>35350.010613549326</v>
      </c>
      <c r="H78" s="349">
        <f>H72*24*LOOKUP(Detached!H$2,'HDD-by Country'!$A$4:$A$40,'HDD-by Country'!$C$4:$C$40)/1000</f>
        <v>12675.564778373249</v>
      </c>
      <c r="I78" s="349">
        <f>I72*24*LOOKUP(Detached!I$2,'HDD-by Country'!$A$4:$A$40,'HDD-by Country'!$C$4:$C$40)/1000</f>
        <v>21599.444839026346</v>
      </c>
      <c r="J78" s="349">
        <f>J72*24*LOOKUP(Detached!J$2,'HDD-by Country'!$A$4:$A$40,'HDD-by Country'!$C$4:$C$40)/1000</f>
        <v>35288.878108524928</v>
      </c>
      <c r="K78" s="349">
        <f>K72*24*LOOKUP(Detached!K$2,'HDD-by Country'!$A$4:$A$40,'HDD-by Country'!$C$4:$C$40)/1000</f>
        <v>22845.036229888028</v>
      </c>
      <c r="L78" s="349">
        <f>L72*24*LOOKUP(Detached!L$2,'HDD-by Country'!$A$4:$A$40,'HDD-by Country'!$C$4:$C$40)/1000</f>
        <v>14887.826339403544</v>
      </c>
      <c r="M78" s="349">
        <f>M72*24*LOOKUP(Detached!M$2,'HDD-by Country'!$A$4:$A$40,'HDD-by Country'!$C$4:$C$40)/1000</f>
        <v>29155.595550698614</v>
      </c>
      <c r="N78" s="349">
        <f>N72*24*LOOKUP(Detached!N$2,'HDD-by Country'!$A$4:$A$40,'HDD-by Country'!$C$4:$C$40)/1000</f>
        <v>22489.453508573952</v>
      </c>
      <c r="O78" s="349">
        <f>O72*24*LOOKUP(Detached!O$2,'HDD-by Country'!$A$4:$A$40,'HDD-by Country'!$C$4:$C$40)/1000</f>
        <v>46201.50938485215</v>
      </c>
      <c r="P78" s="349">
        <f>P72*24*LOOKUP(Detached!P$2,'HDD-by Country'!$A$4:$A$40,'HDD-by Country'!$C$4:$C$40)/1000</f>
        <v>28940.080061876957</v>
      </c>
      <c r="Q78" s="349">
        <f>Q72*24*LOOKUP(Detached!Q$2,'HDD-by Country'!$A$4:$A$40,'HDD-by Country'!$C$4:$C$40)/1000</f>
        <v>18610.217048627739</v>
      </c>
      <c r="R78" s="349">
        <f>R72*24*LOOKUP(Detached!R$2,'HDD-by Country'!$A$4:$A$40,'HDD-by Country'!$C$4:$C$40)/1000</f>
        <v>27979.618320099322</v>
      </c>
      <c r="S78" s="349">
        <f>S72*24*LOOKUP(Detached!S$2,'HDD-by Country'!$A$4:$A$40,'HDD-by Country'!$C$4:$C$40)/1000</f>
        <v>39788.221295218376</v>
      </c>
      <c r="T78" s="349">
        <f>T72*24*LOOKUP(Detached!T$2,'HDD-by Country'!$A$4:$A$40,'HDD-by Country'!$C$4:$C$40)/1000</f>
        <v>19129.490710882732</v>
      </c>
      <c r="U78" s="349">
        <f>U72*24*LOOKUP(Detached!U$2,'HDD-by Country'!$A$4:$A$40,'HDD-by Country'!$C$4:$C$40)/1000</f>
        <v>26463.104100808996</v>
      </c>
      <c r="V78" s="349">
        <f>V72*24*LOOKUP(Detached!V$2,'HDD-by Country'!$A$4:$A$40,'HDD-by Country'!$C$4:$C$40)/1000</f>
        <v>28410.184909897929</v>
      </c>
      <c r="W78" s="349">
        <f>W72*24*LOOKUP(Detached!W$2,'HDD-by Country'!$A$4:$A$40,'HDD-by Country'!$C$4:$C$40)/1000</f>
        <v>29455.072145344595</v>
      </c>
      <c r="X78" s="349">
        <f>X72*24*LOOKUP(Detached!X$2,'HDD-by Country'!$A$4:$A$40,'HDD-by Country'!$C$4:$C$40)/1000</f>
        <v>31496.499615253979</v>
      </c>
      <c r="Y78" s="349">
        <f>Y72*24*LOOKUP(Detached!Y$2,'HDD-by Country'!$A$4:$A$40,'HDD-by Country'!$C$4:$C$40)/1000</f>
        <v>10591.719507679823</v>
      </c>
      <c r="Z78" s="349">
        <f>Z72*24*LOOKUP(Detached!Z$2,'HDD-by Country'!$A$4:$A$40,'HDD-by Country'!$C$4:$C$40)/1000</f>
        <v>32699.3832150331</v>
      </c>
      <c r="AA78" s="349">
        <f>AA72*24*LOOKUP(Detached!AA$2,'HDD-by Country'!$A$4:$A$40,'HDD-by Country'!$C$4:$C$40)/1000</f>
        <v>21901.531342627466</v>
      </c>
      <c r="AB78" s="349">
        <f>AB72*24*LOOKUP(Detached!AB$2,'HDD-by Country'!$A$4:$A$40,'HDD-by Country'!$C$4:$C$40)/1000</f>
        <v>29493.68742891922</v>
      </c>
      <c r="AC78" s="349">
        <f>AC72*24*LOOKUP(Detached!AC$2,'HDD-by Country'!$A$4:$A$40,'HDD-by Country'!$C$4:$C$40)/1000</f>
        <v>20365.404491888137</v>
      </c>
      <c r="AD78" s="349">
        <f>AD72*24*LOOKUP(Detached!AD$2,'HDD-by Country'!$A$4:$A$40,'HDD-by Country'!$C$4:$C$40)/1000</f>
        <v>27945.132443331215</v>
      </c>
      <c r="AE78" s="349">
        <f>AE72*24*LOOKUP(Detached!AE$2,'HDD-by Country'!$A$4:$A$40,'HDD-by Country'!$C$4:$C$40)/1000</f>
        <v>21117.94839342259</v>
      </c>
      <c r="AF78" s="349">
        <f>AF72*24*LOOKUP(Detached!AF$2,'HDD-by Country'!$A$4:$A$40,'HDD-by Country'!$C$4:$C$40)/1000</f>
        <v>27934.126061558003</v>
      </c>
      <c r="AG78" s="349">
        <f>AG72*24*LOOKUP(Detached!AG$2,'HDD-by Country'!$A$4:$A$40,'HDD-by Country'!$C$4:$C$40)/1000</f>
        <v>33869.077748572599</v>
      </c>
      <c r="AH78" s="349">
        <f>AH72*24*LOOKUP(Detached!AH$2,'HDD-by Country'!$A$4:$A$40,'HDD-by Country'!$C$4:$C$40)/1000</f>
        <v>35101.067355761072</v>
      </c>
      <c r="AI78" s="349">
        <f>AI72*24*LOOKUP(Detached!AI$2,'HDD-by Country'!$A$4:$A$40,'HDD-by Country'!$C$4:$C$40)/1000</f>
        <v>28940.080061876957</v>
      </c>
      <c r="AJ78" s="349">
        <f>AJ72*24*LOOKUP(Detached!AJ$2,'HDD-by Country'!$A$4:$A$40,'HDD-by Country'!$C$4:$C$40)/1000</f>
        <v>20929.312515407808</v>
      </c>
      <c r="AK78" s="349">
        <f>AK72*24*LOOKUP(Detached!AK$2,'HDD-by Country'!$A$4:$A$40,'HDD-by Country'!$C$4:$C$40)/1000</f>
        <v>22711.838980756442</v>
      </c>
      <c r="AL78" s="349">
        <f>AL72*24*LOOKUP(Detached!AL$2,'HDD-by Country'!$A$4:$A$40,'HDD-by Country'!$C$4:$C$40)/1000</f>
        <v>21141.925648392262</v>
      </c>
      <c r="AM78" s="349">
        <f>AM72*24*LOOKUP(Detached!AM$2,'HDD-by Country'!$A$4:$A$40,'HDD-by Country'!$C$4:$C$40)/1000</f>
        <v>19246.085807289797</v>
      </c>
      <c r="AN78" s="354">
        <f>AN72*24*LOOKUP(Detached!AN$2,'HDD-by Country'!$A$4:$A$40,'HDD-by Country'!$C$4:$C$40)/1000</f>
        <v>19246.085807289797</v>
      </c>
    </row>
    <row r="79" spans="1:40">
      <c r="A79" s="129"/>
      <c r="B79" s="142" t="s">
        <v>4</v>
      </c>
      <c r="C79" s="129" t="s">
        <v>261</v>
      </c>
      <c r="D79" s="345">
        <f>D73*24*LOOKUP(Detached!D$2,'HDD-by Country'!$A$4:$A$40,'HDD-by Country'!$C$4:$C$40)/1000</f>
        <v>27370.530439689643</v>
      </c>
      <c r="E79" s="349">
        <f>E73*24*LOOKUP(Detached!E$2,'HDD-by Country'!$A$4:$A$40,'HDD-by Country'!$C$4:$C$40)/1000</f>
        <v>38157.911768248508</v>
      </c>
      <c r="F79" s="349">
        <f>F73*24*LOOKUP(Detached!F$2,'HDD-by Country'!$A$4:$A$40,'HDD-by Country'!$C$4:$C$40)/1000</f>
        <v>18568.179696968273</v>
      </c>
      <c r="G79" s="349">
        <f>G73*24*LOOKUP(Detached!G$2,'HDD-by Country'!$A$4:$A$40,'HDD-by Country'!$C$4:$C$40)/1000</f>
        <v>26665.97285702276</v>
      </c>
      <c r="H79" s="349">
        <f>H73*24*LOOKUP(Detached!H$2,'HDD-by Country'!$A$4:$A$40,'HDD-by Country'!$C$4:$C$40)/1000</f>
        <v>11666.194733773895</v>
      </c>
      <c r="I79" s="349">
        <f>I73*24*LOOKUP(Detached!I$2,'HDD-by Country'!$A$4:$A$40,'HDD-by Country'!$C$4:$C$40)/1000</f>
        <v>21599.444839026346</v>
      </c>
      <c r="J79" s="349">
        <f>J73*24*LOOKUP(Detached!J$2,'HDD-by Country'!$A$4:$A$40,'HDD-by Country'!$C$4:$C$40)/1000</f>
        <v>19644.004829048805</v>
      </c>
      <c r="K79" s="349">
        <f>K73*24*LOOKUP(Detached!K$2,'HDD-by Country'!$A$4:$A$40,'HDD-by Country'!$C$4:$C$40)/1000</f>
        <v>13646.002698867809</v>
      </c>
      <c r="L79" s="349">
        <f>L73*24*LOOKUP(Detached!L$2,'HDD-by Country'!$A$4:$A$40,'HDD-by Country'!$C$4:$C$40)/1000</f>
        <v>11372.54806456038</v>
      </c>
      <c r="M79" s="349">
        <f>M73*24*LOOKUP(Detached!M$2,'HDD-by Country'!$A$4:$A$40,'HDD-by Country'!$C$4:$C$40)/1000</f>
        <v>29155.595550698614</v>
      </c>
      <c r="N79" s="349">
        <f>N73*24*LOOKUP(Detached!N$2,'HDD-by Country'!$A$4:$A$40,'HDD-by Country'!$C$4:$C$40)/1000</f>
        <v>17556.324304191876</v>
      </c>
      <c r="O79" s="349">
        <f>O73*24*LOOKUP(Detached!O$2,'HDD-by Country'!$A$4:$A$40,'HDD-by Country'!$C$4:$C$40)/1000</f>
        <v>17649.959615443149</v>
      </c>
      <c r="P79" s="349">
        <f>P73*24*LOOKUP(Detached!P$2,'HDD-by Country'!$A$4:$A$40,'HDD-by Country'!$C$4:$C$40)/1000</f>
        <v>28940.080061876957</v>
      </c>
      <c r="Q79" s="349">
        <f>Q73*24*LOOKUP(Detached!Q$2,'HDD-by Country'!$A$4:$A$40,'HDD-by Country'!$C$4:$C$40)/1000</f>
        <v>17238.958848456048</v>
      </c>
      <c r="R79" s="349">
        <f>R73*24*LOOKUP(Detached!R$2,'HDD-by Country'!$A$4:$A$40,'HDD-by Country'!$C$4:$C$40)/1000</f>
        <v>23472.117313030834</v>
      </c>
      <c r="S79" s="349">
        <f>S73*24*LOOKUP(Detached!S$2,'HDD-by Country'!$A$4:$A$40,'HDD-by Country'!$C$4:$C$40)/1000</f>
        <v>32774.135430403927</v>
      </c>
      <c r="T79" s="349">
        <f>T73*24*LOOKUP(Detached!T$2,'HDD-by Country'!$A$4:$A$40,'HDD-by Country'!$C$4:$C$40)/1000</f>
        <v>14933.379442334834</v>
      </c>
      <c r="U79" s="349">
        <f>U73*24*LOOKUP(Detached!U$2,'HDD-by Country'!$A$4:$A$40,'HDD-by Country'!$C$4:$C$40)/1000</f>
        <v>25271.198517058998</v>
      </c>
      <c r="V79" s="349">
        <f>V73*24*LOOKUP(Detached!V$2,'HDD-by Country'!$A$4:$A$40,'HDD-by Country'!$C$4:$C$40)/1000</f>
        <v>16758.055344249522</v>
      </c>
      <c r="W79" s="349">
        <f>W73*24*LOOKUP(Detached!W$2,'HDD-by Country'!$A$4:$A$40,'HDD-by Country'!$C$4:$C$40)/1000</f>
        <v>13791.029709394092</v>
      </c>
      <c r="X79" s="349">
        <f>X73*24*LOOKUP(Detached!X$2,'HDD-by Country'!$A$4:$A$40,'HDD-by Country'!$C$4:$C$40)/1000</f>
        <v>28610.938453728584</v>
      </c>
      <c r="Y79" s="349">
        <f>Y73*24*LOOKUP(Detached!Y$2,'HDD-by Country'!$A$4:$A$40,'HDD-by Country'!$C$4:$C$40)/1000</f>
        <v>8374.2246181701739</v>
      </c>
      <c r="Z79" s="349">
        <f>Z73*24*LOOKUP(Detached!Z$2,'HDD-by Country'!$A$4:$A$40,'HDD-by Country'!$C$4:$C$40)/1000</f>
        <v>31369.286357929323</v>
      </c>
      <c r="AA79" s="349">
        <f>AA73*24*LOOKUP(Detached!AA$2,'HDD-by Country'!$A$4:$A$40,'HDD-by Country'!$C$4:$C$40)/1000</f>
        <v>12906.49169931639</v>
      </c>
      <c r="AB79" s="349">
        <f>AB73*24*LOOKUP(Detached!AB$2,'HDD-by Country'!$A$4:$A$40,'HDD-by Country'!$C$4:$C$40)/1000</f>
        <v>19564.223608627653</v>
      </c>
      <c r="AC79" s="349">
        <f>AC73*24*LOOKUP(Detached!AC$2,'HDD-by Country'!$A$4:$A$40,'HDD-by Country'!$C$4:$C$40)/1000</f>
        <v>19896.743938675532</v>
      </c>
      <c r="AD79" s="349">
        <f>AD73*24*LOOKUP(Detached!AD$2,'HDD-by Country'!$A$4:$A$40,'HDD-by Country'!$C$4:$C$40)/1000</f>
        <v>27945.132443331215</v>
      </c>
      <c r="AE79" s="349">
        <f>AE73*24*LOOKUP(Detached!AE$2,'HDD-by Country'!$A$4:$A$40,'HDD-by Country'!$C$4:$C$40)/1000</f>
        <v>12444.7291553451</v>
      </c>
      <c r="AF79" s="349">
        <f>AF73*24*LOOKUP(Detached!AF$2,'HDD-by Country'!$A$4:$A$40,'HDD-by Country'!$C$4:$C$40)/1000</f>
        <v>25638.015392510006</v>
      </c>
      <c r="AG79" s="349">
        <f>AG73*24*LOOKUP(Detached!AG$2,'HDD-by Country'!$A$4:$A$40,'HDD-by Country'!$C$4:$C$40)/1000</f>
        <v>33869.077748572599</v>
      </c>
      <c r="AH79" s="349">
        <f>AH73*24*LOOKUP(Detached!AH$2,'HDD-by Country'!$A$4:$A$40,'HDD-by Country'!$C$4:$C$40)/1000</f>
        <v>25960.246222921622</v>
      </c>
      <c r="AI79" s="349">
        <f>AI73*24*LOOKUP(Detached!AI$2,'HDD-by Country'!$A$4:$A$40,'HDD-by Country'!$C$4:$C$40)/1000</f>
        <v>28940.080061876957</v>
      </c>
      <c r="AJ79" s="349">
        <f>AJ73*24*LOOKUP(Detached!AJ$2,'HDD-by Country'!$A$4:$A$40,'HDD-by Country'!$C$4:$C$40)/1000</f>
        <v>20929.312515407808</v>
      </c>
      <c r="AK79" s="349">
        <f>AK73*24*LOOKUP(Detached!AK$2,'HDD-by Country'!$A$4:$A$40,'HDD-by Country'!$C$4:$C$40)/1000</f>
        <v>22711.838980756442</v>
      </c>
      <c r="AL79" s="349">
        <f>AL73*24*LOOKUP(Detached!AL$2,'HDD-by Country'!$A$4:$A$40,'HDD-by Country'!$C$4:$C$40)/1000</f>
        <v>19603.646308495325</v>
      </c>
      <c r="AM79" s="349">
        <f>AM73*24*LOOKUP(Detached!AM$2,'HDD-by Country'!$A$4:$A$40,'HDD-by Country'!$C$4:$C$40)/1000</f>
        <v>19246.085807289797</v>
      </c>
      <c r="AN79" s="354">
        <f>AN73*24*LOOKUP(Detached!AN$2,'HDD-by Country'!$A$4:$A$40,'HDD-by Country'!$C$4:$C$40)/1000</f>
        <v>19246.085807289797</v>
      </c>
    </row>
    <row r="80" spans="1:40">
      <c r="A80" s="129"/>
      <c r="B80" s="142" t="s">
        <v>5</v>
      </c>
      <c r="C80" s="129" t="s">
        <v>261</v>
      </c>
      <c r="D80" s="345">
        <f>D74*24*LOOKUP(Detached!D$2,'HDD-by Country'!$A$4:$A$40,'HDD-by Country'!$C$4:$C$40)/1000</f>
        <v>17651.132116613891</v>
      </c>
      <c r="E80" s="349">
        <f>E74*24*LOOKUP(Detached!E$2,'HDD-by Country'!$A$4:$A$40,'HDD-by Country'!$C$4:$C$40)/1000</f>
        <v>31197.823477135556</v>
      </c>
      <c r="F80" s="349">
        <f>F74*24*LOOKUP(Detached!F$2,'HDD-by Country'!$A$4:$A$40,'HDD-by Country'!$C$4:$C$40)/1000</f>
        <v>15276.31473695768</v>
      </c>
      <c r="G80" s="349">
        <f>G74*24*LOOKUP(Detached!G$2,'HDD-by Country'!$A$4:$A$40,'HDD-by Country'!$C$4:$C$40)/1000</f>
        <v>17196.766096824165</v>
      </c>
      <c r="H80" s="349">
        <f>H74*24*LOOKUP(Detached!H$2,'HDD-by Country'!$A$4:$A$40,'HDD-by Country'!$C$4:$C$40)/1000</f>
        <v>11215.394891296295</v>
      </c>
      <c r="I80" s="349">
        <f>I74*24*LOOKUP(Detached!I$2,'HDD-by Country'!$A$4:$A$40,'HDD-by Country'!$C$4:$C$40)/1000</f>
        <v>18546.810783820201</v>
      </c>
      <c r="J80" s="349">
        <f>J74*24*LOOKUP(Detached!J$2,'HDD-by Country'!$A$4:$A$40,'HDD-by Country'!$C$4:$C$40)/1000</f>
        <v>14719.097698789607</v>
      </c>
      <c r="K80" s="349">
        <f>K74*24*LOOKUP(Detached!K$2,'HDD-by Country'!$A$4:$A$40,'HDD-by Country'!$C$4:$C$40)/1000</f>
        <v>10679.21351676272</v>
      </c>
      <c r="L80" s="349">
        <f>L74*24*LOOKUP(Detached!L$2,'HDD-by Country'!$A$4:$A$40,'HDD-by Country'!$C$4:$C$40)/1000</f>
        <v>8956.6865340562381</v>
      </c>
      <c r="M80" s="349">
        <f>M74*24*LOOKUP(Detached!M$2,'HDD-by Country'!$A$4:$A$40,'HDD-by Country'!$C$4:$C$40)/1000</f>
        <v>18672.371979406798</v>
      </c>
      <c r="N80" s="349">
        <f>N74*24*LOOKUP(Detached!N$2,'HDD-by Country'!$A$4:$A$40,'HDD-by Country'!$C$4:$C$40)/1000</f>
        <v>13974.975998783171</v>
      </c>
      <c r="O80" s="349">
        <f>O74*24*LOOKUP(Detached!O$2,'HDD-by Country'!$A$4:$A$40,'HDD-by Country'!$C$4:$C$40)/1000</f>
        <v>14679.893227421211</v>
      </c>
      <c r="P80" s="349">
        <f>P74*24*LOOKUP(Detached!P$2,'HDD-by Country'!$A$4:$A$40,'HDD-by Country'!$C$4:$C$40)/1000</f>
        <v>27981.409808628552</v>
      </c>
      <c r="Q80" s="349">
        <f>Q74*24*LOOKUP(Detached!Q$2,'HDD-by Country'!$A$4:$A$40,'HDD-by Country'!$C$4:$C$40)/1000</f>
        <v>17238.958848456048</v>
      </c>
      <c r="R80" s="349">
        <f>R74*24*LOOKUP(Detached!R$2,'HDD-by Country'!$A$4:$A$40,'HDD-by Country'!$C$4:$C$40)/1000</f>
        <v>15959.615634583359</v>
      </c>
      <c r="S80" s="349">
        <f>S74*24*LOOKUP(Detached!S$2,'HDD-by Country'!$A$4:$A$40,'HDD-by Country'!$C$4:$C$40)/1000</f>
        <v>19698.871699959251</v>
      </c>
      <c r="T80" s="349">
        <f>T74*24*LOOKUP(Detached!T$2,'HDD-by Country'!$A$4:$A$40,'HDD-by Country'!$C$4:$C$40)/1000</f>
        <v>11887.090695717105</v>
      </c>
      <c r="U80" s="349">
        <f>U74*24*LOOKUP(Detached!U$2,'HDD-by Country'!$A$4:$A$40,'HDD-by Country'!$C$4:$C$40)/1000</f>
        <v>19120.173532536875</v>
      </c>
      <c r="V80" s="349">
        <f>V74*24*LOOKUP(Detached!V$2,'HDD-by Country'!$A$4:$A$40,'HDD-by Country'!$C$4:$C$40)/1000</f>
        <v>16758.055344249522</v>
      </c>
      <c r="W80" s="349">
        <f>W74*24*LOOKUP(Detached!W$2,'HDD-by Country'!$A$4:$A$40,'HDD-by Country'!$C$4:$C$40)/1000</f>
        <v>12154.181662987397</v>
      </c>
      <c r="X80" s="349">
        <f>X74*24*LOOKUP(Detached!X$2,'HDD-by Country'!$A$4:$A$40,'HDD-by Country'!$C$4:$C$40)/1000</f>
        <v>15134.08980762699</v>
      </c>
      <c r="Y80" s="349">
        <f>Y74*24*LOOKUP(Detached!Y$2,'HDD-by Country'!$A$4:$A$40,'HDD-by Country'!$C$4:$C$40)/1000</f>
        <v>7502.3324263701752</v>
      </c>
      <c r="Z80" s="349">
        <f>Z74*24*LOOKUP(Detached!Z$2,'HDD-by Country'!$A$4:$A$40,'HDD-by Country'!$C$4:$C$40)/1000</f>
        <v>16926.419218902953</v>
      </c>
      <c r="AA80" s="349">
        <f>AA74*24*LOOKUP(Detached!AA$2,'HDD-by Country'!$A$4:$A$40,'HDD-by Country'!$C$4:$C$40)/1000</f>
        <v>12906.49169931639</v>
      </c>
      <c r="AB80" s="349">
        <f>AB74*24*LOOKUP(Detached!AB$2,'HDD-by Country'!$A$4:$A$40,'HDD-by Country'!$C$4:$C$40)/1000</f>
        <v>19564.223608627653</v>
      </c>
      <c r="AC80" s="349">
        <f>AC74*24*LOOKUP(Detached!AC$2,'HDD-by Country'!$A$4:$A$40,'HDD-by Country'!$C$4:$C$40)/1000</f>
        <v>19125.81935129769</v>
      </c>
      <c r="AD80" s="349">
        <f>AD74*24*LOOKUP(Detached!AD$2,'HDD-by Country'!$A$4:$A$40,'HDD-by Country'!$C$4:$C$40)/1000</f>
        <v>22914.696042596661</v>
      </c>
      <c r="AE80" s="349">
        <f>AE74*24*LOOKUP(Detached!AE$2,'HDD-by Country'!$A$4:$A$40,'HDD-by Country'!$C$4:$C$40)/1000</f>
        <v>12444.7291553451</v>
      </c>
      <c r="AF80" s="349">
        <f>AF74*24*LOOKUP(Detached!AF$2,'HDD-by Country'!$A$4:$A$40,'HDD-by Country'!$C$4:$C$40)/1000</f>
        <v>19025.566487770375</v>
      </c>
      <c r="AG80" s="349">
        <f>AG74*24*LOOKUP(Detached!AG$2,'HDD-by Country'!$A$4:$A$40,'HDD-by Country'!$C$4:$C$40)/1000</f>
        <v>28667.878805226836</v>
      </c>
      <c r="AH80" s="349">
        <f>AH74*24*LOOKUP(Detached!AH$2,'HDD-by Country'!$A$4:$A$40,'HDD-by Country'!$C$4:$C$40)/1000</f>
        <v>12380.092987880069</v>
      </c>
      <c r="AI80" s="349">
        <f>AI74*24*LOOKUP(Detached!AI$2,'HDD-by Country'!$A$4:$A$40,'HDD-by Country'!$C$4:$C$40)/1000</f>
        <v>27981.409808628552</v>
      </c>
      <c r="AJ80" s="349">
        <f>AJ74*24*LOOKUP(Detached!AJ$2,'HDD-by Country'!$A$4:$A$40,'HDD-by Country'!$C$4:$C$40)/1000</f>
        <v>17304.517656315937</v>
      </c>
      <c r="AK80" s="349">
        <f>AK74*24*LOOKUP(Detached!AK$2,'HDD-by Country'!$A$4:$A$40,'HDD-by Country'!$C$4:$C$40)/1000</f>
        <v>18707.495802164533</v>
      </c>
      <c r="AL80" s="349">
        <f>AL74*24*LOOKUP(Detached!AL$2,'HDD-by Country'!$A$4:$A$40,'HDD-by Country'!$C$4:$C$40)/1000</f>
        <v>16116.511833153947</v>
      </c>
      <c r="AM80" s="349">
        <f>AM74*24*LOOKUP(Detached!AM$2,'HDD-by Country'!$A$4:$A$40,'HDD-by Country'!$C$4:$C$40)/1000</f>
        <v>15912.812779781289</v>
      </c>
      <c r="AN80" s="354">
        <f>AN74*24*LOOKUP(Detached!AN$2,'HDD-by Country'!$A$4:$A$40,'HDD-by Country'!$C$4:$C$40)/1000</f>
        <v>15912.812779781289</v>
      </c>
    </row>
    <row r="81" spans="1:40">
      <c r="A81" s="129"/>
      <c r="B81" s="142" t="s">
        <v>6</v>
      </c>
      <c r="C81" s="129" t="s">
        <v>261</v>
      </c>
      <c r="D81" s="345">
        <f>D75*24*LOOKUP(Detached!D$2,'HDD-by Country'!$A$4:$A$40,'HDD-by Country'!$C$4:$C$40)/1000</f>
        <v>14690.217003376074</v>
      </c>
      <c r="E81" s="349">
        <f>E75*24*LOOKUP(Detached!E$2,'HDD-by Country'!$A$4:$A$40,'HDD-by Country'!$C$4:$C$40)/1000</f>
        <v>31197.823477135556</v>
      </c>
      <c r="F81" s="349">
        <f>F75*24*LOOKUP(Detached!F$2,'HDD-by Country'!$A$4:$A$40,'HDD-by Country'!$C$4:$C$40)/1000</f>
        <v>11183.538313877474</v>
      </c>
      <c r="G81" s="349">
        <f>G75*24*LOOKUP(Detached!G$2,'HDD-by Country'!$A$4:$A$40,'HDD-by Country'!$C$4:$C$40)/1000</f>
        <v>14312.069279730133</v>
      </c>
      <c r="H81" s="349">
        <f>H75*24*LOOKUP(Detached!H$2,'HDD-by Country'!$A$4:$A$40,'HDD-by Country'!$C$4:$C$40)/1000</f>
        <v>11215.394891296295</v>
      </c>
      <c r="I81" s="349">
        <f>I75*24*LOOKUP(Detached!I$2,'HDD-by Country'!$A$4:$A$40,'HDD-by Country'!$C$4:$C$40)/1000</f>
        <v>13161.653447116247</v>
      </c>
      <c r="J81" s="349">
        <f>J75*24*LOOKUP(Detached!J$2,'HDD-by Country'!$A$4:$A$40,'HDD-by Country'!$C$4:$C$40)/1000</f>
        <v>8154.583466437919</v>
      </c>
      <c r="K81" s="349">
        <f>K75*24*LOOKUP(Detached!K$2,'HDD-by Country'!$A$4:$A$40,'HDD-by Country'!$C$4:$C$40)/1000</f>
        <v>10679.21351676272</v>
      </c>
      <c r="L81" s="349">
        <f>L75*24*LOOKUP(Detached!L$2,'HDD-by Country'!$A$4:$A$40,'HDD-by Country'!$C$4:$C$40)/1000</f>
        <v>7655.9662544401226</v>
      </c>
      <c r="M81" s="349">
        <f>M75*24*LOOKUP(Detached!M$2,'HDD-by Country'!$A$4:$A$40,'HDD-by Country'!$C$4:$C$40)/1000</f>
        <v>18672.371979406798</v>
      </c>
      <c r="N81" s="349">
        <f>N75*24*LOOKUP(Detached!N$2,'HDD-by Country'!$A$4:$A$40,'HDD-by Country'!$C$4:$C$40)/1000</f>
        <v>13730.793941786977</v>
      </c>
      <c r="O81" s="349">
        <f>O75*24*LOOKUP(Detached!O$2,'HDD-by Country'!$A$4:$A$40,'HDD-by Country'!$C$4:$C$40)/1000</f>
        <v>7975.4774659626464</v>
      </c>
      <c r="P81" s="349">
        <f>P75*24*LOOKUP(Detached!P$2,'HDD-by Country'!$A$4:$A$40,'HDD-by Country'!$C$4:$C$40)/1000</f>
        <v>27981.409808628552</v>
      </c>
      <c r="Q81" s="349">
        <f>Q75*24*LOOKUP(Detached!Q$2,'HDD-by Country'!$A$4:$A$40,'HDD-by Country'!$C$4:$C$40)/1000</f>
        <v>11562.53202099382</v>
      </c>
      <c r="R81" s="349">
        <f>R75*24*LOOKUP(Detached!R$2,'HDD-by Country'!$A$4:$A$40,'HDD-by Country'!$C$4:$C$40)/1000</f>
        <v>15959.615634583359</v>
      </c>
      <c r="S81" s="349">
        <f>S75*24*LOOKUP(Detached!S$2,'HDD-by Country'!$A$4:$A$40,'HDD-by Country'!$C$4:$C$40)/1000</f>
        <v>15713.040198517585</v>
      </c>
      <c r="T81" s="349">
        <f>T75*24*LOOKUP(Detached!T$2,'HDD-by Country'!$A$4:$A$40,'HDD-by Country'!$C$4:$C$40)/1000</f>
        <v>11679.389855441368</v>
      </c>
      <c r="U81" s="349">
        <f>U75*24*LOOKUP(Detached!U$2,'HDD-by Country'!$A$4:$A$40,'HDD-by Country'!$C$4:$C$40)/1000</f>
        <v>17241.872833906349</v>
      </c>
      <c r="V81" s="349">
        <f>V75*24*LOOKUP(Detached!V$2,'HDD-by Country'!$A$4:$A$40,'HDD-by Country'!$C$4:$C$40)/1000</f>
        <v>16758.055344249522</v>
      </c>
      <c r="W81" s="349">
        <f>W75*24*LOOKUP(Detached!W$2,'HDD-by Country'!$A$4:$A$40,'HDD-by Country'!$C$4:$C$40)/1000</f>
        <v>10482.181756284852</v>
      </c>
      <c r="X81" s="349">
        <f>X75*24*LOOKUP(Detached!X$2,'HDD-by Country'!$A$4:$A$40,'HDD-by Country'!$C$4:$C$40)/1000</f>
        <v>14811.65580762699</v>
      </c>
      <c r="Y81" s="349">
        <f>Y75*24*LOOKUP(Detached!Y$2,'HDD-by Country'!$A$4:$A$40,'HDD-by Country'!$C$4:$C$40)/1000</f>
        <v>7336.6729099281747</v>
      </c>
      <c r="Z81" s="349">
        <f>Z75*24*LOOKUP(Detached!Z$2,'HDD-by Country'!$A$4:$A$40,'HDD-by Country'!$C$4:$C$40)/1000</f>
        <v>15159.875869122608</v>
      </c>
      <c r="AA81" s="349">
        <f>AA75*24*LOOKUP(Detached!AA$2,'HDD-by Country'!$A$4:$A$40,'HDD-by Country'!$C$4:$C$40)/1000</f>
        <v>10848.6678105478</v>
      </c>
      <c r="AB81" s="349">
        <f>AB75*24*LOOKUP(Detached!AB$2,'HDD-by Country'!$A$4:$A$40,'HDD-by Country'!$C$4:$C$40)/1000</f>
        <v>19564.223608627653</v>
      </c>
      <c r="AC81" s="349">
        <f>AC75*24*LOOKUP(Detached!AC$2,'HDD-by Country'!$A$4:$A$40,'HDD-by Country'!$C$4:$C$40)/1000</f>
        <v>17349.639899935708</v>
      </c>
      <c r="AD81" s="349">
        <f>AD75*24*LOOKUP(Detached!AD$2,'HDD-by Country'!$A$4:$A$40,'HDD-by Country'!$C$4:$C$40)/1000</f>
        <v>22914.696042596661</v>
      </c>
      <c r="AE81" s="349">
        <f>AE75*24*LOOKUP(Detached!AE$2,'HDD-by Country'!$A$4:$A$40,'HDD-by Country'!$C$4:$C$40)/1000</f>
        <v>10460.529146408473</v>
      </c>
      <c r="AF81" s="349">
        <f>AF75*24*LOOKUP(Detached!AF$2,'HDD-by Country'!$A$4:$A$40,'HDD-by Country'!$C$4:$C$40)/1000</f>
        <v>12624.219835735716</v>
      </c>
      <c r="AG81" s="349">
        <f>AG75*24*LOOKUP(Detached!AG$2,'HDD-by Country'!$A$4:$A$40,'HDD-by Country'!$C$4:$C$40)/1000</f>
        <v>25530.23853973284</v>
      </c>
      <c r="AH81" s="349">
        <f>AH75*24*LOOKUP(Detached!AH$2,'HDD-by Country'!$A$4:$A$40,'HDD-by Country'!$C$4:$C$40)/1000</f>
        <v>9765.7615090372474</v>
      </c>
      <c r="AI81" s="349">
        <f>AI75*24*LOOKUP(Detached!AI$2,'HDD-by Country'!$A$4:$A$40,'HDD-by Country'!$C$4:$C$40)/1000</f>
        <v>27981.409808628552</v>
      </c>
      <c r="AJ81" s="349">
        <f>AJ75*24*LOOKUP(Detached!AJ$2,'HDD-by Country'!$A$4:$A$40,'HDD-by Country'!$C$4:$C$40)/1000</f>
        <v>15936.876412571943</v>
      </c>
      <c r="AK81" s="349">
        <f>AK75*24*LOOKUP(Detached!AK$2,'HDD-by Country'!$A$4:$A$40,'HDD-by Country'!$C$4:$C$40)/1000</f>
        <v>17202.994673221259</v>
      </c>
      <c r="AL81" s="349">
        <f>AL75*24*LOOKUP(Detached!AL$2,'HDD-by Country'!$A$4:$A$40,'HDD-by Country'!$C$4:$C$40)/1000</f>
        <v>11756.93337214938</v>
      </c>
      <c r="AM81" s="349">
        <f>AM75*24*LOOKUP(Detached!AM$2,'HDD-by Country'!$A$4:$A$40,'HDD-by Country'!$C$4:$C$40)/1000</f>
        <v>14655.163217173445</v>
      </c>
      <c r="AN81" s="354">
        <f>AN75*24*LOOKUP(Detached!AN$2,'HDD-by Country'!$A$4:$A$40,'HDD-by Country'!$C$4:$C$40)/1000</f>
        <v>14655.163217173445</v>
      </c>
    </row>
    <row r="82" spans="1:40">
      <c r="A82" s="130"/>
      <c r="B82" s="142" t="s">
        <v>7</v>
      </c>
      <c r="C82" s="129" t="s">
        <v>261</v>
      </c>
      <c r="D82" s="345">
        <f>D76*24*LOOKUP(Detached!D$2,'HDD-by Country'!$A$4:$A$40,'HDD-by Country'!$C$4:$C$40)/1000</f>
        <v>12713.915368913464</v>
      </c>
      <c r="E82" s="349">
        <f>E76*24*LOOKUP(Detached!E$2,'HDD-by Country'!$A$4:$A$40,'HDD-by Country'!$C$4:$C$40)/1000</f>
        <v>16544.449192078959</v>
      </c>
      <c r="F82" s="349">
        <f>F76*24*LOOKUP(Detached!F$2,'HDD-by Country'!$A$4:$A$40,'HDD-by Country'!$C$4:$C$40)/1000</f>
        <v>6736.2130820815537</v>
      </c>
      <c r="G82" s="349">
        <f>G76*24*LOOKUP(Detached!G$2,'HDD-by Country'!$A$4:$A$40,'HDD-by Country'!$C$4:$C$40)/1000</f>
        <v>12386.640546882116</v>
      </c>
      <c r="H82" s="349">
        <f>H76*24*LOOKUP(Detached!H$2,'HDD-by Country'!$A$4:$A$40,'HDD-by Country'!$C$4:$C$40)/1000</f>
        <v>8936.2399206984373</v>
      </c>
      <c r="I82" s="349">
        <f>I76*24*LOOKUP(Detached!I$2,'HDD-by Country'!$A$4:$A$40,'HDD-by Country'!$C$4:$C$40)/1000</f>
        <v>10575.524048209663</v>
      </c>
      <c r="J82" s="349">
        <f>J76*24*LOOKUP(Detached!J$2,'HDD-by Country'!$A$4:$A$40,'HDD-by Country'!$C$4:$C$40)/1000</f>
        <v>9115.9192814157032</v>
      </c>
      <c r="K82" s="349">
        <f>K76*24*LOOKUP(Detached!K$2,'HDD-by Country'!$A$4:$A$40,'HDD-by Country'!$C$4:$C$40)/1000</f>
        <v>7668.6491437562381</v>
      </c>
      <c r="L82" s="349">
        <f>L76*24*LOOKUP(Detached!L$2,'HDD-by Country'!$A$4:$A$40,'HDD-by Country'!$C$4:$C$40)/1000</f>
        <v>7655.9662544401226</v>
      </c>
      <c r="M82" s="349">
        <f>M76*24*LOOKUP(Detached!M$2,'HDD-by Country'!$A$4:$A$40,'HDD-by Country'!$C$4:$C$40)/1000</f>
        <v>10861.794623282702</v>
      </c>
      <c r="N82" s="349">
        <f>N76*24*LOOKUP(Detached!N$2,'HDD-by Country'!$A$4:$A$40,'HDD-by Country'!$C$4:$C$40)/1000</f>
        <v>12530.632276302193</v>
      </c>
      <c r="O82" s="349">
        <f>O76*24*LOOKUP(Detached!O$2,'HDD-by Country'!$A$4:$A$40,'HDD-by Country'!$C$4:$C$40)/1000</f>
        <v>7716.502584995329</v>
      </c>
      <c r="P82" s="349">
        <f>P76*24*LOOKUP(Detached!P$2,'HDD-by Country'!$A$4:$A$40,'HDD-by Country'!$C$4:$C$40)/1000</f>
        <v>7588.229126959207</v>
      </c>
      <c r="Q82" s="349">
        <f>Q76*24*LOOKUP(Detached!Q$2,'HDD-by Country'!$A$4:$A$40,'HDD-by Country'!$C$4:$C$40)/1000</f>
        <v>6552.513777809083</v>
      </c>
      <c r="R82" s="349">
        <f>R76*24*LOOKUP(Detached!R$2,'HDD-by Country'!$A$4:$A$40,'HDD-by Country'!$C$4:$C$40)/1000</f>
        <v>9414.8059851364287</v>
      </c>
      <c r="S82" s="349">
        <f>S76*24*LOOKUP(Detached!S$2,'HDD-by Country'!$A$4:$A$40,'HDD-by Country'!$C$4:$C$40)/1000</f>
        <v>8682.3485663846495</v>
      </c>
      <c r="T82" s="349">
        <f>T76*24*LOOKUP(Detached!T$2,'HDD-by Country'!$A$4:$A$40,'HDD-by Country'!$C$4:$C$40)/1000</f>
        <v>10658.534394338412</v>
      </c>
      <c r="U82" s="349">
        <f>U76*24*LOOKUP(Detached!U$2,'HDD-by Country'!$A$4:$A$40,'HDD-by Country'!$C$4:$C$40)/1000</f>
        <v>17241.872833906349</v>
      </c>
      <c r="V82" s="349">
        <f>V76*24*LOOKUP(Detached!V$2,'HDD-by Country'!$A$4:$A$40,'HDD-by Country'!$C$4:$C$40)/1000</f>
        <v>8295.8595572022241</v>
      </c>
      <c r="W82" s="349">
        <f>W76*24*LOOKUP(Detached!W$2,'HDD-by Country'!$A$4:$A$40,'HDD-by Country'!$C$4:$C$40)/1000</f>
        <v>8357.2590554091039</v>
      </c>
      <c r="X82" s="349">
        <f>X76*24*LOOKUP(Detached!X$2,'HDD-by Country'!$A$4:$A$40,'HDD-by Country'!$C$4:$C$40)/1000</f>
        <v>7963.8716907457156</v>
      </c>
      <c r="Y82" s="349">
        <f>Y76*24*LOOKUP(Detached!Y$2,'HDD-by Country'!$A$4:$A$40,'HDD-by Country'!$C$4:$C$40)/1000</f>
        <v>6905.3968855137582</v>
      </c>
      <c r="Z82" s="349">
        <f>Z76*24*LOOKUP(Detached!Z$2,'HDD-by Country'!$A$4:$A$40,'HDD-by Country'!$C$4:$C$40)/1000</f>
        <v>10415.022994623703</v>
      </c>
      <c r="AA82" s="349">
        <f>AA76*24*LOOKUP(Detached!AA$2,'HDD-by Country'!$A$4:$A$40,'HDD-by Country'!$C$4:$C$40)/1000</f>
        <v>10848.6678105478</v>
      </c>
      <c r="AB82" s="349">
        <f>AB76*24*LOOKUP(Detached!AB$2,'HDD-by Country'!$A$4:$A$40,'HDD-by Country'!$C$4:$C$40)/1000</f>
        <v>14032.26845204092</v>
      </c>
      <c r="AC82" s="349">
        <f>AC76*24*LOOKUP(Detached!AC$2,'HDD-by Country'!$A$4:$A$40,'HDD-by Country'!$C$4:$C$40)/1000</f>
        <v>10789.18984321373</v>
      </c>
      <c r="AD82" s="349">
        <f>AD76*24*LOOKUP(Detached!AD$2,'HDD-by Country'!$A$4:$A$40,'HDD-by Country'!$C$4:$C$40)/1000</f>
        <v>18242.253027139959</v>
      </c>
      <c r="AE82" s="349">
        <f>AE76*24*LOOKUP(Detached!AE$2,'HDD-by Country'!$A$4:$A$40,'HDD-by Country'!$C$4:$C$40)/1000</f>
        <v>10460.529146408473</v>
      </c>
      <c r="AF82" s="349">
        <f>AF76*24*LOOKUP(Detached!AF$2,'HDD-by Country'!$A$4:$A$40,'HDD-by Country'!$C$4:$C$40)/1000</f>
        <v>6454.3351320258425</v>
      </c>
      <c r="AG82" s="349">
        <f>AG76*24*LOOKUP(Detached!AG$2,'HDD-by Country'!$A$4:$A$40,'HDD-by Country'!$C$4:$C$40)/1000</f>
        <v>14363.171636068762</v>
      </c>
      <c r="AH82" s="349">
        <f>AH76*24*LOOKUP(Detached!AH$2,'HDD-by Country'!$A$4:$A$40,'HDD-by Country'!$C$4:$C$40)/1000</f>
        <v>7935.1329768076084</v>
      </c>
      <c r="AI82" s="349">
        <f>AI76*24*LOOKUP(Detached!AI$2,'HDD-by Country'!$A$4:$A$40,'HDD-by Country'!$C$4:$C$40)/1000</f>
        <v>7588.229126959207</v>
      </c>
      <c r="AJ82" s="349">
        <f>AJ76*24*LOOKUP(Detached!AJ$2,'HDD-by Country'!$A$4:$A$40,'HDD-by Country'!$C$4:$C$40)/1000</f>
        <v>13676.267193695974</v>
      </c>
      <c r="AK82" s="349">
        <f>AK76*24*LOOKUP(Detached!AK$2,'HDD-by Country'!$A$4:$A$40,'HDD-by Country'!$C$4:$C$40)/1000</f>
        <v>14754.970160489462</v>
      </c>
      <c r="AL82" s="349">
        <f>AL76*24*LOOKUP(Detached!AL$2,'HDD-by Country'!$A$4:$A$40,'HDD-by Country'!$C$4:$C$40)/1000</f>
        <v>7075.3994435555778</v>
      </c>
      <c r="AM82" s="349">
        <f>AM76*24*LOOKUP(Detached!AM$2,'HDD-by Country'!$A$4:$A$40,'HDD-by Country'!$C$4:$C$40)/1000</f>
        <v>12576.362063470595</v>
      </c>
      <c r="AN82" s="354">
        <f>AN76*24*LOOKUP(Detached!AN$2,'HDD-by Country'!$A$4:$A$40,'HDD-by Country'!$C$4:$C$40)/1000</f>
        <v>12576.362063470595</v>
      </c>
    </row>
    <row r="83" spans="1:40">
      <c r="A83" s="151" t="s">
        <v>260</v>
      </c>
      <c r="B83" s="141" t="s">
        <v>2</v>
      </c>
      <c r="C83" s="360" t="s">
        <v>261</v>
      </c>
      <c r="D83" s="351">
        <f>D77/(1.355*(D71/Detached!D$17)^0.16)</f>
        <v>29291.418269256588</v>
      </c>
      <c r="E83" s="352">
        <f>E77/(1.355*(E71/Detached!E$17)^0.16)</f>
        <v>27016.713526165182</v>
      </c>
      <c r="F83" s="352">
        <f>F77/(1.355*(F71/Detached!F$17)^0.16)</f>
        <v>14164.035404892107</v>
      </c>
      <c r="G83" s="352">
        <f>G77/(1.355*(G71/Detached!G$17)^0.16)</f>
        <v>28537.414217557765</v>
      </c>
      <c r="H83" s="352">
        <f>H77/(1.355*(H71/Detached!H$17)^0.16)</f>
        <v>8952.1286610118004</v>
      </c>
      <c r="I83" s="352">
        <f>I77/(1.355*(I71/Detached!I$17)^0.16)</f>
        <v>20500.763023939813</v>
      </c>
      <c r="J83" s="352">
        <f>J77/(1.355*(J71/Detached!J$17)^0.16)</f>
        <v>28928.603533351608</v>
      </c>
      <c r="K83" s="352">
        <f>K77/(1.355*(K71/Detached!K$17)^0.16)</f>
        <v>19182.223380008352</v>
      </c>
      <c r="L83" s="352">
        <f>L77/(1.355*(L71/Detached!L$17)^0.16)</f>
        <v>12546.435736490783</v>
      </c>
      <c r="M83" s="352">
        <f>M77/(1.355*(M71/Detached!M$17)^0.16)</f>
        <v>22354.007111310315</v>
      </c>
      <c r="N83" s="352">
        <f>N77/(1.355*(N71/Detached!N$17)^0.16)</f>
        <v>20917.855243160375</v>
      </c>
      <c r="O83" s="352">
        <f>O77/(1.355*(O71/Detached!O$17)^0.16)</f>
        <v>30895.039636994727</v>
      </c>
      <c r="P83" s="352">
        <f>P77/(1.355*(P71/Detached!P$17)^0.16)</f>
        <v>18948.370606602955</v>
      </c>
      <c r="Q83" s="352">
        <f>Q77/(1.355*(Q71/Detached!Q$17)^0.16)</f>
        <v>12544.524560787844</v>
      </c>
      <c r="R83" s="352">
        <f>R77/(1.355*(R71/Detached!R$17)^0.16)</f>
        <v>20214.547810786757</v>
      </c>
      <c r="S83" s="352">
        <f>S77/(1.355*(S71/Detached!S$17)^0.16)</f>
        <v>27757.373180759078</v>
      </c>
      <c r="T83" s="352">
        <f>T77/(1.355*(T71/Detached!T$17)^0.16)</f>
        <v>17792.691912814706</v>
      </c>
      <c r="U83" s="352">
        <f>U77/(1.355*(U71/Detached!U$17)^0.16)</f>
        <v>19729.175914494768</v>
      </c>
      <c r="V83" s="352">
        <f>V77/(1.355*(V71/Detached!V$17)^0.16)</f>
        <v>21736.62688916743</v>
      </c>
      <c r="W83" s="352">
        <f>W77/(1.355*(W71/Detached!W$17)^0.16)</f>
        <v>19799.949197392085</v>
      </c>
      <c r="X83" s="352">
        <f>X77/(1.355*(X71/Detached!X$17)^0.16)</f>
        <v>23835.829685326753</v>
      </c>
      <c r="Y83" s="352">
        <f>Y77/(1.355*(Y71/Detached!Y$17)^0.16)</f>
        <v>6938.3072681964177</v>
      </c>
      <c r="Z83" s="352">
        <f>Z77/(1.355*(Z71/Detached!Z$17)^0.16)</f>
        <v>29484.364010320536</v>
      </c>
      <c r="AA83" s="352">
        <f>AA77/(1.355*(AA71/Detached!AA$17)^0.16)</f>
        <v>19158.223840181316</v>
      </c>
      <c r="AB83" s="352">
        <f>AB77/(1.355*(AB71/Detached!AB$17)^0.16)</f>
        <v>29942.766210915739</v>
      </c>
      <c r="AC83" s="352">
        <f>AC77/(1.355*(AC71/Detached!AC$17)^0.16)</f>
        <v>15594.269661457525</v>
      </c>
      <c r="AD83" s="352">
        <f>AD77/(1.355*(AD71/Detached!AD$17)^0.16)</f>
        <v>21612.062801562854</v>
      </c>
      <c r="AE83" s="352">
        <f>AE77/(1.355*(AE71/Detached!AE$17)^0.16)</f>
        <v>18472.789689328216</v>
      </c>
      <c r="AF83" s="352">
        <f>AF77/(1.355*(AF71/Detached!AF$17)^0.16)</f>
        <v>20410.410594497211</v>
      </c>
      <c r="AG83" s="352">
        <f>AG77/(1.355*(AG71/Detached!AG$17)^0.16)</f>
        <v>29313.536559274791</v>
      </c>
      <c r="AH83" s="352">
        <f>AH77/(1.355*(AH71/Detached!AH$17)^0.16)</f>
        <v>22866.32304512788</v>
      </c>
      <c r="AI83" s="352">
        <f>AI77/(1.355*(AI71/Detached!AI$17)^0.16)</f>
        <v>18948.370606602955</v>
      </c>
      <c r="AJ83" s="352">
        <f>AJ77/(1.355*(AJ71/Detached!AJ$17)^0.16)</f>
        <v>15088.891941952797</v>
      </c>
      <c r="AK83" s="352">
        <f>AK77/(1.355*(AK71/Detached!AK$17)^0.16)</f>
        <v>16599.050613948646</v>
      </c>
      <c r="AL83" s="352">
        <f>AL77/(1.355*(AL71/Detached!AL$17)^0.16)</f>
        <v>15014.766644697936</v>
      </c>
      <c r="AM83" s="352">
        <f>AM77/(1.355*(AM71/Detached!AM$17)^0.16)</f>
        <v>13875.377360721141</v>
      </c>
      <c r="AN83" s="353">
        <f>AN77/(1.355*(AN71/Detached!AN$17)^0.16)</f>
        <v>13875.377360721141</v>
      </c>
    </row>
    <row r="84" spans="1:40">
      <c r="A84" s="129"/>
      <c r="B84" s="142" t="s">
        <v>3</v>
      </c>
      <c r="C84" s="129" t="s">
        <v>261</v>
      </c>
      <c r="D84" s="345">
        <f>D78/(1.355*(D72/Detached!D$17)^0.16)</f>
        <v>27038.154809698539</v>
      </c>
      <c r="E84" s="349">
        <f>E78/(1.355*(E72/Detached!E$17)^0.16)</f>
        <v>27016.713526165182</v>
      </c>
      <c r="F84" s="349">
        <f>F78/(1.355*(F72/Detached!F$17)^0.16)</f>
        <v>14164.035404892107</v>
      </c>
      <c r="G84" s="349">
        <f>G78/(1.355*(G72/Detached!G$17)^0.16)</f>
        <v>26342.153063058282</v>
      </c>
      <c r="H84" s="349">
        <f>H78/(1.355*(H72/Detached!H$17)^0.16)</f>
        <v>8394.1160150586384</v>
      </c>
      <c r="I84" s="349">
        <f>I78/(1.355*(I72/Detached!I$17)^0.16)</f>
        <v>16983.046058600496</v>
      </c>
      <c r="J84" s="349">
        <f>J78/(1.355*(J72/Detached!J$17)^0.16)</f>
        <v>25548.193184400821</v>
      </c>
      <c r="K84" s="349">
        <f>K78/(1.355*(K72/Detached!K$17)^0.16)</f>
        <v>18595.853169450733</v>
      </c>
      <c r="L84" s="349">
        <f>L78/(1.355*(L72/Detached!L$17)^0.16)</f>
        <v>12546.435736490783</v>
      </c>
      <c r="M84" s="349">
        <f>M78/(1.355*(M72/Detached!M$17)^0.16)</f>
        <v>19988.676629048947</v>
      </c>
      <c r="N84" s="349">
        <f>N78/(1.355*(N72/Detached!N$17)^0.16)</f>
        <v>18924.752142215013</v>
      </c>
      <c r="O84" s="349">
        <f>O78/(1.355*(O72/Detached!O$17)^0.16)</f>
        <v>30895.039636994727</v>
      </c>
      <c r="P84" s="349">
        <f>P78/(1.355*(P72/Detached!P$17)^0.16)</f>
        <v>18948.370606602955</v>
      </c>
      <c r="Q84" s="349">
        <f>Q78/(1.355*(Q72/Detached!Q$17)^0.16)</f>
        <v>13414.285082459035</v>
      </c>
      <c r="R84" s="349">
        <f>R78/(1.355*(R72/Detached!R$17)^0.16)</f>
        <v>20214.547810786757</v>
      </c>
      <c r="S84" s="349">
        <f>S78/(1.355*(S72/Detached!S$17)^0.16)</f>
        <v>28182.839797754987</v>
      </c>
      <c r="T84" s="349">
        <f>T78/(1.355*(T72/Detached!T$17)^0.16)</f>
        <v>16097.361822164428</v>
      </c>
      <c r="U84" s="349">
        <f>U78/(1.355*(U72/Detached!U$17)^0.16)</f>
        <v>18592.623981915636</v>
      </c>
      <c r="V84" s="349">
        <f>V78/(1.355*(V72/Detached!V$17)^0.16)</f>
        <v>21736.62688916743</v>
      </c>
      <c r="W84" s="349">
        <f>W78/(1.355*(W72/Detached!W$17)^0.16)</f>
        <v>21214.513598065118</v>
      </c>
      <c r="X84" s="349">
        <f>X78/(1.355*(X72/Detached!X$17)^0.16)</f>
        <v>23835.829685326753</v>
      </c>
      <c r="Y84" s="349">
        <f>Y78/(1.355*(Y72/Detached!Y$17)^0.16)</f>
        <v>6928.2013195842419</v>
      </c>
      <c r="Z84" s="349">
        <f>Z78/(1.355*(Z72/Detached!Z$17)^0.16)</f>
        <v>23794.258247069876</v>
      </c>
      <c r="AA84" s="349">
        <f>AA78/(1.355*(AA72/Detached!AA$17)^0.16)</f>
        <v>19158.223840181316</v>
      </c>
      <c r="AB84" s="349">
        <f>AB78/(1.355*(AB72/Detached!AB$17)^0.16)</f>
        <v>21978.227997657101</v>
      </c>
      <c r="AC84" s="349">
        <f>AC78/(1.355*(AC72/Detached!AC$17)^0.16)</f>
        <v>14054.56200081612</v>
      </c>
      <c r="AD84" s="349">
        <f>AD78/(1.355*(AD72/Detached!AD$17)^0.16)</f>
        <v>19619.674684959446</v>
      </c>
      <c r="AE84" s="349">
        <f>AE78/(1.355*(AE72/Detached!AE$17)^0.16)</f>
        <v>18472.789689328216</v>
      </c>
      <c r="AF84" s="349">
        <f>AF78/(1.355*(AF72/Detached!AF$17)^0.16)</f>
        <v>20410.410594497211</v>
      </c>
      <c r="AG84" s="349">
        <f>AG78/(1.355*(AG72/Detached!AG$17)^0.16)</f>
        <v>24499.755628442384</v>
      </c>
      <c r="AH84" s="349">
        <f>AH78/(1.355*(AH72/Detached!AH$17)^0.16)</f>
        <v>24193.119713660617</v>
      </c>
      <c r="AI84" s="349">
        <f>AI78/(1.355*(AI72/Detached!AI$17)^0.16)</f>
        <v>18948.370606602955</v>
      </c>
      <c r="AJ84" s="349">
        <f>AJ78/(1.355*(AJ72/Detached!AJ$17)^0.16)</f>
        <v>15088.891941952797</v>
      </c>
      <c r="AK84" s="349">
        <f>AK78/(1.355*(AK72/Detached!AK$17)^0.16)</f>
        <v>16599.050613948646</v>
      </c>
      <c r="AL84" s="349">
        <f>AL78/(1.355*(AL72/Detached!AL$17)^0.16)</f>
        <v>15014.766644697936</v>
      </c>
      <c r="AM84" s="349">
        <f>AM78/(1.355*(AM72/Detached!AM$17)^0.16)</f>
        <v>13875.377360721141</v>
      </c>
      <c r="AN84" s="354">
        <f>AN78/(1.355*(AN72/Detached!AN$17)^0.16)</f>
        <v>13875.377360721141</v>
      </c>
    </row>
    <row r="85" spans="1:40">
      <c r="A85" s="129"/>
      <c r="B85" s="142" t="s">
        <v>4</v>
      </c>
      <c r="C85" s="129" t="s">
        <v>261</v>
      </c>
      <c r="D85" s="345">
        <f>D79/(1.355*(D73/Detached!D$17)^0.16)</f>
        <v>21337.035168166993</v>
      </c>
      <c r="E85" s="349">
        <f>E79/(1.355*(E73/Detached!E$17)^0.16)</f>
        <v>27016.713526165182</v>
      </c>
      <c r="F85" s="349">
        <f>F79/(1.355*(F73/Detached!F$17)^0.16)</f>
        <v>13296.902990506875</v>
      </c>
      <c r="G85" s="349">
        <f>G79/(1.355*(G73/Detached!G$17)^0.16)</f>
        <v>20787.788599764262</v>
      </c>
      <c r="H85" s="349">
        <f>H79/(1.355*(H73/Detached!H$17)^0.16)</f>
        <v>7828.9400110412826</v>
      </c>
      <c r="I85" s="349">
        <f>I79/(1.355*(I73/Detached!I$17)^0.16)</f>
        <v>16983.046058600496</v>
      </c>
      <c r="J85" s="349">
        <f>J79/(1.355*(J73/Detached!J$17)^0.16)</f>
        <v>15619.158178858204</v>
      </c>
      <c r="K85" s="349">
        <f>K79/(1.355*(K73/Detached!K$17)^0.16)</f>
        <v>12062.450212541789</v>
      </c>
      <c r="L85" s="349">
        <f>L79/(1.355*(L73/Detached!L$17)^0.16)</f>
        <v>10006.04876958812</v>
      </c>
      <c r="M85" s="349">
        <f>M79/(1.355*(M73/Detached!M$17)^0.16)</f>
        <v>19988.676629048947</v>
      </c>
      <c r="N85" s="349">
        <f>N79/(1.355*(N73/Detached!N$17)^0.16)</f>
        <v>15370.646756010903</v>
      </c>
      <c r="O85" s="349">
        <f>O79/(1.355*(O73/Detached!O$17)^0.16)</f>
        <v>13767.094719145342</v>
      </c>
      <c r="P85" s="349">
        <f>P79/(1.355*(P73/Detached!P$17)^0.16)</f>
        <v>18948.370606602955</v>
      </c>
      <c r="Q85" s="349">
        <f>Q79/(1.355*(Q73/Detached!Q$17)^0.16)</f>
        <v>12578.9847704165</v>
      </c>
      <c r="R85" s="349">
        <f>R79/(1.355*(R73/Detached!R$17)^0.16)</f>
        <v>17441.379631001542</v>
      </c>
      <c r="S85" s="349">
        <f>S79/(1.355*(S73/Detached!S$17)^0.16)</f>
        <v>23946.232568837859</v>
      </c>
      <c r="T85" s="349">
        <f>T79/(1.355*(T73/Detached!T$17)^0.16)</f>
        <v>13074.245856053036</v>
      </c>
      <c r="U85" s="349">
        <f>U79/(1.355*(U73/Detached!U$17)^0.16)</f>
        <v>17886.613868175984</v>
      </c>
      <c r="V85" s="349">
        <f>V79/(1.355*(V73/Detached!V$17)^0.16)</f>
        <v>13951.528195837211</v>
      </c>
      <c r="W85" s="349">
        <f>W79/(1.355*(W73/Detached!W$17)^0.16)</f>
        <v>11215.014141243857</v>
      </c>
      <c r="X85" s="349">
        <f>X79/(1.355*(X73/Detached!X$17)^0.16)</f>
        <v>21987.553839296343</v>
      </c>
      <c r="Y85" s="349">
        <f>Y79/(1.355*(Y73/Detached!Y$17)^0.16)</f>
        <v>5687.5094576477441</v>
      </c>
      <c r="Z85" s="349">
        <f>Z79/(1.355*(Z73/Detached!Z$17)^0.16)</f>
        <v>22978.561425106785</v>
      </c>
      <c r="AA85" s="349">
        <f>AA79/(1.355*(AA73/Detached!AA$17)^0.16)</f>
        <v>12286.7089874256</v>
      </c>
      <c r="AB85" s="349">
        <f>AB79/(1.355*(AB73/Detached!AB$17)^0.16)</f>
        <v>15568.574592740733</v>
      </c>
      <c r="AC85" s="349">
        <f>AC79/(1.355*(AC73/Detached!AC$17)^0.16)</f>
        <v>13782.374638451252</v>
      </c>
      <c r="AD85" s="349">
        <f>AD79/(1.355*(AD73/Detached!AD$17)^0.16)</f>
        <v>19619.674684959446</v>
      </c>
      <c r="AE85" s="349">
        <f>AE79/(1.355*(AE73/Detached!AE$17)^0.16)</f>
        <v>11847.120745225819</v>
      </c>
      <c r="AF85" s="349">
        <f>AF79/(1.355*(AF73/Detached!AF$17)^0.16)</f>
        <v>18991.583017396017</v>
      </c>
      <c r="AG85" s="349">
        <f>AG79/(1.355*(AG73/Detached!AG$17)^0.16)</f>
        <v>24499.755628442384</v>
      </c>
      <c r="AH85" s="349">
        <f>AH79/(1.355*(AH73/Detached!AH$17)^0.16)</f>
        <v>18777.691574655244</v>
      </c>
      <c r="AI85" s="349">
        <f>AI79/(1.355*(AI73/Detached!AI$17)^0.16)</f>
        <v>18948.370606602955</v>
      </c>
      <c r="AJ85" s="349">
        <f>AJ79/(1.355*(AJ73/Detached!AJ$17)^0.16)</f>
        <v>15088.891941952797</v>
      </c>
      <c r="AK85" s="349">
        <f>AK79/(1.355*(AK73/Detached!AK$17)^0.16)</f>
        <v>16599.050613948646</v>
      </c>
      <c r="AL85" s="349">
        <f>AL79/(1.355*(AL73/Detached!AL$17)^0.16)</f>
        <v>14091.594366330521</v>
      </c>
      <c r="AM85" s="349">
        <f>AM79/(1.355*(AM73/Detached!AM$17)^0.16)</f>
        <v>13875.377360721141</v>
      </c>
      <c r="AN85" s="354">
        <f>AN79/(1.355*(AN73/Detached!AN$17)^0.16)</f>
        <v>13875.377360721141</v>
      </c>
    </row>
    <row r="86" spans="1:40">
      <c r="A86" s="129"/>
      <c r="B86" s="142" t="s">
        <v>5</v>
      </c>
      <c r="C86" s="129" t="s">
        <v>261</v>
      </c>
      <c r="D86" s="345">
        <f>D80/(1.355*(D74/Detached!D$17)^0.16)</f>
        <v>14760.637961204433</v>
      </c>
      <c r="E86" s="349">
        <f>E80/(1.355*(E74/Detached!E$17)^0.16)</f>
        <v>22812.131331084271</v>
      </c>
      <c r="F86" s="349">
        <f>F80/(1.355*(F74/Detached!F$17)^0.16)</f>
        <v>11286.515560649052</v>
      </c>
      <c r="G86" s="349">
        <f>G80/(1.355*(G74/Detached!G$17)^0.16)</f>
        <v>14380.677498856696</v>
      </c>
      <c r="H86" s="349">
        <f>H80/(1.355*(H74/Detached!H$17)^0.16)</f>
        <v>7574.0236650720899</v>
      </c>
      <c r="I86" s="349">
        <f>I80/(1.355*(I74/Detached!I$17)^0.16)</f>
        <v>14942.730902675799</v>
      </c>
      <c r="J86" s="349">
        <f>J80/(1.355*(J74/Detached!J$17)^0.16)</f>
        <v>12256.447067536112</v>
      </c>
      <c r="K86" s="349">
        <f>K80/(1.355*(K74/Detached!K$17)^0.16)</f>
        <v>9817.5684969634349</v>
      </c>
      <c r="L86" s="349">
        <f>L80/(1.355*(L74/Detached!L$17)^0.16)</f>
        <v>8187.397468318085</v>
      </c>
      <c r="M86" s="349">
        <f>M80/(1.355*(M74/Detached!M$17)^0.16)</f>
        <v>13747.546708318287</v>
      </c>
      <c r="N86" s="349">
        <f>N80/(1.355*(N74/Detached!N$17)^0.16)</f>
        <v>12690.035053146248</v>
      </c>
      <c r="O86" s="349">
        <f>O80/(1.355*(O74/Detached!O$17)^0.16)</f>
        <v>11793.013950041477</v>
      </c>
      <c r="P86" s="349">
        <f>P80/(1.355*(P74/Detached!P$17)^0.16)</f>
        <v>18419.700145444531</v>
      </c>
      <c r="Q86" s="349">
        <f>Q80/(1.355*(Q74/Detached!Q$17)^0.16)</f>
        <v>12578.9847704165</v>
      </c>
      <c r="R86" s="349">
        <f>R80/(1.355*(R74/Detached!R$17)^0.16)</f>
        <v>12614.085490456795</v>
      </c>
      <c r="S86" s="349">
        <f>S80/(1.355*(S74/Detached!S$17)^0.16)</f>
        <v>15614.270059793655</v>
      </c>
      <c r="T86" s="349">
        <f>T80/(1.355*(T74/Detached!T$17)^0.16)</f>
        <v>10794.122123838586</v>
      </c>
      <c r="U86" s="349">
        <f>U80/(1.355*(U74/Detached!U$17)^0.16)</f>
        <v>14150.623089871406</v>
      </c>
      <c r="V86" s="349">
        <f>V80/(1.355*(V74/Detached!V$17)^0.16)</f>
        <v>13951.528195837211</v>
      </c>
      <c r="W86" s="349">
        <f>W80/(1.355*(W74/Detached!W$17)^0.16)</f>
        <v>10085.750259186158</v>
      </c>
      <c r="X86" s="349">
        <f>X80/(1.355*(X74/Detached!X$17)^0.16)</f>
        <v>12878.143111240392</v>
      </c>
      <c r="Y86" s="349">
        <f>Y80/(1.355*(Y74/Detached!Y$17)^0.16)</f>
        <v>5185.7736692431108</v>
      </c>
      <c r="Z86" s="349">
        <f>Z80/(1.355*(Z74/Detached!Z$17)^0.16)</f>
        <v>13685.277799880747</v>
      </c>
      <c r="AA86" s="349">
        <f>AA80/(1.355*(AA74/Detached!AA$17)^0.16)</f>
        <v>12286.7089874256</v>
      </c>
      <c r="AB86" s="349">
        <f>AB80/(1.355*(AB74/Detached!AB$17)^0.16)</f>
        <v>15568.574592740733</v>
      </c>
      <c r="AC86" s="349">
        <f>AC80/(1.355*(AC74/Detached!AC$17)^0.16)</f>
        <v>13332.389820694994</v>
      </c>
      <c r="AD86" s="349">
        <f>AD80/(1.355*(AD74/Detached!AD$17)^0.16)</f>
        <v>16606.972329008138</v>
      </c>
      <c r="AE86" s="349">
        <f>AE80/(1.355*(AE74/Detached!AE$17)^0.16)</f>
        <v>11847.120745225819</v>
      </c>
      <c r="AF86" s="349">
        <f>AF80/(1.355*(AF74/Detached!AF$17)^0.16)</f>
        <v>14782.294432118617</v>
      </c>
      <c r="AG86" s="349">
        <f>AG80/(1.355*(AG74/Detached!AG$17)^0.16)</f>
        <v>21298.018067556684</v>
      </c>
      <c r="AH86" s="349">
        <f>AH80/(1.355*(AH74/Detached!AH$17)^0.16)</f>
        <v>10081.168761151512</v>
      </c>
      <c r="AI86" s="349">
        <f>AI80/(1.355*(AI74/Detached!AI$17)^0.16)</f>
        <v>18419.700145444531</v>
      </c>
      <c r="AJ86" s="349">
        <f>AJ80/(1.355*(AJ74/Detached!AJ$17)^0.16)</f>
        <v>12861.071662521017</v>
      </c>
      <c r="AK86" s="349">
        <f>AK80/(1.355*(AK74/Detached!AK$17)^0.16)</f>
        <v>14103.420934059162</v>
      </c>
      <c r="AL86" s="349">
        <f>AL80/(1.355*(AL74/Detached!AL$17)^0.16)</f>
        <v>11953.768901243904</v>
      </c>
      <c r="AM86" s="349">
        <f>AM80/(1.355*(AM74/Detached!AM$17)^0.16)</f>
        <v>11826.728116767274</v>
      </c>
      <c r="AN86" s="354">
        <f>AN80/(1.355*(AN74/Detached!AN$17)^0.16)</f>
        <v>11826.728116767274</v>
      </c>
    </row>
    <row r="87" spans="1:40">
      <c r="A87" s="129"/>
      <c r="B87" s="142" t="s">
        <v>6</v>
      </c>
      <c r="C87" s="129" t="s">
        <v>261</v>
      </c>
      <c r="D87" s="345">
        <f>D81/(1.355*(D75/Detached!D$17)^0.16)</f>
        <v>12650.85478413601</v>
      </c>
      <c r="E87" s="349">
        <f>E81/(1.355*(E75/Detached!E$17)^0.16)</f>
        <v>22812.131331084271</v>
      </c>
      <c r="F87" s="349">
        <f>F81/(1.355*(F75/Detached!F$17)^0.16)</f>
        <v>8685.4198294374619</v>
      </c>
      <c r="G87" s="349">
        <f>G81/(1.355*(G75/Detached!G$17)^0.16)</f>
        <v>12325.203234012755</v>
      </c>
      <c r="H87" s="349">
        <f>H81/(1.355*(H75/Detached!H$17)^0.16)</f>
        <v>7574.0236650720899</v>
      </c>
      <c r="I87" s="349">
        <f>I81/(1.355*(I75/Detached!I$17)^0.16)</f>
        <v>11202.232755397625</v>
      </c>
      <c r="J87" s="349">
        <f>J81/(1.355*(J75/Detached!J$17)^0.16)</f>
        <v>7463.1452351806211</v>
      </c>
      <c r="K87" s="349">
        <f>K81/(1.355*(K75/Detached!K$17)^0.16)</f>
        <v>9817.5684969634349</v>
      </c>
      <c r="L87" s="349">
        <f>L81/(1.355*(L75/Detached!L$17)^0.16)</f>
        <v>7176.3248245118339</v>
      </c>
      <c r="M87" s="349">
        <f>M81/(1.355*(M75/Detached!M$17)^0.16)</f>
        <v>13747.546708318287</v>
      </c>
      <c r="N87" s="349">
        <f>N81/(1.355*(N75/Detached!N$17)^0.16)</f>
        <v>12503.519280616305</v>
      </c>
      <c r="O87" s="349">
        <f>O81/(1.355*(O75/Detached!O$17)^0.16)</f>
        <v>7064.0408252785701</v>
      </c>
      <c r="P87" s="349">
        <f>P81/(1.355*(P75/Detached!P$17)^0.16)</f>
        <v>18419.700145444531</v>
      </c>
      <c r="Q87" s="349">
        <f>Q81/(1.355*(Q75/Detached!Q$17)^0.16)</f>
        <v>8993.7497737723625</v>
      </c>
      <c r="R87" s="349">
        <f>R81/(1.355*(R75/Detached!R$17)^0.16)</f>
        <v>12614.085490456795</v>
      </c>
      <c r="S87" s="349">
        <f>S81/(1.355*(S75/Detached!S$17)^0.16)</f>
        <v>12913.665633712257</v>
      </c>
      <c r="T87" s="349">
        <f>T81/(1.355*(T75/Detached!T$17)^0.16)</f>
        <v>10635.472126554998</v>
      </c>
      <c r="U87" s="349">
        <f>U81/(1.355*(U75/Detached!U$17)^0.16)</f>
        <v>12973.386427021696</v>
      </c>
      <c r="V87" s="349">
        <f>V81/(1.355*(V75/Detached!V$17)^0.16)</f>
        <v>13951.528195837211</v>
      </c>
      <c r="W87" s="349">
        <f>W81/(1.355*(W75/Detached!W$17)^0.16)</f>
        <v>8906.7244922197988</v>
      </c>
      <c r="X87" s="349">
        <f>X81/(1.355*(X75/Detached!X$17)^0.16)</f>
        <v>12647.275610121882</v>
      </c>
      <c r="Y87" s="349">
        <f>Y81/(1.355*(Y75/Detached!Y$17)^0.16)</f>
        <v>5089.4160534347684</v>
      </c>
      <c r="Z87" s="349">
        <f>Z81/(1.355*(Z75/Detached!Z$17)^0.16)</f>
        <v>12475.078342336292</v>
      </c>
      <c r="AA87" s="349">
        <f>AA81/(1.355*(AA75/Detached!AA$17)^0.16)</f>
        <v>10618.736988398892</v>
      </c>
      <c r="AB87" s="349">
        <f>AB81/(1.355*(AB75/Detached!AB$17)^0.16)</f>
        <v>15568.574592740733</v>
      </c>
      <c r="AC87" s="349">
        <f>AC81/(1.355*(AC75/Detached!AC$17)^0.16)</f>
        <v>12284.32089277494</v>
      </c>
      <c r="AD87" s="349">
        <f>AD81/(1.355*(AD75/Detached!AD$17)^0.16)</f>
        <v>16606.972329008138</v>
      </c>
      <c r="AE87" s="349">
        <f>AE81/(1.355*(AE75/Detached!AE$17)^0.16)</f>
        <v>10238.824683819268</v>
      </c>
      <c r="AF87" s="349">
        <f>AF81/(1.355*(AF75/Detached!AF$17)^0.16)</f>
        <v>10473.940147323692</v>
      </c>
      <c r="AG87" s="349">
        <f>AG81/(1.355*(AG75/Detached!AG$17)^0.16)</f>
        <v>19322.041648262995</v>
      </c>
      <c r="AH87" s="349">
        <f>AH81/(1.355*(AH75/Detached!AH$17)^0.16)</f>
        <v>8259.9218667532496</v>
      </c>
      <c r="AI87" s="349">
        <f>AI81/(1.355*(AI75/Detached!AI$17)^0.16)</f>
        <v>18419.700145444531</v>
      </c>
      <c r="AJ87" s="349">
        <f>AJ81/(1.355*(AJ75/Detached!AJ$17)^0.16)</f>
        <v>12001.675261790593</v>
      </c>
      <c r="AK87" s="349">
        <f>AK81/(1.355*(AK75/Detached!AK$17)^0.16)</f>
        <v>13144.338139177491</v>
      </c>
      <c r="AL87" s="349">
        <f>AL81/(1.355*(AL75/Detached!AL$17)^0.16)</f>
        <v>9171.580456517202</v>
      </c>
      <c r="AM87" s="349">
        <f>AM81/(1.355*(AM75/Detached!AM$17)^0.16)</f>
        <v>11036.448127457674</v>
      </c>
      <c r="AN87" s="354">
        <f>AN81/(1.355*(AN75/Detached!AN$17)^0.16)</f>
        <v>11036.448127457674</v>
      </c>
    </row>
    <row r="88" spans="1:40">
      <c r="A88" s="129"/>
      <c r="B88" s="142" t="s">
        <v>7</v>
      </c>
      <c r="C88" s="129" t="s">
        <v>261</v>
      </c>
      <c r="D88" s="345">
        <f>D82/(1.355*(D76/Detached!D$17)^0.16)</f>
        <v>11204.972597737073</v>
      </c>
      <c r="E88" s="349">
        <f>E82/(1.355*(E76/Detached!E$17)^0.16)</f>
        <v>13389.655308304549</v>
      </c>
      <c r="F88" s="349">
        <f>F82/(1.355*(F76/Detached!F$17)^0.16)</f>
        <v>5673.5325204778019</v>
      </c>
      <c r="G88" s="349">
        <f>G82/(1.355*(G76/Detached!G$17)^0.16)</f>
        <v>10916.540174963762</v>
      </c>
      <c r="H88" s="349">
        <f>H82/(1.355*(H76/Detached!H$17)^0.16)</f>
        <v>6258.2436630295761</v>
      </c>
      <c r="I88" s="349">
        <f>I82/(1.355*(I76/Detached!I$17)^0.16)</f>
        <v>9321.7490344183443</v>
      </c>
      <c r="J88" s="349">
        <f>J82/(1.355*(J76/Detached!J$17)^0.16)</f>
        <v>8195.5252315985235</v>
      </c>
      <c r="K88" s="349">
        <f>K82/(1.355*(K76/Detached!K$17)^0.16)</f>
        <v>7433.5249401651463</v>
      </c>
      <c r="L88" s="349">
        <f>L82/(1.355*(L76/Detached!L$17)^0.16)</f>
        <v>7176.3248245118339</v>
      </c>
      <c r="M88" s="349">
        <f>M82/(1.355*(M76/Detached!M$17)^0.16)</f>
        <v>8721.1742692155094</v>
      </c>
      <c r="N88" s="349">
        <f>N82/(1.355*(N76/Detached!N$17)^0.16)</f>
        <v>11578.844727402175</v>
      </c>
      <c r="O88" s="349">
        <f>O82/(1.355*(O76/Detached!O$17)^0.16)</f>
        <v>6870.8553252860611</v>
      </c>
      <c r="P88" s="349">
        <f>P82/(1.355*(P76/Detached!P$17)^0.16)</f>
        <v>6155.0284527335898</v>
      </c>
      <c r="Q88" s="349">
        <f>Q82/(1.355*(Q76/Detached!Q$17)^0.16)</f>
        <v>5581.6036708173951</v>
      </c>
      <c r="R88" s="349">
        <f>R82/(1.355*(R76/Detached!R$17)^0.16)</f>
        <v>8096.8945920138704</v>
      </c>
      <c r="S88" s="349">
        <f>S82/(1.355*(S76/Detached!S$17)^0.16)</f>
        <v>7845.9622399053733</v>
      </c>
      <c r="T88" s="349">
        <f>T82/(1.355*(T76/Detached!T$17)^0.16)</f>
        <v>9848.9455322313206</v>
      </c>
      <c r="U88" s="349">
        <f>U82/(1.355*(U76/Detached!U$17)^0.16)</f>
        <v>12973.386427021696</v>
      </c>
      <c r="V88" s="349">
        <f>V82/(1.355*(V76/Detached!V$17)^0.16)</f>
        <v>7728.8968031191889</v>
      </c>
      <c r="W88" s="349">
        <f>W82/(1.355*(W76/Detached!W$17)^0.16)</f>
        <v>7363.2958218682916</v>
      </c>
      <c r="X88" s="349">
        <f>X82/(1.355*(X76/Detached!X$17)^0.16)</f>
        <v>7509.902919027013</v>
      </c>
      <c r="Y88" s="349">
        <f>Y82/(1.355*(Y76/Detached!Y$17)^0.16)</f>
        <v>4836.9001768031994</v>
      </c>
      <c r="Z88" s="349">
        <f>Z82/(1.355*(Z76/Detached!Z$17)^0.16)</f>
        <v>9101.0926479402478</v>
      </c>
      <c r="AA88" s="349">
        <f>AA82/(1.355*(AA76/Detached!AA$17)^0.16)</f>
        <v>10618.736988398892</v>
      </c>
      <c r="AB88" s="349">
        <f>AB82/(1.355*(AB76/Detached!AB$17)^0.16)</f>
        <v>11776.26787012117</v>
      </c>
      <c r="AC88" s="349">
        <f>AC82/(1.355*(AC76/Detached!AC$17)^0.16)</f>
        <v>8242.4777434181433</v>
      </c>
      <c r="AD88" s="349">
        <f>AD82/(1.355*(AD76/Detached!AD$17)^0.16)</f>
        <v>13711.991538116039</v>
      </c>
      <c r="AE88" s="349">
        <f>AE82/(1.355*(AE76/Detached!AE$17)^0.16)</f>
        <v>10238.824683819268</v>
      </c>
      <c r="AF88" s="349">
        <f>AF82/(1.355*(AF76/Detached!AF$17)^0.16)</f>
        <v>5961.7469314396267</v>
      </c>
      <c r="AG88" s="349">
        <f>AG82/(1.355*(AG76/Detached!AG$17)^0.16)</f>
        <v>11918.379640872212</v>
      </c>
      <c r="AH88" s="349">
        <f>AH82/(1.355*(AH76/Detached!AH$17)^0.16)</f>
        <v>6938.2243524454161</v>
      </c>
      <c r="AI88" s="349">
        <f>AI82/(1.355*(AI76/Detached!AI$17)^0.16)</f>
        <v>6155.0284527335898</v>
      </c>
      <c r="AJ88" s="349">
        <f>AJ82/(1.355*(AJ76/Detached!AJ$17)^0.16)</f>
        <v>10554.458200123594</v>
      </c>
      <c r="AK88" s="349">
        <f>AK82/(1.355*(AK76/Detached!AK$17)^0.16)</f>
        <v>11554.190364336853</v>
      </c>
      <c r="AL88" s="349">
        <f>AL82/(1.355*(AL76/Detached!AL$17)^0.16)</f>
        <v>5986.7066938908911</v>
      </c>
      <c r="AM88" s="349">
        <f>AM82/(1.355*(AM76/Detached!AM$17)^0.16)</f>
        <v>9705.6225817016075</v>
      </c>
      <c r="AN88" s="354">
        <f>AN82/(1.355*(AN76/Detached!AN$17)^0.16)</f>
        <v>9705.6225817016075</v>
      </c>
    </row>
    <row r="89" spans="1:40">
      <c r="A89" s="334" t="s">
        <v>262</v>
      </c>
      <c r="B89" s="359" t="s">
        <v>2</v>
      </c>
      <c r="C89" s="366" t="s">
        <v>190</v>
      </c>
      <c r="D89" s="375">
        <f>D83/Detached!D$4</f>
        <v>195.54907571322696</v>
      </c>
      <c r="E89" s="376">
        <f>E83/Detached!E$4</f>
        <v>189.73382670596314</v>
      </c>
      <c r="F89" s="376">
        <f>F83/Detached!F$4</f>
        <v>178.14142798494797</v>
      </c>
      <c r="G89" s="376">
        <f>G83/Detached!G$4</f>
        <v>190.51535580119094</v>
      </c>
      <c r="H89" s="376">
        <f>H83/Detached!H$4</f>
        <v>78.26720935650232</v>
      </c>
      <c r="I89" s="376">
        <f>I83/Detached!I$4</f>
        <v>164.24718950121218</v>
      </c>
      <c r="J89" s="376">
        <f>J83/Detached!J$4</f>
        <v>215.54990882258156</v>
      </c>
      <c r="K89" s="376">
        <f>K83/Detached!K$4</f>
        <v>114.77770160064833</v>
      </c>
      <c r="L89" s="376">
        <f>L83/Detached!L$4</f>
        <v>117.68362505776666</v>
      </c>
      <c r="M89" s="376">
        <f>M83/Detached!M$4</f>
        <v>161.15608664793746</v>
      </c>
      <c r="N89" s="376">
        <f>N83/Detached!N$4</f>
        <v>172.51839375802371</v>
      </c>
      <c r="O89" s="376">
        <f>O83/Detached!O$4</f>
        <v>221.42033788341675</v>
      </c>
      <c r="P89" s="376">
        <f>P83/Detached!P$4</f>
        <v>165.66295519081274</v>
      </c>
      <c r="Q89" s="376">
        <f>Q83/Detached!Q$4</f>
        <v>145.94910863948471</v>
      </c>
      <c r="R89" s="376">
        <f>R83/Detached!R$4</f>
        <v>173.61023570778451</v>
      </c>
      <c r="S89" s="376">
        <f>S83/Detached!S$4</f>
        <v>188.66547390341483</v>
      </c>
      <c r="T89" s="376">
        <f>T83/Detached!T$4</f>
        <v>146.74385082733778</v>
      </c>
      <c r="U89" s="376">
        <f>U83/Detached!U$4</f>
        <v>143.87730840105573</v>
      </c>
      <c r="V89" s="376">
        <f>V83/Detached!V$4</f>
        <v>180.02787915983282</v>
      </c>
      <c r="W89" s="376">
        <f>W83/Detached!W$4</f>
        <v>180.93173340131466</v>
      </c>
      <c r="X89" s="376">
        <f>X83/Detached!X$4</f>
        <v>198.63191404438962</v>
      </c>
      <c r="Y89" s="376">
        <f>Y83/Detached!Y$4</f>
        <v>56.149942096997137</v>
      </c>
      <c r="Z89" s="376">
        <f>Z83/Detached!Z$4</f>
        <v>205.77030493060664</v>
      </c>
      <c r="AA89" s="376">
        <f>AA83/Detached!AA$4</f>
        <v>122.90761084318406</v>
      </c>
      <c r="AB89" s="376">
        <f>AB83/Detached!AB$4</f>
        <v>248.80302875091709</v>
      </c>
      <c r="AC89" s="376">
        <f>AC83/Detached!AC$4</f>
        <v>107.49671802703935</v>
      </c>
      <c r="AD89" s="376">
        <f>AD83/Detached!AD$4</f>
        <v>238.01116328320481</v>
      </c>
      <c r="AE89" s="376">
        <f>AE83/Detached!AE$4</f>
        <v>118.51027868053386</v>
      </c>
      <c r="AF89" s="376">
        <f>AF83/Detached!AF$4</f>
        <v>170.97250651958589</v>
      </c>
      <c r="AG89" s="376">
        <f>AG83/Detached!AG$4</f>
        <v>243.88407427187664</v>
      </c>
      <c r="AH89" s="376">
        <f>AH83/Detached!AH$4</f>
        <v>223.9874915648623</v>
      </c>
      <c r="AI89" s="376">
        <f>AI83/Detached!AI$4</f>
        <v>165.66295519081274</v>
      </c>
      <c r="AJ89" s="376">
        <f>AJ83/Detached!AJ$4</f>
        <v>175.55151800405952</v>
      </c>
      <c r="AK89" s="376">
        <f>AK83/Detached!AK$4</f>
        <v>145.12317893499326</v>
      </c>
      <c r="AL89" s="376">
        <f>AL83/Detached!AL$4</f>
        <v>174.68910819254697</v>
      </c>
      <c r="AM89" s="376">
        <f>AM83/Detached!AM$4</f>
        <v>161.43289831516358</v>
      </c>
      <c r="AN89" s="377">
        <f>AN83/Detached!AN$4</f>
        <v>161.43289831516358</v>
      </c>
    </row>
    <row r="90" spans="1:40">
      <c r="A90" s="154"/>
      <c r="B90" s="347" t="s">
        <v>3</v>
      </c>
      <c r="C90" s="367" t="s">
        <v>190</v>
      </c>
      <c r="D90" s="369">
        <f>D84/Detached!D$4</f>
        <v>180.5063221393097</v>
      </c>
      <c r="E90" s="370">
        <f>E84/Detached!E$4</f>
        <v>189.73382670596314</v>
      </c>
      <c r="F90" s="370">
        <f>F84/Detached!F$4</f>
        <v>178.14142798494797</v>
      </c>
      <c r="G90" s="370">
        <f>G84/Detached!G$4</f>
        <v>175.85982475911482</v>
      </c>
      <c r="H90" s="370">
        <f>H84/Detached!H$4</f>
        <v>73.3885828042946</v>
      </c>
      <c r="I90" s="370">
        <f>I84/Detached!I$4</f>
        <v>136.0640860555981</v>
      </c>
      <c r="J90" s="370">
        <f>J84/Detached!J$4</f>
        <v>190.36213431908018</v>
      </c>
      <c r="K90" s="370">
        <f>K84/Detached!K$4</f>
        <v>111.26912891219585</v>
      </c>
      <c r="L90" s="370">
        <f>L84/Detached!L$4</f>
        <v>117.68362505776666</v>
      </c>
      <c r="M90" s="370">
        <f>M84/Detached!M$4</f>
        <v>144.10377910181282</v>
      </c>
      <c r="N90" s="370">
        <f>N84/Detached!N$4</f>
        <v>156.0804300388867</v>
      </c>
      <c r="O90" s="370">
        <f>O84/Detached!O$4</f>
        <v>221.42033788341675</v>
      </c>
      <c r="P90" s="370">
        <f>P84/Detached!P$4</f>
        <v>165.66295519081274</v>
      </c>
      <c r="Q90" s="370">
        <f>Q84/Detached!Q$4</f>
        <v>156.0683261716118</v>
      </c>
      <c r="R90" s="370">
        <f>R84/Detached!R$4</f>
        <v>173.61023570778451</v>
      </c>
      <c r="S90" s="370">
        <f>S84/Detached!S$4</f>
        <v>191.55734916851586</v>
      </c>
      <c r="T90" s="370">
        <f>T84/Detached!T$4</f>
        <v>132.76174698692313</v>
      </c>
      <c r="U90" s="370">
        <f>U84/Detached!U$4</f>
        <v>135.58887133575669</v>
      </c>
      <c r="V90" s="370">
        <f>V84/Detached!V$4</f>
        <v>180.02787915983282</v>
      </c>
      <c r="W90" s="370">
        <f>W84/Detached!W$4</f>
        <v>193.85800843717558</v>
      </c>
      <c r="X90" s="370">
        <f>X84/Detached!X$4</f>
        <v>198.63191404438962</v>
      </c>
      <c r="Y90" s="370">
        <f>Y84/Detached!Y$4</f>
        <v>56.068157245523359</v>
      </c>
      <c r="Z90" s="370">
        <f>Z84/Detached!Z$4</f>
        <v>166.0592635942003</v>
      </c>
      <c r="AA90" s="370">
        <f>AA84/Detached!AA$4</f>
        <v>122.90761084318406</v>
      </c>
      <c r="AB90" s="370">
        <f>AB84/Detached!AB$4</f>
        <v>182.62339738009314</v>
      </c>
      <c r="AC90" s="370">
        <f>AC84/Detached!AC$4</f>
        <v>96.882978247412396</v>
      </c>
      <c r="AD90" s="370">
        <f>AD84/Detached!AD$4</f>
        <v>216.06922198410223</v>
      </c>
      <c r="AE90" s="370">
        <f>AE84/Detached!AE$4</f>
        <v>118.51027868053386</v>
      </c>
      <c r="AF90" s="370">
        <f>AF84/Detached!AF$4</f>
        <v>170.97250651958589</v>
      </c>
      <c r="AG90" s="370">
        <f>AG84/Detached!AG$4</f>
        <v>203.83416409847521</v>
      </c>
      <c r="AH90" s="370">
        <f>AH84/Detached!AH$4</f>
        <v>236.98415294390219</v>
      </c>
      <c r="AI90" s="370">
        <f>AI84/Detached!AI$4</f>
        <v>165.66295519081274</v>
      </c>
      <c r="AJ90" s="370">
        <f>AJ84/Detached!AJ$4</f>
        <v>175.55151800405952</v>
      </c>
      <c r="AK90" s="370">
        <f>AK84/Detached!AK$4</f>
        <v>145.12317893499326</v>
      </c>
      <c r="AL90" s="370">
        <f>AL84/Detached!AL$4</f>
        <v>174.68910819254697</v>
      </c>
      <c r="AM90" s="370">
        <f>AM84/Detached!AM$4</f>
        <v>161.43289831516358</v>
      </c>
      <c r="AN90" s="371">
        <f>AN84/Detached!AN$4</f>
        <v>161.43289831516358</v>
      </c>
    </row>
    <row r="91" spans="1:40">
      <c r="A91" s="154"/>
      <c r="B91" s="347" t="s">
        <v>4</v>
      </c>
      <c r="C91" s="367" t="s">
        <v>190</v>
      </c>
      <c r="D91" s="369">
        <f>D85/Detached!D$4</f>
        <v>142.44573162150164</v>
      </c>
      <c r="E91" s="370">
        <f>E85/Detached!E$4</f>
        <v>189.73382670596314</v>
      </c>
      <c r="F91" s="370">
        <f>F85/Detached!F$4</f>
        <v>167.23548189438202</v>
      </c>
      <c r="G91" s="370">
        <f>G85/Detached!G$4</f>
        <v>138.77896964355588</v>
      </c>
      <c r="H91" s="370">
        <f>H85/Detached!H$4</f>
        <v>68.447328013984404</v>
      </c>
      <c r="I91" s="370">
        <f>I85/Detached!I$4</f>
        <v>136.0640860555981</v>
      </c>
      <c r="J91" s="370">
        <f>J85/Detached!J$4</f>
        <v>116.37990466622102</v>
      </c>
      <c r="K91" s="370">
        <f>K85/Detached!K$4</f>
        <v>72.176216679382435</v>
      </c>
      <c r="L91" s="370">
        <f>L85/Detached!L$4</f>
        <v>93.855188552481607</v>
      </c>
      <c r="M91" s="370">
        <f>M85/Detached!M$4</f>
        <v>144.10377910181282</v>
      </c>
      <c r="N91" s="370">
        <f>N85/Detached!N$4</f>
        <v>126.76822066813116</v>
      </c>
      <c r="O91" s="370">
        <f>O85/Detached!O$4</f>
        <v>98.666802185811491</v>
      </c>
      <c r="P91" s="370">
        <f>P85/Detached!P$4</f>
        <v>165.66295519081274</v>
      </c>
      <c r="Q91" s="370">
        <f>Q85/Detached!Q$4</f>
        <v>146.35003550239296</v>
      </c>
      <c r="R91" s="370">
        <f>R85/Detached!R$4</f>
        <v>149.79321116405811</v>
      </c>
      <c r="S91" s="370">
        <f>S85/Detached!S$4</f>
        <v>162.76134223438908</v>
      </c>
      <c r="T91" s="370">
        <f>T85/Detached!T$4</f>
        <v>107.82883180249927</v>
      </c>
      <c r="U91" s="370">
        <f>U85/Detached!U$4</f>
        <v>130.4402105245286</v>
      </c>
      <c r="V91" s="370">
        <f>V85/Detached!V$4</f>
        <v>115.54985255724675</v>
      </c>
      <c r="W91" s="370">
        <f>W85/Detached!W$4</f>
        <v>102.48268460015916</v>
      </c>
      <c r="X91" s="370">
        <f>X85/Detached!X$4</f>
        <v>183.22961532746953</v>
      </c>
      <c r="Y91" s="370">
        <f>Y85/Detached!Y$4</f>
        <v>46.027556056343251</v>
      </c>
      <c r="Z91" s="370">
        <f>Z85/Detached!Z$4</f>
        <v>160.36654511712817</v>
      </c>
      <c r="AA91" s="370">
        <f>AA85/Detached!AA$4</f>
        <v>78.824115396475378</v>
      </c>
      <c r="AB91" s="370">
        <f>AB85/Detached!AB$4</f>
        <v>129.36374965237411</v>
      </c>
      <c r="AC91" s="370">
        <f>AC85/Detached!AC$4</f>
        <v>95.006696204209291</v>
      </c>
      <c r="AD91" s="370">
        <f>AD85/Detached!AD$4</f>
        <v>216.06922198410223</v>
      </c>
      <c r="AE91" s="370">
        <f>AE85/Detached!AE$4</f>
        <v>76.003982327030116</v>
      </c>
      <c r="AF91" s="370">
        <f>AF85/Detached!AF$4</f>
        <v>159.08737044880525</v>
      </c>
      <c r="AG91" s="370">
        <f>AG85/Detached!AG$4</f>
        <v>203.83416409847521</v>
      </c>
      <c r="AH91" s="370">
        <f>AH85/Detached!AH$4</f>
        <v>183.93722615065747</v>
      </c>
      <c r="AI91" s="370">
        <f>AI85/Detached!AI$4</f>
        <v>165.66295519081274</v>
      </c>
      <c r="AJ91" s="370">
        <f>AJ85/Detached!AJ$4</f>
        <v>175.55151800405952</v>
      </c>
      <c r="AK91" s="370">
        <f>AK85/Detached!AK$4</f>
        <v>145.12317893499326</v>
      </c>
      <c r="AL91" s="370">
        <f>AL85/Detached!AL$4</f>
        <v>163.94847226844266</v>
      </c>
      <c r="AM91" s="370">
        <f>AM85/Detached!AM$4</f>
        <v>161.43289831516358</v>
      </c>
      <c r="AN91" s="371">
        <f>AN85/Detached!AN$4</f>
        <v>161.43289831516358</v>
      </c>
    </row>
    <row r="92" spans="1:40">
      <c r="A92" s="154"/>
      <c r="B92" s="347" t="s">
        <v>5</v>
      </c>
      <c r="C92" s="367" t="s">
        <v>190</v>
      </c>
      <c r="D92" s="369">
        <f>D86/Detached!D$4</f>
        <v>98.541801005266066</v>
      </c>
      <c r="E92" s="370">
        <f>E86/Detached!E$4</f>
        <v>160.20575443322531</v>
      </c>
      <c r="F92" s="370">
        <f>F86/Detached!F$4</f>
        <v>141.95078884467623</v>
      </c>
      <c r="G92" s="370">
        <f>G86/Detached!G$4</f>
        <v>96.005190570883158</v>
      </c>
      <c r="H92" s="370">
        <f>H86/Detached!H$4</f>
        <v>66.218630039025854</v>
      </c>
      <c r="I92" s="370">
        <f>I86/Detached!I$4</f>
        <v>119.71757106656933</v>
      </c>
      <c r="J92" s="370">
        <f>J86/Detached!J$4</f>
        <v>91.324008946729947</v>
      </c>
      <c r="K92" s="370">
        <f>K86/Detached!K$4</f>
        <v>58.743865352062436</v>
      </c>
      <c r="L92" s="370">
        <f>L86/Detached!L$4</f>
        <v>76.796520868320258</v>
      </c>
      <c r="M92" s="370">
        <f>M86/Detached!M$4</f>
        <v>99.109784545131788</v>
      </c>
      <c r="N92" s="370">
        <f>N86/Detached!N$4</f>
        <v>104.66008291254637</v>
      </c>
      <c r="O92" s="370">
        <f>O86/Detached!O$4</f>
        <v>84.518847172970752</v>
      </c>
      <c r="P92" s="370">
        <f>P86/Detached!P$4</f>
        <v>161.04086325816525</v>
      </c>
      <c r="Q92" s="370">
        <f>Q86/Detached!Q$4</f>
        <v>146.35003550239296</v>
      </c>
      <c r="R92" s="370">
        <f>R86/Detached!R$4</f>
        <v>108.33457051499168</v>
      </c>
      <c r="S92" s="370">
        <f>S86/Detached!S$4</f>
        <v>106.12941078044442</v>
      </c>
      <c r="T92" s="370">
        <f>T86/Detached!T$4</f>
        <v>89.023687619287301</v>
      </c>
      <c r="U92" s="370">
        <f>U86/Detached!U$4</f>
        <v>103.19506355421262</v>
      </c>
      <c r="V92" s="370">
        <f>V86/Detached!V$4</f>
        <v>115.54985255724675</v>
      </c>
      <c r="W92" s="370">
        <f>W86/Detached!W$4</f>
        <v>92.163482787504563</v>
      </c>
      <c r="X92" s="370">
        <f>X86/Detached!X$4</f>
        <v>107.31785926033659</v>
      </c>
      <c r="Y92" s="370">
        <f>Y86/Detached!Y$4</f>
        <v>41.96713693999088</v>
      </c>
      <c r="Z92" s="370">
        <f>Z86/Detached!Z$4</f>
        <v>95.509056425833649</v>
      </c>
      <c r="AA92" s="370">
        <f>AA86/Detached!AA$4</f>
        <v>78.824115396475378</v>
      </c>
      <c r="AB92" s="370">
        <f>AB86/Detached!AB$4</f>
        <v>129.36374965237411</v>
      </c>
      <c r="AC92" s="370">
        <f>AC86/Detached!AC$4</f>
        <v>91.904794536422429</v>
      </c>
      <c r="AD92" s="370">
        <f>AD86/Detached!AD$4</f>
        <v>182.89067725425031</v>
      </c>
      <c r="AE92" s="370">
        <f>AE86/Detached!AE$4</f>
        <v>76.003982327030116</v>
      </c>
      <c r="AF92" s="370">
        <f>AF86/Detached!AF$4</f>
        <v>123.82729487329539</v>
      </c>
      <c r="AG92" s="370">
        <f>AG86/Detached!AG$4</f>
        <v>177.19620454967952</v>
      </c>
      <c r="AH92" s="370">
        <f>AH86/Detached!AH$4</f>
        <v>98.750275608194059</v>
      </c>
      <c r="AI92" s="370">
        <f>AI86/Detached!AI$4</f>
        <v>161.04086325816525</v>
      </c>
      <c r="AJ92" s="370">
        <f>AJ86/Detached!AJ$4</f>
        <v>149.63197179754985</v>
      </c>
      <c r="AK92" s="370">
        <f>AK86/Detached!AK$4</f>
        <v>123.30423753808367</v>
      </c>
      <c r="AL92" s="370">
        <f>AL86/Detached!AL$4</f>
        <v>139.07596956463451</v>
      </c>
      <c r="AM92" s="370">
        <f>AM86/Detached!AM$4</f>
        <v>137.59791520192212</v>
      </c>
      <c r="AN92" s="371">
        <f>AN86/Detached!AN$4</f>
        <v>137.59791520192212</v>
      </c>
    </row>
    <row r="93" spans="1:40">
      <c r="A93" s="154"/>
      <c r="B93" s="347" t="s">
        <v>6</v>
      </c>
      <c r="C93" s="367" t="s">
        <v>190</v>
      </c>
      <c r="D93" s="369">
        <f>D87/Detached!D$4</f>
        <v>84.456919677957217</v>
      </c>
      <c r="E93" s="370">
        <f>E87/Detached!E$4</f>
        <v>160.20575443322531</v>
      </c>
      <c r="F93" s="370">
        <f>F87/Detached!F$4</f>
        <v>109.23674269624989</v>
      </c>
      <c r="G93" s="370">
        <f>G87/Detached!G$4</f>
        <v>82.282874739408797</v>
      </c>
      <c r="H93" s="370">
        <f>H87/Detached!H$4</f>
        <v>66.218630039025854</v>
      </c>
      <c r="I93" s="370">
        <f>I87/Detached!I$4</f>
        <v>89.749598298555597</v>
      </c>
      <c r="J93" s="370">
        <f>J87/Detached!J$4</f>
        <v>55.608639149077113</v>
      </c>
      <c r="K93" s="370">
        <f>K87/Detached!K$4</f>
        <v>58.743865352062436</v>
      </c>
      <c r="L93" s="370">
        <f>L87/Detached!L$4</f>
        <v>67.312815980421945</v>
      </c>
      <c r="M93" s="370">
        <f>M87/Detached!M$4</f>
        <v>99.109784545131788</v>
      </c>
      <c r="N93" s="370">
        <f>N87/Detached!N$4</f>
        <v>103.12180849992829</v>
      </c>
      <c r="O93" s="370">
        <f>O87/Detached!O$4</f>
        <v>50.626971990756083</v>
      </c>
      <c r="P93" s="370">
        <f>P87/Detached!P$4</f>
        <v>161.04086325816525</v>
      </c>
      <c r="Q93" s="370">
        <f>Q87/Detached!Q$4</f>
        <v>104.63766533741038</v>
      </c>
      <c r="R93" s="370">
        <f>R87/Detached!R$4</f>
        <v>108.33457051499168</v>
      </c>
      <c r="S93" s="370">
        <f>S87/Detached!S$4</f>
        <v>87.773537890228326</v>
      </c>
      <c r="T93" s="370">
        <f>T87/Detached!T$4</f>
        <v>87.715234033443281</v>
      </c>
      <c r="U93" s="370">
        <f>U87/Detached!U$4</f>
        <v>94.609928364789027</v>
      </c>
      <c r="V93" s="370">
        <f>V87/Detached!V$4</f>
        <v>115.54985255724675</v>
      </c>
      <c r="W93" s="370">
        <f>W87/Detached!W$4</f>
        <v>81.389557379143653</v>
      </c>
      <c r="X93" s="370">
        <f>X87/Detached!X$4</f>
        <v>105.39396341768234</v>
      </c>
      <c r="Y93" s="370">
        <f>Y87/Detached!Y$4</f>
        <v>41.187339456382233</v>
      </c>
      <c r="Z93" s="370">
        <f>Z87/Detached!Z$4</f>
        <v>87.063118391741725</v>
      </c>
      <c r="AA93" s="370">
        <f>AA87/Detached!AA$4</f>
        <v>68.123412916753111</v>
      </c>
      <c r="AB93" s="370">
        <f>AB87/Detached!AB$4</f>
        <v>129.36374965237411</v>
      </c>
      <c r="AC93" s="370">
        <f>AC87/Detached!AC$4</f>
        <v>84.680091330476117</v>
      </c>
      <c r="AD93" s="370">
        <f>AD87/Detached!AD$4</f>
        <v>182.89067725425031</v>
      </c>
      <c r="AE93" s="370">
        <f>AE87/Detached!AE$4</f>
        <v>65.686124675664914</v>
      </c>
      <c r="AF93" s="370">
        <f>AF87/Detached!AF$4</f>
        <v>87.73737264290277</v>
      </c>
      <c r="AG93" s="370">
        <f>AG87/Detached!AG$4</f>
        <v>160.75638744238398</v>
      </c>
      <c r="AH93" s="370">
        <f>AH87/Detached!AH$4</f>
        <v>80.910217869506539</v>
      </c>
      <c r="AI93" s="370">
        <f>AI87/Detached!AI$4</f>
        <v>161.04086325816525</v>
      </c>
      <c r="AJ93" s="370">
        <f>AJ87/Detached!AJ$4</f>
        <v>139.6333354963659</v>
      </c>
      <c r="AK93" s="370">
        <f>AK87/Detached!AK$4</f>
        <v>114.91911074425819</v>
      </c>
      <c r="AL93" s="370">
        <f>AL87/Detached!AL$4</f>
        <v>106.70663411415376</v>
      </c>
      <c r="AM93" s="370">
        <f>AM87/Detached!AM$4</f>
        <v>128.40341289484434</v>
      </c>
      <c r="AN93" s="371">
        <f>AN87/Detached!AN$4</f>
        <v>128.40341289484434</v>
      </c>
    </row>
    <row r="94" spans="1:40">
      <c r="A94" s="155"/>
      <c r="B94" s="338" t="s">
        <v>7</v>
      </c>
      <c r="C94" s="368" t="s">
        <v>190</v>
      </c>
      <c r="D94" s="378">
        <f>D88/Detached!D$4</f>
        <v>74.804231558130368</v>
      </c>
      <c r="E94" s="379">
        <f>E88/Detached!E$4</f>
        <v>94.033293037587143</v>
      </c>
      <c r="F94" s="379">
        <f>F88/Detached!F$4</f>
        <v>71.356160587389851</v>
      </c>
      <c r="G94" s="379">
        <f>G88/Detached!G$4</f>
        <v>72.878660964020696</v>
      </c>
      <c r="H94" s="379">
        <f>H88/Detached!H$4</f>
        <v>54.714949430025193</v>
      </c>
      <c r="I94" s="379">
        <f>I88/Detached!I$4</f>
        <v>74.683614378203373</v>
      </c>
      <c r="J94" s="379">
        <f>J88/Detached!J$4</f>
        <v>61.065675513427045</v>
      </c>
      <c r="K94" s="379">
        <f>K88/Detached!K$4</f>
        <v>44.478832850651585</v>
      </c>
      <c r="L94" s="379">
        <f>L88/Detached!L$4</f>
        <v>67.312815980421945</v>
      </c>
      <c r="M94" s="379">
        <f>M88/Detached!M$4</f>
        <v>62.873305407974946</v>
      </c>
      <c r="N94" s="379">
        <f>N88/Detached!N$4</f>
        <v>95.495626617749892</v>
      </c>
      <c r="O94" s="379">
        <f>O88/Detached!O$4</f>
        <v>49.242439095342746</v>
      </c>
      <c r="P94" s="379">
        <f>P88/Detached!P$4</f>
        <v>53.812553276114429</v>
      </c>
      <c r="Q94" s="379">
        <f>Q88/Detached!Q$4</f>
        <v>64.939095665775696</v>
      </c>
      <c r="R94" s="379">
        <f>R88/Detached!R$4</f>
        <v>69.539214618024303</v>
      </c>
      <c r="S94" s="379">
        <f>S88/Detached!S$4</f>
        <v>53.328611990061688</v>
      </c>
      <c r="T94" s="379">
        <f>T88/Detached!T$4</f>
        <v>81.228416760670683</v>
      </c>
      <c r="U94" s="379">
        <f>U88/Detached!U$4</f>
        <v>94.609928364789027</v>
      </c>
      <c r="V94" s="379">
        <f>V88/Detached!V$4</f>
        <v>64.012549270198861</v>
      </c>
      <c r="W94" s="379">
        <f>W88/Detached!W$4</f>
        <v>67.285721964012083</v>
      </c>
      <c r="X94" s="379">
        <f>X88/Detached!X$4</f>
        <v>62.582524325225108</v>
      </c>
      <c r="Y94" s="379">
        <f>Y88/Detached!Y$4</f>
        <v>39.143793198863897</v>
      </c>
      <c r="Z94" s="379">
        <f>Z88/Detached!Z$4</f>
        <v>63.516194845269375</v>
      </c>
      <c r="AA94" s="379">
        <f>AA88/Detached!AA$4</f>
        <v>68.123412916753111</v>
      </c>
      <c r="AB94" s="379">
        <f>AB88/Detached!AB$4</f>
        <v>97.852385876096093</v>
      </c>
      <c r="AC94" s="379">
        <f>AC88/Detached!AC$4</f>
        <v>56.818262417141867</v>
      </c>
      <c r="AD94" s="379">
        <f>AD88/Detached!AD$4</f>
        <v>151.008586588063</v>
      </c>
      <c r="AE94" s="379">
        <f>AE88/Detached!AE$4</f>
        <v>65.686124675664914</v>
      </c>
      <c r="AF94" s="379">
        <f>AF88/Detached!AF$4</f>
        <v>49.939946645585451</v>
      </c>
      <c r="AG94" s="379">
        <f>AG88/Detached!AG$4</f>
        <v>99.159068700471124</v>
      </c>
      <c r="AH94" s="379">
        <f>AH88/Detached!AH$4</f>
        <v>67.963505350267326</v>
      </c>
      <c r="AI94" s="379">
        <f>AI88/Detached!AI$4</f>
        <v>53.812553276114429</v>
      </c>
      <c r="AJ94" s="379">
        <f>AJ88/Detached!AJ$4</f>
        <v>122.79570732364166</v>
      </c>
      <c r="AK94" s="379">
        <f>AK88/Detached!AK$4</f>
        <v>101.01667105488468</v>
      </c>
      <c r="AL94" s="379">
        <f>AL88/Detached!AL$4</f>
        <v>69.652261544501044</v>
      </c>
      <c r="AM94" s="379">
        <f>AM88/Detached!AM$4</f>
        <v>112.9199403075377</v>
      </c>
      <c r="AN94" s="380">
        <f>AN88/Detached!AN$4</f>
        <v>112.9199403075377</v>
      </c>
    </row>
    <row r="95" spans="1:40">
      <c r="A95" s="334" t="s">
        <v>299</v>
      </c>
      <c r="B95" s="359" t="s">
        <v>2</v>
      </c>
      <c r="C95" s="366" t="s">
        <v>190</v>
      </c>
      <c r="D95" s="376">
        <f>Detached!D$47-D89</f>
        <v>19.413815699257441</v>
      </c>
      <c r="E95" s="376">
        <f>Detached!E$47-E89</f>
        <v>28.119656539206346</v>
      </c>
      <c r="F95" s="376">
        <f>Detached!F$47-F89</f>
        <v>28.506028986340226</v>
      </c>
      <c r="G95" s="376">
        <f>Detached!G$47-G89</f>
        <v>18.914075619701833</v>
      </c>
      <c r="H95" s="376">
        <f>Detached!H$47-H89</f>
        <v>5.5088537432453393</v>
      </c>
      <c r="I95" s="376">
        <f>Detached!I$47-I89</f>
        <v>27.791913052561739</v>
      </c>
      <c r="J95" s="376">
        <f>Detached!J$47-J89</f>
        <v>29.119507246618809</v>
      </c>
      <c r="K95" s="376">
        <f>Detached!K$47-K89</f>
        <v>19.08335555089991</v>
      </c>
      <c r="L95" s="376">
        <f>Detached!L$47-L89</f>
        <v>22.455537114194286</v>
      </c>
      <c r="M95" s="376">
        <f>Detached!M$47-M89</f>
        <v>26.813286673425381</v>
      </c>
      <c r="N95" s="376">
        <f>Detached!N$47-N89</f>
        <v>36.638729734030306</v>
      </c>
      <c r="O95" s="376">
        <f>Detached!O$47-O89</f>
        <v>25.282377923853943</v>
      </c>
      <c r="P95" s="376">
        <f>Detached!P$47-P89</f>
        <v>14.132838249807548</v>
      </c>
      <c r="Q95" s="376">
        <f>Detached!Q$47-Q89</f>
        <v>48.571854116296009</v>
      </c>
      <c r="R95" s="376">
        <f>Detached!R$47-R89</f>
        <v>20.071591823532344</v>
      </c>
      <c r="S95" s="376">
        <f>Detached!S$47-S89</f>
        <v>29.285505698046137</v>
      </c>
      <c r="T95" s="376">
        <f>Detached!T$47-T89</f>
        <v>31.164840881458957</v>
      </c>
      <c r="U95" s="376">
        <f>Detached!U$47-U89</f>
        <v>29.352127136647312</v>
      </c>
      <c r="V95" s="376">
        <f>Detached!V$47-V89</f>
        <v>23.411687990663381</v>
      </c>
      <c r="W95" s="376">
        <f>Detached!W$47-W89</f>
        <v>48.306116752881195</v>
      </c>
      <c r="X95" s="376">
        <f>Detached!X$47-X89</f>
        <v>32.852161588898724</v>
      </c>
      <c r="Y95" s="376">
        <f>Detached!Y$47-Y89</f>
        <v>9.0961194894418185</v>
      </c>
      <c r="Z95" s="376">
        <f>Detached!Z$47-Z89</f>
        <v>26.519047799706527</v>
      </c>
      <c r="AA95" s="376">
        <f>Detached!AA$47-AA89</f>
        <v>35.29103461526411</v>
      </c>
      <c r="AB95" s="376">
        <f>Detached!AB$47-AB89</f>
        <v>35.993236354867889</v>
      </c>
      <c r="AC95" s="376">
        <f>Detached!AC$47-AC89</f>
        <v>12.344916036114782</v>
      </c>
      <c r="AD95" s="376">
        <f>Detached!AD$47-AD89</f>
        <v>27.713451494355439</v>
      </c>
      <c r="AE95" s="376">
        <f>Detached!AE$47-AE89</f>
        <v>34.028408155419342</v>
      </c>
      <c r="AF95" s="376">
        <f>Detached!AF$47-AF89</f>
        <v>19.57026364497662</v>
      </c>
      <c r="AG95" s="376">
        <f>Detached!AG$47-AG89</f>
        <v>36.544350026121236</v>
      </c>
      <c r="AH95" s="376">
        <f>Detached!AH$47-AH89</f>
        <v>41.533646135970002</v>
      </c>
      <c r="AI95" s="376">
        <f>Detached!AI$47-AI89</f>
        <v>14.132838249807548</v>
      </c>
      <c r="AJ95" s="376">
        <f>Detached!AJ$47-AJ89</f>
        <v>34.229634735381012</v>
      </c>
      <c r="AK95" s="376">
        <f>Detached!AK$47-AK89</f>
        <v>23.227072879593521</v>
      </c>
      <c r="AL95" s="376">
        <f>Detached!AL$47-AL89</f>
        <v>26.487508413795467</v>
      </c>
      <c r="AM95" s="376">
        <f>Detached!AM$47-AM89</f>
        <v>31.476738033527965</v>
      </c>
      <c r="AN95" s="377">
        <f>Detached!AN$47-AN89</f>
        <v>31.476738033527965</v>
      </c>
    </row>
    <row r="96" spans="1:40">
      <c r="A96" s="154"/>
      <c r="B96" s="347" t="s">
        <v>3</v>
      </c>
      <c r="C96" s="367" t="s">
        <v>190</v>
      </c>
      <c r="D96" s="370">
        <f>Detached!D$48-D90</f>
        <v>19.694771948789992</v>
      </c>
      <c r="E96" s="370">
        <f>Detached!E$48-E90</f>
        <v>28.119656539206346</v>
      </c>
      <c r="F96" s="370">
        <f>Detached!F$48-F90</f>
        <v>28.506028986340226</v>
      </c>
      <c r="G96" s="370">
        <f>Detached!G$48-G90</f>
        <v>19.18779964344904</v>
      </c>
      <c r="H96" s="370">
        <f>Detached!H$48-H90</f>
        <v>5.5739779134523388</v>
      </c>
      <c r="I96" s="370">
        <f>Detached!I$48-I90</f>
        <v>28.704328884401349</v>
      </c>
      <c r="J96" s="370">
        <f>Detached!J$48-J90</f>
        <v>20.982643185248037</v>
      </c>
      <c r="K96" s="370">
        <f>Detached!K$48-K90</f>
        <v>18.800325071393516</v>
      </c>
      <c r="L96" s="370">
        <f>Detached!L$48-L90</f>
        <v>22.455537114194286</v>
      </c>
      <c r="M96" s="370">
        <f>Detached!M$48-M90</f>
        <v>27.335951366975962</v>
      </c>
      <c r="N96" s="370">
        <f>Detached!N$48-N90</f>
        <v>37.262158118716428</v>
      </c>
      <c r="O96" s="370">
        <f>Detached!O$48-O90</f>
        <v>25.282377923853943</v>
      </c>
      <c r="P96" s="370">
        <f>Detached!P$48-P90</f>
        <v>14.132838249807548</v>
      </c>
      <c r="Q96" s="370">
        <f>Detached!Q$48-Q90</f>
        <v>48.05060252981761</v>
      </c>
      <c r="R96" s="370">
        <f>Detached!R$48-R90</f>
        <v>20.071591823532344</v>
      </c>
      <c r="S96" s="370">
        <f>Detached!S$48-S90</f>
        <v>29.207747483217332</v>
      </c>
      <c r="T96" s="370">
        <f>Detached!T$48-T90</f>
        <v>31.695127999783438</v>
      </c>
      <c r="U96" s="370">
        <f>Detached!U$48-U90</f>
        <v>29.649147455165661</v>
      </c>
      <c r="V96" s="370">
        <f>Detached!V$48-V90</f>
        <v>23.411687990663381</v>
      </c>
      <c r="W96" s="370">
        <f>Detached!W$48-W90</f>
        <v>39.159856414698567</v>
      </c>
      <c r="X96" s="370">
        <f>Detached!X$48-X90</f>
        <v>29.688033672575727</v>
      </c>
      <c r="Y96" s="370">
        <f>Detached!Y$48-Y90</f>
        <v>9.0984270598596808</v>
      </c>
      <c r="Z96" s="370">
        <f>Detached!Z$48-Z90</f>
        <v>24.495178679073518</v>
      </c>
      <c r="AA96" s="370">
        <f>Detached!AA$48-AA90</f>
        <v>34.586708620261064</v>
      </c>
      <c r="AB96" s="370">
        <f>Detached!AB$48-AB90</f>
        <v>26.80180852200607</v>
      </c>
      <c r="AC96" s="370">
        <f>Detached!AC$48-AC90</f>
        <v>12.935418177437839</v>
      </c>
      <c r="AD96" s="370">
        <f>Detached!AD$48-AD90</f>
        <v>26.76350261120956</v>
      </c>
      <c r="AE96" s="370">
        <f>Detached!AE$48-AE90</f>
        <v>33.349281213018301</v>
      </c>
      <c r="AF96" s="370">
        <f>Detached!AF$48-AF90</f>
        <v>19.57026364497662</v>
      </c>
      <c r="AG96" s="370">
        <f>Detached!AG$48-AG90</f>
        <v>37.700337005557799</v>
      </c>
      <c r="AH96" s="370">
        <f>Detached!AH$48-AH90</f>
        <v>40.345588715632175</v>
      </c>
      <c r="AI96" s="370">
        <f>Detached!AI$48-AI90</f>
        <v>14.132838249807548</v>
      </c>
      <c r="AJ96" s="370">
        <f>Detached!AJ$48-AJ90</f>
        <v>34.229634735381012</v>
      </c>
      <c r="AK96" s="370">
        <f>Detached!AK$48-AK90</f>
        <v>23.227072879593521</v>
      </c>
      <c r="AL96" s="370">
        <f>Detached!AL$48-AL90</f>
        <v>26.487508413795467</v>
      </c>
      <c r="AM96" s="370">
        <f>Detached!AM$48-AM90</f>
        <v>31.476738033527965</v>
      </c>
      <c r="AN96" s="371">
        <f>Detached!AN$48-AN90</f>
        <v>31.476738033527965</v>
      </c>
    </row>
    <row r="97" spans="1:40">
      <c r="A97" s="154"/>
      <c r="B97" s="347" t="s">
        <v>4</v>
      </c>
      <c r="C97" s="367" t="s">
        <v>190</v>
      </c>
      <c r="D97" s="370">
        <f>Detached!D$49-D91</f>
        <v>18.344055676313502</v>
      </c>
      <c r="E97" s="370">
        <f>Detached!E$49-E91</f>
        <v>28.119656539206346</v>
      </c>
      <c r="F97" s="370">
        <f>Detached!F$49-F91</f>
        <v>28.820494048674476</v>
      </c>
      <c r="G97" s="370">
        <f>Detached!G$49-G91</f>
        <v>17.87185278817114</v>
      </c>
      <c r="H97" s="370">
        <f>Detached!H$49-H91</f>
        <v>14.030662535386796</v>
      </c>
      <c r="I97" s="370">
        <f>Detached!I$49-I91</f>
        <v>28.704328884401349</v>
      </c>
      <c r="J97" s="370">
        <f>Detached!J$49-J91</f>
        <v>24.487015569542649</v>
      </c>
      <c r="K97" s="370">
        <f>Detached!K$49-K91</f>
        <v>19.906275084322033</v>
      </c>
      <c r="L97" s="370">
        <f>Detached!L$49-L91</f>
        <v>23.331248317442856</v>
      </c>
      <c r="M97" s="370">
        <f>Detached!M$49-M91</f>
        <v>27.335951366975962</v>
      </c>
      <c r="N97" s="370">
        <f>Detached!N$49-N91</f>
        <v>34.911208657704691</v>
      </c>
      <c r="O97" s="370">
        <f>Detached!O$49-O91</f>
        <v>23.426470413304088</v>
      </c>
      <c r="P97" s="370">
        <f>Detached!P$49-P91</f>
        <v>14.132838249807548</v>
      </c>
      <c r="Q97" s="370">
        <f>Detached!Q$49-Q91</f>
        <v>30.728516314702404</v>
      </c>
      <c r="R97" s="370">
        <f>Detached!R$49-R91</f>
        <v>20.603820779437029</v>
      </c>
      <c r="S97" s="370">
        <f>Detached!S$49-S91</f>
        <v>30.045002522410329</v>
      </c>
      <c r="T97" s="370">
        <f>Detached!T$49-T91</f>
        <v>29.695414406963877</v>
      </c>
      <c r="U97" s="370">
        <f>Detached!U$49-U91</f>
        <v>25.096905323718488</v>
      </c>
      <c r="V97" s="370">
        <f>Detached!V$49-V91</f>
        <v>19.338467601889548</v>
      </c>
      <c r="W97" s="370">
        <f>Detached!W$49-W91</f>
        <v>32.969716728869543</v>
      </c>
      <c r="X97" s="370">
        <f>Detached!X$49-X91</f>
        <v>30.109161307394459</v>
      </c>
      <c r="Y97" s="370">
        <f>Detached!Y$49-Y91</f>
        <v>9.412891570112123</v>
      </c>
      <c r="Z97" s="370">
        <f>Detached!Z$49-Z91</f>
        <v>24.645235669691203</v>
      </c>
      <c r="AA97" s="370">
        <f>Detached!AA$49-AA91</f>
        <v>36.51242185312897</v>
      </c>
      <c r="AB97" s="370">
        <f>Detached!AB$49-AB91</f>
        <v>23.472949129629797</v>
      </c>
      <c r="AC97" s="370">
        <f>Detached!AC$49-AC91</f>
        <v>12.980151532838207</v>
      </c>
      <c r="AD97" s="370">
        <f>Detached!AD$49-AD91</f>
        <v>26.76350261120956</v>
      </c>
      <c r="AE97" s="370">
        <f>Detached!AE$49-AE91</f>
        <v>35.206097160544488</v>
      </c>
      <c r="AF97" s="370">
        <f>Detached!AF$49-AF91</f>
        <v>16.455593174526967</v>
      </c>
      <c r="AG97" s="370">
        <f>Detached!AG$49-AG91</f>
        <v>37.700337005557799</v>
      </c>
      <c r="AH97" s="370">
        <f>Detached!AH$49-AH91</f>
        <v>38.009240133099752</v>
      </c>
      <c r="AI97" s="370">
        <f>Detached!AI$49-AI91</f>
        <v>14.132838249807548</v>
      </c>
      <c r="AJ97" s="370">
        <f>Detached!AJ$49-AJ91</f>
        <v>34.229634735381012</v>
      </c>
      <c r="AK97" s="370">
        <f>Detached!AK$49-AK91</f>
        <v>23.227072879593521</v>
      </c>
      <c r="AL97" s="370">
        <f>Detached!AL$49-AL91</f>
        <v>26.782354268484909</v>
      </c>
      <c r="AM97" s="370">
        <f>Detached!AM$49-AM91</f>
        <v>31.476738033527965</v>
      </c>
      <c r="AN97" s="371">
        <f>Detached!AN$49-AN91</f>
        <v>31.476738033527965</v>
      </c>
    </row>
    <row r="98" spans="1:40">
      <c r="A98" s="154"/>
      <c r="B98" s="347" t="s">
        <v>5</v>
      </c>
      <c r="C98" s="367" t="s">
        <v>190</v>
      </c>
      <c r="D98" s="370">
        <f>Detached!D$50-D92</f>
        <v>13.70247587714681</v>
      </c>
      <c r="E98" s="370">
        <f>Detached!E$50-E92</f>
        <v>25.929692041450664</v>
      </c>
      <c r="F98" s="370">
        <f>Detached!F$50-F92</f>
        <v>29.642394921153965</v>
      </c>
      <c r="G98" s="370">
        <f>Detached!G$50-G92</f>
        <v>13.349754058261126</v>
      </c>
      <c r="H98" s="370">
        <f>Detached!H$50-H92</f>
        <v>14.109787179258078</v>
      </c>
      <c r="I98" s="370">
        <f>Detached!I$50-I92</f>
        <v>29.329402301763096</v>
      </c>
      <c r="J98" s="370">
        <f>Detached!J$50-J92</f>
        <v>22.825731974705718</v>
      </c>
      <c r="K98" s="370">
        <f>Detached!K$50-K92</f>
        <v>19.588198700710869</v>
      </c>
      <c r="L98" s="370">
        <f>Detached!L$50-L92</f>
        <v>10.528125234300219</v>
      </c>
      <c r="M98" s="370">
        <f>Detached!M$50-M92</f>
        <v>15.449490579286405</v>
      </c>
      <c r="N98" s="370">
        <f>Detached!N$50-N92</f>
        <v>28.45809709187175</v>
      </c>
      <c r="O98" s="370">
        <f>Detached!O$50-O92</f>
        <v>20.221453552259661</v>
      </c>
      <c r="P98" s="370">
        <f>Detached!P$50-P92</f>
        <v>14.205499105314146</v>
      </c>
      <c r="Q98" s="370">
        <f>Detached!Q$50-Q92</f>
        <v>30.728516314702404</v>
      </c>
      <c r="R98" s="370">
        <f>Detached!R$50-R92</f>
        <v>21.795797613019957</v>
      </c>
      <c r="S98" s="370">
        <f>Detached!S$50-S92</f>
        <v>24.58122912257214</v>
      </c>
      <c r="T98" s="370">
        <f>Detached!T$50-T92</f>
        <v>24.206408740026291</v>
      </c>
      <c r="U98" s="370">
        <f>Detached!U$50-U92</f>
        <v>16.79969062700026</v>
      </c>
      <c r="V98" s="370">
        <f>Detached!V$50-V92</f>
        <v>19.338467601889548</v>
      </c>
      <c r="W98" s="370">
        <f>Detached!W$50-W92</f>
        <v>19.501451806469774</v>
      </c>
      <c r="X98" s="370">
        <f>Detached!X$50-X92</f>
        <v>20.673951256588836</v>
      </c>
      <c r="Y98" s="370">
        <f>Detached!Y$50-Y92</f>
        <v>9.5612145716544035</v>
      </c>
      <c r="Z98" s="370">
        <f>Detached!Z$50-Z92</f>
        <v>26.225512030521628</v>
      </c>
      <c r="AA98" s="370">
        <f>Detached!AA$50-AA92</f>
        <v>34.7642310552271</v>
      </c>
      <c r="AB98" s="370">
        <f>Detached!AB$50-AB92</f>
        <v>23.472949129629797</v>
      </c>
      <c r="AC98" s="370">
        <f>Detached!AC$50-AC92</f>
        <v>13.419411040916955</v>
      </c>
      <c r="AD98" s="370">
        <f>Detached!AD$50-AD92</f>
        <v>26.090527723565572</v>
      </c>
      <c r="AE98" s="370">
        <f>Detached!AE$50-AE92</f>
        <v>33.520452331678399</v>
      </c>
      <c r="AF98" s="370">
        <f>Detached!AF$50-AF92</f>
        <v>11.320480850139461</v>
      </c>
      <c r="AG98" s="370">
        <f>Detached!AG$50-AG92</f>
        <v>28.621173334132152</v>
      </c>
      <c r="AH98" s="370">
        <f>Detached!AH$50-AH92</f>
        <v>40.890301339926012</v>
      </c>
      <c r="AI98" s="370">
        <f>Detached!AI$50-AI92</f>
        <v>14.205499105314146</v>
      </c>
      <c r="AJ98" s="370">
        <f>Detached!AJ$50-AJ92</f>
        <v>35.168774896569033</v>
      </c>
      <c r="AK98" s="370">
        <f>Detached!AK$50-AK92</f>
        <v>23.890082448643454</v>
      </c>
      <c r="AL98" s="370">
        <f>Detached!AL$50-AL92</f>
        <v>27.552941122405429</v>
      </c>
      <c r="AM98" s="370">
        <f>Detached!AM$50-AM92</f>
        <v>32.34034844184842</v>
      </c>
      <c r="AN98" s="371">
        <f>Detached!AN$50-AN92</f>
        <v>32.34034844184842</v>
      </c>
    </row>
    <row r="99" spans="1:40">
      <c r="A99" s="154"/>
      <c r="B99" s="347" t="s">
        <v>6</v>
      </c>
      <c r="C99" s="367" t="s">
        <v>190</v>
      </c>
      <c r="D99" s="370">
        <f>Detached!D$51-D93</f>
        <v>11.657962139632261</v>
      </c>
      <c r="E99" s="370">
        <f>Detached!E$51-E93</f>
        <v>25.929692041450664</v>
      </c>
      <c r="F99" s="370">
        <f>Detached!F$51-F93</f>
        <v>30.96750034008501</v>
      </c>
      <c r="G99" s="370">
        <f>Detached!G$51-G93</f>
        <v>11.357869101902494</v>
      </c>
      <c r="H99" s="370">
        <f>Detached!H$51-H93</f>
        <v>2.6428803341911191</v>
      </c>
      <c r="I99" s="370">
        <f>Detached!I$51-I93</f>
        <v>25.146934065161389</v>
      </c>
      <c r="J99" s="370">
        <f>Detached!J$51-J93</f>
        <v>12.440246448029818</v>
      </c>
      <c r="K99" s="370">
        <f>Detached!K$51-K93</f>
        <v>19.588198700710869</v>
      </c>
      <c r="L99" s="370">
        <f>Detached!L$51-L93</f>
        <v>9.335595600842467</v>
      </c>
      <c r="M99" s="370">
        <f>Detached!M$51-M93</f>
        <v>15.449490579286405</v>
      </c>
      <c r="N99" s="370">
        <f>Detached!N$51-N93</f>
        <v>28.527497300663029</v>
      </c>
      <c r="O99" s="370">
        <f>Detached!O$51-O93</f>
        <v>11.673924434554891</v>
      </c>
      <c r="P99" s="370">
        <f>Detached!P$51-P93</f>
        <v>14.205499105314146</v>
      </c>
      <c r="Q99" s="370">
        <f>Detached!Q$51-Q93</f>
        <v>24.346688777556594</v>
      </c>
      <c r="R99" s="370">
        <f>Detached!R$51-R93</f>
        <v>21.795797613019957</v>
      </c>
      <c r="S99" s="370">
        <f>Detached!S$51-S93</f>
        <v>25.367064095141643</v>
      </c>
      <c r="T99" s="370">
        <f>Detached!T$51-T93</f>
        <v>24.265440438991305</v>
      </c>
      <c r="U99" s="370">
        <f>Detached!U$51-U93</f>
        <v>17.054315572662645</v>
      </c>
      <c r="V99" s="370">
        <f>Detached!V$51-V93</f>
        <v>19.338467601889548</v>
      </c>
      <c r="W99" s="370">
        <f>Detached!W$51-W93</f>
        <v>14.097996784808359</v>
      </c>
      <c r="X99" s="370">
        <f>Detached!X$51-X93</f>
        <v>20.738047108011074</v>
      </c>
      <c r="Y99" s="370">
        <f>Detached!Y$51-Y93</f>
        <v>9.5914031137073792</v>
      </c>
      <c r="Z99" s="370">
        <f>Detached!Z$51-Z93</f>
        <v>21.961455464166121</v>
      </c>
      <c r="AA99" s="370">
        <f>Detached!AA$51-AA93</f>
        <v>35.532949883011241</v>
      </c>
      <c r="AB99" s="370">
        <f>Detached!AB$51-AB93</f>
        <v>23.472949129629797</v>
      </c>
      <c r="AC99" s="370">
        <f>Detached!AC$51-AC93</f>
        <v>13.244907956772408</v>
      </c>
      <c r="AD99" s="370">
        <f>Detached!AD$51-AD93</f>
        <v>26.090527723565572</v>
      </c>
      <c r="AE99" s="370">
        <f>Detached!AE$51-AE93</f>
        <v>34.261668289605581</v>
      </c>
      <c r="AF99" s="370">
        <f>Detached!AF$51-AF93</f>
        <v>12.039237631843775</v>
      </c>
      <c r="AG99" s="370">
        <f>Detached!AG$51-AG93</f>
        <v>29.107969034385519</v>
      </c>
      <c r="AH99" s="370">
        <f>Detached!AH$51-AH93</f>
        <v>22.066076226487283</v>
      </c>
      <c r="AI99" s="370">
        <f>Detached!AI$51-AI93</f>
        <v>14.205499105314146</v>
      </c>
      <c r="AJ99" s="370">
        <f>Detached!AJ$51-AJ93</f>
        <v>37.058695979616829</v>
      </c>
      <c r="AK99" s="370">
        <f>Detached!AK$51-AK93</f>
        <v>25.188940144827185</v>
      </c>
      <c r="AL99" s="370">
        <f>Detached!AL$51-AL93</f>
        <v>28.80655418146273</v>
      </c>
      <c r="AM99" s="370">
        <f>Detached!AM$51-AM93</f>
        <v>34.078273818354063</v>
      </c>
      <c r="AN99" s="371">
        <f>Detached!AN$51-AN93</f>
        <v>34.078273818354063</v>
      </c>
    </row>
    <row r="100" spans="1:40">
      <c r="A100" s="155"/>
      <c r="B100" s="338" t="s">
        <v>7</v>
      </c>
      <c r="C100" s="368" t="s">
        <v>190</v>
      </c>
      <c r="D100" s="379">
        <f>Detached!D$52-D94</f>
        <v>10.670445287922234</v>
      </c>
      <c r="E100" s="379">
        <f>Detached!E$52-E94</f>
        <v>17.666569656732179</v>
      </c>
      <c r="F100" s="379">
        <f>Detached!F$52-F94</f>
        <v>26.270587159249601</v>
      </c>
      <c r="G100" s="379">
        <f>Detached!G$52-G94</f>
        <v>10.395772381797769</v>
      </c>
      <c r="H100" s="379">
        <f>Detached!H$52-H94</f>
        <v>5.8779305302128009</v>
      </c>
      <c r="I100" s="379">
        <f>Detached!I$52-I94</f>
        <v>15.715928975153361</v>
      </c>
      <c r="J100" s="379">
        <f>Detached!J$52-J94</f>
        <v>12.244256596703813</v>
      </c>
      <c r="K100" s="379">
        <f>Detached!K$52-K94</f>
        <v>12.710435939827931</v>
      </c>
      <c r="L100" s="379">
        <f>Detached!L$52-L94</f>
        <v>9.335595600842467</v>
      </c>
      <c r="M100" s="379">
        <f>Detached!M$52-M94</f>
        <v>15.458771414838147</v>
      </c>
      <c r="N100" s="379">
        <f>Detached!N$52-N94</f>
        <v>22.44550088351717</v>
      </c>
      <c r="O100" s="379">
        <f>Detached!O$52-O94</f>
        <v>11.014390346166842</v>
      </c>
      <c r="P100" s="379">
        <f>Detached!P$52-P94</f>
        <v>17.165414941009203</v>
      </c>
      <c r="Q100" s="379">
        <f>Detached!Q$52-Q94</f>
        <v>17.468824235271256</v>
      </c>
      <c r="R100" s="379">
        <f>Detached!R$52-R94</f>
        <v>10.937705567492046</v>
      </c>
      <c r="S100" s="379">
        <f>Detached!S$52-S94</f>
        <v>19.686181600176269</v>
      </c>
      <c r="T100" s="379">
        <f>Detached!T$52-T94</f>
        <v>19.092104683142125</v>
      </c>
      <c r="U100" s="379">
        <f>Detached!U$52-U94</f>
        <v>10.681295463923718</v>
      </c>
      <c r="V100" s="379">
        <f>Detached!V$52-V94</f>
        <v>18.0792107752074</v>
      </c>
      <c r="W100" s="379">
        <f>Detached!W$52-W94</f>
        <v>10.023058840696137</v>
      </c>
      <c r="X100" s="379">
        <f>Detached!X$52-X94</f>
        <v>19.144972909958298</v>
      </c>
      <c r="Y100" s="379">
        <f>Detached!Y$52-Y94</f>
        <v>9.6734004036755792</v>
      </c>
      <c r="Z100" s="379">
        <f>Detached!Z$52-Z94</f>
        <v>14.298357382043456</v>
      </c>
      <c r="AA100" s="379">
        <f>Detached!AA$52-AA94</f>
        <v>22.110459140952045</v>
      </c>
      <c r="AB100" s="379">
        <f>Detached!AB$52-AB94</f>
        <v>24.609849303502017</v>
      </c>
      <c r="AC100" s="379">
        <f>Detached!AC$52-AC94</f>
        <v>10.046269433392993</v>
      </c>
      <c r="AD100" s="379">
        <f>Detached!AD$52-AD94</f>
        <v>11.664935408362908</v>
      </c>
      <c r="AE100" s="379">
        <f>Detached!AE$52-AE94</f>
        <v>21.319401268746489</v>
      </c>
      <c r="AF100" s="379">
        <f>Detached!AF$52-AF94</f>
        <v>9.1345629596915643</v>
      </c>
      <c r="AG100" s="379">
        <f>Detached!AG$52-AG94</f>
        <v>14.932388264592277</v>
      </c>
      <c r="AH100" s="379">
        <f>Detached!AH$52-AH94</f>
        <v>18.47227646847233</v>
      </c>
      <c r="AI100" s="379">
        <f>Detached!AI$52-AI94</f>
        <v>17.165414941009203</v>
      </c>
      <c r="AJ100" s="379">
        <f>Detached!AJ$52-AJ94</f>
        <v>30.273401697612741</v>
      </c>
      <c r="AK100" s="379">
        <f>Detached!AK$52-AK94</f>
        <v>20.57367933270578</v>
      </c>
      <c r="AL100" s="379">
        <f>Detached!AL$52-AL94</f>
        <v>24.446654177396269</v>
      </c>
      <c r="AM100" s="379">
        <f>Detached!AM$52-AM94</f>
        <v>27.838682533020318</v>
      </c>
      <c r="AN100" s="380">
        <f>Detached!AN$52-AN94</f>
        <v>27.838682533020318</v>
      </c>
    </row>
    <row r="101" spans="1:40">
      <c r="A101" s="5"/>
      <c r="B101" s="5"/>
      <c r="C101" s="5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164"/>
      <c r="AN101" s="164"/>
    </row>
    <row r="102" spans="1:40">
      <c r="A102" s="5" t="s">
        <v>216</v>
      </c>
      <c r="B102" s="5"/>
      <c r="C102" s="5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64"/>
    </row>
    <row r="103" spans="1:40">
      <c r="A103" s="938" t="s">
        <v>123</v>
      </c>
      <c r="B103" s="939"/>
      <c r="C103" s="138" t="s">
        <v>76</v>
      </c>
      <c r="D103" s="194">
        <v>1</v>
      </c>
      <c r="E103" s="195">
        <v>1</v>
      </c>
      <c r="F103" s="195">
        <v>1</v>
      </c>
      <c r="G103" s="195">
        <v>1</v>
      </c>
      <c r="H103" s="195">
        <v>1</v>
      </c>
      <c r="I103" s="195">
        <v>1</v>
      </c>
      <c r="J103" s="195">
        <v>1</v>
      </c>
      <c r="K103" s="195">
        <v>1</v>
      </c>
      <c r="L103" s="195">
        <v>1</v>
      </c>
      <c r="M103" s="195">
        <v>1</v>
      </c>
      <c r="N103" s="195">
        <v>1</v>
      </c>
      <c r="O103" s="195">
        <v>1</v>
      </c>
      <c r="P103" s="195">
        <v>1</v>
      </c>
      <c r="Q103" s="195">
        <v>1</v>
      </c>
      <c r="R103" s="195">
        <v>1</v>
      </c>
      <c r="S103" s="195">
        <v>1</v>
      </c>
      <c r="T103" s="195">
        <v>1</v>
      </c>
      <c r="U103" s="195">
        <v>1</v>
      </c>
      <c r="V103" s="195">
        <v>1</v>
      </c>
      <c r="W103" s="195">
        <v>1</v>
      </c>
      <c r="X103" s="195">
        <v>1</v>
      </c>
      <c r="Y103" s="195">
        <v>1</v>
      </c>
      <c r="Z103" s="195">
        <v>1</v>
      </c>
      <c r="AA103" s="195">
        <v>1</v>
      </c>
      <c r="AB103" s="195">
        <v>1</v>
      </c>
      <c r="AC103" s="195">
        <v>1</v>
      </c>
      <c r="AD103" s="195">
        <v>1</v>
      </c>
      <c r="AE103" s="195">
        <v>1</v>
      </c>
      <c r="AF103" s="195">
        <v>1</v>
      </c>
      <c r="AG103" s="195">
        <v>1</v>
      </c>
      <c r="AH103" s="195">
        <v>1</v>
      </c>
      <c r="AI103" s="195">
        <v>1</v>
      </c>
      <c r="AJ103" s="195">
        <v>1</v>
      </c>
      <c r="AK103" s="195">
        <v>1</v>
      </c>
      <c r="AL103" s="195">
        <v>1</v>
      </c>
      <c r="AM103" s="195">
        <v>1</v>
      </c>
      <c r="AN103" s="196">
        <v>1</v>
      </c>
    </row>
    <row r="104" spans="1:40">
      <c r="A104" s="151" t="s">
        <v>193</v>
      </c>
      <c r="B104" s="141" t="s">
        <v>2</v>
      </c>
      <c r="C104" s="144" t="s">
        <v>195</v>
      </c>
      <c r="D104" s="170">
        <f>((LOOKUP(Detached!D$2,'Ceiling-U'!$A$4:$A$40,'Ceiling-U'!$Q$4:$Q$40)*Detached!D$14)+(LOOKUP(Detached!D$2,'Floor-U'!$A$4:$A$40,'Floor-U'!$E$4:$E$40)*Detached!D$15)+(LOOKUP(Detached!D$2,'Wall-U'!$A$4:$A$40,'Wall-U'!$E$4:$E$40)*Detached!D$12)+(LOOKUP(Detached!D$2,'Window-U'!$A$4:$A$40,'Window-U'!$E$4:$E$40)*Detached!D$21))*D103</f>
        <v>470.63438038731601</v>
      </c>
      <c r="E104" s="171">
        <f>((LOOKUP(Detached!E$2,'Ceiling-U'!$A$4:$A$40,'Ceiling-U'!$Q$4:$Q$40)*Detached!E$14)+(LOOKUP(Detached!E$2,'Floor-U'!$A$4:$A$40,'Floor-U'!$E$4:$E$40)*Detached!E$15)+(LOOKUP(Detached!E$2,'Wall-U'!$A$4:$A$40,'Wall-U'!$E$4:$E$40)*Detached!E$12)+(LOOKUP(Detached!E$2,'Window-U'!$A$4:$A$40,'Window-U'!$E$4:$E$40)*Detached!E$21))*E103</f>
        <v>535.98103899384057</v>
      </c>
      <c r="F104" s="171">
        <f>((LOOKUP(Detached!F$2,'Ceiling-U'!$A$4:$A$40,'Ceiling-U'!$Q$4:$Q$40)*Detached!F$14)+(LOOKUP(Detached!F$2,'Floor-U'!$A$4:$A$40,'Floor-U'!$E$4:$E$40)*Detached!F$15)+(LOOKUP(Detached!F$2,'Wall-U'!$A$4:$A$40,'Wall-U'!$E$4:$E$40)*Detached!F$12)+(LOOKUP(Detached!F$2,'Window-U'!$A$4:$A$40,'Window-U'!$E$4:$E$40)*Detached!F$21))*F103</f>
        <v>330.89316140398728</v>
      </c>
      <c r="G104" s="171">
        <f>((LOOKUP(Detached!G$2,'Ceiling-U'!$A$4:$A$40,'Ceiling-U'!$Q$4:$Q$40)*Detached!G$14)+(LOOKUP(Detached!G$2,'Floor-U'!$A$4:$A$40,'Floor-U'!$E$4:$E$40)*Detached!G$15)+(LOOKUP(Detached!G$2,'Wall-U'!$A$4:$A$40,'Wall-U'!$E$4:$E$40)*Detached!G$12)+(LOOKUP(Detached!G$2,'Window-U'!$A$4:$A$40,'Window-U'!$E$4:$E$40)*Detached!G$21))*G103</f>
        <v>470.63438038731601</v>
      </c>
      <c r="H104" s="171">
        <f>((LOOKUP(Detached!H$2,'Ceiling-U'!$A$4:$A$40,'Ceiling-U'!$Q$4:$Q$40)*Detached!H$14)+(LOOKUP(Detached!H$2,'Floor-U'!$A$4:$A$40,'Floor-U'!$E$4:$E$40)*Detached!H$15)+(LOOKUP(Detached!H$2,'Wall-U'!$A$4:$A$40,'Wall-U'!$E$4:$E$40)*Detached!H$12)+(LOOKUP(Detached!H$2,'Window-U'!$A$4:$A$40,'Window-U'!$E$4:$E$40)*Detached!H$21))*H103</f>
        <v>606.80007674123704</v>
      </c>
      <c r="I104" s="171">
        <f>((LOOKUP(Detached!I$2,'Ceiling-U'!$A$4:$A$40,'Ceiling-U'!$Q$4:$Q$40)*Detached!I$14)+(LOOKUP(Detached!I$2,'Floor-U'!$A$4:$A$40,'Floor-U'!$E$4:$E$40)*Detached!I$15)+(LOOKUP(Detached!I$2,'Wall-U'!$A$4:$A$40,'Wall-U'!$E$4:$E$40)*Detached!I$12)+(LOOKUP(Detached!I$2,'Window-U'!$A$4:$A$40,'Window-U'!$E$4:$E$40)*Detached!I$21))*I103</f>
        <v>335.10314019091697</v>
      </c>
      <c r="J104" s="171">
        <f>((LOOKUP(Detached!J$2,'Ceiling-U'!$A$4:$A$40,'Ceiling-U'!$Q$4:$Q$40)*Detached!J$14)+(LOOKUP(Detached!J$2,'Floor-U'!$A$4:$A$40,'Floor-U'!$E$4:$E$40)*Detached!J$15)+(LOOKUP(Detached!J$2,'Wall-U'!$A$4:$A$40,'Wall-U'!$E$4:$E$40)*Detached!J$12)+(LOOKUP(Detached!J$2,'Window-U'!$A$4:$A$40,'Window-U'!$E$4:$E$40)*Detached!J$21))*J103</f>
        <v>497.63605357675237</v>
      </c>
      <c r="K104" s="171">
        <f>((LOOKUP(Detached!K$2,'Ceiling-U'!$A$4:$A$40,'Ceiling-U'!$Q$4:$Q$40)*Detached!K$14)+(LOOKUP(Detached!K$2,'Floor-U'!$A$4:$A$40,'Floor-U'!$E$4:$E$40)*Detached!K$15)+(LOOKUP(Detached!K$2,'Wall-U'!$A$4:$A$40,'Wall-U'!$E$4:$E$40)*Detached!K$12)+(LOOKUP(Detached!K$2,'Window-U'!$A$4:$A$40,'Window-U'!$E$4:$E$40)*Detached!K$21))*K103</f>
        <v>319.89735790887983</v>
      </c>
      <c r="L104" s="171">
        <f>((LOOKUP(Detached!L$2,'Ceiling-U'!$A$4:$A$40,'Ceiling-U'!$Q$4:$Q$40)*Detached!L$14)+(LOOKUP(Detached!L$2,'Floor-U'!$A$4:$A$40,'Floor-U'!$E$4:$E$40)*Detached!L$15)+(LOOKUP(Detached!L$2,'Wall-U'!$A$4:$A$40,'Wall-U'!$E$4:$E$40)*Detached!L$12)+(LOOKUP(Detached!L$2,'Window-U'!$A$4:$A$40,'Window-U'!$E$4:$E$40)*Detached!L$21))*L103</f>
        <v>157.92469576499303</v>
      </c>
      <c r="M104" s="171">
        <f>((LOOKUP(Detached!M$2,'Ceiling-U'!$A$4:$A$40,'Ceiling-U'!$Q$4:$Q$40)*Detached!M$14)+(LOOKUP(Detached!M$2,'Floor-U'!$A$4:$A$40,'Floor-U'!$E$4:$E$40)*Detached!M$15)+(LOOKUP(Detached!M$2,'Wall-U'!$A$4:$A$40,'Wall-U'!$E$4:$E$40)*Detached!M$12)+(LOOKUP(Detached!M$2,'Window-U'!$A$4:$A$40,'Window-U'!$E$4:$E$40)*Detached!M$21))*M103</f>
        <v>801.20173039261408</v>
      </c>
      <c r="N104" s="171">
        <f>((LOOKUP(Detached!N$2,'Ceiling-U'!$A$4:$A$40,'Ceiling-U'!$Q$4:$Q$40)*Detached!N$14)+(LOOKUP(Detached!N$2,'Floor-U'!$A$4:$A$40,'Floor-U'!$E$4:$E$40)*Detached!N$15)+(LOOKUP(Detached!N$2,'Wall-U'!$A$4:$A$40,'Wall-U'!$E$4:$E$40)*Detached!N$12)+(LOOKUP(Detached!N$2,'Window-U'!$A$4:$A$40,'Window-U'!$E$4:$E$40)*Detached!N$21))*N103</f>
        <v>214.22917531726154</v>
      </c>
      <c r="O104" s="171">
        <f>((LOOKUP(Detached!O$2,'Ceiling-U'!$A$4:$A$40,'Ceiling-U'!$Q$4:$Q$40)*Detached!O$14)+(LOOKUP(Detached!O$2,'Floor-U'!$A$4:$A$40,'Floor-U'!$E$4:$E$40)*Detached!O$15)+(LOOKUP(Detached!O$2,'Wall-U'!$A$4:$A$40,'Wall-U'!$E$4:$E$40)*Detached!O$12)+(LOOKUP(Detached!O$2,'Window-U'!$A$4:$A$40,'Window-U'!$E$4:$E$40)*Detached!O$21))*O103</f>
        <v>723.92246554095311</v>
      </c>
      <c r="P104" s="171">
        <f>((LOOKUP(Detached!P$2,'Ceiling-U'!$A$4:$A$40,'Ceiling-U'!$Q$4:$Q$40)*Detached!P$14)+(LOOKUP(Detached!P$2,'Floor-U'!$A$4:$A$40,'Floor-U'!$E$4:$E$40)*Detached!P$15)+(LOOKUP(Detached!P$2,'Wall-U'!$A$4:$A$40,'Wall-U'!$E$4:$E$40)*Detached!P$12)+(LOOKUP(Detached!P$2,'Window-U'!$A$4:$A$40,'Window-U'!$E$4:$E$40)*Detached!P$21))*P103</f>
        <v>634.44609205334973</v>
      </c>
      <c r="Q104" s="171">
        <f>((LOOKUP(Detached!Q$2,'Ceiling-U'!$A$4:$A$40,'Ceiling-U'!$Q$4:$Q$40)*Detached!Q$14)+(LOOKUP(Detached!Q$2,'Floor-U'!$A$4:$A$40,'Floor-U'!$E$4:$E$40)*Detached!Q$15)+(LOOKUP(Detached!Q$2,'Wall-U'!$A$4:$A$40,'Wall-U'!$E$4:$E$40)*Detached!Q$12)+(LOOKUP(Detached!Q$2,'Window-U'!$A$4:$A$40,'Window-U'!$E$4:$E$40)*Detached!Q$21))*Q103</f>
        <v>350.31482016455254</v>
      </c>
      <c r="R104" s="171">
        <f>((LOOKUP(Detached!R$2,'Ceiling-U'!$A$4:$A$40,'Ceiling-U'!$Q$4:$Q$40)*Detached!R$14)+(LOOKUP(Detached!R$2,'Floor-U'!$A$4:$A$40,'Floor-U'!$E$4:$E$40)*Detached!R$15)+(LOOKUP(Detached!R$2,'Wall-U'!$A$4:$A$40,'Wall-U'!$E$4:$E$40)*Detached!R$12)+(LOOKUP(Detached!R$2,'Window-U'!$A$4:$A$40,'Window-U'!$E$4:$E$40)*Detached!R$21))*R103</f>
        <v>399.4630803173942</v>
      </c>
      <c r="S104" s="171">
        <f>((LOOKUP(Detached!S$2,'Ceiling-U'!$A$4:$A$40,'Ceiling-U'!$Q$4:$Q$40)*Detached!S$14)+(LOOKUP(Detached!S$2,'Floor-U'!$A$4:$A$40,'Floor-U'!$E$4:$E$40)*Detached!S$15)+(LOOKUP(Detached!S$2,'Wall-U'!$A$4:$A$40,'Wall-U'!$E$4:$E$40)*Detached!S$12)+(LOOKUP(Detached!S$2,'Window-U'!$A$4:$A$40,'Window-U'!$E$4:$E$40)*Detached!S$21))*S103</f>
        <v>505.54803076475309</v>
      </c>
      <c r="T104" s="171">
        <f>((LOOKUP(Detached!T$2,'Ceiling-U'!$A$4:$A$40,'Ceiling-U'!$Q$4:$Q$40)*Detached!T$14)+(LOOKUP(Detached!T$2,'Floor-U'!$A$4:$A$40,'Floor-U'!$E$4:$E$40)*Detached!T$15)+(LOOKUP(Detached!T$2,'Wall-U'!$A$4:$A$40,'Wall-U'!$E$4:$E$40)*Detached!T$12)+(LOOKUP(Detached!T$2,'Window-U'!$A$4:$A$40,'Window-U'!$E$4:$E$40)*Detached!T$21))*T103</f>
        <v>214.22917531726154</v>
      </c>
      <c r="U104" s="171">
        <f>((LOOKUP(Detached!U$2,'Ceiling-U'!$A$4:$A$40,'Ceiling-U'!$Q$4:$Q$40)*Detached!U$14)+(LOOKUP(Detached!U$2,'Floor-U'!$A$4:$A$40,'Floor-U'!$E$4:$E$40)*Detached!U$15)+(LOOKUP(Detached!U$2,'Wall-U'!$A$4:$A$40,'Wall-U'!$E$4:$E$40)*Detached!U$12)+(LOOKUP(Detached!U$2,'Window-U'!$A$4:$A$40,'Window-U'!$E$4:$E$40)*Detached!U$21))*U103</f>
        <v>628.88622674227065</v>
      </c>
      <c r="V104" s="171">
        <f>((LOOKUP(Detached!V$2,'Ceiling-U'!$A$4:$A$40,'Ceiling-U'!$Q$4:$Q$40)*Detached!V$14)+(LOOKUP(Detached!V$2,'Floor-U'!$A$4:$A$40,'Floor-U'!$E$4:$E$40)*Detached!V$15)+(LOOKUP(Detached!V$2,'Wall-U'!$A$4:$A$40,'Wall-U'!$E$4:$E$40)*Detached!V$12)+(LOOKUP(Detached!V$2,'Window-U'!$A$4:$A$40,'Window-U'!$E$4:$E$40)*Detached!V$21))*V103</f>
        <v>300.07319820704294</v>
      </c>
      <c r="W104" s="171">
        <f>((LOOKUP(Detached!W$2,'Ceiling-U'!$A$4:$A$40,'Ceiling-U'!$Q$4:$Q$40)*Detached!W$14)+(LOOKUP(Detached!W$2,'Floor-U'!$A$4:$A$40,'Floor-U'!$E$4:$E$40)*Detached!W$15)+(LOOKUP(Detached!W$2,'Wall-U'!$A$4:$A$40,'Wall-U'!$E$4:$E$40)*Detached!W$12)+(LOOKUP(Detached!W$2,'Window-U'!$A$4:$A$40,'Window-U'!$E$4:$E$40)*Detached!W$21))*W103</f>
        <v>401.293028604813</v>
      </c>
      <c r="X104" s="171">
        <f>((LOOKUP(Detached!X$2,'Ceiling-U'!$A$4:$A$40,'Ceiling-U'!$Q$4:$Q$40)*Detached!X$14)+(LOOKUP(Detached!X$2,'Floor-U'!$A$4:$A$40,'Floor-U'!$E$4:$E$40)*Detached!X$15)+(LOOKUP(Detached!X$2,'Wall-U'!$A$4:$A$40,'Wall-U'!$E$4:$E$40)*Detached!X$12)+(LOOKUP(Detached!X$2,'Window-U'!$A$4:$A$40,'Window-U'!$E$4:$E$40)*Detached!X$21))*X103</f>
        <v>312.50320061795605</v>
      </c>
      <c r="Y104" s="171">
        <f>((LOOKUP(Detached!Y$2,'Ceiling-U'!$A$4:$A$40,'Ceiling-U'!$Q$4:$Q$40)*Detached!Y$14)+(LOOKUP(Detached!Y$2,'Floor-U'!$A$4:$A$40,'Floor-U'!$E$4:$E$40)*Detached!Y$15)+(LOOKUP(Detached!Y$2,'Wall-U'!$A$4:$A$40,'Wall-U'!$E$4:$E$40)*Detached!Y$12)+(LOOKUP(Detached!Y$2,'Window-U'!$A$4:$A$40,'Window-U'!$E$4:$E$40)*Detached!Y$21))*Y103</f>
        <v>834.49050440255189</v>
      </c>
      <c r="Z104" s="171">
        <f>((LOOKUP(Detached!Z$2,'Ceiling-U'!$A$4:$A$40,'Ceiling-U'!$Q$4:$Q$40)*Detached!Z$14)+(LOOKUP(Detached!Z$2,'Floor-U'!$A$4:$A$40,'Floor-U'!$E$4:$E$40)*Detached!Z$15)+(LOOKUP(Detached!Z$2,'Wall-U'!$A$4:$A$40,'Wall-U'!$E$4:$E$40)*Detached!Z$12)+(LOOKUP(Detached!Z$2,'Window-U'!$A$4:$A$40,'Window-U'!$E$4:$E$40)*Detached!Z$21))*Z103</f>
        <v>536.25930615440984</v>
      </c>
      <c r="AA104" s="171">
        <f>((LOOKUP(Detached!AA$2,'Ceiling-U'!$A$4:$A$40,'Ceiling-U'!$Q$4:$Q$40)*Detached!AA$14)+(LOOKUP(Detached!AA$2,'Floor-U'!$A$4:$A$40,'Floor-U'!$E$4:$E$40)*Detached!AA$15)+(LOOKUP(Detached!AA$2,'Wall-U'!$A$4:$A$40,'Wall-U'!$E$4:$E$40)*Detached!AA$12)+(LOOKUP(Detached!AA$2,'Window-U'!$A$4:$A$40,'Window-U'!$E$4:$E$40)*Detached!AA$21))*AA103</f>
        <v>198.79077989107634</v>
      </c>
      <c r="AB104" s="171">
        <f>((LOOKUP(Detached!AB$2,'Ceiling-U'!$A$4:$A$40,'Ceiling-U'!$Q$4:$Q$40)*Detached!AB$14)+(LOOKUP(Detached!AB$2,'Floor-U'!$A$4:$A$40,'Floor-U'!$E$4:$E$40)*Detached!AB$15)+(LOOKUP(Detached!AB$2,'Wall-U'!$A$4:$A$40,'Wall-U'!$E$4:$E$40)*Detached!AB$12)+(LOOKUP(Detached!AB$2,'Window-U'!$A$4:$A$40,'Window-U'!$E$4:$E$40)*Detached!AB$21))*AB103</f>
        <v>474.21552847733886</v>
      </c>
      <c r="AC104" s="171">
        <f>((LOOKUP(Detached!AC$2,'Ceiling-U'!$A$4:$A$40,'Ceiling-U'!$Q$4:$Q$40)*Detached!AC$14)+(LOOKUP(Detached!AC$2,'Floor-U'!$A$4:$A$40,'Floor-U'!$E$4:$E$40)*Detached!AC$15)+(LOOKUP(Detached!AC$2,'Wall-U'!$A$4:$A$40,'Wall-U'!$E$4:$E$40)*Detached!AC$12)+(LOOKUP(Detached!AC$2,'Window-U'!$A$4:$A$40,'Window-U'!$E$4:$E$40)*Detached!AC$21))*AC103</f>
        <v>643.48752487041281</v>
      </c>
      <c r="AD104" s="171">
        <f>((LOOKUP(Detached!AD$2,'Ceiling-U'!$A$4:$A$40,'Ceiling-U'!$Q$4:$Q$40)*Detached!AD$14)+(LOOKUP(Detached!AD$2,'Floor-U'!$A$4:$A$40,'Floor-U'!$E$4:$E$40)*Detached!AD$15)+(LOOKUP(Detached!AD$2,'Wall-U'!$A$4:$A$40,'Wall-U'!$E$4:$E$40)*Detached!AD$12)+(LOOKUP(Detached!AD$2,'Window-U'!$A$4:$A$40,'Window-U'!$E$4:$E$40)*Detached!AD$21))*AD103</f>
        <v>424.127781927738</v>
      </c>
      <c r="AE104" s="171">
        <f>((LOOKUP(Detached!AE$2,'Ceiling-U'!$A$4:$A$40,'Ceiling-U'!$Q$4:$Q$40)*Detached!AE$14)+(LOOKUP(Detached!AE$2,'Floor-U'!$A$4:$A$40,'Floor-U'!$E$4:$E$40)*Detached!AE$15)+(LOOKUP(Detached!AE$2,'Wall-U'!$A$4:$A$40,'Wall-U'!$E$4:$E$40)*Detached!AE$12)+(LOOKUP(Detached!AE$2,'Window-U'!$A$4:$A$40,'Window-U'!$E$4:$E$40)*Detached!AE$21))*AE103</f>
        <v>198.79077989107634</v>
      </c>
      <c r="AF104" s="171">
        <f>((LOOKUP(Detached!AF$2,'Ceiling-U'!$A$4:$A$40,'Ceiling-U'!$Q$4:$Q$40)*Detached!AF$14)+(LOOKUP(Detached!AF$2,'Floor-U'!$A$4:$A$40,'Floor-U'!$E$4:$E$40)*Detached!AF$15)+(LOOKUP(Detached!AF$2,'Wall-U'!$A$4:$A$40,'Wall-U'!$E$4:$E$40)*Detached!AF$12)+(LOOKUP(Detached!AF$2,'Window-U'!$A$4:$A$40,'Window-U'!$E$4:$E$40)*Detached!AF$21))*AF103</f>
        <v>377.33249887094121</v>
      </c>
      <c r="AG104" s="171">
        <f>((LOOKUP(Detached!AG$2,'Ceiling-U'!$A$4:$A$40,'Ceiling-U'!$Q$4:$Q$40)*Detached!AG$14)+(LOOKUP(Detached!AG$2,'Floor-U'!$A$4:$A$40,'Floor-U'!$E$4:$E$40)*Detached!AG$15)+(LOOKUP(Detached!AG$2,'Wall-U'!$A$4:$A$40,'Wall-U'!$E$4:$E$40)*Detached!AG$12)+(LOOKUP(Detached!AG$2,'Window-U'!$A$4:$A$40,'Window-U'!$E$4:$E$40)*Detached!AG$21))*AG103</f>
        <v>492.31907980458726</v>
      </c>
      <c r="AH104" s="171">
        <f>((LOOKUP(Detached!AH$2,'Ceiling-U'!$A$4:$A$40,'Ceiling-U'!$Q$4:$Q$40)*Detached!AH$14)+(LOOKUP(Detached!AH$2,'Floor-U'!$A$4:$A$40,'Floor-U'!$E$4:$E$40)*Detached!AH$15)+(LOOKUP(Detached!AH$2,'Wall-U'!$A$4:$A$40,'Wall-U'!$E$4:$E$40)*Detached!AH$12)+(LOOKUP(Detached!AH$2,'Window-U'!$A$4:$A$40,'Window-U'!$E$4:$E$40)*Detached!AH$21))*AH103</f>
        <v>426.75629639835876</v>
      </c>
      <c r="AI104" s="171">
        <f>((LOOKUP(Detached!AI$2,'Ceiling-U'!$A$4:$A$40,'Ceiling-U'!$Q$4:$Q$40)*Detached!AI$14)+(LOOKUP(Detached!AI$2,'Floor-U'!$A$4:$A$40,'Floor-U'!$E$4:$E$40)*Detached!AI$15)+(LOOKUP(Detached!AI$2,'Wall-U'!$A$4:$A$40,'Wall-U'!$E$4:$E$40)*Detached!AI$12)+(LOOKUP(Detached!AI$2,'Window-U'!$A$4:$A$40,'Window-U'!$E$4:$E$40)*Detached!AI$21))*AI103</f>
        <v>634.44609205334973</v>
      </c>
      <c r="AJ104" s="171">
        <f>((LOOKUP(Detached!AJ$2,'Ceiling-U'!$A$4:$A$40,'Ceiling-U'!$Q$4:$Q$40)*Detached!AJ$14)+(LOOKUP(Detached!AJ$2,'Floor-U'!$A$4:$A$40,'Floor-U'!$E$4:$E$40)*Detached!AJ$15)+(LOOKUP(Detached!AJ$2,'Wall-U'!$A$4:$A$40,'Wall-U'!$E$4:$E$40)*Detached!AJ$12)+(LOOKUP(Detached!AJ$2,'Window-U'!$A$4:$A$40,'Window-U'!$E$4:$E$40)*Detached!AJ$21))*AJ103</f>
        <v>330.02170843407015</v>
      </c>
      <c r="AK104" s="171">
        <f>((LOOKUP(Detached!AK$2,'Ceiling-U'!$A$4:$A$40,'Ceiling-U'!$Q$4:$Q$40)*Detached!AK$14)+(LOOKUP(Detached!AK$2,'Floor-U'!$A$4:$A$40,'Floor-U'!$E$4:$E$40)*Detached!AK$15)+(LOOKUP(Detached!AK$2,'Wall-U'!$A$4:$A$40,'Wall-U'!$E$4:$E$40)*Detached!AK$12)+(LOOKUP(Detached!AK$2,'Window-U'!$A$4:$A$40,'Window-U'!$E$4:$E$40)*Detached!AK$21))*AK103</f>
        <v>383.37696229989564</v>
      </c>
      <c r="AL104" s="171">
        <f>((LOOKUP(Detached!AL$2,'Ceiling-U'!$A$4:$A$40,'Ceiling-U'!$Q$4:$Q$40)*Detached!AL$14)+(LOOKUP(Detached!AL$2,'Floor-U'!$A$4:$A$40,'Floor-U'!$E$4:$E$40)*Detached!AL$15)+(LOOKUP(Detached!AL$2,'Wall-U'!$A$4:$A$40,'Wall-U'!$E$4:$E$40)*Detached!AL$12)+(LOOKUP(Detached!AL$2,'Window-U'!$A$4:$A$40,'Window-U'!$E$4:$E$40)*Detached!AL$21))*AL103</f>
        <v>345.11128638376539</v>
      </c>
      <c r="AM104" s="171">
        <f>((LOOKUP(Detached!AM$2,'Ceiling-U'!$A$4:$A$40,'Ceiling-U'!$Q$4:$Q$40)*Detached!AM$14)+(LOOKUP(Detached!AM$2,'Floor-U'!$A$4:$A$40,'Floor-U'!$E$4:$E$40)*Detached!AM$15)+(LOOKUP(Detached!AM$2,'Wall-U'!$A$4:$A$40,'Wall-U'!$E$4:$E$40)*Detached!AM$12)+(LOOKUP(Detached!AM$2,'Window-U'!$A$4:$A$40,'Window-U'!$E$4:$E$40)*Detached!AM$21))*AM103</f>
        <v>330.02170843407015</v>
      </c>
      <c r="AN104" s="172">
        <f>((LOOKUP(Detached!AN$2,'Ceiling-U'!$A$4:$A$40,'Ceiling-U'!$Q$4:$Q$40)*Detached!AN$14)+(LOOKUP(Detached!AN$2,'Floor-U'!$A$4:$A$40,'Floor-U'!$E$4:$E$40)*Detached!AN$15)+(LOOKUP(Detached!AN$2,'Wall-U'!$A$4:$A$40,'Wall-U'!$E$4:$E$40)*Detached!AN$12)+(LOOKUP(Detached!AN$2,'Window-U'!$A$4:$A$40,'Window-U'!$E$4:$E$40)*Detached!AN$21))*AN103</f>
        <v>330.02170843407015</v>
      </c>
    </row>
    <row r="105" spans="1:40">
      <c r="A105" s="372"/>
      <c r="B105" s="142" t="s">
        <v>3</v>
      </c>
      <c r="C105" s="131" t="s">
        <v>195</v>
      </c>
      <c r="D105" s="176">
        <f>((LOOKUP(Detached!D$2,'Ceiling-U'!$A$4:$A$40,'Ceiling-U'!$R$4:$R$40)*Detached!D$14)+(LOOKUP(Detached!D$2,'Floor-U'!$A$4:$A$40,'Floor-U'!$F$4:$F$40)*Detached!D$15)+(LOOKUP(Detached!D$2,'Wall-U'!$A$4:$A$40,'Wall-U'!$F$4:$F$40)*Detached!D$12)+(LOOKUP(Detached!D$2,'Window-U'!$A$4:$A$40,'Window-U'!$F$4:$F$40)*Detached!D$21))*D103</f>
        <v>440.04367859925424</v>
      </c>
      <c r="E105" s="177">
        <f>((LOOKUP(Detached!E$2,'Ceiling-U'!$A$4:$A$40,'Ceiling-U'!$R$4:$R$40)*Detached!E$14)+(LOOKUP(Detached!E$2,'Floor-U'!$A$4:$A$40,'Floor-U'!$F$4:$F$40)*Detached!E$15)+(LOOKUP(Detached!E$2,'Wall-U'!$A$4:$A$40,'Wall-U'!$F$4:$F$40)*Detached!E$12)+(LOOKUP(Detached!E$2,'Window-U'!$A$4:$A$40,'Window-U'!$F$4:$F$40)*Detached!E$21))*E103</f>
        <v>535.98103899384057</v>
      </c>
      <c r="F105" s="177">
        <f>((LOOKUP(Detached!F$2,'Ceiling-U'!$A$4:$A$40,'Ceiling-U'!$R$4:$R$40)*Detached!F$14)+(LOOKUP(Detached!F$2,'Floor-U'!$A$4:$A$40,'Floor-U'!$F$4:$F$40)*Detached!F$15)+(LOOKUP(Detached!F$2,'Wall-U'!$A$4:$A$40,'Wall-U'!$F$4:$F$40)*Detached!F$12)+(LOOKUP(Detached!F$2,'Window-U'!$A$4:$A$40,'Window-U'!$F$4:$F$40)*Detached!F$21))*F103</f>
        <v>330.89316140398728</v>
      </c>
      <c r="G105" s="177">
        <f>((LOOKUP(Detached!G$2,'Ceiling-U'!$A$4:$A$40,'Ceiling-U'!$R$4:$R$40)*Detached!G$14)+(LOOKUP(Detached!G$2,'Floor-U'!$A$4:$A$40,'Floor-U'!$F$4:$F$40)*Detached!G$15)+(LOOKUP(Detached!G$2,'Wall-U'!$A$4:$A$40,'Wall-U'!$F$4:$F$40)*Detached!G$12)+(LOOKUP(Detached!G$2,'Window-U'!$A$4:$A$40,'Window-U'!$F$4:$F$40)*Detached!G$21))*G103</f>
        <v>440.04367859925424</v>
      </c>
      <c r="H105" s="177">
        <f>((LOOKUP(Detached!H$2,'Ceiling-U'!$A$4:$A$40,'Ceiling-U'!$R$4:$R$40)*Detached!H$14)+(LOOKUP(Detached!H$2,'Floor-U'!$A$4:$A$40,'Floor-U'!$F$4:$F$40)*Detached!H$15)+(LOOKUP(Detached!H$2,'Wall-U'!$A$4:$A$40,'Wall-U'!$F$4:$F$40)*Detached!H$12)+(LOOKUP(Detached!H$2,'Window-U'!$A$4:$A$40,'Window-U'!$F$4:$F$40)*Detached!H$21))*H103</f>
        <v>553.01863787724767</v>
      </c>
      <c r="I105" s="177">
        <f>((LOOKUP(Detached!I$2,'Ceiling-U'!$A$4:$A$40,'Ceiling-U'!$R$4:$R$40)*Detached!I$14)+(LOOKUP(Detached!I$2,'Floor-U'!$A$4:$A$40,'Floor-U'!$F$4:$F$40)*Detached!I$15)+(LOOKUP(Detached!I$2,'Wall-U'!$A$4:$A$40,'Wall-U'!$F$4:$F$40)*Detached!I$12)+(LOOKUP(Detached!I$2,'Window-U'!$A$4:$A$40,'Window-U'!$F$4:$F$40)*Detached!I$21))*I103</f>
        <v>292.93344322139092</v>
      </c>
      <c r="J105" s="177">
        <f>((LOOKUP(Detached!J$2,'Ceiling-U'!$A$4:$A$40,'Ceiling-U'!$R$4:$R$40)*Detached!J$14)+(LOOKUP(Detached!J$2,'Floor-U'!$A$4:$A$40,'Floor-U'!$F$4:$F$40)*Detached!J$15)+(LOOKUP(Detached!J$2,'Wall-U'!$A$4:$A$40,'Wall-U'!$F$4:$F$40)*Detached!J$12)+(LOOKUP(Detached!J$2,'Window-U'!$A$4:$A$40,'Window-U'!$F$4:$F$40)*Detached!J$21))*J103</f>
        <v>405.03706442243981</v>
      </c>
      <c r="K105" s="177">
        <f>((LOOKUP(Detached!K$2,'Ceiling-U'!$A$4:$A$40,'Ceiling-U'!$R$4:$R$40)*Detached!K$14)+(LOOKUP(Detached!K$2,'Floor-U'!$A$4:$A$40,'Floor-U'!$F$4:$F$40)*Detached!K$15)+(LOOKUP(Detached!K$2,'Wall-U'!$A$4:$A$40,'Wall-U'!$F$4:$F$40)*Detached!K$12)+(LOOKUP(Detached!K$2,'Window-U'!$A$4:$A$40,'Window-U'!$F$4:$F$40)*Detached!K$21))*K103</f>
        <v>312.26971852126286</v>
      </c>
      <c r="L105" s="177">
        <f>((LOOKUP(Detached!L$2,'Ceiling-U'!$A$4:$A$40,'Ceiling-U'!$R$4:$R$40)*Detached!L$14)+(LOOKUP(Detached!L$2,'Floor-U'!$A$4:$A$40,'Floor-U'!$F$4:$F$40)*Detached!L$15)+(LOOKUP(Detached!L$2,'Wall-U'!$A$4:$A$40,'Wall-U'!$F$4:$F$40)*Detached!L$12)+(LOOKUP(Detached!L$2,'Window-U'!$A$4:$A$40,'Window-U'!$F$4:$F$40)*Detached!L$21))*L103</f>
        <v>157.92469576499303</v>
      </c>
      <c r="M105" s="177">
        <f>((LOOKUP(Detached!M$2,'Ceiling-U'!$A$4:$A$40,'Ceiling-U'!$R$4:$R$40)*Detached!M$14)+(LOOKUP(Detached!M$2,'Floor-U'!$A$4:$A$40,'Floor-U'!$F$4:$F$40)*Detached!M$15)+(LOOKUP(Detached!M$2,'Wall-U'!$A$4:$A$40,'Wall-U'!$F$4:$F$40)*Detached!M$12)+(LOOKUP(Detached!M$2,'Window-U'!$A$4:$A$40,'Window-U'!$F$4:$F$40)*Detached!M$21))*M103</f>
        <v>733.78841536846812</v>
      </c>
      <c r="N105" s="177">
        <f>((LOOKUP(Detached!N$2,'Ceiling-U'!$A$4:$A$40,'Ceiling-U'!$R$4:$R$40)*Detached!N$14)+(LOOKUP(Detached!N$2,'Floor-U'!$A$4:$A$40,'Floor-U'!$F$4:$F$40)*Detached!N$15)+(LOOKUP(Detached!N$2,'Wall-U'!$A$4:$A$40,'Wall-U'!$F$4:$F$40)*Detached!N$12)+(LOOKUP(Detached!N$2,'Window-U'!$A$4:$A$40,'Window-U'!$F$4:$F$40)*Detached!N$21))*N103</f>
        <v>194.89672548841847</v>
      </c>
      <c r="O105" s="177">
        <f>((LOOKUP(Detached!O$2,'Ceiling-U'!$A$4:$A$40,'Ceiling-U'!$R$4:$R$40)*Detached!O$14)+(LOOKUP(Detached!O$2,'Floor-U'!$A$4:$A$40,'Floor-U'!$F$4:$F$40)*Detached!O$15)+(LOOKUP(Detached!O$2,'Wall-U'!$A$4:$A$40,'Wall-U'!$F$4:$F$40)*Detached!O$12)+(LOOKUP(Detached!O$2,'Window-U'!$A$4:$A$40,'Window-U'!$F$4:$F$40)*Detached!O$21))*O103</f>
        <v>723.92246554095311</v>
      </c>
      <c r="P105" s="177">
        <f>((LOOKUP(Detached!P$2,'Ceiling-U'!$A$4:$A$40,'Ceiling-U'!$R$4:$R$40)*Detached!P$14)+(LOOKUP(Detached!P$2,'Floor-U'!$A$4:$A$40,'Floor-U'!$F$4:$F$40)*Detached!P$15)+(LOOKUP(Detached!P$2,'Wall-U'!$A$4:$A$40,'Wall-U'!$F$4:$F$40)*Detached!P$12)+(LOOKUP(Detached!P$2,'Window-U'!$A$4:$A$40,'Window-U'!$F$4:$F$40)*Detached!P$21))*P103</f>
        <v>634.44609205334973</v>
      </c>
      <c r="Q105" s="177">
        <f>((LOOKUP(Detached!Q$2,'Ceiling-U'!$A$4:$A$40,'Ceiling-U'!$R$4:$R$40)*Detached!Q$14)+(LOOKUP(Detached!Q$2,'Floor-U'!$A$4:$A$40,'Floor-U'!$F$4:$F$40)*Detached!Q$15)+(LOOKUP(Detached!Q$2,'Wall-U'!$A$4:$A$40,'Wall-U'!$F$4:$F$40)*Detached!Q$12)+(LOOKUP(Detached!Q$2,'Window-U'!$A$4:$A$40,'Window-U'!$F$4:$F$40)*Detached!Q$21))*Q103</f>
        <v>373.23494272954156</v>
      </c>
      <c r="R105" s="177">
        <f>((LOOKUP(Detached!R$2,'Ceiling-U'!$A$4:$A$40,'Ceiling-U'!$R$4:$R$40)*Detached!R$14)+(LOOKUP(Detached!R$2,'Floor-U'!$A$4:$A$40,'Floor-U'!$F$4:$F$40)*Detached!R$15)+(LOOKUP(Detached!R$2,'Wall-U'!$A$4:$A$40,'Wall-U'!$F$4:$F$40)*Detached!R$12)+(LOOKUP(Detached!R$2,'Window-U'!$A$4:$A$40,'Window-U'!$F$4:$F$40)*Detached!R$21))*R103</f>
        <v>399.4630803173942</v>
      </c>
      <c r="S105" s="177">
        <f>((LOOKUP(Detached!S$2,'Ceiling-U'!$A$4:$A$40,'Ceiling-U'!$R$4:$R$40)*Detached!S$14)+(LOOKUP(Detached!S$2,'Floor-U'!$A$4:$A$40,'Floor-U'!$F$4:$F$40)*Detached!S$15)+(LOOKUP(Detached!S$2,'Wall-U'!$A$4:$A$40,'Wall-U'!$F$4:$F$40)*Detached!S$12)+(LOOKUP(Detached!S$2,'Window-U'!$A$4:$A$40,'Window-U'!$F$4:$F$40)*Detached!S$21))*S103</f>
        <v>505.74604878189336</v>
      </c>
      <c r="T105" s="177">
        <f>((LOOKUP(Detached!T$2,'Ceiling-U'!$A$4:$A$40,'Ceiling-U'!$R$4:$R$40)*Detached!T$14)+(LOOKUP(Detached!T$2,'Floor-U'!$A$4:$A$40,'Floor-U'!$F$4:$F$40)*Detached!T$15)+(LOOKUP(Detached!T$2,'Wall-U'!$A$4:$A$40,'Wall-U'!$F$4:$F$40)*Detached!T$12)+(LOOKUP(Detached!T$2,'Window-U'!$A$4:$A$40,'Window-U'!$F$4:$F$40)*Detached!T$21))*T103</f>
        <v>194.89672548841847</v>
      </c>
      <c r="U105" s="177">
        <f>((LOOKUP(Detached!U$2,'Ceiling-U'!$A$4:$A$40,'Ceiling-U'!$R$4:$R$40)*Detached!U$14)+(LOOKUP(Detached!U$2,'Floor-U'!$A$4:$A$40,'Floor-U'!$F$4:$F$40)*Detached!U$15)+(LOOKUP(Detached!U$2,'Wall-U'!$A$4:$A$40,'Wall-U'!$F$4:$F$40)*Detached!U$12)+(LOOKUP(Detached!U$2,'Window-U'!$A$4:$A$40,'Window-U'!$F$4:$F$40)*Detached!U$21))*U103</f>
        <v>594.9323698759797</v>
      </c>
      <c r="V105" s="177">
        <f>((LOOKUP(Detached!V$2,'Ceiling-U'!$A$4:$A$40,'Ceiling-U'!$R$4:$R$40)*Detached!V$14)+(LOOKUP(Detached!V$2,'Floor-U'!$A$4:$A$40,'Floor-U'!$F$4:$F$40)*Detached!V$15)+(LOOKUP(Detached!V$2,'Wall-U'!$A$4:$A$40,'Wall-U'!$F$4:$F$40)*Detached!V$12)+(LOOKUP(Detached!V$2,'Window-U'!$A$4:$A$40,'Window-U'!$F$4:$F$40)*Detached!V$21))*V103</f>
        <v>300.07319820704294</v>
      </c>
      <c r="W105" s="177">
        <f>((LOOKUP(Detached!W$2,'Ceiling-U'!$A$4:$A$40,'Ceiling-U'!$R$4:$R$40)*Detached!W$14)+(LOOKUP(Detached!W$2,'Floor-U'!$A$4:$A$40,'Floor-U'!$F$4:$F$40)*Detached!W$15)+(LOOKUP(Detached!W$2,'Wall-U'!$A$4:$A$40,'Wall-U'!$F$4:$F$40)*Detached!W$12)+(LOOKUP(Detached!W$2,'Window-U'!$A$4:$A$40,'Window-U'!$F$4:$F$40)*Detached!W$21))*W103</f>
        <v>438.65935814392719</v>
      </c>
      <c r="X105" s="177">
        <f>((LOOKUP(Detached!X$2,'Ceiling-U'!$A$4:$A$40,'Ceiling-U'!$R$4:$R$40)*Detached!X$14)+(LOOKUP(Detached!X$2,'Floor-U'!$A$4:$A$40,'Floor-U'!$F$4:$F$40)*Detached!X$15)+(LOOKUP(Detached!X$2,'Wall-U'!$A$4:$A$40,'Wall-U'!$F$4:$F$40)*Detached!X$12)+(LOOKUP(Detached!X$2,'Window-U'!$A$4:$A$40,'Window-U'!$F$4:$F$40)*Detached!X$21))*X103</f>
        <v>306.50320061795605</v>
      </c>
      <c r="Y105" s="177">
        <f>((LOOKUP(Detached!Y$2,'Ceiling-U'!$A$4:$A$40,'Ceiling-U'!$R$4:$R$40)*Detached!Y$14)+(LOOKUP(Detached!Y$2,'Floor-U'!$A$4:$A$40,'Floor-U'!$F$4:$F$40)*Detached!Y$15)+(LOOKUP(Detached!Y$2,'Wall-U'!$A$4:$A$40,'Wall-U'!$F$4:$F$40)*Detached!Y$12)+(LOOKUP(Detached!Y$2,'Window-U'!$A$4:$A$40,'Window-U'!$F$4:$F$40)*Detached!Y$21))*Y103</f>
        <v>834.45281656843918</v>
      </c>
      <c r="Z105" s="177">
        <f>((LOOKUP(Detached!Z$2,'Ceiling-U'!$A$4:$A$40,'Ceiling-U'!$R$4:$R$40)*Detached!Z$14)+(LOOKUP(Detached!Z$2,'Floor-U'!$A$4:$A$40,'Floor-U'!$F$4:$F$40)*Detached!Z$15)+(LOOKUP(Detached!Z$2,'Wall-U'!$A$4:$A$40,'Wall-U'!$F$4:$F$40)*Detached!Z$12)+(LOOKUP(Detached!Z$2,'Window-U'!$A$4:$A$40,'Window-U'!$F$4:$F$40)*Detached!Z$21))*Z103</f>
        <v>483.5446884019043</v>
      </c>
      <c r="AA105" s="177">
        <f>((LOOKUP(Detached!AA$2,'Ceiling-U'!$A$4:$A$40,'Ceiling-U'!$R$4:$R$40)*Detached!AA$14)+(LOOKUP(Detached!AA$2,'Floor-U'!$A$4:$A$40,'Floor-U'!$F$4:$F$40)*Detached!AA$15)+(LOOKUP(Detached!AA$2,'Wall-U'!$A$4:$A$40,'Wall-U'!$F$4:$F$40)*Detached!AA$12)+(LOOKUP(Detached!AA$2,'Window-U'!$A$4:$A$40,'Window-U'!$F$4:$F$40)*Detached!AA$21))*AA103</f>
        <v>197.63430989107633</v>
      </c>
      <c r="AB105" s="177">
        <f>((LOOKUP(Detached!AB$2,'Ceiling-U'!$A$4:$A$40,'Ceiling-U'!$R$4:$R$40)*Detached!AB$14)+(LOOKUP(Detached!AB$2,'Floor-U'!$A$4:$A$40,'Floor-U'!$F$4:$F$40)*Detached!AB$15)+(LOOKUP(Detached!AB$2,'Wall-U'!$A$4:$A$40,'Wall-U'!$F$4:$F$40)*Detached!AB$12)+(LOOKUP(Detached!AB$2,'Window-U'!$A$4:$A$40,'Window-U'!$F$4:$F$40)*Detached!AB$21))*AB103</f>
        <v>362.37201418889913</v>
      </c>
      <c r="AC105" s="177">
        <f>((LOOKUP(Detached!AC$2,'Ceiling-U'!$A$4:$A$40,'Ceiling-U'!$R$4:$R$40)*Detached!AC$14)+(LOOKUP(Detached!AC$2,'Floor-U'!$A$4:$A$40,'Floor-U'!$F$4:$F$40)*Detached!AC$15)+(LOOKUP(Detached!AC$2,'Wall-U'!$A$4:$A$40,'Wall-U'!$F$4:$F$40)*Detached!AC$12)+(LOOKUP(Detached!AC$2,'Window-U'!$A$4:$A$40,'Window-U'!$F$4:$F$40)*Detached!AC$21))*AC103</f>
        <v>574.30853149908808</v>
      </c>
      <c r="AD105" s="177">
        <f>((LOOKUP(Detached!AD$2,'Ceiling-U'!$A$4:$A$40,'Ceiling-U'!$R$4:$R$40)*Detached!AD$14)+(LOOKUP(Detached!AD$2,'Floor-U'!$A$4:$A$40,'Floor-U'!$F$4:$F$40)*Detached!AD$15)+(LOOKUP(Detached!AD$2,'Wall-U'!$A$4:$A$40,'Wall-U'!$F$4:$F$40)*Detached!AD$12)+(LOOKUP(Detached!AD$2,'Window-U'!$A$4:$A$40,'Window-U'!$F$4:$F$40)*Detached!AD$21))*AD103</f>
        <v>380.2344335914139</v>
      </c>
      <c r="AE105" s="177">
        <f>((LOOKUP(Detached!AE$2,'Ceiling-U'!$A$4:$A$40,'Ceiling-U'!$R$4:$R$40)*Detached!AE$14)+(LOOKUP(Detached!AE$2,'Floor-U'!$A$4:$A$40,'Floor-U'!$F$4:$F$40)*Detached!AE$15)+(LOOKUP(Detached!AE$2,'Wall-U'!$A$4:$A$40,'Wall-U'!$F$4:$F$40)*Detached!AE$12)+(LOOKUP(Detached!AE$2,'Window-U'!$A$4:$A$40,'Window-U'!$F$4:$F$40)*Detached!AE$21))*AE103</f>
        <v>197.63430989107633</v>
      </c>
      <c r="AF105" s="177">
        <f>((LOOKUP(Detached!AF$2,'Ceiling-U'!$A$4:$A$40,'Ceiling-U'!$R$4:$R$40)*Detached!AF$14)+(LOOKUP(Detached!AF$2,'Floor-U'!$A$4:$A$40,'Floor-U'!$F$4:$F$40)*Detached!AF$15)+(LOOKUP(Detached!AF$2,'Wall-U'!$A$4:$A$40,'Wall-U'!$F$4:$F$40)*Detached!AF$12)+(LOOKUP(Detached!AF$2,'Window-U'!$A$4:$A$40,'Window-U'!$F$4:$F$40)*Detached!AF$21))*AF103</f>
        <v>377.33249887094121</v>
      </c>
      <c r="AG105" s="177">
        <f>((LOOKUP(Detached!AG$2,'Ceiling-U'!$A$4:$A$40,'Ceiling-U'!$R$4:$R$40)*Detached!AG$14)+(LOOKUP(Detached!AG$2,'Floor-U'!$A$4:$A$40,'Floor-U'!$F$4:$F$40)*Detached!AG$15)+(LOOKUP(Detached!AG$2,'Wall-U'!$A$4:$A$40,'Wall-U'!$F$4:$F$40)*Detached!AG$12)+(LOOKUP(Detached!AG$2,'Window-U'!$A$4:$A$40,'Window-U'!$F$4:$F$40)*Detached!AG$21))*AG103</f>
        <v>425.46523190288036</v>
      </c>
      <c r="AH105" s="177">
        <f>((LOOKUP(Detached!AH$2,'Ceiling-U'!$A$4:$A$40,'Ceiling-U'!$R$4:$R$40)*Detached!AH$14)+(LOOKUP(Detached!AH$2,'Floor-U'!$A$4:$A$40,'Floor-U'!$F$4:$F$40)*Detached!AH$15)+(LOOKUP(Detached!AH$2,'Wall-U'!$A$4:$A$40,'Wall-U'!$F$4:$F$40)*Detached!AH$12)+(LOOKUP(Detached!AH$2,'Window-U'!$A$4:$A$40,'Window-U'!$F$4:$F$40)*Detached!AH$21))*AH103</f>
        <v>448.37016851420475</v>
      </c>
      <c r="AI105" s="177">
        <f>((LOOKUP(Detached!AI$2,'Ceiling-U'!$A$4:$A$40,'Ceiling-U'!$R$4:$R$40)*Detached!AI$14)+(LOOKUP(Detached!AI$2,'Floor-U'!$A$4:$A$40,'Floor-U'!$F$4:$F$40)*Detached!AI$15)+(LOOKUP(Detached!AI$2,'Wall-U'!$A$4:$A$40,'Wall-U'!$F$4:$F$40)*Detached!AI$12)+(LOOKUP(Detached!AI$2,'Window-U'!$A$4:$A$40,'Window-U'!$F$4:$F$40)*Detached!AI$21))*AI103</f>
        <v>634.44609205334973</v>
      </c>
      <c r="AJ105" s="177">
        <f>((LOOKUP(Detached!AJ$2,'Ceiling-U'!$A$4:$A$40,'Ceiling-U'!$R$4:$R$40)*Detached!AJ$14)+(LOOKUP(Detached!AJ$2,'Floor-U'!$A$4:$A$40,'Floor-U'!$F$4:$F$40)*Detached!AJ$15)+(LOOKUP(Detached!AJ$2,'Wall-U'!$A$4:$A$40,'Wall-U'!$F$4:$F$40)*Detached!AJ$12)+(LOOKUP(Detached!AJ$2,'Window-U'!$A$4:$A$40,'Window-U'!$F$4:$F$40)*Detached!AJ$21))*AJ103</f>
        <v>330.02170843407015</v>
      </c>
      <c r="AK105" s="177">
        <f>((LOOKUP(Detached!AK$2,'Ceiling-U'!$A$4:$A$40,'Ceiling-U'!$R$4:$R$40)*Detached!AK$14)+(LOOKUP(Detached!AK$2,'Floor-U'!$A$4:$A$40,'Floor-U'!$F$4:$F$40)*Detached!AK$15)+(LOOKUP(Detached!AK$2,'Wall-U'!$A$4:$A$40,'Wall-U'!$F$4:$F$40)*Detached!AK$12)+(LOOKUP(Detached!AK$2,'Window-U'!$A$4:$A$40,'Window-U'!$F$4:$F$40)*Detached!AK$21))*AK103</f>
        <v>383.37696229989564</v>
      </c>
      <c r="AL105" s="177">
        <f>((LOOKUP(Detached!AL$2,'Ceiling-U'!$A$4:$A$40,'Ceiling-U'!$R$4:$R$40)*Detached!AL$14)+(LOOKUP(Detached!AL$2,'Floor-U'!$A$4:$A$40,'Floor-U'!$F$4:$F$40)*Detached!AL$15)+(LOOKUP(Detached!AL$2,'Wall-U'!$A$4:$A$40,'Wall-U'!$F$4:$F$40)*Detached!AL$12)+(LOOKUP(Detached!AL$2,'Window-U'!$A$4:$A$40,'Window-U'!$F$4:$F$40)*Detached!AL$21))*AL103</f>
        <v>345.11128638376539</v>
      </c>
      <c r="AM105" s="177">
        <f>((LOOKUP(Detached!AM$2,'Ceiling-U'!$A$4:$A$40,'Ceiling-U'!$R$4:$R$40)*Detached!AM$14)+(LOOKUP(Detached!AM$2,'Floor-U'!$A$4:$A$40,'Floor-U'!$F$4:$F$40)*Detached!AM$15)+(LOOKUP(Detached!AM$2,'Wall-U'!$A$4:$A$40,'Wall-U'!$F$4:$F$40)*Detached!AM$12)+(LOOKUP(Detached!AM$2,'Window-U'!$A$4:$A$40,'Window-U'!$F$4:$F$40)*Detached!AM$21))*AM103</f>
        <v>330.02170843407015</v>
      </c>
      <c r="AN105" s="178">
        <f>((LOOKUP(Detached!AN$2,'Ceiling-U'!$A$4:$A$40,'Ceiling-U'!$R$4:$R$40)*Detached!AN$14)+(LOOKUP(Detached!AN$2,'Floor-U'!$A$4:$A$40,'Floor-U'!$F$4:$F$40)*Detached!AN$15)+(LOOKUP(Detached!AN$2,'Wall-U'!$A$4:$A$40,'Wall-U'!$F$4:$F$40)*Detached!AN$12)+(LOOKUP(Detached!AN$2,'Window-U'!$A$4:$A$40,'Window-U'!$F$4:$F$40)*Detached!AN$21))*AN103</f>
        <v>330.02170843407015</v>
      </c>
    </row>
    <row r="106" spans="1:40">
      <c r="A106" s="372"/>
      <c r="B106" s="142" t="s">
        <v>4</v>
      </c>
      <c r="C106" s="131" t="s">
        <v>195</v>
      </c>
      <c r="D106" s="176">
        <f>((LOOKUP(Detached!D$2,'Ceiling-U'!$A$4:$A$40,'Ceiling-U'!$S$4:$S$40)*Detached!D$14)+(LOOKUP(Detached!D$2,'Floor-U'!$A$4:$A$40,'Floor-U'!$G$4:$G$40)*Detached!D$15)+(LOOKUP(Detached!D$2,'Wall-U'!$A$4:$A$40,'Wall-U'!$G$4:$G$40)*Detached!D$12)+(LOOKUP(Detached!D$2,'Window-U'!$A$4:$A$40,'Window-U'!$G$4:$G$40)*Detached!D$21))*D103</f>
        <v>349.85826595034223</v>
      </c>
      <c r="E106" s="177">
        <f>((LOOKUP(Detached!E$2,'Ceiling-U'!$A$4:$A$40,'Ceiling-U'!$S$4:$S$40)*Detached!E$14)+(LOOKUP(Detached!E$2,'Floor-U'!$A$4:$A$40,'Floor-U'!$G$4:$G$40)*Detached!E$15)+(LOOKUP(Detached!E$2,'Wall-U'!$A$4:$A$40,'Wall-U'!$G$4:$G$40)*Detached!E$12)+(LOOKUP(Detached!E$2,'Window-U'!$A$4:$A$40,'Window-U'!$G$4:$G$40)*Detached!E$21))*E103</f>
        <v>535.98103899384057</v>
      </c>
      <c r="F106" s="177">
        <f>((LOOKUP(Detached!F$2,'Ceiling-U'!$A$4:$A$40,'Ceiling-U'!$S$4:$S$40)*Detached!F$14)+(LOOKUP(Detached!F$2,'Floor-U'!$A$4:$A$40,'Floor-U'!$G$4:$G$40)*Detached!F$15)+(LOOKUP(Detached!F$2,'Wall-U'!$A$4:$A$40,'Wall-U'!$G$4:$G$40)*Detached!F$12)+(LOOKUP(Detached!F$2,'Window-U'!$A$4:$A$40,'Window-U'!$G$4:$G$40)*Detached!F$21))*F103</f>
        <v>312.31630594724186</v>
      </c>
      <c r="G106" s="177">
        <f>((LOOKUP(Detached!G$2,'Ceiling-U'!$A$4:$A$40,'Ceiling-U'!$S$4:$S$40)*Detached!G$14)+(LOOKUP(Detached!G$2,'Floor-U'!$A$4:$A$40,'Floor-U'!$G$4:$G$40)*Detached!G$15)+(LOOKUP(Detached!G$2,'Wall-U'!$A$4:$A$40,'Wall-U'!$G$4:$G$40)*Detached!G$12)+(LOOKUP(Detached!G$2,'Window-U'!$A$4:$A$40,'Window-U'!$G$4:$G$40)*Detached!G$21))*G103</f>
        <v>349.85826595034223</v>
      </c>
      <c r="H106" s="177">
        <f>((LOOKUP(Detached!H$2,'Ceiling-U'!$A$4:$A$40,'Ceiling-U'!$S$4:$S$40)*Detached!H$14)+(LOOKUP(Detached!H$2,'Floor-U'!$A$4:$A$40,'Floor-U'!$G$4:$G$40)*Detached!H$15)+(LOOKUP(Detached!H$2,'Wall-U'!$A$4:$A$40,'Wall-U'!$G$4:$G$40)*Detached!H$12)+(LOOKUP(Detached!H$2,'Window-U'!$A$4:$A$40,'Window-U'!$G$4:$G$40)*Detached!H$21))*H103</f>
        <v>592.23719901325831</v>
      </c>
      <c r="I106" s="177">
        <f>((LOOKUP(Detached!I$2,'Ceiling-U'!$A$4:$A$40,'Ceiling-U'!$S$4:$S$40)*Detached!I$14)+(LOOKUP(Detached!I$2,'Floor-U'!$A$4:$A$40,'Floor-U'!$G$4:$G$40)*Detached!I$15)+(LOOKUP(Detached!I$2,'Wall-U'!$A$4:$A$40,'Wall-U'!$G$4:$G$40)*Detached!I$12)+(LOOKUP(Detached!I$2,'Window-U'!$A$4:$A$40,'Window-U'!$G$4:$G$40)*Detached!I$21))*I103</f>
        <v>292.93344322139092</v>
      </c>
      <c r="J106" s="177">
        <f>((LOOKUP(Detached!J$2,'Ceiling-U'!$A$4:$A$40,'Ceiling-U'!$S$4:$S$40)*Detached!J$14)+(LOOKUP(Detached!J$2,'Floor-U'!$A$4:$A$40,'Floor-U'!$G$4:$G$40)*Detached!J$15)+(LOOKUP(Detached!J$2,'Wall-U'!$A$4:$A$40,'Wall-U'!$G$4:$G$40)*Detached!J$12)+(LOOKUP(Detached!J$2,'Window-U'!$A$4:$A$40,'Window-U'!$G$4:$G$40)*Detached!J$21))*J103</f>
        <v>292.42685004580835</v>
      </c>
      <c r="K106" s="177">
        <f>((LOOKUP(Detached!K$2,'Ceiling-U'!$A$4:$A$40,'Ceiling-U'!$S$4:$S$40)*Detached!K$14)+(LOOKUP(Detached!K$2,'Floor-U'!$A$4:$A$40,'Floor-U'!$G$4:$G$40)*Detached!K$15)+(LOOKUP(Detached!K$2,'Wall-U'!$A$4:$A$40,'Wall-U'!$G$4:$G$40)*Detached!K$12)+(LOOKUP(Detached!K$2,'Window-U'!$A$4:$A$40,'Window-U'!$G$4:$G$40)*Detached!K$21))*K103</f>
        <v>207.92652036138492</v>
      </c>
      <c r="L106" s="177">
        <f>((LOOKUP(Detached!L$2,'Ceiling-U'!$A$4:$A$40,'Ceiling-U'!$S$4:$S$40)*Detached!L$14)+(LOOKUP(Detached!L$2,'Floor-U'!$A$4:$A$40,'Floor-U'!$G$4:$G$40)*Detached!L$15)+(LOOKUP(Detached!L$2,'Wall-U'!$A$4:$A$40,'Wall-U'!$G$4:$G$40)*Detached!L$12)+(LOOKUP(Detached!L$2,'Window-U'!$A$4:$A$40,'Window-U'!$G$4:$G$40)*Detached!L$21))*L103</f>
        <v>129.7123706530578</v>
      </c>
      <c r="M106" s="177">
        <f>((LOOKUP(Detached!M$2,'Ceiling-U'!$A$4:$A$40,'Ceiling-U'!$S$4:$S$40)*Detached!M$14)+(LOOKUP(Detached!M$2,'Floor-U'!$A$4:$A$40,'Floor-U'!$G$4:$G$40)*Detached!M$15)+(LOOKUP(Detached!M$2,'Wall-U'!$A$4:$A$40,'Wall-U'!$G$4:$G$40)*Detached!M$12)+(LOOKUP(Detached!M$2,'Window-U'!$A$4:$A$40,'Window-U'!$G$4:$G$40)*Detached!M$21))*M103</f>
        <v>733.78841536846812</v>
      </c>
      <c r="N106" s="177">
        <f>((LOOKUP(Detached!N$2,'Ceiling-U'!$A$4:$A$40,'Ceiling-U'!$S$4:$S$40)*Detached!N$14)+(LOOKUP(Detached!N$2,'Floor-U'!$A$4:$A$40,'Floor-U'!$G$4:$G$40)*Detached!N$15)+(LOOKUP(Detached!N$2,'Wall-U'!$A$4:$A$40,'Wall-U'!$G$4:$G$40)*Detached!N$12)+(LOOKUP(Detached!N$2,'Window-U'!$A$4:$A$40,'Window-U'!$G$4:$G$40)*Detached!N$21))*N103</f>
        <v>159.28636283643414</v>
      </c>
      <c r="O106" s="177">
        <f>((LOOKUP(Detached!O$2,'Ceiling-U'!$A$4:$A$40,'Ceiling-U'!$S$4:$S$40)*Detached!O$14)+(LOOKUP(Detached!O$2,'Floor-U'!$A$4:$A$40,'Floor-U'!$G$4:$G$40)*Detached!O$15)+(LOOKUP(Detached!O$2,'Wall-U'!$A$4:$A$40,'Wall-U'!$G$4:$G$40)*Detached!O$12)+(LOOKUP(Detached!O$2,'Window-U'!$A$4:$A$40,'Window-U'!$G$4:$G$40)*Detached!O$21))*O103</f>
        <v>361.33172153927995</v>
      </c>
      <c r="P106" s="177">
        <f>((LOOKUP(Detached!P$2,'Ceiling-U'!$A$4:$A$40,'Ceiling-U'!$S$4:$S$40)*Detached!P$14)+(LOOKUP(Detached!P$2,'Floor-U'!$A$4:$A$40,'Floor-U'!$G$4:$G$40)*Detached!P$15)+(LOOKUP(Detached!P$2,'Wall-U'!$A$4:$A$40,'Wall-U'!$G$4:$G$40)*Detached!P$12)+(LOOKUP(Detached!P$2,'Window-U'!$A$4:$A$40,'Window-U'!$G$4:$G$40)*Detached!P$21))*P103</f>
        <v>634.44609205334973</v>
      </c>
      <c r="Q106" s="177">
        <f>((LOOKUP(Detached!Q$2,'Ceiling-U'!$A$4:$A$40,'Ceiling-U'!$S$4:$S$40)*Detached!Q$14)+(LOOKUP(Detached!Q$2,'Floor-U'!$A$4:$A$40,'Floor-U'!$G$4:$G$40)*Detached!Q$15)+(LOOKUP(Detached!Q$2,'Wall-U'!$A$4:$A$40,'Wall-U'!$G$4:$G$40)*Detached!Q$12)+(LOOKUP(Detached!Q$2,'Window-U'!$A$4:$A$40,'Window-U'!$G$4:$G$40)*Detached!Q$21))*Q103</f>
        <v>308.37492601158056</v>
      </c>
      <c r="R106" s="177">
        <f>((LOOKUP(Detached!R$2,'Ceiling-U'!$A$4:$A$40,'Ceiling-U'!$S$4:$S$40)*Detached!R$14)+(LOOKUP(Detached!R$2,'Floor-U'!$A$4:$A$40,'Floor-U'!$G$4:$G$40)*Detached!R$15)+(LOOKUP(Detached!R$2,'Wall-U'!$A$4:$A$40,'Wall-U'!$G$4:$G$40)*Detached!R$12)+(LOOKUP(Detached!R$2,'Window-U'!$A$4:$A$40,'Window-U'!$G$4:$G$40)*Detached!R$21))*R103</f>
        <v>352.11579952371812</v>
      </c>
      <c r="S106" s="177">
        <f>((LOOKUP(Detached!S$2,'Ceiling-U'!$A$4:$A$40,'Ceiling-U'!$S$4:$S$40)*Detached!S$14)+(LOOKUP(Detached!S$2,'Floor-U'!$A$4:$A$40,'Floor-U'!$G$4:$G$40)*Detached!S$15)+(LOOKUP(Detached!S$2,'Wall-U'!$A$4:$A$40,'Wall-U'!$G$4:$G$40)*Detached!S$12)+(LOOKUP(Detached!S$2,'Window-U'!$A$4:$A$40,'Window-U'!$G$4:$G$40)*Detached!S$21))*S103</f>
        <v>502.41489054689555</v>
      </c>
      <c r="T106" s="177">
        <f>((LOOKUP(Detached!T$2,'Ceiling-U'!$A$4:$A$40,'Ceiling-U'!$S$4:$S$40)*Detached!T$14)+(LOOKUP(Detached!T$2,'Floor-U'!$A$4:$A$40,'Floor-U'!$G$4:$G$40)*Detached!T$15)+(LOOKUP(Detached!T$2,'Wall-U'!$A$4:$A$40,'Wall-U'!$G$4:$G$40)*Detached!T$12)+(LOOKUP(Detached!T$2,'Window-U'!$A$4:$A$40,'Window-U'!$G$4:$G$40)*Detached!T$21))*T103</f>
        <v>159.28636283643414</v>
      </c>
      <c r="U106" s="177">
        <f>((LOOKUP(Detached!U$2,'Ceiling-U'!$A$4:$A$40,'Ceiling-U'!$S$4:$S$40)*Detached!U$14)+(LOOKUP(Detached!U$2,'Floor-U'!$A$4:$A$40,'Floor-U'!$G$4:$G$40)*Detached!U$15)+(LOOKUP(Detached!U$2,'Wall-U'!$A$4:$A$40,'Wall-U'!$G$4:$G$40)*Detached!U$12)+(LOOKUP(Detached!U$2,'Window-U'!$A$4:$A$40,'Window-U'!$G$4:$G$40)*Detached!U$21))*U103</f>
        <v>552.70707528605874</v>
      </c>
      <c r="V106" s="177">
        <f>((LOOKUP(Detached!V$2,'Ceiling-U'!$A$4:$A$40,'Ceiling-U'!$S$4:$S$40)*Detached!V$14)+(LOOKUP(Detached!V$2,'Floor-U'!$A$4:$A$40,'Floor-U'!$G$4:$G$40)*Detached!V$15)+(LOOKUP(Detached!V$2,'Wall-U'!$A$4:$A$40,'Wall-U'!$G$4:$G$40)*Detached!V$12)+(LOOKUP(Detached!V$2,'Window-U'!$A$4:$A$40,'Window-U'!$G$4:$G$40)*Detached!V$21))*V103</f>
        <v>189.95361306839226</v>
      </c>
      <c r="W106" s="177">
        <f>((LOOKUP(Detached!W$2,'Ceiling-U'!$A$4:$A$40,'Ceiling-U'!$S$4:$S$40)*Detached!W$14)+(LOOKUP(Detached!W$2,'Floor-U'!$A$4:$A$40,'Floor-U'!$G$4:$G$40)*Detached!W$15)+(LOOKUP(Detached!W$2,'Wall-U'!$A$4:$A$40,'Wall-U'!$G$4:$G$40)*Detached!W$12)+(LOOKUP(Detached!W$2,'Window-U'!$A$4:$A$40,'Window-U'!$G$4:$G$40)*Detached!W$21))*W103</f>
        <v>230.06083109855041</v>
      </c>
      <c r="X106" s="177">
        <f>((LOOKUP(Detached!X$2,'Ceiling-U'!$A$4:$A$40,'Ceiling-U'!$S$4:$S$40)*Detached!X$14)+(LOOKUP(Detached!X$2,'Floor-U'!$A$4:$A$40,'Floor-U'!$G$4:$G$40)*Detached!X$15)+(LOOKUP(Detached!X$2,'Wall-U'!$A$4:$A$40,'Wall-U'!$G$4:$G$40)*Detached!X$12)+(LOOKUP(Detached!X$2,'Window-U'!$A$4:$A$40,'Window-U'!$G$4:$G$40)*Detached!X$21))*X103</f>
        <v>290.01288055616044</v>
      </c>
      <c r="Y106" s="177">
        <f>((LOOKUP(Detached!Y$2,'Ceiling-U'!$A$4:$A$40,'Ceiling-U'!$S$4:$S$40)*Detached!Y$14)+(LOOKUP(Detached!Y$2,'Floor-U'!$A$4:$A$40,'Floor-U'!$G$4:$G$40)*Detached!Y$15)+(LOOKUP(Detached!Y$2,'Wall-U'!$A$4:$A$40,'Wall-U'!$G$4:$G$40)*Detached!Y$12)+(LOOKUP(Detached!Y$2,'Window-U'!$A$4:$A$40,'Window-U'!$G$4:$G$40)*Detached!Y$21))*Y103</f>
        <v>669.4606372894475</v>
      </c>
      <c r="Z106" s="177">
        <f>((LOOKUP(Detached!Z$2,'Ceiling-U'!$A$4:$A$40,'Ceiling-U'!$S$4:$S$40)*Detached!Z$14)+(LOOKUP(Detached!Z$2,'Floor-U'!$A$4:$A$40,'Floor-U'!$G$4:$G$40)*Detached!Z$15)+(LOOKUP(Detached!Z$2,'Wall-U'!$A$4:$A$40,'Wall-U'!$G$4:$G$40)*Detached!Z$12)+(LOOKUP(Detached!Z$2,'Window-U'!$A$4:$A$40,'Window-U'!$G$4:$G$40)*Detached!Z$21))*Z103</f>
        <v>464.44727200654802</v>
      </c>
      <c r="AA106" s="177">
        <f>((LOOKUP(Detached!AA$2,'Ceiling-U'!$A$4:$A$40,'Ceiling-U'!$S$4:$S$40)*Detached!AA$14)+(LOOKUP(Detached!AA$2,'Floor-U'!$A$4:$A$40,'Floor-U'!$G$4:$G$40)*Detached!AA$15)+(LOOKUP(Detached!AA$2,'Wall-U'!$A$4:$A$40,'Wall-U'!$G$4:$G$40)*Detached!AA$12)+(LOOKUP(Detached!AA$2,'Window-U'!$A$4:$A$40,'Window-U'!$G$4:$G$40)*Detached!AA$21))*AA103</f>
        <v>145.27661199902875</v>
      </c>
      <c r="AB106" s="177">
        <f>((LOOKUP(Detached!AB$2,'Ceiling-U'!$A$4:$A$40,'Ceiling-U'!$S$4:$S$40)*Detached!AB$14)+(LOOKUP(Detached!AB$2,'Floor-U'!$A$4:$A$40,'Floor-U'!$G$4:$G$40)*Detached!AB$15)+(LOOKUP(Detached!AB$2,'Wall-U'!$A$4:$A$40,'Wall-U'!$G$4:$G$40)*Detached!AB$12)+(LOOKUP(Detached!AB$2,'Window-U'!$A$4:$A$40,'Window-U'!$G$4:$G$40)*Detached!AB$21))*AB103</f>
        <v>253.51054991476173</v>
      </c>
      <c r="AC106" s="177">
        <f>((LOOKUP(Detached!AC$2,'Ceiling-U'!$A$4:$A$40,'Ceiling-U'!$S$4:$S$40)*Detached!AC$14)+(LOOKUP(Detached!AC$2,'Floor-U'!$A$4:$A$40,'Floor-U'!$G$4:$G$40)*Detached!AC$15)+(LOOKUP(Detached!AC$2,'Wall-U'!$A$4:$A$40,'Wall-U'!$G$4:$G$40)*Detached!AC$12)+(LOOKUP(Detached!AC$2,'Window-U'!$A$4:$A$40,'Window-U'!$G$4:$G$40)*Detached!AC$21))*AC103</f>
        <v>574.07029764161007</v>
      </c>
      <c r="AD106" s="177">
        <f>((LOOKUP(Detached!AD$2,'Ceiling-U'!$A$4:$A$40,'Ceiling-U'!$S$4:$S$40)*Detached!AD$14)+(LOOKUP(Detached!AD$2,'Floor-U'!$A$4:$A$40,'Floor-U'!$G$4:$G$40)*Detached!AD$15)+(LOOKUP(Detached!AD$2,'Wall-U'!$A$4:$A$40,'Wall-U'!$G$4:$G$40)*Detached!AD$12)+(LOOKUP(Detached!AD$2,'Window-U'!$A$4:$A$40,'Window-U'!$G$4:$G$40)*Detached!AD$21))*AD103</f>
        <v>380.2344335914139</v>
      </c>
      <c r="AE106" s="177">
        <f>((LOOKUP(Detached!AE$2,'Ceiling-U'!$A$4:$A$40,'Ceiling-U'!$S$4:$S$40)*Detached!AE$14)+(LOOKUP(Detached!AE$2,'Floor-U'!$A$4:$A$40,'Floor-U'!$G$4:$G$40)*Detached!AE$15)+(LOOKUP(Detached!AE$2,'Wall-U'!$A$4:$A$40,'Wall-U'!$G$4:$G$40)*Detached!AE$12)+(LOOKUP(Detached!AE$2,'Window-U'!$A$4:$A$40,'Window-U'!$G$4:$G$40)*Detached!AE$21))*AE103</f>
        <v>145.27661199902875</v>
      </c>
      <c r="AF106" s="177">
        <f>((LOOKUP(Detached!AF$2,'Ceiling-U'!$A$4:$A$40,'Ceiling-U'!$S$4:$S$40)*Detached!AF$14)+(LOOKUP(Detached!AF$2,'Floor-U'!$A$4:$A$40,'Floor-U'!$G$4:$G$40)*Detached!AF$15)+(LOOKUP(Detached!AF$2,'Wall-U'!$A$4:$A$40,'Wall-U'!$G$4:$G$40)*Detached!AF$12)+(LOOKUP(Detached!AF$2,'Window-U'!$A$4:$A$40,'Window-U'!$G$4:$G$40)*Detached!AF$21))*AF103</f>
        <v>354.35146100940278</v>
      </c>
      <c r="AG106" s="177">
        <f>((LOOKUP(Detached!AG$2,'Ceiling-U'!$A$4:$A$40,'Ceiling-U'!$S$4:$S$40)*Detached!AG$14)+(LOOKUP(Detached!AG$2,'Floor-U'!$A$4:$A$40,'Floor-U'!$G$4:$G$40)*Detached!AG$15)+(LOOKUP(Detached!AG$2,'Wall-U'!$A$4:$A$40,'Wall-U'!$G$4:$G$40)*Detached!AG$12)+(LOOKUP(Detached!AG$2,'Window-U'!$A$4:$A$40,'Window-U'!$G$4:$G$40)*Detached!AG$21))*AG103</f>
        <v>425.46523190288036</v>
      </c>
      <c r="AH106" s="177">
        <f>((LOOKUP(Detached!AH$2,'Ceiling-U'!$A$4:$A$40,'Ceiling-U'!$S$4:$S$40)*Detached!AH$14)+(LOOKUP(Detached!AH$2,'Floor-U'!$A$4:$A$40,'Floor-U'!$G$4:$G$40)*Detached!AH$15)+(LOOKUP(Detached!AH$2,'Wall-U'!$A$4:$A$40,'Wall-U'!$G$4:$G$40)*Detached!AH$12)+(LOOKUP(Detached!AH$2,'Window-U'!$A$4:$A$40,'Window-U'!$G$4:$G$40)*Detached!AH$21))*AH103</f>
        <v>383.95661380273509</v>
      </c>
      <c r="AI106" s="177">
        <f>((LOOKUP(Detached!AI$2,'Ceiling-U'!$A$4:$A$40,'Ceiling-U'!$S$4:$S$40)*Detached!AI$14)+(LOOKUP(Detached!AI$2,'Floor-U'!$A$4:$A$40,'Floor-U'!$G$4:$G$40)*Detached!AI$15)+(LOOKUP(Detached!AI$2,'Wall-U'!$A$4:$A$40,'Wall-U'!$G$4:$G$40)*Detached!AI$12)+(LOOKUP(Detached!AI$2,'Window-U'!$A$4:$A$40,'Window-U'!$G$4:$G$40)*Detached!AI$21))*AI103</f>
        <v>634.44609205334973</v>
      </c>
      <c r="AJ106" s="177">
        <f>((LOOKUP(Detached!AJ$2,'Ceiling-U'!$A$4:$A$40,'Ceiling-U'!$S$4:$S$40)*Detached!AJ$14)+(LOOKUP(Detached!AJ$2,'Floor-U'!$A$4:$A$40,'Floor-U'!$G$4:$G$40)*Detached!AJ$15)+(LOOKUP(Detached!AJ$2,'Wall-U'!$A$4:$A$40,'Wall-U'!$G$4:$G$40)*Detached!AJ$12)+(LOOKUP(Detached!AJ$2,'Window-U'!$A$4:$A$40,'Window-U'!$G$4:$G$40)*Detached!AJ$21))*AJ103</f>
        <v>330.02170843407015</v>
      </c>
      <c r="AK106" s="177">
        <f>((LOOKUP(Detached!AK$2,'Ceiling-U'!$A$4:$A$40,'Ceiling-U'!$S$4:$S$40)*Detached!AK$14)+(LOOKUP(Detached!AK$2,'Floor-U'!$A$4:$A$40,'Floor-U'!$G$4:$G$40)*Detached!AK$15)+(LOOKUP(Detached!AK$2,'Wall-U'!$A$4:$A$40,'Wall-U'!$G$4:$G$40)*Detached!AK$12)+(LOOKUP(Detached!AK$2,'Window-U'!$A$4:$A$40,'Window-U'!$G$4:$G$40)*Detached!AK$21))*AK103</f>
        <v>383.37696229989564</v>
      </c>
      <c r="AL106" s="177">
        <f>((LOOKUP(Detached!AL$2,'Ceiling-U'!$A$4:$A$40,'Ceiling-U'!$S$4:$S$40)*Detached!AL$14)+(LOOKUP(Detached!AL$2,'Floor-U'!$A$4:$A$40,'Floor-U'!$G$4:$G$40)*Detached!AL$15)+(LOOKUP(Detached!AL$2,'Wall-U'!$A$4:$A$40,'Wall-U'!$G$4:$G$40)*Detached!AL$12)+(LOOKUP(Detached!AL$2,'Window-U'!$A$4:$A$40,'Window-U'!$G$4:$G$40)*Detached!AL$21))*AL103</f>
        <v>325.48769926350786</v>
      </c>
      <c r="AM106" s="177">
        <f>((LOOKUP(Detached!AM$2,'Ceiling-U'!$A$4:$A$40,'Ceiling-U'!$S$4:$S$40)*Detached!AM$14)+(LOOKUP(Detached!AM$2,'Floor-U'!$A$4:$A$40,'Floor-U'!$G$4:$G$40)*Detached!AM$15)+(LOOKUP(Detached!AM$2,'Wall-U'!$A$4:$A$40,'Wall-U'!$G$4:$G$40)*Detached!AM$12)+(LOOKUP(Detached!AM$2,'Window-U'!$A$4:$A$40,'Window-U'!$G$4:$G$40)*Detached!AM$21))*AM103</f>
        <v>330.02170843407015</v>
      </c>
      <c r="AN106" s="178">
        <f>((LOOKUP(Detached!AN$2,'Ceiling-U'!$A$4:$A$40,'Ceiling-U'!$S$4:$S$40)*Detached!AN$14)+(LOOKUP(Detached!AN$2,'Floor-U'!$A$4:$A$40,'Floor-U'!$G$4:$G$40)*Detached!AN$15)+(LOOKUP(Detached!AN$2,'Wall-U'!$A$4:$A$40,'Wall-U'!$G$4:$G$40)*Detached!AN$12)+(LOOKUP(Detached!AN$2,'Window-U'!$A$4:$A$40,'Window-U'!$G$4:$G$40)*Detached!AN$21))*AN103</f>
        <v>330.02170843407015</v>
      </c>
    </row>
    <row r="107" spans="1:40">
      <c r="A107" s="372"/>
      <c r="B107" s="142" t="s">
        <v>5</v>
      </c>
      <c r="C107" s="131" t="s">
        <v>195</v>
      </c>
      <c r="D107" s="176">
        <f>((LOOKUP(Detached!D$2,'Ceiling-U'!$A$4:$A$40,'Ceiling-U'!$T$4:$T$40)*Detached!D$14)+(LOOKUP(Detached!D$2,'Floor-U'!$A$4:$A$40,'Floor-U'!$H$4:$H$40)*Detached!D$15)+(LOOKUP(Detached!D$2,'Wall-U'!$A$4:$A$40,'Wall-U'!$H$4:$H$40)*Detached!D$12)+(LOOKUP(Detached!D$2,'Window-U'!$A$4:$A$40,'Window-U'!$H$4:$H$40)*Detached!D$21))*D103</f>
        <v>230.17084467378862</v>
      </c>
      <c r="E107" s="177">
        <f>((LOOKUP(Detached!E$2,'Ceiling-U'!$A$4:$A$40,'Ceiling-U'!$T$4:$T$40)*Detached!E$14)+(LOOKUP(Detached!E$2,'Floor-U'!$A$4:$A$40,'Floor-U'!$H$4:$H$40)*Detached!E$15)+(LOOKUP(Detached!E$2,'Wall-U'!$A$4:$A$40,'Wall-U'!$H$4:$H$40)*Detached!E$12)+(LOOKUP(Detached!E$2,'Window-U'!$A$4:$A$40,'Window-U'!$H$4:$H$40)*Detached!E$21))*E103</f>
        <v>463.96973025965974</v>
      </c>
      <c r="F107" s="177">
        <f>((LOOKUP(Detached!F$2,'Ceiling-U'!$A$4:$A$40,'Ceiling-U'!$T$4:$T$40)*Detached!F$14)+(LOOKUP(Detached!F$2,'Floor-U'!$A$4:$A$40,'Floor-U'!$H$4:$H$40)*Detached!F$15)+(LOOKUP(Detached!F$2,'Wall-U'!$A$4:$A$40,'Wall-U'!$H$4:$H$40)*Detached!F$12)+(LOOKUP(Detached!F$2,'Window-U'!$A$4:$A$40,'Window-U'!$H$4:$H$40)*Detached!F$21))*F103</f>
        <v>263.98833675100883</v>
      </c>
      <c r="G107" s="177">
        <f>((LOOKUP(Detached!G$2,'Ceiling-U'!$A$4:$A$40,'Ceiling-U'!$T$4:$T$40)*Detached!G$14)+(LOOKUP(Detached!G$2,'Floor-U'!$A$4:$A$40,'Floor-U'!$H$4:$H$40)*Detached!G$15)+(LOOKUP(Detached!G$2,'Wall-U'!$A$4:$A$40,'Wall-U'!$H$4:$H$40)*Detached!G$12)+(LOOKUP(Detached!G$2,'Window-U'!$A$4:$A$40,'Window-U'!$H$4:$H$40)*Detached!G$21))*G103</f>
        <v>230.17084467378862</v>
      </c>
      <c r="H107" s="177">
        <f>((LOOKUP(Detached!H$2,'Ceiling-U'!$A$4:$A$40,'Ceiling-U'!$T$4:$T$40)*Detached!H$14)+(LOOKUP(Detached!H$2,'Floor-U'!$A$4:$A$40,'Floor-U'!$H$4:$H$40)*Detached!H$15)+(LOOKUP(Detached!H$2,'Wall-U'!$A$4:$A$40,'Wall-U'!$H$4:$H$40)*Detached!H$12)+(LOOKUP(Detached!H$2,'Window-U'!$A$4:$A$40,'Window-U'!$H$4:$H$40)*Detached!H$21))*H103</f>
        <v>568.21759956325832</v>
      </c>
      <c r="I107" s="177">
        <f>((LOOKUP(Detached!I$2,'Ceiling-U'!$A$4:$A$40,'Ceiling-U'!$T$4:$T$40)*Detached!I$14)+(LOOKUP(Detached!I$2,'Floor-U'!$A$4:$A$40,'Floor-U'!$H$4:$H$40)*Detached!I$15)+(LOOKUP(Detached!I$2,'Wall-U'!$A$4:$A$40,'Wall-U'!$H$4:$H$40)*Detached!I$12)+(LOOKUP(Detached!I$2,'Window-U'!$A$4:$A$40,'Window-U'!$H$4:$H$40)*Detached!I$21))*I103</f>
        <v>262.70301826465453</v>
      </c>
      <c r="J107" s="177">
        <f>((LOOKUP(Detached!J$2,'Ceiling-U'!$A$4:$A$40,'Ceiling-U'!$T$4:$T$40)*Detached!J$14)+(LOOKUP(Detached!J$2,'Floor-U'!$A$4:$A$40,'Floor-U'!$H$4:$H$40)*Detached!J$15)+(LOOKUP(Detached!J$2,'Wall-U'!$A$4:$A$40,'Wall-U'!$H$4:$H$40)*Detached!J$12)+(LOOKUP(Detached!J$2,'Window-U'!$A$4:$A$40,'Window-U'!$H$4:$H$40)*Detached!J$21))*J103</f>
        <v>237.8881828823088</v>
      </c>
      <c r="K107" s="177">
        <f>((LOOKUP(Detached!K$2,'Ceiling-U'!$A$4:$A$40,'Ceiling-U'!$T$4:$T$40)*Detached!K$14)+(LOOKUP(Detached!K$2,'Floor-U'!$A$4:$A$40,'Floor-U'!$H$4:$H$40)*Detached!K$15)+(LOOKUP(Detached!K$2,'Wall-U'!$A$4:$A$40,'Wall-U'!$H$4:$H$40)*Detached!K$12)+(LOOKUP(Detached!K$2,'Window-U'!$A$4:$A$40,'Window-U'!$H$4:$H$40)*Detached!K$21))*K103</f>
        <v>172.07518656940147</v>
      </c>
      <c r="L107" s="177">
        <f>((LOOKUP(Detached!L$2,'Ceiling-U'!$A$4:$A$40,'Ceiling-U'!$T$4:$T$40)*Detached!L$14)+(LOOKUP(Detached!L$2,'Floor-U'!$A$4:$A$40,'Floor-U'!$H$4:$H$40)*Detached!L$15)+(LOOKUP(Detached!L$2,'Wall-U'!$A$4:$A$40,'Wall-U'!$H$4:$H$40)*Detached!L$12)+(LOOKUP(Detached!L$2,'Window-U'!$A$4:$A$40,'Window-U'!$H$4:$H$40)*Detached!L$21))*L103</f>
        <v>93.216942895864349</v>
      </c>
      <c r="M107" s="177">
        <f>((LOOKUP(Detached!M$2,'Ceiling-U'!$A$4:$A$40,'Ceiling-U'!$T$4:$T$40)*Detached!M$14)+(LOOKUP(Detached!M$2,'Floor-U'!$A$4:$A$40,'Floor-U'!$H$4:$H$40)*Detached!M$15)+(LOOKUP(Detached!M$2,'Wall-U'!$A$4:$A$40,'Wall-U'!$H$4:$H$40)*Detached!M$12)+(LOOKUP(Detached!M$2,'Window-U'!$A$4:$A$40,'Window-U'!$H$4:$H$40)*Detached!M$21))*M103</f>
        <v>449.85904888779856</v>
      </c>
      <c r="N107" s="177">
        <f>((LOOKUP(Detached!N$2,'Ceiling-U'!$A$4:$A$40,'Ceiling-U'!$T$4:$T$40)*Detached!N$14)+(LOOKUP(Detached!N$2,'Floor-U'!$A$4:$A$40,'Floor-U'!$H$4:$H$40)*Detached!N$15)+(LOOKUP(Detached!N$2,'Wall-U'!$A$4:$A$40,'Wall-U'!$H$4:$H$40)*Detached!N$12)+(LOOKUP(Detached!N$2,'Window-U'!$A$4:$A$40,'Window-U'!$H$4:$H$40)*Detached!N$21))*N103</f>
        <v>127.38070983819922</v>
      </c>
      <c r="O107" s="177">
        <f>((LOOKUP(Detached!O$2,'Ceiling-U'!$A$4:$A$40,'Ceiling-U'!$T$4:$T$40)*Detached!O$14)+(LOOKUP(Detached!O$2,'Floor-U'!$A$4:$A$40,'Floor-U'!$H$4:$H$40)*Detached!O$15)+(LOOKUP(Detached!O$2,'Wall-U'!$A$4:$A$40,'Wall-U'!$H$4:$H$40)*Detached!O$12)+(LOOKUP(Detached!O$2,'Window-U'!$A$4:$A$40,'Window-U'!$H$4:$H$40)*Detached!O$21))*O103</f>
        <v>305.86845990136669</v>
      </c>
      <c r="P107" s="177">
        <f>((LOOKUP(Detached!P$2,'Ceiling-U'!$A$4:$A$40,'Ceiling-U'!$T$4:$T$40)*Detached!P$14)+(LOOKUP(Detached!P$2,'Floor-U'!$A$4:$A$40,'Floor-U'!$H$4:$H$40)*Detached!P$15)+(LOOKUP(Detached!P$2,'Wall-U'!$A$4:$A$40,'Wall-U'!$H$4:$H$40)*Detached!P$12)+(LOOKUP(Detached!P$2,'Window-U'!$A$4:$A$40,'Window-U'!$H$4:$H$40)*Detached!P$21))*P103</f>
        <v>610.42649260334963</v>
      </c>
      <c r="Q107" s="177">
        <f>((LOOKUP(Detached!Q$2,'Ceiling-U'!$A$4:$A$40,'Ceiling-U'!$T$4:$T$40)*Detached!Q$14)+(LOOKUP(Detached!Q$2,'Floor-U'!$A$4:$A$40,'Floor-U'!$H$4:$H$40)*Detached!Q$15)+(LOOKUP(Detached!Q$2,'Wall-U'!$A$4:$A$40,'Wall-U'!$H$4:$H$40)*Detached!Q$12)+(LOOKUP(Detached!Q$2,'Window-U'!$A$4:$A$40,'Window-U'!$H$4:$H$40)*Detached!Q$21))*Q103</f>
        <v>308.37492601158056</v>
      </c>
      <c r="R107" s="177">
        <f>((LOOKUP(Detached!R$2,'Ceiling-U'!$A$4:$A$40,'Ceiling-U'!$T$4:$T$40)*Detached!R$14)+(LOOKUP(Detached!R$2,'Floor-U'!$A$4:$A$40,'Floor-U'!$H$4:$H$40)*Detached!R$15)+(LOOKUP(Detached!R$2,'Wall-U'!$A$4:$A$40,'Wall-U'!$H$4:$H$40)*Detached!R$12)+(LOOKUP(Detached!R$2,'Window-U'!$A$4:$A$40,'Window-U'!$H$4:$H$40)*Detached!R$21))*R103</f>
        <v>261.07188947557211</v>
      </c>
      <c r="S107" s="177">
        <f>((LOOKUP(Detached!S$2,'Ceiling-U'!$A$4:$A$40,'Ceiling-U'!$T$4:$T$40)*Detached!S$14)+(LOOKUP(Detached!S$2,'Floor-U'!$A$4:$A$40,'Floor-U'!$H$4:$H$40)*Detached!S$15)+(LOOKUP(Detached!S$2,'Wall-U'!$A$4:$A$40,'Wall-U'!$H$4:$H$40)*Detached!S$12)+(LOOKUP(Detached!S$2,'Window-U'!$A$4:$A$40,'Window-U'!$H$4:$H$40)*Detached!S$21))*S103</f>
        <v>343.54397598670022</v>
      </c>
      <c r="T107" s="177">
        <f>((LOOKUP(Detached!T$2,'Ceiling-U'!$A$4:$A$40,'Ceiling-U'!$T$4:$T$40)*Detached!T$14)+(LOOKUP(Detached!T$2,'Floor-U'!$A$4:$A$40,'Floor-U'!$H$4:$H$40)*Detached!T$15)+(LOOKUP(Detached!T$2,'Wall-U'!$A$4:$A$40,'Wall-U'!$H$4:$H$40)*Detached!T$12)+(LOOKUP(Detached!T$2,'Window-U'!$A$4:$A$40,'Window-U'!$H$4:$H$40)*Detached!T$21))*T103</f>
        <v>127.38070983819922</v>
      </c>
      <c r="U107" s="177">
        <f>((LOOKUP(Detached!U$2,'Ceiling-U'!$A$4:$A$40,'Ceiling-U'!$T$4:$T$40)*Detached!U$14)+(LOOKUP(Detached!U$2,'Floor-U'!$A$4:$A$40,'Floor-U'!$H$4:$H$40)*Detached!U$15)+(LOOKUP(Detached!U$2,'Wall-U'!$A$4:$A$40,'Wall-U'!$H$4:$H$40)*Detached!U$12)+(LOOKUP(Detached!U$2,'Window-U'!$A$4:$A$40,'Window-U'!$H$4:$H$40)*Detached!U$21))*U103</f>
        <v>405.30802527348374</v>
      </c>
      <c r="V107" s="177">
        <f>((LOOKUP(Detached!V$2,'Ceiling-U'!$A$4:$A$40,'Ceiling-U'!$T$4:$T$40)*Detached!V$14)+(LOOKUP(Detached!V$2,'Floor-U'!$A$4:$A$40,'Floor-U'!$H$4:$H$40)*Detached!V$15)+(LOOKUP(Detached!V$2,'Wall-U'!$A$4:$A$40,'Wall-U'!$H$4:$H$40)*Detached!V$12)+(LOOKUP(Detached!V$2,'Window-U'!$A$4:$A$40,'Window-U'!$H$4:$H$40)*Detached!V$21))*V103</f>
        <v>189.95361306839226</v>
      </c>
      <c r="W107" s="177">
        <f>((LOOKUP(Detached!W$2,'Ceiling-U'!$A$4:$A$40,'Ceiling-U'!$T$4:$T$40)*Detached!W$14)+(LOOKUP(Detached!W$2,'Floor-U'!$A$4:$A$40,'Floor-U'!$H$4:$H$40)*Detached!W$15)+(LOOKUP(Detached!W$2,'Wall-U'!$A$4:$A$40,'Wall-U'!$H$4:$H$40)*Detached!W$12)+(LOOKUP(Detached!W$2,'Window-U'!$A$4:$A$40,'Window-U'!$H$4:$H$40)*Detached!W$21))*W103</f>
        <v>188.88065755060126</v>
      </c>
      <c r="X107" s="177">
        <f>((LOOKUP(Detached!X$2,'Ceiling-U'!$A$4:$A$40,'Ceiling-U'!$T$4:$T$40)*Detached!X$14)+(LOOKUP(Detached!X$2,'Floor-U'!$A$4:$A$40,'Floor-U'!$H$4:$H$40)*Detached!X$15)+(LOOKUP(Detached!X$2,'Wall-U'!$A$4:$A$40,'Wall-U'!$H$4:$H$40)*Detached!X$12)+(LOOKUP(Detached!X$2,'Window-U'!$A$4:$A$40,'Window-U'!$H$4:$H$40)*Detached!X$21))*X103</f>
        <v>164.85160030897802</v>
      </c>
      <c r="Y107" s="177">
        <f>((LOOKUP(Detached!Y$2,'Ceiling-U'!$A$4:$A$40,'Ceiling-U'!$T$4:$T$40)*Detached!Y$14)+(LOOKUP(Detached!Y$2,'Floor-U'!$A$4:$A$40,'Floor-U'!$H$4:$H$40)*Detached!Y$15)+(LOOKUP(Detached!Y$2,'Wall-U'!$A$4:$A$40,'Wall-U'!$H$4:$H$40)*Detached!Y$12)+(LOOKUP(Detached!Y$2,'Window-U'!$A$4:$A$40,'Window-U'!$H$4:$H$40)*Detached!Y$21))*Y103</f>
        <v>604.58770635194742</v>
      </c>
      <c r="Z107" s="177">
        <f>((LOOKUP(Detached!Z$2,'Ceiling-U'!$A$4:$A$40,'Ceiling-U'!$T$4:$T$40)*Detached!Z$14)+(LOOKUP(Detached!Z$2,'Floor-U'!$A$4:$A$40,'Floor-U'!$H$4:$H$40)*Detached!Z$15)+(LOOKUP(Detached!Z$2,'Wall-U'!$A$4:$A$40,'Wall-U'!$H$4:$H$40)*Detached!Z$12)+(LOOKUP(Detached!Z$2,'Window-U'!$A$4:$A$40,'Window-U'!$H$4:$H$40)*Detached!Z$21))*Z103</f>
        <v>293.28633096507491</v>
      </c>
      <c r="AA107" s="177">
        <f>((LOOKUP(Detached!AA$2,'Ceiling-U'!$A$4:$A$40,'Ceiling-U'!$T$4:$T$40)*Detached!AA$14)+(LOOKUP(Detached!AA$2,'Floor-U'!$A$4:$A$40,'Floor-U'!$H$4:$H$40)*Detached!AA$15)+(LOOKUP(Detached!AA$2,'Wall-U'!$A$4:$A$40,'Wall-U'!$H$4:$H$40)*Detached!AA$12)+(LOOKUP(Detached!AA$2,'Window-U'!$A$4:$A$40,'Window-U'!$H$4:$H$40)*Detached!AA$21))*AA103</f>
        <v>142.57661199902873</v>
      </c>
      <c r="AB107" s="177">
        <f>((LOOKUP(Detached!AB$2,'Ceiling-U'!$A$4:$A$40,'Ceiling-U'!$T$4:$T$40)*Detached!AB$14)+(LOOKUP(Detached!AB$2,'Floor-U'!$A$4:$A$40,'Floor-U'!$H$4:$H$40)*Detached!AB$15)+(LOOKUP(Detached!AB$2,'Wall-U'!$A$4:$A$40,'Wall-U'!$H$4:$H$40)*Detached!AB$12)+(LOOKUP(Detached!AB$2,'Window-U'!$A$4:$A$40,'Window-U'!$H$4:$H$40)*Detached!AB$21))*AB103</f>
        <v>253.51054991476173</v>
      </c>
      <c r="AC107" s="177">
        <f>((LOOKUP(Detached!AC$2,'Ceiling-U'!$A$4:$A$40,'Ceiling-U'!$T$4:$T$40)*Detached!AC$14)+(LOOKUP(Detached!AC$2,'Floor-U'!$A$4:$A$40,'Floor-U'!$H$4:$H$40)*Detached!AC$15)+(LOOKUP(Detached!AC$2,'Wall-U'!$A$4:$A$40,'Wall-U'!$H$4:$H$40)*Detached!AC$12)+(LOOKUP(Detached!AC$2,'Window-U'!$A$4:$A$40,'Window-U'!$H$4:$H$40)*Detached!AC$21))*AC103</f>
        <v>559.49925631941392</v>
      </c>
      <c r="AD107" s="177">
        <f>((LOOKUP(Detached!AD$2,'Ceiling-U'!$A$4:$A$40,'Ceiling-U'!$T$4:$T$40)*Detached!AD$14)+(LOOKUP(Detached!AD$2,'Floor-U'!$A$4:$A$40,'Floor-U'!$H$4:$H$40)*Detached!AD$15)+(LOOKUP(Detached!AD$2,'Wall-U'!$A$4:$A$40,'Wall-U'!$H$4:$H$40)*Detached!AD$12)+(LOOKUP(Detached!AD$2,'Window-U'!$A$4:$A$40,'Window-U'!$H$4:$H$40)*Detached!AD$21))*AD103</f>
        <v>314.73441428432955</v>
      </c>
      <c r="AE107" s="177">
        <f>((LOOKUP(Detached!AE$2,'Ceiling-U'!$A$4:$A$40,'Ceiling-U'!$T$4:$T$40)*Detached!AE$14)+(LOOKUP(Detached!AE$2,'Floor-U'!$A$4:$A$40,'Floor-U'!$H$4:$H$40)*Detached!AE$15)+(LOOKUP(Detached!AE$2,'Wall-U'!$A$4:$A$40,'Wall-U'!$H$4:$H$40)*Detached!AE$12)+(LOOKUP(Detached!AE$2,'Window-U'!$A$4:$A$40,'Window-U'!$H$4:$H$40)*Detached!AE$21))*AE103</f>
        <v>142.57661199902873</v>
      </c>
      <c r="AF107" s="177">
        <f>((LOOKUP(Detached!AF$2,'Ceiling-U'!$A$4:$A$40,'Ceiling-U'!$T$4:$T$40)*Detached!AF$14)+(LOOKUP(Detached!AF$2,'Floor-U'!$A$4:$A$40,'Floor-U'!$H$4:$H$40)*Detached!AF$15)+(LOOKUP(Detached!AF$2,'Wall-U'!$A$4:$A$40,'Wall-U'!$H$4:$H$40)*Detached!AF$12)+(LOOKUP(Detached!AF$2,'Window-U'!$A$4:$A$40,'Window-U'!$H$4:$H$40)*Detached!AF$21))*AF103</f>
        <v>254.73078084560507</v>
      </c>
      <c r="AG107" s="177">
        <f>((LOOKUP(Detached!AG$2,'Ceiling-U'!$A$4:$A$40,'Ceiling-U'!$T$4:$T$40)*Detached!AG$14)+(LOOKUP(Detached!AG$2,'Floor-U'!$A$4:$A$40,'Floor-U'!$H$4:$H$40)*Detached!AG$15)+(LOOKUP(Detached!AG$2,'Wall-U'!$A$4:$A$40,'Wall-U'!$H$4:$H$40)*Detached!AG$12)+(LOOKUP(Detached!AG$2,'Window-U'!$A$4:$A$40,'Window-U'!$H$4:$H$40)*Detached!AG$21))*AG103</f>
        <v>368.35665574472483</v>
      </c>
      <c r="AH107" s="177">
        <f>((LOOKUP(Detached!AH$2,'Ceiling-U'!$A$4:$A$40,'Ceiling-U'!$T$4:$T$40)*Detached!AH$14)+(LOOKUP(Detached!AH$2,'Floor-U'!$A$4:$A$40,'Floor-U'!$H$4:$H$40)*Detached!AH$15)+(LOOKUP(Detached!AH$2,'Wall-U'!$A$4:$A$40,'Wall-U'!$H$4:$H$40)*Detached!AH$12)+(LOOKUP(Detached!AH$2,'Window-U'!$A$4:$A$40,'Window-U'!$H$4:$H$40)*Detached!AH$21))*AH103</f>
        <v>228.67258785618014</v>
      </c>
      <c r="AI107" s="177">
        <f>((LOOKUP(Detached!AI$2,'Ceiling-U'!$A$4:$A$40,'Ceiling-U'!$T$4:$T$40)*Detached!AI$14)+(LOOKUP(Detached!AI$2,'Floor-U'!$A$4:$A$40,'Floor-U'!$H$4:$H$40)*Detached!AI$15)+(LOOKUP(Detached!AI$2,'Wall-U'!$A$4:$A$40,'Wall-U'!$H$4:$H$40)*Detached!AI$12)+(LOOKUP(Detached!AI$2,'Window-U'!$A$4:$A$40,'Window-U'!$H$4:$H$40)*Detached!AI$21))*AI103</f>
        <v>610.42649260334963</v>
      </c>
      <c r="AJ107" s="177">
        <f>((LOOKUP(Detached!AJ$2,'Ceiling-U'!$A$4:$A$40,'Ceiling-U'!$T$4:$T$40)*Detached!AJ$14)+(LOOKUP(Detached!AJ$2,'Floor-U'!$A$4:$A$40,'Floor-U'!$H$4:$H$40)*Detached!AJ$15)+(LOOKUP(Detached!AJ$2,'Wall-U'!$A$4:$A$40,'Wall-U'!$H$4:$H$40)*Detached!AJ$12)+(LOOKUP(Detached!AJ$2,'Window-U'!$A$4:$A$40,'Window-U'!$H$4:$H$40)*Detached!AJ$21))*AJ103</f>
        <v>295.18443476609525</v>
      </c>
      <c r="AK107" s="177">
        <f>((LOOKUP(Detached!AK$2,'Ceiling-U'!$A$4:$A$40,'Ceiling-U'!$T$4:$T$40)*Detached!AK$14)+(LOOKUP(Detached!AK$2,'Floor-U'!$A$4:$A$40,'Floor-U'!$H$4:$H$40)*Detached!AK$15)+(LOOKUP(Detached!AK$2,'Wall-U'!$A$4:$A$40,'Wall-U'!$H$4:$H$40)*Detached!AK$12)+(LOOKUP(Detached!AK$2,'Window-U'!$A$4:$A$40,'Window-U'!$H$4:$H$40)*Detached!AK$21))*AK103</f>
        <v>341.50546798691602</v>
      </c>
      <c r="AL107" s="177">
        <f>((LOOKUP(Detached!AL$2,'Ceiling-U'!$A$4:$A$40,'Ceiling-U'!$T$4:$T$40)*Detached!AL$14)+(LOOKUP(Detached!AL$2,'Floor-U'!$A$4:$A$40,'Floor-U'!$H$4:$H$40)*Detached!AL$15)+(LOOKUP(Detached!AL$2,'Wall-U'!$A$4:$A$40,'Wall-U'!$H$4:$H$40)*Detached!AL$12)+(LOOKUP(Detached!AL$2,'Window-U'!$A$4:$A$40,'Window-U'!$H$4:$H$40)*Detached!AL$21))*AL103</f>
        <v>274.35193983904838</v>
      </c>
      <c r="AM107" s="177">
        <f>((LOOKUP(Detached!AM$2,'Ceiling-U'!$A$4:$A$40,'Ceiling-U'!$T$4:$T$40)*Detached!AM$14)+(LOOKUP(Detached!AM$2,'Floor-U'!$A$4:$A$40,'Floor-U'!$H$4:$H$40)*Detached!AM$15)+(LOOKUP(Detached!AM$2,'Wall-U'!$A$4:$A$40,'Wall-U'!$H$4:$H$40)*Detached!AM$12)+(LOOKUP(Detached!AM$2,'Window-U'!$A$4:$A$40,'Window-U'!$H$4:$H$40)*Detached!AM$21))*AM103</f>
        <v>295.18443476609525</v>
      </c>
      <c r="AN107" s="178">
        <f>((LOOKUP(Detached!AN$2,'Ceiling-U'!$A$4:$A$40,'Ceiling-U'!$T$4:$T$40)*Detached!AN$14)+(LOOKUP(Detached!AN$2,'Floor-U'!$A$4:$A$40,'Floor-U'!$H$4:$H$40)*Detached!AN$15)+(LOOKUP(Detached!AN$2,'Wall-U'!$A$4:$A$40,'Wall-U'!$H$4:$H$40)*Detached!AN$12)+(LOOKUP(Detached!AN$2,'Window-U'!$A$4:$A$40,'Window-U'!$H$4:$H$40)*Detached!AN$21))*AN103</f>
        <v>295.18443476609525</v>
      </c>
    </row>
    <row r="108" spans="1:40">
      <c r="A108" s="372"/>
      <c r="B108" s="142" t="s">
        <v>6</v>
      </c>
      <c r="C108" s="131" t="s">
        <v>195</v>
      </c>
      <c r="D108" s="176">
        <f>((LOOKUP(Detached!D$2,'Ceiling-U'!$A$4:$A$40,'Ceiling-U'!$U$4:$U$40)*Detached!D$14)+(LOOKUP(Detached!D$2,'Floor-U'!$A$4:$A$40,'Floor-U'!$I$4:$I$40)*Detached!D$15)+(LOOKUP(Detached!D$2,'Wall-U'!$A$4:$A$40,'Wall-U'!$I$4:$I$40)*Detached!D$12)+(LOOKUP(Detached!D$2,'Window-U'!$A$4:$A$40,'Window-U'!$I$4:$I$40)*Detached!D$21))*D103</f>
        <v>189.65168881156816</v>
      </c>
      <c r="E108" s="177">
        <f>((LOOKUP(Detached!E$2,'Ceiling-U'!$A$4:$A$40,'Ceiling-U'!$U$4:$U$40)*Detached!E$14)+(LOOKUP(Detached!E$2,'Floor-U'!$A$4:$A$40,'Floor-U'!$I$4:$I$40)*Detached!E$15)+(LOOKUP(Detached!E$2,'Wall-U'!$A$4:$A$40,'Wall-U'!$I$4:$I$40)*Detached!E$12)+(LOOKUP(Detached!E$2,'Window-U'!$A$4:$A$40,'Window-U'!$I$4:$I$40)*Detached!E$21))*E103</f>
        <v>463.96973025965974</v>
      </c>
      <c r="F108" s="177">
        <f>((LOOKUP(Detached!F$2,'Ceiling-U'!$A$4:$A$40,'Ceiling-U'!$U$4:$U$40)*Detached!F$14)+(LOOKUP(Detached!F$2,'Floor-U'!$A$4:$A$40,'Floor-U'!$I$4:$I$40)*Detached!F$15)+(LOOKUP(Detached!F$2,'Wall-U'!$A$4:$A$40,'Wall-U'!$I$4:$I$40)*Detached!F$12)+(LOOKUP(Detached!F$2,'Window-U'!$A$4:$A$40,'Window-U'!$I$4:$I$40)*Detached!F$21))*F103</f>
        <v>221.48935925228685</v>
      </c>
      <c r="G108" s="177">
        <f>((LOOKUP(Detached!G$2,'Ceiling-U'!$A$4:$A$40,'Ceiling-U'!$U$4:$U$40)*Detached!G$14)+(LOOKUP(Detached!G$2,'Floor-U'!$A$4:$A$40,'Floor-U'!$I$4:$I$40)*Detached!G$15)+(LOOKUP(Detached!G$2,'Wall-U'!$A$4:$A$40,'Wall-U'!$I$4:$I$40)*Detached!G$12)+(LOOKUP(Detached!G$2,'Window-U'!$A$4:$A$40,'Window-U'!$I$4:$I$40)*Detached!G$21))*G103</f>
        <v>189.65168881156816</v>
      </c>
      <c r="H108" s="177">
        <f>((LOOKUP(Detached!H$2,'Ceiling-U'!$A$4:$A$40,'Ceiling-U'!$U$4:$U$40)*Detached!H$14)+(LOOKUP(Detached!H$2,'Floor-U'!$A$4:$A$40,'Floor-U'!$I$4:$I$40)*Detached!H$15)+(LOOKUP(Detached!H$2,'Wall-U'!$A$4:$A$40,'Wall-U'!$I$4:$I$40)*Detached!H$12)+(LOOKUP(Detached!H$2,'Window-U'!$A$4:$A$40,'Window-U'!$I$4:$I$40)*Detached!H$21))*H103</f>
        <v>442.21759956325826</v>
      </c>
      <c r="I108" s="177">
        <f>((LOOKUP(Detached!I$2,'Ceiling-U'!$A$4:$A$40,'Ceiling-U'!$U$4:$U$40)*Detached!I$14)+(LOOKUP(Detached!I$2,'Floor-U'!$A$4:$A$40,'Floor-U'!$I$4:$I$40)*Detached!I$15)+(LOOKUP(Detached!I$2,'Wall-U'!$A$4:$A$40,'Wall-U'!$I$4:$I$40)*Detached!I$12)+(LOOKUP(Detached!I$2,'Window-U'!$A$4:$A$40,'Window-U'!$I$4:$I$40)*Detached!I$21))*I103</f>
        <v>195.36803527156366</v>
      </c>
      <c r="J108" s="177">
        <f>((LOOKUP(Detached!J$2,'Ceiling-U'!$A$4:$A$40,'Ceiling-U'!$U$4:$U$40)*Detached!J$14)+(LOOKUP(Detached!J$2,'Floor-U'!$A$4:$A$40,'Floor-U'!$I$4:$I$40)*Detached!J$15)+(LOOKUP(Detached!J$2,'Wall-U'!$A$4:$A$40,'Wall-U'!$I$4:$I$40)*Detached!J$12)+(LOOKUP(Detached!J$2,'Window-U'!$A$4:$A$40,'Window-U'!$I$4:$I$40)*Detached!J$21))*J103</f>
        <v>128.3071234193923</v>
      </c>
      <c r="K108" s="177">
        <f>((LOOKUP(Detached!K$2,'Ceiling-U'!$A$4:$A$40,'Ceiling-U'!$U$4:$U$40)*Detached!K$14)+(LOOKUP(Detached!K$2,'Floor-U'!$A$4:$A$40,'Floor-U'!$I$4:$I$40)*Detached!K$15)+(LOOKUP(Detached!K$2,'Wall-U'!$A$4:$A$40,'Wall-U'!$I$4:$I$40)*Detached!K$12)+(LOOKUP(Detached!K$2,'Window-U'!$A$4:$A$40,'Window-U'!$I$4:$I$40)*Detached!K$21))*K103</f>
        <v>172.07518656940147</v>
      </c>
      <c r="L108" s="177">
        <f>((LOOKUP(Detached!L$2,'Ceiling-U'!$A$4:$A$40,'Ceiling-U'!$U$4:$U$40)*Detached!L$14)+(LOOKUP(Detached!L$2,'Floor-U'!$A$4:$A$40,'Floor-U'!$I$4:$I$40)*Detached!L$15)+(LOOKUP(Detached!L$2,'Wall-U'!$A$4:$A$40,'Wall-U'!$I$4:$I$40)*Detached!L$12)+(LOOKUP(Detached!L$2,'Window-U'!$A$4:$A$40,'Window-U'!$I$4:$I$40)*Detached!L$21))*L103</f>
        <v>80.784644906111538</v>
      </c>
      <c r="M108" s="177">
        <f>((LOOKUP(Detached!M$2,'Ceiling-U'!$A$4:$A$40,'Ceiling-U'!$U$4:$U$40)*Detached!M$14)+(LOOKUP(Detached!M$2,'Floor-U'!$A$4:$A$40,'Floor-U'!$I$4:$I$40)*Detached!M$15)+(LOOKUP(Detached!M$2,'Wall-U'!$A$4:$A$40,'Wall-U'!$I$4:$I$40)*Detached!M$12)+(LOOKUP(Detached!M$2,'Window-U'!$A$4:$A$40,'Window-U'!$I$4:$I$40)*Detached!M$21))*M103</f>
        <v>449.85904888779856</v>
      </c>
      <c r="N108" s="177">
        <f>((LOOKUP(Detached!N$2,'Ceiling-U'!$A$4:$A$40,'Ceiling-U'!$U$4:$U$40)*Detached!N$14)+(LOOKUP(Detached!N$2,'Floor-U'!$A$4:$A$40,'Floor-U'!$I$4:$I$40)*Detached!N$15)+(LOOKUP(Detached!N$2,'Wall-U'!$A$4:$A$40,'Wall-U'!$I$4:$I$40)*Detached!N$12)+(LOOKUP(Detached!N$2,'Window-U'!$A$4:$A$40,'Window-U'!$I$4:$I$40)*Detached!N$21))*N103</f>
        <v>125.82838329321667</v>
      </c>
      <c r="O108" s="177">
        <f>((LOOKUP(Detached!O$2,'Ceiling-U'!$A$4:$A$40,'Ceiling-U'!$U$4:$U$40)*Detached!O$14)+(LOOKUP(Detached!O$2,'Floor-U'!$A$4:$A$40,'Floor-U'!$I$4:$I$40)*Detached!O$15)+(LOOKUP(Detached!O$2,'Wall-U'!$A$4:$A$40,'Wall-U'!$I$4:$I$40)*Detached!O$12)+(LOOKUP(Detached!O$2,'Window-U'!$A$4:$A$40,'Window-U'!$I$4:$I$40)*Detached!O$21))*O103</f>
        <v>165.18370115258699</v>
      </c>
      <c r="P108" s="177">
        <f>((LOOKUP(Detached!P$2,'Ceiling-U'!$A$4:$A$40,'Ceiling-U'!$U$4:$U$40)*Detached!P$14)+(LOOKUP(Detached!P$2,'Floor-U'!$A$4:$A$40,'Floor-U'!$I$4:$I$40)*Detached!P$15)+(LOOKUP(Detached!P$2,'Wall-U'!$A$4:$A$40,'Wall-U'!$I$4:$I$40)*Detached!P$12)+(LOOKUP(Detached!P$2,'Window-U'!$A$4:$A$40,'Window-U'!$I$4:$I$40)*Detached!P$21))*P103</f>
        <v>610.42649260334963</v>
      </c>
      <c r="Q108" s="177">
        <f>((LOOKUP(Detached!Q$2,'Ceiling-U'!$A$4:$A$40,'Ceiling-U'!$U$4:$U$40)*Detached!Q$14)+(LOOKUP(Detached!Q$2,'Floor-U'!$A$4:$A$40,'Floor-U'!$I$4:$I$40)*Detached!Q$15)+(LOOKUP(Detached!Q$2,'Wall-U'!$A$4:$A$40,'Wall-U'!$I$4:$I$40)*Detached!Q$12)+(LOOKUP(Detached!Q$2,'Window-U'!$A$4:$A$40,'Window-U'!$I$4:$I$40)*Detached!Q$21))*Q103</f>
        <v>218.44414508807148</v>
      </c>
      <c r="R108" s="177">
        <f>((LOOKUP(Detached!R$2,'Ceiling-U'!$A$4:$A$40,'Ceiling-U'!$U$4:$U$40)*Detached!R$14)+(LOOKUP(Detached!R$2,'Floor-U'!$A$4:$A$40,'Floor-U'!$I$4:$I$40)*Detached!R$15)+(LOOKUP(Detached!R$2,'Wall-U'!$A$4:$A$40,'Wall-U'!$I$4:$I$40)*Detached!R$12)+(LOOKUP(Detached!R$2,'Window-U'!$A$4:$A$40,'Window-U'!$I$4:$I$40)*Detached!R$21))*R103</f>
        <v>261.07188947557211</v>
      </c>
      <c r="S108" s="177">
        <f>((LOOKUP(Detached!S$2,'Ceiling-U'!$A$4:$A$40,'Ceiling-U'!$U$4:$U$40)*Detached!S$14)+(LOOKUP(Detached!S$2,'Floor-U'!$A$4:$A$40,'Floor-U'!$I$4:$I$40)*Detached!S$15)+(LOOKUP(Detached!S$2,'Wall-U'!$A$4:$A$40,'Wall-U'!$I$4:$I$40)*Detached!S$12)+(LOOKUP(Detached!S$2,'Window-U'!$A$4:$A$40,'Window-U'!$I$4:$I$40)*Detached!S$21))*S103</f>
        <v>286.39452224958063</v>
      </c>
      <c r="T108" s="177">
        <f>((LOOKUP(Detached!T$2,'Ceiling-U'!$A$4:$A$40,'Ceiling-U'!$U$4:$U$40)*Detached!T$14)+(LOOKUP(Detached!T$2,'Floor-U'!$A$4:$A$40,'Floor-U'!$I$4:$I$40)*Detached!T$15)+(LOOKUP(Detached!T$2,'Wall-U'!$A$4:$A$40,'Wall-U'!$I$4:$I$40)*Detached!T$12)+(LOOKUP(Detached!T$2,'Window-U'!$A$4:$A$40,'Window-U'!$I$4:$I$40)*Detached!T$21))*T103</f>
        <v>125.82838329321667</v>
      </c>
      <c r="U108" s="177">
        <f>((LOOKUP(Detached!U$2,'Ceiling-U'!$A$4:$A$40,'Ceiling-U'!$U$4:$U$40)*Detached!U$14)+(LOOKUP(Detached!U$2,'Floor-U'!$A$4:$A$40,'Floor-U'!$I$4:$I$40)*Detached!U$15)+(LOOKUP(Detached!U$2,'Wall-U'!$A$4:$A$40,'Wall-U'!$I$4:$I$40)*Detached!U$12)+(LOOKUP(Detached!U$2,'Window-U'!$A$4:$A$40,'Window-U'!$I$4:$I$40)*Detached!U$21))*U103</f>
        <v>379.19923814912784</v>
      </c>
      <c r="V108" s="177">
        <f>((LOOKUP(Detached!V$2,'Ceiling-U'!$A$4:$A$40,'Ceiling-U'!$U$4:$U$40)*Detached!V$14)+(LOOKUP(Detached!V$2,'Floor-U'!$A$4:$A$40,'Floor-U'!$I$4:$I$40)*Detached!V$15)+(LOOKUP(Detached!V$2,'Wall-U'!$A$4:$A$40,'Wall-U'!$I$4:$I$40)*Detached!V$12)+(LOOKUP(Detached!V$2,'Window-U'!$A$4:$A$40,'Window-U'!$I$4:$I$40)*Detached!V$21))*V103</f>
        <v>189.95361306839226</v>
      </c>
      <c r="W108" s="177">
        <f>((LOOKUP(Detached!W$2,'Ceiling-U'!$A$4:$A$40,'Ceiling-U'!$U$4:$U$40)*Detached!W$14)+(LOOKUP(Detached!W$2,'Floor-U'!$A$4:$A$40,'Floor-U'!$I$4:$I$40)*Detached!W$15)+(LOOKUP(Detached!W$2,'Wall-U'!$A$4:$A$40,'Wall-U'!$I$4:$I$40)*Detached!W$12)+(LOOKUP(Detached!W$2,'Window-U'!$A$4:$A$40,'Window-U'!$I$4:$I$40)*Detached!W$21))*W103</f>
        <v>157.93761849716998</v>
      </c>
      <c r="X108" s="177">
        <f>((LOOKUP(Detached!X$2,'Ceiling-U'!$A$4:$A$40,'Ceiling-U'!$U$4:$U$40)*Detached!X$14)+(LOOKUP(Detached!X$2,'Floor-U'!$A$4:$A$40,'Floor-U'!$I$4:$I$40)*Detached!X$15)+(LOOKUP(Detached!X$2,'Wall-U'!$A$4:$A$40,'Wall-U'!$I$4:$I$40)*Detached!X$12)+(LOOKUP(Detached!X$2,'Window-U'!$A$4:$A$40,'Window-U'!$I$4:$I$40)*Detached!X$21))*X103</f>
        <v>164.19277677956626</v>
      </c>
      <c r="Y108" s="177">
        <f>((LOOKUP(Detached!Y$2,'Ceiling-U'!$A$4:$A$40,'Ceiling-U'!$U$4:$U$40)*Detached!Y$14)+(LOOKUP(Detached!Y$2,'Floor-U'!$A$4:$A$40,'Floor-U'!$I$4:$I$40)*Detached!Y$15)+(LOOKUP(Detached!Y$2,'Wall-U'!$A$4:$A$40,'Wall-U'!$I$4:$I$40)*Detached!Y$12)+(LOOKUP(Detached!Y$2,'Window-U'!$A$4:$A$40,'Window-U'!$I$4:$I$40)*Detached!Y$21))*Y103</f>
        <v>604.2158856316421</v>
      </c>
      <c r="Z108" s="177">
        <f>((LOOKUP(Detached!Z$2,'Ceiling-U'!$A$4:$A$40,'Ceiling-U'!$U$4:$U$40)*Detached!Z$14)+(LOOKUP(Detached!Z$2,'Floor-U'!$A$4:$A$40,'Floor-U'!$I$4:$I$40)*Detached!Z$15)+(LOOKUP(Detached!Z$2,'Wall-U'!$A$4:$A$40,'Wall-U'!$I$4:$I$40)*Detached!Z$12)+(LOOKUP(Detached!Z$2,'Window-U'!$A$4:$A$40,'Window-U'!$I$4:$I$40)*Detached!Z$21))*Z103</f>
        <v>259.38533755676565</v>
      </c>
      <c r="AA108" s="177">
        <f>((LOOKUP(Detached!AA$2,'Ceiling-U'!$A$4:$A$40,'Ceiling-U'!$U$4:$U$40)*Detached!AA$14)+(LOOKUP(Detached!AA$2,'Floor-U'!$A$4:$A$40,'Floor-U'!$I$4:$I$40)*Detached!AA$15)+(LOOKUP(Detached!AA$2,'Wall-U'!$A$4:$A$40,'Wall-U'!$I$4:$I$40)*Detached!AA$12)+(LOOKUP(Detached!AA$2,'Window-U'!$A$4:$A$40,'Window-U'!$I$4:$I$40)*Detached!AA$21))*AA103</f>
        <v>128.61383575293704</v>
      </c>
      <c r="AB108" s="177">
        <f>((LOOKUP(Detached!AB$2,'Ceiling-U'!$A$4:$A$40,'Ceiling-U'!$U$4:$U$40)*Detached!AB$14)+(LOOKUP(Detached!AB$2,'Floor-U'!$A$4:$A$40,'Floor-U'!$I$4:$I$40)*Detached!AB$15)+(LOOKUP(Detached!AB$2,'Wall-U'!$A$4:$A$40,'Wall-U'!$I$4:$I$40)*Detached!AB$12)+(LOOKUP(Detached!AB$2,'Window-U'!$A$4:$A$40,'Window-U'!$I$4:$I$40)*Detached!AB$21))*AB103</f>
        <v>253.51054991476173</v>
      </c>
      <c r="AC108" s="177">
        <f>((LOOKUP(Detached!AC$2,'Ceiling-U'!$A$4:$A$40,'Ceiling-U'!$U$4:$U$40)*Detached!AC$14)+(LOOKUP(Detached!AC$2,'Floor-U'!$A$4:$A$40,'Floor-U'!$I$4:$I$40)*Detached!AC$15)+(LOOKUP(Detached!AC$2,'Wall-U'!$A$4:$A$40,'Wall-U'!$I$4:$I$40)*Detached!AC$12)+(LOOKUP(Detached!AC$2,'Window-U'!$A$4:$A$40,'Window-U'!$I$4:$I$40)*Detached!AC$21))*AC103</f>
        <v>513.71305748199779</v>
      </c>
      <c r="AD108" s="177">
        <f>((LOOKUP(Detached!AD$2,'Ceiling-U'!$A$4:$A$40,'Ceiling-U'!$U$4:$U$40)*Detached!AD$14)+(LOOKUP(Detached!AD$2,'Floor-U'!$A$4:$A$40,'Floor-U'!$I$4:$I$40)*Detached!AD$15)+(LOOKUP(Detached!AD$2,'Wall-U'!$A$4:$A$40,'Wall-U'!$I$4:$I$40)*Detached!AD$12)+(LOOKUP(Detached!AD$2,'Window-U'!$A$4:$A$40,'Window-U'!$I$4:$I$40)*Detached!AD$21))*AD103</f>
        <v>314.73441428432955</v>
      </c>
      <c r="AE108" s="177">
        <f>((LOOKUP(Detached!AE$2,'Ceiling-U'!$A$4:$A$40,'Ceiling-U'!$U$4:$U$40)*Detached!AE$14)+(LOOKUP(Detached!AE$2,'Floor-U'!$A$4:$A$40,'Floor-U'!$I$4:$I$40)*Detached!AE$15)+(LOOKUP(Detached!AE$2,'Wall-U'!$A$4:$A$40,'Wall-U'!$I$4:$I$40)*Detached!AE$12)+(LOOKUP(Detached!AE$2,'Window-U'!$A$4:$A$40,'Window-U'!$I$4:$I$40)*Detached!AE$21))*AE103</f>
        <v>128.61383575293704</v>
      </c>
      <c r="AF108" s="177">
        <f>((LOOKUP(Detached!AF$2,'Ceiling-U'!$A$4:$A$40,'Ceiling-U'!$U$4:$U$40)*Detached!AF$14)+(LOOKUP(Detached!AF$2,'Floor-U'!$A$4:$A$40,'Floor-U'!$I$4:$I$40)*Detached!AF$15)+(LOOKUP(Detached!AF$2,'Wall-U'!$A$4:$A$40,'Wall-U'!$I$4:$I$40)*Detached!AF$12)+(LOOKUP(Detached!AF$2,'Window-U'!$A$4:$A$40,'Window-U'!$I$4:$I$40)*Detached!AF$21))*AF103</f>
        <v>185.86148371275632</v>
      </c>
      <c r="AG108" s="177">
        <f>((LOOKUP(Detached!AG$2,'Ceiling-U'!$A$4:$A$40,'Ceiling-U'!$U$4:$U$40)*Detached!AG$14)+(LOOKUP(Detached!AG$2,'Floor-U'!$A$4:$A$40,'Floor-U'!$I$4:$I$40)*Detached!AG$15)+(LOOKUP(Detached!AG$2,'Wall-U'!$A$4:$A$40,'Wall-U'!$I$4:$I$40)*Detached!AG$12)+(LOOKUP(Detached!AG$2,'Window-U'!$A$4:$A$40,'Window-U'!$I$4:$I$40)*Detached!AG$21))*AG103</f>
        <v>350.17723005722485</v>
      </c>
      <c r="AH108" s="177">
        <f>((LOOKUP(Detached!AH$2,'Ceiling-U'!$A$4:$A$40,'Ceiling-U'!$U$4:$U$40)*Detached!AH$14)+(LOOKUP(Detached!AH$2,'Floor-U'!$A$4:$A$40,'Floor-U'!$I$4:$I$40)*Detached!AH$15)+(LOOKUP(Detached!AH$2,'Wall-U'!$A$4:$A$40,'Wall-U'!$I$4:$I$40)*Detached!AH$12)+(LOOKUP(Detached!AH$2,'Window-U'!$A$4:$A$40,'Window-U'!$I$4:$I$40)*Detached!AH$21))*AH103</f>
        <v>162.5280690986539</v>
      </c>
      <c r="AI108" s="177">
        <f>((LOOKUP(Detached!AI$2,'Ceiling-U'!$A$4:$A$40,'Ceiling-U'!$U$4:$U$40)*Detached!AI$14)+(LOOKUP(Detached!AI$2,'Floor-U'!$A$4:$A$40,'Floor-U'!$I$4:$I$40)*Detached!AI$15)+(LOOKUP(Detached!AI$2,'Wall-U'!$A$4:$A$40,'Wall-U'!$I$4:$I$40)*Detached!AI$12)+(LOOKUP(Detached!AI$2,'Window-U'!$A$4:$A$40,'Window-U'!$I$4:$I$40)*Detached!AI$21))*AI103</f>
        <v>610.42649260334963</v>
      </c>
      <c r="AJ108" s="177">
        <f>((LOOKUP(Detached!AJ$2,'Ceiling-U'!$A$4:$A$40,'Ceiling-U'!$U$4:$U$40)*Detached!AJ$14)+(LOOKUP(Detached!AJ$2,'Floor-U'!$A$4:$A$40,'Floor-U'!$I$4:$I$40)*Detached!AJ$15)+(LOOKUP(Detached!AJ$2,'Wall-U'!$A$4:$A$40,'Wall-U'!$I$4:$I$40)*Detached!AJ$12)+(LOOKUP(Detached!AJ$2,'Window-U'!$A$4:$A$40,'Window-U'!$I$4:$I$40)*Detached!AJ$21))*AJ103</f>
        <v>284.50930538305789</v>
      </c>
      <c r="AK108" s="177">
        <f>((LOOKUP(Detached!AK$2,'Ceiling-U'!$A$4:$A$40,'Ceiling-U'!$U$4:$U$40)*Detached!AK$14)+(LOOKUP(Detached!AK$2,'Floor-U'!$A$4:$A$40,'Floor-U'!$I$4:$I$40)*Detached!AK$15)+(LOOKUP(Detached!AK$2,'Wall-U'!$A$4:$A$40,'Wall-U'!$I$4:$I$40)*Detached!AK$12)+(LOOKUP(Detached!AK$2,'Window-U'!$A$4:$A$40,'Window-U'!$I$4:$I$40)*Detached!AK$21))*AK103</f>
        <v>328.10257040542484</v>
      </c>
      <c r="AL108" s="177">
        <f>((LOOKUP(Detached!AL$2,'Ceiling-U'!$A$4:$A$40,'Ceiling-U'!$U$4:$U$40)*Detached!AL$14)+(LOOKUP(Detached!AL$2,'Floor-U'!$A$4:$A$40,'Floor-U'!$I$4:$I$40)*Detached!AL$15)+(LOOKUP(Detached!AL$2,'Wall-U'!$A$4:$A$40,'Wall-U'!$I$4:$I$40)*Detached!AL$12)+(LOOKUP(Detached!AL$2,'Window-U'!$A$4:$A$40,'Window-U'!$I$4:$I$40)*Detached!AL$21))*AL103</f>
        <v>229.41429236093802</v>
      </c>
      <c r="AM108" s="177">
        <f>((LOOKUP(Detached!AM$2,'Ceiling-U'!$A$4:$A$40,'Ceiling-U'!$U$4:$U$40)*Detached!AM$14)+(LOOKUP(Detached!AM$2,'Floor-U'!$A$4:$A$40,'Floor-U'!$I$4:$I$40)*Detached!AM$15)+(LOOKUP(Detached!AM$2,'Wall-U'!$A$4:$A$40,'Wall-U'!$I$4:$I$40)*Detached!AM$12)+(LOOKUP(Detached!AM$2,'Window-U'!$A$4:$A$40,'Window-U'!$I$4:$I$40)*Detached!AM$21))*AM103</f>
        <v>284.50930538305789</v>
      </c>
      <c r="AN108" s="178">
        <f>((LOOKUP(Detached!AN$2,'Ceiling-U'!$A$4:$A$40,'Ceiling-U'!$U$4:$U$40)*Detached!AN$14)+(LOOKUP(Detached!AN$2,'Floor-U'!$A$4:$A$40,'Floor-U'!$I$4:$I$40)*Detached!AN$15)+(LOOKUP(Detached!AN$2,'Wall-U'!$A$4:$A$40,'Wall-U'!$I$4:$I$40)*Detached!AN$12)+(LOOKUP(Detached!AN$2,'Window-U'!$A$4:$A$40,'Window-U'!$I$4:$I$40)*Detached!AN$21))*AN103</f>
        <v>284.50930538305789</v>
      </c>
    </row>
    <row r="109" spans="1:40">
      <c r="A109" s="373"/>
      <c r="B109" s="374" t="s">
        <v>7</v>
      </c>
      <c r="C109" s="131" t="s">
        <v>195</v>
      </c>
      <c r="D109" s="176">
        <f>((LOOKUP(Detached!D$2,'Ceiling-U'!$A$4:$A$40,'Ceiling-U'!$V$4:$V$40)*Detached!D$14)+(LOOKUP(Detached!D$2,'Floor-U'!$A$4:$A$40,'Floor-U'!$J$4:$J$40)*Detached!D$15)+(LOOKUP(Detached!D$2,'Wall-U'!$A$4:$A$40,'Wall-U'!$J$4:$J$40)*Detached!D$12)+(LOOKUP(Detached!D$2,'Window-U'!$A$4:$A$40,'Window-U'!$J$4:$J$40)*Detached!D$21))*D103</f>
        <v>167.58329293948395</v>
      </c>
      <c r="E109" s="174">
        <f>((LOOKUP(Detached!E$2,'Ceiling-U'!$A$4:$A$40,'Ceiling-U'!$V$4:$V$40)*Detached!E$14)+(LOOKUP(Detached!E$2,'Floor-U'!$A$4:$A$40,'Floor-U'!$J$4:$J$40)*Detached!E$15)+(LOOKUP(Detached!E$2,'Wall-U'!$A$4:$A$40,'Wall-U'!$J$4:$J$40)*Detached!E$12)+(LOOKUP(Detached!E$2,'Window-U'!$A$4:$A$40,'Window-U'!$J$4:$J$40)*Detached!E$21))*E103</f>
        <v>269.58562269196256</v>
      </c>
      <c r="F109" s="174">
        <f>((LOOKUP(Detached!F$2,'Ceiling-U'!$A$4:$A$40,'Ceiling-U'!$V$4:$V$40)*Detached!F$14)+(LOOKUP(Detached!F$2,'Floor-U'!$A$4:$A$40,'Floor-U'!$J$4:$J$40)*Detached!F$15)+(LOOKUP(Detached!F$2,'Wall-U'!$A$4:$A$40,'Wall-U'!$J$4:$J$40)*Detached!F$12)+(LOOKUP(Detached!F$2,'Window-U'!$A$4:$A$40,'Window-U'!$J$4:$J$40)*Detached!F$21))*F103</f>
        <v>146.33991699147637</v>
      </c>
      <c r="G109" s="174">
        <f>((LOOKUP(Detached!G$2,'Ceiling-U'!$A$4:$A$40,'Ceiling-U'!$V$4:$V$40)*Detached!G$14)+(LOOKUP(Detached!G$2,'Floor-U'!$A$4:$A$40,'Floor-U'!$J$4:$J$40)*Detached!G$15)+(LOOKUP(Detached!G$2,'Wall-U'!$A$4:$A$40,'Wall-U'!$J$4:$J$40)*Detached!G$12)+(LOOKUP(Detached!G$2,'Window-U'!$A$4:$A$40,'Window-U'!$J$4:$J$40)*Detached!G$21))*G103</f>
        <v>167.58329293948395</v>
      </c>
      <c r="H109" s="174">
        <f>((LOOKUP(Detached!H$2,'Ceiling-U'!$A$4:$A$40,'Ceiling-U'!$V$4:$V$40)*Detached!H$14)+(LOOKUP(Detached!H$2,'Floor-U'!$A$4:$A$40,'Floor-U'!$J$4:$J$40)*Detached!H$15)+(LOOKUP(Detached!H$2,'Wall-U'!$A$4:$A$40,'Wall-U'!$J$4:$J$40)*Detached!H$12)+(LOOKUP(Detached!H$2,'Window-U'!$A$4:$A$40,'Window-U'!$J$4:$J$40)*Detached!H$21))*H103</f>
        <v>353.77924861494961</v>
      </c>
      <c r="I109" s="174">
        <f>((LOOKUP(Detached!I$2,'Ceiling-U'!$A$4:$A$40,'Ceiling-U'!$V$4:$V$40)*Detached!I$14)+(LOOKUP(Detached!I$2,'Floor-U'!$A$4:$A$40,'Floor-U'!$J$4:$J$40)*Detached!I$15)+(LOOKUP(Detached!I$2,'Wall-U'!$A$4:$A$40,'Wall-U'!$J$4:$J$40)*Detached!I$12)+(LOOKUP(Detached!I$2,'Window-U'!$A$4:$A$40,'Window-U'!$J$4:$J$40)*Detached!I$21))*I103</f>
        <v>148.99834071822318</v>
      </c>
      <c r="J109" s="174">
        <f>((LOOKUP(Detached!J$2,'Ceiling-U'!$A$4:$A$40,'Ceiling-U'!$V$4:$V$40)*Detached!J$14)+(LOOKUP(Detached!J$2,'Floor-U'!$A$4:$A$40,'Floor-U'!$J$4:$J$40)*Detached!J$15)+(LOOKUP(Detached!J$2,'Wall-U'!$A$4:$A$40,'Wall-U'!$J$4:$J$40)*Detached!J$12)+(LOOKUP(Detached!J$2,'Window-U'!$A$4:$A$40,'Window-U'!$J$4:$J$40)*Detached!J$21))*J103</f>
        <v>140.26728713824139</v>
      </c>
      <c r="K109" s="174">
        <f>((LOOKUP(Detached!K$2,'Ceiling-U'!$A$4:$A$40,'Ceiling-U'!$V$4:$V$40)*Detached!K$14)+(LOOKUP(Detached!K$2,'Floor-U'!$A$4:$A$40,'Floor-U'!$J$4:$J$40)*Detached!K$15)+(LOOKUP(Detached!K$2,'Wall-U'!$A$4:$A$40,'Wall-U'!$J$4:$J$40)*Detached!K$12)+(LOOKUP(Detached!K$2,'Window-U'!$A$4:$A$40,'Window-U'!$J$4:$J$40)*Detached!K$21))*K103</f>
        <v>119.9013350748528</v>
      </c>
      <c r="L109" s="174">
        <f>((LOOKUP(Detached!L$2,'Ceiling-U'!$A$4:$A$40,'Ceiling-U'!$V$4:$V$40)*Detached!L$14)+(LOOKUP(Detached!L$2,'Floor-U'!$A$4:$A$40,'Floor-U'!$J$4:$J$40)*Detached!L$15)+(LOOKUP(Detached!L$2,'Wall-U'!$A$4:$A$40,'Wall-U'!$J$4:$J$40)*Detached!L$12)+(LOOKUP(Detached!L$2,'Window-U'!$A$4:$A$40,'Window-U'!$J$4:$J$40)*Detached!L$21))*L103</f>
        <v>80.784644906111538</v>
      </c>
      <c r="M109" s="174">
        <f>((LOOKUP(Detached!M$2,'Ceiling-U'!$A$4:$A$40,'Ceiling-U'!$V$4:$V$40)*Detached!M$14)+(LOOKUP(Detached!M$2,'Floor-U'!$A$4:$A$40,'Floor-U'!$J$4:$J$40)*Detached!M$15)+(LOOKUP(Detached!M$2,'Wall-U'!$A$4:$A$40,'Wall-U'!$J$4:$J$40)*Detached!M$12)+(LOOKUP(Detached!M$2,'Window-U'!$A$4:$A$40,'Window-U'!$J$4:$J$40)*Detached!M$21))*M103</f>
        <v>296.60689614403225</v>
      </c>
      <c r="N109" s="174">
        <f>((LOOKUP(Detached!N$2,'Ceiling-U'!$A$4:$A$40,'Ceiling-U'!$V$4:$V$40)*Detached!N$14)+(LOOKUP(Detached!N$2,'Floor-U'!$A$4:$A$40,'Floor-U'!$J$4:$J$40)*Detached!N$15)+(LOOKUP(Detached!N$2,'Wall-U'!$A$4:$A$40,'Wall-U'!$J$4:$J$40)*Detached!N$12)+(LOOKUP(Detached!N$2,'Window-U'!$A$4:$A$40,'Window-U'!$J$4:$J$40)*Detached!N$21))*N103</f>
        <v>111.1935478098938</v>
      </c>
      <c r="O109" s="174">
        <f>((LOOKUP(Detached!O$2,'Ceiling-U'!$A$4:$A$40,'Ceiling-U'!$V$4:$V$40)*Detached!O$14)+(LOOKUP(Detached!O$2,'Floor-U'!$A$4:$A$40,'Floor-U'!$J$4:$J$40)*Detached!O$15)+(LOOKUP(Detached!O$2,'Wall-U'!$A$4:$A$40,'Wall-U'!$J$4:$J$40)*Detached!O$12)+(LOOKUP(Detached!O$2,'Window-U'!$A$4:$A$40,'Window-U'!$J$4:$J$40)*Detached!O$21))*O103</f>
        <v>159.01450589395523</v>
      </c>
      <c r="P109" s="174">
        <f>((LOOKUP(Detached!P$2,'Ceiling-U'!$A$4:$A$40,'Ceiling-U'!$V$4:$V$40)*Detached!P$14)+(LOOKUP(Detached!P$2,'Floor-U'!$A$4:$A$40,'Floor-U'!$J$4:$J$40)*Detached!P$15)+(LOOKUP(Detached!P$2,'Wall-U'!$A$4:$A$40,'Wall-U'!$J$4:$J$40)*Detached!P$12)+(LOOKUP(Detached!P$2,'Window-U'!$A$4:$A$40,'Window-U'!$J$4:$J$40)*Detached!P$21))*P103</f>
        <v>240.18769771987766</v>
      </c>
      <c r="Q109" s="174">
        <f>((LOOKUP(Detached!Q$2,'Ceiling-U'!$A$4:$A$40,'Ceiling-U'!$V$4:$V$40)*Detached!Q$14)+(LOOKUP(Detached!Q$2,'Floor-U'!$A$4:$A$40,'Floor-U'!$J$4:$J$40)*Detached!Q$15)+(LOOKUP(Detached!Q$2,'Wall-U'!$A$4:$A$40,'Wall-U'!$J$4:$J$40)*Detached!Q$12)+(LOOKUP(Detached!Q$2,'Window-U'!$A$4:$A$40,'Window-U'!$J$4:$J$40)*Detached!Q$21))*Q103</f>
        <v>134.21060875578087</v>
      </c>
      <c r="R109" s="174">
        <f>((LOOKUP(Detached!R$2,'Ceiling-U'!$A$4:$A$40,'Ceiling-U'!$V$4:$V$40)*Detached!R$14)+(LOOKUP(Detached!R$2,'Floor-U'!$A$4:$A$40,'Floor-U'!$J$4:$J$40)*Detached!R$15)+(LOOKUP(Detached!R$2,'Wall-U'!$A$4:$A$40,'Wall-U'!$J$4:$J$40)*Detached!R$12)+(LOOKUP(Detached!R$2,'Window-U'!$A$4:$A$40,'Window-U'!$J$4:$J$40)*Detached!R$21))*R103</f>
        <v>153.87394130902373</v>
      </c>
      <c r="S109" s="174">
        <f>((LOOKUP(Detached!S$2,'Ceiling-U'!$A$4:$A$40,'Ceiling-U'!$V$4:$V$40)*Detached!S$14)+(LOOKUP(Detached!S$2,'Floor-U'!$A$4:$A$40,'Floor-U'!$J$4:$J$40)*Detached!S$15)+(LOOKUP(Detached!S$2,'Wall-U'!$A$4:$A$40,'Wall-U'!$J$4:$J$40)*Detached!S$12)+(LOOKUP(Detached!S$2,'Window-U'!$A$4:$A$40,'Window-U'!$J$4:$J$40)*Detached!S$21))*S103</f>
        <v>170.47947202771846</v>
      </c>
      <c r="T109" s="174">
        <f>((LOOKUP(Detached!T$2,'Ceiling-U'!$A$4:$A$40,'Ceiling-U'!$V$4:$V$40)*Detached!T$14)+(LOOKUP(Detached!T$2,'Floor-U'!$A$4:$A$40,'Floor-U'!$J$4:$J$40)*Detached!T$15)+(LOOKUP(Detached!T$2,'Wall-U'!$A$4:$A$40,'Wall-U'!$J$4:$J$40)*Detached!T$12)+(LOOKUP(Detached!T$2,'Window-U'!$A$4:$A$40,'Window-U'!$J$4:$J$40)*Detached!T$21))*T103</f>
        <v>111.1935478098938</v>
      </c>
      <c r="U109" s="174">
        <f>((LOOKUP(Detached!U$2,'Ceiling-U'!$A$4:$A$40,'Ceiling-U'!$V$4:$V$40)*Detached!U$14)+(LOOKUP(Detached!U$2,'Floor-U'!$A$4:$A$40,'Floor-U'!$J$4:$J$40)*Detached!U$15)+(LOOKUP(Detached!U$2,'Wall-U'!$A$4:$A$40,'Wall-U'!$J$4:$J$40)*Detached!U$12)+(LOOKUP(Detached!U$2,'Window-U'!$A$4:$A$40,'Window-U'!$J$4:$J$40)*Detached!U$21))*U103</f>
        <v>349.19923814912784</v>
      </c>
      <c r="V109" s="174">
        <f>((LOOKUP(Detached!V$2,'Ceiling-U'!$A$4:$A$40,'Ceiling-U'!$V$4:$V$40)*Detached!V$14)+(LOOKUP(Detached!V$2,'Floor-U'!$A$4:$A$40,'Floor-U'!$J$4:$J$40)*Detached!V$15)+(LOOKUP(Detached!V$2,'Wall-U'!$A$4:$A$40,'Wall-U'!$J$4:$J$40)*Detached!V$12)+(LOOKUP(Detached!V$2,'Window-U'!$A$4:$A$40,'Window-U'!$J$4:$J$40)*Detached!V$21))*V103</f>
        <v>109.99005083707226</v>
      </c>
      <c r="W109" s="174">
        <f>((LOOKUP(Detached!W$2,'Ceiling-U'!$A$4:$A$40,'Ceiling-U'!$V$4:$V$40)*Detached!W$14)+(LOOKUP(Detached!W$2,'Floor-U'!$A$4:$A$40,'Floor-U'!$J$4:$J$40)*Detached!W$15)+(LOOKUP(Detached!W$2,'Wall-U'!$A$4:$A$40,'Wall-U'!$J$4:$J$40)*Detached!W$12)+(LOOKUP(Detached!W$2,'Window-U'!$A$4:$A$40,'Window-U'!$J$4:$J$40)*Detached!W$21))*W103</f>
        <v>122.45520383124173</v>
      </c>
      <c r="X109" s="174">
        <f>((LOOKUP(Detached!X$2,'Ceiling-U'!$A$4:$A$40,'Ceiling-U'!$V$4:$V$40)*Detached!X$14)+(LOOKUP(Detached!X$2,'Floor-U'!$A$4:$A$40,'Floor-U'!$J$4:$J$40)*Detached!X$15)+(LOOKUP(Detached!X$2,'Wall-U'!$A$4:$A$40,'Wall-U'!$J$4:$J$40)*Detached!X$12)+(LOOKUP(Detached!X$2,'Window-U'!$A$4:$A$40,'Window-U'!$J$4:$J$40)*Detached!X$21))*X103</f>
        <v>103.38326576640449</v>
      </c>
      <c r="Y109" s="174">
        <f>((LOOKUP(Detached!Y$2,'Ceiling-U'!$A$4:$A$40,'Ceiling-U'!$V$4:$V$40)*Detached!Y$14)+(LOOKUP(Detached!Y$2,'Floor-U'!$A$4:$A$40,'Floor-U'!$J$4:$J$40)*Detached!Y$15)+(LOOKUP(Detached!Y$2,'Wall-U'!$A$4:$A$40,'Wall-U'!$J$4:$J$40)*Detached!Y$12)+(LOOKUP(Detached!Y$2,'Window-U'!$A$4:$A$40,'Window-U'!$J$4:$J$40)*Detached!Y$21))*Y103</f>
        <v>572.12689571985516</v>
      </c>
      <c r="Z109" s="174">
        <f>((LOOKUP(Detached!Z$2,'Ceiling-U'!$A$4:$A$40,'Ceiling-U'!$V$4:$V$40)*Detached!Z$14)+(LOOKUP(Detached!Z$2,'Floor-U'!$A$4:$A$40,'Floor-U'!$J$4:$J$40)*Detached!Z$15)+(LOOKUP(Detached!Z$2,'Wall-U'!$A$4:$A$40,'Wall-U'!$J$4:$J$40)*Detached!Z$12)+(LOOKUP(Detached!Z$2,'Window-U'!$A$4:$A$40,'Window-U'!$J$4:$J$40)*Detached!Z$21))*Z103</f>
        <v>175.37955157138327</v>
      </c>
      <c r="AA109" s="174">
        <f>((LOOKUP(Detached!AA$2,'Ceiling-U'!$A$4:$A$40,'Ceiling-U'!$V$4:$V$40)*Detached!AA$14)+(LOOKUP(Detached!AA$2,'Floor-U'!$A$4:$A$40,'Floor-U'!$J$4:$J$40)*Detached!AA$15)+(LOOKUP(Detached!AA$2,'Wall-U'!$A$4:$A$40,'Wall-U'!$J$4:$J$40)*Detached!AA$12)+(LOOKUP(Detached!AA$2,'Window-U'!$A$4:$A$40,'Window-U'!$J$4:$J$40)*Detached!AA$21))*AA103</f>
        <v>108.53147575293704</v>
      </c>
      <c r="AB109" s="174">
        <f>((LOOKUP(Detached!AB$2,'Ceiling-U'!$A$4:$A$40,'Ceiling-U'!$V$4:$V$40)*Detached!AB$14)+(LOOKUP(Detached!AB$2,'Floor-U'!$A$4:$A$40,'Floor-U'!$J$4:$J$40)*Detached!AB$15)+(LOOKUP(Detached!AB$2,'Wall-U'!$A$4:$A$40,'Wall-U'!$J$4:$J$40)*Detached!AB$12)+(LOOKUP(Detached!AB$2,'Window-U'!$A$4:$A$40,'Window-U'!$J$4:$J$40)*Detached!AB$21))*AB103</f>
        <v>188.44624915737052</v>
      </c>
      <c r="AC109" s="174">
        <f>((LOOKUP(Detached!AC$2,'Ceiling-U'!$A$4:$A$40,'Ceiling-U'!$V$4:$V$40)*Detached!AC$14)+(LOOKUP(Detached!AC$2,'Floor-U'!$A$4:$A$40,'Floor-U'!$J$4:$J$40)*Detached!AC$15)+(LOOKUP(Detached!AC$2,'Wall-U'!$A$4:$A$40,'Wall-U'!$J$4:$J$40)*Detached!AC$12)+(LOOKUP(Detached!AC$2,'Window-U'!$A$4:$A$40,'Window-U'!$J$4:$J$40)*Detached!AC$21))*AC103</f>
        <v>348.15018729932717</v>
      </c>
      <c r="AD109" s="174">
        <f>((LOOKUP(Detached!AD$2,'Ceiling-U'!$A$4:$A$40,'Ceiling-U'!$V$4:$V$40)*Detached!AD$14)+(LOOKUP(Detached!AD$2,'Floor-U'!$A$4:$A$40,'Floor-U'!$J$4:$J$40)*Detached!AD$15)+(LOOKUP(Detached!AD$2,'Wall-U'!$A$4:$A$40,'Wall-U'!$J$4:$J$40)*Detached!AD$12)+(LOOKUP(Detached!AD$2,'Window-U'!$A$4:$A$40,'Window-U'!$J$4:$J$40)*Detached!AD$21))*AD103</f>
        <v>231.36808109636274</v>
      </c>
      <c r="AE109" s="174">
        <f>((LOOKUP(Detached!AE$2,'Ceiling-U'!$A$4:$A$40,'Ceiling-U'!$V$4:$V$40)*Detached!AE$14)+(LOOKUP(Detached!AE$2,'Floor-U'!$A$4:$A$40,'Floor-U'!$J$4:$J$40)*Detached!AE$15)+(LOOKUP(Detached!AE$2,'Wall-U'!$A$4:$A$40,'Wall-U'!$J$4:$J$40)*Detached!AE$12)+(LOOKUP(Detached!AE$2,'Window-U'!$A$4:$A$40,'Window-U'!$J$4:$J$40)*Detached!AE$21))*AE103</f>
        <v>108.53147575293704</v>
      </c>
      <c r="AF109" s="174">
        <f>((LOOKUP(Detached!AF$2,'Ceiling-U'!$A$4:$A$40,'Ceiling-U'!$V$4:$V$40)*Detached!AF$14)+(LOOKUP(Detached!AF$2,'Floor-U'!$A$4:$A$40,'Floor-U'!$J$4:$J$40)*Detached!AF$15)+(LOOKUP(Detached!AF$2,'Wall-U'!$A$4:$A$40,'Wall-U'!$J$4:$J$40)*Detached!AF$12)+(LOOKUP(Detached!AF$2,'Window-U'!$A$4:$A$40,'Window-U'!$J$4:$J$40)*Detached!AF$21))*AF103</f>
        <v>103.40909273418825</v>
      </c>
      <c r="AG109" s="174">
        <f>((LOOKUP(Detached!AG$2,'Ceiling-U'!$A$4:$A$40,'Ceiling-U'!$V$4:$V$40)*Detached!AG$14)+(LOOKUP(Detached!AG$2,'Floor-U'!$A$4:$A$40,'Floor-U'!$J$4:$J$40)*Detached!AG$15)+(LOOKUP(Detached!AG$2,'Wall-U'!$A$4:$A$40,'Wall-U'!$J$4:$J$40)*Detached!AG$12)+(LOOKUP(Detached!AG$2,'Window-U'!$A$4:$A$40,'Window-U'!$J$4:$J$40)*Detached!AG$21))*AG103</f>
        <v>196.70441344007344</v>
      </c>
      <c r="AH109" s="174">
        <f>((LOOKUP(Detached!AH$2,'Ceiling-U'!$A$4:$A$40,'Ceiling-U'!$V$4:$V$40)*Detached!AH$14)+(LOOKUP(Detached!AH$2,'Floor-U'!$A$4:$A$40,'Floor-U'!$J$4:$J$40)*Detached!AH$15)+(LOOKUP(Detached!AH$2,'Wall-U'!$A$4:$A$40,'Wall-U'!$J$4:$J$40)*Detached!AH$12)+(LOOKUP(Detached!AH$2,'Window-U'!$A$4:$A$40,'Window-U'!$J$4:$J$40)*Detached!AH$21))*AH103</f>
        <v>134.04708467952437</v>
      </c>
      <c r="AI109" s="174">
        <f>((LOOKUP(Detached!AI$2,'Ceiling-U'!$A$4:$A$40,'Ceiling-U'!$V$4:$V$40)*Detached!AI$14)+(LOOKUP(Detached!AI$2,'Floor-U'!$A$4:$A$40,'Floor-U'!$J$4:$J$40)*Detached!AI$15)+(LOOKUP(Detached!AI$2,'Wall-U'!$A$4:$A$40,'Wall-U'!$J$4:$J$40)*Detached!AI$12)+(LOOKUP(Detached!AI$2,'Window-U'!$A$4:$A$40,'Window-U'!$J$4:$J$40)*Detached!AI$21))*AI103</f>
        <v>240.18769771987766</v>
      </c>
      <c r="AJ109" s="174">
        <f>((LOOKUP(Detached!AJ$2,'Ceiling-U'!$A$4:$A$40,'Ceiling-U'!$V$4:$V$40)*Detached!AJ$14)+(LOOKUP(Detached!AJ$2,'Floor-U'!$A$4:$A$40,'Floor-U'!$J$4:$J$40)*Detached!AJ$15)+(LOOKUP(Detached!AJ$2,'Wall-U'!$A$4:$A$40,'Wall-U'!$J$4:$J$40)*Detached!AJ$12)+(LOOKUP(Detached!AJ$2,'Window-U'!$A$4:$A$40,'Window-U'!$J$4:$J$40)*Detached!AJ$21))*AJ103</f>
        <v>242.7684000015995</v>
      </c>
      <c r="AK109" s="174">
        <f>((LOOKUP(Detached!AK$2,'Ceiling-U'!$A$4:$A$40,'Ceiling-U'!$V$4:$V$40)*Detached!AK$14)+(LOOKUP(Detached!AK$2,'Floor-U'!$A$4:$A$40,'Floor-U'!$J$4:$J$40)*Detached!AK$15)+(LOOKUP(Detached!AK$2,'Wall-U'!$A$4:$A$40,'Wall-U'!$J$4:$J$40)*Detached!AK$12)+(LOOKUP(Detached!AK$2,'Window-U'!$A$4:$A$40,'Window-U'!$J$4:$J$40)*Detached!AK$21))*AK103</f>
        <v>281.10766709088239</v>
      </c>
      <c r="AL109" s="174">
        <f>((LOOKUP(Detached!AL$2,'Ceiling-U'!$A$4:$A$40,'Ceiling-U'!$V$4:$V$40)*Detached!AL$14)+(LOOKUP(Detached!AL$2,'Floor-U'!$A$4:$A$40,'Floor-U'!$J$4:$J$40)*Detached!AL$15)+(LOOKUP(Detached!AL$2,'Wall-U'!$A$4:$A$40,'Wall-U'!$J$4:$J$40)*Detached!AL$12)+(LOOKUP(Detached!AL$2,'Window-U'!$A$4:$A$40,'Window-U'!$J$4:$J$40)*Detached!AL$21))*AL103</f>
        <v>151.16481089684908</v>
      </c>
      <c r="AM109" s="174">
        <f>((LOOKUP(Detached!AM$2,'Ceiling-U'!$A$4:$A$40,'Ceiling-U'!$V$4:$V$40)*Detached!AM$14)+(LOOKUP(Detached!AM$2,'Floor-U'!$A$4:$A$40,'Floor-U'!$J$4:$J$40)*Detached!AM$15)+(LOOKUP(Detached!AM$2,'Wall-U'!$A$4:$A$40,'Wall-U'!$J$4:$J$40)*Detached!AM$12)+(LOOKUP(Detached!AM$2,'Window-U'!$A$4:$A$40,'Window-U'!$J$4:$J$40)*Detached!AM$21))*AM103</f>
        <v>242.7684000015995</v>
      </c>
      <c r="AN109" s="175">
        <f>((LOOKUP(Detached!AN$2,'Ceiling-U'!$A$4:$A$40,'Ceiling-U'!$V$4:$V$40)*Detached!AN$14)+(LOOKUP(Detached!AN$2,'Floor-U'!$A$4:$A$40,'Floor-U'!$J$4:$J$40)*Detached!AN$15)+(LOOKUP(Detached!AN$2,'Wall-U'!$A$4:$A$40,'Wall-U'!$J$4:$J$40)*Detached!AN$12)+(LOOKUP(Detached!AN$2,'Window-U'!$A$4:$A$40,'Window-U'!$J$4:$J$40)*Detached!AN$21))*AN103</f>
        <v>242.7684000015995</v>
      </c>
    </row>
    <row r="110" spans="1:40">
      <c r="A110" s="332" t="s">
        <v>280</v>
      </c>
      <c r="B110" s="142" t="s">
        <v>2</v>
      </c>
      <c r="C110" s="360" t="s">
        <v>261</v>
      </c>
      <c r="D110" s="351">
        <f>D104*24*LOOKUP(Detached!D$2,'HDD-by Country'!$A$4:$A$40,'HDD-by Country'!$C$4:$C$40)/1000</f>
        <v>40369.134612102418</v>
      </c>
      <c r="E110" s="352">
        <f>E104*24*LOOKUP(Detached!E$2,'HDD-by Country'!$A$4:$A$40,'HDD-by Country'!$C$4:$C$40)/1000</f>
        <v>36944.101055767438</v>
      </c>
      <c r="F110" s="352">
        <f>F104*24*LOOKUP(Detached!F$2,'HDD-by Country'!$A$4:$A$40,'HDD-by Country'!$C$4:$C$40)/1000</f>
        <v>21338.638192620332</v>
      </c>
      <c r="G110" s="352">
        <f>G104*24*LOOKUP(Detached!G$2,'HDD-by Country'!$A$4:$A$40,'HDD-by Country'!$C$4:$C$40)/1000</f>
        <v>39329.973900207224</v>
      </c>
      <c r="H110" s="352">
        <f>H104*24*LOOKUP(Detached!H$2,'HDD-by Country'!$A$4:$A$40,'HDD-by Country'!$C$4:$C$40)/1000</f>
        <v>11388.423840279536</v>
      </c>
      <c r="I110" s="352">
        <f>I104*24*LOOKUP(Detached!I$2,'HDD-by Country'!$A$4:$A$40,'HDD-by Country'!$C$4:$C$40)/1000</f>
        <v>28719.679526922348</v>
      </c>
      <c r="J110" s="352">
        <f>J104*24*LOOKUP(Detached!J$2,'HDD-by Country'!$A$4:$A$40,'HDD-by Country'!$C$4:$C$40)/1000</f>
        <v>38684.236260842423</v>
      </c>
      <c r="K110" s="352">
        <f>K104*24*LOOKUP(Detached!K$2,'HDD-by Country'!$A$4:$A$40,'HDD-by Country'!$C$4:$C$40)/1000</f>
        <v>26894.410674115345</v>
      </c>
      <c r="L110" s="352">
        <f>L104*24*LOOKUP(Detached!L$2,'HDD-by Country'!$A$4:$A$40,'HDD-by Country'!$C$4:$C$40)/1000</f>
        <v>16847.406544209458</v>
      </c>
      <c r="M110" s="352">
        <f>M104*24*LOOKUP(Detached!M$2,'HDD-by Country'!$A$4:$A$40,'HDD-by Country'!$C$4:$C$40)/1000</f>
        <v>35419.526097196685</v>
      </c>
      <c r="N110" s="352">
        <f>N104*24*LOOKUP(Detached!N$2,'HDD-by Country'!$A$4:$A$40,'HDD-by Country'!$C$4:$C$40)/1000</f>
        <v>30077.776214543523</v>
      </c>
      <c r="O110" s="352">
        <f>O104*24*LOOKUP(Detached!O$2,'HDD-by Country'!$A$4:$A$40,'HDD-by Country'!$C$4:$C$40)/1000</f>
        <v>43139.98756651648</v>
      </c>
      <c r="P110" s="352">
        <f>P104*24*LOOKUP(Detached!P$2,'HDD-by Country'!$A$4:$A$40,'HDD-by Country'!$C$4:$C$40)/1000</f>
        <v>25322.012426033296</v>
      </c>
      <c r="Q110" s="352">
        <f>Q104*24*LOOKUP(Detached!Q$2,'HDD-by Country'!$A$4:$A$40,'HDD-by Country'!$C$4:$C$40)/1000</f>
        <v>21817.606999848329</v>
      </c>
      <c r="R110" s="352">
        <f>R104*24*LOOKUP(Detached!R$2,'HDD-by Country'!$A$4:$A$40,'HDD-by Country'!$C$4:$C$40)/1000</f>
        <v>28013.546896498221</v>
      </c>
      <c r="S110" s="352">
        <f>S104*24*LOOKUP(Detached!S$2,'HDD-by Country'!$A$4:$A$40,'HDD-by Country'!$C$4:$C$40)/1000</f>
        <v>35258.941857656944</v>
      </c>
      <c r="T110" s="352">
        <f>T104*24*LOOKUP(Detached!T$2,'HDD-by Country'!$A$4:$A$40,'HDD-by Country'!$C$4:$C$40)/1000</f>
        <v>25584.105033088643</v>
      </c>
      <c r="U110" s="352">
        <f>U104*24*LOOKUP(Detached!U$2,'HDD-by Country'!$A$4:$A$40,'HDD-by Country'!$C$4:$C$40)/1000</f>
        <v>29748.834069816374</v>
      </c>
      <c r="V110" s="352">
        <f>V104*24*LOOKUP(Detached!V$2,'HDD-by Country'!$A$4:$A$40,'HDD-by Country'!$C$4:$C$40)/1000</f>
        <v>29483.992163031213</v>
      </c>
      <c r="W110" s="352">
        <f>W104*24*LOOKUP(Detached!W$2,'HDD-by Country'!$A$4:$A$40,'HDD-by Country'!$C$4:$C$40)/1000</f>
        <v>30915.614923714791</v>
      </c>
      <c r="X110" s="352">
        <f>X104*24*LOOKUP(Detached!X$2,'HDD-by Country'!$A$4:$A$40,'HDD-by Country'!$C$4:$C$40)/1000</f>
        <v>31987.82761525398</v>
      </c>
      <c r="Y110" s="352">
        <f>Y104*24*LOOKUP(Detached!Y$2,'HDD-by Country'!$A$4:$A$40,'HDD-by Country'!$C$4:$C$40)/1000</f>
        <v>11215.552379170298</v>
      </c>
      <c r="Z110" s="352">
        <f>Z104*24*LOOKUP(Detached!Z$2,'HDD-by Country'!$A$4:$A$40,'HDD-by Country'!$C$4:$C$40)/1000</f>
        <v>37349.388155042332</v>
      </c>
      <c r="AA110" s="352">
        <f>AA104*24*LOOKUP(Detached!AA$2,'HDD-by Country'!$A$4:$A$40,'HDD-by Country'!$C$4:$C$40)/1000</f>
        <v>26936.945838360411</v>
      </c>
      <c r="AB110" s="352">
        <f>AB104*24*LOOKUP(Detached!AB$2,'HDD-by Country'!$A$4:$A$40,'HDD-by Country'!$C$4:$C$40)/1000</f>
        <v>41154.320423377372</v>
      </c>
      <c r="AC110" s="352">
        <f>AC104*24*LOOKUP(Detached!AC$2,'HDD-by Country'!$A$4:$A$40,'HDD-by Country'!$C$4:$C$40)/1000</f>
        <v>19798.82416521286</v>
      </c>
      <c r="AD110" s="352">
        <f>AD104*24*LOOKUP(Detached!AD$2,'HDD-by Country'!$A$4:$A$40,'HDD-by Country'!$C$4:$C$40)/1000</f>
        <v>31850.299911645412</v>
      </c>
      <c r="AE110" s="352">
        <f>AE104*24*LOOKUP(Detached!AE$2,'HDD-by Country'!$A$4:$A$40,'HDD-by Country'!$C$4:$C$40)/1000</f>
        <v>25973.20813744847</v>
      </c>
      <c r="AF110" s="352">
        <f>AF104*24*LOOKUP(Detached!AF$2,'HDD-by Country'!$A$4:$A$40,'HDD-by Country'!$C$4:$C$40)/1000</f>
        <v>27647.906857271606</v>
      </c>
      <c r="AG110" s="352">
        <f>AG104*24*LOOKUP(Detached!AG$2,'HDD-by Country'!$A$4:$A$40,'HDD-by Country'!$C$4:$C$40)/1000</f>
        <v>40799.466781565752</v>
      </c>
      <c r="AH110" s="352">
        <f>AH104*24*LOOKUP(Detached!AH$2,'HDD-by Country'!$A$4:$A$40,'HDD-by Country'!$C$4:$C$40)/1000</f>
        <v>31904.300718741302</v>
      </c>
      <c r="AI110" s="352">
        <f>AI104*24*LOOKUP(Detached!AI$2,'HDD-by Country'!$A$4:$A$40,'HDD-by Country'!$C$4:$C$40)/1000</f>
        <v>25322.012426033296</v>
      </c>
      <c r="AJ110" s="352">
        <f>AJ104*24*LOOKUP(Detached!AJ$2,'HDD-by Country'!$A$4:$A$40,'HDD-by Country'!$C$4:$C$40)/1000</f>
        <v>23143.762369064469</v>
      </c>
      <c r="AK110" s="352">
        <f>AK104*24*LOOKUP(Detached!AK$2,'HDD-by Country'!$A$4:$A$40,'HDD-by Country'!$C$4:$C$40)/1000</f>
        <v>23876.7172120375</v>
      </c>
      <c r="AL110" s="352">
        <f>AL104*24*LOOKUP(Detached!AL$2,'HDD-by Country'!$A$4:$A$40,'HDD-by Country'!$C$4:$C$40)/1000</f>
        <v>22255.536636316261</v>
      </c>
      <c r="AM110" s="352">
        <f>AM104*24*LOOKUP(Detached!AM$2,'HDD-by Country'!$A$4:$A$40,'HDD-by Country'!$C$4:$C$40)/1000</f>
        <v>21282.439933496316</v>
      </c>
      <c r="AN110" s="353">
        <f>AN104*24*LOOKUP(Detached!AN$2,'HDD-by Country'!$A$4:$A$40,'HDD-by Country'!$C$4:$C$40)/1000</f>
        <v>21282.439933496316</v>
      </c>
    </row>
    <row r="111" spans="1:40">
      <c r="A111" s="129"/>
      <c r="B111" s="142" t="s">
        <v>3</v>
      </c>
      <c r="C111" s="129" t="s">
        <v>261</v>
      </c>
      <c r="D111" s="345">
        <f>D105*24*LOOKUP(Detached!D$2,'HDD-by Country'!$A$4:$A$40,'HDD-by Country'!$C$4:$C$40)/1000</f>
        <v>37745.186575529639</v>
      </c>
      <c r="E111" s="349">
        <f>E105*24*LOOKUP(Detached!E$2,'HDD-by Country'!$A$4:$A$40,'HDD-by Country'!$C$4:$C$40)/1000</f>
        <v>36944.101055767438</v>
      </c>
      <c r="F111" s="349">
        <f>F105*24*LOOKUP(Detached!F$2,'HDD-by Country'!$A$4:$A$40,'HDD-by Country'!$C$4:$C$40)/1000</f>
        <v>21338.638192620332</v>
      </c>
      <c r="G111" s="349">
        <f>G105*24*LOOKUP(Detached!G$2,'HDD-by Country'!$A$4:$A$40,'HDD-by Country'!$C$4:$C$40)/1000</f>
        <v>36773.570133182482</v>
      </c>
      <c r="H111" s="349">
        <f>H105*24*LOOKUP(Detached!H$2,'HDD-by Country'!$A$4:$A$40,'HDD-by Country'!$C$4:$C$40)/1000</f>
        <v>10379.053795680184</v>
      </c>
      <c r="I111" s="349">
        <f>I105*24*LOOKUP(Detached!I$2,'HDD-by Country'!$A$4:$A$40,'HDD-by Country'!$C$4:$C$40)/1000</f>
        <v>25105.567817846088</v>
      </c>
      <c r="J111" s="349">
        <f>J105*24*LOOKUP(Detached!J$2,'HDD-by Country'!$A$4:$A$40,'HDD-by Country'!$C$4:$C$40)/1000</f>
        <v>31485.961239942779</v>
      </c>
      <c r="K111" s="349">
        <f>K105*24*LOOKUP(Detached!K$2,'HDD-by Country'!$A$4:$A$40,'HDD-by Country'!$C$4:$C$40)/1000</f>
        <v>26253.139775519612</v>
      </c>
      <c r="L111" s="349">
        <f>L105*24*LOOKUP(Detached!L$2,'HDD-by Country'!$A$4:$A$40,'HDD-by Country'!$C$4:$C$40)/1000</f>
        <v>16847.406544209458</v>
      </c>
      <c r="M111" s="349">
        <f>M105*24*LOOKUP(Detached!M$2,'HDD-by Country'!$A$4:$A$40,'HDD-by Country'!$C$4:$C$40)/1000</f>
        <v>32439.31826660924</v>
      </c>
      <c r="N111" s="349">
        <f>N105*24*LOOKUP(Detached!N$2,'HDD-by Country'!$A$4:$A$40,'HDD-by Country'!$C$4:$C$40)/1000</f>
        <v>27363.500258573953</v>
      </c>
      <c r="O111" s="349">
        <f>O105*24*LOOKUP(Detached!O$2,'HDD-by Country'!$A$4:$A$40,'HDD-by Country'!$C$4:$C$40)/1000</f>
        <v>43139.98756651648</v>
      </c>
      <c r="P111" s="349">
        <f>P105*24*LOOKUP(Detached!P$2,'HDD-by Country'!$A$4:$A$40,'HDD-by Country'!$C$4:$C$40)/1000</f>
        <v>25322.012426033296</v>
      </c>
      <c r="Q111" s="349">
        <f>Q105*24*LOOKUP(Detached!Q$2,'HDD-by Country'!$A$4:$A$40,'HDD-by Country'!$C$4:$C$40)/1000</f>
        <v>23245.072233195846</v>
      </c>
      <c r="R111" s="349">
        <f>R105*24*LOOKUP(Detached!R$2,'HDD-by Country'!$A$4:$A$40,'HDD-by Country'!$C$4:$C$40)/1000</f>
        <v>28013.546896498221</v>
      </c>
      <c r="S111" s="349">
        <f>S105*24*LOOKUP(Detached!S$2,'HDD-by Country'!$A$4:$A$40,'HDD-by Country'!$C$4:$C$40)/1000</f>
        <v>35272.752426244369</v>
      </c>
      <c r="T111" s="349">
        <f>T105*24*LOOKUP(Detached!T$2,'HDD-by Country'!$A$4:$A$40,'HDD-by Country'!$C$4:$C$40)/1000</f>
        <v>23275.346544728887</v>
      </c>
      <c r="U111" s="349">
        <f>U105*24*LOOKUP(Detached!U$2,'HDD-by Country'!$A$4:$A$40,'HDD-by Country'!$C$4:$C$40)/1000</f>
        <v>28142.680824613344</v>
      </c>
      <c r="V111" s="349">
        <f>V105*24*LOOKUP(Detached!V$2,'HDD-by Country'!$A$4:$A$40,'HDD-by Country'!$C$4:$C$40)/1000</f>
        <v>29483.992163031213</v>
      </c>
      <c r="W111" s="349">
        <f>W105*24*LOOKUP(Detached!W$2,'HDD-by Country'!$A$4:$A$40,'HDD-by Country'!$C$4:$C$40)/1000</f>
        <v>33794.316951408146</v>
      </c>
      <c r="X111" s="349">
        <f>X105*24*LOOKUP(Detached!X$2,'HDD-by Country'!$A$4:$A$40,'HDD-by Country'!$C$4:$C$40)/1000</f>
        <v>31373.66761525398</v>
      </c>
      <c r="Y111" s="349">
        <f>Y105*24*LOOKUP(Detached!Y$2,'HDD-by Country'!$A$4:$A$40,'HDD-by Country'!$C$4:$C$40)/1000</f>
        <v>11215.045854679824</v>
      </c>
      <c r="Z111" s="349">
        <f>Z105*24*LOOKUP(Detached!Z$2,'HDD-by Country'!$A$4:$A$40,'HDD-by Country'!$C$4:$C$40)/1000</f>
        <v>33677.920457815831</v>
      </c>
      <c r="AA111" s="349">
        <f>AA105*24*LOOKUP(Detached!AA$2,'HDD-by Country'!$A$4:$A$40,'HDD-by Country'!$C$4:$C$40)/1000</f>
        <v>26780.239527480404</v>
      </c>
      <c r="AB111" s="349">
        <f>AB105*24*LOOKUP(Detached!AB$2,'HDD-by Country'!$A$4:$A$40,'HDD-by Country'!$C$4:$C$40)/1000</f>
        <v>31448.092879369422</v>
      </c>
      <c r="AC111" s="349">
        <f>AC105*24*LOOKUP(Detached!AC$2,'HDD-by Country'!$A$4:$A$40,'HDD-by Country'!$C$4:$C$40)/1000</f>
        <v>17670.324897163944</v>
      </c>
      <c r="AD111" s="349">
        <f>AD105*24*LOOKUP(Detached!AD$2,'HDD-by Country'!$A$4:$A$40,'HDD-by Country'!$C$4:$C$40)/1000</f>
        <v>28554.085024980817</v>
      </c>
      <c r="AE111" s="349">
        <f>AE105*24*LOOKUP(Detached!AE$2,'HDD-by Country'!$A$4:$A$40,'HDD-by Country'!$C$4:$C$40)/1000</f>
        <v>25822.10839312847</v>
      </c>
      <c r="AF111" s="349">
        <f>AF105*24*LOOKUP(Detached!AF$2,'HDD-by Country'!$A$4:$A$40,'HDD-by Country'!$C$4:$C$40)/1000</f>
        <v>27647.906857271606</v>
      </c>
      <c r="AG111" s="349">
        <f>AG105*24*LOOKUP(Detached!AG$2,'HDD-by Country'!$A$4:$A$40,'HDD-by Country'!$C$4:$C$40)/1000</f>
        <v>35259.154698255501</v>
      </c>
      <c r="AH111" s="349">
        <f>AH105*24*LOOKUP(Detached!AH$2,'HDD-by Country'!$A$4:$A$40,'HDD-by Country'!$C$4:$C$40)/1000</f>
        <v>33520.153798121944</v>
      </c>
      <c r="AI111" s="349">
        <f>AI105*24*LOOKUP(Detached!AI$2,'HDD-by Country'!$A$4:$A$40,'HDD-by Country'!$C$4:$C$40)/1000</f>
        <v>25322.012426033296</v>
      </c>
      <c r="AJ111" s="349">
        <f>AJ105*24*LOOKUP(Detached!AJ$2,'HDD-by Country'!$A$4:$A$40,'HDD-by Country'!$C$4:$C$40)/1000</f>
        <v>23143.762369064469</v>
      </c>
      <c r="AK111" s="349">
        <f>AK105*24*LOOKUP(Detached!AK$2,'HDD-by Country'!$A$4:$A$40,'HDD-by Country'!$C$4:$C$40)/1000</f>
        <v>23876.7172120375</v>
      </c>
      <c r="AL111" s="349">
        <f>AL105*24*LOOKUP(Detached!AL$2,'HDD-by Country'!$A$4:$A$40,'HDD-by Country'!$C$4:$C$40)/1000</f>
        <v>22255.536636316261</v>
      </c>
      <c r="AM111" s="349">
        <f>AM105*24*LOOKUP(Detached!AM$2,'HDD-by Country'!$A$4:$A$40,'HDD-by Country'!$C$4:$C$40)/1000</f>
        <v>21282.439933496316</v>
      </c>
      <c r="AN111" s="354">
        <f>AN105*24*LOOKUP(Detached!AN$2,'HDD-by Country'!$A$4:$A$40,'HDD-by Country'!$C$4:$C$40)/1000</f>
        <v>21282.439933496316</v>
      </c>
    </row>
    <row r="112" spans="1:40">
      <c r="A112" s="129"/>
      <c r="B112" s="142" t="s">
        <v>4</v>
      </c>
      <c r="C112" s="129" t="s">
        <v>261</v>
      </c>
      <c r="D112" s="345">
        <f>D106*24*LOOKUP(Detached!D$2,'HDD-by Country'!$A$4:$A$40,'HDD-by Country'!$C$4:$C$40)/1000</f>
        <v>30009.442620156555</v>
      </c>
      <c r="E112" s="349">
        <f>E106*24*LOOKUP(Detached!E$2,'HDD-by Country'!$A$4:$A$40,'HDD-by Country'!$C$4:$C$40)/1000</f>
        <v>36944.101055767438</v>
      </c>
      <c r="F112" s="349">
        <f>F106*24*LOOKUP(Detached!F$2,'HDD-by Country'!$A$4:$A$40,'HDD-by Country'!$C$4:$C$40)/1000</f>
        <v>20140.653937925734</v>
      </c>
      <c r="G112" s="349">
        <f>G106*24*LOOKUP(Detached!G$2,'HDD-by Country'!$A$4:$A$40,'HDD-by Country'!$C$4:$C$40)/1000</f>
        <v>29236.9555689382</v>
      </c>
      <c r="H112" s="349">
        <f>H106*24*LOOKUP(Detached!H$2,'HDD-by Country'!$A$4:$A$40,'HDD-by Country'!$C$4:$C$40)/1000</f>
        <v>11115.107751080832</v>
      </c>
      <c r="I112" s="349">
        <f>I106*24*LOOKUP(Detached!I$2,'HDD-by Country'!$A$4:$A$40,'HDD-by Country'!$C$4:$C$40)/1000</f>
        <v>25105.567817846088</v>
      </c>
      <c r="J112" s="349">
        <f>J106*24*LOOKUP(Detached!J$2,'HDD-by Country'!$A$4:$A$40,'HDD-by Country'!$C$4:$C$40)/1000</f>
        <v>22732.093615160957</v>
      </c>
      <c r="K112" s="349">
        <f>K106*24*LOOKUP(Detached!K$2,'HDD-by Country'!$A$4:$A$40,'HDD-by Country'!$C$4:$C$40)/1000</f>
        <v>17480.798419822349</v>
      </c>
      <c r="L112" s="349">
        <f>L106*24*LOOKUP(Detached!L$2,'HDD-by Country'!$A$4:$A$40,'HDD-by Country'!$C$4:$C$40)/1000</f>
        <v>13837.715701268207</v>
      </c>
      <c r="M112" s="349">
        <f>M106*24*LOOKUP(Detached!M$2,'HDD-by Country'!$A$4:$A$40,'HDD-by Country'!$C$4:$C$40)/1000</f>
        <v>32439.31826660924</v>
      </c>
      <c r="N112" s="349">
        <f>N106*24*LOOKUP(Detached!N$2,'HDD-by Country'!$A$4:$A$40,'HDD-by Country'!$C$4:$C$40)/1000</f>
        <v>22363.805342235351</v>
      </c>
      <c r="O112" s="349">
        <f>O106*24*LOOKUP(Detached!O$2,'HDD-by Country'!$A$4:$A$40,'HDD-by Country'!$C$4:$C$40)/1000</f>
        <v>21532.479949968772</v>
      </c>
      <c r="P112" s="349">
        <f>P106*24*LOOKUP(Detached!P$2,'HDD-by Country'!$A$4:$A$40,'HDD-by Country'!$C$4:$C$40)/1000</f>
        <v>25322.012426033296</v>
      </c>
      <c r="Q112" s="349">
        <f>Q106*24*LOOKUP(Detached!Q$2,'HDD-by Country'!$A$4:$A$40,'HDD-by Country'!$C$4:$C$40)/1000</f>
        <v>19205.590392001239</v>
      </c>
      <c r="R112" s="349">
        <f>R106*24*LOOKUP(Detached!R$2,'HDD-by Country'!$A$4:$A$40,'HDD-by Country'!$C$4:$C$40)/1000</f>
        <v>24693.176788999303</v>
      </c>
      <c r="S112" s="349">
        <f>S106*24*LOOKUP(Detached!S$2,'HDD-by Country'!$A$4:$A$40,'HDD-by Country'!$C$4:$C$40)/1000</f>
        <v>35040.424126302685</v>
      </c>
      <c r="T112" s="349">
        <f>T106*24*LOOKUP(Detached!T$2,'HDD-by Country'!$A$4:$A$40,'HDD-by Country'!$C$4:$C$40)/1000</f>
        <v>19022.614595378309</v>
      </c>
      <c r="U112" s="349">
        <f>U106*24*LOOKUP(Detached!U$2,'HDD-by Country'!$A$4:$A$40,'HDD-by Country'!$C$4:$C$40)/1000</f>
        <v>26145.255489331725</v>
      </c>
      <c r="V112" s="349">
        <f>V106*24*LOOKUP(Detached!V$2,'HDD-by Country'!$A$4:$A$40,'HDD-by Country'!$C$4:$C$40)/1000</f>
        <v>18664.082205647948</v>
      </c>
      <c r="W112" s="349">
        <f>W106*24*LOOKUP(Detached!W$2,'HDD-by Country'!$A$4:$A$40,'HDD-by Country'!$C$4:$C$40)/1000</f>
        <v>17723.886427832324</v>
      </c>
      <c r="X112" s="349">
        <f>X106*24*LOOKUP(Detached!X$2,'HDD-by Country'!$A$4:$A$40,'HDD-by Country'!$C$4:$C$40)/1000</f>
        <v>29685.718453728583</v>
      </c>
      <c r="Y112" s="349">
        <f>Y106*24*LOOKUP(Detached!Y$2,'HDD-by Country'!$A$4:$A$40,'HDD-by Country'!$C$4:$C$40)/1000</f>
        <v>8997.5509651701741</v>
      </c>
      <c r="Z112" s="349">
        <f>Z106*24*LOOKUP(Detached!Z$2,'HDD-by Country'!$A$4:$A$40,'HDD-by Country'!$C$4:$C$40)/1000</f>
        <v>32347.823600712058</v>
      </c>
      <c r="AA112" s="349">
        <f>AA106*24*LOOKUP(Detached!AA$2,'HDD-by Country'!$A$4:$A$40,'HDD-by Country'!$C$4:$C$40)/1000</f>
        <v>19685.562032316389</v>
      </c>
      <c r="AB112" s="349">
        <f>AB106*24*LOOKUP(Detached!AB$2,'HDD-by Country'!$A$4:$A$40,'HDD-by Country'!$C$4:$C$40)/1000</f>
        <v>22000.659563802681</v>
      </c>
      <c r="AC112" s="349">
        <f>AC106*24*LOOKUP(Detached!AC$2,'HDD-by Country'!$A$4:$A$40,'HDD-by Country'!$C$4:$C$40)/1000</f>
        <v>17662.994917837059</v>
      </c>
      <c r="AD112" s="349">
        <f>AD106*24*LOOKUP(Detached!AD$2,'HDD-by Country'!$A$4:$A$40,'HDD-by Country'!$C$4:$C$40)/1000</f>
        <v>28554.085024980817</v>
      </c>
      <c r="AE112" s="349">
        <f>AE106*24*LOOKUP(Detached!AE$2,'HDD-by Country'!$A$4:$A$40,'HDD-by Country'!$C$4:$C$40)/1000</f>
        <v>18981.261017345096</v>
      </c>
      <c r="AF112" s="349">
        <f>AF106*24*LOOKUP(Detached!AF$2,'HDD-by Country'!$A$4:$A$40,'HDD-by Country'!$C$4:$C$40)/1000</f>
        <v>25964.040251080962</v>
      </c>
      <c r="AG112" s="349">
        <f>AG106*24*LOOKUP(Detached!AG$2,'HDD-by Country'!$A$4:$A$40,'HDD-by Country'!$C$4:$C$40)/1000</f>
        <v>35259.154698255501</v>
      </c>
      <c r="AH112" s="349">
        <f>AH106*24*LOOKUP(Detached!AH$2,'HDD-by Country'!$A$4:$A$40,'HDD-by Country'!$C$4:$C$40)/1000</f>
        <v>28704.596447892476</v>
      </c>
      <c r="AI112" s="349">
        <f>AI106*24*LOOKUP(Detached!AI$2,'HDD-by Country'!$A$4:$A$40,'HDD-by Country'!$C$4:$C$40)/1000</f>
        <v>25322.012426033296</v>
      </c>
      <c r="AJ112" s="349">
        <f>AJ106*24*LOOKUP(Detached!AJ$2,'HDD-by Country'!$A$4:$A$40,'HDD-by Country'!$C$4:$C$40)/1000</f>
        <v>23143.762369064469</v>
      </c>
      <c r="AK112" s="349">
        <f>AK106*24*LOOKUP(Detached!AK$2,'HDD-by Country'!$A$4:$A$40,'HDD-by Country'!$C$4:$C$40)/1000</f>
        <v>23876.7172120375</v>
      </c>
      <c r="AL112" s="349">
        <f>AL106*24*LOOKUP(Detached!AL$2,'HDD-by Country'!$A$4:$A$40,'HDD-by Country'!$C$4:$C$40)/1000</f>
        <v>20990.050750105092</v>
      </c>
      <c r="AM112" s="349">
        <f>AM106*24*LOOKUP(Detached!AM$2,'HDD-by Country'!$A$4:$A$40,'HDD-by Country'!$C$4:$C$40)/1000</f>
        <v>21282.439933496316</v>
      </c>
      <c r="AN112" s="354">
        <f>AN106*24*LOOKUP(Detached!AN$2,'HDD-by Country'!$A$4:$A$40,'HDD-by Country'!$C$4:$C$40)/1000</f>
        <v>21282.439933496316</v>
      </c>
    </row>
    <row r="113" spans="1:40">
      <c r="A113" s="129"/>
      <c r="B113" s="142" t="s">
        <v>5</v>
      </c>
      <c r="C113" s="129" t="s">
        <v>261</v>
      </c>
      <c r="D113" s="345">
        <f>D107*24*LOOKUP(Detached!D$2,'HDD-by Country'!$A$4:$A$40,'HDD-by Country'!$C$4:$C$40)/1000</f>
        <v>19743.134372738892</v>
      </c>
      <c r="E113" s="349">
        <f>E107*24*LOOKUP(Detached!E$2,'HDD-by Country'!$A$4:$A$40,'HDD-by Country'!$C$4:$C$40)/1000</f>
        <v>31980.50556733783</v>
      </c>
      <c r="F113" s="349">
        <f>F107*24*LOOKUP(Detached!F$2,'HDD-by Country'!$A$4:$A$40,'HDD-by Country'!$C$4:$C$40)/1000</f>
        <v>17024.079860399059</v>
      </c>
      <c r="G113" s="349">
        <f>G107*24*LOOKUP(Detached!G$2,'HDD-by Country'!$A$4:$A$40,'HDD-by Country'!$C$4:$C$40)/1000</f>
        <v>19234.917147699165</v>
      </c>
      <c r="H113" s="349">
        <f>H107*24*LOOKUP(Detached!H$2,'HDD-by Country'!$A$4:$A$40,'HDD-by Country'!$C$4:$C$40)/1000</f>
        <v>10664.307908603232</v>
      </c>
      <c r="I113" s="349">
        <f>I107*24*LOOKUP(Detached!I$2,'HDD-by Country'!$A$4:$A$40,'HDD-by Country'!$C$4:$C$40)/1000</f>
        <v>22514.699477353952</v>
      </c>
      <c r="J113" s="349">
        <f>J107*24*LOOKUP(Detached!J$2,'HDD-by Country'!$A$4:$A$40,'HDD-by Country'!$C$4:$C$40)/1000</f>
        <v>18492.475784539154</v>
      </c>
      <c r="K113" s="349">
        <f>K107*24*LOOKUP(Detached!K$2,'HDD-by Country'!$A$4:$A$40,'HDD-by Country'!$C$4:$C$40)/1000</f>
        <v>14466.70508526272</v>
      </c>
      <c r="L113" s="349">
        <f>L107*24*LOOKUP(Detached!L$2,'HDD-by Country'!$A$4:$A$40,'HDD-by Country'!$C$4:$C$40)/1000</f>
        <v>9944.383468130809</v>
      </c>
      <c r="M113" s="349">
        <f>M107*24*LOOKUP(Detached!M$2,'HDD-by Country'!$A$4:$A$40,'HDD-by Country'!$C$4:$C$40)/1000</f>
        <v>19887.368833231798</v>
      </c>
      <c r="N113" s="349">
        <f>N107*24*LOOKUP(Detached!N$2,'HDD-by Country'!$A$4:$A$40,'HDD-by Country'!$C$4:$C$40)/1000</f>
        <v>17884.251661283171</v>
      </c>
      <c r="O113" s="349">
        <f>O107*24*LOOKUP(Detached!O$2,'HDD-by Country'!$A$4:$A$40,'HDD-by Country'!$C$4:$C$40)/1000</f>
        <v>18227.313262442243</v>
      </c>
      <c r="P113" s="349">
        <f>P107*24*LOOKUP(Detached!P$2,'HDD-by Country'!$A$4:$A$40,'HDD-by Country'!$C$4:$C$40)/1000</f>
        <v>24363.342172784887</v>
      </c>
      <c r="Q113" s="349">
        <f>Q107*24*LOOKUP(Detached!Q$2,'HDD-by Country'!$A$4:$A$40,'HDD-by Country'!$C$4:$C$40)/1000</f>
        <v>19205.590392001239</v>
      </c>
      <c r="R113" s="349">
        <f>R107*24*LOOKUP(Detached!R$2,'HDD-by Country'!$A$4:$A$40,'HDD-by Country'!$C$4:$C$40)/1000</f>
        <v>18308.44946514292</v>
      </c>
      <c r="S113" s="349">
        <f>S107*24*LOOKUP(Detached!S$2,'HDD-by Country'!$A$4:$A$40,'HDD-by Country'!$C$4:$C$40)/1000</f>
        <v>23960.13106121642</v>
      </c>
      <c r="T113" s="349">
        <f>T107*24*LOOKUP(Detached!T$2,'HDD-by Country'!$A$4:$A$40,'HDD-by Country'!$C$4:$C$40)/1000</f>
        <v>15212.313891717104</v>
      </c>
      <c r="U113" s="349">
        <f>U107*24*LOOKUP(Detached!U$2,'HDD-by Country'!$A$4:$A$40,'HDD-by Country'!$C$4:$C$40)/1000</f>
        <v>19172.690827536873</v>
      </c>
      <c r="V113" s="349">
        <f>V107*24*LOOKUP(Detached!V$2,'HDD-by Country'!$A$4:$A$40,'HDD-by Country'!$C$4:$C$40)/1000</f>
        <v>18664.082205647948</v>
      </c>
      <c r="W113" s="349">
        <f>W107*24*LOOKUP(Detached!W$2,'HDD-by Country'!$A$4:$A$40,'HDD-by Country'!$C$4:$C$40)/1000</f>
        <v>14551.365857698322</v>
      </c>
      <c r="X113" s="349">
        <f>X107*24*LOOKUP(Detached!X$2,'HDD-by Country'!$A$4:$A$40,'HDD-by Country'!$C$4:$C$40)/1000</f>
        <v>16874.20980762699</v>
      </c>
      <c r="Y113" s="349">
        <f>Y107*24*LOOKUP(Detached!Y$2,'HDD-by Country'!$A$4:$A$40,'HDD-by Country'!$C$4:$C$40)/1000</f>
        <v>8125.6587733701726</v>
      </c>
      <c r="Z113" s="349">
        <f>Z107*24*LOOKUP(Detached!Z$2,'HDD-by Country'!$A$4:$A$40,'HDD-by Country'!$C$4:$C$40)/1000</f>
        <v>20426.806379055539</v>
      </c>
      <c r="AA113" s="349">
        <f>AA107*24*LOOKUP(Detached!AA$2,'HDD-by Country'!$A$4:$A$40,'HDD-by Country'!$C$4:$C$40)/1000</f>
        <v>19319.701232316391</v>
      </c>
      <c r="AB113" s="349">
        <f>AB107*24*LOOKUP(Detached!AB$2,'HDD-by Country'!$A$4:$A$40,'HDD-by Country'!$C$4:$C$40)/1000</f>
        <v>22000.659563802681</v>
      </c>
      <c r="AC113" s="349">
        <f>AC107*24*LOOKUP(Detached!AC$2,'HDD-by Country'!$A$4:$A$40,'HDD-by Country'!$C$4:$C$40)/1000</f>
        <v>17214.673118435727</v>
      </c>
      <c r="AD113" s="349">
        <f>AD107*24*LOOKUP(Detached!AD$2,'HDD-by Country'!$A$4:$A$40,'HDD-by Country'!$C$4:$C$40)/1000</f>
        <v>23635.29557509601</v>
      </c>
      <c r="AE113" s="349">
        <f>AE107*24*LOOKUP(Detached!AE$2,'HDD-by Country'!$A$4:$A$40,'HDD-by Country'!$C$4:$C$40)/1000</f>
        <v>18628.489817345097</v>
      </c>
      <c r="AF113" s="349">
        <f>AF107*24*LOOKUP(Detached!AF$2,'HDD-by Country'!$A$4:$A$40,'HDD-by Country'!$C$4:$C$40)/1000</f>
        <v>18664.633774119175</v>
      </c>
      <c r="AG113" s="349">
        <f>AG107*24*LOOKUP(Detached!AG$2,'HDD-by Country'!$A$4:$A$40,'HDD-by Country'!$C$4:$C$40)/1000</f>
        <v>30526.452774876838</v>
      </c>
      <c r="AH113" s="349">
        <f>AH107*24*LOOKUP(Detached!AH$2,'HDD-by Country'!$A$4:$A$40,'HDD-by Country'!$C$4:$C$40)/1000</f>
        <v>17095.56266812803</v>
      </c>
      <c r="AI113" s="349">
        <f>AI107*24*LOOKUP(Detached!AI$2,'HDD-by Country'!$A$4:$A$40,'HDD-by Country'!$C$4:$C$40)/1000</f>
        <v>24363.342172784887</v>
      </c>
      <c r="AJ113" s="349">
        <f>AJ107*24*LOOKUP(Detached!AJ$2,'HDD-by Country'!$A$4:$A$40,'HDD-by Country'!$C$4:$C$40)/1000</f>
        <v>20700.694041276725</v>
      </c>
      <c r="AK113" s="349">
        <f>AK107*24*LOOKUP(Detached!AK$2,'HDD-by Country'!$A$4:$A$40,'HDD-by Country'!$C$4:$C$40)/1000</f>
        <v>21268.960546225127</v>
      </c>
      <c r="AL113" s="349">
        <f>AL107*24*LOOKUP(Detached!AL$2,'HDD-by Country'!$A$4:$A$40,'HDD-by Country'!$C$4:$C$40)/1000</f>
        <v>17692.407896340552</v>
      </c>
      <c r="AM113" s="349">
        <f>AM107*24*LOOKUP(Detached!AM$2,'HDD-by Country'!$A$4:$A$40,'HDD-by Country'!$C$4:$C$40)/1000</f>
        <v>19035.853829195948</v>
      </c>
      <c r="AN113" s="354">
        <f>AN107*24*LOOKUP(Detached!AN$2,'HDD-by Country'!$A$4:$A$40,'HDD-by Country'!$C$4:$C$40)/1000</f>
        <v>19035.853829195948</v>
      </c>
    </row>
    <row r="114" spans="1:40">
      <c r="A114" s="129"/>
      <c r="B114" s="142" t="s">
        <v>6</v>
      </c>
      <c r="C114" s="129" t="s">
        <v>261</v>
      </c>
      <c r="D114" s="345">
        <f>D108*24*LOOKUP(Detached!D$2,'HDD-by Country'!$A$4:$A$40,'HDD-by Country'!$C$4:$C$40)/1000</f>
        <v>16267.56325950107</v>
      </c>
      <c r="E114" s="349">
        <f>E108*24*LOOKUP(Detached!E$2,'HDD-by Country'!$A$4:$A$40,'HDD-by Country'!$C$4:$C$40)/1000</f>
        <v>31980.50556733783</v>
      </c>
      <c r="F114" s="349">
        <f>F108*24*LOOKUP(Detached!F$2,'HDD-by Country'!$A$4:$A$40,'HDD-by Country'!$C$4:$C$40)/1000</f>
        <v>14283.405799461474</v>
      </c>
      <c r="G114" s="349">
        <f>G108*24*LOOKUP(Detached!G$2,'HDD-by Country'!$A$4:$A$40,'HDD-by Country'!$C$4:$C$40)/1000</f>
        <v>15848.812330605127</v>
      </c>
      <c r="H114" s="349">
        <f>H108*24*LOOKUP(Detached!H$2,'HDD-by Country'!$A$4:$A$40,'HDD-by Country'!$C$4:$C$40)/1000</f>
        <v>8299.5399086032303</v>
      </c>
      <c r="I114" s="349">
        <f>I108*24*LOOKUP(Detached!I$2,'HDD-by Country'!$A$4:$A$40,'HDD-by Country'!$C$4:$C$40)/1000</f>
        <v>16743.822094914089</v>
      </c>
      <c r="J114" s="349">
        <f>J108*24*LOOKUP(Detached!J$2,'HDD-by Country'!$A$4:$A$40,'HDD-by Country'!$C$4:$C$40)/1000</f>
        <v>9974.0825461298809</v>
      </c>
      <c r="K114" s="349">
        <f>K108*24*LOOKUP(Detached!K$2,'HDD-by Country'!$A$4:$A$40,'HDD-by Country'!$C$4:$C$40)/1000</f>
        <v>14466.70508526272</v>
      </c>
      <c r="L114" s="349">
        <f>L108*24*LOOKUP(Detached!L$2,'HDD-by Country'!$A$4:$A$40,'HDD-by Country'!$C$4:$C$40)/1000</f>
        <v>8618.1059185839786</v>
      </c>
      <c r="M114" s="349">
        <f>M108*24*LOOKUP(Detached!M$2,'HDD-by Country'!$A$4:$A$40,'HDD-by Country'!$C$4:$C$40)/1000</f>
        <v>19887.368833231798</v>
      </c>
      <c r="N114" s="349">
        <f>N108*24*LOOKUP(Detached!N$2,'HDD-by Country'!$A$4:$A$40,'HDD-by Country'!$C$4:$C$40)/1000</f>
        <v>17666.305014367623</v>
      </c>
      <c r="O114" s="349">
        <f>O108*24*LOOKUP(Detached!O$2,'HDD-by Country'!$A$4:$A$40,'HDD-by Country'!$C$4:$C$40)/1000</f>
        <v>9843.6271190849639</v>
      </c>
      <c r="P114" s="349">
        <f>P108*24*LOOKUP(Detached!P$2,'HDD-by Country'!$A$4:$A$40,'HDD-by Country'!$C$4:$C$40)/1000</f>
        <v>24363.342172784887</v>
      </c>
      <c r="Q114" s="349">
        <f>Q108*24*LOOKUP(Detached!Q$2,'HDD-by Country'!$A$4:$A$40,'HDD-by Country'!$C$4:$C$40)/1000</f>
        <v>13604.70135608509</v>
      </c>
      <c r="R114" s="349">
        <f>R108*24*LOOKUP(Detached!R$2,'HDD-by Country'!$A$4:$A$40,'HDD-by Country'!$C$4:$C$40)/1000</f>
        <v>18308.44946514292</v>
      </c>
      <c r="S114" s="349">
        <f>S108*24*LOOKUP(Detached!S$2,'HDD-by Country'!$A$4:$A$40,'HDD-by Country'!$C$4:$C$40)/1000</f>
        <v>19974.299559774754</v>
      </c>
      <c r="T114" s="349">
        <f>T108*24*LOOKUP(Detached!T$2,'HDD-by Country'!$A$4:$A$40,'HDD-by Country'!$C$4:$C$40)/1000</f>
        <v>15026.928846409108</v>
      </c>
      <c r="U114" s="349">
        <f>U108*24*LOOKUP(Detached!U$2,'HDD-by Country'!$A$4:$A$40,'HDD-by Country'!$C$4:$C$40)/1000</f>
        <v>17937.640761406343</v>
      </c>
      <c r="V114" s="349">
        <f>V108*24*LOOKUP(Detached!V$2,'HDD-by Country'!$A$4:$A$40,'HDD-by Country'!$C$4:$C$40)/1000</f>
        <v>18664.082205647948</v>
      </c>
      <c r="W114" s="349">
        <f>W108*24*LOOKUP(Detached!W$2,'HDD-by Country'!$A$4:$A$40,'HDD-by Country'!$C$4:$C$40)/1000</f>
        <v>12167.514129021974</v>
      </c>
      <c r="X114" s="349">
        <f>X108*24*LOOKUP(Detached!X$2,'HDD-by Country'!$A$4:$A$40,'HDD-by Country'!$C$4:$C$40)/1000</f>
        <v>16806.772631156404</v>
      </c>
      <c r="Y114" s="349">
        <f>Y108*24*LOOKUP(Detached!Y$2,'HDD-by Country'!$A$4:$A$40,'HDD-by Country'!$C$4:$C$40)/1000</f>
        <v>8120.6615028892702</v>
      </c>
      <c r="Z114" s="349">
        <f>Z108*24*LOOKUP(Detached!Z$2,'HDD-by Country'!$A$4:$A$40,'HDD-by Country'!$C$4:$C$40)/1000</f>
        <v>18065.669990153616</v>
      </c>
      <c r="AA114" s="349">
        <f>AA108*24*LOOKUP(Detached!AA$2,'HDD-by Country'!$A$4:$A$40,'HDD-by Country'!$C$4:$C$40)/1000</f>
        <v>17427.689199865981</v>
      </c>
      <c r="AB114" s="349">
        <f>AB108*24*LOOKUP(Detached!AB$2,'HDD-by Country'!$A$4:$A$40,'HDD-by Country'!$C$4:$C$40)/1000</f>
        <v>22000.659563802681</v>
      </c>
      <c r="AC114" s="349">
        <f>AC108*24*LOOKUP(Detached!AC$2,'HDD-by Country'!$A$4:$A$40,'HDD-by Country'!$C$4:$C$40)/1000</f>
        <v>15805.923352606109</v>
      </c>
      <c r="AD114" s="349">
        <f>AD108*24*LOOKUP(Detached!AD$2,'HDD-by Country'!$A$4:$A$40,'HDD-by Country'!$C$4:$C$40)/1000</f>
        <v>23635.29557509601</v>
      </c>
      <c r="AE114" s="349">
        <f>AE108*24*LOOKUP(Detached!AE$2,'HDD-by Country'!$A$4:$A$40,'HDD-by Country'!$C$4:$C$40)/1000</f>
        <v>16804.169324135742</v>
      </c>
      <c r="AF114" s="349">
        <f>AF108*24*LOOKUP(Detached!AF$2,'HDD-by Country'!$A$4:$A$40,'HDD-by Country'!$C$4:$C$40)/1000</f>
        <v>13618.44263460108</v>
      </c>
      <c r="AG114" s="349">
        <f>AG108*24*LOOKUP(Detached!AG$2,'HDD-by Country'!$A$4:$A$40,'HDD-by Country'!$C$4:$C$40)/1000</f>
        <v>29019.887409302341</v>
      </c>
      <c r="AH114" s="349">
        <f>AH108*24*LOOKUP(Detached!AH$2,'HDD-by Country'!$A$4:$A$40,'HDD-by Country'!$C$4:$C$40)/1000</f>
        <v>12150.598445815365</v>
      </c>
      <c r="AI114" s="349">
        <f>AI108*24*LOOKUP(Detached!AI$2,'HDD-by Country'!$A$4:$A$40,'HDD-by Country'!$C$4:$C$40)/1000</f>
        <v>24363.342172784887</v>
      </c>
      <c r="AJ114" s="349">
        <f>AJ108*24*LOOKUP(Detached!AJ$2,'HDD-by Country'!$A$4:$A$40,'HDD-by Country'!$C$4:$C$40)/1000</f>
        <v>19952.068567903087</v>
      </c>
      <c r="AK114" s="349">
        <f>AK108*24*LOOKUP(Detached!AK$2,'HDD-by Country'!$A$4:$A$40,'HDD-by Country'!$C$4:$C$40)/1000</f>
        <v>20434.228084849859</v>
      </c>
      <c r="AL114" s="349">
        <f>AL108*24*LOOKUP(Detached!AL$2,'HDD-by Country'!$A$4:$A$40,'HDD-by Country'!$C$4:$C$40)/1000</f>
        <v>14794.46888577217</v>
      </c>
      <c r="AM114" s="349">
        <f>AM108*24*LOOKUP(Detached!AM$2,'HDD-by Country'!$A$4:$A$40,'HDD-by Country'!$C$4:$C$40)/1000</f>
        <v>18347.436085542638</v>
      </c>
      <c r="AN114" s="354">
        <f>AN108*24*LOOKUP(Detached!AN$2,'HDD-by Country'!$A$4:$A$40,'HDD-by Country'!$C$4:$C$40)/1000</f>
        <v>18347.436085542638</v>
      </c>
    </row>
    <row r="115" spans="1:40">
      <c r="A115" s="130"/>
      <c r="B115" s="142" t="s">
        <v>7</v>
      </c>
      <c r="C115" s="129" t="s">
        <v>261</v>
      </c>
      <c r="D115" s="345">
        <f>D109*24*LOOKUP(Detached!D$2,'HDD-by Country'!$A$4:$A$40,'HDD-by Country'!$C$4:$C$40)/1000</f>
        <v>14374.624535177176</v>
      </c>
      <c r="E115" s="349">
        <f>E109*24*LOOKUP(Detached!E$2,'HDD-by Country'!$A$4:$A$40,'HDD-by Country'!$C$4:$C$40)/1000</f>
        <v>18581.997800911598</v>
      </c>
      <c r="F115" s="349">
        <f>F109*24*LOOKUP(Detached!F$2,'HDD-by Country'!$A$4:$A$40,'HDD-by Country'!$C$4:$C$40)/1000</f>
        <v>9437.1685669463295</v>
      </c>
      <c r="G115" s="349">
        <f>G109*24*LOOKUP(Detached!G$2,'HDD-by Country'!$A$4:$A$40,'HDD-by Country'!$C$4:$C$40)/1000</f>
        <v>14004.600624366796</v>
      </c>
      <c r="H115" s="349">
        <f>H109*24*LOOKUP(Detached!H$2,'HDD-by Country'!$A$4:$A$40,'HDD-by Country'!$C$4:$C$40)/1000</f>
        <v>6639.7289380053735</v>
      </c>
      <c r="I115" s="349">
        <f>I109*24*LOOKUP(Detached!I$2,'HDD-by Country'!$A$4:$A$40,'HDD-by Country'!$C$4:$C$40)/1000</f>
        <v>12769.753792914598</v>
      </c>
      <c r="J115" s="349">
        <f>J109*24*LOOKUP(Detached!J$2,'HDD-by Country'!$A$4:$A$40,'HDD-by Country'!$C$4:$C$40)/1000</f>
        <v>10903.817832978333</v>
      </c>
      <c r="K115" s="349">
        <f>K109*24*LOOKUP(Detached!K$2,'HDD-by Country'!$A$4:$A$40,'HDD-by Country'!$C$4:$C$40)/1000</f>
        <v>10080.345042413024</v>
      </c>
      <c r="L115" s="349">
        <f>L109*24*LOOKUP(Detached!L$2,'HDD-by Country'!$A$4:$A$40,'HDD-by Country'!$C$4:$C$40)/1000</f>
        <v>8618.1059185839786</v>
      </c>
      <c r="M115" s="349">
        <f>M109*24*LOOKUP(Detached!M$2,'HDD-by Country'!$A$4:$A$40,'HDD-by Country'!$C$4:$C$40)/1000</f>
        <v>13112.397664735377</v>
      </c>
      <c r="N115" s="349">
        <f>N109*24*LOOKUP(Detached!N$2,'HDD-by Country'!$A$4:$A$40,'HDD-by Country'!$C$4:$C$40)/1000</f>
        <v>15611.57411250909</v>
      </c>
      <c r="O115" s="349">
        <f>O109*24*LOOKUP(Detached!O$2,'HDD-by Country'!$A$4:$A$40,'HDD-by Country'!$C$4:$C$40)/1000</f>
        <v>9475.9924352325797</v>
      </c>
      <c r="P115" s="349">
        <f>P109*24*LOOKUP(Detached!P$2,'HDD-by Country'!$A$4:$A$40,'HDD-by Country'!$C$4:$C$40)/1000</f>
        <v>9586.3713913957563</v>
      </c>
      <c r="Q115" s="349">
        <f>Q109*24*LOOKUP(Detached!Q$2,'HDD-by Country'!$A$4:$A$40,'HDD-by Country'!$C$4:$C$40)/1000</f>
        <v>8358.6367133100321</v>
      </c>
      <c r="R115" s="349">
        <f>R109*24*LOOKUP(Detached!R$2,'HDD-by Country'!$A$4:$A$40,'HDD-by Country'!$C$4:$C$40)/1000</f>
        <v>10790.871756119215</v>
      </c>
      <c r="S115" s="349">
        <f>S109*24*LOOKUP(Detached!S$2,'HDD-by Country'!$A$4:$A$40,'HDD-by Country'!$C$4:$C$40)/1000</f>
        <v>11889.920297101196</v>
      </c>
      <c r="T115" s="349">
        <f>T109*24*LOOKUP(Detached!T$2,'HDD-by Country'!$A$4:$A$40,'HDD-by Country'!$C$4:$C$40)/1000</f>
        <v>13279.178253648757</v>
      </c>
      <c r="U115" s="349">
        <f>U109*24*LOOKUP(Detached!U$2,'HDD-by Country'!$A$4:$A$40,'HDD-by Country'!$C$4:$C$40)/1000</f>
        <v>16518.520761406344</v>
      </c>
      <c r="V115" s="349">
        <f>V109*24*LOOKUP(Detached!V$2,'HDD-by Country'!$A$4:$A$40,'HDD-by Country'!$C$4:$C$40)/1000</f>
        <v>10807.182435047371</v>
      </c>
      <c r="W115" s="349">
        <f>W109*24*LOOKUP(Detached!W$2,'HDD-by Country'!$A$4:$A$40,'HDD-by Country'!$C$4:$C$40)/1000</f>
        <v>9433.9489031588619</v>
      </c>
      <c r="X115" s="349">
        <f>X109*24*LOOKUP(Detached!X$2,'HDD-by Country'!$A$4:$A$40,'HDD-by Country'!$C$4:$C$40)/1000</f>
        <v>10582.311083849161</v>
      </c>
      <c r="Y115" s="349">
        <f>Y109*24*LOOKUP(Detached!Y$2,'HDD-by Country'!$A$4:$A$40,'HDD-by Country'!$C$4:$C$40)/1000</f>
        <v>7689.3854784748537</v>
      </c>
      <c r="Z115" s="349">
        <f>Z109*24*LOOKUP(Detached!Z$2,'HDD-by Country'!$A$4:$A$40,'HDD-by Country'!$C$4:$C$40)/1000</f>
        <v>12214.835007843703</v>
      </c>
      <c r="AA115" s="349">
        <f>AA109*24*LOOKUP(Detached!AA$2,'HDD-by Country'!$A$4:$A$40,'HDD-by Country'!$C$4:$C$40)/1000</f>
        <v>14706.449090425982</v>
      </c>
      <c r="AB115" s="349">
        <f>AB109*24*LOOKUP(Detached!AB$2,'HDD-by Country'!$A$4:$A$40,'HDD-by Country'!$C$4:$C$40)/1000</f>
        <v>16354.119286873243</v>
      </c>
      <c r="AC115" s="349">
        <f>AC109*24*LOOKUP(Detached!AC$2,'HDD-by Country'!$A$4:$A$40,'HDD-by Country'!$C$4:$C$40)/1000</f>
        <v>10711.884962825699</v>
      </c>
      <c r="AD115" s="349">
        <f>AD109*24*LOOKUP(Detached!AD$2,'HDD-by Country'!$A$4:$A$40,'HDD-by Country'!$C$4:$C$40)/1000</f>
        <v>17374.817418012455</v>
      </c>
      <c r="AE115" s="349">
        <f>AE109*24*LOOKUP(Detached!AE$2,'HDD-by Country'!$A$4:$A$40,'HDD-by Country'!$C$4:$C$40)/1000</f>
        <v>14180.288495975745</v>
      </c>
      <c r="AF115" s="349">
        <f>AF109*24*LOOKUP(Detached!AF$2,'HDD-by Country'!$A$4:$A$40,'HDD-by Country'!$C$4:$C$40)/1000</f>
        <v>7576.9910428194426</v>
      </c>
      <c r="AG115" s="349">
        <f>AG109*24*LOOKUP(Detached!AG$2,'HDD-by Country'!$A$4:$A$40,'HDD-by Country'!$C$4:$C$40)/1000</f>
        <v>16301.288150605764</v>
      </c>
      <c r="AH115" s="349">
        <f>AH109*24*LOOKUP(Detached!AH$2,'HDD-by Country'!$A$4:$A$40,'HDD-by Country'!$C$4:$C$40)/1000</f>
        <v>10021.360050641242</v>
      </c>
      <c r="AI115" s="349">
        <f>AI109*24*LOOKUP(Detached!AI$2,'HDD-by Country'!$A$4:$A$40,'HDD-by Country'!$C$4:$C$40)/1000</f>
        <v>9586.3713913957563</v>
      </c>
      <c r="AJ115" s="349">
        <f>AJ109*24*LOOKUP(Detached!AJ$2,'HDD-by Country'!$A$4:$A$40,'HDD-by Country'!$C$4:$C$40)/1000</f>
        <v>17024.862355312169</v>
      </c>
      <c r="AK115" s="349">
        <f>AK109*24*LOOKUP(Detached!AK$2,'HDD-by Country'!$A$4:$A$40,'HDD-by Country'!$C$4:$C$40)/1000</f>
        <v>17507.385506420153</v>
      </c>
      <c r="AL115" s="349">
        <f>AL109*24*LOOKUP(Detached!AL$2,'HDD-by Country'!$A$4:$A$40,'HDD-by Country'!$C$4:$C$40)/1000</f>
        <v>9748.3163251160022</v>
      </c>
      <c r="AM115" s="349">
        <f>AM109*24*LOOKUP(Detached!AM$2,'HDD-by Country'!$A$4:$A$40,'HDD-by Country'!$C$4:$C$40)/1000</f>
        <v>15655.64857930315</v>
      </c>
      <c r="AN115" s="354">
        <f>AN109*24*LOOKUP(Detached!AN$2,'HDD-by Country'!$A$4:$A$40,'HDD-by Country'!$C$4:$C$40)/1000</f>
        <v>15655.64857930315</v>
      </c>
    </row>
    <row r="116" spans="1:40">
      <c r="A116" s="151" t="s">
        <v>260</v>
      </c>
      <c r="B116" s="141" t="s">
        <v>2</v>
      </c>
      <c r="C116" s="360" t="s">
        <v>261</v>
      </c>
      <c r="D116" s="351">
        <f>D110/(1.355*(D104/Detached!D$17)^0.16)</f>
        <v>29573.157922438386</v>
      </c>
      <c r="E116" s="352">
        <f>E110/(1.355*(E104/Detached!E$17)^0.16)</f>
        <v>26292.951550488488</v>
      </c>
      <c r="F116" s="352">
        <f>F110/(1.355*(F104/Detached!F$17)^0.16)</f>
        <v>14944.599833533171</v>
      </c>
      <c r="G116" s="352">
        <f>G110/(1.355*(G104/Detached!G$17)^0.16)</f>
        <v>28811.901478995653</v>
      </c>
      <c r="H116" s="352">
        <f>H110/(1.355*(H104/Detached!H$17)^0.16)</f>
        <v>7672.0577210445181</v>
      </c>
      <c r="I116" s="352">
        <f>I110/(1.355*(I104/Detached!I$17)^0.16)</f>
        <v>21575.191936649913</v>
      </c>
      <c r="J116" s="352">
        <f>J110/(1.355*(J104/Detached!J$17)^0.16)</f>
        <v>27597.705683031996</v>
      </c>
      <c r="K116" s="352">
        <f>K110/(1.355*(K104/Detached!K$17)^0.16)</f>
        <v>21327.849156639211</v>
      </c>
      <c r="L116" s="352">
        <f>L110/(1.355*(L104/Detached!L$17)^0.16)</f>
        <v>13919.699066698529</v>
      </c>
      <c r="M116" s="352">
        <f>M110/(1.355*(M104/Detached!M$17)^0.16)</f>
        <v>23538.649310417317</v>
      </c>
      <c r="N116" s="352">
        <f>N110/(1.355*(N104/Detached!N$17)^0.16)</f>
        <v>24159.855381528101</v>
      </c>
      <c r="O116" s="352">
        <f>O110/(1.355*(O104/Detached!O$17)^0.16)</f>
        <v>29165.994667914543</v>
      </c>
      <c r="P116" s="352">
        <f>P110/(1.355*(P104/Detached!P$17)^0.16)</f>
        <v>16937.550435374218</v>
      </c>
      <c r="Q116" s="352">
        <f>Q110/(1.355*(Q104/Detached!Q$17)^0.16)</f>
        <v>15331.134716657441</v>
      </c>
      <c r="R116" s="352">
        <f>R110/(1.355*(R104/Detached!R$17)^0.16)</f>
        <v>20235.136327329707</v>
      </c>
      <c r="S116" s="352">
        <f>S110/(1.355*(S104/Detached!S$17)^0.16)</f>
        <v>25462.271340847601</v>
      </c>
      <c r="T116" s="352">
        <f>T110/(1.355*(T104/Detached!T$17)^0.16)</f>
        <v>20550.331688629714</v>
      </c>
      <c r="U116" s="352">
        <f>U110/(1.355*(U104/Detached!U$17)^0.16)</f>
        <v>20513.378056074427</v>
      </c>
      <c r="V116" s="352">
        <f>V110/(1.355*(V104/Detached!V$17)^0.16)</f>
        <v>22424.688612798411</v>
      </c>
      <c r="W116" s="352">
        <f>W110/(1.355*(W104/Detached!W$17)^0.16)</f>
        <v>22094.695947187993</v>
      </c>
      <c r="X116" s="352">
        <f>X110/(1.355*(X104/Detached!X$17)^0.16)</f>
        <v>24147.775893131991</v>
      </c>
      <c r="Y116" s="352">
        <f>Y110/(1.355*(Y104/Detached!Y$17)^0.16)</f>
        <v>7269.3909207924244</v>
      </c>
      <c r="Z116" s="352">
        <f>Z110/(1.355*(Z104/Detached!Z$17)^0.16)</f>
        <v>26605.845982577226</v>
      </c>
      <c r="AA116" s="352">
        <f>AA110/(1.355*(AA104/Detached!AA$17)^0.16)</f>
        <v>22795.509065075792</v>
      </c>
      <c r="AB116" s="352">
        <f>AB110/(1.355*(AB104/Detached!AB$17)^0.16)</f>
        <v>29075.635637829317</v>
      </c>
      <c r="AC116" s="352">
        <f>AC110/(1.355*(AC104/Detached!AC$17)^0.16)</f>
        <v>13725.376193730321</v>
      </c>
      <c r="AD116" s="352">
        <f>AD110/(1.355*(AD104/Detached!AD$17)^0.16)</f>
        <v>21898.278727849869</v>
      </c>
      <c r="AE116" s="352">
        <f>AE110/(1.355*(AE104/Detached!AE$17)^0.16)</f>
        <v>21979.941790696528</v>
      </c>
      <c r="AF116" s="352">
        <f>AF110/(1.355*(AF104/Detached!AF$17)^0.16)</f>
        <v>20234.597195491755</v>
      </c>
      <c r="AG116" s="352">
        <f>AG110/(1.355*(AG104/Detached!AG$17)^0.16)</f>
        <v>28646.837871760134</v>
      </c>
      <c r="AH116" s="352">
        <f>AH110/(1.355*(AH104/Detached!AH$17)^0.16)</f>
        <v>22328.325605899441</v>
      </c>
      <c r="AI116" s="352">
        <f>AI110/(1.355*(AI104/Detached!AI$17)^0.16)</f>
        <v>16937.550435374218</v>
      </c>
      <c r="AJ116" s="352">
        <f>AJ110/(1.355*(AJ104/Detached!AJ$17)^0.16)</f>
        <v>16419.03797038041</v>
      </c>
      <c r="AK116" s="352">
        <f>AK110/(1.355*(AK104/Detached!AK$17)^0.16)</f>
        <v>17311.312412040974</v>
      </c>
      <c r="AL116" s="352">
        <f>AL110/(1.355*(AL104/Detached!AL$17)^0.16)</f>
        <v>15676.357234826708</v>
      </c>
      <c r="AM116" s="352">
        <f>AM110/(1.355*(AM104/Detached!AM$17)^0.16)</f>
        <v>15098.547236965151</v>
      </c>
      <c r="AN116" s="353">
        <f>AN110/(1.355*(AN104/Detached!AN$17)^0.16)</f>
        <v>15098.547236965151</v>
      </c>
    </row>
    <row r="117" spans="1:40">
      <c r="A117" s="129"/>
      <c r="B117" s="142" t="s">
        <v>3</v>
      </c>
      <c r="C117" s="129" t="s">
        <v>261</v>
      </c>
      <c r="D117" s="345">
        <f>D111/(1.355*(D105/Detached!D$17)^0.16)</f>
        <v>27949.876767337872</v>
      </c>
      <c r="E117" s="349">
        <f>E111/(1.355*(E105/Detached!E$17)^0.16)</f>
        <v>26292.951550488488</v>
      </c>
      <c r="F117" s="349">
        <f>F111/(1.355*(F105/Detached!F$17)^0.16)</f>
        <v>14944.599833533171</v>
      </c>
      <c r="G117" s="349">
        <f>G111/(1.355*(G105/Detached!G$17)^0.16)</f>
        <v>27230.405960791959</v>
      </c>
      <c r="H117" s="349">
        <f>H111/(1.355*(H105/Detached!H$17)^0.16)</f>
        <v>7096.6753835270711</v>
      </c>
      <c r="I117" s="349">
        <f>I111/(1.355*(I105/Detached!I$17)^0.16)</f>
        <v>19270.396625072037</v>
      </c>
      <c r="J117" s="349">
        <f>J111/(1.355*(J105/Detached!J$17)^0.16)</f>
        <v>23214.676683227815</v>
      </c>
      <c r="K117" s="349">
        <f>K111/(1.355*(K105/Detached!K$17)^0.16)</f>
        <v>20899.85168252483</v>
      </c>
      <c r="L117" s="349">
        <f>L111/(1.355*(L105/Detached!L$17)^0.16)</f>
        <v>13919.699066698529</v>
      </c>
      <c r="M117" s="349">
        <f>M111/(1.355*(M105/Detached!M$17)^0.16)</f>
        <v>21863.408813707101</v>
      </c>
      <c r="N117" s="349">
        <f>N111/(1.355*(N105/Detached!N$17)^0.16)</f>
        <v>22314.754261465474</v>
      </c>
      <c r="O117" s="349">
        <f>O111/(1.355*(O105/Detached!O$17)^0.16)</f>
        <v>29165.994667914543</v>
      </c>
      <c r="P117" s="349">
        <f>P111/(1.355*(P105/Detached!P$17)^0.16)</f>
        <v>16937.550435374218</v>
      </c>
      <c r="Q117" s="349">
        <f>Q111/(1.355*(Q105/Detached!Q$17)^0.16)</f>
        <v>16169.413958723917</v>
      </c>
      <c r="R117" s="349">
        <f>R111/(1.355*(R105/Detached!R$17)^0.16)</f>
        <v>20235.136327329707</v>
      </c>
      <c r="S117" s="349">
        <f>S111/(1.355*(S105/Detached!S$17)^0.16)</f>
        <v>25470.64866085468</v>
      </c>
      <c r="T117" s="349">
        <f>T111/(1.355*(T105/Detached!T$17)^0.16)</f>
        <v>18980.891829923454</v>
      </c>
      <c r="U117" s="349">
        <f>U111/(1.355*(U105/Detached!U$17)^0.16)</f>
        <v>19578.950905744987</v>
      </c>
      <c r="V117" s="349">
        <f>V111/(1.355*(V105/Detached!V$17)^0.16)</f>
        <v>22424.688612798411</v>
      </c>
      <c r="W117" s="349">
        <f>W111/(1.355*(W105/Detached!W$17)^0.16)</f>
        <v>23810.432700541252</v>
      </c>
      <c r="X117" s="349">
        <f>X111/(1.355*(X105/Detached!X$17)^0.16)</f>
        <v>23757.72187361175</v>
      </c>
      <c r="Y117" s="349">
        <f>Y111/(1.355*(Y105/Detached!Y$17)^0.16)</f>
        <v>7269.115143400667</v>
      </c>
      <c r="Z117" s="349">
        <f>Z111/(1.355*(Z105/Detached!Z$17)^0.16)</f>
        <v>24390.963920527294</v>
      </c>
      <c r="AA117" s="349">
        <f>AA111/(1.355*(AA105/Detached!AA$17)^0.16)</f>
        <v>22684.061843631414</v>
      </c>
      <c r="AB117" s="349">
        <f>AB111/(1.355*(AB105/Detached!AB$17)^0.16)</f>
        <v>23195.272342839864</v>
      </c>
      <c r="AC117" s="349">
        <f>AC111/(1.355*(AC105/Detached!AC$17)^0.16)</f>
        <v>12474.770685130296</v>
      </c>
      <c r="AD117" s="349">
        <f>AD111/(1.355*(AD105/Detached!AD$17)^0.16)</f>
        <v>19978.181115592237</v>
      </c>
      <c r="AE117" s="349">
        <f>AE111/(1.355*(AE105/Detached!AE$17)^0.16)</f>
        <v>21872.481876856084</v>
      </c>
      <c r="AF117" s="349">
        <f>AF111/(1.355*(AF105/Detached!AF$17)^0.16)</f>
        <v>20234.597195491755</v>
      </c>
      <c r="AG117" s="349">
        <f>AG111/(1.355*(AG105/Detached!AG$17)^0.16)</f>
        <v>25341.674818701242</v>
      </c>
      <c r="AH117" s="349">
        <f>AH111/(1.355*(AH105/Detached!AH$17)^0.16)</f>
        <v>23274.472433760839</v>
      </c>
      <c r="AI117" s="349">
        <f>AI111/(1.355*(AI105/Detached!AI$17)^0.16)</f>
        <v>16937.550435374218</v>
      </c>
      <c r="AJ117" s="349">
        <f>AJ111/(1.355*(AJ105/Detached!AJ$17)^0.16)</f>
        <v>16419.03797038041</v>
      </c>
      <c r="AK117" s="349">
        <f>AK111/(1.355*(AK105/Detached!AK$17)^0.16)</f>
        <v>17311.312412040974</v>
      </c>
      <c r="AL117" s="349">
        <f>AL111/(1.355*(AL105/Detached!AL$17)^0.16)</f>
        <v>15676.357234826708</v>
      </c>
      <c r="AM117" s="349">
        <f>AM111/(1.355*(AM105/Detached!AM$17)^0.16)</f>
        <v>15098.547236965151</v>
      </c>
      <c r="AN117" s="354">
        <f>AN111/(1.355*(AN105/Detached!AN$17)^0.16)</f>
        <v>15098.547236965151</v>
      </c>
    </row>
    <row r="118" spans="1:40">
      <c r="A118" s="129"/>
      <c r="B118" s="142" t="s">
        <v>4</v>
      </c>
      <c r="C118" s="129" t="s">
        <v>261</v>
      </c>
      <c r="D118" s="345">
        <f>D112/(1.355*(D106/Detached!D$17)^0.16)</f>
        <v>23052.22414135659</v>
      </c>
      <c r="E118" s="349">
        <f>E112/(1.355*(E106/Detached!E$17)^0.16)</f>
        <v>26292.951550488488</v>
      </c>
      <c r="F118" s="349">
        <f>F112/(1.355*(F106/Detached!F$17)^0.16)</f>
        <v>14236.592667410467</v>
      </c>
      <c r="G118" s="349">
        <f>G112/(1.355*(G106/Detached!G$17)^0.16)</f>
        <v>22458.826094069289</v>
      </c>
      <c r="H118" s="349">
        <f>H112/(1.355*(H106/Detached!H$17)^0.16)</f>
        <v>7517.0927370850013</v>
      </c>
      <c r="I118" s="349">
        <f>I112/(1.355*(I106/Detached!I$17)^0.16)</f>
        <v>19270.396625072037</v>
      </c>
      <c r="J118" s="349">
        <f>J112/(1.355*(J106/Detached!J$17)^0.16)</f>
        <v>17657.18723317438</v>
      </c>
      <c r="K118" s="349">
        <f>K112/(1.355*(K106/Detached!K$17)^0.16)</f>
        <v>14851.913659876553</v>
      </c>
      <c r="L118" s="349">
        <f>L112/(1.355*(L106/Detached!L$17)^0.16)</f>
        <v>11798.754870473116</v>
      </c>
      <c r="M118" s="349">
        <f>M112/(1.355*(M106/Detached!M$17)^0.16)</f>
        <v>21863.408813707101</v>
      </c>
      <c r="N118" s="349">
        <f>N112/(1.355*(N106/Detached!N$17)^0.16)</f>
        <v>18835.897273857285</v>
      </c>
      <c r="O118" s="349">
        <f>O112/(1.355*(O106/Detached!O$17)^0.16)</f>
        <v>16269.589008350305</v>
      </c>
      <c r="P118" s="349">
        <f>P112/(1.355*(P106/Detached!P$17)^0.16)</f>
        <v>16937.550435374218</v>
      </c>
      <c r="Q118" s="349">
        <f>Q112/(1.355*(Q106/Detached!Q$17)^0.16)</f>
        <v>13773.856684379016</v>
      </c>
      <c r="R118" s="349">
        <f>R112/(1.355*(R106/Detached!R$17)^0.16)</f>
        <v>18200.427203419375</v>
      </c>
      <c r="S118" s="349">
        <f>S112/(1.355*(S106/Detached!S$17)^0.16)</f>
        <v>25329.651157481436</v>
      </c>
      <c r="T118" s="349">
        <f>T112/(1.355*(T106/Detached!T$17)^0.16)</f>
        <v>16021.782023028009</v>
      </c>
      <c r="U118" s="349">
        <f>U112/(1.355*(U106/Detached!U$17)^0.16)</f>
        <v>18404.857288100335</v>
      </c>
      <c r="V118" s="349">
        <f>V112/(1.355*(V106/Detached!V$17)^0.16)</f>
        <v>15272.829956903131</v>
      </c>
      <c r="W118" s="349">
        <f>W112/(1.355*(W106/Detached!W$17)^0.16)</f>
        <v>13846.121162267573</v>
      </c>
      <c r="X118" s="349">
        <f>X112/(1.355*(X106/Detached!X$17)^0.16)</f>
        <v>22679.313437406647</v>
      </c>
      <c r="Y118" s="349">
        <f>Y112/(1.355*(Y106/Detached!Y$17)^0.16)</f>
        <v>6041.0591491613359</v>
      </c>
      <c r="Z118" s="349">
        <f>Z112/(1.355*(Z106/Detached!Z$17)^0.16)</f>
        <v>23579.185286992779</v>
      </c>
      <c r="AA118" s="349">
        <f>AA112/(1.355*(AA106/Detached!AA$17)^0.16)</f>
        <v>17516.238355647609</v>
      </c>
      <c r="AB118" s="349">
        <f>AB112/(1.355*(AB106/Detached!AB$17)^0.16)</f>
        <v>17181.704339124633</v>
      </c>
      <c r="AC118" s="349">
        <f>AC112/(1.355*(AC106/Detached!AC$17)^0.16)</f>
        <v>12470.423736715504</v>
      </c>
      <c r="AD118" s="349">
        <f>AD112/(1.355*(AD106/Detached!AD$17)^0.16)</f>
        <v>19978.181115592237</v>
      </c>
      <c r="AE118" s="349">
        <f>AE112/(1.355*(AE106/Detached!AE$17)^0.16)</f>
        <v>16889.550408810763</v>
      </c>
      <c r="AF118" s="349">
        <f>AF112/(1.355*(AF106/Detached!AF$17)^0.16)</f>
        <v>19194.242478439101</v>
      </c>
      <c r="AG118" s="349">
        <f>AG112/(1.355*(AG106/Detached!AG$17)^0.16)</f>
        <v>25341.674818701242</v>
      </c>
      <c r="AH118" s="349">
        <f>AH112/(1.355*(AH106/Detached!AH$17)^0.16)</f>
        <v>20431.58306610374</v>
      </c>
      <c r="AI118" s="349">
        <f>AI112/(1.355*(AI106/Detached!AI$17)^0.16)</f>
        <v>16937.550435374218</v>
      </c>
      <c r="AJ118" s="349">
        <f>AJ112/(1.355*(AJ106/Detached!AJ$17)^0.16)</f>
        <v>16419.03797038041</v>
      </c>
      <c r="AK118" s="349">
        <f>AK112/(1.355*(AK106/Detached!AK$17)^0.16)</f>
        <v>17311.312412040974</v>
      </c>
      <c r="AL118" s="349">
        <f>AL112/(1.355*(AL106/Detached!AL$17)^0.16)</f>
        <v>14924.112108738478</v>
      </c>
      <c r="AM118" s="349">
        <f>AM112/(1.355*(AM106/Detached!AM$17)^0.16)</f>
        <v>15098.547236965151</v>
      </c>
      <c r="AN118" s="354">
        <f>AN112/(1.355*(AN106/Detached!AN$17)^0.16)</f>
        <v>15098.547236965151</v>
      </c>
    </row>
    <row r="119" spans="1:40">
      <c r="A119" s="129"/>
      <c r="B119" s="142" t="s">
        <v>5</v>
      </c>
      <c r="C119" s="129" t="s">
        <v>261</v>
      </c>
      <c r="D119" s="345">
        <f>D113/(1.355*(D107/Detached!D$17)^0.16)</f>
        <v>16216.820077651844</v>
      </c>
      <c r="E119" s="349">
        <f>E113/(1.355*(E107/Detached!E$17)^0.16)</f>
        <v>23291.91128228758</v>
      </c>
      <c r="F119" s="349">
        <f>F113/(1.355*(F107/Detached!F$17)^0.16)</f>
        <v>12361.686544609051</v>
      </c>
      <c r="G119" s="349">
        <f>G113/(1.355*(G107/Detached!G$17)^0.16)</f>
        <v>15799.375352653529</v>
      </c>
      <c r="H119" s="349">
        <f>H113/(1.355*(H107/Detached!H$17)^0.16)</f>
        <v>7260.1545704842283</v>
      </c>
      <c r="I119" s="349">
        <f>I113/(1.355*(I107/Detached!I$17)^0.16)</f>
        <v>17585.526791296485</v>
      </c>
      <c r="J119" s="349">
        <f>J113/(1.355*(J107/Detached!J$17)^0.16)</f>
        <v>14846.368822335306</v>
      </c>
      <c r="K119" s="349">
        <f>K113/(1.355*(K107/Detached!K$17)^0.16)</f>
        <v>12668.973889195069</v>
      </c>
      <c r="L119" s="349">
        <f>L113/(1.355*(L107/Detached!L$17)^0.16)</f>
        <v>8939.3817541514745</v>
      </c>
      <c r="M119" s="349">
        <f>M113/(1.355*(M107/Detached!M$17)^0.16)</f>
        <v>14495.145784427081</v>
      </c>
      <c r="N119" s="349">
        <f>N113/(1.355*(N107/Detached!N$17)^0.16)</f>
        <v>15611.454629959921</v>
      </c>
      <c r="O119" s="349">
        <f>O113/(1.355*(O107/Detached!O$17)^0.16)</f>
        <v>14144.402663317171</v>
      </c>
      <c r="P119" s="349">
        <f>P113/(1.355*(P107/Detached!P$17)^0.16)</f>
        <v>16397.251769890427</v>
      </c>
      <c r="Q119" s="349">
        <f>Q113/(1.355*(Q107/Detached!Q$17)^0.16)</f>
        <v>13773.856684379016</v>
      </c>
      <c r="R119" s="349">
        <f>R113/(1.355*(R107/Detached!R$17)^0.16)</f>
        <v>14156.120339665735</v>
      </c>
      <c r="S119" s="349">
        <f>S113/(1.355*(S107/Detached!S$17)^0.16)</f>
        <v>18406.10394006436</v>
      </c>
      <c r="T119" s="349">
        <f>T113/(1.355*(T107/Detached!T$17)^0.16)</f>
        <v>13279.076621996677</v>
      </c>
      <c r="U119" s="349">
        <f>U113/(1.355*(U107/Detached!U$17)^0.16)</f>
        <v>14183.264583974074</v>
      </c>
      <c r="V119" s="349">
        <f>V113/(1.355*(V107/Detached!V$17)^0.16)</f>
        <v>15272.829956903131</v>
      </c>
      <c r="W119" s="349">
        <f>W113/(1.355*(W107/Detached!W$17)^0.16)</f>
        <v>11732.154161452734</v>
      </c>
      <c r="X119" s="349">
        <f>X113/(1.355*(X107/Detached!X$17)^0.16)</f>
        <v>14110.995156120149</v>
      </c>
      <c r="Y119" s="349">
        <f>Y113/(1.355*(Y107/Detached!Y$17)^0.16)</f>
        <v>5545.3616028565448</v>
      </c>
      <c r="Z119" s="349">
        <f>Z113/(1.355*(Z107/Detached!Z$17)^0.16)</f>
        <v>16026.081108372695</v>
      </c>
      <c r="AA119" s="349">
        <f>AA113/(1.355*(AA107/Detached!AA$17)^0.16)</f>
        <v>17242.372360152876</v>
      </c>
      <c r="AB119" s="349">
        <f>AB113/(1.355*(AB107/Detached!AB$17)^0.16)</f>
        <v>17181.704339124633</v>
      </c>
      <c r="AC119" s="349">
        <f>AC113/(1.355*(AC107/Detached!AC$17)^0.16)</f>
        <v>12203.998271143064</v>
      </c>
      <c r="AD119" s="349">
        <f>AD113/(1.355*(AD107/Detached!AD$17)^0.16)</f>
        <v>17044.563711820858</v>
      </c>
      <c r="AE119" s="349">
        <f>AE113/(1.355*(AE107/Detached!AE$17)^0.16)</f>
        <v>16625.4826653688</v>
      </c>
      <c r="AF119" s="349">
        <f>AF113/(1.355*(AF107/Detached!AF$17)^0.16)</f>
        <v>14546.369803600972</v>
      </c>
      <c r="AG119" s="349">
        <f>AG113/(1.355*(AG107/Detached!AG$17)^0.16)</f>
        <v>22452.000733309127</v>
      </c>
      <c r="AH119" s="349">
        <f>AH113/(1.355*(AH107/Detached!AH$17)^0.16)</f>
        <v>13220.408015972691</v>
      </c>
      <c r="AI119" s="349">
        <f>AI113/(1.355*(AI107/Detached!AI$17)^0.16)</f>
        <v>16397.251769890427</v>
      </c>
      <c r="AJ119" s="349">
        <f>AJ113/(1.355*(AJ107/Detached!AJ$17)^0.16)</f>
        <v>14950.320430120815</v>
      </c>
      <c r="AK119" s="349">
        <f>AK113/(1.355*(AK107/Detached!AK$17)^0.16)</f>
        <v>15708.625276387453</v>
      </c>
      <c r="AL119" s="349">
        <f>AL113/(1.355*(AL107/Detached!AL$17)^0.16)</f>
        <v>12928.20424937711</v>
      </c>
      <c r="AM119" s="349">
        <f>AM113/(1.355*(AM107/Detached!AM$17)^0.16)</f>
        <v>13747.95037499474</v>
      </c>
      <c r="AN119" s="354">
        <f>AN113/(1.355*(AN107/Detached!AN$17)^0.16)</f>
        <v>13747.95037499474</v>
      </c>
    </row>
    <row r="120" spans="1:40">
      <c r="A120" s="129"/>
      <c r="B120" s="142" t="s">
        <v>6</v>
      </c>
      <c r="C120" s="129" t="s">
        <v>261</v>
      </c>
      <c r="D120" s="345">
        <f>D114/(1.355*(D108/Detached!D$17)^0.16)</f>
        <v>13782.470663833565</v>
      </c>
      <c r="E120" s="349">
        <f>E114/(1.355*(E108/Detached!E$17)^0.16)</f>
        <v>23291.91128228758</v>
      </c>
      <c r="F120" s="349">
        <f>F114/(1.355*(F108/Detached!F$17)^0.16)</f>
        <v>10667.016175934879</v>
      </c>
      <c r="G120" s="349">
        <f>G114/(1.355*(G108/Detached!G$17)^0.16)</f>
        <v>13427.689661854638</v>
      </c>
      <c r="H120" s="349">
        <f>H114/(1.355*(H108/Detached!H$17)^0.16)</f>
        <v>5881.4958384688853</v>
      </c>
      <c r="I120" s="349">
        <f>I114/(1.355*(I108/Detached!I$17)^0.16)</f>
        <v>13712.659040680901</v>
      </c>
      <c r="J120" s="349">
        <f>J114/(1.355*(J108/Detached!J$17)^0.16)</f>
        <v>8838.8890184098873</v>
      </c>
      <c r="K120" s="349">
        <f>K114/(1.355*(K108/Detached!K$17)^0.16)</f>
        <v>12668.973889195069</v>
      </c>
      <c r="L120" s="349">
        <f>L114/(1.355*(L108/Detached!L$17)^0.16)</f>
        <v>7926.6195533739728</v>
      </c>
      <c r="M120" s="349">
        <f>M114/(1.355*(M108/Detached!M$17)^0.16)</f>
        <v>14495.145784427081</v>
      </c>
      <c r="N120" s="349">
        <f>N114/(1.355*(N108/Detached!N$17)^0.16)</f>
        <v>15451.488779389732</v>
      </c>
      <c r="O120" s="349">
        <f>O114/(1.355*(O108/Detached!O$17)^0.16)</f>
        <v>8430.0064785291324</v>
      </c>
      <c r="P120" s="349">
        <f>P114/(1.355*(P108/Detached!P$17)^0.16)</f>
        <v>16397.251769890427</v>
      </c>
      <c r="Q120" s="349">
        <f>Q114/(1.355*(Q108/Detached!Q$17)^0.16)</f>
        <v>10310.390028577234</v>
      </c>
      <c r="R120" s="349">
        <f>R114/(1.355*(R108/Detached!R$17)^0.16)</f>
        <v>14156.120339665735</v>
      </c>
      <c r="S120" s="349">
        <f>S114/(1.355*(S108/Detached!S$17)^0.16)</f>
        <v>15797.452586364141</v>
      </c>
      <c r="T120" s="349">
        <f>T114/(1.355*(T108/Detached!T$17)^0.16)</f>
        <v>13143.009942947572</v>
      </c>
      <c r="U120" s="349">
        <f>U114/(1.355*(U108/Detached!U$17)^0.16)</f>
        <v>13411.745298302481</v>
      </c>
      <c r="V120" s="349">
        <f>V114/(1.355*(V108/Detached!V$17)^0.16)</f>
        <v>15272.829956903131</v>
      </c>
      <c r="W120" s="349">
        <f>W114/(1.355*(W108/Detached!W$17)^0.16)</f>
        <v>10095.04279324514</v>
      </c>
      <c r="X120" s="349">
        <f>X114/(1.355*(X108/Detached!X$17)^0.16)</f>
        <v>14063.608953528579</v>
      </c>
      <c r="Y120" s="349">
        <f>Y114/(1.355*(Y108/Detached!Y$17)^0.16)</f>
        <v>5542.4967336150075</v>
      </c>
      <c r="Z120" s="349">
        <f>Z114/(1.355*(Z108/Detached!Z$17)^0.16)</f>
        <v>14454.942239415346</v>
      </c>
      <c r="AA120" s="349">
        <f>AA114/(1.355*(AA108/Detached!AA$17)^0.16)</f>
        <v>15812.411794345977</v>
      </c>
      <c r="AB120" s="349">
        <f>AB114/(1.355*(AB108/Detached!AB$17)^0.16)</f>
        <v>17181.704339124633</v>
      </c>
      <c r="AC120" s="349">
        <f>AC114/(1.355*(AC108/Detached!AC$17)^0.16)</f>
        <v>11359.412065338178</v>
      </c>
      <c r="AD120" s="349">
        <f>AD114/(1.355*(AD108/Detached!AD$17)^0.16)</f>
        <v>17044.563711820858</v>
      </c>
      <c r="AE120" s="349">
        <f>AE114/(1.355*(AE108/Detached!AE$17)^0.16)</f>
        <v>15246.682573223432</v>
      </c>
      <c r="AF120" s="349">
        <f>AF114/(1.355*(AF108/Detached!AF$17)^0.16)</f>
        <v>11162.598942691558</v>
      </c>
      <c r="AG120" s="349">
        <f>AG114/(1.355*(AG108/Detached!AG$17)^0.16)</f>
        <v>21517.476053834649</v>
      </c>
      <c r="AH120" s="349">
        <f>AH114/(1.355*(AH108/Detached!AH$17)^0.16)</f>
        <v>9923.95633871875</v>
      </c>
      <c r="AI120" s="349">
        <f>AI114/(1.355*(AI108/Detached!AI$17)^0.16)</f>
        <v>16397.251769890427</v>
      </c>
      <c r="AJ120" s="349">
        <f>AJ114/(1.355*(AJ108/Detached!AJ$17)^0.16)</f>
        <v>14494.827110752643</v>
      </c>
      <c r="AK120" s="349">
        <f>AK114/(1.355*(AK108/Detached!AK$17)^0.16)</f>
        <v>15189.10679003199</v>
      </c>
      <c r="AL120" s="349">
        <f>AL114/(1.355*(AL108/Detached!AL$17)^0.16)</f>
        <v>11124.503846443173</v>
      </c>
      <c r="AM120" s="349">
        <f>AM114/(1.355*(AM108/Detached!AM$17)^0.16)</f>
        <v>13329.089817451182</v>
      </c>
      <c r="AN120" s="354">
        <f>AN114/(1.355*(AN108/Detached!AN$17)^0.16)</f>
        <v>13329.089817451182</v>
      </c>
    </row>
    <row r="121" spans="1:40">
      <c r="A121" s="129"/>
      <c r="B121" s="142" t="s">
        <v>7</v>
      </c>
      <c r="C121" s="129" t="s">
        <v>261</v>
      </c>
      <c r="D121" s="345">
        <f>D115/(1.355*(D109/Detached!D$17)^0.16)</f>
        <v>12422.16350746046</v>
      </c>
      <c r="E121" s="349">
        <f>E115/(1.355*(E109/Detached!E$17)^0.16)</f>
        <v>14761.791734756749</v>
      </c>
      <c r="F121" s="349">
        <f>F115/(1.355*(F109/Detached!F$17)^0.16)</f>
        <v>7530.9766531418209</v>
      </c>
      <c r="G121" s="349">
        <f>G115/(1.355*(G109/Detached!G$17)^0.16)</f>
        <v>12102.398806093262</v>
      </c>
      <c r="H121" s="349">
        <f>H115/(1.355*(H109/Detached!H$17)^0.16)</f>
        <v>4876.2808764867586</v>
      </c>
      <c r="I121" s="349">
        <f>I115/(1.355*(I109/Detached!I$17)^0.16)</f>
        <v>10921.370309643506</v>
      </c>
      <c r="J121" s="349">
        <f>J115/(1.355*(J109/Detached!J$17)^0.16)</f>
        <v>9525.9963189777736</v>
      </c>
      <c r="K121" s="349">
        <f>K115/(1.355*(K109/Detached!K$17)^0.16)</f>
        <v>9352.9860736361388</v>
      </c>
      <c r="L121" s="349">
        <f>L115/(1.355*(L109/Detached!L$17)^0.16)</f>
        <v>7926.6195533739728</v>
      </c>
      <c r="M121" s="349">
        <f>M115/(1.355*(M109/Detached!M$17)^0.16)</f>
        <v>10215.758219445059</v>
      </c>
      <c r="N121" s="349">
        <f>N115/(1.355*(N109/Detached!N$17)^0.16)</f>
        <v>13927.178641533696</v>
      </c>
      <c r="O121" s="349">
        <f>O115/(1.355*(O109/Detached!O$17)^0.16)</f>
        <v>8164.7394724921442</v>
      </c>
      <c r="P121" s="349">
        <f>P115/(1.355*(P109/Detached!P$17)^0.16)</f>
        <v>7490.3423684541531</v>
      </c>
      <c r="Q121" s="349">
        <f>Q115/(1.355*(Q109/Detached!Q$17)^0.16)</f>
        <v>6848.1001296466193</v>
      </c>
      <c r="R121" s="349">
        <f>R115/(1.355*(R109/Detached!R$17)^0.16)</f>
        <v>9079.9700694092917</v>
      </c>
      <c r="S121" s="349">
        <f>S115/(1.355*(S109/Detached!S$17)^0.16)</f>
        <v>10217.420414735869</v>
      </c>
      <c r="T121" s="349">
        <f>T115/(1.355*(T109/Detached!T$17)^0.16)</f>
        <v>11846.434345345584</v>
      </c>
      <c r="U121" s="349">
        <f>U115/(1.355*(U109/Detached!U$17)^0.16)</f>
        <v>12514.635230375256</v>
      </c>
      <c r="V121" s="349">
        <f>V115/(1.355*(V109/Detached!V$17)^0.16)</f>
        <v>9651.4468991200447</v>
      </c>
      <c r="W121" s="349">
        <f>W115/(1.355*(W109/Detached!W$17)^0.16)</f>
        <v>8152.3188832191936</v>
      </c>
      <c r="X121" s="349">
        <f>X115/(1.355*(X109/Detached!X$17)^0.16)</f>
        <v>9535.3708775215127</v>
      </c>
      <c r="Y121" s="349">
        <f>Y115/(1.355*(Y109/Detached!Y$17)^0.16)</f>
        <v>5294.1669801648159</v>
      </c>
      <c r="Z121" s="349">
        <f>Z115/(1.355*(Z109/Detached!Z$17)^0.16)</f>
        <v>10405.058539168109</v>
      </c>
      <c r="AA121" s="349">
        <f>AA115/(1.355*(AA109/Detached!AA$17)^0.16)</f>
        <v>13710.81436159341</v>
      </c>
      <c r="AB121" s="349">
        <f>AB115/(1.355*(AB109/Detached!AB$17)^0.16)</f>
        <v>13392.666926666259</v>
      </c>
      <c r="AC121" s="349">
        <f>AC115/(1.355*(AC109/Detached!AC$17)^0.16)</f>
        <v>8192.8408370505804</v>
      </c>
      <c r="AD121" s="349">
        <f>AD115/(1.355*(AD109/Detached!AD$17)^0.16)</f>
        <v>13162.17397605955</v>
      </c>
      <c r="AE121" s="349">
        <f>AE115/(1.355*(AE109/Detached!AE$17)^0.16)</f>
        <v>13220.275130094675</v>
      </c>
      <c r="AF121" s="349">
        <f>AF115/(1.355*(AF109/Detached!AF$17)^0.16)</f>
        <v>6821.4320439419134</v>
      </c>
      <c r="AG121" s="349">
        <f>AG115/(1.355*(AG109/Detached!AG$17)^0.16)</f>
        <v>13255.415249006806</v>
      </c>
      <c r="AH121" s="349">
        <f>AH115/(1.355*(AH109/Detached!AH$17)^0.16)</f>
        <v>8441.1419320149889</v>
      </c>
      <c r="AI121" s="349">
        <f>AI115/(1.355*(AI109/Detached!AI$17)^0.16)</f>
        <v>7490.3423684541531</v>
      </c>
      <c r="AJ121" s="349">
        <f>AJ115/(1.355*(AJ109/Detached!AJ$17)^0.16)</f>
        <v>12686.254261719016</v>
      </c>
      <c r="AK121" s="349">
        <f>AK115/(1.355*(AK109/Detached!AK$17)^0.16)</f>
        <v>13339.42791308137</v>
      </c>
      <c r="AL121" s="349">
        <f>AL115/(1.355*(AL109/Detached!AL$17)^0.16)</f>
        <v>7836.0653184429129</v>
      </c>
      <c r="AM121" s="349">
        <f>AM115/(1.355*(AM109/Detached!AM$17)^0.16)</f>
        <v>11665.970294742985</v>
      </c>
      <c r="AN121" s="354">
        <f>AN115/(1.355*(AN109/Detached!AN$17)^0.16)</f>
        <v>11665.970294742985</v>
      </c>
    </row>
    <row r="122" spans="1:40">
      <c r="A122" s="334" t="s">
        <v>262</v>
      </c>
      <c r="B122" s="359" t="s">
        <v>2</v>
      </c>
      <c r="C122" s="366" t="s">
        <v>190</v>
      </c>
      <c r="D122" s="375">
        <f>D116/Detached!D$4</f>
        <v>197.42996547640004</v>
      </c>
      <c r="E122" s="376">
        <f>E116/Detached!E$4</f>
        <v>184.65096830660923</v>
      </c>
      <c r="F122" s="376">
        <f>F116/Detached!F$4</f>
        <v>187.95860635096275</v>
      </c>
      <c r="G122" s="376">
        <f>G116/Detached!G$4</f>
        <v>192.34782870420395</v>
      </c>
      <c r="H122" s="376">
        <f>H116/Detached!H$4</f>
        <v>67.075728085022192</v>
      </c>
      <c r="I122" s="376">
        <f>I116/Detached!I$4</f>
        <v>172.85525589490697</v>
      </c>
      <c r="J122" s="376">
        <f>J116/Detached!J$4</f>
        <v>205.63325626250116</v>
      </c>
      <c r="K122" s="376">
        <f>K116/Detached!K$4</f>
        <v>127.61615052588907</v>
      </c>
      <c r="L122" s="376">
        <f>L116/Detached!L$4</f>
        <v>130.56462251808207</v>
      </c>
      <c r="M122" s="376">
        <f>M116/Detached!M$4</f>
        <v>169.69649284605021</v>
      </c>
      <c r="N122" s="376">
        <f>N116/Detached!N$4</f>
        <v>199.25653922909774</v>
      </c>
      <c r="O122" s="376">
        <f>O116/Detached!O$4</f>
        <v>209.02851946312495</v>
      </c>
      <c r="P122" s="376">
        <f>P116/Detached!P$4</f>
        <v>148.08263555071838</v>
      </c>
      <c r="Q122" s="376">
        <f>Q116/Detached!Q$4</f>
        <v>178.36988843102753</v>
      </c>
      <c r="R122" s="376">
        <f>R116/Detached!R$4</f>
        <v>173.78705772939747</v>
      </c>
      <c r="S122" s="376">
        <f>S116/Detached!S$4</f>
        <v>173.06578176166525</v>
      </c>
      <c r="T122" s="376">
        <f>T116/Detached!T$4</f>
        <v>169.48727165880177</v>
      </c>
      <c r="U122" s="376">
        <f>U116/Detached!U$4</f>
        <v>149.59619366325927</v>
      </c>
      <c r="V122" s="376">
        <f>V116/Detached!V$4</f>
        <v>185.72656890907243</v>
      </c>
      <c r="W122" s="376">
        <f>W116/Detached!W$4</f>
        <v>201.90110574759791</v>
      </c>
      <c r="X122" s="376">
        <f>X116/Detached!X$4</f>
        <v>201.23146577609992</v>
      </c>
      <c r="Y122" s="376">
        <f>Y116/Detached!Y$4</f>
        <v>58.829317224665786</v>
      </c>
      <c r="Z122" s="376">
        <f>Z116/Detached!Z$4</f>
        <v>185.68123222380993</v>
      </c>
      <c r="AA122" s="376">
        <f>AA116/Detached!AA$4</f>
        <v>146.24223939102353</v>
      </c>
      <c r="AB122" s="376">
        <f>AB116/Detached!AB$4</f>
        <v>241.59779222110811</v>
      </c>
      <c r="AC122" s="376">
        <f>AC116/Detached!AC$4</f>
        <v>94.613786124214357</v>
      </c>
      <c r="AD122" s="376">
        <f>AD116/Detached!AD$4</f>
        <v>241.16322637830311</v>
      </c>
      <c r="AE122" s="376">
        <f>AE116/Detached!AE$4</f>
        <v>141.01005158426</v>
      </c>
      <c r="AF122" s="376">
        <f>AF116/Detached!AF$4</f>
        <v>169.49976507871577</v>
      </c>
      <c r="AG122" s="376">
        <f>AG116/Detached!AG$4</f>
        <v>238.33724467340767</v>
      </c>
      <c r="AH122" s="376">
        <f>AH116/Detached!AH$4</f>
        <v>218.71752766890597</v>
      </c>
      <c r="AI122" s="376">
        <f>AI116/Detached!AI$4</f>
        <v>148.08263555071838</v>
      </c>
      <c r="AJ122" s="376">
        <f>AJ116/Detached!AJ$4</f>
        <v>191.02708475580323</v>
      </c>
      <c r="AK122" s="376">
        <f>AK116/Detached!AK$4</f>
        <v>151.3503842599925</v>
      </c>
      <c r="AL122" s="376">
        <f>AL116/Detached!AL$4</f>
        <v>182.38637535047428</v>
      </c>
      <c r="AM122" s="376">
        <f>AM116/Detached!AM$4</f>
        <v>175.66385240891287</v>
      </c>
      <c r="AN122" s="377">
        <f>AN116/Detached!AN$4</f>
        <v>175.66385240891287</v>
      </c>
    </row>
    <row r="123" spans="1:40">
      <c r="A123" s="154"/>
      <c r="B123" s="347" t="s">
        <v>3</v>
      </c>
      <c r="C123" s="367" t="s">
        <v>190</v>
      </c>
      <c r="D123" s="369">
        <f>D117/Detached!D$4</f>
        <v>186.59296446181375</v>
      </c>
      <c r="E123" s="370">
        <f>E117/Detached!E$4</f>
        <v>184.65096830660923</v>
      </c>
      <c r="F123" s="370">
        <f>F117/Detached!F$4</f>
        <v>187.95860635096275</v>
      </c>
      <c r="G123" s="370">
        <f>G117/Detached!G$4</f>
        <v>181.78978798434119</v>
      </c>
      <c r="H123" s="370">
        <f>H117/Detached!H$4</f>
        <v>62.045240747787943</v>
      </c>
      <c r="I123" s="370">
        <f>I117/Detached!I$4</f>
        <v>154.38978942128466</v>
      </c>
      <c r="J123" s="370">
        <f>J117/Detached!J$4</f>
        <v>172.97487024033066</v>
      </c>
      <c r="K123" s="370">
        <f>K117/Detached!K$4</f>
        <v>125.05520827239988</v>
      </c>
      <c r="L123" s="370">
        <f>L117/Detached!L$4</f>
        <v>130.56462251808207</v>
      </c>
      <c r="M123" s="370">
        <f>M117/Detached!M$4</f>
        <v>157.61923075609732</v>
      </c>
      <c r="N123" s="370">
        <f>N117/Detached!N$4</f>
        <v>184.03921040383895</v>
      </c>
      <c r="O123" s="370">
        <f>O117/Detached!O$4</f>
        <v>209.02851946312495</v>
      </c>
      <c r="P123" s="370">
        <f>P117/Detached!P$4</f>
        <v>148.08263555071838</v>
      </c>
      <c r="Q123" s="370">
        <f>Q117/Detached!Q$4</f>
        <v>188.12283742305382</v>
      </c>
      <c r="R123" s="370">
        <f>R117/Detached!R$4</f>
        <v>173.78705772939747</v>
      </c>
      <c r="S123" s="370">
        <f>S117/Detached!S$4</f>
        <v>173.12272198575934</v>
      </c>
      <c r="T123" s="370">
        <f>T117/Detached!T$4</f>
        <v>156.54343777256457</v>
      </c>
      <c r="U123" s="370">
        <f>U117/Detached!U$4</f>
        <v>142.78177506468541</v>
      </c>
      <c r="V123" s="370">
        <f>V117/Detached!V$4</f>
        <v>185.72656890907243</v>
      </c>
      <c r="W123" s="370">
        <f>W117/Detached!W$4</f>
        <v>217.57949066413281</v>
      </c>
      <c r="X123" s="370">
        <f>X117/Detached!X$4</f>
        <v>197.98101561343125</v>
      </c>
      <c r="Y123" s="370">
        <f>Y117/Detached!Y$4</f>
        <v>58.827085428929408</v>
      </c>
      <c r="Z123" s="370">
        <f>Z117/Detached!Z$4</f>
        <v>170.22365080425431</v>
      </c>
      <c r="AA123" s="370">
        <f>AA117/Detached!AA$4</f>
        <v>145.5272612261839</v>
      </c>
      <c r="AB123" s="370">
        <f>AB117/Detached!AB$4</f>
        <v>192.73616775917921</v>
      </c>
      <c r="AC123" s="370">
        <f>AC117/Detached!AC$4</f>
        <v>85.992927909013147</v>
      </c>
      <c r="AD123" s="370">
        <f>AD117/Detached!AD$4</f>
        <v>220.01741209362061</v>
      </c>
      <c r="AE123" s="370">
        <f>AE117/Detached!AE$4</f>
        <v>140.32065358047205</v>
      </c>
      <c r="AF123" s="370">
        <f>AF117/Detached!AF$4</f>
        <v>169.49976507871577</v>
      </c>
      <c r="AG123" s="370">
        <f>AG117/Detached!AG$4</f>
        <v>210.83880108292132</v>
      </c>
      <c r="AH123" s="370">
        <f>AH117/Detached!AH$4</f>
        <v>227.98552647249505</v>
      </c>
      <c r="AI123" s="370">
        <f>AI117/Detached!AI$4</f>
        <v>148.08263555071838</v>
      </c>
      <c r="AJ123" s="370">
        <f>AJ117/Detached!AJ$4</f>
        <v>191.02708475580323</v>
      </c>
      <c r="AK123" s="370">
        <f>AK117/Detached!AK$4</f>
        <v>151.3503842599925</v>
      </c>
      <c r="AL123" s="370">
        <f>AL117/Detached!AL$4</f>
        <v>182.38637535047428</v>
      </c>
      <c r="AM123" s="370">
        <f>AM117/Detached!AM$4</f>
        <v>175.66385240891287</v>
      </c>
      <c r="AN123" s="371">
        <f>AN117/Detached!AN$4</f>
        <v>175.66385240891287</v>
      </c>
    </row>
    <row r="124" spans="1:40">
      <c r="A124" s="154"/>
      <c r="B124" s="347" t="s">
        <v>4</v>
      </c>
      <c r="C124" s="367" t="s">
        <v>190</v>
      </c>
      <c r="D124" s="369">
        <f>D118/Detached!D$4</f>
        <v>153.89630787211541</v>
      </c>
      <c r="E124" s="370">
        <f>E118/Detached!E$4</f>
        <v>184.65096830660923</v>
      </c>
      <c r="F124" s="370">
        <f>F118/Detached!F$4</f>
        <v>179.05398249262981</v>
      </c>
      <c r="G124" s="370">
        <f>G118/Detached!G$4</f>
        <v>149.93479127328087</v>
      </c>
      <c r="H124" s="370">
        <f>H118/Detached!H$4</f>
        <v>65.720890894700176</v>
      </c>
      <c r="I124" s="370">
        <f>I118/Detached!I$4</f>
        <v>154.38978942128466</v>
      </c>
      <c r="J124" s="370">
        <f>J118/Detached!J$4</f>
        <v>131.56546232126513</v>
      </c>
      <c r="K124" s="370">
        <f>K118/Detached!K$4</f>
        <v>88.867097441295755</v>
      </c>
      <c r="L124" s="370">
        <f>L118/Detached!L$4</f>
        <v>110.67049427327025</v>
      </c>
      <c r="M124" s="370">
        <f>M118/Detached!M$4</f>
        <v>157.61923075609732</v>
      </c>
      <c r="N124" s="370">
        <f>N118/Detached!N$4</f>
        <v>155.34760638232811</v>
      </c>
      <c r="O124" s="370">
        <f>O118/Detached!O$4</f>
        <v>116.60182145031447</v>
      </c>
      <c r="P124" s="370">
        <f>P118/Detached!P$4</f>
        <v>148.08263555071838</v>
      </c>
      <c r="Q124" s="370">
        <f>Q118/Detached!Q$4</f>
        <v>160.25175732023695</v>
      </c>
      <c r="R124" s="370">
        <f>R118/Detached!R$4</f>
        <v>156.31220081420318</v>
      </c>
      <c r="S124" s="370">
        <f>S118/Detached!S$4</f>
        <v>172.16436902419196</v>
      </c>
      <c r="T124" s="370">
        <f>T118/Detached!T$4</f>
        <v>132.1384084373444</v>
      </c>
      <c r="U124" s="370">
        <f>U118/Detached!U$4</f>
        <v>134.21956089772351</v>
      </c>
      <c r="V124" s="370">
        <f>V118/Detached!V$4</f>
        <v>126.49318589906321</v>
      </c>
      <c r="W124" s="370">
        <f>W118/Detached!W$4</f>
        <v>126.52571366716769</v>
      </c>
      <c r="X124" s="370">
        <f>X118/Detached!X$4</f>
        <v>188.9942786450554</v>
      </c>
      <c r="Y124" s="370">
        <f>Y118/Detached!Y$4</f>
        <v>48.888743077837006</v>
      </c>
      <c r="Z124" s="370">
        <f>Z118/Detached!Z$4</f>
        <v>164.55827722183352</v>
      </c>
      <c r="AA124" s="370">
        <f>AA118/Detached!AA$4</f>
        <v>112.37362216935114</v>
      </c>
      <c r="AB124" s="370">
        <f>AB118/Detached!AB$4</f>
        <v>142.76770718393306</v>
      </c>
      <c r="AC124" s="370">
        <f>AC118/Detached!AC$4</f>
        <v>85.962962883515488</v>
      </c>
      <c r="AD124" s="370">
        <f>AD118/Detached!AD$4</f>
        <v>220.01741209362061</v>
      </c>
      <c r="AE124" s="370">
        <f>AE118/Detached!AE$4</f>
        <v>108.3531702249287</v>
      </c>
      <c r="AF124" s="370">
        <f>AF118/Detached!AF$4</f>
        <v>160.78499411316142</v>
      </c>
      <c r="AG124" s="370">
        <f>AG118/Detached!AG$4</f>
        <v>210.83880108292132</v>
      </c>
      <c r="AH124" s="370">
        <f>AH118/Detached!AH$4</f>
        <v>200.13795093526375</v>
      </c>
      <c r="AI124" s="370">
        <f>AI118/Detached!AI$4</f>
        <v>148.08263555071838</v>
      </c>
      <c r="AJ124" s="370">
        <f>AJ118/Detached!AJ$4</f>
        <v>191.02708475580323</v>
      </c>
      <c r="AK124" s="370">
        <f>AK118/Detached!AK$4</f>
        <v>151.3503842599925</v>
      </c>
      <c r="AL124" s="370">
        <f>AL118/Detached!AL$4</f>
        <v>173.63438916726267</v>
      </c>
      <c r="AM124" s="370">
        <f>AM118/Detached!AM$4</f>
        <v>175.66385240891287</v>
      </c>
      <c r="AN124" s="371">
        <f>AN118/Detached!AN$4</f>
        <v>175.66385240891287</v>
      </c>
    </row>
    <row r="125" spans="1:40">
      <c r="A125" s="154"/>
      <c r="B125" s="347" t="s">
        <v>5</v>
      </c>
      <c r="C125" s="367" t="s">
        <v>190</v>
      </c>
      <c r="D125" s="369">
        <f>D119/Detached!D$4</f>
        <v>108.2632513059602</v>
      </c>
      <c r="E125" s="370">
        <f>E119/Detached!E$4</f>
        <v>163.57516818632456</v>
      </c>
      <c r="F125" s="370">
        <f>F119/Detached!F$4</f>
        <v>155.47324123451298</v>
      </c>
      <c r="G125" s="370">
        <f>G119/Detached!G$4</f>
        <v>105.47639648778772</v>
      </c>
      <c r="H125" s="370">
        <f>H119/Detached!H$4</f>
        <v>63.474516424614563</v>
      </c>
      <c r="I125" s="370">
        <f>I119/Detached!I$4</f>
        <v>140.89101698291975</v>
      </c>
      <c r="J125" s="370">
        <f>J119/Detached!J$4</f>
        <v>110.62177413131535</v>
      </c>
      <c r="K125" s="370">
        <f>K119/Detached!K$4</f>
        <v>75.805378544173934</v>
      </c>
      <c r="L125" s="370">
        <f>L119/Detached!L$4</f>
        <v>83.850017064531713</v>
      </c>
      <c r="M125" s="370">
        <f>M119/Detached!M$4</f>
        <v>104.49942859809214</v>
      </c>
      <c r="N125" s="370">
        <f>N119/Detached!N$4</f>
        <v>128.75426498936017</v>
      </c>
      <c r="O125" s="370">
        <f>O119/Detached!O$4</f>
        <v>101.37091434964849</v>
      </c>
      <c r="P125" s="370">
        <f>P119/Detached!P$4</f>
        <v>143.35887985330203</v>
      </c>
      <c r="Q125" s="370">
        <f>Q119/Detached!Q$4</f>
        <v>160.25175732023695</v>
      </c>
      <c r="R125" s="370">
        <f>R119/Detached!R$4</f>
        <v>121.57815311434751</v>
      </c>
      <c r="S125" s="370">
        <f>S119/Detached!S$4</f>
        <v>125.10536569702842</v>
      </c>
      <c r="T125" s="370">
        <f>T119/Detached!T$4</f>
        <v>109.51815770718909</v>
      </c>
      <c r="U125" s="370">
        <f>U119/Detached!U$4</f>
        <v>103.43310544374894</v>
      </c>
      <c r="V125" s="370">
        <f>V119/Detached!V$4</f>
        <v>126.49318589906321</v>
      </c>
      <c r="W125" s="370">
        <f>W119/Detached!W$4</f>
        <v>107.20830481942251</v>
      </c>
      <c r="X125" s="370">
        <f>X119/Detached!X$4</f>
        <v>117.59162630100124</v>
      </c>
      <c r="Y125" s="370">
        <f>Y119/Detached!Y$4</f>
        <v>44.877189906904476</v>
      </c>
      <c r="Z125" s="370">
        <f>Z119/Detached!Z$4</f>
        <v>111.84543764817784</v>
      </c>
      <c r="AA125" s="370">
        <f>AA119/Detached!AA$4</f>
        <v>110.61666309640979</v>
      </c>
      <c r="AB125" s="370">
        <f>AB119/Detached!AB$4</f>
        <v>142.76770718393306</v>
      </c>
      <c r="AC125" s="370">
        <f>AC119/Detached!AC$4</f>
        <v>84.12639959651213</v>
      </c>
      <c r="AD125" s="370">
        <f>AD119/Detached!AD$4</f>
        <v>187.70982085115074</v>
      </c>
      <c r="AE125" s="370">
        <f>AE119/Detached!AE$4</f>
        <v>106.65907082834835</v>
      </c>
      <c r="AF125" s="370">
        <f>AF119/Detached!AF$4</f>
        <v>121.85101786991953</v>
      </c>
      <c r="AG125" s="370">
        <f>AG119/Detached!AG$4</f>
        <v>186.79716121329233</v>
      </c>
      <c r="AH125" s="370">
        <f>AH119/Detached!AH$4</f>
        <v>129.50075196250953</v>
      </c>
      <c r="AI125" s="370">
        <f>AI119/Detached!AI$4</f>
        <v>143.35887985330203</v>
      </c>
      <c r="AJ125" s="370">
        <f>AJ119/Detached!AJ$4</f>
        <v>173.93930954317278</v>
      </c>
      <c r="AK125" s="370">
        <f>AK119/Detached!AK$4</f>
        <v>137.3383146920614</v>
      </c>
      <c r="AL125" s="370">
        <f>AL119/Detached!AL$4</f>
        <v>150.41302501043415</v>
      </c>
      <c r="AM125" s="370">
        <f>AM119/Detached!AM$4</f>
        <v>159.95035069900933</v>
      </c>
      <c r="AN125" s="371">
        <f>AN119/Detached!AN$4</f>
        <v>159.95035069900933</v>
      </c>
    </row>
    <row r="126" spans="1:40">
      <c r="A126" s="154"/>
      <c r="B126" s="347" t="s">
        <v>6</v>
      </c>
      <c r="C126" s="367" t="s">
        <v>190</v>
      </c>
      <c r="D126" s="369">
        <f>D120/Detached!D$4</f>
        <v>92.011570576152977</v>
      </c>
      <c r="E126" s="370">
        <f>E120/Detached!E$4</f>
        <v>163.57516818632456</v>
      </c>
      <c r="F126" s="370">
        <f>F120/Detached!F$4</f>
        <v>134.1593295695418</v>
      </c>
      <c r="G126" s="370">
        <f>G120/Detached!G$4</f>
        <v>89.643057847276069</v>
      </c>
      <c r="H126" s="370">
        <f>H120/Detached!H$4</f>
        <v>51.421095870042322</v>
      </c>
      <c r="I126" s="370">
        <f>I120/Detached!I$4</f>
        <v>109.86253074532581</v>
      </c>
      <c r="J126" s="370">
        <f>J120/Detached!J$4</f>
        <v>65.85944322596319</v>
      </c>
      <c r="K126" s="370">
        <f>K120/Detached!K$4</f>
        <v>75.805378544173934</v>
      </c>
      <c r="L126" s="370">
        <f>L120/Detached!L$4</f>
        <v>74.350464393781394</v>
      </c>
      <c r="M126" s="370">
        <f>M120/Detached!M$4</f>
        <v>104.49942859809214</v>
      </c>
      <c r="N126" s="370">
        <f>N120/Detached!N$4</f>
        <v>127.43495900527614</v>
      </c>
      <c r="O126" s="370">
        <f>O120/Detached!O$4</f>
        <v>60.416652794975377</v>
      </c>
      <c r="P126" s="370">
        <f>P120/Detached!P$4</f>
        <v>143.35887985330203</v>
      </c>
      <c r="Q126" s="370">
        <f>Q120/Detached!Q$4</f>
        <v>119.95609934074471</v>
      </c>
      <c r="R126" s="370">
        <f>R120/Detached!R$4</f>
        <v>121.57815311434751</v>
      </c>
      <c r="S126" s="370">
        <f>S120/Detached!S$4</f>
        <v>107.37449322975206</v>
      </c>
      <c r="T126" s="370">
        <f>T120/Detached!T$4</f>
        <v>108.39595829235111</v>
      </c>
      <c r="U126" s="370">
        <f>U120/Detached!U$4</f>
        <v>97.806711382333503</v>
      </c>
      <c r="V126" s="370">
        <f>V120/Detached!V$4</f>
        <v>126.49318589906321</v>
      </c>
      <c r="W126" s="370">
        <f>W120/Detached!W$4</f>
        <v>92.248397868761643</v>
      </c>
      <c r="X126" s="370">
        <f>X120/Detached!X$4</f>
        <v>117.19674127940483</v>
      </c>
      <c r="Y126" s="370">
        <f>Y120/Detached!Y$4</f>
        <v>44.85400525453759</v>
      </c>
      <c r="Z126" s="370">
        <f>Z120/Detached!Z$4</f>
        <v>100.88051657880973</v>
      </c>
      <c r="AA126" s="370">
        <f>AA120/Detached!AA$4</f>
        <v>101.44289844007042</v>
      </c>
      <c r="AB126" s="370">
        <f>AB120/Detached!AB$4</f>
        <v>142.76770718393306</v>
      </c>
      <c r="AC126" s="370">
        <f>AC120/Detached!AC$4</f>
        <v>78.304373481411005</v>
      </c>
      <c r="AD126" s="370">
        <f>AD120/Detached!AD$4</f>
        <v>187.70982085115074</v>
      </c>
      <c r="AE126" s="370">
        <f>AE120/Detached!AE$4</f>
        <v>97.813520918835167</v>
      </c>
      <c r="AF126" s="370">
        <f>AF120/Detached!AF$4</f>
        <v>93.506081696337816</v>
      </c>
      <c r="AG126" s="370">
        <f>AG120/Detached!AG$4</f>
        <v>179.02206093233551</v>
      </c>
      <c r="AH126" s="370">
        <f>AH120/Detached!AH$4</f>
        <v>97.210298407922124</v>
      </c>
      <c r="AI126" s="370">
        <f>AI120/Detached!AI$4</f>
        <v>143.35887985330203</v>
      </c>
      <c r="AJ126" s="370">
        <f>AJ120/Detached!AJ$4</f>
        <v>168.6398784144055</v>
      </c>
      <c r="AK126" s="370">
        <f>AK120/Detached!AK$4</f>
        <v>132.79623719565058</v>
      </c>
      <c r="AL126" s="370">
        <f>AL120/Detached!AL$4</f>
        <v>129.42789601768143</v>
      </c>
      <c r="AM126" s="370">
        <f>AM120/Detached!AM$4</f>
        <v>155.07712296355496</v>
      </c>
      <c r="AN126" s="371">
        <f>AN120/Detached!AN$4</f>
        <v>155.07712296355496</v>
      </c>
    </row>
    <row r="127" spans="1:40">
      <c r="A127" s="155"/>
      <c r="B127" s="338" t="s">
        <v>7</v>
      </c>
      <c r="C127" s="368" t="s">
        <v>190</v>
      </c>
      <c r="D127" s="378">
        <f>D121/Detached!D$4</f>
        <v>82.930180092782578</v>
      </c>
      <c r="E127" s="379">
        <f>E121/Detached!E$4</f>
        <v>103.66957595191299</v>
      </c>
      <c r="F127" s="379">
        <f>F121/Detached!F$4</f>
        <v>94.717281958263186</v>
      </c>
      <c r="G127" s="379">
        <f>G121/Detached!G$4</f>
        <v>80.795435669577202</v>
      </c>
      <c r="H127" s="379">
        <f>H121/Detached!H$4</f>
        <v>42.632641988633132</v>
      </c>
      <c r="I127" s="379">
        <f>I121/Detached!I$4</f>
        <v>87.499395840350431</v>
      </c>
      <c r="J127" s="379">
        <f>J121/Detached!J$4</f>
        <v>70.979148220294761</v>
      </c>
      <c r="K127" s="379">
        <f>K121/Detached!K$4</f>
        <v>55.964015399468295</v>
      </c>
      <c r="L127" s="379">
        <f>L121/Detached!L$4</f>
        <v>74.350464393781394</v>
      </c>
      <c r="M127" s="379">
        <f>M121/Detached!M$4</f>
        <v>73.64816556555013</v>
      </c>
      <c r="N127" s="379">
        <f>N121/Detached!N$4</f>
        <v>114.86332900233975</v>
      </c>
      <c r="O127" s="379">
        <f>O121/Detached!O$4</f>
        <v>58.515522037541409</v>
      </c>
      <c r="P127" s="379">
        <f>P121/Detached!P$4</f>
        <v>65.487016161519378</v>
      </c>
      <c r="Q127" s="379">
        <f>Q121/Detached!Q$4</f>
        <v>79.674132323839373</v>
      </c>
      <c r="R127" s="379">
        <f>R121/Detached!R$4</f>
        <v>77.98224124155773</v>
      </c>
      <c r="S127" s="379">
        <f>S121/Detached!S$4</f>
        <v>69.44729431215768</v>
      </c>
      <c r="T127" s="379">
        <f>T121/Detached!T$4</f>
        <v>97.702551301819256</v>
      </c>
      <c r="U127" s="379">
        <f>U121/Detached!U$4</f>
        <v>91.264431944395668</v>
      </c>
      <c r="V127" s="379">
        <f>V121/Detached!V$4</f>
        <v>79.935563366468514</v>
      </c>
      <c r="W127" s="379">
        <f>W121/Detached!W$4</f>
        <v>74.495806634463349</v>
      </c>
      <c r="X127" s="379">
        <f>X121/Detached!X$4</f>
        <v>79.461423979345938</v>
      </c>
      <c r="Y127" s="379">
        <f>Y121/Detached!Y$4</f>
        <v>42.844336218819826</v>
      </c>
      <c r="Z127" s="379">
        <f>Z121/Detached!Z$4</f>
        <v>72.616525412452276</v>
      </c>
      <c r="AA127" s="379">
        <f>AA121/Detached!AA$4</f>
        <v>87.960316674215946</v>
      </c>
      <c r="AB127" s="379">
        <f>AB121/Detached!AB$4</f>
        <v>111.2835090430643</v>
      </c>
      <c r="AC127" s="379">
        <f>AC121/Detached!AC$4</f>
        <v>56.476097978321349</v>
      </c>
      <c r="AD127" s="379">
        <f>AD121/Detached!AD$4</f>
        <v>144.95350897977761</v>
      </c>
      <c r="AE127" s="379">
        <f>AE121/Detached!AE$4</f>
        <v>84.813312783285809</v>
      </c>
      <c r="AF127" s="379">
        <f>AF121/Detached!AF$4</f>
        <v>57.141297045744267</v>
      </c>
      <c r="AG127" s="379">
        <f>AG121/Detached!AG$4</f>
        <v>110.28299743213653</v>
      </c>
      <c r="AH127" s="379">
        <f>AH121/Detached!AH$4</f>
        <v>82.685362380457832</v>
      </c>
      <c r="AI127" s="379">
        <f>AI121/Detached!AI$4</f>
        <v>65.487016161519378</v>
      </c>
      <c r="AJ127" s="379">
        <f>AJ121/Detached!AJ$4</f>
        <v>147.59806101056969</v>
      </c>
      <c r="AK127" s="379">
        <f>AK121/Detached!AK$4</f>
        <v>116.62475336353236</v>
      </c>
      <c r="AL127" s="379">
        <f>AL121/Detached!AL$4</f>
        <v>91.168600525717835</v>
      </c>
      <c r="AM127" s="379">
        <f>AM121/Detached!AM$4</f>
        <v>135.72758040225904</v>
      </c>
      <c r="AN127" s="380">
        <f>AN121/Detached!AN$4</f>
        <v>135.72758040225904</v>
      </c>
    </row>
    <row r="128" spans="1:40">
      <c r="A128" s="334" t="s">
        <v>299</v>
      </c>
      <c r="B128" s="359" t="s">
        <v>2</v>
      </c>
      <c r="C128" s="366" t="s">
        <v>190</v>
      </c>
      <c r="D128" s="376">
        <f>Detached!D$47-D122</f>
        <v>17.532925936084354</v>
      </c>
      <c r="E128" s="376">
        <f>Detached!E$47-E122</f>
        <v>33.202514938560256</v>
      </c>
      <c r="F128" s="376">
        <f>Detached!F$47-F122</f>
        <v>18.688850620325439</v>
      </c>
      <c r="G128" s="376">
        <f>Detached!G$47-G122</f>
        <v>17.08160271668882</v>
      </c>
      <c r="H128" s="376">
        <f>Detached!H$47-H122</f>
        <v>16.700335014725468</v>
      </c>
      <c r="I128" s="376">
        <f>Detached!I$47-I122</f>
        <v>19.183846658866941</v>
      </c>
      <c r="J128" s="376">
        <f>Detached!J$47-J122</f>
        <v>39.036159806699203</v>
      </c>
      <c r="K128" s="376">
        <f>Detached!K$47-K122</f>
        <v>6.2449066256591692</v>
      </c>
      <c r="L128" s="376">
        <f>Detached!L$47-L122</f>
        <v>9.5745396538788725</v>
      </c>
      <c r="M128" s="376">
        <f>Detached!M$47-M122</f>
        <v>18.272880475312633</v>
      </c>
      <c r="N128" s="376">
        <f>Detached!N$47-N122</f>
        <v>9.9005842629562721</v>
      </c>
      <c r="O128" s="376">
        <f>Detached!O$47-O122</f>
        <v>37.674196344145741</v>
      </c>
      <c r="P128" s="376">
        <f>Detached!P$47-P122</f>
        <v>31.713157889901908</v>
      </c>
      <c r="Q128" s="376">
        <f>Detached!Q$47-Q122</f>
        <v>16.151074324753182</v>
      </c>
      <c r="R128" s="376">
        <f>Detached!R$47-R122</f>
        <v>19.894769801919381</v>
      </c>
      <c r="S128" s="376">
        <f>Detached!S$47-S122</f>
        <v>44.885197839795723</v>
      </c>
      <c r="T128" s="376">
        <f>Detached!T$47-T122</f>
        <v>8.4214200499949641</v>
      </c>
      <c r="U128" s="376">
        <f>Detached!U$47-U122</f>
        <v>23.633241874443769</v>
      </c>
      <c r="V128" s="376">
        <f>Detached!V$47-V122</f>
        <v>17.712998241423776</v>
      </c>
      <c r="W128" s="376">
        <f>Detached!W$47-W122</f>
        <v>27.336744406597944</v>
      </c>
      <c r="X128" s="376">
        <f>Detached!X$47-X122</f>
        <v>30.252609857188418</v>
      </c>
      <c r="Y128" s="376">
        <f>Detached!Y$47-Y122</f>
        <v>6.4167443617731692</v>
      </c>
      <c r="Z128" s="376">
        <f>Detached!Z$47-Z122</f>
        <v>46.608120506503241</v>
      </c>
      <c r="AA128" s="376">
        <f>Detached!AA$47-AA122</f>
        <v>11.956406067424638</v>
      </c>
      <c r="AB128" s="376">
        <f>Detached!AB$47-AB122</f>
        <v>43.198472884676875</v>
      </c>
      <c r="AC128" s="376">
        <f>Detached!AC$47-AC122</f>
        <v>25.227847938939775</v>
      </c>
      <c r="AD128" s="376">
        <f>Detached!AD$47-AD122</f>
        <v>24.56138839925714</v>
      </c>
      <c r="AE128" s="376">
        <f>Detached!AE$47-AE122</f>
        <v>11.528635251693203</v>
      </c>
      <c r="AF128" s="376">
        <f>Detached!AF$47-AF122</f>
        <v>21.043005085846744</v>
      </c>
      <c r="AG128" s="376">
        <f>Detached!AG$47-AG122</f>
        <v>42.091179624590211</v>
      </c>
      <c r="AH128" s="376">
        <f>Detached!AH$47-AH122</f>
        <v>46.803610031926326</v>
      </c>
      <c r="AI128" s="376">
        <f>Detached!AI$47-AI122</f>
        <v>31.713157889901908</v>
      </c>
      <c r="AJ128" s="376">
        <f>Detached!AJ$47-AJ122</f>
        <v>18.754067983637299</v>
      </c>
      <c r="AK128" s="376">
        <f>Detached!AK$47-AK122</f>
        <v>16.999867554594289</v>
      </c>
      <c r="AL128" s="376">
        <f>Detached!AL$47-AL122</f>
        <v>18.790241255868153</v>
      </c>
      <c r="AM128" s="376">
        <f>Detached!AM$47-AM122</f>
        <v>17.245783939778676</v>
      </c>
      <c r="AN128" s="377">
        <f>Detached!AN$47-AN122</f>
        <v>17.245783939778676</v>
      </c>
    </row>
    <row r="129" spans="1:40">
      <c r="A129" s="154"/>
      <c r="B129" s="347" t="s">
        <v>3</v>
      </c>
      <c r="C129" s="367" t="s">
        <v>190</v>
      </c>
      <c r="D129" s="370">
        <f>Detached!D$48-D123</f>
        <v>13.608129626285944</v>
      </c>
      <c r="E129" s="370">
        <f>Detached!E$48-E123</f>
        <v>33.202514938560256</v>
      </c>
      <c r="F129" s="370">
        <f>Detached!F$48-F123</f>
        <v>18.688850620325439</v>
      </c>
      <c r="G129" s="370">
        <f>Detached!G$48-G123</f>
        <v>13.257836418222666</v>
      </c>
      <c r="H129" s="370">
        <f>Detached!H$48-H123</f>
        <v>16.917319969958996</v>
      </c>
      <c r="I129" s="370">
        <f>Detached!I$48-I123</f>
        <v>10.378625518714784</v>
      </c>
      <c r="J129" s="370">
        <f>Detached!J$48-J123</f>
        <v>38.369907263997561</v>
      </c>
      <c r="K129" s="370">
        <f>Detached!K$48-K123</f>
        <v>5.0142457111894885</v>
      </c>
      <c r="L129" s="370">
        <f>Detached!L$48-L123</f>
        <v>9.5745396538788725</v>
      </c>
      <c r="M129" s="370">
        <f>Detached!M$48-M123</f>
        <v>13.820499712691458</v>
      </c>
      <c r="N129" s="370">
        <f>Detached!N$48-N123</f>
        <v>9.3033777537641811</v>
      </c>
      <c r="O129" s="370">
        <f>Detached!O$48-O123</f>
        <v>37.674196344145741</v>
      </c>
      <c r="P129" s="370">
        <f>Detached!P$48-P123</f>
        <v>31.713157889901908</v>
      </c>
      <c r="Q129" s="370">
        <f>Detached!Q$48-Q123</f>
        <v>15.996091278375587</v>
      </c>
      <c r="R129" s="370">
        <f>Detached!R$48-R123</f>
        <v>19.894769801919381</v>
      </c>
      <c r="S129" s="370">
        <f>Detached!S$48-S123</f>
        <v>47.642374665973847</v>
      </c>
      <c r="T129" s="370">
        <f>Detached!T$48-T123</f>
        <v>7.9134372141419931</v>
      </c>
      <c r="U129" s="370">
        <f>Detached!U$48-U123</f>
        <v>22.456243726236949</v>
      </c>
      <c r="V129" s="370">
        <f>Detached!V$48-V123</f>
        <v>17.712998241423776</v>
      </c>
      <c r="W129" s="370">
        <f>Detached!W$48-W123</f>
        <v>15.438374187741346</v>
      </c>
      <c r="X129" s="370">
        <f>Detached!X$48-X123</f>
        <v>30.338932103534091</v>
      </c>
      <c r="Y129" s="370">
        <f>Detached!Y$48-Y123</f>
        <v>6.3394988764536322</v>
      </c>
      <c r="Z129" s="370">
        <f>Detached!Z$48-Z123</f>
        <v>20.330791469019516</v>
      </c>
      <c r="AA129" s="370">
        <f>Detached!AA$48-AA123</f>
        <v>11.967058237261227</v>
      </c>
      <c r="AB129" s="370">
        <f>Detached!AB$48-AB123</f>
        <v>16.689038142919998</v>
      </c>
      <c r="AC129" s="370">
        <f>Detached!AC$48-AC123</f>
        <v>23.825468515837088</v>
      </c>
      <c r="AD129" s="370">
        <f>Detached!AD$48-AD123</f>
        <v>22.815312501691182</v>
      </c>
      <c r="AE129" s="370">
        <f>Detached!AE$48-AE123</f>
        <v>11.538906313080105</v>
      </c>
      <c r="AF129" s="370">
        <f>Detached!AF$48-AF123</f>
        <v>21.043005085846744</v>
      </c>
      <c r="AG129" s="370">
        <f>Detached!AG$48-AG123</f>
        <v>30.695700021111691</v>
      </c>
      <c r="AH129" s="370">
        <f>Detached!AH$48-AH123</f>
        <v>49.34421518703931</v>
      </c>
      <c r="AI129" s="370">
        <f>Detached!AI$48-AI123</f>
        <v>31.713157889901908</v>
      </c>
      <c r="AJ129" s="370">
        <f>Detached!AJ$48-AJ123</f>
        <v>18.754067983637299</v>
      </c>
      <c r="AK129" s="370">
        <f>Detached!AK$48-AK123</f>
        <v>16.999867554594289</v>
      </c>
      <c r="AL129" s="370">
        <f>Detached!AL$48-AL123</f>
        <v>18.790241255868153</v>
      </c>
      <c r="AM129" s="370">
        <f>Detached!AM$48-AM123</f>
        <v>17.245783939778676</v>
      </c>
      <c r="AN129" s="371">
        <f>Detached!AN$48-AN123</f>
        <v>17.245783939778676</v>
      </c>
    </row>
    <row r="130" spans="1:40">
      <c r="A130" s="154"/>
      <c r="B130" s="347" t="s">
        <v>4</v>
      </c>
      <c r="C130" s="367" t="s">
        <v>190</v>
      </c>
      <c r="D130" s="370">
        <f>Detached!D$49-D124</f>
        <v>6.8934794256997236</v>
      </c>
      <c r="E130" s="370">
        <f>Detached!E$49-E124</f>
        <v>33.202514938560256</v>
      </c>
      <c r="F130" s="370">
        <f>Detached!F$49-F124</f>
        <v>17.001993450426681</v>
      </c>
      <c r="G130" s="370">
        <f>Detached!G$49-G124</f>
        <v>6.7160311584461567</v>
      </c>
      <c r="H130" s="370">
        <f>Detached!H$49-H124</f>
        <v>16.757099654671023</v>
      </c>
      <c r="I130" s="370">
        <f>Detached!I$49-I124</f>
        <v>10.378625518714784</v>
      </c>
      <c r="J130" s="370">
        <f>Detached!J$49-J124</f>
        <v>9.3014579144985419</v>
      </c>
      <c r="K130" s="370">
        <f>Detached!K$49-K124</f>
        <v>3.2153943224087129</v>
      </c>
      <c r="L130" s="370">
        <f>Detached!L$49-L124</f>
        <v>6.515942596654213</v>
      </c>
      <c r="M130" s="370">
        <f>Detached!M$49-M124</f>
        <v>13.820499712691458</v>
      </c>
      <c r="N130" s="370">
        <f>Detached!N$49-N124</f>
        <v>6.3318229435077455</v>
      </c>
      <c r="O130" s="370">
        <f>Detached!O$49-O124</f>
        <v>5.4914511488011044</v>
      </c>
      <c r="P130" s="370">
        <f>Detached!P$49-P124</f>
        <v>31.713157889901908</v>
      </c>
      <c r="Q130" s="370">
        <f>Detached!Q$49-Q124</f>
        <v>16.826794496858412</v>
      </c>
      <c r="R130" s="370">
        <f>Detached!R$49-R124</f>
        <v>14.084831129291956</v>
      </c>
      <c r="S130" s="370">
        <f>Detached!S$49-S124</f>
        <v>20.641975732607449</v>
      </c>
      <c r="T130" s="370">
        <f>Detached!T$49-T124</f>
        <v>5.385837772118748</v>
      </c>
      <c r="U130" s="370">
        <f>Detached!U$49-U124</f>
        <v>21.317554950523572</v>
      </c>
      <c r="V130" s="370">
        <f>Detached!V$49-V124</f>
        <v>8.3951342600730925</v>
      </c>
      <c r="W130" s="370">
        <f>Detached!W$49-W124</f>
        <v>8.9266876618610098</v>
      </c>
      <c r="X130" s="370">
        <f>Detached!X$49-X124</f>
        <v>24.344497989808588</v>
      </c>
      <c r="Y130" s="370">
        <f>Detached!Y$49-Y124</f>
        <v>6.5517045486183676</v>
      </c>
      <c r="Z130" s="370">
        <f>Detached!Z$49-Z124</f>
        <v>20.453503564985851</v>
      </c>
      <c r="AA130" s="370">
        <f>Detached!AA$49-AA124</f>
        <v>2.9629150802532109</v>
      </c>
      <c r="AB130" s="370">
        <f>Detached!AB$49-AB124</f>
        <v>10.068991598070852</v>
      </c>
      <c r="AC130" s="370">
        <f>Detached!AC$49-AC124</f>
        <v>22.02388485353201</v>
      </c>
      <c r="AD130" s="370">
        <f>Detached!AD$49-AD124</f>
        <v>22.815312501691182</v>
      </c>
      <c r="AE130" s="370">
        <f>Detached!AE$49-AE124</f>
        <v>2.8569092626458996</v>
      </c>
      <c r="AF130" s="370">
        <f>Detached!AF$49-AF124</f>
        <v>14.757969510170796</v>
      </c>
      <c r="AG130" s="370">
        <f>Detached!AG$49-AG124</f>
        <v>30.695700021111691</v>
      </c>
      <c r="AH130" s="370">
        <f>Detached!AH$49-AH124</f>
        <v>21.808515348493472</v>
      </c>
      <c r="AI130" s="370">
        <f>Detached!AI$49-AI124</f>
        <v>31.713157889901908</v>
      </c>
      <c r="AJ130" s="370">
        <f>Detached!AJ$49-AJ124</f>
        <v>18.754067983637299</v>
      </c>
      <c r="AK130" s="370">
        <f>Detached!AK$49-AK124</f>
        <v>16.999867554594289</v>
      </c>
      <c r="AL130" s="370">
        <f>Detached!AL$49-AL124</f>
        <v>17.096437369664898</v>
      </c>
      <c r="AM130" s="370">
        <f>Detached!AM$49-AM124</f>
        <v>17.245783939778676</v>
      </c>
      <c r="AN130" s="371">
        <f>Detached!AN$49-AN124</f>
        <v>17.245783939778676</v>
      </c>
    </row>
    <row r="131" spans="1:40">
      <c r="A131" s="154"/>
      <c r="B131" s="347" t="s">
        <v>5</v>
      </c>
      <c r="C131" s="367" t="s">
        <v>190</v>
      </c>
      <c r="D131" s="370">
        <f>Detached!D$50-D125</f>
        <v>3.9810255764526801</v>
      </c>
      <c r="E131" s="370">
        <f>Detached!E$50-E125</f>
        <v>22.560278288351412</v>
      </c>
      <c r="F131" s="370">
        <f>Detached!F$50-F125</f>
        <v>16.119942531317207</v>
      </c>
      <c r="G131" s="370">
        <f>Detached!G$50-G125</f>
        <v>3.8785481413565606</v>
      </c>
      <c r="H131" s="370">
        <f>Detached!H$50-H125</f>
        <v>16.853900793669368</v>
      </c>
      <c r="I131" s="370">
        <f>Detached!I$50-I125</f>
        <v>8.1559563854126793</v>
      </c>
      <c r="J131" s="370">
        <f>Detached!J$50-J125</f>
        <v>3.5279667901203169</v>
      </c>
      <c r="K131" s="370">
        <f>Detached!K$50-K125</f>
        <v>2.5266855085993711</v>
      </c>
      <c r="L131" s="370">
        <f>Detached!L$50-L125</f>
        <v>3.4746290380887643</v>
      </c>
      <c r="M131" s="370">
        <f>Detached!M$50-M125</f>
        <v>10.059846526326055</v>
      </c>
      <c r="N131" s="370">
        <f>Detached!N$50-N125</f>
        <v>4.3639150150579553</v>
      </c>
      <c r="O131" s="370">
        <f>Detached!O$50-O125</f>
        <v>3.3693863755819251</v>
      </c>
      <c r="P131" s="370">
        <f>Detached!P$50-P125</f>
        <v>31.887482510177364</v>
      </c>
      <c r="Q131" s="370">
        <f>Detached!Q$50-Q125</f>
        <v>16.826794496858412</v>
      </c>
      <c r="R131" s="370">
        <f>Detached!R$50-R125</f>
        <v>8.5522150136641244</v>
      </c>
      <c r="S131" s="370">
        <f>Detached!S$50-S125</f>
        <v>5.6052742059881382</v>
      </c>
      <c r="T131" s="370">
        <f>Detached!T$50-T125</f>
        <v>3.7119386521245019</v>
      </c>
      <c r="U131" s="370">
        <f>Detached!U$50-U125</f>
        <v>16.561648737463941</v>
      </c>
      <c r="V131" s="370">
        <f>Detached!V$50-V125</f>
        <v>8.3951342600730925</v>
      </c>
      <c r="W131" s="370">
        <f>Detached!W$50-W125</f>
        <v>4.4566297745518284</v>
      </c>
      <c r="X131" s="370">
        <f>Detached!X$50-X125</f>
        <v>10.400184215924185</v>
      </c>
      <c r="Y131" s="370">
        <f>Detached!Y$50-Y125</f>
        <v>6.6511616047408069</v>
      </c>
      <c r="Z131" s="370">
        <f>Detached!Z$50-Z125</f>
        <v>9.8891308081774412</v>
      </c>
      <c r="AA131" s="370">
        <f>Detached!AA$50-AA125</f>
        <v>2.9716833552926829</v>
      </c>
      <c r="AB131" s="370">
        <f>Detached!AB$50-AB125</f>
        <v>10.068991598070852</v>
      </c>
      <c r="AC131" s="370">
        <f>Detached!AC$50-AC125</f>
        <v>21.197805980827255</v>
      </c>
      <c r="AD131" s="370">
        <f>Detached!AD$50-AD125</f>
        <v>21.27138412666514</v>
      </c>
      <c r="AE131" s="370">
        <f>Detached!AE$50-AE125</f>
        <v>2.8653638303601667</v>
      </c>
      <c r="AF131" s="370">
        <f>Detached!AF$50-AF125</f>
        <v>13.296757853515317</v>
      </c>
      <c r="AG131" s="370">
        <f>Detached!AG$50-AG125</f>
        <v>19.020216670519346</v>
      </c>
      <c r="AH131" s="370">
        <f>Detached!AH$50-AH125</f>
        <v>10.139824985610545</v>
      </c>
      <c r="AI131" s="370">
        <f>Detached!AI$50-AI125</f>
        <v>31.887482510177364</v>
      </c>
      <c r="AJ131" s="370">
        <f>Detached!AJ$50-AJ125</f>
        <v>10.861437150946102</v>
      </c>
      <c r="AK131" s="370">
        <f>Detached!AK$50-AK125</f>
        <v>9.8560052946657208</v>
      </c>
      <c r="AL131" s="370">
        <f>Detached!AL$50-AL125</f>
        <v>16.21588567660578</v>
      </c>
      <c r="AM131" s="370">
        <f>Detached!AM$50-AM125</f>
        <v>9.9879129447612058</v>
      </c>
      <c r="AN131" s="371">
        <f>Detached!AN$50-AN125</f>
        <v>9.9879129447612058</v>
      </c>
    </row>
    <row r="132" spans="1:40">
      <c r="A132" s="154"/>
      <c r="B132" s="347" t="s">
        <v>6</v>
      </c>
      <c r="C132" s="367" t="s">
        <v>190</v>
      </c>
      <c r="D132" s="370">
        <f>Detached!D$51-D126</f>
        <v>4.1033112414365007</v>
      </c>
      <c r="E132" s="370">
        <f>Detached!E$51-E126</f>
        <v>22.560278288351412</v>
      </c>
      <c r="F132" s="370">
        <f>Detached!F$51-F126</f>
        <v>6.0449134667931048</v>
      </c>
      <c r="G132" s="370">
        <f>Detached!G$51-G126</f>
        <v>3.9976859940352227</v>
      </c>
      <c r="H132" s="370">
        <f>Detached!H$51-H126</f>
        <v>17.440414503174651</v>
      </c>
      <c r="I132" s="370">
        <f>Detached!I$51-I126</f>
        <v>5.0340016183911729</v>
      </c>
      <c r="J132" s="370">
        <f>Detached!J$51-J126</f>
        <v>2.1894423711437412</v>
      </c>
      <c r="K132" s="370">
        <f>Detached!K$51-K126</f>
        <v>2.5266855085993711</v>
      </c>
      <c r="L132" s="370">
        <f>Detached!L$51-L126</f>
        <v>2.2979471874830182</v>
      </c>
      <c r="M132" s="370">
        <f>Detached!M$51-M126</f>
        <v>10.059846526326055</v>
      </c>
      <c r="N132" s="370">
        <f>Detached!N$51-N126</f>
        <v>4.2143467953151799</v>
      </c>
      <c r="O132" s="370">
        <f>Detached!O$51-O126</f>
        <v>1.8842436303355967</v>
      </c>
      <c r="P132" s="370">
        <f>Detached!P$51-P126</f>
        <v>31.887482510177364</v>
      </c>
      <c r="Q132" s="370">
        <f>Detached!Q$51-Q126</f>
        <v>9.0282547742222619</v>
      </c>
      <c r="R132" s="370">
        <f>Detached!R$51-R126</f>
        <v>8.5522150136641244</v>
      </c>
      <c r="S132" s="370">
        <f>Detached!S$51-S126</f>
        <v>5.7661087556179069</v>
      </c>
      <c r="T132" s="370">
        <f>Detached!T$51-T126</f>
        <v>3.5847161800834755</v>
      </c>
      <c r="U132" s="370">
        <f>Detached!U$51-U126</f>
        <v>13.857532555118169</v>
      </c>
      <c r="V132" s="370">
        <f>Detached!V$51-V126</f>
        <v>8.3951342600730925</v>
      </c>
      <c r="W132" s="370">
        <f>Detached!W$51-W126</f>
        <v>3.2391562951903694</v>
      </c>
      <c r="X132" s="370">
        <f>Detached!X$51-X126</f>
        <v>8.9352692462885841</v>
      </c>
      <c r="Y132" s="370">
        <f>Detached!Y$51-Y126</f>
        <v>5.9247373155520222</v>
      </c>
      <c r="Z132" s="370">
        <f>Detached!Z$51-Z126</f>
        <v>8.1440572770981134</v>
      </c>
      <c r="AA132" s="370">
        <f>Detached!AA$51-AA126</f>
        <v>2.2134643596939299</v>
      </c>
      <c r="AB132" s="370">
        <f>Detached!AB$51-AB126</f>
        <v>10.068991598070852</v>
      </c>
      <c r="AC132" s="370">
        <f>Detached!AC$51-AC126</f>
        <v>19.62062580583752</v>
      </c>
      <c r="AD132" s="370">
        <f>Detached!AD$51-AD126</f>
        <v>21.27138412666514</v>
      </c>
      <c r="AE132" s="370">
        <f>Detached!AE$51-AE126</f>
        <v>2.1342720464353278</v>
      </c>
      <c r="AF132" s="370">
        <f>Detached!AF$51-AF126</f>
        <v>6.2705285784087295</v>
      </c>
      <c r="AG132" s="370">
        <f>Detached!AG$51-AG126</f>
        <v>10.842295544433995</v>
      </c>
      <c r="AH132" s="370">
        <f>Detached!AH$51-AH126</f>
        <v>5.7659956880716976</v>
      </c>
      <c r="AI132" s="370">
        <f>Detached!AI$51-AI126</f>
        <v>31.887482510177364</v>
      </c>
      <c r="AJ132" s="370">
        <f>Detached!AJ$51-AJ126</f>
        <v>8.0521530615772292</v>
      </c>
      <c r="AK132" s="370">
        <f>Detached!AK$51-AK126</f>
        <v>7.3118136934348001</v>
      </c>
      <c r="AL132" s="370">
        <f>Detached!AL$51-AL126</f>
        <v>6.0852922779350536</v>
      </c>
      <c r="AM132" s="370">
        <f>Detached!AM$51-AM126</f>
        <v>7.4045637496434438</v>
      </c>
      <c r="AN132" s="371">
        <f>Detached!AN$51-AN126</f>
        <v>7.4045637496434438</v>
      </c>
    </row>
    <row r="133" spans="1:40">
      <c r="A133" s="155"/>
      <c r="B133" s="338" t="s">
        <v>7</v>
      </c>
      <c r="C133" s="368" t="s">
        <v>190</v>
      </c>
      <c r="D133" s="379">
        <f>Detached!D$52-D127</f>
        <v>2.5444967532700247</v>
      </c>
      <c r="E133" s="379">
        <f>Detached!E$52-E127</f>
        <v>8.0302867424063322</v>
      </c>
      <c r="F133" s="379">
        <f>Detached!F$52-F127</f>
        <v>2.9094657883762665</v>
      </c>
      <c r="G133" s="379">
        <f>Detached!G$52-G127</f>
        <v>2.4789976762412635</v>
      </c>
      <c r="H133" s="379">
        <f>Detached!H$52-H127</f>
        <v>17.960237971604862</v>
      </c>
      <c r="I133" s="379">
        <f>Detached!I$52-I127</f>
        <v>2.9001475130063028</v>
      </c>
      <c r="J133" s="379">
        <f>Detached!J$52-J127</f>
        <v>2.3307838898360984</v>
      </c>
      <c r="K133" s="379">
        <f>Detached!K$52-K127</f>
        <v>1.225253391011222</v>
      </c>
      <c r="L133" s="379">
        <f>Detached!L$52-L127</f>
        <v>2.2979471874830182</v>
      </c>
      <c r="M133" s="379">
        <f>Detached!M$52-M127</f>
        <v>4.6839112572629631</v>
      </c>
      <c r="N133" s="379">
        <f>Detached!N$52-N127</f>
        <v>3.0777984989273079</v>
      </c>
      <c r="O133" s="379">
        <f>Detached!O$52-O127</f>
        <v>1.7413074039681788</v>
      </c>
      <c r="P133" s="379">
        <f>Detached!P$52-P127</f>
        <v>5.4909520556042537</v>
      </c>
      <c r="Q133" s="379">
        <f>Detached!Q$52-Q127</f>
        <v>2.733787577207579</v>
      </c>
      <c r="R133" s="379">
        <f>Detached!R$52-R127</f>
        <v>2.4946789439586183</v>
      </c>
      <c r="S133" s="379">
        <f>Detached!S$52-S127</f>
        <v>3.5674992780802768</v>
      </c>
      <c r="T133" s="379">
        <f>Detached!T$52-T127</f>
        <v>2.6179701419935526</v>
      </c>
      <c r="U133" s="379">
        <f>Detached!U$52-U127</f>
        <v>14.026791884317078</v>
      </c>
      <c r="V133" s="379">
        <f>Detached!V$52-V127</f>
        <v>2.1561966789377465</v>
      </c>
      <c r="W133" s="379">
        <f>Detached!W$52-W127</f>
        <v>2.8129741702448712</v>
      </c>
      <c r="X133" s="379">
        <f>Detached!X$52-X127</f>
        <v>2.266073255837469</v>
      </c>
      <c r="Y133" s="379">
        <f>Detached!Y$52-Y127</f>
        <v>5.9728573837196492</v>
      </c>
      <c r="Z133" s="379">
        <f>Detached!Z$52-Z127</f>
        <v>5.1980268148605546</v>
      </c>
      <c r="AA133" s="379">
        <f>Detached!AA$52-AA127</f>
        <v>2.2735553834892102</v>
      </c>
      <c r="AB133" s="379">
        <f>Detached!AB$52-AB127</f>
        <v>11.178726136533811</v>
      </c>
      <c r="AC133" s="379">
        <f>Detached!AC$52-AC127</f>
        <v>10.388433872213511</v>
      </c>
      <c r="AD133" s="379">
        <f>Detached!AD$52-AD127</f>
        <v>17.720013016648295</v>
      </c>
      <c r="AE133" s="379">
        <f>Detached!AE$52-AE127</f>
        <v>2.1922131611255935</v>
      </c>
      <c r="AF133" s="379">
        <f>Detached!AF$52-AF127</f>
        <v>1.9332125595327483</v>
      </c>
      <c r="AG133" s="379">
        <f>Detached!AG$52-AG127</f>
        <v>3.8084595329268751</v>
      </c>
      <c r="AH133" s="379">
        <f>Detached!AH$52-AH127</f>
        <v>3.7504194382818241</v>
      </c>
      <c r="AI133" s="379">
        <f>Detached!AI$52-AI127</f>
        <v>5.4909520556042537</v>
      </c>
      <c r="AJ133" s="379">
        <f>Detached!AJ$52-AJ127</f>
        <v>5.4710480106847115</v>
      </c>
      <c r="AK133" s="379">
        <f>Detached!AK$52-AK127</f>
        <v>4.9655970240580984</v>
      </c>
      <c r="AL133" s="379">
        <f>Detached!AL$52-AL127</f>
        <v>2.9303151961794782</v>
      </c>
      <c r="AM133" s="379">
        <f>Detached!AM$52-AM127</f>
        <v>5.0310424382989822</v>
      </c>
      <c r="AN133" s="380">
        <f>Detached!AN$52-AN127</f>
        <v>5.0310424382989822</v>
      </c>
    </row>
    <row r="134" spans="1:40">
      <c r="A134" s="5"/>
      <c r="B134" s="5"/>
      <c r="C134" s="5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</row>
    <row r="135" spans="1:40">
      <c r="A135" s="5" t="s">
        <v>215</v>
      </c>
      <c r="B135" s="5"/>
      <c r="C135" s="5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</row>
    <row r="136" spans="1:40">
      <c r="A136" s="938" t="s">
        <v>123</v>
      </c>
      <c r="B136" s="939"/>
      <c r="C136" s="138" t="s">
        <v>76</v>
      </c>
      <c r="D136" s="194">
        <v>1</v>
      </c>
      <c r="E136" s="195">
        <v>1</v>
      </c>
      <c r="F136" s="195">
        <v>1</v>
      </c>
      <c r="G136" s="195">
        <v>1</v>
      </c>
      <c r="H136" s="195">
        <v>1</v>
      </c>
      <c r="I136" s="195">
        <v>1</v>
      </c>
      <c r="J136" s="195">
        <v>1</v>
      </c>
      <c r="K136" s="195">
        <v>1</v>
      </c>
      <c r="L136" s="195">
        <v>1</v>
      </c>
      <c r="M136" s="195">
        <v>1</v>
      </c>
      <c r="N136" s="195">
        <v>1</v>
      </c>
      <c r="O136" s="195">
        <v>1</v>
      </c>
      <c r="P136" s="195">
        <v>1</v>
      </c>
      <c r="Q136" s="195">
        <v>1</v>
      </c>
      <c r="R136" s="195">
        <v>1</v>
      </c>
      <c r="S136" s="195">
        <v>1</v>
      </c>
      <c r="T136" s="195">
        <v>1</v>
      </c>
      <c r="U136" s="195">
        <v>1</v>
      </c>
      <c r="V136" s="195">
        <v>1</v>
      </c>
      <c r="W136" s="195">
        <v>1</v>
      </c>
      <c r="X136" s="195">
        <v>1</v>
      </c>
      <c r="Y136" s="195">
        <v>1</v>
      </c>
      <c r="Z136" s="195">
        <v>1</v>
      </c>
      <c r="AA136" s="195">
        <v>1</v>
      </c>
      <c r="AB136" s="195">
        <v>1</v>
      </c>
      <c r="AC136" s="195">
        <v>1</v>
      </c>
      <c r="AD136" s="195">
        <v>1</v>
      </c>
      <c r="AE136" s="195">
        <v>1</v>
      </c>
      <c r="AF136" s="195">
        <v>1</v>
      </c>
      <c r="AG136" s="195">
        <v>1</v>
      </c>
      <c r="AH136" s="195">
        <v>1</v>
      </c>
      <c r="AI136" s="195">
        <v>1</v>
      </c>
      <c r="AJ136" s="195">
        <v>1</v>
      </c>
      <c r="AK136" s="195">
        <v>1</v>
      </c>
      <c r="AL136" s="195">
        <v>1</v>
      </c>
      <c r="AM136" s="195">
        <v>1</v>
      </c>
      <c r="AN136" s="196">
        <v>1</v>
      </c>
    </row>
    <row r="137" spans="1:40">
      <c r="A137" s="151" t="s">
        <v>193</v>
      </c>
      <c r="B137" s="141" t="s">
        <v>2</v>
      </c>
      <c r="C137" s="144" t="s">
        <v>195</v>
      </c>
      <c r="D137" s="170">
        <f>((LOOKUP(Detached!D$2,'Ceiling-U'!$A$4:$A$40,'Ceiling-U'!$X$4:$X$40)*Detached!D$14)+(LOOKUP(Detached!D$2,'Floor-U'!$A$4:$A$40,'Floor-U'!$E$4:$E$40)*Detached!D$15)+(LOOKUP(Detached!D$2,'Wall-U'!$A$4:$A$40,'Wall-U'!$E$4:$E$40)*Detached!D$12)+(LOOKUP(Detached!D$2,'Window-U'!$A$4:$A$40,'Window-U'!$E$4:$E$40)*Detached!D$21))*D136</f>
        <v>464.98041711436372</v>
      </c>
      <c r="E137" s="171">
        <f>((LOOKUP(Detached!E$2,'Ceiling-U'!$A$4:$A$40,'Ceiling-U'!$X$4:$X$40)*Detached!E$14)+(LOOKUP(Detached!E$2,'Floor-U'!$A$4:$A$40,'Floor-U'!$E$4:$E$40)*Detached!E$15)+(LOOKUP(Detached!E$2,'Wall-U'!$A$4:$A$40,'Wall-U'!$E$4:$E$40)*Detached!E$12)+(LOOKUP(Detached!E$2,'Window-U'!$A$4:$A$40,'Window-U'!$E$4:$E$40)*Detached!E$21))*E136</f>
        <v>528.7717756194196</v>
      </c>
      <c r="F137" s="171">
        <f>((LOOKUP(Detached!F$2,'Ceiling-U'!$A$4:$A$40,'Ceiling-U'!$X$4:$X$40)*Detached!F$14)+(LOOKUP(Detached!F$2,'Floor-U'!$A$4:$A$40,'Floor-U'!$E$4:$E$40)*Detached!F$15)+(LOOKUP(Detached!F$2,'Wall-U'!$A$4:$A$40,'Wall-U'!$E$4:$E$40)*Detached!F$12)+(LOOKUP(Detached!F$2,'Window-U'!$A$4:$A$40,'Window-U'!$E$4:$E$40)*Detached!F$21))*F136</f>
        <v>327.41807142365514</v>
      </c>
      <c r="G137" s="171">
        <f>((LOOKUP(Detached!G$2,'Ceiling-U'!$A$4:$A$40,'Ceiling-U'!$X$4:$X$40)*Detached!G$14)+(LOOKUP(Detached!G$2,'Floor-U'!$A$4:$A$40,'Floor-U'!$E$4:$E$40)*Detached!G$15)+(LOOKUP(Detached!G$2,'Wall-U'!$A$4:$A$40,'Wall-U'!$E$4:$E$40)*Detached!G$12)+(LOOKUP(Detached!G$2,'Window-U'!$A$4:$A$40,'Window-U'!$E$4:$E$40)*Detached!G$21))*G136</f>
        <v>464.98041711436372</v>
      </c>
      <c r="H137" s="171">
        <f>((LOOKUP(Detached!H$2,'Ceiling-U'!$A$4:$A$40,'Ceiling-U'!$X$4:$X$40)*Detached!H$14)+(LOOKUP(Detached!H$2,'Floor-U'!$A$4:$A$40,'Floor-U'!$E$4:$E$40)*Detached!H$15)+(LOOKUP(Detached!H$2,'Wall-U'!$A$4:$A$40,'Wall-U'!$E$4:$E$40)*Detached!H$12)+(LOOKUP(Detached!H$2,'Window-U'!$A$4:$A$40,'Window-U'!$E$4:$E$40)*Detached!H$21))*H136</f>
        <v>600.15041608477543</v>
      </c>
      <c r="I137" s="171">
        <f>((LOOKUP(Detached!I$2,'Ceiling-U'!$A$4:$A$40,'Ceiling-U'!$X$4:$X$40)*Detached!I$14)+(LOOKUP(Detached!I$2,'Floor-U'!$A$4:$A$40,'Floor-U'!$E$4:$E$40)*Detached!I$15)+(LOOKUP(Detached!I$2,'Wall-U'!$A$4:$A$40,'Wall-U'!$E$4:$E$40)*Detached!I$12)+(LOOKUP(Detached!I$2,'Window-U'!$A$4:$A$40,'Window-U'!$E$4:$E$40)*Detached!I$21))*I136</f>
        <v>330.26262322295122</v>
      </c>
      <c r="J137" s="171">
        <f>((LOOKUP(Detached!J$2,'Ceiling-U'!$A$4:$A$40,'Ceiling-U'!$X$4:$X$40)*Detached!J$14)+(LOOKUP(Detached!J$2,'Floor-U'!$A$4:$A$40,'Floor-U'!$E$4:$E$40)*Detached!J$15)+(LOOKUP(Detached!J$2,'Wall-U'!$A$4:$A$40,'Wall-U'!$E$4:$E$40)*Detached!J$12)+(LOOKUP(Detached!J$2,'Window-U'!$A$4:$A$40,'Window-U'!$E$4:$E$40)*Detached!J$21))*J136</f>
        <v>490.77254088377947</v>
      </c>
      <c r="K137" s="171">
        <f>((LOOKUP(Detached!K$2,'Ceiling-U'!$A$4:$A$40,'Ceiling-U'!$X$4:$X$40)*Detached!K$14)+(LOOKUP(Detached!K$2,'Floor-U'!$A$4:$A$40,'Floor-U'!$E$4:$E$40)*Detached!K$15)+(LOOKUP(Detached!K$2,'Wall-U'!$A$4:$A$40,'Wall-U'!$E$4:$E$40)*Detached!K$12)+(LOOKUP(Detached!K$2,'Window-U'!$A$4:$A$40,'Window-U'!$E$4:$E$40)*Detached!K$21))*K136</f>
        <v>316.24989363133682</v>
      </c>
      <c r="L137" s="171">
        <f>((LOOKUP(Detached!L$2,'Ceiling-U'!$A$4:$A$40,'Ceiling-U'!$X$4:$X$40)*Detached!L$14)+(LOOKUP(Detached!L$2,'Floor-U'!$A$4:$A$40,'Floor-U'!$E$4:$E$40)*Detached!L$15)+(LOOKUP(Detached!L$2,'Wall-U'!$A$4:$A$40,'Wall-U'!$E$4:$E$40)*Detached!L$12)+(LOOKUP(Detached!L$2,'Window-U'!$A$4:$A$40,'Window-U'!$E$4:$E$40)*Detached!L$21))*L136</f>
        <v>155.38641340138432</v>
      </c>
      <c r="M137" s="171">
        <f>((LOOKUP(Detached!M$2,'Ceiling-U'!$A$4:$A$40,'Ceiling-U'!$X$4:$X$40)*Detached!M$14)+(LOOKUP(Detached!M$2,'Floor-U'!$A$4:$A$40,'Floor-U'!$E$4:$E$40)*Detached!M$15)+(LOOKUP(Detached!M$2,'Wall-U'!$A$4:$A$40,'Wall-U'!$E$4:$E$40)*Detached!M$12)+(LOOKUP(Detached!M$2,'Window-U'!$A$4:$A$40,'Window-U'!$E$4:$E$40)*Detached!M$21))*M136</f>
        <v>794.3435290742641</v>
      </c>
      <c r="N137" s="171">
        <f>((LOOKUP(Detached!N$2,'Ceiling-U'!$A$4:$A$40,'Ceiling-U'!$X$4:$X$40)*Detached!N$14)+(LOOKUP(Detached!N$2,'Floor-U'!$A$4:$A$40,'Floor-U'!$E$4:$E$40)*Detached!N$15)+(LOOKUP(Detached!N$2,'Wall-U'!$A$4:$A$40,'Wall-U'!$E$4:$E$40)*Detached!N$12)+(LOOKUP(Detached!N$2,'Window-U'!$A$4:$A$40,'Window-U'!$E$4:$E$40)*Detached!N$21))*N136</f>
        <v>211.68292531726155</v>
      </c>
      <c r="O137" s="171">
        <f>((LOOKUP(Detached!O$2,'Ceiling-U'!$A$4:$A$40,'Ceiling-U'!$X$4:$X$40)*Detached!O$14)+(LOOKUP(Detached!O$2,'Floor-U'!$A$4:$A$40,'Floor-U'!$E$4:$E$40)*Detached!O$15)+(LOOKUP(Detached!O$2,'Wall-U'!$A$4:$A$40,'Wall-U'!$E$4:$E$40)*Detached!O$12)+(LOOKUP(Detached!O$2,'Window-U'!$A$4:$A$40,'Window-U'!$E$4:$E$40)*Detached!O$21))*O136</f>
        <v>716.31404570103302</v>
      </c>
      <c r="P137" s="171">
        <f>((LOOKUP(Detached!P$2,'Ceiling-U'!$A$4:$A$40,'Ceiling-U'!$X$4:$X$40)*Detached!P$14)+(LOOKUP(Detached!P$2,'Floor-U'!$A$4:$A$40,'Floor-U'!$E$4:$E$40)*Detached!P$15)+(LOOKUP(Detached!P$2,'Wall-U'!$A$4:$A$40,'Wall-U'!$E$4:$E$40)*Detached!P$12)+(LOOKUP(Detached!P$2,'Window-U'!$A$4:$A$40,'Window-U'!$E$4:$E$40)*Detached!P$21))*P136</f>
        <v>627.91629429622105</v>
      </c>
      <c r="Q137" s="171">
        <f>((LOOKUP(Detached!Q$2,'Ceiling-U'!$A$4:$A$40,'Ceiling-U'!$X$4:$X$40)*Detached!Q$14)+(LOOKUP(Detached!Q$2,'Floor-U'!$A$4:$A$40,'Floor-U'!$E$4:$E$40)*Detached!Q$15)+(LOOKUP(Detached!Q$2,'Wall-U'!$A$4:$A$40,'Wall-U'!$E$4:$E$40)*Detached!Q$12)+(LOOKUP(Detached!Q$2,'Window-U'!$A$4:$A$40,'Window-U'!$E$4:$E$40)*Detached!Q$21))*Q136</f>
        <v>346.70530737651404</v>
      </c>
      <c r="R137" s="171">
        <f>((LOOKUP(Detached!R$2,'Ceiling-U'!$A$4:$A$40,'Ceiling-U'!$X$4:$X$40)*Detached!R$14)+(LOOKUP(Detached!R$2,'Floor-U'!$A$4:$A$40,'Floor-U'!$E$4:$E$40)*Detached!R$15)+(LOOKUP(Detached!R$2,'Wall-U'!$A$4:$A$40,'Wall-U'!$E$4:$E$40)*Detached!R$12)+(LOOKUP(Detached!R$2,'Window-U'!$A$4:$A$40,'Window-U'!$E$4:$E$40)*Detached!R$21))*R136</f>
        <v>394.46160843273509</v>
      </c>
      <c r="S137" s="171">
        <f>((LOOKUP(Detached!S$2,'Ceiling-U'!$A$4:$A$40,'Ceiling-U'!$X$4:$X$40)*Detached!S$14)+(LOOKUP(Detached!S$2,'Floor-U'!$A$4:$A$40,'Floor-U'!$E$4:$E$40)*Detached!S$15)+(LOOKUP(Detached!S$2,'Wall-U'!$A$4:$A$40,'Wall-U'!$E$4:$E$40)*Detached!S$12)+(LOOKUP(Detached!S$2,'Window-U'!$A$4:$A$40,'Window-U'!$E$4:$E$40)*Detached!S$21))*S136</f>
        <v>497.59473176650181</v>
      </c>
      <c r="T137" s="171">
        <f>((LOOKUP(Detached!T$2,'Ceiling-U'!$A$4:$A$40,'Ceiling-U'!$X$4:$X$40)*Detached!T$14)+(LOOKUP(Detached!T$2,'Floor-U'!$A$4:$A$40,'Floor-U'!$E$4:$E$40)*Detached!T$15)+(LOOKUP(Detached!T$2,'Wall-U'!$A$4:$A$40,'Wall-U'!$E$4:$E$40)*Detached!T$12)+(LOOKUP(Detached!T$2,'Window-U'!$A$4:$A$40,'Window-U'!$E$4:$E$40)*Detached!T$21))*T136</f>
        <v>211.68292531726155</v>
      </c>
      <c r="U137" s="171">
        <f>((LOOKUP(Detached!U$2,'Ceiling-U'!$A$4:$A$40,'Ceiling-U'!$X$4:$X$40)*Detached!U$14)+(LOOKUP(Detached!U$2,'Floor-U'!$A$4:$A$40,'Floor-U'!$E$4:$E$40)*Detached!U$15)+(LOOKUP(Detached!U$2,'Wall-U'!$A$4:$A$40,'Wall-U'!$E$4:$E$40)*Detached!U$12)+(LOOKUP(Detached!U$2,'Window-U'!$A$4:$A$40,'Window-U'!$E$4:$E$40)*Detached!U$21))*U136</f>
        <v>621.8283223305059</v>
      </c>
      <c r="V137" s="171">
        <f>((LOOKUP(Detached!V$2,'Ceiling-U'!$A$4:$A$40,'Ceiling-U'!$X$4:$X$40)*Detached!V$14)+(LOOKUP(Detached!V$2,'Floor-U'!$A$4:$A$40,'Floor-U'!$E$4:$E$40)*Detached!V$15)+(LOOKUP(Detached!V$2,'Wall-U'!$A$4:$A$40,'Wall-U'!$E$4:$E$40)*Detached!V$12)+(LOOKUP(Detached!V$2,'Window-U'!$A$4:$A$40,'Window-U'!$E$4:$E$40)*Detached!V$21))*V136</f>
        <v>295.81668656743301</v>
      </c>
      <c r="W137" s="171">
        <f>((LOOKUP(Detached!W$2,'Ceiling-U'!$A$4:$A$40,'Ceiling-U'!$X$4:$X$40)*Detached!W$14)+(LOOKUP(Detached!W$2,'Floor-U'!$A$4:$A$40,'Floor-U'!$E$4:$E$40)*Detached!W$15)+(LOOKUP(Detached!W$2,'Wall-U'!$A$4:$A$40,'Wall-U'!$E$4:$E$40)*Detached!W$12)+(LOOKUP(Detached!W$2,'Window-U'!$A$4:$A$40,'Window-U'!$E$4:$E$40)*Detached!W$21))*W136</f>
        <v>396.21704902708063</v>
      </c>
      <c r="X137" s="171">
        <f>((LOOKUP(Detached!X$2,'Ceiling-U'!$A$4:$A$40,'Ceiling-U'!$X$4:$X$40)*Detached!X$14)+(LOOKUP(Detached!X$2,'Floor-U'!$A$4:$A$40,'Floor-U'!$E$4:$E$40)*Detached!X$15)+(LOOKUP(Detached!X$2,'Wall-U'!$A$4:$A$40,'Wall-U'!$E$4:$E$40)*Detached!X$12)+(LOOKUP(Detached!X$2,'Window-U'!$A$4:$A$40,'Window-U'!$E$4:$E$40)*Detached!X$21))*X136</f>
        <v>307.34865516341057</v>
      </c>
      <c r="Y137" s="171">
        <f>((LOOKUP(Detached!Y$2,'Ceiling-U'!$A$4:$A$40,'Ceiling-U'!$X$4:$X$40)*Detached!Y$14)+(LOOKUP(Detached!Y$2,'Floor-U'!$A$4:$A$40,'Floor-U'!$E$4:$E$40)*Detached!Y$15)+(LOOKUP(Detached!Y$2,'Wall-U'!$A$4:$A$40,'Wall-U'!$E$4:$E$40)*Detached!Y$12)+(LOOKUP(Detached!Y$2,'Window-U'!$A$4:$A$40,'Window-U'!$E$4:$E$40)*Detached!Y$21))*Y136</f>
        <v>828.11149439218036</v>
      </c>
      <c r="Z137" s="171">
        <f>((LOOKUP(Detached!Z$2,'Ceiling-U'!$A$4:$A$40,'Ceiling-U'!$X$4:$X$40)*Detached!Z$14)+(LOOKUP(Detached!Z$2,'Floor-U'!$A$4:$A$40,'Floor-U'!$E$4:$E$40)*Detached!Z$15)+(LOOKUP(Detached!Z$2,'Wall-U'!$A$4:$A$40,'Wall-U'!$E$4:$E$40)*Detached!Z$12)+(LOOKUP(Detached!Z$2,'Window-U'!$A$4:$A$40,'Window-U'!$E$4:$E$40)*Detached!Z$21))*Z136</f>
        <v>528.42912161635184</v>
      </c>
      <c r="AA137" s="171">
        <f>((LOOKUP(Detached!AA$2,'Ceiling-U'!$A$4:$A$40,'Ceiling-U'!$X$4:$X$40)*Detached!AA$14)+(LOOKUP(Detached!AA$2,'Floor-U'!$A$4:$A$40,'Floor-U'!$E$4:$E$40)*Detached!AA$15)+(LOOKUP(Detached!AA$2,'Wall-U'!$A$4:$A$40,'Wall-U'!$E$4:$E$40)*Detached!AA$12)+(LOOKUP(Detached!AA$2,'Window-U'!$A$4:$A$40,'Window-U'!$E$4:$E$40)*Detached!AA$21))*AA136</f>
        <v>195.16364753813514</v>
      </c>
      <c r="AB137" s="171">
        <f>((LOOKUP(Detached!AB$2,'Ceiling-U'!$A$4:$A$40,'Ceiling-U'!$X$4:$X$40)*Detached!AB$14)+(LOOKUP(Detached!AB$2,'Floor-U'!$A$4:$A$40,'Floor-U'!$E$4:$E$40)*Detached!AB$15)+(LOOKUP(Detached!AB$2,'Wall-U'!$A$4:$A$40,'Wall-U'!$E$4:$E$40)*Detached!AB$12)+(LOOKUP(Detached!AB$2,'Window-U'!$A$4:$A$40,'Window-U'!$E$4:$E$40)*Detached!AB$21))*AB136</f>
        <v>468.06088257270596</v>
      </c>
      <c r="AC137" s="171">
        <f>((LOOKUP(Detached!AC$2,'Ceiling-U'!$A$4:$A$40,'Ceiling-U'!$X$4:$X$40)*Detached!AC$14)+(LOOKUP(Detached!AC$2,'Floor-U'!$A$4:$A$40,'Floor-U'!$E$4:$E$40)*Detached!AC$15)+(LOOKUP(Detached!AC$2,'Wall-U'!$A$4:$A$40,'Wall-U'!$E$4:$E$40)*Detached!AC$12)+(LOOKUP(Detached!AC$2,'Window-U'!$A$4:$A$40,'Window-U'!$E$4:$E$40)*Detached!AC$21))*AC136</f>
        <v>635.20575612967025</v>
      </c>
      <c r="AD137" s="171">
        <f>((LOOKUP(Detached!AD$2,'Ceiling-U'!$A$4:$A$40,'Ceiling-U'!$X$4:$X$40)*Detached!AD$14)+(LOOKUP(Detached!AD$2,'Floor-U'!$A$4:$A$40,'Floor-U'!$E$4:$E$40)*Detached!AD$15)+(LOOKUP(Detached!AD$2,'Wall-U'!$A$4:$A$40,'Wall-U'!$E$4:$E$40)*Detached!AD$12)+(LOOKUP(Detached!AD$2,'Window-U'!$A$4:$A$40,'Window-U'!$E$4:$E$40)*Detached!AD$21))*AD136</f>
        <v>419.97507052340461</v>
      </c>
      <c r="AE137" s="171">
        <f>((LOOKUP(Detached!AE$2,'Ceiling-U'!$A$4:$A$40,'Ceiling-U'!$X$4:$X$40)*Detached!AE$14)+(LOOKUP(Detached!AE$2,'Floor-U'!$A$4:$A$40,'Floor-U'!$E$4:$E$40)*Detached!AE$15)+(LOOKUP(Detached!AE$2,'Wall-U'!$A$4:$A$40,'Wall-U'!$E$4:$E$40)*Detached!AE$12)+(LOOKUP(Detached!AE$2,'Window-U'!$A$4:$A$40,'Window-U'!$E$4:$E$40)*Detached!AE$21))*AE136</f>
        <v>195.16364753813514</v>
      </c>
      <c r="AF137" s="171">
        <f>((LOOKUP(Detached!AF$2,'Ceiling-U'!$A$4:$A$40,'Ceiling-U'!$X$4:$X$40)*Detached!AF$14)+(LOOKUP(Detached!AF$2,'Floor-U'!$A$4:$A$40,'Floor-U'!$E$4:$E$40)*Detached!AF$15)+(LOOKUP(Detached!AF$2,'Wall-U'!$A$4:$A$40,'Wall-U'!$E$4:$E$40)*Detached!AF$12)+(LOOKUP(Detached!AF$2,'Window-U'!$A$4:$A$40,'Window-U'!$E$4:$E$40)*Detached!AF$21))*AF136</f>
        <v>372.20465739821395</v>
      </c>
      <c r="AG137" s="171">
        <f>((LOOKUP(Detached!AG$2,'Ceiling-U'!$A$4:$A$40,'Ceiling-U'!$X$4:$X$40)*Detached!AG$14)+(LOOKUP(Detached!AG$2,'Floor-U'!$A$4:$A$40,'Floor-U'!$E$4:$E$40)*Detached!AG$15)+(LOOKUP(Detached!AG$2,'Wall-U'!$A$4:$A$40,'Wall-U'!$E$4:$E$40)*Detached!AG$12)+(LOOKUP(Detached!AG$2,'Window-U'!$A$4:$A$40,'Window-U'!$E$4:$E$40)*Detached!AG$21))*AG136</f>
        <v>486.13259561341079</v>
      </c>
      <c r="AH137" s="171">
        <f>((LOOKUP(Detached!AH$2,'Ceiling-U'!$A$4:$A$40,'Ceiling-U'!$X$4:$X$40)*Detached!AH$14)+(LOOKUP(Detached!AH$2,'Floor-U'!$A$4:$A$40,'Floor-U'!$E$4:$E$40)*Detached!AH$15)+(LOOKUP(Detached!AH$2,'Wall-U'!$A$4:$A$40,'Wall-U'!$E$4:$E$40)*Detached!AH$12)+(LOOKUP(Detached!AH$2,'Window-U'!$A$4:$A$40,'Window-U'!$E$4:$E$40)*Detached!AH$21))*AH136</f>
        <v>421.2376325034499</v>
      </c>
      <c r="AI137" s="171">
        <f>((LOOKUP(Detached!AI$2,'Ceiling-U'!$A$4:$A$40,'Ceiling-U'!$X$4:$X$40)*Detached!AI$14)+(LOOKUP(Detached!AI$2,'Floor-U'!$A$4:$A$40,'Floor-U'!$E$4:$E$40)*Detached!AI$15)+(LOOKUP(Detached!AI$2,'Wall-U'!$A$4:$A$40,'Wall-U'!$E$4:$E$40)*Detached!AI$12)+(LOOKUP(Detached!AI$2,'Window-U'!$A$4:$A$40,'Window-U'!$E$4:$E$40)*Detached!AI$21))*AI136</f>
        <v>627.91629429622105</v>
      </c>
      <c r="AJ137" s="171">
        <f>((LOOKUP(Detached!AJ$2,'Ceiling-U'!$A$4:$A$40,'Ceiling-U'!$X$4:$X$40)*Detached!AJ$14)+(LOOKUP(Detached!AJ$2,'Floor-U'!$A$4:$A$40,'Floor-U'!$E$4:$E$40)*Detached!AJ$15)+(LOOKUP(Detached!AJ$2,'Wall-U'!$A$4:$A$40,'Wall-U'!$E$4:$E$40)*Detached!AJ$12)+(LOOKUP(Detached!AJ$2,'Window-U'!$A$4:$A$40,'Window-U'!$E$4:$E$40)*Detached!AJ$21))*AJ136</f>
        <v>326.38406886772401</v>
      </c>
      <c r="AK137" s="171">
        <f>((LOOKUP(Detached!AK$2,'Ceiling-U'!$A$4:$A$40,'Ceiling-U'!$X$4:$X$40)*Detached!AK$14)+(LOOKUP(Detached!AK$2,'Floor-U'!$A$4:$A$40,'Floor-U'!$E$4:$E$40)*Detached!AK$15)+(LOOKUP(Detached!AK$2,'Wall-U'!$A$4:$A$40,'Wall-U'!$E$4:$E$40)*Detached!AK$12)+(LOOKUP(Detached!AK$2,'Window-U'!$A$4:$A$40,'Window-U'!$E$4:$E$40)*Detached!AK$21))*AK136</f>
        <v>378.53620429906891</v>
      </c>
      <c r="AL137" s="171">
        <f>((LOOKUP(Detached!AL$2,'Ceiling-U'!$A$4:$A$40,'Ceiling-U'!$X$4:$X$40)*Detached!AL$14)+(LOOKUP(Detached!AL$2,'Floor-U'!$A$4:$A$40,'Floor-U'!$E$4:$E$40)*Detached!AL$15)+(LOOKUP(Detached!AL$2,'Wall-U'!$A$4:$A$40,'Wall-U'!$E$4:$E$40)*Detached!AL$12)+(LOOKUP(Detached!AL$2,'Window-U'!$A$4:$A$40,'Window-U'!$E$4:$E$40)*Detached!AL$21))*AL136</f>
        <v>341.35467094451712</v>
      </c>
      <c r="AM137" s="171">
        <f>((LOOKUP(Detached!AM$2,'Ceiling-U'!$A$4:$A$40,'Ceiling-U'!$X$4:$X$40)*Detached!AM$14)+(LOOKUP(Detached!AM$2,'Floor-U'!$A$4:$A$40,'Floor-U'!$E$4:$E$40)*Detached!AM$15)+(LOOKUP(Detached!AM$2,'Wall-U'!$A$4:$A$40,'Wall-U'!$E$4:$E$40)*Detached!AM$12)+(LOOKUP(Detached!AM$2,'Window-U'!$A$4:$A$40,'Window-U'!$E$4:$E$40)*Detached!AM$21))*AM136</f>
        <v>326.38406886772401</v>
      </c>
      <c r="AN137" s="172">
        <f>((LOOKUP(Detached!AN$2,'Ceiling-U'!$A$4:$A$40,'Ceiling-U'!$X$4:$X$40)*Detached!AN$14)+(LOOKUP(Detached!AN$2,'Floor-U'!$A$4:$A$40,'Floor-U'!$E$4:$E$40)*Detached!AN$15)+(LOOKUP(Detached!AN$2,'Wall-U'!$A$4:$A$40,'Wall-U'!$E$4:$E$40)*Detached!AN$12)+(LOOKUP(Detached!AN$2,'Window-U'!$A$4:$A$40,'Window-U'!$E$4:$E$40)*Detached!AN$21))*AN136</f>
        <v>326.38406886772401</v>
      </c>
    </row>
    <row r="138" spans="1:40">
      <c r="A138" s="372"/>
      <c r="B138" s="142" t="s">
        <v>3</v>
      </c>
      <c r="C138" s="131" t="s">
        <v>195</v>
      </c>
      <c r="D138" s="176">
        <f>((LOOKUP(Detached!D$2,'Ceiling-U'!$A$4:$A$40,'Ceiling-U'!$Y$4:$Y$40)*Detached!D$14)+(LOOKUP(Detached!D$2,'Floor-U'!$A$4:$A$40,'Floor-U'!$F$4:$F$40)*Detached!D$15)+(LOOKUP(Detached!D$2,'Wall-U'!$A$4:$A$40,'Wall-U'!$F$4:$F$40)*Detached!D$12)+(LOOKUP(Detached!D$2,'Window-U'!$A$4:$A$40,'Window-U'!$F$4:$F$40)*Detached!D$21))*D136</f>
        <v>434.99905491340246</v>
      </c>
      <c r="E138" s="177">
        <f>((LOOKUP(Detached!E$2,'Ceiling-U'!$A$4:$A$40,'Ceiling-U'!$Y$4:$Y$40)*Detached!E$14)+(LOOKUP(Detached!E$2,'Floor-U'!$A$4:$A$40,'Floor-U'!$F$4:$F$40)*Detached!E$15)+(LOOKUP(Detached!E$2,'Wall-U'!$A$4:$A$40,'Wall-U'!$F$4:$F$40)*Detached!E$12)+(LOOKUP(Detached!E$2,'Window-U'!$A$4:$A$40,'Window-U'!$F$4:$F$40)*Detached!E$21))*E136</f>
        <v>528.7717756194196</v>
      </c>
      <c r="F138" s="177">
        <f>((LOOKUP(Detached!F$2,'Ceiling-U'!$A$4:$A$40,'Ceiling-U'!$Y$4:$Y$40)*Detached!F$14)+(LOOKUP(Detached!F$2,'Floor-U'!$A$4:$A$40,'Floor-U'!$F$4:$F$40)*Detached!F$15)+(LOOKUP(Detached!F$2,'Wall-U'!$A$4:$A$40,'Wall-U'!$F$4:$F$40)*Detached!F$12)+(LOOKUP(Detached!F$2,'Window-U'!$A$4:$A$40,'Window-U'!$F$4:$F$40)*Detached!F$21))*F136</f>
        <v>327.41807142365514</v>
      </c>
      <c r="G138" s="177">
        <f>((LOOKUP(Detached!G$2,'Ceiling-U'!$A$4:$A$40,'Ceiling-U'!$Y$4:$Y$40)*Detached!G$14)+(LOOKUP(Detached!G$2,'Floor-U'!$A$4:$A$40,'Floor-U'!$F$4:$F$40)*Detached!G$15)+(LOOKUP(Detached!G$2,'Wall-U'!$A$4:$A$40,'Wall-U'!$F$4:$F$40)*Detached!G$12)+(LOOKUP(Detached!G$2,'Window-U'!$A$4:$A$40,'Window-U'!$F$4:$F$40)*Detached!G$21))*G136</f>
        <v>434.99905491340246</v>
      </c>
      <c r="H138" s="177">
        <f>((LOOKUP(Detached!H$2,'Ceiling-U'!$A$4:$A$40,'Ceiling-U'!$Y$4:$Y$40)*Detached!H$14)+(LOOKUP(Detached!H$2,'Floor-U'!$A$4:$A$40,'Floor-U'!$F$4:$F$40)*Detached!H$15)+(LOOKUP(Detached!H$2,'Wall-U'!$A$4:$A$40,'Wall-U'!$F$4:$F$40)*Detached!H$12)+(LOOKUP(Detached!H$2,'Window-U'!$A$4:$A$40,'Window-U'!$F$4:$F$40)*Detached!H$21))*H136</f>
        <v>546.36897722078606</v>
      </c>
      <c r="I138" s="177">
        <f>((LOOKUP(Detached!I$2,'Ceiling-U'!$A$4:$A$40,'Ceiling-U'!$Y$4:$Y$40)*Detached!I$14)+(LOOKUP(Detached!I$2,'Floor-U'!$A$4:$A$40,'Floor-U'!$F$4:$F$40)*Detached!I$15)+(LOOKUP(Detached!I$2,'Wall-U'!$A$4:$A$40,'Wall-U'!$F$4:$F$40)*Detached!I$12)+(LOOKUP(Detached!I$2,'Window-U'!$A$4:$A$40,'Window-U'!$F$4:$F$40)*Detached!I$21))*I136</f>
        <v>289.30416279792939</v>
      </c>
      <c r="J138" s="177">
        <f>((LOOKUP(Detached!J$2,'Ceiling-U'!$A$4:$A$40,'Ceiling-U'!$Y$4:$Y$40)*Detached!J$14)+(LOOKUP(Detached!J$2,'Floor-U'!$A$4:$A$40,'Floor-U'!$F$4:$F$40)*Detached!J$15)+(LOOKUP(Detached!J$2,'Wall-U'!$A$4:$A$40,'Wall-U'!$F$4:$F$40)*Detached!J$12)+(LOOKUP(Detached!J$2,'Window-U'!$A$4:$A$40,'Window-U'!$F$4:$F$40)*Detached!J$21))*J136</f>
        <v>398.25495886898932</v>
      </c>
      <c r="K138" s="177">
        <f>((LOOKUP(Detached!K$2,'Ceiling-U'!$A$4:$A$40,'Ceiling-U'!$Y$4:$Y$40)*Detached!K$14)+(LOOKUP(Detached!K$2,'Floor-U'!$A$4:$A$40,'Floor-U'!$F$4:$F$40)*Detached!K$15)+(LOOKUP(Detached!K$2,'Wall-U'!$A$4:$A$40,'Wall-U'!$F$4:$F$40)*Detached!K$12)+(LOOKUP(Detached!K$2,'Window-U'!$A$4:$A$40,'Window-U'!$F$4:$F$40)*Detached!K$21))*K136</f>
        <v>309.08629606885529</v>
      </c>
      <c r="L138" s="177">
        <f>((LOOKUP(Detached!L$2,'Ceiling-U'!$A$4:$A$40,'Ceiling-U'!$Y$4:$Y$40)*Detached!L$14)+(LOOKUP(Detached!L$2,'Floor-U'!$A$4:$A$40,'Floor-U'!$F$4:$F$40)*Detached!L$15)+(LOOKUP(Detached!L$2,'Wall-U'!$A$4:$A$40,'Wall-U'!$F$4:$F$40)*Detached!L$12)+(LOOKUP(Detached!L$2,'Window-U'!$A$4:$A$40,'Window-U'!$F$4:$F$40)*Detached!L$21))*L136</f>
        <v>155.38641340138432</v>
      </c>
      <c r="M138" s="177">
        <f>((LOOKUP(Detached!M$2,'Ceiling-U'!$A$4:$A$40,'Ceiling-U'!$Y$4:$Y$40)*Detached!M$14)+(LOOKUP(Detached!M$2,'Floor-U'!$A$4:$A$40,'Floor-U'!$F$4:$F$40)*Detached!M$15)+(LOOKUP(Detached!M$2,'Wall-U'!$A$4:$A$40,'Wall-U'!$F$4:$F$40)*Detached!M$12)+(LOOKUP(Detached!M$2,'Window-U'!$A$4:$A$40,'Window-U'!$F$4:$F$40)*Detached!M$21))*M136</f>
        <v>727.49749276064165</v>
      </c>
      <c r="N138" s="177">
        <f>((LOOKUP(Detached!N$2,'Ceiling-U'!$A$4:$A$40,'Ceiling-U'!$Y$4:$Y$40)*Detached!N$14)+(LOOKUP(Detached!N$2,'Floor-U'!$A$4:$A$40,'Floor-U'!$F$4:$F$40)*Detached!N$15)+(LOOKUP(Detached!N$2,'Wall-U'!$A$4:$A$40,'Wall-U'!$F$4:$F$40)*Detached!N$12)+(LOOKUP(Detached!N$2,'Window-U'!$A$4:$A$40,'Window-U'!$F$4:$F$40)*Detached!N$21))*N136</f>
        <v>192.46691779611078</v>
      </c>
      <c r="O138" s="177">
        <f>((LOOKUP(Detached!O$2,'Ceiling-U'!$A$4:$A$40,'Ceiling-U'!$Y$4:$Y$40)*Detached!O$14)+(LOOKUP(Detached!O$2,'Floor-U'!$A$4:$A$40,'Floor-U'!$F$4:$F$40)*Detached!O$15)+(LOOKUP(Detached!O$2,'Wall-U'!$A$4:$A$40,'Wall-U'!$F$4:$F$40)*Detached!O$12)+(LOOKUP(Detached!O$2,'Window-U'!$A$4:$A$40,'Window-U'!$F$4:$F$40)*Detached!O$21))*O136</f>
        <v>716.31404570103302</v>
      </c>
      <c r="P138" s="177">
        <f>((LOOKUP(Detached!P$2,'Ceiling-U'!$A$4:$A$40,'Ceiling-U'!$Y$4:$Y$40)*Detached!P$14)+(LOOKUP(Detached!P$2,'Floor-U'!$A$4:$A$40,'Floor-U'!$F$4:$F$40)*Detached!P$15)+(LOOKUP(Detached!P$2,'Wall-U'!$A$4:$A$40,'Wall-U'!$F$4:$F$40)*Detached!P$12)+(LOOKUP(Detached!P$2,'Window-U'!$A$4:$A$40,'Window-U'!$F$4:$F$40)*Detached!P$21))*P136</f>
        <v>627.91629429622105</v>
      </c>
      <c r="Q138" s="177">
        <f>((LOOKUP(Detached!Q$2,'Ceiling-U'!$A$4:$A$40,'Ceiling-U'!$Y$4:$Y$40)*Detached!Q$14)+(LOOKUP(Detached!Q$2,'Floor-U'!$A$4:$A$40,'Floor-U'!$F$4:$F$40)*Detached!Q$15)+(LOOKUP(Detached!Q$2,'Wall-U'!$A$4:$A$40,'Wall-U'!$F$4:$F$40)*Detached!Q$12)+(LOOKUP(Detached!Q$2,'Window-U'!$A$4:$A$40,'Window-U'!$F$4:$F$40)*Detached!Q$21))*Q136</f>
        <v>369.62542994150306</v>
      </c>
      <c r="R138" s="177">
        <f>((LOOKUP(Detached!R$2,'Ceiling-U'!$A$4:$A$40,'Ceiling-U'!$Y$4:$Y$40)*Detached!R$14)+(LOOKUP(Detached!R$2,'Floor-U'!$A$4:$A$40,'Floor-U'!$F$4:$F$40)*Detached!R$15)+(LOOKUP(Detached!R$2,'Wall-U'!$A$4:$A$40,'Wall-U'!$F$4:$F$40)*Detached!R$12)+(LOOKUP(Detached!R$2,'Window-U'!$A$4:$A$40,'Window-U'!$F$4:$F$40)*Detached!R$21))*R136</f>
        <v>394.46160843273509</v>
      </c>
      <c r="S138" s="177">
        <f>((LOOKUP(Detached!S$2,'Ceiling-U'!$A$4:$A$40,'Ceiling-U'!$Y$4:$Y$40)*Detached!S$14)+(LOOKUP(Detached!S$2,'Floor-U'!$A$4:$A$40,'Floor-U'!$F$4:$F$40)*Detached!S$15)+(LOOKUP(Detached!S$2,'Wall-U'!$A$4:$A$40,'Wall-U'!$F$4:$F$40)*Detached!S$12)+(LOOKUP(Detached!S$2,'Window-U'!$A$4:$A$40,'Window-U'!$F$4:$F$40)*Detached!S$21))*S136</f>
        <v>497.69150667529709</v>
      </c>
      <c r="T138" s="177">
        <f>((LOOKUP(Detached!T$2,'Ceiling-U'!$A$4:$A$40,'Ceiling-U'!$Y$4:$Y$40)*Detached!T$14)+(LOOKUP(Detached!T$2,'Floor-U'!$A$4:$A$40,'Floor-U'!$F$4:$F$40)*Detached!T$15)+(LOOKUP(Detached!T$2,'Wall-U'!$A$4:$A$40,'Wall-U'!$F$4:$F$40)*Detached!T$12)+(LOOKUP(Detached!T$2,'Window-U'!$A$4:$A$40,'Window-U'!$F$4:$F$40)*Detached!T$21))*T136</f>
        <v>192.46691779611078</v>
      </c>
      <c r="U138" s="177">
        <f>((LOOKUP(Detached!U$2,'Ceiling-U'!$A$4:$A$40,'Ceiling-U'!$Y$4:$Y$40)*Detached!U$14)+(LOOKUP(Detached!U$2,'Floor-U'!$A$4:$A$40,'Floor-U'!$F$4:$F$40)*Detached!U$15)+(LOOKUP(Detached!U$2,'Wall-U'!$A$4:$A$40,'Wall-U'!$F$4:$F$40)*Detached!U$12)+(LOOKUP(Detached!U$2,'Window-U'!$A$4:$A$40,'Window-U'!$F$4:$F$40)*Detached!U$21))*U136</f>
        <v>587.97889412347126</v>
      </c>
      <c r="V138" s="177">
        <f>((LOOKUP(Detached!V$2,'Ceiling-U'!$A$4:$A$40,'Ceiling-U'!$Y$4:$Y$40)*Detached!V$14)+(LOOKUP(Detached!V$2,'Floor-U'!$A$4:$A$40,'Floor-U'!$F$4:$F$40)*Detached!V$15)+(LOOKUP(Detached!V$2,'Wall-U'!$A$4:$A$40,'Wall-U'!$F$4:$F$40)*Detached!V$12)+(LOOKUP(Detached!V$2,'Window-U'!$A$4:$A$40,'Window-U'!$F$4:$F$40)*Detached!V$21))*V136</f>
        <v>295.81668656743301</v>
      </c>
      <c r="W138" s="177">
        <f>((LOOKUP(Detached!W$2,'Ceiling-U'!$A$4:$A$40,'Ceiling-U'!$Y$4:$Y$40)*Detached!W$14)+(LOOKUP(Detached!W$2,'Floor-U'!$A$4:$A$40,'Floor-U'!$F$4:$F$40)*Detached!W$15)+(LOOKUP(Detached!W$2,'Wall-U'!$A$4:$A$40,'Wall-U'!$F$4:$F$40)*Detached!W$12)+(LOOKUP(Detached!W$2,'Window-U'!$A$4:$A$40,'Window-U'!$F$4:$F$40)*Detached!W$21))*W136</f>
        <v>434.49930986589618</v>
      </c>
      <c r="X138" s="177">
        <f>((LOOKUP(Detached!X$2,'Ceiling-U'!$A$4:$A$40,'Ceiling-U'!$Y$4:$Y$40)*Detached!X$14)+(LOOKUP(Detached!X$2,'Floor-U'!$A$4:$A$40,'Floor-U'!$F$4:$F$40)*Detached!X$15)+(LOOKUP(Detached!X$2,'Wall-U'!$A$4:$A$40,'Wall-U'!$F$4:$F$40)*Detached!X$12)+(LOOKUP(Detached!X$2,'Window-U'!$A$4:$A$40,'Window-U'!$F$4:$F$40)*Detached!X$21))*X136</f>
        <v>301.34865516341057</v>
      </c>
      <c r="Y138" s="177">
        <f>((LOOKUP(Detached!Y$2,'Ceiling-U'!$A$4:$A$40,'Ceiling-U'!$Y$4:$Y$40)*Detached!Y$14)+(LOOKUP(Detached!Y$2,'Floor-U'!$A$4:$A$40,'Floor-U'!$F$4:$F$40)*Detached!Y$15)+(LOOKUP(Detached!Y$2,'Wall-U'!$A$4:$A$40,'Wall-U'!$F$4:$F$40)*Detached!Y$12)+(LOOKUP(Detached!Y$2,'Window-U'!$A$4:$A$40,'Window-U'!$F$4:$F$40)*Detached!Y$21))*Y136</f>
        <v>828.09272530005683</v>
      </c>
      <c r="Z138" s="177">
        <f>((LOOKUP(Detached!Z$2,'Ceiling-U'!$A$4:$A$40,'Ceiling-U'!$Y$4:$Y$40)*Detached!Z$14)+(LOOKUP(Detached!Z$2,'Floor-U'!$A$4:$A$40,'Floor-U'!$F$4:$F$40)*Detached!Z$15)+(LOOKUP(Detached!Z$2,'Wall-U'!$A$4:$A$40,'Wall-U'!$F$4:$F$40)*Detached!Z$12)+(LOOKUP(Detached!Z$2,'Window-U'!$A$4:$A$40,'Window-U'!$F$4:$F$40)*Detached!Z$21))*Z136</f>
        <v>477.33392147569884</v>
      </c>
      <c r="AA138" s="177">
        <f>((LOOKUP(Detached!AA$2,'Ceiling-U'!$A$4:$A$40,'Ceiling-U'!$Y$4:$Y$40)*Detached!AA$14)+(LOOKUP(Detached!AA$2,'Floor-U'!$A$4:$A$40,'Floor-U'!$F$4:$F$40)*Detached!AA$15)+(LOOKUP(Detached!AA$2,'Wall-U'!$A$4:$A$40,'Wall-U'!$F$4:$F$40)*Detached!AA$12)+(LOOKUP(Detached!AA$2,'Window-U'!$A$4:$A$40,'Window-U'!$F$4:$F$40)*Detached!AA$21))*AA136</f>
        <v>194.00717753813515</v>
      </c>
      <c r="AB138" s="177">
        <f>((LOOKUP(Detached!AB$2,'Ceiling-U'!$A$4:$A$40,'Ceiling-U'!$Y$4:$Y$40)*Detached!AB$14)+(LOOKUP(Detached!AB$2,'Floor-U'!$A$4:$A$40,'Floor-U'!$F$4:$F$40)*Detached!AB$15)+(LOOKUP(Detached!AB$2,'Wall-U'!$A$4:$A$40,'Wall-U'!$F$4:$F$40)*Detached!AB$12)+(LOOKUP(Detached!AB$2,'Window-U'!$A$4:$A$40,'Window-U'!$F$4:$F$40)*Detached!AB$21))*AB136</f>
        <v>357.95492715555838</v>
      </c>
      <c r="AC138" s="177">
        <f>((LOOKUP(Detached!AC$2,'Ceiling-U'!$A$4:$A$40,'Ceiling-U'!$Y$4:$Y$40)*Detached!AC$14)+(LOOKUP(Detached!AC$2,'Floor-U'!$A$4:$A$40,'Floor-U'!$F$4:$F$40)*Detached!AC$15)+(LOOKUP(Detached!AC$2,'Wall-U'!$A$4:$A$40,'Wall-U'!$F$4:$F$40)*Detached!AC$12)+(LOOKUP(Detached!AC$2,'Window-U'!$A$4:$A$40,'Window-U'!$F$4:$F$40)*Detached!AC$21))*AC136</f>
        <v>566.13616979078665</v>
      </c>
      <c r="AD138" s="177">
        <f>((LOOKUP(Detached!AD$2,'Ceiling-U'!$A$4:$A$40,'Ceiling-U'!$Y$4:$Y$40)*Detached!AD$14)+(LOOKUP(Detached!AD$2,'Floor-U'!$A$4:$A$40,'Floor-U'!$F$4:$F$40)*Detached!AD$15)+(LOOKUP(Detached!AD$2,'Wall-U'!$A$4:$A$40,'Wall-U'!$F$4:$F$40)*Detached!AD$12)+(LOOKUP(Detached!AD$2,'Window-U'!$A$4:$A$40,'Window-U'!$F$4:$F$40)*Detached!AD$21))*AD136</f>
        <v>376.2011559957005</v>
      </c>
      <c r="AE138" s="177">
        <f>((LOOKUP(Detached!AE$2,'Ceiling-U'!$A$4:$A$40,'Ceiling-U'!$Y$4:$Y$40)*Detached!AE$14)+(LOOKUP(Detached!AE$2,'Floor-U'!$A$4:$A$40,'Floor-U'!$F$4:$F$40)*Detached!AE$15)+(LOOKUP(Detached!AE$2,'Wall-U'!$A$4:$A$40,'Wall-U'!$F$4:$F$40)*Detached!AE$12)+(LOOKUP(Detached!AE$2,'Window-U'!$A$4:$A$40,'Window-U'!$F$4:$F$40)*Detached!AE$21))*AE136</f>
        <v>194.00717753813515</v>
      </c>
      <c r="AF138" s="177">
        <f>((LOOKUP(Detached!AF$2,'Ceiling-U'!$A$4:$A$40,'Ceiling-U'!$Y$4:$Y$40)*Detached!AF$14)+(LOOKUP(Detached!AF$2,'Floor-U'!$A$4:$A$40,'Floor-U'!$F$4:$F$40)*Detached!AF$15)+(LOOKUP(Detached!AF$2,'Wall-U'!$A$4:$A$40,'Wall-U'!$F$4:$F$40)*Detached!AF$12)+(LOOKUP(Detached!AF$2,'Window-U'!$A$4:$A$40,'Window-U'!$F$4:$F$40)*Detached!AF$21))*AF136</f>
        <v>372.20465739821395</v>
      </c>
      <c r="AG138" s="177">
        <f>((LOOKUP(Detached!AG$2,'Ceiling-U'!$A$4:$A$40,'Ceiling-U'!$Y$4:$Y$40)*Detached!AG$14)+(LOOKUP(Detached!AG$2,'Floor-U'!$A$4:$A$40,'Floor-U'!$F$4:$F$40)*Detached!AG$15)+(LOOKUP(Detached!AG$2,'Wall-U'!$A$4:$A$40,'Wall-U'!$F$4:$F$40)*Detached!AG$12)+(LOOKUP(Detached!AG$2,'Window-U'!$A$4:$A$40,'Window-U'!$F$4:$F$40)*Detached!AG$21))*AG136</f>
        <v>419.82551741678299</v>
      </c>
      <c r="AH138" s="177">
        <f>((LOOKUP(Detached!AH$2,'Ceiling-U'!$A$4:$A$40,'Ceiling-U'!$Y$4:$Y$40)*Detached!AH$14)+(LOOKUP(Detached!AH$2,'Floor-U'!$A$4:$A$40,'Floor-U'!$F$4:$F$40)*Detached!AH$15)+(LOOKUP(Detached!AH$2,'Wall-U'!$A$4:$A$40,'Wall-U'!$F$4:$F$40)*Detached!AH$12)+(LOOKUP(Detached!AH$2,'Window-U'!$A$4:$A$40,'Window-U'!$F$4:$F$40)*Detached!AH$21))*AH136</f>
        <v>442.78125368484029</v>
      </c>
      <c r="AI138" s="177">
        <f>((LOOKUP(Detached!AI$2,'Ceiling-U'!$A$4:$A$40,'Ceiling-U'!$Y$4:$Y$40)*Detached!AI$14)+(LOOKUP(Detached!AI$2,'Floor-U'!$A$4:$A$40,'Floor-U'!$F$4:$F$40)*Detached!AI$15)+(LOOKUP(Detached!AI$2,'Wall-U'!$A$4:$A$40,'Wall-U'!$F$4:$F$40)*Detached!AI$12)+(LOOKUP(Detached!AI$2,'Window-U'!$A$4:$A$40,'Window-U'!$F$4:$F$40)*Detached!AI$21))*AI136</f>
        <v>627.91629429622105</v>
      </c>
      <c r="AJ138" s="177">
        <f>((LOOKUP(Detached!AJ$2,'Ceiling-U'!$A$4:$A$40,'Ceiling-U'!$Y$4:$Y$40)*Detached!AJ$14)+(LOOKUP(Detached!AJ$2,'Floor-U'!$A$4:$A$40,'Floor-U'!$F$4:$F$40)*Detached!AJ$15)+(LOOKUP(Detached!AJ$2,'Wall-U'!$A$4:$A$40,'Wall-U'!$F$4:$F$40)*Detached!AJ$12)+(LOOKUP(Detached!AJ$2,'Window-U'!$A$4:$A$40,'Window-U'!$F$4:$F$40)*Detached!AJ$21))*AJ136</f>
        <v>326.38406886772401</v>
      </c>
      <c r="AK138" s="177">
        <f>((LOOKUP(Detached!AK$2,'Ceiling-U'!$A$4:$A$40,'Ceiling-U'!$Y$4:$Y$40)*Detached!AK$14)+(LOOKUP(Detached!AK$2,'Floor-U'!$A$4:$A$40,'Floor-U'!$F$4:$F$40)*Detached!AK$15)+(LOOKUP(Detached!AK$2,'Wall-U'!$A$4:$A$40,'Wall-U'!$F$4:$F$40)*Detached!AK$12)+(LOOKUP(Detached!AK$2,'Window-U'!$A$4:$A$40,'Window-U'!$F$4:$F$40)*Detached!AK$21))*AK136</f>
        <v>378.53620429906891</v>
      </c>
      <c r="AL138" s="177">
        <f>((LOOKUP(Detached!AL$2,'Ceiling-U'!$A$4:$A$40,'Ceiling-U'!$Y$4:$Y$40)*Detached!AL$14)+(LOOKUP(Detached!AL$2,'Floor-U'!$A$4:$A$40,'Floor-U'!$F$4:$F$40)*Detached!AL$15)+(LOOKUP(Detached!AL$2,'Wall-U'!$A$4:$A$40,'Wall-U'!$F$4:$F$40)*Detached!AL$12)+(LOOKUP(Detached!AL$2,'Window-U'!$A$4:$A$40,'Window-U'!$F$4:$F$40)*Detached!AL$21))*AL136</f>
        <v>341.35467094451712</v>
      </c>
      <c r="AM138" s="177">
        <f>((LOOKUP(Detached!AM$2,'Ceiling-U'!$A$4:$A$40,'Ceiling-U'!$Y$4:$Y$40)*Detached!AM$14)+(LOOKUP(Detached!AM$2,'Floor-U'!$A$4:$A$40,'Floor-U'!$F$4:$F$40)*Detached!AM$15)+(LOOKUP(Detached!AM$2,'Wall-U'!$A$4:$A$40,'Wall-U'!$F$4:$F$40)*Detached!AM$12)+(LOOKUP(Detached!AM$2,'Window-U'!$A$4:$A$40,'Window-U'!$F$4:$F$40)*Detached!AM$21))*AM136</f>
        <v>326.38406886772401</v>
      </c>
      <c r="AN138" s="178">
        <f>((LOOKUP(Detached!AN$2,'Ceiling-U'!$A$4:$A$40,'Ceiling-U'!$Y$4:$Y$40)*Detached!AN$14)+(LOOKUP(Detached!AN$2,'Floor-U'!$A$4:$A$40,'Floor-U'!$F$4:$F$40)*Detached!AN$15)+(LOOKUP(Detached!AN$2,'Wall-U'!$A$4:$A$40,'Wall-U'!$F$4:$F$40)*Detached!AN$12)+(LOOKUP(Detached!AN$2,'Window-U'!$A$4:$A$40,'Window-U'!$F$4:$F$40)*Detached!AN$21))*AN136</f>
        <v>326.38406886772401</v>
      </c>
    </row>
    <row r="139" spans="1:40">
      <c r="A139" s="372"/>
      <c r="B139" s="142" t="s">
        <v>4</v>
      </c>
      <c r="C139" s="131" t="s">
        <v>195</v>
      </c>
      <c r="D139" s="176">
        <f>((LOOKUP(Detached!D$2,'Ceiling-U'!$A$4:$A$40,'Ceiling-U'!$Z$4:$Z$40)*Detached!D$14)+(LOOKUP(Detached!D$2,'Floor-U'!$A$4:$A$40,'Floor-U'!$G$4:$G$40)*Detached!D$15)+(LOOKUP(Detached!D$2,'Wall-U'!$A$4:$A$40,'Wall-U'!$G$4:$G$40)*Detached!D$12)+(LOOKUP(Detached!D$2,'Window-U'!$A$4:$A$40,'Window-U'!$G$4:$G$40)*Detached!D$21))*D136</f>
        <v>346.37271392400845</v>
      </c>
      <c r="E139" s="177">
        <f>((LOOKUP(Detached!E$2,'Ceiling-U'!$A$4:$A$40,'Ceiling-U'!$Z$4:$Z$40)*Detached!E$14)+(LOOKUP(Detached!E$2,'Floor-U'!$A$4:$A$40,'Floor-U'!$G$4:$G$40)*Detached!E$15)+(LOOKUP(Detached!E$2,'Wall-U'!$A$4:$A$40,'Wall-U'!$G$4:$G$40)*Detached!E$12)+(LOOKUP(Detached!E$2,'Window-U'!$A$4:$A$40,'Window-U'!$G$4:$G$40)*Detached!E$21))*E136</f>
        <v>528.7717756194196</v>
      </c>
      <c r="F139" s="177">
        <f>((LOOKUP(Detached!F$2,'Ceiling-U'!$A$4:$A$40,'Ceiling-U'!$Z$4:$Z$40)*Detached!F$14)+(LOOKUP(Detached!F$2,'Floor-U'!$A$4:$A$40,'Floor-U'!$G$4:$G$40)*Detached!F$15)+(LOOKUP(Detached!F$2,'Wall-U'!$A$4:$A$40,'Wall-U'!$G$4:$G$40)*Detached!F$12)+(LOOKUP(Detached!F$2,'Window-U'!$A$4:$A$40,'Window-U'!$G$4:$G$40)*Detached!F$21))*F136</f>
        <v>308.9642101496944</v>
      </c>
      <c r="G139" s="177">
        <f>((LOOKUP(Detached!G$2,'Ceiling-U'!$A$4:$A$40,'Ceiling-U'!$Z$4:$Z$40)*Detached!G$14)+(LOOKUP(Detached!G$2,'Floor-U'!$A$4:$A$40,'Floor-U'!$G$4:$G$40)*Detached!G$15)+(LOOKUP(Detached!G$2,'Wall-U'!$A$4:$A$40,'Wall-U'!$G$4:$G$40)*Detached!G$12)+(LOOKUP(Detached!G$2,'Window-U'!$A$4:$A$40,'Window-U'!$G$4:$G$40)*Detached!G$21))*G136</f>
        <v>346.37271392400845</v>
      </c>
      <c r="H139" s="177">
        <f>((LOOKUP(Detached!H$2,'Ceiling-U'!$A$4:$A$40,'Ceiling-U'!$Z$4:$Z$40)*Detached!H$14)+(LOOKUP(Detached!H$2,'Floor-U'!$A$4:$A$40,'Floor-U'!$G$4:$G$40)*Detached!H$15)+(LOOKUP(Detached!H$2,'Wall-U'!$A$4:$A$40,'Wall-U'!$G$4:$G$40)*Detached!H$12)+(LOOKUP(Detached!H$2,'Window-U'!$A$4:$A$40,'Window-U'!$G$4:$G$40)*Detached!H$21))*H136</f>
        <v>585.58753835679659</v>
      </c>
      <c r="I139" s="177">
        <f>((LOOKUP(Detached!I$2,'Ceiling-U'!$A$4:$A$40,'Ceiling-U'!$Z$4:$Z$40)*Detached!I$14)+(LOOKUP(Detached!I$2,'Floor-U'!$A$4:$A$40,'Floor-U'!$G$4:$G$40)*Detached!I$15)+(LOOKUP(Detached!I$2,'Wall-U'!$A$4:$A$40,'Wall-U'!$G$4:$G$40)*Detached!I$12)+(LOOKUP(Detached!I$2,'Window-U'!$A$4:$A$40,'Window-U'!$G$4:$G$40)*Detached!I$21))*I136</f>
        <v>289.30416279792939</v>
      </c>
      <c r="J139" s="177">
        <f>((LOOKUP(Detached!J$2,'Ceiling-U'!$A$4:$A$40,'Ceiling-U'!$Z$4:$Z$40)*Detached!J$14)+(LOOKUP(Detached!J$2,'Floor-U'!$A$4:$A$40,'Floor-U'!$G$4:$G$40)*Detached!J$15)+(LOOKUP(Detached!J$2,'Wall-U'!$A$4:$A$40,'Wall-U'!$G$4:$G$40)*Detached!J$12)+(LOOKUP(Detached!J$2,'Window-U'!$A$4:$A$40,'Window-U'!$G$4:$G$40)*Detached!J$21))*J136</f>
        <v>288.57087134690198</v>
      </c>
      <c r="K139" s="177">
        <f>((LOOKUP(Detached!K$2,'Ceiling-U'!$A$4:$A$40,'Ceiling-U'!$Z$4:$Z$40)*Detached!K$14)+(LOOKUP(Detached!K$2,'Floor-U'!$A$4:$A$40,'Floor-U'!$G$4:$G$40)*Detached!K$15)+(LOOKUP(Detached!K$2,'Wall-U'!$A$4:$A$40,'Wall-U'!$G$4:$G$40)*Detached!K$12)+(LOOKUP(Detached!K$2,'Window-U'!$A$4:$A$40,'Window-U'!$G$4:$G$40)*Detached!K$21))*K136</f>
        <v>205.65138946380154</v>
      </c>
      <c r="L139" s="177">
        <f>((LOOKUP(Detached!L$2,'Ceiling-U'!$A$4:$A$40,'Ceiling-U'!$Z$4:$Z$40)*Detached!L$14)+(LOOKUP(Detached!L$2,'Floor-U'!$A$4:$A$40,'Floor-U'!$G$4:$G$40)*Detached!L$15)+(LOOKUP(Detached!L$2,'Wall-U'!$A$4:$A$40,'Wall-U'!$G$4:$G$40)*Detached!L$12)+(LOOKUP(Detached!L$2,'Window-U'!$A$4:$A$40,'Window-U'!$G$4:$G$40)*Detached!L$21))*L136</f>
        <v>127.73573456373347</v>
      </c>
      <c r="M139" s="177">
        <f>((LOOKUP(Detached!M$2,'Ceiling-U'!$A$4:$A$40,'Ceiling-U'!$Z$4:$Z$40)*Detached!M$14)+(LOOKUP(Detached!M$2,'Floor-U'!$A$4:$A$40,'Floor-U'!$G$4:$G$40)*Detached!M$15)+(LOOKUP(Detached!M$2,'Wall-U'!$A$4:$A$40,'Wall-U'!$G$4:$G$40)*Detached!M$12)+(LOOKUP(Detached!M$2,'Window-U'!$A$4:$A$40,'Window-U'!$G$4:$G$40)*Detached!M$21))*M136</f>
        <v>727.49749276064165</v>
      </c>
      <c r="N139" s="177">
        <f>((LOOKUP(Detached!N$2,'Ceiling-U'!$A$4:$A$40,'Ceiling-U'!$Z$4:$Z$40)*Detached!N$14)+(LOOKUP(Detached!N$2,'Floor-U'!$A$4:$A$40,'Floor-U'!$G$4:$G$40)*Detached!N$15)+(LOOKUP(Detached!N$2,'Wall-U'!$A$4:$A$40,'Wall-U'!$G$4:$G$40)*Detached!N$12)+(LOOKUP(Detached!N$2,'Window-U'!$A$4:$A$40,'Window-U'!$G$4:$G$40)*Detached!N$21))*N136</f>
        <v>157.42799587470543</v>
      </c>
      <c r="O139" s="177">
        <f>((LOOKUP(Detached!O$2,'Ceiling-U'!$A$4:$A$40,'Ceiling-U'!$Z$4:$Z$40)*Detached!O$14)+(LOOKUP(Detached!O$2,'Floor-U'!$A$4:$A$40,'Floor-U'!$G$4:$G$40)*Detached!O$15)+(LOOKUP(Detached!O$2,'Wall-U'!$A$4:$A$40,'Wall-U'!$G$4:$G$40)*Detached!O$12)+(LOOKUP(Detached!O$2,'Window-U'!$A$4:$A$40,'Window-U'!$G$4:$G$40)*Detached!O$21))*O136</f>
        <v>357.7928874224321</v>
      </c>
      <c r="P139" s="177">
        <f>((LOOKUP(Detached!P$2,'Ceiling-U'!$A$4:$A$40,'Ceiling-U'!$Z$4:$Z$40)*Detached!P$14)+(LOOKUP(Detached!P$2,'Floor-U'!$A$4:$A$40,'Floor-U'!$G$4:$G$40)*Detached!P$15)+(LOOKUP(Detached!P$2,'Wall-U'!$A$4:$A$40,'Wall-U'!$G$4:$G$40)*Detached!P$12)+(LOOKUP(Detached!P$2,'Window-U'!$A$4:$A$40,'Window-U'!$G$4:$G$40)*Detached!P$21))*P136</f>
        <v>627.91629429622105</v>
      </c>
      <c r="Q139" s="177">
        <f>((LOOKUP(Detached!Q$2,'Ceiling-U'!$A$4:$A$40,'Ceiling-U'!$Z$4:$Z$40)*Detached!Q$14)+(LOOKUP(Detached!Q$2,'Floor-U'!$A$4:$A$40,'Floor-U'!$G$4:$G$40)*Detached!Q$15)+(LOOKUP(Detached!Q$2,'Wall-U'!$A$4:$A$40,'Wall-U'!$G$4:$G$40)*Detached!Q$12)+(LOOKUP(Detached!Q$2,'Window-U'!$A$4:$A$40,'Window-U'!$G$4:$G$40)*Detached!Q$21))*Q136</f>
        <v>304.73728644523442</v>
      </c>
      <c r="R139" s="177">
        <f>((LOOKUP(Detached!R$2,'Ceiling-U'!$A$4:$A$40,'Ceiling-U'!$Z$4:$Z$40)*Detached!R$14)+(LOOKUP(Detached!R$2,'Floor-U'!$A$4:$A$40,'Floor-U'!$G$4:$G$40)*Detached!R$15)+(LOOKUP(Detached!R$2,'Wall-U'!$A$4:$A$40,'Wall-U'!$G$4:$G$40)*Detached!R$12)+(LOOKUP(Detached!R$2,'Window-U'!$A$4:$A$40,'Window-U'!$G$4:$G$40)*Detached!R$21))*R136</f>
        <v>347.76287014717968</v>
      </c>
      <c r="S139" s="177">
        <f>((LOOKUP(Detached!S$2,'Ceiling-U'!$A$4:$A$40,'Ceiling-U'!$Z$4:$Z$40)*Detached!S$14)+(LOOKUP(Detached!S$2,'Floor-U'!$A$4:$A$40,'Floor-U'!$G$4:$G$40)*Detached!S$15)+(LOOKUP(Detached!S$2,'Wall-U'!$A$4:$A$40,'Wall-U'!$G$4:$G$40)*Detached!S$12)+(LOOKUP(Detached!S$2,'Window-U'!$A$4:$A$40,'Window-U'!$G$4:$G$40)*Detached!S$21))*S136</f>
        <v>496.00361371149813</v>
      </c>
      <c r="T139" s="177">
        <f>((LOOKUP(Detached!T$2,'Ceiling-U'!$A$4:$A$40,'Ceiling-U'!$Z$4:$Z$40)*Detached!T$14)+(LOOKUP(Detached!T$2,'Floor-U'!$A$4:$A$40,'Floor-U'!$G$4:$G$40)*Detached!T$15)+(LOOKUP(Detached!T$2,'Wall-U'!$A$4:$A$40,'Wall-U'!$G$4:$G$40)*Detached!T$12)+(LOOKUP(Detached!T$2,'Window-U'!$A$4:$A$40,'Window-U'!$G$4:$G$40)*Detached!T$21))*T136</f>
        <v>157.42799587470543</v>
      </c>
      <c r="U139" s="177">
        <f>((LOOKUP(Detached!U$2,'Ceiling-U'!$A$4:$A$40,'Ceiling-U'!$Z$4:$Z$40)*Detached!U$14)+(LOOKUP(Detached!U$2,'Floor-U'!$A$4:$A$40,'Floor-U'!$G$4:$G$40)*Detached!U$15)+(LOOKUP(Detached!U$2,'Wall-U'!$A$4:$A$40,'Wall-U'!$G$4:$G$40)*Detached!U$12)+(LOOKUP(Detached!U$2,'Window-U'!$A$4:$A$40,'Window-U'!$G$4:$G$40)*Detached!U$21))*U136</f>
        <v>545.86691033004706</v>
      </c>
      <c r="V139" s="177">
        <f>((LOOKUP(Detached!V$2,'Ceiling-U'!$A$4:$A$40,'Ceiling-U'!$Z$4:$Z$40)*Detached!V$14)+(LOOKUP(Detached!V$2,'Floor-U'!$A$4:$A$40,'Floor-U'!$G$4:$G$40)*Detached!V$15)+(LOOKUP(Detached!V$2,'Wall-U'!$A$4:$A$40,'Wall-U'!$G$4:$G$40)*Detached!V$12)+(LOOKUP(Detached!V$2,'Window-U'!$A$4:$A$40,'Window-U'!$G$4:$G$40)*Detached!V$21))*V136</f>
        <v>187.14404652820758</v>
      </c>
      <c r="W139" s="177">
        <f>((LOOKUP(Detached!W$2,'Ceiling-U'!$A$4:$A$40,'Ceiling-U'!$Z$4:$Z$40)*Detached!W$14)+(LOOKUP(Detached!W$2,'Floor-U'!$A$4:$A$40,'Floor-U'!$G$4:$G$40)*Detached!W$15)+(LOOKUP(Detached!W$2,'Wall-U'!$A$4:$A$40,'Wall-U'!$G$4:$G$40)*Detached!W$12)+(LOOKUP(Detached!W$2,'Window-U'!$A$4:$A$40,'Window-U'!$G$4:$G$40)*Detached!W$21))*W136</f>
        <v>226.97713033823433</v>
      </c>
      <c r="X139" s="177">
        <f>((LOOKUP(Detached!X$2,'Ceiling-U'!$A$4:$A$40,'Ceiling-U'!$Z$4:$Z$40)*Detached!X$14)+(LOOKUP(Detached!X$2,'Floor-U'!$A$4:$A$40,'Floor-U'!$G$4:$G$40)*Detached!X$15)+(LOOKUP(Detached!X$2,'Wall-U'!$A$4:$A$40,'Wall-U'!$G$4:$G$40)*Detached!X$12)+(LOOKUP(Detached!X$2,'Window-U'!$A$4:$A$40,'Window-U'!$G$4:$G$40)*Detached!X$21))*X136</f>
        <v>285.27603845089726</v>
      </c>
      <c r="Y139" s="177">
        <f>((LOOKUP(Detached!Y$2,'Ceiling-U'!$A$4:$A$40,'Ceiling-U'!$Z$4:$Z$40)*Detached!Y$14)+(LOOKUP(Detached!Y$2,'Floor-U'!$A$4:$A$40,'Floor-U'!$G$4:$G$40)*Detached!Y$15)+(LOOKUP(Detached!Y$2,'Wall-U'!$A$4:$A$40,'Wall-U'!$G$4:$G$40)*Detached!Y$12)+(LOOKUP(Detached!Y$2,'Window-U'!$A$4:$A$40,'Window-U'!$G$4:$G$40)*Detached!Y$21))*Y136</f>
        <v>663.10054602106516</v>
      </c>
      <c r="Z139" s="177">
        <f>((LOOKUP(Detached!Z$2,'Ceiling-U'!$A$4:$A$40,'Ceiling-U'!$Z$4:$Z$40)*Detached!Z$14)+(LOOKUP(Detached!Z$2,'Floor-U'!$A$4:$A$40,'Floor-U'!$G$4:$G$40)*Detached!Z$15)+(LOOKUP(Detached!Z$2,'Wall-U'!$A$4:$A$40,'Wall-U'!$G$4:$G$40)*Detached!Z$12)+(LOOKUP(Detached!Z$2,'Window-U'!$A$4:$A$40,'Window-U'!$G$4:$G$40)*Detached!Z$21))*Z136</f>
        <v>458.23650508034257</v>
      </c>
      <c r="AA139" s="177">
        <f>((LOOKUP(Detached!AA$2,'Ceiling-U'!$A$4:$A$40,'Ceiling-U'!$Z$4:$Z$40)*Detached!AA$14)+(LOOKUP(Detached!AA$2,'Floor-U'!$A$4:$A$40,'Floor-U'!$G$4:$G$40)*Detached!AA$15)+(LOOKUP(Detached!AA$2,'Wall-U'!$A$4:$A$40,'Wall-U'!$G$4:$G$40)*Detached!AA$12)+(LOOKUP(Detached!AA$2,'Window-U'!$A$4:$A$40,'Window-U'!$G$4:$G$40)*Detached!AA$21))*AA136</f>
        <v>143.91200379007353</v>
      </c>
      <c r="AB139" s="177">
        <f>((LOOKUP(Detached!AB$2,'Ceiling-U'!$A$4:$A$40,'Ceiling-U'!$Z$4:$Z$40)*Detached!AB$14)+(LOOKUP(Detached!AB$2,'Floor-U'!$A$4:$A$40,'Floor-U'!$G$4:$G$40)*Detached!AB$15)+(LOOKUP(Detached!AB$2,'Wall-U'!$A$4:$A$40,'Wall-U'!$G$4:$G$40)*Detached!AB$12)+(LOOKUP(Detached!AB$2,'Window-U'!$A$4:$A$40,'Window-U'!$G$4:$G$40)*Detached!AB$21))*AB136</f>
        <v>250.11644515698376</v>
      </c>
      <c r="AC139" s="177">
        <f>((LOOKUP(Detached!AC$2,'Ceiling-U'!$A$4:$A$40,'Ceiling-U'!$Z$4:$Z$40)*Detached!AC$14)+(LOOKUP(Detached!AC$2,'Floor-U'!$A$4:$A$40,'Floor-U'!$G$4:$G$40)*Detached!AC$15)+(LOOKUP(Detached!AC$2,'Wall-U'!$A$4:$A$40,'Wall-U'!$G$4:$G$40)*Detached!AC$12)+(LOOKUP(Detached!AC$2,'Window-U'!$A$4:$A$40,'Window-U'!$G$4:$G$40)*Detached!AC$21))*AC136</f>
        <v>566.02087080263766</v>
      </c>
      <c r="AD139" s="177">
        <f>((LOOKUP(Detached!AD$2,'Ceiling-U'!$A$4:$A$40,'Ceiling-U'!$Z$4:$Z$40)*Detached!AD$14)+(LOOKUP(Detached!AD$2,'Floor-U'!$A$4:$A$40,'Floor-U'!$G$4:$G$40)*Detached!AD$15)+(LOOKUP(Detached!AD$2,'Wall-U'!$A$4:$A$40,'Wall-U'!$G$4:$G$40)*Detached!AD$12)+(LOOKUP(Detached!AD$2,'Window-U'!$A$4:$A$40,'Window-U'!$G$4:$G$40)*Detached!AD$21))*AD136</f>
        <v>376.2011559957005</v>
      </c>
      <c r="AE139" s="177">
        <f>((LOOKUP(Detached!AE$2,'Ceiling-U'!$A$4:$A$40,'Ceiling-U'!$Z$4:$Z$40)*Detached!AE$14)+(LOOKUP(Detached!AE$2,'Floor-U'!$A$4:$A$40,'Floor-U'!$G$4:$G$40)*Detached!AE$15)+(LOOKUP(Detached!AE$2,'Wall-U'!$A$4:$A$40,'Wall-U'!$G$4:$G$40)*Detached!AE$12)+(LOOKUP(Detached!AE$2,'Window-U'!$A$4:$A$40,'Window-U'!$G$4:$G$40)*Detached!AE$21))*AE136</f>
        <v>143.91200379007353</v>
      </c>
      <c r="AF139" s="177">
        <f>((LOOKUP(Detached!AF$2,'Ceiling-U'!$A$4:$A$40,'Ceiling-U'!$Z$4:$Z$40)*Detached!AF$14)+(LOOKUP(Detached!AF$2,'Floor-U'!$A$4:$A$40,'Floor-U'!$G$4:$G$40)*Detached!AF$15)+(LOOKUP(Detached!AF$2,'Wall-U'!$A$4:$A$40,'Wall-U'!$G$4:$G$40)*Detached!AF$12)+(LOOKUP(Detached!AF$2,'Window-U'!$A$4:$A$40,'Window-U'!$G$4:$G$40)*Detached!AF$21))*AF136</f>
        <v>349.88854843094123</v>
      </c>
      <c r="AG139" s="177">
        <f>((LOOKUP(Detached!AG$2,'Ceiling-U'!$A$4:$A$40,'Ceiling-U'!$Z$4:$Z$40)*Detached!AG$14)+(LOOKUP(Detached!AG$2,'Floor-U'!$A$4:$A$40,'Floor-U'!$G$4:$G$40)*Detached!AG$15)+(LOOKUP(Detached!AG$2,'Wall-U'!$A$4:$A$40,'Wall-U'!$G$4:$G$40)*Detached!AG$12)+(LOOKUP(Detached!AG$2,'Window-U'!$A$4:$A$40,'Window-U'!$G$4:$G$40)*Detached!AG$21))*AG136</f>
        <v>419.82551741678299</v>
      </c>
      <c r="AH139" s="177">
        <f>((LOOKUP(Detached!AH$2,'Ceiling-U'!$A$4:$A$40,'Ceiling-U'!$Z$4:$Z$40)*Detached!AH$14)+(LOOKUP(Detached!AH$2,'Floor-U'!$A$4:$A$40,'Floor-U'!$G$4:$G$40)*Detached!AH$15)+(LOOKUP(Detached!AH$2,'Wall-U'!$A$4:$A$40,'Wall-U'!$G$4:$G$40)*Detached!AH$12)+(LOOKUP(Detached!AH$2,'Window-U'!$A$4:$A$40,'Window-U'!$G$4:$G$40)*Detached!AH$21))*AH136</f>
        <v>379.50793382734969</v>
      </c>
      <c r="AI139" s="177">
        <f>((LOOKUP(Detached!AI$2,'Ceiling-U'!$A$4:$A$40,'Ceiling-U'!$Z$4:$Z$40)*Detached!AI$14)+(LOOKUP(Detached!AI$2,'Floor-U'!$A$4:$A$40,'Floor-U'!$G$4:$G$40)*Detached!AI$15)+(LOOKUP(Detached!AI$2,'Wall-U'!$A$4:$A$40,'Wall-U'!$G$4:$G$40)*Detached!AI$12)+(LOOKUP(Detached!AI$2,'Window-U'!$A$4:$A$40,'Window-U'!$G$4:$G$40)*Detached!AI$21))*AI136</f>
        <v>627.91629429622105</v>
      </c>
      <c r="AJ139" s="177">
        <f>((LOOKUP(Detached!AJ$2,'Ceiling-U'!$A$4:$A$40,'Ceiling-U'!$Z$4:$Z$40)*Detached!AJ$14)+(LOOKUP(Detached!AJ$2,'Floor-U'!$A$4:$A$40,'Floor-U'!$G$4:$G$40)*Detached!AJ$15)+(LOOKUP(Detached!AJ$2,'Wall-U'!$A$4:$A$40,'Wall-U'!$G$4:$G$40)*Detached!AJ$12)+(LOOKUP(Detached!AJ$2,'Window-U'!$A$4:$A$40,'Window-U'!$G$4:$G$40)*Detached!AJ$21))*AJ136</f>
        <v>326.38406886772401</v>
      </c>
      <c r="AK139" s="177">
        <f>((LOOKUP(Detached!AK$2,'Ceiling-U'!$A$4:$A$40,'Ceiling-U'!$Z$4:$Z$40)*Detached!AK$14)+(LOOKUP(Detached!AK$2,'Floor-U'!$A$4:$A$40,'Floor-U'!$G$4:$G$40)*Detached!AK$15)+(LOOKUP(Detached!AK$2,'Wall-U'!$A$4:$A$40,'Wall-U'!$G$4:$G$40)*Detached!AK$12)+(LOOKUP(Detached!AK$2,'Window-U'!$A$4:$A$40,'Window-U'!$G$4:$G$40)*Detached!AK$21))*AK136</f>
        <v>378.53620429906891</v>
      </c>
      <c r="AL139" s="177">
        <f>((LOOKUP(Detached!AL$2,'Ceiling-U'!$A$4:$A$40,'Ceiling-U'!$Z$4:$Z$40)*Detached!AL$14)+(LOOKUP(Detached!AL$2,'Floor-U'!$A$4:$A$40,'Floor-U'!$G$4:$G$40)*Detached!AL$15)+(LOOKUP(Detached!AL$2,'Wall-U'!$A$4:$A$40,'Wall-U'!$G$4:$G$40)*Detached!AL$12)+(LOOKUP(Detached!AL$2,'Window-U'!$A$4:$A$40,'Window-U'!$G$4:$G$40)*Detached!AL$21))*AL136</f>
        <v>321.86404206378779</v>
      </c>
      <c r="AM139" s="177">
        <f>((LOOKUP(Detached!AM$2,'Ceiling-U'!$A$4:$A$40,'Ceiling-U'!$Z$4:$Z$40)*Detached!AM$14)+(LOOKUP(Detached!AM$2,'Floor-U'!$A$4:$A$40,'Floor-U'!$G$4:$G$40)*Detached!AM$15)+(LOOKUP(Detached!AM$2,'Wall-U'!$A$4:$A$40,'Wall-U'!$G$4:$G$40)*Detached!AM$12)+(LOOKUP(Detached!AM$2,'Window-U'!$A$4:$A$40,'Window-U'!$G$4:$G$40)*Detached!AM$21))*AM136</f>
        <v>326.38406886772401</v>
      </c>
      <c r="AN139" s="178">
        <f>((LOOKUP(Detached!AN$2,'Ceiling-U'!$A$4:$A$40,'Ceiling-U'!$Z$4:$Z$40)*Detached!AN$14)+(LOOKUP(Detached!AN$2,'Floor-U'!$A$4:$A$40,'Floor-U'!$G$4:$G$40)*Detached!AN$15)+(LOOKUP(Detached!AN$2,'Wall-U'!$A$4:$A$40,'Wall-U'!$G$4:$G$40)*Detached!AN$12)+(LOOKUP(Detached!AN$2,'Window-U'!$A$4:$A$40,'Window-U'!$G$4:$G$40)*Detached!AN$21))*AN136</f>
        <v>326.38406886772401</v>
      </c>
    </row>
    <row r="140" spans="1:40">
      <c r="A140" s="372"/>
      <c r="B140" s="142" t="s">
        <v>5</v>
      </c>
      <c r="C140" s="131" t="s">
        <v>195</v>
      </c>
      <c r="D140" s="176">
        <f>((LOOKUP(Detached!D$2,'Ceiling-U'!$A$4:$A$40,'Ceiling-U'!$AA$4:$AA$40)*Detached!D$14)+(LOOKUP(Detached!D$2,'Floor-U'!$A$4:$A$40,'Floor-U'!$H$4:$H$40)*Detached!D$15)+(LOOKUP(Detached!D$2,'Wall-U'!$A$4:$A$40,'Wall-U'!$H$4:$H$40)*Detached!D$12)+(LOOKUP(Detached!D$2,'Window-U'!$A$4:$A$40,'Window-U'!$H$4:$H$40)*Detached!D$21))*D136</f>
        <v>227.79181710025921</v>
      </c>
      <c r="E140" s="177">
        <f>((LOOKUP(Detached!E$2,'Ceiling-U'!$A$4:$A$40,'Ceiling-U'!$AA$4:$AA$40)*Detached!E$14)+(LOOKUP(Detached!E$2,'Floor-U'!$A$4:$A$40,'Floor-U'!$H$4:$H$40)*Detached!E$15)+(LOOKUP(Detached!E$2,'Wall-U'!$A$4:$A$40,'Wall-U'!$H$4:$H$40)*Detached!E$12)+(LOOKUP(Detached!E$2,'Window-U'!$A$4:$A$40,'Window-U'!$H$4:$H$40)*Detached!E$21))*E136</f>
        <v>457.56766116958789</v>
      </c>
      <c r="F140" s="177">
        <f>((LOOKUP(Detached!F$2,'Ceiling-U'!$A$4:$A$40,'Ceiling-U'!$AA$4:$AA$40)*Detached!F$14)+(LOOKUP(Detached!F$2,'Floor-U'!$A$4:$A$40,'Floor-U'!$H$4:$H$40)*Detached!F$15)+(LOOKUP(Detached!F$2,'Wall-U'!$A$4:$A$40,'Wall-U'!$H$4:$H$40)*Detached!F$12)+(LOOKUP(Detached!F$2,'Window-U'!$A$4:$A$40,'Window-U'!$H$4:$H$40)*Detached!F$21))*F136</f>
        <v>260.73112645022275</v>
      </c>
      <c r="G140" s="177">
        <f>((LOOKUP(Detached!G$2,'Ceiling-U'!$A$4:$A$40,'Ceiling-U'!$AA$4:$AA$40)*Detached!G$14)+(LOOKUP(Detached!G$2,'Floor-U'!$A$4:$A$40,'Floor-U'!$H$4:$H$40)*Detached!G$15)+(LOOKUP(Detached!G$2,'Wall-U'!$A$4:$A$40,'Wall-U'!$H$4:$H$40)*Detached!G$12)+(LOOKUP(Detached!G$2,'Window-U'!$A$4:$A$40,'Window-U'!$H$4:$H$40)*Detached!G$21))*G136</f>
        <v>227.79181710025921</v>
      </c>
      <c r="H140" s="177">
        <f>((LOOKUP(Detached!H$2,'Ceiling-U'!$A$4:$A$40,'Ceiling-U'!$AA$4:$AA$40)*Detached!H$14)+(LOOKUP(Detached!H$2,'Floor-U'!$A$4:$A$40,'Floor-U'!$H$4:$H$40)*Detached!H$15)+(LOOKUP(Detached!H$2,'Wall-U'!$A$4:$A$40,'Wall-U'!$H$4:$H$40)*Detached!H$12)+(LOOKUP(Detached!H$2,'Window-U'!$A$4:$A$40,'Window-U'!$H$4:$H$40)*Detached!H$21))*H136</f>
        <v>561.5679389067966</v>
      </c>
      <c r="I140" s="177">
        <f>((LOOKUP(Detached!I$2,'Ceiling-U'!$A$4:$A$40,'Ceiling-U'!$AA$4:$AA$40)*Detached!I$14)+(LOOKUP(Detached!I$2,'Floor-U'!$A$4:$A$40,'Floor-U'!$H$4:$H$40)*Detached!I$15)+(LOOKUP(Detached!I$2,'Wall-U'!$A$4:$A$40,'Wall-U'!$H$4:$H$40)*Detached!I$12)+(LOOKUP(Detached!I$2,'Window-U'!$A$4:$A$40,'Window-U'!$H$4:$H$40)*Detached!I$21))*I136</f>
        <v>259.53738182443715</v>
      </c>
      <c r="J140" s="177">
        <f>((LOOKUP(Detached!J$2,'Ceiling-U'!$A$4:$A$40,'Ceiling-U'!$AA$4:$AA$40)*Detached!J$14)+(LOOKUP(Detached!J$2,'Floor-U'!$A$4:$A$40,'Floor-U'!$H$4:$H$40)*Detached!J$15)+(LOOKUP(Detached!J$2,'Wall-U'!$A$4:$A$40,'Wall-U'!$H$4:$H$40)*Detached!J$12)+(LOOKUP(Detached!J$2,'Window-U'!$A$4:$A$40,'Window-U'!$H$4:$H$40)*Detached!J$21))*J136</f>
        <v>235.75663806319116</v>
      </c>
      <c r="K140" s="177">
        <f>((LOOKUP(Detached!K$2,'Ceiling-U'!$A$4:$A$40,'Ceiling-U'!$AA$4:$AA$40)*Detached!K$14)+(LOOKUP(Detached!K$2,'Floor-U'!$A$4:$A$40,'Floor-U'!$H$4:$H$40)*Detached!K$15)+(LOOKUP(Detached!K$2,'Wall-U'!$A$4:$A$40,'Wall-U'!$H$4:$H$40)*Detached!K$12)+(LOOKUP(Detached!K$2,'Window-U'!$A$4:$A$40,'Window-U'!$H$4:$H$40)*Detached!K$21))*K136</f>
        <v>170.19863055967983</v>
      </c>
      <c r="L140" s="177">
        <f>((LOOKUP(Detached!L$2,'Ceiling-U'!$A$4:$A$40,'Ceiling-U'!$AA$4:$AA$40)*Detached!L$14)+(LOOKUP(Detached!L$2,'Floor-U'!$A$4:$A$40,'Floor-U'!$H$4:$H$40)*Detached!L$15)+(LOOKUP(Detached!L$2,'Wall-U'!$A$4:$A$40,'Wall-U'!$H$4:$H$40)*Detached!L$12)+(LOOKUP(Detached!L$2,'Window-U'!$A$4:$A$40,'Window-U'!$H$4:$H$40)*Detached!L$21))*L136</f>
        <v>91.97134463462146</v>
      </c>
      <c r="M140" s="177">
        <f>((LOOKUP(Detached!M$2,'Ceiling-U'!$A$4:$A$40,'Ceiling-U'!$AA$4:$AA$40)*Detached!M$14)+(LOOKUP(Detached!M$2,'Floor-U'!$A$4:$A$40,'Floor-U'!$H$4:$H$40)*Detached!M$15)+(LOOKUP(Detached!M$2,'Wall-U'!$A$4:$A$40,'Wall-U'!$H$4:$H$40)*Detached!M$12)+(LOOKUP(Detached!M$2,'Window-U'!$A$4:$A$40,'Window-U'!$H$4:$H$40)*Detached!M$21))*M136</f>
        <v>444.38364280227222</v>
      </c>
      <c r="N140" s="177">
        <f>((LOOKUP(Detached!N$2,'Ceiling-U'!$A$4:$A$40,'Ceiling-U'!$AA$4:$AA$40)*Detached!N$14)+(LOOKUP(Detached!N$2,'Floor-U'!$A$4:$A$40,'Floor-U'!$H$4:$H$40)*Detached!N$15)+(LOOKUP(Detached!N$2,'Wall-U'!$A$4:$A$40,'Wall-U'!$H$4:$H$40)*Detached!N$12)+(LOOKUP(Detached!N$2,'Window-U'!$A$4:$A$40,'Window-U'!$H$4:$H$40)*Detached!N$21))*N136</f>
        <v>125.98243017718228</v>
      </c>
      <c r="O140" s="177">
        <f>((LOOKUP(Detached!O$2,'Ceiling-U'!$A$4:$A$40,'Ceiling-U'!$AA$4:$AA$40)*Detached!O$14)+(LOOKUP(Detached!O$2,'Floor-U'!$A$4:$A$40,'Floor-U'!$H$4:$H$40)*Detached!O$15)+(LOOKUP(Detached!O$2,'Wall-U'!$A$4:$A$40,'Wall-U'!$H$4:$H$40)*Detached!O$12)+(LOOKUP(Detached!O$2,'Window-U'!$A$4:$A$40,'Window-U'!$H$4:$H$40)*Detached!O$21))*O136</f>
        <v>303.25759001965378</v>
      </c>
      <c r="P140" s="177">
        <f>((LOOKUP(Detached!P$2,'Ceiling-U'!$A$4:$A$40,'Ceiling-U'!$AA$4:$AA$40)*Detached!P$14)+(LOOKUP(Detached!P$2,'Floor-U'!$A$4:$A$40,'Floor-U'!$H$4:$H$40)*Detached!P$15)+(LOOKUP(Detached!P$2,'Wall-U'!$A$4:$A$40,'Wall-U'!$H$4:$H$40)*Detached!P$12)+(LOOKUP(Detached!P$2,'Window-U'!$A$4:$A$40,'Window-U'!$H$4:$H$40)*Detached!P$21))*P136</f>
        <v>603.89669484622095</v>
      </c>
      <c r="Q140" s="177">
        <f>((LOOKUP(Detached!Q$2,'Ceiling-U'!$A$4:$A$40,'Ceiling-U'!$AA$4:$AA$40)*Detached!Q$14)+(LOOKUP(Detached!Q$2,'Floor-U'!$A$4:$A$40,'Floor-U'!$H$4:$H$40)*Detached!Q$15)+(LOOKUP(Detached!Q$2,'Wall-U'!$A$4:$A$40,'Wall-U'!$H$4:$H$40)*Detached!Q$12)+(LOOKUP(Detached!Q$2,'Window-U'!$A$4:$A$40,'Window-U'!$H$4:$H$40)*Detached!Q$21))*Q136</f>
        <v>304.73728644523442</v>
      </c>
      <c r="R140" s="177">
        <f>((LOOKUP(Detached!R$2,'Ceiling-U'!$A$4:$A$40,'Ceiling-U'!$AA$4:$AA$40)*Detached!R$14)+(LOOKUP(Detached!R$2,'Floor-U'!$A$4:$A$40,'Floor-U'!$H$4:$H$40)*Detached!R$15)+(LOOKUP(Detached!R$2,'Wall-U'!$A$4:$A$40,'Wall-U'!$H$4:$H$40)*Detached!R$12)+(LOOKUP(Detached!R$2,'Window-U'!$A$4:$A$40,'Window-U'!$H$4:$H$40)*Detached!R$21))*R136</f>
        <v>257.68627773826438</v>
      </c>
      <c r="S140" s="177">
        <f>((LOOKUP(Detached!S$2,'Ceiling-U'!$A$4:$A$40,'Ceiling-U'!$AA$4:$AA$40)*Detached!S$14)+(LOOKUP(Detached!S$2,'Floor-U'!$A$4:$A$40,'Floor-U'!$H$4:$H$40)*Detached!S$15)+(LOOKUP(Detached!S$2,'Wall-U'!$A$4:$A$40,'Wall-U'!$H$4:$H$40)*Detached!S$12)+(LOOKUP(Detached!S$2,'Window-U'!$A$4:$A$40,'Window-U'!$H$4:$H$40)*Detached!S$21))*S136</f>
        <v>340.12045598066396</v>
      </c>
      <c r="T140" s="177">
        <f>((LOOKUP(Detached!T$2,'Ceiling-U'!$A$4:$A$40,'Ceiling-U'!$AA$4:$AA$40)*Detached!T$14)+(LOOKUP(Detached!T$2,'Floor-U'!$A$4:$A$40,'Floor-U'!$H$4:$H$40)*Detached!T$15)+(LOOKUP(Detached!T$2,'Wall-U'!$A$4:$A$40,'Wall-U'!$H$4:$H$40)*Detached!T$12)+(LOOKUP(Detached!T$2,'Window-U'!$A$4:$A$40,'Window-U'!$H$4:$H$40)*Detached!T$21))*T136</f>
        <v>125.98243017718228</v>
      </c>
      <c r="U140" s="177">
        <f>((LOOKUP(Detached!U$2,'Ceiling-U'!$A$4:$A$40,'Ceiling-U'!$AA$4:$AA$40)*Detached!U$14)+(LOOKUP(Detached!U$2,'Floor-U'!$A$4:$A$40,'Floor-U'!$H$4:$H$40)*Detached!U$15)+(LOOKUP(Detached!U$2,'Wall-U'!$A$4:$A$40,'Wall-U'!$H$4:$H$40)*Detached!U$12)+(LOOKUP(Detached!U$2,'Window-U'!$A$4:$A$40,'Window-U'!$H$4:$H$40)*Detached!U$21))*U136</f>
        <v>399.0368419401504</v>
      </c>
      <c r="V140" s="177">
        <f>((LOOKUP(Detached!V$2,'Ceiling-U'!$A$4:$A$40,'Ceiling-U'!$AA$4:$AA$40)*Detached!V$14)+(LOOKUP(Detached!V$2,'Floor-U'!$A$4:$A$40,'Floor-U'!$H$4:$H$40)*Detached!V$15)+(LOOKUP(Detached!V$2,'Wall-U'!$A$4:$A$40,'Wall-U'!$H$4:$H$40)*Detached!V$12)+(LOOKUP(Detached!V$2,'Window-U'!$A$4:$A$40,'Window-U'!$H$4:$H$40)*Detached!V$21))*V136</f>
        <v>187.14404652820758</v>
      </c>
      <c r="W140" s="177">
        <f>((LOOKUP(Detached!W$2,'Ceiling-U'!$A$4:$A$40,'Ceiling-U'!$AA$4:$AA$40)*Detached!W$14)+(LOOKUP(Detached!W$2,'Floor-U'!$A$4:$A$40,'Floor-U'!$H$4:$H$40)*Detached!W$15)+(LOOKUP(Detached!W$2,'Wall-U'!$A$4:$A$40,'Wall-U'!$H$4:$H$40)*Detached!W$12)+(LOOKUP(Detached!W$2,'Window-U'!$A$4:$A$40,'Window-U'!$H$4:$H$40)*Detached!W$21))*W136</f>
        <v>186.85170578026342</v>
      </c>
      <c r="X140" s="177">
        <f>((LOOKUP(Detached!X$2,'Ceiling-U'!$A$4:$A$40,'Ceiling-U'!$AA$4:$AA$40)*Detached!X$14)+(LOOKUP(Detached!X$2,'Floor-U'!$A$4:$A$40,'Floor-U'!$H$4:$H$40)*Detached!X$15)+(LOOKUP(Detached!X$2,'Wall-U'!$A$4:$A$40,'Wall-U'!$H$4:$H$40)*Detached!X$12)+(LOOKUP(Detached!X$2,'Window-U'!$A$4:$A$40,'Window-U'!$H$4:$H$40)*Detached!X$21))*X136</f>
        <v>161.80812204810846</v>
      </c>
      <c r="Y140" s="177">
        <f>((LOOKUP(Detached!Y$2,'Ceiling-U'!$A$4:$A$40,'Ceiling-U'!$AA$4:$AA$40)*Detached!Y$14)+(LOOKUP(Detached!Y$2,'Floor-U'!$A$4:$A$40,'Floor-U'!$H$4:$H$40)*Detached!Y$15)+(LOOKUP(Detached!Y$2,'Wall-U'!$A$4:$A$40,'Wall-U'!$H$4:$H$40)*Detached!Y$12)+(LOOKUP(Detached!Y$2,'Window-U'!$A$4:$A$40,'Window-U'!$H$4:$H$40)*Detached!Y$21))*Y136</f>
        <v>598.22761508356507</v>
      </c>
      <c r="Z140" s="177">
        <f>((LOOKUP(Detached!Z$2,'Ceiling-U'!$A$4:$A$40,'Ceiling-U'!$AA$4:$AA$40)*Detached!Z$14)+(LOOKUP(Detached!Z$2,'Floor-U'!$A$4:$A$40,'Floor-U'!$H$4:$H$40)*Detached!Z$15)+(LOOKUP(Detached!Z$2,'Wall-U'!$A$4:$A$40,'Wall-U'!$H$4:$H$40)*Detached!Z$12)+(LOOKUP(Detached!Z$2,'Window-U'!$A$4:$A$40,'Window-U'!$H$4:$H$40)*Detached!Z$21))*Z136</f>
        <v>288.82367421348368</v>
      </c>
      <c r="AA140" s="177">
        <f>((LOOKUP(Detached!AA$2,'Ceiling-U'!$A$4:$A$40,'Ceiling-U'!$AA$4:$AA$40)*Detached!AA$14)+(LOOKUP(Detached!AA$2,'Floor-U'!$A$4:$A$40,'Floor-U'!$H$4:$H$40)*Detached!AA$15)+(LOOKUP(Detached!AA$2,'Wall-U'!$A$4:$A$40,'Wall-U'!$H$4:$H$40)*Detached!AA$12)+(LOOKUP(Detached!AA$2,'Window-U'!$A$4:$A$40,'Window-U'!$H$4:$H$40)*Detached!AA$21))*AA136</f>
        <v>141.21200379007348</v>
      </c>
      <c r="AB140" s="177">
        <f>((LOOKUP(Detached!AB$2,'Ceiling-U'!$A$4:$A$40,'Ceiling-U'!$AA$4:$AA$40)*Detached!AB$14)+(LOOKUP(Detached!AB$2,'Floor-U'!$A$4:$A$40,'Floor-U'!$H$4:$H$40)*Detached!AB$15)+(LOOKUP(Detached!AB$2,'Wall-U'!$A$4:$A$40,'Wall-U'!$H$4:$H$40)*Detached!AB$12)+(LOOKUP(Detached!AB$2,'Window-U'!$A$4:$A$40,'Window-U'!$H$4:$H$40)*Detached!AB$21))*AB136</f>
        <v>250.11644515698376</v>
      </c>
      <c r="AC140" s="177">
        <f>((LOOKUP(Detached!AC$2,'Ceiling-U'!$A$4:$A$40,'Ceiling-U'!$AA$4:$AA$40)*Detached!AC$14)+(LOOKUP(Detached!AC$2,'Floor-U'!$A$4:$A$40,'Floor-U'!$H$4:$H$40)*Detached!AC$15)+(LOOKUP(Detached!AC$2,'Wall-U'!$A$4:$A$40,'Wall-U'!$H$4:$H$40)*Detached!AC$12)+(LOOKUP(Detached!AC$2,'Window-U'!$A$4:$A$40,'Window-U'!$H$4:$H$40)*Detached!AC$21))*AC136</f>
        <v>551.51717552139075</v>
      </c>
      <c r="AD140" s="177">
        <f>((LOOKUP(Detached!AD$2,'Ceiling-U'!$A$4:$A$40,'Ceiling-U'!$AA$4:$AA$40)*Detached!AD$14)+(LOOKUP(Detached!AD$2,'Floor-U'!$A$4:$A$40,'Floor-U'!$H$4:$H$40)*Detached!AD$15)+(LOOKUP(Detached!AD$2,'Wall-U'!$A$4:$A$40,'Wall-U'!$H$4:$H$40)*Detached!AD$12)+(LOOKUP(Detached!AD$2,'Window-U'!$A$4:$A$40,'Window-U'!$H$4:$H$40)*Detached!AD$21))*AD136</f>
        <v>310.8340243985341</v>
      </c>
      <c r="AE140" s="177">
        <f>((LOOKUP(Detached!AE$2,'Ceiling-U'!$A$4:$A$40,'Ceiling-U'!$AA$4:$AA$40)*Detached!AE$14)+(LOOKUP(Detached!AE$2,'Floor-U'!$A$4:$A$40,'Floor-U'!$H$4:$H$40)*Detached!AE$15)+(LOOKUP(Detached!AE$2,'Wall-U'!$A$4:$A$40,'Wall-U'!$H$4:$H$40)*Detached!AE$12)+(LOOKUP(Detached!AE$2,'Window-U'!$A$4:$A$40,'Window-U'!$H$4:$H$40)*Detached!AE$21))*AE136</f>
        <v>141.21200379007348</v>
      </c>
      <c r="AF140" s="177">
        <f>((LOOKUP(Detached!AF$2,'Ceiling-U'!$A$4:$A$40,'Ceiling-U'!$AA$4:$AA$40)*Detached!AF$14)+(LOOKUP(Detached!AF$2,'Floor-U'!$A$4:$A$40,'Floor-U'!$H$4:$H$40)*Detached!AF$15)+(LOOKUP(Detached!AF$2,'Wall-U'!$A$4:$A$40,'Wall-U'!$H$4:$H$40)*Detached!AF$12)+(LOOKUP(Detached!AF$2,'Window-U'!$A$4:$A$40,'Window-U'!$H$4:$H$40)*Detached!AF$21))*AF136</f>
        <v>250.55253964560509</v>
      </c>
      <c r="AG140" s="177">
        <f>((LOOKUP(Detached!AG$2,'Ceiling-U'!$A$4:$A$40,'Ceiling-U'!$AA$4:$AA$40)*Detached!AG$14)+(LOOKUP(Detached!AG$2,'Floor-U'!$A$4:$A$40,'Floor-U'!$H$4:$H$40)*Detached!AG$15)+(LOOKUP(Detached!AG$2,'Wall-U'!$A$4:$A$40,'Wall-U'!$H$4:$H$40)*Detached!AG$12)+(LOOKUP(Detached!AG$2,'Window-U'!$A$4:$A$40,'Window-U'!$H$4:$H$40)*Detached!AG$21))*AG136</f>
        <v>363.61213403419856</v>
      </c>
      <c r="AH140" s="177">
        <f>((LOOKUP(Detached!AH$2,'Ceiling-U'!$A$4:$A$40,'Ceiling-U'!$AA$4:$AA$40)*Detached!AH$14)+(LOOKUP(Detached!AH$2,'Floor-U'!$A$4:$A$40,'Floor-U'!$H$4:$H$40)*Detached!AH$15)+(LOOKUP(Detached!AH$2,'Wall-U'!$A$4:$A$40,'Wall-U'!$H$4:$H$40)*Detached!AH$12)+(LOOKUP(Detached!AH$2,'Window-U'!$A$4:$A$40,'Window-U'!$H$4:$H$40)*Detached!AH$21))*AH136</f>
        <v>225.54244617281503</v>
      </c>
      <c r="AI140" s="177">
        <f>((LOOKUP(Detached!AI$2,'Ceiling-U'!$A$4:$A$40,'Ceiling-U'!$AA$4:$AA$40)*Detached!AI$14)+(LOOKUP(Detached!AI$2,'Floor-U'!$A$4:$A$40,'Floor-U'!$H$4:$H$40)*Detached!AI$15)+(LOOKUP(Detached!AI$2,'Wall-U'!$A$4:$A$40,'Wall-U'!$H$4:$H$40)*Detached!AI$12)+(LOOKUP(Detached!AI$2,'Window-U'!$A$4:$A$40,'Window-U'!$H$4:$H$40)*Detached!AI$21))*AI136</f>
        <v>603.89669484622095</v>
      </c>
      <c r="AJ140" s="177">
        <f>((LOOKUP(Detached!AJ$2,'Ceiling-U'!$A$4:$A$40,'Ceiling-U'!$AA$4:$AA$40)*Detached!AJ$14)+(LOOKUP(Detached!AJ$2,'Floor-U'!$A$4:$A$40,'Floor-U'!$H$4:$H$40)*Detached!AJ$15)+(LOOKUP(Detached!AJ$2,'Wall-U'!$A$4:$A$40,'Wall-U'!$H$4:$H$40)*Detached!AJ$12)+(LOOKUP(Detached!AJ$2,'Window-U'!$A$4:$A$40,'Window-U'!$H$4:$H$40)*Detached!AJ$21))*AJ136</f>
        <v>292.28977915735504</v>
      </c>
      <c r="AK140" s="177">
        <f>((LOOKUP(Detached!AK$2,'Ceiling-U'!$A$4:$A$40,'Ceiling-U'!$AA$4:$AA$40)*Detached!AK$14)+(LOOKUP(Detached!AK$2,'Floor-U'!$A$4:$A$40,'Floor-U'!$H$4:$H$40)*Detached!AK$15)+(LOOKUP(Detached!AK$2,'Wall-U'!$A$4:$A$40,'Wall-U'!$H$4:$H$40)*Detached!AK$12)+(LOOKUP(Detached!AK$2,'Window-U'!$A$4:$A$40,'Window-U'!$H$4:$H$40)*Detached!AK$21))*AK136</f>
        <v>337.65342958616765</v>
      </c>
      <c r="AL140" s="177">
        <f>((LOOKUP(Detached!AL$2,'Ceiling-U'!$A$4:$A$40,'Ceiling-U'!$AA$4:$AA$40)*Detached!AL$14)+(LOOKUP(Detached!AL$2,'Floor-U'!$A$4:$A$40,'Floor-U'!$H$4:$H$40)*Detached!AL$15)+(LOOKUP(Detached!AL$2,'Wall-U'!$A$4:$A$40,'Wall-U'!$H$4:$H$40)*Detached!AL$12)+(LOOKUP(Detached!AL$2,'Window-U'!$A$4:$A$40,'Window-U'!$H$4:$H$40)*Detached!AL$21))*AL136</f>
        <v>270.83085504007528</v>
      </c>
      <c r="AM140" s="177">
        <f>((LOOKUP(Detached!AM$2,'Ceiling-U'!$A$4:$A$40,'Ceiling-U'!$AA$4:$AA$40)*Detached!AM$14)+(LOOKUP(Detached!AM$2,'Floor-U'!$A$4:$A$40,'Floor-U'!$H$4:$H$40)*Detached!AM$15)+(LOOKUP(Detached!AM$2,'Wall-U'!$A$4:$A$40,'Wall-U'!$H$4:$H$40)*Detached!AM$12)+(LOOKUP(Detached!AM$2,'Window-U'!$A$4:$A$40,'Window-U'!$H$4:$H$40)*Detached!AM$21))*AM136</f>
        <v>292.28977915735504</v>
      </c>
      <c r="AN140" s="178">
        <f>((LOOKUP(Detached!AN$2,'Ceiling-U'!$A$4:$A$40,'Ceiling-U'!$AA$4:$AA$40)*Detached!AN$14)+(LOOKUP(Detached!AN$2,'Floor-U'!$A$4:$A$40,'Floor-U'!$H$4:$H$40)*Detached!AN$15)+(LOOKUP(Detached!AN$2,'Wall-U'!$A$4:$A$40,'Wall-U'!$H$4:$H$40)*Detached!AN$12)+(LOOKUP(Detached!AN$2,'Window-U'!$A$4:$A$40,'Window-U'!$H$4:$H$40)*Detached!AN$21))*AN136</f>
        <v>292.28977915735504</v>
      </c>
    </row>
    <row r="141" spans="1:40">
      <c r="A141" s="372"/>
      <c r="B141" s="142" t="s">
        <v>6</v>
      </c>
      <c r="C141" s="131" t="s">
        <v>195</v>
      </c>
      <c r="D141" s="176">
        <f>((LOOKUP(Detached!D$2,'Ceiling-U'!$A$4:$A$40,'Ceiling-U'!$AB$4:$AB$40)*Detached!D$14)+(LOOKUP(Detached!D$2,'Floor-U'!$A$4:$A$40,'Floor-U'!$I$4:$I$40)*Detached!D$15)+(LOOKUP(Detached!D$2,'Wall-U'!$A$4:$A$40,'Wall-U'!$I$4:$I$40)*Detached!D$12)+(LOOKUP(Detached!D$2,'Window-U'!$A$4:$A$40,'Window-U'!$I$4:$I$40)*Detached!D$21))*D136</f>
        <v>187.27266123803875</v>
      </c>
      <c r="E141" s="177">
        <f>((LOOKUP(Detached!E$2,'Ceiling-U'!$A$4:$A$40,'Ceiling-U'!$AB$4:$AB$40)*Detached!E$14)+(LOOKUP(Detached!E$2,'Floor-U'!$A$4:$A$40,'Floor-U'!$I$4:$I$40)*Detached!E$15)+(LOOKUP(Detached!E$2,'Wall-U'!$A$4:$A$40,'Wall-U'!$I$4:$I$40)*Detached!E$12)+(LOOKUP(Detached!E$2,'Window-U'!$A$4:$A$40,'Window-U'!$I$4:$I$40)*Detached!E$21))*E136</f>
        <v>457.56766116958789</v>
      </c>
      <c r="F141" s="177">
        <f>((LOOKUP(Detached!F$2,'Ceiling-U'!$A$4:$A$40,'Ceiling-U'!$AB$4:$AB$40)*Detached!F$14)+(LOOKUP(Detached!F$2,'Floor-U'!$A$4:$A$40,'Floor-U'!$I$4:$I$40)*Detached!F$15)+(LOOKUP(Detached!F$2,'Wall-U'!$A$4:$A$40,'Wall-U'!$I$4:$I$40)*Detached!F$12)+(LOOKUP(Detached!F$2,'Window-U'!$A$4:$A$40,'Window-U'!$I$4:$I$40)*Detached!F$21))*F136</f>
        <v>219.44110244005094</v>
      </c>
      <c r="G141" s="177">
        <f>((LOOKUP(Detached!G$2,'Ceiling-U'!$A$4:$A$40,'Ceiling-U'!$AB$4:$AB$40)*Detached!G$14)+(LOOKUP(Detached!G$2,'Floor-U'!$A$4:$A$40,'Floor-U'!$I$4:$I$40)*Detached!G$15)+(LOOKUP(Detached!G$2,'Wall-U'!$A$4:$A$40,'Wall-U'!$I$4:$I$40)*Detached!G$12)+(LOOKUP(Detached!G$2,'Window-U'!$A$4:$A$40,'Window-U'!$I$4:$I$40)*Detached!G$21))*G136</f>
        <v>187.27266123803875</v>
      </c>
      <c r="H141" s="177">
        <f>((LOOKUP(Detached!H$2,'Ceiling-U'!$A$4:$A$40,'Ceiling-U'!$AB$4:$AB$40)*Detached!H$14)+(LOOKUP(Detached!H$2,'Floor-U'!$A$4:$A$40,'Floor-U'!$I$4:$I$40)*Detached!H$15)+(LOOKUP(Detached!H$2,'Wall-U'!$A$4:$A$40,'Wall-U'!$I$4:$I$40)*Detached!H$12)+(LOOKUP(Detached!H$2,'Window-U'!$A$4:$A$40,'Window-U'!$I$4:$I$40)*Detached!H$21))*H136</f>
        <v>435.5679389067966</v>
      </c>
      <c r="I141" s="177">
        <f>((LOOKUP(Detached!I$2,'Ceiling-U'!$A$4:$A$40,'Ceiling-U'!$AB$4:$AB$40)*Detached!I$14)+(LOOKUP(Detached!I$2,'Floor-U'!$A$4:$A$40,'Floor-U'!$I$4:$I$40)*Detached!I$15)+(LOOKUP(Detached!I$2,'Wall-U'!$A$4:$A$40,'Wall-U'!$I$4:$I$40)*Detached!I$12)+(LOOKUP(Detached!I$2,'Window-U'!$A$4:$A$40,'Window-U'!$I$4:$I$40)*Detached!I$21))*I136</f>
        <v>193.0538694760231</v>
      </c>
      <c r="J141" s="177">
        <f>((LOOKUP(Detached!J$2,'Ceiling-U'!$A$4:$A$40,'Ceiling-U'!$AB$4:$AB$40)*Detached!J$14)+(LOOKUP(Detached!J$2,'Floor-U'!$A$4:$A$40,'Floor-U'!$I$4:$I$40)*Detached!J$15)+(LOOKUP(Detached!J$2,'Wall-U'!$A$4:$A$40,'Wall-U'!$I$4:$I$40)*Detached!J$12)+(LOOKUP(Detached!J$2,'Window-U'!$A$4:$A$40,'Window-U'!$I$4:$I$40)*Detached!J$21))*J136</f>
        <v>126.88226524671376</v>
      </c>
      <c r="K141" s="177">
        <f>((LOOKUP(Detached!K$2,'Ceiling-U'!$A$4:$A$40,'Ceiling-U'!$AB$4:$AB$40)*Detached!K$14)+(LOOKUP(Detached!K$2,'Floor-U'!$A$4:$A$40,'Floor-U'!$I$4:$I$40)*Detached!K$15)+(LOOKUP(Detached!K$2,'Wall-U'!$A$4:$A$40,'Wall-U'!$I$4:$I$40)*Detached!K$12)+(LOOKUP(Detached!K$2,'Window-U'!$A$4:$A$40,'Window-U'!$I$4:$I$40)*Detached!K$21))*K136</f>
        <v>170.19863055967983</v>
      </c>
      <c r="L141" s="177">
        <f>((LOOKUP(Detached!L$2,'Ceiling-U'!$A$4:$A$40,'Ceiling-U'!$AB$4:$AB$40)*Detached!L$14)+(LOOKUP(Detached!L$2,'Floor-U'!$A$4:$A$40,'Floor-U'!$I$4:$I$40)*Detached!L$15)+(LOOKUP(Detached!L$2,'Wall-U'!$A$4:$A$40,'Wall-U'!$I$4:$I$40)*Detached!L$12)+(LOOKUP(Detached!L$2,'Window-U'!$A$4:$A$40,'Window-U'!$I$4:$I$40)*Detached!L$21))*L136</f>
        <v>79.884699844934346</v>
      </c>
      <c r="M141" s="177">
        <f>((LOOKUP(Detached!M$2,'Ceiling-U'!$A$4:$A$40,'Ceiling-U'!$AB$4:$AB$40)*Detached!M$14)+(LOOKUP(Detached!M$2,'Floor-U'!$A$4:$A$40,'Floor-U'!$I$4:$I$40)*Detached!M$15)+(LOOKUP(Detached!M$2,'Wall-U'!$A$4:$A$40,'Wall-U'!$I$4:$I$40)*Detached!M$12)+(LOOKUP(Detached!M$2,'Window-U'!$A$4:$A$40,'Window-U'!$I$4:$I$40)*Detached!M$21))*M136</f>
        <v>444.38364280227222</v>
      </c>
      <c r="N141" s="177">
        <f>((LOOKUP(Detached!N$2,'Ceiling-U'!$A$4:$A$40,'Ceiling-U'!$AB$4:$AB$40)*Detached!N$14)+(LOOKUP(Detached!N$2,'Floor-U'!$A$4:$A$40,'Floor-U'!$I$4:$I$40)*Detached!N$15)+(LOOKUP(Detached!N$2,'Wall-U'!$A$4:$A$40,'Wall-U'!$I$4:$I$40)*Detached!N$12)+(LOOKUP(Detached!N$2,'Window-U'!$A$4:$A$40,'Window-U'!$I$4:$I$40)*Detached!N$21))*N136</f>
        <v>124.46693278504168</v>
      </c>
      <c r="O141" s="177">
        <f>((LOOKUP(Detached!O$2,'Ceiling-U'!$A$4:$A$40,'Ceiling-U'!$AB$4:$AB$40)*Detached!O$14)+(LOOKUP(Detached!O$2,'Floor-U'!$A$4:$A$40,'Floor-U'!$I$4:$I$40)*Detached!O$15)+(LOOKUP(Detached!O$2,'Wall-U'!$A$4:$A$40,'Wall-U'!$I$4:$I$40)*Detached!O$12)+(LOOKUP(Detached!O$2,'Window-U'!$A$4:$A$40,'Window-U'!$I$4:$I$40)*Detached!O$21))*O136</f>
        <v>163.53242618807357</v>
      </c>
      <c r="P141" s="177">
        <f>((LOOKUP(Detached!P$2,'Ceiling-U'!$A$4:$A$40,'Ceiling-U'!$AB$4:$AB$40)*Detached!P$14)+(LOOKUP(Detached!P$2,'Floor-U'!$A$4:$A$40,'Floor-U'!$I$4:$I$40)*Detached!P$15)+(LOOKUP(Detached!P$2,'Wall-U'!$A$4:$A$40,'Wall-U'!$I$4:$I$40)*Detached!P$12)+(LOOKUP(Detached!P$2,'Window-U'!$A$4:$A$40,'Window-U'!$I$4:$I$40)*Detached!P$21))*P136</f>
        <v>603.89669484622095</v>
      </c>
      <c r="Q141" s="177">
        <f>((LOOKUP(Detached!Q$2,'Ceiling-U'!$A$4:$A$40,'Ceiling-U'!$AB$4:$AB$40)*Detached!Q$14)+(LOOKUP(Detached!Q$2,'Floor-U'!$A$4:$A$40,'Floor-U'!$I$4:$I$40)*Detached!Q$15)+(LOOKUP(Detached!Q$2,'Wall-U'!$A$4:$A$40,'Wall-U'!$I$4:$I$40)*Detached!Q$12)+(LOOKUP(Detached!Q$2,'Window-U'!$A$4:$A$40,'Window-U'!$I$4:$I$40)*Detached!Q$21))*Q136</f>
        <v>215.6971249655972</v>
      </c>
      <c r="R141" s="177">
        <f>((LOOKUP(Detached!R$2,'Ceiling-U'!$A$4:$A$40,'Ceiling-U'!$AB$4:$AB$40)*Detached!R$14)+(LOOKUP(Detached!R$2,'Floor-U'!$A$4:$A$40,'Floor-U'!$I$4:$I$40)*Detached!R$15)+(LOOKUP(Detached!R$2,'Wall-U'!$A$4:$A$40,'Wall-U'!$I$4:$I$40)*Detached!R$12)+(LOOKUP(Detached!R$2,'Window-U'!$A$4:$A$40,'Window-U'!$I$4:$I$40)*Detached!R$21))*R136</f>
        <v>257.68627773826438</v>
      </c>
      <c r="S141" s="177">
        <f>((LOOKUP(Detached!S$2,'Ceiling-U'!$A$4:$A$40,'Ceiling-U'!$AB$4:$AB$40)*Detached!S$14)+(LOOKUP(Detached!S$2,'Floor-U'!$A$4:$A$40,'Floor-U'!$I$4:$I$40)*Detached!S$15)+(LOOKUP(Detached!S$2,'Wall-U'!$A$4:$A$40,'Wall-U'!$I$4:$I$40)*Detached!S$12)+(LOOKUP(Detached!S$2,'Window-U'!$A$4:$A$40,'Window-U'!$I$4:$I$40)*Detached!S$21))*S136</f>
        <v>282.97100224354438</v>
      </c>
      <c r="T141" s="177">
        <f>((LOOKUP(Detached!T$2,'Ceiling-U'!$A$4:$A$40,'Ceiling-U'!$AB$4:$AB$40)*Detached!T$14)+(LOOKUP(Detached!T$2,'Floor-U'!$A$4:$A$40,'Floor-U'!$I$4:$I$40)*Detached!T$15)+(LOOKUP(Detached!T$2,'Wall-U'!$A$4:$A$40,'Wall-U'!$I$4:$I$40)*Detached!T$12)+(LOOKUP(Detached!T$2,'Window-U'!$A$4:$A$40,'Window-U'!$I$4:$I$40)*Detached!T$21))*T136</f>
        <v>124.46693278504168</v>
      </c>
      <c r="U141" s="177">
        <f>((LOOKUP(Detached!U$2,'Ceiling-U'!$A$4:$A$40,'Ceiling-U'!$AB$4:$AB$40)*Detached!U$14)+(LOOKUP(Detached!U$2,'Floor-U'!$A$4:$A$40,'Floor-U'!$I$4:$I$40)*Detached!U$15)+(LOOKUP(Detached!U$2,'Wall-U'!$A$4:$A$40,'Wall-U'!$I$4:$I$40)*Detached!U$12)+(LOOKUP(Detached!U$2,'Window-U'!$A$4:$A$40,'Window-U'!$I$4:$I$40)*Detached!U$21))*U136</f>
        <v>373.30909610367326</v>
      </c>
      <c r="V141" s="177">
        <f>((LOOKUP(Detached!V$2,'Ceiling-U'!$A$4:$A$40,'Ceiling-U'!$AB$4:$AB$40)*Detached!V$14)+(LOOKUP(Detached!V$2,'Floor-U'!$A$4:$A$40,'Floor-U'!$I$4:$I$40)*Detached!V$15)+(LOOKUP(Detached!V$2,'Wall-U'!$A$4:$A$40,'Wall-U'!$I$4:$I$40)*Detached!V$12)+(LOOKUP(Detached!V$2,'Window-U'!$A$4:$A$40,'Window-U'!$I$4:$I$40)*Detached!V$21))*V136</f>
        <v>187.14404652820758</v>
      </c>
      <c r="W141" s="177">
        <f>((LOOKUP(Detached!W$2,'Ceiling-U'!$A$4:$A$40,'Ceiling-U'!$AB$4:$AB$40)*Detached!W$14)+(LOOKUP(Detached!W$2,'Floor-U'!$A$4:$A$40,'Floor-U'!$I$4:$I$40)*Detached!W$15)+(LOOKUP(Detached!W$2,'Wall-U'!$A$4:$A$40,'Wall-U'!$I$4:$I$40)*Detached!W$12)+(LOOKUP(Detached!W$2,'Window-U'!$A$4:$A$40,'Window-U'!$I$4:$I$40)*Detached!W$21))*W136</f>
        <v>156.32202562408889</v>
      </c>
      <c r="X141" s="177">
        <f>((LOOKUP(Detached!X$2,'Ceiling-U'!$A$4:$A$40,'Ceiling-U'!$AB$4:$AB$40)*Detached!X$14)+(LOOKUP(Detached!X$2,'Floor-U'!$A$4:$A$40,'Floor-U'!$I$4:$I$40)*Detached!X$15)+(LOOKUP(Detached!X$2,'Wall-U'!$A$4:$A$40,'Wall-U'!$I$4:$I$40)*Detached!X$12)+(LOOKUP(Detached!X$2,'Window-U'!$A$4:$A$40,'Window-U'!$I$4:$I$40)*Detached!X$21))*X136</f>
        <v>161.40043751828034</v>
      </c>
      <c r="Y141" s="177">
        <f>((LOOKUP(Detached!Y$2,'Ceiling-U'!$A$4:$A$40,'Ceiling-U'!$AB$4:$AB$40)*Detached!Y$14)+(LOOKUP(Detached!Y$2,'Floor-U'!$A$4:$A$40,'Floor-U'!$I$4:$I$40)*Detached!Y$15)+(LOOKUP(Detached!Y$2,'Wall-U'!$A$4:$A$40,'Wall-U'!$I$4:$I$40)*Detached!Y$12)+(LOOKUP(Detached!Y$2,'Window-U'!$A$4:$A$40,'Window-U'!$I$4:$I$40)*Detached!Y$21))*Y136</f>
        <v>598.04140631191945</v>
      </c>
      <c r="Z141" s="177">
        <f>((LOOKUP(Detached!Z$2,'Ceiling-U'!$A$4:$A$40,'Ceiling-U'!$AB$4:$AB$40)*Detached!Z$14)+(LOOKUP(Detached!Z$2,'Floor-U'!$A$4:$A$40,'Floor-U'!$I$4:$I$40)*Detached!Z$15)+(LOOKUP(Detached!Z$2,'Wall-U'!$A$4:$A$40,'Wall-U'!$I$4:$I$40)*Detached!Z$12)+(LOOKUP(Detached!Z$2,'Window-U'!$A$4:$A$40,'Window-U'!$I$4:$I$40)*Detached!Z$21))*Z136</f>
        <v>255.3765530692007</v>
      </c>
      <c r="AA141" s="177">
        <f>((LOOKUP(Detached!AA$2,'Ceiling-U'!$A$4:$A$40,'Ceiling-U'!$AB$4:$AB$40)*Detached!AA$14)+(LOOKUP(Detached!AA$2,'Floor-U'!$A$4:$A$40,'Floor-U'!$I$4:$I$40)*Detached!AA$15)+(LOOKUP(Detached!AA$2,'Wall-U'!$A$4:$A$40,'Wall-U'!$I$4:$I$40)*Detached!AA$12)+(LOOKUP(Detached!AA$2,'Window-U'!$A$4:$A$40,'Window-U'!$I$4:$I$40)*Detached!AA$21))*AA136</f>
        <v>127.54254938930069</v>
      </c>
      <c r="AB141" s="177">
        <f>((LOOKUP(Detached!AB$2,'Ceiling-U'!$A$4:$A$40,'Ceiling-U'!$AB$4:$AB$40)*Detached!AB$14)+(LOOKUP(Detached!AB$2,'Floor-U'!$A$4:$A$40,'Floor-U'!$I$4:$I$40)*Detached!AB$15)+(LOOKUP(Detached!AB$2,'Wall-U'!$A$4:$A$40,'Wall-U'!$I$4:$I$40)*Detached!AB$12)+(LOOKUP(Detached!AB$2,'Window-U'!$A$4:$A$40,'Window-U'!$I$4:$I$40)*Detached!AB$21))*AB136</f>
        <v>250.11644515698376</v>
      </c>
      <c r="AC141" s="177">
        <f>((LOOKUP(Detached!AC$2,'Ceiling-U'!$A$4:$A$40,'Ceiling-U'!$AB$4:$AB$40)*Detached!AC$14)+(LOOKUP(Detached!AC$2,'Floor-U'!$A$4:$A$40,'Floor-U'!$I$4:$I$40)*Detached!AC$15)+(LOOKUP(Detached!AC$2,'Wall-U'!$A$4:$A$40,'Wall-U'!$I$4:$I$40)*Detached!AC$12)+(LOOKUP(Detached!AC$2,'Window-U'!$A$4:$A$40,'Window-U'!$I$4:$I$40)*Detached!AC$21))*AC136</f>
        <v>505.87941774699772</v>
      </c>
      <c r="AD141" s="177">
        <f>((LOOKUP(Detached!AD$2,'Ceiling-U'!$A$4:$A$40,'Ceiling-U'!$AB$4:$AB$40)*Detached!AD$14)+(LOOKUP(Detached!AD$2,'Floor-U'!$A$4:$A$40,'Floor-U'!$I$4:$I$40)*Detached!AD$15)+(LOOKUP(Detached!AD$2,'Wall-U'!$A$4:$A$40,'Wall-U'!$I$4:$I$40)*Detached!AD$12)+(LOOKUP(Detached!AD$2,'Window-U'!$A$4:$A$40,'Window-U'!$I$4:$I$40)*Detached!AD$21))*AD136</f>
        <v>310.8340243985341</v>
      </c>
      <c r="AE141" s="177">
        <f>((LOOKUP(Detached!AE$2,'Ceiling-U'!$A$4:$A$40,'Ceiling-U'!$AB$4:$AB$40)*Detached!AE$14)+(LOOKUP(Detached!AE$2,'Floor-U'!$A$4:$A$40,'Floor-U'!$I$4:$I$40)*Detached!AE$15)+(LOOKUP(Detached!AE$2,'Wall-U'!$A$4:$A$40,'Wall-U'!$I$4:$I$40)*Detached!AE$12)+(LOOKUP(Detached!AE$2,'Window-U'!$A$4:$A$40,'Window-U'!$I$4:$I$40)*Detached!AE$21))*AE136</f>
        <v>127.54254938930069</v>
      </c>
      <c r="AF141" s="177">
        <f>((LOOKUP(Detached!AF$2,'Ceiling-U'!$A$4:$A$40,'Ceiling-U'!$AB$4:$AB$40)*Detached!AF$14)+(LOOKUP(Detached!AF$2,'Floor-U'!$A$4:$A$40,'Floor-U'!$I$4:$I$40)*Detached!AF$15)+(LOOKUP(Detached!AF$2,'Wall-U'!$A$4:$A$40,'Wall-U'!$I$4:$I$40)*Detached!AF$12)+(LOOKUP(Detached!AF$2,'Window-U'!$A$4:$A$40,'Window-U'!$I$4:$I$40)*Detached!AF$21))*AF136</f>
        <v>183.08361063040337</v>
      </c>
      <c r="AG141" s="177">
        <f>((LOOKUP(Detached!AG$2,'Ceiling-U'!$A$4:$A$40,'Ceiling-U'!$AB$4:$AB$40)*Detached!AG$14)+(LOOKUP(Detached!AG$2,'Floor-U'!$A$4:$A$40,'Floor-U'!$I$4:$I$40)*Detached!AG$15)+(LOOKUP(Detached!AG$2,'Wall-U'!$A$4:$A$40,'Wall-U'!$I$4:$I$40)*Detached!AG$12)+(LOOKUP(Detached!AG$2,'Window-U'!$A$4:$A$40,'Window-U'!$I$4:$I$40)*Detached!AG$21))*AG136</f>
        <v>346.483979339043</v>
      </c>
      <c r="AH141" s="177">
        <f>((LOOKUP(Detached!AH$2,'Ceiling-U'!$A$4:$A$40,'Ceiling-U'!$AB$4:$AB$40)*Detached!AH$14)+(LOOKUP(Detached!AH$2,'Floor-U'!$A$4:$A$40,'Floor-U'!$I$4:$I$40)*Detached!AH$15)+(LOOKUP(Detached!AH$2,'Wall-U'!$A$4:$A$40,'Wall-U'!$I$4:$I$40)*Detached!AH$12)+(LOOKUP(Detached!AH$2,'Window-U'!$A$4:$A$40,'Window-U'!$I$4:$I$40)*Detached!AH$21))*AH136</f>
        <v>160.28807630393899</v>
      </c>
      <c r="AI141" s="177">
        <f>((LOOKUP(Detached!AI$2,'Ceiling-U'!$A$4:$A$40,'Ceiling-U'!$AB$4:$AB$40)*Detached!AI$14)+(LOOKUP(Detached!AI$2,'Floor-U'!$A$4:$A$40,'Floor-U'!$I$4:$I$40)*Detached!AI$15)+(LOOKUP(Detached!AI$2,'Wall-U'!$A$4:$A$40,'Wall-U'!$I$4:$I$40)*Detached!AI$12)+(LOOKUP(Detached!AI$2,'Window-U'!$A$4:$A$40,'Window-U'!$I$4:$I$40)*Detached!AI$21))*AI136</f>
        <v>603.89669484622095</v>
      </c>
      <c r="AJ141" s="177">
        <f>((LOOKUP(Detached!AJ$2,'Ceiling-U'!$A$4:$A$40,'Ceiling-U'!$AB$4:$AB$40)*Detached!AJ$14)+(LOOKUP(Detached!AJ$2,'Floor-U'!$A$4:$A$40,'Floor-U'!$I$4:$I$40)*Detached!AJ$15)+(LOOKUP(Detached!AJ$2,'Wall-U'!$A$4:$A$40,'Wall-U'!$I$4:$I$40)*Detached!AJ$12)+(LOOKUP(Detached!AJ$2,'Window-U'!$A$4:$A$40,'Window-U'!$I$4:$I$40)*Detached!AJ$21))*AJ136</f>
        <v>282.01010426363479</v>
      </c>
      <c r="AK141" s="177">
        <f>((LOOKUP(Detached!AK$2,'Ceiling-U'!$A$4:$A$40,'Ceiling-U'!$AB$4:$AB$40)*Detached!AK$14)+(LOOKUP(Detached!AK$2,'Floor-U'!$A$4:$A$40,'Floor-U'!$I$4:$I$40)*Detached!AK$15)+(LOOKUP(Detached!AK$2,'Wall-U'!$A$4:$A$40,'Wall-U'!$I$4:$I$40)*Detached!AK$12)+(LOOKUP(Detached!AK$2,'Window-U'!$A$4:$A$40,'Window-U'!$I$4:$I$40)*Detached!AK$21))*AK136</f>
        <v>324.77677971234789</v>
      </c>
      <c r="AL141" s="177">
        <f>((LOOKUP(Detached!AL$2,'Ceiling-U'!$A$4:$A$40,'Ceiling-U'!$AB$4:$AB$40)*Detached!AL$14)+(LOOKUP(Detached!AL$2,'Floor-U'!$A$4:$A$40,'Floor-U'!$I$4:$I$40)*Detached!AL$15)+(LOOKUP(Detached!AL$2,'Wall-U'!$A$4:$A$40,'Wall-U'!$I$4:$I$40)*Detached!AL$12)+(LOOKUP(Detached!AL$2,'Window-U'!$A$4:$A$40,'Window-U'!$I$4:$I$40)*Detached!AL$21))*AL136</f>
        <v>227.20010130173119</v>
      </c>
      <c r="AM141" s="177">
        <f>((LOOKUP(Detached!AM$2,'Ceiling-U'!$A$4:$A$40,'Ceiling-U'!$AB$4:$AB$40)*Detached!AM$14)+(LOOKUP(Detached!AM$2,'Floor-U'!$A$4:$A$40,'Floor-U'!$I$4:$I$40)*Detached!AM$15)+(LOOKUP(Detached!AM$2,'Wall-U'!$A$4:$A$40,'Wall-U'!$I$4:$I$40)*Detached!AM$12)+(LOOKUP(Detached!AM$2,'Window-U'!$A$4:$A$40,'Window-U'!$I$4:$I$40)*Detached!AM$21))*AM136</f>
        <v>282.01010426363479</v>
      </c>
      <c r="AN141" s="178">
        <f>((LOOKUP(Detached!AN$2,'Ceiling-U'!$A$4:$A$40,'Ceiling-U'!$AB$4:$AB$40)*Detached!AN$14)+(LOOKUP(Detached!AN$2,'Floor-U'!$A$4:$A$40,'Floor-U'!$I$4:$I$40)*Detached!AN$15)+(LOOKUP(Detached!AN$2,'Wall-U'!$A$4:$A$40,'Wall-U'!$I$4:$I$40)*Detached!AN$12)+(LOOKUP(Detached!AN$2,'Window-U'!$A$4:$A$40,'Window-U'!$I$4:$I$40)*Detached!AN$21))*AN136</f>
        <v>282.01010426363479</v>
      </c>
    </row>
    <row r="142" spans="1:40">
      <c r="A142" s="373"/>
      <c r="B142" s="374" t="s">
        <v>7</v>
      </c>
      <c r="C142" s="131" t="s">
        <v>195</v>
      </c>
      <c r="D142" s="176">
        <f>((LOOKUP(Detached!D$2,'Ceiling-U'!$A$4:$A$40,'Ceiling-U'!$AC$4:$AC$40)*Detached!D$14)+(LOOKUP(Detached!D$2,'Floor-U'!$A$4:$A$40,'Floor-U'!$J$4:$J$40)*Detached!D$15)+(LOOKUP(Detached!D$2,'Wall-U'!$A$4:$A$40,'Wall-U'!$J$4:$J$40)*Detached!D$12)+(LOOKUP(Detached!D$2,'Window-U'!$A$4:$A$40,'Window-U'!$J$4:$J$40)*Detached!D$21))*D136</f>
        <v>165.9013752279285</v>
      </c>
      <c r="E142" s="174">
        <f>((LOOKUP(Detached!E$2,'Ceiling-U'!$A$4:$A$40,'Ceiling-U'!$AC$4:$AC$40)*Detached!E$14)+(LOOKUP(Detached!E$2,'Floor-U'!$A$4:$A$40,'Floor-U'!$J$4:$J$40)*Detached!E$15)+(LOOKUP(Detached!E$2,'Wall-U'!$A$4:$A$40,'Wall-U'!$J$4:$J$40)*Detached!E$12)+(LOOKUP(Detached!E$2,'Window-U'!$A$4:$A$40,'Window-U'!$J$4:$J$40)*Detached!E$21))*E136</f>
        <v>265.59526982495481</v>
      </c>
      <c r="F142" s="174">
        <f>((LOOKUP(Detached!F$2,'Ceiling-U'!$A$4:$A$40,'Ceiling-U'!$AC$4:$AC$40)*Detached!F$14)+(LOOKUP(Detached!F$2,'Floor-U'!$A$4:$A$40,'Floor-U'!$J$4:$J$40)*Detached!F$15)+(LOOKUP(Detached!F$2,'Wall-U'!$A$4:$A$40,'Wall-U'!$J$4:$J$40)*Detached!F$12)+(LOOKUP(Detached!F$2,'Window-U'!$A$4:$A$40,'Window-U'!$J$4:$J$40)*Detached!F$21))*F136</f>
        <v>145.07711017603521</v>
      </c>
      <c r="G142" s="174">
        <f>((LOOKUP(Detached!G$2,'Ceiling-U'!$A$4:$A$40,'Ceiling-U'!$AC$4:$AC$40)*Detached!G$14)+(LOOKUP(Detached!G$2,'Floor-U'!$A$4:$A$40,'Floor-U'!$J$4:$J$40)*Detached!G$15)+(LOOKUP(Detached!G$2,'Wall-U'!$A$4:$A$40,'Wall-U'!$J$4:$J$40)*Detached!G$12)+(LOOKUP(Detached!G$2,'Window-U'!$A$4:$A$40,'Window-U'!$J$4:$J$40)*Detached!G$21))*G136</f>
        <v>165.9013752279285</v>
      </c>
      <c r="H142" s="174">
        <f>((LOOKUP(Detached!H$2,'Ceiling-U'!$A$4:$A$40,'Ceiling-U'!$AC$4:$AC$40)*Detached!H$14)+(LOOKUP(Detached!H$2,'Floor-U'!$A$4:$A$40,'Floor-U'!$J$4:$J$40)*Detached!H$15)+(LOOKUP(Detached!H$2,'Wall-U'!$A$4:$A$40,'Wall-U'!$J$4:$J$40)*Detached!H$12)+(LOOKUP(Detached!H$2,'Window-U'!$A$4:$A$40,'Window-U'!$J$4:$J$40)*Detached!H$21))*H136</f>
        <v>347.12958795848795</v>
      </c>
      <c r="I142" s="174">
        <f>((LOOKUP(Detached!I$2,'Ceiling-U'!$A$4:$A$40,'Ceiling-U'!$AC$4:$AC$40)*Detached!I$14)+(LOOKUP(Detached!I$2,'Floor-U'!$A$4:$A$40,'Floor-U'!$J$4:$J$40)*Detached!I$15)+(LOOKUP(Detached!I$2,'Wall-U'!$A$4:$A$40,'Wall-U'!$J$4:$J$40)*Detached!I$12)+(LOOKUP(Detached!I$2,'Window-U'!$A$4:$A$40,'Window-U'!$J$4:$J$40)*Detached!I$21))*I136</f>
        <v>147.44634580029555</v>
      </c>
      <c r="J142" s="174">
        <f>((LOOKUP(Detached!J$2,'Ceiling-U'!$A$4:$A$40,'Ceiling-U'!$AC$4:$AC$40)*Detached!J$14)+(LOOKUP(Detached!J$2,'Floor-U'!$A$4:$A$40,'Floor-U'!$J$4:$J$40)*Detached!J$15)+(LOOKUP(Detached!J$2,'Wall-U'!$A$4:$A$40,'Wall-U'!$J$4:$J$40)*Detached!J$12)+(LOOKUP(Detached!J$2,'Window-U'!$A$4:$A$40,'Window-U'!$J$4:$J$40)*Detached!J$21))*J136</f>
        <v>138.76033403515919</v>
      </c>
      <c r="K142" s="174">
        <f>((LOOKUP(Detached!K$2,'Ceiling-U'!$A$4:$A$40,'Ceiling-U'!$AC$4:$AC$40)*Detached!K$14)+(LOOKUP(Detached!K$2,'Floor-U'!$A$4:$A$40,'Floor-U'!$J$4:$J$40)*Detached!K$15)+(LOOKUP(Detached!K$2,'Wall-U'!$A$4:$A$40,'Wall-U'!$J$4:$J$40)*Detached!K$12)+(LOOKUP(Detached!K$2,'Window-U'!$A$4:$A$40,'Window-U'!$J$4:$J$40)*Detached!K$21))*K136</f>
        <v>118.87118614584982</v>
      </c>
      <c r="L142" s="174">
        <f>((LOOKUP(Detached!L$2,'Ceiling-U'!$A$4:$A$40,'Ceiling-U'!$AC$4:$AC$40)*Detached!L$14)+(LOOKUP(Detached!L$2,'Floor-U'!$A$4:$A$40,'Floor-U'!$J$4:$J$40)*Detached!L$15)+(LOOKUP(Detached!L$2,'Wall-U'!$A$4:$A$40,'Wall-U'!$J$4:$J$40)*Detached!L$12)+(LOOKUP(Detached!L$2,'Window-U'!$A$4:$A$40,'Window-U'!$J$4:$J$40)*Detached!L$21))*L136</f>
        <v>79.884699844934346</v>
      </c>
      <c r="M142" s="174">
        <f>((LOOKUP(Detached!M$2,'Ceiling-U'!$A$4:$A$40,'Ceiling-U'!$AC$4:$AC$40)*Detached!M$14)+(LOOKUP(Detached!M$2,'Floor-U'!$A$4:$A$40,'Floor-U'!$J$4:$J$40)*Detached!M$15)+(LOOKUP(Detached!M$2,'Wall-U'!$A$4:$A$40,'Wall-U'!$J$4:$J$40)*Detached!M$12)+(LOOKUP(Detached!M$2,'Window-U'!$A$4:$A$40,'Window-U'!$J$4:$J$40)*Detached!M$21))*M136</f>
        <v>292.8729137432278</v>
      </c>
      <c r="N142" s="174">
        <f>((LOOKUP(Detached!N$2,'Ceiling-U'!$A$4:$A$40,'Ceiling-U'!$AC$4:$AC$40)*Detached!N$14)+(LOOKUP(Detached!N$2,'Floor-U'!$A$4:$A$40,'Floor-U'!$J$4:$J$40)*Detached!N$15)+(LOOKUP(Detached!N$2,'Wall-U'!$A$4:$A$40,'Wall-U'!$J$4:$J$40)*Detached!N$12)+(LOOKUP(Detached!N$2,'Window-U'!$A$4:$A$40,'Window-U'!$J$4:$J$40)*Detached!N$21))*N136</f>
        <v>110.13206427927105</v>
      </c>
      <c r="O142" s="174">
        <f>((LOOKUP(Detached!O$2,'Ceiling-U'!$A$4:$A$40,'Ceiling-U'!$AC$4:$AC$40)*Detached!O$14)+(LOOKUP(Detached!O$2,'Floor-U'!$A$4:$A$40,'Floor-U'!$J$4:$J$40)*Detached!O$15)+(LOOKUP(Detached!O$2,'Wall-U'!$A$4:$A$40,'Wall-U'!$J$4:$J$40)*Detached!O$12)+(LOOKUP(Detached!O$2,'Window-U'!$A$4:$A$40,'Window-U'!$J$4:$J$40)*Detached!O$21))*O136</f>
        <v>157.46161203377142</v>
      </c>
      <c r="P142" s="174">
        <f>((LOOKUP(Detached!P$2,'Ceiling-U'!$A$4:$A$40,'Ceiling-U'!$AC$4:$AC$40)*Detached!P$14)+(LOOKUP(Detached!P$2,'Floor-U'!$A$4:$A$40,'Floor-U'!$J$4:$J$40)*Detached!P$15)+(LOOKUP(Detached!P$2,'Wall-U'!$A$4:$A$40,'Wall-U'!$J$4:$J$40)*Detached!P$12)+(LOOKUP(Detached!P$2,'Window-U'!$A$4:$A$40,'Window-U'!$J$4:$J$40)*Detached!P$21))*P136</f>
        <v>236.67314160987766</v>
      </c>
      <c r="Q142" s="174">
        <f>((LOOKUP(Detached!Q$2,'Ceiling-U'!$A$4:$A$40,'Ceiling-U'!$AC$4:$AC$40)*Detached!Q$14)+(LOOKUP(Detached!Q$2,'Floor-U'!$A$4:$A$40,'Floor-U'!$J$4:$J$40)*Detached!Q$15)+(LOOKUP(Detached!Q$2,'Wall-U'!$A$4:$A$40,'Wall-U'!$J$4:$J$40)*Detached!Q$12)+(LOOKUP(Detached!Q$2,'Window-U'!$A$4:$A$40,'Window-U'!$J$4:$J$40)*Detached!Q$21))*Q136</f>
        <v>132.89325477588307</v>
      </c>
      <c r="R142" s="174">
        <f>((LOOKUP(Detached!R$2,'Ceiling-U'!$A$4:$A$40,'Ceiling-U'!$AC$4:$AC$40)*Detached!R$14)+(LOOKUP(Detached!R$2,'Floor-U'!$A$4:$A$40,'Floor-U'!$J$4:$J$40)*Detached!R$15)+(LOOKUP(Detached!R$2,'Wall-U'!$A$4:$A$40,'Wall-U'!$J$4:$J$40)*Detached!R$12)+(LOOKUP(Detached!R$2,'Window-U'!$A$4:$A$40,'Window-U'!$J$4:$J$40)*Detached!R$21))*R136</f>
        <v>152.35709017223712</v>
      </c>
      <c r="S142" s="174">
        <f>((LOOKUP(Detached!S$2,'Ceiling-U'!$A$4:$A$40,'Ceiling-U'!$AC$4:$AC$40)*Detached!S$14)+(LOOKUP(Detached!S$2,'Floor-U'!$A$4:$A$40,'Floor-U'!$J$4:$J$40)*Detached!S$15)+(LOOKUP(Detached!S$2,'Wall-U'!$A$4:$A$40,'Wall-U'!$J$4:$J$40)*Detached!S$12)+(LOOKUP(Detached!S$2,'Window-U'!$A$4:$A$40,'Window-U'!$J$4:$J$40)*Detached!S$21))*S136</f>
        <v>168.05898499571998</v>
      </c>
      <c r="T142" s="174">
        <f>((LOOKUP(Detached!T$2,'Ceiling-U'!$A$4:$A$40,'Ceiling-U'!$AC$4:$AC$40)*Detached!T$14)+(LOOKUP(Detached!T$2,'Floor-U'!$A$4:$A$40,'Floor-U'!$J$4:$J$40)*Detached!T$15)+(LOOKUP(Detached!T$2,'Wall-U'!$A$4:$A$40,'Wall-U'!$J$4:$J$40)*Detached!T$12)+(LOOKUP(Detached!T$2,'Window-U'!$A$4:$A$40,'Window-U'!$J$4:$J$40)*Detached!T$21))*T136</f>
        <v>110.13206427927105</v>
      </c>
      <c r="U142" s="174">
        <f>((LOOKUP(Detached!U$2,'Ceiling-U'!$A$4:$A$40,'Ceiling-U'!$AC$4:$AC$40)*Detached!U$14)+(LOOKUP(Detached!U$2,'Floor-U'!$A$4:$A$40,'Floor-U'!$J$4:$J$40)*Detached!U$15)+(LOOKUP(Detached!U$2,'Wall-U'!$A$4:$A$40,'Wall-U'!$J$4:$J$40)*Detached!U$12)+(LOOKUP(Detached!U$2,'Window-U'!$A$4:$A$40,'Window-U'!$J$4:$J$40)*Detached!U$21))*U136</f>
        <v>343.30909610367326</v>
      </c>
      <c r="V142" s="174">
        <f>((LOOKUP(Detached!V$2,'Ceiling-U'!$A$4:$A$40,'Ceiling-U'!$AC$4:$AC$40)*Detached!V$14)+(LOOKUP(Detached!V$2,'Floor-U'!$A$4:$A$40,'Floor-U'!$J$4:$J$40)*Detached!V$15)+(LOOKUP(Detached!V$2,'Wall-U'!$A$4:$A$40,'Wall-U'!$J$4:$J$40)*Detached!V$12)+(LOOKUP(Detached!V$2,'Window-U'!$A$4:$A$40,'Window-U'!$J$4:$J$40)*Detached!V$21))*V136</f>
        <v>108.93302914851077</v>
      </c>
      <c r="W142" s="174">
        <f>((LOOKUP(Detached!W$2,'Ceiling-U'!$A$4:$A$40,'Ceiling-U'!$AC$4:$AC$40)*Detached!W$14)+(LOOKUP(Detached!W$2,'Floor-U'!$A$4:$A$40,'Floor-U'!$J$4:$J$40)*Detached!W$15)+(LOOKUP(Detached!W$2,'Wall-U'!$A$4:$A$40,'Wall-U'!$J$4:$J$40)*Detached!W$12)+(LOOKUP(Detached!W$2,'Window-U'!$A$4:$A$40,'Window-U'!$J$4:$J$40)*Detached!W$21))*W136</f>
        <v>121.02958445546631</v>
      </c>
      <c r="X142" s="174">
        <f>((LOOKUP(Detached!X$2,'Ceiling-U'!$A$4:$A$40,'Ceiling-U'!$AC$4:$AC$40)*Detached!X$14)+(LOOKUP(Detached!X$2,'Floor-U'!$A$4:$A$40,'Floor-U'!$J$4:$J$40)*Detached!X$15)+(LOOKUP(Detached!X$2,'Wall-U'!$A$4:$A$40,'Wall-U'!$J$4:$J$40)*Detached!X$12)+(LOOKUP(Detached!X$2,'Window-U'!$A$4:$A$40,'Window-U'!$J$4:$J$40)*Detached!X$21))*X136</f>
        <v>102.33272536496344</v>
      </c>
      <c r="Y142" s="174">
        <f>((LOOKUP(Detached!Y$2,'Ceiling-U'!$A$4:$A$40,'Ceiling-U'!$AC$4:$AC$40)*Detached!Y$14)+(LOOKUP(Detached!Y$2,'Floor-U'!$A$4:$A$40,'Floor-U'!$J$4:$J$40)*Detached!Y$15)+(LOOKUP(Detached!Y$2,'Wall-U'!$A$4:$A$40,'Wall-U'!$J$4:$J$40)*Detached!Y$12)+(LOOKUP(Detached!Y$2,'Window-U'!$A$4:$A$40,'Window-U'!$J$4:$J$40)*Detached!Y$21))*Y136</f>
        <v>565.95241640013251</v>
      </c>
      <c r="Z142" s="174">
        <f>((LOOKUP(Detached!Z$2,'Ceiling-U'!$A$4:$A$40,'Ceiling-U'!$AC$4:$AC$40)*Detached!Z$14)+(LOOKUP(Detached!Z$2,'Floor-U'!$A$4:$A$40,'Floor-U'!$J$4:$J$40)*Detached!Z$15)+(LOOKUP(Detached!Z$2,'Wall-U'!$A$4:$A$40,'Wall-U'!$J$4:$J$40)*Detached!Z$12)+(LOOKUP(Detached!Z$2,'Window-U'!$A$4:$A$40,'Window-U'!$J$4:$J$40)*Detached!Z$21))*Z136</f>
        <v>172.37050882138328</v>
      </c>
      <c r="AA142" s="174">
        <f>((LOOKUP(Detached!AA$2,'Ceiling-U'!$A$4:$A$40,'Ceiling-U'!$AC$4:$AC$40)*Detached!AA$14)+(LOOKUP(Detached!AA$2,'Floor-U'!$A$4:$A$40,'Floor-U'!$J$4:$J$40)*Detached!AA$15)+(LOOKUP(Detached!AA$2,'Wall-U'!$A$4:$A$40,'Wall-U'!$J$4:$J$40)*Detached!AA$12)+(LOOKUP(Detached!AA$2,'Window-U'!$A$4:$A$40,'Window-U'!$J$4:$J$40)*Detached!AA$21))*AA136</f>
        <v>107.46018938930069</v>
      </c>
      <c r="AB142" s="174">
        <f>((LOOKUP(Detached!AB$2,'Ceiling-U'!$A$4:$A$40,'Ceiling-U'!$AC$4:$AC$40)*Detached!AB$14)+(LOOKUP(Detached!AB$2,'Floor-U'!$A$4:$A$40,'Floor-U'!$J$4:$J$40)*Detached!AB$15)+(LOOKUP(Detached!AB$2,'Wall-U'!$A$4:$A$40,'Wall-U'!$J$4:$J$40)*Detached!AB$12)+(LOOKUP(Detached!AB$2,'Window-U'!$A$4:$A$40,'Window-U'!$J$4:$J$40)*Detached!AB$21))*AB136</f>
        <v>184.94692073602437</v>
      </c>
      <c r="AC142" s="174">
        <f>((LOOKUP(Detached!AC$2,'Ceiling-U'!$A$4:$A$40,'Ceiling-U'!$AC$4:$AC$40)*Detached!AC$14)+(LOOKUP(Detached!AC$2,'Floor-U'!$A$4:$A$40,'Floor-U'!$J$4:$J$40)*Detached!AC$15)+(LOOKUP(Detached!AC$2,'Wall-U'!$A$4:$A$40,'Wall-U'!$J$4:$J$40)*Detached!AC$12)+(LOOKUP(Detached!AC$2,'Window-U'!$A$4:$A$40,'Window-U'!$J$4:$J$40)*Detached!AC$21))*AC136</f>
        <v>341.65699281865903</v>
      </c>
      <c r="AD142" s="174">
        <f>((LOOKUP(Detached!AD$2,'Ceiling-U'!$A$4:$A$40,'Ceiling-U'!$AC$4:$AC$40)*Detached!AD$14)+(LOOKUP(Detached!AD$2,'Floor-U'!$A$4:$A$40,'Floor-U'!$J$4:$J$40)*Detached!AD$15)+(LOOKUP(Detached!AD$2,'Wall-U'!$A$4:$A$40,'Wall-U'!$J$4:$J$40)*Detached!AD$12)+(LOOKUP(Detached!AD$2,'Window-U'!$A$4:$A$40,'Window-U'!$J$4:$J$40)*Detached!AD$21))*AD136</f>
        <v>227.78376290557327</v>
      </c>
      <c r="AE142" s="174">
        <f>((LOOKUP(Detached!AE$2,'Ceiling-U'!$A$4:$A$40,'Ceiling-U'!$AC$4:$AC$40)*Detached!AE$14)+(LOOKUP(Detached!AE$2,'Floor-U'!$A$4:$A$40,'Floor-U'!$J$4:$J$40)*Detached!AE$15)+(LOOKUP(Detached!AE$2,'Wall-U'!$A$4:$A$40,'Wall-U'!$J$4:$J$40)*Detached!AE$12)+(LOOKUP(Detached!AE$2,'Window-U'!$A$4:$A$40,'Window-U'!$J$4:$J$40)*Detached!AE$21))*AE136</f>
        <v>107.46018938930069</v>
      </c>
      <c r="AF142" s="174">
        <f>((LOOKUP(Detached!AF$2,'Ceiling-U'!$A$4:$A$40,'Ceiling-U'!$AC$4:$AC$40)*Detached!AF$14)+(LOOKUP(Detached!AF$2,'Floor-U'!$A$4:$A$40,'Floor-U'!$J$4:$J$40)*Detached!AF$15)+(LOOKUP(Detached!AF$2,'Wall-U'!$A$4:$A$40,'Wall-U'!$J$4:$J$40)*Detached!AF$12)+(LOOKUP(Detached!AF$2,'Window-U'!$A$4:$A$40,'Window-U'!$J$4:$J$40)*Detached!AF$21))*AF136</f>
        <v>102.21530953418825</v>
      </c>
      <c r="AG142" s="174">
        <f>((LOOKUP(Detached!AG$2,'Ceiling-U'!$A$4:$A$40,'Ceiling-U'!$AC$4:$AC$40)*Detached!AG$14)+(LOOKUP(Detached!AG$2,'Floor-U'!$A$4:$A$40,'Floor-U'!$J$4:$J$40)*Detached!AG$15)+(LOOKUP(Detached!AG$2,'Wall-U'!$A$4:$A$40,'Wall-U'!$J$4:$J$40)*Detached!AG$12)+(LOOKUP(Detached!AG$2,'Window-U'!$A$4:$A$40,'Window-U'!$J$4:$J$40)*Detached!AG$21))*AG136</f>
        <v>194.79544117536756</v>
      </c>
      <c r="AH142" s="174">
        <f>((LOOKUP(Detached!AH$2,'Ceiling-U'!$A$4:$A$40,'Ceiling-U'!$AC$4:$AC$40)*Detached!AH$14)+(LOOKUP(Detached!AH$2,'Floor-U'!$A$4:$A$40,'Floor-U'!$J$4:$J$40)*Detached!AH$15)+(LOOKUP(Detached!AH$2,'Wall-U'!$A$4:$A$40,'Wall-U'!$J$4:$J$40)*Detached!AH$12)+(LOOKUP(Detached!AH$2,'Window-U'!$A$4:$A$40,'Window-U'!$J$4:$J$40)*Detached!AH$21))*AH136</f>
        <v>132.36754837710168</v>
      </c>
      <c r="AI142" s="174">
        <f>((LOOKUP(Detached!AI$2,'Ceiling-U'!$A$4:$A$40,'Ceiling-U'!$AC$4:$AC$40)*Detached!AI$14)+(LOOKUP(Detached!AI$2,'Floor-U'!$A$4:$A$40,'Floor-U'!$J$4:$J$40)*Detached!AI$15)+(LOOKUP(Detached!AI$2,'Wall-U'!$A$4:$A$40,'Wall-U'!$J$4:$J$40)*Detached!AI$12)+(LOOKUP(Detached!AI$2,'Window-U'!$A$4:$A$40,'Window-U'!$J$4:$J$40)*Detached!AI$21))*AI136</f>
        <v>236.67314160987766</v>
      </c>
      <c r="AJ142" s="174">
        <f>((LOOKUP(Detached!AJ$2,'Ceiling-U'!$A$4:$A$40,'Ceiling-U'!$AC$4:$AC$40)*Detached!AJ$14)+(LOOKUP(Detached!AJ$2,'Floor-U'!$A$4:$A$40,'Floor-U'!$J$4:$J$40)*Detached!AJ$15)+(LOOKUP(Detached!AJ$2,'Wall-U'!$A$4:$A$40,'Wall-U'!$J$4:$J$40)*Detached!AJ$12)+(LOOKUP(Detached!AJ$2,'Window-U'!$A$4:$A$40,'Window-U'!$J$4:$J$40)*Detached!AJ$21))*AJ136</f>
        <v>240.76835533010495</v>
      </c>
      <c r="AK142" s="174">
        <f>((LOOKUP(Detached!AK$2,'Ceiling-U'!$A$4:$A$40,'Ceiling-U'!$AC$4:$AC$40)*Detached!AK$14)+(LOOKUP(Detached!AK$2,'Floor-U'!$A$4:$A$40,'Floor-U'!$J$4:$J$40)*Detached!AK$15)+(LOOKUP(Detached!AK$2,'Wall-U'!$A$4:$A$40,'Wall-U'!$J$4:$J$40)*Detached!AK$12)+(LOOKUP(Detached!AK$2,'Window-U'!$A$4:$A$40,'Window-U'!$J$4:$J$40)*Detached!AK$21))*AK136</f>
        <v>278.44612460736664</v>
      </c>
      <c r="AL142" s="174">
        <f>((LOOKUP(Detached!AL$2,'Ceiling-U'!$A$4:$A$40,'Ceiling-U'!$AC$4:$AC$40)*Detached!AL$14)+(LOOKUP(Detached!AL$2,'Floor-U'!$A$4:$A$40,'Floor-U'!$J$4:$J$40)*Detached!AL$15)+(LOOKUP(Detached!AL$2,'Wall-U'!$A$4:$A$40,'Wall-U'!$J$4:$J$40)*Detached!AL$12)+(LOOKUP(Detached!AL$2,'Window-U'!$A$4:$A$40,'Window-U'!$J$4:$J$40)*Detached!AL$21))*AL136</f>
        <v>149.79970104170201</v>
      </c>
      <c r="AM142" s="174">
        <f>((LOOKUP(Detached!AM$2,'Ceiling-U'!$A$4:$A$40,'Ceiling-U'!$AC$4:$AC$40)*Detached!AM$14)+(LOOKUP(Detached!AM$2,'Floor-U'!$A$4:$A$40,'Floor-U'!$J$4:$J$40)*Detached!AM$15)+(LOOKUP(Detached!AM$2,'Wall-U'!$A$4:$A$40,'Wall-U'!$J$4:$J$40)*Detached!AM$12)+(LOOKUP(Detached!AM$2,'Window-U'!$A$4:$A$40,'Window-U'!$J$4:$J$40)*Detached!AM$21))*AM136</f>
        <v>240.76835533010495</v>
      </c>
      <c r="AN142" s="175">
        <f>((LOOKUP(Detached!AN$2,'Ceiling-U'!$A$4:$A$40,'Ceiling-U'!$AC$4:$AC$40)*Detached!AN$14)+(LOOKUP(Detached!AN$2,'Floor-U'!$A$4:$A$40,'Floor-U'!$J$4:$J$40)*Detached!AN$15)+(LOOKUP(Detached!AN$2,'Wall-U'!$A$4:$A$40,'Wall-U'!$J$4:$J$40)*Detached!AN$12)+(LOOKUP(Detached!AN$2,'Window-U'!$A$4:$A$40,'Window-U'!$J$4:$J$40)*Detached!AN$21))*AN136</f>
        <v>240.76835533010495</v>
      </c>
    </row>
    <row r="143" spans="1:40">
      <c r="A143" s="332" t="s">
        <v>280</v>
      </c>
      <c r="B143" s="142" t="s">
        <v>2</v>
      </c>
      <c r="C143" s="360" t="s">
        <v>261</v>
      </c>
      <c r="D143" s="351">
        <f>D137*24*LOOKUP(Detached!D$2,'HDD-by Country'!$A$4:$A$40,'HDD-by Country'!$C$4:$C$40)/1000</f>
        <v>39884.160258401665</v>
      </c>
      <c r="E143" s="352">
        <f>E137*24*LOOKUP(Detached!E$2,'HDD-by Country'!$A$4:$A$40,'HDD-by Country'!$C$4:$C$40)/1000</f>
        <v>36447.180949895352</v>
      </c>
      <c r="F143" s="352">
        <f>F137*24*LOOKUP(Detached!F$2,'HDD-by Country'!$A$4:$A$40,'HDD-by Country'!$C$4:$C$40)/1000</f>
        <v>21114.536589968669</v>
      </c>
      <c r="G143" s="352">
        <f>G137*24*LOOKUP(Detached!G$2,'HDD-by Country'!$A$4:$A$40,'HDD-by Country'!$C$4:$C$40)/1000</f>
        <v>38857.483497413145</v>
      </c>
      <c r="H143" s="352">
        <f>H137*24*LOOKUP(Detached!H$2,'HDD-by Country'!$A$4:$A$40,'HDD-by Country'!$C$4:$C$40)/1000</f>
        <v>11263.623009079065</v>
      </c>
      <c r="I143" s="352">
        <f>I137*24*LOOKUP(Detached!I$2,'HDD-by Country'!$A$4:$A$40,'HDD-by Country'!$C$4:$C$40)/1000</f>
        <v>28304.82786069981</v>
      </c>
      <c r="J143" s="352">
        <f>J137*24*LOOKUP(Detached!J$2,'HDD-by Country'!$A$4:$A$40,'HDD-by Country'!$C$4:$C$40)/1000</f>
        <v>38150.694238141477</v>
      </c>
      <c r="K143" s="352">
        <f>K137*24*LOOKUP(Detached!K$2,'HDD-by Country'!$A$4:$A$40,'HDD-by Country'!$C$4:$C$40)/1000</f>
        <v>26587.761057373747</v>
      </c>
      <c r="L143" s="352">
        <f>L137*24*LOOKUP(Detached!L$2,'HDD-by Country'!$A$4:$A$40,'HDD-by Country'!$C$4:$C$40)/1000</f>
        <v>16576.622581659682</v>
      </c>
      <c r="M143" s="352">
        <f>M137*24*LOOKUP(Detached!M$2,'HDD-by Country'!$A$4:$A$40,'HDD-by Country'!$C$4:$C$40)/1000</f>
        <v>35116.338733315068</v>
      </c>
      <c r="N143" s="352">
        <f>N137*24*LOOKUP(Detached!N$2,'HDD-by Country'!$A$4:$A$40,'HDD-by Country'!$C$4:$C$40)/1000</f>
        <v>29720.282714543519</v>
      </c>
      <c r="O143" s="352">
        <f>O137*24*LOOKUP(Detached!O$2,'HDD-by Country'!$A$4:$A$40,'HDD-by Country'!$C$4:$C$40)/1000</f>
        <v>42686.586611415958</v>
      </c>
      <c r="P143" s="352">
        <f>P137*24*LOOKUP(Detached!P$2,'HDD-by Country'!$A$4:$A$40,'HDD-by Country'!$C$4:$C$40)/1000</f>
        <v>25061.395137950774</v>
      </c>
      <c r="Q143" s="352">
        <f>Q137*24*LOOKUP(Detached!Q$2,'HDD-by Country'!$A$4:$A$40,'HDD-by Country'!$C$4:$C$40)/1000</f>
        <v>21592.806543409293</v>
      </c>
      <c r="R143" s="352">
        <f>R137*24*LOOKUP(Detached!R$2,'HDD-by Country'!$A$4:$A$40,'HDD-by Country'!$C$4:$C$40)/1000</f>
        <v>27662.803676170846</v>
      </c>
      <c r="S143" s="352">
        <f>S137*24*LOOKUP(Detached!S$2,'HDD-by Country'!$A$4:$A$40,'HDD-by Country'!$C$4:$C$40)/1000</f>
        <v>34704.246972322901</v>
      </c>
      <c r="T143" s="352">
        <f>T137*24*LOOKUP(Detached!T$2,'HDD-by Country'!$A$4:$A$40,'HDD-by Country'!$C$4:$C$40)/1000</f>
        <v>25280.021673088639</v>
      </c>
      <c r="U143" s="352">
        <f>U137*24*LOOKUP(Detached!U$2,'HDD-by Country'!$A$4:$A$40,'HDD-by Country'!$C$4:$C$40)/1000</f>
        <v>29414.966959522251</v>
      </c>
      <c r="V143" s="352">
        <f>V137*24*LOOKUP(Detached!V$2,'HDD-by Country'!$A$4:$A$40,'HDD-by Country'!$C$4:$C$40)/1000</f>
        <v>29065.764355369698</v>
      </c>
      <c r="W143" s="352">
        <f>W137*24*LOOKUP(Detached!W$2,'HDD-by Country'!$A$4:$A$40,'HDD-by Country'!$C$4:$C$40)/1000</f>
        <v>30524.561457046297</v>
      </c>
      <c r="X143" s="352">
        <f>X137*24*LOOKUP(Detached!X$2,'HDD-by Country'!$A$4:$A$40,'HDD-by Country'!$C$4:$C$40)/1000</f>
        <v>31460.208342526708</v>
      </c>
      <c r="Y143" s="352">
        <f>Y137*24*LOOKUP(Detached!Y$2,'HDD-by Country'!$A$4:$A$40,'HDD-by Country'!$C$4:$C$40)/1000</f>
        <v>11129.818484630905</v>
      </c>
      <c r="Z143" s="352">
        <f>Z137*24*LOOKUP(Detached!Z$2,'HDD-by Country'!$A$4:$A$40,'HDD-by Country'!$C$4:$C$40)/1000</f>
        <v>36804.031462335668</v>
      </c>
      <c r="AA143" s="352">
        <f>AA137*24*LOOKUP(Detached!AA$2,'HDD-by Country'!$A$4:$A$40,'HDD-by Country'!$C$4:$C$40)/1000</f>
        <v>26445.454896007464</v>
      </c>
      <c r="AB143" s="352">
        <f>AB137*24*LOOKUP(Detached!AB$2,'HDD-by Country'!$A$4:$A$40,'HDD-by Country'!$C$4:$C$40)/1000</f>
        <v>40620.195633189716</v>
      </c>
      <c r="AC143" s="352">
        <f>AC137*24*LOOKUP(Detached!AC$2,'HDD-by Country'!$A$4:$A$40,'HDD-by Country'!$C$4:$C$40)/1000</f>
        <v>19544.010704597698</v>
      </c>
      <c r="AD143" s="352">
        <f>AD137*24*LOOKUP(Detached!AD$2,'HDD-by Country'!$A$4:$A$40,'HDD-by Country'!$C$4:$C$40)/1000</f>
        <v>31538.447896025595</v>
      </c>
      <c r="AE143" s="352">
        <f>AE137*24*LOOKUP(Detached!AE$2,'HDD-by Country'!$A$4:$A$40,'HDD-by Country'!$C$4:$C$40)/1000</f>
        <v>25499.301532742586</v>
      </c>
      <c r="AF143" s="352">
        <f>AF137*24*LOOKUP(Detached!AF$2,'HDD-by Country'!$A$4:$A$40,'HDD-by Country'!$C$4:$C$40)/1000</f>
        <v>27272.179656881937</v>
      </c>
      <c r="AG143" s="352">
        <f>AG137*24*LOOKUP(Detached!AG$2,'HDD-by Country'!$A$4:$A$40,'HDD-by Country'!$C$4:$C$40)/1000</f>
        <v>40286.780463674579</v>
      </c>
      <c r="AH143" s="352">
        <f>AH137*24*LOOKUP(Detached!AH$2,'HDD-by Country'!$A$4:$A$40,'HDD-by Country'!$C$4:$C$40)/1000</f>
        <v>31491.725405957914</v>
      </c>
      <c r="AI143" s="352">
        <f>AI137*24*LOOKUP(Detached!AI$2,'HDD-by Country'!$A$4:$A$40,'HDD-by Country'!$C$4:$C$40)/1000</f>
        <v>25061.395137950774</v>
      </c>
      <c r="AJ143" s="352">
        <f>AJ137*24*LOOKUP(Detached!AJ$2,'HDD-by Country'!$A$4:$A$40,'HDD-by Country'!$C$4:$C$40)/1000</f>
        <v>22888.661981555753</v>
      </c>
      <c r="AK143" s="352">
        <f>AK137*24*LOOKUP(Detached!AK$2,'HDD-by Country'!$A$4:$A$40,'HDD-by Country'!$C$4:$C$40)/1000</f>
        <v>23575.234803746011</v>
      </c>
      <c r="AL143" s="352">
        <f>AL137*24*LOOKUP(Detached!AL$2,'HDD-by Country'!$A$4:$A$40,'HDD-by Country'!$C$4:$C$40)/1000</f>
        <v>22013.280019870017</v>
      </c>
      <c r="AM143" s="352">
        <f>AM137*24*LOOKUP(Detached!AM$2,'HDD-by Country'!$A$4:$A$40,'HDD-by Country'!$C$4:$C$40)/1000</f>
        <v>21047.855833141788</v>
      </c>
      <c r="AN143" s="353">
        <f>AN137*24*LOOKUP(Detached!AN$2,'HDD-by Country'!$A$4:$A$40,'HDD-by Country'!$C$4:$C$40)/1000</f>
        <v>21047.855833141788</v>
      </c>
    </row>
    <row r="144" spans="1:40">
      <c r="A144" s="129"/>
      <c r="B144" s="142" t="s">
        <v>3</v>
      </c>
      <c r="C144" s="129" t="s">
        <v>261</v>
      </c>
      <c r="D144" s="345">
        <f>D138*24*LOOKUP(Detached!D$2,'HDD-by Country'!$A$4:$A$40,'HDD-by Country'!$C$4:$C$40)/1000</f>
        <v>37312.478934252009</v>
      </c>
      <c r="E144" s="349">
        <f>E138*24*LOOKUP(Detached!E$2,'HDD-by Country'!$A$4:$A$40,'HDD-by Country'!$C$4:$C$40)/1000</f>
        <v>36447.180949895352</v>
      </c>
      <c r="F144" s="349">
        <f>F138*24*LOOKUP(Detached!F$2,'HDD-by Country'!$A$4:$A$40,'HDD-by Country'!$C$4:$C$40)/1000</f>
        <v>21114.536589968669</v>
      </c>
      <c r="G144" s="349">
        <f>G138*24*LOOKUP(Detached!G$2,'HDD-by Country'!$A$4:$A$40,'HDD-by Country'!$C$4:$C$40)/1000</f>
        <v>36352.00102100322</v>
      </c>
      <c r="H144" s="349">
        <f>H138*24*LOOKUP(Detached!H$2,'HDD-by Country'!$A$4:$A$40,'HDD-by Country'!$C$4:$C$40)/1000</f>
        <v>10254.252964479712</v>
      </c>
      <c r="I144" s="349">
        <f>I138*24*LOOKUP(Detached!I$2,'HDD-by Country'!$A$4:$A$40,'HDD-by Country'!$C$4:$C$40)/1000</f>
        <v>24794.523968433743</v>
      </c>
      <c r="J144" s="349">
        <f>J138*24*LOOKUP(Detached!J$2,'HDD-by Country'!$A$4:$A$40,'HDD-by Country'!$C$4:$C$40)/1000</f>
        <v>30958.747482639752</v>
      </c>
      <c r="K144" s="349">
        <f>K138*24*LOOKUP(Detached!K$2,'HDD-by Country'!$A$4:$A$40,'HDD-by Country'!$C$4:$C$40)/1000</f>
        <v>25985.503083100804</v>
      </c>
      <c r="L144" s="349">
        <f>L138*24*LOOKUP(Detached!L$2,'HDD-by Country'!$A$4:$A$40,'HDD-by Country'!$C$4:$C$40)/1000</f>
        <v>16576.622581659682</v>
      </c>
      <c r="M144" s="349">
        <f>M138*24*LOOKUP(Detached!M$2,'HDD-by Country'!$A$4:$A$40,'HDD-by Country'!$C$4:$C$40)/1000</f>
        <v>32161.209159962447</v>
      </c>
      <c r="N144" s="349">
        <f>N138*24*LOOKUP(Detached!N$2,'HDD-by Country'!$A$4:$A$40,'HDD-by Country'!$C$4:$C$40)/1000</f>
        <v>27022.355258573953</v>
      </c>
      <c r="O144" s="349">
        <f>O138*24*LOOKUP(Detached!O$2,'HDD-by Country'!$A$4:$A$40,'HDD-by Country'!$C$4:$C$40)/1000</f>
        <v>42686.586611415958</v>
      </c>
      <c r="P144" s="349">
        <f>P138*24*LOOKUP(Detached!P$2,'HDD-by Country'!$A$4:$A$40,'HDD-by Country'!$C$4:$C$40)/1000</f>
        <v>25061.395137950774</v>
      </c>
      <c r="Q144" s="349">
        <f>Q138*24*LOOKUP(Detached!Q$2,'HDD-by Country'!$A$4:$A$40,'HDD-by Country'!$C$4:$C$40)/1000</f>
        <v>23020.271776756807</v>
      </c>
      <c r="R144" s="349">
        <f>R138*24*LOOKUP(Detached!R$2,'HDD-by Country'!$A$4:$A$40,'HDD-by Country'!$C$4:$C$40)/1000</f>
        <v>27662.803676170846</v>
      </c>
      <c r="S144" s="349">
        <f>S138*24*LOOKUP(Detached!S$2,'HDD-by Country'!$A$4:$A$40,'HDD-by Country'!$C$4:$C$40)/1000</f>
        <v>34710.996441561918</v>
      </c>
      <c r="T144" s="349">
        <f>T138*24*LOOKUP(Detached!T$2,'HDD-by Country'!$A$4:$A$40,'HDD-by Country'!$C$4:$C$40)/1000</f>
        <v>22985.169190882731</v>
      </c>
      <c r="U144" s="349">
        <f>U138*24*LOOKUP(Detached!U$2,'HDD-by Country'!$A$4:$A$40,'HDD-by Country'!$C$4:$C$40)/1000</f>
        <v>27813.753607616687</v>
      </c>
      <c r="V144" s="349">
        <f>V138*24*LOOKUP(Detached!V$2,'HDD-by Country'!$A$4:$A$40,'HDD-by Country'!$C$4:$C$40)/1000</f>
        <v>29065.764355369698</v>
      </c>
      <c r="W144" s="349">
        <f>W138*24*LOOKUP(Detached!W$2,'HDD-by Country'!$A$4:$A$40,'HDD-by Country'!$C$4:$C$40)/1000</f>
        <v>33473.826832068647</v>
      </c>
      <c r="X144" s="349">
        <f>X138*24*LOOKUP(Detached!X$2,'HDD-by Country'!$A$4:$A$40,'HDD-by Country'!$C$4:$C$40)/1000</f>
        <v>30846.048342526708</v>
      </c>
      <c r="Y144" s="349">
        <f>Y138*24*LOOKUP(Detached!Y$2,'HDD-by Country'!$A$4:$A$40,'HDD-by Country'!$C$4:$C$40)/1000</f>
        <v>11129.566228032763</v>
      </c>
      <c r="Z144" s="349">
        <f>Z138*24*LOOKUP(Detached!Z$2,'HDD-by Country'!$A$4:$A$40,'HDD-by Country'!$C$4:$C$40)/1000</f>
        <v>33245.352962939476</v>
      </c>
      <c r="AA144" s="349">
        <f>AA138*24*LOOKUP(Detached!AA$2,'HDD-by Country'!$A$4:$A$40,'HDD-by Country'!$C$4:$C$40)/1000</f>
        <v>26288.748585127465</v>
      </c>
      <c r="AB144" s="349">
        <f>AB138*24*LOOKUP(Detached!AB$2,'HDD-by Country'!$A$4:$A$40,'HDD-by Country'!$C$4:$C$40)/1000</f>
        <v>31064.760398267976</v>
      </c>
      <c r="AC144" s="349">
        <f>AC138*24*LOOKUP(Detached!AC$2,'HDD-by Country'!$A$4:$A$40,'HDD-by Country'!$C$4:$C$40)/1000</f>
        <v>17418.877672122926</v>
      </c>
      <c r="AD144" s="349">
        <f>AD138*24*LOOKUP(Detached!AD$2,'HDD-by Country'!$A$4:$A$40,'HDD-by Country'!$C$4:$C$40)/1000</f>
        <v>28251.202010653127</v>
      </c>
      <c r="AE144" s="349">
        <f>AE138*24*LOOKUP(Detached!AE$2,'HDD-by Country'!$A$4:$A$40,'HDD-by Country'!$C$4:$C$40)/1000</f>
        <v>25348.20178842259</v>
      </c>
      <c r="AF144" s="349">
        <f>AF138*24*LOOKUP(Detached!AF$2,'HDD-by Country'!$A$4:$A$40,'HDD-by Country'!$C$4:$C$40)/1000</f>
        <v>27272.179656881937</v>
      </c>
      <c r="AG144" s="349">
        <f>AG138*24*LOOKUP(Detached!AG$2,'HDD-by Country'!$A$4:$A$40,'HDD-by Country'!$C$4:$C$40)/1000</f>
        <v>34791.780279363637</v>
      </c>
      <c r="AH144" s="349">
        <f>AH138*24*LOOKUP(Detached!AH$2,'HDD-by Country'!$A$4:$A$40,'HDD-by Country'!$C$4:$C$40)/1000</f>
        <v>33102.32652547866</v>
      </c>
      <c r="AI144" s="349">
        <f>AI138*24*LOOKUP(Detached!AI$2,'HDD-by Country'!$A$4:$A$40,'HDD-by Country'!$C$4:$C$40)/1000</f>
        <v>25061.395137950774</v>
      </c>
      <c r="AJ144" s="349">
        <f>AJ138*24*LOOKUP(Detached!AJ$2,'HDD-by Country'!$A$4:$A$40,'HDD-by Country'!$C$4:$C$40)/1000</f>
        <v>22888.661981555753</v>
      </c>
      <c r="AK144" s="349">
        <f>AK138*24*LOOKUP(Detached!AK$2,'HDD-by Country'!$A$4:$A$40,'HDD-by Country'!$C$4:$C$40)/1000</f>
        <v>23575.234803746011</v>
      </c>
      <c r="AL144" s="349">
        <f>AL138*24*LOOKUP(Detached!AL$2,'HDD-by Country'!$A$4:$A$40,'HDD-by Country'!$C$4:$C$40)/1000</f>
        <v>22013.280019870017</v>
      </c>
      <c r="AM144" s="349">
        <f>AM138*24*LOOKUP(Detached!AM$2,'HDD-by Country'!$A$4:$A$40,'HDD-by Country'!$C$4:$C$40)/1000</f>
        <v>21047.855833141788</v>
      </c>
      <c r="AN144" s="354">
        <f>AN138*24*LOOKUP(Detached!AN$2,'HDD-by Country'!$A$4:$A$40,'HDD-by Country'!$C$4:$C$40)/1000</f>
        <v>21047.855833141788</v>
      </c>
    </row>
    <row r="145" spans="1:40">
      <c r="A145" s="129"/>
      <c r="B145" s="142" t="s">
        <v>4</v>
      </c>
      <c r="C145" s="129" t="s">
        <v>261</v>
      </c>
      <c r="D145" s="345">
        <f>D139*24*LOOKUP(Detached!D$2,'HDD-by Country'!$A$4:$A$40,'HDD-by Country'!$C$4:$C$40)/1000</f>
        <v>29710.46590954575</v>
      </c>
      <c r="E145" s="349">
        <f>E139*24*LOOKUP(Detached!E$2,'HDD-by Country'!$A$4:$A$40,'HDD-by Country'!$C$4:$C$40)/1000</f>
        <v>36447.180949895352</v>
      </c>
      <c r="F145" s="349">
        <f>F139*24*LOOKUP(Detached!F$2,'HDD-by Country'!$A$4:$A$40,'HDD-by Country'!$C$4:$C$40)/1000</f>
        <v>19924.483984133494</v>
      </c>
      <c r="G145" s="349">
        <f>G139*24*LOOKUP(Detached!G$2,'HDD-by Country'!$A$4:$A$40,'HDD-by Country'!$C$4:$C$40)/1000</f>
        <v>28945.67495720154</v>
      </c>
      <c r="H145" s="349">
        <f>H139*24*LOOKUP(Detached!H$2,'HDD-by Country'!$A$4:$A$40,'HDD-by Country'!$C$4:$C$40)/1000</f>
        <v>10990.306919880359</v>
      </c>
      <c r="I145" s="349">
        <f>I139*24*LOOKUP(Detached!I$2,'HDD-by Country'!$A$4:$A$40,'HDD-by Country'!$C$4:$C$40)/1000</f>
        <v>24794.523968433743</v>
      </c>
      <c r="J145" s="349">
        <f>J139*24*LOOKUP(Detached!J$2,'HDD-by Country'!$A$4:$A$40,'HDD-by Country'!$C$4:$C$40)/1000</f>
        <v>22432.34525502277</v>
      </c>
      <c r="K145" s="349">
        <f>K139*24*LOOKUP(Detached!K$2,'HDD-by Country'!$A$4:$A$40,'HDD-by Country'!$C$4:$C$40)/1000</f>
        <v>17289.523615000726</v>
      </c>
      <c r="L145" s="349">
        <f>L139*24*LOOKUP(Detached!L$2,'HDD-by Country'!$A$4:$A$40,'HDD-by Country'!$C$4:$C$40)/1000</f>
        <v>13626.848163259087</v>
      </c>
      <c r="M145" s="349">
        <f>M139*24*LOOKUP(Detached!M$2,'HDD-by Country'!$A$4:$A$40,'HDD-by Country'!$C$4:$C$40)/1000</f>
        <v>32161.209159962447</v>
      </c>
      <c r="N145" s="349">
        <f>N139*24*LOOKUP(Detached!N$2,'HDD-by Country'!$A$4:$A$40,'HDD-by Country'!$C$4:$C$40)/1000</f>
        <v>22102.890620808641</v>
      </c>
      <c r="O145" s="349">
        <f>O139*24*LOOKUP(Detached!O$2,'HDD-by Country'!$A$4:$A$40,'HDD-by Country'!$C$4:$C$40)/1000</f>
        <v>21321.593747277573</v>
      </c>
      <c r="P145" s="349">
        <f>P139*24*LOOKUP(Detached!P$2,'HDD-by Country'!$A$4:$A$40,'HDD-by Country'!$C$4:$C$40)/1000</f>
        <v>25061.395137950774</v>
      </c>
      <c r="Q145" s="349">
        <f>Q139*24*LOOKUP(Detached!Q$2,'HDD-by Country'!$A$4:$A$40,'HDD-by Country'!$C$4:$C$40)/1000</f>
        <v>18979.038199809202</v>
      </c>
      <c r="R145" s="349">
        <f>R139*24*LOOKUP(Detached!R$2,'HDD-by Country'!$A$4:$A$40,'HDD-by Country'!$C$4:$C$40)/1000</f>
        <v>24387.914557681415</v>
      </c>
      <c r="S145" s="349">
        <f>S139*24*LOOKUP(Detached!S$2,'HDD-by Country'!$A$4:$A$40,'HDD-by Country'!$C$4:$C$40)/1000</f>
        <v>34593.276034694733</v>
      </c>
      <c r="T145" s="349">
        <f>T139*24*LOOKUP(Detached!T$2,'HDD-by Country'!$A$4:$A$40,'HDD-by Country'!$C$4:$C$40)/1000</f>
        <v>18800.680979340821</v>
      </c>
      <c r="U145" s="349">
        <f>U139*24*LOOKUP(Detached!U$2,'HDD-by Country'!$A$4:$A$40,'HDD-by Country'!$C$4:$C$40)/1000</f>
        <v>25821.688326252544</v>
      </c>
      <c r="V145" s="349">
        <f>V139*24*LOOKUP(Detached!V$2,'HDD-by Country'!$A$4:$A$40,'HDD-by Country'!$C$4:$C$40)/1000</f>
        <v>18388.025435675565</v>
      </c>
      <c r="W145" s="349">
        <f>W139*24*LOOKUP(Detached!W$2,'HDD-by Country'!$A$4:$A$40,'HDD-by Country'!$C$4:$C$40)/1000</f>
        <v>17486.318121257573</v>
      </c>
      <c r="X145" s="349">
        <f>X139*24*LOOKUP(Detached!X$2,'HDD-by Country'!$A$4:$A$40,'HDD-by Country'!$C$4:$C$40)/1000</f>
        <v>29200.855295833844</v>
      </c>
      <c r="Y145" s="349">
        <f>Y139*24*LOOKUP(Detached!Y$2,'HDD-by Country'!$A$4:$A$40,'HDD-by Country'!$C$4:$C$40)/1000</f>
        <v>8912.0713385231156</v>
      </c>
      <c r="Z145" s="349">
        <f>Z139*24*LOOKUP(Detached!Z$2,'HDD-by Country'!$A$4:$A$40,'HDD-by Country'!$C$4:$C$40)/1000</f>
        <v>31915.256105835699</v>
      </c>
      <c r="AA145" s="349">
        <f>AA139*24*LOOKUP(Detached!AA$2,'HDD-by Country'!$A$4:$A$40,'HDD-by Country'!$C$4:$C$40)/1000</f>
        <v>19500.652161570124</v>
      </c>
      <c r="AB145" s="349">
        <f>AB139*24*LOOKUP(Detached!AB$2,'HDD-by Country'!$A$4:$A$40,'HDD-by Country'!$C$4:$C$40)/1000</f>
        <v>21706.10557650368</v>
      </c>
      <c r="AC145" s="349">
        <f>AC139*24*LOOKUP(Detached!AC$2,'HDD-by Country'!$A$4:$A$40,'HDD-by Country'!$C$4:$C$40)/1000</f>
        <v>17415.330152855557</v>
      </c>
      <c r="AD145" s="349">
        <f>AD139*24*LOOKUP(Detached!AD$2,'HDD-by Country'!$A$4:$A$40,'HDD-by Country'!$C$4:$C$40)/1000</f>
        <v>28251.202010653127</v>
      </c>
      <c r="AE145" s="349">
        <f>AE139*24*LOOKUP(Detached!AE$2,'HDD-by Country'!$A$4:$A$40,'HDD-by Country'!$C$4:$C$40)/1000</f>
        <v>18802.966767195849</v>
      </c>
      <c r="AF145" s="349">
        <f>AF139*24*LOOKUP(Detached!AF$2,'HDD-by Country'!$A$4:$A$40,'HDD-by Country'!$C$4:$C$40)/1000</f>
        <v>25637.033720631927</v>
      </c>
      <c r="AG145" s="349">
        <f>AG139*24*LOOKUP(Detached!AG$2,'HDD-by Country'!$A$4:$A$40,'HDD-by Country'!$C$4:$C$40)/1000</f>
        <v>34791.780279363637</v>
      </c>
      <c r="AH145" s="349">
        <f>AH139*24*LOOKUP(Detached!AH$2,'HDD-by Country'!$A$4:$A$40,'HDD-by Country'!$C$4:$C$40)/1000</f>
        <v>28372.013132932661</v>
      </c>
      <c r="AI145" s="349">
        <f>AI139*24*LOOKUP(Detached!AI$2,'HDD-by Country'!$A$4:$A$40,'HDD-by Country'!$C$4:$C$40)/1000</f>
        <v>25061.395137950774</v>
      </c>
      <c r="AJ145" s="349">
        <f>AJ139*24*LOOKUP(Detached!AJ$2,'HDD-by Country'!$A$4:$A$40,'HDD-by Country'!$C$4:$C$40)/1000</f>
        <v>22888.661981555753</v>
      </c>
      <c r="AK145" s="349">
        <f>AK139*24*LOOKUP(Detached!AK$2,'HDD-by Country'!$A$4:$A$40,'HDD-by Country'!$C$4:$C$40)/1000</f>
        <v>23575.234803746011</v>
      </c>
      <c r="AL145" s="349">
        <f>AL139*24*LOOKUP(Detached!AL$2,'HDD-by Country'!$A$4:$A$40,'HDD-by Country'!$C$4:$C$40)/1000</f>
        <v>20756.368344609546</v>
      </c>
      <c r="AM145" s="349">
        <f>AM139*24*LOOKUP(Detached!AM$2,'HDD-by Country'!$A$4:$A$40,'HDD-by Country'!$C$4:$C$40)/1000</f>
        <v>21047.855833141788</v>
      </c>
      <c r="AN145" s="354">
        <f>AN139*24*LOOKUP(Detached!AN$2,'HDD-by Country'!$A$4:$A$40,'HDD-by Country'!$C$4:$C$40)/1000</f>
        <v>21047.855833141788</v>
      </c>
    </row>
    <row r="146" spans="1:40">
      <c r="A146" s="129"/>
      <c r="B146" s="142" t="s">
        <v>5</v>
      </c>
      <c r="C146" s="129" t="s">
        <v>261</v>
      </c>
      <c r="D146" s="345">
        <f>D140*24*LOOKUP(Detached!D$2,'HDD-by Country'!$A$4:$A$40,'HDD-by Country'!$C$4:$C$40)/1000</f>
        <v>19539.070903591833</v>
      </c>
      <c r="E146" s="349">
        <f>E140*24*LOOKUP(Detached!E$2,'HDD-by Country'!$A$4:$A$40,'HDD-by Country'!$C$4:$C$40)/1000</f>
        <v>31539.223749097353</v>
      </c>
      <c r="F146" s="349">
        <f>F140*24*LOOKUP(Detached!F$2,'HDD-by Country'!$A$4:$A$40,'HDD-by Country'!$C$4:$C$40)/1000</f>
        <v>16814.028882521965</v>
      </c>
      <c r="G146" s="349">
        <f>G140*24*LOOKUP(Detached!G$2,'HDD-by Country'!$A$4:$A$40,'HDD-by Country'!$C$4:$C$40)/1000</f>
        <v>19036.106571434462</v>
      </c>
      <c r="H146" s="349">
        <f>H140*24*LOOKUP(Detached!H$2,'HDD-by Country'!$A$4:$A$40,'HDD-by Country'!$C$4:$C$40)/1000</f>
        <v>10539.507077402759</v>
      </c>
      <c r="I146" s="349">
        <f>I140*24*LOOKUP(Detached!I$2,'HDD-by Country'!$A$4:$A$40,'HDD-by Country'!$C$4:$C$40)/1000</f>
        <v>22243.391771881561</v>
      </c>
      <c r="J146" s="349">
        <f>J140*24*LOOKUP(Detached!J$2,'HDD-by Country'!$A$4:$A$40,'HDD-by Country'!$C$4:$C$40)/1000</f>
        <v>18326.778016480224</v>
      </c>
      <c r="K146" s="349">
        <f>K140*24*LOOKUP(Detached!K$2,'HDD-by Country'!$A$4:$A$40,'HDD-by Country'!$C$4:$C$40)/1000</f>
        <v>14308.939268413402</v>
      </c>
      <c r="L146" s="349">
        <f>L140*24*LOOKUP(Detached!L$2,'HDD-by Country'!$A$4:$A$40,'HDD-by Country'!$C$4:$C$40)/1000</f>
        <v>9811.5030456214172</v>
      </c>
      <c r="M146" s="349">
        <f>M140*24*LOOKUP(Detached!M$2,'HDD-by Country'!$A$4:$A$40,'HDD-by Country'!$C$4:$C$40)/1000</f>
        <v>19645.312081002849</v>
      </c>
      <c r="N146" s="349">
        <f>N140*24*LOOKUP(Detached!N$2,'HDD-by Country'!$A$4:$A$40,'HDD-by Country'!$C$4:$C$40)/1000</f>
        <v>17687.933196876391</v>
      </c>
      <c r="O146" s="349">
        <f>O140*24*LOOKUP(Detached!O$2,'HDD-by Country'!$A$4:$A$40,'HDD-by Country'!$C$4:$C$40)/1000</f>
        <v>18071.726304451207</v>
      </c>
      <c r="P146" s="349">
        <f>P140*24*LOOKUP(Detached!P$2,'HDD-by Country'!$A$4:$A$40,'HDD-by Country'!$C$4:$C$40)/1000</f>
        <v>24102.724884702369</v>
      </c>
      <c r="Q146" s="349">
        <f>Q140*24*LOOKUP(Detached!Q$2,'HDD-by Country'!$A$4:$A$40,'HDD-by Country'!$C$4:$C$40)/1000</f>
        <v>18979.038199809202</v>
      </c>
      <c r="R146" s="349">
        <f>R140*24*LOOKUP(Detached!R$2,'HDD-by Country'!$A$4:$A$40,'HDD-by Country'!$C$4:$C$40)/1000</f>
        <v>18071.023285229006</v>
      </c>
      <c r="S146" s="349">
        <f>S140*24*LOOKUP(Detached!S$2,'HDD-by Country'!$A$4:$A$40,'HDD-by Country'!$C$4:$C$40)/1000</f>
        <v>23721.361081915427</v>
      </c>
      <c r="T146" s="349">
        <f>T140*24*LOOKUP(Detached!T$2,'HDD-by Country'!$A$4:$A$40,'HDD-by Country'!$C$4:$C$40)/1000</f>
        <v>15045.325741479817</v>
      </c>
      <c r="U146" s="349">
        <f>U140*24*LOOKUP(Detached!U$2,'HDD-by Country'!$A$4:$A$40,'HDD-by Country'!$C$4:$C$40)/1000</f>
        <v>18876.038771136871</v>
      </c>
      <c r="V146" s="349">
        <f>V140*24*LOOKUP(Detached!V$2,'HDD-by Country'!$A$4:$A$40,'HDD-by Country'!$C$4:$C$40)/1000</f>
        <v>18388.025435675565</v>
      </c>
      <c r="W146" s="349">
        <f>W140*24*LOOKUP(Detached!W$2,'HDD-by Country'!$A$4:$A$40,'HDD-by Country'!$C$4:$C$40)/1000</f>
        <v>14395.055413311495</v>
      </c>
      <c r="X146" s="349">
        <f>X140*24*LOOKUP(Detached!X$2,'HDD-by Country'!$A$4:$A$40,'HDD-by Country'!$C$4:$C$40)/1000</f>
        <v>16562.679372844384</v>
      </c>
      <c r="Y146" s="349">
        <f>Y140*24*LOOKUP(Detached!Y$2,'HDD-by Country'!$A$4:$A$40,'HDD-by Country'!$C$4:$C$40)/1000</f>
        <v>8040.1791467231151</v>
      </c>
      <c r="Z146" s="349">
        <f>Z140*24*LOOKUP(Detached!Z$2,'HDD-by Country'!$A$4:$A$40,'HDD-by Country'!$C$4:$C$40)/1000</f>
        <v>20115.991261620711</v>
      </c>
      <c r="AA146" s="349">
        <f>AA140*24*LOOKUP(Detached!AA$2,'HDD-by Country'!$A$4:$A$40,'HDD-by Country'!$C$4:$C$40)/1000</f>
        <v>19134.791361570115</v>
      </c>
      <c r="AB146" s="349">
        <f>AB140*24*LOOKUP(Detached!AB$2,'HDD-by Country'!$A$4:$A$40,'HDD-by Country'!$C$4:$C$40)/1000</f>
        <v>21706.10557650368</v>
      </c>
      <c r="AC146" s="349">
        <f>AC140*24*LOOKUP(Detached!AC$2,'HDD-by Country'!$A$4:$A$40,'HDD-by Country'!$C$4:$C$40)/1000</f>
        <v>16969.080456442152</v>
      </c>
      <c r="AD146" s="349">
        <f>AD140*24*LOOKUP(Detached!AD$2,'HDD-by Country'!$A$4:$A$40,'HDD-by Country'!$C$4:$C$40)/1000</f>
        <v>23342.391896232319</v>
      </c>
      <c r="AE146" s="349">
        <f>AE140*24*LOOKUP(Detached!AE$2,'HDD-by Country'!$A$4:$A$40,'HDD-by Country'!$C$4:$C$40)/1000</f>
        <v>18450.195567195839</v>
      </c>
      <c r="AF146" s="349">
        <f>AF140*24*LOOKUP(Detached!AF$2,'HDD-by Country'!$A$4:$A$40,'HDD-by Country'!$C$4:$C$40)/1000</f>
        <v>18358.485684912779</v>
      </c>
      <c r="AG146" s="349">
        <f>AG140*24*LOOKUP(Detached!AG$2,'HDD-by Country'!$A$4:$A$40,'HDD-by Country'!$C$4:$C$40)/1000</f>
        <v>30133.264771682101</v>
      </c>
      <c r="AH146" s="349">
        <f>AH140*24*LOOKUP(Detached!AH$2,'HDD-by Country'!$A$4:$A$40,'HDD-by Country'!$C$4:$C$40)/1000</f>
        <v>16861.553275879651</v>
      </c>
      <c r="AI146" s="349">
        <f>AI140*24*LOOKUP(Detached!AI$2,'HDD-by Country'!$A$4:$A$40,'HDD-by Country'!$C$4:$C$40)/1000</f>
        <v>24102.724884702369</v>
      </c>
      <c r="AJ146" s="349">
        <f>AJ140*24*LOOKUP(Detached!AJ$2,'HDD-by Country'!$A$4:$A$40,'HDD-by Country'!$C$4:$C$40)/1000</f>
        <v>20497.697632746993</v>
      </c>
      <c r="AK146" s="349">
        <f>AK140*24*LOOKUP(Detached!AK$2,'HDD-by Country'!$A$4:$A$40,'HDD-by Country'!$C$4:$C$40)/1000</f>
        <v>21029.055594626519</v>
      </c>
      <c r="AL146" s="349">
        <f>AL140*24*LOOKUP(Detached!AL$2,'HDD-by Country'!$A$4:$A$40,'HDD-by Country'!$C$4:$C$40)/1000</f>
        <v>17465.340179824376</v>
      </c>
      <c r="AM146" s="349">
        <f>AM140*24*LOOKUP(Detached!AM$2,'HDD-by Country'!$A$4:$A$40,'HDD-by Country'!$C$4:$C$40)/1000</f>
        <v>18849.183278299512</v>
      </c>
      <c r="AN146" s="354">
        <f>AN140*24*LOOKUP(Detached!AN$2,'HDD-by Country'!$A$4:$A$40,'HDD-by Country'!$C$4:$C$40)/1000</f>
        <v>18849.183278299512</v>
      </c>
    </row>
    <row r="147" spans="1:40">
      <c r="A147" s="129"/>
      <c r="B147" s="142" t="s">
        <v>6</v>
      </c>
      <c r="C147" s="129" t="s">
        <v>261</v>
      </c>
      <c r="D147" s="345">
        <f>D141*24*LOOKUP(Detached!D$2,'HDD-by Country'!$A$4:$A$40,'HDD-by Country'!$C$4:$C$40)/1000</f>
        <v>16063.499790354013</v>
      </c>
      <c r="E147" s="349">
        <f>E141*24*LOOKUP(Detached!E$2,'HDD-by Country'!$A$4:$A$40,'HDD-by Country'!$C$4:$C$40)/1000</f>
        <v>31539.223749097353</v>
      </c>
      <c r="F147" s="349">
        <f>F141*24*LOOKUP(Detached!F$2,'HDD-by Country'!$A$4:$A$40,'HDD-by Country'!$C$4:$C$40)/1000</f>
        <v>14151.317814154005</v>
      </c>
      <c r="G147" s="349">
        <f>G141*24*LOOKUP(Detached!G$2,'HDD-by Country'!$A$4:$A$40,'HDD-by Country'!$C$4:$C$40)/1000</f>
        <v>15650.001754340423</v>
      </c>
      <c r="H147" s="349">
        <f>H141*24*LOOKUP(Detached!H$2,'HDD-by Country'!$A$4:$A$40,'HDD-by Country'!$C$4:$C$40)/1000</f>
        <v>8174.7390774027581</v>
      </c>
      <c r="I147" s="349">
        <f>I141*24*LOOKUP(Detached!I$2,'HDD-by Country'!$A$4:$A$40,'HDD-by Country'!$C$4:$C$40)/1000</f>
        <v>16545.488829573082</v>
      </c>
      <c r="J147" s="349">
        <f>J141*24*LOOKUP(Detached!J$2,'HDD-by Country'!$A$4:$A$40,'HDD-by Country'!$C$4:$C$40)/1000</f>
        <v>9863.3197712185392</v>
      </c>
      <c r="K147" s="349">
        <f>K141*24*LOOKUP(Detached!K$2,'HDD-by Country'!$A$4:$A$40,'HDD-by Country'!$C$4:$C$40)/1000</f>
        <v>14308.939268413402</v>
      </c>
      <c r="L147" s="349">
        <f>L141*24*LOOKUP(Detached!L$2,'HDD-by Country'!$A$4:$A$40,'HDD-by Country'!$C$4:$C$40)/1000</f>
        <v>8522.099779457596</v>
      </c>
      <c r="M147" s="349">
        <f>M141*24*LOOKUP(Detached!M$2,'HDD-by Country'!$A$4:$A$40,'HDD-by Country'!$C$4:$C$40)/1000</f>
        <v>19645.312081002849</v>
      </c>
      <c r="N147" s="349">
        <f>N141*24*LOOKUP(Detached!N$2,'HDD-by Country'!$A$4:$A$40,'HDD-by Country'!$C$4:$C$40)/1000</f>
        <v>17475.157363019855</v>
      </c>
      <c r="O147" s="349">
        <f>O141*24*LOOKUP(Detached!O$2,'HDD-by Country'!$A$4:$A$40,'HDD-by Country'!$C$4:$C$40)/1000</f>
        <v>9745.2243413996785</v>
      </c>
      <c r="P147" s="349">
        <f>P141*24*LOOKUP(Detached!P$2,'HDD-by Country'!$A$4:$A$40,'HDD-by Country'!$C$4:$C$40)/1000</f>
        <v>24102.724884702369</v>
      </c>
      <c r="Q147" s="349">
        <f>Q141*24*LOOKUP(Detached!Q$2,'HDD-by Country'!$A$4:$A$40,'HDD-by Country'!$C$4:$C$40)/1000</f>
        <v>13433.616942857394</v>
      </c>
      <c r="R147" s="349">
        <f>R141*24*LOOKUP(Detached!R$2,'HDD-by Country'!$A$4:$A$40,'HDD-by Country'!$C$4:$C$40)/1000</f>
        <v>18071.023285229006</v>
      </c>
      <c r="S147" s="349">
        <f>S141*24*LOOKUP(Detached!S$2,'HDD-by Country'!$A$4:$A$40,'HDD-by Country'!$C$4:$C$40)/1000</f>
        <v>19735.529580473758</v>
      </c>
      <c r="T147" s="349">
        <f>T141*24*LOOKUP(Detached!T$2,'HDD-by Country'!$A$4:$A$40,'HDD-by Country'!$C$4:$C$40)/1000</f>
        <v>14864.338980920818</v>
      </c>
      <c r="U147" s="349">
        <f>U141*24*LOOKUP(Detached!U$2,'HDD-by Country'!$A$4:$A$40,'HDD-by Country'!$C$4:$C$40)/1000</f>
        <v>17659.013482088161</v>
      </c>
      <c r="V147" s="349">
        <f>V141*24*LOOKUP(Detached!V$2,'HDD-by Country'!$A$4:$A$40,'HDD-by Country'!$C$4:$C$40)/1000</f>
        <v>18388.025435675565</v>
      </c>
      <c r="W147" s="349">
        <f>W141*24*LOOKUP(Detached!W$2,'HDD-by Country'!$A$4:$A$40,'HDD-by Country'!$C$4:$C$40)/1000</f>
        <v>12043.048854079809</v>
      </c>
      <c r="X147" s="349">
        <f>X141*24*LOOKUP(Detached!X$2,'HDD-by Country'!$A$4:$A$40,'HDD-by Country'!$C$4:$C$40)/1000</f>
        <v>16520.948784371176</v>
      </c>
      <c r="Y147" s="349">
        <f>Y141*24*LOOKUP(Detached!Y$2,'HDD-by Country'!$A$4:$A$40,'HDD-by Country'!$C$4:$C$40)/1000</f>
        <v>8037.6765008321972</v>
      </c>
      <c r="Z147" s="349">
        <f>Z141*24*LOOKUP(Detached!Z$2,'HDD-by Country'!$A$4:$A$40,'HDD-by Country'!$C$4:$C$40)/1000</f>
        <v>17786.46616816369</v>
      </c>
      <c r="AA147" s="349">
        <f>AA141*24*LOOKUP(Detached!AA$2,'HDD-by Country'!$A$4:$A$40,'HDD-by Country'!$C$4:$C$40)/1000</f>
        <v>17282.525612447804</v>
      </c>
      <c r="AB147" s="349">
        <f>AB141*24*LOOKUP(Detached!AB$2,'HDD-by Country'!$A$4:$A$40,'HDD-by Country'!$C$4:$C$40)/1000</f>
        <v>21706.10557650368</v>
      </c>
      <c r="AC147" s="349">
        <f>AC141*24*LOOKUP(Detached!AC$2,'HDD-by Country'!$A$4:$A$40,'HDD-by Country'!$C$4:$C$40)/1000</f>
        <v>15564.897925239626</v>
      </c>
      <c r="AD147" s="349">
        <f>AD141*24*LOOKUP(Detached!AD$2,'HDD-by Country'!$A$4:$A$40,'HDD-by Country'!$C$4:$C$40)/1000</f>
        <v>23342.391896232319</v>
      </c>
      <c r="AE147" s="349">
        <f>AE141*24*LOOKUP(Detached!AE$2,'HDD-by Country'!$A$4:$A$40,'HDD-by Country'!$C$4:$C$40)/1000</f>
        <v>16664.19933300847</v>
      </c>
      <c r="AF147" s="349">
        <f>AF141*24*LOOKUP(Detached!AF$2,'HDD-by Country'!$A$4:$A$40,'HDD-by Country'!$C$4:$C$40)/1000</f>
        <v>13414.902318110915</v>
      </c>
      <c r="AG147" s="349">
        <f>AG141*24*LOOKUP(Detached!AG$2,'HDD-by Country'!$A$4:$A$40,'HDD-by Country'!$C$4:$C$40)/1000</f>
        <v>28713.820335785178</v>
      </c>
      <c r="AH147" s="349">
        <f>AH141*24*LOOKUP(Detached!AH$2,'HDD-by Country'!$A$4:$A$40,'HDD-by Country'!$C$4:$C$40)/1000</f>
        <v>11983.13658448248</v>
      </c>
      <c r="AI147" s="349">
        <f>AI141*24*LOOKUP(Detached!AI$2,'HDD-by Country'!$A$4:$A$40,'HDD-by Country'!$C$4:$C$40)/1000</f>
        <v>24102.724884702369</v>
      </c>
      <c r="AJ147" s="349">
        <f>AJ141*24*LOOKUP(Detached!AJ$2,'HDD-by Country'!$A$4:$A$40,'HDD-by Country'!$C$4:$C$40)/1000</f>
        <v>19776.804591800184</v>
      </c>
      <c r="AK147" s="349">
        <f>AK141*24*LOOKUP(Detached!AK$2,'HDD-by Country'!$A$4:$A$40,'HDD-by Country'!$C$4:$C$40)/1000</f>
        <v>20227.097840485025</v>
      </c>
      <c r="AL147" s="349">
        <f>AL141*24*LOOKUP(Detached!AL$2,'HDD-by Country'!$A$4:$A$40,'HDD-by Country'!$C$4:$C$40)/1000</f>
        <v>14651.680132746043</v>
      </c>
      <c r="AM147" s="349">
        <f>AM141*24*LOOKUP(Detached!AM$2,'HDD-by Country'!$A$4:$A$40,'HDD-by Country'!$C$4:$C$40)/1000</f>
        <v>18186.26760375328</v>
      </c>
      <c r="AN147" s="354">
        <f>AN141*24*LOOKUP(Detached!AN$2,'HDD-by Country'!$A$4:$A$40,'HDD-by Country'!$C$4:$C$40)/1000</f>
        <v>18186.26760375328</v>
      </c>
    </row>
    <row r="148" spans="1:40">
      <c r="A148" s="130"/>
      <c r="B148" s="142" t="s">
        <v>7</v>
      </c>
      <c r="C148" s="129" t="s">
        <v>261</v>
      </c>
      <c r="D148" s="345">
        <f>D142*24*LOOKUP(Detached!D$2,'HDD-by Country'!$A$4:$A$40,'HDD-by Country'!$C$4:$C$40)/1000</f>
        <v>14230.356361550796</v>
      </c>
      <c r="E148" s="349">
        <f>E142*24*LOOKUP(Detached!E$2,'HDD-by Country'!$A$4:$A$40,'HDD-by Country'!$C$4:$C$40)/1000</f>
        <v>18306.950758494484</v>
      </c>
      <c r="F148" s="349">
        <f>F142*24*LOOKUP(Detached!F$2,'HDD-by Country'!$A$4:$A$40,'HDD-by Country'!$C$4:$C$40)/1000</f>
        <v>9355.7326810321592</v>
      </c>
      <c r="G148" s="349">
        <f>G142*24*LOOKUP(Detached!G$2,'HDD-by Country'!$A$4:$A$40,'HDD-by Country'!$C$4:$C$40)/1000</f>
        <v>13864.046125047529</v>
      </c>
      <c r="H148" s="349">
        <f>H142*24*LOOKUP(Detached!H$2,'HDD-by Country'!$A$4:$A$40,'HDD-by Country'!$C$4:$C$40)/1000</f>
        <v>6514.9281068049013</v>
      </c>
      <c r="I148" s="349">
        <f>I142*24*LOOKUP(Detached!I$2,'HDD-by Country'!$A$4:$A$40,'HDD-by Country'!$C$4:$C$40)/1000</f>
        <v>12636.741620468529</v>
      </c>
      <c r="J148" s="349">
        <f>J142*24*LOOKUP(Detached!J$2,'HDD-by Country'!$A$4:$A$40,'HDD-by Country'!$C$4:$C$40)/1000</f>
        <v>10786.673326557135</v>
      </c>
      <c r="K148" s="349">
        <f>K142*24*LOOKUP(Detached!K$2,'HDD-by Country'!$A$4:$A$40,'HDD-by Country'!$C$4:$C$40)/1000</f>
        <v>9993.7383616538846</v>
      </c>
      <c r="L148" s="349">
        <f>L142*24*LOOKUP(Detached!L$2,'HDD-by Country'!$A$4:$A$40,'HDD-by Country'!$C$4:$C$40)/1000</f>
        <v>8522.099779457596</v>
      </c>
      <c r="M148" s="349">
        <f>M142*24*LOOKUP(Detached!M$2,'HDD-by Country'!$A$4:$A$40,'HDD-by Country'!$C$4:$C$40)/1000</f>
        <v>12947.325770760614</v>
      </c>
      <c r="N148" s="349">
        <f>N142*24*LOOKUP(Detached!N$2,'HDD-by Country'!$A$4:$A$40,'HDD-by Country'!$C$4:$C$40)/1000</f>
        <v>15462.541824809656</v>
      </c>
      <c r="O148" s="349">
        <f>O142*24*LOOKUP(Detached!O$2,'HDD-by Country'!$A$4:$A$40,'HDD-by Country'!$C$4:$C$40)/1000</f>
        <v>9383.4523843165061</v>
      </c>
      <c r="P148" s="349">
        <f>P142*24*LOOKUP(Detached!P$2,'HDD-by Country'!$A$4:$A$40,'HDD-by Country'!$C$4:$C$40)/1000</f>
        <v>9446.0984279334352</v>
      </c>
      <c r="Q148" s="349">
        <f>Q142*24*LOOKUP(Detached!Q$2,'HDD-by Country'!$A$4:$A$40,'HDD-by Country'!$C$4:$C$40)/1000</f>
        <v>8276.5919074419962</v>
      </c>
      <c r="R148" s="349">
        <f>R142*24*LOOKUP(Detached!R$2,'HDD-by Country'!$A$4:$A$40,'HDD-by Country'!$C$4:$C$40)/1000</f>
        <v>10684.498019598645</v>
      </c>
      <c r="S148" s="349">
        <f>S142*24*LOOKUP(Detached!S$2,'HDD-by Country'!$A$4:$A$40,'HDD-by Country'!$C$4:$C$40)/1000</f>
        <v>11721.105849541495</v>
      </c>
      <c r="T148" s="349">
        <f>T142*24*LOOKUP(Detached!T$2,'HDD-by Country'!$A$4:$A$40,'HDD-by Country'!$C$4:$C$40)/1000</f>
        <v>13152.411644487665</v>
      </c>
      <c r="U148" s="349">
        <f>U142*24*LOOKUP(Detached!U$2,'HDD-by Country'!$A$4:$A$40,'HDD-by Country'!$C$4:$C$40)/1000</f>
        <v>16239.89348208816</v>
      </c>
      <c r="V148" s="349">
        <f>V142*24*LOOKUP(Detached!V$2,'HDD-by Country'!$A$4:$A$40,'HDD-by Country'!$C$4:$C$40)/1000</f>
        <v>10703.323712016076</v>
      </c>
      <c r="W148" s="349">
        <f>W142*24*LOOKUP(Detached!W$2,'HDD-by Country'!$A$4:$A$40,'HDD-by Country'!$C$4:$C$40)/1000</f>
        <v>9324.1191864491229</v>
      </c>
      <c r="X148" s="349">
        <f>X142*24*LOOKUP(Detached!X$2,'HDD-by Country'!$A$4:$A$40,'HDD-by Country'!$C$4:$C$40)/1000</f>
        <v>10474.777768357657</v>
      </c>
      <c r="Y148" s="349">
        <f>Y142*24*LOOKUP(Detached!Y$2,'HDD-by Country'!$A$4:$A$40,'HDD-by Country'!$C$4:$C$40)/1000</f>
        <v>7606.4004764177807</v>
      </c>
      <c r="Z148" s="349">
        <f>Z142*24*LOOKUP(Detached!Z$2,'HDD-by Country'!$A$4:$A$40,'HDD-by Country'!$C$4:$C$40)/1000</f>
        <v>12005.261198391701</v>
      </c>
      <c r="AA148" s="349">
        <f>AA142*24*LOOKUP(Detached!AA$2,'HDD-by Country'!$A$4:$A$40,'HDD-by Country'!$C$4:$C$40)/1000</f>
        <v>14561.285503007801</v>
      </c>
      <c r="AB148" s="349">
        <f>AB142*24*LOOKUP(Detached!AB$2,'HDD-by Country'!$A$4:$A$40,'HDD-by Country'!$C$4:$C$40)/1000</f>
        <v>16050.433569155139</v>
      </c>
      <c r="AC148" s="349">
        <f>AC142*24*LOOKUP(Detached!AC$2,'HDD-by Country'!$A$4:$A$40,'HDD-by Country'!$C$4:$C$40)/1000</f>
        <v>10512.102355044501</v>
      </c>
      <c r="AD148" s="349">
        <f>AD142*24*LOOKUP(Detached!AD$2,'HDD-by Country'!$A$4:$A$40,'HDD-by Country'!$C$4:$C$40)/1000</f>
        <v>17105.649459156932</v>
      </c>
      <c r="AE148" s="349">
        <f>AE142*24*LOOKUP(Detached!AE$2,'HDD-by Country'!$A$4:$A$40,'HDD-by Country'!$C$4:$C$40)/1000</f>
        <v>14040.31850484847</v>
      </c>
      <c r="AF148" s="349">
        <f>AF142*24*LOOKUP(Detached!AF$2,'HDD-by Country'!$A$4:$A$40,'HDD-by Country'!$C$4:$C$40)/1000</f>
        <v>7489.5201601890421</v>
      </c>
      <c r="AG148" s="349">
        <f>AG142*24*LOOKUP(Detached!AG$2,'HDD-by Country'!$A$4:$A$40,'HDD-by Country'!$C$4:$C$40)/1000</f>
        <v>16143.087801085059</v>
      </c>
      <c r="AH148" s="349">
        <f>AH142*24*LOOKUP(Detached!AH$2,'HDD-by Country'!$A$4:$A$40,'HDD-by Country'!$C$4:$C$40)/1000</f>
        <v>9895.7979166721216</v>
      </c>
      <c r="AI148" s="349">
        <f>AI142*24*LOOKUP(Detached!AI$2,'HDD-by Country'!$A$4:$A$40,'HDD-by Country'!$C$4:$C$40)/1000</f>
        <v>9446.0984279334352</v>
      </c>
      <c r="AJ148" s="349">
        <f>AJ142*24*LOOKUP(Detached!AJ$2,'HDD-by Country'!$A$4:$A$40,'HDD-by Country'!$C$4:$C$40)/1000</f>
        <v>16884.603222589602</v>
      </c>
      <c r="AK148" s="349">
        <f>AK142*24*LOOKUP(Detached!AK$2,'HDD-by Country'!$A$4:$A$40,'HDD-by Country'!$C$4:$C$40)/1000</f>
        <v>17341.624640546794</v>
      </c>
      <c r="AL148" s="349">
        <f>AL142*24*LOOKUP(Detached!AL$2,'HDD-by Country'!$A$4:$A$40,'HDD-by Country'!$C$4:$C$40)/1000</f>
        <v>9660.2831207772797</v>
      </c>
      <c r="AM148" s="349">
        <f>AM142*24*LOOKUP(Detached!AM$2,'HDD-by Country'!$A$4:$A$40,'HDD-by Country'!$C$4:$C$40)/1000</f>
        <v>15526.669698527809</v>
      </c>
      <c r="AN148" s="354">
        <f>AN142*24*LOOKUP(Detached!AN$2,'HDD-by Country'!$A$4:$A$40,'HDD-by Country'!$C$4:$C$40)/1000</f>
        <v>15526.669698527809</v>
      </c>
    </row>
    <row r="149" spans="1:40">
      <c r="A149" s="151" t="s">
        <v>260</v>
      </c>
      <c r="B149" s="141" t="s">
        <v>2</v>
      </c>
      <c r="C149" s="360" t="s">
        <v>261</v>
      </c>
      <c r="D149" s="351">
        <f>D143/(1.355*(D137/Detached!D$17)^0.16)</f>
        <v>29274.437123171861</v>
      </c>
      <c r="E149" s="352">
        <f>E143/(1.355*(E137/Detached!E$17)^0.16)</f>
        <v>25995.559326516075</v>
      </c>
      <c r="F149" s="352">
        <f>F143/(1.355*(F137/Detached!F$17)^0.16)</f>
        <v>14812.650239899469</v>
      </c>
      <c r="G149" s="352">
        <f>G143/(1.355*(G137/Detached!G$17)^0.16)</f>
        <v>28520.870191070062</v>
      </c>
      <c r="H149" s="352">
        <f>H143/(1.355*(H137/Detached!H$17)^0.16)</f>
        <v>7601.3727314980724</v>
      </c>
      <c r="I149" s="352">
        <f>I143/(1.355*(I137/Detached!I$17)^0.16)</f>
        <v>21313.101242423691</v>
      </c>
      <c r="J149" s="352">
        <f>J143/(1.355*(J137/Detached!J$17)^0.16)</f>
        <v>27277.61843863349</v>
      </c>
      <c r="K149" s="352">
        <f>K143/(1.355*(K137/Detached!K$17)^0.16)</f>
        <v>21123.390990458563</v>
      </c>
      <c r="L149" s="352">
        <f>L143/(1.355*(L137/Detached!L$17)^0.16)</f>
        <v>13731.524650437645</v>
      </c>
      <c r="M149" s="352">
        <f>M143/(1.355*(M137/Detached!M$17)^0.16)</f>
        <v>23369.282829792268</v>
      </c>
      <c r="N149" s="352">
        <f>N143/(1.355*(N137/Detached!N$17)^0.16)</f>
        <v>23918.414557989112</v>
      </c>
      <c r="O149" s="352">
        <f>O143/(1.355*(O137/Detached!O$17)^0.16)</f>
        <v>28908.288397690852</v>
      </c>
      <c r="P149" s="352">
        <f>P143/(1.355*(P137/Detached!P$17)^0.16)</f>
        <v>16790.997757337085</v>
      </c>
      <c r="Q149" s="352">
        <f>Q143/(1.355*(Q137/Detached!Q$17)^0.16)</f>
        <v>15198.33323199774</v>
      </c>
      <c r="R149" s="352">
        <f>R143/(1.355*(R137/Detached!R$17)^0.16)</f>
        <v>20022.104980714084</v>
      </c>
      <c r="S149" s="352">
        <f>S143/(1.355*(S137/Detached!S$17)^0.16)</f>
        <v>25125.363663948243</v>
      </c>
      <c r="T149" s="352">
        <f>T143/(1.355*(T137/Detached!T$17)^0.16)</f>
        <v>20344.962536846804</v>
      </c>
      <c r="U149" s="352">
        <f>U143/(1.355*(U137/Detached!U$17)^0.16)</f>
        <v>20319.819841627235</v>
      </c>
      <c r="V149" s="352">
        <f>V143/(1.355*(V137/Detached!V$17)^0.16)</f>
        <v>22157.186263007407</v>
      </c>
      <c r="W149" s="352">
        <f>W143/(1.355*(W137/Detached!W$17)^0.16)</f>
        <v>21859.696424721267</v>
      </c>
      <c r="X149" s="352">
        <f>X143/(1.355*(X137/Detached!X$17)^0.16)</f>
        <v>23812.75745829635</v>
      </c>
      <c r="Y149" s="352">
        <f>Y143/(1.355*(Y137/Detached!Y$17)^0.16)</f>
        <v>7222.6846182735226</v>
      </c>
      <c r="Z149" s="352">
        <f>Z143/(1.355*(Z137/Detached!Z$17)^0.16)</f>
        <v>26279.135243948458</v>
      </c>
      <c r="AA149" s="352">
        <f>AA143/(1.355*(AA137/Detached!AA$17)^0.16)</f>
        <v>22445.617296670011</v>
      </c>
      <c r="AB149" s="352">
        <f>AB143/(1.355*(AB137/Detached!AB$17)^0.16)</f>
        <v>28758.321977185024</v>
      </c>
      <c r="AC149" s="352">
        <f>AC143/(1.355*(AC137/Detached!AC$17)^0.16)</f>
        <v>13576.838843316251</v>
      </c>
      <c r="AD149" s="352">
        <f>AD143/(1.355*(AD137/Detached!AD$17)^0.16)</f>
        <v>21718.03272786751</v>
      </c>
      <c r="AE149" s="352">
        <f>AE143/(1.355*(AE137/Detached!AE$17)^0.16)</f>
        <v>21642.568289598217</v>
      </c>
      <c r="AF149" s="352">
        <f>AF143/(1.355*(AF137/Detached!AF$17)^0.16)</f>
        <v>20003.359504777476</v>
      </c>
      <c r="AG149" s="352">
        <f>AG143/(1.355*(AG137/Detached!AG$17)^0.16)</f>
        <v>28344.152300769016</v>
      </c>
      <c r="AH149" s="352">
        <f>AH143/(1.355*(AH137/Detached!AH$17)^0.16)</f>
        <v>22085.530029660993</v>
      </c>
      <c r="AI149" s="352">
        <f>AI143/(1.355*(AI137/Detached!AI$17)^0.16)</f>
        <v>16790.997757337085</v>
      </c>
      <c r="AJ149" s="352">
        <f>AJ143/(1.355*(AJ137/Detached!AJ$17)^0.16)</f>
        <v>16266.882146446123</v>
      </c>
      <c r="AK149" s="352">
        <f>AK143/(1.355*(AK137/Detached!AK$17)^0.16)</f>
        <v>17127.515899311136</v>
      </c>
      <c r="AL149" s="352">
        <f>AL143/(1.355*(AL137/Detached!AL$17)^0.16)</f>
        <v>15532.893662397028</v>
      </c>
      <c r="AM149" s="352">
        <f>AM143/(1.355*(AM137/Detached!AM$17)^0.16)</f>
        <v>14958.628448836662</v>
      </c>
      <c r="AN149" s="353">
        <f>AN143/(1.355*(AN137/Detached!AN$17)^0.16)</f>
        <v>14958.628448836662</v>
      </c>
    </row>
    <row r="150" spans="1:40">
      <c r="A150" s="129"/>
      <c r="B150" s="142" t="s">
        <v>3</v>
      </c>
      <c r="C150" s="129" t="s">
        <v>261</v>
      </c>
      <c r="D150" s="345">
        <f>D144/(1.355*(D138/Detached!D$17)^0.16)</f>
        <v>27680.48019778313</v>
      </c>
      <c r="E150" s="349">
        <f>E144/(1.355*(E138/Detached!E$17)^0.16)</f>
        <v>25995.559326516075</v>
      </c>
      <c r="F150" s="349">
        <f>F144/(1.355*(F138/Detached!F$17)^0.16)</f>
        <v>14812.650239899469</v>
      </c>
      <c r="G150" s="349">
        <f>G144/(1.355*(G138/Detached!G$17)^0.16)</f>
        <v>26967.944053911826</v>
      </c>
      <c r="H150" s="349">
        <f>H144/(1.355*(H138/Detached!H$17)^0.16)</f>
        <v>7024.9267787175186</v>
      </c>
      <c r="I150" s="349">
        <f>I144/(1.355*(I138/Detached!I$17)^0.16)</f>
        <v>19069.647425157244</v>
      </c>
      <c r="J150" s="349">
        <f>J144/(1.355*(J138/Detached!J$17)^0.16)</f>
        <v>22887.714992559195</v>
      </c>
      <c r="K150" s="349">
        <f>K144/(1.355*(K138/Detached!K$17)^0.16)</f>
        <v>20720.732398851644</v>
      </c>
      <c r="L150" s="349">
        <f>L144/(1.355*(L138/Detached!L$17)^0.16)</f>
        <v>13731.524650437645</v>
      </c>
      <c r="M150" s="349">
        <f>M144/(1.355*(M138/Detached!M$17)^0.16)</f>
        <v>21705.851195845993</v>
      </c>
      <c r="N150" s="349">
        <f>N144/(1.355*(N138/Detached!N$17)^0.16)</f>
        <v>22080.830794273566</v>
      </c>
      <c r="O150" s="349">
        <f>O144/(1.355*(O138/Detached!O$17)^0.16)</f>
        <v>28908.288397690852</v>
      </c>
      <c r="P150" s="349">
        <f>P144/(1.355*(P138/Detached!P$17)^0.16)</f>
        <v>16790.997757337085</v>
      </c>
      <c r="Q150" s="349">
        <f>Q144/(1.355*(Q138/Detached!Q$17)^0.16)</f>
        <v>16037.958995636254</v>
      </c>
      <c r="R150" s="349">
        <f>R144/(1.355*(R138/Detached!R$17)^0.16)</f>
        <v>20022.104980714084</v>
      </c>
      <c r="S150" s="349">
        <f>S144/(1.355*(S138/Detached!S$17)^0.16)</f>
        <v>25129.468273797076</v>
      </c>
      <c r="T150" s="349">
        <f>T144/(1.355*(T138/Detached!T$17)^0.16)</f>
        <v>18781.916928599188</v>
      </c>
      <c r="U150" s="349">
        <f>U144/(1.355*(U138/Detached!U$17)^0.16)</f>
        <v>19386.548374458536</v>
      </c>
      <c r="V150" s="349">
        <f>V144/(1.355*(V138/Detached!V$17)^0.16)</f>
        <v>22157.186263007407</v>
      </c>
      <c r="W150" s="349">
        <f>W144/(1.355*(W138/Detached!W$17)^0.16)</f>
        <v>23620.610009177486</v>
      </c>
      <c r="X150" s="349">
        <f>X144/(1.355*(X138/Detached!X$17)^0.16)</f>
        <v>23421.65386869284</v>
      </c>
      <c r="Y150" s="349">
        <f>Y144/(1.355*(Y138/Detached!Y$17)^0.16)</f>
        <v>7222.54710862301</v>
      </c>
      <c r="Z150" s="349">
        <f>Z144/(1.355*(Z138/Detached!Z$17)^0.16)</f>
        <v>24127.53398862225</v>
      </c>
      <c r="AA150" s="349">
        <f>AA144/(1.355*(AA138/Detached!AA$17)^0.16)</f>
        <v>22333.840261264922</v>
      </c>
      <c r="AB150" s="349">
        <f>AB144/(1.355*(AB138/Detached!AB$17)^0.16)</f>
        <v>22957.541586600408</v>
      </c>
      <c r="AC150" s="349">
        <f>AC144/(1.355*(AC138/Detached!AC$17)^0.16)</f>
        <v>12325.487454718426</v>
      </c>
      <c r="AD150" s="349">
        <f>AD144/(1.355*(AD138/Detached!AD$17)^0.16)</f>
        <v>19800.020460034717</v>
      </c>
      <c r="AE150" s="349">
        <f>AE144/(1.355*(AE138/Detached!AE$17)^0.16)</f>
        <v>21534.790361729763</v>
      </c>
      <c r="AF150" s="349">
        <f>AF144/(1.355*(AF138/Detached!AF$17)^0.16)</f>
        <v>20003.359504777476</v>
      </c>
      <c r="AG150" s="349">
        <f>AG144/(1.355*(AG138/Detached!AG$17)^0.16)</f>
        <v>25059.206130754177</v>
      </c>
      <c r="AH150" s="349">
        <f>AH144/(1.355*(AH138/Detached!AH$17)^0.16)</f>
        <v>23030.531392291341</v>
      </c>
      <c r="AI150" s="349">
        <f>AI144/(1.355*(AI138/Detached!AI$17)^0.16)</f>
        <v>16790.997757337085</v>
      </c>
      <c r="AJ150" s="349">
        <f>AJ144/(1.355*(AJ138/Detached!AJ$17)^0.16)</f>
        <v>16266.882146446123</v>
      </c>
      <c r="AK150" s="349">
        <f>AK144/(1.355*(AK138/Detached!AK$17)^0.16)</f>
        <v>17127.515899311136</v>
      </c>
      <c r="AL150" s="349">
        <f>AL144/(1.355*(AL138/Detached!AL$17)^0.16)</f>
        <v>15532.893662397028</v>
      </c>
      <c r="AM150" s="349">
        <f>AM144/(1.355*(AM138/Detached!AM$17)^0.16)</f>
        <v>14958.628448836662</v>
      </c>
      <c r="AN150" s="354">
        <f>AN144/(1.355*(AN138/Detached!AN$17)^0.16)</f>
        <v>14958.628448836662</v>
      </c>
    </row>
    <row r="151" spans="1:40">
      <c r="A151" s="129"/>
      <c r="B151" s="142" t="s">
        <v>4</v>
      </c>
      <c r="C151" s="129" t="s">
        <v>261</v>
      </c>
      <c r="D151" s="345">
        <f>D145/(1.355*(D139/Detached!D$17)^0.16)</f>
        <v>22859.152320135552</v>
      </c>
      <c r="E151" s="349">
        <f>E145/(1.355*(E139/Detached!E$17)^0.16)</f>
        <v>25995.559326516075</v>
      </c>
      <c r="F151" s="349">
        <f>F145/(1.355*(F139/Detached!F$17)^0.16)</f>
        <v>14108.128677582063</v>
      </c>
      <c r="G151" s="349">
        <f>G145/(1.355*(G139/Detached!G$17)^0.16)</f>
        <v>22270.724224597645</v>
      </c>
      <c r="H151" s="349">
        <f>H145/(1.355*(H139/Detached!H$17)^0.16)</f>
        <v>7446.1309369292385</v>
      </c>
      <c r="I151" s="349">
        <f>I145/(1.355*(I139/Detached!I$17)^0.16)</f>
        <v>19069.647425157244</v>
      </c>
      <c r="J151" s="349">
        <f>J145/(1.355*(J139/Detached!J$17)^0.16)</f>
        <v>17461.402677410177</v>
      </c>
      <c r="K151" s="349">
        <f>K145/(1.355*(K139/Detached!K$17)^0.16)</f>
        <v>14715.285625997953</v>
      </c>
      <c r="L151" s="349">
        <f>L145/(1.355*(L139/Detached!L$17)^0.16)</f>
        <v>11647.54050516606</v>
      </c>
      <c r="M151" s="349">
        <f>M145/(1.355*(M139/Detached!M$17)^0.16)</f>
        <v>21705.851195845993</v>
      </c>
      <c r="N151" s="349">
        <f>N145/(1.355*(N139/Detached!N$17)^0.16)</f>
        <v>18651.129819127127</v>
      </c>
      <c r="O151" s="349">
        <f>O145/(1.355*(O139/Detached!O$17)^0.16)</f>
        <v>16135.636324798072</v>
      </c>
      <c r="P151" s="349">
        <f>P145/(1.355*(P139/Detached!P$17)^0.16)</f>
        <v>16790.997757337085</v>
      </c>
      <c r="Q151" s="349">
        <f>Q145/(1.355*(Q139/Detached!Q$17)^0.16)</f>
        <v>13637.245272590335</v>
      </c>
      <c r="R151" s="349">
        <f>R145/(1.355*(R139/Detached!R$17)^0.16)</f>
        <v>18011.241490280754</v>
      </c>
      <c r="S151" s="349">
        <f>S145/(1.355*(S139/Detached!S$17)^0.16)</f>
        <v>25057.859666330663</v>
      </c>
      <c r="T151" s="349">
        <f>T145/(1.355*(T139/Detached!T$17)^0.16)</f>
        <v>15864.619141876341</v>
      </c>
      <c r="U151" s="349">
        <f>U145/(1.355*(U139/Detached!U$17)^0.16)</f>
        <v>18213.336850346885</v>
      </c>
      <c r="V151" s="349">
        <f>V145/(1.355*(V139/Detached!V$17)^0.16)</f>
        <v>15082.850296689337</v>
      </c>
      <c r="W151" s="349">
        <f>W145/(1.355*(W139/Detached!W$17)^0.16)</f>
        <v>13690.056407681412</v>
      </c>
      <c r="X151" s="349">
        <f>X145/(1.355*(X139/Detached!X$17)^0.16)</f>
        <v>22367.746385206981</v>
      </c>
      <c r="Y151" s="349">
        <f>Y145/(1.355*(Y139/Detached!Y$17)^0.16)</f>
        <v>5992.8130902485391</v>
      </c>
      <c r="Z151" s="349">
        <f>Z145/(1.355*(Z139/Detached!Z$17)^0.16)</f>
        <v>23314.040147913634</v>
      </c>
      <c r="AA151" s="349">
        <f>AA145/(1.355*(AA139/Detached!AA$17)^0.16)</f>
        <v>17377.926365961666</v>
      </c>
      <c r="AB151" s="349">
        <f>AB145/(1.355*(AB139/Detached!AB$17)^0.16)</f>
        <v>16988.266216738768</v>
      </c>
      <c r="AC151" s="349">
        <f>AC145/(1.355*(AC139/Detached!AC$17)^0.16)</f>
        <v>12323.378850553268</v>
      </c>
      <c r="AD151" s="349">
        <f>AD145/(1.355*(AD139/Detached!AD$17)^0.16)</f>
        <v>19800.020460034717</v>
      </c>
      <c r="AE151" s="349">
        <f>AE145/(1.355*(AE139/Detached!AE$17)^0.16)</f>
        <v>16756.186882092687</v>
      </c>
      <c r="AF151" s="349">
        <f>AF145/(1.355*(AF139/Detached!AF$17)^0.16)</f>
        <v>18990.972182656067</v>
      </c>
      <c r="AG151" s="349">
        <f>AG145/(1.355*(AG139/Detached!AG$17)^0.16)</f>
        <v>25059.206130754177</v>
      </c>
      <c r="AH151" s="349">
        <f>AH145/(1.355*(AH139/Detached!AH$17)^0.16)</f>
        <v>20232.54575507007</v>
      </c>
      <c r="AI151" s="349">
        <f>AI145/(1.355*(AI139/Detached!AI$17)^0.16)</f>
        <v>16790.997757337085</v>
      </c>
      <c r="AJ151" s="349">
        <f>AJ145/(1.355*(AJ139/Detached!AJ$17)^0.16)</f>
        <v>16266.882146446123</v>
      </c>
      <c r="AK151" s="349">
        <f>AK145/(1.355*(AK139/Detached!AK$17)^0.16)</f>
        <v>17127.515899311136</v>
      </c>
      <c r="AL151" s="349">
        <f>AL145/(1.355*(AL139/Detached!AL$17)^0.16)</f>
        <v>14784.421047536835</v>
      </c>
      <c r="AM151" s="349">
        <f>AM145/(1.355*(AM139/Detached!AM$17)^0.16)</f>
        <v>14958.628448836662</v>
      </c>
      <c r="AN151" s="354">
        <f>AN145/(1.355*(AN139/Detached!AN$17)^0.16)</f>
        <v>14958.628448836662</v>
      </c>
    </row>
    <row r="152" spans="1:40">
      <c r="A152" s="129"/>
      <c r="B152" s="142" t="s">
        <v>5</v>
      </c>
      <c r="C152" s="129" t="s">
        <v>261</v>
      </c>
      <c r="D152" s="345">
        <f>D146/(1.355*(D140/Detached!D$17)^0.16)</f>
        <v>16075.905945955468</v>
      </c>
      <c r="E152" s="349">
        <f>E146/(1.355*(E140/Detached!E$17)^0.16)</f>
        <v>23021.641905816814</v>
      </c>
      <c r="F152" s="349">
        <f>F146/(1.355*(F140/Detached!F$17)^0.16)</f>
        <v>12233.43913541758</v>
      </c>
      <c r="G152" s="349">
        <f>G146/(1.355*(G140/Detached!G$17)^0.16)</f>
        <v>15662.088557307483</v>
      </c>
      <c r="H152" s="349">
        <f>H146/(1.355*(H140/Detached!H$17)^0.16)</f>
        <v>7188.7183931136806</v>
      </c>
      <c r="I152" s="349">
        <f>I146/(1.355*(I140/Detached!I$17)^0.16)</f>
        <v>17407.35002567793</v>
      </c>
      <c r="J152" s="349">
        <f>J146/(1.355*(J140/Detached!J$17)^0.16)</f>
        <v>14734.545236446766</v>
      </c>
      <c r="K152" s="349">
        <f>K146/(1.355*(K140/Detached!K$17)^0.16)</f>
        <v>12552.817168176596</v>
      </c>
      <c r="L152" s="349">
        <f>L146/(1.355*(L140/Detached!L$17)^0.16)</f>
        <v>8838.9349024761414</v>
      </c>
      <c r="M152" s="349">
        <f>M146/(1.355*(M140/Detached!M$17)^0.16)</f>
        <v>14346.803002224615</v>
      </c>
      <c r="N152" s="349">
        <f>N146/(1.355*(N140/Detached!N$17)^0.16)</f>
        <v>15467.377224612861</v>
      </c>
      <c r="O152" s="349">
        <f>O146/(1.355*(O140/Detached!O$17)^0.16)</f>
        <v>14042.915321080363</v>
      </c>
      <c r="P152" s="349">
        <f>P146/(1.355*(P140/Detached!P$17)^0.16)</f>
        <v>16249.786500273814</v>
      </c>
      <c r="Q152" s="349">
        <f>Q146/(1.355*(Q140/Detached!Q$17)^0.16)</f>
        <v>13637.245272590335</v>
      </c>
      <c r="R152" s="349">
        <f>R146/(1.355*(R140/Detached!R$17)^0.16)</f>
        <v>14001.753799922733</v>
      </c>
      <c r="S152" s="349">
        <f>S146/(1.355*(S140/Detached!S$17)^0.16)</f>
        <v>18251.905805023409</v>
      </c>
      <c r="T152" s="349">
        <f>T146/(1.355*(T140/Detached!T$17)^0.16)</f>
        <v>13156.524627294633</v>
      </c>
      <c r="U152" s="349">
        <f>U146/(1.355*(U140/Detached!U$17)^0.16)</f>
        <v>13998.69494355958</v>
      </c>
      <c r="V152" s="349">
        <f>V146/(1.355*(V140/Detached!V$17)^0.16)</f>
        <v>15082.850296689337</v>
      </c>
      <c r="W152" s="349">
        <f>W146/(1.355*(W140/Detached!W$17)^0.16)</f>
        <v>11626.200517659759</v>
      </c>
      <c r="X152" s="349">
        <f>X146/(1.355*(X140/Detached!X$17)^0.16)</f>
        <v>13891.836038344838</v>
      </c>
      <c r="Y152" s="349">
        <f>Y146/(1.355*(Y140/Detached!Y$17)^0.16)</f>
        <v>5496.3182644136305</v>
      </c>
      <c r="Z152" s="349">
        <f>Z146/(1.355*(Z140/Detached!Z$17)^0.16)</f>
        <v>15820.993342440333</v>
      </c>
      <c r="AA152" s="349">
        <f>AA146/(1.355*(AA140/Detached!AA$17)^0.16)</f>
        <v>17103.642599803676</v>
      </c>
      <c r="AB152" s="349">
        <f>AB146/(1.355*(AB140/Detached!AB$17)^0.16)</f>
        <v>16988.266216738768</v>
      </c>
      <c r="AC152" s="349">
        <f>AC146/(1.355*(AC140/Detached!AC$17)^0.16)</f>
        <v>12057.579699028161</v>
      </c>
      <c r="AD152" s="349">
        <f>AD146/(1.355*(AD140/Detached!AD$17)^0.16)</f>
        <v>16866.956175535859</v>
      </c>
      <c r="AE152" s="349">
        <f>AE146/(1.355*(AE140/Detached!AE$17)^0.16)</f>
        <v>16491.716314794758</v>
      </c>
      <c r="AF152" s="349">
        <f>AF146/(1.355*(AF140/Detached!AF$17)^0.16)</f>
        <v>14345.682848934641</v>
      </c>
      <c r="AG152" s="349">
        <f>AG146/(1.355*(AG140/Detached!AG$17)^0.16)</f>
        <v>22208.831980336527</v>
      </c>
      <c r="AH152" s="349">
        <f>AH146/(1.355*(AH140/Detached!AH$17)^0.16)</f>
        <v>13068.230010461099</v>
      </c>
      <c r="AI152" s="349">
        <f>AI146/(1.355*(AI140/Detached!AI$17)^0.16)</f>
        <v>16249.786500273814</v>
      </c>
      <c r="AJ152" s="349">
        <f>AJ146/(1.355*(AJ140/Detached!AJ$17)^0.16)</f>
        <v>14827.073785792032</v>
      </c>
      <c r="AK152" s="349">
        <f>AK146/(1.355*(AK140/Detached!AK$17)^0.16)</f>
        <v>15559.653551497422</v>
      </c>
      <c r="AL152" s="349">
        <f>AL146/(1.355*(AL140/Detached!AL$17)^0.16)</f>
        <v>12788.685092659354</v>
      </c>
      <c r="AM152" s="349">
        <f>AM146/(1.355*(AM140/Detached!AM$17)^0.16)</f>
        <v>13634.615764005199</v>
      </c>
      <c r="AN152" s="354">
        <f>AN146/(1.355*(AN140/Detached!AN$17)^0.16)</f>
        <v>13634.615764005199</v>
      </c>
    </row>
    <row r="153" spans="1:40">
      <c r="A153" s="129"/>
      <c r="B153" s="142" t="s">
        <v>6</v>
      </c>
      <c r="C153" s="129" t="s">
        <v>261</v>
      </c>
      <c r="D153" s="345">
        <f>D147/(1.355*(D141/Detached!D$17)^0.16)</f>
        <v>13637.096623185693</v>
      </c>
      <c r="E153" s="349">
        <f>E147/(1.355*(E141/Detached!E$17)^0.16)</f>
        <v>23021.641905816814</v>
      </c>
      <c r="F153" s="349">
        <f>F147/(1.355*(F141/Detached!F$17)^0.16)</f>
        <v>10584.092964639305</v>
      </c>
      <c r="G153" s="349">
        <f>G147/(1.355*(G141/Detached!G$17)^0.16)</f>
        <v>13286.057762152373</v>
      </c>
      <c r="H153" s="349">
        <f>H147/(1.355*(H141/Detached!H$17)^0.16)</f>
        <v>5807.1159150511976</v>
      </c>
      <c r="I153" s="349">
        <f>I147/(1.355*(I141/Detached!I$17)^0.16)</f>
        <v>13576.089085055086</v>
      </c>
      <c r="J153" s="349">
        <f>J147/(1.355*(J141/Detached!J$17)^0.16)</f>
        <v>8756.3640893754673</v>
      </c>
      <c r="K153" s="349">
        <f>K147/(1.355*(K141/Detached!K$17)^0.16)</f>
        <v>12552.817168176596</v>
      </c>
      <c r="L153" s="349">
        <f>L147/(1.355*(L141/Detached!L$17)^0.16)</f>
        <v>7852.3786878561841</v>
      </c>
      <c r="M153" s="349">
        <f>M147/(1.355*(M141/Detached!M$17)^0.16)</f>
        <v>14346.803002224615</v>
      </c>
      <c r="N153" s="349">
        <f>N147/(1.355*(N141/Detached!N$17)^0.16)</f>
        <v>15310.932517501942</v>
      </c>
      <c r="O153" s="349">
        <f>O147/(1.355*(O141/Detached!O$17)^0.16)</f>
        <v>8359.1616872070554</v>
      </c>
      <c r="P153" s="349">
        <f>P147/(1.355*(P141/Detached!P$17)^0.16)</f>
        <v>16249.786500273814</v>
      </c>
      <c r="Q153" s="349">
        <f>Q147/(1.355*(Q141/Detached!Q$17)^0.16)</f>
        <v>10201.367903455688</v>
      </c>
      <c r="R153" s="349">
        <f>R147/(1.355*(R141/Detached!R$17)^0.16)</f>
        <v>14001.753799922733</v>
      </c>
      <c r="S153" s="349">
        <f>S147/(1.355*(S141/Detached!S$17)^0.16)</f>
        <v>15638.674135254303</v>
      </c>
      <c r="T153" s="349">
        <f>T147/(1.355*(T141/Detached!T$17)^0.16)</f>
        <v>13023.453026852932</v>
      </c>
      <c r="U153" s="349">
        <f>U147/(1.355*(U141/Detached!U$17)^0.16)</f>
        <v>13236.532631223829</v>
      </c>
      <c r="V153" s="349">
        <f>V147/(1.355*(V141/Detached!V$17)^0.16)</f>
        <v>15082.850296689337</v>
      </c>
      <c r="W153" s="349">
        <f>W147/(1.355*(W141/Detached!W$17)^0.16)</f>
        <v>10008.228654002249</v>
      </c>
      <c r="X153" s="349">
        <f>X147/(1.355*(X141/Detached!X$17)^0.16)</f>
        <v>13862.429055776458</v>
      </c>
      <c r="Y153" s="349">
        <f>Y147/(1.355*(Y141/Detached!Y$17)^0.16)</f>
        <v>5494.8811357458462</v>
      </c>
      <c r="Z153" s="349">
        <f>Z147/(1.355*(Z141/Detached!Z$17)^0.16)</f>
        <v>14267.052617365534</v>
      </c>
      <c r="AA153" s="349">
        <f>AA147/(1.355*(AA141/Detached!AA$17)^0.16)</f>
        <v>15701.702132785376</v>
      </c>
      <c r="AB153" s="349">
        <f>AB147/(1.355*(AB141/Detached!AB$17)^0.16)</f>
        <v>16988.266216738768</v>
      </c>
      <c r="AC153" s="349">
        <f>AC147/(1.355*(AC141/Detached!AC$17)^0.16)</f>
        <v>11213.728433521514</v>
      </c>
      <c r="AD153" s="349">
        <f>AD147/(1.355*(AD141/Detached!AD$17)^0.16)</f>
        <v>16866.956175535859</v>
      </c>
      <c r="AE153" s="349">
        <f>AE147/(1.355*(AE141/Detached!AE$17)^0.16)</f>
        <v>15139.933831187313</v>
      </c>
      <c r="AF153" s="349">
        <f>AF147/(1.355*(AF141/Detached!AF$17)^0.16)</f>
        <v>11022.288629638188</v>
      </c>
      <c r="AG153" s="349">
        <f>AG147/(1.355*(AG141/Detached!AG$17)^0.16)</f>
        <v>21326.684439400298</v>
      </c>
      <c r="AH153" s="349">
        <f>AH147/(1.355*(AH141/Detached!AH$17)^0.16)</f>
        <v>9808.9389447636422</v>
      </c>
      <c r="AI153" s="349">
        <f>AI147/(1.355*(AI141/Detached!AI$17)^0.16)</f>
        <v>16249.786500273814</v>
      </c>
      <c r="AJ153" s="349">
        <f>AJ147/(1.355*(AJ141/Detached!AJ$17)^0.16)</f>
        <v>14387.797687085835</v>
      </c>
      <c r="AK153" s="349">
        <f>AK147/(1.355*(AK141/Detached!AK$17)^0.16)</f>
        <v>15059.672238756457</v>
      </c>
      <c r="AL153" s="349">
        <f>AL147/(1.355*(AL141/Detached!AL$17)^0.16)</f>
        <v>11034.244743350542</v>
      </c>
      <c r="AM153" s="349">
        <f>AM147/(1.355*(AM141/Detached!AM$17)^0.16)</f>
        <v>13230.668167419448</v>
      </c>
      <c r="AN153" s="354">
        <f>AN147/(1.355*(AN141/Detached!AN$17)^0.16)</f>
        <v>13230.668167419448</v>
      </c>
    </row>
    <row r="154" spans="1:40">
      <c r="A154" s="129"/>
      <c r="B154" s="142" t="s">
        <v>7</v>
      </c>
      <c r="C154" s="129" t="s">
        <v>261</v>
      </c>
      <c r="D154" s="345">
        <f>D148/(1.355*(D142/Detached!D$17)^0.16)</f>
        <v>12317.354051134977</v>
      </c>
      <c r="E154" s="349">
        <f>E148/(1.355*(E142/Detached!E$17)^0.16)</f>
        <v>14578.032208956371</v>
      </c>
      <c r="F154" s="349">
        <f>F148/(1.355*(F142/Detached!F$17)^0.16)</f>
        <v>7476.3498969133834</v>
      </c>
      <c r="G154" s="349">
        <f>G148/(1.355*(G142/Detached!G$17)^0.16)</f>
        <v>12000.287298839392</v>
      </c>
      <c r="H154" s="349">
        <f>H148/(1.355*(H142/Detached!H$17)^0.16)</f>
        <v>4799.1741143034806</v>
      </c>
      <c r="I154" s="349">
        <f>I148/(1.355*(I142/Detached!I$17)^0.16)</f>
        <v>10825.732748825725</v>
      </c>
      <c r="J154" s="349">
        <f>J148/(1.355*(J142/Detached!J$17)^0.16)</f>
        <v>9439.95487340213</v>
      </c>
      <c r="K154" s="349">
        <f>K148/(1.355*(K142/Detached!K$17)^0.16)</f>
        <v>9285.4392443909237</v>
      </c>
      <c r="L154" s="349">
        <f>L148/(1.355*(L142/Detached!L$17)^0.16)</f>
        <v>7852.3786878561841</v>
      </c>
      <c r="M154" s="349">
        <f>M148/(1.355*(M142/Detached!M$17)^0.16)</f>
        <v>10107.619749074924</v>
      </c>
      <c r="N154" s="349">
        <f>N148/(1.355*(N142/Detached!N$17)^0.16)</f>
        <v>13815.412854743674</v>
      </c>
      <c r="O154" s="349">
        <f>O148/(1.355*(O142/Detached!O$17)^0.16)</f>
        <v>8097.7098000243795</v>
      </c>
      <c r="P154" s="349">
        <f>P148/(1.355*(P142/Detached!P$17)^0.16)</f>
        <v>7398.1676834795489</v>
      </c>
      <c r="Q154" s="349">
        <f>Q148/(1.355*(Q142/Detached!Q$17)^0.16)</f>
        <v>6791.592482617114</v>
      </c>
      <c r="R154" s="349">
        <f>R148/(1.355*(R142/Detached!R$17)^0.16)</f>
        <v>9004.7237509412771</v>
      </c>
      <c r="S154" s="349">
        <f>S148/(1.355*(S142/Detached!S$17)^0.16)</f>
        <v>10095.424031029601</v>
      </c>
      <c r="T154" s="349">
        <f>T148/(1.355*(T142/Detached!T$17)^0.16)</f>
        <v>11751.366558154617</v>
      </c>
      <c r="U154" s="349">
        <f>U148/(1.355*(U142/Detached!U$17)^0.16)</f>
        <v>12337.077551587117</v>
      </c>
      <c r="V154" s="349">
        <f>V148/(1.355*(V142/Detached!V$17)^0.16)</f>
        <v>9573.4751608369716</v>
      </c>
      <c r="W154" s="349">
        <f>W148/(1.355*(W142/Detached!W$17)^0.16)</f>
        <v>8072.5207163937885</v>
      </c>
      <c r="X154" s="349">
        <f>X148/(1.355*(X142/Detached!X$17)^0.16)</f>
        <v>9453.9128877135663</v>
      </c>
      <c r="Y154" s="349">
        <f>Y148/(1.355*(Y142/Detached!Y$17)^0.16)</f>
        <v>5246.1315963227153</v>
      </c>
      <c r="Z154" s="349">
        <f>Z148/(1.355*(Z142/Detached!Z$17)^0.16)</f>
        <v>10254.892093885857</v>
      </c>
      <c r="AA154" s="349">
        <f>AA148/(1.355*(AA142/Detached!AA$17)^0.16)</f>
        <v>13597.04206374603</v>
      </c>
      <c r="AB154" s="349">
        <f>AB148/(1.355*(AB142/Detached!AB$17)^0.16)</f>
        <v>13183.451877701291</v>
      </c>
      <c r="AC154" s="349">
        <f>AC148/(1.355*(AC142/Detached!AC$17)^0.16)</f>
        <v>8064.2950644393622</v>
      </c>
      <c r="AD154" s="349">
        <f>AD148/(1.355*(AD142/Detached!AD$17)^0.16)</f>
        <v>12990.67908740647</v>
      </c>
      <c r="AE154" s="349">
        <f>AE148/(1.355*(AE142/Detached!AE$17)^0.16)</f>
        <v>13110.573325369003</v>
      </c>
      <c r="AF154" s="349">
        <f>AF148/(1.355*(AF142/Detached!AF$17)^0.16)</f>
        <v>6755.2219380987672</v>
      </c>
      <c r="AG154" s="349">
        <f>AG148/(1.355*(AG142/Detached!AG$17)^0.16)</f>
        <v>13147.272736284973</v>
      </c>
      <c r="AH154" s="349">
        <f>AH148/(1.355*(AH142/Detached!AH$17)^0.16)</f>
        <v>8352.2116372420387</v>
      </c>
      <c r="AI154" s="349">
        <f>AI148/(1.355*(AI142/Detached!AI$17)^0.16)</f>
        <v>7398.1676834795489</v>
      </c>
      <c r="AJ154" s="349">
        <f>AJ148/(1.355*(AJ142/Detached!AJ$17)^0.16)</f>
        <v>12598.403143729935</v>
      </c>
      <c r="AK154" s="349">
        <f>AK148/(1.355*(AK142/Detached!AK$17)^0.16)</f>
        <v>13233.256587125068</v>
      </c>
      <c r="AL154" s="349">
        <f>AL148/(1.355*(AL142/Detached!AL$17)^0.16)</f>
        <v>7776.5801120676333</v>
      </c>
      <c r="AM154" s="349">
        <f>AM148/(1.355*(AM142/Detached!AM$17)^0.16)</f>
        <v>11585.184547297171</v>
      </c>
      <c r="AN154" s="354">
        <f>AN148/(1.355*(AN142/Detached!AN$17)^0.16)</f>
        <v>11585.184547297171</v>
      </c>
    </row>
    <row r="155" spans="1:40">
      <c r="A155" s="334" t="s">
        <v>262</v>
      </c>
      <c r="B155" s="359" t="s">
        <v>2</v>
      </c>
      <c r="C155" s="366" t="s">
        <v>190</v>
      </c>
      <c r="D155" s="375">
        <f>D149/Detached!D$4</f>
        <v>195.43570983278732</v>
      </c>
      <c r="E155" s="376">
        <f>E149/Detached!E$4</f>
        <v>182.56243282903398</v>
      </c>
      <c r="F155" s="376">
        <f>F149/Detached!F$4</f>
        <v>186.29907300753277</v>
      </c>
      <c r="G155" s="376">
        <f>G149/Detached!G$4</f>
        <v>190.4049081247245</v>
      </c>
      <c r="H155" s="376">
        <f>H149/Detached!H$4</f>
        <v>66.457739103330269</v>
      </c>
      <c r="I155" s="376">
        <f>I149/Detached!I$4</f>
        <v>170.75544820136847</v>
      </c>
      <c r="J155" s="376">
        <f>J149/Detached!J$4</f>
        <v>203.24825429495627</v>
      </c>
      <c r="K155" s="376">
        <f>K149/Detached!K$4</f>
        <v>126.39276583670045</v>
      </c>
      <c r="L155" s="376">
        <f>L149/Detached!L$4</f>
        <v>128.79957562238866</v>
      </c>
      <c r="M155" s="376">
        <f>M149/Detached!M$4</f>
        <v>168.47548405371353</v>
      </c>
      <c r="N155" s="376">
        <f>N149/Detached!N$4</f>
        <v>197.26527470506485</v>
      </c>
      <c r="O155" s="376">
        <f>O149/Detached!O$4</f>
        <v>207.18157541974273</v>
      </c>
      <c r="P155" s="376">
        <f>P149/Detached!P$4</f>
        <v>146.8013459750174</v>
      </c>
      <c r="Q155" s="376">
        <f>Q149/Detached!Q$4</f>
        <v>176.8248112765956</v>
      </c>
      <c r="R155" s="376">
        <f>R149/Detached!R$4</f>
        <v>171.95746338747756</v>
      </c>
      <c r="S155" s="376">
        <f>S149/Detached!S$4</f>
        <v>170.77583717252895</v>
      </c>
      <c r="T155" s="376">
        <f>T149/Detached!T$4</f>
        <v>167.79350545853035</v>
      </c>
      <c r="U155" s="376">
        <f>U149/Detached!U$4</f>
        <v>148.18464788789234</v>
      </c>
      <c r="V155" s="376">
        <f>V149/Detached!V$4</f>
        <v>183.51105125084985</v>
      </c>
      <c r="W155" s="376">
        <f>W149/Detached!W$4</f>
        <v>199.7536825130986</v>
      </c>
      <c r="X155" s="376">
        <f>X149/Detached!X$4</f>
        <v>198.43964548580291</v>
      </c>
      <c r="Y155" s="376">
        <f>Y149/Detached!Y$4</f>
        <v>58.451335091469936</v>
      </c>
      <c r="Z155" s="376">
        <f>Z149/Detached!Z$4</f>
        <v>183.40112985198286</v>
      </c>
      <c r="AA155" s="376">
        <f>AA149/Detached!AA$4</f>
        <v>143.997544806223</v>
      </c>
      <c r="AB155" s="376">
        <f>AB149/Detached!AB$4</f>
        <v>238.96114204402593</v>
      </c>
      <c r="AC155" s="376">
        <f>AC149/Detached!AC$4</f>
        <v>93.589866567826974</v>
      </c>
      <c r="AD155" s="376">
        <f>AD149/Detached!AD$4</f>
        <v>239.17819790014028</v>
      </c>
      <c r="AE155" s="376">
        <f>AE149/Detached!AE$4</f>
        <v>138.84566665339673</v>
      </c>
      <c r="AF155" s="376">
        <f>AF149/Detached!AF$4</f>
        <v>167.56274928963211</v>
      </c>
      <c r="AG155" s="376">
        <f>AG149/Detached!AG$4</f>
        <v>235.81894770410983</v>
      </c>
      <c r="AH155" s="376">
        <f>AH149/Detached!AH$4</f>
        <v>216.3392190979404</v>
      </c>
      <c r="AI155" s="376">
        <f>AI149/Detached!AI$4</f>
        <v>146.8013459750174</v>
      </c>
      <c r="AJ155" s="376">
        <f>AJ149/Detached!AJ$4</f>
        <v>189.25682979158316</v>
      </c>
      <c r="AK155" s="376">
        <f>AK149/Detached!AK$4</f>
        <v>149.74347704434092</v>
      </c>
      <c r="AL155" s="376">
        <f>AL149/Detached!AL$4</f>
        <v>180.71725027388126</v>
      </c>
      <c r="AM155" s="376">
        <f>AM149/Detached!AM$4</f>
        <v>174.03596907939215</v>
      </c>
      <c r="AN155" s="377">
        <f>AN149/Detached!AN$4</f>
        <v>174.03596907939215</v>
      </c>
    </row>
    <row r="156" spans="1:40">
      <c r="A156" s="154"/>
      <c r="B156" s="347" t="s">
        <v>3</v>
      </c>
      <c r="C156" s="367" t="s">
        <v>190</v>
      </c>
      <c r="D156" s="369">
        <f>D150/Detached!D$4</f>
        <v>184.79447694261992</v>
      </c>
      <c r="E156" s="370">
        <f>E150/Detached!E$4</f>
        <v>182.56243282903398</v>
      </c>
      <c r="F156" s="370">
        <f>F150/Detached!F$4</f>
        <v>186.29907300753277</v>
      </c>
      <c r="G156" s="370">
        <f>G150/Detached!G$4</f>
        <v>180.03759617073382</v>
      </c>
      <c r="H156" s="370">
        <f>H150/Detached!H$4</f>
        <v>61.417952726546353</v>
      </c>
      <c r="I156" s="370">
        <f>I150/Detached!I$4</f>
        <v>152.781435047249</v>
      </c>
      <c r="J156" s="370">
        <f>J150/Detached!J$4</f>
        <v>170.53864608831287</v>
      </c>
      <c r="K156" s="370">
        <f>K150/Detached!K$4</f>
        <v>123.98343993329331</v>
      </c>
      <c r="L156" s="370">
        <f>L150/Detached!L$4</f>
        <v>128.79957562238866</v>
      </c>
      <c r="M156" s="370">
        <f>M150/Detached!M$4</f>
        <v>156.48335525110923</v>
      </c>
      <c r="N156" s="370">
        <f>N150/Detached!N$4</f>
        <v>182.10994469503973</v>
      </c>
      <c r="O156" s="370">
        <f>O150/Detached!O$4</f>
        <v>207.18157541974273</v>
      </c>
      <c r="P156" s="370">
        <f>P150/Detached!P$4</f>
        <v>146.8013459750174</v>
      </c>
      <c r="Q156" s="370">
        <f>Q150/Detached!Q$4</f>
        <v>186.59342635642383</v>
      </c>
      <c r="R156" s="370">
        <f>R150/Detached!R$4</f>
        <v>171.95746338747756</v>
      </c>
      <c r="S156" s="370">
        <f>S150/Detached!S$4</f>
        <v>170.80373599988829</v>
      </c>
      <c r="T156" s="370">
        <f>T150/Detached!T$4</f>
        <v>154.90240765855</v>
      </c>
      <c r="U156" s="370">
        <f>U150/Detached!U$4</f>
        <v>141.3786572430887</v>
      </c>
      <c r="V156" s="370">
        <f>V150/Detached!V$4</f>
        <v>183.51105125084985</v>
      </c>
      <c r="W156" s="370">
        <f>W150/Detached!W$4</f>
        <v>215.84489285052464</v>
      </c>
      <c r="X156" s="370">
        <f>X150/Detached!X$4</f>
        <v>195.18044890577366</v>
      </c>
      <c r="Y156" s="370">
        <f>Y150/Detached!Y$4</f>
        <v>58.450222261118725</v>
      </c>
      <c r="Z156" s="370">
        <f>Z150/Detached!Z$4</f>
        <v>168.3851828828511</v>
      </c>
      <c r="AA156" s="370">
        <f>AA150/Detached!AA$4</f>
        <v>143.28045075390489</v>
      </c>
      <c r="AB156" s="370">
        <f>AB150/Detached!AB$4</f>
        <v>190.76079475045364</v>
      </c>
      <c r="AC156" s="370">
        <f>AC150/Detached!AC$4</f>
        <v>84.963866742691735</v>
      </c>
      <c r="AD156" s="370">
        <f>AD150/Detached!AD$4</f>
        <v>218.05534927389397</v>
      </c>
      <c r="AE156" s="370">
        <f>AE150/Detached!AE$4</f>
        <v>138.15422846338259</v>
      </c>
      <c r="AF156" s="370">
        <f>AF150/Detached!AF$4</f>
        <v>167.56274928963211</v>
      </c>
      <c r="AG156" s="370">
        <f>AG150/Detached!AG$4</f>
        <v>208.488705442586</v>
      </c>
      <c r="AH156" s="370">
        <f>AH150/Detached!AH$4</f>
        <v>225.59599747561003</v>
      </c>
      <c r="AI156" s="370">
        <f>AI150/Detached!AI$4</f>
        <v>146.8013459750174</v>
      </c>
      <c r="AJ156" s="370">
        <f>AJ150/Detached!AJ$4</f>
        <v>189.25682979158316</v>
      </c>
      <c r="AK156" s="370">
        <f>AK150/Detached!AK$4</f>
        <v>149.74347704434092</v>
      </c>
      <c r="AL156" s="370">
        <f>AL150/Detached!AL$4</f>
        <v>180.71725027388126</v>
      </c>
      <c r="AM156" s="370">
        <f>AM150/Detached!AM$4</f>
        <v>174.03596907939215</v>
      </c>
      <c r="AN156" s="371">
        <f>AN150/Detached!AN$4</f>
        <v>174.03596907939215</v>
      </c>
    </row>
    <row r="157" spans="1:40">
      <c r="A157" s="154"/>
      <c r="B157" s="347" t="s">
        <v>4</v>
      </c>
      <c r="C157" s="367" t="s">
        <v>190</v>
      </c>
      <c r="D157" s="369">
        <f>D151/Detached!D$4</f>
        <v>152.60736324543376</v>
      </c>
      <c r="E157" s="370">
        <f>E151/Detached!E$4</f>
        <v>182.56243282903398</v>
      </c>
      <c r="F157" s="370">
        <f>F151/Detached!F$4</f>
        <v>177.43828767554601</v>
      </c>
      <c r="G157" s="370">
        <f>G151/Detached!G$4</f>
        <v>148.67902597106891</v>
      </c>
      <c r="H157" s="370">
        <f>H151/Detached!H$4</f>
        <v>65.100481796549687</v>
      </c>
      <c r="I157" s="370">
        <f>I151/Detached!I$4</f>
        <v>152.781435047249</v>
      </c>
      <c r="J157" s="370">
        <f>J151/Detached!J$4</f>
        <v>130.10665207848277</v>
      </c>
      <c r="K157" s="370">
        <f>K151/Detached!K$4</f>
        <v>88.049577418087978</v>
      </c>
      <c r="L157" s="370">
        <f>L151/Detached!L$4</f>
        <v>109.25212693421902</v>
      </c>
      <c r="M157" s="370">
        <f>M151/Detached!M$4</f>
        <v>156.48335525110923</v>
      </c>
      <c r="N157" s="370">
        <f>N151/Detached!N$4</f>
        <v>153.82375108558455</v>
      </c>
      <c r="O157" s="370">
        <f>O151/Detached!O$4</f>
        <v>115.64180169306482</v>
      </c>
      <c r="P157" s="370">
        <f>P151/Detached!P$4</f>
        <v>146.8013459750174</v>
      </c>
      <c r="Q157" s="370">
        <f>Q151/Detached!Q$4</f>
        <v>158.66235361793454</v>
      </c>
      <c r="R157" s="370">
        <f>R151/Detached!R$4</f>
        <v>154.68740185466302</v>
      </c>
      <c r="S157" s="370">
        <f>S151/Detached!S$4</f>
        <v>170.31701588501159</v>
      </c>
      <c r="T157" s="370">
        <f>T151/Detached!T$4</f>
        <v>130.84221972681519</v>
      </c>
      <c r="U157" s="370">
        <f>U151/Detached!U$4</f>
        <v>132.82287584573845</v>
      </c>
      <c r="V157" s="370">
        <f>V151/Detached!V$4</f>
        <v>124.9197294706033</v>
      </c>
      <c r="W157" s="370">
        <f>W151/Detached!W$4</f>
        <v>125.09959553481187</v>
      </c>
      <c r="X157" s="370">
        <f>X151/Detached!X$4</f>
        <v>186.39788654339151</v>
      </c>
      <c r="Y157" s="370">
        <f>Y151/Detached!Y$4</f>
        <v>48.498300090859573</v>
      </c>
      <c r="Z157" s="370">
        <f>Z151/Detached!Z$4</f>
        <v>162.70783893189497</v>
      </c>
      <c r="AA157" s="370">
        <f>AA151/Detached!AA$4</f>
        <v>111.48629585219994</v>
      </c>
      <c r="AB157" s="370">
        <f>AB151/Detached!AB$4</f>
        <v>141.16037436817109</v>
      </c>
      <c r="AC157" s="370">
        <f>AC151/Detached!AC$4</f>
        <v>84.949331401679075</v>
      </c>
      <c r="AD157" s="370">
        <f>AD151/Detached!AD$4</f>
        <v>218.05534927389397</v>
      </c>
      <c r="AE157" s="370">
        <f>AE151/Detached!AE$4</f>
        <v>107.49759026202204</v>
      </c>
      <c r="AF157" s="370">
        <f>AF151/Detached!AF$4</f>
        <v>159.08225365088123</v>
      </c>
      <c r="AG157" s="370">
        <f>AG151/Detached!AG$4</f>
        <v>208.488705442586</v>
      </c>
      <c r="AH157" s="370">
        <f>AH151/Detached!AH$4</f>
        <v>198.18827726283894</v>
      </c>
      <c r="AI157" s="370">
        <f>AI151/Detached!AI$4</f>
        <v>146.8013459750174</v>
      </c>
      <c r="AJ157" s="370">
        <f>AJ151/Detached!AJ$4</f>
        <v>189.25682979158316</v>
      </c>
      <c r="AK157" s="370">
        <f>AK151/Detached!AK$4</f>
        <v>149.74347704434092</v>
      </c>
      <c r="AL157" s="370">
        <f>AL151/Detached!AL$4</f>
        <v>172.00915532372485</v>
      </c>
      <c r="AM157" s="370">
        <f>AM151/Detached!AM$4</f>
        <v>174.03596907939215</v>
      </c>
      <c r="AN157" s="371">
        <f>AN151/Detached!AN$4</f>
        <v>174.03596907939215</v>
      </c>
    </row>
    <row r="158" spans="1:40">
      <c r="A158" s="154"/>
      <c r="B158" s="347" t="s">
        <v>5</v>
      </c>
      <c r="C158" s="367" t="s">
        <v>190</v>
      </c>
      <c r="D158" s="369">
        <f>D152/Detached!D$4</f>
        <v>107.3225106441439</v>
      </c>
      <c r="E158" s="370">
        <f>E152/Detached!E$4</f>
        <v>161.67711189648125</v>
      </c>
      <c r="F158" s="370">
        <f>F152/Detached!F$4</f>
        <v>153.86027035752355</v>
      </c>
      <c r="G158" s="370">
        <f>G152/Detached!G$4</f>
        <v>104.55987186986825</v>
      </c>
      <c r="H158" s="370">
        <f>H152/Detached!H$4</f>
        <v>62.849959912794169</v>
      </c>
      <c r="I158" s="370">
        <f>I152/Detached!I$4</f>
        <v>139.46350753104767</v>
      </c>
      <c r="J158" s="370">
        <f>J152/Detached!J$4</f>
        <v>109.7885654451546</v>
      </c>
      <c r="K158" s="370">
        <f>K152/Detached!K$4</f>
        <v>75.110349547803125</v>
      </c>
      <c r="L158" s="370">
        <f>L152/Detached!L$4</f>
        <v>82.907841144687609</v>
      </c>
      <c r="M158" s="370">
        <f>M152/Detached!M$4</f>
        <v>103.42998533706172</v>
      </c>
      <c r="N158" s="370">
        <f>N152/Detached!N$4</f>
        <v>127.56599772876586</v>
      </c>
      <c r="O158" s="370">
        <f>O152/Detached!O$4</f>
        <v>100.64356905820384</v>
      </c>
      <c r="P158" s="370">
        <f>P152/Detached!P$4</f>
        <v>142.06961161700391</v>
      </c>
      <c r="Q158" s="370">
        <f>Q152/Detached!Q$4</f>
        <v>158.66235361793454</v>
      </c>
      <c r="R158" s="370">
        <f>R152/Detached!R$4</f>
        <v>120.25239447749703</v>
      </c>
      <c r="S158" s="370">
        <f>S152/Detached!S$4</f>
        <v>124.05728870382468</v>
      </c>
      <c r="T158" s="370">
        <f>T152/Detached!T$4</f>
        <v>108.50741960655368</v>
      </c>
      <c r="U158" s="370">
        <f>U152/Detached!U$4</f>
        <v>102.08710988922209</v>
      </c>
      <c r="V158" s="370">
        <f>V152/Detached!V$4</f>
        <v>124.9197294706033</v>
      </c>
      <c r="W158" s="370">
        <f>W152/Detached!W$4</f>
        <v>106.24010150533655</v>
      </c>
      <c r="X158" s="370">
        <f>X152/Detached!X$4</f>
        <v>115.76530031954032</v>
      </c>
      <c r="Y158" s="370">
        <f>Y152/Detached!Y$4</f>
        <v>44.480294741071191</v>
      </c>
      <c r="Z158" s="370">
        <f>Z152/Detached!Z$4</f>
        <v>110.41413758287315</v>
      </c>
      <c r="AA158" s="370">
        <f>AA152/Detached!AA$4</f>
        <v>109.72665661461861</v>
      </c>
      <c r="AB158" s="370">
        <f>AB152/Detached!AB$4</f>
        <v>141.16037436817109</v>
      </c>
      <c r="AC158" s="370">
        <f>AC152/Detached!AC$4</f>
        <v>83.117085514977504</v>
      </c>
      <c r="AD158" s="370">
        <f>AD152/Detached!AD$4</f>
        <v>185.75384947039018</v>
      </c>
      <c r="AE158" s="370">
        <f>AE152/Detached!AE$4</f>
        <v>105.80090659050366</v>
      </c>
      <c r="AF158" s="370">
        <f>AF152/Detached!AF$4</f>
        <v>120.16991735965659</v>
      </c>
      <c r="AG158" s="370">
        <f>AG152/Detached!AG$4</f>
        <v>184.77403493200421</v>
      </c>
      <c r="AH158" s="370">
        <f>AH152/Detached!AH$4</f>
        <v>128.01008948657864</v>
      </c>
      <c r="AI158" s="370">
        <f>AI152/Detached!AI$4</f>
        <v>142.06961161700391</v>
      </c>
      <c r="AJ158" s="370">
        <f>AJ152/Detached!AJ$4</f>
        <v>172.50539805490322</v>
      </c>
      <c r="AK158" s="370">
        <f>AK152/Detached!AK$4</f>
        <v>136.03587572791346</v>
      </c>
      <c r="AL158" s="370">
        <f>AL152/Detached!AL$4</f>
        <v>148.7897911873892</v>
      </c>
      <c r="AM158" s="370">
        <f>AM152/Detached!AM$4</f>
        <v>158.63176063433434</v>
      </c>
      <c r="AN158" s="371">
        <f>AN152/Detached!AN$4</f>
        <v>158.63176063433434</v>
      </c>
    </row>
    <row r="159" spans="1:40">
      <c r="A159" s="154"/>
      <c r="B159" s="347" t="s">
        <v>6</v>
      </c>
      <c r="C159" s="367" t="s">
        <v>190</v>
      </c>
      <c r="D159" s="369">
        <f>D153/Detached!D$4</f>
        <v>91.041055628052106</v>
      </c>
      <c r="E159" s="370">
        <f>E153/Detached!E$4</f>
        <v>161.67711189648125</v>
      </c>
      <c r="F159" s="370">
        <f>F153/Detached!F$4</f>
        <v>133.11640226450348</v>
      </c>
      <c r="G159" s="370">
        <f>G153/Detached!G$4</f>
        <v>88.697525376854344</v>
      </c>
      <c r="H159" s="370">
        <f>H153/Detached!H$4</f>
        <v>50.770802598073779</v>
      </c>
      <c r="I159" s="370">
        <f>I153/Detached!I$4</f>
        <v>108.76836506204607</v>
      </c>
      <c r="J159" s="370">
        <f>J153/Detached!J$4</f>
        <v>65.244541752808729</v>
      </c>
      <c r="K159" s="370">
        <f>K153/Detached!K$4</f>
        <v>75.110349547803125</v>
      </c>
      <c r="L159" s="370">
        <f>L153/Detached!L$4</f>
        <v>73.65409656748723</v>
      </c>
      <c r="M159" s="370">
        <f>M153/Detached!M$4</f>
        <v>103.42998533706172</v>
      </c>
      <c r="N159" s="370">
        <f>N153/Detached!N$4</f>
        <v>126.27573210310879</v>
      </c>
      <c r="O159" s="370">
        <f>O153/Detached!O$4</f>
        <v>59.90891829079203</v>
      </c>
      <c r="P159" s="370">
        <f>P153/Detached!P$4</f>
        <v>142.06961161700391</v>
      </c>
      <c r="Q159" s="370">
        <f>Q153/Detached!Q$4</f>
        <v>118.68768283708467</v>
      </c>
      <c r="R159" s="370">
        <f>R153/Detached!R$4</f>
        <v>120.25239447749703</v>
      </c>
      <c r="S159" s="370">
        <f>S153/Detached!S$4</f>
        <v>106.29528405786064</v>
      </c>
      <c r="T159" s="370">
        <f>T153/Detached!T$4</f>
        <v>107.40992187095202</v>
      </c>
      <c r="U159" s="370">
        <f>U153/Detached!U$4</f>
        <v>96.528952643382524</v>
      </c>
      <c r="V159" s="370">
        <f>V153/Detached!V$4</f>
        <v>124.9197294706033</v>
      </c>
      <c r="W159" s="370">
        <f>W153/Detached!W$4</f>
        <v>91.455091151639948</v>
      </c>
      <c r="X159" s="370">
        <f>X153/Detached!X$4</f>
        <v>115.52024213147048</v>
      </c>
      <c r="Y159" s="370">
        <f>Y153/Detached!Y$4</f>
        <v>44.468664427168562</v>
      </c>
      <c r="Z159" s="370">
        <f>Z153/Detached!Z$4</f>
        <v>99.569241734660025</v>
      </c>
      <c r="AA159" s="370">
        <f>AA153/Detached!AA$4</f>
        <v>100.7326520146616</v>
      </c>
      <c r="AB159" s="370">
        <f>AB153/Detached!AB$4</f>
        <v>141.16037436817109</v>
      </c>
      <c r="AC159" s="370">
        <f>AC153/Detached!AC$4</f>
        <v>77.300125598661026</v>
      </c>
      <c r="AD159" s="370">
        <f>AD153/Detached!AD$4</f>
        <v>185.75384947039018</v>
      </c>
      <c r="AE159" s="370">
        <f>AE153/Detached!AE$4</f>
        <v>97.12868536447354</v>
      </c>
      <c r="AF159" s="370">
        <f>AF153/Detached!AF$4</f>
        <v>92.330740034188679</v>
      </c>
      <c r="AG159" s="370">
        <f>AG153/Detached!AG$4</f>
        <v>177.43470431396679</v>
      </c>
      <c r="AH159" s="370">
        <f>AH153/Detached!AH$4</f>
        <v>96.083643391831927</v>
      </c>
      <c r="AI159" s="370">
        <f>AI153/Detached!AI$4</f>
        <v>142.06961161700391</v>
      </c>
      <c r="AJ159" s="370">
        <f>AJ153/Detached!AJ$4</f>
        <v>167.39464597002919</v>
      </c>
      <c r="AK159" s="370">
        <f>AK153/Detached!AK$4</f>
        <v>131.66460900907555</v>
      </c>
      <c r="AL159" s="370">
        <f>AL153/Detached!AL$4</f>
        <v>128.3777776509682</v>
      </c>
      <c r="AM159" s="370">
        <f>AM153/Detached!AM$4</f>
        <v>153.93203755012604</v>
      </c>
      <c r="AN159" s="371">
        <f>AN153/Detached!AN$4</f>
        <v>153.93203755012604</v>
      </c>
    </row>
    <row r="160" spans="1:40">
      <c r="A160" s="155"/>
      <c r="B160" s="338" t="s">
        <v>7</v>
      </c>
      <c r="C160" s="368" t="s">
        <v>190</v>
      </c>
      <c r="D160" s="378">
        <f>D154/Detached!D$4</f>
        <v>82.230473710454021</v>
      </c>
      <c r="E160" s="379">
        <f>E154/Detached!E$4</f>
        <v>102.37906376618719</v>
      </c>
      <c r="F160" s="379">
        <f>F154/Detached!F$4</f>
        <v>94.030239877207777</v>
      </c>
      <c r="G160" s="379">
        <f>G154/Detached!G$4</f>
        <v>80.113740755400357</v>
      </c>
      <c r="H160" s="379">
        <f>H154/Detached!H$4</f>
        <v>41.958508346554915</v>
      </c>
      <c r="I160" s="379">
        <f>I154/Detached!I$4</f>
        <v>86.733170673183324</v>
      </c>
      <c r="J160" s="379">
        <f>J154/Detached!J$4</f>
        <v>70.338044831829734</v>
      </c>
      <c r="K160" s="379">
        <f>K154/Detached!K$4</f>
        <v>55.559845890147635</v>
      </c>
      <c r="L160" s="379">
        <f>L154/Detached!L$4</f>
        <v>73.65409656748723</v>
      </c>
      <c r="M160" s="379">
        <f>M154/Detached!M$4</f>
        <v>72.868566068503924</v>
      </c>
      <c r="N160" s="379">
        <f>N154/Detached!N$4</f>
        <v>113.9415493174736</v>
      </c>
      <c r="O160" s="379">
        <f>O154/Detached!O$4</f>
        <v>58.035129945464107</v>
      </c>
      <c r="P160" s="379">
        <f>P154/Detached!P$4</f>
        <v>64.681145777004417</v>
      </c>
      <c r="Q160" s="379">
        <f>Q154/Detached!Q$4</f>
        <v>79.016694835849563</v>
      </c>
      <c r="R160" s="379">
        <f>R154/Detached!R$4</f>
        <v>77.335997199511723</v>
      </c>
      <c r="S160" s="379">
        <f>S154/Detached!S$4</f>
        <v>68.618091008352238</v>
      </c>
      <c r="T160" s="379">
        <f>T154/Detached!T$4</f>
        <v>96.918487077563853</v>
      </c>
      <c r="U160" s="379">
        <f>U154/Detached!U$4</f>
        <v>89.969571935001767</v>
      </c>
      <c r="V160" s="379">
        <f>V154/Detached!V$4</f>
        <v>79.28978300923643</v>
      </c>
      <c r="W160" s="379">
        <f>W154/Detached!W$4</f>
        <v>73.766611801586222</v>
      </c>
      <c r="X160" s="379">
        <f>X154/Detached!X$4</f>
        <v>78.782607397613049</v>
      </c>
      <c r="Y160" s="379">
        <f>Y154/Detached!Y$4</f>
        <v>42.455598171183297</v>
      </c>
      <c r="Z160" s="379">
        <f>Z154/Detached!Z$4</f>
        <v>71.568519248057541</v>
      </c>
      <c r="AA160" s="379">
        <f>AA154/Detached!AA$4</f>
        <v>87.23042222130573</v>
      </c>
      <c r="AB160" s="379">
        <f>AB154/Detached!AB$4</f>
        <v>109.54508122126273</v>
      </c>
      <c r="AC160" s="379">
        <f>AC154/Detached!AC$4</f>
        <v>55.589987312548466</v>
      </c>
      <c r="AD160" s="379">
        <f>AD154/Detached!AD$4</f>
        <v>143.06485548472617</v>
      </c>
      <c r="AE160" s="379">
        <f>AE154/Detached!AE$4</f>
        <v>84.109532159544528</v>
      </c>
      <c r="AF160" s="379">
        <f>AF154/Detached!AF$4</f>
        <v>56.586672840585855</v>
      </c>
      <c r="AG160" s="379">
        <f>AG154/Detached!AG$4</f>
        <v>109.38326851163362</v>
      </c>
      <c r="AH160" s="379">
        <f>AH154/Detached!AH$4</f>
        <v>81.814244028329014</v>
      </c>
      <c r="AI160" s="379">
        <f>AI154/Detached!AI$4</f>
        <v>64.681145777004417</v>
      </c>
      <c r="AJ160" s="379">
        <f>AJ154/Detached!AJ$4</f>
        <v>146.57595831537731</v>
      </c>
      <c r="AK160" s="379">
        <f>AK154/Detached!AK$4</f>
        <v>115.69651230367475</v>
      </c>
      <c r="AL160" s="379">
        <f>AL154/Detached!AL$4</f>
        <v>90.476520662057979</v>
      </c>
      <c r="AM160" s="379">
        <f>AM154/Detached!AM$4</f>
        <v>134.7876796692056</v>
      </c>
      <c r="AN160" s="380">
        <f>AN154/Detached!AN$4</f>
        <v>134.7876796692056</v>
      </c>
    </row>
    <row r="161" spans="1:40">
      <c r="A161" s="334" t="s">
        <v>299</v>
      </c>
      <c r="B161" s="359" t="s">
        <v>2</v>
      </c>
      <c r="C161" s="366" t="s">
        <v>190</v>
      </c>
      <c r="D161" s="376">
        <f>Detached!D$47-D155</f>
        <v>19.527181579697071</v>
      </c>
      <c r="E161" s="376">
        <f>Detached!E$47-E155</f>
        <v>35.291050416135505</v>
      </c>
      <c r="F161" s="376">
        <f>Detached!F$47-F155</f>
        <v>20.348383963755424</v>
      </c>
      <c r="G161" s="376">
        <f>Detached!G$47-G155</f>
        <v>19.024523296168269</v>
      </c>
      <c r="H161" s="376">
        <f>Detached!H$47-H155</f>
        <v>17.318323996417391</v>
      </c>
      <c r="I161" s="376">
        <f>Detached!I$47-I155</f>
        <v>21.283654352405449</v>
      </c>
      <c r="J161" s="376">
        <f>Detached!J$47-J155</f>
        <v>41.421161774244098</v>
      </c>
      <c r="K161" s="376">
        <f>Detached!K$47-K155</f>
        <v>7.4682913148477894</v>
      </c>
      <c r="L161" s="376">
        <f>Detached!L$47-L155</f>
        <v>11.339586549572289</v>
      </c>
      <c r="M161" s="376">
        <f>Detached!M$47-M155</f>
        <v>19.493889267649308</v>
      </c>
      <c r="N161" s="376">
        <f>Detached!N$47-N155</f>
        <v>11.891848786989158</v>
      </c>
      <c r="O161" s="376">
        <f>Detached!O$47-O155</f>
        <v>39.521140387527964</v>
      </c>
      <c r="P161" s="376">
        <f>Detached!P$47-P155</f>
        <v>32.994447465602889</v>
      </c>
      <c r="Q161" s="376">
        <f>Detached!Q$47-Q155</f>
        <v>17.696151479185119</v>
      </c>
      <c r="R161" s="376">
        <f>Detached!R$47-R155</f>
        <v>21.724364143839296</v>
      </c>
      <c r="S161" s="376">
        <f>Detached!S$47-S155</f>
        <v>47.17514242893202</v>
      </c>
      <c r="T161" s="376">
        <f>Detached!T$47-T155</f>
        <v>10.11518625026639</v>
      </c>
      <c r="U161" s="376">
        <f>Detached!U$47-U155</f>
        <v>25.044787649810701</v>
      </c>
      <c r="V161" s="376">
        <f>Detached!V$47-V155</f>
        <v>19.928515899646357</v>
      </c>
      <c r="W161" s="376">
        <f>Detached!W$47-W155</f>
        <v>29.484167641097258</v>
      </c>
      <c r="X161" s="376">
        <f>Detached!X$47-X155</f>
        <v>33.044430147485429</v>
      </c>
      <c r="Y161" s="376">
        <f>Detached!Y$47-Y155</f>
        <v>6.7947264949690194</v>
      </c>
      <c r="Z161" s="376">
        <f>Detached!Z$47-Z155</f>
        <v>48.888222878330311</v>
      </c>
      <c r="AA161" s="376">
        <f>Detached!AA$47-AA155</f>
        <v>14.201100652225165</v>
      </c>
      <c r="AB161" s="376">
        <f>Detached!AB$47-AB155</f>
        <v>45.835123061759049</v>
      </c>
      <c r="AC161" s="376">
        <f>Detached!AC$47-AC155</f>
        <v>26.251767495327158</v>
      </c>
      <c r="AD161" s="376">
        <f>Detached!AD$47-AD155</f>
        <v>26.546416877419972</v>
      </c>
      <c r="AE161" s="376">
        <f>Detached!AE$47-AE155</f>
        <v>13.693020182556467</v>
      </c>
      <c r="AF161" s="376">
        <f>Detached!AF$47-AF155</f>
        <v>22.980020874930403</v>
      </c>
      <c r="AG161" s="376">
        <f>Detached!AG$47-AG155</f>
        <v>44.609476593888047</v>
      </c>
      <c r="AH161" s="376">
        <f>Detached!AH$47-AH155</f>
        <v>49.181918602891898</v>
      </c>
      <c r="AI161" s="376">
        <f>Detached!AI$47-AI155</f>
        <v>32.994447465602889</v>
      </c>
      <c r="AJ161" s="376">
        <f>Detached!AJ$47-AJ155</f>
        <v>20.524322947857371</v>
      </c>
      <c r="AK161" s="376">
        <f>Detached!AK$47-AK155</f>
        <v>18.606774770245863</v>
      </c>
      <c r="AL161" s="376">
        <f>Detached!AL$47-AL155</f>
        <v>20.459366332461173</v>
      </c>
      <c r="AM161" s="376">
        <f>Detached!AM$47-AM155</f>
        <v>18.873667269299403</v>
      </c>
      <c r="AN161" s="377">
        <f>Detached!AN$47-AN155</f>
        <v>18.873667269299403</v>
      </c>
    </row>
    <row r="162" spans="1:40">
      <c r="A162" s="154"/>
      <c r="B162" s="347" t="s">
        <v>3</v>
      </c>
      <c r="C162" s="367" t="s">
        <v>190</v>
      </c>
      <c r="D162" s="370">
        <f>Detached!D$48-D156</f>
        <v>15.406617145479771</v>
      </c>
      <c r="E162" s="370">
        <f>Detached!E$48-E156</f>
        <v>35.291050416135505</v>
      </c>
      <c r="F162" s="370">
        <f>Detached!F$48-F156</f>
        <v>20.348383963755424</v>
      </c>
      <c r="G162" s="370">
        <f>Detached!G$48-G156</f>
        <v>15.010028231830034</v>
      </c>
      <c r="H162" s="370">
        <f>Detached!H$48-H156</f>
        <v>17.544607991200586</v>
      </c>
      <c r="I162" s="370">
        <f>Detached!I$48-I156</f>
        <v>11.986979892750441</v>
      </c>
      <c r="J162" s="370">
        <f>Detached!J$48-J156</f>
        <v>40.806131416015347</v>
      </c>
      <c r="K162" s="370">
        <f>Detached!K$48-K156</f>
        <v>6.0860140502960576</v>
      </c>
      <c r="L162" s="370">
        <f>Detached!L$48-L156</f>
        <v>11.339586549572289</v>
      </c>
      <c r="M162" s="370">
        <f>Detached!M$48-M156</f>
        <v>14.95637521767955</v>
      </c>
      <c r="N162" s="370">
        <f>Detached!N$48-N156</f>
        <v>11.232643462563402</v>
      </c>
      <c r="O162" s="370">
        <f>Detached!O$48-O156</f>
        <v>39.521140387527964</v>
      </c>
      <c r="P162" s="370">
        <f>Detached!P$48-P156</f>
        <v>32.994447465602889</v>
      </c>
      <c r="Q162" s="370">
        <f>Detached!Q$48-Q156</f>
        <v>17.525502345005577</v>
      </c>
      <c r="R162" s="370">
        <f>Detached!R$48-R156</f>
        <v>21.724364143839296</v>
      </c>
      <c r="S162" s="370">
        <f>Detached!S$48-S156</f>
        <v>49.961360651844899</v>
      </c>
      <c r="T162" s="370">
        <f>Detached!T$48-T156</f>
        <v>9.5544673281565622</v>
      </c>
      <c r="U162" s="370">
        <f>Detached!U$48-U156</f>
        <v>23.859361547833657</v>
      </c>
      <c r="V162" s="370">
        <f>Detached!V$48-V156</f>
        <v>19.928515899646357</v>
      </c>
      <c r="W162" s="370">
        <f>Detached!W$48-W156</f>
        <v>17.172972001349507</v>
      </c>
      <c r="X162" s="370">
        <f>Detached!X$48-X156</f>
        <v>33.139498811191686</v>
      </c>
      <c r="Y162" s="370">
        <f>Detached!Y$48-Y156</f>
        <v>6.716362044264315</v>
      </c>
      <c r="Z162" s="370">
        <f>Detached!Z$48-Z156</f>
        <v>22.169259390422724</v>
      </c>
      <c r="AA162" s="370">
        <f>Detached!AA$48-AA156</f>
        <v>14.213868709540236</v>
      </c>
      <c r="AB162" s="370">
        <f>Detached!AB$48-AB156</f>
        <v>18.664411151645567</v>
      </c>
      <c r="AC162" s="370">
        <f>Detached!AC$48-AC156</f>
        <v>24.8545296821585</v>
      </c>
      <c r="AD162" s="370">
        <f>Detached!AD$48-AD156</f>
        <v>24.777375321417821</v>
      </c>
      <c r="AE162" s="370">
        <f>Detached!AE$48-AE156</f>
        <v>13.705331430169565</v>
      </c>
      <c r="AF162" s="370">
        <f>Detached!AF$48-AF156</f>
        <v>22.980020874930403</v>
      </c>
      <c r="AG162" s="370">
        <f>Detached!AG$48-AG156</f>
        <v>33.045795661447016</v>
      </c>
      <c r="AH162" s="370">
        <f>Detached!AH$48-AH156</f>
        <v>51.73374418392433</v>
      </c>
      <c r="AI162" s="370">
        <f>Detached!AI$48-AI156</f>
        <v>32.994447465602889</v>
      </c>
      <c r="AJ162" s="370">
        <f>Detached!AJ$48-AJ156</f>
        <v>20.524322947857371</v>
      </c>
      <c r="AK162" s="370">
        <f>Detached!AK$48-AK156</f>
        <v>18.606774770245863</v>
      </c>
      <c r="AL162" s="370">
        <f>Detached!AL$48-AL156</f>
        <v>20.459366332461173</v>
      </c>
      <c r="AM162" s="370">
        <f>Detached!AM$48-AM156</f>
        <v>18.873667269299403</v>
      </c>
      <c r="AN162" s="371">
        <f>Detached!AN$48-AN156</f>
        <v>18.873667269299403</v>
      </c>
    </row>
    <row r="163" spans="1:40">
      <c r="A163" s="154"/>
      <c r="B163" s="347" t="s">
        <v>4</v>
      </c>
      <c r="C163" s="367" t="s">
        <v>190</v>
      </c>
      <c r="D163" s="370">
        <f>Detached!D$49-D157</f>
        <v>8.1824240523813785</v>
      </c>
      <c r="E163" s="370">
        <f>Detached!E$49-E157</f>
        <v>35.291050416135505</v>
      </c>
      <c r="F163" s="370">
        <f>Detached!F$49-F157</f>
        <v>18.617688267510488</v>
      </c>
      <c r="G163" s="370">
        <f>Detached!G$49-G157</f>
        <v>7.971796460658112</v>
      </c>
      <c r="H163" s="370">
        <f>Detached!H$49-H157</f>
        <v>17.377508752821512</v>
      </c>
      <c r="I163" s="370">
        <f>Detached!I$49-I157</f>
        <v>11.986979892750441</v>
      </c>
      <c r="J163" s="370">
        <f>Detached!J$49-J157</f>
        <v>10.760268157280905</v>
      </c>
      <c r="K163" s="370">
        <f>Detached!K$49-K157</f>
        <v>4.03291434561649</v>
      </c>
      <c r="L163" s="370">
        <f>Detached!L$49-L157</f>
        <v>7.9343099357054427</v>
      </c>
      <c r="M163" s="370">
        <f>Detached!M$49-M157</f>
        <v>14.95637521767955</v>
      </c>
      <c r="N163" s="370">
        <f>Detached!N$49-N157</f>
        <v>7.8556782402513079</v>
      </c>
      <c r="O163" s="370">
        <f>Detached!O$49-O157</f>
        <v>6.4514709060507585</v>
      </c>
      <c r="P163" s="370">
        <f>Detached!P$49-P157</f>
        <v>32.994447465602889</v>
      </c>
      <c r="Q163" s="370">
        <f>Detached!Q$49-Q157</f>
        <v>18.416198199160817</v>
      </c>
      <c r="R163" s="370">
        <f>Detached!R$49-R157</f>
        <v>15.709630088832114</v>
      </c>
      <c r="S163" s="370">
        <f>Detached!S$49-S157</f>
        <v>22.489328871787819</v>
      </c>
      <c r="T163" s="370">
        <f>Detached!T$49-T157</f>
        <v>6.6820264826479558</v>
      </c>
      <c r="U163" s="370">
        <f>Detached!U$49-U157</f>
        <v>22.714240002508632</v>
      </c>
      <c r="V163" s="370">
        <f>Detached!V$49-V157</f>
        <v>9.9685906885329985</v>
      </c>
      <c r="W163" s="370">
        <f>Detached!W$49-W157</f>
        <v>10.352805794216835</v>
      </c>
      <c r="X163" s="370">
        <f>Detached!X$49-X157</f>
        <v>26.940890091472482</v>
      </c>
      <c r="Y163" s="370">
        <f>Detached!Y$49-Y157</f>
        <v>6.9421475355958009</v>
      </c>
      <c r="Z163" s="370">
        <f>Detached!Z$49-Z157</f>
        <v>22.303941854924403</v>
      </c>
      <c r="AA163" s="370">
        <f>Detached!AA$49-AA157</f>
        <v>3.8502413974044032</v>
      </c>
      <c r="AB163" s="370">
        <f>Detached!AB$49-AB157</f>
        <v>11.676324413832816</v>
      </c>
      <c r="AC163" s="370">
        <f>Detached!AC$49-AC157</f>
        <v>23.037516335368423</v>
      </c>
      <c r="AD163" s="370">
        <f>Detached!AD$49-AD157</f>
        <v>24.777375321417821</v>
      </c>
      <c r="AE163" s="370">
        <f>Detached!AE$49-AE157</f>
        <v>3.7124892255525594</v>
      </c>
      <c r="AF163" s="370">
        <f>Detached!AF$49-AF157</f>
        <v>16.460709972450985</v>
      </c>
      <c r="AG163" s="370">
        <f>Detached!AG$49-AG157</f>
        <v>33.045795661447016</v>
      </c>
      <c r="AH163" s="370">
        <f>Detached!AH$49-AH157</f>
        <v>23.75818902091828</v>
      </c>
      <c r="AI163" s="370">
        <f>Detached!AI$49-AI157</f>
        <v>32.994447465602889</v>
      </c>
      <c r="AJ163" s="370">
        <f>Detached!AJ$49-AJ157</f>
        <v>20.524322947857371</v>
      </c>
      <c r="AK163" s="370">
        <f>Detached!AK$49-AK157</f>
        <v>18.606774770245863</v>
      </c>
      <c r="AL163" s="370">
        <f>Detached!AL$49-AL157</f>
        <v>18.721671213202711</v>
      </c>
      <c r="AM163" s="370">
        <f>Detached!AM$49-AM157</f>
        <v>18.873667269299403</v>
      </c>
      <c r="AN163" s="371">
        <f>Detached!AN$49-AN157</f>
        <v>18.873667269299403</v>
      </c>
    </row>
    <row r="164" spans="1:40">
      <c r="A164" s="154"/>
      <c r="B164" s="347" t="s">
        <v>5</v>
      </c>
      <c r="C164" s="367" t="s">
        <v>190</v>
      </c>
      <c r="D164" s="370">
        <f>Detached!D$50-D158</f>
        <v>4.9217662382689724</v>
      </c>
      <c r="E164" s="370">
        <f>Detached!E$50-E158</f>
        <v>24.458334578194723</v>
      </c>
      <c r="F164" s="370">
        <f>Detached!F$50-F158</f>
        <v>17.732913408306644</v>
      </c>
      <c r="G164" s="370">
        <f>Detached!G$50-G158</f>
        <v>4.7950727592760387</v>
      </c>
      <c r="H164" s="370">
        <f>Detached!H$50-H158</f>
        <v>17.478457305489762</v>
      </c>
      <c r="I164" s="370">
        <f>Detached!I$50-I158</f>
        <v>9.5834658372847628</v>
      </c>
      <c r="J164" s="370">
        <f>Detached!J$50-J158</f>
        <v>4.3611754762810619</v>
      </c>
      <c r="K164" s="370">
        <f>Detached!K$50-K158</f>
        <v>3.2217145049701799</v>
      </c>
      <c r="L164" s="370">
        <f>Detached!L$50-L158</f>
        <v>4.4168049579328681</v>
      </c>
      <c r="M164" s="370">
        <f>Detached!M$50-M158</f>
        <v>11.12928978735647</v>
      </c>
      <c r="N164" s="370">
        <f>Detached!N$50-N158</f>
        <v>5.5521822756522567</v>
      </c>
      <c r="O164" s="370">
        <f>Detached!O$50-O158</f>
        <v>4.0967316670265745</v>
      </c>
      <c r="P164" s="370">
        <f>Detached!P$50-P158</f>
        <v>33.176750746475477</v>
      </c>
      <c r="Q164" s="370">
        <f>Detached!Q$50-Q158</f>
        <v>18.416198199160817</v>
      </c>
      <c r="R164" s="370">
        <f>Detached!R$50-R158</f>
        <v>9.8779736505146047</v>
      </c>
      <c r="S164" s="370">
        <f>Detached!S$50-S158</f>
        <v>6.6533511991918743</v>
      </c>
      <c r="T164" s="370">
        <f>Detached!T$50-T158</f>
        <v>4.7226767527599094</v>
      </c>
      <c r="U164" s="370">
        <f>Detached!U$50-U158</f>
        <v>17.907644291990792</v>
      </c>
      <c r="V164" s="370">
        <f>Detached!V$50-V158</f>
        <v>9.9685906885329985</v>
      </c>
      <c r="W164" s="370">
        <f>Detached!W$50-W158</f>
        <v>5.4248330886377829</v>
      </c>
      <c r="X164" s="370">
        <f>Detached!X$50-X158</f>
        <v>12.22651019738511</v>
      </c>
      <c r="Y164" s="370">
        <f>Detached!Y$50-Y158</f>
        <v>7.0480567705740924</v>
      </c>
      <c r="Z164" s="370">
        <f>Detached!Z$50-Z158</f>
        <v>11.320430873482124</v>
      </c>
      <c r="AA164" s="370">
        <f>Detached!AA$50-AA158</f>
        <v>3.8616898370838726</v>
      </c>
      <c r="AB164" s="370">
        <f>Detached!AB$50-AB158</f>
        <v>11.676324413832816</v>
      </c>
      <c r="AC164" s="370">
        <f>Detached!AC$50-AC158</f>
        <v>22.207120062361881</v>
      </c>
      <c r="AD164" s="370">
        <f>Detached!AD$50-AD158</f>
        <v>23.227355507425699</v>
      </c>
      <c r="AE164" s="370">
        <f>Detached!AE$50-AE158</f>
        <v>3.7235280682048568</v>
      </c>
      <c r="AF164" s="370">
        <f>Detached!AF$50-AF158</f>
        <v>14.977858363778253</v>
      </c>
      <c r="AG164" s="370">
        <f>Detached!AG$50-AG158</f>
        <v>21.04334295180746</v>
      </c>
      <c r="AH164" s="370">
        <f>Detached!AH$50-AH158</f>
        <v>11.630487461541435</v>
      </c>
      <c r="AI164" s="370">
        <f>Detached!AI$50-AI158</f>
        <v>33.176750746475477</v>
      </c>
      <c r="AJ164" s="370">
        <f>Detached!AJ$50-AJ158</f>
        <v>12.295348639215661</v>
      </c>
      <c r="AK164" s="370">
        <f>Detached!AK$50-AK158</f>
        <v>11.15844425881366</v>
      </c>
      <c r="AL164" s="370">
        <f>Detached!AL$50-AL158</f>
        <v>17.839119499650735</v>
      </c>
      <c r="AM164" s="370">
        <f>Detached!AM$50-AM158</f>
        <v>11.306503009436199</v>
      </c>
      <c r="AN164" s="371">
        <f>Detached!AN$50-AN158</f>
        <v>11.306503009436199</v>
      </c>
    </row>
    <row r="165" spans="1:40">
      <c r="A165" s="154"/>
      <c r="B165" s="347" t="s">
        <v>6</v>
      </c>
      <c r="C165" s="367" t="s">
        <v>190</v>
      </c>
      <c r="D165" s="370">
        <f>Detached!D$51-D159</f>
        <v>5.0738261895373711</v>
      </c>
      <c r="E165" s="370">
        <f>Detached!E$51-E159</f>
        <v>24.458334578194723</v>
      </c>
      <c r="F165" s="370">
        <f>Detached!F$51-F159</f>
        <v>7.0878407718314236</v>
      </c>
      <c r="G165" s="370">
        <f>Detached!G$51-G159</f>
        <v>4.9432184644569475</v>
      </c>
      <c r="H165" s="370">
        <f>Detached!H$51-H159</f>
        <v>18.090707775143194</v>
      </c>
      <c r="I165" s="370">
        <f>Detached!I$51-I159</f>
        <v>6.1281673016709135</v>
      </c>
      <c r="J165" s="370">
        <f>Detached!J$51-J159</f>
        <v>2.8043438442982023</v>
      </c>
      <c r="K165" s="370">
        <f>Detached!K$51-K159</f>
        <v>3.2217145049701799</v>
      </c>
      <c r="L165" s="370">
        <f>Detached!L$51-L159</f>
        <v>2.9943150137771823</v>
      </c>
      <c r="M165" s="370">
        <f>Detached!M$51-M159</f>
        <v>11.12928978735647</v>
      </c>
      <c r="N165" s="370">
        <f>Detached!N$51-N159</f>
        <v>5.3735736974825272</v>
      </c>
      <c r="O165" s="370">
        <f>Detached!O$51-O159</f>
        <v>2.3919781345189435</v>
      </c>
      <c r="P165" s="370">
        <f>Detached!P$51-P159</f>
        <v>33.176750746475477</v>
      </c>
      <c r="Q165" s="370">
        <f>Detached!Q$51-Q159</f>
        <v>10.296671277882311</v>
      </c>
      <c r="R165" s="370">
        <f>Detached!R$51-R159</f>
        <v>9.8779736505146047</v>
      </c>
      <c r="S165" s="370">
        <f>Detached!S$51-S159</f>
        <v>6.8453179275093277</v>
      </c>
      <c r="T165" s="370">
        <f>Detached!T$51-T159</f>
        <v>4.5707526014825675</v>
      </c>
      <c r="U165" s="370">
        <f>Detached!U$51-U159</f>
        <v>15.135291294069148</v>
      </c>
      <c r="V165" s="370">
        <f>Detached!V$51-V159</f>
        <v>9.9685906885329985</v>
      </c>
      <c r="W165" s="370">
        <f>Detached!W$51-W159</f>
        <v>4.0324630123120642</v>
      </c>
      <c r="X165" s="370">
        <f>Detached!X$51-X159</f>
        <v>10.611768394222935</v>
      </c>
      <c r="Y165" s="370">
        <f>Detached!Y$51-Y159</f>
        <v>6.31007814292105</v>
      </c>
      <c r="Z165" s="370">
        <f>Detached!Z$51-Z159</f>
        <v>9.455332121247821</v>
      </c>
      <c r="AA165" s="370">
        <f>Detached!AA$51-AA159</f>
        <v>2.9237107851027559</v>
      </c>
      <c r="AB165" s="370">
        <f>Detached!AB$51-AB159</f>
        <v>11.676324413832816</v>
      </c>
      <c r="AC165" s="370">
        <f>Detached!AC$51-AC159</f>
        <v>20.624873688587499</v>
      </c>
      <c r="AD165" s="370">
        <f>Detached!AD$51-AD159</f>
        <v>23.227355507425699</v>
      </c>
      <c r="AE165" s="370">
        <f>Detached!AE$51-AE159</f>
        <v>2.8191076007969542</v>
      </c>
      <c r="AF165" s="370">
        <f>Detached!AF$51-AF159</f>
        <v>7.4458702405578663</v>
      </c>
      <c r="AG165" s="370">
        <f>Detached!AG$51-AG159</f>
        <v>12.429652162802711</v>
      </c>
      <c r="AH165" s="370">
        <f>Detached!AH$51-AH159</f>
        <v>6.8926507041618947</v>
      </c>
      <c r="AI165" s="370">
        <f>Detached!AI$51-AI159</f>
        <v>33.176750746475477</v>
      </c>
      <c r="AJ165" s="370">
        <f>Detached!AJ$51-AJ159</f>
        <v>9.2973855059535424</v>
      </c>
      <c r="AK165" s="370">
        <f>Detached!AK$51-AK159</f>
        <v>8.4434418800098285</v>
      </c>
      <c r="AL165" s="370">
        <f>Detached!AL$51-AL159</f>
        <v>7.1354106446482888</v>
      </c>
      <c r="AM165" s="370">
        <f>Detached!AM$51-AM159</f>
        <v>8.5496491630723597</v>
      </c>
      <c r="AN165" s="371">
        <f>Detached!AN$51-AN159</f>
        <v>8.5496491630723597</v>
      </c>
    </row>
    <row r="166" spans="1:40">
      <c r="A166" s="155"/>
      <c r="B166" s="338" t="s">
        <v>7</v>
      </c>
      <c r="C166" s="368" t="s">
        <v>190</v>
      </c>
      <c r="D166" s="379">
        <f>Detached!D$52-D160</f>
        <v>3.2442031355985819</v>
      </c>
      <c r="E166" s="379">
        <f>Detached!E$52-E160</f>
        <v>9.3207989281321346</v>
      </c>
      <c r="F166" s="379">
        <f>Detached!F$52-F160</f>
        <v>3.5965078694316759</v>
      </c>
      <c r="G166" s="379">
        <f>Detached!G$52-G160</f>
        <v>3.1606925904181082</v>
      </c>
      <c r="H166" s="379">
        <f>Detached!H$52-H160</f>
        <v>18.634371613683079</v>
      </c>
      <c r="I166" s="379">
        <f>Detached!I$52-I160</f>
        <v>3.66637268017341</v>
      </c>
      <c r="J166" s="379">
        <f>Detached!J$52-J160</f>
        <v>2.971887278301125</v>
      </c>
      <c r="K166" s="379">
        <f>Detached!K$52-K160</f>
        <v>1.6294229003318819</v>
      </c>
      <c r="L166" s="379">
        <f>Detached!L$52-L160</f>
        <v>2.9943150137771823</v>
      </c>
      <c r="M166" s="379">
        <f>Detached!M$52-M160</f>
        <v>5.4635107543091692</v>
      </c>
      <c r="N166" s="379">
        <f>Detached!N$52-N160</f>
        <v>3.9995781837934601</v>
      </c>
      <c r="O166" s="379">
        <f>Detached!O$52-O160</f>
        <v>2.2216994960454812</v>
      </c>
      <c r="P166" s="379">
        <f>Detached!P$52-P160</f>
        <v>6.2968224401192145</v>
      </c>
      <c r="Q166" s="379">
        <f>Detached!Q$52-Q160</f>
        <v>3.3912250651973892</v>
      </c>
      <c r="R166" s="379">
        <f>Detached!R$52-R160</f>
        <v>3.1409229860046253</v>
      </c>
      <c r="S166" s="379">
        <f>Detached!S$52-S160</f>
        <v>4.3967025818857195</v>
      </c>
      <c r="T166" s="379">
        <f>Detached!T$52-T160</f>
        <v>3.4020343662489552</v>
      </c>
      <c r="U166" s="379">
        <f>Detached!U$52-U160</f>
        <v>15.321651893710978</v>
      </c>
      <c r="V166" s="379">
        <f>Detached!V$52-V160</f>
        <v>2.8019770361698306</v>
      </c>
      <c r="W166" s="379">
        <f>Detached!W$52-W160</f>
        <v>3.5421690031219981</v>
      </c>
      <c r="X166" s="379">
        <f>Detached!X$52-X160</f>
        <v>2.9448898375703578</v>
      </c>
      <c r="Y166" s="379">
        <f>Detached!Y$52-Y160</f>
        <v>6.3615954313561787</v>
      </c>
      <c r="Z166" s="379">
        <f>Detached!Z$52-Z160</f>
        <v>6.2460329792552898</v>
      </c>
      <c r="AA166" s="379">
        <f>Detached!AA$52-AA160</f>
        <v>3.003449836399426</v>
      </c>
      <c r="AB166" s="379">
        <f>Detached!AB$52-AB160</f>
        <v>12.917153958335376</v>
      </c>
      <c r="AC166" s="379">
        <f>Detached!AC$52-AC160</f>
        <v>11.274544537986394</v>
      </c>
      <c r="AD166" s="379">
        <f>Detached!AD$52-AD160</f>
        <v>19.608666511699738</v>
      </c>
      <c r="AE166" s="379">
        <f>Detached!AE$52-AE160</f>
        <v>2.8959937848668744</v>
      </c>
      <c r="AF166" s="379">
        <f>Detached!AF$52-AF160</f>
        <v>2.4878367646911599</v>
      </c>
      <c r="AG166" s="379">
        <f>Detached!AG$52-AG160</f>
        <v>4.7081884534297842</v>
      </c>
      <c r="AH166" s="379">
        <f>Detached!AH$52-AH160</f>
        <v>4.6215377904106418</v>
      </c>
      <c r="AI166" s="379">
        <f>Detached!AI$52-AI160</f>
        <v>6.2968224401192145</v>
      </c>
      <c r="AJ166" s="379">
        <f>Detached!AJ$52-AJ160</f>
        <v>6.493150705877099</v>
      </c>
      <c r="AK166" s="379">
        <f>Detached!AK$52-AK160</f>
        <v>5.8938380839157105</v>
      </c>
      <c r="AL166" s="379">
        <f>Detached!AL$52-AL160</f>
        <v>3.6223950598393344</v>
      </c>
      <c r="AM166" s="379">
        <f>Detached!AM$52-AM160</f>
        <v>5.9709431713524168</v>
      </c>
      <c r="AN166" s="380">
        <f>Detached!AN$52-AN160</f>
        <v>5.9709431713524168</v>
      </c>
    </row>
    <row r="167" spans="1:40">
      <c r="A167" s="5"/>
      <c r="B167" s="5"/>
      <c r="C167" s="5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4"/>
      <c r="AF167" s="164"/>
      <c r="AG167" s="164"/>
      <c r="AH167" s="164"/>
      <c r="AI167" s="164"/>
      <c r="AJ167" s="164"/>
      <c r="AK167" s="164"/>
      <c r="AL167" s="164"/>
      <c r="AM167" s="164"/>
      <c r="AN167" s="164"/>
    </row>
    <row r="168" spans="1:40">
      <c r="A168" s="5" t="s">
        <v>221</v>
      </c>
      <c r="B168" s="5"/>
      <c r="C168" s="5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  <c r="AD168" s="164"/>
      <c r="AE168" s="164"/>
      <c r="AF168" s="164"/>
      <c r="AG168" s="164"/>
      <c r="AH168" s="164"/>
      <c r="AI168" s="164"/>
      <c r="AJ168" s="164"/>
      <c r="AK168" s="164"/>
      <c r="AL168" s="164"/>
      <c r="AM168" s="164"/>
      <c r="AN168" s="164"/>
    </row>
    <row r="169" spans="1:40">
      <c r="A169" s="938" t="s">
        <v>123</v>
      </c>
      <c r="B169" s="939"/>
      <c r="C169" s="138" t="s">
        <v>76</v>
      </c>
      <c r="D169" s="194">
        <v>1</v>
      </c>
      <c r="E169" s="195">
        <v>1</v>
      </c>
      <c r="F169" s="195">
        <v>1</v>
      </c>
      <c r="G169" s="195">
        <v>1</v>
      </c>
      <c r="H169" s="195">
        <v>1</v>
      </c>
      <c r="I169" s="195">
        <v>1</v>
      </c>
      <c r="J169" s="195">
        <v>1</v>
      </c>
      <c r="K169" s="195">
        <v>1</v>
      </c>
      <c r="L169" s="195">
        <v>1</v>
      </c>
      <c r="M169" s="195">
        <v>1</v>
      </c>
      <c r="N169" s="195">
        <v>1</v>
      </c>
      <c r="O169" s="195">
        <v>1</v>
      </c>
      <c r="P169" s="195">
        <v>1</v>
      </c>
      <c r="Q169" s="195">
        <v>1</v>
      </c>
      <c r="R169" s="195">
        <v>1</v>
      </c>
      <c r="S169" s="195">
        <v>1</v>
      </c>
      <c r="T169" s="195">
        <v>1</v>
      </c>
      <c r="U169" s="195">
        <v>1</v>
      </c>
      <c r="V169" s="195">
        <v>1</v>
      </c>
      <c r="W169" s="195">
        <v>1</v>
      </c>
      <c r="X169" s="195">
        <v>1</v>
      </c>
      <c r="Y169" s="195">
        <v>1</v>
      </c>
      <c r="Z169" s="195">
        <v>1</v>
      </c>
      <c r="AA169" s="195">
        <v>1</v>
      </c>
      <c r="AB169" s="195">
        <v>1</v>
      </c>
      <c r="AC169" s="195">
        <v>1</v>
      </c>
      <c r="AD169" s="195">
        <v>1</v>
      </c>
      <c r="AE169" s="195">
        <v>1</v>
      </c>
      <c r="AF169" s="195">
        <v>1</v>
      </c>
      <c r="AG169" s="195">
        <v>1</v>
      </c>
      <c r="AH169" s="195">
        <v>1</v>
      </c>
      <c r="AI169" s="195">
        <v>1</v>
      </c>
      <c r="AJ169" s="195">
        <v>1</v>
      </c>
      <c r="AK169" s="195">
        <v>1</v>
      </c>
      <c r="AL169" s="195">
        <v>1</v>
      </c>
      <c r="AM169" s="195">
        <v>1</v>
      </c>
      <c r="AN169" s="196">
        <v>1</v>
      </c>
    </row>
    <row r="170" spans="1:40">
      <c r="A170" s="151" t="s">
        <v>193</v>
      </c>
      <c r="B170" s="141" t="s">
        <v>2</v>
      </c>
      <c r="C170" s="144" t="s">
        <v>195</v>
      </c>
      <c r="D170" s="170">
        <f>((LOOKUP(Detached!D$2,'Ceiling-U'!$A$4:$A$40,'Ceiling-U'!$E$4:$E$40)*Detached!D$14)+(LOOKUP(Detached!D$2,'Floor-U'!$A$4:$A$40,'Floor-U'!$E$4:$E$40)*Detached!D$15)+(LOOKUP(Detached!D$2,'Wall-U'!$A$4:$A$40,'Wall-U'!$Q$4:$Q$40)*Detached!D$12)+(LOOKUP(Detached!D$2,'Window-U'!$A$4:$A$40,'Window-U'!$E$4:$E$40)*Detached!D$21))*D169</f>
        <v>339.13062739113599</v>
      </c>
      <c r="E170" s="171">
        <f>((LOOKUP(Detached!E$2,'Ceiling-U'!$A$4:$A$40,'Ceiling-U'!$E$4:$E$40)*Detached!E$14)+(LOOKUP(Detached!E$2,'Floor-U'!$A$4:$A$40,'Floor-U'!$E$4:$E$40)*Detached!E$15)+(LOOKUP(Detached!E$2,'Wall-U'!$A$4:$A$40,'Wall-U'!$Q$4:$Q$40)*Detached!E$12)+(LOOKUP(Detached!E$2,'Window-U'!$A$4:$A$40,'Window-U'!$E$4:$E$40)*Detached!E$21))*E169</f>
        <v>432.14684812709334</v>
      </c>
      <c r="F170" s="171">
        <f>((LOOKUP(Detached!F$2,'Ceiling-U'!$A$4:$A$40,'Ceiling-U'!$E$4:$E$40)*Detached!F$14)+(LOOKUP(Detached!F$2,'Floor-U'!$A$4:$A$40,'Floor-U'!$E$4:$E$40)*Detached!F$15)+(LOOKUP(Detached!F$2,'Wall-U'!$A$4:$A$40,'Wall-U'!$Q$4:$Q$40)*Detached!F$12)+(LOOKUP(Detached!F$2,'Window-U'!$A$4:$A$40,'Window-U'!$E$4:$E$40)*Detached!F$21))*F169</f>
        <v>239.93124756723421</v>
      </c>
      <c r="G170" s="171">
        <f>((LOOKUP(Detached!G$2,'Ceiling-U'!$A$4:$A$40,'Ceiling-U'!$E$4:$E$40)*Detached!G$14)+(LOOKUP(Detached!G$2,'Floor-U'!$A$4:$A$40,'Floor-U'!$E$4:$E$40)*Detached!G$15)+(LOOKUP(Detached!G$2,'Wall-U'!$A$4:$A$40,'Wall-U'!$Q$4:$Q$40)*Detached!G$12)+(LOOKUP(Detached!G$2,'Window-U'!$A$4:$A$40,'Window-U'!$E$4:$E$40)*Detached!G$21))*G169</f>
        <v>339.13062739113599</v>
      </c>
      <c r="H170" s="171">
        <f>((LOOKUP(Detached!H$2,'Ceiling-U'!$A$4:$A$40,'Ceiling-U'!$E$4:$E$40)*Detached!H$14)+(LOOKUP(Detached!H$2,'Floor-U'!$A$4:$A$40,'Floor-U'!$E$4:$E$40)*Detached!H$15)+(LOOKUP(Detached!H$2,'Wall-U'!$A$4:$A$40,'Wall-U'!$Q$4:$Q$40)*Detached!H$12)+(LOOKUP(Detached!H$2,'Window-U'!$A$4:$A$40,'Window-U'!$E$4:$E$40)*Detached!H$21))*H169</f>
        <v>560.28325665083503</v>
      </c>
      <c r="I170" s="171">
        <f>((LOOKUP(Detached!I$2,'Ceiling-U'!$A$4:$A$40,'Ceiling-U'!$E$4:$E$40)*Detached!I$14)+(LOOKUP(Detached!I$2,'Floor-U'!$A$4:$A$40,'Floor-U'!$E$4:$E$40)*Detached!I$15)+(LOOKUP(Detached!I$2,'Wall-U'!$A$4:$A$40,'Wall-U'!$Q$4:$Q$40)*Detached!I$12)+(LOOKUP(Detached!I$2,'Window-U'!$A$4:$A$40,'Window-U'!$E$4:$E$40)*Detached!I$21))*I169</f>
        <v>311.00197661387688</v>
      </c>
      <c r="J170" s="171">
        <f>((LOOKUP(Detached!J$2,'Ceiling-U'!$A$4:$A$40,'Ceiling-U'!$E$4:$E$40)*Detached!J$14)+(LOOKUP(Detached!J$2,'Floor-U'!$A$4:$A$40,'Floor-U'!$E$4:$E$40)*Detached!J$15)+(LOOKUP(Detached!J$2,'Wall-U'!$A$4:$A$40,'Wall-U'!$Q$4:$Q$40)*Detached!J$12)+(LOOKUP(Detached!J$2,'Window-U'!$A$4:$A$40,'Window-U'!$E$4:$E$40)*Detached!J$21))*J169</f>
        <v>410.56387592079608</v>
      </c>
      <c r="K170" s="171">
        <f>((LOOKUP(Detached!K$2,'Ceiling-U'!$A$4:$A$40,'Ceiling-U'!$E$4:$E$40)*Detached!K$14)+(LOOKUP(Detached!K$2,'Floor-U'!$A$4:$A$40,'Floor-U'!$E$4:$E$40)*Detached!K$15)+(LOOKUP(Detached!K$2,'Wall-U'!$A$4:$A$40,'Wall-U'!$Q$4:$Q$40)*Detached!K$12)+(LOOKUP(Detached!K$2,'Window-U'!$A$4:$A$40,'Window-U'!$E$4:$E$40)*Detached!K$21))*K169</f>
        <v>256.46385884329425</v>
      </c>
      <c r="L170" s="171">
        <f>((LOOKUP(Detached!L$2,'Ceiling-U'!$A$4:$A$40,'Ceiling-U'!$E$4:$E$40)*Detached!L$14)+(LOOKUP(Detached!L$2,'Floor-U'!$A$4:$A$40,'Floor-U'!$E$4:$E$40)*Detached!L$15)+(LOOKUP(Detached!L$2,'Wall-U'!$A$4:$A$40,'Wall-U'!$Q$4:$Q$40)*Detached!L$12)+(LOOKUP(Detached!L$2,'Window-U'!$A$4:$A$40,'Window-U'!$E$4:$E$40)*Detached!L$21))*L169</f>
        <v>146.10663049343538</v>
      </c>
      <c r="M170" s="171">
        <f>((LOOKUP(Detached!M$2,'Ceiling-U'!$A$4:$A$40,'Ceiling-U'!$E$4:$E$40)*Detached!M$14)+(LOOKUP(Detached!M$2,'Floor-U'!$A$4:$A$40,'Floor-U'!$E$4:$E$40)*Detached!M$15)+(LOOKUP(Detached!M$2,'Wall-U'!$A$4:$A$40,'Wall-U'!$Q$4:$Q$40)*Detached!M$12)+(LOOKUP(Detached!M$2,'Window-U'!$A$4:$A$40,'Window-U'!$E$4:$E$40)*Detached!M$21))*M169</f>
        <v>580.00698909295977</v>
      </c>
      <c r="N170" s="171">
        <f>((LOOKUP(Detached!N$2,'Ceiling-U'!$A$4:$A$40,'Ceiling-U'!$E$4:$E$40)*Detached!N$14)+(LOOKUP(Detached!N$2,'Floor-U'!$A$4:$A$40,'Floor-U'!$E$4:$E$40)*Detached!N$15)+(LOOKUP(Detached!N$2,'Wall-U'!$A$4:$A$40,'Wall-U'!$Q$4:$Q$40)*Detached!N$12)+(LOOKUP(Detached!N$2,'Window-U'!$A$4:$A$40,'Window-U'!$E$4:$E$40)*Detached!N$21))*N169</f>
        <v>186.62269839557803</v>
      </c>
      <c r="O170" s="171">
        <f>((LOOKUP(Detached!O$2,'Ceiling-U'!$A$4:$A$40,'Ceiling-U'!$E$4:$E$40)*Detached!O$14)+(LOOKUP(Detached!O$2,'Floor-U'!$A$4:$A$40,'Floor-U'!$E$4:$E$40)*Detached!O$15)+(LOOKUP(Detached!O$2,'Wall-U'!$A$4:$A$40,'Wall-U'!$Q$4:$Q$40)*Detached!O$12)+(LOOKUP(Detached!O$2,'Window-U'!$A$4:$A$40,'Window-U'!$E$4:$E$40)*Detached!O$21))*O169</f>
        <v>558.95264749587045</v>
      </c>
      <c r="P170" s="171">
        <f>((LOOKUP(Detached!P$2,'Ceiling-U'!$A$4:$A$40,'Ceiling-U'!$E$4:$E$40)*Detached!P$14)+(LOOKUP(Detached!P$2,'Floor-U'!$A$4:$A$40,'Floor-U'!$E$4:$E$40)*Detached!P$15)+(LOOKUP(Detached!P$2,'Wall-U'!$A$4:$A$40,'Wall-U'!$Q$4:$Q$40)*Detached!P$12)+(LOOKUP(Detached!P$2,'Window-U'!$A$4:$A$40,'Window-U'!$E$4:$E$40)*Detached!P$21))*P169</f>
        <v>554.90830786055994</v>
      </c>
      <c r="Q170" s="171">
        <f>((LOOKUP(Detached!Q$2,'Ceiling-U'!$A$4:$A$40,'Ceiling-U'!$E$4:$E$40)*Detached!Q$14)+(LOOKUP(Detached!Q$2,'Floor-U'!$A$4:$A$40,'Floor-U'!$E$4:$E$40)*Detached!Q$15)+(LOOKUP(Detached!Q$2,'Wall-U'!$A$4:$A$40,'Wall-U'!$Q$4:$Q$40)*Detached!Q$12)+(LOOKUP(Detached!Q$2,'Window-U'!$A$4:$A$40,'Window-U'!$E$4:$E$40)*Detached!Q$21))*Q169</f>
        <v>288.09515654609976</v>
      </c>
      <c r="R170" s="171">
        <f>((LOOKUP(Detached!R$2,'Ceiling-U'!$A$4:$A$40,'Ceiling-U'!$E$4:$E$40)*Detached!R$14)+(LOOKUP(Detached!R$2,'Floor-U'!$A$4:$A$40,'Floor-U'!$E$4:$E$40)*Detached!R$15)+(LOOKUP(Detached!R$2,'Wall-U'!$A$4:$A$40,'Wall-U'!$Q$4:$Q$40)*Detached!R$12)+(LOOKUP(Detached!R$2,'Window-U'!$A$4:$A$40,'Window-U'!$E$4:$E$40)*Detached!R$21))*R169</f>
        <v>291.14910487454807</v>
      </c>
      <c r="S170" s="171">
        <f>((LOOKUP(Detached!S$2,'Ceiling-U'!$A$4:$A$40,'Ceiling-U'!$E$4:$E$40)*Detached!S$14)+(LOOKUP(Detached!S$2,'Floor-U'!$A$4:$A$40,'Floor-U'!$E$4:$E$40)*Detached!S$15)+(LOOKUP(Detached!S$2,'Wall-U'!$A$4:$A$40,'Wall-U'!$Q$4:$Q$40)*Detached!S$12)+(LOOKUP(Detached!S$2,'Window-U'!$A$4:$A$40,'Window-U'!$E$4:$E$40)*Detached!S$21))*S169</f>
        <v>461.97515739714271</v>
      </c>
      <c r="T170" s="171">
        <f>((LOOKUP(Detached!T$2,'Ceiling-U'!$A$4:$A$40,'Ceiling-U'!$E$4:$E$40)*Detached!T$14)+(LOOKUP(Detached!T$2,'Floor-U'!$A$4:$A$40,'Floor-U'!$E$4:$E$40)*Detached!T$15)+(LOOKUP(Detached!T$2,'Wall-U'!$A$4:$A$40,'Wall-U'!$Q$4:$Q$40)*Detached!T$12)+(LOOKUP(Detached!T$2,'Window-U'!$A$4:$A$40,'Window-U'!$E$4:$E$40)*Detached!T$21))*T169</f>
        <v>186.62269839557803</v>
      </c>
      <c r="U170" s="171">
        <f>((LOOKUP(Detached!U$2,'Ceiling-U'!$A$4:$A$40,'Ceiling-U'!$E$4:$E$40)*Detached!U$14)+(LOOKUP(Detached!U$2,'Floor-U'!$A$4:$A$40,'Floor-U'!$E$4:$E$40)*Detached!U$15)+(LOOKUP(Detached!U$2,'Wall-U'!$A$4:$A$40,'Wall-U'!$Q$4:$Q$40)*Detached!U$12)+(LOOKUP(Detached!U$2,'Window-U'!$A$4:$A$40,'Window-U'!$E$4:$E$40)*Detached!U$21))*U169</f>
        <v>538.61212024762176</v>
      </c>
      <c r="V170" s="171">
        <f>((LOOKUP(Detached!V$2,'Ceiling-U'!$A$4:$A$40,'Ceiling-U'!$E$4:$E$40)*Detached!V$14)+(LOOKUP(Detached!V$2,'Floor-U'!$A$4:$A$40,'Floor-U'!$E$4:$E$40)*Detached!V$15)+(LOOKUP(Detached!V$2,'Wall-U'!$A$4:$A$40,'Wall-U'!$Q$4:$Q$40)*Detached!V$12)+(LOOKUP(Detached!V$2,'Window-U'!$A$4:$A$40,'Window-U'!$E$4:$E$40)*Detached!V$21))*V169</f>
        <v>248.76748291050041</v>
      </c>
      <c r="W170" s="171">
        <f>((LOOKUP(Detached!W$2,'Ceiling-U'!$A$4:$A$40,'Ceiling-U'!$E$4:$E$40)*Detached!W$14)+(LOOKUP(Detached!W$2,'Floor-U'!$A$4:$A$40,'Floor-U'!$E$4:$E$40)*Detached!W$15)+(LOOKUP(Detached!W$2,'Wall-U'!$A$4:$A$40,'Wall-U'!$Q$4:$Q$40)*Detached!W$12)+(LOOKUP(Detached!W$2,'Window-U'!$A$4:$A$40,'Window-U'!$E$4:$E$40)*Detached!W$21))*W169</f>
        <v>384.8204939990826</v>
      </c>
      <c r="X170" s="171">
        <f>((LOOKUP(Detached!X$2,'Ceiling-U'!$A$4:$A$40,'Ceiling-U'!$E$4:$E$40)*Detached!X$14)+(LOOKUP(Detached!X$2,'Floor-U'!$A$4:$A$40,'Floor-U'!$E$4:$E$40)*Detached!X$15)+(LOOKUP(Detached!X$2,'Wall-U'!$A$4:$A$40,'Wall-U'!$Q$4:$Q$40)*Detached!X$12)+(LOOKUP(Detached!X$2,'Window-U'!$A$4:$A$40,'Window-U'!$E$4:$E$40)*Detached!X$21))*X169</f>
        <v>282.59031138575824</v>
      </c>
      <c r="Y170" s="171">
        <f>((LOOKUP(Detached!Y$2,'Ceiling-U'!$A$4:$A$40,'Ceiling-U'!$E$4:$E$40)*Detached!Y$14)+(LOOKUP(Detached!Y$2,'Floor-U'!$A$4:$A$40,'Floor-U'!$E$4:$E$40)*Detached!Y$15)+(LOOKUP(Detached!Y$2,'Wall-U'!$A$4:$A$40,'Wall-U'!$Q$4:$Q$40)*Detached!Y$12)+(LOOKUP(Detached!Y$2,'Window-U'!$A$4:$A$40,'Window-U'!$E$4:$E$40)*Detached!Y$21))*Y169</f>
        <v>598.44661343851703</v>
      </c>
      <c r="Z170" s="171">
        <f>((LOOKUP(Detached!Z$2,'Ceiling-U'!$A$4:$A$40,'Ceiling-U'!$E$4:$E$40)*Detached!Z$14)+(LOOKUP(Detached!Z$2,'Floor-U'!$A$4:$A$40,'Floor-U'!$E$4:$E$40)*Detached!Z$15)+(LOOKUP(Detached!Z$2,'Wall-U'!$A$4:$A$40,'Wall-U'!$Q$4:$Q$40)*Detached!Z$12)+(LOOKUP(Detached!Z$2,'Window-U'!$A$4:$A$40,'Window-U'!$E$4:$E$40)*Detached!Z$21))*Z169</f>
        <v>480.75166863662031</v>
      </c>
      <c r="AA170" s="171">
        <f>((LOOKUP(Detached!AA$2,'Ceiling-U'!$A$4:$A$40,'Ceiling-U'!$E$4:$E$40)*Detached!AA$14)+(LOOKUP(Detached!AA$2,'Floor-U'!$A$4:$A$40,'Floor-U'!$E$4:$E$40)*Detached!AA$15)+(LOOKUP(Detached!AA$2,'Wall-U'!$A$4:$A$40,'Wall-U'!$Q$4:$Q$40)*Detached!AA$12)+(LOOKUP(Detached!AA$2,'Window-U'!$A$4:$A$40,'Window-U'!$E$4:$E$40)*Detached!AA$21))*AA169</f>
        <v>185.54869814883449</v>
      </c>
      <c r="AB170" s="171">
        <f>((LOOKUP(Detached!AB$2,'Ceiling-U'!$A$4:$A$40,'Ceiling-U'!$E$4:$E$40)*Detached!AB$14)+(LOOKUP(Detached!AB$2,'Floor-U'!$A$4:$A$40,'Floor-U'!$E$4:$E$40)*Detached!AB$15)+(LOOKUP(Detached!AB$2,'Wall-U'!$A$4:$A$40,'Wall-U'!$Q$4:$Q$40)*Detached!AB$12)+(LOOKUP(Detached!AB$2,'Window-U'!$A$4:$A$40,'Window-U'!$E$4:$E$40)*Detached!AB$21))*AB169</f>
        <v>387.94015009107068</v>
      </c>
      <c r="AC170" s="171">
        <f>((LOOKUP(Detached!AC$2,'Ceiling-U'!$A$4:$A$40,'Ceiling-U'!$E$4:$E$40)*Detached!AC$14)+(LOOKUP(Detached!AC$2,'Floor-U'!$A$4:$A$40,'Floor-U'!$E$4:$E$40)*Detached!AC$15)+(LOOKUP(Detached!AC$2,'Wall-U'!$A$4:$A$40,'Wall-U'!$Q$4:$Q$40)*Detached!AC$12)+(LOOKUP(Detached!AC$2,'Window-U'!$A$4:$A$40,'Window-U'!$E$4:$E$40)*Detached!AC$21))*AC169</f>
        <v>603.4591469944038</v>
      </c>
      <c r="AD170" s="171">
        <f>((LOOKUP(Detached!AD$2,'Ceiling-U'!$A$4:$A$40,'Ceiling-U'!$E$4:$E$40)*Detached!AD$14)+(LOOKUP(Detached!AD$2,'Floor-U'!$A$4:$A$40,'Floor-U'!$E$4:$E$40)*Detached!AD$15)+(LOOKUP(Detached!AD$2,'Wall-U'!$A$4:$A$40,'Wall-U'!$Q$4:$Q$40)*Detached!AD$12)+(LOOKUP(Detached!AD$2,'Window-U'!$A$4:$A$40,'Window-U'!$E$4:$E$40)*Detached!AD$21))*AD169</f>
        <v>299.93113840644401</v>
      </c>
      <c r="AE170" s="171">
        <f>((LOOKUP(Detached!AE$2,'Ceiling-U'!$A$4:$A$40,'Ceiling-U'!$E$4:$E$40)*Detached!AE$14)+(LOOKUP(Detached!AE$2,'Floor-U'!$A$4:$A$40,'Floor-U'!$E$4:$E$40)*Detached!AE$15)+(LOOKUP(Detached!AE$2,'Wall-U'!$A$4:$A$40,'Wall-U'!$Q$4:$Q$40)*Detached!AE$12)+(LOOKUP(Detached!AE$2,'Window-U'!$A$4:$A$40,'Window-U'!$E$4:$E$40)*Detached!AE$21))*AE169</f>
        <v>185.54869814883449</v>
      </c>
      <c r="AF170" s="171">
        <f>((LOOKUP(Detached!AF$2,'Ceiling-U'!$A$4:$A$40,'Ceiling-U'!$E$4:$E$40)*Detached!AF$14)+(LOOKUP(Detached!AF$2,'Floor-U'!$A$4:$A$40,'Floor-U'!$E$4:$E$40)*Detached!AF$15)+(LOOKUP(Detached!AF$2,'Wall-U'!$A$4:$A$40,'Wall-U'!$Q$4:$Q$40)*Detached!AF$12)+(LOOKUP(Detached!AF$2,'Window-U'!$A$4:$A$40,'Window-U'!$E$4:$E$40)*Detached!AF$21))*AF169</f>
        <v>295.27275182579683</v>
      </c>
      <c r="AG170" s="171">
        <f>((LOOKUP(Detached!AG$2,'Ceiling-U'!$A$4:$A$40,'Ceiling-U'!$E$4:$E$40)*Detached!AG$14)+(LOOKUP(Detached!AG$2,'Floor-U'!$A$4:$A$40,'Floor-U'!$E$4:$E$40)*Detached!AG$15)+(LOOKUP(Detached!AG$2,'Wall-U'!$A$4:$A$40,'Wall-U'!$Q$4:$Q$40)*Detached!AG$12)+(LOOKUP(Detached!AG$2,'Window-U'!$A$4:$A$40,'Window-U'!$E$4:$E$40)*Detached!AG$21))*AG169</f>
        <v>444.82794841029124</v>
      </c>
      <c r="AH170" s="171">
        <f>((LOOKUP(Detached!AH$2,'Ceiling-U'!$A$4:$A$40,'Ceiling-U'!$E$4:$E$40)*Detached!AH$14)+(LOOKUP(Detached!AH$2,'Floor-U'!$A$4:$A$40,'Floor-U'!$E$4:$E$40)*Detached!AH$15)+(LOOKUP(Detached!AH$2,'Wall-U'!$A$4:$A$40,'Wall-U'!$Q$4:$Q$40)*Detached!AH$12)+(LOOKUP(Detached!AH$2,'Window-U'!$A$4:$A$40,'Window-U'!$E$4:$E$40)*Detached!AH$21))*AH169</f>
        <v>363.91222094368305</v>
      </c>
      <c r="AI170" s="171">
        <f>((LOOKUP(Detached!AI$2,'Ceiling-U'!$A$4:$A$40,'Ceiling-U'!$E$4:$E$40)*Detached!AI$14)+(LOOKUP(Detached!AI$2,'Floor-U'!$A$4:$A$40,'Floor-U'!$E$4:$E$40)*Detached!AI$15)+(LOOKUP(Detached!AI$2,'Wall-U'!$A$4:$A$40,'Wall-U'!$Q$4:$Q$40)*Detached!AI$12)+(LOOKUP(Detached!AI$2,'Window-U'!$A$4:$A$40,'Window-U'!$E$4:$E$40)*Detached!AI$21))*AI169</f>
        <v>554.90830786055994</v>
      </c>
      <c r="AJ170" s="171">
        <f>((LOOKUP(Detached!AJ$2,'Ceiling-U'!$A$4:$A$40,'Ceiling-U'!$E$4:$E$40)*Detached!AJ$14)+(LOOKUP(Detached!AJ$2,'Floor-U'!$A$4:$A$40,'Floor-U'!$E$4:$E$40)*Detached!AJ$15)+(LOOKUP(Detached!AJ$2,'Wall-U'!$A$4:$A$40,'Wall-U'!$Q$4:$Q$40)*Detached!AJ$12)+(LOOKUP(Detached!AJ$2,'Window-U'!$A$4:$A$40,'Window-U'!$E$4:$E$40)*Detached!AJ$21))*AJ169</f>
        <v>249.95788958930882</v>
      </c>
      <c r="AK170" s="171">
        <f>((LOOKUP(Detached!AK$2,'Ceiling-U'!$A$4:$A$40,'Ceiling-U'!$E$4:$E$40)*Detached!AK$14)+(LOOKUP(Detached!AK$2,'Floor-U'!$A$4:$A$40,'Floor-U'!$E$4:$E$40)*Detached!AK$15)+(LOOKUP(Detached!AK$2,'Wall-U'!$A$4:$A$40,'Wall-U'!$Q$4:$Q$40)*Detached!AK$12)+(LOOKUP(Detached!AK$2,'Window-U'!$A$4:$A$40,'Window-U'!$E$4:$E$40)*Detached!AK$21))*AK169</f>
        <v>293.60753273780267</v>
      </c>
      <c r="AL170" s="171">
        <f>((LOOKUP(Detached!AL$2,'Ceiling-U'!$A$4:$A$40,'Ceiling-U'!$E$4:$E$40)*Detached!AL$14)+(LOOKUP(Detached!AL$2,'Floor-U'!$A$4:$A$40,'Floor-U'!$E$4:$E$40)*Detached!AL$15)+(LOOKUP(Detached!AL$2,'Wall-U'!$A$4:$A$40,'Wall-U'!$Q$4:$Q$40)*Detached!AL$12)+(LOOKUP(Detached!AL$2,'Window-U'!$A$4:$A$40,'Window-U'!$E$4:$E$40)*Detached!AL$21))*AL169</f>
        <v>250.88739350427369</v>
      </c>
      <c r="AM170" s="171">
        <f>((LOOKUP(Detached!AM$2,'Ceiling-U'!$A$4:$A$40,'Ceiling-U'!$E$4:$E$40)*Detached!AM$14)+(LOOKUP(Detached!AM$2,'Floor-U'!$A$4:$A$40,'Floor-U'!$E$4:$E$40)*Detached!AM$15)+(LOOKUP(Detached!AM$2,'Wall-U'!$A$4:$A$40,'Wall-U'!$Q$4:$Q$40)*Detached!AM$12)+(LOOKUP(Detached!AM$2,'Window-U'!$A$4:$A$40,'Window-U'!$E$4:$E$40)*Detached!AM$21))*AM169</f>
        <v>249.95788958930882</v>
      </c>
      <c r="AN170" s="172">
        <f>((LOOKUP(Detached!AN$2,'Ceiling-U'!$A$4:$A$40,'Ceiling-U'!$E$4:$E$40)*Detached!AN$14)+(LOOKUP(Detached!AN$2,'Floor-U'!$A$4:$A$40,'Floor-U'!$E$4:$E$40)*Detached!AN$15)+(LOOKUP(Detached!AN$2,'Wall-U'!$A$4:$A$40,'Wall-U'!$Q$4:$Q$40)*Detached!AN$12)+(LOOKUP(Detached!AN$2,'Window-U'!$A$4:$A$40,'Window-U'!$E$4:$E$40)*Detached!AN$21))*AN169</f>
        <v>249.95788958930882</v>
      </c>
    </row>
    <row r="171" spans="1:40">
      <c r="A171" s="372"/>
      <c r="B171" s="142" t="s">
        <v>3</v>
      </c>
      <c r="C171" s="131" t="s">
        <v>195</v>
      </c>
      <c r="D171" s="176">
        <f>((LOOKUP(Detached!D$2,'Ceiling-U'!$A$4:$A$40,'Ceiling-U'!$F$4:$F$40)*Detached!D$14)+(LOOKUP(Detached!D$2,'Floor-U'!$A$4:$A$40,'Floor-U'!$F$4:$F$40)*Detached!D$15)+(LOOKUP(Detached!D$2,'Wall-U'!$A$4:$A$40,'Wall-U'!$R$4:$R$40)*Detached!D$12)+(LOOKUP(Detached!D$2,'Window-U'!$A$4:$A$40,'Window-U'!$F$4:$F$40)*Detached!D$21))*D169</f>
        <v>339.29198625744232</v>
      </c>
      <c r="E171" s="177">
        <f>((LOOKUP(Detached!E$2,'Ceiling-U'!$A$4:$A$40,'Ceiling-U'!$F$4:$F$40)*Detached!E$14)+(LOOKUP(Detached!E$2,'Floor-U'!$A$4:$A$40,'Floor-U'!$F$4:$F$40)*Detached!E$15)+(LOOKUP(Detached!E$2,'Wall-U'!$A$4:$A$40,'Wall-U'!$R$4:$R$40)*Detached!E$12)+(LOOKUP(Detached!E$2,'Window-U'!$A$4:$A$40,'Window-U'!$F$4:$F$40)*Detached!E$21))*E169</f>
        <v>432.14684812709334</v>
      </c>
      <c r="F171" s="177">
        <f>((LOOKUP(Detached!F$2,'Ceiling-U'!$A$4:$A$40,'Ceiling-U'!$F$4:$F$40)*Detached!F$14)+(LOOKUP(Detached!F$2,'Floor-U'!$A$4:$A$40,'Floor-U'!$F$4:$F$40)*Detached!F$15)+(LOOKUP(Detached!F$2,'Wall-U'!$A$4:$A$40,'Wall-U'!$R$4:$R$40)*Detached!F$12)+(LOOKUP(Detached!F$2,'Window-U'!$A$4:$A$40,'Window-U'!$F$4:$F$40)*Detached!F$21))*F169</f>
        <v>239.93124756723421</v>
      </c>
      <c r="G171" s="177">
        <f>((LOOKUP(Detached!G$2,'Ceiling-U'!$A$4:$A$40,'Ceiling-U'!$F$4:$F$40)*Detached!G$14)+(LOOKUP(Detached!G$2,'Floor-U'!$A$4:$A$40,'Floor-U'!$F$4:$F$40)*Detached!G$15)+(LOOKUP(Detached!G$2,'Wall-U'!$A$4:$A$40,'Wall-U'!$R$4:$R$40)*Detached!G$12)+(LOOKUP(Detached!G$2,'Window-U'!$A$4:$A$40,'Window-U'!$F$4:$F$40)*Detached!G$21))*G169</f>
        <v>339.29198625744232</v>
      </c>
      <c r="H171" s="177">
        <f>((LOOKUP(Detached!H$2,'Ceiling-U'!$A$4:$A$40,'Ceiling-U'!$F$4:$F$40)*Detached!H$14)+(LOOKUP(Detached!H$2,'Floor-U'!$A$4:$A$40,'Floor-U'!$F$4:$F$40)*Detached!H$15)+(LOOKUP(Detached!H$2,'Wall-U'!$A$4:$A$40,'Wall-U'!$R$4:$R$40)*Detached!H$12)+(LOOKUP(Detached!H$2,'Window-U'!$A$4:$A$40,'Window-U'!$F$4:$F$40)*Detached!H$21))*H169</f>
        <v>555.61959959874468</v>
      </c>
      <c r="I171" s="177">
        <f>((LOOKUP(Detached!I$2,'Ceiling-U'!$A$4:$A$40,'Ceiling-U'!$F$4:$F$40)*Detached!I$14)+(LOOKUP(Detached!I$2,'Floor-U'!$A$4:$A$40,'Floor-U'!$F$4:$F$40)*Detached!I$15)+(LOOKUP(Detached!I$2,'Wall-U'!$A$4:$A$40,'Wall-U'!$R$4:$R$40)*Detached!I$12)+(LOOKUP(Detached!I$2,'Window-U'!$A$4:$A$40,'Window-U'!$F$4:$F$40)*Detached!I$21))*I169</f>
        <v>252.68482243694547</v>
      </c>
      <c r="J171" s="177">
        <f>((LOOKUP(Detached!J$2,'Ceiling-U'!$A$4:$A$40,'Ceiling-U'!$F$4:$F$40)*Detached!J$14)+(LOOKUP(Detached!J$2,'Floor-U'!$A$4:$A$40,'Floor-U'!$F$4:$F$40)*Detached!J$15)+(LOOKUP(Detached!J$2,'Wall-U'!$A$4:$A$40,'Wall-U'!$R$4:$R$40)*Detached!J$12)+(LOOKUP(Detached!J$2,'Window-U'!$A$4:$A$40,'Window-U'!$F$4:$F$40)*Detached!J$21))*J169</f>
        <v>380.64817554586443</v>
      </c>
      <c r="K171" s="177">
        <f>((LOOKUP(Detached!K$2,'Ceiling-U'!$A$4:$A$40,'Ceiling-U'!$F$4:$F$40)*Detached!K$14)+(LOOKUP(Detached!K$2,'Floor-U'!$A$4:$A$40,'Floor-U'!$F$4:$F$40)*Detached!K$15)+(LOOKUP(Detached!K$2,'Wall-U'!$A$4:$A$40,'Wall-U'!$R$4:$R$40)*Detached!K$12)+(LOOKUP(Detached!K$2,'Window-U'!$A$4:$A$40,'Window-U'!$F$4:$F$40)*Detached!K$21))*K169</f>
        <v>244.30191256852299</v>
      </c>
      <c r="L171" s="177">
        <f>((LOOKUP(Detached!L$2,'Ceiling-U'!$A$4:$A$40,'Ceiling-U'!$F$4:$F$40)*Detached!L$14)+(LOOKUP(Detached!L$2,'Floor-U'!$A$4:$A$40,'Floor-U'!$F$4:$F$40)*Detached!L$15)+(LOOKUP(Detached!L$2,'Wall-U'!$A$4:$A$40,'Wall-U'!$R$4:$R$40)*Detached!L$12)+(LOOKUP(Detached!L$2,'Window-U'!$A$4:$A$40,'Window-U'!$F$4:$F$40)*Detached!L$21))*L169</f>
        <v>146.10663049343538</v>
      </c>
      <c r="M171" s="177">
        <f>((LOOKUP(Detached!M$2,'Ceiling-U'!$A$4:$A$40,'Ceiling-U'!$F$4:$F$40)*Detached!M$14)+(LOOKUP(Detached!M$2,'Floor-U'!$A$4:$A$40,'Floor-U'!$F$4:$F$40)*Detached!M$15)+(LOOKUP(Detached!M$2,'Wall-U'!$A$4:$A$40,'Wall-U'!$R$4:$R$40)*Detached!M$12)+(LOOKUP(Detached!M$2,'Window-U'!$A$4:$A$40,'Window-U'!$F$4:$F$40)*Detached!M$21))*M169</f>
        <v>547.97556589477574</v>
      </c>
      <c r="N171" s="177">
        <f>((LOOKUP(Detached!N$2,'Ceiling-U'!$A$4:$A$40,'Ceiling-U'!$F$4:$F$40)*Detached!N$14)+(LOOKUP(Detached!N$2,'Floor-U'!$A$4:$A$40,'Floor-U'!$F$4:$F$40)*Detached!N$15)+(LOOKUP(Detached!N$2,'Wall-U'!$A$4:$A$40,'Wall-U'!$R$4:$R$40)*Detached!N$12)+(LOOKUP(Detached!N$2,'Window-U'!$A$4:$A$40,'Window-U'!$F$4:$F$40)*Detached!N$21))*N169</f>
        <v>170.50916120359457</v>
      </c>
      <c r="O171" s="177">
        <f>((LOOKUP(Detached!O$2,'Ceiling-U'!$A$4:$A$40,'Ceiling-U'!$F$4:$F$40)*Detached!O$14)+(LOOKUP(Detached!O$2,'Floor-U'!$A$4:$A$40,'Floor-U'!$F$4:$F$40)*Detached!O$15)+(LOOKUP(Detached!O$2,'Wall-U'!$A$4:$A$40,'Wall-U'!$R$4:$R$40)*Detached!O$12)+(LOOKUP(Detached!O$2,'Window-U'!$A$4:$A$40,'Window-U'!$F$4:$F$40)*Detached!O$21))*O169</f>
        <v>558.95264749587045</v>
      </c>
      <c r="P171" s="177">
        <f>((LOOKUP(Detached!P$2,'Ceiling-U'!$A$4:$A$40,'Ceiling-U'!$F$4:$F$40)*Detached!P$14)+(LOOKUP(Detached!P$2,'Floor-U'!$A$4:$A$40,'Floor-U'!$F$4:$F$40)*Detached!P$15)+(LOOKUP(Detached!P$2,'Wall-U'!$A$4:$A$40,'Wall-U'!$R$4:$R$40)*Detached!P$12)+(LOOKUP(Detached!P$2,'Window-U'!$A$4:$A$40,'Window-U'!$F$4:$F$40)*Detached!P$21))*P169</f>
        <v>554.90830786055994</v>
      </c>
      <c r="Q171" s="177">
        <f>((LOOKUP(Detached!Q$2,'Ceiling-U'!$A$4:$A$40,'Ceiling-U'!$F$4:$F$40)*Detached!Q$14)+(LOOKUP(Detached!Q$2,'Floor-U'!$A$4:$A$40,'Floor-U'!$F$4:$F$40)*Detached!Q$15)+(LOOKUP(Detached!Q$2,'Wall-U'!$A$4:$A$40,'Wall-U'!$R$4:$R$40)*Detached!Q$12)+(LOOKUP(Detached!Q$2,'Window-U'!$A$4:$A$40,'Window-U'!$F$4:$F$40)*Detached!Q$21))*Q169</f>
        <v>291.21566336229978</v>
      </c>
      <c r="R171" s="177">
        <f>((LOOKUP(Detached!R$2,'Ceiling-U'!$A$4:$A$40,'Ceiling-U'!$F$4:$F$40)*Detached!R$14)+(LOOKUP(Detached!R$2,'Floor-U'!$A$4:$A$40,'Floor-U'!$F$4:$F$40)*Detached!R$15)+(LOOKUP(Detached!R$2,'Wall-U'!$A$4:$A$40,'Wall-U'!$R$4:$R$40)*Detached!R$12)+(LOOKUP(Detached!R$2,'Window-U'!$A$4:$A$40,'Window-U'!$F$4:$F$40)*Detached!R$21))*R169</f>
        <v>291.14910487454807</v>
      </c>
      <c r="S171" s="177">
        <f>((LOOKUP(Detached!S$2,'Ceiling-U'!$A$4:$A$40,'Ceiling-U'!$F$4:$F$40)*Detached!S$14)+(LOOKUP(Detached!S$2,'Floor-U'!$A$4:$A$40,'Floor-U'!$F$4:$F$40)*Detached!S$15)+(LOOKUP(Detached!S$2,'Wall-U'!$A$4:$A$40,'Wall-U'!$R$4:$R$40)*Detached!S$12)+(LOOKUP(Detached!S$2,'Window-U'!$A$4:$A$40,'Window-U'!$F$4:$F$40)*Detached!S$21))*S169</f>
        <v>472.21331221343132</v>
      </c>
      <c r="T171" s="177">
        <f>((LOOKUP(Detached!T$2,'Ceiling-U'!$A$4:$A$40,'Ceiling-U'!$F$4:$F$40)*Detached!T$14)+(LOOKUP(Detached!T$2,'Floor-U'!$A$4:$A$40,'Floor-U'!$F$4:$F$40)*Detached!T$15)+(LOOKUP(Detached!T$2,'Wall-U'!$A$4:$A$40,'Wall-U'!$R$4:$R$40)*Detached!T$12)+(LOOKUP(Detached!T$2,'Window-U'!$A$4:$A$40,'Window-U'!$F$4:$F$40)*Detached!T$21))*T169</f>
        <v>170.50916120359457</v>
      </c>
      <c r="U171" s="177">
        <f>((LOOKUP(Detached!U$2,'Ceiling-U'!$A$4:$A$40,'Ceiling-U'!$F$4:$F$40)*Detached!U$14)+(LOOKUP(Detached!U$2,'Floor-U'!$A$4:$A$40,'Floor-U'!$F$4:$F$40)*Detached!U$15)+(LOOKUP(Detached!U$2,'Wall-U'!$A$4:$A$40,'Wall-U'!$R$4:$R$40)*Detached!U$12)+(LOOKUP(Detached!U$2,'Window-U'!$A$4:$A$40,'Window-U'!$F$4:$F$40)*Detached!U$21))*U169</f>
        <v>527.95201278474701</v>
      </c>
      <c r="V171" s="177">
        <f>((LOOKUP(Detached!V$2,'Ceiling-U'!$A$4:$A$40,'Ceiling-U'!$F$4:$F$40)*Detached!V$14)+(LOOKUP(Detached!V$2,'Floor-U'!$A$4:$A$40,'Floor-U'!$F$4:$F$40)*Detached!V$15)+(LOOKUP(Detached!V$2,'Wall-U'!$A$4:$A$40,'Wall-U'!$R$4:$R$40)*Detached!V$12)+(LOOKUP(Detached!V$2,'Window-U'!$A$4:$A$40,'Window-U'!$F$4:$F$40)*Detached!V$21))*V169</f>
        <v>248.76748291050041</v>
      </c>
      <c r="W171" s="177">
        <f>((LOOKUP(Detached!W$2,'Ceiling-U'!$A$4:$A$40,'Ceiling-U'!$F$4:$F$40)*Detached!W$14)+(LOOKUP(Detached!W$2,'Floor-U'!$A$4:$A$40,'Floor-U'!$F$4:$F$40)*Detached!W$15)+(LOOKUP(Detached!W$2,'Wall-U'!$A$4:$A$40,'Wall-U'!$R$4:$R$40)*Detached!W$12)+(LOOKUP(Detached!W$2,'Window-U'!$A$4:$A$40,'Window-U'!$F$4:$F$40)*Detached!W$21))*W169</f>
        <v>324.04758807182799</v>
      </c>
      <c r="X171" s="177">
        <f>((LOOKUP(Detached!X$2,'Ceiling-U'!$A$4:$A$40,'Ceiling-U'!$F$4:$F$40)*Detached!X$14)+(LOOKUP(Detached!X$2,'Floor-U'!$A$4:$A$40,'Floor-U'!$F$4:$F$40)*Detached!X$15)+(LOOKUP(Detached!X$2,'Wall-U'!$A$4:$A$40,'Wall-U'!$R$4:$R$40)*Detached!X$12)+(LOOKUP(Detached!X$2,'Window-U'!$A$4:$A$40,'Window-U'!$F$4:$F$40)*Detached!X$21))*X169</f>
        <v>276.59031138575824</v>
      </c>
      <c r="Y171" s="177">
        <f>((LOOKUP(Detached!Y$2,'Ceiling-U'!$A$4:$A$40,'Ceiling-U'!$F$4:$F$40)*Detached!Y$14)+(LOOKUP(Detached!Y$2,'Floor-U'!$A$4:$A$40,'Floor-U'!$F$4:$F$40)*Detached!Y$15)+(LOOKUP(Detached!Y$2,'Wall-U'!$A$4:$A$40,'Wall-U'!$R$4:$R$40)*Detached!Y$12)+(LOOKUP(Detached!Y$2,'Window-U'!$A$4:$A$40,'Window-U'!$F$4:$F$40)*Detached!Y$21))*Y169</f>
        <v>597.07792434159774</v>
      </c>
      <c r="Z171" s="177">
        <f>((LOOKUP(Detached!Z$2,'Ceiling-U'!$A$4:$A$40,'Ceiling-U'!$F$4:$F$40)*Detached!Z$14)+(LOOKUP(Detached!Z$2,'Floor-U'!$A$4:$A$40,'Floor-U'!$F$4:$F$40)*Detached!Z$15)+(LOOKUP(Detached!Z$2,'Wall-U'!$A$4:$A$40,'Wall-U'!$R$4:$R$40)*Detached!Z$12)+(LOOKUP(Detached!Z$2,'Window-U'!$A$4:$A$40,'Window-U'!$F$4:$F$40)*Detached!Z$21))*Z169</f>
        <v>378.37737719581196</v>
      </c>
      <c r="AA171" s="177">
        <f>((LOOKUP(Detached!AA$2,'Ceiling-U'!$A$4:$A$40,'Ceiling-U'!$F$4:$F$40)*Detached!AA$14)+(LOOKUP(Detached!AA$2,'Floor-U'!$A$4:$A$40,'Floor-U'!$F$4:$F$40)*Detached!AA$15)+(LOOKUP(Detached!AA$2,'Wall-U'!$A$4:$A$40,'Wall-U'!$R$4:$R$40)*Detached!AA$12)+(LOOKUP(Detached!AA$2,'Window-U'!$A$4:$A$40,'Window-U'!$F$4:$F$40)*Detached!AA$21))*AA169</f>
        <v>184.39222814883448</v>
      </c>
      <c r="AB171" s="177">
        <f>((LOOKUP(Detached!AB$2,'Ceiling-U'!$A$4:$A$40,'Ceiling-U'!$F$4:$F$40)*Detached!AB$14)+(LOOKUP(Detached!AB$2,'Floor-U'!$A$4:$A$40,'Floor-U'!$F$4:$F$40)*Detached!AB$15)+(LOOKUP(Detached!AB$2,'Wall-U'!$A$4:$A$40,'Wall-U'!$R$4:$R$40)*Detached!AB$12)+(LOOKUP(Detached!AB$2,'Window-U'!$A$4:$A$40,'Window-U'!$F$4:$F$40)*Detached!AB$21))*AB169</f>
        <v>283.63722602332513</v>
      </c>
      <c r="AC171" s="177">
        <f>((LOOKUP(Detached!AC$2,'Ceiling-U'!$A$4:$A$40,'Ceiling-U'!$F$4:$F$40)*Detached!AC$14)+(LOOKUP(Detached!AC$2,'Floor-U'!$A$4:$A$40,'Floor-U'!$F$4:$F$40)*Detached!AC$15)+(LOOKUP(Detached!AC$2,'Wall-U'!$A$4:$A$40,'Wall-U'!$R$4:$R$40)*Detached!AC$12)+(LOOKUP(Detached!AC$2,'Window-U'!$A$4:$A$40,'Window-U'!$F$4:$F$40)*Detached!AC$21))*AC169</f>
        <v>597.79330217423819</v>
      </c>
      <c r="AD171" s="177">
        <f>((LOOKUP(Detached!AD$2,'Ceiling-U'!$A$4:$A$40,'Ceiling-U'!$F$4:$F$40)*Detached!AD$14)+(LOOKUP(Detached!AD$2,'Floor-U'!$A$4:$A$40,'Floor-U'!$F$4:$F$40)*Detached!AD$15)+(LOOKUP(Detached!AD$2,'Wall-U'!$A$4:$A$40,'Wall-U'!$R$4:$R$40)*Detached!AD$12)+(LOOKUP(Detached!AD$2,'Window-U'!$A$4:$A$40,'Window-U'!$F$4:$F$40)*Detached!AD$21))*AD169</f>
        <v>275.3648915463848</v>
      </c>
      <c r="AE171" s="177">
        <f>((LOOKUP(Detached!AE$2,'Ceiling-U'!$A$4:$A$40,'Ceiling-U'!$F$4:$F$40)*Detached!AE$14)+(LOOKUP(Detached!AE$2,'Floor-U'!$A$4:$A$40,'Floor-U'!$F$4:$F$40)*Detached!AE$15)+(LOOKUP(Detached!AE$2,'Wall-U'!$A$4:$A$40,'Wall-U'!$R$4:$R$40)*Detached!AE$12)+(LOOKUP(Detached!AE$2,'Window-U'!$A$4:$A$40,'Window-U'!$F$4:$F$40)*Detached!AE$21))*AE169</f>
        <v>184.39222814883448</v>
      </c>
      <c r="AF171" s="177">
        <f>((LOOKUP(Detached!AF$2,'Ceiling-U'!$A$4:$A$40,'Ceiling-U'!$F$4:$F$40)*Detached!AF$14)+(LOOKUP(Detached!AF$2,'Floor-U'!$A$4:$A$40,'Floor-U'!$F$4:$F$40)*Detached!AF$15)+(LOOKUP(Detached!AF$2,'Wall-U'!$A$4:$A$40,'Wall-U'!$R$4:$R$40)*Detached!AF$12)+(LOOKUP(Detached!AF$2,'Window-U'!$A$4:$A$40,'Window-U'!$F$4:$F$40)*Detached!AF$21))*AF169</f>
        <v>295.27275182579683</v>
      </c>
      <c r="AG171" s="177">
        <f>((LOOKUP(Detached!AG$2,'Ceiling-U'!$A$4:$A$40,'Ceiling-U'!$F$4:$F$40)*Detached!AG$14)+(LOOKUP(Detached!AG$2,'Floor-U'!$A$4:$A$40,'Floor-U'!$F$4:$F$40)*Detached!AG$15)+(LOOKUP(Detached!AG$2,'Wall-U'!$A$4:$A$40,'Wall-U'!$R$4:$R$40)*Detached!AG$12)+(LOOKUP(Detached!AG$2,'Window-U'!$A$4:$A$40,'Window-U'!$F$4:$F$40)*Detached!AG$21))*AG169</f>
        <v>387.83268593746794</v>
      </c>
      <c r="AH171" s="177">
        <f>((LOOKUP(Detached!AH$2,'Ceiling-U'!$A$4:$A$40,'Ceiling-U'!$F$4:$F$40)*Detached!AH$14)+(LOOKUP(Detached!AH$2,'Floor-U'!$A$4:$A$40,'Floor-U'!$F$4:$F$40)*Detached!AH$15)+(LOOKUP(Detached!AH$2,'Wall-U'!$A$4:$A$40,'Wall-U'!$R$4:$R$40)*Detached!AH$12)+(LOOKUP(Detached!AH$2,'Window-U'!$A$4:$A$40,'Window-U'!$F$4:$F$40)*Detached!AH$21))*AH169</f>
        <v>371.21972172763975</v>
      </c>
      <c r="AI171" s="177">
        <f>((LOOKUP(Detached!AI$2,'Ceiling-U'!$A$4:$A$40,'Ceiling-U'!$F$4:$F$40)*Detached!AI$14)+(LOOKUP(Detached!AI$2,'Floor-U'!$A$4:$A$40,'Floor-U'!$F$4:$F$40)*Detached!AI$15)+(LOOKUP(Detached!AI$2,'Wall-U'!$A$4:$A$40,'Wall-U'!$R$4:$R$40)*Detached!AI$12)+(LOOKUP(Detached!AI$2,'Window-U'!$A$4:$A$40,'Window-U'!$F$4:$F$40)*Detached!AI$21))*AI169</f>
        <v>554.90830786055994</v>
      </c>
      <c r="AJ171" s="177">
        <f>((LOOKUP(Detached!AJ$2,'Ceiling-U'!$A$4:$A$40,'Ceiling-U'!$F$4:$F$40)*Detached!AJ$14)+(LOOKUP(Detached!AJ$2,'Floor-U'!$A$4:$A$40,'Floor-U'!$F$4:$F$40)*Detached!AJ$15)+(LOOKUP(Detached!AJ$2,'Wall-U'!$A$4:$A$40,'Wall-U'!$R$4:$R$40)*Detached!AJ$12)+(LOOKUP(Detached!AJ$2,'Window-U'!$A$4:$A$40,'Window-U'!$F$4:$F$40)*Detached!AJ$21))*AJ169</f>
        <v>249.95788958930882</v>
      </c>
      <c r="AK171" s="177">
        <f>((LOOKUP(Detached!AK$2,'Ceiling-U'!$A$4:$A$40,'Ceiling-U'!$F$4:$F$40)*Detached!AK$14)+(LOOKUP(Detached!AK$2,'Floor-U'!$A$4:$A$40,'Floor-U'!$F$4:$F$40)*Detached!AK$15)+(LOOKUP(Detached!AK$2,'Wall-U'!$A$4:$A$40,'Wall-U'!$R$4:$R$40)*Detached!AK$12)+(LOOKUP(Detached!AK$2,'Window-U'!$A$4:$A$40,'Window-U'!$F$4:$F$40)*Detached!AK$21))*AK169</f>
        <v>293.60753273780267</v>
      </c>
      <c r="AL171" s="177">
        <f>((LOOKUP(Detached!AL$2,'Ceiling-U'!$A$4:$A$40,'Ceiling-U'!$F$4:$F$40)*Detached!AL$14)+(LOOKUP(Detached!AL$2,'Floor-U'!$A$4:$A$40,'Floor-U'!$F$4:$F$40)*Detached!AL$15)+(LOOKUP(Detached!AL$2,'Wall-U'!$A$4:$A$40,'Wall-U'!$R$4:$R$40)*Detached!AL$12)+(LOOKUP(Detached!AL$2,'Window-U'!$A$4:$A$40,'Window-U'!$F$4:$F$40)*Detached!AL$21))*AL169</f>
        <v>250.88739350427369</v>
      </c>
      <c r="AM171" s="177">
        <f>((LOOKUP(Detached!AM$2,'Ceiling-U'!$A$4:$A$40,'Ceiling-U'!$F$4:$F$40)*Detached!AM$14)+(LOOKUP(Detached!AM$2,'Floor-U'!$A$4:$A$40,'Floor-U'!$F$4:$F$40)*Detached!AM$15)+(LOOKUP(Detached!AM$2,'Wall-U'!$A$4:$A$40,'Wall-U'!$R$4:$R$40)*Detached!AM$12)+(LOOKUP(Detached!AM$2,'Window-U'!$A$4:$A$40,'Window-U'!$F$4:$F$40)*Detached!AM$21))*AM169</f>
        <v>249.95788958930882</v>
      </c>
      <c r="AN171" s="178">
        <f>((LOOKUP(Detached!AN$2,'Ceiling-U'!$A$4:$A$40,'Ceiling-U'!$F$4:$F$40)*Detached!AN$14)+(LOOKUP(Detached!AN$2,'Floor-U'!$A$4:$A$40,'Floor-U'!$F$4:$F$40)*Detached!AN$15)+(LOOKUP(Detached!AN$2,'Wall-U'!$A$4:$A$40,'Wall-U'!$R$4:$R$40)*Detached!AN$12)+(LOOKUP(Detached!AN$2,'Window-U'!$A$4:$A$40,'Window-U'!$F$4:$F$40)*Detached!AN$21))*AN169</f>
        <v>249.95788958930882</v>
      </c>
    </row>
    <row r="172" spans="1:40">
      <c r="A172" s="372"/>
      <c r="B172" s="142" t="s">
        <v>4</v>
      </c>
      <c r="C172" s="131" t="s">
        <v>195</v>
      </c>
      <c r="D172" s="176">
        <f>((LOOKUP(Detached!D$2,'Ceiling-U'!$A$4:$A$40,'Ceiling-U'!$G$4:$G$40)*Detached!D$14)+(LOOKUP(Detached!D$2,'Floor-U'!$A$4:$A$40,'Floor-U'!$G$4:$G$40)*Detached!D$15)+(LOOKUP(Detached!D$2,'Wall-U'!$A$4:$A$40,'Wall-U'!$S$4:$S$40)*Detached!D$12)+(LOOKUP(Detached!D$2,'Window-U'!$A$4:$A$40,'Window-U'!$G$4:$G$40)*Detached!D$21))*D169</f>
        <v>269.87033753736614</v>
      </c>
      <c r="E172" s="177">
        <f>((LOOKUP(Detached!E$2,'Ceiling-U'!$A$4:$A$40,'Ceiling-U'!$G$4:$G$40)*Detached!E$14)+(LOOKUP(Detached!E$2,'Floor-U'!$A$4:$A$40,'Floor-U'!$G$4:$G$40)*Detached!E$15)+(LOOKUP(Detached!E$2,'Wall-U'!$A$4:$A$40,'Wall-U'!$S$4:$S$40)*Detached!E$12)+(LOOKUP(Detached!E$2,'Window-U'!$A$4:$A$40,'Window-U'!$G$4:$G$40)*Detached!E$21))*E169</f>
        <v>432.14684812709334</v>
      </c>
      <c r="F172" s="177">
        <f>((LOOKUP(Detached!F$2,'Ceiling-U'!$A$4:$A$40,'Ceiling-U'!$G$4:$G$40)*Detached!F$14)+(LOOKUP(Detached!F$2,'Floor-U'!$A$4:$A$40,'Floor-U'!$G$4:$G$40)*Detached!F$15)+(LOOKUP(Detached!F$2,'Wall-U'!$A$4:$A$40,'Wall-U'!$S$4:$S$40)*Detached!F$12)+(LOOKUP(Detached!F$2,'Window-U'!$A$4:$A$40,'Window-U'!$G$4:$G$40)*Detached!F$21))*F169</f>
        <v>230.31179925634956</v>
      </c>
      <c r="G172" s="177">
        <f>((LOOKUP(Detached!G$2,'Ceiling-U'!$A$4:$A$40,'Ceiling-U'!$G$4:$G$40)*Detached!G$14)+(LOOKUP(Detached!G$2,'Floor-U'!$A$4:$A$40,'Floor-U'!$G$4:$G$40)*Detached!G$15)+(LOOKUP(Detached!G$2,'Wall-U'!$A$4:$A$40,'Wall-U'!$S$4:$S$40)*Detached!G$12)+(LOOKUP(Detached!G$2,'Window-U'!$A$4:$A$40,'Window-U'!$G$4:$G$40)*Detached!G$21))*G169</f>
        <v>269.87033753736614</v>
      </c>
      <c r="H172" s="177">
        <f>((LOOKUP(Detached!H$2,'Ceiling-U'!$A$4:$A$40,'Ceiling-U'!$G$4:$G$40)*Detached!H$14)+(LOOKUP(Detached!H$2,'Floor-U'!$A$4:$A$40,'Floor-U'!$G$4:$G$40)*Detached!H$15)+(LOOKUP(Detached!H$2,'Wall-U'!$A$4:$A$40,'Wall-U'!$S$4:$S$40)*Detached!H$12)+(LOOKUP(Detached!H$2,'Window-U'!$A$4:$A$40,'Window-U'!$G$4:$G$40)*Detached!H$21))*H169</f>
        <v>642.44398067131897</v>
      </c>
      <c r="I172" s="177">
        <f>((LOOKUP(Detached!I$2,'Ceiling-U'!$A$4:$A$40,'Ceiling-U'!$G$4:$G$40)*Detached!I$14)+(LOOKUP(Detached!I$2,'Floor-U'!$A$4:$A$40,'Floor-U'!$G$4:$G$40)*Detached!I$15)+(LOOKUP(Detached!I$2,'Wall-U'!$A$4:$A$40,'Wall-U'!$S$4:$S$40)*Detached!I$12)+(LOOKUP(Detached!I$2,'Window-U'!$A$4:$A$40,'Window-U'!$G$4:$G$40)*Detached!I$21))*I169</f>
        <v>252.68482243694547</v>
      </c>
      <c r="J172" s="177">
        <f>((LOOKUP(Detached!J$2,'Ceiling-U'!$A$4:$A$40,'Ceiling-U'!$G$4:$G$40)*Detached!J$14)+(LOOKUP(Detached!J$2,'Floor-U'!$A$4:$A$40,'Floor-U'!$G$4:$G$40)*Detached!J$15)+(LOOKUP(Detached!J$2,'Wall-U'!$A$4:$A$40,'Wall-U'!$S$4:$S$40)*Detached!J$12)+(LOOKUP(Detached!J$2,'Window-U'!$A$4:$A$40,'Window-U'!$G$4:$G$40)*Detached!J$21))*J169</f>
        <v>257.96074014069836</v>
      </c>
      <c r="K172" s="177">
        <f>((LOOKUP(Detached!K$2,'Ceiling-U'!$A$4:$A$40,'Ceiling-U'!$G$4:$G$40)*Detached!K$14)+(LOOKUP(Detached!K$2,'Floor-U'!$A$4:$A$40,'Floor-U'!$G$4:$G$40)*Detached!K$15)+(LOOKUP(Detached!K$2,'Wall-U'!$A$4:$A$40,'Wall-U'!$S$4:$S$40)*Detached!K$12)+(LOOKUP(Detached!K$2,'Window-U'!$A$4:$A$40,'Window-U'!$G$4:$G$40)*Detached!K$21))*K169</f>
        <v>181.66324533951286</v>
      </c>
      <c r="L172" s="177">
        <f>((LOOKUP(Detached!L$2,'Ceiling-U'!$A$4:$A$40,'Ceiling-U'!$G$4:$G$40)*Detached!L$14)+(LOOKUP(Detached!L$2,'Floor-U'!$A$4:$A$40,'Floor-U'!$G$4:$G$40)*Detached!L$15)+(LOOKUP(Detached!L$2,'Wall-U'!$A$4:$A$40,'Wall-U'!$S$4:$S$40)*Detached!L$12)+(LOOKUP(Detached!L$2,'Window-U'!$A$4:$A$40,'Window-U'!$G$4:$G$40)*Detached!L$21))*L169</f>
        <v>124.85864416062719</v>
      </c>
      <c r="M172" s="177">
        <f>((LOOKUP(Detached!M$2,'Ceiling-U'!$A$4:$A$40,'Ceiling-U'!$G$4:$G$40)*Detached!M$14)+(LOOKUP(Detached!M$2,'Floor-U'!$A$4:$A$40,'Floor-U'!$G$4:$G$40)*Detached!M$15)+(LOOKUP(Detached!M$2,'Wall-U'!$A$4:$A$40,'Wall-U'!$S$4:$S$40)*Detached!M$12)+(LOOKUP(Detached!M$2,'Window-U'!$A$4:$A$40,'Window-U'!$G$4:$G$40)*Detached!M$21))*M169</f>
        <v>547.97556589477574</v>
      </c>
      <c r="N172" s="177">
        <f>((LOOKUP(Detached!N$2,'Ceiling-U'!$A$4:$A$40,'Ceiling-U'!$G$4:$G$40)*Detached!N$14)+(LOOKUP(Detached!N$2,'Floor-U'!$A$4:$A$40,'Floor-U'!$G$4:$G$40)*Detached!N$15)+(LOOKUP(Detached!N$2,'Wall-U'!$A$4:$A$40,'Wall-U'!$S$4:$S$40)*Detached!N$12)+(LOOKUP(Detached!N$2,'Window-U'!$A$4:$A$40,'Window-U'!$G$4:$G$40)*Detached!N$21))*N169</f>
        <v>145.69199298449894</v>
      </c>
      <c r="O172" s="177">
        <f>((LOOKUP(Detached!O$2,'Ceiling-U'!$A$4:$A$40,'Ceiling-U'!$G$4:$G$40)*Detached!O$14)+(LOOKUP(Detached!O$2,'Floor-U'!$A$4:$A$40,'Floor-U'!$G$4:$G$40)*Detached!O$15)+(LOOKUP(Detached!O$2,'Wall-U'!$A$4:$A$40,'Wall-U'!$S$4:$S$40)*Detached!O$12)+(LOOKUP(Detached!O$2,'Window-U'!$A$4:$A$40,'Window-U'!$G$4:$G$40)*Detached!O$21))*O169</f>
        <v>286.97895565895078</v>
      </c>
      <c r="P172" s="177">
        <f>((LOOKUP(Detached!P$2,'Ceiling-U'!$A$4:$A$40,'Ceiling-U'!$G$4:$G$40)*Detached!P$14)+(LOOKUP(Detached!P$2,'Floor-U'!$A$4:$A$40,'Floor-U'!$G$4:$G$40)*Detached!P$15)+(LOOKUP(Detached!P$2,'Wall-U'!$A$4:$A$40,'Wall-U'!$S$4:$S$40)*Detached!P$12)+(LOOKUP(Detached!P$2,'Window-U'!$A$4:$A$40,'Window-U'!$G$4:$G$40)*Detached!P$21))*P169</f>
        <v>554.90830786055994</v>
      </c>
      <c r="Q172" s="177">
        <f>((LOOKUP(Detached!Q$2,'Ceiling-U'!$A$4:$A$40,'Ceiling-U'!$G$4:$G$40)*Detached!Q$14)+(LOOKUP(Detached!Q$2,'Floor-U'!$A$4:$A$40,'Floor-U'!$G$4:$G$40)*Detached!Q$15)+(LOOKUP(Detached!Q$2,'Wall-U'!$A$4:$A$40,'Wall-U'!$S$4:$S$40)*Detached!Q$12)+(LOOKUP(Detached!Q$2,'Window-U'!$A$4:$A$40,'Window-U'!$G$4:$G$40)*Detached!Q$21))*Q169</f>
        <v>246.99764583922476</v>
      </c>
      <c r="R172" s="177">
        <f>((LOOKUP(Detached!R$2,'Ceiling-U'!$A$4:$A$40,'Ceiling-U'!$G$4:$G$40)*Detached!R$14)+(LOOKUP(Detached!R$2,'Floor-U'!$A$4:$A$40,'Floor-U'!$G$4:$G$40)*Detached!R$15)+(LOOKUP(Detached!R$2,'Wall-U'!$A$4:$A$40,'Wall-U'!$S$4:$S$40)*Detached!R$12)+(LOOKUP(Detached!R$2,'Window-U'!$A$4:$A$40,'Window-U'!$G$4:$G$40)*Detached!R$21))*R169</f>
        <v>266.97715441029465</v>
      </c>
      <c r="S172" s="177">
        <f>((LOOKUP(Detached!S$2,'Ceiling-U'!$A$4:$A$40,'Ceiling-U'!$G$4:$G$40)*Detached!S$14)+(LOOKUP(Detached!S$2,'Floor-U'!$A$4:$A$40,'Floor-U'!$G$4:$G$40)*Detached!S$15)+(LOOKUP(Detached!S$2,'Wall-U'!$A$4:$A$40,'Wall-U'!$S$4:$S$40)*Detached!S$12)+(LOOKUP(Detached!S$2,'Window-U'!$A$4:$A$40,'Window-U'!$G$4:$G$40)*Detached!S$21))*S169</f>
        <v>371.6442902930591</v>
      </c>
      <c r="T172" s="177">
        <f>((LOOKUP(Detached!T$2,'Ceiling-U'!$A$4:$A$40,'Ceiling-U'!$G$4:$G$40)*Detached!T$14)+(LOOKUP(Detached!T$2,'Floor-U'!$A$4:$A$40,'Floor-U'!$G$4:$G$40)*Detached!T$15)+(LOOKUP(Detached!T$2,'Wall-U'!$A$4:$A$40,'Wall-U'!$S$4:$S$40)*Detached!T$12)+(LOOKUP(Detached!T$2,'Window-U'!$A$4:$A$40,'Window-U'!$G$4:$G$40)*Detached!T$21))*T169</f>
        <v>145.69199298449894</v>
      </c>
      <c r="U172" s="177">
        <f>((LOOKUP(Detached!U$2,'Ceiling-U'!$A$4:$A$40,'Ceiling-U'!$G$4:$G$40)*Detached!U$14)+(LOOKUP(Detached!U$2,'Floor-U'!$A$4:$A$40,'Floor-U'!$G$4:$G$40)*Detached!U$15)+(LOOKUP(Detached!U$2,'Wall-U'!$A$4:$A$40,'Wall-U'!$S$4:$S$40)*Detached!U$12)+(LOOKUP(Detached!U$2,'Window-U'!$A$4:$A$40,'Window-U'!$G$4:$G$40)*Detached!U$21))*U169</f>
        <v>478.75529403474695</v>
      </c>
      <c r="V172" s="177">
        <f>((LOOKUP(Detached!V$2,'Ceiling-U'!$A$4:$A$40,'Ceiling-U'!$G$4:$G$40)*Detached!V$14)+(LOOKUP(Detached!V$2,'Floor-U'!$A$4:$A$40,'Floor-U'!$G$4:$G$40)*Detached!V$15)+(LOOKUP(Detached!V$2,'Wall-U'!$A$4:$A$40,'Wall-U'!$S$4:$S$40)*Detached!V$12)+(LOOKUP(Detached!V$2,'Window-U'!$A$4:$A$40,'Window-U'!$G$4:$G$40)*Detached!V$21))*V169</f>
        <v>171.00403473344807</v>
      </c>
      <c r="W172" s="177">
        <f>((LOOKUP(Detached!W$2,'Ceiling-U'!$A$4:$A$40,'Ceiling-U'!$G$4:$G$40)*Detached!W$14)+(LOOKUP(Detached!W$2,'Floor-U'!$A$4:$A$40,'Floor-U'!$G$4:$G$40)*Detached!W$15)+(LOOKUP(Detached!W$2,'Wall-U'!$A$4:$A$40,'Wall-U'!$S$4:$S$40)*Detached!W$12)+(LOOKUP(Detached!W$2,'Window-U'!$A$4:$A$40,'Window-U'!$G$4:$G$40)*Detached!W$21))*W169</f>
        <v>209.57438800138715</v>
      </c>
      <c r="X172" s="177">
        <f>((LOOKUP(Detached!X$2,'Ceiling-U'!$A$4:$A$40,'Ceiling-U'!$G$4:$G$40)*Detached!X$14)+(LOOKUP(Detached!X$2,'Floor-U'!$A$4:$A$40,'Floor-U'!$G$4:$G$40)*Detached!X$15)+(LOOKUP(Detached!X$2,'Wall-U'!$A$4:$A$40,'Wall-U'!$S$4:$S$40)*Detached!X$12)+(LOOKUP(Detached!X$2,'Window-U'!$A$4:$A$40,'Window-U'!$G$4:$G$40)*Detached!X$21))*X169</f>
        <v>260.72959084995784</v>
      </c>
      <c r="Y172" s="177">
        <f>((LOOKUP(Detached!Y$2,'Ceiling-U'!$A$4:$A$40,'Ceiling-U'!$G$4:$G$40)*Detached!Y$14)+(LOOKUP(Detached!Y$2,'Floor-U'!$A$4:$A$40,'Floor-U'!$G$4:$G$40)*Detached!Y$15)+(LOOKUP(Detached!Y$2,'Wall-U'!$A$4:$A$40,'Wall-U'!$S$4:$S$40)*Detached!Y$12)+(LOOKUP(Detached!Y$2,'Window-U'!$A$4:$A$40,'Window-U'!$G$4:$G$40)*Detached!Y$21))*Y169</f>
        <v>585.62013411388989</v>
      </c>
      <c r="Z172" s="177">
        <f>((LOOKUP(Detached!Z$2,'Ceiling-U'!$A$4:$A$40,'Ceiling-U'!$G$4:$G$40)*Detached!Z$14)+(LOOKUP(Detached!Z$2,'Floor-U'!$A$4:$A$40,'Floor-U'!$G$4:$G$40)*Detached!Z$15)+(LOOKUP(Detached!Z$2,'Wall-U'!$A$4:$A$40,'Wall-U'!$S$4:$S$40)*Detached!Z$12)+(LOOKUP(Detached!Z$2,'Window-U'!$A$4:$A$40,'Window-U'!$G$4:$G$40)*Detached!Z$21))*Z169</f>
        <v>359.2799608004558</v>
      </c>
      <c r="AA172" s="177">
        <f>((LOOKUP(Detached!AA$2,'Ceiling-U'!$A$4:$A$40,'Ceiling-U'!$G$4:$G$40)*Detached!AA$14)+(LOOKUP(Detached!AA$2,'Floor-U'!$A$4:$A$40,'Floor-U'!$G$4:$G$40)*Detached!AA$15)+(LOOKUP(Detached!AA$2,'Wall-U'!$A$4:$A$40,'Wall-U'!$S$4:$S$40)*Detached!AA$12)+(LOOKUP(Detached!AA$2,'Window-U'!$A$4:$A$40,'Window-U'!$G$4:$G$40)*Detached!AA$21))*AA169</f>
        <v>139.02201836830761</v>
      </c>
      <c r="AB172" s="177">
        <f>((LOOKUP(Detached!AB$2,'Ceiling-U'!$A$4:$A$40,'Ceiling-U'!$G$4:$G$40)*Detached!AB$14)+(LOOKUP(Detached!AB$2,'Floor-U'!$A$4:$A$40,'Floor-U'!$G$4:$G$40)*Detached!AB$15)+(LOOKUP(Detached!AB$2,'Wall-U'!$A$4:$A$40,'Wall-U'!$S$4:$S$40)*Detached!AB$12)+(LOOKUP(Detached!AB$2,'Window-U'!$A$4:$A$40,'Window-U'!$G$4:$G$40)*Detached!AB$21))*AB169</f>
        <v>220.54102535013629</v>
      </c>
      <c r="AC172" s="177">
        <f>((LOOKUP(Detached!AC$2,'Ceiling-U'!$A$4:$A$40,'Ceiling-U'!$G$4:$G$40)*Detached!AC$14)+(LOOKUP(Detached!AC$2,'Floor-U'!$A$4:$A$40,'Floor-U'!$G$4:$G$40)*Detached!AC$15)+(LOOKUP(Detached!AC$2,'Wall-U'!$A$4:$A$40,'Wall-U'!$S$4:$S$40)*Detached!AC$12)+(LOOKUP(Detached!AC$2,'Window-U'!$A$4:$A$40,'Window-U'!$G$4:$G$40)*Detached!AC$21))*AC169</f>
        <v>582.56122491173824</v>
      </c>
      <c r="AD172" s="177">
        <f>((LOOKUP(Detached!AD$2,'Ceiling-U'!$A$4:$A$40,'Ceiling-U'!$G$4:$G$40)*Detached!AD$14)+(LOOKUP(Detached!AD$2,'Floor-U'!$A$4:$A$40,'Floor-U'!$G$4:$G$40)*Detached!AD$15)+(LOOKUP(Detached!AD$2,'Wall-U'!$A$4:$A$40,'Wall-U'!$S$4:$S$40)*Detached!AD$12)+(LOOKUP(Detached!AD$2,'Window-U'!$A$4:$A$40,'Window-U'!$G$4:$G$40)*Detached!AD$21))*AD169</f>
        <v>275.3648915463848</v>
      </c>
      <c r="AE172" s="177">
        <f>((LOOKUP(Detached!AE$2,'Ceiling-U'!$A$4:$A$40,'Ceiling-U'!$G$4:$G$40)*Detached!AE$14)+(LOOKUP(Detached!AE$2,'Floor-U'!$A$4:$A$40,'Floor-U'!$G$4:$G$40)*Detached!AE$15)+(LOOKUP(Detached!AE$2,'Wall-U'!$A$4:$A$40,'Wall-U'!$S$4:$S$40)*Detached!AE$12)+(LOOKUP(Detached!AE$2,'Window-U'!$A$4:$A$40,'Window-U'!$G$4:$G$40)*Detached!AE$21))*AE169</f>
        <v>139.02201836830761</v>
      </c>
      <c r="AF172" s="177">
        <f>((LOOKUP(Detached!AF$2,'Ceiling-U'!$A$4:$A$40,'Ceiling-U'!$G$4:$G$40)*Detached!AF$14)+(LOOKUP(Detached!AF$2,'Floor-U'!$A$4:$A$40,'Floor-U'!$G$4:$G$40)*Detached!AF$15)+(LOOKUP(Detached!AF$2,'Wall-U'!$A$4:$A$40,'Wall-U'!$S$4:$S$40)*Detached!AF$12)+(LOOKUP(Detached!AF$2,'Window-U'!$A$4:$A$40,'Window-U'!$G$4:$G$40)*Detached!AF$21))*AF169</f>
        <v>254.93594282579681</v>
      </c>
      <c r="AG172" s="177">
        <f>((LOOKUP(Detached!AG$2,'Ceiling-U'!$A$4:$A$40,'Ceiling-U'!$G$4:$G$40)*Detached!AG$14)+(LOOKUP(Detached!AG$2,'Floor-U'!$A$4:$A$40,'Floor-U'!$G$4:$G$40)*Detached!AG$15)+(LOOKUP(Detached!AG$2,'Wall-U'!$A$4:$A$40,'Wall-U'!$S$4:$S$40)*Detached!AG$12)+(LOOKUP(Detached!AG$2,'Window-U'!$A$4:$A$40,'Window-U'!$G$4:$G$40)*Detached!AG$21))*AG169</f>
        <v>387.83268593746794</v>
      </c>
      <c r="AH172" s="177">
        <f>((LOOKUP(Detached!AH$2,'Ceiling-U'!$A$4:$A$40,'Ceiling-U'!$G$4:$G$40)*Detached!AH$14)+(LOOKUP(Detached!AH$2,'Floor-U'!$A$4:$A$40,'Floor-U'!$G$4:$G$40)*Detached!AH$15)+(LOOKUP(Detached!AH$2,'Wall-U'!$A$4:$A$40,'Wall-U'!$S$4:$S$40)*Detached!AH$12)+(LOOKUP(Detached!AH$2,'Window-U'!$A$4:$A$40,'Window-U'!$G$4:$G$40)*Detached!AH$21))*AH169</f>
        <v>286.6644546691748</v>
      </c>
      <c r="AI172" s="177">
        <f>((LOOKUP(Detached!AI$2,'Ceiling-U'!$A$4:$A$40,'Ceiling-U'!$G$4:$G$40)*Detached!AI$14)+(LOOKUP(Detached!AI$2,'Floor-U'!$A$4:$A$40,'Floor-U'!$G$4:$G$40)*Detached!AI$15)+(LOOKUP(Detached!AI$2,'Wall-U'!$A$4:$A$40,'Wall-U'!$S$4:$S$40)*Detached!AI$12)+(LOOKUP(Detached!AI$2,'Window-U'!$A$4:$A$40,'Window-U'!$G$4:$G$40)*Detached!AI$21))*AI169</f>
        <v>554.90830786055994</v>
      </c>
      <c r="AJ172" s="177">
        <f>((LOOKUP(Detached!AJ$2,'Ceiling-U'!$A$4:$A$40,'Ceiling-U'!$G$4:$G$40)*Detached!AJ$14)+(LOOKUP(Detached!AJ$2,'Floor-U'!$A$4:$A$40,'Floor-U'!$G$4:$G$40)*Detached!AJ$15)+(LOOKUP(Detached!AJ$2,'Wall-U'!$A$4:$A$40,'Wall-U'!$S$4:$S$40)*Detached!AJ$12)+(LOOKUP(Detached!AJ$2,'Window-U'!$A$4:$A$40,'Window-U'!$G$4:$G$40)*Detached!AJ$21))*AJ169</f>
        <v>249.95788958930882</v>
      </c>
      <c r="AK172" s="177">
        <f>((LOOKUP(Detached!AK$2,'Ceiling-U'!$A$4:$A$40,'Ceiling-U'!$G$4:$G$40)*Detached!AK$14)+(LOOKUP(Detached!AK$2,'Floor-U'!$A$4:$A$40,'Floor-U'!$G$4:$G$40)*Detached!AK$15)+(LOOKUP(Detached!AK$2,'Wall-U'!$A$4:$A$40,'Wall-U'!$S$4:$S$40)*Detached!AK$12)+(LOOKUP(Detached!AK$2,'Window-U'!$A$4:$A$40,'Window-U'!$G$4:$G$40)*Detached!AK$21))*AK169</f>
        <v>293.60753273780267</v>
      </c>
      <c r="AL172" s="177">
        <f>((LOOKUP(Detached!AL$2,'Ceiling-U'!$A$4:$A$40,'Ceiling-U'!$G$4:$G$40)*Detached!AL$14)+(LOOKUP(Detached!AL$2,'Floor-U'!$A$4:$A$40,'Floor-U'!$G$4:$G$40)*Detached!AL$15)+(LOOKUP(Detached!AL$2,'Wall-U'!$A$4:$A$40,'Wall-U'!$S$4:$S$40)*Detached!AL$12)+(LOOKUP(Detached!AL$2,'Window-U'!$A$4:$A$40,'Window-U'!$G$4:$G$40)*Detached!AL$21))*AL169</f>
        <v>240.54178843573516</v>
      </c>
      <c r="AM172" s="177">
        <f>((LOOKUP(Detached!AM$2,'Ceiling-U'!$A$4:$A$40,'Ceiling-U'!$G$4:$G$40)*Detached!AM$14)+(LOOKUP(Detached!AM$2,'Floor-U'!$A$4:$A$40,'Floor-U'!$G$4:$G$40)*Detached!AM$15)+(LOOKUP(Detached!AM$2,'Wall-U'!$A$4:$A$40,'Wall-U'!$S$4:$S$40)*Detached!AM$12)+(LOOKUP(Detached!AM$2,'Window-U'!$A$4:$A$40,'Window-U'!$G$4:$G$40)*Detached!AM$21))*AM169</f>
        <v>249.95788958930882</v>
      </c>
      <c r="AN172" s="178">
        <f>((LOOKUP(Detached!AN$2,'Ceiling-U'!$A$4:$A$40,'Ceiling-U'!$G$4:$G$40)*Detached!AN$14)+(LOOKUP(Detached!AN$2,'Floor-U'!$A$4:$A$40,'Floor-U'!$G$4:$G$40)*Detached!AN$15)+(LOOKUP(Detached!AN$2,'Wall-U'!$A$4:$A$40,'Wall-U'!$S$4:$S$40)*Detached!AN$12)+(LOOKUP(Detached!AN$2,'Window-U'!$A$4:$A$40,'Window-U'!$G$4:$G$40)*Detached!AN$21))*AN169</f>
        <v>249.95788958930882</v>
      </c>
    </row>
    <row r="173" spans="1:40">
      <c r="A173" s="372"/>
      <c r="B173" s="142" t="s">
        <v>5</v>
      </c>
      <c r="C173" s="131" t="s">
        <v>195</v>
      </c>
      <c r="D173" s="176">
        <f>((LOOKUP(Detached!D$2,'Ceiling-U'!$A$4:$A$40,'Ceiling-U'!$H$4:$H$40)*Detached!D$14)+(LOOKUP(Detached!D$2,'Floor-U'!$A$4:$A$40,'Floor-U'!$H$4:$H$40)*Detached!D$15)+(LOOKUP(Detached!D$2,'Wall-U'!$A$4:$A$40,'Wall-U'!$T$4:$T$40)*Detached!D$12)+(LOOKUP(Detached!D$2,'Window-U'!$A$4:$A$40,'Window-U'!$H$4:$H$40)*Detached!D$21))*D169</f>
        <v>188.50332082217648</v>
      </c>
      <c r="E173" s="177">
        <f>((LOOKUP(Detached!E$2,'Ceiling-U'!$A$4:$A$40,'Ceiling-U'!$H$4:$H$40)*Detached!E$14)+(LOOKUP(Detached!E$2,'Floor-U'!$A$4:$A$40,'Floor-U'!$H$4:$H$40)*Detached!E$15)+(LOOKUP(Detached!E$2,'Wall-U'!$A$4:$A$40,'Wall-U'!$T$4:$T$40)*Detached!E$12)+(LOOKUP(Detached!E$2,'Window-U'!$A$4:$A$40,'Window-U'!$H$4:$H$40)*Detached!E$21))*E169</f>
        <v>366.27804337206021</v>
      </c>
      <c r="F173" s="177">
        <f>((LOOKUP(Detached!F$2,'Ceiling-U'!$A$4:$A$40,'Ceiling-U'!$H$4:$H$40)*Detached!F$14)+(LOOKUP(Detached!F$2,'Floor-U'!$A$4:$A$40,'Floor-U'!$H$4:$H$40)*Detached!F$15)+(LOOKUP(Detached!F$2,'Wall-U'!$A$4:$A$40,'Wall-U'!$T$4:$T$40)*Detached!F$12)+(LOOKUP(Detached!F$2,'Window-U'!$A$4:$A$40,'Window-U'!$H$4:$H$40)*Detached!F$21))*F169</f>
        <v>209.53301414632921</v>
      </c>
      <c r="G173" s="177">
        <f>((LOOKUP(Detached!G$2,'Ceiling-U'!$A$4:$A$40,'Ceiling-U'!$H$4:$H$40)*Detached!G$14)+(LOOKUP(Detached!G$2,'Floor-U'!$A$4:$A$40,'Floor-U'!$H$4:$H$40)*Detached!G$15)+(LOOKUP(Detached!G$2,'Wall-U'!$A$4:$A$40,'Wall-U'!$T$4:$T$40)*Detached!G$12)+(LOOKUP(Detached!G$2,'Window-U'!$A$4:$A$40,'Window-U'!$H$4:$H$40)*Detached!G$21))*G169</f>
        <v>188.50332082217648</v>
      </c>
      <c r="H173" s="177">
        <f>((LOOKUP(Detached!H$2,'Ceiling-U'!$A$4:$A$40,'Ceiling-U'!$H$4:$H$40)*Detached!H$14)+(LOOKUP(Detached!H$2,'Floor-U'!$A$4:$A$40,'Floor-U'!$H$4:$H$40)*Detached!H$15)+(LOOKUP(Detached!H$2,'Wall-U'!$A$4:$A$40,'Wall-U'!$T$4:$T$40)*Detached!H$12)+(LOOKUP(Detached!H$2,'Window-U'!$A$4:$A$40,'Window-U'!$H$4:$H$40)*Detached!H$21))*H169</f>
        <v>618.42438122131898</v>
      </c>
      <c r="I173" s="177">
        <f>((LOOKUP(Detached!I$2,'Ceiling-U'!$A$4:$A$40,'Ceiling-U'!$H$4:$H$40)*Detached!I$14)+(LOOKUP(Detached!I$2,'Floor-U'!$A$4:$A$40,'Floor-U'!$H$4:$H$40)*Detached!I$15)+(LOOKUP(Detached!I$2,'Wall-U'!$A$4:$A$40,'Wall-U'!$T$4:$T$40)*Detached!I$12)+(LOOKUP(Detached!I$2,'Window-U'!$A$4:$A$40,'Window-U'!$H$4:$H$40)*Detached!I$21))*I169</f>
        <v>228.77029057406577</v>
      </c>
      <c r="J173" s="177">
        <f>((LOOKUP(Detached!J$2,'Ceiling-U'!$A$4:$A$40,'Ceiling-U'!$H$4:$H$40)*Detached!J$14)+(LOOKUP(Detached!J$2,'Floor-U'!$A$4:$A$40,'Floor-U'!$H$4:$H$40)*Detached!J$15)+(LOOKUP(Detached!J$2,'Wall-U'!$A$4:$A$40,'Wall-U'!$T$4:$T$40)*Detached!J$12)+(LOOKUP(Detached!J$2,'Window-U'!$A$4:$A$40,'Window-U'!$H$4:$H$40)*Detached!J$21))*J169</f>
        <v>197.24076785892777</v>
      </c>
      <c r="K173" s="177">
        <f>((LOOKUP(Detached!K$2,'Ceiling-U'!$A$4:$A$40,'Ceiling-U'!$H$4:$H$40)*Detached!K$14)+(LOOKUP(Detached!K$2,'Floor-U'!$A$4:$A$40,'Floor-U'!$H$4:$H$40)*Detached!K$15)+(LOOKUP(Detached!K$2,'Wall-U'!$A$4:$A$40,'Wall-U'!$T$4:$T$40)*Detached!K$12)+(LOOKUP(Detached!K$2,'Window-U'!$A$4:$A$40,'Window-U'!$H$4:$H$40)*Detached!K$21))*K169</f>
        <v>158.7504570577463</v>
      </c>
      <c r="L173" s="177">
        <f>((LOOKUP(Detached!L$2,'Ceiling-U'!$A$4:$A$40,'Ceiling-U'!$H$4:$H$40)*Detached!L$14)+(LOOKUP(Detached!L$2,'Floor-U'!$A$4:$A$40,'Floor-U'!$H$4:$H$40)*Detached!L$15)+(LOOKUP(Detached!L$2,'Wall-U'!$A$4:$A$40,'Wall-U'!$T$4:$T$40)*Detached!L$12)+(LOOKUP(Detached!L$2,'Window-U'!$A$4:$A$40,'Window-U'!$H$4:$H$40)*Detached!L$21))*L169</f>
        <v>88.882430070916826</v>
      </c>
      <c r="M173" s="177">
        <f>((LOOKUP(Detached!M$2,'Ceiling-U'!$A$4:$A$40,'Ceiling-U'!$H$4:$H$40)*Detached!M$14)+(LOOKUP(Detached!M$2,'Floor-U'!$A$4:$A$40,'Floor-U'!$H$4:$H$40)*Detached!M$15)+(LOOKUP(Detached!M$2,'Wall-U'!$A$4:$A$40,'Wall-U'!$T$4:$T$40)*Detached!M$12)+(LOOKUP(Detached!M$2,'Window-U'!$A$4:$A$40,'Window-U'!$H$4:$H$40)*Detached!M$21))*M169</f>
        <v>320.67928335843288</v>
      </c>
      <c r="N173" s="177">
        <f>((LOOKUP(Detached!N$2,'Ceiling-U'!$A$4:$A$40,'Ceiling-U'!$H$4:$H$40)*Detached!N$14)+(LOOKUP(Detached!N$2,'Floor-U'!$A$4:$A$40,'Floor-U'!$H$4:$H$40)*Detached!N$15)+(LOOKUP(Detached!N$2,'Wall-U'!$A$4:$A$40,'Wall-U'!$T$4:$T$40)*Detached!N$12)+(LOOKUP(Detached!N$2,'Window-U'!$A$4:$A$40,'Window-U'!$H$4:$H$40)*Detached!N$21))*N169</f>
        <v>120.79338268599943</v>
      </c>
      <c r="O173" s="177">
        <f>((LOOKUP(Detached!O$2,'Ceiling-U'!$A$4:$A$40,'Ceiling-U'!$H$4:$H$40)*Detached!O$14)+(LOOKUP(Detached!O$2,'Floor-U'!$A$4:$A$40,'Floor-U'!$H$4:$H$40)*Detached!O$15)+(LOOKUP(Detached!O$2,'Wall-U'!$A$4:$A$40,'Wall-U'!$T$4:$T$40)*Detached!O$12)+(LOOKUP(Detached!O$2,'Window-U'!$A$4:$A$40,'Window-U'!$H$4:$H$40)*Detached!O$21))*O169</f>
        <v>244.89063834530114</v>
      </c>
      <c r="P173" s="177">
        <f>((LOOKUP(Detached!P$2,'Ceiling-U'!$A$4:$A$40,'Ceiling-U'!$H$4:$H$40)*Detached!P$14)+(LOOKUP(Detached!P$2,'Floor-U'!$A$4:$A$40,'Floor-U'!$H$4:$H$40)*Detached!P$15)+(LOOKUP(Detached!P$2,'Wall-U'!$A$4:$A$40,'Wall-U'!$T$4:$T$40)*Detached!P$12)+(LOOKUP(Detached!P$2,'Window-U'!$A$4:$A$40,'Window-U'!$H$4:$H$40)*Detached!P$21))*P169</f>
        <v>530.88870841055996</v>
      </c>
      <c r="Q173" s="177">
        <f>((LOOKUP(Detached!Q$2,'Ceiling-U'!$A$4:$A$40,'Ceiling-U'!$H$4:$H$40)*Detached!Q$14)+(LOOKUP(Detached!Q$2,'Floor-U'!$A$4:$A$40,'Floor-U'!$H$4:$H$40)*Detached!Q$15)+(LOOKUP(Detached!Q$2,'Wall-U'!$A$4:$A$40,'Wall-U'!$T$4:$T$40)*Detached!Q$12)+(LOOKUP(Detached!Q$2,'Window-U'!$A$4:$A$40,'Window-U'!$H$4:$H$40)*Detached!Q$21))*Q169</f>
        <v>246.99764583922476</v>
      </c>
      <c r="R173" s="177">
        <f>((LOOKUP(Detached!R$2,'Ceiling-U'!$A$4:$A$40,'Ceiling-U'!$H$4:$H$40)*Detached!R$14)+(LOOKUP(Detached!R$2,'Floor-U'!$A$4:$A$40,'Floor-U'!$H$4:$H$40)*Detached!R$15)+(LOOKUP(Detached!R$2,'Wall-U'!$A$4:$A$40,'Wall-U'!$T$4:$T$40)*Detached!R$12)+(LOOKUP(Detached!R$2,'Window-U'!$A$4:$A$40,'Window-U'!$H$4:$H$40)*Detached!R$21))*R169</f>
        <v>221.82955345278606</v>
      </c>
      <c r="S173" s="177">
        <f>((LOOKUP(Detached!S$2,'Ceiling-U'!$A$4:$A$40,'Ceiling-U'!$H$4:$H$40)*Detached!S$14)+(LOOKUP(Detached!S$2,'Floor-U'!$A$4:$A$40,'Floor-U'!$H$4:$H$40)*Detached!S$15)+(LOOKUP(Detached!S$2,'Wall-U'!$A$4:$A$40,'Wall-U'!$T$4:$T$40)*Detached!S$12)+(LOOKUP(Detached!S$2,'Window-U'!$A$4:$A$40,'Window-U'!$H$4:$H$40)*Detached!S$21))*S169</f>
        <v>249.96023161118609</v>
      </c>
      <c r="T173" s="177">
        <f>((LOOKUP(Detached!T$2,'Ceiling-U'!$A$4:$A$40,'Ceiling-U'!$H$4:$H$40)*Detached!T$14)+(LOOKUP(Detached!T$2,'Floor-U'!$A$4:$A$40,'Floor-U'!$H$4:$H$40)*Detached!T$15)+(LOOKUP(Detached!T$2,'Wall-U'!$A$4:$A$40,'Wall-U'!$T$4:$T$40)*Detached!T$12)+(LOOKUP(Detached!T$2,'Window-U'!$A$4:$A$40,'Window-U'!$H$4:$H$40)*Detached!T$21))*T169</f>
        <v>120.79338268599943</v>
      </c>
      <c r="U173" s="177">
        <f>((LOOKUP(Detached!U$2,'Ceiling-U'!$A$4:$A$40,'Ceiling-U'!$H$4:$H$40)*Detached!U$14)+(LOOKUP(Detached!U$2,'Floor-U'!$A$4:$A$40,'Floor-U'!$H$4:$H$40)*Detached!U$15)+(LOOKUP(Detached!U$2,'Wall-U'!$A$4:$A$40,'Wall-U'!$T$4:$T$40)*Detached!U$12)+(LOOKUP(Detached!U$2,'Window-U'!$A$4:$A$40,'Window-U'!$H$4:$H$40)*Detached!U$21))*U169</f>
        <v>389.96118252895576</v>
      </c>
      <c r="V173" s="177">
        <f>((LOOKUP(Detached!V$2,'Ceiling-U'!$A$4:$A$40,'Ceiling-U'!$H$4:$H$40)*Detached!V$14)+(LOOKUP(Detached!V$2,'Floor-U'!$A$4:$A$40,'Floor-U'!$H$4:$H$40)*Detached!V$15)+(LOOKUP(Detached!V$2,'Wall-U'!$A$4:$A$40,'Wall-U'!$T$4:$T$40)*Detached!V$12)+(LOOKUP(Detached!V$2,'Window-U'!$A$4:$A$40,'Window-U'!$H$4:$H$40)*Detached!V$21))*V169</f>
        <v>171.00403473344807</v>
      </c>
      <c r="W173" s="177">
        <f>((LOOKUP(Detached!W$2,'Ceiling-U'!$A$4:$A$40,'Ceiling-U'!$H$4:$H$40)*Detached!W$14)+(LOOKUP(Detached!W$2,'Floor-U'!$A$4:$A$40,'Floor-U'!$H$4:$H$40)*Detached!W$15)+(LOOKUP(Detached!W$2,'Wall-U'!$A$4:$A$40,'Wall-U'!$T$4:$T$40)*Detached!W$12)+(LOOKUP(Detached!W$2,'Window-U'!$A$4:$A$40,'Window-U'!$H$4:$H$40)*Detached!W$21))*W169</f>
        <v>163.5454746681558</v>
      </c>
      <c r="X173" s="177">
        <f>((LOOKUP(Detached!X$2,'Ceiling-U'!$A$4:$A$40,'Ceiling-U'!$H$4:$H$40)*Detached!X$14)+(LOOKUP(Detached!X$2,'Floor-U'!$A$4:$A$40,'Floor-U'!$H$4:$H$40)*Detached!X$15)+(LOOKUP(Detached!X$2,'Wall-U'!$A$4:$A$40,'Wall-U'!$T$4:$T$40)*Detached!X$12)+(LOOKUP(Detached!X$2,'Window-U'!$A$4:$A$40,'Window-U'!$H$4:$H$40)*Detached!X$21))*X169</f>
        <v>152.37021557475572</v>
      </c>
      <c r="Y173" s="177">
        <f>((LOOKUP(Detached!Y$2,'Ceiling-U'!$A$4:$A$40,'Ceiling-U'!$H$4:$H$40)*Detached!Y$14)+(LOOKUP(Detached!Y$2,'Floor-U'!$A$4:$A$40,'Floor-U'!$H$4:$H$40)*Detached!Y$15)+(LOOKUP(Detached!Y$2,'Wall-U'!$A$4:$A$40,'Wall-U'!$T$4:$T$40)*Detached!Y$12)+(LOOKUP(Detached!Y$2,'Window-U'!$A$4:$A$40,'Window-U'!$H$4:$H$40)*Detached!Y$21))*Y169</f>
        <v>520.7472031763898</v>
      </c>
      <c r="Z173" s="177">
        <f>((LOOKUP(Detached!Z$2,'Ceiling-U'!$A$4:$A$40,'Ceiling-U'!$H$4:$H$40)*Detached!Z$14)+(LOOKUP(Detached!Z$2,'Floor-U'!$A$4:$A$40,'Floor-U'!$H$4:$H$40)*Detached!Z$15)+(LOOKUP(Detached!Z$2,'Wall-U'!$A$4:$A$40,'Wall-U'!$T$4:$T$40)*Detached!Z$12)+(LOOKUP(Detached!Z$2,'Window-U'!$A$4:$A$40,'Window-U'!$H$4:$H$40)*Detached!Z$21))*Z169</f>
        <v>282.04506929574279</v>
      </c>
      <c r="AA173" s="177">
        <f>((LOOKUP(Detached!AA$2,'Ceiling-U'!$A$4:$A$40,'Ceiling-U'!$H$4:$H$40)*Detached!AA$14)+(LOOKUP(Detached!AA$2,'Floor-U'!$A$4:$A$40,'Floor-U'!$H$4:$H$40)*Detached!AA$15)+(LOOKUP(Detached!AA$2,'Wall-U'!$A$4:$A$40,'Wall-U'!$T$4:$T$40)*Detached!AA$12)+(LOOKUP(Detached!AA$2,'Window-U'!$A$4:$A$40,'Window-U'!$H$4:$H$40)*Detached!AA$21))*AA169</f>
        <v>136.32201836830762</v>
      </c>
      <c r="AB173" s="177">
        <f>((LOOKUP(Detached!AB$2,'Ceiling-U'!$A$4:$A$40,'Ceiling-U'!$H$4:$H$40)*Detached!AB$14)+(LOOKUP(Detached!AB$2,'Floor-U'!$A$4:$A$40,'Floor-U'!$H$4:$H$40)*Detached!AB$15)+(LOOKUP(Detached!AB$2,'Wall-U'!$A$4:$A$40,'Wall-U'!$T$4:$T$40)*Detached!AB$12)+(LOOKUP(Detached!AB$2,'Window-U'!$A$4:$A$40,'Window-U'!$H$4:$H$40)*Detached!AB$21))*AB169</f>
        <v>220.54102535013629</v>
      </c>
      <c r="AC173" s="177">
        <f>((LOOKUP(Detached!AC$2,'Ceiling-U'!$A$4:$A$40,'Ceiling-U'!$H$4:$H$40)*Detached!AC$14)+(LOOKUP(Detached!AC$2,'Floor-U'!$A$4:$A$40,'Floor-U'!$H$4:$H$40)*Detached!AC$15)+(LOOKUP(Detached!AC$2,'Wall-U'!$A$4:$A$40,'Wall-U'!$T$4:$T$40)*Detached!AC$12)+(LOOKUP(Detached!AC$2,'Window-U'!$A$4:$A$40,'Window-U'!$H$4:$H$40)*Detached!AC$21))*AC169</f>
        <v>575.73933487171882</v>
      </c>
      <c r="AD173" s="177">
        <f>((LOOKUP(Detached!AD$2,'Ceiling-U'!$A$4:$A$40,'Ceiling-U'!$H$4:$H$40)*Detached!AD$14)+(LOOKUP(Detached!AD$2,'Floor-U'!$A$4:$A$40,'Floor-U'!$H$4:$H$40)*Detached!AD$15)+(LOOKUP(Detached!AD$2,'Wall-U'!$A$4:$A$40,'Wall-U'!$T$4:$T$40)*Detached!AD$12)+(LOOKUP(Detached!AD$2,'Window-U'!$A$4:$A$40,'Window-U'!$H$4:$H$40)*Detached!AD$21))*AD169</f>
        <v>251.64087146069696</v>
      </c>
      <c r="AE173" s="177">
        <f>((LOOKUP(Detached!AE$2,'Ceiling-U'!$A$4:$A$40,'Ceiling-U'!$H$4:$H$40)*Detached!AE$14)+(LOOKUP(Detached!AE$2,'Floor-U'!$A$4:$A$40,'Floor-U'!$H$4:$H$40)*Detached!AE$15)+(LOOKUP(Detached!AE$2,'Wall-U'!$A$4:$A$40,'Wall-U'!$T$4:$T$40)*Detached!AE$12)+(LOOKUP(Detached!AE$2,'Window-U'!$A$4:$A$40,'Window-U'!$H$4:$H$40)*Detached!AE$21))*AE169</f>
        <v>136.32201836830762</v>
      </c>
      <c r="AF173" s="177">
        <f>((LOOKUP(Detached!AF$2,'Ceiling-U'!$A$4:$A$40,'Ceiling-U'!$H$4:$H$40)*Detached!AF$14)+(LOOKUP(Detached!AF$2,'Floor-U'!$A$4:$A$40,'Floor-U'!$H$4:$H$40)*Detached!AF$15)+(LOOKUP(Detached!AF$2,'Wall-U'!$A$4:$A$40,'Wall-U'!$T$4:$T$40)*Detached!AF$12)+(LOOKUP(Detached!AF$2,'Window-U'!$A$4:$A$40,'Window-U'!$H$4:$H$40)*Detached!AF$21))*AF169</f>
        <v>214.10316369204946</v>
      </c>
      <c r="AG173" s="177">
        <f>((LOOKUP(Detached!AG$2,'Ceiling-U'!$A$4:$A$40,'Ceiling-U'!$H$4:$H$40)*Detached!AG$14)+(LOOKUP(Detached!AG$2,'Floor-U'!$A$4:$A$40,'Floor-U'!$H$4:$H$40)*Detached!AG$15)+(LOOKUP(Detached!AG$2,'Wall-U'!$A$4:$A$40,'Wall-U'!$T$4:$T$40)*Detached!AG$12)+(LOOKUP(Detached!AG$2,'Window-U'!$A$4:$A$40,'Window-U'!$H$4:$H$40)*Detached!AG$21))*AG169</f>
        <v>326.73303567821108</v>
      </c>
      <c r="AH173" s="177">
        <f>((LOOKUP(Detached!AH$2,'Ceiling-U'!$A$4:$A$40,'Ceiling-U'!$H$4:$H$40)*Detached!AH$14)+(LOOKUP(Detached!AH$2,'Floor-U'!$A$4:$A$40,'Floor-U'!$H$4:$H$40)*Detached!AH$15)+(LOOKUP(Detached!AH$2,'Wall-U'!$A$4:$A$40,'Wall-U'!$T$4:$T$40)*Detached!AH$12)+(LOOKUP(Detached!AH$2,'Window-U'!$A$4:$A$40,'Window-U'!$H$4:$H$40)*Detached!AH$21))*AH169</f>
        <v>213.97292464320319</v>
      </c>
      <c r="AI173" s="177">
        <f>((LOOKUP(Detached!AI$2,'Ceiling-U'!$A$4:$A$40,'Ceiling-U'!$H$4:$H$40)*Detached!AI$14)+(LOOKUP(Detached!AI$2,'Floor-U'!$A$4:$A$40,'Floor-U'!$H$4:$H$40)*Detached!AI$15)+(LOOKUP(Detached!AI$2,'Wall-U'!$A$4:$A$40,'Wall-U'!$T$4:$T$40)*Detached!AI$12)+(LOOKUP(Detached!AI$2,'Window-U'!$A$4:$A$40,'Window-U'!$H$4:$H$40)*Detached!AI$21))*AI169</f>
        <v>530.88870841055996</v>
      </c>
      <c r="AJ173" s="177">
        <f>((LOOKUP(Detached!AJ$2,'Ceiling-U'!$A$4:$A$40,'Ceiling-U'!$H$4:$H$40)*Detached!AJ$14)+(LOOKUP(Detached!AJ$2,'Floor-U'!$A$4:$A$40,'Floor-U'!$H$4:$H$40)*Detached!AJ$15)+(LOOKUP(Detached!AJ$2,'Wall-U'!$A$4:$A$40,'Wall-U'!$T$4:$T$40)*Detached!AJ$12)+(LOOKUP(Detached!AJ$2,'Window-U'!$A$4:$A$40,'Window-U'!$H$4:$H$40)*Detached!AJ$21))*AJ169</f>
        <v>225.57569352278321</v>
      </c>
      <c r="AK173" s="177">
        <f>((LOOKUP(Detached!AK$2,'Ceiling-U'!$A$4:$A$40,'Ceiling-U'!$H$4:$H$40)*Detached!AK$14)+(LOOKUP(Detached!AK$2,'Floor-U'!$A$4:$A$40,'Floor-U'!$H$4:$H$40)*Detached!AK$15)+(LOOKUP(Detached!AK$2,'Wall-U'!$A$4:$A$40,'Wall-U'!$T$4:$T$40)*Detached!AK$12)+(LOOKUP(Detached!AK$2,'Window-U'!$A$4:$A$40,'Window-U'!$H$4:$H$40)*Detached!AK$21))*AK169</f>
        <v>261.79941295579903</v>
      </c>
      <c r="AL173" s="177">
        <f>((LOOKUP(Detached!AL$2,'Ceiling-U'!$A$4:$A$40,'Ceiling-U'!$H$4:$H$40)*Detached!AL$14)+(LOOKUP(Detached!AL$2,'Floor-U'!$A$4:$A$40,'Floor-U'!$H$4:$H$40)*Detached!AL$15)+(LOOKUP(Detached!AL$2,'Wall-U'!$A$4:$A$40,'Wall-U'!$T$4:$T$40)*Detached!AL$12)+(LOOKUP(Detached!AL$2,'Window-U'!$A$4:$A$40,'Window-U'!$H$4:$H$40)*Detached!AL$21))*AL169</f>
        <v>218.2344060487207</v>
      </c>
      <c r="AM173" s="177">
        <f>((LOOKUP(Detached!AM$2,'Ceiling-U'!$A$4:$A$40,'Ceiling-U'!$H$4:$H$40)*Detached!AM$14)+(LOOKUP(Detached!AM$2,'Floor-U'!$A$4:$A$40,'Floor-U'!$H$4:$H$40)*Detached!AM$15)+(LOOKUP(Detached!AM$2,'Wall-U'!$A$4:$A$40,'Wall-U'!$T$4:$T$40)*Detached!AM$12)+(LOOKUP(Detached!AM$2,'Window-U'!$A$4:$A$40,'Window-U'!$H$4:$H$40)*Detached!AM$21))*AM169</f>
        <v>225.57569352278321</v>
      </c>
      <c r="AN173" s="178">
        <f>((LOOKUP(Detached!AN$2,'Ceiling-U'!$A$4:$A$40,'Ceiling-U'!$H$4:$H$40)*Detached!AN$14)+(LOOKUP(Detached!AN$2,'Floor-U'!$A$4:$A$40,'Floor-U'!$H$4:$H$40)*Detached!AN$15)+(LOOKUP(Detached!AN$2,'Wall-U'!$A$4:$A$40,'Wall-U'!$T$4:$T$40)*Detached!AN$12)+(LOOKUP(Detached!AN$2,'Window-U'!$A$4:$A$40,'Window-U'!$H$4:$H$40)*Detached!AN$21))*AN169</f>
        <v>225.57569352278321</v>
      </c>
    </row>
    <row r="174" spans="1:40">
      <c r="A174" s="372"/>
      <c r="B174" s="142" t="s">
        <v>6</v>
      </c>
      <c r="C174" s="131" t="s">
        <v>195</v>
      </c>
      <c r="D174" s="176">
        <f>((LOOKUP(Detached!D$2,'Ceiling-U'!$A$4:$A$40,'Ceiling-U'!$I$4:$I$40)*Detached!D$14)+(LOOKUP(Detached!D$2,'Floor-U'!$A$4:$A$40,'Floor-U'!$I$4:$I$40)*Detached!D$15)+(LOOKUP(Detached!D$2,'Wall-U'!$A$4:$A$40,'Wall-U'!$U$4:$U$40)*Detached!D$12)+(LOOKUP(Detached!D$2,'Window-U'!$A$4:$A$40,'Window-U'!$I$4:$I$40)*Detached!D$21))*D169</f>
        <v>165.58928926865735</v>
      </c>
      <c r="E174" s="177">
        <f>((LOOKUP(Detached!E$2,'Ceiling-U'!$A$4:$A$40,'Ceiling-U'!$I$4:$I$40)*Detached!E$14)+(LOOKUP(Detached!E$2,'Floor-U'!$A$4:$A$40,'Floor-U'!$I$4:$I$40)*Detached!E$15)+(LOOKUP(Detached!E$2,'Wall-U'!$A$4:$A$40,'Wall-U'!$U$4:$U$40)*Detached!E$12)+(LOOKUP(Detached!E$2,'Window-U'!$A$4:$A$40,'Window-U'!$I$4:$I$40)*Detached!E$21))*E169</f>
        <v>366.27804337206021</v>
      </c>
      <c r="F174" s="177">
        <f>((LOOKUP(Detached!F$2,'Ceiling-U'!$A$4:$A$40,'Ceiling-U'!$I$4:$I$40)*Detached!F$14)+(LOOKUP(Detached!F$2,'Floor-U'!$A$4:$A$40,'Floor-U'!$I$4:$I$40)*Detached!F$15)+(LOOKUP(Detached!F$2,'Wall-U'!$A$4:$A$40,'Wall-U'!$U$4:$U$40)*Detached!F$12)+(LOOKUP(Detached!F$2,'Window-U'!$A$4:$A$40,'Window-U'!$I$4:$I$40)*Detached!F$21))*F169</f>
        <v>172.09716886241858</v>
      </c>
      <c r="G174" s="177">
        <f>((LOOKUP(Detached!G$2,'Ceiling-U'!$A$4:$A$40,'Ceiling-U'!$I$4:$I$40)*Detached!G$14)+(LOOKUP(Detached!G$2,'Floor-U'!$A$4:$A$40,'Floor-U'!$I$4:$I$40)*Detached!G$15)+(LOOKUP(Detached!G$2,'Wall-U'!$A$4:$A$40,'Wall-U'!$U$4:$U$40)*Detached!G$12)+(LOOKUP(Detached!G$2,'Window-U'!$A$4:$A$40,'Window-U'!$I$4:$I$40)*Detached!G$21))*G169</f>
        <v>165.58928926865735</v>
      </c>
      <c r="H174" s="177">
        <f>((LOOKUP(Detached!H$2,'Ceiling-U'!$A$4:$A$40,'Ceiling-U'!$I$4:$I$40)*Detached!H$14)+(LOOKUP(Detached!H$2,'Floor-U'!$A$4:$A$40,'Floor-U'!$I$4:$I$40)*Detached!H$15)+(LOOKUP(Detached!H$2,'Wall-U'!$A$4:$A$40,'Wall-U'!$U$4:$U$40)*Detached!H$12)+(LOOKUP(Detached!H$2,'Window-U'!$A$4:$A$40,'Window-U'!$I$4:$I$40)*Detached!H$21))*H169</f>
        <v>492.42438122131904</v>
      </c>
      <c r="I174" s="177">
        <f>((LOOKUP(Detached!I$2,'Ceiling-U'!$A$4:$A$40,'Ceiling-U'!$I$4:$I$40)*Detached!I$14)+(LOOKUP(Detached!I$2,'Floor-U'!$A$4:$A$40,'Floor-U'!$I$4:$I$40)*Detached!I$15)+(LOOKUP(Detached!I$2,'Wall-U'!$A$4:$A$40,'Wall-U'!$U$4:$U$40)*Detached!I$12)+(LOOKUP(Detached!I$2,'Window-U'!$A$4:$A$40,'Window-U'!$I$4:$I$40)*Detached!I$21))*I169</f>
        <v>180.21627994347571</v>
      </c>
      <c r="J174" s="177">
        <f>((LOOKUP(Detached!J$2,'Ceiling-U'!$A$4:$A$40,'Ceiling-U'!$I$4:$I$40)*Detached!J$14)+(LOOKUP(Detached!J$2,'Floor-U'!$A$4:$A$40,'Floor-U'!$I$4:$I$40)*Detached!J$15)+(LOOKUP(Detached!J$2,'Wall-U'!$A$4:$A$40,'Wall-U'!$U$4:$U$40)*Detached!J$12)+(LOOKUP(Detached!J$2,'Window-U'!$A$4:$A$40,'Window-U'!$I$4:$I$40)*Detached!J$21))*J169</f>
        <v>121.30698187986064</v>
      </c>
      <c r="K174" s="177">
        <f>((LOOKUP(Detached!K$2,'Ceiling-U'!$A$4:$A$40,'Ceiling-U'!$I$4:$I$40)*Detached!K$14)+(LOOKUP(Detached!K$2,'Floor-U'!$A$4:$A$40,'Floor-U'!$I$4:$I$40)*Detached!K$15)+(LOOKUP(Detached!K$2,'Wall-U'!$A$4:$A$40,'Wall-U'!$U$4:$U$40)*Detached!K$12)+(LOOKUP(Detached!K$2,'Window-U'!$A$4:$A$40,'Window-U'!$I$4:$I$40)*Detached!K$21))*K169</f>
        <v>158.7504570577463</v>
      </c>
      <c r="L174" s="177">
        <f>((LOOKUP(Detached!L$2,'Ceiling-U'!$A$4:$A$40,'Ceiling-U'!$I$4:$I$40)*Detached!L$14)+(LOOKUP(Detached!L$2,'Floor-U'!$A$4:$A$40,'Floor-U'!$I$4:$I$40)*Detached!L$15)+(LOOKUP(Detached!L$2,'Wall-U'!$A$4:$A$40,'Wall-U'!$U$4:$U$40)*Detached!L$12)+(LOOKUP(Detached!L$2,'Window-U'!$A$4:$A$40,'Window-U'!$I$4:$I$40)*Detached!L$21))*L169</f>
        <v>76.592968127645776</v>
      </c>
      <c r="M174" s="177">
        <f>((LOOKUP(Detached!M$2,'Ceiling-U'!$A$4:$A$40,'Ceiling-U'!$I$4:$I$40)*Detached!M$14)+(LOOKUP(Detached!M$2,'Floor-U'!$A$4:$A$40,'Floor-U'!$I$4:$I$40)*Detached!M$15)+(LOOKUP(Detached!M$2,'Wall-U'!$A$4:$A$40,'Wall-U'!$U$4:$U$40)*Detached!M$12)+(LOOKUP(Detached!M$2,'Window-U'!$A$4:$A$40,'Window-U'!$I$4:$I$40)*Detached!M$21))*M169</f>
        <v>320.67928335843288</v>
      </c>
      <c r="N174" s="177">
        <f>((LOOKUP(Detached!N$2,'Ceiling-U'!$A$4:$A$40,'Ceiling-U'!$I$4:$I$40)*Detached!N$14)+(LOOKUP(Detached!N$2,'Floor-U'!$A$4:$A$40,'Floor-U'!$I$4:$I$40)*Detached!N$15)+(LOOKUP(Detached!N$2,'Wall-U'!$A$4:$A$40,'Wall-U'!$U$4:$U$40)*Detached!N$12)+(LOOKUP(Detached!N$2,'Window-U'!$A$4:$A$40,'Window-U'!$I$4:$I$40)*Detached!N$21))*N169</f>
        <v>119.41015473930028</v>
      </c>
      <c r="O174" s="177">
        <f>((LOOKUP(Detached!O$2,'Ceiling-U'!$A$4:$A$40,'Ceiling-U'!$I$4:$I$40)*Detached!O$14)+(LOOKUP(Detached!O$2,'Floor-U'!$A$4:$A$40,'Floor-U'!$I$4:$I$40)*Detached!O$15)+(LOOKUP(Detached!O$2,'Wall-U'!$A$4:$A$40,'Wall-U'!$U$4:$U$40)*Detached!O$12)+(LOOKUP(Detached!O$2,'Window-U'!$A$4:$A$40,'Window-U'!$I$4:$I$40)*Detached!O$21))*O169</f>
        <v>148.60644550287049</v>
      </c>
      <c r="P174" s="177">
        <f>((LOOKUP(Detached!P$2,'Ceiling-U'!$A$4:$A$40,'Ceiling-U'!$I$4:$I$40)*Detached!P$14)+(LOOKUP(Detached!P$2,'Floor-U'!$A$4:$A$40,'Floor-U'!$I$4:$I$40)*Detached!P$15)+(LOOKUP(Detached!P$2,'Wall-U'!$A$4:$A$40,'Wall-U'!$U$4:$U$40)*Detached!P$12)+(LOOKUP(Detached!P$2,'Window-U'!$A$4:$A$40,'Window-U'!$I$4:$I$40)*Detached!P$21))*P169</f>
        <v>530.88870841055996</v>
      </c>
      <c r="Q174" s="177">
        <f>((LOOKUP(Detached!Q$2,'Ceiling-U'!$A$4:$A$40,'Ceiling-U'!$I$4:$I$40)*Detached!Q$14)+(LOOKUP(Detached!Q$2,'Floor-U'!$A$4:$A$40,'Floor-U'!$I$4:$I$40)*Detached!Q$15)+(LOOKUP(Detached!Q$2,'Wall-U'!$A$4:$A$40,'Wall-U'!$U$4:$U$40)*Detached!Q$12)+(LOOKUP(Detached!Q$2,'Window-U'!$A$4:$A$40,'Window-U'!$I$4:$I$40)*Detached!Q$21))*Q169</f>
        <v>184.337816665117</v>
      </c>
      <c r="R174" s="177">
        <f>((LOOKUP(Detached!R$2,'Ceiling-U'!$A$4:$A$40,'Ceiling-U'!$I$4:$I$40)*Detached!R$14)+(LOOKUP(Detached!R$2,'Floor-U'!$A$4:$A$40,'Floor-U'!$I$4:$I$40)*Detached!R$15)+(LOOKUP(Detached!R$2,'Wall-U'!$A$4:$A$40,'Wall-U'!$U$4:$U$40)*Detached!R$12)+(LOOKUP(Detached!R$2,'Window-U'!$A$4:$A$40,'Window-U'!$I$4:$I$40)*Detached!R$21))*R169</f>
        <v>221.82955345278606</v>
      </c>
      <c r="S174" s="177">
        <f>((LOOKUP(Detached!S$2,'Ceiling-U'!$A$4:$A$40,'Ceiling-U'!$I$4:$I$40)*Detached!S$14)+(LOOKUP(Detached!S$2,'Floor-U'!$A$4:$A$40,'Floor-U'!$I$4:$I$40)*Detached!S$15)+(LOOKUP(Detached!S$2,'Wall-U'!$A$4:$A$40,'Wall-U'!$U$4:$U$40)*Detached!S$12)+(LOOKUP(Detached!S$2,'Window-U'!$A$4:$A$40,'Window-U'!$I$4:$I$40)*Detached!S$21))*S169</f>
        <v>237.73779204836018</v>
      </c>
      <c r="T174" s="177">
        <f>((LOOKUP(Detached!T$2,'Ceiling-U'!$A$4:$A$40,'Ceiling-U'!$I$4:$I$40)*Detached!T$14)+(LOOKUP(Detached!T$2,'Floor-U'!$A$4:$A$40,'Floor-U'!$I$4:$I$40)*Detached!T$15)+(LOOKUP(Detached!T$2,'Wall-U'!$A$4:$A$40,'Wall-U'!$U$4:$U$40)*Detached!T$12)+(LOOKUP(Detached!T$2,'Window-U'!$A$4:$A$40,'Window-U'!$I$4:$I$40)*Detached!T$21))*T169</f>
        <v>119.41015473930028</v>
      </c>
      <c r="U174" s="177">
        <f>((LOOKUP(Detached!U$2,'Ceiling-U'!$A$4:$A$40,'Ceiling-U'!$I$4:$I$40)*Detached!U$14)+(LOOKUP(Detached!U$2,'Floor-U'!$A$4:$A$40,'Floor-U'!$I$4:$I$40)*Detached!U$15)+(LOOKUP(Detached!U$2,'Wall-U'!$A$4:$A$40,'Wall-U'!$U$4:$U$40)*Detached!U$12)+(LOOKUP(Detached!U$2,'Window-U'!$A$4:$A$40,'Window-U'!$I$4:$I$40)*Detached!U$21))*U169</f>
        <v>370.10928970866809</v>
      </c>
      <c r="V174" s="177">
        <f>((LOOKUP(Detached!V$2,'Ceiling-U'!$A$4:$A$40,'Ceiling-U'!$I$4:$I$40)*Detached!V$14)+(LOOKUP(Detached!V$2,'Floor-U'!$A$4:$A$40,'Floor-U'!$I$4:$I$40)*Detached!V$15)+(LOOKUP(Detached!V$2,'Wall-U'!$A$4:$A$40,'Wall-U'!$U$4:$U$40)*Detached!V$12)+(LOOKUP(Detached!V$2,'Window-U'!$A$4:$A$40,'Window-U'!$I$4:$I$40)*Detached!V$21))*V169</f>
        <v>171.00403473344807</v>
      </c>
      <c r="W174" s="177">
        <f>((LOOKUP(Detached!W$2,'Ceiling-U'!$A$4:$A$40,'Ceiling-U'!$I$4:$I$40)*Detached!W$14)+(LOOKUP(Detached!W$2,'Floor-U'!$A$4:$A$40,'Floor-U'!$I$4:$I$40)*Detached!W$15)+(LOOKUP(Detached!W$2,'Wall-U'!$A$4:$A$40,'Wall-U'!$U$4:$U$40)*Detached!W$12)+(LOOKUP(Detached!W$2,'Window-U'!$A$4:$A$40,'Window-U'!$I$4:$I$40)*Detached!W$21))*W169</f>
        <v>138.22018897857765</v>
      </c>
      <c r="X174" s="177">
        <f>((LOOKUP(Detached!X$2,'Ceiling-U'!$A$4:$A$40,'Ceiling-U'!$I$4:$I$40)*Detached!X$14)+(LOOKUP(Detached!X$2,'Floor-U'!$A$4:$A$40,'Floor-U'!$I$4:$I$40)*Detached!X$15)+(LOOKUP(Detached!X$2,'Wall-U'!$A$4:$A$40,'Wall-U'!$U$4:$U$40)*Detached!X$12)+(LOOKUP(Detached!X$2,'Window-U'!$A$4:$A$40,'Window-U'!$I$4:$I$40)*Detached!X$21))*X169</f>
        <v>149.22021557475571</v>
      </c>
      <c r="Y174" s="177">
        <f>((LOOKUP(Detached!Y$2,'Ceiling-U'!$A$4:$A$40,'Ceiling-U'!$I$4:$I$40)*Detached!Y$14)+(LOOKUP(Detached!Y$2,'Floor-U'!$A$4:$A$40,'Floor-U'!$I$4:$I$40)*Detached!Y$15)+(LOOKUP(Detached!Y$2,'Wall-U'!$A$4:$A$40,'Wall-U'!$U$4:$U$40)*Detached!Y$12)+(LOOKUP(Detached!Y$2,'Window-U'!$A$4:$A$40,'Window-U'!$I$4:$I$40)*Detached!Y$21))*Y169</f>
        <v>508.42134629826489</v>
      </c>
      <c r="Z174" s="177">
        <f>((LOOKUP(Detached!Z$2,'Ceiling-U'!$A$4:$A$40,'Ceiling-U'!$I$4:$I$40)*Detached!Z$14)+(LOOKUP(Detached!Z$2,'Floor-U'!$A$4:$A$40,'Floor-U'!$I$4:$I$40)*Detached!Z$15)+(LOOKUP(Detached!Z$2,'Wall-U'!$A$4:$A$40,'Wall-U'!$U$4:$U$40)*Detached!Z$12)+(LOOKUP(Detached!Z$2,'Window-U'!$A$4:$A$40,'Window-U'!$I$4:$I$40)*Detached!Z$21))*Z169</f>
        <v>249.44523408255557</v>
      </c>
      <c r="AA174" s="177">
        <f>((LOOKUP(Detached!AA$2,'Ceiling-U'!$A$4:$A$40,'Ceiling-U'!$I$4:$I$40)*Detached!AA$14)+(LOOKUP(Detached!AA$2,'Floor-U'!$A$4:$A$40,'Floor-U'!$I$4:$I$40)*Detached!AA$15)+(LOOKUP(Detached!AA$2,'Wall-U'!$A$4:$A$40,'Wall-U'!$U$4:$U$40)*Detached!AA$12)+(LOOKUP(Detached!AA$2,'Window-U'!$A$4:$A$40,'Window-U'!$I$4:$I$40)*Detached!AA$21))*AA169</f>
        <v>125.94851863412302</v>
      </c>
      <c r="AB174" s="177">
        <f>((LOOKUP(Detached!AB$2,'Ceiling-U'!$A$4:$A$40,'Ceiling-U'!$I$4:$I$40)*Detached!AB$14)+(LOOKUP(Detached!AB$2,'Floor-U'!$A$4:$A$40,'Floor-U'!$I$4:$I$40)*Detached!AB$15)+(LOOKUP(Detached!AB$2,'Wall-U'!$A$4:$A$40,'Wall-U'!$U$4:$U$40)*Detached!AB$12)+(LOOKUP(Detached!AB$2,'Window-U'!$A$4:$A$40,'Window-U'!$I$4:$I$40)*Detached!AB$21))*AB169</f>
        <v>220.54102535013629</v>
      </c>
      <c r="AC174" s="177">
        <f>((LOOKUP(Detached!AC$2,'Ceiling-U'!$A$4:$A$40,'Ceiling-U'!$I$4:$I$40)*Detached!AC$14)+(LOOKUP(Detached!AC$2,'Floor-U'!$A$4:$A$40,'Floor-U'!$I$4:$I$40)*Detached!AC$15)+(LOOKUP(Detached!AC$2,'Wall-U'!$A$4:$A$40,'Wall-U'!$U$4:$U$40)*Detached!AC$12)+(LOOKUP(Detached!AC$2,'Window-U'!$A$4:$A$40,'Window-U'!$I$4:$I$40)*Detached!AC$21))*AC169</f>
        <v>544.81776073779906</v>
      </c>
      <c r="AD174" s="177">
        <f>((LOOKUP(Detached!AD$2,'Ceiling-U'!$A$4:$A$40,'Ceiling-U'!$I$4:$I$40)*Detached!AD$14)+(LOOKUP(Detached!AD$2,'Floor-U'!$A$4:$A$40,'Floor-U'!$I$4:$I$40)*Detached!AD$15)+(LOOKUP(Detached!AD$2,'Wall-U'!$A$4:$A$40,'Wall-U'!$U$4:$U$40)*Detached!AD$12)+(LOOKUP(Detached!AD$2,'Window-U'!$A$4:$A$40,'Window-U'!$I$4:$I$40)*Detached!AD$21))*AD169</f>
        <v>251.64087146069696</v>
      </c>
      <c r="AE174" s="177">
        <f>((LOOKUP(Detached!AE$2,'Ceiling-U'!$A$4:$A$40,'Ceiling-U'!$I$4:$I$40)*Detached!AE$14)+(LOOKUP(Detached!AE$2,'Floor-U'!$A$4:$A$40,'Floor-U'!$I$4:$I$40)*Detached!AE$15)+(LOOKUP(Detached!AE$2,'Wall-U'!$A$4:$A$40,'Wall-U'!$U$4:$U$40)*Detached!AE$12)+(LOOKUP(Detached!AE$2,'Window-U'!$A$4:$A$40,'Window-U'!$I$4:$I$40)*Detached!AE$21))*AE169</f>
        <v>125.94851863412302</v>
      </c>
      <c r="AF174" s="177">
        <f>((LOOKUP(Detached!AF$2,'Ceiling-U'!$A$4:$A$40,'Ceiling-U'!$I$4:$I$40)*Detached!AF$14)+(LOOKUP(Detached!AF$2,'Floor-U'!$A$4:$A$40,'Floor-U'!$I$4:$I$40)*Detached!AF$15)+(LOOKUP(Detached!AF$2,'Wall-U'!$A$4:$A$40,'Wall-U'!$U$4:$U$40)*Detached!AF$12)+(LOOKUP(Detached!AF$2,'Window-U'!$A$4:$A$40,'Window-U'!$I$4:$I$40)*Detached!AF$21))*AF169</f>
        <v>160.82714534594479</v>
      </c>
      <c r="AG174" s="177">
        <f>((LOOKUP(Detached!AG$2,'Ceiling-U'!$A$4:$A$40,'Ceiling-U'!$I$4:$I$40)*Detached!AG$14)+(LOOKUP(Detached!AG$2,'Floor-U'!$A$4:$A$40,'Floor-U'!$I$4:$I$40)*Detached!AG$15)+(LOOKUP(Detached!AG$2,'Wall-U'!$A$4:$A$40,'Wall-U'!$U$4:$U$40)*Detached!AG$12)+(LOOKUP(Detached!AG$2,'Window-U'!$A$4:$A$40,'Window-U'!$I$4:$I$40)*Detached!AG$21))*AG169</f>
        <v>288.87175242821104</v>
      </c>
      <c r="AH174" s="177">
        <f>((LOOKUP(Detached!AH$2,'Ceiling-U'!$A$4:$A$40,'Ceiling-U'!$I$4:$I$40)*Detached!AH$14)+(LOOKUP(Detached!AH$2,'Floor-U'!$A$4:$A$40,'Floor-U'!$I$4:$I$40)*Detached!AH$15)+(LOOKUP(Detached!AH$2,'Wall-U'!$A$4:$A$40,'Wall-U'!$U$4:$U$40)*Detached!AH$12)+(LOOKUP(Detached!AH$2,'Window-U'!$A$4:$A$40,'Window-U'!$I$4:$I$40)*Detached!AH$21))*AH169</f>
        <v>152.2375822380163</v>
      </c>
      <c r="AI174" s="177">
        <f>((LOOKUP(Detached!AI$2,'Ceiling-U'!$A$4:$A$40,'Ceiling-U'!$I$4:$I$40)*Detached!AI$14)+(LOOKUP(Detached!AI$2,'Floor-U'!$A$4:$A$40,'Floor-U'!$I$4:$I$40)*Detached!AI$15)+(LOOKUP(Detached!AI$2,'Wall-U'!$A$4:$A$40,'Wall-U'!$U$4:$U$40)*Detached!AI$12)+(LOOKUP(Detached!AI$2,'Window-U'!$A$4:$A$40,'Window-U'!$I$4:$I$40)*Detached!AI$21))*AI169</f>
        <v>530.88870841055996</v>
      </c>
      <c r="AJ174" s="177">
        <f>((LOOKUP(Detached!AJ$2,'Ceiling-U'!$A$4:$A$40,'Ceiling-U'!$I$4:$I$40)*Detached!AJ$14)+(LOOKUP(Detached!AJ$2,'Floor-U'!$A$4:$A$40,'Floor-U'!$I$4:$I$40)*Detached!AJ$15)+(LOOKUP(Detached!AJ$2,'Wall-U'!$A$4:$A$40,'Wall-U'!$U$4:$U$40)*Detached!AJ$12)+(LOOKUP(Detached!AJ$2,'Window-U'!$A$4:$A$40,'Window-U'!$I$4:$I$40)*Detached!AJ$21))*AJ169</f>
        <v>219.66245095276778</v>
      </c>
      <c r="AK174" s="177">
        <f>((LOOKUP(Detached!AK$2,'Ceiling-U'!$A$4:$A$40,'Ceiling-U'!$I$4:$I$40)*Detached!AK$14)+(LOOKUP(Detached!AK$2,'Floor-U'!$A$4:$A$40,'Floor-U'!$I$4:$I$40)*Detached!AK$15)+(LOOKUP(Detached!AK$2,'Wall-U'!$A$4:$A$40,'Wall-U'!$U$4:$U$40)*Detached!AK$12)+(LOOKUP(Detached!AK$2,'Window-U'!$A$4:$A$40,'Window-U'!$I$4:$I$40)*Detached!AK$21))*AK169</f>
        <v>253.24053455767887</v>
      </c>
      <c r="AL174" s="177">
        <f>((LOOKUP(Detached!AL$2,'Ceiling-U'!$A$4:$A$40,'Ceiling-U'!$I$4:$I$40)*Detached!AL$14)+(LOOKUP(Detached!AL$2,'Floor-U'!$A$4:$A$40,'Floor-U'!$I$4:$I$40)*Detached!AL$15)+(LOOKUP(Detached!AL$2,'Wall-U'!$A$4:$A$40,'Wall-U'!$U$4:$U$40)*Detached!AL$12)+(LOOKUP(Detached!AL$2,'Window-U'!$A$4:$A$40,'Window-U'!$I$4:$I$40)*Detached!AL$21))*AL169</f>
        <v>177.95080550706729</v>
      </c>
      <c r="AM174" s="177">
        <f>((LOOKUP(Detached!AM$2,'Ceiling-U'!$A$4:$A$40,'Ceiling-U'!$I$4:$I$40)*Detached!AM$14)+(LOOKUP(Detached!AM$2,'Floor-U'!$A$4:$A$40,'Floor-U'!$I$4:$I$40)*Detached!AM$15)+(LOOKUP(Detached!AM$2,'Wall-U'!$A$4:$A$40,'Wall-U'!$U$4:$U$40)*Detached!AM$12)+(LOOKUP(Detached!AM$2,'Window-U'!$A$4:$A$40,'Window-U'!$I$4:$I$40)*Detached!AM$21))*AM169</f>
        <v>219.66245095276778</v>
      </c>
      <c r="AN174" s="178">
        <f>((LOOKUP(Detached!AN$2,'Ceiling-U'!$A$4:$A$40,'Ceiling-U'!$I$4:$I$40)*Detached!AN$14)+(LOOKUP(Detached!AN$2,'Floor-U'!$A$4:$A$40,'Floor-U'!$I$4:$I$40)*Detached!AN$15)+(LOOKUP(Detached!AN$2,'Wall-U'!$A$4:$A$40,'Wall-U'!$U$4:$U$40)*Detached!AN$12)+(LOOKUP(Detached!AN$2,'Window-U'!$A$4:$A$40,'Window-U'!$I$4:$I$40)*Detached!AN$21))*AN169</f>
        <v>219.66245095276778</v>
      </c>
    </row>
    <row r="175" spans="1:40">
      <c r="A175" s="373"/>
      <c r="B175" s="374" t="s">
        <v>7</v>
      </c>
      <c r="C175" s="131" t="s">
        <v>195</v>
      </c>
      <c r="D175" s="176">
        <f>((LOOKUP(Detached!D$2,'Ceiling-U'!$A$4:$A$40,'Ceiling-U'!$J$4:$J$40)*Detached!D$14)+(LOOKUP(Detached!D$2,'Floor-U'!$A$4:$A$40,'Floor-U'!$J$4:$J$40)*Detached!D$15)+(LOOKUP(Detached!D$2,'Wall-U'!$A$4:$A$40,'Wall-U'!$V$4:$V$40)*Detached!D$12)+(LOOKUP(Detached!D$2,'Window-U'!$A$4:$A$40,'Window-U'!$J$4:$J$40)*Detached!D$21))*D169</f>
        <v>144.93473269296328</v>
      </c>
      <c r="E175" s="174">
        <f>((LOOKUP(Detached!E$2,'Ceiling-U'!$A$4:$A$40,'Ceiling-U'!$J$4:$J$40)*Detached!E$14)+(LOOKUP(Detached!E$2,'Floor-U'!$A$4:$A$40,'Floor-U'!$J$4:$J$40)*Detached!E$15)+(LOOKUP(Detached!E$2,'Wall-U'!$A$4:$A$40,'Wall-U'!$V$4:$V$40)*Detached!E$12)+(LOOKUP(Detached!E$2,'Window-U'!$A$4:$A$40,'Window-U'!$J$4:$J$40)*Detached!E$21))*E169</f>
        <v>228.19895943926747</v>
      </c>
      <c r="F175" s="174">
        <f>((LOOKUP(Detached!F$2,'Ceiling-U'!$A$4:$A$40,'Ceiling-U'!$J$4:$J$40)*Detached!F$14)+(LOOKUP(Detached!F$2,'Floor-U'!$A$4:$A$40,'Floor-U'!$J$4:$J$40)*Detached!F$15)+(LOOKUP(Detached!F$2,'Wall-U'!$A$4:$A$40,'Wall-U'!$V$4:$V$40)*Detached!F$12)+(LOOKUP(Detached!F$2,'Window-U'!$A$4:$A$40,'Window-U'!$J$4:$J$40)*Detached!F$21))*F169</f>
        <v>133.81777326739274</v>
      </c>
      <c r="G175" s="174">
        <f>((LOOKUP(Detached!G$2,'Ceiling-U'!$A$4:$A$40,'Ceiling-U'!$J$4:$J$40)*Detached!G$14)+(LOOKUP(Detached!G$2,'Floor-U'!$A$4:$A$40,'Floor-U'!$J$4:$J$40)*Detached!G$15)+(LOOKUP(Detached!G$2,'Wall-U'!$A$4:$A$40,'Wall-U'!$V$4:$V$40)*Detached!G$12)+(LOOKUP(Detached!G$2,'Window-U'!$A$4:$A$40,'Window-U'!$J$4:$J$40)*Detached!G$21))*G169</f>
        <v>144.93473269296328</v>
      </c>
      <c r="H175" s="174">
        <f>((LOOKUP(Detached!H$2,'Ceiling-U'!$A$4:$A$40,'Ceiling-U'!$J$4:$J$40)*Detached!H$14)+(LOOKUP(Detached!H$2,'Floor-U'!$A$4:$A$40,'Floor-U'!$J$4:$J$40)*Detached!H$15)+(LOOKUP(Detached!H$2,'Wall-U'!$A$4:$A$40,'Wall-U'!$V$4:$V$40)*Detached!H$12)+(LOOKUP(Detached!H$2,'Window-U'!$A$4:$A$40,'Window-U'!$J$4:$J$40)*Detached!H$21))*H169</f>
        <v>403.98603027301039</v>
      </c>
      <c r="I175" s="174">
        <f>((LOOKUP(Detached!I$2,'Ceiling-U'!$A$4:$A$40,'Ceiling-U'!$J$4:$J$40)*Detached!I$14)+(LOOKUP(Detached!I$2,'Floor-U'!$A$4:$A$40,'Floor-U'!$J$4:$J$40)*Detached!I$15)+(LOOKUP(Detached!I$2,'Wall-U'!$A$4:$A$40,'Wall-U'!$V$4:$V$40)*Detached!I$12)+(LOOKUP(Detached!I$2,'Window-U'!$A$4:$A$40,'Window-U'!$J$4:$J$40)*Detached!I$21))*I169</f>
        <v>135.36553274801147</v>
      </c>
      <c r="J175" s="174">
        <f>((LOOKUP(Detached!J$2,'Ceiling-U'!$A$4:$A$40,'Ceiling-U'!$J$4:$J$40)*Detached!J$14)+(LOOKUP(Detached!J$2,'Floor-U'!$A$4:$A$40,'Floor-U'!$J$4:$J$40)*Detached!J$15)+(LOOKUP(Detached!J$2,'Wall-U'!$A$4:$A$40,'Wall-U'!$V$4:$V$40)*Detached!J$12)+(LOOKUP(Detached!J$2,'Window-U'!$A$4:$A$40,'Window-U'!$J$4:$J$40)*Detached!J$21))*J169</f>
        <v>128.0210215794288</v>
      </c>
      <c r="K175" s="174">
        <f>((LOOKUP(Detached!K$2,'Ceiling-U'!$A$4:$A$40,'Ceiling-U'!$J$4:$J$40)*Detached!K$14)+(LOOKUP(Detached!K$2,'Floor-U'!$A$4:$A$40,'Floor-U'!$J$4:$J$40)*Detached!K$15)+(LOOKUP(Detached!K$2,'Wall-U'!$A$4:$A$40,'Wall-U'!$V$4:$V$40)*Detached!K$12)+(LOOKUP(Detached!K$2,'Window-U'!$A$4:$A$40,'Window-U'!$J$4:$J$40)*Detached!K$21))*K169</f>
        <v>111.97255986318279</v>
      </c>
      <c r="L175" s="174">
        <f>((LOOKUP(Detached!L$2,'Ceiling-U'!$A$4:$A$40,'Ceiling-U'!$J$4:$J$40)*Detached!L$14)+(LOOKUP(Detached!L$2,'Floor-U'!$A$4:$A$40,'Floor-U'!$J$4:$J$40)*Detached!L$15)+(LOOKUP(Detached!L$2,'Wall-U'!$A$4:$A$40,'Wall-U'!$V$4:$V$40)*Detached!L$12)+(LOOKUP(Detached!L$2,'Window-U'!$A$4:$A$40,'Window-U'!$J$4:$J$40)*Detached!L$21))*L169</f>
        <v>76.592968127645776</v>
      </c>
      <c r="M175" s="174">
        <f>((LOOKUP(Detached!M$2,'Ceiling-U'!$A$4:$A$40,'Ceiling-U'!$J$4:$J$40)*Detached!M$14)+(LOOKUP(Detached!M$2,'Floor-U'!$A$4:$A$40,'Floor-U'!$J$4:$J$40)*Detached!M$15)+(LOOKUP(Detached!M$2,'Wall-U'!$A$4:$A$40,'Wall-U'!$V$4:$V$40)*Detached!M$12)+(LOOKUP(Detached!M$2,'Window-U'!$A$4:$A$40,'Window-U'!$J$4:$J$40)*Detached!M$21))*M169</f>
        <v>251.24894341569967</v>
      </c>
      <c r="N175" s="174">
        <f>((LOOKUP(Detached!N$2,'Ceiling-U'!$A$4:$A$40,'Ceiling-U'!$J$4:$J$40)*Detached!N$14)+(LOOKUP(Detached!N$2,'Floor-U'!$A$4:$A$40,'Floor-U'!$J$4:$J$40)*Detached!N$15)+(LOOKUP(Detached!N$2,'Wall-U'!$A$4:$A$40,'Wall-U'!$V$4:$V$40)*Detached!N$12)+(LOOKUP(Detached!N$2,'Window-U'!$A$4:$A$40,'Window-U'!$J$4:$J$40)*Detached!N$21))*N169</f>
        <v>104.74542309904152</v>
      </c>
      <c r="O175" s="174">
        <f>((LOOKUP(Detached!O$2,'Ceiling-U'!$A$4:$A$40,'Ceiling-U'!$J$4:$J$40)*Detached!O$14)+(LOOKUP(Detached!O$2,'Floor-U'!$A$4:$A$40,'Floor-U'!$J$4:$J$40)*Detached!O$15)+(LOOKUP(Detached!O$2,'Wall-U'!$A$4:$A$40,'Wall-U'!$V$4:$V$40)*Detached!O$12)+(LOOKUP(Detached!O$2,'Window-U'!$A$4:$A$40,'Window-U'!$J$4:$J$40)*Detached!O$21))*O169</f>
        <v>143.38806148608722</v>
      </c>
      <c r="P175" s="174">
        <f>((LOOKUP(Detached!P$2,'Ceiling-U'!$A$4:$A$40,'Ceiling-U'!$J$4:$J$40)*Detached!P$14)+(LOOKUP(Detached!P$2,'Floor-U'!$A$4:$A$40,'Floor-U'!$J$4:$J$40)*Detached!P$15)+(LOOKUP(Detached!P$2,'Wall-U'!$A$4:$A$40,'Wall-U'!$V$4:$V$40)*Detached!P$12)+(LOOKUP(Detached!P$2,'Window-U'!$A$4:$A$40,'Window-U'!$J$4:$J$40)*Detached!P$21))*P169</f>
        <v>225.39389674869068</v>
      </c>
      <c r="Q175" s="174">
        <f>((LOOKUP(Detached!Q$2,'Ceiling-U'!$A$4:$A$40,'Ceiling-U'!$J$4:$J$40)*Detached!Q$14)+(LOOKUP(Detached!Q$2,'Floor-U'!$A$4:$A$40,'Floor-U'!$J$4:$J$40)*Detached!Q$15)+(LOOKUP(Detached!Q$2,'Wall-U'!$A$4:$A$40,'Wall-U'!$V$4:$V$40)*Detached!Q$12)+(LOOKUP(Detached!Q$2,'Window-U'!$A$4:$A$40,'Window-U'!$J$4:$J$40)*Detached!Q$21))*Q169</f>
        <v>126.79844579089553</v>
      </c>
      <c r="R175" s="174">
        <f>((LOOKUP(Detached!R$2,'Ceiling-U'!$A$4:$A$40,'Ceiling-U'!$J$4:$J$40)*Detached!R$14)+(LOOKUP(Detached!R$2,'Floor-U'!$A$4:$A$40,'Floor-U'!$J$4:$J$40)*Detached!R$15)+(LOOKUP(Detached!R$2,'Wall-U'!$A$4:$A$40,'Wall-U'!$V$4:$V$40)*Detached!R$12)+(LOOKUP(Detached!R$2,'Window-U'!$A$4:$A$40,'Window-U'!$J$4:$J$40)*Detached!R$21))*R169</f>
        <v>134.94597047638095</v>
      </c>
      <c r="S175" s="174">
        <f>((LOOKUP(Detached!S$2,'Ceiling-U'!$A$4:$A$40,'Ceiling-U'!$J$4:$J$40)*Detached!S$14)+(LOOKUP(Detached!S$2,'Floor-U'!$A$4:$A$40,'Floor-U'!$J$4:$J$40)*Detached!S$15)+(LOOKUP(Detached!S$2,'Wall-U'!$A$4:$A$40,'Wall-U'!$V$4:$V$40)*Detached!S$12)+(LOOKUP(Detached!S$2,'Window-U'!$A$4:$A$40,'Window-U'!$J$4:$J$40)*Detached!S$21))*S169</f>
        <v>164.50089042383433</v>
      </c>
      <c r="T175" s="174">
        <f>((LOOKUP(Detached!T$2,'Ceiling-U'!$A$4:$A$40,'Ceiling-U'!$J$4:$J$40)*Detached!T$14)+(LOOKUP(Detached!T$2,'Floor-U'!$A$4:$A$40,'Floor-U'!$J$4:$J$40)*Detached!T$15)+(LOOKUP(Detached!T$2,'Wall-U'!$A$4:$A$40,'Wall-U'!$V$4:$V$40)*Detached!T$12)+(LOOKUP(Detached!T$2,'Window-U'!$A$4:$A$40,'Window-U'!$J$4:$J$40)*Detached!T$21))*T169</f>
        <v>104.74542309904152</v>
      </c>
      <c r="U175" s="174">
        <f>((LOOKUP(Detached!U$2,'Ceiling-U'!$A$4:$A$40,'Ceiling-U'!$J$4:$J$40)*Detached!U$14)+(LOOKUP(Detached!U$2,'Floor-U'!$A$4:$A$40,'Floor-U'!$J$4:$J$40)*Detached!U$15)+(LOOKUP(Detached!U$2,'Wall-U'!$A$4:$A$40,'Wall-U'!$V$4:$V$40)*Detached!U$12)+(LOOKUP(Detached!U$2,'Window-U'!$A$4:$A$40,'Window-U'!$J$4:$J$40)*Detached!U$21))*U169</f>
        <v>340.10928970866809</v>
      </c>
      <c r="V175" s="174">
        <f>((LOOKUP(Detached!V$2,'Ceiling-U'!$A$4:$A$40,'Ceiling-U'!$J$4:$J$40)*Detached!V$14)+(LOOKUP(Detached!V$2,'Floor-U'!$A$4:$A$40,'Floor-U'!$J$4:$J$40)*Detached!V$15)+(LOOKUP(Detached!V$2,'Wall-U'!$A$4:$A$40,'Wall-U'!$V$4:$V$40)*Detached!V$12)+(LOOKUP(Detached!V$2,'Window-U'!$A$4:$A$40,'Window-U'!$J$4:$J$40)*Detached!V$21))*V169</f>
        <v>108.35779254426291</v>
      </c>
      <c r="W175" s="174">
        <f>((LOOKUP(Detached!W$2,'Ceiling-U'!$A$4:$A$40,'Ceiling-U'!$J$4:$J$40)*Detached!W$14)+(LOOKUP(Detached!W$2,'Floor-U'!$A$4:$A$40,'Floor-U'!$J$4:$J$40)*Detached!W$15)+(LOOKUP(Detached!W$2,'Wall-U'!$A$4:$A$40,'Wall-U'!$V$4:$V$40)*Detached!W$12)+(LOOKUP(Detached!W$2,'Window-U'!$A$4:$A$40,'Window-U'!$J$4:$J$40)*Detached!W$21))*W169</f>
        <v>112.26436345378292</v>
      </c>
      <c r="X175" s="174">
        <f>((LOOKUP(Detached!X$2,'Ceiling-U'!$A$4:$A$40,'Ceiling-U'!$J$4:$J$40)*Detached!X$14)+(LOOKUP(Detached!X$2,'Floor-U'!$A$4:$A$40,'Floor-U'!$J$4:$J$40)*Detached!X$15)+(LOOKUP(Detached!X$2,'Wall-U'!$A$4:$A$40,'Wall-U'!$V$4:$V$40)*Detached!X$12)+(LOOKUP(Detached!X$2,'Window-U'!$A$4:$A$40,'Window-U'!$J$4:$J$40)*Detached!X$21))*X169</f>
        <v>101.74822539692416</v>
      </c>
      <c r="Y175" s="174">
        <f>((LOOKUP(Detached!Y$2,'Ceiling-U'!$A$4:$A$40,'Ceiling-U'!$J$4:$J$40)*Detached!Y$14)+(LOOKUP(Detached!Y$2,'Floor-U'!$A$4:$A$40,'Floor-U'!$J$4:$J$40)*Detached!Y$15)+(LOOKUP(Detached!Y$2,'Wall-U'!$A$4:$A$40,'Wall-U'!$V$4:$V$40)*Detached!Y$12)+(LOOKUP(Detached!Y$2,'Window-U'!$A$4:$A$40,'Window-U'!$J$4:$J$40)*Detached!Y$21))*Y169</f>
        <v>503.29553790772832</v>
      </c>
      <c r="Z175" s="174">
        <f>((LOOKUP(Detached!Z$2,'Ceiling-U'!$A$4:$A$40,'Ceiling-U'!$J$4:$J$40)*Detached!Z$14)+(LOOKUP(Detached!Z$2,'Floor-U'!$A$4:$A$40,'Floor-U'!$J$4:$J$40)*Detached!Z$15)+(LOOKUP(Detached!Z$2,'Wall-U'!$A$4:$A$40,'Wall-U'!$V$4:$V$40)*Detached!Z$12)+(LOOKUP(Detached!Z$2,'Window-U'!$A$4:$A$40,'Window-U'!$J$4:$J$40)*Detached!Z$21))*Z169</f>
        <v>167.33909973975136</v>
      </c>
      <c r="AA175" s="174">
        <f>((LOOKUP(Detached!AA$2,'Ceiling-U'!$A$4:$A$40,'Ceiling-U'!$J$4:$J$40)*Detached!AA$14)+(LOOKUP(Detached!AA$2,'Floor-U'!$A$4:$A$40,'Floor-U'!$J$4:$J$40)*Detached!AA$15)+(LOOKUP(Detached!AA$2,'Wall-U'!$A$4:$A$40,'Wall-U'!$V$4:$V$40)*Detached!AA$12)+(LOOKUP(Detached!AA$2,'Window-U'!$A$4:$A$40,'Window-U'!$J$4:$J$40)*Detached!AA$21))*AA169</f>
        <v>105.86615863412302</v>
      </c>
      <c r="AB175" s="174">
        <f>((LOOKUP(Detached!AB$2,'Ceiling-U'!$A$4:$A$40,'Ceiling-U'!$J$4:$J$40)*Detached!AB$14)+(LOOKUP(Detached!AB$2,'Floor-U'!$A$4:$A$40,'Floor-U'!$J$4:$J$40)*Detached!AB$15)+(LOOKUP(Detached!AB$2,'Wall-U'!$A$4:$A$40,'Wall-U'!$V$4:$V$40)*Detached!AB$12)+(LOOKUP(Detached!AB$2,'Window-U'!$A$4:$A$40,'Window-U'!$J$4:$J$40)*Detached!AB$21))*AB169</f>
        <v>188.16448135792564</v>
      </c>
      <c r="AC175" s="174">
        <f>((LOOKUP(Detached!AC$2,'Ceiling-U'!$A$4:$A$40,'Ceiling-U'!$J$4:$J$40)*Detached!AC$14)+(LOOKUP(Detached!AC$2,'Floor-U'!$A$4:$A$40,'Floor-U'!$J$4:$J$40)*Detached!AC$15)+(LOOKUP(Detached!AC$2,'Wall-U'!$A$4:$A$40,'Wall-U'!$V$4:$V$40)*Detached!AC$12)+(LOOKUP(Detached!AC$2,'Window-U'!$A$4:$A$40,'Window-U'!$J$4:$J$40)*Detached!AC$21))*AC169</f>
        <v>359.80165481882665</v>
      </c>
      <c r="AD175" s="174">
        <f>((LOOKUP(Detached!AD$2,'Ceiling-U'!$A$4:$A$40,'Ceiling-U'!$J$4:$J$40)*Detached!AD$14)+(LOOKUP(Detached!AD$2,'Floor-U'!$A$4:$A$40,'Floor-U'!$J$4:$J$40)*Detached!AD$15)+(LOOKUP(Detached!AD$2,'Wall-U'!$A$4:$A$40,'Wall-U'!$V$4:$V$40)*Detached!AD$12)+(LOOKUP(Detached!AD$2,'Window-U'!$A$4:$A$40,'Window-U'!$J$4:$J$40)*Detached!AD$21))*AD169</f>
        <v>202.66159903725895</v>
      </c>
      <c r="AE175" s="174">
        <f>((LOOKUP(Detached!AE$2,'Ceiling-U'!$A$4:$A$40,'Ceiling-U'!$J$4:$J$40)*Detached!AE$14)+(LOOKUP(Detached!AE$2,'Floor-U'!$A$4:$A$40,'Floor-U'!$J$4:$J$40)*Detached!AE$15)+(LOOKUP(Detached!AE$2,'Wall-U'!$A$4:$A$40,'Wall-U'!$V$4:$V$40)*Detached!AE$12)+(LOOKUP(Detached!AE$2,'Window-U'!$A$4:$A$40,'Window-U'!$J$4:$J$40)*Detached!AE$21))*AE169</f>
        <v>105.86615863412302</v>
      </c>
      <c r="AF175" s="174">
        <f>((LOOKUP(Detached!AF$2,'Ceiling-U'!$A$4:$A$40,'Ceiling-U'!$J$4:$J$40)*Detached!AF$14)+(LOOKUP(Detached!AF$2,'Floor-U'!$A$4:$A$40,'Floor-U'!$J$4:$J$40)*Detached!AF$15)+(LOOKUP(Detached!AF$2,'Wall-U'!$A$4:$A$40,'Wall-U'!$V$4:$V$40)*Detached!AF$12)+(LOOKUP(Detached!AF$2,'Window-U'!$A$4:$A$40,'Window-U'!$J$4:$J$40)*Detached!AF$21))*AF169</f>
        <v>96.304918854954252</v>
      </c>
      <c r="AG175" s="174">
        <f>((LOOKUP(Detached!AG$2,'Ceiling-U'!$A$4:$A$40,'Ceiling-U'!$J$4:$J$40)*Detached!AG$14)+(LOOKUP(Detached!AG$2,'Floor-U'!$A$4:$A$40,'Floor-U'!$J$4:$J$40)*Detached!AG$15)+(LOOKUP(Detached!AG$2,'Wall-U'!$A$4:$A$40,'Wall-U'!$V$4:$V$40)*Detached!AG$12)+(LOOKUP(Detached!AG$2,'Window-U'!$A$4:$A$40,'Window-U'!$J$4:$J$40)*Detached!AG$21))*AG169</f>
        <v>178.61040906711014</v>
      </c>
      <c r="AH175" s="174">
        <f>((LOOKUP(Detached!AH$2,'Ceiling-U'!$A$4:$A$40,'Ceiling-U'!$J$4:$J$40)*Detached!AH$14)+(LOOKUP(Detached!AH$2,'Floor-U'!$A$4:$A$40,'Floor-U'!$J$4:$J$40)*Detached!AH$15)+(LOOKUP(Detached!AH$2,'Wall-U'!$A$4:$A$40,'Wall-U'!$V$4:$V$40)*Detached!AH$12)+(LOOKUP(Detached!AH$2,'Window-U'!$A$4:$A$40,'Window-U'!$J$4:$J$40)*Detached!AH$21))*AH169</f>
        <v>128.07842270001424</v>
      </c>
      <c r="AI175" s="174">
        <f>((LOOKUP(Detached!AI$2,'Ceiling-U'!$A$4:$A$40,'Ceiling-U'!$J$4:$J$40)*Detached!AI$14)+(LOOKUP(Detached!AI$2,'Floor-U'!$A$4:$A$40,'Floor-U'!$J$4:$J$40)*Detached!AI$15)+(LOOKUP(Detached!AI$2,'Wall-U'!$A$4:$A$40,'Wall-U'!$V$4:$V$40)*Detached!AI$12)+(LOOKUP(Detached!AI$2,'Window-U'!$A$4:$A$40,'Window-U'!$J$4:$J$40)*Detached!AI$21))*AI169</f>
        <v>225.39389674869068</v>
      </c>
      <c r="AJ175" s="174">
        <f>((LOOKUP(Detached!AJ$2,'Ceiling-U'!$A$4:$A$40,'Ceiling-U'!$J$4:$J$40)*Detached!AJ$14)+(LOOKUP(Detached!AJ$2,'Floor-U'!$A$4:$A$40,'Floor-U'!$J$4:$J$40)*Detached!AJ$15)+(LOOKUP(Detached!AJ$2,'Wall-U'!$A$4:$A$40,'Wall-U'!$V$4:$V$40)*Detached!AJ$12)+(LOOKUP(Detached!AJ$2,'Window-U'!$A$4:$A$40,'Window-U'!$J$4:$J$40)*Detached!AJ$21))*AJ169</f>
        <v>192.84772743885281</v>
      </c>
      <c r="AK175" s="174">
        <f>((LOOKUP(Detached!AK$2,'Ceiling-U'!$A$4:$A$40,'Ceiling-U'!$J$4:$J$40)*Detached!AK$14)+(LOOKUP(Detached!AK$2,'Floor-U'!$A$4:$A$40,'Floor-U'!$J$4:$J$40)*Detached!AK$15)+(LOOKUP(Detached!AK$2,'Wall-U'!$A$4:$A$40,'Wall-U'!$V$4:$V$40)*Detached!AK$12)+(LOOKUP(Detached!AK$2,'Window-U'!$A$4:$A$40,'Window-U'!$J$4:$J$40)*Detached!AK$21))*AK169</f>
        <v>223.22958804776385</v>
      </c>
      <c r="AL175" s="174">
        <f>((LOOKUP(Detached!AL$2,'Ceiling-U'!$A$4:$A$40,'Ceiling-U'!$J$4:$J$40)*Detached!AL$14)+(LOOKUP(Detached!AL$2,'Floor-U'!$A$4:$A$40,'Floor-U'!$J$4:$J$40)*Detached!AL$15)+(LOOKUP(Detached!AL$2,'Wall-U'!$A$4:$A$40,'Wall-U'!$V$4:$V$40)*Detached!AL$12)+(LOOKUP(Detached!AL$2,'Window-U'!$A$4:$A$40,'Window-U'!$J$4:$J$40)*Detached!AL$21))*AL169</f>
        <v>138.19125731273817</v>
      </c>
      <c r="AM175" s="174">
        <f>((LOOKUP(Detached!AM$2,'Ceiling-U'!$A$4:$A$40,'Ceiling-U'!$J$4:$J$40)*Detached!AM$14)+(LOOKUP(Detached!AM$2,'Floor-U'!$A$4:$A$40,'Floor-U'!$J$4:$J$40)*Detached!AM$15)+(LOOKUP(Detached!AM$2,'Wall-U'!$A$4:$A$40,'Wall-U'!$V$4:$V$40)*Detached!AM$12)+(LOOKUP(Detached!AM$2,'Window-U'!$A$4:$A$40,'Window-U'!$J$4:$J$40)*Detached!AM$21))*AM169</f>
        <v>192.84772743885281</v>
      </c>
      <c r="AN175" s="175">
        <f>((LOOKUP(Detached!AN$2,'Ceiling-U'!$A$4:$A$40,'Ceiling-U'!$J$4:$J$40)*Detached!AN$14)+(LOOKUP(Detached!AN$2,'Floor-U'!$A$4:$A$40,'Floor-U'!$J$4:$J$40)*Detached!AN$15)+(LOOKUP(Detached!AN$2,'Wall-U'!$A$4:$A$40,'Wall-U'!$V$4:$V$40)*Detached!AN$12)+(LOOKUP(Detached!AN$2,'Window-U'!$A$4:$A$40,'Window-U'!$J$4:$J$40)*Detached!AN$21))*AN169</f>
        <v>192.84772743885281</v>
      </c>
    </row>
    <row r="176" spans="1:40">
      <c r="A176" s="332" t="s">
        <v>280</v>
      </c>
      <c r="B176" s="142" t="s">
        <v>2</v>
      </c>
      <c r="C176" s="360" t="s">
        <v>261</v>
      </c>
      <c r="D176" s="351">
        <f>D170*24*LOOKUP(Detached!D$2,'HDD-by Country'!$A$4:$A$40,'HDD-by Country'!$C$4:$C$40)/1000</f>
        <v>29089.268695102081</v>
      </c>
      <c r="E176" s="352">
        <f>E170*24*LOOKUP(Detached!E$2,'HDD-by Country'!$A$4:$A$40,'HDD-by Country'!$C$4:$C$40)/1000</f>
        <v>29787.017947704288</v>
      </c>
      <c r="F176" s="352">
        <f>F170*24*LOOKUP(Detached!F$2,'HDD-by Country'!$A$4:$A$40,'HDD-by Country'!$C$4:$C$40)/1000</f>
        <v>15472.686293115799</v>
      </c>
      <c r="G176" s="352">
        <f>G170*24*LOOKUP(Detached!G$2,'HDD-by Country'!$A$4:$A$40,'HDD-by Country'!$C$4:$C$40)/1000</f>
        <v>28340.468269822453</v>
      </c>
      <c r="H176" s="352">
        <f>H170*24*LOOKUP(Detached!H$2,'HDD-by Country'!$A$4:$A$40,'HDD-by Country'!$C$4:$C$40)/1000</f>
        <v>10515.396160822873</v>
      </c>
      <c r="I176" s="352">
        <f>I170*24*LOOKUP(Detached!I$2,'HDD-by Country'!$A$4:$A$40,'HDD-by Country'!$C$4:$C$40)/1000</f>
        <v>26654.113403715703</v>
      </c>
      <c r="J176" s="352">
        <f>J170*24*LOOKUP(Detached!J$2,'HDD-by Country'!$A$4:$A$40,'HDD-by Country'!$C$4:$C$40)/1000</f>
        <v>31915.593458579006</v>
      </c>
      <c r="K176" s="352">
        <f>K170*24*LOOKUP(Detached!K$2,'HDD-by Country'!$A$4:$A$40,'HDD-by Country'!$C$4:$C$40)/1000</f>
        <v>21561.429540673435</v>
      </c>
      <c r="L176" s="352">
        <f>L170*24*LOOKUP(Detached!L$2,'HDD-by Country'!$A$4:$A$40,'HDD-by Country'!$C$4:$C$40)/1000</f>
        <v>15586.655341039686</v>
      </c>
      <c r="M176" s="352">
        <f>M170*24*LOOKUP(Detached!M$2,'HDD-by Country'!$A$4:$A$40,'HDD-by Country'!$C$4:$C$40)/1000</f>
        <v>25640.948973821567</v>
      </c>
      <c r="N176" s="352">
        <f>N170*24*LOOKUP(Detached!N$2,'HDD-by Country'!$A$4:$A$40,'HDD-by Country'!$C$4:$C$40)/1000</f>
        <v>26201.826854739156</v>
      </c>
      <c r="O176" s="352">
        <f>O170*24*LOOKUP(Detached!O$2,'HDD-by Country'!$A$4:$A$40,'HDD-by Country'!$C$4:$C$40)/1000</f>
        <v>33309.106169573912</v>
      </c>
      <c r="P176" s="352">
        <f>P170*24*LOOKUP(Detached!P$2,'HDD-by Country'!$A$4:$A$40,'HDD-by Country'!$C$4:$C$40)/1000</f>
        <v>22147.500383330669</v>
      </c>
      <c r="Q176" s="352">
        <f>Q170*24*LOOKUP(Detached!Q$2,'HDD-by Country'!$A$4:$A$40,'HDD-by Country'!$C$4:$C$40)/1000</f>
        <v>17942.566349691093</v>
      </c>
      <c r="R176" s="352">
        <f>R170*24*LOOKUP(Detached!R$2,'HDD-by Country'!$A$4:$A$40,'HDD-by Country'!$C$4:$C$40)/1000</f>
        <v>20417.704426642307</v>
      </c>
      <c r="S176" s="352">
        <f>S170*24*LOOKUP(Detached!S$2,'HDD-by Country'!$A$4:$A$40,'HDD-by Country'!$C$4:$C$40)/1000</f>
        <v>32219.995377506319</v>
      </c>
      <c r="T176" s="352">
        <f>T170*24*LOOKUP(Detached!T$2,'HDD-by Country'!$A$4:$A$40,'HDD-by Country'!$C$4:$C$40)/1000</f>
        <v>22287.229133193512</v>
      </c>
      <c r="U176" s="352">
        <f>U170*24*LOOKUP(Detached!U$2,'HDD-by Country'!$A$4:$A$40,'HDD-by Country'!$C$4:$C$40)/1000</f>
        <v>25478.5077361935</v>
      </c>
      <c r="V176" s="352">
        <f>V170*24*LOOKUP(Detached!V$2,'HDD-by Country'!$A$4:$A$40,'HDD-by Country'!$C$4:$C$40)/1000</f>
        <v>24442.897800854127</v>
      </c>
      <c r="W176" s="352">
        <f>W170*24*LOOKUP(Detached!W$2,'HDD-by Country'!$A$4:$A$40,'HDD-by Country'!$C$4:$C$40)/1000</f>
        <v>29646.570857689323</v>
      </c>
      <c r="X176" s="352">
        <f>X170*24*LOOKUP(Detached!X$2,'HDD-by Country'!$A$4:$A$40,'HDD-by Country'!$C$4:$C$40)/1000</f>
        <v>28925.944273446214</v>
      </c>
      <c r="Y176" s="352">
        <f>Y170*24*LOOKUP(Detached!Y$2,'HDD-by Country'!$A$4:$A$40,'HDD-by Country'!$C$4:$C$40)/1000</f>
        <v>8043.1224846136693</v>
      </c>
      <c r="Z176" s="352">
        <f>Z170*24*LOOKUP(Detached!Z$2,'HDD-by Country'!$A$4:$A$40,'HDD-by Country'!$C$4:$C$40)/1000</f>
        <v>33483.392217203334</v>
      </c>
      <c r="AA176" s="352">
        <f>AA170*24*LOOKUP(Detached!AA$2,'HDD-by Country'!$A$4:$A$40,'HDD-by Country'!$C$4:$C$40)/1000</f>
        <v>25142.590793959665</v>
      </c>
      <c r="AB176" s="352">
        <f>AB170*24*LOOKUP(Detached!AB$2,'HDD-by Country'!$A$4:$A$40,'HDD-by Country'!$C$4:$C$40)/1000</f>
        <v>33666.997985503469</v>
      </c>
      <c r="AC176" s="352">
        <f>AC170*24*LOOKUP(Detached!AC$2,'HDD-by Country'!$A$4:$A$40,'HDD-by Country'!$C$4:$C$40)/1000</f>
        <v>18567.231034723816</v>
      </c>
      <c r="AD176" s="352">
        <f>AD170*24*LOOKUP(Detached!AD$2,'HDD-by Country'!$A$4:$A$40,'HDD-by Country'!$C$4:$C$40)/1000</f>
        <v>22523.628769770319</v>
      </c>
      <c r="AE176" s="352">
        <f>AE170*24*LOOKUP(Detached!AE$2,'HDD-by Country'!$A$4:$A$40,'HDD-by Country'!$C$4:$C$40)/1000</f>
        <v>24243.050705334117</v>
      </c>
      <c r="AF176" s="352">
        <f>AF170*24*LOOKUP(Detached!AF$2,'HDD-by Country'!$A$4:$A$40,'HDD-by Country'!$C$4:$C$40)/1000</f>
        <v>21635.225071779783</v>
      </c>
      <c r="AG176" s="352">
        <f>AG170*24*LOOKUP(Detached!AG$2,'HDD-by Country'!$A$4:$A$40,'HDD-by Country'!$C$4:$C$40)/1000</f>
        <v>36863.781740657651</v>
      </c>
      <c r="AH176" s="352">
        <f>AH170*24*LOOKUP(Detached!AH$2,'HDD-by Country'!$A$4:$A$40,'HDD-by Country'!$C$4:$C$40)/1000</f>
        <v>27206.077637749746</v>
      </c>
      <c r="AI176" s="352">
        <f>AI170*24*LOOKUP(Detached!AI$2,'HDD-by Country'!$A$4:$A$40,'HDD-by Country'!$C$4:$C$40)/1000</f>
        <v>22147.500383330669</v>
      </c>
      <c r="AJ176" s="352">
        <f>AJ170*24*LOOKUP(Detached!AJ$2,'HDD-by Country'!$A$4:$A$40,'HDD-by Country'!$C$4:$C$40)/1000</f>
        <v>17529.046881119051</v>
      </c>
      <c r="AK176" s="352">
        <f>AK170*24*LOOKUP(Detached!AK$2,'HDD-by Country'!$A$4:$A$40,'HDD-by Country'!$C$4:$C$40)/1000</f>
        <v>18285.877138910349</v>
      </c>
      <c r="AL176" s="352">
        <f>AL170*24*LOOKUP(Detached!AL$2,'HDD-by Country'!$A$4:$A$40,'HDD-by Country'!$C$4:$C$40)/1000</f>
        <v>16179.226232303603</v>
      </c>
      <c r="AM176" s="352">
        <f>AM170*24*LOOKUP(Detached!AM$2,'HDD-by Country'!$A$4:$A$40,'HDD-by Country'!$C$4:$C$40)/1000</f>
        <v>16119.284383835347</v>
      </c>
      <c r="AN176" s="353">
        <f>AN170*24*LOOKUP(Detached!AN$2,'HDD-by Country'!$A$4:$A$40,'HDD-by Country'!$C$4:$C$40)/1000</f>
        <v>16119.284383835347</v>
      </c>
    </row>
    <row r="177" spans="1:40">
      <c r="A177" s="129"/>
      <c r="B177" s="142" t="s">
        <v>3</v>
      </c>
      <c r="C177" s="129" t="s">
        <v>261</v>
      </c>
      <c r="D177" s="345">
        <f>D171*24*LOOKUP(Detached!D$2,'HDD-by Country'!$A$4:$A$40,'HDD-by Country'!$C$4:$C$40)/1000</f>
        <v>29103.109413218372</v>
      </c>
      <c r="E177" s="349">
        <f>E171*24*LOOKUP(Detached!E$2,'HDD-by Country'!$A$4:$A$40,'HDD-by Country'!$C$4:$C$40)/1000</f>
        <v>29787.017947704288</v>
      </c>
      <c r="F177" s="349">
        <f>F171*24*LOOKUP(Detached!F$2,'HDD-by Country'!$A$4:$A$40,'HDD-by Country'!$C$4:$C$40)/1000</f>
        <v>15472.686293115799</v>
      </c>
      <c r="G177" s="349">
        <f>G171*24*LOOKUP(Detached!G$2,'HDD-by Country'!$A$4:$A$40,'HDD-by Country'!$C$4:$C$40)/1000</f>
        <v>28353.952707561941</v>
      </c>
      <c r="H177" s="349">
        <f>H171*24*LOOKUP(Detached!H$2,'HDD-by Country'!$A$4:$A$40,'HDD-by Country'!$C$4:$C$40)/1000</f>
        <v>10427.868645269242</v>
      </c>
      <c r="I177" s="349">
        <f>I171*24*LOOKUP(Detached!I$2,'HDD-by Country'!$A$4:$A$40,'HDD-by Country'!$C$4:$C$40)/1000</f>
        <v>21656.100022135972</v>
      </c>
      <c r="J177" s="349">
        <f>J171*24*LOOKUP(Detached!J$2,'HDD-by Country'!$A$4:$A$40,'HDD-by Country'!$C$4:$C$40)/1000</f>
        <v>29590.066574233315</v>
      </c>
      <c r="K177" s="349">
        <f>K171*24*LOOKUP(Detached!K$2,'HDD-by Country'!$A$4:$A$40,'HDD-by Country'!$C$4:$C$40)/1000</f>
        <v>20538.950393460866</v>
      </c>
      <c r="L177" s="349">
        <f>L171*24*LOOKUP(Detached!L$2,'HDD-by Country'!$A$4:$A$40,'HDD-by Country'!$C$4:$C$40)/1000</f>
        <v>15586.655341039686</v>
      </c>
      <c r="M177" s="349">
        <f>M171*24*LOOKUP(Detached!M$2,'HDD-by Country'!$A$4:$A$40,'HDD-by Country'!$C$4:$C$40)/1000</f>
        <v>24224.903817076247</v>
      </c>
      <c r="N177" s="349">
        <f>N171*24*LOOKUP(Detached!N$2,'HDD-by Country'!$A$4:$A$40,'HDD-by Country'!$C$4:$C$40)/1000</f>
        <v>23939.48623298468</v>
      </c>
      <c r="O177" s="349">
        <f>O171*24*LOOKUP(Detached!O$2,'HDD-by Country'!$A$4:$A$40,'HDD-by Country'!$C$4:$C$40)/1000</f>
        <v>33309.106169573912</v>
      </c>
      <c r="P177" s="349">
        <f>P171*24*LOOKUP(Detached!P$2,'HDD-by Country'!$A$4:$A$40,'HDD-by Country'!$C$4:$C$40)/1000</f>
        <v>22147.500383330669</v>
      </c>
      <c r="Q177" s="349">
        <f>Q171*24*LOOKUP(Detached!Q$2,'HDD-by Country'!$A$4:$A$40,'HDD-by Country'!$C$4:$C$40)/1000</f>
        <v>18136.911514204028</v>
      </c>
      <c r="R177" s="349">
        <f>R171*24*LOOKUP(Detached!R$2,'HDD-by Country'!$A$4:$A$40,'HDD-by Country'!$C$4:$C$40)/1000</f>
        <v>20417.704426642307</v>
      </c>
      <c r="S177" s="349">
        <f>S171*24*LOOKUP(Detached!S$2,'HDD-by Country'!$A$4:$A$40,'HDD-by Country'!$C$4:$C$40)/1000</f>
        <v>32934.04524701355</v>
      </c>
      <c r="T177" s="349">
        <f>T171*24*LOOKUP(Detached!T$2,'HDD-by Country'!$A$4:$A$40,'HDD-by Country'!$C$4:$C$40)/1000</f>
        <v>20362.886067578082</v>
      </c>
      <c r="U177" s="349">
        <f>U171*24*LOOKUP(Detached!U$2,'HDD-by Country'!$A$4:$A$40,'HDD-by Country'!$C$4:$C$40)/1000</f>
        <v>24974.242012769671</v>
      </c>
      <c r="V177" s="349">
        <f>V171*24*LOOKUP(Detached!V$2,'HDD-by Country'!$A$4:$A$40,'HDD-by Country'!$C$4:$C$40)/1000</f>
        <v>24442.897800854127</v>
      </c>
      <c r="W177" s="349">
        <f>W171*24*LOOKUP(Detached!W$2,'HDD-by Country'!$A$4:$A$40,'HDD-by Country'!$C$4:$C$40)/1000</f>
        <v>24964.626185053628</v>
      </c>
      <c r="X177" s="349">
        <f>X171*24*LOOKUP(Detached!X$2,'HDD-by Country'!$A$4:$A$40,'HDD-by Country'!$C$4:$C$40)/1000</f>
        <v>28311.784273446214</v>
      </c>
      <c r="Y177" s="349">
        <f>Y171*24*LOOKUP(Detached!Y$2,'HDD-by Country'!$A$4:$A$40,'HDD-by Country'!$C$4:$C$40)/1000</f>
        <v>8024.727303151074</v>
      </c>
      <c r="Z177" s="349">
        <f>Z171*24*LOOKUP(Detached!Z$2,'HDD-by Country'!$A$4:$A$40,'HDD-by Country'!$C$4:$C$40)/1000</f>
        <v>26353.227566933911</v>
      </c>
      <c r="AA177" s="349">
        <f>AA171*24*LOOKUP(Detached!AA$2,'HDD-by Country'!$A$4:$A$40,'HDD-by Country'!$C$4:$C$40)/1000</f>
        <v>24985.88448307967</v>
      </c>
      <c r="AB177" s="349">
        <f>AB171*24*LOOKUP(Detached!AB$2,'HDD-by Country'!$A$4:$A$40,'HDD-by Country'!$C$4:$C$40)/1000</f>
        <v>24615.173023208245</v>
      </c>
      <c r="AC177" s="349">
        <f>AC171*24*LOOKUP(Detached!AC$2,'HDD-by Country'!$A$4:$A$40,'HDD-by Country'!$C$4:$C$40)/1000</f>
        <v>18392.904321296959</v>
      </c>
      <c r="AD177" s="349">
        <f>AD171*24*LOOKUP(Detached!AD$2,'HDD-by Country'!$A$4:$A$40,'HDD-by Country'!$C$4:$C$40)/1000</f>
        <v>20678.801895567314</v>
      </c>
      <c r="AE177" s="349">
        <f>AE171*24*LOOKUP(Detached!AE$2,'HDD-by Country'!$A$4:$A$40,'HDD-by Country'!$C$4:$C$40)/1000</f>
        <v>24091.950961014118</v>
      </c>
      <c r="AF177" s="349">
        <f>AF171*24*LOOKUP(Detached!AF$2,'HDD-by Country'!$A$4:$A$40,'HDD-by Country'!$C$4:$C$40)/1000</f>
        <v>21635.225071779783</v>
      </c>
      <c r="AG177" s="349">
        <f>AG171*24*LOOKUP(Detached!AG$2,'HDD-by Country'!$A$4:$A$40,'HDD-by Country'!$C$4:$C$40)/1000</f>
        <v>32140.470349009844</v>
      </c>
      <c r="AH177" s="349">
        <f>AH171*24*LOOKUP(Detached!AH$2,'HDD-by Country'!$A$4:$A$40,'HDD-by Country'!$C$4:$C$40)/1000</f>
        <v>27752.386396358346</v>
      </c>
      <c r="AI177" s="349">
        <f>AI171*24*LOOKUP(Detached!AI$2,'HDD-by Country'!$A$4:$A$40,'HDD-by Country'!$C$4:$C$40)/1000</f>
        <v>22147.500383330669</v>
      </c>
      <c r="AJ177" s="349">
        <f>AJ171*24*LOOKUP(Detached!AJ$2,'HDD-by Country'!$A$4:$A$40,'HDD-by Country'!$C$4:$C$40)/1000</f>
        <v>17529.046881119051</v>
      </c>
      <c r="AK177" s="349">
        <f>AK171*24*LOOKUP(Detached!AK$2,'HDD-by Country'!$A$4:$A$40,'HDD-by Country'!$C$4:$C$40)/1000</f>
        <v>18285.877138910349</v>
      </c>
      <c r="AL177" s="349">
        <f>AL171*24*LOOKUP(Detached!AL$2,'HDD-by Country'!$A$4:$A$40,'HDD-by Country'!$C$4:$C$40)/1000</f>
        <v>16179.226232303603</v>
      </c>
      <c r="AM177" s="349">
        <f>AM171*24*LOOKUP(Detached!AM$2,'HDD-by Country'!$A$4:$A$40,'HDD-by Country'!$C$4:$C$40)/1000</f>
        <v>16119.284383835347</v>
      </c>
      <c r="AN177" s="354">
        <f>AN171*24*LOOKUP(Detached!AN$2,'HDD-by Country'!$A$4:$A$40,'HDD-by Country'!$C$4:$C$40)/1000</f>
        <v>16119.284383835347</v>
      </c>
    </row>
    <row r="178" spans="1:40">
      <c r="A178" s="129"/>
      <c r="B178" s="142" t="s">
        <v>4</v>
      </c>
      <c r="C178" s="129" t="s">
        <v>261</v>
      </c>
      <c r="D178" s="345">
        <f>D172*24*LOOKUP(Detached!D$2,'HDD-by Country'!$A$4:$A$40,'HDD-by Country'!$C$4:$C$40)/1000</f>
        <v>23148.39807260512</v>
      </c>
      <c r="E178" s="349">
        <f>E172*24*LOOKUP(Detached!E$2,'HDD-by Country'!$A$4:$A$40,'HDD-by Country'!$C$4:$C$40)/1000</f>
        <v>29787.017947704288</v>
      </c>
      <c r="F178" s="349">
        <f>F172*24*LOOKUP(Detached!F$2,'HDD-by Country'!$A$4:$A$40,'HDD-by Country'!$C$4:$C$40)/1000</f>
        <v>14852.347310443471</v>
      </c>
      <c r="G178" s="349">
        <f>G172*24*LOOKUP(Detached!G$2,'HDD-by Country'!$A$4:$A$40,'HDD-by Country'!$C$4:$C$40)/1000</f>
        <v>22552.524367322614</v>
      </c>
      <c r="H178" s="349">
        <f>H172*24*LOOKUP(Detached!H$2,'HDD-by Country'!$A$4:$A$40,'HDD-by Country'!$C$4:$C$40)/1000</f>
        <v>12057.388629239314</v>
      </c>
      <c r="I178" s="349">
        <f>I172*24*LOOKUP(Detached!I$2,'HDD-by Country'!$A$4:$A$40,'HDD-by Country'!$C$4:$C$40)/1000</f>
        <v>21656.100022135972</v>
      </c>
      <c r="J178" s="349">
        <f>J172*24*LOOKUP(Detached!J$2,'HDD-by Country'!$A$4:$A$40,'HDD-by Country'!$C$4:$C$40)/1000</f>
        <v>20052.836095577328</v>
      </c>
      <c r="K178" s="349">
        <f>K172*24*LOOKUP(Detached!K$2,'HDD-by Country'!$A$4:$A$40,'HDD-by Country'!$C$4:$C$40)/1000</f>
        <v>15272.792362183523</v>
      </c>
      <c r="L178" s="349">
        <f>L172*24*LOOKUP(Detached!L$2,'HDD-by Country'!$A$4:$A$40,'HDD-by Country'!$C$4:$C$40)/1000</f>
        <v>13319.92015905571</v>
      </c>
      <c r="M178" s="349">
        <f>M172*24*LOOKUP(Detached!M$2,'HDD-by Country'!$A$4:$A$40,'HDD-by Country'!$C$4:$C$40)/1000</f>
        <v>24224.903817076247</v>
      </c>
      <c r="N178" s="349">
        <f>N172*24*LOOKUP(Detached!N$2,'HDD-by Country'!$A$4:$A$40,'HDD-by Country'!$C$4:$C$40)/1000</f>
        <v>20455.155815023649</v>
      </c>
      <c r="O178" s="349">
        <f>O172*24*LOOKUP(Detached!O$2,'HDD-by Country'!$A$4:$A$40,'HDD-by Country'!$C$4:$C$40)/1000</f>
        <v>17101.649925628197</v>
      </c>
      <c r="P178" s="349">
        <f>P172*24*LOOKUP(Detached!P$2,'HDD-by Country'!$A$4:$A$40,'HDD-by Country'!$C$4:$C$40)/1000</f>
        <v>22147.500383330669</v>
      </c>
      <c r="Q178" s="349">
        <f>Q172*24*LOOKUP(Detached!Q$2,'HDD-by Country'!$A$4:$A$40,'HDD-by Country'!$C$4:$C$40)/1000</f>
        <v>15383.013382866917</v>
      </c>
      <c r="R178" s="349">
        <f>R172*24*LOOKUP(Detached!R$2,'HDD-by Country'!$A$4:$A$40,'HDD-by Country'!$C$4:$C$40)/1000</f>
        <v>18722.573884485144</v>
      </c>
      <c r="S178" s="349">
        <f>S172*24*LOOKUP(Detached!S$2,'HDD-by Country'!$A$4:$A$40,'HDD-by Country'!$C$4:$C$40)/1000</f>
        <v>25919.959382199111</v>
      </c>
      <c r="T178" s="349">
        <f>T172*24*LOOKUP(Detached!T$2,'HDD-by Country'!$A$4:$A$40,'HDD-by Country'!$C$4:$C$40)/1000</f>
        <v>17399.120570180799</v>
      </c>
      <c r="U178" s="349">
        <f>U172*24*LOOKUP(Detached!U$2,'HDD-by Country'!$A$4:$A$40,'HDD-by Country'!$C$4:$C$40)/1000</f>
        <v>22647.040429019671</v>
      </c>
      <c r="V178" s="349">
        <f>V172*24*LOOKUP(Detached!V$2,'HDD-by Country'!$A$4:$A$40,'HDD-by Country'!$C$4:$C$40)/1000</f>
        <v>16802.172436769673</v>
      </c>
      <c r="W178" s="349">
        <f>W172*24*LOOKUP(Detached!W$2,'HDD-by Country'!$A$4:$A$40,'HDD-by Country'!$C$4:$C$40)/1000</f>
        <v>16145.610851626863</v>
      </c>
      <c r="X178" s="349">
        <f>X172*24*LOOKUP(Detached!X$2,'HDD-by Country'!$A$4:$A$40,'HDD-by Country'!$C$4:$C$40)/1000</f>
        <v>26688.280919401688</v>
      </c>
      <c r="Y178" s="349">
        <f>Y172*24*LOOKUP(Detached!Y$2,'HDD-by Country'!$A$4:$A$40,'HDD-by Country'!$C$4:$C$40)/1000</f>
        <v>7870.7346024906801</v>
      </c>
      <c r="Z178" s="349">
        <f>Z172*24*LOOKUP(Detached!Z$2,'HDD-by Country'!$A$4:$A$40,'HDD-by Country'!$C$4:$C$40)/1000</f>
        <v>25023.130709830148</v>
      </c>
      <c r="AA178" s="349">
        <f>AA172*24*LOOKUP(Detached!AA$2,'HDD-by Country'!$A$4:$A$40,'HDD-by Country'!$C$4:$C$40)/1000</f>
        <v>18838.039576979158</v>
      </c>
      <c r="AB178" s="349">
        <f>AB172*24*LOOKUP(Detached!AB$2,'HDD-by Country'!$A$4:$A$40,'HDD-by Country'!$C$4:$C$40)/1000</f>
        <v>19139.432343986227</v>
      </c>
      <c r="AC178" s="349">
        <f>AC172*24*LOOKUP(Detached!AC$2,'HDD-by Country'!$A$4:$A$40,'HDD-by Country'!$C$4:$C$40)/1000</f>
        <v>17924.243768084361</v>
      </c>
      <c r="AD178" s="349">
        <f>AD172*24*LOOKUP(Detached!AD$2,'HDD-by Country'!$A$4:$A$40,'HDD-by Country'!$C$4:$C$40)/1000</f>
        <v>20678.801895567314</v>
      </c>
      <c r="AE178" s="349">
        <f>AE172*24*LOOKUP(Detached!AE$2,'HDD-by Country'!$A$4:$A$40,'HDD-by Country'!$C$4:$C$40)/1000</f>
        <v>18164.060831929597</v>
      </c>
      <c r="AF178" s="349">
        <f>AF172*24*LOOKUP(Detached!AF$2,'HDD-by Country'!$A$4:$A$40,'HDD-by Country'!$C$4:$C$40)/1000</f>
        <v>18679.666402731782</v>
      </c>
      <c r="AG178" s="349">
        <f>AG172*24*LOOKUP(Detached!AG$2,'HDD-by Country'!$A$4:$A$40,'HDD-by Country'!$C$4:$C$40)/1000</f>
        <v>32140.470349009844</v>
      </c>
      <c r="AH178" s="349">
        <f>AH172*24*LOOKUP(Detached!AH$2,'HDD-by Country'!$A$4:$A$40,'HDD-by Country'!$C$4:$C$40)/1000</f>
        <v>21431.034631067509</v>
      </c>
      <c r="AI178" s="349">
        <f>AI172*24*LOOKUP(Detached!AI$2,'HDD-by Country'!$A$4:$A$40,'HDD-by Country'!$C$4:$C$40)/1000</f>
        <v>22147.500383330669</v>
      </c>
      <c r="AJ178" s="349">
        <f>AJ172*24*LOOKUP(Detached!AJ$2,'HDD-by Country'!$A$4:$A$40,'HDD-by Country'!$C$4:$C$40)/1000</f>
        <v>17529.046881119051</v>
      </c>
      <c r="AK178" s="349">
        <f>AK172*24*LOOKUP(Detached!AK$2,'HDD-by Country'!$A$4:$A$40,'HDD-by Country'!$C$4:$C$40)/1000</f>
        <v>18285.877138910349</v>
      </c>
      <c r="AL178" s="349">
        <f>AL172*24*LOOKUP(Detached!AL$2,'HDD-by Country'!$A$4:$A$40,'HDD-by Country'!$C$4:$C$40)/1000</f>
        <v>15512.05885264369</v>
      </c>
      <c r="AM178" s="349">
        <f>AM172*24*LOOKUP(Detached!AM$2,'HDD-by Country'!$A$4:$A$40,'HDD-by Country'!$C$4:$C$40)/1000</f>
        <v>16119.284383835347</v>
      </c>
      <c r="AN178" s="354">
        <f>AN172*24*LOOKUP(Detached!AN$2,'HDD-by Country'!$A$4:$A$40,'HDD-by Country'!$C$4:$C$40)/1000</f>
        <v>16119.284383835347</v>
      </c>
    </row>
    <row r="179" spans="1:40">
      <c r="A179" s="129"/>
      <c r="B179" s="142" t="s">
        <v>5</v>
      </c>
      <c r="C179" s="129" t="s">
        <v>261</v>
      </c>
      <c r="D179" s="345">
        <f>D173*24*LOOKUP(Detached!D$2,'HDD-by Country'!$A$4:$A$40,'HDD-by Country'!$C$4:$C$40)/1000</f>
        <v>16169.060846843011</v>
      </c>
      <c r="E179" s="349">
        <f>E173*24*LOOKUP(Detached!E$2,'HDD-by Country'!$A$4:$A$40,'HDD-by Country'!$C$4:$C$40)/1000</f>
        <v>25246.812973549368</v>
      </c>
      <c r="F179" s="349">
        <f>F173*24*LOOKUP(Detached!F$2,'HDD-by Country'!$A$4:$A$40,'HDD-by Country'!$C$4:$C$40)/1000</f>
        <v>13512.365016268479</v>
      </c>
      <c r="G179" s="349">
        <f>G173*24*LOOKUP(Detached!G$2,'HDD-by Country'!$A$4:$A$40,'HDD-by Country'!$C$4:$C$40)/1000</f>
        <v>15752.845514467645</v>
      </c>
      <c r="H179" s="349">
        <f>H173*24*LOOKUP(Detached!H$2,'HDD-by Country'!$A$4:$A$40,'HDD-by Country'!$C$4:$C$40)/1000</f>
        <v>11606.588786761715</v>
      </c>
      <c r="I179" s="349">
        <f>I173*24*LOOKUP(Detached!I$2,'HDD-by Country'!$A$4:$A$40,'HDD-by Country'!$C$4:$C$40)/1000</f>
        <v>19606.528983359734</v>
      </c>
      <c r="J179" s="349">
        <f>J173*24*LOOKUP(Detached!J$2,'HDD-by Country'!$A$4:$A$40,'HDD-by Country'!$C$4:$C$40)/1000</f>
        <v>15332.70833028161</v>
      </c>
      <c r="K179" s="349">
        <f>K173*24*LOOKUP(Detached!K$2,'HDD-by Country'!$A$4:$A$40,'HDD-by Country'!$C$4:$C$40)/1000</f>
        <v>13346.468425758849</v>
      </c>
      <c r="L179" s="349">
        <f>L173*24*LOOKUP(Detached!L$2,'HDD-by Country'!$A$4:$A$40,'HDD-by Country'!$C$4:$C$40)/1000</f>
        <v>9481.9776399654074</v>
      </c>
      <c r="M179" s="349">
        <f>M173*24*LOOKUP(Detached!M$2,'HDD-by Country'!$A$4:$A$40,'HDD-by Country'!$C$4:$C$40)/1000</f>
        <v>14176.589758709601</v>
      </c>
      <c r="N179" s="349">
        <f>N173*24*LOOKUP(Detached!N$2,'HDD-by Country'!$A$4:$A$40,'HDD-by Country'!$C$4:$C$40)/1000</f>
        <v>16959.390929114325</v>
      </c>
      <c r="O179" s="349">
        <f>O173*24*LOOKUP(Detached!O$2,'HDD-by Country'!$A$4:$A$40,'HDD-by Country'!$C$4:$C$40)/1000</f>
        <v>14593.522920273186</v>
      </c>
      <c r="P179" s="349">
        <f>P173*24*LOOKUP(Detached!P$2,'HDD-by Country'!$A$4:$A$40,'HDD-by Country'!$C$4:$C$40)/1000</f>
        <v>21188.830130082268</v>
      </c>
      <c r="Q179" s="349">
        <f>Q173*24*LOOKUP(Detached!Q$2,'HDD-by Country'!$A$4:$A$40,'HDD-by Country'!$C$4:$C$40)/1000</f>
        <v>15383.013382866917</v>
      </c>
      <c r="R179" s="349">
        <f>R173*24*LOOKUP(Detached!R$2,'HDD-by Country'!$A$4:$A$40,'HDD-by Country'!$C$4:$C$40)/1000</f>
        <v>15556.462924536982</v>
      </c>
      <c r="S179" s="349">
        <f>S173*24*LOOKUP(Detached!S$2,'HDD-by Country'!$A$4:$A$40,'HDD-by Country'!$C$4:$C$40)/1000</f>
        <v>17433.22639349056</v>
      </c>
      <c r="T179" s="349">
        <f>T173*24*LOOKUP(Detached!T$2,'HDD-by Country'!$A$4:$A$40,'HDD-by Country'!$C$4:$C$40)/1000</f>
        <v>14425.628933892798</v>
      </c>
      <c r="U179" s="349">
        <f>U173*24*LOOKUP(Detached!U$2,'HDD-by Country'!$A$4:$A$40,'HDD-by Country'!$C$4:$C$40)/1000</f>
        <v>18446.723778349722</v>
      </c>
      <c r="V179" s="349">
        <f>V173*24*LOOKUP(Detached!V$2,'HDD-by Country'!$A$4:$A$40,'HDD-by Country'!$C$4:$C$40)/1000</f>
        <v>16802.172436769673</v>
      </c>
      <c r="W179" s="349">
        <f>W173*24*LOOKUP(Detached!W$2,'HDD-by Country'!$A$4:$A$40,'HDD-by Country'!$C$4:$C$40)/1000</f>
        <v>12599.543368434723</v>
      </c>
      <c r="X179" s="349">
        <f>X173*24*LOOKUP(Detached!X$2,'HDD-by Country'!$A$4:$A$40,'HDD-by Country'!$C$4:$C$40)/1000</f>
        <v>15596.615266231995</v>
      </c>
      <c r="Y179" s="349">
        <f>Y173*24*LOOKUP(Detached!Y$2,'HDD-by Country'!$A$4:$A$40,'HDD-by Country'!$C$4:$C$40)/1000</f>
        <v>6998.8424106906796</v>
      </c>
      <c r="Z179" s="349">
        <f>Z173*24*LOOKUP(Detached!Z$2,'HDD-by Country'!$A$4:$A$40,'HDD-by Country'!$C$4:$C$40)/1000</f>
        <v>19643.874986309893</v>
      </c>
      <c r="AA179" s="349">
        <f>AA173*24*LOOKUP(Detached!AA$2,'HDD-by Country'!$A$4:$A$40,'HDD-by Country'!$C$4:$C$40)/1000</f>
        <v>18472.178776979155</v>
      </c>
      <c r="AB179" s="349">
        <f>AB173*24*LOOKUP(Detached!AB$2,'HDD-by Country'!$A$4:$A$40,'HDD-by Country'!$C$4:$C$40)/1000</f>
        <v>19139.432343986227</v>
      </c>
      <c r="AC179" s="349">
        <f>AC173*24*LOOKUP(Detached!AC$2,'HDD-by Country'!$A$4:$A$40,'HDD-by Country'!$C$4:$C$40)/1000</f>
        <v>17714.347855333046</v>
      </c>
      <c r="AD179" s="349">
        <f>AD173*24*LOOKUP(Detached!AD$2,'HDD-by Country'!$A$4:$A$40,'HDD-by Country'!$C$4:$C$40)/1000</f>
        <v>18897.2228832125</v>
      </c>
      <c r="AE179" s="349">
        <f>AE173*24*LOOKUP(Detached!AE$2,'HDD-by Country'!$A$4:$A$40,'HDD-by Country'!$C$4:$C$40)/1000</f>
        <v>17811.289631929601</v>
      </c>
      <c r="AF179" s="349">
        <f>AF173*24*LOOKUP(Detached!AF$2,'HDD-by Country'!$A$4:$A$40,'HDD-by Country'!$C$4:$C$40)/1000</f>
        <v>15687.767010043846</v>
      </c>
      <c r="AG179" s="349">
        <f>AG173*24*LOOKUP(Detached!AG$2,'HDD-by Country'!$A$4:$A$40,'HDD-by Country'!$C$4:$C$40)/1000</f>
        <v>27077.020132724709</v>
      </c>
      <c r="AH179" s="349">
        <f>AH173*24*LOOKUP(Detached!AH$2,'HDD-by Country'!$A$4:$A$40,'HDD-by Country'!$C$4:$C$40)/1000</f>
        <v>15996.615846325869</v>
      </c>
      <c r="AI179" s="349">
        <f>AI173*24*LOOKUP(Detached!AI$2,'HDD-by Country'!$A$4:$A$40,'HDD-by Country'!$C$4:$C$40)/1000</f>
        <v>21188.830130082268</v>
      </c>
      <c r="AJ179" s="349">
        <f>AJ173*24*LOOKUP(Detached!AJ$2,'HDD-by Country'!$A$4:$A$40,'HDD-by Country'!$C$4:$C$40)/1000</f>
        <v>15819.172235365741</v>
      </c>
      <c r="AK179" s="349">
        <f>AK173*24*LOOKUP(Detached!AK$2,'HDD-by Country'!$A$4:$A$40,'HDD-by Country'!$C$4:$C$40)/1000</f>
        <v>16304.867438887164</v>
      </c>
      <c r="AL179" s="349">
        <f>AL173*24*LOOKUP(Detached!AL$2,'HDD-by Country'!$A$4:$A$40,'HDD-by Country'!$C$4:$C$40)/1000</f>
        <v>14073.5003772699</v>
      </c>
      <c r="AM179" s="349">
        <f>AM173*24*LOOKUP(Detached!AM$2,'HDD-by Country'!$A$4:$A$40,'HDD-by Country'!$C$4:$C$40)/1000</f>
        <v>14546.925323897243</v>
      </c>
      <c r="AN179" s="354">
        <f>AN173*24*LOOKUP(Detached!AN$2,'HDD-by Country'!$A$4:$A$40,'HDD-by Country'!$C$4:$C$40)/1000</f>
        <v>14546.925323897243</v>
      </c>
    </row>
    <row r="180" spans="1:40">
      <c r="A180" s="129"/>
      <c r="B180" s="142" t="s">
        <v>6</v>
      </c>
      <c r="C180" s="129" t="s">
        <v>261</v>
      </c>
      <c r="D180" s="345">
        <f>D174*24*LOOKUP(Detached!D$2,'HDD-by Country'!$A$4:$A$40,'HDD-by Country'!$C$4:$C$40)/1000</f>
        <v>14203.586876308354</v>
      </c>
      <c r="E180" s="349">
        <f>E174*24*LOOKUP(Detached!E$2,'HDD-by Country'!$A$4:$A$40,'HDD-by Country'!$C$4:$C$40)/1000</f>
        <v>25246.812973549368</v>
      </c>
      <c r="F180" s="349">
        <f>F174*24*LOOKUP(Detached!F$2,'HDD-by Country'!$A$4:$A$40,'HDD-by Country'!$C$4:$C$40)/1000</f>
        <v>11098.202225599651</v>
      </c>
      <c r="G180" s="349">
        <f>G174*24*LOOKUP(Detached!G$2,'HDD-by Country'!$A$4:$A$40,'HDD-by Country'!$C$4:$C$40)/1000</f>
        <v>13837.965725603157</v>
      </c>
      <c r="H180" s="349">
        <f>H174*24*LOOKUP(Detached!H$2,'HDD-by Country'!$A$4:$A$40,'HDD-by Country'!$C$4:$C$40)/1000</f>
        <v>9241.8207867617166</v>
      </c>
      <c r="I180" s="349">
        <f>I174*24*LOOKUP(Detached!I$2,'HDD-by Country'!$A$4:$A$40,'HDD-by Country'!$C$4:$C$40)/1000</f>
        <v>15445.256056275643</v>
      </c>
      <c r="J180" s="349">
        <f>J174*24*LOOKUP(Detached!J$2,'HDD-by Country'!$A$4:$A$40,'HDD-by Country'!$C$4:$C$40)/1000</f>
        <v>9429.9195434128469</v>
      </c>
      <c r="K180" s="349">
        <f>K174*24*LOOKUP(Detached!K$2,'HDD-by Country'!$A$4:$A$40,'HDD-by Country'!$C$4:$C$40)/1000</f>
        <v>13346.468425758849</v>
      </c>
      <c r="L180" s="349">
        <f>L174*24*LOOKUP(Detached!L$2,'HDD-by Country'!$A$4:$A$40,'HDD-by Country'!$C$4:$C$40)/1000</f>
        <v>8170.9378398572517</v>
      </c>
      <c r="M180" s="349">
        <f>M174*24*LOOKUP(Detached!M$2,'HDD-by Country'!$A$4:$A$40,'HDD-by Country'!$C$4:$C$40)/1000</f>
        <v>14176.589758709601</v>
      </c>
      <c r="N180" s="349">
        <f>N174*24*LOOKUP(Detached!N$2,'HDD-by Country'!$A$4:$A$40,'HDD-by Country'!$C$4:$C$40)/1000</f>
        <v>16765.185725397758</v>
      </c>
      <c r="O180" s="349">
        <f>O174*24*LOOKUP(Detached!O$2,'HDD-by Country'!$A$4:$A$40,'HDD-by Country'!$C$4:$C$40)/1000</f>
        <v>8855.7553004070578</v>
      </c>
      <c r="P180" s="349">
        <f>P174*24*LOOKUP(Detached!P$2,'HDD-by Country'!$A$4:$A$40,'HDD-by Country'!$C$4:$C$40)/1000</f>
        <v>21188.830130082268</v>
      </c>
      <c r="Q180" s="349">
        <f>Q174*24*LOOKUP(Detached!Q$2,'HDD-by Country'!$A$4:$A$40,'HDD-by Country'!$C$4:$C$40)/1000</f>
        <v>11480.559221903488</v>
      </c>
      <c r="R180" s="349">
        <f>R174*24*LOOKUP(Detached!R$2,'HDD-by Country'!$A$4:$A$40,'HDD-by Country'!$C$4:$C$40)/1000</f>
        <v>15556.462924536982</v>
      </c>
      <c r="S180" s="349">
        <f>S174*24*LOOKUP(Detached!S$2,'HDD-by Country'!$A$4:$A$40,'HDD-by Country'!$C$4:$C$40)/1000</f>
        <v>16580.784568620831</v>
      </c>
      <c r="T180" s="349">
        <f>T174*24*LOOKUP(Detached!T$2,'HDD-by Country'!$A$4:$A$40,'HDD-by Country'!$C$4:$C$40)/1000</f>
        <v>14260.438319586196</v>
      </c>
      <c r="U180" s="349">
        <f>U174*24*LOOKUP(Detached!U$2,'HDD-by Country'!$A$4:$A$40,'HDD-by Country'!$C$4:$C$40)/1000</f>
        <v>17507.649840378836</v>
      </c>
      <c r="V180" s="349">
        <f>V174*24*LOOKUP(Detached!V$2,'HDD-by Country'!$A$4:$A$40,'HDD-by Country'!$C$4:$C$40)/1000</f>
        <v>16802.172436769673</v>
      </c>
      <c r="W180" s="349">
        <f>W174*24*LOOKUP(Detached!W$2,'HDD-by Country'!$A$4:$A$40,'HDD-by Country'!$C$4:$C$40)/1000</f>
        <v>10648.483358909622</v>
      </c>
      <c r="X180" s="349">
        <f>X174*24*LOOKUP(Detached!X$2,'HDD-by Country'!$A$4:$A$40,'HDD-by Country'!$C$4:$C$40)/1000</f>
        <v>15274.181266231995</v>
      </c>
      <c r="Y180" s="349">
        <f>Y174*24*LOOKUP(Detached!Y$2,'HDD-by Country'!$A$4:$A$40,'HDD-by Country'!$C$4:$C$40)/1000</f>
        <v>6833.1828942486809</v>
      </c>
      <c r="Z180" s="349">
        <f>Z174*24*LOOKUP(Detached!Z$2,'HDD-by Country'!$A$4:$A$40,'HDD-by Country'!$C$4:$C$40)/1000</f>
        <v>17373.361663381831</v>
      </c>
      <c r="AA180" s="349">
        <f>AA174*24*LOOKUP(Detached!AA$2,'HDD-by Country'!$A$4:$A$40,'HDD-by Country'!$C$4:$C$40)/1000</f>
        <v>17066.528068998203</v>
      </c>
      <c r="AB180" s="349">
        <f>AB174*24*LOOKUP(Detached!AB$2,'HDD-by Country'!$A$4:$A$40,'HDD-by Country'!$C$4:$C$40)/1000</f>
        <v>19139.432343986227</v>
      </c>
      <c r="AC180" s="349">
        <f>AC174*24*LOOKUP(Detached!AC$2,'HDD-by Country'!$A$4:$A$40,'HDD-by Country'!$C$4:$C$40)/1000</f>
        <v>16762.9528623806</v>
      </c>
      <c r="AD180" s="349">
        <f>AD174*24*LOOKUP(Detached!AD$2,'HDD-by Country'!$A$4:$A$40,'HDD-by Country'!$C$4:$C$40)/1000</f>
        <v>18897.2228832125</v>
      </c>
      <c r="AE180" s="349">
        <f>AE174*24*LOOKUP(Detached!AE$2,'HDD-by Country'!$A$4:$A$40,'HDD-by Country'!$C$4:$C$40)/1000</f>
        <v>16455.929650659975</v>
      </c>
      <c r="AF180" s="349">
        <f>AF174*24*LOOKUP(Detached!AF$2,'HDD-by Country'!$A$4:$A$40,'HDD-by Country'!$C$4:$C$40)/1000</f>
        <v>11784.126593788065</v>
      </c>
      <c r="AG180" s="349">
        <f>AG174*24*LOOKUP(Detached!AG$2,'HDD-by Country'!$A$4:$A$40,'HDD-by Country'!$C$4:$C$40)/1000</f>
        <v>23939.379867230706</v>
      </c>
      <c r="AH180" s="349">
        <f>AH174*24*LOOKUP(Detached!AH$2,'HDD-by Country'!$A$4:$A$40,'HDD-by Country'!$C$4:$C$40)/1000</f>
        <v>11381.281648114098</v>
      </c>
      <c r="AI180" s="349">
        <f>AI174*24*LOOKUP(Detached!AI$2,'HDD-by Country'!$A$4:$A$40,'HDD-by Country'!$C$4:$C$40)/1000</f>
        <v>21188.830130082268</v>
      </c>
      <c r="AJ180" s="349">
        <f>AJ174*24*LOOKUP(Detached!AJ$2,'HDD-by Country'!$A$4:$A$40,'HDD-by Country'!$C$4:$C$40)/1000</f>
        <v>15404.488360415698</v>
      </c>
      <c r="AK180" s="349">
        <f>AK174*24*LOOKUP(Detached!AK$2,'HDD-by Country'!$A$4:$A$40,'HDD-by Country'!$C$4:$C$40)/1000</f>
        <v>15771.82049225224</v>
      </c>
      <c r="AL180" s="349">
        <f>AL174*24*LOOKUP(Detached!AL$2,'HDD-by Country'!$A$4:$A$40,'HDD-by Country'!$C$4:$C$40)/1000</f>
        <v>11475.691545539754</v>
      </c>
      <c r="AM180" s="349">
        <f>AM174*24*LOOKUP(Detached!AM$2,'HDD-by Country'!$A$4:$A$40,'HDD-by Country'!$C$4:$C$40)/1000</f>
        <v>14165.592137042089</v>
      </c>
      <c r="AN180" s="354">
        <f>AN174*24*LOOKUP(Detached!AN$2,'HDD-by Country'!$A$4:$A$40,'HDD-by Country'!$C$4:$C$40)/1000</f>
        <v>14165.592137042089</v>
      </c>
    </row>
    <row r="181" spans="1:40">
      <c r="A181" s="130"/>
      <c r="B181" s="142" t="s">
        <v>7</v>
      </c>
      <c r="C181" s="129" t="s">
        <v>261</v>
      </c>
      <c r="D181" s="345">
        <f>D175*24*LOOKUP(Detached!D$2,'HDD-by Country'!$A$4:$A$40,'HDD-by Country'!$C$4:$C$40)/1000</f>
        <v>12431.92163147162</v>
      </c>
      <c r="E181" s="349">
        <f>E175*24*LOOKUP(Detached!E$2,'HDD-by Country'!$A$4:$A$40,'HDD-by Country'!$C$4:$C$40)/1000</f>
        <v>15729.297876229828</v>
      </c>
      <c r="F181" s="349">
        <f>F175*24*LOOKUP(Detached!F$2,'HDD-by Country'!$A$4:$A$40,'HDD-by Country'!$C$4:$C$40)/1000</f>
        <v>8629.6405624676227</v>
      </c>
      <c r="G181" s="349">
        <f>G175*24*LOOKUP(Detached!G$2,'HDD-by Country'!$A$4:$A$40,'HDD-by Country'!$C$4:$C$40)/1000</f>
        <v>12111.905741685556</v>
      </c>
      <c r="H181" s="349">
        <f>H175*24*LOOKUP(Detached!H$2,'HDD-by Country'!$A$4:$A$40,'HDD-by Country'!$C$4:$C$40)/1000</f>
        <v>7582.0098161638589</v>
      </c>
      <c r="I181" s="349">
        <f>I175*24*LOOKUP(Detached!I$2,'HDD-by Country'!$A$4:$A$40,'HDD-by Country'!$C$4:$C$40)/1000</f>
        <v>11601.367618635577</v>
      </c>
      <c r="J181" s="349">
        <f>J175*24*LOOKUP(Detached!J$2,'HDD-by Country'!$A$4:$A$40,'HDD-by Country'!$C$4:$C$40)/1000</f>
        <v>9951.842133498476</v>
      </c>
      <c r="K181" s="349">
        <f>K175*24*LOOKUP(Detached!K$2,'HDD-by Country'!$A$4:$A$40,'HDD-by Country'!$C$4:$C$40)/1000</f>
        <v>9413.7570528175038</v>
      </c>
      <c r="L181" s="349">
        <f>L175*24*LOOKUP(Detached!L$2,'HDD-by Country'!$A$4:$A$40,'HDD-by Country'!$C$4:$C$40)/1000</f>
        <v>8170.9378398572517</v>
      </c>
      <c r="M181" s="349">
        <f>M175*24*LOOKUP(Detached!M$2,'HDD-by Country'!$A$4:$A$40,'HDD-by Country'!$C$4:$C$40)/1000</f>
        <v>11107.213290521251</v>
      </c>
      <c r="N181" s="349">
        <f>N175*24*LOOKUP(Detached!N$2,'HDD-by Country'!$A$4:$A$40,'HDD-by Country'!$C$4:$C$40)/1000</f>
        <v>14706.257403105428</v>
      </c>
      <c r="O181" s="349">
        <f>O175*24*LOOKUP(Detached!O$2,'HDD-by Country'!$A$4:$A$40,'HDD-by Country'!$C$4:$C$40)/1000</f>
        <v>8544.7813600789104</v>
      </c>
      <c r="P181" s="349">
        <f>P175*24*LOOKUP(Detached!P$2,'HDD-by Country'!$A$4:$A$40,'HDD-by Country'!$C$4:$C$40)/1000</f>
        <v>8995.9212070337417</v>
      </c>
      <c r="Q181" s="349">
        <f>Q175*24*LOOKUP(Detached!Q$2,'HDD-by Country'!$A$4:$A$40,'HDD-by Country'!$C$4:$C$40)/1000</f>
        <v>7897.0072038569742</v>
      </c>
      <c r="R181" s="349">
        <f>R175*24*LOOKUP(Detached!R$2,'HDD-by Country'!$A$4:$A$40,'HDD-by Country'!$C$4:$C$40)/1000</f>
        <v>9463.4910175676432</v>
      </c>
      <c r="S181" s="349">
        <f>S175*24*LOOKUP(Detached!S$2,'HDD-by Country'!$A$4:$A$40,'HDD-by Country'!$C$4:$C$40)/1000</f>
        <v>11472.950101719902</v>
      </c>
      <c r="T181" s="349">
        <f>T175*24*LOOKUP(Detached!T$2,'HDD-by Country'!$A$4:$A$40,'HDD-by Country'!$C$4:$C$40)/1000</f>
        <v>12509.117408179933</v>
      </c>
      <c r="U181" s="349">
        <f>U175*24*LOOKUP(Detached!U$2,'HDD-by Country'!$A$4:$A$40,'HDD-by Country'!$C$4:$C$40)/1000</f>
        <v>16088.529840378837</v>
      </c>
      <c r="V181" s="349">
        <f>V175*24*LOOKUP(Detached!V$2,'HDD-by Country'!$A$4:$A$40,'HDD-by Country'!$C$4:$C$40)/1000</f>
        <v>10646.803264229096</v>
      </c>
      <c r="W181" s="349">
        <f>W175*24*LOOKUP(Detached!W$2,'HDD-by Country'!$A$4:$A$40,'HDD-by Country'!$C$4:$C$40)/1000</f>
        <v>8648.8465604794364</v>
      </c>
      <c r="X181" s="349">
        <f>X175*24*LOOKUP(Detached!X$2,'HDD-by Country'!$A$4:$A$40,'HDD-by Country'!$C$4:$C$40)/1000</f>
        <v>10414.948351629157</v>
      </c>
      <c r="Y181" s="349">
        <f>Y175*24*LOOKUP(Detached!Y$2,'HDD-by Country'!$A$4:$A$40,'HDD-by Country'!$C$4:$C$40)/1000</f>
        <v>6764.2920294798678</v>
      </c>
      <c r="Z181" s="349">
        <f>Z175*24*LOOKUP(Detached!Z$2,'HDD-by Country'!$A$4:$A$40,'HDD-by Country'!$C$4:$C$40)/1000</f>
        <v>11654.833618674204</v>
      </c>
      <c r="AA181" s="349">
        <f>AA175*24*LOOKUP(Detached!AA$2,'HDD-by Country'!$A$4:$A$40,'HDD-by Country'!$C$4:$C$40)/1000</f>
        <v>14345.287959558205</v>
      </c>
      <c r="AB181" s="349">
        <f>AB175*24*LOOKUP(Detached!AB$2,'HDD-by Country'!$A$4:$A$40,'HDD-by Country'!$C$4:$C$40)/1000</f>
        <v>16329.666350166219</v>
      </c>
      <c r="AC181" s="349">
        <f>AC175*24*LOOKUP(Detached!AC$2,'HDD-by Country'!$A$4:$A$40,'HDD-by Country'!$C$4:$C$40)/1000</f>
        <v>11070.377315465659</v>
      </c>
      <c r="AD181" s="349">
        <f>AD175*24*LOOKUP(Detached!AD$2,'HDD-by Country'!$A$4:$A$40,'HDD-by Country'!$C$4:$C$40)/1000</f>
        <v>15219.075441301999</v>
      </c>
      <c r="AE181" s="349">
        <f>AE175*24*LOOKUP(Detached!AE$2,'HDD-by Country'!$A$4:$A$40,'HDD-by Country'!$C$4:$C$40)/1000</f>
        <v>13832.048822499977</v>
      </c>
      <c r="AF181" s="349">
        <f>AF175*24*LOOKUP(Detached!AF$2,'HDD-by Country'!$A$4:$A$40,'HDD-by Country'!$C$4:$C$40)/1000</f>
        <v>7056.4540143402073</v>
      </c>
      <c r="AG181" s="349">
        <f>AG175*24*LOOKUP(Detached!AG$2,'HDD-by Country'!$A$4:$A$40,'HDD-by Country'!$C$4:$C$40)/1000</f>
        <v>14801.801820209552</v>
      </c>
      <c r="AH181" s="349">
        <f>AH175*24*LOOKUP(Detached!AH$2,'HDD-by Country'!$A$4:$A$40,'HDD-by Country'!$C$4:$C$40)/1000</f>
        <v>9575.1428810530633</v>
      </c>
      <c r="AI181" s="349">
        <f>AI175*24*LOOKUP(Detached!AI$2,'HDD-by Country'!$A$4:$A$40,'HDD-by Country'!$C$4:$C$40)/1000</f>
        <v>8995.9212070337417</v>
      </c>
      <c r="AJ181" s="349">
        <f>AJ175*24*LOOKUP(Detached!AJ$2,'HDD-by Country'!$A$4:$A$40,'HDD-by Country'!$C$4:$C$40)/1000</f>
        <v>13524.025429831869</v>
      </c>
      <c r="AK181" s="349">
        <f>AK175*24*LOOKUP(Detached!AK$2,'HDD-by Country'!$A$4:$A$40,'HDD-by Country'!$C$4:$C$40)/1000</f>
        <v>13902.738743614733</v>
      </c>
      <c r="AL181" s="349">
        <f>AL175*24*LOOKUP(Detached!AL$2,'HDD-by Country'!$A$4:$A$40,'HDD-by Country'!$C$4:$C$40)/1000</f>
        <v>8911.6778015838609</v>
      </c>
      <c r="AM181" s="349">
        <f>AM175*24*LOOKUP(Detached!AM$2,'HDD-by Country'!$A$4:$A$40,'HDD-by Country'!$C$4:$C$40)/1000</f>
        <v>12436.364247076739</v>
      </c>
      <c r="AN181" s="354">
        <f>AN175*24*LOOKUP(Detached!AN$2,'HDD-by Country'!$A$4:$A$40,'HDD-by Country'!$C$4:$C$40)/1000</f>
        <v>12436.364247076739</v>
      </c>
    </row>
    <row r="182" spans="1:40">
      <c r="A182" s="151" t="s">
        <v>260</v>
      </c>
      <c r="B182" s="141" t="s">
        <v>2</v>
      </c>
      <c r="C182" s="360" t="s">
        <v>261</v>
      </c>
      <c r="D182" s="351">
        <f>D176/(1.355*(D170/Detached!D$17)^0.16)</f>
        <v>22456.999425456273</v>
      </c>
      <c r="E182" s="352">
        <f>E176/(1.355*(E170/Detached!E$17)^0.16)</f>
        <v>21942.401473215374</v>
      </c>
      <c r="F182" s="352">
        <f>F176/(1.355*(F170/Detached!F$17)^0.16)</f>
        <v>11408.261508715075</v>
      </c>
      <c r="G182" s="352">
        <f>G176/(1.355*(G170/Detached!G$17)^0.16)</f>
        <v>21878.923335041618</v>
      </c>
      <c r="H182" s="352">
        <f>H176/(1.355*(H170/Detached!H$17)^0.16)</f>
        <v>7174.9017123667018</v>
      </c>
      <c r="I182" s="352">
        <f>I176/(1.355*(I170/Detached!I$17)^0.16)</f>
        <v>20264.027930936383</v>
      </c>
      <c r="J182" s="352">
        <f>J176/(1.355*(J170/Detached!J$17)^0.16)</f>
        <v>23480.473610068904</v>
      </c>
      <c r="K182" s="352">
        <f>K176/(1.355*(K170/Detached!K$17)^0.16)</f>
        <v>17714.140980018168</v>
      </c>
      <c r="L182" s="352">
        <f>L176/(1.355*(L170/Detached!L$17)^0.16)</f>
        <v>13039.307953602529</v>
      </c>
      <c r="M182" s="352">
        <f>M176/(1.355*(M170/Detached!M$17)^0.16)</f>
        <v>17944.124391015259</v>
      </c>
      <c r="N182" s="352">
        <f>N176/(1.355*(N170/Detached!N$17)^0.16)</f>
        <v>21516.243135407749</v>
      </c>
      <c r="O182" s="352">
        <f>O176/(1.355*(O170/Detached!O$17)^0.16)</f>
        <v>23470.939887793484</v>
      </c>
      <c r="P182" s="352">
        <f>P176/(1.355*(P170/Detached!P$17)^0.16)</f>
        <v>15135.084907625724</v>
      </c>
      <c r="Q182" s="352">
        <f>Q176/(1.355*(Q170/Detached!Q$17)^0.16)</f>
        <v>13008.863441648162</v>
      </c>
      <c r="R182" s="352">
        <f>R176/(1.355*(R170/Detached!R$17)^0.16)</f>
        <v>15513.962497144117</v>
      </c>
      <c r="S182" s="352">
        <f>S176/(1.355*(S170/Detached!S$17)^0.16)</f>
        <v>23605.670957086459</v>
      </c>
      <c r="T182" s="352">
        <f>T176/(1.355*(T170/Detached!T$17)^0.16)</f>
        <v>18301.679631075036</v>
      </c>
      <c r="U182" s="352">
        <f>U176/(1.355*(U170/Detached!U$17)^0.16)</f>
        <v>18009.78700075415</v>
      </c>
      <c r="V182" s="352">
        <f>V176/(1.355*(V170/Detached!V$17)^0.16)</f>
        <v>19156.766303717595</v>
      </c>
      <c r="W182" s="352">
        <f>W176/(1.355*(W170/Detached!W$17)^0.16)</f>
        <v>21330.30938495701</v>
      </c>
      <c r="X182" s="352">
        <f>X176/(1.355*(X170/Detached!X$17)^0.16)</f>
        <v>22190.724785017119</v>
      </c>
      <c r="Y182" s="352">
        <f>Y176/(1.355*(Y170/Detached!Y$17)^0.16)</f>
        <v>5498.008366107967</v>
      </c>
      <c r="Z182" s="352">
        <f>Z176/(1.355*(Z170/Detached!Z$17)^0.16)</f>
        <v>24272.565276548688</v>
      </c>
      <c r="AA182" s="352">
        <f>AA176/(1.355*(AA170/Detached!AA$17)^0.16)</f>
        <v>21513.006153195973</v>
      </c>
      <c r="AB182" s="352">
        <f>AB176/(1.355*(AB170/Detached!AB$17)^0.16)</f>
        <v>24562.464660720936</v>
      </c>
      <c r="AC182" s="352">
        <f>AC176/(1.355*(AC170/Detached!AC$17)^0.16)</f>
        <v>13004.532987319853</v>
      </c>
      <c r="AD182" s="352">
        <f>AD176/(1.355*(AD170/Detached!AD$17)^0.16)</f>
        <v>16368.573783877338</v>
      </c>
      <c r="AE182" s="352">
        <f>AE176/(1.355*(AE170/Detached!AE$17)^0.16)</f>
        <v>20743.323680127323</v>
      </c>
      <c r="AF182" s="352">
        <f>AF176/(1.355*(AF170/Detached!AF$17)^0.16)</f>
        <v>16467.734545068251</v>
      </c>
      <c r="AG182" s="352">
        <f>AG176/(1.355*(AG170/Detached!AG$17)^0.16)</f>
        <v>26306.969737476786</v>
      </c>
      <c r="AH182" s="352">
        <f>AH176/(1.355*(AH170/Detached!AH$17)^0.16)</f>
        <v>19531.796336674888</v>
      </c>
      <c r="AI182" s="352">
        <f>AI176/(1.355*(AI170/Detached!AI$17)^0.16)</f>
        <v>15135.084907625724</v>
      </c>
      <c r="AJ182" s="352">
        <f>AJ176/(1.355*(AJ170/Detached!AJ$17)^0.16)</f>
        <v>13001.101644555809</v>
      </c>
      <c r="AK182" s="352">
        <f>AK176/(1.355*(AK170/Detached!AK$17)^0.16)</f>
        <v>13835.937342896874</v>
      </c>
      <c r="AL182" s="352">
        <f>AL176/(1.355*(AL170/Detached!AL$17)^0.16)</f>
        <v>11992.830079543717</v>
      </c>
      <c r="AM182" s="352">
        <f>AM176/(1.355*(AM170/Detached!AM$17)^0.16)</f>
        <v>11955.496276153817</v>
      </c>
      <c r="AN182" s="353">
        <f>AN176/(1.355*(AN170/Detached!AN$17)^0.16)</f>
        <v>11955.496276153817</v>
      </c>
    </row>
    <row r="183" spans="1:40">
      <c r="A183" s="129"/>
      <c r="B183" s="142" t="s">
        <v>3</v>
      </c>
      <c r="C183" s="129" t="s">
        <v>261</v>
      </c>
      <c r="D183" s="345">
        <f>D177/(1.355*(D171/Detached!D$17)^0.16)</f>
        <v>22465.974546329766</v>
      </c>
      <c r="E183" s="349">
        <f>E177/(1.355*(E171/Detached!E$17)^0.16)</f>
        <v>21942.401473215374</v>
      </c>
      <c r="F183" s="349">
        <f>F177/(1.355*(F171/Detached!F$17)^0.16)</f>
        <v>11408.261508715075</v>
      </c>
      <c r="G183" s="349">
        <f>G177/(1.355*(G171/Detached!G$17)^0.16)</f>
        <v>21887.667423145005</v>
      </c>
      <c r="H183" s="349">
        <f>H177/(1.355*(H171/Detached!H$17)^0.16)</f>
        <v>7124.7016520259849</v>
      </c>
      <c r="I183" s="349">
        <f>I177/(1.355*(I171/Detached!I$17)^0.16)</f>
        <v>17020.457193479066</v>
      </c>
      <c r="J183" s="349">
        <f>J177/(1.355*(J171/Detached!J$17)^0.16)</f>
        <v>22034.692164235777</v>
      </c>
      <c r="K183" s="349">
        <f>K177/(1.355*(K171/Detached!K$17)^0.16)</f>
        <v>17005.784841839064</v>
      </c>
      <c r="L183" s="349">
        <f>L177/(1.355*(L171/Detached!L$17)^0.16)</f>
        <v>13039.307953602529</v>
      </c>
      <c r="M183" s="349">
        <f>M177/(1.355*(M171/Detached!M$17)^0.16)</f>
        <v>17107.941771715792</v>
      </c>
      <c r="N183" s="349">
        <f>N177/(1.355*(N171/Detached!N$17)^0.16)</f>
        <v>19944.556154672915</v>
      </c>
      <c r="O183" s="349">
        <f>O177/(1.355*(O171/Detached!O$17)^0.16)</f>
        <v>23470.939887793484</v>
      </c>
      <c r="P183" s="349">
        <f>P177/(1.355*(P171/Detached!P$17)^0.16)</f>
        <v>15135.084907625724</v>
      </c>
      <c r="Q183" s="349">
        <f>Q177/(1.355*(Q171/Detached!Q$17)^0.16)</f>
        <v>13127.122086829968</v>
      </c>
      <c r="R183" s="349">
        <f>R177/(1.355*(R171/Detached!R$17)^0.16)</f>
        <v>15513.962497144117</v>
      </c>
      <c r="S183" s="349">
        <f>S177/(1.355*(S171/Detached!S$17)^0.16)</f>
        <v>24044.33756621198</v>
      </c>
      <c r="T183" s="349">
        <f>T177/(1.355*(T171/Detached!T$17)^0.16)</f>
        <v>16964.805371906397</v>
      </c>
      <c r="U183" s="349">
        <f>U177/(1.355*(U171/Detached!U$17)^0.16)</f>
        <v>17709.894415401814</v>
      </c>
      <c r="V183" s="349">
        <f>V177/(1.355*(V171/Detached!V$17)^0.16)</f>
        <v>19156.766303717595</v>
      </c>
      <c r="W183" s="349">
        <f>W177/(1.355*(W171/Detached!W$17)^0.16)</f>
        <v>18462.548923502545</v>
      </c>
      <c r="X183" s="349">
        <f>X177/(1.355*(X171/Detached!X$17)^0.16)</f>
        <v>21794.275237510978</v>
      </c>
      <c r="Y183" s="349">
        <f>Y177/(1.355*(Y171/Detached!Y$17)^0.16)</f>
        <v>5487.4439961777343</v>
      </c>
      <c r="Z183" s="349">
        <f>Z177/(1.355*(Z171/Detached!Z$17)^0.16)</f>
        <v>19849.946562117879</v>
      </c>
      <c r="AA183" s="349">
        <f>AA177/(1.355*(AA171/Detached!AA$17)^0.16)</f>
        <v>21400.319141324555</v>
      </c>
      <c r="AB183" s="349">
        <f>AB177/(1.355*(AB171/Detached!AB$17)^0.16)</f>
        <v>18881.247396607792</v>
      </c>
      <c r="AC183" s="349">
        <f>AC177/(1.355*(AC171/Detached!AC$17)^0.16)</f>
        <v>12901.892638317297</v>
      </c>
      <c r="AD183" s="349">
        <f>AD177/(1.355*(AD171/Detached!AD$17)^0.16)</f>
        <v>15234.770994010833</v>
      </c>
      <c r="AE183" s="349">
        <f>AE177/(1.355*(AE171/Detached!AE$17)^0.16)</f>
        <v>20634.66833251344</v>
      </c>
      <c r="AF183" s="349">
        <f>AF177/(1.355*(AF171/Detached!AF$17)^0.16)</f>
        <v>16467.734545068251</v>
      </c>
      <c r="AG183" s="349">
        <f>AG177/(1.355*(AG171/Detached!AG$17)^0.16)</f>
        <v>23445.029979692725</v>
      </c>
      <c r="AH183" s="349">
        <f>AH177/(1.355*(AH171/Detached!AH$17)^0.16)</f>
        <v>19860.724337656851</v>
      </c>
      <c r="AI183" s="349">
        <f>AI177/(1.355*(AI171/Detached!AI$17)^0.16)</f>
        <v>15135.084907625724</v>
      </c>
      <c r="AJ183" s="349">
        <f>AJ177/(1.355*(AJ171/Detached!AJ$17)^0.16)</f>
        <v>13001.101644555809</v>
      </c>
      <c r="AK183" s="349">
        <f>AK177/(1.355*(AK171/Detached!AK$17)^0.16)</f>
        <v>13835.937342896874</v>
      </c>
      <c r="AL183" s="349">
        <f>AL177/(1.355*(AL171/Detached!AL$17)^0.16)</f>
        <v>11992.830079543717</v>
      </c>
      <c r="AM183" s="349">
        <f>AM177/(1.355*(AM171/Detached!AM$17)^0.16)</f>
        <v>11955.496276153817</v>
      </c>
      <c r="AN183" s="354">
        <f>AN177/(1.355*(AN171/Detached!AN$17)^0.16)</f>
        <v>11955.496276153817</v>
      </c>
    </row>
    <row r="184" spans="1:40">
      <c r="A184" s="129"/>
      <c r="B184" s="142" t="s">
        <v>4</v>
      </c>
      <c r="C184" s="129" t="s">
        <v>261</v>
      </c>
      <c r="D184" s="345">
        <f>D178/(1.355*(D172/Detached!D$17)^0.16)</f>
        <v>18535.903703415697</v>
      </c>
      <c r="E184" s="349">
        <f>E178/(1.355*(E172/Detached!E$17)^0.16)</f>
        <v>21942.401473215374</v>
      </c>
      <c r="F184" s="349">
        <f>F178/(1.355*(F172/Detached!F$17)^0.16)</f>
        <v>11022.805484530289</v>
      </c>
      <c r="G184" s="349">
        <f>G178/(1.355*(G172/Detached!G$17)^0.16)</f>
        <v>18058.762365778806</v>
      </c>
      <c r="H184" s="349">
        <f>H178/(1.355*(H172/Detached!H$17)^0.16)</f>
        <v>8048.8745214336732</v>
      </c>
      <c r="I184" s="349">
        <f>I178/(1.355*(I172/Detached!I$17)^0.16)</f>
        <v>17020.457193479066</v>
      </c>
      <c r="J184" s="349">
        <f>J178/(1.355*(J172/Detached!J$17)^0.16)</f>
        <v>15891.762701787178</v>
      </c>
      <c r="K184" s="349">
        <f>K178/(1.355*(K172/Detached!K$17)^0.16)</f>
        <v>13259.356554468981</v>
      </c>
      <c r="L184" s="349">
        <f>L178/(1.355*(L172/Detached!L$17)^0.16)</f>
        <v>11426.768830070225</v>
      </c>
      <c r="M184" s="349">
        <f>M178/(1.355*(M172/Detached!M$17)^0.16)</f>
        <v>17107.941771715792</v>
      </c>
      <c r="N184" s="349">
        <f>N178/(1.355*(N172/Detached!N$17)^0.16)</f>
        <v>17476.009320858702</v>
      </c>
      <c r="O184" s="349">
        <f>O178/(1.355*(O172/Detached!O$17)^0.16)</f>
        <v>13406.93516337174</v>
      </c>
      <c r="P184" s="349">
        <f>P178/(1.355*(P172/Detached!P$17)^0.16)</f>
        <v>15135.084907625724</v>
      </c>
      <c r="Q184" s="349">
        <f>Q178/(1.355*(Q172/Detached!Q$17)^0.16)</f>
        <v>11431.181349403632</v>
      </c>
      <c r="R184" s="349">
        <f>R178/(1.355*(R172/Detached!R$17)^0.16)</f>
        <v>14424.607191161567</v>
      </c>
      <c r="S184" s="349">
        <f>S178/(1.355*(S172/Detached!S$17)^0.16)</f>
        <v>19662.728253528832</v>
      </c>
      <c r="T184" s="349">
        <f>T178/(1.355*(T172/Detached!T$17)^0.16)</f>
        <v>14865.063654802207</v>
      </c>
      <c r="U184" s="349">
        <f>U178/(1.355*(U172/Detached!U$17)^0.16)</f>
        <v>16312.932874219836</v>
      </c>
      <c r="V184" s="349">
        <f>V178/(1.355*(V172/Detached!V$17)^0.16)</f>
        <v>13982.373776326644</v>
      </c>
      <c r="W184" s="349">
        <f>W178/(1.355*(W172/Detached!W$17)^0.16)</f>
        <v>12802.782464338148</v>
      </c>
      <c r="X184" s="349">
        <f>X178/(1.355*(X172/Detached!X$17)^0.16)</f>
        <v>20739.546398299168</v>
      </c>
      <c r="Y184" s="349">
        <f>Y178/(1.355*(Y172/Detached!Y$17)^0.16)</f>
        <v>5398.8528255295105</v>
      </c>
      <c r="Z184" s="349">
        <f>Z178/(1.355*(Z172/Detached!Z$17)^0.16)</f>
        <v>19004.914537692002</v>
      </c>
      <c r="AA184" s="349">
        <f>AA178/(1.355*(AA172/Detached!AA$17)^0.16)</f>
        <v>16880.553039379047</v>
      </c>
      <c r="AB184" s="349">
        <f>AB178/(1.355*(AB172/Detached!AB$17)^0.16)</f>
        <v>15284.127685958572</v>
      </c>
      <c r="AC184" s="349">
        <f>AC178/(1.355*(AC172/Detached!AC$17)^0.16)</f>
        <v>12625.176806384356</v>
      </c>
      <c r="AD184" s="349">
        <f>AD178/(1.355*(AD172/Detached!AD$17)^0.16)</f>
        <v>15234.770994010833</v>
      </c>
      <c r="AE184" s="349">
        <f>AE178/(1.355*(AE172/Detached!AE$17)^0.16)</f>
        <v>16276.60835040374</v>
      </c>
      <c r="AF184" s="349">
        <f>AF178/(1.355*(AF172/Detached!AF$17)^0.16)</f>
        <v>14556.210399332722</v>
      </c>
      <c r="AG184" s="349">
        <f>AG178/(1.355*(AG172/Detached!AG$17)^0.16)</f>
        <v>23445.029979692725</v>
      </c>
      <c r="AH184" s="349">
        <f>AH178/(1.355*(AH172/Detached!AH$17)^0.16)</f>
        <v>15984.499388535147</v>
      </c>
      <c r="AI184" s="349">
        <f>AI178/(1.355*(AI172/Detached!AI$17)^0.16)</f>
        <v>15135.084907625724</v>
      </c>
      <c r="AJ184" s="349">
        <f>AJ178/(1.355*(AJ172/Detached!AJ$17)^0.16)</f>
        <v>13001.101644555809</v>
      </c>
      <c r="AK184" s="349">
        <f>AK178/(1.355*(AK172/Detached!AK$17)^0.16)</f>
        <v>13835.937342896874</v>
      </c>
      <c r="AL184" s="349">
        <f>AL178/(1.355*(AL172/Detached!AL$17)^0.16)</f>
        <v>11576.026307878954</v>
      </c>
      <c r="AM184" s="349">
        <f>AM178/(1.355*(AM172/Detached!AM$17)^0.16)</f>
        <v>11955.496276153817</v>
      </c>
      <c r="AN184" s="354">
        <f>AN178/(1.355*(AN172/Detached!AN$17)^0.16)</f>
        <v>11955.496276153817</v>
      </c>
    </row>
    <row r="185" spans="1:40">
      <c r="A185" s="129"/>
      <c r="B185" s="142" t="s">
        <v>5</v>
      </c>
      <c r="C185" s="129" t="s">
        <v>261</v>
      </c>
      <c r="D185" s="345">
        <f>D179/(1.355*(D173/Detached!D$17)^0.16)</f>
        <v>13712.334574496772</v>
      </c>
      <c r="E185" s="349">
        <f>E179/(1.355*(E173/Detached!E$17)^0.16)</f>
        <v>19096.552315904948</v>
      </c>
      <c r="F185" s="349">
        <f>F179/(1.355*(F173/Detached!F$17)^0.16)</f>
        <v>10181.191642137917</v>
      </c>
      <c r="G185" s="349">
        <f>G179/(1.355*(G173/Detached!G$17)^0.16)</f>
        <v>13359.358978287006</v>
      </c>
      <c r="H185" s="349">
        <f>H179/(1.355*(H173/Detached!H$17)^0.16)</f>
        <v>7795.3259911758496</v>
      </c>
      <c r="I185" s="349">
        <f>I179/(1.355*(I173/Detached!I$17)^0.16)</f>
        <v>15656.706630951363</v>
      </c>
      <c r="J185" s="349">
        <f>J179/(1.355*(J173/Detached!J$17)^0.16)</f>
        <v>12684.234149991946</v>
      </c>
      <c r="K185" s="349">
        <f>K179/(1.355*(K173/Detached!K$17)^0.16)</f>
        <v>11839.645489908402</v>
      </c>
      <c r="L185" s="349">
        <f>L179/(1.355*(L173/Detached!L$17)^0.16)</f>
        <v>8588.8927126408562</v>
      </c>
      <c r="M185" s="349">
        <f>M179/(1.355*(M173/Detached!M$17)^0.16)</f>
        <v>10907.818936679323</v>
      </c>
      <c r="N185" s="349">
        <f>N179/(1.355*(N173/Detached!N$17)^0.16)</f>
        <v>14930.4374824277</v>
      </c>
      <c r="O185" s="349">
        <f>O179/(1.355*(O173/Detached!O$17)^0.16)</f>
        <v>11734.702948584358</v>
      </c>
      <c r="P185" s="349">
        <f>P179/(1.355*(P173/Detached!P$17)^0.16)</f>
        <v>14582.834977580338</v>
      </c>
      <c r="Q185" s="349">
        <f>Q179/(1.355*(Q173/Detached!Q$17)^0.16)</f>
        <v>11431.181349403632</v>
      </c>
      <c r="R185" s="349">
        <f>R179/(1.355*(R173/Detached!R$17)^0.16)</f>
        <v>12345.880008608785</v>
      </c>
      <c r="S185" s="349">
        <f>S179/(1.355*(S173/Detached!S$17)^0.16)</f>
        <v>14091.209702522252</v>
      </c>
      <c r="T185" s="349">
        <f>T179/(1.355*(T173/Detached!T$17)^0.16)</f>
        <v>12699.804600437645</v>
      </c>
      <c r="U185" s="349">
        <f>U179/(1.355*(U173/Detached!U$17)^0.16)</f>
        <v>13730.760504193533</v>
      </c>
      <c r="V185" s="349">
        <f>V179/(1.355*(V173/Detached!V$17)^0.16)</f>
        <v>13982.373776326644</v>
      </c>
      <c r="W185" s="349">
        <f>W179/(1.355*(W173/Detached!W$17)^0.16)</f>
        <v>10395.290715441992</v>
      </c>
      <c r="X185" s="349">
        <f>X179/(1.355*(X173/Detached!X$17)^0.16)</f>
        <v>13207.951058595112</v>
      </c>
      <c r="Y185" s="349">
        <f>Y179/(1.355*(Y173/Detached!Y$17)^0.16)</f>
        <v>4891.8224250872545</v>
      </c>
      <c r="Z185" s="349">
        <f>Z179/(1.355*(Z173/Detached!Z$17)^0.16)</f>
        <v>15508.498607135778</v>
      </c>
      <c r="AA185" s="349">
        <f>AA179/(1.355*(AA173/Detached!AA$17)^0.16)</f>
        <v>16604.733207753365</v>
      </c>
      <c r="AB185" s="349">
        <f>AB179/(1.355*(AB173/Detached!AB$17)^0.16)</f>
        <v>15284.127685958572</v>
      </c>
      <c r="AC185" s="349">
        <f>AC179/(1.355*(AC173/Detached!AC$17)^0.16)</f>
        <v>12500.871860264704</v>
      </c>
      <c r="AD185" s="349">
        <f>AD179/(1.355*(AD173/Detached!AD$17)^0.16)</f>
        <v>14124.364774005222</v>
      </c>
      <c r="AE185" s="349">
        <f>AE179/(1.355*(AE173/Detached!AE$17)^0.16)</f>
        <v>16010.656674284328</v>
      </c>
      <c r="AF185" s="349">
        <f>AF179/(1.355*(AF173/Detached!AF$17)^0.16)</f>
        <v>12570.993931592433</v>
      </c>
      <c r="AG185" s="349">
        <f>AG179/(1.355*(AG173/Detached!AG$17)^0.16)</f>
        <v>20300.72975614134</v>
      </c>
      <c r="AH185" s="349">
        <f>AH179/(1.355*(AH173/Detached!AH$17)^0.16)</f>
        <v>12502.775134696069</v>
      </c>
      <c r="AI185" s="349">
        <f>AI179/(1.355*(AI173/Detached!AI$17)^0.16)</f>
        <v>14582.834977580338</v>
      </c>
      <c r="AJ185" s="349">
        <f>AJ179/(1.355*(AJ173/Detached!AJ$17)^0.16)</f>
        <v>11927.17340582103</v>
      </c>
      <c r="AK185" s="349">
        <f>AK179/(1.355*(AK173/Detached!AK$17)^0.16)</f>
        <v>12565.443608258736</v>
      </c>
      <c r="AL185" s="349">
        <f>AL179/(1.355*(AL173/Detached!AL$17)^0.16)</f>
        <v>10667.311094561761</v>
      </c>
      <c r="AM185" s="349">
        <f>AM179/(1.355*(AM173/Detached!AM$17)^0.16)</f>
        <v>10967.938036085252</v>
      </c>
      <c r="AN185" s="354">
        <f>AN179/(1.355*(AN173/Detached!AN$17)^0.16)</f>
        <v>10967.938036085252</v>
      </c>
    </row>
    <row r="186" spans="1:40">
      <c r="A186" s="129"/>
      <c r="B186" s="142" t="s">
        <v>6</v>
      </c>
      <c r="C186" s="129" t="s">
        <v>261</v>
      </c>
      <c r="D186" s="345">
        <f>D180/(1.355*(D174/Detached!D$17)^0.16)</f>
        <v>12297.887619188981</v>
      </c>
      <c r="E186" s="349">
        <f>E180/(1.355*(E174/Detached!E$17)^0.16)</f>
        <v>19096.552315904948</v>
      </c>
      <c r="F186" s="349">
        <f>F180/(1.355*(F174/Detached!F$17)^0.16)</f>
        <v>8629.7154399900901</v>
      </c>
      <c r="G186" s="349">
        <f>G180/(1.355*(G174/Detached!G$17)^0.16)</f>
        <v>11981.321961392285</v>
      </c>
      <c r="H186" s="349">
        <f>H180/(1.355*(H174/Detached!H$17)^0.16)</f>
        <v>6437.5224276456538</v>
      </c>
      <c r="I186" s="349">
        <f>I180/(1.355*(I174/Detached!I$17)^0.16)</f>
        <v>12813.616074268046</v>
      </c>
      <c r="J186" s="349">
        <f>J180/(1.355*(J174/Detached!J$17)^0.16)</f>
        <v>8432.0098543469212</v>
      </c>
      <c r="K186" s="349">
        <f>K180/(1.355*(K174/Detached!K$17)^0.16)</f>
        <v>11839.645489908402</v>
      </c>
      <c r="L186" s="349">
        <f>L180/(1.355*(L174/Detached!L$17)^0.16)</f>
        <v>7579.6731921645196</v>
      </c>
      <c r="M186" s="349">
        <f>M180/(1.355*(M174/Detached!M$17)^0.16)</f>
        <v>10907.818936679323</v>
      </c>
      <c r="N186" s="349">
        <f>N180/(1.355*(N174/Detached!N$17)^0.16)</f>
        <v>14786.689461305827</v>
      </c>
      <c r="O186" s="349">
        <f>O180/(1.355*(O174/Detached!O$17)^0.16)</f>
        <v>7713.4219515483255</v>
      </c>
      <c r="P186" s="349">
        <f>P180/(1.355*(P174/Detached!P$17)^0.16)</f>
        <v>14582.834977580338</v>
      </c>
      <c r="Q186" s="349">
        <f>Q180/(1.355*(Q174/Detached!Q$17)^0.16)</f>
        <v>8940.1597652997934</v>
      </c>
      <c r="R186" s="349">
        <f>R180/(1.355*(R174/Detached!R$17)^0.16)</f>
        <v>12345.880008608785</v>
      </c>
      <c r="S186" s="349">
        <f>S180/(1.355*(S174/Detached!S$17)^0.16)</f>
        <v>13510.120279452549</v>
      </c>
      <c r="T186" s="349">
        <f>T180/(1.355*(T174/Detached!T$17)^0.16)</f>
        <v>12577.532779394496</v>
      </c>
      <c r="U186" s="349">
        <f>U180/(1.355*(U174/Detached!U$17)^0.16)</f>
        <v>13141.163606219518</v>
      </c>
      <c r="V186" s="349">
        <f>V180/(1.355*(V174/Detached!V$17)^0.16)</f>
        <v>13982.373776326644</v>
      </c>
      <c r="W186" s="349">
        <f>W180/(1.355*(W174/Detached!W$17)^0.16)</f>
        <v>9025.2723874686581</v>
      </c>
      <c r="X186" s="349">
        <f>X180/(1.355*(X174/Detached!X$17)^0.16)</f>
        <v>12978.204678370592</v>
      </c>
      <c r="Y186" s="349">
        <f>Y180/(1.355*(Y174/Detached!Y$17)^0.16)</f>
        <v>4794.3752304530462</v>
      </c>
      <c r="Z186" s="349">
        <f>Z180/(1.355*(Z174/Detached!Z$17)^0.16)</f>
        <v>13988.185484151085</v>
      </c>
      <c r="AA186" s="349">
        <f>AA180/(1.355*(AA174/Detached!AA$17)^0.16)</f>
        <v>15536.694610560511</v>
      </c>
      <c r="AB186" s="349">
        <f>AB180/(1.355*(AB174/Detached!AB$17)^0.16)</f>
        <v>15284.127685958572</v>
      </c>
      <c r="AC186" s="349">
        <f>AC180/(1.355*(AC174/Detached!AC$17)^0.16)</f>
        <v>11934.427809477493</v>
      </c>
      <c r="AD186" s="349">
        <f>AD180/(1.355*(AD174/Detached!AD$17)^0.16)</f>
        <v>14124.364774005222</v>
      </c>
      <c r="AE186" s="349">
        <f>AE180/(1.355*(AE174/Detached!AE$17)^0.16)</f>
        <v>14980.829872456858</v>
      </c>
      <c r="AF186" s="349">
        <f>AF180/(1.355*(AF174/Detached!AF$17)^0.16)</f>
        <v>9885.2596792385175</v>
      </c>
      <c r="AG186" s="349">
        <f>AG180/(1.355*(AG174/Detached!AG$17)^0.16)</f>
        <v>18305.506653268585</v>
      </c>
      <c r="AH186" s="349">
        <f>AH180/(1.355*(AH174/Detached!AH$17)^0.16)</f>
        <v>9393.4123391020112</v>
      </c>
      <c r="AI186" s="349">
        <f>AI180/(1.355*(AI174/Detached!AI$17)^0.16)</f>
        <v>14582.834977580338</v>
      </c>
      <c r="AJ186" s="349">
        <f>AJ180/(1.355*(AJ174/Detached!AJ$17)^0.16)</f>
        <v>11663.983413171818</v>
      </c>
      <c r="AK186" s="349">
        <f>AK180/(1.355*(AK174/Detached!AK$17)^0.16)</f>
        <v>12219.46101517961</v>
      </c>
      <c r="AL186" s="349">
        <f>AL180/(1.355*(AL174/Detached!AL$17)^0.16)</f>
        <v>8986.9312645783102</v>
      </c>
      <c r="AM186" s="349">
        <f>AM180/(1.355*(AM174/Detached!AM$17)^0.16)</f>
        <v>10725.914931961903</v>
      </c>
      <c r="AN186" s="354">
        <f>AN180/(1.355*(AN174/Detached!AN$17)^0.16)</f>
        <v>10725.914931961903</v>
      </c>
    </row>
    <row r="187" spans="1:40">
      <c r="A187" s="129"/>
      <c r="B187" s="142" t="s">
        <v>7</v>
      </c>
      <c r="C187" s="129" t="s">
        <v>261</v>
      </c>
      <c r="D187" s="345">
        <f>D181/(1.355*(D175/Detached!D$17)^0.16)</f>
        <v>10995.837542065465</v>
      </c>
      <c r="E187" s="349">
        <f>E181/(1.355*(E175/Detached!E$17)^0.16)</f>
        <v>12833.268988935366</v>
      </c>
      <c r="F187" s="349">
        <f>F181/(1.355*(F175/Detached!F$17)^0.16)</f>
        <v>6985.8319914007125</v>
      </c>
      <c r="G187" s="349">
        <f>G181/(1.355*(G175/Detached!G$17)^0.16)</f>
        <v>10712.788562247326</v>
      </c>
      <c r="H187" s="349">
        <f>H181/(1.355*(H175/Detached!H$17)^0.16)</f>
        <v>5451.3148587152318</v>
      </c>
      <c r="I187" s="349">
        <f>I181/(1.355*(I175/Detached!I$17)^0.16)</f>
        <v>10075.614235945744</v>
      </c>
      <c r="J187" s="349">
        <f>J181/(1.355*(J175/Detached!J$17)^0.16)</f>
        <v>8822.3303892024796</v>
      </c>
      <c r="K187" s="349">
        <f>K181/(1.355*(K175/Detached!K$17)^0.16)</f>
        <v>8830.6335234370508</v>
      </c>
      <c r="L187" s="349">
        <f>L181/(1.355*(L175/Detached!L$17)^0.16)</f>
        <v>7579.6731921645196</v>
      </c>
      <c r="M187" s="349">
        <f>M181/(1.355*(M175/Detached!M$17)^0.16)</f>
        <v>8886.4013827223953</v>
      </c>
      <c r="N187" s="349">
        <f>N181/(1.355*(N175/Detached!N$17)^0.16)</f>
        <v>13245.542162175288</v>
      </c>
      <c r="O187" s="349">
        <f>O181/(1.355*(O175/Detached!O$17)^0.16)</f>
        <v>7485.2512229109689</v>
      </c>
      <c r="P187" s="349">
        <f>P181/(1.355*(P175/Detached!P$17)^0.16)</f>
        <v>7100.851636744289</v>
      </c>
      <c r="Q187" s="349">
        <f>Q181/(1.355*(Q175/Detached!Q$17)^0.16)</f>
        <v>6528.9726953575064</v>
      </c>
      <c r="R187" s="349">
        <f>R181/(1.355*(R175/Detached!R$17)^0.16)</f>
        <v>8132.0508399633436</v>
      </c>
      <c r="S187" s="349">
        <f>S181/(1.355*(S175/Detached!S$17)^0.16)</f>
        <v>9915.5780897624918</v>
      </c>
      <c r="T187" s="349">
        <f>T181/(1.355*(T175/Detached!T$17)^0.16)</f>
        <v>11266.635521193884</v>
      </c>
      <c r="U187" s="349">
        <f>U181/(1.355*(U175/Detached!U$17)^0.16)</f>
        <v>12240.415757718867</v>
      </c>
      <c r="V187" s="349">
        <f>V181/(1.355*(V175/Detached!V$17)^0.16)</f>
        <v>9530.9917243589625</v>
      </c>
      <c r="W187" s="349">
        <f>W181/(1.355*(W175/Detached!W$17)^0.16)</f>
        <v>7578.503998620894</v>
      </c>
      <c r="X187" s="349">
        <f>X181/(1.355*(X175/Detached!X$17)^0.16)</f>
        <v>9408.5333910584086</v>
      </c>
      <c r="Y187" s="349">
        <f>Y181/(1.355*(Y175/Detached!Y$17)^0.16)</f>
        <v>4753.7401235092839</v>
      </c>
      <c r="Z187" s="349">
        <f>Z181/(1.355*(Z175/Detached!Z$17)^0.16)</f>
        <v>10002.856653347677</v>
      </c>
      <c r="AA187" s="349">
        <f>AA181/(1.355*(AA175/Detached!AA$17)^0.16)</f>
        <v>13427.416670383478</v>
      </c>
      <c r="AB187" s="349">
        <f>AB181/(1.355*(AB175/Detached!AB$17)^0.16)</f>
        <v>13375.843975167281</v>
      </c>
      <c r="AC187" s="349">
        <f>AC181/(1.355*(AC175/Detached!AC$17)^0.16)</f>
        <v>8422.5499923580719</v>
      </c>
      <c r="AD187" s="349">
        <f>AD181/(1.355*(AD175/Detached!AD$17)^0.16)</f>
        <v>11776.080451917838</v>
      </c>
      <c r="AE187" s="349">
        <f>AE181/(1.355*(AE175/Detached!AE$17)^0.16)</f>
        <v>12947.016711577693</v>
      </c>
      <c r="AF187" s="349">
        <f>AF181/(1.355*(AF175/Detached!AF$17)^0.16)</f>
        <v>6425.5593615974349</v>
      </c>
      <c r="AG187" s="349">
        <f>AG181/(1.355*(AG175/Detached!AG$17)^0.16)</f>
        <v>12223.376035543177</v>
      </c>
      <c r="AH187" s="349">
        <f>AH181/(1.355*(AH175/Detached!AH$17)^0.16)</f>
        <v>8124.2789098367093</v>
      </c>
      <c r="AI187" s="349">
        <f>AI181/(1.355*(AI175/Detached!AI$17)^0.16)</f>
        <v>7100.851636744289</v>
      </c>
      <c r="AJ187" s="349">
        <f>AJ181/(1.355*(AJ175/Detached!AJ$17)^0.16)</f>
        <v>10455.678041189714</v>
      </c>
      <c r="AK187" s="349">
        <f>AK181/(1.355*(AK175/Detached!AK$17)^0.16)</f>
        <v>10990.959829293666</v>
      </c>
      <c r="AL187" s="349">
        <f>AL181/(1.355*(AL175/Detached!AL$17)^0.16)</f>
        <v>7267.1334002313979</v>
      </c>
      <c r="AM187" s="349">
        <f>AM181/(1.355*(AM175/Detached!AM$17)^0.16)</f>
        <v>9614.7867545095014</v>
      </c>
      <c r="AN187" s="354">
        <f>AN181/(1.355*(AN175/Detached!AN$17)^0.16)</f>
        <v>9614.7867545095014</v>
      </c>
    </row>
    <row r="188" spans="1:40">
      <c r="A188" s="334" t="s">
        <v>262</v>
      </c>
      <c r="B188" s="359" t="s">
        <v>2</v>
      </c>
      <c r="C188" s="366" t="s">
        <v>190</v>
      </c>
      <c r="D188" s="375">
        <f>D182/Detached!D$4</f>
        <v>149.9225964606014</v>
      </c>
      <c r="E188" s="376">
        <f>E182/Detached!E$4</f>
        <v>154.09778819321303</v>
      </c>
      <c r="F188" s="376">
        <f>F182/Detached!F$4</f>
        <v>143.4819906822805</v>
      </c>
      <c r="G188" s="376">
        <f>G182/Detached!G$4</f>
        <v>146.06336901953389</v>
      </c>
      <c r="H188" s="376">
        <f>H182/Detached!H$4</f>
        <v>62.72916260462484</v>
      </c>
      <c r="I188" s="376">
        <f>I182/Detached!I$4</f>
        <v>162.35052479479538</v>
      </c>
      <c r="J188" s="376">
        <f>J182/Detached!J$4</f>
        <v>174.95534963954768</v>
      </c>
      <c r="K188" s="376">
        <f>K182/Detached!K$4</f>
        <v>105.99336412875493</v>
      </c>
      <c r="L188" s="376">
        <f>L182/Detached!L$4</f>
        <v>122.30669015913801</v>
      </c>
      <c r="M188" s="376">
        <f>M182/Detached!M$4</f>
        <v>129.36404872648873</v>
      </c>
      <c r="N188" s="376">
        <f>N182/Detached!N$4</f>
        <v>177.45355163222885</v>
      </c>
      <c r="O188" s="376">
        <f>O182/Detached!O$4</f>
        <v>168.21287499413359</v>
      </c>
      <c r="P188" s="376">
        <f>P182/Detached!P$4</f>
        <v>132.32393143014721</v>
      </c>
      <c r="Q188" s="376">
        <f>Q182/Detached!Q$4</f>
        <v>151.35145333894479</v>
      </c>
      <c r="R188" s="376">
        <f>R182/Detached!R$4</f>
        <v>133.23981872370618</v>
      </c>
      <c r="S188" s="376">
        <f>S182/Detached!S$4</f>
        <v>160.44656203325221</v>
      </c>
      <c r="T188" s="376">
        <f>T182/Detached!T$4</f>
        <v>150.94168767896937</v>
      </c>
      <c r="U188" s="376">
        <f>U182/Detached!U$4</f>
        <v>131.33846490978414</v>
      </c>
      <c r="V188" s="376">
        <f>V182/Detached!V$4</f>
        <v>158.66086430077766</v>
      </c>
      <c r="W188" s="376">
        <f>W182/Detached!W$4</f>
        <v>194.91614915430827</v>
      </c>
      <c r="X188" s="376">
        <f>X182/Detached!X$4</f>
        <v>184.92270654180933</v>
      </c>
      <c r="Y188" s="376">
        <f>Y182/Detached!Y$4</f>
        <v>44.49397230082846</v>
      </c>
      <c r="Z188" s="376">
        <f>Z182/Detached!Z$4</f>
        <v>169.39735097067742</v>
      </c>
      <c r="AA188" s="376">
        <f>AA182/Detached!AA$4</f>
        <v>138.01447411833823</v>
      </c>
      <c r="AB188" s="376">
        <f>AB182/Detached!AB$4</f>
        <v>204.09656068940188</v>
      </c>
      <c r="AC188" s="376">
        <f>AC182/Detached!AC$4</f>
        <v>89.644763490680489</v>
      </c>
      <c r="AD188" s="376">
        <f>AD182/Detached!AD$4</f>
        <v>180.26522148112056</v>
      </c>
      <c r="AE188" s="376">
        <f>AE182/Detached!AE$4</f>
        <v>133.07665552607745</v>
      </c>
      <c r="AF188" s="376">
        <f>AF182/Detached!AF$4</f>
        <v>137.94577227312507</v>
      </c>
      <c r="AG188" s="376">
        <f>AG182/Detached!AG$4</f>
        <v>218.86990497885955</v>
      </c>
      <c r="AH188" s="376">
        <f>AH182/Detached!AH$4</f>
        <v>191.32407333586275</v>
      </c>
      <c r="AI188" s="376">
        <f>AI182/Detached!AI$4</f>
        <v>132.32393143014721</v>
      </c>
      <c r="AJ188" s="376">
        <f>AJ182/Detached!AJ$4</f>
        <v>151.26114881113429</v>
      </c>
      <c r="AK188" s="376">
        <f>AK182/Detached!AK$4</f>
        <v>120.96566589532964</v>
      </c>
      <c r="AL188" s="376">
        <f>AL182/Detached!AL$4</f>
        <v>139.53042633799728</v>
      </c>
      <c r="AM188" s="376">
        <f>AM182/Detached!AM$4</f>
        <v>139.09606668566659</v>
      </c>
      <c r="AN188" s="377">
        <f>AN182/Detached!AN$4</f>
        <v>139.09606668566659</v>
      </c>
    </row>
    <row r="189" spans="1:40">
      <c r="A189" s="154"/>
      <c r="B189" s="347" t="s">
        <v>3</v>
      </c>
      <c r="C189" s="367" t="s">
        <v>190</v>
      </c>
      <c r="D189" s="369">
        <f>D183/Detached!D$4</f>
        <v>149.98251423498476</v>
      </c>
      <c r="E189" s="370">
        <f>E183/Detached!E$4</f>
        <v>154.09778819321303</v>
      </c>
      <c r="F189" s="370">
        <f>F183/Detached!F$4</f>
        <v>143.4819906822805</v>
      </c>
      <c r="G189" s="370">
        <f>G183/Detached!G$4</f>
        <v>146.1217444225565</v>
      </c>
      <c r="H189" s="370">
        <f>H183/Detached!H$4</f>
        <v>62.290270495141698</v>
      </c>
      <c r="I189" s="370">
        <f>I183/Detached!I$4</f>
        <v>136.3638150828875</v>
      </c>
      <c r="J189" s="370">
        <f>J183/Detached!J$4</f>
        <v>164.18268795653816</v>
      </c>
      <c r="K189" s="370">
        <f>K183/Detached!K$4</f>
        <v>101.75488312244765</v>
      </c>
      <c r="L189" s="370">
        <f>L183/Detached!L$4</f>
        <v>122.30669015913801</v>
      </c>
      <c r="M189" s="370">
        <f>M183/Detached!M$4</f>
        <v>123.33578193842179</v>
      </c>
      <c r="N189" s="370">
        <f>N183/Detached!N$4</f>
        <v>164.49118478080754</v>
      </c>
      <c r="O189" s="370">
        <f>O183/Detached!O$4</f>
        <v>168.21287499413359</v>
      </c>
      <c r="P189" s="370">
        <f>P183/Detached!P$4</f>
        <v>132.32393143014721</v>
      </c>
      <c r="Q189" s="370">
        <f>Q183/Detached!Q$4</f>
        <v>152.72733201569824</v>
      </c>
      <c r="R189" s="370">
        <f>R183/Detached!R$4</f>
        <v>133.23981872370618</v>
      </c>
      <c r="S189" s="370">
        <f>S183/Detached!S$4</f>
        <v>163.42815698308121</v>
      </c>
      <c r="T189" s="370">
        <f>T183/Detached!T$4</f>
        <v>139.91592059304244</v>
      </c>
      <c r="U189" s="370">
        <f>U183/Detached!U$4</f>
        <v>129.15146337576527</v>
      </c>
      <c r="V189" s="370">
        <f>V183/Detached!V$4</f>
        <v>158.66086430077766</v>
      </c>
      <c r="W189" s="370">
        <f>W183/Detached!W$4</f>
        <v>168.71058336734896</v>
      </c>
      <c r="X189" s="370">
        <f>X183/Detached!X$4</f>
        <v>181.61896031259147</v>
      </c>
      <c r="Y189" s="370">
        <f>Y183/Detached!Y$4</f>
        <v>44.408477563143251</v>
      </c>
      <c r="Z189" s="370">
        <f>Z183/Detached!Z$4</f>
        <v>138.53205568597369</v>
      </c>
      <c r="AA189" s="370">
        <f>AA183/Detached!AA$4</f>
        <v>137.29154220577101</v>
      </c>
      <c r="AB189" s="370">
        <f>AB183/Detached!AB$4</f>
        <v>156.88969769128477</v>
      </c>
      <c r="AC189" s="370">
        <f>AC183/Detached!AC$4</f>
        <v>88.937227909056247</v>
      </c>
      <c r="AD189" s="370">
        <f>AD183/Detached!AD$4</f>
        <v>167.77878168924863</v>
      </c>
      <c r="AE189" s="370">
        <f>AE183/Detached!AE$4</f>
        <v>132.37958834010226</v>
      </c>
      <c r="AF189" s="370">
        <f>AF183/Detached!AF$4</f>
        <v>137.94577227312507</v>
      </c>
      <c r="AG189" s="370">
        <f>AG183/Detached!AG$4</f>
        <v>195.05901041014525</v>
      </c>
      <c r="AH189" s="370">
        <f>AH183/Detached!AH$4</f>
        <v>194.54609367118258</v>
      </c>
      <c r="AI189" s="370">
        <f>AI183/Detached!AI$4</f>
        <v>132.32393143014721</v>
      </c>
      <c r="AJ189" s="370">
        <f>AJ183/Detached!AJ$4</f>
        <v>151.26114881113429</v>
      </c>
      <c r="AK189" s="370">
        <f>AK183/Detached!AK$4</f>
        <v>120.96566589532964</v>
      </c>
      <c r="AL189" s="370">
        <f>AL183/Detached!AL$4</f>
        <v>139.53042633799728</v>
      </c>
      <c r="AM189" s="370">
        <f>AM183/Detached!AM$4</f>
        <v>139.09606668566659</v>
      </c>
      <c r="AN189" s="371">
        <f>AN183/Detached!AN$4</f>
        <v>139.09606668566659</v>
      </c>
    </row>
    <row r="190" spans="1:40">
      <c r="A190" s="154"/>
      <c r="B190" s="347" t="s">
        <v>4</v>
      </c>
      <c r="C190" s="367" t="s">
        <v>190</v>
      </c>
      <c r="D190" s="369">
        <f>D184/Detached!D$4</f>
        <v>123.7454193372629</v>
      </c>
      <c r="E190" s="370">
        <f>E184/Detached!E$4</f>
        <v>154.09778819321303</v>
      </c>
      <c r="F190" s="370">
        <f>F184/Detached!F$4</f>
        <v>138.63410061346846</v>
      </c>
      <c r="G190" s="370">
        <f>G184/Detached!G$4</f>
        <v>120.56003081487113</v>
      </c>
      <c r="H190" s="370">
        <f>H184/Detached!H$4</f>
        <v>70.37018469103036</v>
      </c>
      <c r="I190" s="370">
        <f>I184/Detached!I$4</f>
        <v>136.3638150828875</v>
      </c>
      <c r="J190" s="370">
        <f>J184/Detached!J$4</f>
        <v>118.41110814253884</v>
      </c>
      <c r="K190" s="370">
        <f>K184/Detached!K$4</f>
        <v>79.337959936987176</v>
      </c>
      <c r="L190" s="370">
        <f>L184/Detached!L$4</f>
        <v>107.1813227966114</v>
      </c>
      <c r="M190" s="370">
        <f>M184/Detached!M$4</f>
        <v>123.33578193842179</v>
      </c>
      <c r="N190" s="370">
        <f>N184/Detached!N$4</f>
        <v>144.13203563594806</v>
      </c>
      <c r="O190" s="370">
        <f>O184/Detached!O$4</f>
        <v>96.08559007317703</v>
      </c>
      <c r="P190" s="370">
        <f>P184/Detached!P$4</f>
        <v>132.32393143014721</v>
      </c>
      <c r="Q190" s="370">
        <f>Q184/Detached!Q$4</f>
        <v>132.99593145656706</v>
      </c>
      <c r="R190" s="370">
        <f>R184/Detached!R$4</f>
        <v>123.88402045350014</v>
      </c>
      <c r="S190" s="370">
        <f>S184/Detached!S$4</f>
        <v>133.6465781552256</v>
      </c>
      <c r="T190" s="370">
        <f>T184/Detached!T$4</f>
        <v>122.59846313238933</v>
      </c>
      <c r="U190" s="370">
        <f>U184/Detached!U$4</f>
        <v>118.96395897334429</v>
      </c>
      <c r="V190" s="370">
        <f>V184/Detached!V$4</f>
        <v>115.80532294210826</v>
      </c>
      <c r="W190" s="370">
        <f>W184/Detached!W$4</f>
        <v>116.99169530888295</v>
      </c>
      <c r="X190" s="370">
        <f>X184/Detached!X$4</f>
        <v>172.82955331915974</v>
      </c>
      <c r="Y190" s="370">
        <f>Y184/Detached!Y$4</f>
        <v>43.691531929299046</v>
      </c>
      <c r="Z190" s="370">
        <f>Z184/Detached!Z$4</f>
        <v>132.6346078969905</v>
      </c>
      <c r="AA190" s="370">
        <f>AA184/Detached!AA$4</f>
        <v>108.29544852849429</v>
      </c>
      <c r="AB190" s="370">
        <f>AB184/Detached!AB$4</f>
        <v>127.00019875571608</v>
      </c>
      <c r="AC190" s="370">
        <f>AC184/Detached!AC$4</f>
        <v>87.029729551987771</v>
      </c>
      <c r="AD190" s="370">
        <f>AD184/Detached!AD$4</f>
        <v>167.77878168924863</v>
      </c>
      <c r="AE190" s="370">
        <f>AE184/Detached!AE$4</f>
        <v>104.42090361125094</v>
      </c>
      <c r="AF190" s="370">
        <f>AF184/Detached!AF$4</f>
        <v>121.93344988715474</v>
      </c>
      <c r="AG190" s="370">
        <f>AG184/Detached!AG$4</f>
        <v>195.05901041014525</v>
      </c>
      <c r="AH190" s="370">
        <f>AH184/Detached!AH$4</f>
        <v>156.57646027706767</v>
      </c>
      <c r="AI190" s="370">
        <f>AI184/Detached!AI$4</f>
        <v>132.32393143014721</v>
      </c>
      <c r="AJ190" s="370">
        <f>AJ184/Detached!AJ$4</f>
        <v>151.26114881113429</v>
      </c>
      <c r="AK190" s="370">
        <f>AK184/Detached!AK$4</f>
        <v>120.96566589532964</v>
      </c>
      <c r="AL190" s="370">
        <f>AL184/Detached!AL$4</f>
        <v>134.6811282512289</v>
      </c>
      <c r="AM190" s="370">
        <f>AM184/Detached!AM$4</f>
        <v>139.09606668566659</v>
      </c>
      <c r="AN190" s="371">
        <f>AN184/Detached!AN$4</f>
        <v>139.09606668566659</v>
      </c>
    </row>
    <row r="191" spans="1:40">
      <c r="A191" s="154"/>
      <c r="B191" s="347" t="s">
        <v>5</v>
      </c>
      <c r="C191" s="367" t="s">
        <v>190</v>
      </c>
      <c r="D191" s="369">
        <f>D185/Detached!D$4</f>
        <v>91.543343079693884</v>
      </c>
      <c r="E191" s="370">
        <f>E185/Detached!E$4</f>
        <v>134.1118690945961</v>
      </c>
      <c r="F191" s="370">
        <f>F185/Detached!F$4</f>
        <v>128.04910224189612</v>
      </c>
      <c r="G191" s="370">
        <f>G185/Detached!G$4</f>
        <v>89.186883213064945</v>
      </c>
      <c r="H191" s="370">
        <f>H185/Detached!H$4</f>
        <v>68.153445337612752</v>
      </c>
      <c r="I191" s="370">
        <f>I185/Detached!I$4</f>
        <v>125.43777311975154</v>
      </c>
      <c r="J191" s="370">
        <f>J185/Detached!J$4</f>
        <v>94.511493144248348</v>
      </c>
      <c r="K191" s="370">
        <f>K185/Detached!K$4</f>
        <v>70.843054539466877</v>
      </c>
      <c r="L191" s="370">
        <f>L185/Detached!L$4</f>
        <v>80.562484109811592</v>
      </c>
      <c r="M191" s="370">
        <f>M185/Detached!M$4</f>
        <v>78.637418559739658</v>
      </c>
      <c r="N191" s="370">
        <f>N185/Detached!N$4</f>
        <v>123.1376287210532</v>
      </c>
      <c r="O191" s="370">
        <f>O185/Detached!O$4</f>
        <v>84.10094055117456</v>
      </c>
      <c r="P191" s="370">
        <f>P185/Detached!P$4</f>
        <v>127.49568749748119</v>
      </c>
      <c r="Q191" s="370">
        <f>Q185/Detached!Q$4</f>
        <v>132.99593145656706</v>
      </c>
      <c r="R191" s="370">
        <f>R185/Detached!R$4</f>
        <v>106.03111968553974</v>
      </c>
      <c r="S191" s="370">
        <f>S185/Detached!S$4</f>
        <v>95.777245890169468</v>
      </c>
      <c r="T191" s="370">
        <f>T185/Detached!T$4</f>
        <v>104.7406564984548</v>
      </c>
      <c r="U191" s="370">
        <f>U185/Detached!U$4</f>
        <v>100.133166849178</v>
      </c>
      <c r="V191" s="370">
        <f>V185/Detached!V$4</f>
        <v>115.80532294210826</v>
      </c>
      <c r="W191" s="370">
        <f>W185/Detached!W$4</f>
        <v>94.992060313126629</v>
      </c>
      <c r="X191" s="370">
        <f>X185/Detached!X$4</f>
        <v>110.06625882162594</v>
      </c>
      <c r="Y191" s="370">
        <f>Y185/Detached!Y$4</f>
        <v>39.588264874991928</v>
      </c>
      <c r="Z191" s="370">
        <f>Z185/Detached!Z$4</f>
        <v>108.23324818161899</v>
      </c>
      <c r="AA191" s="370">
        <f>AA185/Detached!AA$4</f>
        <v>106.5259548211924</v>
      </c>
      <c r="AB191" s="370">
        <f>AB185/Detached!AB$4</f>
        <v>127.00019875571608</v>
      </c>
      <c r="AC191" s="370">
        <f>AC185/Detached!AC$4</f>
        <v>86.172852376430342</v>
      </c>
      <c r="AD191" s="370">
        <f>AD185/Detached!AD$4</f>
        <v>155.5500056317716</v>
      </c>
      <c r="AE191" s="370">
        <f>AE185/Detached!AE$4</f>
        <v>102.7147180387126</v>
      </c>
      <c r="AF191" s="370">
        <f>AF185/Detached!AF$4</f>
        <v>105.30382678858635</v>
      </c>
      <c r="AG191" s="370">
        <f>AG185/Detached!AG$4</f>
        <v>168.89892059283335</v>
      </c>
      <c r="AH191" s="370">
        <f>AH185/Detached!AH$4</f>
        <v>122.4711657616855</v>
      </c>
      <c r="AI191" s="370">
        <f>AI185/Detached!AI$4</f>
        <v>127.49568749748119</v>
      </c>
      <c r="AJ191" s="370">
        <f>AJ185/Detached!AJ$4</f>
        <v>138.76654461736092</v>
      </c>
      <c r="AK191" s="370">
        <f>AK185/Detached!AK$4</f>
        <v>109.85791679112845</v>
      </c>
      <c r="AL191" s="370">
        <f>AL185/Detached!AL$4</f>
        <v>124.10869286333453</v>
      </c>
      <c r="AM191" s="370">
        <f>AM185/Detached!AM$4</f>
        <v>127.60633312349376</v>
      </c>
      <c r="AN191" s="371">
        <f>AN185/Detached!AN$4</f>
        <v>127.60633312349376</v>
      </c>
    </row>
    <row r="192" spans="1:40">
      <c r="A192" s="154"/>
      <c r="B192" s="347" t="s">
        <v>6</v>
      </c>
      <c r="C192" s="367" t="s">
        <v>190</v>
      </c>
      <c r="D192" s="369">
        <f>D186/Detached!D$4</f>
        <v>82.100516098313761</v>
      </c>
      <c r="E192" s="370">
        <f>E186/Detached!E$4</f>
        <v>134.1118690945961</v>
      </c>
      <c r="F192" s="370">
        <f>F186/Detached!F$4</f>
        <v>108.53614719521372</v>
      </c>
      <c r="G192" s="370">
        <f>G186/Detached!G$4</f>
        <v>79.987128442733209</v>
      </c>
      <c r="H192" s="370">
        <f>H186/Detached!H$4</f>
        <v>56.282358605509017</v>
      </c>
      <c r="I192" s="370">
        <f>I186/Detached!I$4</f>
        <v>102.65961442939613</v>
      </c>
      <c r="J192" s="370">
        <f>J186/Detached!J$4</f>
        <v>62.827746012702676</v>
      </c>
      <c r="K192" s="370">
        <f>K186/Detached!K$4</f>
        <v>70.843054539466877</v>
      </c>
      <c r="L192" s="370">
        <f>L186/Detached!L$4</f>
        <v>71.096161231889951</v>
      </c>
      <c r="M192" s="370">
        <f>M186/Detached!M$4</f>
        <v>78.637418559739658</v>
      </c>
      <c r="N192" s="370">
        <f>N186/Detached!N$4</f>
        <v>121.95207803138825</v>
      </c>
      <c r="O192" s="370">
        <f>O186/Detached!O$4</f>
        <v>55.280993804069723</v>
      </c>
      <c r="P192" s="370">
        <f>P186/Detached!P$4</f>
        <v>127.49568749748119</v>
      </c>
      <c r="Q192" s="370">
        <f>Q186/Detached!Q$4</f>
        <v>104.01417307744843</v>
      </c>
      <c r="R192" s="370">
        <f>R186/Detached!R$4</f>
        <v>106.03111968553974</v>
      </c>
      <c r="S192" s="370">
        <f>S186/Detached!S$4</f>
        <v>91.827610214279858</v>
      </c>
      <c r="T192" s="370">
        <f>T186/Detached!T$4</f>
        <v>103.73222910840822</v>
      </c>
      <c r="U192" s="370">
        <f>U186/Detached!U$4</f>
        <v>95.833462944171501</v>
      </c>
      <c r="V192" s="370">
        <f>V186/Detached!V$4</f>
        <v>115.80532294210826</v>
      </c>
      <c r="W192" s="370">
        <f>W186/Detached!W$4</f>
        <v>82.47284683431451</v>
      </c>
      <c r="X192" s="370">
        <f>X186/Detached!X$4</f>
        <v>108.15170565308827</v>
      </c>
      <c r="Y192" s="370">
        <f>Y186/Detached!Y$4</f>
        <v>38.79964970925743</v>
      </c>
      <c r="Z192" s="370">
        <f>Z186/Detached!Z$4</f>
        <v>97.62303814632503</v>
      </c>
      <c r="AA192" s="370">
        <f>AA186/Detached!AA$4</f>
        <v>99.674063259409849</v>
      </c>
      <c r="AB192" s="370">
        <f>AB186/Detached!AB$4</f>
        <v>127.00019875571608</v>
      </c>
      <c r="AC192" s="370">
        <f>AC186/Detached!AC$4</f>
        <v>82.268156758907239</v>
      </c>
      <c r="AD192" s="370">
        <f>AD186/Detached!AD$4</f>
        <v>155.5500056317716</v>
      </c>
      <c r="AE192" s="370">
        <f>AE186/Detached!AE$4</f>
        <v>96.107970312473824</v>
      </c>
      <c r="AF192" s="370">
        <f>AF186/Detached!AF$4</f>
        <v>82.806155081077677</v>
      </c>
      <c r="AG192" s="370">
        <f>AG186/Detached!AG$4</f>
        <v>152.29897406553445</v>
      </c>
      <c r="AH192" s="370">
        <f>AH186/Detached!AH$4</f>
        <v>92.013344817945494</v>
      </c>
      <c r="AI192" s="370">
        <f>AI186/Detached!AI$4</f>
        <v>127.49568749748119</v>
      </c>
      <c r="AJ192" s="370">
        <f>AJ186/Detached!AJ$4</f>
        <v>135.70446405433538</v>
      </c>
      <c r="AK192" s="370">
        <f>AK186/Detached!AK$4</f>
        <v>106.83303934894376</v>
      </c>
      <c r="AL192" s="370">
        <f>AL186/Detached!AL$4</f>
        <v>104.55833548044373</v>
      </c>
      <c r="AM192" s="370">
        <f>AM186/Detached!AM$4</f>
        <v>124.79051845106065</v>
      </c>
      <c r="AN192" s="371">
        <f>AN186/Detached!AN$4</f>
        <v>124.79051845106065</v>
      </c>
    </row>
    <row r="193" spans="1:40">
      <c r="A193" s="155"/>
      <c r="B193" s="338" t="s">
        <v>7</v>
      </c>
      <c r="C193" s="368" t="s">
        <v>190</v>
      </c>
      <c r="D193" s="378">
        <f>D187/Detached!D$4</f>
        <v>73.408049015520589</v>
      </c>
      <c r="E193" s="379">
        <f>E187/Detached!E$4</f>
        <v>90.125885669236325</v>
      </c>
      <c r="F193" s="379">
        <f>F187/Detached!F$4</f>
        <v>87.860983895961624</v>
      </c>
      <c r="G193" s="379">
        <f>G187/Detached!G$4</f>
        <v>71.518418207062865</v>
      </c>
      <c r="H193" s="379">
        <f>H187/Detached!H$4</f>
        <v>47.660083704276701</v>
      </c>
      <c r="I193" s="379">
        <f>I187/Detached!I$4</f>
        <v>80.723401310477513</v>
      </c>
      <c r="J193" s="379">
        <f>J187/Detached!J$4</f>
        <v>65.736063229007286</v>
      </c>
      <c r="K193" s="379">
        <f>K187/Detached!K$4</f>
        <v>52.838495278606139</v>
      </c>
      <c r="L193" s="379">
        <f>L187/Detached!L$4</f>
        <v>71.096161231889951</v>
      </c>
      <c r="M193" s="379">
        <f>M187/Detached!M$4</f>
        <v>64.064472382572177</v>
      </c>
      <c r="N193" s="379">
        <f>N187/Detached!N$4</f>
        <v>109.2415848426828</v>
      </c>
      <c r="O193" s="379">
        <f>O187/Detached!O$4</f>
        <v>53.645726770151029</v>
      </c>
      <c r="P193" s="379">
        <f>P187/Detached!P$4</f>
        <v>62.081753145816954</v>
      </c>
      <c r="Q193" s="379">
        <f>Q187/Detached!Q$4</f>
        <v>75.961248320049236</v>
      </c>
      <c r="R193" s="379">
        <f>R187/Detached!R$4</f>
        <v>69.841149865363974</v>
      </c>
      <c r="S193" s="379">
        <f>S187/Detached!S$4</f>
        <v>67.395687162073116</v>
      </c>
      <c r="T193" s="379">
        <f>T187/Detached!T$4</f>
        <v>92.920705329434099</v>
      </c>
      <c r="U193" s="379">
        <f>U187/Detached!U$4</f>
        <v>89.264654568597024</v>
      </c>
      <c r="V193" s="379">
        <f>V187/Detached!V$4</f>
        <v>78.93792515164175</v>
      </c>
      <c r="W193" s="379">
        <f>W187/Detached!W$4</f>
        <v>69.252292083652264</v>
      </c>
      <c r="X193" s="379">
        <f>X187/Detached!X$4</f>
        <v>78.404444925486743</v>
      </c>
      <c r="Y193" s="379">
        <f>Y187/Detached!Y$4</f>
        <v>38.470800205509427</v>
      </c>
      <c r="Z193" s="379">
        <f>Z187/Detached!Z$4</f>
        <v>69.809573067814071</v>
      </c>
      <c r="AA193" s="379">
        <f>AA187/Detached!AA$4</f>
        <v>86.14220798962937</v>
      </c>
      <c r="AB193" s="379">
        <f>AB187/Detached!AB$4</f>
        <v>111.14372231608014</v>
      </c>
      <c r="AC193" s="379">
        <f>AC187/Detached!AC$4</f>
        <v>58.059562983889997</v>
      </c>
      <c r="AD193" s="379">
        <f>AD187/Detached!AD$4</f>
        <v>129.68862033266387</v>
      </c>
      <c r="AE193" s="379">
        <f>AE187/Detached!AE$4</f>
        <v>83.06025155783604</v>
      </c>
      <c r="AF193" s="379">
        <f>AF187/Detached!AF$4</f>
        <v>53.825178320464175</v>
      </c>
      <c r="AG193" s="379">
        <f>AG187/Detached!AG$4</f>
        <v>101.69659136411073</v>
      </c>
      <c r="AH193" s="379">
        <f>AH187/Detached!AH$4</f>
        <v>79.581524768818014</v>
      </c>
      <c r="AI193" s="379">
        <f>AI187/Detached!AI$4</f>
        <v>62.081753145816954</v>
      </c>
      <c r="AJ193" s="379">
        <f>AJ187/Detached!AJ$4</f>
        <v>121.64645084303089</v>
      </c>
      <c r="AK193" s="379">
        <f>AK187/Detached!AK$4</f>
        <v>96.092425227834923</v>
      </c>
      <c r="AL193" s="379">
        <f>AL187/Detached!AL$4</f>
        <v>84.549369486936413</v>
      </c>
      <c r="AM193" s="379">
        <f>AM187/Detached!AM$4</f>
        <v>111.8631120517536</v>
      </c>
      <c r="AN193" s="380">
        <f>AN187/Detached!AN$4</f>
        <v>111.8631120517536</v>
      </c>
    </row>
    <row r="194" spans="1:40">
      <c r="A194" s="334" t="s">
        <v>299</v>
      </c>
      <c r="B194" s="359" t="s">
        <v>2</v>
      </c>
      <c r="C194" s="366" t="s">
        <v>190</v>
      </c>
      <c r="D194" s="376">
        <f>Detached!D$47-D188</f>
        <v>65.040294951882998</v>
      </c>
      <c r="E194" s="376">
        <f>Detached!E$47-E188</f>
        <v>63.755695051956451</v>
      </c>
      <c r="F194" s="376">
        <f>Detached!F$47-F188</f>
        <v>63.165466289007696</v>
      </c>
      <c r="G194" s="376">
        <f>Detached!G$47-G188</f>
        <v>63.366062401358874</v>
      </c>
      <c r="H194" s="376">
        <f>Detached!H$47-H188</f>
        <v>21.04690049512282</v>
      </c>
      <c r="I194" s="376">
        <f>Detached!I$47-I188</f>
        <v>29.688577758978539</v>
      </c>
      <c r="J194" s="376">
        <f>Detached!J$47-J188</f>
        <v>69.714066429652689</v>
      </c>
      <c r="K194" s="376">
        <f>Detached!K$47-K188</f>
        <v>27.867693022793304</v>
      </c>
      <c r="L194" s="376">
        <f>Detached!L$47-L188</f>
        <v>17.832472012822933</v>
      </c>
      <c r="M194" s="376">
        <f>Detached!M$47-M188</f>
        <v>58.605324594874105</v>
      </c>
      <c r="N194" s="376">
        <f>Detached!N$47-N188</f>
        <v>31.703571859825161</v>
      </c>
      <c r="O194" s="376">
        <f>Detached!O$47-O188</f>
        <v>78.489840813137107</v>
      </c>
      <c r="P194" s="376">
        <f>Detached!P$47-P188</f>
        <v>47.471862010473075</v>
      </c>
      <c r="Q194" s="376">
        <f>Detached!Q$47-Q188</f>
        <v>43.169509416835922</v>
      </c>
      <c r="R194" s="376">
        <f>Detached!R$47-R188</f>
        <v>60.442008807610677</v>
      </c>
      <c r="S194" s="376">
        <f>Detached!S$47-S188</f>
        <v>57.504417568208765</v>
      </c>
      <c r="T194" s="376">
        <f>Detached!T$47-T188</f>
        <v>26.967004029827365</v>
      </c>
      <c r="U194" s="376">
        <f>Detached!U$47-U188</f>
        <v>41.890970627918904</v>
      </c>
      <c r="V194" s="376">
        <f>Detached!V$47-V188</f>
        <v>44.778702849718542</v>
      </c>
      <c r="W194" s="376">
        <f>Detached!W$47-W188</f>
        <v>34.321700999887582</v>
      </c>
      <c r="X194" s="376">
        <f>Detached!X$47-X188</f>
        <v>46.561369091479008</v>
      </c>
      <c r="Y194" s="376">
        <f>Detached!Y$47-Y188</f>
        <v>20.752089285610495</v>
      </c>
      <c r="Z194" s="376">
        <f>Detached!Z$47-Z188</f>
        <v>62.892001759635747</v>
      </c>
      <c r="AA194" s="376">
        <f>Detached!AA$47-AA188</f>
        <v>20.184171340109941</v>
      </c>
      <c r="AB194" s="376">
        <f>Detached!AB$47-AB188</f>
        <v>80.699704416383099</v>
      </c>
      <c r="AC194" s="376">
        <f>Detached!AC$47-AC188</f>
        <v>30.196870572473642</v>
      </c>
      <c r="AD194" s="376">
        <f>Detached!AD$47-AD188</f>
        <v>85.459393296439686</v>
      </c>
      <c r="AE194" s="376">
        <f>Detached!AE$47-AE188</f>
        <v>19.462031309875755</v>
      </c>
      <c r="AF194" s="376">
        <f>Detached!AF$47-AF188</f>
        <v>52.596997891437439</v>
      </c>
      <c r="AG194" s="376">
        <f>Detached!AG$47-AG188</f>
        <v>61.558519319138327</v>
      </c>
      <c r="AH194" s="376">
        <f>Detached!AH$47-AH188</f>
        <v>74.197064364969549</v>
      </c>
      <c r="AI194" s="376">
        <f>Detached!AI$47-AI188</f>
        <v>47.471862010473075</v>
      </c>
      <c r="AJ194" s="376">
        <f>Detached!AJ$47-AJ188</f>
        <v>58.520003928306238</v>
      </c>
      <c r="AK194" s="376">
        <f>Detached!AK$47-AK188</f>
        <v>47.384585919257148</v>
      </c>
      <c r="AL194" s="376">
        <f>Detached!AL$47-AL188</f>
        <v>61.646190268345151</v>
      </c>
      <c r="AM194" s="376">
        <f>Detached!AM$47-AM188</f>
        <v>53.813569663024964</v>
      </c>
      <c r="AN194" s="377">
        <f>Detached!AN$47-AN188</f>
        <v>53.813569663024964</v>
      </c>
    </row>
    <row r="195" spans="1:40">
      <c r="A195" s="154"/>
      <c r="B195" s="347" t="s">
        <v>3</v>
      </c>
      <c r="C195" s="367" t="s">
        <v>190</v>
      </c>
      <c r="D195" s="370">
        <f>Detached!D$48-D189</f>
        <v>50.218579853114932</v>
      </c>
      <c r="E195" s="370">
        <f>Detached!E$48-E189</f>
        <v>63.755695051956451</v>
      </c>
      <c r="F195" s="370">
        <f>Detached!F$48-F189</f>
        <v>63.165466289007696</v>
      </c>
      <c r="G195" s="370">
        <f>Detached!G$48-G189</f>
        <v>48.925879980007352</v>
      </c>
      <c r="H195" s="370">
        <f>Detached!H$48-H189</f>
        <v>16.672290222605241</v>
      </c>
      <c r="I195" s="370">
        <f>Detached!I$48-I189</f>
        <v>28.404599857111947</v>
      </c>
      <c r="J195" s="370">
        <f>Detached!J$48-J189</f>
        <v>47.16208954779006</v>
      </c>
      <c r="K195" s="370">
        <f>Detached!K$48-K189</f>
        <v>28.314570861141718</v>
      </c>
      <c r="L195" s="370">
        <f>Detached!L$48-L189</f>
        <v>17.832472012822933</v>
      </c>
      <c r="M195" s="370">
        <f>Detached!M$48-M189</f>
        <v>48.103948530366992</v>
      </c>
      <c r="N195" s="370">
        <f>Detached!N$48-N189</f>
        <v>28.851403376795588</v>
      </c>
      <c r="O195" s="370">
        <f>Detached!O$48-O189</f>
        <v>78.489840813137107</v>
      </c>
      <c r="P195" s="370">
        <f>Detached!P$48-P189</f>
        <v>47.471862010473075</v>
      </c>
      <c r="Q195" s="370">
        <f>Detached!Q$48-Q189</f>
        <v>51.391596685731173</v>
      </c>
      <c r="R195" s="370">
        <f>Detached!R$48-R189</f>
        <v>60.442008807610677</v>
      </c>
      <c r="S195" s="370">
        <f>Detached!S$48-S189</f>
        <v>57.336939668651979</v>
      </c>
      <c r="T195" s="370">
        <f>Detached!T$48-T189</f>
        <v>24.540954393664123</v>
      </c>
      <c r="U195" s="370">
        <f>Detached!U$48-U189</f>
        <v>36.086555415157079</v>
      </c>
      <c r="V195" s="370">
        <f>Detached!V$48-V189</f>
        <v>44.778702849718542</v>
      </c>
      <c r="W195" s="370">
        <f>Detached!W$48-W189</f>
        <v>64.307281484525191</v>
      </c>
      <c r="X195" s="370">
        <f>Detached!X$48-X189</f>
        <v>46.700987404373876</v>
      </c>
      <c r="Y195" s="370">
        <f>Detached!Y$48-Y189</f>
        <v>20.758106742239789</v>
      </c>
      <c r="Z195" s="370">
        <f>Detached!Z$48-Z189</f>
        <v>52.022386587300133</v>
      </c>
      <c r="AA195" s="370">
        <f>Detached!AA$48-AA189</f>
        <v>20.202777257674114</v>
      </c>
      <c r="AB195" s="370">
        <f>Detached!AB$48-AB189</f>
        <v>52.535508210814442</v>
      </c>
      <c r="AC195" s="370">
        <f>Detached!AC$48-AC189</f>
        <v>20.881168515793988</v>
      </c>
      <c r="AD195" s="370">
        <f>Detached!AD$48-AD189</f>
        <v>75.053942906063156</v>
      </c>
      <c r="AE195" s="370">
        <f>Detached!AE$48-AE189</f>
        <v>19.4799715534499</v>
      </c>
      <c r="AF195" s="370">
        <f>Detached!AF$48-AF189</f>
        <v>52.596997891437439</v>
      </c>
      <c r="AG195" s="370">
        <f>Detached!AG$48-AG189</f>
        <v>46.475490693887764</v>
      </c>
      <c r="AH195" s="370">
        <f>Detached!AH$48-AH189</f>
        <v>82.783647988351788</v>
      </c>
      <c r="AI195" s="370">
        <f>Detached!AI$48-AI189</f>
        <v>47.471862010473075</v>
      </c>
      <c r="AJ195" s="370">
        <f>Detached!AJ$48-AJ189</f>
        <v>58.520003928306238</v>
      </c>
      <c r="AK195" s="370">
        <f>Detached!AK$48-AK189</f>
        <v>47.384585919257148</v>
      </c>
      <c r="AL195" s="370">
        <f>Detached!AL$48-AL189</f>
        <v>61.646190268345151</v>
      </c>
      <c r="AM195" s="370">
        <f>Detached!AM$48-AM189</f>
        <v>53.813569663024964</v>
      </c>
      <c r="AN195" s="371">
        <f>Detached!AN$48-AN189</f>
        <v>53.813569663024964</v>
      </c>
    </row>
    <row r="196" spans="1:40">
      <c r="A196" s="154"/>
      <c r="B196" s="347" t="s">
        <v>4</v>
      </c>
      <c r="C196" s="367" t="s">
        <v>190</v>
      </c>
      <c r="D196" s="370">
        <f>Detached!D$49-D190</f>
        <v>37.044367960552236</v>
      </c>
      <c r="E196" s="370">
        <f>Detached!E$49-E190</f>
        <v>63.755695051956451</v>
      </c>
      <c r="F196" s="370">
        <f>Detached!F$49-F190</f>
        <v>57.421875329588033</v>
      </c>
      <c r="G196" s="370">
        <f>Detached!G$49-G190</f>
        <v>36.090791616855896</v>
      </c>
      <c r="H196" s="370">
        <f>Detached!H$49-H190</f>
        <v>12.107805858340839</v>
      </c>
      <c r="I196" s="370">
        <f>Detached!I$49-I190</f>
        <v>28.404599857111947</v>
      </c>
      <c r="J196" s="370">
        <f>Detached!J$49-J190</f>
        <v>22.455812093224836</v>
      </c>
      <c r="K196" s="370">
        <f>Detached!K$49-K190</f>
        <v>12.744531826717292</v>
      </c>
      <c r="L196" s="370">
        <f>Detached!L$49-L190</f>
        <v>10.005114073313067</v>
      </c>
      <c r="M196" s="370">
        <f>Detached!M$49-M190</f>
        <v>48.103948530366992</v>
      </c>
      <c r="N196" s="370">
        <f>Detached!N$49-N190</f>
        <v>17.547393689887798</v>
      </c>
      <c r="O196" s="370">
        <f>Detached!O$49-O190</f>
        <v>26.007682525938549</v>
      </c>
      <c r="P196" s="370">
        <f>Detached!P$49-P190</f>
        <v>47.471862010473075</v>
      </c>
      <c r="Q196" s="370">
        <f>Detached!Q$49-Q190</f>
        <v>44.082620360528296</v>
      </c>
      <c r="R196" s="370">
        <f>Detached!R$49-R190</f>
        <v>46.513011489994994</v>
      </c>
      <c r="S196" s="370">
        <f>Detached!S$49-S190</f>
        <v>59.159766601573807</v>
      </c>
      <c r="T196" s="370">
        <f>Detached!T$49-T190</f>
        <v>14.925783077073817</v>
      </c>
      <c r="U196" s="370">
        <f>Detached!U$49-U190</f>
        <v>36.573156874902793</v>
      </c>
      <c r="V196" s="370">
        <f>Detached!V$49-V190</f>
        <v>19.082997217028037</v>
      </c>
      <c r="W196" s="370">
        <f>Detached!W$49-W190</f>
        <v>18.46070602014575</v>
      </c>
      <c r="X196" s="370">
        <f>Detached!X$49-X190</f>
        <v>40.509223315704247</v>
      </c>
      <c r="Y196" s="370">
        <f>Detached!Y$49-Y190</f>
        <v>11.748915697156328</v>
      </c>
      <c r="Z196" s="370">
        <f>Detached!Z$49-Z190</f>
        <v>52.37717288982887</v>
      </c>
      <c r="AA196" s="370">
        <f>Detached!AA$49-AA190</f>
        <v>7.0410887211100572</v>
      </c>
      <c r="AB196" s="370">
        <f>Detached!AB$49-AB190</f>
        <v>25.836500026287823</v>
      </c>
      <c r="AC196" s="370">
        <f>Detached!AC$49-AC190</f>
        <v>20.957118185059727</v>
      </c>
      <c r="AD196" s="370">
        <f>Detached!AD$49-AD190</f>
        <v>75.053942906063156</v>
      </c>
      <c r="AE196" s="370">
        <f>Detached!AE$49-AE190</f>
        <v>6.789175876323668</v>
      </c>
      <c r="AF196" s="370">
        <f>Detached!AF$49-AF190</f>
        <v>53.609513736177476</v>
      </c>
      <c r="AG196" s="370">
        <f>Detached!AG$49-AG190</f>
        <v>46.475490693887764</v>
      </c>
      <c r="AH196" s="370">
        <f>Detached!AH$49-AH190</f>
        <v>65.37000600668955</v>
      </c>
      <c r="AI196" s="370">
        <f>Detached!AI$49-AI190</f>
        <v>47.471862010473075</v>
      </c>
      <c r="AJ196" s="370">
        <f>Detached!AJ$49-AJ190</f>
        <v>58.520003928306238</v>
      </c>
      <c r="AK196" s="370">
        <f>Detached!AK$49-AK190</f>
        <v>47.384585919257148</v>
      </c>
      <c r="AL196" s="370">
        <f>Detached!AL$49-AL190</f>
        <v>56.049698285698668</v>
      </c>
      <c r="AM196" s="370">
        <f>Detached!AM$49-AM190</f>
        <v>53.813569663024964</v>
      </c>
      <c r="AN196" s="371">
        <f>Detached!AN$49-AN190</f>
        <v>53.813569663024964</v>
      </c>
    </row>
    <row r="197" spans="1:40">
      <c r="A197" s="154"/>
      <c r="B197" s="347" t="s">
        <v>5</v>
      </c>
      <c r="C197" s="367" t="s">
        <v>190</v>
      </c>
      <c r="D197" s="370">
        <f>Detached!D$50-D191</f>
        <v>20.700933802718993</v>
      </c>
      <c r="E197" s="370">
        <f>Detached!E$50-E191</f>
        <v>52.023577380079871</v>
      </c>
      <c r="F197" s="370">
        <f>Detached!F$50-F191</f>
        <v>43.544081523934068</v>
      </c>
      <c r="G197" s="370">
        <f>Detached!G$50-G191</f>
        <v>20.16806141607934</v>
      </c>
      <c r="H197" s="370">
        <f>Detached!H$50-H191</f>
        <v>12.17497188067118</v>
      </c>
      <c r="I197" s="370">
        <f>Detached!I$50-I191</f>
        <v>23.609200248580891</v>
      </c>
      <c r="J197" s="370">
        <f>Detached!J$50-J191</f>
        <v>19.638247777187317</v>
      </c>
      <c r="K197" s="370">
        <f>Detached!K$50-K191</f>
        <v>7.4890095133064278</v>
      </c>
      <c r="L197" s="370">
        <f>Detached!L$50-L191</f>
        <v>6.7621619928088847</v>
      </c>
      <c r="M197" s="370">
        <f>Detached!M$50-M191</f>
        <v>35.921856564678535</v>
      </c>
      <c r="N197" s="370">
        <f>Detached!N$50-N191</f>
        <v>9.9805512833649175</v>
      </c>
      <c r="O197" s="370">
        <f>Detached!O$50-O191</f>
        <v>20.639360174055852</v>
      </c>
      <c r="P197" s="370">
        <f>Detached!P$50-P191</f>
        <v>47.750674865998207</v>
      </c>
      <c r="Q197" s="370">
        <f>Detached!Q$50-Q191</f>
        <v>44.082620360528296</v>
      </c>
      <c r="R197" s="370">
        <f>Detached!R$50-R191</f>
        <v>24.099248442471904</v>
      </c>
      <c r="S197" s="370">
        <f>Detached!S$50-S191</f>
        <v>34.933394012847089</v>
      </c>
      <c r="T197" s="370">
        <f>Detached!T$50-T191</f>
        <v>8.4894398608587949</v>
      </c>
      <c r="U197" s="370">
        <f>Detached!U$50-U191</f>
        <v>19.861587332034887</v>
      </c>
      <c r="V197" s="370">
        <f>Detached!V$50-V191</f>
        <v>19.082997217028037</v>
      </c>
      <c r="W197" s="370">
        <f>Detached!W$50-W191</f>
        <v>16.672874280847708</v>
      </c>
      <c r="X197" s="370">
        <f>Detached!X$50-X191</f>
        <v>17.92555169529949</v>
      </c>
      <c r="Y197" s="370">
        <f>Detached!Y$50-Y191</f>
        <v>11.940086636653355</v>
      </c>
      <c r="Z197" s="370">
        <f>Detached!Z$50-Z191</f>
        <v>13.501320274736287</v>
      </c>
      <c r="AA197" s="370">
        <f>Detached!AA$50-AA191</f>
        <v>7.0623916305100778</v>
      </c>
      <c r="AB197" s="370">
        <f>Detached!AB$50-AB191</f>
        <v>25.836500026287823</v>
      </c>
      <c r="AC197" s="370">
        <f>Detached!AC$50-AC191</f>
        <v>19.151353200909043</v>
      </c>
      <c r="AD197" s="370">
        <f>Detached!AD$50-AD191</f>
        <v>53.431199346044281</v>
      </c>
      <c r="AE197" s="370">
        <f>Detached!AE$50-AE191</f>
        <v>6.8097166199959105</v>
      </c>
      <c r="AF197" s="370">
        <f>Detached!AF$50-AF191</f>
        <v>29.843948934848498</v>
      </c>
      <c r="AG197" s="370">
        <f>Detached!AG$50-AG191</f>
        <v>36.918457290978324</v>
      </c>
      <c r="AH197" s="370">
        <f>Detached!AH$50-AH191</f>
        <v>17.169411186434573</v>
      </c>
      <c r="AI197" s="370">
        <f>Detached!AI$50-AI191</f>
        <v>47.750674865998207</v>
      </c>
      <c r="AJ197" s="370">
        <f>Detached!AJ$50-AJ191</f>
        <v>46.034202076757964</v>
      </c>
      <c r="AK197" s="370">
        <f>Detached!AK$50-AK191</f>
        <v>37.336403195598677</v>
      </c>
      <c r="AL197" s="370">
        <f>Detached!AL$50-AL191</f>
        <v>42.520217823705408</v>
      </c>
      <c r="AM197" s="370">
        <f>Detached!AM$50-AM191</f>
        <v>42.331930520276785</v>
      </c>
      <c r="AN197" s="371">
        <f>Detached!AN$50-AN191</f>
        <v>42.331930520276785</v>
      </c>
    </row>
    <row r="198" spans="1:40">
      <c r="A198" s="154"/>
      <c r="B198" s="347" t="s">
        <v>6</v>
      </c>
      <c r="C198" s="367" t="s">
        <v>190</v>
      </c>
      <c r="D198" s="370">
        <f>Detached!D$51-D192</f>
        <v>14.014365719275716</v>
      </c>
      <c r="E198" s="370">
        <f>Detached!E$51-E192</f>
        <v>52.023577380079871</v>
      </c>
      <c r="F198" s="370">
        <f>Detached!F$51-F192</f>
        <v>31.668095841121186</v>
      </c>
      <c r="G198" s="370">
        <f>Detached!G$51-G192</f>
        <v>13.653615398578083</v>
      </c>
      <c r="H198" s="370">
        <f>Detached!H$51-H192</f>
        <v>12.579151767707955</v>
      </c>
      <c r="I198" s="370">
        <f>Detached!I$51-I192</f>
        <v>12.236917934320857</v>
      </c>
      <c r="J198" s="370">
        <f>Detached!J$51-J192</f>
        <v>5.2211395844042556</v>
      </c>
      <c r="K198" s="370">
        <f>Detached!K$51-K192</f>
        <v>7.4890095133064278</v>
      </c>
      <c r="L198" s="370">
        <f>Detached!L$51-L192</f>
        <v>5.5522503493744608</v>
      </c>
      <c r="M198" s="370">
        <f>Detached!M$51-M192</f>
        <v>35.921856564678535</v>
      </c>
      <c r="N198" s="370">
        <f>Detached!N$51-N192</f>
        <v>9.6972277692030673</v>
      </c>
      <c r="O198" s="370">
        <f>Detached!O$51-O192</f>
        <v>7.0199026212412505</v>
      </c>
      <c r="P198" s="370">
        <f>Detached!P$51-P192</f>
        <v>47.750674865998207</v>
      </c>
      <c r="Q198" s="370">
        <f>Detached!Q$51-Q192</f>
        <v>24.970181037518543</v>
      </c>
      <c r="R198" s="370">
        <f>Detached!R$51-R192</f>
        <v>24.099248442471904</v>
      </c>
      <c r="S198" s="370">
        <f>Detached!S$51-S192</f>
        <v>21.312991771090111</v>
      </c>
      <c r="T198" s="370">
        <f>Detached!T$51-T192</f>
        <v>8.2484453640263666</v>
      </c>
      <c r="U198" s="370">
        <f>Detached!U$51-U192</f>
        <v>15.830780993280172</v>
      </c>
      <c r="V198" s="370">
        <f>Detached!V$51-V192</f>
        <v>19.082997217028037</v>
      </c>
      <c r="W198" s="370">
        <f>Detached!W$51-W192</f>
        <v>13.014707329637503</v>
      </c>
      <c r="X198" s="370">
        <f>Detached!X$51-X192</f>
        <v>17.980304872605146</v>
      </c>
      <c r="Y198" s="370">
        <f>Detached!Y$51-Y192</f>
        <v>11.979092860832182</v>
      </c>
      <c r="Z198" s="370">
        <f>Detached!Z$51-Z192</f>
        <v>11.401535709582816</v>
      </c>
      <c r="AA198" s="370">
        <f>Detached!AA$51-AA192</f>
        <v>3.9822995403545036</v>
      </c>
      <c r="AB198" s="370">
        <f>Detached!AB$51-AB192</f>
        <v>25.836500026287823</v>
      </c>
      <c r="AC198" s="370">
        <f>Detached!AC$51-AC192</f>
        <v>15.656842528341286</v>
      </c>
      <c r="AD198" s="370">
        <f>Detached!AD$51-AD192</f>
        <v>53.431199346044281</v>
      </c>
      <c r="AE198" s="370">
        <f>Detached!AE$51-AE192</f>
        <v>3.8398226527966699</v>
      </c>
      <c r="AF198" s="370">
        <f>Detached!AF$51-AF192</f>
        <v>16.970455193668869</v>
      </c>
      <c r="AG198" s="370">
        <f>Detached!AG$51-AG192</f>
        <v>37.565382411235049</v>
      </c>
      <c r="AH198" s="370">
        <f>Detached!AH$51-AH192</f>
        <v>10.962949278048328</v>
      </c>
      <c r="AI198" s="370">
        <f>Detached!AI$51-AI192</f>
        <v>47.750674865998207</v>
      </c>
      <c r="AJ198" s="370">
        <f>Detached!AJ$51-AJ192</f>
        <v>40.987567421647356</v>
      </c>
      <c r="AK198" s="370">
        <f>Detached!AK$51-AK192</f>
        <v>33.27501154014162</v>
      </c>
      <c r="AL198" s="370">
        <f>Detached!AL$51-AL192</f>
        <v>30.954852815172757</v>
      </c>
      <c r="AM198" s="370">
        <f>Detached!AM$51-AM192</f>
        <v>37.691168262137751</v>
      </c>
      <c r="AN198" s="371">
        <f>Detached!AN$51-AN192</f>
        <v>37.691168262137751</v>
      </c>
    </row>
    <row r="199" spans="1:40">
      <c r="A199" s="155"/>
      <c r="B199" s="338" t="s">
        <v>7</v>
      </c>
      <c r="C199" s="368" t="s">
        <v>190</v>
      </c>
      <c r="D199" s="379">
        <f>Detached!D$52-D193</f>
        <v>12.066627830532013</v>
      </c>
      <c r="E199" s="379">
        <f>Detached!E$52-E193</f>
        <v>21.573977025082996</v>
      </c>
      <c r="F199" s="379">
        <f>Detached!F$52-F193</f>
        <v>9.7657638506778284</v>
      </c>
      <c r="G199" s="379">
        <f>Detached!G$52-G193</f>
        <v>11.7560151387556</v>
      </c>
      <c r="H199" s="379">
        <f>Detached!H$52-H193</f>
        <v>12.932796255961293</v>
      </c>
      <c r="I199" s="379">
        <f>Detached!I$52-I193</f>
        <v>9.6761420428792206</v>
      </c>
      <c r="J199" s="379">
        <f>Detached!J$52-J193</f>
        <v>7.5738688811235733</v>
      </c>
      <c r="K199" s="379">
        <f>Detached!K$52-K193</f>
        <v>4.3507735118733777</v>
      </c>
      <c r="L199" s="379">
        <f>Detached!L$52-L193</f>
        <v>5.5522503493744608</v>
      </c>
      <c r="M199" s="379">
        <f>Detached!M$52-M193</f>
        <v>14.267604440240916</v>
      </c>
      <c r="N199" s="379">
        <f>Detached!N$52-N193</f>
        <v>8.6995426585842637</v>
      </c>
      <c r="O199" s="379">
        <f>Detached!O$52-O193</f>
        <v>6.6111026713585588</v>
      </c>
      <c r="P199" s="379">
        <f>Detached!P$52-P193</f>
        <v>8.8962150713066777</v>
      </c>
      <c r="Q199" s="379">
        <f>Detached!Q$52-Q193</f>
        <v>6.446671580997716</v>
      </c>
      <c r="R199" s="379">
        <f>Detached!R$52-R193</f>
        <v>10.635770320152375</v>
      </c>
      <c r="S199" s="379">
        <f>Detached!S$52-S193</f>
        <v>5.6191064281648408</v>
      </c>
      <c r="T199" s="379">
        <f>Detached!T$52-T193</f>
        <v>7.3998161143787087</v>
      </c>
      <c r="U199" s="379">
        <f>Detached!U$52-U193</f>
        <v>16.026569260115721</v>
      </c>
      <c r="V199" s="379">
        <f>Detached!V$52-V193</f>
        <v>3.1538348937645111</v>
      </c>
      <c r="W199" s="379">
        <f>Detached!W$52-W193</f>
        <v>8.0564887210559561</v>
      </c>
      <c r="X199" s="379">
        <f>Detached!X$52-X193</f>
        <v>3.3230523096966635</v>
      </c>
      <c r="Y199" s="379">
        <f>Detached!Y$52-Y193</f>
        <v>10.346393397030049</v>
      </c>
      <c r="Z199" s="379">
        <f>Detached!Z$52-Z193</f>
        <v>8.0049791594987596</v>
      </c>
      <c r="AA199" s="379">
        <f>Detached!AA$52-AA193</f>
        <v>4.0916640680757865</v>
      </c>
      <c r="AB199" s="379">
        <f>Detached!AB$52-AB193</f>
        <v>11.318512863517967</v>
      </c>
      <c r="AC199" s="379">
        <f>Detached!AC$52-AC193</f>
        <v>8.8049688666448631</v>
      </c>
      <c r="AD199" s="379">
        <f>Detached!AD$52-AD193</f>
        <v>32.984901663762031</v>
      </c>
      <c r="AE199" s="379">
        <f>Detached!AE$52-AE193</f>
        <v>3.9452743865753632</v>
      </c>
      <c r="AF199" s="379">
        <f>Detached!AF$52-AF193</f>
        <v>5.2493312848128397</v>
      </c>
      <c r="AG199" s="379">
        <f>Detached!AG$52-AG193</f>
        <v>12.39486560095267</v>
      </c>
      <c r="AH199" s="379">
        <f>Detached!AH$52-AH193</f>
        <v>6.8542570499216424</v>
      </c>
      <c r="AI199" s="379">
        <f>Detached!AI$52-AI193</f>
        <v>8.8962150713066777</v>
      </c>
      <c r="AJ199" s="379">
        <f>Detached!AJ$52-AJ193</f>
        <v>31.422658178223514</v>
      </c>
      <c r="AK199" s="379">
        <f>Detached!AK$52-AK193</f>
        <v>25.497925159755539</v>
      </c>
      <c r="AL199" s="379">
        <f>Detached!AL$52-AL193</f>
        <v>9.5495462349608999</v>
      </c>
      <c r="AM199" s="379">
        <f>Detached!AM$52-AM193</f>
        <v>28.895510788804415</v>
      </c>
      <c r="AN199" s="380">
        <f>Detached!AN$52-AN193</f>
        <v>28.895510788804415</v>
      </c>
    </row>
    <row r="200" spans="1:40">
      <c r="A200" s="5"/>
      <c r="B200" s="5"/>
      <c r="C200" s="5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64"/>
      <c r="AJ200" s="164"/>
      <c r="AK200" s="164"/>
      <c r="AL200" s="164"/>
      <c r="AM200" s="164"/>
      <c r="AN200" s="164"/>
    </row>
    <row r="201" spans="1:40">
      <c r="A201" s="5" t="s">
        <v>220</v>
      </c>
      <c r="B201" s="5"/>
      <c r="C201" s="5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</row>
    <row r="202" spans="1:40">
      <c r="A202" s="938" t="s">
        <v>123</v>
      </c>
      <c r="B202" s="939"/>
      <c r="C202" s="138" t="s">
        <v>76</v>
      </c>
      <c r="D202" s="194">
        <v>1</v>
      </c>
      <c r="E202" s="195">
        <v>1</v>
      </c>
      <c r="F202" s="195">
        <v>1</v>
      </c>
      <c r="G202" s="195">
        <v>1</v>
      </c>
      <c r="H202" s="195">
        <v>1</v>
      </c>
      <c r="I202" s="195">
        <v>1</v>
      </c>
      <c r="J202" s="195">
        <v>1</v>
      </c>
      <c r="K202" s="195">
        <v>1</v>
      </c>
      <c r="L202" s="195">
        <v>1</v>
      </c>
      <c r="M202" s="195">
        <v>1</v>
      </c>
      <c r="N202" s="195">
        <v>1</v>
      </c>
      <c r="O202" s="195">
        <v>1</v>
      </c>
      <c r="P202" s="195">
        <v>1</v>
      </c>
      <c r="Q202" s="195">
        <v>1</v>
      </c>
      <c r="R202" s="195">
        <v>1</v>
      </c>
      <c r="S202" s="195">
        <v>1</v>
      </c>
      <c r="T202" s="195">
        <v>1</v>
      </c>
      <c r="U202" s="195">
        <v>1</v>
      </c>
      <c r="V202" s="195">
        <v>1</v>
      </c>
      <c r="W202" s="195">
        <v>1</v>
      </c>
      <c r="X202" s="195">
        <v>1</v>
      </c>
      <c r="Y202" s="195">
        <v>1</v>
      </c>
      <c r="Z202" s="195">
        <v>1</v>
      </c>
      <c r="AA202" s="195">
        <v>1</v>
      </c>
      <c r="AB202" s="195">
        <v>1</v>
      </c>
      <c r="AC202" s="195">
        <v>1</v>
      </c>
      <c r="AD202" s="195">
        <v>1</v>
      </c>
      <c r="AE202" s="195">
        <v>1</v>
      </c>
      <c r="AF202" s="195">
        <v>1</v>
      </c>
      <c r="AG202" s="195">
        <v>1</v>
      </c>
      <c r="AH202" s="195">
        <v>1</v>
      </c>
      <c r="AI202" s="195">
        <v>1</v>
      </c>
      <c r="AJ202" s="195">
        <v>1</v>
      </c>
      <c r="AK202" s="195">
        <v>1</v>
      </c>
      <c r="AL202" s="195">
        <v>1</v>
      </c>
      <c r="AM202" s="195">
        <v>1</v>
      </c>
      <c r="AN202" s="196">
        <v>1</v>
      </c>
    </row>
    <row r="203" spans="1:40">
      <c r="A203" s="151" t="s">
        <v>193</v>
      </c>
      <c r="B203" s="141" t="s">
        <v>2</v>
      </c>
      <c r="C203" s="144" t="s">
        <v>195</v>
      </c>
      <c r="D203" s="170">
        <f>((LOOKUP(Detached!D$2,'Ceiling-U'!$A$4:$A$40,'Ceiling-U'!$E$4:$E$40)*Detached!D$14)+(LOOKUP(Detached!D$2,'Floor-U'!$A$4:$A$40,'Floor-U'!$E$4:$E$40)*Detached!D$15)+(LOOKUP(Detached!D$2,'Wall-U'!$A$4:$A$40,'Wall-U'!$X$4:$X$40)*Detached!D$12)+(LOOKUP(Detached!D$2,'Window-U'!$A$4:$A$40,'Window-U'!$E$4:$E$40)*Detached!D$21))*D202</f>
        <v>301.86480120341992</v>
      </c>
      <c r="E203" s="171">
        <f>((LOOKUP(Detached!E$2,'Ceiling-U'!$A$4:$A$40,'Ceiling-U'!$E$4:$E$40)*Detached!E$14)+(LOOKUP(Detached!E$2,'Floor-U'!$A$4:$A$40,'Floor-U'!$E$4:$E$40)*Detached!E$15)+(LOOKUP(Detached!E$2,'Wall-U'!$A$4:$A$40,'Wall-U'!$X$4:$X$40)*Detached!E$12)+(LOOKUP(Detached!E$2,'Window-U'!$A$4:$A$40,'Window-U'!$E$4:$E$40)*Detached!E$21))*E202</f>
        <v>392.69377860619727</v>
      </c>
      <c r="F203" s="171">
        <f>((LOOKUP(Detached!F$2,'Ceiling-U'!$A$4:$A$40,'Ceiling-U'!$E$4:$E$40)*Detached!F$14)+(LOOKUP(Detached!F$2,'Floor-U'!$A$4:$A$40,'Floor-U'!$E$4:$E$40)*Detached!F$15)+(LOOKUP(Detached!F$2,'Wall-U'!$A$4:$A$40,'Wall-U'!$X$4:$X$40)*Detached!F$12)+(LOOKUP(Detached!F$2,'Window-U'!$A$4:$A$40,'Window-U'!$E$4:$E$40)*Detached!F$21))*F202</f>
        <v>213.96287694772545</v>
      </c>
      <c r="G203" s="171">
        <f>((LOOKUP(Detached!G$2,'Ceiling-U'!$A$4:$A$40,'Ceiling-U'!$E$4:$E$40)*Detached!G$14)+(LOOKUP(Detached!G$2,'Floor-U'!$A$4:$A$40,'Floor-U'!$E$4:$E$40)*Detached!G$15)+(LOOKUP(Detached!G$2,'Wall-U'!$A$4:$A$40,'Wall-U'!$X$4:$X$40)*Detached!G$12)+(LOOKUP(Detached!G$2,'Window-U'!$A$4:$A$40,'Window-U'!$E$4:$E$40)*Detached!G$21))*G202</f>
        <v>301.86480120341992</v>
      </c>
      <c r="H203" s="171">
        <f>((LOOKUP(Detached!H$2,'Ceiling-U'!$A$4:$A$40,'Ceiling-U'!$E$4:$E$40)*Detached!H$14)+(LOOKUP(Detached!H$2,'Floor-U'!$A$4:$A$40,'Floor-U'!$E$4:$E$40)*Detached!H$15)+(LOOKUP(Detached!H$2,'Wall-U'!$A$4:$A$40,'Wall-U'!$X$4:$X$40)*Detached!H$12)+(LOOKUP(Detached!H$2,'Window-U'!$A$4:$A$40,'Window-U'!$E$4:$E$40)*Detached!H$21))*H202</f>
        <v>523.42246669218434</v>
      </c>
      <c r="I203" s="171">
        <f>((LOOKUP(Detached!I$2,'Ceiling-U'!$A$4:$A$40,'Ceiling-U'!$E$4:$E$40)*Detached!I$14)+(LOOKUP(Detached!I$2,'Floor-U'!$A$4:$A$40,'Floor-U'!$E$4:$E$40)*Detached!I$15)+(LOOKUP(Detached!I$2,'Wall-U'!$A$4:$A$40,'Wall-U'!$X$4:$X$40)*Detached!I$12)+(LOOKUP(Detached!I$2,'Window-U'!$A$4:$A$40,'Window-U'!$E$4:$E$40)*Detached!I$21))*I202</f>
        <v>288.82286945114413</v>
      </c>
      <c r="J203" s="171">
        <f>((LOOKUP(Detached!J$2,'Ceiling-U'!$A$4:$A$40,'Ceiling-U'!$E$4:$E$40)*Detached!J$14)+(LOOKUP(Detached!J$2,'Floor-U'!$A$4:$A$40,'Floor-U'!$E$4:$E$40)*Detached!J$15)+(LOOKUP(Detached!J$2,'Wall-U'!$A$4:$A$40,'Wall-U'!$X$4:$X$40)*Detached!J$12)+(LOOKUP(Detached!J$2,'Window-U'!$A$4:$A$40,'Window-U'!$E$4:$E$40)*Detached!J$21))*J202</f>
        <v>373.24101829999637</v>
      </c>
      <c r="K203" s="171">
        <f>((LOOKUP(Detached!K$2,'Ceiling-U'!$A$4:$A$40,'Ceiling-U'!$E$4:$E$40)*Detached!K$14)+(LOOKUP(Detached!K$2,'Floor-U'!$A$4:$A$40,'Floor-U'!$E$4:$E$40)*Detached!K$15)+(LOOKUP(Detached!K$2,'Wall-U'!$A$4:$A$40,'Wall-U'!$X$4:$X$40)*Detached!K$12)+(LOOKUP(Detached!K$2,'Window-U'!$A$4:$A$40,'Window-U'!$E$4:$E$40)*Detached!K$21))*K202</f>
        <v>230.06113245676477</v>
      </c>
      <c r="L203" s="171">
        <f>((LOOKUP(Detached!L$2,'Ceiling-U'!$A$4:$A$40,'Ceiling-U'!$E$4:$E$40)*Detached!L$14)+(LOOKUP(Detached!L$2,'Floor-U'!$A$4:$A$40,'Floor-U'!$E$4:$E$40)*Detached!L$15)+(LOOKUP(Detached!L$2,'Wall-U'!$A$4:$A$40,'Wall-U'!$X$4:$X$40)*Detached!L$12)+(LOOKUP(Detached!L$2,'Window-U'!$A$4:$A$40,'Window-U'!$E$4:$E$40)*Detached!L$21))*L202</f>
        <v>134.35838046027303</v>
      </c>
      <c r="M203" s="171">
        <f>((LOOKUP(Detached!M$2,'Ceiling-U'!$A$4:$A$40,'Ceiling-U'!$E$4:$E$40)*Detached!M$14)+(LOOKUP(Detached!M$2,'Floor-U'!$A$4:$A$40,'Floor-U'!$E$4:$E$40)*Detached!M$15)+(LOOKUP(Detached!M$2,'Wall-U'!$A$4:$A$40,'Wall-U'!$X$4:$X$40)*Detached!M$12)+(LOOKUP(Detached!M$2,'Window-U'!$A$4:$A$40,'Window-U'!$E$4:$E$40)*Detached!M$21))*M202</f>
        <v>535.49671015601484</v>
      </c>
      <c r="N203" s="171">
        <f>((LOOKUP(Detached!N$2,'Ceiling-U'!$A$4:$A$40,'Ceiling-U'!$E$4:$E$40)*Detached!N$14)+(LOOKUP(Detached!N$2,'Floor-U'!$A$4:$A$40,'Floor-U'!$E$4:$E$40)*Detached!N$15)+(LOOKUP(Detached!N$2,'Wall-U'!$A$4:$A$40,'Wall-U'!$X$4:$X$40)*Detached!N$12)+(LOOKUP(Detached!N$2,'Window-U'!$A$4:$A$40,'Window-U'!$E$4:$E$40)*Detached!N$21))*N202</f>
        <v>170.48760762690461</v>
      </c>
      <c r="O203" s="171">
        <f>((LOOKUP(Detached!O$2,'Ceiling-U'!$A$4:$A$40,'Ceiling-U'!$E$4:$E$40)*Detached!O$14)+(LOOKUP(Detached!O$2,'Floor-U'!$A$4:$A$40,'Floor-U'!$E$4:$E$40)*Detached!O$15)+(LOOKUP(Detached!O$2,'Wall-U'!$A$4:$A$40,'Wall-U'!$X$4:$X$40)*Detached!O$12)+(LOOKUP(Detached!O$2,'Window-U'!$A$4:$A$40,'Window-U'!$E$4:$E$40)*Detached!O$21))*O202</f>
        <v>514.42236753401903</v>
      </c>
      <c r="P203" s="171">
        <f>((LOOKUP(Detached!P$2,'Ceiling-U'!$A$4:$A$40,'Ceiling-U'!$E$4:$E$40)*Detached!P$14)+(LOOKUP(Detached!P$2,'Floor-U'!$A$4:$A$40,'Floor-U'!$E$4:$E$40)*Detached!P$15)+(LOOKUP(Detached!P$2,'Wall-U'!$A$4:$A$40,'Wall-U'!$X$4:$X$40)*Detached!P$12)+(LOOKUP(Detached!P$2,'Window-U'!$A$4:$A$40,'Window-U'!$E$4:$E$40)*Detached!P$21))*P202</f>
        <v>517.30597285128465</v>
      </c>
      <c r="Q203" s="171">
        <f>((LOOKUP(Detached!Q$2,'Ceiling-U'!$A$4:$A$40,'Ceiling-U'!$E$4:$E$40)*Detached!Q$14)+(LOOKUP(Detached!Q$2,'Floor-U'!$A$4:$A$40,'Floor-U'!$E$4:$E$40)*Detached!Q$15)+(LOOKUP(Detached!Q$2,'Wall-U'!$A$4:$A$40,'Wall-U'!$X$4:$X$40)*Detached!Q$12)+(LOOKUP(Detached!Q$2,'Window-U'!$A$4:$A$40,'Window-U'!$E$4:$E$40)*Detached!Q$21))*Q202</f>
        <v>264.21419856222843</v>
      </c>
      <c r="R203" s="171">
        <f>((LOOKUP(Detached!R$2,'Ceiling-U'!$A$4:$A$40,'Ceiling-U'!$E$4:$E$40)*Detached!R$14)+(LOOKUP(Detached!R$2,'Floor-U'!$A$4:$A$40,'Floor-U'!$E$4:$E$40)*Detached!R$15)+(LOOKUP(Detached!R$2,'Wall-U'!$A$4:$A$40,'Wall-U'!$X$4:$X$40)*Detached!R$12)+(LOOKUP(Detached!R$2,'Window-U'!$A$4:$A$40,'Window-U'!$E$4:$E$40)*Detached!R$21))*R202</f>
        <v>258.48307163972885</v>
      </c>
      <c r="S203" s="171">
        <f>((LOOKUP(Detached!S$2,'Ceiling-U'!$A$4:$A$40,'Ceiling-U'!$E$4:$E$40)*Detached!S$14)+(LOOKUP(Detached!S$2,'Floor-U'!$A$4:$A$40,'Floor-U'!$E$4:$E$40)*Detached!S$15)+(LOOKUP(Detached!S$2,'Wall-U'!$A$4:$A$40,'Wall-U'!$X$4:$X$40)*Detached!S$12)+(LOOKUP(Detached!S$2,'Window-U'!$A$4:$A$40,'Window-U'!$E$4:$E$40)*Detached!S$21))*S202</f>
        <v>423.25587914359824</v>
      </c>
      <c r="T203" s="171">
        <f>((LOOKUP(Detached!T$2,'Ceiling-U'!$A$4:$A$40,'Ceiling-U'!$E$4:$E$40)*Detached!T$14)+(LOOKUP(Detached!T$2,'Floor-U'!$A$4:$A$40,'Floor-U'!$E$4:$E$40)*Detached!T$15)+(LOOKUP(Detached!T$2,'Wall-U'!$A$4:$A$40,'Wall-U'!$X$4:$X$40)*Detached!T$12)+(LOOKUP(Detached!T$2,'Window-U'!$A$4:$A$40,'Window-U'!$E$4:$E$40)*Detached!T$21))*T202</f>
        <v>170.48760762690461</v>
      </c>
      <c r="U203" s="171">
        <f>((LOOKUP(Detached!U$2,'Ceiling-U'!$A$4:$A$40,'Ceiling-U'!$E$4:$E$40)*Detached!U$14)+(LOOKUP(Detached!U$2,'Floor-U'!$A$4:$A$40,'Floor-U'!$E$4:$E$40)*Detached!U$15)+(LOOKUP(Detached!U$2,'Wall-U'!$A$4:$A$40,'Wall-U'!$X$4:$X$40)*Detached!U$12)+(LOOKUP(Detached!U$2,'Window-U'!$A$4:$A$40,'Window-U'!$E$4:$E$40)*Detached!U$21))*U202</f>
        <v>500.38330543041292</v>
      </c>
      <c r="V203" s="171">
        <f>((LOOKUP(Detached!V$2,'Ceiling-U'!$A$4:$A$40,'Ceiling-U'!$E$4:$E$40)*Detached!V$14)+(LOOKUP(Detached!V$2,'Floor-U'!$A$4:$A$40,'Floor-U'!$E$4:$E$40)*Detached!V$15)+(LOOKUP(Detached!V$2,'Wall-U'!$A$4:$A$40,'Wall-U'!$X$4:$X$40)*Detached!V$12)+(LOOKUP(Detached!V$2,'Window-U'!$A$4:$A$40,'Window-U'!$E$4:$E$40)*Detached!V$21))*V202</f>
        <v>224.11221764822915</v>
      </c>
      <c r="W203" s="171">
        <f>((LOOKUP(Detached!W$2,'Ceiling-U'!$A$4:$A$40,'Ceiling-U'!$E$4:$E$40)*Detached!W$14)+(LOOKUP(Detached!W$2,'Floor-U'!$A$4:$A$40,'Floor-U'!$E$4:$E$40)*Detached!W$15)+(LOOKUP(Detached!W$2,'Wall-U'!$A$4:$A$40,'Wall-U'!$X$4:$X$40)*Detached!W$12)+(LOOKUP(Detached!W$2,'Window-U'!$A$4:$A$40,'Window-U'!$E$4:$E$40)*Detached!W$21))*W202</f>
        <v>361.40308839185627</v>
      </c>
      <c r="X203" s="171">
        <f>((LOOKUP(Detached!X$2,'Ceiling-U'!$A$4:$A$40,'Ceiling-U'!$E$4:$E$40)*Detached!X$14)+(LOOKUP(Detached!X$2,'Floor-U'!$A$4:$A$40,'Floor-U'!$E$4:$E$40)*Detached!X$15)+(LOOKUP(Detached!X$2,'Wall-U'!$A$4:$A$40,'Wall-U'!$X$4:$X$40)*Detached!X$12)+(LOOKUP(Detached!X$2,'Window-U'!$A$4:$A$40,'Window-U'!$E$4:$E$40)*Detached!X$21))*X202</f>
        <v>257.84377160513031</v>
      </c>
      <c r="Y203" s="171">
        <f>((LOOKUP(Detached!Y$2,'Ceiling-U'!$A$4:$A$40,'Ceiling-U'!$E$4:$E$40)*Detached!Y$14)+(LOOKUP(Detached!Y$2,'Floor-U'!$A$4:$A$40,'Floor-U'!$E$4:$E$40)*Detached!Y$15)+(LOOKUP(Detached!Y$2,'Wall-U'!$A$4:$A$40,'Wall-U'!$X$4:$X$40)*Detached!Y$12)+(LOOKUP(Detached!Y$2,'Window-U'!$A$4:$A$40,'Window-U'!$E$4:$E$40)*Detached!Y$21))*Y202</f>
        <v>555.25955796484925</v>
      </c>
      <c r="Z203" s="171">
        <f>((LOOKUP(Detached!Z$2,'Ceiling-U'!$A$4:$A$40,'Ceiling-U'!$E$4:$E$40)*Detached!Z$14)+(LOOKUP(Detached!Z$2,'Floor-U'!$A$4:$A$40,'Floor-U'!$E$4:$E$40)*Detached!Z$15)+(LOOKUP(Detached!Z$2,'Wall-U'!$A$4:$A$40,'Wall-U'!$X$4:$X$40)*Detached!Z$12)+(LOOKUP(Detached!Z$2,'Window-U'!$A$4:$A$40,'Window-U'!$E$4:$E$40)*Detached!Z$21))*Z202</f>
        <v>441.28003110835112</v>
      </c>
      <c r="AA203" s="171">
        <f>((LOOKUP(Detached!AA$2,'Ceiling-U'!$A$4:$A$40,'Ceiling-U'!$E$4:$E$40)*Detached!AA$14)+(LOOKUP(Detached!AA$2,'Floor-U'!$A$4:$A$40,'Floor-U'!$E$4:$E$40)*Detached!AA$15)+(LOOKUP(Detached!AA$2,'Wall-U'!$A$4:$A$40,'Wall-U'!$X$4:$X$40)*Detached!AA$12)+(LOOKUP(Detached!AA$2,'Window-U'!$A$4:$A$40,'Window-U'!$E$4:$E$40)*Detached!AA$21))*AA202</f>
        <v>170.66782626733419</v>
      </c>
      <c r="AB203" s="171">
        <f>((LOOKUP(Detached!AB$2,'Ceiling-U'!$A$4:$A$40,'Ceiling-U'!$E$4:$E$40)*Detached!AB$14)+(LOOKUP(Detached!AB$2,'Floor-U'!$A$4:$A$40,'Floor-U'!$E$4:$E$40)*Detached!AB$15)+(LOOKUP(Detached!AB$2,'Wall-U'!$A$4:$A$40,'Wall-U'!$X$4:$X$40)*Detached!AB$12)+(LOOKUP(Detached!AB$2,'Window-U'!$A$4:$A$40,'Window-U'!$E$4:$E$40)*Detached!AB$21))*AB202</f>
        <v>352.95368452151536</v>
      </c>
      <c r="AC203" s="171">
        <f>((LOOKUP(Detached!AC$2,'Ceiling-U'!$A$4:$A$40,'Ceiling-U'!$E$4:$E$40)*Detached!AC$14)+(LOOKUP(Detached!AC$2,'Floor-U'!$A$4:$A$40,'Floor-U'!$E$4:$E$40)*Detached!AC$15)+(LOOKUP(Detached!AC$2,'Wall-U'!$A$4:$A$40,'Wall-U'!$X$4:$X$40)*Detached!AC$12)+(LOOKUP(Detached!AC$2,'Window-U'!$A$4:$A$40,'Window-U'!$E$4:$E$40)*Detached!AC$21))*AC202</f>
        <v>561.93530723111064</v>
      </c>
      <c r="AD203" s="171">
        <f>((LOOKUP(Detached!AD$2,'Ceiling-U'!$A$4:$A$40,'Ceiling-U'!$E$4:$E$40)*Detached!AD$14)+(LOOKUP(Detached!AD$2,'Floor-U'!$A$4:$A$40,'Floor-U'!$E$4:$E$40)*Detached!AD$15)+(LOOKUP(Detached!AD$2,'Wall-U'!$A$4:$A$40,'Wall-U'!$X$4:$X$40)*Detached!AD$12)+(LOOKUP(Detached!AD$2,'Window-U'!$A$4:$A$40,'Window-U'!$E$4:$E$40)*Detached!AD$21))*AD202</f>
        <v>269.30408865418997</v>
      </c>
      <c r="AE203" s="171">
        <f>((LOOKUP(Detached!AE$2,'Ceiling-U'!$A$4:$A$40,'Ceiling-U'!$E$4:$E$40)*Detached!AE$14)+(LOOKUP(Detached!AE$2,'Floor-U'!$A$4:$A$40,'Floor-U'!$E$4:$E$40)*Detached!AE$15)+(LOOKUP(Detached!AE$2,'Wall-U'!$A$4:$A$40,'Wall-U'!$X$4:$X$40)*Detached!AE$12)+(LOOKUP(Detached!AE$2,'Window-U'!$A$4:$A$40,'Window-U'!$E$4:$E$40)*Detached!AE$21))*AE202</f>
        <v>170.66782626733419</v>
      </c>
      <c r="AF203" s="171">
        <f>((LOOKUP(Detached!AF$2,'Ceiling-U'!$A$4:$A$40,'Ceiling-U'!$E$4:$E$40)*Detached!AF$14)+(LOOKUP(Detached!AF$2,'Floor-U'!$A$4:$A$40,'Floor-U'!$E$4:$E$40)*Detached!AF$15)+(LOOKUP(Detached!AF$2,'Wall-U'!$A$4:$A$40,'Wall-U'!$X$4:$X$40)*Detached!AF$12)+(LOOKUP(Detached!AF$2,'Window-U'!$A$4:$A$40,'Window-U'!$E$4:$E$40)*Detached!AF$21))*AF202</f>
        <v>264.50252888243142</v>
      </c>
      <c r="AG203" s="171">
        <f>((LOOKUP(Detached!AG$2,'Ceiling-U'!$A$4:$A$40,'Ceiling-U'!$E$4:$E$40)*Detached!AG$14)+(LOOKUP(Detached!AG$2,'Floor-U'!$A$4:$A$40,'Floor-U'!$E$4:$E$40)*Detached!AG$15)+(LOOKUP(Detached!AG$2,'Wall-U'!$A$4:$A$40,'Wall-U'!$X$4:$X$40)*Detached!AG$12)+(LOOKUP(Detached!AG$2,'Window-U'!$A$4:$A$40,'Window-U'!$E$4:$E$40)*Detached!AG$21))*AG202</f>
        <v>412.68871416938686</v>
      </c>
      <c r="AH203" s="171">
        <f>((LOOKUP(Detached!AH$2,'Ceiling-U'!$A$4:$A$40,'Ceiling-U'!$E$4:$E$40)*Detached!AH$14)+(LOOKUP(Detached!AH$2,'Floor-U'!$A$4:$A$40,'Floor-U'!$E$4:$E$40)*Detached!AH$15)+(LOOKUP(Detached!AH$2,'Wall-U'!$A$4:$A$40,'Wall-U'!$X$4:$X$40)*Detached!AH$12)+(LOOKUP(Detached!AH$2,'Window-U'!$A$4:$A$40,'Window-U'!$E$4:$E$40)*Detached!AH$21))*AH202</f>
        <v>332.03988579690565</v>
      </c>
      <c r="AI203" s="171">
        <f>((LOOKUP(Detached!AI$2,'Ceiling-U'!$A$4:$A$40,'Ceiling-U'!$E$4:$E$40)*Detached!AI$14)+(LOOKUP(Detached!AI$2,'Floor-U'!$A$4:$A$40,'Floor-U'!$E$4:$E$40)*Detached!AI$15)+(LOOKUP(Detached!AI$2,'Wall-U'!$A$4:$A$40,'Wall-U'!$X$4:$X$40)*Detached!AI$12)+(LOOKUP(Detached!AI$2,'Window-U'!$A$4:$A$40,'Window-U'!$E$4:$E$40)*Detached!AI$21))*AI202</f>
        <v>517.30597285128465</v>
      </c>
      <c r="AJ203" s="171">
        <f>((LOOKUP(Detached!AJ$2,'Ceiling-U'!$A$4:$A$40,'Ceiling-U'!$E$4:$E$40)*Detached!AJ$14)+(LOOKUP(Detached!AJ$2,'Floor-U'!$A$4:$A$40,'Floor-U'!$E$4:$E$40)*Detached!AJ$15)+(LOOKUP(Detached!AJ$2,'Wall-U'!$A$4:$A$40,'Wall-U'!$X$4:$X$40)*Detached!AJ$12)+(LOOKUP(Detached!AJ$2,'Window-U'!$A$4:$A$40,'Window-U'!$E$4:$E$40)*Detached!AJ$21))*AJ202</f>
        <v>224.23106532884066</v>
      </c>
      <c r="AK203" s="171">
        <f>((LOOKUP(Detached!AK$2,'Ceiling-U'!$A$4:$A$40,'Ceiling-U'!$E$4:$E$40)*Detached!AK$14)+(LOOKUP(Detached!AK$2,'Floor-U'!$A$4:$A$40,'Floor-U'!$E$4:$E$40)*Detached!AK$15)+(LOOKUP(Detached!AK$2,'Wall-U'!$A$4:$A$40,'Wall-U'!$X$4:$X$40)*Detached!AK$12)+(LOOKUP(Detached!AK$2,'Window-U'!$A$4:$A$40,'Window-U'!$E$4:$E$40)*Detached!AK$21))*AK202</f>
        <v>262.99876729543746</v>
      </c>
      <c r="AL203" s="171">
        <f>((LOOKUP(Detached!AL$2,'Ceiling-U'!$A$4:$A$40,'Ceiling-U'!$E$4:$E$40)*Detached!AL$14)+(LOOKUP(Detached!AL$2,'Floor-U'!$A$4:$A$40,'Floor-U'!$E$4:$E$40)*Detached!AL$15)+(LOOKUP(Detached!AL$2,'Wall-U'!$A$4:$A$40,'Wall-U'!$X$4:$X$40)*Detached!AL$12)+(LOOKUP(Detached!AL$2,'Window-U'!$A$4:$A$40,'Window-U'!$E$4:$E$40)*Detached!AL$21))*AL202</f>
        <v>223.63258882746956</v>
      </c>
      <c r="AM203" s="171">
        <f>((LOOKUP(Detached!AM$2,'Ceiling-U'!$A$4:$A$40,'Ceiling-U'!$E$4:$E$40)*Detached!AM$14)+(LOOKUP(Detached!AM$2,'Floor-U'!$A$4:$A$40,'Floor-U'!$E$4:$E$40)*Detached!AM$15)+(LOOKUP(Detached!AM$2,'Wall-U'!$A$4:$A$40,'Wall-U'!$X$4:$X$40)*Detached!AM$12)+(LOOKUP(Detached!AM$2,'Window-U'!$A$4:$A$40,'Window-U'!$E$4:$E$40)*Detached!AM$21))*AM202</f>
        <v>224.23106532884066</v>
      </c>
      <c r="AN203" s="172">
        <f>((LOOKUP(Detached!AN$2,'Ceiling-U'!$A$4:$A$40,'Ceiling-U'!$E$4:$E$40)*Detached!AN$14)+(LOOKUP(Detached!AN$2,'Floor-U'!$A$4:$A$40,'Floor-U'!$E$4:$E$40)*Detached!AN$15)+(LOOKUP(Detached!AN$2,'Wall-U'!$A$4:$A$40,'Wall-U'!$X$4:$X$40)*Detached!AN$12)+(LOOKUP(Detached!AN$2,'Window-U'!$A$4:$A$40,'Window-U'!$E$4:$E$40)*Detached!AN$21))*AN202</f>
        <v>224.23106532884066</v>
      </c>
    </row>
    <row r="204" spans="1:40">
      <c r="A204" s="372"/>
      <c r="B204" s="142" t="s">
        <v>3</v>
      </c>
      <c r="C204" s="131" t="s">
        <v>195</v>
      </c>
      <c r="D204" s="176">
        <f>((LOOKUP(Detached!D$2,'Ceiling-U'!$A$4:$A$40,'Ceiling-U'!$F$4:$F$40)*Detached!D$14)+(LOOKUP(Detached!D$2,'Floor-U'!$A$4:$A$40,'Floor-U'!$F$4:$F$40)*Detached!D$15)+(LOOKUP(Detached!D$2,'Wall-U'!$A$4:$A$40,'Wall-U'!$Y$4:$Y$40)*Detached!D$12)+(LOOKUP(Detached!D$2,'Window-U'!$A$4:$A$40,'Window-U'!$F$4:$F$40)*Detached!D$21))*D202</f>
        <v>306.0461479418766</v>
      </c>
      <c r="E204" s="177">
        <f>((LOOKUP(Detached!E$2,'Ceiling-U'!$A$4:$A$40,'Ceiling-U'!$F$4:$F$40)*Detached!E$14)+(LOOKUP(Detached!E$2,'Floor-U'!$A$4:$A$40,'Floor-U'!$F$4:$F$40)*Detached!E$15)+(LOOKUP(Detached!E$2,'Wall-U'!$A$4:$A$40,'Wall-U'!$Y$4:$Y$40)*Detached!E$12)+(LOOKUP(Detached!E$2,'Window-U'!$A$4:$A$40,'Window-U'!$F$4:$F$40)*Detached!E$21))*E202</f>
        <v>392.69377860619727</v>
      </c>
      <c r="F204" s="177">
        <f>((LOOKUP(Detached!F$2,'Ceiling-U'!$A$4:$A$40,'Ceiling-U'!$F$4:$F$40)*Detached!F$14)+(LOOKUP(Detached!F$2,'Floor-U'!$A$4:$A$40,'Floor-U'!$F$4:$F$40)*Detached!F$15)+(LOOKUP(Detached!F$2,'Wall-U'!$A$4:$A$40,'Wall-U'!$Y$4:$Y$40)*Detached!F$12)+(LOOKUP(Detached!F$2,'Window-U'!$A$4:$A$40,'Window-U'!$F$4:$F$40)*Detached!F$21))*F202</f>
        <v>213.96287694772545</v>
      </c>
      <c r="G204" s="177">
        <f>((LOOKUP(Detached!G$2,'Ceiling-U'!$A$4:$A$40,'Ceiling-U'!$F$4:$F$40)*Detached!G$14)+(LOOKUP(Detached!G$2,'Floor-U'!$A$4:$A$40,'Floor-U'!$F$4:$F$40)*Detached!G$15)+(LOOKUP(Detached!G$2,'Wall-U'!$A$4:$A$40,'Wall-U'!$Y$4:$Y$40)*Detached!G$12)+(LOOKUP(Detached!G$2,'Window-U'!$A$4:$A$40,'Window-U'!$F$4:$F$40)*Detached!G$21))*G202</f>
        <v>306.0461479418766</v>
      </c>
      <c r="H204" s="177">
        <f>((LOOKUP(Detached!H$2,'Ceiling-U'!$A$4:$A$40,'Ceiling-U'!$F$4:$F$40)*Detached!H$14)+(LOOKUP(Detached!H$2,'Floor-U'!$A$4:$A$40,'Floor-U'!$F$4:$F$40)*Detached!H$15)+(LOOKUP(Detached!H$2,'Wall-U'!$A$4:$A$40,'Wall-U'!$Y$4:$Y$40)*Detached!H$12)+(LOOKUP(Detached!H$2,'Window-U'!$A$4:$A$40,'Window-U'!$F$4:$F$40)*Detached!H$21))*H202</f>
        <v>521.81779905241956</v>
      </c>
      <c r="I204" s="177">
        <f>((LOOKUP(Detached!I$2,'Ceiling-U'!$A$4:$A$40,'Ceiling-U'!$F$4:$F$40)*Detached!I$14)+(LOOKUP(Detached!I$2,'Floor-U'!$A$4:$A$40,'Floor-U'!$F$4:$F$40)*Detached!I$15)+(LOOKUP(Detached!I$2,'Wall-U'!$A$4:$A$40,'Wall-U'!$Y$4:$Y$40)*Detached!I$12)+(LOOKUP(Detached!I$2,'Window-U'!$A$4:$A$40,'Window-U'!$F$4:$F$40)*Detached!I$21))*I202</f>
        <v>231.40517459129697</v>
      </c>
      <c r="J204" s="177">
        <f>((LOOKUP(Detached!J$2,'Ceiling-U'!$A$4:$A$40,'Ceiling-U'!$F$4:$F$40)*Detached!J$14)+(LOOKUP(Detached!J$2,'Floor-U'!$A$4:$A$40,'Floor-U'!$F$4:$F$40)*Detached!J$15)+(LOOKUP(Detached!J$2,'Wall-U'!$A$4:$A$40,'Wall-U'!$Y$4:$Y$40)*Detached!J$12)+(LOOKUP(Detached!J$2,'Window-U'!$A$4:$A$40,'Window-U'!$F$4:$F$40)*Detached!J$21))*J202</f>
        <v>349.16320134585544</v>
      </c>
      <c r="K204" s="177">
        <f>((LOOKUP(Detached!K$2,'Ceiling-U'!$A$4:$A$40,'Ceiling-U'!$F$4:$F$40)*Detached!K$14)+(LOOKUP(Detached!K$2,'Floor-U'!$A$4:$A$40,'Floor-U'!$F$4:$F$40)*Detached!K$15)+(LOOKUP(Detached!K$2,'Wall-U'!$A$4:$A$40,'Wall-U'!$Y$4:$Y$40)*Detached!K$12)+(LOOKUP(Detached!K$2,'Window-U'!$A$4:$A$40,'Window-U'!$F$4:$F$40)*Detached!K$21))*K202</f>
        <v>217.76434729522518</v>
      </c>
      <c r="L204" s="177">
        <f>((LOOKUP(Detached!L$2,'Ceiling-U'!$A$4:$A$40,'Ceiling-U'!$F$4:$F$40)*Detached!L$14)+(LOOKUP(Detached!L$2,'Floor-U'!$A$4:$A$40,'Floor-U'!$F$4:$F$40)*Detached!L$15)+(LOOKUP(Detached!L$2,'Wall-U'!$A$4:$A$40,'Wall-U'!$Y$4:$Y$40)*Detached!L$12)+(LOOKUP(Detached!L$2,'Window-U'!$A$4:$A$40,'Window-U'!$F$4:$F$40)*Detached!L$21))*L202</f>
        <v>134.35838046027303</v>
      </c>
      <c r="M204" s="177">
        <f>((LOOKUP(Detached!M$2,'Ceiling-U'!$A$4:$A$40,'Ceiling-U'!$F$4:$F$40)*Detached!M$14)+(LOOKUP(Detached!M$2,'Floor-U'!$A$4:$A$40,'Floor-U'!$F$4:$F$40)*Detached!M$15)+(LOOKUP(Detached!M$2,'Wall-U'!$A$4:$A$40,'Wall-U'!$Y$4:$Y$40)*Detached!M$12)+(LOOKUP(Detached!M$2,'Window-U'!$A$4:$A$40,'Window-U'!$F$4:$F$40)*Detached!M$21))*M202</f>
        <v>506.38917467188844</v>
      </c>
      <c r="N204" s="177">
        <f>((LOOKUP(Detached!N$2,'Ceiling-U'!$A$4:$A$40,'Ceiling-U'!$F$4:$F$40)*Detached!N$14)+(LOOKUP(Detached!N$2,'Floor-U'!$A$4:$A$40,'Floor-U'!$F$4:$F$40)*Detached!N$15)+(LOOKUP(Detached!N$2,'Wall-U'!$A$4:$A$40,'Wall-U'!$Y$4:$Y$40)*Detached!N$12)+(LOOKUP(Detached!N$2,'Window-U'!$A$4:$A$40,'Window-U'!$F$4:$F$40)*Detached!N$21))*N202</f>
        <v>155.43743970671281</v>
      </c>
      <c r="O204" s="177">
        <f>((LOOKUP(Detached!O$2,'Ceiling-U'!$A$4:$A$40,'Ceiling-U'!$F$4:$F$40)*Detached!O$14)+(LOOKUP(Detached!O$2,'Floor-U'!$A$4:$A$40,'Floor-U'!$F$4:$F$40)*Detached!O$15)+(LOOKUP(Detached!O$2,'Wall-U'!$A$4:$A$40,'Wall-U'!$Y$4:$Y$40)*Detached!O$12)+(LOOKUP(Detached!O$2,'Window-U'!$A$4:$A$40,'Window-U'!$F$4:$F$40)*Detached!O$21))*O202</f>
        <v>514.42236753401903</v>
      </c>
      <c r="P204" s="177">
        <f>((LOOKUP(Detached!P$2,'Ceiling-U'!$A$4:$A$40,'Ceiling-U'!$F$4:$F$40)*Detached!P$14)+(LOOKUP(Detached!P$2,'Floor-U'!$A$4:$A$40,'Floor-U'!$F$4:$F$40)*Detached!P$15)+(LOOKUP(Detached!P$2,'Wall-U'!$A$4:$A$40,'Wall-U'!$Y$4:$Y$40)*Detached!P$12)+(LOOKUP(Detached!P$2,'Window-U'!$A$4:$A$40,'Window-U'!$F$4:$F$40)*Detached!P$21))*P202</f>
        <v>517.30597285128465</v>
      </c>
      <c r="Q204" s="177">
        <f>((LOOKUP(Detached!Q$2,'Ceiling-U'!$A$4:$A$40,'Ceiling-U'!$F$4:$F$40)*Detached!Q$14)+(LOOKUP(Detached!Q$2,'Floor-U'!$A$4:$A$40,'Floor-U'!$F$4:$F$40)*Detached!Q$15)+(LOOKUP(Detached!Q$2,'Wall-U'!$A$4:$A$40,'Wall-U'!$Y$4:$Y$40)*Detached!Q$12)+(LOOKUP(Detached!Q$2,'Window-U'!$A$4:$A$40,'Window-U'!$F$4:$F$40)*Detached!Q$21))*Q202</f>
        <v>265.38778394702047</v>
      </c>
      <c r="R204" s="177">
        <f>((LOOKUP(Detached!R$2,'Ceiling-U'!$A$4:$A$40,'Ceiling-U'!$F$4:$F$40)*Detached!R$14)+(LOOKUP(Detached!R$2,'Floor-U'!$A$4:$A$40,'Floor-U'!$F$4:$F$40)*Detached!R$15)+(LOOKUP(Detached!R$2,'Wall-U'!$A$4:$A$40,'Wall-U'!$Y$4:$Y$40)*Detached!R$12)+(LOOKUP(Detached!R$2,'Window-U'!$A$4:$A$40,'Window-U'!$F$4:$F$40)*Detached!R$21))*R202</f>
        <v>258.48307163972885</v>
      </c>
      <c r="S204" s="177">
        <f>((LOOKUP(Detached!S$2,'Ceiling-U'!$A$4:$A$40,'Ceiling-U'!$F$4:$F$40)*Detached!S$14)+(LOOKUP(Detached!S$2,'Floor-U'!$A$4:$A$40,'Floor-U'!$F$4:$F$40)*Detached!S$15)+(LOOKUP(Detached!S$2,'Wall-U'!$A$4:$A$40,'Wall-U'!$Y$4:$Y$40)*Detached!S$12)+(LOOKUP(Detached!S$2,'Window-U'!$A$4:$A$40,'Window-U'!$F$4:$F$40)*Detached!S$21))*S202</f>
        <v>433.49403395988691</v>
      </c>
      <c r="T204" s="177">
        <f>((LOOKUP(Detached!T$2,'Ceiling-U'!$A$4:$A$40,'Ceiling-U'!$F$4:$F$40)*Detached!T$14)+(LOOKUP(Detached!T$2,'Floor-U'!$A$4:$A$40,'Floor-U'!$F$4:$F$40)*Detached!T$15)+(LOOKUP(Detached!T$2,'Wall-U'!$A$4:$A$40,'Wall-U'!$Y$4:$Y$40)*Detached!T$12)+(LOOKUP(Detached!T$2,'Window-U'!$A$4:$A$40,'Window-U'!$F$4:$F$40)*Detached!T$21))*T202</f>
        <v>155.43743970671281</v>
      </c>
      <c r="U204" s="177">
        <f>((LOOKUP(Detached!U$2,'Ceiling-U'!$A$4:$A$40,'Ceiling-U'!$F$4:$F$40)*Detached!U$14)+(LOOKUP(Detached!U$2,'Floor-U'!$A$4:$A$40,'Floor-U'!$F$4:$F$40)*Detached!U$15)+(LOOKUP(Detached!U$2,'Wall-U'!$A$4:$A$40,'Wall-U'!$Y$4:$Y$40)*Detached!U$12)+(LOOKUP(Detached!U$2,'Window-U'!$A$4:$A$40,'Window-U'!$F$4:$F$40)*Detached!U$21))*U202</f>
        <v>491.95714517084821</v>
      </c>
      <c r="V204" s="177">
        <f>((LOOKUP(Detached!V$2,'Ceiling-U'!$A$4:$A$40,'Ceiling-U'!$F$4:$F$40)*Detached!V$14)+(LOOKUP(Detached!V$2,'Floor-U'!$A$4:$A$40,'Floor-U'!$F$4:$F$40)*Detached!V$15)+(LOOKUP(Detached!V$2,'Wall-U'!$A$4:$A$40,'Wall-U'!$Y$4:$Y$40)*Detached!V$12)+(LOOKUP(Detached!V$2,'Window-U'!$A$4:$A$40,'Window-U'!$F$4:$F$40)*Detached!V$21))*V202</f>
        <v>224.11221764822915</v>
      </c>
      <c r="W204" s="177">
        <f>((LOOKUP(Detached!W$2,'Ceiling-U'!$A$4:$A$40,'Ceiling-U'!$F$4:$F$40)*Detached!W$14)+(LOOKUP(Detached!W$2,'Floor-U'!$A$4:$A$40,'Floor-U'!$F$4:$F$40)*Detached!W$15)+(LOOKUP(Detached!W$2,'Wall-U'!$A$4:$A$40,'Wall-U'!$Y$4:$Y$40)*Detached!W$12)+(LOOKUP(Detached!W$2,'Window-U'!$A$4:$A$40,'Window-U'!$F$4:$F$40)*Detached!W$21))*W202</f>
        <v>293.01869985369075</v>
      </c>
      <c r="X204" s="177">
        <f>((LOOKUP(Detached!X$2,'Ceiling-U'!$A$4:$A$40,'Ceiling-U'!$F$4:$F$40)*Detached!X$14)+(LOOKUP(Detached!X$2,'Floor-U'!$A$4:$A$40,'Floor-U'!$F$4:$F$40)*Detached!X$15)+(LOOKUP(Detached!X$2,'Wall-U'!$A$4:$A$40,'Wall-U'!$Y$4:$Y$40)*Detached!X$12)+(LOOKUP(Detached!X$2,'Window-U'!$A$4:$A$40,'Window-U'!$F$4:$F$40)*Detached!X$21))*X202</f>
        <v>251.84377160513031</v>
      </c>
      <c r="Y204" s="177">
        <f>((LOOKUP(Detached!Y$2,'Ceiling-U'!$A$4:$A$40,'Ceiling-U'!$F$4:$F$40)*Detached!Y$14)+(LOOKUP(Detached!Y$2,'Floor-U'!$A$4:$A$40,'Floor-U'!$F$4:$F$40)*Detached!Y$15)+(LOOKUP(Detached!Y$2,'Wall-U'!$A$4:$A$40,'Wall-U'!$Y$4:$Y$40)*Detached!Y$12)+(LOOKUP(Detached!Y$2,'Window-U'!$A$4:$A$40,'Window-U'!$F$4:$F$40)*Detached!Y$21))*Y202</f>
        <v>553.89086886792995</v>
      </c>
      <c r="Z204" s="177">
        <f>((LOOKUP(Detached!Z$2,'Ceiling-U'!$A$4:$A$40,'Ceiling-U'!$F$4:$F$40)*Detached!Z$14)+(LOOKUP(Detached!Z$2,'Floor-U'!$A$4:$A$40,'Floor-U'!$F$4:$F$40)*Detached!Z$15)+(LOOKUP(Detached!Z$2,'Wall-U'!$A$4:$A$40,'Wall-U'!$Y$4:$Y$40)*Detached!Z$12)+(LOOKUP(Detached!Z$2,'Window-U'!$A$4:$A$40,'Window-U'!$F$4:$F$40)*Detached!Z$21))*Z202</f>
        <v>342.26350884515136</v>
      </c>
      <c r="AA204" s="177">
        <f>((LOOKUP(Detached!AA$2,'Ceiling-U'!$A$4:$A$40,'Ceiling-U'!$F$4:$F$40)*Detached!AA$14)+(LOOKUP(Detached!AA$2,'Floor-U'!$A$4:$A$40,'Floor-U'!$F$4:$F$40)*Detached!AA$15)+(LOOKUP(Detached!AA$2,'Wall-U'!$A$4:$A$40,'Wall-U'!$Y$4:$Y$40)*Detached!AA$12)+(LOOKUP(Detached!AA$2,'Window-U'!$A$4:$A$40,'Window-U'!$F$4:$F$40)*Detached!AA$21))*AA202</f>
        <v>169.51135626733418</v>
      </c>
      <c r="AB204" s="177">
        <f>((LOOKUP(Detached!AB$2,'Ceiling-U'!$A$4:$A$40,'Ceiling-U'!$F$4:$F$40)*Detached!AB$14)+(LOOKUP(Detached!AB$2,'Floor-U'!$A$4:$A$40,'Floor-U'!$F$4:$F$40)*Detached!AB$15)+(LOOKUP(Detached!AB$2,'Wall-U'!$A$4:$A$40,'Wall-U'!$Y$4:$Y$40)*Detached!AB$12)+(LOOKUP(Detached!AB$2,'Window-U'!$A$4:$A$40,'Window-U'!$F$4:$F$40)*Detached!AB$21))*AB202</f>
        <v>255.07515114607264</v>
      </c>
      <c r="AC204" s="177">
        <f>((LOOKUP(Detached!AC$2,'Ceiling-U'!$A$4:$A$40,'Ceiling-U'!$F$4:$F$40)*Detached!AC$14)+(LOOKUP(Detached!AC$2,'Floor-U'!$A$4:$A$40,'Floor-U'!$F$4:$F$40)*Detached!AC$15)+(LOOKUP(Detached!AC$2,'Wall-U'!$A$4:$A$40,'Wall-U'!$Y$4:$Y$40)*Detached!AC$12)+(LOOKUP(Detached!AC$2,'Window-U'!$A$4:$A$40,'Window-U'!$F$4:$F$40)*Detached!AC$21))*AC202</f>
        <v>561.87565588013103</v>
      </c>
      <c r="AD204" s="177">
        <f>((LOOKUP(Detached!AD$2,'Ceiling-U'!$A$4:$A$40,'Ceiling-U'!$F$4:$F$40)*Detached!AD$14)+(LOOKUP(Detached!AD$2,'Floor-U'!$A$4:$A$40,'Floor-U'!$F$4:$F$40)*Detached!AD$15)+(LOOKUP(Detached!AD$2,'Wall-U'!$A$4:$A$40,'Wall-U'!$Y$4:$Y$40)*Detached!AD$12)+(LOOKUP(Detached!AD$2,'Window-U'!$A$4:$A$40,'Window-U'!$F$4:$F$40)*Detached!AD$21))*AD202</f>
        <v>246.36288129978263</v>
      </c>
      <c r="AE204" s="177">
        <f>((LOOKUP(Detached!AE$2,'Ceiling-U'!$A$4:$A$40,'Ceiling-U'!$F$4:$F$40)*Detached!AE$14)+(LOOKUP(Detached!AE$2,'Floor-U'!$A$4:$A$40,'Floor-U'!$F$4:$F$40)*Detached!AE$15)+(LOOKUP(Detached!AE$2,'Wall-U'!$A$4:$A$40,'Wall-U'!$Y$4:$Y$40)*Detached!AE$12)+(LOOKUP(Detached!AE$2,'Window-U'!$A$4:$A$40,'Window-U'!$F$4:$F$40)*Detached!AE$21))*AE202</f>
        <v>169.51135626733418</v>
      </c>
      <c r="AF204" s="177">
        <f>((LOOKUP(Detached!AF$2,'Ceiling-U'!$A$4:$A$40,'Ceiling-U'!$F$4:$F$40)*Detached!AF$14)+(LOOKUP(Detached!AF$2,'Floor-U'!$A$4:$A$40,'Floor-U'!$F$4:$F$40)*Detached!AF$15)+(LOOKUP(Detached!AF$2,'Wall-U'!$A$4:$A$40,'Wall-U'!$Y$4:$Y$40)*Detached!AF$12)+(LOOKUP(Detached!AF$2,'Window-U'!$A$4:$A$40,'Window-U'!$F$4:$F$40)*Detached!AF$21))*AF202</f>
        <v>264.50252888243142</v>
      </c>
      <c r="AG204" s="177">
        <f>((LOOKUP(Detached!AG$2,'Ceiling-U'!$A$4:$A$40,'Ceiling-U'!$F$4:$F$40)*Detached!AG$14)+(LOOKUP(Detached!AG$2,'Floor-U'!$A$4:$A$40,'Floor-U'!$F$4:$F$40)*Detached!AG$15)+(LOOKUP(Detached!AG$2,'Wall-U'!$A$4:$A$40,'Wall-U'!$Y$4:$Y$40)*Detached!AG$12)+(LOOKUP(Detached!AG$2,'Window-U'!$A$4:$A$40,'Window-U'!$F$4:$F$40)*Detached!AG$21))*AG202</f>
        <v>359.74299521091746</v>
      </c>
      <c r="AH204" s="177">
        <f>((LOOKUP(Detached!AH$2,'Ceiling-U'!$A$4:$A$40,'Ceiling-U'!$F$4:$F$40)*Detached!AH$14)+(LOOKUP(Detached!AH$2,'Floor-U'!$A$4:$A$40,'Floor-U'!$F$4:$F$40)*Detached!AH$15)+(LOOKUP(Detached!AH$2,'Wall-U'!$A$4:$A$40,'Wall-U'!$Y$4:$Y$40)*Detached!AH$12)+(LOOKUP(Detached!AH$2,'Window-U'!$A$4:$A$40,'Window-U'!$F$4:$F$40)*Detached!AH$21))*AH202</f>
        <v>337.96551586522276</v>
      </c>
      <c r="AI204" s="177">
        <f>((LOOKUP(Detached!AI$2,'Ceiling-U'!$A$4:$A$40,'Ceiling-U'!$F$4:$F$40)*Detached!AI$14)+(LOOKUP(Detached!AI$2,'Floor-U'!$A$4:$A$40,'Floor-U'!$F$4:$F$40)*Detached!AI$15)+(LOOKUP(Detached!AI$2,'Wall-U'!$A$4:$A$40,'Wall-U'!$Y$4:$Y$40)*Detached!AI$12)+(LOOKUP(Detached!AI$2,'Window-U'!$A$4:$A$40,'Window-U'!$F$4:$F$40)*Detached!AI$21))*AI202</f>
        <v>517.30597285128465</v>
      </c>
      <c r="AJ204" s="177">
        <f>((LOOKUP(Detached!AJ$2,'Ceiling-U'!$A$4:$A$40,'Ceiling-U'!$F$4:$F$40)*Detached!AJ$14)+(LOOKUP(Detached!AJ$2,'Floor-U'!$A$4:$A$40,'Floor-U'!$F$4:$F$40)*Detached!AJ$15)+(LOOKUP(Detached!AJ$2,'Wall-U'!$A$4:$A$40,'Wall-U'!$Y$4:$Y$40)*Detached!AJ$12)+(LOOKUP(Detached!AJ$2,'Window-U'!$A$4:$A$40,'Window-U'!$F$4:$F$40)*Detached!AJ$21))*AJ202</f>
        <v>224.23106532884066</v>
      </c>
      <c r="AK204" s="177">
        <f>((LOOKUP(Detached!AK$2,'Ceiling-U'!$A$4:$A$40,'Ceiling-U'!$F$4:$F$40)*Detached!AK$14)+(LOOKUP(Detached!AK$2,'Floor-U'!$A$4:$A$40,'Floor-U'!$F$4:$F$40)*Detached!AK$15)+(LOOKUP(Detached!AK$2,'Wall-U'!$A$4:$A$40,'Wall-U'!$Y$4:$Y$40)*Detached!AK$12)+(LOOKUP(Detached!AK$2,'Window-U'!$A$4:$A$40,'Window-U'!$F$4:$F$40)*Detached!AK$21))*AK202</f>
        <v>262.99876729543746</v>
      </c>
      <c r="AL204" s="177">
        <f>((LOOKUP(Detached!AL$2,'Ceiling-U'!$A$4:$A$40,'Ceiling-U'!$F$4:$F$40)*Detached!AL$14)+(LOOKUP(Detached!AL$2,'Floor-U'!$A$4:$A$40,'Floor-U'!$F$4:$F$40)*Detached!AL$15)+(LOOKUP(Detached!AL$2,'Wall-U'!$A$4:$A$40,'Wall-U'!$Y$4:$Y$40)*Detached!AL$12)+(LOOKUP(Detached!AL$2,'Window-U'!$A$4:$A$40,'Window-U'!$F$4:$F$40)*Detached!AL$21))*AL202</f>
        <v>223.63258882746956</v>
      </c>
      <c r="AM204" s="177">
        <f>((LOOKUP(Detached!AM$2,'Ceiling-U'!$A$4:$A$40,'Ceiling-U'!$F$4:$F$40)*Detached!AM$14)+(LOOKUP(Detached!AM$2,'Floor-U'!$A$4:$A$40,'Floor-U'!$F$4:$F$40)*Detached!AM$15)+(LOOKUP(Detached!AM$2,'Wall-U'!$A$4:$A$40,'Wall-U'!$Y$4:$Y$40)*Detached!AM$12)+(LOOKUP(Detached!AM$2,'Window-U'!$A$4:$A$40,'Window-U'!$F$4:$F$40)*Detached!AM$21))*AM202</f>
        <v>224.23106532884066</v>
      </c>
      <c r="AN204" s="178">
        <f>((LOOKUP(Detached!AN$2,'Ceiling-U'!$A$4:$A$40,'Ceiling-U'!$F$4:$F$40)*Detached!AN$14)+(LOOKUP(Detached!AN$2,'Floor-U'!$A$4:$A$40,'Floor-U'!$F$4:$F$40)*Detached!AN$15)+(LOOKUP(Detached!AN$2,'Wall-U'!$A$4:$A$40,'Wall-U'!$Y$4:$Y$40)*Detached!AN$12)+(LOOKUP(Detached!AN$2,'Window-U'!$A$4:$A$40,'Window-U'!$F$4:$F$40)*Detached!AN$21))*AN202</f>
        <v>224.23106532884066</v>
      </c>
    </row>
    <row r="205" spans="1:40">
      <c r="A205" s="372"/>
      <c r="B205" s="142" t="s">
        <v>4</v>
      </c>
      <c r="C205" s="131" t="s">
        <v>195</v>
      </c>
      <c r="D205" s="176">
        <f>((LOOKUP(Detached!D$2,'Ceiling-U'!$A$4:$A$40,'Ceiling-U'!$G$4:$G$40)*Detached!D$14)+(LOOKUP(Detached!D$2,'Floor-U'!$A$4:$A$40,'Floor-U'!$G$4:$G$40)*Detached!D$15)+(LOOKUP(Detached!D$2,'Wall-U'!$A$4:$A$40,'Wall-U'!$Z$4:$Z$40)*Detached!D$12)+(LOOKUP(Detached!D$2,'Window-U'!$A$4:$A$40,'Window-U'!$G$4:$G$40)*Detached!D$21))*D202</f>
        <v>241.6638316646461</v>
      </c>
      <c r="E205" s="177">
        <f>((LOOKUP(Detached!E$2,'Ceiling-U'!$A$4:$A$40,'Ceiling-U'!$G$4:$G$40)*Detached!E$14)+(LOOKUP(Detached!E$2,'Floor-U'!$A$4:$A$40,'Floor-U'!$G$4:$G$40)*Detached!E$15)+(LOOKUP(Detached!E$2,'Wall-U'!$A$4:$A$40,'Wall-U'!$Z$4:$Z$40)*Detached!E$12)+(LOOKUP(Detached!E$2,'Window-U'!$A$4:$A$40,'Window-U'!$G$4:$G$40)*Detached!E$21))*E202</f>
        <v>392.69377860619727</v>
      </c>
      <c r="F205" s="177">
        <f>((LOOKUP(Detached!F$2,'Ceiling-U'!$A$4:$A$40,'Ceiling-U'!$G$4:$G$40)*Detached!F$14)+(LOOKUP(Detached!F$2,'Floor-U'!$A$4:$A$40,'Floor-U'!$G$4:$G$40)*Detached!F$15)+(LOOKUP(Detached!F$2,'Wall-U'!$A$4:$A$40,'Wall-U'!$Z$4:$Z$40)*Detached!F$12)+(LOOKUP(Detached!F$2,'Window-U'!$A$4:$A$40,'Window-U'!$G$4:$G$40)*Detached!F$21))*F202</f>
        <v>205.41856654950641</v>
      </c>
      <c r="G205" s="177">
        <f>((LOOKUP(Detached!G$2,'Ceiling-U'!$A$4:$A$40,'Ceiling-U'!$G$4:$G$40)*Detached!G$14)+(LOOKUP(Detached!G$2,'Floor-U'!$A$4:$A$40,'Floor-U'!$G$4:$G$40)*Detached!G$15)+(LOOKUP(Detached!G$2,'Wall-U'!$A$4:$A$40,'Wall-U'!$Z$4:$Z$40)*Detached!G$12)+(LOOKUP(Detached!G$2,'Window-U'!$A$4:$A$40,'Window-U'!$G$4:$G$40)*Detached!G$21))*G202</f>
        <v>241.6638316646461</v>
      </c>
      <c r="H205" s="177">
        <f>((LOOKUP(Detached!H$2,'Ceiling-U'!$A$4:$A$40,'Ceiling-U'!$G$4:$G$40)*Detached!H$14)+(LOOKUP(Detached!H$2,'Floor-U'!$A$4:$A$40,'Floor-U'!$G$4:$G$40)*Detached!H$15)+(LOOKUP(Detached!H$2,'Wall-U'!$A$4:$A$40,'Wall-U'!$Z$4:$Z$40)*Detached!H$12)+(LOOKUP(Detached!H$2,'Window-U'!$A$4:$A$40,'Window-U'!$G$4:$G$40)*Detached!H$21))*H202</f>
        <v>612.57664313096052</v>
      </c>
      <c r="I205" s="177">
        <f>((LOOKUP(Detached!I$2,'Ceiling-U'!$A$4:$A$40,'Ceiling-U'!$G$4:$G$40)*Detached!I$14)+(LOOKUP(Detached!I$2,'Floor-U'!$A$4:$A$40,'Floor-U'!$G$4:$G$40)*Detached!I$15)+(LOOKUP(Detached!I$2,'Wall-U'!$A$4:$A$40,'Wall-U'!$Z$4:$Z$40)*Detached!I$12)+(LOOKUP(Detached!I$2,'Window-U'!$A$4:$A$40,'Window-U'!$G$4:$G$40)*Detached!I$21))*I202</f>
        <v>231.40517459129697</v>
      </c>
      <c r="J205" s="177">
        <f>((LOOKUP(Detached!J$2,'Ceiling-U'!$A$4:$A$40,'Ceiling-U'!$G$4:$G$40)*Detached!J$14)+(LOOKUP(Detached!J$2,'Floor-U'!$A$4:$A$40,'Floor-U'!$G$4:$G$40)*Detached!J$15)+(LOOKUP(Detached!J$2,'Wall-U'!$A$4:$A$40,'Wall-U'!$Z$4:$Z$40)*Detached!J$12)+(LOOKUP(Detached!J$2,'Window-U'!$A$4:$A$40,'Window-U'!$G$4:$G$40)*Detached!J$21))*J202</f>
        <v>237.17450398435329</v>
      </c>
      <c r="K205" s="177">
        <f>((LOOKUP(Detached!K$2,'Ceiling-U'!$A$4:$A$40,'Ceiling-U'!$G$4:$G$40)*Detached!K$14)+(LOOKUP(Detached!K$2,'Floor-U'!$A$4:$A$40,'Floor-U'!$G$4:$G$40)*Detached!K$15)+(LOOKUP(Detached!K$2,'Wall-U'!$A$4:$A$40,'Wall-U'!$Z$4:$Z$40)*Detached!K$12)+(LOOKUP(Detached!K$2,'Window-U'!$A$4:$A$40,'Window-U'!$G$4:$G$40)*Detached!K$21))*K202</f>
        <v>165.82052980363574</v>
      </c>
      <c r="L205" s="177">
        <f>((LOOKUP(Detached!L$2,'Ceiling-U'!$A$4:$A$40,'Ceiling-U'!$G$4:$G$40)*Detached!L$14)+(LOOKUP(Detached!L$2,'Floor-U'!$A$4:$A$40,'Floor-U'!$G$4:$G$40)*Detached!L$15)+(LOOKUP(Detached!L$2,'Wall-U'!$A$4:$A$40,'Wall-U'!$Z$4:$Z$40)*Detached!L$12)+(LOOKUP(Detached!L$2,'Window-U'!$A$4:$A$40,'Window-U'!$G$4:$G$40)*Detached!L$21))*L202</f>
        <v>117.18978476032277</v>
      </c>
      <c r="M205" s="177">
        <f>((LOOKUP(Detached!M$2,'Ceiling-U'!$A$4:$A$40,'Ceiling-U'!$G$4:$G$40)*Detached!M$14)+(LOOKUP(Detached!M$2,'Floor-U'!$A$4:$A$40,'Floor-U'!$G$4:$G$40)*Detached!M$15)+(LOOKUP(Detached!M$2,'Wall-U'!$A$4:$A$40,'Wall-U'!$Z$4:$Z$40)*Detached!M$12)+(LOOKUP(Detached!M$2,'Window-U'!$A$4:$A$40,'Window-U'!$G$4:$G$40)*Detached!M$21))*M202</f>
        <v>506.38917467188844</v>
      </c>
      <c r="N205" s="177">
        <f>((LOOKUP(Detached!N$2,'Ceiling-U'!$A$4:$A$40,'Ceiling-U'!$G$4:$G$40)*Detached!N$14)+(LOOKUP(Detached!N$2,'Floor-U'!$A$4:$A$40,'Floor-U'!$G$4:$G$40)*Detached!N$15)+(LOOKUP(Detached!N$2,'Wall-U'!$A$4:$A$40,'Wall-U'!$Z$4:$Z$40)*Detached!N$12)+(LOOKUP(Detached!N$2,'Window-U'!$A$4:$A$40,'Window-U'!$G$4:$G$40)*Detached!N$21))*N202</f>
        <v>135.08178085175231</v>
      </c>
      <c r="O205" s="177">
        <f>((LOOKUP(Detached!O$2,'Ceiling-U'!$A$4:$A$40,'Ceiling-U'!$G$4:$G$40)*Detached!O$14)+(LOOKUP(Detached!O$2,'Floor-U'!$A$4:$A$40,'Floor-U'!$G$4:$G$40)*Detached!O$15)+(LOOKUP(Detached!O$2,'Wall-U'!$A$4:$A$40,'Wall-U'!$Z$4:$Z$40)*Detached!O$12)+(LOOKUP(Detached!O$2,'Window-U'!$A$4:$A$40,'Window-U'!$G$4:$G$40)*Detached!O$21))*O202</f>
        <v>259.92150935832103</v>
      </c>
      <c r="P205" s="177">
        <f>((LOOKUP(Detached!P$2,'Ceiling-U'!$A$4:$A$40,'Ceiling-U'!$G$4:$G$40)*Detached!P$14)+(LOOKUP(Detached!P$2,'Floor-U'!$A$4:$A$40,'Floor-U'!$G$4:$G$40)*Detached!P$15)+(LOOKUP(Detached!P$2,'Wall-U'!$A$4:$A$40,'Wall-U'!$Z$4:$Z$40)*Detached!P$12)+(LOOKUP(Detached!P$2,'Window-U'!$A$4:$A$40,'Window-U'!$G$4:$G$40)*Detached!P$21))*P202</f>
        <v>517.30597285128465</v>
      </c>
      <c r="Q205" s="177">
        <f>((LOOKUP(Detached!Q$2,'Ceiling-U'!$A$4:$A$40,'Ceiling-U'!$G$4:$G$40)*Detached!Q$14)+(LOOKUP(Detached!Q$2,'Floor-U'!$A$4:$A$40,'Floor-U'!$G$4:$G$40)*Detached!Q$15)+(LOOKUP(Detached!Q$2,'Wall-U'!$A$4:$A$40,'Wall-U'!$Z$4:$Z$40)*Detached!Q$12)+(LOOKUP(Detached!Q$2,'Window-U'!$A$4:$A$40,'Window-U'!$G$4:$G$40)*Detached!Q$21))*Q202</f>
        <v>223.11668785535343</v>
      </c>
      <c r="R205" s="177">
        <f>((LOOKUP(Detached!R$2,'Ceiling-U'!$A$4:$A$40,'Ceiling-U'!$G$4:$G$40)*Detached!R$14)+(LOOKUP(Detached!R$2,'Floor-U'!$A$4:$A$40,'Floor-U'!$G$4:$G$40)*Detached!R$15)+(LOOKUP(Detached!R$2,'Wall-U'!$A$4:$A$40,'Wall-U'!$Z$4:$Z$40)*Detached!R$12)+(LOOKUP(Detached!R$2,'Window-U'!$A$4:$A$40,'Window-U'!$G$4:$G$40)*Detached!R$21))*R202</f>
        <v>237.98261860838051</v>
      </c>
      <c r="S205" s="177">
        <f>((LOOKUP(Detached!S$2,'Ceiling-U'!$A$4:$A$40,'Ceiling-U'!$G$4:$G$40)*Detached!S$14)+(LOOKUP(Detached!S$2,'Floor-U'!$A$4:$A$40,'Floor-U'!$G$4:$G$40)*Detached!S$15)+(LOOKUP(Detached!S$2,'Wall-U'!$A$4:$A$40,'Wall-U'!$Z$4:$Z$40)*Detached!S$12)+(LOOKUP(Detached!S$2,'Window-U'!$A$4:$A$40,'Window-U'!$G$4:$G$40)*Detached!S$21))*S202</f>
        <v>332.92501203951463</v>
      </c>
      <c r="T205" s="177">
        <f>((LOOKUP(Detached!T$2,'Ceiling-U'!$A$4:$A$40,'Ceiling-U'!$G$4:$G$40)*Detached!T$14)+(LOOKUP(Detached!T$2,'Floor-U'!$A$4:$A$40,'Floor-U'!$G$4:$G$40)*Detached!T$15)+(LOOKUP(Detached!T$2,'Wall-U'!$A$4:$A$40,'Wall-U'!$Z$4:$Z$40)*Detached!T$12)+(LOOKUP(Detached!T$2,'Window-U'!$A$4:$A$40,'Window-U'!$G$4:$G$40)*Detached!T$21))*T202</f>
        <v>135.08178085175231</v>
      </c>
      <c r="U205" s="177">
        <f>((LOOKUP(Detached!U$2,'Ceiling-U'!$A$4:$A$40,'Ceiling-U'!$G$4:$G$40)*Detached!U$14)+(LOOKUP(Detached!U$2,'Floor-U'!$A$4:$A$40,'Floor-U'!$G$4:$G$40)*Detached!U$15)+(LOOKUP(Detached!U$2,'Wall-U'!$A$4:$A$40,'Wall-U'!$Z$4:$Z$40)*Detached!U$12)+(LOOKUP(Detached!U$2,'Window-U'!$A$4:$A$40,'Window-U'!$G$4:$G$40)*Detached!U$21))*U202</f>
        <v>442.7604264208482</v>
      </c>
      <c r="V205" s="177">
        <f>((LOOKUP(Detached!V$2,'Ceiling-U'!$A$4:$A$40,'Ceiling-U'!$G$4:$G$40)*Detached!V$14)+(LOOKUP(Detached!V$2,'Floor-U'!$A$4:$A$40,'Floor-U'!$G$4:$G$40)*Detached!V$15)+(LOOKUP(Detached!V$2,'Wall-U'!$A$4:$A$40,'Wall-U'!$Z$4:$Z$40)*Detached!V$12)+(LOOKUP(Detached!V$2,'Window-U'!$A$4:$A$40,'Window-U'!$G$4:$G$40)*Detached!V$21))*V202</f>
        <v>156.5142481426239</v>
      </c>
      <c r="W205" s="177">
        <f>((LOOKUP(Detached!W$2,'Ceiling-U'!$A$4:$A$40,'Ceiling-U'!$G$4:$G$40)*Detached!W$14)+(LOOKUP(Detached!W$2,'Floor-U'!$A$4:$A$40,'Floor-U'!$G$4:$G$40)*Detached!W$15)+(LOOKUP(Detached!W$2,'Wall-U'!$A$4:$A$40,'Wall-U'!$Z$4:$Z$40)*Detached!W$12)+(LOOKUP(Detached!W$2,'Window-U'!$A$4:$A$40,'Window-U'!$G$4:$G$40)*Detached!W$21))*W202</f>
        <v>193.91285817340258</v>
      </c>
      <c r="X205" s="177">
        <f>((LOOKUP(Detached!X$2,'Ceiling-U'!$A$4:$A$40,'Ceiling-U'!$G$4:$G$40)*Detached!X$14)+(LOOKUP(Detached!X$2,'Floor-U'!$A$4:$A$40,'Floor-U'!$G$4:$G$40)*Detached!X$15)+(LOOKUP(Detached!X$2,'Wall-U'!$A$4:$A$40,'Wall-U'!$Z$4:$Z$40)*Detached!X$12)+(LOOKUP(Detached!X$2,'Window-U'!$A$4:$A$40,'Window-U'!$G$4:$G$40)*Detached!X$21))*X202</f>
        <v>237.87319401728016</v>
      </c>
      <c r="Y205" s="177">
        <f>((LOOKUP(Detached!Y$2,'Ceiling-U'!$A$4:$A$40,'Ceiling-U'!$G$4:$G$40)*Detached!Y$14)+(LOOKUP(Detached!Y$2,'Floor-U'!$A$4:$A$40,'Floor-U'!$G$4:$G$40)*Detached!Y$15)+(LOOKUP(Detached!Y$2,'Wall-U'!$A$4:$A$40,'Wall-U'!$Z$4:$Z$40)*Detached!Y$12)+(LOOKUP(Detached!Y$2,'Window-U'!$A$4:$A$40,'Window-U'!$G$4:$G$40)*Detached!Y$21))*Y202</f>
        <v>550.07160545869408</v>
      </c>
      <c r="Z205" s="177">
        <f>((LOOKUP(Detached!Z$2,'Ceiling-U'!$A$4:$A$40,'Ceiling-U'!$G$4:$G$40)*Detached!Z$14)+(LOOKUP(Detached!Z$2,'Floor-U'!$A$4:$A$40,'Floor-U'!$G$4:$G$40)*Detached!Z$15)+(LOOKUP(Detached!Z$2,'Wall-U'!$A$4:$A$40,'Wall-U'!$Z$4:$Z$40)*Detached!Z$12)+(LOOKUP(Detached!Z$2,'Window-U'!$A$4:$A$40,'Window-U'!$G$4:$G$40)*Detached!Z$21))*Z202</f>
        <v>323.16609244979509</v>
      </c>
      <c r="AA205" s="177">
        <f>((LOOKUP(Detached!AA$2,'Ceiling-U'!$A$4:$A$40,'Ceiling-U'!$G$4:$G$40)*Detached!AA$14)+(LOOKUP(Detached!AA$2,'Floor-U'!$A$4:$A$40,'Floor-U'!$G$4:$G$40)*Detached!AA$15)+(LOOKUP(Detached!AA$2,'Wall-U'!$A$4:$A$40,'Wall-U'!$Z$4:$Z$40)*Detached!AA$12)+(LOOKUP(Detached!AA$2,'Window-U'!$A$4:$A$40,'Window-U'!$G$4:$G$40)*Detached!AA$21))*AA202</f>
        <v>132.35984536478693</v>
      </c>
      <c r="AB205" s="177">
        <f>((LOOKUP(Detached!AB$2,'Ceiling-U'!$A$4:$A$40,'Ceiling-U'!$G$4:$G$40)*Detached!AB$14)+(LOOKUP(Detached!AB$2,'Floor-U'!$A$4:$A$40,'Floor-U'!$G$4:$G$40)*Detached!AB$15)+(LOOKUP(Detached!AB$2,'Wall-U'!$A$4:$A$40,'Wall-U'!$Z$4:$Z$40)*Detached!AB$12)+(LOOKUP(Detached!AB$2,'Window-U'!$A$4:$A$40,'Window-U'!$G$4:$G$40)*Detached!AB$21))*AB202</f>
        <v>201.28622504992427</v>
      </c>
      <c r="AC205" s="177">
        <f>((LOOKUP(Detached!AC$2,'Ceiling-U'!$A$4:$A$40,'Ceiling-U'!$G$4:$G$40)*Detached!AC$14)+(LOOKUP(Detached!AC$2,'Floor-U'!$A$4:$A$40,'Floor-U'!$G$4:$G$40)*Detached!AC$15)+(LOOKUP(Detached!AC$2,'Wall-U'!$A$4:$A$40,'Wall-U'!$Z$4:$Z$40)*Detached!AC$12)+(LOOKUP(Detached!AC$2,'Window-U'!$A$4:$A$40,'Window-U'!$G$4:$G$40)*Detached!AC$21))*AC202</f>
        <v>546.64357861763108</v>
      </c>
      <c r="AD205" s="177">
        <f>((LOOKUP(Detached!AD$2,'Ceiling-U'!$A$4:$A$40,'Ceiling-U'!$G$4:$G$40)*Detached!AD$14)+(LOOKUP(Detached!AD$2,'Floor-U'!$A$4:$A$40,'Floor-U'!$G$4:$G$40)*Detached!AD$15)+(LOOKUP(Detached!AD$2,'Wall-U'!$A$4:$A$40,'Wall-U'!$Z$4:$Z$40)*Detached!AD$12)+(LOOKUP(Detached!AD$2,'Window-U'!$A$4:$A$40,'Window-U'!$G$4:$G$40)*Detached!AD$21))*AD202</f>
        <v>246.36288129978263</v>
      </c>
      <c r="AE205" s="177">
        <f>((LOOKUP(Detached!AE$2,'Ceiling-U'!$A$4:$A$40,'Ceiling-U'!$G$4:$G$40)*Detached!AE$14)+(LOOKUP(Detached!AE$2,'Floor-U'!$A$4:$A$40,'Floor-U'!$G$4:$G$40)*Detached!AE$15)+(LOOKUP(Detached!AE$2,'Wall-U'!$A$4:$A$40,'Wall-U'!$Z$4:$Z$40)*Detached!AE$12)+(LOOKUP(Detached!AE$2,'Window-U'!$A$4:$A$40,'Window-U'!$G$4:$G$40)*Detached!AE$21))*AE202</f>
        <v>132.35984536478693</v>
      </c>
      <c r="AF205" s="177">
        <f>((LOOKUP(Detached!AF$2,'Ceiling-U'!$A$4:$A$40,'Ceiling-U'!$G$4:$G$40)*Detached!AF$14)+(LOOKUP(Detached!AF$2,'Floor-U'!$A$4:$A$40,'Floor-U'!$G$4:$G$40)*Detached!AF$15)+(LOOKUP(Detached!AF$2,'Wall-U'!$A$4:$A$40,'Wall-U'!$Z$4:$Z$40)*Detached!AF$12)+(LOOKUP(Detached!AF$2,'Window-U'!$A$4:$A$40,'Window-U'!$G$4:$G$40)*Detached!AF$21))*AF202</f>
        <v>224.1657198824314</v>
      </c>
      <c r="AG205" s="177">
        <f>((LOOKUP(Detached!AG$2,'Ceiling-U'!$A$4:$A$40,'Ceiling-U'!$G$4:$G$40)*Detached!AG$14)+(LOOKUP(Detached!AG$2,'Floor-U'!$A$4:$A$40,'Floor-U'!$G$4:$G$40)*Detached!AG$15)+(LOOKUP(Detached!AG$2,'Wall-U'!$A$4:$A$40,'Wall-U'!$Z$4:$Z$40)*Detached!AG$12)+(LOOKUP(Detached!AG$2,'Window-U'!$A$4:$A$40,'Window-U'!$G$4:$G$40)*Detached!AG$21))*AG202</f>
        <v>359.74299521091746</v>
      </c>
      <c r="AH205" s="177">
        <f>((LOOKUP(Detached!AH$2,'Ceiling-U'!$A$4:$A$40,'Ceiling-U'!$G$4:$G$40)*Detached!AH$14)+(LOOKUP(Detached!AH$2,'Floor-U'!$A$4:$A$40,'Floor-U'!$G$4:$G$40)*Detached!AH$15)+(LOOKUP(Detached!AH$2,'Wall-U'!$A$4:$A$40,'Wall-U'!$Z$4:$Z$40)*Detached!AH$12)+(LOOKUP(Detached!AH$2,'Window-U'!$A$4:$A$40,'Window-U'!$G$4:$G$40)*Detached!AH$21))*AH202</f>
        <v>256.75132187602628</v>
      </c>
      <c r="AI205" s="177">
        <f>((LOOKUP(Detached!AI$2,'Ceiling-U'!$A$4:$A$40,'Ceiling-U'!$G$4:$G$40)*Detached!AI$14)+(LOOKUP(Detached!AI$2,'Floor-U'!$A$4:$A$40,'Floor-U'!$G$4:$G$40)*Detached!AI$15)+(LOOKUP(Detached!AI$2,'Wall-U'!$A$4:$A$40,'Wall-U'!$Z$4:$Z$40)*Detached!AI$12)+(LOOKUP(Detached!AI$2,'Window-U'!$A$4:$A$40,'Window-U'!$G$4:$G$40)*Detached!AI$21))*AI202</f>
        <v>517.30597285128465</v>
      </c>
      <c r="AJ205" s="177">
        <f>((LOOKUP(Detached!AJ$2,'Ceiling-U'!$A$4:$A$40,'Ceiling-U'!$G$4:$G$40)*Detached!AJ$14)+(LOOKUP(Detached!AJ$2,'Floor-U'!$A$4:$A$40,'Floor-U'!$G$4:$G$40)*Detached!AJ$15)+(LOOKUP(Detached!AJ$2,'Wall-U'!$A$4:$A$40,'Wall-U'!$Z$4:$Z$40)*Detached!AJ$12)+(LOOKUP(Detached!AJ$2,'Window-U'!$A$4:$A$40,'Window-U'!$G$4:$G$40)*Detached!AJ$21))*AJ202</f>
        <v>224.23106532884066</v>
      </c>
      <c r="AK205" s="177">
        <f>((LOOKUP(Detached!AK$2,'Ceiling-U'!$A$4:$A$40,'Ceiling-U'!$G$4:$G$40)*Detached!AK$14)+(LOOKUP(Detached!AK$2,'Floor-U'!$A$4:$A$40,'Floor-U'!$G$4:$G$40)*Detached!AK$15)+(LOOKUP(Detached!AK$2,'Wall-U'!$A$4:$A$40,'Wall-U'!$Z$4:$Z$40)*Detached!AK$12)+(LOOKUP(Detached!AK$2,'Window-U'!$A$4:$A$40,'Window-U'!$G$4:$G$40)*Detached!AK$21))*AK202</f>
        <v>262.99876729543746</v>
      </c>
      <c r="AL205" s="177">
        <f>((LOOKUP(Detached!AL$2,'Ceiling-U'!$A$4:$A$40,'Ceiling-U'!$G$4:$G$40)*Detached!AL$14)+(LOOKUP(Detached!AL$2,'Floor-U'!$A$4:$A$40,'Floor-U'!$G$4:$G$40)*Detached!AL$15)+(LOOKUP(Detached!AL$2,'Wall-U'!$A$4:$A$40,'Wall-U'!$Z$4:$Z$40)*Detached!AL$12)+(LOOKUP(Detached!AL$2,'Window-U'!$A$4:$A$40,'Window-U'!$G$4:$G$40)*Detached!AL$21))*AL202</f>
        <v>214.41538238815866</v>
      </c>
      <c r="AM205" s="177">
        <f>((LOOKUP(Detached!AM$2,'Ceiling-U'!$A$4:$A$40,'Ceiling-U'!$G$4:$G$40)*Detached!AM$14)+(LOOKUP(Detached!AM$2,'Floor-U'!$A$4:$A$40,'Floor-U'!$G$4:$G$40)*Detached!AM$15)+(LOOKUP(Detached!AM$2,'Wall-U'!$A$4:$A$40,'Wall-U'!$Z$4:$Z$40)*Detached!AM$12)+(LOOKUP(Detached!AM$2,'Window-U'!$A$4:$A$40,'Window-U'!$G$4:$G$40)*Detached!AM$21))*AM202</f>
        <v>224.23106532884066</v>
      </c>
      <c r="AN205" s="178">
        <f>((LOOKUP(Detached!AN$2,'Ceiling-U'!$A$4:$A$40,'Ceiling-U'!$G$4:$G$40)*Detached!AN$14)+(LOOKUP(Detached!AN$2,'Floor-U'!$A$4:$A$40,'Floor-U'!$G$4:$G$40)*Detached!AN$15)+(LOOKUP(Detached!AN$2,'Wall-U'!$A$4:$A$40,'Wall-U'!$Z$4:$Z$40)*Detached!AN$12)+(LOOKUP(Detached!AN$2,'Window-U'!$A$4:$A$40,'Window-U'!$G$4:$G$40)*Detached!AN$21))*AN202</f>
        <v>224.23106532884066</v>
      </c>
    </row>
    <row r="206" spans="1:40">
      <c r="A206" s="372"/>
      <c r="B206" s="142" t="s">
        <v>5</v>
      </c>
      <c r="C206" s="131" t="s">
        <v>195</v>
      </c>
      <c r="D206" s="176">
        <f>((LOOKUP(Detached!D$2,'Ceiling-U'!$A$4:$A$40,'Ceiling-U'!$H$4:$H$40)*Detached!D$14)+(LOOKUP(Detached!D$2,'Floor-U'!$A$4:$A$40,'Floor-U'!$H$4:$H$40)*Detached!D$15)+(LOOKUP(Detached!D$2,'Wall-U'!$A$4:$A$40,'Wall-U'!$AA$4:$AA$40)*Detached!D$12)+(LOOKUP(Detached!D$2,'Window-U'!$A$4:$A$40,'Window-U'!$H$4:$H$40)*Detached!D$21))*D202</f>
        <v>168.7782194739433</v>
      </c>
      <c r="E206" s="177">
        <f>((LOOKUP(Detached!E$2,'Ceiling-U'!$A$4:$A$40,'Ceiling-U'!$H$4:$H$40)*Detached!E$14)+(LOOKUP(Detached!E$2,'Floor-U'!$A$4:$A$40,'Floor-U'!$H$4:$H$40)*Detached!E$15)+(LOOKUP(Detached!E$2,'Wall-U'!$A$4:$A$40,'Wall-U'!$AA$4:$AA$40)*Detached!E$12)+(LOOKUP(Detached!E$2,'Window-U'!$A$4:$A$40,'Window-U'!$H$4:$H$40)*Detached!E$21))*E202</f>
        <v>330.22925586217031</v>
      </c>
      <c r="F206" s="177">
        <f>((LOOKUP(Detached!F$2,'Ceiling-U'!$A$4:$A$40,'Ceiling-U'!$H$4:$H$40)*Detached!F$14)+(LOOKUP(Detached!F$2,'Floor-U'!$A$4:$A$40,'Floor-U'!$H$4:$H$40)*Detached!F$15)+(LOOKUP(Detached!F$2,'Wall-U'!$A$4:$A$40,'Wall-U'!$AA$4:$AA$40)*Detached!F$12)+(LOOKUP(Detached!F$2,'Window-U'!$A$4:$A$40,'Window-U'!$H$4:$H$40)*Detached!F$21))*F202</f>
        <v>187.69472748567449</v>
      </c>
      <c r="G206" s="177">
        <f>((LOOKUP(Detached!G$2,'Ceiling-U'!$A$4:$A$40,'Ceiling-U'!$H$4:$H$40)*Detached!G$14)+(LOOKUP(Detached!G$2,'Floor-U'!$A$4:$A$40,'Floor-U'!$H$4:$H$40)*Detached!G$15)+(LOOKUP(Detached!G$2,'Wall-U'!$A$4:$A$40,'Wall-U'!$AA$4:$AA$40)*Detached!G$12)+(LOOKUP(Detached!G$2,'Window-U'!$A$4:$A$40,'Window-U'!$H$4:$H$40)*Detached!G$21))*G202</f>
        <v>168.7782194739433</v>
      </c>
      <c r="H206" s="177">
        <f>((LOOKUP(Detached!H$2,'Ceiling-U'!$A$4:$A$40,'Ceiling-U'!$H$4:$H$40)*Detached!H$14)+(LOOKUP(Detached!H$2,'Floor-U'!$A$4:$A$40,'Floor-U'!$H$4:$H$40)*Detached!H$15)+(LOOKUP(Detached!H$2,'Wall-U'!$A$4:$A$40,'Wall-U'!$AA$4:$AA$40)*Detached!H$12)+(LOOKUP(Detached!H$2,'Window-U'!$A$4:$A$40,'Window-U'!$H$4:$H$40)*Detached!H$21))*H202</f>
        <v>588.55704368096053</v>
      </c>
      <c r="I206" s="177">
        <f>((LOOKUP(Detached!I$2,'Ceiling-U'!$A$4:$A$40,'Ceiling-U'!$H$4:$H$40)*Detached!I$14)+(LOOKUP(Detached!I$2,'Floor-U'!$A$4:$A$40,'Floor-U'!$H$4:$H$40)*Detached!I$15)+(LOOKUP(Detached!I$2,'Wall-U'!$A$4:$A$40,'Wall-U'!$AA$4:$AA$40)*Detached!I$12)+(LOOKUP(Detached!I$2,'Window-U'!$A$4:$A$40,'Window-U'!$H$4:$H$40)*Detached!I$21))*I202</f>
        <v>209.81205885703349</v>
      </c>
      <c r="J206" s="177">
        <f>((LOOKUP(Detached!J$2,'Ceiling-U'!$A$4:$A$40,'Ceiling-U'!$H$4:$H$40)*Detached!J$14)+(LOOKUP(Detached!J$2,'Floor-U'!$A$4:$A$40,'Floor-U'!$H$4:$H$40)*Detached!J$15)+(LOOKUP(Detached!J$2,'Wall-U'!$A$4:$A$40,'Wall-U'!$AA$4:$AA$40)*Detached!J$12)+(LOOKUP(Detached!J$2,'Window-U'!$A$4:$A$40,'Window-U'!$H$4:$H$40)*Detached!J$21))*J202</f>
        <v>178.48360540434999</v>
      </c>
      <c r="K206" s="177">
        <f>((LOOKUP(Detached!K$2,'Ceiling-U'!$A$4:$A$40,'Ceiling-U'!$H$4:$H$40)*Detached!K$14)+(LOOKUP(Detached!K$2,'Floor-U'!$A$4:$A$40,'Floor-U'!$H$4:$H$40)*Detached!K$15)+(LOOKUP(Detached!K$2,'Wall-U'!$A$4:$A$40,'Wall-U'!$AA$4:$AA$40)*Detached!K$12)+(LOOKUP(Detached!K$2,'Window-U'!$A$4:$A$40,'Window-U'!$H$4:$H$40)*Detached!K$21))*K202</f>
        <v>147.99090561927216</v>
      </c>
      <c r="L206" s="177">
        <f>((LOOKUP(Detached!L$2,'Ceiling-U'!$A$4:$A$40,'Ceiling-U'!$H$4:$H$40)*Detached!L$14)+(LOOKUP(Detached!L$2,'Floor-U'!$A$4:$A$40,'Floor-U'!$H$4:$H$40)*Detached!L$15)+(LOOKUP(Detached!L$2,'Wall-U'!$A$4:$A$40,'Wall-U'!$AA$4:$AA$40)*Detached!L$12)+(LOOKUP(Detached!L$2,'Window-U'!$A$4:$A$40,'Window-U'!$H$4:$H$40)*Detached!L$21))*L202</f>
        <v>83.416163578899145</v>
      </c>
      <c r="M206" s="177">
        <f>((LOOKUP(Detached!M$2,'Ceiling-U'!$A$4:$A$40,'Ceiling-U'!$H$4:$H$40)*Detached!M$14)+(LOOKUP(Detached!M$2,'Floor-U'!$A$4:$A$40,'Floor-U'!$H$4:$H$40)*Detached!M$15)+(LOOKUP(Detached!M$2,'Wall-U'!$A$4:$A$40,'Wall-U'!$AA$4:$AA$40)*Detached!M$12)+(LOOKUP(Detached!M$2,'Window-U'!$A$4:$A$40,'Window-U'!$H$4:$H$40)*Detached!M$21))*M202</f>
        <v>284.44005869005974</v>
      </c>
      <c r="N206" s="177">
        <f>((LOOKUP(Detached!N$2,'Ceiling-U'!$A$4:$A$40,'Ceiling-U'!$H$4:$H$40)*Detached!N$14)+(LOOKUP(Detached!N$2,'Floor-U'!$A$4:$A$40,'Floor-U'!$H$4:$H$40)*Detached!N$15)+(LOOKUP(Detached!N$2,'Wall-U'!$A$4:$A$40,'Wall-U'!$AA$4:$AA$40)*Detached!N$12)+(LOOKUP(Detached!N$2,'Window-U'!$A$4:$A$40,'Window-U'!$H$4:$H$40)*Detached!N$21))*N202</f>
        <v>113.93587412997036</v>
      </c>
      <c r="O206" s="177">
        <f>((LOOKUP(Detached!O$2,'Ceiling-U'!$A$4:$A$40,'Ceiling-U'!$H$4:$H$40)*Detached!O$14)+(LOOKUP(Detached!O$2,'Floor-U'!$A$4:$A$40,'Floor-U'!$H$4:$H$40)*Detached!O$15)+(LOOKUP(Detached!O$2,'Wall-U'!$A$4:$A$40,'Wall-U'!$AA$4:$AA$40)*Detached!O$12)+(LOOKUP(Detached!O$2,'Window-U'!$A$4:$A$40,'Window-U'!$H$4:$H$40)*Detached!O$21))*O202</f>
        <v>221.27145526779992</v>
      </c>
      <c r="P206" s="177">
        <f>((LOOKUP(Detached!P$2,'Ceiling-U'!$A$4:$A$40,'Ceiling-U'!$H$4:$H$40)*Detached!P$14)+(LOOKUP(Detached!P$2,'Floor-U'!$A$4:$A$40,'Floor-U'!$H$4:$H$40)*Detached!P$15)+(LOOKUP(Detached!P$2,'Wall-U'!$A$4:$A$40,'Wall-U'!$AA$4:$AA$40)*Detached!P$12)+(LOOKUP(Detached!P$2,'Window-U'!$A$4:$A$40,'Window-U'!$H$4:$H$40)*Detached!P$21))*P202</f>
        <v>493.28637340128461</v>
      </c>
      <c r="Q206" s="177">
        <f>((LOOKUP(Detached!Q$2,'Ceiling-U'!$A$4:$A$40,'Ceiling-U'!$H$4:$H$40)*Detached!Q$14)+(LOOKUP(Detached!Q$2,'Floor-U'!$A$4:$A$40,'Floor-U'!$H$4:$H$40)*Detached!Q$15)+(LOOKUP(Detached!Q$2,'Wall-U'!$A$4:$A$40,'Wall-U'!$AA$4:$AA$40)*Detached!Q$12)+(LOOKUP(Detached!Q$2,'Window-U'!$A$4:$A$40,'Window-U'!$H$4:$H$40)*Detached!Q$21))*Q202</f>
        <v>223.11668785535343</v>
      </c>
      <c r="R206" s="177">
        <f>((LOOKUP(Detached!R$2,'Ceiling-U'!$A$4:$A$40,'Ceiling-U'!$H$4:$H$40)*Detached!R$14)+(LOOKUP(Detached!R$2,'Floor-U'!$A$4:$A$40,'Floor-U'!$H$4:$H$40)*Detached!R$15)+(LOOKUP(Detached!R$2,'Wall-U'!$A$4:$A$40,'Wall-U'!$AA$4:$AA$40)*Detached!R$12)+(LOOKUP(Detached!R$2,'Window-U'!$A$4:$A$40,'Window-U'!$H$4:$H$40)*Detached!R$21))*R202</f>
        <v>201.41328268102404</v>
      </c>
      <c r="S206" s="177">
        <f>((LOOKUP(Detached!S$2,'Ceiling-U'!$A$4:$A$40,'Ceiling-U'!$H$4:$H$40)*Detached!S$14)+(LOOKUP(Detached!S$2,'Floor-U'!$A$4:$A$40,'Floor-U'!$H$4:$H$40)*Detached!S$15)+(LOOKUP(Detached!S$2,'Wall-U'!$A$4:$A$40,'Wall-U'!$AA$4:$AA$40)*Detached!S$12)+(LOOKUP(Detached!S$2,'Window-U'!$A$4:$A$40,'Window-U'!$H$4:$H$40)*Detached!S$21))*S202</f>
        <v>220.09752110239702</v>
      </c>
      <c r="T206" s="177">
        <f>((LOOKUP(Detached!T$2,'Ceiling-U'!$A$4:$A$40,'Ceiling-U'!$H$4:$H$40)*Detached!T$14)+(LOOKUP(Detached!T$2,'Floor-U'!$A$4:$A$40,'Floor-U'!$H$4:$H$40)*Detached!T$15)+(LOOKUP(Detached!T$2,'Wall-U'!$A$4:$A$40,'Wall-U'!$AA$4:$AA$40)*Detached!T$12)+(LOOKUP(Detached!T$2,'Window-U'!$A$4:$A$40,'Window-U'!$H$4:$H$40)*Detached!T$21))*T202</f>
        <v>113.93587412997036</v>
      </c>
      <c r="U206" s="177">
        <f>((LOOKUP(Detached!U$2,'Ceiling-U'!$A$4:$A$40,'Ceiling-U'!$H$4:$H$40)*Detached!U$14)+(LOOKUP(Detached!U$2,'Floor-U'!$A$4:$A$40,'Floor-U'!$H$4:$H$40)*Detached!U$15)+(LOOKUP(Detached!U$2,'Wall-U'!$A$4:$A$40,'Wall-U'!$AA$4:$AA$40)*Detached!U$12)+(LOOKUP(Detached!U$2,'Window-U'!$A$4:$A$40,'Window-U'!$H$4:$H$40)*Detached!U$21))*U202</f>
        <v>363.17928698290018</v>
      </c>
      <c r="V206" s="177">
        <f>((LOOKUP(Detached!V$2,'Ceiling-U'!$A$4:$A$40,'Ceiling-U'!$H$4:$H$40)*Detached!V$14)+(LOOKUP(Detached!V$2,'Floor-U'!$A$4:$A$40,'Floor-U'!$H$4:$H$40)*Detached!V$15)+(LOOKUP(Detached!V$2,'Wall-U'!$A$4:$A$40,'Wall-U'!$AA$4:$AA$40)*Detached!V$12)+(LOOKUP(Detached!V$2,'Window-U'!$A$4:$A$40,'Window-U'!$H$4:$H$40)*Detached!V$21))*V202</f>
        <v>156.5142481426239</v>
      </c>
      <c r="W206" s="177">
        <f>((LOOKUP(Detached!W$2,'Ceiling-U'!$A$4:$A$40,'Ceiling-U'!$H$4:$H$40)*Detached!W$14)+(LOOKUP(Detached!W$2,'Floor-U'!$A$4:$A$40,'Floor-U'!$H$4:$H$40)*Detached!W$15)+(LOOKUP(Detached!W$2,'Wall-U'!$A$4:$A$40,'Wall-U'!$AA$4:$AA$40)*Detached!W$12)+(LOOKUP(Detached!W$2,'Window-U'!$A$4:$A$40,'Window-U'!$H$4:$H$40)*Detached!W$21))*W202</f>
        <v>149.187472592039</v>
      </c>
      <c r="X206" s="177">
        <f>((LOOKUP(Detached!X$2,'Ceiling-U'!$A$4:$A$40,'Ceiling-U'!$H$4:$H$40)*Detached!X$14)+(LOOKUP(Detached!X$2,'Floor-U'!$A$4:$A$40,'Floor-U'!$H$4:$H$40)*Detached!X$15)+(LOOKUP(Detached!X$2,'Wall-U'!$A$4:$A$40,'Wall-U'!$AA$4:$AA$40)*Detached!X$12)+(LOOKUP(Detached!X$2,'Window-U'!$A$4:$A$40,'Window-U'!$H$4:$H$40)*Detached!X$21))*X202</f>
        <v>139.04515569287912</v>
      </c>
      <c r="Y206" s="177">
        <f>((LOOKUP(Detached!Y$2,'Ceiling-U'!$A$4:$A$40,'Ceiling-U'!$H$4:$H$40)*Detached!Y$14)+(LOOKUP(Detached!Y$2,'Floor-U'!$A$4:$A$40,'Floor-U'!$H$4:$H$40)*Detached!Y$15)+(LOOKUP(Detached!Y$2,'Wall-U'!$A$4:$A$40,'Wall-U'!$AA$4:$AA$40)*Detached!Y$12)+(LOOKUP(Detached!Y$2,'Window-U'!$A$4:$A$40,'Window-U'!$H$4:$H$40)*Detached!Y$21))*Y202</f>
        <v>485.19867452119405</v>
      </c>
      <c r="Z206" s="177">
        <f>((LOOKUP(Detached!Z$2,'Ceiling-U'!$A$4:$A$40,'Ceiling-U'!$H$4:$H$40)*Detached!Z$14)+(LOOKUP(Detached!Z$2,'Floor-U'!$A$4:$A$40,'Floor-U'!$H$4:$H$40)*Detached!Z$15)+(LOOKUP(Detached!Z$2,'Wall-U'!$A$4:$A$40,'Wall-U'!$AA$4:$AA$40)*Detached!Z$12)+(LOOKUP(Detached!Z$2,'Window-U'!$A$4:$A$40,'Window-U'!$H$4:$H$40)*Detached!Z$21))*Z202</f>
        <v>264.77714655795882</v>
      </c>
      <c r="AA206" s="177">
        <f>((LOOKUP(Detached!AA$2,'Ceiling-U'!$A$4:$A$40,'Ceiling-U'!$H$4:$H$40)*Detached!AA$14)+(LOOKUP(Detached!AA$2,'Floor-U'!$A$4:$A$40,'Floor-U'!$H$4:$H$40)*Detached!AA$15)+(LOOKUP(Detached!AA$2,'Wall-U'!$A$4:$A$40,'Wall-U'!$AA$4:$AA$40)*Detached!AA$12)+(LOOKUP(Detached!AA$2,'Window-U'!$A$4:$A$40,'Window-U'!$H$4:$H$40)*Detached!AA$21))*AA202</f>
        <v>129.65984536478692</v>
      </c>
      <c r="AB206" s="177">
        <f>((LOOKUP(Detached!AB$2,'Ceiling-U'!$A$4:$A$40,'Ceiling-U'!$H$4:$H$40)*Detached!AB$14)+(LOOKUP(Detached!AB$2,'Floor-U'!$A$4:$A$40,'Floor-U'!$H$4:$H$40)*Detached!AB$15)+(LOOKUP(Detached!AB$2,'Wall-U'!$A$4:$A$40,'Wall-U'!$AA$4:$AA$40)*Detached!AB$12)+(LOOKUP(Detached!AB$2,'Window-U'!$A$4:$A$40,'Window-U'!$H$4:$H$40)*Detached!AB$21))*AB202</f>
        <v>201.28622504992427</v>
      </c>
      <c r="AC206" s="177">
        <f>((LOOKUP(Detached!AC$2,'Ceiling-U'!$A$4:$A$40,'Ceiling-U'!$H$4:$H$40)*Detached!AC$14)+(LOOKUP(Detached!AC$2,'Floor-U'!$A$4:$A$40,'Floor-U'!$H$4:$H$40)*Detached!AC$15)+(LOOKUP(Detached!AC$2,'Wall-U'!$A$4:$A$40,'Wall-U'!$AA$4:$AA$40)*Detached!AC$12)+(LOOKUP(Detached!AC$2,'Window-U'!$A$4:$A$40,'Window-U'!$H$4:$H$40)*Detached!AC$21))*AC202</f>
        <v>541.21163295945325</v>
      </c>
      <c r="AD206" s="177">
        <f>((LOOKUP(Detached!AD$2,'Ceiling-U'!$A$4:$A$40,'Ceiling-U'!$H$4:$H$40)*Detached!AD$14)+(LOOKUP(Detached!AD$2,'Floor-U'!$A$4:$A$40,'Floor-U'!$H$4:$H$40)*Detached!AD$15)+(LOOKUP(Detached!AD$2,'Wall-U'!$A$4:$A$40,'Wall-U'!$AA$4:$AA$40)*Detached!AD$12)+(LOOKUP(Detached!AD$2,'Window-U'!$A$4:$A$40,'Window-U'!$H$4:$H$40)*Detached!AD$21))*AD202</f>
        <v>226.70020520954813</v>
      </c>
      <c r="AE206" s="177">
        <f>((LOOKUP(Detached!AE$2,'Ceiling-U'!$A$4:$A$40,'Ceiling-U'!$H$4:$H$40)*Detached!AE$14)+(LOOKUP(Detached!AE$2,'Floor-U'!$A$4:$A$40,'Floor-U'!$H$4:$H$40)*Detached!AE$15)+(LOOKUP(Detached!AE$2,'Wall-U'!$A$4:$A$40,'Wall-U'!$AA$4:$AA$40)*Detached!AE$12)+(LOOKUP(Detached!AE$2,'Window-U'!$A$4:$A$40,'Window-U'!$H$4:$H$40)*Detached!AE$21))*AE202</f>
        <v>129.65984536478692</v>
      </c>
      <c r="AF206" s="177">
        <f>((LOOKUP(Detached!AF$2,'Ceiling-U'!$A$4:$A$40,'Ceiling-U'!$H$4:$H$40)*Detached!AF$14)+(LOOKUP(Detached!AF$2,'Floor-U'!$A$4:$A$40,'Floor-U'!$H$4:$H$40)*Detached!AF$15)+(LOOKUP(Detached!AF$2,'Wall-U'!$A$4:$A$40,'Wall-U'!$AA$4:$AA$40)*Detached!AF$12)+(LOOKUP(Detached!AF$2,'Window-U'!$A$4:$A$40,'Window-U'!$H$4:$H$40)*Detached!AF$21))*AF202</f>
        <v>191.31745699864771</v>
      </c>
      <c r="AG206" s="177">
        <f>((LOOKUP(Detached!AG$2,'Ceiling-U'!$A$4:$A$40,'Ceiling-U'!$H$4:$H$40)*Detached!AG$14)+(LOOKUP(Detached!AG$2,'Floor-U'!$A$4:$A$40,'Floor-U'!$H$4:$H$40)*Detached!AG$15)+(LOOKUP(Detached!AG$2,'Wall-U'!$A$4:$A$40,'Wall-U'!$AA$4:$AA$40)*Detached!AG$12)+(LOOKUP(Detached!AG$2,'Window-U'!$A$4:$A$40,'Window-U'!$H$4:$H$40)*Detached!AG$21))*AG202</f>
        <v>301.96258530206427</v>
      </c>
      <c r="AH206" s="177">
        <f>((LOOKUP(Detached!AH$2,'Ceiling-U'!$A$4:$A$40,'Ceiling-U'!$H$4:$H$40)*Detached!AH$14)+(LOOKUP(Detached!AH$2,'Floor-U'!$A$4:$A$40,'Floor-U'!$H$4:$H$40)*Detached!AH$15)+(LOOKUP(Detached!AH$2,'Wall-U'!$A$4:$A$40,'Wall-U'!$AA$4:$AA$40)*Detached!AH$12)+(LOOKUP(Detached!AH$2,'Window-U'!$A$4:$A$40,'Window-U'!$H$4:$H$40)*Detached!AH$21))*AH202</f>
        <v>199.47314767366126</v>
      </c>
      <c r="AI206" s="177">
        <f>((LOOKUP(Detached!AI$2,'Ceiling-U'!$A$4:$A$40,'Ceiling-U'!$H$4:$H$40)*Detached!AI$14)+(LOOKUP(Detached!AI$2,'Floor-U'!$A$4:$A$40,'Floor-U'!$H$4:$H$40)*Detached!AI$15)+(LOOKUP(Detached!AI$2,'Wall-U'!$A$4:$A$40,'Wall-U'!$AA$4:$AA$40)*Detached!AI$12)+(LOOKUP(Detached!AI$2,'Window-U'!$A$4:$A$40,'Window-U'!$H$4:$H$40)*Detached!AI$21))*AI202</f>
        <v>493.28637340128461</v>
      </c>
      <c r="AJ206" s="177">
        <f>((LOOKUP(Detached!AJ$2,'Ceiling-U'!$A$4:$A$40,'Ceiling-U'!$H$4:$H$40)*Detached!AJ$14)+(LOOKUP(Detached!AJ$2,'Floor-U'!$A$4:$A$40,'Floor-U'!$H$4:$H$40)*Detached!AJ$15)+(LOOKUP(Detached!AJ$2,'Wall-U'!$A$4:$A$40,'Wall-U'!$AA$4:$AA$40)*Detached!AJ$12)+(LOOKUP(Detached!AJ$2,'Window-U'!$A$4:$A$40,'Window-U'!$H$4:$H$40)*Detached!AJ$21))*AJ202</f>
        <v>202.6555709577942</v>
      </c>
      <c r="AK206" s="177">
        <f>((LOOKUP(Detached!AK$2,'Ceiling-U'!$A$4:$A$40,'Ceiling-U'!$H$4:$H$40)*Detached!AK$14)+(LOOKUP(Detached!AK$2,'Floor-U'!$A$4:$A$40,'Floor-U'!$H$4:$H$40)*Detached!AK$15)+(LOOKUP(Detached!AK$2,'Wall-U'!$A$4:$A$40,'Wall-U'!$AA$4:$AA$40)*Detached!AK$12)+(LOOKUP(Detached!AK$2,'Window-U'!$A$4:$A$40,'Window-U'!$H$4:$H$40)*Detached!AK$21))*AK202</f>
        <v>234.52995099659316</v>
      </c>
      <c r="AL206" s="177">
        <f>((LOOKUP(Detached!AL$2,'Ceiling-U'!$A$4:$A$40,'Ceiling-U'!$H$4:$H$40)*Detached!AL$14)+(LOOKUP(Detached!AL$2,'Floor-U'!$A$4:$A$40,'Floor-U'!$H$4:$H$40)*Detached!AL$15)+(LOOKUP(Detached!AL$2,'Wall-U'!$A$4:$A$40,'Wall-U'!$AA$4:$AA$40)*Detached!AL$12)+(LOOKUP(Detached!AL$2,'Window-U'!$A$4:$A$40,'Window-U'!$H$4:$H$40)*Detached!AL$21))*AL202</f>
        <v>195.31428348373169</v>
      </c>
      <c r="AM206" s="177">
        <f>((LOOKUP(Detached!AM$2,'Ceiling-U'!$A$4:$A$40,'Ceiling-U'!$H$4:$H$40)*Detached!AM$14)+(LOOKUP(Detached!AM$2,'Floor-U'!$A$4:$A$40,'Floor-U'!$H$4:$H$40)*Detached!AM$15)+(LOOKUP(Detached!AM$2,'Wall-U'!$A$4:$A$40,'Wall-U'!$AA$4:$AA$40)*Detached!AM$12)+(LOOKUP(Detached!AM$2,'Window-U'!$A$4:$A$40,'Window-U'!$H$4:$H$40)*Detached!AM$21))*AM202</f>
        <v>202.6555709577942</v>
      </c>
      <c r="AN206" s="178">
        <f>((LOOKUP(Detached!AN$2,'Ceiling-U'!$A$4:$A$40,'Ceiling-U'!$H$4:$H$40)*Detached!AN$14)+(LOOKUP(Detached!AN$2,'Floor-U'!$A$4:$A$40,'Floor-U'!$H$4:$H$40)*Detached!AN$15)+(LOOKUP(Detached!AN$2,'Wall-U'!$A$4:$A$40,'Wall-U'!$AA$4:$AA$40)*Detached!AN$12)+(LOOKUP(Detached!AN$2,'Window-U'!$A$4:$A$40,'Window-U'!$H$4:$H$40)*Detached!AN$21))*AN202</f>
        <v>202.6555709577942</v>
      </c>
    </row>
    <row r="207" spans="1:40">
      <c r="A207" s="372"/>
      <c r="B207" s="142" t="s">
        <v>6</v>
      </c>
      <c r="C207" s="131" t="s">
        <v>195</v>
      </c>
      <c r="D207" s="176">
        <f>((LOOKUP(Detached!D$2,'Ceiling-U'!$A$4:$A$40,'Ceiling-U'!$I$4:$I$40)*Detached!D$14)+(LOOKUP(Detached!D$2,'Floor-U'!$A$4:$A$40,'Floor-U'!$I$4:$I$40)*Detached!D$15)+(LOOKUP(Detached!D$2,'Wall-U'!$A$4:$A$40,'Wall-U'!$AB$4:$AB$40)*Detached!D$12)+(LOOKUP(Detached!D$2,'Window-U'!$A$4:$A$40,'Window-U'!$I$4:$I$40)*Detached!D$21))*D202</f>
        <v>150.40117072180809</v>
      </c>
      <c r="E207" s="177">
        <f>((LOOKUP(Detached!E$2,'Ceiling-U'!$A$4:$A$40,'Ceiling-U'!$I$4:$I$40)*Detached!E$14)+(LOOKUP(Detached!E$2,'Floor-U'!$A$4:$A$40,'Floor-U'!$I$4:$I$40)*Detached!E$15)+(LOOKUP(Detached!E$2,'Wall-U'!$A$4:$A$40,'Wall-U'!$AB$4:$AB$40)*Detached!E$12)+(LOOKUP(Detached!E$2,'Window-U'!$A$4:$A$40,'Window-U'!$I$4:$I$40)*Detached!E$21))*E202</f>
        <v>330.22925586217031</v>
      </c>
      <c r="F207" s="177">
        <f>((LOOKUP(Detached!F$2,'Ceiling-U'!$A$4:$A$40,'Ceiling-U'!$I$4:$I$40)*Detached!F$14)+(LOOKUP(Detached!F$2,'Floor-U'!$A$4:$A$40,'Floor-U'!$I$4:$I$40)*Detached!F$15)+(LOOKUP(Detached!F$2,'Wall-U'!$A$4:$A$40,'Wall-U'!$AB$4:$AB$40)*Detached!F$12)+(LOOKUP(Detached!F$2,'Window-U'!$A$4:$A$40,'Window-U'!$I$4:$I$40)*Detached!F$21))*F202</f>
        <v>153.75063593163554</v>
      </c>
      <c r="G207" s="177">
        <f>((LOOKUP(Detached!G$2,'Ceiling-U'!$A$4:$A$40,'Ceiling-U'!$I$4:$I$40)*Detached!G$14)+(LOOKUP(Detached!G$2,'Floor-U'!$A$4:$A$40,'Floor-U'!$I$4:$I$40)*Detached!G$15)+(LOOKUP(Detached!G$2,'Wall-U'!$A$4:$A$40,'Wall-U'!$AB$4:$AB$40)*Detached!G$12)+(LOOKUP(Detached!G$2,'Window-U'!$A$4:$A$40,'Window-U'!$I$4:$I$40)*Detached!G$21))*G202</f>
        <v>150.40117072180809</v>
      </c>
      <c r="H207" s="177">
        <f>((LOOKUP(Detached!H$2,'Ceiling-U'!$A$4:$A$40,'Ceiling-U'!$I$4:$I$40)*Detached!H$14)+(LOOKUP(Detached!H$2,'Floor-U'!$A$4:$A$40,'Floor-U'!$I$4:$I$40)*Detached!H$15)+(LOOKUP(Detached!H$2,'Wall-U'!$A$4:$A$40,'Wall-U'!$AB$4:$AB$40)*Detached!H$12)+(LOOKUP(Detached!H$2,'Window-U'!$A$4:$A$40,'Window-U'!$I$4:$I$40)*Detached!H$21))*H202</f>
        <v>462.55704368096053</v>
      </c>
      <c r="I207" s="177">
        <f>((LOOKUP(Detached!I$2,'Ceiling-U'!$A$4:$A$40,'Ceiling-U'!$I$4:$I$40)*Detached!I$14)+(LOOKUP(Detached!I$2,'Floor-U'!$A$4:$A$40,'Floor-U'!$I$4:$I$40)*Detached!I$15)+(LOOKUP(Detached!I$2,'Wall-U'!$A$4:$A$40,'Wall-U'!$AB$4:$AB$40)*Detached!I$12)+(LOOKUP(Detached!I$2,'Window-U'!$A$4:$A$40,'Window-U'!$I$4:$I$40)*Detached!I$21))*I202</f>
        <v>168.04932835172846</v>
      </c>
      <c r="J207" s="177">
        <f>((LOOKUP(Detached!J$2,'Ceiling-U'!$A$4:$A$40,'Ceiling-U'!$I$4:$I$40)*Detached!J$14)+(LOOKUP(Detached!J$2,'Floor-U'!$A$4:$A$40,'Floor-U'!$I$4:$I$40)*Detached!J$15)+(LOOKUP(Detached!J$2,'Wall-U'!$A$4:$A$40,'Wall-U'!$AB$4:$AB$40)*Detached!J$12)+(LOOKUP(Detached!J$2,'Window-U'!$A$4:$A$40,'Window-U'!$I$4:$I$40)*Detached!J$21))*J202</f>
        <v>114.19285864053272</v>
      </c>
      <c r="K207" s="177">
        <f>((LOOKUP(Detached!K$2,'Ceiling-U'!$A$4:$A$40,'Ceiling-U'!$I$4:$I$40)*Detached!K$14)+(LOOKUP(Detached!K$2,'Floor-U'!$A$4:$A$40,'Floor-U'!$I$4:$I$40)*Detached!K$15)+(LOOKUP(Detached!K$2,'Wall-U'!$A$4:$A$40,'Wall-U'!$AB$4:$AB$40)*Detached!K$12)+(LOOKUP(Detached!K$2,'Window-U'!$A$4:$A$40,'Window-U'!$I$4:$I$40)*Detached!K$21))*K202</f>
        <v>147.99090561927216</v>
      </c>
      <c r="L207" s="177">
        <f>((LOOKUP(Detached!L$2,'Ceiling-U'!$A$4:$A$40,'Ceiling-U'!$I$4:$I$40)*Detached!L$14)+(LOOKUP(Detached!L$2,'Floor-U'!$A$4:$A$40,'Floor-U'!$I$4:$I$40)*Detached!L$15)+(LOOKUP(Detached!L$2,'Wall-U'!$A$4:$A$40,'Wall-U'!$AB$4:$AB$40)*Detached!L$12)+(LOOKUP(Detached!L$2,'Window-U'!$A$4:$A$40,'Window-U'!$I$4:$I$40)*Detached!L$21))*L202</f>
        <v>72.002411459732031</v>
      </c>
      <c r="M207" s="177">
        <f>((LOOKUP(Detached!M$2,'Ceiling-U'!$A$4:$A$40,'Ceiling-U'!$I$4:$I$40)*Detached!M$14)+(LOOKUP(Detached!M$2,'Floor-U'!$A$4:$A$40,'Floor-U'!$I$4:$I$40)*Detached!M$15)+(LOOKUP(Detached!M$2,'Wall-U'!$A$4:$A$40,'Wall-U'!$AB$4:$AB$40)*Detached!M$12)+(LOOKUP(Detached!M$2,'Window-U'!$A$4:$A$40,'Window-U'!$I$4:$I$40)*Detached!M$21))*M202</f>
        <v>284.44005869005974</v>
      </c>
      <c r="N207" s="177">
        <f>((LOOKUP(Detached!N$2,'Ceiling-U'!$A$4:$A$40,'Ceiling-U'!$I$4:$I$40)*Detached!N$14)+(LOOKUP(Detached!N$2,'Floor-U'!$A$4:$A$40,'Floor-U'!$I$4:$I$40)*Detached!N$15)+(LOOKUP(Detached!N$2,'Wall-U'!$A$4:$A$40,'Wall-U'!$AB$4:$AB$40)*Detached!N$12)+(LOOKUP(Detached!N$2,'Window-U'!$A$4:$A$40,'Window-U'!$I$4:$I$40)*Detached!N$21))*N202</f>
        <v>112.71161185179727</v>
      </c>
      <c r="O207" s="177">
        <f>((LOOKUP(Detached!O$2,'Ceiling-U'!$A$4:$A$40,'Ceiling-U'!$I$4:$I$40)*Detached!O$14)+(LOOKUP(Detached!O$2,'Floor-U'!$A$4:$A$40,'Floor-U'!$I$4:$I$40)*Detached!O$15)+(LOOKUP(Detached!O$2,'Wall-U'!$A$4:$A$40,'Wall-U'!$AB$4:$AB$40)*Detached!O$12)+(LOOKUP(Detached!O$2,'Window-U'!$A$4:$A$40,'Window-U'!$I$4:$I$40)*Detached!O$21))*O202</f>
        <v>137.242318056606</v>
      </c>
      <c r="P207" s="177">
        <f>((LOOKUP(Detached!P$2,'Ceiling-U'!$A$4:$A$40,'Ceiling-U'!$I$4:$I$40)*Detached!P$14)+(LOOKUP(Detached!P$2,'Floor-U'!$A$4:$A$40,'Floor-U'!$I$4:$I$40)*Detached!P$15)+(LOOKUP(Detached!P$2,'Wall-U'!$A$4:$A$40,'Wall-U'!$AB$4:$AB$40)*Detached!P$12)+(LOOKUP(Detached!P$2,'Window-U'!$A$4:$A$40,'Window-U'!$I$4:$I$40)*Detached!P$21))*P202</f>
        <v>493.28637340128461</v>
      </c>
      <c r="Q207" s="177">
        <f>((LOOKUP(Detached!Q$2,'Ceiling-U'!$A$4:$A$40,'Ceiling-U'!$I$4:$I$40)*Detached!Q$14)+(LOOKUP(Detached!Q$2,'Floor-U'!$A$4:$A$40,'Floor-U'!$I$4:$I$40)*Detached!Q$15)+(LOOKUP(Detached!Q$2,'Wall-U'!$A$4:$A$40,'Wall-U'!$AB$4:$AB$40)*Detached!Q$12)+(LOOKUP(Detached!Q$2,'Window-U'!$A$4:$A$40,'Window-U'!$I$4:$I$40)*Detached!Q$21))*Q202</f>
        <v>166.83661412797642</v>
      </c>
      <c r="R207" s="177">
        <f>((LOOKUP(Detached!R$2,'Ceiling-U'!$A$4:$A$40,'Ceiling-U'!$I$4:$I$40)*Detached!R$14)+(LOOKUP(Detached!R$2,'Floor-U'!$A$4:$A$40,'Floor-U'!$I$4:$I$40)*Detached!R$15)+(LOOKUP(Detached!R$2,'Wall-U'!$A$4:$A$40,'Wall-U'!$AB$4:$AB$40)*Detached!R$12)+(LOOKUP(Detached!R$2,'Window-U'!$A$4:$A$40,'Window-U'!$I$4:$I$40)*Detached!R$21))*R202</f>
        <v>201.41328268102404</v>
      </c>
      <c r="S207" s="177">
        <f>((LOOKUP(Detached!S$2,'Ceiling-U'!$A$4:$A$40,'Ceiling-U'!$I$4:$I$40)*Detached!S$14)+(LOOKUP(Detached!S$2,'Floor-U'!$A$4:$A$40,'Floor-U'!$I$4:$I$40)*Detached!S$15)+(LOOKUP(Detached!S$2,'Wall-U'!$A$4:$A$40,'Wall-U'!$AB$4:$AB$40)*Detached!S$12)+(LOOKUP(Detached!S$2,'Window-U'!$A$4:$A$40,'Window-U'!$I$4:$I$40)*Detached!S$21))*S202</f>
        <v>214.9094855858358</v>
      </c>
      <c r="T207" s="177">
        <f>((LOOKUP(Detached!T$2,'Ceiling-U'!$A$4:$A$40,'Ceiling-U'!$I$4:$I$40)*Detached!T$14)+(LOOKUP(Detached!T$2,'Floor-U'!$A$4:$A$40,'Floor-U'!$I$4:$I$40)*Detached!T$15)+(LOOKUP(Detached!T$2,'Wall-U'!$A$4:$A$40,'Wall-U'!$AB$4:$AB$40)*Detached!T$12)+(LOOKUP(Detached!T$2,'Window-U'!$A$4:$A$40,'Window-U'!$I$4:$I$40)*Detached!T$21))*T202</f>
        <v>112.71161185179727</v>
      </c>
      <c r="U207" s="177">
        <f>((LOOKUP(Detached!U$2,'Ceiling-U'!$A$4:$A$40,'Ceiling-U'!$I$4:$I$40)*Detached!U$14)+(LOOKUP(Detached!U$2,'Floor-U'!$A$4:$A$40,'Floor-U'!$I$4:$I$40)*Detached!U$15)+(LOOKUP(Detached!U$2,'Wall-U'!$A$4:$A$40,'Wall-U'!$AB$4:$AB$40)*Detached!U$12)+(LOOKUP(Detached!U$2,'Window-U'!$A$4:$A$40,'Window-U'!$I$4:$I$40)*Detached!U$21))*U202</f>
        <v>346.46720620772095</v>
      </c>
      <c r="V207" s="177">
        <f>((LOOKUP(Detached!V$2,'Ceiling-U'!$A$4:$A$40,'Ceiling-U'!$I$4:$I$40)*Detached!V$14)+(LOOKUP(Detached!V$2,'Floor-U'!$A$4:$A$40,'Floor-U'!$I$4:$I$40)*Detached!V$15)+(LOOKUP(Detached!V$2,'Wall-U'!$A$4:$A$40,'Wall-U'!$AB$4:$AB$40)*Detached!V$12)+(LOOKUP(Detached!V$2,'Window-U'!$A$4:$A$40,'Window-U'!$I$4:$I$40)*Detached!V$21))*V202</f>
        <v>156.5142481426239</v>
      </c>
      <c r="W207" s="177">
        <f>((LOOKUP(Detached!W$2,'Ceiling-U'!$A$4:$A$40,'Ceiling-U'!$I$4:$I$40)*Detached!W$14)+(LOOKUP(Detached!W$2,'Floor-U'!$A$4:$A$40,'Floor-U'!$I$4:$I$40)*Detached!W$15)+(LOOKUP(Detached!W$2,'Wall-U'!$A$4:$A$40,'Wall-U'!$AB$4:$AB$40)*Detached!W$12)+(LOOKUP(Detached!W$2,'Window-U'!$A$4:$A$40,'Window-U'!$I$4:$I$40)*Detached!W$21))*W202</f>
        <v>126.21433207369788</v>
      </c>
      <c r="X207" s="177">
        <f>((LOOKUP(Detached!X$2,'Ceiling-U'!$A$4:$A$40,'Ceiling-U'!$I$4:$I$40)*Detached!X$14)+(LOOKUP(Detached!X$2,'Floor-U'!$A$4:$A$40,'Floor-U'!$I$4:$I$40)*Detached!X$15)+(LOOKUP(Detached!X$2,'Wall-U'!$A$4:$A$40,'Wall-U'!$AB$4:$AB$40)*Detached!X$12)+(LOOKUP(Detached!X$2,'Window-U'!$A$4:$A$40,'Window-U'!$I$4:$I$40)*Detached!X$21))*X202</f>
        <v>135.89515569287911</v>
      </c>
      <c r="Y207" s="177">
        <f>((LOOKUP(Detached!Y$2,'Ceiling-U'!$A$4:$A$40,'Ceiling-U'!$I$4:$I$40)*Detached!Y$14)+(LOOKUP(Detached!Y$2,'Floor-U'!$A$4:$A$40,'Floor-U'!$I$4:$I$40)*Detached!Y$15)+(LOOKUP(Detached!Y$2,'Wall-U'!$A$4:$A$40,'Wall-U'!$AB$4:$AB$40)*Detached!Y$12)+(LOOKUP(Detached!Y$2,'Window-U'!$A$4:$A$40,'Window-U'!$I$4:$I$40)*Detached!Y$21))*Y202</f>
        <v>472.87281764306903</v>
      </c>
      <c r="Z207" s="177">
        <f>((LOOKUP(Detached!Z$2,'Ceiling-U'!$A$4:$A$40,'Ceiling-U'!$I$4:$I$40)*Detached!Z$14)+(LOOKUP(Detached!Z$2,'Floor-U'!$A$4:$A$40,'Floor-U'!$I$4:$I$40)*Detached!Z$15)+(LOOKUP(Detached!Z$2,'Wall-U'!$A$4:$A$40,'Wall-U'!$AB$4:$AB$40)*Detached!Z$12)+(LOOKUP(Detached!Z$2,'Window-U'!$A$4:$A$40,'Window-U'!$I$4:$I$40)*Detached!Z$21))*Z202</f>
        <v>234.14070429658855</v>
      </c>
      <c r="AA207" s="177">
        <f>((LOOKUP(Detached!AA$2,'Ceiling-U'!$A$4:$A$40,'Ceiling-U'!$I$4:$I$40)*Detached!AA$14)+(LOOKUP(Detached!AA$2,'Floor-U'!$A$4:$A$40,'Floor-U'!$I$4:$I$40)*Detached!AA$15)+(LOOKUP(Detached!AA$2,'Wall-U'!$A$4:$A$40,'Wall-U'!$AB$4:$AB$40)*Detached!AA$12)+(LOOKUP(Detached!AA$2,'Window-U'!$A$4:$A$40,'Window-U'!$I$4:$I$40)*Detached!AA$21))*AA202</f>
        <v>121.80156207882806</v>
      </c>
      <c r="AB207" s="177">
        <f>((LOOKUP(Detached!AB$2,'Ceiling-U'!$A$4:$A$40,'Ceiling-U'!$I$4:$I$40)*Detached!AB$14)+(LOOKUP(Detached!AB$2,'Floor-U'!$A$4:$A$40,'Floor-U'!$I$4:$I$40)*Detached!AB$15)+(LOOKUP(Detached!AB$2,'Wall-U'!$A$4:$A$40,'Wall-U'!$AB$4:$AB$40)*Detached!AB$12)+(LOOKUP(Detached!AB$2,'Window-U'!$A$4:$A$40,'Window-U'!$I$4:$I$40)*Detached!AB$21))*AB202</f>
        <v>201.28622504992427</v>
      </c>
      <c r="AC207" s="177">
        <f>((LOOKUP(Detached!AC$2,'Ceiling-U'!$A$4:$A$40,'Ceiling-U'!$I$4:$I$40)*Detached!AC$14)+(LOOKUP(Detached!AC$2,'Floor-U'!$A$4:$A$40,'Floor-U'!$I$4:$I$40)*Detached!AC$15)+(LOOKUP(Detached!AC$2,'Wall-U'!$A$4:$A$40,'Wall-U'!$AB$4:$AB$40)*Detached!AC$12)+(LOOKUP(Detached!AC$2,'Window-U'!$A$4:$A$40,'Window-U'!$I$4:$I$40)*Detached!AC$21))*AC202</f>
        <v>513.42573787674951</v>
      </c>
      <c r="AD207" s="177">
        <f>((LOOKUP(Detached!AD$2,'Ceiling-U'!$A$4:$A$40,'Ceiling-U'!$I$4:$I$40)*Detached!AD$14)+(LOOKUP(Detached!AD$2,'Floor-U'!$A$4:$A$40,'Floor-U'!$I$4:$I$40)*Detached!AD$15)+(LOOKUP(Detached!AD$2,'Wall-U'!$A$4:$A$40,'Wall-U'!$AB$4:$AB$40)*Detached!AD$12)+(LOOKUP(Detached!AD$2,'Window-U'!$A$4:$A$40,'Window-U'!$I$4:$I$40)*Detached!AD$21))*AD202</f>
        <v>226.70020520954813</v>
      </c>
      <c r="AE207" s="177">
        <f>((LOOKUP(Detached!AE$2,'Ceiling-U'!$A$4:$A$40,'Ceiling-U'!$I$4:$I$40)*Detached!AE$14)+(LOOKUP(Detached!AE$2,'Floor-U'!$A$4:$A$40,'Floor-U'!$I$4:$I$40)*Detached!AE$15)+(LOOKUP(Detached!AE$2,'Wall-U'!$A$4:$A$40,'Wall-U'!$AB$4:$AB$40)*Detached!AE$12)+(LOOKUP(Detached!AE$2,'Window-U'!$A$4:$A$40,'Window-U'!$I$4:$I$40)*Detached!AE$21))*AE202</f>
        <v>121.80156207882806</v>
      </c>
      <c r="AF207" s="177">
        <f>((LOOKUP(Detached!AF$2,'Ceiling-U'!$A$4:$A$40,'Ceiling-U'!$I$4:$I$40)*Detached!AF$14)+(LOOKUP(Detached!AF$2,'Floor-U'!$A$4:$A$40,'Floor-U'!$I$4:$I$40)*Detached!AF$15)+(LOOKUP(Detached!AF$2,'Wall-U'!$A$4:$A$40,'Wall-U'!$AB$4:$AB$40)*Detached!AF$12)+(LOOKUP(Detached!AF$2,'Window-U'!$A$4:$A$40,'Window-U'!$I$4:$I$40)*Detached!AF$21))*AF202</f>
        <v>144.84098287216136</v>
      </c>
      <c r="AG207" s="177">
        <f>((LOOKUP(Detached!AG$2,'Ceiling-U'!$A$4:$A$40,'Ceiling-U'!$I$4:$I$40)*Detached!AG$14)+(LOOKUP(Detached!AG$2,'Floor-U'!$A$4:$A$40,'Floor-U'!$I$4:$I$40)*Detached!AG$15)+(LOOKUP(Detached!AG$2,'Wall-U'!$A$4:$A$40,'Wall-U'!$AB$4:$AB$40)*Detached!AG$12)+(LOOKUP(Detached!AG$2,'Window-U'!$A$4:$A$40,'Window-U'!$I$4:$I$40)*Detached!AG$21))*AG202</f>
        <v>264.10130205206428</v>
      </c>
      <c r="AH207" s="177">
        <f>((LOOKUP(Detached!AH$2,'Ceiling-U'!$A$4:$A$40,'Ceiling-U'!$I$4:$I$40)*Detached!AH$14)+(LOOKUP(Detached!AH$2,'Floor-U'!$A$4:$A$40,'Floor-U'!$I$4:$I$40)*Detached!AH$15)+(LOOKUP(Detached!AH$2,'Wall-U'!$A$4:$A$40,'Wall-U'!$AB$4:$AB$40)*Detached!AH$12)+(LOOKUP(Detached!AH$2,'Window-U'!$A$4:$A$40,'Window-U'!$I$4:$I$40)*Detached!AH$21))*AH202</f>
        <v>141.80330708153892</v>
      </c>
      <c r="AI207" s="177">
        <f>((LOOKUP(Detached!AI$2,'Ceiling-U'!$A$4:$A$40,'Ceiling-U'!$I$4:$I$40)*Detached!AI$14)+(LOOKUP(Detached!AI$2,'Floor-U'!$A$4:$A$40,'Floor-U'!$I$4:$I$40)*Detached!AI$15)+(LOOKUP(Detached!AI$2,'Wall-U'!$A$4:$A$40,'Wall-U'!$AB$4:$AB$40)*Detached!AI$12)+(LOOKUP(Detached!AI$2,'Window-U'!$A$4:$A$40,'Window-U'!$I$4:$I$40)*Detached!AI$21))*AI202</f>
        <v>493.28637340128461</v>
      </c>
      <c r="AJ207" s="177">
        <f>((LOOKUP(Detached!AJ$2,'Ceiling-U'!$A$4:$A$40,'Ceiling-U'!$I$4:$I$40)*Detached!AJ$14)+(LOOKUP(Detached!AJ$2,'Floor-U'!$A$4:$A$40,'Floor-U'!$I$4:$I$40)*Detached!AJ$15)+(LOOKUP(Detached!AJ$2,'Wall-U'!$A$4:$A$40,'Wall-U'!$AB$4:$AB$40)*Detached!AJ$12)+(LOOKUP(Detached!AJ$2,'Window-U'!$A$4:$A$40,'Window-U'!$I$4:$I$40)*Detached!AJ$21))*AJ202</f>
        <v>198.03800783102378</v>
      </c>
      <c r="AK207" s="177">
        <f>((LOOKUP(Detached!AK$2,'Ceiling-U'!$A$4:$A$40,'Ceiling-U'!$I$4:$I$40)*Detached!AK$14)+(LOOKUP(Detached!AK$2,'Floor-U'!$A$4:$A$40,'Floor-U'!$I$4:$I$40)*Detached!AK$15)+(LOOKUP(Detached!AK$2,'Wall-U'!$A$4:$A$40,'Wall-U'!$AB$4:$AB$40)*Detached!AK$12)+(LOOKUP(Detached!AK$2,'Window-U'!$A$4:$A$40,'Window-U'!$I$4:$I$40)*Detached!AK$21))*AK202</f>
        <v>227.51262113027997</v>
      </c>
      <c r="AL207" s="177">
        <f>((LOOKUP(Detached!AL$2,'Ceiling-U'!$A$4:$A$40,'Ceiling-U'!$I$4:$I$40)*Detached!AL$14)+(LOOKUP(Detached!AL$2,'Floor-U'!$A$4:$A$40,'Floor-U'!$I$4:$I$40)*Detached!AL$15)+(LOOKUP(Detached!AL$2,'Wall-U'!$A$4:$A$40,'Wall-U'!$AB$4:$AB$40)*Detached!AL$12)+(LOOKUP(Detached!AL$2,'Window-U'!$A$4:$A$40,'Window-U'!$I$4:$I$40)*Detached!AL$21))*AL202</f>
        <v>158.69541290459892</v>
      </c>
      <c r="AM207" s="177">
        <f>((LOOKUP(Detached!AM$2,'Ceiling-U'!$A$4:$A$40,'Ceiling-U'!$I$4:$I$40)*Detached!AM$14)+(LOOKUP(Detached!AM$2,'Floor-U'!$A$4:$A$40,'Floor-U'!$I$4:$I$40)*Detached!AM$15)+(LOOKUP(Detached!AM$2,'Wall-U'!$A$4:$A$40,'Wall-U'!$AB$4:$AB$40)*Detached!AM$12)+(LOOKUP(Detached!AM$2,'Window-U'!$A$4:$A$40,'Window-U'!$I$4:$I$40)*Detached!AM$21))*AM202</f>
        <v>198.03800783102378</v>
      </c>
      <c r="AN207" s="178">
        <f>((LOOKUP(Detached!AN$2,'Ceiling-U'!$A$4:$A$40,'Ceiling-U'!$I$4:$I$40)*Detached!AN$14)+(LOOKUP(Detached!AN$2,'Floor-U'!$A$4:$A$40,'Floor-U'!$I$4:$I$40)*Detached!AN$15)+(LOOKUP(Detached!AN$2,'Wall-U'!$A$4:$A$40,'Wall-U'!$AB$4:$AB$40)*Detached!AN$12)+(LOOKUP(Detached!AN$2,'Window-U'!$A$4:$A$40,'Window-U'!$I$4:$I$40)*Detached!AN$21))*AN202</f>
        <v>198.03800783102378</v>
      </c>
    </row>
    <row r="208" spans="1:40">
      <c r="A208" s="373"/>
      <c r="B208" s="374" t="s">
        <v>7</v>
      </c>
      <c r="C208" s="131" t="s">
        <v>195</v>
      </c>
      <c r="D208" s="176">
        <f>((LOOKUP(Detached!D$2,'Ceiling-U'!$A$4:$A$40,'Ceiling-U'!$J$4:$J$40)*Detached!D$14)+(LOOKUP(Detached!D$2,'Floor-U'!$A$4:$A$40,'Floor-U'!$J$4:$J$40)*Detached!D$15)+(LOOKUP(Detached!D$2,'Wall-U'!$A$4:$A$40,'Wall-U'!$AC$4:$AC$40)*Detached!D$12)+(LOOKUP(Detached!D$2,'Window-U'!$A$4:$A$40,'Window-U'!$J$4:$J$40)*Detached!D$21))*D202</f>
        <v>131.38764568416417</v>
      </c>
      <c r="E208" s="174">
        <f>((LOOKUP(Detached!E$2,'Ceiling-U'!$A$4:$A$40,'Ceiling-U'!$J$4:$J$40)*Detached!E$14)+(LOOKUP(Detached!E$2,'Floor-U'!$A$4:$A$40,'Floor-U'!$J$4:$J$40)*Detached!E$15)+(LOOKUP(Detached!E$2,'Wall-U'!$A$4:$A$40,'Wall-U'!$AC$4:$AC$40)*Detached!E$12)+(LOOKUP(Detached!E$2,'Window-U'!$A$4:$A$40,'Window-U'!$J$4:$J$40)*Detached!E$21))*E202</f>
        <v>205.68162808565103</v>
      </c>
      <c r="F208" s="174">
        <f>((LOOKUP(Detached!F$2,'Ceiling-U'!$A$4:$A$40,'Ceiling-U'!$J$4:$J$40)*Detached!F$14)+(LOOKUP(Detached!F$2,'Floor-U'!$A$4:$A$40,'Floor-U'!$J$4:$J$40)*Detached!F$15)+(LOOKUP(Detached!F$2,'Wall-U'!$A$4:$A$40,'Wall-U'!$AC$4:$AC$40)*Detached!F$12)+(LOOKUP(Detached!F$2,'Window-U'!$A$4:$A$40,'Window-U'!$J$4:$J$40)*Detached!F$21))*F202</f>
        <v>125.14428347844309</v>
      </c>
      <c r="G208" s="174">
        <f>((LOOKUP(Detached!G$2,'Ceiling-U'!$A$4:$A$40,'Ceiling-U'!$J$4:$J$40)*Detached!G$14)+(LOOKUP(Detached!G$2,'Floor-U'!$A$4:$A$40,'Floor-U'!$J$4:$J$40)*Detached!G$15)+(LOOKUP(Detached!G$2,'Wall-U'!$A$4:$A$40,'Wall-U'!$AC$4:$AC$40)*Detached!G$12)+(LOOKUP(Detached!G$2,'Window-U'!$A$4:$A$40,'Window-U'!$J$4:$J$40)*Detached!G$21))*G202</f>
        <v>131.38764568416417</v>
      </c>
      <c r="H208" s="174">
        <f>((LOOKUP(Detached!H$2,'Ceiling-U'!$A$4:$A$40,'Ceiling-U'!$J$4:$J$40)*Detached!H$14)+(LOOKUP(Detached!H$2,'Floor-U'!$A$4:$A$40,'Floor-U'!$J$4:$J$40)*Detached!H$15)+(LOOKUP(Detached!H$2,'Wall-U'!$A$4:$A$40,'Wall-U'!$AC$4:$AC$40)*Detached!H$12)+(LOOKUP(Detached!H$2,'Window-U'!$A$4:$A$40,'Window-U'!$J$4:$J$40)*Detached!H$21))*H202</f>
        <v>374.11869273265188</v>
      </c>
      <c r="I208" s="174">
        <f>((LOOKUP(Detached!I$2,'Ceiling-U'!$A$4:$A$40,'Ceiling-U'!$J$4:$J$40)*Detached!I$14)+(LOOKUP(Detached!I$2,'Floor-U'!$A$4:$A$40,'Floor-U'!$J$4:$J$40)*Detached!I$15)+(LOOKUP(Detached!I$2,'Wall-U'!$A$4:$A$40,'Wall-U'!$AC$4:$AC$40)*Detached!I$12)+(LOOKUP(Detached!I$2,'Window-U'!$A$4:$A$40,'Window-U'!$J$4:$J$40)*Detached!I$21))*I202</f>
        <v>125.34994882065932</v>
      </c>
      <c r="J208" s="174">
        <f>((LOOKUP(Detached!J$2,'Ceiling-U'!$A$4:$A$40,'Ceiling-U'!$J$4:$J$40)*Detached!J$14)+(LOOKUP(Detached!J$2,'Floor-U'!$A$4:$A$40,'Floor-U'!$J$4:$J$40)*Detached!J$15)+(LOOKUP(Detached!J$2,'Wall-U'!$A$4:$A$40,'Wall-U'!$AC$4:$AC$40)*Detached!J$12)+(LOOKUP(Detached!J$2,'Window-U'!$A$4:$A$40,'Window-U'!$J$4:$J$40)*Detached!J$21))*J202</f>
        <v>118.55614457406207</v>
      </c>
      <c r="K208" s="174">
        <f>((LOOKUP(Detached!K$2,'Ceiling-U'!$A$4:$A$40,'Ceiling-U'!$J$4:$J$40)*Detached!K$14)+(LOOKUP(Detached!K$2,'Floor-U'!$A$4:$A$40,'Floor-U'!$J$4:$J$40)*Detached!K$15)+(LOOKUP(Detached!K$2,'Wall-U'!$A$4:$A$40,'Wall-U'!$AC$4:$AC$40)*Detached!K$12)+(LOOKUP(Detached!K$2,'Window-U'!$A$4:$A$40,'Window-U'!$J$4:$J$40)*Detached!K$21))*K202</f>
        <v>105.13792376535176</v>
      </c>
      <c r="L208" s="174">
        <f>((LOOKUP(Detached!L$2,'Ceiling-U'!$A$4:$A$40,'Ceiling-U'!$J$4:$J$40)*Detached!L$14)+(LOOKUP(Detached!L$2,'Floor-U'!$A$4:$A$40,'Floor-U'!$J$4:$J$40)*Detached!L$15)+(LOOKUP(Detached!L$2,'Wall-U'!$A$4:$A$40,'Wall-U'!$AC$4:$AC$40)*Detached!L$12)+(LOOKUP(Detached!L$2,'Window-U'!$A$4:$A$40,'Window-U'!$J$4:$J$40)*Detached!L$21))*L202</f>
        <v>72.002411459732031</v>
      </c>
      <c r="M208" s="174">
        <f>((LOOKUP(Detached!M$2,'Ceiling-U'!$A$4:$A$40,'Ceiling-U'!$J$4:$J$40)*Detached!M$14)+(LOOKUP(Detached!M$2,'Floor-U'!$A$4:$A$40,'Floor-U'!$J$4:$J$40)*Detached!M$15)+(LOOKUP(Detached!M$2,'Wall-U'!$A$4:$A$40,'Wall-U'!$AC$4:$AC$40)*Detached!M$12)+(LOOKUP(Detached!M$2,'Window-U'!$A$4:$A$40,'Window-U'!$J$4:$J$40)*Detached!M$21))*M202</f>
        <v>228.59942799796644</v>
      </c>
      <c r="N208" s="174">
        <f>((LOOKUP(Detached!N$2,'Ceiling-U'!$A$4:$A$40,'Ceiling-U'!$J$4:$J$40)*Detached!N$14)+(LOOKUP(Detached!N$2,'Floor-U'!$A$4:$A$40,'Floor-U'!$J$4:$J$40)*Detached!N$15)+(LOOKUP(Detached!N$2,'Wall-U'!$A$4:$A$40,'Wall-U'!$AC$4:$AC$40)*Detached!N$12)+(LOOKUP(Detached!N$2,'Window-U'!$A$4:$A$40,'Window-U'!$J$4:$J$40)*Detached!N$21))*N202</f>
        <v>98.682335499987886</v>
      </c>
      <c r="O208" s="174">
        <f>((LOOKUP(Detached!O$2,'Ceiling-U'!$A$4:$A$40,'Ceiling-U'!$J$4:$J$40)*Detached!O$14)+(LOOKUP(Detached!O$2,'Floor-U'!$A$4:$A$40,'Floor-U'!$J$4:$J$40)*Detached!O$15)+(LOOKUP(Detached!O$2,'Wall-U'!$A$4:$A$40,'Wall-U'!$AC$4:$AC$40)*Detached!O$12)+(LOOKUP(Detached!O$2,'Window-U'!$A$4:$A$40,'Window-U'!$J$4:$J$40)*Detached!O$21))*O202</f>
        <v>132.54006979870803</v>
      </c>
      <c r="P208" s="174">
        <f>((LOOKUP(Detached!P$2,'Ceiling-U'!$A$4:$A$40,'Ceiling-U'!$J$4:$J$40)*Detached!P$14)+(LOOKUP(Detached!P$2,'Floor-U'!$A$4:$A$40,'Floor-U'!$J$4:$J$40)*Detached!P$15)+(LOOKUP(Detached!P$2,'Wall-U'!$A$4:$A$40,'Wall-U'!$AC$4:$AC$40)*Detached!P$12)+(LOOKUP(Detached!P$2,'Window-U'!$A$4:$A$40,'Window-U'!$J$4:$J$40)*Detached!P$21))*P202</f>
        <v>209.81134705771589</v>
      </c>
      <c r="Q208" s="174">
        <f>((LOOKUP(Detached!Q$2,'Ceiling-U'!$A$4:$A$40,'Ceiling-U'!$J$4:$J$40)*Detached!Q$14)+(LOOKUP(Detached!Q$2,'Floor-U'!$A$4:$A$40,'Floor-U'!$J$4:$J$40)*Detached!Q$15)+(LOOKUP(Detached!Q$2,'Wall-U'!$A$4:$A$40,'Wall-U'!$AC$4:$AC$40)*Detached!Q$12)+(LOOKUP(Detached!Q$2,'Window-U'!$A$4:$A$40,'Window-U'!$J$4:$J$40)*Detached!Q$21))*Q202</f>
        <v>119.81892372010702</v>
      </c>
      <c r="R208" s="174">
        <f>((LOOKUP(Detached!R$2,'Ceiling-U'!$A$4:$A$40,'Ceiling-U'!$J$4:$J$40)*Detached!R$14)+(LOOKUP(Detached!R$2,'Floor-U'!$A$4:$A$40,'Floor-U'!$J$4:$J$40)*Detached!R$15)+(LOOKUP(Detached!R$2,'Wall-U'!$A$4:$A$40,'Wall-U'!$AC$4:$AC$40)*Detached!R$12)+(LOOKUP(Detached!R$2,'Window-U'!$A$4:$A$40,'Window-U'!$J$4:$J$40)*Detached!R$21))*R202</f>
        <v>123.27266742334996</v>
      </c>
      <c r="S208" s="174">
        <f>((LOOKUP(Detached!S$2,'Ceiling-U'!$A$4:$A$40,'Ceiling-U'!$J$4:$J$40)*Detached!S$14)+(LOOKUP(Detached!S$2,'Floor-U'!$A$4:$A$40,'Floor-U'!$J$4:$J$40)*Detached!S$15)+(LOOKUP(Detached!S$2,'Wall-U'!$A$4:$A$40,'Wall-U'!$AC$4:$AC$40)*Detached!S$12)+(LOOKUP(Detached!S$2,'Window-U'!$A$4:$A$40,'Window-U'!$J$4:$J$40)*Detached!S$21))*S202</f>
        <v>155.4145599849071</v>
      </c>
      <c r="T208" s="174">
        <f>((LOOKUP(Detached!T$2,'Ceiling-U'!$A$4:$A$40,'Ceiling-U'!$J$4:$J$40)*Detached!T$14)+(LOOKUP(Detached!T$2,'Floor-U'!$A$4:$A$40,'Floor-U'!$J$4:$J$40)*Detached!T$15)+(LOOKUP(Detached!T$2,'Wall-U'!$A$4:$A$40,'Wall-U'!$AC$4:$AC$40)*Detached!T$12)+(LOOKUP(Detached!T$2,'Window-U'!$A$4:$A$40,'Window-U'!$J$4:$J$40)*Detached!T$21))*T202</f>
        <v>98.682335499987886</v>
      </c>
      <c r="U208" s="174">
        <f>((LOOKUP(Detached!U$2,'Ceiling-U'!$A$4:$A$40,'Ceiling-U'!$J$4:$J$40)*Detached!U$14)+(LOOKUP(Detached!U$2,'Floor-U'!$A$4:$A$40,'Floor-U'!$J$4:$J$40)*Detached!U$15)+(LOOKUP(Detached!U$2,'Wall-U'!$A$4:$A$40,'Wall-U'!$AC$4:$AC$40)*Detached!U$12)+(LOOKUP(Detached!U$2,'Window-U'!$A$4:$A$40,'Window-U'!$J$4:$J$40)*Detached!U$21))*U202</f>
        <v>316.46720620772095</v>
      </c>
      <c r="V208" s="174">
        <f>((LOOKUP(Detached!V$2,'Ceiling-U'!$A$4:$A$40,'Ceiling-U'!$J$4:$J$40)*Detached!V$14)+(LOOKUP(Detached!V$2,'Floor-U'!$A$4:$A$40,'Floor-U'!$J$4:$J$40)*Detached!V$15)+(LOOKUP(Detached!V$2,'Wall-U'!$A$4:$A$40,'Wall-U'!$AC$4:$AC$40)*Detached!V$12)+(LOOKUP(Detached!V$2,'Window-U'!$A$4:$A$40,'Window-U'!$J$4:$J$40)*Detached!V$21))*V202</f>
        <v>104.79001257909709</v>
      </c>
      <c r="W208" s="174">
        <f>((LOOKUP(Detached!W$2,'Ceiling-U'!$A$4:$A$40,'Ceiling-U'!$J$4:$J$40)*Detached!W$14)+(LOOKUP(Detached!W$2,'Floor-U'!$A$4:$A$40,'Floor-U'!$J$4:$J$40)*Detached!W$15)+(LOOKUP(Detached!W$2,'Wall-U'!$A$4:$A$40,'Wall-U'!$AC$4:$AC$40)*Detached!W$12)+(LOOKUP(Detached!W$2,'Window-U'!$A$4:$A$40,'Window-U'!$J$4:$J$40)*Detached!W$21))*W202</f>
        <v>103.88296854253565</v>
      </c>
      <c r="X208" s="174">
        <f>((LOOKUP(Detached!X$2,'Ceiling-U'!$A$4:$A$40,'Ceiling-U'!$J$4:$J$40)*Detached!X$14)+(LOOKUP(Detached!X$2,'Floor-U'!$A$4:$A$40,'Floor-U'!$J$4:$J$40)*Detached!X$15)+(LOOKUP(Detached!X$2,'Wall-U'!$A$4:$A$40,'Wall-U'!$AC$4:$AC$40)*Detached!X$12)+(LOOKUP(Detached!X$2,'Window-U'!$A$4:$A$40,'Window-U'!$J$4:$J$40)*Detached!X$21))*X202</f>
        <v>98.193500766366952</v>
      </c>
      <c r="Y208" s="174">
        <f>((LOOKUP(Detached!Y$2,'Ceiling-U'!$A$4:$A$40,'Ceiling-U'!$J$4:$J$40)*Detached!Y$14)+(LOOKUP(Detached!Y$2,'Floor-U'!$A$4:$A$40,'Floor-U'!$J$4:$J$40)*Detached!Y$15)+(LOOKUP(Detached!Y$2,'Wall-U'!$A$4:$A$40,'Wall-U'!$AC$4:$AC$40)*Detached!Y$12)+(LOOKUP(Detached!Y$2,'Window-U'!$A$4:$A$40,'Window-U'!$J$4:$J$40)*Detached!Y$21))*Y202</f>
        <v>469.79322862512782</v>
      </c>
      <c r="Z208" s="174">
        <f>((LOOKUP(Detached!Z$2,'Ceiling-U'!$A$4:$A$40,'Ceiling-U'!$J$4:$J$40)*Detached!Z$14)+(LOOKUP(Detached!Z$2,'Floor-U'!$A$4:$A$40,'Floor-U'!$J$4:$J$40)*Detached!Z$15)+(LOOKUP(Detached!Z$2,'Wall-U'!$A$4:$A$40,'Wall-U'!$AC$4:$AC$40)*Detached!Z$12)+(LOOKUP(Detached!Z$2,'Window-U'!$A$4:$A$40,'Window-U'!$J$4:$J$40)*Detached!Z$21))*Z202</f>
        <v>155.7962669489354</v>
      </c>
      <c r="AA208" s="174">
        <f>((LOOKUP(Detached!AA$2,'Ceiling-U'!$A$4:$A$40,'Ceiling-U'!$J$4:$J$40)*Detached!AA$14)+(LOOKUP(Detached!AA$2,'Floor-U'!$A$4:$A$40,'Floor-U'!$J$4:$J$40)*Detached!AA$15)+(LOOKUP(Detached!AA$2,'Wall-U'!$A$4:$A$40,'Wall-U'!$AC$4:$AC$40)*Detached!AA$12)+(LOOKUP(Detached!AA$2,'Window-U'!$A$4:$A$40,'Window-U'!$J$4:$J$40)*Detached!AA$21))*AA202</f>
        <v>101.71920207882806</v>
      </c>
      <c r="AB208" s="174">
        <f>((LOOKUP(Detached!AB$2,'Ceiling-U'!$A$4:$A$40,'Ceiling-U'!$J$4:$J$40)*Detached!AB$14)+(LOOKUP(Detached!AB$2,'Floor-U'!$A$4:$A$40,'Floor-U'!$J$4:$J$40)*Detached!AB$15)+(LOOKUP(Detached!AB$2,'Wall-U'!$A$4:$A$40,'Wall-U'!$AC$4:$AC$40)*Detached!AB$12)+(LOOKUP(Detached!AB$2,'Window-U'!$A$4:$A$40,'Window-U'!$J$4:$J$40)*Detached!AB$21))*AB202</f>
        <v>176.9996801272857</v>
      </c>
      <c r="AC208" s="174">
        <f>((LOOKUP(Detached!AC$2,'Ceiling-U'!$A$4:$A$40,'Ceiling-U'!$J$4:$J$40)*Detached!AC$14)+(LOOKUP(Detached!AC$2,'Floor-U'!$A$4:$A$40,'Floor-U'!$J$4:$J$40)*Detached!AC$15)+(LOOKUP(Detached!AC$2,'Wall-U'!$A$4:$A$40,'Wall-U'!$AC$4:$AC$40)*Detached!AC$12)+(LOOKUP(Detached!AC$2,'Window-U'!$A$4:$A$40,'Window-U'!$J$4:$J$40)*Detached!AC$21))*AC202</f>
        <v>337.28505940225364</v>
      </c>
      <c r="AD208" s="174">
        <f>((LOOKUP(Detached!AD$2,'Ceiling-U'!$A$4:$A$40,'Ceiling-U'!$J$4:$J$40)*Detached!AD$14)+(LOOKUP(Detached!AD$2,'Floor-U'!$A$4:$A$40,'Floor-U'!$J$4:$J$40)*Detached!AD$15)+(LOOKUP(Detached!AD$2,'Wall-U'!$A$4:$A$40,'Wall-U'!$AC$4:$AC$40)*Detached!AD$12)+(LOOKUP(Detached!AD$2,'Window-U'!$A$4:$A$40,'Window-U'!$J$4:$J$40)*Detached!AD$21))*AD202</f>
        <v>183.35159753830393</v>
      </c>
      <c r="AE208" s="174">
        <f>((LOOKUP(Detached!AE$2,'Ceiling-U'!$A$4:$A$40,'Ceiling-U'!$J$4:$J$40)*Detached!AE$14)+(LOOKUP(Detached!AE$2,'Floor-U'!$A$4:$A$40,'Floor-U'!$J$4:$J$40)*Detached!AE$15)+(LOOKUP(Detached!AE$2,'Wall-U'!$A$4:$A$40,'Wall-U'!$AC$4:$AC$40)*Detached!AE$12)+(LOOKUP(Detached!AE$2,'Window-U'!$A$4:$A$40,'Window-U'!$J$4:$J$40)*Detached!AE$21))*AE202</f>
        <v>101.71920207882806</v>
      </c>
      <c r="AF208" s="174">
        <f>((LOOKUP(Detached!AF$2,'Ceiling-U'!$A$4:$A$40,'Ceiling-U'!$J$4:$J$40)*Detached!AF$14)+(LOOKUP(Detached!AF$2,'Floor-U'!$A$4:$A$40,'Floor-U'!$J$4:$J$40)*Detached!AF$15)+(LOOKUP(Detached!AF$2,'Wall-U'!$A$4:$A$40,'Wall-U'!$AC$4:$AC$40)*Detached!AF$12)+(LOOKUP(Detached!AF$2,'Window-U'!$A$4:$A$40,'Window-U'!$J$4:$J$40)*Detached!AF$21))*AF202</f>
        <v>89.668204102463676</v>
      </c>
      <c r="AG208" s="174">
        <f>((LOOKUP(Detached!AG$2,'Ceiling-U'!$A$4:$A$40,'Ceiling-U'!$J$4:$J$40)*Detached!AG$14)+(LOOKUP(Detached!AG$2,'Floor-U'!$A$4:$A$40,'Floor-U'!$J$4:$J$40)*Detached!AG$15)+(LOOKUP(Detached!AG$2,'Wall-U'!$A$4:$A$40,'Wall-U'!$AC$4:$AC$40)*Detached!AG$12)+(LOOKUP(Detached!AG$2,'Window-U'!$A$4:$A$40,'Window-U'!$J$4:$J$40)*Detached!AG$21))*AG202</f>
        <v>166.42104325410392</v>
      </c>
      <c r="AH208" s="174">
        <f>((LOOKUP(Detached!AH$2,'Ceiling-U'!$A$4:$A$40,'Ceiling-U'!$J$4:$J$40)*Detached!AH$14)+(LOOKUP(Detached!AH$2,'Floor-U'!$A$4:$A$40,'Floor-U'!$J$4:$J$40)*Detached!AH$15)+(LOOKUP(Detached!AH$2,'Wall-U'!$A$4:$A$40,'Wall-U'!$AC$4:$AC$40)*Detached!AH$12)+(LOOKUP(Detached!AH$2,'Window-U'!$A$4:$A$40,'Window-U'!$J$4:$J$40)*Detached!AH$21))*AH202</f>
        <v>120.7684232185596</v>
      </c>
      <c r="AI208" s="174">
        <f>((LOOKUP(Detached!AI$2,'Ceiling-U'!$A$4:$A$40,'Ceiling-U'!$J$4:$J$40)*Detached!AI$14)+(LOOKUP(Detached!AI$2,'Floor-U'!$A$4:$A$40,'Floor-U'!$J$4:$J$40)*Detached!AI$15)+(LOOKUP(Detached!AI$2,'Wall-U'!$A$4:$A$40,'Wall-U'!$AC$4:$AC$40)*Detached!AI$12)+(LOOKUP(Detached!AI$2,'Window-U'!$A$4:$A$40,'Window-U'!$J$4:$J$40)*Detached!AI$21))*AI202</f>
        <v>209.81134705771589</v>
      </c>
      <c r="AJ208" s="174">
        <f>((LOOKUP(Detached!AJ$2,'Ceiling-U'!$A$4:$A$40,'Ceiling-U'!$J$4:$J$40)*Detached!AJ$14)+(LOOKUP(Detached!AJ$2,'Floor-U'!$A$4:$A$40,'Floor-U'!$J$4:$J$40)*Detached!AJ$15)+(LOOKUP(Detached!AJ$2,'Wall-U'!$A$4:$A$40,'Wall-U'!$AC$4:$AC$40)*Detached!AJ$12)+(LOOKUP(Detached!AJ$2,'Window-U'!$A$4:$A$40,'Window-U'!$J$4:$J$40)*Detached!AJ$21))*AJ202</f>
        <v>174.17975430899753</v>
      </c>
      <c r="AK208" s="174">
        <f>((LOOKUP(Detached!AK$2,'Ceiling-U'!$A$4:$A$40,'Ceiling-U'!$J$4:$J$40)*Detached!AK$14)+(LOOKUP(Detached!AK$2,'Floor-U'!$A$4:$A$40,'Floor-U'!$J$4:$J$40)*Detached!AK$15)+(LOOKUP(Detached!AK$2,'Wall-U'!$A$4:$A$40,'Wall-U'!$AC$4:$AC$40)*Detached!AK$12)+(LOOKUP(Detached!AK$2,'Window-U'!$A$4:$A$40,'Window-U'!$J$4:$J$40)*Detached!AK$21))*AK202</f>
        <v>201.0191665425283</v>
      </c>
      <c r="AL208" s="174">
        <f>((LOOKUP(Detached!AL$2,'Ceiling-U'!$A$4:$A$40,'Ceiling-U'!$J$4:$J$40)*Detached!AL$14)+(LOOKUP(Detached!AL$2,'Floor-U'!$A$4:$A$40,'Floor-U'!$J$4:$J$40)*Detached!AL$15)+(LOOKUP(Detached!AL$2,'Wall-U'!$A$4:$A$40,'Wall-U'!$AC$4:$AC$40)*Detached!AL$12)+(LOOKUP(Detached!AL$2,'Window-U'!$A$4:$A$40,'Window-U'!$J$4:$J$40)*Detached!AL$21))*AL202</f>
        <v>129.08809587347227</v>
      </c>
      <c r="AM208" s="174">
        <f>((LOOKUP(Detached!AM$2,'Ceiling-U'!$A$4:$A$40,'Ceiling-U'!$J$4:$J$40)*Detached!AM$14)+(LOOKUP(Detached!AM$2,'Floor-U'!$A$4:$A$40,'Floor-U'!$J$4:$J$40)*Detached!AM$15)+(LOOKUP(Detached!AM$2,'Wall-U'!$A$4:$A$40,'Wall-U'!$AC$4:$AC$40)*Detached!AM$12)+(LOOKUP(Detached!AM$2,'Window-U'!$A$4:$A$40,'Window-U'!$J$4:$J$40)*Detached!AM$21))*AM202</f>
        <v>174.17975430899753</v>
      </c>
      <c r="AN208" s="175">
        <f>((LOOKUP(Detached!AN$2,'Ceiling-U'!$A$4:$A$40,'Ceiling-U'!$J$4:$J$40)*Detached!AN$14)+(LOOKUP(Detached!AN$2,'Floor-U'!$A$4:$A$40,'Floor-U'!$J$4:$J$40)*Detached!AN$15)+(LOOKUP(Detached!AN$2,'Wall-U'!$A$4:$A$40,'Wall-U'!$AC$4:$AC$40)*Detached!AN$12)+(LOOKUP(Detached!AN$2,'Window-U'!$A$4:$A$40,'Window-U'!$J$4:$J$40)*Detached!AN$21))*AN202</f>
        <v>174.17975430899753</v>
      </c>
    </row>
    <row r="209" spans="1:40">
      <c r="A209" s="332" t="s">
        <v>280</v>
      </c>
      <c r="B209" s="142" t="s">
        <v>2</v>
      </c>
      <c r="C209" s="360" t="s">
        <v>261</v>
      </c>
      <c r="D209" s="351">
        <f>D203*24*LOOKUP(Detached!D$2,'HDD-by Country'!$A$4:$A$40,'HDD-by Country'!$C$4:$C$40)/1000</f>
        <v>25892.755188024548</v>
      </c>
      <c r="E209" s="352">
        <f>E203*24*LOOKUP(Detached!E$2,'HDD-by Country'!$A$4:$A$40,'HDD-by Country'!$C$4:$C$40)/1000</f>
        <v>27067.596771767967</v>
      </c>
      <c r="F209" s="352">
        <f>F203*24*LOOKUP(Detached!F$2,'HDD-by Country'!$A$4:$A$40,'HDD-by Country'!$C$4:$C$40)/1000</f>
        <v>13798.038008604917</v>
      </c>
      <c r="G209" s="352">
        <f>G203*24*LOOKUP(Detached!G$2,'HDD-by Country'!$A$4:$A$40,'HDD-by Country'!$C$4:$C$40)/1000</f>
        <v>25226.237706967393</v>
      </c>
      <c r="H209" s="352">
        <f>H203*24*LOOKUP(Detached!H$2,'HDD-by Country'!$A$4:$A$40,'HDD-by Country'!$C$4:$C$40)/1000</f>
        <v>9823.5928548789161</v>
      </c>
      <c r="I209" s="352">
        <f>I203*24*LOOKUP(Detached!I$2,'HDD-by Country'!$A$4:$A$40,'HDD-by Country'!$C$4:$C$40)/1000</f>
        <v>24753.275203440855</v>
      </c>
      <c r="J209" s="352">
        <f>J203*24*LOOKUP(Detached!J$2,'HDD-by Country'!$A$4:$A$40,'HDD-by Country'!$C$4:$C$40)/1000</f>
        <v>29014.263798568521</v>
      </c>
      <c r="K209" s="352">
        <f>K203*24*LOOKUP(Detached!K$2,'HDD-by Country'!$A$4:$A$40,'HDD-by Country'!$C$4:$C$40)/1000</f>
        <v>19341.69952790513</v>
      </c>
      <c r="L209" s="352">
        <f>L203*24*LOOKUP(Detached!L$2,'HDD-by Country'!$A$4:$A$40,'HDD-by Country'!$C$4:$C$40)/1000</f>
        <v>14333.352027501927</v>
      </c>
      <c r="M209" s="352">
        <f>M203*24*LOOKUP(Detached!M$2,'HDD-by Country'!$A$4:$A$40,'HDD-by Country'!$C$4:$C$40)/1000</f>
        <v>23673.238562577102</v>
      </c>
      <c r="N209" s="352">
        <f>N203*24*LOOKUP(Detached!N$2,'HDD-by Country'!$A$4:$A$40,'HDD-by Country'!$C$4:$C$40)/1000</f>
        <v>23936.460110817407</v>
      </c>
      <c r="O209" s="352">
        <f>O203*24*LOOKUP(Detached!O$2,'HDD-by Country'!$A$4:$A$40,'HDD-by Country'!$C$4:$C$40)/1000</f>
        <v>30655.457726087261</v>
      </c>
      <c r="P209" s="352">
        <f>P203*24*LOOKUP(Detached!P$2,'HDD-by Country'!$A$4:$A$40,'HDD-by Country'!$C$4:$C$40)/1000</f>
        <v>20646.715988440472</v>
      </c>
      <c r="Q209" s="352">
        <f>Q203*24*LOOKUP(Detached!Q$2,'HDD-by Country'!$A$4:$A$40,'HDD-by Country'!$C$4:$C$40)/1000</f>
        <v>16455.260286455588</v>
      </c>
      <c r="R209" s="352">
        <f>R203*24*LOOKUP(Detached!R$2,'HDD-by Country'!$A$4:$A$40,'HDD-by Country'!$C$4:$C$40)/1000</f>
        <v>18126.900847950903</v>
      </c>
      <c r="S209" s="352">
        <f>S203*24*LOOKUP(Detached!S$2,'HDD-by Country'!$A$4:$A$40,'HDD-by Country'!$C$4:$C$40)/1000</f>
        <v>29519.558034991118</v>
      </c>
      <c r="T209" s="352">
        <f>T203*24*LOOKUP(Detached!T$2,'HDD-by Country'!$A$4:$A$40,'HDD-by Country'!$C$4:$C$40)/1000</f>
        <v>20360.312053235455</v>
      </c>
      <c r="U209" s="352">
        <f>U203*24*LOOKUP(Detached!U$2,'HDD-by Country'!$A$4:$A$40,'HDD-by Country'!$C$4:$C$40)/1000</f>
        <v>23670.131880080255</v>
      </c>
      <c r="V209" s="352">
        <f>V203*24*LOOKUP(Detached!V$2,'HDD-by Country'!$A$4:$A$40,'HDD-by Country'!$C$4:$C$40)/1000</f>
        <v>22020.370057244403</v>
      </c>
      <c r="W209" s="352">
        <f>W203*24*LOOKUP(Detached!W$2,'HDD-by Country'!$A$4:$A$40,'HDD-by Country'!$C$4:$C$40)/1000</f>
        <v>27842.493929708606</v>
      </c>
      <c r="X209" s="352">
        <f>X203*24*LOOKUP(Detached!X$2,'HDD-by Country'!$A$4:$A$40,'HDD-by Country'!$C$4:$C$40)/1000</f>
        <v>26392.888461501141</v>
      </c>
      <c r="Y209" s="352">
        <f>Y203*24*LOOKUP(Detached!Y$2,'HDD-by Country'!$A$4:$A$40,'HDD-by Country'!$C$4:$C$40)/1000</f>
        <v>7462.6884590475747</v>
      </c>
      <c r="Z209" s="352">
        <f>Z203*24*LOOKUP(Detached!Z$2,'HDD-by Country'!$A$4:$A$40,'HDD-by Country'!$C$4:$C$40)/1000</f>
        <v>30734.27160663444</v>
      </c>
      <c r="AA209" s="352">
        <f>AA203*24*LOOKUP(Detached!AA$2,'HDD-by Country'!$A$4:$A$40,'HDD-by Country'!$C$4:$C$40)/1000</f>
        <v>23126.173130528849</v>
      </c>
      <c r="AB209" s="352">
        <f>AB203*24*LOOKUP(Detached!AB$2,'HDD-by Country'!$A$4:$A$40,'HDD-by Country'!$C$4:$C$40)/1000</f>
        <v>30630.732557515192</v>
      </c>
      <c r="AC209" s="352">
        <f>AC203*24*LOOKUP(Detached!AC$2,'HDD-by Country'!$A$4:$A$40,'HDD-by Country'!$C$4:$C$40)/1000</f>
        <v>17289.625532886814</v>
      </c>
      <c r="AD209" s="352">
        <f>AD203*24*LOOKUP(Detached!AD$2,'HDD-by Country'!$A$4:$A$40,'HDD-by Country'!$C$4:$C$40)/1000</f>
        <v>20223.659841575049</v>
      </c>
      <c r="AE209" s="352">
        <f>AE203*24*LOOKUP(Detached!AE$2,'HDD-by Country'!$A$4:$A$40,'HDD-by Country'!$C$4:$C$40)/1000</f>
        <v>22298.775508784813</v>
      </c>
      <c r="AF209" s="352">
        <f>AF203*24*LOOKUP(Detached!AF$2,'HDD-by Country'!$A$4:$A$40,'HDD-by Country'!$C$4:$C$40)/1000</f>
        <v>19380.629296273513</v>
      </c>
      <c r="AG209" s="352">
        <f>AG203*24*LOOKUP(Detached!AG$2,'HDD-by Country'!$A$4:$A$40,'HDD-by Country'!$C$4:$C$40)/1000</f>
        <v>34200.339120645425</v>
      </c>
      <c r="AH209" s="352">
        <f>AH203*24*LOOKUP(Detached!AH$2,'HDD-by Country'!$A$4:$A$40,'HDD-by Country'!$C$4:$C$40)/1000</f>
        <v>24823.301862176668</v>
      </c>
      <c r="AI209" s="352">
        <f>AI203*24*LOOKUP(Detached!AI$2,'HDD-by Country'!$A$4:$A$40,'HDD-by Country'!$C$4:$C$40)/1000</f>
        <v>20646.715988440472</v>
      </c>
      <c r="AJ209" s="352">
        <f>AJ203*24*LOOKUP(Detached!AJ$2,'HDD-by Country'!$A$4:$A$40,'HDD-by Country'!$C$4:$C$40)/1000</f>
        <v>15724.876149380936</v>
      </c>
      <c r="AK209" s="352">
        <f>AK203*24*LOOKUP(Detached!AK$2,'HDD-by Country'!$A$4:$A$40,'HDD-by Country'!$C$4:$C$40)/1000</f>
        <v>16379.563227159844</v>
      </c>
      <c r="AL209" s="352">
        <f>AL203*24*LOOKUP(Detached!AL$2,'HDD-by Country'!$A$4:$A$40,'HDD-by Country'!$C$4:$C$40)/1000</f>
        <v>14421.618388305857</v>
      </c>
      <c r="AM209" s="352">
        <f>AM203*24*LOOKUP(Detached!AM$2,'HDD-by Country'!$A$4:$A$40,'HDD-by Country'!$C$4:$C$40)/1000</f>
        <v>14460.212940926274</v>
      </c>
      <c r="AN209" s="353">
        <f>AN203*24*LOOKUP(Detached!AN$2,'HDD-by Country'!$A$4:$A$40,'HDD-by Country'!$C$4:$C$40)/1000</f>
        <v>14460.212940926274</v>
      </c>
    </row>
    <row r="210" spans="1:40">
      <c r="A210" s="129"/>
      <c r="B210" s="142" t="s">
        <v>3</v>
      </c>
      <c r="C210" s="129" t="s">
        <v>261</v>
      </c>
      <c r="D210" s="345">
        <f>D204*24*LOOKUP(Detached!D$2,'HDD-by Country'!$A$4:$A$40,'HDD-by Country'!$C$4:$C$40)/1000</f>
        <v>26251.414385862405</v>
      </c>
      <c r="E210" s="349">
        <f>E204*24*LOOKUP(Detached!E$2,'HDD-by Country'!$A$4:$A$40,'HDD-by Country'!$C$4:$C$40)/1000</f>
        <v>27067.596771767967</v>
      </c>
      <c r="F210" s="349">
        <f>F204*24*LOOKUP(Detached!F$2,'HDD-by Country'!$A$4:$A$40,'HDD-by Country'!$C$4:$C$40)/1000</f>
        <v>13798.038008604917</v>
      </c>
      <c r="G210" s="349">
        <f>G204*24*LOOKUP(Detached!G$2,'HDD-by Country'!$A$4:$A$40,'HDD-by Country'!$C$4:$C$40)/1000</f>
        <v>25575.664491206742</v>
      </c>
      <c r="H210" s="349">
        <f>H204*24*LOOKUP(Detached!H$2,'HDD-by Country'!$A$4:$A$40,'HDD-by Country'!$C$4:$C$40)/1000</f>
        <v>9793.4764526158106</v>
      </c>
      <c r="I210" s="349">
        <f>I204*24*LOOKUP(Detached!I$2,'HDD-by Country'!$A$4:$A$40,'HDD-by Country'!$C$4:$C$40)/1000</f>
        <v>19832.349083172514</v>
      </c>
      <c r="J210" s="349">
        <f>J204*24*LOOKUP(Detached!J$2,'HDD-by Country'!$A$4:$A$40,'HDD-by Country'!$C$4:$C$40)/1000</f>
        <v>27142.550619821417</v>
      </c>
      <c r="K210" s="349">
        <f>K204*24*LOOKUP(Detached!K$2,'HDD-by Country'!$A$4:$A$40,'HDD-by Country'!$C$4:$C$40)/1000</f>
        <v>18307.88420580417</v>
      </c>
      <c r="L210" s="349">
        <f>L204*24*LOOKUP(Detached!L$2,'HDD-by Country'!$A$4:$A$40,'HDD-by Country'!$C$4:$C$40)/1000</f>
        <v>14333.352027501927</v>
      </c>
      <c r="M210" s="349">
        <f>M204*24*LOOKUP(Detached!M$2,'HDD-by Country'!$A$4:$A$40,'HDD-by Country'!$C$4:$C$40)/1000</f>
        <v>22386.452633894845</v>
      </c>
      <c r="N210" s="349">
        <f>N204*24*LOOKUP(Detached!N$2,'HDD-by Country'!$A$4:$A$40,'HDD-by Country'!$C$4:$C$40)/1000</f>
        <v>21823.416534822478</v>
      </c>
      <c r="O210" s="349">
        <f>O204*24*LOOKUP(Detached!O$2,'HDD-by Country'!$A$4:$A$40,'HDD-by Country'!$C$4:$C$40)/1000</f>
        <v>30655.457726087261</v>
      </c>
      <c r="P210" s="349">
        <f>P204*24*LOOKUP(Detached!P$2,'HDD-by Country'!$A$4:$A$40,'HDD-by Country'!$C$4:$C$40)/1000</f>
        <v>20646.715988440472</v>
      </c>
      <c r="Q210" s="349">
        <f>Q204*24*LOOKUP(Detached!Q$2,'HDD-by Country'!$A$4:$A$40,'HDD-by Country'!$C$4:$C$40)/1000</f>
        <v>16528.351184220435</v>
      </c>
      <c r="R210" s="349">
        <f>R204*24*LOOKUP(Detached!R$2,'HDD-by Country'!$A$4:$A$40,'HDD-by Country'!$C$4:$C$40)/1000</f>
        <v>18126.900847950903</v>
      </c>
      <c r="S210" s="349">
        <f>S204*24*LOOKUP(Detached!S$2,'HDD-by Country'!$A$4:$A$40,'HDD-by Country'!$C$4:$C$40)/1000</f>
        <v>30233.607904498349</v>
      </c>
      <c r="T210" s="349">
        <f>T204*24*LOOKUP(Detached!T$2,'HDD-by Country'!$A$4:$A$40,'HDD-by Country'!$C$4:$C$40)/1000</f>
        <v>18562.96079953447</v>
      </c>
      <c r="U210" s="349">
        <f>U204*24*LOOKUP(Detached!U$2,'HDD-by Country'!$A$4:$A$40,'HDD-by Country'!$C$4:$C$40)/1000</f>
        <v>23271.540795161804</v>
      </c>
      <c r="V210" s="349">
        <f>V204*24*LOOKUP(Detached!V$2,'HDD-by Country'!$A$4:$A$40,'HDD-by Country'!$C$4:$C$40)/1000</f>
        <v>22020.370057244403</v>
      </c>
      <c r="W210" s="349">
        <f>W204*24*LOOKUP(Detached!W$2,'HDD-by Country'!$A$4:$A$40,'HDD-by Country'!$C$4:$C$40)/1000</f>
        <v>22574.160636728335</v>
      </c>
      <c r="X210" s="349">
        <f>X204*24*LOOKUP(Detached!X$2,'HDD-by Country'!$A$4:$A$40,'HDD-by Country'!$C$4:$C$40)/1000</f>
        <v>25778.728461501141</v>
      </c>
      <c r="Y210" s="349">
        <f>Y204*24*LOOKUP(Detached!Y$2,'HDD-by Country'!$A$4:$A$40,'HDD-by Country'!$C$4:$C$40)/1000</f>
        <v>7444.2932775849795</v>
      </c>
      <c r="Z210" s="349">
        <f>Z204*24*LOOKUP(Detached!Z$2,'HDD-by Country'!$A$4:$A$40,'HDD-by Country'!$C$4:$C$40)/1000</f>
        <v>23837.968864047103</v>
      </c>
      <c r="AA210" s="349">
        <f>AA204*24*LOOKUP(Detached!AA$2,'HDD-by Country'!$A$4:$A$40,'HDD-by Country'!$C$4:$C$40)/1000</f>
        <v>22969.466819648849</v>
      </c>
      <c r="AB210" s="349">
        <f>AB204*24*LOOKUP(Detached!AB$2,'HDD-by Country'!$A$4:$A$40,'HDD-by Country'!$C$4:$C$40)/1000</f>
        <v>22136.441917060769</v>
      </c>
      <c r="AC210" s="349">
        <f>AC204*24*LOOKUP(Detached!AC$2,'HDD-by Country'!$A$4:$A$40,'HDD-by Country'!$C$4:$C$40)/1000</f>
        <v>17287.790180119871</v>
      </c>
      <c r="AD210" s="349">
        <f>AD204*24*LOOKUP(Detached!AD$2,'HDD-by Country'!$A$4:$A$40,'HDD-by Country'!$C$4:$C$40)/1000</f>
        <v>18500.866934088477</v>
      </c>
      <c r="AE210" s="349">
        <f>AE204*24*LOOKUP(Detached!AE$2,'HDD-by Country'!$A$4:$A$40,'HDD-by Country'!$C$4:$C$40)/1000</f>
        <v>22147.675764464813</v>
      </c>
      <c r="AF210" s="349">
        <f>AF204*24*LOOKUP(Detached!AF$2,'HDD-by Country'!$A$4:$A$40,'HDD-by Country'!$C$4:$C$40)/1000</f>
        <v>19380.629296273513</v>
      </c>
      <c r="AG210" s="349">
        <f>AG204*24*LOOKUP(Detached!AG$2,'HDD-by Country'!$A$4:$A$40,'HDD-by Country'!$C$4:$C$40)/1000</f>
        <v>29812.621499119155</v>
      </c>
      <c r="AH210" s="349">
        <f>AH204*24*LOOKUP(Detached!AH$2,'HDD-by Country'!$A$4:$A$40,'HDD-by Country'!$C$4:$C$40)/1000</f>
        <v>25266.301966084051</v>
      </c>
      <c r="AI210" s="349">
        <f>AI204*24*LOOKUP(Detached!AI$2,'HDD-by Country'!$A$4:$A$40,'HDD-by Country'!$C$4:$C$40)/1000</f>
        <v>20646.715988440472</v>
      </c>
      <c r="AJ210" s="349">
        <f>AJ204*24*LOOKUP(Detached!AJ$2,'HDD-by Country'!$A$4:$A$40,'HDD-by Country'!$C$4:$C$40)/1000</f>
        <v>15724.876149380936</v>
      </c>
      <c r="AK210" s="349">
        <f>AK204*24*LOOKUP(Detached!AK$2,'HDD-by Country'!$A$4:$A$40,'HDD-by Country'!$C$4:$C$40)/1000</f>
        <v>16379.563227159844</v>
      </c>
      <c r="AL210" s="349">
        <f>AL204*24*LOOKUP(Detached!AL$2,'HDD-by Country'!$A$4:$A$40,'HDD-by Country'!$C$4:$C$40)/1000</f>
        <v>14421.618388305857</v>
      </c>
      <c r="AM210" s="349">
        <f>AM204*24*LOOKUP(Detached!AM$2,'HDD-by Country'!$A$4:$A$40,'HDD-by Country'!$C$4:$C$40)/1000</f>
        <v>14460.212940926274</v>
      </c>
      <c r="AN210" s="354">
        <f>AN204*24*LOOKUP(Detached!AN$2,'HDD-by Country'!$A$4:$A$40,'HDD-by Country'!$C$4:$C$40)/1000</f>
        <v>14460.212940926274</v>
      </c>
    </row>
    <row r="211" spans="1:40">
      <c r="A211" s="129"/>
      <c r="B211" s="142" t="s">
        <v>4</v>
      </c>
      <c r="C211" s="129" t="s">
        <v>261</v>
      </c>
      <c r="D211" s="345">
        <f>D205*24*LOOKUP(Detached!D$2,'HDD-by Country'!$A$4:$A$40,'HDD-by Country'!$C$4:$C$40)/1000</f>
        <v>20728.956824866687</v>
      </c>
      <c r="E211" s="349">
        <f>E205*24*LOOKUP(Detached!E$2,'HDD-by Country'!$A$4:$A$40,'HDD-by Country'!$C$4:$C$40)/1000</f>
        <v>27067.596771767967</v>
      </c>
      <c r="F211" s="349">
        <f>F205*24*LOOKUP(Detached!F$2,'HDD-by Country'!$A$4:$A$40,'HDD-by Country'!$C$4:$C$40)/1000</f>
        <v>13247.03251964457</v>
      </c>
      <c r="G211" s="349">
        <f>G205*24*LOOKUP(Detached!G$2,'HDD-by Country'!$A$4:$A$40,'HDD-by Country'!$C$4:$C$40)/1000</f>
        <v>20195.363084551143</v>
      </c>
      <c r="H211" s="349">
        <f>H205*24*LOOKUP(Detached!H$2,'HDD-by Country'!$A$4:$A$40,'HDD-by Country'!$C$4:$C$40)/1000</f>
        <v>11496.838438281868</v>
      </c>
      <c r="I211" s="349">
        <f>I205*24*LOOKUP(Detached!I$2,'HDD-by Country'!$A$4:$A$40,'HDD-by Country'!$C$4:$C$40)/1000</f>
        <v>19832.349083172514</v>
      </c>
      <c r="J211" s="349">
        <f>J205*24*LOOKUP(Detached!J$2,'HDD-by Country'!$A$4:$A$40,'HDD-by Country'!$C$4:$C$40)/1000</f>
        <v>18436.997241727688</v>
      </c>
      <c r="K211" s="349">
        <f>K205*24*LOOKUP(Detached!K$2,'HDD-by Country'!$A$4:$A$40,'HDD-by Country'!$C$4:$C$40)/1000</f>
        <v>13940.863581651263</v>
      </c>
      <c r="L211" s="349">
        <f>L205*24*LOOKUP(Detached!L$2,'HDD-by Country'!$A$4:$A$40,'HDD-by Country'!$C$4:$C$40)/1000</f>
        <v>12501.806238231233</v>
      </c>
      <c r="M211" s="349">
        <f>M205*24*LOOKUP(Detached!M$2,'HDD-by Country'!$A$4:$A$40,'HDD-by Country'!$C$4:$C$40)/1000</f>
        <v>22386.452633894845</v>
      </c>
      <c r="N211" s="349">
        <f>N205*24*LOOKUP(Detached!N$2,'HDD-by Country'!$A$4:$A$40,'HDD-by Country'!$C$4:$C$40)/1000</f>
        <v>18965.482031586023</v>
      </c>
      <c r="O211" s="349">
        <f>O205*24*LOOKUP(Detached!O$2,'HDD-by Country'!$A$4:$A$40,'HDD-by Country'!$C$4:$C$40)/1000</f>
        <v>15489.242585681068</v>
      </c>
      <c r="P211" s="349">
        <f>P205*24*LOOKUP(Detached!P$2,'HDD-by Country'!$A$4:$A$40,'HDD-by Country'!$C$4:$C$40)/1000</f>
        <v>20646.715988440472</v>
      </c>
      <c r="Q211" s="349">
        <f>Q205*24*LOOKUP(Detached!Q$2,'HDD-by Country'!$A$4:$A$40,'HDD-by Country'!$C$4:$C$40)/1000</f>
        <v>13895.70731963141</v>
      </c>
      <c r="R211" s="349">
        <f>R205*24*LOOKUP(Detached!R$2,'HDD-by Country'!$A$4:$A$40,'HDD-by Country'!$C$4:$C$40)/1000</f>
        <v>16689.245077768508</v>
      </c>
      <c r="S211" s="349">
        <f>S205*24*LOOKUP(Detached!S$2,'HDD-by Country'!$A$4:$A$40,'HDD-by Country'!$C$4:$C$40)/1000</f>
        <v>23219.522039683907</v>
      </c>
      <c r="T211" s="349">
        <f>T205*24*LOOKUP(Detached!T$2,'HDD-by Country'!$A$4:$A$40,'HDD-by Country'!$C$4:$C$40)/1000</f>
        <v>16132.006596439667</v>
      </c>
      <c r="U211" s="349">
        <f>U205*24*LOOKUP(Detached!U$2,'HDD-by Country'!$A$4:$A$40,'HDD-by Country'!$C$4:$C$40)/1000</f>
        <v>20944.339211411803</v>
      </c>
      <c r="V211" s="349">
        <f>V205*24*LOOKUP(Detached!V$2,'HDD-by Country'!$A$4:$A$40,'HDD-by Country'!$C$4:$C$40)/1000</f>
        <v>15378.463965501653</v>
      </c>
      <c r="W211" s="349">
        <f>W205*24*LOOKUP(Detached!W$2,'HDD-by Country'!$A$4:$A$40,'HDD-by Country'!$C$4:$C$40)/1000</f>
        <v>14939.046593678935</v>
      </c>
      <c r="X211" s="349">
        <f>X205*24*LOOKUP(Detached!X$2,'HDD-by Country'!$A$4:$A$40,'HDD-by Country'!$C$4:$C$40)/1000</f>
        <v>24348.700139608798</v>
      </c>
      <c r="Y211" s="349">
        <f>Y205*24*LOOKUP(Detached!Y$2,'HDD-by Country'!$A$4:$A$40,'HDD-by Country'!$C$4:$C$40)/1000</f>
        <v>7392.9623773648482</v>
      </c>
      <c r="Z211" s="349">
        <f>Z205*24*LOOKUP(Detached!Z$2,'HDD-by Country'!$A$4:$A$40,'HDD-by Country'!$C$4:$C$40)/1000</f>
        <v>22507.872006943326</v>
      </c>
      <c r="AA211" s="349">
        <f>AA205*24*LOOKUP(Detached!AA$2,'HDD-by Country'!$A$4:$A$40,'HDD-by Country'!$C$4:$C$40)/1000</f>
        <v>17935.288486310092</v>
      </c>
      <c r="AB211" s="349">
        <f>AB205*24*LOOKUP(Detached!AB$2,'HDD-by Country'!$A$4:$A$40,'HDD-by Country'!$C$4:$C$40)/1000</f>
        <v>17468.423754732627</v>
      </c>
      <c r="AC211" s="349">
        <f>AC205*24*LOOKUP(Detached!AC$2,'HDD-by Country'!$A$4:$A$40,'HDD-by Country'!$C$4:$C$40)/1000</f>
        <v>16819.12962690727</v>
      </c>
      <c r="AD211" s="349">
        <f>AD205*24*LOOKUP(Detached!AD$2,'HDD-by Country'!$A$4:$A$40,'HDD-by Country'!$C$4:$C$40)/1000</f>
        <v>18500.866934088477</v>
      </c>
      <c r="AE211" s="349">
        <f>AE205*24*LOOKUP(Detached!AE$2,'HDD-by Country'!$A$4:$A$40,'HDD-by Country'!$C$4:$C$40)/1000</f>
        <v>17293.607955981606</v>
      </c>
      <c r="AF211" s="349">
        <f>AF205*24*LOOKUP(Detached!AF$2,'HDD-by Country'!$A$4:$A$40,'HDD-by Country'!$C$4:$C$40)/1000</f>
        <v>16425.070627225516</v>
      </c>
      <c r="AG211" s="349">
        <f>AG205*24*LOOKUP(Detached!AG$2,'HDD-by Country'!$A$4:$A$40,'HDD-by Country'!$C$4:$C$40)/1000</f>
        <v>29812.621499119155</v>
      </c>
      <c r="AH211" s="349">
        <f>AH205*24*LOOKUP(Detached!AH$2,'HDD-by Country'!$A$4:$A$40,'HDD-by Country'!$C$4:$C$40)/1000</f>
        <v>19194.728823451725</v>
      </c>
      <c r="AI211" s="349">
        <f>AI205*24*LOOKUP(Detached!AI$2,'HDD-by Country'!$A$4:$A$40,'HDD-by Country'!$C$4:$C$40)/1000</f>
        <v>20646.715988440472</v>
      </c>
      <c r="AJ211" s="349">
        <f>AJ205*24*LOOKUP(Detached!AJ$2,'HDD-by Country'!$A$4:$A$40,'HDD-by Country'!$C$4:$C$40)/1000</f>
        <v>15724.876149380936</v>
      </c>
      <c r="AK211" s="349">
        <f>AK205*24*LOOKUP(Detached!AK$2,'HDD-by Country'!$A$4:$A$40,'HDD-by Country'!$C$4:$C$40)/1000</f>
        <v>16379.563227159844</v>
      </c>
      <c r="AL211" s="349">
        <f>AL205*24*LOOKUP(Detached!AL$2,'HDD-by Country'!$A$4:$A$40,'HDD-by Country'!$C$4:$C$40)/1000</f>
        <v>13827.219179447577</v>
      </c>
      <c r="AM211" s="349">
        <f>AM205*24*LOOKUP(Detached!AM$2,'HDD-by Country'!$A$4:$A$40,'HDD-by Country'!$C$4:$C$40)/1000</f>
        <v>14460.212940926274</v>
      </c>
      <c r="AN211" s="354">
        <f>AN205*24*LOOKUP(Detached!AN$2,'HDD-by Country'!$A$4:$A$40,'HDD-by Country'!$C$4:$C$40)/1000</f>
        <v>14460.212940926274</v>
      </c>
    </row>
    <row r="212" spans="1:40">
      <c r="A212" s="129"/>
      <c r="B212" s="142" t="s">
        <v>5</v>
      </c>
      <c r="C212" s="129" t="s">
        <v>261</v>
      </c>
      <c r="D212" s="345">
        <f>D206*24*LOOKUP(Detached!D$2,'HDD-by Country'!$A$4:$A$40,'HDD-by Country'!$C$4:$C$40)/1000</f>
        <v>14477.12055359696</v>
      </c>
      <c r="E212" s="349">
        <f>E206*24*LOOKUP(Detached!E$2,'HDD-by Country'!$A$4:$A$40,'HDD-by Country'!$C$4:$C$40)/1000</f>
        <v>22762.042148067674</v>
      </c>
      <c r="F212" s="349">
        <f>F206*24*LOOKUP(Detached!F$2,'HDD-by Country'!$A$4:$A$40,'HDD-by Country'!$C$4:$C$40)/1000</f>
        <v>12104.057586096174</v>
      </c>
      <c r="G212" s="349">
        <f>G206*24*LOOKUP(Detached!G$2,'HDD-by Country'!$A$4:$A$40,'HDD-by Country'!$C$4:$C$40)/1000</f>
        <v>14104.458244998494</v>
      </c>
      <c r="H212" s="349">
        <f>H206*24*LOOKUP(Detached!H$2,'HDD-by Country'!$A$4:$A$40,'HDD-by Country'!$C$4:$C$40)/1000</f>
        <v>11046.038595804266</v>
      </c>
      <c r="I212" s="349">
        <f>I206*24*LOOKUP(Detached!I$2,'HDD-by Country'!$A$4:$A$40,'HDD-by Country'!$C$4:$C$40)/1000</f>
        <v>17981.7326922832</v>
      </c>
      <c r="J212" s="349">
        <f>J206*24*LOOKUP(Detached!J$2,'HDD-by Country'!$A$4:$A$40,'HDD-by Country'!$C$4:$C$40)/1000</f>
        <v>13874.60154971255</v>
      </c>
      <c r="K212" s="349">
        <f>K206*24*LOOKUP(Detached!K$2,'HDD-by Country'!$A$4:$A$40,'HDD-by Country'!$C$4:$C$40)/1000</f>
        <v>12441.891417223447</v>
      </c>
      <c r="L212" s="349">
        <f>L206*24*LOOKUP(Detached!L$2,'HDD-by Country'!$A$4:$A$40,'HDD-by Country'!$C$4:$C$40)/1000</f>
        <v>8898.8363305969615</v>
      </c>
      <c r="M212" s="349">
        <f>M206*24*LOOKUP(Detached!M$2,'HDD-by Country'!$A$4:$A$40,'HDD-by Country'!$C$4:$C$40)/1000</f>
        <v>12574.526114570161</v>
      </c>
      <c r="N212" s="349">
        <f>N206*24*LOOKUP(Detached!N$2,'HDD-by Country'!$A$4:$A$40,'HDD-by Country'!$C$4:$C$40)/1000</f>
        <v>15996.596727847838</v>
      </c>
      <c r="O212" s="349">
        <f>O206*24*LOOKUP(Detached!O$2,'HDD-by Country'!$A$4:$A$40,'HDD-by Country'!$C$4:$C$40)/1000</f>
        <v>13186.008562318735</v>
      </c>
      <c r="P212" s="349">
        <f>P206*24*LOOKUP(Detached!P$2,'HDD-by Country'!$A$4:$A$40,'HDD-by Country'!$C$4:$C$40)/1000</f>
        <v>19688.04573519207</v>
      </c>
      <c r="Q212" s="349">
        <f>Q206*24*LOOKUP(Detached!Q$2,'HDD-by Country'!$A$4:$A$40,'HDD-by Country'!$C$4:$C$40)/1000</f>
        <v>13895.70731963141</v>
      </c>
      <c r="R212" s="349">
        <f>R206*24*LOOKUP(Detached!R$2,'HDD-by Country'!$A$4:$A$40,'HDD-by Country'!$C$4:$C$40)/1000</f>
        <v>14124.710687854855</v>
      </c>
      <c r="S212" s="349">
        <f>S206*24*LOOKUP(Detached!S$2,'HDD-by Country'!$A$4:$A$40,'HDD-by Country'!$C$4:$C$40)/1000</f>
        <v>15350.481511765578</v>
      </c>
      <c r="T212" s="349">
        <f>T206*24*LOOKUP(Detached!T$2,'HDD-by Country'!$A$4:$A$40,'HDD-by Country'!$C$4:$C$40)/1000</f>
        <v>13606.677832097581</v>
      </c>
      <c r="U212" s="349">
        <f>U206*24*LOOKUP(Detached!U$2,'HDD-by Country'!$A$4:$A$40,'HDD-by Country'!$C$4:$C$40)/1000</f>
        <v>17179.832991439111</v>
      </c>
      <c r="V212" s="349">
        <f>V206*24*LOOKUP(Detached!V$2,'HDD-by Country'!$A$4:$A$40,'HDD-by Country'!$C$4:$C$40)/1000</f>
        <v>15378.463965501653</v>
      </c>
      <c r="W212" s="349">
        <f>W206*24*LOOKUP(Detached!W$2,'HDD-by Country'!$A$4:$A$40,'HDD-by Country'!$C$4:$C$40)/1000</f>
        <v>11493.402888490684</v>
      </c>
      <c r="X212" s="349">
        <f>X206*24*LOOKUP(Detached!X$2,'HDD-by Country'!$A$4:$A$40,'HDD-by Country'!$C$4:$C$40)/1000</f>
        <v>14232.662136723107</v>
      </c>
      <c r="Y212" s="349">
        <f>Y206*24*LOOKUP(Detached!Y$2,'HDD-by Country'!$A$4:$A$40,'HDD-by Country'!$C$4:$C$40)/1000</f>
        <v>6521.0701855648476</v>
      </c>
      <c r="Z212" s="349">
        <f>Z206*24*LOOKUP(Detached!Z$2,'HDD-by Country'!$A$4:$A$40,'HDD-by Country'!$C$4:$C$40)/1000</f>
        <v>18441.198703468719</v>
      </c>
      <c r="AA212" s="349">
        <f>AA206*24*LOOKUP(Detached!AA$2,'HDD-by Country'!$A$4:$A$40,'HDD-by Country'!$C$4:$C$40)/1000</f>
        <v>17569.427686310086</v>
      </c>
      <c r="AB212" s="349">
        <f>AB206*24*LOOKUP(Detached!AB$2,'HDD-by Country'!$A$4:$A$40,'HDD-by Country'!$C$4:$C$40)/1000</f>
        <v>17468.423754732627</v>
      </c>
      <c r="AC212" s="349">
        <f>AC206*24*LOOKUP(Detached!AC$2,'HDD-by Country'!$A$4:$A$40,'HDD-by Country'!$C$4:$C$40)/1000</f>
        <v>16651.999522896458</v>
      </c>
      <c r="AD212" s="349">
        <f>AD206*24*LOOKUP(Detached!AD$2,'HDD-by Country'!$A$4:$A$40,'HDD-by Country'!$C$4:$C$40)/1000</f>
        <v>17024.278610416226</v>
      </c>
      <c r="AE212" s="349">
        <f>AE206*24*LOOKUP(Detached!AE$2,'HDD-by Country'!$A$4:$A$40,'HDD-by Country'!$C$4:$C$40)/1000</f>
        <v>16940.8367559816</v>
      </c>
      <c r="AF212" s="349">
        <f>AF206*24*LOOKUP(Detached!AF$2,'HDD-by Country'!$A$4:$A$40,'HDD-by Country'!$C$4:$C$40)/1000</f>
        <v>14018.212709204916</v>
      </c>
      <c r="AG212" s="349">
        <f>AG206*24*LOOKUP(Detached!AG$2,'HDD-by Country'!$A$4:$A$40,'HDD-by Country'!$C$4:$C$40)/1000</f>
        <v>25024.243369152668</v>
      </c>
      <c r="AH212" s="349">
        <f>AH206*24*LOOKUP(Detached!AH$2,'HDD-by Country'!$A$4:$A$40,'HDD-by Country'!$C$4:$C$40)/1000</f>
        <v>14912.612520082916</v>
      </c>
      <c r="AI212" s="349">
        <f>AI206*24*LOOKUP(Detached!AI$2,'HDD-by Country'!$A$4:$A$40,'HDD-by Country'!$C$4:$C$40)/1000</f>
        <v>19688.04573519207</v>
      </c>
      <c r="AJ212" s="349">
        <f>AJ206*24*LOOKUP(Detached!AJ$2,'HDD-by Country'!$A$4:$A$40,'HDD-by Country'!$C$4:$C$40)/1000</f>
        <v>14211.829880128191</v>
      </c>
      <c r="AK212" s="349">
        <f>AK206*24*LOOKUP(Detached!AK$2,'HDD-by Country'!$A$4:$A$40,'HDD-by Country'!$C$4:$C$40)/1000</f>
        <v>14606.525348067822</v>
      </c>
      <c r="AL212" s="349">
        <f>AL206*24*LOOKUP(Detached!AL$2,'HDD-by Country'!$A$4:$A$40,'HDD-by Country'!$C$4:$C$40)/1000</f>
        <v>12595.427513298888</v>
      </c>
      <c r="AM212" s="349">
        <f>AM206*24*LOOKUP(Detached!AM$2,'HDD-by Country'!$A$4:$A$40,'HDD-by Country'!$C$4:$C$40)/1000</f>
        <v>13068.852459926231</v>
      </c>
      <c r="AN212" s="354">
        <f>AN206*24*LOOKUP(Detached!AN$2,'HDD-by Country'!$A$4:$A$40,'HDD-by Country'!$C$4:$C$40)/1000</f>
        <v>13068.852459926231</v>
      </c>
    </row>
    <row r="213" spans="1:40">
      <c r="A213" s="129"/>
      <c r="B213" s="142" t="s">
        <v>6</v>
      </c>
      <c r="C213" s="129" t="s">
        <v>261</v>
      </c>
      <c r="D213" s="345">
        <f>D207*24*LOOKUP(Detached!D$2,'HDD-by Country'!$A$4:$A$40,'HDD-by Country'!$C$4:$C$40)/1000</f>
        <v>12900.810819833812</v>
      </c>
      <c r="E213" s="349">
        <f>E207*24*LOOKUP(Detached!E$2,'HDD-by Country'!$A$4:$A$40,'HDD-by Country'!$C$4:$C$40)/1000</f>
        <v>22762.042148067674</v>
      </c>
      <c r="F213" s="349">
        <f>F207*24*LOOKUP(Detached!F$2,'HDD-by Country'!$A$4:$A$40,'HDD-by Country'!$C$4:$C$40)/1000</f>
        <v>9915.0710099593125</v>
      </c>
      <c r="G213" s="349">
        <f>G207*24*LOOKUP(Detached!G$2,'HDD-by Country'!$A$4:$A$40,'HDD-by Country'!$C$4:$C$40)/1000</f>
        <v>12568.725034880059</v>
      </c>
      <c r="H213" s="349">
        <f>H207*24*LOOKUP(Detached!H$2,'HDD-by Country'!$A$4:$A$40,'HDD-by Country'!$C$4:$C$40)/1000</f>
        <v>8681.2705958042661</v>
      </c>
      <c r="I213" s="349">
        <f>I207*24*LOOKUP(Detached!I$2,'HDD-by Country'!$A$4:$A$40,'HDD-by Country'!$C$4:$C$40)/1000</f>
        <v>14402.499637056535</v>
      </c>
      <c r="J213" s="349">
        <f>J207*24*LOOKUP(Detached!J$2,'HDD-by Country'!$A$4:$A$40,'HDD-by Country'!$C$4:$C$40)/1000</f>
        <v>8876.8960592804506</v>
      </c>
      <c r="K213" s="349">
        <f>K207*24*LOOKUP(Detached!K$2,'HDD-by Country'!$A$4:$A$40,'HDD-by Country'!$C$4:$C$40)/1000</f>
        <v>12441.891417223447</v>
      </c>
      <c r="L213" s="349">
        <f>L207*24*LOOKUP(Detached!L$2,'HDD-by Country'!$A$4:$A$40,'HDD-by Country'!$C$4:$C$40)/1000</f>
        <v>7681.2172545242129</v>
      </c>
      <c r="M213" s="349">
        <f>M207*24*LOOKUP(Detached!M$2,'HDD-by Country'!$A$4:$A$40,'HDD-by Country'!$C$4:$C$40)/1000</f>
        <v>12574.526114570161</v>
      </c>
      <c r="N213" s="349">
        <f>N207*24*LOOKUP(Detached!N$2,'HDD-by Country'!$A$4:$A$40,'HDD-by Country'!$C$4:$C$40)/1000</f>
        <v>15824.710303992337</v>
      </c>
      <c r="O213" s="349">
        <f>O207*24*LOOKUP(Detached!O$2,'HDD-by Country'!$A$4:$A$40,'HDD-by Country'!$C$4:$C$40)/1000</f>
        <v>8178.5442176292645</v>
      </c>
      <c r="P213" s="349">
        <f>P207*24*LOOKUP(Detached!P$2,'HDD-by Country'!$A$4:$A$40,'HDD-by Country'!$C$4:$C$40)/1000</f>
        <v>19688.04573519207</v>
      </c>
      <c r="Q213" s="349">
        <f>Q207*24*LOOKUP(Detached!Q$2,'HDD-by Country'!$A$4:$A$40,'HDD-by Country'!$C$4:$C$40)/1000</f>
        <v>10390.584327890372</v>
      </c>
      <c r="R213" s="349">
        <f>R207*24*LOOKUP(Detached!R$2,'HDD-by Country'!$A$4:$A$40,'HDD-by Country'!$C$4:$C$40)/1000</f>
        <v>14124.710687854855</v>
      </c>
      <c r="S213" s="349">
        <f>S207*24*LOOKUP(Detached!S$2,'HDD-by Country'!$A$4:$A$40,'HDD-by Country'!$C$4:$C$40)/1000</f>
        <v>14988.647162698531</v>
      </c>
      <c r="T213" s="349">
        <f>T207*24*LOOKUP(Detached!T$2,'HDD-by Country'!$A$4:$A$40,'HDD-by Country'!$C$4:$C$40)/1000</f>
        <v>13460.471533789037</v>
      </c>
      <c r="U213" s="349">
        <f>U207*24*LOOKUP(Detached!U$2,'HDD-by Country'!$A$4:$A$40,'HDD-by Country'!$C$4:$C$40)/1000</f>
        <v>16389.284722450033</v>
      </c>
      <c r="V213" s="349">
        <f>V207*24*LOOKUP(Detached!V$2,'HDD-by Country'!$A$4:$A$40,'HDD-by Country'!$C$4:$C$40)/1000</f>
        <v>15378.463965501653</v>
      </c>
      <c r="W213" s="349">
        <f>W207*24*LOOKUP(Detached!W$2,'HDD-by Country'!$A$4:$A$40,'HDD-by Country'!$C$4:$C$40)/1000</f>
        <v>9723.5521429576856</v>
      </c>
      <c r="X213" s="349">
        <f>X207*24*LOOKUP(Detached!X$2,'HDD-by Country'!$A$4:$A$40,'HDD-by Country'!$C$4:$C$40)/1000</f>
        <v>13910.228136723104</v>
      </c>
      <c r="Y213" s="349">
        <f>Y207*24*LOOKUP(Detached!Y$2,'HDD-by Country'!$A$4:$A$40,'HDD-by Country'!$C$4:$C$40)/1000</f>
        <v>6355.410669122848</v>
      </c>
      <c r="Z213" s="349">
        <f>Z207*24*LOOKUP(Detached!Z$2,'HDD-by Country'!$A$4:$A$40,'HDD-by Country'!$C$4:$C$40)/1000</f>
        <v>16307.4317728488</v>
      </c>
      <c r="AA213" s="349">
        <f>AA207*24*LOOKUP(Detached!AA$2,'HDD-by Country'!$A$4:$A$40,'HDD-by Country'!$C$4:$C$40)/1000</f>
        <v>16504.598867929515</v>
      </c>
      <c r="AB213" s="349">
        <f>AB207*24*LOOKUP(Detached!AB$2,'HDD-by Country'!$A$4:$A$40,'HDD-by Country'!$C$4:$C$40)/1000</f>
        <v>17468.423754732627</v>
      </c>
      <c r="AC213" s="349">
        <f>AC207*24*LOOKUP(Detached!AC$2,'HDD-by Country'!$A$4:$A$40,'HDD-by Country'!$C$4:$C$40)/1000</f>
        <v>15797.083102991828</v>
      </c>
      <c r="AD213" s="349">
        <f>AD207*24*LOOKUP(Detached!AD$2,'HDD-by Country'!$A$4:$A$40,'HDD-by Country'!$C$4:$C$40)/1000</f>
        <v>17024.278610416226</v>
      </c>
      <c r="AE213" s="349">
        <f>AE207*24*LOOKUP(Detached!AE$2,'HDD-by Country'!$A$4:$A$40,'HDD-by Country'!$C$4:$C$40)/1000</f>
        <v>15914.104894971357</v>
      </c>
      <c r="AF213" s="349">
        <f>AF207*24*LOOKUP(Detached!AF$2,'HDD-by Country'!$A$4:$A$40,'HDD-by Country'!$C$4:$C$40)/1000</f>
        <v>10612.788497009007</v>
      </c>
      <c r="AG213" s="349">
        <f>AG207*24*LOOKUP(Detached!AG$2,'HDD-by Country'!$A$4:$A$40,'HDD-by Country'!$C$4:$C$40)/1000</f>
        <v>21886.603103658672</v>
      </c>
      <c r="AH213" s="349">
        <f>AH207*24*LOOKUP(Detached!AH$2,'HDD-by Country'!$A$4:$A$40,'HDD-by Country'!$C$4:$C$40)/1000</f>
        <v>10601.215237415849</v>
      </c>
      <c r="AI213" s="349">
        <f>AI207*24*LOOKUP(Detached!AI$2,'HDD-by Country'!$A$4:$A$40,'HDD-by Country'!$C$4:$C$40)/1000</f>
        <v>19688.04573519207</v>
      </c>
      <c r="AJ213" s="349">
        <f>AJ207*24*LOOKUP(Detached!AJ$2,'HDD-by Country'!$A$4:$A$40,'HDD-by Country'!$C$4:$C$40)/1000</f>
        <v>13888.009413174033</v>
      </c>
      <c r="AK213" s="349">
        <f>AK207*24*LOOKUP(Detached!AK$2,'HDD-by Country'!$A$4:$A$40,'HDD-by Country'!$C$4:$C$40)/1000</f>
        <v>14169.486043993837</v>
      </c>
      <c r="AL213" s="349">
        <f>AL207*24*LOOKUP(Detached!AL$2,'HDD-by Country'!$A$4:$A$40,'HDD-by Country'!$C$4:$C$40)/1000</f>
        <v>10233.949787391775</v>
      </c>
      <c r="AM213" s="349">
        <f>AM207*24*LOOKUP(Detached!AM$2,'HDD-by Country'!$A$4:$A$40,'HDD-by Country'!$C$4:$C$40)/1000</f>
        <v>12771.07504900706</v>
      </c>
      <c r="AN213" s="354">
        <f>AN207*24*LOOKUP(Detached!AN$2,'HDD-by Country'!$A$4:$A$40,'HDD-by Country'!$C$4:$C$40)/1000</f>
        <v>12771.07504900706</v>
      </c>
    </row>
    <row r="214" spans="1:40">
      <c r="A214" s="130"/>
      <c r="B214" s="142" t="s">
        <v>7</v>
      </c>
      <c r="C214" s="129" t="s">
        <v>261</v>
      </c>
      <c r="D214" s="345">
        <f>D208*24*LOOKUP(Detached!D$2,'HDD-by Country'!$A$4:$A$40,'HDD-by Country'!$C$4:$C$40)/1000</f>
        <v>11269.906696204866</v>
      </c>
      <c r="E214" s="349">
        <f>E208*24*LOOKUP(Detached!E$2,'HDD-by Country'!$A$4:$A$40,'HDD-by Country'!$C$4:$C$40)/1000</f>
        <v>14177.223260687753</v>
      </c>
      <c r="F214" s="349">
        <f>F208*24*LOOKUP(Detached!F$2,'HDD-by Country'!$A$4:$A$40,'HDD-by Country'!$C$4:$C$40)/1000</f>
        <v>8070.3045529578385</v>
      </c>
      <c r="G214" s="349">
        <f>G208*24*LOOKUP(Detached!G$2,'HDD-by Country'!$A$4:$A$40,'HDD-by Country'!$C$4:$C$40)/1000</f>
        <v>10979.802774534232</v>
      </c>
      <c r="H214" s="349">
        <f>H208*24*LOOKUP(Detached!H$2,'HDD-by Country'!$A$4:$A$40,'HDD-by Country'!$C$4:$C$40)/1000</f>
        <v>7021.4596252064111</v>
      </c>
      <c r="I214" s="349">
        <f>I208*24*LOOKUP(Detached!I$2,'HDD-by Country'!$A$4:$A$40,'HDD-by Country'!$C$4:$C$40)/1000</f>
        <v>10742.992013725785</v>
      </c>
      <c r="J214" s="349">
        <f>J208*24*LOOKUP(Detached!J$2,'HDD-by Country'!$A$4:$A$40,'HDD-by Country'!$C$4:$C$40)/1000</f>
        <v>9216.0804546092895</v>
      </c>
      <c r="K214" s="349">
        <f>K208*24*LOOKUP(Detached!K$2,'HDD-by Country'!$A$4:$A$40,'HDD-by Country'!$C$4:$C$40)/1000</f>
        <v>8839.1555268006523</v>
      </c>
      <c r="L214" s="349">
        <f>L208*24*LOOKUP(Detached!L$2,'HDD-by Country'!$A$4:$A$40,'HDD-by Country'!$C$4:$C$40)/1000</f>
        <v>7681.2172545242129</v>
      </c>
      <c r="M214" s="349">
        <f>M208*24*LOOKUP(Detached!M$2,'HDD-by Country'!$A$4:$A$40,'HDD-by Country'!$C$4:$C$40)/1000</f>
        <v>10105.9235129341</v>
      </c>
      <c r="N214" s="349">
        <f>N208*24*LOOKUP(Detached!N$2,'HDD-by Country'!$A$4:$A$40,'HDD-by Country'!$C$4:$C$40)/1000</f>
        <v>13854.999904198299</v>
      </c>
      <c r="O214" s="349">
        <f>O208*24*LOOKUP(Detached!O$2,'HDD-by Country'!$A$4:$A$40,'HDD-by Country'!$C$4:$C$40)/1000</f>
        <v>7898.3278394446097</v>
      </c>
      <c r="P214" s="349">
        <f>P208*24*LOOKUP(Detached!P$2,'HDD-by Country'!$A$4:$A$40,'HDD-by Country'!$C$4:$C$40)/1000</f>
        <v>8373.9904837675567</v>
      </c>
      <c r="Q214" s="349">
        <f>Q208*24*LOOKUP(Detached!Q$2,'HDD-by Country'!$A$4:$A$40,'HDD-by Country'!$C$4:$C$40)/1000</f>
        <v>7462.3225692882652</v>
      </c>
      <c r="R214" s="349">
        <f>R208*24*LOOKUP(Detached!R$2,'HDD-by Country'!$A$4:$A$40,'HDD-by Country'!$C$4:$C$40)/1000</f>
        <v>8644.8656210646859</v>
      </c>
      <c r="S214" s="349">
        <f>S208*24*LOOKUP(Detached!S$2,'HDD-by Country'!$A$4:$A$40,'HDD-by Country'!$C$4:$C$40)/1000</f>
        <v>10839.233071587361</v>
      </c>
      <c r="T214" s="349">
        <f>T208*24*LOOKUP(Detached!T$2,'HDD-by Country'!$A$4:$A$40,'HDD-by Country'!$C$4:$C$40)/1000</f>
        <v>11785.039234750553</v>
      </c>
      <c r="U214" s="349">
        <f>U208*24*LOOKUP(Detached!U$2,'HDD-by Country'!$A$4:$A$40,'HDD-by Country'!$C$4:$C$40)/1000</f>
        <v>14970.164722450032</v>
      </c>
      <c r="V214" s="349">
        <f>V208*24*LOOKUP(Detached!V$2,'HDD-by Country'!$A$4:$A$40,'HDD-by Country'!$C$4:$C$40)/1000</f>
        <v>10296.247475971764</v>
      </c>
      <c r="W214" s="349">
        <f>W208*24*LOOKUP(Detached!W$2,'HDD-by Country'!$A$4:$A$40,'HDD-by Country'!$C$4:$C$40)/1000</f>
        <v>8003.1438965169464</v>
      </c>
      <c r="X214" s="349">
        <f>X208*24*LOOKUP(Detached!X$2,'HDD-by Country'!$A$4:$A$40,'HDD-by Country'!$C$4:$C$40)/1000</f>
        <v>10051.086738445323</v>
      </c>
      <c r="Y214" s="349">
        <f>Y208*24*LOOKUP(Detached!Y$2,'HDD-by Country'!$A$4:$A$40,'HDD-by Country'!$C$4:$C$40)/1000</f>
        <v>6314.0209927217174</v>
      </c>
      <c r="Z214" s="349">
        <f>Z208*24*LOOKUP(Detached!Z$2,'HDD-by Country'!$A$4:$A$40,'HDD-by Country'!$C$4:$C$40)/1000</f>
        <v>10850.898400459453</v>
      </c>
      <c r="AA214" s="349">
        <f>AA208*24*LOOKUP(Detached!AA$2,'HDD-by Country'!$A$4:$A$40,'HDD-by Country'!$C$4:$C$40)/1000</f>
        <v>13783.358758489518</v>
      </c>
      <c r="AB214" s="349">
        <f>AB208*24*LOOKUP(Detached!AB$2,'HDD-by Country'!$A$4:$A$40,'HDD-by Country'!$C$4:$C$40)/1000</f>
        <v>15360.74024016636</v>
      </c>
      <c r="AC214" s="349">
        <f>AC208*24*LOOKUP(Detached!AC$2,'HDD-by Country'!$A$4:$A$40,'HDD-by Country'!$C$4:$C$40)/1000</f>
        <v>10377.586707688541</v>
      </c>
      <c r="AD214" s="349">
        <f>AD208*24*LOOKUP(Detached!AD$2,'HDD-by Country'!$A$4:$A$40,'HDD-by Country'!$C$4:$C$40)/1000</f>
        <v>13768.971568736471</v>
      </c>
      <c r="AE214" s="349">
        <f>AE208*24*LOOKUP(Detached!AE$2,'HDD-by Country'!$A$4:$A$40,'HDD-by Country'!$C$4:$C$40)/1000</f>
        <v>13290.224066811359</v>
      </c>
      <c r="AF214" s="349">
        <f>AF208*24*LOOKUP(Detached!AF$2,'HDD-by Country'!$A$4:$A$40,'HDD-by Country'!$C$4:$C$40)/1000</f>
        <v>6570.1686509957181</v>
      </c>
      <c r="AG214" s="349">
        <f>AG208*24*LOOKUP(Detached!AG$2,'HDD-by Country'!$A$4:$A$40,'HDD-by Country'!$C$4:$C$40)/1000</f>
        <v>13791.6446965541</v>
      </c>
      <c r="AH214" s="349">
        <f>AH208*24*LOOKUP(Detached!AH$2,'HDD-by Country'!$A$4:$A$40,'HDD-by Country'!$C$4:$C$40)/1000</f>
        <v>9028.6473198195163</v>
      </c>
      <c r="AI214" s="349">
        <f>AI208*24*LOOKUP(Detached!AI$2,'HDD-by Country'!$A$4:$A$40,'HDD-by Country'!$C$4:$C$40)/1000</f>
        <v>8373.9904837675567</v>
      </c>
      <c r="AJ214" s="349">
        <f>AJ208*24*LOOKUP(Detached!AJ$2,'HDD-by Country'!$A$4:$A$40,'HDD-by Country'!$C$4:$C$40)/1000</f>
        <v>12214.877810181379</v>
      </c>
      <c r="AK214" s="349">
        <f>AK208*24*LOOKUP(Detached!AK$2,'HDD-by Country'!$A$4:$A$40,'HDD-by Country'!$C$4:$C$40)/1000</f>
        <v>12519.473692268662</v>
      </c>
      <c r="AL214" s="349">
        <f>AL208*24*LOOKUP(Detached!AL$2,'HDD-by Country'!$A$4:$A$40,'HDD-by Country'!$C$4:$C$40)/1000</f>
        <v>8324.633126688479</v>
      </c>
      <c r="AM214" s="349">
        <f>AM208*24*LOOKUP(Detached!AM$2,'HDD-by Country'!$A$4:$A$40,'HDD-by Country'!$C$4:$C$40)/1000</f>
        <v>11232.503995878633</v>
      </c>
      <c r="AN214" s="354">
        <f>AN208*24*LOOKUP(Detached!AN$2,'HDD-by Country'!$A$4:$A$40,'HDD-by Country'!$C$4:$C$40)/1000</f>
        <v>11232.503995878633</v>
      </c>
    </row>
    <row r="215" spans="1:40">
      <c r="A215" s="151" t="s">
        <v>260</v>
      </c>
      <c r="B215" s="141" t="s">
        <v>2</v>
      </c>
      <c r="C215" s="360" t="s">
        <v>261</v>
      </c>
      <c r="D215" s="351">
        <f>D209/(1.355*(D203/Detached!D$17)^0.16)</f>
        <v>20365.070408626958</v>
      </c>
      <c r="E215" s="352">
        <f>E209/(1.355*(E203/Detached!E$17)^0.16)</f>
        <v>20246.930897501934</v>
      </c>
      <c r="F215" s="352">
        <f>F209/(1.355*(F203/Detached!F$17)^0.16)</f>
        <v>10361.695506702898</v>
      </c>
      <c r="G215" s="352">
        <f>G209/(1.355*(G203/Detached!G$17)^0.16)</f>
        <v>19840.843638175447</v>
      </c>
      <c r="H215" s="352">
        <f>H209/(1.355*(H203/Detached!H$17)^0.16)</f>
        <v>6776.2515107474464</v>
      </c>
      <c r="I215" s="352">
        <f>I209/(1.355*(I203/Detached!I$17)^0.16)</f>
        <v>19042.995108860512</v>
      </c>
      <c r="J215" s="352">
        <f>J209/(1.355*(J203/Detached!J$17)^0.16)</f>
        <v>21673.951767022121</v>
      </c>
      <c r="K215" s="352">
        <f>K209/(1.355*(K203/Detached!K$17)^0.16)</f>
        <v>16169.122246824945</v>
      </c>
      <c r="L215" s="352">
        <f>L209/(1.355*(L203/Detached!L$17)^0.16)</f>
        <v>12152.739922773595</v>
      </c>
      <c r="M215" s="352">
        <f>M209/(1.355*(M203/Detached!M$17)^0.16)</f>
        <v>16780.081991244406</v>
      </c>
      <c r="N215" s="352">
        <f>N209/(1.355*(N203/Detached!N$17)^0.16)</f>
        <v>19942.438380316577</v>
      </c>
      <c r="O215" s="352">
        <f>O209/(1.355*(O203/Detached!O$17)^0.16)</f>
        <v>21889.91802740288</v>
      </c>
      <c r="P215" s="352">
        <f>P209/(1.355*(P203/Detached!P$17)^0.16)</f>
        <v>14268.782730175721</v>
      </c>
      <c r="Q215" s="352">
        <f>Q209/(1.355*(Q203/Detached!Q$17)^0.16)</f>
        <v>12096.850653179847</v>
      </c>
      <c r="R215" s="352">
        <f>R209/(1.355*(R203/Detached!R$17)^0.16)</f>
        <v>14038.112564358164</v>
      </c>
      <c r="S215" s="352">
        <f>S209/(1.355*(S203/Detached!S$17)^0.16)</f>
        <v>21932.251935629323</v>
      </c>
      <c r="T215" s="352">
        <f>T209/(1.355*(T203/Detached!T$17)^0.16)</f>
        <v>16963.003996659023</v>
      </c>
      <c r="U215" s="352">
        <f>U209/(1.355*(U203/Detached!U$17)^0.16)</f>
        <v>16929.767574957154</v>
      </c>
      <c r="V215" s="352">
        <f>V209/(1.355*(V203/Detached!V$17)^0.16)</f>
        <v>17548.767294340607</v>
      </c>
      <c r="W215" s="352">
        <f>W209/(1.355*(W203/Detached!W$17)^0.16)</f>
        <v>20234.544609911278</v>
      </c>
      <c r="X215" s="352">
        <f>X209/(1.355*(X203/Detached!X$17)^0.16)</f>
        <v>20546.552589974919</v>
      </c>
      <c r="Y215" s="352">
        <f>Y209/(1.355*(Y203/Detached!Y$17)^0.16)</f>
        <v>5162.7455971768104</v>
      </c>
      <c r="Z215" s="352">
        <f>Z209/(1.355*(Z203/Detached!Z$17)^0.16)</f>
        <v>22587.189555888028</v>
      </c>
      <c r="AA215" s="352">
        <f>AA209/(1.355*(AA203/Detached!AA$17)^0.16)</f>
        <v>20054.131003839826</v>
      </c>
      <c r="AB215" s="352">
        <f>AB209/(1.355*(AB203/Detached!AB$17)^0.16)</f>
        <v>22687.803643723139</v>
      </c>
      <c r="AC215" s="352">
        <f>AC209/(1.355*(AC203/Detached!AC$17)^0.16)</f>
        <v>12248.617003267151</v>
      </c>
      <c r="AD215" s="352">
        <f>AD209/(1.355*(AD203/Detached!AD$17)^0.16)</f>
        <v>14952.603214999082</v>
      </c>
      <c r="AE215" s="352">
        <f>AE209/(1.355*(AE203/Detached!AE$17)^0.16)</f>
        <v>19336.643497149136</v>
      </c>
      <c r="AF215" s="352">
        <f>AF209/(1.355*(AF203/Detached!AF$17)^0.16)</f>
        <v>15013.684374472739</v>
      </c>
      <c r="AG215" s="352">
        <f>AG209/(1.355*(AG203/Detached!AG$17)^0.16)</f>
        <v>24700.882359938834</v>
      </c>
      <c r="AH215" s="352">
        <f>AH209/(1.355*(AH203/Detached!AH$17)^0.16)</f>
        <v>18084.429968807392</v>
      </c>
      <c r="AI215" s="352">
        <f>AI209/(1.355*(AI203/Detached!AI$17)^0.16)</f>
        <v>14268.782730175721</v>
      </c>
      <c r="AJ215" s="352">
        <f>AJ209/(1.355*(AJ203/Detached!AJ$17)^0.16)</f>
        <v>11867.423907564644</v>
      </c>
      <c r="AK215" s="352">
        <f>AK209/(1.355*(AK203/Detached!AK$17)^0.16)</f>
        <v>12613.780312916269</v>
      </c>
      <c r="AL215" s="352">
        <f>AL209/(1.355*(AL203/Detached!AL$17)^0.16)</f>
        <v>10888.52197328631</v>
      </c>
      <c r="AM215" s="352">
        <f>AM209/(1.355*(AM203/Detached!AM$17)^0.16)</f>
        <v>10912.993853397056</v>
      </c>
      <c r="AN215" s="353">
        <f>AN209/(1.355*(AN203/Detached!AN$17)^0.16)</f>
        <v>10912.993853397056</v>
      </c>
    </row>
    <row r="216" spans="1:40">
      <c r="A216" s="129"/>
      <c r="B216" s="142" t="s">
        <v>3</v>
      </c>
      <c r="C216" s="129" t="s">
        <v>261</v>
      </c>
      <c r="D216" s="345">
        <f>D210/(1.355*(D204/Detached!D$17)^0.16)</f>
        <v>20601.765878532344</v>
      </c>
      <c r="E216" s="349">
        <f>E210/(1.355*(E204/Detached!E$17)^0.16)</f>
        <v>20246.930897501934</v>
      </c>
      <c r="F216" s="349">
        <f>F210/(1.355*(F204/Detached!F$17)^0.16)</f>
        <v>10361.695506702898</v>
      </c>
      <c r="G216" s="349">
        <f>G210/(1.355*(G204/Detached!G$17)^0.16)</f>
        <v>20071.446219655743</v>
      </c>
      <c r="H216" s="349">
        <f>H210/(1.355*(H204/Detached!H$17)^0.16)</f>
        <v>6758.7969804892118</v>
      </c>
      <c r="I216" s="349">
        <f>I210/(1.355*(I204/Detached!I$17)^0.16)</f>
        <v>15808.042893875279</v>
      </c>
      <c r="J216" s="349">
        <f>J210/(1.355*(J204/Detached!J$17)^0.16)</f>
        <v>20493.255160985755</v>
      </c>
      <c r="K216" s="349">
        <f>K210/(1.355*(K204/Detached!K$17)^0.16)</f>
        <v>15439.989663328393</v>
      </c>
      <c r="L216" s="349">
        <f>L210/(1.355*(L204/Detached!L$17)^0.16)</f>
        <v>12152.739922773595</v>
      </c>
      <c r="M216" s="349">
        <f>M210/(1.355*(M204/Detached!M$17)^0.16)</f>
        <v>16010.51373578064</v>
      </c>
      <c r="N216" s="349">
        <f>N210/(1.355*(N204/Detached!N$17)^0.16)</f>
        <v>18452.831905443425</v>
      </c>
      <c r="O216" s="349">
        <f>O210/(1.355*(O204/Detached!O$17)^0.16)</f>
        <v>21889.91802740288</v>
      </c>
      <c r="P216" s="349">
        <f>P210/(1.355*(P204/Detached!P$17)^0.16)</f>
        <v>14268.782730175721</v>
      </c>
      <c r="Q216" s="349">
        <f>Q210/(1.355*(Q204/Detached!Q$17)^0.16)</f>
        <v>12141.969299200951</v>
      </c>
      <c r="R216" s="349">
        <f>R210/(1.355*(R204/Detached!R$17)^0.16)</f>
        <v>14038.112564358164</v>
      </c>
      <c r="S216" s="349">
        <f>S210/(1.355*(S204/Detached!S$17)^0.16)</f>
        <v>22377.03449738237</v>
      </c>
      <c r="T216" s="349">
        <f>T210/(1.355*(T204/Detached!T$17)^0.16)</f>
        <v>15695.947275467777</v>
      </c>
      <c r="U216" s="349">
        <f>U210/(1.355*(U204/Detached!U$17)^0.16)</f>
        <v>16689.969500362782</v>
      </c>
      <c r="V216" s="349">
        <f>V210/(1.355*(V204/Detached!V$17)^0.16)</f>
        <v>17548.767294340607</v>
      </c>
      <c r="W216" s="349">
        <f>W210/(1.355*(W204/Detached!W$17)^0.16)</f>
        <v>16965.722371169857</v>
      </c>
      <c r="X216" s="349">
        <f>X210/(1.355*(X204/Detached!X$17)^0.16)</f>
        <v>20144.180418739426</v>
      </c>
      <c r="Y216" s="349">
        <f>Y210/(1.355*(Y204/Detached!Y$17)^0.16)</f>
        <v>5152.053706974546</v>
      </c>
      <c r="Z216" s="349">
        <f>Z210/(1.355*(Z204/Detached!Z$17)^0.16)</f>
        <v>18245.892344897595</v>
      </c>
      <c r="AA216" s="349">
        <f>AA210/(1.355*(AA204/Detached!AA$17)^0.16)</f>
        <v>19939.92160902813</v>
      </c>
      <c r="AB216" s="349">
        <f>AB210/(1.355*(AB204/Detached!AB$17)^0.16)</f>
        <v>17270.734915914571</v>
      </c>
      <c r="AC216" s="349">
        <f>AC210/(1.355*(AC204/Detached!AC$17)^0.16)</f>
        <v>12247.524798687784</v>
      </c>
      <c r="AD216" s="349">
        <f>AD210/(1.355*(AD204/Detached!AD$17)^0.16)</f>
        <v>13875.094962292646</v>
      </c>
      <c r="AE216" s="349">
        <f>AE210/(1.355*(AE204/Detached!AE$17)^0.16)</f>
        <v>19226.520233713982</v>
      </c>
      <c r="AF216" s="349">
        <f>AF210/(1.355*(AF204/Detached!AF$17)^0.16)</f>
        <v>15013.684374472739</v>
      </c>
      <c r="AG216" s="349">
        <f>AG210/(1.355*(AG204/Detached!AG$17)^0.16)</f>
        <v>22010.152954753688</v>
      </c>
      <c r="AH216" s="349">
        <f>AH210/(1.355*(AH204/Detached!AH$17)^0.16)</f>
        <v>18355.144864073205</v>
      </c>
      <c r="AI216" s="349">
        <f>AI210/(1.355*(AI204/Detached!AI$17)^0.16)</f>
        <v>14268.782730175721</v>
      </c>
      <c r="AJ216" s="349">
        <f>AJ210/(1.355*(AJ204/Detached!AJ$17)^0.16)</f>
        <v>11867.423907564644</v>
      </c>
      <c r="AK216" s="349">
        <f>AK210/(1.355*(AK204/Detached!AK$17)^0.16)</f>
        <v>12613.780312916269</v>
      </c>
      <c r="AL216" s="349">
        <f>AL210/(1.355*(AL204/Detached!AL$17)^0.16)</f>
        <v>10888.52197328631</v>
      </c>
      <c r="AM216" s="349">
        <f>AM210/(1.355*(AM204/Detached!AM$17)^0.16)</f>
        <v>10912.993853397056</v>
      </c>
      <c r="AN216" s="354">
        <f>AN210/(1.355*(AN204/Detached!AN$17)^0.16)</f>
        <v>10912.993853397056</v>
      </c>
    </row>
    <row r="217" spans="1:40">
      <c r="A217" s="129"/>
      <c r="B217" s="142" t="s">
        <v>4</v>
      </c>
      <c r="C217" s="129" t="s">
        <v>261</v>
      </c>
      <c r="D217" s="345">
        <f>D211/(1.355*(D205/Detached!D$17)^0.16)</f>
        <v>16894.339941526861</v>
      </c>
      <c r="E217" s="349">
        <f>E211/(1.355*(E205/Detached!E$17)^0.16)</f>
        <v>20246.930897501934</v>
      </c>
      <c r="F217" s="349">
        <f>F211/(1.355*(F205/Detached!F$17)^0.16)</f>
        <v>10012.992452369133</v>
      </c>
      <c r="G217" s="349">
        <f>G211/(1.355*(G205/Detached!G$17)^0.16)</f>
        <v>16459.454861890463</v>
      </c>
      <c r="H217" s="349">
        <f>H211/(1.355*(H205/Detached!H$17)^0.16)</f>
        <v>7733.3612713669108</v>
      </c>
      <c r="I217" s="349">
        <f>I211/(1.355*(I205/Detached!I$17)^0.16)</f>
        <v>15808.042893875279</v>
      </c>
      <c r="J217" s="349">
        <f>J211/(1.355*(J205/Detached!J$17)^0.16)</f>
        <v>14808.946230782703</v>
      </c>
      <c r="K217" s="349">
        <f>K211/(1.355*(K205/Detached!K$17)^0.16)</f>
        <v>12281.015584275015</v>
      </c>
      <c r="L217" s="349">
        <f>L211/(1.355*(L205/Detached!L$17)^0.16)</f>
        <v>10834.258681829973</v>
      </c>
      <c r="M217" s="349">
        <f>M211/(1.355*(M205/Detached!M$17)^0.16)</f>
        <v>16010.51373578064</v>
      </c>
      <c r="N217" s="349">
        <f>N211/(1.355*(N205/Detached!N$17)^0.16)</f>
        <v>16400.518787107048</v>
      </c>
      <c r="O217" s="349">
        <f>O211/(1.355*(O205/Detached!O$17)^0.16)</f>
        <v>12336.811570074846</v>
      </c>
      <c r="P217" s="349">
        <f>P211/(1.355*(P205/Detached!P$17)^0.16)</f>
        <v>14268.782730175721</v>
      </c>
      <c r="Q217" s="349">
        <f>Q211/(1.355*(Q205/Detached!Q$17)^0.16)</f>
        <v>10495.329468787213</v>
      </c>
      <c r="R217" s="349">
        <f>R211/(1.355*(R205/Detached!R$17)^0.16)</f>
        <v>13096.756475347087</v>
      </c>
      <c r="S217" s="349">
        <f>S211/(1.355*(S205/Detached!S$17)^0.16)</f>
        <v>17927.003481817843</v>
      </c>
      <c r="T217" s="349">
        <f>T211/(1.355*(T205/Detached!T$17)^0.16)</f>
        <v>13950.253245238408</v>
      </c>
      <c r="U217" s="349">
        <f>U211/(1.355*(U205/Detached!U$17)^0.16)</f>
        <v>15276.308616803506</v>
      </c>
      <c r="V217" s="349">
        <f>V211/(1.355*(V205/Detached!V$17)^0.16)</f>
        <v>12980.183314206844</v>
      </c>
      <c r="W217" s="349">
        <f>W211/(1.355*(W205/Detached!W$17)^0.16)</f>
        <v>11994.159593520455</v>
      </c>
      <c r="X217" s="349">
        <f>X211/(1.355*(X205/Detached!X$17)^0.16)</f>
        <v>19201.254570204328</v>
      </c>
      <c r="Y217" s="349">
        <f>Y211/(1.355*(Y205/Detached!Y$17)^0.16)</f>
        <v>5122.1960848517601</v>
      </c>
      <c r="Z217" s="349">
        <f>Z211/(1.355*(Z205/Detached!Z$17)^0.16)</f>
        <v>17386.80833074003</v>
      </c>
      <c r="AA217" s="349">
        <f>AA211/(1.355*(AA205/Detached!AA$17)^0.16)</f>
        <v>16198.384614155306</v>
      </c>
      <c r="AB217" s="349">
        <f>AB211/(1.355*(AB205/Detached!AB$17)^0.16)</f>
        <v>14155.114164595327</v>
      </c>
      <c r="AC217" s="349">
        <f>AC211/(1.355*(AC205/Detached!AC$17)^0.16)</f>
        <v>11968.014776475691</v>
      </c>
      <c r="AD217" s="349">
        <f>AD211/(1.355*(AD205/Detached!AD$17)^0.16)</f>
        <v>13875.094962292646</v>
      </c>
      <c r="AE217" s="349">
        <f>AE211/(1.355*(AE205/Detached!AE$17)^0.16)</f>
        <v>15618.846234406925</v>
      </c>
      <c r="AF217" s="349">
        <f>AF211/(1.355*(AF205/Detached!AF$17)^0.16)</f>
        <v>13065.449429886059</v>
      </c>
      <c r="AG217" s="349">
        <f>AG211/(1.355*(AG205/Detached!AG$17)^0.16)</f>
        <v>22010.152954753688</v>
      </c>
      <c r="AH217" s="349">
        <f>AH211/(1.355*(AH205/Detached!AH$17)^0.16)</f>
        <v>14571.211679437549</v>
      </c>
      <c r="AI217" s="349">
        <f>AI211/(1.355*(AI205/Detached!AI$17)^0.16)</f>
        <v>14268.782730175721</v>
      </c>
      <c r="AJ217" s="349">
        <f>AJ211/(1.355*(AJ205/Detached!AJ$17)^0.16)</f>
        <v>11867.423907564644</v>
      </c>
      <c r="AK217" s="349">
        <f>AK211/(1.355*(AK205/Detached!AK$17)^0.16)</f>
        <v>12613.780312916269</v>
      </c>
      <c r="AL217" s="349">
        <f>AL211/(1.355*(AL205/Detached!AL$17)^0.16)</f>
        <v>10510.283818521792</v>
      </c>
      <c r="AM217" s="349">
        <f>AM211/(1.355*(AM205/Detached!AM$17)^0.16)</f>
        <v>10912.993853397056</v>
      </c>
      <c r="AN217" s="354">
        <f>AN211/(1.355*(AN205/Detached!AN$17)^0.16)</f>
        <v>10912.993853397056</v>
      </c>
    </row>
    <row r="218" spans="1:40">
      <c r="A218" s="129"/>
      <c r="B218" s="142" t="s">
        <v>5</v>
      </c>
      <c r="C218" s="129" t="s">
        <v>261</v>
      </c>
      <c r="D218" s="345">
        <f>D212/(1.355*(D206/Detached!D$17)^0.16)</f>
        <v>12496.523594474012</v>
      </c>
      <c r="E218" s="349">
        <f>E212/(1.355*(E206/Detached!E$17)^0.16)</f>
        <v>17504.869670937333</v>
      </c>
      <c r="F218" s="349">
        <f>F212/(1.355*(F206/Detached!F$17)^0.16)</f>
        <v>9282.1009407808506</v>
      </c>
      <c r="G218" s="349">
        <f>G212/(1.355*(G206/Detached!G$17)^0.16)</f>
        <v>12174.844755444463</v>
      </c>
      <c r="H218" s="349">
        <f>H212/(1.355*(H206/Detached!H$17)^0.16)</f>
        <v>7477.8358350456228</v>
      </c>
      <c r="I218" s="349">
        <f>I212/(1.355*(I206/Detached!I$17)^0.16)</f>
        <v>14559.360654383738</v>
      </c>
      <c r="J218" s="349">
        <f>J212/(1.355*(J206/Detached!J$17)^0.16)</f>
        <v>11662.982736860458</v>
      </c>
      <c r="K218" s="349">
        <f>K212/(1.355*(K206/Detached!K$17)^0.16)</f>
        <v>11161.833378904854</v>
      </c>
      <c r="L218" s="349">
        <f>L212/(1.355*(L206/Detached!L$17)^0.16)</f>
        <v>8142.9540367000936</v>
      </c>
      <c r="M218" s="349">
        <f>M212/(1.355*(M206/Detached!M$17)^0.16)</f>
        <v>9862.5813549897721</v>
      </c>
      <c r="N218" s="349">
        <f>N212/(1.355*(N206/Detached!N$17)^0.16)</f>
        <v>14215.13875939335</v>
      </c>
      <c r="O218" s="349">
        <f>O212/(1.355*(O206/Detached!O$17)^0.16)</f>
        <v>10776.377484392115</v>
      </c>
      <c r="P218" s="349">
        <f>P212/(1.355*(P206/Detached!P$17)^0.16)</f>
        <v>13710.152663052828</v>
      </c>
      <c r="Q218" s="349">
        <f>Q212/(1.355*(Q206/Detached!Q$17)^0.16)</f>
        <v>10495.329468787213</v>
      </c>
      <c r="R218" s="349">
        <f>R212/(1.355*(R206/Detached!R$17)^0.16)</f>
        <v>11384.127785900813</v>
      </c>
      <c r="S218" s="349">
        <f>S212/(1.355*(S206/Detached!S$17)^0.16)</f>
        <v>12662.907475542641</v>
      </c>
      <c r="T218" s="349">
        <f>T212/(1.355*(T206/Detached!T$17)^0.16)</f>
        <v>12091.37272935749</v>
      </c>
      <c r="U218" s="349">
        <f>U212/(1.355*(U206/Detached!U$17)^0.16)</f>
        <v>12934.163133332104</v>
      </c>
      <c r="V218" s="349">
        <f>V212/(1.355*(V206/Detached!V$17)^0.16)</f>
        <v>12980.183314206844</v>
      </c>
      <c r="W218" s="349">
        <f>W212/(1.355*(W206/Detached!W$17)^0.16)</f>
        <v>9623.1100473237311</v>
      </c>
      <c r="X218" s="349">
        <f>X212/(1.355*(X206/Detached!X$17)^0.16)</f>
        <v>12230.67164294895</v>
      </c>
      <c r="Y218" s="349">
        <f>Y212/(1.355*(Y206/Detached!Y$17)^0.16)</f>
        <v>4609.7409218479715</v>
      </c>
      <c r="Z218" s="349">
        <f>Z212/(1.355*(Z206/Detached!Z$17)^0.16)</f>
        <v>14706.92316238161</v>
      </c>
      <c r="AA218" s="349">
        <f>AA212/(1.355*(AA206/Detached!AA$17)^0.16)</f>
        <v>15920.367005784023</v>
      </c>
      <c r="AB218" s="349">
        <f>AB212/(1.355*(AB206/Detached!AB$17)^0.16)</f>
        <v>14155.114164595327</v>
      </c>
      <c r="AC218" s="349">
        <f>AC212/(1.355*(AC206/Detached!AC$17)^0.16)</f>
        <v>11868.038028169258</v>
      </c>
      <c r="AD218" s="349">
        <f>AD212/(1.355*(AD206/Detached!AD$17)^0.16)</f>
        <v>12938.750564982778</v>
      </c>
      <c r="AE218" s="349">
        <f>AE212/(1.355*(AE206/Detached!AE$17)^0.16)</f>
        <v>15350.775412590901</v>
      </c>
      <c r="AF218" s="349">
        <f>AF212/(1.355*(AF206/Detached!AF$17)^0.16)</f>
        <v>11437.209840196572</v>
      </c>
      <c r="AG218" s="349">
        <f>AG212/(1.355*(AG206/Detached!AG$17)^0.16)</f>
        <v>18999.847849267244</v>
      </c>
      <c r="AH218" s="349">
        <f>AH212/(1.355*(AH206/Detached!AH$17)^0.16)</f>
        <v>11787.126367764118</v>
      </c>
      <c r="AI218" s="349">
        <f>AI212/(1.355*(AI206/Detached!AI$17)^0.16)</f>
        <v>13710.152663052828</v>
      </c>
      <c r="AJ218" s="349">
        <f>AJ212/(1.355*(AJ206/Detached!AJ$17)^0.16)</f>
        <v>10900.569286293432</v>
      </c>
      <c r="AK218" s="349">
        <f>AK212/(1.355*(AK206/Detached!AK$17)^0.16)</f>
        <v>11456.467483081575</v>
      </c>
      <c r="AL218" s="349">
        <f>AL212/(1.355*(AL206/Detached!AL$17)^0.16)</f>
        <v>9717.9804074459298</v>
      </c>
      <c r="AM218" s="349">
        <f>AM212/(1.355*(AM206/Detached!AM$17)^0.16)</f>
        <v>10023.897902898852</v>
      </c>
      <c r="AN218" s="354">
        <f>AN212/(1.355*(AN206/Detached!AN$17)^0.16)</f>
        <v>10023.897902898852</v>
      </c>
    </row>
    <row r="219" spans="1:40">
      <c r="A219" s="129"/>
      <c r="B219" s="142" t="s">
        <v>6</v>
      </c>
      <c r="C219" s="129" t="s">
        <v>261</v>
      </c>
      <c r="D219" s="345">
        <f>D213/(1.355*(D207/Detached!D$17)^0.16)</f>
        <v>11343.170467784699</v>
      </c>
      <c r="E219" s="349">
        <f>E213/(1.355*(E207/Detached!E$17)^0.16)</f>
        <v>17504.869670937333</v>
      </c>
      <c r="F219" s="349">
        <f>F213/(1.355*(F207/Detached!F$17)^0.16)</f>
        <v>7850.0560746192559</v>
      </c>
      <c r="G219" s="349">
        <f>G213/(1.355*(G207/Detached!G$17)^0.16)</f>
        <v>11051.180629218332</v>
      </c>
      <c r="H219" s="349">
        <f>H213/(1.355*(H207/Detached!H$17)^0.16)</f>
        <v>6107.9065775852132</v>
      </c>
      <c r="I219" s="349">
        <f>I213/(1.355*(I207/Detached!I$17)^0.16)</f>
        <v>12082.912377820072</v>
      </c>
      <c r="J219" s="349">
        <f>J213/(1.355*(J207/Detached!J$17)^0.16)</f>
        <v>8014.6350106292475</v>
      </c>
      <c r="K219" s="349">
        <f>K213/(1.355*(K207/Detached!K$17)^0.16)</f>
        <v>11161.833378904854</v>
      </c>
      <c r="L219" s="349">
        <f>L213/(1.355*(L207/Detached!L$17)^0.16)</f>
        <v>7196.2015795810566</v>
      </c>
      <c r="M219" s="349">
        <f>M213/(1.355*(M207/Detached!M$17)^0.16)</f>
        <v>9862.5813549897721</v>
      </c>
      <c r="N219" s="349">
        <f>N213/(1.355*(N207/Detached!N$17)^0.16)</f>
        <v>14086.722772557239</v>
      </c>
      <c r="O219" s="349">
        <f>O213/(1.355*(O207/Detached!O$17)^0.16)</f>
        <v>7214.8187297757268</v>
      </c>
      <c r="P219" s="349">
        <f>P213/(1.355*(P207/Detached!P$17)^0.16)</f>
        <v>13710.152663052828</v>
      </c>
      <c r="Q219" s="349">
        <f>Q213/(1.355*(Q207/Detached!Q$17)^0.16)</f>
        <v>8221.5537339908096</v>
      </c>
      <c r="R219" s="349">
        <f>R213/(1.355*(R207/Detached!R$17)^0.16)</f>
        <v>11384.127785900813</v>
      </c>
      <c r="S219" s="349">
        <f>S213/(1.355*(S207/Detached!S$17)^0.16)</f>
        <v>12411.703653392018</v>
      </c>
      <c r="T219" s="349">
        <f>T213/(1.355*(T207/Detached!T$17)^0.16)</f>
        <v>11982.1423104692</v>
      </c>
      <c r="U219" s="349">
        <f>U213/(1.355*(U207/Detached!U$17)^0.16)</f>
        <v>12432.338509643347</v>
      </c>
      <c r="V219" s="349">
        <f>V213/(1.355*(V207/Detached!V$17)^0.16)</f>
        <v>12980.183314206844</v>
      </c>
      <c r="W219" s="349">
        <f>W213/(1.355*(W207/Detached!W$17)^0.16)</f>
        <v>8362.0268631851995</v>
      </c>
      <c r="X219" s="349">
        <f>X213/(1.355*(X207/Detached!X$17)^0.16)</f>
        <v>11997.498977341009</v>
      </c>
      <c r="Y219" s="349">
        <f>Y213/(1.355*(Y207/Detached!Y$17)^0.16)</f>
        <v>4511.1711363013892</v>
      </c>
      <c r="Z219" s="349">
        <f>Z213/(1.355*(Z207/Detached!Z$17)^0.16)</f>
        <v>13263.642833559712</v>
      </c>
      <c r="AA219" s="349">
        <f>AA213/(1.355*(AA207/Detached!AA$17)^0.16)</f>
        <v>15105.839169104092</v>
      </c>
      <c r="AB219" s="349">
        <f>AB213/(1.355*(AB207/Detached!AB$17)^0.16)</f>
        <v>14155.114164595327</v>
      </c>
      <c r="AC219" s="349">
        <f>AC213/(1.355*(AC207/Detached!AC$17)^0.16)</f>
        <v>11354.075040398555</v>
      </c>
      <c r="AD219" s="349">
        <f>AD213/(1.355*(AD207/Detached!AD$17)^0.16)</f>
        <v>12938.750564982778</v>
      </c>
      <c r="AE219" s="349">
        <f>AE213/(1.355*(AE207/Detached!AE$17)^0.16)</f>
        <v>14565.38937949038</v>
      </c>
      <c r="AF219" s="349">
        <f>AF213/(1.355*(AF207/Detached!AF$17)^0.16)</f>
        <v>9053.0528292446816</v>
      </c>
      <c r="AG219" s="349">
        <f>AG213/(1.355*(AG207/Detached!AG$17)^0.16)</f>
        <v>16977.617517774142</v>
      </c>
      <c r="AH219" s="349">
        <f>AH213/(1.355*(AH207/Detached!AH$17)^0.16)</f>
        <v>8849.5574124250106</v>
      </c>
      <c r="AI219" s="349">
        <f>AI213/(1.355*(AI207/Detached!AI$17)^0.16)</f>
        <v>13710.152663052828</v>
      </c>
      <c r="AJ219" s="349">
        <f>AJ213/(1.355*(AJ207/Detached!AJ$17)^0.16)</f>
        <v>10691.55270985425</v>
      </c>
      <c r="AK219" s="349">
        <f>AK213/(1.355*(AK207/Detached!AK$17)^0.16)</f>
        <v>11167.829087638711</v>
      </c>
      <c r="AL219" s="349">
        <f>AL213/(1.355*(AL207/Detached!AL$17)^0.16)</f>
        <v>8162.6942421413132</v>
      </c>
      <c r="AM219" s="349">
        <f>AM213/(1.355*(AM207/Detached!AM$17)^0.16)</f>
        <v>9831.6913522855484</v>
      </c>
      <c r="AN219" s="354">
        <f>AN213/(1.355*(AN207/Detached!AN$17)^0.16)</f>
        <v>9831.6913522855484</v>
      </c>
    </row>
    <row r="220" spans="1:40">
      <c r="A220" s="129"/>
      <c r="B220" s="142" t="s">
        <v>7</v>
      </c>
      <c r="C220" s="129" t="s">
        <v>261</v>
      </c>
      <c r="D220" s="345">
        <f>D214/(1.355*(D208/Detached!D$17)^0.16)</f>
        <v>10125.797604823902</v>
      </c>
      <c r="E220" s="349">
        <f>E214/(1.355*(E208/Detached!E$17)^0.16)</f>
        <v>11760.831945117377</v>
      </c>
      <c r="F220" s="349">
        <f>F214/(1.355*(F208/Detached!F$17)^0.16)</f>
        <v>6603.4637648579965</v>
      </c>
      <c r="G220" s="349">
        <f>G214/(1.355*(G208/Detached!G$17)^0.16)</f>
        <v>9865.1447285945251</v>
      </c>
      <c r="H220" s="349">
        <f>H214/(1.355*(H208/Detached!H$17)^0.16)</f>
        <v>5110.7123477082314</v>
      </c>
      <c r="I220" s="349">
        <f>I214/(1.355*(I208/Detached!I$17)^0.16)</f>
        <v>9445.5885818363731</v>
      </c>
      <c r="J220" s="349">
        <f>J214/(1.355*(J208/Detached!J$17)^0.16)</f>
        <v>8271.0996320520662</v>
      </c>
      <c r="K220" s="349">
        <f>K214/(1.355*(K208/Detached!K$17)^0.16)</f>
        <v>8375.6014772268263</v>
      </c>
      <c r="L220" s="349">
        <f>L214/(1.355*(L208/Detached!L$17)^0.16)</f>
        <v>7196.2015795810566</v>
      </c>
      <c r="M220" s="349">
        <f>M214/(1.355*(M208/Detached!M$17)^0.16)</f>
        <v>8208.4560589349785</v>
      </c>
      <c r="N220" s="349">
        <f>N214/(1.355*(N208/Detached!N$17)^0.16)</f>
        <v>12598.45836666528</v>
      </c>
      <c r="O220" s="349">
        <f>O214/(1.355*(O208/Detached!O$17)^0.16)</f>
        <v>7006.5965384874025</v>
      </c>
      <c r="P220" s="349">
        <f>P214/(1.355*(P208/Detached!P$17)^0.16)</f>
        <v>6686.138485657656</v>
      </c>
      <c r="Q220" s="349">
        <f>Q214/(1.355*(Q208/Detached!Q$17)^0.16)</f>
        <v>6225.7331070824603</v>
      </c>
      <c r="R220" s="349">
        <f>R214/(1.355*(R208/Detached!R$17)^0.16)</f>
        <v>7536.9191766401182</v>
      </c>
      <c r="S220" s="349">
        <f>S214/(1.355*(S208/Detached!S$17)^0.16)</f>
        <v>9453.4370637650427</v>
      </c>
      <c r="T220" s="349">
        <f>T214/(1.355*(T208/Detached!T$17)^0.16)</f>
        <v>10716.227150859218</v>
      </c>
      <c r="U220" s="349">
        <f>U214/(1.355*(U208/Detached!U$17)^0.16)</f>
        <v>11521.59892409669</v>
      </c>
      <c r="V220" s="349">
        <f>V214/(1.355*(V208/Detached!V$17)^0.16)</f>
        <v>9266.6823656676279</v>
      </c>
      <c r="W220" s="349">
        <f>W214/(1.355*(W208/Detached!W$17)^0.16)</f>
        <v>7100.3135568033131</v>
      </c>
      <c r="X220" s="349">
        <f>X214/(1.355*(X208/Detached!X$17)^0.16)</f>
        <v>9131.6422074509592</v>
      </c>
      <c r="Y220" s="349">
        <f>Y214/(1.355*(Y208/Detached!Y$17)^0.16)</f>
        <v>4486.4798462329454</v>
      </c>
      <c r="Z220" s="349">
        <f>Z214/(1.355*(Z208/Detached!Z$17)^0.16)</f>
        <v>9419.9831333350412</v>
      </c>
      <c r="AA220" s="349">
        <f>AA214/(1.355*(AA208/Detached!AA$17)^0.16)</f>
        <v>12984.192012914535</v>
      </c>
      <c r="AB220" s="349">
        <f>AB214/(1.355*(AB208/Detached!AB$17)^0.16)</f>
        <v>12705.929888919045</v>
      </c>
      <c r="AC220" s="349">
        <f>AC214/(1.355*(AC208/Detached!AC$17)^0.16)</f>
        <v>7977.5238862977149</v>
      </c>
      <c r="AD220" s="349">
        <f>AD214/(1.355*(AD208/Detached!AD$17)^0.16)</f>
        <v>10826.096153199569</v>
      </c>
      <c r="AE220" s="349">
        <f>AE214/(1.355*(AE208/Detached!AE$17)^0.16)</f>
        <v>12519.649542739413</v>
      </c>
      <c r="AF220" s="349">
        <f>AF214/(1.355*(AF208/Detached!AF$17)^0.16)</f>
        <v>6051.4930914396018</v>
      </c>
      <c r="AG220" s="349">
        <f>AG214/(1.355*(AG208/Detached!AG$17)^0.16)</f>
        <v>11518.725039853844</v>
      </c>
      <c r="AH220" s="349">
        <f>AH214/(1.355*(AH208/Detached!AH$17)^0.16)</f>
        <v>7732.9617487707892</v>
      </c>
      <c r="AI220" s="349">
        <f>AI214/(1.355*(AI208/Detached!AI$17)^0.16)</f>
        <v>6686.138485657656</v>
      </c>
      <c r="AJ220" s="349">
        <f>AJ214/(1.355*(AJ208/Detached!AJ$17)^0.16)</f>
        <v>9598.6475705915964</v>
      </c>
      <c r="AK220" s="349">
        <f>AK214/(1.355*(AK208/Detached!AK$17)^0.16)</f>
        <v>10064.764491178561</v>
      </c>
      <c r="AL220" s="349">
        <f>AL214/(1.355*(AL208/Detached!AL$17)^0.16)</f>
        <v>6862.8397608207079</v>
      </c>
      <c r="AM220" s="349">
        <f>AM214/(1.355*(AM208/Detached!AM$17)^0.16)</f>
        <v>8826.6824168992534</v>
      </c>
      <c r="AN220" s="354">
        <f>AN214/(1.355*(AN208/Detached!AN$17)^0.16)</f>
        <v>8826.6824168992534</v>
      </c>
    </row>
    <row r="221" spans="1:40">
      <c r="A221" s="334" t="s">
        <v>262</v>
      </c>
      <c r="B221" s="359" t="s">
        <v>2</v>
      </c>
      <c r="C221" s="366" t="s">
        <v>190</v>
      </c>
      <c r="D221" s="375">
        <f>D215/Detached!D$4</f>
        <v>135.95690924333186</v>
      </c>
      <c r="E221" s="376">
        <f>E215/Detached!E$4</f>
        <v>142.19078403129214</v>
      </c>
      <c r="F221" s="376">
        <f>F215/Detached!F$4</f>
        <v>130.31930386673116</v>
      </c>
      <c r="G221" s="376">
        <f>G215/Detached!G$4</f>
        <v>132.4571790669506</v>
      </c>
      <c r="H221" s="376">
        <f>H215/Detached!H$4</f>
        <v>59.243819624018073</v>
      </c>
      <c r="I221" s="376">
        <f>I215/Detached!I$4</f>
        <v>152.56790309039826</v>
      </c>
      <c r="J221" s="376">
        <f>J215/Detached!J$4</f>
        <v>161.49477529465042</v>
      </c>
      <c r="K221" s="376">
        <f>K215/Detached!K$4</f>
        <v>96.748674625728924</v>
      </c>
      <c r="L221" s="376">
        <f>L215/Detached!L$4</f>
        <v>113.99081926802731</v>
      </c>
      <c r="M221" s="376">
        <f>M215/Detached!M$4</f>
        <v>120.97215205645368</v>
      </c>
      <c r="N221" s="376">
        <f>N215/Detached!N$4</f>
        <v>164.47371860054909</v>
      </c>
      <c r="O221" s="376">
        <f>O215/Detached!O$4</f>
        <v>156.88191705907499</v>
      </c>
      <c r="P221" s="376">
        <f>P215/Detached!P$4</f>
        <v>124.74997260359815</v>
      </c>
      <c r="Q221" s="376">
        <f>Q215/Detached!Q$4</f>
        <v>140.74065235563501</v>
      </c>
      <c r="R221" s="376">
        <f>R215/Detached!R$4</f>
        <v>120.56465739442019</v>
      </c>
      <c r="S221" s="376">
        <f>S215/Detached!S$4</f>
        <v>149.07241684068592</v>
      </c>
      <c r="T221" s="376">
        <f>T215/Detached!T$4</f>
        <v>139.90106388997131</v>
      </c>
      <c r="U221" s="376">
        <f>U215/Detached!U$4</f>
        <v>123.46229772074497</v>
      </c>
      <c r="V221" s="376">
        <f>V215/Detached!V$4</f>
        <v>145.34303661641337</v>
      </c>
      <c r="W221" s="376">
        <f>W215/Detached!W$4</f>
        <v>184.90306183915297</v>
      </c>
      <c r="X221" s="376">
        <f>X215/Detached!X$4</f>
        <v>171.22127158312432</v>
      </c>
      <c r="Y221" s="376">
        <f>Y215/Detached!Y$4</f>
        <v>41.780776655969561</v>
      </c>
      <c r="Z221" s="376">
        <f>Z215/Detached!Z$4</f>
        <v>157.63517506477717</v>
      </c>
      <c r="AA221" s="376">
        <f>AA215/Detached!AA$4</f>
        <v>128.65521093080883</v>
      </c>
      <c r="AB221" s="376">
        <f>AB215/Detached!AB$4</f>
        <v>188.51946485180051</v>
      </c>
      <c r="AC221" s="376">
        <f>AC215/Detached!AC$4</f>
        <v>84.433972017022569</v>
      </c>
      <c r="AD221" s="376">
        <f>AD215/Detached!AD$4</f>
        <v>164.6713003747501</v>
      </c>
      <c r="AE221" s="376">
        <f>AE215/Detached!AE$4</f>
        <v>124.05224376679477</v>
      </c>
      <c r="AF221" s="376">
        <f>AF215/Detached!AF$4</f>
        <v>125.7655860333161</v>
      </c>
      <c r="AG221" s="376">
        <f>AG215/Detached!AG$4</f>
        <v>205.50750728663516</v>
      </c>
      <c r="AH221" s="376">
        <f>AH215/Detached!AH$4</f>
        <v>177.14636923038952</v>
      </c>
      <c r="AI221" s="376">
        <f>AI215/Detached!AI$4</f>
        <v>124.74997260359815</v>
      </c>
      <c r="AJ221" s="376">
        <f>AJ215/Detached!AJ$4</f>
        <v>138.07138985323104</v>
      </c>
      <c r="AK221" s="376">
        <f>AK215/Detached!AK$4</f>
        <v>110.28051784237461</v>
      </c>
      <c r="AL221" s="376">
        <f>AL215/Detached!AL$4</f>
        <v>126.68236796873663</v>
      </c>
      <c r="AM221" s="376">
        <f>AM215/Detached!AM$4</f>
        <v>126.96708574114709</v>
      </c>
      <c r="AN221" s="377">
        <f>AN215/Detached!AN$4</f>
        <v>126.96708574114709</v>
      </c>
    </row>
    <row r="222" spans="1:40">
      <c r="A222" s="154"/>
      <c r="B222" s="347" t="s">
        <v>3</v>
      </c>
      <c r="C222" s="367" t="s">
        <v>190</v>
      </c>
      <c r="D222" s="369">
        <f>D216/Detached!D$4</f>
        <v>137.53708470428202</v>
      </c>
      <c r="E222" s="370">
        <f>E216/Detached!E$4</f>
        <v>142.19078403129214</v>
      </c>
      <c r="F222" s="370">
        <f>F216/Detached!F$4</f>
        <v>130.31930386673116</v>
      </c>
      <c r="G222" s="370">
        <f>G216/Detached!G$4</f>
        <v>133.99667849477058</v>
      </c>
      <c r="H222" s="370">
        <f>H216/Detached!H$4</f>
        <v>59.091217106150971</v>
      </c>
      <c r="I222" s="370">
        <f>I216/Detached!I$4</f>
        <v>126.65024291055121</v>
      </c>
      <c r="J222" s="370">
        <f>J216/Detached!J$4</f>
        <v>152.69728717930261</v>
      </c>
      <c r="K222" s="370">
        <f>K216/Detached!K$4</f>
        <v>92.385876818718884</v>
      </c>
      <c r="L222" s="370">
        <f>L216/Detached!L$4</f>
        <v>113.99081926802731</v>
      </c>
      <c r="M222" s="370">
        <f>M216/Detached!M$4</f>
        <v>115.42412624428192</v>
      </c>
      <c r="N222" s="370">
        <f>N216/Detached!N$4</f>
        <v>152.18830437479113</v>
      </c>
      <c r="O222" s="370">
        <f>O216/Detached!O$4</f>
        <v>156.88191705907499</v>
      </c>
      <c r="P222" s="370">
        <f>P216/Detached!P$4</f>
        <v>124.74997260359815</v>
      </c>
      <c r="Q222" s="370">
        <f>Q216/Detached!Q$4</f>
        <v>141.26558465879972</v>
      </c>
      <c r="R222" s="370">
        <f>R216/Detached!R$4</f>
        <v>120.56465739442019</v>
      </c>
      <c r="S222" s="370">
        <f>S216/Detached!S$4</f>
        <v>152.09558161390308</v>
      </c>
      <c r="T222" s="370">
        <f>T216/Detached!T$4</f>
        <v>129.45111155024972</v>
      </c>
      <c r="U222" s="370">
        <f>U216/Detached!U$4</f>
        <v>121.71354239097745</v>
      </c>
      <c r="V222" s="370">
        <f>V216/Detached!V$4</f>
        <v>145.34303661641337</v>
      </c>
      <c r="W222" s="370">
        <f>W216/Detached!W$4</f>
        <v>155.0325976303786</v>
      </c>
      <c r="X222" s="370">
        <f>X216/Detached!X$4</f>
        <v>167.86817015616188</v>
      </c>
      <c r="Y222" s="370">
        <f>Y216/Detached!Y$4</f>
        <v>41.694249929412429</v>
      </c>
      <c r="Z222" s="370">
        <f>Z216/Detached!Z$4</f>
        <v>127.3374195972621</v>
      </c>
      <c r="AA222" s="370">
        <f>AA216/Detached!AA$4</f>
        <v>127.92251232736571</v>
      </c>
      <c r="AB222" s="370">
        <f>AB216/Detached!AB$4</f>
        <v>143.50748777069469</v>
      </c>
      <c r="AC222" s="370">
        <f>AC216/Detached!AC$4</f>
        <v>84.426443071439039</v>
      </c>
      <c r="AD222" s="370">
        <f>AD216/Detached!AD$4</f>
        <v>152.80482584945088</v>
      </c>
      <c r="AE222" s="370">
        <f>AE216/Detached!AE$4</f>
        <v>123.34575931813301</v>
      </c>
      <c r="AF222" s="370">
        <f>AF216/Detached!AF$4</f>
        <v>125.7655860333161</v>
      </c>
      <c r="AG222" s="370">
        <f>AG216/Detached!AG$4</f>
        <v>183.12105627712478</v>
      </c>
      <c r="AH222" s="370">
        <f>AH216/Detached!AH$4</f>
        <v>179.79816200879839</v>
      </c>
      <c r="AI222" s="370">
        <f>AI216/Detached!AI$4</f>
        <v>124.74997260359815</v>
      </c>
      <c r="AJ222" s="370">
        <f>AJ216/Detached!AJ$4</f>
        <v>138.07138985323104</v>
      </c>
      <c r="AK222" s="370">
        <f>AK216/Detached!AK$4</f>
        <v>110.28051784237461</v>
      </c>
      <c r="AL222" s="370">
        <f>AL216/Detached!AL$4</f>
        <v>126.68236796873663</v>
      </c>
      <c r="AM222" s="370">
        <f>AM216/Detached!AM$4</f>
        <v>126.96708574114709</v>
      </c>
      <c r="AN222" s="371">
        <f>AN216/Detached!AN$4</f>
        <v>126.96708574114709</v>
      </c>
    </row>
    <row r="223" spans="1:40">
      <c r="A223" s="154"/>
      <c r="B223" s="347" t="s">
        <v>4</v>
      </c>
      <c r="C223" s="367" t="s">
        <v>190</v>
      </c>
      <c r="D223" s="369">
        <f>D217/Detached!D$4</f>
        <v>112.78636390980317</v>
      </c>
      <c r="E223" s="370">
        <f>E217/Detached!E$4</f>
        <v>142.19078403129214</v>
      </c>
      <c r="F223" s="370">
        <f>F217/Detached!F$4</f>
        <v>125.9336568201081</v>
      </c>
      <c r="G223" s="370">
        <f>G217/Detached!G$4</f>
        <v>109.88307754167167</v>
      </c>
      <c r="H223" s="370">
        <f>H217/Detached!H$4</f>
        <v>67.611696455123493</v>
      </c>
      <c r="I223" s="370">
        <f>I217/Detached!I$4</f>
        <v>126.65024291055121</v>
      </c>
      <c r="J223" s="370">
        <f>J217/Detached!J$4</f>
        <v>110.34293467099475</v>
      </c>
      <c r="K223" s="370">
        <f>K217/Detached!K$4</f>
        <v>73.484012471353864</v>
      </c>
      <c r="L223" s="370">
        <f>L217/Detached!L$4</f>
        <v>101.62366932490673</v>
      </c>
      <c r="M223" s="370">
        <f>M217/Detached!M$4</f>
        <v>115.42412624428192</v>
      </c>
      <c r="N223" s="370">
        <f>N217/Detached!N$4</f>
        <v>135.26201061531586</v>
      </c>
      <c r="O223" s="370">
        <f>O217/Detached!O$4</f>
        <v>88.4161670723052</v>
      </c>
      <c r="P223" s="370">
        <f>P217/Detached!P$4</f>
        <v>124.74997260359815</v>
      </c>
      <c r="Q223" s="370">
        <f>Q217/Detached!Q$4</f>
        <v>122.10777486420803</v>
      </c>
      <c r="R223" s="370">
        <f>R217/Detached!R$4</f>
        <v>112.47993276798243</v>
      </c>
      <c r="S223" s="370">
        <f>S217/Detached!S$4</f>
        <v>121.84894390186089</v>
      </c>
      <c r="T223" s="370">
        <f>T217/Detached!T$4</f>
        <v>115.05363501227552</v>
      </c>
      <c r="U223" s="370">
        <f>U217/Detached!U$4</f>
        <v>111.40425609337106</v>
      </c>
      <c r="V223" s="370">
        <f>V217/Detached!V$4</f>
        <v>107.50494476799723</v>
      </c>
      <c r="W223" s="370">
        <f>W217/Detached!W$4</f>
        <v>109.60250777984308</v>
      </c>
      <c r="X223" s="370">
        <f>X217/Detached!X$4</f>
        <v>160.01045475170272</v>
      </c>
      <c r="Y223" s="370">
        <f>Y217/Detached!Y$4</f>
        <v>41.452619847528744</v>
      </c>
      <c r="Z223" s="370">
        <f>Z217/Detached!Z$4</f>
        <v>121.34190348260775</v>
      </c>
      <c r="AA223" s="370">
        <f>AA217/Detached!AA$4</f>
        <v>103.91906729209498</v>
      </c>
      <c r="AB223" s="370">
        <f>AB217/Detached!AB$4</f>
        <v>117.61890172934081</v>
      </c>
      <c r="AC223" s="370">
        <f>AC217/Detached!AC$4</f>
        <v>82.499683390110263</v>
      </c>
      <c r="AD223" s="370">
        <f>AD217/Detached!AD$4</f>
        <v>152.80482584945088</v>
      </c>
      <c r="AE223" s="370">
        <f>AE217/Detached!AE$4</f>
        <v>100.20109853669238</v>
      </c>
      <c r="AF223" s="370">
        <f>AF217/Detached!AF$4</f>
        <v>109.44574718329139</v>
      </c>
      <c r="AG223" s="370">
        <f>AG217/Detached!AG$4</f>
        <v>183.12105627712478</v>
      </c>
      <c r="AH223" s="370">
        <f>AH217/Detached!AH$4</f>
        <v>142.7325743057431</v>
      </c>
      <c r="AI223" s="370">
        <f>AI217/Detached!AI$4</f>
        <v>124.74997260359815</v>
      </c>
      <c r="AJ223" s="370">
        <f>AJ217/Detached!AJ$4</f>
        <v>138.07138985323104</v>
      </c>
      <c r="AK223" s="370">
        <f>AK217/Detached!AK$4</f>
        <v>110.28051784237461</v>
      </c>
      <c r="AL223" s="370">
        <f>AL217/Detached!AL$4</f>
        <v>122.28176105264177</v>
      </c>
      <c r="AM223" s="370">
        <f>AM217/Detached!AM$4</f>
        <v>126.96708574114709</v>
      </c>
      <c r="AN223" s="371">
        <f>AN217/Detached!AN$4</f>
        <v>126.96708574114709</v>
      </c>
    </row>
    <row r="224" spans="1:40">
      <c r="A224" s="154"/>
      <c r="B224" s="347" t="s">
        <v>5</v>
      </c>
      <c r="C224" s="367" t="s">
        <v>190</v>
      </c>
      <c r="D224" s="369">
        <f>D218/Detached!D$4</f>
        <v>83.426606935340658</v>
      </c>
      <c r="E224" s="370">
        <f>E218/Detached!E$4</f>
        <v>122.93375008175995</v>
      </c>
      <c r="F224" s="370">
        <f>F218/Detached!F$4</f>
        <v>116.74121597578181</v>
      </c>
      <c r="G224" s="370">
        <f>G218/Detached!G$4</f>
        <v>81.279083757374423</v>
      </c>
      <c r="H224" s="370">
        <f>H218/Detached!H$4</f>
        <v>65.377673288368712</v>
      </c>
      <c r="I224" s="370">
        <f>I218/Detached!I$4</f>
        <v>116.64610071462084</v>
      </c>
      <c r="J224" s="370">
        <f>J218/Detached!J$4</f>
        <v>86.902047056343093</v>
      </c>
      <c r="K224" s="370">
        <f>K218/Detached!K$4</f>
        <v>66.787335101898904</v>
      </c>
      <c r="L224" s="370">
        <f>L218/Detached!L$4</f>
        <v>76.379648359453057</v>
      </c>
      <c r="M224" s="370">
        <f>M218/Detached!M$4</f>
        <v>71.102017973899535</v>
      </c>
      <c r="N224" s="370">
        <f>N218/Detached!N$4</f>
        <v>117.2382578094297</v>
      </c>
      <c r="O224" s="370">
        <f>O218/Detached!O$4</f>
        <v>77.232758779054677</v>
      </c>
      <c r="P224" s="370">
        <f>P218/Detached!P$4</f>
        <v>119.86594802442028</v>
      </c>
      <c r="Q224" s="370">
        <f>Q218/Detached!Q$4</f>
        <v>122.10777486420803</v>
      </c>
      <c r="R224" s="370">
        <f>R218/Detached!R$4</f>
        <v>97.771225294643727</v>
      </c>
      <c r="S224" s="370">
        <f>S218/Detached!S$4</f>
        <v>86.069147260822092</v>
      </c>
      <c r="T224" s="370">
        <f>T218/Detached!T$4</f>
        <v>99.722661685422594</v>
      </c>
      <c r="U224" s="370">
        <f>U218/Detached!U$4</f>
        <v>94.323887936788353</v>
      </c>
      <c r="V224" s="370">
        <f>V218/Detached!V$4</f>
        <v>107.50494476799723</v>
      </c>
      <c r="W224" s="370">
        <f>W218/Detached!W$4</f>
        <v>87.935881259898352</v>
      </c>
      <c r="X224" s="370">
        <f>X218/Detached!X$4</f>
        <v>101.92226369124124</v>
      </c>
      <c r="Y224" s="370">
        <f>Y218/Detached!Y$4</f>
        <v>37.305451580440781</v>
      </c>
      <c r="Z224" s="370">
        <f>Z218/Detached!Z$4</f>
        <v>102.63908228290003</v>
      </c>
      <c r="AA224" s="370">
        <f>AA218/Detached!AA$4</f>
        <v>102.13547397455667</v>
      </c>
      <c r="AB224" s="370">
        <f>AB218/Detached!AB$4</f>
        <v>117.61890172934081</v>
      </c>
      <c r="AC224" s="370">
        <f>AC218/Detached!AC$4</f>
        <v>81.810508933385336</v>
      </c>
      <c r="AD224" s="370">
        <f>AD218/Detached!AD$4</f>
        <v>142.49297263656291</v>
      </c>
      <c r="AE224" s="370">
        <f>AE218/Detached!AE$4</f>
        <v>98.481317803309707</v>
      </c>
      <c r="AF224" s="370">
        <f>AF218/Detached!AF$4</f>
        <v>95.806423144475247</v>
      </c>
      <c r="AG224" s="370">
        <f>AG218/Detached!AG$4</f>
        <v>158.07578504405768</v>
      </c>
      <c r="AH224" s="370">
        <f>AH218/Detached!AH$4</f>
        <v>115.46101498973054</v>
      </c>
      <c r="AI224" s="370">
        <f>AI218/Detached!AI$4</f>
        <v>119.86594802442028</v>
      </c>
      <c r="AJ224" s="370">
        <f>AJ218/Detached!AJ$4</f>
        <v>126.82253227599037</v>
      </c>
      <c r="AK224" s="370">
        <f>AK218/Detached!AK$4</f>
        <v>100.16229356593749</v>
      </c>
      <c r="AL224" s="370">
        <f>AL218/Detached!AL$4</f>
        <v>113.06371727121345</v>
      </c>
      <c r="AM224" s="370">
        <f>AM218/Detached!AM$4</f>
        <v>116.62291041258935</v>
      </c>
      <c r="AN224" s="371">
        <f>AN218/Detached!AN$4</f>
        <v>116.62291041258935</v>
      </c>
    </row>
    <row r="225" spans="1:40">
      <c r="A225" s="154"/>
      <c r="B225" s="347" t="s">
        <v>6</v>
      </c>
      <c r="C225" s="367" t="s">
        <v>190</v>
      </c>
      <c r="D225" s="369">
        <f>D219/Detached!D$4</f>
        <v>75.726838497300477</v>
      </c>
      <c r="E225" s="370">
        <f>E219/Detached!E$4</f>
        <v>122.93375008175995</v>
      </c>
      <c r="F225" s="370">
        <f>F219/Detached!F$4</f>
        <v>98.730351832613323</v>
      </c>
      <c r="G225" s="370">
        <f>G219/Detached!G$4</f>
        <v>73.777518647901573</v>
      </c>
      <c r="H225" s="370">
        <f>H219/Detached!H$4</f>
        <v>53.400573309431053</v>
      </c>
      <c r="I225" s="370">
        <f>I219/Detached!I$4</f>
        <v>96.805391912918196</v>
      </c>
      <c r="J225" s="370">
        <f>J219/Detached!J$4</f>
        <v>59.717844444019498</v>
      </c>
      <c r="K225" s="370">
        <f>K219/Detached!K$4</f>
        <v>66.787335101898904</v>
      </c>
      <c r="L225" s="370">
        <f>L219/Detached!L$4</f>
        <v>67.499256866109363</v>
      </c>
      <c r="M225" s="370">
        <f>M219/Detached!M$4</f>
        <v>71.102017973899535</v>
      </c>
      <c r="N225" s="370">
        <f>N219/Detached!N$4</f>
        <v>116.17915688707002</v>
      </c>
      <c r="O225" s="370">
        <f>O219/Detached!O$4</f>
        <v>51.707575704212317</v>
      </c>
      <c r="P225" s="370">
        <f>P219/Detached!P$4</f>
        <v>119.86594802442028</v>
      </c>
      <c r="Q225" s="370">
        <f>Q219/Detached!Q$4</f>
        <v>95.65356050705725</v>
      </c>
      <c r="R225" s="370">
        <f>R219/Detached!R$4</f>
        <v>97.771225294643727</v>
      </c>
      <c r="S225" s="370">
        <f>S219/Detached!S$4</f>
        <v>84.361727475680141</v>
      </c>
      <c r="T225" s="370">
        <f>T219/Detached!T$4</f>
        <v>98.821792251292379</v>
      </c>
      <c r="U225" s="370">
        <f>U219/Detached!U$4</f>
        <v>90.664273543433708</v>
      </c>
      <c r="V225" s="370">
        <f>V219/Detached!V$4</f>
        <v>107.50494476799723</v>
      </c>
      <c r="W225" s="370">
        <f>W219/Detached!W$4</f>
        <v>76.412116012082109</v>
      </c>
      <c r="X225" s="370">
        <f>X219/Detached!X$4</f>
        <v>99.979158144508403</v>
      </c>
      <c r="Y225" s="370">
        <f>Y219/Detached!Y$4</f>
        <v>36.507751574226909</v>
      </c>
      <c r="Z225" s="370">
        <f>Z219/Detached!Z$4</f>
        <v>92.56648131860338</v>
      </c>
      <c r="AA225" s="370">
        <f>AA219/Detached!AA$4</f>
        <v>96.909954573241976</v>
      </c>
      <c r="AB225" s="370">
        <f>AB219/Detached!AB$4</f>
        <v>117.61890172934081</v>
      </c>
      <c r="AC225" s="370">
        <f>AC219/Detached!AC$4</f>
        <v>78.267583514487711</v>
      </c>
      <c r="AD225" s="370">
        <f>AD219/Detached!AD$4</f>
        <v>142.49297263656291</v>
      </c>
      <c r="AE225" s="370">
        <f>AE219/Detached!AE$4</f>
        <v>93.442754639874124</v>
      </c>
      <c r="AF225" s="370">
        <f>AF219/Detached!AF$4</f>
        <v>75.834982677295855</v>
      </c>
      <c r="AG225" s="370">
        <f>AG219/Detached!AG$4</f>
        <v>141.25114256656514</v>
      </c>
      <c r="AH225" s="370">
        <f>AH219/Detached!AH$4</f>
        <v>86.686003795028867</v>
      </c>
      <c r="AI225" s="370">
        <f>AI219/Detached!AI$4</f>
        <v>119.86594802442028</v>
      </c>
      <c r="AJ225" s="370">
        <f>AJ219/Detached!AJ$4</f>
        <v>124.39073162269726</v>
      </c>
      <c r="AK225" s="370">
        <f>AK219/Detached!AK$4</f>
        <v>97.638768426845232</v>
      </c>
      <c r="AL225" s="370">
        <f>AL219/Detached!AL$4</f>
        <v>94.968760510949025</v>
      </c>
      <c r="AM225" s="370">
        <f>AM219/Detached!AM$4</f>
        <v>114.3866857871963</v>
      </c>
      <c r="AN225" s="371">
        <f>AN219/Detached!AN$4</f>
        <v>114.3866857871963</v>
      </c>
    </row>
    <row r="226" spans="1:40">
      <c r="A226" s="155"/>
      <c r="B226" s="338" t="s">
        <v>7</v>
      </c>
      <c r="C226" s="368" t="s">
        <v>190</v>
      </c>
      <c r="D226" s="378">
        <f>D220/Detached!D$4</f>
        <v>67.599675245522889</v>
      </c>
      <c r="E226" s="379">
        <f>E220/Detached!E$4</f>
        <v>82.594341019005142</v>
      </c>
      <c r="F226" s="379">
        <f>F220/Detached!F$4</f>
        <v>83.051929135418945</v>
      </c>
      <c r="G226" s="379">
        <f>G220/Detached!G$4</f>
        <v>65.859560493819458</v>
      </c>
      <c r="H226" s="379">
        <f>H220/Detached!H$4</f>
        <v>44.682243567501644</v>
      </c>
      <c r="I226" s="379">
        <f>I220/Detached!I$4</f>
        <v>75.675787088495227</v>
      </c>
      <c r="J226" s="379">
        <f>J220/Detached!J$4</f>
        <v>61.628787905226446</v>
      </c>
      <c r="K226" s="379">
        <f>K220/Detached!K$4</f>
        <v>50.115790439651917</v>
      </c>
      <c r="L226" s="379">
        <f>L220/Detached!L$4</f>
        <v>67.499256866109363</v>
      </c>
      <c r="M226" s="379">
        <f>M220/Detached!M$4</f>
        <v>59.176981079611551</v>
      </c>
      <c r="N226" s="379">
        <f>N220/Detached!N$4</f>
        <v>103.90481127146623</v>
      </c>
      <c r="O226" s="379">
        <f>O220/Detached!O$4</f>
        <v>50.215276989221216</v>
      </c>
      <c r="P226" s="379">
        <f>P220/Detached!P$4</f>
        <v>58.45597404365158</v>
      </c>
      <c r="Q226" s="379">
        <f>Q220/Detached!Q$4</f>
        <v>72.43321125507434</v>
      </c>
      <c r="R226" s="379">
        <f>R220/Detached!R$4</f>
        <v>64.729932473126411</v>
      </c>
      <c r="S226" s="379">
        <f>S220/Detached!S$4</f>
        <v>64.2545377776473</v>
      </c>
      <c r="T226" s="379">
        <f>T220/Detached!T$4</f>
        <v>88.381254852447157</v>
      </c>
      <c r="U226" s="379">
        <f>U220/Detached!U$4</f>
        <v>84.022599264150884</v>
      </c>
      <c r="V226" s="379">
        <f>V220/Detached!V$4</f>
        <v>76.748852600048664</v>
      </c>
      <c r="W226" s="379">
        <f>W220/Detached!W$4</f>
        <v>64.882592713646233</v>
      </c>
      <c r="X226" s="379">
        <f>X220/Detached!X$4</f>
        <v>76.097018395424655</v>
      </c>
      <c r="Y226" s="379">
        <f>Y220/Detached!Y$4</f>
        <v>36.307931293277655</v>
      </c>
      <c r="Z226" s="379">
        <f>Z220/Detached!Z$4</f>
        <v>65.741719953974012</v>
      </c>
      <c r="AA226" s="379">
        <f>AA220/Detached!AA$4</f>
        <v>83.298745872747617</v>
      </c>
      <c r="AB226" s="379">
        <f>AB220/Detached!AB$4</f>
        <v>105.57721411548839</v>
      </c>
      <c r="AC226" s="379">
        <f>AC220/Detached!AC$4</f>
        <v>54.991843438416247</v>
      </c>
      <c r="AD226" s="379">
        <f>AD220/Detached!AD$4</f>
        <v>119.22655245349947</v>
      </c>
      <c r="AE226" s="379">
        <f>AE220/Detached!AE$4</f>
        <v>80.318521525192708</v>
      </c>
      <c r="AF226" s="379">
        <f>AF220/Detached!AF$4</f>
        <v>50.691726030652816</v>
      </c>
      <c r="AG226" s="379">
        <f>AG220/Detached!AG$4</f>
        <v>95.834004452396911</v>
      </c>
      <c r="AH226" s="379">
        <f>AH220/Detached!AH$4</f>
        <v>75.748370258560442</v>
      </c>
      <c r="AI226" s="379">
        <f>AI220/Detached!AI$4</f>
        <v>58.45597404365158</v>
      </c>
      <c r="AJ226" s="379">
        <f>AJ220/Detached!AJ$4</f>
        <v>111.67534092534919</v>
      </c>
      <c r="AK226" s="379">
        <f>AK220/Detached!AK$4</f>
        <v>87.994828870782754</v>
      </c>
      <c r="AL226" s="379">
        <f>AL220/Detached!AL$4</f>
        <v>79.84562037196018</v>
      </c>
      <c r="AM226" s="379">
        <f>AM220/Detached!AM$4</f>
        <v>102.69392233621261</v>
      </c>
      <c r="AN226" s="380">
        <f>AN220/Detached!AN$4</f>
        <v>102.69392233621261</v>
      </c>
    </row>
    <row r="227" spans="1:40">
      <c r="A227" s="334" t="s">
        <v>299</v>
      </c>
      <c r="B227" s="359" t="s">
        <v>2</v>
      </c>
      <c r="C227" s="366" t="s">
        <v>190</v>
      </c>
      <c r="D227" s="376">
        <f>Detached!D$47-D221</f>
        <v>79.005982169152531</v>
      </c>
      <c r="E227" s="376">
        <f>Detached!E$47-E221</f>
        <v>75.662699213877346</v>
      </c>
      <c r="F227" s="376">
        <f>Detached!F$47-F221</f>
        <v>76.328153104557032</v>
      </c>
      <c r="G227" s="376">
        <f>Detached!G$47-G221</f>
        <v>76.972252353942167</v>
      </c>
      <c r="H227" s="376">
        <f>Detached!H$47-H221</f>
        <v>24.532243475729587</v>
      </c>
      <c r="I227" s="376">
        <f>Detached!I$47-I221</f>
        <v>39.471199463375655</v>
      </c>
      <c r="J227" s="376">
        <f>Detached!J$47-J221</f>
        <v>83.174640774549943</v>
      </c>
      <c r="K227" s="376">
        <f>Detached!K$47-K221</f>
        <v>37.112382525819314</v>
      </c>
      <c r="L227" s="376">
        <f>Detached!L$47-L221</f>
        <v>26.148342903933639</v>
      </c>
      <c r="M227" s="376">
        <f>Detached!M$47-M221</f>
        <v>66.997221264909157</v>
      </c>
      <c r="N227" s="376">
        <f>Detached!N$47-N221</f>
        <v>44.683404891504921</v>
      </c>
      <c r="O227" s="376">
        <f>Detached!O$47-O221</f>
        <v>89.820798748195699</v>
      </c>
      <c r="P227" s="376">
        <f>Detached!P$47-P221</f>
        <v>55.045820837022134</v>
      </c>
      <c r="Q227" s="376">
        <f>Detached!Q$47-Q221</f>
        <v>53.780310400145709</v>
      </c>
      <c r="R227" s="376">
        <f>Detached!R$47-R221</f>
        <v>73.117170136896661</v>
      </c>
      <c r="S227" s="376">
        <f>Detached!S$47-S221</f>
        <v>68.878562760775054</v>
      </c>
      <c r="T227" s="376">
        <f>Detached!T$47-T221</f>
        <v>38.007627818825426</v>
      </c>
      <c r="U227" s="376">
        <f>Detached!U$47-U221</f>
        <v>49.767137816958069</v>
      </c>
      <c r="V227" s="376">
        <f>Detached!V$47-V221</f>
        <v>58.096530534082831</v>
      </c>
      <c r="W227" s="376">
        <f>Detached!W$47-W221</f>
        <v>44.334788315042886</v>
      </c>
      <c r="X227" s="376">
        <f>Detached!X$47-X221</f>
        <v>60.262804050164021</v>
      </c>
      <c r="Y227" s="376">
        <f>Detached!Y$47-Y221</f>
        <v>23.465284930469394</v>
      </c>
      <c r="Z227" s="376">
        <f>Detached!Z$47-Z221</f>
        <v>74.654177665535997</v>
      </c>
      <c r="AA227" s="376">
        <f>Detached!AA$47-AA221</f>
        <v>29.543434527639334</v>
      </c>
      <c r="AB227" s="376">
        <f>Detached!AB$47-AB221</f>
        <v>96.276800253984476</v>
      </c>
      <c r="AC227" s="376">
        <f>Detached!AC$47-AC221</f>
        <v>35.407662046131563</v>
      </c>
      <c r="AD227" s="376">
        <f>Detached!AD$47-AD221</f>
        <v>101.05331440281014</v>
      </c>
      <c r="AE227" s="376">
        <f>Detached!AE$47-AE221</f>
        <v>28.486443069158426</v>
      </c>
      <c r="AF227" s="376">
        <f>Detached!AF$47-AF221</f>
        <v>64.777184131246415</v>
      </c>
      <c r="AG227" s="376">
        <f>Detached!AG$47-AG221</f>
        <v>74.920917011362718</v>
      </c>
      <c r="AH227" s="376">
        <f>Detached!AH$47-AH221</f>
        <v>88.374768470442774</v>
      </c>
      <c r="AI227" s="376">
        <f>Detached!AI$47-AI221</f>
        <v>55.045820837022134</v>
      </c>
      <c r="AJ227" s="376">
        <f>Detached!AJ$47-AJ221</f>
        <v>71.709762886209489</v>
      </c>
      <c r="AK227" s="376">
        <f>Detached!AK$47-AK221</f>
        <v>58.069733972212177</v>
      </c>
      <c r="AL227" s="376">
        <f>Detached!AL$47-AL221</f>
        <v>74.494248637605807</v>
      </c>
      <c r="AM227" s="376">
        <f>Detached!AM$47-AM221</f>
        <v>65.942550607544462</v>
      </c>
      <c r="AN227" s="377">
        <f>Detached!AN$47-AN221</f>
        <v>65.942550607544462</v>
      </c>
    </row>
    <row r="228" spans="1:40">
      <c r="A228" s="154"/>
      <c r="B228" s="347" t="s">
        <v>3</v>
      </c>
      <c r="C228" s="367" t="s">
        <v>190</v>
      </c>
      <c r="D228" s="370">
        <f>Detached!D$48-D222</f>
        <v>62.664009383817671</v>
      </c>
      <c r="E228" s="370">
        <f>Detached!E$48-E222</f>
        <v>75.662699213877346</v>
      </c>
      <c r="F228" s="370">
        <f>Detached!F$48-F222</f>
        <v>76.328153104557032</v>
      </c>
      <c r="G228" s="370">
        <f>Detached!G$48-G222</f>
        <v>61.050945907793277</v>
      </c>
      <c r="H228" s="370">
        <f>Detached!H$48-H222</f>
        <v>19.871343611595968</v>
      </c>
      <c r="I228" s="370">
        <f>Detached!I$48-I222</f>
        <v>38.118172029448232</v>
      </c>
      <c r="J228" s="370">
        <f>Detached!J$48-J222</f>
        <v>58.647490325025615</v>
      </c>
      <c r="K228" s="370">
        <f>Detached!K$48-K222</f>
        <v>37.683577164870485</v>
      </c>
      <c r="L228" s="370">
        <f>Detached!L$48-L222</f>
        <v>26.148342903933639</v>
      </c>
      <c r="M228" s="370">
        <f>Detached!M$48-M222</f>
        <v>56.015604224506859</v>
      </c>
      <c r="N228" s="370">
        <f>Detached!N$48-N222</f>
        <v>41.154283782812001</v>
      </c>
      <c r="O228" s="370">
        <f>Detached!O$48-O222</f>
        <v>89.820798748195699</v>
      </c>
      <c r="P228" s="370">
        <f>Detached!P$48-P222</f>
        <v>55.045820837022134</v>
      </c>
      <c r="Q228" s="370">
        <f>Detached!Q$48-Q222</f>
        <v>62.853344042629686</v>
      </c>
      <c r="R228" s="370">
        <f>Detached!R$48-R222</f>
        <v>73.117170136896661</v>
      </c>
      <c r="S228" s="370">
        <f>Detached!S$48-S222</f>
        <v>68.669515037830109</v>
      </c>
      <c r="T228" s="370">
        <f>Detached!T$48-T222</f>
        <v>35.005763436456846</v>
      </c>
      <c r="U228" s="370">
        <f>Detached!U$48-U222</f>
        <v>43.524476399944902</v>
      </c>
      <c r="V228" s="370">
        <f>Detached!V$48-V222</f>
        <v>58.096530534082831</v>
      </c>
      <c r="W228" s="370">
        <f>Detached!W$48-W222</f>
        <v>77.985267221495548</v>
      </c>
      <c r="X228" s="370">
        <f>Detached!X$48-X222</f>
        <v>60.451777560803464</v>
      </c>
      <c r="Y228" s="370">
        <f>Detached!Y$48-Y222</f>
        <v>23.472334375970611</v>
      </c>
      <c r="Z228" s="370">
        <f>Detached!Z$48-Z222</f>
        <v>63.217022676011723</v>
      </c>
      <c r="AA228" s="370">
        <f>Detached!AA$48-AA222</f>
        <v>29.571807136079414</v>
      </c>
      <c r="AB228" s="370">
        <f>Detached!AB$48-AB222</f>
        <v>65.917718131404513</v>
      </c>
      <c r="AC228" s="370">
        <f>Detached!AC$48-AC222</f>
        <v>25.391953353411196</v>
      </c>
      <c r="AD228" s="370">
        <f>Detached!AD$48-AD222</f>
        <v>90.027898745860909</v>
      </c>
      <c r="AE228" s="370">
        <f>Detached!AE$48-AE222</f>
        <v>28.513800575419154</v>
      </c>
      <c r="AF228" s="370">
        <f>Detached!AF$48-AF222</f>
        <v>64.777184131246415</v>
      </c>
      <c r="AG228" s="370">
        <f>Detached!AG$48-AG222</f>
        <v>58.413444826908233</v>
      </c>
      <c r="AH228" s="370">
        <f>Detached!AH$48-AH222</f>
        <v>97.531579650735978</v>
      </c>
      <c r="AI228" s="370">
        <f>Detached!AI$48-AI222</f>
        <v>55.045820837022134</v>
      </c>
      <c r="AJ228" s="370">
        <f>Detached!AJ$48-AJ222</f>
        <v>71.709762886209489</v>
      </c>
      <c r="AK228" s="370">
        <f>Detached!AK$48-AK222</f>
        <v>58.069733972212177</v>
      </c>
      <c r="AL228" s="370">
        <f>Detached!AL$48-AL222</f>
        <v>74.494248637605807</v>
      </c>
      <c r="AM228" s="370">
        <f>Detached!AM$48-AM222</f>
        <v>65.942550607544462</v>
      </c>
      <c r="AN228" s="371">
        <f>Detached!AN$48-AN222</f>
        <v>65.942550607544462</v>
      </c>
    </row>
    <row r="229" spans="1:40">
      <c r="A229" s="154"/>
      <c r="B229" s="347" t="s">
        <v>4</v>
      </c>
      <c r="C229" s="367" t="s">
        <v>190</v>
      </c>
      <c r="D229" s="370">
        <f>Detached!D$49-D223</f>
        <v>48.003423388011967</v>
      </c>
      <c r="E229" s="370">
        <f>Detached!E$49-E223</f>
        <v>75.662699213877346</v>
      </c>
      <c r="F229" s="370">
        <f>Detached!F$49-F223</f>
        <v>70.122319122948397</v>
      </c>
      <c r="G229" s="370">
        <f>Detached!G$49-G223</f>
        <v>46.767744890055354</v>
      </c>
      <c r="H229" s="370">
        <f>Detached!H$49-H223</f>
        <v>14.866294094247706</v>
      </c>
      <c r="I229" s="370">
        <f>Detached!I$49-I223</f>
        <v>38.118172029448232</v>
      </c>
      <c r="J229" s="370">
        <f>Detached!J$49-J223</f>
        <v>30.523985564768921</v>
      </c>
      <c r="K229" s="370">
        <f>Detached!K$49-K223</f>
        <v>18.598479292350603</v>
      </c>
      <c r="L229" s="370">
        <f>Detached!L$49-L223</f>
        <v>15.562767545017735</v>
      </c>
      <c r="M229" s="370">
        <f>Detached!M$49-M223</f>
        <v>56.015604224506859</v>
      </c>
      <c r="N229" s="370">
        <f>Detached!N$49-N223</f>
        <v>26.417418710519996</v>
      </c>
      <c r="O229" s="370">
        <f>Detached!O$49-O223</f>
        <v>33.677105526810379</v>
      </c>
      <c r="P229" s="370">
        <f>Detached!P$49-P223</f>
        <v>55.045820837022134</v>
      </c>
      <c r="Q229" s="370">
        <f>Detached!Q$49-Q223</f>
        <v>54.970776952887334</v>
      </c>
      <c r="R229" s="370">
        <f>Detached!R$49-R223</f>
        <v>57.917099175512703</v>
      </c>
      <c r="S229" s="370">
        <f>Detached!S$49-S223</f>
        <v>70.957400854938513</v>
      </c>
      <c r="T229" s="370">
        <f>Detached!T$49-T223</f>
        <v>22.470611197187623</v>
      </c>
      <c r="U229" s="370">
        <f>Detached!U$49-U223</f>
        <v>44.132859754876023</v>
      </c>
      <c r="V229" s="370">
        <f>Detached!V$49-V223</f>
        <v>27.383375391139069</v>
      </c>
      <c r="W229" s="370">
        <f>Detached!W$49-W223</f>
        <v>25.849893549185623</v>
      </c>
      <c r="X229" s="370">
        <f>Detached!X$49-X223</f>
        <v>53.328321883161266</v>
      </c>
      <c r="Y229" s="370">
        <f>Detached!Y$49-Y223</f>
        <v>13.987827778926629</v>
      </c>
      <c r="Z229" s="370">
        <f>Detached!Z$49-Z223</f>
        <v>63.669877304211624</v>
      </c>
      <c r="AA229" s="370">
        <f>Detached!AA$49-AA223</f>
        <v>11.417469957509368</v>
      </c>
      <c r="AB229" s="370">
        <f>Detached!AB$49-AB223</f>
        <v>35.217797052663101</v>
      </c>
      <c r="AC229" s="370">
        <f>Detached!AC$49-AC223</f>
        <v>25.487164346937234</v>
      </c>
      <c r="AD229" s="370">
        <f>Detached!AD$49-AD223</f>
        <v>90.027898745860909</v>
      </c>
      <c r="AE229" s="370">
        <f>Detached!AE$49-AE223</f>
        <v>11.008980950882219</v>
      </c>
      <c r="AF229" s="370">
        <f>Detached!AF$49-AF223</f>
        <v>66.097216440040825</v>
      </c>
      <c r="AG229" s="370">
        <f>Detached!AG$49-AG223</f>
        <v>58.413444826908233</v>
      </c>
      <c r="AH229" s="370">
        <f>Detached!AH$49-AH223</f>
        <v>79.213891978014118</v>
      </c>
      <c r="AI229" s="370">
        <f>Detached!AI$49-AI223</f>
        <v>55.045820837022134</v>
      </c>
      <c r="AJ229" s="370">
        <f>Detached!AJ$49-AJ223</f>
        <v>71.709762886209489</v>
      </c>
      <c r="AK229" s="370">
        <f>Detached!AK$49-AK223</f>
        <v>58.069733972212177</v>
      </c>
      <c r="AL229" s="370">
        <f>Detached!AL$49-AL223</f>
        <v>68.449065484285796</v>
      </c>
      <c r="AM229" s="370">
        <f>Detached!AM$49-AM223</f>
        <v>65.942550607544462</v>
      </c>
      <c r="AN229" s="371">
        <f>Detached!AN$49-AN223</f>
        <v>65.942550607544462</v>
      </c>
    </row>
    <row r="230" spans="1:40">
      <c r="A230" s="154"/>
      <c r="B230" s="347" t="s">
        <v>5</v>
      </c>
      <c r="C230" s="367" t="s">
        <v>190</v>
      </c>
      <c r="D230" s="370">
        <f>Detached!D$50-D224</f>
        <v>28.817669947072218</v>
      </c>
      <c r="E230" s="370">
        <f>Detached!E$50-E224</f>
        <v>63.20169639291602</v>
      </c>
      <c r="F230" s="370">
        <f>Detached!F$50-F224</f>
        <v>54.851967790048377</v>
      </c>
      <c r="G230" s="370">
        <f>Detached!G$50-G224</f>
        <v>28.075860871769862</v>
      </c>
      <c r="H230" s="370">
        <f>Detached!H$50-H224</f>
        <v>14.95074392991522</v>
      </c>
      <c r="I230" s="370">
        <f>Detached!I$50-I224</f>
        <v>32.400872653711588</v>
      </c>
      <c r="J230" s="370">
        <f>Detached!J$50-J224</f>
        <v>27.247693865092572</v>
      </c>
      <c r="K230" s="370">
        <f>Detached!K$50-K224</f>
        <v>11.544728950874401</v>
      </c>
      <c r="L230" s="370">
        <f>Detached!L$50-L224</f>
        <v>10.94499774316742</v>
      </c>
      <c r="M230" s="370">
        <f>Detached!M$50-M224</f>
        <v>43.457257150518657</v>
      </c>
      <c r="N230" s="370">
        <f>Detached!N$50-N224</f>
        <v>15.879922194988424</v>
      </c>
      <c r="O230" s="370">
        <f>Detached!O$50-O224</f>
        <v>27.507541946175735</v>
      </c>
      <c r="P230" s="370">
        <f>Detached!P$50-P224</f>
        <v>55.380414339059115</v>
      </c>
      <c r="Q230" s="370">
        <f>Detached!Q$50-Q224</f>
        <v>54.970776952887334</v>
      </c>
      <c r="R230" s="370">
        <f>Detached!R$50-R224</f>
        <v>32.359142833367912</v>
      </c>
      <c r="S230" s="370">
        <f>Detached!S$50-S224</f>
        <v>44.641492642194464</v>
      </c>
      <c r="T230" s="370">
        <f>Detached!T$50-T224</f>
        <v>13.507434673890998</v>
      </c>
      <c r="U230" s="370">
        <f>Detached!U$50-U224</f>
        <v>25.670866244424531</v>
      </c>
      <c r="V230" s="370">
        <f>Detached!V$50-V224</f>
        <v>27.383375391139069</v>
      </c>
      <c r="W230" s="370">
        <f>Detached!W$50-W224</f>
        <v>23.729053334075985</v>
      </c>
      <c r="X230" s="370">
        <f>Detached!X$50-X224</f>
        <v>26.069546825684185</v>
      </c>
      <c r="Y230" s="370">
        <f>Detached!Y$50-Y224</f>
        <v>14.222899931204502</v>
      </c>
      <c r="Z230" s="370">
        <f>Detached!Z$50-Z224</f>
        <v>19.095486173455242</v>
      </c>
      <c r="AA230" s="370">
        <f>Detached!AA$50-AA224</f>
        <v>11.452872477145803</v>
      </c>
      <c r="AB230" s="370">
        <f>Detached!AB$50-AB224</f>
        <v>35.217797052663101</v>
      </c>
      <c r="AC230" s="370">
        <f>Detached!AC$50-AC224</f>
        <v>23.513696643954049</v>
      </c>
      <c r="AD230" s="370">
        <f>Detached!AD$50-AD224</f>
        <v>66.488232341252967</v>
      </c>
      <c r="AE230" s="370">
        <f>Detached!AE$50-AE224</f>
        <v>11.043116855398807</v>
      </c>
      <c r="AF230" s="370">
        <f>Detached!AF$50-AF224</f>
        <v>39.341352578959601</v>
      </c>
      <c r="AG230" s="370">
        <f>Detached!AG$50-AG224</f>
        <v>47.741592839753991</v>
      </c>
      <c r="AH230" s="370">
        <f>Detached!AH$50-AH224</f>
        <v>24.179561958389527</v>
      </c>
      <c r="AI230" s="370">
        <f>Detached!AI$50-AI224</f>
        <v>55.380414339059115</v>
      </c>
      <c r="AJ230" s="370">
        <f>Detached!AJ$50-AJ224</f>
        <v>57.978214418128516</v>
      </c>
      <c r="AK230" s="370">
        <f>Detached!AK$50-AK224</f>
        <v>47.032026420789634</v>
      </c>
      <c r="AL230" s="370">
        <f>Detached!AL$50-AL224</f>
        <v>53.565193415826485</v>
      </c>
      <c r="AM230" s="370">
        <f>Detached!AM$50-AM224</f>
        <v>53.315353231181192</v>
      </c>
      <c r="AN230" s="371">
        <f>Detached!AN$50-AN224</f>
        <v>53.315353231181192</v>
      </c>
    </row>
    <row r="231" spans="1:40">
      <c r="A231" s="154"/>
      <c r="B231" s="347" t="s">
        <v>6</v>
      </c>
      <c r="C231" s="367" t="s">
        <v>190</v>
      </c>
      <c r="D231" s="370">
        <f>Detached!D$51-D225</f>
        <v>20.388043320289</v>
      </c>
      <c r="E231" s="370">
        <f>Detached!E$51-E225</f>
        <v>63.20169639291602</v>
      </c>
      <c r="F231" s="370">
        <f>Detached!F$51-F225</f>
        <v>41.473891203721578</v>
      </c>
      <c r="G231" s="370">
        <f>Detached!G$51-G225</f>
        <v>19.863225193409718</v>
      </c>
      <c r="H231" s="370">
        <f>Detached!H$51-H225</f>
        <v>15.46093706378592</v>
      </c>
      <c r="I231" s="370">
        <f>Detached!I$51-I225</f>
        <v>18.09114045079879</v>
      </c>
      <c r="J231" s="370">
        <f>Detached!J$51-J225</f>
        <v>8.3310411530874333</v>
      </c>
      <c r="K231" s="370">
        <f>Detached!K$51-K225</f>
        <v>11.544728950874401</v>
      </c>
      <c r="L231" s="370">
        <f>Detached!L$51-L225</f>
        <v>9.1491547151550492</v>
      </c>
      <c r="M231" s="370">
        <f>Detached!M$51-M225</f>
        <v>43.457257150518657</v>
      </c>
      <c r="N231" s="370">
        <f>Detached!N$51-N225</f>
        <v>15.4701489135213</v>
      </c>
      <c r="O231" s="370">
        <f>Detached!O$51-O225</f>
        <v>10.593320721098657</v>
      </c>
      <c r="P231" s="370">
        <f>Detached!P$51-P225</f>
        <v>55.380414339059115</v>
      </c>
      <c r="Q231" s="370">
        <f>Detached!Q$51-Q225</f>
        <v>33.330793607909726</v>
      </c>
      <c r="R231" s="370">
        <f>Detached!R$51-R225</f>
        <v>32.359142833367912</v>
      </c>
      <c r="S231" s="370">
        <f>Detached!S$51-S225</f>
        <v>28.778874509689828</v>
      </c>
      <c r="T231" s="370">
        <f>Detached!T$51-T225</f>
        <v>13.158882221142207</v>
      </c>
      <c r="U231" s="370">
        <f>Detached!U$51-U225</f>
        <v>20.999970394017964</v>
      </c>
      <c r="V231" s="370">
        <f>Detached!V$51-V225</f>
        <v>27.383375391139069</v>
      </c>
      <c r="W231" s="370">
        <f>Detached!W$51-W225</f>
        <v>19.075438151869903</v>
      </c>
      <c r="X231" s="370">
        <f>Detached!X$51-X225</f>
        <v>26.152852381185014</v>
      </c>
      <c r="Y231" s="370">
        <f>Detached!Y$51-Y225</f>
        <v>14.270990995862704</v>
      </c>
      <c r="Z231" s="370">
        <f>Detached!Z$51-Z225</f>
        <v>16.458092537304466</v>
      </c>
      <c r="AA231" s="370">
        <f>Detached!AA$51-AA225</f>
        <v>6.7464082265223766</v>
      </c>
      <c r="AB231" s="370">
        <f>Detached!AB$51-AB225</f>
        <v>35.217797052663101</v>
      </c>
      <c r="AC231" s="370">
        <f>Detached!AC$51-AC225</f>
        <v>19.657415772760814</v>
      </c>
      <c r="AD231" s="370">
        <f>Detached!AD$51-AD225</f>
        <v>66.488232341252967</v>
      </c>
      <c r="AE231" s="370">
        <f>Detached!AE$51-AE225</f>
        <v>6.5050383253963702</v>
      </c>
      <c r="AF231" s="370">
        <f>Detached!AF$51-AF225</f>
        <v>23.94162759745069</v>
      </c>
      <c r="AG231" s="370">
        <f>Detached!AG$51-AG225</f>
        <v>48.613213910204365</v>
      </c>
      <c r="AH231" s="370">
        <f>Detached!AH$51-AH225</f>
        <v>16.290290300964955</v>
      </c>
      <c r="AI231" s="370">
        <f>Detached!AI$51-AI225</f>
        <v>55.380414339059115</v>
      </c>
      <c r="AJ231" s="370">
        <f>Detached!AJ$51-AJ225</f>
        <v>52.301299853285471</v>
      </c>
      <c r="AK231" s="370">
        <f>Detached!AK$51-AK225</f>
        <v>42.469282462240145</v>
      </c>
      <c r="AL231" s="370">
        <f>Detached!AL$51-AL225</f>
        <v>40.544427784667462</v>
      </c>
      <c r="AM231" s="370">
        <f>Detached!AM$51-AM225</f>
        <v>48.095000926002101</v>
      </c>
      <c r="AN231" s="371">
        <f>Detached!AN$51-AN225</f>
        <v>48.095000926002101</v>
      </c>
    </row>
    <row r="232" spans="1:40">
      <c r="A232" s="155"/>
      <c r="B232" s="338" t="s">
        <v>7</v>
      </c>
      <c r="C232" s="368" t="s">
        <v>190</v>
      </c>
      <c r="D232" s="379">
        <f>Detached!D$52-D226</f>
        <v>17.875001600529714</v>
      </c>
      <c r="E232" s="379">
        <f>Detached!E$52-E226</f>
        <v>29.105521675314179</v>
      </c>
      <c r="F232" s="379">
        <f>Detached!F$52-F226</f>
        <v>14.574818611220508</v>
      </c>
      <c r="G232" s="379">
        <f>Detached!G$52-G226</f>
        <v>17.414872851999007</v>
      </c>
      <c r="H232" s="379">
        <f>Detached!H$52-H226</f>
        <v>15.91063639273635</v>
      </c>
      <c r="I232" s="379">
        <f>Detached!I$52-I226</f>
        <v>14.723756264861507</v>
      </c>
      <c r="J232" s="379">
        <f>Detached!J$52-J226</f>
        <v>11.681144204904413</v>
      </c>
      <c r="K232" s="379">
        <f>Detached!K$52-K226</f>
        <v>7.0734783508275996</v>
      </c>
      <c r="L232" s="379">
        <f>Detached!L$52-L226</f>
        <v>9.1491547151550492</v>
      </c>
      <c r="M232" s="379">
        <f>Detached!M$52-M226</f>
        <v>19.155095743201542</v>
      </c>
      <c r="N232" s="379">
        <f>Detached!N$52-N226</f>
        <v>14.036316229800832</v>
      </c>
      <c r="O232" s="379">
        <f>Detached!O$52-O226</f>
        <v>10.041552452288371</v>
      </c>
      <c r="P232" s="379">
        <f>Detached!P$52-P226</f>
        <v>12.521994173472052</v>
      </c>
      <c r="Q232" s="379">
        <f>Detached!Q$52-Q226</f>
        <v>9.974708645972612</v>
      </c>
      <c r="R232" s="379">
        <f>Detached!R$52-R226</f>
        <v>15.746987712389938</v>
      </c>
      <c r="S232" s="379">
        <f>Detached!S$52-S226</f>
        <v>8.7602558125906569</v>
      </c>
      <c r="T232" s="379">
        <f>Detached!T$52-T226</f>
        <v>11.939266591365651</v>
      </c>
      <c r="U232" s="379">
        <f>Detached!U$52-U226</f>
        <v>21.268624564561861</v>
      </c>
      <c r="V232" s="379">
        <f>Detached!V$52-V226</f>
        <v>5.3429074453575964</v>
      </c>
      <c r="W232" s="379">
        <f>Detached!W$52-W226</f>
        <v>12.426188091061988</v>
      </c>
      <c r="X232" s="379">
        <f>Detached!X$52-X226</f>
        <v>5.6304788397587515</v>
      </c>
      <c r="Y232" s="379">
        <f>Detached!Y$52-Y226</f>
        <v>12.509262309261821</v>
      </c>
      <c r="Z232" s="379">
        <f>Detached!Z$52-Z226</f>
        <v>12.072832273338818</v>
      </c>
      <c r="AA232" s="379">
        <f>Detached!AA$52-AA226</f>
        <v>6.9351261849575394</v>
      </c>
      <c r="AB232" s="379">
        <f>Detached!AB$52-AB226</f>
        <v>16.885021064109722</v>
      </c>
      <c r="AC232" s="379">
        <f>Detached!AC$52-AC226</f>
        <v>11.872688412118613</v>
      </c>
      <c r="AD232" s="379">
        <f>Detached!AD$52-AD226</f>
        <v>43.446969542926439</v>
      </c>
      <c r="AE232" s="379">
        <f>Detached!AE$52-AE226</f>
        <v>6.6870044192186953</v>
      </c>
      <c r="AF232" s="379">
        <f>Detached!AF$52-AF226</f>
        <v>8.3827835746241988</v>
      </c>
      <c r="AG232" s="379">
        <f>Detached!AG$52-AG226</f>
        <v>18.257452512666489</v>
      </c>
      <c r="AH232" s="379">
        <f>Detached!AH$52-AH226</f>
        <v>10.687411560179214</v>
      </c>
      <c r="AI232" s="379">
        <f>Detached!AI$52-AI226</f>
        <v>12.521994173472052</v>
      </c>
      <c r="AJ232" s="379">
        <f>Detached!AJ$52-AJ226</f>
        <v>41.393768095905216</v>
      </c>
      <c r="AK232" s="379">
        <f>Detached!AK$52-AK226</f>
        <v>33.595521516807707</v>
      </c>
      <c r="AL232" s="379">
        <f>Detached!AL$52-AL226</f>
        <v>14.253295349937133</v>
      </c>
      <c r="AM232" s="379">
        <f>Detached!AM$52-AM226</f>
        <v>38.06470050434541</v>
      </c>
      <c r="AN232" s="380">
        <f>Detached!AN$52-AN226</f>
        <v>38.06470050434541</v>
      </c>
    </row>
  </sheetData>
  <mergeCells count="7">
    <mergeCell ref="A169:B169"/>
    <mergeCell ref="A202:B202"/>
    <mergeCell ref="A4:B4"/>
    <mergeCell ref="A37:B37"/>
    <mergeCell ref="A70:B70"/>
    <mergeCell ref="A103:B103"/>
    <mergeCell ref="A136:B136"/>
  </mergeCell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6">
    <tabColor rgb="FFFFFF00"/>
  </sheetPr>
  <dimension ref="A1:AN232"/>
  <sheetViews>
    <sheetView zoomScale="70" zoomScaleNormal="70" workbookViewId="0">
      <pane ySplit="2" topLeftCell="A3" activePane="bottomLeft" state="frozen"/>
      <selection activeCell="J18" sqref="J18"/>
      <selection pane="bottomLeft" activeCell="J18" sqref="J18"/>
    </sheetView>
  </sheetViews>
  <sheetFormatPr defaultColWidth="9.109375" defaultRowHeight="14.4"/>
  <cols>
    <col min="1" max="1" width="34.44140625" customWidth="1"/>
    <col min="2" max="2" width="19.5546875" customWidth="1"/>
    <col min="3" max="3" width="15.6640625" bestFit="1" customWidth="1"/>
  </cols>
  <sheetData>
    <row r="1" spans="1:40" ht="21">
      <c r="A1" s="3" t="s">
        <v>124</v>
      </c>
      <c r="B1" s="3" t="s">
        <v>85</v>
      </c>
    </row>
    <row r="2" spans="1:40">
      <c r="A2" s="344" t="s">
        <v>253</v>
      </c>
      <c r="B2" s="158"/>
      <c r="C2" s="159" t="s">
        <v>1</v>
      </c>
      <c r="D2" s="165" t="s">
        <v>88</v>
      </c>
      <c r="E2" s="165" t="s">
        <v>89</v>
      </c>
      <c r="F2" s="165" t="s">
        <v>90</v>
      </c>
      <c r="G2" s="165" t="s">
        <v>91</v>
      </c>
      <c r="H2" s="165" t="s">
        <v>92</v>
      </c>
      <c r="I2" s="165" t="s">
        <v>93</v>
      </c>
      <c r="J2" s="165" t="s">
        <v>94</v>
      </c>
      <c r="K2" s="165" t="s">
        <v>95</v>
      </c>
      <c r="L2" s="165" t="s">
        <v>96</v>
      </c>
      <c r="M2" s="165" t="s">
        <v>97</v>
      </c>
      <c r="N2" s="165" t="s">
        <v>98</v>
      </c>
      <c r="O2" s="165" t="s">
        <v>99</v>
      </c>
      <c r="P2" s="165" t="s">
        <v>205</v>
      </c>
      <c r="Q2" s="165" t="s">
        <v>118</v>
      </c>
      <c r="R2" s="165" t="s">
        <v>100</v>
      </c>
      <c r="S2" s="165" t="s">
        <v>101</v>
      </c>
      <c r="T2" s="165" t="s">
        <v>102</v>
      </c>
      <c r="U2" s="165" t="s">
        <v>103</v>
      </c>
      <c r="V2" s="165" t="s">
        <v>104</v>
      </c>
      <c r="W2" s="165" t="s">
        <v>105</v>
      </c>
      <c r="X2" s="165" t="s">
        <v>106</v>
      </c>
      <c r="Y2" s="165" t="s">
        <v>107</v>
      </c>
      <c r="Z2" s="165" t="s">
        <v>108</v>
      </c>
      <c r="AA2" s="165" t="s">
        <v>109</v>
      </c>
      <c r="AB2" s="165" t="s">
        <v>110</v>
      </c>
      <c r="AC2" s="165" t="s">
        <v>111</v>
      </c>
      <c r="AD2" s="165" t="s">
        <v>112</v>
      </c>
      <c r="AE2" s="165" t="s">
        <v>113</v>
      </c>
      <c r="AF2" s="165" t="s">
        <v>114</v>
      </c>
      <c r="AG2" s="165" t="s">
        <v>115</v>
      </c>
      <c r="AH2" s="165" t="s">
        <v>52</v>
      </c>
      <c r="AI2" s="165" t="s">
        <v>116</v>
      </c>
      <c r="AJ2" s="165" t="s">
        <v>117</v>
      </c>
      <c r="AK2" s="165" t="s">
        <v>119</v>
      </c>
      <c r="AL2" s="165" t="s">
        <v>120</v>
      </c>
      <c r="AM2" s="165" t="s">
        <v>121</v>
      </c>
      <c r="AN2" s="166" t="s">
        <v>122</v>
      </c>
    </row>
    <row r="3" spans="1:40">
      <c r="A3" s="5" t="s">
        <v>223</v>
      </c>
      <c r="B3" s="5"/>
      <c r="C3" s="5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</row>
    <row r="4" spans="1:40" ht="15" customHeight="1">
      <c r="A4" s="938" t="s">
        <v>123</v>
      </c>
      <c r="B4" s="939"/>
      <c r="C4" s="138" t="s">
        <v>76</v>
      </c>
      <c r="D4" s="194">
        <v>1</v>
      </c>
      <c r="E4" s="195">
        <v>1</v>
      </c>
      <c r="F4" s="195">
        <v>1</v>
      </c>
      <c r="G4" s="195">
        <v>1</v>
      </c>
      <c r="H4" s="195">
        <v>1</v>
      </c>
      <c r="I4" s="195">
        <v>1</v>
      </c>
      <c r="J4" s="195">
        <v>1</v>
      </c>
      <c r="K4" s="195">
        <v>1</v>
      </c>
      <c r="L4" s="195">
        <v>1</v>
      </c>
      <c r="M4" s="195">
        <v>1</v>
      </c>
      <c r="N4" s="195">
        <v>1</v>
      </c>
      <c r="O4" s="195">
        <v>1</v>
      </c>
      <c r="P4" s="195">
        <v>1</v>
      </c>
      <c r="Q4" s="195">
        <v>1</v>
      </c>
      <c r="R4" s="195">
        <v>1</v>
      </c>
      <c r="S4" s="195">
        <v>1</v>
      </c>
      <c r="T4" s="195">
        <v>1</v>
      </c>
      <c r="U4" s="195">
        <v>1</v>
      </c>
      <c r="V4" s="195">
        <v>1</v>
      </c>
      <c r="W4" s="195">
        <v>1</v>
      </c>
      <c r="X4" s="195">
        <v>1</v>
      </c>
      <c r="Y4" s="195">
        <v>1</v>
      </c>
      <c r="Z4" s="195">
        <v>1</v>
      </c>
      <c r="AA4" s="195">
        <v>1</v>
      </c>
      <c r="AB4" s="195">
        <v>1</v>
      </c>
      <c r="AC4" s="195">
        <v>1</v>
      </c>
      <c r="AD4" s="195">
        <v>1</v>
      </c>
      <c r="AE4" s="195">
        <v>1</v>
      </c>
      <c r="AF4" s="195">
        <v>1</v>
      </c>
      <c r="AG4" s="195">
        <v>1</v>
      </c>
      <c r="AH4" s="195">
        <v>1</v>
      </c>
      <c r="AI4" s="195">
        <v>1</v>
      </c>
      <c r="AJ4" s="195">
        <v>1</v>
      </c>
      <c r="AK4" s="195">
        <v>1</v>
      </c>
      <c r="AL4" s="195">
        <v>1</v>
      </c>
      <c r="AM4" s="195">
        <v>1</v>
      </c>
      <c r="AN4" s="196">
        <v>1</v>
      </c>
    </row>
    <row r="5" spans="1:40">
      <c r="A5" s="151" t="s">
        <v>193</v>
      </c>
      <c r="B5" s="141" t="s">
        <v>2</v>
      </c>
      <c r="C5" s="144" t="s">
        <v>195</v>
      </c>
      <c r="D5" s="170">
        <f>((LOOKUP(Semidetached!D$2,'Ceiling-U'!$A$4:$A$40,'Ceiling-U'!$E$4:$E$40)*Semidetached!D$15)+(LOOKUP(Semidetached!D$2,'Floor-U'!$A$4:$A$40,'Floor-U'!$E$4:$E$40)*Semidetached!D$16)+(LOOKUP(Semidetached!D$2,'Wall-U'!$A$4:$A$40,'Wall-U'!$E$4:$E$40)*Semidetached!D$13)+(LOOKUP(Semidetached!D$2,'Window-U'!$A$4:$A$40,'Window-U'!$Q$4:$Q$40)*Semidetached!D$22))*D4</f>
        <v>1725.1937022054524</v>
      </c>
      <c r="E5" s="171">
        <f>((LOOKUP(Semidetached!E$2,'Ceiling-U'!$A$4:$A$40,'Ceiling-U'!$E$4:$E$40)*Semidetached!E$15)+(LOOKUP(Semidetached!E$2,'Floor-U'!$A$4:$A$40,'Floor-U'!$E$4:$E$40)*Semidetached!E$16)+(LOOKUP(Semidetached!E$2,'Wall-U'!$A$4:$A$40,'Wall-U'!$E$4:$E$40)*Semidetached!E$13)+(LOOKUP(Semidetached!E$2,'Window-U'!$A$4:$A$40,'Window-U'!$Q$4:$Q$40)*Semidetached!E$22))*E4</f>
        <v>2159.2743477792978</v>
      </c>
      <c r="F5" s="171">
        <f>((LOOKUP(Semidetached!F$2,'Ceiling-U'!$A$4:$A$40,'Ceiling-U'!$E$4:$E$40)*Semidetached!F$15)+(LOOKUP(Semidetached!F$2,'Floor-U'!$A$4:$A$40,'Floor-U'!$E$4:$E$40)*Semidetached!F$16)+(LOOKUP(Semidetached!F$2,'Wall-U'!$A$4:$A$40,'Wall-U'!$E$4:$E$40)*Semidetached!F$13)+(LOOKUP(Semidetached!F$2,'Window-U'!$A$4:$A$40,'Window-U'!$Q$4:$Q$40)*Semidetached!F$22))*F4</f>
        <v>1180.0770549999936</v>
      </c>
      <c r="G5" s="171">
        <f>((LOOKUP(Semidetached!G$2,'Ceiling-U'!$A$4:$A$40,'Ceiling-U'!$E$4:$E$40)*Semidetached!G$15)+(LOOKUP(Semidetached!G$2,'Floor-U'!$A$4:$A$40,'Floor-U'!$E$4:$E$40)*Semidetached!G$16)+(LOOKUP(Semidetached!G$2,'Wall-U'!$A$4:$A$40,'Wall-U'!$E$4:$E$40)*Semidetached!G$13)+(LOOKUP(Semidetached!G$2,'Window-U'!$A$4:$A$40,'Window-U'!$Q$4:$Q$40)*Semidetached!G$22))*G4</f>
        <v>1781.7230815349096</v>
      </c>
      <c r="H5" s="171">
        <f>((LOOKUP(Semidetached!H$2,'Ceiling-U'!$A$4:$A$40,'Ceiling-U'!$E$4:$E$40)*Semidetached!H$15)+(LOOKUP(Semidetached!H$2,'Floor-U'!$A$4:$A$40,'Floor-U'!$E$4:$E$40)*Semidetached!H$16)+(LOOKUP(Semidetached!H$2,'Wall-U'!$A$4:$A$40,'Wall-U'!$E$4:$E$40)*Semidetached!H$13)+(LOOKUP(Semidetached!H$2,'Window-U'!$A$4:$A$40,'Window-U'!$Q$4:$Q$40)*Semidetached!H$22))*H4</f>
        <v>2910.0676645082904</v>
      </c>
      <c r="I5" s="171">
        <f>((LOOKUP(Semidetached!I$2,'Ceiling-U'!$A$4:$A$40,'Ceiling-U'!$E$4:$E$40)*Semidetached!I$15)+(LOOKUP(Semidetached!I$2,'Floor-U'!$A$4:$A$40,'Floor-U'!$E$4:$E$40)*Semidetached!I$16)+(LOOKUP(Semidetached!I$2,'Wall-U'!$A$4:$A$40,'Wall-U'!$E$4:$E$40)*Semidetached!I$13)+(LOOKUP(Semidetached!I$2,'Window-U'!$A$4:$A$40,'Window-U'!$Q$4:$Q$40)*Semidetached!I$22))*I4</f>
        <v>1266.8035750651179</v>
      </c>
      <c r="J5" s="171">
        <f>((LOOKUP(Semidetached!J$2,'Ceiling-U'!$A$4:$A$40,'Ceiling-U'!$E$4:$E$40)*Semidetached!J$15)+(LOOKUP(Semidetached!J$2,'Floor-U'!$A$4:$A$40,'Floor-U'!$E$4:$E$40)*Semidetached!J$16)+(LOOKUP(Semidetached!J$2,'Wall-U'!$A$4:$A$40,'Wall-U'!$E$4:$E$40)*Semidetached!J$13)+(LOOKUP(Semidetached!J$2,'Window-U'!$A$4:$A$40,'Window-U'!$Q$4:$Q$40)*Semidetached!J$22))*J4</f>
        <v>2030.6488356215898</v>
      </c>
      <c r="K5" s="171">
        <f>((LOOKUP(Semidetached!K$2,'Ceiling-U'!$A$4:$A$40,'Ceiling-U'!$E$4:$E$40)*Semidetached!K$15)+(LOOKUP(Semidetached!K$2,'Floor-U'!$A$4:$A$40,'Floor-U'!$E$4:$E$40)*Semidetached!K$16)+(LOOKUP(Semidetached!K$2,'Wall-U'!$A$4:$A$40,'Wall-U'!$E$4:$E$40)*Semidetached!K$13)+(LOOKUP(Semidetached!K$2,'Window-U'!$A$4:$A$40,'Window-U'!$Q$4:$Q$40)*Semidetached!K$22))*K4</f>
        <v>1081.1851554888751</v>
      </c>
      <c r="L5" s="171">
        <f>((LOOKUP(Semidetached!L$2,'Ceiling-U'!$A$4:$A$40,'Ceiling-U'!$E$4:$E$40)*Semidetached!L$15)+(LOOKUP(Semidetached!L$2,'Floor-U'!$A$4:$A$40,'Floor-U'!$E$4:$E$40)*Semidetached!L$16)+(LOOKUP(Semidetached!L$2,'Wall-U'!$A$4:$A$40,'Wall-U'!$E$4:$E$40)*Semidetached!L$13)+(LOOKUP(Semidetached!L$2,'Window-U'!$A$4:$A$40,'Window-U'!$Q$4:$Q$40)*Semidetached!L$22))*L4</f>
        <v>580.32214500611497</v>
      </c>
      <c r="M5" s="171">
        <f>((LOOKUP(Semidetached!M$2,'Ceiling-U'!$A$4:$A$40,'Ceiling-U'!$E$4:$E$40)*Semidetached!M$15)+(LOOKUP(Semidetached!M$2,'Floor-U'!$A$4:$A$40,'Floor-U'!$E$4:$E$40)*Semidetached!M$16)+(LOOKUP(Semidetached!M$2,'Wall-U'!$A$4:$A$40,'Wall-U'!$E$4:$E$40)*Semidetached!M$13)+(LOOKUP(Semidetached!M$2,'Window-U'!$A$4:$A$40,'Window-U'!$Q$4:$Q$40)*Semidetached!M$22))*M4</f>
        <v>2955.6737218739581</v>
      </c>
      <c r="N5" s="171">
        <f>((LOOKUP(Semidetached!N$2,'Ceiling-U'!$A$4:$A$40,'Ceiling-U'!$E$4:$E$40)*Semidetached!N$15)+(LOOKUP(Semidetached!N$2,'Floor-U'!$A$4:$A$40,'Floor-U'!$E$4:$E$40)*Semidetached!N$16)+(LOOKUP(Semidetached!N$2,'Wall-U'!$A$4:$A$40,'Wall-U'!$E$4:$E$40)*Semidetached!N$13)+(LOOKUP(Semidetached!N$2,'Window-U'!$A$4:$A$40,'Window-U'!$Q$4:$Q$40)*Semidetached!N$22))*N4</f>
        <v>736.00814074737741</v>
      </c>
      <c r="O5" s="171">
        <f>((LOOKUP(Semidetached!O$2,'Ceiling-U'!$A$4:$A$40,'Ceiling-U'!$E$4:$E$40)*Semidetached!O$15)+(LOOKUP(Semidetached!O$2,'Floor-U'!$A$4:$A$40,'Floor-U'!$E$4:$E$40)*Semidetached!O$16)+(LOOKUP(Semidetached!O$2,'Wall-U'!$A$4:$A$40,'Wall-U'!$E$4:$E$40)*Semidetached!O$13)+(LOOKUP(Semidetached!O$2,'Window-U'!$A$4:$A$40,'Window-U'!$Q$4:$Q$40)*Semidetached!O$22))*O4</f>
        <v>2949.0432182363966</v>
      </c>
      <c r="P5" s="171">
        <f>((LOOKUP(Semidetached!P$2,'Ceiling-U'!$A$4:$A$40,'Ceiling-U'!$E$4:$E$40)*Semidetached!P$15)+(LOOKUP(Semidetached!P$2,'Floor-U'!$A$4:$A$40,'Floor-U'!$E$4:$E$40)*Semidetached!P$16)+(LOOKUP(Semidetached!P$2,'Wall-U'!$A$4:$A$40,'Wall-U'!$E$4:$E$40)*Semidetached!P$13)+(LOOKUP(Semidetached!P$2,'Window-U'!$A$4:$A$40,'Window-U'!$Q$4:$Q$40)*Semidetached!P$22))*P4</f>
        <v>1923.3233281105313</v>
      </c>
      <c r="Q5" s="171">
        <f>((LOOKUP(Semidetached!Q$2,'Ceiling-U'!$A$4:$A$40,'Ceiling-U'!$E$4:$E$40)*Semidetached!Q$15)+(LOOKUP(Semidetached!Q$2,'Floor-U'!$A$4:$A$40,'Floor-U'!$E$4:$E$40)*Semidetached!Q$16)+(LOOKUP(Semidetached!Q$2,'Wall-U'!$A$4:$A$40,'Wall-U'!$E$4:$E$40)*Semidetached!Q$13)+(LOOKUP(Semidetached!Q$2,'Window-U'!$A$4:$A$40,'Window-U'!$Q$4:$Q$40)*Semidetached!Q$22))*Q4</f>
        <v>1052.7160424868737</v>
      </c>
      <c r="R5" s="171">
        <f>((LOOKUP(Semidetached!R$2,'Ceiling-U'!$A$4:$A$40,'Ceiling-U'!$E$4:$E$40)*Semidetached!R$15)+(LOOKUP(Semidetached!R$2,'Floor-U'!$A$4:$A$40,'Floor-U'!$E$4:$E$40)*Semidetached!R$16)+(LOOKUP(Semidetached!R$2,'Wall-U'!$A$4:$A$40,'Wall-U'!$E$4:$E$40)*Semidetached!R$13)+(LOOKUP(Semidetached!R$2,'Window-U'!$A$4:$A$40,'Window-U'!$Q$4:$Q$40)*Semidetached!R$22))*R4</f>
        <v>1474.7087747364751</v>
      </c>
      <c r="S5" s="171">
        <f>((LOOKUP(Semidetached!S$2,'Ceiling-U'!$A$4:$A$40,'Ceiling-U'!$E$4:$E$40)*Semidetached!S$15)+(LOOKUP(Semidetached!S$2,'Floor-U'!$A$4:$A$40,'Floor-U'!$E$4:$E$40)*Semidetached!S$16)+(LOOKUP(Semidetached!S$2,'Wall-U'!$A$4:$A$40,'Wall-U'!$E$4:$E$40)*Semidetached!S$13)+(LOOKUP(Semidetached!S$2,'Window-U'!$A$4:$A$40,'Window-U'!$Q$4:$Q$40)*Semidetached!S$22))*S4</f>
        <v>2204.1809588007031</v>
      </c>
      <c r="T5" s="171">
        <f>((LOOKUP(Semidetached!T$2,'Ceiling-U'!$A$4:$A$40,'Ceiling-U'!$E$4:$E$40)*Semidetached!T$15)+(LOOKUP(Semidetached!T$2,'Floor-U'!$A$4:$A$40,'Floor-U'!$E$4:$E$40)*Semidetached!T$16)+(LOOKUP(Semidetached!T$2,'Wall-U'!$A$4:$A$40,'Wall-U'!$E$4:$E$40)*Semidetached!T$13)+(LOOKUP(Semidetached!T$2,'Window-U'!$A$4:$A$40,'Window-U'!$Q$4:$Q$40)*Semidetached!T$22))*T4</f>
        <v>741.33011773578221</v>
      </c>
      <c r="U5" s="171">
        <f>((LOOKUP(Semidetached!U$2,'Ceiling-U'!$A$4:$A$40,'Ceiling-U'!$E$4:$E$40)*Semidetached!U$15)+(LOOKUP(Semidetached!U$2,'Floor-U'!$A$4:$A$40,'Floor-U'!$E$4:$E$40)*Semidetached!U$16)+(LOOKUP(Semidetached!U$2,'Wall-U'!$A$4:$A$40,'Wall-U'!$E$4:$E$40)*Semidetached!U$13)+(LOOKUP(Semidetached!U$2,'Window-U'!$A$4:$A$40,'Window-U'!$Q$4:$Q$40)*Semidetached!U$22))*U4</f>
        <v>2399.8662206638442</v>
      </c>
      <c r="V5" s="171">
        <f>((LOOKUP(Semidetached!V$2,'Ceiling-U'!$A$4:$A$40,'Ceiling-U'!$E$4:$E$40)*Semidetached!V$15)+(LOOKUP(Semidetached!V$2,'Floor-U'!$A$4:$A$40,'Floor-U'!$E$4:$E$40)*Semidetached!V$16)+(LOOKUP(Semidetached!V$2,'Wall-U'!$A$4:$A$40,'Wall-U'!$E$4:$E$40)*Semidetached!V$13)+(LOOKUP(Semidetached!V$2,'Window-U'!$A$4:$A$40,'Window-U'!$Q$4:$Q$40)*Semidetached!V$22))*V4</f>
        <v>1122.3294162527161</v>
      </c>
      <c r="W5" s="171">
        <f>((LOOKUP(Semidetached!W$2,'Ceiling-U'!$A$4:$A$40,'Ceiling-U'!$E$4:$E$40)*Semidetached!W$15)+(LOOKUP(Semidetached!W$2,'Floor-U'!$A$4:$A$40,'Floor-U'!$E$4:$E$40)*Semidetached!W$16)+(LOOKUP(Semidetached!W$2,'Wall-U'!$A$4:$A$40,'Wall-U'!$E$4:$E$40)*Semidetached!W$13)+(LOOKUP(Semidetached!W$2,'Window-U'!$A$4:$A$40,'Window-U'!$Q$4:$Q$40)*Semidetached!W$22))*W4</f>
        <v>997.86038804944837</v>
      </c>
      <c r="X5" s="171">
        <f>((LOOKUP(Semidetached!X$2,'Ceiling-U'!$A$4:$A$40,'Ceiling-U'!$E$4:$E$40)*Semidetached!X$15)+(LOOKUP(Semidetached!X$2,'Floor-U'!$A$4:$A$40,'Floor-U'!$E$4:$E$40)*Semidetached!X$16)+(LOOKUP(Semidetached!X$2,'Wall-U'!$A$4:$A$40,'Wall-U'!$E$4:$E$40)*Semidetached!X$13)+(LOOKUP(Semidetached!X$2,'Window-U'!$A$4:$A$40,'Window-U'!$Q$4:$Q$40)*Semidetached!X$22))*X4</f>
        <v>1192.2938636749373</v>
      </c>
      <c r="Y5" s="171">
        <f>((LOOKUP(Semidetached!Y$2,'Ceiling-U'!$A$4:$A$40,'Ceiling-U'!$E$4:$E$40)*Semidetached!Y$15)+(LOOKUP(Semidetached!Y$2,'Floor-U'!$A$4:$A$40,'Floor-U'!$E$4:$E$40)*Semidetached!Y$16)+(LOOKUP(Semidetached!Y$2,'Wall-U'!$A$4:$A$40,'Wall-U'!$E$4:$E$40)*Semidetached!Y$13)+(LOOKUP(Semidetached!Y$2,'Window-U'!$A$4:$A$40,'Window-U'!$Q$4:$Q$40)*Semidetached!Y$22))*Y4</f>
        <v>3242.1388208894241</v>
      </c>
      <c r="Z5" s="171">
        <f>((LOOKUP(Semidetached!Z$2,'Ceiling-U'!$A$4:$A$40,'Ceiling-U'!$E$4:$E$40)*Semidetached!Z$15)+(LOOKUP(Semidetached!Z$2,'Floor-U'!$A$4:$A$40,'Floor-U'!$E$4:$E$40)*Semidetached!Z$16)+(LOOKUP(Semidetached!Z$2,'Wall-U'!$A$4:$A$40,'Wall-U'!$E$4:$E$40)*Semidetached!Z$13)+(LOOKUP(Semidetached!Z$2,'Window-U'!$A$4:$A$40,'Window-U'!$Q$4:$Q$40)*Semidetached!Z$22))*Z4</f>
        <v>2494.3045997996815</v>
      </c>
      <c r="AA5" s="171">
        <f>((LOOKUP(Semidetached!AA$2,'Ceiling-U'!$A$4:$A$40,'Ceiling-U'!$E$4:$E$40)*Semidetached!AA$15)+(LOOKUP(Semidetached!AA$2,'Floor-U'!$A$4:$A$40,'Floor-U'!$E$4:$E$40)*Semidetached!AA$16)+(LOOKUP(Semidetached!AA$2,'Wall-U'!$A$4:$A$40,'Wall-U'!$E$4:$E$40)*Semidetached!AA$13)+(LOOKUP(Semidetached!AA$2,'Window-U'!$A$4:$A$40,'Window-U'!$Q$4:$Q$40)*Semidetached!AA$22))*AA4</f>
        <v>659.90982432046962</v>
      </c>
      <c r="AB5" s="171">
        <f>((LOOKUP(Semidetached!AB$2,'Ceiling-U'!$A$4:$A$40,'Ceiling-U'!$E$4:$E$40)*Semidetached!AB$15)+(LOOKUP(Semidetached!AB$2,'Floor-U'!$A$4:$A$40,'Floor-U'!$E$4:$E$40)*Semidetached!AB$16)+(LOOKUP(Semidetached!AB$2,'Wall-U'!$A$4:$A$40,'Wall-U'!$E$4:$E$40)*Semidetached!AB$13)+(LOOKUP(Semidetached!AB$2,'Window-U'!$A$4:$A$40,'Window-U'!$Q$4:$Q$40)*Semidetached!AB$22))*AB4</f>
        <v>1831.5917124354999</v>
      </c>
      <c r="AC5" s="171">
        <f>((LOOKUP(Semidetached!AC$2,'Ceiling-U'!$A$4:$A$40,'Ceiling-U'!$E$4:$E$40)*Semidetached!AC$15)+(LOOKUP(Semidetached!AC$2,'Floor-U'!$A$4:$A$40,'Floor-U'!$E$4:$E$40)*Semidetached!AC$16)+(LOOKUP(Semidetached!AC$2,'Wall-U'!$A$4:$A$40,'Wall-U'!$E$4:$E$40)*Semidetached!AC$13)+(LOOKUP(Semidetached!AC$2,'Window-U'!$A$4:$A$40,'Window-U'!$Q$4:$Q$40)*Semidetached!AC$22))*AC4</f>
        <v>2919.4630632239264</v>
      </c>
      <c r="AD5" s="171">
        <f>((LOOKUP(Semidetached!AD$2,'Ceiling-U'!$A$4:$A$40,'Ceiling-U'!$E$4:$E$40)*Semidetached!AD$15)+(LOOKUP(Semidetached!AD$2,'Floor-U'!$A$4:$A$40,'Floor-U'!$E$4:$E$40)*Semidetached!AD$16)+(LOOKUP(Semidetached!AD$2,'Wall-U'!$A$4:$A$40,'Wall-U'!$E$4:$E$40)*Semidetached!AD$13)+(LOOKUP(Semidetached!AD$2,'Window-U'!$A$4:$A$40,'Window-U'!$Q$4:$Q$40)*Semidetached!AD$22))*AD4</f>
        <v>1545.6478268850653</v>
      </c>
      <c r="AE5" s="171">
        <f>((LOOKUP(Semidetached!AE$2,'Ceiling-U'!$A$4:$A$40,'Ceiling-U'!$E$4:$E$40)*Semidetached!AE$15)+(LOOKUP(Semidetached!AE$2,'Floor-U'!$A$4:$A$40,'Floor-U'!$E$4:$E$40)*Semidetached!AE$16)+(LOOKUP(Semidetached!AE$2,'Wall-U'!$A$4:$A$40,'Wall-U'!$E$4:$E$40)*Semidetached!AE$13)+(LOOKUP(Semidetached!AE$2,'Window-U'!$A$4:$A$40,'Window-U'!$Q$4:$Q$40)*Semidetached!AE$22))*AE4</f>
        <v>650.213087585979</v>
      </c>
      <c r="AF5" s="171">
        <f>((LOOKUP(Semidetached!AF$2,'Ceiling-U'!$A$4:$A$40,'Ceiling-U'!$E$4:$E$40)*Semidetached!AF$15)+(LOOKUP(Semidetached!AF$2,'Floor-U'!$A$4:$A$40,'Floor-U'!$E$4:$E$40)*Semidetached!AF$16)+(LOOKUP(Semidetached!AF$2,'Wall-U'!$A$4:$A$40,'Wall-U'!$E$4:$E$40)*Semidetached!AF$13)+(LOOKUP(Semidetached!AF$2,'Window-U'!$A$4:$A$40,'Window-U'!$Q$4:$Q$40)*Semidetached!AF$22))*AF4</f>
        <v>1426.2580954210937</v>
      </c>
      <c r="AG5" s="171">
        <f>((LOOKUP(Semidetached!AG$2,'Ceiling-U'!$A$4:$A$40,'Ceiling-U'!$E$4:$E$40)*Semidetached!AG$15)+(LOOKUP(Semidetached!AG$2,'Floor-U'!$A$4:$A$40,'Floor-U'!$E$4:$E$40)*Semidetached!AG$16)+(LOOKUP(Semidetached!AG$2,'Wall-U'!$A$4:$A$40,'Wall-U'!$E$4:$E$40)*Semidetached!AG$13)+(LOOKUP(Semidetached!AG$2,'Window-U'!$A$4:$A$40,'Window-U'!$Q$4:$Q$40)*Semidetached!AG$22))*AG4</f>
        <v>1929.0065838958578</v>
      </c>
      <c r="AH5" s="171">
        <f>((LOOKUP(Semidetached!AH$2,'Ceiling-U'!$A$4:$A$40,'Ceiling-U'!$E$4:$E$40)*Semidetached!AH$15)+(LOOKUP(Semidetached!AH$2,'Floor-U'!$A$4:$A$40,'Floor-U'!$E$4:$E$40)*Semidetached!AH$16)+(LOOKUP(Semidetached!AH$2,'Wall-U'!$A$4:$A$40,'Wall-U'!$E$4:$E$40)*Semidetached!AH$13)+(LOOKUP(Semidetached!AH$2,'Window-U'!$A$4:$A$40,'Window-U'!$Q$4:$Q$40)*Semidetached!AH$22))*AH4</f>
        <v>1778.3265183234669</v>
      </c>
      <c r="AI5" s="171">
        <f>((LOOKUP(Semidetached!AI$2,'Ceiling-U'!$A$4:$A$40,'Ceiling-U'!$E$4:$E$40)*Semidetached!AI$15)+(LOOKUP(Semidetached!AI$2,'Floor-U'!$A$4:$A$40,'Floor-U'!$E$4:$E$40)*Semidetached!AI$16)+(LOOKUP(Semidetached!AI$2,'Wall-U'!$A$4:$A$40,'Wall-U'!$E$4:$E$40)*Semidetached!AI$13)+(LOOKUP(Semidetached!AI$2,'Window-U'!$A$4:$A$40,'Window-U'!$Q$4:$Q$40)*Semidetached!AI$22))*AI4</f>
        <v>2802.0755387829031</v>
      </c>
      <c r="AJ5" s="171">
        <f>((LOOKUP(Semidetached!AJ$2,'Ceiling-U'!$A$4:$A$40,'Ceiling-U'!$E$4:$E$40)*Semidetached!AJ$15)+(LOOKUP(Semidetached!AJ$2,'Floor-U'!$A$4:$A$40,'Floor-U'!$E$4:$E$40)*Semidetached!AJ$16)+(LOOKUP(Semidetached!AJ$2,'Wall-U'!$A$4:$A$40,'Wall-U'!$E$4:$E$40)*Semidetached!AJ$13)+(LOOKUP(Semidetached!AJ$2,'Window-U'!$A$4:$A$40,'Window-U'!$Q$4:$Q$40)*Semidetached!AJ$22))*AJ4</f>
        <v>1124.3150625663313</v>
      </c>
      <c r="AK5" s="171">
        <f>((LOOKUP(Semidetached!AK$2,'Ceiling-U'!$A$4:$A$40,'Ceiling-U'!$E$4:$E$40)*Semidetached!AK$15)+(LOOKUP(Semidetached!AK$2,'Floor-U'!$A$4:$A$40,'Floor-U'!$E$4:$E$40)*Semidetached!AK$16)+(LOOKUP(Semidetached!AK$2,'Wall-U'!$A$4:$A$40,'Wall-U'!$E$4:$E$40)*Semidetached!AK$13)+(LOOKUP(Semidetached!AK$2,'Window-U'!$A$4:$A$40,'Window-U'!$Q$4:$Q$40)*Semidetached!AK$22))*AK4</f>
        <v>1376.7180203028699</v>
      </c>
      <c r="AL5" s="171">
        <f>((LOOKUP(Semidetached!AL$2,'Ceiling-U'!$A$4:$A$40,'Ceiling-U'!$E$4:$E$40)*Semidetached!AL$15)+(LOOKUP(Semidetached!AL$2,'Floor-U'!$A$4:$A$40,'Floor-U'!$E$4:$E$40)*Semidetached!AL$16)+(LOOKUP(Semidetached!AL$2,'Wall-U'!$A$4:$A$40,'Wall-U'!$E$4:$E$40)*Semidetached!AL$13)+(LOOKUP(Semidetached!AL$2,'Window-U'!$A$4:$A$40,'Window-U'!$Q$4:$Q$40)*Semidetached!AL$22))*AL4</f>
        <v>1241.6919111392795</v>
      </c>
      <c r="AM5" s="171">
        <f>((LOOKUP(Semidetached!AM$2,'Ceiling-U'!$A$4:$A$40,'Ceiling-U'!$E$4:$E$40)*Semidetached!AM$15)+(LOOKUP(Semidetached!AM$2,'Floor-U'!$A$4:$A$40,'Floor-U'!$E$4:$E$40)*Semidetached!AM$16)+(LOOKUP(Semidetached!AM$2,'Wall-U'!$A$4:$A$40,'Wall-U'!$E$4:$E$40)*Semidetached!AM$13)+(LOOKUP(Semidetached!AM$2,'Window-U'!$A$4:$A$40,'Window-U'!$Q$4:$Q$40)*Semidetached!AM$22))*AM4</f>
        <v>1124.3150625663313</v>
      </c>
      <c r="AN5" s="172">
        <f>((LOOKUP(Semidetached!AN$2,'Ceiling-U'!$A$4:$A$40,'Ceiling-U'!$E$4:$E$40)*Semidetached!AN$15)+(LOOKUP(Semidetached!AN$2,'Floor-U'!$A$4:$A$40,'Floor-U'!$E$4:$E$40)*Semidetached!AN$16)+(LOOKUP(Semidetached!AN$2,'Wall-U'!$A$4:$A$40,'Wall-U'!$E$4:$E$40)*Semidetached!AN$13)+(LOOKUP(Semidetached!AN$2,'Window-U'!$A$4:$A$40,'Window-U'!$Q$4:$Q$40)*Semidetached!AN$22))*AN4</f>
        <v>1124.3150625663313</v>
      </c>
    </row>
    <row r="6" spans="1:40">
      <c r="A6" s="372"/>
      <c r="B6" s="142" t="s">
        <v>3</v>
      </c>
      <c r="C6" s="131" t="s">
        <v>195</v>
      </c>
      <c r="D6" s="176">
        <f>((LOOKUP(Semidetached!D$2,'Ceiling-U'!$A$4:$A$40,'Ceiling-U'!$F$4:$F$40)*Semidetached!D$15)+(LOOKUP(Semidetached!D$2,'Floor-U'!$A$4:$A$40,'Floor-U'!$F$4:$F$40)*Semidetached!D$16)+(LOOKUP(Semidetached!D$2,'Wall-U'!$A$4:$A$40,'Wall-U'!$F$4:$F$40)*Semidetached!D$13)+(LOOKUP(Semidetached!D$2,'Window-U'!$A$4:$A$40,'Window-U'!$Q$4:$Q$40)*Semidetached!D$22))*D4</f>
        <v>1603.0349896193363</v>
      </c>
      <c r="E6" s="177">
        <f>((LOOKUP(Semidetached!E$2,'Ceiling-U'!$A$4:$A$40,'Ceiling-U'!$F$4:$F$40)*Semidetached!E$15)+(LOOKUP(Semidetached!E$2,'Floor-U'!$A$4:$A$40,'Floor-U'!$F$4:$F$40)*Semidetached!E$16)+(LOOKUP(Semidetached!E$2,'Wall-U'!$A$4:$A$40,'Wall-U'!$F$4:$F$40)*Semidetached!E$13)+(LOOKUP(Semidetached!E$2,'Window-U'!$A$4:$A$40,'Window-U'!$Q$4:$Q$40)*Semidetached!E$22))*E4</f>
        <v>2159.2743477792978</v>
      </c>
      <c r="F6" s="177">
        <f>((LOOKUP(Semidetached!F$2,'Ceiling-U'!$A$4:$A$40,'Ceiling-U'!$F$4:$F$40)*Semidetached!F$15)+(LOOKUP(Semidetached!F$2,'Floor-U'!$A$4:$A$40,'Floor-U'!$F$4:$F$40)*Semidetached!F$16)+(LOOKUP(Semidetached!F$2,'Wall-U'!$A$4:$A$40,'Wall-U'!$F$4:$F$40)*Semidetached!F$13)+(LOOKUP(Semidetached!F$2,'Window-U'!$A$4:$A$40,'Window-U'!$Q$4:$Q$40)*Semidetached!F$22))*F4</f>
        <v>1180.0770549999936</v>
      </c>
      <c r="G6" s="177">
        <f>((LOOKUP(Semidetached!G$2,'Ceiling-U'!$A$4:$A$40,'Ceiling-U'!$F$4:$F$40)*Semidetached!G$15)+(LOOKUP(Semidetached!G$2,'Floor-U'!$A$4:$A$40,'Floor-U'!$F$4:$F$40)*Semidetached!G$16)+(LOOKUP(Semidetached!G$2,'Wall-U'!$A$4:$A$40,'Wall-U'!$F$4:$F$40)*Semidetached!G$13)+(LOOKUP(Semidetached!G$2,'Window-U'!$A$4:$A$40,'Window-U'!$Q$4:$Q$40)*Semidetached!G$22))*G4</f>
        <v>1657.0306207604631</v>
      </c>
      <c r="H6" s="177">
        <f>((LOOKUP(Semidetached!H$2,'Ceiling-U'!$A$4:$A$40,'Ceiling-U'!$F$4:$F$40)*Semidetached!H$15)+(LOOKUP(Semidetached!H$2,'Floor-U'!$A$4:$A$40,'Floor-U'!$F$4:$F$40)*Semidetached!H$16)+(LOOKUP(Semidetached!H$2,'Wall-U'!$A$4:$A$40,'Wall-U'!$F$4:$F$40)*Semidetached!H$13)+(LOOKUP(Semidetached!H$2,'Window-U'!$A$4:$A$40,'Window-U'!$Q$4:$Q$40)*Semidetached!H$22))*H4</f>
        <v>2738.9595984802913</v>
      </c>
      <c r="I6" s="177">
        <f>((LOOKUP(Semidetached!I$2,'Ceiling-U'!$A$4:$A$40,'Ceiling-U'!$F$4:$F$40)*Semidetached!I$15)+(LOOKUP(Semidetached!I$2,'Floor-U'!$A$4:$A$40,'Floor-U'!$F$4:$F$40)*Semidetached!I$16)+(LOOKUP(Semidetached!I$2,'Wall-U'!$A$4:$A$40,'Wall-U'!$F$4:$F$40)*Semidetached!I$13)+(LOOKUP(Semidetached!I$2,'Window-U'!$A$4:$A$40,'Window-U'!$Q$4:$Q$40)*Semidetached!I$22))*I4</f>
        <v>999.74188904586254</v>
      </c>
      <c r="J6" s="177">
        <f>((LOOKUP(Semidetached!J$2,'Ceiling-U'!$A$4:$A$40,'Ceiling-U'!$F$4:$F$40)*Semidetached!J$15)+(LOOKUP(Semidetached!J$2,'Floor-U'!$A$4:$A$40,'Floor-U'!$F$4:$F$40)*Semidetached!J$16)+(LOOKUP(Semidetached!J$2,'Wall-U'!$A$4:$A$40,'Wall-U'!$F$4:$F$40)*Semidetached!J$13)+(LOOKUP(Semidetached!J$2,'Window-U'!$A$4:$A$40,'Window-U'!$Q$4:$Q$40)*Semidetached!J$22))*J4</f>
        <v>1808.0626478568922</v>
      </c>
      <c r="K6" s="177">
        <f>((LOOKUP(Semidetached!K$2,'Ceiling-U'!$A$4:$A$40,'Ceiling-U'!$F$4:$F$40)*Semidetached!K$15)+(LOOKUP(Semidetached!K$2,'Floor-U'!$A$4:$A$40,'Floor-U'!$F$4:$F$40)*Semidetached!K$16)+(LOOKUP(Semidetached!K$2,'Wall-U'!$A$4:$A$40,'Wall-U'!$F$4:$F$40)*Semidetached!K$13)+(LOOKUP(Semidetached!K$2,'Window-U'!$A$4:$A$40,'Window-U'!$Q$4:$Q$40)*Semidetached!K$22))*K4</f>
        <v>1035.6917194780942</v>
      </c>
      <c r="L6" s="177">
        <f>((LOOKUP(Semidetached!L$2,'Ceiling-U'!$A$4:$A$40,'Ceiling-U'!$F$4:$F$40)*Semidetached!L$15)+(LOOKUP(Semidetached!L$2,'Floor-U'!$A$4:$A$40,'Floor-U'!$F$4:$F$40)*Semidetached!L$16)+(LOOKUP(Semidetached!L$2,'Wall-U'!$A$4:$A$40,'Wall-U'!$F$4:$F$40)*Semidetached!L$13)+(LOOKUP(Semidetached!L$2,'Window-U'!$A$4:$A$40,'Window-U'!$Q$4:$Q$40)*Semidetached!L$22))*L4</f>
        <v>580.32214500611497</v>
      </c>
      <c r="M6" s="177">
        <f>((LOOKUP(Semidetached!M$2,'Ceiling-U'!$A$4:$A$40,'Ceiling-U'!$F$4:$F$40)*Semidetached!M$15)+(LOOKUP(Semidetached!M$2,'Floor-U'!$A$4:$A$40,'Floor-U'!$F$4:$F$40)*Semidetached!M$16)+(LOOKUP(Semidetached!M$2,'Wall-U'!$A$4:$A$40,'Wall-U'!$F$4:$F$40)*Semidetached!M$13)+(LOOKUP(Semidetached!M$2,'Window-U'!$A$4:$A$40,'Window-U'!$Q$4:$Q$40)*Semidetached!M$22))*M4</f>
        <v>2612.555267269885</v>
      </c>
      <c r="N6" s="177">
        <f>((LOOKUP(Semidetached!N$2,'Ceiling-U'!$A$4:$A$40,'Ceiling-U'!$F$4:$F$40)*Semidetached!N$15)+(LOOKUP(Semidetached!N$2,'Floor-U'!$A$4:$A$40,'Floor-U'!$F$4:$F$40)*Semidetached!N$16)+(LOOKUP(Semidetached!N$2,'Wall-U'!$A$4:$A$40,'Wall-U'!$F$4:$F$40)*Semidetached!N$13)+(LOOKUP(Semidetached!N$2,'Window-U'!$A$4:$A$40,'Window-U'!$Q$4:$Q$40)*Semidetached!N$22))*N4</f>
        <v>654.63037287464942</v>
      </c>
      <c r="O6" s="177">
        <f>((LOOKUP(Semidetached!O$2,'Ceiling-U'!$A$4:$A$40,'Ceiling-U'!$F$4:$F$40)*Semidetached!O$15)+(LOOKUP(Semidetached!O$2,'Floor-U'!$A$4:$A$40,'Floor-U'!$F$4:$F$40)*Semidetached!O$16)+(LOOKUP(Semidetached!O$2,'Wall-U'!$A$4:$A$40,'Wall-U'!$F$4:$F$40)*Semidetached!O$13)+(LOOKUP(Semidetached!O$2,'Window-U'!$A$4:$A$40,'Window-U'!$Q$4:$Q$40)*Semidetached!O$22))*O4</f>
        <v>2949.0432182363966</v>
      </c>
      <c r="P6" s="177">
        <f>((LOOKUP(Semidetached!P$2,'Ceiling-U'!$A$4:$A$40,'Ceiling-U'!$F$4:$F$40)*Semidetached!P$15)+(LOOKUP(Semidetached!P$2,'Floor-U'!$A$4:$A$40,'Floor-U'!$F$4:$F$40)*Semidetached!P$16)+(LOOKUP(Semidetached!P$2,'Wall-U'!$A$4:$A$40,'Wall-U'!$F$4:$F$40)*Semidetached!P$13)+(LOOKUP(Semidetached!P$2,'Window-U'!$A$4:$A$40,'Window-U'!$Q$4:$Q$40)*Semidetached!P$22))*P4</f>
        <v>1923.3233281105313</v>
      </c>
      <c r="Q6" s="177">
        <f>((LOOKUP(Semidetached!Q$2,'Ceiling-U'!$A$4:$A$40,'Ceiling-U'!$F$4:$F$40)*Semidetached!Q$15)+(LOOKUP(Semidetached!Q$2,'Floor-U'!$A$4:$A$40,'Floor-U'!$F$4:$F$40)*Semidetached!Q$16)+(LOOKUP(Semidetached!Q$2,'Wall-U'!$A$4:$A$40,'Wall-U'!$F$4:$F$40)*Semidetached!Q$13)+(LOOKUP(Semidetached!Q$2,'Window-U'!$A$4:$A$40,'Window-U'!$Q$4:$Q$40)*Semidetached!Q$22))*Q4</f>
        <v>1124.468715268526</v>
      </c>
      <c r="R6" s="177">
        <f>((LOOKUP(Semidetached!R$2,'Ceiling-U'!$A$4:$A$40,'Ceiling-U'!$F$4:$F$40)*Semidetached!R$15)+(LOOKUP(Semidetached!R$2,'Floor-U'!$A$4:$A$40,'Floor-U'!$F$4:$F$40)*Semidetached!R$16)+(LOOKUP(Semidetached!R$2,'Wall-U'!$A$4:$A$40,'Wall-U'!$F$4:$F$40)*Semidetached!R$13)+(LOOKUP(Semidetached!R$2,'Window-U'!$A$4:$A$40,'Window-U'!$Q$4:$Q$40)*Semidetached!R$22))*R4</f>
        <v>1474.7087747364751</v>
      </c>
      <c r="S6" s="177">
        <f>((LOOKUP(Semidetached!S$2,'Ceiling-U'!$A$4:$A$40,'Ceiling-U'!$F$4:$F$40)*Semidetached!S$15)+(LOOKUP(Semidetached!S$2,'Floor-U'!$A$4:$A$40,'Floor-U'!$F$4:$F$40)*Semidetached!S$16)+(LOOKUP(Semidetached!S$2,'Wall-U'!$A$4:$A$40,'Wall-U'!$F$4:$F$40)*Semidetached!S$13)+(LOOKUP(Semidetached!S$2,'Window-U'!$A$4:$A$40,'Window-U'!$Q$4:$Q$40)*Semidetached!S$22))*S4</f>
        <v>2250.9910306280749</v>
      </c>
      <c r="T6" s="177">
        <f>((LOOKUP(Semidetached!T$2,'Ceiling-U'!$A$4:$A$40,'Ceiling-U'!$F$4:$F$40)*Semidetached!T$15)+(LOOKUP(Semidetached!T$2,'Floor-U'!$A$4:$A$40,'Floor-U'!$F$4:$F$40)*Semidetached!T$16)+(LOOKUP(Semidetached!T$2,'Wall-U'!$A$4:$A$40,'Wall-U'!$F$4:$F$40)*Semidetached!T$13)+(LOOKUP(Semidetached!T$2,'Window-U'!$A$4:$A$40,'Window-U'!$Q$4:$Q$40)*Semidetached!T$22))*T4</f>
        <v>659.10908725635943</v>
      </c>
      <c r="U6" s="177">
        <f>((LOOKUP(Semidetached!U$2,'Ceiling-U'!$A$4:$A$40,'Ceiling-U'!$F$4:$F$40)*Semidetached!U$15)+(LOOKUP(Semidetached!U$2,'Floor-U'!$A$4:$A$40,'Floor-U'!$F$4:$F$40)*Semidetached!U$16)+(LOOKUP(Semidetached!U$2,'Wall-U'!$A$4:$A$40,'Wall-U'!$F$4:$F$40)*Semidetached!U$13)+(LOOKUP(Semidetached!U$2,'Window-U'!$A$4:$A$40,'Window-U'!$Q$4:$Q$40)*Semidetached!U$22))*U4</f>
        <v>2258.2777757787435</v>
      </c>
      <c r="V6" s="177">
        <f>((LOOKUP(Semidetached!V$2,'Ceiling-U'!$A$4:$A$40,'Ceiling-U'!$F$4:$F$40)*Semidetached!V$15)+(LOOKUP(Semidetached!V$2,'Floor-U'!$A$4:$A$40,'Floor-U'!$F$4:$F$40)*Semidetached!V$16)+(LOOKUP(Semidetached!V$2,'Wall-U'!$A$4:$A$40,'Wall-U'!$F$4:$F$40)*Semidetached!V$13)+(LOOKUP(Semidetached!V$2,'Window-U'!$A$4:$A$40,'Window-U'!$Q$4:$Q$40)*Semidetached!V$22))*V4</f>
        <v>1122.3294162527161</v>
      </c>
      <c r="W6" s="177">
        <f>((LOOKUP(Semidetached!W$2,'Ceiling-U'!$A$4:$A$40,'Ceiling-U'!$F$4:$F$40)*Semidetached!W$15)+(LOOKUP(Semidetached!W$2,'Floor-U'!$A$4:$A$40,'Floor-U'!$F$4:$F$40)*Semidetached!W$16)+(LOOKUP(Semidetached!W$2,'Wall-U'!$A$4:$A$40,'Wall-U'!$F$4:$F$40)*Semidetached!W$13)+(LOOKUP(Semidetached!W$2,'Window-U'!$A$4:$A$40,'Window-U'!$Q$4:$Q$40)*Semidetached!W$22))*W4</f>
        <v>1030.3806727132574</v>
      </c>
      <c r="X6" s="177">
        <f>((LOOKUP(Semidetached!X$2,'Ceiling-U'!$A$4:$A$40,'Ceiling-U'!$F$4:$F$40)*Semidetached!X$15)+(LOOKUP(Semidetached!X$2,'Floor-U'!$A$4:$A$40,'Floor-U'!$F$4:$F$40)*Semidetached!X$16)+(LOOKUP(Semidetached!X$2,'Wall-U'!$A$4:$A$40,'Wall-U'!$F$4:$F$40)*Semidetached!X$13)+(LOOKUP(Semidetached!X$2,'Window-U'!$A$4:$A$40,'Window-U'!$Q$4:$Q$40)*Semidetached!X$22))*X4</f>
        <v>1192.2938636749373</v>
      </c>
      <c r="Y6" s="177">
        <f>((LOOKUP(Semidetached!Y$2,'Ceiling-U'!$A$4:$A$40,'Ceiling-U'!$F$4:$F$40)*Semidetached!Y$15)+(LOOKUP(Semidetached!Y$2,'Floor-U'!$A$4:$A$40,'Floor-U'!$F$4:$F$40)*Semidetached!Y$16)+(LOOKUP(Semidetached!Y$2,'Wall-U'!$A$4:$A$40,'Wall-U'!$F$4:$F$40)*Semidetached!Y$13)+(LOOKUP(Semidetached!Y$2,'Window-U'!$A$4:$A$40,'Window-U'!$Q$4:$Q$40)*Semidetached!Y$22))*Y4</f>
        <v>3235.3789293248028</v>
      </c>
      <c r="Z6" s="177">
        <f>((LOOKUP(Semidetached!Z$2,'Ceiling-U'!$A$4:$A$40,'Ceiling-U'!$F$4:$F$40)*Semidetached!Z$15)+(LOOKUP(Semidetached!Z$2,'Floor-U'!$A$4:$A$40,'Floor-U'!$F$4:$F$40)*Semidetached!Z$16)+(LOOKUP(Semidetached!Z$2,'Wall-U'!$A$4:$A$40,'Wall-U'!$F$4:$F$40)*Semidetached!Z$13)+(LOOKUP(Semidetached!Z$2,'Window-U'!$A$4:$A$40,'Window-U'!$Q$4:$Q$40)*Semidetached!Z$22))*Z4</f>
        <v>1911.1813969454729</v>
      </c>
      <c r="AA6" s="177">
        <f>((LOOKUP(Semidetached!AA$2,'Ceiling-U'!$A$4:$A$40,'Ceiling-U'!$F$4:$F$40)*Semidetached!AA$15)+(LOOKUP(Semidetached!AA$2,'Floor-U'!$A$4:$A$40,'Floor-U'!$F$4:$F$40)*Semidetached!AA$16)+(LOOKUP(Semidetached!AA$2,'Wall-U'!$A$4:$A$40,'Wall-U'!$F$4:$F$40)*Semidetached!AA$13)+(LOOKUP(Semidetached!AA$2,'Window-U'!$A$4:$A$40,'Window-U'!$Q$4:$Q$40)*Semidetached!AA$22))*AA4</f>
        <v>659.90982432046962</v>
      </c>
      <c r="AB6" s="177">
        <f>((LOOKUP(Semidetached!AB$2,'Ceiling-U'!$A$4:$A$40,'Ceiling-U'!$F$4:$F$40)*Semidetached!AB$15)+(LOOKUP(Semidetached!AB$2,'Floor-U'!$A$4:$A$40,'Floor-U'!$F$4:$F$40)*Semidetached!AB$16)+(LOOKUP(Semidetached!AB$2,'Wall-U'!$A$4:$A$40,'Wall-U'!$F$4:$F$40)*Semidetached!AB$13)+(LOOKUP(Semidetached!AB$2,'Window-U'!$A$4:$A$40,'Window-U'!$Q$4:$Q$40)*Semidetached!AB$22))*AB4</f>
        <v>1284.5572616772627</v>
      </c>
      <c r="AC6" s="177">
        <f>((LOOKUP(Semidetached!AC$2,'Ceiling-U'!$A$4:$A$40,'Ceiling-U'!$F$4:$F$40)*Semidetached!AC$15)+(LOOKUP(Semidetached!AC$2,'Floor-U'!$A$4:$A$40,'Floor-U'!$F$4:$F$40)*Semidetached!AC$16)+(LOOKUP(Semidetached!AC$2,'Wall-U'!$A$4:$A$40,'Wall-U'!$F$4:$F$40)*Semidetached!AC$13)+(LOOKUP(Semidetached!AC$2,'Window-U'!$A$4:$A$40,'Window-U'!$Q$4:$Q$40)*Semidetached!AC$22))*AC4</f>
        <v>2646.5951354645626</v>
      </c>
      <c r="AD6" s="177">
        <f>((LOOKUP(Semidetached!AD$2,'Ceiling-U'!$A$4:$A$40,'Ceiling-U'!$F$4:$F$40)*Semidetached!AD$15)+(LOOKUP(Semidetached!AD$2,'Floor-U'!$A$4:$A$40,'Floor-U'!$F$4:$F$40)*Semidetached!AD$16)+(LOOKUP(Semidetached!AD$2,'Wall-U'!$A$4:$A$40,'Wall-U'!$F$4:$F$40)*Semidetached!AD$13)+(LOOKUP(Semidetached!AD$2,'Window-U'!$A$4:$A$40,'Window-U'!$Q$4:$Q$40)*Semidetached!AD$22))*AD4</f>
        <v>1383.5046001470703</v>
      </c>
      <c r="AE6" s="177">
        <f>((LOOKUP(Semidetached!AE$2,'Ceiling-U'!$A$4:$A$40,'Ceiling-U'!$F$4:$F$40)*Semidetached!AE$15)+(LOOKUP(Semidetached!AE$2,'Floor-U'!$A$4:$A$40,'Floor-U'!$F$4:$F$40)*Semidetached!AE$16)+(LOOKUP(Semidetached!AE$2,'Wall-U'!$A$4:$A$40,'Wall-U'!$F$4:$F$40)*Semidetached!AE$13)+(LOOKUP(Semidetached!AE$2,'Window-U'!$A$4:$A$40,'Window-U'!$Q$4:$Q$40)*Semidetached!AE$22))*AE4</f>
        <v>650.213087585979</v>
      </c>
      <c r="AF6" s="177">
        <f>((LOOKUP(Semidetached!AF$2,'Ceiling-U'!$A$4:$A$40,'Ceiling-U'!$F$4:$F$40)*Semidetached!AF$15)+(LOOKUP(Semidetached!AF$2,'Floor-U'!$A$4:$A$40,'Floor-U'!$F$4:$F$40)*Semidetached!AF$16)+(LOOKUP(Semidetached!AF$2,'Wall-U'!$A$4:$A$40,'Wall-U'!$F$4:$F$40)*Semidetached!AF$13)+(LOOKUP(Semidetached!AF$2,'Window-U'!$A$4:$A$40,'Window-U'!$Q$4:$Q$40)*Semidetached!AF$22))*AF4</f>
        <v>1426.2580954210937</v>
      </c>
      <c r="AG6" s="177">
        <f>((LOOKUP(Semidetached!AG$2,'Ceiling-U'!$A$4:$A$40,'Ceiling-U'!$F$4:$F$40)*Semidetached!AG$15)+(LOOKUP(Semidetached!AG$2,'Floor-U'!$A$4:$A$40,'Floor-U'!$F$4:$F$40)*Semidetached!AG$16)+(LOOKUP(Semidetached!AG$2,'Wall-U'!$A$4:$A$40,'Wall-U'!$F$4:$F$40)*Semidetached!AG$13)+(LOOKUP(Semidetached!AG$2,'Window-U'!$A$4:$A$40,'Window-U'!$Q$4:$Q$40)*Semidetached!AG$22))*AG4</f>
        <v>1572.3652671166863</v>
      </c>
      <c r="AH6" s="177">
        <f>((LOOKUP(Semidetached!AH$2,'Ceiling-U'!$A$4:$A$40,'Ceiling-U'!$F$4:$F$40)*Semidetached!AH$15)+(LOOKUP(Semidetached!AH$2,'Floor-U'!$A$4:$A$40,'Floor-U'!$F$4:$F$40)*Semidetached!AH$16)+(LOOKUP(Semidetached!AH$2,'Wall-U'!$A$4:$A$40,'Wall-U'!$F$4:$F$40)*Semidetached!AH$13)+(LOOKUP(Semidetached!AH$2,'Window-U'!$A$4:$A$40,'Window-U'!$Q$4:$Q$40)*Semidetached!AH$22))*AH4</f>
        <v>1889.5894166339754</v>
      </c>
      <c r="AI6" s="177">
        <f>((LOOKUP(Semidetached!AI$2,'Ceiling-U'!$A$4:$A$40,'Ceiling-U'!$F$4:$F$40)*Semidetached!AI$15)+(LOOKUP(Semidetached!AI$2,'Floor-U'!$A$4:$A$40,'Floor-U'!$F$4:$F$40)*Semidetached!AI$16)+(LOOKUP(Semidetached!AI$2,'Wall-U'!$A$4:$A$40,'Wall-U'!$F$4:$F$40)*Semidetached!AI$13)+(LOOKUP(Semidetached!AI$2,'Window-U'!$A$4:$A$40,'Window-U'!$Q$4:$Q$40)*Semidetached!AI$22))*AI4</f>
        <v>2802.0755387829031</v>
      </c>
      <c r="AJ6" s="177">
        <f>((LOOKUP(Semidetached!AJ$2,'Ceiling-U'!$A$4:$A$40,'Ceiling-U'!$F$4:$F$40)*Semidetached!AJ$15)+(LOOKUP(Semidetached!AJ$2,'Floor-U'!$A$4:$A$40,'Floor-U'!$F$4:$F$40)*Semidetached!AJ$16)+(LOOKUP(Semidetached!AJ$2,'Wall-U'!$A$4:$A$40,'Wall-U'!$F$4:$F$40)*Semidetached!AJ$13)+(LOOKUP(Semidetached!AJ$2,'Window-U'!$A$4:$A$40,'Window-U'!$Q$4:$Q$40)*Semidetached!AJ$22))*AJ4</f>
        <v>1124.3150625663313</v>
      </c>
      <c r="AK6" s="177">
        <f>((LOOKUP(Semidetached!AK$2,'Ceiling-U'!$A$4:$A$40,'Ceiling-U'!$F$4:$F$40)*Semidetached!AK$15)+(LOOKUP(Semidetached!AK$2,'Floor-U'!$A$4:$A$40,'Floor-U'!$F$4:$F$40)*Semidetached!AK$16)+(LOOKUP(Semidetached!AK$2,'Wall-U'!$A$4:$A$40,'Wall-U'!$F$4:$F$40)*Semidetached!AK$13)+(LOOKUP(Semidetached!AK$2,'Window-U'!$A$4:$A$40,'Window-U'!$Q$4:$Q$40)*Semidetached!AK$22))*AK4</f>
        <v>1376.7180203028699</v>
      </c>
      <c r="AL6" s="177">
        <f>((LOOKUP(Semidetached!AL$2,'Ceiling-U'!$A$4:$A$40,'Ceiling-U'!$F$4:$F$40)*Semidetached!AL$15)+(LOOKUP(Semidetached!AL$2,'Floor-U'!$A$4:$A$40,'Floor-U'!$F$4:$F$40)*Semidetached!AL$16)+(LOOKUP(Semidetached!AL$2,'Wall-U'!$A$4:$A$40,'Wall-U'!$F$4:$F$40)*Semidetached!AL$13)+(LOOKUP(Semidetached!AL$2,'Window-U'!$A$4:$A$40,'Window-U'!$Q$4:$Q$40)*Semidetached!AL$22))*AL4</f>
        <v>1241.6919111392795</v>
      </c>
      <c r="AM6" s="177">
        <f>((LOOKUP(Semidetached!AM$2,'Ceiling-U'!$A$4:$A$40,'Ceiling-U'!$F$4:$F$40)*Semidetached!AM$15)+(LOOKUP(Semidetached!AM$2,'Floor-U'!$A$4:$A$40,'Floor-U'!$F$4:$F$40)*Semidetached!AM$16)+(LOOKUP(Semidetached!AM$2,'Wall-U'!$A$4:$A$40,'Wall-U'!$F$4:$F$40)*Semidetached!AM$13)+(LOOKUP(Semidetached!AM$2,'Window-U'!$A$4:$A$40,'Window-U'!$Q$4:$Q$40)*Semidetached!AM$22))*AM4</f>
        <v>1124.3150625663313</v>
      </c>
      <c r="AN6" s="178">
        <f>((LOOKUP(Semidetached!AN$2,'Ceiling-U'!$A$4:$A$40,'Ceiling-U'!$F$4:$F$40)*Semidetached!AN$15)+(LOOKUP(Semidetached!AN$2,'Floor-U'!$A$4:$A$40,'Floor-U'!$F$4:$F$40)*Semidetached!AN$16)+(LOOKUP(Semidetached!AN$2,'Wall-U'!$A$4:$A$40,'Wall-U'!$F$4:$F$40)*Semidetached!AN$13)+(LOOKUP(Semidetached!AN$2,'Window-U'!$A$4:$A$40,'Window-U'!$Q$4:$Q$40)*Semidetached!AN$22))*AN4</f>
        <v>1124.3150625663313</v>
      </c>
    </row>
    <row r="7" spans="1:40">
      <c r="A7" s="372"/>
      <c r="B7" s="142" t="s">
        <v>4</v>
      </c>
      <c r="C7" s="131" t="s">
        <v>195</v>
      </c>
      <c r="D7" s="176">
        <f>((LOOKUP(Semidetached!D$2,'Ceiling-U'!$A$4:$A$40,'Ceiling-U'!$G$4:$G$40)*Semidetached!D$15)+(LOOKUP(Semidetached!D$2,'Floor-U'!$A$4:$A$40,'Floor-U'!$G$4:$G$40)*Semidetached!D$16)+(LOOKUP(Semidetached!D$2,'Wall-U'!$A$4:$A$40,'Wall-U'!$G$4:$G$40)*Semidetached!D$13)+(LOOKUP(Semidetached!D$2,'Window-U'!$A$4:$A$40,'Window-U'!$Q$4:$Q$40)*Semidetached!D$22))*D4</f>
        <v>1216.2128051302311</v>
      </c>
      <c r="E7" s="177">
        <f>((LOOKUP(Semidetached!E$2,'Ceiling-U'!$A$4:$A$40,'Ceiling-U'!$G$4:$G$40)*Semidetached!E$15)+(LOOKUP(Semidetached!E$2,'Floor-U'!$A$4:$A$40,'Floor-U'!$G$4:$G$40)*Semidetached!E$16)+(LOOKUP(Semidetached!E$2,'Wall-U'!$A$4:$A$40,'Wall-U'!$G$4:$G$40)*Semidetached!E$13)+(LOOKUP(Semidetached!E$2,'Window-U'!$A$4:$A$40,'Window-U'!$Q$4:$Q$40)*Semidetached!E$22))*E4</f>
        <v>2159.2743477792978</v>
      </c>
      <c r="F7" s="177">
        <f>((LOOKUP(Semidetached!F$2,'Ceiling-U'!$A$4:$A$40,'Ceiling-U'!$G$4:$G$40)*Semidetached!F$15)+(LOOKUP(Semidetached!F$2,'Floor-U'!$A$4:$A$40,'Floor-U'!$G$4:$G$40)*Semidetached!F$16)+(LOOKUP(Semidetached!F$2,'Wall-U'!$A$4:$A$40,'Wall-U'!$G$4:$G$40)*Semidetached!F$13)+(LOOKUP(Semidetached!F$2,'Window-U'!$A$4:$A$40,'Window-U'!$Q$4:$Q$40)*Semidetached!F$22))*F4</f>
        <v>1099.498568202958</v>
      </c>
      <c r="G7" s="177">
        <f>((LOOKUP(Semidetached!G$2,'Ceiling-U'!$A$4:$A$40,'Ceiling-U'!$G$4:$G$40)*Semidetached!G$15)+(LOOKUP(Semidetached!G$2,'Floor-U'!$A$4:$A$40,'Floor-U'!$G$4:$G$40)*Semidetached!G$16)+(LOOKUP(Semidetached!G$2,'Wall-U'!$A$4:$A$40,'Wall-U'!$G$4:$G$40)*Semidetached!G$13)+(LOOKUP(Semidetached!G$2,'Window-U'!$A$4:$A$40,'Window-U'!$Q$4:$Q$40)*Semidetached!G$22))*G4</f>
        <v>1255.1232944679052</v>
      </c>
      <c r="H7" s="177">
        <f>((LOOKUP(Semidetached!H$2,'Ceiling-U'!$A$4:$A$40,'Ceiling-U'!$G$4:$G$40)*Semidetached!H$15)+(LOOKUP(Semidetached!H$2,'Floor-U'!$A$4:$A$40,'Floor-U'!$G$4:$G$40)*Semidetached!H$16)+(LOOKUP(Semidetached!H$2,'Wall-U'!$A$4:$A$40,'Wall-U'!$G$4:$G$40)*Semidetached!H$13)+(LOOKUP(Semidetached!H$2,'Window-U'!$A$4:$A$40,'Window-U'!$Q$4:$Q$40)*Semidetached!H$22))*H4</f>
        <v>2567.8515324522923</v>
      </c>
      <c r="I7" s="177">
        <f>((LOOKUP(Semidetached!I$2,'Ceiling-U'!$A$4:$A$40,'Ceiling-U'!$G$4:$G$40)*Semidetached!I$15)+(LOOKUP(Semidetached!I$2,'Floor-U'!$A$4:$A$40,'Floor-U'!$G$4:$G$40)*Semidetached!I$16)+(LOOKUP(Semidetached!I$2,'Wall-U'!$A$4:$A$40,'Wall-U'!$G$4:$G$40)*Semidetached!I$13)+(LOOKUP(Semidetached!I$2,'Window-U'!$A$4:$A$40,'Window-U'!$Q$4:$Q$40)*Semidetached!I$22))*I4</f>
        <v>999.74188904586254</v>
      </c>
      <c r="J7" s="177">
        <f>((LOOKUP(Semidetached!J$2,'Ceiling-U'!$A$4:$A$40,'Ceiling-U'!$G$4:$G$40)*Semidetached!J$15)+(LOOKUP(Semidetached!J$2,'Floor-U'!$A$4:$A$40,'Floor-U'!$G$4:$G$40)*Semidetached!J$16)+(LOOKUP(Semidetached!J$2,'Wall-U'!$A$4:$A$40,'Wall-U'!$G$4:$G$40)*Semidetached!J$13)+(LOOKUP(Semidetached!J$2,'Window-U'!$A$4:$A$40,'Window-U'!$Q$4:$Q$40)*Semidetached!J$22))*J4</f>
        <v>1028.2898379074209</v>
      </c>
      <c r="K7" s="177">
        <f>((LOOKUP(Semidetached!K$2,'Ceiling-U'!$A$4:$A$40,'Ceiling-U'!$G$4:$G$40)*Semidetached!K$15)+(LOOKUP(Semidetached!K$2,'Floor-U'!$A$4:$A$40,'Floor-U'!$G$4:$G$40)*Semidetached!K$16)+(LOOKUP(Semidetached!K$2,'Wall-U'!$A$4:$A$40,'Wall-U'!$G$4:$G$40)*Semidetached!K$13)+(LOOKUP(Semidetached!K$2,'Window-U'!$A$4:$A$40,'Window-U'!$Q$4:$Q$40)*Semidetached!K$22))*K4</f>
        <v>647.59513765882286</v>
      </c>
      <c r="L7" s="177">
        <f>((LOOKUP(Semidetached!L$2,'Ceiling-U'!$A$4:$A$40,'Ceiling-U'!$G$4:$G$40)*Semidetached!L$15)+(LOOKUP(Semidetached!L$2,'Floor-U'!$A$4:$A$40,'Floor-U'!$G$4:$G$40)*Semidetached!L$16)+(LOOKUP(Semidetached!L$2,'Wall-U'!$A$4:$A$40,'Wall-U'!$G$4:$G$40)*Semidetached!L$13)+(LOOKUP(Semidetached!L$2,'Window-U'!$A$4:$A$40,'Window-U'!$Q$4:$Q$40)*Semidetached!L$22))*L4</f>
        <v>463.55762681200122</v>
      </c>
      <c r="M7" s="177">
        <f>((LOOKUP(Semidetached!M$2,'Ceiling-U'!$A$4:$A$40,'Ceiling-U'!$G$4:$G$40)*Semidetached!M$15)+(LOOKUP(Semidetached!M$2,'Floor-U'!$A$4:$A$40,'Floor-U'!$G$4:$G$40)*Semidetached!M$16)+(LOOKUP(Semidetached!M$2,'Wall-U'!$A$4:$A$40,'Wall-U'!$G$4:$G$40)*Semidetached!M$13)+(LOOKUP(Semidetached!M$2,'Window-U'!$A$4:$A$40,'Window-U'!$Q$4:$Q$40)*Semidetached!M$22))*M4</f>
        <v>2612.555267269885</v>
      </c>
      <c r="N7" s="177">
        <f>((LOOKUP(Semidetached!N$2,'Ceiling-U'!$A$4:$A$40,'Ceiling-U'!$G$4:$G$40)*Semidetached!N$15)+(LOOKUP(Semidetached!N$2,'Floor-U'!$A$4:$A$40,'Floor-U'!$G$4:$G$40)*Semidetached!N$16)+(LOOKUP(Semidetached!N$2,'Wall-U'!$A$4:$A$40,'Wall-U'!$G$4:$G$40)*Semidetached!N$13)+(LOOKUP(Semidetached!N$2,'Window-U'!$A$4:$A$40,'Window-U'!$Q$4:$Q$40)*Semidetached!N$22))*N4</f>
        <v>530.53056349536973</v>
      </c>
      <c r="O7" s="177">
        <f>((LOOKUP(Semidetached!O$2,'Ceiling-U'!$A$4:$A$40,'Ceiling-U'!$G$4:$G$40)*Semidetached!O$15)+(LOOKUP(Semidetached!O$2,'Floor-U'!$A$4:$A$40,'Floor-U'!$G$4:$G$40)*Semidetached!O$16)+(LOOKUP(Semidetached!O$2,'Wall-U'!$A$4:$A$40,'Wall-U'!$G$4:$G$40)*Semidetached!O$13)+(LOOKUP(Semidetached!O$2,'Window-U'!$A$4:$A$40,'Window-U'!$Q$4:$Q$40)*Semidetached!O$22))*O4</f>
        <v>1153.2380786271076</v>
      </c>
      <c r="P7" s="177">
        <f>((LOOKUP(Semidetached!P$2,'Ceiling-U'!$A$4:$A$40,'Ceiling-U'!$G$4:$G$40)*Semidetached!P$15)+(LOOKUP(Semidetached!P$2,'Floor-U'!$A$4:$A$40,'Floor-U'!$G$4:$G$40)*Semidetached!P$16)+(LOOKUP(Semidetached!P$2,'Wall-U'!$A$4:$A$40,'Wall-U'!$G$4:$G$40)*Semidetached!P$13)+(LOOKUP(Semidetached!P$2,'Window-U'!$A$4:$A$40,'Window-U'!$Q$4:$Q$40)*Semidetached!P$22))*P4</f>
        <v>1923.3233281105313</v>
      </c>
      <c r="Q7" s="177">
        <f>((LOOKUP(Semidetached!Q$2,'Ceiling-U'!$A$4:$A$40,'Ceiling-U'!$G$4:$G$40)*Semidetached!Q$15)+(LOOKUP(Semidetached!Q$2,'Floor-U'!$A$4:$A$40,'Floor-U'!$G$4:$G$40)*Semidetached!Q$16)+(LOOKUP(Semidetached!Q$2,'Wall-U'!$A$4:$A$40,'Wall-U'!$G$4:$G$40)*Semidetached!Q$13)+(LOOKUP(Semidetached!Q$2,'Window-U'!$A$4:$A$40,'Window-U'!$Q$4:$Q$40)*Semidetached!Q$22))*Q4</f>
        <v>1056.5486493836595</v>
      </c>
      <c r="R7" s="177">
        <f>((LOOKUP(Semidetached!R$2,'Ceiling-U'!$A$4:$A$40,'Ceiling-U'!$G$4:$G$40)*Semidetached!R$15)+(LOOKUP(Semidetached!R$2,'Floor-U'!$A$4:$A$40,'Floor-U'!$G$4:$G$40)*Semidetached!R$16)+(LOOKUP(Semidetached!R$2,'Wall-U'!$A$4:$A$40,'Wall-U'!$G$4:$G$40)*Semidetached!R$13)+(LOOKUP(Semidetached!R$2,'Window-U'!$A$4:$A$40,'Window-U'!$Q$4:$Q$40)*Semidetached!R$22))*R4</f>
        <v>1254.7810998427387</v>
      </c>
      <c r="S7" s="177">
        <f>((LOOKUP(Semidetached!S$2,'Ceiling-U'!$A$4:$A$40,'Ceiling-U'!$G$4:$G$40)*Semidetached!S$15)+(LOOKUP(Semidetached!S$2,'Floor-U'!$A$4:$A$40,'Floor-U'!$G$4:$G$40)*Semidetached!S$16)+(LOOKUP(Semidetached!S$2,'Wall-U'!$A$4:$A$40,'Wall-U'!$G$4:$G$40)*Semidetached!S$13)+(LOOKUP(Semidetached!S$2,'Window-U'!$A$4:$A$40,'Window-U'!$Q$4:$Q$40)*Semidetached!S$22))*S4</f>
        <v>1791.1773997371486</v>
      </c>
      <c r="T7" s="177">
        <f>((LOOKUP(Semidetached!T$2,'Ceiling-U'!$A$4:$A$40,'Ceiling-U'!$G$4:$G$40)*Semidetached!T$15)+(LOOKUP(Semidetached!T$2,'Floor-U'!$A$4:$A$40,'Floor-U'!$G$4:$G$40)*Semidetached!T$16)+(LOOKUP(Semidetached!T$2,'Wall-U'!$A$4:$A$40,'Wall-U'!$G$4:$G$40)*Semidetached!T$13)+(LOOKUP(Semidetached!T$2,'Window-U'!$A$4:$A$40,'Window-U'!$Q$4:$Q$40)*Semidetached!T$22))*T4</f>
        <v>533.96414711678256</v>
      </c>
      <c r="U7" s="177">
        <f>((LOOKUP(Semidetached!U$2,'Ceiling-U'!$A$4:$A$40,'Ceiling-U'!$G$4:$G$40)*Semidetached!U$15)+(LOOKUP(Semidetached!U$2,'Floor-U'!$A$4:$A$40,'Floor-U'!$G$4:$G$40)*Semidetached!U$16)+(LOOKUP(Semidetached!U$2,'Wall-U'!$A$4:$A$40,'Wall-U'!$G$4:$G$40)*Semidetached!U$13)+(LOOKUP(Semidetached!U$2,'Window-U'!$A$4:$A$40,'Window-U'!$Q$4:$Q$40)*Semidetached!U$22))*U4</f>
        <v>2142.0338517637338</v>
      </c>
      <c r="V7" s="177">
        <f>((LOOKUP(Semidetached!V$2,'Ceiling-U'!$A$4:$A$40,'Ceiling-U'!$G$4:$G$40)*Semidetached!V$15)+(LOOKUP(Semidetached!V$2,'Floor-U'!$A$4:$A$40,'Floor-U'!$G$4:$G$40)*Semidetached!V$16)+(LOOKUP(Semidetached!V$2,'Wall-U'!$A$4:$A$40,'Wall-U'!$G$4:$G$40)*Semidetached!V$13)+(LOOKUP(Semidetached!V$2,'Window-U'!$A$4:$A$40,'Window-U'!$Q$4:$Q$40)*Semidetached!V$22))*V4</f>
        <v>695.5998812626907</v>
      </c>
      <c r="W7" s="177">
        <f>((LOOKUP(Semidetached!W$2,'Ceiling-U'!$A$4:$A$40,'Ceiling-U'!$G$4:$G$40)*Semidetached!W$15)+(LOOKUP(Semidetached!W$2,'Floor-U'!$A$4:$A$40,'Floor-U'!$G$4:$G$40)*Semidetached!W$16)+(LOOKUP(Semidetached!W$2,'Wall-U'!$A$4:$A$40,'Wall-U'!$G$4:$G$40)*Semidetached!W$13)+(LOOKUP(Semidetached!W$2,'Window-U'!$A$4:$A$40,'Window-U'!$Q$4:$Q$40)*Semidetached!W$22))*W4</f>
        <v>514.28362555401895</v>
      </c>
      <c r="X7" s="177">
        <f>((LOOKUP(Semidetached!X$2,'Ceiling-U'!$A$4:$A$40,'Ceiling-U'!$G$4:$G$40)*Semidetached!X$15)+(LOOKUP(Semidetached!X$2,'Floor-U'!$A$4:$A$40,'Floor-U'!$G$4:$G$40)*Semidetached!X$16)+(LOOKUP(Semidetached!X$2,'Wall-U'!$A$4:$A$40,'Wall-U'!$G$4:$G$40)*Semidetached!X$13)+(LOOKUP(Semidetached!X$2,'Window-U'!$A$4:$A$40,'Window-U'!$Q$4:$Q$40)*Semidetached!X$22))*X4</f>
        <v>1090.3322942759851</v>
      </c>
      <c r="Y7" s="177">
        <f>((LOOKUP(Semidetached!Y$2,'Ceiling-U'!$A$4:$A$40,'Ceiling-U'!$G$4:$G$40)*Semidetached!Y$15)+(LOOKUP(Semidetached!Y$2,'Floor-U'!$A$4:$A$40,'Floor-U'!$G$4:$G$40)*Semidetached!Y$16)+(LOOKUP(Semidetached!Y$2,'Wall-U'!$A$4:$A$40,'Wall-U'!$G$4:$G$40)*Semidetached!Y$13)+(LOOKUP(Semidetached!Y$2,'Window-U'!$A$4:$A$40,'Window-U'!$Q$4:$Q$40)*Semidetached!Y$22))*Y4</f>
        <v>2682.8577430765804</v>
      </c>
      <c r="Z7" s="177">
        <f>((LOOKUP(Semidetached!Z$2,'Ceiling-U'!$A$4:$A$40,'Ceiling-U'!$G$4:$G$40)*Semidetached!Z$15)+(LOOKUP(Semidetached!Z$2,'Floor-U'!$A$4:$A$40,'Floor-U'!$G$4:$G$40)*Semidetached!Z$16)+(LOOKUP(Semidetached!Z$2,'Wall-U'!$A$4:$A$40,'Wall-U'!$G$4:$G$40)*Semidetached!Z$13)+(LOOKUP(Semidetached!Z$2,'Window-U'!$A$4:$A$40,'Window-U'!$Q$4:$Q$40)*Semidetached!Z$22))*Z4</f>
        <v>1818.8247853310954</v>
      </c>
      <c r="AA7" s="177">
        <f>((LOOKUP(Semidetached!AA$2,'Ceiling-U'!$A$4:$A$40,'Ceiling-U'!$G$4:$G$40)*Semidetached!AA$15)+(LOOKUP(Semidetached!AA$2,'Floor-U'!$A$4:$A$40,'Floor-U'!$G$4:$G$40)*Semidetached!AA$16)+(LOOKUP(Semidetached!AA$2,'Wall-U'!$A$4:$A$40,'Wall-U'!$G$4:$G$40)*Semidetached!AA$13)+(LOOKUP(Semidetached!AA$2,'Window-U'!$A$4:$A$40,'Window-U'!$Q$4:$Q$40)*Semidetached!AA$22))*AA4</f>
        <v>421.1608677462483</v>
      </c>
      <c r="AB7" s="177">
        <f>((LOOKUP(Semidetached!AB$2,'Ceiling-U'!$A$4:$A$40,'Ceiling-U'!$G$4:$G$40)*Semidetached!AB$15)+(LOOKUP(Semidetached!AB$2,'Floor-U'!$A$4:$A$40,'Floor-U'!$G$4:$G$40)*Semidetached!AB$16)+(LOOKUP(Semidetached!AB$2,'Wall-U'!$A$4:$A$40,'Wall-U'!$G$4:$G$40)*Semidetached!AB$13)+(LOOKUP(Semidetached!AB$2,'Window-U'!$A$4:$A$40,'Window-U'!$Q$4:$Q$40)*Semidetached!AB$22))*AB4</f>
        <v>888.91369461679699</v>
      </c>
      <c r="AC7" s="177">
        <f>((LOOKUP(Semidetached!AC$2,'Ceiling-U'!$A$4:$A$40,'Ceiling-U'!$G$4:$G$40)*Semidetached!AC$15)+(LOOKUP(Semidetached!AC$2,'Floor-U'!$A$4:$A$40,'Floor-U'!$G$4:$G$40)*Semidetached!AC$16)+(LOOKUP(Semidetached!AC$2,'Wall-U'!$A$4:$A$40,'Wall-U'!$G$4:$G$40)*Semidetached!AC$13)+(LOOKUP(Semidetached!AC$2,'Window-U'!$A$4:$A$40,'Window-U'!$Q$4:$Q$40)*Semidetached!AC$22))*AC4</f>
        <v>2579.3074813771036</v>
      </c>
      <c r="AD7" s="177">
        <f>((LOOKUP(Semidetached!AD$2,'Ceiling-U'!$A$4:$A$40,'Ceiling-U'!$G$4:$G$40)*Semidetached!AD$15)+(LOOKUP(Semidetached!AD$2,'Floor-U'!$A$4:$A$40,'Floor-U'!$G$4:$G$40)*Semidetached!AD$16)+(LOOKUP(Semidetached!AD$2,'Wall-U'!$A$4:$A$40,'Wall-U'!$G$4:$G$40)*Semidetached!AD$13)+(LOOKUP(Semidetached!AD$2,'Window-U'!$A$4:$A$40,'Window-U'!$Q$4:$Q$40)*Semidetached!AD$22))*AD4</f>
        <v>1383.5046001470703</v>
      </c>
      <c r="AE7" s="177">
        <f>((LOOKUP(Semidetached!AE$2,'Ceiling-U'!$A$4:$A$40,'Ceiling-U'!$G$4:$G$40)*Semidetached!AE$15)+(LOOKUP(Semidetached!AE$2,'Floor-U'!$A$4:$A$40,'Floor-U'!$G$4:$G$40)*Semidetached!AE$16)+(LOOKUP(Semidetached!AE$2,'Wall-U'!$A$4:$A$40,'Wall-U'!$G$4:$G$40)*Semidetached!AE$13)+(LOOKUP(Semidetached!AE$2,'Window-U'!$A$4:$A$40,'Window-U'!$Q$4:$Q$40)*Semidetached!AE$22))*AE4</f>
        <v>415.92254037812302</v>
      </c>
      <c r="AF7" s="177">
        <f>((LOOKUP(Semidetached!AF$2,'Ceiling-U'!$A$4:$A$40,'Ceiling-U'!$G$4:$G$40)*Semidetached!AF$15)+(LOOKUP(Semidetached!AF$2,'Floor-U'!$A$4:$A$40,'Floor-U'!$G$4:$G$40)*Semidetached!AF$16)+(LOOKUP(Semidetached!AF$2,'Wall-U'!$A$4:$A$40,'Wall-U'!$G$4:$G$40)*Semidetached!AF$13)+(LOOKUP(Semidetached!AF$2,'Window-U'!$A$4:$A$40,'Window-U'!$Q$4:$Q$40)*Semidetached!AF$22))*AF4</f>
        <v>1293.5714712465208</v>
      </c>
      <c r="AG7" s="177">
        <f>((LOOKUP(Semidetached!AG$2,'Ceiling-U'!$A$4:$A$40,'Ceiling-U'!$G$4:$G$40)*Semidetached!AG$15)+(LOOKUP(Semidetached!AG$2,'Floor-U'!$A$4:$A$40,'Floor-U'!$G$4:$G$40)*Semidetached!AG$16)+(LOOKUP(Semidetached!AG$2,'Wall-U'!$A$4:$A$40,'Wall-U'!$G$4:$G$40)*Semidetached!AG$13)+(LOOKUP(Semidetached!AG$2,'Window-U'!$A$4:$A$40,'Window-U'!$Q$4:$Q$40)*Semidetached!AG$22))*AG4</f>
        <v>1572.3652671166863</v>
      </c>
      <c r="AH7" s="177">
        <f>((LOOKUP(Semidetached!AH$2,'Ceiling-U'!$A$4:$A$40,'Ceiling-U'!$G$4:$G$40)*Semidetached!AH$15)+(LOOKUP(Semidetached!AH$2,'Floor-U'!$A$4:$A$40,'Floor-U'!$G$4:$G$40)*Semidetached!AH$16)+(LOOKUP(Semidetached!AH$2,'Wall-U'!$A$4:$A$40,'Wall-U'!$G$4:$G$40)*Semidetached!AH$13)+(LOOKUP(Semidetached!AH$2,'Window-U'!$A$4:$A$40,'Window-U'!$Q$4:$Q$40)*Semidetached!AH$22))*AH4</f>
        <v>1383.4879535567704</v>
      </c>
      <c r="AI7" s="177">
        <f>((LOOKUP(Semidetached!AI$2,'Ceiling-U'!$A$4:$A$40,'Ceiling-U'!$G$4:$G$40)*Semidetached!AI$15)+(LOOKUP(Semidetached!AI$2,'Floor-U'!$A$4:$A$40,'Floor-U'!$G$4:$G$40)*Semidetached!AI$16)+(LOOKUP(Semidetached!AI$2,'Wall-U'!$A$4:$A$40,'Wall-U'!$G$4:$G$40)*Semidetached!AI$13)+(LOOKUP(Semidetached!AI$2,'Window-U'!$A$4:$A$40,'Window-U'!$Q$4:$Q$40)*Semidetached!AI$22))*AI4</f>
        <v>2802.0755387829031</v>
      </c>
      <c r="AJ7" s="177">
        <f>((LOOKUP(Semidetached!AJ$2,'Ceiling-U'!$A$4:$A$40,'Ceiling-U'!$G$4:$G$40)*Semidetached!AJ$15)+(LOOKUP(Semidetached!AJ$2,'Floor-U'!$A$4:$A$40,'Floor-U'!$G$4:$G$40)*Semidetached!AJ$16)+(LOOKUP(Semidetached!AJ$2,'Wall-U'!$A$4:$A$40,'Wall-U'!$G$4:$G$40)*Semidetached!AJ$13)+(LOOKUP(Semidetached!AJ$2,'Window-U'!$A$4:$A$40,'Window-U'!$Q$4:$Q$40)*Semidetached!AJ$22))*AJ4</f>
        <v>1124.3150625663313</v>
      </c>
      <c r="AK7" s="177">
        <f>((LOOKUP(Semidetached!AK$2,'Ceiling-U'!$A$4:$A$40,'Ceiling-U'!$G$4:$G$40)*Semidetached!AK$15)+(LOOKUP(Semidetached!AK$2,'Floor-U'!$A$4:$A$40,'Floor-U'!$G$4:$G$40)*Semidetached!AK$16)+(LOOKUP(Semidetached!AK$2,'Wall-U'!$A$4:$A$40,'Wall-U'!$G$4:$G$40)*Semidetached!AK$13)+(LOOKUP(Semidetached!AK$2,'Window-U'!$A$4:$A$40,'Window-U'!$Q$4:$Q$40)*Semidetached!AK$22))*AK4</f>
        <v>1376.7180203028699</v>
      </c>
      <c r="AL7" s="177">
        <f>((LOOKUP(Semidetached!AL$2,'Ceiling-U'!$A$4:$A$40,'Ceiling-U'!$G$4:$G$40)*Semidetached!AL$15)+(LOOKUP(Semidetached!AL$2,'Floor-U'!$A$4:$A$40,'Floor-U'!$G$4:$G$40)*Semidetached!AL$16)+(LOOKUP(Semidetached!AL$2,'Wall-U'!$A$4:$A$40,'Wall-U'!$G$4:$G$40)*Semidetached!AL$13)+(LOOKUP(Semidetached!AL$2,'Window-U'!$A$4:$A$40,'Window-U'!$Q$4:$Q$40)*Semidetached!AL$22))*AL4</f>
        <v>1156.2383187408013</v>
      </c>
      <c r="AM7" s="177">
        <f>((LOOKUP(Semidetached!AM$2,'Ceiling-U'!$A$4:$A$40,'Ceiling-U'!$G$4:$G$40)*Semidetached!AM$15)+(LOOKUP(Semidetached!AM$2,'Floor-U'!$A$4:$A$40,'Floor-U'!$G$4:$G$40)*Semidetached!AM$16)+(LOOKUP(Semidetached!AM$2,'Wall-U'!$A$4:$A$40,'Wall-U'!$G$4:$G$40)*Semidetached!AM$13)+(LOOKUP(Semidetached!AM$2,'Window-U'!$A$4:$A$40,'Window-U'!$Q$4:$Q$40)*Semidetached!AM$22))*AM4</f>
        <v>1124.3150625663313</v>
      </c>
      <c r="AN7" s="178">
        <f>((LOOKUP(Semidetached!AN$2,'Ceiling-U'!$A$4:$A$40,'Ceiling-U'!$G$4:$G$40)*Semidetached!AN$15)+(LOOKUP(Semidetached!AN$2,'Floor-U'!$A$4:$A$40,'Floor-U'!$G$4:$G$40)*Semidetached!AN$16)+(LOOKUP(Semidetached!AN$2,'Wall-U'!$A$4:$A$40,'Wall-U'!$G$4:$G$40)*Semidetached!AN$13)+(LOOKUP(Semidetached!AN$2,'Window-U'!$A$4:$A$40,'Window-U'!$Q$4:$Q$40)*Semidetached!AN$22))*AN4</f>
        <v>1124.3150625663313</v>
      </c>
    </row>
    <row r="8" spans="1:40">
      <c r="A8" s="372"/>
      <c r="B8" s="142" t="s">
        <v>5</v>
      </c>
      <c r="C8" s="131" t="s">
        <v>195</v>
      </c>
      <c r="D8" s="176">
        <f>((LOOKUP(Semidetached!D$2,'Ceiling-U'!$A$4:$A$40,'Ceiling-U'!$H$4:$H$40)*Semidetached!D$15)+(LOOKUP(Semidetached!D$2,'Floor-U'!$A$4:$A$40,'Floor-U'!$H$4:$H$40)*Semidetached!D$16)+(LOOKUP(Semidetached!D$2,'Wall-U'!$A$4:$A$40,'Wall-U'!$H$4:$H$40)*Semidetached!D$13)+(LOOKUP(Semidetached!D$2,'Window-U'!$A$4:$A$40,'Window-U'!$Q$4:$Q$40)*Semidetached!D$22))*D4</f>
        <v>805.26035518518393</v>
      </c>
      <c r="E8" s="177">
        <f>((LOOKUP(Semidetached!E$2,'Ceiling-U'!$A$4:$A$40,'Ceiling-U'!$H$4:$H$40)*Semidetached!E$15)+(LOOKUP(Semidetached!E$2,'Floor-U'!$A$4:$A$40,'Floor-U'!$H$4:$H$40)*Semidetached!E$16)+(LOOKUP(Semidetached!E$2,'Wall-U'!$A$4:$A$40,'Wall-U'!$H$4:$H$40)*Semidetached!E$13)+(LOOKUP(Semidetached!E$2,'Window-U'!$A$4:$A$40,'Window-U'!$Q$4:$Q$40)*Semidetached!E$22))*E4</f>
        <v>1766.0900126659801</v>
      </c>
      <c r="F8" s="177">
        <f>((LOOKUP(Semidetached!F$2,'Ceiling-U'!$A$4:$A$40,'Ceiling-U'!$H$4:$H$40)*Semidetached!F$15)+(LOOKUP(Semidetached!F$2,'Floor-U'!$A$4:$A$40,'Floor-U'!$H$4:$H$40)*Semidetached!F$16)+(LOOKUP(Semidetached!F$2,'Wall-U'!$A$4:$A$40,'Wall-U'!$H$4:$H$40)*Semidetached!F$13)+(LOOKUP(Semidetached!F$2,'Window-U'!$A$4:$A$40,'Window-U'!$Q$4:$Q$40)*Semidetached!F$22))*F4</f>
        <v>919.06843434395546</v>
      </c>
      <c r="G8" s="177">
        <f>((LOOKUP(Semidetached!G$2,'Ceiling-U'!$A$4:$A$40,'Ceiling-U'!$H$4:$H$40)*Semidetached!G$15)+(LOOKUP(Semidetached!G$2,'Floor-U'!$A$4:$A$40,'Floor-U'!$H$4:$H$40)*Semidetached!G$16)+(LOOKUP(Semidetached!G$2,'Wall-U'!$A$4:$A$40,'Wall-U'!$H$4:$H$40)*Semidetached!G$13)+(LOOKUP(Semidetached!G$2,'Window-U'!$A$4:$A$40,'Window-U'!$Q$4:$Q$40)*Semidetached!G$22))*G4</f>
        <v>828.8303051164944</v>
      </c>
      <c r="H8" s="177">
        <f>((LOOKUP(Semidetached!H$2,'Ceiling-U'!$A$4:$A$40,'Ceiling-U'!$H$4:$H$40)*Semidetached!H$15)+(LOOKUP(Semidetached!H$2,'Floor-U'!$A$4:$A$40,'Floor-U'!$H$4:$H$40)*Semidetached!H$16)+(LOOKUP(Semidetached!H$2,'Wall-U'!$A$4:$A$40,'Wall-U'!$H$4:$H$40)*Semidetached!H$13)+(LOOKUP(Semidetached!H$2,'Window-U'!$A$4:$A$40,'Window-U'!$Q$4:$Q$40)*Semidetached!H$22))*H4</f>
        <v>2460.3620168138846</v>
      </c>
      <c r="I8" s="177">
        <f>((LOOKUP(Semidetached!I$2,'Ceiling-U'!$A$4:$A$40,'Ceiling-U'!$H$4:$H$40)*Semidetached!I$15)+(LOOKUP(Semidetached!I$2,'Floor-U'!$A$4:$A$40,'Floor-U'!$H$4:$H$40)*Semidetached!I$16)+(LOOKUP(Semidetached!I$2,'Wall-U'!$A$4:$A$40,'Wall-U'!$H$4:$H$40)*Semidetached!I$13)+(LOOKUP(Semidetached!I$2,'Window-U'!$A$4:$A$40,'Window-U'!$Q$4:$Q$40)*Semidetached!I$22))*I4</f>
        <v>864.51804357968126</v>
      </c>
      <c r="J8" s="177">
        <f>((LOOKUP(Semidetached!J$2,'Ceiling-U'!$A$4:$A$40,'Ceiling-U'!$H$4:$H$40)*Semidetached!J$15)+(LOOKUP(Semidetached!J$2,'Floor-U'!$A$4:$A$40,'Floor-U'!$H$4:$H$40)*Semidetached!J$16)+(LOOKUP(Semidetached!J$2,'Wall-U'!$A$4:$A$40,'Wall-U'!$H$4:$H$40)*Semidetached!J$13)+(LOOKUP(Semidetached!J$2,'Window-U'!$A$4:$A$40,'Window-U'!$Q$4:$Q$40)*Semidetached!J$22))*J4</f>
        <v>761.96906142644195</v>
      </c>
      <c r="K8" s="177">
        <f>((LOOKUP(Semidetached!K$2,'Ceiling-U'!$A$4:$A$40,'Ceiling-U'!$H$4:$H$40)*Semidetached!K$15)+(LOOKUP(Semidetached!K$2,'Floor-U'!$A$4:$A$40,'Floor-U'!$H$4:$H$40)*Semidetached!K$16)+(LOOKUP(Semidetached!K$2,'Wall-U'!$A$4:$A$40,'Wall-U'!$H$4:$H$40)*Semidetached!K$13)+(LOOKUP(Semidetached!K$2,'Window-U'!$A$4:$A$40,'Window-U'!$Q$4:$Q$40)*Semidetached!K$22))*K4</f>
        <v>528.06842920466499</v>
      </c>
      <c r="L8" s="177">
        <f>((LOOKUP(Semidetached!L$2,'Ceiling-U'!$A$4:$A$40,'Ceiling-U'!$H$4:$H$40)*Semidetached!L$15)+(LOOKUP(Semidetached!L$2,'Floor-U'!$A$4:$A$40,'Floor-U'!$H$4:$H$40)*Semidetached!L$16)+(LOOKUP(Semidetached!L$2,'Wall-U'!$A$4:$A$40,'Wall-U'!$H$4:$H$40)*Semidetached!L$13)+(LOOKUP(Semidetached!L$2,'Window-U'!$A$4:$A$40,'Window-U'!$Q$4:$Q$40)*Semidetached!L$22))*L4</f>
        <v>379.10141474991178</v>
      </c>
      <c r="M8" s="177">
        <f>((LOOKUP(Semidetached!M$2,'Ceiling-U'!$A$4:$A$40,'Ceiling-U'!$H$4:$H$40)*Semidetached!M$15)+(LOOKUP(Semidetached!M$2,'Floor-U'!$A$4:$A$40,'Floor-U'!$H$4:$H$40)*Semidetached!M$16)+(LOOKUP(Semidetached!M$2,'Wall-U'!$A$4:$A$40,'Wall-U'!$H$4:$H$40)*Semidetached!M$13)+(LOOKUP(Semidetached!M$2,'Window-U'!$A$4:$A$40,'Window-U'!$Q$4:$Q$40)*Semidetached!M$22))*M4</f>
        <v>1635.3632491349911</v>
      </c>
      <c r="N8" s="177">
        <f>((LOOKUP(Semidetached!N$2,'Ceiling-U'!$A$4:$A$40,'Ceiling-U'!$H$4:$H$40)*Semidetached!N$15)+(LOOKUP(Semidetached!N$2,'Floor-U'!$A$4:$A$40,'Floor-U'!$H$4:$H$40)*Semidetached!N$16)+(LOOKUP(Semidetached!N$2,'Wall-U'!$A$4:$A$40,'Wall-U'!$H$4:$H$40)*Semidetached!N$13)+(LOOKUP(Semidetached!N$2,'Window-U'!$A$4:$A$40,'Window-U'!$Q$4:$Q$40)*Semidetached!N$22))*N4</f>
        <v>441.91032628859284</v>
      </c>
      <c r="O8" s="177">
        <f>((LOOKUP(Semidetached!O$2,'Ceiling-U'!$A$4:$A$40,'Ceiling-U'!$H$4:$H$40)*Semidetached!O$15)+(LOOKUP(Semidetached!O$2,'Floor-U'!$A$4:$A$40,'Floor-U'!$H$4:$H$40)*Semidetached!O$16)+(LOOKUP(Semidetached!O$2,'Wall-U'!$A$4:$A$40,'Wall-U'!$H$4:$H$40)*Semidetached!O$13)+(LOOKUP(Semidetached!O$2,'Window-U'!$A$4:$A$40,'Window-U'!$Q$4:$Q$40)*Semidetached!O$22))*O4</f>
        <v>967.68411415878597</v>
      </c>
      <c r="P8" s="177">
        <f>((LOOKUP(Semidetached!P$2,'Ceiling-U'!$A$4:$A$40,'Ceiling-U'!$H$4:$H$40)*Semidetached!P$15)+(LOOKUP(Semidetached!P$2,'Floor-U'!$A$4:$A$40,'Floor-U'!$H$4:$H$40)*Semidetached!P$16)+(LOOKUP(Semidetached!P$2,'Wall-U'!$A$4:$A$40,'Wall-U'!$H$4:$H$40)*Semidetached!P$13)+(LOOKUP(Semidetached!P$2,'Window-U'!$A$4:$A$40,'Window-U'!$Q$4:$Q$40)*Semidetached!P$22))*P4</f>
        <v>1853.8892123504284</v>
      </c>
      <c r="Q8" s="177">
        <f>((LOOKUP(Semidetached!Q$2,'Ceiling-U'!$A$4:$A$40,'Ceiling-U'!$H$4:$H$40)*Semidetached!Q$15)+(LOOKUP(Semidetached!Q$2,'Floor-U'!$A$4:$A$40,'Floor-U'!$H$4:$H$40)*Semidetached!Q$16)+(LOOKUP(Semidetached!Q$2,'Wall-U'!$A$4:$A$40,'Wall-U'!$H$4:$H$40)*Semidetached!Q$13)+(LOOKUP(Semidetached!Q$2,'Window-U'!$A$4:$A$40,'Window-U'!$Q$4:$Q$40)*Semidetached!Q$22))*Q4</f>
        <v>1056.5486493836595</v>
      </c>
      <c r="R8" s="177">
        <f>((LOOKUP(Semidetached!R$2,'Ceiling-U'!$A$4:$A$40,'Ceiling-U'!$H$4:$H$40)*Semidetached!R$15)+(LOOKUP(Semidetached!R$2,'Floor-U'!$A$4:$A$40,'Floor-U'!$H$4:$H$40)*Semidetached!R$16)+(LOOKUP(Semidetached!R$2,'Wall-U'!$A$4:$A$40,'Wall-U'!$H$4:$H$40)*Semidetached!R$13)+(LOOKUP(Semidetached!R$2,'Window-U'!$A$4:$A$40,'Window-U'!$Q$4:$Q$40)*Semidetached!R$22))*R4</f>
        <v>888.23497501984434</v>
      </c>
      <c r="S8" s="177">
        <f>((LOOKUP(Semidetached!S$2,'Ceiling-U'!$A$4:$A$40,'Ceiling-U'!$H$4:$H$40)*Semidetached!S$15)+(LOOKUP(Semidetached!S$2,'Floor-U'!$A$4:$A$40,'Floor-U'!$H$4:$H$40)*Semidetached!S$16)+(LOOKUP(Semidetached!S$2,'Wall-U'!$A$4:$A$40,'Wall-U'!$H$4:$H$40)*Semidetached!S$13)+(LOOKUP(Semidetached!S$2,'Window-U'!$A$4:$A$40,'Window-U'!$Q$4:$Q$40)*Semidetached!S$22))*S4</f>
        <v>1080.1360820792959</v>
      </c>
      <c r="T8" s="177">
        <f>((LOOKUP(Semidetached!T$2,'Ceiling-U'!$A$4:$A$40,'Ceiling-U'!$H$4:$H$40)*Semidetached!T$15)+(LOOKUP(Semidetached!T$2,'Floor-U'!$A$4:$A$40,'Floor-U'!$H$4:$H$40)*Semidetached!T$16)+(LOOKUP(Semidetached!T$2,'Wall-U'!$A$4:$A$40,'Wall-U'!$H$4:$H$40)*Semidetached!T$13)+(LOOKUP(Semidetached!T$2,'Window-U'!$A$4:$A$40,'Window-U'!$Q$4:$Q$40)*Semidetached!T$22))*T4</f>
        <v>444.6214394108855</v>
      </c>
      <c r="U8" s="177">
        <f>((LOOKUP(Semidetached!U$2,'Ceiling-U'!$A$4:$A$40,'Ceiling-U'!$H$4:$H$40)*Semidetached!U$15)+(LOOKUP(Semidetached!U$2,'Floor-U'!$A$4:$A$40,'Floor-U'!$H$4:$H$40)*Semidetached!U$16)+(LOOKUP(Semidetached!U$2,'Wall-U'!$A$4:$A$40,'Wall-U'!$H$4:$H$40)*Semidetached!U$13)+(LOOKUP(Semidetached!U$2,'Window-U'!$A$4:$A$40,'Window-U'!$Q$4:$Q$40)*Semidetached!U$22))*U4</f>
        <v>1684.0559673898572</v>
      </c>
      <c r="V8" s="177">
        <f>((LOOKUP(Semidetached!V$2,'Ceiling-U'!$A$4:$A$40,'Ceiling-U'!$H$4:$H$40)*Semidetached!V$15)+(LOOKUP(Semidetached!V$2,'Floor-U'!$A$4:$A$40,'Floor-U'!$H$4:$H$40)*Semidetached!V$16)+(LOOKUP(Semidetached!V$2,'Wall-U'!$A$4:$A$40,'Wall-U'!$H$4:$H$40)*Semidetached!V$13)+(LOOKUP(Semidetached!V$2,'Window-U'!$A$4:$A$40,'Window-U'!$Q$4:$Q$40)*Semidetached!V$22))*V4</f>
        <v>695.5998812626907</v>
      </c>
      <c r="W8" s="177">
        <f>((LOOKUP(Semidetached!W$2,'Ceiling-U'!$A$4:$A$40,'Ceiling-U'!$H$4:$H$40)*Semidetached!W$15)+(LOOKUP(Semidetached!W$2,'Floor-U'!$A$4:$A$40,'Floor-U'!$H$4:$H$40)*Semidetached!W$16)+(LOOKUP(Semidetached!W$2,'Wall-U'!$A$4:$A$40,'Wall-U'!$H$4:$H$40)*Semidetached!W$13)+(LOOKUP(Semidetached!W$2,'Window-U'!$A$4:$A$40,'Window-U'!$Q$4:$Q$40)*Semidetached!W$22))*W4</f>
        <v>455.59667536935831</v>
      </c>
      <c r="X8" s="177">
        <f>((LOOKUP(Semidetached!X$2,'Ceiling-U'!$A$4:$A$40,'Ceiling-U'!$H$4:$H$40)*Semidetached!X$15)+(LOOKUP(Semidetached!X$2,'Floor-U'!$A$4:$A$40,'Floor-U'!$H$4:$H$40)*Semidetached!X$16)+(LOOKUP(Semidetached!X$2,'Wall-U'!$A$4:$A$40,'Wall-U'!$H$4:$H$40)*Semidetached!X$13)+(LOOKUP(Semidetached!X$2,'Window-U'!$A$4:$A$40,'Window-U'!$Q$4:$Q$40)*Semidetached!X$22))*X4</f>
        <v>601.85150762393187</v>
      </c>
      <c r="Y8" s="177">
        <f>((LOOKUP(Semidetached!Y$2,'Ceiling-U'!$A$4:$A$40,'Ceiling-U'!$H$4:$H$40)*Semidetached!Y$15)+(LOOKUP(Semidetached!Y$2,'Floor-U'!$A$4:$A$40,'Floor-U'!$H$4:$H$40)*Semidetached!Y$16)+(LOOKUP(Semidetached!Y$2,'Wall-U'!$A$4:$A$40,'Wall-U'!$H$4:$H$40)*Semidetached!Y$13)+(LOOKUP(Semidetached!Y$2,'Window-U'!$A$4:$A$40,'Window-U'!$Q$4:$Q$40)*Semidetached!Y$22))*Y4</f>
        <v>2362.4533651914321</v>
      </c>
      <c r="Z8" s="177">
        <f>((LOOKUP(Semidetached!Z$2,'Ceiling-U'!$A$4:$A$40,'Ceiling-U'!$H$4:$H$40)*Semidetached!Z$15)+(LOOKUP(Semidetached!Z$2,'Floor-U'!$A$4:$A$40,'Floor-U'!$H$4:$H$40)*Semidetached!Z$16)+(LOOKUP(Semidetached!Z$2,'Wall-U'!$A$4:$A$40,'Wall-U'!$H$4:$H$40)*Semidetached!Z$13)+(LOOKUP(Semidetached!Z$2,'Window-U'!$A$4:$A$40,'Window-U'!$Q$4:$Q$40)*Semidetached!Z$22))*Z4</f>
        <v>1071.1704605985774</v>
      </c>
      <c r="AA8" s="177">
        <f>((LOOKUP(Semidetached!AA$2,'Ceiling-U'!$A$4:$A$40,'Ceiling-U'!$H$4:$H$40)*Semidetached!AA$15)+(LOOKUP(Semidetached!AA$2,'Floor-U'!$A$4:$A$40,'Floor-U'!$H$4:$H$40)*Semidetached!AA$16)+(LOOKUP(Semidetached!AA$2,'Wall-U'!$A$4:$A$40,'Wall-U'!$H$4:$H$40)*Semidetached!AA$13)+(LOOKUP(Semidetached!AA$2,'Window-U'!$A$4:$A$40,'Window-U'!$Q$4:$Q$40)*Semidetached!AA$22))*AA4</f>
        <v>421.1608677462483</v>
      </c>
      <c r="AB8" s="177">
        <f>((LOOKUP(Semidetached!AB$2,'Ceiling-U'!$A$4:$A$40,'Ceiling-U'!$H$4:$H$40)*Semidetached!AB$15)+(LOOKUP(Semidetached!AB$2,'Floor-U'!$A$4:$A$40,'Floor-U'!$H$4:$H$40)*Semidetached!AB$16)+(LOOKUP(Semidetached!AB$2,'Wall-U'!$A$4:$A$40,'Wall-U'!$H$4:$H$40)*Semidetached!AB$13)+(LOOKUP(Semidetached!AB$2,'Window-U'!$A$4:$A$40,'Window-U'!$Q$4:$Q$40)*Semidetached!AB$22))*AB4</f>
        <v>888.91369461679699</v>
      </c>
      <c r="AC8" s="177">
        <f>((LOOKUP(Semidetached!AC$2,'Ceiling-U'!$A$4:$A$40,'Ceiling-U'!$H$4:$H$40)*Semidetached!AC$15)+(LOOKUP(Semidetached!AC$2,'Floor-U'!$A$4:$A$40,'Floor-U'!$H$4:$H$40)*Semidetached!AC$16)+(LOOKUP(Semidetached!AC$2,'Wall-U'!$A$4:$A$40,'Wall-U'!$H$4:$H$40)*Semidetached!AC$13)+(LOOKUP(Semidetached!AC$2,'Window-U'!$A$4:$A$40,'Window-U'!$Q$4:$Q$40)*Semidetached!AC$22))*AC4</f>
        <v>2491.0900687815015</v>
      </c>
      <c r="AD8" s="177">
        <f>((LOOKUP(Semidetached!AD$2,'Ceiling-U'!$A$4:$A$40,'Ceiling-U'!$H$4:$H$40)*Semidetached!AD$15)+(LOOKUP(Semidetached!AD$2,'Floor-U'!$A$4:$A$40,'Floor-U'!$H$4:$H$40)*Semidetached!AD$16)+(LOOKUP(Semidetached!AD$2,'Wall-U'!$A$4:$A$40,'Wall-U'!$H$4:$H$40)*Semidetached!AD$13)+(LOOKUP(Semidetached!AD$2,'Window-U'!$A$4:$A$40,'Window-U'!$Q$4:$Q$40)*Semidetached!AD$22))*AD4</f>
        <v>1159.5844517609996</v>
      </c>
      <c r="AE8" s="177">
        <f>((LOOKUP(Semidetached!AE$2,'Ceiling-U'!$A$4:$A$40,'Ceiling-U'!$H$4:$H$40)*Semidetached!AE$15)+(LOOKUP(Semidetached!AE$2,'Floor-U'!$A$4:$A$40,'Floor-U'!$H$4:$H$40)*Semidetached!AE$16)+(LOOKUP(Semidetached!AE$2,'Wall-U'!$A$4:$A$40,'Wall-U'!$H$4:$H$40)*Semidetached!AE$13)+(LOOKUP(Semidetached!AE$2,'Window-U'!$A$4:$A$40,'Window-U'!$Q$4:$Q$40)*Semidetached!AE$22))*AE4</f>
        <v>415.92254037812302</v>
      </c>
      <c r="AF8" s="177">
        <f>((LOOKUP(Semidetached!AF$2,'Ceiling-U'!$A$4:$A$40,'Ceiling-U'!$H$4:$H$40)*Semidetached!AF$15)+(LOOKUP(Semidetached!AF$2,'Floor-U'!$A$4:$A$40,'Floor-U'!$H$4:$H$40)*Semidetached!AF$16)+(LOOKUP(Semidetached!AF$2,'Wall-U'!$A$4:$A$40,'Wall-U'!$H$4:$H$40)*Semidetached!AF$13)+(LOOKUP(Semidetached!AF$2,'Window-U'!$A$4:$A$40,'Window-U'!$Q$4:$Q$40)*Semidetached!AF$22))*AF4</f>
        <v>1001.1755272130995</v>
      </c>
      <c r="AG8" s="177">
        <f>((LOOKUP(Semidetached!AG$2,'Ceiling-U'!$A$4:$A$40,'Ceiling-U'!$H$4:$H$40)*Semidetached!AG$15)+(LOOKUP(Semidetached!AG$2,'Floor-U'!$A$4:$A$40,'Floor-U'!$H$4:$H$40)*Semidetached!AG$16)+(LOOKUP(Semidetached!AG$2,'Wall-U'!$A$4:$A$40,'Wall-U'!$H$4:$H$40)*Semidetached!AG$13)+(LOOKUP(Semidetached!AG$2,'Window-U'!$A$4:$A$40,'Window-U'!$Q$4:$Q$40)*Semidetached!AG$22))*AG4</f>
        <v>1343.4728715675635</v>
      </c>
      <c r="AH8" s="177">
        <f>((LOOKUP(Semidetached!AH$2,'Ceiling-U'!$A$4:$A$40,'Ceiling-U'!$H$4:$H$40)*Semidetached!AH$15)+(LOOKUP(Semidetached!AH$2,'Floor-U'!$A$4:$A$40,'Floor-U'!$H$4:$H$40)*Semidetached!AH$16)+(LOOKUP(Semidetached!AH$2,'Wall-U'!$A$4:$A$40,'Wall-U'!$H$4:$H$40)*Semidetached!AH$13)+(LOOKUP(Semidetached!AH$2,'Window-U'!$A$4:$A$40,'Window-U'!$Q$4:$Q$40)*Semidetached!AH$22))*AH4</f>
        <v>718.80720205467173</v>
      </c>
      <c r="AI8" s="177">
        <f>((LOOKUP(Semidetached!AI$2,'Ceiling-U'!$A$4:$A$40,'Ceiling-U'!$H$4:$H$40)*Semidetached!AI$15)+(LOOKUP(Semidetached!AI$2,'Floor-U'!$A$4:$A$40,'Floor-U'!$H$4:$H$40)*Semidetached!AI$16)+(LOOKUP(Semidetached!AI$2,'Wall-U'!$A$4:$A$40,'Wall-U'!$H$4:$H$40)*Semidetached!AI$13)+(LOOKUP(Semidetached!AI$2,'Window-U'!$A$4:$A$40,'Window-U'!$Q$4:$Q$40)*Semidetached!AI$22))*AI4</f>
        <v>2697.9243651427487</v>
      </c>
      <c r="AJ8" s="177">
        <f>((LOOKUP(Semidetached!AJ$2,'Ceiling-U'!$A$4:$A$40,'Ceiling-U'!$H$4:$H$40)*Semidetached!AJ$15)+(LOOKUP(Semidetached!AJ$2,'Floor-U'!$A$4:$A$40,'Floor-U'!$H$4:$H$40)*Semidetached!AJ$16)+(LOOKUP(Semidetached!AJ$2,'Wall-U'!$A$4:$A$40,'Wall-U'!$H$4:$H$40)*Semidetached!AJ$13)+(LOOKUP(Semidetached!AJ$2,'Window-U'!$A$4:$A$40,'Window-U'!$Q$4:$Q$40)*Semidetached!AJ$22))*AJ4</f>
        <v>940.34122086252319</v>
      </c>
      <c r="AK8" s="177">
        <f>((LOOKUP(Semidetached!AK$2,'Ceiling-U'!$A$4:$A$40,'Ceiling-U'!$H$4:$H$40)*Semidetached!AK$15)+(LOOKUP(Semidetached!AK$2,'Floor-U'!$A$4:$A$40,'Floor-U'!$H$4:$H$40)*Semidetached!AK$16)+(LOOKUP(Semidetached!AK$2,'Wall-U'!$A$4:$A$40,'Wall-U'!$H$4:$H$40)*Semidetached!AK$13)+(LOOKUP(Semidetached!AK$2,'Window-U'!$A$4:$A$40,'Window-U'!$Q$4:$Q$40)*Semidetached!AK$22))*AK4</f>
        <v>1143.7503261895513</v>
      </c>
      <c r="AL8" s="177">
        <f>((LOOKUP(Semidetached!AL$2,'Ceiling-U'!$A$4:$A$40,'Ceiling-U'!$H$4:$H$40)*Semidetached!AL$15)+(LOOKUP(Semidetached!AL$2,'Floor-U'!$A$4:$A$40,'Floor-U'!$H$4:$H$40)*Semidetached!AL$16)+(LOOKUP(Semidetached!AL$2,'Wall-U'!$A$4:$A$40,'Wall-U'!$H$4:$H$40)*Semidetached!AL$13)+(LOOKUP(Semidetached!AL$2,'Window-U'!$A$4:$A$40,'Window-U'!$Q$4:$Q$40)*Semidetached!AL$22))*AL4</f>
        <v>965.18525528797966</v>
      </c>
      <c r="AM8" s="177">
        <f>((LOOKUP(Semidetached!AM$2,'Ceiling-U'!$A$4:$A$40,'Ceiling-U'!$H$4:$H$40)*Semidetached!AM$15)+(LOOKUP(Semidetached!AM$2,'Floor-U'!$A$4:$A$40,'Floor-U'!$H$4:$H$40)*Semidetached!AM$16)+(LOOKUP(Semidetached!AM$2,'Wall-U'!$A$4:$A$40,'Wall-U'!$H$4:$H$40)*Semidetached!AM$13)+(LOOKUP(Semidetached!AM$2,'Window-U'!$A$4:$A$40,'Window-U'!$Q$4:$Q$40)*Semidetached!AM$22))*AM4</f>
        <v>940.34122086252319</v>
      </c>
      <c r="AN8" s="178">
        <f>((LOOKUP(Semidetached!AN$2,'Ceiling-U'!$A$4:$A$40,'Ceiling-U'!$H$4:$H$40)*Semidetached!AN$15)+(LOOKUP(Semidetached!AN$2,'Floor-U'!$A$4:$A$40,'Floor-U'!$H$4:$H$40)*Semidetached!AN$16)+(LOOKUP(Semidetached!AN$2,'Wall-U'!$A$4:$A$40,'Wall-U'!$H$4:$H$40)*Semidetached!AN$13)+(LOOKUP(Semidetached!AN$2,'Window-U'!$A$4:$A$40,'Window-U'!$Q$4:$Q$40)*Semidetached!AN$22))*AN4</f>
        <v>940.34122086252319</v>
      </c>
    </row>
    <row r="9" spans="1:40">
      <c r="A9" s="372"/>
      <c r="B9" s="142" t="s">
        <v>6</v>
      </c>
      <c r="C9" s="131" t="s">
        <v>195</v>
      </c>
      <c r="D9" s="176">
        <f>((LOOKUP(Semidetached!D$2,'Ceiling-U'!$A$4:$A$40,'Ceiling-U'!$I$4:$I$40)*Semidetached!D$15)+(LOOKUP(Semidetached!D$2,'Floor-U'!$A$4:$A$40,'Floor-U'!$I$4:$I$40)*Semidetached!D$16)+(LOOKUP(Semidetached!D$2,'Wall-U'!$A$4:$A$40,'Wall-U'!$I$4:$I$40)*Semidetached!D$13)+(LOOKUP(Semidetached!D$2,'Window-U'!$A$4:$A$40,'Window-U'!$Q$4:$Q$40)*Semidetached!D$22))*D4</f>
        <v>689.45011608824711</v>
      </c>
      <c r="E9" s="177">
        <f>((LOOKUP(Semidetached!E$2,'Ceiling-U'!$A$4:$A$40,'Ceiling-U'!$I$4:$I$40)*Semidetached!E$15)+(LOOKUP(Semidetached!E$2,'Floor-U'!$A$4:$A$40,'Floor-U'!$I$4:$I$40)*Semidetached!E$16)+(LOOKUP(Semidetached!E$2,'Wall-U'!$A$4:$A$40,'Wall-U'!$I$4:$I$40)*Semidetached!E$13)+(LOOKUP(Semidetached!E$2,'Window-U'!$A$4:$A$40,'Window-U'!$Q$4:$Q$40)*Semidetached!E$22))*E4</f>
        <v>1766.0900126659801</v>
      </c>
      <c r="F9" s="177">
        <f>((LOOKUP(Semidetached!F$2,'Ceiling-U'!$A$4:$A$40,'Ceiling-U'!$I$4:$I$40)*Semidetached!F$15)+(LOOKUP(Semidetached!F$2,'Floor-U'!$A$4:$A$40,'Floor-U'!$I$4:$I$40)*Semidetached!F$16)+(LOOKUP(Semidetached!F$2,'Wall-U'!$A$4:$A$40,'Wall-U'!$I$4:$I$40)*Semidetached!F$13)+(LOOKUP(Semidetached!F$2,'Window-U'!$A$4:$A$40,'Window-U'!$Q$4:$Q$40)*Semidetached!F$22))*F4</f>
        <v>681.12259011953586</v>
      </c>
      <c r="G9" s="177">
        <f>((LOOKUP(Semidetached!G$2,'Ceiling-U'!$A$4:$A$40,'Ceiling-U'!$I$4:$I$40)*Semidetached!G$15)+(LOOKUP(Semidetached!G$2,'Floor-U'!$A$4:$A$40,'Floor-U'!$I$4:$I$40)*Semidetached!G$16)+(LOOKUP(Semidetached!G$2,'Wall-U'!$A$4:$A$40,'Wall-U'!$I$4:$I$40)*Semidetached!G$13)+(LOOKUP(Semidetached!G$2,'Window-U'!$A$4:$A$40,'Window-U'!$Q$4:$Q$40)*Semidetached!G$22))*G4</f>
        <v>709.30579520782317</v>
      </c>
      <c r="H9" s="177">
        <f>((LOOKUP(Semidetached!H$2,'Ceiling-U'!$A$4:$A$40,'Ceiling-U'!$I$4:$I$40)*Semidetached!H$15)+(LOOKUP(Semidetached!H$2,'Floor-U'!$A$4:$A$40,'Floor-U'!$I$4:$I$40)*Semidetached!H$16)+(LOOKUP(Semidetached!H$2,'Wall-U'!$A$4:$A$40,'Wall-U'!$I$4:$I$40)*Semidetached!H$13)+(LOOKUP(Semidetached!H$2,'Window-U'!$A$4:$A$40,'Window-U'!$Q$4:$Q$40)*Semidetached!H$22))*H4</f>
        <v>2460.3620168138846</v>
      </c>
      <c r="I9" s="177">
        <f>((LOOKUP(Semidetached!I$2,'Ceiling-U'!$A$4:$A$40,'Ceiling-U'!$I$4:$I$40)*Semidetached!I$15)+(LOOKUP(Semidetached!I$2,'Floor-U'!$A$4:$A$40,'Floor-U'!$I$4:$I$40)*Semidetached!I$16)+(LOOKUP(Semidetached!I$2,'Wall-U'!$A$4:$A$40,'Wall-U'!$I$4:$I$40)*Semidetached!I$13)+(LOOKUP(Semidetached!I$2,'Window-U'!$A$4:$A$40,'Window-U'!$Q$4:$Q$40)*Semidetached!I$22))*I4</f>
        <v>640.382867256022</v>
      </c>
      <c r="J9" s="177">
        <f>((LOOKUP(Semidetached!J$2,'Ceiling-U'!$A$4:$A$40,'Ceiling-U'!$I$4:$I$40)*Semidetached!J$15)+(LOOKUP(Semidetached!J$2,'Floor-U'!$A$4:$A$40,'Floor-U'!$I$4:$I$40)*Semidetached!J$16)+(LOOKUP(Semidetached!J$2,'Wall-U'!$A$4:$A$40,'Wall-U'!$I$4:$I$40)*Semidetached!J$13)+(LOOKUP(Semidetached!J$2,'Window-U'!$A$4:$A$40,'Window-U'!$Q$4:$Q$40)*Semidetached!J$22))*J4</f>
        <v>467.00086812015866</v>
      </c>
      <c r="K9" s="177">
        <f>((LOOKUP(Semidetached!K$2,'Ceiling-U'!$A$4:$A$40,'Ceiling-U'!$I$4:$I$40)*Semidetached!K$15)+(LOOKUP(Semidetached!K$2,'Floor-U'!$A$4:$A$40,'Floor-U'!$I$4:$I$40)*Semidetached!K$16)+(LOOKUP(Semidetached!K$2,'Wall-U'!$A$4:$A$40,'Wall-U'!$I$4:$I$40)*Semidetached!K$13)+(LOOKUP(Semidetached!K$2,'Window-U'!$A$4:$A$40,'Window-U'!$Q$4:$Q$40)*Semidetached!K$22))*K4</f>
        <v>528.06842920466499</v>
      </c>
      <c r="L9" s="177">
        <f>((LOOKUP(Semidetached!L$2,'Ceiling-U'!$A$4:$A$40,'Ceiling-U'!$I$4:$I$40)*Semidetached!L$15)+(LOOKUP(Semidetached!L$2,'Floor-U'!$A$4:$A$40,'Floor-U'!$I$4:$I$40)*Semidetached!L$16)+(LOOKUP(Semidetached!L$2,'Wall-U'!$A$4:$A$40,'Wall-U'!$I$4:$I$40)*Semidetached!L$13)+(LOOKUP(Semidetached!L$2,'Window-U'!$A$4:$A$40,'Window-U'!$Q$4:$Q$40)*Semidetached!L$22))*L4</f>
        <v>331.85650335977789</v>
      </c>
      <c r="M9" s="177">
        <f>((LOOKUP(Semidetached!M$2,'Ceiling-U'!$A$4:$A$40,'Ceiling-U'!$I$4:$I$40)*Semidetached!M$15)+(LOOKUP(Semidetached!M$2,'Floor-U'!$A$4:$A$40,'Floor-U'!$I$4:$I$40)*Semidetached!M$16)+(LOOKUP(Semidetached!M$2,'Wall-U'!$A$4:$A$40,'Wall-U'!$I$4:$I$40)*Semidetached!M$13)+(LOOKUP(Semidetached!M$2,'Window-U'!$A$4:$A$40,'Window-U'!$Q$4:$Q$40)*Semidetached!M$22))*M4</f>
        <v>1635.3632491349911</v>
      </c>
      <c r="N9" s="177">
        <f>((LOOKUP(Semidetached!N$2,'Ceiling-U'!$A$4:$A$40,'Ceiling-U'!$I$4:$I$40)*Semidetached!N$15)+(LOOKUP(Semidetached!N$2,'Floor-U'!$A$4:$A$40,'Floor-U'!$I$4:$I$40)*Semidetached!N$16)+(LOOKUP(Semidetached!N$2,'Wall-U'!$A$4:$A$40,'Wall-U'!$I$4:$I$40)*Semidetached!N$13)+(LOOKUP(Semidetached!N$2,'Window-U'!$A$4:$A$40,'Window-U'!$Q$4:$Q$40)*Semidetached!N$22))*N4</f>
        <v>435.24065184529934</v>
      </c>
      <c r="O9" s="177">
        <f>((LOOKUP(Semidetached!O$2,'Ceiling-U'!$A$4:$A$40,'Ceiling-U'!$I$4:$I$40)*Semidetached!O$15)+(LOOKUP(Semidetached!O$2,'Floor-U'!$A$4:$A$40,'Floor-U'!$I$4:$I$40)*Semidetached!O$16)+(LOOKUP(Semidetached!O$2,'Wall-U'!$A$4:$A$40,'Wall-U'!$I$4:$I$40)*Semidetached!O$13)+(LOOKUP(Semidetached!O$2,'Window-U'!$A$4:$A$40,'Window-U'!$Q$4:$Q$40)*Semidetached!O$22))*O4</f>
        <v>565.04083268905026</v>
      </c>
      <c r="P9" s="177">
        <f>((LOOKUP(Semidetached!P$2,'Ceiling-U'!$A$4:$A$40,'Ceiling-U'!$I$4:$I$40)*Semidetached!P$15)+(LOOKUP(Semidetached!P$2,'Floor-U'!$A$4:$A$40,'Floor-U'!$I$4:$I$40)*Semidetached!P$16)+(LOOKUP(Semidetached!P$2,'Wall-U'!$A$4:$A$40,'Wall-U'!$I$4:$I$40)*Semidetached!P$13)+(LOOKUP(Semidetached!P$2,'Window-U'!$A$4:$A$40,'Window-U'!$Q$4:$Q$40)*Semidetached!P$22))*P4</f>
        <v>1853.8892123504284</v>
      </c>
      <c r="Q9" s="177">
        <f>((LOOKUP(Semidetached!Q$2,'Ceiling-U'!$A$4:$A$40,'Ceiling-U'!$I$4:$I$40)*Semidetached!Q$15)+(LOOKUP(Semidetached!Q$2,'Floor-U'!$A$4:$A$40,'Floor-U'!$I$4:$I$40)*Semidetached!Q$16)+(LOOKUP(Semidetached!Q$2,'Wall-U'!$A$4:$A$40,'Wall-U'!$I$4:$I$40)*Semidetached!Q$13)+(LOOKUP(Semidetached!Q$2,'Window-U'!$A$4:$A$40,'Window-U'!$Q$4:$Q$40)*Semidetached!Q$22))*Q4</f>
        <v>733.44420880005555</v>
      </c>
      <c r="R9" s="177">
        <f>((LOOKUP(Semidetached!R$2,'Ceiling-U'!$A$4:$A$40,'Ceiling-U'!$I$4:$I$40)*Semidetached!R$15)+(LOOKUP(Semidetached!R$2,'Floor-U'!$A$4:$A$40,'Floor-U'!$I$4:$I$40)*Semidetached!R$16)+(LOOKUP(Semidetached!R$2,'Wall-U'!$A$4:$A$40,'Wall-U'!$I$4:$I$40)*Semidetached!R$13)+(LOOKUP(Semidetached!R$2,'Window-U'!$A$4:$A$40,'Window-U'!$Q$4:$Q$40)*Semidetached!R$22))*R4</f>
        <v>888.23497501984434</v>
      </c>
      <c r="S9" s="177">
        <f>((LOOKUP(Semidetached!S$2,'Ceiling-U'!$A$4:$A$40,'Ceiling-U'!$I$4:$I$40)*Semidetached!S$15)+(LOOKUP(Semidetached!S$2,'Floor-U'!$A$4:$A$40,'Floor-U'!$I$4:$I$40)*Semidetached!S$16)+(LOOKUP(Semidetached!S$2,'Wall-U'!$A$4:$A$40,'Wall-U'!$I$4:$I$40)*Semidetached!S$13)+(LOOKUP(Semidetached!S$2,'Window-U'!$A$4:$A$40,'Window-U'!$Q$4:$Q$40)*Semidetached!S$22))*S4</f>
        <v>897.98882245770346</v>
      </c>
      <c r="T9" s="177">
        <f>((LOOKUP(Semidetached!T$2,'Ceiling-U'!$A$4:$A$40,'Ceiling-U'!$I$4:$I$40)*Semidetached!T$15)+(LOOKUP(Semidetached!T$2,'Floor-U'!$A$4:$A$40,'Floor-U'!$I$4:$I$40)*Semidetached!T$16)+(LOOKUP(Semidetached!T$2,'Wall-U'!$A$4:$A$40,'Wall-U'!$I$4:$I$40)*Semidetached!T$13)+(LOOKUP(Semidetached!T$2,'Window-U'!$A$4:$A$40,'Window-U'!$Q$4:$Q$40)*Semidetached!T$22))*T4</f>
        <v>437.88706248682183</v>
      </c>
      <c r="U9" s="177">
        <f>((LOOKUP(Semidetached!U$2,'Ceiling-U'!$A$4:$A$40,'Ceiling-U'!$I$4:$I$40)*Semidetached!U$15)+(LOOKUP(Semidetached!U$2,'Floor-U'!$A$4:$A$40,'Floor-U'!$I$4:$I$40)*Semidetached!U$16)+(LOOKUP(Semidetached!U$2,'Wall-U'!$A$4:$A$40,'Wall-U'!$I$4:$I$40)*Semidetached!U$13)+(LOOKUP(Semidetached!U$2,'Window-U'!$A$4:$A$40,'Window-U'!$Q$4:$Q$40)*Semidetached!U$22))*U4</f>
        <v>1536.3489465778139</v>
      </c>
      <c r="V9" s="177">
        <f>((LOOKUP(Semidetached!V$2,'Ceiling-U'!$A$4:$A$40,'Ceiling-U'!$I$4:$I$40)*Semidetached!V$15)+(LOOKUP(Semidetached!V$2,'Floor-U'!$A$4:$A$40,'Floor-U'!$I$4:$I$40)*Semidetached!V$16)+(LOOKUP(Semidetached!V$2,'Wall-U'!$A$4:$A$40,'Wall-U'!$I$4:$I$40)*Semidetached!V$13)+(LOOKUP(Semidetached!V$2,'Window-U'!$A$4:$A$40,'Window-U'!$Q$4:$Q$40)*Semidetached!V$22))*V4</f>
        <v>695.5998812626907</v>
      </c>
      <c r="W9" s="177">
        <f>((LOOKUP(Semidetached!W$2,'Ceiling-U'!$A$4:$A$40,'Ceiling-U'!$I$4:$I$40)*Semidetached!W$15)+(LOOKUP(Semidetached!W$2,'Floor-U'!$A$4:$A$40,'Floor-U'!$I$4:$I$40)*Semidetached!W$16)+(LOOKUP(Semidetached!W$2,'Wall-U'!$A$4:$A$40,'Wall-U'!$I$4:$I$40)*Semidetached!W$13)+(LOOKUP(Semidetached!W$2,'Window-U'!$A$4:$A$40,'Window-U'!$Q$4:$Q$40)*Semidetached!W$22))*W4</f>
        <v>399.40154954772595</v>
      </c>
      <c r="X9" s="177">
        <f>((LOOKUP(Semidetached!X$2,'Ceiling-U'!$A$4:$A$40,'Ceiling-U'!$I$4:$I$40)*Semidetached!X$15)+(LOOKUP(Semidetached!X$2,'Floor-U'!$A$4:$A$40,'Floor-U'!$I$4:$I$40)*Semidetached!X$16)+(LOOKUP(Semidetached!X$2,'Wall-U'!$A$4:$A$40,'Wall-U'!$I$4:$I$40)*Semidetached!X$13)+(LOOKUP(Semidetached!X$2,'Window-U'!$A$4:$A$40,'Window-U'!$Q$4:$Q$40)*Semidetached!X$22))*X4</f>
        <v>588.41242278122456</v>
      </c>
      <c r="Y9" s="177">
        <f>((LOOKUP(Semidetached!Y$2,'Ceiling-U'!$A$4:$A$40,'Ceiling-U'!$I$4:$I$40)*Semidetached!Y$15)+(LOOKUP(Semidetached!Y$2,'Floor-U'!$A$4:$A$40,'Floor-U'!$I$4:$I$40)*Semidetached!Y$16)+(LOOKUP(Semidetached!Y$2,'Wall-U'!$A$4:$A$40,'Wall-U'!$I$4:$I$40)*Semidetached!Y$13)+(LOOKUP(Semidetached!Y$2,'Window-U'!$A$4:$A$40,'Window-U'!$Q$4:$Q$40)*Semidetached!Y$22))*Y4</f>
        <v>2301.5765333932541</v>
      </c>
      <c r="Z9" s="177">
        <f>((LOOKUP(Semidetached!Z$2,'Ceiling-U'!$A$4:$A$40,'Ceiling-U'!$I$4:$I$40)*Semidetached!Z$15)+(LOOKUP(Semidetached!Z$2,'Floor-U'!$A$4:$A$40,'Floor-U'!$I$4:$I$40)*Semidetached!Z$16)+(LOOKUP(Semidetached!Z$2,'Wall-U'!$A$4:$A$40,'Wall-U'!$I$4:$I$40)*Semidetached!Z$13)+(LOOKUP(Semidetached!Z$2,'Window-U'!$A$4:$A$40,'Window-U'!$Q$4:$Q$40)*Semidetached!Z$22))*Z4</f>
        <v>965.9489402786412</v>
      </c>
      <c r="AA9" s="177">
        <f>((LOOKUP(Semidetached!AA$2,'Ceiling-U'!$A$4:$A$40,'Ceiling-U'!$I$4:$I$40)*Semidetached!AA$15)+(LOOKUP(Semidetached!AA$2,'Floor-U'!$A$4:$A$40,'Floor-U'!$I$4:$I$40)*Semidetached!AA$16)+(LOOKUP(Semidetached!AA$2,'Wall-U'!$A$4:$A$40,'Wall-U'!$I$4:$I$40)*Semidetached!AA$13)+(LOOKUP(Semidetached!AA$2,'Window-U'!$A$4:$A$40,'Window-U'!$Q$4:$Q$40)*Semidetached!AA$22))*AA4</f>
        <v>370.62695034589444</v>
      </c>
      <c r="AB9" s="177">
        <f>((LOOKUP(Semidetached!AB$2,'Ceiling-U'!$A$4:$A$40,'Ceiling-U'!$I$4:$I$40)*Semidetached!AB$15)+(LOOKUP(Semidetached!AB$2,'Floor-U'!$A$4:$A$40,'Floor-U'!$I$4:$I$40)*Semidetached!AB$16)+(LOOKUP(Semidetached!AB$2,'Wall-U'!$A$4:$A$40,'Wall-U'!$I$4:$I$40)*Semidetached!AB$13)+(LOOKUP(Semidetached!AB$2,'Window-U'!$A$4:$A$40,'Window-U'!$Q$4:$Q$40)*Semidetached!AB$22))*AB4</f>
        <v>888.91369461679699</v>
      </c>
      <c r="AC9" s="177">
        <f>((LOOKUP(Semidetached!AC$2,'Ceiling-U'!$A$4:$A$40,'Ceiling-U'!$I$4:$I$40)*Semidetached!AC$15)+(LOOKUP(Semidetached!AC$2,'Floor-U'!$A$4:$A$40,'Floor-U'!$I$4:$I$40)*Semidetached!AC$16)+(LOOKUP(Semidetached!AC$2,'Wall-U'!$A$4:$A$40,'Wall-U'!$I$4:$I$40)*Semidetached!AC$13)+(LOOKUP(Semidetached!AC$2,'Window-U'!$A$4:$A$40,'Window-U'!$Q$4:$Q$40)*Semidetached!AC$22))*AC4</f>
        <v>2281.0114165465675</v>
      </c>
      <c r="AD9" s="177">
        <f>((LOOKUP(Semidetached!AD$2,'Ceiling-U'!$A$4:$A$40,'Ceiling-U'!$I$4:$I$40)*Semidetached!AD$15)+(LOOKUP(Semidetached!AD$2,'Floor-U'!$A$4:$A$40,'Floor-U'!$I$4:$I$40)*Semidetached!AD$16)+(LOOKUP(Semidetached!AD$2,'Wall-U'!$A$4:$A$40,'Wall-U'!$I$4:$I$40)*Semidetached!AD$13)+(LOOKUP(Semidetached!AD$2,'Window-U'!$A$4:$A$40,'Window-U'!$Q$4:$Q$40)*Semidetached!AD$22))*AD4</f>
        <v>1159.5844517609996</v>
      </c>
      <c r="AE9" s="177">
        <f>((LOOKUP(Semidetached!AE$2,'Ceiling-U'!$A$4:$A$40,'Ceiling-U'!$I$4:$I$40)*Semidetached!AE$15)+(LOOKUP(Semidetached!AE$2,'Floor-U'!$A$4:$A$40,'Floor-U'!$I$4:$I$40)*Semidetached!AE$16)+(LOOKUP(Semidetached!AE$2,'Wall-U'!$A$4:$A$40,'Wall-U'!$I$4:$I$40)*Semidetached!AE$13)+(LOOKUP(Semidetached!AE$2,'Window-U'!$A$4:$A$40,'Window-U'!$Q$4:$Q$40)*Semidetached!AE$22))*AE4</f>
        <v>366.19796124020058</v>
      </c>
      <c r="AF9" s="177">
        <f>((LOOKUP(Semidetached!AF$2,'Ceiling-U'!$A$4:$A$40,'Ceiling-U'!$I$4:$I$40)*Semidetached!AF$15)+(LOOKUP(Semidetached!AF$2,'Floor-U'!$A$4:$A$40,'Floor-U'!$I$4:$I$40)*Semidetached!AF$16)+(LOOKUP(Semidetached!AF$2,'Wall-U'!$A$4:$A$40,'Wall-U'!$I$4:$I$40)*Semidetached!AF$13)+(LOOKUP(Semidetached!AF$2,'Window-U'!$A$4:$A$40,'Window-U'!$Q$4:$Q$40)*Semidetached!AF$22))*AF4</f>
        <v>685.09013916799927</v>
      </c>
      <c r="AG9" s="177">
        <f>((LOOKUP(Semidetached!AG$2,'Ceiling-U'!$A$4:$A$40,'Ceiling-U'!$I$4:$I$40)*Semidetached!AG$15)+(LOOKUP(Semidetached!AG$2,'Floor-U'!$A$4:$A$40,'Floor-U'!$I$4:$I$40)*Semidetached!AG$16)+(LOOKUP(Semidetached!AG$2,'Wall-U'!$A$4:$A$40,'Wall-U'!$I$4:$I$40)*Semidetached!AG$13)+(LOOKUP(Semidetached!AG$2,'Window-U'!$A$4:$A$40,'Window-U'!$Q$4:$Q$40)*Semidetached!AG$22))*AG4</f>
        <v>1183.8401901017169</v>
      </c>
      <c r="AH9" s="177">
        <f>((LOOKUP(Semidetached!AH$2,'Ceiling-U'!$A$4:$A$40,'Ceiling-U'!$I$4:$I$40)*Semidetached!AH$15)+(LOOKUP(Semidetached!AH$2,'Floor-U'!$A$4:$A$40,'Floor-U'!$I$4:$I$40)*Semidetached!AH$16)+(LOOKUP(Semidetached!AH$2,'Wall-U'!$A$4:$A$40,'Wall-U'!$I$4:$I$40)*Semidetached!AH$13)+(LOOKUP(Semidetached!AH$2,'Window-U'!$A$4:$A$40,'Window-U'!$Q$4:$Q$40)*Semidetached!AH$22))*AH4</f>
        <v>585.3175273271471</v>
      </c>
      <c r="AI9" s="177">
        <f>((LOOKUP(Semidetached!AI$2,'Ceiling-U'!$A$4:$A$40,'Ceiling-U'!$I$4:$I$40)*Semidetached!AI$15)+(LOOKUP(Semidetached!AI$2,'Floor-U'!$A$4:$A$40,'Floor-U'!$I$4:$I$40)*Semidetached!AI$16)+(LOOKUP(Semidetached!AI$2,'Wall-U'!$A$4:$A$40,'Wall-U'!$I$4:$I$40)*Semidetached!AI$13)+(LOOKUP(Semidetached!AI$2,'Window-U'!$A$4:$A$40,'Window-U'!$Q$4:$Q$40)*Semidetached!AI$22))*AI4</f>
        <v>2697.9243651427487</v>
      </c>
      <c r="AJ9" s="177">
        <f>((LOOKUP(Semidetached!AJ$2,'Ceiling-U'!$A$4:$A$40,'Ceiling-U'!$I$4:$I$40)*Semidetached!AJ$15)+(LOOKUP(Semidetached!AJ$2,'Floor-U'!$A$4:$A$40,'Floor-U'!$I$4:$I$40)*Semidetached!AJ$16)+(LOOKUP(Semidetached!AJ$2,'Wall-U'!$A$4:$A$40,'Wall-U'!$I$4:$I$40)*Semidetached!AJ$13)+(LOOKUP(Semidetached!AJ$2,'Window-U'!$A$4:$A$40,'Window-U'!$Q$4:$Q$40)*Semidetached!AJ$22))*AJ4</f>
        <v>871.73407314682174</v>
      </c>
      <c r="AK9" s="177">
        <f>((LOOKUP(Semidetached!AK$2,'Ceiling-U'!$A$4:$A$40,'Ceiling-U'!$I$4:$I$40)*Semidetached!AK$15)+(LOOKUP(Semidetached!AK$2,'Floor-U'!$A$4:$A$40,'Floor-U'!$I$4:$I$40)*Semidetached!AK$16)+(LOOKUP(Semidetached!AK$2,'Wall-U'!$A$4:$A$40,'Wall-U'!$I$4:$I$40)*Semidetached!AK$13)+(LOOKUP(Semidetached!AK$2,'Window-U'!$A$4:$A$40,'Window-U'!$Q$4:$Q$40)*Semidetached!AK$22))*AK4</f>
        <v>1057.333074830834</v>
      </c>
      <c r="AL9" s="177">
        <f>((LOOKUP(Semidetached!AL$2,'Ceiling-U'!$A$4:$A$40,'Ceiling-U'!$I$4:$I$40)*Semidetached!AL$15)+(LOOKUP(Semidetached!AL$2,'Floor-U'!$A$4:$A$40,'Floor-U'!$I$4:$I$40)*Semidetached!AL$16)+(LOOKUP(Semidetached!AL$2,'Wall-U'!$A$4:$A$40,'Wall-U'!$I$4:$I$40)*Semidetached!AL$13)+(LOOKUP(Semidetached!AL$2,'Window-U'!$A$4:$A$40,'Window-U'!$Q$4:$Q$40)*Semidetached!AL$22))*AL4</f>
        <v>711.58512503156544</v>
      </c>
      <c r="AM9" s="177">
        <f>((LOOKUP(Semidetached!AM$2,'Ceiling-U'!$A$4:$A$40,'Ceiling-U'!$I$4:$I$40)*Semidetached!AM$15)+(LOOKUP(Semidetached!AM$2,'Floor-U'!$A$4:$A$40,'Floor-U'!$I$4:$I$40)*Semidetached!AM$16)+(LOOKUP(Semidetached!AM$2,'Wall-U'!$A$4:$A$40,'Wall-U'!$I$4:$I$40)*Semidetached!AM$13)+(LOOKUP(Semidetached!AM$2,'Window-U'!$A$4:$A$40,'Window-U'!$Q$4:$Q$40)*Semidetached!AM$22))*AM4</f>
        <v>871.73407314682174</v>
      </c>
      <c r="AN9" s="178">
        <f>((LOOKUP(Semidetached!AN$2,'Ceiling-U'!$A$4:$A$40,'Ceiling-U'!$I$4:$I$40)*Semidetached!AN$15)+(LOOKUP(Semidetached!AN$2,'Floor-U'!$A$4:$A$40,'Floor-U'!$I$4:$I$40)*Semidetached!AN$16)+(LOOKUP(Semidetached!AN$2,'Wall-U'!$A$4:$A$40,'Wall-U'!$I$4:$I$40)*Semidetached!AN$13)+(LOOKUP(Semidetached!AN$2,'Window-U'!$A$4:$A$40,'Window-U'!$Q$4:$Q$40)*Semidetached!AN$22))*AN4</f>
        <v>871.73407314682174</v>
      </c>
    </row>
    <row r="10" spans="1:40">
      <c r="A10" s="373"/>
      <c r="B10" s="374" t="s">
        <v>7</v>
      </c>
      <c r="C10" s="131" t="s">
        <v>195</v>
      </c>
      <c r="D10" s="176">
        <f>((LOOKUP(Semidetached!D$2,'Ceiling-U'!$A$4:$A$40,'Ceiling-U'!$J$4:$J$40)*Semidetached!D$15)+(LOOKUP(Semidetached!D$2,'Floor-U'!$A$4:$A$40,'Floor-U'!$J$4:$J$40)*Semidetached!D$16)+(LOOKUP(Semidetached!D$2,'Wall-U'!$A$4:$A$40,'Wall-U'!$J$4:$J$40)*Semidetached!D$13)+(LOOKUP(Semidetached!D$2,'Window-U'!$A$4:$A$40,'Window-U'!$Q$4:$Q$40)*Semidetached!D$22))*D4</f>
        <v>601.31025038689575</v>
      </c>
      <c r="E10" s="174">
        <f>((LOOKUP(Semidetached!E$2,'Ceiling-U'!$A$4:$A$40,'Ceiling-U'!$J$4:$J$40)*Semidetached!E$15)+(LOOKUP(Semidetached!E$2,'Floor-U'!$A$4:$A$40,'Floor-U'!$J$4:$J$40)*Semidetached!E$16)+(LOOKUP(Semidetached!E$2,'Wall-U'!$A$4:$A$40,'Wall-U'!$J$4:$J$40)*Semidetached!E$13)+(LOOKUP(Semidetached!E$2,'Window-U'!$A$4:$A$40,'Window-U'!$Q$4:$Q$40)*Semidetached!E$22))*E4</f>
        <v>971.77833153100914</v>
      </c>
      <c r="F10" s="174">
        <f>((LOOKUP(Semidetached!F$2,'Ceiling-U'!$A$4:$A$40,'Ceiling-U'!$J$4:$J$40)*Semidetached!F$15)+(LOOKUP(Semidetached!F$2,'Floor-U'!$A$4:$A$40,'Floor-U'!$J$4:$J$40)*Semidetached!F$16)+(LOOKUP(Semidetached!F$2,'Wall-U'!$A$4:$A$40,'Wall-U'!$J$4:$J$40)*Semidetached!F$13)+(LOOKUP(Semidetached!F$2,'Window-U'!$A$4:$A$40,'Window-U'!$Q$4:$Q$40)*Semidetached!F$22))*F4</f>
        <v>454.13934503591759</v>
      </c>
      <c r="G10" s="174">
        <f>((LOOKUP(Semidetached!G$2,'Ceiling-U'!$A$4:$A$40,'Ceiling-U'!$J$4:$J$40)*Semidetached!G$15)+(LOOKUP(Semidetached!G$2,'Floor-U'!$A$4:$A$40,'Floor-U'!$J$4:$J$40)*Semidetached!G$16)+(LOOKUP(Semidetached!G$2,'Wall-U'!$A$4:$A$40,'Wall-U'!$J$4:$J$40)*Semidetached!G$13)+(LOOKUP(Semidetached!G$2,'Window-U'!$A$4:$A$40,'Window-U'!$Q$4:$Q$40)*Semidetached!G$22))*G4</f>
        <v>617.57862379155824</v>
      </c>
      <c r="H10" s="174">
        <f>((LOOKUP(Semidetached!H$2,'Ceiling-U'!$A$4:$A$40,'Ceiling-U'!$J$4:$J$40)*Semidetached!H$15)+(LOOKUP(Semidetached!H$2,'Floor-U'!$A$4:$A$40,'Floor-U'!$J$4:$J$40)*Semidetached!H$16)+(LOOKUP(Semidetached!H$2,'Wall-U'!$A$4:$A$40,'Wall-U'!$J$4:$J$40)*Semidetached!H$13)+(LOOKUP(Semidetached!H$2,'Window-U'!$A$4:$A$40,'Window-U'!$Q$4:$Q$40)*Semidetached!H$22))*H4</f>
        <v>1916.9162549254345</v>
      </c>
      <c r="I10" s="174">
        <f>((LOOKUP(Semidetached!I$2,'Ceiling-U'!$A$4:$A$40,'Ceiling-U'!$J$4:$J$40)*Semidetached!I$15)+(LOOKUP(Semidetached!I$2,'Floor-U'!$A$4:$A$40,'Floor-U'!$J$4:$J$40)*Semidetached!I$16)+(LOOKUP(Semidetached!I$2,'Wall-U'!$A$4:$A$40,'Wall-U'!$J$4:$J$40)*Semidetached!I$13)+(LOOKUP(Semidetached!I$2,'Window-U'!$A$4:$A$40,'Window-U'!$Q$4:$Q$40)*Semidetached!I$22))*I4</f>
        <v>522.94128796133612</v>
      </c>
      <c r="J10" s="174">
        <f>((LOOKUP(Semidetached!J$2,'Ceiling-U'!$A$4:$A$40,'Ceiling-U'!$J$4:$J$40)*Semidetached!J$15)+(LOOKUP(Semidetached!J$2,'Floor-U'!$A$4:$A$40,'Floor-U'!$J$4:$J$40)*Semidetached!J$16)+(LOOKUP(Semidetached!J$2,'Wall-U'!$A$4:$A$40,'Wall-U'!$J$4:$J$40)*Semidetached!J$13)+(LOOKUP(Semidetached!J$2,'Window-U'!$A$4:$A$40,'Window-U'!$Q$4:$Q$40)*Semidetached!J$22))*J4</f>
        <v>507.04654467509931</v>
      </c>
      <c r="K10" s="174">
        <f>((LOOKUP(Semidetached!K$2,'Ceiling-U'!$A$4:$A$40,'Ceiling-U'!$J$4:$J$40)*Semidetached!K$15)+(LOOKUP(Semidetached!K$2,'Floor-U'!$A$4:$A$40,'Floor-U'!$J$4:$J$40)*Semidetached!K$16)+(LOOKUP(Semidetached!K$2,'Wall-U'!$A$4:$A$40,'Wall-U'!$J$4:$J$40)*Semidetached!K$13)+(LOOKUP(Semidetached!K$2,'Window-U'!$A$4:$A$40,'Window-U'!$Q$4:$Q$40)*Semidetached!K$22))*K4</f>
        <v>397.48646676673832</v>
      </c>
      <c r="L10" s="174">
        <f>((LOOKUP(Semidetached!L$2,'Ceiling-U'!$A$4:$A$40,'Ceiling-U'!$J$4:$J$40)*Semidetached!L$15)+(LOOKUP(Semidetached!L$2,'Floor-U'!$A$4:$A$40,'Floor-U'!$J$4:$J$40)*Semidetached!L$16)+(LOOKUP(Semidetached!L$2,'Wall-U'!$A$4:$A$40,'Wall-U'!$J$4:$J$40)*Semidetached!L$13)+(LOOKUP(Semidetached!L$2,'Window-U'!$A$4:$A$40,'Window-U'!$Q$4:$Q$40)*Semidetached!L$22))*L4</f>
        <v>331.85650335977789</v>
      </c>
      <c r="M10" s="174">
        <f>((LOOKUP(Semidetached!M$2,'Ceiling-U'!$A$4:$A$40,'Ceiling-U'!$J$4:$J$40)*Semidetached!M$15)+(LOOKUP(Semidetached!M$2,'Floor-U'!$A$4:$A$40,'Floor-U'!$J$4:$J$40)*Semidetached!M$16)+(LOOKUP(Semidetached!M$2,'Wall-U'!$A$4:$A$40,'Wall-U'!$J$4:$J$40)*Semidetached!M$13)+(LOOKUP(Semidetached!M$2,'Window-U'!$A$4:$A$40,'Window-U'!$Q$4:$Q$40)*Semidetached!M$22))*M4</f>
        <v>1006.1097897875379</v>
      </c>
      <c r="N10" s="174">
        <f>((LOOKUP(Semidetached!N$2,'Ceiling-U'!$A$4:$A$40,'Ceiling-U'!$J$4:$J$40)*Semidetached!N$15)+(LOOKUP(Semidetached!N$2,'Floor-U'!$A$4:$A$40,'Floor-U'!$J$4:$J$40)*Semidetached!N$16)+(LOOKUP(Semidetached!N$2,'Wall-U'!$A$4:$A$40,'Wall-U'!$J$4:$J$40)*Semidetached!N$13)+(LOOKUP(Semidetached!N$2,'Window-U'!$A$4:$A$40,'Window-U'!$Q$4:$Q$40)*Semidetached!N$22))*N4</f>
        <v>401.55686099053025</v>
      </c>
      <c r="O10" s="174">
        <f>((LOOKUP(Semidetached!O$2,'Ceiling-U'!$A$4:$A$40,'Ceiling-U'!$J$4:$J$40)*Semidetached!O$15)+(LOOKUP(Semidetached!O$2,'Floor-U'!$A$4:$A$40,'Floor-U'!$J$4:$J$40)*Semidetached!O$16)+(LOOKUP(Semidetached!O$2,'Wall-U'!$A$4:$A$40,'Wall-U'!$J$4:$J$40)*Semidetached!O$13)+(LOOKUP(Semidetached!O$2,'Window-U'!$A$4:$A$40,'Window-U'!$Q$4:$Q$40)*Semidetached!O$22))*O4</f>
        <v>549.17170355580288</v>
      </c>
      <c r="P10" s="174">
        <f>((LOOKUP(Semidetached!P$2,'Ceiling-U'!$A$4:$A$40,'Ceiling-U'!$J$4:$J$40)*Semidetached!P$15)+(LOOKUP(Semidetached!P$2,'Floor-U'!$A$4:$A$40,'Floor-U'!$J$4:$J$40)*Semidetached!P$16)+(LOOKUP(Semidetached!P$2,'Wall-U'!$A$4:$A$40,'Wall-U'!$J$4:$J$40)*Semidetached!P$13)+(LOOKUP(Semidetached!P$2,'Window-U'!$A$4:$A$40,'Window-U'!$Q$4:$Q$40)*Semidetached!P$22))*P4</f>
        <v>532.18223448989943</v>
      </c>
      <c r="Q10" s="174">
        <f>((LOOKUP(Semidetached!Q$2,'Ceiling-U'!$A$4:$A$40,'Ceiling-U'!$J$4:$J$40)*Semidetached!Q$15)+(LOOKUP(Semidetached!Q$2,'Floor-U'!$A$4:$A$40,'Floor-U'!$J$4:$J$40)*Semidetached!Q$16)+(LOOKUP(Semidetached!Q$2,'Wall-U'!$A$4:$A$40,'Wall-U'!$J$4:$J$40)*Semidetached!Q$13)+(LOOKUP(Semidetached!Q$2,'Window-U'!$A$4:$A$40,'Window-U'!$Q$4:$Q$40)*Semidetached!Q$22))*Q4</f>
        <v>461.46535051428282</v>
      </c>
      <c r="R10" s="174">
        <f>((LOOKUP(Semidetached!R$2,'Ceiling-U'!$A$4:$A$40,'Ceiling-U'!$J$4:$J$40)*Semidetached!R$15)+(LOOKUP(Semidetached!R$2,'Floor-U'!$A$4:$A$40,'Floor-U'!$J$4:$J$40)*Semidetached!R$16)+(LOOKUP(Semidetached!R$2,'Wall-U'!$A$4:$A$40,'Wall-U'!$J$4:$J$40)*Semidetached!R$13)+(LOOKUP(Semidetached!R$2,'Window-U'!$A$4:$A$40,'Window-U'!$Q$4:$Q$40)*Semidetached!R$22))*R4</f>
        <v>553.67209999221154</v>
      </c>
      <c r="S10" s="174">
        <f>((LOOKUP(Semidetached!S$2,'Ceiling-U'!$A$4:$A$40,'Ceiling-U'!$J$4:$J$40)*Semidetached!S$15)+(LOOKUP(Semidetached!S$2,'Floor-U'!$A$4:$A$40,'Floor-U'!$J$4:$J$40)*Semidetached!S$16)+(LOOKUP(Semidetached!S$2,'Wall-U'!$A$4:$A$40,'Wall-U'!$J$4:$J$40)*Semidetached!S$13)+(LOOKUP(Semidetached!S$2,'Window-U'!$A$4:$A$40,'Window-U'!$Q$4:$Q$40)*Semidetached!S$22))*S4</f>
        <v>546.82972809828038</v>
      </c>
      <c r="T10" s="174">
        <f>((LOOKUP(Semidetached!T$2,'Ceiling-U'!$A$4:$A$40,'Ceiling-U'!$J$4:$J$40)*Semidetached!T$15)+(LOOKUP(Semidetached!T$2,'Floor-U'!$A$4:$A$40,'Floor-U'!$J$4:$J$40)*Semidetached!T$16)+(LOOKUP(Semidetached!T$2,'Wall-U'!$A$4:$A$40,'Wall-U'!$J$4:$J$40)*Semidetached!T$13)+(LOOKUP(Semidetached!T$2,'Window-U'!$A$4:$A$40,'Window-U'!$Q$4:$Q$40)*Semidetached!T$22))*T4</f>
        <v>403.86305101883897</v>
      </c>
      <c r="U10" s="174">
        <f>((LOOKUP(Semidetached!U$2,'Ceiling-U'!$A$4:$A$40,'Ceiling-U'!$J$4:$J$40)*Semidetached!U$15)+(LOOKUP(Semidetached!U$2,'Floor-U'!$A$4:$A$40,'Floor-U'!$J$4:$J$40)*Semidetached!U$16)+(LOOKUP(Semidetached!U$2,'Wall-U'!$A$4:$A$40,'Wall-U'!$J$4:$J$40)*Semidetached!U$13)+(LOOKUP(Semidetached!U$2,'Window-U'!$A$4:$A$40,'Window-U'!$Q$4:$Q$40)*Semidetached!U$22))*U4</f>
        <v>1536.3489465778139</v>
      </c>
      <c r="V10" s="174">
        <f>((LOOKUP(Semidetached!V$2,'Ceiling-U'!$A$4:$A$40,'Ceiling-U'!$J$4:$J$40)*Semidetached!V$15)+(LOOKUP(Semidetached!V$2,'Floor-U'!$A$4:$A$40,'Floor-U'!$J$4:$J$40)*Semidetached!V$16)+(LOOKUP(Semidetached!V$2,'Wall-U'!$A$4:$A$40,'Wall-U'!$J$4:$J$40)*Semidetached!V$13)+(LOOKUP(Semidetached!V$2,'Window-U'!$A$4:$A$40,'Window-U'!$Q$4:$Q$40)*Semidetached!V$22))*V4</f>
        <v>391.94069254533053</v>
      </c>
      <c r="W10" s="174">
        <f>((LOOKUP(Semidetached!W$2,'Ceiling-U'!$A$4:$A$40,'Ceiling-U'!$J$4:$J$40)*Semidetached!W$15)+(LOOKUP(Semidetached!W$2,'Floor-U'!$A$4:$A$40,'Floor-U'!$J$4:$J$40)*Semidetached!W$16)+(LOOKUP(Semidetached!W$2,'Wall-U'!$A$4:$A$40,'Wall-U'!$J$4:$J$40)*Semidetached!W$13)+(LOOKUP(Semidetached!W$2,'Window-U'!$A$4:$A$40,'Window-U'!$Q$4:$Q$40)*Semidetached!W$22))*W4</f>
        <v>329.42430726189775</v>
      </c>
      <c r="X10" s="174">
        <f>((LOOKUP(Semidetached!X$2,'Ceiling-U'!$A$4:$A$40,'Ceiling-U'!$J$4:$J$40)*Semidetached!X$15)+(LOOKUP(Semidetached!X$2,'Floor-U'!$A$4:$A$40,'Floor-U'!$J$4:$J$40)*Semidetached!X$16)+(LOOKUP(Semidetached!X$2,'Wall-U'!$A$4:$A$40,'Wall-U'!$J$4:$J$40)*Semidetached!X$13)+(LOOKUP(Semidetached!X$2,'Window-U'!$A$4:$A$40,'Window-U'!$Q$4:$Q$40)*Semidetached!X$22))*X4</f>
        <v>361.58462854061167</v>
      </c>
      <c r="Y10" s="174">
        <f>((LOOKUP(Semidetached!Y$2,'Ceiling-U'!$A$4:$A$40,'Ceiling-U'!$J$4:$J$40)*Semidetached!Y$15)+(LOOKUP(Semidetached!Y$2,'Floor-U'!$A$4:$A$40,'Floor-U'!$J$4:$J$40)*Semidetached!Y$16)+(LOOKUP(Semidetached!Y$2,'Wall-U'!$A$4:$A$40,'Wall-U'!$J$4:$J$40)*Semidetached!Y$13)+(LOOKUP(Semidetached!Y$2,'Window-U'!$A$4:$A$40,'Window-U'!$Q$4:$Q$40)*Semidetached!Y$22))*Y4</f>
        <v>2191.02303149212</v>
      </c>
      <c r="Z10" s="174">
        <f>((LOOKUP(Semidetached!Z$2,'Ceiling-U'!$A$4:$A$40,'Ceiling-U'!$J$4:$J$40)*Semidetached!Z$15)+(LOOKUP(Semidetached!Z$2,'Floor-U'!$A$4:$A$40,'Floor-U'!$J$4:$J$40)*Semidetached!Z$16)+(LOOKUP(Semidetached!Z$2,'Wall-U'!$A$4:$A$40,'Wall-U'!$J$4:$J$40)*Semidetached!Z$13)+(LOOKUP(Semidetached!Z$2,'Window-U'!$A$4:$A$40,'Window-U'!$Q$4:$Q$40)*Semidetached!Z$22))*Z4</f>
        <v>667.60017748987207</v>
      </c>
      <c r="AA10" s="174">
        <f>((LOOKUP(Semidetached!AA$2,'Ceiling-U'!$A$4:$A$40,'Ceiling-U'!$J$4:$J$40)*Semidetached!AA$15)+(LOOKUP(Semidetached!AA$2,'Floor-U'!$A$4:$A$40,'Floor-U'!$J$4:$J$40)*Semidetached!AA$16)+(LOOKUP(Semidetached!AA$2,'Wall-U'!$A$4:$A$40,'Wall-U'!$J$4:$J$40)*Semidetached!AA$13)+(LOOKUP(Semidetached!AA$2,'Window-U'!$A$4:$A$40,'Window-U'!$Q$4:$Q$40)*Semidetached!AA$22))*AA4</f>
        <v>370.62695034589444</v>
      </c>
      <c r="AB10" s="174">
        <f>((LOOKUP(Semidetached!AB$2,'Ceiling-U'!$A$4:$A$40,'Ceiling-U'!$J$4:$J$40)*Semidetached!AB$15)+(LOOKUP(Semidetached!AB$2,'Floor-U'!$A$4:$A$40,'Floor-U'!$J$4:$J$40)*Semidetached!AB$16)+(LOOKUP(Semidetached!AB$2,'Wall-U'!$A$4:$A$40,'Wall-U'!$J$4:$J$40)*Semidetached!AB$13)+(LOOKUP(Semidetached!AB$2,'Window-U'!$A$4:$A$40,'Window-U'!$Q$4:$Q$40)*Semidetached!AB$22))*AB4</f>
        <v>673.3130257811406</v>
      </c>
      <c r="AC10" s="174">
        <f>((LOOKUP(Semidetached!AC$2,'Ceiling-U'!$A$4:$A$40,'Ceiling-U'!$J$4:$J$40)*Semidetached!AC$15)+(LOOKUP(Semidetached!AC$2,'Floor-U'!$A$4:$A$40,'Floor-U'!$J$4:$J$40)*Semidetached!AC$16)+(LOOKUP(Semidetached!AC$2,'Wall-U'!$A$4:$A$40,'Wall-U'!$J$4:$J$40)*Semidetached!AC$13)+(LOOKUP(Semidetached!AC$2,'Window-U'!$A$4:$A$40,'Window-U'!$Q$4:$Q$40)*Semidetached!AC$22))*AC4</f>
        <v>1435.7095378298256</v>
      </c>
      <c r="AD10" s="174">
        <f>((LOOKUP(Semidetached!AD$2,'Ceiling-U'!$A$4:$A$40,'Ceiling-U'!$J$4:$J$40)*Semidetached!AD$15)+(LOOKUP(Semidetached!AD$2,'Floor-U'!$A$4:$A$40,'Floor-U'!$J$4:$J$40)*Semidetached!AD$16)+(LOOKUP(Semidetached!AD$2,'Wall-U'!$A$4:$A$40,'Wall-U'!$J$4:$J$40)*Semidetached!AD$13)+(LOOKUP(Semidetached!AD$2,'Window-U'!$A$4:$A$40,'Window-U'!$Q$4:$Q$40)*Semidetached!AD$22))*AD4</f>
        <v>955.73756439291287</v>
      </c>
      <c r="AE10" s="174">
        <f>((LOOKUP(Semidetached!AE$2,'Ceiling-U'!$A$4:$A$40,'Ceiling-U'!$J$4:$J$40)*Semidetached!AE$15)+(LOOKUP(Semidetached!AE$2,'Floor-U'!$A$4:$A$40,'Floor-U'!$J$4:$J$40)*Semidetached!AE$16)+(LOOKUP(Semidetached!AE$2,'Wall-U'!$A$4:$A$40,'Wall-U'!$J$4:$J$40)*Semidetached!AE$13)+(LOOKUP(Semidetached!AE$2,'Window-U'!$A$4:$A$40,'Window-U'!$Q$4:$Q$40)*Semidetached!AE$22))*AE4</f>
        <v>366.19796124020058</v>
      </c>
      <c r="AF10" s="174">
        <f>((LOOKUP(Semidetached!AF$2,'Ceiling-U'!$A$4:$A$40,'Ceiling-U'!$J$4:$J$40)*Semidetached!AF$15)+(LOOKUP(Semidetached!AF$2,'Floor-U'!$A$4:$A$40,'Floor-U'!$J$4:$J$40)*Semidetached!AF$16)+(LOOKUP(Semidetached!AF$2,'Wall-U'!$A$4:$A$40,'Wall-U'!$J$4:$J$40)*Semidetached!AF$13)+(LOOKUP(Semidetached!AF$2,'Window-U'!$A$4:$A$40,'Window-U'!$Q$4:$Q$40)*Semidetached!AF$22))*AF4</f>
        <v>385.96922418327</v>
      </c>
      <c r="AG10" s="174">
        <f>((LOOKUP(Semidetached!AG$2,'Ceiling-U'!$A$4:$A$40,'Ceiling-U'!$J$4:$J$40)*Semidetached!AG$15)+(LOOKUP(Semidetached!AG$2,'Floor-U'!$A$4:$A$40,'Floor-U'!$J$4:$J$40)*Semidetached!AG$16)+(LOOKUP(Semidetached!AG$2,'Wall-U'!$A$4:$A$40,'Wall-U'!$J$4:$J$40)*Semidetached!AG$13)+(LOOKUP(Semidetached!AG$2,'Window-U'!$A$4:$A$40,'Window-U'!$Q$4:$Q$40)*Semidetached!AG$22))*AG4</f>
        <v>712.16068012944436</v>
      </c>
      <c r="AH10" s="174">
        <f>((LOOKUP(Semidetached!AH$2,'Ceiling-U'!$A$4:$A$40,'Ceiling-U'!$J$4:$J$40)*Semidetached!AH$15)+(LOOKUP(Semidetached!AH$2,'Floor-U'!$A$4:$A$40,'Floor-U'!$J$4:$J$40)*Semidetached!AH$16)+(LOOKUP(Semidetached!AH$2,'Wall-U'!$A$4:$A$40,'Wall-U'!$J$4:$J$40)*Semidetached!AH$13)+(LOOKUP(Semidetached!AH$2,'Window-U'!$A$4:$A$40,'Window-U'!$Q$4:$Q$40)*Semidetached!AH$22))*AH4</f>
        <v>491.81000140806429</v>
      </c>
      <c r="AI10" s="174">
        <f>((LOOKUP(Semidetached!AI$2,'Ceiling-U'!$A$4:$A$40,'Ceiling-U'!$J$4:$J$40)*Semidetached!AI$15)+(LOOKUP(Semidetached!AI$2,'Floor-U'!$A$4:$A$40,'Floor-U'!$J$4:$J$40)*Semidetached!AI$16)+(LOOKUP(Semidetached!AI$2,'Wall-U'!$A$4:$A$40,'Wall-U'!$J$4:$J$40)*Semidetached!AI$13)+(LOOKUP(Semidetached!AI$2,'Window-U'!$A$4:$A$40,'Window-U'!$Q$4:$Q$40)*Semidetached!AI$22))*AI4</f>
        <v>775.66168263042357</v>
      </c>
      <c r="AJ10" s="174">
        <f>((LOOKUP(Semidetached!AJ$2,'Ceiling-U'!$A$4:$A$40,'Ceiling-U'!$J$4:$J$40)*Semidetached!AJ$15)+(LOOKUP(Semidetached!AJ$2,'Floor-U'!$A$4:$A$40,'Floor-U'!$J$4:$J$40)*Semidetached!AJ$16)+(LOOKUP(Semidetached!AJ$2,'Wall-U'!$A$4:$A$40,'Wall-U'!$J$4:$J$40)*Semidetached!AJ$13)+(LOOKUP(Semidetached!AJ$2,'Window-U'!$A$4:$A$40,'Window-U'!$Q$4:$Q$40)*Semidetached!AJ$22))*AJ4</f>
        <v>763.26432944131329</v>
      </c>
      <c r="AK10" s="174">
        <f>((LOOKUP(Semidetached!AK$2,'Ceiling-U'!$A$4:$A$40,'Ceiling-U'!$J$4:$J$40)*Semidetached!AK$15)+(LOOKUP(Semidetached!AK$2,'Floor-U'!$A$4:$A$40,'Floor-U'!$J$4:$J$40)*Semidetached!AK$16)+(LOOKUP(Semidetached!AK$2,'Wall-U'!$A$4:$A$40,'Wall-U'!$J$4:$J$40)*Semidetached!AK$13)+(LOOKUP(Semidetached!AK$2,'Window-U'!$A$4:$A$40,'Window-U'!$Q$4:$Q$40)*Semidetached!AK$22))*AK4</f>
        <v>923.55526222845697</v>
      </c>
      <c r="AL10" s="174">
        <f>((LOOKUP(Semidetached!AL$2,'Ceiling-U'!$A$4:$A$40,'Ceiling-U'!$J$4:$J$40)*Semidetached!AL$15)+(LOOKUP(Semidetached!AL$2,'Floor-U'!$A$4:$A$40,'Floor-U'!$J$4:$J$40)*Semidetached!AL$16)+(LOOKUP(Semidetached!AL$2,'Wall-U'!$A$4:$A$40,'Wall-U'!$J$4:$J$40)*Semidetached!AL$13)+(LOOKUP(Semidetached!AL$2,'Window-U'!$A$4:$A$40,'Window-U'!$Q$4:$Q$40)*Semidetached!AL$22))*AL4</f>
        <v>473.26516278285942</v>
      </c>
      <c r="AM10" s="174">
        <f>((LOOKUP(Semidetached!AM$2,'Ceiling-U'!$A$4:$A$40,'Ceiling-U'!$J$4:$J$40)*Semidetached!AM$15)+(LOOKUP(Semidetached!AM$2,'Floor-U'!$A$4:$A$40,'Floor-U'!$J$4:$J$40)*Semidetached!AM$16)+(LOOKUP(Semidetached!AM$2,'Wall-U'!$A$4:$A$40,'Wall-U'!$J$4:$J$40)*Semidetached!AM$13)+(LOOKUP(Semidetached!AM$2,'Window-U'!$A$4:$A$40,'Window-U'!$Q$4:$Q$40)*Semidetached!AM$22))*AM4</f>
        <v>763.26432944131329</v>
      </c>
      <c r="AN10" s="175">
        <f>((LOOKUP(Semidetached!AN$2,'Ceiling-U'!$A$4:$A$40,'Ceiling-U'!$J$4:$J$40)*Semidetached!AN$15)+(LOOKUP(Semidetached!AN$2,'Floor-U'!$A$4:$A$40,'Floor-U'!$J$4:$J$40)*Semidetached!AN$16)+(LOOKUP(Semidetached!AN$2,'Wall-U'!$A$4:$A$40,'Wall-U'!$J$4:$J$40)*Semidetached!AN$13)+(LOOKUP(Semidetached!AN$2,'Window-U'!$A$4:$A$40,'Window-U'!$Q$4:$Q$40)*Semidetached!AN$22))*AN4</f>
        <v>763.26432944131329</v>
      </c>
    </row>
    <row r="11" spans="1:40">
      <c r="A11" s="332" t="s">
        <v>280</v>
      </c>
      <c r="B11" s="142" t="s">
        <v>2</v>
      </c>
      <c r="C11" s="360" t="s">
        <v>261</v>
      </c>
      <c r="D11" s="351">
        <f>D5*24*LOOKUP(Semidetached!D$2,'HDD-by Country'!$A$4:$A$40,'HDD-by Country'!$C$4:$C$40)/1000/Semidetached!D$3</f>
        <v>24663.369166729146</v>
      </c>
      <c r="E11" s="352">
        <f>E5*24*LOOKUP(Semidetached!E$2,'HDD-by Country'!$A$4:$A$40,'HDD-by Country'!$C$4:$C$40)/1000/Semidetached!E$3</f>
        <v>24805.74370728857</v>
      </c>
      <c r="F11" s="352">
        <f>F5*24*LOOKUP(Semidetached!F$2,'HDD-by Country'!$A$4:$A$40,'HDD-by Country'!$C$4:$C$40)/1000/Semidetached!F$3</f>
        <v>12683.468187139932</v>
      </c>
      <c r="G11" s="352">
        <f>G5*24*LOOKUP(Semidetached!G$2,'HDD-by Country'!$A$4:$A$40,'HDD-by Country'!$C$4:$C$40)/1000/Semidetached!G$3</f>
        <v>24815.839079618221</v>
      </c>
      <c r="H11" s="352">
        <f>H5*24*LOOKUP(Semidetached!H$2,'HDD-by Country'!$A$4:$A$40,'HDD-by Country'!$C$4:$C$40)/1000/Semidetached!H$3</f>
        <v>9102.6916545819331</v>
      </c>
      <c r="I11" s="352">
        <f>I5*24*LOOKUP(Semidetached!I$2,'HDD-by Country'!$A$4:$A$40,'HDD-by Country'!$C$4:$C$40)/1000/Semidetached!I$3</f>
        <v>18095.022266230142</v>
      </c>
      <c r="J11" s="352">
        <f>J5*24*LOOKUP(Semidetached!J$2,'HDD-by Country'!$A$4:$A$40,'HDD-by Country'!$C$4:$C$40)/1000/Semidetached!J$3</f>
        <v>26309.086314313317</v>
      </c>
      <c r="K11" s="352">
        <f>K5*24*LOOKUP(Semidetached!K$2,'HDD-by Country'!$A$4:$A$40,'HDD-by Country'!$C$4:$C$40)/1000/Semidetached!K$3</f>
        <v>15149.566398710116</v>
      </c>
      <c r="L11" s="352">
        <f>L5*24*LOOKUP(Semidetached!L$2,'HDD-by Country'!$A$4:$A$40,'HDD-by Country'!$C$4:$C$40)/1000/Semidetached!L$3</f>
        <v>10318.127738208723</v>
      </c>
      <c r="M11" s="352">
        <f>M5*24*LOOKUP(Semidetached!M$2,'HDD-by Country'!$A$4:$A$40,'HDD-by Country'!$C$4:$C$40)/1000/Semidetached!M$3</f>
        <v>21777.403982767322</v>
      </c>
      <c r="N11" s="352">
        <f>N5*24*LOOKUP(Semidetached!N$2,'HDD-by Country'!$A$4:$A$40,'HDD-by Country'!$C$4:$C$40)/1000/Semidetached!N$3</f>
        <v>17222.590493488631</v>
      </c>
      <c r="O11" s="352">
        <f>O5*24*LOOKUP(Semidetached!O$2,'HDD-by Country'!$A$4:$A$40,'HDD-by Country'!$C$4:$C$40)/1000/Semidetached!O$3</f>
        <v>29289.897243523894</v>
      </c>
      <c r="P11" s="352">
        <f>P5*24*LOOKUP(Semidetached!P$2,'HDD-by Country'!$A$4:$A$40,'HDD-by Country'!$C$4:$C$40)/1000/Semidetached!P$3</f>
        <v>19190.920167886881</v>
      </c>
      <c r="Q11" s="352">
        <f>Q5*24*LOOKUP(Semidetached!Q$2,'HDD-by Country'!$A$4:$A$40,'HDD-by Country'!$C$4:$C$40)/1000/Semidetached!Q$3</f>
        <v>10927.192521013749</v>
      </c>
      <c r="R11" s="352">
        <f>R5*24*LOOKUP(Semidetached!R$2,'HDD-by Country'!$A$4:$A$40,'HDD-by Country'!$C$4:$C$40)/1000/Semidetached!R$3</f>
        <v>17236.396159119922</v>
      </c>
      <c r="S11" s="352">
        <f>S5*24*LOOKUP(Semidetached!S$2,'HDD-by Country'!$A$4:$A$40,'HDD-by Country'!$C$4:$C$40)/1000/Semidetached!S$3</f>
        <v>25621.39946509937</v>
      </c>
      <c r="T11" s="352">
        <f>T5*24*LOOKUP(Semidetached!T$2,'HDD-by Country'!$A$4:$A$40,'HDD-by Country'!$C$4:$C$40)/1000/Semidetached!T$3</f>
        <v>14755.434663413011</v>
      </c>
      <c r="U11" s="352">
        <f>U5*24*LOOKUP(Semidetached!U$2,'HDD-by Country'!$A$4:$A$40,'HDD-by Country'!$C$4:$C$40)/1000/Semidetached!U$3</f>
        <v>18920.545283713749</v>
      </c>
      <c r="V11" s="352">
        <f>V5*24*LOOKUP(Semidetached!V$2,'HDD-by Country'!$A$4:$A$40,'HDD-by Country'!$C$4:$C$40)/1000/Semidetached!V$3</f>
        <v>18379.26652055448</v>
      </c>
      <c r="W11" s="352">
        <f>W5*24*LOOKUP(Semidetached!W$2,'HDD-by Country'!$A$4:$A$40,'HDD-by Country'!$C$4:$C$40)/1000/Semidetached!W$3</f>
        <v>19218.791073832374</v>
      </c>
      <c r="X11" s="352">
        <f>X5*24*LOOKUP(Semidetached!X$2,'HDD-by Country'!$A$4:$A$40,'HDD-by Country'!$C$4:$C$40)/1000/Semidetached!X$3</f>
        <v>20340.533314294429</v>
      </c>
      <c r="Y11" s="352">
        <f>Y5*24*LOOKUP(Semidetached!Y$2,'HDD-by Country'!$A$4:$A$40,'HDD-by Country'!$C$4:$C$40)/1000/Semidetached!Y$3</f>
        <v>7262.3909587923108</v>
      </c>
      <c r="Z11" s="352">
        <f>Z5*24*LOOKUP(Semidetached!Z$2,'HDD-by Country'!$A$4:$A$40,'HDD-by Country'!$C$4:$C$40)/1000/Semidetached!Z$3</f>
        <v>28953.887794474704</v>
      </c>
      <c r="AA11" s="352">
        <f>AA5*24*LOOKUP(Semidetached!AA$2,'HDD-by Country'!$A$4:$A$40,'HDD-by Country'!$C$4:$C$40)/1000/Semidetached!AA$3</f>
        <v>14903.403472453485</v>
      </c>
      <c r="AB11" s="352">
        <f>AB5*24*LOOKUP(Semidetached!AB$2,'HDD-by Country'!$A$4:$A$40,'HDD-by Country'!$C$4:$C$40)/1000/Semidetached!AB$3</f>
        <v>26492.142528667067</v>
      </c>
      <c r="AC11" s="352">
        <f>AC5*24*LOOKUP(Semidetached!AC$2,'HDD-by Country'!$A$4:$A$40,'HDD-by Country'!$C$4:$C$40)/1000/Semidetached!AC$3</f>
        <v>14971.006588212296</v>
      </c>
      <c r="AD11" s="352">
        <f>AD5*24*LOOKUP(Semidetached!AD$2,'HDD-by Country'!$A$4:$A$40,'HDD-by Country'!$C$4:$C$40)/1000/Semidetached!AD$3</f>
        <v>19345.328201293476</v>
      </c>
      <c r="AE11" s="352">
        <f>AE5*24*LOOKUP(Semidetached!AE$2,'HDD-by Country'!$A$4:$A$40,'HDD-by Country'!$C$4:$C$40)/1000/Semidetached!AE$3</f>
        <v>14159.04019527228</v>
      </c>
      <c r="AF11" s="352">
        <f>AF5*24*LOOKUP(Semidetached!AF$2,'HDD-by Country'!$A$4:$A$40,'HDD-by Country'!$C$4:$C$40)/1000/Semidetached!AF$3</f>
        <v>17417.463861282395</v>
      </c>
      <c r="AG11" s="352">
        <f>AG5*24*LOOKUP(Semidetached!AG$2,'HDD-by Country'!$A$4:$A$40,'HDD-by Country'!$C$4:$C$40)/1000/Semidetached!AG$3</f>
        <v>26643.438936769584</v>
      </c>
      <c r="AH11" s="352">
        <f>AH5*24*LOOKUP(Semidetached!AH$2,'HDD-by Country'!$A$4:$A$40,'HDD-by Country'!$C$4:$C$40)/1000/Semidetached!AH$3</f>
        <v>22157.948418310396</v>
      </c>
      <c r="AI11" s="352">
        <f>AI5*24*LOOKUP(Semidetached!AI$2,'HDD-by Country'!$A$4:$A$40,'HDD-by Country'!$C$4:$C$40)/1000/Semidetached!AI$3</f>
        <v>18639.406483983872</v>
      </c>
      <c r="AJ11" s="352">
        <f>AJ5*24*LOOKUP(Semidetached!AJ$2,'HDD-by Country'!$A$4:$A$40,'HDD-by Country'!$C$4:$C$40)/1000/Semidetached!AJ$3</f>
        <v>13140.994451275283</v>
      </c>
      <c r="AK11" s="352">
        <f>AK5*24*LOOKUP(Semidetached!AK$2,'HDD-by Country'!$A$4:$A$40,'HDD-by Country'!$C$4:$C$40)/1000/Semidetached!AK$3</f>
        <v>14290.333050743788</v>
      </c>
      <c r="AL11" s="352">
        <f>AL5*24*LOOKUP(Semidetached!AL$2,'HDD-by Country'!$A$4:$A$40,'HDD-by Country'!$C$4:$C$40)/1000/Semidetached!AL$3</f>
        <v>13345.704660924976</v>
      </c>
      <c r="AM11" s="352">
        <f>AM5*24*LOOKUP(Semidetached!AM$2,'HDD-by Country'!$A$4:$A$40,'HDD-by Country'!$C$4:$C$40)/1000/Semidetached!AM$3</f>
        <v>12084.138292462931</v>
      </c>
      <c r="AN11" s="353">
        <f>AN5*24*LOOKUP(Semidetached!AN$2,'HDD-by Country'!$A$4:$A$40,'HDD-by Country'!$C$4:$C$40)/1000/Semidetached!AN$3</f>
        <v>12084.138292462931</v>
      </c>
    </row>
    <row r="12" spans="1:40">
      <c r="A12" s="129"/>
      <c r="B12" s="142" t="s">
        <v>3</v>
      </c>
      <c r="C12" s="129" t="s">
        <v>261</v>
      </c>
      <c r="D12" s="345">
        <f>D6*24*LOOKUP(Semidetached!D$2,'HDD-by Country'!$A$4:$A$40,'HDD-by Country'!$C$4:$C$40)/1000/Semidetached!D$3</f>
        <v>22916.988211598029</v>
      </c>
      <c r="E12" s="349">
        <f>E6*24*LOOKUP(Semidetached!E$2,'HDD-by Country'!$A$4:$A$40,'HDD-by Country'!$C$4:$C$40)/1000/Semidetached!E$3</f>
        <v>24805.74370728857</v>
      </c>
      <c r="F12" s="349">
        <f>F6*24*LOOKUP(Semidetached!F$2,'HDD-by Country'!$A$4:$A$40,'HDD-by Country'!$C$4:$C$40)/1000/Semidetached!F$3</f>
        <v>12683.468187139932</v>
      </c>
      <c r="G12" s="349">
        <f>G6*24*LOOKUP(Semidetached!G$2,'HDD-by Country'!$A$4:$A$40,'HDD-by Country'!$C$4:$C$40)/1000/Semidetached!G$3</f>
        <v>23079.122485951735</v>
      </c>
      <c r="H12" s="349">
        <f>H6*24*LOOKUP(Semidetached!H$2,'HDD-by Country'!$A$4:$A$40,'HDD-by Country'!$C$4:$C$40)/1000/Semidetached!H$3</f>
        <v>8567.4656240463519</v>
      </c>
      <c r="I12" s="349">
        <f>I6*24*LOOKUP(Semidetached!I$2,'HDD-by Country'!$A$4:$A$40,'HDD-by Country'!$C$4:$C$40)/1000/Semidetached!I$3</f>
        <v>14280.313143131099</v>
      </c>
      <c r="J12" s="349">
        <f>J6*24*LOOKUP(Semidetached!J$2,'HDD-by Country'!$A$4:$A$40,'HDD-by Country'!$C$4:$C$40)/1000/Semidetached!J$3</f>
        <v>23425.259665633897</v>
      </c>
      <c r="K12" s="349">
        <f>K6*24*LOOKUP(Semidetached!K$2,'HDD-by Country'!$A$4:$A$40,'HDD-by Country'!$C$4:$C$40)/1000/Semidetached!K$3</f>
        <v>14512.112373327052</v>
      </c>
      <c r="L12" s="349">
        <f>L6*24*LOOKUP(Semidetached!L$2,'HDD-by Country'!$A$4:$A$40,'HDD-by Country'!$C$4:$C$40)/1000/Semidetached!L$3</f>
        <v>10318.127738208723</v>
      </c>
      <c r="M12" s="349">
        <f>M6*24*LOOKUP(Semidetached!M$2,'HDD-by Country'!$A$4:$A$40,'HDD-by Country'!$C$4:$C$40)/1000/Semidetached!M$3</f>
        <v>19249.307209244511</v>
      </c>
      <c r="N12" s="349">
        <f>N6*24*LOOKUP(Semidetached!N$2,'HDD-by Country'!$A$4:$A$40,'HDD-by Country'!$C$4:$C$40)/1000/Semidetached!N$3</f>
        <v>15318.350725266797</v>
      </c>
      <c r="O12" s="349">
        <f>O6*24*LOOKUP(Semidetached!O$2,'HDD-by Country'!$A$4:$A$40,'HDD-by Country'!$C$4:$C$40)/1000/Semidetached!O$3</f>
        <v>29289.897243523894</v>
      </c>
      <c r="P12" s="349">
        <f>P6*24*LOOKUP(Semidetached!P$2,'HDD-by Country'!$A$4:$A$40,'HDD-by Country'!$C$4:$C$40)/1000/Semidetached!P$3</f>
        <v>19190.920167886881</v>
      </c>
      <c r="Q12" s="349">
        <f>Q6*24*LOOKUP(Semidetached!Q$2,'HDD-by Country'!$A$4:$A$40,'HDD-by Country'!$C$4:$C$40)/1000/Semidetached!Q$3</f>
        <v>11671.985264487297</v>
      </c>
      <c r="R12" s="349">
        <f>R6*24*LOOKUP(Semidetached!R$2,'HDD-by Country'!$A$4:$A$40,'HDD-by Country'!$C$4:$C$40)/1000/Semidetached!R$3</f>
        <v>17236.396159119922</v>
      </c>
      <c r="S12" s="349">
        <f>S6*24*LOOKUP(Semidetached!S$2,'HDD-by Country'!$A$4:$A$40,'HDD-by Country'!$C$4:$C$40)/1000/Semidetached!S$3</f>
        <v>26165.51974002074</v>
      </c>
      <c r="T12" s="349">
        <f>T6*24*LOOKUP(Semidetached!T$2,'HDD-by Country'!$A$4:$A$40,'HDD-by Country'!$C$4:$C$40)/1000/Semidetached!T$3</f>
        <v>13118.907272750577</v>
      </c>
      <c r="U12" s="349">
        <f>U6*24*LOOKUP(Semidetached!U$2,'HDD-by Country'!$A$4:$A$40,'HDD-by Country'!$C$4:$C$40)/1000/Semidetached!U$3</f>
        <v>17804.261984239613</v>
      </c>
      <c r="V12" s="349">
        <f>V6*24*LOOKUP(Semidetached!V$2,'HDD-by Country'!$A$4:$A$40,'HDD-by Country'!$C$4:$C$40)/1000/Semidetached!V$3</f>
        <v>18379.26652055448</v>
      </c>
      <c r="W12" s="349">
        <f>W6*24*LOOKUP(Semidetached!W$2,'HDD-by Country'!$A$4:$A$40,'HDD-by Country'!$C$4:$C$40)/1000/Semidetached!W$3</f>
        <v>19845.131756457336</v>
      </c>
      <c r="X12" s="349">
        <f>X6*24*LOOKUP(Semidetached!X$2,'HDD-by Country'!$A$4:$A$40,'HDD-by Country'!$C$4:$C$40)/1000/Semidetached!X$3</f>
        <v>20340.533314294429</v>
      </c>
      <c r="Y12" s="349">
        <f>Y6*24*LOOKUP(Semidetached!Y$2,'HDD-by Country'!$A$4:$A$40,'HDD-by Country'!$C$4:$C$40)/1000/Semidetached!Y$3</f>
        <v>7247.2488016875586</v>
      </c>
      <c r="Z12" s="349">
        <f>Z6*24*LOOKUP(Semidetached!Z$2,'HDD-by Country'!$A$4:$A$40,'HDD-by Country'!$C$4:$C$40)/1000/Semidetached!Z$3</f>
        <v>22184.993655743048</v>
      </c>
      <c r="AA12" s="349">
        <f>AA6*24*LOOKUP(Semidetached!AA$2,'HDD-by Country'!$A$4:$A$40,'HDD-by Country'!$C$4:$C$40)/1000/Semidetached!AA$3</f>
        <v>14903.403472453485</v>
      </c>
      <c r="AB12" s="349">
        <f>AB6*24*LOOKUP(Semidetached!AB$2,'HDD-by Country'!$A$4:$A$40,'HDD-by Country'!$C$4:$C$40)/1000/Semidetached!AB$3</f>
        <v>18579.836232899928</v>
      </c>
      <c r="AC12" s="349">
        <f>AC6*24*LOOKUP(Semidetached!AC$2,'HDD-by Country'!$A$4:$A$40,'HDD-by Country'!$C$4:$C$40)/1000/Semidetached!AC$3</f>
        <v>13571.739854662277</v>
      </c>
      <c r="AD12" s="349">
        <f>AD6*24*LOOKUP(Semidetached!AD$2,'HDD-by Country'!$A$4:$A$40,'HDD-by Country'!$C$4:$C$40)/1000/Semidetached!AD$3</f>
        <v>17315.943575440731</v>
      </c>
      <c r="AE12" s="349">
        <f>AE6*24*LOOKUP(Semidetached!AE$2,'HDD-by Country'!$A$4:$A$40,'HDD-by Country'!$C$4:$C$40)/1000/Semidetached!AE$3</f>
        <v>14159.04019527228</v>
      </c>
      <c r="AF12" s="349">
        <f>AF6*24*LOOKUP(Semidetached!AF$2,'HDD-by Country'!$A$4:$A$40,'HDD-by Country'!$C$4:$C$40)/1000/Semidetached!AF$3</f>
        <v>17417.463861282395</v>
      </c>
      <c r="AG12" s="349">
        <f>AG6*24*LOOKUP(Semidetached!AG$2,'HDD-by Country'!$A$4:$A$40,'HDD-by Country'!$C$4:$C$40)/1000/Semidetached!AG$3</f>
        <v>21717.509069415668</v>
      </c>
      <c r="AH12" s="349">
        <f>AH6*24*LOOKUP(Semidetached!AH$2,'HDD-by Country'!$A$4:$A$40,'HDD-by Country'!$C$4:$C$40)/1000/Semidetached!AH$3</f>
        <v>23544.284131259337</v>
      </c>
      <c r="AI12" s="349">
        <f>AI6*24*LOOKUP(Semidetached!AI$2,'HDD-by Country'!$A$4:$A$40,'HDD-by Country'!$C$4:$C$40)/1000/Semidetached!AI$3</f>
        <v>18639.406483983872</v>
      </c>
      <c r="AJ12" s="349">
        <f>AJ6*24*LOOKUP(Semidetached!AJ$2,'HDD-by Country'!$A$4:$A$40,'HDD-by Country'!$C$4:$C$40)/1000/Semidetached!AJ$3</f>
        <v>13140.994451275283</v>
      </c>
      <c r="AK12" s="349">
        <f>AK6*24*LOOKUP(Semidetached!AK$2,'HDD-by Country'!$A$4:$A$40,'HDD-by Country'!$C$4:$C$40)/1000/Semidetached!AK$3</f>
        <v>14290.333050743788</v>
      </c>
      <c r="AL12" s="349">
        <f>AL6*24*LOOKUP(Semidetached!AL$2,'HDD-by Country'!$A$4:$A$40,'HDD-by Country'!$C$4:$C$40)/1000/Semidetached!AL$3</f>
        <v>13345.704660924976</v>
      </c>
      <c r="AM12" s="349">
        <f>AM6*24*LOOKUP(Semidetached!AM$2,'HDD-by Country'!$A$4:$A$40,'HDD-by Country'!$C$4:$C$40)/1000/Semidetached!AM$3</f>
        <v>12084.138292462931</v>
      </c>
      <c r="AN12" s="354">
        <f>AN6*24*LOOKUP(Semidetached!AN$2,'HDD-by Country'!$A$4:$A$40,'HDD-by Country'!$C$4:$C$40)/1000/Semidetached!AN$3</f>
        <v>12084.138292462931</v>
      </c>
    </row>
    <row r="13" spans="1:40">
      <c r="A13" s="129"/>
      <c r="B13" s="142" t="s">
        <v>4</v>
      </c>
      <c r="C13" s="129" t="s">
        <v>261</v>
      </c>
      <c r="D13" s="345">
        <f>D7*24*LOOKUP(Semidetached!D$2,'HDD-by Country'!$A$4:$A$40,'HDD-by Country'!$C$4:$C$40)/1000/Semidetached!D$3</f>
        <v>17386.978262141783</v>
      </c>
      <c r="E13" s="349">
        <f>E7*24*LOOKUP(Semidetached!E$2,'HDD-by Country'!$A$4:$A$40,'HDD-by Country'!$C$4:$C$40)/1000/Semidetached!E$3</f>
        <v>24805.74370728857</v>
      </c>
      <c r="F13" s="349">
        <f>F7*24*LOOKUP(Semidetached!F$2,'HDD-by Country'!$A$4:$A$40,'HDD-by Country'!$C$4:$C$40)/1000/Semidetached!F$3</f>
        <v>11817.410611045394</v>
      </c>
      <c r="G13" s="349">
        <f>G7*24*LOOKUP(Semidetached!G$2,'HDD-by Country'!$A$4:$A$40,'HDD-by Country'!$C$4:$C$40)/1000/Semidetached!G$3</f>
        <v>17481.357245348987</v>
      </c>
      <c r="H13" s="349">
        <f>H7*24*LOOKUP(Semidetached!H$2,'HDD-by Country'!$A$4:$A$40,'HDD-by Country'!$C$4:$C$40)/1000/Semidetached!H$3</f>
        <v>8032.2395935107706</v>
      </c>
      <c r="I13" s="349">
        <f>I7*24*LOOKUP(Semidetached!I$2,'HDD-by Country'!$A$4:$A$40,'HDD-by Country'!$C$4:$C$40)/1000/Semidetached!I$3</f>
        <v>14280.313143131099</v>
      </c>
      <c r="J13" s="349">
        <f>J7*24*LOOKUP(Semidetached!J$2,'HDD-by Country'!$A$4:$A$40,'HDD-by Country'!$C$4:$C$40)/1000/Semidetached!J$3</f>
        <v>13322.523139928546</v>
      </c>
      <c r="K13" s="349">
        <f>K7*24*LOOKUP(Semidetached!K$2,'HDD-by Country'!$A$4:$A$40,'HDD-by Country'!$C$4:$C$40)/1000/Semidetached!K$3</f>
        <v>9074.1030688754272</v>
      </c>
      <c r="L13" s="349">
        <f>L7*24*LOOKUP(Semidetached!L$2,'HDD-by Country'!$A$4:$A$40,'HDD-by Country'!$C$4:$C$40)/1000/Semidetached!L$3</f>
        <v>8242.0546047173812</v>
      </c>
      <c r="M13" s="349">
        <f>M7*24*LOOKUP(Semidetached!M$2,'HDD-by Country'!$A$4:$A$40,'HDD-by Country'!$C$4:$C$40)/1000/Semidetached!M$3</f>
        <v>19249.307209244511</v>
      </c>
      <c r="N13" s="349">
        <f>N7*24*LOOKUP(Semidetached!N$2,'HDD-by Country'!$A$4:$A$40,'HDD-by Country'!$C$4:$C$40)/1000/Semidetached!N$3</f>
        <v>12414.415185791651</v>
      </c>
      <c r="O13" s="349">
        <f>O7*24*LOOKUP(Semidetached!O$2,'HDD-by Country'!$A$4:$A$40,'HDD-by Country'!$C$4:$C$40)/1000/Semidetached!O$3</f>
        <v>11453.960596924431</v>
      </c>
      <c r="P13" s="349">
        <f>P7*24*LOOKUP(Semidetached!P$2,'HDD-by Country'!$A$4:$A$40,'HDD-by Country'!$C$4:$C$40)/1000/Semidetached!P$3</f>
        <v>19190.920167886881</v>
      </c>
      <c r="Q13" s="349">
        <f>Q7*24*LOOKUP(Semidetached!Q$2,'HDD-by Country'!$A$4:$A$40,'HDD-by Country'!$C$4:$C$40)/1000/Semidetached!Q$3</f>
        <v>10966.974980602385</v>
      </c>
      <c r="R13" s="349">
        <f>R7*24*LOOKUP(Semidetached!R$2,'HDD-by Country'!$A$4:$A$40,'HDD-by Country'!$C$4:$C$40)/1000/Semidetached!R$3</f>
        <v>14665.881494961932</v>
      </c>
      <c r="S13" s="349">
        <f>S7*24*LOOKUP(Semidetached!S$2,'HDD-by Country'!$A$4:$A$40,'HDD-by Country'!$C$4:$C$40)/1000/Semidetached!S$3</f>
        <v>20820.646094544616</v>
      </c>
      <c r="T13" s="349">
        <f>T7*24*LOOKUP(Semidetached!T$2,'HDD-by Country'!$A$4:$A$40,'HDD-by Country'!$C$4:$C$40)/1000/Semidetached!T$3</f>
        <v>10628.022384212441</v>
      </c>
      <c r="U13" s="349">
        <f>U7*24*LOOKUP(Semidetached!U$2,'HDD-by Country'!$A$4:$A$40,'HDD-by Country'!$C$4:$C$40)/1000/Semidetached!U$3</f>
        <v>16887.794887305277</v>
      </c>
      <c r="V13" s="349">
        <f>V7*24*LOOKUP(Semidetached!V$2,'HDD-by Country'!$A$4:$A$40,'HDD-by Country'!$C$4:$C$40)/1000/Semidetached!V$3</f>
        <v>11391.14365555782</v>
      </c>
      <c r="W13" s="349">
        <f>W7*24*LOOKUP(Semidetached!W$2,'HDD-by Country'!$A$4:$A$40,'HDD-by Country'!$C$4:$C$40)/1000/Semidetached!W$3</f>
        <v>9905.1026281704053</v>
      </c>
      <c r="X13" s="349">
        <f>X7*24*LOOKUP(Semidetached!X$2,'HDD-by Country'!$A$4:$A$40,'HDD-by Country'!$C$4:$C$40)/1000/Semidetached!X$3</f>
        <v>18601.068940348305</v>
      </c>
      <c r="Y13" s="349">
        <f>Y7*24*LOOKUP(Semidetached!Y$2,'HDD-by Country'!$A$4:$A$40,'HDD-by Country'!$C$4:$C$40)/1000/Semidetached!Y$3</f>
        <v>6009.6013444915407</v>
      </c>
      <c r="Z13" s="349">
        <f>Z7*24*LOOKUP(Semidetached!Z$2,'HDD-by Country'!$A$4:$A$40,'HDD-by Country'!$C$4:$C$40)/1000/Semidetached!Z$3</f>
        <v>21112.918108123358</v>
      </c>
      <c r="AA13" s="349">
        <f>AA7*24*LOOKUP(Semidetached!AA$2,'HDD-by Country'!$A$4:$A$40,'HDD-by Country'!$C$4:$C$40)/1000/Semidetached!AA$3</f>
        <v>9511.4970371812724</v>
      </c>
      <c r="AB13" s="349">
        <f>AB7*24*LOOKUP(Semidetached!AB$2,'HDD-by Country'!$A$4:$A$40,'HDD-by Country'!$C$4:$C$40)/1000/Semidetached!AB$3</f>
        <v>12857.247678937354</v>
      </c>
      <c r="AC13" s="349">
        <f>AC7*24*LOOKUP(Semidetached!AC$2,'HDD-by Country'!$A$4:$A$40,'HDD-by Country'!$C$4:$C$40)/1000/Semidetached!AC$3</f>
        <v>13226.688764501787</v>
      </c>
      <c r="AD13" s="349">
        <f>AD7*24*LOOKUP(Semidetached!AD$2,'HDD-by Country'!$A$4:$A$40,'HDD-by Country'!$C$4:$C$40)/1000/Semidetached!AD$3</f>
        <v>17315.943575440731</v>
      </c>
      <c r="AE13" s="349">
        <f>AE7*24*LOOKUP(Semidetached!AE$2,'HDD-by Country'!$A$4:$A$40,'HDD-by Country'!$C$4:$C$40)/1000/Semidetached!AE$3</f>
        <v>9057.129239274007</v>
      </c>
      <c r="AF13" s="349">
        <f>AF7*24*LOOKUP(Semidetached!AF$2,'HDD-by Country'!$A$4:$A$40,'HDD-by Country'!$C$4:$C$40)/1000/Semidetached!AF$3</f>
        <v>15797.094806862513</v>
      </c>
      <c r="AG13" s="349">
        <f>AG7*24*LOOKUP(Semidetached!AG$2,'HDD-by Country'!$A$4:$A$40,'HDD-by Country'!$C$4:$C$40)/1000/Semidetached!AG$3</f>
        <v>21717.509069415668</v>
      </c>
      <c r="AH13" s="349">
        <f>AH7*24*LOOKUP(Semidetached!AH$2,'HDD-by Country'!$A$4:$A$40,'HDD-by Country'!$C$4:$C$40)/1000/Semidetached!AH$3</f>
        <v>17238.259901317357</v>
      </c>
      <c r="AI13" s="349">
        <f>AI7*24*LOOKUP(Semidetached!AI$2,'HDD-by Country'!$A$4:$A$40,'HDD-by Country'!$C$4:$C$40)/1000/Semidetached!AI$3</f>
        <v>18639.406483983872</v>
      </c>
      <c r="AJ13" s="349">
        <f>AJ7*24*LOOKUP(Semidetached!AJ$2,'HDD-by Country'!$A$4:$A$40,'HDD-by Country'!$C$4:$C$40)/1000/Semidetached!AJ$3</f>
        <v>13140.994451275283</v>
      </c>
      <c r="AK13" s="349">
        <f>AK7*24*LOOKUP(Semidetached!AK$2,'HDD-by Country'!$A$4:$A$40,'HDD-by Country'!$C$4:$C$40)/1000/Semidetached!AK$3</f>
        <v>14290.333050743788</v>
      </c>
      <c r="AL13" s="349">
        <f>AL7*24*LOOKUP(Semidetached!AL$2,'HDD-by Country'!$A$4:$A$40,'HDD-by Country'!$C$4:$C$40)/1000/Semidetached!AL$3</f>
        <v>12427.249449826135</v>
      </c>
      <c r="AM13" s="349">
        <f>AM7*24*LOOKUP(Semidetached!AM$2,'HDD-by Country'!$A$4:$A$40,'HDD-by Country'!$C$4:$C$40)/1000/Semidetached!AM$3</f>
        <v>12084.138292462931</v>
      </c>
      <c r="AN13" s="354">
        <f>AN7*24*LOOKUP(Semidetached!AN$2,'HDD-by Country'!$A$4:$A$40,'HDD-by Country'!$C$4:$C$40)/1000/Semidetached!AN$3</f>
        <v>12084.138292462931</v>
      </c>
    </row>
    <row r="14" spans="1:40">
      <c r="A14" s="129"/>
      <c r="B14" s="142" t="s">
        <v>5</v>
      </c>
      <c r="C14" s="129" t="s">
        <v>261</v>
      </c>
      <c r="D14" s="345">
        <f>D8*24*LOOKUP(Semidetached!D$2,'HDD-by Country'!$A$4:$A$40,'HDD-by Country'!$C$4:$C$40)/1000/Semidetached!D$3</f>
        <v>11512.002037727389</v>
      </c>
      <c r="E14" s="349">
        <f>E8*24*LOOKUP(Semidetached!E$2,'HDD-by Country'!$A$4:$A$40,'HDD-by Country'!$C$4:$C$40)/1000/Semidetached!E$3</f>
        <v>20288.842065506782</v>
      </c>
      <c r="F14" s="349">
        <f>F8*24*LOOKUP(Semidetached!F$2,'HDD-by Country'!$A$4:$A$40,'HDD-by Country'!$C$4:$C$40)/1000/Semidetached!F$3</f>
        <v>9878.1475323288341</v>
      </c>
      <c r="G14" s="349">
        <f>G8*24*LOOKUP(Semidetached!G$2,'HDD-by Country'!$A$4:$A$40,'HDD-by Country'!$C$4:$C$40)/1000/Semidetached!G$3</f>
        <v>11543.948489662534</v>
      </c>
      <c r="H14" s="349">
        <f>H8*24*LOOKUP(Semidetached!H$2,'HDD-by Country'!$A$4:$A$40,'HDD-by Country'!$C$4:$C$40)/1000/Semidetached!H$3</f>
        <v>7696.012388593831</v>
      </c>
      <c r="I14" s="349">
        <f>I8*24*LOOKUP(Semidetached!I$2,'HDD-by Country'!$A$4:$A$40,'HDD-by Country'!$C$4:$C$40)/1000/Semidetached!I$3</f>
        <v>12348.775734492168</v>
      </c>
      <c r="J14" s="349">
        <f>J8*24*LOOKUP(Semidetached!J$2,'HDD-by Country'!$A$4:$A$40,'HDD-by Country'!$C$4:$C$40)/1000/Semidetached!J$3</f>
        <v>9872.0711598409816</v>
      </c>
      <c r="K14" s="349">
        <f>K8*24*LOOKUP(Semidetached!K$2,'HDD-by Country'!$A$4:$A$40,'HDD-by Country'!$C$4:$C$40)/1000/Semidetached!K$3</f>
        <v>7399.2948300157659</v>
      </c>
      <c r="L14" s="349">
        <f>L8*24*LOOKUP(Semidetached!L$2,'HDD-by Country'!$A$4:$A$40,'HDD-by Country'!$C$4:$C$40)/1000/Semidetached!L$3</f>
        <v>6740.4231542534317</v>
      </c>
      <c r="M14" s="349">
        <f>M8*24*LOOKUP(Semidetached!M$2,'HDD-by Country'!$A$4:$A$40,'HDD-by Country'!$C$4:$C$40)/1000/Semidetached!M$3</f>
        <v>12049.356419626616</v>
      </c>
      <c r="N14" s="349">
        <f>N8*24*LOOKUP(Semidetached!N$2,'HDD-by Country'!$A$4:$A$40,'HDD-by Country'!$C$4:$C$40)/1000/Semidetached!N$3</f>
        <v>10340.701635153073</v>
      </c>
      <c r="O14" s="349">
        <f>O8*24*LOOKUP(Semidetached!O$2,'HDD-by Country'!$A$4:$A$40,'HDD-by Country'!$C$4:$C$40)/1000/Semidetached!O$3</f>
        <v>9611.0386218250624</v>
      </c>
      <c r="P14" s="349">
        <f>P8*24*LOOKUP(Semidetached!P$2,'HDD-by Country'!$A$4:$A$40,'HDD-by Country'!$C$4:$C$40)/1000/Semidetached!P$3</f>
        <v>18498.106560832573</v>
      </c>
      <c r="Q14" s="349">
        <f>Q8*24*LOOKUP(Semidetached!Q$2,'HDD-by Country'!$A$4:$A$40,'HDD-by Country'!$C$4:$C$40)/1000/Semidetached!Q$3</f>
        <v>10966.974980602385</v>
      </c>
      <c r="R14" s="349">
        <f>R8*24*LOOKUP(Semidetached!R$2,'HDD-by Country'!$A$4:$A$40,'HDD-by Country'!$C$4:$C$40)/1000/Semidetached!R$3</f>
        <v>10381.690388031939</v>
      </c>
      <c r="S14" s="349">
        <f>S8*24*LOOKUP(Semidetached!S$2,'HDD-by Country'!$A$4:$A$40,'HDD-by Country'!$C$4:$C$40)/1000/Semidetached!S$3</f>
        <v>12555.501818089733</v>
      </c>
      <c r="T14" s="349">
        <f>T8*24*LOOKUP(Semidetached!T$2,'HDD-by Country'!$A$4:$A$40,'HDD-by Country'!$C$4:$C$40)/1000/Semidetached!T$3</f>
        <v>8849.7451300342636</v>
      </c>
      <c r="U14" s="349">
        <f>U8*24*LOOKUP(Semidetached!U$2,'HDD-by Country'!$A$4:$A$40,'HDD-by Country'!$C$4:$C$40)/1000/Semidetached!U$3</f>
        <v>13277.097246901634</v>
      </c>
      <c r="V14" s="349">
        <f>V8*24*LOOKUP(Semidetached!V$2,'HDD-by Country'!$A$4:$A$40,'HDD-by Country'!$C$4:$C$40)/1000/Semidetached!V$3</f>
        <v>11391.14365555782</v>
      </c>
      <c r="W14" s="349">
        <f>W8*24*LOOKUP(Semidetached!W$2,'HDD-by Country'!$A$4:$A$40,'HDD-by Country'!$C$4:$C$40)/1000/Semidetached!W$3</f>
        <v>8774.7919676138408</v>
      </c>
      <c r="X14" s="349">
        <f>X8*24*LOOKUP(Semidetached!X$2,'HDD-by Country'!$A$4:$A$40,'HDD-by Country'!$C$4:$C$40)/1000/Semidetached!X$3</f>
        <v>10267.586720064277</v>
      </c>
      <c r="Y14" s="349">
        <f>Y8*24*LOOKUP(Semidetached!Y$2,'HDD-by Country'!$A$4:$A$40,'HDD-by Country'!$C$4:$C$40)/1000/Semidetached!Y$3</f>
        <v>5291.8955380288089</v>
      </c>
      <c r="Z14" s="349">
        <f>Z8*24*LOOKUP(Semidetached!Z$2,'HDD-by Country'!$A$4:$A$40,'HDD-by Country'!$C$4:$C$40)/1000/Semidetached!Z$3</f>
        <v>12434.146706628286</v>
      </c>
      <c r="AA14" s="349">
        <f>AA8*24*LOOKUP(Semidetached!AA$2,'HDD-by Country'!$A$4:$A$40,'HDD-by Country'!$C$4:$C$40)/1000/Semidetached!AA$3</f>
        <v>9511.4970371812724</v>
      </c>
      <c r="AB14" s="349">
        <f>AB8*24*LOOKUP(Semidetached!AB$2,'HDD-by Country'!$A$4:$A$40,'HDD-by Country'!$C$4:$C$40)/1000/Semidetached!AB$3</f>
        <v>12857.247678937354</v>
      </c>
      <c r="AC14" s="349">
        <f>AC8*24*LOOKUP(Semidetached!AC$2,'HDD-by Country'!$A$4:$A$40,'HDD-by Country'!$C$4:$C$40)/1000/Semidetached!AC$3</f>
        <v>12774.309872711538</v>
      </c>
      <c r="AD14" s="349">
        <f>AD8*24*LOOKUP(Semidetached!AD$2,'HDD-by Country'!$A$4:$A$40,'HDD-by Country'!$C$4:$C$40)/1000/Semidetached!AD$3</f>
        <v>14513.358998240672</v>
      </c>
      <c r="AE14" s="349">
        <f>AE8*24*LOOKUP(Semidetached!AE$2,'HDD-by Country'!$A$4:$A$40,'HDD-by Country'!$C$4:$C$40)/1000/Semidetached!AE$3</f>
        <v>9057.129239274007</v>
      </c>
      <c r="AF14" s="349">
        <f>AF8*24*LOOKUP(Semidetached!AF$2,'HDD-by Country'!$A$4:$A$40,'HDD-by Country'!$C$4:$C$40)/1000/Semidetached!AF$3</f>
        <v>12226.355538326372</v>
      </c>
      <c r="AG14" s="349">
        <f>AG8*24*LOOKUP(Semidetached!AG$2,'HDD-by Country'!$A$4:$A$40,'HDD-by Country'!$C$4:$C$40)/1000/Semidetached!AG$3</f>
        <v>18556.047302091185</v>
      </c>
      <c r="AH14" s="349">
        <f>AH8*24*LOOKUP(Semidetached!AH$2,'HDD-by Country'!$A$4:$A$40,'HDD-by Country'!$C$4:$C$40)/1000/Semidetached!AH$3</f>
        <v>8956.3377376012104</v>
      </c>
      <c r="AI14" s="349">
        <f>AI8*24*LOOKUP(Semidetached!AI$2,'HDD-by Country'!$A$4:$A$40,'HDD-by Country'!$C$4:$C$40)/1000/Semidetached!AI$3</f>
        <v>17946.592876929564</v>
      </c>
      <c r="AJ14" s="349">
        <f>AJ8*24*LOOKUP(Semidetached!AJ$2,'HDD-by Country'!$A$4:$A$40,'HDD-by Country'!$C$4:$C$40)/1000/Semidetached!AJ$3</f>
        <v>10990.708189441169</v>
      </c>
      <c r="AK14" s="349">
        <f>AK8*24*LOOKUP(Semidetached!AK$2,'HDD-by Country'!$A$4:$A$40,'HDD-by Country'!$C$4:$C$40)/1000/Semidetached!AK$3</f>
        <v>11872.128385847542</v>
      </c>
      <c r="AL14" s="349">
        <f>AL8*24*LOOKUP(Semidetached!AL$2,'HDD-by Country'!$A$4:$A$40,'HDD-by Country'!$C$4:$C$40)/1000/Semidetached!AL$3</f>
        <v>10373.811123835205</v>
      </c>
      <c r="AM14" s="349">
        <f>AM8*24*LOOKUP(Semidetached!AM$2,'HDD-by Country'!$A$4:$A$40,'HDD-by Country'!$C$4:$C$40)/1000/Semidetached!AM$3</f>
        <v>10106.7874418304</v>
      </c>
      <c r="AN14" s="354">
        <f>AN8*24*LOOKUP(Semidetached!AN$2,'HDD-by Country'!$A$4:$A$40,'HDD-by Country'!$C$4:$C$40)/1000/Semidetached!AN$3</f>
        <v>10106.7874418304</v>
      </c>
    </row>
    <row r="15" spans="1:40">
      <c r="A15" s="129"/>
      <c r="B15" s="142" t="s">
        <v>6</v>
      </c>
      <c r="C15" s="129" t="s">
        <v>261</v>
      </c>
      <c r="D15" s="345">
        <f>D9*24*LOOKUP(Semidetached!D$2,'HDD-by Country'!$A$4:$A$40,'HDD-by Country'!$C$4:$C$40)/1000/Semidetached!D$3</f>
        <v>9856.3788595975802</v>
      </c>
      <c r="E15" s="349">
        <f>E9*24*LOOKUP(Semidetached!E$2,'HDD-by Country'!$A$4:$A$40,'HDD-by Country'!$C$4:$C$40)/1000/Semidetached!E$3</f>
        <v>20288.842065506782</v>
      </c>
      <c r="F15" s="349">
        <f>F9*24*LOOKUP(Semidetached!F$2,'HDD-by Country'!$A$4:$A$40,'HDD-by Country'!$C$4:$C$40)/1000/Semidetached!F$3</f>
        <v>7320.7055986047717</v>
      </c>
      <c r="G15" s="349">
        <f>G9*24*LOOKUP(Semidetached!G$2,'HDD-by Country'!$A$4:$A$40,'HDD-by Country'!$C$4:$C$40)/1000/Semidetached!G$3</f>
        <v>9879.2111156545598</v>
      </c>
      <c r="H15" s="349">
        <f>H9*24*LOOKUP(Semidetached!H$2,'HDD-by Country'!$A$4:$A$40,'HDD-by Country'!$C$4:$C$40)/1000/Semidetached!H$3</f>
        <v>7696.012388593831</v>
      </c>
      <c r="I15" s="349">
        <f>I9*24*LOOKUP(Semidetached!I$2,'HDD-by Country'!$A$4:$A$40,'HDD-by Country'!$C$4:$C$40)/1000/Semidetached!I$3</f>
        <v>9147.2288758850173</v>
      </c>
      <c r="J15" s="349">
        <f>J9*24*LOOKUP(Semidetached!J$2,'HDD-by Country'!$A$4:$A$40,'HDD-by Country'!$C$4:$C$40)/1000/Semidetached!J$3</f>
        <v>6050.4632473647762</v>
      </c>
      <c r="K15" s="349">
        <f>K9*24*LOOKUP(Semidetached!K$2,'HDD-by Country'!$A$4:$A$40,'HDD-by Country'!$C$4:$C$40)/1000/Semidetached!K$3</f>
        <v>7399.2948300157659</v>
      </c>
      <c r="L15" s="349">
        <f>L9*24*LOOKUP(Semidetached!L$2,'HDD-by Country'!$A$4:$A$40,'HDD-by Country'!$C$4:$C$40)/1000/Semidetached!L$3</f>
        <v>5900.4086297368513</v>
      </c>
      <c r="M15" s="349">
        <f>M9*24*LOOKUP(Semidetached!M$2,'HDD-by Country'!$A$4:$A$40,'HDD-by Country'!$C$4:$C$40)/1000/Semidetached!M$3</f>
        <v>12049.356419626616</v>
      </c>
      <c r="N15" s="349">
        <f>N9*24*LOOKUP(Semidetached!N$2,'HDD-by Country'!$A$4:$A$40,'HDD-by Country'!$C$4:$C$40)/1000/Semidetached!N$3</f>
        <v>10184.631253180003</v>
      </c>
      <c r="O15" s="349">
        <f>O9*24*LOOKUP(Semidetached!O$2,'HDD-by Country'!$A$4:$A$40,'HDD-by Country'!$C$4:$C$40)/1000/Semidetached!O$3</f>
        <v>5611.9855502676483</v>
      </c>
      <c r="P15" s="349">
        <f>P9*24*LOOKUP(Semidetached!P$2,'HDD-by Country'!$A$4:$A$40,'HDD-by Country'!$C$4:$C$40)/1000/Semidetached!P$3</f>
        <v>18498.106560832573</v>
      </c>
      <c r="Q15" s="349">
        <f>Q9*24*LOOKUP(Semidetached!Q$2,'HDD-by Country'!$A$4:$A$40,'HDD-by Country'!$C$4:$C$40)/1000/Semidetached!Q$3</f>
        <v>7613.1508873445773</v>
      </c>
      <c r="R15" s="349">
        <f>R9*24*LOOKUP(Semidetached!R$2,'HDD-by Country'!$A$4:$A$40,'HDD-by Country'!$C$4:$C$40)/1000/Semidetached!R$3</f>
        <v>10381.690388031939</v>
      </c>
      <c r="S15" s="349">
        <f>S9*24*LOOKUP(Semidetached!S$2,'HDD-by Country'!$A$4:$A$40,'HDD-by Country'!$C$4:$C$40)/1000/Semidetached!S$3</f>
        <v>10438.222072248345</v>
      </c>
      <c r="T15" s="349">
        <f>T9*24*LOOKUP(Semidetached!T$2,'HDD-by Country'!$A$4:$A$40,'HDD-by Country'!$C$4:$C$40)/1000/Semidetached!T$3</f>
        <v>8715.7040917377017</v>
      </c>
      <c r="U15" s="349">
        <f>U9*24*LOOKUP(Semidetached!U$2,'HDD-by Country'!$A$4:$A$40,'HDD-by Country'!$C$4:$C$40)/1000/Semidetached!U$3</f>
        <v>12112.575094819484</v>
      </c>
      <c r="V15" s="349">
        <f>V9*24*LOOKUP(Semidetached!V$2,'HDD-by Country'!$A$4:$A$40,'HDD-by Country'!$C$4:$C$40)/1000/Semidetached!V$3</f>
        <v>11391.14365555782</v>
      </c>
      <c r="W15" s="349">
        <f>W9*24*LOOKUP(Semidetached!W$2,'HDD-by Country'!$A$4:$A$40,'HDD-by Country'!$C$4:$C$40)/1000/Semidetached!W$3</f>
        <v>7692.4738442892012</v>
      </c>
      <c r="X15" s="349">
        <f>X9*24*LOOKUP(Semidetached!X$2,'HDD-by Country'!$A$4:$A$40,'HDD-by Country'!$C$4:$C$40)/1000/Semidetached!X$3</f>
        <v>10038.315932647691</v>
      </c>
      <c r="Y15" s="349">
        <f>Y9*24*LOOKUP(Semidetached!Y$2,'HDD-by Country'!$A$4:$A$40,'HDD-by Country'!$C$4:$C$40)/1000/Semidetached!Y$3</f>
        <v>5155.5314348008897</v>
      </c>
      <c r="Z15" s="349">
        <f>Z9*24*LOOKUP(Semidetached!Z$2,'HDD-by Country'!$A$4:$A$40,'HDD-by Country'!$C$4:$C$40)/1000/Semidetached!Z$3</f>
        <v>11212.735298754465</v>
      </c>
      <c r="AA15" s="349">
        <f>AA9*24*LOOKUP(Semidetached!AA$2,'HDD-by Country'!$A$4:$A$40,'HDD-by Country'!$C$4:$C$40)/1000/Semidetached!AA$3</f>
        <v>8370.2390466116794</v>
      </c>
      <c r="AB15" s="349">
        <f>AB9*24*LOOKUP(Semidetached!AB$2,'HDD-by Country'!$A$4:$A$40,'HDD-by Country'!$C$4:$C$40)/1000/Semidetached!AB$3</f>
        <v>12857.247678937354</v>
      </c>
      <c r="AC15" s="349">
        <f>AC9*24*LOOKUP(Semidetached!AC$2,'HDD-by Country'!$A$4:$A$40,'HDD-by Country'!$C$4:$C$40)/1000/Semidetached!AC$3</f>
        <v>11697.026544050799</v>
      </c>
      <c r="AD15" s="349">
        <f>AD9*24*LOOKUP(Semidetached!AD$2,'HDD-by Country'!$A$4:$A$40,'HDD-by Country'!$C$4:$C$40)/1000/Semidetached!AD$3</f>
        <v>14513.358998240672</v>
      </c>
      <c r="AE15" s="349">
        <f>AE9*24*LOOKUP(Semidetached!AE$2,'HDD-by Country'!$A$4:$A$40,'HDD-by Country'!$C$4:$C$40)/1000/Semidetached!AE$3</f>
        <v>7974.3268039666082</v>
      </c>
      <c r="AF15" s="349">
        <f>AF9*24*LOOKUP(Semidetached!AF$2,'HDD-by Country'!$A$4:$A$40,'HDD-by Country'!$C$4:$C$40)/1000/Semidetached!AF$3</f>
        <v>8366.3207795196085</v>
      </c>
      <c r="AG15" s="349">
        <f>AG9*24*LOOKUP(Semidetached!AG$2,'HDD-by Country'!$A$4:$A$40,'HDD-by Country'!$C$4:$C$40)/1000/Semidetached!AG$3</f>
        <v>16351.200705684912</v>
      </c>
      <c r="AH15" s="349">
        <f>AH9*24*LOOKUP(Semidetached!AH$2,'HDD-by Country'!$A$4:$A$40,'HDD-by Country'!$C$4:$C$40)/1000/Semidetached!AH$3</f>
        <v>7293.0563904962519</v>
      </c>
      <c r="AI15" s="349">
        <f>AI9*24*LOOKUP(Semidetached!AI$2,'HDD-by Country'!$A$4:$A$40,'HDD-by Country'!$C$4:$C$40)/1000/Semidetached!AI$3</f>
        <v>17946.592876929564</v>
      </c>
      <c r="AJ15" s="349">
        <f>AJ9*24*LOOKUP(Semidetached!AJ$2,'HDD-by Country'!$A$4:$A$40,'HDD-by Country'!$C$4:$C$40)/1000/Semidetached!AJ$3</f>
        <v>10188.827846940052</v>
      </c>
      <c r="AK15" s="349">
        <f>AK9*24*LOOKUP(Semidetached!AK$2,'HDD-by Country'!$A$4:$A$40,'HDD-by Country'!$C$4:$C$40)/1000/Semidetached!AK$3</f>
        <v>10975.117316744057</v>
      </c>
      <c r="AL15" s="349">
        <f>AL9*24*LOOKUP(Semidetached!AL$2,'HDD-by Country'!$A$4:$A$40,'HDD-by Country'!$C$4:$C$40)/1000/Semidetached!AL$3</f>
        <v>7648.1169238392649</v>
      </c>
      <c r="AM15" s="349">
        <f>AM9*24*LOOKUP(Semidetached!AM$2,'HDD-by Country'!$A$4:$A$40,'HDD-by Country'!$C$4:$C$40)/1000/Semidetached!AM$3</f>
        <v>9369.3978181820403</v>
      </c>
      <c r="AN15" s="354">
        <f>AN9*24*LOOKUP(Semidetached!AN$2,'HDD-by Country'!$A$4:$A$40,'HDD-by Country'!$C$4:$C$40)/1000/Semidetached!AN$3</f>
        <v>9369.3978181820403</v>
      </c>
    </row>
    <row r="16" spans="1:40">
      <c r="A16" s="130"/>
      <c r="B16" s="142" t="s">
        <v>7</v>
      </c>
      <c r="C16" s="129" t="s">
        <v>261</v>
      </c>
      <c r="D16" s="345">
        <f>D10*24*LOOKUP(Semidetached!D$2,'HDD-by Country'!$A$4:$A$40,'HDD-by Country'!$C$4:$C$40)/1000/Semidetached!D$3</f>
        <v>8596.3313395310615</v>
      </c>
      <c r="E16" s="349">
        <f>E10*24*LOOKUP(Semidetached!E$2,'HDD-by Country'!$A$4:$A$40,'HDD-by Country'!$C$4:$C$40)/1000/Semidetached!E$3</f>
        <v>11163.789472628234</v>
      </c>
      <c r="F16" s="349">
        <f>F10*24*LOOKUP(Semidetached!F$2,'HDD-by Country'!$A$4:$A$40,'HDD-by Country'!$C$4:$C$40)/1000/Semidetached!F$3</f>
        <v>4881.0896804460426</v>
      </c>
      <c r="G16" s="349">
        <f>G10*24*LOOKUP(Semidetached!G$2,'HDD-by Country'!$A$4:$A$40,'HDD-by Country'!$C$4:$C$40)/1000/Semidetached!G$3</f>
        <v>8601.6350721688232</v>
      </c>
      <c r="H16" s="349">
        <f>H10*24*LOOKUP(Semidetached!H$2,'HDD-by Country'!$A$4:$A$40,'HDD-by Country'!$C$4:$C$40)/1000/Semidetached!H$3</f>
        <v>5996.1140454067581</v>
      </c>
      <c r="I16" s="349">
        <f>I10*24*LOOKUP(Semidetached!I$2,'HDD-by Country'!$A$4:$A$40,'HDD-by Country'!$C$4:$C$40)/1000/Semidetached!I$3</f>
        <v>7469.6933572397256</v>
      </c>
      <c r="J16" s="349">
        <f>J10*24*LOOKUP(Semidetached!J$2,'HDD-by Country'!$A$4:$A$40,'HDD-by Country'!$C$4:$C$40)/1000/Semidetached!J$3</f>
        <v>6569.2950328105862</v>
      </c>
      <c r="K16" s="349">
        <f>K10*24*LOOKUP(Semidetached!K$2,'HDD-by Country'!$A$4:$A$40,'HDD-by Country'!$C$4:$C$40)/1000/Semidetached!K$3</f>
        <v>5569.5803723355375</v>
      </c>
      <c r="L16" s="349">
        <f>L10*24*LOOKUP(Semidetached!L$2,'HDD-by Country'!$A$4:$A$40,'HDD-by Country'!$C$4:$C$40)/1000/Semidetached!L$3</f>
        <v>5900.4086297368513</v>
      </c>
      <c r="M16" s="349">
        <f>M10*24*LOOKUP(Semidetached!M$2,'HDD-by Country'!$A$4:$A$40,'HDD-by Country'!$C$4:$C$40)/1000/Semidetached!M$3</f>
        <v>7413.0169311545787</v>
      </c>
      <c r="N16" s="349">
        <f>N10*24*LOOKUP(Semidetached!N$2,'HDD-by Country'!$A$4:$A$40,'HDD-by Country'!$C$4:$C$40)/1000/Semidetached!N$3</f>
        <v>9396.4305471784082</v>
      </c>
      <c r="O16" s="349">
        <f>O10*24*LOOKUP(Semidetached!O$2,'HDD-by Country'!$A$4:$A$40,'HDD-by Country'!$C$4:$C$40)/1000/Semidetached!O$3</f>
        <v>5454.3733597162345</v>
      </c>
      <c r="P16" s="349">
        <f>P10*24*LOOKUP(Semidetached!P$2,'HDD-by Country'!$A$4:$A$40,'HDD-by Country'!$C$4:$C$40)/1000/Semidetached!P$3</f>
        <v>5310.1143357402161</v>
      </c>
      <c r="Q16" s="349">
        <f>Q10*24*LOOKUP(Semidetached!Q$2,'HDD-by Country'!$A$4:$A$40,'HDD-by Country'!$C$4:$C$40)/1000/Semidetached!Q$3</f>
        <v>4790.0103383382557</v>
      </c>
      <c r="R16" s="349">
        <f>R10*24*LOOKUP(Semidetached!R$2,'HDD-by Country'!$A$4:$A$40,'HDD-by Country'!$C$4:$C$40)/1000/Semidetached!R$3</f>
        <v>6471.3195047089685</v>
      </c>
      <c r="S16" s="349">
        <f>S10*24*LOOKUP(Semidetached!S$2,'HDD-by Country'!$A$4:$A$40,'HDD-by Country'!$C$4:$C$40)/1000/Semidetached!S$3</f>
        <v>6356.3487594144108</v>
      </c>
      <c r="T16" s="349">
        <f>T10*24*LOOKUP(Semidetached!T$2,'HDD-by Country'!$A$4:$A$40,'HDD-by Country'!$C$4:$C$40)/1000/Semidetached!T$3</f>
        <v>8038.4901674789699</v>
      </c>
      <c r="U16" s="349">
        <f>U10*24*LOOKUP(Semidetached!U$2,'HDD-by Country'!$A$4:$A$40,'HDD-by Country'!$C$4:$C$40)/1000/Semidetached!U$3</f>
        <v>12112.575094819484</v>
      </c>
      <c r="V16" s="349">
        <f>V10*24*LOOKUP(Semidetached!V$2,'HDD-by Country'!$A$4:$A$40,'HDD-by Country'!$C$4:$C$40)/1000/Semidetached!V$3</f>
        <v>6418.4207811223323</v>
      </c>
      <c r="W16" s="349">
        <f>W10*24*LOOKUP(Semidetached!W$2,'HDD-by Country'!$A$4:$A$40,'HDD-by Country'!$C$4:$C$40)/1000/Semidetached!W$3</f>
        <v>6344.7121578641509</v>
      </c>
      <c r="X16" s="349">
        <f>X10*24*LOOKUP(Semidetached!X$2,'HDD-by Country'!$A$4:$A$40,'HDD-by Country'!$C$4:$C$40)/1000/Semidetached!X$3</f>
        <v>6168.6337629028349</v>
      </c>
      <c r="Y16" s="349">
        <f>Y10*24*LOOKUP(Semidetached!Y$2,'HDD-by Country'!$A$4:$A$40,'HDD-by Country'!$C$4:$C$40)/1000/Semidetached!Y$3</f>
        <v>4907.8915905423482</v>
      </c>
      <c r="Z16" s="349">
        <f>Z10*24*LOOKUP(Semidetached!Z$2,'HDD-by Country'!$A$4:$A$40,'HDD-by Country'!$C$4:$C$40)/1000/Semidetached!Z$3</f>
        <v>7749.5028603024339</v>
      </c>
      <c r="AA16" s="349">
        <f>AA10*24*LOOKUP(Semidetached!AA$2,'HDD-by Country'!$A$4:$A$40,'HDD-by Country'!$C$4:$C$40)/1000/Semidetached!AA$3</f>
        <v>8370.2390466116794</v>
      </c>
      <c r="AB16" s="349">
        <f>AB10*24*LOOKUP(Semidetached!AB$2,'HDD-by Country'!$A$4:$A$40,'HDD-by Country'!$C$4:$C$40)/1000/Semidetached!AB$3</f>
        <v>9738.7996048984187</v>
      </c>
      <c r="AC16" s="349">
        <f>AC10*24*LOOKUP(Semidetached!AC$2,'HDD-by Country'!$A$4:$A$40,'HDD-by Country'!$C$4:$C$40)/1000/Semidetached!AC$3</f>
        <v>7362.3185099913462</v>
      </c>
      <c r="AD16" s="349">
        <f>AD10*24*LOOKUP(Semidetached!AD$2,'HDD-by Country'!$A$4:$A$40,'HDD-by Country'!$C$4:$C$40)/1000/Semidetached!AD$3</f>
        <v>11962.011355941699</v>
      </c>
      <c r="AE16" s="349">
        <f>AE10*24*LOOKUP(Semidetached!AE$2,'HDD-by Country'!$A$4:$A$40,'HDD-by Country'!$C$4:$C$40)/1000/Semidetached!AE$3</f>
        <v>7974.3268039666082</v>
      </c>
      <c r="AF16" s="349">
        <f>AF10*24*LOOKUP(Semidetached!AF$2,'HDD-by Country'!$A$4:$A$40,'HDD-by Country'!$C$4:$C$40)/1000/Semidetached!AF$3</f>
        <v>4713.4561657260938</v>
      </c>
      <c r="AG16" s="349">
        <f>AG10*24*LOOKUP(Semidetached!AG$2,'HDD-by Country'!$A$4:$A$40,'HDD-by Country'!$C$4:$C$40)/1000/Semidetached!AG$3</f>
        <v>9836.3633139478861</v>
      </c>
      <c r="AH16" s="349">
        <f>AH10*24*LOOKUP(Semidetached!AH$2,'HDD-by Country'!$A$4:$A$40,'HDD-by Country'!$C$4:$C$40)/1000/Semidetached!AH$3</f>
        <v>6127.9526175444817</v>
      </c>
      <c r="AI16" s="349">
        <f>AI10*24*LOOKUP(Semidetached!AI$2,'HDD-by Country'!$A$4:$A$40,'HDD-by Country'!$C$4:$C$40)/1000/Semidetached!AI$3</f>
        <v>5159.7015128575777</v>
      </c>
      <c r="AJ16" s="349">
        <f>AJ10*24*LOOKUP(Semidetached!AJ$2,'HDD-by Country'!$A$4:$A$40,'HDD-by Country'!$C$4:$C$40)/1000/Semidetached!AJ$3</f>
        <v>8921.0334825100708</v>
      </c>
      <c r="AK16" s="349">
        <f>AK10*24*LOOKUP(Semidetached!AK$2,'HDD-by Country'!$A$4:$A$40,'HDD-by Country'!$C$4:$C$40)/1000/Semidetached!AK$3</f>
        <v>9586.5036219313843</v>
      </c>
      <c r="AL16" s="349">
        <f>AL10*24*LOOKUP(Semidetached!AL$2,'HDD-by Country'!$A$4:$A$40,'HDD-by Country'!$C$4:$C$40)/1000/Semidetached!AL$3</f>
        <v>5086.6539695901729</v>
      </c>
      <c r="AM16" s="349">
        <f>AM10*24*LOOKUP(Semidetached!AM$2,'HDD-by Country'!$A$4:$A$40,'HDD-by Country'!$C$4:$C$40)/1000/Semidetached!AM$3</f>
        <v>8203.5650128352354</v>
      </c>
      <c r="AN16" s="354">
        <f>AN10*24*LOOKUP(Semidetached!AN$2,'HDD-by Country'!$A$4:$A$40,'HDD-by Country'!$C$4:$C$40)/1000/Semidetached!AN$3</f>
        <v>8203.5650128352354</v>
      </c>
    </row>
    <row r="17" spans="1:40">
      <c r="A17" s="151" t="s">
        <v>260</v>
      </c>
      <c r="B17" s="141" t="s">
        <v>2</v>
      </c>
      <c r="C17" s="360" t="s">
        <v>261</v>
      </c>
      <c r="D17" s="351">
        <f>D11/(1.355*(D5/Semidetached!D$17)^0.16)</f>
        <v>17225.552666023505</v>
      </c>
      <c r="E17" s="352">
        <f>E11/(1.355*(E5/Semidetached!E$17)^0.16)</f>
        <v>16751.346776303821</v>
      </c>
      <c r="F17" s="352">
        <f>F11/(1.355*(F5/Semidetached!F$17)^0.16)</f>
        <v>8699.6493929546377</v>
      </c>
      <c r="G17" s="352">
        <f>G11/(1.355*(G5/Semidetached!G$17)^0.16)</f>
        <v>17345.335127832983</v>
      </c>
      <c r="H17" s="352">
        <f>H11/(1.355*(H5/Semidetached!H$17)^0.16)</f>
        <v>5679.944012952551</v>
      </c>
      <c r="I17" s="352">
        <f>I11/(1.355*(I5/Semidetached!I$17)^0.16)</f>
        <v>12993.330181837777</v>
      </c>
      <c r="J17" s="352">
        <f>J11/(1.355*(J5/Semidetached!J$17)^0.16)</f>
        <v>17748.578272693045</v>
      </c>
      <c r="K17" s="352">
        <f>K11/(1.355*(K5/Semidetached!K$17)^0.16)</f>
        <v>11573.099291315606</v>
      </c>
      <c r="L17" s="352">
        <f>L11/(1.355*(L5/Semidetached!L$17)^0.16)</f>
        <v>8216.9825875385413</v>
      </c>
      <c r="M17" s="352">
        <f>M11/(1.355*(M5/Semidetached!M$17)^0.16)</f>
        <v>13965.292707718398</v>
      </c>
      <c r="N17" s="352">
        <f>N11/(1.355*(N5/Semidetached!N$17)^0.16)</f>
        <v>13461.539605536738</v>
      </c>
      <c r="O17" s="352">
        <f>O11/(1.355*(O5/Semidetached!O$17)^0.16)</f>
        <v>18685.477137969239</v>
      </c>
      <c r="P17" s="352">
        <f>P11/(1.355*(P5/Semidetached!P$17)^0.16)</f>
        <v>12015.047457203687</v>
      </c>
      <c r="Q17" s="352">
        <f>Q11/(1.355*(Q5/Semidetached!Q$17)^0.16)</f>
        <v>7689.5780354482995</v>
      </c>
      <c r="R17" s="352">
        <f>R11/(1.355*(R5/Semidetached!R$17)^0.16)</f>
        <v>11940.650224571253</v>
      </c>
      <c r="S17" s="352">
        <f>S11/(1.355*(S5/Semidetached!S$17)^0.16)</f>
        <v>17305.13670124823</v>
      </c>
      <c r="T17" s="352">
        <f>T11/(1.355*(T5/Semidetached!T$17)^0.16)</f>
        <v>11536.745427517637</v>
      </c>
      <c r="U17" s="352">
        <f>U11/(1.355*(U5/Semidetached!U$17)^0.16)</f>
        <v>12507.989680156041</v>
      </c>
      <c r="V17" s="352">
        <f>V11/(1.355*(V5/Semidetached!V$17)^0.16)</f>
        <v>13385.919245647123</v>
      </c>
      <c r="W17" s="352">
        <f>W11/(1.355*(W5/Semidetached!W$17)^0.16)</f>
        <v>13365.368311126527</v>
      </c>
      <c r="X17" s="352">
        <f>X11/(1.355*(X5/Semidetached!X$17)^0.16)</f>
        <v>14640.353153108585</v>
      </c>
      <c r="Y17" s="352">
        <f>Y11/(1.355*(Y5/Semidetached!Y$17)^0.16)</f>
        <v>4554.4965937237639</v>
      </c>
      <c r="Z17" s="352">
        <f>Z11/(1.355*(Z5/Semidetached!Z$17)^0.16)</f>
        <v>19245.941714735534</v>
      </c>
      <c r="AA17" s="352">
        <f>AA11/(1.355*(AA5/Semidetached!AA$17)^0.16)</f>
        <v>12242.69316584164</v>
      </c>
      <c r="AB17" s="352">
        <f>AB11/(1.355*(AB5/Semidetached!AB$17)^0.16)</f>
        <v>17802.785844196136</v>
      </c>
      <c r="AC17" s="352">
        <f>AC11/(1.355*(AC5/Semidetached!AC$17)^0.16)</f>
        <v>9607.3082080346321</v>
      </c>
      <c r="AD17" s="352">
        <f>AD11/(1.355*(AD5/Semidetached!AD$17)^0.16)</f>
        <v>12876.508824103905</v>
      </c>
      <c r="AE17" s="352">
        <f>AE11/(1.355*(AE5/Semidetached!AE$17)^0.16)</f>
        <v>11621.449205357443</v>
      </c>
      <c r="AF17" s="352">
        <f>AF11/(1.355*(AF5/Semidetached!AF$17)^0.16)</f>
        <v>12162.512510633464</v>
      </c>
      <c r="AG17" s="352">
        <f>AG11/(1.355*(AG5/Semidetached!AG$17)^0.16)</f>
        <v>17733.221945790392</v>
      </c>
      <c r="AH17" s="352">
        <f>AH11/(1.355*(AH5/Semidetached!AH$17)^0.16)</f>
        <v>14862.900922905286</v>
      </c>
      <c r="AI17" s="352">
        <f>AI11/(1.355*(AI5/Semidetached!AI$17)^0.16)</f>
        <v>11654.75361337012</v>
      </c>
      <c r="AJ17" s="352">
        <f>AJ11/(1.355*(AJ5/Semidetached!AJ$17)^0.16)</f>
        <v>9150.6060735137671</v>
      </c>
      <c r="AK17" s="352">
        <f>AK11/(1.355*(AK5/Semidetached!AK$17)^0.16)</f>
        <v>10011.402971392565</v>
      </c>
      <c r="AL17" s="352">
        <f>AL11/(1.355*(AL5/Semidetached!AL$17)^0.16)</f>
        <v>9168.2364371384065</v>
      </c>
      <c r="AM17" s="352">
        <f>AM11/(1.355*(AM5/Semidetached!AM$17)^0.16)</f>
        <v>8414.6743735562941</v>
      </c>
      <c r="AN17" s="353">
        <f>AN11/(1.355*(AN5/Semidetached!AN$17)^0.16)</f>
        <v>8414.6743735562941</v>
      </c>
    </row>
    <row r="18" spans="1:40">
      <c r="A18" s="129"/>
      <c r="B18" s="142" t="s">
        <v>3</v>
      </c>
      <c r="C18" s="129" t="s">
        <v>261</v>
      </c>
      <c r="D18" s="345">
        <f>D12/(1.355*(D6/Semidetached!D$17)^0.16)</f>
        <v>16195.019693583155</v>
      </c>
      <c r="E18" s="349">
        <f>E12/(1.355*(E6/Semidetached!E$17)^0.16)</f>
        <v>16751.346776303821</v>
      </c>
      <c r="F18" s="349">
        <f>F12/(1.355*(F6/Semidetached!F$17)^0.16)</f>
        <v>8699.6493929546377</v>
      </c>
      <c r="G18" s="349">
        <f>G12/(1.355*(G6/Semidetached!G$17)^0.16)</f>
        <v>16319.790170825732</v>
      </c>
      <c r="H18" s="349">
        <f>H12/(1.355*(H6/Semidetached!H$17)^0.16)</f>
        <v>5398.056023862001</v>
      </c>
      <c r="I18" s="349">
        <f>I12/(1.355*(I6/Semidetached!I$17)^0.16)</f>
        <v>10650.022034537869</v>
      </c>
      <c r="J18" s="349">
        <f>J12/(1.355*(J6/Semidetached!J$17)^0.16)</f>
        <v>16099.397908172792</v>
      </c>
      <c r="K18" s="349">
        <f>K12/(1.355*(K6/Semidetached!K$17)^0.16)</f>
        <v>11162.648259987045</v>
      </c>
      <c r="L18" s="349">
        <f>L12/(1.355*(L6/Semidetached!L$17)^0.16)</f>
        <v>8216.9825875385413</v>
      </c>
      <c r="M18" s="349">
        <f>M12/(1.355*(M6/Semidetached!M$17)^0.16)</f>
        <v>12590.228132347593</v>
      </c>
      <c r="N18" s="349">
        <f>N12/(1.355*(N6/Semidetached!N$17)^0.16)</f>
        <v>12199.726692084821</v>
      </c>
      <c r="O18" s="349">
        <f>O12/(1.355*(O6/Semidetached!O$17)^0.16)</f>
        <v>18685.477137969239</v>
      </c>
      <c r="P18" s="349">
        <f>P12/(1.355*(P6/Semidetached!P$17)^0.16)</f>
        <v>12015.047457203687</v>
      </c>
      <c r="Q18" s="349">
        <f>Q12/(1.355*(Q6/Semidetached!Q$17)^0.16)</f>
        <v>8127.4978391378627</v>
      </c>
      <c r="R18" s="349">
        <f>R12/(1.355*(R6/Semidetached!R$17)^0.16)</f>
        <v>11940.650224571253</v>
      </c>
      <c r="S18" s="349">
        <f>S12/(1.355*(S6/Semidetached!S$17)^0.16)</f>
        <v>17613.323411892055</v>
      </c>
      <c r="T18" s="349">
        <f>T12/(1.355*(T6/Semidetached!T$17)^0.16)</f>
        <v>10451.958091032087</v>
      </c>
      <c r="U18" s="349">
        <f>U12/(1.355*(U6/Semidetached!U$17)^0.16)</f>
        <v>11885.115033292814</v>
      </c>
      <c r="V18" s="349">
        <f>V12/(1.355*(V6/Semidetached!V$17)^0.16)</f>
        <v>13385.919245647123</v>
      </c>
      <c r="W18" s="349">
        <f>W12/(1.355*(W6/Semidetached!W$17)^0.16)</f>
        <v>13730.311329862974</v>
      </c>
      <c r="X18" s="349">
        <f>X12/(1.355*(X6/Semidetached!X$17)^0.16)</f>
        <v>14640.353153108585</v>
      </c>
      <c r="Y18" s="349">
        <f>Y12/(1.355*(Y6/Semidetached!Y$17)^0.16)</f>
        <v>4546.5184788761098</v>
      </c>
      <c r="Z18" s="349">
        <f>Z12/(1.355*(Z6/Semidetached!Z$17)^0.16)</f>
        <v>15388.461437227726</v>
      </c>
      <c r="AA18" s="349">
        <f>AA12/(1.355*(AA6/Semidetached!AA$17)^0.16)</f>
        <v>12242.69316584164</v>
      </c>
      <c r="AB18" s="349">
        <f>AB12/(1.355*(AB6/Semidetached!AB$17)^0.16)</f>
        <v>13214.927918293699</v>
      </c>
      <c r="AC18" s="349">
        <f>AC12/(1.355*(AC6/Semidetached!AC$17)^0.16)</f>
        <v>8847.1771686645097</v>
      </c>
      <c r="AD18" s="349">
        <f>AD12/(1.355*(AD6/Semidetached!AD$17)^0.16)</f>
        <v>11731.916953768663</v>
      </c>
      <c r="AE18" s="349">
        <f>AE12/(1.355*(AE6/Semidetached!AE$17)^0.16)</f>
        <v>11621.449205357443</v>
      </c>
      <c r="AF18" s="349">
        <f>AF12/(1.355*(AF6/Semidetached!AF$17)^0.16)</f>
        <v>12162.512510633464</v>
      </c>
      <c r="AG18" s="349">
        <f>AG12/(1.355*(AG6/Semidetached!AG$17)^0.16)</f>
        <v>14935.240641058997</v>
      </c>
      <c r="AH18" s="349">
        <f>AH12/(1.355*(AH6/Semidetached!AH$17)^0.16)</f>
        <v>15640.209819597014</v>
      </c>
      <c r="AI18" s="349">
        <f>AI12/(1.355*(AI6/Semidetached!AI$17)^0.16)</f>
        <v>11654.75361337012</v>
      </c>
      <c r="AJ18" s="349">
        <f>AJ12/(1.355*(AJ6/Semidetached!AJ$17)^0.16)</f>
        <v>9150.6060735137671</v>
      </c>
      <c r="AK18" s="349">
        <f>AK12/(1.355*(AK6/Semidetached!AK$17)^0.16)</f>
        <v>10011.402971392565</v>
      </c>
      <c r="AL18" s="349">
        <f>AL12/(1.355*(AL6/Semidetached!AL$17)^0.16)</f>
        <v>9168.2364371384065</v>
      </c>
      <c r="AM18" s="349">
        <f>AM12/(1.355*(AM6/Semidetached!AM$17)^0.16)</f>
        <v>8414.6743735562941</v>
      </c>
      <c r="AN18" s="354">
        <f>AN12/(1.355*(AN6/Semidetached!AN$17)^0.16)</f>
        <v>8414.6743735562941</v>
      </c>
    </row>
    <row r="19" spans="1:40">
      <c r="A19" s="129"/>
      <c r="B19" s="142" t="s">
        <v>4</v>
      </c>
      <c r="C19" s="129" t="s">
        <v>261</v>
      </c>
      <c r="D19" s="345">
        <f>D13/(1.355*(D7/Semidetached!D$17)^0.16)</f>
        <v>12842.139969828864</v>
      </c>
      <c r="E19" s="349">
        <f>E13/(1.355*(E7/Semidetached!E$17)^0.16)</f>
        <v>16751.346776303821</v>
      </c>
      <c r="F19" s="349">
        <f>F13/(1.355*(F7/Semidetached!F$17)^0.16)</f>
        <v>8197.861258584835</v>
      </c>
      <c r="G19" s="349">
        <f>G13/(1.355*(G7/Semidetached!G$17)^0.16)</f>
        <v>12923.301889829489</v>
      </c>
      <c r="H19" s="349">
        <f>H13/(1.355*(H7/Semidetached!H$17)^0.16)</f>
        <v>5113.3342899828267</v>
      </c>
      <c r="I19" s="349">
        <f>I13/(1.355*(I7/Semidetached!I$17)^0.16)</f>
        <v>10650.022034537869</v>
      </c>
      <c r="J19" s="349">
        <f>J13/(1.355*(J7/Semidetached!J$17)^0.16)</f>
        <v>10021.376363859987</v>
      </c>
      <c r="K19" s="349">
        <f>K13/(1.355*(K7/Semidetached!K$17)^0.16)</f>
        <v>7524.3436681826834</v>
      </c>
      <c r="L19" s="349">
        <f>L13/(1.355*(L7/Semidetached!L$17)^0.16)</f>
        <v>6803.8921363534027</v>
      </c>
      <c r="M19" s="349">
        <f>M13/(1.355*(M7/Semidetached!M$17)^0.16)</f>
        <v>12590.228132347593</v>
      </c>
      <c r="N19" s="349">
        <f>N13/(1.355*(N7/Semidetached!N$17)^0.16)</f>
        <v>10225.159171129731</v>
      </c>
      <c r="O19" s="349">
        <f>O13/(1.355*(O7/Semidetached!O$17)^0.16)</f>
        <v>8491.4914167224706</v>
      </c>
      <c r="P19" s="349">
        <f>P13/(1.355*(P7/Semidetached!P$17)^0.16)</f>
        <v>12015.047457203687</v>
      </c>
      <c r="Q19" s="349">
        <f>Q13/(1.355*(Q7/Semidetached!Q$17)^0.16)</f>
        <v>7713.0872705542897</v>
      </c>
      <c r="R19" s="349">
        <f>R13/(1.355*(R7/Semidetached!R$17)^0.16)</f>
        <v>10425.858065774042</v>
      </c>
      <c r="S19" s="349">
        <f>S13/(1.355*(S7/Semidetached!S$17)^0.16)</f>
        <v>14537.300644848483</v>
      </c>
      <c r="T19" s="349">
        <f>T13/(1.355*(T7/Semidetached!T$17)^0.16)</f>
        <v>8757.5714655094034</v>
      </c>
      <c r="U19" s="349">
        <f>U13/(1.355*(U7/Semidetached!U$17)^0.16)</f>
        <v>11369.059092603075</v>
      </c>
      <c r="V19" s="349">
        <f>V13/(1.355*(V7/Semidetached!V$17)^0.16)</f>
        <v>8956.3094276906304</v>
      </c>
      <c r="W19" s="349">
        <f>W13/(1.355*(W7/Semidetached!W$17)^0.16)</f>
        <v>7659.0089845319335</v>
      </c>
      <c r="X19" s="349">
        <f>X13/(1.355*(X7/Semidetached!X$17)^0.16)</f>
        <v>13581.227648412254</v>
      </c>
      <c r="Y19" s="349">
        <f>Y13/(1.355*(Y7/Semidetached!Y$17)^0.16)</f>
        <v>3884.7569657930326</v>
      </c>
      <c r="Z19" s="349">
        <f>Z13/(1.355*(Z7/Semidetached!Z$17)^0.16)</f>
        <v>14761.344713247276</v>
      </c>
      <c r="AA19" s="349">
        <f>AA13/(1.355*(AA7/Semidetached!AA$17)^0.16)</f>
        <v>8395.4936234897086</v>
      </c>
      <c r="AB19" s="349">
        <f>AB13/(1.355*(AB7/Semidetached!AB$17)^0.16)</f>
        <v>9699.6027162995124</v>
      </c>
      <c r="AC19" s="349">
        <f>AC13/(1.355*(AC7/Semidetached!AC$17)^0.16)</f>
        <v>8657.845568241637</v>
      </c>
      <c r="AD19" s="349">
        <f>AD13/(1.355*(AD7/Semidetached!AD$17)^0.16)</f>
        <v>11731.916953768663</v>
      </c>
      <c r="AE19" s="349">
        <f>AE13/(1.355*(AE7/Semidetached!AE$17)^0.16)</f>
        <v>7984.7984549653465</v>
      </c>
      <c r="AF19" s="349">
        <f>AF13/(1.355*(AF7/Semidetached!AF$17)^0.16)</f>
        <v>11204.715594089281</v>
      </c>
      <c r="AG19" s="349">
        <f>AG13/(1.355*(AG7/Semidetached!AG$17)^0.16)</f>
        <v>14935.240641058997</v>
      </c>
      <c r="AH19" s="349">
        <f>AH13/(1.355*(AH7/Semidetached!AH$17)^0.16)</f>
        <v>12036.860841181287</v>
      </c>
      <c r="AI19" s="349">
        <f>AI13/(1.355*(AI7/Semidetached!AI$17)^0.16)</f>
        <v>11654.75361337012</v>
      </c>
      <c r="AJ19" s="349">
        <f>AJ13/(1.355*(AJ7/Semidetached!AJ$17)^0.16)</f>
        <v>9150.6060735137671</v>
      </c>
      <c r="AK19" s="349">
        <f>AK13/(1.355*(AK7/Semidetached!AK$17)^0.16)</f>
        <v>10011.402971392565</v>
      </c>
      <c r="AL19" s="349">
        <f>AL13/(1.355*(AL7/Semidetached!AL$17)^0.16)</f>
        <v>8635.2308024594677</v>
      </c>
      <c r="AM19" s="349">
        <f>AM13/(1.355*(AM7/Semidetached!AM$17)^0.16)</f>
        <v>8414.6743735562941</v>
      </c>
      <c r="AN19" s="354">
        <f>AN13/(1.355*(AN7/Semidetached!AN$17)^0.16)</f>
        <v>8414.6743735562941</v>
      </c>
    </row>
    <row r="20" spans="1:40">
      <c r="A20" s="129"/>
      <c r="B20" s="142" t="s">
        <v>5</v>
      </c>
      <c r="C20" s="129" t="s">
        <v>261</v>
      </c>
      <c r="D20" s="345">
        <f>D14/(1.355*(D8/Semidetached!D$17)^0.16)</f>
        <v>9082.7187497267478</v>
      </c>
      <c r="E20" s="349">
        <f>E14/(1.355*(E8/Semidetached!E$17)^0.16)</f>
        <v>14148.875885907288</v>
      </c>
      <c r="F20" s="349">
        <f>F14/(1.355*(F8/Semidetached!F$17)^0.16)</f>
        <v>7051.9502062680758</v>
      </c>
      <c r="G20" s="349">
        <f>G14/(1.355*(G8/Semidetached!G$17)^0.16)</f>
        <v>9119.8573364475542</v>
      </c>
      <c r="H20" s="349">
        <f>H14/(1.355*(H8/Semidetached!H$17)^0.16)</f>
        <v>4932.9263702172611</v>
      </c>
      <c r="I20" s="349">
        <f>I14/(1.355*(I8/Semidetached!I$17)^0.16)</f>
        <v>9426.1618251519631</v>
      </c>
      <c r="J20" s="349">
        <f>J14/(1.355*(J8/Semidetached!J$17)^0.16)</f>
        <v>7790.7215024693896</v>
      </c>
      <c r="K20" s="349">
        <f>K14/(1.355*(K8/Semidetached!K$17)^0.16)</f>
        <v>6339.1844415547457</v>
      </c>
      <c r="L20" s="349">
        <f>L14/(1.355*(L8/Semidetached!L$17)^0.16)</f>
        <v>5746.2540977624076</v>
      </c>
      <c r="M20" s="349">
        <f>M14/(1.355*(M8/Semidetached!M$17)^0.16)</f>
        <v>8494.435974024118</v>
      </c>
      <c r="N20" s="349">
        <f>N14/(1.355*(N8/Semidetached!N$17)^0.16)</f>
        <v>8769.8874582646386</v>
      </c>
      <c r="O20" s="349">
        <f>O14/(1.355*(O8/Semidetached!O$17)^0.16)</f>
        <v>7328.0474136991097</v>
      </c>
      <c r="P20" s="349">
        <f>P14/(1.355*(P8/Semidetached!P$17)^0.16)</f>
        <v>11649.624636084949</v>
      </c>
      <c r="Q20" s="349">
        <f>Q14/(1.355*(Q8/Semidetached!Q$17)^0.16)</f>
        <v>7713.0872705542897</v>
      </c>
      <c r="R20" s="349">
        <f>R14/(1.355*(R8/Semidetached!R$17)^0.16)</f>
        <v>7799.7040717248055</v>
      </c>
      <c r="S20" s="349">
        <f>S14/(1.355*(S8/Semidetached!S$17)^0.16)</f>
        <v>9505.3752298839427</v>
      </c>
      <c r="T20" s="349">
        <f>T14/(1.355*(T8/Semidetached!T$17)^0.16)</f>
        <v>7509.0580974268587</v>
      </c>
      <c r="U20" s="349">
        <f>U14/(1.355*(U8/Semidetached!U$17)^0.16)</f>
        <v>9289.0197008395298</v>
      </c>
      <c r="V20" s="349">
        <f>V14/(1.355*(V8/Semidetached!V$17)^0.16)</f>
        <v>8956.3094276906304</v>
      </c>
      <c r="W20" s="349">
        <f>W14/(1.355*(W8/Semidetached!W$17)^0.16)</f>
        <v>6917.8313865840773</v>
      </c>
      <c r="X20" s="349">
        <f>X14/(1.355*(X8/Semidetached!X$17)^0.16)</f>
        <v>8244.4299020704548</v>
      </c>
      <c r="Y20" s="349">
        <f>Y14/(1.355*(Y8/Semidetached!Y$17)^0.16)</f>
        <v>3491.1375274095958</v>
      </c>
      <c r="Z20" s="349">
        <f>Z14/(1.355*(Z8/Semidetached!Z$17)^0.16)</f>
        <v>9461.9970940337444</v>
      </c>
      <c r="AA20" s="349">
        <f>AA14/(1.355*(AA8/Semidetached!AA$17)^0.16)</f>
        <v>8395.4936234897086</v>
      </c>
      <c r="AB20" s="349">
        <f>AB14/(1.355*(AB8/Semidetached!AB$17)^0.16)</f>
        <v>9699.6027162995124</v>
      </c>
      <c r="AC20" s="349">
        <f>AC14/(1.355*(AC8/Semidetached!AC$17)^0.16)</f>
        <v>8408.4188559511567</v>
      </c>
      <c r="AD20" s="349">
        <f>AD14/(1.355*(AD8/Semidetached!AD$17)^0.16)</f>
        <v>10114.845929507672</v>
      </c>
      <c r="AE20" s="349">
        <f>AE14/(1.355*(AE8/Semidetached!AE$17)^0.16)</f>
        <v>7984.7984549653465</v>
      </c>
      <c r="AF20" s="349">
        <f>AF14/(1.355*(AF8/Semidetached!AF$17)^0.16)</f>
        <v>9034.9440241602915</v>
      </c>
      <c r="AG20" s="349">
        <f>AG14/(1.355*(AG8/Semidetached!AG$17)^0.16)</f>
        <v>13086.38250837048</v>
      </c>
      <c r="AH20" s="349">
        <f>AH14/(1.355*(AH8/Semidetached!AH$17)^0.16)</f>
        <v>6944.6178372857348</v>
      </c>
      <c r="AI20" s="349">
        <f>AI14/(1.355*(AI8/Semidetached!AI$17)^0.16)</f>
        <v>11289.768564463502</v>
      </c>
      <c r="AJ20" s="349">
        <f>AJ14/(1.355*(AJ8/Semidetached!AJ$17)^0.16)</f>
        <v>7875.2384742771292</v>
      </c>
      <c r="AK20" s="349">
        <f>AK14/(1.355*(AK8/Semidetached!AK$17)^0.16)</f>
        <v>8567.6827952211861</v>
      </c>
      <c r="AL20" s="349">
        <f>AL14/(1.355*(AL8/Semidetached!AL$17)^0.16)</f>
        <v>7419.7135536112655</v>
      </c>
      <c r="AM20" s="349">
        <f>AM14/(1.355*(AM8/Semidetached!AM$17)^0.16)</f>
        <v>7241.8774060173346</v>
      </c>
      <c r="AN20" s="354">
        <f>AN14/(1.355*(AN8/Semidetached!AN$17)^0.16)</f>
        <v>7241.8774060173346</v>
      </c>
    </row>
    <row r="21" spans="1:40">
      <c r="A21" s="129"/>
      <c r="B21" s="142" t="s">
        <v>6</v>
      </c>
      <c r="C21" s="129" t="s">
        <v>261</v>
      </c>
      <c r="D21" s="345">
        <f>D15/(1.355*(D9/Semidetached!D$17)^0.16)</f>
        <v>7972.0819074292676</v>
      </c>
      <c r="E21" s="349">
        <f>E15/(1.355*(E9/Semidetached!E$17)^0.16)</f>
        <v>14148.875885907288</v>
      </c>
      <c r="F21" s="349">
        <f>F15/(1.355*(F9/Semidetached!F$17)^0.16)</f>
        <v>5482.848952110432</v>
      </c>
      <c r="G21" s="349">
        <f>G15/(1.355*(G9/Semidetached!G$17)^0.16)</f>
        <v>8001.6042691379052</v>
      </c>
      <c r="H21" s="349">
        <f>H15/(1.355*(H9/Semidetached!H$17)^0.16)</f>
        <v>4932.9263702172611</v>
      </c>
      <c r="I21" s="349">
        <f>I15/(1.355*(I9/Semidetached!I$17)^0.16)</f>
        <v>7325.7826757549828</v>
      </c>
      <c r="J21" s="349">
        <f>J15/(1.355*(J9/Semidetached!J$17)^0.16)</f>
        <v>5163.8922751234468</v>
      </c>
      <c r="K21" s="349">
        <f>K15/(1.355*(K9/Semidetached!K$17)^0.16)</f>
        <v>6339.1844415547457</v>
      </c>
      <c r="L21" s="349">
        <f>L15/(1.355*(L9/Semidetached!L$17)^0.16)</f>
        <v>5138.4077704690826</v>
      </c>
      <c r="M21" s="349">
        <f>M15/(1.355*(M9/Semidetached!M$17)^0.16)</f>
        <v>8494.435974024118</v>
      </c>
      <c r="N21" s="349">
        <f>N15/(1.355*(N9/Semidetached!N$17)^0.16)</f>
        <v>8658.5680380127669</v>
      </c>
      <c r="O21" s="349">
        <f>O15/(1.355*(O9/Semidetached!O$17)^0.16)</f>
        <v>4663.5764101532777</v>
      </c>
      <c r="P21" s="349">
        <f>P15/(1.355*(P9/Semidetached!P$17)^0.16)</f>
        <v>11649.624636084949</v>
      </c>
      <c r="Q21" s="349">
        <f>Q15/(1.355*(Q9/Semidetached!Q$17)^0.16)</f>
        <v>5676.3532727858101</v>
      </c>
      <c r="R21" s="349">
        <f>R15/(1.355*(R9/Semidetached!R$17)^0.16)</f>
        <v>7799.7040717248055</v>
      </c>
      <c r="S21" s="349">
        <f>S15/(1.355*(S9/Semidetached!S$17)^0.16)</f>
        <v>8139.4475577947906</v>
      </c>
      <c r="T21" s="349">
        <f>T15/(1.355*(T9/Semidetached!T$17)^0.16)</f>
        <v>7413.4046135509188</v>
      </c>
      <c r="U21" s="349">
        <f>U15/(1.355*(U9/Semidetached!U$17)^0.16)</f>
        <v>8599.6721538488746</v>
      </c>
      <c r="V21" s="349">
        <f>V15/(1.355*(V9/Semidetached!V$17)^0.16)</f>
        <v>8956.3094276906304</v>
      </c>
      <c r="W21" s="349">
        <f>W15/(1.355*(W9/Semidetached!W$17)^0.16)</f>
        <v>6193.6477155938155</v>
      </c>
      <c r="X21" s="349">
        <f>X15/(1.355*(X9/Semidetached!X$17)^0.16)</f>
        <v>8089.5118086195616</v>
      </c>
      <c r="Y21" s="349">
        <f>Y15/(1.355*(Y9/Semidetached!Y$17)^0.16)</f>
        <v>3415.4126747886025</v>
      </c>
      <c r="Z21" s="349">
        <f>Z15/(1.355*(Z9/Semidetached!Z$17)^0.16)</f>
        <v>8674.8724865808235</v>
      </c>
      <c r="AA21" s="349">
        <f>AA15/(1.355*(AA9/Semidetached!AA$17)^0.16)</f>
        <v>7540.7923685560554</v>
      </c>
      <c r="AB21" s="349">
        <f>AB15/(1.355*(AB9/Semidetached!AB$17)^0.16)</f>
        <v>9699.6027162995124</v>
      </c>
      <c r="AC21" s="349">
        <f>AC15/(1.355*(AC9/Semidetached!AC$17)^0.16)</f>
        <v>7808.619869091056</v>
      </c>
      <c r="AD21" s="349">
        <f>AD15/(1.355*(AD9/Semidetached!AD$17)^0.16)</f>
        <v>10114.845929507672</v>
      </c>
      <c r="AE21" s="349">
        <f>AE15/(1.355*(AE9/Semidetached!AE$17)^0.16)</f>
        <v>7174.8837555170594</v>
      </c>
      <c r="AF21" s="349">
        <f>AF15/(1.355*(AF9/Semidetached!AF$17)^0.16)</f>
        <v>6569.3886984749988</v>
      </c>
      <c r="AG21" s="349">
        <f>AG15/(1.355*(AG9/Semidetached!AG$17)^0.16)</f>
        <v>11767.210439978402</v>
      </c>
      <c r="AH21" s="349">
        <f>AH15/(1.355*(AH9/Semidetached!AH$17)^0.16)</f>
        <v>5843.9003719061393</v>
      </c>
      <c r="AI21" s="349">
        <f>AI15/(1.355*(AI9/Semidetached!AI$17)^0.16)</f>
        <v>11289.768564463502</v>
      </c>
      <c r="AJ21" s="349">
        <f>AJ15/(1.355*(AJ9/Semidetached!AJ$17)^0.16)</f>
        <v>7389.6946516824773</v>
      </c>
      <c r="AK21" s="349">
        <f>AK15/(1.355*(AK9/Semidetached!AK$17)^0.16)</f>
        <v>8020.5300811013003</v>
      </c>
      <c r="AL21" s="349">
        <f>AL15/(1.355*(AL9/Semidetached!AL$17)^0.16)</f>
        <v>5743.6072135138402</v>
      </c>
      <c r="AM21" s="349">
        <f>AM15/(1.355*(AM9/Semidetached!AM$17)^0.16)</f>
        <v>6795.3831379434696</v>
      </c>
      <c r="AN21" s="354">
        <f>AN15/(1.355*(AN9/Semidetached!AN$17)^0.16)</f>
        <v>6795.3831379434696</v>
      </c>
    </row>
    <row r="22" spans="1:40">
      <c r="A22" s="129"/>
      <c r="B22" s="142" t="s">
        <v>7</v>
      </c>
      <c r="C22" s="129" t="s">
        <v>261</v>
      </c>
      <c r="D22" s="345">
        <f>D16/(1.355*(D10/Semidetached!D$17)^0.16)</f>
        <v>7106.7688314922852</v>
      </c>
      <c r="E22" s="349">
        <f>E16/(1.355*(E10/Semidetached!E$17)^0.16)</f>
        <v>8566.1882303782804</v>
      </c>
      <c r="F22" s="349">
        <f>F16/(1.355*(F10/Semidetached!F$17)^0.16)</f>
        <v>3900.6403712269407</v>
      </c>
      <c r="G22" s="349">
        <f>G16/(1.355*(G10/Semidetached!G$17)^0.16)</f>
        <v>7122.9257391333495</v>
      </c>
      <c r="H22" s="349">
        <f>H16/(1.355*(H10/Semidetached!H$17)^0.16)</f>
        <v>3999.9273122785044</v>
      </c>
      <c r="I22" s="349">
        <f>I16/(1.355*(I10/Semidetached!I$17)^0.16)</f>
        <v>6179.3834059571609</v>
      </c>
      <c r="J22" s="349">
        <f>J16/(1.355*(J10/Semidetached!J$17)^0.16)</f>
        <v>5533.3799369407161</v>
      </c>
      <c r="K22" s="349">
        <f>K16/(1.355*(K10/Semidetached!K$17)^0.16)</f>
        <v>4993.4923410428992</v>
      </c>
      <c r="L22" s="349">
        <f>L16/(1.355*(L10/Semidetached!L$17)^0.16)</f>
        <v>5138.4077704690826</v>
      </c>
      <c r="M22" s="349">
        <f>M16/(1.355*(M10/Semidetached!M$17)^0.16)</f>
        <v>5648.3383701235271</v>
      </c>
      <c r="N22" s="349">
        <f>N16/(1.355*(N10/Semidetached!N$17)^0.16)</f>
        <v>8092.092839907863</v>
      </c>
      <c r="O22" s="349">
        <f>O16/(1.355*(O10/Semidetached!O$17)^0.16)</f>
        <v>4553.3064912340842</v>
      </c>
      <c r="P22" s="349">
        <f>P16/(1.355*(P10/Semidetached!P$17)^0.16)</f>
        <v>4083.3092472166663</v>
      </c>
      <c r="Q22" s="349">
        <f>Q16/(1.355*(Q10/Semidetached!Q$17)^0.16)</f>
        <v>3846.2535281604796</v>
      </c>
      <c r="R22" s="349">
        <f>R16/(1.355*(R10/Semidetached!R$17)^0.16)</f>
        <v>5243.8098137560146</v>
      </c>
      <c r="S22" s="349">
        <f>S16/(1.355*(S10/Semidetached!S$17)^0.16)</f>
        <v>5365.9068034149541</v>
      </c>
      <c r="T22" s="349">
        <f>T16/(1.355*(T10/Semidetached!T$17)^0.16)</f>
        <v>6926.4418190388596</v>
      </c>
      <c r="U22" s="349">
        <f>U16/(1.355*(U10/Semidetached!U$17)^0.16)</f>
        <v>8599.6721538488746</v>
      </c>
      <c r="V22" s="349">
        <f>V16/(1.355*(V10/Semidetached!V$17)^0.16)</f>
        <v>5531.6183527999647</v>
      </c>
      <c r="W22" s="349">
        <f>W16/(1.355*(W10/Semidetached!W$17)^0.16)</f>
        <v>5268.3795137461839</v>
      </c>
      <c r="X22" s="349">
        <f>X16/(1.355*(X10/Semidetached!X$17)^0.16)</f>
        <v>5373.8549473033627</v>
      </c>
      <c r="Y22" s="349">
        <f>Y16/(1.355*(Y10/Semidetached!Y$17)^0.16)</f>
        <v>3277.0665736377496</v>
      </c>
      <c r="Z22" s="349">
        <f>Z16/(1.355*(Z10/Semidetached!Z$17)^0.16)</f>
        <v>6360.560811608967</v>
      </c>
      <c r="AA22" s="349">
        <f>AA16/(1.355*(AA10/Semidetached!AA$17)^0.16)</f>
        <v>7540.7923685560554</v>
      </c>
      <c r="AB22" s="349">
        <f>AB16/(1.355*(AB10/Semidetached!AB$17)^0.16)</f>
        <v>7680.9365704625616</v>
      </c>
      <c r="AC22" s="349">
        <f>AC16/(1.355*(AC10/Semidetached!AC$17)^0.16)</f>
        <v>5292.7715344198186</v>
      </c>
      <c r="AD22" s="349">
        <f>AD16/(1.355*(AD10/Semidetached!AD$17)^0.16)</f>
        <v>8598.6394863336045</v>
      </c>
      <c r="AE22" s="349">
        <f>AE16/(1.355*(AE10/Semidetached!AE$17)^0.16)</f>
        <v>7174.8837555170594</v>
      </c>
      <c r="AF22" s="349">
        <f>AF16/(1.355*(AF10/Semidetached!AF$17)^0.16)</f>
        <v>4056.9637365919984</v>
      </c>
      <c r="AG22" s="349">
        <f>AG16/(1.355*(AG10/Semidetached!AG$17)^0.16)</f>
        <v>7678.4373714646536</v>
      </c>
      <c r="AH22" s="349">
        <f>AH16/(1.355*(AH10/Semidetached!AH$17)^0.16)</f>
        <v>5048.9805545343715</v>
      </c>
      <c r="AI22" s="349">
        <f>AI16/(1.355*(AI10/Semidetached!AI$17)^0.16)</f>
        <v>3962.2766583385392</v>
      </c>
      <c r="AJ22" s="349">
        <f>AJ16/(1.355*(AJ10/Semidetached!AJ$17)^0.16)</f>
        <v>6609.2303297990147</v>
      </c>
      <c r="AK22" s="349">
        <f>AK16/(1.355*(AK10/Semidetached!AK$17)^0.16)</f>
        <v>7159.02650480173</v>
      </c>
      <c r="AL22" s="349">
        <f>AL16/(1.355*(AL10/Semidetached!AL$17)^0.16)</f>
        <v>4077.5752090895471</v>
      </c>
      <c r="AM22" s="349">
        <f>AM16/(1.355*(AM10/Semidetached!AM$17)^0.16)</f>
        <v>6077.6871650136727</v>
      </c>
      <c r="AN22" s="354">
        <f>AN16/(1.355*(AN10/Semidetached!AN$17)^0.16)</f>
        <v>6077.6871650136727</v>
      </c>
    </row>
    <row r="23" spans="1:40">
      <c r="A23" s="334" t="s">
        <v>262</v>
      </c>
      <c r="B23" s="359" t="s">
        <v>2</v>
      </c>
      <c r="C23" s="366" t="s">
        <v>190</v>
      </c>
      <c r="D23" s="375">
        <f>D17/Semidetached!D$4</f>
        <v>168.3036842798839</v>
      </c>
      <c r="E23" s="376">
        <f>E17/Semidetached!E$4</f>
        <v>160.82923208369331</v>
      </c>
      <c r="F23" s="376">
        <f>F17/Semidetached!F$4</f>
        <v>158.92246360066687</v>
      </c>
      <c r="G23" s="376">
        <f>G17/Semidetached!G$4</f>
        <v>161.80079214797914</v>
      </c>
      <c r="H23" s="376">
        <f>H17/Semidetached!H$4</f>
        <v>69.751231574239199</v>
      </c>
      <c r="I23" s="376">
        <f>I17/Semidetached!I$4</f>
        <v>150.54887467707317</v>
      </c>
      <c r="J23" s="376">
        <f>J17/Semidetached!J$4</f>
        <v>185.51234767802254</v>
      </c>
      <c r="K23" s="376">
        <f>K17/Semidetached!K$4</f>
        <v>100.68188313910854</v>
      </c>
      <c r="L23" s="376">
        <f>L17/Semidetached!L$4</f>
        <v>112.79529547008519</v>
      </c>
      <c r="M23" s="376">
        <f>M17/Semidetached!M$4</f>
        <v>135.62976948708342</v>
      </c>
      <c r="N23" s="376">
        <f>N17/Semidetached!N$4</f>
        <v>158.53850969870672</v>
      </c>
      <c r="O23" s="376">
        <f>O17/Semidetached!O$4</f>
        <v>189.54748014618903</v>
      </c>
      <c r="P23" s="376">
        <f>P17/Semidetached!P$4</f>
        <v>152.27733005011726</v>
      </c>
      <c r="Q23" s="376">
        <f>Q17/Semidetached!Q$4</f>
        <v>132.41956819656929</v>
      </c>
      <c r="R23" s="376">
        <f>R17/Semidetached!R$4</f>
        <v>151.59213438015146</v>
      </c>
      <c r="S23" s="376">
        <f>S17/Semidetached!S$4</f>
        <v>161.70599547765005</v>
      </c>
      <c r="T23" s="376">
        <f>T17/Semidetached!T$4</f>
        <v>134.30903706949704</v>
      </c>
      <c r="U23" s="376">
        <f>U17/Semidetached!U$4</f>
        <v>124.27942538067511</v>
      </c>
      <c r="V23" s="376">
        <f>V17/Semidetached!V$4</f>
        <v>161.59147071968269</v>
      </c>
      <c r="W23" s="376">
        <f>W17/Semidetached!W$4</f>
        <v>169.30357290263223</v>
      </c>
      <c r="X23" s="376">
        <f>X17/Semidetached!X$4</f>
        <v>179.74871790274938</v>
      </c>
      <c r="Y23" s="376">
        <f>Y17/Semidetached!Y$4</f>
        <v>46.908968156096755</v>
      </c>
      <c r="Z23" s="376">
        <f>Z17/Semidetached!Z$4</f>
        <v>174.57874449524223</v>
      </c>
      <c r="AA23" s="376">
        <f>AA17/Semidetached!AA$4</f>
        <v>111.92423916701468</v>
      </c>
      <c r="AB23" s="376">
        <f>AB17/Semidetached!AB$4</f>
        <v>218.52441785120752</v>
      </c>
      <c r="AC23" s="376">
        <f>AC17/Semidetached!AC$4</f>
        <v>94.234573983827872</v>
      </c>
      <c r="AD23" s="376">
        <f>AD17/Semidetached!AD$4</f>
        <v>211.68697543201063</v>
      </c>
      <c r="AE23" s="376">
        <f>AE17/Semidetached!AE$4</f>
        <v>108.9404384692381</v>
      </c>
      <c r="AF23" s="376">
        <f>AF17/Semidetached!AF$4</f>
        <v>151.24467720379988</v>
      </c>
      <c r="AG23" s="376">
        <f>AG17/Semidetached!AG$4</f>
        <v>219.95357799071454</v>
      </c>
      <c r="AH23" s="376">
        <f>AH17/Semidetached!AH$4</f>
        <v>192.16153659605575</v>
      </c>
      <c r="AI23" s="376">
        <f>AI17/Semidetached!AI$4</f>
        <v>147.71100729792744</v>
      </c>
      <c r="AJ23" s="376">
        <f>AJ17/Semidetached!AJ$4</f>
        <v>157.57942755840105</v>
      </c>
      <c r="AK23" s="376">
        <f>AK17/Semidetached!AK$4</f>
        <v>126.88337020470458</v>
      </c>
      <c r="AL23" s="376">
        <f>AL17/Semidetached!AL$4</f>
        <v>154.93111925224892</v>
      </c>
      <c r="AM23" s="376">
        <f>AM17/Semidetached!AM$4</f>
        <v>144.90620186496361</v>
      </c>
      <c r="AN23" s="377">
        <f>AN17/Semidetached!AN$4</f>
        <v>144.90620186496358</v>
      </c>
    </row>
    <row r="24" spans="1:40">
      <c r="A24" s="154"/>
      <c r="B24" s="347" t="s">
        <v>3</v>
      </c>
      <c r="C24" s="367" t="s">
        <v>190</v>
      </c>
      <c r="D24" s="369">
        <f>D18/Semidetached!D$4</f>
        <v>158.23477680292862</v>
      </c>
      <c r="E24" s="370">
        <f>E18/Semidetached!E$4</f>
        <v>160.82923208369331</v>
      </c>
      <c r="F24" s="370">
        <f>F18/Semidetached!F$4</f>
        <v>158.92246360066687</v>
      </c>
      <c r="G24" s="370">
        <f>G18/Semidetached!G$4</f>
        <v>152.23430149189059</v>
      </c>
      <c r="H24" s="370">
        <f>H18/Semidetached!H$4</f>
        <v>66.289571677554619</v>
      </c>
      <c r="I24" s="370">
        <f>I18/Semidetached!I$4</f>
        <v>123.39783643972109</v>
      </c>
      <c r="J24" s="370">
        <f>J18/Semidetached!J$4</f>
        <v>168.27472354463737</v>
      </c>
      <c r="K24" s="370">
        <f>K18/Semidetached!K$4</f>
        <v>97.111103892311704</v>
      </c>
      <c r="L24" s="370">
        <f>L18/Semidetached!L$4</f>
        <v>112.79529547008519</v>
      </c>
      <c r="M24" s="370">
        <f>M18/Semidetached!M$4</f>
        <v>122.27525588749943</v>
      </c>
      <c r="N24" s="370">
        <f>N18/Semidetached!N$4</f>
        <v>143.67795550660145</v>
      </c>
      <c r="O24" s="370">
        <f>O18/Semidetached!O$4</f>
        <v>189.54748014618903</v>
      </c>
      <c r="P24" s="370">
        <f>P18/Semidetached!P$4</f>
        <v>152.27733005011726</v>
      </c>
      <c r="Q24" s="370">
        <f>Q18/Semidetached!Q$4</f>
        <v>139.96083392558242</v>
      </c>
      <c r="R24" s="370">
        <f>R18/Semidetached!R$4</f>
        <v>151.59213438015146</v>
      </c>
      <c r="S24" s="370">
        <f>S18/Semidetached!S$4</f>
        <v>164.58581316981815</v>
      </c>
      <c r="T24" s="370">
        <f>T18/Semidetached!T$4</f>
        <v>121.68010774935789</v>
      </c>
      <c r="U24" s="370">
        <f>U18/Semidetached!U$4</f>
        <v>118.09054090156773</v>
      </c>
      <c r="V24" s="370">
        <f>V18/Semidetached!V$4</f>
        <v>161.59147071968269</v>
      </c>
      <c r="W24" s="370">
        <f>W18/Semidetached!W$4</f>
        <v>173.92642769717733</v>
      </c>
      <c r="X24" s="370">
        <f>X18/Semidetached!X$4</f>
        <v>179.74871790274938</v>
      </c>
      <c r="Y24" s="370">
        <f>Y18/Semidetached!Y$4</f>
        <v>46.826797683985745</v>
      </c>
      <c r="Z24" s="370">
        <f>Z18/Semidetached!Z$4</f>
        <v>139.58777997170006</v>
      </c>
      <c r="AA24" s="370">
        <f>AA18/Semidetached!AA$4</f>
        <v>111.92423916701468</v>
      </c>
      <c r="AB24" s="370">
        <f>AB18/Semidetached!AB$4</f>
        <v>162.20969322238088</v>
      </c>
      <c r="AC24" s="370">
        <f>AC18/Semidetached!AC$4</f>
        <v>86.77872650648527</v>
      </c>
      <c r="AD24" s="370">
        <f>AD18/Semidetached!AD$4</f>
        <v>192.87013660984664</v>
      </c>
      <c r="AE24" s="370">
        <f>AE18/Semidetached!AE$4</f>
        <v>108.9404384692381</v>
      </c>
      <c r="AF24" s="370">
        <f>AF18/Semidetached!AF$4</f>
        <v>151.24467720379988</v>
      </c>
      <c r="AG24" s="370">
        <f>AG18/Semidetached!AG$4</f>
        <v>185.24888636681644</v>
      </c>
      <c r="AH24" s="370">
        <f>AH18/Semidetached!AH$4</f>
        <v>202.21131575914455</v>
      </c>
      <c r="AI24" s="370">
        <f>AI18/Semidetached!AI$4</f>
        <v>147.71100729792744</v>
      </c>
      <c r="AJ24" s="370">
        <f>AJ18/Semidetached!AJ$4</f>
        <v>157.57942755840105</v>
      </c>
      <c r="AK24" s="370">
        <f>AK18/Semidetached!AK$4</f>
        <v>126.88337020470458</v>
      </c>
      <c r="AL24" s="370">
        <f>AL18/Semidetached!AL$4</f>
        <v>154.93111925224892</v>
      </c>
      <c r="AM24" s="370">
        <f>AM18/Semidetached!AM$4</f>
        <v>144.90620186496361</v>
      </c>
      <c r="AN24" s="371">
        <f>AN18/Semidetached!AN$4</f>
        <v>144.90620186496358</v>
      </c>
    </row>
    <row r="25" spans="1:40">
      <c r="A25" s="154"/>
      <c r="B25" s="347" t="s">
        <v>4</v>
      </c>
      <c r="C25" s="367" t="s">
        <v>190</v>
      </c>
      <c r="D25" s="369">
        <f>D19/Semidetached!D$4</f>
        <v>125.47518868427147</v>
      </c>
      <c r="E25" s="370">
        <f>E19/Semidetached!E$4</f>
        <v>160.82923208369331</v>
      </c>
      <c r="F25" s="370">
        <f>F19/Semidetached!F$4</f>
        <v>149.7559555130866</v>
      </c>
      <c r="G25" s="370">
        <f>G19/Semidetached!G$4</f>
        <v>120.55117226225212</v>
      </c>
      <c r="H25" s="370">
        <f>H19/Semidetached!H$4</f>
        <v>62.793112636983594</v>
      </c>
      <c r="I25" s="370">
        <f>I19/Semidetached!I$4</f>
        <v>123.39783643972109</v>
      </c>
      <c r="J25" s="370">
        <f>J19/Semidetached!J$4</f>
        <v>104.74580147554691</v>
      </c>
      <c r="K25" s="370">
        <f>K19/Semidetached!K$4</f>
        <v>65.459136816266067</v>
      </c>
      <c r="L25" s="370">
        <f>L19/Semidetached!L$4</f>
        <v>93.397669483983393</v>
      </c>
      <c r="M25" s="370">
        <f>M19/Semidetached!M$4</f>
        <v>122.27525588749943</v>
      </c>
      <c r="N25" s="370">
        <f>N19/Semidetached!N$4</f>
        <v>120.42318664324392</v>
      </c>
      <c r="O25" s="370">
        <f>O19/Semidetached!O$4</f>
        <v>86.138597844639463</v>
      </c>
      <c r="P25" s="370">
        <f>P19/Semidetached!P$4</f>
        <v>152.27733005011726</v>
      </c>
      <c r="Q25" s="370">
        <f>Q19/Semidetached!Q$4</f>
        <v>132.82441261677229</v>
      </c>
      <c r="R25" s="370">
        <f>R19/Semidetached!R$4</f>
        <v>132.36114007283504</v>
      </c>
      <c r="S25" s="370">
        <f>S19/Semidetached!S$4</f>
        <v>135.84224805132834</v>
      </c>
      <c r="T25" s="370">
        <f>T19/Semidetached!T$4</f>
        <v>101.95431614485746</v>
      </c>
      <c r="U25" s="370">
        <f>U19/Semidetached!U$4</f>
        <v>112.96300742790689</v>
      </c>
      <c r="V25" s="370">
        <f>V19/Semidetached!V$4</f>
        <v>108.11832837791206</v>
      </c>
      <c r="W25" s="370">
        <f>W19/Semidetached!W$4</f>
        <v>97.019218310290057</v>
      </c>
      <c r="X25" s="370">
        <f>X19/Semidetached!X$4</f>
        <v>166.745175599069</v>
      </c>
      <c r="Y25" s="370">
        <f>Y19/Semidetached!Y$4</f>
        <v>40.010995079824824</v>
      </c>
      <c r="Z25" s="370">
        <f>Z19/Semidetached!Z$4</f>
        <v>133.89924303507135</v>
      </c>
      <c r="AA25" s="370">
        <f>AA19/Semidetached!AA$4</f>
        <v>76.752657565767777</v>
      </c>
      <c r="AB25" s="370">
        <f>AB19/Semidetached!AB$4</f>
        <v>119.06001990460108</v>
      </c>
      <c r="AC25" s="370">
        <f>AC19/Semidetached!AC$4</f>
        <v>84.921642053567993</v>
      </c>
      <c r="AD25" s="370">
        <f>AD19/Semidetached!AD$4</f>
        <v>192.87013660984664</v>
      </c>
      <c r="AE25" s="370">
        <f>AE19/Semidetached!AE$4</f>
        <v>74.850169664848195</v>
      </c>
      <c r="AF25" s="370">
        <f>AF19/Semidetached!AF$4</f>
        <v>139.33417060881223</v>
      </c>
      <c r="AG25" s="370">
        <f>AG19/Semidetached!AG$4</f>
        <v>185.24888636681644</v>
      </c>
      <c r="AH25" s="370">
        <f>AH19/Semidetached!AH$4</f>
        <v>155.62383730013835</v>
      </c>
      <c r="AI25" s="370">
        <f>AI19/Semidetached!AI$4</f>
        <v>147.71100729792744</v>
      </c>
      <c r="AJ25" s="370">
        <f>AJ19/Semidetached!AJ$4</f>
        <v>157.57942755840105</v>
      </c>
      <c r="AK25" s="370">
        <f>AK19/Semidetached!AK$4</f>
        <v>126.88337020470458</v>
      </c>
      <c r="AL25" s="370">
        <f>AL19/Semidetached!AL$4</f>
        <v>145.92402610900774</v>
      </c>
      <c r="AM25" s="370">
        <f>AM19/Semidetached!AM$4</f>
        <v>144.90620186496361</v>
      </c>
      <c r="AN25" s="371">
        <f>AN19/Semidetached!AN$4</f>
        <v>144.90620186496358</v>
      </c>
    </row>
    <row r="26" spans="1:40">
      <c r="A26" s="154"/>
      <c r="B26" s="347" t="s">
        <v>5</v>
      </c>
      <c r="C26" s="367" t="s">
        <v>190</v>
      </c>
      <c r="D26" s="369">
        <f>D20/Semidetached!D$4</f>
        <v>88.743453315851156</v>
      </c>
      <c r="E26" s="370">
        <f>E20/Semidetached!E$4</f>
        <v>135.84297871481681</v>
      </c>
      <c r="F26" s="370">
        <f>F20/Semidetached!F$4</f>
        <v>128.82281220171436</v>
      </c>
      <c r="G26" s="370">
        <f>G20/Semidetached!G$4</f>
        <v>85.071872664251345</v>
      </c>
      <c r="H26" s="370">
        <f>H20/Semidetached!H$4</f>
        <v>60.577655132349939</v>
      </c>
      <c r="I26" s="370">
        <f>I20/Semidetached!I$4</f>
        <v>109.21742428159375</v>
      </c>
      <c r="J26" s="370">
        <f>J20/Semidetached!J$4</f>
        <v>81.430468053453367</v>
      </c>
      <c r="K26" s="370">
        <f>K20/Semidetached!K$4</f>
        <v>55.148669433848426</v>
      </c>
      <c r="L26" s="370">
        <f>L20/Semidetached!L$4</f>
        <v>78.879372311954342</v>
      </c>
      <c r="M26" s="370">
        <f>M20/Semidetached!M$4</f>
        <v>82.497260687055515</v>
      </c>
      <c r="N26" s="370">
        <f>N20/Semidetached!N$4</f>
        <v>103.28424003498061</v>
      </c>
      <c r="O26" s="370">
        <f>O20/Semidetached!O$4</f>
        <v>74.336497345093932</v>
      </c>
      <c r="P26" s="370">
        <f>P20/Semidetached!P$4</f>
        <v>147.64600322951611</v>
      </c>
      <c r="Q26" s="370">
        <f>Q20/Semidetached!Q$4</f>
        <v>132.82441261677229</v>
      </c>
      <c r="R26" s="370">
        <f>R20/Semidetached!R$4</f>
        <v>99.020887935671539</v>
      </c>
      <c r="S26" s="370">
        <f>S20/Semidetached!S$4</f>
        <v>88.821960234853819</v>
      </c>
      <c r="T26" s="370">
        <f>T20/Semidetached!T$4</f>
        <v>87.419313245721611</v>
      </c>
      <c r="U26" s="370">
        <f>U20/Semidetached!U$4</f>
        <v>92.295729392999107</v>
      </c>
      <c r="V26" s="370">
        <f>V20/Semidetached!V$4</f>
        <v>108.11832837791206</v>
      </c>
      <c r="W26" s="370">
        <f>W20/Semidetached!W$4</f>
        <v>87.63047476302107</v>
      </c>
      <c r="X26" s="370">
        <f>X20/Semidetached!X$4</f>
        <v>101.22199165814499</v>
      </c>
      <c r="Y26" s="370">
        <f>Y20/Semidetached!Y$4</f>
        <v>35.956917681634721</v>
      </c>
      <c r="Z26" s="370">
        <f>Z20/Semidetached!Z$4</f>
        <v>85.829189217033871</v>
      </c>
      <c r="AA26" s="370">
        <f>AA20/Semidetached!AA$4</f>
        <v>76.752657565767777</v>
      </c>
      <c r="AB26" s="370">
        <f>AB20/Semidetached!AB$4</f>
        <v>119.06001990460108</v>
      </c>
      <c r="AC26" s="370">
        <f>AC20/Semidetached!AC$4</f>
        <v>82.475106617843835</v>
      </c>
      <c r="AD26" s="370">
        <f>AD20/Semidetached!AD$4</f>
        <v>166.28584432529763</v>
      </c>
      <c r="AE26" s="370">
        <f>AE20/Semidetached!AE$4</f>
        <v>74.850169664848195</v>
      </c>
      <c r="AF26" s="370">
        <f>AF20/Semidetached!AF$4</f>
        <v>112.35237713374018</v>
      </c>
      <c r="AG26" s="370">
        <f>AG20/Semidetached!AG$4</f>
        <v>162.31662043537881</v>
      </c>
      <c r="AH26" s="370">
        <f>AH20/Semidetached!AH$4</f>
        <v>89.786539088652461</v>
      </c>
      <c r="AI26" s="370">
        <f>AI20/Semidetached!AI$4</f>
        <v>143.08522875201012</v>
      </c>
      <c r="AJ26" s="370">
        <f>AJ20/Semidetached!AJ$4</f>
        <v>135.61676250652542</v>
      </c>
      <c r="AK26" s="370">
        <f>AK20/Semidetached!AK$4</f>
        <v>108.58582668272268</v>
      </c>
      <c r="AL26" s="370">
        <f>AL20/Semidetached!AL$4</f>
        <v>125.383385700606</v>
      </c>
      <c r="AM26" s="370">
        <f>AM20/Semidetached!AM$4</f>
        <v>124.70987024470703</v>
      </c>
      <c r="AN26" s="371">
        <f>AN20/Semidetached!AN$4</f>
        <v>124.70987024470702</v>
      </c>
    </row>
    <row r="27" spans="1:40">
      <c r="A27" s="154"/>
      <c r="B27" s="347" t="s">
        <v>6</v>
      </c>
      <c r="C27" s="367" t="s">
        <v>190</v>
      </c>
      <c r="D27" s="369">
        <f>D21/Semidetached!D$4</f>
        <v>77.89188436594219</v>
      </c>
      <c r="E27" s="370">
        <f>E21/Semidetached!E$4</f>
        <v>135.84297871481681</v>
      </c>
      <c r="F27" s="370">
        <f>F21/Semidetached!F$4</f>
        <v>100.15896315607625</v>
      </c>
      <c r="G27" s="370">
        <f>G21/Semidetached!G$4</f>
        <v>74.640582015835179</v>
      </c>
      <c r="H27" s="370">
        <f>H21/Semidetached!H$4</f>
        <v>60.577655132349939</v>
      </c>
      <c r="I27" s="370">
        <f>I21/Semidetached!I$4</f>
        <v>84.881113812172686</v>
      </c>
      <c r="J27" s="370">
        <f>J21/Semidetached!J$4</f>
        <v>53.974226239204043</v>
      </c>
      <c r="K27" s="370">
        <f>K21/Semidetached!K$4</f>
        <v>55.148669433848426</v>
      </c>
      <c r="L27" s="370">
        <f>L21/Semidetached!L$4</f>
        <v>70.535408410724386</v>
      </c>
      <c r="M27" s="370">
        <f>M21/Semidetached!M$4</f>
        <v>82.497260687055515</v>
      </c>
      <c r="N27" s="370">
        <f>N21/Semidetached!N$4</f>
        <v>101.97321503305609</v>
      </c>
      <c r="O27" s="370">
        <f>O21/Semidetached!O$4</f>
        <v>47.307818285117378</v>
      </c>
      <c r="P27" s="370">
        <f>P21/Semidetached!P$4</f>
        <v>147.64600322951611</v>
      </c>
      <c r="Q27" s="370">
        <f>Q21/Semidetached!Q$4</f>
        <v>97.750519709714908</v>
      </c>
      <c r="R27" s="370">
        <f>R21/Semidetached!R$4</f>
        <v>99.020887935671539</v>
      </c>
      <c r="S27" s="370">
        <f>S21/Semidetached!S$4</f>
        <v>76.058195476513987</v>
      </c>
      <c r="T27" s="370">
        <f>T21/Semidetached!T$4</f>
        <v>86.305729922553454</v>
      </c>
      <c r="U27" s="370">
        <f>U21/Semidetached!U$4</f>
        <v>85.446369966080567</v>
      </c>
      <c r="V27" s="370">
        <f>V21/Semidetached!V$4</f>
        <v>108.11832837791206</v>
      </c>
      <c r="W27" s="370">
        <f>W21/Semidetached!W$4</f>
        <v>78.456998949838521</v>
      </c>
      <c r="X27" s="370">
        <f>X21/Semidetached!X$4</f>
        <v>99.319965908730339</v>
      </c>
      <c r="Y27" s="370">
        <f>Y21/Semidetached!Y$4</f>
        <v>35.176990717781393</v>
      </c>
      <c r="Z27" s="370">
        <f>Z21/Semidetached!Z$4</f>
        <v>78.689230686180068</v>
      </c>
      <c r="AA27" s="370">
        <f>AA21/Semidetached!AA$4</f>
        <v>68.938871303407808</v>
      </c>
      <c r="AB27" s="370">
        <f>AB21/Semidetached!AB$4</f>
        <v>119.06001990460108</v>
      </c>
      <c r="AC27" s="370">
        <f>AC21/Semidetached!AC$4</f>
        <v>76.59189762956305</v>
      </c>
      <c r="AD27" s="370">
        <f>AD21/Semidetached!AD$4</f>
        <v>166.28584432529763</v>
      </c>
      <c r="AE27" s="370">
        <f>AE21/Semidetached!AE$4</f>
        <v>67.25796141943394</v>
      </c>
      <c r="AF27" s="370">
        <f>AF21/Semidetached!AF$4</f>
        <v>81.692419412392709</v>
      </c>
      <c r="AG27" s="370">
        <f>AG21/Semidetached!AG$4</f>
        <v>145.95430244741002</v>
      </c>
      <c r="AH27" s="370">
        <f>AH21/Semidetached!AH$4</f>
        <v>75.5554303298306</v>
      </c>
      <c r="AI27" s="370">
        <f>AI21/Semidetached!AI$4</f>
        <v>143.08522875201012</v>
      </c>
      <c r="AJ27" s="370">
        <f>AJ21/Semidetached!AJ$4</f>
        <v>127.25537999215355</v>
      </c>
      <c r="AK27" s="370">
        <f>AK21/Semidetached!AK$4</f>
        <v>101.6512760925045</v>
      </c>
      <c r="AL27" s="370">
        <f>AL21/Semidetached!AL$4</f>
        <v>97.059396344793043</v>
      </c>
      <c r="AM27" s="370">
        <f>AM21/Semidetached!AM$4</f>
        <v>117.02094662522815</v>
      </c>
      <c r="AN27" s="371">
        <f>AN21/Semidetached!AN$4</f>
        <v>117.02094662522813</v>
      </c>
    </row>
    <row r="28" spans="1:40">
      <c r="A28" s="155"/>
      <c r="B28" s="338" t="s">
        <v>7</v>
      </c>
      <c r="C28" s="368" t="s">
        <v>190</v>
      </c>
      <c r="D28" s="378">
        <f>D22/Semidetached!D$4</f>
        <v>69.437271526552067</v>
      </c>
      <c r="E28" s="379">
        <f>E22/Semidetached!E$4</f>
        <v>82.243743943321206</v>
      </c>
      <c r="F28" s="379">
        <f>F22/Semidetached!F$4</f>
        <v>71.255673581239634</v>
      </c>
      <c r="G28" s="379">
        <f>G22/Semidetached!G$4</f>
        <v>66.444091077471796</v>
      </c>
      <c r="H28" s="379">
        <f>H22/Semidetached!H$4</f>
        <v>49.120177171223972</v>
      </c>
      <c r="I28" s="379">
        <f>I22/Semidetached!I$4</f>
        <v>71.598212694187737</v>
      </c>
      <c r="J28" s="379">
        <f>J22/Semidetached!J$4</f>
        <v>57.836198873217413</v>
      </c>
      <c r="K28" s="379">
        <f>K22/Semidetached!K$4</f>
        <v>43.441622652816847</v>
      </c>
      <c r="L28" s="379">
        <f>L22/Semidetached!L$4</f>
        <v>70.535408410724386</v>
      </c>
      <c r="M28" s="379">
        <f>M22/Semidetached!M$4</f>
        <v>54.856195796132539</v>
      </c>
      <c r="N28" s="379">
        <f>N22/Semidetached!N$4</f>
        <v>95.301754240273297</v>
      </c>
      <c r="O28" s="379">
        <f>O22/Semidetached!O$4</f>
        <v>46.189228424514582</v>
      </c>
      <c r="P28" s="379">
        <f>P22/Semidetached!P$4</f>
        <v>51.751391923325883</v>
      </c>
      <c r="Q28" s="379">
        <f>Q22/Semidetached!Q$4</f>
        <v>66.235003926824533</v>
      </c>
      <c r="R28" s="379">
        <f>R22/Semidetached!R$4</f>
        <v>66.572615979914247</v>
      </c>
      <c r="S28" s="379">
        <f>S22/Semidetached!S$4</f>
        <v>50.141141111235633</v>
      </c>
      <c r="T28" s="379">
        <f>T22/Semidetached!T$4</f>
        <v>80.636583070826575</v>
      </c>
      <c r="U28" s="379">
        <f>U22/Semidetached!U$4</f>
        <v>85.446369966080567</v>
      </c>
      <c r="V28" s="379">
        <f>V22/Semidetached!V$4</f>
        <v>66.776313877704283</v>
      </c>
      <c r="W28" s="379">
        <f>W22/Semidetached!W$4</f>
        <v>66.736318395484673</v>
      </c>
      <c r="X28" s="379">
        <f>X22/Semidetached!X$4</f>
        <v>65.978158236437594</v>
      </c>
      <c r="Y28" s="379">
        <f>Y22/Semidetached!Y$4</f>
        <v>33.752097160423489</v>
      </c>
      <c r="Z28" s="379">
        <f>Z22/Semidetached!Z$4</f>
        <v>57.696252915810682</v>
      </c>
      <c r="AA28" s="379">
        <f>AA22/Semidetached!AA$4</f>
        <v>68.938871303407808</v>
      </c>
      <c r="AB28" s="379">
        <f>AB22/Semidetached!AB$4</f>
        <v>94.281434787891826</v>
      </c>
      <c r="AC28" s="379">
        <f>AC22/Semidetached!AC$4</f>
        <v>51.914861055739394</v>
      </c>
      <c r="AD28" s="379">
        <f>AD22/Semidetached!AD$4</f>
        <v>141.35974358864232</v>
      </c>
      <c r="AE28" s="379">
        <f>AE22/Semidetached!AE$4</f>
        <v>67.25796141943394</v>
      </c>
      <c r="AF28" s="379">
        <f>AF22/Semidetached!AF$4</f>
        <v>50.449622989651559</v>
      </c>
      <c r="AG28" s="379">
        <f>AG22/Semidetached!AG$4</f>
        <v>95.239307238930039</v>
      </c>
      <c r="AH28" s="379">
        <f>AH22/Semidetached!AH$4</f>
        <v>65.277960650852492</v>
      </c>
      <c r="AI28" s="379">
        <f>AI22/Semidetached!AI$4</f>
        <v>50.217438807529859</v>
      </c>
      <c r="AJ28" s="379">
        <f>AJ22/Semidetached!AJ$4</f>
        <v>113.81527339329892</v>
      </c>
      <c r="AK28" s="379">
        <f>AK22/Semidetached!AK$4</f>
        <v>90.732678817312561</v>
      </c>
      <c r="AL28" s="379">
        <f>AL22/Semidetached!AL$4</f>
        <v>68.905649991793453</v>
      </c>
      <c r="AM28" s="379">
        <f>AM22/Semidetached!AM$4</f>
        <v>104.66175209027865</v>
      </c>
      <c r="AN28" s="380">
        <f>AN22/Semidetached!AN$4</f>
        <v>104.66175209027864</v>
      </c>
    </row>
    <row r="29" spans="1:40">
      <c r="A29" s="334" t="s">
        <v>299</v>
      </c>
      <c r="B29" s="359" t="s">
        <v>2</v>
      </c>
      <c r="C29" s="366" t="s">
        <v>190</v>
      </c>
      <c r="D29" s="376">
        <f>Semidetached!D$48-D23</f>
        <v>-0.88547595925683709</v>
      </c>
      <c r="E29" s="376">
        <f>Semidetached!E$48-E23</f>
        <v>4.2127501564022509</v>
      </c>
      <c r="F29" s="376">
        <f>Semidetached!F$48-F23</f>
        <v>-0.30549037301540238</v>
      </c>
      <c r="G29" s="376">
        <f>Semidetached!G$48-G23</f>
        <v>-0.8242415862102348</v>
      </c>
      <c r="H29" s="376">
        <f>Semidetached!H$48-H23</f>
        <v>0</v>
      </c>
      <c r="I29" s="376">
        <f>Semidetached!I$48-I23</f>
        <v>0.5388816512443384</v>
      </c>
      <c r="J29" s="376">
        <f>Semidetached!J$48-J23</f>
        <v>3.3370922055806034</v>
      </c>
      <c r="K29" s="376">
        <f>Semidetached!K$48-K23</f>
        <v>-0.68241095324815149</v>
      </c>
      <c r="L29" s="376">
        <f>Semidetached!L$48-L23</f>
        <v>-8.6607543288959619</v>
      </c>
      <c r="M29" s="376">
        <f>Semidetached!M$48-M23</f>
        <v>6.2176136434770797</v>
      </c>
      <c r="N29" s="376">
        <f>Semidetached!N$48-N23</f>
        <v>-4.8998893644922248</v>
      </c>
      <c r="O29" s="376">
        <f>Semidetached!O$48-O23</f>
        <v>4.3637097588043332</v>
      </c>
      <c r="P29" s="376">
        <f>Semidetached!P$48-P23</f>
        <v>1.0150080945088575</v>
      </c>
      <c r="Q29" s="376">
        <f>Semidetached!Q$48-Q23</f>
        <v>9.6343141976322499</v>
      </c>
      <c r="R29" s="376">
        <f>Semidetached!R$48-R23</f>
        <v>-0.93310074707042645</v>
      </c>
      <c r="S29" s="376">
        <f>Semidetached!S$48-S23</f>
        <v>4.8117232373895149</v>
      </c>
      <c r="T29" s="376">
        <f>Semidetached!T$48-T23</f>
        <v>-4.1211490607285839</v>
      </c>
      <c r="U29" s="376">
        <f>Semidetached!U$48-U23</f>
        <v>6.7774405890265967</v>
      </c>
      <c r="V29" s="376">
        <f>Semidetached!V$48-V23</f>
        <v>-3.5340755661437981</v>
      </c>
      <c r="W29" s="376">
        <f>Semidetached!W$48-W23</f>
        <v>9.0360855457978175</v>
      </c>
      <c r="X29" s="376">
        <f>Semidetached!X$48-X23</f>
        <v>0</v>
      </c>
      <c r="Y29" s="376">
        <f>Semidetached!Y$48-Y23</f>
        <v>2.0262656818301892</v>
      </c>
      <c r="Z29" s="376">
        <f>Semidetached!Z$48-Z23</f>
        <v>3.4416475835809024</v>
      </c>
      <c r="AA29" s="376">
        <f>Semidetached!AA$48-AA23</f>
        <v>-1.2434103300452364</v>
      </c>
      <c r="AB29" s="376">
        <f>Semidetached!AB$48-AB23</f>
        <v>4.3573431507857663</v>
      </c>
      <c r="AC29" s="376">
        <f>Semidetached!AC$48-AC23</f>
        <v>2.0455808405413336</v>
      </c>
      <c r="AD29" s="376">
        <f>Semidetached!AD$48-AD23</f>
        <v>-0.62140989755056353</v>
      </c>
      <c r="AE29" s="376">
        <f>Semidetached!AE$48-AE23</f>
        <v>-1.228330499245132</v>
      </c>
      <c r="AF29" s="376">
        <f>Semidetached!AF$48-AF23</f>
        <v>-1.4443500858662048</v>
      </c>
      <c r="AG29" s="376">
        <f>Semidetached!AG$48-AG23</f>
        <v>5.1606816644459457</v>
      </c>
      <c r="AH29" s="376">
        <f>Semidetached!AH$48-AH23</f>
        <v>6.034851162561182</v>
      </c>
      <c r="AI29" s="376">
        <f>Semidetached!AI$48-AI23</f>
        <v>1.013684285699668</v>
      </c>
      <c r="AJ29" s="376">
        <f>Semidetached!AJ$48-AJ23</f>
        <v>1.9050556210309253</v>
      </c>
      <c r="AK29" s="376">
        <f>Semidetached!AK$48-AK23</f>
        <v>1.2529877794789712</v>
      </c>
      <c r="AL29" s="376">
        <f>Semidetached!AL$48-AL23</f>
        <v>-0.28303716256036182</v>
      </c>
      <c r="AM29" s="376">
        <f>Semidetached!AM$48-AM23</f>
        <v>1.7518427288535747</v>
      </c>
      <c r="AN29" s="377">
        <f>Semidetached!AN$48-AN23</f>
        <v>1.7518427288536031</v>
      </c>
    </row>
    <row r="30" spans="1:40">
      <c r="A30" s="154"/>
      <c r="B30" s="347" t="s">
        <v>3</v>
      </c>
      <c r="C30" s="367" t="s">
        <v>190</v>
      </c>
      <c r="D30" s="370">
        <f>Semidetached!D$49-D24</f>
        <v>-0.8959764652269655</v>
      </c>
      <c r="E30" s="370">
        <f>Semidetached!E$49-E24</f>
        <v>4.2127501564022509</v>
      </c>
      <c r="F30" s="370">
        <f>Semidetached!F$49-F24</f>
        <v>-0.30549037301540238</v>
      </c>
      <c r="G30" s="370">
        <f>Semidetached!G$49-G24</f>
        <v>-0.83389618569202639</v>
      </c>
      <c r="H30" s="370">
        <f>Semidetached!H$49-H24</f>
        <v>0</v>
      </c>
      <c r="I30" s="370">
        <f>Semidetached!I$49-I24</f>
        <v>0.55963567096200961</v>
      </c>
      <c r="J30" s="370">
        <f>Semidetached!J$49-J24</f>
        <v>-0.18633211923835802</v>
      </c>
      <c r="K30" s="370">
        <f>Semidetached!K$49-K24</f>
        <v>-0.85134393145341392</v>
      </c>
      <c r="L30" s="370">
        <f>Semidetached!L$49-L24</f>
        <v>-8.6607543288959619</v>
      </c>
      <c r="M30" s="370">
        <f>Semidetached!M$49-M24</f>
        <v>6.3380824139118914</v>
      </c>
      <c r="N30" s="370">
        <f>Semidetached!N$49-N24</f>
        <v>-4.994487879946746</v>
      </c>
      <c r="O30" s="370">
        <f>Semidetached!O$49-O24</f>
        <v>4.3637097588043332</v>
      </c>
      <c r="P30" s="370">
        <f>Semidetached!P$49-P24</f>
        <v>1.0150080945088575</v>
      </c>
      <c r="Q30" s="370">
        <f>Semidetached!Q$49-Q24</f>
        <v>9.5372184998913383</v>
      </c>
      <c r="R30" s="370">
        <f>Semidetached!R$49-R24</f>
        <v>-0.93310074707042645</v>
      </c>
      <c r="S30" s="370">
        <f>Semidetached!S$49-S24</f>
        <v>4.7958484785177973</v>
      </c>
      <c r="T30" s="370">
        <f>Semidetached!T$49-T24</f>
        <v>-4.2009666875867708</v>
      </c>
      <c r="U30" s="370">
        <f>Semidetached!U$49-U24</f>
        <v>6.8415644988405262</v>
      </c>
      <c r="V30" s="370">
        <f>Semidetached!V$49-V24</f>
        <v>-3.5340755661437981</v>
      </c>
      <c r="W30" s="370">
        <f>Semidetached!W$49-W24</f>
        <v>5.4497318339443837</v>
      </c>
      <c r="X30" s="370">
        <f>Semidetached!X$49-X24</f>
        <v>-1.3686778537202997</v>
      </c>
      <c r="Y30" s="370">
        <f>Semidetached!Y$49-Y24</f>
        <v>2.0269255754831264</v>
      </c>
      <c r="Z30" s="370">
        <f>Semidetached!Z$49-Z24</f>
        <v>2.4322240053437838</v>
      </c>
      <c r="AA30" s="370">
        <f>Semidetached!AA$49-AA24</f>
        <v>-1.5406871515727829</v>
      </c>
      <c r="AB30" s="370">
        <f>Semidetached!AB$49-AB24</f>
        <v>-0.2528275115420513</v>
      </c>
      <c r="AC30" s="370">
        <f>Semidetached!AC$49-AC24</f>
        <v>2.2255524523045693</v>
      </c>
      <c r="AD30" s="370">
        <f>Semidetached!AD$49-AD24</f>
        <v>-1.2654919195056209</v>
      </c>
      <c r="AE30" s="370">
        <f>Semidetached!AE$49-AE24</f>
        <v>-1.5220078555534542</v>
      </c>
      <c r="AF30" s="370">
        <f>Semidetached!AF$49-AF24</f>
        <v>-1.4443500858662048</v>
      </c>
      <c r="AG30" s="370">
        <f>Semidetached!AG$49-AG24</f>
        <v>5.3296165494565741</v>
      </c>
      <c r="AH30" s="370">
        <f>Semidetached!AH$49-AH24</f>
        <v>5.6700750862183895</v>
      </c>
      <c r="AI30" s="370">
        <f>Semidetached!AI$49-AI24</f>
        <v>1.013684285699668</v>
      </c>
      <c r="AJ30" s="370">
        <f>Semidetached!AJ$49-AJ24</f>
        <v>1.9050556210309253</v>
      </c>
      <c r="AK30" s="370">
        <f>Semidetached!AK$49-AK24</f>
        <v>1.2529877794789712</v>
      </c>
      <c r="AL30" s="370">
        <f>Semidetached!AL$49-AL24</f>
        <v>-0.28303716256036182</v>
      </c>
      <c r="AM30" s="370">
        <f>Semidetached!AM$49-AM24</f>
        <v>1.7518427288535747</v>
      </c>
      <c r="AN30" s="371">
        <f>Semidetached!AN$49-AN24</f>
        <v>1.7518427288536031</v>
      </c>
    </row>
    <row r="31" spans="1:40">
      <c r="A31" s="154"/>
      <c r="B31" s="347" t="s">
        <v>4</v>
      </c>
      <c r="C31" s="367" t="s">
        <v>190</v>
      </c>
      <c r="D31" s="370">
        <f>Semidetached!D$50-D25</f>
        <v>-1.8745723409738275</v>
      </c>
      <c r="E31" s="370">
        <f>Semidetached!E$50-E25</f>
        <v>4.2127501564022509</v>
      </c>
      <c r="F31" s="370">
        <f>Semidetached!F$50-F25</f>
        <v>-0.30897111193070259</v>
      </c>
      <c r="G31" s="370">
        <f>Semidetached!G$50-G25</f>
        <v>-1.7450971231762225</v>
      </c>
      <c r="H31" s="370">
        <f>Semidetached!H$50-H25</f>
        <v>3.42106562992916</v>
      </c>
      <c r="I31" s="370">
        <f>Semidetached!I$50-I25</f>
        <v>0.55963567096200961</v>
      </c>
      <c r="J31" s="370">
        <f>Semidetached!J$50-J25</f>
        <v>0.46186175744125535</v>
      </c>
      <c r="K31" s="370">
        <f>Semidetached!K$50-K25</f>
        <v>-1.0561810865159913</v>
      </c>
      <c r="L31" s="370">
        <f>Semidetached!L$50-L25</f>
        <v>-8.9954172807161257</v>
      </c>
      <c r="M31" s="370">
        <f>Semidetached!M$50-M25</f>
        <v>6.3380824139118914</v>
      </c>
      <c r="N31" s="370">
        <f>Semidetached!N$50-N25</f>
        <v>-6.7288269473390159</v>
      </c>
      <c r="O31" s="370">
        <f>Semidetached!O$50-O25</f>
        <v>2.70244554913819</v>
      </c>
      <c r="P31" s="370">
        <f>Semidetached!P$50-P25</f>
        <v>1.0150080945088575</v>
      </c>
      <c r="Q31" s="370">
        <f>Semidetached!Q$50-Q25</f>
        <v>1.7086487521883669</v>
      </c>
      <c r="R31" s="370">
        <f>Semidetached!R$50-R25</f>
        <v>-0.95762507444374023</v>
      </c>
      <c r="S31" s="370">
        <f>Semidetached!S$50-S25</f>
        <v>4.9709686677106504</v>
      </c>
      <c r="T31" s="370">
        <f>Semidetached!T$50-T25</f>
        <v>-5.6600162379490087</v>
      </c>
      <c r="U31" s="370">
        <f>Semidetached!U$50-U25</f>
        <v>5.0026000047605237</v>
      </c>
      <c r="V31" s="370">
        <f>Semidetached!V$50-V25</f>
        <v>-6.3818098186832941</v>
      </c>
      <c r="W31" s="370">
        <f>Semidetached!W$50-W25</f>
        <v>1.7085738400125194</v>
      </c>
      <c r="X31" s="370">
        <f>Semidetached!X$50-X25</f>
        <v>-1.3884900581509214</v>
      </c>
      <c r="Y31" s="370">
        <f>Semidetached!Y$50-Y25</f>
        <v>2.0868633515955395</v>
      </c>
      <c r="Z31" s="370">
        <f>Semidetached!Z$50-Z25</f>
        <v>2.451371961958472</v>
      </c>
      <c r="AA31" s="370">
        <f>Semidetached!AA$50-AA25</f>
        <v>-1.9058183956019263</v>
      </c>
      <c r="AB31" s="370">
        <f>Semidetached!AB$50-AB25</f>
        <v>-2.4349544352539851</v>
      </c>
      <c r="AC31" s="370">
        <f>Semidetached!AC$50-AC25</f>
        <v>2.2346019810185709</v>
      </c>
      <c r="AD31" s="370">
        <f>Semidetached!AD$50-AD25</f>
        <v>-1.2654919195056209</v>
      </c>
      <c r="AE31" s="370">
        <f>Semidetached!AE$50-AE25</f>
        <v>-1.8820433066460822</v>
      </c>
      <c r="AF31" s="370">
        <f>Semidetached!AF$50-AF25</f>
        <v>-2.937442537221699</v>
      </c>
      <c r="AG31" s="370">
        <f>Semidetached!AG$50-AG25</f>
        <v>5.3296165494565741</v>
      </c>
      <c r="AH31" s="370">
        <f>Semidetached!AH$50-AH25</f>
        <v>4.3289253897709443</v>
      </c>
      <c r="AI31" s="370">
        <f>Semidetached!AI$50-AI25</f>
        <v>1.013684285699668</v>
      </c>
      <c r="AJ31" s="370">
        <f>Semidetached!AJ$50-AJ25</f>
        <v>1.9050556210309253</v>
      </c>
      <c r="AK31" s="370">
        <f>Semidetached!AK$50-AK25</f>
        <v>1.2529877794789712</v>
      </c>
      <c r="AL31" s="370">
        <f>Semidetached!AL$50-AL25</f>
        <v>-0.2862883615524936</v>
      </c>
      <c r="AM31" s="370">
        <f>Semidetached!AM$50-AM25</f>
        <v>1.7518427288535747</v>
      </c>
      <c r="AN31" s="371">
        <f>Semidetached!AN$50-AN25</f>
        <v>1.7518427288536031</v>
      </c>
    </row>
    <row r="32" spans="1:40">
      <c r="A32" s="154"/>
      <c r="B32" s="347" t="s">
        <v>5</v>
      </c>
      <c r="C32" s="367" t="s">
        <v>190</v>
      </c>
      <c r="D32" s="370">
        <f>Semidetached!D$51-D26</f>
        <v>-4.5212419162044455</v>
      </c>
      <c r="E32" s="370">
        <f>Semidetached!E$51-E26</f>
        <v>3.133233936213486</v>
      </c>
      <c r="F32" s="370">
        <f>Semidetached!F$51-F26</f>
        <v>-0.31797292918940911</v>
      </c>
      <c r="G32" s="370">
        <f>Semidetached!G$51-G26</f>
        <v>-4.2103277042910605</v>
      </c>
      <c r="H32" s="370">
        <f>Semidetached!H$51-H26</f>
        <v>3.4438017480278305</v>
      </c>
      <c r="I32" s="370">
        <f>Semidetached!I$51-I26</f>
        <v>0.57276222217332418</v>
      </c>
      <c r="J32" s="370">
        <f>Semidetached!J$51-J26</f>
        <v>-0.63064812682522131</v>
      </c>
      <c r="K32" s="370">
        <f>Semidetached!K$51-K26</f>
        <v>-1.5199100775578245</v>
      </c>
      <c r="L32" s="370">
        <f>Semidetached!L$51-L26</f>
        <v>-15.280989704279726</v>
      </c>
      <c r="M32" s="370">
        <f>Semidetached!M$51-M26</f>
        <v>1.370774216234679</v>
      </c>
      <c r="N32" s="370">
        <f>Semidetached!N$51-N26</f>
        <v>-10.169572423181393</v>
      </c>
      <c r="O32" s="370">
        <f>Semidetached!O$51-O26</f>
        <v>1.1794076326360425</v>
      </c>
      <c r="P32" s="370">
        <f>Semidetached!P$51-P26</f>
        <v>1.0209728528107291</v>
      </c>
      <c r="Q32" s="370">
        <f>Semidetached!Q$51-Q26</f>
        <v>1.7086487521883669</v>
      </c>
      <c r="R32" s="370">
        <f>Semidetached!R$51-R26</f>
        <v>-1.0123395986618959</v>
      </c>
      <c r="S32" s="370">
        <f>Semidetached!S$51-S26</f>
        <v>2.232722103840544</v>
      </c>
      <c r="T32" s="370">
        <f>Semidetached!T$51-T26</f>
        <v>-8.5544681155444806</v>
      </c>
      <c r="U32" s="370">
        <f>Semidetached!U$51-U26</f>
        <v>1.4893108574291603</v>
      </c>
      <c r="V32" s="370">
        <f>Semidetached!V$51-V26</f>
        <v>-6.3818098186832941</v>
      </c>
      <c r="W32" s="370">
        <f>Semidetached!W$51-W26</f>
        <v>-4.0899135552149772</v>
      </c>
      <c r="X32" s="370">
        <f>Semidetached!X$51-X26</f>
        <v>-6.9117601217480598</v>
      </c>
      <c r="Y32" s="370">
        <f>Semidetached!Y$51-Y26</f>
        <v>2.1283861095887175</v>
      </c>
      <c r="Z32" s="370">
        <f>Semidetached!Z$51-Z26</f>
        <v>2.4025396816898166</v>
      </c>
      <c r="AA32" s="370">
        <f>Semidetached!AA$51-AA26</f>
        <v>-2.6540839916975898</v>
      </c>
      <c r="AB32" s="370">
        <f>Semidetached!AB$51-AB26</f>
        <v>-2.4349544352539851</v>
      </c>
      <c r="AC32" s="370">
        <f>Semidetached!AC$51-AC26</f>
        <v>2.3962696388723117</v>
      </c>
      <c r="AD32" s="370">
        <f>Semidetached!AD$51-AD26</f>
        <v>-1.9535968694141843</v>
      </c>
      <c r="AE32" s="370">
        <f>Semidetached!AE$51-AE26</f>
        <v>-2.6210063259265439</v>
      </c>
      <c r="AF32" s="370">
        <f>Semidetached!AF$51-AF26</f>
        <v>-5.6265588965482323</v>
      </c>
      <c r="AG32" s="370">
        <f>Semidetached!AG$51-AG26</f>
        <v>1.0953643655127792</v>
      </c>
      <c r="AH32" s="370">
        <f>Semidetached!AH$51-AH26</f>
        <v>4.3328856529246877</v>
      </c>
      <c r="AI32" s="370">
        <f>Semidetached!AI$51-AI26</f>
        <v>1.0198207005140318</v>
      </c>
      <c r="AJ32" s="370">
        <f>Semidetached!AJ$51-AJ26</f>
        <v>1.9598696484814866</v>
      </c>
      <c r="AK32" s="370">
        <f>Semidetached!AK$51-AK26</f>
        <v>1.2904658170859733</v>
      </c>
      <c r="AL32" s="370">
        <f>Semidetached!AL$51-AL26</f>
        <v>-0.29469288466289356</v>
      </c>
      <c r="AM32" s="370">
        <f>Semidetached!AM$51-AM26</f>
        <v>1.80224837285067</v>
      </c>
      <c r="AN32" s="371">
        <f>Semidetached!AN$51-AN26</f>
        <v>1.80224837285067</v>
      </c>
    </row>
    <row r="33" spans="1:40">
      <c r="A33" s="154"/>
      <c r="B33" s="347" t="s">
        <v>6</v>
      </c>
      <c r="C33" s="367" t="s">
        <v>190</v>
      </c>
      <c r="D33" s="370">
        <f>Semidetached!D$52-D27</f>
        <v>-5.6773030225529197</v>
      </c>
      <c r="E33" s="370">
        <f>Semidetached!E$52-E27</f>
        <v>3.133233936213486</v>
      </c>
      <c r="F33" s="370">
        <f>Semidetached!F$52-F27</f>
        <v>-0.33361494734863584</v>
      </c>
      <c r="G33" s="370">
        <f>Semidetached!G$52-G27</f>
        <v>-5.2869492651101524</v>
      </c>
      <c r="H33" s="370">
        <f>Semidetached!H$52-H27</f>
        <v>-1.2309065760152862</v>
      </c>
      <c r="I33" s="370">
        <f>Semidetached!I$52-I27</f>
        <v>-1.8073921735073384</v>
      </c>
      <c r="J33" s="370">
        <f>Semidetached!J$52-J27</f>
        <v>-5.8285765510176901</v>
      </c>
      <c r="K33" s="370">
        <f>Semidetached!K$52-K27</f>
        <v>-1.5199100775578245</v>
      </c>
      <c r="L33" s="370">
        <f>Semidetached!L$52-L27</f>
        <v>-16.29131698364823</v>
      </c>
      <c r="M33" s="370">
        <f>Semidetached!M$52-M27</f>
        <v>1.370774216234679</v>
      </c>
      <c r="N33" s="370">
        <f>Semidetached!N$52-N27</f>
        <v>-10.195928235595957</v>
      </c>
      <c r="O33" s="370">
        <f>Semidetached!O$52-O27</f>
        <v>-3.0573542635688966</v>
      </c>
      <c r="P33" s="370">
        <f>Semidetached!P$52-P27</f>
        <v>1.0209728528107291</v>
      </c>
      <c r="Q33" s="370">
        <f>Semidetached!Q$52-Q27</f>
        <v>-1.8168523585504488</v>
      </c>
      <c r="R33" s="370">
        <f>Semidetached!R$52-R27</f>
        <v>-1.0123395986618959</v>
      </c>
      <c r="S33" s="370">
        <f>Semidetached!S$52-S27</f>
        <v>2.2985883728825769</v>
      </c>
      <c r="T33" s="370">
        <f>Semidetached!T$52-T27</f>
        <v>-8.5767086239433894</v>
      </c>
      <c r="U33" s="370">
        <f>Semidetached!U$52-U27</f>
        <v>1.5111258672674381</v>
      </c>
      <c r="V33" s="370">
        <f>Semidetached!V$52-V27</f>
        <v>-6.3818098186832941</v>
      </c>
      <c r="W33" s="370">
        <f>Semidetached!W$52-W27</f>
        <v>-6.5881895189044144</v>
      </c>
      <c r="X33" s="370">
        <f>Semidetached!X$52-X27</f>
        <v>-6.9378645137080355</v>
      </c>
      <c r="Y33" s="370">
        <f>Semidetached!Y$52-Y27</f>
        <v>2.1369896617515423</v>
      </c>
      <c r="Z33" s="370">
        <f>Semidetached!Z$52-Z27</f>
        <v>0.65690837983028416</v>
      </c>
      <c r="AA33" s="370">
        <f>Semidetached!AA$52-AA27</f>
        <v>-2.7101723154945603</v>
      </c>
      <c r="AB33" s="370">
        <f>Semidetached!AB$52-AB27</f>
        <v>-2.4349544352539851</v>
      </c>
      <c r="AC33" s="370">
        <f>Semidetached!AC$52-AC27</f>
        <v>2.2782471011801988</v>
      </c>
      <c r="AD33" s="370">
        <f>Semidetached!AD$52-AD27</f>
        <v>-1.9535968694141843</v>
      </c>
      <c r="AE33" s="370">
        <f>Semidetached!AE$52-AE27</f>
        <v>-2.6761950475561775</v>
      </c>
      <c r="AF33" s="370">
        <f>Semidetached!AF$52-AF27</f>
        <v>-5.9924860234282136</v>
      </c>
      <c r="AG33" s="370">
        <f>Semidetached!AG$52-AG27</f>
        <v>1.1176630691577145</v>
      </c>
      <c r="AH33" s="370">
        <f>Semidetached!AH$52-AH27</f>
        <v>-3.5408298342301094</v>
      </c>
      <c r="AI33" s="370">
        <f>Semidetached!AI$52-AI27</f>
        <v>1.0198207005140318</v>
      </c>
      <c r="AJ33" s="370">
        <f>Semidetached!AJ$52-AJ27</f>
        <v>2.6434529577087318</v>
      </c>
      <c r="AK33" s="370">
        <f>Semidetached!AK$52-AK27</f>
        <v>1.74152318510626</v>
      </c>
      <c r="AL33" s="370">
        <f>Semidetached!AL$52-AL27</f>
        <v>-0.30944664462862193</v>
      </c>
      <c r="AM33" s="370">
        <f>Semidetached!AM$52-AM27</f>
        <v>2.4308549272290776</v>
      </c>
      <c r="AN33" s="371">
        <f>Semidetached!AN$52-AN27</f>
        <v>2.4308549272290776</v>
      </c>
    </row>
    <row r="34" spans="1:40">
      <c r="A34" s="155"/>
      <c r="B34" s="338" t="s">
        <v>7</v>
      </c>
      <c r="C34" s="368" t="s">
        <v>190</v>
      </c>
      <c r="D34" s="379">
        <f>Semidetached!D$53-D28</f>
        <v>-6.342211583447579</v>
      </c>
      <c r="E34" s="379">
        <f>Semidetached!E$53-E28</f>
        <v>-0.88385814912956562</v>
      </c>
      <c r="F34" s="379">
        <f>Semidetached!F$53-F28</f>
        <v>-3.3962441112518036</v>
      </c>
      <c r="G34" s="379">
        <f>Semidetached!G$53-G28</f>
        <v>-5.9075068588949904</v>
      </c>
      <c r="H34" s="379">
        <f>Semidetached!H$53-H28</f>
        <v>0</v>
      </c>
      <c r="I34" s="379">
        <f>Semidetached!I$53-I28</f>
        <v>-6.2639138762628619</v>
      </c>
      <c r="J34" s="379">
        <f>Semidetached!J$53-J28</f>
        <v>-5.7473012952559088</v>
      </c>
      <c r="K34" s="379">
        <f>Semidetached!K$53-K28</f>
        <v>-4.9606452612948431</v>
      </c>
      <c r="L34" s="379">
        <f>Semidetached!L$53-L28</f>
        <v>-16.29131698364823</v>
      </c>
      <c r="M34" s="379">
        <f>Semidetached!M$53-M28</f>
        <v>0.98758147694047693</v>
      </c>
      <c r="N34" s="379">
        <f>Semidetached!N$53-N28</f>
        <v>-13.096572736720802</v>
      </c>
      <c r="O34" s="379">
        <f>Semidetached!O$53-O28</f>
        <v>-3.371700271332486</v>
      </c>
      <c r="P34" s="379">
        <f>Semidetached!P$53-P28</f>
        <v>1.244618058355357</v>
      </c>
      <c r="Q34" s="379">
        <f>Semidetached!Q$53-Q28</f>
        <v>-5.911048363124273</v>
      </c>
      <c r="R34" s="379">
        <f>Semidetached!R$53-R28</f>
        <v>-6.6090547056792062</v>
      </c>
      <c r="S34" s="379">
        <f>Semidetached!S$53-S28</f>
        <v>-0.69877427214793641</v>
      </c>
      <c r="T34" s="379">
        <f>Semidetached!T$53-T28</f>
        <v>-11.017059765292302</v>
      </c>
      <c r="U34" s="379">
        <f>Semidetached!U$53-U28</f>
        <v>-1.0102472015267523</v>
      </c>
      <c r="V34" s="379">
        <f>Semidetached!V$53-V28</f>
        <v>-8.4519721414319235</v>
      </c>
      <c r="W34" s="379">
        <f>Semidetached!W$53-W28</f>
        <v>-8.6883775888570156</v>
      </c>
      <c r="X34" s="379">
        <f>Semidetached!X$53-X28</f>
        <v>-9.0621937672639206</v>
      </c>
      <c r="Y34" s="379">
        <f>Semidetached!Y$53-Y28</f>
        <v>2.1532859329107126</v>
      </c>
      <c r="Z34" s="379">
        <f>Semidetached!Z$53-Z28</f>
        <v>-2.7058175379708658</v>
      </c>
      <c r="AA34" s="379">
        <f>Semidetached!AA$53-AA28</f>
        <v>-8.4500015646261915</v>
      </c>
      <c r="AB34" s="379">
        <f>Semidetached!AB$53-AB28</f>
        <v>-2.5472372051777938</v>
      </c>
      <c r="AC34" s="379">
        <f>Semidetached!AC$53-AC28</f>
        <v>0.73709937145017079</v>
      </c>
      <c r="AD34" s="379">
        <f>Semidetached!AD$53-AD28</f>
        <v>-8.7745130089578254</v>
      </c>
      <c r="AE34" s="379">
        <f>Semidetached!AE$53-AE28</f>
        <v>-8.344971220874065</v>
      </c>
      <c r="AF34" s="379">
        <f>Semidetached!AF$53-AF28</f>
        <v>-8.4416483597575223</v>
      </c>
      <c r="AG34" s="379">
        <f>Semidetached!AG$53-AG28</f>
        <v>-6.1040466487721545</v>
      </c>
      <c r="AH34" s="379">
        <f>Semidetached!AH$53-AH28</f>
        <v>-5.3254844667357091</v>
      </c>
      <c r="AI34" s="379">
        <f>Semidetached!AI$53-AI28</f>
        <v>1.2428520273825541</v>
      </c>
      <c r="AJ34" s="379">
        <f>Semidetached!AJ$53-AJ28</f>
        <v>-0.67677613647042278</v>
      </c>
      <c r="AK34" s="379">
        <f>Semidetached!AK$53-AK28</f>
        <v>-0.44583837751461886</v>
      </c>
      <c r="AL34" s="379">
        <f>Semidetached!AL$53-AL28</f>
        <v>-3.150912852476111</v>
      </c>
      <c r="AM34" s="379">
        <f>Semidetached!AM$53-AM28</f>
        <v>-0.62234684418069719</v>
      </c>
      <c r="AN34" s="380">
        <f>Semidetached!AN$53-AN28</f>
        <v>-0.62234684418069719</v>
      </c>
    </row>
    <row r="35" spans="1:40">
      <c r="A35" s="5"/>
      <c r="B35" s="5"/>
      <c r="C35" s="5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</row>
    <row r="36" spans="1:40">
      <c r="A36" s="5" t="s">
        <v>224</v>
      </c>
      <c r="B36" s="5"/>
      <c r="C36" s="5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</row>
    <row r="37" spans="1:40" ht="15" customHeight="1">
      <c r="A37" s="938" t="s">
        <v>123</v>
      </c>
      <c r="B37" s="939"/>
      <c r="C37" s="138" t="s">
        <v>76</v>
      </c>
      <c r="D37" s="194">
        <v>1</v>
      </c>
      <c r="E37" s="195">
        <v>1</v>
      </c>
      <c r="F37" s="195">
        <v>1</v>
      </c>
      <c r="G37" s="195">
        <v>1</v>
      </c>
      <c r="H37" s="195">
        <v>1</v>
      </c>
      <c r="I37" s="195">
        <v>1</v>
      </c>
      <c r="J37" s="195">
        <v>1</v>
      </c>
      <c r="K37" s="195">
        <v>1</v>
      </c>
      <c r="L37" s="195">
        <v>1</v>
      </c>
      <c r="M37" s="195">
        <v>1</v>
      </c>
      <c r="N37" s="195">
        <v>1</v>
      </c>
      <c r="O37" s="195">
        <v>1</v>
      </c>
      <c r="P37" s="195">
        <v>1</v>
      </c>
      <c r="Q37" s="195">
        <v>1</v>
      </c>
      <c r="R37" s="195">
        <v>1</v>
      </c>
      <c r="S37" s="195">
        <v>1</v>
      </c>
      <c r="T37" s="195">
        <v>1</v>
      </c>
      <c r="U37" s="195">
        <v>1</v>
      </c>
      <c r="V37" s="195">
        <v>1</v>
      </c>
      <c r="W37" s="195">
        <v>1</v>
      </c>
      <c r="X37" s="195">
        <v>1</v>
      </c>
      <c r="Y37" s="195">
        <v>1</v>
      </c>
      <c r="Z37" s="195">
        <v>1</v>
      </c>
      <c r="AA37" s="195">
        <v>1</v>
      </c>
      <c r="AB37" s="195">
        <v>1</v>
      </c>
      <c r="AC37" s="195">
        <v>1</v>
      </c>
      <c r="AD37" s="195">
        <v>1</v>
      </c>
      <c r="AE37" s="195">
        <v>1</v>
      </c>
      <c r="AF37" s="195">
        <v>1</v>
      </c>
      <c r="AG37" s="195">
        <v>1</v>
      </c>
      <c r="AH37" s="195">
        <v>1</v>
      </c>
      <c r="AI37" s="195">
        <v>1</v>
      </c>
      <c r="AJ37" s="195">
        <v>1</v>
      </c>
      <c r="AK37" s="195">
        <v>1</v>
      </c>
      <c r="AL37" s="195">
        <v>1</v>
      </c>
      <c r="AM37" s="195">
        <v>1</v>
      </c>
      <c r="AN37" s="196">
        <v>1</v>
      </c>
    </row>
    <row r="38" spans="1:40">
      <c r="A38" s="151" t="s">
        <v>193</v>
      </c>
      <c r="B38" s="141" t="s">
        <v>2</v>
      </c>
      <c r="C38" s="144" t="s">
        <v>195</v>
      </c>
      <c r="D38" s="170">
        <f>((LOOKUP(Semidetached!D$2,'Ceiling-U'!$A$4:$A$40,'Ceiling-U'!$E$4:$E$40)*Semidetached!D$15)+(LOOKUP(Semidetached!D$2,'Floor-U'!$A$4:$A$40,'Floor-U'!$E$4:$E$40)*Semidetached!D$16)+(LOOKUP(Semidetached!D$2,'Wall-U'!$A$4:$A$40,'Wall-U'!$E$4:$E$40)*Semidetached!D$13)+(LOOKUP(Semidetached!D$2,'Window-U'!$A$4:$A$40,'Window-U'!$R$4:$R$40)*Semidetached!D$22))*D37</f>
        <v>1671.1937022054524</v>
      </c>
      <c r="E38" s="171">
        <f>((LOOKUP(Semidetached!E$2,'Ceiling-U'!$A$4:$A$40,'Ceiling-U'!$E$4:$E$40)*Semidetached!E$15)+(LOOKUP(Semidetached!E$2,'Floor-U'!$A$4:$A$40,'Floor-U'!$E$4:$E$40)*Semidetached!E$16)+(LOOKUP(Semidetached!E$2,'Wall-U'!$A$4:$A$40,'Wall-U'!$E$4:$E$40)*Semidetached!E$13)+(LOOKUP(Semidetached!E$2,'Window-U'!$A$4:$A$40,'Window-U'!$R$4:$R$40)*Semidetached!E$22))*E37</f>
        <v>2105.2743477792978</v>
      </c>
      <c r="F38" s="171">
        <f>((LOOKUP(Semidetached!F$2,'Ceiling-U'!$A$4:$A$40,'Ceiling-U'!$E$4:$E$40)*Semidetached!F$15)+(LOOKUP(Semidetached!F$2,'Floor-U'!$A$4:$A$40,'Floor-U'!$E$4:$E$40)*Semidetached!F$16)+(LOOKUP(Semidetached!F$2,'Wall-U'!$A$4:$A$40,'Wall-U'!$E$4:$E$40)*Semidetached!F$13)+(LOOKUP(Semidetached!F$2,'Window-U'!$A$4:$A$40,'Window-U'!$R$4:$R$40)*Semidetached!F$22))*F37</f>
        <v>1126.0770549999936</v>
      </c>
      <c r="G38" s="171">
        <f>((LOOKUP(Semidetached!G$2,'Ceiling-U'!$A$4:$A$40,'Ceiling-U'!$E$4:$E$40)*Semidetached!G$15)+(LOOKUP(Semidetached!G$2,'Floor-U'!$A$4:$A$40,'Floor-U'!$E$4:$E$40)*Semidetached!G$16)+(LOOKUP(Semidetached!G$2,'Wall-U'!$A$4:$A$40,'Wall-U'!$E$4:$E$40)*Semidetached!G$13)+(LOOKUP(Semidetached!G$2,'Window-U'!$A$4:$A$40,'Window-U'!$R$4:$R$40)*Semidetached!G$22))*G37</f>
        <v>1727.7230815349096</v>
      </c>
      <c r="H38" s="171">
        <f>((LOOKUP(Semidetached!H$2,'Ceiling-U'!$A$4:$A$40,'Ceiling-U'!$E$4:$E$40)*Semidetached!H$15)+(LOOKUP(Semidetached!H$2,'Floor-U'!$A$4:$A$40,'Floor-U'!$E$4:$E$40)*Semidetached!H$16)+(LOOKUP(Semidetached!H$2,'Wall-U'!$A$4:$A$40,'Wall-U'!$E$4:$E$40)*Semidetached!H$13)+(LOOKUP(Semidetached!H$2,'Window-U'!$A$4:$A$40,'Window-U'!$R$4:$R$40)*Semidetached!H$22))*H37</f>
        <v>2856.0676645082904</v>
      </c>
      <c r="I38" s="171">
        <f>((LOOKUP(Semidetached!I$2,'Ceiling-U'!$A$4:$A$40,'Ceiling-U'!$E$4:$E$40)*Semidetached!I$15)+(LOOKUP(Semidetached!I$2,'Floor-U'!$A$4:$A$40,'Floor-U'!$E$4:$E$40)*Semidetached!I$16)+(LOOKUP(Semidetached!I$2,'Wall-U'!$A$4:$A$40,'Wall-U'!$E$4:$E$40)*Semidetached!I$13)+(LOOKUP(Semidetached!I$2,'Window-U'!$A$4:$A$40,'Window-U'!$R$4:$R$40)*Semidetached!I$22))*I37</f>
        <v>1212.8035750651179</v>
      </c>
      <c r="J38" s="171">
        <f>((LOOKUP(Semidetached!J$2,'Ceiling-U'!$A$4:$A$40,'Ceiling-U'!$E$4:$E$40)*Semidetached!J$15)+(LOOKUP(Semidetached!J$2,'Floor-U'!$A$4:$A$40,'Floor-U'!$E$4:$E$40)*Semidetached!J$16)+(LOOKUP(Semidetached!J$2,'Wall-U'!$A$4:$A$40,'Wall-U'!$E$4:$E$40)*Semidetached!J$13)+(LOOKUP(Semidetached!J$2,'Window-U'!$A$4:$A$40,'Window-U'!$R$4:$R$40)*Semidetached!J$22))*J37</f>
        <v>1976.6488356215898</v>
      </c>
      <c r="K38" s="171">
        <f>((LOOKUP(Semidetached!K$2,'Ceiling-U'!$A$4:$A$40,'Ceiling-U'!$E$4:$E$40)*Semidetached!K$15)+(LOOKUP(Semidetached!K$2,'Floor-U'!$A$4:$A$40,'Floor-U'!$E$4:$E$40)*Semidetached!K$16)+(LOOKUP(Semidetached!K$2,'Wall-U'!$A$4:$A$40,'Wall-U'!$E$4:$E$40)*Semidetached!K$13)+(LOOKUP(Semidetached!K$2,'Window-U'!$A$4:$A$40,'Window-U'!$R$4:$R$40)*Semidetached!K$22))*K37</f>
        <v>1027.1851554888751</v>
      </c>
      <c r="L38" s="171">
        <f>((LOOKUP(Semidetached!L$2,'Ceiling-U'!$A$4:$A$40,'Ceiling-U'!$E$4:$E$40)*Semidetached!L$15)+(LOOKUP(Semidetached!L$2,'Floor-U'!$A$4:$A$40,'Floor-U'!$E$4:$E$40)*Semidetached!L$16)+(LOOKUP(Semidetached!L$2,'Wall-U'!$A$4:$A$40,'Wall-U'!$E$4:$E$40)*Semidetached!L$13)+(LOOKUP(Semidetached!L$2,'Window-U'!$A$4:$A$40,'Window-U'!$R$4:$R$40)*Semidetached!L$22))*L37</f>
        <v>526.32214500611497</v>
      </c>
      <c r="M38" s="171">
        <f>((LOOKUP(Semidetached!M$2,'Ceiling-U'!$A$4:$A$40,'Ceiling-U'!$E$4:$E$40)*Semidetached!M$15)+(LOOKUP(Semidetached!M$2,'Floor-U'!$A$4:$A$40,'Floor-U'!$E$4:$E$40)*Semidetached!M$16)+(LOOKUP(Semidetached!M$2,'Wall-U'!$A$4:$A$40,'Wall-U'!$E$4:$E$40)*Semidetached!M$13)+(LOOKUP(Semidetached!M$2,'Window-U'!$A$4:$A$40,'Window-U'!$R$4:$R$40)*Semidetached!M$22))*M37</f>
        <v>2901.6737218739581</v>
      </c>
      <c r="N38" s="171">
        <f>((LOOKUP(Semidetached!N$2,'Ceiling-U'!$A$4:$A$40,'Ceiling-U'!$E$4:$E$40)*Semidetached!N$15)+(LOOKUP(Semidetached!N$2,'Floor-U'!$A$4:$A$40,'Floor-U'!$E$4:$E$40)*Semidetached!N$16)+(LOOKUP(Semidetached!N$2,'Wall-U'!$A$4:$A$40,'Wall-U'!$E$4:$E$40)*Semidetached!N$13)+(LOOKUP(Semidetached!N$2,'Window-U'!$A$4:$A$40,'Window-U'!$R$4:$R$40)*Semidetached!N$22))*N37</f>
        <v>682.00814074737741</v>
      </c>
      <c r="O38" s="171">
        <f>((LOOKUP(Semidetached!O$2,'Ceiling-U'!$A$4:$A$40,'Ceiling-U'!$E$4:$E$40)*Semidetached!O$15)+(LOOKUP(Semidetached!O$2,'Floor-U'!$A$4:$A$40,'Floor-U'!$E$4:$E$40)*Semidetached!O$16)+(LOOKUP(Semidetached!O$2,'Wall-U'!$A$4:$A$40,'Wall-U'!$E$4:$E$40)*Semidetached!O$13)+(LOOKUP(Semidetached!O$2,'Window-U'!$A$4:$A$40,'Window-U'!$R$4:$R$40)*Semidetached!O$22))*O37</f>
        <v>2895.0432182363966</v>
      </c>
      <c r="P38" s="171">
        <f>((LOOKUP(Semidetached!P$2,'Ceiling-U'!$A$4:$A$40,'Ceiling-U'!$E$4:$E$40)*Semidetached!P$15)+(LOOKUP(Semidetached!P$2,'Floor-U'!$A$4:$A$40,'Floor-U'!$E$4:$E$40)*Semidetached!P$16)+(LOOKUP(Semidetached!P$2,'Wall-U'!$A$4:$A$40,'Wall-U'!$E$4:$E$40)*Semidetached!P$13)+(LOOKUP(Semidetached!P$2,'Window-U'!$A$4:$A$40,'Window-U'!$R$4:$R$40)*Semidetached!P$22))*P37</f>
        <v>1887.3233281105313</v>
      </c>
      <c r="Q38" s="171">
        <f>((LOOKUP(Semidetached!Q$2,'Ceiling-U'!$A$4:$A$40,'Ceiling-U'!$E$4:$E$40)*Semidetached!Q$15)+(LOOKUP(Semidetached!Q$2,'Floor-U'!$A$4:$A$40,'Floor-U'!$E$4:$E$40)*Semidetached!Q$16)+(LOOKUP(Semidetached!Q$2,'Wall-U'!$A$4:$A$40,'Wall-U'!$E$4:$E$40)*Semidetached!Q$13)+(LOOKUP(Semidetached!Q$2,'Window-U'!$A$4:$A$40,'Window-U'!$R$4:$R$40)*Semidetached!Q$22))*Q37</f>
        <v>998.71604248687356</v>
      </c>
      <c r="R38" s="171">
        <f>((LOOKUP(Semidetached!R$2,'Ceiling-U'!$A$4:$A$40,'Ceiling-U'!$E$4:$E$40)*Semidetached!R$15)+(LOOKUP(Semidetached!R$2,'Floor-U'!$A$4:$A$40,'Floor-U'!$E$4:$E$40)*Semidetached!R$16)+(LOOKUP(Semidetached!R$2,'Wall-U'!$A$4:$A$40,'Wall-U'!$E$4:$E$40)*Semidetached!R$13)+(LOOKUP(Semidetached!R$2,'Window-U'!$A$4:$A$40,'Window-U'!$R$4:$R$40)*Semidetached!R$22))*R37</f>
        <v>1420.7087747364751</v>
      </c>
      <c r="S38" s="171">
        <f>((LOOKUP(Semidetached!S$2,'Ceiling-U'!$A$4:$A$40,'Ceiling-U'!$E$4:$E$40)*Semidetached!S$15)+(LOOKUP(Semidetached!S$2,'Floor-U'!$A$4:$A$40,'Floor-U'!$E$4:$E$40)*Semidetached!S$16)+(LOOKUP(Semidetached!S$2,'Wall-U'!$A$4:$A$40,'Wall-U'!$E$4:$E$40)*Semidetached!S$13)+(LOOKUP(Semidetached!S$2,'Window-U'!$A$4:$A$40,'Window-U'!$R$4:$R$40)*Semidetached!S$22))*S37</f>
        <v>2150.1809588007031</v>
      </c>
      <c r="T38" s="171">
        <f>((LOOKUP(Semidetached!T$2,'Ceiling-U'!$A$4:$A$40,'Ceiling-U'!$E$4:$E$40)*Semidetached!T$15)+(LOOKUP(Semidetached!T$2,'Floor-U'!$A$4:$A$40,'Floor-U'!$E$4:$E$40)*Semidetached!T$16)+(LOOKUP(Semidetached!T$2,'Wall-U'!$A$4:$A$40,'Wall-U'!$E$4:$E$40)*Semidetached!T$13)+(LOOKUP(Semidetached!T$2,'Window-U'!$A$4:$A$40,'Window-U'!$R$4:$R$40)*Semidetached!T$22))*T37</f>
        <v>687.33011773578221</v>
      </c>
      <c r="U38" s="171">
        <f>((LOOKUP(Semidetached!U$2,'Ceiling-U'!$A$4:$A$40,'Ceiling-U'!$E$4:$E$40)*Semidetached!U$15)+(LOOKUP(Semidetached!U$2,'Floor-U'!$A$4:$A$40,'Floor-U'!$E$4:$E$40)*Semidetached!U$16)+(LOOKUP(Semidetached!U$2,'Wall-U'!$A$4:$A$40,'Wall-U'!$E$4:$E$40)*Semidetached!U$13)+(LOOKUP(Semidetached!U$2,'Window-U'!$A$4:$A$40,'Window-U'!$R$4:$R$40)*Semidetached!U$22))*U37</f>
        <v>2345.8662206638442</v>
      </c>
      <c r="V38" s="171">
        <f>((LOOKUP(Semidetached!V$2,'Ceiling-U'!$A$4:$A$40,'Ceiling-U'!$E$4:$E$40)*Semidetached!V$15)+(LOOKUP(Semidetached!V$2,'Floor-U'!$A$4:$A$40,'Floor-U'!$E$4:$E$40)*Semidetached!V$16)+(LOOKUP(Semidetached!V$2,'Wall-U'!$A$4:$A$40,'Wall-U'!$E$4:$E$40)*Semidetached!V$13)+(LOOKUP(Semidetached!V$2,'Window-U'!$A$4:$A$40,'Window-U'!$R$4:$R$40)*Semidetached!V$22))*V37</f>
        <v>1068.3294162527161</v>
      </c>
      <c r="W38" s="171">
        <f>((LOOKUP(Semidetached!W$2,'Ceiling-U'!$A$4:$A$40,'Ceiling-U'!$E$4:$E$40)*Semidetached!W$15)+(LOOKUP(Semidetached!W$2,'Floor-U'!$A$4:$A$40,'Floor-U'!$E$4:$E$40)*Semidetached!W$16)+(LOOKUP(Semidetached!W$2,'Wall-U'!$A$4:$A$40,'Wall-U'!$E$4:$E$40)*Semidetached!W$13)+(LOOKUP(Semidetached!W$2,'Window-U'!$A$4:$A$40,'Window-U'!$R$4:$R$40)*Semidetached!W$22))*W37</f>
        <v>961.86038804944837</v>
      </c>
      <c r="X38" s="171">
        <f>((LOOKUP(Semidetached!X$2,'Ceiling-U'!$A$4:$A$40,'Ceiling-U'!$E$4:$E$40)*Semidetached!X$15)+(LOOKUP(Semidetached!X$2,'Floor-U'!$A$4:$A$40,'Floor-U'!$E$4:$E$40)*Semidetached!X$16)+(LOOKUP(Semidetached!X$2,'Wall-U'!$A$4:$A$40,'Wall-U'!$E$4:$E$40)*Semidetached!X$13)+(LOOKUP(Semidetached!X$2,'Window-U'!$A$4:$A$40,'Window-U'!$R$4:$R$40)*Semidetached!X$22))*X37</f>
        <v>1138.2938636749373</v>
      </c>
      <c r="Y38" s="171">
        <f>((LOOKUP(Semidetached!Y$2,'Ceiling-U'!$A$4:$A$40,'Ceiling-U'!$E$4:$E$40)*Semidetached!Y$15)+(LOOKUP(Semidetached!Y$2,'Floor-U'!$A$4:$A$40,'Floor-U'!$E$4:$E$40)*Semidetached!Y$16)+(LOOKUP(Semidetached!Y$2,'Wall-U'!$A$4:$A$40,'Wall-U'!$E$4:$E$40)*Semidetached!Y$13)+(LOOKUP(Semidetached!Y$2,'Window-U'!$A$4:$A$40,'Window-U'!$R$4:$R$40)*Semidetached!Y$22))*Y37</f>
        <v>3188.1388208894241</v>
      </c>
      <c r="Z38" s="171">
        <f>((LOOKUP(Semidetached!Z$2,'Ceiling-U'!$A$4:$A$40,'Ceiling-U'!$E$4:$E$40)*Semidetached!Z$15)+(LOOKUP(Semidetached!Z$2,'Floor-U'!$A$4:$A$40,'Floor-U'!$E$4:$E$40)*Semidetached!Z$16)+(LOOKUP(Semidetached!Z$2,'Wall-U'!$A$4:$A$40,'Wall-U'!$E$4:$E$40)*Semidetached!Z$13)+(LOOKUP(Semidetached!Z$2,'Window-U'!$A$4:$A$40,'Window-U'!$R$4:$R$40)*Semidetached!Z$22))*Z37</f>
        <v>2440.3045997996815</v>
      </c>
      <c r="AA38" s="171">
        <f>((LOOKUP(Semidetached!AA$2,'Ceiling-U'!$A$4:$A$40,'Ceiling-U'!$E$4:$E$40)*Semidetached!AA$15)+(LOOKUP(Semidetached!AA$2,'Floor-U'!$A$4:$A$40,'Floor-U'!$E$4:$E$40)*Semidetached!AA$16)+(LOOKUP(Semidetached!AA$2,'Wall-U'!$A$4:$A$40,'Wall-U'!$E$4:$E$40)*Semidetached!AA$13)+(LOOKUP(Semidetached!AA$2,'Window-U'!$A$4:$A$40,'Window-U'!$R$4:$R$40)*Semidetached!AA$22))*AA37</f>
        <v>605.90982432046962</v>
      </c>
      <c r="AB38" s="171">
        <f>((LOOKUP(Semidetached!AB$2,'Ceiling-U'!$A$4:$A$40,'Ceiling-U'!$E$4:$E$40)*Semidetached!AB$15)+(LOOKUP(Semidetached!AB$2,'Floor-U'!$A$4:$A$40,'Floor-U'!$E$4:$E$40)*Semidetached!AB$16)+(LOOKUP(Semidetached!AB$2,'Wall-U'!$A$4:$A$40,'Wall-U'!$E$4:$E$40)*Semidetached!AB$13)+(LOOKUP(Semidetached!AB$2,'Window-U'!$A$4:$A$40,'Window-U'!$R$4:$R$40)*Semidetached!AB$22))*AB37</f>
        <v>1777.5917124354999</v>
      </c>
      <c r="AC38" s="171">
        <f>((LOOKUP(Semidetached!AC$2,'Ceiling-U'!$A$4:$A$40,'Ceiling-U'!$E$4:$E$40)*Semidetached!AC$15)+(LOOKUP(Semidetached!AC$2,'Floor-U'!$A$4:$A$40,'Floor-U'!$E$4:$E$40)*Semidetached!AC$16)+(LOOKUP(Semidetached!AC$2,'Wall-U'!$A$4:$A$40,'Wall-U'!$E$4:$E$40)*Semidetached!AC$13)+(LOOKUP(Semidetached!AC$2,'Window-U'!$A$4:$A$40,'Window-U'!$R$4:$R$40)*Semidetached!AC$22))*AC37</f>
        <v>2865.4630632239264</v>
      </c>
      <c r="AD38" s="171">
        <f>((LOOKUP(Semidetached!AD$2,'Ceiling-U'!$A$4:$A$40,'Ceiling-U'!$E$4:$E$40)*Semidetached!AD$15)+(LOOKUP(Semidetached!AD$2,'Floor-U'!$A$4:$A$40,'Floor-U'!$E$4:$E$40)*Semidetached!AD$16)+(LOOKUP(Semidetached!AD$2,'Wall-U'!$A$4:$A$40,'Wall-U'!$E$4:$E$40)*Semidetached!AD$13)+(LOOKUP(Semidetached!AD$2,'Window-U'!$A$4:$A$40,'Window-U'!$R$4:$R$40)*Semidetached!AD$22))*AD37</f>
        <v>1491.6478268850653</v>
      </c>
      <c r="AE38" s="171">
        <f>((LOOKUP(Semidetached!AE$2,'Ceiling-U'!$A$4:$A$40,'Ceiling-U'!$E$4:$E$40)*Semidetached!AE$15)+(LOOKUP(Semidetached!AE$2,'Floor-U'!$A$4:$A$40,'Floor-U'!$E$4:$E$40)*Semidetached!AE$16)+(LOOKUP(Semidetached!AE$2,'Wall-U'!$A$4:$A$40,'Wall-U'!$E$4:$E$40)*Semidetached!AE$13)+(LOOKUP(Semidetached!AE$2,'Window-U'!$A$4:$A$40,'Window-U'!$R$4:$R$40)*Semidetached!AE$22))*AE37</f>
        <v>596.213087585979</v>
      </c>
      <c r="AF38" s="171">
        <f>((LOOKUP(Semidetached!AF$2,'Ceiling-U'!$A$4:$A$40,'Ceiling-U'!$E$4:$E$40)*Semidetached!AF$15)+(LOOKUP(Semidetached!AF$2,'Floor-U'!$A$4:$A$40,'Floor-U'!$E$4:$E$40)*Semidetached!AF$16)+(LOOKUP(Semidetached!AF$2,'Wall-U'!$A$4:$A$40,'Wall-U'!$E$4:$E$40)*Semidetached!AF$13)+(LOOKUP(Semidetached!AF$2,'Window-U'!$A$4:$A$40,'Window-U'!$R$4:$R$40)*Semidetached!AF$22))*AF37</f>
        <v>1372.2580954210937</v>
      </c>
      <c r="AG38" s="171">
        <f>((LOOKUP(Semidetached!AG$2,'Ceiling-U'!$A$4:$A$40,'Ceiling-U'!$E$4:$E$40)*Semidetached!AG$15)+(LOOKUP(Semidetached!AG$2,'Floor-U'!$A$4:$A$40,'Floor-U'!$E$4:$E$40)*Semidetached!AG$16)+(LOOKUP(Semidetached!AG$2,'Wall-U'!$A$4:$A$40,'Wall-U'!$E$4:$E$40)*Semidetached!AG$13)+(LOOKUP(Semidetached!AG$2,'Window-U'!$A$4:$A$40,'Window-U'!$R$4:$R$40)*Semidetached!AG$22))*AG37</f>
        <v>1875.0065838958578</v>
      </c>
      <c r="AH38" s="171">
        <f>((LOOKUP(Semidetached!AH$2,'Ceiling-U'!$A$4:$A$40,'Ceiling-U'!$E$4:$E$40)*Semidetached!AH$15)+(LOOKUP(Semidetached!AH$2,'Floor-U'!$A$4:$A$40,'Floor-U'!$E$4:$E$40)*Semidetached!AH$16)+(LOOKUP(Semidetached!AH$2,'Wall-U'!$A$4:$A$40,'Wall-U'!$E$4:$E$40)*Semidetached!AH$13)+(LOOKUP(Semidetached!AH$2,'Window-U'!$A$4:$A$40,'Window-U'!$R$4:$R$40)*Semidetached!AH$22))*AH37</f>
        <v>1724.3265183234669</v>
      </c>
      <c r="AI38" s="171">
        <f>((LOOKUP(Semidetached!AI$2,'Ceiling-U'!$A$4:$A$40,'Ceiling-U'!$E$4:$E$40)*Semidetached!AI$15)+(LOOKUP(Semidetached!AI$2,'Floor-U'!$A$4:$A$40,'Floor-U'!$E$4:$E$40)*Semidetached!AI$16)+(LOOKUP(Semidetached!AI$2,'Wall-U'!$A$4:$A$40,'Wall-U'!$E$4:$E$40)*Semidetached!AI$13)+(LOOKUP(Semidetached!AI$2,'Window-U'!$A$4:$A$40,'Window-U'!$R$4:$R$40)*Semidetached!AI$22))*AI37</f>
        <v>2748.0755387829031</v>
      </c>
      <c r="AJ38" s="171">
        <f>((LOOKUP(Semidetached!AJ$2,'Ceiling-U'!$A$4:$A$40,'Ceiling-U'!$E$4:$E$40)*Semidetached!AJ$15)+(LOOKUP(Semidetached!AJ$2,'Floor-U'!$A$4:$A$40,'Floor-U'!$E$4:$E$40)*Semidetached!AJ$16)+(LOOKUP(Semidetached!AJ$2,'Wall-U'!$A$4:$A$40,'Wall-U'!$E$4:$E$40)*Semidetached!AJ$13)+(LOOKUP(Semidetached!AJ$2,'Window-U'!$A$4:$A$40,'Window-U'!$R$4:$R$40)*Semidetached!AJ$22))*AJ37</f>
        <v>1070.3150625663313</v>
      </c>
      <c r="AK38" s="171">
        <f>((LOOKUP(Semidetached!AK$2,'Ceiling-U'!$A$4:$A$40,'Ceiling-U'!$E$4:$E$40)*Semidetached!AK$15)+(LOOKUP(Semidetached!AK$2,'Floor-U'!$A$4:$A$40,'Floor-U'!$E$4:$E$40)*Semidetached!AK$16)+(LOOKUP(Semidetached!AK$2,'Wall-U'!$A$4:$A$40,'Wall-U'!$E$4:$E$40)*Semidetached!AK$13)+(LOOKUP(Semidetached!AK$2,'Window-U'!$A$4:$A$40,'Window-U'!$R$4:$R$40)*Semidetached!AK$22))*AK37</f>
        <v>1322.7180203028699</v>
      </c>
      <c r="AL38" s="171">
        <f>((LOOKUP(Semidetached!AL$2,'Ceiling-U'!$A$4:$A$40,'Ceiling-U'!$E$4:$E$40)*Semidetached!AL$15)+(LOOKUP(Semidetached!AL$2,'Floor-U'!$A$4:$A$40,'Floor-U'!$E$4:$E$40)*Semidetached!AL$16)+(LOOKUP(Semidetached!AL$2,'Wall-U'!$A$4:$A$40,'Wall-U'!$E$4:$E$40)*Semidetached!AL$13)+(LOOKUP(Semidetached!AL$2,'Window-U'!$A$4:$A$40,'Window-U'!$R$4:$R$40)*Semidetached!AL$22))*AL37</f>
        <v>1187.6919111392795</v>
      </c>
      <c r="AM38" s="171">
        <f>((LOOKUP(Semidetached!AM$2,'Ceiling-U'!$A$4:$A$40,'Ceiling-U'!$E$4:$E$40)*Semidetached!AM$15)+(LOOKUP(Semidetached!AM$2,'Floor-U'!$A$4:$A$40,'Floor-U'!$E$4:$E$40)*Semidetached!AM$16)+(LOOKUP(Semidetached!AM$2,'Wall-U'!$A$4:$A$40,'Wall-U'!$E$4:$E$40)*Semidetached!AM$13)+(LOOKUP(Semidetached!AM$2,'Window-U'!$A$4:$A$40,'Window-U'!$R$4:$R$40)*Semidetached!AM$22))*AM37</f>
        <v>1070.3150625663313</v>
      </c>
      <c r="AN38" s="172">
        <f>((LOOKUP(Semidetached!AN$2,'Ceiling-U'!$A$4:$A$40,'Ceiling-U'!$E$4:$E$40)*Semidetached!AN$15)+(LOOKUP(Semidetached!AN$2,'Floor-U'!$A$4:$A$40,'Floor-U'!$E$4:$E$40)*Semidetached!AN$16)+(LOOKUP(Semidetached!AN$2,'Wall-U'!$A$4:$A$40,'Wall-U'!$E$4:$E$40)*Semidetached!AN$13)+(LOOKUP(Semidetached!AN$2,'Window-U'!$A$4:$A$40,'Window-U'!$R$4:$R$40)*Semidetached!AN$22))*AN37</f>
        <v>1070.3150625663313</v>
      </c>
    </row>
    <row r="39" spans="1:40">
      <c r="A39" s="372"/>
      <c r="B39" s="142" t="s">
        <v>3</v>
      </c>
      <c r="C39" s="131" t="s">
        <v>195</v>
      </c>
      <c r="D39" s="176">
        <f>((LOOKUP(Semidetached!D$2,'Ceiling-U'!$A$4:$A$40,'Ceiling-U'!$F$4:$F$40)*Semidetached!D$15)+(LOOKUP(Semidetached!D$2,'Floor-U'!$A$4:$A$40,'Floor-U'!$F$4:$F$40)*Semidetached!D$16)+(LOOKUP(Semidetached!D$2,'Wall-U'!$A$4:$A$40,'Wall-U'!$F$4:$F$40)*Semidetached!D$13)+(LOOKUP(Semidetached!D$2,'Window-U'!$A$4:$A$40,'Window-U'!$R$4:$R$40)*Semidetached!D$22))*D37</f>
        <v>1549.0349896193363</v>
      </c>
      <c r="E39" s="177">
        <f>((LOOKUP(Semidetached!E$2,'Ceiling-U'!$A$4:$A$40,'Ceiling-U'!$F$4:$F$40)*Semidetached!E$15)+(LOOKUP(Semidetached!E$2,'Floor-U'!$A$4:$A$40,'Floor-U'!$F$4:$F$40)*Semidetached!E$16)+(LOOKUP(Semidetached!E$2,'Wall-U'!$A$4:$A$40,'Wall-U'!$F$4:$F$40)*Semidetached!E$13)+(LOOKUP(Semidetached!E$2,'Window-U'!$A$4:$A$40,'Window-U'!$R$4:$R$40)*Semidetached!E$22))*E37</f>
        <v>2105.2743477792978</v>
      </c>
      <c r="F39" s="177">
        <f>((LOOKUP(Semidetached!F$2,'Ceiling-U'!$A$4:$A$40,'Ceiling-U'!$F$4:$F$40)*Semidetached!F$15)+(LOOKUP(Semidetached!F$2,'Floor-U'!$A$4:$A$40,'Floor-U'!$F$4:$F$40)*Semidetached!F$16)+(LOOKUP(Semidetached!F$2,'Wall-U'!$A$4:$A$40,'Wall-U'!$F$4:$F$40)*Semidetached!F$13)+(LOOKUP(Semidetached!F$2,'Window-U'!$A$4:$A$40,'Window-U'!$R$4:$R$40)*Semidetached!F$22))*F37</f>
        <v>1126.0770549999936</v>
      </c>
      <c r="G39" s="177">
        <f>((LOOKUP(Semidetached!G$2,'Ceiling-U'!$A$4:$A$40,'Ceiling-U'!$F$4:$F$40)*Semidetached!G$15)+(LOOKUP(Semidetached!G$2,'Floor-U'!$A$4:$A$40,'Floor-U'!$F$4:$F$40)*Semidetached!G$16)+(LOOKUP(Semidetached!G$2,'Wall-U'!$A$4:$A$40,'Wall-U'!$F$4:$F$40)*Semidetached!G$13)+(LOOKUP(Semidetached!G$2,'Window-U'!$A$4:$A$40,'Window-U'!$R$4:$R$40)*Semidetached!G$22))*G37</f>
        <v>1603.0306207604631</v>
      </c>
      <c r="H39" s="177">
        <f>((LOOKUP(Semidetached!H$2,'Ceiling-U'!$A$4:$A$40,'Ceiling-U'!$F$4:$F$40)*Semidetached!H$15)+(LOOKUP(Semidetached!H$2,'Floor-U'!$A$4:$A$40,'Floor-U'!$F$4:$F$40)*Semidetached!H$16)+(LOOKUP(Semidetached!H$2,'Wall-U'!$A$4:$A$40,'Wall-U'!$F$4:$F$40)*Semidetached!H$13)+(LOOKUP(Semidetached!H$2,'Window-U'!$A$4:$A$40,'Window-U'!$R$4:$R$40)*Semidetached!H$22))*H37</f>
        <v>2684.9595984802913</v>
      </c>
      <c r="I39" s="177">
        <f>((LOOKUP(Semidetached!I$2,'Ceiling-U'!$A$4:$A$40,'Ceiling-U'!$F$4:$F$40)*Semidetached!I$15)+(LOOKUP(Semidetached!I$2,'Floor-U'!$A$4:$A$40,'Floor-U'!$F$4:$F$40)*Semidetached!I$16)+(LOOKUP(Semidetached!I$2,'Wall-U'!$A$4:$A$40,'Wall-U'!$F$4:$F$40)*Semidetached!I$13)+(LOOKUP(Semidetached!I$2,'Window-U'!$A$4:$A$40,'Window-U'!$R$4:$R$40)*Semidetached!I$22))*I37</f>
        <v>945.74188904586254</v>
      </c>
      <c r="J39" s="177">
        <f>((LOOKUP(Semidetached!J$2,'Ceiling-U'!$A$4:$A$40,'Ceiling-U'!$F$4:$F$40)*Semidetached!J$15)+(LOOKUP(Semidetached!J$2,'Floor-U'!$A$4:$A$40,'Floor-U'!$F$4:$F$40)*Semidetached!J$16)+(LOOKUP(Semidetached!J$2,'Wall-U'!$A$4:$A$40,'Wall-U'!$F$4:$F$40)*Semidetached!J$13)+(LOOKUP(Semidetached!J$2,'Window-U'!$A$4:$A$40,'Window-U'!$R$4:$R$40)*Semidetached!J$22))*J37</f>
        <v>1754.0626478568922</v>
      </c>
      <c r="K39" s="177">
        <f>((LOOKUP(Semidetached!K$2,'Ceiling-U'!$A$4:$A$40,'Ceiling-U'!$F$4:$F$40)*Semidetached!K$15)+(LOOKUP(Semidetached!K$2,'Floor-U'!$A$4:$A$40,'Floor-U'!$F$4:$F$40)*Semidetached!K$16)+(LOOKUP(Semidetached!K$2,'Wall-U'!$A$4:$A$40,'Wall-U'!$F$4:$F$40)*Semidetached!K$13)+(LOOKUP(Semidetached!K$2,'Window-U'!$A$4:$A$40,'Window-U'!$R$4:$R$40)*Semidetached!K$22))*K37</f>
        <v>981.69171947809423</v>
      </c>
      <c r="L39" s="177">
        <f>((LOOKUP(Semidetached!L$2,'Ceiling-U'!$A$4:$A$40,'Ceiling-U'!$F$4:$F$40)*Semidetached!L$15)+(LOOKUP(Semidetached!L$2,'Floor-U'!$A$4:$A$40,'Floor-U'!$F$4:$F$40)*Semidetached!L$16)+(LOOKUP(Semidetached!L$2,'Wall-U'!$A$4:$A$40,'Wall-U'!$F$4:$F$40)*Semidetached!L$13)+(LOOKUP(Semidetached!L$2,'Window-U'!$A$4:$A$40,'Window-U'!$R$4:$R$40)*Semidetached!L$22))*L37</f>
        <v>526.32214500611497</v>
      </c>
      <c r="M39" s="177">
        <f>((LOOKUP(Semidetached!M$2,'Ceiling-U'!$A$4:$A$40,'Ceiling-U'!$F$4:$F$40)*Semidetached!M$15)+(LOOKUP(Semidetached!M$2,'Floor-U'!$A$4:$A$40,'Floor-U'!$F$4:$F$40)*Semidetached!M$16)+(LOOKUP(Semidetached!M$2,'Wall-U'!$A$4:$A$40,'Wall-U'!$F$4:$F$40)*Semidetached!M$13)+(LOOKUP(Semidetached!M$2,'Window-U'!$A$4:$A$40,'Window-U'!$R$4:$R$40)*Semidetached!M$22))*M37</f>
        <v>2558.555267269885</v>
      </c>
      <c r="N39" s="177">
        <f>((LOOKUP(Semidetached!N$2,'Ceiling-U'!$A$4:$A$40,'Ceiling-U'!$F$4:$F$40)*Semidetached!N$15)+(LOOKUP(Semidetached!N$2,'Floor-U'!$A$4:$A$40,'Floor-U'!$F$4:$F$40)*Semidetached!N$16)+(LOOKUP(Semidetached!N$2,'Wall-U'!$A$4:$A$40,'Wall-U'!$F$4:$F$40)*Semidetached!N$13)+(LOOKUP(Semidetached!N$2,'Window-U'!$A$4:$A$40,'Window-U'!$R$4:$R$40)*Semidetached!N$22))*N37</f>
        <v>600.63037287464942</v>
      </c>
      <c r="O39" s="177">
        <f>((LOOKUP(Semidetached!O$2,'Ceiling-U'!$A$4:$A$40,'Ceiling-U'!$F$4:$F$40)*Semidetached!O$15)+(LOOKUP(Semidetached!O$2,'Floor-U'!$A$4:$A$40,'Floor-U'!$F$4:$F$40)*Semidetached!O$16)+(LOOKUP(Semidetached!O$2,'Wall-U'!$A$4:$A$40,'Wall-U'!$F$4:$F$40)*Semidetached!O$13)+(LOOKUP(Semidetached!O$2,'Window-U'!$A$4:$A$40,'Window-U'!$R$4:$R$40)*Semidetached!O$22))*O37</f>
        <v>2895.0432182363966</v>
      </c>
      <c r="P39" s="177">
        <f>((LOOKUP(Semidetached!P$2,'Ceiling-U'!$A$4:$A$40,'Ceiling-U'!$F$4:$F$40)*Semidetached!P$15)+(LOOKUP(Semidetached!P$2,'Floor-U'!$A$4:$A$40,'Floor-U'!$F$4:$F$40)*Semidetached!P$16)+(LOOKUP(Semidetached!P$2,'Wall-U'!$A$4:$A$40,'Wall-U'!$F$4:$F$40)*Semidetached!P$13)+(LOOKUP(Semidetached!P$2,'Window-U'!$A$4:$A$40,'Window-U'!$R$4:$R$40)*Semidetached!P$22))*P37</f>
        <v>1887.3233281105313</v>
      </c>
      <c r="Q39" s="177">
        <f>((LOOKUP(Semidetached!Q$2,'Ceiling-U'!$A$4:$A$40,'Ceiling-U'!$F$4:$F$40)*Semidetached!Q$15)+(LOOKUP(Semidetached!Q$2,'Floor-U'!$A$4:$A$40,'Floor-U'!$F$4:$F$40)*Semidetached!Q$16)+(LOOKUP(Semidetached!Q$2,'Wall-U'!$A$4:$A$40,'Wall-U'!$F$4:$F$40)*Semidetached!Q$13)+(LOOKUP(Semidetached!Q$2,'Window-U'!$A$4:$A$40,'Window-U'!$R$4:$R$40)*Semidetached!Q$22))*Q37</f>
        <v>1070.468715268526</v>
      </c>
      <c r="R39" s="177">
        <f>((LOOKUP(Semidetached!R$2,'Ceiling-U'!$A$4:$A$40,'Ceiling-U'!$F$4:$F$40)*Semidetached!R$15)+(LOOKUP(Semidetached!R$2,'Floor-U'!$A$4:$A$40,'Floor-U'!$F$4:$F$40)*Semidetached!R$16)+(LOOKUP(Semidetached!R$2,'Wall-U'!$A$4:$A$40,'Wall-U'!$F$4:$F$40)*Semidetached!R$13)+(LOOKUP(Semidetached!R$2,'Window-U'!$A$4:$A$40,'Window-U'!$R$4:$R$40)*Semidetached!R$22))*R37</f>
        <v>1420.7087747364751</v>
      </c>
      <c r="S39" s="177">
        <f>((LOOKUP(Semidetached!S$2,'Ceiling-U'!$A$4:$A$40,'Ceiling-U'!$F$4:$F$40)*Semidetached!S$15)+(LOOKUP(Semidetached!S$2,'Floor-U'!$A$4:$A$40,'Floor-U'!$F$4:$F$40)*Semidetached!S$16)+(LOOKUP(Semidetached!S$2,'Wall-U'!$A$4:$A$40,'Wall-U'!$F$4:$F$40)*Semidetached!S$13)+(LOOKUP(Semidetached!S$2,'Window-U'!$A$4:$A$40,'Window-U'!$R$4:$R$40)*Semidetached!S$22))*S37</f>
        <v>2196.9910306280749</v>
      </c>
      <c r="T39" s="177">
        <f>((LOOKUP(Semidetached!T$2,'Ceiling-U'!$A$4:$A$40,'Ceiling-U'!$F$4:$F$40)*Semidetached!T$15)+(LOOKUP(Semidetached!T$2,'Floor-U'!$A$4:$A$40,'Floor-U'!$F$4:$F$40)*Semidetached!T$16)+(LOOKUP(Semidetached!T$2,'Wall-U'!$A$4:$A$40,'Wall-U'!$F$4:$F$40)*Semidetached!T$13)+(LOOKUP(Semidetached!T$2,'Window-U'!$A$4:$A$40,'Window-U'!$R$4:$R$40)*Semidetached!T$22))*T37</f>
        <v>605.10908725635943</v>
      </c>
      <c r="U39" s="177">
        <f>((LOOKUP(Semidetached!U$2,'Ceiling-U'!$A$4:$A$40,'Ceiling-U'!$F$4:$F$40)*Semidetached!U$15)+(LOOKUP(Semidetached!U$2,'Floor-U'!$A$4:$A$40,'Floor-U'!$F$4:$F$40)*Semidetached!U$16)+(LOOKUP(Semidetached!U$2,'Wall-U'!$A$4:$A$40,'Wall-U'!$F$4:$F$40)*Semidetached!U$13)+(LOOKUP(Semidetached!U$2,'Window-U'!$A$4:$A$40,'Window-U'!$R$4:$R$40)*Semidetached!U$22))*U37</f>
        <v>2204.2777757787435</v>
      </c>
      <c r="V39" s="177">
        <f>((LOOKUP(Semidetached!V$2,'Ceiling-U'!$A$4:$A$40,'Ceiling-U'!$F$4:$F$40)*Semidetached!V$15)+(LOOKUP(Semidetached!V$2,'Floor-U'!$A$4:$A$40,'Floor-U'!$F$4:$F$40)*Semidetached!V$16)+(LOOKUP(Semidetached!V$2,'Wall-U'!$A$4:$A$40,'Wall-U'!$F$4:$F$40)*Semidetached!V$13)+(LOOKUP(Semidetached!V$2,'Window-U'!$A$4:$A$40,'Window-U'!$R$4:$R$40)*Semidetached!V$22))*V37</f>
        <v>1068.3294162527161</v>
      </c>
      <c r="W39" s="177">
        <f>((LOOKUP(Semidetached!W$2,'Ceiling-U'!$A$4:$A$40,'Ceiling-U'!$F$4:$F$40)*Semidetached!W$15)+(LOOKUP(Semidetached!W$2,'Floor-U'!$A$4:$A$40,'Floor-U'!$F$4:$F$40)*Semidetached!W$16)+(LOOKUP(Semidetached!W$2,'Wall-U'!$A$4:$A$40,'Wall-U'!$F$4:$F$40)*Semidetached!W$13)+(LOOKUP(Semidetached!W$2,'Window-U'!$A$4:$A$40,'Window-U'!$R$4:$R$40)*Semidetached!W$22))*W37</f>
        <v>994.38067271325747</v>
      </c>
      <c r="X39" s="177">
        <f>((LOOKUP(Semidetached!X$2,'Ceiling-U'!$A$4:$A$40,'Ceiling-U'!$F$4:$F$40)*Semidetached!X$15)+(LOOKUP(Semidetached!X$2,'Floor-U'!$A$4:$A$40,'Floor-U'!$F$4:$F$40)*Semidetached!X$16)+(LOOKUP(Semidetached!X$2,'Wall-U'!$A$4:$A$40,'Wall-U'!$F$4:$F$40)*Semidetached!X$13)+(LOOKUP(Semidetached!X$2,'Window-U'!$A$4:$A$40,'Window-U'!$R$4:$R$40)*Semidetached!X$22))*X37</f>
        <v>1138.2938636749373</v>
      </c>
      <c r="Y39" s="177">
        <f>((LOOKUP(Semidetached!Y$2,'Ceiling-U'!$A$4:$A$40,'Ceiling-U'!$F$4:$F$40)*Semidetached!Y$15)+(LOOKUP(Semidetached!Y$2,'Floor-U'!$A$4:$A$40,'Floor-U'!$F$4:$F$40)*Semidetached!Y$16)+(LOOKUP(Semidetached!Y$2,'Wall-U'!$A$4:$A$40,'Wall-U'!$F$4:$F$40)*Semidetached!Y$13)+(LOOKUP(Semidetached!Y$2,'Window-U'!$A$4:$A$40,'Window-U'!$R$4:$R$40)*Semidetached!Y$22))*Y37</f>
        <v>3181.3789293248028</v>
      </c>
      <c r="Z39" s="177">
        <f>((LOOKUP(Semidetached!Z$2,'Ceiling-U'!$A$4:$A$40,'Ceiling-U'!$F$4:$F$40)*Semidetached!Z$15)+(LOOKUP(Semidetached!Z$2,'Floor-U'!$A$4:$A$40,'Floor-U'!$F$4:$F$40)*Semidetached!Z$16)+(LOOKUP(Semidetached!Z$2,'Wall-U'!$A$4:$A$40,'Wall-U'!$F$4:$F$40)*Semidetached!Z$13)+(LOOKUP(Semidetached!Z$2,'Window-U'!$A$4:$A$40,'Window-U'!$R$4:$R$40)*Semidetached!Z$22))*Z37</f>
        <v>1857.1813969454729</v>
      </c>
      <c r="AA39" s="177">
        <f>((LOOKUP(Semidetached!AA$2,'Ceiling-U'!$A$4:$A$40,'Ceiling-U'!$F$4:$F$40)*Semidetached!AA$15)+(LOOKUP(Semidetached!AA$2,'Floor-U'!$A$4:$A$40,'Floor-U'!$F$4:$F$40)*Semidetached!AA$16)+(LOOKUP(Semidetached!AA$2,'Wall-U'!$A$4:$A$40,'Wall-U'!$F$4:$F$40)*Semidetached!AA$13)+(LOOKUP(Semidetached!AA$2,'Window-U'!$A$4:$A$40,'Window-U'!$R$4:$R$40)*Semidetached!AA$22))*AA37</f>
        <v>605.90982432046962</v>
      </c>
      <c r="AB39" s="177">
        <f>((LOOKUP(Semidetached!AB$2,'Ceiling-U'!$A$4:$A$40,'Ceiling-U'!$F$4:$F$40)*Semidetached!AB$15)+(LOOKUP(Semidetached!AB$2,'Floor-U'!$A$4:$A$40,'Floor-U'!$F$4:$F$40)*Semidetached!AB$16)+(LOOKUP(Semidetached!AB$2,'Wall-U'!$A$4:$A$40,'Wall-U'!$F$4:$F$40)*Semidetached!AB$13)+(LOOKUP(Semidetached!AB$2,'Window-U'!$A$4:$A$40,'Window-U'!$R$4:$R$40)*Semidetached!AB$22))*AB37</f>
        <v>1230.5572616772627</v>
      </c>
      <c r="AC39" s="177">
        <f>((LOOKUP(Semidetached!AC$2,'Ceiling-U'!$A$4:$A$40,'Ceiling-U'!$F$4:$F$40)*Semidetached!AC$15)+(LOOKUP(Semidetached!AC$2,'Floor-U'!$A$4:$A$40,'Floor-U'!$F$4:$F$40)*Semidetached!AC$16)+(LOOKUP(Semidetached!AC$2,'Wall-U'!$A$4:$A$40,'Wall-U'!$F$4:$F$40)*Semidetached!AC$13)+(LOOKUP(Semidetached!AC$2,'Window-U'!$A$4:$A$40,'Window-U'!$R$4:$R$40)*Semidetached!AC$22))*AC37</f>
        <v>2592.5951354645626</v>
      </c>
      <c r="AD39" s="177">
        <f>((LOOKUP(Semidetached!AD$2,'Ceiling-U'!$A$4:$A$40,'Ceiling-U'!$F$4:$F$40)*Semidetached!AD$15)+(LOOKUP(Semidetached!AD$2,'Floor-U'!$A$4:$A$40,'Floor-U'!$F$4:$F$40)*Semidetached!AD$16)+(LOOKUP(Semidetached!AD$2,'Wall-U'!$A$4:$A$40,'Wall-U'!$F$4:$F$40)*Semidetached!AD$13)+(LOOKUP(Semidetached!AD$2,'Window-U'!$A$4:$A$40,'Window-U'!$R$4:$R$40)*Semidetached!AD$22))*AD37</f>
        <v>1329.5046001470703</v>
      </c>
      <c r="AE39" s="177">
        <f>((LOOKUP(Semidetached!AE$2,'Ceiling-U'!$A$4:$A$40,'Ceiling-U'!$F$4:$F$40)*Semidetached!AE$15)+(LOOKUP(Semidetached!AE$2,'Floor-U'!$A$4:$A$40,'Floor-U'!$F$4:$F$40)*Semidetached!AE$16)+(LOOKUP(Semidetached!AE$2,'Wall-U'!$A$4:$A$40,'Wall-U'!$F$4:$F$40)*Semidetached!AE$13)+(LOOKUP(Semidetached!AE$2,'Window-U'!$A$4:$A$40,'Window-U'!$R$4:$R$40)*Semidetached!AE$22))*AE37</f>
        <v>596.213087585979</v>
      </c>
      <c r="AF39" s="177">
        <f>((LOOKUP(Semidetached!AF$2,'Ceiling-U'!$A$4:$A$40,'Ceiling-U'!$F$4:$F$40)*Semidetached!AF$15)+(LOOKUP(Semidetached!AF$2,'Floor-U'!$A$4:$A$40,'Floor-U'!$F$4:$F$40)*Semidetached!AF$16)+(LOOKUP(Semidetached!AF$2,'Wall-U'!$A$4:$A$40,'Wall-U'!$F$4:$F$40)*Semidetached!AF$13)+(LOOKUP(Semidetached!AF$2,'Window-U'!$A$4:$A$40,'Window-U'!$R$4:$R$40)*Semidetached!AF$22))*AF37</f>
        <v>1372.2580954210937</v>
      </c>
      <c r="AG39" s="177">
        <f>((LOOKUP(Semidetached!AG$2,'Ceiling-U'!$A$4:$A$40,'Ceiling-U'!$F$4:$F$40)*Semidetached!AG$15)+(LOOKUP(Semidetached!AG$2,'Floor-U'!$A$4:$A$40,'Floor-U'!$F$4:$F$40)*Semidetached!AG$16)+(LOOKUP(Semidetached!AG$2,'Wall-U'!$A$4:$A$40,'Wall-U'!$F$4:$F$40)*Semidetached!AG$13)+(LOOKUP(Semidetached!AG$2,'Window-U'!$A$4:$A$40,'Window-U'!$R$4:$R$40)*Semidetached!AG$22))*AG37</f>
        <v>1518.3652671166863</v>
      </c>
      <c r="AH39" s="177">
        <f>((LOOKUP(Semidetached!AH$2,'Ceiling-U'!$A$4:$A$40,'Ceiling-U'!$F$4:$F$40)*Semidetached!AH$15)+(LOOKUP(Semidetached!AH$2,'Floor-U'!$A$4:$A$40,'Floor-U'!$F$4:$F$40)*Semidetached!AH$16)+(LOOKUP(Semidetached!AH$2,'Wall-U'!$A$4:$A$40,'Wall-U'!$F$4:$F$40)*Semidetached!AH$13)+(LOOKUP(Semidetached!AH$2,'Window-U'!$A$4:$A$40,'Window-U'!$R$4:$R$40)*Semidetached!AH$22))*AH37</f>
        <v>1835.5894166339754</v>
      </c>
      <c r="AI39" s="177">
        <f>((LOOKUP(Semidetached!AI$2,'Ceiling-U'!$A$4:$A$40,'Ceiling-U'!$F$4:$F$40)*Semidetached!AI$15)+(LOOKUP(Semidetached!AI$2,'Floor-U'!$A$4:$A$40,'Floor-U'!$F$4:$F$40)*Semidetached!AI$16)+(LOOKUP(Semidetached!AI$2,'Wall-U'!$A$4:$A$40,'Wall-U'!$F$4:$F$40)*Semidetached!AI$13)+(LOOKUP(Semidetached!AI$2,'Window-U'!$A$4:$A$40,'Window-U'!$R$4:$R$40)*Semidetached!AI$22))*AI37</f>
        <v>2748.0755387829031</v>
      </c>
      <c r="AJ39" s="177">
        <f>((LOOKUP(Semidetached!AJ$2,'Ceiling-U'!$A$4:$A$40,'Ceiling-U'!$F$4:$F$40)*Semidetached!AJ$15)+(LOOKUP(Semidetached!AJ$2,'Floor-U'!$A$4:$A$40,'Floor-U'!$F$4:$F$40)*Semidetached!AJ$16)+(LOOKUP(Semidetached!AJ$2,'Wall-U'!$A$4:$A$40,'Wall-U'!$F$4:$F$40)*Semidetached!AJ$13)+(LOOKUP(Semidetached!AJ$2,'Window-U'!$A$4:$A$40,'Window-U'!$R$4:$R$40)*Semidetached!AJ$22))*AJ37</f>
        <v>1070.3150625663313</v>
      </c>
      <c r="AK39" s="177">
        <f>((LOOKUP(Semidetached!AK$2,'Ceiling-U'!$A$4:$A$40,'Ceiling-U'!$F$4:$F$40)*Semidetached!AK$15)+(LOOKUP(Semidetached!AK$2,'Floor-U'!$A$4:$A$40,'Floor-U'!$F$4:$F$40)*Semidetached!AK$16)+(LOOKUP(Semidetached!AK$2,'Wall-U'!$A$4:$A$40,'Wall-U'!$F$4:$F$40)*Semidetached!AK$13)+(LOOKUP(Semidetached!AK$2,'Window-U'!$A$4:$A$40,'Window-U'!$R$4:$R$40)*Semidetached!AK$22))*AK37</f>
        <v>1322.7180203028699</v>
      </c>
      <c r="AL39" s="177">
        <f>((LOOKUP(Semidetached!AL$2,'Ceiling-U'!$A$4:$A$40,'Ceiling-U'!$F$4:$F$40)*Semidetached!AL$15)+(LOOKUP(Semidetached!AL$2,'Floor-U'!$A$4:$A$40,'Floor-U'!$F$4:$F$40)*Semidetached!AL$16)+(LOOKUP(Semidetached!AL$2,'Wall-U'!$A$4:$A$40,'Wall-U'!$F$4:$F$40)*Semidetached!AL$13)+(LOOKUP(Semidetached!AL$2,'Window-U'!$A$4:$A$40,'Window-U'!$R$4:$R$40)*Semidetached!AL$22))*AL37</f>
        <v>1187.6919111392795</v>
      </c>
      <c r="AM39" s="177">
        <f>((LOOKUP(Semidetached!AM$2,'Ceiling-U'!$A$4:$A$40,'Ceiling-U'!$F$4:$F$40)*Semidetached!AM$15)+(LOOKUP(Semidetached!AM$2,'Floor-U'!$A$4:$A$40,'Floor-U'!$F$4:$F$40)*Semidetached!AM$16)+(LOOKUP(Semidetached!AM$2,'Wall-U'!$A$4:$A$40,'Wall-U'!$F$4:$F$40)*Semidetached!AM$13)+(LOOKUP(Semidetached!AM$2,'Window-U'!$A$4:$A$40,'Window-U'!$R$4:$R$40)*Semidetached!AM$22))*AM37</f>
        <v>1070.3150625663313</v>
      </c>
      <c r="AN39" s="178">
        <f>((LOOKUP(Semidetached!AN$2,'Ceiling-U'!$A$4:$A$40,'Ceiling-U'!$F$4:$F$40)*Semidetached!AN$15)+(LOOKUP(Semidetached!AN$2,'Floor-U'!$A$4:$A$40,'Floor-U'!$F$4:$F$40)*Semidetached!AN$16)+(LOOKUP(Semidetached!AN$2,'Wall-U'!$A$4:$A$40,'Wall-U'!$F$4:$F$40)*Semidetached!AN$13)+(LOOKUP(Semidetached!AN$2,'Window-U'!$A$4:$A$40,'Window-U'!$R$4:$R$40)*Semidetached!AN$22))*AN37</f>
        <v>1070.3150625663313</v>
      </c>
    </row>
    <row r="40" spans="1:40">
      <c r="A40" s="372"/>
      <c r="B40" s="142" t="s">
        <v>4</v>
      </c>
      <c r="C40" s="131" t="s">
        <v>195</v>
      </c>
      <c r="D40" s="176">
        <f>((LOOKUP(Semidetached!D$2,'Ceiling-U'!$A$4:$A$40,'Ceiling-U'!$G$4:$G$40)*Semidetached!D$15)+(LOOKUP(Semidetached!D$2,'Floor-U'!$A$4:$A$40,'Floor-U'!$G$4:$G$40)*Semidetached!D$16)+(LOOKUP(Semidetached!D$2,'Wall-U'!$A$4:$A$40,'Wall-U'!$G$4:$G$40)*Semidetached!D$13)+(LOOKUP(Semidetached!D$2,'Window-U'!$A$4:$A$40,'Window-U'!$R$4:$R$40)*Semidetached!D$22))*D37</f>
        <v>1162.2128051302311</v>
      </c>
      <c r="E40" s="177">
        <f>((LOOKUP(Semidetached!E$2,'Ceiling-U'!$A$4:$A$40,'Ceiling-U'!$G$4:$G$40)*Semidetached!E$15)+(LOOKUP(Semidetached!E$2,'Floor-U'!$A$4:$A$40,'Floor-U'!$G$4:$G$40)*Semidetached!E$16)+(LOOKUP(Semidetached!E$2,'Wall-U'!$A$4:$A$40,'Wall-U'!$G$4:$G$40)*Semidetached!E$13)+(LOOKUP(Semidetached!E$2,'Window-U'!$A$4:$A$40,'Window-U'!$R$4:$R$40)*Semidetached!E$22))*E37</f>
        <v>2105.2743477792978</v>
      </c>
      <c r="F40" s="177">
        <f>((LOOKUP(Semidetached!F$2,'Ceiling-U'!$A$4:$A$40,'Ceiling-U'!$G$4:$G$40)*Semidetached!F$15)+(LOOKUP(Semidetached!F$2,'Floor-U'!$A$4:$A$40,'Floor-U'!$G$4:$G$40)*Semidetached!F$16)+(LOOKUP(Semidetached!F$2,'Wall-U'!$A$4:$A$40,'Wall-U'!$G$4:$G$40)*Semidetached!F$13)+(LOOKUP(Semidetached!F$2,'Window-U'!$A$4:$A$40,'Window-U'!$R$4:$R$40)*Semidetached!F$22))*F37</f>
        <v>1045.498568202958</v>
      </c>
      <c r="G40" s="177">
        <f>((LOOKUP(Semidetached!G$2,'Ceiling-U'!$A$4:$A$40,'Ceiling-U'!$G$4:$G$40)*Semidetached!G$15)+(LOOKUP(Semidetached!G$2,'Floor-U'!$A$4:$A$40,'Floor-U'!$G$4:$G$40)*Semidetached!G$16)+(LOOKUP(Semidetached!G$2,'Wall-U'!$A$4:$A$40,'Wall-U'!$G$4:$G$40)*Semidetached!G$13)+(LOOKUP(Semidetached!G$2,'Window-U'!$A$4:$A$40,'Window-U'!$R$4:$R$40)*Semidetached!G$22))*G37</f>
        <v>1201.1232944679052</v>
      </c>
      <c r="H40" s="177">
        <f>((LOOKUP(Semidetached!H$2,'Ceiling-U'!$A$4:$A$40,'Ceiling-U'!$G$4:$G$40)*Semidetached!H$15)+(LOOKUP(Semidetached!H$2,'Floor-U'!$A$4:$A$40,'Floor-U'!$G$4:$G$40)*Semidetached!H$16)+(LOOKUP(Semidetached!H$2,'Wall-U'!$A$4:$A$40,'Wall-U'!$G$4:$G$40)*Semidetached!H$13)+(LOOKUP(Semidetached!H$2,'Window-U'!$A$4:$A$40,'Window-U'!$R$4:$R$40)*Semidetached!H$22))*H37</f>
        <v>2513.8515324522923</v>
      </c>
      <c r="I40" s="177">
        <f>((LOOKUP(Semidetached!I$2,'Ceiling-U'!$A$4:$A$40,'Ceiling-U'!$G$4:$G$40)*Semidetached!I$15)+(LOOKUP(Semidetached!I$2,'Floor-U'!$A$4:$A$40,'Floor-U'!$G$4:$G$40)*Semidetached!I$16)+(LOOKUP(Semidetached!I$2,'Wall-U'!$A$4:$A$40,'Wall-U'!$G$4:$G$40)*Semidetached!I$13)+(LOOKUP(Semidetached!I$2,'Window-U'!$A$4:$A$40,'Window-U'!$R$4:$R$40)*Semidetached!I$22))*I37</f>
        <v>945.74188904586254</v>
      </c>
      <c r="J40" s="177">
        <f>((LOOKUP(Semidetached!J$2,'Ceiling-U'!$A$4:$A$40,'Ceiling-U'!$G$4:$G$40)*Semidetached!J$15)+(LOOKUP(Semidetached!J$2,'Floor-U'!$A$4:$A$40,'Floor-U'!$G$4:$G$40)*Semidetached!J$16)+(LOOKUP(Semidetached!J$2,'Wall-U'!$A$4:$A$40,'Wall-U'!$G$4:$G$40)*Semidetached!J$13)+(LOOKUP(Semidetached!J$2,'Window-U'!$A$4:$A$40,'Window-U'!$R$4:$R$40)*Semidetached!J$22))*J37</f>
        <v>974.28983790742086</v>
      </c>
      <c r="K40" s="177">
        <f>((LOOKUP(Semidetached!K$2,'Ceiling-U'!$A$4:$A$40,'Ceiling-U'!$G$4:$G$40)*Semidetached!K$15)+(LOOKUP(Semidetached!K$2,'Floor-U'!$A$4:$A$40,'Floor-U'!$G$4:$G$40)*Semidetached!K$16)+(LOOKUP(Semidetached!K$2,'Wall-U'!$A$4:$A$40,'Wall-U'!$G$4:$G$40)*Semidetached!K$13)+(LOOKUP(Semidetached!K$2,'Window-U'!$A$4:$A$40,'Window-U'!$R$4:$R$40)*Semidetached!K$22))*K37</f>
        <v>593.59513765882286</v>
      </c>
      <c r="L40" s="177">
        <f>((LOOKUP(Semidetached!L$2,'Ceiling-U'!$A$4:$A$40,'Ceiling-U'!$G$4:$G$40)*Semidetached!L$15)+(LOOKUP(Semidetached!L$2,'Floor-U'!$A$4:$A$40,'Floor-U'!$G$4:$G$40)*Semidetached!L$16)+(LOOKUP(Semidetached!L$2,'Wall-U'!$A$4:$A$40,'Wall-U'!$G$4:$G$40)*Semidetached!L$13)+(LOOKUP(Semidetached!L$2,'Window-U'!$A$4:$A$40,'Window-U'!$R$4:$R$40)*Semidetached!L$22))*L37</f>
        <v>409.55762681200122</v>
      </c>
      <c r="M40" s="177">
        <f>((LOOKUP(Semidetached!M$2,'Ceiling-U'!$A$4:$A$40,'Ceiling-U'!$G$4:$G$40)*Semidetached!M$15)+(LOOKUP(Semidetached!M$2,'Floor-U'!$A$4:$A$40,'Floor-U'!$G$4:$G$40)*Semidetached!M$16)+(LOOKUP(Semidetached!M$2,'Wall-U'!$A$4:$A$40,'Wall-U'!$G$4:$G$40)*Semidetached!M$13)+(LOOKUP(Semidetached!M$2,'Window-U'!$A$4:$A$40,'Window-U'!$R$4:$R$40)*Semidetached!M$22))*M37</f>
        <v>2558.555267269885</v>
      </c>
      <c r="N40" s="177">
        <f>((LOOKUP(Semidetached!N$2,'Ceiling-U'!$A$4:$A$40,'Ceiling-U'!$G$4:$G$40)*Semidetached!N$15)+(LOOKUP(Semidetached!N$2,'Floor-U'!$A$4:$A$40,'Floor-U'!$G$4:$G$40)*Semidetached!N$16)+(LOOKUP(Semidetached!N$2,'Wall-U'!$A$4:$A$40,'Wall-U'!$G$4:$G$40)*Semidetached!N$13)+(LOOKUP(Semidetached!N$2,'Window-U'!$A$4:$A$40,'Window-U'!$R$4:$R$40)*Semidetached!N$22))*N37</f>
        <v>476.53056349536973</v>
      </c>
      <c r="O40" s="177">
        <f>((LOOKUP(Semidetached!O$2,'Ceiling-U'!$A$4:$A$40,'Ceiling-U'!$G$4:$G$40)*Semidetached!O$15)+(LOOKUP(Semidetached!O$2,'Floor-U'!$A$4:$A$40,'Floor-U'!$G$4:$G$40)*Semidetached!O$16)+(LOOKUP(Semidetached!O$2,'Wall-U'!$A$4:$A$40,'Wall-U'!$G$4:$G$40)*Semidetached!O$13)+(LOOKUP(Semidetached!O$2,'Window-U'!$A$4:$A$40,'Window-U'!$R$4:$R$40)*Semidetached!O$22))*O37</f>
        <v>1099.2380786271076</v>
      </c>
      <c r="P40" s="177">
        <f>((LOOKUP(Semidetached!P$2,'Ceiling-U'!$A$4:$A$40,'Ceiling-U'!$G$4:$G$40)*Semidetached!P$15)+(LOOKUP(Semidetached!P$2,'Floor-U'!$A$4:$A$40,'Floor-U'!$G$4:$G$40)*Semidetached!P$16)+(LOOKUP(Semidetached!P$2,'Wall-U'!$A$4:$A$40,'Wall-U'!$G$4:$G$40)*Semidetached!P$13)+(LOOKUP(Semidetached!P$2,'Window-U'!$A$4:$A$40,'Window-U'!$R$4:$R$40)*Semidetached!P$22))*P37</f>
        <v>1887.3233281105313</v>
      </c>
      <c r="Q40" s="177">
        <f>((LOOKUP(Semidetached!Q$2,'Ceiling-U'!$A$4:$A$40,'Ceiling-U'!$G$4:$G$40)*Semidetached!Q$15)+(LOOKUP(Semidetached!Q$2,'Floor-U'!$A$4:$A$40,'Floor-U'!$G$4:$G$40)*Semidetached!Q$16)+(LOOKUP(Semidetached!Q$2,'Wall-U'!$A$4:$A$40,'Wall-U'!$G$4:$G$40)*Semidetached!Q$13)+(LOOKUP(Semidetached!Q$2,'Window-U'!$A$4:$A$40,'Window-U'!$R$4:$R$40)*Semidetached!Q$22))*Q37</f>
        <v>1002.5486493836595</v>
      </c>
      <c r="R40" s="177">
        <f>((LOOKUP(Semidetached!R$2,'Ceiling-U'!$A$4:$A$40,'Ceiling-U'!$G$4:$G$40)*Semidetached!R$15)+(LOOKUP(Semidetached!R$2,'Floor-U'!$A$4:$A$40,'Floor-U'!$G$4:$G$40)*Semidetached!R$16)+(LOOKUP(Semidetached!R$2,'Wall-U'!$A$4:$A$40,'Wall-U'!$G$4:$G$40)*Semidetached!R$13)+(LOOKUP(Semidetached!R$2,'Window-U'!$A$4:$A$40,'Window-U'!$R$4:$R$40)*Semidetached!R$22))*R37</f>
        <v>1200.7810998427387</v>
      </c>
      <c r="S40" s="177">
        <f>((LOOKUP(Semidetached!S$2,'Ceiling-U'!$A$4:$A$40,'Ceiling-U'!$G$4:$G$40)*Semidetached!S$15)+(LOOKUP(Semidetached!S$2,'Floor-U'!$A$4:$A$40,'Floor-U'!$G$4:$G$40)*Semidetached!S$16)+(LOOKUP(Semidetached!S$2,'Wall-U'!$A$4:$A$40,'Wall-U'!$G$4:$G$40)*Semidetached!S$13)+(LOOKUP(Semidetached!S$2,'Window-U'!$A$4:$A$40,'Window-U'!$R$4:$R$40)*Semidetached!S$22))*S37</f>
        <v>1737.1773997371486</v>
      </c>
      <c r="T40" s="177">
        <f>((LOOKUP(Semidetached!T$2,'Ceiling-U'!$A$4:$A$40,'Ceiling-U'!$G$4:$G$40)*Semidetached!T$15)+(LOOKUP(Semidetached!T$2,'Floor-U'!$A$4:$A$40,'Floor-U'!$G$4:$G$40)*Semidetached!T$16)+(LOOKUP(Semidetached!T$2,'Wall-U'!$A$4:$A$40,'Wall-U'!$G$4:$G$40)*Semidetached!T$13)+(LOOKUP(Semidetached!T$2,'Window-U'!$A$4:$A$40,'Window-U'!$R$4:$R$40)*Semidetached!T$22))*T37</f>
        <v>479.96414711678256</v>
      </c>
      <c r="U40" s="177">
        <f>((LOOKUP(Semidetached!U$2,'Ceiling-U'!$A$4:$A$40,'Ceiling-U'!$G$4:$G$40)*Semidetached!U$15)+(LOOKUP(Semidetached!U$2,'Floor-U'!$A$4:$A$40,'Floor-U'!$G$4:$G$40)*Semidetached!U$16)+(LOOKUP(Semidetached!U$2,'Wall-U'!$A$4:$A$40,'Wall-U'!$G$4:$G$40)*Semidetached!U$13)+(LOOKUP(Semidetached!U$2,'Window-U'!$A$4:$A$40,'Window-U'!$R$4:$R$40)*Semidetached!U$22))*U37</f>
        <v>2088.0338517637338</v>
      </c>
      <c r="V40" s="177">
        <f>((LOOKUP(Semidetached!V$2,'Ceiling-U'!$A$4:$A$40,'Ceiling-U'!$G$4:$G$40)*Semidetached!V$15)+(LOOKUP(Semidetached!V$2,'Floor-U'!$A$4:$A$40,'Floor-U'!$G$4:$G$40)*Semidetached!V$16)+(LOOKUP(Semidetached!V$2,'Wall-U'!$A$4:$A$40,'Wall-U'!$G$4:$G$40)*Semidetached!V$13)+(LOOKUP(Semidetached!V$2,'Window-U'!$A$4:$A$40,'Window-U'!$R$4:$R$40)*Semidetached!V$22))*V37</f>
        <v>641.5998812626907</v>
      </c>
      <c r="W40" s="177">
        <f>((LOOKUP(Semidetached!W$2,'Ceiling-U'!$A$4:$A$40,'Ceiling-U'!$G$4:$G$40)*Semidetached!W$15)+(LOOKUP(Semidetached!W$2,'Floor-U'!$A$4:$A$40,'Floor-U'!$G$4:$G$40)*Semidetached!W$16)+(LOOKUP(Semidetached!W$2,'Wall-U'!$A$4:$A$40,'Wall-U'!$G$4:$G$40)*Semidetached!W$13)+(LOOKUP(Semidetached!W$2,'Window-U'!$A$4:$A$40,'Window-U'!$R$4:$R$40)*Semidetached!W$22))*W37</f>
        <v>478.2836255540189</v>
      </c>
      <c r="X40" s="177">
        <f>((LOOKUP(Semidetached!X$2,'Ceiling-U'!$A$4:$A$40,'Ceiling-U'!$G$4:$G$40)*Semidetached!X$15)+(LOOKUP(Semidetached!X$2,'Floor-U'!$A$4:$A$40,'Floor-U'!$G$4:$G$40)*Semidetached!X$16)+(LOOKUP(Semidetached!X$2,'Wall-U'!$A$4:$A$40,'Wall-U'!$G$4:$G$40)*Semidetached!X$13)+(LOOKUP(Semidetached!X$2,'Window-U'!$A$4:$A$40,'Window-U'!$R$4:$R$40)*Semidetached!X$22))*X37</f>
        <v>1036.3322942759851</v>
      </c>
      <c r="Y40" s="177">
        <f>((LOOKUP(Semidetached!Y$2,'Ceiling-U'!$A$4:$A$40,'Ceiling-U'!$G$4:$G$40)*Semidetached!Y$15)+(LOOKUP(Semidetached!Y$2,'Floor-U'!$A$4:$A$40,'Floor-U'!$G$4:$G$40)*Semidetached!Y$16)+(LOOKUP(Semidetached!Y$2,'Wall-U'!$A$4:$A$40,'Wall-U'!$G$4:$G$40)*Semidetached!Y$13)+(LOOKUP(Semidetached!Y$2,'Window-U'!$A$4:$A$40,'Window-U'!$R$4:$R$40)*Semidetached!Y$22))*Y37</f>
        <v>2628.8577430765804</v>
      </c>
      <c r="Z40" s="177">
        <f>((LOOKUP(Semidetached!Z$2,'Ceiling-U'!$A$4:$A$40,'Ceiling-U'!$G$4:$G$40)*Semidetached!Z$15)+(LOOKUP(Semidetached!Z$2,'Floor-U'!$A$4:$A$40,'Floor-U'!$G$4:$G$40)*Semidetached!Z$16)+(LOOKUP(Semidetached!Z$2,'Wall-U'!$A$4:$A$40,'Wall-U'!$G$4:$G$40)*Semidetached!Z$13)+(LOOKUP(Semidetached!Z$2,'Window-U'!$A$4:$A$40,'Window-U'!$R$4:$R$40)*Semidetached!Z$22))*Z37</f>
        <v>1764.8247853310954</v>
      </c>
      <c r="AA40" s="177">
        <f>((LOOKUP(Semidetached!AA$2,'Ceiling-U'!$A$4:$A$40,'Ceiling-U'!$G$4:$G$40)*Semidetached!AA$15)+(LOOKUP(Semidetached!AA$2,'Floor-U'!$A$4:$A$40,'Floor-U'!$G$4:$G$40)*Semidetached!AA$16)+(LOOKUP(Semidetached!AA$2,'Wall-U'!$A$4:$A$40,'Wall-U'!$G$4:$G$40)*Semidetached!AA$13)+(LOOKUP(Semidetached!AA$2,'Window-U'!$A$4:$A$40,'Window-U'!$R$4:$R$40)*Semidetached!AA$22))*AA37</f>
        <v>367.1608677462483</v>
      </c>
      <c r="AB40" s="177">
        <f>((LOOKUP(Semidetached!AB$2,'Ceiling-U'!$A$4:$A$40,'Ceiling-U'!$G$4:$G$40)*Semidetached!AB$15)+(LOOKUP(Semidetached!AB$2,'Floor-U'!$A$4:$A$40,'Floor-U'!$G$4:$G$40)*Semidetached!AB$16)+(LOOKUP(Semidetached!AB$2,'Wall-U'!$A$4:$A$40,'Wall-U'!$G$4:$G$40)*Semidetached!AB$13)+(LOOKUP(Semidetached!AB$2,'Window-U'!$A$4:$A$40,'Window-U'!$R$4:$R$40)*Semidetached!AB$22))*AB37</f>
        <v>834.91369461679699</v>
      </c>
      <c r="AC40" s="177">
        <f>((LOOKUP(Semidetached!AC$2,'Ceiling-U'!$A$4:$A$40,'Ceiling-U'!$G$4:$G$40)*Semidetached!AC$15)+(LOOKUP(Semidetached!AC$2,'Floor-U'!$A$4:$A$40,'Floor-U'!$G$4:$G$40)*Semidetached!AC$16)+(LOOKUP(Semidetached!AC$2,'Wall-U'!$A$4:$A$40,'Wall-U'!$G$4:$G$40)*Semidetached!AC$13)+(LOOKUP(Semidetached!AC$2,'Window-U'!$A$4:$A$40,'Window-U'!$R$4:$R$40)*Semidetached!AC$22))*AC37</f>
        <v>2525.3074813771036</v>
      </c>
      <c r="AD40" s="177">
        <f>((LOOKUP(Semidetached!AD$2,'Ceiling-U'!$A$4:$A$40,'Ceiling-U'!$G$4:$G$40)*Semidetached!AD$15)+(LOOKUP(Semidetached!AD$2,'Floor-U'!$A$4:$A$40,'Floor-U'!$G$4:$G$40)*Semidetached!AD$16)+(LOOKUP(Semidetached!AD$2,'Wall-U'!$A$4:$A$40,'Wall-U'!$G$4:$G$40)*Semidetached!AD$13)+(LOOKUP(Semidetached!AD$2,'Window-U'!$A$4:$A$40,'Window-U'!$R$4:$R$40)*Semidetached!AD$22))*AD37</f>
        <v>1329.5046001470703</v>
      </c>
      <c r="AE40" s="177">
        <f>((LOOKUP(Semidetached!AE$2,'Ceiling-U'!$A$4:$A$40,'Ceiling-U'!$G$4:$G$40)*Semidetached!AE$15)+(LOOKUP(Semidetached!AE$2,'Floor-U'!$A$4:$A$40,'Floor-U'!$G$4:$G$40)*Semidetached!AE$16)+(LOOKUP(Semidetached!AE$2,'Wall-U'!$A$4:$A$40,'Wall-U'!$G$4:$G$40)*Semidetached!AE$13)+(LOOKUP(Semidetached!AE$2,'Window-U'!$A$4:$A$40,'Window-U'!$R$4:$R$40)*Semidetached!AE$22))*AE37</f>
        <v>361.92254037812302</v>
      </c>
      <c r="AF40" s="177">
        <f>((LOOKUP(Semidetached!AF$2,'Ceiling-U'!$A$4:$A$40,'Ceiling-U'!$G$4:$G$40)*Semidetached!AF$15)+(LOOKUP(Semidetached!AF$2,'Floor-U'!$A$4:$A$40,'Floor-U'!$G$4:$G$40)*Semidetached!AF$16)+(LOOKUP(Semidetached!AF$2,'Wall-U'!$A$4:$A$40,'Wall-U'!$G$4:$G$40)*Semidetached!AF$13)+(LOOKUP(Semidetached!AF$2,'Window-U'!$A$4:$A$40,'Window-U'!$R$4:$R$40)*Semidetached!AF$22))*AF37</f>
        <v>1239.5714712465208</v>
      </c>
      <c r="AG40" s="177">
        <f>((LOOKUP(Semidetached!AG$2,'Ceiling-U'!$A$4:$A$40,'Ceiling-U'!$G$4:$G$40)*Semidetached!AG$15)+(LOOKUP(Semidetached!AG$2,'Floor-U'!$A$4:$A$40,'Floor-U'!$G$4:$G$40)*Semidetached!AG$16)+(LOOKUP(Semidetached!AG$2,'Wall-U'!$A$4:$A$40,'Wall-U'!$G$4:$G$40)*Semidetached!AG$13)+(LOOKUP(Semidetached!AG$2,'Window-U'!$A$4:$A$40,'Window-U'!$R$4:$R$40)*Semidetached!AG$22))*AG37</f>
        <v>1518.3652671166863</v>
      </c>
      <c r="AH40" s="177">
        <f>((LOOKUP(Semidetached!AH$2,'Ceiling-U'!$A$4:$A$40,'Ceiling-U'!$G$4:$G$40)*Semidetached!AH$15)+(LOOKUP(Semidetached!AH$2,'Floor-U'!$A$4:$A$40,'Floor-U'!$G$4:$G$40)*Semidetached!AH$16)+(LOOKUP(Semidetached!AH$2,'Wall-U'!$A$4:$A$40,'Wall-U'!$G$4:$G$40)*Semidetached!AH$13)+(LOOKUP(Semidetached!AH$2,'Window-U'!$A$4:$A$40,'Window-U'!$R$4:$R$40)*Semidetached!AH$22))*AH37</f>
        <v>1329.4879535567704</v>
      </c>
      <c r="AI40" s="177">
        <f>((LOOKUP(Semidetached!AI$2,'Ceiling-U'!$A$4:$A$40,'Ceiling-U'!$G$4:$G$40)*Semidetached!AI$15)+(LOOKUP(Semidetached!AI$2,'Floor-U'!$A$4:$A$40,'Floor-U'!$G$4:$G$40)*Semidetached!AI$16)+(LOOKUP(Semidetached!AI$2,'Wall-U'!$A$4:$A$40,'Wall-U'!$G$4:$G$40)*Semidetached!AI$13)+(LOOKUP(Semidetached!AI$2,'Window-U'!$A$4:$A$40,'Window-U'!$R$4:$R$40)*Semidetached!AI$22))*AI37</f>
        <v>2748.0755387829031</v>
      </c>
      <c r="AJ40" s="177">
        <f>((LOOKUP(Semidetached!AJ$2,'Ceiling-U'!$A$4:$A$40,'Ceiling-U'!$G$4:$G$40)*Semidetached!AJ$15)+(LOOKUP(Semidetached!AJ$2,'Floor-U'!$A$4:$A$40,'Floor-U'!$G$4:$G$40)*Semidetached!AJ$16)+(LOOKUP(Semidetached!AJ$2,'Wall-U'!$A$4:$A$40,'Wall-U'!$G$4:$G$40)*Semidetached!AJ$13)+(LOOKUP(Semidetached!AJ$2,'Window-U'!$A$4:$A$40,'Window-U'!$R$4:$R$40)*Semidetached!AJ$22))*AJ37</f>
        <v>1070.3150625663313</v>
      </c>
      <c r="AK40" s="177">
        <f>((LOOKUP(Semidetached!AK$2,'Ceiling-U'!$A$4:$A$40,'Ceiling-U'!$G$4:$G$40)*Semidetached!AK$15)+(LOOKUP(Semidetached!AK$2,'Floor-U'!$A$4:$A$40,'Floor-U'!$G$4:$G$40)*Semidetached!AK$16)+(LOOKUP(Semidetached!AK$2,'Wall-U'!$A$4:$A$40,'Wall-U'!$G$4:$G$40)*Semidetached!AK$13)+(LOOKUP(Semidetached!AK$2,'Window-U'!$A$4:$A$40,'Window-U'!$R$4:$R$40)*Semidetached!AK$22))*AK37</f>
        <v>1322.7180203028699</v>
      </c>
      <c r="AL40" s="177">
        <f>((LOOKUP(Semidetached!AL$2,'Ceiling-U'!$A$4:$A$40,'Ceiling-U'!$G$4:$G$40)*Semidetached!AL$15)+(LOOKUP(Semidetached!AL$2,'Floor-U'!$A$4:$A$40,'Floor-U'!$G$4:$G$40)*Semidetached!AL$16)+(LOOKUP(Semidetached!AL$2,'Wall-U'!$A$4:$A$40,'Wall-U'!$G$4:$G$40)*Semidetached!AL$13)+(LOOKUP(Semidetached!AL$2,'Window-U'!$A$4:$A$40,'Window-U'!$R$4:$R$40)*Semidetached!AL$22))*AL37</f>
        <v>1102.2383187408013</v>
      </c>
      <c r="AM40" s="177">
        <f>((LOOKUP(Semidetached!AM$2,'Ceiling-U'!$A$4:$A$40,'Ceiling-U'!$G$4:$G$40)*Semidetached!AM$15)+(LOOKUP(Semidetached!AM$2,'Floor-U'!$A$4:$A$40,'Floor-U'!$G$4:$G$40)*Semidetached!AM$16)+(LOOKUP(Semidetached!AM$2,'Wall-U'!$A$4:$A$40,'Wall-U'!$G$4:$G$40)*Semidetached!AM$13)+(LOOKUP(Semidetached!AM$2,'Window-U'!$A$4:$A$40,'Window-U'!$R$4:$R$40)*Semidetached!AM$22))*AM37</f>
        <v>1070.3150625663313</v>
      </c>
      <c r="AN40" s="178">
        <f>((LOOKUP(Semidetached!AN$2,'Ceiling-U'!$A$4:$A$40,'Ceiling-U'!$G$4:$G$40)*Semidetached!AN$15)+(LOOKUP(Semidetached!AN$2,'Floor-U'!$A$4:$A$40,'Floor-U'!$G$4:$G$40)*Semidetached!AN$16)+(LOOKUP(Semidetached!AN$2,'Wall-U'!$A$4:$A$40,'Wall-U'!$G$4:$G$40)*Semidetached!AN$13)+(LOOKUP(Semidetached!AN$2,'Window-U'!$A$4:$A$40,'Window-U'!$R$4:$R$40)*Semidetached!AN$22))*AN37</f>
        <v>1070.3150625663313</v>
      </c>
    </row>
    <row r="41" spans="1:40">
      <c r="A41" s="372"/>
      <c r="B41" s="142" t="s">
        <v>5</v>
      </c>
      <c r="C41" s="131" t="s">
        <v>195</v>
      </c>
      <c r="D41" s="176">
        <f>((LOOKUP(Semidetached!D$2,'Ceiling-U'!$A$4:$A$40,'Ceiling-U'!$H$4:$H$40)*Semidetached!D$15)+(LOOKUP(Semidetached!D$2,'Floor-U'!$A$4:$A$40,'Floor-U'!$H$4:$H$40)*Semidetached!D$16)+(LOOKUP(Semidetached!D$2,'Wall-U'!$A$4:$A$40,'Wall-U'!$H$4:$H$40)*Semidetached!D$13)+(LOOKUP(Semidetached!D$2,'Window-U'!$A$4:$A$40,'Window-U'!$R$4:$R$40)*Semidetached!D$22))*D37</f>
        <v>751.26035518518393</v>
      </c>
      <c r="E41" s="177">
        <f>((LOOKUP(Semidetached!E$2,'Ceiling-U'!$A$4:$A$40,'Ceiling-U'!$H$4:$H$40)*Semidetached!E$15)+(LOOKUP(Semidetached!E$2,'Floor-U'!$A$4:$A$40,'Floor-U'!$H$4:$H$40)*Semidetached!E$16)+(LOOKUP(Semidetached!E$2,'Wall-U'!$A$4:$A$40,'Wall-U'!$H$4:$H$40)*Semidetached!E$13)+(LOOKUP(Semidetached!E$2,'Window-U'!$A$4:$A$40,'Window-U'!$R$4:$R$40)*Semidetached!E$22))*E37</f>
        <v>1712.0900126659801</v>
      </c>
      <c r="F41" s="177">
        <f>((LOOKUP(Semidetached!F$2,'Ceiling-U'!$A$4:$A$40,'Ceiling-U'!$H$4:$H$40)*Semidetached!F$15)+(LOOKUP(Semidetached!F$2,'Floor-U'!$A$4:$A$40,'Floor-U'!$H$4:$H$40)*Semidetached!F$16)+(LOOKUP(Semidetached!F$2,'Wall-U'!$A$4:$A$40,'Wall-U'!$H$4:$H$40)*Semidetached!F$13)+(LOOKUP(Semidetached!F$2,'Window-U'!$A$4:$A$40,'Window-U'!$R$4:$R$40)*Semidetached!F$22))*F37</f>
        <v>865.06843434395546</v>
      </c>
      <c r="G41" s="177">
        <f>((LOOKUP(Semidetached!G$2,'Ceiling-U'!$A$4:$A$40,'Ceiling-U'!$H$4:$H$40)*Semidetached!G$15)+(LOOKUP(Semidetached!G$2,'Floor-U'!$A$4:$A$40,'Floor-U'!$H$4:$H$40)*Semidetached!G$16)+(LOOKUP(Semidetached!G$2,'Wall-U'!$A$4:$A$40,'Wall-U'!$H$4:$H$40)*Semidetached!G$13)+(LOOKUP(Semidetached!G$2,'Window-U'!$A$4:$A$40,'Window-U'!$R$4:$R$40)*Semidetached!G$22))*G37</f>
        <v>774.8303051164944</v>
      </c>
      <c r="H41" s="177">
        <f>((LOOKUP(Semidetached!H$2,'Ceiling-U'!$A$4:$A$40,'Ceiling-U'!$H$4:$H$40)*Semidetached!H$15)+(LOOKUP(Semidetached!H$2,'Floor-U'!$A$4:$A$40,'Floor-U'!$H$4:$H$40)*Semidetached!H$16)+(LOOKUP(Semidetached!H$2,'Wall-U'!$A$4:$A$40,'Wall-U'!$H$4:$H$40)*Semidetached!H$13)+(LOOKUP(Semidetached!H$2,'Window-U'!$A$4:$A$40,'Window-U'!$R$4:$R$40)*Semidetached!H$22))*H37</f>
        <v>2406.3620168138846</v>
      </c>
      <c r="I41" s="177">
        <f>((LOOKUP(Semidetached!I$2,'Ceiling-U'!$A$4:$A$40,'Ceiling-U'!$H$4:$H$40)*Semidetached!I$15)+(LOOKUP(Semidetached!I$2,'Floor-U'!$A$4:$A$40,'Floor-U'!$H$4:$H$40)*Semidetached!I$16)+(LOOKUP(Semidetached!I$2,'Wall-U'!$A$4:$A$40,'Wall-U'!$H$4:$H$40)*Semidetached!I$13)+(LOOKUP(Semidetached!I$2,'Window-U'!$A$4:$A$40,'Window-U'!$R$4:$R$40)*Semidetached!I$22))*I37</f>
        <v>810.51804357968126</v>
      </c>
      <c r="J41" s="177">
        <f>((LOOKUP(Semidetached!J$2,'Ceiling-U'!$A$4:$A$40,'Ceiling-U'!$H$4:$H$40)*Semidetached!J$15)+(LOOKUP(Semidetached!J$2,'Floor-U'!$A$4:$A$40,'Floor-U'!$H$4:$H$40)*Semidetached!J$16)+(LOOKUP(Semidetached!J$2,'Wall-U'!$A$4:$A$40,'Wall-U'!$H$4:$H$40)*Semidetached!J$13)+(LOOKUP(Semidetached!J$2,'Window-U'!$A$4:$A$40,'Window-U'!$R$4:$R$40)*Semidetached!J$22))*J37</f>
        <v>707.96906142644195</v>
      </c>
      <c r="K41" s="177">
        <f>((LOOKUP(Semidetached!K$2,'Ceiling-U'!$A$4:$A$40,'Ceiling-U'!$H$4:$H$40)*Semidetached!K$15)+(LOOKUP(Semidetached!K$2,'Floor-U'!$A$4:$A$40,'Floor-U'!$H$4:$H$40)*Semidetached!K$16)+(LOOKUP(Semidetached!K$2,'Wall-U'!$A$4:$A$40,'Wall-U'!$H$4:$H$40)*Semidetached!K$13)+(LOOKUP(Semidetached!K$2,'Window-U'!$A$4:$A$40,'Window-U'!$R$4:$R$40)*Semidetached!K$22))*K37</f>
        <v>474.06842920466499</v>
      </c>
      <c r="L41" s="177">
        <f>((LOOKUP(Semidetached!L$2,'Ceiling-U'!$A$4:$A$40,'Ceiling-U'!$H$4:$H$40)*Semidetached!L$15)+(LOOKUP(Semidetached!L$2,'Floor-U'!$A$4:$A$40,'Floor-U'!$H$4:$H$40)*Semidetached!L$16)+(LOOKUP(Semidetached!L$2,'Wall-U'!$A$4:$A$40,'Wall-U'!$H$4:$H$40)*Semidetached!L$13)+(LOOKUP(Semidetached!L$2,'Window-U'!$A$4:$A$40,'Window-U'!$R$4:$R$40)*Semidetached!L$22))*L37</f>
        <v>325.10141474991178</v>
      </c>
      <c r="M41" s="177">
        <f>((LOOKUP(Semidetached!M$2,'Ceiling-U'!$A$4:$A$40,'Ceiling-U'!$H$4:$H$40)*Semidetached!M$15)+(LOOKUP(Semidetached!M$2,'Floor-U'!$A$4:$A$40,'Floor-U'!$H$4:$H$40)*Semidetached!M$16)+(LOOKUP(Semidetached!M$2,'Wall-U'!$A$4:$A$40,'Wall-U'!$H$4:$H$40)*Semidetached!M$13)+(LOOKUP(Semidetached!M$2,'Window-U'!$A$4:$A$40,'Window-U'!$R$4:$R$40)*Semidetached!M$22))*M37</f>
        <v>1581.3632491349911</v>
      </c>
      <c r="N41" s="177">
        <f>((LOOKUP(Semidetached!N$2,'Ceiling-U'!$A$4:$A$40,'Ceiling-U'!$H$4:$H$40)*Semidetached!N$15)+(LOOKUP(Semidetached!N$2,'Floor-U'!$A$4:$A$40,'Floor-U'!$H$4:$H$40)*Semidetached!N$16)+(LOOKUP(Semidetached!N$2,'Wall-U'!$A$4:$A$40,'Wall-U'!$H$4:$H$40)*Semidetached!N$13)+(LOOKUP(Semidetached!N$2,'Window-U'!$A$4:$A$40,'Window-U'!$R$4:$R$40)*Semidetached!N$22))*N37</f>
        <v>387.91032628859284</v>
      </c>
      <c r="O41" s="177">
        <f>((LOOKUP(Semidetached!O$2,'Ceiling-U'!$A$4:$A$40,'Ceiling-U'!$H$4:$H$40)*Semidetached!O$15)+(LOOKUP(Semidetached!O$2,'Floor-U'!$A$4:$A$40,'Floor-U'!$H$4:$H$40)*Semidetached!O$16)+(LOOKUP(Semidetached!O$2,'Wall-U'!$A$4:$A$40,'Wall-U'!$H$4:$H$40)*Semidetached!O$13)+(LOOKUP(Semidetached!O$2,'Window-U'!$A$4:$A$40,'Window-U'!$R$4:$R$40)*Semidetached!O$22))*O37</f>
        <v>913.68411415878597</v>
      </c>
      <c r="P41" s="177">
        <f>((LOOKUP(Semidetached!P$2,'Ceiling-U'!$A$4:$A$40,'Ceiling-U'!$H$4:$H$40)*Semidetached!P$15)+(LOOKUP(Semidetached!P$2,'Floor-U'!$A$4:$A$40,'Floor-U'!$H$4:$H$40)*Semidetached!P$16)+(LOOKUP(Semidetached!P$2,'Wall-U'!$A$4:$A$40,'Wall-U'!$H$4:$H$40)*Semidetached!P$13)+(LOOKUP(Semidetached!P$2,'Window-U'!$A$4:$A$40,'Window-U'!$R$4:$R$40)*Semidetached!P$22))*P37</f>
        <v>1817.8892123504284</v>
      </c>
      <c r="Q41" s="177">
        <f>((LOOKUP(Semidetached!Q$2,'Ceiling-U'!$A$4:$A$40,'Ceiling-U'!$H$4:$H$40)*Semidetached!Q$15)+(LOOKUP(Semidetached!Q$2,'Floor-U'!$A$4:$A$40,'Floor-U'!$H$4:$H$40)*Semidetached!Q$16)+(LOOKUP(Semidetached!Q$2,'Wall-U'!$A$4:$A$40,'Wall-U'!$H$4:$H$40)*Semidetached!Q$13)+(LOOKUP(Semidetached!Q$2,'Window-U'!$A$4:$A$40,'Window-U'!$R$4:$R$40)*Semidetached!Q$22))*Q37</f>
        <v>1002.5486493836595</v>
      </c>
      <c r="R41" s="177">
        <f>((LOOKUP(Semidetached!R$2,'Ceiling-U'!$A$4:$A$40,'Ceiling-U'!$H$4:$H$40)*Semidetached!R$15)+(LOOKUP(Semidetached!R$2,'Floor-U'!$A$4:$A$40,'Floor-U'!$H$4:$H$40)*Semidetached!R$16)+(LOOKUP(Semidetached!R$2,'Wall-U'!$A$4:$A$40,'Wall-U'!$H$4:$H$40)*Semidetached!R$13)+(LOOKUP(Semidetached!R$2,'Window-U'!$A$4:$A$40,'Window-U'!$R$4:$R$40)*Semidetached!R$22))*R37</f>
        <v>834.23497501984434</v>
      </c>
      <c r="S41" s="177">
        <f>((LOOKUP(Semidetached!S$2,'Ceiling-U'!$A$4:$A$40,'Ceiling-U'!$H$4:$H$40)*Semidetached!S$15)+(LOOKUP(Semidetached!S$2,'Floor-U'!$A$4:$A$40,'Floor-U'!$H$4:$H$40)*Semidetached!S$16)+(LOOKUP(Semidetached!S$2,'Wall-U'!$A$4:$A$40,'Wall-U'!$H$4:$H$40)*Semidetached!S$13)+(LOOKUP(Semidetached!S$2,'Window-U'!$A$4:$A$40,'Window-U'!$R$4:$R$40)*Semidetached!S$22))*S37</f>
        <v>1026.1360820792959</v>
      </c>
      <c r="T41" s="177">
        <f>((LOOKUP(Semidetached!T$2,'Ceiling-U'!$A$4:$A$40,'Ceiling-U'!$H$4:$H$40)*Semidetached!T$15)+(LOOKUP(Semidetached!T$2,'Floor-U'!$A$4:$A$40,'Floor-U'!$H$4:$H$40)*Semidetached!T$16)+(LOOKUP(Semidetached!T$2,'Wall-U'!$A$4:$A$40,'Wall-U'!$H$4:$H$40)*Semidetached!T$13)+(LOOKUP(Semidetached!T$2,'Window-U'!$A$4:$A$40,'Window-U'!$R$4:$R$40)*Semidetached!T$22))*T37</f>
        <v>390.6214394108855</v>
      </c>
      <c r="U41" s="177">
        <f>((LOOKUP(Semidetached!U$2,'Ceiling-U'!$A$4:$A$40,'Ceiling-U'!$H$4:$H$40)*Semidetached!U$15)+(LOOKUP(Semidetached!U$2,'Floor-U'!$A$4:$A$40,'Floor-U'!$H$4:$H$40)*Semidetached!U$16)+(LOOKUP(Semidetached!U$2,'Wall-U'!$A$4:$A$40,'Wall-U'!$H$4:$H$40)*Semidetached!U$13)+(LOOKUP(Semidetached!U$2,'Window-U'!$A$4:$A$40,'Window-U'!$R$4:$R$40)*Semidetached!U$22))*U37</f>
        <v>1630.0559673898572</v>
      </c>
      <c r="V41" s="177">
        <f>((LOOKUP(Semidetached!V$2,'Ceiling-U'!$A$4:$A$40,'Ceiling-U'!$H$4:$H$40)*Semidetached!V$15)+(LOOKUP(Semidetached!V$2,'Floor-U'!$A$4:$A$40,'Floor-U'!$H$4:$H$40)*Semidetached!V$16)+(LOOKUP(Semidetached!V$2,'Wall-U'!$A$4:$A$40,'Wall-U'!$H$4:$H$40)*Semidetached!V$13)+(LOOKUP(Semidetached!V$2,'Window-U'!$A$4:$A$40,'Window-U'!$R$4:$R$40)*Semidetached!V$22))*V37</f>
        <v>641.5998812626907</v>
      </c>
      <c r="W41" s="177">
        <f>((LOOKUP(Semidetached!W$2,'Ceiling-U'!$A$4:$A$40,'Ceiling-U'!$H$4:$H$40)*Semidetached!W$15)+(LOOKUP(Semidetached!W$2,'Floor-U'!$A$4:$A$40,'Floor-U'!$H$4:$H$40)*Semidetached!W$16)+(LOOKUP(Semidetached!W$2,'Wall-U'!$A$4:$A$40,'Wall-U'!$H$4:$H$40)*Semidetached!W$13)+(LOOKUP(Semidetached!W$2,'Window-U'!$A$4:$A$40,'Window-U'!$R$4:$R$40)*Semidetached!W$22))*W37</f>
        <v>419.59667536935831</v>
      </c>
      <c r="X41" s="177">
        <f>((LOOKUP(Semidetached!X$2,'Ceiling-U'!$A$4:$A$40,'Ceiling-U'!$H$4:$H$40)*Semidetached!X$15)+(LOOKUP(Semidetached!X$2,'Floor-U'!$A$4:$A$40,'Floor-U'!$H$4:$H$40)*Semidetached!X$16)+(LOOKUP(Semidetached!X$2,'Wall-U'!$A$4:$A$40,'Wall-U'!$H$4:$H$40)*Semidetached!X$13)+(LOOKUP(Semidetached!X$2,'Window-U'!$A$4:$A$40,'Window-U'!$R$4:$R$40)*Semidetached!X$22))*X37</f>
        <v>547.85150762393187</v>
      </c>
      <c r="Y41" s="177">
        <f>((LOOKUP(Semidetached!Y$2,'Ceiling-U'!$A$4:$A$40,'Ceiling-U'!$H$4:$H$40)*Semidetached!Y$15)+(LOOKUP(Semidetached!Y$2,'Floor-U'!$A$4:$A$40,'Floor-U'!$H$4:$H$40)*Semidetached!Y$16)+(LOOKUP(Semidetached!Y$2,'Wall-U'!$A$4:$A$40,'Wall-U'!$H$4:$H$40)*Semidetached!Y$13)+(LOOKUP(Semidetached!Y$2,'Window-U'!$A$4:$A$40,'Window-U'!$R$4:$R$40)*Semidetached!Y$22))*Y37</f>
        <v>2308.4533651914321</v>
      </c>
      <c r="Z41" s="177">
        <f>((LOOKUP(Semidetached!Z$2,'Ceiling-U'!$A$4:$A$40,'Ceiling-U'!$H$4:$H$40)*Semidetached!Z$15)+(LOOKUP(Semidetached!Z$2,'Floor-U'!$A$4:$A$40,'Floor-U'!$H$4:$H$40)*Semidetached!Z$16)+(LOOKUP(Semidetached!Z$2,'Wall-U'!$A$4:$A$40,'Wall-U'!$H$4:$H$40)*Semidetached!Z$13)+(LOOKUP(Semidetached!Z$2,'Window-U'!$A$4:$A$40,'Window-U'!$R$4:$R$40)*Semidetached!Z$22))*Z37</f>
        <v>1017.1704605985774</v>
      </c>
      <c r="AA41" s="177">
        <f>((LOOKUP(Semidetached!AA$2,'Ceiling-U'!$A$4:$A$40,'Ceiling-U'!$H$4:$H$40)*Semidetached!AA$15)+(LOOKUP(Semidetached!AA$2,'Floor-U'!$A$4:$A$40,'Floor-U'!$H$4:$H$40)*Semidetached!AA$16)+(LOOKUP(Semidetached!AA$2,'Wall-U'!$A$4:$A$40,'Wall-U'!$H$4:$H$40)*Semidetached!AA$13)+(LOOKUP(Semidetached!AA$2,'Window-U'!$A$4:$A$40,'Window-U'!$R$4:$R$40)*Semidetached!AA$22))*AA37</f>
        <v>367.1608677462483</v>
      </c>
      <c r="AB41" s="177">
        <f>((LOOKUP(Semidetached!AB$2,'Ceiling-U'!$A$4:$A$40,'Ceiling-U'!$H$4:$H$40)*Semidetached!AB$15)+(LOOKUP(Semidetached!AB$2,'Floor-U'!$A$4:$A$40,'Floor-U'!$H$4:$H$40)*Semidetached!AB$16)+(LOOKUP(Semidetached!AB$2,'Wall-U'!$A$4:$A$40,'Wall-U'!$H$4:$H$40)*Semidetached!AB$13)+(LOOKUP(Semidetached!AB$2,'Window-U'!$A$4:$A$40,'Window-U'!$R$4:$R$40)*Semidetached!AB$22))*AB37</f>
        <v>834.91369461679699</v>
      </c>
      <c r="AC41" s="177">
        <f>((LOOKUP(Semidetached!AC$2,'Ceiling-U'!$A$4:$A$40,'Ceiling-U'!$H$4:$H$40)*Semidetached!AC$15)+(LOOKUP(Semidetached!AC$2,'Floor-U'!$A$4:$A$40,'Floor-U'!$H$4:$H$40)*Semidetached!AC$16)+(LOOKUP(Semidetached!AC$2,'Wall-U'!$A$4:$A$40,'Wall-U'!$H$4:$H$40)*Semidetached!AC$13)+(LOOKUP(Semidetached!AC$2,'Window-U'!$A$4:$A$40,'Window-U'!$R$4:$R$40)*Semidetached!AC$22))*AC37</f>
        <v>2437.0900687815015</v>
      </c>
      <c r="AD41" s="177">
        <f>((LOOKUP(Semidetached!AD$2,'Ceiling-U'!$A$4:$A$40,'Ceiling-U'!$H$4:$H$40)*Semidetached!AD$15)+(LOOKUP(Semidetached!AD$2,'Floor-U'!$A$4:$A$40,'Floor-U'!$H$4:$H$40)*Semidetached!AD$16)+(LOOKUP(Semidetached!AD$2,'Wall-U'!$A$4:$A$40,'Wall-U'!$H$4:$H$40)*Semidetached!AD$13)+(LOOKUP(Semidetached!AD$2,'Window-U'!$A$4:$A$40,'Window-U'!$R$4:$R$40)*Semidetached!AD$22))*AD37</f>
        <v>1105.5844517609996</v>
      </c>
      <c r="AE41" s="177">
        <f>((LOOKUP(Semidetached!AE$2,'Ceiling-U'!$A$4:$A$40,'Ceiling-U'!$H$4:$H$40)*Semidetached!AE$15)+(LOOKUP(Semidetached!AE$2,'Floor-U'!$A$4:$A$40,'Floor-U'!$H$4:$H$40)*Semidetached!AE$16)+(LOOKUP(Semidetached!AE$2,'Wall-U'!$A$4:$A$40,'Wall-U'!$H$4:$H$40)*Semidetached!AE$13)+(LOOKUP(Semidetached!AE$2,'Window-U'!$A$4:$A$40,'Window-U'!$R$4:$R$40)*Semidetached!AE$22))*AE37</f>
        <v>361.92254037812302</v>
      </c>
      <c r="AF41" s="177">
        <f>((LOOKUP(Semidetached!AF$2,'Ceiling-U'!$A$4:$A$40,'Ceiling-U'!$H$4:$H$40)*Semidetached!AF$15)+(LOOKUP(Semidetached!AF$2,'Floor-U'!$A$4:$A$40,'Floor-U'!$H$4:$H$40)*Semidetached!AF$16)+(LOOKUP(Semidetached!AF$2,'Wall-U'!$A$4:$A$40,'Wall-U'!$H$4:$H$40)*Semidetached!AF$13)+(LOOKUP(Semidetached!AF$2,'Window-U'!$A$4:$A$40,'Window-U'!$R$4:$R$40)*Semidetached!AF$22))*AF37</f>
        <v>947.17552721309949</v>
      </c>
      <c r="AG41" s="177">
        <f>((LOOKUP(Semidetached!AG$2,'Ceiling-U'!$A$4:$A$40,'Ceiling-U'!$H$4:$H$40)*Semidetached!AG$15)+(LOOKUP(Semidetached!AG$2,'Floor-U'!$A$4:$A$40,'Floor-U'!$H$4:$H$40)*Semidetached!AG$16)+(LOOKUP(Semidetached!AG$2,'Wall-U'!$A$4:$A$40,'Wall-U'!$H$4:$H$40)*Semidetached!AG$13)+(LOOKUP(Semidetached!AG$2,'Window-U'!$A$4:$A$40,'Window-U'!$R$4:$R$40)*Semidetached!AG$22))*AG37</f>
        <v>1289.4728715675635</v>
      </c>
      <c r="AH41" s="177">
        <f>((LOOKUP(Semidetached!AH$2,'Ceiling-U'!$A$4:$A$40,'Ceiling-U'!$H$4:$H$40)*Semidetached!AH$15)+(LOOKUP(Semidetached!AH$2,'Floor-U'!$A$4:$A$40,'Floor-U'!$H$4:$H$40)*Semidetached!AH$16)+(LOOKUP(Semidetached!AH$2,'Wall-U'!$A$4:$A$40,'Wall-U'!$H$4:$H$40)*Semidetached!AH$13)+(LOOKUP(Semidetached!AH$2,'Window-U'!$A$4:$A$40,'Window-U'!$R$4:$R$40)*Semidetached!AH$22))*AH37</f>
        <v>664.80720205467173</v>
      </c>
      <c r="AI41" s="177">
        <f>((LOOKUP(Semidetached!AI$2,'Ceiling-U'!$A$4:$A$40,'Ceiling-U'!$H$4:$H$40)*Semidetached!AI$15)+(LOOKUP(Semidetached!AI$2,'Floor-U'!$A$4:$A$40,'Floor-U'!$H$4:$H$40)*Semidetached!AI$16)+(LOOKUP(Semidetached!AI$2,'Wall-U'!$A$4:$A$40,'Wall-U'!$H$4:$H$40)*Semidetached!AI$13)+(LOOKUP(Semidetached!AI$2,'Window-U'!$A$4:$A$40,'Window-U'!$R$4:$R$40)*Semidetached!AI$22))*AI37</f>
        <v>2643.9243651427487</v>
      </c>
      <c r="AJ41" s="177">
        <f>((LOOKUP(Semidetached!AJ$2,'Ceiling-U'!$A$4:$A$40,'Ceiling-U'!$H$4:$H$40)*Semidetached!AJ$15)+(LOOKUP(Semidetached!AJ$2,'Floor-U'!$A$4:$A$40,'Floor-U'!$H$4:$H$40)*Semidetached!AJ$16)+(LOOKUP(Semidetached!AJ$2,'Wall-U'!$A$4:$A$40,'Wall-U'!$H$4:$H$40)*Semidetached!AJ$13)+(LOOKUP(Semidetached!AJ$2,'Window-U'!$A$4:$A$40,'Window-U'!$R$4:$R$40)*Semidetached!AJ$22))*AJ37</f>
        <v>886.34122086252319</v>
      </c>
      <c r="AK41" s="177">
        <f>((LOOKUP(Semidetached!AK$2,'Ceiling-U'!$A$4:$A$40,'Ceiling-U'!$H$4:$H$40)*Semidetached!AK$15)+(LOOKUP(Semidetached!AK$2,'Floor-U'!$A$4:$A$40,'Floor-U'!$H$4:$H$40)*Semidetached!AK$16)+(LOOKUP(Semidetached!AK$2,'Wall-U'!$A$4:$A$40,'Wall-U'!$H$4:$H$40)*Semidetached!AK$13)+(LOOKUP(Semidetached!AK$2,'Window-U'!$A$4:$A$40,'Window-U'!$R$4:$R$40)*Semidetached!AK$22))*AK37</f>
        <v>1089.7503261895513</v>
      </c>
      <c r="AL41" s="177">
        <f>((LOOKUP(Semidetached!AL$2,'Ceiling-U'!$A$4:$A$40,'Ceiling-U'!$H$4:$H$40)*Semidetached!AL$15)+(LOOKUP(Semidetached!AL$2,'Floor-U'!$A$4:$A$40,'Floor-U'!$H$4:$H$40)*Semidetached!AL$16)+(LOOKUP(Semidetached!AL$2,'Wall-U'!$A$4:$A$40,'Wall-U'!$H$4:$H$40)*Semidetached!AL$13)+(LOOKUP(Semidetached!AL$2,'Window-U'!$A$4:$A$40,'Window-U'!$R$4:$R$40)*Semidetached!AL$22))*AL37</f>
        <v>911.18525528797966</v>
      </c>
      <c r="AM41" s="177">
        <f>((LOOKUP(Semidetached!AM$2,'Ceiling-U'!$A$4:$A$40,'Ceiling-U'!$H$4:$H$40)*Semidetached!AM$15)+(LOOKUP(Semidetached!AM$2,'Floor-U'!$A$4:$A$40,'Floor-U'!$H$4:$H$40)*Semidetached!AM$16)+(LOOKUP(Semidetached!AM$2,'Wall-U'!$A$4:$A$40,'Wall-U'!$H$4:$H$40)*Semidetached!AM$13)+(LOOKUP(Semidetached!AM$2,'Window-U'!$A$4:$A$40,'Window-U'!$R$4:$R$40)*Semidetached!AM$22))*AM37</f>
        <v>886.34122086252319</v>
      </c>
      <c r="AN41" s="178">
        <f>((LOOKUP(Semidetached!AN$2,'Ceiling-U'!$A$4:$A$40,'Ceiling-U'!$H$4:$H$40)*Semidetached!AN$15)+(LOOKUP(Semidetached!AN$2,'Floor-U'!$A$4:$A$40,'Floor-U'!$H$4:$H$40)*Semidetached!AN$16)+(LOOKUP(Semidetached!AN$2,'Wall-U'!$A$4:$A$40,'Wall-U'!$H$4:$H$40)*Semidetached!AN$13)+(LOOKUP(Semidetached!AN$2,'Window-U'!$A$4:$A$40,'Window-U'!$R$4:$R$40)*Semidetached!AN$22))*AN37</f>
        <v>886.34122086252319</v>
      </c>
    </row>
    <row r="42" spans="1:40">
      <c r="A42" s="372"/>
      <c r="B42" s="142" t="s">
        <v>6</v>
      </c>
      <c r="C42" s="131" t="s">
        <v>195</v>
      </c>
      <c r="D42" s="176">
        <f>((LOOKUP(Semidetached!D$2,'Ceiling-U'!$A$4:$A$40,'Ceiling-U'!$I$4:$I$40)*Semidetached!D$15)+(LOOKUP(Semidetached!D$2,'Floor-U'!$A$4:$A$40,'Floor-U'!$I$4:$I$40)*Semidetached!D$16)+(LOOKUP(Semidetached!D$2,'Wall-U'!$A$4:$A$40,'Wall-U'!$I$4:$I$40)*Semidetached!D$13)+(LOOKUP(Semidetached!D$2,'Window-U'!$A$4:$A$40,'Window-U'!$R$4:$R$40)*Semidetached!D$22))*D37</f>
        <v>635.45011608824711</v>
      </c>
      <c r="E42" s="177">
        <f>((LOOKUP(Semidetached!E$2,'Ceiling-U'!$A$4:$A$40,'Ceiling-U'!$I$4:$I$40)*Semidetached!E$15)+(LOOKUP(Semidetached!E$2,'Floor-U'!$A$4:$A$40,'Floor-U'!$I$4:$I$40)*Semidetached!E$16)+(LOOKUP(Semidetached!E$2,'Wall-U'!$A$4:$A$40,'Wall-U'!$I$4:$I$40)*Semidetached!E$13)+(LOOKUP(Semidetached!E$2,'Window-U'!$A$4:$A$40,'Window-U'!$R$4:$R$40)*Semidetached!E$22))*E37</f>
        <v>1712.0900126659801</v>
      </c>
      <c r="F42" s="177">
        <f>((LOOKUP(Semidetached!F$2,'Ceiling-U'!$A$4:$A$40,'Ceiling-U'!$I$4:$I$40)*Semidetached!F$15)+(LOOKUP(Semidetached!F$2,'Floor-U'!$A$4:$A$40,'Floor-U'!$I$4:$I$40)*Semidetached!F$16)+(LOOKUP(Semidetached!F$2,'Wall-U'!$A$4:$A$40,'Wall-U'!$I$4:$I$40)*Semidetached!F$13)+(LOOKUP(Semidetached!F$2,'Window-U'!$A$4:$A$40,'Window-U'!$R$4:$R$40)*Semidetached!F$22))*F37</f>
        <v>627.12259011953586</v>
      </c>
      <c r="G42" s="177">
        <f>((LOOKUP(Semidetached!G$2,'Ceiling-U'!$A$4:$A$40,'Ceiling-U'!$I$4:$I$40)*Semidetached!G$15)+(LOOKUP(Semidetached!G$2,'Floor-U'!$A$4:$A$40,'Floor-U'!$I$4:$I$40)*Semidetached!G$16)+(LOOKUP(Semidetached!G$2,'Wall-U'!$A$4:$A$40,'Wall-U'!$I$4:$I$40)*Semidetached!G$13)+(LOOKUP(Semidetached!G$2,'Window-U'!$A$4:$A$40,'Window-U'!$R$4:$R$40)*Semidetached!G$22))*G37</f>
        <v>655.30579520782317</v>
      </c>
      <c r="H42" s="177">
        <f>((LOOKUP(Semidetached!H$2,'Ceiling-U'!$A$4:$A$40,'Ceiling-U'!$I$4:$I$40)*Semidetached!H$15)+(LOOKUP(Semidetached!H$2,'Floor-U'!$A$4:$A$40,'Floor-U'!$I$4:$I$40)*Semidetached!H$16)+(LOOKUP(Semidetached!H$2,'Wall-U'!$A$4:$A$40,'Wall-U'!$I$4:$I$40)*Semidetached!H$13)+(LOOKUP(Semidetached!H$2,'Window-U'!$A$4:$A$40,'Window-U'!$R$4:$R$40)*Semidetached!H$22))*H37</f>
        <v>2406.3620168138846</v>
      </c>
      <c r="I42" s="177">
        <f>((LOOKUP(Semidetached!I$2,'Ceiling-U'!$A$4:$A$40,'Ceiling-U'!$I$4:$I$40)*Semidetached!I$15)+(LOOKUP(Semidetached!I$2,'Floor-U'!$A$4:$A$40,'Floor-U'!$I$4:$I$40)*Semidetached!I$16)+(LOOKUP(Semidetached!I$2,'Wall-U'!$A$4:$A$40,'Wall-U'!$I$4:$I$40)*Semidetached!I$13)+(LOOKUP(Semidetached!I$2,'Window-U'!$A$4:$A$40,'Window-U'!$R$4:$R$40)*Semidetached!I$22))*I37</f>
        <v>586.382867256022</v>
      </c>
      <c r="J42" s="177">
        <f>((LOOKUP(Semidetached!J$2,'Ceiling-U'!$A$4:$A$40,'Ceiling-U'!$I$4:$I$40)*Semidetached!J$15)+(LOOKUP(Semidetached!J$2,'Floor-U'!$A$4:$A$40,'Floor-U'!$I$4:$I$40)*Semidetached!J$16)+(LOOKUP(Semidetached!J$2,'Wall-U'!$A$4:$A$40,'Wall-U'!$I$4:$I$40)*Semidetached!J$13)+(LOOKUP(Semidetached!J$2,'Window-U'!$A$4:$A$40,'Window-U'!$R$4:$R$40)*Semidetached!J$22))*J37</f>
        <v>413.00086812015866</v>
      </c>
      <c r="K42" s="177">
        <f>((LOOKUP(Semidetached!K$2,'Ceiling-U'!$A$4:$A$40,'Ceiling-U'!$I$4:$I$40)*Semidetached!K$15)+(LOOKUP(Semidetached!K$2,'Floor-U'!$A$4:$A$40,'Floor-U'!$I$4:$I$40)*Semidetached!K$16)+(LOOKUP(Semidetached!K$2,'Wall-U'!$A$4:$A$40,'Wall-U'!$I$4:$I$40)*Semidetached!K$13)+(LOOKUP(Semidetached!K$2,'Window-U'!$A$4:$A$40,'Window-U'!$R$4:$R$40)*Semidetached!K$22))*K37</f>
        <v>474.06842920466499</v>
      </c>
      <c r="L42" s="177">
        <f>((LOOKUP(Semidetached!L$2,'Ceiling-U'!$A$4:$A$40,'Ceiling-U'!$I$4:$I$40)*Semidetached!L$15)+(LOOKUP(Semidetached!L$2,'Floor-U'!$A$4:$A$40,'Floor-U'!$I$4:$I$40)*Semidetached!L$16)+(LOOKUP(Semidetached!L$2,'Wall-U'!$A$4:$A$40,'Wall-U'!$I$4:$I$40)*Semidetached!L$13)+(LOOKUP(Semidetached!L$2,'Window-U'!$A$4:$A$40,'Window-U'!$R$4:$R$40)*Semidetached!L$22))*L37</f>
        <v>277.85650335977789</v>
      </c>
      <c r="M42" s="177">
        <f>((LOOKUP(Semidetached!M$2,'Ceiling-U'!$A$4:$A$40,'Ceiling-U'!$I$4:$I$40)*Semidetached!M$15)+(LOOKUP(Semidetached!M$2,'Floor-U'!$A$4:$A$40,'Floor-U'!$I$4:$I$40)*Semidetached!M$16)+(LOOKUP(Semidetached!M$2,'Wall-U'!$A$4:$A$40,'Wall-U'!$I$4:$I$40)*Semidetached!M$13)+(LOOKUP(Semidetached!M$2,'Window-U'!$A$4:$A$40,'Window-U'!$R$4:$R$40)*Semidetached!M$22))*M37</f>
        <v>1581.3632491349911</v>
      </c>
      <c r="N42" s="177">
        <f>((LOOKUP(Semidetached!N$2,'Ceiling-U'!$A$4:$A$40,'Ceiling-U'!$I$4:$I$40)*Semidetached!N$15)+(LOOKUP(Semidetached!N$2,'Floor-U'!$A$4:$A$40,'Floor-U'!$I$4:$I$40)*Semidetached!N$16)+(LOOKUP(Semidetached!N$2,'Wall-U'!$A$4:$A$40,'Wall-U'!$I$4:$I$40)*Semidetached!N$13)+(LOOKUP(Semidetached!N$2,'Window-U'!$A$4:$A$40,'Window-U'!$R$4:$R$40)*Semidetached!N$22))*N37</f>
        <v>381.24065184529934</v>
      </c>
      <c r="O42" s="177">
        <f>((LOOKUP(Semidetached!O$2,'Ceiling-U'!$A$4:$A$40,'Ceiling-U'!$I$4:$I$40)*Semidetached!O$15)+(LOOKUP(Semidetached!O$2,'Floor-U'!$A$4:$A$40,'Floor-U'!$I$4:$I$40)*Semidetached!O$16)+(LOOKUP(Semidetached!O$2,'Wall-U'!$A$4:$A$40,'Wall-U'!$I$4:$I$40)*Semidetached!O$13)+(LOOKUP(Semidetached!O$2,'Window-U'!$A$4:$A$40,'Window-U'!$R$4:$R$40)*Semidetached!O$22))*O37</f>
        <v>511.04083268905026</v>
      </c>
      <c r="P42" s="177">
        <f>((LOOKUP(Semidetached!P$2,'Ceiling-U'!$A$4:$A$40,'Ceiling-U'!$I$4:$I$40)*Semidetached!P$15)+(LOOKUP(Semidetached!P$2,'Floor-U'!$A$4:$A$40,'Floor-U'!$I$4:$I$40)*Semidetached!P$16)+(LOOKUP(Semidetached!P$2,'Wall-U'!$A$4:$A$40,'Wall-U'!$I$4:$I$40)*Semidetached!P$13)+(LOOKUP(Semidetached!P$2,'Window-U'!$A$4:$A$40,'Window-U'!$R$4:$R$40)*Semidetached!P$22))*P37</f>
        <v>1817.8892123504284</v>
      </c>
      <c r="Q42" s="177">
        <f>((LOOKUP(Semidetached!Q$2,'Ceiling-U'!$A$4:$A$40,'Ceiling-U'!$I$4:$I$40)*Semidetached!Q$15)+(LOOKUP(Semidetached!Q$2,'Floor-U'!$A$4:$A$40,'Floor-U'!$I$4:$I$40)*Semidetached!Q$16)+(LOOKUP(Semidetached!Q$2,'Wall-U'!$A$4:$A$40,'Wall-U'!$I$4:$I$40)*Semidetached!Q$13)+(LOOKUP(Semidetached!Q$2,'Window-U'!$A$4:$A$40,'Window-U'!$R$4:$R$40)*Semidetached!Q$22))*Q37</f>
        <v>679.44420880005555</v>
      </c>
      <c r="R42" s="177">
        <f>((LOOKUP(Semidetached!R$2,'Ceiling-U'!$A$4:$A$40,'Ceiling-U'!$I$4:$I$40)*Semidetached!R$15)+(LOOKUP(Semidetached!R$2,'Floor-U'!$A$4:$A$40,'Floor-U'!$I$4:$I$40)*Semidetached!R$16)+(LOOKUP(Semidetached!R$2,'Wall-U'!$A$4:$A$40,'Wall-U'!$I$4:$I$40)*Semidetached!R$13)+(LOOKUP(Semidetached!R$2,'Window-U'!$A$4:$A$40,'Window-U'!$R$4:$R$40)*Semidetached!R$22))*R37</f>
        <v>834.23497501984434</v>
      </c>
      <c r="S42" s="177">
        <f>((LOOKUP(Semidetached!S$2,'Ceiling-U'!$A$4:$A$40,'Ceiling-U'!$I$4:$I$40)*Semidetached!S$15)+(LOOKUP(Semidetached!S$2,'Floor-U'!$A$4:$A$40,'Floor-U'!$I$4:$I$40)*Semidetached!S$16)+(LOOKUP(Semidetached!S$2,'Wall-U'!$A$4:$A$40,'Wall-U'!$I$4:$I$40)*Semidetached!S$13)+(LOOKUP(Semidetached!S$2,'Window-U'!$A$4:$A$40,'Window-U'!$R$4:$R$40)*Semidetached!S$22))*S37</f>
        <v>843.98882245770346</v>
      </c>
      <c r="T42" s="177">
        <f>((LOOKUP(Semidetached!T$2,'Ceiling-U'!$A$4:$A$40,'Ceiling-U'!$I$4:$I$40)*Semidetached!T$15)+(LOOKUP(Semidetached!T$2,'Floor-U'!$A$4:$A$40,'Floor-U'!$I$4:$I$40)*Semidetached!T$16)+(LOOKUP(Semidetached!T$2,'Wall-U'!$A$4:$A$40,'Wall-U'!$I$4:$I$40)*Semidetached!T$13)+(LOOKUP(Semidetached!T$2,'Window-U'!$A$4:$A$40,'Window-U'!$R$4:$R$40)*Semidetached!T$22))*T37</f>
        <v>383.88706248682183</v>
      </c>
      <c r="U42" s="177">
        <f>((LOOKUP(Semidetached!U$2,'Ceiling-U'!$A$4:$A$40,'Ceiling-U'!$I$4:$I$40)*Semidetached!U$15)+(LOOKUP(Semidetached!U$2,'Floor-U'!$A$4:$A$40,'Floor-U'!$I$4:$I$40)*Semidetached!U$16)+(LOOKUP(Semidetached!U$2,'Wall-U'!$A$4:$A$40,'Wall-U'!$I$4:$I$40)*Semidetached!U$13)+(LOOKUP(Semidetached!U$2,'Window-U'!$A$4:$A$40,'Window-U'!$R$4:$R$40)*Semidetached!U$22))*U37</f>
        <v>1482.3489465778139</v>
      </c>
      <c r="V42" s="177">
        <f>((LOOKUP(Semidetached!V$2,'Ceiling-U'!$A$4:$A$40,'Ceiling-U'!$I$4:$I$40)*Semidetached!V$15)+(LOOKUP(Semidetached!V$2,'Floor-U'!$A$4:$A$40,'Floor-U'!$I$4:$I$40)*Semidetached!V$16)+(LOOKUP(Semidetached!V$2,'Wall-U'!$A$4:$A$40,'Wall-U'!$I$4:$I$40)*Semidetached!V$13)+(LOOKUP(Semidetached!V$2,'Window-U'!$A$4:$A$40,'Window-U'!$R$4:$R$40)*Semidetached!V$22))*V37</f>
        <v>641.5998812626907</v>
      </c>
      <c r="W42" s="177">
        <f>((LOOKUP(Semidetached!W$2,'Ceiling-U'!$A$4:$A$40,'Ceiling-U'!$I$4:$I$40)*Semidetached!W$15)+(LOOKUP(Semidetached!W$2,'Floor-U'!$A$4:$A$40,'Floor-U'!$I$4:$I$40)*Semidetached!W$16)+(LOOKUP(Semidetached!W$2,'Wall-U'!$A$4:$A$40,'Wall-U'!$I$4:$I$40)*Semidetached!W$13)+(LOOKUP(Semidetached!W$2,'Window-U'!$A$4:$A$40,'Window-U'!$R$4:$R$40)*Semidetached!W$22))*W37</f>
        <v>363.40154954772595</v>
      </c>
      <c r="X42" s="177">
        <f>((LOOKUP(Semidetached!X$2,'Ceiling-U'!$A$4:$A$40,'Ceiling-U'!$I$4:$I$40)*Semidetached!X$15)+(LOOKUP(Semidetached!X$2,'Floor-U'!$A$4:$A$40,'Floor-U'!$I$4:$I$40)*Semidetached!X$16)+(LOOKUP(Semidetached!X$2,'Wall-U'!$A$4:$A$40,'Wall-U'!$I$4:$I$40)*Semidetached!X$13)+(LOOKUP(Semidetached!X$2,'Window-U'!$A$4:$A$40,'Window-U'!$R$4:$R$40)*Semidetached!X$22))*X37</f>
        <v>534.41242278122456</v>
      </c>
      <c r="Y42" s="177">
        <f>((LOOKUP(Semidetached!Y$2,'Ceiling-U'!$A$4:$A$40,'Ceiling-U'!$I$4:$I$40)*Semidetached!Y$15)+(LOOKUP(Semidetached!Y$2,'Floor-U'!$A$4:$A$40,'Floor-U'!$I$4:$I$40)*Semidetached!Y$16)+(LOOKUP(Semidetached!Y$2,'Wall-U'!$A$4:$A$40,'Wall-U'!$I$4:$I$40)*Semidetached!Y$13)+(LOOKUP(Semidetached!Y$2,'Window-U'!$A$4:$A$40,'Window-U'!$R$4:$R$40)*Semidetached!Y$22))*Y37</f>
        <v>2247.5765333932541</v>
      </c>
      <c r="Z42" s="177">
        <f>((LOOKUP(Semidetached!Z$2,'Ceiling-U'!$A$4:$A$40,'Ceiling-U'!$I$4:$I$40)*Semidetached!Z$15)+(LOOKUP(Semidetached!Z$2,'Floor-U'!$A$4:$A$40,'Floor-U'!$I$4:$I$40)*Semidetached!Z$16)+(LOOKUP(Semidetached!Z$2,'Wall-U'!$A$4:$A$40,'Wall-U'!$I$4:$I$40)*Semidetached!Z$13)+(LOOKUP(Semidetached!Z$2,'Window-U'!$A$4:$A$40,'Window-U'!$R$4:$R$40)*Semidetached!Z$22))*Z37</f>
        <v>911.9489402786412</v>
      </c>
      <c r="AA42" s="177">
        <f>((LOOKUP(Semidetached!AA$2,'Ceiling-U'!$A$4:$A$40,'Ceiling-U'!$I$4:$I$40)*Semidetached!AA$15)+(LOOKUP(Semidetached!AA$2,'Floor-U'!$A$4:$A$40,'Floor-U'!$I$4:$I$40)*Semidetached!AA$16)+(LOOKUP(Semidetached!AA$2,'Wall-U'!$A$4:$A$40,'Wall-U'!$I$4:$I$40)*Semidetached!AA$13)+(LOOKUP(Semidetached!AA$2,'Window-U'!$A$4:$A$40,'Window-U'!$R$4:$R$40)*Semidetached!AA$22))*AA37</f>
        <v>316.62695034589444</v>
      </c>
      <c r="AB42" s="177">
        <f>((LOOKUP(Semidetached!AB$2,'Ceiling-U'!$A$4:$A$40,'Ceiling-U'!$I$4:$I$40)*Semidetached!AB$15)+(LOOKUP(Semidetached!AB$2,'Floor-U'!$A$4:$A$40,'Floor-U'!$I$4:$I$40)*Semidetached!AB$16)+(LOOKUP(Semidetached!AB$2,'Wall-U'!$A$4:$A$40,'Wall-U'!$I$4:$I$40)*Semidetached!AB$13)+(LOOKUP(Semidetached!AB$2,'Window-U'!$A$4:$A$40,'Window-U'!$R$4:$R$40)*Semidetached!AB$22))*AB37</f>
        <v>834.91369461679699</v>
      </c>
      <c r="AC42" s="177">
        <f>((LOOKUP(Semidetached!AC$2,'Ceiling-U'!$A$4:$A$40,'Ceiling-U'!$I$4:$I$40)*Semidetached!AC$15)+(LOOKUP(Semidetached!AC$2,'Floor-U'!$A$4:$A$40,'Floor-U'!$I$4:$I$40)*Semidetached!AC$16)+(LOOKUP(Semidetached!AC$2,'Wall-U'!$A$4:$A$40,'Wall-U'!$I$4:$I$40)*Semidetached!AC$13)+(LOOKUP(Semidetached!AC$2,'Window-U'!$A$4:$A$40,'Window-U'!$R$4:$R$40)*Semidetached!AC$22))*AC37</f>
        <v>2227.0114165465675</v>
      </c>
      <c r="AD42" s="177">
        <f>((LOOKUP(Semidetached!AD$2,'Ceiling-U'!$A$4:$A$40,'Ceiling-U'!$I$4:$I$40)*Semidetached!AD$15)+(LOOKUP(Semidetached!AD$2,'Floor-U'!$A$4:$A$40,'Floor-U'!$I$4:$I$40)*Semidetached!AD$16)+(LOOKUP(Semidetached!AD$2,'Wall-U'!$A$4:$A$40,'Wall-U'!$I$4:$I$40)*Semidetached!AD$13)+(LOOKUP(Semidetached!AD$2,'Window-U'!$A$4:$A$40,'Window-U'!$R$4:$R$40)*Semidetached!AD$22))*AD37</f>
        <v>1105.5844517609996</v>
      </c>
      <c r="AE42" s="177">
        <f>((LOOKUP(Semidetached!AE$2,'Ceiling-U'!$A$4:$A$40,'Ceiling-U'!$I$4:$I$40)*Semidetached!AE$15)+(LOOKUP(Semidetached!AE$2,'Floor-U'!$A$4:$A$40,'Floor-U'!$I$4:$I$40)*Semidetached!AE$16)+(LOOKUP(Semidetached!AE$2,'Wall-U'!$A$4:$A$40,'Wall-U'!$I$4:$I$40)*Semidetached!AE$13)+(LOOKUP(Semidetached!AE$2,'Window-U'!$A$4:$A$40,'Window-U'!$R$4:$R$40)*Semidetached!AE$22))*AE37</f>
        <v>312.19796124020058</v>
      </c>
      <c r="AF42" s="177">
        <f>((LOOKUP(Semidetached!AF$2,'Ceiling-U'!$A$4:$A$40,'Ceiling-U'!$I$4:$I$40)*Semidetached!AF$15)+(LOOKUP(Semidetached!AF$2,'Floor-U'!$A$4:$A$40,'Floor-U'!$I$4:$I$40)*Semidetached!AF$16)+(LOOKUP(Semidetached!AF$2,'Wall-U'!$A$4:$A$40,'Wall-U'!$I$4:$I$40)*Semidetached!AF$13)+(LOOKUP(Semidetached!AF$2,'Window-U'!$A$4:$A$40,'Window-U'!$R$4:$R$40)*Semidetached!AF$22))*AF37</f>
        <v>631.09013916799927</v>
      </c>
      <c r="AG42" s="177">
        <f>((LOOKUP(Semidetached!AG$2,'Ceiling-U'!$A$4:$A$40,'Ceiling-U'!$I$4:$I$40)*Semidetached!AG$15)+(LOOKUP(Semidetached!AG$2,'Floor-U'!$A$4:$A$40,'Floor-U'!$I$4:$I$40)*Semidetached!AG$16)+(LOOKUP(Semidetached!AG$2,'Wall-U'!$A$4:$A$40,'Wall-U'!$I$4:$I$40)*Semidetached!AG$13)+(LOOKUP(Semidetached!AG$2,'Window-U'!$A$4:$A$40,'Window-U'!$R$4:$R$40)*Semidetached!AG$22))*AG37</f>
        <v>1129.8401901017169</v>
      </c>
      <c r="AH42" s="177">
        <f>((LOOKUP(Semidetached!AH$2,'Ceiling-U'!$A$4:$A$40,'Ceiling-U'!$I$4:$I$40)*Semidetached!AH$15)+(LOOKUP(Semidetached!AH$2,'Floor-U'!$A$4:$A$40,'Floor-U'!$I$4:$I$40)*Semidetached!AH$16)+(LOOKUP(Semidetached!AH$2,'Wall-U'!$A$4:$A$40,'Wall-U'!$I$4:$I$40)*Semidetached!AH$13)+(LOOKUP(Semidetached!AH$2,'Window-U'!$A$4:$A$40,'Window-U'!$R$4:$R$40)*Semidetached!AH$22))*AH37</f>
        <v>531.3175273271471</v>
      </c>
      <c r="AI42" s="177">
        <f>((LOOKUP(Semidetached!AI$2,'Ceiling-U'!$A$4:$A$40,'Ceiling-U'!$I$4:$I$40)*Semidetached!AI$15)+(LOOKUP(Semidetached!AI$2,'Floor-U'!$A$4:$A$40,'Floor-U'!$I$4:$I$40)*Semidetached!AI$16)+(LOOKUP(Semidetached!AI$2,'Wall-U'!$A$4:$A$40,'Wall-U'!$I$4:$I$40)*Semidetached!AI$13)+(LOOKUP(Semidetached!AI$2,'Window-U'!$A$4:$A$40,'Window-U'!$R$4:$R$40)*Semidetached!AI$22))*AI37</f>
        <v>2643.9243651427487</v>
      </c>
      <c r="AJ42" s="177">
        <f>((LOOKUP(Semidetached!AJ$2,'Ceiling-U'!$A$4:$A$40,'Ceiling-U'!$I$4:$I$40)*Semidetached!AJ$15)+(LOOKUP(Semidetached!AJ$2,'Floor-U'!$A$4:$A$40,'Floor-U'!$I$4:$I$40)*Semidetached!AJ$16)+(LOOKUP(Semidetached!AJ$2,'Wall-U'!$A$4:$A$40,'Wall-U'!$I$4:$I$40)*Semidetached!AJ$13)+(LOOKUP(Semidetached!AJ$2,'Window-U'!$A$4:$A$40,'Window-U'!$R$4:$R$40)*Semidetached!AJ$22))*AJ37</f>
        <v>817.73407314682174</v>
      </c>
      <c r="AK42" s="177">
        <f>((LOOKUP(Semidetached!AK$2,'Ceiling-U'!$A$4:$A$40,'Ceiling-U'!$I$4:$I$40)*Semidetached!AK$15)+(LOOKUP(Semidetached!AK$2,'Floor-U'!$A$4:$A$40,'Floor-U'!$I$4:$I$40)*Semidetached!AK$16)+(LOOKUP(Semidetached!AK$2,'Wall-U'!$A$4:$A$40,'Wall-U'!$I$4:$I$40)*Semidetached!AK$13)+(LOOKUP(Semidetached!AK$2,'Window-U'!$A$4:$A$40,'Window-U'!$R$4:$R$40)*Semidetached!AK$22))*AK37</f>
        <v>1003.3330748308339</v>
      </c>
      <c r="AL42" s="177">
        <f>((LOOKUP(Semidetached!AL$2,'Ceiling-U'!$A$4:$A$40,'Ceiling-U'!$I$4:$I$40)*Semidetached!AL$15)+(LOOKUP(Semidetached!AL$2,'Floor-U'!$A$4:$A$40,'Floor-U'!$I$4:$I$40)*Semidetached!AL$16)+(LOOKUP(Semidetached!AL$2,'Wall-U'!$A$4:$A$40,'Wall-U'!$I$4:$I$40)*Semidetached!AL$13)+(LOOKUP(Semidetached!AL$2,'Window-U'!$A$4:$A$40,'Window-U'!$R$4:$R$40)*Semidetached!AL$22))*AL37</f>
        <v>657.58512503156544</v>
      </c>
      <c r="AM42" s="177">
        <f>((LOOKUP(Semidetached!AM$2,'Ceiling-U'!$A$4:$A$40,'Ceiling-U'!$I$4:$I$40)*Semidetached!AM$15)+(LOOKUP(Semidetached!AM$2,'Floor-U'!$A$4:$A$40,'Floor-U'!$I$4:$I$40)*Semidetached!AM$16)+(LOOKUP(Semidetached!AM$2,'Wall-U'!$A$4:$A$40,'Wall-U'!$I$4:$I$40)*Semidetached!AM$13)+(LOOKUP(Semidetached!AM$2,'Window-U'!$A$4:$A$40,'Window-U'!$R$4:$R$40)*Semidetached!AM$22))*AM37</f>
        <v>817.73407314682174</v>
      </c>
      <c r="AN42" s="178">
        <f>((LOOKUP(Semidetached!AN$2,'Ceiling-U'!$A$4:$A$40,'Ceiling-U'!$I$4:$I$40)*Semidetached!AN$15)+(LOOKUP(Semidetached!AN$2,'Floor-U'!$A$4:$A$40,'Floor-U'!$I$4:$I$40)*Semidetached!AN$16)+(LOOKUP(Semidetached!AN$2,'Wall-U'!$A$4:$A$40,'Wall-U'!$I$4:$I$40)*Semidetached!AN$13)+(LOOKUP(Semidetached!AN$2,'Window-U'!$A$4:$A$40,'Window-U'!$R$4:$R$40)*Semidetached!AN$22))*AN37</f>
        <v>817.73407314682174</v>
      </c>
    </row>
    <row r="43" spans="1:40">
      <c r="A43" s="373"/>
      <c r="B43" s="374" t="s">
        <v>7</v>
      </c>
      <c r="C43" s="131" t="s">
        <v>195</v>
      </c>
      <c r="D43" s="176">
        <f>((LOOKUP(Semidetached!D$2,'Ceiling-U'!$A$4:$A$40,'Ceiling-U'!$J$4:$J$40)*Semidetached!D$15)+(LOOKUP(Semidetached!D$2,'Floor-U'!$A$4:$A$40,'Floor-U'!$J$4:$J$40)*Semidetached!D$16)+(LOOKUP(Semidetached!D$2,'Wall-U'!$A$4:$A$40,'Wall-U'!$J$4:$J$40)*Semidetached!D$13)+(LOOKUP(Semidetached!D$2,'Window-U'!$A$4:$A$40,'Window-U'!$R$4:$R$40)*Semidetached!D$22))*D37</f>
        <v>547.31025038689575</v>
      </c>
      <c r="E43" s="174">
        <f>((LOOKUP(Semidetached!E$2,'Ceiling-U'!$A$4:$A$40,'Ceiling-U'!$J$4:$J$40)*Semidetached!E$15)+(LOOKUP(Semidetached!E$2,'Floor-U'!$A$4:$A$40,'Floor-U'!$J$4:$J$40)*Semidetached!E$16)+(LOOKUP(Semidetached!E$2,'Wall-U'!$A$4:$A$40,'Wall-U'!$J$4:$J$40)*Semidetached!E$13)+(LOOKUP(Semidetached!E$2,'Window-U'!$A$4:$A$40,'Window-U'!$R$4:$R$40)*Semidetached!E$22))*E37</f>
        <v>917.77833153100914</v>
      </c>
      <c r="F43" s="174">
        <f>((LOOKUP(Semidetached!F$2,'Ceiling-U'!$A$4:$A$40,'Ceiling-U'!$J$4:$J$40)*Semidetached!F$15)+(LOOKUP(Semidetached!F$2,'Floor-U'!$A$4:$A$40,'Floor-U'!$J$4:$J$40)*Semidetached!F$16)+(LOOKUP(Semidetached!F$2,'Wall-U'!$A$4:$A$40,'Wall-U'!$J$4:$J$40)*Semidetached!F$13)+(LOOKUP(Semidetached!F$2,'Window-U'!$A$4:$A$40,'Window-U'!$R$4:$R$40)*Semidetached!F$22))*F37</f>
        <v>400.13934503591759</v>
      </c>
      <c r="G43" s="174">
        <f>((LOOKUP(Semidetached!G$2,'Ceiling-U'!$A$4:$A$40,'Ceiling-U'!$J$4:$J$40)*Semidetached!G$15)+(LOOKUP(Semidetached!G$2,'Floor-U'!$A$4:$A$40,'Floor-U'!$J$4:$J$40)*Semidetached!G$16)+(LOOKUP(Semidetached!G$2,'Wall-U'!$A$4:$A$40,'Wall-U'!$J$4:$J$40)*Semidetached!G$13)+(LOOKUP(Semidetached!G$2,'Window-U'!$A$4:$A$40,'Window-U'!$R$4:$R$40)*Semidetached!G$22))*G37</f>
        <v>563.57862379155824</v>
      </c>
      <c r="H43" s="174">
        <f>((LOOKUP(Semidetached!H$2,'Ceiling-U'!$A$4:$A$40,'Ceiling-U'!$J$4:$J$40)*Semidetached!H$15)+(LOOKUP(Semidetached!H$2,'Floor-U'!$A$4:$A$40,'Floor-U'!$J$4:$J$40)*Semidetached!H$16)+(LOOKUP(Semidetached!H$2,'Wall-U'!$A$4:$A$40,'Wall-U'!$J$4:$J$40)*Semidetached!H$13)+(LOOKUP(Semidetached!H$2,'Window-U'!$A$4:$A$40,'Window-U'!$R$4:$R$40)*Semidetached!H$22))*H37</f>
        <v>1862.9162549254345</v>
      </c>
      <c r="I43" s="174">
        <f>((LOOKUP(Semidetached!I$2,'Ceiling-U'!$A$4:$A$40,'Ceiling-U'!$J$4:$J$40)*Semidetached!I$15)+(LOOKUP(Semidetached!I$2,'Floor-U'!$A$4:$A$40,'Floor-U'!$J$4:$J$40)*Semidetached!I$16)+(LOOKUP(Semidetached!I$2,'Wall-U'!$A$4:$A$40,'Wall-U'!$J$4:$J$40)*Semidetached!I$13)+(LOOKUP(Semidetached!I$2,'Window-U'!$A$4:$A$40,'Window-U'!$R$4:$R$40)*Semidetached!I$22))*I37</f>
        <v>468.94128796133612</v>
      </c>
      <c r="J43" s="174">
        <f>((LOOKUP(Semidetached!J$2,'Ceiling-U'!$A$4:$A$40,'Ceiling-U'!$J$4:$J$40)*Semidetached!J$15)+(LOOKUP(Semidetached!J$2,'Floor-U'!$A$4:$A$40,'Floor-U'!$J$4:$J$40)*Semidetached!J$16)+(LOOKUP(Semidetached!J$2,'Wall-U'!$A$4:$A$40,'Wall-U'!$J$4:$J$40)*Semidetached!J$13)+(LOOKUP(Semidetached!J$2,'Window-U'!$A$4:$A$40,'Window-U'!$R$4:$R$40)*Semidetached!J$22))*J37</f>
        <v>453.04654467509931</v>
      </c>
      <c r="K43" s="174">
        <f>((LOOKUP(Semidetached!K$2,'Ceiling-U'!$A$4:$A$40,'Ceiling-U'!$J$4:$J$40)*Semidetached!K$15)+(LOOKUP(Semidetached!K$2,'Floor-U'!$A$4:$A$40,'Floor-U'!$J$4:$J$40)*Semidetached!K$16)+(LOOKUP(Semidetached!K$2,'Wall-U'!$A$4:$A$40,'Wall-U'!$J$4:$J$40)*Semidetached!K$13)+(LOOKUP(Semidetached!K$2,'Window-U'!$A$4:$A$40,'Window-U'!$R$4:$R$40)*Semidetached!K$22))*K37</f>
        <v>343.48646676673832</v>
      </c>
      <c r="L43" s="174">
        <f>((LOOKUP(Semidetached!L$2,'Ceiling-U'!$A$4:$A$40,'Ceiling-U'!$J$4:$J$40)*Semidetached!L$15)+(LOOKUP(Semidetached!L$2,'Floor-U'!$A$4:$A$40,'Floor-U'!$J$4:$J$40)*Semidetached!L$16)+(LOOKUP(Semidetached!L$2,'Wall-U'!$A$4:$A$40,'Wall-U'!$J$4:$J$40)*Semidetached!L$13)+(LOOKUP(Semidetached!L$2,'Window-U'!$A$4:$A$40,'Window-U'!$R$4:$R$40)*Semidetached!L$22))*L37</f>
        <v>277.85650335977789</v>
      </c>
      <c r="M43" s="174">
        <f>((LOOKUP(Semidetached!M$2,'Ceiling-U'!$A$4:$A$40,'Ceiling-U'!$J$4:$J$40)*Semidetached!M$15)+(LOOKUP(Semidetached!M$2,'Floor-U'!$A$4:$A$40,'Floor-U'!$J$4:$J$40)*Semidetached!M$16)+(LOOKUP(Semidetached!M$2,'Wall-U'!$A$4:$A$40,'Wall-U'!$J$4:$J$40)*Semidetached!M$13)+(LOOKUP(Semidetached!M$2,'Window-U'!$A$4:$A$40,'Window-U'!$R$4:$R$40)*Semidetached!M$22))*M37</f>
        <v>952.10978978753792</v>
      </c>
      <c r="N43" s="174">
        <f>((LOOKUP(Semidetached!N$2,'Ceiling-U'!$A$4:$A$40,'Ceiling-U'!$J$4:$J$40)*Semidetached!N$15)+(LOOKUP(Semidetached!N$2,'Floor-U'!$A$4:$A$40,'Floor-U'!$J$4:$J$40)*Semidetached!N$16)+(LOOKUP(Semidetached!N$2,'Wall-U'!$A$4:$A$40,'Wall-U'!$J$4:$J$40)*Semidetached!N$13)+(LOOKUP(Semidetached!N$2,'Window-U'!$A$4:$A$40,'Window-U'!$R$4:$R$40)*Semidetached!N$22))*N37</f>
        <v>347.55686099053025</v>
      </c>
      <c r="O43" s="174">
        <f>((LOOKUP(Semidetached!O$2,'Ceiling-U'!$A$4:$A$40,'Ceiling-U'!$J$4:$J$40)*Semidetached!O$15)+(LOOKUP(Semidetached!O$2,'Floor-U'!$A$4:$A$40,'Floor-U'!$J$4:$J$40)*Semidetached!O$16)+(LOOKUP(Semidetached!O$2,'Wall-U'!$A$4:$A$40,'Wall-U'!$J$4:$J$40)*Semidetached!O$13)+(LOOKUP(Semidetached!O$2,'Window-U'!$A$4:$A$40,'Window-U'!$R$4:$R$40)*Semidetached!O$22))*O37</f>
        <v>495.17170355580288</v>
      </c>
      <c r="P43" s="174">
        <f>((LOOKUP(Semidetached!P$2,'Ceiling-U'!$A$4:$A$40,'Ceiling-U'!$J$4:$J$40)*Semidetached!P$15)+(LOOKUP(Semidetached!P$2,'Floor-U'!$A$4:$A$40,'Floor-U'!$J$4:$J$40)*Semidetached!P$16)+(LOOKUP(Semidetached!P$2,'Wall-U'!$A$4:$A$40,'Wall-U'!$J$4:$J$40)*Semidetached!P$13)+(LOOKUP(Semidetached!P$2,'Window-U'!$A$4:$A$40,'Window-U'!$R$4:$R$40)*Semidetached!P$22))*P37</f>
        <v>496.18223448989937</v>
      </c>
      <c r="Q43" s="174">
        <f>((LOOKUP(Semidetached!Q$2,'Ceiling-U'!$A$4:$A$40,'Ceiling-U'!$J$4:$J$40)*Semidetached!Q$15)+(LOOKUP(Semidetached!Q$2,'Floor-U'!$A$4:$A$40,'Floor-U'!$J$4:$J$40)*Semidetached!Q$16)+(LOOKUP(Semidetached!Q$2,'Wall-U'!$A$4:$A$40,'Wall-U'!$J$4:$J$40)*Semidetached!Q$13)+(LOOKUP(Semidetached!Q$2,'Window-U'!$A$4:$A$40,'Window-U'!$R$4:$R$40)*Semidetached!Q$22))*Q37</f>
        <v>407.46535051428282</v>
      </c>
      <c r="R43" s="174">
        <f>((LOOKUP(Semidetached!R$2,'Ceiling-U'!$A$4:$A$40,'Ceiling-U'!$J$4:$J$40)*Semidetached!R$15)+(LOOKUP(Semidetached!R$2,'Floor-U'!$A$4:$A$40,'Floor-U'!$J$4:$J$40)*Semidetached!R$16)+(LOOKUP(Semidetached!R$2,'Wall-U'!$A$4:$A$40,'Wall-U'!$J$4:$J$40)*Semidetached!R$13)+(LOOKUP(Semidetached!R$2,'Window-U'!$A$4:$A$40,'Window-U'!$R$4:$R$40)*Semidetached!R$22))*R37</f>
        <v>499.67209999221154</v>
      </c>
      <c r="S43" s="174">
        <f>((LOOKUP(Semidetached!S$2,'Ceiling-U'!$A$4:$A$40,'Ceiling-U'!$J$4:$J$40)*Semidetached!S$15)+(LOOKUP(Semidetached!S$2,'Floor-U'!$A$4:$A$40,'Floor-U'!$J$4:$J$40)*Semidetached!S$16)+(LOOKUP(Semidetached!S$2,'Wall-U'!$A$4:$A$40,'Wall-U'!$J$4:$J$40)*Semidetached!S$13)+(LOOKUP(Semidetached!S$2,'Window-U'!$A$4:$A$40,'Window-U'!$R$4:$R$40)*Semidetached!S$22))*S37</f>
        <v>492.82972809828038</v>
      </c>
      <c r="T43" s="174">
        <f>((LOOKUP(Semidetached!T$2,'Ceiling-U'!$A$4:$A$40,'Ceiling-U'!$J$4:$J$40)*Semidetached!T$15)+(LOOKUP(Semidetached!T$2,'Floor-U'!$A$4:$A$40,'Floor-U'!$J$4:$J$40)*Semidetached!T$16)+(LOOKUP(Semidetached!T$2,'Wall-U'!$A$4:$A$40,'Wall-U'!$J$4:$J$40)*Semidetached!T$13)+(LOOKUP(Semidetached!T$2,'Window-U'!$A$4:$A$40,'Window-U'!$R$4:$R$40)*Semidetached!T$22))*T37</f>
        <v>349.86305101883897</v>
      </c>
      <c r="U43" s="174">
        <f>((LOOKUP(Semidetached!U$2,'Ceiling-U'!$A$4:$A$40,'Ceiling-U'!$J$4:$J$40)*Semidetached!U$15)+(LOOKUP(Semidetached!U$2,'Floor-U'!$A$4:$A$40,'Floor-U'!$J$4:$J$40)*Semidetached!U$16)+(LOOKUP(Semidetached!U$2,'Wall-U'!$A$4:$A$40,'Wall-U'!$J$4:$J$40)*Semidetached!U$13)+(LOOKUP(Semidetached!U$2,'Window-U'!$A$4:$A$40,'Window-U'!$R$4:$R$40)*Semidetached!U$22))*U37</f>
        <v>1482.3489465778139</v>
      </c>
      <c r="V43" s="174">
        <f>((LOOKUP(Semidetached!V$2,'Ceiling-U'!$A$4:$A$40,'Ceiling-U'!$J$4:$J$40)*Semidetached!V$15)+(LOOKUP(Semidetached!V$2,'Floor-U'!$A$4:$A$40,'Floor-U'!$J$4:$J$40)*Semidetached!V$16)+(LOOKUP(Semidetached!V$2,'Wall-U'!$A$4:$A$40,'Wall-U'!$J$4:$J$40)*Semidetached!V$13)+(LOOKUP(Semidetached!V$2,'Window-U'!$A$4:$A$40,'Window-U'!$R$4:$R$40)*Semidetached!V$22))*V37</f>
        <v>337.94069254533053</v>
      </c>
      <c r="W43" s="174">
        <f>((LOOKUP(Semidetached!W$2,'Ceiling-U'!$A$4:$A$40,'Ceiling-U'!$J$4:$J$40)*Semidetached!W$15)+(LOOKUP(Semidetached!W$2,'Floor-U'!$A$4:$A$40,'Floor-U'!$J$4:$J$40)*Semidetached!W$16)+(LOOKUP(Semidetached!W$2,'Wall-U'!$A$4:$A$40,'Wall-U'!$J$4:$J$40)*Semidetached!W$13)+(LOOKUP(Semidetached!W$2,'Window-U'!$A$4:$A$40,'Window-U'!$R$4:$R$40)*Semidetached!W$22))*W37</f>
        <v>293.42430726189775</v>
      </c>
      <c r="X43" s="174">
        <f>((LOOKUP(Semidetached!X$2,'Ceiling-U'!$A$4:$A$40,'Ceiling-U'!$J$4:$J$40)*Semidetached!X$15)+(LOOKUP(Semidetached!X$2,'Floor-U'!$A$4:$A$40,'Floor-U'!$J$4:$J$40)*Semidetached!X$16)+(LOOKUP(Semidetached!X$2,'Wall-U'!$A$4:$A$40,'Wall-U'!$J$4:$J$40)*Semidetached!X$13)+(LOOKUP(Semidetached!X$2,'Window-U'!$A$4:$A$40,'Window-U'!$R$4:$R$40)*Semidetached!X$22))*X37</f>
        <v>307.58462854061167</v>
      </c>
      <c r="Y43" s="174">
        <f>((LOOKUP(Semidetached!Y$2,'Ceiling-U'!$A$4:$A$40,'Ceiling-U'!$J$4:$J$40)*Semidetached!Y$15)+(LOOKUP(Semidetached!Y$2,'Floor-U'!$A$4:$A$40,'Floor-U'!$J$4:$J$40)*Semidetached!Y$16)+(LOOKUP(Semidetached!Y$2,'Wall-U'!$A$4:$A$40,'Wall-U'!$J$4:$J$40)*Semidetached!Y$13)+(LOOKUP(Semidetached!Y$2,'Window-U'!$A$4:$A$40,'Window-U'!$R$4:$R$40)*Semidetached!Y$22))*Y37</f>
        <v>2137.02303149212</v>
      </c>
      <c r="Z43" s="174">
        <f>((LOOKUP(Semidetached!Z$2,'Ceiling-U'!$A$4:$A$40,'Ceiling-U'!$J$4:$J$40)*Semidetached!Z$15)+(LOOKUP(Semidetached!Z$2,'Floor-U'!$A$4:$A$40,'Floor-U'!$J$4:$J$40)*Semidetached!Z$16)+(LOOKUP(Semidetached!Z$2,'Wall-U'!$A$4:$A$40,'Wall-U'!$J$4:$J$40)*Semidetached!Z$13)+(LOOKUP(Semidetached!Z$2,'Window-U'!$A$4:$A$40,'Window-U'!$R$4:$R$40)*Semidetached!Z$22))*Z37</f>
        <v>613.60017748987207</v>
      </c>
      <c r="AA43" s="174">
        <f>((LOOKUP(Semidetached!AA$2,'Ceiling-U'!$A$4:$A$40,'Ceiling-U'!$J$4:$J$40)*Semidetached!AA$15)+(LOOKUP(Semidetached!AA$2,'Floor-U'!$A$4:$A$40,'Floor-U'!$J$4:$J$40)*Semidetached!AA$16)+(LOOKUP(Semidetached!AA$2,'Wall-U'!$A$4:$A$40,'Wall-U'!$J$4:$J$40)*Semidetached!AA$13)+(LOOKUP(Semidetached!AA$2,'Window-U'!$A$4:$A$40,'Window-U'!$R$4:$R$40)*Semidetached!AA$22))*AA37</f>
        <v>316.62695034589444</v>
      </c>
      <c r="AB43" s="174">
        <f>((LOOKUP(Semidetached!AB$2,'Ceiling-U'!$A$4:$A$40,'Ceiling-U'!$J$4:$J$40)*Semidetached!AB$15)+(LOOKUP(Semidetached!AB$2,'Floor-U'!$A$4:$A$40,'Floor-U'!$J$4:$J$40)*Semidetached!AB$16)+(LOOKUP(Semidetached!AB$2,'Wall-U'!$A$4:$A$40,'Wall-U'!$J$4:$J$40)*Semidetached!AB$13)+(LOOKUP(Semidetached!AB$2,'Window-U'!$A$4:$A$40,'Window-U'!$R$4:$R$40)*Semidetached!AB$22))*AB37</f>
        <v>619.3130257811406</v>
      </c>
      <c r="AC43" s="174">
        <f>((LOOKUP(Semidetached!AC$2,'Ceiling-U'!$A$4:$A$40,'Ceiling-U'!$J$4:$J$40)*Semidetached!AC$15)+(LOOKUP(Semidetached!AC$2,'Floor-U'!$A$4:$A$40,'Floor-U'!$J$4:$J$40)*Semidetached!AC$16)+(LOOKUP(Semidetached!AC$2,'Wall-U'!$A$4:$A$40,'Wall-U'!$J$4:$J$40)*Semidetached!AC$13)+(LOOKUP(Semidetached!AC$2,'Window-U'!$A$4:$A$40,'Window-U'!$R$4:$R$40)*Semidetached!AC$22))*AC37</f>
        <v>1381.7095378298256</v>
      </c>
      <c r="AD43" s="174">
        <f>((LOOKUP(Semidetached!AD$2,'Ceiling-U'!$A$4:$A$40,'Ceiling-U'!$J$4:$J$40)*Semidetached!AD$15)+(LOOKUP(Semidetached!AD$2,'Floor-U'!$A$4:$A$40,'Floor-U'!$J$4:$J$40)*Semidetached!AD$16)+(LOOKUP(Semidetached!AD$2,'Wall-U'!$A$4:$A$40,'Wall-U'!$J$4:$J$40)*Semidetached!AD$13)+(LOOKUP(Semidetached!AD$2,'Window-U'!$A$4:$A$40,'Window-U'!$R$4:$R$40)*Semidetached!AD$22))*AD37</f>
        <v>901.73756439291287</v>
      </c>
      <c r="AE43" s="174">
        <f>((LOOKUP(Semidetached!AE$2,'Ceiling-U'!$A$4:$A$40,'Ceiling-U'!$J$4:$J$40)*Semidetached!AE$15)+(LOOKUP(Semidetached!AE$2,'Floor-U'!$A$4:$A$40,'Floor-U'!$J$4:$J$40)*Semidetached!AE$16)+(LOOKUP(Semidetached!AE$2,'Wall-U'!$A$4:$A$40,'Wall-U'!$J$4:$J$40)*Semidetached!AE$13)+(LOOKUP(Semidetached!AE$2,'Window-U'!$A$4:$A$40,'Window-U'!$R$4:$R$40)*Semidetached!AE$22))*AE37</f>
        <v>312.19796124020058</v>
      </c>
      <c r="AF43" s="174">
        <f>((LOOKUP(Semidetached!AF$2,'Ceiling-U'!$A$4:$A$40,'Ceiling-U'!$J$4:$J$40)*Semidetached!AF$15)+(LOOKUP(Semidetached!AF$2,'Floor-U'!$A$4:$A$40,'Floor-U'!$J$4:$J$40)*Semidetached!AF$16)+(LOOKUP(Semidetached!AF$2,'Wall-U'!$A$4:$A$40,'Wall-U'!$J$4:$J$40)*Semidetached!AF$13)+(LOOKUP(Semidetached!AF$2,'Window-U'!$A$4:$A$40,'Window-U'!$R$4:$R$40)*Semidetached!AF$22))*AF37</f>
        <v>331.96922418327</v>
      </c>
      <c r="AG43" s="174">
        <f>((LOOKUP(Semidetached!AG$2,'Ceiling-U'!$A$4:$A$40,'Ceiling-U'!$J$4:$J$40)*Semidetached!AG$15)+(LOOKUP(Semidetached!AG$2,'Floor-U'!$A$4:$A$40,'Floor-U'!$J$4:$J$40)*Semidetached!AG$16)+(LOOKUP(Semidetached!AG$2,'Wall-U'!$A$4:$A$40,'Wall-U'!$J$4:$J$40)*Semidetached!AG$13)+(LOOKUP(Semidetached!AG$2,'Window-U'!$A$4:$A$40,'Window-U'!$R$4:$R$40)*Semidetached!AG$22))*AG37</f>
        <v>658.16068012944436</v>
      </c>
      <c r="AH43" s="174">
        <f>((LOOKUP(Semidetached!AH$2,'Ceiling-U'!$A$4:$A$40,'Ceiling-U'!$J$4:$J$40)*Semidetached!AH$15)+(LOOKUP(Semidetached!AH$2,'Floor-U'!$A$4:$A$40,'Floor-U'!$J$4:$J$40)*Semidetached!AH$16)+(LOOKUP(Semidetached!AH$2,'Wall-U'!$A$4:$A$40,'Wall-U'!$J$4:$J$40)*Semidetached!AH$13)+(LOOKUP(Semidetached!AH$2,'Window-U'!$A$4:$A$40,'Window-U'!$R$4:$R$40)*Semidetached!AH$22))*AH37</f>
        <v>437.81000140806429</v>
      </c>
      <c r="AI43" s="174">
        <f>((LOOKUP(Semidetached!AI$2,'Ceiling-U'!$A$4:$A$40,'Ceiling-U'!$J$4:$J$40)*Semidetached!AI$15)+(LOOKUP(Semidetached!AI$2,'Floor-U'!$A$4:$A$40,'Floor-U'!$J$4:$J$40)*Semidetached!AI$16)+(LOOKUP(Semidetached!AI$2,'Wall-U'!$A$4:$A$40,'Wall-U'!$J$4:$J$40)*Semidetached!AI$13)+(LOOKUP(Semidetached!AI$2,'Window-U'!$A$4:$A$40,'Window-U'!$R$4:$R$40)*Semidetached!AI$22))*AI37</f>
        <v>721.66168263042357</v>
      </c>
      <c r="AJ43" s="174">
        <f>((LOOKUP(Semidetached!AJ$2,'Ceiling-U'!$A$4:$A$40,'Ceiling-U'!$J$4:$J$40)*Semidetached!AJ$15)+(LOOKUP(Semidetached!AJ$2,'Floor-U'!$A$4:$A$40,'Floor-U'!$J$4:$J$40)*Semidetached!AJ$16)+(LOOKUP(Semidetached!AJ$2,'Wall-U'!$A$4:$A$40,'Wall-U'!$J$4:$J$40)*Semidetached!AJ$13)+(LOOKUP(Semidetached!AJ$2,'Window-U'!$A$4:$A$40,'Window-U'!$R$4:$R$40)*Semidetached!AJ$22))*AJ37</f>
        <v>709.26432944131329</v>
      </c>
      <c r="AK43" s="174">
        <f>((LOOKUP(Semidetached!AK$2,'Ceiling-U'!$A$4:$A$40,'Ceiling-U'!$J$4:$J$40)*Semidetached!AK$15)+(LOOKUP(Semidetached!AK$2,'Floor-U'!$A$4:$A$40,'Floor-U'!$J$4:$J$40)*Semidetached!AK$16)+(LOOKUP(Semidetached!AK$2,'Wall-U'!$A$4:$A$40,'Wall-U'!$J$4:$J$40)*Semidetached!AK$13)+(LOOKUP(Semidetached!AK$2,'Window-U'!$A$4:$A$40,'Window-U'!$R$4:$R$40)*Semidetached!AK$22))*AK37</f>
        <v>869.55526222845697</v>
      </c>
      <c r="AL43" s="174">
        <f>((LOOKUP(Semidetached!AL$2,'Ceiling-U'!$A$4:$A$40,'Ceiling-U'!$J$4:$J$40)*Semidetached!AL$15)+(LOOKUP(Semidetached!AL$2,'Floor-U'!$A$4:$A$40,'Floor-U'!$J$4:$J$40)*Semidetached!AL$16)+(LOOKUP(Semidetached!AL$2,'Wall-U'!$A$4:$A$40,'Wall-U'!$J$4:$J$40)*Semidetached!AL$13)+(LOOKUP(Semidetached!AL$2,'Window-U'!$A$4:$A$40,'Window-U'!$R$4:$R$40)*Semidetached!AL$22))*AL37</f>
        <v>419.26516278285942</v>
      </c>
      <c r="AM43" s="174">
        <f>((LOOKUP(Semidetached!AM$2,'Ceiling-U'!$A$4:$A$40,'Ceiling-U'!$J$4:$J$40)*Semidetached!AM$15)+(LOOKUP(Semidetached!AM$2,'Floor-U'!$A$4:$A$40,'Floor-U'!$J$4:$J$40)*Semidetached!AM$16)+(LOOKUP(Semidetached!AM$2,'Wall-U'!$A$4:$A$40,'Wall-U'!$J$4:$J$40)*Semidetached!AM$13)+(LOOKUP(Semidetached!AM$2,'Window-U'!$A$4:$A$40,'Window-U'!$R$4:$R$40)*Semidetached!AM$22))*AM37</f>
        <v>709.26432944131329</v>
      </c>
      <c r="AN43" s="175">
        <f>((LOOKUP(Semidetached!AN$2,'Ceiling-U'!$A$4:$A$40,'Ceiling-U'!$J$4:$J$40)*Semidetached!AN$15)+(LOOKUP(Semidetached!AN$2,'Floor-U'!$A$4:$A$40,'Floor-U'!$J$4:$J$40)*Semidetached!AN$16)+(LOOKUP(Semidetached!AN$2,'Wall-U'!$A$4:$A$40,'Wall-U'!$J$4:$J$40)*Semidetached!AN$13)+(LOOKUP(Semidetached!AN$2,'Window-U'!$A$4:$A$40,'Window-U'!$R$4:$R$40)*Semidetached!AN$22))*AN37</f>
        <v>709.26432944131329</v>
      </c>
    </row>
    <row r="44" spans="1:40">
      <c r="A44" s="332" t="s">
        <v>280</v>
      </c>
      <c r="B44" s="142" t="s">
        <v>2</v>
      </c>
      <c r="C44" s="360" t="s">
        <v>261</v>
      </c>
      <c r="D44" s="351">
        <f>D38*24*LOOKUP(Semidetached!D$2,'HDD-by Country'!$A$4:$A$40,'HDD-by Country'!$C$4:$C$40)/1000/Semidetached!D$3</f>
        <v>23891.385166729146</v>
      </c>
      <c r="E44" s="352">
        <f>E38*24*LOOKUP(Semidetached!E$2,'HDD-by Country'!$A$4:$A$40,'HDD-by Country'!$C$4:$C$40)/1000/Semidetached!E$3</f>
        <v>24185.391707288571</v>
      </c>
      <c r="F44" s="352">
        <f>F38*24*LOOKUP(Semidetached!F$2,'HDD-by Country'!$A$4:$A$40,'HDD-by Country'!$C$4:$C$40)/1000/Semidetached!F$3</f>
        <v>12103.076187139932</v>
      </c>
      <c r="G44" s="352">
        <f>G38*24*LOOKUP(Semidetached!G$2,'HDD-by Country'!$A$4:$A$40,'HDD-by Country'!$C$4:$C$40)/1000/Semidetached!G$3</f>
        <v>24063.727079618224</v>
      </c>
      <c r="H44" s="352">
        <f>H38*24*LOOKUP(Semidetached!H$2,'HDD-by Country'!$A$4:$A$40,'HDD-by Country'!$C$4:$C$40)/1000/Semidetached!H$3</f>
        <v>8933.7796545819328</v>
      </c>
      <c r="I44" s="352">
        <f>I38*24*LOOKUP(Semidetached!I$2,'HDD-by Country'!$A$4:$A$40,'HDD-by Country'!$C$4:$C$40)/1000/Semidetached!I$3</f>
        <v>17323.686266230143</v>
      </c>
      <c r="J44" s="352">
        <f>J38*24*LOOKUP(Semidetached!J$2,'HDD-by Country'!$A$4:$A$40,'HDD-by Country'!$C$4:$C$40)/1000/Semidetached!J$3</f>
        <v>25609.462314313318</v>
      </c>
      <c r="K44" s="352">
        <f>K38*24*LOOKUP(Semidetached!K$2,'HDD-by Country'!$A$4:$A$40,'HDD-by Country'!$C$4:$C$40)/1000/Semidetached!K$3</f>
        <v>14392.918398710115</v>
      </c>
      <c r="L44" s="352">
        <f>L38*24*LOOKUP(Semidetached!L$2,'HDD-by Country'!$A$4:$A$40,'HDD-by Country'!$C$4:$C$40)/1000/Semidetached!L$3</f>
        <v>9358.0077382087238</v>
      </c>
      <c r="M44" s="352">
        <f>M38*24*LOOKUP(Semidetached!M$2,'HDD-by Country'!$A$4:$A$40,'HDD-by Country'!$C$4:$C$40)/1000/Semidetached!M$3</f>
        <v>21379.531982767323</v>
      </c>
      <c r="N44" s="352">
        <f>N38*24*LOOKUP(Semidetached!N$2,'HDD-by Country'!$A$4:$A$40,'HDD-by Country'!$C$4:$C$40)/1000/Semidetached!N$3</f>
        <v>15958.990493488631</v>
      </c>
      <c r="O44" s="352">
        <f>O38*24*LOOKUP(Semidetached!O$2,'HDD-by Country'!$A$4:$A$40,'HDD-by Country'!$C$4:$C$40)/1000/Semidetached!O$3</f>
        <v>28753.569243523889</v>
      </c>
      <c r="P44" s="352">
        <f>P38*24*LOOKUP(Semidetached!P$2,'HDD-by Country'!$A$4:$A$40,'HDD-by Country'!$C$4:$C$40)/1000/Semidetached!P$3</f>
        <v>18831.712167886883</v>
      </c>
      <c r="Q44" s="352">
        <f>Q38*24*LOOKUP(Semidetached!Q$2,'HDD-by Country'!$A$4:$A$40,'HDD-by Country'!$C$4:$C$40)/1000/Semidetached!Q$3</f>
        <v>10366.672521013748</v>
      </c>
      <c r="R44" s="352">
        <f>R38*24*LOOKUP(Semidetached!R$2,'HDD-by Country'!$A$4:$A$40,'HDD-by Country'!$C$4:$C$40)/1000/Semidetached!R$3</f>
        <v>16605.24415911992</v>
      </c>
      <c r="S44" s="352">
        <f>S38*24*LOOKUP(Semidetached!S$2,'HDD-by Country'!$A$4:$A$40,'HDD-by Country'!$C$4:$C$40)/1000/Semidetached!S$3</f>
        <v>24993.70346509937</v>
      </c>
      <c r="T44" s="352">
        <f>T38*24*LOOKUP(Semidetached!T$2,'HDD-by Country'!$A$4:$A$40,'HDD-by Country'!$C$4:$C$40)/1000/Semidetached!T$3</f>
        <v>13680.618663413012</v>
      </c>
      <c r="U44" s="352">
        <f>U38*24*LOOKUP(Semidetached!U$2,'HDD-by Country'!$A$4:$A$40,'HDD-by Country'!$C$4:$C$40)/1000/Semidetached!U$3</f>
        <v>18494.809283713748</v>
      </c>
      <c r="V44" s="352">
        <f>V38*24*LOOKUP(Semidetached!V$2,'HDD-by Country'!$A$4:$A$40,'HDD-by Country'!$C$4:$C$40)/1000/Semidetached!V$3</f>
        <v>17494.962520554476</v>
      </c>
      <c r="W44" s="352">
        <f>W38*24*LOOKUP(Semidetached!W$2,'HDD-by Country'!$A$4:$A$40,'HDD-by Country'!$C$4:$C$40)/1000/Semidetached!W$3</f>
        <v>18525.431073832373</v>
      </c>
      <c r="X44" s="352">
        <f>X38*24*LOOKUP(Semidetached!X$2,'HDD-by Country'!$A$4:$A$40,'HDD-by Country'!$C$4:$C$40)/1000/Semidetached!X$3</f>
        <v>19419.293314294431</v>
      </c>
      <c r="Y44" s="352">
        <f>Y38*24*LOOKUP(Semidetached!Y$2,'HDD-by Country'!$A$4:$A$40,'HDD-by Country'!$C$4:$C$40)/1000/Semidetached!Y$3</f>
        <v>7141.4309587923099</v>
      </c>
      <c r="Z44" s="352">
        <f>Z38*24*LOOKUP(Semidetached!Z$2,'HDD-by Country'!$A$4:$A$40,'HDD-by Country'!$C$4:$C$40)/1000/Semidetached!Z$3</f>
        <v>28327.055794474702</v>
      </c>
      <c r="AA44" s="352">
        <f>AA38*24*LOOKUP(Semidetached!AA$2,'HDD-by Country'!$A$4:$A$40,'HDD-by Country'!$C$4:$C$40)/1000/Semidetached!AA$3</f>
        <v>13683.867472453485</v>
      </c>
      <c r="AB44" s="352">
        <f>AB38*24*LOOKUP(Semidetached!AB$2,'HDD-by Country'!$A$4:$A$40,'HDD-by Country'!$C$4:$C$40)/1000/Semidetached!AB$3</f>
        <v>25711.086528667071</v>
      </c>
      <c r="AC44" s="352">
        <f>AC38*24*LOOKUP(Semidetached!AC$2,'HDD-by Country'!$A$4:$A$40,'HDD-by Country'!$C$4:$C$40)/1000/Semidetached!AC$3</f>
        <v>14694.094588212296</v>
      </c>
      <c r="AD44" s="352">
        <f>AD38*24*LOOKUP(Semidetached!AD$2,'HDD-by Country'!$A$4:$A$40,'HDD-by Country'!$C$4:$C$40)/1000/Semidetached!AD$3</f>
        <v>18669.464201293478</v>
      </c>
      <c r="AE44" s="352">
        <f>AE38*24*LOOKUP(Semidetached!AE$2,'HDD-by Country'!$A$4:$A$40,'HDD-by Country'!$C$4:$C$40)/1000/Semidetached!AE$3</f>
        <v>12983.13619527228</v>
      </c>
      <c r="AF44" s="352">
        <f>AF38*24*LOOKUP(Semidetached!AF$2,'HDD-by Country'!$A$4:$A$40,'HDD-by Country'!$C$4:$C$40)/1000/Semidetached!AF$3</f>
        <v>16758.015861282398</v>
      </c>
      <c r="AG44" s="352">
        <f>AG38*24*LOOKUP(Semidetached!AG$2,'HDD-by Country'!$A$4:$A$40,'HDD-by Country'!$C$4:$C$40)/1000/Semidetached!AG$3</f>
        <v>25897.590936769586</v>
      </c>
      <c r="AH44" s="352">
        <f>AH38*24*LOOKUP(Semidetached!AH$2,'HDD-by Country'!$A$4:$A$40,'HDD-by Country'!$C$4:$C$40)/1000/Semidetached!AH$3</f>
        <v>21485.108418310396</v>
      </c>
      <c r="AI44" s="352">
        <f>AI38*24*LOOKUP(Semidetached!AI$2,'HDD-by Country'!$A$4:$A$40,'HDD-by Country'!$C$4:$C$40)/1000/Semidetached!AI$3</f>
        <v>18280.198483983873</v>
      </c>
      <c r="AJ44" s="352">
        <f>AJ38*24*LOOKUP(Semidetached!AJ$2,'HDD-by Country'!$A$4:$A$40,'HDD-by Country'!$C$4:$C$40)/1000/Semidetached!AJ$3</f>
        <v>12509.842451275283</v>
      </c>
      <c r="AK44" s="352">
        <f>AK38*24*LOOKUP(Semidetached!AK$2,'HDD-by Country'!$A$4:$A$40,'HDD-by Country'!$C$4:$C$40)/1000/Semidetached!AK$3</f>
        <v>13729.813050743789</v>
      </c>
      <c r="AL44" s="352">
        <f>AL38*24*LOOKUP(Semidetached!AL$2,'HDD-by Country'!$A$4:$A$40,'HDD-by Country'!$C$4:$C$40)/1000/Semidetached!AL$3</f>
        <v>12765.312660924976</v>
      </c>
      <c r="AM44" s="352">
        <f>AM38*24*LOOKUP(Semidetached!AM$2,'HDD-by Country'!$A$4:$A$40,'HDD-by Country'!$C$4:$C$40)/1000/Semidetached!AM$3</f>
        <v>11503.746292462929</v>
      </c>
      <c r="AN44" s="353">
        <f>AN38*24*LOOKUP(Semidetached!AN$2,'HDD-by Country'!$A$4:$A$40,'HDD-by Country'!$C$4:$C$40)/1000/Semidetached!AN$3</f>
        <v>11503.746292462929</v>
      </c>
    </row>
    <row r="45" spans="1:40">
      <c r="A45" s="129"/>
      <c r="B45" s="142" t="s">
        <v>3</v>
      </c>
      <c r="C45" s="129" t="s">
        <v>261</v>
      </c>
      <c r="D45" s="345">
        <f>D39*24*LOOKUP(Semidetached!D$2,'HDD-by Country'!$A$4:$A$40,'HDD-by Country'!$C$4:$C$40)/1000/Semidetached!D$3</f>
        <v>22145.004211598032</v>
      </c>
      <c r="E45" s="349">
        <f>E39*24*LOOKUP(Semidetached!E$2,'HDD-by Country'!$A$4:$A$40,'HDD-by Country'!$C$4:$C$40)/1000/Semidetached!E$3</f>
        <v>24185.391707288571</v>
      </c>
      <c r="F45" s="349">
        <f>F39*24*LOOKUP(Semidetached!F$2,'HDD-by Country'!$A$4:$A$40,'HDD-by Country'!$C$4:$C$40)/1000/Semidetached!F$3</f>
        <v>12103.076187139932</v>
      </c>
      <c r="G45" s="349">
        <f>G39*24*LOOKUP(Semidetached!G$2,'HDD-by Country'!$A$4:$A$40,'HDD-by Country'!$C$4:$C$40)/1000/Semidetached!G$3</f>
        <v>22327.010485951731</v>
      </c>
      <c r="H45" s="349">
        <f>H39*24*LOOKUP(Semidetached!H$2,'HDD-by Country'!$A$4:$A$40,'HDD-by Country'!$C$4:$C$40)/1000/Semidetached!H$3</f>
        <v>8398.5536240463516</v>
      </c>
      <c r="I45" s="349">
        <f>I39*24*LOOKUP(Semidetached!I$2,'HDD-by Country'!$A$4:$A$40,'HDD-by Country'!$C$4:$C$40)/1000/Semidetached!I$3</f>
        <v>13508.9771431311</v>
      </c>
      <c r="J45" s="349">
        <f>J39*24*LOOKUP(Semidetached!J$2,'HDD-by Country'!$A$4:$A$40,'HDD-by Country'!$C$4:$C$40)/1000/Semidetached!J$3</f>
        <v>22725.635665633894</v>
      </c>
      <c r="K45" s="349">
        <f>K39*24*LOOKUP(Semidetached!K$2,'HDD-by Country'!$A$4:$A$40,'HDD-by Country'!$C$4:$C$40)/1000/Semidetached!K$3</f>
        <v>13755.464373327055</v>
      </c>
      <c r="L45" s="349">
        <f>L39*24*LOOKUP(Semidetached!L$2,'HDD-by Country'!$A$4:$A$40,'HDD-by Country'!$C$4:$C$40)/1000/Semidetached!L$3</f>
        <v>9358.0077382087238</v>
      </c>
      <c r="M45" s="349">
        <f>M39*24*LOOKUP(Semidetached!M$2,'HDD-by Country'!$A$4:$A$40,'HDD-by Country'!$C$4:$C$40)/1000/Semidetached!M$3</f>
        <v>18851.435209244511</v>
      </c>
      <c r="N45" s="349">
        <f>N39*24*LOOKUP(Semidetached!N$2,'HDD-by Country'!$A$4:$A$40,'HDD-by Country'!$C$4:$C$40)/1000/Semidetached!N$3</f>
        <v>14054.750725266798</v>
      </c>
      <c r="O45" s="349">
        <f>O39*24*LOOKUP(Semidetached!O$2,'HDD-by Country'!$A$4:$A$40,'HDD-by Country'!$C$4:$C$40)/1000/Semidetached!O$3</f>
        <v>28753.569243523889</v>
      </c>
      <c r="P45" s="349">
        <f>P39*24*LOOKUP(Semidetached!P$2,'HDD-by Country'!$A$4:$A$40,'HDD-by Country'!$C$4:$C$40)/1000/Semidetached!P$3</f>
        <v>18831.712167886883</v>
      </c>
      <c r="Q45" s="349">
        <f>Q39*24*LOOKUP(Semidetached!Q$2,'HDD-by Country'!$A$4:$A$40,'HDD-by Country'!$C$4:$C$40)/1000/Semidetached!Q$3</f>
        <v>11111.4652644873</v>
      </c>
      <c r="R45" s="349">
        <f>R39*24*LOOKUP(Semidetached!R$2,'HDD-by Country'!$A$4:$A$40,'HDD-by Country'!$C$4:$C$40)/1000/Semidetached!R$3</f>
        <v>16605.24415911992</v>
      </c>
      <c r="S45" s="349">
        <f>S39*24*LOOKUP(Semidetached!S$2,'HDD-by Country'!$A$4:$A$40,'HDD-by Country'!$C$4:$C$40)/1000/Semidetached!S$3</f>
        <v>25537.823740020744</v>
      </c>
      <c r="T45" s="349">
        <f>T39*24*LOOKUP(Semidetached!T$2,'HDD-by Country'!$A$4:$A$40,'HDD-by Country'!$C$4:$C$40)/1000/Semidetached!T$3</f>
        <v>12044.091272750577</v>
      </c>
      <c r="U45" s="349">
        <f>U39*24*LOOKUP(Semidetached!U$2,'HDD-by Country'!$A$4:$A$40,'HDD-by Country'!$C$4:$C$40)/1000/Semidetached!U$3</f>
        <v>17378.525984239615</v>
      </c>
      <c r="V45" s="349">
        <f>V39*24*LOOKUP(Semidetached!V$2,'HDD-by Country'!$A$4:$A$40,'HDD-by Country'!$C$4:$C$40)/1000/Semidetached!V$3</f>
        <v>17494.962520554476</v>
      </c>
      <c r="W45" s="349">
        <f>W39*24*LOOKUP(Semidetached!W$2,'HDD-by Country'!$A$4:$A$40,'HDD-by Country'!$C$4:$C$40)/1000/Semidetached!W$3</f>
        <v>19151.77175645734</v>
      </c>
      <c r="X45" s="349">
        <f>X39*24*LOOKUP(Semidetached!X$2,'HDD-by Country'!$A$4:$A$40,'HDD-by Country'!$C$4:$C$40)/1000/Semidetached!X$3</f>
        <v>19419.293314294431</v>
      </c>
      <c r="Y45" s="349">
        <f>Y39*24*LOOKUP(Semidetached!Y$2,'HDD-by Country'!$A$4:$A$40,'HDD-by Country'!$C$4:$C$40)/1000/Semidetached!Y$3</f>
        <v>7126.2888016875586</v>
      </c>
      <c r="Z45" s="349">
        <f>Z39*24*LOOKUP(Semidetached!Z$2,'HDD-by Country'!$A$4:$A$40,'HDD-by Country'!$C$4:$C$40)/1000/Semidetached!Z$3</f>
        <v>21558.16165574305</v>
      </c>
      <c r="AA45" s="349">
        <f>AA39*24*LOOKUP(Semidetached!AA$2,'HDD-by Country'!$A$4:$A$40,'HDD-by Country'!$C$4:$C$40)/1000/Semidetached!AA$3</f>
        <v>13683.867472453485</v>
      </c>
      <c r="AB45" s="349">
        <f>AB39*24*LOOKUP(Semidetached!AB$2,'HDD-by Country'!$A$4:$A$40,'HDD-by Country'!$C$4:$C$40)/1000/Semidetached!AB$3</f>
        <v>17798.780232899928</v>
      </c>
      <c r="AC45" s="349">
        <f>AC39*24*LOOKUP(Semidetached!AC$2,'HDD-by Country'!$A$4:$A$40,'HDD-by Country'!$C$4:$C$40)/1000/Semidetached!AC$3</f>
        <v>13294.827854662277</v>
      </c>
      <c r="AD45" s="349">
        <f>AD39*24*LOOKUP(Semidetached!AD$2,'HDD-by Country'!$A$4:$A$40,'HDD-by Country'!$C$4:$C$40)/1000/Semidetached!AD$3</f>
        <v>16640.079575440734</v>
      </c>
      <c r="AE45" s="349">
        <f>AE39*24*LOOKUP(Semidetached!AE$2,'HDD-by Country'!$A$4:$A$40,'HDD-by Country'!$C$4:$C$40)/1000/Semidetached!AE$3</f>
        <v>12983.13619527228</v>
      </c>
      <c r="AF45" s="349">
        <f>AF39*24*LOOKUP(Semidetached!AF$2,'HDD-by Country'!$A$4:$A$40,'HDD-by Country'!$C$4:$C$40)/1000/Semidetached!AF$3</f>
        <v>16758.015861282398</v>
      </c>
      <c r="AG45" s="349">
        <f>AG39*24*LOOKUP(Semidetached!AG$2,'HDD-by Country'!$A$4:$A$40,'HDD-by Country'!$C$4:$C$40)/1000/Semidetached!AG$3</f>
        <v>20971.66106941567</v>
      </c>
      <c r="AH45" s="349">
        <f>AH39*24*LOOKUP(Semidetached!AH$2,'HDD-by Country'!$A$4:$A$40,'HDD-by Country'!$C$4:$C$40)/1000/Semidetached!AH$3</f>
        <v>22871.444131259337</v>
      </c>
      <c r="AI45" s="349">
        <f>AI39*24*LOOKUP(Semidetached!AI$2,'HDD-by Country'!$A$4:$A$40,'HDD-by Country'!$C$4:$C$40)/1000/Semidetached!AI$3</f>
        <v>18280.198483983873</v>
      </c>
      <c r="AJ45" s="349">
        <f>AJ39*24*LOOKUP(Semidetached!AJ$2,'HDD-by Country'!$A$4:$A$40,'HDD-by Country'!$C$4:$C$40)/1000/Semidetached!AJ$3</f>
        <v>12509.842451275283</v>
      </c>
      <c r="AK45" s="349">
        <f>AK39*24*LOOKUP(Semidetached!AK$2,'HDD-by Country'!$A$4:$A$40,'HDD-by Country'!$C$4:$C$40)/1000/Semidetached!AK$3</f>
        <v>13729.813050743789</v>
      </c>
      <c r="AL45" s="349">
        <f>AL39*24*LOOKUP(Semidetached!AL$2,'HDD-by Country'!$A$4:$A$40,'HDD-by Country'!$C$4:$C$40)/1000/Semidetached!AL$3</f>
        <v>12765.312660924976</v>
      </c>
      <c r="AM45" s="349">
        <f>AM39*24*LOOKUP(Semidetached!AM$2,'HDD-by Country'!$A$4:$A$40,'HDD-by Country'!$C$4:$C$40)/1000/Semidetached!AM$3</f>
        <v>11503.746292462929</v>
      </c>
      <c r="AN45" s="354">
        <f>AN39*24*LOOKUP(Semidetached!AN$2,'HDD-by Country'!$A$4:$A$40,'HDD-by Country'!$C$4:$C$40)/1000/Semidetached!AN$3</f>
        <v>11503.746292462929</v>
      </c>
    </row>
    <row r="46" spans="1:40">
      <c r="A46" s="129"/>
      <c r="B46" s="142" t="s">
        <v>4</v>
      </c>
      <c r="C46" s="129" t="s">
        <v>261</v>
      </c>
      <c r="D46" s="345">
        <f>D40*24*LOOKUP(Semidetached!D$2,'HDD-by Country'!$A$4:$A$40,'HDD-by Country'!$C$4:$C$40)/1000/Semidetached!D$3</f>
        <v>16614.994262141783</v>
      </c>
      <c r="E46" s="349">
        <f>E40*24*LOOKUP(Semidetached!E$2,'HDD-by Country'!$A$4:$A$40,'HDD-by Country'!$C$4:$C$40)/1000/Semidetached!E$3</f>
        <v>24185.391707288571</v>
      </c>
      <c r="F46" s="349">
        <f>F40*24*LOOKUP(Semidetached!F$2,'HDD-by Country'!$A$4:$A$40,'HDD-by Country'!$C$4:$C$40)/1000/Semidetached!F$3</f>
        <v>11237.018611045392</v>
      </c>
      <c r="G46" s="349">
        <f>G40*24*LOOKUP(Semidetached!G$2,'HDD-by Country'!$A$4:$A$40,'HDD-by Country'!$C$4:$C$40)/1000/Semidetached!G$3</f>
        <v>16729.245245348986</v>
      </c>
      <c r="H46" s="349">
        <f>H40*24*LOOKUP(Semidetached!H$2,'HDD-by Country'!$A$4:$A$40,'HDD-by Country'!$C$4:$C$40)/1000/Semidetached!H$3</f>
        <v>7863.3275935107704</v>
      </c>
      <c r="I46" s="349">
        <f>I40*24*LOOKUP(Semidetached!I$2,'HDD-by Country'!$A$4:$A$40,'HDD-by Country'!$C$4:$C$40)/1000/Semidetached!I$3</f>
        <v>13508.9771431311</v>
      </c>
      <c r="J46" s="349">
        <f>J40*24*LOOKUP(Semidetached!J$2,'HDD-by Country'!$A$4:$A$40,'HDD-by Country'!$C$4:$C$40)/1000/Semidetached!J$3</f>
        <v>12622.899139928544</v>
      </c>
      <c r="K46" s="349">
        <f>K40*24*LOOKUP(Semidetached!K$2,'HDD-by Country'!$A$4:$A$40,'HDD-by Country'!$C$4:$C$40)/1000/Semidetached!K$3</f>
        <v>8317.4550688754262</v>
      </c>
      <c r="L46" s="349">
        <f>L40*24*LOOKUP(Semidetached!L$2,'HDD-by Country'!$A$4:$A$40,'HDD-by Country'!$C$4:$C$40)/1000/Semidetached!L$3</f>
        <v>7281.9346047173813</v>
      </c>
      <c r="M46" s="349">
        <f>M40*24*LOOKUP(Semidetached!M$2,'HDD-by Country'!$A$4:$A$40,'HDD-by Country'!$C$4:$C$40)/1000/Semidetached!M$3</f>
        <v>18851.435209244511</v>
      </c>
      <c r="N46" s="349">
        <f>N40*24*LOOKUP(Semidetached!N$2,'HDD-by Country'!$A$4:$A$40,'HDD-by Country'!$C$4:$C$40)/1000/Semidetached!N$3</f>
        <v>11150.815185791651</v>
      </c>
      <c r="O46" s="349">
        <f>O40*24*LOOKUP(Semidetached!O$2,'HDD-by Country'!$A$4:$A$40,'HDD-by Country'!$C$4:$C$40)/1000/Semidetached!O$3</f>
        <v>10917.632596924432</v>
      </c>
      <c r="P46" s="349">
        <f>P40*24*LOOKUP(Semidetached!P$2,'HDD-by Country'!$A$4:$A$40,'HDD-by Country'!$C$4:$C$40)/1000/Semidetached!P$3</f>
        <v>18831.712167886883</v>
      </c>
      <c r="Q46" s="349">
        <f>Q40*24*LOOKUP(Semidetached!Q$2,'HDD-by Country'!$A$4:$A$40,'HDD-by Country'!$C$4:$C$40)/1000/Semidetached!Q$3</f>
        <v>10406.454980602384</v>
      </c>
      <c r="R46" s="349">
        <f>R40*24*LOOKUP(Semidetached!R$2,'HDD-by Country'!$A$4:$A$40,'HDD-by Country'!$C$4:$C$40)/1000/Semidetached!R$3</f>
        <v>14034.729494961932</v>
      </c>
      <c r="S46" s="349">
        <f>S40*24*LOOKUP(Semidetached!S$2,'HDD-by Country'!$A$4:$A$40,'HDD-by Country'!$C$4:$C$40)/1000/Semidetached!S$3</f>
        <v>20192.950094544616</v>
      </c>
      <c r="T46" s="349">
        <f>T40*24*LOOKUP(Semidetached!T$2,'HDD-by Country'!$A$4:$A$40,'HDD-by Country'!$C$4:$C$40)/1000/Semidetached!T$3</f>
        <v>9553.2063842124408</v>
      </c>
      <c r="U46" s="349">
        <f>U40*24*LOOKUP(Semidetached!U$2,'HDD-by Country'!$A$4:$A$40,'HDD-by Country'!$C$4:$C$40)/1000/Semidetached!U$3</f>
        <v>16462.058887305277</v>
      </c>
      <c r="V46" s="349">
        <f>V40*24*LOOKUP(Semidetached!V$2,'HDD-by Country'!$A$4:$A$40,'HDD-by Country'!$C$4:$C$40)/1000/Semidetached!V$3</f>
        <v>10506.839655557822</v>
      </c>
      <c r="W46" s="349">
        <f>W40*24*LOOKUP(Semidetached!W$2,'HDD-by Country'!$A$4:$A$40,'HDD-by Country'!$C$4:$C$40)/1000/Semidetached!W$3</f>
        <v>9211.7426281704029</v>
      </c>
      <c r="X46" s="349">
        <f>X40*24*LOOKUP(Semidetached!X$2,'HDD-by Country'!$A$4:$A$40,'HDD-by Country'!$C$4:$C$40)/1000/Semidetached!X$3</f>
        <v>17679.828940348303</v>
      </c>
      <c r="Y46" s="349">
        <f>Y40*24*LOOKUP(Semidetached!Y$2,'HDD-by Country'!$A$4:$A$40,'HDD-by Country'!$C$4:$C$40)/1000/Semidetached!Y$3</f>
        <v>5888.6413444915406</v>
      </c>
      <c r="Z46" s="349">
        <f>Z40*24*LOOKUP(Semidetached!Z$2,'HDD-by Country'!$A$4:$A$40,'HDD-by Country'!$C$4:$C$40)/1000/Semidetached!Z$3</f>
        <v>20486.086108123356</v>
      </c>
      <c r="AA46" s="349">
        <f>AA40*24*LOOKUP(Semidetached!AA$2,'HDD-by Country'!$A$4:$A$40,'HDD-by Country'!$C$4:$C$40)/1000/Semidetached!AA$3</f>
        <v>8291.9610371812723</v>
      </c>
      <c r="AB46" s="349">
        <f>AB40*24*LOOKUP(Semidetached!AB$2,'HDD-by Country'!$A$4:$A$40,'HDD-by Country'!$C$4:$C$40)/1000/Semidetached!AB$3</f>
        <v>12076.191678937352</v>
      </c>
      <c r="AC46" s="349">
        <f>AC40*24*LOOKUP(Semidetached!AC$2,'HDD-by Country'!$A$4:$A$40,'HDD-by Country'!$C$4:$C$40)/1000/Semidetached!AC$3</f>
        <v>12949.776764501788</v>
      </c>
      <c r="AD46" s="349">
        <f>AD40*24*LOOKUP(Semidetached!AD$2,'HDD-by Country'!$A$4:$A$40,'HDD-by Country'!$C$4:$C$40)/1000/Semidetached!AD$3</f>
        <v>16640.079575440734</v>
      </c>
      <c r="AE46" s="349">
        <f>AE40*24*LOOKUP(Semidetached!AE$2,'HDD-by Country'!$A$4:$A$40,'HDD-by Country'!$C$4:$C$40)/1000/Semidetached!AE$3</f>
        <v>7881.2252392740074</v>
      </c>
      <c r="AF46" s="349">
        <f>AF40*24*LOOKUP(Semidetached!AF$2,'HDD-by Country'!$A$4:$A$40,'HDD-by Country'!$C$4:$C$40)/1000/Semidetached!AF$3</f>
        <v>15137.646806862513</v>
      </c>
      <c r="AG46" s="349">
        <f>AG40*24*LOOKUP(Semidetached!AG$2,'HDD-by Country'!$A$4:$A$40,'HDD-by Country'!$C$4:$C$40)/1000/Semidetached!AG$3</f>
        <v>20971.66106941567</v>
      </c>
      <c r="AH46" s="349">
        <f>AH40*24*LOOKUP(Semidetached!AH$2,'HDD-by Country'!$A$4:$A$40,'HDD-by Country'!$C$4:$C$40)/1000/Semidetached!AH$3</f>
        <v>16565.41990131736</v>
      </c>
      <c r="AI46" s="349">
        <f>AI40*24*LOOKUP(Semidetached!AI$2,'HDD-by Country'!$A$4:$A$40,'HDD-by Country'!$C$4:$C$40)/1000/Semidetached!AI$3</f>
        <v>18280.198483983873</v>
      </c>
      <c r="AJ46" s="349">
        <f>AJ40*24*LOOKUP(Semidetached!AJ$2,'HDD-by Country'!$A$4:$A$40,'HDD-by Country'!$C$4:$C$40)/1000/Semidetached!AJ$3</f>
        <v>12509.842451275283</v>
      </c>
      <c r="AK46" s="349">
        <f>AK40*24*LOOKUP(Semidetached!AK$2,'HDD-by Country'!$A$4:$A$40,'HDD-by Country'!$C$4:$C$40)/1000/Semidetached!AK$3</f>
        <v>13729.813050743789</v>
      </c>
      <c r="AL46" s="349">
        <f>AL40*24*LOOKUP(Semidetached!AL$2,'HDD-by Country'!$A$4:$A$40,'HDD-by Country'!$C$4:$C$40)/1000/Semidetached!AL$3</f>
        <v>11846.857449826135</v>
      </c>
      <c r="AM46" s="349">
        <f>AM40*24*LOOKUP(Semidetached!AM$2,'HDD-by Country'!$A$4:$A$40,'HDD-by Country'!$C$4:$C$40)/1000/Semidetached!AM$3</f>
        <v>11503.746292462929</v>
      </c>
      <c r="AN46" s="354">
        <f>AN40*24*LOOKUP(Semidetached!AN$2,'HDD-by Country'!$A$4:$A$40,'HDD-by Country'!$C$4:$C$40)/1000/Semidetached!AN$3</f>
        <v>11503.746292462929</v>
      </c>
    </row>
    <row r="47" spans="1:40">
      <c r="A47" s="129"/>
      <c r="B47" s="142" t="s">
        <v>5</v>
      </c>
      <c r="C47" s="129" t="s">
        <v>261</v>
      </c>
      <c r="D47" s="345">
        <f>D41*24*LOOKUP(Semidetached!D$2,'HDD-by Country'!$A$4:$A$40,'HDD-by Country'!$C$4:$C$40)/1000/Semidetached!D$3</f>
        <v>10740.01803772739</v>
      </c>
      <c r="E47" s="349">
        <f>E41*24*LOOKUP(Semidetached!E$2,'HDD-by Country'!$A$4:$A$40,'HDD-by Country'!$C$4:$C$40)/1000/Semidetached!E$3</f>
        <v>19668.49006550678</v>
      </c>
      <c r="F47" s="349">
        <f>F41*24*LOOKUP(Semidetached!F$2,'HDD-by Country'!$A$4:$A$40,'HDD-by Country'!$C$4:$C$40)/1000/Semidetached!F$3</f>
        <v>9297.7555323288343</v>
      </c>
      <c r="G47" s="349">
        <f>G41*24*LOOKUP(Semidetached!G$2,'HDD-by Country'!$A$4:$A$40,'HDD-by Country'!$C$4:$C$40)/1000/Semidetached!G$3</f>
        <v>10791.836489662533</v>
      </c>
      <c r="H47" s="349">
        <f>H41*24*LOOKUP(Semidetached!H$2,'HDD-by Country'!$A$4:$A$40,'HDD-by Country'!$C$4:$C$40)/1000/Semidetached!H$3</f>
        <v>7527.1003885938308</v>
      </c>
      <c r="I47" s="349">
        <f>I41*24*LOOKUP(Semidetached!I$2,'HDD-by Country'!$A$4:$A$40,'HDD-by Country'!$C$4:$C$40)/1000/Semidetached!I$3</f>
        <v>11577.439734492167</v>
      </c>
      <c r="J47" s="349">
        <f>J41*24*LOOKUP(Semidetached!J$2,'HDD-by Country'!$A$4:$A$40,'HDD-by Country'!$C$4:$C$40)/1000/Semidetached!J$3</f>
        <v>9172.4471598409818</v>
      </c>
      <c r="K47" s="349">
        <f>K41*24*LOOKUP(Semidetached!K$2,'HDD-by Country'!$A$4:$A$40,'HDD-by Country'!$C$4:$C$40)/1000/Semidetached!K$3</f>
        <v>6642.6468300157658</v>
      </c>
      <c r="L47" s="349">
        <f>L41*24*LOOKUP(Semidetached!L$2,'HDD-by Country'!$A$4:$A$40,'HDD-by Country'!$C$4:$C$40)/1000/Semidetached!L$3</f>
        <v>5780.3031542534327</v>
      </c>
      <c r="M47" s="349">
        <f>M41*24*LOOKUP(Semidetached!M$2,'HDD-by Country'!$A$4:$A$40,'HDD-by Country'!$C$4:$C$40)/1000/Semidetached!M$3</f>
        <v>11651.484419626615</v>
      </c>
      <c r="N47" s="349">
        <f>N41*24*LOOKUP(Semidetached!N$2,'HDD-by Country'!$A$4:$A$40,'HDD-by Country'!$C$4:$C$40)/1000/Semidetached!N$3</f>
        <v>9077.1016351530725</v>
      </c>
      <c r="O47" s="349">
        <f>O41*24*LOOKUP(Semidetached!O$2,'HDD-by Country'!$A$4:$A$40,'HDD-by Country'!$C$4:$C$40)/1000/Semidetached!O$3</f>
        <v>9074.710621825061</v>
      </c>
      <c r="P47" s="349">
        <f>P41*24*LOOKUP(Semidetached!P$2,'HDD-by Country'!$A$4:$A$40,'HDD-by Country'!$C$4:$C$40)/1000/Semidetached!P$3</f>
        <v>18138.898560832575</v>
      </c>
      <c r="Q47" s="349">
        <f>Q41*24*LOOKUP(Semidetached!Q$2,'HDD-by Country'!$A$4:$A$40,'HDD-by Country'!$C$4:$C$40)/1000/Semidetached!Q$3</f>
        <v>10406.454980602384</v>
      </c>
      <c r="R47" s="349">
        <f>R41*24*LOOKUP(Semidetached!R$2,'HDD-by Country'!$A$4:$A$40,'HDD-by Country'!$C$4:$C$40)/1000/Semidetached!R$3</f>
        <v>9750.5383880319405</v>
      </c>
      <c r="S47" s="349">
        <f>S41*24*LOOKUP(Semidetached!S$2,'HDD-by Country'!$A$4:$A$40,'HDD-by Country'!$C$4:$C$40)/1000/Semidetached!S$3</f>
        <v>11927.805818089733</v>
      </c>
      <c r="T47" s="349">
        <f>T41*24*LOOKUP(Semidetached!T$2,'HDD-by Country'!$A$4:$A$40,'HDD-by Country'!$C$4:$C$40)/1000/Semidetached!T$3</f>
        <v>7774.9291300342638</v>
      </c>
      <c r="U47" s="349">
        <f>U41*24*LOOKUP(Semidetached!U$2,'HDD-by Country'!$A$4:$A$40,'HDD-by Country'!$C$4:$C$40)/1000/Semidetached!U$3</f>
        <v>12851.361246901635</v>
      </c>
      <c r="V47" s="349">
        <f>V41*24*LOOKUP(Semidetached!V$2,'HDD-by Country'!$A$4:$A$40,'HDD-by Country'!$C$4:$C$40)/1000/Semidetached!V$3</f>
        <v>10506.839655557822</v>
      </c>
      <c r="W47" s="349">
        <f>W41*24*LOOKUP(Semidetached!W$2,'HDD-by Country'!$A$4:$A$40,'HDD-by Country'!$C$4:$C$40)/1000/Semidetached!W$3</f>
        <v>8081.4319676138412</v>
      </c>
      <c r="X47" s="349">
        <f>X41*24*LOOKUP(Semidetached!X$2,'HDD-by Country'!$A$4:$A$40,'HDD-by Country'!$C$4:$C$40)/1000/Semidetached!X$3</f>
        <v>9346.3467200642772</v>
      </c>
      <c r="Y47" s="349">
        <f>Y41*24*LOOKUP(Semidetached!Y$2,'HDD-by Country'!$A$4:$A$40,'HDD-by Country'!$C$4:$C$40)/1000/Semidetached!Y$3</f>
        <v>5170.935538028808</v>
      </c>
      <c r="Z47" s="349">
        <f>Z41*24*LOOKUP(Semidetached!Z$2,'HDD-by Country'!$A$4:$A$40,'HDD-by Country'!$C$4:$C$40)/1000/Semidetached!Z$3</f>
        <v>11807.314706628285</v>
      </c>
      <c r="AA47" s="349">
        <f>AA41*24*LOOKUP(Semidetached!AA$2,'HDD-by Country'!$A$4:$A$40,'HDD-by Country'!$C$4:$C$40)/1000/Semidetached!AA$3</f>
        <v>8291.9610371812723</v>
      </c>
      <c r="AB47" s="349">
        <f>AB41*24*LOOKUP(Semidetached!AB$2,'HDD-by Country'!$A$4:$A$40,'HDD-by Country'!$C$4:$C$40)/1000/Semidetached!AB$3</f>
        <v>12076.191678937352</v>
      </c>
      <c r="AC47" s="349">
        <f>AC41*24*LOOKUP(Semidetached!AC$2,'HDD-by Country'!$A$4:$A$40,'HDD-by Country'!$C$4:$C$40)/1000/Semidetached!AC$3</f>
        <v>12497.397872711539</v>
      </c>
      <c r="AD47" s="349">
        <f>AD41*24*LOOKUP(Semidetached!AD$2,'HDD-by Country'!$A$4:$A$40,'HDD-by Country'!$C$4:$C$40)/1000/Semidetached!AD$3</f>
        <v>13837.494998240671</v>
      </c>
      <c r="AE47" s="349">
        <f>AE41*24*LOOKUP(Semidetached!AE$2,'HDD-by Country'!$A$4:$A$40,'HDD-by Country'!$C$4:$C$40)/1000/Semidetached!AE$3</f>
        <v>7881.2252392740074</v>
      </c>
      <c r="AF47" s="349">
        <f>AF41*24*LOOKUP(Semidetached!AF$2,'HDD-by Country'!$A$4:$A$40,'HDD-by Country'!$C$4:$C$40)/1000/Semidetached!AF$3</f>
        <v>11566.90753832637</v>
      </c>
      <c r="AG47" s="349">
        <f>AG41*24*LOOKUP(Semidetached!AG$2,'HDD-by Country'!$A$4:$A$40,'HDD-by Country'!$C$4:$C$40)/1000/Semidetached!AG$3</f>
        <v>17810.199302091187</v>
      </c>
      <c r="AH47" s="349">
        <f>AH41*24*LOOKUP(Semidetached!AH$2,'HDD-by Country'!$A$4:$A$40,'HDD-by Country'!$C$4:$C$40)/1000/Semidetached!AH$3</f>
        <v>8283.4977376012084</v>
      </c>
      <c r="AI47" s="349">
        <f>AI41*24*LOOKUP(Semidetached!AI$2,'HDD-by Country'!$A$4:$A$40,'HDD-by Country'!$C$4:$C$40)/1000/Semidetached!AI$3</f>
        <v>17587.384876929562</v>
      </c>
      <c r="AJ47" s="349">
        <f>AJ41*24*LOOKUP(Semidetached!AJ$2,'HDD-by Country'!$A$4:$A$40,'HDD-by Country'!$C$4:$C$40)/1000/Semidetached!AJ$3</f>
        <v>10359.556189441171</v>
      </c>
      <c r="AK47" s="349">
        <f>AK41*24*LOOKUP(Semidetached!AK$2,'HDD-by Country'!$A$4:$A$40,'HDD-by Country'!$C$4:$C$40)/1000/Semidetached!AK$3</f>
        <v>11311.608385847541</v>
      </c>
      <c r="AL47" s="349">
        <f>AL41*24*LOOKUP(Semidetached!AL$2,'HDD-by Country'!$A$4:$A$40,'HDD-by Country'!$C$4:$C$40)/1000/Semidetached!AL$3</f>
        <v>9793.419123835205</v>
      </c>
      <c r="AM47" s="349">
        <f>AM41*24*LOOKUP(Semidetached!AM$2,'HDD-by Country'!$A$4:$A$40,'HDD-by Country'!$C$4:$C$40)/1000/Semidetached!AM$3</f>
        <v>9526.3954418304002</v>
      </c>
      <c r="AN47" s="354">
        <f>AN41*24*LOOKUP(Semidetached!AN$2,'HDD-by Country'!$A$4:$A$40,'HDD-by Country'!$C$4:$C$40)/1000/Semidetached!AN$3</f>
        <v>9526.3954418304002</v>
      </c>
    </row>
    <row r="48" spans="1:40">
      <c r="A48" s="129"/>
      <c r="B48" s="142" t="s">
        <v>6</v>
      </c>
      <c r="C48" s="129" t="s">
        <v>261</v>
      </c>
      <c r="D48" s="345">
        <f>D42*24*LOOKUP(Semidetached!D$2,'HDD-by Country'!$A$4:$A$40,'HDD-by Country'!$C$4:$C$40)/1000/Semidetached!D$3</f>
        <v>9084.3948595975817</v>
      </c>
      <c r="E48" s="349">
        <f>E42*24*LOOKUP(Semidetached!E$2,'HDD-by Country'!$A$4:$A$40,'HDD-by Country'!$C$4:$C$40)/1000/Semidetached!E$3</f>
        <v>19668.49006550678</v>
      </c>
      <c r="F48" s="349">
        <f>F42*24*LOOKUP(Semidetached!F$2,'HDD-by Country'!$A$4:$A$40,'HDD-by Country'!$C$4:$C$40)/1000/Semidetached!F$3</f>
        <v>6740.3135986047719</v>
      </c>
      <c r="G48" s="349">
        <f>G42*24*LOOKUP(Semidetached!G$2,'HDD-by Country'!$A$4:$A$40,'HDD-by Country'!$C$4:$C$40)/1000/Semidetached!G$3</f>
        <v>9127.0991156545624</v>
      </c>
      <c r="H48" s="349">
        <f>H42*24*LOOKUP(Semidetached!H$2,'HDD-by Country'!$A$4:$A$40,'HDD-by Country'!$C$4:$C$40)/1000/Semidetached!H$3</f>
        <v>7527.1003885938308</v>
      </c>
      <c r="I48" s="349">
        <f>I42*24*LOOKUP(Semidetached!I$2,'HDD-by Country'!$A$4:$A$40,'HDD-by Country'!$C$4:$C$40)/1000/Semidetached!I$3</f>
        <v>8375.8928758850179</v>
      </c>
      <c r="J48" s="349">
        <f>J42*24*LOOKUP(Semidetached!J$2,'HDD-by Country'!$A$4:$A$40,'HDD-by Country'!$C$4:$C$40)/1000/Semidetached!J$3</f>
        <v>5350.8392473647755</v>
      </c>
      <c r="K48" s="349">
        <f>K42*24*LOOKUP(Semidetached!K$2,'HDD-by Country'!$A$4:$A$40,'HDD-by Country'!$C$4:$C$40)/1000/Semidetached!K$3</f>
        <v>6642.6468300157658</v>
      </c>
      <c r="L48" s="349">
        <f>L42*24*LOOKUP(Semidetached!L$2,'HDD-by Country'!$A$4:$A$40,'HDD-by Country'!$C$4:$C$40)/1000/Semidetached!L$3</f>
        <v>4940.2886297368505</v>
      </c>
      <c r="M48" s="349">
        <f>M42*24*LOOKUP(Semidetached!M$2,'HDD-by Country'!$A$4:$A$40,'HDD-by Country'!$C$4:$C$40)/1000/Semidetached!M$3</f>
        <v>11651.484419626615</v>
      </c>
      <c r="N48" s="349">
        <f>N42*24*LOOKUP(Semidetached!N$2,'HDD-by Country'!$A$4:$A$40,'HDD-by Country'!$C$4:$C$40)/1000/Semidetached!N$3</f>
        <v>8921.0312531800028</v>
      </c>
      <c r="O48" s="349">
        <f>O42*24*LOOKUP(Semidetached!O$2,'HDD-by Country'!$A$4:$A$40,'HDD-by Country'!$C$4:$C$40)/1000/Semidetached!O$3</f>
        <v>5075.6575502676469</v>
      </c>
      <c r="P48" s="349">
        <f>P42*24*LOOKUP(Semidetached!P$2,'HDD-by Country'!$A$4:$A$40,'HDD-by Country'!$C$4:$C$40)/1000/Semidetached!P$3</f>
        <v>18138.898560832575</v>
      </c>
      <c r="Q48" s="349">
        <f>Q42*24*LOOKUP(Semidetached!Q$2,'HDD-by Country'!$A$4:$A$40,'HDD-by Country'!$C$4:$C$40)/1000/Semidetached!Q$3</f>
        <v>7052.6308873445769</v>
      </c>
      <c r="R48" s="349">
        <f>R42*24*LOOKUP(Semidetached!R$2,'HDD-by Country'!$A$4:$A$40,'HDD-by Country'!$C$4:$C$40)/1000/Semidetached!R$3</f>
        <v>9750.5383880319405</v>
      </c>
      <c r="S48" s="349">
        <f>S42*24*LOOKUP(Semidetached!S$2,'HDD-by Country'!$A$4:$A$40,'HDD-by Country'!$C$4:$C$40)/1000/Semidetached!S$3</f>
        <v>9810.5260722483454</v>
      </c>
      <c r="T48" s="349">
        <f>T42*24*LOOKUP(Semidetached!T$2,'HDD-by Country'!$A$4:$A$40,'HDD-by Country'!$C$4:$C$40)/1000/Semidetached!T$3</f>
        <v>7640.8880917377019</v>
      </c>
      <c r="U48" s="349">
        <f>U42*24*LOOKUP(Semidetached!U$2,'HDD-by Country'!$A$4:$A$40,'HDD-by Country'!$C$4:$C$40)/1000/Semidetached!U$3</f>
        <v>11686.839094819485</v>
      </c>
      <c r="V48" s="349">
        <f>V42*24*LOOKUP(Semidetached!V$2,'HDD-by Country'!$A$4:$A$40,'HDD-by Country'!$C$4:$C$40)/1000/Semidetached!V$3</f>
        <v>10506.839655557822</v>
      </c>
      <c r="W48" s="349">
        <f>W42*24*LOOKUP(Semidetached!W$2,'HDD-by Country'!$A$4:$A$40,'HDD-by Country'!$C$4:$C$40)/1000/Semidetached!W$3</f>
        <v>6999.1138442892016</v>
      </c>
      <c r="X48" s="349">
        <f>X42*24*LOOKUP(Semidetached!X$2,'HDD-by Country'!$A$4:$A$40,'HDD-by Country'!$C$4:$C$40)/1000/Semidetached!X$3</f>
        <v>9117.0759326476909</v>
      </c>
      <c r="Y48" s="349">
        <f>Y42*24*LOOKUP(Semidetached!Y$2,'HDD-by Country'!$A$4:$A$40,'HDD-by Country'!$C$4:$C$40)/1000/Semidetached!Y$3</f>
        <v>5034.5714348008896</v>
      </c>
      <c r="Z48" s="349">
        <f>Z42*24*LOOKUP(Semidetached!Z$2,'HDD-by Country'!$A$4:$A$40,'HDD-by Country'!$C$4:$C$40)/1000/Semidetached!Z$3</f>
        <v>10585.903298754467</v>
      </c>
      <c r="AA48" s="349">
        <f>AA42*24*LOOKUP(Semidetached!AA$2,'HDD-by Country'!$A$4:$A$40,'HDD-by Country'!$C$4:$C$40)/1000/Semidetached!AA$3</f>
        <v>7150.7030466116803</v>
      </c>
      <c r="AB48" s="349">
        <f>AB42*24*LOOKUP(Semidetached!AB$2,'HDD-by Country'!$A$4:$A$40,'HDD-by Country'!$C$4:$C$40)/1000/Semidetached!AB$3</f>
        <v>12076.191678937352</v>
      </c>
      <c r="AC48" s="349">
        <f>AC42*24*LOOKUP(Semidetached!AC$2,'HDD-by Country'!$A$4:$A$40,'HDD-by Country'!$C$4:$C$40)/1000/Semidetached!AC$3</f>
        <v>11420.114544050797</v>
      </c>
      <c r="AD48" s="349">
        <f>AD42*24*LOOKUP(Semidetached!AD$2,'HDD-by Country'!$A$4:$A$40,'HDD-by Country'!$C$4:$C$40)/1000/Semidetached!AD$3</f>
        <v>13837.494998240671</v>
      </c>
      <c r="AE48" s="349">
        <f>AE42*24*LOOKUP(Semidetached!AE$2,'HDD-by Country'!$A$4:$A$40,'HDD-by Country'!$C$4:$C$40)/1000/Semidetached!AE$3</f>
        <v>6798.4228039666077</v>
      </c>
      <c r="AF48" s="349">
        <f>AF42*24*LOOKUP(Semidetached!AF$2,'HDD-by Country'!$A$4:$A$40,'HDD-by Country'!$C$4:$C$40)/1000/Semidetached!AF$3</f>
        <v>7706.8727795196073</v>
      </c>
      <c r="AG48" s="349">
        <f>AG42*24*LOOKUP(Semidetached!AG$2,'HDD-by Country'!$A$4:$A$40,'HDD-by Country'!$C$4:$C$40)/1000/Semidetached!AG$3</f>
        <v>15605.352705684913</v>
      </c>
      <c r="AH48" s="349">
        <f>AH42*24*LOOKUP(Semidetached!AH$2,'HDD-by Country'!$A$4:$A$40,'HDD-by Country'!$C$4:$C$40)/1000/Semidetached!AH$3</f>
        <v>6620.2163904962536</v>
      </c>
      <c r="AI48" s="349">
        <f>AI42*24*LOOKUP(Semidetached!AI$2,'HDD-by Country'!$A$4:$A$40,'HDD-by Country'!$C$4:$C$40)/1000/Semidetached!AI$3</f>
        <v>17587.384876929562</v>
      </c>
      <c r="AJ48" s="349">
        <f>AJ42*24*LOOKUP(Semidetached!AJ$2,'HDD-by Country'!$A$4:$A$40,'HDD-by Country'!$C$4:$C$40)/1000/Semidetached!AJ$3</f>
        <v>9557.6758469400538</v>
      </c>
      <c r="AK48" s="349">
        <f>AK42*24*LOOKUP(Semidetached!AK$2,'HDD-by Country'!$A$4:$A$40,'HDD-by Country'!$C$4:$C$40)/1000/Semidetached!AK$3</f>
        <v>10414.597316744055</v>
      </c>
      <c r="AL48" s="349">
        <f>AL42*24*LOOKUP(Semidetached!AL$2,'HDD-by Country'!$A$4:$A$40,'HDD-by Country'!$C$4:$C$40)/1000/Semidetached!AL$3</f>
        <v>7067.7249238392651</v>
      </c>
      <c r="AM48" s="349">
        <f>AM42*24*LOOKUP(Semidetached!AM$2,'HDD-by Country'!$A$4:$A$40,'HDD-by Country'!$C$4:$C$40)/1000/Semidetached!AM$3</f>
        <v>8789.0058181820405</v>
      </c>
      <c r="AN48" s="354">
        <f>AN42*24*LOOKUP(Semidetached!AN$2,'HDD-by Country'!$A$4:$A$40,'HDD-by Country'!$C$4:$C$40)/1000/Semidetached!AN$3</f>
        <v>8789.0058181820405</v>
      </c>
    </row>
    <row r="49" spans="1:40">
      <c r="A49" s="130"/>
      <c r="B49" s="142" t="s">
        <v>7</v>
      </c>
      <c r="C49" s="129" t="s">
        <v>261</v>
      </c>
      <c r="D49" s="345">
        <f>D43*24*LOOKUP(Semidetached!D$2,'HDD-by Country'!$A$4:$A$40,'HDD-by Country'!$C$4:$C$40)/1000/Semidetached!D$3</f>
        <v>7824.3473395310612</v>
      </c>
      <c r="E49" s="349">
        <f>E43*24*LOOKUP(Semidetached!E$2,'HDD-by Country'!$A$4:$A$40,'HDD-by Country'!$C$4:$C$40)/1000/Semidetached!E$3</f>
        <v>10543.437472628233</v>
      </c>
      <c r="F49" s="349">
        <f>F43*24*LOOKUP(Semidetached!F$2,'HDD-by Country'!$A$4:$A$40,'HDD-by Country'!$C$4:$C$40)/1000/Semidetached!F$3</f>
        <v>4300.6976804460419</v>
      </c>
      <c r="G49" s="349">
        <f>G43*24*LOOKUP(Semidetached!G$2,'HDD-by Country'!$A$4:$A$40,'HDD-by Country'!$C$4:$C$40)/1000/Semidetached!G$3</f>
        <v>7849.5230721688231</v>
      </c>
      <c r="H49" s="349">
        <f>H43*24*LOOKUP(Semidetached!H$2,'HDD-by Country'!$A$4:$A$40,'HDD-by Country'!$C$4:$C$40)/1000/Semidetached!H$3</f>
        <v>5827.2020454067597</v>
      </c>
      <c r="I49" s="349">
        <f>I43*24*LOOKUP(Semidetached!I$2,'HDD-by Country'!$A$4:$A$40,'HDD-by Country'!$C$4:$C$40)/1000/Semidetached!I$3</f>
        <v>6698.3573572397254</v>
      </c>
      <c r="J49" s="349">
        <f>J43*24*LOOKUP(Semidetached!J$2,'HDD-by Country'!$A$4:$A$40,'HDD-by Country'!$C$4:$C$40)/1000/Semidetached!J$3</f>
        <v>5869.6710328105864</v>
      </c>
      <c r="K49" s="349">
        <f>K43*24*LOOKUP(Semidetached!K$2,'HDD-by Country'!$A$4:$A$40,'HDD-by Country'!$C$4:$C$40)/1000/Semidetached!K$3</f>
        <v>4812.9323723355365</v>
      </c>
      <c r="L49" s="349">
        <f>L43*24*LOOKUP(Semidetached!L$2,'HDD-by Country'!$A$4:$A$40,'HDD-by Country'!$C$4:$C$40)/1000/Semidetached!L$3</f>
        <v>4940.2886297368505</v>
      </c>
      <c r="M49" s="349">
        <f>M43*24*LOOKUP(Semidetached!M$2,'HDD-by Country'!$A$4:$A$40,'HDD-by Country'!$C$4:$C$40)/1000/Semidetached!M$3</f>
        <v>7015.1449311545794</v>
      </c>
      <c r="N49" s="349">
        <f>N43*24*LOOKUP(Semidetached!N$2,'HDD-by Country'!$A$4:$A$40,'HDD-by Country'!$C$4:$C$40)/1000/Semidetached!N$3</f>
        <v>8132.8305471784079</v>
      </c>
      <c r="O49" s="349">
        <f>O43*24*LOOKUP(Semidetached!O$2,'HDD-by Country'!$A$4:$A$40,'HDD-by Country'!$C$4:$C$40)/1000/Semidetached!O$3</f>
        <v>4918.0453597162341</v>
      </c>
      <c r="P49" s="349">
        <f>P43*24*LOOKUP(Semidetached!P$2,'HDD-by Country'!$A$4:$A$40,'HDD-by Country'!$C$4:$C$40)/1000/Semidetached!P$3</f>
        <v>4950.9063357402165</v>
      </c>
      <c r="Q49" s="349">
        <f>Q43*24*LOOKUP(Semidetached!Q$2,'HDD-by Country'!$A$4:$A$40,'HDD-by Country'!$C$4:$C$40)/1000/Semidetached!Q$3</f>
        <v>4229.4903383382562</v>
      </c>
      <c r="R49" s="349">
        <f>R43*24*LOOKUP(Semidetached!R$2,'HDD-by Country'!$A$4:$A$40,'HDD-by Country'!$C$4:$C$40)/1000/Semidetached!R$3</f>
        <v>5840.1675047089675</v>
      </c>
      <c r="S49" s="349">
        <f>S43*24*LOOKUP(Semidetached!S$2,'HDD-by Country'!$A$4:$A$40,'HDD-by Country'!$C$4:$C$40)/1000/Semidetached!S$3</f>
        <v>5728.6527594144109</v>
      </c>
      <c r="T49" s="349">
        <f>T43*24*LOOKUP(Semidetached!T$2,'HDD-by Country'!$A$4:$A$40,'HDD-by Country'!$C$4:$C$40)/1000/Semidetached!T$3</f>
        <v>6963.67416747897</v>
      </c>
      <c r="U49" s="349">
        <f>U43*24*LOOKUP(Semidetached!U$2,'HDD-by Country'!$A$4:$A$40,'HDD-by Country'!$C$4:$C$40)/1000/Semidetached!U$3</f>
        <v>11686.839094819485</v>
      </c>
      <c r="V49" s="349">
        <f>V43*24*LOOKUP(Semidetached!V$2,'HDD-by Country'!$A$4:$A$40,'HDD-by Country'!$C$4:$C$40)/1000/Semidetached!V$3</f>
        <v>5534.1167811223322</v>
      </c>
      <c r="W49" s="349">
        <f>W43*24*LOOKUP(Semidetached!W$2,'HDD-by Country'!$A$4:$A$40,'HDD-by Country'!$C$4:$C$40)/1000/Semidetached!W$3</f>
        <v>5651.3521578641503</v>
      </c>
      <c r="X49" s="349">
        <f>X43*24*LOOKUP(Semidetached!X$2,'HDD-by Country'!$A$4:$A$40,'HDD-by Country'!$C$4:$C$40)/1000/Semidetached!X$3</f>
        <v>5247.393762902836</v>
      </c>
      <c r="Y49" s="349">
        <f>Y43*24*LOOKUP(Semidetached!Y$2,'HDD-by Country'!$A$4:$A$40,'HDD-by Country'!$C$4:$C$40)/1000/Semidetached!Y$3</f>
        <v>4786.9315905423491</v>
      </c>
      <c r="Z49" s="349">
        <f>Z43*24*LOOKUP(Semidetached!Z$2,'HDD-by Country'!$A$4:$A$40,'HDD-by Country'!$C$4:$C$40)/1000/Semidetached!Z$3</f>
        <v>7122.6708603024344</v>
      </c>
      <c r="AA49" s="349">
        <f>AA43*24*LOOKUP(Semidetached!AA$2,'HDD-by Country'!$A$4:$A$40,'HDD-by Country'!$C$4:$C$40)/1000/Semidetached!AA$3</f>
        <v>7150.7030466116803</v>
      </c>
      <c r="AB49" s="349">
        <f>AB43*24*LOOKUP(Semidetached!AB$2,'HDD-by Country'!$A$4:$A$40,'HDD-by Country'!$C$4:$C$40)/1000/Semidetached!AB$3</f>
        <v>8957.7436048984182</v>
      </c>
      <c r="AC49" s="349">
        <f>AC43*24*LOOKUP(Semidetached!AC$2,'HDD-by Country'!$A$4:$A$40,'HDD-by Country'!$C$4:$C$40)/1000/Semidetached!AC$3</f>
        <v>7085.406509991346</v>
      </c>
      <c r="AD49" s="349">
        <f>AD43*24*LOOKUP(Semidetached!AD$2,'HDD-by Country'!$A$4:$A$40,'HDD-by Country'!$C$4:$C$40)/1000/Semidetached!AD$3</f>
        <v>11286.147355941699</v>
      </c>
      <c r="AE49" s="349">
        <f>AE43*24*LOOKUP(Semidetached!AE$2,'HDD-by Country'!$A$4:$A$40,'HDD-by Country'!$C$4:$C$40)/1000/Semidetached!AE$3</f>
        <v>6798.4228039666077</v>
      </c>
      <c r="AF49" s="349">
        <f>AF43*24*LOOKUP(Semidetached!AF$2,'HDD-by Country'!$A$4:$A$40,'HDD-by Country'!$C$4:$C$40)/1000/Semidetached!AF$3</f>
        <v>4054.0081657260939</v>
      </c>
      <c r="AG49" s="349">
        <f>AG43*24*LOOKUP(Semidetached!AG$2,'HDD-by Country'!$A$4:$A$40,'HDD-by Country'!$C$4:$C$40)/1000/Semidetached!AG$3</f>
        <v>9090.5153139478862</v>
      </c>
      <c r="AH49" s="349">
        <f>AH43*24*LOOKUP(Semidetached!AH$2,'HDD-by Country'!$A$4:$A$40,'HDD-by Country'!$C$4:$C$40)/1000/Semidetached!AH$3</f>
        <v>5455.1126175444815</v>
      </c>
      <c r="AI49" s="349">
        <f>AI43*24*LOOKUP(Semidetached!AI$2,'HDD-by Country'!$A$4:$A$40,'HDD-by Country'!$C$4:$C$40)/1000/Semidetached!AI$3</f>
        <v>4800.493512857578</v>
      </c>
      <c r="AJ49" s="349">
        <f>AJ43*24*LOOKUP(Semidetached!AJ$2,'HDD-by Country'!$A$4:$A$40,'HDD-by Country'!$C$4:$C$40)/1000/Semidetached!AJ$3</f>
        <v>8289.881482510069</v>
      </c>
      <c r="AK49" s="349">
        <f>AK43*24*LOOKUP(Semidetached!AK$2,'HDD-by Country'!$A$4:$A$40,'HDD-by Country'!$C$4:$C$40)/1000/Semidetached!AK$3</f>
        <v>9025.9836219313838</v>
      </c>
      <c r="AL49" s="349">
        <f>AL43*24*LOOKUP(Semidetached!AL$2,'HDD-by Country'!$A$4:$A$40,'HDD-by Country'!$C$4:$C$40)/1000/Semidetached!AL$3</f>
        <v>4506.2619695901731</v>
      </c>
      <c r="AM49" s="349">
        <f>AM43*24*LOOKUP(Semidetached!AM$2,'HDD-by Country'!$A$4:$A$40,'HDD-by Country'!$C$4:$C$40)/1000/Semidetached!AM$3</f>
        <v>7623.1730128352356</v>
      </c>
      <c r="AN49" s="354">
        <f>AN43*24*LOOKUP(Semidetached!AN$2,'HDD-by Country'!$A$4:$A$40,'HDD-by Country'!$C$4:$C$40)/1000/Semidetached!AN$3</f>
        <v>7623.1730128352356</v>
      </c>
    </row>
    <row r="50" spans="1:40">
      <c r="A50" s="151" t="s">
        <v>260</v>
      </c>
      <c r="B50" s="141" t="s">
        <v>2</v>
      </c>
      <c r="C50" s="360" t="s">
        <v>261</v>
      </c>
      <c r="D50" s="351">
        <f>D44/(1.355*(D38/Semidetached!D$17)^0.16)</f>
        <v>16771.498311670111</v>
      </c>
      <c r="E50" s="352">
        <f>E44/(1.355*(E38/Semidetached!E$17)^0.16)</f>
        <v>16398.739343490695</v>
      </c>
      <c r="F50" s="352">
        <f>F44/(1.355*(F38/Semidetached!F$17)^0.16)</f>
        <v>8364.0044386022291</v>
      </c>
      <c r="G50" s="352">
        <f>G44/(1.355*(G38/Semidetached!G$17)^0.16)</f>
        <v>16902.665449842214</v>
      </c>
      <c r="H50" s="352">
        <f>H44/(1.355*(H38/Semidetached!H$17)^0.16)</f>
        <v>5591.2768297121847</v>
      </c>
      <c r="I50" s="352">
        <f>I44/(1.355*(I38/Semidetached!I$17)^0.16)</f>
        <v>12526.46913878568</v>
      </c>
      <c r="J50" s="352">
        <f>J44/(1.355*(J38/Semidetached!J$17)^0.16)</f>
        <v>17351.263837464365</v>
      </c>
      <c r="K50" s="352">
        <f>K44/(1.355*(K38/Semidetached!K$17)^0.16)</f>
        <v>11085.583403379733</v>
      </c>
      <c r="L50" s="352">
        <f>L44/(1.355*(L38/Semidetached!L$17)^0.16)</f>
        <v>7569.7522641275827</v>
      </c>
      <c r="M50" s="352">
        <f>M44/(1.355*(M38/Semidetached!M$17)^0.16)</f>
        <v>13750.655297228177</v>
      </c>
      <c r="N50" s="352">
        <f>N44/(1.355*(N38/Semidetached!N$17)^0.16)</f>
        <v>12626.894836374377</v>
      </c>
      <c r="O50" s="352">
        <f>O44/(1.355*(O38/Semidetached!O$17)^0.16)</f>
        <v>18397.646932165258</v>
      </c>
      <c r="P50" s="352">
        <f>P44/(1.355*(P38/Semidetached!P$17)^0.16)</f>
        <v>11825.852500470619</v>
      </c>
      <c r="Q50" s="352">
        <f>Q44/(1.355*(Q38/Semidetached!Q$17)^0.16)</f>
        <v>7356.8579040707536</v>
      </c>
      <c r="R50" s="352">
        <f>R44/(1.355*(R38/Semidetached!R$17)^0.16)</f>
        <v>11572.280914342668</v>
      </c>
      <c r="S50" s="352">
        <f>S44/(1.355*(S38/Semidetached!S$17)^0.16)</f>
        <v>16948.308364931196</v>
      </c>
      <c r="T50" s="352">
        <f>T44/(1.355*(T38/Semidetached!T$17)^0.16)</f>
        <v>10826.608752919145</v>
      </c>
      <c r="U50" s="352">
        <f>U44/(1.355*(U38/Semidetached!U$17)^0.16)</f>
        <v>12271.146179596029</v>
      </c>
      <c r="V50" s="352">
        <f>V44/(1.355*(V38/Semidetached!V$17)^0.16)</f>
        <v>12842.792536604775</v>
      </c>
      <c r="W50" s="352">
        <f>W44/(1.355*(W38/Semidetached!W$17)^0.16)</f>
        <v>12959.147319331156</v>
      </c>
      <c r="X50" s="352">
        <f>X44/(1.355*(X38/Semidetached!X$17)^0.16)</f>
        <v>14081.316659547436</v>
      </c>
      <c r="Y50" s="352">
        <f>Y44/(1.355*(Y38/Semidetached!Y$17)^0.16)</f>
        <v>4490.6902485637247</v>
      </c>
      <c r="Z50" s="352">
        <f>Z44/(1.355*(Z38/Semidetached!Z$17)^0.16)</f>
        <v>18895.334693982717</v>
      </c>
      <c r="AA50" s="352">
        <f>AA44/(1.355*(AA38/Semidetached!AA$17)^0.16)</f>
        <v>11395.479950973593</v>
      </c>
      <c r="AB50" s="352">
        <f>AB44/(1.355*(AB38/Semidetached!AB$17)^0.16)</f>
        <v>17360.84178016298</v>
      </c>
      <c r="AC50" s="352">
        <f>AC44/(1.355*(AC38/Semidetached!AC$17)^0.16)</f>
        <v>9457.8159915903198</v>
      </c>
      <c r="AD50" s="352">
        <f>AD44/(1.355*(AD38/Semidetached!AD$17)^0.16)</f>
        <v>12497.552262830324</v>
      </c>
      <c r="AE50" s="352">
        <f>AE44/(1.355*(AE38/Semidetached!AE$17)^0.16)</f>
        <v>10805.148971465373</v>
      </c>
      <c r="AF50" s="352">
        <f>AF44/(1.355*(AF38/Semidetached!AF$17)^0.16)</f>
        <v>11774.512914904717</v>
      </c>
      <c r="AG50" s="352">
        <f>AG44/(1.355*(AG38/Semidetached!AG$17)^0.16)</f>
        <v>17315.286540370216</v>
      </c>
      <c r="AH50" s="352">
        <f>AH44/(1.355*(AH38/Semidetached!AH$17)^0.16)</f>
        <v>14482.859077579928</v>
      </c>
      <c r="AI50" s="352">
        <f>AI44/(1.355*(AI38/Semidetached!AI$17)^0.16)</f>
        <v>11465.793395825483</v>
      </c>
      <c r="AJ50" s="352">
        <f>AJ44/(1.355*(AJ38/Semidetached!AJ$17)^0.16)</f>
        <v>8779.9833169977464</v>
      </c>
      <c r="AK50" s="352">
        <f>AK44/(1.355*(AK38/Semidetached!AK$17)^0.16)</f>
        <v>9680.4969422075101</v>
      </c>
      <c r="AL50" s="352">
        <f>AL44/(1.355*(AL38/Semidetached!AL$17)^0.16)</f>
        <v>8832.128110877884</v>
      </c>
      <c r="AM50" s="352">
        <f>AM44/(1.355*(AM38/Semidetached!AM$17)^0.16)</f>
        <v>8073.85871758143</v>
      </c>
      <c r="AN50" s="353">
        <f>AN44/(1.355*(AN38/Semidetached!AN$17)^0.16)</f>
        <v>8073.85871758143</v>
      </c>
    </row>
    <row r="51" spans="1:40">
      <c r="A51" s="129"/>
      <c r="B51" s="142" t="s">
        <v>3</v>
      </c>
      <c r="C51" s="129" t="s">
        <v>261</v>
      </c>
      <c r="D51" s="345">
        <f>D45/(1.355*(D39/Semidetached!D$17)^0.16)</f>
        <v>15735.508800471171</v>
      </c>
      <c r="E51" s="349">
        <f>E45/(1.355*(E39/Semidetached!E$17)^0.16)</f>
        <v>16398.739343490695</v>
      </c>
      <c r="F51" s="349">
        <f>F45/(1.355*(F39/Semidetached!F$17)^0.16)</f>
        <v>8364.0044386022291</v>
      </c>
      <c r="G51" s="349">
        <f>G45/(1.355*(G39/Semidetached!G$17)^0.16)</f>
        <v>15871.868234252785</v>
      </c>
      <c r="H51" s="349">
        <f>H45/(1.355*(H39/Semidetached!H$17)^0.16)</f>
        <v>5308.5165527721438</v>
      </c>
      <c r="I51" s="349">
        <f>I45/(1.355*(I39/Semidetached!I$17)^0.16)</f>
        <v>10164.679382522356</v>
      </c>
      <c r="J51" s="349">
        <f>J45/(1.355*(J39/Semidetached!J$17)^0.16)</f>
        <v>15694.525875497153</v>
      </c>
      <c r="K51" s="349">
        <f>K45/(1.355*(K39/Semidetached!K$17)^0.16)</f>
        <v>10671.678280941938</v>
      </c>
      <c r="L51" s="349">
        <f>L45/(1.355*(L39/Semidetached!L$17)^0.16)</f>
        <v>7569.7522641275827</v>
      </c>
      <c r="M51" s="349">
        <f>M45/(1.355*(M39/Semidetached!M$17)^0.16)</f>
        <v>12371.268280929919</v>
      </c>
      <c r="N51" s="349">
        <f>N45/(1.355*(N39/Semidetached!N$17)^0.16)</f>
        <v>11348.63054506918</v>
      </c>
      <c r="O51" s="349">
        <f>O45/(1.355*(O39/Semidetached!O$17)^0.16)</f>
        <v>18397.646932165258</v>
      </c>
      <c r="P51" s="349">
        <f>P45/(1.355*(P39/Semidetached!P$17)^0.16)</f>
        <v>11825.852500470619</v>
      </c>
      <c r="Q51" s="349">
        <f>Q45/(1.355*(Q39/Semidetached!Q$17)^0.16)</f>
        <v>7798.3587213095352</v>
      </c>
      <c r="R51" s="349">
        <f>R45/(1.355*(R39/Semidetached!R$17)^0.16)</f>
        <v>11572.280914342668</v>
      </c>
      <c r="S51" s="349">
        <f>S45/(1.355*(S39/Semidetached!S$17)^0.16)</f>
        <v>17257.707579155856</v>
      </c>
      <c r="T51" s="349">
        <f>T45/(1.355*(T39/Semidetached!T$17)^0.16)</f>
        <v>9727.781680546319</v>
      </c>
      <c r="U51" s="349">
        <f>U45/(1.355*(U39/Semidetached!U$17)^0.16)</f>
        <v>11645.928437719542</v>
      </c>
      <c r="V51" s="349">
        <f>V45/(1.355*(V39/Semidetached!V$17)^0.16)</f>
        <v>12842.792536604775</v>
      </c>
      <c r="W51" s="349">
        <f>W45/(1.355*(W39/Semidetached!W$17)^0.16)</f>
        <v>13326.207159454796</v>
      </c>
      <c r="X51" s="349">
        <f>X45/(1.355*(X39/Semidetached!X$17)^0.16)</f>
        <v>14081.316659547436</v>
      </c>
      <c r="Y51" s="349">
        <f>Y45/(1.355*(Y39/Semidetached!Y$17)^0.16)</f>
        <v>4482.6906422616848</v>
      </c>
      <c r="Z51" s="349">
        <f>Z45/(1.355*(Z39/Semidetached!Z$17)^0.16)</f>
        <v>15022.39680799131</v>
      </c>
      <c r="AA51" s="349">
        <f>AA45/(1.355*(AA39/Semidetached!AA$17)^0.16)</f>
        <v>11395.479950973593</v>
      </c>
      <c r="AB51" s="349">
        <f>AB45/(1.355*(AB39/Semidetached!AB$17)^0.16)</f>
        <v>12746.689890958436</v>
      </c>
      <c r="AC51" s="349">
        <f>AC45/(1.355*(AC39/Semidetached!AC$17)^0.16)</f>
        <v>8695.2958982979872</v>
      </c>
      <c r="AD51" s="349">
        <f>AD45/(1.355*(AD39/Semidetached!AD$17)^0.16)</f>
        <v>11346.051200565262</v>
      </c>
      <c r="AE51" s="349">
        <f>AE45/(1.355*(AE39/Semidetached!AE$17)^0.16)</f>
        <v>10805.148971465373</v>
      </c>
      <c r="AF51" s="349">
        <f>AF45/(1.355*(AF39/Semidetached!AF$17)^0.16)</f>
        <v>11774.512914904717</v>
      </c>
      <c r="AG51" s="349">
        <f>AG45/(1.355*(AG39/Semidetached!AG$17)^0.16)</f>
        <v>14503.185181908624</v>
      </c>
      <c r="AH51" s="349">
        <f>AH45/(1.355*(AH39/Semidetached!AH$17)^0.16)</f>
        <v>15263.89523798349</v>
      </c>
      <c r="AI51" s="349">
        <f>AI45/(1.355*(AI39/Semidetached!AI$17)^0.16)</f>
        <v>11465.793395825483</v>
      </c>
      <c r="AJ51" s="349">
        <f>AJ45/(1.355*(AJ39/Semidetached!AJ$17)^0.16)</f>
        <v>8779.9833169977464</v>
      </c>
      <c r="AK51" s="349">
        <f>AK45/(1.355*(AK39/Semidetached!AK$17)^0.16)</f>
        <v>9680.4969422075101</v>
      </c>
      <c r="AL51" s="349">
        <f>AL45/(1.355*(AL39/Semidetached!AL$17)^0.16)</f>
        <v>8832.128110877884</v>
      </c>
      <c r="AM51" s="349">
        <f>AM45/(1.355*(AM39/Semidetached!AM$17)^0.16)</f>
        <v>8073.85871758143</v>
      </c>
      <c r="AN51" s="354">
        <f>AN45/(1.355*(AN39/Semidetached!AN$17)^0.16)</f>
        <v>8073.85871758143</v>
      </c>
    </row>
    <row r="52" spans="1:40">
      <c r="A52" s="129"/>
      <c r="B52" s="142" t="s">
        <v>4</v>
      </c>
      <c r="C52" s="129" t="s">
        <v>261</v>
      </c>
      <c r="D52" s="345">
        <f>D46/(1.355*(D40/Semidetached!D$17)^0.16)</f>
        <v>12361.446968948174</v>
      </c>
      <c r="E52" s="349">
        <f>E46/(1.355*(E40/Semidetached!E$17)^0.16)</f>
        <v>16398.739343490695</v>
      </c>
      <c r="F52" s="349">
        <f>F46/(1.355*(F40/Semidetached!F$17)^0.16)</f>
        <v>7858.3023497988852</v>
      </c>
      <c r="G52" s="349">
        <f>G46/(1.355*(G40/Semidetached!G$17)^0.16)</f>
        <v>12454.620459027348</v>
      </c>
      <c r="H52" s="349">
        <f>H46/(1.355*(H40/Semidetached!H$17)^0.16)</f>
        <v>5022.8562178448365</v>
      </c>
      <c r="I52" s="349">
        <f>I46/(1.355*(I40/Semidetached!I$17)^0.16)</f>
        <v>10164.679382522356</v>
      </c>
      <c r="J52" s="349">
        <f>J46/(1.355*(J40/Semidetached!J$17)^0.16)</f>
        <v>9577.4166497042406</v>
      </c>
      <c r="K52" s="349">
        <f>K46/(1.355*(K40/Semidetached!K$17)^0.16)</f>
        <v>6993.6758293782632</v>
      </c>
      <c r="L52" s="349">
        <f>L46/(1.355*(L40/Semidetached!L$17)^0.16)</f>
        <v>6131.6153263401757</v>
      </c>
      <c r="M52" s="349">
        <f>M46/(1.355*(M40/Semidetached!M$17)^0.16)</f>
        <v>12371.268280929919</v>
      </c>
      <c r="N52" s="349">
        <f>N46/(1.355*(N40/Semidetached!N$17)^0.16)</f>
        <v>9343.4996353145962</v>
      </c>
      <c r="O52" s="349">
        <f>O46/(1.355*(O40/Semidetached!O$17)^0.16)</f>
        <v>8156.2235182535924</v>
      </c>
      <c r="P52" s="349">
        <f>P46/(1.355*(P40/Semidetached!P$17)^0.16)</f>
        <v>11825.852500470619</v>
      </c>
      <c r="Q52" s="349">
        <f>Q46/(1.355*(Q40/Semidetached!Q$17)^0.16)</f>
        <v>7380.5656766228667</v>
      </c>
      <c r="R52" s="349">
        <f>R46/(1.355*(R40/Semidetached!R$17)^0.16)</f>
        <v>10047.646411251708</v>
      </c>
      <c r="S52" s="349">
        <f>S46/(1.355*(S40/Semidetached!S$17)^0.16)</f>
        <v>14168.257808423952</v>
      </c>
      <c r="T52" s="349">
        <f>T46/(1.355*(T40/Semidetached!T$17)^0.16)</f>
        <v>8007.3519538751762</v>
      </c>
      <c r="U52" s="349">
        <f>U46/(1.355*(U40/Semidetached!U$17)^0.16)</f>
        <v>11127.816009415512</v>
      </c>
      <c r="V52" s="349">
        <f>V46/(1.355*(V40/Semidetached!V$17)^0.16)</f>
        <v>8368.5285289780877</v>
      </c>
      <c r="W52" s="349">
        <f>W46/(1.355*(W40/Semidetached!W$17)^0.16)</f>
        <v>7206.0644860643379</v>
      </c>
      <c r="X52" s="349">
        <f>X46/(1.355*(X40/Semidetached!X$17)^0.16)</f>
        <v>13013.938805532665</v>
      </c>
      <c r="Y52" s="349">
        <f>Y46/(1.355*(Y40/Semidetached!Y$17)^0.16)</f>
        <v>3818.9694485023761</v>
      </c>
      <c r="Z52" s="349">
        <f>Z46/(1.355*(Z40/Semidetached!Z$17)^0.16)</f>
        <v>14392.324286514879</v>
      </c>
      <c r="AA52" s="349">
        <f>AA46/(1.355*(AA40/Semidetached!AA$17)^0.16)</f>
        <v>7481.5101894251529</v>
      </c>
      <c r="AB52" s="349">
        <f>AB46/(1.355*(AB40/Semidetached!AB$17)^0.16)</f>
        <v>9202.1819490881262</v>
      </c>
      <c r="AC52" s="349">
        <f>AC46/(1.355*(AC40/Semidetached!AC$17)^0.16)</f>
        <v>8505.3305937816531</v>
      </c>
      <c r="AD52" s="349">
        <f>AD46/(1.355*(AD40/Semidetached!AD$17)^0.16)</f>
        <v>11346.051200565262</v>
      </c>
      <c r="AE52" s="349">
        <f>AE46/(1.355*(AE40/Semidetached!AE$17)^0.16)</f>
        <v>7104.4526680952795</v>
      </c>
      <c r="AF52" s="349">
        <f>AF46/(1.355*(AF40/Semidetached!AF$17)^0.16)</f>
        <v>10810.480504726384</v>
      </c>
      <c r="AG52" s="349">
        <f>AG46/(1.355*(AG40/Semidetached!AG$17)^0.16)</f>
        <v>14503.185181908624</v>
      </c>
      <c r="AH52" s="349">
        <f>AH46/(1.355*(AH40/Semidetached!AH$17)^0.16)</f>
        <v>11640.960626587463</v>
      </c>
      <c r="AI52" s="349">
        <f>AI46/(1.355*(AI40/Semidetached!AI$17)^0.16)</f>
        <v>11465.793395825483</v>
      </c>
      <c r="AJ52" s="349">
        <f>AJ46/(1.355*(AJ40/Semidetached!AJ$17)^0.16)</f>
        <v>8779.9833169977464</v>
      </c>
      <c r="AK52" s="349">
        <f>AK46/(1.355*(AK40/Semidetached!AK$17)^0.16)</f>
        <v>9680.4969422075101</v>
      </c>
      <c r="AL52" s="349">
        <f>AL46/(1.355*(AL40/Semidetached!AL$17)^0.16)</f>
        <v>8295.1757754612991</v>
      </c>
      <c r="AM52" s="349">
        <f>AM46/(1.355*(AM40/Semidetached!AM$17)^0.16)</f>
        <v>8073.85871758143</v>
      </c>
      <c r="AN52" s="354">
        <f>AN46/(1.355*(AN40/Semidetached!AN$17)^0.16)</f>
        <v>8073.85871758143</v>
      </c>
    </row>
    <row r="53" spans="1:40">
      <c r="A53" s="129"/>
      <c r="B53" s="142" t="s">
        <v>5</v>
      </c>
      <c r="C53" s="129" t="s">
        <v>261</v>
      </c>
      <c r="D53" s="345">
        <f>D47/(1.355*(D41/Semidetached!D$17)^0.16)</f>
        <v>8568.2741708390695</v>
      </c>
      <c r="E53" s="349">
        <f>E47/(1.355*(E41/Semidetached!E$17)^0.16)</f>
        <v>13784.578621170775</v>
      </c>
      <c r="F53" s="349">
        <f>F47/(1.355*(F41/Semidetached!F$17)^0.16)</f>
        <v>6702.231638209656</v>
      </c>
      <c r="G53" s="349">
        <f>G47/(1.355*(G41/Semidetached!G$17)^0.16)</f>
        <v>8618.0788796110955</v>
      </c>
      <c r="H53" s="349">
        <f>H47/(1.355*(H41/Semidetached!H$17)^0.16)</f>
        <v>4841.8203479468093</v>
      </c>
      <c r="I53" s="349">
        <f>I47/(1.355*(I41/Semidetached!I$17)^0.16)</f>
        <v>8929.0516823409071</v>
      </c>
      <c r="J53" s="349">
        <f>J47/(1.355*(J41/Semidetached!J$17)^0.16)</f>
        <v>7324.2356783110454</v>
      </c>
      <c r="K53" s="349">
        <f>K47/(1.355*(K41/Semidetached!K$17)^0.16)</f>
        <v>5790.0202889144393</v>
      </c>
      <c r="L53" s="349">
        <f>L47/(1.355*(L41/Semidetached!L$17)^0.16)</f>
        <v>5050.4040903150908</v>
      </c>
      <c r="M53" s="349">
        <f>M47/(1.355*(M41/Semidetached!M$17)^0.16)</f>
        <v>8258.1956876384793</v>
      </c>
      <c r="N53" s="349">
        <f>N47/(1.355*(N41/Semidetached!N$17)^0.16)</f>
        <v>7860.4545422844576</v>
      </c>
      <c r="O53" s="349">
        <f>O47/(1.355*(O41/Semidetached!O$17)^0.16)</f>
        <v>6982.9790505930268</v>
      </c>
      <c r="P53" s="349">
        <f>P47/(1.355*(P41/Semidetached!P$17)^0.16)</f>
        <v>11459.302544307151</v>
      </c>
      <c r="Q53" s="349">
        <f>Q47/(1.355*(Q41/Semidetached!Q$17)^0.16)</f>
        <v>7380.5656766228667</v>
      </c>
      <c r="R53" s="349">
        <f>R47/(1.355*(R41/Semidetached!R$17)^0.16)</f>
        <v>7399.4078387008367</v>
      </c>
      <c r="S53" s="349">
        <f>S47/(1.355*(S41/Semidetached!S$17)^0.16)</f>
        <v>9104.5715441898774</v>
      </c>
      <c r="T53" s="349">
        <f>T47/(1.355*(T41/Semidetached!T$17)^0.16)</f>
        <v>6735.1710855388528</v>
      </c>
      <c r="U53" s="349">
        <f>U47/(1.355*(U41/Semidetached!U$17)^0.16)</f>
        <v>9038.1702981772523</v>
      </c>
      <c r="V53" s="349">
        <f>V47/(1.355*(V41/Semidetached!V$17)^0.16)</f>
        <v>8368.5285289780877</v>
      </c>
      <c r="W53" s="349">
        <f>W47/(1.355*(W41/Semidetached!W$17)^0.16)</f>
        <v>6455.6685700910066</v>
      </c>
      <c r="X53" s="349">
        <f>X47/(1.355*(X41/Semidetached!X$17)^0.16)</f>
        <v>7618.4457055286539</v>
      </c>
      <c r="Y53" s="349">
        <f>Y47/(1.355*(Y41/Semidetached!Y$17)^0.16)</f>
        <v>3423.982693117177</v>
      </c>
      <c r="Z53" s="349">
        <f>Z47/(1.355*(Z41/Semidetached!Z$17)^0.16)</f>
        <v>9059.6691457768011</v>
      </c>
      <c r="AA53" s="349">
        <f>AA47/(1.355*(AA41/Semidetached!AA$17)^0.16)</f>
        <v>7481.5101894251529</v>
      </c>
      <c r="AB53" s="349">
        <f>AB47/(1.355*(AB41/Semidetached!AB$17)^0.16)</f>
        <v>9202.1819490881262</v>
      </c>
      <c r="AC53" s="349">
        <f>AC47/(1.355*(AC41/Semidetached!AC$17)^0.16)</f>
        <v>8255.0430625371664</v>
      </c>
      <c r="AD53" s="349">
        <f>AD47/(1.355*(AD41/Semidetached!AD$17)^0.16)</f>
        <v>9717.6775575724841</v>
      </c>
      <c r="AE53" s="349">
        <f>AE47/(1.355*(AE41/Semidetached!AE$17)^0.16)</f>
        <v>7104.4526680952795</v>
      </c>
      <c r="AF53" s="349">
        <f>AF47/(1.355*(AF41/Semidetached!AF$17)^0.16)</f>
        <v>8623.7959211849047</v>
      </c>
      <c r="AG53" s="349">
        <f>AG47/(1.355*(AG41/Semidetached!AG$17)^0.16)</f>
        <v>12643.100479821287</v>
      </c>
      <c r="AH53" s="349">
        <f>AH47/(1.355*(AH41/Semidetached!AH$17)^0.16)</f>
        <v>6503.6673517117142</v>
      </c>
      <c r="AI53" s="349">
        <f>AI47/(1.355*(AI41/Semidetached!AI$17)^0.16)</f>
        <v>11099.648218249529</v>
      </c>
      <c r="AJ53" s="349">
        <f>AJ47/(1.355*(AJ41/Semidetached!AJ$17)^0.16)</f>
        <v>7493.5690099932845</v>
      </c>
      <c r="AK53" s="349">
        <f>AK47/(1.355*(AK41/Semidetached!AK$17)^0.16)</f>
        <v>8226.5895875470105</v>
      </c>
      <c r="AL53" s="349">
        <f>AL47/(1.355*(AL41/Semidetached!AL$17)^0.16)</f>
        <v>7069.4199815978445</v>
      </c>
      <c r="AM53" s="349">
        <f>AM47/(1.355*(AM41/Semidetached!AM$17)^0.16)</f>
        <v>6890.903466752894</v>
      </c>
      <c r="AN53" s="354">
        <f>AN47/(1.355*(AN41/Semidetached!AN$17)^0.16)</f>
        <v>6890.903466752894</v>
      </c>
    </row>
    <row r="54" spans="1:40">
      <c r="A54" s="129"/>
      <c r="B54" s="142" t="s">
        <v>6</v>
      </c>
      <c r="C54" s="129" t="s">
        <v>261</v>
      </c>
      <c r="D54" s="345">
        <f>D48/(1.355*(D42/Semidetached!D$17)^0.16)</f>
        <v>7444.1958095505388</v>
      </c>
      <c r="E54" s="349">
        <f>E48/(1.355*(E42/Semidetached!E$17)^0.16)</f>
        <v>13784.578621170775</v>
      </c>
      <c r="F54" s="349">
        <f>F48/(1.355*(F42/Semidetached!F$17)^0.16)</f>
        <v>5115.3234104078083</v>
      </c>
      <c r="G54" s="349">
        <f>G48/(1.355*(G42/Semidetached!G$17)^0.16)</f>
        <v>7486.6906652564821</v>
      </c>
      <c r="H54" s="349">
        <f>H48/(1.355*(H42/Semidetached!H$17)^0.16)</f>
        <v>4841.8203479468093</v>
      </c>
      <c r="I54" s="349">
        <f>I48/(1.355*(I42/Semidetached!I$17)^0.16)</f>
        <v>6803.2581147694818</v>
      </c>
      <c r="J54" s="349">
        <f>J48/(1.355*(J42/Semidetached!J$17)^0.16)</f>
        <v>4657.4599193223748</v>
      </c>
      <c r="K54" s="349">
        <f>K48/(1.355*(K42/Semidetached!K$17)^0.16)</f>
        <v>5790.0202889144393</v>
      </c>
      <c r="L54" s="349">
        <f>L48/(1.355*(L42/Semidetached!L$17)^0.16)</f>
        <v>4426.2869138485894</v>
      </c>
      <c r="M54" s="349">
        <f>M48/(1.355*(M42/Semidetached!M$17)^0.16)</f>
        <v>8258.1956876384793</v>
      </c>
      <c r="N54" s="349">
        <f>N48/(1.355*(N42/Semidetached!N$17)^0.16)</f>
        <v>7746.7700542883276</v>
      </c>
      <c r="O54" s="349">
        <f>O48/(1.355*(O42/Semidetached!O$17)^0.16)</f>
        <v>4286.222805201176</v>
      </c>
      <c r="P54" s="349">
        <f>P48/(1.355*(P42/Semidetached!P$17)^0.16)</f>
        <v>11459.302544307151</v>
      </c>
      <c r="Q54" s="349">
        <f>Q48/(1.355*(Q42/Semidetached!Q$17)^0.16)</f>
        <v>5323.1690572700491</v>
      </c>
      <c r="R54" s="349">
        <f>R48/(1.355*(R42/Semidetached!R$17)^0.16)</f>
        <v>7399.4078387008367</v>
      </c>
      <c r="S54" s="349">
        <f>S48/(1.355*(S42/Semidetached!S$17)^0.16)</f>
        <v>7726.2751663279287</v>
      </c>
      <c r="T54" s="349">
        <f>T48/(1.355*(T42/Semidetached!T$17)^0.16)</f>
        <v>6637.4986855595753</v>
      </c>
      <c r="U54" s="349">
        <f>U48/(1.355*(U42/Semidetached!U$17)^0.16)</f>
        <v>8345.0469398875321</v>
      </c>
      <c r="V54" s="349">
        <f>V48/(1.355*(V42/Semidetached!V$17)^0.16)</f>
        <v>8368.5285289780877</v>
      </c>
      <c r="W54" s="349">
        <f>W48/(1.355*(W42/Semidetached!W$17)^0.16)</f>
        <v>5721.2009809339925</v>
      </c>
      <c r="X54" s="349">
        <f>X48/(1.355*(X42/Semidetached!X$17)^0.16)</f>
        <v>7461.1517200557655</v>
      </c>
      <c r="Y54" s="349">
        <f>Y48/(1.355*(Y42/Semidetached!Y$17)^0.16)</f>
        <v>3347.9734324497826</v>
      </c>
      <c r="Z54" s="349">
        <f>Z48/(1.355*(Z42/Semidetached!Z$17)^0.16)</f>
        <v>8265.6466569649237</v>
      </c>
      <c r="AA54" s="349">
        <f>AA48/(1.355*(AA42/Semidetached!AA$17)^0.16)</f>
        <v>6606.4799861209131</v>
      </c>
      <c r="AB54" s="349">
        <f>AB48/(1.355*(AB42/Semidetached!AB$17)^0.16)</f>
        <v>9202.1819490881262</v>
      </c>
      <c r="AC54" s="349">
        <f>AC48/(1.355*(AC42/Semidetached!AC$17)^0.16)</f>
        <v>7653.0415009884682</v>
      </c>
      <c r="AD54" s="349">
        <f>AD48/(1.355*(AD42/Semidetached!AD$17)^0.16)</f>
        <v>9717.6775575724841</v>
      </c>
      <c r="AE54" s="349">
        <f>AE48/(1.355*(AE42/Semidetached!AE$17)^0.16)</f>
        <v>6275.0146960006132</v>
      </c>
      <c r="AF54" s="349">
        <f>AF48/(1.355*(AF42/Semidetached!AF$17)^0.16)</f>
        <v>6131.5976396350261</v>
      </c>
      <c r="AG54" s="349">
        <f>AG48/(1.355*(AG42/Semidetached!AG$17)^0.16)</f>
        <v>11314.663159322321</v>
      </c>
      <c r="AH54" s="349">
        <f>AH48/(1.355*(AH42/Semidetached!AH$17)^0.16)</f>
        <v>5387.5510552270171</v>
      </c>
      <c r="AI54" s="349">
        <f>AI48/(1.355*(AI42/Semidetached!AI$17)^0.16)</f>
        <v>11099.648218249529</v>
      </c>
      <c r="AJ54" s="349">
        <f>AJ48/(1.355*(AJ42/Semidetached!AJ$17)^0.16)</f>
        <v>7003.2249175159959</v>
      </c>
      <c r="AK54" s="349">
        <f>AK48/(1.355*(AK42/Semidetached!AK$17)^0.16)</f>
        <v>7675.011827632803</v>
      </c>
      <c r="AL54" s="349">
        <f>AL48/(1.355*(AL42/Semidetached!AL$17)^0.16)</f>
        <v>5375.190156378234</v>
      </c>
      <c r="AM54" s="349">
        <f>AM48/(1.355*(AM42/Semidetached!AM$17)^0.16)</f>
        <v>6439.994987462519</v>
      </c>
      <c r="AN54" s="354">
        <f>AN48/(1.355*(AN42/Semidetached!AN$17)^0.16)</f>
        <v>6439.994987462519</v>
      </c>
    </row>
    <row r="55" spans="1:40">
      <c r="A55" s="129"/>
      <c r="B55" s="142" t="s">
        <v>7</v>
      </c>
      <c r="C55" s="129" t="s">
        <v>261</v>
      </c>
      <c r="D55" s="345">
        <f>D49/(1.355*(D43/Semidetached!D$17)^0.16)</f>
        <v>6566.6756832199426</v>
      </c>
      <c r="E55" s="349">
        <f>E49/(1.355*(E43/Semidetached!E$17)^0.16)</f>
        <v>8164.5247115136262</v>
      </c>
      <c r="F55" s="349">
        <f>F49/(1.355*(F43/Semidetached!F$17)^0.16)</f>
        <v>3507.1512729069486</v>
      </c>
      <c r="G55" s="349">
        <f>G49/(1.355*(G43/Semidetached!G$17)^0.16)</f>
        <v>6595.9706168643997</v>
      </c>
      <c r="H55" s="349">
        <f>H49/(1.355*(H43/Semidetached!H$17)^0.16)</f>
        <v>3905.0613448532408</v>
      </c>
      <c r="I55" s="349">
        <f>I49/(1.355*(I43/Semidetached!I$17)^0.16)</f>
        <v>5638.7675999642033</v>
      </c>
      <c r="J55" s="349">
        <f>J49/(1.355*(J43/Semidetached!J$17)^0.16)</f>
        <v>5033.9661029113604</v>
      </c>
      <c r="K55" s="349">
        <f>K49/(1.355*(K43/Semidetached!K$17)^0.16)</f>
        <v>4417.1048319072152</v>
      </c>
      <c r="L55" s="349">
        <f>L49/(1.355*(L43/Semidetached!L$17)^0.16)</f>
        <v>4426.2869138485894</v>
      </c>
      <c r="M55" s="349">
        <f>M49/(1.355*(M43/Semidetached!M$17)^0.16)</f>
        <v>5392.5688243098093</v>
      </c>
      <c r="N55" s="349">
        <f>N49/(1.355*(N43/Semidetached!N$17)^0.16)</f>
        <v>7167.6214717187877</v>
      </c>
      <c r="O55" s="349">
        <f>O49/(1.355*(O43/Semidetached!O$17)^0.16)</f>
        <v>4174.1391714385445</v>
      </c>
      <c r="P55" s="349">
        <f>P49/(1.355*(P43/Semidetached!P$17)^0.16)</f>
        <v>3849.9950936172409</v>
      </c>
      <c r="Q55" s="349">
        <f>Q49/(1.355*(Q43/Semidetached!Q$17)^0.16)</f>
        <v>3464.4734722548665</v>
      </c>
      <c r="R55" s="349">
        <f>R49/(1.355*(R43/Semidetached!R$17)^0.16)</f>
        <v>4810.7213179537985</v>
      </c>
      <c r="S55" s="349">
        <f>S49/(1.355*(S43/Semidetached!S$17)^0.16)</f>
        <v>4917.1418949557456</v>
      </c>
      <c r="T55" s="349">
        <f>T49/(1.355*(T43/Semidetached!T$17)^0.16)</f>
        <v>6139.7107958738261</v>
      </c>
      <c r="U55" s="349">
        <f>U49/(1.355*(U43/Semidetached!U$17)^0.16)</f>
        <v>8345.0469398875321</v>
      </c>
      <c r="V55" s="349">
        <f>V49/(1.355*(V43/Semidetached!V$17)^0.16)</f>
        <v>4883.9715054798471</v>
      </c>
      <c r="W55" s="349">
        <f>W49/(1.355*(W43/Semidetached!W$17)^0.16)</f>
        <v>4780.3426494829346</v>
      </c>
      <c r="X55" s="349">
        <f>X49/(1.355*(X43/Semidetached!X$17)^0.16)</f>
        <v>4691.1558452892259</v>
      </c>
      <c r="Y55" s="349">
        <f>Y49/(1.355*(Y43/Semidetached!Y$17)^0.16)</f>
        <v>3209.0875271020886</v>
      </c>
      <c r="Z55" s="349">
        <f>Z49/(1.355*(Z43/Semidetached!Z$17)^0.16)</f>
        <v>5925.5053823757871</v>
      </c>
      <c r="AA55" s="349">
        <f>AA49/(1.355*(AA43/Semidetached!AA$17)^0.16)</f>
        <v>6606.4799861209131</v>
      </c>
      <c r="AB55" s="349">
        <f>AB49/(1.355*(AB43/Semidetached!AB$17)^0.16)</f>
        <v>7160.0567604322032</v>
      </c>
      <c r="AC55" s="349">
        <f>AC49/(1.355*(AC43/Semidetached!AC$17)^0.16)</f>
        <v>5125.040368920183</v>
      </c>
      <c r="AD55" s="349">
        <f>AD49/(1.355*(AD43/Semidetached!AD$17)^0.16)</f>
        <v>8188.6555970513964</v>
      </c>
      <c r="AE55" s="349">
        <f>AE49/(1.355*(AE43/Semidetached!AE$17)^0.16)</f>
        <v>6275.0146960006132</v>
      </c>
      <c r="AF55" s="349">
        <f>AF49/(1.355*(AF43/Semidetached!AF$17)^0.16)</f>
        <v>3574.5308439100227</v>
      </c>
      <c r="AG55" s="349">
        <f>AG49/(1.355*(AG43/Semidetached!AG$17)^0.16)</f>
        <v>7186.3134652342933</v>
      </c>
      <c r="AH55" s="349">
        <f>AH49/(1.355*(AH43/Semidetached!AH$17)^0.16)</f>
        <v>4579.0342157103196</v>
      </c>
      <c r="AI55" s="349">
        <f>AI49/(1.355*(AI43/Semidetached!AI$17)^0.16)</f>
        <v>3729.2396687092123</v>
      </c>
      <c r="AJ55" s="349">
        <f>AJ49/(1.355*(AJ43/Semidetached!AJ$17)^0.16)</f>
        <v>6214.1643491992418</v>
      </c>
      <c r="AK55" s="349">
        <f>AK49/(1.355*(AK43/Semidetached!AK$17)^0.16)</f>
        <v>6805.7310516482994</v>
      </c>
      <c r="AL55" s="349">
        <f>AL49/(1.355*(AL43/Semidetached!AL$17)^0.16)</f>
        <v>3683.0256413430161</v>
      </c>
      <c r="AM55" s="349">
        <f>AM49/(1.355*(AM43/Semidetached!AM$17)^0.16)</f>
        <v>5714.3941157763056</v>
      </c>
      <c r="AN55" s="354">
        <f>AN49/(1.355*(AN43/Semidetached!AN$17)^0.16)</f>
        <v>5714.3941157763056</v>
      </c>
    </row>
    <row r="56" spans="1:40">
      <c r="A56" s="334" t="s">
        <v>262</v>
      </c>
      <c r="B56" s="359" t="s">
        <v>2</v>
      </c>
      <c r="C56" s="366" t="s">
        <v>190</v>
      </c>
      <c r="D56" s="375">
        <f>D50/Semidetached!D$4</f>
        <v>163.8673087288264</v>
      </c>
      <c r="E56" s="376">
        <f>E50/Semidetached!E$4</f>
        <v>157.44385755807261</v>
      </c>
      <c r="F56" s="376">
        <f>F50/Semidetached!F$4</f>
        <v>152.79100696012497</v>
      </c>
      <c r="G56" s="376">
        <f>G50/Semidetached!G$4</f>
        <v>157.67147991325234</v>
      </c>
      <c r="H56" s="376">
        <f>H50/Semidetached!H$4</f>
        <v>68.662374850100576</v>
      </c>
      <c r="I56" s="376">
        <f>I50/Semidetached!I$4</f>
        <v>145.13952975329809</v>
      </c>
      <c r="J56" s="376">
        <f>J50/Semidetached!J$4</f>
        <v>181.35952301155103</v>
      </c>
      <c r="K56" s="376">
        <f>K50/Semidetached!K$4</f>
        <v>96.440666813033218</v>
      </c>
      <c r="L56" s="376">
        <f>L50/Semidetached!L$4</f>
        <v>103.91070373722053</v>
      </c>
      <c r="M56" s="376">
        <f>M50/Semidetached!M$4</f>
        <v>133.54522868171929</v>
      </c>
      <c r="N56" s="376">
        <f>N50/Semidetached!N$4</f>
        <v>148.70877686663175</v>
      </c>
      <c r="O56" s="376">
        <f>O50/Semidetached!O$4</f>
        <v>186.62769972970494</v>
      </c>
      <c r="P56" s="376">
        <f>P50/Semidetached!P$4</f>
        <v>149.87949492105284</v>
      </c>
      <c r="Q56" s="376">
        <f>Q50/Semidetached!Q$4</f>
        <v>126.68990969980733</v>
      </c>
      <c r="R56" s="376">
        <f>R50/Semidetached!R$4</f>
        <v>146.91551385049345</v>
      </c>
      <c r="S56" s="376">
        <f>S50/Semidetached!S$4</f>
        <v>158.37165132683975</v>
      </c>
      <c r="T56" s="376">
        <f>T50/Semidetached!T$4</f>
        <v>126.04173382073489</v>
      </c>
      <c r="U56" s="376">
        <f>U50/Semidetached!U$4</f>
        <v>121.92614760323625</v>
      </c>
      <c r="V56" s="376">
        <f>V50/Semidetached!V$4</f>
        <v>155.03498086712111</v>
      </c>
      <c r="W56" s="376">
        <f>W50/Semidetached!W$4</f>
        <v>164.15783627210831</v>
      </c>
      <c r="X56" s="376">
        <f>X50/Semidetached!X$4</f>
        <v>172.88507930553911</v>
      </c>
      <c r="Y56" s="376">
        <f>Y50/Semidetached!Y$4</f>
        <v>46.251795677936656</v>
      </c>
      <c r="Z56" s="376">
        <f>Z50/Semidetached!Z$4</f>
        <v>171.39840993944441</v>
      </c>
      <c r="AA56" s="376">
        <f>AA50/Semidetached!AA$4</f>
        <v>104.17890950777642</v>
      </c>
      <c r="AB56" s="376">
        <f>AB50/Semidetached!AB$4</f>
        <v>213.09967308593099</v>
      </c>
      <c r="AC56" s="376">
        <f>AC50/Semidetached!AC$4</f>
        <v>92.768259483919692</v>
      </c>
      <c r="AD56" s="376">
        <f>AD50/Semidetached!AD$4</f>
        <v>205.45701284106724</v>
      </c>
      <c r="AE56" s="376">
        <f>AE50/Semidetached!AE$4</f>
        <v>101.28837168898248</v>
      </c>
      <c r="AF56" s="376">
        <f>AF50/Semidetached!AF$4</f>
        <v>146.41977991716658</v>
      </c>
      <c r="AG56" s="376">
        <f>AG50/Semidetached!AG$4</f>
        <v>214.76972656923107</v>
      </c>
      <c r="AH56" s="376">
        <f>AH50/Semidetached!AH$4</f>
        <v>187.24799883197258</v>
      </c>
      <c r="AI56" s="376">
        <f>AI50/Semidetached!AI$4</f>
        <v>145.31614722634822</v>
      </c>
      <c r="AJ56" s="376">
        <f>AJ50/Semidetached!AJ$4</f>
        <v>151.19706104161304</v>
      </c>
      <c r="AK56" s="376">
        <f>AK50/Semidetached!AK$4</f>
        <v>122.68950523652461</v>
      </c>
      <c r="AL56" s="376">
        <f>AL50/Semidetached!AL$4</f>
        <v>149.2513312652589</v>
      </c>
      <c r="AM56" s="376">
        <f>AM50/Semidetached!AM$4</f>
        <v>139.03713313443333</v>
      </c>
      <c r="AN56" s="377">
        <f>AN50/Semidetached!AN$4</f>
        <v>139.03713313443333</v>
      </c>
    </row>
    <row r="57" spans="1:40">
      <c r="A57" s="154"/>
      <c r="B57" s="347" t="s">
        <v>3</v>
      </c>
      <c r="C57" s="367" t="s">
        <v>190</v>
      </c>
      <c r="D57" s="369">
        <f>D51/Semidetached!D$4</f>
        <v>153.7450876894971</v>
      </c>
      <c r="E57" s="370">
        <f>E51/Semidetached!E$4</f>
        <v>157.44385755807261</v>
      </c>
      <c r="F57" s="370">
        <f>F51/Semidetached!F$4</f>
        <v>152.79100696012497</v>
      </c>
      <c r="G57" s="370">
        <f>G51/Semidetached!G$4</f>
        <v>148.05599512745115</v>
      </c>
      <c r="H57" s="370">
        <f>H51/Semidetached!H$4</f>
        <v>65.190003025331762</v>
      </c>
      <c r="I57" s="370">
        <f>I51/Semidetached!I$4</f>
        <v>117.77435200030796</v>
      </c>
      <c r="J57" s="370">
        <f>J51/Semidetached!J$4</f>
        <v>164.04290507800621</v>
      </c>
      <c r="K57" s="370">
        <f>K51/Semidetached!K$4</f>
        <v>92.839838191504725</v>
      </c>
      <c r="L57" s="370">
        <f>L51/Semidetached!L$4</f>
        <v>103.91070373722053</v>
      </c>
      <c r="M57" s="370">
        <f>M51/Semidetached!M$4</f>
        <v>120.1487358928063</v>
      </c>
      <c r="N57" s="370">
        <f>N51/Semidetached!N$4</f>
        <v>133.65447240496025</v>
      </c>
      <c r="O57" s="370">
        <f>O51/Semidetached!O$4</f>
        <v>186.62769972970494</v>
      </c>
      <c r="P57" s="370">
        <f>P51/Semidetached!P$4</f>
        <v>149.87949492105284</v>
      </c>
      <c r="Q57" s="370">
        <f>Q51/Semidetached!Q$4</f>
        <v>134.29284282665523</v>
      </c>
      <c r="R57" s="370">
        <f>R51/Semidetached!R$4</f>
        <v>146.91551385049345</v>
      </c>
      <c r="S57" s="370">
        <f>S51/Semidetached!S$4</f>
        <v>161.26279912878647</v>
      </c>
      <c r="T57" s="370">
        <f>T51/Semidetached!T$4</f>
        <v>113.2493560289642</v>
      </c>
      <c r="U57" s="370">
        <f>U51/Semidetached!U$4</f>
        <v>115.71398212459924</v>
      </c>
      <c r="V57" s="370">
        <f>V51/Semidetached!V$4</f>
        <v>155.03498086712111</v>
      </c>
      <c r="W57" s="370">
        <f>W51/Semidetached!W$4</f>
        <v>168.80750554835763</v>
      </c>
      <c r="X57" s="370">
        <f>X51/Semidetached!X$4</f>
        <v>172.88507930553911</v>
      </c>
      <c r="Y57" s="370">
        <f>Y51/Semidetached!Y$4</f>
        <v>46.169403854919196</v>
      </c>
      <c r="Z57" s="370">
        <f>Z51/Semidetached!Z$4</f>
        <v>136.2672304073584</v>
      </c>
      <c r="AA57" s="370">
        <f>AA51/Semidetached!AA$4</f>
        <v>104.17890950777642</v>
      </c>
      <c r="AB57" s="370">
        <f>AB51/Semidetached!AB$4</f>
        <v>156.46219711504588</v>
      </c>
      <c r="AC57" s="370">
        <f>AC51/Semidetached!AC$4</f>
        <v>85.288978650041756</v>
      </c>
      <c r="AD57" s="370">
        <f>AD51/Semidetached!AD$4</f>
        <v>186.52658842188453</v>
      </c>
      <c r="AE57" s="370">
        <f>AE51/Semidetached!AE$4</f>
        <v>101.28837168898248</v>
      </c>
      <c r="AF57" s="370">
        <f>AF51/Semidetached!AF$4</f>
        <v>146.41977991716658</v>
      </c>
      <c r="AG57" s="370">
        <f>AG51/Semidetached!AG$4</f>
        <v>179.8898972095694</v>
      </c>
      <c r="AH57" s="370">
        <f>AH51/Semidetached!AH$4</f>
        <v>197.34596755952666</v>
      </c>
      <c r="AI57" s="370">
        <f>AI51/Semidetached!AI$4</f>
        <v>145.31614722634822</v>
      </c>
      <c r="AJ57" s="370">
        <f>AJ51/Semidetached!AJ$4</f>
        <v>151.19706104161304</v>
      </c>
      <c r="AK57" s="370">
        <f>AK51/Semidetached!AK$4</f>
        <v>122.68950523652461</v>
      </c>
      <c r="AL57" s="370">
        <f>AL51/Semidetached!AL$4</f>
        <v>149.2513312652589</v>
      </c>
      <c r="AM57" s="370">
        <f>AM51/Semidetached!AM$4</f>
        <v>139.03713313443333</v>
      </c>
      <c r="AN57" s="371">
        <f>AN51/Semidetached!AN$4</f>
        <v>139.03713313443333</v>
      </c>
    </row>
    <row r="58" spans="1:40">
      <c r="A58" s="154"/>
      <c r="B58" s="347" t="s">
        <v>4</v>
      </c>
      <c r="C58" s="367" t="s">
        <v>190</v>
      </c>
      <c r="D58" s="369">
        <f>D52/Semidetached!D$4</f>
        <v>120.77853803831866</v>
      </c>
      <c r="E58" s="370">
        <f>E52/Semidetached!E$4</f>
        <v>157.44385755807261</v>
      </c>
      <c r="F58" s="370">
        <f>F52/Semidetached!F$4</f>
        <v>143.55299998185345</v>
      </c>
      <c r="G58" s="370">
        <f>G52/Semidetached!G$4</f>
        <v>116.17921713945084</v>
      </c>
      <c r="H58" s="370">
        <f>H52/Semidetached!H$4</f>
        <v>61.682017712861779</v>
      </c>
      <c r="I58" s="370">
        <f>I52/Semidetached!I$4</f>
        <v>117.77435200030796</v>
      </c>
      <c r="J58" s="370">
        <f>J52/Semidetached!J$4</f>
        <v>100.10542929575318</v>
      </c>
      <c r="K58" s="370">
        <f>K52/Semidetached!K$4</f>
        <v>60.842513733088815</v>
      </c>
      <c r="L58" s="370">
        <f>L52/Semidetached!L$4</f>
        <v>84.169262265726928</v>
      </c>
      <c r="M58" s="370">
        <f>M52/Semidetached!M$4</f>
        <v>120.1487358928063</v>
      </c>
      <c r="N58" s="370">
        <f>N52/Semidetached!N$4</f>
        <v>110.03975406675804</v>
      </c>
      <c r="O58" s="370">
        <f>O52/Semidetached!O$4</f>
        <v>82.737604396120489</v>
      </c>
      <c r="P58" s="370">
        <f>P52/Semidetached!P$4</f>
        <v>149.87949492105284</v>
      </c>
      <c r="Q58" s="370">
        <f>Q52/Semidetached!Q$4</f>
        <v>127.09817306481658</v>
      </c>
      <c r="R58" s="370">
        <f>R52/Semidetached!R$4</f>
        <v>127.5595663831118</v>
      </c>
      <c r="S58" s="370">
        <f>S52/Semidetached!S$4</f>
        <v>132.39376681317552</v>
      </c>
      <c r="T58" s="370">
        <f>T52/Semidetached!T$4</f>
        <v>93.22037459856972</v>
      </c>
      <c r="U58" s="370">
        <f>U52/Semidetached!U$4</f>
        <v>110.56601538343962</v>
      </c>
      <c r="V58" s="370">
        <f>V52/Semidetached!V$4</f>
        <v>101.02278431097899</v>
      </c>
      <c r="W58" s="370">
        <f>W52/Semidetached!W$4</f>
        <v>91.281619455396168</v>
      </c>
      <c r="X58" s="370">
        <f>X52/Semidetached!X$4</f>
        <v>159.78021777860212</v>
      </c>
      <c r="Y58" s="370">
        <f>Y52/Semidetached!Y$4</f>
        <v>39.333417549542176</v>
      </c>
      <c r="Z58" s="370">
        <f>Z52/Semidetached!Z$4</f>
        <v>130.55188161483409</v>
      </c>
      <c r="AA58" s="370">
        <f>AA52/Semidetached!AA$4</f>
        <v>68.396906173227009</v>
      </c>
      <c r="AB58" s="370">
        <f>AB52/Semidetached!AB$4</f>
        <v>112.95431349812841</v>
      </c>
      <c r="AC58" s="370">
        <f>AC52/Semidetached!AC$4</f>
        <v>83.425678425340521</v>
      </c>
      <c r="AD58" s="370">
        <f>AD52/Semidetached!AD$4</f>
        <v>186.52658842188453</v>
      </c>
      <c r="AE58" s="370">
        <f>AE52/Semidetached!AE$4</f>
        <v>66.597734505388075</v>
      </c>
      <c r="AF58" s="370">
        <f>AF52/Semidetached!AF$4</f>
        <v>134.43173299314913</v>
      </c>
      <c r="AG58" s="370">
        <f>AG52/Semidetached!AG$4</f>
        <v>179.8898972095694</v>
      </c>
      <c r="AH58" s="370">
        <f>AH52/Semidetached!AH$4</f>
        <v>150.50526765013043</v>
      </c>
      <c r="AI58" s="370">
        <f>AI52/Semidetached!AI$4</f>
        <v>145.31614722634822</v>
      </c>
      <c r="AJ58" s="370">
        <f>AJ52/Semidetached!AJ$4</f>
        <v>151.19706104161304</v>
      </c>
      <c r="AK58" s="370">
        <f>AK52/Semidetached!AK$4</f>
        <v>122.68950523652461</v>
      </c>
      <c r="AL58" s="370">
        <f>AL52/Semidetached!AL$4</f>
        <v>140.17754407820357</v>
      </c>
      <c r="AM58" s="370">
        <f>AM52/Semidetached!AM$4</f>
        <v>139.03713313443333</v>
      </c>
      <c r="AN58" s="371">
        <f>AN52/Semidetached!AN$4</f>
        <v>139.03713313443333</v>
      </c>
    </row>
    <row r="59" spans="1:40">
      <c r="A59" s="154"/>
      <c r="B59" s="347" t="s">
        <v>5</v>
      </c>
      <c r="C59" s="367" t="s">
        <v>190</v>
      </c>
      <c r="D59" s="369">
        <f>D53/Semidetached!D$4</f>
        <v>83.717030090813509</v>
      </c>
      <c r="E59" s="370">
        <f>E53/Semidetached!E$4</f>
        <v>132.34537042575414</v>
      </c>
      <c r="F59" s="370">
        <f>F53/Semidetached!F$4</f>
        <v>122.43426320481441</v>
      </c>
      <c r="G59" s="370">
        <f>G53/Semidetached!G$4</f>
        <v>80.391181792579914</v>
      </c>
      <c r="H59" s="370">
        <f>H53/Semidetached!H$4</f>
        <v>59.458848812656875</v>
      </c>
      <c r="I59" s="370">
        <f>I53/Semidetached!I$4</f>
        <v>103.45759431164694</v>
      </c>
      <c r="J59" s="370">
        <f>J53/Semidetached!J$4</f>
        <v>76.55464763175371</v>
      </c>
      <c r="K59" s="370">
        <f>K53/Semidetached!K$4</f>
        <v>50.371134942132031</v>
      </c>
      <c r="L59" s="370">
        <f>L53/Semidetached!L$4</f>
        <v>69.327373587761727</v>
      </c>
      <c r="M59" s="370">
        <f>M53/Semidetached!M$4</f>
        <v>80.202914535016887</v>
      </c>
      <c r="N59" s="370">
        <f>N53/Semidetached!N$4</f>
        <v>92.573716321099795</v>
      </c>
      <c r="O59" s="370">
        <f>O53/Semidetached!O$4</f>
        <v>70.836086934271705</v>
      </c>
      <c r="P59" s="370">
        <f>P53/Semidetached!P$4</f>
        <v>145.23388292048642</v>
      </c>
      <c r="Q59" s="370">
        <f>Q53/Semidetached!Q$4</f>
        <v>127.09817306481658</v>
      </c>
      <c r="R59" s="370">
        <f>R53/Semidetached!R$4</f>
        <v>93.93894020190676</v>
      </c>
      <c r="S59" s="370">
        <f>S53/Semidetached!S$4</f>
        <v>85.076693144210438</v>
      </c>
      <c r="T59" s="370">
        <f>T53/Semidetached!T$4</f>
        <v>78.409838258144177</v>
      </c>
      <c r="U59" s="370">
        <f>U53/Semidetached!U$4</f>
        <v>89.803288927572964</v>
      </c>
      <c r="V59" s="370">
        <f>V53/Semidetached!V$4</f>
        <v>101.02278431097899</v>
      </c>
      <c r="W59" s="370">
        <f>W53/Semidetached!W$4</f>
        <v>81.776104402730908</v>
      </c>
      <c r="X59" s="370">
        <f>X53/Semidetached!X$4</f>
        <v>93.536394488524792</v>
      </c>
      <c r="Y59" s="370">
        <f>Y53/Semidetached!Y$4</f>
        <v>35.265257490760483</v>
      </c>
      <c r="Z59" s="370">
        <f>Z53/Semidetached!Z$4</f>
        <v>82.179697333336307</v>
      </c>
      <c r="AA59" s="370">
        <f>AA53/Semidetached!AA$4</f>
        <v>68.396906173227009</v>
      </c>
      <c r="AB59" s="370">
        <f>AB53/Semidetached!AB$4</f>
        <v>112.95431349812841</v>
      </c>
      <c r="AC59" s="370">
        <f>AC53/Semidetached!AC$4</f>
        <v>80.970699531193745</v>
      </c>
      <c r="AD59" s="370">
        <f>AD53/Semidetached!AD$4</f>
        <v>159.75648356915599</v>
      </c>
      <c r="AE59" s="370">
        <f>AE53/Semidetached!AE$4</f>
        <v>66.597734505388075</v>
      </c>
      <c r="AF59" s="370">
        <f>AF53/Semidetached!AF$4</f>
        <v>107.23962086211451</v>
      </c>
      <c r="AG59" s="370">
        <f>AG53/Semidetached!AG$4</f>
        <v>156.81838280341131</v>
      </c>
      <c r="AH59" s="370">
        <f>AH53/Semidetached!AH$4</f>
        <v>84.085517241692756</v>
      </c>
      <c r="AI59" s="370">
        <f>AI53/Semidetached!AI$4</f>
        <v>140.67566534306079</v>
      </c>
      <c r="AJ59" s="370">
        <f>AJ53/Semidetached!AJ$4</f>
        <v>129.04416444961058</v>
      </c>
      <c r="AK59" s="370">
        <f>AK53/Semidetached!AK$4</f>
        <v>104.262850585636</v>
      </c>
      <c r="AL59" s="370">
        <f>AL53/Semidetached!AL$4</f>
        <v>119.46388574540559</v>
      </c>
      <c r="AM59" s="370">
        <f>AM53/Semidetached!AM$4</f>
        <v>118.6658692252237</v>
      </c>
      <c r="AN59" s="371">
        <f>AN53/Semidetached!AN$4</f>
        <v>118.66586922522369</v>
      </c>
    </row>
    <row r="60" spans="1:40">
      <c r="A60" s="154"/>
      <c r="B60" s="347" t="s">
        <v>6</v>
      </c>
      <c r="C60" s="367" t="s">
        <v>190</v>
      </c>
      <c r="D60" s="369">
        <f>D54/Semidetached!D$4</f>
        <v>72.734129670015136</v>
      </c>
      <c r="E60" s="370">
        <f>E54/Semidetached!E$4</f>
        <v>132.34537042575414</v>
      </c>
      <c r="F60" s="370">
        <f>F54/Semidetached!F$4</f>
        <v>93.445121955665115</v>
      </c>
      <c r="G60" s="370">
        <f>G54/Semidetached!G$4</f>
        <v>69.837363837473362</v>
      </c>
      <c r="H60" s="370">
        <f>H54/Semidetached!H$4</f>
        <v>59.458848812656875</v>
      </c>
      <c r="I60" s="370">
        <f>I54/Semidetached!I$4</f>
        <v>78.826816449864566</v>
      </c>
      <c r="J60" s="370">
        <f>J54/Semidetached!J$4</f>
        <v>48.680875198838528</v>
      </c>
      <c r="K60" s="370">
        <f>K54/Semidetached!K$4</f>
        <v>50.371134942132031</v>
      </c>
      <c r="L60" s="370">
        <f>L54/Semidetached!L$4</f>
        <v>60.760058204344034</v>
      </c>
      <c r="M60" s="370">
        <f>M54/Semidetached!M$4</f>
        <v>80.202914535016887</v>
      </c>
      <c r="N60" s="370">
        <f>N54/Semidetached!N$4</f>
        <v>91.234837572390106</v>
      </c>
      <c r="O60" s="370">
        <f>O54/Semidetached!O$4</f>
        <v>43.479902925257051</v>
      </c>
      <c r="P60" s="370">
        <f>P54/Semidetached!P$4</f>
        <v>145.23388292048642</v>
      </c>
      <c r="Q60" s="370">
        <f>Q54/Semidetached!Q$4</f>
        <v>91.668456286098902</v>
      </c>
      <c r="R60" s="370">
        <f>R54/Semidetached!R$4</f>
        <v>93.93894020190676</v>
      </c>
      <c r="S60" s="370">
        <f>S54/Semidetached!S$4</f>
        <v>72.197350340213447</v>
      </c>
      <c r="T60" s="370">
        <f>T54/Semidetached!T$4</f>
        <v>77.27275102050838</v>
      </c>
      <c r="U60" s="370">
        <f>U54/Semidetached!U$4</f>
        <v>82.916413027536592</v>
      </c>
      <c r="V60" s="370">
        <f>V54/Semidetached!V$4</f>
        <v>101.02278431097899</v>
      </c>
      <c r="W60" s="370">
        <f>W54/Semidetached!W$4</f>
        <v>72.472358772171177</v>
      </c>
      <c r="X60" s="370">
        <f>X54/Semidetached!X$4</f>
        <v>91.605198435609765</v>
      </c>
      <c r="Y60" s="370">
        <f>Y54/Semidetached!Y$4</f>
        <v>34.482401270573902</v>
      </c>
      <c r="Z60" s="370">
        <f>Z54/Semidetached!Z$4</f>
        <v>74.977168548183016</v>
      </c>
      <c r="AA60" s="370">
        <f>AA54/Semidetached!AA$4</f>
        <v>60.397270110612965</v>
      </c>
      <c r="AB60" s="370">
        <f>AB54/Semidetached!AB$4</f>
        <v>112.95431349812841</v>
      </c>
      <c r="AC60" s="370">
        <f>AC54/Semidetached!AC$4</f>
        <v>75.065886293007239</v>
      </c>
      <c r="AD60" s="370">
        <f>AD54/Semidetached!AD$4</f>
        <v>159.75648356915599</v>
      </c>
      <c r="AE60" s="370">
        <f>AE54/Semidetached!AE$4</f>
        <v>58.822513466571912</v>
      </c>
      <c r="AF60" s="370">
        <f>AF54/Semidetached!AF$4</f>
        <v>76.248349585613724</v>
      </c>
      <c r="AG60" s="370">
        <f>AG54/Semidetached!AG$4</f>
        <v>140.34114349104212</v>
      </c>
      <c r="AH60" s="370">
        <f>AH54/Semidetached!AH$4</f>
        <v>69.655317937741899</v>
      </c>
      <c r="AI60" s="370">
        <f>AI54/Semidetached!AI$4</f>
        <v>140.67566534306079</v>
      </c>
      <c r="AJ60" s="370">
        <f>AJ54/Semidetached!AJ$4</f>
        <v>120.60011814508591</v>
      </c>
      <c r="AK60" s="370">
        <f>AK54/Semidetached!AK$4</f>
        <v>97.272217473787421</v>
      </c>
      <c r="AL60" s="370">
        <f>AL54/Semidetached!AL$4</f>
        <v>90.833633363547904</v>
      </c>
      <c r="AM60" s="370">
        <f>AM54/Semidetached!AM$4</f>
        <v>110.90092999857833</v>
      </c>
      <c r="AN60" s="371">
        <f>AN54/Semidetached!AN$4</f>
        <v>110.90092999857832</v>
      </c>
    </row>
    <row r="61" spans="1:40">
      <c r="A61" s="155"/>
      <c r="B61" s="338" t="s">
        <v>7</v>
      </c>
      <c r="C61" s="368" t="s">
        <v>190</v>
      </c>
      <c r="D61" s="378">
        <f>D55/Semidetached!D$4</f>
        <v>64.160246837071327</v>
      </c>
      <c r="E61" s="379">
        <f>E55/Semidetached!E$4</f>
        <v>78.387383248405769</v>
      </c>
      <c r="F61" s="379">
        <f>F55/Semidetached!F$4</f>
        <v>64.067538280561749</v>
      </c>
      <c r="G61" s="379">
        <f>G55/Semidetached!G$4</f>
        <v>61.528547181595322</v>
      </c>
      <c r="H61" s="379">
        <f>H55/Semidetached!H$4</f>
        <v>47.955197719436356</v>
      </c>
      <c r="I61" s="379">
        <f>I55/Semidetached!I$4</f>
        <v>65.334298817924875</v>
      </c>
      <c r="J61" s="379">
        <f>J55/Semidetached!J$4</f>
        <v>52.616207086257766</v>
      </c>
      <c r="K61" s="379">
        <f>K55/Semidetached!K$4</f>
        <v>38.427254558594456</v>
      </c>
      <c r="L61" s="379">
        <f>L55/Semidetached!L$4</f>
        <v>60.760058204344034</v>
      </c>
      <c r="M61" s="379">
        <f>M55/Semidetached!M$4</f>
        <v>52.372183089305572</v>
      </c>
      <c r="N61" s="379">
        <f>N55/Semidetached!N$4</f>
        <v>84.414120487627471</v>
      </c>
      <c r="O61" s="379">
        <f>O55/Semidetached!O$4</f>
        <v>42.342914547145767</v>
      </c>
      <c r="P61" s="379">
        <f>P55/Semidetached!P$4</f>
        <v>48.794395165754011</v>
      </c>
      <c r="Q61" s="379">
        <f>Q55/Semidetached!Q$4</f>
        <v>59.660501409777645</v>
      </c>
      <c r="R61" s="379">
        <f>R55/Semidetached!R$4</f>
        <v>61.07435514659312</v>
      </c>
      <c r="S61" s="379">
        <f>S55/Semidetached!S$4</f>
        <v>45.947705514012156</v>
      </c>
      <c r="T61" s="379">
        <f>T55/Semidetached!T$4</f>
        <v>71.477580055820141</v>
      </c>
      <c r="U61" s="379">
        <f>U55/Semidetached!U$4</f>
        <v>82.916413027536592</v>
      </c>
      <c r="V61" s="379">
        <f>V55/Semidetached!V$4</f>
        <v>58.958083045372369</v>
      </c>
      <c r="W61" s="379">
        <f>W55/Semidetached!W$4</f>
        <v>60.554192852473669</v>
      </c>
      <c r="X61" s="379">
        <f>X55/Semidetached!X$4</f>
        <v>57.596236911381062</v>
      </c>
      <c r="Y61" s="379">
        <f>Y55/Semidetached!Y$4</f>
        <v>33.051948008129152</v>
      </c>
      <c r="Z61" s="379">
        <f>Z55/Semidetached!Z$4</f>
        <v>53.749892080517519</v>
      </c>
      <c r="AA61" s="379">
        <f>AA55/Semidetached!AA$4</f>
        <v>60.397270110612965</v>
      </c>
      <c r="AB61" s="379">
        <f>AB55/Semidetached!AB$4</f>
        <v>87.887774927379624</v>
      </c>
      <c r="AC61" s="379">
        <f>AC55/Semidetached!AC$4</f>
        <v>50.269647372321764</v>
      </c>
      <c r="AD61" s="379">
        <f>AD55/Semidetached!AD$4</f>
        <v>134.61969854354891</v>
      </c>
      <c r="AE61" s="379">
        <f>AE55/Semidetached!AE$4</f>
        <v>58.822513466571912</v>
      </c>
      <c r="AF61" s="379">
        <f>AF55/Semidetached!AF$4</f>
        <v>44.450417886068841</v>
      </c>
      <c r="AG61" s="379">
        <f>AG55/Semidetached!AG$4</f>
        <v>89.135260590157884</v>
      </c>
      <c r="AH61" s="379">
        <f>AH55/Semidetached!AH$4</f>
        <v>59.202053191431155</v>
      </c>
      <c r="AI61" s="379">
        <f>AI55/Semidetached!AI$4</f>
        <v>47.263954794248264</v>
      </c>
      <c r="AJ61" s="379">
        <f>AJ55/Semidetached!AJ$4</f>
        <v>107.01197855462105</v>
      </c>
      <c r="AK61" s="379">
        <f>AK55/Semidetached!AK$4</f>
        <v>86.255052863967265</v>
      </c>
      <c r="AL61" s="379">
        <f>AL55/Semidetached!AL$4</f>
        <v>62.238282003349603</v>
      </c>
      <c r="AM61" s="379">
        <f>AM55/Semidetached!AM$4</f>
        <v>98.405607931645051</v>
      </c>
      <c r="AN61" s="380">
        <f>AN55/Semidetached!AN$4</f>
        <v>98.405607931645037</v>
      </c>
    </row>
    <row r="62" spans="1:40">
      <c r="A62" s="334" t="s">
        <v>299</v>
      </c>
      <c r="B62" s="359" t="s">
        <v>2</v>
      </c>
      <c r="C62" s="366" t="s">
        <v>190</v>
      </c>
      <c r="D62" s="376">
        <f>Semidetached!D$48-D56</f>
        <v>3.5508995918006576</v>
      </c>
      <c r="E62" s="376">
        <f>Semidetached!E$48-E56</f>
        <v>7.5981246820229558</v>
      </c>
      <c r="F62" s="376">
        <f>Semidetached!F$48-F56</f>
        <v>5.8259662675264963</v>
      </c>
      <c r="G62" s="376">
        <f>Semidetached!G$48-G56</f>
        <v>3.305070648516562</v>
      </c>
      <c r="H62" s="376">
        <f>Semidetached!H$48-H56</f>
        <v>1.0888567241386227</v>
      </c>
      <c r="I62" s="376">
        <f>Semidetached!I$48-I56</f>
        <v>5.9482265750194188</v>
      </c>
      <c r="J62" s="376">
        <f>Semidetached!J$48-J56</f>
        <v>7.4899168720521061</v>
      </c>
      <c r="K62" s="376">
        <f>Semidetached!K$48-K56</f>
        <v>3.558805372827166</v>
      </c>
      <c r="L62" s="376">
        <f>Semidetached!L$48-L56</f>
        <v>0.22383740396870166</v>
      </c>
      <c r="M62" s="376">
        <f>Semidetached!M$48-M56</f>
        <v>8.3021544488412076</v>
      </c>
      <c r="N62" s="376">
        <f>Semidetached!N$48-N56</f>
        <v>4.9298434675827423</v>
      </c>
      <c r="O62" s="376">
        <f>Semidetached!O$48-O56</f>
        <v>7.2834901752884207</v>
      </c>
      <c r="P62" s="376">
        <f>Semidetached!P$48-P56</f>
        <v>3.412843223573276</v>
      </c>
      <c r="Q62" s="376">
        <f>Semidetached!Q$48-Q56</f>
        <v>15.363972694394207</v>
      </c>
      <c r="R62" s="376">
        <f>Semidetached!R$48-R56</f>
        <v>3.7435197825875832</v>
      </c>
      <c r="S62" s="376">
        <f>Semidetached!S$48-S56</f>
        <v>8.1460673881998105</v>
      </c>
      <c r="T62" s="376">
        <f>Semidetached!T$48-T56</f>
        <v>4.1461541880335631</v>
      </c>
      <c r="U62" s="376">
        <f>Semidetached!U$48-U56</f>
        <v>9.1307183664654588</v>
      </c>
      <c r="V62" s="376">
        <f>Semidetached!V$48-V56</f>
        <v>3.022414286417785</v>
      </c>
      <c r="W62" s="376">
        <f>Semidetached!W$48-W56</f>
        <v>14.181822176321731</v>
      </c>
      <c r="X62" s="376">
        <f>Semidetached!X$48-X56</f>
        <v>6.8636385972102687</v>
      </c>
      <c r="Y62" s="376">
        <f>Semidetached!Y$48-Y56</f>
        <v>2.6834381599902883</v>
      </c>
      <c r="Z62" s="376">
        <f>Semidetached!Z$48-Z56</f>
        <v>6.6219821393787299</v>
      </c>
      <c r="AA62" s="376">
        <f>Semidetached!AA$48-AA56</f>
        <v>6.5019193291930151</v>
      </c>
      <c r="AB62" s="376">
        <f>Semidetached!AB$48-AB56</f>
        <v>9.7820879160622951</v>
      </c>
      <c r="AC62" s="376">
        <f>Semidetached!AC$48-AC56</f>
        <v>3.511895340449513</v>
      </c>
      <c r="AD62" s="376">
        <f>Semidetached!AD$48-AD56</f>
        <v>5.6085526933928236</v>
      </c>
      <c r="AE62" s="376">
        <f>Semidetached!AE$48-AE56</f>
        <v>6.4237362810104912</v>
      </c>
      <c r="AF62" s="376">
        <f>Semidetached!AF$48-AF56</f>
        <v>3.3805472007670971</v>
      </c>
      <c r="AG62" s="376">
        <f>Semidetached!AG$48-AG56</f>
        <v>10.344533085929413</v>
      </c>
      <c r="AH62" s="376">
        <f>Semidetached!AH$48-AH56</f>
        <v>10.948388926644355</v>
      </c>
      <c r="AI62" s="376">
        <f>Semidetached!AI$48-AI56</f>
        <v>3.4085443572788847</v>
      </c>
      <c r="AJ62" s="376">
        <f>Semidetached!AJ$48-AJ56</f>
        <v>8.2874221378189361</v>
      </c>
      <c r="AK62" s="376">
        <f>Semidetached!AK$48-AK56</f>
        <v>5.4468527476589372</v>
      </c>
      <c r="AL62" s="376">
        <f>Semidetached!AL$48-AL56</f>
        <v>5.3967508244296596</v>
      </c>
      <c r="AM62" s="376">
        <f>Semidetached!AM$48-AM56</f>
        <v>7.6209114593838478</v>
      </c>
      <c r="AN62" s="377">
        <f>Semidetached!AN$48-AN56</f>
        <v>7.6209114593838478</v>
      </c>
    </row>
    <row r="63" spans="1:40">
      <c r="A63" s="154"/>
      <c r="B63" s="347" t="s">
        <v>3</v>
      </c>
      <c r="C63" s="367" t="s">
        <v>190</v>
      </c>
      <c r="D63" s="370">
        <f>Semidetached!D$49-D57</f>
        <v>3.5937126482045585</v>
      </c>
      <c r="E63" s="370">
        <f>Semidetached!E$49-E57</f>
        <v>7.5981246820229558</v>
      </c>
      <c r="F63" s="370">
        <f>Semidetached!F$49-F57</f>
        <v>5.8259662675264963</v>
      </c>
      <c r="G63" s="370">
        <f>Semidetached!G$49-G57</f>
        <v>3.3444101787474096</v>
      </c>
      <c r="H63" s="370">
        <f>Semidetached!H$49-H57</f>
        <v>1.0995686522228567</v>
      </c>
      <c r="I63" s="370">
        <f>Semidetached!I$49-I57</f>
        <v>6.1831201103751425</v>
      </c>
      <c r="J63" s="370">
        <f>Semidetached!J$49-J57</f>
        <v>4.0454863473927958</v>
      </c>
      <c r="K63" s="370">
        <f>Semidetached!K$49-K57</f>
        <v>3.4199217693535644</v>
      </c>
      <c r="L63" s="370">
        <f>Semidetached!L$49-L57</f>
        <v>0.22383740396870166</v>
      </c>
      <c r="M63" s="370">
        <f>Semidetached!M$49-M57</f>
        <v>8.4646024086050176</v>
      </c>
      <c r="N63" s="370">
        <f>Semidetached!N$49-N57</f>
        <v>5.0289952216944585</v>
      </c>
      <c r="O63" s="370">
        <f>Semidetached!O$49-O57</f>
        <v>7.2834901752884207</v>
      </c>
      <c r="P63" s="370">
        <f>Semidetached!P$49-P57</f>
        <v>3.412843223573276</v>
      </c>
      <c r="Q63" s="370">
        <f>Semidetached!Q$49-Q57</f>
        <v>15.205209598818527</v>
      </c>
      <c r="R63" s="370">
        <f>Semidetached!R$49-R57</f>
        <v>3.7435197825875832</v>
      </c>
      <c r="S63" s="370">
        <f>Semidetached!S$49-S57</f>
        <v>8.1188625195494808</v>
      </c>
      <c r="T63" s="370">
        <f>Semidetached!T$49-T57</f>
        <v>4.229785032806916</v>
      </c>
      <c r="U63" s="370">
        <f>Semidetached!U$49-U57</f>
        <v>9.2181232758090204</v>
      </c>
      <c r="V63" s="370">
        <f>Semidetached!V$49-V57</f>
        <v>3.022414286417785</v>
      </c>
      <c r="W63" s="370">
        <f>Semidetached!W$49-W57</f>
        <v>10.56865398276409</v>
      </c>
      <c r="X63" s="370">
        <f>Semidetached!X$49-X57</f>
        <v>5.494960743489969</v>
      </c>
      <c r="Y63" s="370">
        <f>Semidetached!Y$49-Y57</f>
        <v>2.6843194045496759</v>
      </c>
      <c r="Z63" s="370">
        <f>Semidetached!Z$49-Z57</f>
        <v>5.752773569685445</v>
      </c>
      <c r="AA63" s="370">
        <f>Semidetached!AA$49-AA57</f>
        <v>6.2046425076654685</v>
      </c>
      <c r="AB63" s="370">
        <f>Semidetached!AB$49-AB57</f>
        <v>5.4946685957929446</v>
      </c>
      <c r="AC63" s="370">
        <f>Semidetached!AC$49-AC57</f>
        <v>3.715300308748084</v>
      </c>
      <c r="AD63" s="370">
        <f>Semidetached!AD$49-AD57</f>
        <v>5.0780562684564927</v>
      </c>
      <c r="AE63" s="370">
        <f>Semidetached!AE$49-AE57</f>
        <v>6.1300589247021691</v>
      </c>
      <c r="AF63" s="370">
        <f>Semidetached!AF$49-AF57</f>
        <v>3.3805472007670971</v>
      </c>
      <c r="AG63" s="370">
        <f>Semidetached!AG$49-AG57</f>
        <v>10.688605706703612</v>
      </c>
      <c r="AH63" s="370">
        <f>Semidetached!AH$49-AH57</f>
        <v>10.535423285836288</v>
      </c>
      <c r="AI63" s="370">
        <f>Semidetached!AI$49-AI57</f>
        <v>3.4085443572788847</v>
      </c>
      <c r="AJ63" s="370">
        <f>Semidetached!AJ$49-AJ57</f>
        <v>8.2874221378189361</v>
      </c>
      <c r="AK63" s="370">
        <f>Semidetached!AK$49-AK57</f>
        <v>5.4468527476589372</v>
      </c>
      <c r="AL63" s="370">
        <f>Semidetached!AL$49-AL57</f>
        <v>5.3967508244296596</v>
      </c>
      <c r="AM63" s="370">
        <f>Semidetached!AM$49-AM57</f>
        <v>7.6209114593838478</v>
      </c>
      <c r="AN63" s="371">
        <f>Semidetached!AN$49-AN57</f>
        <v>7.6209114593838478</v>
      </c>
    </row>
    <row r="64" spans="1:40">
      <c r="A64" s="154"/>
      <c r="B64" s="347" t="s">
        <v>4</v>
      </c>
      <c r="C64" s="367" t="s">
        <v>190</v>
      </c>
      <c r="D64" s="370">
        <f>Semidetached!D$50-D58</f>
        <v>2.8220783049789873</v>
      </c>
      <c r="E64" s="370">
        <f>Semidetached!E$50-E58</f>
        <v>7.5981246820229558</v>
      </c>
      <c r="F64" s="370">
        <f>Semidetached!F$50-F58</f>
        <v>5.8939844193024555</v>
      </c>
      <c r="G64" s="370">
        <f>Semidetached!G$50-G58</f>
        <v>2.6268579996250594</v>
      </c>
      <c r="H64" s="370">
        <f>Semidetached!H$50-H58</f>
        <v>4.5321605540509751</v>
      </c>
      <c r="I64" s="370">
        <f>Semidetached!I$50-I58</f>
        <v>6.1831201103751425</v>
      </c>
      <c r="J64" s="370">
        <f>Semidetached!J$50-J58</f>
        <v>5.1022339372349848</v>
      </c>
      <c r="K64" s="370">
        <f>Semidetached!K$50-K58</f>
        <v>3.560441996661261</v>
      </c>
      <c r="L64" s="370">
        <f>Semidetached!L$50-L58</f>
        <v>0.23298993754033859</v>
      </c>
      <c r="M64" s="370">
        <f>Semidetached!M$50-M58</f>
        <v>8.4646024086050176</v>
      </c>
      <c r="N64" s="370">
        <f>Semidetached!N$50-N58</f>
        <v>3.6546056291468716</v>
      </c>
      <c r="O64" s="370">
        <f>Semidetached!O$50-O58</f>
        <v>6.1034389976571646</v>
      </c>
      <c r="P64" s="370">
        <f>Semidetached!P$50-P58</f>
        <v>3.412843223573276</v>
      </c>
      <c r="Q64" s="370">
        <f>Semidetached!Q$50-Q58</f>
        <v>7.4348883041440814</v>
      </c>
      <c r="R64" s="370">
        <f>Semidetached!R$50-R58</f>
        <v>3.8439486152795013</v>
      </c>
      <c r="S64" s="370">
        <f>Semidetached!S$50-S58</f>
        <v>8.4194499058634733</v>
      </c>
      <c r="T64" s="370">
        <f>Semidetached!T$50-T58</f>
        <v>3.0739253083387297</v>
      </c>
      <c r="U64" s="370">
        <f>Semidetached!U$50-U58</f>
        <v>7.3995920492277918</v>
      </c>
      <c r="V64" s="370">
        <f>Semidetached!V$50-V58</f>
        <v>0.7137342482497786</v>
      </c>
      <c r="W64" s="370">
        <f>Semidetached!W$50-W58</f>
        <v>7.4461726949064087</v>
      </c>
      <c r="X64" s="370">
        <f>Semidetached!X$50-X58</f>
        <v>5.5764677623159571</v>
      </c>
      <c r="Y64" s="370">
        <f>Semidetached!Y$50-Y58</f>
        <v>2.7644408818781869</v>
      </c>
      <c r="Z64" s="370">
        <f>Semidetached!Z$50-Z58</f>
        <v>5.798733382195735</v>
      </c>
      <c r="AA64" s="370">
        <f>Semidetached!AA$50-AA58</f>
        <v>6.4499329969388413</v>
      </c>
      <c r="AB64" s="370">
        <f>Semidetached!AB$50-AB58</f>
        <v>3.670751971218678</v>
      </c>
      <c r="AC64" s="370">
        <f>Semidetached!AC$50-AC58</f>
        <v>3.7305656092460424</v>
      </c>
      <c r="AD64" s="370">
        <f>Semidetached!AD$50-AD58</f>
        <v>5.0780562684564927</v>
      </c>
      <c r="AE64" s="370">
        <f>Semidetached!AE$50-AE58</f>
        <v>6.3703918528140377</v>
      </c>
      <c r="AF64" s="370">
        <f>Semidetached!AF$50-AF58</f>
        <v>1.9649950784414045</v>
      </c>
      <c r="AG64" s="370">
        <f>Semidetached!AG$50-AG58</f>
        <v>10.688605706703612</v>
      </c>
      <c r="AH64" s="370">
        <f>Semidetached!AH$50-AH58</f>
        <v>9.4474950397788575</v>
      </c>
      <c r="AI64" s="370">
        <f>Semidetached!AI$50-AI58</f>
        <v>3.4085443572788847</v>
      </c>
      <c r="AJ64" s="370">
        <f>Semidetached!AJ$50-AJ58</f>
        <v>8.2874221378189361</v>
      </c>
      <c r="AK64" s="370">
        <f>Semidetached!AK$50-AK58</f>
        <v>5.4468527476589372</v>
      </c>
      <c r="AL64" s="370">
        <f>Semidetached!AL$50-AL58</f>
        <v>5.4601936692516801</v>
      </c>
      <c r="AM64" s="370">
        <f>Semidetached!AM$50-AM58</f>
        <v>7.6209114593838478</v>
      </c>
      <c r="AN64" s="371">
        <f>Semidetached!AN$50-AN58</f>
        <v>7.6209114593838478</v>
      </c>
    </row>
    <row r="65" spans="1:40">
      <c r="A65" s="154"/>
      <c r="B65" s="347" t="s">
        <v>5</v>
      </c>
      <c r="C65" s="367" t="s">
        <v>190</v>
      </c>
      <c r="D65" s="370">
        <f>Semidetached!D$51-D59</f>
        <v>0.50518130883320111</v>
      </c>
      <c r="E65" s="370">
        <f>Semidetached!E$51-E59</f>
        <v>6.6308422252761545</v>
      </c>
      <c r="F65" s="370">
        <f>Semidetached!F$51-F59</f>
        <v>6.0705760677105332</v>
      </c>
      <c r="G65" s="370">
        <f>Semidetached!G$51-G59</f>
        <v>0.47036316738036987</v>
      </c>
      <c r="H65" s="370">
        <f>Semidetached!H$51-H59</f>
        <v>4.5626080677208947</v>
      </c>
      <c r="I65" s="370">
        <f>Semidetached!I$51-I59</f>
        <v>6.3325921921201314</v>
      </c>
      <c r="J65" s="370">
        <f>Semidetached!J$51-J59</f>
        <v>4.2451722948744361</v>
      </c>
      <c r="K65" s="370">
        <f>Semidetached!K$51-K59</f>
        <v>3.2576244141585704</v>
      </c>
      <c r="L65" s="370">
        <f>Semidetached!L$51-L59</f>
        <v>-5.7289909800871115</v>
      </c>
      <c r="M65" s="370">
        <f>Semidetached!M$51-M59</f>
        <v>3.6651203682733069</v>
      </c>
      <c r="N65" s="370">
        <f>Semidetached!N$51-N59</f>
        <v>0.54095129069942516</v>
      </c>
      <c r="O65" s="370">
        <f>Semidetached!O$51-O59</f>
        <v>4.679818043458269</v>
      </c>
      <c r="P65" s="370">
        <f>Semidetached!P$51-P59</f>
        <v>3.4330931618404179</v>
      </c>
      <c r="Q65" s="370">
        <f>Semidetached!Q$51-Q59</f>
        <v>7.4348883041440814</v>
      </c>
      <c r="R65" s="370">
        <f>Semidetached!R$51-R59</f>
        <v>4.0696081351028823</v>
      </c>
      <c r="S65" s="370">
        <f>Semidetached!S$51-S59</f>
        <v>5.977989194483925</v>
      </c>
      <c r="T65" s="370">
        <f>Semidetached!T$51-T59</f>
        <v>0.45500687203295342</v>
      </c>
      <c r="U65" s="370">
        <f>Semidetached!U$51-U59</f>
        <v>3.9817513228553025</v>
      </c>
      <c r="V65" s="370">
        <f>Semidetached!V$51-V59</f>
        <v>0.7137342482497786</v>
      </c>
      <c r="W65" s="370">
        <f>Semidetached!W$51-W59</f>
        <v>1.7644568050751843</v>
      </c>
      <c r="X65" s="370">
        <f>Semidetached!X$51-X59</f>
        <v>0.77383704787213503</v>
      </c>
      <c r="Y65" s="370">
        <f>Semidetached!Y$51-Y59</f>
        <v>2.8200463004629555</v>
      </c>
      <c r="Z65" s="370">
        <f>Semidetached!Z$51-Z59</f>
        <v>6.0520315653873809</v>
      </c>
      <c r="AA65" s="370">
        <f>Semidetached!AA$51-AA59</f>
        <v>5.7016674008431778</v>
      </c>
      <c r="AB65" s="370">
        <f>Semidetached!AB$51-AB59</f>
        <v>3.670751971218678</v>
      </c>
      <c r="AC65" s="370">
        <f>Semidetached!AC$51-AC59</f>
        <v>3.900676725522402</v>
      </c>
      <c r="AD65" s="370">
        <f>Semidetached!AD$51-AD59</f>
        <v>4.5757638867274579</v>
      </c>
      <c r="AE65" s="370">
        <f>Semidetached!AE$51-AE59</f>
        <v>5.631428833533576</v>
      </c>
      <c r="AF65" s="370">
        <f>Semidetached!AF$51-AF59</f>
        <v>-0.51380262492256179</v>
      </c>
      <c r="AG65" s="370">
        <f>Semidetached!AG$51-AG59</f>
        <v>6.5936019974802775</v>
      </c>
      <c r="AH65" s="370">
        <f>Semidetached!AH$51-AH59</f>
        <v>10.033907499884393</v>
      </c>
      <c r="AI65" s="370">
        <f>Semidetached!AI$51-AI59</f>
        <v>3.4293841094633706</v>
      </c>
      <c r="AJ65" s="370">
        <f>Semidetached!AJ$51-AJ59</f>
        <v>8.5324677053963285</v>
      </c>
      <c r="AK65" s="370">
        <f>Semidetached!AK$51-AK59</f>
        <v>5.6134419141726539</v>
      </c>
      <c r="AL65" s="370">
        <f>Semidetached!AL$51-AL59</f>
        <v>5.6248070705375142</v>
      </c>
      <c r="AM65" s="370">
        <f>Semidetached!AM$51-AM59</f>
        <v>7.846249392334002</v>
      </c>
      <c r="AN65" s="371">
        <f>Semidetached!AN$51-AN59</f>
        <v>7.846249392334002</v>
      </c>
    </row>
    <row r="66" spans="1:40">
      <c r="A66" s="154"/>
      <c r="B66" s="347" t="s">
        <v>6</v>
      </c>
      <c r="C66" s="367" t="s">
        <v>190</v>
      </c>
      <c r="D66" s="370">
        <f>Semidetached!D$52-D60</f>
        <v>-0.51954832662586625</v>
      </c>
      <c r="E66" s="370">
        <f>Semidetached!E$52-E60</f>
        <v>6.6308422252761545</v>
      </c>
      <c r="F66" s="370">
        <f>Semidetached!F$52-F60</f>
        <v>6.3802262530625029</v>
      </c>
      <c r="G66" s="370">
        <f>Semidetached!G$52-G60</f>
        <v>-0.48373108674833531</v>
      </c>
      <c r="H66" s="370">
        <f>Semidetached!H$52-H60</f>
        <v>-0.11210025632222198</v>
      </c>
      <c r="I66" s="370">
        <f>Semidetached!I$52-I60</f>
        <v>4.2469051888007812</v>
      </c>
      <c r="J66" s="370">
        <f>Semidetached!J$52-J60</f>
        <v>-0.53522551065217527</v>
      </c>
      <c r="K66" s="370">
        <f>Semidetached!K$52-K60</f>
        <v>3.2576244141585704</v>
      </c>
      <c r="L66" s="370">
        <f>Semidetached!L$52-L60</f>
        <v>-6.5159667772678773</v>
      </c>
      <c r="M66" s="370">
        <f>Semidetached!M$52-M60</f>
        <v>3.6651203682733069</v>
      </c>
      <c r="N66" s="370">
        <f>Semidetached!N$52-N60</f>
        <v>0.54244922507002968</v>
      </c>
      <c r="O66" s="370">
        <f>Semidetached!O$52-O60</f>
        <v>0.77056109629143066</v>
      </c>
      <c r="P66" s="370">
        <f>Semidetached!P$52-P60</f>
        <v>3.4330931618404179</v>
      </c>
      <c r="Q66" s="370">
        <f>Semidetached!Q$52-Q60</f>
        <v>4.2652110650655572</v>
      </c>
      <c r="R66" s="370">
        <f>Semidetached!R$52-R60</f>
        <v>4.0696081351028823</v>
      </c>
      <c r="S66" s="370">
        <f>Semidetached!S$52-S60</f>
        <v>6.1594335091831169</v>
      </c>
      <c r="T66" s="370">
        <f>Semidetached!T$52-T60</f>
        <v>0.45627027810168386</v>
      </c>
      <c r="U66" s="370">
        <f>Semidetached!U$52-U60</f>
        <v>4.0410828058114134</v>
      </c>
      <c r="V66" s="370">
        <f>Semidetached!V$52-V60</f>
        <v>0.7137342482497786</v>
      </c>
      <c r="W66" s="370">
        <f>Semidetached!W$52-W60</f>
        <v>-0.60354934123706983</v>
      </c>
      <c r="X66" s="370">
        <f>Semidetached!X$52-X60</f>
        <v>0.77690295941253851</v>
      </c>
      <c r="Y66" s="370">
        <f>Semidetached!Y$52-Y60</f>
        <v>2.8315791089590334</v>
      </c>
      <c r="Z66" s="370">
        <f>Semidetached!Z$52-Z60</f>
        <v>4.3689705178273357</v>
      </c>
      <c r="AA66" s="370">
        <f>Semidetached!AA$52-AA60</f>
        <v>5.8314288773002829</v>
      </c>
      <c r="AB66" s="370">
        <f>Semidetached!AB$52-AB60</f>
        <v>3.670751971218678</v>
      </c>
      <c r="AC66" s="370">
        <f>Semidetached!AC$52-AC60</f>
        <v>3.80425843773601</v>
      </c>
      <c r="AD66" s="370">
        <f>Semidetached!AD$52-AD60</f>
        <v>4.5757638867274579</v>
      </c>
      <c r="AE66" s="370">
        <f>Semidetached!AE$52-AE60</f>
        <v>5.7592529053058499</v>
      </c>
      <c r="AF66" s="370">
        <f>Semidetached!AF$52-AF60</f>
        <v>-0.54841619664922803</v>
      </c>
      <c r="AG66" s="370">
        <f>Semidetached!AG$52-AG60</f>
        <v>6.7308220255256117</v>
      </c>
      <c r="AH66" s="370">
        <f>Semidetached!AH$52-AH60</f>
        <v>2.3592825578585916</v>
      </c>
      <c r="AI66" s="370">
        <f>Semidetached!AI$52-AI60</f>
        <v>3.4293841094633706</v>
      </c>
      <c r="AJ66" s="370">
        <f>Semidetached!AJ$52-AJ60</f>
        <v>9.2987148047763668</v>
      </c>
      <c r="AK66" s="370">
        <f>Semidetached!AK$52-AK60</f>
        <v>6.1205818038233417</v>
      </c>
      <c r="AL66" s="370">
        <f>Semidetached!AL$52-AL60</f>
        <v>5.9163163366165179</v>
      </c>
      <c r="AM66" s="370">
        <f>Semidetached!AM$52-AM60</f>
        <v>8.550871553878892</v>
      </c>
      <c r="AN66" s="371">
        <f>Semidetached!AN$52-AN60</f>
        <v>8.550871553878892</v>
      </c>
    </row>
    <row r="67" spans="1:40">
      <c r="A67" s="155"/>
      <c r="B67" s="338" t="s">
        <v>7</v>
      </c>
      <c r="C67" s="368" t="s">
        <v>190</v>
      </c>
      <c r="D67" s="379">
        <f>Semidetached!D$53-D61</f>
        <v>-1.065186893966839</v>
      </c>
      <c r="E67" s="379">
        <f>Semidetached!E$53-E61</f>
        <v>2.972502545785872</v>
      </c>
      <c r="F67" s="379">
        <f>Semidetached!F$53-F61</f>
        <v>3.7918911894260816</v>
      </c>
      <c r="G67" s="379">
        <f>Semidetached!G$53-G61</f>
        <v>-0.99196296301851561</v>
      </c>
      <c r="H67" s="379">
        <f>Semidetached!H$53-H61</f>
        <v>1.164979451787616</v>
      </c>
      <c r="I67" s="379">
        <f>Semidetached!I$53-I61</f>
        <v>0</v>
      </c>
      <c r="J67" s="379">
        <f>Semidetached!J$53-J61</f>
        <v>-0.52730950829626266</v>
      </c>
      <c r="K67" s="379">
        <f>Semidetached!K$53-K61</f>
        <v>5.372283292754787E-2</v>
      </c>
      <c r="L67" s="379">
        <f>Semidetached!L$53-L61</f>
        <v>-6.5159667772678773</v>
      </c>
      <c r="M67" s="379">
        <f>Semidetached!M$53-M61</f>
        <v>3.4715941837674436</v>
      </c>
      <c r="N67" s="379">
        <f>Semidetached!N$53-N61</f>
        <v>-2.208938984074976</v>
      </c>
      <c r="O67" s="379">
        <f>Semidetached!O$53-O61</f>
        <v>0.47461360603632841</v>
      </c>
      <c r="P67" s="379">
        <f>Semidetached!P$53-P61</f>
        <v>4.2016148159272291</v>
      </c>
      <c r="Q67" s="379">
        <f>Semidetached!Q$53-Q61</f>
        <v>0.66345415392261486</v>
      </c>
      <c r="R67" s="379">
        <f>Semidetached!R$53-R61</f>
        <v>-1.1107938723580801</v>
      </c>
      <c r="S67" s="379">
        <f>Semidetached!S$53-S61</f>
        <v>3.4946613250755405</v>
      </c>
      <c r="T67" s="379">
        <f>Semidetached!T$53-T61</f>
        <v>-1.8580567502858685</v>
      </c>
      <c r="U67" s="379">
        <f>Semidetached!U$53-U61</f>
        <v>1.519709737017223</v>
      </c>
      <c r="V67" s="379">
        <f>Semidetached!V$53-V61</f>
        <v>-0.63374130910001014</v>
      </c>
      <c r="W67" s="379">
        <f>Semidetached!W$53-W61</f>
        <v>-2.5062520458460114</v>
      </c>
      <c r="X67" s="379">
        <f>Semidetached!X$53-X61</f>
        <v>-0.68027244220738936</v>
      </c>
      <c r="Y67" s="379">
        <f>Semidetached!Y$53-Y61</f>
        <v>2.8534350852050494</v>
      </c>
      <c r="Z67" s="379">
        <f>Semidetached!Z$53-Z61</f>
        <v>1.2405432973222972</v>
      </c>
      <c r="AA67" s="379">
        <f>Semidetached!AA$53-AA61</f>
        <v>9.1599628168651748E-2</v>
      </c>
      <c r="AB67" s="379">
        <f>Semidetached!AB$53-AB61</f>
        <v>3.8464226553344076</v>
      </c>
      <c r="AC67" s="379">
        <f>Semidetached!AC$53-AC61</f>
        <v>2.3823130548678009</v>
      </c>
      <c r="AD67" s="379">
        <f>Semidetached!AD$53-AD61</f>
        <v>-2.0344679638644152</v>
      </c>
      <c r="AE67" s="379">
        <f>Semidetached!AE$53-AE61</f>
        <v>9.0476731987962467E-2</v>
      </c>
      <c r="AF67" s="379">
        <f>Semidetached!AF$53-AF61</f>
        <v>-2.4424432561748048</v>
      </c>
      <c r="AG67" s="379">
        <f>Semidetached!AG$53-AG61</f>
        <v>0</v>
      </c>
      <c r="AH67" s="379">
        <f>Semidetached!AH$53-AH61</f>
        <v>0.75042299268562829</v>
      </c>
      <c r="AI67" s="379">
        <f>Semidetached!AI$53-AI61</f>
        <v>4.1963360406641499</v>
      </c>
      <c r="AJ67" s="379">
        <f>Semidetached!AJ$53-AJ61</f>
        <v>6.1265187022074485</v>
      </c>
      <c r="AK67" s="379">
        <f>Semidetached!AK$53-AK61</f>
        <v>4.0317875758306769</v>
      </c>
      <c r="AL67" s="379">
        <f>Semidetached!AL$53-AL61</f>
        <v>3.516455135967739</v>
      </c>
      <c r="AM67" s="379">
        <f>Semidetached!AM$53-AM61</f>
        <v>5.6337973144529059</v>
      </c>
      <c r="AN67" s="380">
        <f>Semidetached!AN$53-AN61</f>
        <v>5.6337973144529059</v>
      </c>
    </row>
    <row r="68" spans="1:40">
      <c r="A68" s="5"/>
      <c r="B68" s="5"/>
      <c r="C68" s="5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</row>
    <row r="69" spans="1:40">
      <c r="A69" s="5" t="s">
        <v>225</v>
      </c>
      <c r="B69" s="5"/>
      <c r="C69" s="5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</row>
    <row r="70" spans="1:40" ht="15" customHeight="1">
      <c r="A70" s="938" t="s">
        <v>123</v>
      </c>
      <c r="B70" s="939"/>
      <c r="C70" s="138" t="s">
        <v>76</v>
      </c>
      <c r="D70" s="194">
        <v>1</v>
      </c>
      <c r="E70" s="195">
        <v>1</v>
      </c>
      <c r="F70" s="195">
        <v>1</v>
      </c>
      <c r="G70" s="195">
        <v>1</v>
      </c>
      <c r="H70" s="195">
        <v>1</v>
      </c>
      <c r="I70" s="195">
        <v>1</v>
      </c>
      <c r="J70" s="195">
        <v>1</v>
      </c>
      <c r="K70" s="195">
        <v>1</v>
      </c>
      <c r="L70" s="195">
        <v>1</v>
      </c>
      <c r="M70" s="195">
        <v>1</v>
      </c>
      <c r="N70" s="195">
        <v>1</v>
      </c>
      <c r="O70" s="195">
        <v>1</v>
      </c>
      <c r="P70" s="195">
        <v>1</v>
      </c>
      <c r="Q70" s="195">
        <v>1</v>
      </c>
      <c r="R70" s="195">
        <v>1</v>
      </c>
      <c r="S70" s="195">
        <v>1</v>
      </c>
      <c r="T70" s="195">
        <v>1</v>
      </c>
      <c r="U70" s="195">
        <v>1</v>
      </c>
      <c r="V70" s="195">
        <v>1</v>
      </c>
      <c r="W70" s="195">
        <v>1</v>
      </c>
      <c r="X70" s="195">
        <v>1</v>
      </c>
      <c r="Y70" s="195">
        <v>1</v>
      </c>
      <c r="Z70" s="195">
        <v>1</v>
      </c>
      <c r="AA70" s="195">
        <v>1</v>
      </c>
      <c r="AB70" s="195">
        <v>1</v>
      </c>
      <c r="AC70" s="195">
        <v>1</v>
      </c>
      <c r="AD70" s="195">
        <v>1</v>
      </c>
      <c r="AE70" s="195">
        <v>1</v>
      </c>
      <c r="AF70" s="195">
        <v>1</v>
      </c>
      <c r="AG70" s="195">
        <v>1</v>
      </c>
      <c r="AH70" s="195">
        <v>1</v>
      </c>
      <c r="AI70" s="195">
        <v>1</v>
      </c>
      <c r="AJ70" s="195">
        <v>1</v>
      </c>
      <c r="AK70" s="195">
        <v>1</v>
      </c>
      <c r="AL70" s="195">
        <v>1</v>
      </c>
      <c r="AM70" s="195">
        <v>1</v>
      </c>
      <c r="AN70" s="196">
        <v>1</v>
      </c>
    </row>
    <row r="71" spans="1:40">
      <c r="A71" s="151" t="s">
        <v>193</v>
      </c>
      <c r="B71" s="141" t="s">
        <v>2</v>
      </c>
      <c r="C71" s="144" t="s">
        <v>195</v>
      </c>
      <c r="D71" s="170">
        <f>((LOOKUP(Semidetached!D$2,'Ceiling-U'!$A$4:$A$40,'Ceiling-U'!$E$4:$E$40)*Semidetached!D$15)+(LOOKUP(Semidetached!D$2,'Floor-U'!$A$4:$A$40,'Floor-U'!$E$4:$E$40)*Semidetached!D$16)+(LOOKUP(Semidetached!D$2,'Wall-U'!$A$4:$A$40,'Wall-U'!$E$4:$E$40)*Semidetached!D$13)+(LOOKUP(Semidetached!D$2,'Window-U'!$A$4:$A$40,'Window-U'!$S$4:$S$40)*Semidetached!D$22))*D70</f>
        <v>1614.4937022054523</v>
      </c>
      <c r="E71" s="171">
        <f>((LOOKUP(Semidetached!E$2,'Ceiling-U'!$A$4:$A$40,'Ceiling-U'!$E$4:$E$40)*Semidetached!E$15)+(LOOKUP(Semidetached!E$2,'Floor-U'!$A$4:$A$40,'Floor-U'!$E$4:$E$40)*Semidetached!E$16)+(LOOKUP(Semidetached!E$2,'Wall-U'!$A$4:$A$40,'Wall-U'!$E$4:$E$40)*Semidetached!E$13)+(LOOKUP(Semidetached!E$2,'Window-U'!$A$4:$A$40,'Window-U'!$S$4:$S$40)*Semidetached!E$22))*E70</f>
        <v>2048.574347779298</v>
      </c>
      <c r="F71" s="171">
        <f>((LOOKUP(Semidetached!F$2,'Ceiling-U'!$A$4:$A$40,'Ceiling-U'!$E$4:$E$40)*Semidetached!F$15)+(LOOKUP(Semidetached!F$2,'Floor-U'!$A$4:$A$40,'Floor-U'!$E$4:$E$40)*Semidetached!F$16)+(LOOKUP(Semidetached!F$2,'Wall-U'!$A$4:$A$40,'Wall-U'!$E$4:$E$40)*Semidetached!F$13)+(LOOKUP(Semidetached!F$2,'Window-U'!$A$4:$A$40,'Window-U'!$S$4:$S$40)*Semidetached!F$22))*F70</f>
        <v>1069.3770549999936</v>
      </c>
      <c r="G71" s="171">
        <f>((LOOKUP(Semidetached!G$2,'Ceiling-U'!$A$4:$A$40,'Ceiling-U'!$E$4:$E$40)*Semidetached!G$15)+(LOOKUP(Semidetached!G$2,'Floor-U'!$A$4:$A$40,'Floor-U'!$E$4:$E$40)*Semidetached!G$16)+(LOOKUP(Semidetached!G$2,'Wall-U'!$A$4:$A$40,'Wall-U'!$E$4:$E$40)*Semidetached!G$13)+(LOOKUP(Semidetached!G$2,'Window-U'!$A$4:$A$40,'Window-U'!$S$4:$S$40)*Semidetached!G$22))*G70</f>
        <v>1671.0230815349096</v>
      </c>
      <c r="H71" s="171">
        <f>((LOOKUP(Semidetached!H$2,'Ceiling-U'!$A$4:$A$40,'Ceiling-U'!$E$4:$E$40)*Semidetached!H$15)+(LOOKUP(Semidetached!H$2,'Floor-U'!$A$4:$A$40,'Floor-U'!$E$4:$E$40)*Semidetached!H$16)+(LOOKUP(Semidetached!H$2,'Wall-U'!$A$4:$A$40,'Wall-U'!$E$4:$E$40)*Semidetached!H$13)+(LOOKUP(Semidetached!H$2,'Window-U'!$A$4:$A$40,'Window-U'!$S$4:$S$40)*Semidetached!H$22))*H70</f>
        <v>2799.3676645082901</v>
      </c>
      <c r="I71" s="171">
        <f>((LOOKUP(Semidetached!I$2,'Ceiling-U'!$A$4:$A$40,'Ceiling-U'!$E$4:$E$40)*Semidetached!I$15)+(LOOKUP(Semidetached!I$2,'Floor-U'!$A$4:$A$40,'Floor-U'!$E$4:$E$40)*Semidetached!I$16)+(LOOKUP(Semidetached!I$2,'Wall-U'!$A$4:$A$40,'Wall-U'!$E$4:$E$40)*Semidetached!I$13)+(LOOKUP(Semidetached!I$2,'Window-U'!$A$4:$A$40,'Window-U'!$S$4:$S$40)*Semidetached!I$22))*I70</f>
        <v>1156.1035750651179</v>
      </c>
      <c r="J71" s="171">
        <f>((LOOKUP(Semidetached!J$2,'Ceiling-U'!$A$4:$A$40,'Ceiling-U'!$E$4:$E$40)*Semidetached!J$15)+(LOOKUP(Semidetached!J$2,'Floor-U'!$A$4:$A$40,'Floor-U'!$E$4:$E$40)*Semidetached!J$16)+(LOOKUP(Semidetached!J$2,'Wall-U'!$A$4:$A$40,'Wall-U'!$E$4:$E$40)*Semidetached!J$13)+(LOOKUP(Semidetached!J$2,'Window-U'!$A$4:$A$40,'Window-U'!$S$4:$S$40)*Semidetached!J$22))*J70</f>
        <v>1919.9488356215898</v>
      </c>
      <c r="K71" s="171">
        <f>((LOOKUP(Semidetached!K$2,'Ceiling-U'!$A$4:$A$40,'Ceiling-U'!$E$4:$E$40)*Semidetached!K$15)+(LOOKUP(Semidetached!K$2,'Floor-U'!$A$4:$A$40,'Floor-U'!$E$4:$E$40)*Semidetached!K$16)+(LOOKUP(Semidetached!K$2,'Wall-U'!$A$4:$A$40,'Wall-U'!$E$4:$E$40)*Semidetached!K$13)+(LOOKUP(Semidetached!K$2,'Window-U'!$A$4:$A$40,'Window-U'!$S$4:$S$40)*Semidetached!K$22))*K70</f>
        <v>970.48515548887508</v>
      </c>
      <c r="L71" s="171">
        <f>((LOOKUP(Semidetached!L$2,'Ceiling-U'!$A$4:$A$40,'Ceiling-U'!$E$4:$E$40)*Semidetached!L$15)+(LOOKUP(Semidetached!L$2,'Floor-U'!$A$4:$A$40,'Floor-U'!$E$4:$E$40)*Semidetached!L$16)+(LOOKUP(Semidetached!L$2,'Wall-U'!$A$4:$A$40,'Wall-U'!$E$4:$E$40)*Semidetached!L$13)+(LOOKUP(Semidetached!L$2,'Window-U'!$A$4:$A$40,'Window-U'!$S$4:$S$40)*Semidetached!L$22))*L70</f>
        <v>469.62214500611503</v>
      </c>
      <c r="M71" s="171">
        <f>((LOOKUP(Semidetached!M$2,'Ceiling-U'!$A$4:$A$40,'Ceiling-U'!$E$4:$E$40)*Semidetached!M$15)+(LOOKUP(Semidetached!M$2,'Floor-U'!$A$4:$A$40,'Floor-U'!$E$4:$E$40)*Semidetached!M$16)+(LOOKUP(Semidetached!M$2,'Wall-U'!$A$4:$A$40,'Wall-U'!$E$4:$E$40)*Semidetached!M$13)+(LOOKUP(Semidetached!M$2,'Window-U'!$A$4:$A$40,'Window-U'!$S$4:$S$40)*Semidetached!M$22))*M70</f>
        <v>2844.9737218739579</v>
      </c>
      <c r="N71" s="171">
        <f>((LOOKUP(Semidetached!N$2,'Ceiling-U'!$A$4:$A$40,'Ceiling-U'!$E$4:$E$40)*Semidetached!N$15)+(LOOKUP(Semidetached!N$2,'Floor-U'!$A$4:$A$40,'Floor-U'!$E$4:$E$40)*Semidetached!N$16)+(LOOKUP(Semidetached!N$2,'Wall-U'!$A$4:$A$40,'Wall-U'!$E$4:$E$40)*Semidetached!N$13)+(LOOKUP(Semidetached!N$2,'Window-U'!$A$4:$A$40,'Window-U'!$S$4:$S$40)*Semidetached!N$22))*N70</f>
        <v>625.30814074737748</v>
      </c>
      <c r="O71" s="171">
        <f>((LOOKUP(Semidetached!O$2,'Ceiling-U'!$A$4:$A$40,'Ceiling-U'!$E$4:$E$40)*Semidetached!O$15)+(LOOKUP(Semidetached!O$2,'Floor-U'!$A$4:$A$40,'Floor-U'!$E$4:$E$40)*Semidetached!O$16)+(LOOKUP(Semidetached!O$2,'Wall-U'!$A$4:$A$40,'Wall-U'!$E$4:$E$40)*Semidetached!O$13)+(LOOKUP(Semidetached!O$2,'Window-U'!$A$4:$A$40,'Window-U'!$S$4:$S$40)*Semidetached!O$22))*O70</f>
        <v>2838.3432182363963</v>
      </c>
      <c r="P71" s="171">
        <f>((LOOKUP(Semidetached!P$2,'Ceiling-U'!$A$4:$A$40,'Ceiling-U'!$E$4:$E$40)*Semidetached!P$15)+(LOOKUP(Semidetached!P$2,'Floor-U'!$A$4:$A$40,'Floor-U'!$E$4:$E$40)*Semidetached!P$16)+(LOOKUP(Semidetached!P$2,'Wall-U'!$A$4:$A$40,'Wall-U'!$E$4:$E$40)*Semidetached!P$13)+(LOOKUP(Semidetached!P$2,'Window-U'!$A$4:$A$40,'Window-U'!$S$4:$S$40)*Semidetached!P$22))*P70</f>
        <v>1849.5233281105313</v>
      </c>
      <c r="Q71" s="171">
        <f>((LOOKUP(Semidetached!Q$2,'Ceiling-U'!$A$4:$A$40,'Ceiling-U'!$E$4:$E$40)*Semidetached!Q$15)+(LOOKUP(Semidetached!Q$2,'Floor-U'!$A$4:$A$40,'Floor-U'!$E$4:$E$40)*Semidetached!Q$16)+(LOOKUP(Semidetached!Q$2,'Wall-U'!$A$4:$A$40,'Wall-U'!$E$4:$E$40)*Semidetached!Q$13)+(LOOKUP(Semidetached!Q$2,'Window-U'!$A$4:$A$40,'Window-U'!$S$4:$S$40)*Semidetached!Q$22))*Q70</f>
        <v>942.01604248687363</v>
      </c>
      <c r="R71" s="171">
        <f>((LOOKUP(Semidetached!R$2,'Ceiling-U'!$A$4:$A$40,'Ceiling-U'!$E$4:$E$40)*Semidetached!R$15)+(LOOKUP(Semidetached!R$2,'Floor-U'!$A$4:$A$40,'Floor-U'!$E$4:$E$40)*Semidetached!R$16)+(LOOKUP(Semidetached!R$2,'Wall-U'!$A$4:$A$40,'Wall-U'!$E$4:$E$40)*Semidetached!R$13)+(LOOKUP(Semidetached!R$2,'Window-U'!$A$4:$A$40,'Window-U'!$S$4:$S$40)*Semidetached!R$22))*R70</f>
        <v>1364.0087747364751</v>
      </c>
      <c r="S71" s="171">
        <f>((LOOKUP(Semidetached!S$2,'Ceiling-U'!$A$4:$A$40,'Ceiling-U'!$E$4:$E$40)*Semidetached!S$15)+(LOOKUP(Semidetached!S$2,'Floor-U'!$A$4:$A$40,'Floor-U'!$E$4:$E$40)*Semidetached!S$16)+(LOOKUP(Semidetached!S$2,'Wall-U'!$A$4:$A$40,'Wall-U'!$E$4:$E$40)*Semidetached!S$13)+(LOOKUP(Semidetached!S$2,'Window-U'!$A$4:$A$40,'Window-U'!$S$4:$S$40)*Semidetached!S$22))*S70</f>
        <v>2093.4809588007029</v>
      </c>
      <c r="T71" s="171">
        <f>((LOOKUP(Semidetached!T$2,'Ceiling-U'!$A$4:$A$40,'Ceiling-U'!$E$4:$E$40)*Semidetached!T$15)+(LOOKUP(Semidetached!T$2,'Floor-U'!$A$4:$A$40,'Floor-U'!$E$4:$E$40)*Semidetached!T$16)+(LOOKUP(Semidetached!T$2,'Wall-U'!$A$4:$A$40,'Wall-U'!$E$4:$E$40)*Semidetached!T$13)+(LOOKUP(Semidetached!T$2,'Window-U'!$A$4:$A$40,'Window-U'!$S$4:$S$40)*Semidetached!T$22))*T70</f>
        <v>630.63011773578228</v>
      </c>
      <c r="U71" s="171">
        <f>((LOOKUP(Semidetached!U$2,'Ceiling-U'!$A$4:$A$40,'Ceiling-U'!$E$4:$E$40)*Semidetached!U$15)+(LOOKUP(Semidetached!U$2,'Floor-U'!$A$4:$A$40,'Floor-U'!$E$4:$E$40)*Semidetached!U$16)+(LOOKUP(Semidetached!U$2,'Wall-U'!$A$4:$A$40,'Wall-U'!$E$4:$E$40)*Semidetached!U$13)+(LOOKUP(Semidetached!U$2,'Window-U'!$A$4:$A$40,'Window-U'!$S$4:$S$40)*Semidetached!U$22))*U70</f>
        <v>2289.1662206638439</v>
      </c>
      <c r="V71" s="171">
        <f>((LOOKUP(Semidetached!V$2,'Ceiling-U'!$A$4:$A$40,'Ceiling-U'!$E$4:$E$40)*Semidetached!V$15)+(LOOKUP(Semidetached!V$2,'Floor-U'!$A$4:$A$40,'Floor-U'!$E$4:$E$40)*Semidetached!V$16)+(LOOKUP(Semidetached!V$2,'Wall-U'!$A$4:$A$40,'Wall-U'!$E$4:$E$40)*Semidetached!V$13)+(LOOKUP(Semidetached!V$2,'Window-U'!$A$4:$A$40,'Window-U'!$S$4:$S$40)*Semidetached!V$22))*V70</f>
        <v>1011.6294162527162</v>
      </c>
      <c r="W71" s="171">
        <f>((LOOKUP(Semidetached!W$2,'Ceiling-U'!$A$4:$A$40,'Ceiling-U'!$E$4:$E$40)*Semidetached!W$15)+(LOOKUP(Semidetached!W$2,'Floor-U'!$A$4:$A$40,'Floor-U'!$E$4:$E$40)*Semidetached!W$16)+(LOOKUP(Semidetached!W$2,'Wall-U'!$A$4:$A$40,'Wall-U'!$E$4:$E$40)*Semidetached!W$13)+(LOOKUP(Semidetached!W$2,'Window-U'!$A$4:$A$40,'Window-U'!$S$4:$S$40)*Semidetached!W$22))*W70</f>
        <v>924.06038804944831</v>
      </c>
      <c r="X71" s="171">
        <f>((LOOKUP(Semidetached!X$2,'Ceiling-U'!$A$4:$A$40,'Ceiling-U'!$E$4:$E$40)*Semidetached!X$15)+(LOOKUP(Semidetached!X$2,'Floor-U'!$A$4:$A$40,'Floor-U'!$E$4:$E$40)*Semidetached!X$16)+(LOOKUP(Semidetached!X$2,'Wall-U'!$A$4:$A$40,'Wall-U'!$E$4:$E$40)*Semidetached!X$13)+(LOOKUP(Semidetached!X$2,'Window-U'!$A$4:$A$40,'Window-U'!$S$4:$S$40)*Semidetached!X$22))*X70</f>
        <v>1081.5938636749372</v>
      </c>
      <c r="Y71" s="171">
        <f>((LOOKUP(Semidetached!Y$2,'Ceiling-U'!$A$4:$A$40,'Ceiling-U'!$E$4:$E$40)*Semidetached!Y$15)+(LOOKUP(Semidetached!Y$2,'Floor-U'!$A$4:$A$40,'Floor-U'!$E$4:$E$40)*Semidetached!Y$16)+(LOOKUP(Semidetached!Y$2,'Wall-U'!$A$4:$A$40,'Wall-U'!$E$4:$E$40)*Semidetached!Y$13)+(LOOKUP(Semidetached!Y$2,'Window-U'!$A$4:$A$40,'Window-U'!$S$4:$S$40)*Semidetached!Y$22))*Y70</f>
        <v>3131.4388208894238</v>
      </c>
      <c r="Z71" s="171">
        <f>((LOOKUP(Semidetached!Z$2,'Ceiling-U'!$A$4:$A$40,'Ceiling-U'!$E$4:$E$40)*Semidetached!Z$15)+(LOOKUP(Semidetached!Z$2,'Floor-U'!$A$4:$A$40,'Floor-U'!$E$4:$E$40)*Semidetached!Z$16)+(LOOKUP(Semidetached!Z$2,'Wall-U'!$A$4:$A$40,'Wall-U'!$E$4:$E$40)*Semidetached!Z$13)+(LOOKUP(Semidetached!Z$2,'Window-U'!$A$4:$A$40,'Window-U'!$S$4:$S$40)*Semidetached!Z$22))*Z70</f>
        <v>2383.6045997996812</v>
      </c>
      <c r="AA71" s="171">
        <f>((LOOKUP(Semidetached!AA$2,'Ceiling-U'!$A$4:$A$40,'Ceiling-U'!$E$4:$E$40)*Semidetached!AA$15)+(LOOKUP(Semidetached!AA$2,'Floor-U'!$A$4:$A$40,'Floor-U'!$E$4:$E$40)*Semidetached!AA$16)+(LOOKUP(Semidetached!AA$2,'Wall-U'!$A$4:$A$40,'Wall-U'!$E$4:$E$40)*Semidetached!AA$13)+(LOOKUP(Semidetached!AA$2,'Window-U'!$A$4:$A$40,'Window-U'!$S$4:$S$40)*Semidetached!AA$22))*AA70</f>
        <v>549.20982432046969</v>
      </c>
      <c r="AB71" s="171">
        <f>((LOOKUP(Semidetached!AB$2,'Ceiling-U'!$A$4:$A$40,'Ceiling-U'!$E$4:$E$40)*Semidetached!AB$15)+(LOOKUP(Semidetached!AB$2,'Floor-U'!$A$4:$A$40,'Floor-U'!$E$4:$E$40)*Semidetached!AB$16)+(LOOKUP(Semidetached!AB$2,'Wall-U'!$A$4:$A$40,'Wall-U'!$E$4:$E$40)*Semidetached!AB$13)+(LOOKUP(Semidetached!AB$2,'Window-U'!$A$4:$A$40,'Window-U'!$S$4:$S$40)*Semidetached!AB$22))*AB70</f>
        <v>1720.8917124354998</v>
      </c>
      <c r="AC71" s="171">
        <f>((LOOKUP(Semidetached!AC$2,'Ceiling-U'!$A$4:$A$40,'Ceiling-U'!$E$4:$E$40)*Semidetached!AC$15)+(LOOKUP(Semidetached!AC$2,'Floor-U'!$A$4:$A$40,'Floor-U'!$E$4:$E$40)*Semidetached!AC$16)+(LOOKUP(Semidetached!AC$2,'Wall-U'!$A$4:$A$40,'Wall-U'!$E$4:$E$40)*Semidetached!AC$13)+(LOOKUP(Semidetached!AC$2,'Window-U'!$A$4:$A$40,'Window-U'!$S$4:$S$40)*Semidetached!AC$22))*AC70</f>
        <v>2808.7630632239261</v>
      </c>
      <c r="AD71" s="171">
        <f>((LOOKUP(Semidetached!AD$2,'Ceiling-U'!$A$4:$A$40,'Ceiling-U'!$E$4:$E$40)*Semidetached!AD$15)+(LOOKUP(Semidetached!AD$2,'Floor-U'!$A$4:$A$40,'Floor-U'!$E$4:$E$40)*Semidetached!AD$16)+(LOOKUP(Semidetached!AD$2,'Wall-U'!$A$4:$A$40,'Wall-U'!$E$4:$E$40)*Semidetached!AD$13)+(LOOKUP(Semidetached!AD$2,'Window-U'!$A$4:$A$40,'Window-U'!$S$4:$S$40)*Semidetached!AD$22))*AD70</f>
        <v>1434.9478268850653</v>
      </c>
      <c r="AE71" s="171">
        <f>((LOOKUP(Semidetached!AE$2,'Ceiling-U'!$A$4:$A$40,'Ceiling-U'!$E$4:$E$40)*Semidetached!AE$15)+(LOOKUP(Semidetached!AE$2,'Floor-U'!$A$4:$A$40,'Floor-U'!$E$4:$E$40)*Semidetached!AE$16)+(LOOKUP(Semidetached!AE$2,'Wall-U'!$A$4:$A$40,'Wall-U'!$E$4:$E$40)*Semidetached!AE$13)+(LOOKUP(Semidetached!AE$2,'Window-U'!$A$4:$A$40,'Window-U'!$S$4:$S$40)*Semidetached!AE$22))*AE70</f>
        <v>539.51308758597906</v>
      </c>
      <c r="AF71" s="171">
        <f>((LOOKUP(Semidetached!AF$2,'Ceiling-U'!$A$4:$A$40,'Ceiling-U'!$E$4:$E$40)*Semidetached!AF$15)+(LOOKUP(Semidetached!AF$2,'Floor-U'!$A$4:$A$40,'Floor-U'!$E$4:$E$40)*Semidetached!AF$16)+(LOOKUP(Semidetached!AF$2,'Wall-U'!$A$4:$A$40,'Wall-U'!$E$4:$E$40)*Semidetached!AF$13)+(LOOKUP(Semidetached!AF$2,'Window-U'!$A$4:$A$40,'Window-U'!$S$4:$S$40)*Semidetached!AF$22))*AF70</f>
        <v>1315.5580954210936</v>
      </c>
      <c r="AG71" s="171">
        <f>((LOOKUP(Semidetached!AG$2,'Ceiling-U'!$A$4:$A$40,'Ceiling-U'!$E$4:$E$40)*Semidetached!AG$15)+(LOOKUP(Semidetached!AG$2,'Floor-U'!$A$4:$A$40,'Floor-U'!$E$4:$E$40)*Semidetached!AG$16)+(LOOKUP(Semidetached!AG$2,'Wall-U'!$A$4:$A$40,'Wall-U'!$E$4:$E$40)*Semidetached!AG$13)+(LOOKUP(Semidetached!AG$2,'Window-U'!$A$4:$A$40,'Window-U'!$S$4:$S$40)*Semidetached!AG$22))*AG70</f>
        <v>1818.3065838958578</v>
      </c>
      <c r="AH71" s="171">
        <f>((LOOKUP(Semidetached!AH$2,'Ceiling-U'!$A$4:$A$40,'Ceiling-U'!$E$4:$E$40)*Semidetached!AH$15)+(LOOKUP(Semidetached!AH$2,'Floor-U'!$A$4:$A$40,'Floor-U'!$E$4:$E$40)*Semidetached!AH$16)+(LOOKUP(Semidetached!AH$2,'Wall-U'!$A$4:$A$40,'Wall-U'!$E$4:$E$40)*Semidetached!AH$13)+(LOOKUP(Semidetached!AH$2,'Window-U'!$A$4:$A$40,'Window-U'!$S$4:$S$40)*Semidetached!AH$22))*AH70</f>
        <v>1667.6265183234668</v>
      </c>
      <c r="AI71" s="171">
        <f>((LOOKUP(Semidetached!AI$2,'Ceiling-U'!$A$4:$A$40,'Ceiling-U'!$E$4:$E$40)*Semidetached!AI$15)+(LOOKUP(Semidetached!AI$2,'Floor-U'!$A$4:$A$40,'Floor-U'!$E$4:$E$40)*Semidetached!AI$16)+(LOOKUP(Semidetached!AI$2,'Wall-U'!$A$4:$A$40,'Wall-U'!$E$4:$E$40)*Semidetached!AI$13)+(LOOKUP(Semidetached!AI$2,'Window-U'!$A$4:$A$40,'Window-U'!$S$4:$S$40)*Semidetached!AI$22))*AI70</f>
        <v>2691.3755387829028</v>
      </c>
      <c r="AJ71" s="171">
        <f>((LOOKUP(Semidetached!AJ$2,'Ceiling-U'!$A$4:$A$40,'Ceiling-U'!$E$4:$E$40)*Semidetached!AJ$15)+(LOOKUP(Semidetached!AJ$2,'Floor-U'!$A$4:$A$40,'Floor-U'!$E$4:$E$40)*Semidetached!AJ$16)+(LOOKUP(Semidetached!AJ$2,'Wall-U'!$A$4:$A$40,'Wall-U'!$E$4:$E$40)*Semidetached!AJ$13)+(LOOKUP(Semidetached!AJ$2,'Window-U'!$A$4:$A$40,'Window-U'!$S$4:$S$40)*Semidetached!AJ$22))*AJ70</f>
        <v>1013.6150625663313</v>
      </c>
      <c r="AK71" s="171">
        <f>((LOOKUP(Semidetached!AK$2,'Ceiling-U'!$A$4:$A$40,'Ceiling-U'!$E$4:$E$40)*Semidetached!AK$15)+(LOOKUP(Semidetached!AK$2,'Floor-U'!$A$4:$A$40,'Floor-U'!$E$4:$E$40)*Semidetached!AK$16)+(LOOKUP(Semidetached!AK$2,'Wall-U'!$A$4:$A$40,'Wall-U'!$E$4:$E$40)*Semidetached!AK$13)+(LOOKUP(Semidetached!AK$2,'Window-U'!$A$4:$A$40,'Window-U'!$S$4:$S$40)*Semidetached!AK$22))*AK70</f>
        <v>1266.0180203028699</v>
      </c>
      <c r="AL71" s="171">
        <f>((LOOKUP(Semidetached!AL$2,'Ceiling-U'!$A$4:$A$40,'Ceiling-U'!$E$4:$E$40)*Semidetached!AL$15)+(LOOKUP(Semidetached!AL$2,'Floor-U'!$A$4:$A$40,'Floor-U'!$E$4:$E$40)*Semidetached!AL$16)+(LOOKUP(Semidetached!AL$2,'Wall-U'!$A$4:$A$40,'Wall-U'!$E$4:$E$40)*Semidetached!AL$13)+(LOOKUP(Semidetached!AL$2,'Window-U'!$A$4:$A$40,'Window-U'!$S$4:$S$40)*Semidetached!AL$22))*AL70</f>
        <v>1130.9919111392794</v>
      </c>
      <c r="AM71" s="171">
        <f>((LOOKUP(Semidetached!AM$2,'Ceiling-U'!$A$4:$A$40,'Ceiling-U'!$E$4:$E$40)*Semidetached!AM$15)+(LOOKUP(Semidetached!AM$2,'Floor-U'!$A$4:$A$40,'Floor-U'!$E$4:$E$40)*Semidetached!AM$16)+(LOOKUP(Semidetached!AM$2,'Wall-U'!$A$4:$A$40,'Wall-U'!$E$4:$E$40)*Semidetached!AM$13)+(LOOKUP(Semidetached!AM$2,'Window-U'!$A$4:$A$40,'Window-U'!$S$4:$S$40)*Semidetached!AM$22))*AM70</f>
        <v>1013.6150625663313</v>
      </c>
      <c r="AN71" s="172">
        <f>((LOOKUP(Semidetached!AN$2,'Ceiling-U'!$A$4:$A$40,'Ceiling-U'!$E$4:$E$40)*Semidetached!AN$15)+(LOOKUP(Semidetached!AN$2,'Floor-U'!$A$4:$A$40,'Floor-U'!$E$4:$E$40)*Semidetached!AN$16)+(LOOKUP(Semidetached!AN$2,'Wall-U'!$A$4:$A$40,'Wall-U'!$E$4:$E$40)*Semidetached!AN$13)+(LOOKUP(Semidetached!AN$2,'Window-U'!$A$4:$A$40,'Window-U'!$S$4:$S$40)*Semidetached!AN$22))*AN70</f>
        <v>1013.6150625663313</v>
      </c>
    </row>
    <row r="72" spans="1:40">
      <c r="A72" s="372"/>
      <c r="B72" s="142" t="s">
        <v>3</v>
      </c>
      <c r="C72" s="131" t="s">
        <v>195</v>
      </c>
      <c r="D72" s="176">
        <f>((LOOKUP(Semidetached!D$2,'Ceiling-U'!$A$4:$A$40,'Ceiling-U'!$F$4:$F$40)*Semidetached!D$15)+(LOOKUP(Semidetached!D$2,'Floor-U'!$A$4:$A$40,'Floor-U'!$F$4:$F$40)*Semidetached!D$16)+(LOOKUP(Semidetached!D$2,'Wall-U'!$A$4:$A$40,'Wall-U'!$F$4:$F$40)*Semidetached!D$13)+(LOOKUP(Semidetached!D$2,'Window-U'!$A$4:$A$40,'Window-U'!$S$4:$S$40)*Semidetached!D$22))*D70</f>
        <v>1492.3349896193363</v>
      </c>
      <c r="E72" s="177">
        <f>((LOOKUP(Semidetached!E$2,'Ceiling-U'!$A$4:$A$40,'Ceiling-U'!$F$4:$F$40)*Semidetached!E$15)+(LOOKUP(Semidetached!E$2,'Floor-U'!$A$4:$A$40,'Floor-U'!$F$4:$F$40)*Semidetached!E$16)+(LOOKUP(Semidetached!E$2,'Wall-U'!$A$4:$A$40,'Wall-U'!$F$4:$F$40)*Semidetached!E$13)+(LOOKUP(Semidetached!E$2,'Window-U'!$A$4:$A$40,'Window-U'!$S$4:$S$40)*Semidetached!E$22))*E70</f>
        <v>2048.574347779298</v>
      </c>
      <c r="F72" s="177">
        <f>((LOOKUP(Semidetached!F$2,'Ceiling-U'!$A$4:$A$40,'Ceiling-U'!$F$4:$F$40)*Semidetached!F$15)+(LOOKUP(Semidetached!F$2,'Floor-U'!$A$4:$A$40,'Floor-U'!$F$4:$F$40)*Semidetached!F$16)+(LOOKUP(Semidetached!F$2,'Wall-U'!$A$4:$A$40,'Wall-U'!$F$4:$F$40)*Semidetached!F$13)+(LOOKUP(Semidetached!F$2,'Window-U'!$A$4:$A$40,'Window-U'!$S$4:$S$40)*Semidetached!F$22))*F70</f>
        <v>1069.3770549999936</v>
      </c>
      <c r="G72" s="177">
        <f>((LOOKUP(Semidetached!G$2,'Ceiling-U'!$A$4:$A$40,'Ceiling-U'!$F$4:$F$40)*Semidetached!G$15)+(LOOKUP(Semidetached!G$2,'Floor-U'!$A$4:$A$40,'Floor-U'!$F$4:$F$40)*Semidetached!G$16)+(LOOKUP(Semidetached!G$2,'Wall-U'!$A$4:$A$40,'Wall-U'!$F$4:$F$40)*Semidetached!G$13)+(LOOKUP(Semidetached!G$2,'Window-U'!$A$4:$A$40,'Window-U'!$S$4:$S$40)*Semidetached!G$22))*G70</f>
        <v>1546.330620760463</v>
      </c>
      <c r="H72" s="177">
        <f>((LOOKUP(Semidetached!H$2,'Ceiling-U'!$A$4:$A$40,'Ceiling-U'!$F$4:$F$40)*Semidetached!H$15)+(LOOKUP(Semidetached!H$2,'Floor-U'!$A$4:$A$40,'Floor-U'!$F$4:$F$40)*Semidetached!H$16)+(LOOKUP(Semidetached!H$2,'Wall-U'!$A$4:$A$40,'Wall-U'!$F$4:$F$40)*Semidetached!H$13)+(LOOKUP(Semidetached!H$2,'Window-U'!$A$4:$A$40,'Window-U'!$S$4:$S$40)*Semidetached!H$22))*H70</f>
        <v>2628.2595984802911</v>
      </c>
      <c r="I72" s="177">
        <f>((LOOKUP(Semidetached!I$2,'Ceiling-U'!$A$4:$A$40,'Ceiling-U'!$F$4:$F$40)*Semidetached!I$15)+(LOOKUP(Semidetached!I$2,'Floor-U'!$A$4:$A$40,'Floor-U'!$F$4:$F$40)*Semidetached!I$16)+(LOOKUP(Semidetached!I$2,'Wall-U'!$A$4:$A$40,'Wall-U'!$F$4:$F$40)*Semidetached!I$13)+(LOOKUP(Semidetached!I$2,'Window-U'!$A$4:$A$40,'Window-U'!$S$4:$S$40)*Semidetached!I$22))*I70</f>
        <v>889.0418890458626</v>
      </c>
      <c r="J72" s="177">
        <f>((LOOKUP(Semidetached!J$2,'Ceiling-U'!$A$4:$A$40,'Ceiling-U'!$F$4:$F$40)*Semidetached!J$15)+(LOOKUP(Semidetached!J$2,'Floor-U'!$A$4:$A$40,'Floor-U'!$F$4:$F$40)*Semidetached!J$16)+(LOOKUP(Semidetached!J$2,'Wall-U'!$A$4:$A$40,'Wall-U'!$F$4:$F$40)*Semidetached!J$13)+(LOOKUP(Semidetached!J$2,'Window-U'!$A$4:$A$40,'Window-U'!$S$4:$S$40)*Semidetached!J$22))*J70</f>
        <v>1697.3626478568922</v>
      </c>
      <c r="K72" s="177">
        <f>((LOOKUP(Semidetached!K$2,'Ceiling-U'!$A$4:$A$40,'Ceiling-U'!$F$4:$F$40)*Semidetached!K$15)+(LOOKUP(Semidetached!K$2,'Floor-U'!$A$4:$A$40,'Floor-U'!$F$4:$F$40)*Semidetached!K$16)+(LOOKUP(Semidetached!K$2,'Wall-U'!$A$4:$A$40,'Wall-U'!$F$4:$F$40)*Semidetached!K$13)+(LOOKUP(Semidetached!K$2,'Window-U'!$A$4:$A$40,'Window-U'!$S$4:$S$40)*Semidetached!K$22))*K70</f>
        <v>924.9917194780943</v>
      </c>
      <c r="L72" s="177">
        <f>((LOOKUP(Semidetached!L$2,'Ceiling-U'!$A$4:$A$40,'Ceiling-U'!$F$4:$F$40)*Semidetached!L$15)+(LOOKUP(Semidetached!L$2,'Floor-U'!$A$4:$A$40,'Floor-U'!$F$4:$F$40)*Semidetached!L$16)+(LOOKUP(Semidetached!L$2,'Wall-U'!$A$4:$A$40,'Wall-U'!$F$4:$F$40)*Semidetached!L$13)+(LOOKUP(Semidetached!L$2,'Window-U'!$A$4:$A$40,'Window-U'!$S$4:$S$40)*Semidetached!L$22))*L70</f>
        <v>469.62214500611503</v>
      </c>
      <c r="M72" s="177">
        <f>((LOOKUP(Semidetached!M$2,'Ceiling-U'!$A$4:$A$40,'Ceiling-U'!$F$4:$F$40)*Semidetached!M$15)+(LOOKUP(Semidetached!M$2,'Floor-U'!$A$4:$A$40,'Floor-U'!$F$4:$F$40)*Semidetached!M$16)+(LOOKUP(Semidetached!M$2,'Wall-U'!$A$4:$A$40,'Wall-U'!$F$4:$F$40)*Semidetached!M$13)+(LOOKUP(Semidetached!M$2,'Window-U'!$A$4:$A$40,'Window-U'!$S$4:$S$40)*Semidetached!M$22))*M70</f>
        <v>2501.8552672698847</v>
      </c>
      <c r="N72" s="177">
        <f>((LOOKUP(Semidetached!N$2,'Ceiling-U'!$A$4:$A$40,'Ceiling-U'!$F$4:$F$40)*Semidetached!N$15)+(LOOKUP(Semidetached!N$2,'Floor-U'!$A$4:$A$40,'Floor-U'!$F$4:$F$40)*Semidetached!N$16)+(LOOKUP(Semidetached!N$2,'Wall-U'!$A$4:$A$40,'Wall-U'!$F$4:$F$40)*Semidetached!N$13)+(LOOKUP(Semidetached!N$2,'Window-U'!$A$4:$A$40,'Window-U'!$S$4:$S$40)*Semidetached!N$22))*N70</f>
        <v>543.93037287464949</v>
      </c>
      <c r="O72" s="177">
        <f>((LOOKUP(Semidetached!O$2,'Ceiling-U'!$A$4:$A$40,'Ceiling-U'!$F$4:$F$40)*Semidetached!O$15)+(LOOKUP(Semidetached!O$2,'Floor-U'!$A$4:$A$40,'Floor-U'!$F$4:$F$40)*Semidetached!O$16)+(LOOKUP(Semidetached!O$2,'Wall-U'!$A$4:$A$40,'Wall-U'!$F$4:$F$40)*Semidetached!O$13)+(LOOKUP(Semidetached!O$2,'Window-U'!$A$4:$A$40,'Window-U'!$S$4:$S$40)*Semidetached!O$22))*O70</f>
        <v>2838.3432182363963</v>
      </c>
      <c r="P72" s="177">
        <f>((LOOKUP(Semidetached!P$2,'Ceiling-U'!$A$4:$A$40,'Ceiling-U'!$F$4:$F$40)*Semidetached!P$15)+(LOOKUP(Semidetached!P$2,'Floor-U'!$A$4:$A$40,'Floor-U'!$F$4:$F$40)*Semidetached!P$16)+(LOOKUP(Semidetached!P$2,'Wall-U'!$A$4:$A$40,'Wall-U'!$F$4:$F$40)*Semidetached!P$13)+(LOOKUP(Semidetached!P$2,'Window-U'!$A$4:$A$40,'Window-U'!$S$4:$S$40)*Semidetached!P$22))*P70</f>
        <v>1849.5233281105313</v>
      </c>
      <c r="Q72" s="177">
        <f>((LOOKUP(Semidetached!Q$2,'Ceiling-U'!$A$4:$A$40,'Ceiling-U'!$F$4:$F$40)*Semidetached!Q$15)+(LOOKUP(Semidetached!Q$2,'Floor-U'!$A$4:$A$40,'Floor-U'!$F$4:$F$40)*Semidetached!Q$16)+(LOOKUP(Semidetached!Q$2,'Wall-U'!$A$4:$A$40,'Wall-U'!$F$4:$F$40)*Semidetached!Q$13)+(LOOKUP(Semidetached!Q$2,'Window-U'!$A$4:$A$40,'Window-U'!$S$4:$S$40)*Semidetached!Q$22))*Q70</f>
        <v>1013.7687152685261</v>
      </c>
      <c r="R72" s="177">
        <f>((LOOKUP(Semidetached!R$2,'Ceiling-U'!$A$4:$A$40,'Ceiling-U'!$F$4:$F$40)*Semidetached!R$15)+(LOOKUP(Semidetached!R$2,'Floor-U'!$A$4:$A$40,'Floor-U'!$F$4:$F$40)*Semidetached!R$16)+(LOOKUP(Semidetached!R$2,'Wall-U'!$A$4:$A$40,'Wall-U'!$F$4:$F$40)*Semidetached!R$13)+(LOOKUP(Semidetached!R$2,'Window-U'!$A$4:$A$40,'Window-U'!$S$4:$S$40)*Semidetached!R$22))*R70</f>
        <v>1364.0087747364751</v>
      </c>
      <c r="S72" s="177">
        <f>((LOOKUP(Semidetached!S$2,'Ceiling-U'!$A$4:$A$40,'Ceiling-U'!$F$4:$F$40)*Semidetached!S$15)+(LOOKUP(Semidetached!S$2,'Floor-U'!$A$4:$A$40,'Floor-U'!$F$4:$F$40)*Semidetached!S$16)+(LOOKUP(Semidetached!S$2,'Wall-U'!$A$4:$A$40,'Wall-U'!$F$4:$F$40)*Semidetached!S$13)+(LOOKUP(Semidetached!S$2,'Window-U'!$A$4:$A$40,'Window-U'!$S$4:$S$40)*Semidetached!S$22))*S70</f>
        <v>2140.2910306280746</v>
      </c>
      <c r="T72" s="177">
        <f>((LOOKUP(Semidetached!T$2,'Ceiling-U'!$A$4:$A$40,'Ceiling-U'!$F$4:$F$40)*Semidetached!T$15)+(LOOKUP(Semidetached!T$2,'Floor-U'!$A$4:$A$40,'Floor-U'!$F$4:$F$40)*Semidetached!T$16)+(LOOKUP(Semidetached!T$2,'Wall-U'!$A$4:$A$40,'Wall-U'!$F$4:$F$40)*Semidetached!T$13)+(LOOKUP(Semidetached!T$2,'Window-U'!$A$4:$A$40,'Window-U'!$S$4:$S$40)*Semidetached!T$22))*T70</f>
        <v>548.4090872563595</v>
      </c>
      <c r="U72" s="177">
        <f>((LOOKUP(Semidetached!U$2,'Ceiling-U'!$A$4:$A$40,'Ceiling-U'!$F$4:$F$40)*Semidetached!U$15)+(LOOKUP(Semidetached!U$2,'Floor-U'!$A$4:$A$40,'Floor-U'!$F$4:$F$40)*Semidetached!U$16)+(LOOKUP(Semidetached!U$2,'Wall-U'!$A$4:$A$40,'Wall-U'!$F$4:$F$40)*Semidetached!U$13)+(LOOKUP(Semidetached!U$2,'Window-U'!$A$4:$A$40,'Window-U'!$S$4:$S$40)*Semidetached!U$22))*U70</f>
        <v>2147.5777757787432</v>
      </c>
      <c r="V72" s="177">
        <f>((LOOKUP(Semidetached!V$2,'Ceiling-U'!$A$4:$A$40,'Ceiling-U'!$F$4:$F$40)*Semidetached!V$15)+(LOOKUP(Semidetached!V$2,'Floor-U'!$A$4:$A$40,'Floor-U'!$F$4:$F$40)*Semidetached!V$16)+(LOOKUP(Semidetached!V$2,'Wall-U'!$A$4:$A$40,'Wall-U'!$F$4:$F$40)*Semidetached!V$13)+(LOOKUP(Semidetached!V$2,'Window-U'!$A$4:$A$40,'Window-U'!$S$4:$S$40)*Semidetached!V$22))*V70</f>
        <v>1011.6294162527162</v>
      </c>
      <c r="W72" s="177">
        <f>((LOOKUP(Semidetached!W$2,'Ceiling-U'!$A$4:$A$40,'Ceiling-U'!$F$4:$F$40)*Semidetached!W$15)+(LOOKUP(Semidetached!W$2,'Floor-U'!$A$4:$A$40,'Floor-U'!$F$4:$F$40)*Semidetached!W$16)+(LOOKUP(Semidetached!W$2,'Wall-U'!$A$4:$A$40,'Wall-U'!$F$4:$F$40)*Semidetached!W$13)+(LOOKUP(Semidetached!W$2,'Window-U'!$A$4:$A$40,'Window-U'!$S$4:$S$40)*Semidetached!W$22))*W70</f>
        <v>956.5806727132574</v>
      </c>
      <c r="X72" s="177">
        <f>((LOOKUP(Semidetached!X$2,'Ceiling-U'!$A$4:$A$40,'Ceiling-U'!$F$4:$F$40)*Semidetached!X$15)+(LOOKUP(Semidetached!X$2,'Floor-U'!$A$4:$A$40,'Floor-U'!$F$4:$F$40)*Semidetached!X$16)+(LOOKUP(Semidetached!X$2,'Wall-U'!$A$4:$A$40,'Wall-U'!$F$4:$F$40)*Semidetached!X$13)+(LOOKUP(Semidetached!X$2,'Window-U'!$A$4:$A$40,'Window-U'!$S$4:$S$40)*Semidetached!X$22))*X70</f>
        <v>1081.5938636749372</v>
      </c>
      <c r="Y72" s="177">
        <f>((LOOKUP(Semidetached!Y$2,'Ceiling-U'!$A$4:$A$40,'Ceiling-U'!$F$4:$F$40)*Semidetached!Y$15)+(LOOKUP(Semidetached!Y$2,'Floor-U'!$A$4:$A$40,'Floor-U'!$F$4:$F$40)*Semidetached!Y$16)+(LOOKUP(Semidetached!Y$2,'Wall-U'!$A$4:$A$40,'Wall-U'!$F$4:$F$40)*Semidetached!Y$13)+(LOOKUP(Semidetached!Y$2,'Window-U'!$A$4:$A$40,'Window-U'!$S$4:$S$40)*Semidetached!Y$22))*Y70</f>
        <v>3124.6789293248025</v>
      </c>
      <c r="Z72" s="177">
        <f>((LOOKUP(Semidetached!Z$2,'Ceiling-U'!$A$4:$A$40,'Ceiling-U'!$F$4:$F$40)*Semidetached!Z$15)+(LOOKUP(Semidetached!Z$2,'Floor-U'!$A$4:$A$40,'Floor-U'!$F$4:$F$40)*Semidetached!Z$16)+(LOOKUP(Semidetached!Z$2,'Wall-U'!$A$4:$A$40,'Wall-U'!$F$4:$F$40)*Semidetached!Z$13)+(LOOKUP(Semidetached!Z$2,'Window-U'!$A$4:$A$40,'Window-U'!$S$4:$S$40)*Semidetached!Z$22))*Z70</f>
        <v>1800.4813969454729</v>
      </c>
      <c r="AA72" s="177">
        <f>((LOOKUP(Semidetached!AA$2,'Ceiling-U'!$A$4:$A$40,'Ceiling-U'!$F$4:$F$40)*Semidetached!AA$15)+(LOOKUP(Semidetached!AA$2,'Floor-U'!$A$4:$A$40,'Floor-U'!$F$4:$F$40)*Semidetached!AA$16)+(LOOKUP(Semidetached!AA$2,'Wall-U'!$A$4:$A$40,'Wall-U'!$F$4:$F$40)*Semidetached!AA$13)+(LOOKUP(Semidetached!AA$2,'Window-U'!$A$4:$A$40,'Window-U'!$S$4:$S$40)*Semidetached!AA$22))*AA70</f>
        <v>549.20982432046969</v>
      </c>
      <c r="AB72" s="177">
        <f>((LOOKUP(Semidetached!AB$2,'Ceiling-U'!$A$4:$A$40,'Ceiling-U'!$F$4:$F$40)*Semidetached!AB$15)+(LOOKUP(Semidetached!AB$2,'Floor-U'!$A$4:$A$40,'Floor-U'!$F$4:$F$40)*Semidetached!AB$16)+(LOOKUP(Semidetached!AB$2,'Wall-U'!$A$4:$A$40,'Wall-U'!$F$4:$F$40)*Semidetached!AB$13)+(LOOKUP(Semidetached!AB$2,'Window-U'!$A$4:$A$40,'Window-U'!$S$4:$S$40)*Semidetached!AB$22))*AB70</f>
        <v>1173.8572616772626</v>
      </c>
      <c r="AC72" s="177">
        <f>((LOOKUP(Semidetached!AC$2,'Ceiling-U'!$A$4:$A$40,'Ceiling-U'!$F$4:$F$40)*Semidetached!AC$15)+(LOOKUP(Semidetached!AC$2,'Floor-U'!$A$4:$A$40,'Floor-U'!$F$4:$F$40)*Semidetached!AC$16)+(LOOKUP(Semidetached!AC$2,'Wall-U'!$A$4:$A$40,'Wall-U'!$F$4:$F$40)*Semidetached!AC$13)+(LOOKUP(Semidetached!AC$2,'Window-U'!$A$4:$A$40,'Window-U'!$S$4:$S$40)*Semidetached!AC$22))*AC70</f>
        <v>2535.8951354645624</v>
      </c>
      <c r="AD72" s="177">
        <f>((LOOKUP(Semidetached!AD$2,'Ceiling-U'!$A$4:$A$40,'Ceiling-U'!$F$4:$F$40)*Semidetached!AD$15)+(LOOKUP(Semidetached!AD$2,'Floor-U'!$A$4:$A$40,'Floor-U'!$F$4:$F$40)*Semidetached!AD$16)+(LOOKUP(Semidetached!AD$2,'Wall-U'!$A$4:$A$40,'Wall-U'!$F$4:$F$40)*Semidetached!AD$13)+(LOOKUP(Semidetached!AD$2,'Window-U'!$A$4:$A$40,'Window-U'!$S$4:$S$40)*Semidetached!AD$22))*AD70</f>
        <v>1272.8046001470702</v>
      </c>
      <c r="AE72" s="177">
        <f>((LOOKUP(Semidetached!AE$2,'Ceiling-U'!$A$4:$A$40,'Ceiling-U'!$F$4:$F$40)*Semidetached!AE$15)+(LOOKUP(Semidetached!AE$2,'Floor-U'!$A$4:$A$40,'Floor-U'!$F$4:$F$40)*Semidetached!AE$16)+(LOOKUP(Semidetached!AE$2,'Wall-U'!$A$4:$A$40,'Wall-U'!$F$4:$F$40)*Semidetached!AE$13)+(LOOKUP(Semidetached!AE$2,'Window-U'!$A$4:$A$40,'Window-U'!$S$4:$S$40)*Semidetached!AE$22))*AE70</f>
        <v>539.51308758597906</v>
      </c>
      <c r="AF72" s="177">
        <f>((LOOKUP(Semidetached!AF$2,'Ceiling-U'!$A$4:$A$40,'Ceiling-U'!$F$4:$F$40)*Semidetached!AF$15)+(LOOKUP(Semidetached!AF$2,'Floor-U'!$A$4:$A$40,'Floor-U'!$F$4:$F$40)*Semidetached!AF$16)+(LOOKUP(Semidetached!AF$2,'Wall-U'!$A$4:$A$40,'Wall-U'!$F$4:$F$40)*Semidetached!AF$13)+(LOOKUP(Semidetached!AF$2,'Window-U'!$A$4:$A$40,'Window-U'!$S$4:$S$40)*Semidetached!AF$22))*AF70</f>
        <v>1315.5580954210936</v>
      </c>
      <c r="AG72" s="177">
        <f>((LOOKUP(Semidetached!AG$2,'Ceiling-U'!$A$4:$A$40,'Ceiling-U'!$F$4:$F$40)*Semidetached!AG$15)+(LOOKUP(Semidetached!AG$2,'Floor-U'!$A$4:$A$40,'Floor-U'!$F$4:$F$40)*Semidetached!AG$16)+(LOOKUP(Semidetached!AG$2,'Wall-U'!$A$4:$A$40,'Wall-U'!$F$4:$F$40)*Semidetached!AG$13)+(LOOKUP(Semidetached!AG$2,'Window-U'!$A$4:$A$40,'Window-U'!$S$4:$S$40)*Semidetached!AG$22))*AG70</f>
        <v>1461.6652671166862</v>
      </c>
      <c r="AH72" s="177">
        <f>((LOOKUP(Semidetached!AH$2,'Ceiling-U'!$A$4:$A$40,'Ceiling-U'!$F$4:$F$40)*Semidetached!AH$15)+(LOOKUP(Semidetached!AH$2,'Floor-U'!$A$4:$A$40,'Floor-U'!$F$4:$F$40)*Semidetached!AH$16)+(LOOKUP(Semidetached!AH$2,'Wall-U'!$A$4:$A$40,'Wall-U'!$F$4:$F$40)*Semidetached!AH$13)+(LOOKUP(Semidetached!AH$2,'Window-U'!$A$4:$A$40,'Window-U'!$S$4:$S$40)*Semidetached!AH$22))*AH70</f>
        <v>1778.8894166339753</v>
      </c>
      <c r="AI72" s="177">
        <f>((LOOKUP(Semidetached!AI$2,'Ceiling-U'!$A$4:$A$40,'Ceiling-U'!$F$4:$F$40)*Semidetached!AI$15)+(LOOKUP(Semidetached!AI$2,'Floor-U'!$A$4:$A$40,'Floor-U'!$F$4:$F$40)*Semidetached!AI$16)+(LOOKUP(Semidetached!AI$2,'Wall-U'!$A$4:$A$40,'Wall-U'!$F$4:$F$40)*Semidetached!AI$13)+(LOOKUP(Semidetached!AI$2,'Window-U'!$A$4:$A$40,'Window-U'!$S$4:$S$40)*Semidetached!AI$22))*AI70</f>
        <v>2691.3755387829028</v>
      </c>
      <c r="AJ72" s="177">
        <f>((LOOKUP(Semidetached!AJ$2,'Ceiling-U'!$A$4:$A$40,'Ceiling-U'!$F$4:$F$40)*Semidetached!AJ$15)+(LOOKUP(Semidetached!AJ$2,'Floor-U'!$A$4:$A$40,'Floor-U'!$F$4:$F$40)*Semidetached!AJ$16)+(LOOKUP(Semidetached!AJ$2,'Wall-U'!$A$4:$A$40,'Wall-U'!$F$4:$F$40)*Semidetached!AJ$13)+(LOOKUP(Semidetached!AJ$2,'Window-U'!$A$4:$A$40,'Window-U'!$S$4:$S$40)*Semidetached!AJ$22))*AJ70</f>
        <v>1013.6150625663313</v>
      </c>
      <c r="AK72" s="177">
        <f>((LOOKUP(Semidetached!AK$2,'Ceiling-U'!$A$4:$A$40,'Ceiling-U'!$F$4:$F$40)*Semidetached!AK$15)+(LOOKUP(Semidetached!AK$2,'Floor-U'!$A$4:$A$40,'Floor-U'!$F$4:$F$40)*Semidetached!AK$16)+(LOOKUP(Semidetached!AK$2,'Wall-U'!$A$4:$A$40,'Wall-U'!$F$4:$F$40)*Semidetached!AK$13)+(LOOKUP(Semidetached!AK$2,'Window-U'!$A$4:$A$40,'Window-U'!$S$4:$S$40)*Semidetached!AK$22))*AK70</f>
        <v>1266.0180203028699</v>
      </c>
      <c r="AL72" s="177">
        <f>((LOOKUP(Semidetached!AL$2,'Ceiling-U'!$A$4:$A$40,'Ceiling-U'!$F$4:$F$40)*Semidetached!AL$15)+(LOOKUP(Semidetached!AL$2,'Floor-U'!$A$4:$A$40,'Floor-U'!$F$4:$F$40)*Semidetached!AL$16)+(LOOKUP(Semidetached!AL$2,'Wall-U'!$A$4:$A$40,'Wall-U'!$F$4:$F$40)*Semidetached!AL$13)+(LOOKUP(Semidetached!AL$2,'Window-U'!$A$4:$A$40,'Window-U'!$S$4:$S$40)*Semidetached!AL$22))*AL70</f>
        <v>1130.9919111392794</v>
      </c>
      <c r="AM72" s="177">
        <f>((LOOKUP(Semidetached!AM$2,'Ceiling-U'!$A$4:$A$40,'Ceiling-U'!$F$4:$F$40)*Semidetached!AM$15)+(LOOKUP(Semidetached!AM$2,'Floor-U'!$A$4:$A$40,'Floor-U'!$F$4:$F$40)*Semidetached!AM$16)+(LOOKUP(Semidetached!AM$2,'Wall-U'!$A$4:$A$40,'Wall-U'!$F$4:$F$40)*Semidetached!AM$13)+(LOOKUP(Semidetached!AM$2,'Window-U'!$A$4:$A$40,'Window-U'!$S$4:$S$40)*Semidetached!AM$22))*AM70</f>
        <v>1013.6150625663313</v>
      </c>
      <c r="AN72" s="178">
        <f>((LOOKUP(Semidetached!AN$2,'Ceiling-U'!$A$4:$A$40,'Ceiling-U'!$F$4:$F$40)*Semidetached!AN$15)+(LOOKUP(Semidetached!AN$2,'Floor-U'!$A$4:$A$40,'Floor-U'!$F$4:$F$40)*Semidetached!AN$16)+(LOOKUP(Semidetached!AN$2,'Wall-U'!$A$4:$A$40,'Wall-U'!$F$4:$F$40)*Semidetached!AN$13)+(LOOKUP(Semidetached!AN$2,'Window-U'!$A$4:$A$40,'Window-U'!$S$4:$S$40)*Semidetached!AN$22))*AN70</f>
        <v>1013.6150625663313</v>
      </c>
    </row>
    <row r="73" spans="1:40">
      <c r="A73" s="372"/>
      <c r="B73" s="142" t="s">
        <v>4</v>
      </c>
      <c r="C73" s="131" t="s">
        <v>195</v>
      </c>
      <c r="D73" s="176">
        <f>((LOOKUP(Semidetached!D$2,'Ceiling-U'!$A$4:$A$40,'Ceiling-U'!$G$4:$G$40)*Semidetached!D$15)+(LOOKUP(Semidetached!D$2,'Floor-U'!$A$4:$A$40,'Floor-U'!$G$4:$G$40)*Semidetached!D$16)+(LOOKUP(Semidetached!D$2,'Wall-U'!$A$4:$A$40,'Wall-U'!$G$4:$G$40)*Semidetached!D$13)+(LOOKUP(Semidetached!D$2,'Window-U'!$A$4:$A$40,'Window-U'!$S$4:$S$40)*Semidetached!D$22))*D70</f>
        <v>1105.5128051302311</v>
      </c>
      <c r="E73" s="177">
        <f>((LOOKUP(Semidetached!E$2,'Ceiling-U'!$A$4:$A$40,'Ceiling-U'!$G$4:$G$40)*Semidetached!E$15)+(LOOKUP(Semidetached!E$2,'Floor-U'!$A$4:$A$40,'Floor-U'!$G$4:$G$40)*Semidetached!E$16)+(LOOKUP(Semidetached!E$2,'Wall-U'!$A$4:$A$40,'Wall-U'!$G$4:$G$40)*Semidetached!E$13)+(LOOKUP(Semidetached!E$2,'Window-U'!$A$4:$A$40,'Window-U'!$S$4:$S$40)*Semidetached!E$22))*E70</f>
        <v>2048.574347779298</v>
      </c>
      <c r="F73" s="177">
        <f>((LOOKUP(Semidetached!F$2,'Ceiling-U'!$A$4:$A$40,'Ceiling-U'!$G$4:$G$40)*Semidetached!F$15)+(LOOKUP(Semidetached!F$2,'Floor-U'!$A$4:$A$40,'Floor-U'!$G$4:$G$40)*Semidetached!F$16)+(LOOKUP(Semidetached!F$2,'Wall-U'!$A$4:$A$40,'Wall-U'!$G$4:$G$40)*Semidetached!F$13)+(LOOKUP(Semidetached!F$2,'Window-U'!$A$4:$A$40,'Window-U'!$S$4:$S$40)*Semidetached!F$22))*F70</f>
        <v>988.79856820295811</v>
      </c>
      <c r="G73" s="177">
        <f>((LOOKUP(Semidetached!G$2,'Ceiling-U'!$A$4:$A$40,'Ceiling-U'!$G$4:$G$40)*Semidetached!G$15)+(LOOKUP(Semidetached!G$2,'Floor-U'!$A$4:$A$40,'Floor-U'!$G$4:$G$40)*Semidetached!G$16)+(LOOKUP(Semidetached!G$2,'Wall-U'!$A$4:$A$40,'Wall-U'!$G$4:$G$40)*Semidetached!G$13)+(LOOKUP(Semidetached!G$2,'Window-U'!$A$4:$A$40,'Window-U'!$S$4:$S$40)*Semidetached!G$22))*G70</f>
        <v>1144.4232944679052</v>
      </c>
      <c r="H73" s="177">
        <f>((LOOKUP(Semidetached!H$2,'Ceiling-U'!$A$4:$A$40,'Ceiling-U'!$G$4:$G$40)*Semidetached!H$15)+(LOOKUP(Semidetached!H$2,'Floor-U'!$A$4:$A$40,'Floor-U'!$G$4:$G$40)*Semidetached!H$16)+(LOOKUP(Semidetached!H$2,'Wall-U'!$A$4:$A$40,'Wall-U'!$G$4:$G$40)*Semidetached!H$13)+(LOOKUP(Semidetached!H$2,'Window-U'!$A$4:$A$40,'Window-U'!$S$4:$S$40)*Semidetached!H$22))*H70</f>
        <v>2457.151532452292</v>
      </c>
      <c r="I73" s="177">
        <f>((LOOKUP(Semidetached!I$2,'Ceiling-U'!$A$4:$A$40,'Ceiling-U'!$G$4:$G$40)*Semidetached!I$15)+(LOOKUP(Semidetached!I$2,'Floor-U'!$A$4:$A$40,'Floor-U'!$G$4:$G$40)*Semidetached!I$16)+(LOOKUP(Semidetached!I$2,'Wall-U'!$A$4:$A$40,'Wall-U'!$G$4:$G$40)*Semidetached!I$13)+(LOOKUP(Semidetached!I$2,'Window-U'!$A$4:$A$40,'Window-U'!$S$4:$S$40)*Semidetached!I$22))*I70</f>
        <v>889.0418890458626</v>
      </c>
      <c r="J73" s="177">
        <f>((LOOKUP(Semidetached!J$2,'Ceiling-U'!$A$4:$A$40,'Ceiling-U'!$G$4:$G$40)*Semidetached!J$15)+(LOOKUP(Semidetached!J$2,'Floor-U'!$A$4:$A$40,'Floor-U'!$G$4:$G$40)*Semidetached!J$16)+(LOOKUP(Semidetached!J$2,'Wall-U'!$A$4:$A$40,'Wall-U'!$G$4:$G$40)*Semidetached!J$13)+(LOOKUP(Semidetached!J$2,'Window-U'!$A$4:$A$40,'Window-U'!$S$4:$S$40)*Semidetached!J$22))*J70</f>
        <v>917.58983790742093</v>
      </c>
      <c r="K73" s="177">
        <f>((LOOKUP(Semidetached!K$2,'Ceiling-U'!$A$4:$A$40,'Ceiling-U'!$G$4:$G$40)*Semidetached!K$15)+(LOOKUP(Semidetached!K$2,'Floor-U'!$A$4:$A$40,'Floor-U'!$G$4:$G$40)*Semidetached!K$16)+(LOOKUP(Semidetached!K$2,'Wall-U'!$A$4:$A$40,'Wall-U'!$G$4:$G$40)*Semidetached!K$13)+(LOOKUP(Semidetached!K$2,'Window-U'!$A$4:$A$40,'Window-U'!$S$4:$S$40)*Semidetached!K$22))*K70</f>
        <v>536.89513765882293</v>
      </c>
      <c r="L73" s="177">
        <f>((LOOKUP(Semidetached!L$2,'Ceiling-U'!$A$4:$A$40,'Ceiling-U'!$G$4:$G$40)*Semidetached!L$15)+(LOOKUP(Semidetached!L$2,'Floor-U'!$A$4:$A$40,'Floor-U'!$G$4:$G$40)*Semidetached!L$16)+(LOOKUP(Semidetached!L$2,'Wall-U'!$A$4:$A$40,'Wall-U'!$G$4:$G$40)*Semidetached!L$13)+(LOOKUP(Semidetached!L$2,'Window-U'!$A$4:$A$40,'Window-U'!$S$4:$S$40)*Semidetached!L$22))*L70</f>
        <v>352.85762681200129</v>
      </c>
      <c r="M73" s="177">
        <f>((LOOKUP(Semidetached!M$2,'Ceiling-U'!$A$4:$A$40,'Ceiling-U'!$G$4:$G$40)*Semidetached!M$15)+(LOOKUP(Semidetached!M$2,'Floor-U'!$A$4:$A$40,'Floor-U'!$G$4:$G$40)*Semidetached!M$16)+(LOOKUP(Semidetached!M$2,'Wall-U'!$A$4:$A$40,'Wall-U'!$G$4:$G$40)*Semidetached!M$13)+(LOOKUP(Semidetached!M$2,'Window-U'!$A$4:$A$40,'Window-U'!$S$4:$S$40)*Semidetached!M$22))*M70</f>
        <v>2501.8552672698847</v>
      </c>
      <c r="N73" s="177">
        <f>((LOOKUP(Semidetached!N$2,'Ceiling-U'!$A$4:$A$40,'Ceiling-U'!$G$4:$G$40)*Semidetached!N$15)+(LOOKUP(Semidetached!N$2,'Floor-U'!$A$4:$A$40,'Floor-U'!$G$4:$G$40)*Semidetached!N$16)+(LOOKUP(Semidetached!N$2,'Wall-U'!$A$4:$A$40,'Wall-U'!$G$4:$G$40)*Semidetached!N$13)+(LOOKUP(Semidetached!N$2,'Window-U'!$A$4:$A$40,'Window-U'!$S$4:$S$40)*Semidetached!N$22))*N70</f>
        <v>419.83056349536969</v>
      </c>
      <c r="O73" s="177">
        <f>((LOOKUP(Semidetached!O$2,'Ceiling-U'!$A$4:$A$40,'Ceiling-U'!$G$4:$G$40)*Semidetached!O$15)+(LOOKUP(Semidetached!O$2,'Floor-U'!$A$4:$A$40,'Floor-U'!$G$4:$G$40)*Semidetached!O$16)+(LOOKUP(Semidetached!O$2,'Wall-U'!$A$4:$A$40,'Wall-U'!$G$4:$G$40)*Semidetached!O$13)+(LOOKUP(Semidetached!O$2,'Window-U'!$A$4:$A$40,'Window-U'!$S$4:$S$40)*Semidetached!O$22))*O70</f>
        <v>1042.5380786271076</v>
      </c>
      <c r="P73" s="177">
        <f>((LOOKUP(Semidetached!P$2,'Ceiling-U'!$A$4:$A$40,'Ceiling-U'!$G$4:$G$40)*Semidetached!P$15)+(LOOKUP(Semidetached!P$2,'Floor-U'!$A$4:$A$40,'Floor-U'!$G$4:$G$40)*Semidetached!P$16)+(LOOKUP(Semidetached!P$2,'Wall-U'!$A$4:$A$40,'Wall-U'!$G$4:$G$40)*Semidetached!P$13)+(LOOKUP(Semidetached!P$2,'Window-U'!$A$4:$A$40,'Window-U'!$S$4:$S$40)*Semidetached!P$22))*P70</f>
        <v>1849.5233281105313</v>
      </c>
      <c r="Q73" s="177">
        <f>((LOOKUP(Semidetached!Q$2,'Ceiling-U'!$A$4:$A$40,'Ceiling-U'!$G$4:$G$40)*Semidetached!Q$15)+(LOOKUP(Semidetached!Q$2,'Floor-U'!$A$4:$A$40,'Floor-U'!$G$4:$G$40)*Semidetached!Q$16)+(LOOKUP(Semidetached!Q$2,'Wall-U'!$A$4:$A$40,'Wall-U'!$G$4:$G$40)*Semidetached!Q$13)+(LOOKUP(Semidetached!Q$2,'Window-U'!$A$4:$A$40,'Window-U'!$S$4:$S$40)*Semidetached!Q$22))*Q70</f>
        <v>945.84864938365956</v>
      </c>
      <c r="R73" s="177">
        <f>((LOOKUP(Semidetached!R$2,'Ceiling-U'!$A$4:$A$40,'Ceiling-U'!$G$4:$G$40)*Semidetached!R$15)+(LOOKUP(Semidetached!R$2,'Floor-U'!$A$4:$A$40,'Floor-U'!$G$4:$G$40)*Semidetached!R$16)+(LOOKUP(Semidetached!R$2,'Wall-U'!$A$4:$A$40,'Wall-U'!$G$4:$G$40)*Semidetached!R$13)+(LOOKUP(Semidetached!R$2,'Window-U'!$A$4:$A$40,'Window-U'!$S$4:$S$40)*Semidetached!R$22))*R70</f>
        <v>1144.0810998427387</v>
      </c>
      <c r="S73" s="177">
        <f>((LOOKUP(Semidetached!S$2,'Ceiling-U'!$A$4:$A$40,'Ceiling-U'!$G$4:$G$40)*Semidetached!S$15)+(LOOKUP(Semidetached!S$2,'Floor-U'!$A$4:$A$40,'Floor-U'!$G$4:$G$40)*Semidetached!S$16)+(LOOKUP(Semidetached!S$2,'Wall-U'!$A$4:$A$40,'Wall-U'!$G$4:$G$40)*Semidetached!S$13)+(LOOKUP(Semidetached!S$2,'Window-U'!$A$4:$A$40,'Window-U'!$S$4:$S$40)*Semidetached!S$22))*S70</f>
        <v>1680.4773997371485</v>
      </c>
      <c r="T73" s="177">
        <f>((LOOKUP(Semidetached!T$2,'Ceiling-U'!$A$4:$A$40,'Ceiling-U'!$G$4:$G$40)*Semidetached!T$15)+(LOOKUP(Semidetached!T$2,'Floor-U'!$A$4:$A$40,'Floor-U'!$G$4:$G$40)*Semidetached!T$16)+(LOOKUP(Semidetached!T$2,'Wall-U'!$A$4:$A$40,'Wall-U'!$G$4:$G$40)*Semidetached!T$13)+(LOOKUP(Semidetached!T$2,'Window-U'!$A$4:$A$40,'Window-U'!$S$4:$S$40)*Semidetached!T$22))*T70</f>
        <v>423.26414711678251</v>
      </c>
      <c r="U73" s="177">
        <f>((LOOKUP(Semidetached!U$2,'Ceiling-U'!$A$4:$A$40,'Ceiling-U'!$G$4:$G$40)*Semidetached!U$15)+(LOOKUP(Semidetached!U$2,'Floor-U'!$A$4:$A$40,'Floor-U'!$G$4:$G$40)*Semidetached!U$16)+(LOOKUP(Semidetached!U$2,'Wall-U'!$A$4:$A$40,'Wall-U'!$G$4:$G$40)*Semidetached!U$13)+(LOOKUP(Semidetached!U$2,'Window-U'!$A$4:$A$40,'Window-U'!$S$4:$S$40)*Semidetached!U$22))*U70</f>
        <v>2031.3338517637337</v>
      </c>
      <c r="V73" s="177">
        <f>((LOOKUP(Semidetached!V$2,'Ceiling-U'!$A$4:$A$40,'Ceiling-U'!$G$4:$G$40)*Semidetached!V$15)+(LOOKUP(Semidetached!V$2,'Floor-U'!$A$4:$A$40,'Floor-U'!$G$4:$G$40)*Semidetached!V$16)+(LOOKUP(Semidetached!V$2,'Wall-U'!$A$4:$A$40,'Wall-U'!$G$4:$G$40)*Semidetached!V$13)+(LOOKUP(Semidetached!V$2,'Window-U'!$A$4:$A$40,'Window-U'!$S$4:$S$40)*Semidetached!V$22))*V70</f>
        <v>584.89988126269077</v>
      </c>
      <c r="W73" s="177">
        <f>((LOOKUP(Semidetached!W$2,'Ceiling-U'!$A$4:$A$40,'Ceiling-U'!$G$4:$G$40)*Semidetached!W$15)+(LOOKUP(Semidetached!W$2,'Floor-U'!$A$4:$A$40,'Floor-U'!$G$4:$G$40)*Semidetached!W$16)+(LOOKUP(Semidetached!W$2,'Wall-U'!$A$4:$A$40,'Wall-U'!$G$4:$G$40)*Semidetached!W$13)+(LOOKUP(Semidetached!W$2,'Window-U'!$A$4:$A$40,'Window-U'!$S$4:$S$40)*Semidetached!W$22))*W70</f>
        <v>440.48362555401889</v>
      </c>
      <c r="X73" s="177">
        <f>((LOOKUP(Semidetached!X$2,'Ceiling-U'!$A$4:$A$40,'Ceiling-U'!$G$4:$G$40)*Semidetached!X$15)+(LOOKUP(Semidetached!X$2,'Floor-U'!$A$4:$A$40,'Floor-U'!$G$4:$G$40)*Semidetached!X$16)+(LOOKUP(Semidetached!X$2,'Wall-U'!$A$4:$A$40,'Wall-U'!$G$4:$G$40)*Semidetached!X$13)+(LOOKUP(Semidetached!X$2,'Window-U'!$A$4:$A$40,'Window-U'!$S$4:$S$40)*Semidetached!X$22))*X70</f>
        <v>979.63229427598503</v>
      </c>
      <c r="Y73" s="177">
        <f>((LOOKUP(Semidetached!Y$2,'Ceiling-U'!$A$4:$A$40,'Ceiling-U'!$G$4:$G$40)*Semidetached!Y$15)+(LOOKUP(Semidetached!Y$2,'Floor-U'!$A$4:$A$40,'Floor-U'!$G$4:$G$40)*Semidetached!Y$16)+(LOOKUP(Semidetached!Y$2,'Wall-U'!$A$4:$A$40,'Wall-U'!$G$4:$G$40)*Semidetached!Y$13)+(LOOKUP(Semidetached!Y$2,'Window-U'!$A$4:$A$40,'Window-U'!$S$4:$S$40)*Semidetached!Y$22))*Y70</f>
        <v>2572.1577430765801</v>
      </c>
      <c r="Z73" s="177">
        <f>((LOOKUP(Semidetached!Z$2,'Ceiling-U'!$A$4:$A$40,'Ceiling-U'!$G$4:$G$40)*Semidetached!Z$15)+(LOOKUP(Semidetached!Z$2,'Floor-U'!$A$4:$A$40,'Floor-U'!$G$4:$G$40)*Semidetached!Z$16)+(LOOKUP(Semidetached!Z$2,'Wall-U'!$A$4:$A$40,'Wall-U'!$G$4:$G$40)*Semidetached!Z$13)+(LOOKUP(Semidetached!Z$2,'Window-U'!$A$4:$A$40,'Window-U'!$S$4:$S$40)*Semidetached!Z$22))*Z70</f>
        <v>1708.1247853310954</v>
      </c>
      <c r="AA73" s="177">
        <f>((LOOKUP(Semidetached!AA$2,'Ceiling-U'!$A$4:$A$40,'Ceiling-U'!$G$4:$G$40)*Semidetached!AA$15)+(LOOKUP(Semidetached!AA$2,'Floor-U'!$A$4:$A$40,'Floor-U'!$G$4:$G$40)*Semidetached!AA$16)+(LOOKUP(Semidetached!AA$2,'Wall-U'!$A$4:$A$40,'Wall-U'!$G$4:$G$40)*Semidetached!AA$13)+(LOOKUP(Semidetached!AA$2,'Window-U'!$A$4:$A$40,'Window-U'!$S$4:$S$40)*Semidetached!AA$22))*AA70</f>
        <v>310.46086774624825</v>
      </c>
      <c r="AB73" s="177">
        <f>((LOOKUP(Semidetached!AB$2,'Ceiling-U'!$A$4:$A$40,'Ceiling-U'!$G$4:$G$40)*Semidetached!AB$15)+(LOOKUP(Semidetached!AB$2,'Floor-U'!$A$4:$A$40,'Floor-U'!$G$4:$G$40)*Semidetached!AB$16)+(LOOKUP(Semidetached!AB$2,'Wall-U'!$A$4:$A$40,'Wall-U'!$G$4:$G$40)*Semidetached!AB$13)+(LOOKUP(Semidetached!AB$2,'Window-U'!$A$4:$A$40,'Window-U'!$S$4:$S$40)*Semidetached!AB$22))*AB70</f>
        <v>778.21369461679706</v>
      </c>
      <c r="AC73" s="177">
        <f>((LOOKUP(Semidetached!AC$2,'Ceiling-U'!$A$4:$A$40,'Ceiling-U'!$G$4:$G$40)*Semidetached!AC$15)+(LOOKUP(Semidetached!AC$2,'Floor-U'!$A$4:$A$40,'Floor-U'!$G$4:$G$40)*Semidetached!AC$16)+(LOOKUP(Semidetached!AC$2,'Wall-U'!$A$4:$A$40,'Wall-U'!$G$4:$G$40)*Semidetached!AC$13)+(LOOKUP(Semidetached!AC$2,'Window-U'!$A$4:$A$40,'Window-U'!$S$4:$S$40)*Semidetached!AC$22))*AC70</f>
        <v>2468.6074813771033</v>
      </c>
      <c r="AD73" s="177">
        <f>((LOOKUP(Semidetached!AD$2,'Ceiling-U'!$A$4:$A$40,'Ceiling-U'!$G$4:$G$40)*Semidetached!AD$15)+(LOOKUP(Semidetached!AD$2,'Floor-U'!$A$4:$A$40,'Floor-U'!$G$4:$G$40)*Semidetached!AD$16)+(LOOKUP(Semidetached!AD$2,'Wall-U'!$A$4:$A$40,'Wall-U'!$G$4:$G$40)*Semidetached!AD$13)+(LOOKUP(Semidetached!AD$2,'Window-U'!$A$4:$A$40,'Window-U'!$S$4:$S$40)*Semidetached!AD$22))*AD70</f>
        <v>1272.8046001470702</v>
      </c>
      <c r="AE73" s="177">
        <f>((LOOKUP(Semidetached!AE$2,'Ceiling-U'!$A$4:$A$40,'Ceiling-U'!$G$4:$G$40)*Semidetached!AE$15)+(LOOKUP(Semidetached!AE$2,'Floor-U'!$A$4:$A$40,'Floor-U'!$G$4:$G$40)*Semidetached!AE$16)+(LOOKUP(Semidetached!AE$2,'Wall-U'!$A$4:$A$40,'Wall-U'!$G$4:$G$40)*Semidetached!AE$13)+(LOOKUP(Semidetached!AE$2,'Window-U'!$A$4:$A$40,'Window-U'!$S$4:$S$40)*Semidetached!AE$22))*AE70</f>
        <v>305.22254037812309</v>
      </c>
      <c r="AF73" s="177">
        <f>((LOOKUP(Semidetached!AF$2,'Ceiling-U'!$A$4:$A$40,'Ceiling-U'!$G$4:$G$40)*Semidetached!AF$15)+(LOOKUP(Semidetached!AF$2,'Floor-U'!$A$4:$A$40,'Floor-U'!$G$4:$G$40)*Semidetached!AF$16)+(LOOKUP(Semidetached!AF$2,'Wall-U'!$A$4:$A$40,'Wall-U'!$G$4:$G$40)*Semidetached!AF$13)+(LOOKUP(Semidetached!AF$2,'Window-U'!$A$4:$A$40,'Window-U'!$S$4:$S$40)*Semidetached!AF$22))*AF70</f>
        <v>1182.8714712465207</v>
      </c>
      <c r="AG73" s="177">
        <f>((LOOKUP(Semidetached!AG$2,'Ceiling-U'!$A$4:$A$40,'Ceiling-U'!$G$4:$G$40)*Semidetached!AG$15)+(LOOKUP(Semidetached!AG$2,'Floor-U'!$A$4:$A$40,'Floor-U'!$G$4:$G$40)*Semidetached!AG$16)+(LOOKUP(Semidetached!AG$2,'Wall-U'!$A$4:$A$40,'Wall-U'!$G$4:$G$40)*Semidetached!AG$13)+(LOOKUP(Semidetached!AG$2,'Window-U'!$A$4:$A$40,'Window-U'!$S$4:$S$40)*Semidetached!AG$22))*AG70</f>
        <v>1461.6652671166862</v>
      </c>
      <c r="AH73" s="177">
        <f>((LOOKUP(Semidetached!AH$2,'Ceiling-U'!$A$4:$A$40,'Ceiling-U'!$G$4:$G$40)*Semidetached!AH$15)+(LOOKUP(Semidetached!AH$2,'Floor-U'!$A$4:$A$40,'Floor-U'!$G$4:$G$40)*Semidetached!AH$16)+(LOOKUP(Semidetached!AH$2,'Wall-U'!$A$4:$A$40,'Wall-U'!$G$4:$G$40)*Semidetached!AH$13)+(LOOKUP(Semidetached!AH$2,'Window-U'!$A$4:$A$40,'Window-U'!$S$4:$S$40)*Semidetached!AH$22))*AH70</f>
        <v>1272.7879535567704</v>
      </c>
      <c r="AI73" s="177">
        <f>((LOOKUP(Semidetached!AI$2,'Ceiling-U'!$A$4:$A$40,'Ceiling-U'!$G$4:$G$40)*Semidetached!AI$15)+(LOOKUP(Semidetached!AI$2,'Floor-U'!$A$4:$A$40,'Floor-U'!$G$4:$G$40)*Semidetached!AI$16)+(LOOKUP(Semidetached!AI$2,'Wall-U'!$A$4:$A$40,'Wall-U'!$G$4:$G$40)*Semidetached!AI$13)+(LOOKUP(Semidetached!AI$2,'Window-U'!$A$4:$A$40,'Window-U'!$S$4:$S$40)*Semidetached!AI$22))*AI70</f>
        <v>2691.3755387829028</v>
      </c>
      <c r="AJ73" s="177">
        <f>((LOOKUP(Semidetached!AJ$2,'Ceiling-U'!$A$4:$A$40,'Ceiling-U'!$G$4:$G$40)*Semidetached!AJ$15)+(LOOKUP(Semidetached!AJ$2,'Floor-U'!$A$4:$A$40,'Floor-U'!$G$4:$G$40)*Semidetached!AJ$16)+(LOOKUP(Semidetached!AJ$2,'Wall-U'!$A$4:$A$40,'Wall-U'!$G$4:$G$40)*Semidetached!AJ$13)+(LOOKUP(Semidetached!AJ$2,'Window-U'!$A$4:$A$40,'Window-U'!$S$4:$S$40)*Semidetached!AJ$22))*AJ70</f>
        <v>1013.6150625663313</v>
      </c>
      <c r="AK73" s="177">
        <f>((LOOKUP(Semidetached!AK$2,'Ceiling-U'!$A$4:$A$40,'Ceiling-U'!$G$4:$G$40)*Semidetached!AK$15)+(LOOKUP(Semidetached!AK$2,'Floor-U'!$A$4:$A$40,'Floor-U'!$G$4:$G$40)*Semidetached!AK$16)+(LOOKUP(Semidetached!AK$2,'Wall-U'!$A$4:$A$40,'Wall-U'!$G$4:$G$40)*Semidetached!AK$13)+(LOOKUP(Semidetached!AK$2,'Window-U'!$A$4:$A$40,'Window-U'!$S$4:$S$40)*Semidetached!AK$22))*AK70</f>
        <v>1266.0180203028699</v>
      </c>
      <c r="AL73" s="177">
        <f>((LOOKUP(Semidetached!AL$2,'Ceiling-U'!$A$4:$A$40,'Ceiling-U'!$G$4:$G$40)*Semidetached!AL$15)+(LOOKUP(Semidetached!AL$2,'Floor-U'!$A$4:$A$40,'Floor-U'!$G$4:$G$40)*Semidetached!AL$16)+(LOOKUP(Semidetached!AL$2,'Wall-U'!$A$4:$A$40,'Wall-U'!$G$4:$G$40)*Semidetached!AL$13)+(LOOKUP(Semidetached!AL$2,'Window-U'!$A$4:$A$40,'Window-U'!$S$4:$S$40)*Semidetached!AL$22))*AL70</f>
        <v>1045.5383187408013</v>
      </c>
      <c r="AM73" s="177">
        <f>((LOOKUP(Semidetached!AM$2,'Ceiling-U'!$A$4:$A$40,'Ceiling-U'!$G$4:$G$40)*Semidetached!AM$15)+(LOOKUP(Semidetached!AM$2,'Floor-U'!$A$4:$A$40,'Floor-U'!$G$4:$G$40)*Semidetached!AM$16)+(LOOKUP(Semidetached!AM$2,'Wall-U'!$A$4:$A$40,'Wall-U'!$G$4:$G$40)*Semidetached!AM$13)+(LOOKUP(Semidetached!AM$2,'Window-U'!$A$4:$A$40,'Window-U'!$S$4:$S$40)*Semidetached!AM$22))*AM70</f>
        <v>1013.6150625663313</v>
      </c>
      <c r="AN73" s="178">
        <f>((LOOKUP(Semidetached!AN$2,'Ceiling-U'!$A$4:$A$40,'Ceiling-U'!$G$4:$G$40)*Semidetached!AN$15)+(LOOKUP(Semidetached!AN$2,'Floor-U'!$A$4:$A$40,'Floor-U'!$G$4:$G$40)*Semidetached!AN$16)+(LOOKUP(Semidetached!AN$2,'Wall-U'!$A$4:$A$40,'Wall-U'!$G$4:$G$40)*Semidetached!AN$13)+(LOOKUP(Semidetached!AN$2,'Window-U'!$A$4:$A$40,'Window-U'!$S$4:$S$40)*Semidetached!AN$22))*AN70</f>
        <v>1013.6150625663313</v>
      </c>
    </row>
    <row r="74" spans="1:40">
      <c r="A74" s="372"/>
      <c r="B74" s="142" t="s">
        <v>5</v>
      </c>
      <c r="C74" s="131" t="s">
        <v>195</v>
      </c>
      <c r="D74" s="176">
        <f>((LOOKUP(Semidetached!D$2,'Ceiling-U'!$A$4:$A$40,'Ceiling-U'!$H$4:$H$40)*Semidetached!D$15)+(LOOKUP(Semidetached!D$2,'Floor-U'!$A$4:$A$40,'Floor-U'!$H$4:$H$40)*Semidetached!D$16)+(LOOKUP(Semidetached!D$2,'Wall-U'!$A$4:$A$40,'Wall-U'!$H$4:$H$40)*Semidetached!D$13)+(LOOKUP(Semidetached!D$2,'Window-U'!$A$4:$A$40,'Window-U'!$S$4:$S$40)*Semidetached!D$22))*D70</f>
        <v>694.56035518518399</v>
      </c>
      <c r="E74" s="177">
        <f>((LOOKUP(Semidetached!E$2,'Ceiling-U'!$A$4:$A$40,'Ceiling-U'!$H$4:$H$40)*Semidetached!E$15)+(LOOKUP(Semidetached!E$2,'Floor-U'!$A$4:$A$40,'Floor-U'!$H$4:$H$40)*Semidetached!E$16)+(LOOKUP(Semidetached!E$2,'Wall-U'!$A$4:$A$40,'Wall-U'!$H$4:$H$40)*Semidetached!E$13)+(LOOKUP(Semidetached!E$2,'Window-U'!$A$4:$A$40,'Window-U'!$S$4:$S$40)*Semidetached!E$22))*E70</f>
        <v>1655.3900126659801</v>
      </c>
      <c r="F74" s="177">
        <f>((LOOKUP(Semidetached!F$2,'Ceiling-U'!$A$4:$A$40,'Ceiling-U'!$H$4:$H$40)*Semidetached!F$15)+(LOOKUP(Semidetached!F$2,'Floor-U'!$A$4:$A$40,'Floor-U'!$H$4:$H$40)*Semidetached!F$16)+(LOOKUP(Semidetached!F$2,'Wall-U'!$A$4:$A$40,'Wall-U'!$H$4:$H$40)*Semidetached!F$13)+(LOOKUP(Semidetached!F$2,'Window-U'!$A$4:$A$40,'Window-U'!$S$4:$S$40)*Semidetached!F$22))*F70</f>
        <v>808.36843434395553</v>
      </c>
      <c r="G74" s="177">
        <f>((LOOKUP(Semidetached!G$2,'Ceiling-U'!$A$4:$A$40,'Ceiling-U'!$H$4:$H$40)*Semidetached!G$15)+(LOOKUP(Semidetached!G$2,'Floor-U'!$A$4:$A$40,'Floor-U'!$H$4:$H$40)*Semidetached!G$16)+(LOOKUP(Semidetached!G$2,'Wall-U'!$A$4:$A$40,'Wall-U'!$H$4:$H$40)*Semidetached!G$13)+(LOOKUP(Semidetached!G$2,'Window-U'!$A$4:$A$40,'Window-U'!$S$4:$S$40)*Semidetached!G$22))*G70</f>
        <v>718.13030511649447</v>
      </c>
      <c r="H74" s="177">
        <f>((LOOKUP(Semidetached!H$2,'Ceiling-U'!$A$4:$A$40,'Ceiling-U'!$H$4:$H$40)*Semidetached!H$15)+(LOOKUP(Semidetached!H$2,'Floor-U'!$A$4:$A$40,'Floor-U'!$H$4:$H$40)*Semidetached!H$16)+(LOOKUP(Semidetached!H$2,'Wall-U'!$A$4:$A$40,'Wall-U'!$H$4:$H$40)*Semidetached!H$13)+(LOOKUP(Semidetached!H$2,'Window-U'!$A$4:$A$40,'Window-U'!$S$4:$S$40)*Semidetached!H$22))*H70</f>
        <v>2349.6620168138843</v>
      </c>
      <c r="I74" s="177">
        <f>((LOOKUP(Semidetached!I$2,'Ceiling-U'!$A$4:$A$40,'Ceiling-U'!$H$4:$H$40)*Semidetached!I$15)+(LOOKUP(Semidetached!I$2,'Floor-U'!$A$4:$A$40,'Floor-U'!$H$4:$H$40)*Semidetached!I$16)+(LOOKUP(Semidetached!I$2,'Wall-U'!$A$4:$A$40,'Wall-U'!$H$4:$H$40)*Semidetached!I$13)+(LOOKUP(Semidetached!I$2,'Window-U'!$A$4:$A$40,'Window-U'!$S$4:$S$40)*Semidetached!I$22))*I70</f>
        <v>753.81804357968133</v>
      </c>
      <c r="J74" s="177">
        <f>((LOOKUP(Semidetached!J$2,'Ceiling-U'!$A$4:$A$40,'Ceiling-U'!$H$4:$H$40)*Semidetached!J$15)+(LOOKUP(Semidetached!J$2,'Floor-U'!$A$4:$A$40,'Floor-U'!$H$4:$H$40)*Semidetached!J$16)+(LOOKUP(Semidetached!J$2,'Wall-U'!$A$4:$A$40,'Wall-U'!$H$4:$H$40)*Semidetached!J$13)+(LOOKUP(Semidetached!J$2,'Window-U'!$A$4:$A$40,'Window-U'!$S$4:$S$40)*Semidetached!J$22))*J70</f>
        <v>651.26906142644202</v>
      </c>
      <c r="K74" s="177">
        <f>((LOOKUP(Semidetached!K$2,'Ceiling-U'!$A$4:$A$40,'Ceiling-U'!$H$4:$H$40)*Semidetached!K$15)+(LOOKUP(Semidetached!K$2,'Floor-U'!$A$4:$A$40,'Floor-U'!$H$4:$H$40)*Semidetached!K$16)+(LOOKUP(Semidetached!K$2,'Wall-U'!$A$4:$A$40,'Wall-U'!$H$4:$H$40)*Semidetached!K$13)+(LOOKUP(Semidetached!K$2,'Window-U'!$A$4:$A$40,'Window-U'!$S$4:$S$40)*Semidetached!K$22))*K70</f>
        <v>417.36842920466506</v>
      </c>
      <c r="L74" s="177">
        <f>((LOOKUP(Semidetached!L$2,'Ceiling-U'!$A$4:$A$40,'Ceiling-U'!$H$4:$H$40)*Semidetached!L$15)+(LOOKUP(Semidetached!L$2,'Floor-U'!$A$4:$A$40,'Floor-U'!$H$4:$H$40)*Semidetached!L$16)+(LOOKUP(Semidetached!L$2,'Wall-U'!$A$4:$A$40,'Wall-U'!$H$4:$H$40)*Semidetached!L$13)+(LOOKUP(Semidetached!L$2,'Window-U'!$A$4:$A$40,'Window-U'!$S$4:$S$40)*Semidetached!L$22))*L70</f>
        <v>268.40141474991174</v>
      </c>
      <c r="M74" s="177">
        <f>((LOOKUP(Semidetached!M$2,'Ceiling-U'!$A$4:$A$40,'Ceiling-U'!$H$4:$H$40)*Semidetached!M$15)+(LOOKUP(Semidetached!M$2,'Floor-U'!$A$4:$A$40,'Floor-U'!$H$4:$H$40)*Semidetached!M$16)+(LOOKUP(Semidetached!M$2,'Wall-U'!$A$4:$A$40,'Wall-U'!$H$4:$H$40)*Semidetached!M$13)+(LOOKUP(Semidetached!M$2,'Window-U'!$A$4:$A$40,'Window-U'!$S$4:$S$40)*Semidetached!M$22))*M70</f>
        <v>1524.663249134991</v>
      </c>
      <c r="N74" s="177">
        <f>((LOOKUP(Semidetached!N$2,'Ceiling-U'!$A$4:$A$40,'Ceiling-U'!$H$4:$H$40)*Semidetached!N$15)+(LOOKUP(Semidetached!N$2,'Floor-U'!$A$4:$A$40,'Floor-U'!$H$4:$H$40)*Semidetached!N$16)+(LOOKUP(Semidetached!N$2,'Wall-U'!$A$4:$A$40,'Wall-U'!$H$4:$H$40)*Semidetached!N$13)+(LOOKUP(Semidetached!N$2,'Window-U'!$A$4:$A$40,'Window-U'!$S$4:$S$40)*Semidetached!N$22))*N70</f>
        <v>331.21032628859291</v>
      </c>
      <c r="O74" s="177">
        <f>((LOOKUP(Semidetached!O$2,'Ceiling-U'!$A$4:$A$40,'Ceiling-U'!$H$4:$H$40)*Semidetached!O$15)+(LOOKUP(Semidetached!O$2,'Floor-U'!$A$4:$A$40,'Floor-U'!$H$4:$H$40)*Semidetached!O$16)+(LOOKUP(Semidetached!O$2,'Wall-U'!$A$4:$A$40,'Wall-U'!$H$4:$H$40)*Semidetached!O$13)+(LOOKUP(Semidetached!O$2,'Window-U'!$A$4:$A$40,'Window-U'!$S$4:$S$40)*Semidetached!O$22))*O70</f>
        <v>856.98411415878604</v>
      </c>
      <c r="P74" s="177">
        <f>((LOOKUP(Semidetached!P$2,'Ceiling-U'!$A$4:$A$40,'Ceiling-U'!$H$4:$H$40)*Semidetached!P$15)+(LOOKUP(Semidetached!P$2,'Floor-U'!$A$4:$A$40,'Floor-U'!$H$4:$H$40)*Semidetached!P$16)+(LOOKUP(Semidetached!P$2,'Wall-U'!$A$4:$A$40,'Wall-U'!$H$4:$H$40)*Semidetached!P$13)+(LOOKUP(Semidetached!P$2,'Window-U'!$A$4:$A$40,'Window-U'!$S$4:$S$40)*Semidetached!P$22))*P70</f>
        <v>1780.0892123504284</v>
      </c>
      <c r="Q74" s="177">
        <f>((LOOKUP(Semidetached!Q$2,'Ceiling-U'!$A$4:$A$40,'Ceiling-U'!$H$4:$H$40)*Semidetached!Q$15)+(LOOKUP(Semidetached!Q$2,'Floor-U'!$A$4:$A$40,'Floor-U'!$H$4:$H$40)*Semidetached!Q$16)+(LOOKUP(Semidetached!Q$2,'Wall-U'!$A$4:$A$40,'Wall-U'!$H$4:$H$40)*Semidetached!Q$13)+(LOOKUP(Semidetached!Q$2,'Window-U'!$A$4:$A$40,'Window-U'!$S$4:$S$40)*Semidetached!Q$22))*Q70</f>
        <v>945.84864938365956</v>
      </c>
      <c r="R74" s="177">
        <f>((LOOKUP(Semidetached!R$2,'Ceiling-U'!$A$4:$A$40,'Ceiling-U'!$H$4:$H$40)*Semidetached!R$15)+(LOOKUP(Semidetached!R$2,'Floor-U'!$A$4:$A$40,'Floor-U'!$H$4:$H$40)*Semidetached!R$16)+(LOOKUP(Semidetached!R$2,'Wall-U'!$A$4:$A$40,'Wall-U'!$H$4:$H$40)*Semidetached!R$13)+(LOOKUP(Semidetached!R$2,'Window-U'!$A$4:$A$40,'Window-U'!$S$4:$S$40)*Semidetached!R$22))*R70</f>
        <v>777.53497501984441</v>
      </c>
      <c r="S74" s="177">
        <f>((LOOKUP(Semidetached!S$2,'Ceiling-U'!$A$4:$A$40,'Ceiling-U'!$H$4:$H$40)*Semidetached!S$15)+(LOOKUP(Semidetached!S$2,'Floor-U'!$A$4:$A$40,'Floor-U'!$H$4:$H$40)*Semidetached!S$16)+(LOOKUP(Semidetached!S$2,'Wall-U'!$A$4:$A$40,'Wall-U'!$H$4:$H$40)*Semidetached!S$13)+(LOOKUP(Semidetached!S$2,'Window-U'!$A$4:$A$40,'Window-U'!$S$4:$S$40)*Semidetached!S$22))*S70</f>
        <v>969.43608207929594</v>
      </c>
      <c r="T74" s="177">
        <f>((LOOKUP(Semidetached!T$2,'Ceiling-U'!$A$4:$A$40,'Ceiling-U'!$H$4:$H$40)*Semidetached!T$15)+(LOOKUP(Semidetached!T$2,'Floor-U'!$A$4:$A$40,'Floor-U'!$H$4:$H$40)*Semidetached!T$16)+(LOOKUP(Semidetached!T$2,'Wall-U'!$A$4:$A$40,'Wall-U'!$H$4:$H$40)*Semidetached!T$13)+(LOOKUP(Semidetached!T$2,'Window-U'!$A$4:$A$40,'Window-U'!$S$4:$S$40)*Semidetached!T$22))*T70</f>
        <v>333.92143941088557</v>
      </c>
      <c r="U74" s="177">
        <f>((LOOKUP(Semidetached!U$2,'Ceiling-U'!$A$4:$A$40,'Ceiling-U'!$H$4:$H$40)*Semidetached!U$15)+(LOOKUP(Semidetached!U$2,'Floor-U'!$A$4:$A$40,'Floor-U'!$H$4:$H$40)*Semidetached!U$16)+(LOOKUP(Semidetached!U$2,'Wall-U'!$A$4:$A$40,'Wall-U'!$H$4:$H$40)*Semidetached!U$13)+(LOOKUP(Semidetached!U$2,'Window-U'!$A$4:$A$40,'Window-U'!$S$4:$S$40)*Semidetached!U$22))*U70</f>
        <v>1573.3559673898571</v>
      </c>
      <c r="V74" s="177">
        <f>((LOOKUP(Semidetached!V$2,'Ceiling-U'!$A$4:$A$40,'Ceiling-U'!$H$4:$H$40)*Semidetached!V$15)+(LOOKUP(Semidetached!V$2,'Floor-U'!$A$4:$A$40,'Floor-U'!$H$4:$H$40)*Semidetached!V$16)+(LOOKUP(Semidetached!V$2,'Wall-U'!$A$4:$A$40,'Wall-U'!$H$4:$H$40)*Semidetached!V$13)+(LOOKUP(Semidetached!V$2,'Window-U'!$A$4:$A$40,'Window-U'!$S$4:$S$40)*Semidetached!V$22))*V70</f>
        <v>584.89988126269077</v>
      </c>
      <c r="W74" s="177">
        <f>((LOOKUP(Semidetached!W$2,'Ceiling-U'!$A$4:$A$40,'Ceiling-U'!$H$4:$H$40)*Semidetached!W$15)+(LOOKUP(Semidetached!W$2,'Floor-U'!$A$4:$A$40,'Floor-U'!$H$4:$H$40)*Semidetached!W$16)+(LOOKUP(Semidetached!W$2,'Wall-U'!$A$4:$A$40,'Wall-U'!$H$4:$H$40)*Semidetached!W$13)+(LOOKUP(Semidetached!W$2,'Window-U'!$A$4:$A$40,'Window-U'!$S$4:$S$40)*Semidetached!W$22))*W70</f>
        <v>381.7966753693583</v>
      </c>
      <c r="X74" s="177">
        <f>((LOOKUP(Semidetached!X$2,'Ceiling-U'!$A$4:$A$40,'Ceiling-U'!$H$4:$H$40)*Semidetached!X$15)+(LOOKUP(Semidetached!X$2,'Floor-U'!$A$4:$A$40,'Floor-U'!$H$4:$H$40)*Semidetached!X$16)+(LOOKUP(Semidetached!X$2,'Wall-U'!$A$4:$A$40,'Wall-U'!$H$4:$H$40)*Semidetached!X$13)+(LOOKUP(Semidetached!X$2,'Window-U'!$A$4:$A$40,'Window-U'!$S$4:$S$40)*Semidetached!X$22))*X70</f>
        <v>491.15150762393193</v>
      </c>
      <c r="Y74" s="177">
        <f>((LOOKUP(Semidetached!Y$2,'Ceiling-U'!$A$4:$A$40,'Ceiling-U'!$H$4:$H$40)*Semidetached!Y$15)+(LOOKUP(Semidetached!Y$2,'Floor-U'!$A$4:$A$40,'Floor-U'!$H$4:$H$40)*Semidetached!Y$16)+(LOOKUP(Semidetached!Y$2,'Wall-U'!$A$4:$A$40,'Wall-U'!$H$4:$H$40)*Semidetached!Y$13)+(LOOKUP(Semidetached!Y$2,'Window-U'!$A$4:$A$40,'Window-U'!$S$4:$S$40)*Semidetached!Y$22))*Y70</f>
        <v>2251.7533651914318</v>
      </c>
      <c r="Z74" s="177">
        <f>((LOOKUP(Semidetached!Z$2,'Ceiling-U'!$A$4:$A$40,'Ceiling-U'!$H$4:$H$40)*Semidetached!Z$15)+(LOOKUP(Semidetached!Z$2,'Floor-U'!$A$4:$A$40,'Floor-U'!$H$4:$H$40)*Semidetached!Z$16)+(LOOKUP(Semidetached!Z$2,'Wall-U'!$A$4:$A$40,'Wall-U'!$H$4:$H$40)*Semidetached!Z$13)+(LOOKUP(Semidetached!Z$2,'Window-U'!$A$4:$A$40,'Window-U'!$S$4:$S$40)*Semidetached!Z$22))*Z70</f>
        <v>960.47046059857746</v>
      </c>
      <c r="AA74" s="177">
        <f>((LOOKUP(Semidetached!AA$2,'Ceiling-U'!$A$4:$A$40,'Ceiling-U'!$H$4:$H$40)*Semidetached!AA$15)+(LOOKUP(Semidetached!AA$2,'Floor-U'!$A$4:$A$40,'Floor-U'!$H$4:$H$40)*Semidetached!AA$16)+(LOOKUP(Semidetached!AA$2,'Wall-U'!$A$4:$A$40,'Wall-U'!$H$4:$H$40)*Semidetached!AA$13)+(LOOKUP(Semidetached!AA$2,'Window-U'!$A$4:$A$40,'Window-U'!$S$4:$S$40)*Semidetached!AA$22))*AA70</f>
        <v>310.46086774624825</v>
      </c>
      <c r="AB74" s="177">
        <f>((LOOKUP(Semidetached!AB$2,'Ceiling-U'!$A$4:$A$40,'Ceiling-U'!$H$4:$H$40)*Semidetached!AB$15)+(LOOKUP(Semidetached!AB$2,'Floor-U'!$A$4:$A$40,'Floor-U'!$H$4:$H$40)*Semidetached!AB$16)+(LOOKUP(Semidetached!AB$2,'Wall-U'!$A$4:$A$40,'Wall-U'!$H$4:$H$40)*Semidetached!AB$13)+(LOOKUP(Semidetached!AB$2,'Window-U'!$A$4:$A$40,'Window-U'!$S$4:$S$40)*Semidetached!AB$22))*AB70</f>
        <v>778.21369461679706</v>
      </c>
      <c r="AC74" s="177">
        <f>((LOOKUP(Semidetached!AC$2,'Ceiling-U'!$A$4:$A$40,'Ceiling-U'!$H$4:$H$40)*Semidetached!AC$15)+(LOOKUP(Semidetached!AC$2,'Floor-U'!$A$4:$A$40,'Floor-U'!$H$4:$H$40)*Semidetached!AC$16)+(LOOKUP(Semidetached!AC$2,'Wall-U'!$A$4:$A$40,'Wall-U'!$H$4:$H$40)*Semidetached!AC$13)+(LOOKUP(Semidetached!AC$2,'Window-U'!$A$4:$A$40,'Window-U'!$S$4:$S$40)*Semidetached!AC$22))*AC70</f>
        <v>2380.3900687815012</v>
      </c>
      <c r="AD74" s="177">
        <f>((LOOKUP(Semidetached!AD$2,'Ceiling-U'!$A$4:$A$40,'Ceiling-U'!$H$4:$H$40)*Semidetached!AD$15)+(LOOKUP(Semidetached!AD$2,'Floor-U'!$A$4:$A$40,'Floor-U'!$H$4:$H$40)*Semidetached!AD$16)+(LOOKUP(Semidetached!AD$2,'Wall-U'!$A$4:$A$40,'Wall-U'!$H$4:$H$40)*Semidetached!AD$13)+(LOOKUP(Semidetached!AD$2,'Window-U'!$A$4:$A$40,'Window-U'!$S$4:$S$40)*Semidetached!AD$22))*AD70</f>
        <v>1048.8844517609996</v>
      </c>
      <c r="AE74" s="177">
        <f>((LOOKUP(Semidetached!AE$2,'Ceiling-U'!$A$4:$A$40,'Ceiling-U'!$H$4:$H$40)*Semidetached!AE$15)+(LOOKUP(Semidetached!AE$2,'Floor-U'!$A$4:$A$40,'Floor-U'!$H$4:$H$40)*Semidetached!AE$16)+(LOOKUP(Semidetached!AE$2,'Wall-U'!$A$4:$A$40,'Wall-U'!$H$4:$H$40)*Semidetached!AE$13)+(LOOKUP(Semidetached!AE$2,'Window-U'!$A$4:$A$40,'Window-U'!$S$4:$S$40)*Semidetached!AE$22))*AE70</f>
        <v>305.22254037812309</v>
      </c>
      <c r="AF74" s="177">
        <f>((LOOKUP(Semidetached!AF$2,'Ceiling-U'!$A$4:$A$40,'Ceiling-U'!$H$4:$H$40)*Semidetached!AF$15)+(LOOKUP(Semidetached!AF$2,'Floor-U'!$A$4:$A$40,'Floor-U'!$H$4:$H$40)*Semidetached!AF$16)+(LOOKUP(Semidetached!AF$2,'Wall-U'!$A$4:$A$40,'Wall-U'!$H$4:$H$40)*Semidetached!AF$13)+(LOOKUP(Semidetached!AF$2,'Window-U'!$A$4:$A$40,'Window-U'!$S$4:$S$40)*Semidetached!AF$22))*AF70</f>
        <v>890.47552721309955</v>
      </c>
      <c r="AG74" s="177">
        <f>((LOOKUP(Semidetached!AG$2,'Ceiling-U'!$A$4:$A$40,'Ceiling-U'!$H$4:$H$40)*Semidetached!AG$15)+(LOOKUP(Semidetached!AG$2,'Floor-U'!$A$4:$A$40,'Floor-U'!$H$4:$H$40)*Semidetached!AG$16)+(LOOKUP(Semidetached!AG$2,'Wall-U'!$A$4:$A$40,'Wall-U'!$H$4:$H$40)*Semidetached!AG$13)+(LOOKUP(Semidetached!AG$2,'Window-U'!$A$4:$A$40,'Window-U'!$S$4:$S$40)*Semidetached!AG$22))*AG70</f>
        <v>1232.7728715675635</v>
      </c>
      <c r="AH74" s="177">
        <f>((LOOKUP(Semidetached!AH$2,'Ceiling-U'!$A$4:$A$40,'Ceiling-U'!$H$4:$H$40)*Semidetached!AH$15)+(LOOKUP(Semidetached!AH$2,'Floor-U'!$A$4:$A$40,'Floor-U'!$H$4:$H$40)*Semidetached!AH$16)+(LOOKUP(Semidetached!AH$2,'Wall-U'!$A$4:$A$40,'Wall-U'!$H$4:$H$40)*Semidetached!AH$13)+(LOOKUP(Semidetached!AH$2,'Window-U'!$A$4:$A$40,'Window-U'!$S$4:$S$40)*Semidetached!AH$22))*AH70</f>
        <v>608.1072020546718</v>
      </c>
      <c r="AI74" s="177">
        <f>((LOOKUP(Semidetached!AI$2,'Ceiling-U'!$A$4:$A$40,'Ceiling-U'!$H$4:$H$40)*Semidetached!AI$15)+(LOOKUP(Semidetached!AI$2,'Floor-U'!$A$4:$A$40,'Floor-U'!$H$4:$H$40)*Semidetached!AI$16)+(LOOKUP(Semidetached!AI$2,'Wall-U'!$A$4:$A$40,'Wall-U'!$H$4:$H$40)*Semidetached!AI$13)+(LOOKUP(Semidetached!AI$2,'Window-U'!$A$4:$A$40,'Window-U'!$S$4:$S$40)*Semidetached!AI$22))*AI70</f>
        <v>2587.2243651427484</v>
      </c>
      <c r="AJ74" s="177">
        <f>((LOOKUP(Semidetached!AJ$2,'Ceiling-U'!$A$4:$A$40,'Ceiling-U'!$H$4:$H$40)*Semidetached!AJ$15)+(LOOKUP(Semidetached!AJ$2,'Floor-U'!$A$4:$A$40,'Floor-U'!$H$4:$H$40)*Semidetached!AJ$16)+(LOOKUP(Semidetached!AJ$2,'Wall-U'!$A$4:$A$40,'Wall-U'!$H$4:$H$40)*Semidetached!AJ$13)+(LOOKUP(Semidetached!AJ$2,'Window-U'!$A$4:$A$40,'Window-U'!$S$4:$S$40)*Semidetached!AJ$22))*AJ70</f>
        <v>829.64122086252326</v>
      </c>
      <c r="AK74" s="177">
        <f>((LOOKUP(Semidetached!AK$2,'Ceiling-U'!$A$4:$A$40,'Ceiling-U'!$H$4:$H$40)*Semidetached!AK$15)+(LOOKUP(Semidetached!AK$2,'Floor-U'!$A$4:$A$40,'Floor-U'!$H$4:$H$40)*Semidetached!AK$16)+(LOOKUP(Semidetached!AK$2,'Wall-U'!$A$4:$A$40,'Wall-U'!$H$4:$H$40)*Semidetached!AK$13)+(LOOKUP(Semidetached!AK$2,'Window-U'!$A$4:$A$40,'Window-U'!$S$4:$S$40)*Semidetached!AK$22))*AK70</f>
        <v>1033.0503261895512</v>
      </c>
      <c r="AL74" s="177">
        <f>((LOOKUP(Semidetached!AL$2,'Ceiling-U'!$A$4:$A$40,'Ceiling-U'!$H$4:$H$40)*Semidetached!AL$15)+(LOOKUP(Semidetached!AL$2,'Floor-U'!$A$4:$A$40,'Floor-U'!$H$4:$H$40)*Semidetached!AL$16)+(LOOKUP(Semidetached!AL$2,'Wall-U'!$A$4:$A$40,'Wall-U'!$H$4:$H$40)*Semidetached!AL$13)+(LOOKUP(Semidetached!AL$2,'Window-U'!$A$4:$A$40,'Window-U'!$S$4:$S$40)*Semidetached!AL$22))*AL70</f>
        <v>854.48525528797973</v>
      </c>
      <c r="AM74" s="177">
        <f>((LOOKUP(Semidetached!AM$2,'Ceiling-U'!$A$4:$A$40,'Ceiling-U'!$H$4:$H$40)*Semidetached!AM$15)+(LOOKUP(Semidetached!AM$2,'Floor-U'!$A$4:$A$40,'Floor-U'!$H$4:$H$40)*Semidetached!AM$16)+(LOOKUP(Semidetached!AM$2,'Wall-U'!$A$4:$A$40,'Wall-U'!$H$4:$H$40)*Semidetached!AM$13)+(LOOKUP(Semidetached!AM$2,'Window-U'!$A$4:$A$40,'Window-U'!$S$4:$S$40)*Semidetached!AM$22))*AM70</f>
        <v>829.64122086252326</v>
      </c>
      <c r="AN74" s="178">
        <f>((LOOKUP(Semidetached!AN$2,'Ceiling-U'!$A$4:$A$40,'Ceiling-U'!$H$4:$H$40)*Semidetached!AN$15)+(LOOKUP(Semidetached!AN$2,'Floor-U'!$A$4:$A$40,'Floor-U'!$H$4:$H$40)*Semidetached!AN$16)+(LOOKUP(Semidetached!AN$2,'Wall-U'!$A$4:$A$40,'Wall-U'!$H$4:$H$40)*Semidetached!AN$13)+(LOOKUP(Semidetached!AN$2,'Window-U'!$A$4:$A$40,'Window-U'!$S$4:$S$40)*Semidetached!AN$22))*AN70</f>
        <v>829.64122086252326</v>
      </c>
    </row>
    <row r="75" spans="1:40">
      <c r="A75" s="372"/>
      <c r="B75" s="142" t="s">
        <v>6</v>
      </c>
      <c r="C75" s="131" t="s">
        <v>195</v>
      </c>
      <c r="D75" s="176">
        <f>((LOOKUP(Semidetached!D$2,'Ceiling-U'!$A$4:$A$40,'Ceiling-U'!$I$4:$I$40)*Semidetached!D$15)+(LOOKUP(Semidetached!D$2,'Floor-U'!$A$4:$A$40,'Floor-U'!$I$4:$I$40)*Semidetached!D$16)+(LOOKUP(Semidetached!D$2,'Wall-U'!$A$4:$A$40,'Wall-U'!$I$4:$I$40)*Semidetached!D$13)+(LOOKUP(Semidetached!D$2,'Window-U'!$A$4:$A$40,'Window-U'!$S$4:$S$40)*Semidetached!D$22))*D70</f>
        <v>578.75011608824718</v>
      </c>
      <c r="E75" s="177">
        <f>((LOOKUP(Semidetached!E$2,'Ceiling-U'!$A$4:$A$40,'Ceiling-U'!$I$4:$I$40)*Semidetached!E$15)+(LOOKUP(Semidetached!E$2,'Floor-U'!$A$4:$A$40,'Floor-U'!$I$4:$I$40)*Semidetached!E$16)+(LOOKUP(Semidetached!E$2,'Wall-U'!$A$4:$A$40,'Wall-U'!$I$4:$I$40)*Semidetached!E$13)+(LOOKUP(Semidetached!E$2,'Window-U'!$A$4:$A$40,'Window-U'!$S$4:$S$40)*Semidetached!E$22))*E70</f>
        <v>1655.3900126659801</v>
      </c>
      <c r="F75" s="177">
        <f>((LOOKUP(Semidetached!F$2,'Ceiling-U'!$A$4:$A$40,'Ceiling-U'!$I$4:$I$40)*Semidetached!F$15)+(LOOKUP(Semidetached!F$2,'Floor-U'!$A$4:$A$40,'Floor-U'!$I$4:$I$40)*Semidetached!F$16)+(LOOKUP(Semidetached!F$2,'Wall-U'!$A$4:$A$40,'Wall-U'!$I$4:$I$40)*Semidetached!F$13)+(LOOKUP(Semidetached!F$2,'Window-U'!$A$4:$A$40,'Window-U'!$S$4:$S$40)*Semidetached!F$22))*F70</f>
        <v>570.42259011953593</v>
      </c>
      <c r="G75" s="177">
        <f>((LOOKUP(Semidetached!G$2,'Ceiling-U'!$A$4:$A$40,'Ceiling-U'!$I$4:$I$40)*Semidetached!G$15)+(LOOKUP(Semidetached!G$2,'Floor-U'!$A$4:$A$40,'Floor-U'!$I$4:$I$40)*Semidetached!G$16)+(LOOKUP(Semidetached!G$2,'Wall-U'!$A$4:$A$40,'Wall-U'!$I$4:$I$40)*Semidetached!G$13)+(LOOKUP(Semidetached!G$2,'Window-U'!$A$4:$A$40,'Window-U'!$S$4:$S$40)*Semidetached!G$22))*G70</f>
        <v>598.60579520782323</v>
      </c>
      <c r="H75" s="177">
        <f>((LOOKUP(Semidetached!H$2,'Ceiling-U'!$A$4:$A$40,'Ceiling-U'!$I$4:$I$40)*Semidetached!H$15)+(LOOKUP(Semidetached!H$2,'Floor-U'!$A$4:$A$40,'Floor-U'!$I$4:$I$40)*Semidetached!H$16)+(LOOKUP(Semidetached!H$2,'Wall-U'!$A$4:$A$40,'Wall-U'!$I$4:$I$40)*Semidetached!H$13)+(LOOKUP(Semidetached!H$2,'Window-U'!$A$4:$A$40,'Window-U'!$S$4:$S$40)*Semidetached!H$22))*H70</f>
        <v>2349.6620168138843</v>
      </c>
      <c r="I75" s="177">
        <f>((LOOKUP(Semidetached!I$2,'Ceiling-U'!$A$4:$A$40,'Ceiling-U'!$I$4:$I$40)*Semidetached!I$15)+(LOOKUP(Semidetached!I$2,'Floor-U'!$A$4:$A$40,'Floor-U'!$I$4:$I$40)*Semidetached!I$16)+(LOOKUP(Semidetached!I$2,'Wall-U'!$A$4:$A$40,'Wall-U'!$I$4:$I$40)*Semidetached!I$13)+(LOOKUP(Semidetached!I$2,'Window-U'!$A$4:$A$40,'Window-U'!$S$4:$S$40)*Semidetached!I$22))*I70</f>
        <v>529.68286725602195</v>
      </c>
      <c r="J75" s="177">
        <f>((LOOKUP(Semidetached!J$2,'Ceiling-U'!$A$4:$A$40,'Ceiling-U'!$I$4:$I$40)*Semidetached!J$15)+(LOOKUP(Semidetached!J$2,'Floor-U'!$A$4:$A$40,'Floor-U'!$I$4:$I$40)*Semidetached!J$16)+(LOOKUP(Semidetached!J$2,'Wall-U'!$A$4:$A$40,'Wall-U'!$I$4:$I$40)*Semidetached!J$13)+(LOOKUP(Semidetached!J$2,'Window-U'!$A$4:$A$40,'Window-U'!$S$4:$S$40)*Semidetached!J$22))*J70</f>
        <v>356.30086812015873</v>
      </c>
      <c r="K75" s="177">
        <f>((LOOKUP(Semidetached!K$2,'Ceiling-U'!$A$4:$A$40,'Ceiling-U'!$I$4:$I$40)*Semidetached!K$15)+(LOOKUP(Semidetached!K$2,'Floor-U'!$A$4:$A$40,'Floor-U'!$I$4:$I$40)*Semidetached!K$16)+(LOOKUP(Semidetached!K$2,'Wall-U'!$A$4:$A$40,'Wall-U'!$I$4:$I$40)*Semidetached!K$13)+(LOOKUP(Semidetached!K$2,'Window-U'!$A$4:$A$40,'Window-U'!$S$4:$S$40)*Semidetached!K$22))*K70</f>
        <v>417.36842920466506</v>
      </c>
      <c r="L75" s="177">
        <f>((LOOKUP(Semidetached!L$2,'Ceiling-U'!$A$4:$A$40,'Ceiling-U'!$I$4:$I$40)*Semidetached!L$15)+(LOOKUP(Semidetached!L$2,'Floor-U'!$A$4:$A$40,'Floor-U'!$I$4:$I$40)*Semidetached!L$16)+(LOOKUP(Semidetached!L$2,'Wall-U'!$A$4:$A$40,'Wall-U'!$I$4:$I$40)*Semidetached!L$13)+(LOOKUP(Semidetached!L$2,'Window-U'!$A$4:$A$40,'Window-U'!$S$4:$S$40)*Semidetached!L$22))*L70</f>
        <v>221.1565033597779</v>
      </c>
      <c r="M75" s="177">
        <f>((LOOKUP(Semidetached!M$2,'Ceiling-U'!$A$4:$A$40,'Ceiling-U'!$I$4:$I$40)*Semidetached!M$15)+(LOOKUP(Semidetached!M$2,'Floor-U'!$A$4:$A$40,'Floor-U'!$I$4:$I$40)*Semidetached!M$16)+(LOOKUP(Semidetached!M$2,'Wall-U'!$A$4:$A$40,'Wall-U'!$I$4:$I$40)*Semidetached!M$13)+(LOOKUP(Semidetached!M$2,'Window-U'!$A$4:$A$40,'Window-U'!$S$4:$S$40)*Semidetached!M$22))*M70</f>
        <v>1524.663249134991</v>
      </c>
      <c r="N75" s="177">
        <f>((LOOKUP(Semidetached!N$2,'Ceiling-U'!$A$4:$A$40,'Ceiling-U'!$I$4:$I$40)*Semidetached!N$15)+(LOOKUP(Semidetached!N$2,'Floor-U'!$A$4:$A$40,'Floor-U'!$I$4:$I$40)*Semidetached!N$16)+(LOOKUP(Semidetached!N$2,'Wall-U'!$A$4:$A$40,'Wall-U'!$I$4:$I$40)*Semidetached!N$13)+(LOOKUP(Semidetached!N$2,'Window-U'!$A$4:$A$40,'Window-U'!$S$4:$S$40)*Semidetached!N$22))*N70</f>
        <v>324.54065184529941</v>
      </c>
      <c r="O75" s="177">
        <f>((LOOKUP(Semidetached!O$2,'Ceiling-U'!$A$4:$A$40,'Ceiling-U'!$I$4:$I$40)*Semidetached!O$15)+(LOOKUP(Semidetached!O$2,'Floor-U'!$A$4:$A$40,'Floor-U'!$I$4:$I$40)*Semidetached!O$16)+(LOOKUP(Semidetached!O$2,'Wall-U'!$A$4:$A$40,'Wall-U'!$I$4:$I$40)*Semidetached!O$13)+(LOOKUP(Semidetached!O$2,'Window-U'!$A$4:$A$40,'Window-U'!$S$4:$S$40)*Semidetached!O$22))*O70</f>
        <v>454.34083268905033</v>
      </c>
      <c r="P75" s="177">
        <f>((LOOKUP(Semidetached!P$2,'Ceiling-U'!$A$4:$A$40,'Ceiling-U'!$I$4:$I$40)*Semidetached!P$15)+(LOOKUP(Semidetached!P$2,'Floor-U'!$A$4:$A$40,'Floor-U'!$I$4:$I$40)*Semidetached!P$16)+(LOOKUP(Semidetached!P$2,'Wall-U'!$A$4:$A$40,'Wall-U'!$I$4:$I$40)*Semidetached!P$13)+(LOOKUP(Semidetached!P$2,'Window-U'!$A$4:$A$40,'Window-U'!$S$4:$S$40)*Semidetached!P$22))*P70</f>
        <v>1780.0892123504284</v>
      </c>
      <c r="Q75" s="177">
        <f>((LOOKUP(Semidetached!Q$2,'Ceiling-U'!$A$4:$A$40,'Ceiling-U'!$I$4:$I$40)*Semidetached!Q$15)+(LOOKUP(Semidetached!Q$2,'Floor-U'!$A$4:$A$40,'Floor-U'!$I$4:$I$40)*Semidetached!Q$16)+(LOOKUP(Semidetached!Q$2,'Wall-U'!$A$4:$A$40,'Wall-U'!$I$4:$I$40)*Semidetached!Q$13)+(LOOKUP(Semidetached!Q$2,'Window-U'!$A$4:$A$40,'Window-U'!$S$4:$S$40)*Semidetached!Q$22))*Q70</f>
        <v>622.74420880005562</v>
      </c>
      <c r="R75" s="177">
        <f>((LOOKUP(Semidetached!R$2,'Ceiling-U'!$A$4:$A$40,'Ceiling-U'!$I$4:$I$40)*Semidetached!R$15)+(LOOKUP(Semidetached!R$2,'Floor-U'!$A$4:$A$40,'Floor-U'!$I$4:$I$40)*Semidetached!R$16)+(LOOKUP(Semidetached!R$2,'Wall-U'!$A$4:$A$40,'Wall-U'!$I$4:$I$40)*Semidetached!R$13)+(LOOKUP(Semidetached!R$2,'Window-U'!$A$4:$A$40,'Window-U'!$S$4:$S$40)*Semidetached!R$22))*R70</f>
        <v>777.53497501984441</v>
      </c>
      <c r="S75" s="177">
        <f>((LOOKUP(Semidetached!S$2,'Ceiling-U'!$A$4:$A$40,'Ceiling-U'!$I$4:$I$40)*Semidetached!S$15)+(LOOKUP(Semidetached!S$2,'Floor-U'!$A$4:$A$40,'Floor-U'!$I$4:$I$40)*Semidetached!S$16)+(LOOKUP(Semidetached!S$2,'Wall-U'!$A$4:$A$40,'Wall-U'!$I$4:$I$40)*Semidetached!S$13)+(LOOKUP(Semidetached!S$2,'Window-U'!$A$4:$A$40,'Window-U'!$S$4:$S$40)*Semidetached!S$22))*S70</f>
        <v>787.28882245770353</v>
      </c>
      <c r="T75" s="177">
        <f>((LOOKUP(Semidetached!T$2,'Ceiling-U'!$A$4:$A$40,'Ceiling-U'!$I$4:$I$40)*Semidetached!T$15)+(LOOKUP(Semidetached!T$2,'Floor-U'!$A$4:$A$40,'Floor-U'!$I$4:$I$40)*Semidetached!T$16)+(LOOKUP(Semidetached!T$2,'Wall-U'!$A$4:$A$40,'Wall-U'!$I$4:$I$40)*Semidetached!T$13)+(LOOKUP(Semidetached!T$2,'Window-U'!$A$4:$A$40,'Window-U'!$S$4:$S$40)*Semidetached!T$22))*T70</f>
        <v>327.1870624868219</v>
      </c>
      <c r="U75" s="177">
        <f>((LOOKUP(Semidetached!U$2,'Ceiling-U'!$A$4:$A$40,'Ceiling-U'!$I$4:$I$40)*Semidetached!U$15)+(LOOKUP(Semidetached!U$2,'Floor-U'!$A$4:$A$40,'Floor-U'!$I$4:$I$40)*Semidetached!U$16)+(LOOKUP(Semidetached!U$2,'Wall-U'!$A$4:$A$40,'Wall-U'!$I$4:$I$40)*Semidetached!U$13)+(LOOKUP(Semidetached!U$2,'Window-U'!$A$4:$A$40,'Window-U'!$S$4:$S$40)*Semidetached!U$22))*U70</f>
        <v>1425.6489465778138</v>
      </c>
      <c r="V75" s="177">
        <f>((LOOKUP(Semidetached!V$2,'Ceiling-U'!$A$4:$A$40,'Ceiling-U'!$I$4:$I$40)*Semidetached!V$15)+(LOOKUP(Semidetached!V$2,'Floor-U'!$A$4:$A$40,'Floor-U'!$I$4:$I$40)*Semidetached!V$16)+(LOOKUP(Semidetached!V$2,'Wall-U'!$A$4:$A$40,'Wall-U'!$I$4:$I$40)*Semidetached!V$13)+(LOOKUP(Semidetached!V$2,'Window-U'!$A$4:$A$40,'Window-U'!$S$4:$S$40)*Semidetached!V$22))*V70</f>
        <v>584.89988126269077</v>
      </c>
      <c r="W75" s="177">
        <f>((LOOKUP(Semidetached!W$2,'Ceiling-U'!$A$4:$A$40,'Ceiling-U'!$I$4:$I$40)*Semidetached!W$15)+(LOOKUP(Semidetached!W$2,'Floor-U'!$A$4:$A$40,'Floor-U'!$I$4:$I$40)*Semidetached!W$16)+(LOOKUP(Semidetached!W$2,'Wall-U'!$A$4:$A$40,'Wall-U'!$I$4:$I$40)*Semidetached!W$13)+(LOOKUP(Semidetached!W$2,'Window-U'!$A$4:$A$40,'Window-U'!$S$4:$S$40)*Semidetached!W$22))*W70</f>
        <v>325.60154954772594</v>
      </c>
      <c r="X75" s="177">
        <f>((LOOKUP(Semidetached!X$2,'Ceiling-U'!$A$4:$A$40,'Ceiling-U'!$I$4:$I$40)*Semidetached!X$15)+(LOOKUP(Semidetached!X$2,'Floor-U'!$A$4:$A$40,'Floor-U'!$I$4:$I$40)*Semidetached!X$16)+(LOOKUP(Semidetached!X$2,'Wall-U'!$A$4:$A$40,'Wall-U'!$I$4:$I$40)*Semidetached!X$13)+(LOOKUP(Semidetached!X$2,'Window-U'!$A$4:$A$40,'Window-U'!$S$4:$S$40)*Semidetached!X$22))*X70</f>
        <v>477.71242278122463</v>
      </c>
      <c r="Y75" s="177">
        <f>((LOOKUP(Semidetached!Y$2,'Ceiling-U'!$A$4:$A$40,'Ceiling-U'!$I$4:$I$40)*Semidetached!Y$15)+(LOOKUP(Semidetached!Y$2,'Floor-U'!$A$4:$A$40,'Floor-U'!$I$4:$I$40)*Semidetached!Y$16)+(LOOKUP(Semidetached!Y$2,'Wall-U'!$A$4:$A$40,'Wall-U'!$I$4:$I$40)*Semidetached!Y$13)+(LOOKUP(Semidetached!Y$2,'Window-U'!$A$4:$A$40,'Window-U'!$S$4:$S$40)*Semidetached!Y$22))*Y70</f>
        <v>2190.8765333932538</v>
      </c>
      <c r="Z75" s="177">
        <f>((LOOKUP(Semidetached!Z$2,'Ceiling-U'!$A$4:$A$40,'Ceiling-U'!$I$4:$I$40)*Semidetached!Z$15)+(LOOKUP(Semidetached!Z$2,'Floor-U'!$A$4:$A$40,'Floor-U'!$I$4:$I$40)*Semidetached!Z$16)+(LOOKUP(Semidetached!Z$2,'Wall-U'!$A$4:$A$40,'Wall-U'!$I$4:$I$40)*Semidetached!Z$13)+(LOOKUP(Semidetached!Z$2,'Window-U'!$A$4:$A$40,'Window-U'!$S$4:$S$40)*Semidetached!Z$22))*Z70</f>
        <v>855.24894027864127</v>
      </c>
      <c r="AA75" s="177">
        <f>((LOOKUP(Semidetached!AA$2,'Ceiling-U'!$A$4:$A$40,'Ceiling-U'!$I$4:$I$40)*Semidetached!AA$15)+(LOOKUP(Semidetached!AA$2,'Floor-U'!$A$4:$A$40,'Floor-U'!$I$4:$I$40)*Semidetached!AA$16)+(LOOKUP(Semidetached!AA$2,'Wall-U'!$A$4:$A$40,'Wall-U'!$I$4:$I$40)*Semidetached!AA$13)+(LOOKUP(Semidetached!AA$2,'Window-U'!$A$4:$A$40,'Window-U'!$S$4:$S$40)*Semidetached!AA$22))*AA70</f>
        <v>259.92695034589451</v>
      </c>
      <c r="AB75" s="177">
        <f>((LOOKUP(Semidetached!AB$2,'Ceiling-U'!$A$4:$A$40,'Ceiling-U'!$I$4:$I$40)*Semidetached!AB$15)+(LOOKUP(Semidetached!AB$2,'Floor-U'!$A$4:$A$40,'Floor-U'!$I$4:$I$40)*Semidetached!AB$16)+(LOOKUP(Semidetached!AB$2,'Wall-U'!$A$4:$A$40,'Wall-U'!$I$4:$I$40)*Semidetached!AB$13)+(LOOKUP(Semidetached!AB$2,'Window-U'!$A$4:$A$40,'Window-U'!$S$4:$S$40)*Semidetached!AB$22))*AB70</f>
        <v>778.21369461679706</v>
      </c>
      <c r="AC75" s="177">
        <f>((LOOKUP(Semidetached!AC$2,'Ceiling-U'!$A$4:$A$40,'Ceiling-U'!$I$4:$I$40)*Semidetached!AC$15)+(LOOKUP(Semidetached!AC$2,'Floor-U'!$A$4:$A$40,'Floor-U'!$I$4:$I$40)*Semidetached!AC$16)+(LOOKUP(Semidetached!AC$2,'Wall-U'!$A$4:$A$40,'Wall-U'!$I$4:$I$40)*Semidetached!AC$13)+(LOOKUP(Semidetached!AC$2,'Window-U'!$A$4:$A$40,'Window-U'!$S$4:$S$40)*Semidetached!AC$22))*AC70</f>
        <v>2170.3114165465672</v>
      </c>
      <c r="AD75" s="177">
        <f>((LOOKUP(Semidetached!AD$2,'Ceiling-U'!$A$4:$A$40,'Ceiling-U'!$I$4:$I$40)*Semidetached!AD$15)+(LOOKUP(Semidetached!AD$2,'Floor-U'!$A$4:$A$40,'Floor-U'!$I$4:$I$40)*Semidetached!AD$16)+(LOOKUP(Semidetached!AD$2,'Wall-U'!$A$4:$A$40,'Wall-U'!$I$4:$I$40)*Semidetached!AD$13)+(LOOKUP(Semidetached!AD$2,'Window-U'!$A$4:$A$40,'Window-U'!$S$4:$S$40)*Semidetached!AD$22))*AD70</f>
        <v>1048.8844517609996</v>
      </c>
      <c r="AE75" s="177">
        <f>((LOOKUP(Semidetached!AE$2,'Ceiling-U'!$A$4:$A$40,'Ceiling-U'!$I$4:$I$40)*Semidetached!AE$15)+(LOOKUP(Semidetached!AE$2,'Floor-U'!$A$4:$A$40,'Floor-U'!$I$4:$I$40)*Semidetached!AE$16)+(LOOKUP(Semidetached!AE$2,'Wall-U'!$A$4:$A$40,'Wall-U'!$I$4:$I$40)*Semidetached!AE$13)+(LOOKUP(Semidetached!AE$2,'Window-U'!$A$4:$A$40,'Window-U'!$S$4:$S$40)*Semidetached!AE$22))*AE70</f>
        <v>255.4979612402006</v>
      </c>
      <c r="AF75" s="177">
        <f>((LOOKUP(Semidetached!AF$2,'Ceiling-U'!$A$4:$A$40,'Ceiling-U'!$I$4:$I$40)*Semidetached!AF$15)+(LOOKUP(Semidetached!AF$2,'Floor-U'!$A$4:$A$40,'Floor-U'!$I$4:$I$40)*Semidetached!AF$16)+(LOOKUP(Semidetached!AF$2,'Wall-U'!$A$4:$A$40,'Wall-U'!$I$4:$I$40)*Semidetached!AF$13)+(LOOKUP(Semidetached!AF$2,'Window-U'!$A$4:$A$40,'Window-U'!$S$4:$S$40)*Semidetached!AF$22))*AF70</f>
        <v>574.39013916799934</v>
      </c>
      <c r="AG75" s="177">
        <f>((LOOKUP(Semidetached!AG$2,'Ceiling-U'!$A$4:$A$40,'Ceiling-U'!$I$4:$I$40)*Semidetached!AG$15)+(LOOKUP(Semidetached!AG$2,'Floor-U'!$A$4:$A$40,'Floor-U'!$I$4:$I$40)*Semidetached!AG$16)+(LOOKUP(Semidetached!AG$2,'Wall-U'!$A$4:$A$40,'Wall-U'!$I$4:$I$40)*Semidetached!AG$13)+(LOOKUP(Semidetached!AG$2,'Window-U'!$A$4:$A$40,'Window-U'!$S$4:$S$40)*Semidetached!AG$22))*AG70</f>
        <v>1073.1401901017168</v>
      </c>
      <c r="AH75" s="177">
        <f>((LOOKUP(Semidetached!AH$2,'Ceiling-U'!$A$4:$A$40,'Ceiling-U'!$I$4:$I$40)*Semidetached!AH$15)+(LOOKUP(Semidetached!AH$2,'Floor-U'!$A$4:$A$40,'Floor-U'!$I$4:$I$40)*Semidetached!AH$16)+(LOOKUP(Semidetached!AH$2,'Wall-U'!$A$4:$A$40,'Wall-U'!$I$4:$I$40)*Semidetached!AH$13)+(LOOKUP(Semidetached!AH$2,'Window-U'!$A$4:$A$40,'Window-U'!$S$4:$S$40)*Semidetached!AH$22))*AH70</f>
        <v>474.61752732714717</v>
      </c>
      <c r="AI75" s="177">
        <f>((LOOKUP(Semidetached!AI$2,'Ceiling-U'!$A$4:$A$40,'Ceiling-U'!$I$4:$I$40)*Semidetached!AI$15)+(LOOKUP(Semidetached!AI$2,'Floor-U'!$A$4:$A$40,'Floor-U'!$I$4:$I$40)*Semidetached!AI$16)+(LOOKUP(Semidetached!AI$2,'Wall-U'!$A$4:$A$40,'Wall-U'!$I$4:$I$40)*Semidetached!AI$13)+(LOOKUP(Semidetached!AI$2,'Window-U'!$A$4:$A$40,'Window-U'!$S$4:$S$40)*Semidetached!AI$22))*AI70</f>
        <v>2587.2243651427484</v>
      </c>
      <c r="AJ75" s="177">
        <f>((LOOKUP(Semidetached!AJ$2,'Ceiling-U'!$A$4:$A$40,'Ceiling-U'!$I$4:$I$40)*Semidetached!AJ$15)+(LOOKUP(Semidetached!AJ$2,'Floor-U'!$A$4:$A$40,'Floor-U'!$I$4:$I$40)*Semidetached!AJ$16)+(LOOKUP(Semidetached!AJ$2,'Wall-U'!$A$4:$A$40,'Wall-U'!$I$4:$I$40)*Semidetached!AJ$13)+(LOOKUP(Semidetached!AJ$2,'Window-U'!$A$4:$A$40,'Window-U'!$S$4:$S$40)*Semidetached!AJ$22))*AJ70</f>
        <v>761.03407314682181</v>
      </c>
      <c r="AK75" s="177">
        <f>((LOOKUP(Semidetached!AK$2,'Ceiling-U'!$A$4:$A$40,'Ceiling-U'!$I$4:$I$40)*Semidetached!AK$15)+(LOOKUP(Semidetached!AK$2,'Floor-U'!$A$4:$A$40,'Floor-U'!$I$4:$I$40)*Semidetached!AK$16)+(LOOKUP(Semidetached!AK$2,'Wall-U'!$A$4:$A$40,'Wall-U'!$I$4:$I$40)*Semidetached!AK$13)+(LOOKUP(Semidetached!AK$2,'Window-U'!$A$4:$A$40,'Window-U'!$S$4:$S$40)*Semidetached!AK$22))*AK70</f>
        <v>946.63307483083395</v>
      </c>
      <c r="AL75" s="177">
        <f>((LOOKUP(Semidetached!AL$2,'Ceiling-U'!$A$4:$A$40,'Ceiling-U'!$I$4:$I$40)*Semidetached!AL$15)+(LOOKUP(Semidetached!AL$2,'Floor-U'!$A$4:$A$40,'Floor-U'!$I$4:$I$40)*Semidetached!AL$16)+(LOOKUP(Semidetached!AL$2,'Wall-U'!$A$4:$A$40,'Wall-U'!$I$4:$I$40)*Semidetached!AL$13)+(LOOKUP(Semidetached!AL$2,'Window-U'!$A$4:$A$40,'Window-U'!$S$4:$S$40)*Semidetached!AL$22))*AL70</f>
        <v>600.88512503156551</v>
      </c>
      <c r="AM75" s="177">
        <f>((LOOKUP(Semidetached!AM$2,'Ceiling-U'!$A$4:$A$40,'Ceiling-U'!$I$4:$I$40)*Semidetached!AM$15)+(LOOKUP(Semidetached!AM$2,'Floor-U'!$A$4:$A$40,'Floor-U'!$I$4:$I$40)*Semidetached!AM$16)+(LOOKUP(Semidetached!AM$2,'Wall-U'!$A$4:$A$40,'Wall-U'!$I$4:$I$40)*Semidetached!AM$13)+(LOOKUP(Semidetached!AM$2,'Window-U'!$A$4:$A$40,'Window-U'!$S$4:$S$40)*Semidetached!AM$22))*AM70</f>
        <v>761.03407314682181</v>
      </c>
      <c r="AN75" s="178">
        <f>((LOOKUP(Semidetached!AN$2,'Ceiling-U'!$A$4:$A$40,'Ceiling-U'!$I$4:$I$40)*Semidetached!AN$15)+(LOOKUP(Semidetached!AN$2,'Floor-U'!$A$4:$A$40,'Floor-U'!$I$4:$I$40)*Semidetached!AN$16)+(LOOKUP(Semidetached!AN$2,'Wall-U'!$A$4:$A$40,'Wall-U'!$I$4:$I$40)*Semidetached!AN$13)+(LOOKUP(Semidetached!AN$2,'Window-U'!$A$4:$A$40,'Window-U'!$S$4:$S$40)*Semidetached!AN$22))*AN70</f>
        <v>761.03407314682181</v>
      </c>
    </row>
    <row r="76" spans="1:40">
      <c r="A76" s="373"/>
      <c r="B76" s="374" t="s">
        <v>7</v>
      </c>
      <c r="C76" s="131" t="s">
        <v>195</v>
      </c>
      <c r="D76" s="176">
        <f>((LOOKUP(Semidetached!D$2,'Ceiling-U'!$A$4:$A$40,'Ceiling-U'!$J$4:$J$40)*Semidetached!D$15)+(LOOKUP(Semidetached!D$2,'Floor-U'!$A$4:$A$40,'Floor-U'!$J$4:$J$40)*Semidetached!D$16)+(LOOKUP(Semidetached!D$2,'Wall-U'!$A$4:$A$40,'Wall-U'!$J$4:$J$40)*Semidetached!D$13)+(LOOKUP(Semidetached!D$2,'Window-U'!$A$4:$A$40,'Window-U'!$S$4:$S$40)*Semidetached!D$22))*D70</f>
        <v>490.61025038689581</v>
      </c>
      <c r="E76" s="174">
        <f>((LOOKUP(Semidetached!E$2,'Ceiling-U'!$A$4:$A$40,'Ceiling-U'!$J$4:$J$40)*Semidetached!E$15)+(LOOKUP(Semidetached!E$2,'Floor-U'!$A$4:$A$40,'Floor-U'!$J$4:$J$40)*Semidetached!E$16)+(LOOKUP(Semidetached!E$2,'Wall-U'!$A$4:$A$40,'Wall-U'!$J$4:$J$40)*Semidetached!E$13)+(LOOKUP(Semidetached!E$2,'Window-U'!$A$4:$A$40,'Window-U'!$S$4:$S$40)*Semidetached!E$22))*E70</f>
        <v>861.07833153100921</v>
      </c>
      <c r="F76" s="174">
        <f>((LOOKUP(Semidetached!F$2,'Ceiling-U'!$A$4:$A$40,'Ceiling-U'!$J$4:$J$40)*Semidetached!F$15)+(LOOKUP(Semidetached!F$2,'Floor-U'!$A$4:$A$40,'Floor-U'!$J$4:$J$40)*Semidetached!F$16)+(LOOKUP(Semidetached!F$2,'Wall-U'!$A$4:$A$40,'Wall-U'!$J$4:$J$40)*Semidetached!F$13)+(LOOKUP(Semidetached!F$2,'Window-U'!$A$4:$A$40,'Window-U'!$S$4:$S$40)*Semidetached!F$22))*F70</f>
        <v>343.43934503591754</v>
      </c>
      <c r="G76" s="174">
        <f>((LOOKUP(Semidetached!G$2,'Ceiling-U'!$A$4:$A$40,'Ceiling-U'!$J$4:$J$40)*Semidetached!G$15)+(LOOKUP(Semidetached!G$2,'Floor-U'!$A$4:$A$40,'Floor-U'!$J$4:$J$40)*Semidetached!G$16)+(LOOKUP(Semidetached!G$2,'Wall-U'!$A$4:$A$40,'Wall-U'!$J$4:$J$40)*Semidetached!G$13)+(LOOKUP(Semidetached!G$2,'Window-U'!$A$4:$A$40,'Window-U'!$S$4:$S$40)*Semidetached!G$22))*G70</f>
        <v>506.8786237915582</v>
      </c>
      <c r="H76" s="174">
        <f>((LOOKUP(Semidetached!H$2,'Ceiling-U'!$A$4:$A$40,'Ceiling-U'!$J$4:$J$40)*Semidetached!H$15)+(LOOKUP(Semidetached!H$2,'Floor-U'!$A$4:$A$40,'Floor-U'!$J$4:$J$40)*Semidetached!H$16)+(LOOKUP(Semidetached!H$2,'Wall-U'!$A$4:$A$40,'Wall-U'!$J$4:$J$40)*Semidetached!H$13)+(LOOKUP(Semidetached!H$2,'Window-U'!$A$4:$A$40,'Window-U'!$S$4:$S$40)*Semidetached!H$22))*H70</f>
        <v>1806.2162549254344</v>
      </c>
      <c r="I76" s="174">
        <f>((LOOKUP(Semidetached!I$2,'Ceiling-U'!$A$4:$A$40,'Ceiling-U'!$J$4:$J$40)*Semidetached!I$15)+(LOOKUP(Semidetached!I$2,'Floor-U'!$A$4:$A$40,'Floor-U'!$J$4:$J$40)*Semidetached!I$16)+(LOOKUP(Semidetached!I$2,'Wall-U'!$A$4:$A$40,'Wall-U'!$J$4:$J$40)*Semidetached!I$13)+(LOOKUP(Semidetached!I$2,'Window-U'!$A$4:$A$40,'Window-U'!$S$4:$S$40)*Semidetached!I$22))*I70</f>
        <v>412.24128796133618</v>
      </c>
      <c r="J76" s="174">
        <f>((LOOKUP(Semidetached!J$2,'Ceiling-U'!$A$4:$A$40,'Ceiling-U'!$J$4:$J$40)*Semidetached!J$15)+(LOOKUP(Semidetached!J$2,'Floor-U'!$A$4:$A$40,'Floor-U'!$J$4:$J$40)*Semidetached!J$16)+(LOOKUP(Semidetached!J$2,'Wall-U'!$A$4:$A$40,'Wall-U'!$J$4:$J$40)*Semidetached!J$13)+(LOOKUP(Semidetached!J$2,'Window-U'!$A$4:$A$40,'Window-U'!$S$4:$S$40)*Semidetached!J$22))*J70</f>
        <v>396.34654467509938</v>
      </c>
      <c r="K76" s="174">
        <f>((LOOKUP(Semidetached!K$2,'Ceiling-U'!$A$4:$A$40,'Ceiling-U'!$J$4:$J$40)*Semidetached!K$15)+(LOOKUP(Semidetached!K$2,'Floor-U'!$A$4:$A$40,'Floor-U'!$J$4:$J$40)*Semidetached!K$16)+(LOOKUP(Semidetached!K$2,'Wall-U'!$A$4:$A$40,'Wall-U'!$J$4:$J$40)*Semidetached!K$13)+(LOOKUP(Semidetached!K$2,'Window-U'!$A$4:$A$40,'Window-U'!$S$4:$S$40)*Semidetached!K$22))*K70</f>
        <v>286.78646676673833</v>
      </c>
      <c r="L76" s="174">
        <f>((LOOKUP(Semidetached!L$2,'Ceiling-U'!$A$4:$A$40,'Ceiling-U'!$J$4:$J$40)*Semidetached!L$15)+(LOOKUP(Semidetached!L$2,'Floor-U'!$A$4:$A$40,'Floor-U'!$J$4:$J$40)*Semidetached!L$16)+(LOOKUP(Semidetached!L$2,'Wall-U'!$A$4:$A$40,'Wall-U'!$J$4:$J$40)*Semidetached!L$13)+(LOOKUP(Semidetached!L$2,'Window-U'!$A$4:$A$40,'Window-U'!$S$4:$S$40)*Semidetached!L$22))*L70</f>
        <v>221.1565033597779</v>
      </c>
      <c r="M76" s="174">
        <f>((LOOKUP(Semidetached!M$2,'Ceiling-U'!$A$4:$A$40,'Ceiling-U'!$J$4:$J$40)*Semidetached!M$15)+(LOOKUP(Semidetached!M$2,'Floor-U'!$A$4:$A$40,'Floor-U'!$J$4:$J$40)*Semidetached!M$16)+(LOOKUP(Semidetached!M$2,'Wall-U'!$A$4:$A$40,'Wall-U'!$J$4:$J$40)*Semidetached!M$13)+(LOOKUP(Semidetached!M$2,'Window-U'!$A$4:$A$40,'Window-U'!$S$4:$S$40)*Semidetached!M$22))*M70</f>
        <v>895.40978978753799</v>
      </c>
      <c r="N76" s="174">
        <f>((LOOKUP(Semidetached!N$2,'Ceiling-U'!$A$4:$A$40,'Ceiling-U'!$J$4:$J$40)*Semidetached!N$15)+(LOOKUP(Semidetached!N$2,'Floor-U'!$A$4:$A$40,'Floor-U'!$J$4:$J$40)*Semidetached!N$16)+(LOOKUP(Semidetached!N$2,'Wall-U'!$A$4:$A$40,'Wall-U'!$J$4:$J$40)*Semidetached!N$13)+(LOOKUP(Semidetached!N$2,'Window-U'!$A$4:$A$40,'Window-U'!$S$4:$S$40)*Semidetached!N$22))*N70</f>
        <v>290.85686099053027</v>
      </c>
      <c r="O76" s="174">
        <f>((LOOKUP(Semidetached!O$2,'Ceiling-U'!$A$4:$A$40,'Ceiling-U'!$J$4:$J$40)*Semidetached!O$15)+(LOOKUP(Semidetached!O$2,'Floor-U'!$A$4:$A$40,'Floor-U'!$J$4:$J$40)*Semidetached!O$16)+(LOOKUP(Semidetached!O$2,'Wall-U'!$A$4:$A$40,'Wall-U'!$J$4:$J$40)*Semidetached!O$13)+(LOOKUP(Semidetached!O$2,'Window-U'!$A$4:$A$40,'Window-U'!$S$4:$S$40)*Semidetached!O$22))*O70</f>
        <v>438.47170355580295</v>
      </c>
      <c r="P76" s="174">
        <f>((LOOKUP(Semidetached!P$2,'Ceiling-U'!$A$4:$A$40,'Ceiling-U'!$J$4:$J$40)*Semidetached!P$15)+(LOOKUP(Semidetached!P$2,'Floor-U'!$A$4:$A$40,'Floor-U'!$J$4:$J$40)*Semidetached!P$16)+(LOOKUP(Semidetached!P$2,'Wall-U'!$A$4:$A$40,'Wall-U'!$J$4:$J$40)*Semidetached!P$13)+(LOOKUP(Semidetached!P$2,'Window-U'!$A$4:$A$40,'Window-U'!$S$4:$S$40)*Semidetached!P$22))*P70</f>
        <v>458.38223448989936</v>
      </c>
      <c r="Q76" s="174">
        <f>((LOOKUP(Semidetached!Q$2,'Ceiling-U'!$A$4:$A$40,'Ceiling-U'!$J$4:$J$40)*Semidetached!Q$15)+(LOOKUP(Semidetached!Q$2,'Floor-U'!$A$4:$A$40,'Floor-U'!$J$4:$J$40)*Semidetached!Q$16)+(LOOKUP(Semidetached!Q$2,'Wall-U'!$A$4:$A$40,'Wall-U'!$J$4:$J$40)*Semidetached!Q$13)+(LOOKUP(Semidetached!Q$2,'Window-U'!$A$4:$A$40,'Window-U'!$S$4:$S$40)*Semidetached!Q$22))*Q70</f>
        <v>350.76535051428277</v>
      </c>
      <c r="R76" s="174">
        <f>((LOOKUP(Semidetached!R$2,'Ceiling-U'!$A$4:$A$40,'Ceiling-U'!$J$4:$J$40)*Semidetached!R$15)+(LOOKUP(Semidetached!R$2,'Floor-U'!$A$4:$A$40,'Floor-U'!$J$4:$J$40)*Semidetached!R$16)+(LOOKUP(Semidetached!R$2,'Wall-U'!$A$4:$A$40,'Wall-U'!$J$4:$J$40)*Semidetached!R$13)+(LOOKUP(Semidetached!R$2,'Window-U'!$A$4:$A$40,'Window-U'!$S$4:$S$40)*Semidetached!R$22))*R70</f>
        <v>442.97209999221161</v>
      </c>
      <c r="S76" s="174">
        <f>((LOOKUP(Semidetached!S$2,'Ceiling-U'!$A$4:$A$40,'Ceiling-U'!$J$4:$J$40)*Semidetached!S$15)+(LOOKUP(Semidetached!S$2,'Floor-U'!$A$4:$A$40,'Floor-U'!$J$4:$J$40)*Semidetached!S$16)+(LOOKUP(Semidetached!S$2,'Wall-U'!$A$4:$A$40,'Wall-U'!$J$4:$J$40)*Semidetached!S$13)+(LOOKUP(Semidetached!S$2,'Window-U'!$A$4:$A$40,'Window-U'!$S$4:$S$40)*Semidetached!S$22))*S70</f>
        <v>436.12972809828045</v>
      </c>
      <c r="T76" s="174">
        <f>((LOOKUP(Semidetached!T$2,'Ceiling-U'!$A$4:$A$40,'Ceiling-U'!$J$4:$J$40)*Semidetached!T$15)+(LOOKUP(Semidetached!T$2,'Floor-U'!$A$4:$A$40,'Floor-U'!$J$4:$J$40)*Semidetached!T$16)+(LOOKUP(Semidetached!T$2,'Wall-U'!$A$4:$A$40,'Wall-U'!$J$4:$J$40)*Semidetached!T$13)+(LOOKUP(Semidetached!T$2,'Window-U'!$A$4:$A$40,'Window-U'!$S$4:$S$40)*Semidetached!T$22))*T70</f>
        <v>293.16305101883904</v>
      </c>
      <c r="U76" s="174">
        <f>((LOOKUP(Semidetached!U$2,'Ceiling-U'!$A$4:$A$40,'Ceiling-U'!$J$4:$J$40)*Semidetached!U$15)+(LOOKUP(Semidetached!U$2,'Floor-U'!$A$4:$A$40,'Floor-U'!$J$4:$J$40)*Semidetached!U$16)+(LOOKUP(Semidetached!U$2,'Wall-U'!$A$4:$A$40,'Wall-U'!$J$4:$J$40)*Semidetached!U$13)+(LOOKUP(Semidetached!U$2,'Window-U'!$A$4:$A$40,'Window-U'!$S$4:$S$40)*Semidetached!U$22))*U70</f>
        <v>1425.6489465778138</v>
      </c>
      <c r="V76" s="174">
        <f>((LOOKUP(Semidetached!V$2,'Ceiling-U'!$A$4:$A$40,'Ceiling-U'!$J$4:$J$40)*Semidetached!V$15)+(LOOKUP(Semidetached!V$2,'Floor-U'!$A$4:$A$40,'Floor-U'!$J$4:$J$40)*Semidetached!V$16)+(LOOKUP(Semidetached!V$2,'Wall-U'!$A$4:$A$40,'Wall-U'!$J$4:$J$40)*Semidetached!V$13)+(LOOKUP(Semidetached!V$2,'Window-U'!$A$4:$A$40,'Window-U'!$S$4:$S$40)*Semidetached!V$22))*V70</f>
        <v>281.24069254533055</v>
      </c>
      <c r="W76" s="174">
        <f>((LOOKUP(Semidetached!W$2,'Ceiling-U'!$A$4:$A$40,'Ceiling-U'!$J$4:$J$40)*Semidetached!W$15)+(LOOKUP(Semidetached!W$2,'Floor-U'!$A$4:$A$40,'Floor-U'!$J$4:$J$40)*Semidetached!W$16)+(LOOKUP(Semidetached!W$2,'Wall-U'!$A$4:$A$40,'Wall-U'!$J$4:$J$40)*Semidetached!W$13)+(LOOKUP(Semidetached!W$2,'Window-U'!$A$4:$A$40,'Window-U'!$S$4:$S$40)*Semidetached!W$22))*W70</f>
        <v>255.62430726189774</v>
      </c>
      <c r="X76" s="174">
        <f>((LOOKUP(Semidetached!X$2,'Ceiling-U'!$A$4:$A$40,'Ceiling-U'!$J$4:$J$40)*Semidetached!X$15)+(LOOKUP(Semidetached!X$2,'Floor-U'!$A$4:$A$40,'Floor-U'!$J$4:$J$40)*Semidetached!X$16)+(LOOKUP(Semidetached!X$2,'Wall-U'!$A$4:$A$40,'Wall-U'!$J$4:$J$40)*Semidetached!X$13)+(LOOKUP(Semidetached!X$2,'Window-U'!$A$4:$A$40,'Window-U'!$S$4:$S$40)*Semidetached!X$22))*X70</f>
        <v>250.88462854061166</v>
      </c>
      <c r="Y76" s="174">
        <f>((LOOKUP(Semidetached!Y$2,'Ceiling-U'!$A$4:$A$40,'Ceiling-U'!$J$4:$J$40)*Semidetached!Y$15)+(LOOKUP(Semidetached!Y$2,'Floor-U'!$A$4:$A$40,'Floor-U'!$J$4:$J$40)*Semidetached!Y$16)+(LOOKUP(Semidetached!Y$2,'Wall-U'!$A$4:$A$40,'Wall-U'!$J$4:$J$40)*Semidetached!Y$13)+(LOOKUP(Semidetached!Y$2,'Window-U'!$A$4:$A$40,'Window-U'!$S$4:$S$40)*Semidetached!Y$22))*Y70</f>
        <v>2080.3230314921202</v>
      </c>
      <c r="Z76" s="174">
        <f>((LOOKUP(Semidetached!Z$2,'Ceiling-U'!$A$4:$A$40,'Ceiling-U'!$J$4:$J$40)*Semidetached!Z$15)+(LOOKUP(Semidetached!Z$2,'Floor-U'!$A$4:$A$40,'Floor-U'!$J$4:$J$40)*Semidetached!Z$16)+(LOOKUP(Semidetached!Z$2,'Wall-U'!$A$4:$A$40,'Wall-U'!$J$4:$J$40)*Semidetached!Z$13)+(LOOKUP(Semidetached!Z$2,'Window-U'!$A$4:$A$40,'Window-U'!$S$4:$S$40)*Semidetached!Z$22))*Z70</f>
        <v>556.90017748987214</v>
      </c>
      <c r="AA76" s="174">
        <f>((LOOKUP(Semidetached!AA$2,'Ceiling-U'!$A$4:$A$40,'Ceiling-U'!$J$4:$J$40)*Semidetached!AA$15)+(LOOKUP(Semidetached!AA$2,'Floor-U'!$A$4:$A$40,'Floor-U'!$J$4:$J$40)*Semidetached!AA$16)+(LOOKUP(Semidetached!AA$2,'Wall-U'!$A$4:$A$40,'Wall-U'!$J$4:$J$40)*Semidetached!AA$13)+(LOOKUP(Semidetached!AA$2,'Window-U'!$A$4:$A$40,'Window-U'!$S$4:$S$40)*Semidetached!AA$22))*AA70</f>
        <v>259.92695034589451</v>
      </c>
      <c r="AB76" s="174">
        <f>((LOOKUP(Semidetached!AB$2,'Ceiling-U'!$A$4:$A$40,'Ceiling-U'!$J$4:$J$40)*Semidetached!AB$15)+(LOOKUP(Semidetached!AB$2,'Floor-U'!$A$4:$A$40,'Floor-U'!$J$4:$J$40)*Semidetached!AB$16)+(LOOKUP(Semidetached!AB$2,'Wall-U'!$A$4:$A$40,'Wall-U'!$J$4:$J$40)*Semidetached!AB$13)+(LOOKUP(Semidetached!AB$2,'Window-U'!$A$4:$A$40,'Window-U'!$S$4:$S$40)*Semidetached!AB$22))*AB70</f>
        <v>562.61302578114066</v>
      </c>
      <c r="AC76" s="174">
        <f>((LOOKUP(Semidetached!AC$2,'Ceiling-U'!$A$4:$A$40,'Ceiling-U'!$J$4:$J$40)*Semidetached!AC$15)+(LOOKUP(Semidetached!AC$2,'Floor-U'!$A$4:$A$40,'Floor-U'!$J$4:$J$40)*Semidetached!AC$16)+(LOOKUP(Semidetached!AC$2,'Wall-U'!$A$4:$A$40,'Wall-U'!$J$4:$J$40)*Semidetached!AC$13)+(LOOKUP(Semidetached!AC$2,'Window-U'!$A$4:$A$40,'Window-U'!$S$4:$S$40)*Semidetached!AC$22))*AC70</f>
        <v>1325.0095378298256</v>
      </c>
      <c r="AD76" s="174">
        <f>((LOOKUP(Semidetached!AD$2,'Ceiling-U'!$A$4:$A$40,'Ceiling-U'!$J$4:$J$40)*Semidetached!AD$15)+(LOOKUP(Semidetached!AD$2,'Floor-U'!$A$4:$A$40,'Floor-U'!$J$4:$J$40)*Semidetached!AD$16)+(LOOKUP(Semidetached!AD$2,'Wall-U'!$A$4:$A$40,'Wall-U'!$J$4:$J$40)*Semidetached!AD$13)+(LOOKUP(Semidetached!AD$2,'Window-U'!$A$4:$A$40,'Window-U'!$S$4:$S$40)*Semidetached!AD$22))*AD70</f>
        <v>845.03756439291294</v>
      </c>
      <c r="AE76" s="174">
        <f>((LOOKUP(Semidetached!AE$2,'Ceiling-U'!$A$4:$A$40,'Ceiling-U'!$J$4:$J$40)*Semidetached!AE$15)+(LOOKUP(Semidetached!AE$2,'Floor-U'!$A$4:$A$40,'Floor-U'!$J$4:$J$40)*Semidetached!AE$16)+(LOOKUP(Semidetached!AE$2,'Wall-U'!$A$4:$A$40,'Wall-U'!$J$4:$J$40)*Semidetached!AE$13)+(LOOKUP(Semidetached!AE$2,'Window-U'!$A$4:$A$40,'Window-U'!$S$4:$S$40)*Semidetached!AE$22))*AE70</f>
        <v>255.4979612402006</v>
      </c>
      <c r="AF76" s="174">
        <f>((LOOKUP(Semidetached!AF$2,'Ceiling-U'!$A$4:$A$40,'Ceiling-U'!$J$4:$J$40)*Semidetached!AF$15)+(LOOKUP(Semidetached!AF$2,'Floor-U'!$A$4:$A$40,'Floor-U'!$J$4:$J$40)*Semidetached!AF$16)+(LOOKUP(Semidetached!AF$2,'Wall-U'!$A$4:$A$40,'Wall-U'!$J$4:$J$40)*Semidetached!AF$13)+(LOOKUP(Semidetached!AF$2,'Window-U'!$A$4:$A$40,'Window-U'!$S$4:$S$40)*Semidetached!AF$22))*AF70</f>
        <v>275.26922418327001</v>
      </c>
      <c r="AG76" s="174">
        <f>((LOOKUP(Semidetached!AG$2,'Ceiling-U'!$A$4:$A$40,'Ceiling-U'!$J$4:$J$40)*Semidetached!AG$15)+(LOOKUP(Semidetached!AG$2,'Floor-U'!$A$4:$A$40,'Floor-U'!$J$4:$J$40)*Semidetached!AG$16)+(LOOKUP(Semidetached!AG$2,'Wall-U'!$A$4:$A$40,'Wall-U'!$J$4:$J$40)*Semidetached!AG$13)+(LOOKUP(Semidetached!AG$2,'Window-U'!$A$4:$A$40,'Window-U'!$S$4:$S$40)*Semidetached!AG$22))*AG70</f>
        <v>601.46068012944443</v>
      </c>
      <c r="AH76" s="174">
        <f>((LOOKUP(Semidetached!AH$2,'Ceiling-U'!$A$4:$A$40,'Ceiling-U'!$J$4:$J$40)*Semidetached!AH$15)+(LOOKUP(Semidetached!AH$2,'Floor-U'!$A$4:$A$40,'Floor-U'!$J$4:$J$40)*Semidetached!AH$16)+(LOOKUP(Semidetached!AH$2,'Wall-U'!$A$4:$A$40,'Wall-U'!$J$4:$J$40)*Semidetached!AH$13)+(LOOKUP(Semidetached!AH$2,'Window-U'!$A$4:$A$40,'Window-U'!$S$4:$S$40)*Semidetached!AH$22))*AH70</f>
        <v>381.11000140806436</v>
      </c>
      <c r="AI76" s="174">
        <f>((LOOKUP(Semidetached!AI$2,'Ceiling-U'!$A$4:$A$40,'Ceiling-U'!$J$4:$J$40)*Semidetached!AI$15)+(LOOKUP(Semidetached!AI$2,'Floor-U'!$A$4:$A$40,'Floor-U'!$J$4:$J$40)*Semidetached!AI$16)+(LOOKUP(Semidetached!AI$2,'Wall-U'!$A$4:$A$40,'Wall-U'!$J$4:$J$40)*Semidetached!AI$13)+(LOOKUP(Semidetached!AI$2,'Window-U'!$A$4:$A$40,'Window-U'!$S$4:$S$40)*Semidetached!AI$22))*AI70</f>
        <v>664.96168263042364</v>
      </c>
      <c r="AJ76" s="174">
        <f>((LOOKUP(Semidetached!AJ$2,'Ceiling-U'!$A$4:$A$40,'Ceiling-U'!$J$4:$J$40)*Semidetached!AJ$15)+(LOOKUP(Semidetached!AJ$2,'Floor-U'!$A$4:$A$40,'Floor-U'!$J$4:$J$40)*Semidetached!AJ$16)+(LOOKUP(Semidetached!AJ$2,'Wall-U'!$A$4:$A$40,'Wall-U'!$J$4:$J$40)*Semidetached!AJ$13)+(LOOKUP(Semidetached!AJ$2,'Window-U'!$A$4:$A$40,'Window-U'!$S$4:$S$40)*Semidetached!AJ$22))*AJ70</f>
        <v>652.56432944131336</v>
      </c>
      <c r="AK76" s="174">
        <f>((LOOKUP(Semidetached!AK$2,'Ceiling-U'!$A$4:$A$40,'Ceiling-U'!$J$4:$J$40)*Semidetached!AK$15)+(LOOKUP(Semidetached!AK$2,'Floor-U'!$A$4:$A$40,'Floor-U'!$J$4:$J$40)*Semidetached!AK$16)+(LOOKUP(Semidetached!AK$2,'Wall-U'!$A$4:$A$40,'Wall-U'!$J$4:$J$40)*Semidetached!AK$13)+(LOOKUP(Semidetached!AK$2,'Window-U'!$A$4:$A$40,'Window-U'!$S$4:$S$40)*Semidetached!AK$22))*AK70</f>
        <v>812.85526222845704</v>
      </c>
      <c r="AL76" s="174">
        <f>((LOOKUP(Semidetached!AL$2,'Ceiling-U'!$A$4:$A$40,'Ceiling-U'!$J$4:$J$40)*Semidetached!AL$15)+(LOOKUP(Semidetached!AL$2,'Floor-U'!$A$4:$A$40,'Floor-U'!$J$4:$J$40)*Semidetached!AL$16)+(LOOKUP(Semidetached!AL$2,'Wall-U'!$A$4:$A$40,'Wall-U'!$J$4:$J$40)*Semidetached!AL$13)+(LOOKUP(Semidetached!AL$2,'Window-U'!$A$4:$A$40,'Window-U'!$S$4:$S$40)*Semidetached!AL$22))*AL70</f>
        <v>362.56516278285949</v>
      </c>
      <c r="AM76" s="174">
        <f>((LOOKUP(Semidetached!AM$2,'Ceiling-U'!$A$4:$A$40,'Ceiling-U'!$J$4:$J$40)*Semidetached!AM$15)+(LOOKUP(Semidetached!AM$2,'Floor-U'!$A$4:$A$40,'Floor-U'!$J$4:$J$40)*Semidetached!AM$16)+(LOOKUP(Semidetached!AM$2,'Wall-U'!$A$4:$A$40,'Wall-U'!$J$4:$J$40)*Semidetached!AM$13)+(LOOKUP(Semidetached!AM$2,'Window-U'!$A$4:$A$40,'Window-U'!$S$4:$S$40)*Semidetached!AM$22))*AM70</f>
        <v>652.56432944131336</v>
      </c>
      <c r="AN76" s="175">
        <f>((LOOKUP(Semidetached!AN$2,'Ceiling-U'!$A$4:$A$40,'Ceiling-U'!$J$4:$J$40)*Semidetached!AN$15)+(LOOKUP(Semidetached!AN$2,'Floor-U'!$A$4:$A$40,'Floor-U'!$J$4:$J$40)*Semidetached!AN$16)+(LOOKUP(Semidetached!AN$2,'Wall-U'!$A$4:$A$40,'Wall-U'!$J$4:$J$40)*Semidetached!AN$13)+(LOOKUP(Semidetached!AN$2,'Window-U'!$A$4:$A$40,'Window-U'!$S$4:$S$40)*Semidetached!AN$22))*AN70</f>
        <v>652.56432944131336</v>
      </c>
    </row>
    <row r="77" spans="1:40">
      <c r="A77" s="332" t="s">
        <v>280</v>
      </c>
      <c r="B77" s="142" t="s">
        <v>2</v>
      </c>
      <c r="C77" s="360" t="s">
        <v>261</v>
      </c>
      <c r="D77" s="351">
        <f>D71*24*LOOKUP(Semidetached!D$2,'HDD-by Country'!$A$4:$A$40,'HDD-by Country'!$C$4:$C$40)/1000/Semidetached!D$3</f>
        <v>23080.801966729141</v>
      </c>
      <c r="E77" s="352">
        <f>E71*24*LOOKUP(Semidetached!E$2,'HDD-by Country'!$A$4:$A$40,'HDD-by Country'!$C$4:$C$40)/1000/Semidetached!E$3</f>
        <v>23534.022107288576</v>
      </c>
      <c r="F77" s="352">
        <f>F71*24*LOOKUP(Semidetached!F$2,'HDD-by Country'!$A$4:$A$40,'HDD-by Country'!$C$4:$C$40)/1000/Semidetached!F$3</f>
        <v>11493.664587139932</v>
      </c>
      <c r="G77" s="352">
        <f>G71*24*LOOKUP(Semidetached!G$2,'HDD-by Country'!$A$4:$A$40,'HDD-by Country'!$C$4:$C$40)/1000/Semidetached!G$3</f>
        <v>23274.009479618224</v>
      </c>
      <c r="H77" s="352">
        <f>H71*24*LOOKUP(Semidetached!H$2,'HDD-by Country'!$A$4:$A$40,'HDD-by Country'!$C$4:$C$40)/1000/Semidetached!H$3</f>
        <v>8756.4220545819317</v>
      </c>
      <c r="I77" s="352">
        <f>I71*24*LOOKUP(Semidetached!I$2,'HDD-by Country'!$A$4:$A$40,'HDD-by Country'!$C$4:$C$40)/1000/Semidetached!I$3</f>
        <v>16513.783466230143</v>
      </c>
      <c r="J77" s="352">
        <f>J71*24*LOOKUP(Semidetached!J$2,'HDD-by Country'!$A$4:$A$40,'HDD-by Country'!$C$4:$C$40)/1000/Semidetached!J$3</f>
        <v>24874.857114313316</v>
      </c>
      <c r="K77" s="352">
        <f>K71*24*LOOKUP(Semidetached!K$2,'HDD-by Country'!$A$4:$A$40,'HDD-by Country'!$C$4:$C$40)/1000/Semidetached!K$3</f>
        <v>13598.437998710118</v>
      </c>
      <c r="L77" s="352">
        <f>L71*24*LOOKUP(Semidetached!L$2,'HDD-by Country'!$A$4:$A$40,'HDD-by Country'!$C$4:$C$40)/1000/Semidetached!L$3</f>
        <v>8349.8817382087236</v>
      </c>
      <c r="M77" s="352">
        <f>M71*24*LOOKUP(Semidetached!M$2,'HDD-by Country'!$A$4:$A$40,'HDD-by Country'!$C$4:$C$40)/1000/Semidetached!M$3</f>
        <v>20961.76638276732</v>
      </c>
      <c r="N77" s="352">
        <f>N71*24*LOOKUP(Semidetached!N$2,'HDD-by Country'!$A$4:$A$40,'HDD-by Country'!$C$4:$C$40)/1000/Semidetached!N$3</f>
        <v>14632.210493488636</v>
      </c>
      <c r="O77" s="352">
        <f>O71*24*LOOKUP(Semidetached!O$2,'HDD-by Country'!$A$4:$A$40,'HDD-by Country'!$C$4:$C$40)/1000/Semidetached!O$3</f>
        <v>28190.424843523888</v>
      </c>
      <c r="P77" s="352">
        <f>P71*24*LOOKUP(Semidetached!P$2,'HDD-by Country'!$A$4:$A$40,'HDD-by Country'!$C$4:$C$40)/1000/Semidetached!P$3</f>
        <v>18454.54376788688</v>
      </c>
      <c r="Q77" s="352">
        <f>Q71*24*LOOKUP(Semidetached!Q$2,'HDD-by Country'!$A$4:$A$40,'HDD-by Country'!$C$4:$C$40)/1000/Semidetached!Q$3</f>
        <v>9778.1265210137481</v>
      </c>
      <c r="R77" s="352">
        <f>R71*24*LOOKUP(Semidetached!R$2,'HDD-by Country'!$A$4:$A$40,'HDD-by Country'!$C$4:$C$40)/1000/Semidetached!R$3</f>
        <v>15942.53455911992</v>
      </c>
      <c r="S77" s="352">
        <f>S71*24*LOOKUP(Semidetached!S$2,'HDD-by Country'!$A$4:$A$40,'HDD-by Country'!$C$4:$C$40)/1000/Semidetached!S$3</f>
        <v>24334.622665099374</v>
      </c>
      <c r="T77" s="352">
        <f>T71*24*LOOKUP(Semidetached!T$2,'HDD-by Country'!$A$4:$A$40,'HDD-by Country'!$C$4:$C$40)/1000/Semidetached!T$3</f>
        <v>12552.06186341301</v>
      </c>
      <c r="U77" s="352">
        <f>U71*24*LOOKUP(Semidetached!U$2,'HDD-by Country'!$A$4:$A$40,'HDD-by Country'!$C$4:$C$40)/1000/Semidetached!U$3</f>
        <v>18047.786483713746</v>
      </c>
      <c r="V77" s="352">
        <f>V71*24*LOOKUP(Semidetached!V$2,'HDD-by Country'!$A$4:$A$40,'HDD-by Country'!$C$4:$C$40)/1000/Semidetached!V$3</f>
        <v>16566.443320554481</v>
      </c>
      <c r="W77" s="352">
        <f>W71*24*LOOKUP(Semidetached!W$2,'HDD-by Country'!$A$4:$A$40,'HDD-by Country'!$C$4:$C$40)/1000/Semidetached!W$3</f>
        <v>17797.403073832375</v>
      </c>
      <c r="X77" s="352">
        <f>X71*24*LOOKUP(Semidetached!X$2,'HDD-by Country'!$A$4:$A$40,'HDD-by Country'!$C$4:$C$40)/1000/Semidetached!X$3</f>
        <v>18451.991314294432</v>
      </c>
      <c r="Y77" s="352">
        <f>Y71*24*LOOKUP(Semidetached!Y$2,'HDD-by Country'!$A$4:$A$40,'HDD-by Country'!$C$4:$C$40)/1000/Semidetached!Y$3</f>
        <v>7014.4229587923101</v>
      </c>
      <c r="Z77" s="352">
        <f>Z71*24*LOOKUP(Semidetached!Z$2,'HDD-by Country'!$A$4:$A$40,'HDD-by Country'!$C$4:$C$40)/1000/Semidetached!Z$3</f>
        <v>27668.882194474703</v>
      </c>
      <c r="AA77" s="352">
        <f>AA71*24*LOOKUP(Semidetached!AA$2,'HDD-by Country'!$A$4:$A$40,'HDD-by Country'!$C$4:$C$40)/1000/Semidetached!AA$3</f>
        <v>12403.354672453488</v>
      </c>
      <c r="AB77" s="352">
        <f>AB71*24*LOOKUP(Semidetached!AB$2,'HDD-by Country'!$A$4:$A$40,'HDD-by Country'!$C$4:$C$40)/1000/Semidetached!AB$3</f>
        <v>24890.977728667072</v>
      </c>
      <c r="AC77" s="352">
        <f>AC71*24*LOOKUP(Semidetached!AC$2,'HDD-by Country'!$A$4:$A$40,'HDD-by Country'!$C$4:$C$40)/1000/Semidetached!AC$3</f>
        <v>14403.336988212293</v>
      </c>
      <c r="AD77" s="352">
        <f>AD71*24*LOOKUP(Semidetached!AD$2,'HDD-by Country'!$A$4:$A$40,'HDD-by Country'!$C$4:$C$40)/1000/Semidetached!AD$3</f>
        <v>17959.807001293477</v>
      </c>
      <c r="AE77" s="352">
        <f>AE71*24*LOOKUP(Semidetached!AE$2,'HDD-by Country'!$A$4:$A$40,'HDD-by Country'!$C$4:$C$40)/1000/Semidetached!AE$3</f>
        <v>11748.436995272283</v>
      </c>
      <c r="AF77" s="352">
        <f>AF71*24*LOOKUP(Semidetached!AF$2,'HDD-by Country'!$A$4:$A$40,'HDD-by Country'!$C$4:$C$40)/1000/Semidetached!AF$3</f>
        <v>16065.595461282393</v>
      </c>
      <c r="AG77" s="352">
        <f>AG71*24*LOOKUP(Semidetached!AG$2,'HDD-by Country'!$A$4:$A$40,'HDD-by Country'!$C$4:$C$40)/1000/Semidetached!AG$3</f>
        <v>25114.450536769586</v>
      </c>
      <c r="AH77" s="352">
        <f>AH71*24*LOOKUP(Semidetached!AH$2,'HDD-by Country'!$A$4:$A$40,'HDD-by Country'!$C$4:$C$40)/1000/Semidetached!AH$3</f>
        <v>20778.626418310399</v>
      </c>
      <c r="AI77" s="352">
        <f>AI71*24*LOOKUP(Semidetached!AI$2,'HDD-by Country'!$A$4:$A$40,'HDD-by Country'!$C$4:$C$40)/1000/Semidetached!AI$3</f>
        <v>17903.030083983871</v>
      </c>
      <c r="AJ77" s="352">
        <f>AJ71*24*LOOKUP(Semidetached!AJ$2,'HDD-by Country'!$A$4:$A$40,'HDD-by Country'!$C$4:$C$40)/1000/Semidetached!AJ$3</f>
        <v>11847.132851275281</v>
      </c>
      <c r="AK77" s="352">
        <f>AK71*24*LOOKUP(Semidetached!AK$2,'HDD-by Country'!$A$4:$A$40,'HDD-by Country'!$C$4:$C$40)/1000/Semidetached!AK$3</f>
        <v>13141.267050743789</v>
      </c>
      <c r="AL77" s="352">
        <f>AL71*24*LOOKUP(Semidetached!AL$2,'HDD-by Country'!$A$4:$A$40,'HDD-by Country'!$C$4:$C$40)/1000/Semidetached!AL$3</f>
        <v>12155.901060924976</v>
      </c>
      <c r="AM77" s="352">
        <f>AM71*24*LOOKUP(Semidetached!AM$2,'HDD-by Country'!$A$4:$A$40,'HDD-by Country'!$C$4:$C$40)/1000/Semidetached!AM$3</f>
        <v>10894.334692462928</v>
      </c>
      <c r="AN77" s="353">
        <f>AN71*24*LOOKUP(Semidetached!AN$2,'HDD-by Country'!$A$4:$A$40,'HDD-by Country'!$C$4:$C$40)/1000/Semidetached!AN$3</f>
        <v>10894.334692462928</v>
      </c>
    </row>
    <row r="78" spans="1:40">
      <c r="A78" s="129"/>
      <c r="B78" s="142" t="s">
        <v>3</v>
      </c>
      <c r="C78" s="129" t="s">
        <v>261</v>
      </c>
      <c r="D78" s="345">
        <f>D72*24*LOOKUP(Semidetached!D$2,'HDD-by Country'!$A$4:$A$40,'HDD-by Country'!$C$4:$C$40)/1000/Semidetached!D$3</f>
        <v>21334.421011598035</v>
      </c>
      <c r="E78" s="349">
        <f>E72*24*LOOKUP(Semidetached!E$2,'HDD-by Country'!$A$4:$A$40,'HDD-by Country'!$C$4:$C$40)/1000/Semidetached!E$3</f>
        <v>23534.022107288576</v>
      </c>
      <c r="F78" s="349">
        <f>F72*24*LOOKUP(Semidetached!F$2,'HDD-by Country'!$A$4:$A$40,'HDD-by Country'!$C$4:$C$40)/1000/Semidetached!F$3</f>
        <v>11493.664587139932</v>
      </c>
      <c r="G78" s="349">
        <f>G72*24*LOOKUP(Semidetached!G$2,'HDD-by Country'!$A$4:$A$40,'HDD-by Country'!$C$4:$C$40)/1000/Semidetached!G$3</f>
        <v>21537.292885951731</v>
      </c>
      <c r="H78" s="349">
        <f>H72*24*LOOKUP(Semidetached!H$2,'HDD-by Country'!$A$4:$A$40,'HDD-by Country'!$C$4:$C$40)/1000/Semidetached!H$3</f>
        <v>8221.1960240463504</v>
      </c>
      <c r="I78" s="349">
        <f>I72*24*LOOKUP(Semidetached!I$2,'HDD-by Country'!$A$4:$A$40,'HDD-by Country'!$C$4:$C$40)/1000/Semidetached!I$3</f>
        <v>12699.0743431311</v>
      </c>
      <c r="J78" s="349">
        <f>J72*24*LOOKUP(Semidetached!J$2,'HDD-by Country'!$A$4:$A$40,'HDD-by Country'!$C$4:$C$40)/1000/Semidetached!J$3</f>
        <v>21991.030465633896</v>
      </c>
      <c r="K78" s="349">
        <f>K72*24*LOOKUP(Semidetached!K$2,'HDD-by Country'!$A$4:$A$40,'HDD-by Country'!$C$4:$C$40)/1000/Semidetached!K$3</f>
        <v>12960.983973327058</v>
      </c>
      <c r="L78" s="349">
        <f>L72*24*LOOKUP(Semidetached!L$2,'HDD-by Country'!$A$4:$A$40,'HDD-by Country'!$C$4:$C$40)/1000/Semidetached!L$3</f>
        <v>8349.8817382087236</v>
      </c>
      <c r="M78" s="349">
        <f>M72*24*LOOKUP(Semidetached!M$2,'HDD-by Country'!$A$4:$A$40,'HDD-by Country'!$C$4:$C$40)/1000/Semidetached!M$3</f>
        <v>18433.669609244513</v>
      </c>
      <c r="N78" s="349">
        <f>N72*24*LOOKUP(Semidetached!N$2,'HDD-by Country'!$A$4:$A$40,'HDD-by Country'!$C$4:$C$40)/1000/Semidetached!N$3</f>
        <v>12727.970725266799</v>
      </c>
      <c r="O78" s="349">
        <f>O72*24*LOOKUP(Semidetached!O$2,'HDD-by Country'!$A$4:$A$40,'HDD-by Country'!$C$4:$C$40)/1000/Semidetached!O$3</f>
        <v>28190.424843523888</v>
      </c>
      <c r="P78" s="349">
        <f>P72*24*LOOKUP(Semidetached!P$2,'HDD-by Country'!$A$4:$A$40,'HDD-by Country'!$C$4:$C$40)/1000/Semidetached!P$3</f>
        <v>18454.54376788688</v>
      </c>
      <c r="Q78" s="349">
        <f>Q72*24*LOOKUP(Semidetached!Q$2,'HDD-by Country'!$A$4:$A$40,'HDD-by Country'!$C$4:$C$40)/1000/Semidetached!Q$3</f>
        <v>10522.9192644873</v>
      </c>
      <c r="R78" s="349">
        <f>R72*24*LOOKUP(Semidetached!R$2,'HDD-by Country'!$A$4:$A$40,'HDD-by Country'!$C$4:$C$40)/1000/Semidetached!R$3</f>
        <v>15942.53455911992</v>
      </c>
      <c r="S78" s="349">
        <f>S72*24*LOOKUP(Semidetached!S$2,'HDD-by Country'!$A$4:$A$40,'HDD-by Country'!$C$4:$C$40)/1000/Semidetached!S$3</f>
        <v>24878.742940020737</v>
      </c>
      <c r="T78" s="349">
        <f>T72*24*LOOKUP(Semidetached!T$2,'HDD-by Country'!$A$4:$A$40,'HDD-by Country'!$C$4:$C$40)/1000/Semidetached!T$3</f>
        <v>10915.53447275058</v>
      </c>
      <c r="U78" s="349">
        <f>U72*24*LOOKUP(Semidetached!U$2,'HDD-by Country'!$A$4:$A$40,'HDD-by Country'!$C$4:$C$40)/1000/Semidetached!U$3</f>
        <v>16931.503184239609</v>
      </c>
      <c r="V78" s="349">
        <f>V72*24*LOOKUP(Semidetached!V$2,'HDD-by Country'!$A$4:$A$40,'HDD-by Country'!$C$4:$C$40)/1000/Semidetached!V$3</f>
        <v>16566.443320554481</v>
      </c>
      <c r="W78" s="349">
        <f>W72*24*LOOKUP(Semidetached!W$2,'HDD-by Country'!$A$4:$A$40,'HDD-by Country'!$C$4:$C$40)/1000/Semidetached!W$3</f>
        <v>18423.743756457337</v>
      </c>
      <c r="X78" s="349">
        <f>X72*24*LOOKUP(Semidetached!X$2,'HDD-by Country'!$A$4:$A$40,'HDD-by Country'!$C$4:$C$40)/1000/Semidetached!X$3</f>
        <v>18451.991314294432</v>
      </c>
      <c r="Y78" s="349">
        <f>Y72*24*LOOKUP(Semidetached!Y$2,'HDD-by Country'!$A$4:$A$40,'HDD-by Country'!$C$4:$C$40)/1000/Semidetached!Y$3</f>
        <v>6999.2808016875579</v>
      </c>
      <c r="Z78" s="349">
        <f>Z72*24*LOOKUP(Semidetached!Z$2,'HDD-by Country'!$A$4:$A$40,'HDD-by Country'!$C$4:$C$40)/1000/Semidetached!Z$3</f>
        <v>20899.988055743048</v>
      </c>
      <c r="AA78" s="349">
        <f>AA72*24*LOOKUP(Semidetached!AA$2,'HDD-by Country'!$A$4:$A$40,'HDD-by Country'!$C$4:$C$40)/1000/Semidetached!AA$3</f>
        <v>12403.354672453488</v>
      </c>
      <c r="AB78" s="349">
        <f>AB72*24*LOOKUP(Semidetached!AB$2,'HDD-by Country'!$A$4:$A$40,'HDD-by Country'!$C$4:$C$40)/1000/Semidetached!AB$3</f>
        <v>16978.671432899926</v>
      </c>
      <c r="AC78" s="349">
        <f>AC72*24*LOOKUP(Semidetached!AC$2,'HDD-by Country'!$A$4:$A$40,'HDD-by Country'!$C$4:$C$40)/1000/Semidetached!AC$3</f>
        <v>13004.070254662276</v>
      </c>
      <c r="AD78" s="349">
        <f>AD72*24*LOOKUP(Semidetached!AD$2,'HDD-by Country'!$A$4:$A$40,'HDD-by Country'!$C$4:$C$40)/1000/Semidetached!AD$3</f>
        <v>15930.42237544073</v>
      </c>
      <c r="AE78" s="349">
        <f>AE72*24*LOOKUP(Semidetached!AE$2,'HDD-by Country'!$A$4:$A$40,'HDD-by Country'!$C$4:$C$40)/1000/Semidetached!AE$3</f>
        <v>11748.436995272283</v>
      </c>
      <c r="AF78" s="349">
        <f>AF72*24*LOOKUP(Semidetached!AF$2,'HDD-by Country'!$A$4:$A$40,'HDD-by Country'!$C$4:$C$40)/1000/Semidetached!AF$3</f>
        <v>16065.595461282393</v>
      </c>
      <c r="AG78" s="349">
        <f>AG72*24*LOOKUP(Semidetached!AG$2,'HDD-by Country'!$A$4:$A$40,'HDD-by Country'!$C$4:$C$40)/1000/Semidetached!AG$3</f>
        <v>20188.52066941567</v>
      </c>
      <c r="AH78" s="349">
        <f>AH72*24*LOOKUP(Semidetached!AH$2,'HDD-by Country'!$A$4:$A$40,'HDD-by Country'!$C$4:$C$40)/1000/Semidetached!AH$3</f>
        <v>22164.962131259334</v>
      </c>
      <c r="AI78" s="349">
        <f>AI72*24*LOOKUP(Semidetached!AI$2,'HDD-by Country'!$A$4:$A$40,'HDD-by Country'!$C$4:$C$40)/1000/Semidetached!AI$3</f>
        <v>17903.030083983871</v>
      </c>
      <c r="AJ78" s="349">
        <f>AJ72*24*LOOKUP(Semidetached!AJ$2,'HDD-by Country'!$A$4:$A$40,'HDD-by Country'!$C$4:$C$40)/1000/Semidetached!AJ$3</f>
        <v>11847.132851275281</v>
      </c>
      <c r="AK78" s="349">
        <f>AK72*24*LOOKUP(Semidetached!AK$2,'HDD-by Country'!$A$4:$A$40,'HDD-by Country'!$C$4:$C$40)/1000/Semidetached!AK$3</f>
        <v>13141.267050743789</v>
      </c>
      <c r="AL78" s="349">
        <f>AL72*24*LOOKUP(Semidetached!AL$2,'HDD-by Country'!$A$4:$A$40,'HDD-by Country'!$C$4:$C$40)/1000/Semidetached!AL$3</f>
        <v>12155.901060924976</v>
      </c>
      <c r="AM78" s="349">
        <f>AM72*24*LOOKUP(Semidetached!AM$2,'HDD-by Country'!$A$4:$A$40,'HDD-by Country'!$C$4:$C$40)/1000/Semidetached!AM$3</f>
        <v>10894.334692462928</v>
      </c>
      <c r="AN78" s="354">
        <f>AN72*24*LOOKUP(Semidetached!AN$2,'HDD-by Country'!$A$4:$A$40,'HDD-by Country'!$C$4:$C$40)/1000/Semidetached!AN$3</f>
        <v>10894.334692462928</v>
      </c>
    </row>
    <row r="79" spans="1:40">
      <c r="A79" s="129"/>
      <c r="B79" s="142" t="s">
        <v>4</v>
      </c>
      <c r="C79" s="129" t="s">
        <v>261</v>
      </c>
      <c r="D79" s="345">
        <f>D73*24*LOOKUP(Semidetached!D$2,'HDD-by Country'!$A$4:$A$40,'HDD-by Country'!$C$4:$C$40)/1000/Semidetached!D$3</f>
        <v>15804.411062141784</v>
      </c>
      <c r="E79" s="349">
        <f>E73*24*LOOKUP(Semidetached!E$2,'HDD-by Country'!$A$4:$A$40,'HDD-by Country'!$C$4:$C$40)/1000/Semidetached!E$3</f>
        <v>23534.022107288576</v>
      </c>
      <c r="F79" s="349">
        <f>F73*24*LOOKUP(Semidetached!F$2,'HDD-by Country'!$A$4:$A$40,'HDD-by Country'!$C$4:$C$40)/1000/Semidetached!F$3</f>
        <v>10627.607011045393</v>
      </c>
      <c r="G79" s="349">
        <f>G73*24*LOOKUP(Semidetached!G$2,'HDD-by Country'!$A$4:$A$40,'HDD-by Country'!$C$4:$C$40)/1000/Semidetached!G$3</f>
        <v>15939.527645348984</v>
      </c>
      <c r="H79" s="349">
        <f>H73*24*LOOKUP(Semidetached!H$2,'HDD-by Country'!$A$4:$A$40,'HDD-by Country'!$C$4:$C$40)/1000/Semidetached!H$3</f>
        <v>7685.9699935107701</v>
      </c>
      <c r="I79" s="349">
        <f>I73*24*LOOKUP(Semidetached!I$2,'HDD-by Country'!$A$4:$A$40,'HDD-by Country'!$C$4:$C$40)/1000/Semidetached!I$3</f>
        <v>12699.0743431311</v>
      </c>
      <c r="J79" s="349">
        <f>J73*24*LOOKUP(Semidetached!J$2,'HDD-by Country'!$A$4:$A$40,'HDD-by Country'!$C$4:$C$40)/1000/Semidetached!J$3</f>
        <v>11888.293939928544</v>
      </c>
      <c r="K79" s="349">
        <f>K73*24*LOOKUP(Semidetached!K$2,'HDD-by Country'!$A$4:$A$40,'HDD-by Country'!$C$4:$C$40)/1000/Semidetached!K$3</f>
        <v>7522.9746688754276</v>
      </c>
      <c r="L79" s="349">
        <f>L73*24*LOOKUP(Semidetached!L$2,'HDD-by Country'!$A$4:$A$40,'HDD-by Country'!$C$4:$C$40)/1000/Semidetached!L$3</f>
        <v>6273.808604717382</v>
      </c>
      <c r="M79" s="349">
        <f>M73*24*LOOKUP(Semidetached!M$2,'HDD-by Country'!$A$4:$A$40,'HDD-by Country'!$C$4:$C$40)/1000/Semidetached!M$3</f>
        <v>18433.669609244513</v>
      </c>
      <c r="N79" s="349">
        <f>N73*24*LOOKUP(Semidetached!N$2,'HDD-by Country'!$A$4:$A$40,'HDD-by Country'!$C$4:$C$40)/1000/Semidetached!N$3</f>
        <v>9824.0351857916503</v>
      </c>
      <c r="O79" s="349">
        <f>O73*24*LOOKUP(Semidetached!O$2,'HDD-by Country'!$A$4:$A$40,'HDD-by Country'!$C$4:$C$40)/1000/Semidetached!O$3</f>
        <v>10354.488196924432</v>
      </c>
      <c r="P79" s="349">
        <f>P73*24*LOOKUP(Semidetached!P$2,'HDD-by Country'!$A$4:$A$40,'HDD-by Country'!$C$4:$C$40)/1000/Semidetached!P$3</f>
        <v>18454.54376788688</v>
      </c>
      <c r="Q79" s="349">
        <f>Q73*24*LOOKUP(Semidetached!Q$2,'HDD-by Country'!$A$4:$A$40,'HDD-by Country'!$C$4:$C$40)/1000/Semidetached!Q$3</f>
        <v>9817.9089806023858</v>
      </c>
      <c r="R79" s="349">
        <f>R73*24*LOOKUP(Semidetached!R$2,'HDD-by Country'!$A$4:$A$40,'HDD-by Country'!$C$4:$C$40)/1000/Semidetached!R$3</f>
        <v>13372.01989496193</v>
      </c>
      <c r="S79" s="349">
        <f>S73*24*LOOKUP(Semidetached!S$2,'HDD-by Country'!$A$4:$A$40,'HDD-by Country'!$C$4:$C$40)/1000/Semidetached!S$3</f>
        <v>19533.869294544613</v>
      </c>
      <c r="T79" s="349">
        <f>T73*24*LOOKUP(Semidetached!T$2,'HDD-by Country'!$A$4:$A$40,'HDD-by Country'!$C$4:$C$40)/1000/Semidetached!T$3</f>
        <v>8424.6495842124386</v>
      </c>
      <c r="U79" s="349">
        <f>U73*24*LOOKUP(Semidetached!U$2,'HDD-by Country'!$A$4:$A$40,'HDD-by Country'!$C$4:$C$40)/1000/Semidetached!U$3</f>
        <v>16015.036087305276</v>
      </c>
      <c r="V79" s="349">
        <f>V73*24*LOOKUP(Semidetached!V$2,'HDD-by Country'!$A$4:$A$40,'HDD-by Country'!$C$4:$C$40)/1000/Semidetached!V$3</f>
        <v>9578.320455557825</v>
      </c>
      <c r="W79" s="349">
        <f>W73*24*LOOKUP(Semidetached!W$2,'HDD-by Country'!$A$4:$A$40,'HDD-by Country'!$C$4:$C$40)/1000/Semidetached!W$3</f>
        <v>8483.7146281704026</v>
      </c>
      <c r="X79" s="349">
        <f>X73*24*LOOKUP(Semidetached!X$2,'HDD-by Country'!$A$4:$A$40,'HDD-by Country'!$C$4:$C$40)/1000/Semidetached!X$3</f>
        <v>16712.526940348303</v>
      </c>
      <c r="Y79" s="349">
        <f>Y73*24*LOOKUP(Semidetached!Y$2,'HDD-by Country'!$A$4:$A$40,'HDD-by Country'!$C$4:$C$40)/1000/Semidetached!Y$3</f>
        <v>5761.633344491539</v>
      </c>
      <c r="Z79" s="349">
        <f>Z73*24*LOOKUP(Semidetached!Z$2,'HDD-by Country'!$A$4:$A$40,'HDD-by Country'!$C$4:$C$40)/1000/Semidetached!Z$3</f>
        <v>19827.912508123354</v>
      </c>
      <c r="AA79" s="349">
        <f>AA73*24*LOOKUP(Semidetached!AA$2,'HDD-by Country'!$A$4:$A$40,'HDD-by Country'!$C$4:$C$40)/1000/Semidetached!AA$3</f>
        <v>7011.448237181271</v>
      </c>
      <c r="AB79" s="349">
        <f>AB73*24*LOOKUP(Semidetached!AB$2,'HDD-by Country'!$A$4:$A$40,'HDD-by Country'!$C$4:$C$40)/1000/Semidetached!AB$3</f>
        <v>11256.082878937354</v>
      </c>
      <c r="AC79" s="349">
        <f>AC73*24*LOOKUP(Semidetached!AC$2,'HDD-by Country'!$A$4:$A$40,'HDD-by Country'!$C$4:$C$40)/1000/Semidetached!AC$3</f>
        <v>12659.019164501786</v>
      </c>
      <c r="AD79" s="349">
        <f>AD73*24*LOOKUP(Semidetached!AD$2,'HDD-by Country'!$A$4:$A$40,'HDD-by Country'!$C$4:$C$40)/1000/Semidetached!AD$3</f>
        <v>15930.42237544073</v>
      </c>
      <c r="AE79" s="349">
        <f>AE73*24*LOOKUP(Semidetached!AE$2,'HDD-by Country'!$A$4:$A$40,'HDD-by Country'!$C$4:$C$40)/1000/Semidetached!AE$3</f>
        <v>6646.5260392740083</v>
      </c>
      <c r="AF79" s="349">
        <f>AF73*24*LOOKUP(Semidetached!AF$2,'HDD-by Country'!$A$4:$A$40,'HDD-by Country'!$C$4:$C$40)/1000/Semidetached!AF$3</f>
        <v>14445.226406862514</v>
      </c>
      <c r="AG79" s="349">
        <f>AG73*24*LOOKUP(Semidetached!AG$2,'HDD-by Country'!$A$4:$A$40,'HDD-by Country'!$C$4:$C$40)/1000/Semidetached!AG$3</f>
        <v>20188.52066941567</v>
      </c>
      <c r="AH79" s="349">
        <f>AH73*24*LOOKUP(Semidetached!AH$2,'HDD-by Country'!$A$4:$A$40,'HDD-by Country'!$C$4:$C$40)/1000/Semidetached!AH$3</f>
        <v>15858.937901317358</v>
      </c>
      <c r="AI79" s="349">
        <f>AI73*24*LOOKUP(Semidetached!AI$2,'HDD-by Country'!$A$4:$A$40,'HDD-by Country'!$C$4:$C$40)/1000/Semidetached!AI$3</f>
        <v>17903.030083983871</v>
      </c>
      <c r="AJ79" s="349">
        <f>AJ73*24*LOOKUP(Semidetached!AJ$2,'HDD-by Country'!$A$4:$A$40,'HDD-by Country'!$C$4:$C$40)/1000/Semidetached!AJ$3</f>
        <v>11847.132851275281</v>
      </c>
      <c r="AK79" s="349">
        <f>AK73*24*LOOKUP(Semidetached!AK$2,'HDD-by Country'!$A$4:$A$40,'HDD-by Country'!$C$4:$C$40)/1000/Semidetached!AK$3</f>
        <v>13141.267050743789</v>
      </c>
      <c r="AL79" s="349">
        <f>AL73*24*LOOKUP(Semidetached!AL$2,'HDD-by Country'!$A$4:$A$40,'HDD-by Country'!$C$4:$C$40)/1000/Semidetached!AL$3</f>
        <v>11237.445849826132</v>
      </c>
      <c r="AM79" s="349">
        <f>AM73*24*LOOKUP(Semidetached!AM$2,'HDD-by Country'!$A$4:$A$40,'HDD-by Country'!$C$4:$C$40)/1000/Semidetached!AM$3</f>
        <v>10894.334692462928</v>
      </c>
      <c r="AN79" s="354">
        <f>AN73*24*LOOKUP(Semidetached!AN$2,'HDD-by Country'!$A$4:$A$40,'HDD-by Country'!$C$4:$C$40)/1000/Semidetached!AN$3</f>
        <v>10894.334692462928</v>
      </c>
    </row>
    <row r="80" spans="1:40">
      <c r="A80" s="129"/>
      <c r="B80" s="142" t="s">
        <v>5</v>
      </c>
      <c r="C80" s="129" t="s">
        <v>261</v>
      </c>
      <c r="D80" s="345">
        <f>D74*24*LOOKUP(Semidetached!D$2,'HDD-by Country'!$A$4:$A$40,'HDD-by Country'!$C$4:$C$40)/1000/Semidetached!D$3</f>
        <v>9929.4348377273909</v>
      </c>
      <c r="E80" s="349">
        <f>E74*24*LOOKUP(Semidetached!E$2,'HDD-by Country'!$A$4:$A$40,'HDD-by Country'!$C$4:$C$40)/1000/Semidetached!E$3</f>
        <v>19017.120465506781</v>
      </c>
      <c r="F80" s="349">
        <f>F74*24*LOOKUP(Semidetached!F$2,'HDD-by Country'!$A$4:$A$40,'HDD-by Country'!$C$4:$C$40)/1000/Semidetached!F$3</f>
        <v>8688.3439323288349</v>
      </c>
      <c r="G80" s="349">
        <f>G74*24*LOOKUP(Semidetached!G$2,'HDD-by Country'!$A$4:$A$40,'HDD-by Country'!$C$4:$C$40)/1000/Semidetached!G$3</f>
        <v>10002.118889662534</v>
      </c>
      <c r="H80" s="349">
        <f>H74*24*LOOKUP(Semidetached!H$2,'HDD-by Country'!$A$4:$A$40,'HDD-by Country'!$C$4:$C$40)/1000/Semidetached!H$3</f>
        <v>7349.7427885938305</v>
      </c>
      <c r="I80" s="349">
        <f>I74*24*LOOKUP(Semidetached!I$2,'HDD-by Country'!$A$4:$A$40,'HDD-by Country'!$C$4:$C$40)/1000/Semidetached!I$3</f>
        <v>10767.536934492169</v>
      </c>
      <c r="J80" s="349">
        <f>J74*24*LOOKUP(Semidetached!J$2,'HDD-by Country'!$A$4:$A$40,'HDD-by Country'!$C$4:$C$40)/1000/Semidetached!J$3</f>
        <v>8437.8419598409837</v>
      </c>
      <c r="K80" s="349">
        <f>K74*24*LOOKUP(Semidetached!K$2,'HDD-by Country'!$A$4:$A$40,'HDD-by Country'!$C$4:$C$40)/1000/Semidetached!K$3</f>
        <v>5848.1664300157672</v>
      </c>
      <c r="L80" s="349">
        <f>L74*24*LOOKUP(Semidetached!L$2,'HDD-by Country'!$A$4:$A$40,'HDD-by Country'!$C$4:$C$40)/1000/Semidetached!L$3</f>
        <v>4772.1771542534307</v>
      </c>
      <c r="M80" s="349">
        <f>M74*24*LOOKUP(Semidetached!M$2,'HDD-by Country'!$A$4:$A$40,'HDD-by Country'!$C$4:$C$40)/1000/Semidetached!M$3</f>
        <v>11233.718819626614</v>
      </c>
      <c r="N80" s="349">
        <f>N74*24*LOOKUP(Semidetached!N$2,'HDD-by Country'!$A$4:$A$40,'HDD-by Country'!$C$4:$C$40)/1000/Semidetached!N$3</f>
        <v>7750.3216351530746</v>
      </c>
      <c r="O80" s="349">
        <f>O74*24*LOOKUP(Semidetached!O$2,'HDD-by Country'!$A$4:$A$40,'HDD-by Country'!$C$4:$C$40)/1000/Semidetached!O$3</f>
        <v>8511.5662218250636</v>
      </c>
      <c r="P80" s="349">
        <f>P74*24*LOOKUP(Semidetached!P$2,'HDD-by Country'!$A$4:$A$40,'HDD-by Country'!$C$4:$C$40)/1000/Semidetached!P$3</f>
        <v>17761.730160832576</v>
      </c>
      <c r="Q80" s="349">
        <f>Q74*24*LOOKUP(Semidetached!Q$2,'HDD-by Country'!$A$4:$A$40,'HDD-by Country'!$C$4:$C$40)/1000/Semidetached!Q$3</f>
        <v>9817.9089806023858</v>
      </c>
      <c r="R80" s="349">
        <f>R74*24*LOOKUP(Semidetached!R$2,'HDD-by Country'!$A$4:$A$40,'HDD-by Country'!$C$4:$C$40)/1000/Semidetached!R$3</f>
        <v>9087.8287880319422</v>
      </c>
      <c r="S80" s="349">
        <f>S74*24*LOOKUP(Semidetached!S$2,'HDD-by Country'!$A$4:$A$40,'HDD-by Country'!$C$4:$C$40)/1000/Semidetached!S$3</f>
        <v>11268.725018089737</v>
      </c>
      <c r="T80" s="349">
        <f>T74*24*LOOKUP(Semidetached!T$2,'HDD-by Country'!$A$4:$A$40,'HDD-by Country'!$C$4:$C$40)/1000/Semidetached!T$3</f>
        <v>6646.3723300342654</v>
      </c>
      <c r="U80" s="349">
        <f>U74*24*LOOKUP(Semidetached!U$2,'HDD-by Country'!$A$4:$A$40,'HDD-by Country'!$C$4:$C$40)/1000/Semidetached!U$3</f>
        <v>12404.338446901633</v>
      </c>
      <c r="V80" s="349">
        <f>V74*24*LOOKUP(Semidetached!V$2,'HDD-by Country'!$A$4:$A$40,'HDD-by Country'!$C$4:$C$40)/1000/Semidetached!V$3</f>
        <v>9578.320455557825</v>
      </c>
      <c r="W80" s="349">
        <f>W74*24*LOOKUP(Semidetached!W$2,'HDD-by Country'!$A$4:$A$40,'HDD-by Country'!$C$4:$C$40)/1000/Semidetached!W$3</f>
        <v>7353.4039676138409</v>
      </c>
      <c r="X80" s="349">
        <f>X74*24*LOOKUP(Semidetached!X$2,'HDD-by Country'!$A$4:$A$40,'HDD-by Country'!$C$4:$C$40)/1000/Semidetached!X$3</f>
        <v>8379.0447200642793</v>
      </c>
      <c r="Y80" s="349">
        <f>Y74*24*LOOKUP(Semidetached!Y$2,'HDD-by Country'!$A$4:$A$40,'HDD-by Country'!$C$4:$C$40)/1000/Semidetached!Y$3</f>
        <v>5043.9275380288072</v>
      </c>
      <c r="Z80" s="349">
        <f>Z74*24*LOOKUP(Semidetached!Z$2,'HDD-by Country'!$A$4:$A$40,'HDD-by Country'!$C$4:$C$40)/1000/Semidetached!Z$3</f>
        <v>11149.141106628287</v>
      </c>
      <c r="AA80" s="349">
        <f>AA74*24*LOOKUP(Semidetached!AA$2,'HDD-by Country'!$A$4:$A$40,'HDD-by Country'!$C$4:$C$40)/1000/Semidetached!AA$3</f>
        <v>7011.448237181271</v>
      </c>
      <c r="AB80" s="349">
        <f>AB74*24*LOOKUP(Semidetached!AB$2,'HDD-by Country'!$A$4:$A$40,'HDD-by Country'!$C$4:$C$40)/1000/Semidetached!AB$3</f>
        <v>11256.082878937354</v>
      </c>
      <c r="AC80" s="349">
        <f>AC74*24*LOOKUP(Semidetached!AC$2,'HDD-by Country'!$A$4:$A$40,'HDD-by Country'!$C$4:$C$40)/1000/Semidetached!AC$3</f>
        <v>12206.640272711536</v>
      </c>
      <c r="AD80" s="349">
        <f>AD74*24*LOOKUP(Semidetached!AD$2,'HDD-by Country'!$A$4:$A$40,'HDD-by Country'!$C$4:$C$40)/1000/Semidetached!AD$3</f>
        <v>13127.837798240673</v>
      </c>
      <c r="AE80" s="349">
        <f>AE74*24*LOOKUP(Semidetached!AE$2,'HDD-by Country'!$A$4:$A$40,'HDD-by Country'!$C$4:$C$40)/1000/Semidetached!AE$3</f>
        <v>6646.5260392740083</v>
      </c>
      <c r="AF80" s="349">
        <f>AF74*24*LOOKUP(Semidetached!AF$2,'HDD-by Country'!$A$4:$A$40,'HDD-by Country'!$C$4:$C$40)/1000/Semidetached!AF$3</f>
        <v>10874.487138326373</v>
      </c>
      <c r="AG80" s="349">
        <f>AG74*24*LOOKUP(Semidetached!AG$2,'HDD-by Country'!$A$4:$A$40,'HDD-by Country'!$C$4:$C$40)/1000/Semidetached!AG$3</f>
        <v>17027.058902091187</v>
      </c>
      <c r="AH80" s="349">
        <f>AH74*24*LOOKUP(Semidetached!AH$2,'HDD-by Country'!$A$4:$A$40,'HDD-by Country'!$C$4:$C$40)/1000/Semidetached!AH$3</f>
        <v>7577.0157376012103</v>
      </c>
      <c r="AI80" s="349">
        <f>AI74*24*LOOKUP(Semidetached!AI$2,'HDD-by Country'!$A$4:$A$40,'HDD-by Country'!$C$4:$C$40)/1000/Semidetached!AI$3</f>
        <v>17210.21647692956</v>
      </c>
      <c r="AJ80" s="349">
        <f>AJ74*24*LOOKUP(Semidetached!AJ$2,'HDD-by Country'!$A$4:$A$40,'HDD-by Country'!$C$4:$C$40)/1000/Semidetached!AJ$3</f>
        <v>9696.8465894411711</v>
      </c>
      <c r="AK80" s="349">
        <f>AK74*24*LOOKUP(Semidetached!AK$2,'HDD-by Country'!$A$4:$A$40,'HDD-by Country'!$C$4:$C$40)/1000/Semidetached!AK$3</f>
        <v>10723.062385847543</v>
      </c>
      <c r="AL80" s="349">
        <f>AL74*24*LOOKUP(Semidetached!AL$2,'HDD-by Country'!$A$4:$A$40,'HDD-by Country'!$C$4:$C$40)/1000/Semidetached!AL$3</f>
        <v>9184.0075238352056</v>
      </c>
      <c r="AM80" s="349">
        <f>AM74*24*LOOKUP(Semidetached!AM$2,'HDD-by Country'!$A$4:$A$40,'HDD-by Country'!$C$4:$C$40)/1000/Semidetached!AM$3</f>
        <v>8916.9838418304007</v>
      </c>
      <c r="AN80" s="354">
        <f>AN74*24*LOOKUP(Semidetached!AN$2,'HDD-by Country'!$A$4:$A$40,'HDD-by Country'!$C$4:$C$40)/1000/Semidetached!AN$3</f>
        <v>8916.9838418304007</v>
      </c>
    </row>
    <row r="81" spans="1:40">
      <c r="A81" s="129"/>
      <c r="B81" s="142" t="s">
        <v>6</v>
      </c>
      <c r="C81" s="129" t="s">
        <v>261</v>
      </c>
      <c r="D81" s="345">
        <f>D75*24*LOOKUP(Semidetached!D$2,'HDD-by Country'!$A$4:$A$40,'HDD-by Country'!$C$4:$C$40)/1000/Semidetached!D$3</f>
        <v>8273.8116595975825</v>
      </c>
      <c r="E81" s="349">
        <f>E75*24*LOOKUP(Semidetached!E$2,'HDD-by Country'!$A$4:$A$40,'HDD-by Country'!$C$4:$C$40)/1000/Semidetached!E$3</f>
        <v>19017.120465506781</v>
      </c>
      <c r="F81" s="349">
        <f>F75*24*LOOKUP(Semidetached!F$2,'HDD-by Country'!$A$4:$A$40,'HDD-by Country'!$C$4:$C$40)/1000/Semidetached!F$3</f>
        <v>6130.9019986047715</v>
      </c>
      <c r="G81" s="349">
        <f>G75*24*LOOKUP(Semidetached!G$2,'HDD-by Country'!$A$4:$A$40,'HDD-by Country'!$C$4:$C$40)/1000/Semidetached!G$3</f>
        <v>8337.3815156545625</v>
      </c>
      <c r="H81" s="349">
        <f>H75*24*LOOKUP(Semidetached!H$2,'HDD-by Country'!$A$4:$A$40,'HDD-by Country'!$C$4:$C$40)/1000/Semidetached!H$3</f>
        <v>7349.7427885938305</v>
      </c>
      <c r="I81" s="349">
        <f>I75*24*LOOKUP(Semidetached!I$2,'HDD-by Country'!$A$4:$A$40,'HDD-by Country'!$C$4:$C$40)/1000/Semidetached!I$3</f>
        <v>7565.9900758850172</v>
      </c>
      <c r="J81" s="349">
        <f>J75*24*LOOKUP(Semidetached!J$2,'HDD-by Country'!$A$4:$A$40,'HDD-by Country'!$C$4:$C$40)/1000/Semidetached!J$3</f>
        <v>4616.2340473647773</v>
      </c>
      <c r="K81" s="349">
        <f>K75*24*LOOKUP(Semidetached!K$2,'HDD-by Country'!$A$4:$A$40,'HDD-by Country'!$C$4:$C$40)/1000/Semidetached!K$3</f>
        <v>5848.1664300157672</v>
      </c>
      <c r="L81" s="349">
        <f>L75*24*LOOKUP(Semidetached!L$2,'HDD-by Country'!$A$4:$A$40,'HDD-by Country'!$C$4:$C$40)/1000/Semidetached!L$3</f>
        <v>3932.1626297368512</v>
      </c>
      <c r="M81" s="349">
        <f>M75*24*LOOKUP(Semidetached!M$2,'HDD-by Country'!$A$4:$A$40,'HDD-by Country'!$C$4:$C$40)/1000/Semidetached!M$3</f>
        <v>11233.718819626614</v>
      </c>
      <c r="N81" s="349">
        <f>N75*24*LOOKUP(Semidetached!N$2,'HDD-by Country'!$A$4:$A$40,'HDD-by Country'!$C$4:$C$40)/1000/Semidetached!N$3</f>
        <v>7594.2512531800057</v>
      </c>
      <c r="O81" s="349">
        <f>O75*24*LOOKUP(Semidetached!O$2,'HDD-by Country'!$A$4:$A$40,'HDD-by Country'!$C$4:$C$40)/1000/Semidetached!O$3</f>
        <v>4512.5131502676477</v>
      </c>
      <c r="P81" s="349">
        <f>P75*24*LOOKUP(Semidetached!P$2,'HDD-by Country'!$A$4:$A$40,'HDD-by Country'!$C$4:$C$40)/1000/Semidetached!P$3</f>
        <v>17761.730160832576</v>
      </c>
      <c r="Q81" s="349">
        <f>Q75*24*LOOKUP(Semidetached!Q$2,'HDD-by Country'!$A$4:$A$40,'HDD-by Country'!$C$4:$C$40)/1000/Semidetached!Q$3</f>
        <v>6464.0848873445766</v>
      </c>
      <c r="R81" s="349">
        <f>R75*24*LOOKUP(Semidetached!R$2,'HDD-by Country'!$A$4:$A$40,'HDD-by Country'!$C$4:$C$40)/1000/Semidetached!R$3</f>
        <v>9087.8287880319422</v>
      </c>
      <c r="S81" s="349">
        <f>S75*24*LOOKUP(Semidetached!S$2,'HDD-by Country'!$A$4:$A$40,'HDD-by Country'!$C$4:$C$40)/1000/Semidetached!S$3</f>
        <v>9151.4452722483456</v>
      </c>
      <c r="T81" s="349">
        <f>T75*24*LOOKUP(Semidetached!T$2,'HDD-by Country'!$A$4:$A$40,'HDD-by Country'!$C$4:$C$40)/1000/Semidetached!T$3</f>
        <v>6512.3312917377034</v>
      </c>
      <c r="U81" s="349">
        <f>U75*24*LOOKUP(Semidetached!U$2,'HDD-by Country'!$A$4:$A$40,'HDD-by Country'!$C$4:$C$40)/1000/Semidetached!U$3</f>
        <v>11239.816294819486</v>
      </c>
      <c r="V81" s="349">
        <f>V75*24*LOOKUP(Semidetached!V$2,'HDD-by Country'!$A$4:$A$40,'HDD-by Country'!$C$4:$C$40)/1000/Semidetached!V$3</f>
        <v>9578.320455557825</v>
      </c>
      <c r="W81" s="349">
        <f>W75*24*LOOKUP(Semidetached!W$2,'HDD-by Country'!$A$4:$A$40,'HDD-by Country'!$C$4:$C$40)/1000/Semidetached!W$3</f>
        <v>6271.0858442892022</v>
      </c>
      <c r="X81" s="349">
        <f>X75*24*LOOKUP(Semidetached!X$2,'HDD-by Country'!$A$4:$A$40,'HDD-by Country'!$C$4:$C$40)/1000/Semidetached!X$3</f>
        <v>8149.7739326476922</v>
      </c>
      <c r="Y81" s="349">
        <f>Y75*24*LOOKUP(Semidetached!Y$2,'HDD-by Country'!$A$4:$A$40,'HDD-by Country'!$C$4:$C$40)/1000/Semidetached!Y$3</f>
        <v>4907.5634348008889</v>
      </c>
      <c r="Z81" s="349">
        <f>Z75*24*LOOKUP(Semidetached!Z$2,'HDD-by Country'!$A$4:$A$40,'HDD-by Country'!$C$4:$C$40)/1000/Semidetached!Z$3</f>
        <v>9927.7296987544669</v>
      </c>
      <c r="AA81" s="349">
        <f>AA75*24*LOOKUP(Semidetached!AA$2,'HDD-by Country'!$A$4:$A$40,'HDD-by Country'!$C$4:$C$40)/1000/Semidetached!AA$3</f>
        <v>5870.1902466116817</v>
      </c>
      <c r="AB81" s="349">
        <f>AB75*24*LOOKUP(Semidetached!AB$2,'HDD-by Country'!$A$4:$A$40,'HDD-by Country'!$C$4:$C$40)/1000/Semidetached!AB$3</f>
        <v>11256.082878937354</v>
      </c>
      <c r="AC81" s="349">
        <f>AC75*24*LOOKUP(Semidetached!AC$2,'HDD-by Country'!$A$4:$A$40,'HDD-by Country'!$C$4:$C$40)/1000/Semidetached!AC$3</f>
        <v>11129.356944050798</v>
      </c>
      <c r="AD81" s="349">
        <f>AD75*24*LOOKUP(Semidetached!AD$2,'HDD-by Country'!$A$4:$A$40,'HDD-by Country'!$C$4:$C$40)/1000/Semidetached!AD$3</f>
        <v>13127.837798240673</v>
      </c>
      <c r="AE81" s="349">
        <f>AE75*24*LOOKUP(Semidetached!AE$2,'HDD-by Country'!$A$4:$A$40,'HDD-by Country'!$C$4:$C$40)/1000/Semidetached!AE$3</f>
        <v>5563.7236039666086</v>
      </c>
      <c r="AF81" s="349">
        <f>AF75*24*LOOKUP(Semidetached!AF$2,'HDD-by Country'!$A$4:$A$40,'HDD-by Country'!$C$4:$C$40)/1000/Semidetached!AF$3</f>
        <v>7014.4523795196073</v>
      </c>
      <c r="AG81" s="349">
        <f>AG75*24*LOOKUP(Semidetached!AG$2,'HDD-by Country'!$A$4:$A$40,'HDD-by Country'!$C$4:$C$40)/1000/Semidetached!AG$3</f>
        <v>14822.21230568491</v>
      </c>
      <c r="AH81" s="349">
        <f>AH75*24*LOOKUP(Semidetached!AH$2,'HDD-by Country'!$A$4:$A$40,'HDD-by Country'!$C$4:$C$40)/1000/Semidetached!AH$3</f>
        <v>5913.7343904962545</v>
      </c>
      <c r="AI81" s="349">
        <f>AI75*24*LOOKUP(Semidetached!AI$2,'HDD-by Country'!$A$4:$A$40,'HDD-by Country'!$C$4:$C$40)/1000/Semidetached!AI$3</f>
        <v>17210.21647692956</v>
      </c>
      <c r="AJ81" s="349">
        <f>AJ75*24*LOOKUP(Semidetached!AJ$2,'HDD-by Country'!$A$4:$A$40,'HDD-by Country'!$C$4:$C$40)/1000/Semidetached!AJ$3</f>
        <v>8894.9662469400519</v>
      </c>
      <c r="AK81" s="349">
        <f>AK75*24*LOOKUP(Semidetached!AK$2,'HDD-by Country'!$A$4:$A$40,'HDD-by Country'!$C$4:$C$40)/1000/Semidetached!AK$3</f>
        <v>9826.0513167440567</v>
      </c>
      <c r="AL81" s="349">
        <f>AL75*24*LOOKUP(Semidetached!AL$2,'HDD-by Country'!$A$4:$A$40,'HDD-by Country'!$C$4:$C$40)/1000/Semidetached!AL$3</f>
        <v>6458.3133238392656</v>
      </c>
      <c r="AM81" s="349">
        <f>AM75*24*LOOKUP(Semidetached!AM$2,'HDD-by Country'!$A$4:$A$40,'HDD-by Country'!$C$4:$C$40)/1000/Semidetached!AM$3</f>
        <v>8179.5942181820401</v>
      </c>
      <c r="AN81" s="354">
        <f>AN75*24*LOOKUP(Semidetached!AN$2,'HDD-by Country'!$A$4:$A$40,'HDD-by Country'!$C$4:$C$40)/1000/Semidetached!AN$3</f>
        <v>8179.5942181820401</v>
      </c>
    </row>
    <row r="82" spans="1:40">
      <c r="A82" s="130"/>
      <c r="B82" s="142" t="s">
        <v>7</v>
      </c>
      <c r="C82" s="129" t="s">
        <v>261</v>
      </c>
      <c r="D82" s="345">
        <f>D76*24*LOOKUP(Semidetached!D$2,'HDD-by Country'!$A$4:$A$40,'HDD-by Country'!$C$4:$C$40)/1000/Semidetached!D$3</f>
        <v>7013.7641395310629</v>
      </c>
      <c r="E82" s="349">
        <f>E76*24*LOOKUP(Semidetached!E$2,'HDD-by Country'!$A$4:$A$40,'HDD-by Country'!$C$4:$C$40)/1000/Semidetached!E$3</f>
        <v>9892.0678726282349</v>
      </c>
      <c r="F82" s="349">
        <f>F76*24*LOOKUP(Semidetached!F$2,'HDD-by Country'!$A$4:$A$40,'HDD-by Country'!$C$4:$C$40)/1000/Semidetached!F$3</f>
        <v>3691.2860804460415</v>
      </c>
      <c r="G82" s="349">
        <f>G76*24*LOOKUP(Semidetached!G$2,'HDD-by Country'!$A$4:$A$40,'HDD-by Country'!$C$4:$C$40)/1000/Semidetached!G$3</f>
        <v>7059.8054721688213</v>
      </c>
      <c r="H82" s="349">
        <f>H76*24*LOOKUP(Semidetached!H$2,'HDD-by Country'!$A$4:$A$40,'HDD-by Country'!$C$4:$C$40)/1000/Semidetached!H$3</f>
        <v>5649.8444454067585</v>
      </c>
      <c r="I82" s="349">
        <f>I76*24*LOOKUP(Semidetached!I$2,'HDD-by Country'!$A$4:$A$40,'HDD-by Country'!$C$4:$C$40)/1000/Semidetached!I$3</f>
        <v>5888.4545572397265</v>
      </c>
      <c r="J82" s="349">
        <f>J76*24*LOOKUP(Semidetached!J$2,'HDD-by Country'!$A$4:$A$40,'HDD-by Country'!$C$4:$C$40)/1000/Semidetached!J$3</f>
        <v>5135.0658328105883</v>
      </c>
      <c r="K82" s="349">
        <f>K76*24*LOOKUP(Semidetached!K$2,'HDD-by Country'!$A$4:$A$40,'HDD-by Country'!$C$4:$C$40)/1000/Semidetached!K$3</f>
        <v>4018.451972335537</v>
      </c>
      <c r="L82" s="349">
        <f>L76*24*LOOKUP(Semidetached!L$2,'HDD-by Country'!$A$4:$A$40,'HDD-by Country'!$C$4:$C$40)/1000/Semidetached!L$3</f>
        <v>3932.1626297368512</v>
      </c>
      <c r="M82" s="349">
        <f>M76*24*LOOKUP(Semidetached!M$2,'HDD-by Country'!$A$4:$A$40,'HDD-by Country'!$C$4:$C$40)/1000/Semidetached!M$3</f>
        <v>6597.3793311545805</v>
      </c>
      <c r="N82" s="349">
        <f>N76*24*LOOKUP(Semidetached!N$2,'HDD-by Country'!$A$4:$A$40,'HDD-by Country'!$C$4:$C$40)/1000/Semidetached!N$3</f>
        <v>6806.0505471784081</v>
      </c>
      <c r="O82" s="349">
        <f>O76*24*LOOKUP(Semidetached!O$2,'HDD-by Country'!$A$4:$A$40,'HDD-by Country'!$C$4:$C$40)/1000/Semidetached!O$3</f>
        <v>4354.9009597162349</v>
      </c>
      <c r="P82" s="349">
        <f>P76*24*LOOKUP(Semidetached!P$2,'HDD-by Country'!$A$4:$A$40,'HDD-by Country'!$C$4:$C$40)/1000/Semidetached!P$3</f>
        <v>4573.737935740216</v>
      </c>
      <c r="Q82" s="349">
        <f>Q76*24*LOOKUP(Semidetached!Q$2,'HDD-by Country'!$A$4:$A$40,'HDD-by Country'!$C$4:$C$40)/1000/Semidetached!Q$3</f>
        <v>3640.944338338255</v>
      </c>
      <c r="R82" s="349">
        <f>R76*24*LOOKUP(Semidetached!R$2,'HDD-by Country'!$A$4:$A$40,'HDD-by Country'!$C$4:$C$40)/1000/Semidetached!R$3</f>
        <v>5177.4579047089692</v>
      </c>
      <c r="S82" s="349">
        <f>S76*24*LOOKUP(Semidetached!S$2,'HDD-by Country'!$A$4:$A$40,'HDD-by Country'!$C$4:$C$40)/1000/Semidetached!S$3</f>
        <v>5069.571959414413</v>
      </c>
      <c r="T82" s="349">
        <f>T76*24*LOOKUP(Semidetached!T$2,'HDD-by Country'!$A$4:$A$40,'HDD-by Country'!$C$4:$C$40)/1000/Semidetached!T$3</f>
        <v>5835.1173674789716</v>
      </c>
      <c r="U82" s="349">
        <f>U76*24*LOOKUP(Semidetached!U$2,'HDD-by Country'!$A$4:$A$40,'HDD-by Country'!$C$4:$C$40)/1000/Semidetached!U$3</f>
        <v>11239.816294819486</v>
      </c>
      <c r="V82" s="349">
        <f>V76*24*LOOKUP(Semidetached!V$2,'HDD-by Country'!$A$4:$A$40,'HDD-by Country'!$C$4:$C$40)/1000/Semidetached!V$3</f>
        <v>4605.5975811223325</v>
      </c>
      <c r="W82" s="349">
        <f>W76*24*LOOKUP(Semidetached!W$2,'HDD-by Country'!$A$4:$A$40,'HDD-by Country'!$C$4:$C$40)/1000/Semidetached!W$3</f>
        <v>4923.3241578641509</v>
      </c>
      <c r="X82" s="349">
        <f>X76*24*LOOKUP(Semidetached!X$2,'HDD-by Country'!$A$4:$A$40,'HDD-by Country'!$C$4:$C$40)/1000/Semidetached!X$3</f>
        <v>4280.0917629028345</v>
      </c>
      <c r="Y82" s="349">
        <f>Y76*24*LOOKUP(Semidetached!Y$2,'HDD-by Country'!$A$4:$A$40,'HDD-by Country'!$C$4:$C$40)/1000/Semidetached!Y$3</f>
        <v>4659.9235905423493</v>
      </c>
      <c r="Z82" s="349">
        <f>Z76*24*LOOKUP(Semidetached!Z$2,'HDD-by Country'!$A$4:$A$40,'HDD-by Country'!$C$4:$C$40)/1000/Semidetached!Z$3</f>
        <v>6464.4972603024362</v>
      </c>
      <c r="AA82" s="349">
        <f>AA76*24*LOOKUP(Semidetached!AA$2,'HDD-by Country'!$A$4:$A$40,'HDD-by Country'!$C$4:$C$40)/1000/Semidetached!AA$3</f>
        <v>5870.1902466116817</v>
      </c>
      <c r="AB82" s="349">
        <f>AB76*24*LOOKUP(Semidetached!AB$2,'HDD-by Country'!$A$4:$A$40,'HDD-by Country'!$C$4:$C$40)/1000/Semidetached!AB$3</f>
        <v>8137.6348048984182</v>
      </c>
      <c r="AC82" s="349">
        <f>AC76*24*LOOKUP(Semidetached!AC$2,'HDD-by Country'!$A$4:$A$40,'HDD-by Country'!$C$4:$C$40)/1000/Semidetached!AC$3</f>
        <v>6794.648909991346</v>
      </c>
      <c r="AD82" s="349">
        <f>AD76*24*LOOKUP(Semidetached!AD$2,'HDD-by Country'!$A$4:$A$40,'HDD-by Country'!$C$4:$C$40)/1000/Semidetached!AD$3</f>
        <v>10576.490155941699</v>
      </c>
      <c r="AE82" s="349">
        <f>AE76*24*LOOKUP(Semidetached!AE$2,'HDD-by Country'!$A$4:$A$40,'HDD-by Country'!$C$4:$C$40)/1000/Semidetached!AE$3</f>
        <v>5563.7236039666086</v>
      </c>
      <c r="AF82" s="349">
        <f>AF76*24*LOOKUP(Semidetached!AF$2,'HDD-by Country'!$A$4:$A$40,'HDD-by Country'!$C$4:$C$40)/1000/Semidetached!AF$3</f>
        <v>3361.5877657260935</v>
      </c>
      <c r="AG82" s="349">
        <f>AG76*24*LOOKUP(Semidetached!AG$2,'HDD-by Country'!$A$4:$A$40,'HDD-by Country'!$C$4:$C$40)/1000/Semidetached!AG$3</f>
        <v>8307.3749139478859</v>
      </c>
      <c r="AH82" s="349">
        <f>AH76*24*LOOKUP(Semidetached!AH$2,'HDD-by Country'!$A$4:$A$40,'HDD-by Country'!$C$4:$C$40)/1000/Semidetached!AH$3</f>
        <v>4748.6306175444824</v>
      </c>
      <c r="AI82" s="349">
        <f>AI76*24*LOOKUP(Semidetached!AI$2,'HDD-by Country'!$A$4:$A$40,'HDD-by Country'!$C$4:$C$40)/1000/Semidetached!AI$3</f>
        <v>4423.3251128575785</v>
      </c>
      <c r="AJ82" s="349">
        <f>AJ76*24*LOOKUP(Semidetached!AJ$2,'HDD-by Country'!$A$4:$A$40,'HDD-by Country'!$C$4:$C$40)/1000/Semidetached!AJ$3</f>
        <v>7627.1718825100697</v>
      </c>
      <c r="AK82" s="349">
        <f>AK76*24*LOOKUP(Semidetached!AK$2,'HDD-by Country'!$A$4:$A$40,'HDD-by Country'!$C$4:$C$40)/1000/Semidetached!AK$3</f>
        <v>8437.4376219313835</v>
      </c>
      <c r="AL82" s="349">
        <f>AL76*24*LOOKUP(Semidetached!AL$2,'HDD-by Country'!$A$4:$A$40,'HDD-by Country'!$C$4:$C$40)/1000/Semidetached!AL$3</f>
        <v>3896.8503695901741</v>
      </c>
      <c r="AM82" s="349">
        <f>AM76*24*LOOKUP(Semidetached!AM$2,'HDD-by Country'!$A$4:$A$40,'HDD-by Country'!$C$4:$C$40)/1000/Semidetached!AM$3</f>
        <v>7013.7614128352352</v>
      </c>
      <c r="AN82" s="354">
        <f>AN76*24*LOOKUP(Semidetached!AN$2,'HDD-by Country'!$A$4:$A$40,'HDD-by Country'!$C$4:$C$40)/1000/Semidetached!AN$3</f>
        <v>7013.7614128352352</v>
      </c>
    </row>
    <row r="83" spans="1:40">
      <c r="A83" s="151" t="s">
        <v>260</v>
      </c>
      <c r="B83" s="141" t="s">
        <v>2</v>
      </c>
      <c r="C83" s="360" t="s">
        <v>261</v>
      </c>
      <c r="D83" s="351">
        <f>D77/(1.355*(D71/Semidetached!D$17)^0.16)</f>
        <v>16292.206173534993</v>
      </c>
      <c r="E83" s="352">
        <f>E77/(1.355*(E71/Semidetached!E$17)^0.16)</f>
        <v>16026.939933975975</v>
      </c>
      <c r="F83" s="352">
        <f>F77/(1.355*(F71/Semidetached!F$17)^0.16)</f>
        <v>8008.7911117843105</v>
      </c>
      <c r="G83" s="352">
        <f>G77/(1.355*(G71/Semidetached!G$17)^0.16)</f>
        <v>16435.471931758384</v>
      </c>
      <c r="H83" s="352">
        <f>H77/(1.355*(H71/Semidetached!H$17)^0.16)</f>
        <v>5497.8870416598847</v>
      </c>
      <c r="I83" s="352">
        <f>I77/(1.355*(I71/Semidetached!I$17)^0.16)</f>
        <v>12032.668286672826</v>
      </c>
      <c r="J83" s="352">
        <f>J77/(1.355*(J71/Semidetached!J$17)^0.16)</f>
        <v>16932.209235576618</v>
      </c>
      <c r="K83" s="352">
        <f>K77/(1.355*(K71/Semidetached!K$17)^0.16)</f>
        <v>10569.252908005785</v>
      </c>
      <c r="L83" s="352">
        <f>L77/(1.355*(L71/Semidetached!L$17)^0.16)</f>
        <v>6878.5846012427346</v>
      </c>
      <c r="M83" s="352">
        <f>M77/(1.355*(M71/Semidetached!M$17)^0.16)</f>
        <v>13524.596863440982</v>
      </c>
      <c r="N83" s="352">
        <f>N77/(1.355*(N71/Semidetached!N$17)^0.16)</f>
        <v>11739.034086380116</v>
      </c>
      <c r="O83" s="352">
        <f>O77/(1.355*(O71/Semidetached!O$17)^0.16)</f>
        <v>18094.498936784305</v>
      </c>
      <c r="P83" s="352">
        <f>P77/(1.355*(P71/Semidetached!P$17)^0.16)</f>
        <v>11626.575134185754</v>
      </c>
      <c r="Q83" s="352">
        <f>Q77/(1.355*(Q71/Semidetached!Q$17)^0.16)</f>
        <v>7004.3854465303002</v>
      </c>
      <c r="R83" s="352">
        <f>R77/(1.355*(R71/Semidetached!R$17)^0.16)</f>
        <v>11183.072299083611</v>
      </c>
      <c r="S83" s="352">
        <f>S77/(1.355*(S71/Semidetached!S$17)^0.16)</f>
        <v>16572.091408510161</v>
      </c>
      <c r="T83" s="352">
        <f>T77/(1.355*(T71/Semidetached!T$17)^0.16)</f>
        <v>10071.27101658082</v>
      </c>
      <c r="U83" s="352">
        <f>U77/(1.355*(U71/Semidetached!U$17)^0.16)</f>
        <v>12021.519432841884</v>
      </c>
      <c r="V83" s="352">
        <f>V77/(1.355*(V71/Semidetached!V$17)^0.16)</f>
        <v>12267.755944496315</v>
      </c>
      <c r="W83" s="352">
        <f>W77/(1.355*(W71/Semidetached!W$17)^0.16)</f>
        <v>12529.986717889033</v>
      </c>
      <c r="X83" s="352">
        <f>X77/(1.355*(X71/Semidetached!X$17)^0.16)</f>
        <v>13489.737968352332</v>
      </c>
      <c r="Y83" s="352">
        <f>Y77/(1.355*(Y71/Semidetached!Y$17)^0.16)</f>
        <v>4423.5071594069659</v>
      </c>
      <c r="Z83" s="352">
        <f>Z77/(1.355*(Z71/Semidetached!Z$17)^0.16)</f>
        <v>18525.858265357227</v>
      </c>
      <c r="AA83" s="352">
        <f>AA77/(1.355*(AA71/Semidetached!AA$17)^0.16)</f>
        <v>10492.768131128822</v>
      </c>
      <c r="AB83" s="352">
        <f>AB77/(1.355*(AB71/Semidetached!AB$17)^0.16)</f>
        <v>16894.481250396089</v>
      </c>
      <c r="AC83" s="352">
        <f>AC77/(1.355*(AC71/Semidetached!AC$17)^0.16)</f>
        <v>9300.3631004849103</v>
      </c>
      <c r="AD83" s="352">
        <f>AD77/(1.355*(AD71/Semidetached!AD$17)^0.16)</f>
        <v>12097.276382348215</v>
      </c>
      <c r="AE83" s="352">
        <f>AE77/(1.355*(AE71/Semidetached!AE$17)^0.16)</f>
        <v>9935.1667695121268</v>
      </c>
      <c r="AF83" s="352">
        <f>AF77/(1.355*(AF71/Semidetached!AF$17)^0.16)</f>
        <v>11364.473061070052</v>
      </c>
      <c r="AG83" s="352">
        <f>AG77/(1.355*(AG71/Semidetached!AG$17)^0.16)</f>
        <v>16874.375409750672</v>
      </c>
      <c r="AH83" s="352">
        <f>AH77/(1.355*(AH71/Semidetached!AH$17)^0.16)</f>
        <v>14081.75890913335</v>
      </c>
      <c r="AI83" s="352">
        <f>AI77/(1.355*(AI71/Semidetached!AI$17)^0.16)</f>
        <v>11266.744476468648</v>
      </c>
      <c r="AJ83" s="352">
        <f>AJ77/(1.355*(AJ71/Semidetached!AJ$17)^0.16)</f>
        <v>8387.5917161652524</v>
      </c>
      <c r="AK83" s="352">
        <f>AK77/(1.355*(AK71/Semidetached!AK$17)^0.16)</f>
        <v>9330.7091149307635</v>
      </c>
      <c r="AL83" s="352">
        <f>AL77/(1.355*(AL71/Semidetached!AL$17)^0.16)</f>
        <v>8476.5699075162029</v>
      </c>
      <c r="AM83" s="352">
        <f>AM77/(1.355*(AM71/Semidetached!AM$17)^0.16)</f>
        <v>7713.0249628117826</v>
      </c>
      <c r="AN83" s="353">
        <f>AN77/(1.355*(AN71/Semidetached!AN$17)^0.16)</f>
        <v>7713.0249628117826</v>
      </c>
    </row>
    <row r="84" spans="1:40">
      <c r="A84" s="129"/>
      <c r="B84" s="142" t="s">
        <v>3</v>
      </c>
      <c r="C84" s="129" t="s">
        <v>261</v>
      </c>
      <c r="D84" s="345">
        <f>D78/(1.355*(D72/Semidetached!D$17)^0.16)</f>
        <v>15250.253718799995</v>
      </c>
      <c r="E84" s="349">
        <f>E78/(1.355*(E72/Semidetached!E$17)^0.16)</f>
        <v>16026.939933975975</v>
      </c>
      <c r="F84" s="349">
        <f>F78/(1.355*(F72/Semidetached!F$17)^0.16)</f>
        <v>8008.7911117843105</v>
      </c>
      <c r="G84" s="349">
        <f>G78/(1.355*(G72/Semidetached!G$17)^0.16)</f>
        <v>15398.942632980068</v>
      </c>
      <c r="H84" s="349">
        <f>H78/(1.355*(H72/Semidetached!H$17)^0.16)</f>
        <v>5214.1893624486729</v>
      </c>
      <c r="I84" s="349">
        <f>I78/(1.355*(I72/Semidetached!I$17)^0.16)</f>
        <v>9650.2674024579082</v>
      </c>
      <c r="J84" s="349">
        <f>J78/(1.355*(J72/Semidetached!J$17)^0.16)</f>
        <v>15267.256929139185</v>
      </c>
      <c r="K84" s="349">
        <f>K78/(1.355*(K72/Semidetached!K$17)^0.16)</f>
        <v>10151.481010015788</v>
      </c>
      <c r="L84" s="349">
        <f>L78/(1.355*(L72/Semidetached!L$17)^0.16)</f>
        <v>6878.5846012427346</v>
      </c>
      <c r="M84" s="349">
        <f>M78/(1.355*(M72/Semidetached!M$17)^0.16)</f>
        <v>12140.562911938176</v>
      </c>
      <c r="N84" s="349">
        <f>N78/(1.355*(N72/Semidetached!N$17)^0.16)</f>
        <v>10441.664020587361</v>
      </c>
      <c r="O84" s="349">
        <f>O78/(1.355*(O72/Semidetached!O$17)^0.16)</f>
        <v>18094.498936784305</v>
      </c>
      <c r="P84" s="349">
        <f>P78/(1.355*(P72/Semidetached!P$17)^0.16)</f>
        <v>11626.575134185754</v>
      </c>
      <c r="Q84" s="349">
        <f>Q78/(1.355*(Q72/Semidetached!Q$17)^0.16)</f>
        <v>7449.8877513239904</v>
      </c>
      <c r="R84" s="349">
        <f>R78/(1.355*(R72/Semidetached!R$17)^0.16)</f>
        <v>11183.072299083611</v>
      </c>
      <c r="S84" s="349">
        <f>S78/(1.355*(S72/Semidetached!S$17)^0.16)</f>
        <v>16882.801950230041</v>
      </c>
      <c r="T84" s="349">
        <f>T78/(1.355*(T72/Semidetached!T$17)^0.16)</f>
        <v>8956.1514286671536</v>
      </c>
      <c r="U84" s="349">
        <f>U78/(1.355*(U72/Semidetached!U$17)^0.16)</f>
        <v>11393.770922613627</v>
      </c>
      <c r="V84" s="349">
        <f>V78/(1.355*(V72/Semidetached!V$17)^0.16)</f>
        <v>12267.755944496315</v>
      </c>
      <c r="W84" s="349">
        <f>W78/(1.355*(W72/Semidetached!W$17)^0.16)</f>
        <v>12899.368786131177</v>
      </c>
      <c r="X84" s="349">
        <f>X78/(1.355*(X72/Semidetached!X$17)^0.16)</f>
        <v>13489.737968352332</v>
      </c>
      <c r="Y84" s="349">
        <f>Y78/(1.355*(Y72/Semidetached!Y$17)^0.16)</f>
        <v>4415.4845273142773</v>
      </c>
      <c r="Z84" s="349">
        <f>Z78/(1.355*(Z72/Semidetached!Z$17)^0.16)</f>
        <v>14636.190482085211</v>
      </c>
      <c r="AA84" s="349">
        <f>AA78/(1.355*(AA72/Semidetached!AA$17)^0.16)</f>
        <v>10492.768131128822</v>
      </c>
      <c r="AB84" s="349">
        <f>AB78/(1.355*(AB72/Semidetached!AB$17)^0.16)</f>
        <v>12251.484907591435</v>
      </c>
      <c r="AC84" s="349">
        <f>AC78/(1.355*(AC72/Semidetached!AC$17)^0.16)</f>
        <v>8535.2746416380542</v>
      </c>
      <c r="AD84" s="349">
        <f>AD78/(1.355*(AD72/Semidetached!AD$17)^0.16)</f>
        <v>10938.181570375891</v>
      </c>
      <c r="AE84" s="349">
        <f>AE78/(1.355*(AE72/Semidetached!AE$17)^0.16)</f>
        <v>9935.1667695121268</v>
      </c>
      <c r="AF84" s="349">
        <f>AF78/(1.355*(AF72/Semidetached!AF$17)^0.16)</f>
        <v>11364.473061070052</v>
      </c>
      <c r="AG84" s="349">
        <f>AG78/(1.355*(AG72/Semidetached!AG$17)^0.16)</f>
        <v>14046.870936204063</v>
      </c>
      <c r="AH84" s="349">
        <f>AH78/(1.355*(AH72/Semidetached!AH$17)^0.16)</f>
        <v>14866.852680649212</v>
      </c>
      <c r="AI84" s="349">
        <f>AI78/(1.355*(AI72/Semidetached!AI$17)^0.16)</f>
        <v>11266.744476468648</v>
      </c>
      <c r="AJ84" s="349">
        <f>AJ78/(1.355*(AJ72/Semidetached!AJ$17)^0.16)</f>
        <v>8387.5917161652524</v>
      </c>
      <c r="AK84" s="349">
        <f>AK78/(1.355*(AK72/Semidetached!AK$17)^0.16)</f>
        <v>9330.7091149307635</v>
      </c>
      <c r="AL84" s="349">
        <f>AL78/(1.355*(AL72/Semidetached!AL$17)^0.16)</f>
        <v>8476.5699075162029</v>
      </c>
      <c r="AM84" s="349">
        <f>AM78/(1.355*(AM72/Semidetached!AM$17)^0.16)</f>
        <v>7713.0249628117826</v>
      </c>
      <c r="AN84" s="354">
        <f>AN78/(1.355*(AN72/Semidetached!AN$17)^0.16)</f>
        <v>7713.0249628117826</v>
      </c>
    </row>
    <row r="85" spans="1:40">
      <c r="A85" s="129"/>
      <c r="B85" s="142" t="s">
        <v>4</v>
      </c>
      <c r="C85" s="129" t="s">
        <v>261</v>
      </c>
      <c r="D85" s="345">
        <f>D79/(1.355*(D73/Semidetached!D$17)^0.16)</f>
        <v>11852.853917389486</v>
      </c>
      <c r="E85" s="349">
        <f>E79/(1.355*(E73/Semidetached!E$17)^0.16)</f>
        <v>16026.939933975975</v>
      </c>
      <c r="F85" s="349">
        <f>F79/(1.355*(F73/Semidetached!F$17)^0.16)</f>
        <v>7498.7283144964222</v>
      </c>
      <c r="G85" s="349">
        <f>G79/(1.355*(G73/Semidetached!G$17)^0.16)</f>
        <v>11958.858878184423</v>
      </c>
      <c r="H85" s="349">
        <f>H79/(1.355*(H73/Semidetached!H$17)^0.16)</f>
        <v>4927.5188167645611</v>
      </c>
      <c r="I85" s="349">
        <f>I79/(1.355*(I73/Semidetached!I$17)^0.16)</f>
        <v>9650.2674024579082</v>
      </c>
      <c r="J85" s="349">
        <f>J79/(1.355*(J73/Semidetached!J$17)^0.16)</f>
        <v>9106.9957928382501</v>
      </c>
      <c r="K85" s="349">
        <f>K79/(1.355*(K73/Semidetached!K$17)^0.16)</f>
        <v>6428.0725873756883</v>
      </c>
      <c r="L85" s="349">
        <f>L79/(1.355*(L73/Semidetached!L$17)^0.16)</f>
        <v>5410.2068957834326</v>
      </c>
      <c r="M85" s="349">
        <f>M79/(1.355*(M73/Semidetached!M$17)^0.16)</f>
        <v>12140.562911938176</v>
      </c>
      <c r="N85" s="349">
        <f>N79/(1.355*(N73/Semidetached!N$17)^0.16)</f>
        <v>8400.314341739193</v>
      </c>
      <c r="O85" s="349">
        <f>O79/(1.355*(O73/Semidetached!O$17)^0.16)</f>
        <v>7801.3408859884639</v>
      </c>
      <c r="P85" s="349">
        <f>P79/(1.355*(P73/Semidetached!P$17)^0.16)</f>
        <v>11626.575134185754</v>
      </c>
      <c r="Q85" s="349">
        <f>Q79/(1.355*(Q73/Semidetached!Q$17)^0.16)</f>
        <v>7028.3155262390828</v>
      </c>
      <c r="R85" s="349">
        <f>R79/(1.355*(R73/Semidetached!R$17)^0.16)</f>
        <v>9647.5810567068911</v>
      </c>
      <c r="S85" s="349">
        <f>S79/(1.355*(S73/Semidetached!S$17)^0.16)</f>
        <v>13778.780931886809</v>
      </c>
      <c r="T85" s="349">
        <f>T79/(1.355*(T73/Semidetached!T$17)^0.16)</f>
        <v>7204.8869991836482</v>
      </c>
      <c r="U85" s="349">
        <f>U79/(1.355*(U73/Semidetached!U$17)^0.16)</f>
        <v>10873.433523739943</v>
      </c>
      <c r="V85" s="349">
        <f>V79/(1.355*(V73/Semidetached!V$17)^0.16)</f>
        <v>7742.7564379763617</v>
      </c>
      <c r="W85" s="349">
        <f>W79/(1.355*(W73/Semidetached!W$17)^0.16)</f>
        <v>6724.551427166497</v>
      </c>
      <c r="X85" s="349">
        <f>X79/(1.355*(X73/Semidetached!X$17)^0.16)</f>
        <v>12413.166251964012</v>
      </c>
      <c r="Y85" s="349">
        <f>Y79/(1.355*(Y73/Semidetached!Y$17)^0.16)</f>
        <v>3749.6593574036337</v>
      </c>
      <c r="Z85" s="349">
        <f>Z79/(1.355*(Z73/Semidetached!Z$17)^0.16)</f>
        <v>14002.902212304956</v>
      </c>
      <c r="AA85" s="349">
        <f>AA79/(1.355*(AA73/Semidetached!AA$17)^0.16)</f>
        <v>6498.238912730304</v>
      </c>
      <c r="AB85" s="349">
        <f>AB79/(1.355*(AB73/Semidetached!AB$17)^0.16)</f>
        <v>8674.3099239942749</v>
      </c>
      <c r="AC85" s="349">
        <f>AC79/(1.355*(AC73/Semidetached!AC$17)^0.16)</f>
        <v>8344.6270294810292</v>
      </c>
      <c r="AD85" s="349">
        <f>AD79/(1.355*(AD73/Semidetached!AD$17)^0.16)</f>
        <v>10938.181570375891</v>
      </c>
      <c r="AE85" s="349">
        <f>AE79/(1.355*(AE73/Semidetached!AE$17)^0.16)</f>
        <v>6157.0324272309754</v>
      </c>
      <c r="AF85" s="349">
        <f>AF79/(1.355*(AF73/Semidetached!AF$17)^0.16)</f>
        <v>10393.5623436775</v>
      </c>
      <c r="AG85" s="349">
        <f>AG79/(1.355*(AG73/Semidetached!AG$17)^0.16)</f>
        <v>14046.870936204063</v>
      </c>
      <c r="AH85" s="349">
        <f>AH79/(1.355*(AH73/Semidetached!AH$17)^0.16)</f>
        <v>11222.484287920064</v>
      </c>
      <c r="AI85" s="349">
        <f>AI79/(1.355*(AI73/Semidetached!AI$17)^0.16)</f>
        <v>11266.744476468648</v>
      </c>
      <c r="AJ85" s="349">
        <f>AJ79/(1.355*(AJ73/Semidetached!AJ$17)^0.16)</f>
        <v>8387.5917161652524</v>
      </c>
      <c r="AK85" s="349">
        <f>AK79/(1.355*(AK73/Semidetached!AK$17)^0.16)</f>
        <v>9330.7091149307635</v>
      </c>
      <c r="AL85" s="349">
        <f>AL79/(1.355*(AL73/Semidetached!AL$17)^0.16)</f>
        <v>7935.2338630228296</v>
      </c>
      <c r="AM85" s="349">
        <f>AM79/(1.355*(AM73/Semidetached!AM$17)^0.16)</f>
        <v>7713.0249628117826</v>
      </c>
      <c r="AN85" s="354">
        <f>AN79/(1.355*(AN73/Semidetached!AN$17)^0.16)</f>
        <v>7713.0249628117826</v>
      </c>
    </row>
    <row r="86" spans="1:40">
      <c r="A86" s="129"/>
      <c r="B86" s="142" t="s">
        <v>5</v>
      </c>
      <c r="C86" s="129" t="s">
        <v>261</v>
      </c>
      <c r="D86" s="345">
        <f>D80/(1.355*(D74/Semidetached!D$17)^0.16)</f>
        <v>8021.6877176657517</v>
      </c>
      <c r="E86" s="349">
        <f>E80/(1.355*(E74/Semidetached!E$17)^0.16)</f>
        <v>13400.081312183645</v>
      </c>
      <c r="F86" s="349">
        <f>F80/(1.355*(F74/Semidetached!F$17)^0.16)</f>
        <v>6331.2417076307665</v>
      </c>
      <c r="G86" s="349">
        <f>G80/(1.355*(G74/Semidetached!G$17)^0.16)</f>
        <v>8085.1420718363088</v>
      </c>
      <c r="H86" s="349">
        <f>H80/(1.355*(H74/Semidetached!H$17)^0.16)</f>
        <v>4745.8061476933626</v>
      </c>
      <c r="I86" s="349">
        <f>I80/(1.355*(I74/Semidetached!I$17)^0.16)</f>
        <v>8401.3400472424728</v>
      </c>
      <c r="J86" s="349">
        <f>J80/(1.355*(J74/Semidetached!J$17)^0.16)</f>
        <v>6828.2449446545706</v>
      </c>
      <c r="K86" s="349">
        <f>K80/(1.355*(K74/Semidetached!K$17)^0.16)</f>
        <v>5202.4758927240146</v>
      </c>
      <c r="L86" s="349">
        <f>L80/(1.355*(L74/Semidetached!L$17)^0.16)</f>
        <v>4299.4164987679169</v>
      </c>
      <c r="M86" s="349">
        <f>M80/(1.355*(M74/Semidetached!M$17)^0.16)</f>
        <v>8008.7492033483122</v>
      </c>
      <c r="N86" s="349">
        <f>N80/(1.355*(N74/Semidetached!N$17)^0.16)</f>
        <v>6883.3615847798792</v>
      </c>
      <c r="O86" s="349">
        <f>O80/(1.355*(O74/Semidetached!O$17)^0.16)</f>
        <v>6617.1223529366162</v>
      </c>
      <c r="P86" s="349">
        <f>P80/(1.355*(P74/Semidetached!P$17)^0.16)</f>
        <v>11258.814001893461</v>
      </c>
      <c r="Q86" s="349">
        <f>Q80/(1.355*(Q74/Semidetached!Q$17)^0.16)</f>
        <v>7028.3155262390828</v>
      </c>
      <c r="R86" s="349">
        <f>R80/(1.355*(R74/Semidetached!R$17)^0.16)</f>
        <v>6974.6024645051721</v>
      </c>
      <c r="S86" s="349">
        <f>S80/(1.355*(S74/Semidetached!S$17)^0.16)</f>
        <v>8680.0746179836042</v>
      </c>
      <c r="T86" s="349">
        <f>T80/(1.355*(T74/Semidetached!T$17)^0.16)</f>
        <v>5903.8422327146527</v>
      </c>
      <c r="U86" s="349">
        <f>U80/(1.355*(U74/Semidetached!U$17)^0.16)</f>
        <v>8773.3424121617281</v>
      </c>
      <c r="V86" s="349">
        <f>V80/(1.355*(V74/Semidetached!V$17)^0.16)</f>
        <v>7742.7564379763617</v>
      </c>
      <c r="W86" s="349">
        <f>W80/(1.355*(W74/Semidetached!W$17)^0.16)</f>
        <v>5963.5012293845857</v>
      </c>
      <c r="X86" s="349">
        <f>X80/(1.355*(X74/Semidetached!X$17)^0.16)</f>
        <v>6950.4124618426458</v>
      </c>
      <c r="Y86" s="349">
        <f>Y80/(1.355*(Y74/Semidetached!Y$17)^0.16)</f>
        <v>3353.1989494102136</v>
      </c>
      <c r="Z86" s="349">
        <f>Z80/(1.355*(Z74/Semidetached!Z$17)^0.16)</f>
        <v>8633.5253240840921</v>
      </c>
      <c r="AA86" s="349">
        <f>AA80/(1.355*(AA74/Semidetached!AA$17)^0.16)</f>
        <v>6498.238912730304</v>
      </c>
      <c r="AB86" s="349">
        <f>AB80/(1.355*(AB74/Semidetached!AB$17)^0.16)</f>
        <v>8674.3099239942749</v>
      </c>
      <c r="AC86" s="349">
        <f>AC80/(1.355*(AC74/Semidetached!AC$17)^0.16)</f>
        <v>8093.4119240347491</v>
      </c>
      <c r="AD86" s="349">
        <f>AD80/(1.355*(AD74/Semidetached!AD$17)^0.16)</f>
        <v>9297.2924873012598</v>
      </c>
      <c r="AE86" s="349">
        <f>AE80/(1.355*(AE74/Semidetached!AE$17)^0.16)</f>
        <v>6157.0324272309754</v>
      </c>
      <c r="AF86" s="349">
        <f>AF80/(1.355*(AF74/Semidetached!AF$17)^0.16)</f>
        <v>8188.0285314610055</v>
      </c>
      <c r="AG86" s="349">
        <f>AG80/(1.355*(AG74/Semidetached!AG$17)^0.16)</f>
        <v>12174.443290077728</v>
      </c>
      <c r="AH86" s="349">
        <f>AH80/(1.355*(AH74/Semidetached!AH$17)^0.16)</f>
        <v>6034.4437344596745</v>
      </c>
      <c r="AI86" s="349">
        <f>AI80/(1.355*(AI74/Semidetached!AI$17)^0.16)</f>
        <v>10899.351781255396</v>
      </c>
      <c r="AJ86" s="349">
        <f>AJ80/(1.355*(AJ74/Semidetached!AJ$17)^0.16)</f>
        <v>7088.7846929817206</v>
      </c>
      <c r="AK86" s="349">
        <f>AK80/(1.355*(AK74/Semidetached!AK$17)^0.16)</f>
        <v>7865.5154339809133</v>
      </c>
      <c r="AL86" s="349">
        <f>AL80/(1.355*(AL74/Semidetached!AL$17)^0.16)</f>
        <v>6698.0133745998746</v>
      </c>
      <c r="AM86" s="349">
        <f>AM80/(1.355*(AM74/Semidetached!AM$17)^0.16)</f>
        <v>6518.6736721567031</v>
      </c>
      <c r="AN86" s="354">
        <f>AN80/(1.355*(AN74/Semidetached!AN$17)^0.16)</f>
        <v>6518.6736721567031</v>
      </c>
    </row>
    <row r="87" spans="1:40">
      <c r="A87" s="129"/>
      <c r="B87" s="142" t="s">
        <v>6</v>
      </c>
      <c r="C87" s="129" t="s">
        <v>261</v>
      </c>
      <c r="D87" s="345">
        <f>D81/(1.355*(D75/Semidetached!D$17)^0.16)</f>
        <v>6882.1142086978762</v>
      </c>
      <c r="E87" s="349">
        <f>E81/(1.355*(E75/Semidetached!E$17)^0.16)</f>
        <v>13400.081312183645</v>
      </c>
      <c r="F87" s="349">
        <f>F81/(1.355*(F75/Semidetached!F$17)^0.16)</f>
        <v>4723.9172835226473</v>
      </c>
      <c r="G87" s="349">
        <f>G81/(1.355*(G75/Semidetached!G$17)^0.16)</f>
        <v>6938.6549691878618</v>
      </c>
      <c r="H87" s="349">
        <f>H81/(1.355*(H75/Semidetached!H$17)^0.16)</f>
        <v>4745.8061476933626</v>
      </c>
      <c r="I87" s="349">
        <f>I81/(1.355*(I75/Semidetached!I$17)^0.16)</f>
        <v>6246.2312229966283</v>
      </c>
      <c r="J87" s="349">
        <f>J81/(1.355*(J75/Semidetached!J$17)^0.16)</f>
        <v>4114.1156481889884</v>
      </c>
      <c r="K87" s="349">
        <f>K81/(1.355*(K75/Semidetached!K$17)^0.16)</f>
        <v>5202.4758927240146</v>
      </c>
      <c r="L87" s="349">
        <f>L81/(1.355*(L75/Semidetached!L$17)^0.16)</f>
        <v>3654.0799605157931</v>
      </c>
      <c r="M87" s="349">
        <f>M81/(1.355*(M75/Semidetached!M$17)^0.16)</f>
        <v>8008.7492033483122</v>
      </c>
      <c r="N87" s="349">
        <f>N81/(1.355*(N75/Semidetached!N$17)^0.16)</f>
        <v>6766.7383149693633</v>
      </c>
      <c r="O87" s="349">
        <f>O81/(1.355*(O75/Semidetached!O$17)^0.16)</f>
        <v>3883.0476810343603</v>
      </c>
      <c r="P87" s="349">
        <f>P81/(1.355*(P75/Semidetached!P$17)^0.16)</f>
        <v>11258.814001893461</v>
      </c>
      <c r="Q87" s="349">
        <f>Q81/(1.355*(Q75/Semidetached!Q$17)^0.16)</f>
        <v>4947.4476991765941</v>
      </c>
      <c r="R87" s="349">
        <f>R81/(1.355*(R75/Semidetached!R$17)^0.16)</f>
        <v>6974.6024645051721</v>
      </c>
      <c r="S87" s="349">
        <f>S81/(1.355*(S75/Semidetached!S$17)^0.16)</f>
        <v>7287.8592962740622</v>
      </c>
      <c r="T87" s="349">
        <f>T81/(1.355*(T75/Semidetached!T$17)^0.16)</f>
        <v>5803.6641330376005</v>
      </c>
      <c r="U87" s="349">
        <f>U81/(1.355*(U75/Semidetached!U$17)^0.16)</f>
        <v>8076.0869964210615</v>
      </c>
      <c r="V87" s="349">
        <f>V81/(1.355*(V75/Semidetached!V$17)^0.16)</f>
        <v>7742.7564379763617</v>
      </c>
      <c r="W87" s="349">
        <f>W81/(1.355*(W75/Semidetached!W$17)^0.16)</f>
        <v>5216.9772460699232</v>
      </c>
      <c r="X87" s="349">
        <f>X81/(1.355*(X75/Semidetached!X$17)^0.16)</f>
        <v>6790.3078310572328</v>
      </c>
      <c r="Y87" s="349">
        <f>Y81/(1.355*(Y75/Semidetached!Y$17)^0.16)</f>
        <v>3276.8825168156181</v>
      </c>
      <c r="Z87" s="349">
        <f>Z81/(1.355*(Z75/Semidetached!Z$17)^0.16)</f>
        <v>7831.759349445756</v>
      </c>
      <c r="AA87" s="349">
        <f>AA81/(1.355*(AA75/Semidetached!AA$17)^0.16)</f>
        <v>5597.3827843595191</v>
      </c>
      <c r="AB87" s="349">
        <f>AB81/(1.355*(AB75/Semidetached!AB$17)^0.16)</f>
        <v>8674.3099239942749</v>
      </c>
      <c r="AC87" s="349">
        <f>AC81/(1.355*(AC75/Semidetached!AC$17)^0.16)</f>
        <v>7489.0329627870033</v>
      </c>
      <c r="AD87" s="349">
        <f>AD81/(1.355*(AD75/Semidetached!AD$17)^0.16)</f>
        <v>9297.2924873012598</v>
      </c>
      <c r="AE87" s="349">
        <f>AE81/(1.355*(AE75/Semidetached!AE$17)^0.16)</f>
        <v>5302.7230253722155</v>
      </c>
      <c r="AF87" s="349">
        <f>AF81/(1.355*(AF75/Semidetached!AF$17)^0.16)</f>
        <v>5665.4020658958079</v>
      </c>
      <c r="AG87" s="349">
        <f>AG81/(1.355*(AG75/Semidetached!AG$17)^0.16)</f>
        <v>10835.744588197613</v>
      </c>
      <c r="AH87" s="349">
        <f>AH81/(1.355*(AH75/Semidetached!AH$17)^0.16)</f>
        <v>4900.3002138081974</v>
      </c>
      <c r="AI87" s="349">
        <f>AI81/(1.355*(AI75/Semidetached!AI$17)^0.16)</f>
        <v>10899.351781255396</v>
      </c>
      <c r="AJ87" s="349">
        <f>AJ81/(1.355*(AJ75/Semidetached!AJ$17)^0.16)</f>
        <v>6593.0043248491347</v>
      </c>
      <c r="AK87" s="349">
        <f>AK81/(1.355*(AK75/Semidetached!AK$17)^0.16)</f>
        <v>7308.9964606282301</v>
      </c>
      <c r="AL87" s="349">
        <f>AL81/(1.355*(AL75/Semidetached!AL$17)^0.16)</f>
        <v>4983.0929670349624</v>
      </c>
      <c r="AM87" s="349">
        <f>AM81/(1.355*(AM75/Semidetached!AM$17)^0.16)</f>
        <v>6062.7661262387492</v>
      </c>
      <c r="AN87" s="354">
        <f>AN81/(1.355*(AN75/Semidetached!AN$17)^0.16)</f>
        <v>6062.7661262387492</v>
      </c>
    </row>
    <row r="88" spans="1:40">
      <c r="A88" s="129"/>
      <c r="B88" s="142" t="s">
        <v>7</v>
      </c>
      <c r="C88" s="129" t="s">
        <v>261</v>
      </c>
      <c r="D88" s="345">
        <f>D82/(1.355*(D76/Semidetached!D$17)^0.16)</f>
        <v>5990.2937239197354</v>
      </c>
      <c r="E88" s="349">
        <f>E82/(1.355*(E76/Semidetached!E$17)^0.16)</f>
        <v>7738.6818213015795</v>
      </c>
      <c r="F88" s="349">
        <f>F82/(1.355*(F76/Semidetached!F$17)^0.16)</f>
        <v>3084.6868525869677</v>
      </c>
      <c r="G88" s="349">
        <f>G82/(1.355*(G76/Semidetached!G$17)^0.16)</f>
        <v>6033.8743517684279</v>
      </c>
      <c r="H88" s="349">
        <f>H82/(1.355*(H76/Semidetached!H$17)^0.16)</f>
        <v>3804.9771105836749</v>
      </c>
      <c r="I88" s="349">
        <f>I82/(1.355*(I76/Semidetached!I$17)^0.16)</f>
        <v>5060.2494664330225</v>
      </c>
      <c r="J88" s="349">
        <f>J82/(1.355*(J76/Semidetached!J$17)^0.16)</f>
        <v>4499.180121001752</v>
      </c>
      <c r="K88" s="349">
        <f>K82/(1.355*(K76/Semidetached!K$17)^0.16)</f>
        <v>3795.970998118069</v>
      </c>
      <c r="L88" s="349">
        <f>L82/(1.355*(L76/Semidetached!L$17)^0.16)</f>
        <v>3654.0799605157931</v>
      </c>
      <c r="M88" s="349">
        <f>M82/(1.355*(M76/Semidetached!M$17)^0.16)</f>
        <v>5121.4971462828889</v>
      </c>
      <c r="N88" s="349">
        <f>N82/(1.355*(N76/Semidetached!N$17)^0.16)</f>
        <v>6171.6879157334924</v>
      </c>
      <c r="O88" s="349">
        <f>O82/(1.355*(O76/Semidetached!O$17)^0.16)</f>
        <v>3768.7988365389378</v>
      </c>
      <c r="P88" s="349">
        <f>P82/(1.355*(P76/Semidetached!P$17)^0.16)</f>
        <v>3602.0761693167306</v>
      </c>
      <c r="Q88" s="349">
        <f>Q82/(1.355*(Q76/Semidetached!Q$17)^0.16)</f>
        <v>3054.7458416075488</v>
      </c>
      <c r="R88" s="349">
        <f>R82/(1.355*(R76/Semidetached!R$17)^0.16)</f>
        <v>4347.8131184502527</v>
      </c>
      <c r="S88" s="349">
        <f>S82/(1.355*(S76/Semidetached!S$17)^0.16)</f>
        <v>4437.3586045171496</v>
      </c>
      <c r="T88" s="349">
        <f>T82/(1.355*(T76/Semidetached!T$17)^0.16)</f>
        <v>5292.3101035281525</v>
      </c>
      <c r="U88" s="349">
        <f>U82/(1.355*(U76/Semidetached!U$17)^0.16)</f>
        <v>8076.0869964210615</v>
      </c>
      <c r="V88" s="349">
        <f>V82/(1.355*(V76/Semidetached!V$17)^0.16)</f>
        <v>4185.7449640579598</v>
      </c>
      <c r="W88" s="349">
        <f>W82/(1.355*(W76/Semidetached!W$17)^0.16)</f>
        <v>4257.4359031429458</v>
      </c>
      <c r="X88" s="349">
        <f>X82/(1.355*(X76/Semidetached!X$17)^0.16)</f>
        <v>3953.1908206732533</v>
      </c>
      <c r="Y88" s="349">
        <f>Y82/(1.355*(Y76/Semidetached!Y$17)^0.16)</f>
        <v>3137.4129520742508</v>
      </c>
      <c r="Z88" s="349">
        <f>Z82/(1.355*(Z76/Semidetached!Z$17)^0.16)</f>
        <v>5462.0362226288107</v>
      </c>
      <c r="AA88" s="349">
        <f>AA82/(1.355*(AA76/Semidetached!AA$17)^0.16)</f>
        <v>5597.3827843595191</v>
      </c>
      <c r="AB88" s="349">
        <f>AB82/(1.355*(AB76/Semidetached!AB$17)^0.16)</f>
        <v>6605.232400826616</v>
      </c>
      <c r="AC88" s="349">
        <f>AC82/(1.355*(AC76/Semidetached!AC$17)^0.16)</f>
        <v>4947.7891025067893</v>
      </c>
      <c r="AD88" s="349">
        <f>AD82/(1.355*(AD76/Semidetached!AD$17)^0.16)</f>
        <v>7753.9165453087926</v>
      </c>
      <c r="AE88" s="349">
        <f>AE82/(1.355*(AE76/Semidetached!AE$17)^0.16)</f>
        <v>5302.7230253722155</v>
      </c>
      <c r="AF88" s="349">
        <f>AF82/(1.355*(AF76/Semidetached!AF$17)^0.16)</f>
        <v>3054.1707287888116</v>
      </c>
      <c r="AG88" s="349">
        <f>AG82/(1.355*(AG76/Semidetached!AG$17)^0.16)</f>
        <v>6662.5643365772394</v>
      </c>
      <c r="AH88" s="349">
        <f>AH82/(1.355*(AH76/Semidetached!AH$17)^0.16)</f>
        <v>4075.4560072415675</v>
      </c>
      <c r="AI88" s="349">
        <f>AI82/(1.355*(AI76/Semidetached!AI$17)^0.16)</f>
        <v>3481.522396528901</v>
      </c>
      <c r="AJ88" s="349">
        <f>AJ82/(1.355*(AJ76/Semidetached!AJ$17)^0.16)</f>
        <v>5794.1203683989625</v>
      </c>
      <c r="AK88" s="349">
        <f>AK82/(1.355*(AK76/Semidetached!AK$17)^0.16)</f>
        <v>6430.9665583905007</v>
      </c>
      <c r="AL88" s="349">
        <f>AL82/(1.355*(AL76/Semidetached!AL$17)^0.16)</f>
        <v>3259.8564034822675</v>
      </c>
      <c r="AM88" s="349">
        <f>AM82/(1.355*(AM76/Semidetached!AM$17)^0.16)</f>
        <v>5328.131906190285</v>
      </c>
      <c r="AN88" s="354">
        <f>AN82/(1.355*(AN76/Semidetached!AN$17)^0.16)</f>
        <v>5328.131906190285</v>
      </c>
    </row>
    <row r="89" spans="1:40">
      <c r="A89" s="334" t="s">
        <v>262</v>
      </c>
      <c r="B89" s="359" t="s">
        <v>2</v>
      </c>
      <c r="C89" s="366" t="s">
        <v>190</v>
      </c>
      <c r="D89" s="375">
        <f>D83/Semidetached!D$4</f>
        <v>159.18434532796934</v>
      </c>
      <c r="E89" s="376">
        <f>E83/Semidetached!E$4</f>
        <v>153.87422137777398</v>
      </c>
      <c r="F89" s="376">
        <f>F83/Semidetached!F$4</f>
        <v>146.30208143544701</v>
      </c>
      <c r="G89" s="376">
        <f>G83/Semidetached!G$4</f>
        <v>153.31340434104465</v>
      </c>
      <c r="H89" s="376">
        <f>H83/Semidetached!H$4</f>
        <v>67.51552327581561</v>
      </c>
      <c r="I89" s="376">
        <f>I83/Semidetached!I$4</f>
        <v>139.41804330141949</v>
      </c>
      <c r="J89" s="376">
        <f>J83/Semidetached!J$4</f>
        <v>176.97946496932005</v>
      </c>
      <c r="K89" s="376">
        <f>K83/Semidetached!K$4</f>
        <v>91.948773562328356</v>
      </c>
      <c r="L89" s="376">
        <f>L83/Semidetached!L$4</f>
        <v>94.422979998740715</v>
      </c>
      <c r="M89" s="376">
        <f>M83/Semidetached!M$4</f>
        <v>131.34976784127281</v>
      </c>
      <c r="N89" s="376">
        <f>N83/Semidetached!N$4</f>
        <v>138.2523116888915</v>
      </c>
      <c r="O89" s="376">
        <f>O83/Semidetached!O$4</f>
        <v>183.5525340161644</v>
      </c>
      <c r="P89" s="376">
        <f>P83/Semidetached!P$4</f>
        <v>147.35387649254761</v>
      </c>
      <c r="Q89" s="376">
        <f>Q83/Semidetached!Q$4</f>
        <v>120.62010321451956</v>
      </c>
      <c r="R89" s="376">
        <f>R83/Semidetached!R$4</f>
        <v>141.97432860541758</v>
      </c>
      <c r="S89" s="376">
        <f>S83/Semidetached!S$4</f>
        <v>154.85613229316192</v>
      </c>
      <c r="T89" s="376">
        <f>T83/Semidetached!T$4</f>
        <v>117.24820668024024</v>
      </c>
      <c r="U89" s="376">
        <f>U83/Semidetached!U$4</f>
        <v>119.44585545081534</v>
      </c>
      <c r="V89" s="376">
        <f>V83/Semidetached!V$4</f>
        <v>148.09328288349874</v>
      </c>
      <c r="W89" s="376">
        <f>W83/Semidetached!W$4</f>
        <v>158.72151596414443</v>
      </c>
      <c r="X89" s="376">
        <f>X83/Semidetached!X$4</f>
        <v>165.62189991574903</v>
      </c>
      <c r="Y89" s="376">
        <f>Y83/Semidetached!Y$4</f>
        <v>45.559844476518379</v>
      </c>
      <c r="Z89" s="376">
        <f>Z83/Semidetached!Z$4</f>
        <v>168.04691215429639</v>
      </c>
      <c r="AA89" s="376">
        <f>AA83/Semidetached!AA$4</f>
        <v>95.926204628665673</v>
      </c>
      <c r="AB89" s="376">
        <f>AB83/Semidetached!AB$4</f>
        <v>207.3752227573149</v>
      </c>
      <c r="AC89" s="376">
        <f>AC83/Semidetached!AC$4</f>
        <v>91.223861636515196</v>
      </c>
      <c r="AD89" s="376">
        <f>AD83/Semidetached!AD$4</f>
        <v>198.87656532729486</v>
      </c>
      <c r="AE89" s="376">
        <f>AE83/Semidetached!AE$4</f>
        <v>93.133085642769899</v>
      </c>
      <c r="AF89" s="376">
        <f>AF83/Semidetached!AF$4</f>
        <v>141.32080507297238</v>
      </c>
      <c r="AG89" s="376">
        <f>AG83/Semidetached!AG$4</f>
        <v>209.30089631085144</v>
      </c>
      <c r="AH89" s="376">
        <f>AH83/Semidetached!AH$4</f>
        <v>182.06219929677897</v>
      </c>
      <c r="AI89" s="376">
        <f>AI83/Semidetached!AI$4</f>
        <v>142.79342410794328</v>
      </c>
      <c r="AJ89" s="376">
        <f>AJ83/Semidetached!AJ$4</f>
        <v>144.43982077346482</v>
      </c>
      <c r="AK89" s="376">
        <f>AK83/Semidetached!AK$4</f>
        <v>118.25633453025334</v>
      </c>
      <c r="AL89" s="376">
        <f>AL83/Semidetached!AL$4</f>
        <v>143.24286597492247</v>
      </c>
      <c r="AM89" s="376">
        <f>AM83/Semidetached!AM$4</f>
        <v>132.82333963665295</v>
      </c>
      <c r="AN89" s="377">
        <f>AN83/Semidetached!AN$4</f>
        <v>132.82333963665295</v>
      </c>
    </row>
    <row r="90" spans="1:40">
      <c r="A90" s="154"/>
      <c r="B90" s="347" t="s">
        <v>3</v>
      </c>
      <c r="C90" s="367" t="s">
        <v>190</v>
      </c>
      <c r="D90" s="369">
        <f>D84/Semidetached!D$4</f>
        <v>149.00386285658448</v>
      </c>
      <c r="E90" s="370">
        <f>E84/Semidetached!E$4</f>
        <v>153.87422137777398</v>
      </c>
      <c r="F90" s="370">
        <f>F84/Semidetached!F$4</f>
        <v>146.30208143544701</v>
      </c>
      <c r="G90" s="370">
        <f>G84/Semidetached!G$4</f>
        <v>143.64444952461074</v>
      </c>
      <c r="H90" s="370">
        <f>H84/Semidetached!H$4</f>
        <v>64.031639900449534</v>
      </c>
      <c r="I90" s="370">
        <f>I84/Semidetached!I$4</f>
        <v>111.81405208986929</v>
      </c>
      <c r="J90" s="370">
        <f>J84/Semidetached!J$4</f>
        <v>159.57698876003656</v>
      </c>
      <c r="K90" s="370">
        <f>K84/Semidetached!K$4</f>
        <v>88.314305356927619</v>
      </c>
      <c r="L90" s="370">
        <f>L84/Semidetached!L$4</f>
        <v>94.422979998740715</v>
      </c>
      <c r="M90" s="370">
        <f>M84/Semidetached!M$4</f>
        <v>117.90814440140929</v>
      </c>
      <c r="N90" s="370">
        <f>N84/Semidetached!N$4</f>
        <v>122.97299574245258</v>
      </c>
      <c r="O90" s="370">
        <f>O84/Semidetached!O$4</f>
        <v>183.5525340161644</v>
      </c>
      <c r="P90" s="370">
        <f>P84/Semidetached!P$4</f>
        <v>147.35387649254761</v>
      </c>
      <c r="Q90" s="370">
        <f>Q84/Semidetached!Q$4</f>
        <v>128.29194457686782</v>
      </c>
      <c r="R90" s="370">
        <f>R84/Semidetached!R$4</f>
        <v>141.97432860541758</v>
      </c>
      <c r="S90" s="370">
        <f>S84/Semidetached!S$4</f>
        <v>157.75953365436521</v>
      </c>
      <c r="T90" s="370">
        <f>T84/Semidetached!T$4</f>
        <v>104.266153898458</v>
      </c>
      <c r="U90" s="370">
        <f>U84/Semidetached!U$4</f>
        <v>113.20854424975835</v>
      </c>
      <c r="V90" s="370">
        <f>V84/Semidetached!V$4</f>
        <v>148.09328288349874</v>
      </c>
      <c r="W90" s="370">
        <f>W84/Semidetached!W$4</f>
        <v>163.40060167759216</v>
      </c>
      <c r="X90" s="370">
        <f>X84/Semidetached!X$4</f>
        <v>165.62189991574903</v>
      </c>
      <c r="Y90" s="370">
        <f>Y84/Semidetached!Y$4</f>
        <v>45.477215499721552</v>
      </c>
      <c r="Z90" s="370">
        <f>Z84/Semidetached!Z$4</f>
        <v>132.76397676084108</v>
      </c>
      <c r="AA90" s="370">
        <f>AA84/Semidetached!AA$4</f>
        <v>95.926204628665673</v>
      </c>
      <c r="AB90" s="370">
        <f>AB84/Semidetached!AB$4</f>
        <v>150.38368886053189</v>
      </c>
      <c r="AC90" s="370">
        <f>AC84/Semidetached!AC$4</f>
        <v>83.71938864385308</v>
      </c>
      <c r="AD90" s="370">
        <f>AD84/Semidetached!AD$4</f>
        <v>179.82130133166507</v>
      </c>
      <c r="AE90" s="370">
        <f>AE84/Semidetached!AE$4</f>
        <v>93.133085642769899</v>
      </c>
      <c r="AF90" s="370">
        <f>AF84/Semidetached!AF$4</f>
        <v>141.32080507297238</v>
      </c>
      <c r="AG90" s="370">
        <f>AG84/Semidetached!AG$4</f>
        <v>174.23001479577724</v>
      </c>
      <c r="AH90" s="370">
        <f>AH84/Semidetached!AH$4</f>
        <v>192.21262863012547</v>
      </c>
      <c r="AI90" s="370">
        <f>AI84/Semidetached!AI$4</f>
        <v>142.79342410794328</v>
      </c>
      <c r="AJ90" s="370">
        <f>AJ84/Semidetached!AJ$4</f>
        <v>144.43982077346482</v>
      </c>
      <c r="AK90" s="370">
        <f>AK84/Semidetached!AK$4</f>
        <v>118.25633453025334</v>
      </c>
      <c r="AL90" s="370">
        <f>AL84/Semidetached!AL$4</f>
        <v>143.24286597492247</v>
      </c>
      <c r="AM90" s="370">
        <f>AM84/Semidetached!AM$4</f>
        <v>132.82333963665295</v>
      </c>
      <c r="AN90" s="371">
        <f>AN84/Semidetached!AN$4</f>
        <v>132.82333963665295</v>
      </c>
    </row>
    <row r="91" spans="1:40">
      <c r="A91" s="154"/>
      <c r="B91" s="347" t="s">
        <v>4</v>
      </c>
      <c r="C91" s="367" t="s">
        <v>190</v>
      </c>
      <c r="D91" s="369">
        <f>D85/Semidetached!D$4</f>
        <v>115.80928764408812</v>
      </c>
      <c r="E91" s="370">
        <f>E85/Semidetached!E$4</f>
        <v>153.87422137777398</v>
      </c>
      <c r="F91" s="370">
        <f>F85/Semidetached!F$4</f>
        <v>136.98441440375203</v>
      </c>
      <c r="G91" s="370">
        <f>G85/Semidetached!G$4</f>
        <v>111.55465290326008</v>
      </c>
      <c r="H91" s="370">
        <f>H85/Semidetached!H$4</f>
        <v>60.51124892970617</v>
      </c>
      <c r="I91" s="370">
        <f>I85/Semidetached!I$4</f>
        <v>111.81405208986929</v>
      </c>
      <c r="J91" s="370">
        <f>J85/Semidetached!J$4</f>
        <v>95.188478979333539</v>
      </c>
      <c r="K91" s="370">
        <f>K85/Semidetached!K$4</f>
        <v>55.921964960372755</v>
      </c>
      <c r="L91" s="370">
        <f>L85/Semidetached!L$4</f>
        <v>74.266420655393944</v>
      </c>
      <c r="M91" s="370">
        <f>M85/Semidetached!M$4</f>
        <v>117.90814440140929</v>
      </c>
      <c r="N91" s="370">
        <f>N85/Semidetached!N$4</f>
        <v>98.931723693198137</v>
      </c>
      <c r="O91" s="370">
        <f>O85/Semidetached!O$4</f>
        <v>79.137636988447838</v>
      </c>
      <c r="P91" s="370">
        <f>P85/Semidetached!P$4</f>
        <v>147.35387649254761</v>
      </c>
      <c r="Q91" s="370">
        <f>Q85/Semidetached!Q$4</f>
        <v>121.03219485431288</v>
      </c>
      <c r="R91" s="370">
        <f>R85/Semidetached!R$4</f>
        <v>122.48054975952768</v>
      </c>
      <c r="S91" s="370">
        <f>S85/Semidetached!S$4</f>
        <v>128.75434187691243</v>
      </c>
      <c r="T91" s="370">
        <f>T85/Semidetached!T$4</f>
        <v>83.878199543760758</v>
      </c>
      <c r="U91" s="370">
        <f>U85/Semidetached!U$4</f>
        <v>108.03847019391776</v>
      </c>
      <c r="V91" s="370">
        <f>V85/Semidetached!V$4</f>
        <v>93.468620068341536</v>
      </c>
      <c r="W91" s="370">
        <f>W85/Semidetached!W$4</f>
        <v>85.182133128273108</v>
      </c>
      <c r="X91" s="370">
        <f>X85/Semidetached!X$4</f>
        <v>152.4041596244177</v>
      </c>
      <c r="Y91" s="370">
        <f>Y85/Semidetached!Y$4</f>
        <v>38.619559324084854</v>
      </c>
      <c r="Z91" s="370">
        <f>Z85/Semidetached!Z$4</f>
        <v>127.01945811475412</v>
      </c>
      <c r="AA91" s="370">
        <f>AA85/Semidetached!AA$4</f>
        <v>59.407716617622839</v>
      </c>
      <c r="AB91" s="370">
        <f>AB85/Semidetached!AB$4</f>
        <v>106.47482607446894</v>
      </c>
      <c r="AC91" s="370">
        <f>AC85/Semidetached!AC$4</f>
        <v>81.849395912941574</v>
      </c>
      <c r="AD91" s="370">
        <f>AD85/Semidetached!AD$4</f>
        <v>179.82130133166507</v>
      </c>
      <c r="AE91" s="370">
        <f>AE85/Semidetached!AE$4</f>
        <v>57.716537794842893</v>
      </c>
      <c r="AF91" s="370">
        <f>AF85/Semidetached!AF$4</f>
        <v>129.24722423041518</v>
      </c>
      <c r="AG91" s="370">
        <f>AG85/Semidetached!AG$4</f>
        <v>174.23001479577724</v>
      </c>
      <c r="AH91" s="370">
        <f>AH85/Semidetached!AH$4</f>
        <v>145.09481267337077</v>
      </c>
      <c r="AI91" s="370">
        <f>AI85/Semidetached!AI$4</f>
        <v>142.79342410794328</v>
      </c>
      <c r="AJ91" s="370">
        <f>AJ85/Semidetached!AJ$4</f>
        <v>144.43982077346482</v>
      </c>
      <c r="AK91" s="370">
        <f>AK85/Semidetached!AK$4</f>
        <v>118.25633453025334</v>
      </c>
      <c r="AL91" s="370">
        <f>AL85/Semidetached!AL$4</f>
        <v>134.09499987875523</v>
      </c>
      <c r="AM91" s="370">
        <f>AM85/Semidetached!AM$4</f>
        <v>132.82333963665295</v>
      </c>
      <c r="AN91" s="371">
        <f>AN85/Semidetached!AN$4</f>
        <v>132.82333963665295</v>
      </c>
    </row>
    <row r="92" spans="1:40">
      <c r="A92" s="154"/>
      <c r="B92" s="347" t="s">
        <v>5</v>
      </c>
      <c r="C92" s="367" t="s">
        <v>190</v>
      </c>
      <c r="D92" s="369">
        <f>D86/Semidetached!D$4</f>
        <v>78.376562029780331</v>
      </c>
      <c r="E92" s="370">
        <f>E86/Semidetached!E$4</f>
        <v>128.65382205245427</v>
      </c>
      <c r="F92" s="370">
        <f>F86/Semidetached!F$4</f>
        <v>115.65713563615805</v>
      </c>
      <c r="G92" s="370">
        <f>G86/Semidetached!G$4</f>
        <v>75.419839525205191</v>
      </c>
      <c r="H92" s="370">
        <f>H86/Semidetached!H$4</f>
        <v>58.279768754645488</v>
      </c>
      <c r="I92" s="370">
        <f>I86/Semidetached!I$4</f>
        <v>97.343196254625454</v>
      </c>
      <c r="J92" s="370">
        <f>J86/Semidetached!J$4</f>
        <v>71.370434901389686</v>
      </c>
      <c r="K92" s="370">
        <f>K86/Semidetached!K$4</f>
        <v>45.259705864471556</v>
      </c>
      <c r="L92" s="370">
        <f>L86/Semidetached!L$4</f>
        <v>59.01849604293222</v>
      </c>
      <c r="M92" s="370">
        <f>M86/Semidetached!M$4</f>
        <v>77.78031087953174</v>
      </c>
      <c r="N92" s="370">
        <f>N86/Semidetached!N$4</f>
        <v>81.06635045812196</v>
      </c>
      <c r="O92" s="370">
        <f>O86/Semidetached!O$4</f>
        <v>67.124797432626394</v>
      </c>
      <c r="P92" s="370">
        <f>P86/Semidetached!P$4</f>
        <v>142.69291418497866</v>
      </c>
      <c r="Q92" s="370">
        <f>Q86/Semidetached!Q$4</f>
        <v>121.03219485431288</v>
      </c>
      <c r="R92" s="370">
        <f>R86/Semidetached!R$4</f>
        <v>88.545837468023436</v>
      </c>
      <c r="S92" s="370">
        <f>S86/Semidetached!S$4</f>
        <v>81.110027106580318</v>
      </c>
      <c r="T92" s="370">
        <f>T86/Semidetached!T$4</f>
        <v>68.731634087617309</v>
      </c>
      <c r="U92" s="370">
        <f>U86/Semidetached!U$4</f>
        <v>87.171958206937319</v>
      </c>
      <c r="V92" s="370">
        <f>V86/Semidetached!V$4</f>
        <v>93.468620068341536</v>
      </c>
      <c r="W92" s="370">
        <f>W86/Semidetached!W$4</f>
        <v>75.541656738597595</v>
      </c>
      <c r="X92" s="370">
        <f>X86/Semidetached!X$4</f>
        <v>85.334535024261882</v>
      </c>
      <c r="Y92" s="370">
        <f>Y86/Semidetached!Y$4</f>
        <v>34.53622140275575</v>
      </c>
      <c r="Z92" s="370">
        <f>Z86/Semidetached!Z$4</f>
        <v>78.314173137731103</v>
      </c>
      <c r="AA92" s="370">
        <f>AA86/Semidetached!AA$4</f>
        <v>59.407716617622839</v>
      </c>
      <c r="AB92" s="370">
        <f>AB86/Semidetached!AB$4</f>
        <v>106.47482607446894</v>
      </c>
      <c r="AC92" s="370">
        <f>AC86/Semidetached!AC$4</f>
        <v>79.385318782550911</v>
      </c>
      <c r="AD92" s="370">
        <f>AD86/Semidetached!AD$4</f>
        <v>152.84544539428163</v>
      </c>
      <c r="AE92" s="370">
        <f>AE86/Semidetached!AE$4</f>
        <v>57.716537794842893</v>
      </c>
      <c r="AF92" s="370">
        <f>AF86/Semidetached!AF$4</f>
        <v>101.82071599873929</v>
      </c>
      <c r="AG92" s="370">
        <f>AG86/Semidetached!AG$4</f>
        <v>151.00540498977495</v>
      </c>
      <c r="AH92" s="370">
        <f>AH86/Semidetached!AH$4</f>
        <v>78.01895380525383</v>
      </c>
      <c r="AI92" s="370">
        <f>AI86/Semidetached!AI$4</f>
        <v>138.13713132955331</v>
      </c>
      <c r="AJ92" s="370">
        <f>AJ86/Semidetached!AJ$4</f>
        <v>122.07351349525173</v>
      </c>
      <c r="AK92" s="370">
        <f>AK86/Semidetached!AK$4</f>
        <v>99.686638277611721</v>
      </c>
      <c r="AL92" s="370">
        <f>AL86/Semidetached!AL$4</f>
        <v>113.18760330936539</v>
      </c>
      <c r="AM92" s="370">
        <f>AM86/Semidetached!AM$4</f>
        <v>112.25582846055492</v>
      </c>
      <c r="AN92" s="371">
        <f>AN86/Semidetached!AN$4</f>
        <v>112.25582846055491</v>
      </c>
    </row>
    <row r="93" spans="1:40">
      <c r="A93" s="154"/>
      <c r="B93" s="347" t="s">
        <v>6</v>
      </c>
      <c r="C93" s="367" t="s">
        <v>190</v>
      </c>
      <c r="D93" s="369">
        <f>D87/Semidetached!D$4</f>
        <v>67.24226498946804</v>
      </c>
      <c r="E93" s="370">
        <f>E87/Semidetached!E$4</f>
        <v>128.65382205245427</v>
      </c>
      <c r="F93" s="370">
        <f>F87/Semidetached!F$4</f>
        <v>86.295037723148809</v>
      </c>
      <c r="G93" s="370">
        <f>G87/Semidetached!G$4</f>
        <v>64.725176088100653</v>
      </c>
      <c r="H93" s="370">
        <f>H87/Semidetached!H$4</f>
        <v>58.279768754645488</v>
      </c>
      <c r="I93" s="370">
        <f>I87/Semidetached!I$4</f>
        <v>72.37275343848269</v>
      </c>
      <c r="J93" s="370">
        <f>J87/Semidetached!J$4</f>
        <v>43.001712068885794</v>
      </c>
      <c r="K93" s="370">
        <f>K87/Semidetached!K$4</f>
        <v>45.259705864471556</v>
      </c>
      <c r="L93" s="370">
        <f>L87/Semidetached!L$4</f>
        <v>50.159900477671897</v>
      </c>
      <c r="M93" s="370">
        <f>M87/Semidetached!M$4</f>
        <v>77.78031087953174</v>
      </c>
      <c r="N93" s="370">
        <f>N87/Semidetached!N$4</f>
        <v>79.692861248585729</v>
      </c>
      <c r="O93" s="370">
        <f>O87/Semidetached!O$4</f>
        <v>39.390051310595403</v>
      </c>
      <c r="P93" s="370">
        <f>P87/Semidetached!P$4</f>
        <v>142.69291418497866</v>
      </c>
      <c r="Q93" s="370">
        <f>Q87/Semidetached!Q$4</f>
        <v>85.198288512053637</v>
      </c>
      <c r="R93" s="370">
        <f>R87/Semidetached!R$4</f>
        <v>88.545837468023436</v>
      </c>
      <c r="S93" s="370">
        <f>S87/Semidetached!S$4</f>
        <v>68.100620223360508</v>
      </c>
      <c r="T93" s="370">
        <f>T87/Semidetached!T$4</f>
        <v>67.565375874882179</v>
      </c>
      <c r="U93" s="370">
        <f>U87/Semidetached!U$4</f>
        <v>80.244026170881085</v>
      </c>
      <c r="V93" s="370">
        <f>V87/Semidetached!V$4</f>
        <v>93.468620068341536</v>
      </c>
      <c r="W93" s="370">
        <f>W87/Semidetached!W$4</f>
        <v>66.085188746805727</v>
      </c>
      <c r="X93" s="370">
        <f>X87/Semidetached!X$4</f>
        <v>83.368830931402584</v>
      </c>
      <c r="Y93" s="370">
        <f>Y87/Semidetached!Y$4</f>
        <v>33.75020146999303</v>
      </c>
      <c r="Z93" s="370">
        <f>Z87/Semidetached!Z$4</f>
        <v>71.041403672561373</v>
      </c>
      <c r="AA93" s="370">
        <f>AA87/Semidetached!AA$4</f>
        <v>51.171976703127392</v>
      </c>
      <c r="AB93" s="370">
        <f>AB87/Semidetached!AB$4</f>
        <v>106.47482607446894</v>
      </c>
      <c r="AC93" s="370">
        <f>AC87/Semidetached!AC$4</f>
        <v>73.45718649984353</v>
      </c>
      <c r="AD93" s="370">
        <f>AD87/Semidetached!AD$4</f>
        <v>152.84544539428163</v>
      </c>
      <c r="AE93" s="370">
        <f>AE87/Semidetached!AE$4</f>
        <v>49.708169889747076</v>
      </c>
      <c r="AF93" s="370">
        <f>AF87/Semidetached!AF$4</f>
        <v>70.451060661768182</v>
      </c>
      <c r="AG93" s="370">
        <f>AG87/Semidetached!AG$4</f>
        <v>134.40088888829149</v>
      </c>
      <c r="AH93" s="370">
        <f>AH87/Semidetached!AH$4</f>
        <v>63.355681623106541</v>
      </c>
      <c r="AI93" s="370">
        <f>AI87/Semidetached!AI$4</f>
        <v>138.13713132955331</v>
      </c>
      <c r="AJ93" s="370">
        <f>AJ87/Semidetached!AJ$4</f>
        <v>113.53585096477119</v>
      </c>
      <c r="AK93" s="370">
        <f>AK87/Semidetached!AK$4</f>
        <v>92.633380794756803</v>
      </c>
      <c r="AL93" s="370">
        <f>AL87/Semidetached!AL$4</f>
        <v>84.207707339810369</v>
      </c>
      <c r="AM93" s="370">
        <f>AM87/Semidetached!AM$4</f>
        <v>104.4048020336551</v>
      </c>
      <c r="AN93" s="371">
        <f>AN87/Semidetached!AN$4</f>
        <v>104.40480203365509</v>
      </c>
    </row>
    <row r="94" spans="1:40">
      <c r="A94" s="155"/>
      <c r="B94" s="338" t="s">
        <v>7</v>
      </c>
      <c r="C94" s="368" t="s">
        <v>190</v>
      </c>
      <c r="D94" s="378">
        <f>D88/Semidetached!D$4</f>
        <v>58.528659323828592</v>
      </c>
      <c r="E94" s="379">
        <f>E88/Semidetached!E$4</f>
        <v>74.298877056295538</v>
      </c>
      <c r="F94" s="379">
        <f>F88/Semidetached!F$4</f>
        <v>56.350090895239397</v>
      </c>
      <c r="G94" s="379">
        <f>G88/Semidetached!G$4</f>
        <v>56.285199602221624</v>
      </c>
      <c r="H94" s="379">
        <f>H88/Semidetached!H$4</f>
        <v>46.726136555180616</v>
      </c>
      <c r="I94" s="379">
        <f>I88/Semidetached!I$4</f>
        <v>58.631224797290606</v>
      </c>
      <c r="J94" s="379">
        <f>J88/Semidetached!J$4</f>
        <v>47.026497224145267</v>
      </c>
      <c r="K94" s="379">
        <f>K88/Semidetached!K$4</f>
        <v>33.023609217520374</v>
      </c>
      <c r="L94" s="379">
        <f>L88/Semidetached!L$4</f>
        <v>50.159900477671897</v>
      </c>
      <c r="M94" s="379">
        <f>M88/Semidetached!M$4</f>
        <v>49.73955733811394</v>
      </c>
      <c r="N94" s="379">
        <f>N88/Semidetached!N$4</f>
        <v>72.684866156280378</v>
      </c>
      <c r="O94" s="379">
        <f>O88/Semidetached!O$4</f>
        <v>38.231098803050571</v>
      </c>
      <c r="P94" s="379">
        <f>P88/Semidetached!P$4</f>
        <v>45.652299223490864</v>
      </c>
      <c r="Q94" s="379">
        <f>Q88/Semidetached!Q$4</f>
        <v>52.604723358185488</v>
      </c>
      <c r="R94" s="379">
        <f>R88/Semidetached!R$4</f>
        <v>55.197519240252419</v>
      </c>
      <c r="S94" s="379">
        <f>S88/Semidetached!S$4</f>
        <v>41.464421970327727</v>
      </c>
      <c r="T94" s="379">
        <f>T88/Semidetached!T$4</f>
        <v>61.612269971963862</v>
      </c>
      <c r="U94" s="379">
        <f>U88/Semidetached!U$4</f>
        <v>80.244026170881085</v>
      </c>
      <c r="V94" s="379">
        <f>V88/Semidetached!V$4</f>
        <v>50.529266790517859</v>
      </c>
      <c r="W94" s="379">
        <f>W88/Semidetached!W$4</f>
        <v>53.930358896730738</v>
      </c>
      <c r="X94" s="379">
        <f>X88/Semidetached!X$4</f>
        <v>48.535781494455087</v>
      </c>
      <c r="Y94" s="379">
        <f>Y88/Semidetached!Y$4</f>
        <v>32.313736816530984</v>
      </c>
      <c r="Z94" s="379">
        <f>Z88/Semidetached!Z$4</f>
        <v>49.54579205672173</v>
      </c>
      <c r="AA94" s="379">
        <f>AA88/Semidetached!AA$4</f>
        <v>51.171976703127392</v>
      </c>
      <c r="AB94" s="379">
        <f>AB88/Semidetached!AB$4</f>
        <v>81.077454831774688</v>
      </c>
      <c r="AC94" s="379">
        <f>AC88/Semidetached!AC$4</f>
        <v>48.531054499388716</v>
      </c>
      <c r="AD94" s="379">
        <f>AD88/Semidetached!AD$4</f>
        <v>127.47268406759864</v>
      </c>
      <c r="AE94" s="379">
        <f>AE88/Semidetached!AE$4</f>
        <v>49.708169889747076</v>
      </c>
      <c r="AF94" s="379">
        <f>AF88/Semidetached!AF$4</f>
        <v>37.979575815202956</v>
      </c>
      <c r="AG94" s="379">
        <f>AG88/Semidetached!AG$4</f>
        <v>82.638951280445269</v>
      </c>
      <c r="AH94" s="379">
        <f>AH88/Semidetached!AH$4</f>
        <v>52.691321347251659</v>
      </c>
      <c r="AI94" s="379">
        <f>AI88/Semidetached!AI$4</f>
        <v>44.124414567771694</v>
      </c>
      <c r="AJ94" s="379">
        <f>AJ88/Semidetached!AJ$4</f>
        <v>99.778546199200747</v>
      </c>
      <c r="AK94" s="379">
        <f>AK88/Semidetached!AK$4</f>
        <v>81.505330764728512</v>
      </c>
      <c r="AL94" s="379">
        <f>AL88/Semidetached!AL$4</f>
        <v>55.087279288224359</v>
      </c>
      <c r="AM94" s="379">
        <f>AM88/Semidetached!AM$4</f>
        <v>91.753919793720897</v>
      </c>
      <c r="AN94" s="380">
        <f>AN88/Semidetached!AN$4</f>
        <v>91.753919793720883</v>
      </c>
    </row>
    <row r="95" spans="1:40">
      <c r="A95" s="334" t="s">
        <v>299</v>
      </c>
      <c r="B95" s="359" t="s">
        <v>2</v>
      </c>
      <c r="C95" s="366" t="s">
        <v>190</v>
      </c>
      <c r="D95" s="376">
        <f>Semidetached!D$48-D89</f>
        <v>8.2338629926577198</v>
      </c>
      <c r="E95" s="376">
        <f>Semidetached!E$48-E89</f>
        <v>11.167760862321586</v>
      </c>
      <c r="F95" s="376">
        <f>Semidetached!F$48-F89</f>
        <v>12.314891792204463</v>
      </c>
      <c r="G95" s="376">
        <f>Semidetached!G$48-G89</f>
        <v>7.6631462207242578</v>
      </c>
      <c r="H95" s="376">
        <f>Semidetached!H$48-H89</f>
        <v>2.2357082984235888</v>
      </c>
      <c r="I95" s="376">
        <f>Semidetached!I$48-I89</f>
        <v>11.669713026898023</v>
      </c>
      <c r="J95" s="376">
        <f>Semidetached!J$48-J89</f>
        <v>11.869974914283091</v>
      </c>
      <c r="K95" s="376">
        <f>Semidetached!K$48-K89</f>
        <v>8.0506986235320284</v>
      </c>
      <c r="L95" s="376">
        <f>Semidetached!L$48-L89</f>
        <v>9.7115611424485166</v>
      </c>
      <c r="M95" s="376">
        <f>Semidetached!M$48-M89</f>
        <v>10.497615289287694</v>
      </c>
      <c r="N95" s="376">
        <f>Semidetached!N$48-N89</f>
        <v>15.386308645322998</v>
      </c>
      <c r="O95" s="376">
        <f>Semidetached!O$48-O89</f>
        <v>10.358655888828963</v>
      </c>
      <c r="P95" s="376">
        <f>Semidetached!P$48-P89</f>
        <v>5.9384616520785016</v>
      </c>
      <c r="Q95" s="376">
        <f>Semidetached!Q$48-Q89</f>
        <v>21.433779179681977</v>
      </c>
      <c r="R95" s="376">
        <f>Semidetached!R$48-R89</f>
        <v>8.6847050276634548</v>
      </c>
      <c r="S95" s="376">
        <f>Semidetached!S$48-S89</f>
        <v>11.661586421877644</v>
      </c>
      <c r="T95" s="376">
        <f>Semidetached!T$48-T89</f>
        <v>12.939681328528209</v>
      </c>
      <c r="U95" s="376">
        <f>Semidetached!U$48-U89</f>
        <v>11.61101051888636</v>
      </c>
      <c r="V95" s="376">
        <f>Semidetached!V$48-V89</f>
        <v>9.9641122700401468</v>
      </c>
      <c r="W95" s="376">
        <f>Semidetached!W$48-W89</f>
        <v>19.618142484285613</v>
      </c>
      <c r="X95" s="376">
        <f>Semidetached!X$48-X89</f>
        <v>14.126817987000351</v>
      </c>
      <c r="Y95" s="376">
        <f>Semidetached!Y$48-Y89</f>
        <v>3.3753893614085655</v>
      </c>
      <c r="Z95" s="376">
        <f>Semidetached!Z$48-Z89</f>
        <v>9.9734799245267425</v>
      </c>
      <c r="AA95" s="376">
        <f>Semidetached!AA$48-AA89</f>
        <v>14.754624208303767</v>
      </c>
      <c r="AB95" s="376">
        <f>Semidetached!AB$48-AB89</f>
        <v>15.506538244678381</v>
      </c>
      <c r="AC95" s="376">
        <f>Semidetached!AC$48-AC89</f>
        <v>5.0562931878540098</v>
      </c>
      <c r="AD95" s="376">
        <f>Semidetached!AD$48-AD89</f>
        <v>12.189000207165208</v>
      </c>
      <c r="AE95" s="376">
        <f>Semidetached!AE$48-AE89</f>
        <v>14.579022327223072</v>
      </c>
      <c r="AF95" s="376">
        <f>Semidetached!AF$48-AF89</f>
        <v>8.4795220449612998</v>
      </c>
      <c r="AG95" s="376">
        <f>Semidetached!AG$48-AG89</f>
        <v>15.813363344309039</v>
      </c>
      <c r="AH95" s="376">
        <f>Semidetached!AH$48-AH89</f>
        <v>16.134188461837965</v>
      </c>
      <c r="AI95" s="376">
        <f>Semidetached!AI$48-AI89</f>
        <v>5.9312674756838248</v>
      </c>
      <c r="AJ95" s="376">
        <f>Semidetached!AJ$48-AJ89</f>
        <v>15.044662405967159</v>
      </c>
      <c r="AK95" s="376">
        <f>Semidetached!AK$48-AK89</f>
        <v>9.8800234539302068</v>
      </c>
      <c r="AL95" s="376">
        <f>Semidetached!AL$48-AL89</f>
        <v>11.405216114766091</v>
      </c>
      <c r="AM95" s="376">
        <f>Semidetached!AM$48-AM89</f>
        <v>13.834704957164234</v>
      </c>
      <c r="AN95" s="377">
        <f>Semidetached!AN$48-AN89</f>
        <v>13.834704957164234</v>
      </c>
    </row>
    <row r="96" spans="1:40">
      <c r="A96" s="154"/>
      <c r="B96" s="347" t="s">
        <v>3</v>
      </c>
      <c r="C96" s="367" t="s">
        <v>190</v>
      </c>
      <c r="D96" s="370">
        <f>Semidetached!D$49-D90</f>
        <v>8.3349374811171799</v>
      </c>
      <c r="E96" s="370">
        <f>Semidetached!E$49-E90</f>
        <v>11.167760862321586</v>
      </c>
      <c r="F96" s="370">
        <f>Semidetached!F$49-F90</f>
        <v>12.314891792204463</v>
      </c>
      <c r="G96" s="370">
        <f>Semidetached!G$49-G90</f>
        <v>7.7559557815878293</v>
      </c>
      <c r="H96" s="370">
        <f>Semidetached!H$49-H90</f>
        <v>2.2579317771050853</v>
      </c>
      <c r="I96" s="370">
        <f>Semidetached!I$49-I90</f>
        <v>12.143420020813807</v>
      </c>
      <c r="J96" s="370">
        <f>Semidetached!J$49-J90</f>
        <v>8.5114026653624535</v>
      </c>
      <c r="K96" s="370">
        <f>Semidetached!K$49-K90</f>
        <v>7.9454546039306706</v>
      </c>
      <c r="L96" s="370">
        <f>Semidetached!L$49-L90</f>
        <v>9.7115611424485166</v>
      </c>
      <c r="M96" s="370">
        <f>Semidetached!M$49-M90</f>
        <v>10.70519390000203</v>
      </c>
      <c r="N96" s="370">
        <f>Semidetached!N$49-N90</f>
        <v>15.710471884202121</v>
      </c>
      <c r="O96" s="370">
        <f>Semidetached!O$49-O90</f>
        <v>10.358655888828963</v>
      </c>
      <c r="P96" s="370">
        <f>Semidetached!P$49-P90</f>
        <v>5.9384616520785016</v>
      </c>
      <c r="Q96" s="370">
        <f>Semidetached!Q$49-Q90</f>
        <v>21.206107848605939</v>
      </c>
      <c r="R96" s="370">
        <f>Semidetached!R$49-R90</f>
        <v>8.6847050276634548</v>
      </c>
      <c r="S96" s="370">
        <f>Semidetached!S$49-S90</f>
        <v>11.622127993970736</v>
      </c>
      <c r="T96" s="370">
        <f>Semidetached!T$49-T90</f>
        <v>13.212987163313116</v>
      </c>
      <c r="U96" s="370">
        <f>Semidetached!U$49-U90</f>
        <v>11.723561150649914</v>
      </c>
      <c r="V96" s="370">
        <f>Semidetached!V$49-V90</f>
        <v>9.9641122700401468</v>
      </c>
      <c r="W96" s="370">
        <f>Semidetached!W$49-W90</f>
        <v>15.975557853529551</v>
      </c>
      <c r="X96" s="370">
        <f>Semidetached!X$49-X90</f>
        <v>12.758140133280051</v>
      </c>
      <c r="Y96" s="370">
        <f>Semidetached!Y$49-Y90</f>
        <v>3.3765077597473194</v>
      </c>
      <c r="Z96" s="370">
        <f>Semidetached!Z$49-Z90</f>
        <v>9.2560272162027672</v>
      </c>
      <c r="AA96" s="370">
        <f>Semidetached!AA$49-AA90</f>
        <v>14.45734738677622</v>
      </c>
      <c r="AB96" s="370">
        <f>Semidetached!AB$49-AB90</f>
        <v>11.573176850306936</v>
      </c>
      <c r="AC96" s="370">
        <f>Semidetached!AC$49-AC90</f>
        <v>5.2848903149367601</v>
      </c>
      <c r="AD96" s="370">
        <f>Semidetached!AD$49-AD90</f>
        <v>11.78334335867595</v>
      </c>
      <c r="AE96" s="370">
        <f>Semidetached!AE$49-AE90</f>
        <v>14.28534497091475</v>
      </c>
      <c r="AF96" s="370">
        <f>Semidetached!AF$49-AF90</f>
        <v>8.4795220449612998</v>
      </c>
      <c r="AG96" s="370">
        <f>Semidetached!AG$49-AG90</f>
        <v>16.348488120495773</v>
      </c>
      <c r="AH96" s="370">
        <f>Semidetached!AH$49-AH90</f>
        <v>15.668762215237479</v>
      </c>
      <c r="AI96" s="370">
        <f>Semidetached!AI$49-AI90</f>
        <v>5.9312674756838248</v>
      </c>
      <c r="AJ96" s="370">
        <f>Semidetached!AJ$49-AJ90</f>
        <v>15.044662405967159</v>
      </c>
      <c r="AK96" s="370">
        <f>Semidetached!AK$49-AK90</f>
        <v>9.8800234539302068</v>
      </c>
      <c r="AL96" s="370">
        <f>Semidetached!AL$49-AL90</f>
        <v>11.405216114766091</v>
      </c>
      <c r="AM96" s="370">
        <f>Semidetached!AM$49-AM90</f>
        <v>13.834704957164234</v>
      </c>
      <c r="AN96" s="371">
        <f>Semidetached!AN$49-AN90</f>
        <v>13.834704957164234</v>
      </c>
    </row>
    <row r="97" spans="1:40">
      <c r="A97" s="154"/>
      <c r="B97" s="347" t="s">
        <v>4</v>
      </c>
      <c r="C97" s="367" t="s">
        <v>190</v>
      </c>
      <c r="D97" s="370">
        <f>Semidetached!D$50-D91</f>
        <v>7.7913286992095294</v>
      </c>
      <c r="E97" s="370">
        <f>Semidetached!E$50-E91</f>
        <v>11.167760862321586</v>
      </c>
      <c r="F97" s="370">
        <f>Semidetached!F$50-F91</f>
        <v>12.462569997403875</v>
      </c>
      <c r="G97" s="370">
        <f>Semidetached!G$50-G91</f>
        <v>7.2514222358158236</v>
      </c>
      <c r="H97" s="370">
        <f>Semidetached!H$50-H91</f>
        <v>5.7029293372065837</v>
      </c>
      <c r="I97" s="370">
        <f>Semidetached!I$50-I91</f>
        <v>12.143420020813807</v>
      </c>
      <c r="J97" s="370">
        <f>Semidetached!J$50-J91</f>
        <v>10.019184253654629</v>
      </c>
      <c r="K97" s="370">
        <f>Semidetached!K$50-K91</f>
        <v>8.4809907693773212</v>
      </c>
      <c r="L97" s="370">
        <f>Semidetached!L$50-L91</f>
        <v>10.135831547873323</v>
      </c>
      <c r="M97" s="370">
        <f>Semidetached!M$50-M91</f>
        <v>10.70519390000203</v>
      </c>
      <c r="N97" s="370">
        <f>Semidetached!N$50-N91</f>
        <v>14.76263600270677</v>
      </c>
      <c r="O97" s="370">
        <f>Semidetached!O$50-O91</f>
        <v>9.7034064053298152</v>
      </c>
      <c r="P97" s="370">
        <f>Semidetached!P$50-P91</f>
        <v>5.9384616520785016</v>
      </c>
      <c r="Q97" s="370">
        <f>Semidetached!Q$50-Q91</f>
        <v>13.500866514647782</v>
      </c>
      <c r="R97" s="370">
        <f>Semidetached!R$50-R91</f>
        <v>8.9229652388636254</v>
      </c>
      <c r="S97" s="370">
        <f>Semidetached!S$50-S91</f>
        <v>12.058874842126556</v>
      </c>
      <c r="T97" s="370">
        <f>Semidetached!T$50-T91</f>
        <v>12.416100363147692</v>
      </c>
      <c r="U97" s="370">
        <f>Semidetached!U$50-U91</f>
        <v>9.9271372387496513</v>
      </c>
      <c r="V97" s="370">
        <f>Semidetached!V$50-V91</f>
        <v>8.2678984908872337</v>
      </c>
      <c r="W97" s="370">
        <f>Semidetached!W$50-W91</f>
        <v>13.545659022029469</v>
      </c>
      <c r="X97" s="370">
        <f>Semidetached!X$50-X91</f>
        <v>12.952525916500377</v>
      </c>
      <c r="Y97" s="370">
        <f>Semidetached!Y$50-Y91</f>
        <v>3.4782991073355092</v>
      </c>
      <c r="Z97" s="370">
        <f>Semidetached!Z$50-Z91</f>
        <v>9.3311568822757067</v>
      </c>
      <c r="AA97" s="370">
        <f>Semidetached!AA$50-AA91</f>
        <v>15.439122552543012</v>
      </c>
      <c r="AB97" s="370">
        <f>Semidetached!AB$50-AB91</f>
        <v>10.150239394878156</v>
      </c>
      <c r="AC97" s="370">
        <f>Semidetached!AC$50-AC91</f>
        <v>5.3068481216449896</v>
      </c>
      <c r="AD97" s="370">
        <f>Semidetached!AD$50-AD91</f>
        <v>11.78334335867595</v>
      </c>
      <c r="AE97" s="370">
        <f>Semidetached!AE$50-AE91</f>
        <v>15.251588563359221</v>
      </c>
      <c r="AF97" s="370">
        <f>Semidetached!AF$50-AF91</f>
        <v>7.1495038411753455</v>
      </c>
      <c r="AG97" s="370">
        <f>Semidetached!AG$50-AG91</f>
        <v>16.348488120495773</v>
      </c>
      <c r="AH97" s="370">
        <f>Semidetached!AH$50-AH91</f>
        <v>14.857950016538524</v>
      </c>
      <c r="AI97" s="370">
        <f>Semidetached!AI$50-AI91</f>
        <v>5.9312674756838248</v>
      </c>
      <c r="AJ97" s="370">
        <f>Semidetached!AJ$50-AJ91</f>
        <v>15.044662405967159</v>
      </c>
      <c r="AK97" s="370">
        <f>Semidetached!AK$50-AK91</f>
        <v>9.8800234539302068</v>
      </c>
      <c r="AL97" s="370">
        <f>Semidetached!AL$50-AL91</f>
        <v>11.542737868700016</v>
      </c>
      <c r="AM97" s="370">
        <f>Semidetached!AM$50-AM91</f>
        <v>13.834704957164234</v>
      </c>
      <c r="AN97" s="371">
        <f>Semidetached!AN$50-AN91</f>
        <v>13.834704957164234</v>
      </c>
    </row>
    <row r="98" spans="1:40">
      <c r="A98" s="154"/>
      <c r="B98" s="347" t="s">
        <v>5</v>
      </c>
      <c r="C98" s="367" t="s">
        <v>190</v>
      </c>
      <c r="D98" s="370">
        <f>Semidetached!D$51-D92</f>
        <v>5.8456493698663792</v>
      </c>
      <c r="E98" s="370">
        <f>Semidetached!E$51-E92</f>
        <v>10.322390598576021</v>
      </c>
      <c r="F98" s="370">
        <f>Semidetached!F$51-F92</f>
        <v>12.847703636366901</v>
      </c>
      <c r="G98" s="370">
        <f>Semidetached!G$51-G92</f>
        <v>5.4417054347550931</v>
      </c>
      <c r="H98" s="370">
        <f>Semidetached!H$51-H92</f>
        <v>5.7416881257322814</v>
      </c>
      <c r="I98" s="370">
        <f>Semidetached!I$51-I92</f>
        <v>12.446990249141621</v>
      </c>
      <c r="J98" s="370">
        <f>Semidetached!J$51-J92</f>
        <v>9.4293850252384601</v>
      </c>
      <c r="K98" s="370">
        <f>Semidetached!K$51-K92</f>
        <v>8.3690534918190451</v>
      </c>
      <c r="L98" s="370">
        <f>Semidetached!L$51-L92</f>
        <v>4.5798865647423952</v>
      </c>
      <c r="M98" s="370">
        <f>Semidetached!M$51-M92</f>
        <v>6.0877240237584545</v>
      </c>
      <c r="N98" s="370">
        <f>Semidetached!N$51-N92</f>
        <v>12.04831715367726</v>
      </c>
      <c r="O98" s="370">
        <f>Semidetached!O$51-O92</f>
        <v>8.3911075451035799</v>
      </c>
      <c r="P98" s="370">
        <f>Semidetached!P$51-P92</f>
        <v>5.9740618973481787</v>
      </c>
      <c r="Q98" s="370">
        <f>Semidetached!Q$51-Q92</f>
        <v>13.500866514647782</v>
      </c>
      <c r="R98" s="370">
        <f>Semidetached!R$51-R92</f>
        <v>9.4627108689862069</v>
      </c>
      <c r="S98" s="370">
        <f>Semidetached!S$51-S92</f>
        <v>9.9446552321140445</v>
      </c>
      <c r="T98" s="370">
        <f>Semidetached!T$51-T92</f>
        <v>10.133211042559822</v>
      </c>
      <c r="U98" s="370">
        <f>Semidetached!U$51-U92</f>
        <v>6.6130820434909481</v>
      </c>
      <c r="V98" s="370">
        <f>Semidetached!V$51-V92</f>
        <v>8.2678984908872337</v>
      </c>
      <c r="W98" s="370">
        <f>Semidetached!W$51-W92</f>
        <v>7.9989044692084974</v>
      </c>
      <c r="X98" s="370">
        <f>Semidetached!X$51-X92</f>
        <v>8.9756965121350447</v>
      </c>
      <c r="Y98" s="370">
        <f>Semidetached!Y$51-Y92</f>
        <v>3.5490823884676885</v>
      </c>
      <c r="Z98" s="370">
        <f>Semidetached!Z$51-Z92</f>
        <v>9.9175557609925846</v>
      </c>
      <c r="AA98" s="370">
        <f>Semidetached!AA$51-AA92</f>
        <v>14.690856956447348</v>
      </c>
      <c r="AB98" s="370">
        <f>Semidetached!AB$51-AB92</f>
        <v>10.150239394878156</v>
      </c>
      <c r="AC98" s="370">
        <f>Semidetached!AC$51-AC92</f>
        <v>5.4860574741652357</v>
      </c>
      <c r="AD98" s="370">
        <f>Semidetached!AD$51-AD92</f>
        <v>11.486802061601821</v>
      </c>
      <c r="AE98" s="370">
        <f>Semidetached!AE$51-AE92</f>
        <v>14.512625544078759</v>
      </c>
      <c r="AF98" s="370">
        <f>Semidetached!AF$51-AF92</f>
        <v>4.9051022384526561</v>
      </c>
      <c r="AG98" s="370">
        <f>Semidetached!AG$51-AG92</f>
        <v>12.406579811116643</v>
      </c>
      <c r="AH98" s="370">
        <f>Semidetached!AH$51-AH92</f>
        <v>16.100470936323319</v>
      </c>
      <c r="AI98" s="370">
        <f>Semidetached!AI$51-AI92</f>
        <v>5.9679181229708433</v>
      </c>
      <c r="AJ98" s="370">
        <f>Semidetached!AJ$51-AJ92</f>
        <v>15.503118659755174</v>
      </c>
      <c r="AK98" s="370">
        <f>Semidetached!AK$51-AK92</f>
        <v>10.189654222196936</v>
      </c>
      <c r="AL98" s="370">
        <f>Semidetached!AL$51-AL92</f>
        <v>11.901089506577719</v>
      </c>
      <c r="AM98" s="370">
        <f>Semidetached!AM$51-AM92</f>
        <v>14.25629015700278</v>
      </c>
      <c r="AN98" s="371">
        <f>Semidetached!AN$51-AN92</f>
        <v>14.25629015700278</v>
      </c>
    </row>
    <row r="99" spans="1:40">
      <c r="A99" s="154"/>
      <c r="B99" s="347" t="s">
        <v>6</v>
      </c>
      <c r="C99" s="367" t="s">
        <v>190</v>
      </c>
      <c r="D99" s="370">
        <f>Semidetached!D$52-D93</f>
        <v>4.9723163539212294</v>
      </c>
      <c r="E99" s="370">
        <f>Semidetached!E$52-E93</f>
        <v>10.322390598576021</v>
      </c>
      <c r="F99" s="370">
        <f>Semidetached!F$52-F93</f>
        <v>13.530310485578809</v>
      </c>
      <c r="G99" s="370">
        <f>Semidetached!G$52-G93</f>
        <v>4.6284566626243731</v>
      </c>
      <c r="H99" s="370">
        <f>Semidetached!H$52-H93</f>
        <v>1.0669798016891647</v>
      </c>
      <c r="I99" s="370">
        <f>Semidetached!I$52-I93</f>
        <v>10.700968200182658</v>
      </c>
      <c r="J99" s="370">
        <f>Semidetached!J$52-J93</f>
        <v>5.1439376193005586</v>
      </c>
      <c r="K99" s="370">
        <f>Semidetached!K$52-K93</f>
        <v>8.3690534918190451</v>
      </c>
      <c r="L99" s="370">
        <f>Semidetached!L$52-L93</f>
        <v>4.0841909494042596</v>
      </c>
      <c r="M99" s="370">
        <f>Semidetached!M$52-M93</f>
        <v>6.0877240237584545</v>
      </c>
      <c r="N99" s="370">
        <f>Semidetached!N$52-N93</f>
        <v>12.084425548874407</v>
      </c>
      <c r="O99" s="370">
        <f>Semidetached!O$52-O93</f>
        <v>4.8604127109530779</v>
      </c>
      <c r="P99" s="370">
        <f>Semidetached!P$52-P93</f>
        <v>5.9740618973481787</v>
      </c>
      <c r="Q99" s="370">
        <f>Semidetached!Q$52-Q93</f>
        <v>10.735378839110822</v>
      </c>
      <c r="R99" s="370">
        <f>Semidetached!R$52-R93</f>
        <v>9.4627108689862069</v>
      </c>
      <c r="S99" s="370">
        <f>Semidetached!S$52-S93</f>
        <v>10.256163626036056</v>
      </c>
      <c r="T99" s="370">
        <f>Semidetached!T$52-T93</f>
        <v>10.163645423727885</v>
      </c>
      <c r="U99" s="370">
        <f>Semidetached!U$52-U93</f>
        <v>6.7134696624669203</v>
      </c>
      <c r="V99" s="370">
        <f>Semidetached!V$52-V93</f>
        <v>8.2678984908872337</v>
      </c>
      <c r="W99" s="370">
        <f>Semidetached!W$52-W93</f>
        <v>5.7836206841283797</v>
      </c>
      <c r="X99" s="370">
        <f>Semidetached!X$52-X93</f>
        <v>9.013270463619719</v>
      </c>
      <c r="Y99" s="370">
        <f>Semidetached!Y$52-Y93</f>
        <v>3.5637789095399057</v>
      </c>
      <c r="Z99" s="370">
        <f>Semidetached!Z$52-Z93</f>
        <v>8.3047353934489792</v>
      </c>
      <c r="AA99" s="370">
        <f>Semidetached!AA$52-AA93</f>
        <v>15.056722284785856</v>
      </c>
      <c r="AB99" s="370">
        <f>Semidetached!AB$52-AB93</f>
        <v>10.150239394878156</v>
      </c>
      <c r="AC99" s="370">
        <f>Semidetached!AC$52-AC93</f>
        <v>5.4129582308997186</v>
      </c>
      <c r="AD99" s="370">
        <f>Semidetached!AD$52-AD93</f>
        <v>11.486802061601821</v>
      </c>
      <c r="AE99" s="370">
        <f>Semidetached!AE$52-AE93</f>
        <v>14.873596482130687</v>
      </c>
      <c r="AF99" s="370">
        <f>Semidetached!AF$52-AF93</f>
        <v>5.2488727271963143</v>
      </c>
      <c r="AG99" s="370">
        <f>Semidetached!AG$52-AG93</f>
        <v>12.671076628276239</v>
      </c>
      <c r="AH99" s="370">
        <f>Semidetached!AH$52-AH93</f>
        <v>8.658918872493949</v>
      </c>
      <c r="AI99" s="370">
        <f>Semidetached!AI$52-AI93</f>
        <v>5.9679181229708433</v>
      </c>
      <c r="AJ99" s="370">
        <f>Semidetached!AJ$52-AJ93</f>
        <v>16.362981985091096</v>
      </c>
      <c r="AK99" s="370">
        <f>Semidetached!AK$52-AK93</f>
        <v>10.75941848285396</v>
      </c>
      <c r="AL99" s="370">
        <f>Semidetached!AL$52-AL93</f>
        <v>12.542242360354052</v>
      </c>
      <c r="AM99" s="370">
        <f>Semidetached!AM$52-AM93</f>
        <v>15.046999518802124</v>
      </c>
      <c r="AN99" s="371">
        <f>Semidetached!AN$52-AN93</f>
        <v>15.046999518802124</v>
      </c>
    </row>
    <row r="100" spans="1:40">
      <c r="A100" s="155"/>
      <c r="B100" s="338" t="s">
        <v>7</v>
      </c>
      <c r="C100" s="368" t="s">
        <v>190</v>
      </c>
      <c r="D100" s="379">
        <f>Semidetached!D$53-D94</f>
        <v>4.5664006192758961</v>
      </c>
      <c r="E100" s="379">
        <f>Semidetached!E$53-E94</f>
        <v>7.0610087378961026</v>
      </c>
      <c r="F100" s="379">
        <f>Semidetached!F$53-F94</f>
        <v>11.509338574748433</v>
      </c>
      <c r="G100" s="379">
        <f>Semidetached!G$53-G94</f>
        <v>4.2513846163551818</v>
      </c>
      <c r="H100" s="379">
        <f>Semidetached!H$53-H94</f>
        <v>2.3940406160433554</v>
      </c>
      <c r="I100" s="379">
        <f>Semidetached!I$53-I94</f>
        <v>6.7030740206342685</v>
      </c>
      <c r="J100" s="379">
        <f>Semidetached!J$53-J94</f>
        <v>5.062400353816237</v>
      </c>
      <c r="K100" s="379">
        <f>Semidetached!K$53-K94</f>
        <v>5.4573681740016298</v>
      </c>
      <c r="L100" s="379">
        <f>Semidetached!L$53-L94</f>
        <v>4.0841909494042596</v>
      </c>
      <c r="M100" s="379">
        <f>Semidetached!M$53-M94</f>
        <v>6.104219934959076</v>
      </c>
      <c r="N100" s="379">
        <f>Semidetached!N$53-N94</f>
        <v>9.5203153472721169</v>
      </c>
      <c r="O100" s="379">
        <f>Semidetached!O$53-O94</f>
        <v>4.5864293501315245</v>
      </c>
      <c r="P100" s="379">
        <f>Semidetached!P$53-P94</f>
        <v>7.343710758190376</v>
      </c>
      <c r="Q100" s="379">
        <f>Semidetached!Q$53-Q94</f>
        <v>7.7192322055147713</v>
      </c>
      <c r="R100" s="379">
        <f>Semidetached!R$53-R94</f>
        <v>4.7660420339826217</v>
      </c>
      <c r="S100" s="379">
        <f>Semidetached!S$53-S94</f>
        <v>7.9779448687599697</v>
      </c>
      <c r="T100" s="379">
        <f>Semidetached!T$53-T94</f>
        <v>8.0072533335704108</v>
      </c>
      <c r="U100" s="379">
        <f>Semidetached!U$53-U94</f>
        <v>4.1920965936727299</v>
      </c>
      <c r="V100" s="379">
        <f>Semidetached!V$53-V94</f>
        <v>7.7950749457545001</v>
      </c>
      <c r="W100" s="379">
        <f>Semidetached!W$53-W94</f>
        <v>4.11758190989692</v>
      </c>
      <c r="X100" s="379">
        <f>Semidetached!X$53-X94</f>
        <v>8.3801829747185863</v>
      </c>
      <c r="Y100" s="379">
        <f>Semidetached!Y$53-Y94</f>
        <v>3.5916462768032176</v>
      </c>
      <c r="Z100" s="379">
        <f>Semidetached!Z$53-Z94</f>
        <v>5.444643321118086</v>
      </c>
      <c r="AA100" s="379">
        <f>Semidetached!AA$53-AA94</f>
        <v>9.3168930356542248</v>
      </c>
      <c r="AB100" s="379">
        <f>Semidetached!AB$53-AB94</f>
        <v>10.656742750939344</v>
      </c>
      <c r="AC100" s="379">
        <f>Semidetached!AC$53-AC94</f>
        <v>4.1209059278008482</v>
      </c>
      <c r="AD100" s="379">
        <f>Semidetached!AD$53-AD94</f>
        <v>5.1125465120858564</v>
      </c>
      <c r="AE100" s="379">
        <f>Semidetached!AE$53-AE94</f>
        <v>9.2048203088127991</v>
      </c>
      <c r="AF100" s="379">
        <f>Semidetached!AF$53-AF94</f>
        <v>4.0283988146910801</v>
      </c>
      <c r="AG100" s="379">
        <f>Semidetached!AG$53-AG94</f>
        <v>6.4963093097126148</v>
      </c>
      <c r="AH100" s="379">
        <f>Semidetached!AH$53-AH94</f>
        <v>7.2611548368651242</v>
      </c>
      <c r="AI100" s="379">
        <f>Semidetached!AI$53-AI94</f>
        <v>7.3358762671407192</v>
      </c>
      <c r="AJ100" s="379">
        <f>Semidetached!AJ$53-AJ94</f>
        <v>13.359951057627754</v>
      </c>
      <c r="AK100" s="379">
        <f>Semidetached!AK$53-AK94</f>
        <v>8.7815096750694295</v>
      </c>
      <c r="AL100" s="379">
        <f>Semidetached!AL$53-AL94</f>
        <v>10.667457851092983</v>
      </c>
      <c r="AM100" s="379">
        <f>Semidetached!AM$53-AM94</f>
        <v>12.28548545237706</v>
      </c>
      <c r="AN100" s="380">
        <f>Semidetached!AN$53-AN94</f>
        <v>12.28548545237706</v>
      </c>
    </row>
    <row r="101" spans="1:40">
      <c r="A101" s="5"/>
      <c r="B101" s="5"/>
      <c r="C101" s="5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164"/>
      <c r="AN101" s="164"/>
    </row>
    <row r="102" spans="1:40">
      <c r="A102" s="5" t="s">
        <v>216</v>
      </c>
      <c r="B102" s="5"/>
      <c r="C102" s="5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64"/>
    </row>
    <row r="103" spans="1:40" ht="15" customHeight="1">
      <c r="A103" s="938" t="s">
        <v>123</v>
      </c>
      <c r="B103" s="939"/>
      <c r="C103" s="138" t="s">
        <v>76</v>
      </c>
      <c r="D103" s="194">
        <v>1</v>
      </c>
      <c r="E103" s="195">
        <v>1</v>
      </c>
      <c r="F103" s="195">
        <v>1</v>
      </c>
      <c r="G103" s="195">
        <v>1</v>
      </c>
      <c r="H103" s="195">
        <v>1</v>
      </c>
      <c r="I103" s="195">
        <v>1</v>
      </c>
      <c r="J103" s="195">
        <v>1</v>
      </c>
      <c r="K103" s="195">
        <v>1</v>
      </c>
      <c r="L103" s="195">
        <v>1</v>
      </c>
      <c r="M103" s="195">
        <v>1</v>
      </c>
      <c r="N103" s="195">
        <v>1</v>
      </c>
      <c r="O103" s="195">
        <v>1</v>
      </c>
      <c r="P103" s="195">
        <v>1</v>
      </c>
      <c r="Q103" s="195">
        <v>1</v>
      </c>
      <c r="R103" s="195">
        <v>1</v>
      </c>
      <c r="S103" s="195">
        <v>1</v>
      </c>
      <c r="T103" s="195">
        <v>1</v>
      </c>
      <c r="U103" s="195">
        <v>1</v>
      </c>
      <c r="V103" s="195">
        <v>1</v>
      </c>
      <c r="W103" s="195">
        <v>1</v>
      </c>
      <c r="X103" s="195">
        <v>1</v>
      </c>
      <c r="Y103" s="195">
        <v>1</v>
      </c>
      <c r="Z103" s="195">
        <v>1</v>
      </c>
      <c r="AA103" s="195">
        <v>1</v>
      </c>
      <c r="AB103" s="195">
        <v>1</v>
      </c>
      <c r="AC103" s="195">
        <v>1</v>
      </c>
      <c r="AD103" s="195">
        <v>1</v>
      </c>
      <c r="AE103" s="195">
        <v>1</v>
      </c>
      <c r="AF103" s="195">
        <v>1</v>
      </c>
      <c r="AG103" s="195">
        <v>1</v>
      </c>
      <c r="AH103" s="195">
        <v>1</v>
      </c>
      <c r="AI103" s="195">
        <v>1</v>
      </c>
      <c r="AJ103" s="195">
        <v>1</v>
      </c>
      <c r="AK103" s="195">
        <v>1</v>
      </c>
      <c r="AL103" s="195">
        <v>1</v>
      </c>
      <c r="AM103" s="195">
        <v>1</v>
      </c>
      <c r="AN103" s="196">
        <v>1</v>
      </c>
    </row>
    <row r="104" spans="1:40">
      <c r="A104" s="151" t="s">
        <v>193</v>
      </c>
      <c r="B104" s="141" t="s">
        <v>2</v>
      </c>
      <c r="C104" s="144" t="s">
        <v>195</v>
      </c>
      <c r="D104" s="170">
        <f>((LOOKUP(Semidetached!D$2,'Ceiling-U'!$A$4:$A$40,'Ceiling-U'!$Q$4:$Q$40)*Semidetached!D$15)+(LOOKUP(Semidetached!D$2,'Floor-U'!$A$4:$A$40,'Floor-U'!$E$4:$E$40)*Semidetached!D$16)+(LOOKUP(Semidetached!D$2,'Wall-U'!$A$4:$A$40,'Wall-U'!$E$4:$E$40)*Semidetached!D$13)+(LOOKUP(Semidetached!D$2,'Window-U'!$A$4:$A$40,'Window-U'!$E$4:$E$40)*Semidetached!D$22))*D103</f>
        <v>1498.9325530426813</v>
      </c>
      <c r="E104" s="171">
        <f>((LOOKUP(Semidetached!E$2,'Ceiling-U'!$A$4:$A$40,'Ceiling-U'!$Q$4:$Q$40)*Semidetached!E$15)+(LOOKUP(Semidetached!E$2,'Floor-U'!$A$4:$A$40,'Floor-U'!$E$4:$E$40)*Semidetached!E$16)+(LOOKUP(Semidetached!E$2,'Wall-U'!$A$4:$A$40,'Wall-U'!$E$4:$E$40)*Semidetached!E$13)+(LOOKUP(Semidetached!E$2,'Window-U'!$A$4:$A$40,'Window-U'!$E$4:$E$40)*Semidetached!E$22))*E103</f>
        <v>1690.6237348675015</v>
      </c>
      <c r="F104" s="171">
        <f>((LOOKUP(Semidetached!F$2,'Ceiling-U'!$A$4:$A$40,'Ceiling-U'!$Q$4:$Q$40)*Semidetached!F$15)+(LOOKUP(Semidetached!F$2,'Floor-U'!$A$4:$A$40,'Floor-U'!$E$4:$E$40)*Semidetached!F$16)+(LOOKUP(Semidetached!F$2,'Wall-U'!$A$4:$A$40,'Wall-U'!$E$4:$E$40)*Semidetached!F$13)+(LOOKUP(Semidetached!F$2,'Window-U'!$A$4:$A$40,'Window-U'!$E$4:$E$40)*Semidetached!F$22))*F103</f>
        <v>1006.3099589015087</v>
      </c>
      <c r="G104" s="171">
        <f>((LOOKUP(Semidetached!G$2,'Ceiling-U'!$A$4:$A$40,'Ceiling-U'!$Q$4:$Q$40)*Semidetached!G$15)+(LOOKUP(Semidetached!G$2,'Floor-U'!$A$4:$A$40,'Floor-U'!$E$4:$E$40)*Semidetached!G$16)+(LOOKUP(Semidetached!G$2,'Wall-U'!$A$4:$A$40,'Wall-U'!$E$4:$E$40)*Semidetached!G$13)+(LOOKUP(Semidetached!G$2,'Window-U'!$A$4:$A$40,'Window-U'!$E$4:$E$40)*Semidetached!G$22))*G103</f>
        <v>1545.2439084322893</v>
      </c>
      <c r="H104" s="171">
        <f>((LOOKUP(Semidetached!H$2,'Ceiling-U'!$A$4:$A$40,'Ceiling-U'!$Q$4:$Q$40)*Semidetached!H$15)+(LOOKUP(Semidetached!H$2,'Floor-U'!$A$4:$A$40,'Floor-U'!$E$4:$E$40)*Semidetached!H$16)+(LOOKUP(Semidetached!H$2,'Wall-U'!$A$4:$A$40,'Wall-U'!$E$4:$E$40)*Semidetached!H$13)+(LOOKUP(Semidetached!H$2,'Window-U'!$A$4:$A$40,'Window-U'!$E$4:$E$40)*Semidetached!H$22))*H103</f>
        <v>2087.2663747746055</v>
      </c>
      <c r="I104" s="171">
        <f>((LOOKUP(Semidetached!I$2,'Ceiling-U'!$A$4:$A$40,'Ceiling-U'!$Q$4:$Q$40)*Semidetached!I$15)+(LOOKUP(Semidetached!I$2,'Floor-U'!$A$4:$A$40,'Floor-U'!$E$4:$E$40)*Semidetached!I$16)+(LOOKUP(Semidetached!I$2,'Wall-U'!$A$4:$A$40,'Wall-U'!$E$4:$E$40)*Semidetached!I$13)+(LOOKUP(Semidetached!I$2,'Window-U'!$A$4:$A$40,'Window-U'!$E$4:$E$40)*Semidetached!I$22))*I103</f>
        <v>1077.7954106624015</v>
      </c>
      <c r="J104" s="171">
        <f>((LOOKUP(Semidetached!J$2,'Ceiling-U'!$A$4:$A$40,'Ceiling-U'!$Q$4:$Q$40)*Semidetached!J$15)+(LOOKUP(Semidetached!J$2,'Floor-U'!$A$4:$A$40,'Floor-U'!$E$4:$E$40)*Semidetached!J$16)+(LOOKUP(Semidetached!J$2,'Wall-U'!$A$4:$A$40,'Wall-U'!$E$4:$E$40)*Semidetached!J$13)+(LOOKUP(Semidetached!J$2,'Window-U'!$A$4:$A$40,'Window-U'!$E$4:$E$40)*Semidetached!J$22))*J103</f>
        <v>1561.596640220559</v>
      </c>
      <c r="K104" s="171">
        <f>((LOOKUP(Semidetached!K$2,'Ceiling-U'!$A$4:$A$40,'Ceiling-U'!$Q$4:$Q$40)*Semidetached!K$15)+(LOOKUP(Semidetached!K$2,'Floor-U'!$A$4:$A$40,'Floor-U'!$E$4:$E$40)*Semidetached!K$16)+(LOOKUP(Semidetached!K$2,'Wall-U'!$A$4:$A$40,'Wall-U'!$E$4:$E$40)*Semidetached!K$13)+(LOOKUP(Semidetached!K$2,'Window-U'!$A$4:$A$40,'Window-U'!$E$4:$E$40)*Semidetached!K$22))*K103</f>
        <v>991.52804424162798</v>
      </c>
      <c r="L104" s="171">
        <f>((LOOKUP(Semidetached!L$2,'Ceiling-U'!$A$4:$A$40,'Ceiling-U'!$Q$4:$Q$40)*Semidetached!L$15)+(LOOKUP(Semidetached!L$2,'Floor-U'!$A$4:$A$40,'Floor-U'!$E$4:$E$40)*Semidetached!L$16)+(LOOKUP(Semidetached!L$2,'Wall-U'!$A$4:$A$40,'Wall-U'!$E$4:$E$40)*Semidetached!L$13)+(LOOKUP(Semidetached!L$2,'Window-U'!$A$4:$A$40,'Window-U'!$E$4:$E$40)*Semidetached!L$22))*L103</f>
        <v>468.05108532737177</v>
      </c>
      <c r="M104" s="171">
        <f>((LOOKUP(Semidetached!M$2,'Ceiling-U'!$A$4:$A$40,'Ceiling-U'!$Q$4:$Q$40)*Semidetached!M$15)+(LOOKUP(Semidetached!M$2,'Floor-U'!$A$4:$A$40,'Floor-U'!$E$4:$E$40)*Semidetached!M$16)+(LOOKUP(Semidetached!M$2,'Wall-U'!$A$4:$A$40,'Wall-U'!$E$4:$E$40)*Semidetached!M$13)+(LOOKUP(Semidetached!M$2,'Window-U'!$A$4:$A$40,'Window-U'!$E$4:$E$40)*Semidetached!M$22))*M103</f>
        <v>2633.6723456955997</v>
      </c>
      <c r="N104" s="171">
        <f>((LOOKUP(Semidetached!N$2,'Ceiling-U'!$A$4:$A$40,'Ceiling-U'!$Q$4:$Q$40)*Semidetached!N$15)+(LOOKUP(Semidetached!N$2,'Floor-U'!$A$4:$A$40,'Floor-U'!$E$4:$E$40)*Semidetached!N$16)+(LOOKUP(Semidetached!N$2,'Wall-U'!$A$4:$A$40,'Wall-U'!$E$4:$E$40)*Semidetached!N$13)+(LOOKUP(Semidetached!N$2,'Window-U'!$A$4:$A$40,'Window-U'!$E$4:$E$40)*Semidetached!N$22))*N103</f>
        <v>652.96739609461804</v>
      </c>
      <c r="O104" s="171">
        <f>((LOOKUP(Semidetached!O$2,'Ceiling-U'!$A$4:$A$40,'Ceiling-U'!$Q$4:$Q$40)*Semidetached!O$15)+(LOOKUP(Semidetached!O$2,'Floor-U'!$A$4:$A$40,'Floor-U'!$E$4:$E$40)*Semidetached!O$16)+(LOOKUP(Semidetached!O$2,'Wall-U'!$A$4:$A$40,'Wall-U'!$E$4:$E$40)*Semidetached!O$13)+(LOOKUP(Semidetached!O$2,'Window-U'!$A$4:$A$40,'Window-U'!$E$4:$E$40)*Semidetached!O$22))*O103</f>
        <v>2328.9397165895307</v>
      </c>
      <c r="P104" s="171">
        <f>((LOOKUP(Semidetached!P$2,'Ceiling-U'!$A$4:$A$40,'Ceiling-U'!$Q$4:$Q$40)*Semidetached!P$15)+(LOOKUP(Semidetached!P$2,'Floor-U'!$A$4:$A$40,'Floor-U'!$E$4:$E$40)*Semidetached!P$16)+(LOOKUP(Semidetached!P$2,'Wall-U'!$A$4:$A$40,'Wall-U'!$E$4:$E$40)*Semidetached!P$13)+(LOOKUP(Semidetached!P$2,'Window-U'!$A$4:$A$40,'Window-U'!$E$4:$E$40)*Semidetached!P$22))*P103</f>
        <v>1461.9792432143959</v>
      </c>
      <c r="Q104" s="171">
        <f>((LOOKUP(Semidetached!Q$2,'Ceiling-U'!$A$4:$A$40,'Ceiling-U'!$Q$4:$Q$40)*Semidetached!Q$15)+(LOOKUP(Semidetached!Q$2,'Floor-U'!$A$4:$A$40,'Floor-U'!$E$4:$E$40)*Semidetached!Q$16)+(LOOKUP(Semidetached!Q$2,'Wall-U'!$A$4:$A$40,'Wall-U'!$E$4:$E$40)*Semidetached!Q$13)+(LOOKUP(Semidetached!Q$2,'Window-U'!$A$4:$A$40,'Window-U'!$E$4:$E$40)*Semidetached!Q$22))*Q103</f>
        <v>982.79994108872393</v>
      </c>
      <c r="R104" s="171">
        <f>((LOOKUP(Semidetached!R$2,'Ceiling-U'!$A$4:$A$40,'Ceiling-U'!$Q$4:$Q$40)*Semidetached!R$15)+(LOOKUP(Semidetached!R$2,'Floor-U'!$A$4:$A$40,'Floor-U'!$E$4:$E$40)*Semidetached!R$16)+(LOOKUP(Semidetached!R$2,'Wall-U'!$A$4:$A$40,'Wall-U'!$E$4:$E$40)*Semidetached!R$13)+(LOOKUP(Semidetached!R$2,'Window-U'!$A$4:$A$40,'Window-U'!$E$4:$E$40)*Semidetached!R$22))*R103</f>
        <v>1229.9670117816554</v>
      </c>
      <c r="S104" s="171">
        <f>((LOOKUP(Semidetached!S$2,'Ceiling-U'!$A$4:$A$40,'Ceiling-U'!$Q$4:$Q$40)*Semidetached!S$15)+(LOOKUP(Semidetached!S$2,'Floor-U'!$A$4:$A$40,'Floor-U'!$E$4:$E$40)*Semidetached!S$16)+(LOOKUP(Semidetached!S$2,'Wall-U'!$A$4:$A$40,'Wall-U'!$E$4:$E$40)*Semidetached!S$13)+(LOOKUP(Semidetached!S$2,'Window-U'!$A$4:$A$40,'Window-U'!$E$4:$E$40)*Semidetached!S$22))*S103</f>
        <v>1552.2981444283746</v>
      </c>
      <c r="T104" s="171">
        <f>((LOOKUP(Semidetached!T$2,'Ceiling-U'!$A$4:$A$40,'Ceiling-U'!$Q$4:$Q$40)*Semidetached!T$15)+(LOOKUP(Semidetached!T$2,'Floor-U'!$A$4:$A$40,'Floor-U'!$E$4:$E$40)*Semidetached!T$16)+(LOOKUP(Semidetached!T$2,'Wall-U'!$A$4:$A$40,'Wall-U'!$E$4:$E$40)*Semidetached!T$13)+(LOOKUP(Semidetached!T$2,'Window-U'!$A$4:$A$40,'Window-U'!$E$4:$E$40)*Semidetached!T$22))*T103</f>
        <v>657.63808756195476</v>
      </c>
      <c r="U104" s="171">
        <f>((LOOKUP(Semidetached!U$2,'Ceiling-U'!$A$4:$A$40,'Ceiling-U'!$Q$4:$Q$40)*Semidetached!U$15)+(LOOKUP(Semidetached!U$2,'Floor-U'!$A$4:$A$40,'Floor-U'!$E$4:$E$40)*Semidetached!U$16)+(LOOKUP(Semidetached!U$2,'Wall-U'!$A$4:$A$40,'Wall-U'!$E$4:$E$40)*Semidetached!U$13)+(LOOKUP(Semidetached!U$2,'Window-U'!$A$4:$A$40,'Window-U'!$E$4:$E$40)*Semidetached!U$22))*U103</f>
        <v>2002.9237253542753</v>
      </c>
      <c r="V104" s="171">
        <f>((LOOKUP(Semidetached!V$2,'Ceiling-U'!$A$4:$A$40,'Ceiling-U'!$Q$4:$Q$40)*Semidetached!V$15)+(LOOKUP(Semidetached!V$2,'Floor-U'!$A$4:$A$40,'Floor-U'!$E$4:$E$40)*Semidetached!V$16)+(LOOKUP(Semidetached!V$2,'Wall-U'!$A$4:$A$40,'Wall-U'!$E$4:$E$40)*Semidetached!V$13)+(LOOKUP(Semidetached!V$2,'Window-U'!$A$4:$A$40,'Window-U'!$E$4:$E$40)*Semidetached!V$22))*V103</f>
        <v>944.94205604128626</v>
      </c>
      <c r="W104" s="171">
        <f>((LOOKUP(Semidetached!W$2,'Ceiling-U'!$A$4:$A$40,'Ceiling-U'!$Q$4:$Q$40)*Semidetached!W$15)+(LOOKUP(Semidetached!W$2,'Floor-U'!$A$4:$A$40,'Floor-U'!$E$4:$E$40)*Semidetached!W$16)+(LOOKUP(Semidetached!W$2,'Wall-U'!$A$4:$A$40,'Wall-U'!$E$4:$E$40)*Semidetached!W$13)+(LOOKUP(Semidetached!W$2,'Window-U'!$A$4:$A$40,'Window-U'!$E$4:$E$40)*Semidetached!W$22))*W103</f>
        <v>863.61323670778859</v>
      </c>
      <c r="X104" s="171">
        <f>((LOOKUP(Semidetached!X$2,'Ceiling-U'!$A$4:$A$40,'Ceiling-U'!$Q$4:$Q$40)*Semidetached!X$15)+(LOOKUP(Semidetached!X$2,'Floor-U'!$A$4:$A$40,'Floor-U'!$E$4:$E$40)*Semidetached!X$16)+(LOOKUP(Semidetached!X$2,'Wall-U'!$A$4:$A$40,'Wall-U'!$E$4:$E$40)*Semidetached!X$13)+(LOOKUP(Semidetached!X$2,'Window-U'!$A$4:$A$40,'Window-U'!$E$4:$E$40)*Semidetached!X$22))*X103</f>
        <v>950.39033650620513</v>
      </c>
      <c r="Y104" s="171">
        <f>((LOOKUP(Semidetached!Y$2,'Ceiling-U'!$A$4:$A$40,'Ceiling-U'!$Q$4:$Q$40)*Semidetached!Y$15)+(LOOKUP(Semidetached!Y$2,'Floor-U'!$A$4:$A$40,'Floor-U'!$E$4:$E$40)*Semidetached!Y$16)+(LOOKUP(Semidetached!Y$2,'Wall-U'!$A$4:$A$40,'Wall-U'!$E$4:$E$40)*Semidetached!Y$13)+(LOOKUP(Semidetached!Y$2,'Window-U'!$A$4:$A$40,'Window-U'!$E$4:$E$40)*Semidetached!Y$22))*Y103</f>
        <v>2868.9577713031172</v>
      </c>
      <c r="Z104" s="171">
        <f>((LOOKUP(Semidetached!Z$2,'Ceiling-U'!$A$4:$A$40,'Ceiling-U'!$Q$4:$Q$40)*Semidetached!Z$15)+(LOOKUP(Semidetached!Z$2,'Floor-U'!$A$4:$A$40,'Floor-U'!$E$4:$E$40)*Semidetached!Z$16)+(LOOKUP(Semidetached!Z$2,'Wall-U'!$A$4:$A$40,'Wall-U'!$E$4:$E$40)*Semidetached!Z$13)+(LOOKUP(Semidetached!Z$2,'Window-U'!$A$4:$A$40,'Window-U'!$E$4:$E$40)*Semidetached!Z$22))*Z103</f>
        <v>1760.5906615755043</v>
      </c>
      <c r="AA104" s="171">
        <f>((LOOKUP(Semidetached!AA$2,'Ceiling-U'!$A$4:$A$40,'Ceiling-U'!$Q$4:$Q$40)*Semidetached!AA$15)+(LOOKUP(Semidetached!AA$2,'Floor-U'!$A$4:$A$40,'Floor-U'!$E$4:$E$40)*Semidetached!AA$16)+(LOOKUP(Semidetached!AA$2,'Wall-U'!$A$4:$A$40,'Wall-U'!$E$4:$E$40)*Semidetached!AA$13)+(LOOKUP(Semidetached!AA$2,'Window-U'!$A$4:$A$40,'Window-U'!$E$4:$E$40)*Semidetached!AA$22))*AA103</f>
        <v>565.19653861265897</v>
      </c>
      <c r="AB104" s="171">
        <f>((LOOKUP(Semidetached!AB$2,'Ceiling-U'!$A$4:$A$40,'Ceiling-U'!$Q$4:$Q$40)*Semidetached!AB$15)+(LOOKUP(Semidetached!AB$2,'Floor-U'!$A$4:$A$40,'Floor-U'!$E$4:$E$40)*Semidetached!AB$16)+(LOOKUP(Semidetached!AB$2,'Wall-U'!$A$4:$A$40,'Wall-U'!$E$4:$E$40)*Semidetached!AB$13)+(LOOKUP(Semidetached!AB$2,'Window-U'!$A$4:$A$40,'Window-U'!$E$4:$E$40)*Semidetached!AB$22))*AB103</f>
        <v>1438.6498123109595</v>
      </c>
      <c r="AC104" s="171">
        <f>((LOOKUP(Semidetached!AC$2,'Ceiling-U'!$A$4:$A$40,'Ceiling-U'!$Q$4:$Q$40)*Semidetached!AC$15)+(LOOKUP(Semidetached!AC$2,'Floor-U'!$A$4:$A$40,'Floor-U'!$E$4:$E$40)*Semidetached!AC$16)+(LOOKUP(Semidetached!AC$2,'Wall-U'!$A$4:$A$40,'Wall-U'!$E$4:$E$40)*Semidetached!AC$13)+(LOOKUP(Semidetached!AC$2,'Window-U'!$A$4:$A$40,'Window-U'!$E$4:$E$40)*Semidetached!AC$22))*AC103</f>
        <v>2071.2996978232413</v>
      </c>
      <c r="AD104" s="171">
        <f>((LOOKUP(Semidetached!AD$2,'Ceiling-U'!$A$4:$A$40,'Ceiling-U'!$Q$4:$Q$40)*Semidetached!AD$15)+(LOOKUP(Semidetached!AD$2,'Floor-U'!$A$4:$A$40,'Floor-U'!$E$4:$E$40)*Semidetached!AD$16)+(LOOKUP(Semidetached!AD$2,'Wall-U'!$A$4:$A$40,'Wall-U'!$E$4:$E$40)*Semidetached!AD$13)+(LOOKUP(Semidetached!AD$2,'Window-U'!$A$4:$A$40,'Window-U'!$E$4:$E$40)*Semidetached!AD$22))*AD103</f>
        <v>1321.6723180225745</v>
      </c>
      <c r="AE104" s="171">
        <f>((LOOKUP(Semidetached!AE$2,'Ceiling-U'!$A$4:$A$40,'Ceiling-U'!$Q$4:$Q$40)*Semidetached!AE$15)+(LOOKUP(Semidetached!AE$2,'Floor-U'!$A$4:$A$40,'Floor-U'!$E$4:$E$40)*Semidetached!AE$16)+(LOOKUP(Semidetached!AE$2,'Wall-U'!$A$4:$A$40,'Wall-U'!$E$4:$E$40)*Semidetached!AE$13)+(LOOKUP(Semidetached!AE$2,'Window-U'!$A$4:$A$40,'Window-U'!$E$4:$E$40)*Semidetached!AE$22))*AE103</f>
        <v>557.62771370090411</v>
      </c>
      <c r="AF104" s="171">
        <f>((LOOKUP(Semidetached!AF$2,'Ceiling-U'!$A$4:$A$40,'Ceiling-U'!$Q$4:$Q$40)*Semidetached!AF$15)+(LOOKUP(Semidetached!AF$2,'Floor-U'!$A$4:$A$40,'Floor-U'!$E$4:$E$40)*Semidetached!AF$16)+(LOOKUP(Semidetached!AF$2,'Wall-U'!$A$4:$A$40,'Wall-U'!$E$4:$E$40)*Semidetached!AF$13)+(LOOKUP(Semidetached!AF$2,'Window-U'!$A$4:$A$40,'Window-U'!$E$4:$E$40)*Semidetached!AF$22))*AF103</f>
        <v>1171.2221719068623</v>
      </c>
      <c r="AG104" s="171">
        <f>((LOOKUP(Semidetached!AG$2,'Ceiling-U'!$A$4:$A$40,'Ceiling-U'!$Q$4:$Q$40)*Semidetached!AG$15)+(LOOKUP(Semidetached!AG$2,'Floor-U'!$A$4:$A$40,'Floor-U'!$E$4:$E$40)*Semidetached!AG$16)+(LOOKUP(Semidetached!AG$2,'Wall-U'!$A$4:$A$40,'Wall-U'!$E$4:$E$40)*Semidetached!AG$13)+(LOOKUP(Semidetached!AG$2,'Window-U'!$A$4:$A$40,'Window-U'!$E$4:$E$40)*Semidetached!AG$22))*AG103</f>
        <v>1539.5824687129507</v>
      </c>
      <c r="AH104" s="171">
        <f>((LOOKUP(Semidetached!AH$2,'Ceiling-U'!$A$4:$A$40,'Ceiling-U'!$Q$4:$Q$40)*Semidetached!AH$15)+(LOOKUP(Semidetached!AH$2,'Floor-U'!$A$4:$A$40,'Floor-U'!$E$4:$E$40)*Semidetached!AH$16)+(LOOKUP(Semidetached!AH$2,'Wall-U'!$A$4:$A$40,'Wall-U'!$E$4:$E$40)*Semidetached!AH$13)+(LOOKUP(Semidetached!AH$2,'Window-U'!$A$4:$A$40,'Window-U'!$E$4:$E$40)*Semidetached!AH$22))*AH103</f>
        <v>1317.2702785847216</v>
      </c>
      <c r="AI104" s="171">
        <f>((LOOKUP(Semidetached!AI$2,'Ceiling-U'!$A$4:$A$40,'Ceiling-U'!$Q$4:$Q$40)*Semidetached!AI$15)+(LOOKUP(Semidetached!AI$2,'Floor-U'!$A$4:$A$40,'Floor-U'!$E$4:$E$40)*Semidetached!AI$16)+(LOOKUP(Semidetached!AI$2,'Wall-U'!$A$4:$A$40,'Wall-U'!$E$4:$E$40)*Semidetached!AI$13)+(LOOKUP(Semidetached!AI$2,'Window-U'!$A$4:$A$40,'Window-U'!$E$4:$E$40)*Semidetached!AI$22))*AI103</f>
        <v>2110.0594114387</v>
      </c>
      <c r="AJ104" s="171">
        <f>((LOOKUP(Semidetached!AJ$2,'Ceiling-U'!$A$4:$A$40,'Ceiling-U'!$Q$4:$Q$40)*Semidetached!AJ$15)+(LOOKUP(Semidetached!AJ$2,'Floor-U'!$A$4:$A$40,'Floor-U'!$E$4:$E$40)*Semidetached!AJ$16)+(LOOKUP(Semidetached!AJ$2,'Wall-U'!$A$4:$A$40,'Wall-U'!$E$4:$E$40)*Semidetached!AJ$13)+(LOOKUP(Semidetached!AJ$2,'Window-U'!$A$4:$A$40,'Window-U'!$E$4:$E$40)*Semidetached!AJ$22))*AJ103</f>
        <v>975.22160614597351</v>
      </c>
      <c r="AK104" s="171">
        <f>((LOOKUP(Semidetached!AK$2,'Ceiling-U'!$A$4:$A$40,'Ceiling-U'!$Q$4:$Q$40)*Semidetached!AK$15)+(LOOKUP(Semidetached!AK$2,'Floor-U'!$A$4:$A$40,'Floor-U'!$E$4:$E$40)*Semidetached!AK$16)+(LOOKUP(Semidetached!AK$2,'Wall-U'!$A$4:$A$40,'Wall-U'!$E$4:$E$40)*Semidetached!AK$13)+(LOOKUP(Semidetached!AK$2,'Window-U'!$A$4:$A$40,'Window-U'!$E$4:$E$40)*Semidetached!AK$22))*AK103</f>
        <v>1168.3253612480753</v>
      </c>
      <c r="AL104" s="171">
        <f>((LOOKUP(Semidetached!AL$2,'Ceiling-U'!$A$4:$A$40,'Ceiling-U'!$Q$4:$Q$40)*Semidetached!AL$15)+(LOOKUP(Semidetached!AL$2,'Floor-U'!$A$4:$A$40,'Floor-U'!$E$4:$E$40)*Semidetached!AL$16)+(LOOKUP(Semidetached!AL$2,'Wall-U'!$A$4:$A$40,'Wall-U'!$E$4:$E$40)*Semidetached!AL$13)+(LOOKUP(Semidetached!AL$2,'Window-U'!$A$4:$A$40,'Window-U'!$E$4:$E$40)*Semidetached!AL$22))*AL103</f>
        <v>1054.0662551165522</v>
      </c>
      <c r="AM104" s="171">
        <f>((LOOKUP(Semidetached!AM$2,'Ceiling-U'!$A$4:$A$40,'Ceiling-U'!$Q$4:$Q$40)*Semidetached!AM$15)+(LOOKUP(Semidetached!AM$2,'Floor-U'!$A$4:$A$40,'Floor-U'!$E$4:$E$40)*Semidetached!AM$16)+(LOOKUP(Semidetached!AM$2,'Wall-U'!$A$4:$A$40,'Wall-U'!$E$4:$E$40)*Semidetached!AM$13)+(LOOKUP(Semidetached!AM$2,'Window-U'!$A$4:$A$40,'Window-U'!$E$4:$E$40)*Semidetached!AM$22))*AM103</f>
        <v>975.22160614597351</v>
      </c>
      <c r="AN104" s="172">
        <f>((LOOKUP(Semidetached!AN$2,'Ceiling-U'!$A$4:$A$40,'Ceiling-U'!$Q$4:$Q$40)*Semidetached!AN$15)+(LOOKUP(Semidetached!AN$2,'Floor-U'!$A$4:$A$40,'Floor-U'!$E$4:$E$40)*Semidetached!AN$16)+(LOOKUP(Semidetached!AN$2,'Wall-U'!$A$4:$A$40,'Wall-U'!$E$4:$E$40)*Semidetached!AN$13)+(LOOKUP(Semidetached!AN$2,'Window-U'!$A$4:$A$40,'Window-U'!$E$4:$E$40)*Semidetached!AN$22))*AN103</f>
        <v>975.22160614597351</v>
      </c>
    </row>
    <row r="105" spans="1:40">
      <c r="A105" s="372"/>
      <c r="B105" s="142" t="s">
        <v>3</v>
      </c>
      <c r="C105" s="131" t="s">
        <v>195</v>
      </c>
      <c r="D105" s="176">
        <f>((LOOKUP(Semidetached!D$2,'Ceiling-U'!$A$4:$A$40,'Ceiling-U'!$R$4:$R$40)*Semidetached!D$15)+(LOOKUP(Semidetached!D$2,'Floor-U'!$A$4:$A$40,'Floor-U'!$F$4:$F$40)*Semidetached!D$16)+(LOOKUP(Semidetached!D$2,'Wall-U'!$A$4:$A$40,'Wall-U'!$F$4:$F$40)*Semidetached!D$13)+(LOOKUP(Semidetached!D$2,'Window-U'!$A$4:$A$40,'Window-U'!$F$4:$F$40)*Semidetached!D$22))*D103</f>
        <v>1427.031898949369</v>
      </c>
      <c r="E105" s="177">
        <f>((LOOKUP(Semidetached!E$2,'Ceiling-U'!$A$4:$A$40,'Ceiling-U'!$R$4:$R$40)*Semidetached!E$15)+(LOOKUP(Semidetached!E$2,'Floor-U'!$A$4:$A$40,'Floor-U'!$F$4:$F$40)*Semidetached!E$16)+(LOOKUP(Semidetached!E$2,'Wall-U'!$A$4:$A$40,'Wall-U'!$F$4:$F$40)*Semidetached!E$13)+(LOOKUP(Semidetached!E$2,'Window-U'!$A$4:$A$40,'Window-U'!$F$4:$F$40)*Semidetached!E$22))*E103</f>
        <v>1690.6237348675015</v>
      </c>
      <c r="F105" s="177">
        <f>((LOOKUP(Semidetached!F$2,'Ceiling-U'!$A$4:$A$40,'Ceiling-U'!$R$4:$R$40)*Semidetached!F$15)+(LOOKUP(Semidetached!F$2,'Floor-U'!$A$4:$A$40,'Floor-U'!$F$4:$F$40)*Semidetached!F$16)+(LOOKUP(Semidetached!F$2,'Wall-U'!$A$4:$A$40,'Wall-U'!$F$4:$F$40)*Semidetached!F$13)+(LOOKUP(Semidetached!F$2,'Window-U'!$A$4:$A$40,'Window-U'!$F$4:$F$40)*Semidetached!F$22))*F103</f>
        <v>1006.3099589015087</v>
      </c>
      <c r="G105" s="177">
        <f>((LOOKUP(Semidetached!G$2,'Ceiling-U'!$A$4:$A$40,'Ceiling-U'!$R$4:$R$40)*Semidetached!G$15)+(LOOKUP(Semidetached!G$2,'Floor-U'!$A$4:$A$40,'Floor-U'!$F$4:$F$40)*Semidetached!G$16)+(LOOKUP(Semidetached!G$2,'Wall-U'!$A$4:$A$40,'Wall-U'!$F$4:$F$40)*Semidetached!G$13)+(LOOKUP(Semidetached!G$2,'Window-U'!$A$4:$A$40,'Window-U'!$F$4:$F$40)*Semidetached!G$22))*G103</f>
        <v>1473.1929430108194</v>
      </c>
      <c r="H105" s="177">
        <f>((LOOKUP(Semidetached!H$2,'Ceiling-U'!$A$4:$A$40,'Ceiling-U'!$R$4:$R$40)*Semidetached!H$15)+(LOOKUP(Semidetached!H$2,'Floor-U'!$A$4:$A$40,'Floor-U'!$F$4:$F$40)*Semidetached!H$16)+(LOOKUP(Semidetached!H$2,'Wall-U'!$A$4:$A$40,'Wall-U'!$F$4:$F$40)*Semidetached!H$13)+(LOOKUP(Semidetached!H$2,'Window-U'!$A$4:$A$40,'Window-U'!$F$4:$F$40)*Semidetached!H$22))*H103</f>
        <v>1916.1583087466067</v>
      </c>
      <c r="I105" s="177">
        <f>((LOOKUP(Semidetached!I$2,'Ceiling-U'!$A$4:$A$40,'Ceiling-U'!$R$4:$R$40)*Semidetached!I$15)+(LOOKUP(Semidetached!I$2,'Floor-U'!$A$4:$A$40,'Floor-U'!$F$4:$F$40)*Semidetached!I$16)+(LOOKUP(Semidetached!I$2,'Wall-U'!$A$4:$A$40,'Wall-U'!$F$4:$F$40)*Semidetached!I$13)+(LOOKUP(Semidetached!I$2,'Window-U'!$A$4:$A$40,'Window-U'!$F$4:$F$40)*Semidetached!I$22))*I103</f>
        <v>902.60989543824769</v>
      </c>
      <c r="J105" s="177">
        <f>((LOOKUP(Semidetached!J$2,'Ceiling-U'!$A$4:$A$40,'Ceiling-U'!$R$4:$R$40)*Semidetached!J$15)+(LOOKUP(Semidetached!J$2,'Floor-U'!$A$4:$A$40,'Floor-U'!$F$4:$F$40)*Semidetached!J$16)+(LOOKUP(Semidetached!J$2,'Wall-U'!$A$4:$A$40,'Wall-U'!$F$4:$F$40)*Semidetached!J$13)+(LOOKUP(Semidetached!J$2,'Window-U'!$A$4:$A$40,'Window-U'!$F$4:$F$40)*Semidetached!J$22))*J103</f>
        <v>1316.8264479320685</v>
      </c>
      <c r="K105" s="177">
        <f>((LOOKUP(Semidetached!K$2,'Ceiling-U'!$A$4:$A$40,'Ceiling-U'!$R$4:$R$40)*Semidetached!K$15)+(LOOKUP(Semidetached!K$2,'Floor-U'!$A$4:$A$40,'Floor-U'!$F$4:$F$40)*Semidetached!K$16)+(LOOKUP(Semidetached!K$2,'Wall-U'!$A$4:$A$40,'Wall-U'!$F$4:$F$40)*Semidetached!K$13)+(LOOKUP(Semidetached!K$2,'Window-U'!$A$4:$A$40,'Window-U'!$F$4:$F$40)*Semidetached!K$22))*K103</f>
        <v>960.20670221865976</v>
      </c>
      <c r="L105" s="177">
        <f>((LOOKUP(Semidetached!L$2,'Ceiling-U'!$A$4:$A$40,'Ceiling-U'!$R$4:$R$40)*Semidetached!L$15)+(LOOKUP(Semidetached!L$2,'Floor-U'!$A$4:$A$40,'Floor-U'!$F$4:$F$40)*Semidetached!L$16)+(LOOKUP(Semidetached!L$2,'Wall-U'!$A$4:$A$40,'Wall-U'!$F$4:$F$40)*Semidetached!L$13)+(LOOKUP(Semidetached!L$2,'Window-U'!$A$4:$A$40,'Window-U'!$F$4:$F$40)*Semidetached!L$22))*L103</f>
        <v>468.05108532737177</v>
      </c>
      <c r="M105" s="177">
        <f>((LOOKUP(Semidetached!M$2,'Ceiling-U'!$A$4:$A$40,'Ceiling-U'!$R$4:$R$40)*Semidetached!M$15)+(LOOKUP(Semidetached!M$2,'Floor-U'!$A$4:$A$40,'Floor-U'!$F$4:$F$40)*Semidetached!M$16)+(LOOKUP(Semidetached!M$2,'Wall-U'!$A$4:$A$40,'Wall-U'!$F$4:$F$40)*Semidetached!M$13)+(LOOKUP(Semidetached!M$2,'Window-U'!$A$4:$A$40,'Window-U'!$F$4:$F$40)*Semidetached!M$22))*M103</f>
        <v>2414.2448430400782</v>
      </c>
      <c r="N105" s="177">
        <f>((LOOKUP(Semidetached!N$2,'Ceiling-U'!$A$4:$A$40,'Ceiling-U'!$R$4:$R$40)*Semidetached!N$15)+(LOOKUP(Semidetached!N$2,'Floor-U'!$A$4:$A$40,'Floor-U'!$F$4:$F$40)*Semidetached!N$16)+(LOOKUP(Semidetached!N$2,'Wall-U'!$A$4:$A$40,'Wall-U'!$F$4:$F$40)*Semidetached!N$13)+(LOOKUP(Semidetached!N$2,'Window-U'!$A$4:$A$40,'Window-U'!$F$4:$F$40)*Semidetached!N$22))*N103</f>
        <v>575.7567605165824</v>
      </c>
      <c r="O105" s="177">
        <f>((LOOKUP(Semidetached!O$2,'Ceiling-U'!$A$4:$A$40,'Ceiling-U'!$R$4:$R$40)*Semidetached!O$15)+(LOOKUP(Semidetached!O$2,'Floor-U'!$A$4:$A$40,'Floor-U'!$F$4:$F$40)*Semidetached!O$16)+(LOOKUP(Semidetached!O$2,'Wall-U'!$A$4:$A$40,'Wall-U'!$F$4:$F$40)*Semidetached!O$13)+(LOOKUP(Semidetached!O$2,'Window-U'!$A$4:$A$40,'Window-U'!$F$4:$F$40)*Semidetached!O$22))*O103</f>
        <v>2328.9397165895307</v>
      </c>
      <c r="P105" s="177">
        <f>((LOOKUP(Semidetached!P$2,'Ceiling-U'!$A$4:$A$40,'Ceiling-U'!$R$4:$R$40)*Semidetached!P$15)+(LOOKUP(Semidetached!P$2,'Floor-U'!$A$4:$A$40,'Floor-U'!$F$4:$F$40)*Semidetached!P$16)+(LOOKUP(Semidetached!P$2,'Wall-U'!$A$4:$A$40,'Wall-U'!$F$4:$F$40)*Semidetached!P$13)+(LOOKUP(Semidetached!P$2,'Window-U'!$A$4:$A$40,'Window-U'!$F$4:$F$40)*Semidetached!P$22))*P103</f>
        <v>1461.9792432143959</v>
      </c>
      <c r="Q105" s="177">
        <f>((LOOKUP(Semidetached!Q$2,'Ceiling-U'!$A$4:$A$40,'Ceiling-U'!$R$4:$R$40)*Semidetached!Q$15)+(LOOKUP(Semidetached!Q$2,'Floor-U'!$A$4:$A$40,'Floor-U'!$F$4:$F$40)*Semidetached!Q$16)+(LOOKUP(Semidetached!Q$2,'Wall-U'!$A$4:$A$40,'Wall-U'!$F$4:$F$40)*Semidetached!Q$13)+(LOOKUP(Semidetached!Q$2,'Window-U'!$A$4:$A$40,'Window-U'!$F$4:$F$40)*Semidetached!Q$22))*Q103</f>
        <v>1054.5526138703763</v>
      </c>
      <c r="R105" s="177">
        <f>((LOOKUP(Semidetached!R$2,'Ceiling-U'!$A$4:$A$40,'Ceiling-U'!$R$4:$R$40)*Semidetached!R$15)+(LOOKUP(Semidetached!R$2,'Floor-U'!$A$4:$A$40,'Floor-U'!$F$4:$F$40)*Semidetached!R$16)+(LOOKUP(Semidetached!R$2,'Wall-U'!$A$4:$A$40,'Wall-U'!$F$4:$F$40)*Semidetached!R$13)+(LOOKUP(Semidetached!R$2,'Window-U'!$A$4:$A$40,'Window-U'!$F$4:$F$40)*Semidetached!R$22))*R103</f>
        <v>1229.9670117816554</v>
      </c>
      <c r="S105" s="177">
        <f>((LOOKUP(Semidetached!S$2,'Ceiling-U'!$A$4:$A$40,'Ceiling-U'!$R$4:$R$40)*Semidetached!S$15)+(LOOKUP(Semidetached!S$2,'Floor-U'!$A$4:$A$40,'Floor-U'!$F$4:$F$40)*Semidetached!S$16)+(LOOKUP(Semidetached!S$2,'Wall-U'!$A$4:$A$40,'Wall-U'!$F$4:$F$40)*Semidetached!S$13)+(LOOKUP(Semidetached!S$2,'Window-U'!$A$4:$A$40,'Window-U'!$F$4:$F$40)*Semidetached!S$22))*S103</f>
        <v>1553.203506553853</v>
      </c>
      <c r="T105" s="177">
        <f>((LOOKUP(Semidetached!T$2,'Ceiling-U'!$A$4:$A$40,'Ceiling-U'!$R$4:$R$40)*Semidetached!T$15)+(LOOKUP(Semidetached!T$2,'Floor-U'!$A$4:$A$40,'Floor-U'!$F$4:$F$40)*Semidetached!T$16)+(LOOKUP(Semidetached!T$2,'Wall-U'!$A$4:$A$40,'Wall-U'!$F$4:$F$40)*Semidetached!T$13)+(LOOKUP(Semidetached!T$2,'Window-U'!$A$4:$A$40,'Window-U'!$F$4:$F$40)*Semidetached!T$22))*T103</f>
        <v>579.63261830058582</v>
      </c>
      <c r="U105" s="177">
        <f>((LOOKUP(Semidetached!U$2,'Ceiling-U'!$A$4:$A$40,'Ceiling-U'!$R$4:$R$40)*Semidetached!U$15)+(LOOKUP(Semidetached!U$2,'Floor-U'!$A$4:$A$40,'Floor-U'!$F$4:$F$40)*Semidetached!U$16)+(LOOKUP(Semidetached!U$2,'Wall-U'!$A$4:$A$40,'Wall-U'!$F$4:$F$40)*Semidetached!U$13)+(LOOKUP(Semidetached!U$2,'Window-U'!$A$4:$A$40,'Window-U'!$F$4:$F$40)*Semidetached!U$22))*U103</f>
        <v>1893.5851475872103</v>
      </c>
      <c r="V105" s="177">
        <f>((LOOKUP(Semidetached!V$2,'Ceiling-U'!$A$4:$A$40,'Ceiling-U'!$R$4:$R$40)*Semidetached!V$15)+(LOOKUP(Semidetached!V$2,'Floor-U'!$A$4:$A$40,'Floor-U'!$F$4:$F$40)*Semidetached!V$16)+(LOOKUP(Semidetached!V$2,'Wall-U'!$A$4:$A$40,'Wall-U'!$F$4:$F$40)*Semidetached!V$13)+(LOOKUP(Semidetached!V$2,'Window-U'!$A$4:$A$40,'Window-U'!$F$4:$F$40)*Semidetached!V$22))*V103</f>
        <v>944.94205604128626</v>
      </c>
      <c r="W105" s="177">
        <f>((LOOKUP(Semidetached!W$2,'Ceiling-U'!$A$4:$A$40,'Ceiling-U'!$R$4:$R$40)*Semidetached!W$15)+(LOOKUP(Semidetached!W$2,'Floor-U'!$A$4:$A$40,'Floor-U'!$F$4:$F$40)*Semidetached!W$16)+(LOOKUP(Semidetached!W$2,'Wall-U'!$A$4:$A$40,'Wall-U'!$F$4:$F$40)*Semidetached!W$13)+(LOOKUP(Semidetached!W$2,'Window-U'!$A$4:$A$40,'Window-U'!$F$4:$F$40)*Semidetached!W$22))*W103</f>
        <v>956.17565149007214</v>
      </c>
      <c r="X105" s="177">
        <f>((LOOKUP(Semidetached!X$2,'Ceiling-U'!$A$4:$A$40,'Ceiling-U'!$R$4:$R$40)*Semidetached!X$15)+(LOOKUP(Semidetached!X$2,'Floor-U'!$A$4:$A$40,'Floor-U'!$F$4:$F$40)*Semidetached!X$16)+(LOOKUP(Semidetached!X$2,'Wall-U'!$A$4:$A$40,'Wall-U'!$F$4:$F$40)*Semidetached!X$13)+(LOOKUP(Semidetached!X$2,'Window-U'!$A$4:$A$40,'Window-U'!$F$4:$F$40)*Semidetached!X$22))*X103</f>
        <v>939.59033650620518</v>
      </c>
      <c r="Y105" s="177">
        <f>((LOOKUP(Semidetached!Y$2,'Ceiling-U'!$A$4:$A$40,'Ceiling-U'!$R$4:$R$40)*Semidetached!Y$15)+(LOOKUP(Semidetached!Y$2,'Floor-U'!$A$4:$A$40,'Floor-U'!$F$4:$F$40)*Semidetached!Y$16)+(LOOKUP(Semidetached!Y$2,'Wall-U'!$A$4:$A$40,'Wall-U'!$F$4:$F$40)*Semidetached!Y$13)+(LOOKUP(Semidetached!Y$2,'Window-U'!$A$4:$A$40,'Window-U'!$F$4:$F$40)*Semidetached!Y$22))*Y103</f>
        <v>2868.7716328495553</v>
      </c>
      <c r="Z105" s="177">
        <f>((LOOKUP(Semidetached!Z$2,'Ceiling-U'!$A$4:$A$40,'Ceiling-U'!$R$4:$R$40)*Semidetached!Z$15)+(LOOKUP(Semidetached!Z$2,'Floor-U'!$A$4:$A$40,'Floor-U'!$F$4:$F$40)*Semidetached!Z$16)+(LOOKUP(Semidetached!Z$2,'Wall-U'!$A$4:$A$40,'Wall-U'!$F$4:$F$40)*Semidetached!Z$13)+(LOOKUP(Semidetached!Z$2,'Window-U'!$A$4:$A$40,'Window-U'!$F$4:$F$40)*Semidetached!Z$22))*Z103</f>
        <v>1614.7296622968438</v>
      </c>
      <c r="AA105" s="177">
        <f>((LOOKUP(Semidetached!AA$2,'Ceiling-U'!$A$4:$A$40,'Ceiling-U'!$R$4:$R$40)*Semidetached!AA$15)+(LOOKUP(Semidetached!AA$2,'Floor-U'!$A$4:$A$40,'Floor-U'!$F$4:$F$40)*Semidetached!AA$16)+(LOOKUP(Semidetached!AA$2,'Wall-U'!$A$4:$A$40,'Wall-U'!$F$4:$F$40)*Semidetached!AA$13)+(LOOKUP(Semidetached!AA$2,'Window-U'!$A$4:$A$40,'Window-U'!$F$4:$F$40)*Semidetached!AA$22))*AA103</f>
        <v>563.11489261265899</v>
      </c>
      <c r="AB105" s="177">
        <f>((LOOKUP(Semidetached!AB$2,'Ceiling-U'!$A$4:$A$40,'Ceiling-U'!$R$4:$R$40)*Semidetached!AB$15)+(LOOKUP(Semidetached!AB$2,'Floor-U'!$A$4:$A$40,'Floor-U'!$F$4:$F$40)*Semidetached!AB$16)+(LOOKUP(Semidetached!AB$2,'Wall-U'!$A$4:$A$40,'Wall-U'!$F$4:$F$40)*Semidetached!AB$13)+(LOOKUP(Semidetached!AB$2,'Window-U'!$A$4:$A$40,'Window-U'!$F$4:$F$40)*Semidetached!AB$22))*AB103</f>
        <v>1121.9467039061058</v>
      </c>
      <c r="AC105" s="177">
        <f>((LOOKUP(Semidetached!AC$2,'Ceiling-U'!$A$4:$A$40,'Ceiling-U'!$R$4:$R$40)*Semidetached!AC$15)+(LOOKUP(Semidetached!AC$2,'Floor-U'!$A$4:$A$40,'Floor-U'!$F$4:$F$40)*Semidetached!AC$16)+(LOOKUP(Semidetached!AC$2,'Wall-U'!$A$4:$A$40,'Wall-U'!$F$4:$F$40)*Semidetached!AC$13)+(LOOKUP(Semidetached!AC$2,'Window-U'!$A$4:$A$40,'Window-U'!$F$4:$F$40)*Semidetached!AC$22))*AC103</f>
        <v>1870.18730080467</v>
      </c>
      <c r="AD105" s="177">
        <f>((LOOKUP(Semidetached!AD$2,'Ceiling-U'!$A$4:$A$40,'Ceiling-U'!$R$4:$R$40)*Semidetached!AD$15)+(LOOKUP(Semidetached!AD$2,'Floor-U'!$A$4:$A$40,'Floor-U'!$F$4:$F$40)*Semidetached!AD$16)+(LOOKUP(Semidetached!AD$2,'Wall-U'!$A$4:$A$40,'Wall-U'!$F$4:$F$40)*Semidetached!AD$13)+(LOOKUP(Semidetached!AD$2,'Window-U'!$A$4:$A$40,'Window-U'!$F$4:$F$40)*Semidetached!AD$22))*AD103</f>
        <v>1173.1527700271131</v>
      </c>
      <c r="AE105" s="177">
        <f>((LOOKUP(Semidetached!AE$2,'Ceiling-U'!$A$4:$A$40,'Ceiling-U'!$R$4:$R$40)*Semidetached!AE$15)+(LOOKUP(Semidetached!AE$2,'Floor-U'!$A$4:$A$40,'Floor-U'!$F$4:$F$40)*Semidetached!AE$16)+(LOOKUP(Semidetached!AE$2,'Wall-U'!$A$4:$A$40,'Wall-U'!$F$4:$F$40)*Semidetached!AE$13)+(LOOKUP(Semidetached!AE$2,'Window-U'!$A$4:$A$40,'Window-U'!$F$4:$F$40)*Semidetached!AE$22))*AE103</f>
        <v>555.54606770090413</v>
      </c>
      <c r="AF105" s="177">
        <f>((LOOKUP(Semidetached!AF$2,'Ceiling-U'!$A$4:$A$40,'Ceiling-U'!$R$4:$R$40)*Semidetached!AF$15)+(LOOKUP(Semidetached!AF$2,'Floor-U'!$A$4:$A$40,'Floor-U'!$F$4:$F$40)*Semidetached!AF$16)+(LOOKUP(Semidetached!AF$2,'Wall-U'!$A$4:$A$40,'Wall-U'!$F$4:$F$40)*Semidetached!AF$13)+(LOOKUP(Semidetached!AF$2,'Window-U'!$A$4:$A$40,'Window-U'!$F$4:$F$40)*Semidetached!AF$22))*AF103</f>
        <v>1171.2221719068623</v>
      </c>
      <c r="AG105" s="177">
        <f>((LOOKUP(Semidetached!AG$2,'Ceiling-U'!$A$4:$A$40,'Ceiling-U'!$R$4:$R$40)*Semidetached!AG$15)+(LOOKUP(Semidetached!AG$2,'Floor-U'!$A$4:$A$40,'Floor-U'!$F$4:$F$40)*Semidetached!AG$16)+(LOOKUP(Semidetached!AG$2,'Wall-U'!$A$4:$A$40,'Wall-U'!$F$4:$F$40)*Semidetached!AG$13)+(LOOKUP(Semidetached!AG$2,'Window-U'!$A$4:$A$40,'Window-U'!$F$4:$F$40)*Semidetached!AG$22))*AG103</f>
        <v>1311.300764223568</v>
      </c>
      <c r="AH105" s="177">
        <f>((LOOKUP(Semidetached!AH$2,'Ceiling-U'!$A$4:$A$40,'Ceiling-U'!$R$4:$R$40)*Semidetached!AH$15)+(LOOKUP(Semidetached!AH$2,'Floor-U'!$A$4:$A$40,'Floor-U'!$F$4:$F$40)*Semidetached!AH$16)+(LOOKUP(Semidetached!AH$2,'Wall-U'!$A$4:$A$40,'Wall-U'!$F$4:$F$40)*Semidetached!AH$13)+(LOOKUP(Semidetached!AH$2,'Window-U'!$A$4:$A$40,'Window-U'!$F$4:$F$40)*Semidetached!AH$22))*AH103</f>
        <v>1391.9162797444862</v>
      </c>
      <c r="AI105" s="177">
        <f>((LOOKUP(Semidetached!AI$2,'Ceiling-U'!$A$4:$A$40,'Ceiling-U'!$R$4:$R$40)*Semidetached!AI$15)+(LOOKUP(Semidetached!AI$2,'Floor-U'!$A$4:$A$40,'Floor-U'!$F$4:$F$40)*Semidetached!AI$16)+(LOOKUP(Semidetached!AI$2,'Wall-U'!$A$4:$A$40,'Wall-U'!$F$4:$F$40)*Semidetached!AI$13)+(LOOKUP(Semidetached!AI$2,'Window-U'!$A$4:$A$40,'Window-U'!$F$4:$F$40)*Semidetached!AI$22))*AI103</f>
        <v>2110.0594114387</v>
      </c>
      <c r="AJ105" s="177">
        <f>((LOOKUP(Semidetached!AJ$2,'Ceiling-U'!$A$4:$A$40,'Ceiling-U'!$R$4:$R$40)*Semidetached!AJ$15)+(LOOKUP(Semidetached!AJ$2,'Floor-U'!$A$4:$A$40,'Floor-U'!$F$4:$F$40)*Semidetached!AJ$16)+(LOOKUP(Semidetached!AJ$2,'Wall-U'!$A$4:$A$40,'Wall-U'!$F$4:$F$40)*Semidetached!AJ$13)+(LOOKUP(Semidetached!AJ$2,'Window-U'!$A$4:$A$40,'Window-U'!$F$4:$F$40)*Semidetached!AJ$22))*AJ103</f>
        <v>975.22160614597351</v>
      </c>
      <c r="AK105" s="177">
        <f>((LOOKUP(Semidetached!AK$2,'Ceiling-U'!$A$4:$A$40,'Ceiling-U'!$R$4:$R$40)*Semidetached!AK$15)+(LOOKUP(Semidetached!AK$2,'Floor-U'!$A$4:$A$40,'Floor-U'!$F$4:$F$40)*Semidetached!AK$16)+(LOOKUP(Semidetached!AK$2,'Wall-U'!$A$4:$A$40,'Wall-U'!$F$4:$F$40)*Semidetached!AK$13)+(LOOKUP(Semidetached!AK$2,'Window-U'!$A$4:$A$40,'Window-U'!$F$4:$F$40)*Semidetached!AK$22))*AK103</f>
        <v>1168.3253612480753</v>
      </c>
      <c r="AL105" s="177">
        <f>((LOOKUP(Semidetached!AL$2,'Ceiling-U'!$A$4:$A$40,'Ceiling-U'!$R$4:$R$40)*Semidetached!AL$15)+(LOOKUP(Semidetached!AL$2,'Floor-U'!$A$4:$A$40,'Floor-U'!$F$4:$F$40)*Semidetached!AL$16)+(LOOKUP(Semidetached!AL$2,'Wall-U'!$A$4:$A$40,'Wall-U'!$F$4:$F$40)*Semidetached!AL$13)+(LOOKUP(Semidetached!AL$2,'Window-U'!$A$4:$A$40,'Window-U'!$F$4:$F$40)*Semidetached!AL$22))*AL103</f>
        <v>1054.0662551165522</v>
      </c>
      <c r="AM105" s="177">
        <f>((LOOKUP(Semidetached!AM$2,'Ceiling-U'!$A$4:$A$40,'Ceiling-U'!$R$4:$R$40)*Semidetached!AM$15)+(LOOKUP(Semidetached!AM$2,'Floor-U'!$A$4:$A$40,'Floor-U'!$F$4:$F$40)*Semidetached!AM$16)+(LOOKUP(Semidetached!AM$2,'Wall-U'!$A$4:$A$40,'Wall-U'!$F$4:$F$40)*Semidetached!AM$13)+(LOOKUP(Semidetached!AM$2,'Window-U'!$A$4:$A$40,'Window-U'!$F$4:$F$40)*Semidetached!AM$22))*AM103</f>
        <v>975.22160614597351</v>
      </c>
      <c r="AN105" s="178">
        <f>((LOOKUP(Semidetached!AN$2,'Ceiling-U'!$A$4:$A$40,'Ceiling-U'!$R$4:$R$40)*Semidetached!AN$15)+(LOOKUP(Semidetached!AN$2,'Floor-U'!$A$4:$A$40,'Floor-U'!$F$4:$F$40)*Semidetached!AN$16)+(LOOKUP(Semidetached!AN$2,'Wall-U'!$A$4:$A$40,'Wall-U'!$F$4:$F$40)*Semidetached!AN$13)+(LOOKUP(Semidetached!AN$2,'Window-U'!$A$4:$A$40,'Window-U'!$F$4:$F$40)*Semidetached!AN$22))*AN103</f>
        <v>975.22160614597351</v>
      </c>
    </row>
    <row r="106" spans="1:40">
      <c r="A106" s="372"/>
      <c r="B106" s="142" t="s">
        <v>4</v>
      </c>
      <c r="C106" s="131" t="s">
        <v>195</v>
      </c>
      <c r="D106" s="176">
        <f>((LOOKUP(Semidetached!D$2,'Ceiling-U'!$A$4:$A$40,'Ceiling-U'!$S$4:$S$40)*Semidetached!D$15)+(LOOKUP(Semidetached!D$2,'Floor-U'!$A$4:$A$40,'Floor-U'!$G$4:$G$40)*Semidetached!D$16)+(LOOKUP(Semidetached!D$2,'Wall-U'!$A$4:$A$40,'Wall-U'!$G$4:$G$40)*Semidetached!D$13)+(LOOKUP(Semidetached!D$2,'Window-U'!$A$4:$A$40,'Window-U'!$G$4:$G$40)*Semidetached!D$22))*D103</f>
        <v>1114.1491821450941</v>
      </c>
      <c r="E106" s="177">
        <f>((LOOKUP(Semidetached!E$2,'Ceiling-U'!$A$4:$A$40,'Ceiling-U'!$S$4:$S$40)*Semidetached!E$15)+(LOOKUP(Semidetached!E$2,'Floor-U'!$A$4:$A$40,'Floor-U'!$G$4:$G$40)*Semidetached!E$16)+(LOOKUP(Semidetached!E$2,'Wall-U'!$A$4:$A$40,'Wall-U'!$G$4:$G$40)*Semidetached!E$13)+(LOOKUP(Semidetached!E$2,'Window-U'!$A$4:$A$40,'Window-U'!$G$4:$G$40)*Semidetached!E$22))*E103</f>
        <v>1690.6237348675015</v>
      </c>
      <c r="F106" s="177">
        <f>((LOOKUP(Semidetached!F$2,'Ceiling-U'!$A$4:$A$40,'Ceiling-U'!$S$4:$S$40)*Semidetached!F$15)+(LOOKUP(Semidetached!F$2,'Floor-U'!$A$4:$A$40,'Floor-U'!$G$4:$G$40)*Semidetached!F$16)+(LOOKUP(Semidetached!F$2,'Wall-U'!$A$4:$A$40,'Wall-U'!$G$4:$G$40)*Semidetached!F$13)+(LOOKUP(Semidetached!F$2,'Window-U'!$A$4:$A$40,'Window-U'!$G$4:$G$40)*Semidetached!F$22))*F103</f>
        <v>942.66601095953865</v>
      </c>
      <c r="G106" s="177">
        <f>((LOOKUP(Semidetached!G$2,'Ceiling-U'!$A$4:$A$40,'Ceiling-U'!$S$4:$S$40)*Semidetached!G$15)+(LOOKUP(Semidetached!G$2,'Floor-U'!$A$4:$A$40,'Floor-U'!$G$4:$G$40)*Semidetached!G$16)+(LOOKUP(Semidetached!G$2,'Wall-U'!$A$4:$A$40,'Wall-U'!$G$4:$G$40)*Semidetached!G$13)+(LOOKUP(Semidetached!G$2,'Window-U'!$A$4:$A$40,'Window-U'!$G$4:$G$40)*Semidetached!G$22))*G103</f>
        <v>1149.2437667169022</v>
      </c>
      <c r="H106" s="177">
        <f>((LOOKUP(Semidetached!H$2,'Ceiling-U'!$A$4:$A$40,'Ceiling-U'!$S$4:$S$40)*Semidetached!H$15)+(LOOKUP(Semidetached!H$2,'Floor-U'!$A$4:$A$40,'Floor-U'!$G$4:$G$40)*Semidetached!H$16)+(LOOKUP(Semidetached!H$2,'Wall-U'!$A$4:$A$40,'Wall-U'!$G$4:$G$40)*Semidetached!H$13)+(LOOKUP(Semidetached!H$2,'Window-U'!$A$4:$A$40,'Window-U'!$G$4:$G$40)*Semidetached!H$22))*H103</f>
        <v>1912.4502427186076</v>
      </c>
      <c r="I106" s="177">
        <f>((LOOKUP(Semidetached!I$2,'Ceiling-U'!$A$4:$A$40,'Ceiling-U'!$S$4:$S$40)*Semidetached!I$15)+(LOOKUP(Semidetached!I$2,'Floor-U'!$A$4:$A$40,'Floor-U'!$G$4:$G$40)*Semidetached!I$16)+(LOOKUP(Semidetached!I$2,'Wall-U'!$A$4:$A$40,'Wall-U'!$G$4:$G$40)*Semidetached!I$13)+(LOOKUP(Semidetached!I$2,'Window-U'!$A$4:$A$40,'Window-U'!$G$4:$G$40)*Semidetached!I$22))*I103</f>
        <v>902.60989543824769</v>
      </c>
      <c r="J106" s="177">
        <f>((LOOKUP(Semidetached!J$2,'Ceiling-U'!$A$4:$A$40,'Ceiling-U'!$S$4:$S$40)*Semidetached!J$15)+(LOOKUP(Semidetached!J$2,'Floor-U'!$A$4:$A$40,'Floor-U'!$G$4:$G$40)*Semidetached!J$16)+(LOOKUP(Semidetached!J$2,'Wall-U'!$A$4:$A$40,'Wall-U'!$G$4:$G$40)*Semidetached!J$13)+(LOOKUP(Semidetached!J$2,'Window-U'!$A$4:$A$40,'Window-U'!$G$4:$G$40)*Semidetached!J$22))*J103</f>
        <v>922.67692018603464</v>
      </c>
      <c r="K106" s="177">
        <f>((LOOKUP(Semidetached!K$2,'Ceiling-U'!$A$4:$A$40,'Ceiling-U'!$S$4:$S$40)*Semidetached!K$15)+(LOOKUP(Semidetached!K$2,'Floor-U'!$A$4:$A$40,'Floor-U'!$G$4:$G$40)*Semidetached!K$16)+(LOOKUP(Semidetached!K$2,'Wall-U'!$A$4:$A$40,'Wall-U'!$G$4:$G$40)*Semidetached!K$13)+(LOOKUP(Semidetached!K$2,'Window-U'!$A$4:$A$40,'Window-U'!$G$4:$G$40)*Semidetached!K$22))*K103</f>
        <v>596.32298830976856</v>
      </c>
      <c r="L106" s="177">
        <f>((LOOKUP(Semidetached!L$2,'Ceiling-U'!$A$4:$A$40,'Ceiling-U'!$S$4:$S$40)*Semidetached!L$15)+(LOOKUP(Semidetached!L$2,'Floor-U'!$A$4:$A$40,'Floor-U'!$G$4:$G$40)*Semidetached!L$16)+(LOOKUP(Semidetached!L$2,'Wall-U'!$A$4:$A$40,'Wall-U'!$G$4:$G$40)*Semidetached!L$13)+(LOOKUP(Semidetached!L$2,'Window-U'!$A$4:$A$40,'Window-U'!$G$4:$G$40)*Semidetached!L$22))*L103</f>
        <v>371.64221599654843</v>
      </c>
      <c r="M106" s="177">
        <f>((LOOKUP(Semidetached!M$2,'Ceiling-U'!$A$4:$A$40,'Ceiling-U'!$S$4:$S$40)*Semidetached!M$15)+(LOOKUP(Semidetached!M$2,'Floor-U'!$A$4:$A$40,'Floor-U'!$G$4:$G$40)*Semidetached!M$16)+(LOOKUP(Semidetached!M$2,'Wall-U'!$A$4:$A$40,'Wall-U'!$G$4:$G$40)*Semidetached!M$13)+(LOOKUP(Semidetached!M$2,'Window-U'!$A$4:$A$40,'Window-U'!$G$4:$G$40)*Semidetached!M$22))*M103</f>
        <v>2414.2448430400782</v>
      </c>
      <c r="N106" s="177">
        <f>((LOOKUP(Semidetached!N$2,'Ceiling-U'!$A$4:$A$40,'Ceiling-U'!$S$4:$S$40)*Semidetached!N$15)+(LOOKUP(Semidetached!N$2,'Floor-U'!$A$4:$A$40,'Floor-U'!$G$4:$G$40)*Semidetached!N$16)+(LOOKUP(Semidetached!N$2,'Wall-U'!$A$4:$A$40,'Wall-U'!$G$4:$G$40)*Semidetached!N$13)+(LOOKUP(Semidetached!N$2,'Window-U'!$A$4:$A$40,'Window-U'!$G$4:$G$40)*Semidetached!N$22))*N103</f>
        <v>461.27819664539095</v>
      </c>
      <c r="O106" s="177">
        <f>((LOOKUP(Semidetached!O$2,'Ceiling-U'!$A$4:$A$40,'Ceiling-U'!$S$4:$S$40)*Semidetached!O$15)+(LOOKUP(Semidetached!O$2,'Floor-U'!$A$4:$A$40,'Floor-U'!$G$4:$G$40)*Semidetached!O$16)+(LOOKUP(Semidetached!O$2,'Wall-U'!$A$4:$A$40,'Wall-U'!$G$4:$G$40)*Semidetached!O$13)+(LOOKUP(Semidetached!O$2,'Window-U'!$A$4:$A$40,'Window-U'!$G$4:$G$40)*Semidetached!O$22))*O103</f>
        <v>1106.0736273037337</v>
      </c>
      <c r="P106" s="177">
        <f>((LOOKUP(Semidetached!P$2,'Ceiling-U'!$A$4:$A$40,'Ceiling-U'!$S$4:$S$40)*Semidetached!P$15)+(LOOKUP(Semidetached!P$2,'Floor-U'!$A$4:$A$40,'Floor-U'!$G$4:$G$40)*Semidetached!P$16)+(LOOKUP(Semidetached!P$2,'Wall-U'!$A$4:$A$40,'Wall-U'!$G$4:$G$40)*Semidetached!P$13)+(LOOKUP(Semidetached!P$2,'Window-U'!$A$4:$A$40,'Window-U'!$G$4:$G$40)*Semidetached!P$22))*P103</f>
        <v>1461.9792432143959</v>
      </c>
      <c r="Q106" s="177">
        <f>((LOOKUP(Semidetached!Q$2,'Ceiling-U'!$A$4:$A$40,'Ceiling-U'!$S$4:$S$40)*Semidetached!Q$15)+(LOOKUP(Semidetached!Q$2,'Floor-U'!$A$4:$A$40,'Floor-U'!$G$4:$G$40)*Semidetached!Q$16)+(LOOKUP(Semidetached!Q$2,'Wall-U'!$A$4:$A$40,'Wall-U'!$G$4:$G$40)*Semidetached!Q$13)+(LOOKUP(Semidetached!Q$2,'Window-U'!$A$4:$A$40,'Window-U'!$G$4:$G$40)*Semidetached!Q$22))*Q103</f>
        <v>907.45519296330167</v>
      </c>
      <c r="R106" s="177">
        <f>((LOOKUP(Semidetached!R$2,'Ceiling-U'!$A$4:$A$40,'Ceiling-U'!$S$4:$S$40)*Semidetached!R$15)+(LOOKUP(Semidetached!R$2,'Floor-U'!$A$4:$A$40,'Floor-U'!$G$4:$G$40)*Semidetached!R$16)+(LOOKUP(Semidetached!R$2,'Wall-U'!$A$4:$A$40,'Wall-U'!$G$4:$G$40)*Semidetached!R$13)+(LOOKUP(Semidetached!R$2,'Window-U'!$A$4:$A$40,'Window-U'!$G$4:$G$40)*Semidetached!R$22))*R103</f>
        <v>1082.021417797094</v>
      </c>
      <c r="S106" s="177">
        <f>((LOOKUP(Semidetached!S$2,'Ceiling-U'!$A$4:$A$40,'Ceiling-U'!$S$4:$S$40)*Semidetached!S$15)+(LOOKUP(Semidetached!S$2,'Floor-U'!$A$4:$A$40,'Floor-U'!$G$4:$G$40)*Semidetached!S$16)+(LOOKUP(Semidetached!S$2,'Wall-U'!$A$4:$A$40,'Wall-U'!$G$4:$G$40)*Semidetached!S$13)+(LOOKUP(Semidetached!S$2,'Window-U'!$A$4:$A$40,'Window-U'!$G$4:$G$40)*Semidetached!S$22))*S103</f>
        <v>1537.9730515503297</v>
      </c>
      <c r="T106" s="177">
        <f>((LOOKUP(Semidetached!T$2,'Ceiling-U'!$A$4:$A$40,'Ceiling-U'!$S$4:$S$40)*Semidetached!T$15)+(LOOKUP(Semidetached!T$2,'Floor-U'!$A$4:$A$40,'Floor-U'!$G$4:$G$40)*Semidetached!T$16)+(LOOKUP(Semidetached!T$2,'Wall-U'!$A$4:$A$40,'Wall-U'!$G$4:$G$40)*Semidetached!T$13)+(LOOKUP(Semidetached!T$2,'Window-U'!$A$4:$A$40,'Window-U'!$G$4:$G$40)*Semidetached!T$22))*T103</f>
        <v>464.31487365577613</v>
      </c>
      <c r="U106" s="177">
        <f>((LOOKUP(Semidetached!U$2,'Ceiling-U'!$A$4:$A$40,'Ceiling-U'!$S$4:$S$40)*Semidetached!U$15)+(LOOKUP(Semidetached!U$2,'Floor-U'!$A$4:$A$40,'Floor-U'!$G$4:$G$40)*Semidetached!U$16)+(LOOKUP(Semidetached!U$2,'Wall-U'!$A$4:$A$40,'Wall-U'!$G$4:$G$40)*Semidetached!U$13)+(LOOKUP(Semidetached!U$2,'Window-U'!$A$4:$A$40,'Window-U'!$G$4:$G$40)*Semidetached!U$22))*U103</f>
        <v>1766.3035740901878</v>
      </c>
      <c r="V106" s="177">
        <f>((LOOKUP(Semidetached!V$2,'Ceiling-U'!$A$4:$A$40,'Ceiling-U'!$S$4:$S$40)*Semidetached!V$15)+(LOOKUP(Semidetached!V$2,'Floor-U'!$A$4:$A$40,'Floor-U'!$G$4:$G$40)*Semidetached!V$16)+(LOOKUP(Semidetached!V$2,'Wall-U'!$A$4:$A$40,'Wall-U'!$G$4:$G$40)*Semidetached!V$13)+(LOOKUP(Semidetached!V$2,'Window-U'!$A$4:$A$40,'Window-U'!$G$4:$G$40)*Semidetached!V$22))*V103</f>
        <v>581.87457049441537</v>
      </c>
      <c r="W106" s="177">
        <f>((LOOKUP(Semidetached!W$2,'Ceiling-U'!$A$4:$A$40,'Ceiling-U'!$S$4:$S$40)*Semidetached!W$15)+(LOOKUP(Semidetached!W$2,'Floor-U'!$A$4:$A$40,'Floor-U'!$G$4:$G$40)*Semidetached!W$16)+(LOOKUP(Semidetached!W$2,'Wall-U'!$A$4:$A$40,'Wall-U'!$G$4:$G$40)*Semidetached!W$13)+(LOOKUP(Semidetached!W$2,'Window-U'!$A$4:$A$40,'Window-U'!$G$4:$G$40)*Semidetached!W$22))*W103</f>
        <v>466.28614941664455</v>
      </c>
      <c r="X106" s="177">
        <f>((LOOKUP(Semidetached!X$2,'Ceiling-U'!$A$4:$A$40,'Ceiling-U'!$S$4:$S$40)*Semidetached!X$15)+(LOOKUP(Semidetached!X$2,'Floor-U'!$A$4:$A$40,'Floor-U'!$G$4:$G$40)*Semidetached!X$16)+(LOOKUP(Semidetached!X$2,'Wall-U'!$A$4:$A$40,'Wall-U'!$G$4:$G$40)*Semidetached!X$13)+(LOOKUP(Semidetached!X$2,'Window-U'!$A$4:$A$40,'Window-U'!$G$4:$G$40)*Semidetached!X$22))*X103</f>
        <v>887.54536795159447</v>
      </c>
      <c r="Y106" s="177">
        <f>((LOOKUP(Semidetached!Y$2,'Ceiling-U'!$A$4:$A$40,'Ceiling-U'!$S$4:$S$40)*Semidetached!Y$15)+(LOOKUP(Semidetached!Y$2,'Floor-U'!$A$4:$A$40,'Floor-U'!$G$4:$G$40)*Semidetached!Y$16)+(LOOKUP(Semidetached!Y$2,'Wall-U'!$A$4:$A$40,'Wall-U'!$G$4:$G$40)*Semidetached!Y$13)+(LOOKUP(Semidetached!Y$2,'Window-U'!$A$4:$A$40,'Window-U'!$G$4:$G$40)*Semidetached!Y$22))*Y103</f>
        <v>2316.2504466013329</v>
      </c>
      <c r="Z106" s="177">
        <f>((LOOKUP(Semidetached!Z$2,'Ceiling-U'!$A$4:$A$40,'Ceiling-U'!$S$4:$S$40)*Semidetached!Z$15)+(LOOKUP(Semidetached!Z$2,'Floor-U'!$A$4:$A$40,'Floor-U'!$G$4:$G$40)*Semidetached!Z$16)+(LOOKUP(Semidetached!Z$2,'Wall-U'!$A$4:$A$40,'Wall-U'!$G$4:$G$40)*Semidetached!Z$13)+(LOOKUP(Semidetached!Z$2,'Window-U'!$A$4:$A$40,'Window-U'!$G$4:$G$40)*Semidetached!Z$22))*Z103</f>
        <v>1522.3730506824663</v>
      </c>
      <c r="AA106" s="177">
        <f>((LOOKUP(Semidetached!AA$2,'Ceiling-U'!$A$4:$A$40,'Ceiling-U'!$S$4:$S$40)*Semidetached!AA$15)+(LOOKUP(Semidetached!AA$2,'Floor-U'!$A$4:$A$40,'Floor-U'!$G$4:$G$40)*Semidetached!AA$16)+(LOOKUP(Semidetached!AA$2,'Wall-U'!$A$4:$A$40,'Wall-U'!$G$4:$G$40)*Semidetached!AA$13)+(LOOKUP(Semidetached!AA$2,'Window-U'!$A$4:$A$40,'Window-U'!$G$4:$G$40)*Semidetached!AA$22))*AA103</f>
        <v>388.57653893200302</v>
      </c>
      <c r="AB106" s="177">
        <f>((LOOKUP(Semidetached!AB$2,'Ceiling-U'!$A$4:$A$40,'Ceiling-U'!$S$4:$S$40)*Semidetached!AB$15)+(LOOKUP(Semidetached!AB$2,'Floor-U'!$A$4:$A$40,'Floor-U'!$G$4:$G$40)*Semidetached!AB$16)+(LOOKUP(Semidetached!AB$2,'Wall-U'!$A$4:$A$40,'Wall-U'!$G$4:$G$40)*Semidetached!AB$13)+(LOOKUP(Semidetached!AB$2,'Window-U'!$A$4:$A$40,'Window-U'!$G$4:$G$40)*Semidetached!AB$22))*AB103</f>
        <v>776.14767171608491</v>
      </c>
      <c r="AC106" s="177">
        <f>((LOOKUP(Semidetached!AC$2,'Ceiling-U'!$A$4:$A$40,'Ceiling-U'!$S$4:$S$40)*Semidetached!AC$15)+(LOOKUP(Semidetached!AC$2,'Floor-U'!$A$4:$A$40,'Floor-U'!$G$4:$G$40)*Semidetached!AC$16)+(LOOKUP(Semidetached!AC$2,'Wall-U'!$A$4:$A$40,'Wall-U'!$G$4:$G$40)*Semidetached!AC$13)+(LOOKUP(Semidetached!AC$2,'Window-U'!$A$4:$A$40,'Window-U'!$G$4:$G$40)*Semidetached!AC$22))*AC103</f>
        <v>1869.1349034777891</v>
      </c>
      <c r="AD106" s="177">
        <f>((LOOKUP(Semidetached!AD$2,'Ceiling-U'!$A$4:$A$40,'Ceiling-U'!$S$4:$S$40)*Semidetached!AD$15)+(LOOKUP(Semidetached!AD$2,'Floor-U'!$A$4:$A$40,'Floor-U'!$G$4:$G$40)*Semidetached!AD$16)+(LOOKUP(Semidetached!AD$2,'Wall-U'!$A$4:$A$40,'Wall-U'!$G$4:$G$40)*Semidetached!AD$13)+(LOOKUP(Semidetached!AD$2,'Window-U'!$A$4:$A$40,'Window-U'!$G$4:$G$40)*Semidetached!AD$22))*AD103</f>
        <v>1173.1527700271131</v>
      </c>
      <c r="AE106" s="177">
        <f>((LOOKUP(Semidetached!AE$2,'Ceiling-U'!$A$4:$A$40,'Ceiling-U'!$S$4:$S$40)*Semidetached!AE$15)+(LOOKUP(Semidetached!AE$2,'Floor-U'!$A$4:$A$40,'Floor-U'!$G$4:$G$40)*Semidetached!AE$16)+(LOOKUP(Semidetached!AE$2,'Wall-U'!$A$4:$A$40,'Wall-U'!$G$4:$G$40)*Semidetached!AE$13)+(LOOKUP(Semidetached!AE$2,'Window-U'!$A$4:$A$40,'Window-U'!$G$4:$G$40)*Semidetached!AE$22))*AE103</f>
        <v>383.83717019817442</v>
      </c>
      <c r="AF106" s="177">
        <f>((LOOKUP(Semidetached!AF$2,'Ceiling-U'!$A$4:$A$40,'Ceiling-U'!$S$4:$S$40)*Semidetached!AF$15)+(LOOKUP(Semidetached!AF$2,'Floor-U'!$A$4:$A$40,'Floor-U'!$G$4:$G$40)*Semidetached!AF$16)+(LOOKUP(Semidetached!AF$2,'Wall-U'!$A$4:$A$40,'Wall-U'!$G$4:$G$40)*Semidetached!AF$13)+(LOOKUP(Semidetached!AF$2,'Window-U'!$A$4:$A$40,'Window-U'!$G$4:$G$40)*Semidetached!AF$22))*AF103</f>
        <v>1095.8235241982068</v>
      </c>
      <c r="AG106" s="177">
        <f>((LOOKUP(Semidetached!AG$2,'Ceiling-U'!$A$4:$A$40,'Ceiling-U'!$S$4:$S$40)*Semidetached!AG$15)+(LOOKUP(Semidetached!AG$2,'Floor-U'!$A$4:$A$40,'Floor-U'!$G$4:$G$40)*Semidetached!AG$16)+(LOOKUP(Semidetached!AG$2,'Wall-U'!$A$4:$A$40,'Wall-U'!$G$4:$G$40)*Semidetached!AG$13)+(LOOKUP(Semidetached!AG$2,'Window-U'!$A$4:$A$40,'Window-U'!$G$4:$G$40)*Semidetached!AG$22))*AG103</f>
        <v>1311.300764223568</v>
      </c>
      <c r="AH106" s="177">
        <f>((LOOKUP(Semidetached!AH$2,'Ceiling-U'!$A$4:$A$40,'Ceiling-U'!$S$4:$S$40)*Semidetached!AH$15)+(LOOKUP(Semidetached!AH$2,'Floor-U'!$A$4:$A$40,'Floor-U'!$G$4:$G$40)*Semidetached!AH$16)+(LOOKUP(Semidetached!AH$2,'Wall-U'!$A$4:$A$40,'Wall-U'!$G$4:$G$40)*Semidetached!AH$13)+(LOOKUP(Semidetached!AH$2,'Window-U'!$A$4:$A$40,'Window-U'!$G$4:$G$40)*Semidetached!AH$22))*AH103</f>
        <v>1189.8277945888856</v>
      </c>
      <c r="AI106" s="177">
        <f>((LOOKUP(Semidetached!AI$2,'Ceiling-U'!$A$4:$A$40,'Ceiling-U'!$S$4:$S$40)*Semidetached!AI$15)+(LOOKUP(Semidetached!AI$2,'Floor-U'!$A$4:$A$40,'Floor-U'!$G$4:$G$40)*Semidetached!AI$16)+(LOOKUP(Semidetached!AI$2,'Wall-U'!$A$4:$A$40,'Wall-U'!$G$4:$G$40)*Semidetached!AI$13)+(LOOKUP(Semidetached!AI$2,'Window-U'!$A$4:$A$40,'Window-U'!$G$4:$G$40)*Semidetached!AI$22))*AI103</f>
        <v>2110.0594114387</v>
      </c>
      <c r="AJ106" s="177">
        <f>((LOOKUP(Semidetached!AJ$2,'Ceiling-U'!$A$4:$A$40,'Ceiling-U'!$S$4:$S$40)*Semidetached!AJ$15)+(LOOKUP(Semidetached!AJ$2,'Floor-U'!$A$4:$A$40,'Floor-U'!$G$4:$G$40)*Semidetached!AJ$16)+(LOOKUP(Semidetached!AJ$2,'Wall-U'!$A$4:$A$40,'Wall-U'!$G$4:$G$40)*Semidetached!AJ$13)+(LOOKUP(Semidetached!AJ$2,'Window-U'!$A$4:$A$40,'Window-U'!$G$4:$G$40)*Semidetached!AJ$22))*AJ103</f>
        <v>975.22160614597351</v>
      </c>
      <c r="AK106" s="177">
        <f>((LOOKUP(Semidetached!AK$2,'Ceiling-U'!$A$4:$A$40,'Ceiling-U'!$S$4:$S$40)*Semidetached!AK$15)+(LOOKUP(Semidetached!AK$2,'Floor-U'!$A$4:$A$40,'Floor-U'!$G$4:$G$40)*Semidetached!AK$16)+(LOOKUP(Semidetached!AK$2,'Wall-U'!$A$4:$A$40,'Wall-U'!$G$4:$G$40)*Semidetached!AK$13)+(LOOKUP(Semidetached!AK$2,'Window-U'!$A$4:$A$40,'Window-U'!$G$4:$G$40)*Semidetached!AK$22))*AK103</f>
        <v>1168.3253612480753</v>
      </c>
      <c r="AL106" s="177">
        <f>((LOOKUP(Semidetached!AL$2,'Ceiling-U'!$A$4:$A$40,'Ceiling-U'!$S$4:$S$40)*Semidetached!AL$15)+(LOOKUP(Semidetached!AL$2,'Floor-U'!$A$4:$A$40,'Floor-U'!$G$4:$G$40)*Semidetached!AL$16)+(LOOKUP(Semidetached!AL$2,'Wall-U'!$A$4:$A$40,'Wall-U'!$G$4:$G$40)*Semidetached!AL$13)+(LOOKUP(Semidetached!AL$2,'Window-U'!$A$4:$A$40,'Window-U'!$G$4:$G$40)*Semidetached!AL$22))*AL103</f>
        <v>986.91910959557549</v>
      </c>
      <c r="AM106" s="177">
        <f>((LOOKUP(Semidetached!AM$2,'Ceiling-U'!$A$4:$A$40,'Ceiling-U'!$S$4:$S$40)*Semidetached!AM$15)+(LOOKUP(Semidetached!AM$2,'Floor-U'!$A$4:$A$40,'Floor-U'!$G$4:$G$40)*Semidetached!AM$16)+(LOOKUP(Semidetached!AM$2,'Wall-U'!$A$4:$A$40,'Wall-U'!$G$4:$G$40)*Semidetached!AM$13)+(LOOKUP(Semidetached!AM$2,'Window-U'!$A$4:$A$40,'Window-U'!$G$4:$G$40)*Semidetached!AM$22))*AM103</f>
        <v>975.22160614597351</v>
      </c>
      <c r="AN106" s="178">
        <f>((LOOKUP(Semidetached!AN$2,'Ceiling-U'!$A$4:$A$40,'Ceiling-U'!$S$4:$S$40)*Semidetached!AN$15)+(LOOKUP(Semidetached!AN$2,'Floor-U'!$A$4:$A$40,'Floor-U'!$G$4:$G$40)*Semidetached!AN$16)+(LOOKUP(Semidetached!AN$2,'Wall-U'!$A$4:$A$40,'Wall-U'!$G$4:$G$40)*Semidetached!AN$13)+(LOOKUP(Semidetached!AN$2,'Window-U'!$A$4:$A$40,'Window-U'!$G$4:$G$40)*Semidetached!AN$22))*AN103</f>
        <v>975.22160614597351</v>
      </c>
    </row>
    <row r="107" spans="1:40">
      <c r="A107" s="372"/>
      <c r="B107" s="142" t="s">
        <v>5</v>
      </c>
      <c r="C107" s="131" t="s">
        <v>195</v>
      </c>
      <c r="D107" s="176">
        <f>((LOOKUP(Semidetached!D$2,'Ceiling-U'!$A$4:$A$40,'Ceiling-U'!$T$4:$T$40)*Semidetached!D$15)+(LOOKUP(Semidetached!D$2,'Floor-U'!$A$4:$A$40,'Floor-U'!$H$4:$H$40)*Semidetached!D$16)+(LOOKUP(Semidetached!D$2,'Wall-U'!$A$4:$A$40,'Wall-U'!$H$4:$H$40)*Semidetached!D$13)+(LOOKUP(Semidetached!D$2,'Window-U'!$A$4:$A$40,'Window-U'!$H$4:$H$40)*Semidetached!D$22))*D103</f>
        <v>713.23554278050688</v>
      </c>
      <c r="E107" s="177">
        <f>((LOOKUP(Semidetached!E$2,'Ceiling-U'!$A$4:$A$40,'Ceiling-U'!$T$4:$T$40)*Semidetached!E$15)+(LOOKUP(Semidetached!E$2,'Floor-U'!$A$4:$A$40,'Floor-U'!$H$4:$H$40)*Semidetached!E$16)+(LOOKUP(Semidetached!E$2,'Wall-U'!$A$4:$A$40,'Wall-U'!$H$4:$H$40)*Semidetached!E$13)+(LOOKUP(Semidetached!E$2,'Window-U'!$A$4:$A$40,'Window-U'!$H$4:$H$40)*Semidetached!E$22))*E103</f>
        <v>1459.9917761660035</v>
      </c>
      <c r="F107" s="177">
        <f>((LOOKUP(Semidetached!F$2,'Ceiling-U'!$A$4:$A$40,'Ceiling-U'!$T$4:$T$40)*Semidetached!F$15)+(LOOKUP(Semidetached!F$2,'Floor-U'!$A$4:$A$40,'Floor-U'!$H$4:$H$40)*Semidetached!F$16)+(LOOKUP(Semidetached!F$2,'Wall-U'!$A$4:$A$40,'Wall-U'!$H$4:$H$40)*Semidetached!F$13)+(LOOKUP(Semidetached!F$2,'Window-U'!$A$4:$A$40,'Window-U'!$H$4:$H$40)*Semidetached!F$22))*F103</f>
        <v>773.99918441215004</v>
      </c>
      <c r="G107" s="177">
        <f>((LOOKUP(Semidetached!G$2,'Ceiling-U'!$A$4:$A$40,'Ceiling-U'!$T$4:$T$40)*Semidetached!G$15)+(LOOKUP(Semidetached!G$2,'Floor-U'!$A$4:$A$40,'Floor-U'!$H$4:$H$40)*Semidetached!G$16)+(LOOKUP(Semidetached!G$2,'Wall-U'!$A$4:$A$40,'Wall-U'!$H$4:$H$40)*Semidetached!G$13)+(LOOKUP(Semidetached!G$2,'Window-U'!$A$4:$A$40,'Window-U'!$H$4:$H$40)*Semidetached!G$22))*G103</f>
        <v>734.74611553658815</v>
      </c>
      <c r="H107" s="177">
        <f>((LOOKUP(Semidetached!H$2,'Ceiling-U'!$A$4:$A$40,'Ceiling-U'!$T$4:$T$40)*Semidetached!H$15)+(LOOKUP(Semidetached!H$2,'Floor-U'!$A$4:$A$40,'Floor-U'!$H$4:$H$40)*Semidetached!H$16)+(LOOKUP(Semidetached!H$2,'Wall-U'!$A$4:$A$40,'Wall-U'!$H$4:$H$40)*Semidetached!H$13)+(LOOKUP(Semidetached!H$2,'Window-U'!$A$4:$A$40,'Window-U'!$H$4:$H$40)*Semidetached!H$22))*H103</f>
        <v>1804.9607270801998</v>
      </c>
      <c r="I107" s="177">
        <f>((LOOKUP(Semidetached!I$2,'Ceiling-U'!$A$4:$A$40,'Ceiling-U'!$T$4:$T$40)*Semidetached!I$15)+(LOOKUP(Semidetached!I$2,'Floor-U'!$A$4:$A$40,'Floor-U'!$H$4:$H$40)*Semidetached!I$16)+(LOOKUP(Semidetached!I$2,'Wall-U'!$A$4:$A$40,'Wall-U'!$H$4:$H$40)*Semidetached!I$13)+(LOOKUP(Semidetached!I$2,'Window-U'!$A$4:$A$40,'Window-U'!$H$4:$H$40)*Semidetached!I$22))*I103</f>
        <v>790.8038509812128</v>
      </c>
      <c r="J107" s="177">
        <f>((LOOKUP(Semidetached!J$2,'Ceiling-U'!$A$4:$A$40,'Ceiling-U'!$T$4:$T$40)*Semidetached!J$15)+(LOOKUP(Semidetached!J$2,'Floor-U'!$A$4:$A$40,'Floor-U'!$H$4:$H$40)*Semidetached!J$16)+(LOOKUP(Semidetached!J$2,'Wall-U'!$A$4:$A$40,'Wall-U'!$H$4:$H$40)*Semidetached!J$13)+(LOOKUP(Semidetached!J$2,'Window-U'!$A$4:$A$40,'Window-U'!$H$4:$H$40)*Semidetached!J$22))*J103</f>
        <v>714.35624750197235</v>
      </c>
      <c r="K107" s="177">
        <f>((LOOKUP(Semidetached!K$2,'Ceiling-U'!$A$4:$A$40,'Ceiling-U'!$T$4:$T$40)*Semidetached!K$15)+(LOOKUP(Semidetached!K$2,'Floor-U'!$A$4:$A$40,'Floor-U'!$H$4:$H$40)*Semidetached!K$16)+(LOOKUP(Semidetached!K$2,'Wall-U'!$A$4:$A$40,'Wall-U'!$H$4:$H$40)*Semidetached!K$13)+(LOOKUP(Semidetached!K$2,'Window-U'!$A$4:$A$40,'Window-U'!$H$4:$H$40)*Semidetached!K$22))*K103</f>
        <v>481.17655053492388</v>
      </c>
      <c r="L107" s="177">
        <f>((LOOKUP(Semidetached!L$2,'Ceiling-U'!$A$4:$A$40,'Ceiling-U'!$T$4:$T$40)*Semidetached!L$15)+(LOOKUP(Semidetached!L$2,'Floor-U'!$A$4:$A$40,'Floor-U'!$H$4:$H$40)*Semidetached!L$16)+(LOOKUP(Semidetached!L$2,'Wall-U'!$A$4:$A$40,'Wall-U'!$H$4:$H$40)*Semidetached!L$13)+(LOOKUP(Semidetached!L$2,'Window-U'!$A$4:$A$40,'Window-U'!$H$4:$H$40)*Semidetached!L$22))*L103</f>
        <v>273.54816446760645</v>
      </c>
      <c r="M107" s="177">
        <f>((LOOKUP(Semidetached!M$2,'Ceiling-U'!$A$4:$A$40,'Ceiling-U'!$T$4:$T$40)*Semidetached!M$15)+(LOOKUP(Semidetached!M$2,'Floor-U'!$A$4:$A$40,'Floor-U'!$H$4:$H$40)*Semidetached!M$16)+(LOOKUP(Semidetached!M$2,'Wall-U'!$A$4:$A$40,'Wall-U'!$H$4:$H$40)*Semidetached!M$13)+(LOOKUP(Semidetached!M$2,'Window-U'!$A$4:$A$40,'Window-U'!$H$4:$H$40)*Semidetached!M$22))*M103</f>
        <v>1425.0570196811204</v>
      </c>
      <c r="N107" s="177">
        <f>((LOOKUP(Semidetached!N$2,'Ceiling-U'!$A$4:$A$40,'Ceiling-U'!$T$4:$T$40)*Semidetached!N$15)+(LOOKUP(Semidetached!N$2,'Floor-U'!$A$4:$A$40,'Floor-U'!$H$4:$H$40)*Semidetached!N$16)+(LOOKUP(Semidetached!N$2,'Wall-U'!$A$4:$A$40,'Wall-U'!$H$4:$H$40)*Semidetached!N$13)+(LOOKUP(Semidetached!N$2,'Window-U'!$A$4:$A$40,'Window-U'!$H$4:$H$40)*Semidetached!N$22))*N103</f>
        <v>367.91382470422536</v>
      </c>
      <c r="O107" s="177">
        <f>((LOOKUP(Semidetached!O$2,'Ceiling-U'!$A$4:$A$40,'Ceiling-U'!$T$4:$T$40)*Semidetached!O$15)+(LOOKUP(Semidetached!O$2,'Floor-U'!$A$4:$A$40,'Floor-U'!$H$4:$H$40)*Semidetached!O$16)+(LOOKUP(Semidetached!O$2,'Wall-U'!$A$4:$A$40,'Wall-U'!$H$4:$H$40)*Semidetached!O$13)+(LOOKUP(Semidetached!O$2,'Window-U'!$A$4:$A$40,'Window-U'!$H$4:$H$40)*Semidetached!O$22))*O103</f>
        <v>932.07243526068351</v>
      </c>
      <c r="P107" s="177">
        <f>((LOOKUP(Semidetached!P$2,'Ceiling-U'!$A$4:$A$40,'Ceiling-U'!$T$4:$T$40)*Semidetached!P$15)+(LOOKUP(Semidetached!P$2,'Floor-U'!$A$4:$A$40,'Floor-U'!$H$4:$H$40)*Semidetached!P$16)+(LOOKUP(Semidetached!P$2,'Wall-U'!$A$4:$A$40,'Wall-U'!$H$4:$H$40)*Semidetached!P$13)+(LOOKUP(Semidetached!P$2,'Window-U'!$A$4:$A$40,'Window-U'!$H$4:$H$40)*Semidetached!P$22))*P103</f>
        <v>1392.5451274542929</v>
      </c>
      <c r="Q107" s="177">
        <f>((LOOKUP(Semidetached!Q$2,'Ceiling-U'!$A$4:$A$40,'Ceiling-U'!$T$4:$T$40)*Semidetached!Q$15)+(LOOKUP(Semidetached!Q$2,'Floor-U'!$A$4:$A$40,'Floor-U'!$H$4:$H$40)*Semidetached!Q$16)+(LOOKUP(Semidetached!Q$2,'Wall-U'!$A$4:$A$40,'Wall-U'!$H$4:$H$40)*Semidetached!Q$13)+(LOOKUP(Semidetached!Q$2,'Window-U'!$A$4:$A$40,'Window-U'!$H$4:$H$40)*Semidetached!Q$22))*Q103</f>
        <v>907.45519296330167</v>
      </c>
      <c r="R107" s="177">
        <f>((LOOKUP(Semidetached!R$2,'Ceiling-U'!$A$4:$A$40,'Ceiling-U'!$T$4:$T$40)*Semidetached!R$15)+(LOOKUP(Semidetached!R$2,'Floor-U'!$A$4:$A$40,'Floor-U'!$H$4:$H$40)*Semidetached!R$16)+(LOOKUP(Semidetached!R$2,'Wall-U'!$A$4:$A$40,'Wall-U'!$H$4:$H$40)*Semidetached!R$13)+(LOOKUP(Semidetached!R$2,'Window-U'!$A$4:$A$40,'Window-U'!$H$4:$H$40)*Semidetached!R$22))*R103</f>
        <v>783.8582698379164</v>
      </c>
      <c r="S107" s="177">
        <f>((LOOKUP(Semidetached!S$2,'Ceiling-U'!$A$4:$A$40,'Ceiling-U'!$T$4:$T$40)*Semidetached!S$15)+(LOOKUP(Semidetached!S$2,'Floor-U'!$A$4:$A$40,'Floor-U'!$H$4:$H$40)*Semidetached!S$16)+(LOOKUP(Semidetached!S$2,'Wall-U'!$A$4:$A$40,'Wall-U'!$H$4:$H$40)*Semidetached!S$13)+(LOOKUP(Semidetached!S$2,'Window-U'!$A$4:$A$40,'Window-U'!$H$4:$H$40)*Semidetached!S$22))*S103</f>
        <v>1028.4025825473341</v>
      </c>
      <c r="T107" s="177">
        <f>((LOOKUP(Semidetached!T$2,'Ceiling-U'!$A$4:$A$40,'Ceiling-U'!$T$4:$T$40)*Semidetached!T$15)+(LOOKUP(Semidetached!T$2,'Floor-U'!$A$4:$A$40,'Floor-U'!$H$4:$H$40)*Semidetached!T$16)+(LOOKUP(Semidetached!T$2,'Wall-U'!$A$4:$A$40,'Wall-U'!$H$4:$H$40)*Semidetached!T$13)+(LOOKUP(Semidetached!T$2,'Window-U'!$A$4:$A$40,'Window-U'!$H$4:$H$40)*Semidetached!T$22))*T103</f>
        <v>370.36116719048539</v>
      </c>
      <c r="U107" s="177">
        <f>((LOOKUP(Semidetached!U$2,'Ceiling-U'!$A$4:$A$40,'Ceiling-U'!$T$4:$T$40)*Semidetached!U$15)+(LOOKUP(Semidetached!U$2,'Floor-U'!$A$4:$A$40,'Floor-U'!$H$4:$H$40)*Semidetached!U$16)+(LOOKUP(Semidetached!U$2,'Wall-U'!$A$4:$A$40,'Wall-U'!$H$4:$H$40)*Semidetached!U$13)+(LOOKUP(Semidetached!U$2,'Window-U'!$A$4:$A$40,'Window-U'!$H$4:$H$40)*Semidetached!U$22))*U103</f>
        <v>1354.8082037876056</v>
      </c>
      <c r="V107" s="177">
        <f>((LOOKUP(Semidetached!V$2,'Ceiling-U'!$A$4:$A$40,'Ceiling-U'!$T$4:$T$40)*Semidetached!V$15)+(LOOKUP(Semidetached!V$2,'Floor-U'!$A$4:$A$40,'Floor-U'!$H$4:$H$40)*Semidetached!V$16)+(LOOKUP(Semidetached!V$2,'Wall-U'!$A$4:$A$40,'Wall-U'!$H$4:$H$40)*Semidetached!V$13)+(LOOKUP(Semidetached!V$2,'Window-U'!$A$4:$A$40,'Window-U'!$H$4:$H$40)*Semidetached!V$22))*V103</f>
        <v>581.87457049441537</v>
      </c>
      <c r="W107" s="177">
        <f>((LOOKUP(Semidetached!W$2,'Ceiling-U'!$A$4:$A$40,'Ceiling-U'!$T$4:$T$40)*Semidetached!W$15)+(LOOKUP(Semidetached!W$2,'Floor-U'!$A$4:$A$40,'Floor-U'!$H$4:$H$40)*Semidetached!W$16)+(LOOKUP(Semidetached!W$2,'Wall-U'!$A$4:$A$40,'Wall-U'!$H$4:$H$40)*Semidetached!W$13)+(LOOKUP(Semidetached!W$2,'Window-U'!$A$4:$A$40,'Window-U'!$H$4:$H$40)*Semidetached!W$22))*W103</f>
        <v>402.02974687443032</v>
      </c>
      <c r="X107" s="177">
        <f>((LOOKUP(Semidetached!X$2,'Ceiling-U'!$A$4:$A$40,'Ceiling-U'!$T$4:$T$40)*Semidetached!X$15)+(LOOKUP(Semidetached!X$2,'Floor-U'!$A$4:$A$40,'Floor-U'!$H$4:$H$40)*Semidetached!X$16)+(LOOKUP(Semidetached!X$2,'Wall-U'!$A$4:$A$40,'Wall-U'!$H$4:$H$40)*Semidetached!X$13)+(LOOKUP(Semidetached!X$2,'Window-U'!$A$4:$A$40,'Window-U'!$H$4:$H$40)*Semidetached!X$22))*X103</f>
        <v>478.5899251644467</v>
      </c>
      <c r="Y107" s="177">
        <f>((LOOKUP(Semidetached!Y$2,'Ceiling-U'!$A$4:$A$40,'Ceiling-U'!$T$4:$T$40)*Semidetached!Y$15)+(LOOKUP(Semidetached!Y$2,'Floor-U'!$A$4:$A$40,'Floor-U'!$H$4:$H$40)*Semidetached!Y$16)+(LOOKUP(Semidetached!Y$2,'Wall-U'!$A$4:$A$40,'Wall-U'!$H$4:$H$40)*Semidetached!Y$13)+(LOOKUP(Semidetached!Y$2,'Window-U'!$A$4:$A$40,'Window-U'!$H$4:$H$40)*Semidetached!Y$22))*Y103</f>
        <v>1995.8460687161846</v>
      </c>
      <c r="Z107" s="177">
        <f>((LOOKUP(Semidetached!Z$2,'Ceiling-U'!$A$4:$A$40,'Ceiling-U'!$T$4:$T$40)*Semidetached!Z$15)+(LOOKUP(Semidetached!Z$2,'Floor-U'!$A$4:$A$40,'Floor-U'!$H$4:$H$40)*Semidetached!Z$16)+(LOOKUP(Semidetached!Z$2,'Wall-U'!$A$4:$A$40,'Wall-U'!$H$4:$H$40)*Semidetached!Z$13)+(LOOKUP(Semidetached!Z$2,'Window-U'!$A$4:$A$40,'Window-U'!$H$4:$H$40)*Semidetached!Z$22))*Z103</f>
        <v>956.43703108028762</v>
      </c>
      <c r="AA107" s="177">
        <f>((LOOKUP(Semidetached!AA$2,'Ceiling-U'!$A$4:$A$40,'Ceiling-U'!$T$4:$T$40)*Semidetached!AA$15)+(LOOKUP(Semidetached!AA$2,'Floor-U'!$A$4:$A$40,'Floor-U'!$H$4:$H$40)*Semidetached!AA$16)+(LOOKUP(Semidetached!AA$2,'Wall-U'!$A$4:$A$40,'Wall-U'!$H$4:$H$40)*Semidetached!AA$13)+(LOOKUP(Semidetached!AA$2,'Window-U'!$A$4:$A$40,'Window-U'!$H$4:$H$40)*Semidetached!AA$22))*AA103</f>
        <v>383.716538932003</v>
      </c>
      <c r="AB107" s="177">
        <f>((LOOKUP(Semidetached!AB$2,'Ceiling-U'!$A$4:$A$40,'Ceiling-U'!$T$4:$T$40)*Semidetached!AB$15)+(LOOKUP(Semidetached!AB$2,'Floor-U'!$A$4:$A$40,'Floor-U'!$H$4:$H$40)*Semidetached!AB$16)+(LOOKUP(Semidetached!AB$2,'Wall-U'!$A$4:$A$40,'Wall-U'!$H$4:$H$40)*Semidetached!AB$13)+(LOOKUP(Semidetached!AB$2,'Window-U'!$A$4:$A$40,'Window-U'!$H$4:$H$40)*Semidetached!AB$22))*AB103</f>
        <v>776.14767171608491</v>
      </c>
      <c r="AC107" s="177">
        <f>((LOOKUP(Semidetached!AC$2,'Ceiling-U'!$A$4:$A$40,'Ceiling-U'!$T$4:$T$40)*Semidetached!AC$15)+(LOOKUP(Semidetached!AC$2,'Floor-U'!$A$4:$A$40,'Floor-U'!$H$4:$H$40)*Semidetached!AC$16)+(LOOKUP(Semidetached!AC$2,'Wall-U'!$A$4:$A$40,'Wall-U'!$H$4:$H$40)*Semidetached!AC$13)+(LOOKUP(Semidetached!AC$2,'Window-U'!$A$4:$A$40,'Window-U'!$H$4:$H$40)*Semidetached!AC$22))*AC103</f>
        <v>1819.3824993961316</v>
      </c>
      <c r="AD107" s="177">
        <f>((LOOKUP(Semidetached!AD$2,'Ceiling-U'!$A$4:$A$40,'Ceiling-U'!$T$4:$T$40)*Semidetached!AD$15)+(LOOKUP(Semidetached!AD$2,'Floor-U'!$A$4:$A$40,'Floor-U'!$H$4:$H$40)*Semidetached!AD$16)+(LOOKUP(Semidetached!AD$2,'Wall-U'!$A$4:$A$40,'Wall-U'!$H$4:$H$40)*Semidetached!AD$13)+(LOOKUP(Semidetached!AD$2,'Window-U'!$A$4:$A$40,'Window-U'!$H$4:$H$40)*Semidetached!AD$22))*AD103</f>
        <v>962.72510259914475</v>
      </c>
      <c r="AE107" s="177">
        <f>((LOOKUP(Semidetached!AE$2,'Ceiling-U'!$A$4:$A$40,'Ceiling-U'!$T$4:$T$40)*Semidetached!AE$15)+(LOOKUP(Semidetached!AE$2,'Floor-U'!$A$4:$A$40,'Floor-U'!$H$4:$H$40)*Semidetached!AE$16)+(LOOKUP(Semidetached!AE$2,'Wall-U'!$A$4:$A$40,'Wall-U'!$H$4:$H$40)*Semidetached!AE$13)+(LOOKUP(Semidetached!AE$2,'Window-U'!$A$4:$A$40,'Window-U'!$H$4:$H$40)*Semidetached!AE$22))*AE103</f>
        <v>378.97717019817441</v>
      </c>
      <c r="AF107" s="177">
        <f>((LOOKUP(Semidetached!AF$2,'Ceiling-U'!$A$4:$A$40,'Ceiling-U'!$T$4:$T$40)*Semidetached!AF$15)+(LOOKUP(Semidetached!AF$2,'Floor-U'!$A$4:$A$40,'Floor-U'!$H$4:$H$40)*Semidetached!AF$16)+(LOOKUP(Semidetached!AF$2,'Wall-U'!$A$4:$A$40,'Wall-U'!$H$4:$H$40)*Semidetached!AF$13)+(LOOKUP(Semidetached!AF$2,'Window-U'!$A$4:$A$40,'Window-U'!$H$4:$H$40)*Semidetached!AF$22))*AF103</f>
        <v>800.2431280935549</v>
      </c>
      <c r="AG107" s="177">
        <f>((LOOKUP(Semidetached!AG$2,'Ceiling-U'!$A$4:$A$40,'Ceiling-U'!$T$4:$T$40)*Semidetached!AG$15)+(LOOKUP(Semidetached!AG$2,'Floor-U'!$A$4:$A$40,'Floor-U'!$H$4:$H$40)*Semidetached!AG$16)+(LOOKUP(Semidetached!AG$2,'Wall-U'!$A$4:$A$40,'Wall-U'!$H$4:$H$40)*Semidetached!AG$13)+(LOOKUP(Semidetached!AG$2,'Window-U'!$A$4:$A$40,'Window-U'!$H$4:$H$40)*Semidetached!AG$22))*AG103</f>
        <v>1164.2339650606032</v>
      </c>
      <c r="AH107" s="177">
        <f>((LOOKUP(Semidetached!AH$2,'Ceiling-U'!$A$4:$A$40,'Ceiling-U'!$T$4:$T$40)*Semidetached!AH$15)+(LOOKUP(Semidetached!AH$2,'Floor-U'!$A$4:$A$40,'Floor-U'!$H$4:$H$40)*Semidetached!AH$16)+(LOOKUP(Semidetached!AH$2,'Wall-U'!$A$4:$A$40,'Wall-U'!$H$4:$H$40)*Semidetached!AH$13)+(LOOKUP(Semidetached!AH$2,'Window-U'!$A$4:$A$40,'Window-U'!$H$4:$H$40)*Semidetached!AH$22))*AH103</f>
        <v>658.03742589894637</v>
      </c>
      <c r="AI107" s="177">
        <f>((LOOKUP(Semidetached!AI$2,'Ceiling-U'!$A$4:$A$40,'Ceiling-U'!$T$4:$T$40)*Semidetached!AI$15)+(LOOKUP(Semidetached!AI$2,'Floor-U'!$A$4:$A$40,'Floor-U'!$H$4:$H$40)*Semidetached!AI$16)+(LOOKUP(Semidetached!AI$2,'Wall-U'!$A$4:$A$40,'Wall-U'!$H$4:$H$40)*Semidetached!AI$13)+(LOOKUP(Semidetached!AI$2,'Window-U'!$A$4:$A$40,'Window-U'!$H$4:$H$40)*Semidetached!AI$22))*AI103</f>
        <v>2005.9082377985458</v>
      </c>
      <c r="AJ107" s="177">
        <f>((LOOKUP(Semidetached!AJ$2,'Ceiling-U'!$A$4:$A$40,'Ceiling-U'!$T$4:$T$40)*Semidetached!AJ$15)+(LOOKUP(Semidetached!AJ$2,'Floor-U'!$A$4:$A$40,'Floor-U'!$H$4:$H$40)*Semidetached!AJ$16)+(LOOKUP(Semidetached!AJ$2,'Wall-U'!$A$4:$A$40,'Wall-U'!$H$4:$H$40)*Semidetached!AJ$13)+(LOOKUP(Semidetached!AJ$2,'Window-U'!$A$4:$A$40,'Window-U'!$H$4:$H$40)*Semidetached!AJ$22))*AJ103</f>
        <v>862.80898697373664</v>
      </c>
      <c r="AK107" s="177">
        <f>((LOOKUP(Semidetached!AK$2,'Ceiling-U'!$A$4:$A$40,'Ceiling-U'!$T$4:$T$40)*Semidetached!AK$15)+(LOOKUP(Semidetached!AK$2,'Floor-U'!$A$4:$A$40,'Floor-U'!$H$4:$H$40)*Semidetached!AK$16)+(LOOKUP(Semidetached!AK$2,'Wall-U'!$A$4:$A$40,'Wall-U'!$H$4:$H$40)*Semidetached!AK$13)+(LOOKUP(Semidetached!AK$2,'Window-U'!$A$4:$A$40,'Window-U'!$H$4:$H$40)*Semidetached!AK$22))*AK103</f>
        <v>1032.5915540752321</v>
      </c>
      <c r="AL107" s="177">
        <f>((LOOKUP(Semidetached!AL$2,'Ceiling-U'!$A$4:$A$40,'Ceiling-U'!$T$4:$T$40)*Semidetached!AL$15)+(LOOKUP(Semidetached!AL$2,'Floor-U'!$A$4:$A$40,'Floor-U'!$H$4:$H$40)*Semidetached!AL$16)+(LOOKUP(Semidetached!AL$2,'Wall-U'!$A$4:$A$40,'Wall-U'!$H$4:$H$40)*Semidetached!AL$13)+(LOOKUP(Semidetached!AL$2,'Window-U'!$A$4:$A$40,'Window-U'!$H$4:$H$40)*Semidetached!AL$22))*AL103</f>
        <v>808.5823274803688</v>
      </c>
      <c r="AM107" s="177">
        <f>((LOOKUP(Semidetached!AM$2,'Ceiling-U'!$A$4:$A$40,'Ceiling-U'!$T$4:$T$40)*Semidetached!AM$15)+(LOOKUP(Semidetached!AM$2,'Floor-U'!$A$4:$A$40,'Floor-U'!$H$4:$H$40)*Semidetached!AM$16)+(LOOKUP(Semidetached!AM$2,'Wall-U'!$A$4:$A$40,'Wall-U'!$H$4:$H$40)*Semidetached!AM$13)+(LOOKUP(Semidetached!AM$2,'Window-U'!$A$4:$A$40,'Window-U'!$H$4:$H$40)*Semidetached!AM$22))*AM103</f>
        <v>862.80898697373664</v>
      </c>
      <c r="AN107" s="178">
        <f>((LOOKUP(Semidetached!AN$2,'Ceiling-U'!$A$4:$A$40,'Ceiling-U'!$T$4:$T$40)*Semidetached!AN$15)+(LOOKUP(Semidetached!AN$2,'Floor-U'!$A$4:$A$40,'Floor-U'!$H$4:$H$40)*Semidetached!AN$16)+(LOOKUP(Semidetached!AN$2,'Wall-U'!$A$4:$A$40,'Wall-U'!$H$4:$H$40)*Semidetached!AN$13)+(LOOKUP(Semidetached!AN$2,'Window-U'!$A$4:$A$40,'Window-U'!$H$4:$H$40)*Semidetached!AN$22))*AN103</f>
        <v>862.80898697373664</v>
      </c>
    </row>
    <row r="108" spans="1:40">
      <c r="A108" s="372"/>
      <c r="B108" s="142" t="s">
        <v>6</v>
      </c>
      <c r="C108" s="131" t="s">
        <v>195</v>
      </c>
      <c r="D108" s="176">
        <f>((LOOKUP(Semidetached!D$2,'Ceiling-U'!$A$4:$A$40,'Ceiling-U'!$U$4:$U$40)*Semidetached!D$15)+(LOOKUP(Semidetached!D$2,'Floor-U'!$A$4:$A$40,'Floor-U'!$I$4:$I$40)*Semidetached!D$16)+(LOOKUP(Semidetached!D$2,'Wall-U'!$A$4:$A$40,'Wall-U'!$I$4:$I$40)*Semidetached!D$13)+(LOOKUP(Semidetached!D$2,'Window-U'!$A$4:$A$40,'Window-U'!$I$4:$I$40)*Semidetached!D$22))*D103</f>
        <v>586.62530368357</v>
      </c>
      <c r="E108" s="177">
        <f>((LOOKUP(Semidetached!E$2,'Ceiling-U'!$A$4:$A$40,'Ceiling-U'!$U$4:$U$40)*Semidetached!E$15)+(LOOKUP(Semidetached!E$2,'Floor-U'!$A$4:$A$40,'Floor-U'!$I$4:$I$40)*Semidetached!E$16)+(LOOKUP(Semidetached!E$2,'Wall-U'!$A$4:$A$40,'Wall-U'!$I$4:$I$40)*Semidetached!E$13)+(LOOKUP(Semidetached!E$2,'Window-U'!$A$4:$A$40,'Window-U'!$I$4:$I$40)*Semidetached!E$22))*E103</f>
        <v>1459.9917761660035</v>
      </c>
      <c r="F108" s="177">
        <f>((LOOKUP(Semidetached!F$2,'Ceiling-U'!$A$4:$A$40,'Ceiling-U'!$U$4:$U$40)*Semidetached!F$15)+(LOOKUP(Semidetached!F$2,'Floor-U'!$A$4:$A$40,'Floor-U'!$I$4:$I$40)*Semidetached!F$16)+(LOOKUP(Semidetached!F$2,'Wall-U'!$A$4:$A$40,'Wall-U'!$I$4:$I$40)*Semidetached!F$13)+(LOOKUP(Semidetached!F$2,'Window-U'!$A$4:$A$40,'Window-U'!$I$4:$I$40)*Semidetached!F$22))*F103</f>
        <v>626.78935210838426</v>
      </c>
      <c r="G108" s="177">
        <f>((LOOKUP(Semidetached!G$2,'Ceiling-U'!$A$4:$A$40,'Ceiling-U'!$U$4:$U$40)*Semidetached!G$15)+(LOOKUP(Semidetached!G$2,'Floor-U'!$A$4:$A$40,'Floor-U'!$I$4:$I$40)*Semidetached!G$16)+(LOOKUP(Semidetached!G$2,'Wall-U'!$A$4:$A$40,'Wall-U'!$I$4:$I$40)*Semidetached!G$13)+(LOOKUP(Semidetached!G$2,'Window-U'!$A$4:$A$40,'Window-U'!$I$4:$I$40)*Semidetached!G$22))*G103</f>
        <v>604.42160562791685</v>
      </c>
      <c r="H108" s="177">
        <f>((LOOKUP(Semidetached!H$2,'Ceiling-U'!$A$4:$A$40,'Ceiling-U'!$U$4:$U$40)*Semidetached!H$15)+(LOOKUP(Semidetached!H$2,'Floor-U'!$A$4:$A$40,'Floor-U'!$I$4:$I$40)*Semidetached!H$16)+(LOOKUP(Semidetached!H$2,'Wall-U'!$A$4:$A$40,'Wall-U'!$I$4:$I$40)*Semidetached!H$13)+(LOOKUP(Semidetached!H$2,'Window-U'!$A$4:$A$40,'Window-U'!$I$4:$I$40)*Semidetached!H$22))*H103</f>
        <v>1578.1607270802001</v>
      </c>
      <c r="I108" s="177">
        <f>((LOOKUP(Semidetached!I$2,'Ceiling-U'!$A$4:$A$40,'Ceiling-U'!$U$4:$U$40)*Semidetached!I$15)+(LOOKUP(Semidetached!I$2,'Floor-U'!$A$4:$A$40,'Floor-U'!$I$4:$I$40)*Semidetached!I$16)+(LOOKUP(Semidetached!I$2,'Wall-U'!$A$4:$A$40,'Wall-U'!$I$4:$I$40)*Semidetached!I$13)+(LOOKUP(Semidetached!I$2,'Window-U'!$A$4:$A$40,'Window-U'!$I$4:$I$40)*Semidetached!I$22))*I103</f>
        <v>577.6637220081227</v>
      </c>
      <c r="J108" s="177">
        <f>((LOOKUP(Semidetached!J$2,'Ceiling-U'!$A$4:$A$40,'Ceiling-U'!$U$4:$U$40)*Semidetached!J$15)+(LOOKUP(Semidetached!J$2,'Floor-U'!$A$4:$A$40,'Floor-U'!$I$4:$I$40)*Semidetached!J$16)+(LOOKUP(Semidetached!J$2,'Wall-U'!$A$4:$A$40,'Wall-U'!$I$4:$I$40)*Semidetached!J$13)+(LOOKUP(Semidetached!J$2,'Window-U'!$A$4:$A$40,'Window-U'!$I$4:$I$40)*Semidetached!J$22))*J103</f>
        <v>384.77572848721923</v>
      </c>
      <c r="K108" s="177">
        <f>((LOOKUP(Semidetached!K$2,'Ceiling-U'!$A$4:$A$40,'Ceiling-U'!$U$4:$U$40)*Semidetached!K$15)+(LOOKUP(Semidetached!K$2,'Floor-U'!$A$4:$A$40,'Floor-U'!$I$4:$I$40)*Semidetached!K$16)+(LOOKUP(Semidetached!K$2,'Wall-U'!$A$4:$A$40,'Wall-U'!$I$4:$I$40)*Semidetached!K$13)+(LOOKUP(Semidetached!K$2,'Window-U'!$A$4:$A$40,'Window-U'!$I$4:$I$40)*Semidetached!K$22))*K103</f>
        <v>481.17655053492388</v>
      </c>
      <c r="L108" s="177">
        <f>((LOOKUP(Semidetached!L$2,'Ceiling-U'!$A$4:$A$40,'Ceiling-U'!$U$4:$U$40)*Semidetached!L$15)+(LOOKUP(Semidetached!L$2,'Floor-U'!$A$4:$A$40,'Floor-U'!$I$4:$I$40)*Semidetached!L$16)+(LOOKUP(Semidetached!L$2,'Wall-U'!$A$4:$A$40,'Wall-U'!$I$4:$I$40)*Semidetached!L$13)+(LOOKUP(Semidetached!L$2,'Window-U'!$A$4:$A$40,'Window-U'!$I$4:$I$40)*Semidetached!L$22))*L103</f>
        <v>229.95256505039112</v>
      </c>
      <c r="M108" s="177">
        <f>((LOOKUP(Semidetached!M$2,'Ceiling-U'!$A$4:$A$40,'Ceiling-U'!$U$4:$U$40)*Semidetached!M$15)+(LOOKUP(Semidetached!M$2,'Floor-U'!$A$4:$A$40,'Floor-U'!$I$4:$I$40)*Semidetached!M$16)+(LOOKUP(Semidetached!M$2,'Wall-U'!$A$4:$A$40,'Wall-U'!$I$4:$I$40)*Semidetached!M$13)+(LOOKUP(Semidetached!M$2,'Window-U'!$A$4:$A$40,'Window-U'!$I$4:$I$40)*Semidetached!M$22))*M103</f>
        <v>1425.0570196811204</v>
      </c>
      <c r="N108" s="177">
        <f>((LOOKUP(Semidetached!N$2,'Ceiling-U'!$A$4:$A$40,'Ceiling-U'!$U$4:$U$40)*Semidetached!N$15)+(LOOKUP(Semidetached!N$2,'Floor-U'!$A$4:$A$40,'Floor-U'!$I$4:$I$40)*Semidetached!N$16)+(LOOKUP(Semidetached!N$2,'Wall-U'!$A$4:$A$40,'Wall-U'!$I$4:$I$40)*Semidetached!N$13)+(LOOKUP(Semidetached!N$2,'Window-U'!$A$4:$A$40,'Window-U'!$I$4:$I$40)*Semidetached!N$22))*N103</f>
        <v>362.06668377115778</v>
      </c>
      <c r="O108" s="177">
        <f>((LOOKUP(Semidetached!O$2,'Ceiling-U'!$A$4:$A$40,'Ceiling-U'!$U$4:$U$40)*Semidetached!O$15)+(LOOKUP(Semidetached!O$2,'Floor-U'!$A$4:$A$40,'Floor-U'!$I$4:$I$40)*Semidetached!O$16)+(LOOKUP(Semidetached!O$2,'Wall-U'!$A$4:$A$40,'Wall-U'!$I$4:$I$40)*Semidetached!O$13)+(LOOKUP(Semidetached!O$2,'Window-U'!$A$4:$A$40,'Window-U'!$I$4:$I$40)*Semidetached!O$22))*O103</f>
        <v>494.52494997472758</v>
      </c>
      <c r="P108" s="177">
        <f>((LOOKUP(Semidetached!P$2,'Ceiling-U'!$A$4:$A$40,'Ceiling-U'!$U$4:$U$40)*Semidetached!P$15)+(LOOKUP(Semidetached!P$2,'Floor-U'!$A$4:$A$40,'Floor-U'!$I$4:$I$40)*Semidetached!P$16)+(LOOKUP(Semidetached!P$2,'Wall-U'!$A$4:$A$40,'Wall-U'!$I$4:$I$40)*Semidetached!P$13)+(LOOKUP(Semidetached!P$2,'Window-U'!$A$4:$A$40,'Window-U'!$I$4:$I$40)*Semidetached!P$22))*P103</f>
        <v>1392.5451274542929</v>
      </c>
      <c r="Q108" s="177">
        <f>((LOOKUP(Semidetached!Q$2,'Ceiling-U'!$A$4:$A$40,'Ceiling-U'!$U$4:$U$40)*Semidetached!Q$15)+(LOOKUP(Semidetached!Q$2,'Floor-U'!$A$4:$A$40,'Floor-U'!$I$4:$I$40)*Semidetached!Q$16)+(LOOKUP(Semidetached!Q$2,'Wall-U'!$A$4:$A$40,'Wall-U'!$I$4:$I$40)*Semidetached!Q$13)+(LOOKUP(Semidetached!Q$2,'Window-U'!$A$4:$A$40,'Window-U'!$I$4:$I$40)*Semidetached!Q$22))*Q103</f>
        <v>633.54218386612024</v>
      </c>
      <c r="R108" s="177">
        <f>((LOOKUP(Semidetached!R$2,'Ceiling-U'!$A$4:$A$40,'Ceiling-U'!$U$4:$U$40)*Semidetached!R$15)+(LOOKUP(Semidetached!R$2,'Floor-U'!$A$4:$A$40,'Floor-U'!$I$4:$I$40)*Semidetached!R$16)+(LOOKUP(Semidetached!R$2,'Wall-U'!$A$4:$A$40,'Wall-U'!$I$4:$I$40)*Semidetached!R$13)+(LOOKUP(Semidetached!R$2,'Window-U'!$A$4:$A$40,'Window-U'!$I$4:$I$40)*Semidetached!R$22))*R103</f>
        <v>783.8582698379164</v>
      </c>
      <c r="S108" s="177">
        <f>((LOOKUP(Semidetached!S$2,'Ceiling-U'!$A$4:$A$40,'Ceiling-U'!$U$4:$U$40)*Semidetached!S$15)+(LOOKUP(Semidetached!S$2,'Floor-U'!$A$4:$A$40,'Floor-U'!$I$4:$I$40)*Semidetached!S$16)+(LOOKUP(Semidetached!S$2,'Wall-U'!$A$4:$A$40,'Wall-U'!$I$4:$I$40)*Semidetached!S$13)+(LOOKUP(Semidetached!S$2,'Window-U'!$A$4:$A$40,'Window-U'!$I$4:$I$40)*Semidetached!S$22))*S103</f>
        <v>846.25532292574178</v>
      </c>
      <c r="T108" s="177">
        <f>((LOOKUP(Semidetached!T$2,'Ceiling-U'!$A$4:$A$40,'Ceiling-U'!$U$4:$U$40)*Semidetached!T$15)+(LOOKUP(Semidetached!T$2,'Floor-U'!$A$4:$A$40,'Floor-U'!$I$4:$I$40)*Semidetached!T$16)+(LOOKUP(Semidetached!T$2,'Wall-U'!$A$4:$A$40,'Wall-U'!$I$4:$I$40)*Semidetached!T$13)+(LOOKUP(Semidetached!T$2,'Window-U'!$A$4:$A$40,'Window-U'!$I$4:$I$40)*Semidetached!T$22))*T103</f>
        <v>364.45888296736018</v>
      </c>
      <c r="U108" s="177">
        <f>((LOOKUP(Semidetached!U$2,'Ceiling-U'!$A$4:$A$40,'Ceiling-U'!$U$4:$U$40)*Semidetached!U$15)+(LOOKUP(Semidetached!U$2,'Floor-U'!$A$4:$A$40,'Floor-U'!$I$4:$I$40)*Semidetached!U$16)+(LOOKUP(Semidetached!U$2,'Wall-U'!$A$4:$A$40,'Wall-U'!$I$4:$I$40)*Semidetached!U$13)+(LOOKUP(Semidetached!U$2,'Window-U'!$A$4:$A$40,'Window-U'!$I$4:$I$40)*Semidetached!U$22))*U103</f>
        <v>1269.8359991106468</v>
      </c>
      <c r="V108" s="177">
        <f>((LOOKUP(Semidetached!V$2,'Ceiling-U'!$A$4:$A$40,'Ceiling-U'!$U$4:$U$40)*Semidetached!V$15)+(LOOKUP(Semidetached!V$2,'Floor-U'!$A$4:$A$40,'Floor-U'!$I$4:$I$40)*Semidetached!V$16)+(LOOKUP(Semidetached!V$2,'Wall-U'!$A$4:$A$40,'Wall-U'!$I$4:$I$40)*Semidetached!V$13)+(LOOKUP(Semidetached!V$2,'Window-U'!$A$4:$A$40,'Window-U'!$I$4:$I$40)*Semidetached!V$22))*V103</f>
        <v>581.87457049441537</v>
      </c>
      <c r="W108" s="177">
        <f>((LOOKUP(Semidetached!W$2,'Ceiling-U'!$A$4:$A$40,'Ceiling-U'!$U$4:$U$40)*Semidetached!W$15)+(LOOKUP(Semidetached!W$2,'Floor-U'!$A$4:$A$40,'Floor-U'!$I$4:$I$40)*Semidetached!W$16)+(LOOKUP(Semidetached!W$2,'Wall-U'!$A$4:$A$40,'Wall-U'!$I$4:$I$40)*Semidetached!W$13)+(LOOKUP(Semidetached!W$2,'Window-U'!$A$4:$A$40,'Window-U'!$I$4:$I$40)*Semidetached!W$22))*W103</f>
        <v>339.7778353160121</v>
      </c>
      <c r="X108" s="177">
        <f>((LOOKUP(Semidetached!X$2,'Ceiling-U'!$A$4:$A$40,'Ceiling-U'!$U$4:$U$40)*Semidetached!X$15)+(LOOKUP(Semidetached!X$2,'Floor-U'!$A$4:$A$40,'Floor-U'!$I$4:$I$40)*Semidetached!X$16)+(LOOKUP(Semidetached!X$2,'Wall-U'!$A$4:$A$40,'Wall-U'!$I$4:$I$40)*Semidetached!X$13)+(LOOKUP(Semidetached!X$2,'Window-U'!$A$4:$A$40,'Window-U'!$I$4:$I$40)*Semidetached!X$22))*X103</f>
        <v>475.77913617773669</v>
      </c>
      <c r="Y108" s="177">
        <f>((LOOKUP(Semidetached!Y$2,'Ceiling-U'!$A$4:$A$40,'Ceiling-U'!$U$4:$U$40)*Semidetached!Y$15)+(LOOKUP(Semidetached!Y$2,'Floor-U'!$A$4:$A$40,'Floor-U'!$I$4:$I$40)*Semidetached!Y$16)+(LOOKUP(Semidetached!Y$2,'Wall-U'!$A$4:$A$40,'Wall-U'!$I$4:$I$40)*Semidetached!Y$13)+(LOOKUP(Semidetached!Y$2,'Window-U'!$A$4:$A$40,'Window-U'!$I$4:$I$40)*Semidetached!Y$22))*Y103</f>
        <v>1994.0096635337359</v>
      </c>
      <c r="Z108" s="177">
        <f>((LOOKUP(Semidetached!Z$2,'Ceiling-U'!$A$4:$A$40,'Ceiling-U'!$U$4:$U$40)*Semidetached!Z$15)+(LOOKUP(Semidetached!Z$2,'Floor-U'!$A$4:$A$40,'Floor-U'!$I$4:$I$40)*Semidetached!Z$16)+(LOOKUP(Semidetached!Z$2,'Wall-U'!$A$4:$A$40,'Wall-U'!$I$4:$I$40)*Semidetached!Z$13)+(LOOKUP(Semidetached!Z$2,'Window-U'!$A$4:$A$40,'Window-U'!$I$4:$I$40)*Semidetached!Z$22))*Z103</f>
        <v>854.09181476031893</v>
      </c>
      <c r="AA108" s="177">
        <f>((LOOKUP(Semidetached!AA$2,'Ceiling-U'!$A$4:$A$40,'Ceiling-U'!$U$4:$U$40)*Semidetached!AA$15)+(LOOKUP(Semidetached!AA$2,'Floor-U'!$A$4:$A$40,'Floor-U'!$I$4:$I$40)*Semidetached!AA$16)+(LOOKUP(Semidetached!AA$2,'Wall-U'!$A$4:$A$40,'Wall-U'!$I$4:$I$40)*Semidetached!AA$13)+(LOOKUP(Semidetached!AA$2,'Window-U'!$A$4:$A$40,'Window-U'!$I$4:$I$40)*Semidetached!AA$22))*AA103</f>
        <v>338.58014389101788</v>
      </c>
      <c r="AB108" s="177">
        <f>((LOOKUP(Semidetached!AB$2,'Ceiling-U'!$A$4:$A$40,'Ceiling-U'!$U$4:$U$40)*Semidetached!AB$15)+(LOOKUP(Semidetached!AB$2,'Floor-U'!$A$4:$A$40,'Floor-U'!$I$4:$I$40)*Semidetached!AB$16)+(LOOKUP(Semidetached!AB$2,'Wall-U'!$A$4:$A$40,'Wall-U'!$I$4:$I$40)*Semidetached!AB$13)+(LOOKUP(Semidetached!AB$2,'Window-U'!$A$4:$A$40,'Window-U'!$I$4:$I$40)*Semidetached!AB$22))*AB103</f>
        <v>776.14767171608491</v>
      </c>
      <c r="AC108" s="177">
        <f>((LOOKUP(Semidetached!AC$2,'Ceiling-U'!$A$4:$A$40,'Ceiling-U'!$U$4:$U$40)*Semidetached!AC$15)+(LOOKUP(Semidetached!AC$2,'Floor-U'!$A$4:$A$40,'Floor-U'!$I$4:$I$40)*Semidetached!AC$16)+(LOOKUP(Semidetached!AC$2,'Wall-U'!$A$4:$A$40,'Wall-U'!$I$4:$I$40)*Semidetached!AC$13)+(LOOKUP(Semidetached!AC$2,'Window-U'!$A$4:$A$40,'Window-U'!$I$4:$I$40)*Semidetached!AC$22))*AC103</f>
        <v>1669.9098316469908</v>
      </c>
      <c r="AD108" s="177">
        <f>((LOOKUP(Semidetached!AD$2,'Ceiling-U'!$A$4:$A$40,'Ceiling-U'!$U$4:$U$40)*Semidetached!AD$15)+(LOOKUP(Semidetached!AD$2,'Floor-U'!$A$4:$A$40,'Floor-U'!$I$4:$I$40)*Semidetached!AD$16)+(LOOKUP(Semidetached!AD$2,'Wall-U'!$A$4:$A$40,'Wall-U'!$I$4:$I$40)*Semidetached!AD$13)+(LOOKUP(Semidetached!AD$2,'Window-U'!$A$4:$A$40,'Window-U'!$I$4:$I$40)*Semidetached!AD$22))*AD103</f>
        <v>962.72510259914475</v>
      </c>
      <c r="AE108" s="177">
        <f>((LOOKUP(Semidetached!AE$2,'Ceiling-U'!$A$4:$A$40,'Ceiling-U'!$U$4:$U$40)*Semidetached!AE$15)+(LOOKUP(Semidetached!AE$2,'Floor-U'!$A$4:$A$40,'Floor-U'!$I$4:$I$40)*Semidetached!AE$16)+(LOOKUP(Semidetached!AE$2,'Wall-U'!$A$4:$A$40,'Wall-U'!$I$4:$I$40)*Semidetached!AE$13)+(LOOKUP(Semidetached!AE$2,'Window-U'!$A$4:$A$40,'Window-U'!$I$4:$I$40)*Semidetached!AE$22))*AE103</f>
        <v>334.51655378518774</v>
      </c>
      <c r="AF108" s="177">
        <f>((LOOKUP(Semidetached!AF$2,'Ceiling-U'!$A$4:$A$40,'Ceiling-U'!$U$4:$U$40)*Semidetached!AF$15)+(LOOKUP(Semidetached!AF$2,'Floor-U'!$A$4:$A$40,'Floor-U'!$I$4:$I$40)*Semidetached!AF$16)+(LOOKUP(Semidetached!AF$2,'Wall-U'!$A$4:$A$40,'Wall-U'!$I$4:$I$40)*Semidetached!AF$13)+(LOOKUP(Semidetached!AF$2,'Window-U'!$A$4:$A$40,'Window-U'!$I$4:$I$40)*Semidetached!AF$22))*AF103</f>
        <v>562.46886529658502</v>
      </c>
      <c r="AG108" s="177">
        <f>((LOOKUP(Semidetached!AG$2,'Ceiling-U'!$A$4:$A$40,'Ceiling-U'!$U$4:$U$40)*Semidetached!AG$15)+(LOOKUP(Semidetached!AG$2,'Floor-U'!$A$4:$A$40,'Floor-U'!$I$4:$I$40)*Semidetached!AG$16)+(LOOKUP(Semidetached!AG$2,'Wall-U'!$A$4:$A$40,'Wall-U'!$I$4:$I$40)*Semidetached!AG$13)+(LOOKUP(Semidetached!AG$2,'Window-U'!$A$4:$A$40,'Window-U'!$I$4:$I$40)*Semidetached!AG$22))*AG103</f>
        <v>1087.5849394361292</v>
      </c>
      <c r="AH108" s="177">
        <f>((LOOKUP(Semidetached!AH$2,'Ceiling-U'!$A$4:$A$40,'Ceiling-U'!$U$4:$U$40)*Semidetached!AH$15)+(LOOKUP(Semidetached!AH$2,'Floor-U'!$A$4:$A$40,'Floor-U'!$I$4:$I$40)*Semidetached!AH$16)+(LOOKUP(Semidetached!AH$2,'Wall-U'!$A$4:$A$40,'Wall-U'!$I$4:$I$40)*Semidetached!AH$13)+(LOOKUP(Semidetached!AH$2,'Window-U'!$A$4:$A$40,'Window-U'!$I$4:$I$40)*Semidetached!AH$22))*AH103</f>
        <v>497.85102710196702</v>
      </c>
      <c r="AI108" s="177">
        <f>((LOOKUP(Semidetached!AI$2,'Ceiling-U'!$A$4:$A$40,'Ceiling-U'!$U$4:$U$40)*Semidetached!AI$15)+(LOOKUP(Semidetached!AI$2,'Floor-U'!$A$4:$A$40,'Floor-U'!$I$4:$I$40)*Semidetached!AI$16)+(LOOKUP(Semidetached!AI$2,'Wall-U'!$A$4:$A$40,'Wall-U'!$I$4:$I$40)*Semidetached!AI$13)+(LOOKUP(Semidetached!AI$2,'Window-U'!$A$4:$A$40,'Window-U'!$I$4:$I$40)*Semidetached!AI$22))*AI103</f>
        <v>2005.9082377985458</v>
      </c>
      <c r="AJ108" s="177">
        <f>((LOOKUP(Semidetached!AJ$2,'Ceiling-U'!$A$4:$A$40,'Ceiling-U'!$U$4:$U$40)*Semidetached!AJ$15)+(LOOKUP(Semidetached!AJ$2,'Floor-U'!$A$4:$A$40,'Floor-U'!$I$4:$I$40)*Semidetached!AJ$16)+(LOOKUP(Semidetached!AJ$2,'Wall-U'!$A$4:$A$40,'Wall-U'!$I$4:$I$40)*Semidetached!AJ$13)+(LOOKUP(Semidetached!AJ$2,'Window-U'!$A$4:$A$40,'Window-U'!$I$4:$I$40)*Semidetached!AJ$22))*AJ103</f>
        <v>824.34714900467486</v>
      </c>
      <c r="AK108" s="177">
        <f>((LOOKUP(Semidetached!AK$2,'Ceiling-U'!$A$4:$A$40,'Ceiling-U'!$U$4:$U$40)*Semidetached!AK$15)+(LOOKUP(Semidetached!AK$2,'Floor-U'!$A$4:$A$40,'Floor-U'!$I$4:$I$40)*Semidetached!AK$16)+(LOOKUP(Semidetached!AK$2,'Wall-U'!$A$4:$A$40,'Wall-U'!$I$4:$I$40)*Semidetached!AK$13)+(LOOKUP(Semidetached!AK$2,'Window-U'!$A$4:$A$40,'Window-U'!$I$4:$I$40)*Semidetached!AK$22))*AK103</f>
        <v>985.19701855469486</v>
      </c>
      <c r="AL108" s="177">
        <f>((LOOKUP(Semidetached!AL$2,'Ceiling-U'!$A$4:$A$40,'Ceiling-U'!$U$4:$U$40)*Semidetached!AL$15)+(LOOKUP(Semidetached!AL$2,'Floor-U'!$A$4:$A$40,'Floor-U'!$I$4:$I$40)*Semidetached!AL$16)+(LOOKUP(Semidetached!AL$2,'Wall-U'!$A$4:$A$40,'Wall-U'!$I$4:$I$40)*Semidetached!AL$13)+(LOOKUP(Semidetached!AL$2,'Window-U'!$A$4:$A$40,'Window-U'!$I$4:$I$40)*Semidetached!AL$22))*AL103</f>
        <v>653.06895330972361</v>
      </c>
      <c r="AM108" s="177">
        <f>((LOOKUP(Semidetached!AM$2,'Ceiling-U'!$A$4:$A$40,'Ceiling-U'!$U$4:$U$40)*Semidetached!AM$15)+(LOOKUP(Semidetached!AM$2,'Floor-U'!$A$4:$A$40,'Floor-U'!$I$4:$I$40)*Semidetached!AM$16)+(LOOKUP(Semidetached!AM$2,'Wall-U'!$A$4:$A$40,'Wall-U'!$I$4:$I$40)*Semidetached!AM$13)+(LOOKUP(Semidetached!AM$2,'Window-U'!$A$4:$A$40,'Window-U'!$I$4:$I$40)*Semidetached!AM$22))*AM103</f>
        <v>824.34714900467486</v>
      </c>
      <c r="AN108" s="178">
        <f>((LOOKUP(Semidetached!AN$2,'Ceiling-U'!$A$4:$A$40,'Ceiling-U'!$U$4:$U$40)*Semidetached!AN$15)+(LOOKUP(Semidetached!AN$2,'Floor-U'!$A$4:$A$40,'Floor-U'!$I$4:$I$40)*Semidetached!AN$16)+(LOOKUP(Semidetached!AN$2,'Wall-U'!$A$4:$A$40,'Wall-U'!$I$4:$I$40)*Semidetached!AN$13)+(LOOKUP(Semidetached!AN$2,'Window-U'!$A$4:$A$40,'Window-U'!$I$4:$I$40)*Semidetached!AN$22))*AN103</f>
        <v>824.34714900467486</v>
      </c>
    </row>
    <row r="109" spans="1:40">
      <c r="A109" s="373"/>
      <c r="B109" s="374" t="s">
        <v>7</v>
      </c>
      <c r="C109" s="131" t="s">
        <v>195</v>
      </c>
      <c r="D109" s="176">
        <f>((LOOKUP(Semidetached!D$2,'Ceiling-U'!$A$4:$A$40,'Ceiling-U'!$V$4:$V$40)*Semidetached!D$15)+(LOOKUP(Semidetached!D$2,'Floor-U'!$A$4:$A$40,'Floor-U'!$J$4:$J$40)*Semidetached!D$16)+(LOOKUP(Semidetached!D$2,'Wall-U'!$A$4:$A$40,'Wall-U'!$J$4:$J$40)*Semidetached!D$13)+(LOOKUP(Semidetached!D$2,'Window-U'!$A$4:$A$40,'Window-U'!$J$4:$J$40)*Semidetached!D$22))*D103</f>
        <v>510.1440739662782</v>
      </c>
      <c r="E109" s="174">
        <f>((LOOKUP(Semidetached!E$2,'Ceiling-U'!$A$4:$A$40,'Ceiling-U'!$V$4:$V$40)*Semidetached!E$15)+(LOOKUP(Semidetached!E$2,'Floor-U'!$A$4:$A$40,'Floor-U'!$J$4:$J$40)*Semidetached!E$16)+(LOOKUP(Semidetached!E$2,'Wall-U'!$A$4:$A$40,'Wall-U'!$J$4:$J$40)*Semidetached!E$13)+(LOOKUP(Semidetached!E$2,'Window-U'!$A$4:$A$40,'Window-U'!$J$4:$J$40)*Semidetached!E$22))*E103</f>
        <v>844.23147203277074</v>
      </c>
      <c r="F109" s="174">
        <f>((LOOKUP(Semidetached!F$2,'Ceiling-U'!$A$4:$A$40,'Ceiling-U'!$V$4:$V$40)*Semidetached!F$15)+(LOOKUP(Semidetached!F$2,'Floor-U'!$A$4:$A$40,'Floor-U'!$J$4:$J$40)*Semidetached!F$16)+(LOOKUP(Semidetached!F$2,'Wall-U'!$A$4:$A$40,'Wall-U'!$J$4:$J$40)*Semidetached!F$13)+(LOOKUP(Semidetached!F$2,'Window-U'!$A$4:$A$40,'Window-U'!$J$4:$J$40)*Semidetached!F$22))*F103</f>
        <v>405.26332101706043</v>
      </c>
      <c r="G109" s="174">
        <f>((LOOKUP(Semidetached!G$2,'Ceiling-U'!$A$4:$A$40,'Ceiling-U'!$V$4:$V$40)*Semidetached!G$15)+(LOOKUP(Semidetached!G$2,'Floor-U'!$A$4:$A$40,'Floor-U'!$J$4:$J$40)*Semidetached!G$16)+(LOOKUP(Semidetached!G$2,'Wall-U'!$A$4:$A$40,'Wall-U'!$J$4:$J$40)*Semidetached!G$13)+(LOOKUP(Semidetached!G$2,'Window-U'!$A$4:$A$40,'Window-U'!$J$4:$J$40)*Semidetached!G$22))*G103</f>
        <v>525.16205850540723</v>
      </c>
      <c r="H109" s="174">
        <f>((LOOKUP(Semidetached!H$2,'Ceiling-U'!$A$4:$A$40,'Ceiling-U'!$V$4:$V$40)*Semidetached!H$15)+(LOOKUP(Semidetached!H$2,'Floor-U'!$A$4:$A$40,'Floor-U'!$J$4:$J$40)*Semidetached!H$16)+(LOOKUP(Semidetached!H$2,'Wall-U'!$A$4:$A$40,'Wall-U'!$J$4:$J$40)*Semidetached!H$13)+(LOOKUP(Semidetached!H$2,'Window-U'!$A$4:$A$40,'Window-U'!$J$4:$J$40)*Semidetached!H$22))*H103</f>
        <v>1094.1149651917503</v>
      </c>
      <c r="I109" s="174">
        <f>((LOOKUP(Semidetached!I$2,'Ceiling-U'!$A$4:$A$40,'Ceiling-U'!$V$4:$V$40)*Semidetached!I$15)+(LOOKUP(Semidetached!I$2,'Floor-U'!$A$4:$A$40,'Floor-U'!$J$4:$J$40)*Semidetached!I$16)+(LOOKUP(Semidetached!I$2,'Wall-U'!$A$4:$A$40,'Wall-U'!$J$4:$J$40)*Semidetached!I$13)+(LOOKUP(Semidetached!I$2,'Window-U'!$A$4:$A$40,'Window-U'!$J$4:$J$40)*Semidetached!I$22))*I103</f>
        <v>443.30828955943241</v>
      </c>
      <c r="J109" s="174">
        <f>((LOOKUP(Semidetached!J$2,'Ceiling-U'!$A$4:$A$40,'Ceiling-U'!$V$4:$V$40)*Semidetached!J$15)+(LOOKUP(Semidetached!J$2,'Floor-U'!$A$4:$A$40,'Floor-U'!$J$4:$J$40)*Semidetached!J$16)+(LOOKUP(Semidetached!J$2,'Wall-U'!$A$4:$A$40,'Wall-U'!$J$4:$J$40)*Semidetached!J$13)+(LOOKUP(Semidetached!J$2,'Window-U'!$A$4:$A$40,'Window-U'!$J$4:$J$40)*Semidetached!J$22))*J103</f>
        <v>422.99986840698051</v>
      </c>
      <c r="K109" s="174">
        <f>((LOOKUP(Semidetached!K$2,'Ceiling-U'!$A$4:$A$40,'Ceiling-U'!$V$4:$V$40)*Semidetached!K$15)+(LOOKUP(Semidetached!K$2,'Floor-U'!$A$4:$A$40,'Floor-U'!$J$4:$J$40)*Semidetached!K$16)+(LOOKUP(Semidetached!K$2,'Wall-U'!$A$4:$A$40,'Wall-U'!$J$4:$J$40)*Semidetached!K$13)+(LOOKUP(Semidetached!K$2,'Window-U'!$A$4:$A$40,'Window-U'!$J$4:$J$40)*Semidetached!K$22))*K103</f>
        <v>330.51965284484572</v>
      </c>
      <c r="L109" s="174">
        <f>((LOOKUP(Semidetached!L$2,'Ceiling-U'!$A$4:$A$40,'Ceiling-U'!$V$4:$V$40)*Semidetached!L$15)+(LOOKUP(Semidetached!L$2,'Floor-U'!$A$4:$A$40,'Floor-U'!$J$4:$J$40)*Semidetached!L$16)+(LOOKUP(Semidetached!L$2,'Wall-U'!$A$4:$A$40,'Wall-U'!$J$4:$J$40)*Semidetached!L$13)+(LOOKUP(Semidetached!L$2,'Window-U'!$A$4:$A$40,'Window-U'!$J$4:$J$40)*Semidetached!L$22))*L103</f>
        <v>229.95256505039112</v>
      </c>
      <c r="M109" s="174">
        <f>((LOOKUP(Semidetached!M$2,'Ceiling-U'!$A$4:$A$40,'Ceiling-U'!$V$4:$V$40)*Semidetached!M$15)+(LOOKUP(Semidetached!M$2,'Floor-U'!$A$4:$A$40,'Floor-U'!$J$4:$J$40)*Semidetached!M$16)+(LOOKUP(Semidetached!M$2,'Wall-U'!$A$4:$A$40,'Wall-U'!$J$4:$J$40)*Semidetached!M$13)+(LOOKUP(Semidetached!M$2,'Window-U'!$A$4:$A$40,'Window-U'!$J$4:$J$40)*Semidetached!M$22))*M103</f>
        <v>922.30299073195476</v>
      </c>
      <c r="N109" s="174">
        <f>((LOOKUP(Semidetached!N$2,'Ceiling-U'!$A$4:$A$40,'Ceiling-U'!$V$4:$V$40)*Semidetached!N$15)+(LOOKUP(Semidetached!N$2,'Floor-U'!$A$4:$A$40,'Floor-U'!$J$4:$J$40)*Semidetached!N$16)+(LOOKUP(Semidetached!N$2,'Wall-U'!$A$4:$A$40,'Wall-U'!$J$4:$J$40)*Semidetached!N$13)+(LOOKUP(Semidetached!N$2,'Window-U'!$A$4:$A$40,'Window-U'!$J$4:$J$40)*Semidetached!N$22))*N103</f>
        <v>321.1041012771733</v>
      </c>
      <c r="O109" s="174">
        <f>((LOOKUP(Semidetached!O$2,'Ceiling-U'!$A$4:$A$40,'Ceiling-U'!$V$4:$V$40)*Semidetached!O$15)+(LOOKUP(Semidetached!O$2,'Floor-U'!$A$4:$A$40,'Floor-U'!$J$4:$J$40)*Semidetached!O$16)+(LOOKUP(Semidetached!O$2,'Wall-U'!$A$4:$A$40,'Wall-U'!$J$4:$J$40)*Semidetached!O$13)+(LOOKUP(Semidetached!O$2,'Window-U'!$A$4:$A$40,'Window-U'!$J$4:$J$40)*Semidetached!O$22))*O103</f>
        <v>476.69910061970569</v>
      </c>
      <c r="P109" s="174">
        <f>((LOOKUP(Semidetached!P$2,'Ceiling-U'!$A$4:$A$40,'Ceiling-U'!$V$4:$V$40)*Semidetached!P$15)+(LOOKUP(Semidetached!P$2,'Floor-U'!$A$4:$A$40,'Floor-U'!$J$4:$J$40)*Semidetached!P$16)+(LOOKUP(Semidetached!P$2,'Wall-U'!$A$4:$A$40,'Wall-U'!$J$4:$J$40)*Semidetached!P$13)+(LOOKUP(Semidetached!P$2,'Window-U'!$A$4:$A$40,'Window-U'!$J$4:$J$40)*Semidetached!P$22))*P103</f>
        <v>477.60634442170056</v>
      </c>
      <c r="Q109" s="174">
        <f>((LOOKUP(Semidetached!Q$2,'Ceiling-U'!$A$4:$A$40,'Ceiling-U'!$V$4:$V$40)*Semidetached!Q$15)+(LOOKUP(Semidetached!Q$2,'Floor-U'!$A$4:$A$40,'Floor-U'!$J$4:$J$40)*Semidetached!Q$16)+(LOOKUP(Semidetached!Q$2,'Wall-U'!$A$4:$A$40,'Wall-U'!$J$4:$J$40)*Semidetached!Q$13)+(LOOKUP(Semidetached!Q$2,'Window-U'!$A$4:$A$40,'Window-U'!$J$4:$J$40)*Semidetached!Q$22))*Q103</f>
        <v>389.50866645488441</v>
      </c>
      <c r="R109" s="174">
        <f>((LOOKUP(Semidetached!R$2,'Ceiling-U'!$A$4:$A$40,'Ceiling-U'!$V$4:$V$40)*Semidetached!R$15)+(LOOKUP(Semidetached!R$2,'Floor-U'!$A$4:$A$40,'Floor-U'!$J$4:$J$40)*Semidetached!R$16)+(LOOKUP(Semidetached!R$2,'Wall-U'!$A$4:$A$40,'Wall-U'!$J$4:$J$40)*Semidetached!R$13)+(LOOKUP(Semidetached!R$2,'Window-U'!$A$4:$A$40,'Window-U'!$J$4:$J$40)*Semidetached!R$22))*R103</f>
        <v>463.87832189874791</v>
      </c>
      <c r="S109" s="174">
        <f>((LOOKUP(Semidetached!S$2,'Ceiling-U'!$A$4:$A$40,'Ceiling-U'!$V$4:$V$40)*Semidetached!S$15)+(LOOKUP(Semidetached!S$2,'Floor-U'!$A$4:$A$40,'Floor-U'!$J$4:$J$40)*Semidetached!S$16)+(LOOKUP(Semidetached!S$2,'Wall-U'!$A$4:$A$40,'Wall-U'!$J$4:$J$40)*Semidetached!S$13)+(LOOKUP(Semidetached!S$2,'Window-U'!$A$4:$A$40,'Window-U'!$J$4:$J$40)*Semidetached!S$22))*S103</f>
        <v>489.87238065447957</v>
      </c>
      <c r="T109" s="174">
        <f>((LOOKUP(Semidetached!T$2,'Ceiling-U'!$A$4:$A$40,'Ceiling-U'!$V$4:$V$40)*Semidetached!T$15)+(LOOKUP(Semidetached!T$2,'Floor-U'!$A$4:$A$40,'Floor-U'!$J$4:$J$40)*Semidetached!T$16)+(LOOKUP(Semidetached!T$2,'Wall-U'!$A$4:$A$40,'Wall-U'!$J$4:$J$40)*Semidetached!T$13)+(LOOKUP(Semidetached!T$2,'Window-U'!$A$4:$A$40,'Window-U'!$J$4:$J$40)*Semidetached!T$22))*T103</f>
        <v>323.22838052201132</v>
      </c>
      <c r="U109" s="174">
        <f>((LOOKUP(Semidetached!U$2,'Ceiling-U'!$A$4:$A$40,'Ceiling-U'!$V$4:$V$40)*Semidetached!U$15)+(LOOKUP(Semidetached!U$2,'Floor-U'!$A$4:$A$40,'Floor-U'!$J$4:$J$40)*Semidetached!U$16)+(LOOKUP(Semidetached!U$2,'Wall-U'!$A$4:$A$40,'Wall-U'!$J$4:$J$40)*Semidetached!U$13)+(LOOKUP(Semidetached!U$2,'Window-U'!$A$4:$A$40,'Window-U'!$J$4:$J$40)*Semidetached!U$22))*U103</f>
        <v>1215.8359991106468</v>
      </c>
      <c r="V109" s="174">
        <f>((LOOKUP(Semidetached!V$2,'Ceiling-U'!$A$4:$A$40,'Ceiling-U'!$V$4:$V$40)*Semidetached!V$15)+(LOOKUP(Semidetached!V$2,'Floor-U'!$A$4:$A$40,'Floor-U'!$J$4:$J$40)*Semidetached!V$16)+(LOOKUP(Semidetached!V$2,'Wall-U'!$A$4:$A$40,'Wall-U'!$J$4:$J$40)*Semidetached!V$13)+(LOOKUP(Semidetached!V$2,'Window-U'!$A$4:$A$40,'Window-U'!$J$4:$J$40)*Semidetached!V$22))*V103</f>
        <v>318.34993002035566</v>
      </c>
      <c r="W109" s="174">
        <f>((LOOKUP(Semidetached!W$2,'Ceiling-U'!$A$4:$A$40,'Ceiling-U'!$V$4:$V$40)*Semidetached!W$15)+(LOOKUP(Semidetached!W$2,'Floor-U'!$A$4:$A$40,'Floor-U'!$J$4:$J$40)*Semidetached!W$16)+(LOOKUP(Semidetached!W$2,'Wall-U'!$A$4:$A$40,'Wall-U'!$J$4:$J$40)*Semidetached!W$13)+(LOOKUP(Semidetached!W$2,'Window-U'!$A$4:$A$40,'Window-U'!$J$4:$J$40)*Semidetached!W$22))*W103</f>
        <v>262.32478106786635</v>
      </c>
      <c r="X109" s="174">
        <f>((LOOKUP(Semidetached!X$2,'Ceiling-U'!$A$4:$A$40,'Ceiling-U'!$V$4:$V$40)*Semidetached!X$15)+(LOOKUP(Semidetached!X$2,'Floor-U'!$A$4:$A$40,'Floor-U'!$J$4:$J$40)*Semidetached!X$16)+(LOOKUP(Semidetached!X$2,'Wall-U'!$A$4:$A$40,'Wall-U'!$J$4:$J$40)*Semidetached!X$13)+(LOOKUP(Semidetached!X$2,'Window-U'!$A$4:$A$40,'Window-U'!$J$4:$J$40)*Semidetached!X$22))*X103</f>
        <v>288.24992685427657</v>
      </c>
      <c r="Y109" s="174">
        <f>((LOOKUP(Semidetached!Y$2,'Ceiling-U'!$A$4:$A$40,'Ceiling-U'!$V$4:$V$40)*Semidetached!Y$15)+(LOOKUP(Semidetached!Y$2,'Floor-U'!$A$4:$A$40,'Floor-U'!$J$4:$J$40)*Semidetached!Y$16)+(LOOKUP(Semidetached!Y$2,'Wall-U'!$A$4:$A$40,'Wall-U'!$J$4:$J$40)*Semidetached!Y$13)+(LOOKUP(Semidetached!Y$2,'Window-U'!$A$4:$A$40,'Window-U'!$J$4:$J$40)*Semidetached!Y$22))*Y103</f>
        <v>1883.4561616326023</v>
      </c>
      <c r="Z109" s="174">
        <f>((LOOKUP(Semidetached!Z$2,'Ceiling-U'!$A$4:$A$40,'Ceiling-U'!$V$4:$V$40)*Semidetached!Z$15)+(LOOKUP(Semidetached!Z$2,'Floor-U'!$A$4:$A$40,'Floor-U'!$J$4:$J$40)*Semidetached!Z$16)+(LOOKUP(Semidetached!Z$2,'Wall-U'!$A$4:$A$40,'Wall-U'!$J$4:$J$40)*Semidetached!Z$13)+(LOOKUP(Semidetached!Z$2,'Window-U'!$A$4:$A$40,'Window-U'!$J$4:$J$40)*Semidetached!Z$22))*Z103</f>
        <v>557.73650540480594</v>
      </c>
      <c r="AA109" s="174">
        <f>((LOOKUP(Semidetached!AA$2,'Ceiling-U'!$A$4:$A$40,'Ceiling-U'!$V$4:$V$40)*Semidetached!AA$15)+(LOOKUP(Semidetached!AA$2,'Floor-U'!$A$4:$A$40,'Floor-U'!$J$4:$J$40)*Semidetached!AA$16)+(LOOKUP(Semidetached!AA$2,'Wall-U'!$A$4:$A$40,'Wall-U'!$J$4:$J$40)*Semidetached!AA$13)+(LOOKUP(Semidetached!AA$2,'Window-U'!$A$4:$A$40,'Window-U'!$J$4:$J$40)*Semidetached!AA$22))*AA103</f>
        <v>302.43189589101792</v>
      </c>
      <c r="AB109" s="174">
        <f>((LOOKUP(Semidetached!AB$2,'Ceiling-U'!$A$4:$A$40,'Ceiling-U'!$V$4:$V$40)*Semidetached!AB$15)+(LOOKUP(Semidetached!AB$2,'Floor-U'!$A$4:$A$40,'Floor-U'!$J$4:$J$40)*Semidetached!AB$16)+(LOOKUP(Semidetached!AB$2,'Wall-U'!$A$4:$A$40,'Wall-U'!$J$4:$J$40)*Semidetached!AB$13)+(LOOKUP(Semidetached!AB$2,'Window-U'!$A$4:$A$40,'Window-U'!$J$4:$J$40)*Semidetached!AB$22))*AB103</f>
        <v>554.9288320929744</v>
      </c>
      <c r="AC109" s="174">
        <f>((LOOKUP(Semidetached!AC$2,'Ceiling-U'!$A$4:$A$40,'Ceiling-U'!$V$4:$V$40)*Semidetached!AC$15)+(LOOKUP(Semidetached!AC$2,'Floor-U'!$A$4:$A$40,'Floor-U'!$J$4:$J$40)*Semidetached!AC$16)+(LOOKUP(Semidetached!AC$2,'Wall-U'!$A$4:$A$40,'Wall-U'!$J$4:$J$40)*Semidetached!AC$13)+(LOOKUP(Semidetached!AC$2,'Window-U'!$A$4:$A$40,'Window-U'!$J$4:$J$40)*Semidetached!AC$22))*AC103</f>
        <v>1117.5982691130289</v>
      </c>
      <c r="AD109" s="174">
        <f>((LOOKUP(Semidetached!AD$2,'Ceiling-U'!$A$4:$A$40,'Ceiling-U'!$V$4:$V$40)*Semidetached!AD$15)+(LOOKUP(Semidetached!AD$2,'Floor-U'!$A$4:$A$40,'Floor-U'!$J$4:$J$40)*Semidetached!AD$16)+(LOOKUP(Semidetached!AD$2,'Wall-U'!$A$4:$A$40,'Wall-U'!$J$4:$J$40)*Semidetached!AD$13)+(LOOKUP(Semidetached!AD$2,'Window-U'!$A$4:$A$40,'Window-U'!$J$4:$J$40)*Semidetached!AD$22))*AD103</f>
        <v>742.15712855017102</v>
      </c>
      <c r="AE109" s="174">
        <f>((LOOKUP(Semidetached!AE$2,'Ceiling-U'!$A$4:$A$40,'Ceiling-U'!$V$4:$V$40)*Semidetached!AE$15)+(LOOKUP(Semidetached!AE$2,'Floor-U'!$A$4:$A$40,'Floor-U'!$J$4:$J$40)*Semidetached!AE$16)+(LOOKUP(Semidetached!AE$2,'Wall-U'!$A$4:$A$40,'Wall-U'!$J$4:$J$40)*Semidetached!AE$13)+(LOOKUP(Semidetached!AE$2,'Window-U'!$A$4:$A$40,'Window-U'!$J$4:$J$40)*Semidetached!AE$22))*AE103</f>
        <v>298.36830578518777</v>
      </c>
      <c r="AF109" s="174">
        <f>((LOOKUP(Semidetached!AF$2,'Ceiling-U'!$A$4:$A$40,'Ceiling-U'!$V$4:$V$40)*Semidetached!AF$15)+(LOOKUP(Semidetached!AF$2,'Floor-U'!$A$4:$A$40,'Floor-U'!$J$4:$J$40)*Semidetached!AF$16)+(LOOKUP(Semidetached!AF$2,'Wall-U'!$A$4:$A$40,'Wall-U'!$J$4:$J$40)*Semidetached!AF$13)+(LOOKUP(Semidetached!AF$2,'Window-U'!$A$4:$A$40,'Window-U'!$J$4:$J$40)*Semidetached!AF$22))*AF103</f>
        <v>292.67767429332696</v>
      </c>
      <c r="AG109" s="174">
        <f>((LOOKUP(Semidetached!AG$2,'Ceiling-U'!$A$4:$A$40,'Ceiling-U'!$V$4:$V$40)*Semidetached!AG$15)+(LOOKUP(Semidetached!AG$2,'Floor-U'!$A$4:$A$40,'Floor-U'!$J$4:$J$40)*Semidetached!AG$16)+(LOOKUP(Semidetached!AG$2,'Wall-U'!$A$4:$A$40,'Wall-U'!$J$4:$J$40)*Semidetached!AG$13)+(LOOKUP(Semidetached!AG$2,'Window-U'!$A$4:$A$40,'Window-U'!$J$4:$J$40)*Semidetached!AG$22))*AG103</f>
        <v>623.95367695819141</v>
      </c>
      <c r="AH109" s="174">
        <f>((LOOKUP(Semidetached!AH$2,'Ceiling-U'!$A$4:$A$40,'Ceiling-U'!$V$4:$V$40)*Semidetached!AH$15)+(LOOKUP(Semidetached!AH$2,'Floor-U'!$A$4:$A$40,'Floor-U'!$J$4:$J$40)*Semidetached!AH$16)+(LOOKUP(Semidetached!AH$2,'Wall-U'!$A$4:$A$40,'Wall-U'!$J$4:$J$40)*Semidetached!AH$13)+(LOOKUP(Semidetached!AH$2,'Window-U'!$A$4:$A$40,'Window-U'!$J$4:$J$40)*Semidetached!AH$22))*AH103</f>
        <v>409.80682473134658</v>
      </c>
      <c r="AI109" s="174">
        <f>((LOOKUP(Semidetached!AI$2,'Ceiling-U'!$A$4:$A$40,'Ceiling-U'!$V$4:$V$40)*Semidetached!AI$15)+(LOOKUP(Semidetached!AI$2,'Floor-U'!$A$4:$A$40,'Floor-U'!$J$4:$J$40)*Semidetached!AI$16)+(LOOKUP(Semidetached!AI$2,'Wall-U'!$A$4:$A$40,'Wall-U'!$J$4:$J$40)*Semidetached!AI$13)+(LOOKUP(Semidetached!AI$2,'Window-U'!$A$4:$A$40,'Window-U'!$J$4:$J$40)*Semidetached!AI$22))*AI103</f>
        <v>693.79784752812532</v>
      </c>
      <c r="AJ109" s="174">
        <f>((LOOKUP(Semidetached!AJ$2,'Ceiling-U'!$A$4:$A$40,'Ceiling-U'!$V$4:$V$40)*Semidetached!AJ$15)+(LOOKUP(Semidetached!AJ$2,'Floor-U'!$A$4:$A$40,'Floor-U'!$J$4:$J$40)*Semidetached!AJ$16)+(LOOKUP(Semidetached!AJ$2,'Wall-U'!$A$4:$A$40,'Wall-U'!$J$4:$J$40)*Semidetached!AJ$13)+(LOOKUP(Semidetached!AJ$2,'Window-U'!$A$4:$A$40,'Window-U'!$J$4:$J$40)*Semidetached!AJ$22))*AJ103</f>
        <v>712.21121787665732</v>
      </c>
      <c r="AK109" s="174">
        <f>((LOOKUP(Semidetached!AK$2,'Ceiling-U'!$A$4:$A$40,'Ceiling-U'!$V$4:$V$40)*Semidetached!AK$15)+(LOOKUP(Semidetached!AK$2,'Floor-U'!$A$4:$A$40,'Floor-U'!$J$4:$J$40)*Semidetached!AK$16)+(LOOKUP(Semidetached!AK$2,'Wall-U'!$A$4:$A$40,'Wall-U'!$J$4:$J$40)*Semidetached!AK$13)+(LOOKUP(Semidetached!AK$2,'Window-U'!$A$4:$A$40,'Window-U'!$J$4:$J$40)*Semidetached!AK$22))*AK103</f>
        <v>856.12404851630617</v>
      </c>
      <c r="AL109" s="174">
        <f>((LOOKUP(Semidetached!AL$2,'Ceiling-U'!$A$4:$A$40,'Ceiling-U'!$V$4:$V$40)*Semidetached!AL$15)+(LOOKUP(Semidetached!AL$2,'Floor-U'!$A$4:$A$40,'Floor-U'!$J$4:$J$40)*Semidetached!AL$16)+(LOOKUP(Semidetached!AL$2,'Wall-U'!$A$4:$A$40,'Wall-U'!$J$4:$J$40)*Semidetached!AL$13)+(LOOKUP(Semidetached!AL$2,'Window-U'!$A$4:$A$40,'Window-U'!$J$4:$J$40)*Semidetached!AL$22))*AL103</f>
        <v>422.50754228514518</v>
      </c>
      <c r="AM109" s="174">
        <f>((LOOKUP(Semidetached!AM$2,'Ceiling-U'!$A$4:$A$40,'Ceiling-U'!$V$4:$V$40)*Semidetached!AM$15)+(LOOKUP(Semidetached!AM$2,'Floor-U'!$A$4:$A$40,'Floor-U'!$J$4:$J$40)*Semidetached!AM$16)+(LOOKUP(Semidetached!AM$2,'Wall-U'!$A$4:$A$40,'Wall-U'!$J$4:$J$40)*Semidetached!AM$13)+(LOOKUP(Semidetached!AM$2,'Window-U'!$A$4:$A$40,'Window-U'!$J$4:$J$40)*Semidetached!AM$22))*AM103</f>
        <v>712.21121787665732</v>
      </c>
      <c r="AN109" s="175">
        <f>((LOOKUP(Semidetached!AN$2,'Ceiling-U'!$A$4:$A$40,'Ceiling-U'!$V$4:$V$40)*Semidetached!AN$15)+(LOOKUP(Semidetached!AN$2,'Floor-U'!$A$4:$A$40,'Floor-U'!$J$4:$J$40)*Semidetached!AN$16)+(LOOKUP(Semidetached!AN$2,'Wall-U'!$A$4:$A$40,'Wall-U'!$J$4:$J$40)*Semidetached!AN$13)+(LOOKUP(Semidetached!AN$2,'Window-U'!$A$4:$A$40,'Window-U'!$J$4:$J$40)*Semidetached!AN$22))*AN103</f>
        <v>712.21121787665732</v>
      </c>
    </row>
    <row r="110" spans="1:40">
      <c r="A110" s="332" t="s">
        <v>280</v>
      </c>
      <c r="B110" s="142" t="s">
        <v>2</v>
      </c>
      <c r="C110" s="360" t="s">
        <v>261</v>
      </c>
      <c r="D110" s="351">
        <f>D104*24*LOOKUP(Semidetached!D$2,'HDD-by Country'!$A$4:$A$40,'HDD-by Country'!$C$4:$C$40)/1000/Semidetached!D$3</f>
        <v>21428.739778298172</v>
      </c>
      <c r="E110" s="352">
        <f>E104*24*LOOKUP(Semidetached!E$2,'HDD-by Country'!$A$4:$A$40,'HDD-by Country'!$C$4:$C$40)/1000/Semidetached!E$3</f>
        <v>19421.885466157859</v>
      </c>
      <c r="F110" s="352">
        <f>F104*24*LOOKUP(Semidetached!F$2,'HDD-by Country'!$A$4:$A$40,'HDD-by Country'!$C$4:$C$40)/1000/Semidetached!F$3</f>
        <v>10815.819438273415</v>
      </c>
      <c r="G110" s="352">
        <f>G104*24*LOOKUP(Semidetached!G$2,'HDD-by Country'!$A$4:$A$40,'HDD-by Country'!$C$4:$C$40)/1000/Semidetached!G$3</f>
        <v>21522.157156644924</v>
      </c>
      <c r="H110" s="352">
        <f>H104*24*LOOKUP(Semidetached!H$2,'HDD-by Country'!$A$4:$A$40,'HDD-by Country'!$C$4:$C$40)/1000/Semidetached!H$3</f>
        <v>6528.9692202949664</v>
      </c>
      <c r="I110" s="352">
        <f>I104*24*LOOKUP(Semidetached!I$2,'HDD-by Country'!$A$4:$A$40,'HDD-by Country'!$C$4:$C$40)/1000/Semidetached!I$3</f>
        <v>15395.229645901745</v>
      </c>
      <c r="J110" s="352">
        <f>J104*24*LOOKUP(Semidetached!J$2,'HDD-by Country'!$A$4:$A$40,'HDD-by Country'!$C$4:$C$40)/1000/Semidetached!J$3</f>
        <v>20232.046070697561</v>
      </c>
      <c r="K110" s="352">
        <f>K104*24*LOOKUP(Semidetached!K$2,'HDD-by Country'!$A$4:$A$40,'HDD-by Country'!$C$4:$C$40)/1000/Semidetached!K$3</f>
        <v>13893.290955913692</v>
      </c>
      <c r="L110" s="352">
        <f>L104*24*LOOKUP(Semidetached!L$2,'HDD-by Country'!$A$4:$A$40,'HDD-by Country'!$C$4:$C$40)/1000/Semidetached!L$3</f>
        <v>8321.9482971206708</v>
      </c>
      <c r="M110" s="352">
        <f>M104*24*LOOKUP(Semidetached!M$2,'HDD-by Country'!$A$4:$A$40,'HDD-by Country'!$C$4:$C$40)/1000/Semidetached!M$3</f>
        <v>19404.897843085182</v>
      </c>
      <c r="N110" s="352">
        <f>N104*24*LOOKUP(Semidetached!N$2,'HDD-by Country'!$A$4:$A$40,'HDD-by Country'!$C$4:$C$40)/1000/Semidetached!N$3</f>
        <v>15279.437068614063</v>
      </c>
      <c r="O110" s="352">
        <f>O104*24*LOOKUP(Semidetached!O$2,'HDD-by Country'!$A$4:$A$40,'HDD-by Country'!$C$4:$C$40)/1000/Semidetached!O$3</f>
        <v>23131.029265167217</v>
      </c>
      <c r="P110" s="352">
        <f>P104*24*LOOKUP(Semidetached!P$2,'HDD-by Country'!$A$4:$A$40,'HDD-by Country'!$C$4:$C$40)/1000/Semidetached!P$3</f>
        <v>14587.628888793241</v>
      </c>
      <c r="Q110" s="352">
        <f>Q104*24*LOOKUP(Semidetached!Q$2,'HDD-by Country'!$A$4:$A$40,'HDD-by Country'!$C$4:$C$40)/1000/Semidetached!Q$3</f>
        <v>10201.463388500953</v>
      </c>
      <c r="R110" s="352">
        <f>R104*24*LOOKUP(Semidetached!R$2,'HDD-by Country'!$A$4:$A$40,'HDD-by Country'!$C$4:$C$40)/1000/Semidetached!R$3</f>
        <v>14375.854433703988</v>
      </c>
      <c r="S110" s="352">
        <f>S104*24*LOOKUP(Semidetached!S$2,'HDD-by Country'!$A$4:$A$40,'HDD-by Country'!$C$4:$C$40)/1000/Semidetached!S$3</f>
        <v>18043.913630835428</v>
      </c>
      <c r="T110" s="352">
        <f>T104*24*LOOKUP(Semidetached!T$2,'HDD-by Country'!$A$4:$A$40,'HDD-by Country'!$C$4:$C$40)/1000/Semidetached!T$3</f>
        <v>13089.628494833147</v>
      </c>
      <c r="U110" s="352">
        <f>U104*24*LOOKUP(Semidetached!U$2,'HDD-by Country'!$A$4:$A$40,'HDD-by Country'!$C$4:$C$40)/1000/Semidetached!U$3</f>
        <v>15791.050650693107</v>
      </c>
      <c r="V110" s="352">
        <f>V104*24*LOOKUP(Semidetached!V$2,'HDD-by Country'!$A$4:$A$40,'HDD-by Country'!$C$4:$C$40)/1000/Semidetached!V$3</f>
        <v>15474.371109732105</v>
      </c>
      <c r="W110" s="352">
        <f>W104*24*LOOKUP(Semidetached!W$2,'HDD-by Country'!$A$4:$A$40,'HDD-by Country'!$C$4:$C$40)/1000/Semidetached!W$3</f>
        <v>16633.190938992007</v>
      </c>
      <c r="X110" s="352">
        <f>X104*24*LOOKUP(Semidetached!X$2,'HDD-by Country'!$A$4:$A$40,'HDD-by Country'!$C$4:$C$40)/1000/Semidetached!X$3</f>
        <v>16213.65914079586</v>
      </c>
      <c r="Y110" s="352">
        <f>Y104*24*LOOKUP(Semidetached!Y$2,'HDD-by Country'!$A$4:$A$40,'HDD-by Country'!$C$4:$C$40)/1000/Semidetached!Y$3</f>
        <v>6426.4654077189834</v>
      </c>
      <c r="Z110" s="352">
        <f>Z104*24*LOOKUP(Semidetached!Z$2,'HDD-by Country'!$A$4:$A$40,'HDD-by Country'!$C$4:$C$40)/1000/Semidetached!Z$3</f>
        <v>20436.936399568454</v>
      </c>
      <c r="AA110" s="352">
        <f>AA104*24*LOOKUP(Semidetached!AA$2,'HDD-by Country'!$A$4:$A$40,'HDD-by Country'!$C$4:$C$40)/1000/Semidetached!AA$3</f>
        <v>12764.398628028292</v>
      </c>
      <c r="AB110" s="352">
        <f>AB104*24*LOOKUP(Semidetached!AB$2,'HDD-by Country'!$A$4:$A$40,'HDD-by Country'!$C$4:$C$40)/1000/Semidetached!AB$3</f>
        <v>20808.63088526572</v>
      </c>
      <c r="AC110" s="352">
        <f>AC104*24*LOOKUP(Semidetached!AC$2,'HDD-by Country'!$A$4:$A$40,'HDD-by Country'!$C$4:$C$40)/1000/Semidetached!AC$3</f>
        <v>10621.624850437582</v>
      </c>
      <c r="AD110" s="352">
        <f>AD104*24*LOOKUP(Semidetached!AD$2,'HDD-by Country'!$A$4:$A$40,'HDD-by Country'!$C$4:$C$40)/1000/Semidetached!AD$3</f>
        <v>16542.050732370542</v>
      </c>
      <c r="AE110" s="352">
        <f>AE104*24*LOOKUP(Semidetached!AE$2,'HDD-by Country'!$A$4:$A$40,'HDD-by Country'!$C$4:$C$40)/1000/Semidetached!AE$3</f>
        <v>12142.901093550887</v>
      </c>
      <c r="AF110" s="352">
        <f>AF104*24*LOOKUP(Semidetached!AF$2,'HDD-by Country'!$A$4:$A$40,'HDD-by Country'!$C$4:$C$40)/1000/Semidetached!AF$3</f>
        <v>14302.965163326604</v>
      </c>
      <c r="AG110" s="352">
        <f>AG104*24*LOOKUP(Semidetached!AG$2,'HDD-by Country'!$A$4:$A$40,'HDD-by Country'!$C$4:$C$40)/1000/Semidetached!AG$3</f>
        <v>21264.713057863275</v>
      </c>
      <c r="AH110" s="352">
        <f>AH104*24*LOOKUP(Semidetached!AH$2,'HDD-by Country'!$A$4:$A$40,'HDD-by Country'!$C$4:$C$40)/1000/Semidetached!AH$3</f>
        <v>16413.187671165633</v>
      </c>
      <c r="AI110" s="352">
        <f>AI104*24*LOOKUP(Semidetached!AI$2,'HDD-by Country'!$A$4:$A$40,'HDD-by Country'!$C$4:$C$40)/1000/Semidetached!AI$3</f>
        <v>14036.115204890231</v>
      </c>
      <c r="AJ110" s="352">
        <f>AJ104*24*LOOKUP(Semidetached!AJ$2,'HDD-by Country'!$A$4:$A$40,'HDD-by Country'!$C$4:$C$40)/1000/Semidetached!AJ$3</f>
        <v>11398.390132634138</v>
      </c>
      <c r="AK110" s="352">
        <f>AK104*24*LOOKUP(Semidetached!AK$2,'HDD-by Country'!$A$4:$A$40,'HDD-by Country'!$C$4:$C$40)/1000/Semidetached!AK$3</f>
        <v>12127.217249755022</v>
      </c>
      <c r="AL110" s="352">
        <f>AL104*24*LOOKUP(Semidetached!AL$2,'HDD-by Country'!$A$4:$A$40,'HDD-by Country'!$C$4:$C$40)/1000/Semidetached!AL$3</f>
        <v>11329.104109992702</v>
      </c>
      <c r="AM110" s="352">
        <f>AM104*24*LOOKUP(Semidetached!AM$2,'HDD-by Country'!$A$4:$A$40,'HDD-by Country'!$C$4:$C$40)/1000/Semidetached!AM$3</f>
        <v>10481.681822856923</v>
      </c>
      <c r="AN110" s="353">
        <f>AN104*24*LOOKUP(Semidetached!AN$2,'HDD-by Country'!$A$4:$A$40,'HDD-by Country'!$C$4:$C$40)/1000/Semidetached!AN$3</f>
        <v>10481.681822856923</v>
      </c>
    </row>
    <row r="111" spans="1:40">
      <c r="A111" s="129"/>
      <c r="B111" s="142" t="s">
        <v>3</v>
      </c>
      <c r="C111" s="129" t="s">
        <v>261</v>
      </c>
      <c r="D111" s="345">
        <f>D105*24*LOOKUP(Semidetached!D$2,'HDD-by Country'!$A$4:$A$40,'HDD-by Country'!$C$4:$C$40)/1000/Semidetached!D$3</f>
        <v>20400.84802738018</v>
      </c>
      <c r="E111" s="349">
        <f>E105*24*LOOKUP(Semidetached!E$2,'HDD-by Country'!$A$4:$A$40,'HDD-by Country'!$C$4:$C$40)/1000/Semidetached!E$3</f>
        <v>19421.885466157859</v>
      </c>
      <c r="F111" s="349">
        <f>F105*24*LOOKUP(Semidetached!F$2,'HDD-by Country'!$A$4:$A$40,'HDD-by Country'!$C$4:$C$40)/1000/Semidetached!F$3</f>
        <v>10815.819438273415</v>
      </c>
      <c r="G111" s="349">
        <f>G105*24*LOOKUP(Semidetached!G$2,'HDD-by Country'!$A$4:$A$40,'HDD-by Country'!$C$4:$C$40)/1000/Semidetached!G$3</f>
        <v>20518.631310254692</v>
      </c>
      <c r="H111" s="349">
        <f>H105*24*LOOKUP(Semidetached!H$2,'HDD-by Country'!$A$4:$A$40,'HDD-by Country'!$C$4:$C$40)/1000/Semidetached!H$3</f>
        <v>5993.743189759386</v>
      </c>
      <c r="I111" s="349">
        <f>I105*24*LOOKUP(Semidetached!I$2,'HDD-by Country'!$A$4:$A$40,'HDD-by Country'!$C$4:$C$40)/1000/Semidetached!I$3</f>
        <v>12892.87974643993</v>
      </c>
      <c r="J111" s="349">
        <f>J105*24*LOOKUP(Semidetached!J$2,'HDD-by Country'!$A$4:$A$40,'HDD-by Country'!$C$4:$C$40)/1000/Semidetached!J$3</f>
        <v>17060.803459407878</v>
      </c>
      <c r="K111" s="349">
        <f>K105*24*LOOKUP(Semidetached!K$2,'HDD-by Country'!$A$4:$A$40,'HDD-by Country'!$C$4:$C$40)/1000/Semidetached!K$3</f>
        <v>13454.416311487861</v>
      </c>
      <c r="L111" s="349">
        <f>L105*24*LOOKUP(Semidetached!L$2,'HDD-by Country'!$A$4:$A$40,'HDD-by Country'!$C$4:$C$40)/1000/Semidetached!L$3</f>
        <v>8321.9482971206708</v>
      </c>
      <c r="M111" s="349">
        <f>M105*24*LOOKUP(Semidetached!M$2,'HDD-by Country'!$A$4:$A$40,'HDD-by Country'!$C$4:$C$40)/1000/Semidetached!M$3</f>
        <v>17788.156003519296</v>
      </c>
      <c r="N111" s="349">
        <f>N105*24*LOOKUP(Semidetached!N$2,'HDD-by Country'!$A$4:$A$40,'HDD-by Country'!$C$4:$C$40)/1000/Semidetached!N$3</f>
        <v>13472.70819608803</v>
      </c>
      <c r="O111" s="349">
        <f>O105*24*LOOKUP(Semidetached!O$2,'HDD-by Country'!$A$4:$A$40,'HDD-by Country'!$C$4:$C$40)/1000/Semidetached!O$3</f>
        <v>23131.029265167217</v>
      </c>
      <c r="P111" s="349">
        <f>P105*24*LOOKUP(Semidetached!P$2,'HDD-by Country'!$A$4:$A$40,'HDD-by Country'!$C$4:$C$40)/1000/Semidetached!P$3</f>
        <v>14587.628888793241</v>
      </c>
      <c r="Q111" s="349">
        <f>Q105*24*LOOKUP(Semidetached!Q$2,'HDD-by Country'!$A$4:$A$40,'HDD-by Country'!$C$4:$C$40)/1000/Semidetached!Q$3</f>
        <v>10946.256131974505</v>
      </c>
      <c r="R111" s="349">
        <f>R105*24*LOOKUP(Semidetached!R$2,'HDD-by Country'!$A$4:$A$40,'HDD-by Country'!$C$4:$C$40)/1000/Semidetached!R$3</f>
        <v>14375.854433703988</v>
      </c>
      <c r="S111" s="349">
        <f>S105*24*LOOKUP(Semidetached!S$2,'HDD-by Country'!$A$4:$A$40,'HDD-by Country'!$C$4:$C$40)/1000/Semidetached!S$3</f>
        <v>18054.437560181988</v>
      </c>
      <c r="T111" s="349">
        <f>T105*24*LOOKUP(Semidetached!T$2,'HDD-by Country'!$A$4:$A$40,'HDD-by Country'!$C$4:$C$40)/1000/Semidetached!T$3</f>
        <v>11537.007634654859</v>
      </c>
      <c r="U111" s="349">
        <f>U105*24*LOOKUP(Semidetached!U$2,'HDD-by Country'!$A$4:$A$40,'HDD-by Country'!$C$4:$C$40)/1000/Semidetached!U$3</f>
        <v>14929.025303577566</v>
      </c>
      <c r="V111" s="349">
        <f>V105*24*LOOKUP(Semidetached!V$2,'HDD-by Country'!$A$4:$A$40,'HDD-by Country'!$C$4:$C$40)/1000/Semidetached!V$3</f>
        <v>15474.371109732105</v>
      </c>
      <c r="W111" s="349">
        <f>W105*24*LOOKUP(Semidetached!W$2,'HDD-by Country'!$A$4:$A$40,'HDD-by Country'!$C$4:$C$40)/1000/Semidetached!W$3</f>
        <v>18415.943047698787</v>
      </c>
      <c r="X111" s="349">
        <f>X105*24*LOOKUP(Semidetached!X$2,'HDD-by Country'!$A$4:$A$40,'HDD-by Country'!$C$4:$C$40)/1000/Semidetached!X$3</f>
        <v>16029.411140795863</v>
      </c>
      <c r="Y111" s="349">
        <f>Y105*24*LOOKUP(Semidetached!Y$2,'HDD-by Country'!$A$4:$A$40,'HDD-by Country'!$C$4:$C$40)/1000/Semidetached!Y$3</f>
        <v>6426.0484575830042</v>
      </c>
      <c r="Z111" s="349">
        <f>Z105*24*LOOKUP(Semidetached!Z$2,'HDD-by Country'!$A$4:$A$40,'HDD-by Country'!$C$4:$C$40)/1000/Semidetached!Z$3</f>
        <v>18743.781919941761</v>
      </c>
      <c r="AA111" s="349">
        <f>AA105*24*LOOKUP(Semidetached!AA$2,'HDD-by Country'!$A$4:$A$40,'HDD-by Country'!$C$4:$C$40)/1000/Semidetached!AA$3</f>
        <v>12717.38673476429</v>
      </c>
      <c r="AB111" s="349">
        <f>AB105*24*LOOKUP(Semidetached!AB$2,'HDD-by Country'!$A$4:$A$40,'HDD-by Country'!$C$4:$C$40)/1000/Semidetached!AB$3</f>
        <v>16227.837125297914</v>
      </c>
      <c r="AC111" s="349">
        <f>AC105*24*LOOKUP(Semidetached!AC$2,'HDD-by Country'!$A$4:$A$40,'HDD-by Country'!$C$4:$C$40)/1000/Semidetached!AC$3</f>
        <v>9590.3204785263497</v>
      </c>
      <c r="AD111" s="349">
        <f>AD105*24*LOOKUP(Semidetached!AD$2,'HDD-by Country'!$A$4:$A$40,'HDD-by Country'!$C$4:$C$40)/1000/Semidetached!AD$3</f>
        <v>14683.180069659347</v>
      </c>
      <c r="AE111" s="349">
        <f>AE105*24*LOOKUP(Semidetached!AE$2,'HDD-by Country'!$A$4:$A$40,'HDD-by Country'!$C$4:$C$40)/1000/Semidetached!AE$3</f>
        <v>12097.571170254889</v>
      </c>
      <c r="AF111" s="349">
        <f>AF105*24*LOOKUP(Semidetached!AF$2,'HDD-by Country'!$A$4:$A$40,'HDD-by Country'!$C$4:$C$40)/1000/Semidetached!AF$3</f>
        <v>14302.965163326604</v>
      </c>
      <c r="AG111" s="349">
        <f>AG105*24*LOOKUP(Semidetached!AG$2,'HDD-by Country'!$A$4:$A$40,'HDD-by Country'!$C$4:$C$40)/1000/Semidetached!AG$3</f>
        <v>18111.686155455918</v>
      </c>
      <c r="AH111" s="349">
        <f>AH105*24*LOOKUP(Semidetached!AH$2,'HDD-by Country'!$A$4:$A$40,'HDD-by Country'!$C$4:$C$40)/1000/Semidetached!AH$3</f>
        <v>17343.276845616299</v>
      </c>
      <c r="AI111" s="349">
        <f>AI105*24*LOOKUP(Semidetached!AI$2,'HDD-by Country'!$A$4:$A$40,'HDD-by Country'!$C$4:$C$40)/1000/Semidetached!AI$3</f>
        <v>14036.115204890231</v>
      </c>
      <c r="AJ111" s="349">
        <f>AJ105*24*LOOKUP(Semidetached!AJ$2,'HDD-by Country'!$A$4:$A$40,'HDD-by Country'!$C$4:$C$40)/1000/Semidetached!AJ$3</f>
        <v>11398.390132634138</v>
      </c>
      <c r="AK111" s="349">
        <f>AK105*24*LOOKUP(Semidetached!AK$2,'HDD-by Country'!$A$4:$A$40,'HDD-by Country'!$C$4:$C$40)/1000/Semidetached!AK$3</f>
        <v>12127.217249755022</v>
      </c>
      <c r="AL111" s="349">
        <f>AL105*24*LOOKUP(Semidetached!AL$2,'HDD-by Country'!$A$4:$A$40,'HDD-by Country'!$C$4:$C$40)/1000/Semidetached!AL$3</f>
        <v>11329.104109992702</v>
      </c>
      <c r="AM111" s="349">
        <f>AM105*24*LOOKUP(Semidetached!AM$2,'HDD-by Country'!$A$4:$A$40,'HDD-by Country'!$C$4:$C$40)/1000/Semidetached!AM$3</f>
        <v>10481.681822856923</v>
      </c>
      <c r="AN111" s="354">
        <f>AN105*24*LOOKUP(Semidetached!AN$2,'HDD-by Country'!$A$4:$A$40,'HDD-by Country'!$C$4:$C$40)/1000/Semidetached!AN$3</f>
        <v>10481.681822856923</v>
      </c>
    </row>
    <row r="112" spans="1:40">
      <c r="A112" s="129"/>
      <c r="B112" s="142" t="s">
        <v>4</v>
      </c>
      <c r="C112" s="129" t="s">
        <v>261</v>
      </c>
      <c r="D112" s="345">
        <f>D106*24*LOOKUP(Semidetached!D$2,'HDD-by Country'!$A$4:$A$40,'HDD-by Country'!$C$4:$C$40)/1000/Semidetached!D$3</f>
        <v>15927.876707946265</v>
      </c>
      <c r="E112" s="349">
        <f>E106*24*LOOKUP(Semidetached!E$2,'HDD-by Country'!$A$4:$A$40,'HDD-by Country'!$C$4:$C$40)/1000/Semidetached!E$3</f>
        <v>19421.885466157859</v>
      </c>
      <c r="F112" s="349">
        <f>F106*24*LOOKUP(Semidetached!F$2,'HDD-by Country'!$A$4:$A$40,'HDD-by Country'!$C$4:$C$40)/1000/Semidetached!F$3</f>
        <v>10131.774285793121</v>
      </c>
      <c r="G112" s="349">
        <f>G106*24*LOOKUP(Semidetached!G$2,'HDD-by Country'!$A$4:$A$40,'HDD-by Country'!$C$4:$C$40)/1000/Semidetached!G$3</f>
        <v>16006.667182833015</v>
      </c>
      <c r="H112" s="349">
        <f>H106*24*LOOKUP(Semidetached!H$2,'HDD-by Country'!$A$4:$A$40,'HDD-by Country'!$C$4:$C$40)/1000/Semidetached!H$3</f>
        <v>5982.1443592238056</v>
      </c>
      <c r="I112" s="349">
        <f>I106*24*LOOKUP(Semidetached!I$2,'HDD-by Country'!$A$4:$A$40,'HDD-by Country'!$C$4:$C$40)/1000/Semidetached!I$3</f>
        <v>12892.87974643993</v>
      </c>
      <c r="J112" s="349">
        <f>J106*24*LOOKUP(Semidetached!J$2,'HDD-by Country'!$A$4:$A$40,'HDD-by Country'!$C$4:$C$40)/1000/Semidetached!J$3</f>
        <v>11954.202177930265</v>
      </c>
      <c r="K112" s="349">
        <f>K106*24*LOOKUP(Semidetached!K$2,'HDD-by Country'!$A$4:$A$40,'HDD-by Country'!$C$4:$C$40)/1000/Semidetached!K$3</f>
        <v>8355.6777121964769</v>
      </c>
      <c r="L112" s="349">
        <f>L106*24*LOOKUP(Semidetached!L$2,'HDD-by Country'!$A$4:$A$40,'HDD-by Country'!$C$4:$C$40)/1000/Semidetached!L$3</f>
        <v>6607.7986004186314</v>
      </c>
      <c r="M112" s="349">
        <f>M106*24*LOOKUP(Semidetached!M$2,'HDD-by Country'!$A$4:$A$40,'HDD-by Country'!$C$4:$C$40)/1000/Semidetached!M$3</f>
        <v>17788.156003519296</v>
      </c>
      <c r="N112" s="349">
        <f>N106*24*LOOKUP(Semidetached!N$2,'HDD-by Country'!$A$4:$A$40,'HDD-by Country'!$C$4:$C$40)/1000/Semidetached!N$3</f>
        <v>10793.90980150215</v>
      </c>
      <c r="O112" s="349">
        <f>O106*24*LOOKUP(Semidetached!O$2,'HDD-by Country'!$A$4:$A$40,'HDD-by Country'!$C$4:$C$40)/1000/Semidetached!O$3</f>
        <v>10985.523266380682</v>
      </c>
      <c r="P112" s="349">
        <f>P106*24*LOOKUP(Semidetached!P$2,'HDD-by Country'!$A$4:$A$40,'HDD-by Country'!$C$4:$C$40)/1000/Semidetached!P$3</f>
        <v>14587.628888793241</v>
      </c>
      <c r="Q112" s="349">
        <f>Q106*24*LOOKUP(Semidetached!Q$2,'HDD-by Country'!$A$4:$A$40,'HDD-by Country'!$C$4:$C$40)/1000/Semidetached!Q$3</f>
        <v>9419.384902959071</v>
      </c>
      <c r="R112" s="349">
        <f>R106*24*LOOKUP(Semidetached!R$2,'HDD-by Country'!$A$4:$A$40,'HDD-by Country'!$C$4:$C$40)/1000/Semidetached!R$3</f>
        <v>12646.666331212436</v>
      </c>
      <c r="S112" s="349">
        <f>S106*24*LOOKUP(Semidetached!S$2,'HDD-by Country'!$A$4:$A$40,'HDD-by Country'!$C$4:$C$40)/1000/Semidetached!S$3</f>
        <v>17877.398751221033</v>
      </c>
      <c r="T112" s="349">
        <f>T106*24*LOOKUP(Semidetached!T$2,'HDD-by Country'!$A$4:$A$40,'HDD-by Country'!$C$4:$C$40)/1000/Semidetached!T$3</f>
        <v>9241.7232452445678</v>
      </c>
      <c r="U112" s="349">
        <f>U106*24*LOOKUP(Semidetached!U$2,'HDD-by Country'!$A$4:$A$40,'HDD-by Country'!$C$4:$C$40)/1000/Semidetached!U$3</f>
        <v>13925.537378127041</v>
      </c>
      <c r="V112" s="349">
        <f>V106*24*LOOKUP(Semidetached!V$2,'HDD-by Country'!$A$4:$A$40,'HDD-by Country'!$C$4:$C$40)/1000/Semidetached!V$3</f>
        <v>9528.7779664165464</v>
      </c>
      <c r="W112" s="349">
        <f>W106*24*LOOKUP(Semidetached!W$2,'HDD-by Country'!$A$4:$A$40,'HDD-by Country'!$C$4:$C$40)/1000/Semidetached!W$3</f>
        <v>8980.6712377645745</v>
      </c>
      <c r="X112" s="349">
        <f>X106*24*LOOKUP(Semidetached!X$2,'HDD-by Country'!$A$4:$A$40,'HDD-by Country'!$C$4:$C$40)/1000/Semidetached!X$3</f>
        <v>15141.523977254203</v>
      </c>
      <c r="Y112" s="349">
        <f>Y106*24*LOOKUP(Semidetached!Y$2,'HDD-by Country'!$A$4:$A$40,'HDD-by Country'!$C$4:$C$40)/1000/Semidetached!Y$3</f>
        <v>5188.4010003869862</v>
      </c>
      <c r="Z112" s="349">
        <f>Z106*24*LOOKUP(Semidetached!Z$2,'HDD-by Country'!$A$4:$A$40,'HDD-by Country'!$C$4:$C$40)/1000/Semidetached!Z$3</f>
        <v>17671.706372322067</v>
      </c>
      <c r="AA112" s="349">
        <f>AA106*24*LOOKUP(Semidetached!AA$2,'HDD-by Country'!$A$4:$A$40,'HDD-by Country'!$C$4:$C$40)/1000/Semidetached!AA$3</f>
        <v>8775.6125552403555</v>
      </c>
      <c r="AB112" s="349">
        <f>AB106*24*LOOKUP(Semidetached!AB$2,'HDD-by Country'!$A$4:$A$40,'HDD-by Country'!$C$4:$C$40)/1000/Semidetached!AB$3</f>
        <v>11226.199923701453</v>
      </c>
      <c r="AC112" s="349">
        <f>AC106*24*LOOKUP(Semidetached!AC$2,'HDD-by Country'!$A$4:$A$40,'HDD-by Country'!$C$4:$C$40)/1000/Semidetached!AC$3</f>
        <v>9584.9237850341033</v>
      </c>
      <c r="AD112" s="349">
        <f>AD106*24*LOOKUP(Semidetached!AD$2,'HDD-by Country'!$A$4:$A$40,'HDD-by Country'!$C$4:$C$40)/1000/Semidetached!AD$3</f>
        <v>14683.180069659347</v>
      </c>
      <c r="AE112" s="349">
        <f>AE106*24*LOOKUP(Semidetached!AE$2,'HDD-by Country'!$A$4:$A$40,'HDD-by Country'!$C$4:$C$40)/1000/Semidetached!AE$3</f>
        <v>8358.4382182354475</v>
      </c>
      <c r="AF112" s="349">
        <f>AF106*24*LOOKUP(Semidetached!AF$2,'HDD-by Country'!$A$4:$A$40,'HDD-by Country'!$C$4:$C$40)/1000/Semidetached!AF$3</f>
        <v>13382.196877508502</v>
      </c>
      <c r="AG112" s="349">
        <f>AG106*24*LOOKUP(Semidetached!AG$2,'HDD-by Country'!$A$4:$A$40,'HDD-by Country'!$C$4:$C$40)/1000/Semidetached!AG$3</f>
        <v>18111.686155455918</v>
      </c>
      <c r="AH112" s="349">
        <f>AH106*24*LOOKUP(Semidetached!AH$2,'HDD-by Country'!$A$4:$A$40,'HDD-by Country'!$C$4:$C$40)/1000/Semidetached!AH$3</f>
        <v>14825.254320577513</v>
      </c>
      <c r="AI112" s="349">
        <f>AI106*24*LOOKUP(Semidetached!AI$2,'HDD-by Country'!$A$4:$A$40,'HDD-by Country'!$C$4:$C$40)/1000/Semidetached!AI$3</f>
        <v>14036.115204890231</v>
      </c>
      <c r="AJ112" s="349">
        <f>AJ106*24*LOOKUP(Semidetached!AJ$2,'HDD-by Country'!$A$4:$A$40,'HDD-by Country'!$C$4:$C$40)/1000/Semidetached!AJ$3</f>
        <v>11398.390132634138</v>
      </c>
      <c r="AK112" s="349">
        <f>AK106*24*LOOKUP(Semidetached!AK$2,'HDD-by Country'!$A$4:$A$40,'HDD-by Country'!$C$4:$C$40)/1000/Semidetached!AK$3</f>
        <v>12127.217249755022</v>
      </c>
      <c r="AL112" s="349">
        <f>AL106*24*LOOKUP(Semidetached!AL$2,'HDD-by Country'!$A$4:$A$40,'HDD-by Country'!$C$4:$C$40)/1000/Semidetached!AL$3</f>
        <v>10607.406589933245</v>
      </c>
      <c r="AM112" s="349">
        <f>AM106*24*LOOKUP(Semidetached!AM$2,'HDD-by Country'!$A$4:$A$40,'HDD-by Country'!$C$4:$C$40)/1000/Semidetached!AM$3</f>
        <v>10481.681822856923</v>
      </c>
      <c r="AN112" s="354">
        <f>AN106*24*LOOKUP(Semidetached!AN$2,'HDD-by Country'!$A$4:$A$40,'HDD-by Country'!$C$4:$C$40)/1000/Semidetached!AN$3</f>
        <v>10481.681822856923</v>
      </c>
    </row>
    <row r="113" spans="1:40">
      <c r="A113" s="129"/>
      <c r="B113" s="142" t="s">
        <v>5</v>
      </c>
      <c r="C113" s="129" t="s">
        <v>261</v>
      </c>
      <c r="D113" s="345">
        <f>D107*24*LOOKUP(Semidetached!D$2,'HDD-by Country'!$A$4:$A$40,'HDD-by Country'!$C$4:$C$40)/1000/Semidetached!D$3</f>
        <v>10196.415319590125</v>
      </c>
      <c r="E113" s="349">
        <f>E107*24*LOOKUP(Semidetached!E$2,'HDD-by Country'!$A$4:$A$40,'HDD-by Country'!$C$4:$C$40)/1000/Semidetached!E$3</f>
        <v>16772.385524595051</v>
      </c>
      <c r="F113" s="349">
        <f>F107*24*LOOKUP(Semidetached!F$2,'HDD-by Country'!$A$4:$A$40,'HDD-by Country'!$C$4:$C$40)/1000/Semidetached!F$3</f>
        <v>8318.9432340617877</v>
      </c>
      <c r="G113" s="349">
        <f>G107*24*LOOKUP(Semidetached!G$2,'HDD-by Country'!$A$4:$A$40,'HDD-by Country'!$C$4:$C$40)/1000/Semidetached!G$3</f>
        <v>10233.5438971936</v>
      </c>
      <c r="H113" s="349">
        <f>H107*24*LOOKUP(Semidetached!H$2,'HDD-by Country'!$A$4:$A$40,'HDD-by Country'!$C$4:$C$40)/1000/Semidetached!H$3</f>
        <v>5645.9171543068651</v>
      </c>
      <c r="I113" s="349">
        <f>I107*24*LOOKUP(Semidetached!I$2,'HDD-by Country'!$A$4:$A$40,'HDD-by Country'!$C$4:$C$40)/1000/Semidetached!I$3</f>
        <v>11295.842207415646</v>
      </c>
      <c r="J113" s="349">
        <f>J107*24*LOOKUP(Semidetached!J$2,'HDD-by Country'!$A$4:$A$40,'HDD-by Country'!$C$4:$C$40)/1000/Semidetached!J$3</f>
        <v>9255.1995426355516</v>
      </c>
      <c r="K113" s="349">
        <f>K107*24*LOOKUP(Semidetached!K$2,'HDD-by Country'!$A$4:$A$40,'HDD-by Country'!$C$4:$C$40)/1000/Semidetached!K$3</f>
        <v>6742.2458260953526</v>
      </c>
      <c r="L113" s="349">
        <f>L107*24*LOOKUP(Semidetached!L$2,'HDD-by Country'!$A$4:$A$40,'HDD-by Country'!$C$4:$C$40)/1000/Semidetached!L$3</f>
        <v>4863.6863642340422</v>
      </c>
      <c r="M113" s="349">
        <f>M107*24*LOOKUP(Semidetached!M$2,'HDD-by Country'!$A$4:$A$40,'HDD-by Country'!$C$4:$C$40)/1000/Semidetached!M$3</f>
        <v>10499.820121010496</v>
      </c>
      <c r="N113" s="349">
        <f>N107*24*LOOKUP(Semidetached!N$2,'HDD-by Country'!$A$4:$A$40,'HDD-by Country'!$C$4:$C$40)/1000/Semidetached!N$3</f>
        <v>8609.1834980788735</v>
      </c>
      <c r="O113" s="349">
        <f>O107*24*LOOKUP(Semidetached!O$2,'HDD-by Country'!$A$4:$A$40,'HDD-by Country'!$C$4:$C$40)/1000/Semidetached!O$3</f>
        <v>9257.3434270091075</v>
      </c>
      <c r="P113" s="349">
        <f>P107*24*LOOKUP(Semidetached!P$2,'HDD-by Country'!$A$4:$A$40,'HDD-by Country'!$C$4:$C$40)/1000/Semidetached!P$3</f>
        <v>13894.815281738935</v>
      </c>
      <c r="Q113" s="349">
        <f>Q107*24*LOOKUP(Semidetached!Q$2,'HDD-by Country'!$A$4:$A$40,'HDD-by Country'!$C$4:$C$40)/1000/Semidetached!Q$3</f>
        <v>9419.384902959071</v>
      </c>
      <c r="R113" s="349">
        <f>R107*24*LOOKUP(Semidetached!R$2,'HDD-by Country'!$A$4:$A$40,'HDD-by Country'!$C$4:$C$40)/1000/Semidetached!R$3</f>
        <v>9161.7354578655668</v>
      </c>
      <c r="S113" s="349">
        <f>S107*24*LOOKUP(Semidetached!S$2,'HDD-by Country'!$A$4:$A$40,'HDD-by Country'!$C$4:$C$40)/1000/Semidetached!S$3</f>
        <v>11954.15161953021</v>
      </c>
      <c r="T113" s="349">
        <f>T107*24*LOOKUP(Semidetached!T$2,'HDD-by Country'!$A$4:$A$40,'HDD-by Country'!$C$4:$C$40)/1000/Semidetached!T$3</f>
        <v>7371.6686717594202</v>
      </c>
      <c r="U113" s="349">
        <f>U107*24*LOOKUP(Semidetached!U$2,'HDD-by Country'!$A$4:$A$40,'HDD-by Country'!$C$4:$C$40)/1000/Semidetached!U$3</f>
        <v>10681.307878661482</v>
      </c>
      <c r="V113" s="349">
        <f>V107*24*LOOKUP(Semidetached!V$2,'HDD-by Country'!$A$4:$A$40,'HDD-by Country'!$C$4:$C$40)/1000/Semidetached!V$3</f>
        <v>9528.7779664165464</v>
      </c>
      <c r="W113" s="349">
        <f>W107*24*LOOKUP(Semidetached!W$2,'HDD-by Country'!$A$4:$A$40,'HDD-by Country'!$C$4:$C$40)/1000/Semidetached!W$3</f>
        <v>7743.0929248015282</v>
      </c>
      <c r="X113" s="349">
        <f>X107*24*LOOKUP(Semidetached!X$2,'HDD-by Country'!$A$4:$A$40,'HDD-by Country'!$C$4:$C$40)/1000/Semidetached!X$3</f>
        <v>8164.7441233054606</v>
      </c>
      <c r="Y113" s="349">
        <f>Y107*24*LOOKUP(Semidetached!Y$2,'HDD-by Country'!$A$4:$A$40,'HDD-by Country'!$C$4:$C$40)/1000/Semidetached!Y$3</f>
        <v>4470.6951939242535</v>
      </c>
      <c r="Z113" s="349">
        <f>Z107*24*LOOKUP(Semidetached!Z$2,'HDD-by Country'!$A$4:$A$40,'HDD-by Country'!$C$4:$C$40)/1000/Semidetached!Z$3</f>
        <v>11102.321056779978</v>
      </c>
      <c r="AA113" s="349">
        <f>AA107*24*LOOKUP(Semidetached!AA$2,'HDD-by Country'!$A$4:$A$40,'HDD-by Country'!$C$4:$C$40)/1000/Semidetached!AA$3</f>
        <v>8665.8543152403563</v>
      </c>
      <c r="AB113" s="349">
        <f>AB107*24*LOOKUP(Semidetached!AB$2,'HDD-by Country'!$A$4:$A$40,'HDD-by Country'!$C$4:$C$40)/1000/Semidetached!AB$3</f>
        <v>11226.199923701453</v>
      </c>
      <c r="AC113" s="349">
        <f>AC107*24*LOOKUP(Semidetached!AC$2,'HDD-by Country'!$A$4:$A$40,'HDD-by Country'!$C$4:$C$40)/1000/Semidetached!AC$3</f>
        <v>9329.7934569033623</v>
      </c>
      <c r="AD113" s="349">
        <f>AD107*24*LOOKUP(Semidetached!AD$2,'HDD-by Country'!$A$4:$A$40,'HDD-by Country'!$C$4:$C$40)/1000/Semidetached!AD$3</f>
        <v>12049.467384130898</v>
      </c>
      <c r="AE113" s="349">
        <f>AE107*24*LOOKUP(Semidetached!AE$2,'HDD-by Country'!$A$4:$A$40,'HDD-by Country'!$C$4:$C$40)/1000/Semidetached!AE$3</f>
        <v>8252.6068582354437</v>
      </c>
      <c r="AF113" s="349">
        <f>AF107*24*LOOKUP(Semidetached!AF$2,'HDD-by Country'!$A$4:$A$40,'HDD-by Country'!$C$4:$C$40)/1000/Semidetached!AF$3</f>
        <v>9772.5690802784939</v>
      </c>
      <c r="AG113" s="349">
        <f>AG107*24*LOOKUP(Semidetached!AG$2,'HDD-by Country'!$A$4:$A$40,'HDD-by Country'!$C$4:$C$40)/1000/Semidetached!AG$3</f>
        <v>16080.39952541705</v>
      </c>
      <c r="AH113" s="349">
        <f>AH107*24*LOOKUP(Semidetached!AH$2,'HDD-by Country'!$A$4:$A$40,'HDD-by Country'!$C$4:$C$40)/1000/Semidetached!AH$3</f>
        <v>8199.1463267008712</v>
      </c>
      <c r="AI113" s="349">
        <f>AI107*24*LOOKUP(Semidetached!AI$2,'HDD-by Country'!$A$4:$A$40,'HDD-by Country'!$C$4:$C$40)/1000/Semidetached!AI$3</f>
        <v>13343.301597835925</v>
      </c>
      <c r="AJ113" s="349">
        <f>AJ107*24*LOOKUP(Semidetached!AJ$2,'HDD-by Country'!$A$4:$A$40,'HDD-by Country'!$C$4:$C$40)/1000/Semidetached!AJ$3</f>
        <v>10084.511439749034</v>
      </c>
      <c r="AK113" s="349">
        <f>AK107*24*LOOKUP(Semidetached!AK$2,'HDD-by Country'!$A$4:$A$40,'HDD-by Country'!$C$4:$C$40)/1000/Semidetached!AK$3</f>
        <v>10718.300331300909</v>
      </c>
      <c r="AL113" s="349">
        <f>AL107*24*LOOKUP(Semidetached!AL$2,'HDD-by Country'!$A$4:$A$40,'HDD-by Country'!$C$4:$C$40)/1000/Semidetached!AL$3</f>
        <v>8690.6428557590025</v>
      </c>
      <c r="AM113" s="349">
        <f>AM107*24*LOOKUP(Semidetached!AM$2,'HDD-by Country'!$A$4:$A$40,'HDD-by Country'!$C$4:$C$40)/1000/Semidetached!AM$3</f>
        <v>9273.4709919937213</v>
      </c>
      <c r="AN113" s="354">
        <f>AN107*24*LOOKUP(Semidetached!AN$2,'HDD-by Country'!$A$4:$A$40,'HDD-by Country'!$C$4:$C$40)/1000/Semidetached!AN$3</f>
        <v>9273.4709919937213</v>
      </c>
    </row>
    <row r="114" spans="1:40">
      <c r="A114" s="129"/>
      <c r="B114" s="142" t="s">
        <v>6</v>
      </c>
      <c r="C114" s="129" t="s">
        <v>261</v>
      </c>
      <c r="D114" s="345">
        <f>D108*24*LOOKUP(Semidetached!D$2,'HDD-by Country'!$A$4:$A$40,'HDD-by Country'!$C$4:$C$40)/1000/Semidetached!D$3</f>
        <v>8386.3953414603166</v>
      </c>
      <c r="E114" s="349">
        <f>E108*24*LOOKUP(Semidetached!E$2,'HDD-by Country'!$A$4:$A$40,'HDD-by Country'!$C$4:$C$40)/1000/Semidetached!E$3</f>
        <v>16772.385524595051</v>
      </c>
      <c r="F114" s="349">
        <f>F108*24*LOOKUP(Semidetached!F$2,'HDD-by Country'!$A$4:$A$40,'HDD-by Country'!$C$4:$C$40)/1000/Semidetached!F$3</f>
        <v>6736.7319564609143</v>
      </c>
      <c r="G114" s="349">
        <f>G108*24*LOOKUP(Semidetached!G$2,'HDD-by Country'!$A$4:$A$40,'HDD-by Country'!$C$4:$C$40)/1000/Semidetached!G$3</f>
        <v>8418.3841231856259</v>
      </c>
      <c r="H114" s="349">
        <f>H108*24*LOOKUP(Semidetached!H$2,'HDD-by Country'!$A$4:$A$40,'HDD-by Country'!$C$4:$C$40)/1000/Semidetached!H$3</f>
        <v>4936.4867543068667</v>
      </c>
      <c r="I114" s="349">
        <f>I108*24*LOOKUP(Semidetached!I$2,'HDD-by Country'!$A$4:$A$40,'HDD-by Country'!$C$4:$C$40)/1000/Semidetached!I$3</f>
        <v>8251.3486051640248</v>
      </c>
      <c r="J114" s="349">
        <f>J108*24*LOOKUP(Semidetached!J$2,'HDD-by Country'!$A$4:$A$40,'HDD-by Country'!$C$4:$C$40)/1000/Semidetached!J$3</f>
        <v>4985.154338280413</v>
      </c>
      <c r="K114" s="349">
        <f>K108*24*LOOKUP(Semidetached!K$2,'HDD-by Country'!$A$4:$A$40,'HDD-by Country'!$C$4:$C$40)/1000/Semidetached!K$3</f>
        <v>6742.2458260953526</v>
      </c>
      <c r="L114" s="349">
        <f>L108*24*LOOKUP(Semidetached!L$2,'HDD-by Country'!$A$4:$A$40,'HDD-by Country'!$C$4:$C$40)/1000/Semidetached!L$3</f>
        <v>4088.5566065959542</v>
      </c>
      <c r="M114" s="349">
        <f>M108*24*LOOKUP(Semidetached!M$2,'HDD-by Country'!$A$4:$A$40,'HDD-by Country'!$C$4:$C$40)/1000/Semidetached!M$3</f>
        <v>10499.820121010496</v>
      </c>
      <c r="N114" s="349">
        <f>N108*24*LOOKUP(Semidetached!N$2,'HDD-by Country'!$A$4:$A$40,'HDD-by Country'!$C$4:$C$40)/1000/Semidetached!N$3</f>
        <v>8472.360400245092</v>
      </c>
      <c r="O114" s="349">
        <f>O108*24*LOOKUP(Semidetached!O$2,'HDD-by Country'!$A$4:$A$40,'HDD-by Country'!$C$4:$C$40)/1000/Semidetached!O$3</f>
        <v>4911.6218031489943</v>
      </c>
      <c r="P114" s="349">
        <f>P108*24*LOOKUP(Semidetached!P$2,'HDD-by Country'!$A$4:$A$40,'HDD-by Country'!$C$4:$C$40)/1000/Semidetached!P$3</f>
        <v>13894.815281738935</v>
      </c>
      <c r="Q114" s="349">
        <f>Q108*24*LOOKUP(Semidetached!Q$2,'HDD-by Country'!$A$4:$A$40,'HDD-by Country'!$C$4:$C$40)/1000/Semidetached!Q$3</f>
        <v>6576.1678685303277</v>
      </c>
      <c r="R114" s="349">
        <f>R108*24*LOOKUP(Semidetached!R$2,'HDD-by Country'!$A$4:$A$40,'HDD-by Country'!$C$4:$C$40)/1000/Semidetached!R$3</f>
        <v>9161.7354578655668</v>
      </c>
      <c r="S114" s="349">
        <f>S108*24*LOOKUP(Semidetached!S$2,'HDD-by Country'!$A$4:$A$40,'HDD-by Country'!$C$4:$C$40)/1000/Semidetached!S$3</f>
        <v>9836.8718736888222</v>
      </c>
      <c r="T114" s="349">
        <f>T108*24*LOOKUP(Semidetached!T$2,'HDD-by Country'!$A$4:$A$40,'HDD-by Country'!$C$4:$C$40)/1000/Semidetached!T$3</f>
        <v>7254.1896065823357</v>
      </c>
      <c r="U114" s="349">
        <f>U108*24*LOOKUP(Semidetached!U$2,'HDD-by Country'!$A$4:$A$40,'HDD-by Country'!$C$4:$C$40)/1000/Semidetached!U$3</f>
        <v>10011.387016988339</v>
      </c>
      <c r="V114" s="349">
        <f>V108*24*LOOKUP(Semidetached!V$2,'HDD-by Country'!$A$4:$A$40,'HDD-by Country'!$C$4:$C$40)/1000/Semidetached!V$3</f>
        <v>9528.7779664165464</v>
      </c>
      <c r="W114" s="349">
        <f>W108*24*LOOKUP(Semidetached!W$2,'HDD-by Country'!$A$4:$A$40,'HDD-by Country'!$C$4:$C$40)/1000/Semidetached!W$3</f>
        <v>6544.121108186393</v>
      </c>
      <c r="X114" s="349">
        <f>X108*24*LOOKUP(Semidetached!X$2,'HDD-by Country'!$A$4:$A$40,'HDD-by Country'!$C$4:$C$40)/1000/Semidetached!X$3</f>
        <v>8116.7920631921879</v>
      </c>
      <c r="Y114" s="349">
        <f>Y108*24*LOOKUP(Semidetached!Y$2,'HDD-by Country'!$A$4:$A$40,'HDD-by Country'!$C$4:$C$40)/1000/Semidetached!Y$3</f>
        <v>4466.5816463155688</v>
      </c>
      <c r="Z114" s="349">
        <f>Z108*24*LOOKUP(Semidetached!Z$2,'HDD-by Country'!$A$4:$A$40,'HDD-by Country'!$C$4:$C$40)/1000/Semidetached!Z$3</f>
        <v>9914.2977857377828</v>
      </c>
      <c r="AA114" s="349">
        <f>AA108*24*LOOKUP(Semidetached!AA$2,'HDD-by Country'!$A$4:$A$40,'HDD-by Country'!$C$4:$C$40)/1000/Semidetached!AA$3</f>
        <v>7646.4939696347474</v>
      </c>
      <c r="AB114" s="349">
        <f>AB108*24*LOOKUP(Semidetached!AB$2,'HDD-by Country'!$A$4:$A$40,'HDD-by Country'!$C$4:$C$40)/1000/Semidetached!AB$3</f>
        <v>11226.199923701453</v>
      </c>
      <c r="AC114" s="349">
        <f>AC108*24*LOOKUP(Semidetached!AC$2,'HDD-by Country'!$A$4:$A$40,'HDD-by Country'!$C$4:$C$40)/1000/Semidetached!AC$3</f>
        <v>8563.2976166857698</v>
      </c>
      <c r="AD114" s="349">
        <f>AD108*24*LOOKUP(Semidetached!AD$2,'HDD-by Country'!$A$4:$A$40,'HDD-by Country'!$C$4:$C$40)/1000/Semidetached!AD$3</f>
        <v>12049.467384130898</v>
      </c>
      <c r="AE114" s="349">
        <f>AE108*24*LOOKUP(Semidetached!AE$2,'HDD-by Country'!$A$4:$A$40,'HDD-by Country'!$C$4:$C$40)/1000/Semidetached!AE$3</f>
        <v>7284.4324752262482</v>
      </c>
      <c r="AF114" s="349">
        <f>AF108*24*LOOKUP(Semidetached!AF$2,'HDD-by Country'!$A$4:$A$40,'HDD-by Country'!$C$4:$C$40)/1000/Semidetached!AF$3</f>
        <v>6868.8697830018964</v>
      </c>
      <c r="AG114" s="349">
        <f>AG108*24*LOOKUP(Semidetached!AG$2,'HDD-by Country'!$A$4:$A$40,'HDD-by Country'!$C$4:$C$40)/1000/Semidetached!AG$3</f>
        <v>15021.723183491815</v>
      </c>
      <c r="AH114" s="349">
        <f>AH108*24*LOOKUP(Semidetached!AH$2,'HDD-by Country'!$A$4:$A$40,'HDD-by Country'!$C$4:$C$40)/1000/Semidetached!AH$3</f>
        <v>6203.2237976905089</v>
      </c>
      <c r="AI114" s="349">
        <f>AI108*24*LOOKUP(Semidetached!AI$2,'HDD-by Country'!$A$4:$A$40,'HDD-by Country'!$C$4:$C$40)/1000/Semidetached!AI$3</f>
        <v>13343.301597835925</v>
      </c>
      <c r="AJ114" s="349">
        <f>AJ108*24*LOOKUP(Semidetached!AJ$2,'HDD-by Country'!$A$4:$A$40,'HDD-by Country'!$C$4:$C$40)/1000/Semidetached!AJ$3</f>
        <v>9634.9694775666394</v>
      </c>
      <c r="AK114" s="349">
        <f>AK108*24*LOOKUP(Semidetached!AK$2,'HDD-by Country'!$A$4:$A$40,'HDD-by Country'!$C$4:$C$40)/1000/Semidetached!AK$3</f>
        <v>10226.345052597733</v>
      </c>
      <c r="AL114" s="349">
        <f>AL108*24*LOOKUP(Semidetached!AL$2,'HDD-by Country'!$A$4:$A$40,'HDD-by Country'!$C$4:$C$40)/1000/Semidetached!AL$3</f>
        <v>7019.1851101729089</v>
      </c>
      <c r="AM114" s="349">
        <f>AM108*24*LOOKUP(Semidetached!AM$2,'HDD-by Country'!$A$4:$A$40,'HDD-by Country'!$C$4:$C$40)/1000/Semidetached!AM$3</f>
        <v>8860.0831575022457</v>
      </c>
      <c r="AN114" s="354">
        <f>AN108*24*LOOKUP(Semidetached!AN$2,'HDD-by Country'!$A$4:$A$40,'HDD-by Country'!$C$4:$C$40)/1000/Semidetached!AN$3</f>
        <v>8860.0831575022457</v>
      </c>
    </row>
    <row r="115" spans="1:40">
      <c r="A115" s="130"/>
      <c r="B115" s="142" t="s">
        <v>7</v>
      </c>
      <c r="C115" s="129" t="s">
        <v>261</v>
      </c>
      <c r="D115" s="345">
        <f>D109*24*LOOKUP(Semidetached!D$2,'HDD-by Country'!$A$4:$A$40,'HDD-by Country'!$C$4:$C$40)/1000/Semidetached!D$3</f>
        <v>7293.0196814219134</v>
      </c>
      <c r="E115" s="349">
        <f>E109*24*LOOKUP(Semidetached!E$2,'HDD-by Country'!$A$4:$A$40,'HDD-by Country'!$C$4:$C$40)/1000/Semidetached!E$3</f>
        <v>9698.5311507124698</v>
      </c>
      <c r="F115" s="349">
        <f>F109*24*LOOKUP(Semidetached!F$2,'HDD-by Country'!$A$4:$A$40,'HDD-by Country'!$C$4:$C$40)/1000/Semidetached!F$3</f>
        <v>4355.7701742913659</v>
      </c>
      <c r="G115" s="349">
        <f>G109*24*LOOKUP(Semidetached!G$2,'HDD-by Country'!$A$4:$A$40,'HDD-by Country'!$C$4:$C$40)/1000/Semidetached!G$3</f>
        <v>7314.4571508633126</v>
      </c>
      <c r="H115" s="349">
        <f>H109*24*LOOKUP(Semidetached!H$2,'HDD-by Country'!$A$4:$A$40,'HDD-by Country'!$C$4:$C$40)/1000/Semidetached!H$3</f>
        <v>3422.3916111197946</v>
      </c>
      <c r="I115" s="349">
        <f>I109*24*LOOKUP(Semidetached!I$2,'HDD-by Country'!$A$4:$A$40,'HDD-by Country'!$C$4:$C$40)/1000/Semidetached!I$3</f>
        <v>6332.2156080669329</v>
      </c>
      <c r="J115" s="349">
        <f>J109*24*LOOKUP(Semidetached!J$2,'HDD-by Country'!$A$4:$A$40,'HDD-by Country'!$C$4:$C$40)/1000/Semidetached!J$3</f>
        <v>5480.3862950808398</v>
      </c>
      <c r="K115" s="349">
        <f>K109*24*LOOKUP(Semidetached!K$2,'HDD-by Country'!$A$4:$A$40,'HDD-by Country'!$C$4:$C$40)/1000/Semidetached!K$3</f>
        <v>4631.2413756619781</v>
      </c>
      <c r="L115" s="349">
        <f>L109*24*LOOKUP(Semidetached!L$2,'HDD-by Country'!$A$4:$A$40,'HDD-by Country'!$C$4:$C$40)/1000/Semidetached!L$3</f>
        <v>4088.5566065959542</v>
      </c>
      <c r="M115" s="349">
        <f>M109*24*LOOKUP(Semidetached!M$2,'HDD-by Country'!$A$4:$A$40,'HDD-by Country'!$C$4:$C$40)/1000/Semidetached!M$3</f>
        <v>6795.5284357130431</v>
      </c>
      <c r="N115" s="349">
        <f>N109*24*LOOKUP(Semidetached!N$2,'HDD-by Country'!$A$4:$A$40,'HDD-by Country'!$C$4:$C$40)/1000/Semidetached!N$3</f>
        <v>7513.8359698858549</v>
      </c>
      <c r="O115" s="349">
        <f>O109*24*LOOKUP(Semidetached!O$2,'HDD-by Country'!$A$4:$A$40,'HDD-by Country'!$C$4:$C$40)/1000/Semidetached!O$3</f>
        <v>4734.5754673549172</v>
      </c>
      <c r="P115" s="349">
        <f>P109*24*LOOKUP(Semidetached!P$2,'HDD-by Country'!$A$4:$A$40,'HDD-by Country'!$C$4:$C$40)/1000/Semidetached!P$3</f>
        <v>4765.5561046397279</v>
      </c>
      <c r="Q115" s="349">
        <f>Q109*24*LOOKUP(Semidetached!Q$2,'HDD-by Country'!$A$4:$A$40,'HDD-by Country'!$C$4:$C$40)/1000/Semidetached!Q$3</f>
        <v>4043.0999578017004</v>
      </c>
      <c r="R115" s="349">
        <f>R109*24*LOOKUP(Semidetached!R$2,'HDD-by Country'!$A$4:$A$40,'HDD-by Country'!$C$4:$C$40)/1000/Semidetached!R$3</f>
        <v>5421.8098263525653</v>
      </c>
      <c r="S115" s="349">
        <f>S109*24*LOOKUP(Semidetached!S$2,'HDD-by Country'!$A$4:$A$40,'HDD-by Country'!$C$4:$C$40)/1000/Semidetached!S$3</f>
        <v>5694.2765527276706</v>
      </c>
      <c r="T115" s="349">
        <f>T109*24*LOOKUP(Semidetached!T$2,'HDD-by Country'!$A$4:$A$40,'HDD-by Country'!$C$4:$C$40)/1000/Semidetached!T$3</f>
        <v>6433.5376859101134</v>
      </c>
      <c r="U115" s="349">
        <f>U109*24*LOOKUP(Semidetached!U$2,'HDD-by Country'!$A$4:$A$40,'HDD-by Country'!$C$4:$C$40)/1000/Semidetached!U$3</f>
        <v>9585.6510169883386</v>
      </c>
      <c r="V115" s="349">
        <f>V109*24*LOOKUP(Semidetached!V$2,'HDD-by Country'!$A$4:$A$40,'HDD-by Country'!$C$4:$C$40)/1000/Semidetached!V$3</f>
        <v>5213.2984540133439</v>
      </c>
      <c r="W115" s="349">
        <f>W109*24*LOOKUP(Semidetached!W$2,'HDD-by Country'!$A$4:$A$40,'HDD-by Country'!$C$4:$C$40)/1000/Semidetached!W$3</f>
        <v>5052.3752833671069</v>
      </c>
      <c r="X115" s="349">
        <f>X109*24*LOOKUP(Semidetached!X$2,'HDD-by Country'!$A$4:$A$40,'HDD-by Country'!$C$4:$C$40)/1000/Semidetached!X$3</f>
        <v>4917.5437521339582</v>
      </c>
      <c r="Y115" s="349">
        <f>Y109*24*LOOKUP(Semidetached!Y$2,'HDD-by Country'!$A$4:$A$40,'HDD-by Country'!$C$4:$C$40)/1000/Semidetached!Y$3</f>
        <v>4218.9418020570292</v>
      </c>
      <c r="Z115" s="349">
        <f>Z109*24*LOOKUP(Semidetached!Z$2,'HDD-by Country'!$A$4:$A$40,'HDD-by Country'!$C$4:$C$40)/1000/Semidetached!Z$3</f>
        <v>6474.2053547389869</v>
      </c>
      <c r="AA115" s="349">
        <f>AA109*24*LOOKUP(Semidetached!AA$2,'HDD-by Country'!$A$4:$A$40,'HDD-by Country'!$C$4:$C$40)/1000/Semidetached!AA$3</f>
        <v>6830.1219368027487</v>
      </c>
      <c r="AB115" s="349">
        <f>AB109*24*LOOKUP(Semidetached!AB$2,'HDD-by Country'!$A$4:$A$40,'HDD-by Country'!$C$4:$C$40)/1000/Semidetached!AB$3</f>
        <v>8026.4906273927809</v>
      </c>
      <c r="AC115" s="349">
        <f>AC109*24*LOOKUP(Semidetached!AC$2,'HDD-by Country'!$A$4:$A$40,'HDD-by Country'!$C$4:$C$40)/1000/Semidetached!AC$3</f>
        <v>5731.0439240116111</v>
      </c>
      <c r="AD115" s="349">
        <f>AD109*24*LOOKUP(Semidetached!AD$2,'HDD-by Country'!$A$4:$A$40,'HDD-by Country'!$C$4:$C$40)/1000/Semidetached!AD$3</f>
        <v>9288.8386209339424</v>
      </c>
      <c r="AE115" s="349">
        <f>AE109*24*LOOKUP(Semidetached!AE$2,'HDD-by Country'!$A$4:$A$40,'HDD-by Country'!$C$4:$C$40)/1000/Semidetached!AE$3</f>
        <v>6497.2682267782484</v>
      </c>
      <c r="AF115" s="349">
        <f>AF109*24*LOOKUP(Semidetached!AF$2,'HDD-by Country'!$A$4:$A$40,'HDD-by Country'!$C$4:$C$40)/1000/Semidetached!AF$3</f>
        <v>3574.1797584701089</v>
      </c>
      <c r="AG115" s="349">
        <f>AG109*24*LOOKUP(Semidetached!AG$2,'HDD-by Country'!$A$4:$A$40,'HDD-by Country'!$C$4:$C$40)/1000/Semidetached!AG$3</f>
        <v>8618.0481861465396</v>
      </c>
      <c r="AH115" s="349">
        <f>AH109*24*LOOKUP(Semidetached!AH$2,'HDD-by Country'!$A$4:$A$40,'HDD-by Country'!$C$4:$C$40)/1000/Semidetached!AH$3</f>
        <v>5106.1930361525783</v>
      </c>
      <c r="AI115" s="349">
        <f>AI109*24*LOOKUP(Semidetached!AI$2,'HDD-by Country'!$A$4:$A$40,'HDD-by Country'!$C$4:$C$40)/1000/Semidetached!AI$3</f>
        <v>4615.1432817570894</v>
      </c>
      <c r="AJ115" s="349">
        <f>AJ109*24*LOOKUP(Semidetached!AJ$2,'HDD-by Country'!$A$4:$A$40,'HDD-by Country'!$C$4:$C$40)/1000/Semidetached!AJ$3</f>
        <v>8324.3247145423702</v>
      </c>
      <c r="AK115" s="349">
        <f>AK109*24*LOOKUP(Semidetached!AK$2,'HDD-by Country'!$A$4:$A$40,'HDD-by Country'!$C$4:$C$40)/1000/Semidetached!AK$3</f>
        <v>8886.5676235992596</v>
      </c>
      <c r="AL115" s="349">
        <f>AL109*24*LOOKUP(Semidetached!AL$2,'HDD-by Country'!$A$4:$A$40,'HDD-by Country'!$C$4:$C$40)/1000/Semidetached!AL$3</f>
        <v>4541.1110644807404</v>
      </c>
      <c r="AM115" s="349">
        <f>AM109*24*LOOKUP(Semidetached!AM$2,'HDD-by Country'!$A$4:$A$40,'HDD-by Country'!$C$4:$C$40)/1000/Semidetached!AM$3</f>
        <v>7654.8461697383127</v>
      </c>
      <c r="AN115" s="354">
        <f>AN109*24*LOOKUP(Semidetached!AN$2,'HDD-by Country'!$A$4:$A$40,'HDD-by Country'!$C$4:$C$40)/1000/Semidetached!AN$3</f>
        <v>7654.8461697383127</v>
      </c>
    </row>
    <row r="116" spans="1:40">
      <c r="A116" s="151" t="s">
        <v>260</v>
      </c>
      <c r="B116" s="141" t="s">
        <v>2</v>
      </c>
      <c r="C116" s="360" t="s">
        <v>261</v>
      </c>
      <c r="D116" s="351">
        <f>D110/(1.355*(D104/Semidetached!D$17)^0.16)</f>
        <v>15306.867249710767</v>
      </c>
      <c r="E116" s="352">
        <f>E110/(1.355*(E104/Semidetached!E$17)^0.16)</f>
        <v>13639.253579964916</v>
      </c>
      <c r="F116" s="352">
        <f>F110/(1.355*(F104/Semidetached!F$17)^0.16)</f>
        <v>7610.1239452311456</v>
      </c>
      <c r="G116" s="352">
        <f>G110/(1.355*(G104/Semidetached!G$17)^0.16)</f>
        <v>15389.851733667118</v>
      </c>
      <c r="H116" s="352">
        <f>H110/(1.355*(H104/Semidetached!H$17)^0.16)</f>
        <v>4296.4610413203618</v>
      </c>
      <c r="I116" s="352">
        <f>I110/(1.355*(I104/Semidetached!I$17)^0.16)</f>
        <v>11344.234528478903</v>
      </c>
      <c r="J116" s="352">
        <f>J110/(1.355*(J104/Semidetached!J$17)^0.16)</f>
        <v>14234.694908010288</v>
      </c>
      <c r="K116" s="352">
        <f>K110/(1.355*(K104/Semidetached!K$17)^0.16)</f>
        <v>10761.425876510952</v>
      </c>
      <c r="L116" s="352">
        <f>L110/(1.355*(L104/Semidetached!L$17)^0.16)</f>
        <v>6859.249838419656</v>
      </c>
      <c r="M116" s="352">
        <f>M110/(1.355*(M104/Semidetached!M$17)^0.16)</f>
        <v>12675.656318646214</v>
      </c>
      <c r="N116" s="352">
        <f>N110/(1.355*(N104/Semidetached!N$17)^0.16)</f>
        <v>12173.688683898252</v>
      </c>
      <c r="O116" s="352">
        <f>O110/(1.355*(O104/Semidetached!O$17)^0.16)</f>
        <v>15324.452401397741</v>
      </c>
      <c r="P116" s="352">
        <f>P110/(1.355*(P104/Semidetached!P$17)^0.16)</f>
        <v>9542.7198181675958</v>
      </c>
      <c r="Q116" s="352">
        <f>Q110/(1.355*(Q104/Semidetached!Q$17)^0.16)</f>
        <v>7258.247417307658</v>
      </c>
      <c r="R116" s="352">
        <f>R110/(1.355*(R104/Semidetached!R$17)^0.16)</f>
        <v>10252.392498771505</v>
      </c>
      <c r="S116" s="352">
        <f>S110/(1.355*(S104/Semidetached!S$17)^0.16)</f>
        <v>12890.402063708532</v>
      </c>
      <c r="T116" s="352">
        <f>T110/(1.355*(T104/Semidetached!T$17)^0.16)</f>
        <v>10432.360177842138</v>
      </c>
      <c r="U116" s="352">
        <f>U110/(1.355*(U104/Semidetached!U$17)^0.16)</f>
        <v>10745.546598855246</v>
      </c>
      <c r="V116" s="352">
        <f>V110/(1.355*(V104/Semidetached!V$17)^0.16)</f>
        <v>11584.771174147827</v>
      </c>
      <c r="W116" s="352">
        <f>W110/(1.355*(W104/Semidetached!W$17)^0.16)</f>
        <v>11837.78689120836</v>
      </c>
      <c r="X116" s="352">
        <f>X110/(1.355*(X104/Semidetached!X$17)^0.16)</f>
        <v>12101.167250336817</v>
      </c>
      <c r="Y116" s="352">
        <f>Y110/(1.355*(Y104/Semidetached!Y$17)^0.16)</f>
        <v>4109.8892889912177</v>
      </c>
      <c r="Z116" s="352">
        <f>Z110/(1.355*(Z104/Semidetached!Z$17)^0.16)</f>
        <v>14363.313760704668</v>
      </c>
      <c r="AA116" s="352">
        <f>AA110/(1.355*(AA104/Semidetached!AA$17)^0.16)</f>
        <v>10748.738088783612</v>
      </c>
      <c r="AB116" s="352">
        <f>AB110/(1.355*(AB104/Semidetached!AB$17)^0.16)</f>
        <v>14534.301448656048</v>
      </c>
      <c r="AC116" s="352">
        <f>AC110/(1.355*(AC104/Semidetached!AC$17)^0.16)</f>
        <v>7200.9747336527262</v>
      </c>
      <c r="AD116" s="352">
        <f>AD110/(1.355*(AD104/Semidetached!AD$17)^0.16)</f>
        <v>11289.878202781028</v>
      </c>
      <c r="AE116" s="352">
        <f>AE110/(1.355*(AE104/Semidetached!AE$17)^0.16)</f>
        <v>10214.632550532217</v>
      </c>
      <c r="AF116" s="352">
        <f>AF110/(1.355*(AF104/Semidetached!AF$17)^0.16)</f>
        <v>10307.512655886672</v>
      </c>
      <c r="AG116" s="352">
        <f>AG110/(1.355*(AG104/Semidetached!AG$17)^0.16)</f>
        <v>14673.233115555549</v>
      </c>
      <c r="AH116" s="352">
        <f>AH110/(1.355*(AH104/Semidetached!AH$17)^0.16)</f>
        <v>11551.03311538858</v>
      </c>
      <c r="AI116" s="352">
        <f>AI110/(1.355*(AI104/Semidetached!AI$17)^0.16)</f>
        <v>9183.9088840998429</v>
      </c>
      <c r="AJ116" s="352">
        <f>AJ110/(1.355*(AJ104/Semidetached!AJ$17)^0.16)</f>
        <v>8119.9003521918858</v>
      </c>
      <c r="AK116" s="352">
        <f>AK110/(1.355*(AK104/Semidetached!AK$17)^0.16)</f>
        <v>8722.0533862060856</v>
      </c>
      <c r="AL116" s="352">
        <f>AL110/(1.355*(AL104/Semidetached!AL$17)^0.16)</f>
        <v>7989.5664552591825</v>
      </c>
      <c r="AM116" s="352">
        <f>AM110/(1.355*(AM104/Semidetached!AM$17)^0.16)</f>
        <v>7466.862507303078</v>
      </c>
      <c r="AN116" s="353">
        <f>AN110/(1.355*(AN104/Semidetached!AN$17)^0.16)</f>
        <v>7466.862507303078</v>
      </c>
    </row>
    <row r="117" spans="1:40">
      <c r="A117" s="129"/>
      <c r="B117" s="142" t="s">
        <v>3</v>
      </c>
      <c r="C117" s="129" t="s">
        <v>261</v>
      </c>
      <c r="D117" s="345">
        <f>D111/(1.355*(D105/Semidetached!D$17)^0.16)</f>
        <v>14687.695187758694</v>
      </c>
      <c r="E117" s="349">
        <f>E111/(1.355*(E105/Semidetached!E$17)^0.16)</f>
        <v>13639.253579964916</v>
      </c>
      <c r="F117" s="349">
        <f>F111/(1.355*(F105/Semidetached!F$17)^0.16)</f>
        <v>7610.1239452311456</v>
      </c>
      <c r="G117" s="349">
        <f>G111/(1.355*(G105/Semidetached!G$17)^0.16)</f>
        <v>14784.784921243448</v>
      </c>
      <c r="H117" s="349">
        <f>H111/(1.355*(H105/Semidetached!H$17)^0.16)</f>
        <v>3998.5987547874552</v>
      </c>
      <c r="I117" s="349">
        <f>I111/(1.355*(I105/Semidetached!I$17)^0.16)</f>
        <v>9773.8294218872234</v>
      </c>
      <c r="J117" s="349">
        <f>J111/(1.355*(J105/Semidetached!J$17)^0.16)</f>
        <v>12335.429912703225</v>
      </c>
      <c r="K117" s="349">
        <f>K111/(1.355*(K105/Semidetached!K$17)^0.16)</f>
        <v>10475.143774606813</v>
      </c>
      <c r="L117" s="349">
        <f>L111/(1.355*(L105/Semidetached!L$17)^0.16)</f>
        <v>6859.249838419656</v>
      </c>
      <c r="M117" s="349">
        <f>M111/(1.355*(M105/Semidetached!M$17)^0.16)</f>
        <v>11782.430678087932</v>
      </c>
      <c r="N117" s="349">
        <f>N111/(1.355*(N105/Semidetached!N$17)^0.16)</f>
        <v>10952.521968611753</v>
      </c>
      <c r="O117" s="349">
        <f>O111/(1.355*(O105/Semidetached!O$17)^0.16)</f>
        <v>15324.452401397741</v>
      </c>
      <c r="P117" s="349">
        <f>P111/(1.355*(P105/Semidetached!P$17)^0.16)</f>
        <v>9542.7198181675958</v>
      </c>
      <c r="Q117" s="349">
        <f>Q111/(1.355*(Q105/Semidetached!Q$17)^0.16)</f>
        <v>7700.8452817842181</v>
      </c>
      <c r="R117" s="349">
        <f>R111/(1.355*(R105/Semidetached!R$17)^0.16)</f>
        <v>10252.392498771505</v>
      </c>
      <c r="S117" s="349">
        <f>S111/(1.355*(S105/Semidetached!S$17)^0.16)</f>
        <v>12896.717053808665</v>
      </c>
      <c r="T117" s="349">
        <f>T111/(1.355*(T105/Semidetached!T$17)^0.16)</f>
        <v>9382.5717560038538</v>
      </c>
      <c r="U117" s="349">
        <f>U111/(1.355*(U105/Semidetached!U$17)^0.16)</f>
        <v>10250.609069415019</v>
      </c>
      <c r="V117" s="349">
        <f>V111/(1.355*(V105/Semidetached!V$17)^0.16)</f>
        <v>11584.771174147827</v>
      </c>
      <c r="W117" s="349">
        <f>W111/(1.355*(W105/Semidetached!W$17)^0.16)</f>
        <v>12894.780836545662</v>
      </c>
      <c r="X117" s="349">
        <f>X111/(1.355*(X105/Semidetached!X$17)^0.16)</f>
        <v>11985.549457354917</v>
      </c>
      <c r="Y117" s="349">
        <f>Y111/(1.355*(Y105/Semidetached!Y$17)^0.16)</f>
        <v>4109.6653015806596</v>
      </c>
      <c r="Z117" s="349">
        <f>Z111/(1.355*(Z105/Semidetached!Z$17)^0.16)</f>
        <v>13356.893038471415</v>
      </c>
      <c r="AA117" s="349">
        <f>AA111/(1.355*(AA105/Semidetached!AA$17)^0.16)</f>
        <v>10715.4742570197</v>
      </c>
      <c r="AB117" s="349">
        <f>AB111/(1.355*(AB105/Semidetached!AB$17)^0.16)</f>
        <v>11794.744992400334</v>
      </c>
      <c r="AC117" s="349">
        <f>AC111/(1.355*(AC105/Semidetached!AC$17)^0.16)</f>
        <v>6608.9231685941413</v>
      </c>
      <c r="AD117" s="349">
        <f>AD111/(1.355*(AD105/Semidetached!AD$17)^0.16)</f>
        <v>10214.170638358532</v>
      </c>
      <c r="AE117" s="349">
        <f>AE111/(1.355*(AE105/Semidetached!AE$17)^0.16)</f>
        <v>10182.592408819004</v>
      </c>
      <c r="AF117" s="349">
        <f>AF111/(1.355*(AF105/Semidetached!AF$17)^0.16)</f>
        <v>10307.512655886672</v>
      </c>
      <c r="AG117" s="349">
        <f>AG111/(1.355*(AG105/Semidetached!AG$17)^0.16)</f>
        <v>12822.634917474534</v>
      </c>
      <c r="AH117" s="349">
        <f>AH111/(1.355*(AH105/Semidetached!AH$17)^0.16)</f>
        <v>12098.427737925249</v>
      </c>
      <c r="AI117" s="349">
        <f>AI111/(1.355*(AI105/Semidetached!AI$17)^0.16)</f>
        <v>9183.9088840998429</v>
      </c>
      <c r="AJ117" s="349">
        <f>AJ111/(1.355*(AJ105/Semidetached!AJ$17)^0.16)</f>
        <v>8119.9003521918858</v>
      </c>
      <c r="AK117" s="349">
        <f>AK111/(1.355*(AK105/Semidetached!AK$17)^0.16)</f>
        <v>8722.0533862060856</v>
      </c>
      <c r="AL117" s="349">
        <f>AL111/(1.355*(AL105/Semidetached!AL$17)^0.16)</f>
        <v>7989.5664552591825</v>
      </c>
      <c r="AM117" s="349">
        <f>AM111/(1.355*(AM105/Semidetached!AM$17)^0.16)</f>
        <v>7466.862507303078</v>
      </c>
      <c r="AN117" s="354">
        <f>AN111/(1.355*(AN105/Semidetached!AN$17)^0.16)</f>
        <v>7466.862507303078</v>
      </c>
    </row>
    <row r="118" spans="1:40">
      <c r="A118" s="129"/>
      <c r="B118" s="142" t="s">
        <v>4</v>
      </c>
      <c r="C118" s="129" t="s">
        <v>261</v>
      </c>
      <c r="D118" s="345">
        <f>D112/(1.355*(D106/Semidetached!D$17)^0.16)</f>
        <v>11930.585828506864</v>
      </c>
      <c r="E118" s="349">
        <f>E112/(1.355*(E106/Semidetached!E$17)^0.16)</f>
        <v>13639.253579964916</v>
      </c>
      <c r="F118" s="349">
        <f>F112/(1.355*(F106/Semidetached!F$17)^0.16)</f>
        <v>7203.7334584164264</v>
      </c>
      <c r="G118" s="349">
        <f>G112/(1.355*(G106/Semidetached!G$17)^0.16)</f>
        <v>12001.157458705457</v>
      </c>
      <c r="H118" s="349">
        <f>H112/(1.355*(H106/Semidetached!H$17)^0.16)</f>
        <v>3992.0979000165053</v>
      </c>
      <c r="I118" s="349">
        <f>I112/(1.355*(I106/Semidetached!I$17)^0.16)</f>
        <v>9773.8294218872234</v>
      </c>
      <c r="J118" s="349">
        <f>J112/(1.355*(J106/Semidetached!J$17)^0.16)</f>
        <v>9149.3876400248646</v>
      </c>
      <c r="K118" s="349">
        <f>K112/(1.355*(K106/Semidetached!K$17)^0.16)</f>
        <v>7020.6628927613765</v>
      </c>
      <c r="L118" s="349">
        <f>L112/(1.355*(L106/Semidetached!L$17)^0.16)</f>
        <v>5651.1302931919554</v>
      </c>
      <c r="M118" s="349">
        <f>M112/(1.355*(M106/Semidetached!M$17)^0.16)</f>
        <v>11782.430678087932</v>
      </c>
      <c r="N118" s="349">
        <f>N112/(1.355*(N106/Semidetached!N$17)^0.16)</f>
        <v>9091.6392113229958</v>
      </c>
      <c r="O118" s="349">
        <f>O112/(1.355*(O106/Semidetached!O$17)^0.16)</f>
        <v>8198.8063397908845</v>
      </c>
      <c r="P118" s="349">
        <f>P112/(1.355*(P106/Semidetached!P$17)^0.16)</f>
        <v>9542.7198181675958</v>
      </c>
      <c r="Q118" s="349">
        <f>Q112/(1.355*(Q106/Semidetached!Q$17)^0.16)</f>
        <v>6787.8810902605983</v>
      </c>
      <c r="R118" s="349">
        <f>R112/(1.355*(R106/Semidetached!R$17)^0.16)</f>
        <v>9206.0395206343019</v>
      </c>
      <c r="S118" s="349">
        <f>S112/(1.355*(S106/Semidetached!S$17)^0.16)</f>
        <v>12790.404432380359</v>
      </c>
      <c r="T118" s="349">
        <f>T112/(1.355*(T106/Semidetached!T$17)^0.16)</f>
        <v>7787.465017334217</v>
      </c>
      <c r="U118" s="349">
        <f>U112/(1.355*(U106/Semidetached!U$17)^0.16)</f>
        <v>9668.6379658678743</v>
      </c>
      <c r="V118" s="349">
        <f>V112/(1.355*(V106/Semidetached!V$17)^0.16)</f>
        <v>7709.1019201118734</v>
      </c>
      <c r="W118" s="349">
        <f>W112/(1.355*(W106/Semidetached!W$17)^0.16)</f>
        <v>7053.9183196400436</v>
      </c>
      <c r="X118" s="349">
        <f>X112/(1.355*(X106/Semidetached!X$17)^0.16)</f>
        <v>11425.353483117706</v>
      </c>
      <c r="Y118" s="349">
        <f>Y112/(1.355*(Y106/Semidetached!Y$17)^0.16)</f>
        <v>3433.6946019451725</v>
      </c>
      <c r="Z118" s="349">
        <f>Z112/(1.355*(Z106/Semidetached!Z$17)^0.16)</f>
        <v>12712.158817823616</v>
      </c>
      <c r="AA118" s="349">
        <f>AA112/(1.355*(AA106/Semidetached!AA$17)^0.16)</f>
        <v>7846.3961260984242</v>
      </c>
      <c r="AB118" s="349">
        <f>AB112/(1.355*(AB106/Semidetached!AB$17)^0.16)</f>
        <v>8654.9616242761749</v>
      </c>
      <c r="AC118" s="349">
        <f>AC112/(1.355*(AC106/Semidetached!AC$17)^0.16)</f>
        <v>6605.7990739914285</v>
      </c>
      <c r="AD118" s="349">
        <f>AD112/(1.355*(AD106/Semidetached!AD$17)^0.16)</f>
        <v>10214.170638358532</v>
      </c>
      <c r="AE118" s="349">
        <f>AE112/(1.355*(AE106/Semidetached!AE$17)^0.16)</f>
        <v>7464.0922599861842</v>
      </c>
      <c r="AF118" s="349">
        <f>AF112/(1.355*(AF106/Semidetached!AF$17)^0.16)</f>
        <v>9747.1802489395541</v>
      </c>
      <c r="AG118" s="349">
        <f>AG112/(1.355*(AG106/Semidetached!AG$17)^0.16)</f>
        <v>12822.634917474534</v>
      </c>
      <c r="AH118" s="349">
        <f>AH112/(1.355*(AH106/Semidetached!AH$17)^0.16)</f>
        <v>10604.753329640678</v>
      </c>
      <c r="AI118" s="349">
        <f>AI112/(1.355*(AI106/Semidetached!AI$17)^0.16)</f>
        <v>9183.9088840998429</v>
      </c>
      <c r="AJ118" s="349">
        <f>AJ112/(1.355*(AJ106/Semidetached!AJ$17)^0.16)</f>
        <v>8119.9003521918858</v>
      </c>
      <c r="AK118" s="349">
        <f>AK112/(1.355*(AK106/Semidetached!AK$17)^0.16)</f>
        <v>8722.0533862060856</v>
      </c>
      <c r="AL118" s="349">
        <f>AL112/(1.355*(AL106/Semidetached!AL$17)^0.16)</f>
        <v>7559.8064731043251</v>
      </c>
      <c r="AM118" s="349">
        <f>AM112/(1.355*(AM106/Semidetached!AM$17)^0.16)</f>
        <v>7466.862507303078</v>
      </c>
      <c r="AN118" s="354">
        <f>AN112/(1.355*(AN106/Semidetached!AN$17)^0.16)</f>
        <v>7466.862507303078</v>
      </c>
    </row>
    <row r="119" spans="1:40">
      <c r="A119" s="129"/>
      <c r="B119" s="142" t="s">
        <v>5</v>
      </c>
      <c r="C119" s="129" t="s">
        <v>261</v>
      </c>
      <c r="D119" s="345">
        <f>D113/(1.355*(D107/Semidetached!D$17)^0.16)</f>
        <v>8202.4777282914056</v>
      </c>
      <c r="E119" s="349">
        <f>E113/(1.355*(E107/Semidetached!E$17)^0.16)</f>
        <v>12058.283767530042</v>
      </c>
      <c r="F119" s="349">
        <f>F113/(1.355*(F107/Semidetached!F$17)^0.16)</f>
        <v>6104.344924197957</v>
      </c>
      <c r="G119" s="349">
        <f>G113/(1.355*(G107/Semidetached!G$17)^0.16)</f>
        <v>8241.9932210246006</v>
      </c>
      <c r="H119" s="349">
        <f>H113/(1.355*(H107/Semidetached!H$17)^0.16)</f>
        <v>3802.7552741000218</v>
      </c>
      <c r="I119" s="349">
        <f>I113/(1.355*(I107/Semidetached!I$17)^0.16)</f>
        <v>8746.2613538570131</v>
      </c>
      <c r="J119" s="349">
        <f>J113/(1.355*(J107/Semidetached!J$17)^0.16)</f>
        <v>7379.7013671138129</v>
      </c>
      <c r="K119" s="349">
        <f>K113/(1.355*(K107/Semidetached!K$17)^0.16)</f>
        <v>5862.8577696216107</v>
      </c>
      <c r="L119" s="349">
        <f>L113/(1.355*(L107/Semidetached!L$17)^0.16)</f>
        <v>4368.5637962707679</v>
      </c>
      <c r="M119" s="349">
        <f>M113/(1.355*(M107/Semidetached!M$17)^0.16)</f>
        <v>7566.8944128955936</v>
      </c>
      <c r="N119" s="349">
        <f>N113/(1.355*(N107/Semidetached!N$17)^0.16)</f>
        <v>7518.653388443191</v>
      </c>
      <c r="O119" s="349">
        <f>O113/(1.355*(O107/Semidetached!O$17)^0.16)</f>
        <v>7100.840459327932</v>
      </c>
      <c r="P119" s="349">
        <f>P113/(1.355*(P107/Semidetached!P$17)^0.16)</f>
        <v>9160.545848867021</v>
      </c>
      <c r="Q119" s="349">
        <f>Q113/(1.355*(Q107/Semidetached!Q$17)^0.16)</f>
        <v>6787.8810902605983</v>
      </c>
      <c r="R119" s="349">
        <f>R113/(1.355*(R107/Semidetached!R$17)^0.16)</f>
        <v>7022.217102184909</v>
      </c>
      <c r="S119" s="349">
        <f>S113/(1.355*(S107/Semidetached!S$17)^0.16)</f>
        <v>9121.4608955697586</v>
      </c>
      <c r="T119" s="349">
        <f>T113/(1.355*(T107/Semidetached!T$17)^0.16)</f>
        <v>6440.4898665249793</v>
      </c>
      <c r="U119" s="349">
        <f>U113/(1.355*(U107/Semidetached!U$17)^0.16)</f>
        <v>7737.6267021848125</v>
      </c>
      <c r="V119" s="349">
        <f>V113/(1.355*(V107/Semidetached!V$17)^0.16)</f>
        <v>7709.1019201118734</v>
      </c>
      <c r="W119" s="349">
        <f>W113/(1.355*(W107/Semidetached!W$17)^0.16)</f>
        <v>6227.8650287904238</v>
      </c>
      <c r="X119" s="349">
        <f>X113/(1.355*(X107/Semidetached!X$17)^0.16)</f>
        <v>6800.7836199810345</v>
      </c>
      <c r="Y119" s="349">
        <f>Y113/(1.355*(Y107/Semidetached!Y$17)^0.16)</f>
        <v>3030.0413016221505</v>
      </c>
      <c r="Z119" s="349">
        <f>Z113/(1.355*(Z107/Semidetached!Z$17)^0.16)</f>
        <v>8603.0601244007576</v>
      </c>
      <c r="AA119" s="349">
        <f>AA113/(1.355*(AA107/Semidetached!AA$17)^0.16)</f>
        <v>7763.8787043388993</v>
      </c>
      <c r="AB119" s="349">
        <f>AB113/(1.355*(AB107/Semidetached!AB$17)^0.16)</f>
        <v>8654.9616242761749</v>
      </c>
      <c r="AC119" s="349">
        <f>AC113/(1.355*(AC107/Semidetached!AC$17)^0.16)</f>
        <v>6457.7820994955382</v>
      </c>
      <c r="AD119" s="349">
        <f>AD113/(1.355*(AD107/Semidetached!AD$17)^0.16)</f>
        <v>8651.4160600942614</v>
      </c>
      <c r="AE119" s="349">
        <f>AE113/(1.355*(AE107/Semidetached!AE$17)^0.16)</f>
        <v>7384.6251573852514</v>
      </c>
      <c r="AF119" s="349">
        <f>AF113/(1.355*(AF107/Semidetached!AF$17)^0.16)</f>
        <v>7485.1984328917461</v>
      </c>
      <c r="AG119" s="349">
        <f>AG113/(1.355*(AG107/Semidetached!AG$17)^0.16)</f>
        <v>11603.290249827342</v>
      </c>
      <c r="AH119" s="349">
        <f>AH113/(1.355*(AH107/Semidetached!AH$17)^0.16)</f>
        <v>6447.9909383154682</v>
      </c>
      <c r="AI119" s="349">
        <f>AI113/(1.355*(AI107/Semidetached!AI$17)^0.16)</f>
        <v>8801.5938495578648</v>
      </c>
      <c r="AJ119" s="349">
        <f>AJ113/(1.355*(AJ107/Semidetached!AJ$17)^0.16)</f>
        <v>7326.0896657809626</v>
      </c>
      <c r="AK119" s="349">
        <f>AK113/(1.355*(AK107/Semidetached!AK$17)^0.16)</f>
        <v>7862.5811817837148</v>
      </c>
      <c r="AL119" s="349">
        <f>AL113/(1.355*(AL107/Semidetached!AL$17)^0.16)</f>
        <v>6394.4402682033478</v>
      </c>
      <c r="AM119" s="349">
        <f>AM113/(1.355*(AM107/Semidetached!AM$17)^0.16)</f>
        <v>6736.8935427629867</v>
      </c>
      <c r="AN119" s="354">
        <f>AN113/(1.355*(AN107/Semidetached!AN$17)^0.16)</f>
        <v>6736.8935427629867</v>
      </c>
    </row>
    <row r="120" spans="1:40">
      <c r="A120" s="129"/>
      <c r="B120" s="142" t="s">
        <v>6</v>
      </c>
      <c r="C120" s="129" t="s">
        <v>261</v>
      </c>
      <c r="D120" s="345">
        <f>D114/(1.355*(D108/Semidetached!D$17)^0.16)</f>
        <v>6960.6921106950886</v>
      </c>
      <c r="E120" s="349">
        <f>E114/(1.355*(E108/Semidetached!E$17)^0.16)</f>
        <v>12058.283767530042</v>
      </c>
      <c r="F120" s="349">
        <f>F114/(1.355*(F108/Semidetached!F$17)^0.16)</f>
        <v>5113.0400580422584</v>
      </c>
      <c r="G120" s="349">
        <f>G114/(1.355*(G108/Semidetached!G$17)^0.16)</f>
        <v>6995.2381658927388</v>
      </c>
      <c r="H120" s="349">
        <f>H114/(1.355*(H108/Semidetached!H$17)^0.16)</f>
        <v>3397.1325781959963</v>
      </c>
      <c r="I120" s="349">
        <f>I114/(1.355*(I108/Semidetached!I$17)^0.16)</f>
        <v>6718.1818972915635</v>
      </c>
      <c r="J120" s="349">
        <f>J114/(1.355*(J108/Semidetached!J$17)^0.16)</f>
        <v>4388.587461897082</v>
      </c>
      <c r="K120" s="349">
        <f>K114/(1.355*(K108/Semidetached!K$17)^0.16)</f>
        <v>5862.8577696216107</v>
      </c>
      <c r="L120" s="349">
        <f>L114/(1.355*(L108/Semidetached!L$17)^0.16)</f>
        <v>3775.777752079428</v>
      </c>
      <c r="M120" s="349">
        <f>M114/(1.355*(M108/Semidetached!M$17)^0.16)</f>
        <v>7566.8944128955936</v>
      </c>
      <c r="N120" s="349">
        <f>N114/(1.355*(N108/Semidetached!N$17)^0.16)</f>
        <v>7418.152004775573</v>
      </c>
      <c r="O120" s="349">
        <f>O114/(1.355*(O108/Semidetached!O$17)^0.16)</f>
        <v>4169.5590748819113</v>
      </c>
      <c r="P120" s="349">
        <f>P114/(1.355*(P108/Semidetached!P$17)^0.16)</f>
        <v>9160.545848867021</v>
      </c>
      <c r="Q120" s="349">
        <f>Q114/(1.355*(Q108/Semidetached!Q$17)^0.16)</f>
        <v>5019.4082168903096</v>
      </c>
      <c r="R120" s="349">
        <f>R114/(1.355*(R108/Semidetached!R$17)^0.16)</f>
        <v>7022.217102184909</v>
      </c>
      <c r="S120" s="349">
        <f>S114/(1.355*(S108/Semidetached!S$17)^0.16)</f>
        <v>7743.7002695551028</v>
      </c>
      <c r="T120" s="349">
        <f>T114/(1.355*(T108/Semidetached!T$17)^0.16)</f>
        <v>6354.1622719992483</v>
      </c>
      <c r="U120" s="349">
        <f>U114/(1.355*(U108/Semidetached!U$17)^0.16)</f>
        <v>7327.8812010463644</v>
      </c>
      <c r="V120" s="349">
        <f>V114/(1.355*(V108/Semidetached!V$17)^0.16)</f>
        <v>7709.1019201118734</v>
      </c>
      <c r="W120" s="349">
        <f>W114/(1.355*(W108/Semidetached!W$17)^0.16)</f>
        <v>5407.1217875872953</v>
      </c>
      <c r="X120" s="349">
        <f>X114/(1.355*(X108/Semidetached!X$17)^0.16)</f>
        <v>6767.2170161957629</v>
      </c>
      <c r="Y120" s="349">
        <f>Y114/(1.355*(Y108/Semidetached!Y$17)^0.16)</f>
        <v>3027.6992240280329</v>
      </c>
      <c r="Z120" s="349">
        <f>Z114/(1.355*(Z108/Semidetached!Z$17)^0.16)</f>
        <v>7822.8576366968173</v>
      </c>
      <c r="AA120" s="349">
        <f>AA114/(1.355*(AA108/Semidetached!AA$17)^0.16)</f>
        <v>6989.1691899971211</v>
      </c>
      <c r="AB120" s="349">
        <f>AB114/(1.355*(AB108/Semidetached!AB$17)^0.16)</f>
        <v>8654.9616242761749</v>
      </c>
      <c r="AC120" s="349">
        <f>AC114/(1.355*(AC108/Semidetached!AC$17)^0.16)</f>
        <v>6009.0989317769299</v>
      </c>
      <c r="AD120" s="349">
        <f>AD114/(1.355*(AD108/Semidetached!AD$17)^0.16)</f>
        <v>8651.4160600942614</v>
      </c>
      <c r="AE120" s="349">
        <f>AE114/(1.355*(AE108/Semidetached!AE$17)^0.16)</f>
        <v>6649.7342638199625</v>
      </c>
      <c r="AF120" s="349">
        <f>AF114/(1.355*(AF108/Semidetached!AF$17)^0.16)</f>
        <v>5566.4665897854575</v>
      </c>
      <c r="AG120" s="349">
        <f>AG114/(1.355*(AG108/Semidetached!AG$17)^0.16)</f>
        <v>10958.129000074088</v>
      </c>
      <c r="AH120" s="349">
        <f>AH114/(1.355*(AH108/Semidetached!AH$17)^0.16)</f>
        <v>5101.0246365557841</v>
      </c>
      <c r="AI120" s="349">
        <f>AI114/(1.355*(AI108/Semidetached!AI$17)^0.16)</f>
        <v>8801.5938495578648</v>
      </c>
      <c r="AJ120" s="349">
        <f>AJ114/(1.355*(AJ108/Semidetached!AJ$17)^0.16)</f>
        <v>7050.7681363451884</v>
      </c>
      <c r="AK120" s="349">
        <f>AK114/(1.355*(AK108/Semidetached!AK$17)^0.16)</f>
        <v>7558.3072057578092</v>
      </c>
      <c r="AL120" s="349">
        <f>AL114/(1.355*(AL108/Semidetached!AL$17)^0.16)</f>
        <v>5344.1638006410212</v>
      </c>
      <c r="AM120" s="349">
        <f>AM114/(1.355*(AM108/Semidetached!AM$17)^0.16)</f>
        <v>6483.7145730183174</v>
      </c>
      <c r="AN120" s="354">
        <f>AN114/(1.355*(AN108/Semidetached!AN$17)^0.16)</f>
        <v>6483.7145730183174</v>
      </c>
    </row>
    <row r="121" spans="1:40">
      <c r="A121" s="129"/>
      <c r="B121" s="142" t="s">
        <v>7</v>
      </c>
      <c r="C121" s="129" t="s">
        <v>261</v>
      </c>
      <c r="D121" s="345">
        <f>D115/(1.355*(D109/Semidetached!D$17)^0.16)</f>
        <v>6190.0099855923791</v>
      </c>
      <c r="E121" s="349">
        <f>E115/(1.355*(E109/Semidetached!E$17)^0.16)</f>
        <v>7611.3001390236068</v>
      </c>
      <c r="F121" s="349">
        <f>F115/(1.355*(F109/Semidetached!F$17)^0.16)</f>
        <v>3544.8378476528055</v>
      </c>
      <c r="G121" s="349">
        <f>G115/(1.355*(G109/Semidetached!G$17)^0.16)</f>
        <v>6216.1763876645573</v>
      </c>
      <c r="H121" s="349">
        <f>H115/(1.355*(H109/Semidetached!H$17)^0.16)</f>
        <v>2497.3438713998253</v>
      </c>
      <c r="I121" s="349">
        <f>I115/(1.355*(I109/Semidetached!I$17)^0.16)</f>
        <v>5378.7033849112941</v>
      </c>
      <c r="J121" s="349">
        <f>J115/(1.355*(J109/Semidetached!J$17)^0.16)</f>
        <v>4751.9964887557826</v>
      </c>
      <c r="K121" s="349">
        <f>K115/(1.355*(K109/Semidetached!K$17)^0.16)</f>
        <v>4276.6069622300383</v>
      </c>
      <c r="L121" s="349">
        <f>L115/(1.355*(L109/Semidetached!L$17)^0.16)</f>
        <v>3775.777752079428</v>
      </c>
      <c r="M121" s="349">
        <f>M115/(1.355*(M109/Semidetached!M$17)^0.16)</f>
        <v>5250.4004571384976</v>
      </c>
      <c r="N121" s="349">
        <f>N115/(1.355*(N109/Semidetached!N$17)^0.16)</f>
        <v>6706.4987871755948</v>
      </c>
      <c r="O121" s="349">
        <f>O115/(1.355*(O109/Semidetached!O$17)^0.16)</f>
        <v>4042.9398146627314</v>
      </c>
      <c r="P121" s="349">
        <f>P115/(1.355*(P109/Semidetached!P$17)^0.16)</f>
        <v>3728.5539585729489</v>
      </c>
      <c r="Q121" s="349">
        <f>Q115/(1.355*(Q109/Semidetached!Q$17)^0.16)</f>
        <v>3335.7650259622942</v>
      </c>
      <c r="R121" s="349">
        <f>R115/(1.355*(R109/Semidetached!R$17)^0.16)</f>
        <v>4519.5390146623722</v>
      </c>
      <c r="S121" s="349">
        <f>S115/(1.355*(S109/Semidetached!S$17)^0.16)</f>
        <v>4892.3444803737311</v>
      </c>
      <c r="T121" s="349">
        <f>T115/(1.355*(T109/Semidetached!T$17)^0.16)</f>
        <v>5744.6225234517951</v>
      </c>
      <c r="U121" s="349">
        <f>U115/(1.355*(U109/Semidetached!U$17)^0.16)</f>
        <v>7065.215369515573</v>
      </c>
      <c r="V121" s="349">
        <f>V115/(1.355*(V109/Semidetached!V$17)^0.16)</f>
        <v>4645.0148571555637</v>
      </c>
      <c r="W121" s="349">
        <f>W115/(1.355*(W109/Semidetached!W$17)^0.16)</f>
        <v>4350.9825509524499</v>
      </c>
      <c r="X121" s="349">
        <f>X115/(1.355*(X109/Semidetached!X$17)^0.16)</f>
        <v>4442.1754365032375</v>
      </c>
      <c r="Y121" s="349">
        <f>Y115/(1.355*(Y109/Semidetached!Y$17)^0.16)</f>
        <v>2886.0540870548512</v>
      </c>
      <c r="Z121" s="349">
        <f>Z115/(1.355*(Z109/Semidetached!Z$17)^0.16)</f>
        <v>5468.9256154693694</v>
      </c>
      <c r="AA121" s="349">
        <f>AA115/(1.355*(AA109/Semidetached!AA$17)^0.16)</f>
        <v>6356.7785674757251</v>
      </c>
      <c r="AB121" s="349">
        <f>AB115/(1.355*(AB109/Semidetached!AB$17)^0.16)</f>
        <v>6529.3689312772167</v>
      </c>
      <c r="AC121" s="349">
        <f>AC115/(1.355*(AC109/Semidetached!AC$17)^0.16)</f>
        <v>4288.5178412282321</v>
      </c>
      <c r="AD121" s="349">
        <f>AD115/(1.355*(AD109/Semidetached!AD$17)^0.16)</f>
        <v>6952.8329479749154</v>
      </c>
      <c r="AE121" s="349">
        <f>AE115/(1.355*(AE109/Semidetached!AE$17)^0.16)</f>
        <v>6040.6789266726682</v>
      </c>
      <c r="AF121" s="349">
        <f>AF115/(1.355*(AF109/Semidetached!AF$17)^0.16)</f>
        <v>3215.6156762663477</v>
      </c>
      <c r="AG121" s="349">
        <f>AG115/(1.355*(AG109/Semidetached!AG$17)^0.16)</f>
        <v>6871.2429744122746</v>
      </c>
      <c r="AH121" s="349">
        <f>AH115/(1.355*(AH109/Semidetached!AH$17)^0.16)</f>
        <v>4331.7205914526839</v>
      </c>
      <c r="AI121" s="349">
        <f>AI115/(1.355*(AI109/Semidetached!AI$17)^0.16)</f>
        <v>3607.910108808886</v>
      </c>
      <c r="AJ121" s="349">
        <f>AJ115/(1.355*(AJ109/Semidetached!AJ$17)^0.16)</f>
        <v>6235.8450566839592</v>
      </c>
      <c r="AK121" s="349">
        <f>AK115/(1.355*(AK109/Semidetached!AK$17)^0.16)</f>
        <v>6717.3189551616515</v>
      </c>
      <c r="AL121" s="349">
        <f>AL115/(1.355*(AL109/Semidetached!AL$17)^0.16)</f>
        <v>3706.9362771518081</v>
      </c>
      <c r="AM121" s="349">
        <f>AM115/(1.355*(AM109/Semidetached!AM$17)^0.16)</f>
        <v>5734.3311660882264</v>
      </c>
      <c r="AN121" s="354">
        <f>AN115/(1.355*(AN109/Semidetached!AN$17)^0.16)</f>
        <v>5734.3311660882264</v>
      </c>
    </row>
    <row r="122" spans="1:40">
      <c r="A122" s="334" t="s">
        <v>262</v>
      </c>
      <c r="B122" s="359" t="s">
        <v>2</v>
      </c>
      <c r="C122" s="366" t="s">
        <v>190</v>
      </c>
      <c r="D122" s="375">
        <f>D116/Semidetached!D$4</f>
        <v>149.55701003375285</v>
      </c>
      <c r="E122" s="376">
        <f>E116/Semidetached!E$4</f>
        <v>130.95010859446475</v>
      </c>
      <c r="F122" s="376">
        <f>F116/Semidetached!F$4</f>
        <v>139.01935481009176</v>
      </c>
      <c r="G122" s="376">
        <f>G116/Semidetached!G$4</f>
        <v>143.55964777824306</v>
      </c>
      <c r="H122" s="376">
        <f>H116/Semidetached!H$4</f>
        <v>52.761690671498691</v>
      </c>
      <c r="I122" s="376">
        <f>I116/Semidetached!I$4</f>
        <v>131.44141789935924</v>
      </c>
      <c r="J122" s="376">
        <f>J116/Semidetached!J$4</f>
        <v>148.78440573058353</v>
      </c>
      <c r="K122" s="376">
        <f>K116/Semidetached!K$4</f>
        <v>93.620610627793752</v>
      </c>
      <c r="L122" s="376">
        <f>L116/Semidetached!L$4</f>
        <v>94.157569884718981</v>
      </c>
      <c r="M122" s="376">
        <f>M116/Semidetached!M$4</f>
        <v>123.10492737794929</v>
      </c>
      <c r="N122" s="376">
        <f>N116/Semidetached!N$4</f>
        <v>143.37130209737893</v>
      </c>
      <c r="O122" s="376">
        <f>O116/Semidetached!O$4</f>
        <v>155.45288546058742</v>
      </c>
      <c r="P122" s="376">
        <f>P116/Semidetached!P$4</f>
        <v>120.94333380728045</v>
      </c>
      <c r="Q122" s="376">
        <f>Q116/Semidetached!Q$4</f>
        <v>124.99177255669927</v>
      </c>
      <c r="R122" s="376">
        <f>R116/Semidetached!R$4</f>
        <v>130.15891364053687</v>
      </c>
      <c r="S122" s="376">
        <f>S116/Semidetached!S$4</f>
        <v>120.45298074234744</v>
      </c>
      <c r="T122" s="376">
        <f>T116/Semidetached!T$4</f>
        <v>121.4519518222248</v>
      </c>
      <c r="U122" s="376">
        <f>U116/Semidetached!U$4</f>
        <v>106.76778530011848</v>
      </c>
      <c r="V122" s="376">
        <f>V116/Semidetached!V$4</f>
        <v>139.84846147867475</v>
      </c>
      <c r="W122" s="376">
        <f>W116/Semidetached!W$4</f>
        <v>149.95319016184988</v>
      </c>
      <c r="X122" s="376">
        <f>X116/Semidetached!X$4</f>
        <v>148.57355390453327</v>
      </c>
      <c r="Y122" s="376">
        <f>Y116/Semidetached!Y$4</f>
        <v>42.329742006623441</v>
      </c>
      <c r="Z122" s="376">
        <f>Z116/Semidetached!Z$4</f>
        <v>130.28872893318507</v>
      </c>
      <c r="AA122" s="376">
        <f>AA116/Semidetached!AA$4</f>
        <v>98.266314143135872</v>
      </c>
      <c r="AB122" s="376">
        <f>AB116/Semidetached!AB$4</f>
        <v>178.40464917893519</v>
      </c>
      <c r="AC122" s="376">
        <f>AC116/Semidetached!AC$4</f>
        <v>70.631728638264462</v>
      </c>
      <c r="AD122" s="376">
        <f>AD116/Semidetached!AD$4</f>
        <v>185.60311668243025</v>
      </c>
      <c r="AE122" s="376">
        <f>AE116/Semidetached!AE$4</f>
        <v>95.752821287050963</v>
      </c>
      <c r="AF122" s="376">
        <f>AF116/Semidetached!AF$4</f>
        <v>128.17716923626548</v>
      </c>
      <c r="AG122" s="376">
        <f>AG116/Semidetached!AG$4</f>
        <v>181.99908253132915</v>
      </c>
      <c r="AH122" s="376">
        <f>AH116/Semidetached!AH$4</f>
        <v>149.34260036035491</v>
      </c>
      <c r="AI122" s="376">
        <f>AI116/Semidetached!AI$4</f>
        <v>116.39580528296597</v>
      </c>
      <c r="AJ122" s="376">
        <f>AJ116/Semidetached!AJ$4</f>
        <v>139.83000022623926</v>
      </c>
      <c r="AK122" s="376">
        <f>AK116/Semidetached!AK$4</f>
        <v>110.54230180420423</v>
      </c>
      <c r="AL122" s="376">
        <f>AL116/Semidetached!AL$4</f>
        <v>135.01314911986287</v>
      </c>
      <c r="AM122" s="376">
        <f>AM116/Semidetached!AM$4</f>
        <v>128.58426098833158</v>
      </c>
      <c r="AN122" s="377">
        <f>AN116/Semidetached!AN$4</f>
        <v>128.58426098833158</v>
      </c>
    </row>
    <row r="123" spans="1:40">
      <c r="A123" s="154"/>
      <c r="B123" s="347" t="s">
        <v>3</v>
      </c>
      <c r="C123" s="367" t="s">
        <v>190</v>
      </c>
      <c r="D123" s="369">
        <f>D117/Semidetached!D$4</f>
        <v>143.50733829025907</v>
      </c>
      <c r="E123" s="370">
        <f>E117/Semidetached!E$4</f>
        <v>130.95010859446475</v>
      </c>
      <c r="F123" s="370">
        <f>F117/Semidetached!F$4</f>
        <v>139.01935481009176</v>
      </c>
      <c r="G123" s="370">
        <f>G117/Semidetached!G$4</f>
        <v>137.91546224760387</v>
      </c>
      <c r="H123" s="370">
        <f>H117/Semidetached!H$4</f>
        <v>49.10386212991255</v>
      </c>
      <c r="I123" s="370">
        <f>I117/Semidetached!I$4</f>
        <v>113.24571916194235</v>
      </c>
      <c r="J123" s="370">
        <f>J117/Semidetached!J$4</f>
        <v>128.93283774982942</v>
      </c>
      <c r="K123" s="370">
        <f>K117/Semidetached!K$4</f>
        <v>91.130057284804664</v>
      </c>
      <c r="L123" s="370">
        <f>L117/Semidetached!L$4</f>
        <v>94.157569884718981</v>
      </c>
      <c r="M123" s="370">
        <f>M117/Semidetached!M$4</f>
        <v>114.4299937217492</v>
      </c>
      <c r="N123" s="370">
        <f>N117/Semidetached!N$4</f>
        <v>128.9894440924032</v>
      </c>
      <c r="O123" s="370">
        <f>O117/Semidetached!O$4</f>
        <v>155.45288546058742</v>
      </c>
      <c r="P123" s="370">
        <f>P117/Semidetached!P$4</f>
        <v>120.94333380728045</v>
      </c>
      <c r="Q123" s="370">
        <f>Q117/Semidetached!Q$4</f>
        <v>132.61359755522702</v>
      </c>
      <c r="R123" s="370">
        <f>R117/Semidetached!R$4</f>
        <v>130.15891364053687</v>
      </c>
      <c r="S123" s="370">
        <f>S117/Semidetached!S$4</f>
        <v>120.5119904906206</v>
      </c>
      <c r="T123" s="370">
        <f>T117/Semidetached!T$4</f>
        <v>109.23047454775009</v>
      </c>
      <c r="U123" s="370">
        <f>U117/Semidetached!U$4</f>
        <v>101.85008442803117</v>
      </c>
      <c r="V123" s="370">
        <f>V117/Semidetached!V$4</f>
        <v>139.84846147867475</v>
      </c>
      <c r="W123" s="370">
        <f>W117/Semidetached!W$4</f>
        <v>163.34248459177431</v>
      </c>
      <c r="X123" s="370">
        <f>X117/Semidetached!X$4</f>
        <v>147.15404237787112</v>
      </c>
      <c r="Y123" s="370">
        <f>Y117/Semidetached!Y$4</f>
        <v>42.3274350517069</v>
      </c>
      <c r="Z123" s="370">
        <f>Z117/Semidetached!Z$4</f>
        <v>121.15954893639891</v>
      </c>
      <c r="AA123" s="370">
        <f>AA117/Semidetached!AA$4</f>
        <v>97.962212013684237</v>
      </c>
      <c r="AB123" s="370">
        <f>AB117/Semidetached!AB$4</f>
        <v>144.7773289935966</v>
      </c>
      <c r="AC123" s="370">
        <f>AC117/Semidetached!AC$4</f>
        <v>64.824511278141117</v>
      </c>
      <c r="AD123" s="370">
        <f>AD117/Semidetached!AD$4</f>
        <v>167.91872071202016</v>
      </c>
      <c r="AE123" s="370">
        <f>AE117/Semidetached!AE$4</f>
        <v>95.452474314382115</v>
      </c>
      <c r="AF123" s="370">
        <f>AF117/Semidetached!AF$4</f>
        <v>128.17716923626548</v>
      </c>
      <c r="AG123" s="370">
        <f>AG117/Semidetached!AG$4</f>
        <v>159.04523374201113</v>
      </c>
      <c r="AH123" s="370">
        <f>AH117/Semidetached!AH$4</f>
        <v>156.41983194096503</v>
      </c>
      <c r="AI123" s="370">
        <f>AI117/Semidetached!AI$4</f>
        <v>116.39580528296597</v>
      </c>
      <c r="AJ123" s="370">
        <f>AJ117/Semidetached!AJ$4</f>
        <v>139.83000022623926</v>
      </c>
      <c r="AK123" s="370">
        <f>AK117/Semidetached!AK$4</f>
        <v>110.54230180420423</v>
      </c>
      <c r="AL123" s="370">
        <f>AL117/Semidetached!AL$4</f>
        <v>135.01314911986287</v>
      </c>
      <c r="AM123" s="370">
        <f>AM117/Semidetached!AM$4</f>
        <v>128.58426098833158</v>
      </c>
      <c r="AN123" s="371">
        <f>AN117/Semidetached!AN$4</f>
        <v>128.58426098833158</v>
      </c>
    </row>
    <row r="124" spans="1:40">
      <c r="A124" s="154"/>
      <c r="B124" s="347" t="s">
        <v>4</v>
      </c>
      <c r="C124" s="367" t="s">
        <v>190</v>
      </c>
      <c r="D124" s="369">
        <f>D118/Semidetached!D$4</f>
        <v>116.56877369837164</v>
      </c>
      <c r="E124" s="370">
        <f>E118/Semidetached!E$4</f>
        <v>130.95010859446475</v>
      </c>
      <c r="F124" s="370">
        <f>F118/Semidetached!F$4</f>
        <v>131.59554099516114</v>
      </c>
      <c r="G124" s="370">
        <f>G118/Semidetached!G$4</f>
        <v>111.94922261232591</v>
      </c>
      <c r="H124" s="370">
        <f>H118/Semidetached!H$4</f>
        <v>49.024029894678364</v>
      </c>
      <c r="I124" s="370">
        <f>I118/Semidetached!I$4</f>
        <v>113.24571916194235</v>
      </c>
      <c r="J124" s="370">
        <f>J118/Semidetached!J$4</f>
        <v>95.631568615763541</v>
      </c>
      <c r="K124" s="370">
        <f>K118/Semidetached!K$4</f>
        <v>61.077291668835485</v>
      </c>
      <c r="L124" s="370">
        <f>L118/Semidetached!L$4</f>
        <v>77.573598869153741</v>
      </c>
      <c r="M124" s="370">
        <f>M118/Semidetached!M$4</f>
        <v>114.4299937217492</v>
      </c>
      <c r="N124" s="370">
        <f>N118/Semidetached!N$4</f>
        <v>107.07355722436346</v>
      </c>
      <c r="O124" s="370">
        <f>O118/Semidetached!O$4</f>
        <v>83.169569095780602</v>
      </c>
      <c r="P124" s="370">
        <f>P118/Semidetached!P$4</f>
        <v>120.94333380728045</v>
      </c>
      <c r="Q124" s="370">
        <f>Q118/Semidetached!Q$4</f>
        <v>116.89175645248054</v>
      </c>
      <c r="R124" s="370">
        <f>R118/Semidetached!R$4</f>
        <v>116.87497362992978</v>
      </c>
      <c r="S124" s="370">
        <f>S118/Semidetached!S$4</f>
        <v>119.51856359219785</v>
      </c>
      <c r="T124" s="370">
        <f>T118/Semidetached!T$4</f>
        <v>90.660484298785889</v>
      </c>
      <c r="U124" s="370">
        <f>U118/Semidetached!U$4</f>
        <v>96.067617685854074</v>
      </c>
      <c r="V124" s="370">
        <f>V118/Semidetached!V$4</f>
        <v>93.062351142144863</v>
      </c>
      <c r="W124" s="370">
        <f>W118/Semidetached!W$4</f>
        <v>89.354333279703752</v>
      </c>
      <c r="X124" s="370">
        <f>X118/Semidetached!X$4</f>
        <v>140.27616811552519</v>
      </c>
      <c r="Y124" s="370">
        <f>Y118/Semidetached!Y$4</f>
        <v>35.365285147510768</v>
      </c>
      <c r="Z124" s="370">
        <f>Z118/Semidetached!Z$4</f>
        <v>115.31120477937422</v>
      </c>
      <c r="AA124" s="370">
        <f>AA118/Semidetached!AA$4</f>
        <v>71.732739252736494</v>
      </c>
      <c r="AB124" s="370">
        <f>AB118/Semidetached!AB$4</f>
        <v>106.23733088864178</v>
      </c>
      <c r="AC124" s="370">
        <f>AC118/Semidetached!AC$4</f>
        <v>64.79386817628604</v>
      </c>
      <c r="AD124" s="370">
        <f>AD118/Semidetached!AD$4</f>
        <v>167.91872071202016</v>
      </c>
      <c r="AE124" s="370">
        <f>AE118/Semidetached!AE$4</f>
        <v>69.969026169549167</v>
      </c>
      <c r="AF124" s="370">
        <f>AF118/Semidetached!AF$4</f>
        <v>121.20925911560153</v>
      </c>
      <c r="AG124" s="370">
        <f>AG118/Semidetached!AG$4</f>
        <v>159.04523374201113</v>
      </c>
      <c r="AH124" s="370">
        <f>AH118/Semidetached!AH$4</f>
        <v>137.10820691170647</v>
      </c>
      <c r="AI124" s="370">
        <f>AI118/Semidetached!AI$4</f>
        <v>116.39580528296597</v>
      </c>
      <c r="AJ124" s="370">
        <f>AJ118/Semidetached!AJ$4</f>
        <v>139.83000022623926</v>
      </c>
      <c r="AK124" s="370">
        <f>AK118/Semidetached!AK$4</f>
        <v>110.54230180420423</v>
      </c>
      <c r="AL124" s="370">
        <f>AL118/Semidetached!AL$4</f>
        <v>127.75077150759218</v>
      </c>
      <c r="AM124" s="370">
        <f>AM118/Semidetached!AM$4</f>
        <v>128.58426098833158</v>
      </c>
      <c r="AN124" s="371">
        <f>AN118/Semidetached!AN$4</f>
        <v>128.58426098833158</v>
      </c>
    </row>
    <row r="125" spans="1:40">
      <c r="A125" s="154"/>
      <c r="B125" s="347" t="s">
        <v>5</v>
      </c>
      <c r="C125" s="367" t="s">
        <v>190</v>
      </c>
      <c r="D125" s="369">
        <f>D119/Semidetached!D$4</f>
        <v>80.142985752678555</v>
      </c>
      <c r="E125" s="370">
        <f>E119/Semidetached!E$4</f>
        <v>115.77125973670711</v>
      </c>
      <c r="F125" s="370">
        <f>F119/Semidetached!F$4</f>
        <v>111.51225643730076</v>
      </c>
      <c r="G125" s="370">
        <f>G119/Semidetached!G$4</f>
        <v>76.882978749725723</v>
      </c>
      <c r="H125" s="370">
        <f>H119/Semidetached!H$4</f>
        <v>46.698851808933476</v>
      </c>
      <c r="I125" s="370">
        <f>I119/Semidetached!I$4</f>
        <v>101.33967089478735</v>
      </c>
      <c r="J125" s="370">
        <f>J119/Semidetached!J$4</f>
        <v>77.134388160109765</v>
      </c>
      <c r="K125" s="370">
        <f>K119/Semidetached!K$4</f>
        <v>51.004795341659538</v>
      </c>
      <c r="L125" s="370">
        <f>L119/Semidetached!L$4</f>
        <v>59.967687521641238</v>
      </c>
      <c r="M125" s="370">
        <f>M119/Semidetached!M$4</f>
        <v>73.489053644175385</v>
      </c>
      <c r="N125" s="370">
        <f>N119/Semidetached!N$4</f>
        <v>88.548274422833941</v>
      </c>
      <c r="O125" s="370">
        <f>O119/Semidetached!O$4</f>
        <v>72.031685680143994</v>
      </c>
      <c r="P125" s="370">
        <f>P119/Semidetached!P$4</f>
        <v>116.09970486057539</v>
      </c>
      <c r="Q125" s="370">
        <f>Q119/Semidetached!Q$4</f>
        <v>116.89175645248054</v>
      </c>
      <c r="R125" s="370">
        <f>R119/Semidetached!R$4</f>
        <v>89.150327543342428</v>
      </c>
      <c r="S125" s="370">
        <f>S119/Semidetached!S$4</f>
        <v>85.234513878308334</v>
      </c>
      <c r="T125" s="370">
        <f>T119/Semidetached!T$4</f>
        <v>74.979204288028484</v>
      </c>
      <c r="U125" s="370">
        <f>U119/Semidetached!U$4</f>
        <v>76.881083607170041</v>
      </c>
      <c r="V125" s="370">
        <f>V119/Semidetached!V$4</f>
        <v>93.062351142144863</v>
      </c>
      <c r="W125" s="370">
        <f>W119/Semidetached!W$4</f>
        <v>78.890441055170669</v>
      </c>
      <c r="X125" s="370">
        <f>X119/Semidetached!X$4</f>
        <v>83.497448705057408</v>
      </c>
      <c r="Y125" s="370">
        <f>Y119/Semidetached!Y$4</f>
        <v>31.207864141411228</v>
      </c>
      <c r="Z125" s="370">
        <f>Z119/Semidetached!Z$4</f>
        <v>78.037825199534808</v>
      </c>
      <c r="AA125" s="370">
        <f>AA119/Semidetached!AA$4</f>
        <v>70.978354615030554</v>
      </c>
      <c r="AB125" s="370">
        <f>AB119/Semidetached!AB$4</f>
        <v>106.23733088864178</v>
      </c>
      <c r="AC125" s="370">
        <f>AC119/Semidetached!AC$4</f>
        <v>63.342023785332678</v>
      </c>
      <c r="AD125" s="370">
        <f>AD119/Semidetached!AD$4</f>
        <v>142.22737886351933</v>
      </c>
      <c r="AE125" s="370">
        <f>AE119/Semidetached!AE$4</f>
        <v>69.2240948921974</v>
      </c>
      <c r="AF125" s="370">
        <f>AF119/Semidetached!AF$4</f>
        <v>93.080802161504835</v>
      </c>
      <c r="AG125" s="370">
        <f>AG119/Semidetached!AG$4</f>
        <v>143.92112243991551</v>
      </c>
      <c r="AH125" s="370">
        <f>AH119/Semidetached!AH$4</f>
        <v>83.36568029963982</v>
      </c>
      <c r="AI125" s="370">
        <f>AI119/Semidetached!AI$4</f>
        <v>111.55038849161024</v>
      </c>
      <c r="AJ125" s="370">
        <f>AJ119/Semidetached!AJ$4</f>
        <v>126.16006049225379</v>
      </c>
      <c r="AK125" s="370">
        <f>AK119/Semidetached!AK$4</f>
        <v>99.64944990262822</v>
      </c>
      <c r="AL125" s="370">
        <f>AL119/Semidetached!AL$4</f>
        <v>108.05761768220852</v>
      </c>
      <c r="AM125" s="370">
        <f>AM119/Semidetached!AM$4</f>
        <v>116.01371750263039</v>
      </c>
      <c r="AN125" s="371">
        <f>AN119/Semidetached!AN$4</f>
        <v>116.01371750263037</v>
      </c>
    </row>
    <row r="126" spans="1:40">
      <c r="A126" s="154"/>
      <c r="B126" s="347" t="s">
        <v>6</v>
      </c>
      <c r="C126" s="367" t="s">
        <v>190</v>
      </c>
      <c r="D126" s="369">
        <f>D120/Semidetached!D$4</f>
        <v>68.01001686747891</v>
      </c>
      <c r="E126" s="370">
        <f>E120/Semidetached!E$4</f>
        <v>115.77125973670711</v>
      </c>
      <c r="F126" s="370">
        <f>F120/Semidetached!F$4</f>
        <v>93.403410391576628</v>
      </c>
      <c r="G126" s="370">
        <f>G120/Semidetached!G$4</f>
        <v>65.252995584330705</v>
      </c>
      <c r="H126" s="370">
        <f>H120/Semidetached!H$4</f>
        <v>41.717696619859389</v>
      </c>
      <c r="I126" s="370">
        <f>I120/Semidetached!I$4</f>
        <v>77.841070022748752</v>
      </c>
      <c r="J126" s="370">
        <f>J120/Semidetached!J$4</f>
        <v>45.870556533502587</v>
      </c>
      <c r="K126" s="370">
        <f>K120/Semidetached!K$4</f>
        <v>51.004795341659538</v>
      </c>
      <c r="L126" s="370">
        <f>L120/Semidetached!L$4</f>
        <v>51.830457547890667</v>
      </c>
      <c r="M126" s="370">
        <f>M120/Semidetached!M$4</f>
        <v>73.489053644175385</v>
      </c>
      <c r="N126" s="370">
        <f>N120/Semidetached!N$4</f>
        <v>87.364655011071505</v>
      </c>
      <c r="O126" s="370">
        <f>O120/Semidetached!O$4</f>
        <v>42.29645355743029</v>
      </c>
      <c r="P126" s="370">
        <f>P120/Semidetached!P$4</f>
        <v>116.09970486057539</v>
      </c>
      <c r="Q126" s="370">
        <f>Q120/Semidetached!Q$4</f>
        <v>86.437495740190727</v>
      </c>
      <c r="R126" s="370">
        <f>R120/Semidetached!R$4</f>
        <v>89.150327543342428</v>
      </c>
      <c r="S126" s="370">
        <f>S120/Semidetached!S$4</f>
        <v>72.360177350036935</v>
      </c>
      <c r="T126" s="370">
        <f>T120/Semidetached!T$4</f>
        <v>73.974191551453629</v>
      </c>
      <c r="U126" s="370">
        <f>U120/Semidetached!U$4</f>
        <v>72.809851000175442</v>
      </c>
      <c r="V126" s="370">
        <f>V120/Semidetached!V$4</f>
        <v>93.062351142144863</v>
      </c>
      <c r="W126" s="370">
        <f>W120/Semidetached!W$4</f>
        <v>68.493812998486419</v>
      </c>
      <c r="X126" s="370">
        <f>X120/Semidetached!X$4</f>
        <v>83.08533064126118</v>
      </c>
      <c r="Y126" s="370">
        <f>Y120/Semidetached!Y$4</f>
        <v>31.18374194897552</v>
      </c>
      <c r="Z126" s="370">
        <f>Z120/Semidetached!Z$4</f>
        <v>70.960656787914147</v>
      </c>
      <c r="AA126" s="370">
        <f>AA120/Semidetached!AA$4</f>
        <v>63.895862895800242</v>
      </c>
      <c r="AB126" s="370">
        <f>AB120/Semidetached!AB$4</f>
        <v>106.23733088864178</v>
      </c>
      <c r="AC126" s="370">
        <f>AC120/Semidetached!AC$4</f>
        <v>58.941054622261873</v>
      </c>
      <c r="AD126" s="370">
        <f>AD120/Semidetached!AD$4</f>
        <v>142.22737886351933</v>
      </c>
      <c r="AE126" s="370">
        <f>AE120/Semidetached!AE$4</f>
        <v>62.335166088451849</v>
      </c>
      <c r="AF126" s="370">
        <f>AF120/Semidetached!AF$4</f>
        <v>69.220766827724276</v>
      </c>
      <c r="AG126" s="370">
        <f>AG120/Semidetached!AG$4</f>
        <v>135.91888090152008</v>
      </c>
      <c r="AH126" s="370">
        <f>AH120/Semidetached!AH$4</f>
        <v>65.950835402816523</v>
      </c>
      <c r="AI126" s="370">
        <f>AI120/Semidetached!AI$4</f>
        <v>111.55038849161024</v>
      </c>
      <c r="AJ126" s="370">
        <f>AJ120/Semidetached!AJ$4</f>
        <v>121.4188435002373</v>
      </c>
      <c r="AK126" s="370">
        <f>AK120/Semidetached!AK$4</f>
        <v>95.793116514183851</v>
      </c>
      <c r="AL126" s="370">
        <f>AL120/Semidetached!AL$4</f>
        <v>90.309328819959447</v>
      </c>
      <c r="AM126" s="370">
        <f>AM120/Semidetached!AM$4</f>
        <v>111.65380988539962</v>
      </c>
      <c r="AN126" s="371">
        <f>AN120/Semidetached!AN$4</f>
        <v>111.65380988539961</v>
      </c>
    </row>
    <row r="127" spans="1:40">
      <c r="A127" s="155"/>
      <c r="B127" s="338" t="s">
        <v>7</v>
      </c>
      <c r="C127" s="368" t="s">
        <v>190</v>
      </c>
      <c r="D127" s="378">
        <f>D121/Semidetached!D$4</f>
        <v>60.480003544929325</v>
      </c>
      <c r="E127" s="379">
        <f>E121/Semidetached!E$4</f>
        <v>73.07588893385541</v>
      </c>
      <c r="F127" s="379">
        <f>F121/Semidetached!F$4</f>
        <v>64.755984795214701</v>
      </c>
      <c r="G127" s="379">
        <f>G121/Semidetached!G$4</f>
        <v>57.985749842432988</v>
      </c>
      <c r="H127" s="379">
        <f>H121/Semidetached!H$4</f>
        <v>30.668050652838613</v>
      </c>
      <c r="I127" s="379">
        <f>I121/Semidetached!I$4</f>
        <v>62.321031674547001</v>
      </c>
      <c r="J127" s="379">
        <f>J121/Semidetached!J$4</f>
        <v>49.668993833895641</v>
      </c>
      <c r="K127" s="379">
        <f>K121/Semidetached!K$4</f>
        <v>37.204972632201063</v>
      </c>
      <c r="L127" s="379">
        <f>L121/Semidetached!L$4</f>
        <v>51.830457547890667</v>
      </c>
      <c r="M127" s="379">
        <f>M121/Semidetached!M$4</f>
        <v>50.991455647972167</v>
      </c>
      <c r="N127" s="379">
        <f>N121/Semidetached!N$4</f>
        <v>78.983411568888627</v>
      </c>
      <c r="O127" s="379">
        <f>O121/Semidetached!O$4</f>
        <v>41.012014228677423</v>
      </c>
      <c r="P127" s="379">
        <f>P121/Semidetached!P$4</f>
        <v>47.255264182820348</v>
      </c>
      <c r="Q127" s="379">
        <f>Q121/Semidetached!Q$4</f>
        <v>57.444057698205356</v>
      </c>
      <c r="R127" s="379">
        <f>R121/Semidetached!R$4</f>
        <v>57.377659738930689</v>
      </c>
      <c r="S127" s="379">
        <f>S121/Semidetached!S$4</f>
        <v>45.715988730753956</v>
      </c>
      <c r="T127" s="379">
        <f>T121/Semidetached!T$4</f>
        <v>66.878022428425055</v>
      </c>
      <c r="U127" s="379">
        <f>U121/Semidetached!U$4</f>
        <v>70.200002459800189</v>
      </c>
      <c r="V127" s="379">
        <f>V121/Semidetached!V$4</f>
        <v>56.073458124784757</v>
      </c>
      <c r="W127" s="379">
        <f>W121/Semidetached!W$4</f>
        <v>55.115345448431555</v>
      </c>
      <c r="X127" s="379">
        <f>X121/Semidetached!X$4</f>
        <v>54.539349635907023</v>
      </c>
      <c r="Y127" s="379">
        <f>Y121/Semidetached!Y$4</f>
        <v>29.724870022515599</v>
      </c>
      <c r="Z127" s="379">
        <f>Z121/Semidetached!Z$4</f>
        <v>49.608285312196898</v>
      </c>
      <c r="AA127" s="379">
        <f>AA121/Semidetached!AA$4</f>
        <v>58.114468367385122</v>
      </c>
      <c r="AB127" s="379">
        <f>AB121/Semidetached!AB$4</f>
        <v>80.146251105316352</v>
      </c>
      <c r="AC127" s="379">
        <f>AC121/Semidetached!AC$4</f>
        <v>42.06450371314358</v>
      </c>
      <c r="AD127" s="379">
        <f>AD121/Semidetached!AD$4</f>
        <v>114.3030457670087</v>
      </c>
      <c r="AE127" s="379">
        <f>AE121/Semidetached!AE$4</f>
        <v>56.625830332781341</v>
      </c>
      <c r="AF127" s="379">
        <f>AF121/Semidetached!AF$4</f>
        <v>39.987194631305009</v>
      </c>
      <c r="AG127" s="379">
        <f>AG121/Semidetached!AG$4</f>
        <v>85.227291582188371</v>
      </c>
      <c r="AH127" s="379">
        <f>AH121/Semidetached!AH$4</f>
        <v>56.004550476113508</v>
      </c>
      <c r="AI127" s="379">
        <f>AI121/Semidetached!AI$4</f>
        <v>45.726237901860941</v>
      </c>
      <c r="AJ127" s="379">
        <f>AJ121/Semidetached!AJ$4</f>
        <v>107.38533453203458</v>
      </c>
      <c r="AK127" s="379">
        <f>AK121/Semidetached!AK$4</f>
        <v>85.134528118220359</v>
      </c>
      <c r="AL127" s="379">
        <f>AL121/Semidetached!AL$4</f>
        <v>62.642340253078302</v>
      </c>
      <c r="AM127" s="379">
        <f>AM121/Semidetached!AM$4</f>
        <v>98.748936990957191</v>
      </c>
      <c r="AN127" s="380">
        <f>AN121/Semidetached!AN$4</f>
        <v>98.748936990957191</v>
      </c>
    </row>
    <row r="128" spans="1:40">
      <c r="A128" s="334" t="s">
        <v>299</v>
      </c>
      <c r="B128" s="359" t="s">
        <v>2</v>
      </c>
      <c r="C128" s="366" t="s">
        <v>190</v>
      </c>
      <c r="D128" s="376">
        <f>Semidetached!D$48-D122</f>
        <v>17.861198286874213</v>
      </c>
      <c r="E128" s="376">
        <f>Semidetached!E$48-E122</f>
        <v>34.091873645630812</v>
      </c>
      <c r="F128" s="376">
        <f>Semidetached!F$48-F122</f>
        <v>19.597618417559715</v>
      </c>
      <c r="G128" s="376">
        <f>Semidetached!G$48-G122</f>
        <v>17.416902783525842</v>
      </c>
      <c r="H128" s="376">
        <f>Semidetached!H$48-H122</f>
        <v>16.989540902740508</v>
      </c>
      <c r="I128" s="376">
        <f>Semidetached!I$48-I122</f>
        <v>19.646338428958273</v>
      </c>
      <c r="J128" s="376">
        <f>Semidetached!J$48-J122</f>
        <v>40.06503415301961</v>
      </c>
      <c r="K128" s="376">
        <f>Semidetached!K$48-K122</f>
        <v>6.3788615580666317</v>
      </c>
      <c r="L128" s="376">
        <f>Semidetached!L$48-L122</f>
        <v>9.9769712564702502</v>
      </c>
      <c r="M128" s="376">
        <f>Semidetached!M$48-M122</f>
        <v>18.742455752611207</v>
      </c>
      <c r="N128" s="376">
        <f>Semidetached!N$48-N122</f>
        <v>10.267318236835564</v>
      </c>
      <c r="O128" s="376">
        <f>Semidetached!O$48-O122</f>
        <v>38.45830444440594</v>
      </c>
      <c r="P128" s="376">
        <f>Semidetached!P$48-P122</f>
        <v>32.349004337345661</v>
      </c>
      <c r="Q128" s="376">
        <f>Semidetached!Q$48-Q122</f>
        <v>17.062109837502263</v>
      </c>
      <c r="R128" s="376">
        <f>Semidetached!R$48-R122</f>
        <v>20.500119992544171</v>
      </c>
      <c r="S128" s="376">
        <f>Semidetached!S$48-S122</f>
        <v>46.064737972692129</v>
      </c>
      <c r="T128" s="376">
        <f>Semidetached!T$48-T122</f>
        <v>8.735936186543654</v>
      </c>
      <c r="U128" s="376">
        <f>Semidetached!U$48-U122</f>
        <v>24.289080669583228</v>
      </c>
      <c r="V128" s="376">
        <f>Semidetached!V$48-V122</f>
        <v>18.208933674864141</v>
      </c>
      <c r="W128" s="376">
        <f>Semidetached!W$48-W122</f>
        <v>28.386468286580168</v>
      </c>
      <c r="X128" s="376">
        <f>Semidetached!X$48-X122</f>
        <v>31.175163998216107</v>
      </c>
      <c r="Y128" s="376">
        <f>Semidetached!Y$48-Y122</f>
        <v>6.6054918313035031</v>
      </c>
      <c r="Z128" s="376">
        <f>Semidetached!Z$48-Z122</f>
        <v>47.731663145638066</v>
      </c>
      <c r="AA128" s="376">
        <f>Semidetached!AA$48-AA122</f>
        <v>12.414514693833567</v>
      </c>
      <c r="AB128" s="376">
        <f>Semidetached!AB$48-AB122</f>
        <v>44.477111823058095</v>
      </c>
      <c r="AC128" s="376">
        <f>Semidetached!AC$48-AC122</f>
        <v>25.648426186104743</v>
      </c>
      <c r="AD128" s="376">
        <f>Semidetached!AD$48-AD122</f>
        <v>25.462448852029809</v>
      </c>
      <c r="AE128" s="376">
        <f>Semidetached!AE$48-AE122</f>
        <v>11.959286682942007</v>
      </c>
      <c r="AF128" s="376">
        <f>Semidetached!AF$48-AF122</f>
        <v>21.623157881668192</v>
      </c>
      <c r="AG128" s="376">
        <f>Semidetached!AG$48-AG122</f>
        <v>43.11517712383133</v>
      </c>
      <c r="AH128" s="376">
        <f>Semidetached!AH$48-AH122</f>
        <v>48.853787398262028</v>
      </c>
      <c r="AI128" s="376">
        <f>Semidetached!AI$48-AI122</f>
        <v>32.328886300661139</v>
      </c>
      <c r="AJ128" s="376">
        <f>Semidetached!AJ$48-AJ122</f>
        <v>19.654482953192712</v>
      </c>
      <c r="AK128" s="376">
        <f>Semidetached!AK$48-AK122</f>
        <v>17.594056179979319</v>
      </c>
      <c r="AL128" s="376">
        <f>Semidetached!AL$48-AL122</f>
        <v>19.634932969825684</v>
      </c>
      <c r="AM128" s="376">
        <f>Semidetached!AM$48-AM122</f>
        <v>18.073783605485602</v>
      </c>
      <c r="AN128" s="377">
        <f>Semidetached!AN$48-AN122</f>
        <v>18.073783605485602</v>
      </c>
    </row>
    <row r="129" spans="1:40">
      <c r="A129" s="154"/>
      <c r="B129" s="347" t="s">
        <v>3</v>
      </c>
      <c r="C129" s="367" t="s">
        <v>190</v>
      </c>
      <c r="D129" s="370">
        <f>Semidetached!D$49-D123</f>
        <v>13.831462047442585</v>
      </c>
      <c r="E129" s="370">
        <f>Semidetached!E$49-E123</f>
        <v>34.091873645630812</v>
      </c>
      <c r="F129" s="370">
        <f>Semidetached!F$49-F123</f>
        <v>19.597618417559715</v>
      </c>
      <c r="G129" s="370">
        <f>Semidetached!G$49-G123</f>
        <v>13.484943058594695</v>
      </c>
      <c r="H129" s="370">
        <f>Semidetached!H$49-H123</f>
        <v>17.18570954764207</v>
      </c>
      <c r="I129" s="370">
        <f>Semidetached!I$49-I123</f>
        <v>10.711752948740752</v>
      </c>
      <c r="J129" s="370">
        <f>Semidetached!J$49-J123</f>
        <v>39.155553675569593</v>
      </c>
      <c r="K129" s="370">
        <f>Semidetached!K$49-K123</f>
        <v>5.1297026760536255</v>
      </c>
      <c r="L129" s="370">
        <f>Semidetached!L$49-L123</f>
        <v>9.9769712564702502</v>
      </c>
      <c r="M129" s="370">
        <f>Semidetached!M$49-M123</f>
        <v>14.183344579662119</v>
      </c>
      <c r="N129" s="370">
        <f>Semidetached!N$49-N123</f>
        <v>9.6940235342514995</v>
      </c>
      <c r="O129" s="370">
        <f>Semidetached!O$49-O123</f>
        <v>38.45830444440594</v>
      </c>
      <c r="P129" s="370">
        <f>Semidetached!P$49-P123</f>
        <v>32.349004337345661</v>
      </c>
      <c r="Q129" s="370">
        <f>Semidetached!Q$49-Q123</f>
        <v>16.884454870246742</v>
      </c>
      <c r="R129" s="370">
        <f>Semidetached!R$49-R123</f>
        <v>20.500119992544171</v>
      </c>
      <c r="S129" s="370">
        <f>Semidetached!S$49-S123</f>
        <v>48.869671157715345</v>
      </c>
      <c r="T129" s="370">
        <f>Semidetached!T$49-T123</f>
        <v>8.2486665140210249</v>
      </c>
      <c r="U129" s="370">
        <f>Semidetached!U$49-U123</f>
        <v>23.082020972377094</v>
      </c>
      <c r="V129" s="370">
        <f>Semidetached!V$49-V123</f>
        <v>18.208933674864141</v>
      </c>
      <c r="W129" s="370">
        <f>Semidetached!W$49-W123</f>
        <v>16.033674939347407</v>
      </c>
      <c r="X129" s="370">
        <f>Semidetached!X$49-X123</f>
        <v>31.225997671157955</v>
      </c>
      <c r="Y129" s="370">
        <f>Semidetached!Y$49-Y123</f>
        <v>6.5262882077619722</v>
      </c>
      <c r="Z129" s="370">
        <f>Semidetached!Z$49-Z123</f>
        <v>20.860455040644936</v>
      </c>
      <c r="AA129" s="370">
        <f>Semidetached!AA$49-AA123</f>
        <v>12.421340001757656</v>
      </c>
      <c r="AB129" s="370">
        <f>Semidetached!AB$49-AB123</f>
        <v>17.179536717242229</v>
      </c>
      <c r="AC129" s="370">
        <f>Semidetached!AC$49-AC123</f>
        <v>24.179767680648723</v>
      </c>
      <c r="AD129" s="370">
        <f>Semidetached!AD$49-AD123</f>
        <v>23.685923978320858</v>
      </c>
      <c r="AE129" s="370">
        <f>Semidetached!AE$49-AE123</f>
        <v>11.965956299302533</v>
      </c>
      <c r="AF129" s="370">
        <f>Semidetached!AF$49-AF123</f>
        <v>21.623157881668192</v>
      </c>
      <c r="AG129" s="370">
        <f>Semidetached!AG$49-AG123</f>
        <v>31.533269174261875</v>
      </c>
      <c r="AH129" s="370">
        <f>Semidetached!AH$49-AH123</f>
        <v>51.461558904397918</v>
      </c>
      <c r="AI129" s="370">
        <f>Semidetached!AI$49-AI123</f>
        <v>32.328886300661139</v>
      </c>
      <c r="AJ129" s="370">
        <f>Semidetached!AJ$49-AJ123</f>
        <v>19.654482953192712</v>
      </c>
      <c r="AK129" s="370">
        <f>Semidetached!AK$49-AK123</f>
        <v>17.594056179979319</v>
      </c>
      <c r="AL129" s="370">
        <f>Semidetached!AL$49-AL123</f>
        <v>19.634932969825684</v>
      </c>
      <c r="AM129" s="370">
        <f>Semidetached!AM$49-AM123</f>
        <v>18.073783605485602</v>
      </c>
      <c r="AN129" s="371">
        <f>Semidetached!AN$49-AN123</f>
        <v>18.073783605485602</v>
      </c>
    </row>
    <row r="130" spans="1:40">
      <c r="A130" s="154"/>
      <c r="B130" s="347" t="s">
        <v>4</v>
      </c>
      <c r="C130" s="367" t="s">
        <v>190</v>
      </c>
      <c r="D130" s="370">
        <f>Semidetached!D$50-D124</f>
        <v>7.0318426449260016</v>
      </c>
      <c r="E130" s="370">
        <f>Semidetached!E$50-E124</f>
        <v>34.091873645630812</v>
      </c>
      <c r="F130" s="370">
        <f>Semidetached!F$50-F124</f>
        <v>17.851443405994758</v>
      </c>
      <c r="G130" s="370">
        <f>Semidetached!G$50-G124</f>
        <v>6.8568525267499894</v>
      </c>
      <c r="H130" s="370">
        <f>Semidetached!H$50-H124</f>
        <v>17.19014837223439</v>
      </c>
      <c r="I130" s="370">
        <f>Semidetached!I$50-I124</f>
        <v>10.711752948740752</v>
      </c>
      <c r="J130" s="370">
        <f>Semidetached!J$50-J124</f>
        <v>9.5760946172246264</v>
      </c>
      <c r="K130" s="370">
        <f>Semidetached!K$50-K124</f>
        <v>3.3256640609145904</v>
      </c>
      <c r="L130" s="370">
        <f>Semidetached!L$50-L124</f>
        <v>6.8286533341135254</v>
      </c>
      <c r="M130" s="370">
        <f>Semidetached!M$50-M124</f>
        <v>14.183344579662119</v>
      </c>
      <c r="N130" s="370">
        <f>Semidetached!N$50-N124</f>
        <v>6.6208024715414524</v>
      </c>
      <c r="O130" s="370">
        <f>Semidetached!O$50-O124</f>
        <v>5.6714742979970509</v>
      </c>
      <c r="P130" s="370">
        <f>Semidetached!P$50-P124</f>
        <v>32.349004337345661</v>
      </c>
      <c r="Q130" s="370">
        <f>Semidetached!Q$50-Q124</f>
        <v>17.641304916480124</v>
      </c>
      <c r="R130" s="370">
        <f>Semidetached!R$50-R124</f>
        <v>14.528541368461518</v>
      </c>
      <c r="S130" s="370">
        <f>Semidetached!S$50-S124</f>
        <v>21.294653126841141</v>
      </c>
      <c r="T130" s="370">
        <f>Semidetached!T$50-T124</f>
        <v>5.6338156081225605</v>
      </c>
      <c r="U130" s="370">
        <f>Semidetached!U$50-U124</f>
        <v>21.897989746813337</v>
      </c>
      <c r="V130" s="370">
        <f>Semidetached!V$50-V124</f>
        <v>8.6741674170839076</v>
      </c>
      <c r="W130" s="370">
        <f>Semidetached!W$50-W124</f>
        <v>9.3734588705988244</v>
      </c>
      <c r="X130" s="370">
        <f>Semidetached!X$50-X124</f>
        <v>25.080517425392884</v>
      </c>
      <c r="Y130" s="370">
        <f>Semidetached!Y$50-Y124</f>
        <v>6.7325732839095949</v>
      </c>
      <c r="Z130" s="370">
        <f>Semidetached!Z$50-Z124</f>
        <v>21.0394102176556</v>
      </c>
      <c r="AA130" s="370">
        <f>Semidetached!AA$50-AA124</f>
        <v>3.1140999174293569</v>
      </c>
      <c r="AB130" s="370">
        <f>Semidetached!AB$50-AB124</f>
        <v>10.387734580705313</v>
      </c>
      <c r="AC130" s="370">
        <f>Semidetached!AC$50-AC124</f>
        <v>22.362375858300524</v>
      </c>
      <c r="AD130" s="370">
        <f>Semidetached!AD$50-AD124</f>
        <v>23.685923978320858</v>
      </c>
      <c r="AE130" s="370">
        <f>Semidetached!AE$50-AE124</f>
        <v>2.999100188652946</v>
      </c>
      <c r="AF130" s="370">
        <f>Semidetached!AF$50-AF124</f>
        <v>15.187468955989004</v>
      </c>
      <c r="AG130" s="370">
        <f>Semidetached!AG$50-AG124</f>
        <v>31.533269174261875</v>
      </c>
      <c r="AH130" s="370">
        <f>Semidetached!AH$50-AH124</f>
        <v>22.844555778202817</v>
      </c>
      <c r="AI130" s="370">
        <f>Semidetached!AI$50-AI124</f>
        <v>32.328886300661139</v>
      </c>
      <c r="AJ130" s="370">
        <f>Semidetached!AJ$50-AJ124</f>
        <v>19.654482953192712</v>
      </c>
      <c r="AK130" s="370">
        <f>Semidetached!AK$50-AK124</f>
        <v>17.594056179979319</v>
      </c>
      <c r="AL130" s="370">
        <f>Semidetached!AL$50-AL124</f>
        <v>17.886966239863071</v>
      </c>
      <c r="AM130" s="370">
        <f>Semidetached!AM$50-AM124</f>
        <v>18.073783605485602</v>
      </c>
      <c r="AN130" s="371">
        <f>Semidetached!AN$50-AN124</f>
        <v>18.073783605485602</v>
      </c>
    </row>
    <row r="131" spans="1:40">
      <c r="A131" s="154"/>
      <c r="B131" s="347" t="s">
        <v>5</v>
      </c>
      <c r="C131" s="367" t="s">
        <v>190</v>
      </c>
      <c r="D131" s="370">
        <f>Semidetached!D$51-D125</f>
        <v>4.0792256469681547</v>
      </c>
      <c r="E131" s="370">
        <f>Semidetached!E$51-E125</f>
        <v>23.204952914323187</v>
      </c>
      <c r="F131" s="370">
        <f>Semidetached!F$51-F125</f>
        <v>16.992582835224184</v>
      </c>
      <c r="G131" s="370">
        <f>Semidetached!G$51-G125</f>
        <v>3.9785662102345611</v>
      </c>
      <c r="H131" s="370">
        <f>Semidetached!H$51-H125</f>
        <v>17.322605071444293</v>
      </c>
      <c r="I131" s="370">
        <f>Semidetached!I$51-I125</f>
        <v>8.4505156089797282</v>
      </c>
      <c r="J131" s="370">
        <f>Semidetached!J$51-J125</f>
        <v>3.6654317665183811</v>
      </c>
      <c r="K131" s="370">
        <f>Semidetached!K$51-K125</f>
        <v>2.6239640146310634</v>
      </c>
      <c r="L131" s="370">
        <f>Semidetached!L$51-L125</f>
        <v>3.6306950860333771</v>
      </c>
      <c r="M131" s="370">
        <f>Semidetached!M$51-M125</f>
        <v>10.378981259114809</v>
      </c>
      <c r="N131" s="370">
        <f>Semidetached!N$51-N125</f>
        <v>4.5663931889652787</v>
      </c>
      <c r="O131" s="370">
        <f>Semidetached!O$51-O125</f>
        <v>3.4842192975859803</v>
      </c>
      <c r="P131" s="370">
        <f>Semidetached!P$51-P125</f>
        <v>32.567271221751454</v>
      </c>
      <c r="Q131" s="370">
        <f>Semidetached!Q$51-Q125</f>
        <v>17.641304916480124</v>
      </c>
      <c r="R131" s="370">
        <f>Semidetached!R$51-R125</f>
        <v>8.8582207936672148</v>
      </c>
      <c r="S131" s="370">
        <f>Semidetached!S$51-S125</f>
        <v>5.8201684603860286</v>
      </c>
      <c r="T131" s="370">
        <f>Semidetached!T$51-T125</f>
        <v>3.8856408421486464</v>
      </c>
      <c r="U131" s="370">
        <f>Semidetached!U$51-U125</f>
        <v>16.903956643258226</v>
      </c>
      <c r="V131" s="370">
        <f>Semidetached!V$51-V125</f>
        <v>8.6741674170839076</v>
      </c>
      <c r="W131" s="370">
        <f>Semidetached!W$51-W125</f>
        <v>4.6501201526354237</v>
      </c>
      <c r="X131" s="370">
        <f>Semidetached!X$51-X125</f>
        <v>10.812782831339518</v>
      </c>
      <c r="Y131" s="370">
        <f>Semidetached!Y$51-Y125</f>
        <v>6.8774396498122101</v>
      </c>
      <c r="Z131" s="370">
        <f>Semidetached!Z$51-Z125</f>
        <v>10.19390369918888</v>
      </c>
      <c r="AA131" s="370">
        <f>Semidetached!AA$51-AA125</f>
        <v>3.120218959039633</v>
      </c>
      <c r="AB131" s="370">
        <f>Semidetached!AB$51-AB125</f>
        <v>10.387734580705313</v>
      </c>
      <c r="AC131" s="370">
        <f>Semidetached!AC$51-AC125</f>
        <v>21.529352471383469</v>
      </c>
      <c r="AD131" s="370">
        <f>Semidetached!AD$51-AD125</f>
        <v>22.104868592364113</v>
      </c>
      <c r="AE131" s="370">
        <f>Semidetached!AE$51-AE125</f>
        <v>3.0050684467242519</v>
      </c>
      <c r="AF131" s="370">
        <f>Semidetached!AF$51-AF125</f>
        <v>13.64501607568711</v>
      </c>
      <c r="AG131" s="370">
        <f>Semidetached!AG$51-AG125</f>
        <v>19.490862360976081</v>
      </c>
      <c r="AH131" s="370">
        <f>Semidetached!AH$51-AH125</f>
        <v>10.753744441937329</v>
      </c>
      <c r="AI131" s="370">
        <f>Semidetached!AI$51-AI125</f>
        <v>32.554660960913921</v>
      </c>
      <c r="AJ131" s="370">
        <f>Semidetached!AJ$51-AJ125</f>
        <v>11.416571662753114</v>
      </c>
      <c r="AK131" s="370">
        <f>Semidetached!AK$51-AK125</f>
        <v>10.226842597180436</v>
      </c>
      <c r="AL131" s="370">
        <f>Semidetached!AL$51-AL125</f>
        <v>17.031075133734589</v>
      </c>
      <c r="AM131" s="370">
        <f>Semidetached!AM$51-AM125</f>
        <v>10.498401114927319</v>
      </c>
      <c r="AN131" s="371">
        <f>Semidetached!AN$51-AN125</f>
        <v>10.498401114927319</v>
      </c>
    </row>
    <row r="132" spans="1:40">
      <c r="A132" s="154"/>
      <c r="B132" s="347" t="s">
        <v>6</v>
      </c>
      <c r="C132" s="367" t="s">
        <v>190</v>
      </c>
      <c r="D132" s="370">
        <f>Semidetached!D$52-D126</f>
        <v>4.2045644759103595</v>
      </c>
      <c r="E132" s="370">
        <f>Semidetached!E$52-E126</f>
        <v>23.204952914323187</v>
      </c>
      <c r="F132" s="370">
        <f>Semidetached!F$52-F126</f>
        <v>6.4219378171509902</v>
      </c>
      <c r="G132" s="370">
        <f>Semidetached!G$52-G126</f>
        <v>4.1006371663943213</v>
      </c>
      <c r="H132" s="370">
        <f>Semidetached!H$52-H126</f>
        <v>17.629051936475264</v>
      </c>
      <c r="I132" s="370">
        <f>Semidetached!I$52-I126</f>
        <v>5.2326516159165948</v>
      </c>
      <c r="J132" s="370">
        <f>Semidetached!J$52-J126</f>
        <v>2.2750931546837663</v>
      </c>
      <c r="K132" s="370">
        <f>Semidetached!K$52-K126</f>
        <v>2.6239640146310634</v>
      </c>
      <c r="L132" s="370">
        <f>Semidetached!L$52-L126</f>
        <v>2.4136338791854897</v>
      </c>
      <c r="M132" s="370">
        <f>Semidetached!M$52-M126</f>
        <v>10.378981259114809</v>
      </c>
      <c r="N132" s="370">
        <f>Semidetached!N$52-N126</f>
        <v>4.41263178638863</v>
      </c>
      <c r="O132" s="370">
        <f>Semidetached!O$52-O126</f>
        <v>1.9540104641181912</v>
      </c>
      <c r="P132" s="370">
        <f>Semidetached!P$52-P126</f>
        <v>32.567271221751454</v>
      </c>
      <c r="Q132" s="370">
        <f>Semidetached!Q$52-Q126</f>
        <v>9.4961716109737324</v>
      </c>
      <c r="R132" s="370">
        <f>Semidetached!R$52-R126</f>
        <v>8.8582207936672148</v>
      </c>
      <c r="S132" s="370">
        <f>Semidetached!S$52-S126</f>
        <v>5.9966064993596291</v>
      </c>
      <c r="T132" s="370">
        <f>Semidetached!T$52-T126</f>
        <v>3.7548297471564354</v>
      </c>
      <c r="U132" s="370">
        <f>Semidetached!U$52-U126</f>
        <v>14.147644833172563</v>
      </c>
      <c r="V132" s="370">
        <f>Semidetached!V$52-V126</f>
        <v>8.6741674170839076</v>
      </c>
      <c r="W132" s="370">
        <f>Semidetached!W$52-W126</f>
        <v>3.3749964324476878</v>
      </c>
      <c r="X132" s="370">
        <f>Semidetached!X$52-X126</f>
        <v>9.2967707537611233</v>
      </c>
      <c r="Y132" s="370">
        <f>Semidetached!Y$52-Y126</f>
        <v>6.1302384305574158</v>
      </c>
      <c r="Z132" s="370">
        <f>Semidetached!Z$52-Z126</f>
        <v>8.3854822780962053</v>
      </c>
      <c r="AA132" s="370">
        <f>Semidetached!AA$52-AA126</f>
        <v>2.3328360921130056</v>
      </c>
      <c r="AB132" s="370">
        <f>Semidetached!AB$52-AB126</f>
        <v>10.387734580705313</v>
      </c>
      <c r="AC132" s="370">
        <f>Semidetached!AC$52-AC126</f>
        <v>19.929090108481375</v>
      </c>
      <c r="AD132" s="370">
        <f>Semidetached!AD$52-AD126</f>
        <v>22.104868592364113</v>
      </c>
      <c r="AE132" s="370">
        <f>Semidetached!AE$52-AE126</f>
        <v>2.2466002834259129</v>
      </c>
      <c r="AF132" s="370">
        <f>Semidetached!AF$52-AF126</f>
        <v>6.4791665612402198</v>
      </c>
      <c r="AG132" s="370">
        <f>Semidetached!AG$52-AG126</f>
        <v>11.153084615047646</v>
      </c>
      <c r="AH132" s="370">
        <f>Semidetached!AH$52-AH126</f>
        <v>6.0637650927839672</v>
      </c>
      <c r="AI132" s="370">
        <f>Semidetached!AI$52-AI126</f>
        <v>32.554660960913921</v>
      </c>
      <c r="AJ132" s="370">
        <f>Semidetached!AJ$52-AJ126</f>
        <v>8.4799894496249806</v>
      </c>
      <c r="AK132" s="370">
        <f>Semidetached!AK$52-AK126</f>
        <v>7.5996827634269124</v>
      </c>
      <c r="AL132" s="370">
        <f>Semidetached!AL$52-AL126</f>
        <v>6.4406208802049747</v>
      </c>
      <c r="AM132" s="370">
        <f>Semidetached!AM$52-AM126</f>
        <v>7.7979916670576017</v>
      </c>
      <c r="AN132" s="371">
        <f>Semidetached!AN$52-AN126</f>
        <v>7.7979916670576017</v>
      </c>
    </row>
    <row r="133" spans="1:40">
      <c r="A133" s="155"/>
      <c r="B133" s="338" t="s">
        <v>7</v>
      </c>
      <c r="C133" s="368" t="s">
        <v>190</v>
      </c>
      <c r="D133" s="379">
        <f>Semidetached!D$53-D127</f>
        <v>2.6150563981751631</v>
      </c>
      <c r="E133" s="379">
        <f>Semidetached!E$53-E127</f>
        <v>8.2839968603362308</v>
      </c>
      <c r="F133" s="379">
        <f>Semidetached!F$53-F127</f>
        <v>3.1034446747731295</v>
      </c>
      <c r="G133" s="379">
        <f>Semidetached!G$53-G127</f>
        <v>2.5508343761438184</v>
      </c>
      <c r="H133" s="379">
        <f>Semidetached!H$53-H127</f>
        <v>18.452126518385359</v>
      </c>
      <c r="I133" s="379">
        <f>Semidetached!I$53-I127</f>
        <v>3.0132671433778739</v>
      </c>
      <c r="J133" s="379">
        <f>Semidetached!J$53-J127</f>
        <v>2.4199037440658628</v>
      </c>
      <c r="K133" s="379">
        <f>Semidetached!K$53-K127</f>
        <v>1.2760047593209407</v>
      </c>
      <c r="L133" s="379">
        <f>Semidetached!L$53-L127</f>
        <v>2.4136338791854897</v>
      </c>
      <c r="M133" s="379">
        <f>Semidetached!M$53-M127</f>
        <v>4.8523216251008492</v>
      </c>
      <c r="N133" s="379">
        <f>Semidetached!N$53-N127</f>
        <v>3.2217699346638682</v>
      </c>
      <c r="O133" s="379">
        <f>Semidetached!O$53-O127</f>
        <v>1.8055139245046732</v>
      </c>
      <c r="P133" s="379">
        <f>Semidetached!P$53-P127</f>
        <v>5.7407457988608925</v>
      </c>
      <c r="Q133" s="379">
        <f>Semidetached!Q$53-Q127</f>
        <v>2.8798978654949039</v>
      </c>
      <c r="R133" s="379">
        <f>Semidetached!R$53-R127</f>
        <v>2.5859015353043517</v>
      </c>
      <c r="S133" s="379">
        <f>Semidetached!S$53-S127</f>
        <v>3.7263781083337406</v>
      </c>
      <c r="T133" s="379">
        <f>Semidetached!T$53-T127</f>
        <v>2.7415008771092175</v>
      </c>
      <c r="U133" s="379">
        <f>Semidetached!U$53-U127</f>
        <v>14.236120304753626</v>
      </c>
      <c r="V133" s="379">
        <f>Semidetached!V$53-V127</f>
        <v>2.2508836114876019</v>
      </c>
      <c r="W133" s="379">
        <f>Semidetached!W$53-W127</f>
        <v>2.9325953581961031</v>
      </c>
      <c r="X133" s="379">
        <f>Semidetached!X$53-X127</f>
        <v>2.3766148332666504</v>
      </c>
      <c r="Y133" s="379">
        <f>Semidetached!Y$53-Y127</f>
        <v>6.180513070818602</v>
      </c>
      <c r="Z133" s="379">
        <f>Semidetached!Z$53-Z127</f>
        <v>5.382150065642918</v>
      </c>
      <c r="AA133" s="379">
        <f>Semidetached!AA$53-AA127</f>
        <v>2.3744013713964947</v>
      </c>
      <c r="AB133" s="379">
        <f>Semidetached!AB$53-AB127</f>
        <v>11.587946477397679</v>
      </c>
      <c r="AC133" s="379">
        <f>Semidetached!AC$53-AC127</f>
        <v>10.587456714045985</v>
      </c>
      <c r="AD133" s="379">
        <f>Semidetached!AD$53-AD127</f>
        <v>18.282184812675794</v>
      </c>
      <c r="AE133" s="379">
        <f>Semidetached!AE$53-AE127</f>
        <v>2.2871598657785341</v>
      </c>
      <c r="AF133" s="379">
        <f>Semidetached!AF$53-AF127</f>
        <v>2.0207799985890276</v>
      </c>
      <c r="AG133" s="379">
        <f>Semidetached!AG$53-AG127</f>
        <v>3.9079690079695126</v>
      </c>
      <c r="AH133" s="379">
        <f>Semidetached!AH$53-AH127</f>
        <v>3.9479257080032752</v>
      </c>
      <c r="AI133" s="379">
        <f>Semidetached!AI$53-AI127</f>
        <v>5.7340529330514727</v>
      </c>
      <c r="AJ133" s="379">
        <f>Semidetached!AJ$53-AJ127</f>
        <v>5.7531627247939241</v>
      </c>
      <c r="AK133" s="379">
        <f>Semidetached!AK$53-AK127</f>
        <v>5.1523123215775826</v>
      </c>
      <c r="AL133" s="379">
        <f>Semidetached!AL$53-AL127</f>
        <v>3.1123968862390399</v>
      </c>
      <c r="AM133" s="379">
        <f>Semidetached!AM$53-AM127</f>
        <v>5.290468255140766</v>
      </c>
      <c r="AN133" s="380">
        <f>Semidetached!AN$53-AN127</f>
        <v>5.2904682551407518</v>
      </c>
    </row>
    <row r="134" spans="1:40">
      <c r="A134" s="5"/>
      <c r="B134" s="5"/>
      <c r="C134" s="5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</row>
    <row r="135" spans="1:40">
      <c r="A135" s="5" t="s">
        <v>215</v>
      </c>
      <c r="B135" s="5"/>
      <c r="C135" s="5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</row>
    <row r="136" spans="1:40" ht="15" customHeight="1">
      <c r="A136" s="938" t="s">
        <v>123</v>
      </c>
      <c r="B136" s="939"/>
      <c r="C136" s="138" t="s">
        <v>76</v>
      </c>
      <c r="D136" s="194">
        <v>1</v>
      </c>
      <c r="E136" s="195">
        <v>1</v>
      </c>
      <c r="F136" s="195">
        <v>1</v>
      </c>
      <c r="G136" s="195">
        <v>1</v>
      </c>
      <c r="H136" s="195">
        <v>1</v>
      </c>
      <c r="I136" s="195">
        <v>1</v>
      </c>
      <c r="J136" s="195">
        <v>1</v>
      </c>
      <c r="K136" s="195">
        <v>1</v>
      </c>
      <c r="L136" s="195">
        <v>1</v>
      </c>
      <c r="M136" s="195">
        <v>1</v>
      </c>
      <c r="N136" s="195">
        <v>1</v>
      </c>
      <c r="O136" s="195">
        <v>1</v>
      </c>
      <c r="P136" s="195">
        <v>1</v>
      </c>
      <c r="Q136" s="195">
        <v>1</v>
      </c>
      <c r="R136" s="195">
        <v>1</v>
      </c>
      <c r="S136" s="195">
        <v>1</v>
      </c>
      <c r="T136" s="195">
        <v>1</v>
      </c>
      <c r="U136" s="195">
        <v>1</v>
      </c>
      <c r="V136" s="195">
        <v>1</v>
      </c>
      <c r="W136" s="195">
        <v>1</v>
      </c>
      <c r="X136" s="195">
        <v>1</v>
      </c>
      <c r="Y136" s="195">
        <v>1</v>
      </c>
      <c r="Z136" s="195">
        <v>1</v>
      </c>
      <c r="AA136" s="195">
        <v>1</v>
      </c>
      <c r="AB136" s="195">
        <v>1</v>
      </c>
      <c r="AC136" s="195">
        <v>1</v>
      </c>
      <c r="AD136" s="195">
        <v>1</v>
      </c>
      <c r="AE136" s="195">
        <v>1</v>
      </c>
      <c r="AF136" s="195">
        <v>1</v>
      </c>
      <c r="AG136" s="195">
        <v>1</v>
      </c>
      <c r="AH136" s="195">
        <v>1</v>
      </c>
      <c r="AI136" s="195">
        <v>1</v>
      </c>
      <c r="AJ136" s="195">
        <v>1</v>
      </c>
      <c r="AK136" s="195">
        <v>1</v>
      </c>
      <c r="AL136" s="195">
        <v>1</v>
      </c>
      <c r="AM136" s="195">
        <v>1</v>
      </c>
      <c r="AN136" s="196">
        <v>1</v>
      </c>
    </row>
    <row r="137" spans="1:40">
      <c r="A137" s="151" t="s">
        <v>193</v>
      </c>
      <c r="B137" s="141" t="s">
        <v>2</v>
      </c>
      <c r="C137" s="144" t="s">
        <v>195</v>
      </c>
      <c r="D137" s="170">
        <f>((LOOKUP(Semidetached!D$2,'Ceiling-U'!$A$4:$A$40,'Ceiling-U'!$X$4:$X$40)*Semidetached!D$15)+(LOOKUP(Semidetached!D$2,'Floor-U'!$A$4:$A$40,'Floor-U'!$E$4:$E$40)*Semidetached!D$16)+(LOOKUP(Semidetached!D$2,'Wall-U'!$A$4:$A$40,'Wall-U'!$E$4:$E$40)*Semidetached!D$13)+(LOOKUP(Semidetached!D$2,'Window-U'!$A$4:$A$40,'Window-U'!$E$4:$E$40)*Semidetached!D$22))*D136</f>
        <v>1474.6495425038399</v>
      </c>
      <c r="E137" s="171">
        <f>((LOOKUP(Semidetached!E$2,'Ceiling-U'!$A$4:$A$40,'Ceiling-U'!$X$4:$X$40)*Semidetached!E$15)+(LOOKUP(Semidetached!E$2,'Floor-U'!$A$4:$A$40,'Floor-U'!$E$4:$E$40)*Semidetached!E$16)+(LOOKUP(Semidetached!E$2,'Wall-U'!$A$4:$A$40,'Wall-U'!$E$4:$E$40)*Semidetached!E$13)+(LOOKUP(Semidetached!E$2,'Window-U'!$A$4:$A$40,'Window-U'!$E$4:$E$40)*Semidetached!E$22))*E136</f>
        <v>1657.4768654448246</v>
      </c>
      <c r="F137" s="171">
        <f>((LOOKUP(Semidetached!F$2,'Ceiling-U'!$A$4:$A$40,'Ceiling-U'!$X$4:$X$40)*Semidetached!F$15)+(LOOKUP(Semidetached!F$2,'Floor-U'!$A$4:$A$40,'Floor-U'!$E$4:$E$40)*Semidetached!F$16)+(LOOKUP(Semidetached!F$2,'Wall-U'!$A$4:$A$40,'Wall-U'!$E$4:$E$40)*Semidetached!F$13)+(LOOKUP(Semidetached!F$2,'Window-U'!$A$4:$A$40,'Window-U'!$E$4:$E$40)*Semidetached!F$22))*F136</f>
        <v>991.27109331043312</v>
      </c>
      <c r="G137" s="171">
        <f>((LOOKUP(Semidetached!G$2,'Ceiling-U'!$A$4:$A$40,'Ceiling-U'!$X$4:$X$40)*Semidetached!G$15)+(LOOKUP(Semidetached!G$2,'Floor-U'!$A$4:$A$40,'Floor-U'!$E$4:$E$40)*Semidetached!G$16)+(LOOKUP(Semidetached!G$2,'Wall-U'!$A$4:$A$40,'Wall-U'!$E$4:$E$40)*Semidetached!G$13)+(LOOKUP(Semidetached!G$2,'Window-U'!$A$4:$A$40,'Window-U'!$E$4:$E$40)*Semidetached!G$22))*G136</f>
        <v>1519.8093010325674</v>
      </c>
      <c r="H137" s="171">
        <f>((LOOKUP(Semidetached!H$2,'Ceiling-U'!$A$4:$A$40,'Ceiling-U'!$X$4:$X$40)*Semidetached!H$15)+(LOOKUP(Semidetached!H$2,'Floor-U'!$A$4:$A$40,'Floor-U'!$E$4:$E$40)*Semidetached!H$16)+(LOOKUP(Semidetached!H$2,'Wall-U'!$A$4:$A$40,'Wall-U'!$E$4:$E$40)*Semidetached!H$13)+(LOOKUP(Semidetached!H$2,'Window-U'!$A$4:$A$40,'Window-U'!$E$4:$E$40)*Semidetached!H$22))*H136</f>
        <v>2057.5086427770043</v>
      </c>
      <c r="I137" s="171">
        <f>((LOOKUP(Semidetached!I$2,'Ceiling-U'!$A$4:$A$40,'Ceiling-U'!$X$4:$X$40)*Semidetached!I$15)+(LOOKUP(Semidetached!I$2,'Floor-U'!$A$4:$A$40,'Floor-U'!$E$4:$E$40)*Semidetached!I$16)+(LOOKUP(Semidetached!I$2,'Wall-U'!$A$4:$A$40,'Wall-U'!$E$4:$E$40)*Semidetached!I$13)+(LOOKUP(Semidetached!I$2,'Window-U'!$A$4:$A$40,'Window-U'!$E$4:$E$40)*Semidetached!I$22))*I136</f>
        <v>1056.756789867592</v>
      </c>
      <c r="J137" s="171">
        <f>((LOOKUP(Semidetached!J$2,'Ceiling-U'!$A$4:$A$40,'Ceiling-U'!$X$4:$X$40)*Semidetached!J$15)+(LOOKUP(Semidetached!J$2,'Floor-U'!$A$4:$A$40,'Floor-U'!$E$4:$E$40)*Semidetached!J$16)+(LOOKUP(Semidetached!J$2,'Wall-U'!$A$4:$A$40,'Wall-U'!$E$4:$E$40)*Semidetached!J$13)+(LOOKUP(Semidetached!J$2,'Window-U'!$A$4:$A$40,'Window-U'!$E$4:$E$40)*Semidetached!J$22))*J136</f>
        <v>1530.8418902752437</v>
      </c>
      <c r="K137" s="171">
        <f>((LOOKUP(Semidetached!K$2,'Ceiling-U'!$A$4:$A$40,'Ceiling-U'!$X$4:$X$40)*Semidetached!K$15)+(LOOKUP(Semidetached!K$2,'Floor-U'!$A$4:$A$40,'Floor-U'!$E$4:$E$40)*Semidetached!K$16)+(LOOKUP(Semidetached!K$2,'Wall-U'!$A$4:$A$40,'Wall-U'!$E$4:$E$40)*Semidetached!K$13)+(LOOKUP(Semidetached!K$2,'Window-U'!$A$4:$A$40,'Window-U'!$E$4:$E$40)*Semidetached!K$22))*K136</f>
        <v>975.75910017757565</v>
      </c>
      <c r="L137" s="171">
        <f>((LOOKUP(Semidetached!L$2,'Ceiling-U'!$A$4:$A$40,'Ceiling-U'!$X$4:$X$40)*Semidetached!L$15)+(LOOKUP(Semidetached!L$2,'Floor-U'!$A$4:$A$40,'Floor-U'!$E$4:$E$40)*Semidetached!L$16)+(LOOKUP(Semidetached!L$2,'Wall-U'!$A$4:$A$40,'Wall-U'!$E$4:$E$40)*Semidetached!L$13)+(LOOKUP(Semidetached!L$2,'Window-U'!$A$4:$A$40,'Window-U'!$E$4:$E$40)*Semidetached!L$22))*L136</f>
        <v>457.14894870040166</v>
      </c>
      <c r="M137" s="171">
        <f>((LOOKUP(Semidetached!M$2,'Ceiling-U'!$A$4:$A$40,'Ceiling-U'!$X$4:$X$40)*Semidetached!M$15)+(LOOKUP(Semidetached!M$2,'Floor-U'!$A$4:$A$40,'Floor-U'!$E$4:$E$40)*Semidetached!M$16)+(LOOKUP(Semidetached!M$2,'Wall-U'!$A$4:$A$40,'Wall-U'!$E$4:$E$40)*Semidetached!M$13)+(LOOKUP(Semidetached!M$2,'Window-U'!$A$4:$A$40,'Window-U'!$E$4:$E$40)*Semidetached!M$22))*M136</f>
        <v>2601.6722547086001</v>
      </c>
      <c r="N137" s="171">
        <f>((LOOKUP(Semidetached!N$2,'Ceiling-U'!$A$4:$A$40,'Ceiling-U'!$X$4:$X$40)*Semidetached!N$15)+(LOOKUP(Semidetached!N$2,'Floor-U'!$A$4:$A$40,'Floor-U'!$E$4:$E$40)*Semidetached!N$16)+(LOOKUP(Semidetached!N$2,'Wall-U'!$A$4:$A$40,'Wall-U'!$E$4:$E$40)*Semidetached!N$13)+(LOOKUP(Semidetached!N$2,'Window-U'!$A$4:$A$40,'Window-U'!$E$4:$E$40)*Semidetached!N$22))*N136</f>
        <v>641.7592471640661</v>
      </c>
      <c r="O137" s="171">
        <f>((LOOKUP(Semidetached!O$2,'Ceiling-U'!$A$4:$A$40,'Ceiling-U'!$X$4:$X$40)*Semidetached!O$15)+(LOOKUP(Semidetached!O$2,'Floor-U'!$A$4:$A$40,'Floor-U'!$E$4:$E$40)*Semidetached!O$16)+(LOOKUP(Semidetached!O$2,'Wall-U'!$A$4:$A$40,'Wall-U'!$E$4:$E$40)*Semidetached!O$13)+(LOOKUP(Semidetached!O$2,'Window-U'!$A$4:$A$40,'Window-U'!$E$4:$E$40)*Semidetached!O$22))*O136</f>
        <v>2295.1515960282359</v>
      </c>
      <c r="P137" s="171">
        <f>((LOOKUP(Semidetached!P$2,'Ceiling-U'!$A$4:$A$40,'Ceiling-U'!$X$4:$X$40)*Semidetached!P$15)+(LOOKUP(Semidetached!P$2,'Floor-U'!$A$4:$A$40,'Floor-U'!$E$4:$E$40)*Semidetached!P$16)+(LOOKUP(Semidetached!P$2,'Wall-U'!$A$4:$A$40,'Wall-U'!$E$4:$E$40)*Semidetached!P$13)+(LOOKUP(Semidetached!P$2,'Window-U'!$A$4:$A$40,'Window-U'!$E$4:$E$40)*Semidetached!P$22))*P136</f>
        <v>1443.103377515539</v>
      </c>
      <c r="Q137" s="171">
        <f>((LOOKUP(Semidetached!Q$2,'Ceiling-U'!$A$4:$A$40,'Ceiling-U'!$X$4:$X$40)*Semidetached!Q$15)+(LOOKUP(Semidetached!Q$2,'Floor-U'!$A$4:$A$40,'Floor-U'!$E$4:$E$40)*Semidetached!Q$16)+(LOOKUP(Semidetached!Q$2,'Wall-U'!$A$4:$A$40,'Wall-U'!$E$4:$E$40)*Semidetached!Q$13)+(LOOKUP(Semidetached!Q$2,'Window-U'!$A$4:$A$40,'Window-U'!$E$4:$E$40)*Semidetached!Q$22))*Q136</f>
        <v>967.47140067183773</v>
      </c>
      <c r="R137" s="171">
        <f>((LOOKUP(Semidetached!R$2,'Ceiling-U'!$A$4:$A$40,'Ceiling-U'!$X$4:$X$40)*Semidetached!R$15)+(LOOKUP(Semidetached!R$2,'Floor-U'!$A$4:$A$40,'Floor-U'!$E$4:$E$40)*Semidetached!R$16)+(LOOKUP(Semidetached!R$2,'Wall-U'!$A$4:$A$40,'Wall-U'!$E$4:$E$40)*Semidetached!R$13)+(LOOKUP(Semidetached!R$2,'Window-U'!$A$4:$A$40,'Window-U'!$E$4:$E$40)*Semidetached!R$22))*R136</f>
        <v>1208.6995787857625</v>
      </c>
      <c r="S137" s="171">
        <f>((LOOKUP(Semidetached!S$2,'Ceiling-U'!$A$4:$A$40,'Ceiling-U'!$X$4:$X$40)*Semidetached!S$15)+(LOOKUP(Semidetached!S$2,'Floor-U'!$A$4:$A$40,'Floor-U'!$E$4:$E$40)*Semidetached!S$16)+(LOOKUP(Semidetached!S$2,'Wall-U'!$A$4:$A$40,'Wall-U'!$E$4:$E$40)*Semidetached!S$13)+(LOOKUP(Semidetached!S$2,'Window-U'!$A$4:$A$40,'Window-U'!$E$4:$E$40)*Semidetached!S$22))*S136</f>
        <v>1515.9347074562759</v>
      </c>
      <c r="T137" s="171">
        <f>((LOOKUP(Semidetached!T$2,'Ceiling-U'!$A$4:$A$40,'Ceiling-U'!$X$4:$X$40)*Semidetached!T$15)+(LOOKUP(Semidetached!T$2,'Floor-U'!$A$4:$A$40,'Floor-U'!$E$4:$E$40)*Semidetached!T$16)+(LOOKUP(Semidetached!T$2,'Wall-U'!$A$4:$A$40,'Wall-U'!$E$4:$E$40)*Semidetached!T$13)+(LOOKUP(Semidetached!T$2,'Window-U'!$A$4:$A$40,'Window-U'!$E$4:$E$40)*Semidetached!T$22))*T136</f>
        <v>646.29968152718925</v>
      </c>
      <c r="U137" s="171">
        <f>((LOOKUP(Semidetached!U$2,'Ceiling-U'!$A$4:$A$40,'Ceiling-U'!$X$4:$X$40)*Semidetached!U$15)+(LOOKUP(Semidetached!U$2,'Floor-U'!$A$4:$A$40,'Floor-U'!$E$4:$E$40)*Semidetached!U$16)+(LOOKUP(Semidetached!U$2,'Wall-U'!$A$4:$A$40,'Wall-U'!$E$4:$E$40)*Semidetached!U$13)+(LOOKUP(Semidetached!U$2,'Window-U'!$A$4:$A$40,'Window-U'!$E$4:$E$40)*Semidetached!U$22))*U136</f>
        <v>1970.3624021007711</v>
      </c>
      <c r="V137" s="171">
        <f>((LOOKUP(Semidetached!V$2,'Ceiling-U'!$A$4:$A$40,'Ceiling-U'!$X$4:$X$40)*Semidetached!V$15)+(LOOKUP(Semidetached!V$2,'Floor-U'!$A$4:$A$40,'Floor-U'!$E$4:$E$40)*Semidetached!V$16)+(LOOKUP(Semidetached!V$2,'Wall-U'!$A$4:$A$40,'Wall-U'!$E$4:$E$40)*Semidetached!V$13)+(LOOKUP(Semidetached!V$2,'Window-U'!$A$4:$A$40,'Window-U'!$E$4:$E$40)*Semidetached!V$22))*V136</f>
        <v>926.58572660333834</v>
      </c>
      <c r="W137" s="171">
        <f>((LOOKUP(Semidetached!W$2,'Ceiling-U'!$A$4:$A$40,'Ceiling-U'!$X$4:$X$40)*Semidetached!W$15)+(LOOKUP(Semidetached!W$2,'Floor-U'!$A$4:$A$40,'Floor-U'!$E$4:$E$40)*Semidetached!W$16)+(LOOKUP(Semidetached!W$2,'Wall-U'!$A$4:$A$40,'Wall-U'!$E$4:$E$40)*Semidetached!W$13)+(LOOKUP(Semidetached!W$2,'Window-U'!$A$4:$A$40,'Window-U'!$E$4:$E$40)*Semidetached!W$22))*W136</f>
        <v>848.26887881940945</v>
      </c>
      <c r="X137" s="171">
        <f>((LOOKUP(Semidetached!X$2,'Ceiling-U'!$A$4:$A$40,'Ceiling-U'!$X$4:$X$40)*Semidetached!X$15)+(LOOKUP(Semidetached!X$2,'Floor-U'!$A$4:$A$40,'Floor-U'!$E$4:$E$40)*Semidetached!X$16)+(LOOKUP(Semidetached!X$2,'Wall-U'!$A$4:$A$40,'Wall-U'!$E$4:$E$40)*Semidetached!X$13)+(LOOKUP(Semidetached!X$2,'Window-U'!$A$4:$A$40,'Window-U'!$E$4:$E$40)*Semidetached!X$22))*X136</f>
        <v>928.39910676359318</v>
      </c>
      <c r="Y137" s="171">
        <f>((LOOKUP(Semidetached!Y$2,'Ceiling-U'!$A$4:$A$40,'Ceiling-U'!$X$4:$X$40)*Semidetached!Y$15)+(LOOKUP(Semidetached!Y$2,'Floor-U'!$A$4:$A$40,'Floor-U'!$E$4:$E$40)*Semidetached!Y$16)+(LOOKUP(Semidetached!Y$2,'Wall-U'!$A$4:$A$40,'Wall-U'!$E$4:$E$40)*Semidetached!Y$13)+(LOOKUP(Semidetached!Y$2,'Window-U'!$A$4:$A$40,'Window-U'!$E$4:$E$40)*Semidetached!Y$22))*Y136</f>
        <v>2837.4521386091774</v>
      </c>
      <c r="Z137" s="171">
        <f>((LOOKUP(Semidetached!Z$2,'Ceiling-U'!$A$4:$A$40,'Ceiling-U'!$X$4:$X$40)*Semidetached!Z$15)+(LOOKUP(Semidetached!Z$2,'Floor-U'!$A$4:$A$40,'Floor-U'!$E$4:$E$40)*Semidetached!Z$16)+(LOOKUP(Semidetached!Z$2,'Wall-U'!$A$4:$A$40,'Wall-U'!$E$4:$E$40)*Semidetached!Z$13)+(LOOKUP(Semidetached!Z$2,'Window-U'!$A$4:$A$40,'Window-U'!$E$4:$E$40)*Semidetached!Z$22))*Z136</f>
        <v>1722.7232717003917</v>
      </c>
      <c r="AA137" s="171">
        <f>((LOOKUP(Semidetached!AA$2,'Ceiling-U'!$A$4:$A$40,'Ceiling-U'!$X$4:$X$40)*Semidetached!AA$15)+(LOOKUP(Semidetached!AA$2,'Floor-U'!$A$4:$A$40,'Floor-U'!$E$4:$E$40)*Semidetached!AA$16)+(LOOKUP(Semidetached!AA$2,'Wall-U'!$A$4:$A$40,'Wall-U'!$E$4:$E$40)*Semidetached!AA$13)+(LOOKUP(Semidetached!AA$2,'Window-U'!$A$4:$A$40,'Window-U'!$E$4:$E$40)*Semidetached!AA$22))*AA136</f>
        <v>549.1974815507408</v>
      </c>
      <c r="AB137" s="171">
        <f>((LOOKUP(Semidetached!AB$2,'Ceiling-U'!$A$4:$A$40,'Ceiling-U'!$X$4:$X$40)*Semidetached!AB$15)+(LOOKUP(Semidetached!AB$2,'Floor-U'!$A$4:$A$40,'Floor-U'!$E$4:$E$40)*Semidetached!AB$16)+(LOOKUP(Semidetached!AB$2,'Wall-U'!$A$4:$A$40,'Wall-U'!$E$4:$E$40)*Semidetached!AB$13)+(LOOKUP(Semidetached!AB$2,'Window-U'!$A$4:$A$40,'Window-U'!$E$4:$E$40)*Semidetached!AB$22))*AB136</f>
        <v>1412.4613832713749</v>
      </c>
      <c r="AC137" s="171">
        <f>((LOOKUP(Semidetached!AC$2,'Ceiling-U'!$A$4:$A$40,'Ceiling-U'!$X$4:$X$40)*Semidetached!AC$15)+(LOOKUP(Semidetached!AC$2,'Floor-U'!$A$4:$A$40,'Floor-U'!$E$4:$E$40)*Semidetached!AC$16)+(LOOKUP(Semidetached!AC$2,'Wall-U'!$A$4:$A$40,'Wall-U'!$E$4:$E$40)*Semidetached!AC$13)+(LOOKUP(Semidetached!AC$2,'Window-U'!$A$4:$A$40,'Window-U'!$E$4:$E$40)*Semidetached!AC$22))*AC136</f>
        <v>2034.7150100846</v>
      </c>
      <c r="AD137" s="171">
        <f>((LOOKUP(Semidetached!AD$2,'Ceiling-U'!$A$4:$A$40,'Ceiling-U'!$X$4:$X$40)*Semidetached!AD$15)+(LOOKUP(Semidetached!AD$2,'Floor-U'!$A$4:$A$40,'Floor-U'!$E$4:$E$40)*Semidetached!AD$16)+(LOOKUP(Semidetached!AD$2,'Wall-U'!$A$4:$A$40,'Wall-U'!$E$4:$E$40)*Semidetached!AD$13)+(LOOKUP(Semidetached!AD$2,'Window-U'!$A$4:$A$40,'Window-U'!$E$4:$E$40)*Semidetached!AD$22))*AD136</f>
        <v>1304.1862773135749</v>
      </c>
      <c r="AE137" s="171">
        <f>((LOOKUP(Semidetached!AE$2,'Ceiling-U'!$A$4:$A$40,'Ceiling-U'!$X$4:$X$40)*Semidetached!AE$15)+(LOOKUP(Semidetached!AE$2,'Floor-U'!$A$4:$A$40,'Floor-U'!$E$4:$E$40)*Semidetached!AE$16)+(LOOKUP(Semidetached!AE$2,'Wall-U'!$A$4:$A$40,'Wall-U'!$E$4:$E$40)*Semidetached!AE$13)+(LOOKUP(Semidetached!AE$2,'Window-U'!$A$4:$A$40,'Window-U'!$E$4:$E$40)*Semidetached!AE$22))*AE136</f>
        <v>542.0245472106576</v>
      </c>
      <c r="AF137" s="171">
        <f>((LOOKUP(Semidetached!AF$2,'Ceiling-U'!$A$4:$A$40,'Ceiling-U'!$X$4:$X$40)*Semidetached!AF$15)+(LOOKUP(Semidetached!AF$2,'Floor-U'!$A$4:$A$40,'Floor-U'!$E$4:$E$40)*Semidetached!AF$16)+(LOOKUP(Semidetached!AF$2,'Wall-U'!$A$4:$A$40,'Wall-U'!$E$4:$E$40)*Semidetached!AF$13)+(LOOKUP(Semidetached!AF$2,'Window-U'!$A$4:$A$40,'Window-U'!$E$4:$E$40)*Semidetached!AF$22))*AF136</f>
        <v>1149.5098152237504</v>
      </c>
      <c r="AG137" s="171">
        <f>((LOOKUP(Semidetached!AG$2,'Ceiling-U'!$A$4:$A$40,'Ceiling-U'!$X$4:$X$40)*Semidetached!AG$15)+(LOOKUP(Semidetached!AG$2,'Floor-U'!$A$4:$A$40,'Floor-U'!$E$4:$E$40)*Semidetached!AG$16)+(LOOKUP(Semidetached!AG$2,'Wall-U'!$A$4:$A$40,'Wall-U'!$E$4:$E$40)*Semidetached!AG$13)+(LOOKUP(Semidetached!AG$2,'Window-U'!$A$4:$A$40,'Window-U'!$E$4:$E$40)*Semidetached!AG$22))*AG136</f>
        <v>1513.4986972316033</v>
      </c>
      <c r="AH137" s="171">
        <f>((LOOKUP(Semidetached!AH$2,'Ceiling-U'!$A$4:$A$40,'Ceiling-U'!$X$4:$X$40)*Semidetached!AH$15)+(LOOKUP(Semidetached!AH$2,'Floor-U'!$A$4:$A$40,'Floor-U'!$E$4:$E$40)*Semidetached!AH$16)+(LOOKUP(Semidetached!AH$2,'Wall-U'!$A$4:$A$40,'Wall-U'!$E$4:$E$40)*Semidetached!AH$13)+(LOOKUP(Semidetached!AH$2,'Window-U'!$A$4:$A$40,'Window-U'!$E$4:$E$40)*Semidetached!AH$22))*AH136</f>
        <v>1290.9885980066506</v>
      </c>
      <c r="AI137" s="171">
        <f>((LOOKUP(Semidetached!AI$2,'Ceiling-U'!$A$4:$A$40,'Ceiling-U'!$X$4:$X$40)*Semidetached!AI$15)+(LOOKUP(Semidetached!AI$2,'Floor-U'!$A$4:$A$40,'Floor-U'!$E$4:$E$40)*Semidetached!AI$16)+(LOOKUP(Semidetached!AI$2,'Wall-U'!$A$4:$A$40,'Wall-U'!$E$4:$E$40)*Semidetached!AI$13)+(LOOKUP(Semidetached!AI$2,'Window-U'!$A$4:$A$40,'Window-U'!$E$4:$E$40)*Semidetached!AI$22))*AI136</f>
        <v>2081.7456128904146</v>
      </c>
      <c r="AJ137" s="171">
        <f>((LOOKUP(Semidetached!AJ$2,'Ceiling-U'!$A$4:$A$40,'Ceiling-U'!$X$4:$X$40)*Semidetached!AJ$15)+(LOOKUP(Semidetached!AJ$2,'Floor-U'!$A$4:$A$40,'Floor-U'!$E$4:$E$40)*Semidetached!AJ$16)+(LOOKUP(Semidetached!AJ$2,'Wall-U'!$A$4:$A$40,'Wall-U'!$E$4:$E$40)*Semidetached!AJ$13)+(LOOKUP(Semidetached!AJ$2,'Window-U'!$A$4:$A$40,'Window-U'!$E$4:$E$40)*Semidetached!AJ$22))*AJ136</f>
        <v>959.77361956463164</v>
      </c>
      <c r="AK137" s="171">
        <f>((LOOKUP(Semidetached!AK$2,'Ceiling-U'!$A$4:$A$40,'Ceiling-U'!$X$4:$X$40)*Semidetached!AK$15)+(LOOKUP(Semidetached!AK$2,'Floor-U'!$A$4:$A$40,'Floor-U'!$E$4:$E$40)*Semidetached!AK$16)+(LOOKUP(Semidetached!AK$2,'Wall-U'!$A$4:$A$40,'Wall-U'!$E$4:$E$40)*Semidetached!AK$13)+(LOOKUP(Semidetached!AK$2,'Window-U'!$A$4:$A$40,'Window-U'!$E$4:$E$40)*Semidetached!AK$22))*AK136</f>
        <v>1147.3353931121133</v>
      </c>
      <c r="AL137" s="171">
        <f>((LOOKUP(Semidetached!AL$2,'Ceiling-U'!$A$4:$A$40,'Ceiling-U'!$X$4:$X$40)*Semidetached!AL$15)+(LOOKUP(Semidetached!AL$2,'Floor-U'!$A$4:$A$40,'Floor-U'!$E$4:$E$40)*Semidetached!AL$16)+(LOOKUP(Semidetached!AL$2,'Wall-U'!$A$4:$A$40,'Wall-U'!$E$4:$E$40)*Semidetached!AL$13)+(LOOKUP(Semidetached!AL$2,'Window-U'!$A$4:$A$40,'Window-U'!$E$4:$E$40)*Semidetached!AL$22))*AL136</f>
        <v>1037.8090545870816</v>
      </c>
      <c r="AM137" s="171">
        <f>((LOOKUP(Semidetached!AM$2,'Ceiling-U'!$A$4:$A$40,'Ceiling-U'!$X$4:$X$40)*Semidetached!AM$15)+(LOOKUP(Semidetached!AM$2,'Floor-U'!$A$4:$A$40,'Floor-U'!$E$4:$E$40)*Semidetached!AM$16)+(LOOKUP(Semidetached!AM$2,'Wall-U'!$A$4:$A$40,'Wall-U'!$E$4:$E$40)*Semidetached!AM$13)+(LOOKUP(Semidetached!AM$2,'Window-U'!$A$4:$A$40,'Window-U'!$E$4:$E$40)*Semidetached!AM$22))*AM136</f>
        <v>959.77361956463164</v>
      </c>
      <c r="AN137" s="172">
        <f>((LOOKUP(Semidetached!AN$2,'Ceiling-U'!$A$4:$A$40,'Ceiling-U'!$X$4:$X$40)*Semidetached!AN$15)+(LOOKUP(Semidetached!AN$2,'Floor-U'!$A$4:$A$40,'Floor-U'!$E$4:$E$40)*Semidetached!AN$16)+(LOOKUP(Semidetached!AN$2,'Wall-U'!$A$4:$A$40,'Wall-U'!$E$4:$E$40)*Semidetached!AN$13)+(LOOKUP(Semidetached!AN$2,'Window-U'!$A$4:$A$40,'Window-U'!$E$4:$E$40)*Semidetached!AN$22))*AN136</f>
        <v>959.77361956463164</v>
      </c>
    </row>
    <row r="138" spans="1:40">
      <c r="A138" s="372"/>
      <c r="B138" s="142" t="s">
        <v>3</v>
      </c>
      <c r="C138" s="131" t="s">
        <v>195</v>
      </c>
      <c r="D138" s="176">
        <f>((LOOKUP(Semidetached!D$2,'Ceiling-U'!$A$4:$A$40,'Ceiling-U'!$Y$4:$Y$40)*Semidetached!D$15)+(LOOKUP(Semidetached!D$2,'Floor-U'!$A$4:$A$40,'Floor-U'!$F$4:$F$40)*Semidetached!D$16)+(LOOKUP(Semidetached!D$2,'Wall-U'!$A$4:$A$40,'Wall-U'!$F$4:$F$40)*Semidetached!D$13)+(LOOKUP(Semidetached!D$2,'Window-U'!$A$4:$A$40,'Window-U'!$F$4:$F$40)*Semidetached!D$22))*D136</f>
        <v>1405.365919845111</v>
      </c>
      <c r="E138" s="177">
        <f>((LOOKUP(Semidetached!E$2,'Ceiling-U'!$A$4:$A$40,'Ceiling-U'!$Y$4:$Y$40)*Semidetached!E$15)+(LOOKUP(Semidetached!E$2,'Floor-U'!$A$4:$A$40,'Floor-U'!$F$4:$F$40)*Semidetached!E$16)+(LOOKUP(Semidetached!E$2,'Wall-U'!$A$4:$A$40,'Wall-U'!$F$4:$F$40)*Semidetached!E$13)+(LOOKUP(Semidetached!E$2,'Window-U'!$A$4:$A$40,'Window-U'!$F$4:$F$40)*Semidetached!E$22))*E136</f>
        <v>1657.4768654448246</v>
      </c>
      <c r="F138" s="177">
        <f>((LOOKUP(Semidetached!F$2,'Ceiling-U'!$A$4:$A$40,'Ceiling-U'!$Y$4:$Y$40)*Semidetached!F$15)+(LOOKUP(Semidetached!F$2,'Floor-U'!$A$4:$A$40,'Floor-U'!$F$4:$F$40)*Semidetached!F$16)+(LOOKUP(Semidetached!F$2,'Wall-U'!$A$4:$A$40,'Wall-U'!$F$4:$F$40)*Semidetached!F$13)+(LOOKUP(Semidetached!F$2,'Window-U'!$A$4:$A$40,'Window-U'!$F$4:$F$40)*Semidetached!F$22))*F136</f>
        <v>991.27109331043312</v>
      </c>
      <c r="G138" s="177">
        <f>((LOOKUP(Semidetached!G$2,'Ceiling-U'!$A$4:$A$40,'Ceiling-U'!$Y$4:$Y$40)*Semidetached!G$15)+(LOOKUP(Semidetached!G$2,'Floor-U'!$A$4:$A$40,'Floor-U'!$F$4:$F$40)*Semidetached!G$16)+(LOOKUP(Semidetached!G$2,'Wall-U'!$A$4:$A$40,'Wall-U'!$F$4:$F$40)*Semidetached!G$13)+(LOOKUP(Semidetached!G$2,'Window-U'!$A$4:$A$40,'Window-U'!$F$4:$F$40)*Semidetached!G$22))*G136</f>
        <v>1450.4994770764397</v>
      </c>
      <c r="H138" s="177">
        <f>((LOOKUP(Semidetached!H$2,'Ceiling-U'!$A$4:$A$40,'Ceiling-U'!$Y$4:$Y$40)*Semidetached!H$15)+(LOOKUP(Semidetached!H$2,'Floor-U'!$A$4:$A$40,'Floor-U'!$F$4:$F$40)*Semidetached!H$16)+(LOOKUP(Semidetached!H$2,'Wall-U'!$A$4:$A$40,'Wall-U'!$F$4:$F$40)*Semidetached!H$13)+(LOOKUP(Semidetached!H$2,'Window-U'!$A$4:$A$40,'Window-U'!$F$4:$F$40)*Semidetached!H$22))*H136</f>
        <v>1886.400576749005</v>
      </c>
      <c r="I138" s="177">
        <f>((LOOKUP(Semidetached!I$2,'Ceiling-U'!$A$4:$A$40,'Ceiling-U'!$Y$4:$Y$40)*Semidetached!I$15)+(LOOKUP(Semidetached!I$2,'Floor-U'!$A$4:$A$40,'Floor-U'!$F$4:$F$40)*Semidetached!I$16)+(LOOKUP(Semidetached!I$2,'Wall-U'!$A$4:$A$40,'Wall-U'!$F$4:$F$40)*Semidetached!I$13)+(LOOKUP(Semidetached!I$2,'Window-U'!$A$4:$A$40,'Window-U'!$F$4:$F$40)*Semidetached!I$22))*I136</f>
        <v>886.83574257553767</v>
      </c>
      <c r="J138" s="177">
        <f>((LOOKUP(Semidetached!J$2,'Ceiling-U'!$A$4:$A$40,'Ceiling-U'!$Y$4:$Y$40)*Semidetached!J$15)+(LOOKUP(Semidetached!J$2,'Floor-U'!$A$4:$A$40,'Floor-U'!$F$4:$F$40)*Semidetached!J$16)+(LOOKUP(Semidetached!J$2,'Wall-U'!$A$4:$A$40,'Wall-U'!$F$4:$F$40)*Semidetached!J$13)+(LOOKUP(Semidetached!J$2,'Window-U'!$A$4:$A$40,'Window-U'!$F$4:$F$40)*Semidetached!J$22))*J136</f>
        <v>1286.4364756642731</v>
      </c>
      <c r="K138" s="177">
        <f>((LOOKUP(Semidetached!K$2,'Ceiling-U'!$A$4:$A$40,'Ceiling-U'!$Y$4:$Y$40)*Semidetached!K$15)+(LOOKUP(Semidetached!K$2,'Floor-U'!$A$4:$A$40,'Floor-U'!$F$4:$F$40)*Semidetached!K$16)+(LOOKUP(Semidetached!K$2,'Wall-U'!$A$4:$A$40,'Wall-U'!$F$4:$F$40)*Semidetached!K$13)+(LOOKUP(Semidetached!K$2,'Window-U'!$A$4:$A$40,'Window-U'!$F$4:$F$40)*Semidetached!K$22))*K136</f>
        <v>946.44393258899288</v>
      </c>
      <c r="L138" s="177">
        <f>((LOOKUP(Semidetached!L$2,'Ceiling-U'!$A$4:$A$40,'Ceiling-U'!$Y$4:$Y$40)*Semidetached!L$15)+(LOOKUP(Semidetached!L$2,'Floor-U'!$A$4:$A$40,'Floor-U'!$F$4:$F$40)*Semidetached!L$16)+(LOOKUP(Semidetached!L$2,'Wall-U'!$A$4:$A$40,'Wall-U'!$F$4:$F$40)*Semidetached!L$13)+(LOOKUP(Semidetached!L$2,'Window-U'!$A$4:$A$40,'Window-U'!$F$4:$F$40)*Semidetached!L$22))*L136</f>
        <v>457.14894870040166</v>
      </c>
      <c r="M138" s="177">
        <f>((LOOKUP(Semidetached!M$2,'Ceiling-U'!$A$4:$A$40,'Ceiling-U'!$Y$4:$Y$40)*Semidetached!M$15)+(LOOKUP(Semidetached!M$2,'Floor-U'!$A$4:$A$40,'Floor-U'!$F$4:$F$40)*Semidetached!M$16)+(LOOKUP(Semidetached!M$2,'Wall-U'!$A$4:$A$40,'Wall-U'!$F$4:$F$40)*Semidetached!M$13)+(LOOKUP(Semidetached!M$2,'Window-U'!$A$4:$A$40,'Window-U'!$F$4:$F$40)*Semidetached!M$22))*M136</f>
        <v>2384.8916516567942</v>
      </c>
      <c r="N138" s="177">
        <f>((LOOKUP(Semidetached!N$2,'Ceiling-U'!$A$4:$A$40,'Ceiling-U'!$Y$4:$Y$40)*Semidetached!N$15)+(LOOKUP(Semidetached!N$2,'Floor-U'!$A$4:$A$40,'Floor-U'!$F$4:$F$40)*Semidetached!N$16)+(LOOKUP(Semidetached!N$2,'Wall-U'!$A$4:$A$40,'Wall-U'!$F$4:$F$40)*Semidetached!N$13)+(LOOKUP(Semidetached!N$2,'Window-U'!$A$4:$A$40,'Window-U'!$F$4:$F$40)*Semidetached!N$22))*N136</f>
        <v>565.06117033966132</v>
      </c>
      <c r="O138" s="177">
        <f>((LOOKUP(Semidetached!O$2,'Ceiling-U'!$A$4:$A$40,'Ceiling-U'!$Y$4:$Y$40)*Semidetached!O$15)+(LOOKUP(Semidetached!O$2,'Floor-U'!$A$4:$A$40,'Floor-U'!$F$4:$F$40)*Semidetached!O$16)+(LOOKUP(Semidetached!O$2,'Wall-U'!$A$4:$A$40,'Wall-U'!$F$4:$F$40)*Semidetached!O$13)+(LOOKUP(Semidetached!O$2,'Window-U'!$A$4:$A$40,'Window-U'!$F$4:$F$40)*Semidetached!O$22))*O136</f>
        <v>2295.1515960282359</v>
      </c>
      <c r="P138" s="177">
        <f>((LOOKUP(Semidetached!P$2,'Ceiling-U'!$A$4:$A$40,'Ceiling-U'!$Y$4:$Y$40)*Semidetached!P$15)+(LOOKUP(Semidetached!P$2,'Floor-U'!$A$4:$A$40,'Floor-U'!$F$4:$F$40)*Semidetached!P$16)+(LOOKUP(Semidetached!P$2,'Wall-U'!$A$4:$A$40,'Wall-U'!$F$4:$F$40)*Semidetached!P$13)+(LOOKUP(Semidetached!P$2,'Window-U'!$A$4:$A$40,'Window-U'!$F$4:$F$40)*Semidetached!P$22))*P136</f>
        <v>1443.103377515539</v>
      </c>
      <c r="Q138" s="177">
        <f>((LOOKUP(Semidetached!Q$2,'Ceiling-U'!$A$4:$A$40,'Ceiling-U'!$Y$4:$Y$40)*Semidetached!Q$15)+(LOOKUP(Semidetached!Q$2,'Floor-U'!$A$4:$A$40,'Floor-U'!$F$4:$F$40)*Semidetached!Q$16)+(LOOKUP(Semidetached!Q$2,'Wall-U'!$A$4:$A$40,'Wall-U'!$F$4:$F$40)*Semidetached!Q$13)+(LOOKUP(Semidetached!Q$2,'Window-U'!$A$4:$A$40,'Window-U'!$F$4:$F$40)*Semidetached!Q$22))*Q136</f>
        <v>1039.2240734534901</v>
      </c>
      <c r="R138" s="177">
        <f>((LOOKUP(Semidetached!R$2,'Ceiling-U'!$A$4:$A$40,'Ceiling-U'!$Y$4:$Y$40)*Semidetached!R$15)+(LOOKUP(Semidetached!R$2,'Floor-U'!$A$4:$A$40,'Floor-U'!$F$4:$F$40)*Semidetached!R$16)+(LOOKUP(Semidetached!R$2,'Wall-U'!$A$4:$A$40,'Wall-U'!$F$4:$F$40)*Semidetached!R$13)+(LOOKUP(Semidetached!R$2,'Window-U'!$A$4:$A$40,'Window-U'!$F$4:$F$40)*Semidetached!R$22))*R136</f>
        <v>1208.6995787857625</v>
      </c>
      <c r="S138" s="177">
        <f>((LOOKUP(Semidetached!S$2,'Ceiling-U'!$A$4:$A$40,'Ceiling-U'!$Y$4:$Y$40)*Semidetached!S$15)+(LOOKUP(Semidetached!S$2,'Floor-U'!$A$4:$A$40,'Floor-U'!$F$4:$F$40)*Semidetached!S$16)+(LOOKUP(Semidetached!S$2,'Wall-U'!$A$4:$A$40,'Wall-U'!$F$4:$F$40)*Semidetached!S$13)+(LOOKUP(Semidetached!S$2,'Window-U'!$A$4:$A$40,'Window-U'!$F$4:$F$40)*Semidetached!S$22))*S136</f>
        <v>1516.3771739468771</v>
      </c>
      <c r="T138" s="177">
        <f>((LOOKUP(Semidetached!T$2,'Ceiling-U'!$A$4:$A$40,'Ceiling-U'!$Y$4:$Y$40)*Semidetached!T$15)+(LOOKUP(Semidetached!T$2,'Floor-U'!$A$4:$A$40,'Floor-U'!$F$4:$F$40)*Semidetached!T$16)+(LOOKUP(Semidetached!T$2,'Wall-U'!$A$4:$A$40,'Wall-U'!$F$4:$F$40)*Semidetached!T$13)+(LOOKUP(Semidetached!T$2,'Window-U'!$A$4:$A$40,'Window-U'!$F$4:$F$40)*Semidetached!T$22))*T136</f>
        <v>568.81272779424069</v>
      </c>
      <c r="U138" s="177">
        <f>((LOOKUP(Semidetached!U$2,'Ceiling-U'!$A$4:$A$40,'Ceiling-U'!$Y$4:$Y$40)*Semidetached!U$15)+(LOOKUP(Semidetached!U$2,'Floor-U'!$A$4:$A$40,'Floor-U'!$F$4:$F$40)*Semidetached!U$16)+(LOOKUP(Semidetached!U$2,'Wall-U'!$A$4:$A$40,'Wall-U'!$F$4:$F$40)*Semidetached!U$13)+(LOOKUP(Semidetached!U$2,'Window-U'!$A$4:$A$40,'Window-U'!$F$4:$F$40)*Semidetached!U$22))*U136</f>
        <v>1861.5056012369621</v>
      </c>
      <c r="V138" s="177">
        <f>((LOOKUP(Semidetached!V$2,'Ceiling-U'!$A$4:$A$40,'Ceiling-U'!$Y$4:$Y$40)*Semidetached!V$15)+(LOOKUP(Semidetached!V$2,'Floor-U'!$A$4:$A$40,'Floor-U'!$F$4:$F$40)*Semidetached!V$16)+(LOOKUP(Semidetached!V$2,'Wall-U'!$A$4:$A$40,'Wall-U'!$F$4:$F$40)*Semidetached!V$13)+(LOOKUP(Semidetached!V$2,'Window-U'!$A$4:$A$40,'Window-U'!$F$4:$F$40)*Semidetached!V$22))*V136</f>
        <v>926.58572660333834</v>
      </c>
      <c r="W138" s="177">
        <f>((LOOKUP(Semidetached!W$2,'Ceiling-U'!$A$4:$A$40,'Ceiling-U'!$Y$4:$Y$40)*Semidetached!W$15)+(LOOKUP(Semidetached!W$2,'Floor-U'!$A$4:$A$40,'Floor-U'!$F$4:$F$40)*Semidetached!W$16)+(LOOKUP(Semidetached!W$2,'Wall-U'!$A$4:$A$40,'Wall-U'!$F$4:$F$40)*Semidetached!W$13)+(LOOKUP(Semidetached!W$2,'Window-U'!$A$4:$A$40,'Window-U'!$F$4:$F$40)*Semidetached!W$22))*W136</f>
        <v>943.60009466729252</v>
      </c>
      <c r="X138" s="177">
        <f>((LOOKUP(Semidetached!X$2,'Ceiling-U'!$A$4:$A$40,'Ceiling-U'!$Y$4:$Y$40)*Semidetached!X$15)+(LOOKUP(Semidetached!X$2,'Floor-U'!$A$4:$A$40,'Floor-U'!$F$4:$F$40)*Semidetached!X$16)+(LOOKUP(Semidetached!X$2,'Wall-U'!$A$4:$A$40,'Wall-U'!$F$4:$F$40)*Semidetached!X$13)+(LOOKUP(Semidetached!X$2,'Window-U'!$A$4:$A$40,'Window-U'!$F$4:$F$40)*Semidetached!X$22))*X136</f>
        <v>917.59910676359323</v>
      </c>
      <c r="Y138" s="177">
        <f>((LOOKUP(Semidetached!Y$2,'Ceiling-U'!$A$4:$A$40,'Ceiling-U'!$Y$4:$Y$40)*Semidetached!Y$15)+(LOOKUP(Semidetached!Y$2,'Floor-U'!$A$4:$A$40,'Floor-U'!$F$4:$F$40)*Semidetached!Y$16)+(LOOKUP(Semidetached!Y$2,'Wall-U'!$A$4:$A$40,'Wall-U'!$F$4:$F$40)*Semidetached!Y$13)+(LOOKUP(Semidetached!Y$2,'Window-U'!$A$4:$A$40,'Window-U'!$F$4:$F$40)*Semidetached!Y$22))*Y136</f>
        <v>2837.3594389392465</v>
      </c>
      <c r="Z138" s="177">
        <f>((LOOKUP(Semidetached!Z$2,'Ceiling-U'!$A$4:$A$40,'Ceiling-U'!$Y$4:$Y$40)*Semidetached!Z$15)+(LOOKUP(Semidetached!Z$2,'Floor-U'!$A$4:$A$40,'Floor-U'!$F$4:$F$40)*Semidetached!Z$16)+(LOOKUP(Semidetached!Z$2,'Wall-U'!$A$4:$A$40,'Wall-U'!$F$4:$F$40)*Semidetached!Z$13)+(LOOKUP(Semidetached!Z$2,'Window-U'!$A$4:$A$40,'Window-U'!$F$4:$F$40)*Semidetached!Z$22))*Z136</f>
        <v>1584.693903691797</v>
      </c>
      <c r="AA138" s="177">
        <f>((LOOKUP(Semidetached!AA$2,'Ceiling-U'!$A$4:$A$40,'Ceiling-U'!$Y$4:$Y$40)*Semidetached!AA$15)+(LOOKUP(Semidetached!AA$2,'Floor-U'!$A$4:$A$40,'Floor-U'!$F$4:$F$40)*Semidetached!AA$16)+(LOOKUP(Semidetached!AA$2,'Wall-U'!$A$4:$A$40,'Wall-U'!$F$4:$F$40)*Semidetached!AA$13)+(LOOKUP(Semidetached!AA$2,'Window-U'!$A$4:$A$40,'Window-U'!$F$4:$F$40)*Semidetached!AA$22))*AA136</f>
        <v>547.11583555074083</v>
      </c>
      <c r="AB138" s="177">
        <f>((LOOKUP(Semidetached!AB$2,'Ceiling-U'!$A$4:$A$40,'Ceiling-U'!$Y$4:$Y$40)*Semidetached!AB$15)+(LOOKUP(Semidetached!AB$2,'Floor-U'!$A$4:$A$40,'Floor-U'!$F$4:$F$40)*Semidetached!AB$16)+(LOOKUP(Semidetached!AB$2,'Wall-U'!$A$4:$A$40,'Wall-U'!$F$4:$F$40)*Semidetached!AB$13)+(LOOKUP(Semidetached!AB$2,'Window-U'!$A$4:$A$40,'Window-U'!$F$4:$F$40)*Semidetached!AB$22))*AB136</f>
        <v>1103.1517038156474</v>
      </c>
      <c r="AC138" s="177">
        <f>((LOOKUP(Semidetached!AC$2,'Ceiling-U'!$A$4:$A$40,'Ceiling-U'!$Y$4:$Y$40)*Semidetached!AC$15)+(LOOKUP(Semidetached!AC$2,'Floor-U'!$A$4:$A$40,'Floor-U'!$F$4:$F$40)*Semidetached!AC$16)+(LOOKUP(Semidetached!AC$2,'Wall-U'!$A$4:$A$40,'Wall-U'!$F$4:$F$40)*Semidetached!AC$13)+(LOOKUP(Semidetached!AC$2,'Window-U'!$A$4:$A$40,'Window-U'!$F$4:$F$40)*Semidetached!AC$22))*AC136</f>
        <v>1834.0859182926745</v>
      </c>
      <c r="AD138" s="177">
        <f>((LOOKUP(Semidetached!AD$2,'Ceiling-U'!$A$4:$A$40,'Ceiling-U'!$Y$4:$Y$40)*Semidetached!AD$15)+(LOOKUP(Semidetached!AD$2,'Floor-U'!$A$4:$A$40,'Floor-U'!$F$4:$F$40)*Semidetached!AD$16)+(LOOKUP(Semidetached!AD$2,'Wall-U'!$A$4:$A$40,'Wall-U'!$F$4:$F$40)*Semidetached!AD$13)+(LOOKUP(Semidetached!AD$2,'Window-U'!$A$4:$A$40,'Window-U'!$F$4:$F$40)*Semidetached!AD$22))*AD136</f>
        <v>1156.1696355488189</v>
      </c>
      <c r="AE138" s="177">
        <f>((LOOKUP(Semidetached!AE$2,'Ceiling-U'!$A$4:$A$40,'Ceiling-U'!$Y$4:$Y$40)*Semidetached!AE$15)+(LOOKUP(Semidetached!AE$2,'Floor-U'!$A$4:$A$40,'Floor-U'!$F$4:$F$40)*Semidetached!AE$16)+(LOOKUP(Semidetached!AE$2,'Wall-U'!$A$4:$A$40,'Wall-U'!$F$4:$F$40)*Semidetached!AE$13)+(LOOKUP(Semidetached!AE$2,'Window-U'!$A$4:$A$40,'Window-U'!$F$4:$F$40)*Semidetached!AE$22))*AE136</f>
        <v>539.94290121065762</v>
      </c>
      <c r="AF138" s="177">
        <f>((LOOKUP(Semidetached!AF$2,'Ceiling-U'!$A$4:$A$40,'Ceiling-U'!$Y$4:$Y$40)*Semidetached!AF$15)+(LOOKUP(Semidetached!AF$2,'Floor-U'!$A$4:$A$40,'Floor-U'!$F$4:$F$40)*Semidetached!AF$16)+(LOOKUP(Semidetached!AF$2,'Wall-U'!$A$4:$A$40,'Wall-U'!$F$4:$F$40)*Semidetached!AF$13)+(LOOKUP(Semidetached!AF$2,'Window-U'!$A$4:$A$40,'Window-U'!$F$4:$F$40)*Semidetached!AF$22))*AF136</f>
        <v>1149.5098152237504</v>
      </c>
      <c r="AG138" s="177">
        <f>((LOOKUP(Semidetached!AG$2,'Ceiling-U'!$A$4:$A$40,'Ceiling-U'!$Y$4:$Y$40)*Semidetached!AG$15)+(LOOKUP(Semidetached!AG$2,'Floor-U'!$A$4:$A$40,'Floor-U'!$F$4:$F$40)*Semidetached!AG$16)+(LOOKUP(Semidetached!AG$2,'Wall-U'!$A$4:$A$40,'Wall-U'!$F$4:$F$40)*Semidetached!AG$13)+(LOOKUP(Semidetached!AG$2,'Window-U'!$A$4:$A$40,'Window-U'!$F$4:$F$40)*Semidetached!AG$22))*AG136</f>
        <v>1287.5223111750308</v>
      </c>
      <c r="AH138" s="177">
        <f>((LOOKUP(Semidetached!AH$2,'Ceiling-U'!$A$4:$A$40,'Ceiling-U'!$Y$4:$Y$40)*Semidetached!AH$15)+(LOOKUP(Semidetached!AH$2,'Floor-U'!$A$4:$A$40,'Floor-U'!$F$4:$F$40)*Semidetached!AH$16)+(LOOKUP(Semidetached!AH$2,'Wall-U'!$A$4:$A$40,'Wall-U'!$F$4:$F$40)*Semidetached!AH$13)+(LOOKUP(Semidetached!AH$2,'Window-U'!$A$4:$A$40,'Window-U'!$F$4:$F$40)*Semidetached!AH$22))*AH136</f>
        <v>1365.3000412634824</v>
      </c>
      <c r="AI138" s="177">
        <f>((LOOKUP(Semidetached!AI$2,'Ceiling-U'!$A$4:$A$40,'Ceiling-U'!$Y$4:$Y$40)*Semidetached!AI$15)+(LOOKUP(Semidetached!AI$2,'Floor-U'!$A$4:$A$40,'Floor-U'!$F$4:$F$40)*Semidetached!AI$16)+(LOOKUP(Semidetached!AI$2,'Wall-U'!$A$4:$A$40,'Wall-U'!$F$4:$F$40)*Semidetached!AI$13)+(LOOKUP(Semidetached!AI$2,'Window-U'!$A$4:$A$40,'Window-U'!$F$4:$F$40)*Semidetached!AI$22))*AI136</f>
        <v>2081.7456128904146</v>
      </c>
      <c r="AJ138" s="177">
        <f>((LOOKUP(Semidetached!AJ$2,'Ceiling-U'!$A$4:$A$40,'Ceiling-U'!$Y$4:$Y$40)*Semidetached!AJ$15)+(LOOKUP(Semidetached!AJ$2,'Floor-U'!$A$4:$A$40,'Floor-U'!$F$4:$F$40)*Semidetached!AJ$16)+(LOOKUP(Semidetached!AJ$2,'Wall-U'!$A$4:$A$40,'Wall-U'!$F$4:$F$40)*Semidetached!AJ$13)+(LOOKUP(Semidetached!AJ$2,'Window-U'!$A$4:$A$40,'Window-U'!$F$4:$F$40)*Semidetached!AJ$22))*AJ136</f>
        <v>959.77361956463164</v>
      </c>
      <c r="AK138" s="177">
        <f>((LOOKUP(Semidetached!AK$2,'Ceiling-U'!$A$4:$A$40,'Ceiling-U'!$Y$4:$Y$40)*Semidetached!AK$15)+(LOOKUP(Semidetached!AK$2,'Floor-U'!$A$4:$A$40,'Floor-U'!$F$4:$F$40)*Semidetached!AK$16)+(LOOKUP(Semidetached!AK$2,'Wall-U'!$A$4:$A$40,'Wall-U'!$F$4:$F$40)*Semidetached!AK$13)+(LOOKUP(Semidetached!AK$2,'Window-U'!$A$4:$A$40,'Window-U'!$F$4:$F$40)*Semidetached!AK$22))*AK136</f>
        <v>1147.3353931121133</v>
      </c>
      <c r="AL138" s="177">
        <f>((LOOKUP(Semidetached!AL$2,'Ceiling-U'!$A$4:$A$40,'Ceiling-U'!$Y$4:$Y$40)*Semidetached!AL$15)+(LOOKUP(Semidetached!AL$2,'Floor-U'!$A$4:$A$40,'Floor-U'!$F$4:$F$40)*Semidetached!AL$16)+(LOOKUP(Semidetached!AL$2,'Wall-U'!$A$4:$A$40,'Wall-U'!$F$4:$F$40)*Semidetached!AL$13)+(LOOKUP(Semidetached!AL$2,'Window-U'!$A$4:$A$40,'Window-U'!$F$4:$F$40)*Semidetached!AL$22))*AL136</f>
        <v>1037.8090545870816</v>
      </c>
      <c r="AM138" s="177">
        <f>((LOOKUP(Semidetached!AM$2,'Ceiling-U'!$A$4:$A$40,'Ceiling-U'!$Y$4:$Y$40)*Semidetached!AM$15)+(LOOKUP(Semidetached!AM$2,'Floor-U'!$A$4:$A$40,'Floor-U'!$F$4:$F$40)*Semidetached!AM$16)+(LOOKUP(Semidetached!AM$2,'Wall-U'!$A$4:$A$40,'Wall-U'!$F$4:$F$40)*Semidetached!AM$13)+(LOOKUP(Semidetached!AM$2,'Window-U'!$A$4:$A$40,'Window-U'!$F$4:$F$40)*Semidetached!AM$22))*AM136</f>
        <v>959.77361956463164</v>
      </c>
      <c r="AN138" s="178">
        <f>((LOOKUP(Semidetached!AN$2,'Ceiling-U'!$A$4:$A$40,'Ceiling-U'!$Y$4:$Y$40)*Semidetached!AN$15)+(LOOKUP(Semidetached!AN$2,'Floor-U'!$A$4:$A$40,'Floor-U'!$F$4:$F$40)*Semidetached!AN$16)+(LOOKUP(Semidetached!AN$2,'Wall-U'!$A$4:$A$40,'Wall-U'!$F$4:$F$40)*Semidetached!AN$13)+(LOOKUP(Semidetached!AN$2,'Window-U'!$A$4:$A$40,'Window-U'!$F$4:$F$40)*Semidetached!AN$22))*AN136</f>
        <v>959.77361956463164</v>
      </c>
    </row>
    <row r="139" spans="1:40">
      <c r="A139" s="372"/>
      <c r="B139" s="142" t="s">
        <v>4</v>
      </c>
      <c r="C139" s="131" t="s">
        <v>195</v>
      </c>
      <c r="D139" s="176">
        <f>((LOOKUP(Semidetached!D$2,'Ceiling-U'!$A$4:$A$40,'Ceiling-U'!$Z$4:$Z$40)*Semidetached!D$15)+(LOOKUP(Semidetached!D$2,'Floor-U'!$A$4:$A$40,'Floor-U'!$G$4:$G$40)*Semidetached!D$16)+(LOOKUP(Semidetached!D$2,'Wall-U'!$A$4:$A$40,'Wall-U'!$G$4:$G$40)*Semidetached!D$13)+(LOOKUP(Semidetached!D$2,'Window-U'!$A$4:$A$40,'Window-U'!$G$4:$G$40)*Semidetached!D$22))*D136</f>
        <v>1099.1792057757661</v>
      </c>
      <c r="E139" s="177">
        <f>((LOOKUP(Semidetached!E$2,'Ceiling-U'!$A$4:$A$40,'Ceiling-U'!$Z$4:$Z$40)*Semidetached!E$15)+(LOOKUP(Semidetached!E$2,'Floor-U'!$A$4:$A$40,'Floor-U'!$G$4:$G$40)*Semidetached!E$16)+(LOOKUP(Semidetached!E$2,'Wall-U'!$A$4:$A$40,'Wall-U'!$G$4:$G$40)*Semidetached!E$13)+(LOOKUP(Semidetached!E$2,'Window-U'!$A$4:$A$40,'Window-U'!$G$4:$G$40)*Semidetached!E$22))*E136</f>
        <v>1657.4768654448246</v>
      </c>
      <c r="F139" s="177">
        <f>((LOOKUP(Semidetached!F$2,'Ceiling-U'!$A$4:$A$40,'Ceiling-U'!$Z$4:$Z$40)*Semidetached!F$15)+(LOOKUP(Semidetached!F$2,'Floor-U'!$A$4:$A$40,'Floor-U'!$G$4:$G$40)*Semidetached!F$16)+(LOOKUP(Semidetached!F$2,'Wall-U'!$A$4:$A$40,'Wall-U'!$G$4:$G$40)*Semidetached!F$13)+(LOOKUP(Semidetached!F$2,'Window-U'!$A$4:$A$40,'Window-U'!$G$4:$G$40)*Semidetached!F$22))*F136</f>
        <v>928.15941733662862</v>
      </c>
      <c r="G139" s="177">
        <f>((LOOKUP(Semidetached!G$2,'Ceiling-U'!$A$4:$A$40,'Ceiling-U'!$Z$4:$Z$40)*Semidetached!G$15)+(LOOKUP(Semidetached!G$2,'Floor-U'!$A$4:$A$40,'Floor-U'!$G$4:$G$40)*Semidetached!G$16)+(LOOKUP(Semidetached!G$2,'Wall-U'!$A$4:$A$40,'Wall-U'!$G$4:$G$40)*Semidetached!G$13)+(LOOKUP(Semidetached!G$2,'Window-U'!$A$4:$A$40,'Window-U'!$G$4:$G$40)*Semidetached!G$22))*G136</f>
        <v>1133.5638545771808</v>
      </c>
      <c r="H139" s="177">
        <f>((LOOKUP(Semidetached!H$2,'Ceiling-U'!$A$4:$A$40,'Ceiling-U'!$Z$4:$Z$40)*Semidetached!H$15)+(LOOKUP(Semidetached!H$2,'Floor-U'!$A$4:$A$40,'Floor-U'!$G$4:$G$40)*Semidetached!H$16)+(LOOKUP(Semidetached!H$2,'Wall-U'!$A$4:$A$40,'Wall-U'!$G$4:$G$40)*Semidetached!H$13)+(LOOKUP(Semidetached!H$2,'Window-U'!$A$4:$A$40,'Window-U'!$G$4:$G$40)*Semidetached!H$22))*H136</f>
        <v>1882.6925107210059</v>
      </c>
      <c r="I139" s="177">
        <f>((LOOKUP(Semidetached!I$2,'Ceiling-U'!$A$4:$A$40,'Ceiling-U'!$Z$4:$Z$40)*Semidetached!I$15)+(LOOKUP(Semidetached!I$2,'Floor-U'!$A$4:$A$40,'Floor-U'!$G$4:$G$40)*Semidetached!I$16)+(LOOKUP(Semidetached!I$2,'Wall-U'!$A$4:$A$40,'Wall-U'!$G$4:$G$40)*Semidetached!I$13)+(LOOKUP(Semidetached!I$2,'Window-U'!$A$4:$A$40,'Window-U'!$G$4:$G$40)*Semidetached!I$22))*I136</f>
        <v>886.83574257553767</v>
      </c>
      <c r="J139" s="177">
        <f>((LOOKUP(Semidetached!J$2,'Ceiling-U'!$A$4:$A$40,'Ceiling-U'!$Z$4:$Z$40)*Semidetached!J$15)+(LOOKUP(Semidetached!J$2,'Floor-U'!$A$4:$A$40,'Floor-U'!$G$4:$G$40)*Semidetached!J$16)+(LOOKUP(Semidetached!J$2,'Wall-U'!$A$4:$A$40,'Wall-U'!$G$4:$G$40)*Semidetached!J$13)+(LOOKUP(Semidetached!J$2,'Window-U'!$A$4:$A$40,'Window-U'!$G$4:$G$40)*Semidetached!J$22))*J136</f>
        <v>905.39864505430148</v>
      </c>
      <c r="K139" s="177">
        <f>((LOOKUP(Semidetached!K$2,'Ceiling-U'!$A$4:$A$40,'Ceiling-U'!$Z$4:$Z$40)*Semidetached!K$15)+(LOOKUP(Semidetached!K$2,'Floor-U'!$A$4:$A$40,'Floor-U'!$G$4:$G$40)*Semidetached!K$16)+(LOOKUP(Semidetached!K$2,'Wall-U'!$A$4:$A$40,'Wall-U'!$G$4:$G$40)*Semidetached!K$13)+(LOOKUP(Semidetached!K$2,'Window-U'!$A$4:$A$40,'Window-U'!$G$4:$G$40)*Semidetached!K$22))*K136</f>
        <v>586.48700113279278</v>
      </c>
      <c r="L139" s="177">
        <f>((LOOKUP(Semidetached!L$2,'Ceiling-U'!$A$4:$A$40,'Ceiling-U'!$Z$4:$Z$40)*Semidetached!L$15)+(LOOKUP(Semidetached!L$2,'Floor-U'!$A$4:$A$40,'Floor-U'!$G$4:$G$40)*Semidetached!L$16)+(LOOKUP(Semidetached!L$2,'Wall-U'!$A$4:$A$40,'Wall-U'!$G$4:$G$40)*Semidetached!L$13)+(LOOKUP(Semidetached!L$2,'Window-U'!$A$4:$A$40,'Window-U'!$G$4:$G$40)*Semidetached!L$22))*L136</f>
        <v>363.15239744185595</v>
      </c>
      <c r="M139" s="177">
        <f>((LOOKUP(Semidetached!M$2,'Ceiling-U'!$A$4:$A$40,'Ceiling-U'!$Z$4:$Z$40)*Semidetached!M$15)+(LOOKUP(Semidetached!M$2,'Floor-U'!$A$4:$A$40,'Floor-U'!$G$4:$G$40)*Semidetached!M$16)+(LOOKUP(Semidetached!M$2,'Wall-U'!$A$4:$A$40,'Wall-U'!$G$4:$G$40)*Semidetached!M$13)+(LOOKUP(Semidetached!M$2,'Window-U'!$A$4:$A$40,'Window-U'!$G$4:$G$40)*Semidetached!M$22))*M136</f>
        <v>2384.8916516567942</v>
      </c>
      <c r="N139" s="177">
        <f>((LOOKUP(Semidetached!N$2,'Ceiling-U'!$A$4:$A$40,'Ceiling-U'!$Z$4:$Z$40)*Semidetached!N$15)+(LOOKUP(Semidetached!N$2,'Floor-U'!$A$4:$A$40,'Floor-U'!$G$4:$G$40)*Semidetached!N$16)+(LOOKUP(Semidetached!N$2,'Wall-U'!$A$4:$A$40,'Wall-U'!$G$4:$G$40)*Semidetached!N$13)+(LOOKUP(Semidetached!N$2,'Window-U'!$A$4:$A$40,'Window-U'!$G$4:$G$40)*Semidetached!N$22))*N136</f>
        <v>453.09798901665351</v>
      </c>
      <c r="O139" s="177">
        <f>((LOOKUP(Semidetached!O$2,'Ceiling-U'!$A$4:$A$40,'Ceiling-U'!$Z$4:$Z$40)*Semidetached!O$15)+(LOOKUP(Semidetached!O$2,'Floor-U'!$A$4:$A$40,'Floor-U'!$G$4:$G$40)*Semidetached!O$16)+(LOOKUP(Semidetached!O$2,'Wall-U'!$A$4:$A$40,'Wall-U'!$G$4:$G$40)*Semidetached!O$13)+(LOOKUP(Semidetached!O$2,'Window-U'!$A$4:$A$40,'Window-U'!$G$4:$G$40)*Semidetached!O$22))*O136</f>
        <v>1090.3580705518425</v>
      </c>
      <c r="P139" s="177">
        <f>((LOOKUP(Semidetached!P$2,'Ceiling-U'!$A$4:$A$40,'Ceiling-U'!$Z$4:$Z$40)*Semidetached!P$15)+(LOOKUP(Semidetached!P$2,'Floor-U'!$A$4:$A$40,'Floor-U'!$G$4:$G$40)*Semidetached!P$16)+(LOOKUP(Semidetached!P$2,'Wall-U'!$A$4:$A$40,'Wall-U'!$G$4:$G$40)*Semidetached!P$13)+(LOOKUP(Semidetached!P$2,'Window-U'!$A$4:$A$40,'Window-U'!$G$4:$G$40)*Semidetached!P$22))*P136</f>
        <v>1443.103377515539</v>
      </c>
      <c r="Q139" s="177">
        <f>((LOOKUP(Semidetached!Q$2,'Ceiling-U'!$A$4:$A$40,'Ceiling-U'!$Z$4:$Z$40)*Semidetached!Q$15)+(LOOKUP(Semidetached!Q$2,'Floor-U'!$A$4:$A$40,'Floor-U'!$G$4:$G$40)*Semidetached!Q$16)+(LOOKUP(Semidetached!Q$2,'Wall-U'!$A$4:$A$40,'Wall-U'!$G$4:$G$40)*Semidetached!Q$13)+(LOOKUP(Semidetached!Q$2,'Window-U'!$A$4:$A$40,'Window-U'!$G$4:$G$40)*Semidetached!Q$22))*Q136</f>
        <v>892.0072063819598</v>
      </c>
      <c r="R139" s="177">
        <f>((LOOKUP(Semidetached!R$2,'Ceiling-U'!$A$4:$A$40,'Ceiling-U'!$Z$4:$Z$40)*Semidetached!R$15)+(LOOKUP(Semidetached!R$2,'Floor-U'!$A$4:$A$40,'Floor-U'!$G$4:$G$40)*Semidetached!R$16)+(LOOKUP(Semidetached!R$2,'Wall-U'!$A$4:$A$40,'Wall-U'!$G$4:$G$40)*Semidetached!R$13)+(LOOKUP(Semidetached!R$2,'Window-U'!$A$4:$A$40,'Window-U'!$G$4:$G$40)*Semidetached!R$22))*R136</f>
        <v>1063.5117398490204</v>
      </c>
      <c r="S139" s="177">
        <f>((LOOKUP(Semidetached!S$2,'Ceiling-U'!$A$4:$A$40,'Ceiling-U'!$Z$4:$Z$40)*Semidetached!S$15)+(LOOKUP(Semidetached!S$2,'Floor-U'!$A$4:$A$40,'Floor-U'!$G$4:$G$40)*Semidetached!S$16)+(LOOKUP(Semidetached!S$2,'Wall-U'!$A$4:$A$40,'Wall-U'!$G$4:$G$40)*Semidetached!S$13)+(LOOKUP(Semidetached!S$2,'Window-U'!$A$4:$A$40,'Window-U'!$G$4:$G$40)*Semidetached!S$22))*S136</f>
        <v>1508.6599248634152</v>
      </c>
      <c r="T139" s="177">
        <f>((LOOKUP(Semidetached!T$2,'Ceiling-U'!$A$4:$A$40,'Ceiling-U'!$Z$4:$Z$40)*Semidetached!T$15)+(LOOKUP(Semidetached!T$2,'Floor-U'!$A$4:$A$40,'Floor-U'!$G$4:$G$40)*Semidetached!T$16)+(LOOKUP(Semidetached!T$2,'Wall-U'!$A$4:$A$40,'Wall-U'!$G$4:$G$40)*Semidetached!T$13)+(LOOKUP(Semidetached!T$2,'Window-U'!$A$4:$A$40,'Window-U'!$G$4:$G$40)*Semidetached!T$22))*T136</f>
        <v>456.03959857529554</v>
      </c>
      <c r="U139" s="177">
        <f>((LOOKUP(Semidetached!U$2,'Ceiling-U'!$A$4:$A$40,'Ceiling-U'!$Z$4:$Z$40)*Semidetached!U$15)+(LOOKUP(Semidetached!U$2,'Floor-U'!$A$4:$A$40,'Floor-U'!$G$4:$G$40)*Semidetached!U$16)+(LOOKUP(Semidetached!U$2,'Wall-U'!$A$4:$A$40,'Wall-U'!$G$4:$G$40)*Semidetached!U$13)+(LOOKUP(Semidetached!U$2,'Window-U'!$A$4:$A$40,'Window-U'!$G$4:$G$40)*Semidetached!U$22))*U136</f>
        <v>1734.7467819822168</v>
      </c>
      <c r="V139" s="177">
        <f>((LOOKUP(Semidetached!V$2,'Ceiling-U'!$A$4:$A$40,'Ceiling-U'!$Z$4:$Z$40)*Semidetached!V$15)+(LOOKUP(Semidetached!V$2,'Floor-U'!$A$4:$A$40,'Floor-U'!$G$4:$G$40)*Semidetached!V$16)+(LOOKUP(Semidetached!V$2,'Wall-U'!$A$4:$A$40,'Wall-U'!$G$4:$G$40)*Semidetached!V$13)+(LOOKUP(Semidetached!V$2,'Window-U'!$A$4:$A$40,'Window-U'!$G$4:$G$40)*Semidetached!V$22))*V136</f>
        <v>569.75823360729441</v>
      </c>
      <c r="W139" s="177">
        <f>((LOOKUP(Semidetached!W$2,'Ceiling-U'!$A$4:$A$40,'Ceiling-U'!$Z$4:$Z$40)*Semidetached!W$15)+(LOOKUP(Semidetached!W$2,'Floor-U'!$A$4:$A$40,'Floor-U'!$G$4:$G$40)*Semidetached!W$16)+(LOOKUP(Semidetached!W$2,'Wall-U'!$A$4:$A$40,'Wall-U'!$G$4:$G$40)*Semidetached!W$13)+(LOOKUP(Semidetached!W$2,'Window-U'!$A$4:$A$40,'Window-U'!$G$4:$G$40)*Semidetached!W$22))*W136</f>
        <v>456.96432150887847</v>
      </c>
      <c r="X139" s="177">
        <f>((LOOKUP(Semidetached!X$2,'Ceiling-U'!$A$4:$A$40,'Ceiling-U'!$Z$4:$Z$40)*Semidetached!X$15)+(LOOKUP(Semidetached!X$2,'Floor-U'!$A$4:$A$40,'Floor-U'!$G$4:$G$40)*Semidetached!X$16)+(LOOKUP(Semidetached!X$2,'Wall-U'!$A$4:$A$40,'Wall-U'!$G$4:$G$40)*Semidetached!X$13)+(LOOKUP(Semidetached!X$2,'Window-U'!$A$4:$A$40,'Window-U'!$G$4:$G$40)*Semidetached!X$22))*X136</f>
        <v>867.33621781218494</v>
      </c>
      <c r="Y139" s="177">
        <f>((LOOKUP(Semidetached!Y$2,'Ceiling-U'!$A$4:$A$40,'Ceiling-U'!$Z$4:$Z$40)*Semidetached!Y$15)+(LOOKUP(Semidetached!Y$2,'Floor-U'!$A$4:$A$40,'Floor-U'!$G$4:$G$40)*Semidetached!Y$16)+(LOOKUP(Semidetached!Y$2,'Wall-U'!$A$4:$A$40,'Wall-U'!$G$4:$G$40)*Semidetached!Y$13)+(LOOKUP(Semidetached!Y$2,'Window-U'!$A$4:$A$40,'Window-U'!$G$4:$G$40)*Semidetached!Y$22))*Y136</f>
        <v>2284.8382526910241</v>
      </c>
      <c r="Z139" s="177">
        <f>((LOOKUP(Semidetached!Z$2,'Ceiling-U'!$A$4:$A$40,'Ceiling-U'!$Z$4:$Z$40)*Semidetached!Z$15)+(LOOKUP(Semidetached!Z$2,'Floor-U'!$A$4:$A$40,'Floor-U'!$G$4:$G$40)*Semidetached!Z$16)+(LOOKUP(Semidetached!Z$2,'Wall-U'!$A$4:$A$40,'Wall-U'!$G$4:$G$40)*Semidetached!Z$13)+(LOOKUP(Semidetached!Z$2,'Window-U'!$A$4:$A$40,'Window-U'!$G$4:$G$40)*Semidetached!Z$22))*Z136</f>
        <v>1492.3372920774195</v>
      </c>
      <c r="AA139" s="177">
        <f>((LOOKUP(Semidetached!AA$2,'Ceiling-U'!$A$4:$A$40,'Ceiling-U'!$Z$4:$Z$40)*Semidetached!AA$15)+(LOOKUP(Semidetached!AA$2,'Floor-U'!$A$4:$A$40,'Floor-U'!$G$4:$G$40)*Semidetached!AA$16)+(LOOKUP(Semidetached!AA$2,'Wall-U'!$A$4:$A$40,'Wall-U'!$G$4:$G$40)*Semidetached!AA$13)+(LOOKUP(Semidetached!AA$2,'Window-U'!$A$4:$A$40,'Window-U'!$G$4:$G$40)*Semidetached!AA$22))*AA136</f>
        <v>382.55733630088503</v>
      </c>
      <c r="AB139" s="177">
        <f>((LOOKUP(Semidetached!AB$2,'Ceiling-U'!$A$4:$A$40,'Ceiling-U'!$Z$4:$Z$40)*Semidetached!AB$15)+(LOOKUP(Semidetached!AB$2,'Floor-U'!$A$4:$A$40,'Floor-U'!$G$4:$G$40)*Semidetached!AB$16)+(LOOKUP(Semidetached!AB$2,'Wall-U'!$A$4:$A$40,'Wall-U'!$G$4:$G$40)*Semidetached!AB$13)+(LOOKUP(Semidetached!AB$2,'Window-U'!$A$4:$A$40,'Window-U'!$G$4:$G$40)*Semidetached!AB$22))*AB136</f>
        <v>761.70552947438796</v>
      </c>
      <c r="AC139" s="177">
        <f>((LOOKUP(Semidetached!AC$2,'Ceiling-U'!$A$4:$A$40,'Ceiling-U'!$Z$4:$Z$40)*Semidetached!AC$15)+(LOOKUP(Semidetached!AC$2,'Floor-U'!$A$4:$A$40,'Floor-U'!$G$4:$G$40)*Semidetached!AC$16)+(LOOKUP(Semidetached!AC$2,'Wall-U'!$A$4:$A$40,'Wall-U'!$G$4:$G$40)*Semidetached!AC$13)+(LOOKUP(Semidetached!AC$2,'Window-U'!$A$4:$A$40,'Window-U'!$G$4:$G$40)*Semidetached!AC$22))*AC136</f>
        <v>1833.5765853699547</v>
      </c>
      <c r="AD139" s="177">
        <f>((LOOKUP(Semidetached!AD$2,'Ceiling-U'!$A$4:$A$40,'Ceiling-U'!$Z$4:$Z$40)*Semidetached!AD$15)+(LOOKUP(Semidetached!AD$2,'Floor-U'!$A$4:$A$40,'Floor-U'!$G$4:$G$40)*Semidetached!AD$16)+(LOOKUP(Semidetached!AD$2,'Wall-U'!$A$4:$A$40,'Wall-U'!$G$4:$G$40)*Semidetached!AD$13)+(LOOKUP(Semidetached!AD$2,'Window-U'!$A$4:$A$40,'Window-U'!$G$4:$G$40)*Semidetached!AD$22))*AD136</f>
        <v>1156.1696355488189</v>
      </c>
      <c r="AE139" s="177">
        <f>((LOOKUP(Semidetached!AE$2,'Ceiling-U'!$A$4:$A$40,'Ceiling-U'!$Z$4:$Z$40)*Semidetached!AE$15)+(LOOKUP(Semidetached!AE$2,'Floor-U'!$A$4:$A$40,'Floor-U'!$G$4:$G$40)*Semidetached!AE$16)+(LOOKUP(Semidetached!AE$2,'Wall-U'!$A$4:$A$40,'Wall-U'!$G$4:$G$40)*Semidetached!AE$13)+(LOOKUP(Semidetached!AE$2,'Window-U'!$A$4:$A$40,'Window-U'!$G$4:$G$40)*Semidetached!AE$22))*AE136</f>
        <v>377.96691044296585</v>
      </c>
      <c r="AF139" s="177">
        <f>((LOOKUP(Semidetached!AF$2,'Ceiling-U'!$A$4:$A$40,'Ceiling-U'!$Z$4:$Z$40)*Semidetached!AF$15)+(LOOKUP(Semidetached!AF$2,'Floor-U'!$A$4:$A$40,'Floor-U'!$G$4:$G$40)*Semidetached!AF$16)+(LOOKUP(Semidetached!AF$2,'Wall-U'!$A$4:$A$40,'Wall-U'!$G$4:$G$40)*Semidetached!AF$13)+(LOOKUP(Semidetached!AF$2,'Window-U'!$A$4:$A$40,'Window-U'!$G$4:$G$40)*Semidetached!AF$22))*AF136</f>
        <v>1076.9266159641138</v>
      </c>
      <c r="AG139" s="177">
        <f>((LOOKUP(Semidetached!AG$2,'Ceiling-U'!$A$4:$A$40,'Ceiling-U'!$Z$4:$Z$40)*Semidetached!AG$15)+(LOOKUP(Semidetached!AG$2,'Floor-U'!$A$4:$A$40,'Floor-U'!$G$4:$G$40)*Semidetached!AG$16)+(LOOKUP(Semidetached!AG$2,'Wall-U'!$A$4:$A$40,'Wall-U'!$G$4:$G$40)*Semidetached!AG$13)+(LOOKUP(Semidetached!AG$2,'Window-U'!$A$4:$A$40,'Window-U'!$G$4:$G$40)*Semidetached!AG$22))*AG136</f>
        <v>1287.5223111750308</v>
      </c>
      <c r="AH139" s="177">
        <f>((LOOKUP(Semidetached!AH$2,'Ceiling-U'!$A$4:$A$40,'Ceiling-U'!$Z$4:$Z$40)*Semidetached!AH$15)+(LOOKUP(Semidetached!AH$2,'Floor-U'!$A$4:$A$40,'Floor-U'!$G$4:$G$40)*Semidetached!AH$16)+(LOOKUP(Semidetached!AH$2,'Wall-U'!$A$4:$A$40,'Wall-U'!$G$4:$G$40)*Semidetached!AH$13)+(LOOKUP(Semidetached!AH$2,'Window-U'!$A$4:$A$40,'Window-U'!$G$4:$G$40)*Semidetached!AH$22))*AH136</f>
        <v>1168.6417270309391</v>
      </c>
      <c r="AI139" s="177">
        <f>((LOOKUP(Semidetached!AI$2,'Ceiling-U'!$A$4:$A$40,'Ceiling-U'!$Z$4:$Z$40)*Semidetached!AI$15)+(LOOKUP(Semidetached!AI$2,'Floor-U'!$A$4:$A$40,'Floor-U'!$G$4:$G$40)*Semidetached!AI$16)+(LOOKUP(Semidetached!AI$2,'Wall-U'!$A$4:$A$40,'Wall-U'!$G$4:$G$40)*Semidetached!AI$13)+(LOOKUP(Semidetached!AI$2,'Window-U'!$A$4:$A$40,'Window-U'!$G$4:$G$40)*Semidetached!AI$22))*AI136</f>
        <v>2081.7456128904146</v>
      </c>
      <c r="AJ139" s="177">
        <f>((LOOKUP(Semidetached!AJ$2,'Ceiling-U'!$A$4:$A$40,'Ceiling-U'!$Z$4:$Z$40)*Semidetached!AJ$15)+(LOOKUP(Semidetached!AJ$2,'Floor-U'!$A$4:$A$40,'Floor-U'!$G$4:$G$40)*Semidetached!AJ$16)+(LOOKUP(Semidetached!AJ$2,'Wall-U'!$A$4:$A$40,'Wall-U'!$G$4:$G$40)*Semidetached!AJ$13)+(LOOKUP(Semidetached!AJ$2,'Window-U'!$A$4:$A$40,'Window-U'!$G$4:$G$40)*Semidetached!AJ$22))*AJ136</f>
        <v>959.77361956463164</v>
      </c>
      <c r="AK139" s="177">
        <f>((LOOKUP(Semidetached!AK$2,'Ceiling-U'!$A$4:$A$40,'Ceiling-U'!$Z$4:$Z$40)*Semidetached!AK$15)+(LOOKUP(Semidetached!AK$2,'Floor-U'!$A$4:$A$40,'Floor-U'!$G$4:$G$40)*Semidetached!AK$16)+(LOOKUP(Semidetached!AK$2,'Wall-U'!$A$4:$A$40,'Wall-U'!$G$4:$G$40)*Semidetached!AK$13)+(LOOKUP(Semidetached!AK$2,'Window-U'!$A$4:$A$40,'Window-U'!$G$4:$G$40)*Semidetached!AK$22))*AK136</f>
        <v>1147.3353931121133</v>
      </c>
      <c r="AL139" s="177">
        <f>((LOOKUP(Semidetached!AL$2,'Ceiling-U'!$A$4:$A$40,'Ceiling-U'!$Z$4:$Z$40)*Semidetached!AL$15)+(LOOKUP(Semidetached!AL$2,'Floor-U'!$A$4:$A$40,'Floor-U'!$G$4:$G$40)*Semidetached!AL$16)+(LOOKUP(Semidetached!AL$2,'Wall-U'!$A$4:$A$40,'Wall-U'!$G$4:$G$40)*Semidetached!AL$13)+(LOOKUP(Semidetached!AL$2,'Window-U'!$A$4:$A$40,'Window-U'!$G$4:$G$40)*Semidetached!AL$22))*AL136</f>
        <v>971.23730167602503</v>
      </c>
      <c r="AM139" s="177">
        <f>((LOOKUP(Semidetached!AM$2,'Ceiling-U'!$A$4:$A$40,'Ceiling-U'!$Z$4:$Z$40)*Semidetached!AM$15)+(LOOKUP(Semidetached!AM$2,'Floor-U'!$A$4:$A$40,'Floor-U'!$G$4:$G$40)*Semidetached!AM$16)+(LOOKUP(Semidetached!AM$2,'Wall-U'!$A$4:$A$40,'Wall-U'!$G$4:$G$40)*Semidetached!AM$13)+(LOOKUP(Semidetached!AM$2,'Window-U'!$A$4:$A$40,'Window-U'!$G$4:$G$40)*Semidetached!AM$22))*AM136</f>
        <v>959.77361956463164</v>
      </c>
      <c r="AN139" s="178">
        <f>((LOOKUP(Semidetached!AN$2,'Ceiling-U'!$A$4:$A$40,'Ceiling-U'!$Z$4:$Z$40)*Semidetached!AN$15)+(LOOKUP(Semidetached!AN$2,'Floor-U'!$A$4:$A$40,'Floor-U'!$G$4:$G$40)*Semidetached!AN$16)+(LOOKUP(Semidetached!AN$2,'Wall-U'!$A$4:$A$40,'Wall-U'!$G$4:$G$40)*Semidetached!AN$13)+(LOOKUP(Semidetached!AN$2,'Window-U'!$A$4:$A$40,'Window-U'!$G$4:$G$40)*Semidetached!AN$22))*AN136</f>
        <v>959.77361956463164</v>
      </c>
    </row>
    <row r="140" spans="1:40">
      <c r="A140" s="372"/>
      <c r="B140" s="142" t="s">
        <v>5</v>
      </c>
      <c r="C140" s="131" t="s">
        <v>195</v>
      </c>
      <c r="D140" s="176">
        <f>((LOOKUP(Semidetached!D$2,'Ceiling-U'!$A$4:$A$40,'Ceiling-U'!$AA$4:$AA$40)*Semidetached!D$15)+(LOOKUP(Semidetached!D$2,'Floor-U'!$A$4:$A$40,'Floor-U'!$H$4:$H$40)*Semidetached!D$16)+(LOOKUP(Semidetached!D$2,'Wall-U'!$A$4:$A$40,'Wall-U'!$H$4:$H$40)*Semidetached!D$13)+(LOOKUP(Semidetached!D$2,'Window-U'!$A$4:$A$40,'Window-U'!$H$4:$H$40)*Semidetached!D$22))*D136</f>
        <v>703.01793986175926</v>
      </c>
      <c r="E140" s="177">
        <f>((LOOKUP(Semidetached!E$2,'Ceiling-U'!$A$4:$A$40,'Ceiling-U'!$AA$4:$AA$40)*Semidetached!E$15)+(LOOKUP(Semidetached!E$2,'Floor-U'!$A$4:$A$40,'Floor-U'!$H$4:$H$40)*Semidetached!E$16)+(LOOKUP(Semidetached!E$2,'Wall-U'!$A$4:$A$40,'Wall-U'!$H$4:$H$40)*Semidetached!E$13)+(LOOKUP(Semidetached!E$2,'Window-U'!$A$4:$A$40,'Window-U'!$H$4:$H$40)*Semidetached!E$22))*E136</f>
        <v>1430.5562378672503</v>
      </c>
      <c r="F140" s="177">
        <f>((LOOKUP(Semidetached!F$2,'Ceiling-U'!$A$4:$A$40,'Ceiling-U'!$AA$4:$AA$40)*Semidetached!F$15)+(LOOKUP(Semidetached!F$2,'Floor-U'!$A$4:$A$40,'Floor-U'!$H$4:$H$40)*Semidetached!F$16)+(LOOKUP(Semidetached!F$2,'Wall-U'!$A$4:$A$40,'Wall-U'!$H$4:$H$40)*Semidetached!F$13)+(LOOKUP(Semidetached!F$2,'Window-U'!$A$4:$A$40,'Window-U'!$H$4:$H$40)*Semidetached!F$22))*F136</f>
        <v>759.90321907236739</v>
      </c>
      <c r="G140" s="177">
        <f>((LOOKUP(Semidetached!G$2,'Ceiling-U'!$A$4:$A$40,'Ceiling-U'!$AA$4:$AA$40)*Semidetached!G$15)+(LOOKUP(Semidetached!G$2,'Floor-U'!$A$4:$A$40,'Floor-U'!$H$4:$H$40)*Semidetached!G$16)+(LOOKUP(Semidetached!G$2,'Wall-U'!$A$4:$A$40,'Wall-U'!$H$4:$H$40)*Semidetached!G$13)+(LOOKUP(Semidetached!G$2,'Window-U'!$A$4:$A$40,'Window-U'!$H$4:$H$40)*Semidetached!G$22))*G136</f>
        <v>724.04395328249257</v>
      </c>
      <c r="H140" s="177">
        <f>((LOOKUP(Semidetached!H$2,'Ceiling-U'!$A$4:$A$40,'Ceiling-U'!$AA$4:$AA$40)*Semidetached!H$15)+(LOOKUP(Semidetached!H$2,'Floor-U'!$A$4:$A$40,'Floor-U'!$H$4:$H$40)*Semidetached!H$16)+(LOOKUP(Semidetached!H$2,'Wall-U'!$A$4:$A$40,'Wall-U'!$H$4:$H$40)*Semidetached!H$13)+(LOOKUP(Semidetached!H$2,'Window-U'!$A$4:$A$40,'Window-U'!$H$4:$H$40)*Semidetached!H$22))*H136</f>
        <v>1775.2029950825986</v>
      </c>
      <c r="I140" s="177">
        <f>((LOOKUP(Semidetached!I$2,'Ceiling-U'!$A$4:$A$40,'Ceiling-U'!$AA$4:$AA$40)*Semidetached!I$15)+(LOOKUP(Semidetached!I$2,'Floor-U'!$A$4:$A$40,'Floor-U'!$H$4:$H$40)*Semidetached!I$16)+(LOOKUP(Semidetached!I$2,'Wall-U'!$A$4:$A$40,'Wall-U'!$H$4:$H$40)*Semidetached!I$13)+(LOOKUP(Semidetached!I$2,'Window-U'!$A$4:$A$40,'Window-U'!$H$4:$H$40)*Semidetached!I$22))*I136</f>
        <v>777.04486096408789</v>
      </c>
      <c r="J140" s="177">
        <f>((LOOKUP(Semidetached!J$2,'Ceiling-U'!$A$4:$A$40,'Ceiling-U'!$AA$4:$AA$40)*Semidetached!J$15)+(LOOKUP(Semidetached!J$2,'Floor-U'!$A$4:$A$40,'Floor-U'!$H$4:$H$40)*Semidetached!J$16)+(LOOKUP(Semidetached!J$2,'Wall-U'!$A$4:$A$40,'Wall-U'!$H$4:$H$40)*Semidetached!J$13)+(LOOKUP(Semidetached!J$2,'Window-U'!$A$4:$A$40,'Window-U'!$H$4:$H$40)*Semidetached!J$22))*J136</f>
        <v>704.8049971668031</v>
      </c>
      <c r="K140" s="177">
        <f>((LOOKUP(Semidetached!K$2,'Ceiling-U'!$A$4:$A$40,'Ceiling-U'!$AA$4:$AA$40)*Semidetached!K$15)+(LOOKUP(Semidetached!K$2,'Floor-U'!$A$4:$A$40,'Floor-U'!$H$4:$H$40)*Semidetached!K$16)+(LOOKUP(Semidetached!K$2,'Wall-U'!$A$4:$A$40,'Wall-U'!$H$4:$H$40)*Semidetached!K$13)+(LOOKUP(Semidetached!K$2,'Window-U'!$A$4:$A$40,'Window-U'!$H$4:$H$40)*Semidetached!K$22))*K136</f>
        <v>473.06370706376191</v>
      </c>
      <c r="L140" s="177">
        <f>((LOOKUP(Semidetached!L$2,'Ceiling-U'!$A$4:$A$40,'Ceiling-U'!$AA$4:$AA$40)*Semidetached!L$15)+(LOOKUP(Semidetached!L$2,'Floor-U'!$A$4:$A$40,'Floor-U'!$H$4:$H$40)*Semidetached!L$16)+(LOOKUP(Semidetached!L$2,'Wall-U'!$A$4:$A$40,'Wall-U'!$H$4:$H$40)*Semidetached!L$13)+(LOOKUP(Semidetached!L$2,'Window-U'!$A$4:$A$40,'Window-U'!$H$4:$H$40)*Semidetached!L$22))*L136</f>
        <v>268.19821498165561</v>
      </c>
      <c r="M140" s="177">
        <f>((LOOKUP(Semidetached!M$2,'Ceiling-U'!$A$4:$A$40,'Ceiling-U'!$AA$4:$AA$40)*Semidetached!M$15)+(LOOKUP(Semidetached!M$2,'Floor-U'!$A$4:$A$40,'Floor-U'!$H$4:$H$40)*Semidetached!M$16)+(LOOKUP(Semidetached!M$2,'Wall-U'!$A$4:$A$40,'Wall-U'!$H$4:$H$40)*Semidetached!M$13)+(LOOKUP(Semidetached!M$2,'Window-U'!$A$4:$A$40,'Window-U'!$H$4:$H$40)*Semidetached!M$22))*M136</f>
        <v>1399.5089955280814</v>
      </c>
      <c r="N140" s="177">
        <f>((LOOKUP(Semidetached!N$2,'Ceiling-U'!$A$4:$A$40,'Ceiling-U'!$AA$4:$AA$40)*Semidetached!N$15)+(LOOKUP(Semidetached!N$2,'Floor-U'!$A$4:$A$40,'Floor-U'!$H$4:$H$40)*Semidetached!N$16)+(LOOKUP(Semidetached!N$2,'Wall-U'!$A$4:$A$40,'Wall-U'!$H$4:$H$40)*Semidetached!N$13)+(LOOKUP(Semidetached!N$2,'Window-U'!$A$4:$A$40,'Window-U'!$H$4:$H$40)*Semidetached!N$22))*N136</f>
        <v>361.75884122371883</v>
      </c>
      <c r="O140" s="177">
        <f>((LOOKUP(Semidetached!O$2,'Ceiling-U'!$A$4:$A$40,'Ceiling-U'!$AA$4:$AA$40)*Semidetached!O$15)+(LOOKUP(Semidetached!O$2,'Floor-U'!$A$4:$A$40,'Floor-U'!$H$4:$H$40)*Semidetached!O$16)+(LOOKUP(Semidetached!O$2,'Wall-U'!$A$4:$A$40,'Wall-U'!$H$4:$H$40)*Semidetached!O$13)+(LOOKUP(Semidetached!O$2,'Window-U'!$A$4:$A$40,'Window-U'!$H$4:$H$40)*Semidetached!O$22))*O136</f>
        <v>920.47786132953536</v>
      </c>
      <c r="P140" s="177">
        <f>((LOOKUP(Semidetached!P$2,'Ceiling-U'!$A$4:$A$40,'Ceiling-U'!$AA$4:$AA$40)*Semidetached!P$15)+(LOOKUP(Semidetached!P$2,'Floor-U'!$A$4:$A$40,'Floor-U'!$H$4:$H$40)*Semidetached!P$16)+(LOOKUP(Semidetached!P$2,'Wall-U'!$A$4:$A$40,'Wall-U'!$H$4:$H$40)*Semidetached!P$13)+(LOOKUP(Semidetached!P$2,'Window-U'!$A$4:$A$40,'Window-U'!$H$4:$H$40)*Semidetached!P$22))*P136</f>
        <v>1373.6692617554361</v>
      </c>
      <c r="Q140" s="177">
        <f>((LOOKUP(Semidetached!Q$2,'Ceiling-U'!$A$4:$A$40,'Ceiling-U'!$AA$4:$AA$40)*Semidetached!Q$15)+(LOOKUP(Semidetached!Q$2,'Floor-U'!$A$4:$A$40,'Floor-U'!$H$4:$H$40)*Semidetached!Q$16)+(LOOKUP(Semidetached!Q$2,'Wall-U'!$A$4:$A$40,'Wall-U'!$H$4:$H$40)*Semidetached!Q$13)+(LOOKUP(Semidetached!Q$2,'Window-U'!$A$4:$A$40,'Window-U'!$H$4:$H$40)*Semidetached!Q$22))*Q136</f>
        <v>892.0072063819598</v>
      </c>
      <c r="R140" s="177">
        <f>((LOOKUP(Semidetached!R$2,'Ceiling-U'!$A$4:$A$40,'Ceiling-U'!$AA$4:$AA$40)*Semidetached!R$15)+(LOOKUP(Semidetached!R$2,'Floor-U'!$A$4:$A$40,'Floor-U'!$H$4:$H$40)*Semidetached!R$16)+(LOOKUP(Semidetached!R$2,'Wall-U'!$A$4:$A$40,'Wall-U'!$H$4:$H$40)*Semidetached!R$13)+(LOOKUP(Semidetached!R$2,'Window-U'!$A$4:$A$40,'Window-U'!$H$4:$H$40)*Semidetached!R$22))*R136</f>
        <v>769.4618536560813</v>
      </c>
      <c r="S140" s="177">
        <f>((LOOKUP(Semidetached!S$2,'Ceiling-U'!$A$4:$A$40,'Ceiling-U'!$AA$4:$AA$40)*Semidetached!S$15)+(LOOKUP(Semidetached!S$2,'Floor-U'!$A$4:$A$40,'Floor-U'!$H$4:$H$40)*Semidetached!S$16)+(LOOKUP(Semidetached!S$2,'Wall-U'!$A$4:$A$40,'Wall-U'!$H$4:$H$40)*Semidetached!S$13)+(LOOKUP(Semidetached!S$2,'Window-U'!$A$4:$A$40,'Window-U'!$H$4:$H$40)*Semidetached!S$22))*S136</f>
        <v>1012.7498384483645</v>
      </c>
      <c r="T140" s="177">
        <f>((LOOKUP(Semidetached!T$2,'Ceiling-U'!$A$4:$A$40,'Ceiling-U'!$AA$4:$AA$40)*Semidetached!T$15)+(LOOKUP(Semidetached!T$2,'Floor-U'!$A$4:$A$40,'Floor-U'!$H$4:$H$40)*Semidetached!T$16)+(LOOKUP(Semidetached!T$2,'Wall-U'!$A$4:$A$40,'Wall-U'!$H$4:$H$40)*Semidetached!T$13)+(LOOKUP(Semidetached!T$2,'Window-U'!$A$4:$A$40,'Window-U'!$H$4:$H$40)*Semidetached!T$22))*T136</f>
        <v>364.13465269003791</v>
      </c>
      <c r="U140" s="177">
        <f>((LOOKUP(Semidetached!U$2,'Ceiling-U'!$A$4:$A$40,'Ceiling-U'!$AA$4:$AA$40)*Semidetached!U$15)+(LOOKUP(Semidetached!U$2,'Floor-U'!$A$4:$A$40,'Floor-U'!$H$4:$H$40)*Semidetached!U$16)+(LOOKUP(Semidetached!U$2,'Wall-U'!$A$4:$A$40,'Wall-U'!$H$4:$H$40)*Semidetached!U$13)+(LOOKUP(Semidetached!U$2,'Window-U'!$A$4:$A$40,'Window-U'!$H$4:$H$40)*Semidetached!U$22))*U136</f>
        <v>1325.8763826994257</v>
      </c>
      <c r="V140" s="177">
        <f>((LOOKUP(Semidetached!V$2,'Ceiling-U'!$A$4:$A$40,'Ceiling-U'!$AA$4:$AA$40)*Semidetached!V$15)+(LOOKUP(Semidetached!V$2,'Floor-U'!$A$4:$A$40,'Floor-U'!$H$4:$H$40)*Semidetached!V$16)+(LOOKUP(Semidetached!V$2,'Wall-U'!$A$4:$A$40,'Wall-U'!$H$4:$H$40)*Semidetached!V$13)+(LOOKUP(Semidetached!V$2,'Window-U'!$A$4:$A$40,'Window-U'!$H$4:$H$40)*Semidetached!V$22))*V136</f>
        <v>569.75823360729441</v>
      </c>
      <c r="W140" s="177">
        <f>((LOOKUP(Semidetached!W$2,'Ceiling-U'!$A$4:$A$40,'Ceiling-U'!$AA$4:$AA$40)*Semidetached!W$15)+(LOOKUP(Semidetached!W$2,'Floor-U'!$A$4:$A$40,'Floor-U'!$H$4:$H$40)*Semidetached!W$16)+(LOOKUP(Semidetached!W$2,'Wall-U'!$A$4:$A$40,'Wall-U'!$H$4:$H$40)*Semidetached!W$13)+(LOOKUP(Semidetached!W$2,'Window-U'!$A$4:$A$40,'Window-U'!$H$4:$H$40)*Semidetached!W$22))*W136</f>
        <v>395.89635692958097</v>
      </c>
      <c r="X140" s="177">
        <f>((LOOKUP(Semidetached!X$2,'Ceiling-U'!$A$4:$A$40,'Ceiling-U'!$AA$4:$AA$40)*Semidetached!X$15)+(LOOKUP(Semidetached!X$2,'Floor-U'!$A$4:$A$40,'Floor-U'!$H$4:$H$40)*Semidetached!X$16)+(LOOKUP(Semidetached!X$2,'Wall-U'!$A$4:$A$40,'Wall-U'!$H$4:$H$40)*Semidetached!X$13)+(LOOKUP(Semidetached!X$2,'Window-U'!$A$4:$A$40,'Window-U'!$H$4:$H$40)*Semidetached!X$22))*X136</f>
        <v>465.60530212801444</v>
      </c>
      <c r="Y140" s="177">
        <f>((LOOKUP(Semidetached!Y$2,'Ceiling-U'!$A$4:$A$40,'Ceiling-U'!$AA$4:$AA$40)*Semidetached!Y$15)+(LOOKUP(Semidetached!Y$2,'Floor-U'!$A$4:$A$40,'Floor-U'!$H$4:$H$40)*Semidetached!Y$16)+(LOOKUP(Semidetached!Y$2,'Wall-U'!$A$4:$A$40,'Wall-U'!$H$4:$H$40)*Semidetached!Y$13)+(LOOKUP(Semidetached!Y$2,'Window-U'!$A$4:$A$40,'Window-U'!$H$4:$H$40)*Semidetached!Y$22))*Y136</f>
        <v>1964.4338748058758</v>
      </c>
      <c r="Z140" s="177">
        <f>((LOOKUP(Semidetached!Z$2,'Ceiling-U'!$A$4:$A$40,'Ceiling-U'!$AA$4:$AA$40)*Semidetached!Z$15)+(LOOKUP(Semidetached!Z$2,'Floor-U'!$A$4:$A$40,'Floor-U'!$H$4:$H$40)*Semidetached!Z$16)+(LOOKUP(Semidetached!Z$2,'Wall-U'!$A$4:$A$40,'Wall-U'!$H$4:$H$40)*Semidetached!Z$13)+(LOOKUP(Semidetached!Z$2,'Window-U'!$A$4:$A$40,'Window-U'!$H$4:$H$40)*Semidetached!Z$22))*Z136</f>
        <v>934.85527112687259</v>
      </c>
      <c r="AA140" s="177">
        <f>((LOOKUP(Semidetached!AA$2,'Ceiling-U'!$A$4:$A$40,'Ceiling-U'!$AA$4:$AA$40)*Semidetached!AA$15)+(LOOKUP(Semidetached!AA$2,'Floor-U'!$A$4:$A$40,'Floor-U'!$H$4:$H$40)*Semidetached!AA$16)+(LOOKUP(Semidetached!AA$2,'Wall-U'!$A$4:$A$40,'Wall-U'!$H$4:$H$40)*Semidetached!AA$13)+(LOOKUP(Semidetached!AA$2,'Window-U'!$A$4:$A$40,'Window-U'!$H$4:$H$40)*Semidetached!AA$22))*AA136</f>
        <v>377.69733630088501</v>
      </c>
      <c r="AB140" s="177">
        <f>((LOOKUP(Semidetached!AB$2,'Ceiling-U'!$A$4:$A$40,'Ceiling-U'!$AA$4:$AA$40)*Semidetached!AB$15)+(LOOKUP(Semidetached!AB$2,'Floor-U'!$A$4:$A$40,'Floor-U'!$H$4:$H$40)*Semidetached!AB$16)+(LOOKUP(Semidetached!AB$2,'Wall-U'!$A$4:$A$40,'Wall-U'!$H$4:$H$40)*Semidetached!AB$13)+(LOOKUP(Semidetached!AB$2,'Window-U'!$A$4:$A$40,'Window-U'!$H$4:$H$40)*Semidetached!AB$22))*AB136</f>
        <v>761.70552947438796</v>
      </c>
      <c r="AC140" s="177">
        <f>((LOOKUP(Semidetached!AC$2,'Ceiling-U'!$A$4:$A$40,'Ceiling-U'!$AA$4:$AA$40)*Semidetached!AC$15)+(LOOKUP(Semidetached!AC$2,'Floor-U'!$A$4:$A$40,'Floor-U'!$H$4:$H$40)*Semidetached!AC$16)+(LOOKUP(Semidetached!AC$2,'Wall-U'!$A$4:$A$40,'Wall-U'!$H$4:$H$40)*Semidetached!AC$13)+(LOOKUP(Semidetached!AC$2,'Window-U'!$A$4:$A$40,'Window-U'!$H$4:$H$40)*Semidetached!AC$22))*AC136</f>
        <v>1784.1216822154167</v>
      </c>
      <c r="AD140" s="177">
        <f>((LOOKUP(Semidetached!AD$2,'Ceiling-U'!$A$4:$A$40,'Ceiling-U'!$AA$4:$AA$40)*Semidetached!AD$15)+(LOOKUP(Semidetached!AD$2,'Floor-U'!$A$4:$A$40,'Floor-U'!$H$4:$H$40)*Semidetached!AD$16)+(LOOKUP(Semidetached!AD$2,'Wall-U'!$A$4:$A$40,'Wall-U'!$H$4:$H$40)*Semidetached!AD$13)+(LOOKUP(Semidetached!AD$2,'Window-U'!$A$4:$A$40,'Window-U'!$H$4:$H$40)*Semidetached!AD$22))*AD136</f>
        <v>946.30152540261247</v>
      </c>
      <c r="AE140" s="177">
        <f>((LOOKUP(Semidetached!AE$2,'Ceiling-U'!$A$4:$A$40,'Ceiling-U'!$AA$4:$AA$40)*Semidetached!AE$15)+(LOOKUP(Semidetached!AE$2,'Floor-U'!$A$4:$A$40,'Floor-U'!$H$4:$H$40)*Semidetached!AE$16)+(LOOKUP(Semidetached!AE$2,'Wall-U'!$A$4:$A$40,'Wall-U'!$H$4:$H$40)*Semidetached!AE$13)+(LOOKUP(Semidetached!AE$2,'Window-U'!$A$4:$A$40,'Window-U'!$H$4:$H$40)*Semidetached!AE$22))*AE136</f>
        <v>373.10691044296584</v>
      </c>
      <c r="AF140" s="177">
        <f>((LOOKUP(Semidetached!AF$2,'Ceiling-U'!$A$4:$A$40,'Ceiling-U'!$AA$4:$AA$40)*Semidetached!AF$15)+(LOOKUP(Semidetached!AF$2,'Floor-U'!$A$4:$A$40,'Floor-U'!$H$4:$H$40)*Semidetached!AF$16)+(LOOKUP(Semidetached!AF$2,'Wall-U'!$A$4:$A$40,'Wall-U'!$H$4:$H$40)*Semidetached!AF$13)+(LOOKUP(Semidetached!AF$2,'Window-U'!$A$4:$A$40,'Window-U'!$H$4:$H$40)*Semidetached!AF$22))*AF136</f>
        <v>782.55157820361194</v>
      </c>
      <c r="AG140" s="177">
        <f>((LOOKUP(Semidetached!AG$2,'Ceiling-U'!$A$4:$A$40,'Ceiling-U'!$AA$4:$AA$40)*Semidetached!AG$15)+(LOOKUP(Semidetached!AG$2,'Floor-U'!$A$4:$A$40,'Floor-U'!$H$4:$H$40)*Semidetached!AG$16)+(LOOKUP(Semidetached!AG$2,'Wall-U'!$A$4:$A$40,'Wall-U'!$H$4:$H$40)*Semidetached!AG$13)+(LOOKUP(Semidetached!AG$2,'Window-U'!$A$4:$A$40,'Window-U'!$H$4:$H$40)*Semidetached!AG$22))*AG136</f>
        <v>1144.2298696388179</v>
      </c>
      <c r="AH140" s="177">
        <f>((LOOKUP(Semidetached!AH$2,'Ceiling-U'!$A$4:$A$40,'Ceiling-U'!$AA$4:$AA$40)*Semidetached!AH$15)+(LOOKUP(Semidetached!AH$2,'Floor-U'!$A$4:$A$40,'Floor-U'!$H$4:$H$40)*Semidetached!AH$16)+(LOOKUP(Semidetached!AH$2,'Wall-U'!$A$4:$A$40,'Wall-U'!$H$4:$H$40)*Semidetached!AH$13)+(LOOKUP(Semidetached!AH$2,'Window-U'!$A$4:$A$40,'Window-U'!$H$4:$H$40)*Semidetached!AH$22))*AH136</f>
        <v>643.13066849300992</v>
      </c>
      <c r="AI140" s="177">
        <f>((LOOKUP(Semidetached!AI$2,'Ceiling-U'!$A$4:$A$40,'Ceiling-U'!$AA$4:$AA$40)*Semidetached!AI$15)+(LOOKUP(Semidetached!AI$2,'Floor-U'!$A$4:$A$40,'Floor-U'!$H$4:$H$40)*Semidetached!AI$16)+(LOOKUP(Semidetached!AI$2,'Wall-U'!$A$4:$A$40,'Wall-U'!$H$4:$H$40)*Semidetached!AI$13)+(LOOKUP(Semidetached!AI$2,'Window-U'!$A$4:$A$40,'Window-U'!$H$4:$H$40)*Semidetached!AI$22))*AI136</f>
        <v>1977.5944392502604</v>
      </c>
      <c r="AJ140" s="177">
        <f>((LOOKUP(Semidetached!AJ$2,'Ceiling-U'!$A$4:$A$40,'Ceiling-U'!$AA$4:$AA$40)*Semidetached!AJ$15)+(LOOKUP(Semidetached!AJ$2,'Floor-U'!$A$4:$A$40,'Floor-U'!$H$4:$H$40)*Semidetached!AJ$16)+(LOOKUP(Semidetached!AJ$2,'Wall-U'!$A$4:$A$40,'Wall-U'!$H$4:$H$40)*Semidetached!AJ$13)+(LOOKUP(Semidetached!AJ$2,'Window-U'!$A$4:$A$40,'Window-U'!$H$4:$H$40)*Semidetached!AJ$22))*AJ136</f>
        <v>850.51623498832203</v>
      </c>
      <c r="AK140" s="177">
        <f>((LOOKUP(Semidetached!AK$2,'Ceiling-U'!$A$4:$A$40,'Ceiling-U'!$AA$4:$AA$40)*Semidetached!AK$15)+(LOOKUP(Semidetached!AK$2,'Floor-U'!$A$4:$A$40,'Floor-U'!$H$4:$H$40)*Semidetached!AK$16)+(LOOKUP(Semidetached!AK$2,'Wall-U'!$A$4:$A$40,'Wall-U'!$H$4:$H$40)*Semidetached!AK$13)+(LOOKUP(Semidetached!AK$2,'Window-U'!$A$4:$A$40,'Window-U'!$H$4:$H$40)*Semidetached!AK$22))*AK136</f>
        <v>1015.8887642897475</v>
      </c>
      <c r="AL140" s="177">
        <f>((LOOKUP(Semidetached!AL$2,'Ceiling-U'!$A$4:$A$40,'Ceiling-U'!$AA$4:$AA$40)*Semidetached!AL$15)+(LOOKUP(Semidetached!AL$2,'Floor-U'!$A$4:$A$40,'Floor-U'!$H$4:$H$40)*Semidetached!AL$16)+(LOOKUP(Semidetached!AL$2,'Wall-U'!$A$4:$A$40,'Wall-U'!$H$4:$H$40)*Semidetached!AL$13)+(LOOKUP(Semidetached!AL$2,'Window-U'!$A$4:$A$40,'Window-U'!$H$4:$H$40)*Semidetached!AL$22))*AL136</f>
        <v>793.34441383605099</v>
      </c>
      <c r="AM140" s="177">
        <f>((LOOKUP(Semidetached!AM$2,'Ceiling-U'!$A$4:$A$40,'Ceiling-U'!$AA$4:$AA$40)*Semidetached!AM$15)+(LOOKUP(Semidetached!AM$2,'Floor-U'!$A$4:$A$40,'Floor-U'!$H$4:$H$40)*Semidetached!AM$16)+(LOOKUP(Semidetached!AM$2,'Wall-U'!$A$4:$A$40,'Wall-U'!$H$4:$H$40)*Semidetached!AM$13)+(LOOKUP(Semidetached!AM$2,'Window-U'!$A$4:$A$40,'Window-U'!$H$4:$H$40)*Semidetached!AM$22))*AM136</f>
        <v>850.51623498832203</v>
      </c>
      <c r="AN140" s="178">
        <f>((LOOKUP(Semidetached!AN$2,'Ceiling-U'!$A$4:$A$40,'Ceiling-U'!$AA$4:$AA$40)*Semidetached!AN$15)+(LOOKUP(Semidetached!AN$2,'Floor-U'!$A$4:$A$40,'Floor-U'!$H$4:$H$40)*Semidetached!AN$16)+(LOOKUP(Semidetached!AN$2,'Wall-U'!$A$4:$A$40,'Wall-U'!$H$4:$H$40)*Semidetached!AN$13)+(LOOKUP(Semidetached!AN$2,'Window-U'!$A$4:$A$40,'Window-U'!$H$4:$H$40)*Semidetached!AN$22))*AN136</f>
        <v>850.51623498832203</v>
      </c>
    </row>
    <row r="141" spans="1:40">
      <c r="A141" s="372"/>
      <c r="B141" s="142" t="s">
        <v>6</v>
      </c>
      <c r="C141" s="131" t="s">
        <v>195</v>
      </c>
      <c r="D141" s="176">
        <f>((LOOKUP(Semidetached!D$2,'Ceiling-U'!$A$4:$A$40,'Ceiling-U'!$AB$4:$AB$40)*Semidetached!D$15)+(LOOKUP(Semidetached!D$2,'Floor-U'!$A$4:$A$40,'Floor-U'!$I$4:$I$40)*Semidetached!D$16)+(LOOKUP(Semidetached!D$2,'Wall-U'!$A$4:$A$40,'Wall-U'!$I$4:$I$40)*Semidetached!D$13)+(LOOKUP(Semidetached!D$2,'Window-U'!$A$4:$A$40,'Window-U'!$I$4:$I$40)*Semidetached!D$22))*D136</f>
        <v>576.40770076482249</v>
      </c>
      <c r="E141" s="177">
        <f>((LOOKUP(Semidetached!E$2,'Ceiling-U'!$A$4:$A$40,'Ceiling-U'!$AB$4:$AB$40)*Semidetached!E$15)+(LOOKUP(Semidetached!E$2,'Floor-U'!$A$4:$A$40,'Floor-U'!$I$4:$I$40)*Semidetached!E$16)+(LOOKUP(Semidetached!E$2,'Wall-U'!$A$4:$A$40,'Wall-U'!$I$4:$I$40)*Semidetached!E$13)+(LOOKUP(Semidetached!E$2,'Window-U'!$A$4:$A$40,'Window-U'!$I$4:$I$40)*Semidetached!E$22))*E136</f>
        <v>1430.5562378672503</v>
      </c>
      <c r="F141" s="177">
        <f>((LOOKUP(Semidetached!F$2,'Ceiling-U'!$A$4:$A$40,'Ceiling-U'!$AB$4:$AB$40)*Semidetached!F$15)+(LOOKUP(Semidetached!F$2,'Floor-U'!$A$4:$A$40,'Floor-U'!$I$4:$I$40)*Semidetached!F$16)+(LOOKUP(Semidetached!F$2,'Wall-U'!$A$4:$A$40,'Wall-U'!$I$4:$I$40)*Semidetached!F$13)+(LOOKUP(Semidetached!F$2,'Window-U'!$A$4:$A$40,'Window-U'!$I$4:$I$40)*Semidetached!F$22))*F136</f>
        <v>617.9252769133368</v>
      </c>
      <c r="G141" s="177">
        <f>((LOOKUP(Semidetached!G$2,'Ceiling-U'!$A$4:$A$40,'Ceiling-U'!$AB$4:$AB$40)*Semidetached!G$15)+(LOOKUP(Semidetached!G$2,'Floor-U'!$A$4:$A$40,'Floor-U'!$I$4:$I$40)*Semidetached!G$16)+(LOOKUP(Semidetached!G$2,'Wall-U'!$A$4:$A$40,'Wall-U'!$I$4:$I$40)*Semidetached!G$13)+(LOOKUP(Semidetached!G$2,'Window-U'!$A$4:$A$40,'Window-U'!$I$4:$I$40)*Semidetached!G$22))*G136</f>
        <v>593.71944337382126</v>
      </c>
      <c r="H141" s="177">
        <f>((LOOKUP(Semidetached!H$2,'Ceiling-U'!$A$4:$A$40,'Ceiling-U'!$AB$4:$AB$40)*Semidetached!H$15)+(LOOKUP(Semidetached!H$2,'Floor-U'!$A$4:$A$40,'Floor-U'!$I$4:$I$40)*Semidetached!H$16)+(LOOKUP(Semidetached!H$2,'Wall-U'!$A$4:$A$40,'Wall-U'!$I$4:$I$40)*Semidetached!H$13)+(LOOKUP(Semidetached!H$2,'Window-U'!$A$4:$A$40,'Window-U'!$I$4:$I$40)*Semidetached!H$22))*H136</f>
        <v>1548.4029950825986</v>
      </c>
      <c r="I141" s="177">
        <f>((LOOKUP(Semidetached!I$2,'Ceiling-U'!$A$4:$A$40,'Ceiling-U'!$AB$4:$AB$40)*Semidetached!I$15)+(LOOKUP(Semidetached!I$2,'Floor-U'!$A$4:$A$40,'Floor-U'!$I$4:$I$40)*Semidetached!I$16)+(LOOKUP(Semidetached!I$2,'Wall-U'!$A$4:$A$40,'Wall-U'!$I$4:$I$40)*Semidetached!I$13)+(LOOKUP(Semidetached!I$2,'Window-U'!$A$4:$A$40,'Window-U'!$I$4:$I$40)*Semidetached!I$22))*I136</f>
        <v>567.60552844100926</v>
      </c>
      <c r="J141" s="177">
        <f>((LOOKUP(Semidetached!J$2,'Ceiling-U'!$A$4:$A$40,'Ceiling-U'!$AB$4:$AB$40)*Semidetached!J$15)+(LOOKUP(Semidetached!J$2,'Floor-U'!$A$4:$A$40,'Floor-U'!$I$4:$I$40)*Semidetached!J$16)+(LOOKUP(Semidetached!J$2,'Wall-U'!$A$4:$A$40,'Wall-U'!$I$4:$I$40)*Semidetached!J$13)+(LOOKUP(Semidetached!J$2,'Window-U'!$A$4:$A$40,'Window-U'!$I$4:$I$40)*Semidetached!J$22))*J136</f>
        <v>378.39107404443894</v>
      </c>
      <c r="K141" s="177">
        <f>((LOOKUP(Semidetached!K$2,'Ceiling-U'!$A$4:$A$40,'Ceiling-U'!$AB$4:$AB$40)*Semidetached!K$15)+(LOOKUP(Semidetached!K$2,'Floor-U'!$A$4:$A$40,'Floor-U'!$I$4:$I$40)*Semidetached!K$16)+(LOOKUP(Semidetached!K$2,'Wall-U'!$A$4:$A$40,'Wall-U'!$I$4:$I$40)*Semidetached!K$13)+(LOOKUP(Semidetached!K$2,'Window-U'!$A$4:$A$40,'Window-U'!$I$4:$I$40)*Semidetached!K$22))*K136</f>
        <v>473.06370706376191</v>
      </c>
      <c r="L141" s="177">
        <f>((LOOKUP(Semidetached!L$2,'Ceiling-U'!$A$4:$A$40,'Ceiling-U'!$AB$4:$AB$40)*Semidetached!L$15)+(LOOKUP(Semidetached!L$2,'Floor-U'!$A$4:$A$40,'Floor-U'!$I$4:$I$40)*Semidetached!L$16)+(LOOKUP(Semidetached!L$2,'Wall-U'!$A$4:$A$40,'Wall-U'!$I$4:$I$40)*Semidetached!L$13)+(LOOKUP(Semidetached!L$2,'Window-U'!$A$4:$A$40,'Window-U'!$I$4:$I$40)*Semidetached!L$22))*L136</f>
        <v>226.08722518340642</v>
      </c>
      <c r="M141" s="177">
        <f>((LOOKUP(Semidetached!M$2,'Ceiling-U'!$A$4:$A$40,'Ceiling-U'!$AB$4:$AB$40)*Semidetached!M$15)+(LOOKUP(Semidetached!M$2,'Floor-U'!$A$4:$A$40,'Floor-U'!$I$4:$I$40)*Semidetached!M$16)+(LOOKUP(Semidetached!M$2,'Wall-U'!$A$4:$A$40,'Wall-U'!$I$4:$I$40)*Semidetached!M$13)+(LOOKUP(Semidetached!M$2,'Window-U'!$A$4:$A$40,'Window-U'!$I$4:$I$40)*Semidetached!M$22))*M136</f>
        <v>1399.5089955280814</v>
      </c>
      <c r="N141" s="177">
        <f>((LOOKUP(Semidetached!N$2,'Ceiling-U'!$A$4:$A$40,'Ceiling-U'!$AB$4:$AB$40)*Semidetached!N$15)+(LOOKUP(Semidetached!N$2,'Floor-U'!$A$4:$A$40,'Floor-U'!$I$4:$I$40)*Semidetached!N$16)+(LOOKUP(Semidetached!N$2,'Wall-U'!$A$4:$A$40,'Wall-U'!$I$4:$I$40)*Semidetached!N$13)+(LOOKUP(Semidetached!N$2,'Window-U'!$A$4:$A$40,'Window-U'!$I$4:$I$40)*Semidetached!N$22))*N136</f>
        <v>356.07381580563958</v>
      </c>
      <c r="O141" s="177">
        <f>((LOOKUP(Semidetached!O$2,'Ceiling-U'!$A$4:$A$40,'Ceiling-U'!$AB$4:$AB$40)*Semidetached!O$15)+(LOOKUP(Semidetached!O$2,'Floor-U'!$A$4:$A$40,'Floor-U'!$I$4:$I$40)*Semidetached!O$16)+(LOOKUP(Semidetached!O$2,'Wall-U'!$A$4:$A$40,'Wall-U'!$I$4:$I$40)*Semidetached!O$13)+(LOOKUP(Semidetached!O$2,'Window-U'!$A$4:$A$40,'Window-U'!$I$4:$I$40)*Semidetached!O$22))*O136</f>
        <v>487.1918270983993</v>
      </c>
      <c r="P141" s="177">
        <f>((LOOKUP(Semidetached!P$2,'Ceiling-U'!$A$4:$A$40,'Ceiling-U'!$AB$4:$AB$40)*Semidetached!P$15)+(LOOKUP(Semidetached!P$2,'Floor-U'!$A$4:$A$40,'Floor-U'!$I$4:$I$40)*Semidetached!P$16)+(LOOKUP(Semidetached!P$2,'Wall-U'!$A$4:$A$40,'Wall-U'!$I$4:$I$40)*Semidetached!P$13)+(LOOKUP(Semidetached!P$2,'Window-U'!$A$4:$A$40,'Window-U'!$I$4:$I$40)*Semidetached!P$22))*P136</f>
        <v>1373.6692617554361</v>
      </c>
      <c r="Q141" s="177">
        <f>((LOOKUP(Semidetached!Q$2,'Ceiling-U'!$A$4:$A$40,'Ceiling-U'!$AB$4:$AB$40)*Semidetached!Q$15)+(LOOKUP(Semidetached!Q$2,'Floor-U'!$A$4:$A$40,'Floor-U'!$I$4:$I$40)*Semidetached!Q$16)+(LOOKUP(Semidetached!Q$2,'Wall-U'!$A$4:$A$40,'Wall-U'!$I$4:$I$40)*Semidetached!Q$13)+(LOOKUP(Semidetached!Q$2,'Window-U'!$A$4:$A$40,'Window-U'!$I$4:$I$40)*Semidetached!Q$22))*Q136</f>
        <v>621.876396418882</v>
      </c>
      <c r="R141" s="177">
        <f>((LOOKUP(Semidetached!R$2,'Ceiling-U'!$A$4:$A$40,'Ceiling-U'!$AB$4:$AB$40)*Semidetached!R$15)+(LOOKUP(Semidetached!R$2,'Floor-U'!$A$4:$A$40,'Floor-U'!$I$4:$I$40)*Semidetached!R$16)+(LOOKUP(Semidetached!R$2,'Wall-U'!$A$4:$A$40,'Wall-U'!$I$4:$I$40)*Semidetached!R$13)+(LOOKUP(Semidetached!R$2,'Window-U'!$A$4:$A$40,'Window-U'!$I$4:$I$40)*Semidetached!R$22))*R136</f>
        <v>769.4618536560813</v>
      </c>
      <c r="S141" s="177">
        <f>((LOOKUP(Semidetached!S$2,'Ceiling-U'!$A$4:$A$40,'Ceiling-U'!$AB$4:$AB$40)*Semidetached!S$15)+(LOOKUP(Semidetached!S$2,'Floor-U'!$A$4:$A$40,'Floor-U'!$I$4:$I$40)*Semidetached!S$16)+(LOOKUP(Semidetached!S$2,'Wall-U'!$A$4:$A$40,'Wall-U'!$I$4:$I$40)*Semidetached!S$13)+(LOOKUP(Semidetached!S$2,'Window-U'!$A$4:$A$40,'Window-U'!$I$4:$I$40)*Semidetached!S$22))*S136</f>
        <v>830.60257882677217</v>
      </c>
      <c r="T141" s="177">
        <f>((LOOKUP(Semidetached!T$2,'Ceiling-U'!$A$4:$A$40,'Ceiling-U'!$AB$4:$AB$40)*Semidetached!T$15)+(LOOKUP(Semidetached!T$2,'Floor-U'!$A$4:$A$40,'Floor-U'!$I$4:$I$40)*Semidetached!T$16)+(LOOKUP(Semidetached!T$2,'Wall-U'!$A$4:$A$40,'Wall-U'!$I$4:$I$40)*Semidetached!T$13)+(LOOKUP(Semidetached!T$2,'Window-U'!$A$4:$A$40,'Window-U'!$I$4:$I$40)*Semidetached!T$22))*T136</f>
        <v>358.39636803052139</v>
      </c>
      <c r="U141" s="177">
        <f>((LOOKUP(Semidetached!U$2,'Ceiling-U'!$A$4:$A$40,'Ceiling-U'!$AB$4:$AB$40)*Semidetached!U$15)+(LOOKUP(Semidetached!U$2,'Floor-U'!$A$4:$A$40,'Floor-U'!$I$4:$I$40)*Semidetached!U$16)+(LOOKUP(Semidetached!U$2,'Wall-U'!$A$4:$A$40,'Wall-U'!$I$4:$I$40)*Semidetached!U$13)+(LOOKUP(Semidetached!U$2,'Window-U'!$A$4:$A$40,'Window-U'!$I$4:$I$40)*Semidetached!U$22))*U136</f>
        <v>1242.6620947954498</v>
      </c>
      <c r="V141" s="177">
        <f>((LOOKUP(Semidetached!V$2,'Ceiling-U'!$A$4:$A$40,'Ceiling-U'!$AB$4:$AB$40)*Semidetached!V$15)+(LOOKUP(Semidetached!V$2,'Floor-U'!$A$4:$A$40,'Floor-U'!$I$4:$I$40)*Semidetached!V$16)+(LOOKUP(Semidetached!V$2,'Wall-U'!$A$4:$A$40,'Wall-U'!$I$4:$I$40)*Semidetached!V$13)+(LOOKUP(Semidetached!V$2,'Window-U'!$A$4:$A$40,'Window-U'!$I$4:$I$40)*Semidetached!V$22))*V136</f>
        <v>569.75823360729441</v>
      </c>
      <c r="W141" s="177">
        <f>((LOOKUP(Semidetached!W$2,'Ceiling-U'!$A$4:$A$40,'Ceiling-U'!$AB$4:$AB$40)*Semidetached!W$15)+(LOOKUP(Semidetached!W$2,'Floor-U'!$A$4:$A$40,'Floor-U'!$I$4:$I$40)*Semidetached!W$16)+(LOOKUP(Semidetached!W$2,'Wall-U'!$A$4:$A$40,'Wall-U'!$I$4:$I$40)*Semidetached!W$13)+(LOOKUP(Semidetached!W$2,'Window-U'!$A$4:$A$40,'Window-U'!$I$4:$I$40)*Semidetached!W$22))*W136</f>
        <v>334.89400257656968</v>
      </c>
      <c r="X141" s="177">
        <f>((LOOKUP(Semidetached!X$2,'Ceiling-U'!$A$4:$A$40,'Ceiling-U'!$AB$4:$AB$40)*Semidetached!X$15)+(LOOKUP(Semidetached!X$2,'Floor-U'!$A$4:$A$40,'Floor-U'!$I$4:$I$40)*Semidetached!X$16)+(LOOKUP(Semidetached!X$2,'Wall-U'!$A$4:$A$40,'Wall-U'!$I$4:$I$40)*Semidetached!X$13)+(LOOKUP(Semidetached!X$2,'Window-U'!$A$4:$A$40,'Window-U'!$I$4:$I$40)*Semidetached!X$22))*X136</f>
        <v>463.86596657708776</v>
      </c>
      <c r="Y141" s="177">
        <f>((LOOKUP(Semidetached!Y$2,'Ceiling-U'!$A$4:$A$40,'Ceiling-U'!$AB$4:$AB$40)*Semidetached!Y$15)+(LOOKUP(Semidetached!Y$2,'Floor-U'!$A$4:$A$40,'Floor-U'!$I$4:$I$40)*Semidetached!Y$16)+(LOOKUP(Semidetached!Y$2,'Wall-U'!$A$4:$A$40,'Wall-U'!$I$4:$I$40)*Semidetached!Y$13)+(LOOKUP(Semidetached!Y$2,'Window-U'!$A$4:$A$40,'Window-U'!$I$4:$I$40)*Semidetached!Y$22))*Y136</f>
        <v>1963.514198374216</v>
      </c>
      <c r="Z141" s="177">
        <f>((LOOKUP(Semidetached!Z$2,'Ceiling-U'!$A$4:$A$40,'Ceiling-U'!$AB$4:$AB$40)*Semidetached!Z$15)+(LOOKUP(Semidetached!Z$2,'Floor-U'!$A$4:$A$40,'Floor-U'!$I$4:$I$40)*Semidetached!Z$16)+(LOOKUP(Semidetached!Z$2,'Wall-U'!$A$4:$A$40,'Wall-U'!$I$4:$I$40)*Semidetached!Z$13)+(LOOKUP(Semidetached!Z$2,'Window-U'!$A$4:$A$40,'Window-U'!$I$4:$I$40)*Semidetached!Z$22))*Z136</f>
        <v>834.70501686582463</v>
      </c>
      <c r="AA141" s="177">
        <f>((LOOKUP(Semidetached!AA$2,'Ceiling-U'!$A$4:$A$40,'Ceiling-U'!$AB$4:$AB$40)*Semidetached!AA$15)+(LOOKUP(Semidetached!AA$2,'Floor-U'!$A$4:$A$40,'Floor-U'!$I$4:$I$40)*Semidetached!AA$16)+(LOOKUP(Semidetached!AA$2,'Wall-U'!$A$4:$A$40,'Wall-U'!$I$4:$I$40)*Semidetached!AA$13)+(LOOKUP(Semidetached!AA$2,'Window-U'!$A$4:$A$40,'Window-U'!$I$4:$I$40)*Semidetached!AA$22))*AA136</f>
        <v>333.85476582545738</v>
      </c>
      <c r="AB141" s="177">
        <f>((LOOKUP(Semidetached!AB$2,'Ceiling-U'!$A$4:$A$40,'Ceiling-U'!$AB$4:$AB$40)*Semidetached!AB$15)+(LOOKUP(Semidetached!AB$2,'Floor-U'!$A$4:$A$40,'Floor-U'!$I$4:$I$40)*Semidetached!AB$16)+(LOOKUP(Semidetached!AB$2,'Wall-U'!$A$4:$A$40,'Wall-U'!$I$4:$I$40)*Semidetached!AB$13)+(LOOKUP(Semidetached!AB$2,'Window-U'!$A$4:$A$40,'Window-U'!$I$4:$I$40)*Semidetached!AB$22))*AB136</f>
        <v>761.70552947438796</v>
      </c>
      <c r="AC141" s="177">
        <f>((LOOKUP(Semidetached!AC$2,'Ceiling-U'!$A$4:$A$40,'Ceiling-U'!$AB$4:$AB$40)*Semidetached!AC$15)+(LOOKUP(Semidetached!AC$2,'Floor-U'!$A$4:$A$40,'Floor-U'!$I$4:$I$40)*Semidetached!AC$16)+(LOOKUP(Semidetached!AC$2,'Wall-U'!$A$4:$A$40,'Wall-U'!$I$4:$I$40)*Semidetached!AC$13)+(LOOKUP(Semidetached!AC$2,'Window-U'!$A$4:$A$40,'Window-U'!$I$4:$I$40)*Semidetached!AC$22))*AC136</f>
        <v>1635.3047524020119</v>
      </c>
      <c r="AD141" s="177">
        <f>((LOOKUP(Semidetached!AD$2,'Ceiling-U'!$A$4:$A$40,'Ceiling-U'!$AB$4:$AB$40)*Semidetached!AD$15)+(LOOKUP(Semidetached!AD$2,'Floor-U'!$A$4:$A$40,'Floor-U'!$I$4:$I$40)*Semidetached!AD$16)+(LOOKUP(Semidetached!AD$2,'Wall-U'!$A$4:$A$40,'Wall-U'!$I$4:$I$40)*Semidetached!AD$13)+(LOOKUP(Semidetached!AD$2,'Window-U'!$A$4:$A$40,'Window-U'!$I$4:$I$40)*Semidetached!AD$22))*AD136</f>
        <v>946.30152540261247</v>
      </c>
      <c r="AE141" s="177">
        <f>((LOOKUP(Semidetached!AE$2,'Ceiling-U'!$A$4:$A$40,'Ceiling-U'!$AB$4:$AB$40)*Semidetached!AE$15)+(LOOKUP(Semidetached!AE$2,'Floor-U'!$A$4:$A$40,'Floor-U'!$I$4:$I$40)*Semidetached!AE$16)+(LOOKUP(Semidetached!AE$2,'Wall-U'!$A$4:$A$40,'Wall-U'!$I$4:$I$40)*Semidetached!AE$13)+(LOOKUP(Semidetached!AE$2,'Window-U'!$A$4:$A$40,'Window-U'!$I$4:$I$40)*Semidetached!AE$22))*AE136</f>
        <v>329.90810339958364</v>
      </c>
      <c r="AF141" s="177">
        <f>((LOOKUP(Semidetached!AF$2,'Ceiling-U'!$A$4:$A$40,'Ceiling-U'!$AB$4:$AB$40)*Semidetached!AF$15)+(LOOKUP(Semidetached!AF$2,'Floor-U'!$A$4:$A$40,'Floor-U'!$I$4:$I$40)*Semidetached!AF$16)+(LOOKUP(Semidetached!AF$2,'Wall-U'!$A$4:$A$40,'Wall-U'!$I$4:$I$40)*Semidetached!AF$13)+(LOOKUP(Semidetached!AF$2,'Window-U'!$A$4:$A$40,'Window-U'!$I$4:$I$40)*Semidetached!AF$22))*AF136</f>
        <v>550.70676783213594</v>
      </c>
      <c r="AG141" s="177">
        <f>((LOOKUP(Semidetached!AG$2,'Ceiling-U'!$A$4:$A$40,'Ceiling-U'!$AB$4:$AB$40)*Semidetached!AG$15)+(LOOKUP(Semidetached!AG$2,'Floor-U'!$A$4:$A$40,'Floor-U'!$I$4:$I$40)*Semidetached!AG$16)+(LOOKUP(Semidetached!AG$2,'Wall-U'!$A$4:$A$40,'Wall-U'!$I$4:$I$40)*Semidetached!AG$13)+(LOOKUP(Semidetached!AG$2,'Window-U'!$A$4:$A$40,'Window-U'!$I$4:$I$40)*Semidetached!AG$22))*AG136</f>
        <v>1072.0132666120437</v>
      </c>
      <c r="AH141" s="177">
        <f>((LOOKUP(Semidetached!AH$2,'Ceiling-U'!$A$4:$A$40,'Ceiling-U'!$AB$4:$AB$40)*Semidetached!AH$15)+(LOOKUP(Semidetached!AH$2,'Floor-U'!$A$4:$A$40,'Floor-U'!$I$4:$I$40)*Semidetached!AH$16)+(LOOKUP(Semidetached!AH$2,'Wall-U'!$A$4:$A$40,'Wall-U'!$I$4:$I$40)*Semidetached!AH$13)+(LOOKUP(Semidetached!AH$2,'Window-U'!$A$4:$A$40,'Window-U'!$I$4:$I$40)*Semidetached!AH$22))*AH136</f>
        <v>487.1834495417196</v>
      </c>
      <c r="AI141" s="177">
        <f>((LOOKUP(Semidetached!AI$2,'Ceiling-U'!$A$4:$A$40,'Ceiling-U'!$AB$4:$AB$40)*Semidetached!AI$15)+(LOOKUP(Semidetached!AI$2,'Floor-U'!$A$4:$A$40,'Floor-U'!$I$4:$I$40)*Semidetached!AI$16)+(LOOKUP(Semidetached!AI$2,'Wall-U'!$A$4:$A$40,'Wall-U'!$I$4:$I$40)*Semidetached!AI$13)+(LOOKUP(Semidetached!AI$2,'Window-U'!$A$4:$A$40,'Window-U'!$I$4:$I$40)*Semidetached!AI$22))*AI136</f>
        <v>1977.5944392502604</v>
      </c>
      <c r="AJ141" s="177">
        <f>((LOOKUP(Semidetached!AJ$2,'Ceiling-U'!$A$4:$A$40,'Ceiling-U'!$AB$4:$AB$40)*Semidetached!AJ$15)+(LOOKUP(Semidetached!AJ$2,'Floor-U'!$A$4:$A$40,'Floor-U'!$I$4:$I$40)*Semidetached!AJ$16)+(LOOKUP(Semidetached!AJ$2,'Wall-U'!$A$4:$A$40,'Wall-U'!$I$4:$I$40)*Semidetached!AJ$13)+(LOOKUP(Semidetached!AJ$2,'Window-U'!$A$4:$A$40,'Window-U'!$I$4:$I$40)*Semidetached!AJ$22))*AJ136</f>
        <v>813.73377605972917</v>
      </c>
      <c r="AK141" s="177">
        <f>((LOOKUP(Semidetached!AK$2,'Ceiling-U'!$A$4:$A$40,'Ceiling-U'!$AB$4:$AB$40)*Semidetached!AK$15)+(LOOKUP(Semidetached!AK$2,'Floor-U'!$A$4:$A$40,'Floor-U'!$I$4:$I$40)*Semidetached!AK$16)+(LOOKUP(Semidetached!AK$2,'Wall-U'!$A$4:$A$40,'Wall-U'!$I$4:$I$40)*Semidetached!AK$13)+(LOOKUP(Semidetached!AK$2,'Window-U'!$A$4:$A$40,'Window-U'!$I$4:$I$40)*Semidetached!AK$22))*AK136</f>
        <v>970.77608681990432</v>
      </c>
      <c r="AL141" s="177">
        <f>((LOOKUP(Semidetached!AL$2,'Ceiling-U'!$A$4:$A$40,'Ceiling-U'!$AB$4:$AB$40)*Semidetached!AL$15)+(LOOKUP(Semidetached!AL$2,'Floor-U'!$A$4:$A$40,'Floor-U'!$I$4:$I$40)*Semidetached!AL$16)+(LOOKUP(Semidetached!AL$2,'Wall-U'!$A$4:$A$40,'Wall-U'!$I$4:$I$40)*Semidetached!AL$13)+(LOOKUP(Semidetached!AL$2,'Window-U'!$A$4:$A$40,'Window-U'!$I$4:$I$40)*Semidetached!AL$22))*AL136</f>
        <v>643.48677790683246</v>
      </c>
      <c r="AM141" s="177">
        <f>((LOOKUP(Semidetached!AM$2,'Ceiling-U'!$A$4:$A$40,'Ceiling-U'!$AB$4:$AB$40)*Semidetached!AM$15)+(LOOKUP(Semidetached!AM$2,'Floor-U'!$A$4:$A$40,'Floor-U'!$I$4:$I$40)*Semidetached!AM$16)+(LOOKUP(Semidetached!AM$2,'Wall-U'!$A$4:$A$40,'Wall-U'!$I$4:$I$40)*Semidetached!AM$13)+(LOOKUP(Semidetached!AM$2,'Window-U'!$A$4:$A$40,'Window-U'!$I$4:$I$40)*Semidetached!AM$22))*AM136</f>
        <v>813.73377605972917</v>
      </c>
      <c r="AN141" s="178">
        <f>((LOOKUP(Semidetached!AN$2,'Ceiling-U'!$A$4:$A$40,'Ceiling-U'!$AB$4:$AB$40)*Semidetached!AN$15)+(LOOKUP(Semidetached!AN$2,'Floor-U'!$A$4:$A$40,'Floor-U'!$I$4:$I$40)*Semidetached!AN$16)+(LOOKUP(Semidetached!AN$2,'Wall-U'!$A$4:$A$40,'Wall-U'!$I$4:$I$40)*Semidetached!AN$13)+(LOOKUP(Semidetached!AN$2,'Window-U'!$A$4:$A$40,'Window-U'!$I$4:$I$40)*Semidetached!AN$22))*AN136</f>
        <v>813.73377605972917</v>
      </c>
    </row>
    <row r="142" spans="1:40">
      <c r="A142" s="373"/>
      <c r="B142" s="374" t="s">
        <v>7</v>
      </c>
      <c r="C142" s="131" t="s">
        <v>195</v>
      </c>
      <c r="D142" s="176">
        <f>((LOOKUP(Semidetached!D$2,'Ceiling-U'!$A$4:$A$40,'Ceiling-U'!$AC$4:$AC$40)*Semidetached!D$15)+(LOOKUP(Semidetached!D$2,'Floor-U'!$A$4:$A$40,'Floor-U'!$J$4:$J$40)*Semidetached!D$16)+(LOOKUP(Semidetached!D$2,'Wall-U'!$A$4:$A$40,'Wall-U'!$J$4:$J$40)*Semidetached!D$13)+(LOOKUP(Semidetached!D$2,'Window-U'!$A$4:$A$40,'Window-U'!$J$4:$J$40)*Semidetached!D$22))*D136</f>
        <v>502.92046398802677</v>
      </c>
      <c r="E142" s="174">
        <f>((LOOKUP(Semidetached!E$2,'Ceiling-U'!$A$4:$A$40,'Ceiling-U'!$AC$4:$AC$40)*Semidetached!E$15)+(LOOKUP(Semidetached!E$2,'Floor-U'!$A$4:$A$40,'Floor-U'!$J$4:$J$40)*Semidetached!E$16)+(LOOKUP(Semidetached!E$2,'Wall-U'!$A$4:$A$40,'Wall-U'!$J$4:$J$40)*Semidetached!E$13)+(LOOKUP(Semidetached!E$2,'Window-U'!$A$4:$A$40,'Window-U'!$J$4:$J$40)*Semidetached!E$22))*E136</f>
        <v>825.88456215257338</v>
      </c>
      <c r="F142" s="174">
        <f>((LOOKUP(Semidetached!F$2,'Ceiling-U'!$A$4:$A$40,'Ceiling-U'!$AC$4:$AC$40)*Semidetached!F$15)+(LOOKUP(Semidetached!F$2,'Floor-U'!$A$4:$A$40,'Floor-U'!$J$4:$J$40)*Semidetached!F$16)+(LOOKUP(Semidetached!F$2,'Wall-U'!$A$4:$A$40,'Wall-U'!$J$4:$J$40)*Semidetached!F$13)+(LOOKUP(Semidetached!F$2,'Window-U'!$A$4:$A$40,'Window-U'!$J$4:$J$40)*Semidetached!F$22))*F136</f>
        <v>399.79837418909403</v>
      </c>
      <c r="G142" s="174">
        <f>((LOOKUP(Semidetached!G$2,'Ceiling-U'!$A$4:$A$40,'Ceiling-U'!$AC$4:$AC$40)*Semidetached!G$15)+(LOOKUP(Semidetached!G$2,'Floor-U'!$A$4:$A$40,'Floor-U'!$J$4:$J$40)*Semidetached!G$16)+(LOOKUP(Semidetached!G$2,'Wall-U'!$A$4:$A$40,'Wall-U'!$J$4:$J$40)*Semidetached!G$13)+(LOOKUP(Semidetached!G$2,'Window-U'!$A$4:$A$40,'Window-U'!$J$4:$J$40)*Semidetached!G$22))*G136</f>
        <v>517.59587623522884</v>
      </c>
      <c r="H142" s="174">
        <f>((LOOKUP(Semidetached!H$2,'Ceiling-U'!$A$4:$A$40,'Ceiling-U'!$AC$4:$AC$40)*Semidetached!H$15)+(LOOKUP(Semidetached!H$2,'Floor-U'!$A$4:$A$40,'Floor-U'!$J$4:$J$40)*Semidetached!H$16)+(LOOKUP(Semidetached!H$2,'Wall-U'!$A$4:$A$40,'Wall-U'!$J$4:$J$40)*Semidetached!H$13)+(LOOKUP(Semidetached!H$2,'Window-U'!$A$4:$A$40,'Window-U'!$J$4:$J$40)*Semidetached!H$22))*H136</f>
        <v>1064.3572331941486</v>
      </c>
      <c r="I142" s="174">
        <f>((LOOKUP(Semidetached!I$2,'Ceiling-U'!$A$4:$A$40,'Ceiling-U'!$AC$4:$AC$40)*Semidetached!I$15)+(LOOKUP(Semidetached!I$2,'Floor-U'!$A$4:$A$40,'Floor-U'!$J$4:$J$40)*Semidetached!I$16)+(LOOKUP(Semidetached!I$2,'Wall-U'!$A$4:$A$40,'Wall-U'!$J$4:$J$40)*Semidetached!I$13)+(LOOKUP(Semidetached!I$2,'Window-U'!$A$4:$A$40,'Window-U'!$J$4:$J$40)*Semidetached!I$22))*I136</f>
        <v>436.56276366419456</v>
      </c>
      <c r="J142" s="174">
        <f>((LOOKUP(Semidetached!J$2,'Ceiling-U'!$A$4:$A$40,'Ceiling-U'!$AC$4:$AC$40)*Semidetached!J$15)+(LOOKUP(Semidetached!J$2,'Floor-U'!$A$4:$A$40,'Floor-U'!$J$4:$J$40)*Semidetached!J$16)+(LOOKUP(Semidetached!J$2,'Wall-U'!$A$4:$A$40,'Wall-U'!$J$4:$J$40)*Semidetached!J$13)+(LOOKUP(Semidetached!J$2,'Window-U'!$A$4:$A$40,'Window-U'!$J$4:$J$40)*Semidetached!J$22))*J136</f>
        <v>416.24735436092055</v>
      </c>
      <c r="K142" s="174">
        <f>((LOOKUP(Semidetached!K$2,'Ceiling-U'!$A$4:$A$40,'Ceiling-U'!$AC$4:$AC$40)*Semidetached!K$15)+(LOOKUP(Semidetached!K$2,'Floor-U'!$A$4:$A$40,'Floor-U'!$J$4:$J$40)*Semidetached!K$16)+(LOOKUP(Semidetached!K$2,'Wall-U'!$A$4:$A$40,'Wall-U'!$J$4:$J$40)*Semidetached!K$13)+(LOOKUP(Semidetached!K$2,'Window-U'!$A$4:$A$40,'Window-U'!$J$4:$J$40)*Semidetached!K$22))*K136</f>
        <v>326.06604902503426</v>
      </c>
      <c r="L142" s="174">
        <f>((LOOKUP(Semidetached!L$2,'Ceiling-U'!$A$4:$A$40,'Ceiling-U'!$AC$4:$AC$40)*Semidetached!L$15)+(LOOKUP(Semidetached!L$2,'Floor-U'!$A$4:$A$40,'Floor-U'!$J$4:$J$40)*Semidetached!L$16)+(LOOKUP(Semidetached!L$2,'Wall-U'!$A$4:$A$40,'Wall-U'!$J$4:$J$40)*Semidetached!L$13)+(LOOKUP(Semidetached!L$2,'Window-U'!$A$4:$A$40,'Window-U'!$J$4:$J$40)*Semidetached!L$22))*L136</f>
        <v>226.08722518340642</v>
      </c>
      <c r="M142" s="174">
        <f>((LOOKUP(Semidetached!M$2,'Ceiling-U'!$A$4:$A$40,'Ceiling-U'!$AC$4:$AC$40)*Semidetached!M$15)+(LOOKUP(Semidetached!M$2,'Floor-U'!$A$4:$A$40,'Floor-U'!$J$4:$J$40)*Semidetached!M$16)+(LOOKUP(Semidetached!M$2,'Wall-U'!$A$4:$A$40,'Wall-U'!$J$4:$J$40)*Semidetached!M$13)+(LOOKUP(Semidetached!M$2,'Window-U'!$A$4:$A$40,'Window-U'!$J$4:$J$40)*Semidetached!M$22))*M136</f>
        <v>904.88037931780889</v>
      </c>
      <c r="N142" s="174">
        <f>((LOOKUP(Semidetached!N$2,'Ceiling-U'!$A$4:$A$40,'Ceiling-U'!$AC$4:$AC$40)*Semidetached!N$15)+(LOOKUP(Semidetached!N$2,'Floor-U'!$A$4:$A$40,'Floor-U'!$J$4:$J$40)*Semidetached!N$16)+(LOOKUP(Semidetached!N$2,'Wall-U'!$A$4:$A$40,'Wall-U'!$J$4:$J$40)*Semidetached!N$13)+(LOOKUP(Semidetached!N$2,'Window-U'!$A$4:$A$40,'Window-U'!$J$4:$J$40)*Semidetached!N$22))*N136</f>
        <v>316.43163569109663</v>
      </c>
      <c r="O142" s="174">
        <f>((LOOKUP(Semidetached!O$2,'Ceiling-U'!$A$4:$A$40,'Ceiling-U'!$AC$4:$AC$40)*Semidetached!O$15)+(LOOKUP(Semidetached!O$2,'Floor-U'!$A$4:$A$40,'Floor-U'!$J$4:$J$40)*Semidetached!O$16)+(LOOKUP(Semidetached!O$2,'Wall-U'!$A$4:$A$40,'Wall-U'!$J$4:$J$40)*Semidetached!O$13)+(LOOKUP(Semidetached!O$2,'Window-U'!$A$4:$A$40,'Window-U'!$J$4:$J$40)*Semidetached!O$22))*O136</f>
        <v>469.80287695293492</v>
      </c>
      <c r="P142" s="174">
        <f>((LOOKUP(Semidetached!P$2,'Ceiling-U'!$A$4:$A$40,'Ceiling-U'!$AC$4:$AC$40)*Semidetached!P$15)+(LOOKUP(Semidetached!P$2,'Floor-U'!$A$4:$A$40,'Floor-U'!$J$4:$J$40)*Semidetached!P$16)+(LOOKUP(Semidetached!P$2,'Wall-U'!$A$4:$A$40,'Wall-U'!$J$4:$J$40)*Semidetached!P$13)+(LOOKUP(Semidetached!P$2,'Window-U'!$A$4:$A$40,'Window-U'!$J$4:$J$40)*Semidetached!P$22))*P136</f>
        <v>467.44672055723527</v>
      </c>
      <c r="Q142" s="174">
        <f>((LOOKUP(Semidetached!Q$2,'Ceiling-U'!$A$4:$A$40,'Ceiling-U'!$AC$4:$AC$40)*Semidetached!Q$15)+(LOOKUP(Semidetached!Q$2,'Floor-U'!$A$4:$A$40,'Floor-U'!$J$4:$J$40)*Semidetached!Q$16)+(LOOKUP(Semidetached!Q$2,'Wall-U'!$A$4:$A$40,'Wall-U'!$J$4:$J$40)*Semidetached!Q$13)+(LOOKUP(Semidetached!Q$2,'Window-U'!$A$4:$A$40,'Window-U'!$J$4:$J$40)*Semidetached!Q$22))*Q136</f>
        <v>383.91425111131593</v>
      </c>
      <c r="R142" s="174">
        <f>((LOOKUP(Semidetached!R$2,'Ceiling-U'!$A$4:$A$40,'Ceiling-U'!$AC$4:$AC$40)*Semidetached!R$15)+(LOOKUP(Semidetached!R$2,'Floor-U'!$A$4:$A$40,'Floor-U'!$J$4:$J$40)*Semidetached!R$16)+(LOOKUP(Semidetached!R$2,'Wall-U'!$A$4:$A$40,'Wall-U'!$J$4:$J$40)*Semidetached!R$13)+(LOOKUP(Semidetached!R$2,'Window-U'!$A$4:$A$40,'Window-U'!$J$4:$J$40)*Semidetached!R$22))*R136</f>
        <v>457.42831464882181</v>
      </c>
      <c r="S142" s="174">
        <f>((LOOKUP(Semidetached!S$2,'Ceiling-U'!$A$4:$A$40,'Ceiling-U'!$AC$4:$AC$40)*Semidetached!S$15)+(LOOKUP(Semidetached!S$2,'Floor-U'!$A$4:$A$40,'Floor-U'!$J$4:$J$40)*Semidetached!S$16)+(LOOKUP(Semidetached!S$2,'Wall-U'!$A$4:$A$40,'Wall-U'!$J$4:$J$40)*Semidetached!S$13)+(LOOKUP(Semidetached!S$2,'Window-U'!$A$4:$A$40,'Window-U'!$J$4:$J$40)*Semidetached!S$22))*S136</f>
        <v>478.80562362079945</v>
      </c>
      <c r="T142" s="174">
        <f>((LOOKUP(Semidetached!T$2,'Ceiling-U'!$A$4:$A$40,'Ceiling-U'!$AC$4:$AC$40)*Semidetached!T$15)+(LOOKUP(Semidetached!T$2,'Floor-U'!$A$4:$A$40,'Floor-U'!$J$4:$J$40)*Semidetached!T$16)+(LOOKUP(Semidetached!T$2,'Wall-U'!$A$4:$A$40,'Wall-U'!$J$4:$J$40)*Semidetached!T$13)+(LOOKUP(Semidetached!T$2,'Window-U'!$A$4:$A$40,'Window-U'!$J$4:$J$40)*Semidetached!T$22))*T136</f>
        <v>318.50161320952543</v>
      </c>
      <c r="U142" s="174">
        <f>((LOOKUP(Semidetached!U$2,'Ceiling-U'!$A$4:$A$40,'Ceiling-U'!$AC$4:$AC$40)*Semidetached!U$15)+(LOOKUP(Semidetached!U$2,'Floor-U'!$A$4:$A$40,'Floor-U'!$J$4:$J$40)*Semidetached!U$16)+(LOOKUP(Semidetached!U$2,'Wall-U'!$A$4:$A$40,'Wall-U'!$J$4:$J$40)*Semidetached!U$13)+(LOOKUP(Semidetached!U$2,'Window-U'!$A$4:$A$40,'Window-U'!$J$4:$J$40)*Semidetached!U$22))*U136</f>
        <v>1188.6620947954498</v>
      </c>
      <c r="V142" s="174">
        <f>((LOOKUP(Semidetached!V$2,'Ceiling-U'!$A$4:$A$40,'Ceiling-U'!$AC$4:$AC$40)*Semidetached!V$15)+(LOOKUP(Semidetached!V$2,'Floor-U'!$A$4:$A$40,'Floor-U'!$J$4:$J$40)*Semidetached!V$16)+(LOOKUP(Semidetached!V$2,'Wall-U'!$A$4:$A$40,'Wall-U'!$J$4:$J$40)*Semidetached!V$13)+(LOOKUP(Semidetached!V$2,'Window-U'!$A$4:$A$40,'Window-U'!$J$4:$J$40)*Semidetached!V$22))*V136</f>
        <v>313.79149344573625</v>
      </c>
      <c r="W142" s="174">
        <f>((LOOKUP(Semidetached!W$2,'Ceiling-U'!$A$4:$A$40,'Ceiling-U'!$AC$4:$AC$40)*Semidetached!W$15)+(LOOKUP(Semidetached!W$2,'Floor-U'!$A$4:$A$40,'Floor-U'!$J$4:$J$40)*Semidetached!W$16)+(LOOKUP(Semidetached!W$2,'Wall-U'!$A$4:$A$40,'Wall-U'!$J$4:$J$40)*Semidetached!W$13)+(LOOKUP(Semidetached!W$2,'Window-U'!$A$4:$A$40,'Window-U'!$J$4:$J$40)*Semidetached!W$22))*W136</f>
        <v>258.01522592101952</v>
      </c>
      <c r="X142" s="174">
        <f>((LOOKUP(Semidetached!X$2,'Ceiling-U'!$A$4:$A$40,'Ceiling-U'!$AC$4:$AC$40)*Semidetached!X$15)+(LOOKUP(Semidetached!X$2,'Floor-U'!$A$4:$A$40,'Floor-U'!$J$4:$J$40)*Semidetached!X$16)+(LOOKUP(Semidetached!X$2,'Wall-U'!$A$4:$A$40,'Wall-U'!$J$4:$J$40)*Semidetached!X$13)+(LOOKUP(Semidetached!X$2,'Window-U'!$A$4:$A$40,'Window-U'!$J$4:$J$40)*Semidetached!X$22))*X136</f>
        <v>283.76792635089294</v>
      </c>
      <c r="Y142" s="174">
        <f>((LOOKUP(Semidetached!Y$2,'Ceiling-U'!$A$4:$A$40,'Ceiling-U'!$AC$4:$AC$40)*Semidetached!Y$15)+(LOOKUP(Semidetached!Y$2,'Floor-U'!$A$4:$A$40,'Floor-U'!$J$4:$J$40)*Semidetached!Y$16)+(LOOKUP(Semidetached!Y$2,'Wall-U'!$A$4:$A$40,'Wall-U'!$J$4:$J$40)*Semidetached!Y$13)+(LOOKUP(Semidetached!Y$2,'Window-U'!$A$4:$A$40,'Window-U'!$J$4:$J$40)*Semidetached!Y$22))*Y136</f>
        <v>1852.9606964730824</v>
      </c>
      <c r="Z142" s="174">
        <f>((LOOKUP(Semidetached!Z$2,'Ceiling-U'!$A$4:$A$40,'Ceiling-U'!$AC$4:$AC$40)*Semidetached!Z$15)+(LOOKUP(Semidetached!Z$2,'Floor-U'!$A$4:$A$40,'Floor-U'!$J$4:$J$40)*Semidetached!Z$16)+(LOOKUP(Semidetached!Z$2,'Wall-U'!$A$4:$A$40,'Wall-U'!$J$4:$J$40)*Semidetached!Z$13)+(LOOKUP(Semidetached!Z$2,'Window-U'!$A$4:$A$40,'Window-U'!$J$4:$J$40)*Semidetached!Z$22))*Z136</f>
        <v>543.18453738779272</v>
      </c>
      <c r="AA142" s="174">
        <f>((LOOKUP(Semidetached!AA$2,'Ceiling-U'!$A$4:$A$40,'Ceiling-U'!$AC$4:$AC$40)*Semidetached!AA$15)+(LOOKUP(Semidetached!AA$2,'Floor-U'!$A$4:$A$40,'Floor-U'!$J$4:$J$40)*Semidetached!AA$16)+(LOOKUP(Semidetached!AA$2,'Wall-U'!$A$4:$A$40,'Wall-U'!$J$4:$J$40)*Semidetached!AA$13)+(LOOKUP(Semidetached!AA$2,'Window-U'!$A$4:$A$40,'Window-U'!$J$4:$J$40)*Semidetached!AA$22))*AA136</f>
        <v>297.70651782545735</v>
      </c>
      <c r="AB142" s="174">
        <f>((LOOKUP(Semidetached!AB$2,'Ceiling-U'!$A$4:$A$40,'Ceiling-U'!$AC$4:$AC$40)*Semidetached!AB$15)+(LOOKUP(Semidetached!AB$2,'Floor-U'!$A$4:$A$40,'Floor-U'!$J$4:$J$40)*Semidetached!AB$16)+(LOOKUP(Semidetached!AB$2,'Wall-U'!$A$4:$A$40,'Wall-U'!$J$4:$J$40)*Semidetached!AB$13)+(LOOKUP(Semidetached!AB$2,'Window-U'!$A$4:$A$40,'Window-U'!$J$4:$J$40)*Semidetached!AB$22))*AB136</f>
        <v>540.03895614094881</v>
      </c>
      <c r="AC142" s="174">
        <f>((LOOKUP(Semidetached!AC$2,'Ceiling-U'!$A$4:$A$40,'Ceiling-U'!$AC$4:$AC$40)*Semidetached!AC$15)+(LOOKUP(Semidetached!AC$2,'Floor-U'!$A$4:$A$40,'Floor-U'!$J$4:$J$40)*Semidetached!AC$16)+(LOOKUP(Semidetached!AC$2,'Wall-U'!$A$4:$A$40,'Wall-U'!$J$4:$J$40)*Semidetached!AC$13)+(LOOKUP(Semidetached!AC$2,'Window-U'!$A$4:$A$40,'Window-U'!$J$4:$J$40)*Semidetached!AC$22))*AC136</f>
        <v>1088.9146026236635</v>
      </c>
      <c r="AD142" s="174">
        <f>((LOOKUP(Semidetached!AD$2,'Ceiling-U'!$A$4:$A$40,'Ceiling-U'!$AC$4:$AC$40)*Semidetached!AD$15)+(LOOKUP(Semidetached!AD$2,'Floor-U'!$A$4:$A$40,'Floor-U'!$J$4:$J$40)*Semidetached!AD$16)+(LOOKUP(Semidetached!AD$2,'Wall-U'!$A$4:$A$40,'Wall-U'!$J$4:$J$40)*Semidetached!AD$13)+(LOOKUP(Semidetached!AD$2,'Window-U'!$A$4:$A$40,'Window-U'!$J$4:$J$40)*Semidetached!AD$22))*AD136</f>
        <v>727.06445109304025</v>
      </c>
      <c r="AE142" s="174">
        <f>((LOOKUP(Semidetached!AE$2,'Ceiling-U'!$A$4:$A$40,'Ceiling-U'!$AC$4:$AC$40)*Semidetached!AE$15)+(LOOKUP(Semidetached!AE$2,'Floor-U'!$A$4:$A$40,'Floor-U'!$J$4:$J$40)*Semidetached!AE$16)+(LOOKUP(Semidetached!AE$2,'Wall-U'!$A$4:$A$40,'Wall-U'!$J$4:$J$40)*Semidetached!AE$13)+(LOOKUP(Semidetached!AE$2,'Window-U'!$A$4:$A$40,'Window-U'!$J$4:$J$40)*Semidetached!AE$22))*AE136</f>
        <v>293.75985539958361</v>
      </c>
      <c r="AF142" s="174">
        <f>((LOOKUP(Semidetached!AF$2,'Ceiling-U'!$A$4:$A$40,'Ceiling-U'!$AC$4:$AC$40)*Semidetached!AF$15)+(LOOKUP(Semidetached!AF$2,'Floor-U'!$A$4:$A$40,'Floor-U'!$J$4:$J$40)*Semidetached!AF$16)+(LOOKUP(Semidetached!AF$2,'Wall-U'!$A$4:$A$40,'Wall-U'!$J$4:$J$40)*Semidetached!AF$13)+(LOOKUP(Semidetached!AF$2,'Window-U'!$A$4:$A$40,'Window-U'!$J$4:$J$40)*Semidetached!AF$22))*AF136</f>
        <v>287.62294575334317</v>
      </c>
      <c r="AG142" s="174">
        <f>((LOOKUP(Semidetached!AG$2,'Ceiling-U'!$A$4:$A$40,'Ceiling-U'!$AC$4:$AC$40)*Semidetached!AG$15)+(LOOKUP(Semidetached!AG$2,'Floor-U'!$A$4:$A$40,'Floor-U'!$J$4:$J$40)*Semidetached!AG$16)+(LOOKUP(Semidetached!AG$2,'Wall-U'!$A$4:$A$40,'Wall-U'!$J$4:$J$40)*Semidetached!AG$13)+(LOOKUP(Semidetached!AG$2,'Window-U'!$A$4:$A$40,'Window-U'!$J$4:$J$40)*Semidetached!AG$22))*AG136</f>
        <v>615.90497032966141</v>
      </c>
      <c r="AH142" s="174">
        <f>((LOOKUP(Semidetached!AH$2,'Ceiling-U'!$A$4:$A$40,'Ceiling-U'!$AC$4:$AC$40)*Semidetached!AH$15)+(LOOKUP(Semidetached!AH$2,'Floor-U'!$A$4:$A$40,'Floor-U'!$J$4:$J$40)*Semidetached!AH$16)+(LOOKUP(Semidetached!AH$2,'Wall-U'!$A$4:$A$40,'Wall-U'!$J$4:$J$40)*Semidetached!AH$13)+(LOOKUP(Semidetached!AH$2,'Window-U'!$A$4:$A$40,'Window-U'!$J$4:$J$40)*Semidetached!AH$22))*AH136</f>
        <v>401.80832410508646</v>
      </c>
      <c r="AI142" s="174">
        <f>((LOOKUP(Semidetached!AI$2,'Ceiling-U'!$A$4:$A$40,'Ceiling-U'!$AC$4:$AC$40)*Semidetached!AI$15)+(LOOKUP(Semidetached!AI$2,'Floor-U'!$A$4:$A$40,'Floor-U'!$J$4:$J$40)*Semidetached!AI$16)+(LOOKUP(Semidetached!AI$2,'Wall-U'!$A$4:$A$40,'Wall-U'!$J$4:$J$40)*Semidetached!AI$13)+(LOOKUP(Semidetached!AI$2,'Window-U'!$A$4:$A$40,'Window-U'!$J$4:$J$40)*Semidetached!AI$22))*AI136</f>
        <v>678.55841173142744</v>
      </c>
      <c r="AJ142" s="174">
        <f>((LOOKUP(Semidetached!AJ$2,'Ceiling-U'!$A$4:$A$40,'Ceiling-U'!$AC$4:$AC$40)*Semidetached!AJ$15)+(LOOKUP(Semidetached!AJ$2,'Floor-U'!$A$4:$A$40,'Floor-U'!$J$4:$J$40)*Semidetached!AJ$16)+(LOOKUP(Semidetached!AJ$2,'Wall-U'!$A$4:$A$40,'Wall-U'!$J$4:$J$40)*Semidetached!AJ$13)+(LOOKUP(Semidetached!AJ$2,'Window-U'!$A$4:$A$40,'Window-U'!$J$4:$J$40)*Semidetached!AJ$22))*AJ136</f>
        <v>703.71761572509342</v>
      </c>
      <c r="AK142" s="174">
        <f>((LOOKUP(Semidetached!AK$2,'Ceiling-U'!$A$4:$A$40,'Ceiling-U'!$AC$4:$AC$40)*Semidetached!AK$15)+(LOOKUP(Semidetached!AK$2,'Floor-U'!$A$4:$A$40,'Floor-U'!$J$4:$J$40)*Semidetached!AK$16)+(LOOKUP(Semidetached!AK$2,'Wall-U'!$A$4:$A$40,'Wall-U'!$J$4:$J$40)*Semidetached!AK$13)+(LOOKUP(Semidetached!AK$2,'Window-U'!$A$4:$A$40,'Window-U'!$J$4:$J$40)*Semidetached!AK$22))*AK136</f>
        <v>844.58335759311535</v>
      </c>
      <c r="AL142" s="174">
        <f>((LOOKUP(Semidetached!AL$2,'Ceiling-U'!$A$4:$A$40,'Ceiling-U'!$AC$4:$AC$40)*Semidetached!AL$15)+(LOOKUP(Semidetached!AL$2,'Floor-U'!$A$4:$A$40,'Floor-U'!$J$4:$J$40)*Semidetached!AL$16)+(LOOKUP(Semidetached!AL$2,'Wall-U'!$A$4:$A$40,'Wall-U'!$J$4:$J$40)*Semidetached!AL$13)+(LOOKUP(Semidetached!AL$2,'Window-U'!$A$4:$A$40,'Window-U'!$J$4:$J$40)*Semidetached!AL$22))*AL136</f>
        <v>416.59986687391824</v>
      </c>
      <c r="AM142" s="174">
        <f>((LOOKUP(Semidetached!AM$2,'Ceiling-U'!$A$4:$A$40,'Ceiling-U'!$AC$4:$AC$40)*Semidetached!AM$15)+(LOOKUP(Semidetached!AM$2,'Floor-U'!$A$4:$A$40,'Floor-U'!$J$4:$J$40)*Semidetached!AM$16)+(LOOKUP(Semidetached!AM$2,'Wall-U'!$A$4:$A$40,'Wall-U'!$J$4:$J$40)*Semidetached!AM$13)+(LOOKUP(Semidetached!AM$2,'Window-U'!$A$4:$A$40,'Window-U'!$J$4:$J$40)*Semidetached!AM$22))*AM136</f>
        <v>703.71761572509342</v>
      </c>
      <c r="AN142" s="175">
        <f>((LOOKUP(Semidetached!AN$2,'Ceiling-U'!$A$4:$A$40,'Ceiling-U'!$AC$4:$AC$40)*Semidetached!AN$15)+(LOOKUP(Semidetached!AN$2,'Floor-U'!$A$4:$A$40,'Floor-U'!$J$4:$J$40)*Semidetached!AN$16)+(LOOKUP(Semidetached!AN$2,'Wall-U'!$A$4:$A$40,'Wall-U'!$J$4:$J$40)*Semidetached!AN$13)+(LOOKUP(Semidetached!AN$2,'Window-U'!$A$4:$A$40,'Window-U'!$J$4:$J$40)*Semidetached!AN$22))*AN136</f>
        <v>703.71761572509342</v>
      </c>
    </row>
    <row r="143" spans="1:40">
      <c r="A143" s="332" t="s">
        <v>280</v>
      </c>
      <c r="B143" s="142" t="s">
        <v>2</v>
      </c>
      <c r="C143" s="360" t="s">
        <v>261</v>
      </c>
      <c r="D143" s="351">
        <f>D137*24*LOOKUP(Semidetached!D$2,'HDD-by Country'!$A$4:$A$40,'HDD-by Country'!$C$4:$C$40)/1000/Semidetached!D$3</f>
        <v>21081.589859634892</v>
      </c>
      <c r="E143" s="352">
        <f>E137*24*LOOKUP(Semidetached!E$2,'HDD-by Country'!$A$4:$A$40,'HDD-by Country'!$C$4:$C$40)/1000/Semidetached!E$3</f>
        <v>19041.094230230145</v>
      </c>
      <c r="F143" s="352">
        <f>F137*24*LOOKUP(Semidetached!F$2,'HDD-by Country'!$A$4:$A$40,'HDD-by Country'!$C$4:$C$40)/1000/Semidetached!F$3</f>
        <v>10654.181710900535</v>
      </c>
      <c r="G143" s="352">
        <f>G137*24*LOOKUP(Semidetached!G$2,'HDD-by Country'!$A$4:$A$40,'HDD-by Country'!$C$4:$C$40)/1000/Semidetached!G$3</f>
        <v>21167.903944781599</v>
      </c>
      <c r="H143" s="352">
        <f>H137*24*LOOKUP(Semidetached!H$2,'HDD-by Country'!$A$4:$A$40,'HDD-by Country'!$C$4:$C$40)/1000/Semidetached!H$3</f>
        <v>6435.8870346064696</v>
      </c>
      <c r="I143" s="352">
        <f>I137*24*LOOKUP(Semidetached!I$2,'HDD-by Country'!$A$4:$A$40,'HDD-by Country'!$C$4:$C$40)/1000/Semidetached!I$3</f>
        <v>15094.713986468685</v>
      </c>
      <c r="J143" s="352">
        <f>J137*24*LOOKUP(Semidetached!J$2,'HDD-by Country'!$A$4:$A$40,'HDD-by Country'!$C$4:$C$40)/1000/Semidetached!J$3</f>
        <v>19833.587530406057</v>
      </c>
      <c r="K143" s="352">
        <f>K137*24*LOOKUP(Semidetached!K$2,'HDD-by Country'!$A$4:$A$40,'HDD-by Country'!$C$4:$C$40)/1000/Semidetached!K$3</f>
        <v>13672.336511688191</v>
      </c>
      <c r="L143" s="352">
        <f>L137*24*LOOKUP(Semidetached!L$2,'HDD-by Country'!$A$4:$A$40,'HDD-by Country'!$C$4:$C$40)/1000/Semidetached!L$3</f>
        <v>8128.1083078931415</v>
      </c>
      <c r="M143" s="352">
        <f>M137*24*LOOKUP(Semidetached!M$2,'HDD-by Country'!$A$4:$A$40,'HDD-by Country'!$C$4:$C$40)/1000/Semidetached!M$3</f>
        <v>19169.121172692965</v>
      </c>
      <c r="N143" s="352">
        <f>N137*24*LOOKUP(Semidetached!N$2,'HDD-by Country'!$A$4:$A$40,'HDD-by Country'!$C$4:$C$40)/1000/Semidetached!N$3</f>
        <v>15017.166383639147</v>
      </c>
      <c r="O143" s="352">
        <f>O137*24*LOOKUP(Semidetached!O$2,'HDD-by Country'!$A$4:$A$40,'HDD-by Country'!$C$4:$C$40)/1000/Semidetached!O$3</f>
        <v>22795.445651752438</v>
      </c>
      <c r="P143" s="352">
        <f>P137*24*LOOKUP(Semidetached!P$2,'HDD-by Country'!$A$4:$A$40,'HDD-by Country'!$C$4:$C$40)/1000/Semidetached!P$3</f>
        <v>14399.285500850048</v>
      </c>
      <c r="Q143" s="352">
        <f>Q137*24*LOOKUP(Semidetached!Q$2,'HDD-by Country'!$A$4:$A$40,'HDD-by Country'!$C$4:$C$40)/1000/Semidetached!Q$3</f>
        <v>10042.353138973676</v>
      </c>
      <c r="R143" s="352">
        <f>R137*24*LOOKUP(Semidetached!R$2,'HDD-by Country'!$A$4:$A$40,'HDD-by Country'!$C$4:$C$40)/1000/Semidetached!R$3</f>
        <v>14127.280676847991</v>
      </c>
      <c r="S143" s="352">
        <f>S137*24*LOOKUP(Semidetached!S$2,'HDD-by Country'!$A$4:$A$40,'HDD-by Country'!$C$4:$C$40)/1000/Semidetached!S$3</f>
        <v>17621.225039471752</v>
      </c>
      <c r="T143" s="352">
        <f>T137*24*LOOKUP(Semidetached!T$2,'HDD-by Country'!$A$4:$A$40,'HDD-by Country'!$C$4:$C$40)/1000/Semidetached!T$3</f>
        <v>12863.948861117175</v>
      </c>
      <c r="U143" s="352">
        <f>U137*24*LOOKUP(Semidetached!U$2,'HDD-by Country'!$A$4:$A$40,'HDD-by Country'!$C$4:$C$40)/1000/Semidetached!U$3</f>
        <v>15534.337178162481</v>
      </c>
      <c r="V143" s="352">
        <f>V137*24*LOOKUP(Semidetached!V$2,'HDD-by Country'!$A$4:$A$40,'HDD-by Country'!$C$4:$C$40)/1000/Semidetached!V$3</f>
        <v>15173.76785885627</v>
      </c>
      <c r="W143" s="352">
        <f>W137*24*LOOKUP(Semidetached!W$2,'HDD-by Country'!$A$4:$A$40,'HDD-by Country'!$C$4:$C$40)/1000/Semidetached!W$3</f>
        <v>16337.658606061825</v>
      </c>
      <c r="X143" s="352">
        <f>X137*24*LOOKUP(Semidetached!X$2,'HDD-by Country'!$A$4:$A$40,'HDD-by Country'!$C$4:$C$40)/1000/Semidetached!X$3</f>
        <v>15838.4887613869</v>
      </c>
      <c r="Y143" s="352">
        <f>Y137*24*LOOKUP(Semidetached!Y$2,'HDD-by Country'!$A$4:$A$40,'HDD-by Country'!$C$4:$C$40)/1000/Semidetached!Y$3</f>
        <v>6355.8927904845577</v>
      </c>
      <c r="Z143" s="352">
        <f>Z137*24*LOOKUP(Semidetached!Z$2,'HDD-by Country'!$A$4:$A$40,'HDD-by Country'!$C$4:$C$40)/1000/Semidetached!Z$3</f>
        <v>19997.371737898146</v>
      </c>
      <c r="AA143" s="352">
        <f>AA137*24*LOOKUP(Semidetached!AA$2,'HDD-by Country'!$A$4:$A$40,'HDD-by Country'!$C$4:$C$40)/1000/Semidetached!AA$3</f>
        <v>12403.07592334193</v>
      </c>
      <c r="AB143" s="352">
        <f>AB137*24*LOOKUP(Semidetached!AB$2,'HDD-by Country'!$A$4:$A$40,'HDD-by Country'!$C$4:$C$40)/1000/Semidetached!AB$3</f>
        <v>20429.841447637165</v>
      </c>
      <c r="AC143" s="352">
        <f>AC137*24*LOOKUP(Semidetached!AC$2,'HDD-by Country'!$A$4:$A$40,'HDD-by Country'!$C$4:$C$40)/1000/Semidetached!AC$3</f>
        <v>10434.018571713828</v>
      </c>
      <c r="AD143" s="352">
        <f>AD137*24*LOOKUP(Semidetached!AD$2,'HDD-by Country'!$A$4:$A$40,'HDD-by Country'!$C$4:$C$40)/1000/Semidetached!AD$3</f>
        <v>16323.195446856706</v>
      </c>
      <c r="AE143" s="352">
        <f>AE137*24*LOOKUP(Semidetached!AE$2,'HDD-by Country'!$A$4:$A$40,'HDD-by Country'!$C$4:$C$40)/1000/Semidetached!AE$3</f>
        <v>11803.126540059282</v>
      </c>
      <c r="AF143" s="352">
        <f>AF137*24*LOOKUP(Semidetached!AF$2,'HDD-by Country'!$A$4:$A$40,'HDD-by Country'!$C$4:$C$40)/1000/Semidetached!AF$3</f>
        <v>14037.81386351244</v>
      </c>
      <c r="AG143" s="352">
        <f>AG137*24*LOOKUP(Semidetached!AG$2,'HDD-by Country'!$A$4:$A$40,'HDD-by Country'!$C$4:$C$40)/1000/Semidetached!AG$3</f>
        <v>20904.444006162903</v>
      </c>
      <c r="AH143" s="352">
        <f>AH137*24*LOOKUP(Semidetached!AH$2,'HDD-by Country'!$A$4:$A$40,'HDD-by Country'!$C$4:$C$40)/1000/Semidetached!AH$3</f>
        <v>16085.717931162866</v>
      </c>
      <c r="AI143" s="352">
        <f>AI137*24*LOOKUP(Semidetached!AI$2,'HDD-by Country'!$A$4:$A$40,'HDD-by Country'!$C$4:$C$40)/1000/Semidetached!AI$3</f>
        <v>13847.771816947039</v>
      </c>
      <c r="AJ143" s="352">
        <f>AJ137*24*LOOKUP(Semidetached!AJ$2,'HDD-by Country'!$A$4:$A$40,'HDD-by Country'!$C$4:$C$40)/1000/Semidetached!AJ$3</f>
        <v>11217.834065471417</v>
      </c>
      <c r="AK143" s="352">
        <f>AK137*24*LOOKUP(Semidetached!AK$2,'HDD-by Country'!$A$4:$A$40,'HDD-by Country'!$C$4:$C$40)/1000/Semidetached!AK$3</f>
        <v>11909.341380503736</v>
      </c>
      <c r="AL143" s="352">
        <f>AL137*24*LOOKUP(Semidetached!AL$2,'HDD-by Country'!$A$4:$A$40,'HDD-by Country'!$C$4:$C$40)/1000/Semidetached!AL$3</f>
        <v>11154.371718701952</v>
      </c>
      <c r="AM143" s="352">
        <f>AM137*24*LOOKUP(Semidetached!AM$2,'HDD-by Country'!$A$4:$A$40,'HDD-by Country'!$C$4:$C$40)/1000/Semidetached!AM$3</f>
        <v>10315.646863080661</v>
      </c>
      <c r="AN143" s="353">
        <f>AN137*24*LOOKUP(Semidetached!AN$2,'HDD-by Country'!$A$4:$A$40,'HDD-by Country'!$C$4:$C$40)/1000/Semidetached!AN$3</f>
        <v>10315.646863080661</v>
      </c>
    </row>
    <row r="144" spans="1:40">
      <c r="A144" s="129"/>
      <c r="B144" s="142" t="s">
        <v>3</v>
      </c>
      <c r="C144" s="129" t="s">
        <v>261</v>
      </c>
      <c r="D144" s="345">
        <f>D138*24*LOOKUP(Semidetached!D$2,'HDD-by Country'!$A$4:$A$40,'HDD-by Country'!$C$4:$C$40)/1000/Semidetached!D$3</f>
        <v>20091.111190105705</v>
      </c>
      <c r="E144" s="349">
        <f>E138*24*LOOKUP(Semidetached!E$2,'HDD-by Country'!$A$4:$A$40,'HDD-by Country'!$C$4:$C$40)/1000/Semidetached!E$3</f>
        <v>19041.094230230145</v>
      </c>
      <c r="F144" s="349">
        <f>F138*24*LOOKUP(Semidetached!F$2,'HDD-by Country'!$A$4:$A$40,'HDD-by Country'!$C$4:$C$40)/1000/Semidetached!F$3</f>
        <v>10654.181710900535</v>
      </c>
      <c r="G144" s="349">
        <f>G138*24*LOOKUP(Semidetached!G$2,'HDD-by Country'!$A$4:$A$40,'HDD-by Country'!$C$4:$C$40)/1000/Semidetached!G$3</f>
        <v>20202.556716720654</v>
      </c>
      <c r="H144" s="349">
        <f>H138*24*LOOKUP(Semidetached!H$2,'HDD-by Country'!$A$4:$A$40,'HDD-by Country'!$C$4:$C$40)/1000/Semidetached!H$3</f>
        <v>5900.6610040708874</v>
      </c>
      <c r="I144" s="349">
        <f>I138*24*LOOKUP(Semidetached!I$2,'HDD-by Country'!$A$4:$A$40,'HDD-by Country'!$C$4:$C$40)/1000/Semidetached!I$3</f>
        <v>12667.561746948981</v>
      </c>
      <c r="J144" s="349">
        <f>J138*24*LOOKUP(Semidetached!J$2,'HDD-by Country'!$A$4:$A$40,'HDD-by Country'!$C$4:$C$40)/1000/Semidetached!J$3</f>
        <v>16667.070978706321</v>
      </c>
      <c r="K144" s="349">
        <f>K138*24*LOOKUP(Semidetached!K$2,'HDD-by Country'!$A$4:$A$40,'HDD-by Country'!$C$4:$C$40)/1000/Semidetached!K$3</f>
        <v>13261.572383436969</v>
      </c>
      <c r="L144" s="349">
        <f>L138*24*LOOKUP(Semidetached!L$2,'HDD-by Country'!$A$4:$A$40,'HDD-by Country'!$C$4:$C$40)/1000/Semidetached!L$3</f>
        <v>8128.1083078931415</v>
      </c>
      <c r="M144" s="349">
        <f>M138*24*LOOKUP(Semidetached!M$2,'HDD-by Country'!$A$4:$A$40,'HDD-by Country'!$C$4:$C$40)/1000/Semidetached!M$3</f>
        <v>17571.881689407259</v>
      </c>
      <c r="N144" s="349">
        <f>N138*24*LOOKUP(Semidetached!N$2,'HDD-by Country'!$A$4:$A$40,'HDD-by Country'!$C$4:$C$40)/1000/Semidetached!N$3</f>
        <v>13222.431385948077</v>
      </c>
      <c r="O144" s="349">
        <f>O138*24*LOOKUP(Semidetached!O$2,'HDD-by Country'!$A$4:$A$40,'HDD-by Country'!$C$4:$C$40)/1000/Semidetached!O$3</f>
        <v>22795.445651752438</v>
      </c>
      <c r="P144" s="349">
        <f>P138*24*LOOKUP(Semidetached!P$2,'HDD-by Country'!$A$4:$A$40,'HDD-by Country'!$C$4:$C$40)/1000/Semidetached!P$3</f>
        <v>14399.285500850048</v>
      </c>
      <c r="Q144" s="349">
        <f>Q138*24*LOOKUP(Semidetached!Q$2,'HDD-by Country'!$A$4:$A$40,'HDD-by Country'!$C$4:$C$40)/1000/Semidetached!Q$3</f>
        <v>10787.145882447228</v>
      </c>
      <c r="R144" s="349">
        <f>R138*24*LOOKUP(Semidetached!R$2,'HDD-by Country'!$A$4:$A$40,'HDD-by Country'!$C$4:$C$40)/1000/Semidetached!R$3</f>
        <v>14127.280676847991</v>
      </c>
      <c r="S144" s="349">
        <f>S138*24*LOOKUP(Semidetached!S$2,'HDD-by Country'!$A$4:$A$40,'HDD-by Country'!$C$4:$C$40)/1000/Semidetached!S$3</f>
        <v>17626.368269958497</v>
      </c>
      <c r="T144" s="349">
        <f>T138*24*LOOKUP(Semidetached!T$2,'HDD-by Country'!$A$4:$A$40,'HDD-by Country'!$C$4:$C$40)/1000/Semidetached!T$3</f>
        <v>11321.648534016567</v>
      </c>
      <c r="U144" s="349">
        <f>U138*24*LOOKUP(Semidetached!U$2,'HDD-by Country'!$A$4:$A$40,'HDD-by Country'!$C$4:$C$40)/1000/Semidetached!U$3</f>
        <v>14676.11016015221</v>
      </c>
      <c r="V144" s="349">
        <f>V138*24*LOOKUP(Semidetached!V$2,'HDD-by Country'!$A$4:$A$40,'HDD-by Country'!$C$4:$C$40)/1000/Semidetached!V$3</f>
        <v>15173.76785885627</v>
      </c>
      <c r="W144" s="349">
        <f>W138*24*LOOKUP(Semidetached!W$2,'HDD-by Country'!$A$4:$A$40,'HDD-by Country'!$C$4:$C$40)/1000/Semidetached!W$3</f>
        <v>18173.737823292053</v>
      </c>
      <c r="X144" s="349">
        <f>X138*24*LOOKUP(Semidetached!X$2,'HDD-by Country'!$A$4:$A$40,'HDD-by Country'!$C$4:$C$40)/1000/Semidetached!X$3</f>
        <v>15654.2407613869</v>
      </c>
      <c r="Y144" s="349">
        <f>Y138*24*LOOKUP(Semidetached!Y$2,'HDD-by Country'!$A$4:$A$40,'HDD-by Country'!$C$4:$C$40)/1000/Semidetached!Y$3</f>
        <v>6355.6851432239127</v>
      </c>
      <c r="Z144" s="349">
        <f>Z138*24*LOOKUP(Semidetached!Z$2,'HDD-by Country'!$A$4:$A$40,'HDD-by Country'!$C$4:$C$40)/1000/Semidetached!Z$3</f>
        <v>18395.126834054379</v>
      </c>
      <c r="AA144" s="349">
        <f>AA138*24*LOOKUP(Semidetached!AA$2,'HDD-by Country'!$A$4:$A$40,'HDD-by Country'!$C$4:$C$40)/1000/Semidetached!AA$3</f>
        <v>12356.064030077929</v>
      </c>
      <c r="AB144" s="349">
        <f>AB138*24*LOOKUP(Semidetached!AB$2,'HDD-by Country'!$A$4:$A$40,'HDD-by Country'!$C$4:$C$40)/1000/Semidetached!AB$3</f>
        <v>15955.986243989524</v>
      </c>
      <c r="AC144" s="349">
        <f>AC138*24*LOOKUP(Semidetached!AC$2,'HDD-by Country'!$A$4:$A$40,'HDD-by Country'!$C$4:$C$40)/1000/Semidetached!AC$3</f>
        <v>9405.1925890048351</v>
      </c>
      <c r="AD144" s="349">
        <f>AD138*24*LOOKUP(Semidetached!AD$2,'HDD-by Country'!$A$4:$A$40,'HDD-by Country'!$C$4:$C$40)/1000/Semidetached!AD$3</f>
        <v>14470.619158529016</v>
      </c>
      <c r="AE144" s="349">
        <f>AE138*24*LOOKUP(Semidetached!AE$2,'HDD-by Country'!$A$4:$A$40,'HDD-by Country'!$C$4:$C$40)/1000/Semidetached!AE$3</f>
        <v>11757.796616763282</v>
      </c>
      <c r="AF144" s="349">
        <f>AF138*24*LOOKUP(Semidetached!AF$2,'HDD-by Country'!$A$4:$A$40,'HDD-by Country'!$C$4:$C$40)/1000/Semidetached!AF$3</f>
        <v>14037.81386351244</v>
      </c>
      <c r="AG144" s="349">
        <f>AG138*24*LOOKUP(Semidetached!AG$2,'HDD-by Country'!$A$4:$A$40,'HDD-by Country'!$C$4:$C$40)/1000/Semidetached!AG$3</f>
        <v>17783.258161949525</v>
      </c>
      <c r="AH144" s="349">
        <f>AH138*24*LOOKUP(Semidetached!AH$2,'HDD-by Country'!$A$4:$A$40,'HDD-by Country'!$C$4:$C$40)/1000/Semidetached!AH$3</f>
        <v>17011.638514142989</v>
      </c>
      <c r="AI144" s="349">
        <f>AI138*24*LOOKUP(Semidetached!AI$2,'HDD-by Country'!$A$4:$A$40,'HDD-by Country'!$C$4:$C$40)/1000/Semidetached!AI$3</f>
        <v>13847.771816947039</v>
      </c>
      <c r="AJ144" s="349">
        <f>AJ138*24*LOOKUP(Semidetached!AJ$2,'HDD-by Country'!$A$4:$A$40,'HDD-by Country'!$C$4:$C$40)/1000/Semidetached!AJ$3</f>
        <v>11217.834065471417</v>
      </c>
      <c r="AK144" s="349">
        <f>AK138*24*LOOKUP(Semidetached!AK$2,'HDD-by Country'!$A$4:$A$40,'HDD-by Country'!$C$4:$C$40)/1000/Semidetached!AK$3</f>
        <v>11909.341380503736</v>
      </c>
      <c r="AL144" s="349">
        <f>AL138*24*LOOKUP(Semidetached!AL$2,'HDD-by Country'!$A$4:$A$40,'HDD-by Country'!$C$4:$C$40)/1000/Semidetached!AL$3</f>
        <v>11154.371718701952</v>
      </c>
      <c r="AM144" s="349">
        <f>AM138*24*LOOKUP(Semidetached!AM$2,'HDD-by Country'!$A$4:$A$40,'HDD-by Country'!$C$4:$C$40)/1000/Semidetached!AM$3</f>
        <v>10315.646863080661</v>
      </c>
      <c r="AN144" s="354">
        <f>AN138*24*LOOKUP(Semidetached!AN$2,'HDD-by Country'!$A$4:$A$40,'HDD-by Country'!$C$4:$C$40)/1000/Semidetached!AN$3</f>
        <v>10315.646863080661</v>
      </c>
    </row>
    <row r="145" spans="1:40">
      <c r="A145" s="129"/>
      <c r="B145" s="142" t="s">
        <v>4</v>
      </c>
      <c r="C145" s="129" t="s">
        <v>261</v>
      </c>
      <c r="D145" s="345">
        <f>D139*24*LOOKUP(Semidetached!D$2,'HDD-by Country'!$A$4:$A$40,'HDD-by Country'!$C$4:$C$40)/1000/Semidetached!D$3</f>
        <v>15713.865925770353</v>
      </c>
      <c r="E145" s="349">
        <f>E139*24*LOOKUP(Semidetached!E$2,'HDD-by Country'!$A$4:$A$40,'HDD-by Country'!$C$4:$C$40)/1000/Semidetached!E$3</f>
        <v>19041.094230230145</v>
      </c>
      <c r="F145" s="349">
        <f>F139*24*LOOKUP(Semidetached!F$2,'HDD-by Country'!$A$4:$A$40,'HDD-by Country'!$C$4:$C$40)/1000/Semidetached!F$3</f>
        <v>9975.8574175340855</v>
      </c>
      <c r="G145" s="349">
        <f>G139*24*LOOKUP(Semidetached!G$2,'HDD-by Country'!$A$4:$A$40,'HDD-by Country'!$C$4:$C$40)/1000/Semidetached!G$3</f>
        <v>15788.277366550974</v>
      </c>
      <c r="H145" s="349">
        <f>H139*24*LOOKUP(Semidetached!H$2,'HDD-by Country'!$A$4:$A$40,'HDD-by Country'!$C$4:$C$40)/1000/Semidetached!H$3</f>
        <v>5889.0621735353061</v>
      </c>
      <c r="I145" s="349">
        <f>I139*24*LOOKUP(Semidetached!I$2,'HDD-by Country'!$A$4:$A$40,'HDD-by Country'!$C$4:$C$40)/1000/Semidetached!I$3</f>
        <v>12667.561746948981</v>
      </c>
      <c r="J145" s="349">
        <f>J139*24*LOOKUP(Semidetached!J$2,'HDD-by Country'!$A$4:$A$40,'HDD-by Country'!$C$4:$C$40)/1000/Semidetached!J$3</f>
        <v>11730.344845323531</v>
      </c>
      <c r="K145" s="349">
        <f>K139*24*LOOKUP(Semidetached!K$2,'HDD-by Country'!$A$4:$A$40,'HDD-by Country'!$C$4:$C$40)/1000/Semidetached!K$3</f>
        <v>8217.8558598726922</v>
      </c>
      <c r="L145" s="349">
        <f>L139*24*LOOKUP(Semidetached!L$2,'HDD-by Country'!$A$4:$A$40,'HDD-by Country'!$C$4:$C$40)/1000/Semidetached!L$3</f>
        <v>6456.8496265161984</v>
      </c>
      <c r="M145" s="349">
        <f>M139*24*LOOKUP(Semidetached!M$2,'HDD-by Country'!$A$4:$A$40,'HDD-by Country'!$C$4:$C$40)/1000/Semidetached!M$3</f>
        <v>17571.881689407259</v>
      </c>
      <c r="N145" s="349">
        <f>N139*24*LOOKUP(Semidetached!N$2,'HDD-by Country'!$A$4:$A$40,'HDD-by Country'!$C$4:$C$40)/1000/Semidetached!N$3</f>
        <v>10602.492942989691</v>
      </c>
      <c r="O145" s="349">
        <f>O139*24*LOOKUP(Semidetached!O$2,'HDD-by Country'!$A$4:$A$40,'HDD-by Country'!$C$4:$C$40)/1000/Semidetached!O$3</f>
        <v>10829.436356720898</v>
      </c>
      <c r="P145" s="349">
        <f>P139*24*LOOKUP(Semidetached!P$2,'HDD-by Country'!$A$4:$A$40,'HDD-by Country'!$C$4:$C$40)/1000/Semidetached!P$3</f>
        <v>14399.285500850048</v>
      </c>
      <c r="Q145" s="349">
        <f>Q139*24*LOOKUP(Semidetached!Q$2,'HDD-by Country'!$A$4:$A$40,'HDD-by Country'!$C$4:$C$40)/1000/Semidetached!Q$3</f>
        <v>9259.0348022447415</v>
      </c>
      <c r="R145" s="349">
        <f>R139*24*LOOKUP(Semidetached!R$2,'HDD-by Country'!$A$4:$A$40,'HDD-by Country'!$C$4:$C$40)/1000/Semidetached!R$3</f>
        <v>12430.325215355353</v>
      </c>
      <c r="S145" s="349">
        <f>S139*24*LOOKUP(Semidetached!S$2,'HDD-by Country'!$A$4:$A$40,'HDD-by Country'!$C$4:$C$40)/1000/Semidetached!S$3</f>
        <v>17536.662966612337</v>
      </c>
      <c r="T145" s="349">
        <f>T139*24*LOOKUP(Semidetached!T$2,'HDD-by Country'!$A$4:$A$40,'HDD-by Country'!$C$4:$C$40)/1000/Semidetached!T$3</f>
        <v>9077.0121700426826</v>
      </c>
      <c r="U145" s="349">
        <f>U139*24*LOOKUP(Semidetached!U$2,'HDD-by Country'!$A$4:$A$40,'HDD-by Country'!$C$4:$C$40)/1000/Semidetached!U$3</f>
        <v>13676.743629147799</v>
      </c>
      <c r="V145" s="349">
        <f>V139*24*LOOKUP(Semidetached!V$2,'HDD-by Country'!$A$4:$A$40,'HDD-by Country'!$C$4:$C$40)/1000/Semidetached!V$3</f>
        <v>9330.3608335530535</v>
      </c>
      <c r="W145" s="349">
        <f>W139*24*LOOKUP(Semidetached!W$2,'HDD-by Country'!$A$4:$A$40,'HDD-by Country'!$C$4:$C$40)/1000/Semidetached!W$3</f>
        <v>8801.1328322609988</v>
      </c>
      <c r="X145" s="349">
        <f>X139*24*LOOKUP(Semidetached!X$2,'HDD-by Country'!$A$4:$A$40,'HDD-by Country'!$C$4:$C$40)/1000/Semidetached!X$3</f>
        <v>14796.755875875873</v>
      </c>
      <c r="Y145" s="349">
        <f>Y139*24*LOOKUP(Semidetached!Y$2,'HDD-by Country'!$A$4:$A$40,'HDD-by Country'!$C$4:$C$40)/1000/Semidetached!Y$3</f>
        <v>5118.0376860278939</v>
      </c>
      <c r="Z145" s="349">
        <f>Z139*24*LOOKUP(Semidetached!Z$2,'HDD-by Country'!$A$4:$A$40,'HDD-by Country'!$C$4:$C$40)/1000/Semidetached!Z$3</f>
        <v>17323.051286434686</v>
      </c>
      <c r="AA145" s="349">
        <f>AA139*24*LOOKUP(Semidetached!AA$2,'HDD-by Country'!$A$4:$A$40,'HDD-by Country'!$C$4:$C$40)/1000/Semidetached!AA$3</f>
        <v>8639.6748830191882</v>
      </c>
      <c r="AB145" s="349">
        <f>AB139*24*LOOKUP(Semidetached!AB$2,'HDD-by Country'!$A$4:$A$40,'HDD-by Country'!$C$4:$C$40)/1000/Semidetached!AB$3</f>
        <v>11017.308778317549</v>
      </c>
      <c r="AC145" s="349">
        <f>AC139*24*LOOKUP(Semidetached!AC$2,'HDD-by Country'!$A$4:$A$40,'HDD-by Country'!$C$4:$C$40)/1000/Semidetached!AC$3</f>
        <v>9402.580729777128</v>
      </c>
      <c r="AD145" s="349">
        <f>AD139*24*LOOKUP(Semidetached!AD$2,'HDD-by Country'!$A$4:$A$40,'HDD-by Country'!$C$4:$C$40)/1000/Semidetached!AD$3</f>
        <v>14470.619158529016</v>
      </c>
      <c r="AE145" s="349">
        <f>AE139*24*LOOKUP(Semidetached!AE$2,'HDD-by Country'!$A$4:$A$40,'HDD-by Country'!$C$4:$C$40)/1000/Semidetached!AE$3</f>
        <v>8230.6074418060252</v>
      </c>
      <c r="AF145" s="349">
        <f>AF139*24*LOOKUP(Semidetached!AF$2,'HDD-by Country'!$A$4:$A$40,'HDD-by Country'!$C$4:$C$40)/1000/Semidetached!AF$3</f>
        <v>13151.427834153759</v>
      </c>
      <c r="AG145" s="349">
        <f>AG139*24*LOOKUP(Semidetached!AG$2,'HDD-by Country'!$A$4:$A$40,'HDD-by Country'!$C$4:$C$40)/1000/Semidetached!AG$3</f>
        <v>17783.258161949525</v>
      </c>
      <c r="AH145" s="349">
        <f>AH139*24*LOOKUP(Semidetached!AH$2,'HDD-by Country'!$A$4:$A$40,'HDD-by Country'!$C$4:$C$40)/1000/Semidetached!AH$3</f>
        <v>14561.275918805499</v>
      </c>
      <c r="AI145" s="349">
        <f>AI139*24*LOOKUP(Semidetached!AI$2,'HDD-by Country'!$A$4:$A$40,'HDD-by Country'!$C$4:$C$40)/1000/Semidetached!AI$3</f>
        <v>13847.771816947039</v>
      </c>
      <c r="AJ145" s="349">
        <f>AJ139*24*LOOKUP(Semidetached!AJ$2,'HDD-by Country'!$A$4:$A$40,'HDD-by Country'!$C$4:$C$40)/1000/Semidetached!AJ$3</f>
        <v>11217.834065471417</v>
      </c>
      <c r="AK145" s="349">
        <f>AK139*24*LOOKUP(Semidetached!AK$2,'HDD-by Country'!$A$4:$A$40,'HDD-by Country'!$C$4:$C$40)/1000/Semidetached!AK$3</f>
        <v>11909.341380503736</v>
      </c>
      <c r="AL145" s="349">
        <f>AL139*24*LOOKUP(Semidetached!AL$2,'HDD-by Country'!$A$4:$A$40,'HDD-by Country'!$C$4:$C$40)/1000/Semidetached!AL$3</f>
        <v>10438.858518413917</v>
      </c>
      <c r="AM145" s="349">
        <f>AM139*24*LOOKUP(Semidetached!AM$2,'HDD-by Country'!$A$4:$A$40,'HDD-by Country'!$C$4:$C$40)/1000/Semidetached!AM$3</f>
        <v>10315.646863080661</v>
      </c>
      <c r="AN145" s="354">
        <f>AN139*24*LOOKUP(Semidetached!AN$2,'HDD-by Country'!$A$4:$A$40,'HDD-by Country'!$C$4:$C$40)/1000/Semidetached!AN$3</f>
        <v>10315.646863080661</v>
      </c>
    </row>
    <row r="146" spans="1:40">
      <c r="A146" s="129"/>
      <c r="B146" s="142" t="s">
        <v>5</v>
      </c>
      <c r="C146" s="129" t="s">
        <v>261</v>
      </c>
      <c r="D146" s="345">
        <f>D140*24*LOOKUP(Semidetached!D$2,'HDD-by Country'!$A$4:$A$40,'HDD-by Country'!$C$4:$C$40)/1000/Semidetached!D$3</f>
        <v>10050.344468263711</v>
      </c>
      <c r="E146" s="349">
        <f>E140*24*LOOKUP(Semidetached!E$2,'HDD-by Country'!$A$4:$A$40,'HDD-by Country'!$C$4:$C$40)/1000/Semidetached!E$3</f>
        <v>16434.230060618971</v>
      </c>
      <c r="F146" s="349">
        <f>F140*24*LOOKUP(Semidetached!F$2,'HDD-by Country'!$A$4:$A$40,'HDD-by Country'!$C$4:$C$40)/1000/Semidetached!F$3</f>
        <v>8167.439798589804</v>
      </c>
      <c r="G146" s="349">
        <f>G140*24*LOOKUP(Semidetached!G$2,'HDD-by Country'!$A$4:$A$40,'HDD-by Country'!$C$4:$C$40)/1000/Semidetached!G$3</f>
        <v>10084.484181318556</v>
      </c>
      <c r="H146" s="349">
        <f>H140*24*LOOKUP(Semidetached!H$2,'HDD-by Country'!$A$4:$A$40,'HDD-by Country'!$C$4:$C$40)/1000/Semidetached!H$3</f>
        <v>5552.8349686183683</v>
      </c>
      <c r="I146" s="349">
        <f>I140*24*LOOKUP(Semidetached!I$2,'HDD-by Country'!$A$4:$A$40,'HDD-by Country'!$C$4:$C$40)/1000/Semidetached!I$3</f>
        <v>11099.308794011029</v>
      </c>
      <c r="J146" s="349">
        <f>J140*24*LOOKUP(Semidetached!J$2,'HDD-by Country'!$A$4:$A$40,'HDD-by Country'!$C$4:$C$40)/1000/Semidetached!J$3</f>
        <v>9131.4535432930988</v>
      </c>
      <c r="K146" s="349">
        <f>K140*24*LOOKUP(Semidetached!K$2,'HDD-by Country'!$A$4:$A$40,'HDD-by Country'!$C$4:$C$40)/1000/Semidetached!K$3</f>
        <v>6628.5686633774312</v>
      </c>
      <c r="L146" s="349">
        <f>L140*24*LOOKUP(Semidetached!L$2,'HDD-by Country'!$A$4:$A$40,'HDD-by Country'!$C$4:$C$40)/1000/Semidetached!L$3</f>
        <v>4768.5642623738368</v>
      </c>
      <c r="M146" s="349">
        <f>M140*24*LOOKUP(Semidetached!M$2,'HDD-by Country'!$A$4:$A$40,'HDD-by Country'!$C$4:$C$40)/1000/Semidetached!M$3</f>
        <v>10311.582279050903</v>
      </c>
      <c r="N146" s="349">
        <f>N140*24*LOOKUP(Semidetached!N$2,'HDD-by Country'!$A$4:$A$40,'HDD-by Country'!$C$4:$C$40)/1000/Semidetached!N$3</f>
        <v>8465.1568846350219</v>
      </c>
      <c r="O146" s="349">
        <f>O140*24*LOOKUP(Semidetached!O$2,'HDD-by Country'!$A$4:$A$40,'HDD-by Country'!$C$4:$C$40)/1000/Semidetached!O$3</f>
        <v>9142.1861187249469</v>
      </c>
      <c r="P146" s="349">
        <f>P140*24*LOOKUP(Semidetached!P$2,'HDD-by Country'!$A$4:$A$40,'HDD-by Country'!$C$4:$C$40)/1000/Semidetached!P$3</f>
        <v>13706.47189379574</v>
      </c>
      <c r="Q146" s="349">
        <f>Q140*24*LOOKUP(Semidetached!Q$2,'HDD-by Country'!$A$4:$A$40,'HDD-by Country'!$C$4:$C$40)/1000/Semidetached!Q$3</f>
        <v>9259.0348022447415</v>
      </c>
      <c r="R146" s="349">
        <f>R140*24*LOOKUP(Semidetached!R$2,'HDD-by Country'!$A$4:$A$40,'HDD-by Country'!$C$4:$C$40)/1000/Semidetached!R$3</f>
        <v>8993.4701455322793</v>
      </c>
      <c r="S146" s="349">
        <f>S140*24*LOOKUP(Semidetached!S$2,'HDD-by Country'!$A$4:$A$40,'HDD-by Country'!$C$4:$C$40)/1000/Semidetached!S$3</f>
        <v>11772.204122123791</v>
      </c>
      <c r="T146" s="349">
        <f>T140*24*LOOKUP(Semidetached!T$2,'HDD-by Country'!$A$4:$A$40,'HDD-by Country'!$C$4:$C$40)/1000/Semidetached!T$3</f>
        <v>7247.7361271425152</v>
      </c>
      <c r="U146" s="349">
        <f>U140*24*LOOKUP(Semidetached!U$2,'HDD-by Country'!$A$4:$A$40,'HDD-by Country'!$C$4:$C$40)/1000/Semidetached!U$3</f>
        <v>10453.209401202274</v>
      </c>
      <c r="V146" s="349">
        <f>V140*24*LOOKUP(Semidetached!V$2,'HDD-by Country'!$A$4:$A$40,'HDD-by Country'!$C$4:$C$40)/1000/Semidetached!V$3</f>
        <v>9330.3608335530535</v>
      </c>
      <c r="W146" s="349">
        <f>W140*24*LOOKUP(Semidetached!W$2,'HDD-by Country'!$A$4:$A$40,'HDD-by Country'!$C$4:$C$40)/1000/Semidetached!W$3</f>
        <v>7624.9638344637287</v>
      </c>
      <c r="X146" s="349">
        <f>X140*24*LOOKUP(Semidetached!X$2,'HDD-by Country'!$A$4:$A$40,'HDD-by Country'!$C$4:$C$40)/1000/Semidetached!X$3</f>
        <v>7943.2264543039264</v>
      </c>
      <c r="Y146" s="349">
        <f>Y140*24*LOOKUP(Semidetached!Y$2,'HDD-by Country'!$A$4:$A$40,'HDD-by Country'!$C$4:$C$40)/1000/Semidetached!Y$3</f>
        <v>4400.3318795651612</v>
      </c>
      <c r="Z146" s="349">
        <f>Z140*24*LOOKUP(Semidetached!Z$2,'HDD-by Country'!$A$4:$A$40,'HDD-by Country'!$C$4:$C$40)/1000/Semidetached!Z$3</f>
        <v>10851.799987240736</v>
      </c>
      <c r="AA146" s="349">
        <f>AA140*24*LOOKUP(Semidetached!AA$2,'HDD-by Country'!$A$4:$A$40,'HDD-by Country'!$C$4:$C$40)/1000/Semidetached!AA$3</f>
        <v>8529.9166430191854</v>
      </c>
      <c r="AB146" s="349">
        <f>AB140*24*LOOKUP(Semidetached!AB$2,'HDD-by Country'!$A$4:$A$40,'HDD-by Country'!$C$4:$C$40)/1000/Semidetached!AB$3</f>
        <v>11017.308778317549</v>
      </c>
      <c r="AC146" s="349">
        <f>AC140*24*LOOKUP(Semidetached!AC$2,'HDD-by Country'!$A$4:$A$40,'HDD-by Country'!$C$4:$C$40)/1000/Semidetached!AC$3</f>
        <v>9148.9759864006573</v>
      </c>
      <c r="AD146" s="349">
        <f>AD140*24*LOOKUP(Semidetached!AD$2,'HDD-by Country'!$A$4:$A$40,'HDD-by Country'!$C$4:$C$40)/1000/Semidetached!AD$3</f>
        <v>11843.909891939098</v>
      </c>
      <c r="AE146" s="349">
        <f>AE140*24*LOOKUP(Semidetached!AE$2,'HDD-by Country'!$A$4:$A$40,'HDD-by Country'!$C$4:$C$40)/1000/Semidetached!AE$3</f>
        <v>8124.776081806026</v>
      </c>
      <c r="AF146" s="349">
        <f>AF140*24*LOOKUP(Semidetached!AF$2,'HDD-by Country'!$A$4:$A$40,'HDD-by Country'!$C$4:$C$40)/1000/Semidetached!AF$3</f>
        <v>9556.5198730225093</v>
      </c>
      <c r="AG146" s="349">
        <f>AG140*24*LOOKUP(Semidetached!AG$2,'HDD-by Country'!$A$4:$A$40,'HDD-by Country'!$C$4:$C$40)/1000/Semidetached!AG$3</f>
        <v>15804.102959451353</v>
      </c>
      <c r="AH146" s="349">
        <f>AH140*24*LOOKUP(Semidetached!AH$2,'HDD-by Country'!$A$4:$A$40,'HDD-by Country'!$C$4:$C$40)/1000/Semidetached!AH$3</f>
        <v>8013.4081294229036</v>
      </c>
      <c r="AI146" s="349">
        <f>AI140*24*LOOKUP(Semidetached!AI$2,'HDD-by Country'!$A$4:$A$40,'HDD-by Country'!$C$4:$C$40)/1000/Semidetached!AI$3</f>
        <v>13154.958209892733</v>
      </c>
      <c r="AJ146" s="349">
        <f>AJ140*24*LOOKUP(Semidetached!AJ$2,'HDD-by Country'!$A$4:$A$40,'HDD-by Country'!$C$4:$C$40)/1000/Semidetached!AJ$3</f>
        <v>9940.8337545435079</v>
      </c>
      <c r="AK146" s="349">
        <f>AK140*24*LOOKUP(Semidetached!AK$2,'HDD-by Country'!$A$4:$A$40,'HDD-by Country'!$C$4:$C$40)/1000/Semidetached!AK$3</f>
        <v>10544.925373327578</v>
      </c>
      <c r="AL146" s="349">
        <f>AL140*24*LOOKUP(Semidetached!AL$2,'HDD-by Country'!$A$4:$A$40,'HDD-by Country'!$C$4:$C$40)/1000/Semidetached!AL$3</f>
        <v>8526.8657599098751</v>
      </c>
      <c r="AM146" s="349">
        <f>AM140*24*LOOKUP(Semidetached!AM$2,'HDD-by Country'!$A$4:$A$40,'HDD-by Country'!$C$4:$C$40)/1000/Semidetached!AM$3</f>
        <v>9141.3484936544846</v>
      </c>
      <c r="AN146" s="354">
        <f>AN140*24*LOOKUP(Semidetached!AN$2,'HDD-by Country'!$A$4:$A$40,'HDD-by Country'!$C$4:$C$40)/1000/Semidetached!AN$3</f>
        <v>9141.3484936544846</v>
      </c>
    </row>
    <row r="147" spans="1:40">
      <c r="A147" s="129"/>
      <c r="B147" s="142" t="s">
        <v>6</v>
      </c>
      <c r="C147" s="129" t="s">
        <v>261</v>
      </c>
      <c r="D147" s="345">
        <f>D141*24*LOOKUP(Semidetached!D$2,'HDD-by Country'!$A$4:$A$40,'HDD-by Country'!$C$4:$C$40)/1000/Semidetached!D$3</f>
        <v>8240.3244901339021</v>
      </c>
      <c r="E147" s="349">
        <f>E141*24*LOOKUP(Semidetached!E$2,'HDD-by Country'!$A$4:$A$40,'HDD-by Country'!$C$4:$C$40)/1000/Semidetached!E$3</f>
        <v>16434.230060618971</v>
      </c>
      <c r="F147" s="349">
        <f>F141*24*LOOKUP(Semidetached!F$2,'HDD-by Country'!$A$4:$A$40,'HDD-by Country'!$C$4:$C$40)/1000/Semidetached!F$3</f>
        <v>6641.4608762645439</v>
      </c>
      <c r="G147" s="349">
        <f>G141*24*LOOKUP(Semidetached!G$2,'HDD-by Country'!$A$4:$A$40,'HDD-by Country'!$C$4:$C$40)/1000/Semidetached!G$3</f>
        <v>8269.3244073105816</v>
      </c>
      <c r="H147" s="349">
        <f>H141*24*LOOKUP(Semidetached!H$2,'HDD-by Country'!$A$4:$A$40,'HDD-by Country'!$C$4:$C$40)/1000/Semidetached!H$3</f>
        <v>4843.4045686183681</v>
      </c>
      <c r="I147" s="349">
        <f>I141*24*LOOKUP(Semidetached!I$2,'HDD-by Country'!$A$4:$A$40,'HDD-by Country'!$C$4:$C$40)/1000/Semidetached!I$3</f>
        <v>8107.6773682513767</v>
      </c>
      <c r="J147" s="349">
        <f>J141*24*LOOKUP(Semidetached!J$2,'HDD-by Country'!$A$4:$A$40,'HDD-by Country'!$C$4:$C$40)/1000/Semidetached!J$3</f>
        <v>4902.4347553197513</v>
      </c>
      <c r="K147" s="349">
        <f>K141*24*LOOKUP(Semidetached!K$2,'HDD-by Country'!$A$4:$A$40,'HDD-by Country'!$C$4:$C$40)/1000/Semidetached!K$3</f>
        <v>6628.5686633774312</v>
      </c>
      <c r="L147" s="349">
        <f>L141*24*LOOKUP(Semidetached!L$2,'HDD-by Country'!$A$4:$A$40,'HDD-by Country'!$C$4:$C$40)/1000/Semidetached!L$3</f>
        <v>4019.8308637609662</v>
      </c>
      <c r="M147" s="349">
        <f>M141*24*LOOKUP(Semidetached!M$2,'HDD-by Country'!$A$4:$A$40,'HDD-by Country'!$C$4:$C$40)/1000/Semidetached!M$3</f>
        <v>10311.582279050903</v>
      </c>
      <c r="N147" s="349">
        <f>N141*24*LOOKUP(Semidetached!N$2,'HDD-by Country'!$A$4:$A$40,'HDD-by Country'!$C$4:$C$40)/1000/Semidetached!N$3</f>
        <v>8332.1272898519655</v>
      </c>
      <c r="O147" s="349">
        <f>O141*24*LOOKUP(Semidetached!O$2,'HDD-by Country'!$A$4:$A$40,'HDD-by Country'!$C$4:$C$40)/1000/Semidetached!O$3</f>
        <v>4838.7892267413017</v>
      </c>
      <c r="P147" s="349">
        <f>P141*24*LOOKUP(Semidetached!P$2,'HDD-by Country'!$A$4:$A$40,'HDD-by Country'!$C$4:$C$40)/1000/Semidetached!P$3</f>
        <v>13706.47189379574</v>
      </c>
      <c r="Q147" s="349">
        <f>Q141*24*LOOKUP(Semidetached!Q$2,'HDD-by Country'!$A$4:$A$40,'HDD-by Country'!$C$4:$C$40)/1000/Semidetached!Q$3</f>
        <v>6455.0769948279958</v>
      </c>
      <c r="R147" s="349">
        <f>R141*24*LOOKUP(Semidetached!R$2,'HDD-by Country'!$A$4:$A$40,'HDD-by Country'!$C$4:$C$40)/1000/Semidetached!R$3</f>
        <v>8993.4701455322793</v>
      </c>
      <c r="S147" s="349">
        <f>S141*24*LOOKUP(Semidetached!S$2,'HDD-by Country'!$A$4:$A$40,'HDD-by Country'!$C$4:$C$40)/1000/Semidetached!S$3</f>
        <v>9654.924376282399</v>
      </c>
      <c r="T147" s="349">
        <f>T141*24*LOOKUP(Semidetached!T$2,'HDD-by Country'!$A$4:$A$40,'HDD-by Country'!$C$4:$C$40)/1000/Semidetached!T$3</f>
        <v>7133.5213092794975</v>
      </c>
      <c r="U147" s="349">
        <f>U141*24*LOOKUP(Semidetached!U$2,'HDD-by Country'!$A$4:$A$40,'HDD-by Country'!$C$4:$C$40)/1000/Semidetached!U$3</f>
        <v>9797.1479553673253</v>
      </c>
      <c r="V147" s="349">
        <f>V141*24*LOOKUP(Semidetached!V$2,'HDD-by Country'!$A$4:$A$40,'HDD-by Country'!$C$4:$C$40)/1000/Semidetached!V$3</f>
        <v>9330.3608335530535</v>
      </c>
      <c r="W147" s="349">
        <f>W141*24*LOOKUP(Semidetached!W$2,'HDD-by Country'!$A$4:$A$40,'HDD-by Country'!$C$4:$C$40)/1000/Semidetached!W$3</f>
        <v>6450.0584896247319</v>
      </c>
      <c r="X147" s="349">
        <f>X141*24*LOOKUP(Semidetached!X$2,'HDD-by Country'!$A$4:$A$40,'HDD-by Country'!$C$4:$C$40)/1000/Semidetached!X$3</f>
        <v>7913.5533898051171</v>
      </c>
      <c r="Y147" s="349">
        <f>Y141*24*LOOKUP(Semidetached!Y$2,'HDD-by Country'!$A$4:$A$40,'HDD-by Country'!$C$4:$C$40)/1000/Semidetached!Y$3</f>
        <v>4398.2718043582436</v>
      </c>
      <c r="Z147" s="349">
        <f>Z141*24*LOOKUP(Semidetached!Z$2,'HDD-by Country'!$A$4:$A$40,'HDD-by Country'!$C$4:$C$40)/1000/Semidetached!Z$3</f>
        <v>9689.2558357784928</v>
      </c>
      <c r="AA147" s="349">
        <f>AA141*24*LOOKUP(Semidetached!AA$2,'HDD-by Country'!$A$4:$A$40,'HDD-by Country'!$C$4:$C$40)/1000/Semidetached!AA$3</f>
        <v>7539.7760314021289</v>
      </c>
      <c r="AB147" s="349">
        <f>AB141*24*LOOKUP(Semidetached!AB$2,'HDD-by Country'!$A$4:$A$40,'HDD-by Country'!$C$4:$C$40)/1000/Semidetached!AB$3</f>
        <v>11017.308778317549</v>
      </c>
      <c r="AC147" s="349">
        <f>AC141*24*LOOKUP(Semidetached!AC$2,'HDD-by Country'!$A$4:$A$40,'HDD-by Country'!$C$4:$C$40)/1000/Semidetached!AC$3</f>
        <v>8385.8427703175166</v>
      </c>
      <c r="AD147" s="349">
        <f>AD141*24*LOOKUP(Semidetached!AD$2,'HDD-by Country'!$A$4:$A$40,'HDD-by Country'!$C$4:$C$40)/1000/Semidetached!AD$3</f>
        <v>11843.909891939098</v>
      </c>
      <c r="AE147" s="349">
        <f>AE141*24*LOOKUP(Semidetached!AE$2,'HDD-by Country'!$A$4:$A$40,'HDD-by Country'!$C$4:$C$40)/1000/Semidetached!AE$3</f>
        <v>7184.0788596293323</v>
      </c>
      <c r="AF147" s="349">
        <f>AF141*24*LOOKUP(Semidetached!AF$2,'HDD-by Country'!$A$4:$A$40,'HDD-by Country'!$C$4:$C$40)/1000/Semidetached!AF$3</f>
        <v>6725.2310487660443</v>
      </c>
      <c r="AG147" s="349">
        <f>AG141*24*LOOKUP(Semidetached!AG$2,'HDD-by Country'!$A$4:$A$40,'HDD-by Country'!$C$4:$C$40)/1000/Semidetached!AG$3</f>
        <v>14806.647238445548</v>
      </c>
      <c r="AH147" s="349">
        <f>AH141*24*LOOKUP(Semidetached!AH$2,'HDD-by Country'!$A$4:$A$40,'HDD-by Country'!$C$4:$C$40)/1000/Semidetached!AH$3</f>
        <v>6070.305781289826</v>
      </c>
      <c r="AI147" s="349">
        <f>AI141*24*LOOKUP(Semidetached!AI$2,'HDD-by Country'!$A$4:$A$40,'HDD-by Country'!$C$4:$C$40)/1000/Semidetached!AI$3</f>
        <v>13154.958209892733</v>
      </c>
      <c r="AJ147" s="349">
        <f>AJ141*24*LOOKUP(Semidetached!AJ$2,'HDD-by Country'!$A$4:$A$40,'HDD-by Country'!$C$4:$C$40)/1000/Semidetached!AJ$3</f>
        <v>9510.9203745861141</v>
      </c>
      <c r="AK147" s="349">
        <f>AK141*24*LOOKUP(Semidetached!AK$2,'HDD-by Country'!$A$4:$A$40,'HDD-by Country'!$C$4:$C$40)/1000/Semidetached!AK$3</f>
        <v>10076.655781190606</v>
      </c>
      <c r="AL147" s="349">
        <f>AL141*24*LOOKUP(Semidetached!AL$2,'HDD-by Country'!$A$4:$A$40,'HDD-by Country'!$C$4:$C$40)/1000/Semidetached!AL$3</f>
        <v>6916.1958889426351</v>
      </c>
      <c r="AM147" s="349">
        <f>AM141*24*LOOKUP(Semidetached!AM$2,'HDD-by Country'!$A$4:$A$40,'HDD-by Country'!$C$4:$C$40)/1000/Semidetached!AM$3</f>
        <v>8746.010625089968</v>
      </c>
      <c r="AN147" s="354">
        <f>AN141*24*LOOKUP(Semidetached!AN$2,'HDD-by Country'!$A$4:$A$40,'HDD-by Country'!$C$4:$C$40)/1000/Semidetached!AN$3</f>
        <v>8746.010625089968</v>
      </c>
    </row>
    <row r="148" spans="1:40">
      <c r="A148" s="130"/>
      <c r="B148" s="142" t="s">
        <v>7</v>
      </c>
      <c r="C148" s="129" t="s">
        <v>261</v>
      </c>
      <c r="D148" s="345">
        <f>D142*24*LOOKUP(Semidetached!D$2,'HDD-by Country'!$A$4:$A$40,'HDD-by Country'!$C$4:$C$40)/1000/Semidetached!D$3</f>
        <v>7189.750953172831</v>
      </c>
      <c r="E148" s="349">
        <f>E142*24*LOOKUP(Semidetached!E$2,'HDD-by Country'!$A$4:$A$40,'HDD-by Country'!$C$4:$C$40)/1000/Semidetached!E$3</f>
        <v>9487.7618500087628</v>
      </c>
      <c r="F148" s="349">
        <f>F142*24*LOOKUP(Semidetached!F$2,'HDD-by Country'!$A$4:$A$40,'HDD-by Country'!$C$4:$C$40)/1000/Semidetached!F$3</f>
        <v>4297.0329257843832</v>
      </c>
      <c r="G148" s="349">
        <f>G142*24*LOOKUP(Semidetached!G$2,'HDD-by Country'!$A$4:$A$40,'HDD-by Country'!$C$4:$C$40)/1000/Semidetached!G$3</f>
        <v>7209.0753642042682</v>
      </c>
      <c r="H148" s="349">
        <f>H142*24*LOOKUP(Semidetached!H$2,'HDD-by Country'!$A$4:$A$40,'HDD-by Country'!$C$4:$C$40)/1000/Semidetached!H$3</f>
        <v>3329.3094254312969</v>
      </c>
      <c r="I148" s="349">
        <f>I142*24*LOOKUP(Semidetached!I$2,'HDD-by Country'!$A$4:$A$40,'HDD-by Country'!$C$4:$C$40)/1000/Semidetached!I$3</f>
        <v>6235.8625161793561</v>
      </c>
      <c r="J148" s="349">
        <f>J142*24*LOOKUP(Semidetached!J$2,'HDD-by Country'!$A$4:$A$40,'HDD-by Country'!$C$4:$C$40)/1000/Semidetached!J$3</f>
        <v>5392.9007231000869</v>
      </c>
      <c r="K148" s="349">
        <f>K142*24*LOOKUP(Semidetached!K$2,'HDD-by Country'!$A$4:$A$40,'HDD-by Country'!$C$4:$C$40)/1000/Semidetached!K$3</f>
        <v>4568.837478938779</v>
      </c>
      <c r="L148" s="349">
        <f>L142*24*LOOKUP(Semidetached!L$2,'HDD-by Country'!$A$4:$A$40,'HDD-by Country'!$C$4:$C$40)/1000/Semidetached!L$3</f>
        <v>4019.8308637609662</v>
      </c>
      <c r="M148" s="349">
        <f>M142*24*LOOKUP(Semidetached!M$2,'HDD-by Country'!$A$4:$A$40,'HDD-by Country'!$C$4:$C$40)/1000/Semidetached!M$3</f>
        <v>6667.1586348136152</v>
      </c>
      <c r="N148" s="349">
        <f>N142*24*LOOKUP(Semidetached!N$2,'HDD-by Country'!$A$4:$A$40,'HDD-by Country'!$C$4:$C$40)/1000/Semidetached!N$3</f>
        <v>7404.5002751716611</v>
      </c>
      <c r="O148" s="349">
        <f>O142*24*LOOKUP(Semidetached!O$2,'HDD-by Country'!$A$4:$A$40,'HDD-by Country'!$C$4:$C$40)/1000/Semidetached!O$3</f>
        <v>4666.0821738965496</v>
      </c>
      <c r="P148" s="349">
        <f>P142*24*LOOKUP(Semidetached!P$2,'HDD-by Country'!$A$4:$A$40,'HDD-by Country'!$C$4:$C$40)/1000/Semidetached!P$3</f>
        <v>4664.1833777200936</v>
      </c>
      <c r="Q148" s="349">
        <f>Q142*24*LOOKUP(Semidetached!Q$2,'HDD-by Country'!$A$4:$A$40,'HDD-by Country'!$C$4:$C$40)/1000/Semidetached!Q$3</f>
        <v>3985.0299265354593</v>
      </c>
      <c r="R148" s="349">
        <f>R142*24*LOOKUP(Semidetached!R$2,'HDD-by Country'!$A$4:$A$40,'HDD-by Country'!$C$4:$C$40)/1000/Semidetached!R$3</f>
        <v>5346.4221416154287</v>
      </c>
      <c r="S148" s="349">
        <f>S142*24*LOOKUP(Semidetached!S$2,'HDD-by Country'!$A$4:$A$40,'HDD-by Country'!$C$4:$C$40)/1000/Semidetached!S$3</f>
        <v>5565.6365689681734</v>
      </c>
      <c r="T148" s="349">
        <f>T142*24*LOOKUP(Semidetached!T$2,'HDD-by Country'!$A$4:$A$40,'HDD-by Country'!$C$4:$C$40)/1000/Semidetached!T$3</f>
        <v>6339.4561093223938</v>
      </c>
      <c r="U148" s="349">
        <f>U142*24*LOOKUP(Semidetached!U$2,'HDD-by Country'!$A$4:$A$40,'HDD-by Country'!$C$4:$C$40)/1000/Semidetached!U$3</f>
        <v>9371.4119553673245</v>
      </c>
      <c r="V148" s="349">
        <f>V142*24*LOOKUP(Semidetached!V$2,'HDD-by Country'!$A$4:$A$40,'HDD-by Country'!$C$4:$C$40)/1000/Semidetached!V$3</f>
        <v>5138.6494966673772</v>
      </c>
      <c r="W148" s="349">
        <f>W142*24*LOOKUP(Semidetached!W$2,'HDD-by Country'!$A$4:$A$40,'HDD-by Country'!$C$4:$C$40)/1000/Semidetached!W$3</f>
        <v>4969.373251238836</v>
      </c>
      <c r="X148" s="349">
        <f>X142*24*LOOKUP(Semidetached!X$2,'HDD-by Country'!$A$4:$A$40,'HDD-by Country'!$C$4:$C$40)/1000/Semidetached!X$3</f>
        <v>4841.0808235462328</v>
      </c>
      <c r="Y148" s="349">
        <f>Y142*24*LOOKUP(Semidetached!Y$2,'HDD-by Country'!$A$4:$A$40,'HDD-by Country'!$C$4:$C$40)/1000/Semidetached!Y$3</f>
        <v>4150.631960099704</v>
      </c>
      <c r="Z148" s="349">
        <f>Z142*24*LOOKUP(Semidetached!Z$2,'HDD-by Country'!$A$4:$A$40,'HDD-by Country'!$C$4:$C$40)/1000/Semidetached!Z$3</f>
        <v>6305.2861099974971</v>
      </c>
      <c r="AA148" s="349">
        <f>AA142*24*LOOKUP(Semidetached!AA$2,'HDD-by Country'!$A$4:$A$40,'HDD-by Country'!$C$4:$C$40)/1000/Semidetached!AA$3</f>
        <v>6723.4039985701302</v>
      </c>
      <c r="AB148" s="349">
        <f>AB142*24*LOOKUP(Semidetached!AB$2,'HDD-by Country'!$A$4:$A$40,'HDD-by Country'!$C$4:$C$40)/1000/Semidetached!AB$3</f>
        <v>7811.1234616226839</v>
      </c>
      <c r="AC148" s="349">
        <f>AC142*24*LOOKUP(Semidetached!AC$2,'HDD-by Country'!$A$4:$A$40,'HDD-by Country'!$C$4:$C$40)/1000/Semidetached!AC$3</f>
        <v>5583.9540822541467</v>
      </c>
      <c r="AD148" s="349">
        <f>AD142*24*LOOKUP(Semidetached!AD$2,'HDD-by Country'!$A$4:$A$40,'HDD-by Country'!$C$4:$C$40)/1000/Semidetached!AD$3</f>
        <v>9099.9386698804919</v>
      </c>
      <c r="AE148" s="349">
        <f>AE142*24*LOOKUP(Semidetached!AE$2,'HDD-by Country'!$A$4:$A$40,'HDD-by Country'!$C$4:$C$40)/1000/Semidetached!AE$3</f>
        <v>6396.9146111813343</v>
      </c>
      <c r="AF148" s="349">
        <f>AF142*24*LOOKUP(Semidetached!AF$2,'HDD-by Country'!$A$4:$A$40,'HDD-by Country'!$C$4:$C$40)/1000/Semidetached!AF$3</f>
        <v>3512.4514135398272</v>
      </c>
      <c r="AG148" s="349">
        <f>AG142*24*LOOKUP(Semidetached!AG$2,'HDD-by Country'!$A$4:$A$40,'HDD-by Country'!$C$4:$C$40)/1000/Semidetached!AG$3</f>
        <v>8506.8794501932844</v>
      </c>
      <c r="AH148" s="349">
        <f>AH142*24*LOOKUP(Semidetached!AH$2,'HDD-by Country'!$A$4:$A$40,'HDD-by Country'!$C$4:$C$40)/1000/Semidetached!AH$3</f>
        <v>5006.5317183493762</v>
      </c>
      <c r="AI148" s="349">
        <f>AI142*24*LOOKUP(Semidetached!AI$2,'HDD-by Country'!$A$4:$A$40,'HDD-by Country'!$C$4:$C$40)/1000/Semidetached!AI$3</f>
        <v>4513.7705548374552</v>
      </c>
      <c r="AJ148" s="349">
        <f>AJ142*24*LOOKUP(Semidetached!AJ$2,'HDD-by Country'!$A$4:$A$40,'HDD-by Country'!$C$4:$C$40)/1000/Semidetached!AJ$3</f>
        <v>8225.0514925948937</v>
      </c>
      <c r="AK148" s="349">
        <f>AK142*24*LOOKUP(Semidetached!AK$2,'HDD-by Country'!$A$4:$A$40,'HDD-by Country'!$C$4:$C$40)/1000/Semidetached!AK$3</f>
        <v>8766.7752518165362</v>
      </c>
      <c r="AL148" s="349">
        <f>AL142*24*LOOKUP(Semidetached!AL$2,'HDD-by Country'!$A$4:$A$40,'HDD-by Country'!$C$4:$C$40)/1000/Semidetached!AL$3</f>
        <v>4477.6153691608733</v>
      </c>
      <c r="AM148" s="349">
        <f>AM142*24*LOOKUP(Semidetached!AM$2,'HDD-by Country'!$A$4:$A$40,'HDD-by Country'!$C$4:$C$40)/1000/Semidetached!AM$3</f>
        <v>7563.5569338133055</v>
      </c>
      <c r="AN148" s="354">
        <f>AN142*24*LOOKUP(Semidetached!AN$2,'HDD-by Country'!$A$4:$A$40,'HDD-by Country'!$C$4:$C$40)/1000/Semidetached!AN$3</f>
        <v>7563.5569338133055</v>
      </c>
    </row>
    <row r="149" spans="1:40">
      <c r="A149" s="151" t="s">
        <v>260</v>
      </c>
      <c r="B149" s="141" t="s">
        <v>2</v>
      </c>
      <c r="C149" s="360" t="s">
        <v>261</v>
      </c>
      <c r="D149" s="351">
        <f>D143/(1.355*(D137/Semidetached!D$17)^0.16)</f>
        <v>15098.29713537012</v>
      </c>
      <c r="E149" s="352">
        <f>E143/(1.355*(E137/Semidetached!E$17)^0.16)</f>
        <v>13414.269744768859</v>
      </c>
      <c r="F149" s="352">
        <f>F143/(1.355*(F137/Semidetached!F$17)^0.16)</f>
        <v>7514.4758640743203</v>
      </c>
      <c r="G149" s="352">
        <f>G143/(1.355*(G137/Semidetached!G$17)^0.16)</f>
        <v>15176.78439172135</v>
      </c>
      <c r="H149" s="352">
        <f>H143/(1.355*(H137/Semidetached!H$17)^0.16)</f>
        <v>4244.9488632067414</v>
      </c>
      <c r="I149" s="352">
        <f>I143/(1.355*(I137/Semidetached!I$17)^0.16)</f>
        <v>11157.93221377967</v>
      </c>
      <c r="J149" s="352">
        <f>J143/(1.355*(J137/Semidetached!J$17)^0.16)</f>
        <v>13998.831940521806</v>
      </c>
      <c r="K149" s="352">
        <f>K143/(1.355*(K137/Semidetached!K$17)^0.16)</f>
        <v>10617.478969606069</v>
      </c>
      <c r="L149" s="352">
        <f>L143/(1.355*(L137/Semidetached!L$17)^0.16)</f>
        <v>6724.7907523789881</v>
      </c>
      <c r="M149" s="352">
        <f>M143/(1.355*(M137/Semidetached!M$17)^0.16)</f>
        <v>12546.158292854861</v>
      </c>
      <c r="N149" s="352">
        <f>N143/(1.355*(N137/Semidetached!N$17)^0.16)</f>
        <v>11997.919059040158</v>
      </c>
      <c r="O149" s="352">
        <f>O143/(1.355*(O137/Semidetached!O$17)^0.16)</f>
        <v>15137.480368319602</v>
      </c>
      <c r="P149" s="352">
        <f>P143/(1.355*(P137/Semidetached!P$17)^0.16)</f>
        <v>9439.1179152830064</v>
      </c>
      <c r="Q149" s="352">
        <f>Q143/(1.355*(Q137/Semidetached!Q$17)^0.16)</f>
        <v>7163.0354413457644</v>
      </c>
      <c r="R149" s="352">
        <f>R143/(1.355*(R137/Semidetached!R$17)^0.16)</f>
        <v>10103.274348962597</v>
      </c>
      <c r="S149" s="352">
        <f>S143/(1.355*(S137/Semidetached!S$17)^0.16)</f>
        <v>12636.271959741638</v>
      </c>
      <c r="T149" s="352">
        <f>T143/(1.355*(T137/Semidetached!T$17)^0.16)</f>
        <v>10281.063449726953</v>
      </c>
      <c r="U149" s="352">
        <f>U143/(1.355*(U137/Semidetached!U$17)^0.16)</f>
        <v>10598.6155883256</v>
      </c>
      <c r="V149" s="352">
        <f>V143/(1.355*(V137/Semidetached!V$17)^0.16)</f>
        <v>11395.437908115551</v>
      </c>
      <c r="W149" s="352">
        <f>W143/(1.355*(W137/Semidetached!W$17)^0.16)</f>
        <v>11660.857337962829</v>
      </c>
      <c r="X149" s="352">
        <f>X143/(1.355*(X137/Semidetached!X$17)^0.16)</f>
        <v>11865.518838400316</v>
      </c>
      <c r="Y149" s="352">
        <f>Y143/(1.355*(Y137/Semidetached!Y$17)^0.16)</f>
        <v>4071.9441228953197</v>
      </c>
      <c r="Z149" s="352">
        <f>Z143/(1.355*(Z137/Semidetached!Z$17)^0.16)</f>
        <v>14103.36136627411</v>
      </c>
      <c r="AA149" s="352">
        <f>AA143/(1.355*(AA137/Semidetached!AA$17)^0.16)</f>
        <v>10492.570049375188</v>
      </c>
      <c r="AB149" s="352">
        <f>AB143/(1.355*(AB137/Semidetached!AB$17)^0.16)</f>
        <v>14311.732647653072</v>
      </c>
      <c r="AC149" s="352">
        <f>AC143/(1.355*(AC137/Semidetached!AC$17)^0.16)</f>
        <v>7093.9844250190017</v>
      </c>
      <c r="AD149" s="352">
        <f>AD143/(1.355*(AD137/Semidetached!AD$17)^0.16)</f>
        <v>11164.27577835893</v>
      </c>
      <c r="AE149" s="352">
        <f>AE143/(1.355*(AE137/Semidetached!AE$17)^0.16)</f>
        <v>9974.0012224196435</v>
      </c>
      <c r="AF149" s="352">
        <f>AF143/(1.355*(AF137/Semidetached!AF$17)^0.16)</f>
        <v>10146.763350444402</v>
      </c>
      <c r="AG149" s="352">
        <f>AG143/(1.355*(AG137/Semidetached!AG$17)^0.16)</f>
        <v>14464.128003653554</v>
      </c>
      <c r="AH149" s="352">
        <f>AH143/(1.355*(AH137/Semidetached!AH$17)^0.16)</f>
        <v>11357.133749035856</v>
      </c>
      <c r="AI149" s="352">
        <f>AI143/(1.355*(AI137/Semidetached!AI$17)^0.16)</f>
        <v>9080.2805071149833</v>
      </c>
      <c r="AJ149" s="352">
        <f>AJ143/(1.355*(AJ137/Semidetached!AJ$17)^0.16)</f>
        <v>8011.7191117585462</v>
      </c>
      <c r="AK149" s="352">
        <f>AK143/(1.355*(AK137/Semidetached!AK$17)^0.16)</f>
        <v>8590.2355665411451</v>
      </c>
      <c r="AL149" s="352">
        <f>AL143/(1.355*(AL137/Semidetached!AL$17)^0.16)</f>
        <v>7885.9284366331285</v>
      </c>
      <c r="AM149" s="352">
        <f>AM143/(1.355*(AM137/Semidetached!AM$17)^0.16)</f>
        <v>7367.3816746390175</v>
      </c>
      <c r="AN149" s="353">
        <f>AN143/(1.355*(AN137/Semidetached!AN$17)^0.16)</f>
        <v>7367.3816746390175</v>
      </c>
    </row>
    <row r="150" spans="1:40">
      <c r="A150" s="129"/>
      <c r="B150" s="142" t="s">
        <v>3</v>
      </c>
      <c r="C150" s="129" t="s">
        <v>261</v>
      </c>
      <c r="D150" s="345">
        <f>D144/(1.355*(D138/Semidetached!D$17)^0.16)</f>
        <v>14500.149160034975</v>
      </c>
      <c r="E150" s="349">
        <f>E144/(1.355*(E138/Semidetached!E$17)^0.16)</f>
        <v>13414.269744768859</v>
      </c>
      <c r="F150" s="349">
        <f>F144/(1.355*(F138/Semidetached!F$17)^0.16)</f>
        <v>7514.4758640743203</v>
      </c>
      <c r="G150" s="349">
        <f>G144/(1.355*(G138/Semidetached!G$17)^0.16)</f>
        <v>14593.238704876303</v>
      </c>
      <c r="H150" s="349">
        <f>H144/(1.355*(H138/Semidetached!H$17)^0.16)</f>
        <v>3946.3713980858215</v>
      </c>
      <c r="I150" s="349">
        <f>I144/(1.355*(I138/Semidetached!I$17)^0.16)</f>
        <v>9630.1479090136454</v>
      </c>
      <c r="J150" s="349">
        <f>J144/(1.355*(J138/Semidetached!J$17)^0.16)</f>
        <v>12095.85372454641</v>
      </c>
      <c r="K150" s="349">
        <f>K144/(1.355*(K138/Semidetached!K$17)^0.16)</f>
        <v>10348.879390991573</v>
      </c>
      <c r="L150" s="349">
        <f>L144/(1.355*(L138/Semidetached!L$17)^0.16)</f>
        <v>6724.7907523789881</v>
      </c>
      <c r="M150" s="349">
        <f>M144/(1.355*(M138/Semidetached!M$17)^0.16)</f>
        <v>11661.979123741736</v>
      </c>
      <c r="N150" s="349">
        <f>N144/(1.355*(N138/Semidetached!N$17)^0.16)</f>
        <v>10781.359421789944</v>
      </c>
      <c r="O150" s="349">
        <f>O144/(1.355*(O138/Semidetached!O$17)^0.16)</f>
        <v>15137.480368319602</v>
      </c>
      <c r="P150" s="349">
        <f>P144/(1.355*(P138/Semidetached!P$17)^0.16)</f>
        <v>9439.1179152830064</v>
      </c>
      <c r="Q150" s="349">
        <f>Q144/(1.355*(Q138/Semidetached!Q$17)^0.16)</f>
        <v>7606.7088316587797</v>
      </c>
      <c r="R150" s="349">
        <f>R144/(1.355*(R138/Semidetached!R$17)^0.16)</f>
        <v>10103.274348962597</v>
      </c>
      <c r="S150" s="349">
        <f>S144/(1.355*(S138/Semidetached!S$17)^0.16)</f>
        <v>12639.370006726862</v>
      </c>
      <c r="T150" s="349">
        <f>T144/(1.355*(T138/Semidetached!T$17)^0.16)</f>
        <v>9235.2306183650107</v>
      </c>
      <c r="U150" s="349">
        <f>U144/(1.355*(U138/Semidetached!U$17)^0.16)</f>
        <v>10104.537928741594</v>
      </c>
      <c r="V150" s="349">
        <f>V144/(1.355*(V138/Semidetached!V$17)^0.16)</f>
        <v>11395.437908115551</v>
      </c>
      <c r="W150" s="349">
        <f>W144/(1.355*(W138/Semidetached!W$17)^0.16)</f>
        <v>12752.173510305884</v>
      </c>
      <c r="X150" s="349">
        <f>X144/(1.355*(X138/Semidetached!X$17)^0.16)</f>
        <v>11749.46463633098</v>
      </c>
      <c r="Y150" s="349">
        <f>Y144/(1.355*(Y138/Semidetached!Y$17)^0.16)</f>
        <v>4071.8323769242133</v>
      </c>
      <c r="Z150" s="349">
        <f>Z144/(1.355*(Z138/Semidetached!Z$17)^0.16)</f>
        <v>13147.879704376144</v>
      </c>
      <c r="AA150" s="349">
        <f>AA144/(1.355*(AA138/Semidetached!AA$17)^0.16)</f>
        <v>10459.152748724704</v>
      </c>
      <c r="AB150" s="349">
        <f>AB144/(1.355*(AB138/Semidetached!AB$17)^0.16)</f>
        <v>11628.547913861763</v>
      </c>
      <c r="AC150" s="349">
        <f>AC144/(1.355*(AC138/Semidetached!AC$17)^0.16)</f>
        <v>6501.5924766637363</v>
      </c>
      <c r="AD150" s="349">
        <f>AD144/(1.355*(AD138/Semidetached!AD$17)^0.16)</f>
        <v>10089.819094602848</v>
      </c>
      <c r="AE150" s="349">
        <f>AE144/(1.355*(AE138/Semidetached!AE$17)^0.16)</f>
        <v>9941.8149831947303</v>
      </c>
      <c r="AF150" s="349">
        <f>AF144/(1.355*(AF138/Semidetached!AF$17)^0.16)</f>
        <v>10146.763350444402</v>
      </c>
      <c r="AG150" s="349">
        <f>AG144/(1.355*(AG138/Semidetached!AG$17)^0.16)</f>
        <v>12627.033559105179</v>
      </c>
      <c r="AH150" s="349">
        <f>AH144/(1.355*(AH138/Semidetached!AH$17)^0.16)</f>
        <v>11903.79737129061</v>
      </c>
      <c r="AI150" s="349">
        <f>AI144/(1.355*(AI138/Semidetached!AI$17)^0.16)</f>
        <v>9080.2805071149833</v>
      </c>
      <c r="AJ150" s="349">
        <f>AJ144/(1.355*(AJ138/Semidetached!AJ$17)^0.16)</f>
        <v>8011.7191117585462</v>
      </c>
      <c r="AK150" s="349">
        <f>AK144/(1.355*(AK138/Semidetached!AK$17)^0.16)</f>
        <v>8590.2355665411451</v>
      </c>
      <c r="AL150" s="349">
        <f>AL144/(1.355*(AL138/Semidetached!AL$17)^0.16)</f>
        <v>7885.9284366331285</v>
      </c>
      <c r="AM150" s="349">
        <f>AM144/(1.355*(AM138/Semidetached!AM$17)^0.16)</f>
        <v>7367.3816746390175</v>
      </c>
      <c r="AN150" s="354">
        <f>AN144/(1.355*(AN138/Semidetached!AN$17)^0.16)</f>
        <v>7367.3816746390175</v>
      </c>
    </row>
    <row r="151" spans="1:40">
      <c r="A151" s="129"/>
      <c r="B151" s="142" t="s">
        <v>4</v>
      </c>
      <c r="C151" s="129" t="s">
        <v>261</v>
      </c>
      <c r="D151" s="345">
        <f>D145/(1.355*(D139/Semidetached!D$17)^0.16)</f>
        <v>11795.786466431266</v>
      </c>
      <c r="E151" s="349">
        <f>E145/(1.355*(E139/Semidetached!E$17)^0.16)</f>
        <v>13414.269744768859</v>
      </c>
      <c r="F151" s="349">
        <f>F145/(1.355*(F139/Semidetached!F$17)^0.16)</f>
        <v>7110.4977964081045</v>
      </c>
      <c r="G151" s="349">
        <f>G145/(1.355*(G139/Semidetached!G$17)^0.16)</f>
        <v>11863.464993372199</v>
      </c>
      <c r="H151" s="349">
        <f>H145/(1.355*(H139/Semidetached!H$17)^0.16)</f>
        <v>3939.8542270210837</v>
      </c>
      <c r="I151" s="349">
        <f>I145/(1.355*(I139/Semidetached!I$17)^0.16)</f>
        <v>9630.1479090136454</v>
      </c>
      <c r="J151" s="349">
        <f>J145/(1.355*(J139/Semidetached!J$17)^0.16)</f>
        <v>9005.2501604086428</v>
      </c>
      <c r="K151" s="349">
        <f>K145/(1.355*(K139/Semidetached!K$17)^0.16)</f>
        <v>6923.2603739811329</v>
      </c>
      <c r="L151" s="349">
        <f>L145/(1.355*(L139/Semidetached!L$17)^0.16)</f>
        <v>5542.4907278665232</v>
      </c>
      <c r="M151" s="349">
        <f>M145/(1.355*(M139/Semidetached!M$17)^0.16)</f>
        <v>11661.979123741736</v>
      </c>
      <c r="N151" s="349">
        <f>N145/(1.355*(N139/Semidetached!N$17)^0.16)</f>
        <v>8956.0132477368115</v>
      </c>
      <c r="O151" s="349">
        <f>O145/(1.355*(O139/Semidetached!O$17)^0.16)</f>
        <v>8100.8411579579497</v>
      </c>
      <c r="P151" s="349">
        <f>P145/(1.355*(P139/Semidetached!P$17)^0.16)</f>
        <v>9439.1179152830064</v>
      </c>
      <c r="Q151" s="349">
        <f>Q145/(1.355*(Q139/Semidetached!Q$17)^0.16)</f>
        <v>6690.6835709951583</v>
      </c>
      <c r="R151" s="349">
        <f>R145/(1.355*(R139/Semidetached!R$17)^0.16)</f>
        <v>9073.5708965088743</v>
      </c>
      <c r="S151" s="349">
        <f>S145/(1.355*(S139/Semidetached!S$17)^0.16)</f>
        <v>12585.31485070214</v>
      </c>
      <c r="T151" s="349">
        <f>T145/(1.355*(T139/Semidetached!T$17)^0.16)</f>
        <v>7670.7119447895257</v>
      </c>
      <c r="U151" s="349">
        <f>U145/(1.355*(U139/Semidetached!U$17)^0.16)</f>
        <v>9523.3275669349568</v>
      </c>
      <c r="V151" s="349">
        <f>V145/(1.355*(V139/Semidetached!V$17)^0.16)</f>
        <v>7574.0335129525029</v>
      </c>
      <c r="W151" s="349">
        <f>W145/(1.355*(W139/Semidetached!W$17)^0.16)</f>
        <v>6935.2710568165867</v>
      </c>
      <c r="X151" s="349">
        <f>X145/(1.355*(X139/Semidetached!X$17)^0.16)</f>
        <v>11206.424207436661</v>
      </c>
      <c r="Y151" s="349">
        <f>Y145/(1.355*(Y139/Semidetached!Y$17)^0.16)</f>
        <v>3394.5360055422852</v>
      </c>
      <c r="Z151" s="349">
        <f>Z145/(1.355*(Z139/Semidetached!Z$17)^0.16)</f>
        <v>12501.147219891451</v>
      </c>
      <c r="AA151" s="349">
        <f>AA145/(1.355*(AA139/Semidetached!AA$17)^0.16)</f>
        <v>7744.1720936325846</v>
      </c>
      <c r="AB151" s="349">
        <f>AB145/(1.355*(AB139/Semidetached!AB$17)^0.16)</f>
        <v>8519.4793768354612</v>
      </c>
      <c r="AC151" s="349">
        <f>AC145/(1.355*(AC139/Semidetached!AC$17)^0.16)</f>
        <v>6500.075807864644</v>
      </c>
      <c r="AD151" s="349">
        <f>AD145/(1.355*(AD139/Semidetached!AD$17)^0.16)</f>
        <v>10089.819094602848</v>
      </c>
      <c r="AE151" s="349">
        <f>AE145/(1.355*(AE139/Semidetached!AE$17)^0.16)</f>
        <v>7368.0857307820161</v>
      </c>
      <c r="AF151" s="349">
        <f>AF145/(1.355*(AF139/Semidetached!AF$17)^0.16)</f>
        <v>9605.7926996094775</v>
      </c>
      <c r="AG151" s="349">
        <f>AG145/(1.355*(AG139/Semidetached!AG$17)^0.16)</f>
        <v>12627.033559105179</v>
      </c>
      <c r="AH151" s="349">
        <f>AH145/(1.355*(AH139/Semidetached!AH$17)^0.16)</f>
        <v>10445.910140417831</v>
      </c>
      <c r="AI151" s="349">
        <f>AI145/(1.355*(AI139/Semidetached!AI$17)^0.16)</f>
        <v>9080.2805071149833</v>
      </c>
      <c r="AJ151" s="349">
        <f>AJ145/(1.355*(AJ139/Semidetached!AJ$17)^0.16)</f>
        <v>8011.7191117585462</v>
      </c>
      <c r="AK151" s="349">
        <f>AK145/(1.355*(AK139/Semidetached!AK$17)^0.16)</f>
        <v>8590.2355665411451</v>
      </c>
      <c r="AL151" s="349">
        <f>AL145/(1.355*(AL139/Semidetached!AL$17)^0.16)</f>
        <v>7458.7743067265619</v>
      </c>
      <c r="AM151" s="349">
        <f>AM145/(1.355*(AM139/Semidetached!AM$17)^0.16)</f>
        <v>7367.3816746390175</v>
      </c>
      <c r="AN151" s="354">
        <f>AN145/(1.355*(AN139/Semidetached!AN$17)^0.16)</f>
        <v>7367.3816746390175</v>
      </c>
    </row>
    <row r="152" spans="1:40">
      <c r="A152" s="129"/>
      <c r="B152" s="142" t="s">
        <v>5</v>
      </c>
      <c r="C152" s="129" t="s">
        <v>261</v>
      </c>
      <c r="D152" s="345">
        <f>D146/(1.355*(D140/Semidetached!D$17)^0.16)</f>
        <v>8103.6586938904829</v>
      </c>
      <c r="E152" s="349">
        <f>E146/(1.355*(E140/Semidetached!E$17)^0.16)</f>
        <v>11853.737392768087</v>
      </c>
      <c r="F152" s="349">
        <f>F146/(1.355*(F140/Semidetached!F$17)^0.16)</f>
        <v>6010.8238580060151</v>
      </c>
      <c r="G152" s="349">
        <f>G146/(1.355*(G140/Semidetached!G$17)^0.16)</f>
        <v>8141.0320419641148</v>
      </c>
      <c r="H152" s="349">
        <f>H146/(1.355*(H140/Semidetached!H$17)^0.16)</f>
        <v>3750.0218658727003</v>
      </c>
      <c r="I152" s="349">
        <f>I146/(1.355*(I140/Semidetached!I$17)^0.16)</f>
        <v>8618.2561309466018</v>
      </c>
      <c r="J152" s="349">
        <f>J146/(1.355*(J140/Semidetached!J$17)^0.16)</f>
        <v>7296.7296345292525</v>
      </c>
      <c r="K152" s="349">
        <f>K146/(1.355*(K140/Semidetached!K$17)^0.16)</f>
        <v>5779.7107795248448</v>
      </c>
      <c r="L152" s="349">
        <f>L146/(1.355*(L140/Semidetached!L$17)^0.16)</f>
        <v>4296.6821524274283</v>
      </c>
      <c r="M152" s="349">
        <f>M146/(1.355*(M140/Semidetached!M$17)^0.16)</f>
        <v>7452.7778147617828</v>
      </c>
      <c r="N152" s="349">
        <f>N146/(1.355*(N140/Semidetached!N$17)^0.16)</f>
        <v>7412.8536059816497</v>
      </c>
      <c r="O152" s="349">
        <f>O146/(1.355*(O140/Semidetached!O$17)^0.16)</f>
        <v>7026.567925304581</v>
      </c>
      <c r="P152" s="349">
        <f>P146/(1.355*(P140/Semidetached!P$17)^0.16)</f>
        <v>9056.1287999030155</v>
      </c>
      <c r="Q152" s="349">
        <f>Q146/(1.355*(Q140/Semidetached!Q$17)^0.16)</f>
        <v>6690.6835709951583</v>
      </c>
      <c r="R152" s="349">
        <f>R146/(1.355*(R140/Semidetached!R$17)^0.16)</f>
        <v>6913.7213856911731</v>
      </c>
      <c r="S152" s="349">
        <f>S146/(1.355*(S140/Semidetached!S$17)^0.16)</f>
        <v>9004.6985963835959</v>
      </c>
      <c r="T152" s="349">
        <f>T146/(1.355*(T140/Semidetached!T$17)^0.16)</f>
        <v>6349.413585120561</v>
      </c>
      <c r="U152" s="349">
        <f>U146/(1.355*(U140/Semidetached!U$17)^0.16)</f>
        <v>7598.5890220286601</v>
      </c>
      <c r="V152" s="349">
        <f>V146/(1.355*(V140/Semidetached!V$17)^0.16)</f>
        <v>7574.0335129525029</v>
      </c>
      <c r="W152" s="349">
        <f>W146/(1.355*(W140/Semidetached!W$17)^0.16)</f>
        <v>6147.9563883074179</v>
      </c>
      <c r="X152" s="349">
        <f>X146/(1.355*(X140/Semidetached!X$17)^0.16)</f>
        <v>6645.4535072530498</v>
      </c>
      <c r="Y152" s="349">
        <f>Y146/(1.355*(Y140/Semidetached!Y$17)^0.16)</f>
        <v>2989.9316499214647</v>
      </c>
      <c r="Z152" s="349">
        <f>Z146/(1.355*(Z140/Semidetached!Z$17)^0.16)</f>
        <v>8439.6974237792929</v>
      </c>
      <c r="AA152" s="349">
        <f>AA146/(1.355*(AA140/Semidetached!AA$17)^0.16)</f>
        <v>7661.4469834792126</v>
      </c>
      <c r="AB152" s="349">
        <f>AB146/(1.355*(AB140/Semidetached!AB$17)^0.16)</f>
        <v>8519.4793768354612</v>
      </c>
      <c r="AC152" s="349">
        <f>AC146/(1.355*(AC140/Semidetached!AC$17)^0.16)</f>
        <v>6352.486806881574</v>
      </c>
      <c r="AD152" s="349">
        <f>AD146/(1.355*(AD140/Semidetached!AD$17)^0.16)</f>
        <v>8527.2713587978706</v>
      </c>
      <c r="AE152" s="349">
        <f>AE146/(1.355*(AE140/Semidetached!AE$17)^0.16)</f>
        <v>7288.4211652737158</v>
      </c>
      <c r="AF152" s="349">
        <f>AF146/(1.355*(AF140/Semidetached!AF$17)^0.16)</f>
        <v>7345.9467064786058</v>
      </c>
      <c r="AG152" s="349">
        <f>AG146/(1.355*(AG140/Semidetached!AG$17)^0.16)</f>
        <v>11435.587704974261</v>
      </c>
      <c r="AH152" s="349">
        <f>AH146/(1.355*(AH140/Semidetached!AH$17)^0.16)</f>
        <v>6325.0689415556335</v>
      </c>
      <c r="AI152" s="349">
        <f>AI146/(1.355*(AI140/Semidetached!AI$17)^0.16)</f>
        <v>8697.1168923260011</v>
      </c>
      <c r="AJ152" s="349">
        <f>AJ146/(1.355*(AJ140/Semidetached!AJ$17)^0.16)</f>
        <v>7238.3121182814293</v>
      </c>
      <c r="AK152" s="349">
        <f>AK146/(1.355*(AK140/Semidetached!AK$17)^0.16)</f>
        <v>7755.6091975597565</v>
      </c>
      <c r="AL152" s="349">
        <f>AL146/(1.355*(AL140/Semidetached!AL$17)^0.16)</f>
        <v>6293.0626336005489</v>
      </c>
      <c r="AM152" s="349">
        <f>AM146/(1.355*(AM140/Semidetached!AM$17)^0.16)</f>
        <v>6656.1754489466803</v>
      </c>
      <c r="AN152" s="354">
        <f>AN146/(1.355*(AN140/Semidetached!AN$17)^0.16)</f>
        <v>6656.1754489466803</v>
      </c>
    </row>
    <row r="153" spans="1:40">
      <c r="A153" s="129"/>
      <c r="B153" s="142" t="s">
        <v>6</v>
      </c>
      <c r="C153" s="129" t="s">
        <v>261</v>
      </c>
      <c r="D153" s="345">
        <f>D147/(1.355*(D141/Semidetached!D$17)^0.16)</f>
        <v>6858.7088776334513</v>
      </c>
      <c r="E153" s="349">
        <f>E147/(1.355*(E141/Semidetached!E$17)^0.16)</f>
        <v>11853.737392768087</v>
      </c>
      <c r="F153" s="349">
        <f>F147/(1.355*(F141/Semidetached!F$17)^0.16)</f>
        <v>5052.2315883614201</v>
      </c>
      <c r="G153" s="349">
        <f>G147/(1.355*(G141/Semidetached!G$17)^0.16)</f>
        <v>6891.0466543178009</v>
      </c>
      <c r="H153" s="349">
        <f>H147/(1.355*(H141/Semidetached!H$17)^0.16)</f>
        <v>3343.2436151752645</v>
      </c>
      <c r="I153" s="349">
        <f>I147/(1.355*(I141/Semidetached!I$17)^0.16)</f>
        <v>6619.7842818298896</v>
      </c>
      <c r="J153" s="349">
        <f>J147/(1.355*(J141/Semidetached!J$17)^0.16)</f>
        <v>4327.3363998812038</v>
      </c>
      <c r="K153" s="349">
        <f>K147/(1.355*(K141/Semidetached!K$17)^0.16)</f>
        <v>5779.7107795248448</v>
      </c>
      <c r="L153" s="349">
        <f>L147/(1.355*(L141/Semidetached!L$17)^0.16)</f>
        <v>3722.3923417977212</v>
      </c>
      <c r="M153" s="349">
        <f>M147/(1.355*(M141/Semidetached!M$17)^0.16)</f>
        <v>7452.7778147617828</v>
      </c>
      <c r="N153" s="349">
        <f>N147/(1.355*(N141/Semidetached!N$17)^0.16)</f>
        <v>7314.8759694340115</v>
      </c>
      <c r="O153" s="349">
        <f>O147/(1.355*(O141/Semidetached!O$17)^0.16)</f>
        <v>4117.5609072174902</v>
      </c>
      <c r="P153" s="349">
        <f>P147/(1.355*(P141/Semidetached!P$17)^0.16)</f>
        <v>9056.1287999030155</v>
      </c>
      <c r="Q153" s="349">
        <f>Q147/(1.355*(Q141/Semidetached!Q$17)^0.16)</f>
        <v>4941.6557454708727</v>
      </c>
      <c r="R153" s="349">
        <f>R147/(1.355*(R141/Semidetached!R$17)^0.16)</f>
        <v>6913.7213856911731</v>
      </c>
      <c r="S153" s="349">
        <f>S147/(1.355*(S141/Semidetached!S$17)^0.16)</f>
        <v>7623.2067509430499</v>
      </c>
      <c r="T153" s="349">
        <f>T147/(1.355*(T141/Semidetached!T$17)^0.16)</f>
        <v>6265.257890337034</v>
      </c>
      <c r="U153" s="349">
        <f>U147/(1.355*(U141/Semidetached!U$17)^0.16)</f>
        <v>7195.9306565093048</v>
      </c>
      <c r="V153" s="349">
        <f>V147/(1.355*(V141/Semidetached!V$17)^0.16)</f>
        <v>7574.0335129525029</v>
      </c>
      <c r="W153" s="349">
        <f>W147/(1.355*(W141/Semidetached!W$17)^0.16)</f>
        <v>5341.761632855375</v>
      </c>
      <c r="X153" s="349">
        <f>X147/(1.355*(X141/Semidetached!X$17)^0.16)</f>
        <v>6624.5942267396331</v>
      </c>
      <c r="Y153" s="349">
        <f>Y147/(1.355*(Y141/Semidetached!Y$17)^0.16)</f>
        <v>2988.7557930610897</v>
      </c>
      <c r="Z153" s="349">
        <f>Z147/(1.355*(Z141/Semidetached!Z$17)^0.16)</f>
        <v>7673.4264826711897</v>
      </c>
      <c r="AA153" s="349">
        <f>AA147/(1.355*(AA141/Semidetached!AA$17)^0.16)</f>
        <v>6907.1402356072731</v>
      </c>
      <c r="AB153" s="349">
        <f>AB147/(1.355*(AB141/Semidetached!AB$17)^0.16)</f>
        <v>8519.4793768354612</v>
      </c>
      <c r="AC153" s="349">
        <f>AC147/(1.355*(AC141/Semidetached!AC$17)^0.16)</f>
        <v>5904.3232063374526</v>
      </c>
      <c r="AD153" s="349">
        <f>AD147/(1.355*(AD141/Semidetached!AD$17)^0.16)</f>
        <v>8527.2713587978706</v>
      </c>
      <c r="AE153" s="349">
        <f>AE147/(1.355*(AE141/Semidetached!AE$17)^0.16)</f>
        <v>6572.6968270983089</v>
      </c>
      <c r="AF153" s="349">
        <f>AF147/(1.355*(AF141/Semidetached!AF$17)^0.16)</f>
        <v>5468.5227681523002</v>
      </c>
      <c r="AG153" s="349">
        <f>AG147/(1.355*(AG141/Semidetached!AG$17)^0.16)</f>
        <v>10826.18558701479</v>
      </c>
      <c r="AH153" s="349">
        <f>AH147/(1.355*(AH141/Semidetached!AH$17)^0.16)</f>
        <v>5009.0531597805357</v>
      </c>
      <c r="AI153" s="349">
        <f>AI147/(1.355*(AI141/Semidetached!AI$17)^0.16)</f>
        <v>8697.1168923260011</v>
      </c>
      <c r="AJ153" s="349">
        <f>AJ147/(1.355*(AJ141/Semidetached!AJ$17)^0.16)</f>
        <v>6974.4358389907884</v>
      </c>
      <c r="AK153" s="349">
        <f>AK147/(1.355*(AK141/Semidetached!AK$17)^0.16)</f>
        <v>7465.2638809454575</v>
      </c>
      <c r="AL153" s="349">
        <f>AL147/(1.355*(AL141/Semidetached!AL$17)^0.16)</f>
        <v>5278.2196142617331</v>
      </c>
      <c r="AM153" s="349">
        <f>AM147/(1.355*(AM141/Semidetached!AM$17)^0.16)</f>
        <v>6413.5212523505288</v>
      </c>
      <c r="AN153" s="354">
        <f>AN147/(1.355*(AN141/Semidetached!AN$17)^0.16)</f>
        <v>6413.5212523505288</v>
      </c>
    </row>
    <row r="154" spans="1:40">
      <c r="A154" s="129"/>
      <c r="B154" s="142" t="s">
        <v>7</v>
      </c>
      <c r="C154" s="129" t="s">
        <v>261</v>
      </c>
      <c r="D154" s="345">
        <f>D148/(1.355*(D142/Semidetached!D$17)^0.16)</f>
        <v>6116.2999741807125</v>
      </c>
      <c r="E154" s="349">
        <f>E148/(1.355*(E142/Semidetached!E$17)^0.16)</f>
        <v>7472.1126093371558</v>
      </c>
      <c r="F154" s="349">
        <f>F148/(1.355*(F142/Semidetached!F$17)^0.16)</f>
        <v>3504.6407199269847</v>
      </c>
      <c r="G154" s="349">
        <f>G148/(1.355*(G142/Semidetached!G$17)^0.16)</f>
        <v>6140.8600569953778</v>
      </c>
      <c r="H154" s="349">
        <f>H148/(1.355*(H142/Semidetached!H$17)^0.16)</f>
        <v>2440.1632994365941</v>
      </c>
      <c r="I154" s="349">
        <f>I148/(1.355*(I142/Semidetached!I$17)^0.16)</f>
        <v>5309.8701273443903</v>
      </c>
      <c r="J154" s="349">
        <f>J148/(1.355*(J142/Semidetached!J$17)^0.16)</f>
        <v>4688.1938881147353</v>
      </c>
      <c r="K154" s="349">
        <f>K148/(1.355*(K142/Semidetached!K$17)^0.16)</f>
        <v>4228.1492090344263</v>
      </c>
      <c r="L154" s="349">
        <f>L148/(1.355*(L142/Semidetached!L$17)^0.16)</f>
        <v>3722.3923417977212</v>
      </c>
      <c r="M154" s="349">
        <f>M148/(1.355*(M142/Semidetached!M$17)^0.16)</f>
        <v>5166.960896862769</v>
      </c>
      <c r="N154" s="349">
        <f>N148/(1.355*(N142/Semidetached!N$17)^0.16)</f>
        <v>6624.4289584467224</v>
      </c>
      <c r="O154" s="349">
        <f>O148/(1.355*(O142/Semidetached!O$17)^0.16)</f>
        <v>3993.7529964453556</v>
      </c>
      <c r="P154" s="349">
        <f>P148/(1.355*(P142/Semidetached!P$17)^0.16)</f>
        <v>3661.8161663448504</v>
      </c>
      <c r="Q154" s="349">
        <f>Q148/(1.355*(Q142/Semidetached!Q$17)^0.16)</f>
        <v>3295.4734889639753</v>
      </c>
      <c r="R154" s="349">
        <f>R148/(1.355*(R142/Semidetached!R$17)^0.16)</f>
        <v>4466.6926655544685</v>
      </c>
      <c r="S154" s="349">
        <f>S148/(1.355*(S142/Semidetached!S$17)^0.16)</f>
        <v>4799.335506837424</v>
      </c>
      <c r="T154" s="349">
        <f>T148/(1.355*(T142/Semidetached!T$17)^0.16)</f>
        <v>5673.9734953342177</v>
      </c>
      <c r="U154" s="349">
        <f>U148/(1.355*(U142/Semidetached!U$17)^0.16)</f>
        <v>6932.3339252388641</v>
      </c>
      <c r="V154" s="349">
        <f>V148/(1.355*(V142/Semidetached!V$17)^0.16)</f>
        <v>4589.0806443332012</v>
      </c>
      <c r="W154" s="349">
        <f>W148/(1.355*(W142/Semidetached!W$17)^0.16)</f>
        <v>4290.8604971326149</v>
      </c>
      <c r="X154" s="349">
        <f>X148/(1.355*(X142/Semidetached!X$17)^0.16)</f>
        <v>4384.0828315602894</v>
      </c>
      <c r="Y154" s="349">
        <f>Y148/(1.355*(Y142/Semidetached!Y$17)^0.16)</f>
        <v>2846.7507683447102</v>
      </c>
      <c r="Z154" s="349">
        <f>Z148/(1.355*(Z142/Semidetached!Z$17)^0.16)</f>
        <v>5348.8129587121366</v>
      </c>
      <c r="AA154" s="349">
        <f>AA148/(1.355*(AA142/Semidetached!AA$17)^0.16)</f>
        <v>6273.2430519139389</v>
      </c>
      <c r="AB154" s="349">
        <f>AB148/(1.355*(AB142/Semidetached!AB$17)^0.16)</f>
        <v>6381.884791499474</v>
      </c>
      <c r="AC154" s="349">
        <f>AC148/(1.355*(AC142/Semidetached!AC$17)^0.16)</f>
        <v>4195.8700219468928</v>
      </c>
      <c r="AD154" s="349">
        <f>AD148/(1.355*(AD142/Semidetached!AD$17)^0.16)</f>
        <v>6833.8668831959012</v>
      </c>
      <c r="AE154" s="349">
        <f>AE148/(1.355*(AE142/Semidetached!AE$17)^0.16)</f>
        <v>5962.2083588151027</v>
      </c>
      <c r="AF154" s="349">
        <f>AF148/(1.355*(AF142/Semidetached!AF$17)^0.16)</f>
        <v>3168.9007859598664</v>
      </c>
      <c r="AG154" s="349">
        <f>AG148/(1.355*(AG142/Semidetached!AG$17)^0.16)</f>
        <v>6796.7117021772856</v>
      </c>
      <c r="AH154" s="349">
        <f>AH148/(1.355*(AH142/Semidetached!AH$17)^0.16)</f>
        <v>4260.5907453618483</v>
      </c>
      <c r="AI154" s="349">
        <f>AI148/(1.355*(AI142/Semidetached!AI$17)^0.16)</f>
        <v>3541.2232956240623</v>
      </c>
      <c r="AJ154" s="349">
        <f>AJ148/(1.355*(AJ142/Semidetached!AJ$17)^0.16)</f>
        <v>6173.3171671585224</v>
      </c>
      <c r="AK154" s="349">
        <f>AK148/(1.355*(AK142/Semidetached!AK$17)^0.16)</f>
        <v>6641.1740372665308</v>
      </c>
      <c r="AL154" s="349">
        <f>AL148/(1.355*(AL142/Semidetached!AL$17)^0.16)</f>
        <v>3663.3484984821839</v>
      </c>
      <c r="AM154" s="349">
        <f>AM148/(1.355*(AM142/Semidetached!AM$17)^0.16)</f>
        <v>5676.8320424897156</v>
      </c>
      <c r="AN154" s="354">
        <f>AN148/(1.355*(AN142/Semidetached!AN$17)^0.16)</f>
        <v>5676.8320424897156</v>
      </c>
    </row>
    <row r="155" spans="1:40">
      <c r="A155" s="334" t="s">
        <v>262</v>
      </c>
      <c r="B155" s="359" t="s">
        <v>2</v>
      </c>
      <c r="C155" s="366" t="s">
        <v>190</v>
      </c>
      <c r="D155" s="375">
        <f>D149/Semidetached!D$4</f>
        <v>147.51915851428046</v>
      </c>
      <c r="E155" s="376">
        <f>E149/Semidetached!E$4</f>
        <v>128.79004481398047</v>
      </c>
      <c r="F155" s="376">
        <f>F149/Semidetached!F$4</f>
        <v>137.27208569503648</v>
      </c>
      <c r="G155" s="376">
        <f>G149/Semidetached!G$4</f>
        <v>141.57211254449768</v>
      </c>
      <c r="H155" s="376">
        <f>H149/Semidetached!H$4</f>
        <v>52.129107347384398</v>
      </c>
      <c r="I155" s="376">
        <f>I149/Semidetached!I$4</f>
        <v>129.28280240701159</v>
      </c>
      <c r="J155" s="376">
        <f>J149/Semidetached!J$4</f>
        <v>146.31911007947141</v>
      </c>
      <c r="K155" s="376">
        <f>K149/Semidetached!K$4</f>
        <v>92.368323293655962</v>
      </c>
      <c r="L155" s="376">
        <f>L149/Semidetached!L$4</f>
        <v>92.311837320846294</v>
      </c>
      <c r="M155" s="376">
        <f>M149/Semidetached!M$4</f>
        <v>121.84725324574825</v>
      </c>
      <c r="N155" s="376">
        <f>N149/Semidetached!N$4</f>
        <v>141.30123766256187</v>
      </c>
      <c r="O155" s="376">
        <f>O149/Semidetached!O$4</f>
        <v>153.55622114390502</v>
      </c>
      <c r="P155" s="376">
        <f>P149/Semidetached!P$4</f>
        <v>119.63029520168443</v>
      </c>
      <c r="Q155" s="376">
        <f>Q149/Semidetached!Q$4</f>
        <v>123.3521599946192</v>
      </c>
      <c r="R155" s="376">
        <f>R149/Semidetached!R$4</f>
        <v>128.26578904688324</v>
      </c>
      <c r="S155" s="376">
        <f>S149/Semidetached!S$4</f>
        <v>118.07828921853871</v>
      </c>
      <c r="T155" s="376">
        <f>T149/Semidetached!T$4</f>
        <v>119.69057830552683</v>
      </c>
      <c r="U155" s="376">
        <f>U149/Semidetached!U$4</f>
        <v>105.30787831057269</v>
      </c>
      <c r="V155" s="376">
        <f>V149/Semidetached!V$4</f>
        <v>137.5628776235155</v>
      </c>
      <c r="W155" s="376">
        <f>W149/Semidetached!W$4</f>
        <v>147.71196456901697</v>
      </c>
      <c r="X155" s="376">
        <f>X149/Semidetached!X$4</f>
        <v>145.6803518431874</v>
      </c>
      <c r="Y155" s="376">
        <f>Y149/Semidetached!Y$4</f>
        <v>41.938926347539812</v>
      </c>
      <c r="Z155" s="376">
        <f>Z149/Semidetached!Z$4</f>
        <v>127.93071687428581</v>
      </c>
      <c r="AA155" s="376">
        <f>AA149/Semidetached!AA$4</f>
        <v>95.924393740385781</v>
      </c>
      <c r="AB155" s="376">
        <f>AB149/Semidetached!AB$4</f>
        <v>175.67267688557232</v>
      </c>
      <c r="AC155" s="376">
        <f>AC149/Semidetached!AC$4</f>
        <v>69.582299814271337</v>
      </c>
      <c r="AD155" s="376">
        <f>AD149/Semidetached!AD$4</f>
        <v>183.53824042629239</v>
      </c>
      <c r="AE155" s="376">
        <f>AE149/Semidetached!AE$4</f>
        <v>93.497123057785885</v>
      </c>
      <c r="AF155" s="376">
        <f>AF149/Semidetached!AF$4</f>
        <v>126.17820094816751</v>
      </c>
      <c r="AG155" s="376">
        <f>AG149/Semidetached!AG$4</f>
        <v>179.4054524690882</v>
      </c>
      <c r="AH155" s="376">
        <f>AH149/Semidetached!AH$4</f>
        <v>146.83568731716028</v>
      </c>
      <c r="AI155" s="376">
        <f>AI149/Semidetached!AI$4</f>
        <v>115.08243114766695</v>
      </c>
      <c r="AJ155" s="376">
        <f>AJ149/Semidetached!AJ$4</f>
        <v>137.96704843888324</v>
      </c>
      <c r="AK155" s="376">
        <f>AK149/Semidetached!AK$4</f>
        <v>108.87165791344121</v>
      </c>
      <c r="AL155" s="376">
        <f>AL149/Semidetached!AL$4</f>
        <v>133.26180311859946</v>
      </c>
      <c r="AM155" s="376">
        <f>AM149/Semidetached!AM$4</f>
        <v>126.87113591898674</v>
      </c>
      <c r="AN155" s="377">
        <f>AN149/Semidetached!AN$4</f>
        <v>126.87113591898671</v>
      </c>
    </row>
    <row r="156" spans="1:40">
      <c r="A156" s="154"/>
      <c r="B156" s="347" t="s">
        <v>3</v>
      </c>
      <c r="C156" s="367" t="s">
        <v>190</v>
      </c>
      <c r="D156" s="369">
        <f>D150/Semidetached!D$4</f>
        <v>141.67490434460004</v>
      </c>
      <c r="E156" s="370">
        <f>E150/Semidetached!E$4</f>
        <v>128.79004481398047</v>
      </c>
      <c r="F156" s="370">
        <f>F150/Semidetached!F$4</f>
        <v>137.27208569503648</v>
      </c>
      <c r="G156" s="370">
        <f>G150/Semidetached!G$4</f>
        <v>136.12868042339912</v>
      </c>
      <c r="H156" s="370">
        <f>H150/Semidetached!H$4</f>
        <v>48.462496221463681</v>
      </c>
      <c r="I156" s="370">
        <f>I150/Semidetached!I$4</f>
        <v>111.58093501713144</v>
      </c>
      <c r="J156" s="370">
        <f>J150/Semidetached!J$4</f>
        <v>126.42873063601614</v>
      </c>
      <c r="K156" s="370">
        <f>K150/Semidetached!K$4</f>
        <v>90.031601668397684</v>
      </c>
      <c r="L156" s="370">
        <f>L150/Semidetached!L$4</f>
        <v>92.311837320846294</v>
      </c>
      <c r="M156" s="370">
        <f>M150/Semidetached!M$4</f>
        <v>113.26017817314231</v>
      </c>
      <c r="N156" s="370">
        <f>N150/Semidetached!N$4</f>
        <v>126.97363788564483</v>
      </c>
      <c r="O156" s="370">
        <f>O150/Semidetached!O$4</f>
        <v>153.55622114390502</v>
      </c>
      <c r="P156" s="370">
        <f>P150/Semidetached!P$4</f>
        <v>119.63029520168443</v>
      </c>
      <c r="Q156" s="370">
        <f>Q150/Semidetached!Q$4</f>
        <v>130.99250625220577</v>
      </c>
      <c r="R156" s="370">
        <f>R150/Semidetached!R$4</f>
        <v>128.26578904688324</v>
      </c>
      <c r="S156" s="370">
        <f>S150/Semidetached!S$4</f>
        <v>118.10723858660387</v>
      </c>
      <c r="T156" s="370">
        <f>T150/Semidetached!T$4</f>
        <v>107.51515141426084</v>
      </c>
      <c r="U156" s="370">
        <f>U150/Semidetached!U$4</f>
        <v>100.39872110812104</v>
      </c>
      <c r="V156" s="370">
        <f>V150/Semidetached!V$4</f>
        <v>137.5628776235155</v>
      </c>
      <c r="W156" s="370">
        <f>W150/Semidetached!W$4</f>
        <v>161.53603008244468</v>
      </c>
      <c r="X156" s="370">
        <f>X150/Semidetached!X$4</f>
        <v>144.25548225083332</v>
      </c>
      <c r="Y156" s="370">
        <f>Y150/Semidetached!Y$4</f>
        <v>41.937775421615875</v>
      </c>
      <c r="Z156" s="370">
        <f>Z150/Semidetached!Z$4</f>
        <v>119.26360193676837</v>
      </c>
      <c r="AA156" s="370">
        <f>AA150/Semidetached!AA$4</f>
        <v>95.618888579090353</v>
      </c>
      <c r="AB156" s="370">
        <f>AB150/Semidetached!AB$4</f>
        <v>142.73730446293851</v>
      </c>
      <c r="AC156" s="370">
        <f>AC150/Semidetached!AC$4</f>
        <v>63.771743758827789</v>
      </c>
      <c r="AD156" s="370">
        <f>AD150/Semidetached!AD$4</f>
        <v>165.87440865915488</v>
      </c>
      <c r="AE156" s="370">
        <f>AE150/Semidetached!AE$4</f>
        <v>93.195406554802631</v>
      </c>
      <c r="AF156" s="370">
        <f>AF150/Semidetached!AF$4</f>
        <v>126.17820094816751</v>
      </c>
      <c r="AG156" s="370">
        <f>AG150/Semidetached!AG$4</f>
        <v>156.61909715133947</v>
      </c>
      <c r="AH156" s="370">
        <f>AH150/Semidetached!AH$4</f>
        <v>153.90346783985419</v>
      </c>
      <c r="AI156" s="370">
        <f>AI150/Semidetached!AI$4</f>
        <v>115.08243114766695</v>
      </c>
      <c r="AJ156" s="370">
        <f>AJ150/Semidetached!AJ$4</f>
        <v>137.96704843888324</v>
      </c>
      <c r="AK156" s="370">
        <f>AK150/Semidetached!AK$4</f>
        <v>108.87165791344121</v>
      </c>
      <c r="AL156" s="370">
        <f>AL150/Semidetached!AL$4</f>
        <v>133.26180311859946</v>
      </c>
      <c r="AM156" s="370">
        <f>AM150/Semidetached!AM$4</f>
        <v>126.87113591898674</v>
      </c>
      <c r="AN156" s="371">
        <f>AN150/Semidetached!AN$4</f>
        <v>126.87113591898671</v>
      </c>
    </row>
    <row r="157" spans="1:40">
      <c r="A157" s="154"/>
      <c r="B157" s="347" t="s">
        <v>4</v>
      </c>
      <c r="C157" s="367" t="s">
        <v>190</v>
      </c>
      <c r="D157" s="369">
        <f>D151/Semidetached!D$4</f>
        <v>115.25170540362539</v>
      </c>
      <c r="E157" s="370">
        <f>E151/Semidetached!E$4</f>
        <v>128.79004481398047</v>
      </c>
      <c r="F157" s="370">
        <f>F151/Semidetached!F$4</f>
        <v>129.89234119566103</v>
      </c>
      <c r="G157" s="370">
        <f>G151/Semidetached!G$4</f>
        <v>110.66479946341944</v>
      </c>
      <c r="H157" s="370">
        <f>H151/Semidetached!H$4</f>
        <v>48.382463617778001</v>
      </c>
      <c r="I157" s="370">
        <f>I151/Semidetached!I$4</f>
        <v>111.58093501713144</v>
      </c>
      <c r="J157" s="370">
        <f>J151/Semidetached!J$4</f>
        <v>94.125009508821549</v>
      </c>
      <c r="K157" s="370">
        <f>K151/Semidetached!K$4</f>
        <v>60.229924099748253</v>
      </c>
      <c r="L157" s="370">
        <f>L151/Semidetached!L$4</f>
        <v>76.082293302897881</v>
      </c>
      <c r="M157" s="370">
        <f>M151/Semidetached!M$4</f>
        <v>113.26017817314231</v>
      </c>
      <c r="N157" s="370">
        <f>N151/Semidetached!N$4</f>
        <v>105.47627052659517</v>
      </c>
      <c r="O157" s="370">
        <f>O151/Semidetached!O$4</f>
        <v>82.175799805256929</v>
      </c>
      <c r="P157" s="370">
        <f>P151/Semidetached!P$4</f>
        <v>119.63029520168443</v>
      </c>
      <c r="Q157" s="370">
        <f>Q151/Semidetached!Q$4</f>
        <v>115.21795153476285</v>
      </c>
      <c r="R157" s="370">
        <f>R151/Semidetached!R$4</f>
        <v>115.19322254503049</v>
      </c>
      <c r="S157" s="370">
        <f>S151/Semidetached!S$4</f>
        <v>117.6021259737086</v>
      </c>
      <c r="T157" s="370">
        <f>T151/Semidetached!T$4</f>
        <v>89.301262770764652</v>
      </c>
      <c r="U157" s="370">
        <f>U151/Semidetached!U$4</f>
        <v>94.62381309830549</v>
      </c>
      <c r="V157" s="370">
        <f>V151/Semidetached!V$4</f>
        <v>91.431839097352338</v>
      </c>
      <c r="W157" s="370">
        <f>W151/Semidetached!W$4</f>
        <v>87.851388875664682</v>
      </c>
      <c r="X157" s="370">
        <f>X151/Semidetached!X$4</f>
        <v>137.58823728465657</v>
      </c>
      <c r="Y157" s="370">
        <f>Y151/Semidetached!Y$4</f>
        <v>34.961971781499749</v>
      </c>
      <c r="Z157" s="370">
        <f>Z151/Semidetached!Z$4</f>
        <v>113.39713165232492</v>
      </c>
      <c r="AA157" s="370">
        <f>AA151/Semidetached!AA$4</f>
        <v>70.798194303897475</v>
      </c>
      <c r="AB157" s="370">
        <f>AB151/Semidetached!AB$4</f>
        <v>104.57432266564463</v>
      </c>
      <c r="AC157" s="370">
        <f>AC151/Semidetached!AC$4</f>
        <v>63.756867309039542</v>
      </c>
      <c r="AD157" s="370">
        <f>AD151/Semidetached!AD$4</f>
        <v>165.87440865915488</v>
      </c>
      <c r="AE157" s="370">
        <f>AE151/Semidetached!AE$4</f>
        <v>69.069052921583648</v>
      </c>
      <c r="AF157" s="370">
        <f>AF151/Semidetached!AF$4</f>
        <v>119.45106036839628</v>
      </c>
      <c r="AG157" s="370">
        <f>AG151/Semidetached!AG$4</f>
        <v>156.61909715133947</v>
      </c>
      <c r="AH157" s="370">
        <f>AH151/Semidetached!AH$4</f>
        <v>135.05453303759484</v>
      </c>
      <c r="AI157" s="370">
        <f>AI151/Semidetached!AI$4</f>
        <v>115.08243114766695</v>
      </c>
      <c r="AJ157" s="370">
        <f>AJ151/Semidetached!AJ$4</f>
        <v>137.96704843888324</v>
      </c>
      <c r="AK157" s="370">
        <f>AK151/Semidetached!AK$4</f>
        <v>108.87165791344121</v>
      </c>
      <c r="AL157" s="370">
        <f>AL151/Semidetached!AL$4</f>
        <v>126.0434609768581</v>
      </c>
      <c r="AM157" s="370">
        <f>AM151/Semidetached!AM$4</f>
        <v>126.87113591898674</v>
      </c>
      <c r="AN157" s="371">
        <f>AN151/Semidetached!AN$4</f>
        <v>126.87113591898671</v>
      </c>
    </row>
    <row r="158" spans="1:40">
      <c r="A158" s="154"/>
      <c r="B158" s="347" t="s">
        <v>5</v>
      </c>
      <c r="C158" s="367" t="s">
        <v>190</v>
      </c>
      <c r="D158" s="369">
        <f>D152/Semidetached!D$4</f>
        <v>79.177466219626893</v>
      </c>
      <c r="E158" s="370">
        <f>E152/Semidetached!E$4</f>
        <v>113.80741546688374</v>
      </c>
      <c r="F158" s="370">
        <f>F152/Semidetached!F$4</f>
        <v>109.80384296378529</v>
      </c>
      <c r="G158" s="370">
        <f>G152/Semidetached!G$4</f>
        <v>75.941192463799908</v>
      </c>
      <c r="H158" s="370">
        <f>H152/Semidetached!H$4</f>
        <v>46.051271452406198</v>
      </c>
      <c r="I158" s="370">
        <f>I152/Semidetached!I$4</f>
        <v>99.856522079798594</v>
      </c>
      <c r="J158" s="370">
        <f>J152/Semidetached!J$4</f>
        <v>76.267147941418187</v>
      </c>
      <c r="K158" s="370">
        <f>K152/Semidetached!K$4</f>
        <v>50.281445845593858</v>
      </c>
      <c r="L158" s="370">
        <f>L152/Semidetached!L$4</f>
        <v>58.980961412658004</v>
      </c>
      <c r="M158" s="370">
        <f>M152/Semidetached!M$4</f>
        <v>72.380762667145987</v>
      </c>
      <c r="N158" s="370">
        <f>N152/Semidetached!N$4</f>
        <v>87.302254997908634</v>
      </c>
      <c r="O158" s="370">
        <f>O152/Semidetached!O$4</f>
        <v>71.278257145017577</v>
      </c>
      <c r="P158" s="370">
        <f>P152/Semidetached!P$4</f>
        <v>114.77633518728975</v>
      </c>
      <c r="Q158" s="370">
        <f>Q152/Semidetached!Q$4</f>
        <v>115.21795153476285</v>
      </c>
      <c r="R158" s="370">
        <f>R152/Semidetached!R$4</f>
        <v>87.772923723193287</v>
      </c>
      <c r="S158" s="370">
        <f>S152/Semidetached!S$4</f>
        <v>84.143441085870023</v>
      </c>
      <c r="T158" s="370">
        <f>T152/Semidetached!T$4</f>
        <v>73.918908060452807</v>
      </c>
      <c r="U158" s="370">
        <f>U152/Semidetached!U$4</f>
        <v>75.499604773406475</v>
      </c>
      <c r="V158" s="370">
        <f>V152/Semidetached!V$4</f>
        <v>91.431839097352338</v>
      </c>
      <c r="W158" s="370">
        <f>W152/Semidetached!W$4</f>
        <v>77.878211685606473</v>
      </c>
      <c r="X158" s="370">
        <f>X152/Semidetached!X$4</f>
        <v>81.590364338816116</v>
      </c>
      <c r="Y158" s="370">
        <f>Y152/Semidetached!Y$4</f>
        <v>30.79475539587558</v>
      </c>
      <c r="Z158" s="370">
        <f>Z152/Semidetached!Z$4</f>
        <v>76.555972266871521</v>
      </c>
      <c r="AA158" s="370">
        <f>AA152/Semidetached!AA$4</f>
        <v>70.041910952799782</v>
      </c>
      <c r="AB158" s="370">
        <f>AB152/Semidetached!AB$4</f>
        <v>104.57432266564463</v>
      </c>
      <c r="AC158" s="370">
        <f>AC152/Semidetached!AC$4</f>
        <v>62.30922075381536</v>
      </c>
      <c r="AD158" s="370">
        <f>AD152/Semidetached!AD$4</f>
        <v>140.18646725523081</v>
      </c>
      <c r="AE158" s="370">
        <f>AE152/Semidetached!AE$4</f>
        <v>68.322270610395236</v>
      </c>
      <c r="AF158" s="370">
        <f>AF152/Semidetached!AF$4</f>
        <v>91.349163045572666</v>
      </c>
      <c r="AG158" s="370">
        <f>AG152/Semidetached!AG$4</f>
        <v>141.84102808981126</v>
      </c>
      <c r="AH158" s="370">
        <f>AH152/Semidetached!AH$4</f>
        <v>81.77642932492445</v>
      </c>
      <c r="AI158" s="370">
        <f>AI152/Semidetached!AI$4</f>
        <v>110.22625954782566</v>
      </c>
      <c r="AJ158" s="370">
        <f>AJ152/Semidetached!AJ$4</f>
        <v>124.64847365567331</v>
      </c>
      <c r="AK158" s="370">
        <f>AK152/Semidetached!AK$4</f>
        <v>98.293699273610002</v>
      </c>
      <c r="AL158" s="370">
        <f>AL152/Semidetached!AL$4</f>
        <v>106.34446919352713</v>
      </c>
      <c r="AM158" s="370">
        <f>AM152/Semidetached!AM$4</f>
        <v>114.62369908035393</v>
      </c>
      <c r="AN158" s="371">
        <f>AN152/Semidetached!AN$4</f>
        <v>114.62369908035393</v>
      </c>
    </row>
    <row r="159" spans="1:40">
      <c r="A159" s="154"/>
      <c r="B159" s="347" t="s">
        <v>6</v>
      </c>
      <c r="C159" s="367" t="s">
        <v>190</v>
      </c>
      <c r="D159" s="369">
        <f>D153/Semidetached!D$4</f>
        <v>67.013581270210494</v>
      </c>
      <c r="E159" s="370">
        <f>E153/Semidetached!E$4</f>
        <v>113.80741546688374</v>
      </c>
      <c r="F159" s="370">
        <f>F153/Semidetached!F$4</f>
        <v>92.292580360047836</v>
      </c>
      <c r="G159" s="370">
        <f>G153/Semidetached!G$4</f>
        <v>64.281076103751232</v>
      </c>
      <c r="H159" s="370">
        <f>H153/Semidetached!H$4</f>
        <v>41.055925741417092</v>
      </c>
      <c r="I159" s="370">
        <f>I153/Semidetached!I$4</f>
        <v>76.700973521593951</v>
      </c>
      <c r="J159" s="370">
        <f>J153/Semidetached!J$4</f>
        <v>45.230345912811913</v>
      </c>
      <c r="K159" s="370">
        <f>K153/Semidetached!K$4</f>
        <v>50.281445845593858</v>
      </c>
      <c r="L159" s="370">
        <f>L153/Semidetached!L$4</f>
        <v>51.097630982619748</v>
      </c>
      <c r="M159" s="370">
        <f>M153/Semidetached!M$4</f>
        <v>72.380762667145987</v>
      </c>
      <c r="N159" s="370">
        <f>N153/Semidetached!N$4</f>
        <v>86.148358123016607</v>
      </c>
      <c r="O159" s="370">
        <f>O153/Semidetached!O$4</f>
        <v>41.768978578855496</v>
      </c>
      <c r="P159" s="370">
        <f>P153/Semidetached!P$4</f>
        <v>114.77633518728975</v>
      </c>
      <c r="Q159" s="370">
        <f>Q153/Semidetached!Q$4</f>
        <v>85.098547277204275</v>
      </c>
      <c r="R159" s="370">
        <f>R153/Semidetached!R$4</f>
        <v>87.772923723193287</v>
      </c>
      <c r="S159" s="370">
        <f>S153/Semidetached!S$4</f>
        <v>71.234238577512741</v>
      </c>
      <c r="T159" s="370">
        <f>T153/Semidetached!T$4</f>
        <v>72.939180250620907</v>
      </c>
      <c r="U159" s="370">
        <f>U153/Semidetached!U$4</f>
        <v>71.498789968541431</v>
      </c>
      <c r="V159" s="370">
        <f>V153/Semidetached!V$4</f>
        <v>91.431839097352338</v>
      </c>
      <c r="W159" s="370">
        <f>W153/Semidetached!W$4</f>
        <v>67.665874144577629</v>
      </c>
      <c r="X159" s="370">
        <f>X153/Semidetached!X$4</f>
        <v>81.334261983261655</v>
      </c>
      <c r="Y159" s="370">
        <f>Y153/Semidetached!Y$4</f>
        <v>30.782644676088136</v>
      </c>
      <c r="Z159" s="370">
        <f>Z153/Semidetached!Z$4</f>
        <v>69.60517605099102</v>
      </c>
      <c r="AA159" s="370">
        <f>AA153/Semidetached!AA$4</f>
        <v>63.145943888161831</v>
      </c>
      <c r="AB159" s="370">
        <f>AB153/Semidetached!AB$4</f>
        <v>104.57432266564463</v>
      </c>
      <c r="AC159" s="370">
        <f>AC153/Semidetached!AC$4</f>
        <v>57.913347835216321</v>
      </c>
      <c r="AD159" s="370">
        <f>AD153/Semidetached!AD$4</f>
        <v>140.18646725523081</v>
      </c>
      <c r="AE159" s="370">
        <f>AE153/Semidetached!AE$4</f>
        <v>61.61301070260425</v>
      </c>
      <c r="AF159" s="370">
        <f>AF153/Semidetached!AF$4</f>
        <v>68.002804529715348</v>
      </c>
      <c r="AG159" s="370">
        <f>AG153/Semidetached!AG$4</f>
        <v>134.28232405452317</v>
      </c>
      <c r="AH159" s="370">
        <f>AH153/Semidetached!AH$4</f>
        <v>64.76174180717102</v>
      </c>
      <c r="AI159" s="370">
        <f>AI153/Semidetached!AI$4</f>
        <v>110.22625954782566</v>
      </c>
      <c r="AJ159" s="370">
        <f>AJ153/Semidetached!AJ$4</f>
        <v>120.10435136444971</v>
      </c>
      <c r="AK159" s="370">
        <f>AK153/Semidetached!AK$4</f>
        <v>94.613896113109519</v>
      </c>
      <c r="AL159" s="370">
        <f>AL153/Semidetached!AL$4</f>
        <v>89.194958932798158</v>
      </c>
      <c r="AM159" s="370">
        <f>AM153/Semidetached!AM$4</f>
        <v>110.44503494739095</v>
      </c>
      <c r="AN159" s="371">
        <f>AN153/Semidetached!AN$4</f>
        <v>110.44503494739094</v>
      </c>
    </row>
    <row r="160" spans="1:40">
      <c r="A160" s="155"/>
      <c r="B160" s="338" t="s">
        <v>7</v>
      </c>
      <c r="C160" s="368" t="s">
        <v>190</v>
      </c>
      <c r="D160" s="378">
        <f>D154/Semidetached!D$4</f>
        <v>59.759813793725279</v>
      </c>
      <c r="E160" s="379">
        <f>E154/Semidetached!E$4</f>
        <v>71.739553186405885</v>
      </c>
      <c r="F160" s="379">
        <f>F154/Semidetached!F$4</f>
        <v>64.021676286985439</v>
      </c>
      <c r="G160" s="379">
        <f>G154/Semidetached!G$4</f>
        <v>57.283183885987569</v>
      </c>
      <c r="H160" s="379">
        <f>H154/Semidetached!H$4</f>
        <v>29.965857936244998</v>
      </c>
      <c r="I160" s="379">
        <f>I154/Semidetached!I$4</f>
        <v>61.523486370761859</v>
      </c>
      <c r="J160" s="379">
        <f>J154/Semidetached!J$4</f>
        <v>49.002113926613468</v>
      </c>
      <c r="K160" s="379">
        <f>K154/Semidetached!K$4</f>
        <v>36.783407265688965</v>
      </c>
      <c r="L160" s="379">
        <f>L154/Semidetached!L$4</f>
        <v>51.097630982619748</v>
      </c>
      <c r="M160" s="379">
        <f>M154/Semidetached!M$4</f>
        <v>50.181097529230698</v>
      </c>
      <c r="N160" s="379">
        <f>N154/Semidetached!N$4</f>
        <v>78.016863260212844</v>
      </c>
      <c r="O160" s="379">
        <f>O154/Semidetached!O$4</f>
        <v>40.513057879815065</v>
      </c>
      <c r="P160" s="379">
        <f>P154/Semidetached!P$4</f>
        <v>46.409437077256882</v>
      </c>
      <c r="Q160" s="379">
        <f>Q154/Semidetached!Q$4</f>
        <v>56.750211051913737</v>
      </c>
      <c r="R160" s="379">
        <f>R154/Semidetached!R$4</f>
        <v>56.706750642290316</v>
      </c>
      <c r="S160" s="379">
        <f>S154/Semidetached!S$4</f>
        <v>44.846876344432381</v>
      </c>
      <c r="T160" s="379">
        <f>T154/Semidetached!T$4</f>
        <v>66.055537179358637</v>
      </c>
      <c r="U160" s="379">
        <f>U154/Semidetached!U$4</f>
        <v>68.879692005382111</v>
      </c>
      <c r="V160" s="379">
        <f>V154/Semidetached!V$4</f>
        <v>55.398234290870441</v>
      </c>
      <c r="W160" s="379">
        <f>W154/Semidetached!W$4</f>
        <v>54.353759363784071</v>
      </c>
      <c r="X160" s="379">
        <f>X154/Semidetached!X$4</f>
        <v>53.82611060752275</v>
      </c>
      <c r="Y160" s="379">
        <f>Y154/Semidetached!Y$4</f>
        <v>29.320066091309773</v>
      </c>
      <c r="Z160" s="379">
        <f>Z154/Semidetached!Z$4</f>
        <v>48.518750846932946</v>
      </c>
      <c r="AA160" s="379">
        <f>AA154/Semidetached!AA$4</f>
        <v>57.350776188219534</v>
      </c>
      <c r="AB160" s="379">
        <f>AB154/Semidetached!AB$4</f>
        <v>78.335922875270029</v>
      </c>
      <c r="AC160" s="379">
        <f>AC154/Semidetached!AC$4</f>
        <v>41.155755123897094</v>
      </c>
      <c r="AD160" s="379">
        <f>AD154/Semidetached!AD$4</f>
        <v>112.34726980505103</v>
      </c>
      <c r="AE160" s="379">
        <f>AE154/Semidetached!AE$4</f>
        <v>55.890240655601282</v>
      </c>
      <c r="AF160" s="379">
        <f>AF154/Semidetached!AF$4</f>
        <v>39.406280243851135</v>
      </c>
      <c r="AG160" s="379">
        <f>AG154/Semidetached!AG$4</f>
        <v>84.302844798045044</v>
      </c>
      <c r="AH160" s="379">
        <f>AH154/Semidetached!AH$4</f>
        <v>55.084917048322069</v>
      </c>
      <c r="AI160" s="379">
        <f>AI154/Semidetached!AI$4</f>
        <v>44.88105689883065</v>
      </c>
      <c r="AJ160" s="379">
        <f>AJ154/Semidetached!AJ$4</f>
        <v>106.30856333691419</v>
      </c>
      <c r="AK160" s="379">
        <f>AK154/Semidetached!AK$4</f>
        <v>84.169476183531373</v>
      </c>
      <c r="AL160" s="379">
        <f>AL154/Semidetached!AL$4</f>
        <v>61.905764208022475</v>
      </c>
      <c r="AM160" s="379">
        <f>AM154/Semidetached!AM$4</f>
        <v>97.758764437470376</v>
      </c>
      <c r="AN160" s="380">
        <f>AN154/Semidetached!AN$4</f>
        <v>97.758764437470376</v>
      </c>
    </row>
    <row r="161" spans="1:40">
      <c r="A161" s="334" t="s">
        <v>299</v>
      </c>
      <c r="B161" s="359" t="s">
        <v>2</v>
      </c>
      <c r="C161" s="366" t="s">
        <v>190</v>
      </c>
      <c r="D161" s="376">
        <f>Semidetached!D$48-D155</f>
        <v>19.899049806346596</v>
      </c>
      <c r="E161" s="376">
        <f>Semidetached!E$48-E155</f>
        <v>36.251937426115092</v>
      </c>
      <c r="F161" s="376">
        <f>Semidetached!F$48-F155</f>
        <v>21.34488753261499</v>
      </c>
      <c r="G161" s="376">
        <f>Semidetached!G$48-G155</f>
        <v>19.404438017271218</v>
      </c>
      <c r="H161" s="376">
        <f>Semidetached!H$48-H155</f>
        <v>17.622124226854801</v>
      </c>
      <c r="I161" s="376">
        <f>Semidetached!I$48-I155</f>
        <v>21.804953921305923</v>
      </c>
      <c r="J161" s="376">
        <f>Semidetached!J$48-J155</f>
        <v>42.530329804131725</v>
      </c>
      <c r="K161" s="376">
        <f>Semidetached!K$48-K155</f>
        <v>7.6311488922044219</v>
      </c>
      <c r="L161" s="376">
        <f>Semidetached!L$48-L155</f>
        <v>11.822703820342937</v>
      </c>
      <c r="M161" s="376">
        <f>Semidetached!M$48-M155</f>
        <v>20.000129884812253</v>
      </c>
      <c r="N161" s="376">
        <f>Semidetached!N$48-N155</f>
        <v>12.33738267165262</v>
      </c>
      <c r="O161" s="376">
        <f>Semidetached!O$48-O155</f>
        <v>40.354968761088344</v>
      </c>
      <c r="P161" s="376">
        <f>Semidetached!P$48-P155</f>
        <v>33.662042942941682</v>
      </c>
      <c r="Q161" s="376">
        <f>Semidetached!Q$48-Q155</f>
        <v>18.701722399582337</v>
      </c>
      <c r="R161" s="376">
        <f>Semidetached!R$48-R155</f>
        <v>22.393244586197795</v>
      </c>
      <c r="S161" s="376">
        <f>Semidetached!S$48-S155</f>
        <v>48.43942949650085</v>
      </c>
      <c r="T161" s="376">
        <f>Semidetached!T$48-T155</f>
        <v>10.497309703241626</v>
      </c>
      <c r="U161" s="376">
        <f>Semidetached!U$48-U155</f>
        <v>25.748987659129014</v>
      </c>
      <c r="V161" s="376">
        <f>Semidetached!V$48-V155</f>
        <v>20.494517530023387</v>
      </c>
      <c r="W161" s="376">
        <f>Semidetached!W$48-W155</f>
        <v>30.627693879413073</v>
      </c>
      <c r="X161" s="376">
        <f>Semidetached!X$48-X155</f>
        <v>34.068366059561981</v>
      </c>
      <c r="Y161" s="376">
        <f>Semidetached!Y$48-Y155</f>
        <v>6.9963074903871316</v>
      </c>
      <c r="Z161" s="376">
        <f>Semidetached!Z$48-Z155</f>
        <v>50.089675204537329</v>
      </c>
      <c r="AA161" s="376">
        <f>Semidetached!AA$48-AA155</f>
        <v>14.756435096583658</v>
      </c>
      <c r="AB161" s="376">
        <f>Semidetached!AB$48-AB155</f>
        <v>47.209084116420968</v>
      </c>
      <c r="AC161" s="376">
        <f>Semidetached!AC$48-AC155</f>
        <v>26.697855010097868</v>
      </c>
      <c r="AD161" s="376">
        <f>Semidetached!AD$48-AD155</f>
        <v>27.527325108167673</v>
      </c>
      <c r="AE161" s="376">
        <f>Semidetached!AE$48-AE155</f>
        <v>14.214984912207086</v>
      </c>
      <c r="AF161" s="376">
        <f>Semidetached!AF$48-AF155</f>
        <v>23.622126169766162</v>
      </c>
      <c r="AG161" s="376">
        <f>Semidetached!AG$48-AG155</f>
        <v>45.708807186072278</v>
      </c>
      <c r="AH161" s="376">
        <f>Semidetached!AH$48-AH155</f>
        <v>51.360700441456657</v>
      </c>
      <c r="AI161" s="376">
        <f>Semidetached!AI$48-AI155</f>
        <v>33.642260435960154</v>
      </c>
      <c r="AJ161" s="376">
        <f>Semidetached!AJ$48-AJ155</f>
        <v>21.517434740548737</v>
      </c>
      <c r="AK161" s="376">
        <f>Semidetached!AK$48-AK155</f>
        <v>19.264700070742336</v>
      </c>
      <c r="AL161" s="376">
        <f>Semidetached!AL$48-AL155</f>
        <v>21.386278971089098</v>
      </c>
      <c r="AM161" s="376">
        <f>Semidetached!AM$48-AM155</f>
        <v>19.786908674830443</v>
      </c>
      <c r="AN161" s="377">
        <f>Semidetached!AN$48-AN155</f>
        <v>19.786908674830471</v>
      </c>
    </row>
    <row r="162" spans="1:40">
      <c r="A162" s="154"/>
      <c r="B162" s="347" t="s">
        <v>3</v>
      </c>
      <c r="C162" s="367" t="s">
        <v>190</v>
      </c>
      <c r="D162" s="370">
        <f>Semidetached!D$49-D156</f>
        <v>15.663895993101619</v>
      </c>
      <c r="E162" s="370">
        <f>Semidetached!E$49-E156</f>
        <v>36.251937426115092</v>
      </c>
      <c r="F162" s="370">
        <f>Semidetached!F$49-F156</f>
        <v>21.34488753261499</v>
      </c>
      <c r="G162" s="370">
        <f>Semidetached!G$49-G156</f>
        <v>15.271724882799447</v>
      </c>
      <c r="H162" s="370">
        <f>Semidetached!H$49-H156</f>
        <v>17.827075456090938</v>
      </c>
      <c r="I162" s="370">
        <f>Semidetached!I$49-I156</f>
        <v>12.376537093551661</v>
      </c>
      <c r="J162" s="370">
        <f>Semidetached!J$49-J156</f>
        <v>41.659660789382869</v>
      </c>
      <c r="K162" s="370">
        <f>Semidetached!K$49-K156</f>
        <v>6.2281582924606056</v>
      </c>
      <c r="L162" s="370">
        <f>Semidetached!L$49-L156</f>
        <v>11.822703820342937</v>
      </c>
      <c r="M162" s="370">
        <f>Semidetached!M$49-M156</f>
        <v>15.35316012826901</v>
      </c>
      <c r="N162" s="370">
        <f>Semidetached!N$49-N156</f>
        <v>11.70982974100987</v>
      </c>
      <c r="O162" s="370">
        <f>Semidetached!O$49-O156</f>
        <v>40.354968761088344</v>
      </c>
      <c r="P162" s="370">
        <f>Semidetached!P$49-P156</f>
        <v>33.662042942941682</v>
      </c>
      <c r="Q162" s="370">
        <f>Semidetached!Q$49-Q156</f>
        <v>18.505546173267987</v>
      </c>
      <c r="R162" s="370">
        <f>Semidetached!R$49-R156</f>
        <v>22.393244586197795</v>
      </c>
      <c r="S162" s="370">
        <f>Semidetached!S$49-S156</f>
        <v>51.27442306173208</v>
      </c>
      <c r="T162" s="370">
        <f>Semidetached!T$49-T156</f>
        <v>9.9639896475102745</v>
      </c>
      <c r="U162" s="370">
        <f>Semidetached!U$49-U156</f>
        <v>24.533384292287224</v>
      </c>
      <c r="V162" s="370">
        <f>Semidetached!V$49-V156</f>
        <v>20.494517530023387</v>
      </c>
      <c r="W162" s="370">
        <f>Semidetached!W$49-W156</f>
        <v>17.840129448677033</v>
      </c>
      <c r="X162" s="370">
        <f>Semidetached!X$49-X156</f>
        <v>34.124557798195752</v>
      </c>
      <c r="Y162" s="370">
        <f>Semidetached!Y$49-Y156</f>
        <v>6.9159478378529968</v>
      </c>
      <c r="Z162" s="370">
        <f>Semidetached!Z$49-Z156</f>
        <v>22.756402040275475</v>
      </c>
      <c r="AA162" s="370">
        <f>Semidetached!AA$49-AA156</f>
        <v>14.76466343635154</v>
      </c>
      <c r="AB162" s="370">
        <f>Semidetached!AB$49-AB156</f>
        <v>19.219561247900316</v>
      </c>
      <c r="AC162" s="370">
        <f>Semidetached!AC$49-AC156</f>
        <v>25.232535199962051</v>
      </c>
      <c r="AD162" s="370">
        <f>Semidetached!AD$49-AD156</f>
        <v>25.730236031186138</v>
      </c>
      <c r="AE162" s="370">
        <f>Semidetached!AE$49-AE156</f>
        <v>14.223024058882018</v>
      </c>
      <c r="AF162" s="370">
        <f>Semidetached!AF$49-AF156</f>
        <v>23.622126169766162</v>
      </c>
      <c r="AG162" s="370">
        <f>Semidetached!AG$49-AG156</f>
        <v>33.959405764933535</v>
      </c>
      <c r="AH162" s="370">
        <f>Semidetached!AH$49-AH156</f>
        <v>53.977923005508757</v>
      </c>
      <c r="AI162" s="370">
        <f>Semidetached!AI$49-AI156</f>
        <v>33.642260435960154</v>
      </c>
      <c r="AJ162" s="370">
        <f>Semidetached!AJ$49-AJ156</f>
        <v>21.517434740548737</v>
      </c>
      <c r="AK162" s="370">
        <f>Semidetached!AK$49-AK156</f>
        <v>19.264700070742336</v>
      </c>
      <c r="AL162" s="370">
        <f>Semidetached!AL$49-AL156</f>
        <v>21.386278971089098</v>
      </c>
      <c r="AM162" s="370">
        <f>Semidetached!AM$49-AM156</f>
        <v>19.786908674830443</v>
      </c>
      <c r="AN162" s="371">
        <f>Semidetached!AN$49-AN156</f>
        <v>19.786908674830471</v>
      </c>
    </row>
    <row r="163" spans="1:40">
      <c r="A163" s="154"/>
      <c r="B163" s="347" t="s">
        <v>4</v>
      </c>
      <c r="C163" s="367" t="s">
        <v>190</v>
      </c>
      <c r="D163" s="370">
        <f>Semidetached!D$50-D157</f>
        <v>8.3489109396722512</v>
      </c>
      <c r="E163" s="370">
        <f>Semidetached!E$50-E157</f>
        <v>36.251937426115092</v>
      </c>
      <c r="F163" s="370">
        <f>Semidetached!F$50-F157</f>
        <v>19.55464320549487</v>
      </c>
      <c r="G163" s="370">
        <f>Semidetached!G$50-G157</f>
        <v>8.141275675656459</v>
      </c>
      <c r="H163" s="370">
        <f>Semidetached!H$50-H157</f>
        <v>17.831714649134753</v>
      </c>
      <c r="I163" s="370">
        <f>Semidetached!I$50-I157</f>
        <v>12.376537093551661</v>
      </c>
      <c r="J163" s="370">
        <f>Semidetached!J$50-J157</f>
        <v>11.082653724166619</v>
      </c>
      <c r="K163" s="370">
        <f>Semidetached!K$50-K157</f>
        <v>4.1730316300018231</v>
      </c>
      <c r="L163" s="370">
        <f>Semidetached!L$50-L157</f>
        <v>8.3199589003693859</v>
      </c>
      <c r="M163" s="370">
        <f>Semidetached!M$50-M157</f>
        <v>15.35316012826901</v>
      </c>
      <c r="N163" s="370">
        <f>Semidetached!N$50-N157</f>
        <v>8.2180891693097351</v>
      </c>
      <c r="O163" s="370">
        <f>Semidetached!O$50-O157</f>
        <v>6.665243588520724</v>
      </c>
      <c r="P163" s="370">
        <f>Semidetached!P$50-P157</f>
        <v>33.662042942941682</v>
      </c>
      <c r="Q163" s="370">
        <f>Semidetached!Q$50-Q157</f>
        <v>19.315109834197813</v>
      </c>
      <c r="R163" s="370">
        <f>Semidetached!R$50-R157</f>
        <v>16.210292453360807</v>
      </c>
      <c r="S163" s="370">
        <f>Semidetached!S$50-S157</f>
        <v>23.211090745330395</v>
      </c>
      <c r="T163" s="370">
        <f>Semidetached!T$50-T157</f>
        <v>6.9930371361437977</v>
      </c>
      <c r="U163" s="370">
        <f>Semidetached!U$50-U157</f>
        <v>23.341794334361921</v>
      </c>
      <c r="V163" s="370">
        <f>Semidetached!V$50-V157</f>
        <v>10.304679461876432</v>
      </c>
      <c r="W163" s="370">
        <f>Semidetached!W$50-W157</f>
        <v>10.876403274637894</v>
      </c>
      <c r="X163" s="370">
        <f>Semidetached!X$50-X157</f>
        <v>27.768448256261507</v>
      </c>
      <c r="Y163" s="370">
        <f>Semidetached!Y$50-Y157</f>
        <v>7.1358866499206144</v>
      </c>
      <c r="Z163" s="370">
        <f>Semidetached!Z$50-Z157</f>
        <v>22.953483344704907</v>
      </c>
      <c r="AA163" s="370">
        <f>Semidetached!AA$50-AA157</f>
        <v>4.0486448662683756</v>
      </c>
      <c r="AB163" s="370">
        <f>Semidetached!AB$50-AB157</f>
        <v>12.050742803702462</v>
      </c>
      <c r="AC163" s="370">
        <f>Semidetached!AC$50-AC157</f>
        <v>23.399376725547022</v>
      </c>
      <c r="AD163" s="370">
        <f>Semidetached!AD$50-AD157</f>
        <v>25.730236031186138</v>
      </c>
      <c r="AE163" s="370">
        <f>Semidetached!AE$50-AE157</f>
        <v>3.8990734366184654</v>
      </c>
      <c r="AF163" s="370">
        <f>Semidetached!AF$50-AF157</f>
        <v>16.945667703194246</v>
      </c>
      <c r="AG163" s="370">
        <f>Semidetached!AG$50-AG157</f>
        <v>33.959405764933535</v>
      </c>
      <c r="AH163" s="370">
        <f>Semidetached!AH$50-AH157</f>
        <v>24.898229652314456</v>
      </c>
      <c r="AI163" s="370">
        <f>Semidetached!AI$50-AI157</f>
        <v>33.642260435960154</v>
      </c>
      <c r="AJ163" s="370">
        <f>Semidetached!AJ$50-AJ157</f>
        <v>21.517434740548737</v>
      </c>
      <c r="AK163" s="370">
        <f>Semidetached!AK$50-AK157</f>
        <v>19.264700070742336</v>
      </c>
      <c r="AL163" s="370">
        <f>Semidetached!AL$50-AL157</f>
        <v>19.594276770597148</v>
      </c>
      <c r="AM163" s="370">
        <f>Semidetached!AM$50-AM157</f>
        <v>19.786908674830443</v>
      </c>
      <c r="AN163" s="371">
        <f>Semidetached!AN$50-AN157</f>
        <v>19.786908674830471</v>
      </c>
    </row>
    <row r="164" spans="1:40">
      <c r="A164" s="154"/>
      <c r="B164" s="347" t="s">
        <v>5</v>
      </c>
      <c r="C164" s="367" t="s">
        <v>190</v>
      </c>
      <c r="D164" s="370">
        <f>Semidetached!D$51-D158</f>
        <v>5.0447451800198166</v>
      </c>
      <c r="E164" s="370">
        <f>Semidetached!E$51-E158</f>
        <v>25.168797184146555</v>
      </c>
      <c r="F164" s="370">
        <f>Semidetached!F$51-F158</f>
        <v>18.700996308739661</v>
      </c>
      <c r="G164" s="370">
        <f>Semidetached!G$51-G158</f>
        <v>4.9203524961603762</v>
      </c>
      <c r="H164" s="370">
        <f>Semidetached!H$51-H158</f>
        <v>17.970185427971572</v>
      </c>
      <c r="I164" s="370">
        <f>Semidetached!I$51-I158</f>
        <v>9.9336644239684802</v>
      </c>
      <c r="J164" s="370">
        <f>Semidetached!J$51-J158</f>
        <v>4.5326719852099586</v>
      </c>
      <c r="K164" s="370">
        <f>Semidetached!K$51-K158</f>
        <v>3.3473135106967433</v>
      </c>
      <c r="L164" s="370">
        <f>Semidetached!L$51-L158</f>
        <v>4.6174211950166111</v>
      </c>
      <c r="M164" s="370">
        <f>Semidetached!M$51-M158</f>
        <v>11.487272236144207</v>
      </c>
      <c r="N164" s="370">
        <f>Semidetached!N$51-N158</f>
        <v>5.8124126138905865</v>
      </c>
      <c r="O164" s="370">
        <f>Semidetached!O$51-O158</f>
        <v>4.2376478327123976</v>
      </c>
      <c r="P164" s="370">
        <f>Semidetached!P$51-P158</f>
        <v>33.890640895037095</v>
      </c>
      <c r="Q164" s="370">
        <f>Semidetached!Q$51-Q158</f>
        <v>19.315109834197813</v>
      </c>
      <c r="R164" s="370">
        <f>Semidetached!R$51-R158</f>
        <v>10.235624613816356</v>
      </c>
      <c r="S164" s="370">
        <f>Semidetached!S$51-S158</f>
        <v>6.9112412528243397</v>
      </c>
      <c r="T164" s="370">
        <f>Semidetached!T$51-T158</f>
        <v>4.945937069724323</v>
      </c>
      <c r="U164" s="370">
        <f>Semidetached!U$51-U158</f>
        <v>18.285435477021792</v>
      </c>
      <c r="V164" s="370">
        <f>Semidetached!V$51-V158</f>
        <v>10.304679461876432</v>
      </c>
      <c r="W164" s="370">
        <f>Semidetached!W$51-W158</f>
        <v>5.6623495221996194</v>
      </c>
      <c r="X164" s="370">
        <f>Semidetached!X$51-X158</f>
        <v>12.719867197580811</v>
      </c>
      <c r="Y164" s="370">
        <f>Semidetached!Y$51-Y158</f>
        <v>7.2905483953478587</v>
      </c>
      <c r="Z164" s="370">
        <f>Semidetached!Z$51-Z158</f>
        <v>11.675756631852167</v>
      </c>
      <c r="AA164" s="370">
        <f>Semidetached!AA$51-AA158</f>
        <v>4.0566626212704051</v>
      </c>
      <c r="AB164" s="370">
        <f>Semidetached!AB$51-AB158</f>
        <v>12.050742803702462</v>
      </c>
      <c r="AC164" s="370">
        <f>Semidetached!AC$51-AC158</f>
        <v>22.562155502900787</v>
      </c>
      <c r="AD164" s="370">
        <f>Semidetached!AD$51-AD158</f>
        <v>24.145780200652638</v>
      </c>
      <c r="AE164" s="370">
        <f>Semidetached!AE$51-AE158</f>
        <v>3.9068927285264152</v>
      </c>
      <c r="AF164" s="370">
        <f>Semidetached!AF$51-AF158</f>
        <v>15.376655191619278</v>
      </c>
      <c r="AG164" s="370">
        <f>Semidetached!AG$51-AG158</f>
        <v>21.570956711080328</v>
      </c>
      <c r="AH164" s="370">
        <f>Semidetached!AH$51-AH158</f>
        <v>12.342995416652698</v>
      </c>
      <c r="AI164" s="370">
        <f>Semidetached!AI$51-AI158</f>
        <v>33.878789904698493</v>
      </c>
      <c r="AJ164" s="370">
        <f>Semidetached!AJ$51-AJ158</f>
        <v>12.928158499333591</v>
      </c>
      <c r="AK164" s="370">
        <f>Semidetached!AK$51-AK158</f>
        <v>11.582593226198654</v>
      </c>
      <c r="AL164" s="370">
        <f>Semidetached!AL$51-AL158</f>
        <v>18.744223622415973</v>
      </c>
      <c r="AM164" s="370">
        <f>Semidetached!AM$51-AM158</f>
        <v>11.888419537203774</v>
      </c>
      <c r="AN164" s="371">
        <f>Semidetached!AN$51-AN158</f>
        <v>11.88841953720376</v>
      </c>
    </row>
    <row r="165" spans="1:40">
      <c r="A165" s="154"/>
      <c r="B165" s="347" t="s">
        <v>6</v>
      </c>
      <c r="C165" s="367" t="s">
        <v>190</v>
      </c>
      <c r="D165" s="370">
        <f>Semidetached!D$52-D159</f>
        <v>5.2010000731787756</v>
      </c>
      <c r="E165" s="370">
        <f>Semidetached!E$52-E159</f>
        <v>25.168797184146555</v>
      </c>
      <c r="F165" s="370">
        <f>Semidetached!F$52-F159</f>
        <v>7.5327678486797822</v>
      </c>
      <c r="G165" s="370">
        <f>Semidetached!G$52-G159</f>
        <v>5.0725566469737942</v>
      </c>
      <c r="H165" s="370">
        <f>Semidetached!H$52-H159</f>
        <v>18.290822814917561</v>
      </c>
      <c r="I165" s="370">
        <f>Semidetached!I$52-I159</f>
        <v>6.3727481170713958</v>
      </c>
      <c r="J165" s="370">
        <f>Semidetached!J$52-J159</f>
        <v>2.91530377537444</v>
      </c>
      <c r="K165" s="370">
        <f>Semidetached!K$52-K159</f>
        <v>3.3473135106967433</v>
      </c>
      <c r="L165" s="370">
        <f>Semidetached!L$52-L159</f>
        <v>3.1464604444564088</v>
      </c>
      <c r="M165" s="370">
        <f>Semidetached!M$52-M159</f>
        <v>11.487272236144207</v>
      </c>
      <c r="N165" s="370">
        <f>Semidetached!N$52-N159</f>
        <v>5.6289286744435287</v>
      </c>
      <c r="O165" s="370">
        <f>Semidetached!O$52-O159</f>
        <v>2.4814854426929855</v>
      </c>
      <c r="P165" s="370">
        <f>Semidetached!P$52-P159</f>
        <v>33.890640895037095</v>
      </c>
      <c r="Q165" s="370">
        <f>Semidetached!Q$52-Q159</f>
        <v>10.835120073960184</v>
      </c>
      <c r="R165" s="370">
        <f>Semidetached!R$52-R159</f>
        <v>10.235624613816356</v>
      </c>
      <c r="S165" s="370">
        <f>Semidetached!S$52-S159</f>
        <v>7.1225452718838227</v>
      </c>
      <c r="T165" s="370">
        <f>Semidetached!T$52-T159</f>
        <v>4.7898410479891567</v>
      </c>
      <c r="U165" s="370">
        <f>Semidetached!U$52-U159</f>
        <v>15.458705864806575</v>
      </c>
      <c r="V165" s="370">
        <f>Semidetached!V$52-V159</f>
        <v>10.304679461876432</v>
      </c>
      <c r="W165" s="370">
        <f>Semidetached!W$52-W159</f>
        <v>4.2029352863564782</v>
      </c>
      <c r="X165" s="370">
        <f>Semidetached!X$52-X159</f>
        <v>11.047839411760648</v>
      </c>
      <c r="Y165" s="370">
        <f>Semidetached!Y$52-Y159</f>
        <v>6.5313357034447996</v>
      </c>
      <c r="Z165" s="370">
        <f>Semidetached!Z$52-Z159</f>
        <v>9.7409630150193323</v>
      </c>
      <c r="AA165" s="370">
        <f>Semidetached!AA$52-AA159</f>
        <v>3.0827550997514166</v>
      </c>
      <c r="AB165" s="370">
        <f>Semidetached!AB$52-AB159</f>
        <v>12.050742803702462</v>
      </c>
      <c r="AC165" s="370">
        <f>Semidetached!AC$52-AC159</f>
        <v>20.956796895526928</v>
      </c>
      <c r="AD165" s="370">
        <f>Semidetached!AD$52-AD159</f>
        <v>24.145780200652638</v>
      </c>
      <c r="AE165" s="370">
        <f>Semidetached!AE$52-AE159</f>
        <v>2.9687556692735129</v>
      </c>
      <c r="AF165" s="370">
        <f>Semidetached!AF$52-AF159</f>
        <v>7.6971288592491476</v>
      </c>
      <c r="AG165" s="370">
        <f>Semidetached!AG$52-AG159</f>
        <v>12.789641462044557</v>
      </c>
      <c r="AH165" s="370">
        <f>Semidetached!AH$52-AH159</f>
        <v>7.2528586884294697</v>
      </c>
      <c r="AI165" s="370">
        <f>Semidetached!AI$52-AI159</f>
        <v>33.878789904698493</v>
      </c>
      <c r="AJ165" s="370">
        <f>Semidetached!AJ$52-AJ159</f>
        <v>9.7944815854125693</v>
      </c>
      <c r="AK165" s="370">
        <f>Semidetached!AK$52-AK159</f>
        <v>8.7789031645012443</v>
      </c>
      <c r="AL165" s="370">
        <f>Semidetached!AL$52-AL159</f>
        <v>7.5549907673662631</v>
      </c>
      <c r="AM165" s="370">
        <f>Semidetached!AM$52-AM159</f>
        <v>9.0067666050662751</v>
      </c>
      <c r="AN165" s="371">
        <f>Semidetached!AN$52-AN159</f>
        <v>9.0067666050662751</v>
      </c>
    </row>
    <row r="166" spans="1:40">
      <c r="A166" s="155"/>
      <c r="B166" s="338" t="s">
        <v>7</v>
      </c>
      <c r="C166" s="368" t="s">
        <v>190</v>
      </c>
      <c r="D166" s="379">
        <f>Semidetached!D$53-D160</f>
        <v>3.3352461493792092</v>
      </c>
      <c r="E166" s="379">
        <f>Semidetached!E$53-E160</f>
        <v>9.6203326077857554</v>
      </c>
      <c r="F166" s="379">
        <f>Semidetached!F$53-F160</f>
        <v>3.8377531830023912</v>
      </c>
      <c r="G166" s="379">
        <f>Semidetached!G$53-G160</f>
        <v>3.2534003325892371</v>
      </c>
      <c r="H166" s="379">
        <f>Semidetached!H$53-H160</f>
        <v>19.154319234978974</v>
      </c>
      <c r="I166" s="379">
        <f>Semidetached!I$53-I160</f>
        <v>3.8108124471630163</v>
      </c>
      <c r="J166" s="379">
        <f>Semidetached!J$53-J160</f>
        <v>3.0867836513480356</v>
      </c>
      <c r="K166" s="379">
        <f>Semidetached!K$53-K160</f>
        <v>1.6975701258330389</v>
      </c>
      <c r="L166" s="379">
        <f>Semidetached!L$53-L160</f>
        <v>3.1464604444564088</v>
      </c>
      <c r="M166" s="379">
        <f>Semidetached!M$53-M160</f>
        <v>5.6626797438423182</v>
      </c>
      <c r="N166" s="379">
        <f>Semidetached!N$53-N160</f>
        <v>4.1883182433396513</v>
      </c>
      <c r="O166" s="379">
        <f>Semidetached!O$53-O160</f>
        <v>2.3044702733670306</v>
      </c>
      <c r="P166" s="379">
        <f>Semidetached!P$53-P160</f>
        <v>6.5865729044243579</v>
      </c>
      <c r="Q166" s="379">
        <f>Semidetached!Q$53-Q160</f>
        <v>3.5737445117865221</v>
      </c>
      <c r="R166" s="379">
        <f>Semidetached!R$53-R160</f>
        <v>3.2568106319447239</v>
      </c>
      <c r="S166" s="379">
        <f>Semidetached!S$53-S160</f>
        <v>4.5954904946553157</v>
      </c>
      <c r="T166" s="379">
        <f>Semidetached!T$53-T160</f>
        <v>3.5639861261756351</v>
      </c>
      <c r="U166" s="379">
        <f>Semidetached!U$53-U160</f>
        <v>15.556430759171704</v>
      </c>
      <c r="V166" s="379">
        <f>Semidetached!V$53-V160</f>
        <v>2.926107445401918</v>
      </c>
      <c r="W166" s="379">
        <f>Semidetached!W$53-W160</f>
        <v>3.6941814428435862</v>
      </c>
      <c r="X166" s="379">
        <f>Semidetached!X$53-X160</f>
        <v>3.0898538616509228</v>
      </c>
      <c r="Y166" s="379">
        <f>Semidetached!Y$53-Y160</f>
        <v>6.5853170020244285</v>
      </c>
      <c r="Z166" s="379">
        <f>Semidetached!Z$53-Z160</f>
        <v>6.4716845309068702</v>
      </c>
      <c r="AA166" s="379">
        <f>Semidetached!AA$53-AA160</f>
        <v>3.1380935505620826</v>
      </c>
      <c r="AB166" s="379">
        <f>Semidetached!AB$53-AB160</f>
        <v>13.398274707444003</v>
      </c>
      <c r="AC166" s="379">
        <f>Semidetached!AC$53-AC160</f>
        <v>11.49620530329247</v>
      </c>
      <c r="AD166" s="379">
        <f>Semidetached!AD$53-AD160</f>
        <v>20.237960774633464</v>
      </c>
      <c r="AE166" s="379">
        <f>Semidetached!AE$53-AE160</f>
        <v>3.0227495429585929</v>
      </c>
      <c r="AF166" s="379">
        <f>Semidetached!AF$53-AF160</f>
        <v>2.6016943860429009</v>
      </c>
      <c r="AG166" s="379">
        <f>Semidetached!AG$53-AG160</f>
        <v>4.8324157921128403</v>
      </c>
      <c r="AH166" s="379">
        <f>Semidetached!AH$53-AH160</f>
        <v>4.8675591357947141</v>
      </c>
      <c r="AI166" s="379">
        <f>Semidetached!AI$53-AI160</f>
        <v>6.5792339360817635</v>
      </c>
      <c r="AJ166" s="379">
        <f>Semidetached!AJ$53-AJ160</f>
        <v>6.8299339199143105</v>
      </c>
      <c r="AK166" s="379">
        <f>Semidetached!AK$53-AK160</f>
        <v>6.1173642562665691</v>
      </c>
      <c r="AL166" s="379">
        <f>Semidetached!AL$53-AL160</f>
        <v>3.8489729312948668</v>
      </c>
      <c r="AM166" s="379">
        <f>Semidetached!AM$53-AM160</f>
        <v>6.2806408086275809</v>
      </c>
      <c r="AN166" s="380">
        <f>Semidetached!AN$53-AN160</f>
        <v>6.2806408086275667</v>
      </c>
    </row>
    <row r="167" spans="1:40">
      <c r="A167" s="5"/>
      <c r="B167" s="5"/>
      <c r="C167" s="5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4"/>
      <c r="AF167" s="164"/>
      <c r="AG167" s="164"/>
      <c r="AH167" s="164"/>
      <c r="AI167" s="164"/>
      <c r="AJ167" s="164"/>
      <c r="AK167" s="164"/>
      <c r="AL167" s="164"/>
      <c r="AM167" s="164"/>
      <c r="AN167" s="164"/>
    </row>
    <row r="168" spans="1:40">
      <c r="A168" s="5" t="s">
        <v>221</v>
      </c>
      <c r="B168" s="5"/>
      <c r="C168" s="5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  <c r="AD168" s="164"/>
      <c r="AE168" s="164"/>
      <c r="AF168" s="164"/>
      <c r="AG168" s="164"/>
      <c r="AH168" s="164"/>
      <c r="AI168" s="164"/>
      <c r="AJ168" s="164"/>
      <c r="AK168" s="164"/>
      <c r="AL168" s="164"/>
      <c r="AM168" s="164"/>
      <c r="AN168" s="164"/>
    </row>
    <row r="169" spans="1:40" ht="15" customHeight="1">
      <c r="A169" s="938" t="s">
        <v>123</v>
      </c>
      <c r="B169" s="939"/>
      <c r="C169" s="138" t="s">
        <v>76</v>
      </c>
      <c r="D169" s="194">
        <v>1</v>
      </c>
      <c r="E169" s="195">
        <v>1</v>
      </c>
      <c r="F169" s="195">
        <v>1</v>
      </c>
      <c r="G169" s="195">
        <v>1</v>
      </c>
      <c r="H169" s="195">
        <v>1</v>
      </c>
      <c r="I169" s="195">
        <v>1</v>
      </c>
      <c r="J169" s="195">
        <v>1</v>
      </c>
      <c r="K169" s="195">
        <v>1</v>
      </c>
      <c r="L169" s="195">
        <v>1</v>
      </c>
      <c r="M169" s="195">
        <v>1</v>
      </c>
      <c r="N169" s="195">
        <v>1</v>
      </c>
      <c r="O169" s="195">
        <v>1</v>
      </c>
      <c r="P169" s="195">
        <v>1</v>
      </c>
      <c r="Q169" s="195">
        <v>1</v>
      </c>
      <c r="R169" s="195">
        <v>1</v>
      </c>
      <c r="S169" s="195">
        <v>1</v>
      </c>
      <c r="T169" s="195">
        <v>1</v>
      </c>
      <c r="U169" s="195">
        <v>1</v>
      </c>
      <c r="V169" s="195">
        <v>1</v>
      </c>
      <c r="W169" s="195">
        <v>1</v>
      </c>
      <c r="X169" s="195">
        <v>1</v>
      </c>
      <c r="Y169" s="195">
        <v>1</v>
      </c>
      <c r="Z169" s="195">
        <v>1</v>
      </c>
      <c r="AA169" s="195">
        <v>1</v>
      </c>
      <c r="AB169" s="195">
        <v>1</v>
      </c>
      <c r="AC169" s="195">
        <v>1</v>
      </c>
      <c r="AD169" s="195">
        <v>1</v>
      </c>
      <c r="AE169" s="195">
        <v>1</v>
      </c>
      <c r="AF169" s="195">
        <v>1</v>
      </c>
      <c r="AG169" s="195">
        <v>1</v>
      </c>
      <c r="AH169" s="195">
        <v>1</v>
      </c>
      <c r="AI169" s="195">
        <v>1</v>
      </c>
      <c r="AJ169" s="195">
        <v>1</v>
      </c>
      <c r="AK169" s="195">
        <v>1</v>
      </c>
      <c r="AL169" s="195">
        <v>1</v>
      </c>
      <c r="AM169" s="195">
        <v>1</v>
      </c>
      <c r="AN169" s="196">
        <v>1</v>
      </c>
    </row>
    <row r="170" spans="1:40">
      <c r="A170" s="151" t="s">
        <v>193</v>
      </c>
      <c r="B170" s="141" t="s">
        <v>2</v>
      </c>
      <c r="C170" s="144" t="s">
        <v>195</v>
      </c>
      <c r="D170" s="170">
        <f>((LOOKUP(Semidetached!D$2,'Ceiling-U'!$A$4:$A$40,'Ceiling-U'!$E$4:$E$40)*Semidetached!D$15)+(LOOKUP(Semidetached!D$2,'Floor-U'!$A$4:$A$40,'Floor-U'!$E$4:$E$40)*Semidetached!D$16)+(LOOKUP(Semidetached!D$2,'Wall-U'!$A$4:$A$40,'Wall-U'!$Q$4:$Q$40)*Semidetached!D$13)+(LOOKUP(Semidetached!D$2,'Window-U'!$A$4:$A$40,'Window-U'!$E$4:$E$40)*Semidetached!D$22))*D169</f>
        <v>1155.2730994448984</v>
      </c>
      <c r="E170" s="171">
        <f>((LOOKUP(Semidetached!E$2,'Ceiling-U'!$A$4:$A$40,'Ceiling-U'!$E$4:$E$40)*Semidetached!E$15)+(LOOKUP(Semidetached!E$2,'Floor-U'!$A$4:$A$40,'Floor-U'!$E$4:$E$40)*Semidetached!E$16)+(LOOKUP(Semidetached!E$2,'Wall-U'!$A$4:$A$40,'Wall-U'!$Q$4:$Q$40)*Semidetached!E$13)+(LOOKUP(Semidetached!E$2,'Window-U'!$A$4:$A$40,'Window-U'!$E$4:$E$40)*Semidetached!E$22))*E169</f>
        <v>1521.1432054069048</v>
      </c>
      <c r="F170" s="171">
        <f>((LOOKUP(Semidetached!F$2,'Ceiling-U'!$A$4:$A$40,'Ceiling-U'!$E$4:$E$40)*Semidetached!F$15)+(LOOKUP(Semidetached!F$2,'Floor-U'!$A$4:$A$40,'Floor-U'!$E$4:$E$40)*Semidetached!F$16)+(LOOKUP(Semidetached!F$2,'Wall-U'!$A$4:$A$40,'Wall-U'!$Q$4:$Q$40)*Semidetached!F$13)+(LOOKUP(Semidetached!F$2,'Window-U'!$A$4:$A$40,'Window-U'!$E$4:$E$40)*Semidetached!F$22))*F169</f>
        <v>762.78818593170399</v>
      </c>
      <c r="G170" s="171">
        <f>((LOOKUP(Semidetached!G$2,'Ceiling-U'!$A$4:$A$40,'Ceiling-U'!$E$4:$E$40)*Semidetached!G$15)+(LOOKUP(Semidetached!G$2,'Floor-U'!$A$4:$A$40,'Floor-U'!$E$4:$E$40)*Semidetached!G$16)+(LOOKUP(Semidetached!G$2,'Wall-U'!$A$4:$A$40,'Wall-U'!$Q$4:$Q$40)*Semidetached!G$13)+(LOOKUP(Semidetached!G$2,'Window-U'!$A$4:$A$40,'Window-U'!$E$4:$E$40)*Semidetached!G$22))*G169</f>
        <v>1197.4042928067247</v>
      </c>
      <c r="H170" s="171">
        <f>((LOOKUP(Semidetached!H$2,'Ceiling-U'!$A$4:$A$40,'Ceiling-U'!$E$4:$E$40)*Semidetached!H$15)+(LOOKUP(Semidetached!H$2,'Floor-U'!$A$4:$A$40,'Floor-U'!$E$4:$E$40)*Semidetached!H$16)+(LOOKUP(Semidetached!H$2,'Wall-U'!$A$4:$A$40,'Wall-U'!$Q$4:$Q$40)*Semidetached!H$13)+(LOOKUP(Semidetached!H$2,'Window-U'!$A$4:$A$40,'Window-U'!$E$4:$E$40)*Semidetached!H$22))*H169</f>
        <v>2177.1035351411456</v>
      </c>
      <c r="I170" s="171">
        <f>((LOOKUP(Semidetached!I$2,'Ceiling-U'!$A$4:$A$40,'Ceiling-U'!$E$4:$E$40)*Semidetached!I$15)+(LOOKUP(Semidetached!I$2,'Floor-U'!$A$4:$A$40,'Floor-U'!$E$4:$E$40)*Semidetached!I$16)+(LOOKUP(Semidetached!I$2,'Wall-U'!$A$4:$A$40,'Wall-U'!$Q$4:$Q$40)*Semidetached!I$13)+(LOOKUP(Semidetached!I$2,'Window-U'!$A$4:$A$40,'Window-U'!$E$4:$E$40)*Semidetached!I$22))*I169</f>
        <v>1057.5132996518848</v>
      </c>
      <c r="J170" s="171">
        <f>((LOOKUP(Semidetached!J$2,'Ceiling-U'!$A$4:$A$40,'Ceiling-U'!$E$4:$E$40)*Semidetached!J$15)+(LOOKUP(Semidetached!J$2,'Floor-U'!$A$4:$A$40,'Floor-U'!$E$4:$E$40)*Semidetached!J$16)+(LOOKUP(Semidetached!J$2,'Wall-U'!$A$4:$A$40,'Wall-U'!$Q$4:$Q$40)*Semidetached!J$13)+(LOOKUP(Semidetached!J$2,'Window-U'!$A$4:$A$40,'Window-U'!$E$4:$E$40)*Semidetached!J$22))*J169</f>
        <v>1436.9323938034577</v>
      </c>
      <c r="K170" s="171">
        <f>((LOOKUP(Semidetached!K$2,'Ceiling-U'!$A$4:$A$40,'Ceiling-U'!$E$4:$E$40)*Semidetached!K$15)+(LOOKUP(Semidetached!K$2,'Floor-U'!$A$4:$A$40,'Floor-U'!$E$4:$E$40)*Semidetached!K$16)+(LOOKUP(Semidetached!K$2,'Wall-U'!$A$4:$A$40,'Wall-U'!$Q$4:$Q$40)*Semidetached!K$13)+(LOOKUP(Semidetached!K$2,'Window-U'!$A$4:$A$40,'Window-U'!$E$4:$E$40)*Semidetached!K$22))*K169</f>
        <v>819.64838538625236</v>
      </c>
      <c r="L170" s="171">
        <f>((LOOKUP(Semidetached!L$2,'Ceiling-U'!$A$4:$A$40,'Ceiling-U'!$E$4:$E$40)*Semidetached!L$15)+(LOOKUP(Semidetached!L$2,'Floor-U'!$A$4:$A$40,'Floor-U'!$E$4:$E$40)*Semidetached!L$16)+(LOOKUP(Semidetached!L$2,'Wall-U'!$A$4:$A$40,'Wall-U'!$Q$4:$Q$40)*Semidetached!L$13)+(LOOKUP(Semidetached!L$2,'Window-U'!$A$4:$A$40,'Window-U'!$E$4:$E$40)*Semidetached!L$22))*L169</f>
        <v>447.51572283852022</v>
      </c>
      <c r="M170" s="171">
        <f>((LOOKUP(Semidetached!M$2,'Ceiling-U'!$A$4:$A$40,'Ceiling-U'!$E$4:$E$40)*Semidetached!M$15)+(LOOKUP(Semidetached!M$2,'Floor-U'!$A$4:$A$40,'Floor-U'!$E$4:$E$40)*Semidetached!M$16)+(LOOKUP(Semidetached!M$2,'Wall-U'!$A$4:$A$40,'Wall-U'!$Q$4:$Q$40)*Semidetached!M$13)+(LOOKUP(Semidetached!M$2,'Window-U'!$A$4:$A$40,'Window-U'!$E$4:$E$40)*Semidetached!M$22))*M169</f>
        <v>2068.1080732092896</v>
      </c>
      <c r="N170" s="171">
        <f>((LOOKUP(Semidetached!N$2,'Ceiling-U'!$A$4:$A$40,'Ceiling-U'!$E$4:$E$40)*Semidetached!N$15)+(LOOKUP(Semidetached!N$2,'Floor-U'!$A$4:$A$40,'Floor-U'!$E$4:$E$40)*Semidetached!N$16)+(LOOKUP(Semidetached!N$2,'Wall-U'!$A$4:$A$40,'Wall-U'!$Q$4:$Q$40)*Semidetached!N$13)+(LOOKUP(Semidetached!N$2,'Window-U'!$A$4:$A$40,'Window-U'!$E$4:$E$40)*Semidetached!N$22))*N169</f>
        <v>582.15347018149589</v>
      </c>
      <c r="O170" s="171">
        <f>((LOOKUP(Semidetached!O$2,'Ceiling-U'!$A$4:$A$40,'Ceiling-U'!$E$4:$E$40)*Semidetached!O$15)+(LOOKUP(Semidetached!O$2,'Floor-U'!$A$4:$A$40,'Floor-U'!$E$4:$E$40)*Semidetached!O$16)+(LOOKUP(Semidetached!O$2,'Wall-U'!$A$4:$A$40,'Wall-U'!$Q$4:$Q$40)*Semidetached!O$13)+(LOOKUP(Semidetached!O$2,'Window-U'!$A$4:$A$40,'Window-U'!$E$4:$E$40)*Semidetached!O$22))*O169</f>
        <v>2015.3923797532602</v>
      </c>
      <c r="P170" s="171">
        <f>((LOOKUP(Semidetached!P$2,'Ceiling-U'!$A$4:$A$40,'Ceiling-U'!$E$4:$E$40)*Semidetached!P$15)+(LOOKUP(Semidetached!P$2,'Floor-U'!$A$4:$A$40,'Floor-U'!$E$4:$E$40)*Semidetached!P$16)+(LOOKUP(Semidetached!P$2,'Wall-U'!$A$4:$A$40,'Wall-U'!$Q$4:$Q$40)*Semidetached!P$13)+(LOOKUP(Semidetached!P$2,'Window-U'!$A$4:$A$40,'Window-U'!$E$4:$E$40)*Semidetached!P$22))*P169</f>
        <v>1388.672193969312</v>
      </c>
      <c r="Q170" s="171">
        <f>((LOOKUP(Semidetached!Q$2,'Ceiling-U'!$A$4:$A$40,'Ceiling-U'!$E$4:$E$40)*Semidetached!Q$15)+(LOOKUP(Semidetached!Q$2,'Floor-U'!$A$4:$A$40,'Floor-U'!$E$4:$E$40)*Semidetached!Q$16)+(LOOKUP(Semidetached!Q$2,'Wall-U'!$A$4:$A$40,'Wall-U'!$Q$4:$Q$40)*Semidetached!Q$13)+(LOOKUP(Semidetached!Q$2,'Window-U'!$A$4:$A$40,'Window-U'!$E$4:$E$40)*Semidetached!Q$22))*Q169</f>
        <v>830.5214402287022</v>
      </c>
      <c r="R170" s="171">
        <f>((LOOKUP(Semidetached!R$2,'Ceiling-U'!$A$4:$A$40,'Ceiling-U'!$E$4:$E$40)*Semidetached!R$15)+(LOOKUP(Semidetached!R$2,'Floor-U'!$A$4:$A$40,'Floor-U'!$E$4:$E$40)*Semidetached!R$16)+(LOOKUP(Semidetached!R$2,'Wall-U'!$A$4:$A$40,'Wall-U'!$Q$4:$Q$40)*Semidetached!R$13)+(LOOKUP(Semidetached!R$2,'Window-U'!$A$4:$A$40,'Window-U'!$E$4:$E$40)*Semidetached!R$22))*R169</f>
        <v>959.20802009779106</v>
      </c>
      <c r="S170" s="171">
        <f>((LOOKUP(Semidetached!S$2,'Ceiling-U'!$A$4:$A$40,'Ceiling-U'!$E$4:$E$40)*Semidetached!S$15)+(LOOKUP(Semidetached!S$2,'Floor-U'!$A$4:$A$40,'Floor-U'!$E$4:$E$40)*Semidetached!S$16)+(LOOKUP(Semidetached!S$2,'Wall-U'!$A$4:$A$40,'Wall-U'!$Q$4:$Q$40)*Semidetached!S$13)+(LOOKUP(Semidetached!S$2,'Window-U'!$A$4:$A$40,'Window-U'!$E$4:$E$40)*Semidetached!S$22))*S169</f>
        <v>1634.5971676543625</v>
      </c>
      <c r="T170" s="171">
        <f>((LOOKUP(Semidetached!T$2,'Ceiling-U'!$A$4:$A$40,'Ceiling-U'!$E$4:$E$40)*Semidetached!T$15)+(LOOKUP(Semidetached!T$2,'Floor-U'!$A$4:$A$40,'Floor-U'!$E$4:$E$40)*Semidetached!T$16)+(LOOKUP(Semidetached!T$2,'Wall-U'!$A$4:$A$40,'Wall-U'!$Q$4:$Q$40)*Semidetached!T$13)+(LOOKUP(Semidetached!T$2,'Window-U'!$A$4:$A$40,'Window-U'!$E$4:$E$40)*Semidetached!T$22))*T169</f>
        <v>586.65999231155877</v>
      </c>
      <c r="U170" s="171">
        <f>((LOOKUP(Semidetached!U$2,'Ceiling-U'!$A$4:$A$40,'Ceiling-U'!$E$4:$E$40)*Semidetached!U$15)+(LOOKUP(Semidetached!U$2,'Floor-U'!$A$4:$A$40,'Floor-U'!$E$4:$E$40)*Semidetached!U$16)+(LOOKUP(Semidetached!U$2,'Wall-U'!$A$4:$A$40,'Wall-U'!$Q$4:$Q$40)*Semidetached!U$13)+(LOOKUP(Semidetached!U$2,'Window-U'!$A$4:$A$40,'Window-U'!$E$4:$E$40)*Semidetached!U$22))*U169</f>
        <v>1881.2010277031773</v>
      </c>
      <c r="V170" s="171">
        <f>((LOOKUP(Semidetached!V$2,'Ceiling-U'!$A$4:$A$40,'Ceiling-U'!$E$4:$E$40)*Semidetached!V$15)+(LOOKUP(Semidetached!V$2,'Floor-U'!$A$4:$A$40,'Floor-U'!$E$4:$E$40)*Semidetached!V$16)+(LOOKUP(Semidetached!V$2,'Wall-U'!$A$4:$A$40,'Wall-U'!$Q$4:$Q$40)*Semidetached!V$13)+(LOOKUP(Semidetached!V$2,'Window-U'!$A$4:$A$40,'Window-U'!$E$4:$E$40)*Semidetached!V$22))*V169</f>
        <v>826.7333944237854</v>
      </c>
      <c r="W170" s="171">
        <f>((LOOKUP(Semidetached!W$2,'Ceiling-U'!$A$4:$A$40,'Ceiling-U'!$E$4:$E$40)*Semidetached!W$15)+(LOOKUP(Semidetached!W$2,'Floor-U'!$A$4:$A$40,'Floor-U'!$E$4:$E$40)*Semidetached!W$16)+(LOOKUP(Semidetached!W$2,'Wall-U'!$A$4:$A$40,'Wall-U'!$Q$4:$Q$40)*Semidetached!W$13)+(LOOKUP(Semidetached!W$2,'Window-U'!$A$4:$A$40,'Window-U'!$E$4:$E$40)*Semidetached!W$22))*W169</f>
        <v>872.15894330302683</v>
      </c>
      <c r="X170" s="171">
        <f>((LOOKUP(Semidetached!X$2,'Ceiling-U'!$A$4:$A$40,'Ceiling-U'!$E$4:$E$40)*Semidetached!X$15)+(LOOKUP(Semidetached!X$2,'Floor-U'!$A$4:$A$40,'Floor-U'!$E$4:$E$40)*Semidetached!X$16)+(LOOKUP(Semidetached!X$2,'Wall-U'!$A$4:$A$40,'Wall-U'!$Q$4:$Q$40)*Semidetached!X$13)+(LOOKUP(Semidetached!X$2,'Window-U'!$A$4:$A$40,'Window-U'!$E$4:$E$40)*Semidetached!X$22))*X169</f>
        <v>924.4870301853656</v>
      </c>
      <c r="Y170" s="171">
        <f>((LOOKUP(Semidetached!Y$2,'Ceiling-U'!$A$4:$A$40,'Ceiling-U'!$E$4:$E$40)*Semidetached!Y$15)+(LOOKUP(Semidetached!Y$2,'Floor-U'!$A$4:$A$40,'Floor-U'!$E$4:$E$40)*Semidetached!Y$16)+(LOOKUP(Semidetached!Y$2,'Wall-U'!$A$4:$A$40,'Wall-U'!$Q$4:$Q$40)*Semidetached!Y$13)+(LOOKUP(Semidetached!Y$2,'Window-U'!$A$4:$A$40,'Window-U'!$E$4:$E$40)*Semidetached!Y$22))*Y169</f>
        <v>2252.550012079043</v>
      </c>
      <c r="Z170" s="171">
        <f>((LOOKUP(Semidetached!Z$2,'Ceiling-U'!$A$4:$A$40,'Ceiling-U'!$E$4:$E$40)*Semidetached!Z$15)+(LOOKUP(Semidetached!Z$2,'Floor-U'!$A$4:$A$40,'Floor-U'!$E$4:$E$40)*Semidetached!Z$16)+(LOOKUP(Semidetached!Z$2,'Wall-U'!$A$4:$A$40,'Wall-U'!$Q$4:$Q$40)*Semidetached!Z$13)+(LOOKUP(Semidetached!Z$2,'Window-U'!$A$4:$A$40,'Window-U'!$E$4:$E$40)*Semidetached!Z$22))*Z169</f>
        <v>1831.2769897719913</v>
      </c>
      <c r="AA170" s="171">
        <f>((LOOKUP(Semidetached!AA$2,'Ceiling-U'!$A$4:$A$40,'Ceiling-U'!$E$4:$E$40)*Semidetached!AA$15)+(LOOKUP(Semidetached!AA$2,'Floor-U'!$A$4:$A$40,'Floor-U'!$E$4:$E$40)*Semidetached!AA$16)+(LOOKUP(Semidetached!AA$2,'Wall-U'!$A$4:$A$40,'Wall-U'!$Q$4:$Q$40)*Semidetached!AA$13)+(LOOKUP(Semidetached!AA$2,'Window-U'!$A$4:$A$40,'Window-U'!$E$4:$E$40)*Semidetached!AA$22))*AA169</f>
        <v>549.09308917732722</v>
      </c>
      <c r="AB170" s="171">
        <f>((LOOKUP(Semidetached!AB$2,'Ceiling-U'!$A$4:$A$40,'Ceiling-U'!$E$4:$E$40)*Semidetached!AB$15)+(LOOKUP(Semidetached!AB$2,'Floor-U'!$A$4:$A$40,'Floor-U'!$E$4:$E$40)*Semidetached!AB$16)+(LOOKUP(Semidetached!AB$2,'Wall-U'!$A$4:$A$40,'Wall-U'!$Q$4:$Q$40)*Semidetached!AB$13)+(LOOKUP(Semidetached!AB$2,'Window-U'!$A$4:$A$40,'Window-U'!$E$4:$E$40)*Semidetached!AB$22))*AB169</f>
        <v>1292.1277613930133</v>
      </c>
      <c r="AC170" s="171">
        <f>((LOOKUP(Semidetached!AC$2,'Ceiling-U'!$A$4:$A$40,'Ceiling-U'!$E$4:$E$40)*Semidetached!AC$15)+(LOOKUP(Semidetached!AC$2,'Floor-U'!$A$4:$A$40,'Floor-U'!$E$4:$E$40)*Semidetached!AC$16)+(LOOKUP(Semidetached!AC$2,'Wall-U'!$A$4:$A$40,'Wall-U'!$Q$4:$Q$40)*Semidetached!AC$13)+(LOOKUP(Semidetached!AC$2,'Window-U'!$A$4:$A$40,'Window-U'!$E$4:$E$40)*Semidetached!AC$22))*AC169</f>
        <v>2215.440412482887</v>
      </c>
      <c r="AD170" s="171">
        <f>((LOOKUP(Semidetached!AD$2,'Ceiling-U'!$A$4:$A$40,'Ceiling-U'!$E$4:$E$40)*Semidetached!AD$15)+(LOOKUP(Semidetached!AD$2,'Floor-U'!$A$4:$A$40,'Floor-U'!$E$4:$E$40)*Semidetached!AD$16)+(LOOKUP(Semidetached!AD$2,'Wall-U'!$A$4:$A$40,'Wall-U'!$Q$4:$Q$40)*Semidetached!AD$13)+(LOOKUP(Semidetached!AD$2,'Window-U'!$A$4:$A$40,'Window-U'!$E$4:$E$40)*Semidetached!AD$22))*AD169</f>
        <v>993.0641983212231</v>
      </c>
      <c r="AE170" s="171">
        <f>((LOOKUP(Semidetached!AE$2,'Ceiling-U'!$A$4:$A$40,'Ceiling-U'!$E$4:$E$40)*Semidetached!AE$15)+(LOOKUP(Semidetached!AE$2,'Floor-U'!$A$4:$A$40,'Floor-U'!$E$4:$E$40)*Semidetached!AE$16)+(LOOKUP(Semidetached!AE$2,'Wall-U'!$A$4:$A$40,'Wall-U'!$Q$4:$Q$40)*Semidetached!AE$13)+(LOOKUP(Semidetached!AE$2,'Window-U'!$A$4:$A$40,'Window-U'!$E$4:$E$40)*Semidetached!AE$22))*AE169</f>
        <v>540.78846986077417</v>
      </c>
      <c r="AF170" s="171">
        <f>((LOOKUP(Semidetached!AF$2,'Ceiling-U'!$A$4:$A$40,'Ceiling-U'!$E$4:$E$40)*Semidetached!AF$15)+(LOOKUP(Semidetached!AF$2,'Floor-U'!$A$4:$A$40,'Floor-U'!$E$4:$E$40)*Semidetached!AF$16)+(LOOKUP(Semidetached!AF$2,'Wall-U'!$A$4:$A$40,'Wall-U'!$Q$4:$Q$40)*Semidetached!AF$13)+(LOOKUP(Semidetached!AF$2,'Window-U'!$A$4:$A$40,'Window-U'!$E$4:$E$40)*Semidetached!AF$22))*AF169</f>
        <v>983.63106182778438</v>
      </c>
      <c r="AG170" s="171">
        <f>((LOOKUP(Semidetached!AG$2,'Ceiling-U'!$A$4:$A$40,'Ceiling-U'!$E$4:$E$40)*Semidetached!AG$15)+(LOOKUP(Semidetached!AG$2,'Floor-U'!$A$4:$A$40,'Floor-U'!$E$4:$E$40)*Semidetached!AG$16)+(LOOKUP(Semidetached!AG$2,'Wall-U'!$A$4:$A$40,'Wall-U'!$Q$4:$Q$40)*Semidetached!AG$13)+(LOOKUP(Semidetached!AG$2,'Window-U'!$A$4:$A$40,'Window-U'!$E$4:$E$40)*Semidetached!AG$22))*AG169</f>
        <v>1514.1009051196313</v>
      </c>
      <c r="AH170" s="171">
        <f>((LOOKUP(Semidetached!AH$2,'Ceiling-U'!$A$4:$A$40,'Ceiling-U'!$E$4:$E$40)*Semidetached!AH$15)+(LOOKUP(Semidetached!AH$2,'Floor-U'!$A$4:$A$40,'Floor-U'!$E$4:$E$40)*Semidetached!AH$16)+(LOOKUP(Semidetached!AH$2,'Wall-U'!$A$4:$A$40,'Wall-U'!$Q$4:$Q$40)*Semidetached!AH$13)+(LOOKUP(Semidetached!AH$2,'Window-U'!$A$4:$A$40,'Window-U'!$E$4:$E$40)*Semidetached!AH$22))*AH169</f>
        <v>1270.0528725046763</v>
      </c>
      <c r="AI170" s="171">
        <f>((LOOKUP(Semidetached!AI$2,'Ceiling-U'!$A$4:$A$40,'Ceiling-U'!$E$4:$E$40)*Semidetached!AI$15)+(LOOKUP(Semidetached!AI$2,'Floor-U'!$A$4:$A$40,'Floor-U'!$E$4:$E$40)*Semidetached!AI$16)+(LOOKUP(Semidetached!AI$2,'Wall-U'!$A$4:$A$40,'Wall-U'!$Q$4:$Q$40)*Semidetached!AI$13)+(LOOKUP(Semidetached!AI$2,'Window-U'!$A$4:$A$40,'Window-U'!$E$4:$E$40)*Semidetached!AI$22))*AI169</f>
        <v>2060.8991033851962</v>
      </c>
      <c r="AJ170" s="171">
        <f>((LOOKUP(Semidetached!AJ$2,'Ceiling-U'!$A$4:$A$40,'Ceiling-U'!$E$4:$E$40)*Semidetached!AJ$15)+(LOOKUP(Semidetached!AJ$2,'Floor-U'!$A$4:$A$40,'Floor-U'!$E$4:$E$40)*Semidetached!AJ$16)+(LOOKUP(Semidetached!AJ$2,'Wall-U'!$A$4:$A$40,'Wall-U'!$Q$4:$Q$40)*Semidetached!AJ$13)+(LOOKUP(Semidetached!AJ$2,'Window-U'!$A$4:$A$40,'Window-U'!$E$4:$E$40)*Semidetached!AJ$22))*AJ169</f>
        <v>768.02124892824668</v>
      </c>
      <c r="AK170" s="171">
        <f>((LOOKUP(Semidetached!AK$2,'Ceiling-U'!$A$4:$A$40,'Ceiling-U'!$E$4:$E$40)*Semidetached!AK$15)+(LOOKUP(Semidetached!AK$2,'Floor-U'!$A$4:$A$40,'Floor-U'!$E$4:$E$40)*Semidetached!AK$16)+(LOOKUP(Semidetached!AK$2,'Wall-U'!$A$4:$A$40,'Wall-U'!$Q$4:$Q$40)*Semidetached!AK$13)+(LOOKUP(Semidetached!AK$2,'Window-U'!$A$4:$A$40,'Window-U'!$E$4:$E$40)*Semidetached!AK$22))*AK169</f>
        <v>950.35988690378508</v>
      </c>
      <c r="AL170" s="171">
        <f>((LOOKUP(Semidetached!AL$2,'Ceiling-U'!$A$4:$A$40,'Ceiling-U'!$E$4:$E$40)*Semidetached!AL$15)+(LOOKUP(Semidetached!AL$2,'Floor-U'!$A$4:$A$40,'Floor-U'!$E$4:$E$40)*Semidetached!AL$16)+(LOOKUP(Semidetached!AL$2,'Wall-U'!$A$4:$A$40,'Wall-U'!$Q$4:$Q$40)*Semidetached!AL$13)+(LOOKUP(Semidetached!AL$2,'Window-U'!$A$4:$A$40,'Window-U'!$E$4:$E$40)*Semidetached!AL$22))*AL169</f>
        <v>805.62981932293246</v>
      </c>
      <c r="AM170" s="171">
        <f>((LOOKUP(Semidetached!AM$2,'Ceiling-U'!$A$4:$A$40,'Ceiling-U'!$E$4:$E$40)*Semidetached!AM$15)+(LOOKUP(Semidetached!AM$2,'Floor-U'!$A$4:$A$40,'Floor-U'!$E$4:$E$40)*Semidetached!AM$16)+(LOOKUP(Semidetached!AM$2,'Wall-U'!$A$4:$A$40,'Wall-U'!$Q$4:$Q$40)*Semidetached!AM$13)+(LOOKUP(Semidetached!AM$2,'Window-U'!$A$4:$A$40,'Window-U'!$E$4:$E$40)*Semidetached!AM$22))*AM169</f>
        <v>768.02124892824668</v>
      </c>
      <c r="AN170" s="172">
        <f>((LOOKUP(Semidetached!AN$2,'Ceiling-U'!$A$4:$A$40,'Ceiling-U'!$E$4:$E$40)*Semidetached!AN$15)+(LOOKUP(Semidetached!AN$2,'Floor-U'!$A$4:$A$40,'Floor-U'!$E$4:$E$40)*Semidetached!AN$16)+(LOOKUP(Semidetached!AN$2,'Wall-U'!$A$4:$A$40,'Wall-U'!$Q$4:$Q$40)*Semidetached!AN$13)+(LOOKUP(Semidetached!AN$2,'Window-U'!$A$4:$A$40,'Window-U'!$E$4:$E$40)*Semidetached!AN$22))*AN169</f>
        <v>768.02124892824668</v>
      </c>
    </row>
    <row r="171" spans="1:40">
      <c r="A171" s="372"/>
      <c r="B171" s="142" t="s">
        <v>3</v>
      </c>
      <c r="C171" s="131" t="s">
        <v>195</v>
      </c>
      <c r="D171" s="176">
        <f>((LOOKUP(Semidetached!D$2,'Ceiling-U'!$A$4:$A$40,'Ceiling-U'!$F$4:$F$40)*Semidetached!D$15)+(LOOKUP(Semidetached!D$2,'Floor-U'!$A$4:$A$40,'Floor-U'!$F$4:$F$40)*Semidetached!D$16)+(LOOKUP(Semidetached!D$2,'Wall-U'!$A$4:$A$40,'Wall-U'!$R$4:$R$40)*Semidetached!D$13)+(LOOKUP(Semidetached!D$2,'Window-U'!$A$4:$A$40,'Window-U'!$F$4:$F$40)*Semidetached!D$22))*D169</f>
        <v>1163.7730691444956</v>
      </c>
      <c r="E171" s="177">
        <f>((LOOKUP(Semidetached!E$2,'Ceiling-U'!$A$4:$A$40,'Ceiling-U'!$F$4:$F$40)*Semidetached!E$15)+(LOOKUP(Semidetached!E$2,'Floor-U'!$A$4:$A$40,'Floor-U'!$F$4:$F$40)*Semidetached!E$16)+(LOOKUP(Semidetached!E$2,'Wall-U'!$A$4:$A$40,'Wall-U'!$R$4:$R$40)*Semidetached!E$13)+(LOOKUP(Semidetached!E$2,'Window-U'!$A$4:$A$40,'Window-U'!$F$4:$F$40)*Semidetached!E$22))*E169</f>
        <v>1521.1432054069048</v>
      </c>
      <c r="F171" s="177">
        <f>((LOOKUP(Semidetached!F$2,'Ceiling-U'!$A$4:$A$40,'Ceiling-U'!$F$4:$F$40)*Semidetached!F$15)+(LOOKUP(Semidetached!F$2,'Floor-U'!$A$4:$A$40,'Floor-U'!$F$4:$F$40)*Semidetached!F$16)+(LOOKUP(Semidetached!F$2,'Wall-U'!$A$4:$A$40,'Wall-U'!$R$4:$R$40)*Semidetached!F$13)+(LOOKUP(Semidetached!F$2,'Window-U'!$A$4:$A$40,'Window-U'!$F$4:$F$40)*Semidetached!F$22))*F169</f>
        <v>762.78818593170399</v>
      </c>
      <c r="G171" s="177">
        <f>((LOOKUP(Semidetached!G$2,'Ceiling-U'!$A$4:$A$40,'Ceiling-U'!$F$4:$F$40)*Semidetached!G$15)+(LOOKUP(Semidetached!G$2,'Floor-U'!$A$4:$A$40,'Floor-U'!$F$4:$F$40)*Semidetached!G$16)+(LOOKUP(Semidetached!G$2,'Wall-U'!$A$4:$A$40,'Wall-U'!$R$4:$R$40)*Semidetached!G$13)+(LOOKUP(Semidetached!G$2,'Window-U'!$A$4:$A$40,'Window-U'!$F$4:$F$40)*Semidetached!G$22))*G169</f>
        <v>1206.7351694506176</v>
      </c>
      <c r="H171" s="177">
        <f>((LOOKUP(Semidetached!H$2,'Ceiling-U'!$A$4:$A$40,'Ceiling-U'!$F$4:$F$40)*Semidetached!H$15)+(LOOKUP(Semidetached!H$2,'Floor-U'!$A$4:$A$40,'Floor-U'!$F$4:$F$40)*Semidetached!H$16)+(LOOKUP(Semidetached!H$2,'Wall-U'!$A$4:$A$40,'Wall-U'!$R$4:$R$40)*Semidetached!H$13)+(LOOKUP(Semidetached!H$2,'Window-U'!$A$4:$A$40,'Window-U'!$F$4:$F$40)*Semidetached!H$22))*H169</f>
        <v>2162.2659005285964</v>
      </c>
      <c r="I171" s="177">
        <f>((LOOKUP(Semidetached!I$2,'Ceiling-U'!$A$4:$A$40,'Ceiling-U'!$F$4:$F$40)*Semidetached!I$15)+(LOOKUP(Semidetached!I$2,'Floor-U'!$A$4:$A$40,'Floor-U'!$F$4:$F$40)*Semidetached!I$16)+(LOOKUP(Semidetached!I$2,'Wall-U'!$A$4:$A$40,'Wall-U'!$R$4:$R$40)*Semidetached!I$13)+(LOOKUP(Semidetached!I$2,'Window-U'!$A$4:$A$40,'Window-U'!$F$4:$F$40)*Semidetached!I$22))*I169</f>
        <v>806.01981920651986</v>
      </c>
      <c r="J171" s="177">
        <f>((LOOKUP(Semidetached!J$2,'Ceiling-U'!$A$4:$A$40,'Ceiling-U'!$F$4:$F$40)*Semidetached!J$15)+(LOOKUP(Semidetached!J$2,'Floor-U'!$A$4:$A$40,'Floor-U'!$F$4:$F$40)*Semidetached!J$16)+(LOOKUP(Semidetached!J$2,'Wall-U'!$A$4:$A$40,'Wall-U'!$R$4:$R$40)*Semidetached!J$13)+(LOOKUP(Semidetached!J$2,'Window-U'!$A$4:$A$40,'Window-U'!$F$4:$F$40)*Semidetached!J$22))*J169</f>
        <v>1383.4489683274801</v>
      </c>
      <c r="K171" s="177">
        <f>((LOOKUP(Semidetached!K$2,'Ceiling-U'!$A$4:$A$40,'Ceiling-U'!$F$4:$F$40)*Semidetached!K$15)+(LOOKUP(Semidetached!K$2,'Floor-U'!$A$4:$A$40,'Floor-U'!$F$4:$F$40)*Semidetached!K$16)+(LOOKUP(Semidetached!K$2,'Wall-U'!$A$4:$A$40,'Wall-U'!$R$4:$R$40)*Semidetached!K$13)+(LOOKUP(Semidetached!K$2,'Window-U'!$A$4:$A$40,'Window-U'!$F$4:$F$40)*Semidetached!K$22))*K169</f>
        <v>769.68927923245087</v>
      </c>
      <c r="L171" s="177">
        <f>((LOOKUP(Semidetached!L$2,'Ceiling-U'!$A$4:$A$40,'Ceiling-U'!$F$4:$F$40)*Semidetached!L$15)+(LOOKUP(Semidetached!L$2,'Floor-U'!$A$4:$A$40,'Floor-U'!$F$4:$F$40)*Semidetached!L$16)+(LOOKUP(Semidetached!L$2,'Wall-U'!$A$4:$A$40,'Wall-U'!$R$4:$R$40)*Semidetached!L$13)+(LOOKUP(Semidetached!L$2,'Window-U'!$A$4:$A$40,'Window-U'!$F$4:$F$40)*Semidetached!L$22))*L169</f>
        <v>447.51572283852022</v>
      </c>
      <c r="M171" s="177">
        <f>((LOOKUP(Semidetached!M$2,'Ceiling-U'!$A$4:$A$40,'Ceiling-U'!$F$4:$F$40)*Semidetached!M$15)+(LOOKUP(Semidetached!M$2,'Floor-U'!$A$4:$A$40,'Floor-U'!$F$4:$F$40)*Semidetached!M$16)+(LOOKUP(Semidetached!M$2,'Wall-U'!$A$4:$A$40,'Wall-U'!$R$4:$R$40)*Semidetached!M$13)+(LOOKUP(Semidetached!M$2,'Window-U'!$A$4:$A$40,'Window-U'!$F$4:$F$40)*Semidetached!M$22))*M169</f>
        <v>1924.9089157064907</v>
      </c>
      <c r="N171" s="177">
        <f>((LOOKUP(Semidetached!N$2,'Ceiling-U'!$A$4:$A$40,'Ceiling-U'!$F$4:$F$40)*Semidetached!N$15)+(LOOKUP(Semidetached!N$2,'Floor-U'!$A$4:$A$40,'Floor-U'!$F$4:$F$40)*Semidetached!N$16)+(LOOKUP(Semidetached!N$2,'Wall-U'!$A$4:$A$40,'Wall-U'!$R$4:$R$40)*Semidetached!N$13)+(LOOKUP(Semidetached!N$2,'Window-U'!$A$4:$A$40,'Window-U'!$F$4:$F$40)*Semidetached!N$22))*N169</f>
        <v>513.87572711230325</v>
      </c>
      <c r="O171" s="177">
        <f>((LOOKUP(Semidetached!O$2,'Ceiling-U'!$A$4:$A$40,'Ceiling-U'!$F$4:$F$40)*Semidetached!O$15)+(LOOKUP(Semidetached!O$2,'Floor-U'!$A$4:$A$40,'Floor-U'!$F$4:$F$40)*Semidetached!O$16)+(LOOKUP(Semidetached!O$2,'Wall-U'!$A$4:$A$40,'Wall-U'!$R$4:$R$40)*Semidetached!O$13)+(LOOKUP(Semidetached!O$2,'Window-U'!$A$4:$A$40,'Window-U'!$F$4:$F$40)*Semidetached!O$22))*O169</f>
        <v>2015.3923797532602</v>
      </c>
      <c r="P171" s="177">
        <f>((LOOKUP(Semidetached!P$2,'Ceiling-U'!$A$4:$A$40,'Ceiling-U'!$F$4:$F$40)*Semidetached!P$15)+(LOOKUP(Semidetached!P$2,'Floor-U'!$A$4:$A$40,'Floor-U'!$F$4:$F$40)*Semidetached!P$16)+(LOOKUP(Semidetached!P$2,'Wall-U'!$A$4:$A$40,'Wall-U'!$R$4:$R$40)*Semidetached!P$13)+(LOOKUP(Semidetached!P$2,'Window-U'!$A$4:$A$40,'Window-U'!$F$4:$F$40)*Semidetached!P$22))*P169</f>
        <v>1388.672193969312</v>
      </c>
      <c r="Q171" s="177">
        <f>((LOOKUP(Semidetached!Q$2,'Ceiling-U'!$A$4:$A$40,'Ceiling-U'!$F$4:$F$40)*Semidetached!Q$15)+(LOOKUP(Semidetached!Q$2,'Floor-U'!$A$4:$A$40,'Floor-U'!$F$4:$F$40)*Semidetached!Q$16)+(LOOKUP(Semidetached!Q$2,'Wall-U'!$A$4:$A$40,'Wall-U'!$R$4:$R$40)*Semidetached!Q$13)+(LOOKUP(Semidetached!Q$2,'Window-U'!$A$4:$A$40,'Window-U'!$F$4:$F$40)*Semidetached!Q$22))*Q169</f>
        <v>840.29035415404621</v>
      </c>
      <c r="R171" s="177">
        <f>((LOOKUP(Semidetached!R$2,'Ceiling-U'!$A$4:$A$40,'Ceiling-U'!$F$4:$F$40)*Semidetached!R$15)+(LOOKUP(Semidetached!R$2,'Floor-U'!$A$4:$A$40,'Floor-U'!$F$4:$F$40)*Semidetached!R$16)+(LOOKUP(Semidetached!R$2,'Wall-U'!$A$4:$A$40,'Wall-U'!$R$4:$R$40)*Semidetached!R$13)+(LOOKUP(Semidetached!R$2,'Window-U'!$A$4:$A$40,'Window-U'!$F$4:$F$40)*Semidetached!R$22))*R169</f>
        <v>959.20802009779106</v>
      </c>
      <c r="S171" s="177">
        <f>((LOOKUP(Semidetached!S$2,'Ceiling-U'!$A$4:$A$40,'Ceiling-U'!$F$4:$F$40)*Semidetached!S$15)+(LOOKUP(Semidetached!S$2,'Floor-U'!$A$4:$A$40,'Floor-U'!$F$4:$F$40)*Semidetached!S$16)+(LOOKUP(Semidetached!S$2,'Wall-U'!$A$4:$A$40,'Wall-U'!$R$4:$R$40)*Semidetached!S$13)+(LOOKUP(Semidetached!S$2,'Window-U'!$A$4:$A$40,'Window-U'!$F$4:$F$40)*Semidetached!S$22))*S169</f>
        <v>1681.407239481734</v>
      </c>
      <c r="T171" s="177">
        <f>((LOOKUP(Semidetached!T$2,'Ceiling-U'!$A$4:$A$40,'Ceiling-U'!$F$4:$F$40)*Semidetached!T$15)+(LOOKUP(Semidetached!T$2,'Floor-U'!$A$4:$A$40,'Floor-U'!$F$4:$F$40)*Semidetached!T$16)+(LOOKUP(Semidetached!T$2,'Wall-U'!$A$4:$A$40,'Wall-U'!$R$4:$R$40)*Semidetached!T$13)+(LOOKUP(Semidetached!T$2,'Window-U'!$A$4:$A$40,'Window-U'!$F$4:$F$40)*Semidetached!T$22))*T169</f>
        <v>517.62319700666364</v>
      </c>
      <c r="U171" s="177">
        <f>((LOOKUP(Semidetached!U$2,'Ceiling-U'!$A$4:$A$40,'Ceiling-U'!$F$4:$F$40)*Semidetached!U$15)+(LOOKUP(Semidetached!U$2,'Floor-U'!$A$4:$A$40,'Floor-U'!$F$4:$F$40)*Semidetached!U$16)+(LOOKUP(Semidetached!U$2,'Wall-U'!$A$4:$A$40,'Wall-U'!$R$4:$R$40)*Semidetached!U$13)+(LOOKUP(Semidetached!U$2,'Window-U'!$A$4:$A$40,'Window-U'!$F$4:$F$40)*Semidetached!U$22))*U169</f>
        <v>1836.8730015572671</v>
      </c>
      <c r="V171" s="177">
        <f>((LOOKUP(Semidetached!V$2,'Ceiling-U'!$A$4:$A$40,'Ceiling-U'!$F$4:$F$40)*Semidetached!V$15)+(LOOKUP(Semidetached!V$2,'Floor-U'!$A$4:$A$40,'Floor-U'!$F$4:$F$40)*Semidetached!V$16)+(LOOKUP(Semidetached!V$2,'Wall-U'!$A$4:$A$40,'Wall-U'!$R$4:$R$40)*Semidetached!V$13)+(LOOKUP(Semidetached!V$2,'Window-U'!$A$4:$A$40,'Window-U'!$F$4:$F$40)*Semidetached!V$22))*V169</f>
        <v>826.7333944237854</v>
      </c>
      <c r="W171" s="177">
        <f>((LOOKUP(Semidetached!W$2,'Ceiling-U'!$A$4:$A$40,'Ceiling-U'!$F$4:$F$40)*Semidetached!W$15)+(LOOKUP(Semidetached!W$2,'Floor-U'!$A$4:$A$40,'Floor-U'!$F$4:$F$40)*Semidetached!W$16)+(LOOKUP(Semidetached!W$2,'Wall-U'!$A$4:$A$40,'Wall-U'!$R$4:$R$40)*Semidetached!W$13)+(LOOKUP(Semidetached!W$2,'Window-U'!$A$4:$A$40,'Window-U'!$F$4:$F$40)*Semidetached!W$22))*W169</f>
        <v>717.84456519255241</v>
      </c>
      <c r="X171" s="177">
        <f>((LOOKUP(Semidetached!X$2,'Ceiling-U'!$A$4:$A$40,'Ceiling-U'!$F$4:$F$40)*Semidetached!X$15)+(LOOKUP(Semidetached!X$2,'Floor-U'!$A$4:$A$40,'Floor-U'!$F$4:$F$40)*Semidetached!X$16)+(LOOKUP(Semidetached!X$2,'Wall-U'!$A$4:$A$40,'Wall-U'!$R$4:$R$40)*Semidetached!X$13)+(LOOKUP(Semidetached!X$2,'Window-U'!$A$4:$A$40,'Window-U'!$F$4:$F$40)*Semidetached!X$22))*X169</f>
        <v>913.68703018536564</v>
      </c>
      <c r="Y171" s="177">
        <f>((LOOKUP(Semidetached!Y$2,'Ceiling-U'!$A$4:$A$40,'Ceiling-U'!$F$4:$F$40)*Semidetached!Y$15)+(LOOKUP(Semidetached!Y$2,'Floor-U'!$A$4:$A$40,'Floor-U'!$F$4:$F$40)*Semidetached!Y$16)+(LOOKUP(Semidetached!Y$2,'Wall-U'!$A$4:$A$40,'Wall-U'!$R$4:$R$40)*Semidetached!Y$13)+(LOOKUP(Semidetached!Y$2,'Window-U'!$A$4:$A$40,'Window-U'!$F$4:$F$40)*Semidetached!Y$22))*Y169</f>
        <v>2245.7901205144221</v>
      </c>
      <c r="Z171" s="177">
        <f>((LOOKUP(Semidetached!Z$2,'Ceiling-U'!$A$4:$A$40,'Ceiling-U'!$F$4:$F$40)*Semidetached!Z$15)+(LOOKUP(Semidetached!Z$2,'Floor-U'!$A$4:$A$40,'Floor-U'!$F$4:$F$40)*Semidetached!Z$16)+(LOOKUP(Semidetached!Z$2,'Wall-U'!$A$4:$A$40,'Wall-U'!$R$4:$R$40)*Semidetached!Z$13)+(LOOKUP(Semidetached!Z$2,'Window-U'!$A$4:$A$40,'Window-U'!$F$4:$F$40)*Semidetached!Z$22))*Z169</f>
        <v>1376.1915724290329</v>
      </c>
      <c r="AA171" s="177">
        <f>((LOOKUP(Semidetached!AA$2,'Ceiling-U'!$A$4:$A$40,'Ceiling-U'!$F$4:$F$40)*Semidetached!AA$15)+(LOOKUP(Semidetached!AA$2,'Floor-U'!$A$4:$A$40,'Floor-U'!$F$4:$F$40)*Semidetached!AA$16)+(LOOKUP(Semidetached!AA$2,'Wall-U'!$A$4:$A$40,'Wall-U'!$R$4:$R$40)*Semidetached!AA$13)+(LOOKUP(Semidetached!AA$2,'Window-U'!$A$4:$A$40,'Window-U'!$F$4:$F$40)*Semidetached!AA$22))*AA169</f>
        <v>547.01144317732724</v>
      </c>
      <c r="AB171" s="177">
        <f>((LOOKUP(Semidetached!AB$2,'Ceiling-U'!$A$4:$A$40,'Ceiling-U'!$F$4:$F$40)*Semidetached!AB$15)+(LOOKUP(Semidetached!AB$2,'Floor-U'!$A$4:$A$40,'Floor-U'!$F$4:$F$40)*Semidetached!AB$16)+(LOOKUP(Semidetached!AB$2,'Wall-U'!$A$4:$A$40,'Wall-U'!$R$4:$R$40)*Semidetached!AB$13)+(LOOKUP(Semidetached!AB$2,'Window-U'!$A$4:$A$40,'Window-U'!$F$4:$F$40)*Semidetached!AB$22))*AB169</f>
        <v>922.86748108570555</v>
      </c>
      <c r="AC171" s="177">
        <f>((LOOKUP(Semidetached!AC$2,'Ceiling-U'!$A$4:$A$40,'Ceiling-U'!$F$4:$F$40)*Semidetached!AC$15)+(LOOKUP(Semidetached!AC$2,'Floor-U'!$A$4:$A$40,'Floor-U'!$F$4:$F$40)*Semidetached!AC$16)+(LOOKUP(Semidetached!AC$2,'Wall-U'!$A$4:$A$40,'Wall-U'!$R$4:$R$40)*Semidetached!AC$13)+(LOOKUP(Semidetached!AC$2,'Window-U'!$A$4:$A$40,'Window-U'!$F$4:$F$40)*Semidetached!AC$22))*AC169</f>
        <v>2193.7231028918945</v>
      </c>
      <c r="AD171" s="177">
        <f>((LOOKUP(Semidetached!AD$2,'Ceiling-U'!$A$4:$A$40,'Ceiling-U'!$F$4:$F$40)*Semidetached!AD$15)+(LOOKUP(Semidetached!AD$2,'Floor-U'!$A$4:$A$40,'Floor-U'!$F$4:$F$40)*Semidetached!AD$16)+(LOOKUP(Semidetached!AD$2,'Wall-U'!$A$4:$A$40,'Wall-U'!$R$4:$R$40)*Semidetached!AD$13)+(LOOKUP(Semidetached!AD$2,'Window-U'!$A$4:$A$40,'Window-U'!$F$4:$F$40)*Semidetached!AD$22))*AD169</f>
        <v>899.61054433724632</v>
      </c>
      <c r="AE171" s="177">
        <f>((LOOKUP(Semidetached!AE$2,'Ceiling-U'!$A$4:$A$40,'Ceiling-U'!$F$4:$F$40)*Semidetached!AE$15)+(LOOKUP(Semidetached!AE$2,'Floor-U'!$A$4:$A$40,'Floor-U'!$F$4:$F$40)*Semidetached!AE$16)+(LOOKUP(Semidetached!AE$2,'Wall-U'!$A$4:$A$40,'Wall-U'!$R$4:$R$40)*Semidetached!AE$13)+(LOOKUP(Semidetached!AE$2,'Window-U'!$A$4:$A$40,'Window-U'!$F$4:$F$40)*Semidetached!AE$22))*AE169</f>
        <v>538.70682386077419</v>
      </c>
      <c r="AF171" s="177">
        <f>((LOOKUP(Semidetached!AF$2,'Ceiling-U'!$A$4:$A$40,'Ceiling-U'!$F$4:$F$40)*Semidetached!AF$15)+(LOOKUP(Semidetached!AF$2,'Floor-U'!$A$4:$A$40,'Floor-U'!$F$4:$F$40)*Semidetached!AF$16)+(LOOKUP(Semidetached!AF$2,'Wall-U'!$A$4:$A$40,'Wall-U'!$R$4:$R$40)*Semidetached!AF$13)+(LOOKUP(Semidetached!AF$2,'Window-U'!$A$4:$A$40,'Window-U'!$F$4:$F$40)*Semidetached!AF$22))*AF169</f>
        <v>983.63106182778438</v>
      </c>
      <c r="AG171" s="177">
        <f>((LOOKUP(Semidetached!AG$2,'Ceiling-U'!$A$4:$A$40,'Ceiling-U'!$F$4:$F$40)*Semidetached!AG$15)+(LOOKUP(Semidetached!AG$2,'Floor-U'!$A$4:$A$40,'Floor-U'!$F$4:$F$40)*Semidetached!AG$16)+(LOOKUP(Semidetached!AG$2,'Wall-U'!$A$4:$A$40,'Wall-U'!$R$4:$R$40)*Semidetached!AG$13)+(LOOKUP(Semidetached!AG$2,'Window-U'!$A$4:$A$40,'Window-U'!$F$4:$F$40)*Semidetached!AG$22))*AG169</f>
        <v>1281.2506875373836</v>
      </c>
      <c r="AH171" s="177">
        <f>((LOOKUP(Semidetached!AH$2,'Ceiling-U'!$A$4:$A$40,'Ceiling-U'!$F$4:$F$40)*Semidetached!AH$15)+(LOOKUP(Semidetached!AH$2,'Floor-U'!$A$4:$A$40,'Floor-U'!$F$4:$F$40)*Semidetached!AH$16)+(LOOKUP(Semidetached!AH$2,'Wall-U'!$A$4:$A$40,'Wall-U'!$R$4:$R$40)*Semidetached!AH$13)+(LOOKUP(Semidetached!AH$2,'Window-U'!$A$4:$A$40,'Window-U'!$F$4:$F$40)*Semidetached!AH$22))*AH169</f>
        <v>1307.445065360316</v>
      </c>
      <c r="AI171" s="177">
        <f>((LOOKUP(Semidetached!AI$2,'Ceiling-U'!$A$4:$A$40,'Ceiling-U'!$F$4:$F$40)*Semidetached!AI$15)+(LOOKUP(Semidetached!AI$2,'Floor-U'!$A$4:$A$40,'Floor-U'!$F$4:$F$40)*Semidetached!AI$16)+(LOOKUP(Semidetached!AI$2,'Wall-U'!$A$4:$A$40,'Wall-U'!$R$4:$R$40)*Semidetached!AI$13)+(LOOKUP(Semidetached!AI$2,'Window-U'!$A$4:$A$40,'Window-U'!$F$4:$F$40)*Semidetached!AI$22))*AI169</f>
        <v>2060.8991033851962</v>
      </c>
      <c r="AJ171" s="177">
        <f>((LOOKUP(Semidetached!AJ$2,'Ceiling-U'!$A$4:$A$40,'Ceiling-U'!$F$4:$F$40)*Semidetached!AJ$15)+(LOOKUP(Semidetached!AJ$2,'Floor-U'!$A$4:$A$40,'Floor-U'!$F$4:$F$40)*Semidetached!AJ$16)+(LOOKUP(Semidetached!AJ$2,'Wall-U'!$A$4:$A$40,'Wall-U'!$R$4:$R$40)*Semidetached!AJ$13)+(LOOKUP(Semidetached!AJ$2,'Window-U'!$A$4:$A$40,'Window-U'!$F$4:$F$40)*Semidetached!AJ$22))*AJ169</f>
        <v>768.02124892824668</v>
      </c>
      <c r="AK171" s="177">
        <f>((LOOKUP(Semidetached!AK$2,'Ceiling-U'!$A$4:$A$40,'Ceiling-U'!$F$4:$F$40)*Semidetached!AK$15)+(LOOKUP(Semidetached!AK$2,'Floor-U'!$A$4:$A$40,'Floor-U'!$F$4:$F$40)*Semidetached!AK$16)+(LOOKUP(Semidetached!AK$2,'Wall-U'!$A$4:$A$40,'Wall-U'!$R$4:$R$40)*Semidetached!AK$13)+(LOOKUP(Semidetached!AK$2,'Window-U'!$A$4:$A$40,'Window-U'!$F$4:$F$40)*Semidetached!AK$22))*AK169</f>
        <v>950.35988690378508</v>
      </c>
      <c r="AL171" s="177">
        <f>((LOOKUP(Semidetached!AL$2,'Ceiling-U'!$A$4:$A$40,'Ceiling-U'!$F$4:$F$40)*Semidetached!AL$15)+(LOOKUP(Semidetached!AL$2,'Floor-U'!$A$4:$A$40,'Floor-U'!$F$4:$F$40)*Semidetached!AL$16)+(LOOKUP(Semidetached!AL$2,'Wall-U'!$A$4:$A$40,'Wall-U'!$R$4:$R$40)*Semidetached!AL$13)+(LOOKUP(Semidetached!AL$2,'Window-U'!$A$4:$A$40,'Window-U'!$F$4:$F$40)*Semidetached!AL$22))*AL169</f>
        <v>805.62981932293246</v>
      </c>
      <c r="AM171" s="177">
        <f>((LOOKUP(Semidetached!AM$2,'Ceiling-U'!$A$4:$A$40,'Ceiling-U'!$F$4:$F$40)*Semidetached!AM$15)+(LOOKUP(Semidetached!AM$2,'Floor-U'!$A$4:$A$40,'Floor-U'!$F$4:$F$40)*Semidetached!AM$16)+(LOOKUP(Semidetached!AM$2,'Wall-U'!$A$4:$A$40,'Wall-U'!$R$4:$R$40)*Semidetached!AM$13)+(LOOKUP(Semidetached!AM$2,'Window-U'!$A$4:$A$40,'Window-U'!$F$4:$F$40)*Semidetached!AM$22))*AM169</f>
        <v>768.02124892824668</v>
      </c>
      <c r="AN171" s="178">
        <f>((LOOKUP(Semidetached!AN$2,'Ceiling-U'!$A$4:$A$40,'Ceiling-U'!$F$4:$F$40)*Semidetached!AN$15)+(LOOKUP(Semidetached!AN$2,'Floor-U'!$A$4:$A$40,'Floor-U'!$F$4:$F$40)*Semidetached!AN$16)+(LOOKUP(Semidetached!AN$2,'Wall-U'!$A$4:$A$40,'Wall-U'!$R$4:$R$40)*Semidetached!AN$13)+(LOOKUP(Semidetached!AN$2,'Window-U'!$A$4:$A$40,'Window-U'!$F$4:$F$40)*Semidetached!AN$22))*AN169</f>
        <v>768.02124892824668</v>
      </c>
    </row>
    <row r="172" spans="1:40">
      <c r="A172" s="372"/>
      <c r="B172" s="142" t="s">
        <v>4</v>
      </c>
      <c r="C172" s="131" t="s">
        <v>195</v>
      </c>
      <c r="D172" s="176">
        <f>((LOOKUP(Semidetached!D$2,'Ceiling-U'!$A$4:$A$40,'Ceiling-U'!$G$4:$G$40)*Semidetached!D$15)+(LOOKUP(Semidetached!D$2,'Floor-U'!$A$4:$A$40,'Floor-U'!$G$4:$G$40)*Semidetached!D$16)+(LOOKUP(Semidetached!D$2,'Wall-U'!$A$4:$A$40,'Wall-U'!$S$4:$S$40)*Semidetached!D$13)+(LOOKUP(Semidetached!D$2,'Window-U'!$A$4:$A$40,'Window-U'!$G$4:$G$40)*Semidetached!D$22))*D169</f>
        <v>890.77804585463809</v>
      </c>
      <c r="E172" s="177">
        <f>((LOOKUP(Semidetached!E$2,'Ceiling-U'!$A$4:$A$40,'Ceiling-U'!$G$4:$G$40)*Semidetached!E$15)+(LOOKUP(Semidetached!E$2,'Floor-U'!$A$4:$A$40,'Floor-U'!$G$4:$G$40)*Semidetached!E$16)+(LOOKUP(Semidetached!E$2,'Wall-U'!$A$4:$A$40,'Wall-U'!$S$4:$S$40)*Semidetached!E$13)+(LOOKUP(Semidetached!E$2,'Window-U'!$A$4:$A$40,'Window-U'!$G$4:$G$40)*Semidetached!E$22))*E169</f>
        <v>1521.1432054069048</v>
      </c>
      <c r="F172" s="177">
        <f>((LOOKUP(Semidetached!F$2,'Ceiling-U'!$A$4:$A$40,'Ceiling-U'!$G$4:$G$40)*Semidetached!F$15)+(LOOKUP(Semidetached!F$2,'Floor-U'!$A$4:$A$40,'Floor-U'!$G$4:$G$40)*Semidetached!F$16)+(LOOKUP(Semidetached!F$2,'Wall-U'!$A$4:$A$40,'Wall-U'!$S$4:$S$40)*Semidetached!F$13)+(LOOKUP(Semidetached!F$2,'Window-U'!$A$4:$A$40,'Window-U'!$G$4:$G$40)*Semidetached!F$22))*F169</f>
        <v>723.10124851584555</v>
      </c>
      <c r="G172" s="177">
        <f>((LOOKUP(Semidetached!G$2,'Ceiling-U'!$A$4:$A$40,'Ceiling-U'!$G$4:$G$40)*Semidetached!G$15)+(LOOKUP(Semidetached!G$2,'Floor-U'!$A$4:$A$40,'Floor-U'!$G$4:$G$40)*Semidetached!G$16)+(LOOKUP(Semidetached!G$2,'Wall-U'!$A$4:$A$40,'Wall-U'!$S$4:$S$40)*Semidetached!G$13)+(LOOKUP(Semidetached!G$2,'Window-U'!$A$4:$A$40,'Window-U'!$G$4:$G$40)*Semidetached!G$22))*G169</f>
        <v>921.86433886350358</v>
      </c>
      <c r="H172" s="177">
        <f>((LOOKUP(Semidetached!H$2,'Ceiling-U'!$A$4:$A$40,'Ceiling-U'!$G$4:$G$40)*Semidetached!H$15)+(LOOKUP(Semidetached!H$2,'Floor-U'!$A$4:$A$40,'Floor-U'!$G$4:$G$40)*Semidetached!H$16)+(LOOKUP(Semidetached!H$2,'Wall-U'!$A$4:$A$40,'Wall-U'!$S$4:$S$40)*Semidetached!H$13)+(LOOKUP(Semidetached!H$2,'Window-U'!$A$4:$A$40,'Window-U'!$G$4:$G$40)*Semidetached!H$22))*H169</f>
        <v>2310.0178912243073</v>
      </c>
      <c r="I172" s="177">
        <f>((LOOKUP(Semidetached!I$2,'Ceiling-U'!$A$4:$A$40,'Ceiling-U'!$G$4:$G$40)*Semidetached!I$15)+(LOOKUP(Semidetached!I$2,'Floor-U'!$A$4:$A$40,'Floor-U'!$G$4:$G$40)*Semidetached!I$16)+(LOOKUP(Semidetached!I$2,'Wall-U'!$A$4:$A$40,'Wall-U'!$S$4:$S$40)*Semidetached!I$13)+(LOOKUP(Semidetached!I$2,'Window-U'!$A$4:$A$40,'Window-U'!$G$4:$G$40)*Semidetached!I$22))*I169</f>
        <v>806.01981920651986</v>
      </c>
      <c r="J172" s="177">
        <f>((LOOKUP(Semidetached!J$2,'Ceiling-U'!$A$4:$A$40,'Ceiling-U'!$G$4:$G$40)*Semidetached!J$15)+(LOOKUP(Semidetached!J$2,'Floor-U'!$A$4:$A$40,'Floor-U'!$G$4:$G$40)*Semidetached!J$16)+(LOOKUP(Semidetached!J$2,'Wall-U'!$A$4:$A$40,'Wall-U'!$S$4:$S$40)*Semidetached!J$13)+(LOOKUP(Semidetached!J$2,'Window-U'!$A$4:$A$40,'Window-U'!$G$4:$G$40)*Semidetached!J$22))*J169</f>
        <v>846.30468546478858</v>
      </c>
      <c r="K172" s="177">
        <f>((LOOKUP(Semidetached!K$2,'Ceiling-U'!$A$4:$A$40,'Ceiling-U'!$G$4:$G$40)*Semidetached!K$15)+(LOOKUP(Semidetached!K$2,'Floor-U'!$A$4:$A$40,'Floor-U'!$G$4:$G$40)*Semidetached!K$16)+(LOOKUP(Semidetached!K$2,'Wall-U'!$A$4:$A$40,'Wall-U'!$S$4:$S$40)*Semidetached!K$13)+(LOOKUP(Semidetached!K$2,'Window-U'!$A$4:$A$40,'Window-U'!$G$4:$G$40)*Semidetached!K$22))*K169</f>
        <v>526.69921186293186</v>
      </c>
      <c r="L172" s="177">
        <f>((LOOKUP(Semidetached!L$2,'Ceiling-U'!$A$4:$A$40,'Ceiling-U'!$G$4:$G$40)*Semidetached!L$15)+(LOOKUP(Semidetached!L$2,'Floor-U'!$A$4:$A$40,'Floor-U'!$G$4:$G$40)*Semidetached!L$16)+(LOOKUP(Semidetached!L$2,'Wall-U'!$A$4:$A$40,'Wall-U'!$S$4:$S$40)*Semidetached!L$13)+(LOOKUP(Semidetached!L$2,'Window-U'!$A$4:$A$40,'Window-U'!$G$4:$G$40)*Semidetached!L$22))*L169</f>
        <v>367.25496551456246</v>
      </c>
      <c r="M172" s="177">
        <f>((LOOKUP(Semidetached!M$2,'Ceiling-U'!$A$4:$A$40,'Ceiling-U'!$G$4:$G$40)*Semidetached!M$15)+(LOOKUP(Semidetached!M$2,'Floor-U'!$A$4:$A$40,'Floor-U'!$G$4:$G$40)*Semidetached!M$16)+(LOOKUP(Semidetached!M$2,'Wall-U'!$A$4:$A$40,'Wall-U'!$S$4:$S$40)*Semidetached!M$13)+(LOOKUP(Semidetached!M$2,'Window-U'!$A$4:$A$40,'Window-U'!$G$4:$G$40)*Semidetached!M$22))*M169</f>
        <v>1924.9089157064907</v>
      </c>
      <c r="N172" s="177">
        <f>((LOOKUP(Semidetached!N$2,'Ceiling-U'!$A$4:$A$40,'Ceiling-U'!$G$4:$G$40)*Semidetached!N$15)+(LOOKUP(Semidetached!N$2,'Floor-U'!$A$4:$A$40,'Floor-U'!$G$4:$G$40)*Semidetached!N$16)+(LOOKUP(Semidetached!N$2,'Wall-U'!$A$4:$A$40,'Wall-U'!$S$4:$S$40)*Semidetached!N$13)+(LOOKUP(Semidetached!N$2,'Window-U'!$A$4:$A$40,'Window-U'!$G$4:$G$40)*Semidetached!N$22))*N169</f>
        <v>428.2791751242396</v>
      </c>
      <c r="O172" s="177">
        <f>((LOOKUP(Semidetached!O$2,'Ceiling-U'!$A$4:$A$40,'Ceiling-U'!$G$4:$G$40)*Semidetached!O$15)+(LOOKUP(Semidetached!O$2,'Floor-U'!$A$4:$A$40,'Floor-U'!$G$4:$G$40)*Semidetached!O$16)+(LOOKUP(Semidetached!O$2,'Wall-U'!$A$4:$A$40,'Wall-U'!$S$4:$S$40)*Semidetached!O$13)+(LOOKUP(Semidetached!O$2,'Window-U'!$A$4:$A$40,'Window-U'!$G$4:$G$40)*Semidetached!O$22))*O169</f>
        <v>898.80716600538756</v>
      </c>
      <c r="P172" s="177">
        <f>((LOOKUP(Semidetached!P$2,'Ceiling-U'!$A$4:$A$40,'Ceiling-U'!$G$4:$G$40)*Semidetached!P$15)+(LOOKUP(Semidetached!P$2,'Floor-U'!$A$4:$A$40,'Floor-U'!$G$4:$G$40)*Semidetached!P$16)+(LOOKUP(Semidetached!P$2,'Wall-U'!$A$4:$A$40,'Wall-U'!$S$4:$S$40)*Semidetached!P$13)+(LOOKUP(Semidetached!P$2,'Window-U'!$A$4:$A$40,'Window-U'!$G$4:$G$40)*Semidetached!P$22))*P169</f>
        <v>1388.672193969312</v>
      </c>
      <c r="Q172" s="177">
        <f>((LOOKUP(Semidetached!Q$2,'Ceiling-U'!$A$4:$A$40,'Ceiling-U'!$G$4:$G$40)*Semidetached!Q$15)+(LOOKUP(Semidetached!Q$2,'Floor-U'!$A$4:$A$40,'Floor-U'!$G$4:$G$40)*Semidetached!Q$16)+(LOOKUP(Semidetached!Q$2,'Wall-U'!$A$4:$A$40,'Wall-U'!$S$4:$S$40)*Semidetached!Q$13)+(LOOKUP(Semidetached!Q$2,'Window-U'!$A$4:$A$40,'Window-U'!$G$4:$G$40)*Semidetached!Q$22))*Q169</f>
        <v>758.75404712548811</v>
      </c>
      <c r="R172" s="177">
        <f>((LOOKUP(Semidetached!R$2,'Ceiling-U'!$A$4:$A$40,'Ceiling-U'!$G$4:$G$40)*Semidetached!R$15)+(LOOKUP(Semidetached!R$2,'Floor-U'!$A$4:$A$40,'Floor-U'!$G$4:$G$40)*Semidetached!R$16)+(LOOKUP(Semidetached!R$2,'Wall-U'!$A$4:$A$40,'Wall-U'!$S$4:$S$40)*Semidetached!R$13)+(LOOKUP(Semidetached!R$2,'Window-U'!$A$4:$A$40,'Window-U'!$G$4:$G$40)*Semidetached!R$22))*R169</f>
        <v>863.20240549480286</v>
      </c>
      <c r="S172" s="177">
        <f>((LOOKUP(Semidetached!S$2,'Ceiling-U'!$A$4:$A$40,'Ceiling-U'!$G$4:$G$40)*Semidetached!S$15)+(LOOKUP(Semidetached!S$2,'Floor-U'!$A$4:$A$40,'Floor-U'!$G$4:$G$40)*Semidetached!S$16)+(LOOKUP(Semidetached!S$2,'Wall-U'!$A$4:$A$40,'Wall-U'!$S$4:$S$40)*Semidetached!S$13)+(LOOKUP(Semidetached!S$2,'Window-U'!$A$4:$A$40,'Window-U'!$G$4:$G$40)*Semidetached!S$22))*S169</f>
        <v>1221.5936085908081</v>
      </c>
      <c r="T172" s="177">
        <f>((LOOKUP(Semidetached!T$2,'Ceiling-U'!$A$4:$A$40,'Ceiling-U'!$G$4:$G$40)*Semidetached!T$15)+(LOOKUP(Semidetached!T$2,'Floor-U'!$A$4:$A$40,'Floor-U'!$G$4:$G$40)*Semidetached!T$16)+(LOOKUP(Semidetached!T$2,'Wall-U'!$A$4:$A$40,'Wall-U'!$S$4:$S$40)*Semidetached!T$13)+(LOOKUP(Semidetached!T$2,'Window-U'!$A$4:$A$40,'Window-U'!$G$4:$G$40)*Semidetached!T$22))*T169</f>
        <v>431.28109213339957</v>
      </c>
      <c r="U172" s="177">
        <f>((LOOKUP(Semidetached!U$2,'Ceiling-U'!$A$4:$A$40,'Ceiling-U'!$G$4:$G$40)*Semidetached!U$15)+(LOOKUP(Semidetached!U$2,'Floor-U'!$A$4:$A$40,'Floor-U'!$G$4:$G$40)*Semidetached!U$16)+(LOOKUP(Semidetached!U$2,'Wall-U'!$A$4:$A$40,'Wall-U'!$S$4:$S$40)*Semidetached!U$13)+(LOOKUP(Semidetached!U$2,'Window-U'!$A$4:$A$40,'Window-U'!$G$4:$G$40)*Semidetached!U$22))*U169</f>
        <v>1677.4290775422578</v>
      </c>
      <c r="V172" s="177">
        <f>((LOOKUP(Semidetached!V$2,'Ceiling-U'!$A$4:$A$40,'Ceiling-U'!$G$4:$G$40)*Semidetached!V$15)+(LOOKUP(Semidetached!V$2,'Floor-U'!$A$4:$A$40,'Floor-U'!$G$4:$G$40)*Semidetached!V$16)+(LOOKUP(Semidetached!V$2,'Wall-U'!$A$4:$A$40,'Wall-U'!$S$4:$S$40)*Semidetached!V$13)+(LOOKUP(Semidetached!V$2,'Window-U'!$A$4:$A$40,'Window-U'!$G$4:$G$40)*Semidetached!V$22))*V169</f>
        <v>541.10906316316994</v>
      </c>
      <c r="W172" s="177">
        <f>((LOOKUP(Semidetached!W$2,'Ceiling-U'!$A$4:$A$40,'Ceiling-U'!$G$4:$G$40)*Semidetached!W$15)+(LOOKUP(Semidetached!W$2,'Floor-U'!$A$4:$A$40,'Floor-U'!$G$4:$G$40)*Semidetached!W$16)+(LOOKUP(Semidetached!W$2,'Wall-U'!$A$4:$A$40,'Wall-U'!$S$4:$S$40)*Semidetached!W$13)+(LOOKUP(Semidetached!W$2,'Window-U'!$A$4:$A$40,'Window-U'!$G$4:$G$40)*Semidetached!W$22))*W169</f>
        <v>432.78469171673447</v>
      </c>
      <c r="X172" s="177">
        <f>((LOOKUP(Semidetached!X$2,'Ceiling-U'!$A$4:$A$40,'Ceiling-U'!$G$4:$G$40)*Semidetached!X$15)+(LOOKUP(Semidetached!X$2,'Floor-U'!$A$4:$A$40,'Floor-U'!$G$4:$G$40)*Semidetached!X$16)+(LOOKUP(Semidetached!X$2,'Wall-U'!$A$4:$A$40,'Wall-U'!$S$4:$S$40)*Semidetached!X$13)+(LOOKUP(Semidetached!X$2,'Window-U'!$A$4:$A$40,'Window-U'!$G$4:$G$40)*Semidetached!X$22))*X169</f>
        <v>849.84855120081124</v>
      </c>
      <c r="Y172" s="177">
        <f>((LOOKUP(Semidetached!Y$2,'Ceiling-U'!$A$4:$A$40,'Ceiling-U'!$G$4:$G$40)*Semidetached!Y$15)+(LOOKUP(Semidetached!Y$2,'Floor-U'!$A$4:$A$40,'Floor-U'!$G$4:$G$40)*Semidetached!Y$16)+(LOOKUP(Semidetached!Y$2,'Wall-U'!$A$4:$A$40,'Wall-U'!$S$4:$S$40)*Semidetached!Y$13)+(LOOKUP(Semidetached!Y$2,'Window-U'!$A$4:$A$40,'Window-U'!$G$4:$G$40)*Semidetached!Y$22))*Y169</f>
        <v>2207.4205936916287</v>
      </c>
      <c r="Z172" s="177">
        <f>((LOOKUP(Semidetached!Z$2,'Ceiling-U'!$A$4:$A$40,'Ceiling-U'!$G$4:$G$40)*Semidetached!Z$15)+(LOOKUP(Semidetached!Z$2,'Floor-U'!$A$4:$A$40,'Floor-U'!$G$4:$G$40)*Semidetached!Z$16)+(LOOKUP(Semidetached!Z$2,'Wall-U'!$A$4:$A$40,'Wall-U'!$S$4:$S$40)*Semidetached!Z$13)+(LOOKUP(Semidetached!Z$2,'Window-U'!$A$4:$A$40,'Window-U'!$G$4:$G$40)*Semidetached!Z$22))*Z169</f>
        <v>1283.8349608146555</v>
      </c>
      <c r="AA172" s="177">
        <f>((LOOKUP(Semidetached!AA$2,'Ceiling-U'!$A$4:$A$40,'Ceiling-U'!$G$4:$G$40)*Semidetached!AA$15)+(LOOKUP(Semidetached!AA$2,'Floor-U'!$A$4:$A$40,'Floor-U'!$G$4:$G$40)*Semidetached!AA$16)+(LOOKUP(Semidetached!AA$2,'Wall-U'!$A$4:$A$40,'Wall-U'!$S$4:$S$40)*Semidetached!AA$13)+(LOOKUP(Semidetached!AA$2,'Window-U'!$A$4:$A$40,'Window-U'!$G$4:$G$40)*Semidetached!AA$22))*AA169</f>
        <v>374.97817556928317</v>
      </c>
      <c r="AB172" s="177">
        <f>((LOOKUP(Semidetached!AB$2,'Ceiling-U'!$A$4:$A$40,'Ceiling-U'!$G$4:$G$40)*Semidetached!AB$15)+(LOOKUP(Semidetached!AB$2,'Floor-U'!$A$4:$A$40,'Floor-U'!$G$4:$G$40)*Semidetached!AB$16)+(LOOKUP(Semidetached!AB$2,'Wall-U'!$A$4:$A$40,'Wall-U'!$S$4:$S$40)*Semidetached!AB$13)+(LOOKUP(Semidetached!AB$2,'Window-U'!$A$4:$A$40,'Window-U'!$G$4:$G$40)*Semidetached!AB$22))*AB169</f>
        <v>699.3925841966651</v>
      </c>
      <c r="AC172" s="177">
        <f>((LOOKUP(Semidetached!AC$2,'Ceiling-U'!$A$4:$A$40,'Ceiling-U'!$G$4:$G$40)*Semidetached!AC$15)+(LOOKUP(Semidetached!AC$2,'Floor-U'!$A$4:$A$40,'Floor-U'!$G$4:$G$40)*Semidetached!AC$16)+(LOOKUP(Semidetached!AC$2,'Wall-U'!$A$4:$A$40,'Wall-U'!$S$4:$S$40)*Semidetached!AC$13)+(LOOKUP(Semidetached!AC$2,'Window-U'!$A$4:$A$40,'Window-U'!$G$4:$G$40)*Semidetached!AC$22))*AC169</f>
        <v>2126.4354488044355</v>
      </c>
      <c r="AD172" s="177">
        <f>((LOOKUP(Semidetached!AD$2,'Ceiling-U'!$A$4:$A$40,'Ceiling-U'!$G$4:$G$40)*Semidetached!AD$15)+(LOOKUP(Semidetached!AD$2,'Floor-U'!$A$4:$A$40,'Floor-U'!$G$4:$G$40)*Semidetached!AD$16)+(LOOKUP(Semidetached!AD$2,'Wall-U'!$A$4:$A$40,'Wall-U'!$S$4:$S$40)*Semidetached!AD$13)+(LOOKUP(Semidetached!AD$2,'Window-U'!$A$4:$A$40,'Window-U'!$G$4:$G$40)*Semidetached!AD$22))*AD169</f>
        <v>899.61054433724632</v>
      </c>
      <c r="AE172" s="177">
        <f>((LOOKUP(Semidetached!AE$2,'Ceiling-U'!$A$4:$A$40,'Ceiling-U'!$G$4:$G$40)*Semidetached!AE$15)+(LOOKUP(Semidetached!AE$2,'Floor-U'!$A$4:$A$40,'Floor-U'!$G$4:$G$40)*Semidetached!AE$16)+(LOOKUP(Semidetached!AE$2,'Wall-U'!$A$4:$A$40,'Wall-U'!$S$4:$S$40)*Semidetached!AE$13)+(LOOKUP(Semidetached!AE$2,'Window-U'!$A$4:$A$40,'Window-U'!$G$4:$G$40)*Semidetached!AE$22))*AE169</f>
        <v>370.20020449015846</v>
      </c>
      <c r="AF172" s="177">
        <f>((LOOKUP(Semidetached!AF$2,'Ceiling-U'!$A$4:$A$40,'Ceiling-U'!$G$4:$G$40)*Semidetached!AF$15)+(LOOKUP(Semidetached!AF$2,'Floor-U'!$A$4:$A$40,'Floor-U'!$G$4:$G$40)*Semidetached!AF$16)+(LOOKUP(Semidetached!AF$2,'Wall-U'!$A$4:$A$40,'Wall-U'!$S$4:$S$40)*Semidetached!AF$13)+(LOOKUP(Semidetached!AF$2,'Window-U'!$A$4:$A$40,'Window-U'!$G$4:$G$40)*Semidetached!AF$22))*AF169</f>
        <v>834.74443765321132</v>
      </c>
      <c r="AG172" s="177">
        <f>((LOOKUP(Semidetached!AG$2,'Ceiling-U'!$A$4:$A$40,'Ceiling-U'!$G$4:$G$40)*Semidetached!AG$15)+(LOOKUP(Semidetached!AG$2,'Floor-U'!$A$4:$A$40,'Floor-U'!$G$4:$G$40)*Semidetached!AG$16)+(LOOKUP(Semidetached!AG$2,'Wall-U'!$A$4:$A$40,'Wall-U'!$S$4:$S$40)*Semidetached!AG$13)+(LOOKUP(Semidetached!AG$2,'Window-U'!$A$4:$A$40,'Window-U'!$G$4:$G$40)*Semidetached!AG$22))*AG169</f>
        <v>1281.2506875373836</v>
      </c>
      <c r="AH172" s="177">
        <f>((LOOKUP(Semidetached!AH$2,'Ceiling-U'!$A$4:$A$40,'Ceiling-U'!$G$4:$G$40)*Semidetached!AH$15)+(LOOKUP(Semidetached!AH$2,'Floor-U'!$A$4:$A$40,'Floor-U'!$G$4:$G$40)*Semidetached!AH$16)+(LOOKUP(Semidetached!AH$2,'Wall-U'!$A$4:$A$40,'Wall-U'!$S$4:$S$40)*Semidetached!AH$13)+(LOOKUP(Semidetached!AH$2,'Window-U'!$A$4:$A$40,'Window-U'!$G$4:$G$40)*Semidetached!AH$22))*AH169</f>
        <v>940.73568232453624</v>
      </c>
      <c r="AI172" s="177">
        <f>((LOOKUP(Semidetached!AI$2,'Ceiling-U'!$A$4:$A$40,'Ceiling-U'!$G$4:$G$40)*Semidetached!AI$15)+(LOOKUP(Semidetached!AI$2,'Floor-U'!$A$4:$A$40,'Floor-U'!$G$4:$G$40)*Semidetached!AI$16)+(LOOKUP(Semidetached!AI$2,'Wall-U'!$A$4:$A$40,'Wall-U'!$S$4:$S$40)*Semidetached!AI$13)+(LOOKUP(Semidetached!AI$2,'Window-U'!$A$4:$A$40,'Window-U'!$G$4:$G$40)*Semidetached!AI$22))*AI169</f>
        <v>2060.8991033851962</v>
      </c>
      <c r="AJ172" s="177">
        <f>((LOOKUP(Semidetached!AJ$2,'Ceiling-U'!$A$4:$A$40,'Ceiling-U'!$G$4:$G$40)*Semidetached!AJ$15)+(LOOKUP(Semidetached!AJ$2,'Floor-U'!$A$4:$A$40,'Floor-U'!$G$4:$G$40)*Semidetached!AJ$16)+(LOOKUP(Semidetached!AJ$2,'Wall-U'!$A$4:$A$40,'Wall-U'!$S$4:$S$40)*Semidetached!AJ$13)+(LOOKUP(Semidetached!AJ$2,'Window-U'!$A$4:$A$40,'Window-U'!$G$4:$G$40)*Semidetached!AJ$22))*AJ169</f>
        <v>768.02124892824668</v>
      </c>
      <c r="AK172" s="177">
        <f>((LOOKUP(Semidetached!AK$2,'Ceiling-U'!$A$4:$A$40,'Ceiling-U'!$G$4:$G$40)*Semidetached!AK$15)+(LOOKUP(Semidetached!AK$2,'Floor-U'!$A$4:$A$40,'Floor-U'!$G$4:$G$40)*Semidetached!AK$16)+(LOOKUP(Semidetached!AK$2,'Wall-U'!$A$4:$A$40,'Wall-U'!$S$4:$S$40)*Semidetached!AK$13)+(LOOKUP(Semidetached!AK$2,'Window-U'!$A$4:$A$40,'Window-U'!$G$4:$G$40)*Semidetached!AK$22))*AK169</f>
        <v>950.35988690378508</v>
      </c>
      <c r="AL172" s="177">
        <f>((LOOKUP(Semidetached!AL$2,'Ceiling-U'!$A$4:$A$40,'Ceiling-U'!$G$4:$G$40)*Semidetached!AL$15)+(LOOKUP(Semidetached!AL$2,'Floor-U'!$A$4:$A$40,'Floor-U'!$G$4:$G$40)*Semidetached!AL$16)+(LOOKUP(Semidetached!AL$2,'Wall-U'!$A$4:$A$40,'Wall-U'!$S$4:$S$40)*Semidetached!AL$13)+(LOOKUP(Semidetached!AL$2,'Window-U'!$A$4:$A$40,'Window-U'!$G$4:$G$40)*Semidetached!AL$22))*AL169</f>
        <v>762.91940866317941</v>
      </c>
      <c r="AM172" s="177">
        <f>((LOOKUP(Semidetached!AM$2,'Ceiling-U'!$A$4:$A$40,'Ceiling-U'!$G$4:$G$40)*Semidetached!AM$15)+(LOOKUP(Semidetached!AM$2,'Floor-U'!$A$4:$A$40,'Floor-U'!$G$4:$G$40)*Semidetached!AM$16)+(LOOKUP(Semidetached!AM$2,'Wall-U'!$A$4:$A$40,'Wall-U'!$S$4:$S$40)*Semidetached!AM$13)+(LOOKUP(Semidetached!AM$2,'Window-U'!$A$4:$A$40,'Window-U'!$G$4:$G$40)*Semidetached!AM$22))*AM169</f>
        <v>768.02124892824668</v>
      </c>
      <c r="AN172" s="178">
        <f>((LOOKUP(Semidetached!AN$2,'Ceiling-U'!$A$4:$A$40,'Ceiling-U'!$G$4:$G$40)*Semidetached!AN$15)+(LOOKUP(Semidetached!AN$2,'Floor-U'!$A$4:$A$40,'Floor-U'!$G$4:$G$40)*Semidetached!AN$16)+(LOOKUP(Semidetached!AN$2,'Wall-U'!$A$4:$A$40,'Wall-U'!$S$4:$S$40)*Semidetached!AN$13)+(LOOKUP(Semidetached!AN$2,'Window-U'!$A$4:$A$40,'Window-U'!$G$4:$G$40)*Semidetached!AN$22))*AN169</f>
        <v>768.02124892824668</v>
      </c>
    </row>
    <row r="173" spans="1:40">
      <c r="A173" s="372"/>
      <c r="B173" s="142" t="s">
        <v>5</v>
      </c>
      <c r="C173" s="131" t="s">
        <v>195</v>
      </c>
      <c r="D173" s="176">
        <f>((LOOKUP(Semidetached!D$2,'Ceiling-U'!$A$4:$A$40,'Ceiling-U'!$H$4:$H$40)*Semidetached!D$15)+(LOOKUP(Semidetached!D$2,'Floor-U'!$A$4:$A$40,'Floor-U'!$H$4:$H$40)*Semidetached!D$16)+(LOOKUP(Semidetached!D$2,'Wall-U'!$A$4:$A$40,'Wall-U'!$T$4:$T$40)*Semidetached!D$13)+(LOOKUP(Semidetached!D$2,'Window-U'!$A$4:$A$40,'Window-U'!$H$4:$H$40)*Semidetached!D$22))*D169</f>
        <v>597.30426247546779</v>
      </c>
      <c r="E173" s="177">
        <f>((LOOKUP(Semidetached!E$2,'Ceiling-U'!$A$4:$A$40,'Ceiling-U'!$H$4:$H$40)*Semidetached!E$15)+(LOOKUP(Semidetached!E$2,'Floor-U'!$A$4:$A$40,'Floor-U'!$H$4:$H$40)*Semidetached!E$16)+(LOOKUP(Semidetached!E$2,'Wall-U'!$A$4:$A$40,'Wall-U'!$T$4:$T$40)*Semidetached!E$13)+(LOOKUP(Semidetached!E$2,'Window-U'!$A$4:$A$40,'Window-U'!$H$4:$H$40)*Semidetached!E$22))*E169</f>
        <v>1255.0460714822325</v>
      </c>
      <c r="F173" s="177">
        <f>((LOOKUP(Semidetached!F$2,'Ceiling-U'!$A$4:$A$40,'Ceiling-U'!$H$4:$H$40)*Semidetached!F$15)+(LOOKUP(Semidetached!F$2,'Floor-U'!$A$4:$A$40,'Floor-U'!$H$4:$H$40)*Semidetached!F$16)+(LOOKUP(Semidetached!F$2,'Wall-U'!$A$4:$A$40,'Wall-U'!$T$4:$T$40)*Semidetached!F$13)+(LOOKUP(Semidetached!F$2,'Window-U'!$A$4:$A$40,'Window-U'!$H$4:$H$40)*Semidetached!F$22))*F169</f>
        <v>638.83492652894211</v>
      </c>
      <c r="G173" s="177">
        <f>((LOOKUP(Semidetached!G$2,'Ceiling-U'!$A$4:$A$40,'Ceiling-U'!$H$4:$H$40)*Semidetached!G$15)+(LOOKUP(Semidetached!G$2,'Floor-U'!$A$4:$A$40,'Floor-U'!$H$4:$H$40)*Semidetached!G$16)+(LOOKUP(Semidetached!G$2,'Wall-U'!$A$4:$A$40,'Wall-U'!$T$4:$T$40)*Semidetached!G$13)+(LOOKUP(Semidetached!G$2,'Window-U'!$A$4:$A$40,'Window-U'!$H$4:$H$40)*Semidetached!G$22))*G169</f>
        <v>616.77055633225496</v>
      </c>
      <c r="H173" s="177">
        <f>((LOOKUP(Semidetached!H$2,'Ceiling-U'!$A$4:$A$40,'Ceiling-U'!$H$4:$H$40)*Semidetached!H$15)+(LOOKUP(Semidetached!H$2,'Floor-U'!$A$4:$A$40,'Floor-U'!$H$4:$H$40)*Semidetached!H$16)+(LOOKUP(Semidetached!H$2,'Wall-U'!$A$4:$A$40,'Wall-U'!$T$4:$T$40)*Semidetached!H$13)+(LOOKUP(Semidetached!H$2,'Window-U'!$A$4:$A$40,'Window-U'!$H$4:$H$40)*Semidetached!H$22))*H169</f>
        <v>2202.5283755858995</v>
      </c>
      <c r="I173" s="177">
        <f>((LOOKUP(Semidetached!I$2,'Ceiling-U'!$A$4:$A$40,'Ceiling-U'!$H$4:$H$40)*Semidetached!I$15)+(LOOKUP(Semidetached!I$2,'Floor-U'!$A$4:$A$40,'Floor-U'!$H$4:$H$40)*Semidetached!I$16)+(LOOKUP(Semidetached!I$2,'Wall-U'!$A$4:$A$40,'Wall-U'!$T$4:$T$40)*Semidetached!I$13)+(LOOKUP(Semidetached!I$2,'Window-U'!$A$4:$A$40,'Window-U'!$H$4:$H$40)*Semidetached!I$22))*I169</f>
        <v>707.301686544218</v>
      </c>
      <c r="J173" s="177">
        <f>((LOOKUP(Semidetached!J$2,'Ceiling-U'!$A$4:$A$40,'Ceiling-U'!$H$4:$H$40)*Semidetached!J$15)+(LOOKUP(Semidetached!J$2,'Floor-U'!$A$4:$A$40,'Floor-U'!$H$4:$H$40)*Semidetached!J$16)+(LOOKUP(Semidetached!J$2,'Wall-U'!$A$4:$A$40,'Wall-U'!$T$4:$T$40)*Semidetached!J$13)+(LOOKUP(Semidetached!J$2,'Window-U'!$A$4:$A$40,'Window-U'!$H$4:$H$40)*Semidetached!J$22))*J169</f>
        <v>597.72193645999266</v>
      </c>
      <c r="K173" s="177">
        <f>((LOOKUP(Semidetached!K$2,'Ceiling-U'!$A$4:$A$40,'Ceiling-U'!$H$4:$H$40)*Semidetached!K$15)+(LOOKUP(Semidetached!K$2,'Floor-U'!$A$4:$A$40,'Floor-U'!$H$4:$H$40)*Semidetached!K$16)+(LOOKUP(Semidetached!K$2,'Wall-U'!$A$4:$A$40,'Wall-U'!$T$4:$T$40)*Semidetached!K$13)+(LOOKUP(Semidetached!K$2,'Window-U'!$A$4:$A$40,'Window-U'!$H$4:$H$40)*Semidetached!K$22))*K169</f>
        <v>448.70593396211871</v>
      </c>
      <c r="L173" s="177">
        <f>((LOOKUP(Semidetached!L$2,'Ceiling-U'!$A$4:$A$40,'Ceiling-U'!$H$4:$H$40)*Semidetached!L$15)+(LOOKUP(Semidetached!L$2,'Floor-U'!$A$4:$A$40,'Floor-U'!$H$4:$H$40)*Semidetached!L$16)+(LOOKUP(Semidetached!L$2,'Wall-U'!$A$4:$A$40,'Wall-U'!$T$4:$T$40)*Semidetached!L$13)+(LOOKUP(Semidetached!L$2,'Window-U'!$A$4:$A$40,'Window-U'!$H$4:$H$40)*Semidetached!L$22))*L169</f>
        <v>265.45810054383963</v>
      </c>
      <c r="M173" s="177">
        <f>((LOOKUP(Semidetached!M$2,'Ceiling-U'!$A$4:$A$40,'Ceiling-U'!$H$4:$H$40)*Semidetached!M$15)+(LOOKUP(Semidetached!M$2,'Floor-U'!$A$4:$A$40,'Floor-U'!$H$4:$H$40)*Semidetached!M$16)+(LOOKUP(Semidetached!M$2,'Wall-U'!$A$4:$A$40,'Wall-U'!$T$4:$T$40)*Semidetached!M$13)+(LOOKUP(Semidetached!M$2,'Window-U'!$A$4:$A$40,'Window-U'!$H$4:$H$40)*Semidetached!M$22))*M169</f>
        <v>1082.4675485274997</v>
      </c>
      <c r="N173" s="177">
        <f>((LOOKUP(Semidetached!N$2,'Ceiling-U'!$A$4:$A$40,'Ceiling-U'!$H$4:$H$40)*Semidetached!N$15)+(LOOKUP(Semidetached!N$2,'Floor-U'!$A$4:$A$40,'Floor-U'!$H$4:$H$40)*Semidetached!N$16)+(LOOKUP(Semidetached!N$2,'Wall-U'!$A$4:$A$40,'Wall-U'!$T$4:$T$40)*Semidetached!N$13)+(LOOKUP(Semidetached!N$2,'Window-U'!$A$4:$A$40,'Window-U'!$H$4:$H$40)*Semidetached!N$22))*N169</f>
        <v>353.67924880933225</v>
      </c>
      <c r="O173" s="177">
        <f>((LOOKUP(Semidetached!O$2,'Ceiling-U'!$A$4:$A$40,'Ceiling-U'!$H$4:$H$40)*Semidetached!O$15)+(LOOKUP(Semidetached!O$2,'Floor-U'!$A$4:$A$40,'Floor-U'!$H$4:$H$40)*Semidetached!O$16)+(LOOKUP(Semidetached!O$2,'Wall-U'!$A$4:$A$40,'Wall-U'!$T$4:$T$40)*Semidetached!O$13)+(LOOKUP(Semidetached!O$2,'Window-U'!$A$4:$A$40,'Window-U'!$H$4:$H$40)*Semidetached!O$22))*O169</f>
        <v>756.18794384442492</v>
      </c>
      <c r="P173" s="177">
        <f>((LOOKUP(Semidetached!P$2,'Ceiling-U'!$A$4:$A$40,'Ceiling-U'!$H$4:$H$40)*Semidetached!P$15)+(LOOKUP(Semidetached!P$2,'Floor-U'!$A$4:$A$40,'Floor-U'!$H$4:$H$40)*Semidetached!P$16)+(LOOKUP(Semidetached!P$2,'Wall-U'!$A$4:$A$40,'Wall-U'!$T$4:$T$40)*Semidetached!P$13)+(LOOKUP(Semidetached!P$2,'Window-U'!$A$4:$A$40,'Window-U'!$H$4:$H$40)*Semidetached!P$22))*P169</f>
        <v>1319.2380782092091</v>
      </c>
      <c r="Q173" s="177">
        <f>((LOOKUP(Semidetached!Q$2,'Ceiling-U'!$A$4:$A$40,'Ceiling-U'!$H$4:$H$40)*Semidetached!Q$15)+(LOOKUP(Semidetached!Q$2,'Floor-U'!$A$4:$A$40,'Floor-U'!$H$4:$H$40)*Semidetached!Q$16)+(LOOKUP(Semidetached!Q$2,'Wall-U'!$A$4:$A$40,'Wall-U'!$T$4:$T$40)*Semidetached!Q$13)+(LOOKUP(Semidetached!Q$2,'Window-U'!$A$4:$A$40,'Window-U'!$H$4:$H$40)*Semidetached!Q$22))*Q169</f>
        <v>758.75404712548811</v>
      </c>
      <c r="R173" s="177">
        <f>((LOOKUP(Semidetached!R$2,'Ceiling-U'!$A$4:$A$40,'Ceiling-U'!$H$4:$H$40)*Semidetached!R$15)+(LOOKUP(Semidetached!R$2,'Floor-U'!$A$4:$A$40,'Floor-U'!$H$4:$H$40)*Semidetached!R$16)+(LOOKUP(Semidetached!R$2,'Wall-U'!$A$4:$A$40,'Wall-U'!$T$4:$T$40)*Semidetached!R$13)+(LOOKUP(Semidetached!R$2,'Window-U'!$A$4:$A$40,'Window-U'!$H$4:$H$40)*Semidetached!R$22))*R169</f>
        <v>688.17219203033778</v>
      </c>
      <c r="S173" s="177">
        <f>((LOOKUP(Semidetached!S$2,'Ceiling-U'!$A$4:$A$40,'Ceiling-U'!$H$4:$H$40)*Semidetached!S$15)+(LOOKUP(Semidetached!S$2,'Floor-U'!$A$4:$A$40,'Floor-U'!$H$4:$H$40)*Semidetached!S$16)+(LOOKUP(Semidetached!S$2,'Wall-U'!$A$4:$A$40,'Wall-U'!$T$4:$T$40)*Semidetached!S$13)+(LOOKUP(Semidetached!S$2,'Window-U'!$A$4:$A$40,'Window-U'!$H$4:$H$40)*Semidetached!S$22))*S169</f>
        <v>755.61594581674251</v>
      </c>
      <c r="T173" s="177">
        <f>((LOOKUP(Semidetached!T$2,'Ceiling-U'!$A$4:$A$40,'Ceiling-U'!$H$4:$H$40)*Semidetached!T$15)+(LOOKUP(Semidetached!T$2,'Floor-U'!$A$4:$A$40,'Floor-U'!$H$4:$H$40)*Semidetached!T$16)+(LOOKUP(Semidetached!T$2,'Wall-U'!$A$4:$A$40,'Wall-U'!$T$4:$T$40)*Semidetached!T$13)+(LOOKUP(Semidetached!T$2,'Window-U'!$A$4:$A$40,'Window-U'!$H$4:$H$40)*Semidetached!T$22))*T169</f>
        <v>356.1529593478657</v>
      </c>
      <c r="U173" s="177">
        <f>((LOOKUP(Semidetached!U$2,'Ceiling-U'!$A$4:$A$40,'Ceiling-U'!$H$4:$H$40)*Semidetached!U$15)+(LOOKUP(Semidetached!U$2,'Floor-U'!$A$4:$A$40,'Floor-U'!$H$4:$H$40)*Semidetached!U$16)+(LOOKUP(Semidetached!U$2,'Wall-U'!$A$4:$A$40,'Wall-U'!$T$4:$T$40)*Semidetached!U$13)+(LOOKUP(Semidetached!U$2,'Window-U'!$A$4:$A$40,'Window-U'!$H$4:$H$40)*Semidetached!U$22))*U169</f>
        <v>1415.4118141495051</v>
      </c>
      <c r="V173" s="177">
        <f>((LOOKUP(Semidetached!V$2,'Ceiling-U'!$A$4:$A$40,'Ceiling-U'!$H$4:$H$40)*Semidetached!V$15)+(LOOKUP(Semidetached!V$2,'Floor-U'!$A$4:$A$40,'Floor-U'!$H$4:$H$40)*Semidetached!V$16)+(LOOKUP(Semidetached!V$2,'Wall-U'!$A$4:$A$40,'Wall-U'!$T$4:$T$40)*Semidetached!V$13)+(LOOKUP(Semidetached!V$2,'Window-U'!$A$4:$A$40,'Window-U'!$H$4:$H$40)*Semidetached!V$22))*V169</f>
        <v>541.10906316316994</v>
      </c>
      <c r="W173" s="177">
        <f>((LOOKUP(Semidetached!W$2,'Ceiling-U'!$A$4:$A$40,'Ceiling-U'!$H$4:$H$40)*Semidetached!W$15)+(LOOKUP(Semidetached!W$2,'Floor-U'!$A$4:$A$40,'Floor-U'!$H$4:$H$40)*Semidetached!W$16)+(LOOKUP(Semidetached!W$2,'Wall-U'!$A$4:$A$40,'Wall-U'!$T$4:$T$40)*Semidetached!W$13)+(LOOKUP(Semidetached!W$2,'Window-U'!$A$4:$A$40,'Window-U'!$H$4:$H$40)*Semidetached!W$22))*W169</f>
        <v>350.15673617646797</v>
      </c>
      <c r="X173" s="177">
        <f>((LOOKUP(Semidetached!X$2,'Ceiling-U'!$A$4:$A$40,'Ceiling-U'!$H$4:$H$40)*Semidetached!X$15)+(LOOKUP(Semidetached!X$2,'Floor-U'!$A$4:$A$40,'Floor-U'!$H$4:$H$40)*Semidetached!X$16)+(LOOKUP(Semidetached!X$2,'Wall-U'!$A$4:$A$40,'Wall-U'!$T$4:$T$40)*Semidetached!X$13)+(LOOKUP(Semidetached!X$2,'Window-U'!$A$4:$A$40,'Window-U'!$H$4:$H$40)*Semidetached!X$22))*X169</f>
        <v>460.54914218523402</v>
      </c>
      <c r="Y173" s="177">
        <f>((LOOKUP(Semidetached!Y$2,'Ceiling-U'!$A$4:$A$40,'Ceiling-U'!$H$4:$H$40)*Semidetached!Y$15)+(LOOKUP(Semidetached!Y$2,'Floor-U'!$A$4:$A$40,'Floor-U'!$H$4:$H$40)*Semidetached!Y$16)+(LOOKUP(Semidetached!Y$2,'Wall-U'!$A$4:$A$40,'Wall-U'!$T$4:$T$40)*Semidetached!Y$13)+(LOOKUP(Semidetached!Y$2,'Window-U'!$A$4:$A$40,'Window-U'!$H$4:$H$40)*Semidetached!Y$22))*Y169</f>
        <v>1887.0162158064804</v>
      </c>
      <c r="Z173" s="177">
        <f>((LOOKUP(Semidetached!Z$2,'Ceiling-U'!$A$4:$A$40,'Ceiling-U'!$H$4:$H$40)*Semidetached!Z$15)+(LOOKUP(Semidetached!Z$2,'Floor-U'!$A$4:$A$40,'Floor-U'!$H$4:$H$40)*Semidetached!Z$16)+(LOOKUP(Semidetached!Z$2,'Wall-U'!$A$4:$A$40,'Wall-U'!$T$4:$T$40)*Semidetached!Z$13)+(LOOKUP(Semidetached!Z$2,'Window-U'!$A$4:$A$40,'Window-U'!$H$4:$H$40)*Semidetached!Z$22))*Z169</f>
        <v>967.57337875274789</v>
      </c>
      <c r="AA173" s="177">
        <f>((LOOKUP(Semidetached!AA$2,'Ceiling-U'!$A$4:$A$40,'Ceiling-U'!$H$4:$H$40)*Semidetached!AA$15)+(LOOKUP(Semidetached!AA$2,'Floor-U'!$A$4:$A$40,'Floor-U'!$H$4:$H$40)*Semidetached!AA$16)+(LOOKUP(Semidetached!AA$2,'Wall-U'!$A$4:$A$40,'Wall-U'!$T$4:$T$40)*Semidetached!AA$13)+(LOOKUP(Semidetached!AA$2,'Window-U'!$A$4:$A$40,'Window-U'!$H$4:$H$40)*Semidetached!AA$22))*AA169</f>
        <v>370.11817556928315</v>
      </c>
      <c r="AB173" s="177">
        <f>((LOOKUP(Semidetached!AB$2,'Ceiling-U'!$A$4:$A$40,'Ceiling-U'!$H$4:$H$40)*Semidetached!AB$15)+(LOOKUP(Semidetached!AB$2,'Floor-U'!$A$4:$A$40,'Floor-U'!$H$4:$H$40)*Semidetached!AB$16)+(LOOKUP(Semidetached!AB$2,'Wall-U'!$A$4:$A$40,'Wall-U'!$T$4:$T$40)*Semidetached!AB$13)+(LOOKUP(Semidetached!AB$2,'Window-U'!$A$4:$A$40,'Window-U'!$H$4:$H$40)*Semidetached!AB$22))*AB169</f>
        <v>699.3925841966651</v>
      </c>
      <c r="AC173" s="177">
        <f>((LOOKUP(Semidetached!AC$2,'Ceiling-U'!$A$4:$A$40,'Ceiling-U'!$H$4:$H$40)*Semidetached!AC$15)+(LOOKUP(Semidetached!AC$2,'Floor-U'!$A$4:$A$40,'Floor-U'!$H$4:$H$40)*Semidetached!AC$16)+(LOOKUP(Semidetached!AC$2,'Wall-U'!$A$4:$A$40,'Wall-U'!$T$4:$T$40)*Semidetached!AC$13)+(LOOKUP(Semidetached!AC$2,'Window-U'!$A$4:$A$40,'Window-U'!$H$4:$H$40)*Semidetached!AC$22))*AC169</f>
        <v>2091.2890338648167</v>
      </c>
      <c r="AD173" s="177">
        <f>((LOOKUP(Semidetached!AD$2,'Ceiling-U'!$A$4:$A$40,'Ceiling-U'!$H$4:$H$40)*Semidetached!AD$15)+(LOOKUP(Semidetached!AD$2,'Floor-U'!$A$4:$A$40,'Floor-U'!$H$4:$H$40)*Semidetached!AD$16)+(LOOKUP(Semidetached!AD$2,'Wall-U'!$A$4:$A$40,'Wall-U'!$T$4:$T$40)*Semidetached!AD$13)+(LOOKUP(Semidetached!AD$2,'Window-U'!$A$4:$A$40,'Window-U'!$H$4:$H$40)*Semidetached!AD$22))*AD169</f>
        <v>814.03490722376023</v>
      </c>
      <c r="AE173" s="177">
        <f>((LOOKUP(Semidetached!AE$2,'Ceiling-U'!$A$4:$A$40,'Ceiling-U'!$H$4:$H$40)*Semidetached!AE$15)+(LOOKUP(Semidetached!AE$2,'Floor-U'!$A$4:$A$40,'Floor-U'!$H$4:$H$40)*Semidetached!AE$16)+(LOOKUP(Semidetached!AE$2,'Wall-U'!$A$4:$A$40,'Wall-U'!$T$4:$T$40)*Semidetached!AE$13)+(LOOKUP(Semidetached!AE$2,'Window-U'!$A$4:$A$40,'Window-U'!$H$4:$H$40)*Semidetached!AE$22))*AE169</f>
        <v>365.34020449015844</v>
      </c>
      <c r="AF173" s="177">
        <f>((LOOKUP(Semidetached!AF$2,'Ceiling-U'!$A$4:$A$40,'Ceiling-U'!$H$4:$H$40)*Semidetached!AF$15)+(LOOKUP(Semidetached!AF$2,'Floor-U'!$A$4:$A$40,'Floor-U'!$H$4:$H$40)*Semidetached!AF$16)+(LOOKUP(Semidetached!AF$2,'Wall-U'!$A$4:$A$40,'Wall-U'!$T$4:$T$40)*Semidetached!AF$13)+(LOOKUP(Semidetached!AF$2,'Window-U'!$A$4:$A$40,'Window-U'!$H$4:$H$40)*Semidetached!AF$22))*AF169</f>
        <v>713.71641140779411</v>
      </c>
      <c r="AG173" s="177">
        <f>((LOOKUP(Semidetached!AG$2,'Ceiling-U'!$A$4:$A$40,'Ceiling-U'!$H$4:$H$40)*Semidetached!AG$15)+(LOOKUP(Semidetached!AG$2,'Floor-U'!$A$4:$A$40,'Floor-U'!$H$4:$H$40)*Semidetached!AG$16)+(LOOKUP(Semidetached!AG$2,'Wall-U'!$A$4:$A$40,'Wall-U'!$T$4:$T$40)*Semidetached!AG$13)+(LOOKUP(Semidetached!AG$2,'Window-U'!$A$4:$A$40,'Window-U'!$H$4:$H$40)*Semidetached!AG$22))*AG169</f>
        <v>1087.9807576946446</v>
      </c>
      <c r="AH173" s="177">
        <f>((LOOKUP(Semidetached!AH$2,'Ceiling-U'!$A$4:$A$40,'Ceiling-U'!$H$4:$H$40)*Semidetached!AH$15)+(LOOKUP(Semidetached!AH$2,'Floor-U'!$A$4:$A$40,'Floor-U'!$H$4:$H$40)*Semidetached!AH$16)+(LOOKUP(Semidetached!AH$2,'Wall-U'!$A$4:$A$40,'Wall-U'!$T$4:$T$40)*Semidetached!AH$13)+(LOOKUP(Semidetached!AH$2,'Window-U'!$A$4:$A$40,'Window-U'!$H$4:$H$40)*Semidetached!AH$22))*AH169</f>
        <v>640.53459999248105</v>
      </c>
      <c r="AI173" s="177">
        <f>((LOOKUP(Semidetached!AI$2,'Ceiling-U'!$A$4:$A$40,'Ceiling-U'!$H$4:$H$40)*Semidetached!AI$15)+(LOOKUP(Semidetached!AI$2,'Floor-U'!$A$4:$A$40,'Floor-U'!$H$4:$H$40)*Semidetached!AI$16)+(LOOKUP(Semidetached!AI$2,'Wall-U'!$A$4:$A$40,'Wall-U'!$T$4:$T$40)*Semidetached!AI$13)+(LOOKUP(Semidetached!AI$2,'Window-U'!$A$4:$A$40,'Window-U'!$H$4:$H$40)*Semidetached!AI$22))*AI169</f>
        <v>1956.747929745042</v>
      </c>
      <c r="AJ173" s="177">
        <f>((LOOKUP(Semidetached!AJ$2,'Ceiling-U'!$A$4:$A$40,'Ceiling-U'!$H$4:$H$40)*Semidetached!AJ$15)+(LOOKUP(Semidetached!AJ$2,'Floor-U'!$A$4:$A$40,'Floor-U'!$H$4:$H$40)*Semidetached!AJ$16)+(LOOKUP(Semidetached!AJ$2,'Wall-U'!$A$4:$A$40,'Wall-U'!$T$4:$T$40)*Semidetached!AJ$13)+(LOOKUP(Semidetached!AJ$2,'Window-U'!$A$4:$A$40,'Window-U'!$H$4:$H$40)*Semidetached!AJ$22))*AJ169</f>
        <v>669.53052973591343</v>
      </c>
      <c r="AK173" s="177">
        <f>((LOOKUP(Semidetached!AK$2,'Ceiling-U'!$A$4:$A$40,'Ceiling-U'!$H$4:$H$40)*Semidetached!AK$15)+(LOOKUP(Semidetached!AK$2,'Floor-U'!$A$4:$A$40,'Floor-U'!$H$4:$H$40)*Semidetached!AK$16)+(LOOKUP(Semidetached!AK$2,'Wall-U'!$A$4:$A$40,'Wall-U'!$T$4:$T$40)*Semidetached!AK$13)+(LOOKUP(Semidetached!AK$2,'Window-U'!$A$4:$A$40,'Window-U'!$H$4:$H$40)*Semidetached!AK$22))*AK169</f>
        <v>818.95428523520286</v>
      </c>
      <c r="AL173" s="177">
        <f>((LOOKUP(Semidetached!AL$2,'Ceiling-U'!$A$4:$A$40,'Ceiling-U'!$H$4:$H$40)*Semidetached!AL$15)+(LOOKUP(Semidetached!AL$2,'Floor-U'!$A$4:$A$40,'Floor-U'!$H$4:$H$40)*Semidetached!AL$16)+(LOOKUP(Semidetached!AL$2,'Wall-U'!$A$4:$A$40,'Wall-U'!$T$4:$T$40)*Semidetached!AL$13)+(LOOKUP(Semidetached!AL$2,'Window-U'!$A$4:$A$40,'Window-U'!$H$4:$H$40)*Semidetached!AL$22))*AL169</f>
        <v>672.38460264351193</v>
      </c>
      <c r="AM173" s="177">
        <f>((LOOKUP(Semidetached!AM$2,'Ceiling-U'!$A$4:$A$40,'Ceiling-U'!$H$4:$H$40)*Semidetached!AM$15)+(LOOKUP(Semidetached!AM$2,'Floor-U'!$A$4:$A$40,'Floor-U'!$H$4:$H$40)*Semidetached!AM$16)+(LOOKUP(Semidetached!AM$2,'Wall-U'!$A$4:$A$40,'Wall-U'!$T$4:$T$40)*Semidetached!AM$13)+(LOOKUP(Semidetached!AM$2,'Window-U'!$A$4:$A$40,'Window-U'!$H$4:$H$40)*Semidetached!AM$22))*AM169</f>
        <v>669.53052973591343</v>
      </c>
      <c r="AN173" s="178">
        <f>((LOOKUP(Semidetached!AN$2,'Ceiling-U'!$A$4:$A$40,'Ceiling-U'!$H$4:$H$40)*Semidetached!AN$15)+(LOOKUP(Semidetached!AN$2,'Floor-U'!$A$4:$A$40,'Floor-U'!$H$4:$H$40)*Semidetached!AN$16)+(LOOKUP(Semidetached!AN$2,'Wall-U'!$A$4:$A$40,'Wall-U'!$T$4:$T$40)*Semidetached!AN$13)+(LOOKUP(Semidetached!AN$2,'Window-U'!$A$4:$A$40,'Window-U'!$H$4:$H$40)*Semidetached!AN$22))*AN169</f>
        <v>669.53052973591343</v>
      </c>
    </row>
    <row r="174" spans="1:40">
      <c r="A174" s="372"/>
      <c r="B174" s="142" t="s">
        <v>6</v>
      </c>
      <c r="C174" s="131" t="s">
        <v>195</v>
      </c>
      <c r="D174" s="176">
        <f>((LOOKUP(Semidetached!D$2,'Ceiling-U'!$A$4:$A$40,'Ceiling-U'!$I$4:$I$40)*Semidetached!D$15)+(LOOKUP(Semidetached!D$2,'Floor-U'!$A$4:$A$40,'Floor-U'!$I$4:$I$40)*Semidetached!D$16)+(LOOKUP(Semidetached!D$2,'Wall-U'!$A$4:$A$40,'Wall-U'!$U$4:$U$40)*Semidetached!D$13)+(LOOKUP(Semidetached!D$2,'Window-U'!$A$4:$A$40,'Window-U'!$I$4:$I$40)*Semidetached!D$22))*D169</f>
        <v>524.8765455697727</v>
      </c>
      <c r="E174" s="177">
        <f>((LOOKUP(Semidetached!E$2,'Ceiling-U'!$A$4:$A$40,'Ceiling-U'!$I$4:$I$40)*Semidetached!E$15)+(LOOKUP(Semidetached!E$2,'Floor-U'!$A$4:$A$40,'Floor-U'!$I$4:$I$40)*Semidetached!E$16)+(LOOKUP(Semidetached!E$2,'Wall-U'!$A$4:$A$40,'Wall-U'!$U$4:$U$40)*Semidetached!E$13)+(LOOKUP(Semidetached!E$2,'Window-U'!$A$4:$A$40,'Window-U'!$I$4:$I$40)*Semidetached!E$22))*E169</f>
        <v>1255.0460714822325</v>
      </c>
      <c r="F174" s="177">
        <f>((LOOKUP(Semidetached!F$2,'Ceiling-U'!$A$4:$A$40,'Ceiling-U'!$I$4:$I$40)*Semidetached!F$15)+(LOOKUP(Semidetached!F$2,'Floor-U'!$A$4:$A$40,'Floor-U'!$I$4:$I$40)*Semidetached!F$16)+(LOOKUP(Semidetached!F$2,'Wall-U'!$A$4:$A$40,'Wall-U'!$U$4:$U$40)*Semidetached!F$13)+(LOOKUP(Semidetached!F$2,'Window-U'!$A$4:$A$40,'Window-U'!$I$4:$I$40)*Semidetached!F$22))*F169</f>
        <v>483.58969150535484</v>
      </c>
      <c r="G174" s="177">
        <f>((LOOKUP(Semidetached!G$2,'Ceiling-U'!$A$4:$A$40,'Ceiling-U'!$I$4:$I$40)*Semidetached!G$15)+(LOOKUP(Semidetached!G$2,'Floor-U'!$A$4:$A$40,'Floor-U'!$I$4:$I$40)*Semidetached!G$16)+(LOOKUP(Semidetached!G$2,'Wall-U'!$A$4:$A$40,'Wall-U'!$U$4:$U$40)*Semidetached!G$13)+(LOOKUP(Semidetached!G$2,'Window-U'!$A$4:$A$40,'Window-U'!$I$4:$I$40)*Semidetached!G$22))*G169</f>
        <v>542.02384903706889</v>
      </c>
      <c r="H174" s="177">
        <f>((LOOKUP(Semidetached!H$2,'Ceiling-U'!$A$4:$A$40,'Ceiling-U'!$I$4:$I$40)*Semidetached!H$15)+(LOOKUP(Semidetached!H$2,'Floor-U'!$A$4:$A$40,'Floor-U'!$I$4:$I$40)*Semidetached!H$16)+(LOOKUP(Semidetached!H$2,'Wall-U'!$A$4:$A$40,'Wall-U'!$U$4:$U$40)*Semidetached!H$13)+(LOOKUP(Semidetached!H$2,'Window-U'!$A$4:$A$40,'Window-U'!$I$4:$I$40)*Semidetached!H$22))*H169</f>
        <v>1975.7283755858996</v>
      </c>
      <c r="I174" s="177">
        <f>((LOOKUP(Semidetached!I$2,'Ceiling-U'!$A$4:$A$40,'Ceiling-U'!$I$4:$I$40)*Semidetached!I$15)+(LOOKUP(Semidetached!I$2,'Floor-U'!$A$4:$A$40,'Floor-U'!$I$4:$I$40)*Semidetached!I$16)+(LOOKUP(Semidetached!I$2,'Wall-U'!$A$4:$A$40,'Wall-U'!$U$4:$U$40)*Semidetached!I$13)+(LOOKUP(Semidetached!I$2,'Window-U'!$A$4:$A$40,'Window-U'!$I$4:$I$40)*Semidetached!I$22))*I169</f>
        <v>543.53842897108814</v>
      </c>
      <c r="J174" s="177">
        <f>((LOOKUP(Semidetached!J$2,'Ceiling-U'!$A$4:$A$40,'Ceiling-U'!$I$4:$I$40)*Semidetached!J$15)+(LOOKUP(Semidetached!J$2,'Floor-U'!$A$4:$A$40,'Floor-U'!$I$4:$I$40)*Semidetached!J$16)+(LOOKUP(Semidetached!J$2,'Wall-U'!$A$4:$A$40,'Wall-U'!$U$4:$U$40)*Semidetached!J$13)+(LOOKUP(Semidetached!J$2,'Window-U'!$A$4:$A$40,'Window-U'!$I$4:$I$40)*Semidetached!J$22))*J169</f>
        <v>369.34617125215277</v>
      </c>
      <c r="K174" s="177">
        <f>((LOOKUP(Semidetached!K$2,'Ceiling-U'!$A$4:$A$40,'Ceiling-U'!$I$4:$I$40)*Semidetached!K$15)+(LOOKUP(Semidetached!K$2,'Floor-U'!$A$4:$A$40,'Floor-U'!$I$4:$I$40)*Semidetached!K$16)+(LOOKUP(Semidetached!K$2,'Wall-U'!$A$4:$A$40,'Wall-U'!$U$4:$U$40)*Semidetached!K$13)+(LOOKUP(Semidetached!K$2,'Window-U'!$A$4:$A$40,'Window-U'!$I$4:$I$40)*Semidetached!K$22))*K169</f>
        <v>448.70593396211871</v>
      </c>
      <c r="L174" s="177">
        <f>((LOOKUP(Semidetached!L$2,'Ceiling-U'!$A$4:$A$40,'Ceiling-U'!$I$4:$I$40)*Semidetached!L$15)+(LOOKUP(Semidetached!L$2,'Floor-U'!$A$4:$A$40,'Floor-U'!$I$4:$I$40)*Semidetached!L$16)+(LOOKUP(Semidetached!L$2,'Wall-U'!$A$4:$A$40,'Wall-U'!$U$4:$U$40)*Semidetached!L$13)+(LOOKUP(Semidetached!L$2,'Window-U'!$A$4:$A$40,'Window-U'!$I$4:$I$40)*Semidetached!L$22))*L169</f>
        <v>220.38462443441244</v>
      </c>
      <c r="M174" s="177">
        <f>((LOOKUP(Semidetached!M$2,'Ceiling-U'!$A$4:$A$40,'Ceiling-U'!$I$4:$I$40)*Semidetached!M$15)+(LOOKUP(Semidetached!M$2,'Floor-U'!$A$4:$A$40,'Floor-U'!$I$4:$I$40)*Semidetached!M$16)+(LOOKUP(Semidetached!M$2,'Wall-U'!$A$4:$A$40,'Wall-U'!$U$4:$U$40)*Semidetached!M$13)+(LOOKUP(Semidetached!M$2,'Window-U'!$A$4:$A$40,'Window-U'!$I$4:$I$40)*Semidetached!M$22))*M169</f>
        <v>1082.4675485274997</v>
      </c>
      <c r="N174" s="177">
        <f>((LOOKUP(Semidetached!N$2,'Ceiling-U'!$A$4:$A$40,'Ceiling-U'!$I$4:$I$40)*Semidetached!N$15)+(LOOKUP(Semidetached!N$2,'Floor-U'!$A$4:$A$40,'Floor-U'!$I$4:$I$40)*Semidetached!N$16)+(LOOKUP(Semidetached!N$2,'Wall-U'!$A$4:$A$40,'Wall-U'!$U$4:$U$40)*Semidetached!N$13)+(LOOKUP(Semidetached!N$2,'Window-U'!$A$4:$A$40,'Window-U'!$I$4:$I$40)*Semidetached!N$22))*N169</f>
        <v>348.12900410530153</v>
      </c>
      <c r="O174" s="177">
        <f>((LOOKUP(Semidetached!O$2,'Ceiling-U'!$A$4:$A$40,'Ceiling-U'!$I$4:$I$40)*Semidetached!O$15)+(LOOKUP(Semidetached!O$2,'Floor-U'!$A$4:$A$40,'Floor-U'!$I$4:$I$40)*Semidetached!O$16)+(LOOKUP(Semidetached!O$2,'Wall-U'!$A$4:$A$40,'Wall-U'!$U$4:$U$40)*Semidetached!O$13)+(LOOKUP(Semidetached!O$2,'Window-U'!$A$4:$A$40,'Window-U'!$I$4:$I$40)*Semidetached!O$22))*O169</f>
        <v>450.40941365983753</v>
      </c>
      <c r="P174" s="177">
        <f>((LOOKUP(Semidetached!P$2,'Ceiling-U'!$A$4:$A$40,'Ceiling-U'!$I$4:$I$40)*Semidetached!P$15)+(LOOKUP(Semidetached!P$2,'Floor-U'!$A$4:$A$40,'Floor-U'!$I$4:$I$40)*Semidetached!P$16)+(LOOKUP(Semidetached!P$2,'Wall-U'!$A$4:$A$40,'Wall-U'!$U$4:$U$40)*Semidetached!P$13)+(LOOKUP(Semidetached!P$2,'Window-U'!$A$4:$A$40,'Window-U'!$I$4:$I$40)*Semidetached!P$22))*P169</f>
        <v>1319.2380782092091</v>
      </c>
      <c r="Q174" s="177">
        <f>((LOOKUP(Semidetached!Q$2,'Ceiling-U'!$A$4:$A$40,'Ceiling-U'!$I$4:$I$40)*Semidetached!Q$15)+(LOOKUP(Semidetached!Q$2,'Floor-U'!$A$4:$A$40,'Floor-U'!$I$4:$I$40)*Semidetached!Q$16)+(LOOKUP(Semidetached!Q$2,'Wall-U'!$A$4:$A$40,'Wall-U'!$U$4:$U$40)*Semidetached!Q$13)+(LOOKUP(Semidetached!Q$2,'Window-U'!$A$4:$A$40,'Window-U'!$I$4:$I$40)*Semidetached!Q$22))*Q169</f>
        <v>548.7697156873071</v>
      </c>
      <c r="R174" s="177">
        <f>((LOOKUP(Semidetached!R$2,'Ceiling-U'!$A$4:$A$40,'Ceiling-U'!$I$4:$I$40)*Semidetached!R$15)+(LOOKUP(Semidetached!R$2,'Floor-U'!$A$4:$A$40,'Floor-U'!$I$4:$I$40)*Semidetached!R$16)+(LOOKUP(Semidetached!R$2,'Wall-U'!$A$4:$A$40,'Wall-U'!$U$4:$U$40)*Semidetached!R$13)+(LOOKUP(Semidetached!R$2,'Window-U'!$A$4:$A$40,'Window-U'!$I$4:$I$40)*Semidetached!R$22))*R169</f>
        <v>688.17219203033778</v>
      </c>
      <c r="S174" s="177">
        <f>((LOOKUP(Semidetached!S$2,'Ceiling-U'!$A$4:$A$40,'Ceiling-U'!$I$4:$I$40)*Semidetached!S$15)+(LOOKUP(Semidetached!S$2,'Floor-U'!$A$4:$A$40,'Floor-U'!$I$4:$I$40)*Semidetached!S$16)+(LOOKUP(Semidetached!S$2,'Wall-U'!$A$4:$A$40,'Wall-U'!$U$4:$U$40)*Semidetached!S$13)+(LOOKUP(Semidetached!S$2,'Window-U'!$A$4:$A$40,'Window-U'!$I$4:$I$40)*Semidetached!S$22))*S169</f>
        <v>716.66047508731253</v>
      </c>
      <c r="T174" s="177">
        <f>((LOOKUP(Semidetached!T$2,'Ceiling-U'!$A$4:$A$40,'Ceiling-U'!$I$4:$I$40)*Semidetached!T$15)+(LOOKUP(Semidetached!T$2,'Floor-U'!$A$4:$A$40,'Floor-U'!$I$4:$I$40)*Semidetached!T$16)+(LOOKUP(Semidetached!T$2,'Wall-U'!$A$4:$A$40,'Wall-U'!$U$4:$U$40)*Semidetached!T$13)+(LOOKUP(Semidetached!T$2,'Window-U'!$A$4:$A$40,'Window-U'!$I$4:$I$40)*Semidetached!T$22))*T169</f>
        <v>350.54520814895471</v>
      </c>
      <c r="U174" s="177">
        <f>((LOOKUP(Semidetached!U$2,'Ceiling-U'!$A$4:$A$40,'Ceiling-U'!$I$4:$I$40)*Semidetached!U$15)+(LOOKUP(Semidetached!U$2,'Floor-U'!$A$4:$A$40,'Floor-U'!$I$4:$I$40)*Semidetached!U$16)+(LOOKUP(Semidetached!U$2,'Wall-U'!$A$4:$A$40,'Wall-U'!$U$4:$U$40)*Semidetached!U$13)+(LOOKUP(Semidetached!U$2,'Window-U'!$A$4:$A$40,'Window-U'!$I$4:$I$40)*Semidetached!U$22))*U169</f>
        <v>1331.4714185238274</v>
      </c>
      <c r="V174" s="177">
        <f>((LOOKUP(Semidetached!V$2,'Ceiling-U'!$A$4:$A$40,'Ceiling-U'!$I$4:$I$40)*Semidetached!V$15)+(LOOKUP(Semidetached!V$2,'Floor-U'!$A$4:$A$40,'Floor-U'!$I$4:$I$40)*Semidetached!V$16)+(LOOKUP(Semidetached!V$2,'Wall-U'!$A$4:$A$40,'Wall-U'!$U$4:$U$40)*Semidetached!V$13)+(LOOKUP(Semidetached!V$2,'Window-U'!$A$4:$A$40,'Window-U'!$I$4:$I$40)*Semidetached!V$22))*V169</f>
        <v>541.10906316316994</v>
      </c>
      <c r="W174" s="177">
        <f>((LOOKUP(Semidetached!W$2,'Ceiling-U'!$A$4:$A$40,'Ceiling-U'!$I$4:$I$40)*Semidetached!W$15)+(LOOKUP(Semidetached!W$2,'Floor-U'!$A$4:$A$40,'Floor-U'!$I$4:$I$40)*Semidetached!W$16)+(LOOKUP(Semidetached!W$2,'Wall-U'!$A$4:$A$40,'Wall-U'!$U$4:$U$40)*Semidetached!W$13)+(LOOKUP(Semidetached!W$2,'Window-U'!$A$4:$A$40,'Window-U'!$I$4:$I$40)*Semidetached!W$22))*W169</f>
        <v>298.92352930237956</v>
      </c>
      <c r="X174" s="177">
        <f>((LOOKUP(Semidetached!X$2,'Ceiling-U'!$A$4:$A$40,'Ceiling-U'!$I$4:$I$40)*Semidetached!X$15)+(LOOKUP(Semidetached!X$2,'Floor-U'!$A$4:$A$40,'Floor-U'!$I$4:$I$40)*Semidetached!X$16)+(LOOKUP(Semidetached!X$2,'Wall-U'!$A$4:$A$40,'Wall-U'!$U$4:$U$40)*Semidetached!X$13)+(LOOKUP(Semidetached!X$2,'Window-U'!$A$4:$A$40,'Window-U'!$I$4:$I$40)*Semidetached!X$22))*X169</f>
        <v>447.11005734252672</v>
      </c>
      <c r="Y174" s="177">
        <f>((LOOKUP(Semidetached!Y$2,'Ceiling-U'!$A$4:$A$40,'Ceiling-U'!$I$4:$I$40)*Semidetached!Y$15)+(LOOKUP(Semidetached!Y$2,'Floor-U'!$A$4:$A$40,'Floor-U'!$I$4:$I$40)*Semidetached!Y$16)+(LOOKUP(Semidetached!Y$2,'Wall-U'!$A$4:$A$40,'Wall-U'!$U$4:$U$40)*Semidetached!Y$13)+(LOOKUP(Semidetached!Y$2,'Window-U'!$A$4:$A$40,'Window-U'!$I$4:$I$40)*Semidetached!Y$22))*Y169</f>
        <v>1826.1393840083024</v>
      </c>
      <c r="Z174" s="177">
        <f>((LOOKUP(Semidetached!Z$2,'Ceiling-U'!$A$4:$A$40,'Ceiling-U'!$I$4:$I$40)*Semidetached!Z$15)+(LOOKUP(Semidetached!Z$2,'Floor-U'!$A$4:$A$40,'Floor-U'!$I$4:$I$40)*Semidetached!Z$16)+(LOOKUP(Semidetached!Z$2,'Wall-U'!$A$4:$A$40,'Wall-U'!$U$4:$U$40)*Semidetached!Z$13)+(LOOKUP(Semidetached!Z$2,'Window-U'!$A$4:$A$40,'Window-U'!$I$4:$I$40)*Semidetached!Z$22))*Z169</f>
        <v>860.21924102901914</v>
      </c>
      <c r="AA174" s="177">
        <f>((LOOKUP(Semidetached!AA$2,'Ceiling-U'!$A$4:$A$40,'Ceiling-U'!$I$4:$I$40)*Semidetached!AA$15)+(LOOKUP(Semidetached!AA$2,'Floor-U'!$A$4:$A$40,'Floor-U'!$I$4:$I$40)*Semidetached!AA$16)+(LOOKUP(Semidetached!AA$2,'Wall-U'!$A$4:$A$40,'Wall-U'!$U$4:$U$40)*Semidetached!AA$13)+(LOOKUP(Semidetached!AA$2,'Window-U'!$A$4:$A$40,'Window-U'!$I$4:$I$40)*Semidetached!AA$22))*AA169</f>
        <v>334.59418646246013</v>
      </c>
      <c r="AB174" s="177">
        <f>((LOOKUP(Semidetached!AB$2,'Ceiling-U'!$A$4:$A$40,'Ceiling-U'!$I$4:$I$40)*Semidetached!AB$15)+(LOOKUP(Semidetached!AB$2,'Floor-U'!$A$4:$A$40,'Floor-U'!$I$4:$I$40)*Semidetached!AB$16)+(LOOKUP(Semidetached!AB$2,'Wall-U'!$A$4:$A$40,'Wall-U'!$U$4:$U$40)*Semidetached!AB$13)+(LOOKUP(Semidetached!AB$2,'Window-U'!$A$4:$A$40,'Window-U'!$I$4:$I$40)*Semidetached!AB$22))*AB169</f>
        <v>699.3925841966651</v>
      </c>
      <c r="AC174" s="177">
        <f>((LOOKUP(Semidetached!AC$2,'Ceiling-U'!$A$4:$A$40,'Ceiling-U'!$I$4:$I$40)*Semidetached!AC$15)+(LOOKUP(Semidetached!AC$2,'Floor-U'!$A$4:$A$40,'Floor-U'!$I$4:$I$40)*Semidetached!AC$16)+(LOOKUP(Semidetached!AC$2,'Wall-U'!$A$4:$A$40,'Wall-U'!$U$4:$U$40)*Semidetached!AC$13)+(LOOKUP(Semidetached!AC$2,'Window-U'!$A$4:$A$40,'Window-U'!$I$4:$I$40)*Semidetached!AC$22))*AC169</f>
        <v>1969.0816005730837</v>
      </c>
      <c r="AD174" s="177">
        <f>((LOOKUP(Semidetached!AD$2,'Ceiling-U'!$A$4:$A$40,'Ceiling-U'!$I$4:$I$40)*Semidetached!AD$15)+(LOOKUP(Semidetached!AD$2,'Floor-U'!$A$4:$A$40,'Floor-U'!$I$4:$I$40)*Semidetached!AD$16)+(LOOKUP(Semidetached!AD$2,'Wall-U'!$A$4:$A$40,'Wall-U'!$U$4:$U$40)*Semidetached!AD$13)+(LOOKUP(Semidetached!AD$2,'Window-U'!$A$4:$A$40,'Window-U'!$I$4:$I$40)*Semidetached!AD$22))*AD169</f>
        <v>814.03490722376023</v>
      </c>
      <c r="AE174" s="177">
        <f>((LOOKUP(Semidetached!AE$2,'Ceiling-U'!$A$4:$A$40,'Ceiling-U'!$I$4:$I$40)*Semidetached!AE$15)+(LOOKUP(Semidetached!AE$2,'Floor-U'!$A$4:$A$40,'Floor-U'!$I$4:$I$40)*Semidetached!AE$16)+(LOOKUP(Semidetached!AE$2,'Wall-U'!$A$4:$A$40,'Wall-U'!$U$4:$U$40)*Semidetached!AE$13)+(LOOKUP(Semidetached!AE$2,'Window-U'!$A$4:$A$40,'Window-U'!$I$4:$I$40)*Semidetached!AE$22))*AE169</f>
        <v>330.42089239271399</v>
      </c>
      <c r="AF174" s="177">
        <f>((LOOKUP(Semidetached!AF$2,'Ceiling-U'!$A$4:$A$40,'Ceiling-U'!$I$4:$I$40)*Semidetached!AF$15)+(LOOKUP(Semidetached!AF$2,'Floor-U'!$A$4:$A$40,'Floor-U'!$I$4:$I$40)*Semidetached!AF$16)+(LOOKUP(Semidetached!AF$2,'Wall-U'!$A$4:$A$40,'Wall-U'!$U$4:$U$40)*Semidetached!AF$13)+(LOOKUP(Semidetached!AF$2,'Window-U'!$A$4:$A$40,'Window-U'!$I$4:$I$40)*Semidetached!AF$22))*AF169</f>
        <v>502.61061635243766</v>
      </c>
      <c r="AG174" s="177">
        <f>((LOOKUP(Semidetached!AG$2,'Ceiling-U'!$A$4:$A$40,'Ceiling-U'!$I$4:$I$40)*Semidetached!AG$15)+(LOOKUP(Semidetached!AG$2,'Floor-U'!$A$4:$A$40,'Floor-U'!$I$4:$I$40)*Semidetached!AG$16)+(LOOKUP(Semidetached!AG$2,'Wall-U'!$A$4:$A$40,'Wall-U'!$U$4:$U$40)*Semidetached!AG$13)+(LOOKUP(Semidetached!AG$2,'Window-U'!$A$4:$A$40,'Window-U'!$I$4:$I$40)*Semidetached!AG$22))*AG169</f>
        <v>928.34807622879816</v>
      </c>
      <c r="AH174" s="177">
        <f>((LOOKUP(Semidetached!AH$2,'Ceiling-U'!$A$4:$A$40,'Ceiling-U'!$I$4:$I$40)*Semidetached!AH$15)+(LOOKUP(Semidetached!AH$2,'Floor-U'!$A$4:$A$40,'Floor-U'!$I$4:$I$40)*Semidetached!AH$16)+(LOOKUP(Semidetached!AH$2,'Wall-U'!$A$4:$A$40,'Wall-U'!$U$4:$U$40)*Semidetached!AH$13)+(LOOKUP(Semidetached!AH$2,'Window-U'!$A$4:$A$40,'Window-U'!$I$4:$I$40)*Semidetached!AH$22))*AH169</f>
        <v>480.53180911758409</v>
      </c>
      <c r="AI174" s="177">
        <f>((LOOKUP(Semidetached!AI$2,'Ceiling-U'!$A$4:$A$40,'Ceiling-U'!$I$4:$I$40)*Semidetached!AI$15)+(LOOKUP(Semidetached!AI$2,'Floor-U'!$A$4:$A$40,'Floor-U'!$I$4:$I$40)*Semidetached!AI$16)+(LOOKUP(Semidetached!AI$2,'Wall-U'!$A$4:$A$40,'Wall-U'!$U$4:$U$40)*Semidetached!AI$13)+(LOOKUP(Semidetached!AI$2,'Window-U'!$A$4:$A$40,'Window-U'!$I$4:$I$40)*Semidetached!AI$22))*AI169</f>
        <v>1956.747929745042</v>
      </c>
      <c r="AJ174" s="177">
        <f>((LOOKUP(Semidetached!AJ$2,'Ceiling-U'!$A$4:$A$40,'Ceiling-U'!$I$4:$I$40)*Semidetached!AJ$15)+(LOOKUP(Semidetached!AJ$2,'Floor-U'!$A$4:$A$40,'Floor-U'!$I$4:$I$40)*Semidetached!AJ$16)+(LOOKUP(Semidetached!AJ$2,'Wall-U'!$A$4:$A$40,'Wall-U'!$U$4:$U$40)*Semidetached!AJ$13)+(LOOKUP(Semidetached!AJ$2,'Window-U'!$A$4:$A$40,'Window-U'!$I$4:$I$40)*Semidetached!AJ$22))*AJ169</f>
        <v>639.47227763278818</v>
      </c>
      <c r="AK174" s="177">
        <f>((LOOKUP(Semidetached!AK$2,'Ceiling-U'!$A$4:$A$40,'Ceiling-U'!$I$4:$I$40)*Semidetached!AK$15)+(LOOKUP(Semidetached!AK$2,'Floor-U'!$A$4:$A$40,'Floor-U'!$I$4:$I$40)*Semidetached!AK$16)+(LOOKUP(Semidetached!AK$2,'Wall-U'!$A$4:$A$40,'Wall-U'!$U$4:$U$40)*Semidetached!AK$13)+(LOOKUP(Semidetached!AK$2,'Window-U'!$A$4:$A$40,'Window-U'!$I$4:$I$40)*Semidetached!AK$22))*AK169</f>
        <v>777.32107954226547</v>
      </c>
      <c r="AL174" s="177">
        <f>((LOOKUP(Semidetached!AL$2,'Ceiling-U'!$A$4:$A$40,'Ceiling-U'!$I$4:$I$40)*Semidetached!AL$15)+(LOOKUP(Semidetached!AL$2,'Floor-U'!$A$4:$A$40,'Floor-U'!$I$4:$I$40)*Semidetached!AL$16)+(LOOKUP(Semidetached!AL$2,'Wall-U'!$A$4:$A$40,'Wall-U'!$U$4:$U$40)*Semidetached!AL$13)+(LOOKUP(Semidetached!AL$2,'Window-U'!$A$4:$A$40,'Window-U'!$I$4:$I$40)*Semidetached!AL$22))*AL169</f>
        <v>505.22989258928726</v>
      </c>
      <c r="AM174" s="177">
        <f>((LOOKUP(Semidetached!AM$2,'Ceiling-U'!$A$4:$A$40,'Ceiling-U'!$I$4:$I$40)*Semidetached!AM$15)+(LOOKUP(Semidetached!AM$2,'Floor-U'!$A$4:$A$40,'Floor-U'!$I$4:$I$40)*Semidetached!AM$16)+(LOOKUP(Semidetached!AM$2,'Wall-U'!$A$4:$A$40,'Wall-U'!$U$4:$U$40)*Semidetached!AM$13)+(LOOKUP(Semidetached!AM$2,'Window-U'!$A$4:$A$40,'Window-U'!$I$4:$I$40)*Semidetached!AM$22))*AM169</f>
        <v>639.47227763278818</v>
      </c>
      <c r="AN174" s="178">
        <f>((LOOKUP(Semidetached!AN$2,'Ceiling-U'!$A$4:$A$40,'Ceiling-U'!$I$4:$I$40)*Semidetached!AN$15)+(LOOKUP(Semidetached!AN$2,'Floor-U'!$A$4:$A$40,'Floor-U'!$I$4:$I$40)*Semidetached!AN$16)+(LOOKUP(Semidetached!AN$2,'Wall-U'!$A$4:$A$40,'Wall-U'!$U$4:$U$40)*Semidetached!AN$13)+(LOOKUP(Semidetached!AN$2,'Window-U'!$A$4:$A$40,'Window-U'!$I$4:$I$40)*Semidetached!AN$22))*AN169</f>
        <v>639.47227763278818</v>
      </c>
    </row>
    <row r="175" spans="1:40">
      <c r="A175" s="373"/>
      <c r="B175" s="374" t="s">
        <v>7</v>
      </c>
      <c r="C175" s="131" t="s">
        <v>195</v>
      </c>
      <c r="D175" s="176">
        <f>((LOOKUP(Semidetached!D$2,'Ceiling-U'!$A$4:$A$40,'Ceiling-U'!$J$4:$J$40)*Semidetached!D$15)+(LOOKUP(Semidetached!D$2,'Floor-U'!$A$4:$A$40,'Floor-U'!$J$4:$J$40)*Semidetached!D$16)+(LOOKUP(Semidetached!D$2,'Wall-U'!$A$4:$A$40,'Wall-U'!$V$4:$V$40)*Semidetached!D$13)+(LOOKUP(Semidetached!D$2,'Window-U'!$A$4:$A$40,'Window-U'!$J$4:$J$40)*Semidetached!D$22))*D169</f>
        <v>447.91203458213289</v>
      </c>
      <c r="E175" s="174">
        <f>((LOOKUP(Semidetached!E$2,'Ceiling-U'!$A$4:$A$40,'Ceiling-U'!$J$4:$J$40)*Semidetached!E$15)+(LOOKUP(Semidetached!E$2,'Floor-U'!$A$4:$A$40,'Floor-U'!$J$4:$J$40)*Semidetached!E$16)+(LOOKUP(Semidetached!E$2,'Wall-U'!$A$4:$A$40,'Wall-U'!$V$4:$V$40)*Semidetached!E$13)+(LOOKUP(Semidetached!E$2,'Window-U'!$A$4:$A$40,'Window-U'!$J$4:$J$40)*Semidetached!E$22))*E169</f>
        <v>746.73136636464994</v>
      </c>
      <c r="F175" s="174">
        <f>((LOOKUP(Semidetached!F$2,'Ceiling-U'!$A$4:$A$40,'Ceiling-U'!$J$4:$J$40)*Semidetached!F$15)+(LOOKUP(Semidetached!F$2,'Floor-U'!$A$4:$A$40,'Floor-U'!$J$4:$J$40)*Semidetached!F$16)+(LOOKUP(Semidetached!F$2,'Wall-U'!$A$4:$A$40,'Wall-U'!$V$4:$V$40)*Semidetached!F$13)+(LOOKUP(Semidetached!F$2,'Window-U'!$A$4:$A$40,'Window-U'!$J$4:$J$40)*Semidetached!F$22))*F169</f>
        <v>371.65318874443597</v>
      </c>
      <c r="G175" s="174">
        <f>((LOOKUP(Semidetached!G$2,'Ceiling-U'!$A$4:$A$40,'Ceiling-U'!$J$4:$J$40)*Semidetached!G$15)+(LOOKUP(Semidetached!G$2,'Floor-U'!$A$4:$A$40,'Floor-U'!$J$4:$J$40)*Semidetached!G$16)+(LOOKUP(Semidetached!G$2,'Wall-U'!$A$4:$A$40,'Wall-U'!$V$4:$V$40)*Semidetached!G$13)+(LOOKUP(Semidetached!G$2,'Window-U'!$A$4:$A$40,'Window-U'!$J$4:$J$40)*Semidetached!G$22))*G169</f>
        <v>461.89887233731469</v>
      </c>
      <c r="H175" s="174">
        <f>((LOOKUP(Semidetached!H$2,'Ceiling-U'!$A$4:$A$40,'Ceiling-U'!$J$4:$J$40)*Semidetached!H$15)+(LOOKUP(Semidetached!H$2,'Floor-U'!$A$4:$A$40,'Floor-U'!$J$4:$J$40)*Semidetached!H$16)+(LOOKUP(Semidetached!H$2,'Wall-U'!$A$4:$A$40,'Wall-U'!$V$4:$V$40)*Semidetached!H$13)+(LOOKUP(Semidetached!H$2,'Window-U'!$A$4:$A$40,'Window-U'!$J$4:$J$40)*Semidetached!H$22))*H169</f>
        <v>1491.6826136974496</v>
      </c>
      <c r="I175" s="174">
        <f>((LOOKUP(Semidetached!I$2,'Ceiling-U'!$A$4:$A$40,'Ceiling-U'!$J$4:$J$40)*Semidetached!I$15)+(LOOKUP(Semidetached!I$2,'Floor-U'!$A$4:$A$40,'Floor-U'!$J$4:$J$40)*Semidetached!I$16)+(LOOKUP(Semidetached!I$2,'Wall-U'!$A$4:$A$40,'Wall-U'!$V$4:$V$40)*Semidetached!I$13)+(LOOKUP(Semidetached!I$2,'Window-U'!$A$4:$A$40,'Window-U'!$J$4:$J$40)*Semidetached!I$22))*I169</f>
        <v>408.02343439184233</v>
      </c>
      <c r="J175" s="174">
        <f>((LOOKUP(Semidetached!J$2,'Ceiling-U'!$A$4:$A$40,'Ceiling-U'!$J$4:$J$40)*Semidetached!J$15)+(LOOKUP(Semidetached!J$2,'Floor-U'!$A$4:$A$40,'Floor-U'!$J$4:$J$40)*Semidetached!J$16)+(LOOKUP(Semidetached!J$2,'Wall-U'!$A$4:$A$40,'Wall-U'!$V$4:$V$40)*Semidetached!J$13)+(LOOKUP(Semidetached!J$2,'Window-U'!$A$4:$A$40,'Window-U'!$J$4:$J$40)*Semidetached!J$22))*J169</f>
        <v>391.51193514052545</v>
      </c>
      <c r="K175" s="174">
        <f>((LOOKUP(Semidetached!K$2,'Ceiling-U'!$A$4:$A$40,'Ceiling-U'!$J$4:$J$40)*Semidetached!K$15)+(LOOKUP(Semidetached!K$2,'Floor-U'!$A$4:$A$40,'Floor-U'!$J$4:$J$40)*Semidetached!K$16)+(LOOKUP(Semidetached!K$2,'Wall-U'!$A$4:$A$40,'Wall-U'!$V$4:$V$40)*Semidetached!K$13)+(LOOKUP(Semidetached!K$2,'Window-U'!$A$4:$A$40,'Window-U'!$J$4:$J$40)*Semidetached!K$22))*K169</f>
        <v>310.02193642385612</v>
      </c>
      <c r="L175" s="174">
        <f>((LOOKUP(Semidetached!L$2,'Ceiling-U'!$A$4:$A$40,'Ceiling-U'!$J$4:$J$40)*Semidetached!L$15)+(LOOKUP(Semidetached!L$2,'Floor-U'!$A$4:$A$40,'Floor-U'!$J$4:$J$40)*Semidetached!L$16)+(LOOKUP(Semidetached!L$2,'Wall-U'!$A$4:$A$40,'Wall-U'!$V$4:$V$40)*Semidetached!L$13)+(LOOKUP(Semidetached!L$2,'Window-U'!$A$4:$A$40,'Window-U'!$J$4:$J$40)*Semidetached!L$22))*L169</f>
        <v>220.38462443441244</v>
      </c>
      <c r="M175" s="174">
        <f>((LOOKUP(Semidetached!M$2,'Ceiling-U'!$A$4:$A$40,'Ceiling-U'!$J$4:$J$40)*Semidetached!M$15)+(LOOKUP(Semidetached!M$2,'Floor-U'!$A$4:$A$40,'Floor-U'!$J$4:$J$40)*Semidetached!M$16)+(LOOKUP(Semidetached!M$2,'Wall-U'!$A$4:$A$40,'Wall-U'!$V$4:$V$40)*Semidetached!M$13)+(LOOKUP(Semidetached!M$2,'Window-U'!$A$4:$A$40,'Window-U'!$J$4:$J$40)*Semidetached!M$22))*M169</f>
        <v>808.22390205972874</v>
      </c>
      <c r="N175" s="174">
        <f>((LOOKUP(Semidetached!N$2,'Ceiling-U'!$A$4:$A$40,'Ceiling-U'!$J$4:$J$40)*Semidetached!N$15)+(LOOKUP(Semidetached!N$2,'Floor-U'!$A$4:$A$40,'Floor-U'!$J$4:$J$40)*Semidetached!N$16)+(LOOKUP(Semidetached!N$2,'Wall-U'!$A$4:$A$40,'Wall-U'!$V$4:$V$40)*Semidetached!N$13)+(LOOKUP(Semidetached!N$2,'Window-U'!$A$4:$A$40,'Window-U'!$J$4:$J$40)*Semidetached!N$22))*N169</f>
        <v>305.29583891936926</v>
      </c>
      <c r="O175" s="174">
        <f>((LOOKUP(Semidetached!O$2,'Ceiling-U'!$A$4:$A$40,'Ceiling-U'!$J$4:$J$40)*Semidetached!O$15)+(LOOKUP(Semidetached!O$2,'Floor-U'!$A$4:$A$40,'Floor-U'!$J$4:$J$40)*Semidetached!O$16)+(LOOKUP(Semidetached!O$2,'Wall-U'!$A$4:$A$40,'Wall-U'!$V$4:$V$40)*Semidetached!O$13)+(LOOKUP(Semidetached!O$2,'Window-U'!$A$4:$A$40,'Window-U'!$J$4:$J$40)*Semidetached!O$22))*O169</f>
        <v>434.92036603538986</v>
      </c>
      <c r="P175" s="174">
        <f>((LOOKUP(Semidetached!P$2,'Ceiling-U'!$A$4:$A$40,'Ceiling-U'!$J$4:$J$40)*Semidetached!P$15)+(LOOKUP(Semidetached!P$2,'Floor-U'!$A$4:$A$40,'Floor-U'!$J$4:$J$40)*Semidetached!P$16)+(LOOKUP(Semidetached!P$2,'Wall-U'!$A$4:$A$40,'Wall-U'!$V$4:$V$40)*Semidetached!P$13)+(LOOKUP(Semidetached!P$2,'Window-U'!$A$4:$A$40,'Window-U'!$J$4:$J$40)*Semidetached!P$22))*P169</f>
        <v>459.80374804236152</v>
      </c>
      <c r="Q175" s="174">
        <f>((LOOKUP(Semidetached!Q$2,'Ceiling-U'!$A$4:$A$40,'Ceiling-U'!$J$4:$J$40)*Semidetached!Q$15)+(LOOKUP(Semidetached!Q$2,'Floor-U'!$A$4:$A$40,'Floor-U'!$J$4:$J$40)*Semidetached!Q$16)+(LOOKUP(Semidetached!Q$2,'Wall-U'!$A$4:$A$40,'Wall-U'!$V$4:$V$40)*Semidetached!Q$13)+(LOOKUP(Semidetached!Q$2,'Window-U'!$A$4:$A$40,'Window-U'!$J$4:$J$40)*Semidetached!Q$22))*Q169</f>
        <v>372.44327949304</v>
      </c>
      <c r="R175" s="174">
        <f>((LOOKUP(Semidetached!R$2,'Ceiling-U'!$A$4:$A$40,'Ceiling-U'!$J$4:$J$40)*Semidetached!R$15)+(LOOKUP(Semidetached!R$2,'Floor-U'!$A$4:$A$40,'Floor-U'!$J$4:$J$40)*Semidetached!R$16)+(LOOKUP(Semidetached!R$2,'Wall-U'!$A$4:$A$40,'Wall-U'!$V$4:$V$40)*Semidetached!R$13)+(LOOKUP(Semidetached!R$2,'Window-U'!$A$4:$A$40,'Window-U'!$J$4:$J$40)*Semidetached!R$22))*R169</f>
        <v>412.22067288146144</v>
      </c>
      <c r="S175" s="174">
        <f>((LOOKUP(Semidetached!S$2,'Ceiling-U'!$A$4:$A$40,'Ceiling-U'!$J$4:$J$40)*Semidetached!S$15)+(LOOKUP(Semidetached!S$2,'Floor-U'!$A$4:$A$40,'Floor-U'!$J$4:$J$40)*Semidetached!S$16)+(LOOKUP(Semidetached!S$2,'Wall-U'!$A$4:$A$40,'Wall-U'!$V$4:$V$40)*Semidetached!S$13)+(LOOKUP(Semidetached!S$2,'Window-U'!$A$4:$A$40,'Window-U'!$J$4:$J$40)*Semidetached!S$22))*S169</f>
        <v>485.32560923104791</v>
      </c>
      <c r="T175" s="174">
        <f>((LOOKUP(Semidetached!T$2,'Ceiling-U'!$A$4:$A$40,'Ceiling-U'!$J$4:$J$40)*Semidetached!T$15)+(LOOKUP(Semidetached!T$2,'Floor-U'!$A$4:$A$40,'Floor-U'!$J$4:$J$40)*Semidetached!T$16)+(LOOKUP(Semidetached!T$2,'Wall-U'!$A$4:$A$40,'Wall-U'!$V$4:$V$40)*Semidetached!T$13)+(LOOKUP(Semidetached!T$2,'Window-U'!$A$4:$A$40,'Window-U'!$J$4:$J$40)*Semidetached!T$22))*T169</f>
        <v>307.39978930461336</v>
      </c>
      <c r="U175" s="174">
        <f>((LOOKUP(Semidetached!U$2,'Ceiling-U'!$A$4:$A$40,'Ceiling-U'!$J$4:$J$40)*Semidetached!U$15)+(LOOKUP(Semidetached!U$2,'Floor-U'!$A$4:$A$40,'Floor-U'!$J$4:$J$40)*Semidetached!U$16)+(LOOKUP(Semidetached!U$2,'Wall-U'!$A$4:$A$40,'Wall-U'!$V$4:$V$40)*Semidetached!U$13)+(LOOKUP(Semidetached!U$2,'Window-U'!$A$4:$A$40,'Window-U'!$J$4:$J$40)*Semidetached!U$22))*U169</f>
        <v>1277.4714185238274</v>
      </c>
      <c r="V175" s="174">
        <f>((LOOKUP(Semidetached!V$2,'Ceiling-U'!$A$4:$A$40,'Ceiling-U'!$J$4:$J$40)*Semidetached!V$15)+(LOOKUP(Semidetached!V$2,'Floor-U'!$A$4:$A$40,'Floor-U'!$J$4:$J$40)*Semidetached!V$16)+(LOOKUP(Semidetached!V$2,'Wall-U'!$A$4:$A$40,'Wall-U'!$V$4:$V$40)*Semidetached!V$13)+(LOOKUP(Semidetached!V$2,'Window-U'!$A$4:$A$40,'Window-U'!$J$4:$J$40)*Semidetached!V$22))*V169</f>
        <v>317.53297188168455</v>
      </c>
      <c r="W175" s="174">
        <f>((LOOKUP(Semidetached!W$2,'Ceiling-U'!$A$4:$A$40,'Ceiling-U'!$J$4:$J$40)*Semidetached!W$15)+(LOOKUP(Semidetached!W$2,'Floor-U'!$A$4:$A$40,'Floor-U'!$J$4:$J$40)*Semidetached!W$16)+(LOOKUP(Semidetached!W$2,'Wall-U'!$A$4:$A$40,'Wall-U'!$V$4:$V$40)*Semidetached!W$13)+(LOOKUP(Semidetached!W$2,'Window-U'!$A$4:$A$40,'Window-U'!$J$4:$J$40)*Semidetached!W$22))*W169</f>
        <v>242.70480416051868</v>
      </c>
      <c r="X175" s="174">
        <f>((LOOKUP(Semidetached!X$2,'Ceiling-U'!$A$4:$A$40,'Ceiling-U'!$J$4:$J$40)*Semidetached!X$15)+(LOOKUP(Semidetached!X$2,'Floor-U'!$A$4:$A$40,'Floor-U'!$J$4:$J$40)*Semidetached!X$16)+(LOOKUP(Semidetached!X$2,'Wall-U'!$A$4:$A$40,'Wall-U'!$V$4:$V$40)*Semidetached!X$13)+(LOOKUP(Semidetached!X$2,'Window-U'!$A$4:$A$40,'Window-U'!$J$4:$J$40)*Semidetached!X$22))*X169</f>
        <v>287.3273892251915</v>
      </c>
      <c r="Y175" s="174">
        <f>((LOOKUP(Semidetached!Y$2,'Ceiling-U'!$A$4:$A$40,'Ceiling-U'!$J$4:$J$40)*Semidetached!Y$15)+(LOOKUP(Semidetached!Y$2,'Floor-U'!$A$4:$A$40,'Floor-U'!$J$4:$J$40)*Semidetached!Y$16)+(LOOKUP(Semidetached!Y$2,'Wall-U'!$A$4:$A$40,'Wall-U'!$V$4:$V$40)*Semidetached!Y$13)+(LOOKUP(Semidetached!Y$2,'Window-U'!$A$4:$A$40,'Window-U'!$J$4:$J$40)*Semidetached!Y$22))*Y169</f>
        <v>1805.8794287725304</v>
      </c>
      <c r="Z175" s="174">
        <f>((LOOKUP(Semidetached!Z$2,'Ceiling-U'!$A$4:$A$40,'Ceiling-U'!$J$4:$J$40)*Semidetached!Z$15)+(LOOKUP(Semidetached!Z$2,'Floor-U'!$A$4:$A$40,'Floor-U'!$J$4:$J$40)*Semidetached!Z$16)+(LOOKUP(Semidetached!Z$2,'Wall-U'!$A$4:$A$40,'Wall-U'!$V$4:$V$40)*Semidetached!Z$13)+(LOOKUP(Semidetached!Z$2,'Window-U'!$A$4:$A$40,'Window-U'!$J$4:$J$40)*Semidetached!Z$22))*Z169</f>
        <v>554.54353644700075</v>
      </c>
      <c r="AA175" s="174">
        <f>((LOOKUP(Semidetached!AA$2,'Ceiling-U'!$A$4:$A$40,'Ceiling-U'!$J$4:$J$40)*Semidetached!AA$15)+(LOOKUP(Semidetached!AA$2,'Floor-U'!$A$4:$A$40,'Floor-U'!$J$4:$J$40)*Semidetached!AA$16)+(LOOKUP(Semidetached!AA$2,'Wall-U'!$A$4:$A$40,'Wall-U'!$V$4:$V$40)*Semidetached!AA$13)+(LOOKUP(Semidetached!AA$2,'Window-U'!$A$4:$A$40,'Window-U'!$J$4:$J$40)*Semidetached!AA$22))*AA169</f>
        <v>298.44593846246016</v>
      </c>
      <c r="AB175" s="174">
        <f>((LOOKUP(Semidetached!AB$2,'Ceiling-U'!$A$4:$A$40,'Ceiling-U'!$J$4:$J$40)*Semidetached!AB$15)+(LOOKUP(Semidetached!AB$2,'Floor-U'!$A$4:$A$40,'Floor-U'!$J$4:$J$40)*Semidetached!AB$16)+(LOOKUP(Semidetached!AB$2,'Wall-U'!$A$4:$A$40,'Wall-U'!$V$4:$V$40)*Semidetached!AB$13)+(LOOKUP(Semidetached!AB$2,'Window-U'!$A$4:$A$40,'Window-U'!$J$4:$J$40)*Semidetached!AB$22))*AB169</f>
        <v>580.62560137399817</v>
      </c>
      <c r="AC175" s="174">
        <f>((LOOKUP(Semidetached!AC$2,'Ceiling-U'!$A$4:$A$40,'Ceiling-U'!$J$4:$J$40)*Semidetached!AC$15)+(LOOKUP(Semidetached!AC$2,'Floor-U'!$A$4:$A$40,'Floor-U'!$J$4:$J$40)*Semidetached!AC$16)+(LOOKUP(Semidetached!AC$2,'Wall-U'!$A$4:$A$40,'Wall-U'!$V$4:$V$40)*Semidetached!AC$13)+(LOOKUP(Semidetached!AC$2,'Window-U'!$A$4:$A$40,'Window-U'!$J$4:$J$40)*Semidetached!AC$22))*AC169</f>
        <v>1253.9160418189635</v>
      </c>
      <c r="AD175" s="174">
        <f>((LOOKUP(Semidetached!AD$2,'Ceiling-U'!$A$4:$A$40,'Ceiling-U'!$J$4:$J$40)*Semidetached!AD$15)+(LOOKUP(Semidetached!AD$2,'Floor-U'!$A$4:$A$40,'Floor-U'!$J$4:$J$40)*Semidetached!AD$16)+(LOOKUP(Semidetached!AD$2,'Wall-U'!$A$4:$A$40,'Wall-U'!$V$4:$V$40)*Semidetached!AD$13)+(LOOKUP(Semidetached!AD$2,'Window-U'!$A$4:$A$40,'Window-U'!$J$4:$J$40)*Semidetached!AD$22))*AD169</f>
        <v>690.54154098259471</v>
      </c>
      <c r="AE175" s="174">
        <f>((LOOKUP(Semidetached!AE$2,'Ceiling-U'!$A$4:$A$40,'Ceiling-U'!$J$4:$J$40)*Semidetached!AE$15)+(LOOKUP(Semidetached!AE$2,'Floor-U'!$A$4:$A$40,'Floor-U'!$J$4:$J$40)*Semidetached!AE$16)+(LOOKUP(Semidetached!AE$2,'Wall-U'!$A$4:$A$40,'Wall-U'!$V$4:$V$40)*Semidetached!AE$13)+(LOOKUP(Semidetached!AE$2,'Window-U'!$A$4:$A$40,'Window-U'!$J$4:$J$40)*Semidetached!AE$22))*AE169</f>
        <v>294.27264439271403</v>
      </c>
      <c r="AF175" s="174">
        <f>((LOOKUP(Semidetached!AF$2,'Ceiling-U'!$A$4:$A$40,'Ceiling-U'!$J$4:$J$40)*Semidetached!AF$15)+(LOOKUP(Semidetached!AF$2,'Floor-U'!$A$4:$A$40,'Floor-U'!$J$4:$J$40)*Semidetached!AF$16)+(LOOKUP(Semidetached!AF$2,'Wall-U'!$A$4:$A$40,'Wall-U'!$V$4:$V$40)*Semidetached!AF$13)+(LOOKUP(Semidetached!AF$2,'Window-U'!$A$4:$A$40,'Window-U'!$J$4:$J$40)*Semidetached!AF$22))*AF169</f>
        <v>275.62331774233371</v>
      </c>
      <c r="AG175" s="174">
        <f>((LOOKUP(Semidetached!AG$2,'Ceiling-U'!$A$4:$A$40,'Ceiling-U'!$J$4:$J$40)*Semidetached!AG$15)+(LOOKUP(Semidetached!AG$2,'Floor-U'!$A$4:$A$40,'Floor-U'!$J$4:$J$40)*Semidetached!AG$16)+(LOOKUP(Semidetached!AG$2,'Wall-U'!$A$4:$A$40,'Wall-U'!$V$4:$V$40)*Semidetached!AG$13)+(LOOKUP(Semidetached!AG$2,'Window-U'!$A$4:$A$40,'Window-U'!$J$4:$J$40)*Semidetached!AG$22))*AG169</f>
        <v>577.6643782787163</v>
      </c>
      <c r="AH175" s="174">
        <f>((LOOKUP(Semidetached!AH$2,'Ceiling-U'!$A$4:$A$40,'Ceiling-U'!$J$4:$J$40)*Semidetached!AH$15)+(LOOKUP(Semidetached!AH$2,'Floor-U'!$A$4:$A$40,'Floor-U'!$J$4:$J$40)*Semidetached!AH$16)+(LOOKUP(Semidetached!AH$2,'Wall-U'!$A$4:$A$40,'Wall-U'!$V$4:$V$40)*Semidetached!AH$13)+(LOOKUP(Semidetached!AH$2,'Window-U'!$A$4:$A$40,'Window-U'!$J$4:$J$40)*Semidetached!AH$22))*AH169</f>
        <v>400.59665244779069</v>
      </c>
      <c r="AI175" s="174">
        <f>((LOOKUP(Semidetached!AI$2,'Ceiling-U'!$A$4:$A$40,'Ceiling-U'!$J$4:$J$40)*Semidetached!AI$15)+(LOOKUP(Semidetached!AI$2,'Floor-U'!$A$4:$A$40,'Floor-U'!$J$4:$J$40)*Semidetached!AI$16)+(LOOKUP(Semidetached!AI$2,'Wall-U'!$A$4:$A$40,'Wall-U'!$V$4:$V$40)*Semidetached!AI$13)+(LOOKUP(Semidetached!AI$2,'Window-U'!$A$4:$A$40,'Window-U'!$J$4:$J$40)*Semidetached!AI$22))*AI169</f>
        <v>676.78466828958483</v>
      </c>
      <c r="AJ175" s="174">
        <f>((LOOKUP(Semidetached!AJ$2,'Ceiling-U'!$A$4:$A$40,'Ceiling-U'!$J$4:$J$40)*Semidetached!AJ$15)+(LOOKUP(Semidetached!AJ$2,'Floor-U'!$A$4:$A$40,'Floor-U'!$J$4:$J$40)*Semidetached!AJ$16)+(LOOKUP(Semidetached!AJ$2,'Wall-U'!$A$4:$A$40,'Wall-U'!$V$4:$V$40)*Semidetached!AJ$13)+(LOOKUP(Semidetached!AJ$2,'Window-U'!$A$4:$A$40,'Window-U'!$J$4:$J$40)*Semidetached!AJ$22))*AJ169</f>
        <v>567.93078384282148</v>
      </c>
      <c r="AK175" s="174">
        <f>((LOOKUP(Semidetached!AK$2,'Ceiling-U'!$A$4:$A$40,'Ceiling-U'!$J$4:$J$40)*Semidetached!AK$15)+(LOOKUP(Semidetached!AK$2,'Floor-U'!$A$4:$A$40,'Floor-U'!$J$4:$J$40)*Semidetached!AK$16)+(LOOKUP(Semidetached!AK$2,'Wall-U'!$A$4:$A$40,'Wall-U'!$V$4:$V$40)*Semidetached!AK$13)+(LOOKUP(Semidetached!AK$2,'Window-U'!$A$4:$A$40,'Window-U'!$J$4:$J$40)*Semidetached!AK$22))*AK169</f>
        <v>692.49611747925576</v>
      </c>
      <c r="AL175" s="174">
        <f>((LOOKUP(Semidetached!AL$2,'Ceiling-U'!$A$4:$A$40,'Ceiling-U'!$J$4:$J$40)*Semidetached!AL$15)+(LOOKUP(Semidetached!AL$2,'Floor-U'!$A$4:$A$40,'Floor-U'!$J$4:$J$40)*Semidetached!AL$16)+(LOOKUP(Semidetached!AL$2,'Wall-U'!$A$4:$A$40,'Wall-U'!$V$4:$V$40)*Semidetached!AL$13)+(LOOKUP(Semidetached!AL$2,'Window-U'!$A$4:$A$40,'Window-U'!$J$4:$J$40)*Semidetached!AL$22))*AL169</f>
        <v>388.20537776709187</v>
      </c>
      <c r="AM175" s="174">
        <f>((LOOKUP(Semidetached!AM$2,'Ceiling-U'!$A$4:$A$40,'Ceiling-U'!$J$4:$J$40)*Semidetached!AM$15)+(LOOKUP(Semidetached!AM$2,'Floor-U'!$A$4:$A$40,'Floor-U'!$J$4:$J$40)*Semidetached!AM$16)+(LOOKUP(Semidetached!AM$2,'Wall-U'!$A$4:$A$40,'Wall-U'!$V$4:$V$40)*Semidetached!AM$13)+(LOOKUP(Semidetached!AM$2,'Window-U'!$A$4:$A$40,'Window-U'!$J$4:$J$40)*Semidetached!AM$22))*AM169</f>
        <v>567.93078384282148</v>
      </c>
      <c r="AN175" s="175">
        <f>((LOOKUP(Semidetached!AN$2,'Ceiling-U'!$A$4:$A$40,'Ceiling-U'!$J$4:$J$40)*Semidetached!AN$15)+(LOOKUP(Semidetached!AN$2,'Floor-U'!$A$4:$A$40,'Floor-U'!$J$4:$J$40)*Semidetached!AN$16)+(LOOKUP(Semidetached!AN$2,'Wall-U'!$A$4:$A$40,'Wall-U'!$V$4:$V$40)*Semidetached!AN$13)+(LOOKUP(Semidetached!AN$2,'Window-U'!$A$4:$A$40,'Window-U'!$J$4:$J$40)*Semidetached!AN$22))*AN169</f>
        <v>567.93078384282148</v>
      </c>
    </row>
    <row r="176" spans="1:40">
      <c r="A176" s="332" t="s">
        <v>280</v>
      </c>
      <c r="B176" s="142" t="s">
        <v>2</v>
      </c>
      <c r="C176" s="360" t="s">
        <v>261</v>
      </c>
      <c r="D176" s="351">
        <f>D170*24*LOOKUP(Semidetached!D$2,'HDD-by Country'!$A$4:$A$40,'HDD-by Country'!$C$4:$C$40)/1000/Semidetached!D$3</f>
        <v>16515.784229664267</v>
      </c>
      <c r="E176" s="352">
        <f>E170*24*LOOKUP(Semidetached!E$2,'HDD-by Country'!$A$4:$A$40,'HDD-by Country'!$C$4:$C$40)/1000/Semidetached!E$3</f>
        <v>17474.893143714522</v>
      </c>
      <c r="F176" s="352">
        <f>F170*24*LOOKUP(Semidetached!F$2,'HDD-by Country'!$A$4:$A$40,'HDD-by Country'!$C$4:$C$40)/1000/Semidetached!F$3</f>
        <v>8198.4474223939542</v>
      </c>
      <c r="G176" s="352">
        <f>G170*24*LOOKUP(Semidetached!G$2,'HDD-by Country'!$A$4:$A$40,'HDD-by Country'!$C$4:$C$40)/1000/Semidetached!G$3</f>
        <v>16677.446990212058</v>
      </c>
      <c r="H176" s="352">
        <f>H170*24*LOOKUP(Semidetached!H$2,'HDD-by Country'!$A$4:$A$40,'HDD-by Country'!$C$4:$C$40)/1000/Semidetached!H$3</f>
        <v>6809.979857921503</v>
      </c>
      <c r="I176" s="352">
        <f>I170*24*LOOKUP(Semidetached!I$2,'HDD-by Country'!$A$4:$A$40,'HDD-by Country'!$C$4:$C$40)/1000/Semidetached!I$3</f>
        <v>15105.519972227521</v>
      </c>
      <c r="J176" s="352">
        <f>J170*24*LOOKUP(Semidetached!J$2,'HDD-by Country'!$A$4:$A$40,'HDD-by Country'!$C$4:$C$40)/1000/Semidetached!J$3</f>
        <v>18616.896094117597</v>
      </c>
      <c r="K176" s="352">
        <f>K170*24*LOOKUP(Semidetached!K$2,'HDD-by Country'!$A$4:$A$40,'HDD-by Country'!$C$4:$C$40)/1000/Semidetached!K$3</f>
        <v>11484.913176032169</v>
      </c>
      <c r="L176" s="352">
        <f>L170*24*LOOKUP(Semidetached!L$2,'HDD-by Country'!$A$4:$A$40,'HDD-by Country'!$C$4:$C$40)/1000/Semidetached!L$3</f>
        <v>7956.8295520688907</v>
      </c>
      <c r="M176" s="352">
        <f>M170*24*LOOKUP(Semidetached!M$2,'HDD-by Country'!$A$4:$A$40,'HDD-by Country'!$C$4:$C$40)/1000/Semidetached!M$3</f>
        <v>15237.820283406045</v>
      </c>
      <c r="N176" s="352">
        <f>N170*24*LOOKUP(Semidetached!N$2,'HDD-by Country'!$A$4:$A$40,'HDD-by Country'!$C$4:$C$40)/1000/Semidetached!N$3</f>
        <v>13622.391202247003</v>
      </c>
      <c r="O176" s="352">
        <f>O170*24*LOOKUP(Semidetached!O$2,'HDD-by Country'!$A$4:$A$40,'HDD-by Country'!$C$4:$C$40)/1000/Semidetached!O$3</f>
        <v>20016.87711570938</v>
      </c>
      <c r="P176" s="352">
        <f>P170*24*LOOKUP(Semidetached!P$2,'HDD-by Country'!$A$4:$A$40,'HDD-by Country'!$C$4:$C$40)/1000/Semidetached!P$3</f>
        <v>13856.171151425793</v>
      </c>
      <c r="Q176" s="352">
        <f>Q170*24*LOOKUP(Semidetached!Q$2,'HDD-by Country'!$A$4:$A$40,'HDD-by Country'!$C$4:$C$40)/1000/Semidetached!Q$3</f>
        <v>8620.8125495739296</v>
      </c>
      <c r="R176" s="352">
        <f>R170*24*LOOKUP(Semidetached!R$2,'HDD-by Country'!$A$4:$A$40,'HDD-by Country'!$C$4:$C$40)/1000/Semidetached!R$3</f>
        <v>11211.223338902984</v>
      </c>
      <c r="S176" s="352">
        <f>S170*24*LOOKUP(Semidetached!S$2,'HDD-by Country'!$A$4:$A$40,'HDD-by Country'!$C$4:$C$40)/1000/Semidetached!S$3</f>
        <v>19000.557476814309</v>
      </c>
      <c r="T176" s="352">
        <f>T170*24*LOOKUP(Semidetached!T$2,'HDD-by Country'!$A$4:$A$40,'HDD-by Country'!$C$4:$C$40)/1000/Semidetached!T$3</f>
        <v>11676.880486969269</v>
      </c>
      <c r="U176" s="352">
        <f>U170*24*LOOKUP(Semidetached!U$2,'HDD-by Country'!$A$4:$A$40,'HDD-by Country'!$C$4:$C$40)/1000/Semidetached!U$3</f>
        <v>14831.388902411853</v>
      </c>
      <c r="V176" s="352">
        <f>V170*24*LOOKUP(Semidetached!V$2,'HDD-by Country'!$A$4:$A$40,'HDD-by Country'!$C$4:$C$40)/1000/Semidetached!V$3</f>
        <v>13538.58606708391</v>
      </c>
      <c r="W176" s="352">
        <f>W170*24*LOOKUP(Semidetached!W$2,'HDD-by Country'!$A$4:$A$40,'HDD-by Country'!$C$4:$C$40)/1000/Semidetached!W$3</f>
        <v>16797.781248016297</v>
      </c>
      <c r="X176" s="352">
        <f>X170*24*LOOKUP(Semidetached!X$2,'HDD-by Country'!$A$4:$A$40,'HDD-by Country'!$C$4:$C$40)/1000/Semidetached!X$3</f>
        <v>15771.748734962335</v>
      </c>
      <c r="Y176" s="352">
        <f>Y170*24*LOOKUP(Semidetached!Y$2,'HDD-by Country'!$A$4:$A$40,'HDD-by Country'!$C$4:$C$40)/1000/Semidetached!Y$3</f>
        <v>5045.7120270570558</v>
      </c>
      <c r="Z176" s="352">
        <f>Z170*24*LOOKUP(Semidetached!Z$2,'HDD-by Country'!$A$4:$A$40,'HDD-by Country'!$C$4:$C$40)/1000/Semidetached!Z$3</f>
        <v>21257.463297273272</v>
      </c>
      <c r="AA176" s="352">
        <f>AA170*24*LOOKUP(Semidetached!AA$2,'HDD-by Country'!$A$4:$A$40,'HDD-by Country'!$C$4:$C$40)/1000/Semidetached!AA$3</f>
        <v>12400.718325980757</v>
      </c>
      <c r="AB176" s="352">
        <f>AB170*24*LOOKUP(Semidetached!AB$2,'HDD-by Country'!$A$4:$A$40,'HDD-by Country'!$C$4:$C$40)/1000/Semidetached!AB$3</f>
        <v>18689.335940788544</v>
      </c>
      <c r="AC176" s="352">
        <f>AC170*24*LOOKUP(Semidetached!AC$2,'HDD-by Country'!$A$4:$A$40,'HDD-by Country'!$C$4:$C$40)/1000/Semidetached!AC$3</f>
        <v>11360.778435212245</v>
      </c>
      <c r="AD176" s="352">
        <f>AD170*24*LOOKUP(Semidetached!AD$2,'HDD-by Country'!$A$4:$A$40,'HDD-by Country'!$C$4:$C$40)/1000/Semidetached!AD$3</f>
        <v>12429.191506188428</v>
      </c>
      <c r="AE176" s="352">
        <f>AE170*24*LOOKUP(Semidetached!AE$2,'HDD-by Country'!$A$4:$A$40,'HDD-by Country'!$C$4:$C$40)/1000/Semidetached!AE$3</f>
        <v>11776.209719688219</v>
      </c>
      <c r="AF176" s="352">
        <f>AF170*24*LOOKUP(Semidetached!AF$2,'HDD-by Country'!$A$4:$A$40,'HDD-by Country'!$C$4:$C$40)/1000/Semidetached!AF$3</f>
        <v>12012.102527040903</v>
      </c>
      <c r="AG176" s="352">
        <f>AG170*24*LOOKUP(Semidetached!AG$2,'HDD-by Country'!$A$4:$A$40,'HDD-by Country'!$C$4:$C$40)/1000/Semidetached!AG$3</f>
        <v>20912.761701512347</v>
      </c>
      <c r="AH176" s="352">
        <f>AH170*24*LOOKUP(Semidetached!AH$2,'HDD-by Country'!$A$4:$A$40,'HDD-by Country'!$C$4:$C$40)/1000/Semidetached!AH$3</f>
        <v>15824.858791408267</v>
      </c>
      <c r="AI176" s="352">
        <f>AI170*24*LOOKUP(Semidetached!AI$2,'HDD-by Country'!$A$4:$A$40,'HDD-by Country'!$C$4:$C$40)/1000/Semidetached!AI$3</f>
        <v>13709.100835718325</v>
      </c>
      <c r="AJ176" s="352">
        <f>AJ170*24*LOOKUP(Semidetached!AJ$2,'HDD-by Country'!$A$4:$A$40,'HDD-by Country'!$C$4:$C$40)/1000/Semidetached!AJ$3</f>
        <v>8976.6323574733469</v>
      </c>
      <c r="AK176" s="352">
        <f>AK170*24*LOOKUP(Semidetached!AK$2,'HDD-by Country'!$A$4:$A$40,'HDD-by Country'!$C$4:$C$40)/1000/Semidetached!AK$3</f>
        <v>9864.7356260612887</v>
      </c>
      <c r="AL176" s="352">
        <f>AL170*24*LOOKUP(Semidetached!AL$2,'HDD-by Country'!$A$4:$A$40,'HDD-by Country'!$C$4:$C$40)/1000/Semidetached!AL$3</f>
        <v>8658.9092980828791</v>
      </c>
      <c r="AM176" s="352">
        <f>AM170*24*LOOKUP(Semidetached!AM$2,'HDD-by Country'!$A$4:$A$40,'HDD-by Country'!$C$4:$C$40)/1000/Semidetached!AM$3</f>
        <v>8254.6923834807949</v>
      </c>
      <c r="AN176" s="353">
        <f>AN170*24*LOOKUP(Semidetached!AN$2,'HDD-by Country'!$A$4:$A$40,'HDD-by Country'!$C$4:$C$40)/1000/Semidetached!AN$3</f>
        <v>8254.6923834807949</v>
      </c>
    </row>
    <row r="177" spans="1:40">
      <c r="A177" s="129"/>
      <c r="B177" s="142" t="s">
        <v>3</v>
      </c>
      <c r="C177" s="129" t="s">
        <v>261</v>
      </c>
      <c r="D177" s="345">
        <f>D171*24*LOOKUP(Semidetached!D$2,'HDD-by Country'!$A$4:$A$40,'HDD-by Country'!$C$4:$C$40)/1000/Semidetached!D$3</f>
        <v>16637.299796489708</v>
      </c>
      <c r="E177" s="349">
        <f>E171*24*LOOKUP(Semidetached!E$2,'HDD-by Country'!$A$4:$A$40,'HDD-by Country'!$C$4:$C$40)/1000/Semidetached!E$3</f>
        <v>17474.893143714522</v>
      </c>
      <c r="F177" s="349">
        <f>F171*24*LOOKUP(Semidetached!F$2,'HDD-by Country'!$A$4:$A$40,'HDD-by Country'!$C$4:$C$40)/1000/Semidetached!F$3</f>
        <v>8198.4474223939542</v>
      </c>
      <c r="G177" s="349">
        <f>G171*24*LOOKUP(Semidetached!G$2,'HDD-by Country'!$A$4:$A$40,'HDD-by Country'!$C$4:$C$40)/1000/Semidetached!G$3</f>
        <v>16807.4074401082</v>
      </c>
      <c r="H177" s="349">
        <f>H171*24*LOOKUP(Semidetached!H$2,'HDD-by Country'!$A$4:$A$40,'HDD-by Country'!$C$4:$C$40)/1000/Semidetached!H$3</f>
        <v>6763.5677368534489</v>
      </c>
      <c r="I177" s="349">
        <f>I171*24*LOOKUP(Semidetached!I$2,'HDD-by Country'!$A$4:$A$40,'HDD-by Country'!$C$4:$C$40)/1000/Semidetached!I$3</f>
        <v>11513.18709754593</v>
      </c>
      <c r="J177" s="349">
        <f>J171*24*LOOKUP(Semidetached!J$2,'HDD-by Country'!$A$4:$A$40,'HDD-by Country'!$C$4:$C$40)/1000/Semidetached!J$3</f>
        <v>17923.964833650829</v>
      </c>
      <c r="K177" s="349">
        <f>K171*24*LOOKUP(Semidetached!K$2,'HDD-by Country'!$A$4:$A$40,'HDD-by Country'!$C$4:$C$40)/1000/Semidetached!K$3</f>
        <v>10784.886180605103</v>
      </c>
      <c r="L177" s="349">
        <f>L171*24*LOOKUP(Semidetached!L$2,'HDD-by Country'!$A$4:$A$40,'HDD-by Country'!$C$4:$C$40)/1000/Semidetached!L$3</f>
        <v>7956.8295520688907</v>
      </c>
      <c r="M177" s="349">
        <f>M171*24*LOOKUP(Semidetached!M$2,'HDD-by Country'!$A$4:$A$40,'HDD-by Country'!$C$4:$C$40)/1000/Semidetached!M$3</f>
        <v>14182.728890925422</v>
      </c>
      <c r="N177" s="349">
        <f>N171*24*LOOKUP(Semidetached!N$2,'HDD-by Country'!$A$4:$A$40,'HDD-by Country'!$C$4:$C$40)/1000/Semidetached!N$3</f>
        <v>12024.692014427897</v>
      </c>
      <c r="O177" s="349">
        <f>O171*24*LOOKUP(Semidetached!O$2,'HDD-by Country'!$A$4:$A$40,'HDD-by Country'!$C$4:$C$40)/1000/Semidetached!O$3</f>
        <v>20016.87711570938</v>
      </c>
      <c r="P177" s="349">
        <f>P171*24*LOOKUP(Semidetached!P$2,'HDD-by Country'!$A$4:$A$40,'HDD-by Country'!$C$4:$C$40)/1000/Semidetached!P$3</f>
        <v>13856.171151425793</v>
      </c>
      <c r="Q177" s="349">
        <f>Q171*24*LOOKUP(Semidetached!Q$2,'HDD-by Country'!$A$4:$A$40,'HDD-by Country'!$C$4:$C$40)/1000/Semidetached!Q$3</f>
        <v>8722.2138761189981</v>
      </c>
      <c r="R177" s="349">
        <f>R171*24*LOOKUP(Semidetached!R$2,'HDD-by Country'!$A$4:$A$40,'HDD-by Country'!$C$4:$C$40)/1000/Semidetached!R$3</f>
        <v>11211.223338902984</v>
      </c>
      <c r="S177" s="349">
        <f>S171*24*LOOKUP(Semidetached!S$2,'HDD-by Country'!$A$4:$A$40,'HDD-by Country'!$C$4:$C$40)/1000/Semidetached!S$3</f>
        <v>19544.677751735675</v>
      </c>
      <c r="T177" s="349">
        <f>T171*24*LOOKUP(Semidetached!T$2,'HDD-by Country'!$A$4:$A$40,'HDD-by Country'!$C$4:$C$40)/1000/Semidetached!T$3</f>
        <v>10302.772113220632</v>
      </c>
      <c r="U177" s="349">
        <f>U171*24*LOOKUP(Semidetached!U$2,'HDD-by Country'!$A$4:$A$40,'HDD-by Country'!$C$4:$C$40)/1000/Semidetached!U$3</f>
        <v>14481.906744277492</v>
      </c>
      <c r="V177" s="349">
        <f>V171*24*LOOKUP(Semidetached!V$2,'HDD-by Country'!$A$4:$A$40,'HDD-by Country'!$C$4:$C$40)/1000/Semidetached!V$3</f>
        <v>13538.58606708391</v>
      </c>
      <c r="W177" s="349">
        <f>W171*24*LOOKUP(Semidetached!W$2,'HDD-by Country'!$A$4:$A$40,'HDD-by Country'!$C$4:$C$40)/1000/Semidetached!W$3</f>
        <v>13825.686325608562</v>
      </c>
      <c r="X177" s="349">
        <f>X171*24*LOOKUP(Semidetached!X$2,'HDD-by Country'!$A$4:$A$40,'HDD-by Country'!$C$4:$C$40)/1000/Semidetached!X$3</f>
        <v>15587.500734962339</v>
      </c>
      <c r="Y177" s="349">
        <f>Y171*24*LOOKUP(Semidetached!Y$2,'HDD-by Country'!$A$4:$A$40,'HDD-by Country'!$C$4:$C$40)/1000/Semidetached!Y$3</f>
        <v>5030.5698699523055</v>
      </c>
      <c r="Z177" s="349">
        <f>Z171*24*LOOKUP(Semidetached!Z$2,'HDD-by Country'!$A$4:$A$40,'HDD-by Country'!$C$4:$C$40)/1000/Semidetached!Z$3</f>
        <v>15974.831772756215</v>
      </c>
      <c r="AA177" s="349">
        <f>AA171*24*LOOKUP(Semidetached!AA$2,'HDD-by Country'!$A$4:$A$40,'HDD-by Country'!$C$4:$C$40)/1000/Semidetached!AA$3</f>
        <v>12353.706432716759</v>
      </c>
      <c r="AB177" s="349">
        <f>AB171*24*LOOKUP(Semidetached!AB$2,'HDD-by Country'!$A$4:$A$40,'HDD-by Country'!$C$4:$C$40)/1000/Semidetached!AB$3</f>
        <v>13348.355246423644</v>
      </c>
      <c r="AC177" s="349">
        <f>AC171*24*LOOKUP(Semidetached!AC$2,'HDD-by Country'!$A$4:$A$40,'HDD-by Country'!$C$4:$C$40)/1000/Semidetached!AC$3</f>
        <v>11249.412071629637</v>
      </c>
      <c r="AD177" s="349">
        <f>AD171*24*LOOKUP(Semidetached!AD$2,'HDD-by Country'!$A$4:$A$40,'HDD-by Country'!$C$4:$C$40)/1000/Semidetached!AD$3</f>
        <v>11259.525572924977</v>
      </c>
      <c r="AE177" s="349">
        <f>AE171*24*LOOKUP(Semidetached!AE$2,'HDD-by Country'!$A$4:$A$40,'HDD-by Country'!$C$4:$C$40)/1000/Semidetached!AE$3</f>
        <v>11730.879796392219</v>
      </c>
      <c r="AF177" s="349">
        <f>AF171*24*LOOKUP(Semidetached!AF$2,'HDD-by Country'!$A$4:$A$40,'HDD-by Country'!$C$4:$C$40)/1000/Semidetached!AF$3</f>
        <v>12012.102527040903</v>
      </c>
      <c r="AG177" s="349">
        <f>AG171*24*LOOKUP(Semidetached!AG$2,'HDD-by Country'!$A$4:$A$40,'HDD-by Country'!$C$4:$C$40)/1000/Semidetached!AG$3</f>
        <v>17696.634496266339</v>
      </c>
      <c r="AH177" s="349">
        <f>AH171*24*LOOKUP(Semidetached!AH$2,'HDD-by Country'!$A$4:$A$40,'HDD-by Country'!$C$4:$C$40)/1000/Semidetached!AH$3</f>
        <v>16290.765514389537</v>
      </c>
      <c r="AI177" s="349">
        <f>AI171*24*LOOKUP(Semidetached!AI$2,'HDD-by Country'!$A$4:$A$40,'HDD-by Country'!$C$4:$C$40)/1000/Semidetached!AI$3</f>
        <v>13709.100835718325</v>
      </c>
      <c r="AJ177" s="349">
        <f>AJ171*24*LOOKUP(Semidetached!AJ$2,'HDD-by Country'!$A$4:$A$40,'HDD-by Country'!$C$4:$C$40)/1000/Semidetached!AJ$3</f>
        <v>8976.6323574733469</v>
      </c>
      <c r="AK177" s="349">
        <f>AK171*24*LOOKUP(Semidetached!AK$2,'HDD-by Country'!$A$4:$A$40,'HDD-by Country'!$C$4:$C$40)/1000/Semidetached!AK$3</f>
        <v>9864.7356260612887</v>
      </c>
      <c r="AL177" s="349">
        <f>AL171*24*LOOKUP(Semidetached!AL$2,'HDD-by Country'!$A$4:$A$40,'HDD-by Country'!$C$4:$C$40)/1000/Semidetached!AL$3</f>
        <v>8658.9092980828791</v>
      </c>
      <c r="AM177" s="349">
        <f>AM171*24*LOOKUP(Semidetached!AM$2,'HDD-by Country'!$A$4:$A$40,'HDD-by Country'!$C$4:$C$40)/1000/Semidetached!AM$3</f>
        <v>8254.6923834807949</v>
      </c>
      <c r="AN177" s="354">
        <f>AN171*24*LOOKUP(Semidetached!AN$2,'HDD-by Country'!$A$4:$A$40,'HDD-by Country'!$C$4:$C$40)/1000/Semidetached!AN$3</f>
        <v>8254.6923834807949</v>
      </c>
    </row>
    <row r="178" spans="1:40">
      <c r="A178" s="129"/>
      <c r="B178" s="142" t="s">
        <v>4</v>
      </c>
      <c r="C178" s="129" t="s">
        <v>261</v>
      </c>
      <c r="D178" s="345">
        <f>D172*24*LOOKUP(Semidetached!D$2,'HDD-by Country'!$A$4:$A$40,'HDD-by Country'!$C$4:$C$40)/1000/Semidetached!D$3</f>
        <v>12734.562943537907</v>
      </c>
      <c r="E178" s="349">
        <f>E172*24*LOOKUP(Semidetached!E$2,'HDD-by Country'!$A$4:$A$40,'HDD-by Country'!$C$4:$C$40)/1000/Semidetached!E$3</f>
        <v>17474.893143714522</v>
      </c>
      <c r="F178" s="349">
        <f>F172*24*LOOKUP(Semidetached!F$2,'HDD-by Country'!$A$4:$A$40,'HDD-by Country'!$C$4:$C$40)/1000/Semidetached!F$3</f>
        <v>7771.892219048309</v>
      </c>
      <c r="G178" s="349">
        <f>G172*24*LOOKUP(Semidetached!G$2,'HDD-by Country'!$A$4:$A$40,'HDD-by Country'!$C$4:$C$40)/1000/Semidetached!G$3</f>
        <v>12839.726511690877</v>
      </c>
      <c r="H178" s="349">
        <f>H172*24*LOOKUP(Semidetached!H$2,'HDD-by Country'!$A$4:$A$40,'HDD-by Country'!$C$4:$C$40)/1000/Semidetached!H$3</f>
        <v>7225.7359637496338</v>
      </c>
      <c r="I178" s="349">
        <f>I172*24*LOOKUP(Semidetached!I$2,'HDD-by Country'!$A$4:$A$40,'HDD-by Country'!$C$4:$C$40)/1000/Semidetached!I$3</f>
        <v>11513.18709754593</v>
      </c>
      <c r="J178" s="349">
        <f>J172*24*LOOKUP(Semidetached!J$2,'HDD-by Country'!$A$4:$A$40,'HDD-by Country'!$C$4:$C$40)/1000/Semidetached!J$3</f>
        <v>10964.723504881802</v>
      </c>
      <c r="K178" s="349">
        <f>K172*24*LOOKUP(Semidetached!K$2,'HDD-by Country'!$A$4:$A$40,'HDD-by Country'!$C$4:$C$40)/1000/Semidetached!K$3</f>
        <v>7380.1093566234013</v>
      </c>
      <c r="L178" s="349">
        <f>L172*24*LOOKUP(Semidetached!L$2,'HDD-by Country'!$A$4:$A$40,'HDD-by Country'!$C$4:$C$40)/1000/Semidetached!L$3</f>
        <v>6529.7932868489215</v>
      </c>
      <c r="M178" s="349">
        <f>M172*24*LOOKUP(Semidetached!M$2,'HDD-by Country'!$A$4:$A$40,'HDD-by Country'!$C$4:$C$40)/1000/Semidetached!M$3</f>
        <v>14182.728890925422</v>
      </c>
      <c r="N178" s="349">
        <f>N172*24*LOOKUP(Semidetached!N$2,'HDD-by Country'!$A$4:$A$40,'HDD-by Country'!$C$4:$C$40)/1000/Semidetached!N$3</f>
        <v>10021.732697907208</v>
      </c>
      <c r="O178" s="349">
        <f>O172*24*LOOKUP(Semidetached!O$2,'HDD-by Country'!$A$4:$A$40,'HDD-by Country'!$C$4:$C$40)/1000/Semidetached!O$3</f>
        <v>8926.9527727655095</v>
      </c>
      <c r="P178" s="349">
        <f>P172*24*LOOKUP(Semidetached!P$2,'HDD-by Country'!$A$4:$A$40,'HDD-by Country'!$C$4:$C$40)/1000/Semidetached!P$3</f>
        <v>13856.171151425793</v>
      </c>
      <c r="Q178" s="349">
        <f>Q172*24*LOOKUP(Semidetached!Q$2,'HDD-by Country'!$A$4:$A$40,'HDD-by Country'!$C$4:$C$40)/1000/Semidetached!Q$3</f>
        <v>7875.8670091625681</v>
      </c>
      <c r="R178" s="349">
        <f>R172*24*LOOKUP(Semidetached!R$2,'HDD-by Country'!$A$4:$A$40,'HDD-by Country'!$C$4:$C$40)/1000/Semidetached!R$3</f>
        <v>10089.109715423256</v>
      </c>
      <c r="S178" s="349">
        <f>S172*24*LOOKUP(Semidetached!S$2,'HDD-by Country'!$A$4:$A$40,'HDD-by Country'!$C$4:$C$40)/1000/Semidetached!S$3</f>
        <v>14199.804106259553</v>
      </c>
      <c r="T178" s="349">
        <f>T172*24*LOOKUP(Semidetached!T$2,'HDD-by Country'!$A$4:$A$40,'HDD-by Country'!$C$4:$C$40)/1000/Semidetached!T$3</f>
        <v>8584.2188578231853</v>
      </c>
      <c r="U178" s="349">
        <f>U172*24*LOOKUP(Semidetached!U$2,'HDD-by Country'!$A$4:$A$40,'HDD-by Country'!$C$4:$C$40)/1000/Semidetached!U$3</f>
        <v>13224.850847343163</v>
      </c>
      <c r="V178" s="349">
        <f>V172*24*LOOKUP(Semidetached!V$2,'HDD-by Country'!$A$4:$A$40,'HDD-by Country'!$C$4:$C$40)/1000/Semidetached!V$3</f>
        <v>8861.2020183600707</v>
      </c>
      <c r="W178" s="349">
        <f>W172*24*LOOKUP(Semidetached!W$2,'HDD-by Country'!$A$4:$A$40,'HDD-by Country'!$C$4:$C$40)/1000/Semidetached!W$3</f>
        <v>8335.4331624643073</v>
      </c>
      <c r="X178" s="349">
        <f>X172*24*LOOKUP(Semidetached!X$2,'HDD-by Country'!$A$4:$A$40,'HDD-by Country'!$C$4:$C$40)/1000/Semidetached!X$3</f>
        <v>14498.416283485843</v>
      </c>
      <c r="Y178" s="349">
        <f>Y172*24*LOOKUP(Semidetached!Y$2,'HDD-by Country'!$A$4:$A$40,'HDD-by Country'!$C$4:$C$40)/1000/Semidetached!Y$3</f>
        <v>4944.6221298692481</v>
      </c>
      <c r="Z178" s="349">
        <f>Z172*24*LOOKUP(Semidetached!Z$2,'HDD-by Country'!$A$4:$A$40,'HDD-by Country'!$C$4:$C$40)/1000/Semidetached!Z$3</f>
        <v>14902.756225136522</v>
      </c>
      <c r="AA178" s="349">
        <f>AA172*24*LOOKUP(Semidetached!AA$2,'HDD-by Country'!$A$4:$A$40,'HDD-by Country'!$C$4:$C$40)/1000/Semidetached!AA$3</f>
        <v>8468.5071170566916</v>
      </c>
      <c r="AB178" s="349">
        <f>AB172*24*LOOKUP(Semidetached!AB$2,'HDD-by Country'!$A$4:$A$40,'HDD-by Country'!$C$4:$C$40)/1000/Semidetached!AB$3</f>
        <v>10116.014337820563</v>
      </c>
      <c r="AC178" s="349">
        <f>AC172*24*LOOKUP(Semidetached!AC$2,'HDD-by Country'!$A$4:$A$40,'HDD-by Country'!$C$4:$C$40)/1000/Semidetached!AC$3</f>
        <v>10904.360981469146</v>
      </c>
      <c r="AD178" s="349">
        <f>AD172*24*LOOKUP(Semidetached!AD$2,'HDD-by Country'!$A$4:$A$40,'HDD-by Country'!$C$4:$C$40)/1000/Semidetached!AD$3</f>
        <v>11259.525572924977</v>
      </c>
      <c r="AE178" s="349">
        <f>AE172*24*LOOKUP(Semidetached!AE$2,'HDD-by Country'!$A$4:$A$40,'HDD-by Country'!$C$4:$C$40)/1000/Semidetached!AE$3</f>
        <v>8061.4796529776904</v>
      </c>
      <c r="AF178" s="349">
        <f>AF172*24*LOOKUP(Semidetached!AF$2,'HDD-by Country'!$A$4:$A$40,'HDD-by Country'!$C$4:$C$40)/1000/Semidetached!AF$3</f>
        <v>10193.899072621018</v>
      </c>
      <c r="AG178" s="349">
        <f>AG172*24*LOOKUP(Semidetached!AG$2,'HDD-by Country'!$A$4:$A$40,'HDD-by Country'!$C$4:$C$40)/1000/Semidetached!AG$3</f>
        <v>17696.634496266339</v>
      </c>
      <c r="AH178" s="349">
        <f>AH172*24*LOOKUP(Semidetached!AH$2,'HDD-by Country'!$A$4:$A$40,'HDD-by Country'!$C$4:$C$40)/1000/Semidetached!AH$3</f>
        <v>11721.56660176372</v>
      </c>
      <c r="AI178" s="349">
        <f>AI172*24*LOOKUP(Semidetached!AI$2,'HDD-by Country'!$A$4:$A$40,'HDD-by Country'!$C$4:$C$40)/1000/Semidetached!AI$3</f>
        <v>13709.100835718325</v>
      </c>
      <c r="AJ178" s="349">
        <f>AJ172*24*LOOKUP(Semidetached!AJ$2,'HDD-by Country'!$A$4:$A$40,'HDD-by Country'!$C$4:$C$40)/1000/Semidetached!AJ$3</f>
        <v>8976.6323574733469</v>
      </c>
      <c r="AK178" s="349">
        <f>AK172*24*LOOKUP(Semidetached!AK$2,'HDD-by Country'!$A$4:$A$40,'HDD-by Country'!$C$4:$C$40)/1000/Semidetached!AK$3</f>
        <v>9864.7356260612887</v>
      </c>
      <c r="AL178" s="349">
        <f>AL172*24*LOOKUP(Semidetached!AL$2,'HDD-by Country'!$A$4:$A$40,'HDD-by Country'!$C$4:$C$40)/1000/Semidetached!AL$3</f>
        <v>8199.8578043118523</v>
      </c>
      <c r="AM178" s="349">
        <f>AM172*24*LOOKUP(Semidetached!AM$2,'HDD-by Country'!$A$4:$A$40,'HDD-by Country'!$C$4:$C$40)/1000/Semidetached!AM$3</f>
        <v>8254.6923834807949</v>
      </c>
      <c r="AN178" s="354">
        <f>AN172*24*LOOKUP(Semidetached!AN$2,'HDD-by Country'!$A$4:$A$40,'HDD-by Country'!$C$4:$C$40)/1000/Semidetached!AN$3</f>
        <v>8254.6923834807949</v>
      </c>
    </row>
    <row r="179" spans="1:40">
      <c r="A179" s="129"/>
      <c r="B179" s="142" t="s">
        <v>5</v>
      </c>
      <c r="C179" s="129" t="s">
        <v>261</v>
      </c>
      <c r="D179" s="345">
        <f>D173*24*LOOKUP(Semidetached!D$2,'HDD-by Country'!$A$4:$A$40,'HDD-by Country'!$C$4:$C$40)/1000/Semidetached!D$3</f>
        <v>8539.0617363492875</v>
      </c>
      <c r="E179" s="349">
        <f>E173*24*LOOKUP(Semidetached!E$2,'HDD-by Country'!$A$4:$A$40,'HDD-by Country'!$C$4:$C$40)/1000/Semidetached!E$3</f>
        <v>14417.969269187888</v>
      </c>
      <c r="F179" s="349">
        <f>F173*24*LOOKUP(Semidetached!F$2,'HDD-by Country'!$A$4:$A$40,'HDD-by Country'!$C$4:$C$40)/1000/Semidetached!F$3</f>
        <v>6866.1977903330699</v>
      </c>
      <c r="G179" s="349">
        <f>G173*24*LOOKUP(Semidetached!G$2,'HDD-by Country'!$A$4:$A$40,'HDD-by Country'!$C$4:$C$40)/1000/Semidetached!G$3</f>
        <v>8590.3803085956479</v>
      </c>
      <c r="H179" s="349">
        <f>H173*24*LOOKUP(Semidetached!H$2,'HDD-by Country'!$A$4:$A$40,'HDD-by Country'!$C$4:$C$40)/1000/Semidetached!H$3</f>
        <v>6889.5087588326933</v>
      </c>
      <c r="I179" s="349">
        <f>I173*24*LOOKUP(Semidetached!I$2,'HDD-by Country'!$A$4:$A$40,'HDD-by Country'!$C$4:$C$40)/1000/Semidetached!I$3</f>
        <v>10103.09729059761</v>
      </c>
      <c r="J179" s="349">
        <f>J173*24*LOOKUP(Semidetached!J$2,'HDD-by Country'!$A$4:$A$40,'HDD-by Country'!$C$4:$C$40)/1000/Semidetached!J$3</f>
        <v>7744.0854087756643</v>
      </c>
      <c r="K179" s="349">
        <f>K173*24*LOOKUP(Semidetached!K$2,'HDD-by Country'!$A$4:$A$40,'HDD-by Country'!$C$4:$C$40)/1000/Semidetached!K$3</f>
        <v>6287.2675466772062</v>
      </c>
      <c r="L179" s="349">
        <f>L173*24*LOOKUP(Semidetached!L$2,'HDD-by Country'!$A$4:$A$40,'HDD-by Country'!$C$4:$C$40)/1000/Semidetached!L$3</f>
        <v>4719.8450276694684</v>
      </c>
      <c r="M179" s="349">
        <f>M173*24*LOOKUP(Semidetached!M$2,'HDD-by Country'!$A$4:$A$40,'HDD-by Country'!$C$4:$C$40)/1000/Semidetached!M$3</f>
        <v>7975.620897550617</v>
      </c>
      <c r="N179" s="349">
        <f>N173*24*LOOKUP(Semidetached!N$2,'HDD-by Country'!$A$4:$A$40,'HDD-by Country'!$C$4:$C$40)/1000/Semidetached!N$3</f>
        <v>8276.0944221383761</v>
      </c>
      <c r="O179" s="349">
        <f>O173*24*LOOKUP(Semidetached!O$2,'HDD-by Country'!$A$4:$A$40,'HDD-by Country'!$C$4:$C$40)/1000/Semidetached!O$3</f>
        <v>7510.458658262829</v>
      </c>
      <c r="P179" s="349">
        <f>P173*24*LOOKUP(Semidetached!P$2,'HDD-by Country'!$A$4:$A$40,'HDD-by Country'!$C$4:$C$40)/1000/Semidetached!P$3</f>
        <v>13163.357544371487</v>
      </c>
      <c r="Q179" s="349">
        <f>Q173*24*LOOKUP(Semidetached!Q$2,'HDD-by Country'!$A$4:$A$40,'HDD-by Country'!$C$4:$C$40)/1000/Semidetached!Q$3</f>
        <v>7875.8670091625681</v>
      </c>
      <c r="R179" s="349">
        <f>R173*24*LOOKUP(Semidetached!R$2,'HDD-by Country'!$A$4:$A$40,'HDD-by Country'!$C$4:$C$40)/1000/Semidetached!R$3</f>
        <v>8043.3565804505861</v>
      </c>
      <c r="S179" s="349">
        <f>S173*24*LOOKUP(Semidetached!S$2,'HDD-by Country'!$A$4:$A$40,'HDD-by Country'!$C$4:$C$40)/1000/Semidetached!S$3</f>
        <v>8783.2797541738146</v>
      </c>
      <c r="T179" s="349">
        <f>T173*24*LOOKUP(Semidetached!T$2,'HDD-by Country'!$A$4:$A$40,'HDD-by Country'!$C$4:$C$40)/1000/Semidetached!T$3</f>
        <v>7088.8685028599175</v>
      </c>
      <c r="U179" s="349">
        <f>U173*24*LOOKUP(Semidetached!U$2,'HDD-by Country'!$A$4:$A$40,'HDD-by Country'!$C$4:$C$40)/1000/Semidetached!U$3</f>
        <v>11159.106742754697</v>
      </c>
      <c r="V179" s="349">
        <f>V173*24*LOOKUP(Semidetached!V$2,'HDD-by Country'!$A$4:$A$40,'HDD-by Country'!$C$4:$C$40)/1000/Semidetached!V$3</f>
        <v>8861.2020183600707</v>
      </c>
      <c r="W179" s="349">
        <f>W173*24*LOOKUP(Semidetached!W$2,'HDD-by Country'!$A$4:$A$40,'HDD-by Country'!$C$4:$C$40)/1000/Semidetached!W$3</f>
        <v>6744.018738758773</v>
      </c>
      <c r="X179" s="349">
        <f>X173*24*LOOKUP(Semidetached!X$2,'HDD-by Country'!$A$4:$A$40,'HDD-by Country'!$C$4:$C$40)/1000/Semidetached!X$3</f>
        <v>7856.9683656800944</v>
      </c>
      <c r="Y179" s="349">
        <f>Y173*24*LOOKUP(Semidetached!Y$2,'HDD-by Country'!$A$4:$A$40,'HDD-by Country'!$C$4:$C$40)/1000/Semidetached!Y$3</f>
        <v>4226.9163234065163</v>
      </c>
      <c r="Z179" s="349">
        <f>Z173*24*LOOKUP(Semidetached!Z$2,'HDD-by Country'!$A$4:$A$40,'HDD-by Country'!$C$4:$C$40)/1000/Semidetached!Z$3</f>
        <v>11231.591780561896</v>
      </c>
      <c r="AA179" s="349">
        <f>AA173*24*LOOKUP(Semidetached!AA$2,'HDD-by Country'!$A$4:$A$40,'HDD-by Country'!$C$4:$C$40)/1000/Semidetached!AA$3</f>
        <v>8358.7488770566888</v>
      </c>
      <c r="AB179" s="349">
        <f>AB173*24*LOOKUP(Semidetached!AB$2,'HDD-by Country'!$A$4:$A$40,'HDD-by Country'!$C$4:$C$40)/1000/Semidetached!AB$3</f>
        <v>10116.014337820563</v>
      </c>
      <c r="AC179" s="349">
        <f>AC173*24*LOOKUP(Semidetached!AC$2,'HDD-by Country'!$A$4:$A$40,'HDD-by Country'!$C$4:$C$40)/1000/Semidetached!AC$3</f>
        <v>10724.13016565878</v>
      </c>
      <c r="AD179" s="349">
        <f>AD173*24*LOOKUP(Semidetached!AD$2,'HDD-by Country'!$A$4:$A$40,'HDD-by Country'!$C$4:$C$40)/1000/Semidetached!AD$3</f>
        <v>10188.460898812582</v>
      </c>
      <c r="AE179" s="349">
        <f>AE173*24*LOOKUP(Semidetached!AE$2,'HDD-by Country'!$A$4:$A$40,'HDD-by Country'!$C$4:$C$40)/1000/Semidetached!AE$3</f>
        <v>7955.6482929776903</v>
      </c>
      <c r="AF179" s="349">
        <f>AF173*24*LOOKUP(Semidetached!AF$2,'HDD-by Country'!$A$4:$A$40,'HDD-by Country'!$C$4:$C$40)/1000/Semidetached!AF$3</f>
        <v>8715.9048161119808</v>
      </c>
      <c r="AG179" s="349">
        <f>AG173*24*LOOKUP(Semidetached!AG$2,'HDD-by Country'!$A$4:$A$40,'HDD-by Country'!$C$4:$C$40)/1000/Semidetached!AG$3</f>
        <v>15027.190225278433</v>
      </c>
      <c r="AH179" s="349">
        <f>AH173*24*LOOKUP(Semidetached!AH$2,'HDD-by Country'!$A$4:$A$40,'HDD-by Country'!$C$4:$C$40)/1000/Semidetached!AH$3</f>
        <v>7981.0611159063128</v>
      </c>
      <c r="AI179" s="349">
        <f>AI173*24*LOOKUP(Semidetached!AI$2,'HDD-by Country'!$A$4:$A$40,'HDD-by Country'!$C$4:$C$40)/1000/Semidetached!AI$3</f>
        <v>13016.287228664019</v>
      </c>
      <c r="AJ179" s="349">
        <f>AJ173*24*LOOKUP(Semidetached!AJ$2,'HDD-by Country'!$A$4:$A$40,'HDD-by Country'!$C$4:$C$40)/1000/Semidetached!AJ$3</f>
        <v>7825.4728315533566</v>
      </c>
      <c r="AK179" s="349">
        <f>AK173*24*LOOKUP(Semidetached!AK$2,'HDD-by Country'!$A$4:$A$40,'HDD-by Country'!$C$4:$C$40)/1000/Semidetached!AK$3</f>
        <v>8500.7454807414051</v>
      </c>
      <c r="AL179" s="349">
        <f>AL173*24*LOOKUP(Semidetached!AL$2,'HDD-by Country'!$A$4:$A$40,'HDD-by Country'!$C$4:$C$40)/1000/Semidetached!AL$3</f>
        <v>7226.7897092124658</v>
      </c>
      <c r="AM179" s="349">
        <f>AM173*24*LOOKUP(Semidetached!AM$2,'HDD-by Country'!$A$4:$A$40,'HDD-by Country'!$C$4:$C$40)/1000/Semidetached!AM$3</f>
        <v>7196.1141336015971</v>
      </c>
      <c r="AN179" s="354">
        <f>AN173*24*LOOKUP(Semidetached!AN$2,'HDD-by Country'!$A$4:$A$40,'HDD-by Country'!$C$4:$C$40)/1000/Semidetached!AN$3</f>
        <v>7196.1141336015971</v>
      </c>
    </row>
    <row r="180" spans="1:40">
      <c r="A180" s="129"/>
      <c r="B180" s="142" t="s">
        <v>6</v>
      </c>
      <c r="C180" s="129" t="s">
        <v>261</v>
      </c>
      <c r="D180" s="345">
        <f>D174*24*LOOKUP(Semidetached!D$2,'HDD-by Country'!$A$4:$A$40,'HDD-by Country'!$C$4:$C$40)/1000/Semidetached!D$3</f>
        <v>7503.6350954654708</v>
      </c>
      <c r="E180" s="349">
        <f>E174*24*LOOKUP(Semidetached!E$2,'HDD-by Country'!$A$4:$A$40,'HDD-by Country'!$C$4:$C$40)/1000/Semidetached!E$3</f>
        <v>14417.969269187888</v>
      </c>
      <c r="F180" s="349">
        <f>F174*24*LOOKUP(Semidetached!F$2,'HDD-by Country'!$A$4:$A$40,'HDD-by Country'!$C$4:$C$40)/1000/Semidetached!F$3</f>
        <v>5197.6220042995528</v>
      </c>
      <c r="G180" s="349">
        <f>G174*24*LOOKUP(Semidetached!G$2,'HDD-by Country'!$A$4:$A$40,'HDD-by Country'!$C$4:$C$40)/1000/Semidetached!G$3</f>
        <v>7549.3081693882959</v>
      </c>
      <c r="H180" s="349">
        <f>H174*24*LOOKUP(Semidetached!H$2,'HDD-by Country'!$A$4:$A$40,'HDD-by Country'!$C$4:$C$40)/1000/Semidetached!H$3</f>
        <v>6180.0783588326931</v>
      </c>
      <c r="I180" s="349">
        <f>I174*24*LOOKUP(Semidetached!I$2,'HDD-by Country'!$A$4:$A$40,'HDD-by Country'!$C$4:$C$40)/1000/Semidetached!I$3</f>
        <v>7763.9029194230234</v>
      </c>
      <c r="J180" s="349">
        <f>J174*24*LOOKUP(Semidetached!J$2,'HDD-by Country'!$A$4:$A$40,'HDD-by Country'!$C$4:$C$40)/1000/Semidetached!J$3</f>
        <v>4785.2489947428912</v>
      </c>
      <c r="K180" s="349">
        <f>K174*24*LOOKUP(Semidetached!K$2,'HDD-by Country'!$A$4:$A$40,'HDD-by Country'!$C$4:$C$40)/1000/Semidetached!K$3</f>
        <v>6287.2675466772062</v>
      </c>
      <c r="L180" s="349">
        <f>L174*24*LOOKUP(Semidetached!L$2,'HDD-by Country'!$A$4:$A$40,'HDD-by Country'!$C$4:$C$40)/1000/Semidetached!L$3</f>
        <v>3918.4386224438535</v>
      </c>
      <c r="M180" s="349">
        <f>M174*24*LOOKUP(Semidetached!M$2,'HDD-by Country'!$A$4:$A$40,'HDD-by Country'!$C$4:$C$40)/1000/Semidetached!M$3</f>
        <v>7975.620897550617</v>
      </c>
      <c r="N180" s="349">
        <f>N174*24*LOOKUP(Semidetached!N$2,'HDD-by Country'!$A$4:$A$40,'HDD-by Country'!$C$4:$C$40)/1000/Semidetached!N$3</f>
        <v>8146.2186960640547</v>
      </c>
      <c r="O180" s="349">
        <f>O174*24*LOOKUP(Semidetached!O$2,'HDD-by Country'!$A$4:$A$40,'HDD-by Country'!$C$4:$C$40)/1000/Semidetached!O$3</f>
        <v>4473.4662964695062</v>
      </c>
      <c r="P180" s="349">
        <f>P174*24*LOOKUP(Semidetached!P$2,'HDD-by Country'!$A$4:$A$40,'HDD-by Country'!$C$4:$C$40)/1000/Semidetached!P$3</f>
        <v>13163.357544371487</v>
      </c>
      <c r="Q180" s="349">
        <f>Q174*24*LOOKUP(Semidetached!Q$2,'HDD-by Country'!$A$4:$A$40,'HDD-by Country'!$C$4:$C$40)/1000/Semidetached!Q$3</f>
        <v>5696.2296488342472</v>
      </c>
      <c r="R180" s="349">
        <f>R174*24*LOOKUP(Semidetached!R$2,'HDD-by Country'!$A$4:$A$40,'HDD-by Country'!$C$4:$C$40)/1000/Semidetached!R$3</f>
        <v>8043.3565804505861</v>
      </c>
      <c r="S180" s="349">
        <f>S174*24*LOOKUP(Semidetached!S$2,'HDD-by Country'!$A$4:$A$40,'HDD-by Country'!$C$4:$C$40)/1000/Semidetached!S$3</f>
        <v>8330.4613624149224</v>
      </c>
      <c r="T180" s="349">
        <f>T174*24*LOOKUP(Semidetached!T$2,'HDD-by Country'!$A$4:$A$40,'HDD-by Country'!$C$4:$C$40)/1000/Semidetached!T$3</f>
        <v>6977.2518229967936</v>
      </c>
      <c r="U180" s="349">
        <f>U174*24*LOOKUP(Semidetached!U$2,'HDD-by Country'!$A$4:$A$40,'HDD-by Country'!$C$4:$C$40)/1000/Semidetached!U$3</f>
        <v>10497.320663641856</v>
      </c>
      <c r="V180" s="349">
        <f>V174*24*LOOKUP(Semidetached!V$2,'HDD-by Country'!$A$4:$A$40,'HDD-by Country'!$C$4:$C$40)/1000/Semidetached!V$3</f>
        <v>8861.2020183600707</v>
      </c>
      <c r="W180" s="349">
        <f>W174*24*LOOKUP(Semidetached!W$2,'HDD-by Country'!$A$4:$A$40,'HDD-by Country'!$C$4:$C$40)/1000/Semidetached!W$3</f>
        <v>5757.2671743638302</v>
      </c>
      <c r="X180" s="349">
        <f>X174*24*LOOKUP(Semidetached!X$2,'HDD-by Country'!$A$4:$A$40,'HDD-by Country'!$C$4:$C$40)/1000/Semidetached!X$3</f>
        <v>7627.6975782635063</v>
      </c>
      <c r="Y180" s="349">
        <f>Y174*24*LOOKUP(Semidetached!Y$2,'HDD-by Country'!$A$4:$A$40,'HDD-by Country'!$C$4:$C$40)/1000/Semidetached!Y$3</f>
        <v>4090.5522201785975</v>
      </c>
      <c r="Z180" s="349">
        <f>Z174*24*LOOKUP(Semidetached!Z$2,'HDD-by Country'!$A$4:$A$40,'HDD-by Country'!$C$4:$C$40)/1000/Semidetached!Z$3</f>
        <v>9985.4249498648551</v>
      </c>
      <c r="AA180" s="349">
        <f>AA174*24*LOOKUP(Semidetached!AA$2,'HDD-by Country'!$A$4:$A$40,'HDD-by Country'!$C$4:$C$40)/1000/Semidetached!AA$3</f>
        <v>7556.4751070681996</v>
      </c>
      <c r="AB180" s="349">
        <f>AB174*24*LOOKUP(Semidetached!AB$2,'HDD-by Country'!$A$4:$A$40,'HDD-by Country'!$C$4:$C$40)/1000/Semidetached!AB$3</f>
        <v>10116.014337820563</v>
      </c>
      <c r="AC180" s="349">
        <f>AC174*24*LOOKUP(Semidetached!AC$2,'HDD-by Country'!$A$4:$A$40,'HDD-by Country'!$C$4:$C$40)/1000/Semidetached!AC$3</f>
        <v>10097.450447738773</v>
      </c>
      <c r="AD180" s="349">
        <f>AD174*24*LOOKUP(Semidetached!AD$2,'HDD-by Country'!$A$4:$A$40,'HDD-by Country'!$C$4:$C$40)/1000/Semidetached!AD$3</f>
        <v>10188.460898812582</v>
      </c>
      <c r="AE180" s="349">
        <f>AE174*24*LOOKUP(Semidetached!AE$2,'HDD-by Country'!$A$4:$A$40,'HDD-by Country'!$C$4:$C$40)/1000/Semidetached!AE$3</f>
        <v>7195.2453527437401</v>
      </c>
      <c r="AF180" s="349">
        <f>AF174*24*LOOKUP(Semidetached!AF$2,'HDD-by Country'!$A$4:$A$40,'HDD-by Country'!$C$4:$C$40)/1000/Semidetached!AF$3</f>
        <v>6137.8808468959678</v>
      </c>
      <c r="AG180" s="349">
        <f>AG174*24*LOOKUP(Semidetached!AG$2,'HDD-by Country'!$A$4:$A$40,'HDD-by Country'!$C$4:$C$40)/1000/Semidetached!AG$3</f>
        <v>12822.343628872162</v>
      </c>
      <c r="AH180" s="349">
        <f>AH174*24*LOOKUP(Semidetached!AH$2,'HDD-by Country'!$A$4:$A$40,'HDD-by Country'!$C$4:$C$40)/1000/Semidetached!AH$3</f>
        <v>5987.426341605099</v>
      </c>
      <c r="AI180" s="349">
        <f>AI174*24*LOOKUP(Semidetached!AI$2,'HDD-by Country'!$A$4:$A$40,'HDD-by Country'!$C$4:$C$40)/1000/Semidetached!AI$3</f>
        <v>13016.287228664019</v>
      </c>
      <c r="AJ180" s="349">
        <f>AJ174*24*LOOKUP(Semidetached!AJ$2,'HDD-by Country'!$A$4:$A$40,'HDD-by Country'!$C$4:$C$40)/1000/Semidetached!AJ$3</f>
        <v>7474.1519809720294</v>
      </c>
      <c r="AK180" s="349">
        <f>AK174*24*LOOKUP(Semidetached!AK$2,'HDD-by Country'!$A$4:$A$40,'HDD-by Country'!$C$4:$C$40)/1000/Semidetached!AK$3</f>
        <v>8068.5928056487164</v>
      </c>
      <c r="AL180" s="349">
        <f>AL174*24*LOOKUP(Semidetached!AL$2,'HDD-by Country'!$A$4:$A$40,'HDD-by Country'!$C$4:$C$40)/1000/Semidetached!AL$3</f>
        <v>5430.210885549659</v>
      </c>
      <c r="AM180" s="349">
        <f>AM174*24*LOOKUP(Semidetached!AM$2,'HDD-by Country'!$A$4:$A$40,'HDD-by Country'!$C$4:$C$40)/1000/Semidetached!AM$3</f>
        <v>6873.0480399972075</v>
      </c>
      <c r="AN180" s="354">
        <f>AN174*24*LOOKUP(Semidetached!AN$2,'HDD-by Country'!$A$4:$A$40,'HDD-by Country'!$C$4:$C$40)/1000/Semidetached!AN$3</f>
        <v>6873.0480399972075</v>
      </c>
    </row>
    <row r="181" spans="1:40">
      <c r="A181" s="130"/>
      <c r="B181" s="142" t="s">
        <v>7</v>
      </c>
      <c r="C181" s="129" t="s">
        <v>261</v>
      </c>
      <c r="D181" s="345">
        <f>D175*24*LOOKUP(Semidetached!D$2,'HDD-by Country'!$A$4:$A$40,'HDD-by Country'!$C$4:$C$40)/1000/Semidetached!D$3</f>
        <v>6403.3504463861718</v>
      </c>
      <c r="E181" s="349">
        <f>E175*24*LOOKUP(Semidetached!E$2,'HDD-by Country'!$A$4:$A$40,'HDD-by Country'!$C$4:$C$40)/1000/Semidetached!E$3</f>
        <v>8578.4499367970984</v>
      </c>
      <c r="F181" s="349">
        <f>F175*24*LOOKUP(Semidetached!F$2,'HDD-by Country'!$A$4:$A$40,'HDD-by Country'!$C$4:$C$40)/1000/Semidetached!F$3</f>
        <v>3994.528472625198</v>
      </c>
      <c r="G181" s="349">
        <f>G175*24*LOOKUP(Semidetached!G$2,'HDD-by Country'!$A$4:$A$40,'HDD-by Country'!$C$4:$C$40)/1000/Semidetached!G$3</f>
        <v>6433.3274939141193</v>
      </c>
      <c r="H181" s="349">
        <f>H175*24*LOOKUP(Semidetached!H$2,'HDD-by Country'!$A$4:$A$40,'HDD-by Country'!$C$4:$C$40)/1000/Semidetached!H$3</f>
        <v>4665.9832156456223</v>
      </c>
      <c r="I181" s="349">
        <f>I175*24*LOOKUP(Semidetached!I$2,'HDD-by Country'!$A$4:$A$40,'HDD-by Country'!$C$4:$C$40)/1000/Semidetached!I$3</f>
        <v>5828.2067368530761</v>
      </c>
      <c r="J181" s="349">
        <f>J175*24*LOOKUP(Semidetached!J$2,'HDD-by Country'!$A$4:$A$40,'HDD-by Country'!$C$4:$C$40)/1000/Semidetached!J$3</f>
        <v>5072.4286316806474</v>
      </c>
      <c r="K181" s="349">
        <f>K175*24*LOOKUP(Semidetached!K$2,'HDD-by Country'!$A$4:$A$40,'HDD-by Country'!$C$4:$C$40)/1000/Semidetached!K$3</f>
        <v>4344.0273731710722</v>
      </c>
      <c r="L181" s="349">
        <f>L175*24*LOOKUP(Semidetached!L$2,'HDD-by Country'!$A$4:$A$40,'HDD-by Country'!$C$4:$C$40)/1000/Semidetached!L$3</f>
        <v>3918.4386224438535</v>
      </c>
      <c r="M181" s="349">
        <f>M175*24*LOOKUP(Semidetached!M$2,'HDD-by Country'!$A$4:$A$40,'HDD-by Country'!$C$4:$C$40)/1000/Semidetached!M$3</f>
        <v>5954.9937103760813</v>
      </c>
      <c r="N181" s="349">
        <f>N175*24*LOOKUP(Semidetached!N$2,'HDD-by Country'!$A$4:$A$40,'HDD-by Country'!$C$4:$C$40)/1000/Semidetached!N$3</f>
        <v>7143.9226307132403</v>
      </c>
      <c r="O181" s="349">
        <f>O175*24*LOOKUP(Semidetached!O$2,'HDD-by Country'!$A$4:$A$40,'HDD-by Country'!$C$4:$C$40)/1000/Semidetached!O$3</f>
        <v>4319.629075463492</v>
      </c>
      <c r="P181" s="349">
        <f>P175*24*LOOKUP(Semidetached!P$2,'HDD-by Country'!$A$4:$A$40,'HDD-by Country'!$C$4:$C$40)/1000/Semidetached!P$3</f>
        <v>4587.9217979666837</v>
      </c>
      <c r="Q181" s="349">
        <f>Q175*24*LOOKUP(Semidetached!Q$2,'HDD-by Country'!$A$4:$A$40,'HDD-by Country'!$C$4:$C$40)/1000/Semidetached!Q$3</f>
        <v>3865.9612411377552</v>
      </c>
      <c r="R181" s="349">
        <f>R175*24*LOOKUP(Semidetached!R$2,'HDD-by Country'!$A$4:$A$40,'HDD-by Country'!$C$4:$C$40)/1000/Semidetached!R$3</f>
        <v>4818.035224638521</v>
      </c>
      <c r="S181" s="349">
        <f>S175*24*LOOKUP(Semidetached!S$2,'HDD-by Country'!$A$4:$A$40,'HDD-by Country'!$C$4:$C$40)/1000/Semidetached!S$3</f>
        <v>5641.4248817017005</v>
      </c>
      <c r="T181" s="349">
        <f>T175*24*LOOKUP(Semidetached!T$2,'HDD-by Country'!$A$4:$A$40,'HDD-by Country'!$C$4:$C$40)/1000/Semidetached!T$3</f>
        <v>6118.4854063190251</v>
      </c>
      <c r="U181" s="349">
        <f>U175*24*LOOKUP(Semidetached!U$2,'HDD-by Country'!$A$4:$A$40,'HDD-by Country'!$C$4:$C$40)/1000/Semidetached!U$3</f>
        <v>10071.584663641856</v>
      </c>
      <c r="V181" s="349">
        <f>V175*24*LOOKUP(Semidetached!V$2,'HDD-by Country'!$A$4:$A$40,'HDD-by Country'!$C$4:$C$40)/1000/Semidetached!V$3</f>
        <v>5199.9199475344658</v>
      </c>
      <c r="W181" s="349">
        <f>W175*24*LOOKUP(Semidetached!W$2,'HDD-by Country'!$A$4:$A$40,'HDD-by Country'!$C$4:$C$40)/1000/Semidetached!W$3</f>
        <v>4674.4945281315895</v>
      </c>
      <c r="X181" s="349">
        <f>X175*24*LOOKUP(Semidetached!X$2,'HDD-by Country'!$A$4:$A$40,'HDD-by Country'!$C$4:$C$40)/1000/Semidetached!X$3</f>
        <v>4901.8052601817662</v>
      </c>
      <c r="Y181" s="349">
        <f>Y175*24*LOOKUP(Semidetached!Y$2,'HDD-by Country'!$A$4:$A$40,'HDD-by Country'!$C$4:$C$40)/1000/Semidetached!Y$3</f>
        <v>4045.169920450468</v>
      </c>
      <c r="Z181" s="349">
        <f>Z175*24*LOOKUP(Semidetached!Z$2,'HDD-by Country'!$A$4:$A$40,'HDD-by Country'!$C$4:$C$40)/1000/Semidetached!Z$3</f>
        <v>6437.1413710767838</v>
      </c>
      <c r="AA181" s="349">
        <f>AA175*24*LOOKUP(Semidetached!AA$2,'HDD-by Country'!$A$4:$A$40,'HDD-by Country'!$C$4:$C$40)/1000/Semidetached!AA$3</f>
        <v>6740.1030742362009</v>
      </c>
      <c r="AB181" s="349">
        <f>AB175*24*LOOKUP(Semidetached!AB$2,'HDD-by Country'!$A$4:$A$40,'HDD-by Country'!$C$4:$C$40)/1000/Semidetached!AB$3</f>
        <v>8398.16869827351</v>
      </c>
      <c r="AC181" s="349">
        <f>AC175*24*LOOKUP(Semidetached!AC$2,'HDD-by Country'!$A$4:$A$40,'HDD-by Country'!$C$4:$C$40)/1000/Semidetached!AC$3</f>
        <v>6430.0814624476443</v>
      </c>
      <c r="AD181" s="349">
        <f>AD175*24*LOOKUP(Semidetached!AD$2,'HDD-by Country'!$A$4:$A$40,'HDD-by Country'!$C$4:$C$40)/1000/Semidetached!AD$3</f>
        <v>8642.8179269381562</v>
      </c>
      <c r="AE181" s="349">
        <f>AE175*24*LOOKUP(Semidetached!AE$2,'HDD-by Country'!$A$4:$A$40,'HDD-by Country'!$C$4:$C$40)/1000/Semidetached!AE$3</f>
        <v>6408.0811042957403</v>
      </c>
      <c r="AF181" s="349">
        <f>AF175*24*LOOKUP(Semidetached!AF$2,'HDD-by Country'!$A$4:$A$40,'HDD-by Country'!$C$4:$C$40)/1000/Semidetached!AF$3</f>
        <v>3365.9119562693791</v>
      </c>
      <c r="AG181" s="349">
        <f>AG175*24*LOOKUP(Semidetached!AG$2,'HDD-by Country'!$A$4:$A$40,'HDD-by Country'!$C$4:$C$40)/1000/Semidetached!AG$3</f>
        <v>7978.7003927856285</v>
      </c>
      <c r="AH181" s="349">
        <f>AH175*24*LOOKUP(Semidetached!AH$2,'HDD-by Country'!$A$4:$A$40,'HDD-by Country'!$C$4:$C$40)/1000/Semidetached!AH$3</f>
        <v>4991.4342894994716</v>
      </c>
      <c r="AI181" s="349">
        <f>AI175*24*LOOKUP(Semidetached!AI$2,'HDD-by Country'!$A$4:$A$40,'HDD-by Country'!$C$4:$C$40)/1000/Semidetached!AI$3</f>
        <v>4501.9716134623186</v>
      </c>
      <c r="AJ181" s="349">
        <f>AJ175*24*LOOKUP(Semidetached!AJ$2,'HDD-by Country'!$A$4:$A$40,'HDD-by Country'!$C$4:$C$40)/1000/Semidetached!AJ$3</f>
        <v>6637.9750015548971</v>
      </c>
      <c r="AK181" s="349">
        <f>AK175*24*LOOKUP(Semidetached!AK$2,'HDD-by Country'!$A$4:$A$40,'HDD-by Country'!$C$4:$C$40)/1000/Semidetached!AK$3</f>
        <v>7188.1096994346744</v>
      </c>
      <c r="AL181" s="349">
        <f>AL175*24*LOOKUP(Semidetached!AL$2,'HDD-by Country'!$A$4:$A$40,'HDD-by Country'!$C$4:$C$40)/1000/Semidetached!AL$3</f>
        <v>4172.4314002407036</v>
      </c>
      <c r="AM181" s="349">
        <f>AM175*24*LOOKUP(Semidetached!AM$2,'HDD-by Country'!$A$4:$A$40,'HDD-by Country'!$C$4:$C$40)/1000/Semidetached!AM$3</f>
        <v>6104.1200647426458</v>
      </c>
      <c r="AN181" s="354">
        <f>AN175*24*LOOKUP(Semidetached!AN$2,'HDD-by Country'!$A$4:$A$40,'HDD-by Country'!$C$4:$C$40)/1000/Semidetached!AN$3</f>
        <v>6104.1200647426458</v>
      </c>
    </row>
    <row r="182" spans="1:40">
      <c r="A182" s="151" t="s">
        <v>260</v>
      </c>
      <c r="B182" s="141" t="s">
        <v>2</v>
      </c>
      <c r="C182" s="360" t="s">
        <v>261</v>
      </c>
      <c r="D182" s="351">
        <f>D176/(1.355*(D170/Semidetached!D$17)^0.16)</f>
        <v>12299.415526402945</v>
      </c>
      <c r="E182" s="352">
        <f>E176/(1.355*(E170/Semidetached!E$17)^0.16)</f>
        <v>12481.133873927283</v>
      </c>
      <c r="F182" s="352">
        <f>F176/(1.355*(F170/Semidetached!F$17)^0.16)</f>
        <v>6029.9868845671899</v>
      </c>
      <c r="G182" s="352">
        <f>G176/(1.355*(G170/Semidetached!G$17)^0.16)</f>
        <v>12422.219619948666</v>
      </c>
      <c r="H182" s="352">
        <f>H176/(1.355*(H170/Semidetached!H$17)^0.16)</f>
        <v>4451.2695214571913</v>
      </c>
      <c r="I182" s="352">
        <f>I176/(1.355*(I170/Semidetached!I$17)^0.16)</f>
        <v>11164.641520418671</v>
      </c>
      <c r="J182" s="352">
        <f>J176/(1.355*(J170/Semidetached!J$17)^0.16)</f>
        <v>13273.847926701961</v>
      </c>
      <c r="K182" s="352">
        <f>K176/(1.355*(K170/Semidetached!K$17)^0.16)</f>
        <v>9171.0865169289955</v>
      </c>
      <c r="L182" s="352">
        <f>L176/(1.355*(L170/Semidetached!L$17)^0.16)</f>
        <v>6605.5541432935579</v>
      </c>
      <c r="M182" s="352">
        <f>M176/(1.355*(M170/Semidetached!M$17)^0.16)</f>
        <v>10346.18176628822</v>
      </c>
      <c r="N182" s="352">
        <f>N176/(1.355*(N170/Semidetached!N$17)^0.16)</f>
        <v>11054.645655714723</v>
      </c>
      <c r="O182" s="352">
        <f>O176/(1.355*(O170/Semidetached!O$17)^0.16)</f>
        <v>13571.69562595633</v>
      </c>
      <c r="P182" s="352">
        <f>P176/(1.355*(P170/Semidetached!P$17)^0.16)</f>
        <v>9139.1402136152064</v>
      </c>
      <c r="Q182" s="352">
        <f>Q176/(1.355*(Q170/Semidetached!Q$17)^0.16)</f>
        <v>6301.0913902021812</v>
      </c>
      <c r="R182" s="352">
        <f>R176/(1.355*(R170/Semidetached!R$17)^0.16)</f>
        <v>8319.9643968871351</v>
      </c>
      <c r="S182" s="352">
        <f>S176/(1.355*(S170/Semidetached!S$17)^0.16)</f>
        <v>13462.086313104814</v>
      </c>
      <c r="T182" s="352">
        <f>T176/(1.355*(T170/Semidetached!T$17)^0.16)</f>
        <v>9478.0318737335056</v>
      </c>
      <c r="U182" s="352">
        <f>U176/(1.355*(U170/Semidetached!U$17)^0.16)</f>
        <v>10194.266453452812</v>
      </c>
      <c r="V182" s="352">
        <f>V176/(1.355*(V170/Semidetached!V$17)^0.16)</f>
        <v>10354.618765394696</v>
      </c>
      <c r="W182" s="352">
        <f>W176/(1.355*(W170/Semidetached!W$17)^0.16)</f>
        <v>11936.105532153406</v>
      </c>
      <c r="X182" s="352">
        <f>X176/(1.355*(X170/Semidetached!X$17)^0.16)</f>
        <v>11823.505686040711</v>
      </c>
      <c r="Y182" s="352">
        <f>Y176/(1.355*(Y170/Semidetached!Y$17)^0.16)</f>
        <v>3354.1954357747009</v>
      </c>
      <c r="Z182" s="352">
        <f>Z176/(1.355*(Z170/Semidetached!Z$17)^0.16)</f>
        <v>14846.189133187039</v>
      </c>
      <c r="AA182" s="352">
        <f>AA176/(1.355*(AA170/Semidetached!AA$17)^0.16)</f>
        <v>10490.894689914408</v>
      </c>
      <c r="AB182" s="352">
        <f>AB176/(1.355*(AB170/Semidetached!AB$17)^0.16)</f>
        <v>13280.31784047257</v>
      </c>
      <c r="AC182" s="352">
        <f>AC176/(1.355*(AC170/Semidetached!AC$17)^0.16)</f>
        <v>7619.6263981369293</v>
      </c>
      <c r="AD182" s="352">
        <f>AD176/(1.355*(AD170/Semidetached!AD$17)^0.16)</f>
        <v>8879.8621293517172</v>
      </c>
      <c r="AE182" s="352">
        <f>AE176/(1.355*(AE170/Semidetached!AE$17)^0.16)</f>
        <v>9954.8914862568254</v>
      </c>
      <c r="AF182" s="352">
        <f>AF176/(1.355*(AF170/Semidetached!AF$17)^0.16)</f>
        <v>8901.7615004349791</v>
      </c>
      <c r="AG182" s="352">
        <f>AG176/(1.355*(AG170/Semidetached!AG$17)^0.16)</f>
        <v>14468.962175766526</v>
      </c>
      <c r="AH182" s="352">
        <f>AH176/(1.355*(AH170/Semidetached!AH$17)^0.16)</f>
        <v>11202.223461657</v>
      </c>
      <c r="AI182" s="352">
        <f>AI176/(1.355*(AI170/Semidetached!AI$17)^0.16)</f>
        <v>9003.8382722598744</v>
      </c>
      <c r="AJ182" s="352">
        <f>AJ176/(1.355*(AJ170/Semidetached!AJ$17)^0.16)</f>
        <v>6643.8135110195544</v>
      </c>
      <c r="AK182" s="352">
        <f>AK176/(1.355*(AK170/Semidetached!AK$17)^0.16)</f>
        <v>7333.1597614602515</v>
      </c>
      <c r="AL182" s="352">
        <f>AL176/(1.355*(AL170/Semidetached!AL$17)^0.16)</f>
        <v>6374.8213205796847</v>
      </c>
      <c r="AM182" s="352">
        <f>AM176/(1.355*(AM170/Semidetached!AM$17)^0.16)</f>
        <v>6109.489015780131</v>
      </c>
      <c r="AN182" s="353">
        <f>AN176/(1.355*(AN170/Semidetached!AN$17)^0.16)</f>
        <v>6109.489015780131</v>
      </c>
    </row>
    <row r="183" spans="1:40">
      <c r="A183" s="129"/>
      <c r="B183" s="142" t="s">
        <v>3</v>
      </c>
      <c r="C183" s="129" t="s">
        <v>261</v>
      </c>
      <c r="D183" s="345">
        <f>D177/(1.355*(D171/Semidetached!D$17)^0.16)</f>
        <v>12375.385416676785</v>
      </c>
      <c r="E183" s="349">
        <f>E177/(1.355*(E171/Semidetached!E$17)^0.16)</f>
        <v>12481.133873927283</v>
      </c>
      <c r="F183" s="349">
        <f>F177/(1.355*(F171/Semidetached!F$17)^0.16)</f>
        <v>6029.9868845671899</v>
      </c>
      <c r="G183" s="349">
        <f>G177/(1.355*(G171/Semidetached!G$17)^0.16)</f>
        <v>12503.482107526026</v>
      </c>
      <c r="H183" s="349">
        <f>H177/(1.355*(H171/Semidetached!H$17)^0.16)</f>
        <v>4425.7726957032164</v>
      </c>
      <c r="I183" s="349">
        <f>I177/(1.355*(I171/Semidetached!I$17)^0.16)</f>
        <v>8887.4073175532503</v>
      </c>
      <c r="J183" s="349">
        <f>J177/(1.355*(J171/Semidetached!J$17)^0.16)</f>
        <v>12857.583600002356</v>
      </c>
      <c r="K183" s="349">
        <f>K177/(1.355*(K171/Semidetached!K$17)^0.16)</f>
        <v>8699.1853491188285</v>
      </c>
      <c r="L183" s="349">
        <f>L177/(1.355*(L171/Semidetached!L$17)^0.16)</f>
        <v>6605.5541432935579</v>
      </c>
      <c r="M183" s="349">
        <f>M177/(1.355*(M171/Semidetached!M$17)^0.16)</f>
        <v>9740.9910756035533</v>
      </c>
      <c r="N183" s="349">
        <f>N177/(1.355*(N171/Semidetached!N$17)^0.16)</f>
        <v>9954.8367366068615</v>
      </c>
      <c r="O183" s="349">
        <f>O177/(1.355*(O171/Semidetached!O$17)^0.16)</f>
        <v>13571.69562595633</v>
      </c>
      <c r="P183" s="349">
        <f>P177/(1.355*(P171/Semidetached!P$17)^0.16)</f>
        <v>9139.1402136152064</v>
      </c>
      <c r="Q183" s="349">
        <f>Q177/(1.355*(Q171/Semidetached!Q$17)^0.16)</f>
        <v>6363.2904025199823</v>
      </c>
      <c r="R183" s="349">
        <f>R177/(1.355*(R171/Semidetached!R$17)^0.16)</f>
        <v>8319.9643968871351</v>
      </c>
      <c r="S183" s="349">
        <f>S177/(1.355*(S171/Semidetached!S$17)^0.16)</f>
        <v>13785.184857671313</v>
      </c>
      <c r="T183" s="349">
        <f>T177/(1.355*(T171/Semidetached!T$17)^0.16)</f>
        <v>8531.8863559740275</v>
      </c>
      <c r="U183" s="349">
        <f>U177/(1.355*(U171/Semidetached!U$17)^0.16)</f>
        <v>9992.1024125618442</v>
      </c>
      <c r="V183" s="349">
        <f>V177/(1.355*(V171/Semidetached!V$17)^0.16)</f>
        <v>10354.618765394696</v>
      </c>
      <c r="W183" s="349">
        <f>W177/(1.355*(W171/Semidetached!W$17)^0.16)</f>
        <v>10135.095927675457</v>
      </c>
      <c r="X183" s="349">
        <f>X177/(1.355*(X171/Semidetached!X$17)^0.16)</f>
        <v>11707.372586648224</v>
      </c>
      <c r="Y183" s="349">
        <f>Y177/(1.355*(Y171/Semidetached!Y$17)^0.16)</f>
        <v>3345.7380272156247</v>
      </c>
      <c r="Z183" s="349">
        <f>Z177/(1.355*(Z171/Semidetached!Z$17)^0.16)</f>
        <v>11678.629143297738</v>
      </c>
      <c r="AA183" s="349">
        <f>AA177/(1.355*(AA171/Semidetached!AA$17)^0.16)</f>
        <v>10457.476370897655</v>
      </c>
      <c r="AB183" s="349">
        <f>AB177/(1.355*(AB171/Semidetached!AB$17)^0.16)</f>
        <v>10009.881430682453</v>
      </c>
      <c r="AC183" s="349">
        <f>AC177/(1.355*(AC171/Semidetached!AC$17)^0.16)</f>
        <v>7556.834927189374</v>
      </c>
      <c r="AD183" s="349">
        <f>AD177/(1.355*(AD171/Semidetached!AD$17)^0.16)</f>
        <v>8172.4275844934291</v>
      </c>
      <c r="AE183" s="349">
        <f>AE177/(1.355*(AE171/Semidetached!AE$17)^0.16)</f>
        <v>9922.6934647775688</v>
      </c>
      <c r="AF183" s="349">
        <f>AF177/(1.355*(AF171/Semidetached!AF$17)^0.16)</f>
        <v>8901.7615004349791</v>
      </c>
      <c r="AG183" s="349">
        <f>AG177/(1.355*(AG171/Semidetached!AG$17)^0.16)</f>
        <v>12575.347267836947</v>
      </c>
      <c r="AH183" s="349">
        <f>AH177/(1.355*(AH171/Semidetached!AH$17)^0.16)</f>
        <v>11478.618367519708</v>
      </c>
      <c r="AI183" s="349">
        <f>AI177/(1.355*(AI171/Semidetached!AI$17)^0.16)</f>
        <v>9003.8382722598744</v>
      </c>
      <c r="AJ183" s="349">
        <f>AJ177/(1.355*(AJ171/Semidetached!AJ$17)^0.16)</f>
        <v>6643.8135110195544</v>
      </c>
      <c r="AK183" s="349">
        <f>AK177/(1.355*(AK171/Semidetached!AK$17)^0.16)</f>
        <v>7333.1597614602515</v>
      </c>
      <c r="AL183" s="349">
        <f>AL177/(1.355*(AL171/Semidetached!AL$17)^0.16)</f>
        <v>6374.8213205796847</v>
      </c>
      <c r="AM183" s="349">
        <f>AM177/(1.355*(AM171/Semidetached!AM$17)^0.16)</f>
        <v>6109.489015780131</v>
      </c>
      <c r="AN183" s="354">
        <f>AN177/(1.355*(AN171/Semidetached!AN$17)^0.16)</f>
        <v>6109.489015780131</v>
      </c>
    </row>
    <row r="184" spans="1:40">
      <c r="A184" s="129"/>
      <c r="B184" s="142" t="s">
        <v>4</v>
      </c>
      <c r="C184" s="129" t="s">
        <v>261</v>
      </c>
      <c r="D184" s="345">
        <f>D178/(1.355*(D172/Semidetached!D$17)^0.16)</f>
        <v>9886.3445717770392</v>
      </c>
      <c r="E184" s="349">
        <f>E178/(1.355*(E172/Semidetached!E$17)^0.16)</f>
        <v>12481.133873927283</v>
      </c>
      <c r="F184" s="349">
        <f>F178/(1.355*(F172/Semidetached!F$17)^0.16)</f>
        <v>5765.3316664613267</v>
      </c>
      <c r="G184" s="349">
        <f>G178/(1.355*(G172/Semidetached!G$17)^0.16)</f>
        <v>9972.3431632233314</v>
      </c>
      <c r="H184" s="349">
        <f>H178/(1.355*(H172/Semidetached!H$17)^0.16)</f>
        <v>4678.4538541655238</v>
      </c>
      <c r="I184" s="349">
        <f>I178/(1.355*(I172/Semidetached!I$17)^0.16)</f>
        <v>8887.4073175532503</v>
      </c>
      <c r="J184" s="349">
        <f>J178/(1.355*(J172/Semidetached!J$17)^0.16)</f>
        <v>8508.8875066200144</v>
      </c>
      <c r="K184" s="349">
        <f>K178/(1.355*(K172/Semidetached!K$17)^0.16)</f>
        <v>6325.3747166234671</v>
      </c>
      <c r="L184" s="349">
        <f>L178/(1.355*(L172/Semidetached!L$17)^0.16)</f>
        <v>5595.0392090953401</v>
      </c>
      <c r="M184" s="349">
        <f>M178/(1.355*(M172/Semidetached!M$17)^0.16)</f>
        <v>9740.9910756035533</v>
      </c>
      <c r="N184" s="349">
        <f>N178/(1.355*(N172/Semidetached!N$17)^0.16)</f>
        <v>8542.0867678527393</v>
      </c>
      <c r="O184" s="349">
        <f>O178/(1.355*(O172/Semidetached!O$17)^0.16)</f>
        <v>6887.3462820396444</v>
      </c>
      <c r="P184" s="349">
        <f>P178/(1.355*(P172/Semidetached!P$17)^0.16)</f>
        <v>9139.1402136152064</v>
      </c>
      <c r="Q184" s="349">
        <f>Q178/(1.355*(Q172/Semidetached!Q$17)^0.16)</f>
        <v>5840.4447947103745</v>
      </c>
      <c r="R184" s="349">
        <f>R178/(1.355*(R172/Semidetached!R$17)^0.16)</f>
        <v>7614.6392652884524</v>
      </c>
      <c r="S184" s="349">
        <f>S178/(1.355*(S172/Semidetached!S$17)^0.16)</f>
        <v>10540.611798286543</v>
      </c>
      <c r="T184" s="349">
        <f>T178/(1.355*(T172/Semidetached!T$17)^0.16)</f>
        <v>7319.3460372199934</v>
      </c>
      <c r="U184" s="349">
        <f>U178/(1.355*(U172/Semidetached!U$17)^0.16)</f>
        <v>9258.305493855205</v>
      </c>
      <c r="V184" s="349">
        <f>V178/(1.355*(V172/Semidetached!V$17)^0.16)</f>
        <v>7252.8108080078464</v>
      </c>
      <c r="W184" s="349">
        <f>W178/(1.355*(W172/Semidetached!W$17)^0.16)</f>
        <v>6625.6837347117498</v>
      </c>
      <c r="X184" s="349">
        <f>X178/(1.355*(X172/Semidetached!X$17)^0.16)</f>
        <v>11016.318045940916</v>
      </c>
      <c r="Y184" s="349">
        <f>Y178/(1.355*(Y172/Semidetached!Y$17)^0.16)</f>
        <v>3297.6556823374945</v>
      </c>
      <c r="Z184" s="349">
        <f>Z178/(1.355*(Z172/Semidetached!Z$17)^0.16)</f>
        <v>11016.644188333717</v>
      </c>
      <c r="AA184" s="349">
        <f>AA178/(1.355*(AA172/Semidetached!AA$17)^0.16)</f>
        <v>7615.0882245611238</v>
      </c>
      <c r="AB184" s="349">
        <f>AB178/(1.355*(AB172/Semidetached!AB$17)^0.16)</f>
        <v>7930.0795581637803</v>
      </c>
      <c r="AC184" s="349">
        <f>AC178/(1.355*(AC172/Semidetached!AC$17)^0.16)</f>
        <v>7361.6483275804594</v>
      </c>
      <c r="AD184" s="349">
        <f>AD178/(1.355*(AD172/Semidetached!AD$17)^0.16)</f>
        <v>8172.4275844934291</v>
      </c>
      <c r="AE184" s="349">
        <f>AE178/(1.355*(AE172/Semidetached!AE$17)^0.16)</f>
        <v>7240.6955035012734</v>
      </c>
      <c r="AF184" s="349">
        <f>AF178/(1.355*(AF172/Semidetached!AF$17)^0.16)</f>
        <v>7755.3579134509791</v>
      </c>
      <c r="AG184" s="349">
        <f>AG178/(1.355*(AG172/Semidetached!AG$17)^0.16)</f>
        <v>12575.347267836947</v>
      </c>
      <c r="AH184" s="349">
        <f>AH178/(1.355*(AH172/Semidetached!AH$17)^0.16)</f>
        <v>8705.7605392740352</v>
      </c>
      <c r="AI184" s="349">
        <f>AI178/(1.355*(AI172/Semidetached!AI$17)^0.16)</f>
        <v>9003.8382722598744</v>
      </c>
      <c r="AJ184" s="349">
        <f>AJ178/(1.355*(AJ172/Semidetached!AJ$17)^0.16)</f>
        <v>6643.8135110195544</v>
      </c>
      <c r="AK184" s="349">
        <f>AK178/(1.355*(AK172/Semidetached!AK$17)^0.16)</f>
        <v>7333.1597614602515</v>
      </c>
      <c r="AL184" s="349">
        <f>AL178/(1.355*(AL172/Semidetached!AL$17)^0.16)</f>
        <v>6089.7048804287988</v>
      </c>
      <c r="AM184" s="349">
        <f>AM178/(1.355*(AM172/Semidetached!AM$17)^0.16)</f>
        <v>6109.489015780131</v>
      </c>
      <c r="AN184" s="354">
        <f>AN178/(1.355*(AN172/Semidetached!AN$17)^0.16)</f>
        <v>6109.489015780131</v>
      </c>
    </row>
    <row r="185" spans="1:40">
      <c r="A185" s="129"/>
      <c r="B185" s="142" t="s">
        <v>5</v>
      </c>
      <c r="C185" s="129" t="s">
        <v>261</v>
      </c>
      <c r="D185" s="345">
        <f>D179/(1.355*(D173/Semidetached!D$17)^0.16)</f>
        <v>7066.9769473295146</v>
      </c>
      <c r="E185" s="349">
        <f>E179/(1.355*(E173/Semidetached!E$17)^0.16)</f>
        <v>10619.529545993395</v>
      </c>
      <c r="F185" s="349">
        <f>F179/(1.355*(F173/Semidetached!F$17)^0.16)</f>
        <v>5195.4540768871702</v>
      </c>
      <c r="G185" s="349">
        <f>G179/(1.355*(G173/Semidetached!G$17)^0.16)</f>
        <v>7115.0961576883274</v>
      </c>
      <c r="H185" s="349">
        <f>H179/(1.355*(H173/Semidetached!H$17)^0.16)</f>
        <v>4494.8948005171569</v>
      </c>
      <c r="I185" s="349">
        <f>I179/(1.355*(I173/Semidetached!I$17)^0.16)</f>
        <v>7963.6583845554569</v>
      </c>
      <c r="J185" s="349">
        <f>J179/(1.355*(J173/Semidetached!J$17)^0.16)</f>
        <v>6353.450337898631</v>
      </c>
      <c r="K185" s="349">
        <f>K179/(1.355*(K173/Semidetached!K$17)^0.16)</f>
        <v>5528.6810942092561</v>
      </c>
      <c r="L185" s="349">
        <f>L179/(1.355*(L173/Semidetached!L$17)^0.16)</f>
        <v>4259.777462379554</v>
      </c>
      <c r="M185" s="349">
        <f>M179/(1.355*(M173/Semidetached!M$17)^0.16)</f>
        <v>6006.3010270755203</v>
      </c>
      <c r="N185" s="349">
        <f>N179/(1.355*(N173/Semidetached!N$17)^0.16)</f>
        <v>7273.5324541109258</v>
      </c>
      <c r="O185" s="349">
        <f>O179/(1.355*(O173/Semidetached!O$17)^0.16)</f>
        <v>5956.9098276777395</v>
      </c>
      <c r="P185" s="349">
        <f>P179/(1.355*(P173/Semidetached!P$17)^0.16)</f>
        <v>8753.7276167843738</v>
      </c>
      <c r="Q185" s="349">
        <f>Q179/(1.355*(Q173/Semidetached!Q$17)^0.16)</f>
        <v>5840.4447947103745</v>
      </c>
      <c r="R185" s="349">
        <f>R179/(1.355*(R173/Semidetached!R$17)^0.16)</f>
        <v>6294.7762141752637</v>
      </c>
      <c r="S185" s="349">
        <f>S179/(1.355*(S173/Semidetached!S$17)^0.16)</f>
        <v>7040.7720412727722</v>
      </c>
      <c r="T185" s="349">
        <f>T179/(1.355*(T173/Semidetached!T$17)^0.16)</f>
        <v>6232.2983620101641</v>
      </c>
      <c r="U185" s="349">
        <f>U179/(1.355*(U173/Semidetached!U$17)^0.16)</f>
        <v>8027.3458090931108</v>
      </c>
      <c r="V185" s="349">
        <f>V179/(1.355*(V173/Semidetached!V$17)^0.16)</f>
        <v>7252.8108080078464</v>
      </c>
      <c r="W185" s="349">
        <f>W179/(1.355*(W173/Semidetached!W$17)^0.16)</f>
        <v>5545.5267104958202</v>
      </c>
      <c r="X185" s="349">
        <f>X179/(1.355*(X173/Semidetached!X$17)^0.16)</f>
        <v>6584.7818977018387</v>
      </c>
      <c r="Y185" s="349">
        <f>Y179/(1.355*(Y173/Semidetached!Y$17)^0.16)</f>
        <v>2890.6357086187791</v>
      </c>
      <c r="Z185" s="349">
        <f>Z179/(1.355*(Z173/Semidetached!Z$17)^0.16)</f>
        <v>8687.1252229179245</v>
      </c>
      <c r="AA185" s="349">
        <f>AA179/(1.355*(AA173/Semidetached!AA$17)^0.16)</f>
        <v>7532.0961076352132</v>
      </c>
      <c r="AB185" s="349">
        <f>AB179/(1.355*(AB173/Semidetached!AB$17)^0.16)</f>
        <v>7930.0795581637803</v>
      </c>
      <c r="AC185" s="349">
        <f>AC179/(1.355*(AC173/Semidetached!AC$17)^0.16)</f>
        <v>7259.3047125694829</v>
      </c>
      <c r="AD185" s="349">
        <f>AD179/(1.355*(AD173/Semidetached!AD$17)^0.16)</f>
        <v>7514.2460863622009</v>
      </c>
      <c r="AE185" s="349">
        <f>AE179/(1.355*(AE173/Semidetached!AE$17)^0.16)</f>
        <v>7160.7641089915014</v>
      </c>
      <c r="AF185" s="349">
        <f>AF179/(1.355*(AF173/Semidetached!AF$17)^0.16)</f>
        <v>6799.2099374183708</v>
      </c>
      <c r="AG185" s="349">
        <f>AG179/(1.355*(AG173/Semidetached!AG$17)^0.16)</f>
        <v>10961.478929752293</v>
      </c>
      <c r="AH185" s="349">
        <f>AH179/(1.355*(AH173/Semidetached!AH$17)^0.16)</f>
        <v>6303.615255538537</v>
      </c>
      <c r="AI185" s="349">
        <f>AI179/(1.355*(AI173/Semidetached!AI$17)^0.16)</f>
        <v>8620.0410466072826</v>
      </c>
      <c r="AJ185" s="349">
        <f>AJ179/(1.355*(AJ173/Semidetached!AJ$17)^0.16)</f>
        <v>5920.3998482410725</v>
      </c>
      <c r="AK185" s="349">
        <f>AK179/(1.355*(AK173/Semidetached!AK$17)^0.16)</f>
        <v>6471.4747237873808</v>
      </c>
      <c r="AL185" s="349">
        <f>AL179/(1.355*(AL173/Semidetached!AL$17)^0.16)</f>
        <v>5476.6260414741091</v>
      </c>
      <c r="AM185" s="349">
        <f>AM179/(1.355*(AM173/Semidetached!AM$17)^0.16)</f>
        <v>5444.2554388171657</v>
      </c>
      <c r="AN185" s="354">
        <f>AN179/(1.355*(AN173/Semidetached!AN$17)^0.16)</f>
        <v>5444.2554388171657</v>
      </c>
    </row>
    <row r="186" spans="1:40">
      <c r="A186" s="129"/>
      <c r="B186" s="142" t="s">
        <v>6</v>
      </c>
      <c r="C186" s="129" t="s">
        <v>261</v>
      </c>
      <c r="D186" s="345">
        <f>D180/(1.355*(D174/Semidetached!D$17)^0.16)</f>
        <v>6339.8265862471808</v>
      </c>
      <c r="E186" s="349">
        <f>E180/(1.355*(E174/Semidetached!E$17)^0.16)</f>
        <v>10619.529545993395</v>
      </c>
      <c r="F186" s="349">
        <f>F180/(1.355*(F174/Semidetached!F$17)^0.16)</f>
        <v>4112.0439880492322</v>
      </c>
      <c r="G186" s="349">
        <f>G180/(1.355*(G174/Semidetached!G$17)^0.16)</f>
        <v>6383.4046351015186</v>
      </c>
      <c r="H186" s="349">
        <f>H180/(1.355*(H174/Semidetached!H$17)^0.16)</f>
        <v>4102.7621559354911</v>
      </c>
      <c r="I186" s="349">
        <f>I180/(1.355*(I174/Semidetached!I$17)^0.16)</f>
        <v>6383.1947262538224</v>
      </c>
      <c r="J186" s="349">
        <f>J180/(1.355*(J174/Semidetached!J$17)^0.16)</f>
        <v>4240.2800550698876</v>
      </c>
      <c r="K186" s="349">
        <f>K180/(1.355*(K174/Semidetached!K$17)^0.16)</f>
        <v>5528.6810942092561</v>
      </c>
      <c r="L186" s="349">
        <f>L180/(1.355*(L174/Semidetached!L$17)^0.16)</f>
        <v>3643.3640714235903</v>
      </c>
      <c r="M186" s="349">
        <f>M180/(1.355*(M174/Semidetached!M$17)^0.16)</f>
        <v>6006.3010270755203</v>
      </c>
      <c r="N186" s="349">
        <f>N180/(1.355*(N174/Semidetached!N$17)^0.16)</f>
        <v>7177.5315251469247</v>
      </c>
      <c r="O186" s="349">
        <f>O180/(1.355*(O174/Semidetached!O$17)^0.16)</f>
        <v>3854.8040117347709</v>
      </c>
      <c r="P186" s="349">
        <f>P180/(1.355*(P174/Semidetached!P$17)^0.16)</f>
        <v>8753.7276167843738</v>
      </c>
      <c r="Q186" s="349">
        <f>Q180/(1.355*(Q174/Semidetached!Q$17)^0.16)</f>
        <v>4448.8604231376394</v>
      </c>
      <c r="R186" s="349">
        <f>R180/(1.355*(R174/Semidetached!R$17)^0.16)</f>
        <v>6294.7762141752637</v>
      </c>
      <c r="S186" s="349">
        <f>S180/(1.355*(S174/Semidetached!S$17)^0.16)</f>
        <v>6734.5820434332436</v>
      </c>
      <c r="T186" s="349">
        <f>T180/(1.355*(T174/Semidetached!T$17)^0.16)</f>
        <v>6149.7649571604798</v>
      </c>
      <c r="U186" s="349">
        <f>U180/(1.355*(U174/Semidetached!U$17)^0.16)</f>
        <v>7625.5146399760933</v>
      </c>
      <c r="V186" s="349">
        <f>V180/(1.355*(V174/Semidetached!V$17)^0.16)</f>
        <v>7252.8108080078464</v>
      </c>
      <c r="W186" s="349">
        <f>W180/(1.355*(W174/Semidetached!W$17)^0.16)</f>
        <v>4855.4870325430593</v>
      </c>
      <c r="X186" s="349">
        <f>X180/(1.355*(X174/Semidetached!X$17)^0.16)</f>
        <v>6422.9967500234061</v>
      </c>
      <c r="Y186" s="349">
        <f>Y180/(1.355*(Y174/Semidetached!Y$17)^0.16)</f>
        <v>2812.0971968434678</v>
      </c>
      <c r="Z186" s="349">
        <f>Z180/(1.355*(Z174/Semidetached!Z$17)^0.16)</f>
        <v>7869.9737662818379</v>
      </c>
      <c r="AA186" s="349">
        <f>AA180/(1.355*(AA174/Semidetached!AA$17)^0.16)</f>
        <v>6919.9882098096477</v>
      </c>
      <c r="AB186" s="349">
        <f>AB180/(1.355*(AB174/Semidetached!AB$17)^0.16)</f>
        <v>7930.0795581637803</v>
      </c>
      <c r="AC186" s="349">
        <f>AC180/(1.355*(AC174/Semidetached!AC$17)^0.16)</f>
        <v>6901.2655037738523</v>
      </c>
      <c r="AD186" s="349">
        <f>AD180/(1.355*(AD174/Semidetached!AD$17)^0.16)</f>
        <v>7514.2460863622009</v>
      </c>
      <c r="AE186" s="349">
        <f>AE180/(1.355*(AE174/Semidetached!AE$17)^0.16)</f>
        <v>6581.2773671698778</v>
      </c>
      <c r="AF186" s="349">
        <f>AF180/(1.355*(AF174/Semidetached!AF$17)^0.16)</f>
        <v>5064.4404584034501</v>
      </c>
      <c r="AG186" s="349">
        <f>AG180/(1.355*(AG174/Semidetached!AG$17)^0.16)</f>
        <v>9593.6625940027243</v>
      </c>
      <c r="AH186" s="349">
        <f>AH180/(1.355*(AH174/Semidetached!AH$17)^0.16)</f>
        <v>4951.5425743337919</v>
      </c>
      <c r="AI186" s="349">
        <f>AI180/(1.355*(AI174/Semidetached!AI$17)^0.16)</f>
        <v>8620.0410466072826</v>
      </c>
      <c r="AJ186" s="349">
        <f>AJ180/(1.355*(AJ174/Semidetached!AJ$17)^0.16)</f>
        <v>5696.3171549314384</v>
      </c>
      <c r="AK186" s="349">
        <f>AK180/(1.355*(AK174/Semidetached!AK$17)^0.16)</f>
        <v>6193.9760107285319</v>
      </c>
      <c r="AL186" s="349">
        <f>AL180/(1.355*(AL174/Semidetached!AL$17)^0.16)</f>
        <v>4307.6951488797522</v>
      </c>
      <c r="AM186" s="349">
        <f>AM180/(1.355*(AM174/Semidetached!AM$17)^0.16)</f>
        <v>5238.1944542439333</v>
      </c>
      <c r="AN186" s="354">
        <f>AN180/(1.355*(AN174/Semidetached!AN$17)^0.16)</f>
        <v>5238.1944542439333</v>
      </c>
    </row>
    <row r="187" spans="1:40">
      <c r="A187" s="129"/>
      <c r="B187" s="142" t="s">
        <v>7</v>
      </c>
      <c r="C187" s="129" t="s">
        <v>261</v>
      </c>
      <c r="D187" s="345">
        <f>D181/(1.355*(D175/Semidetached!D$17)^0.16)</f>
        <v>5549.2111879666909</v>
      </c>
      <c r="E187" s="349">
        <f>E181/(1.355*(E175/Semidetached!E$17)^0.16)</f>
        <v>6865.7699426406707</v>
      </c>
      <c r="F187" s="349">
        <f>F181/(1.355*(F175/Semidetached!F$17)^0.16)</f>
        <v>3296.1946334862128</v>
      </c>
      <c r="G187" s="349">
        <f>G181/(1.355*(G175/Semidetached!G$17)^0.16)</f>
        <v>5580.7982113238495</v>
      </c>
      <c r="H187" s="349">
        <f>H181/(1.355*(H175/Semidetached!H$17)^0.16)</f>
        <v>3240.0645387354548</v>
      </c>
      <c r="I187" s="349">
        <f>I181/(1.355*(I175/Semidetached!I$17)^0.16)</f>
        <v>5016.7235451065226</v>
      </c>
      <c r="J187" s="349">
        <f>J181/(1.355*(J175/Semidetached!J$17)^0.16)</f>
        <v>4453.035126644425</v>
      </c>
      <c r="K187" s="349">
        <f>K181/(1.355*(K175/Semidetached!K$17)^0.16)</f>
        <v>4052.6887742110821</v>
      </c>
      <c r="L187" s="349">
        <f>L181/(1.355*(L175/Semidetached!L$17)^0.16)</f>
        <v>3643.3640714235903</v>
      </c>
      <c r="M187" s="349">
        <f>M181/(1.355*(M175/Semidetached!M$17)^0.16)</f>
        <v>4699.2138631586322</v>
      </c>
      <c r="N187" s="349">
        <f>N181/(1.355*(N175/Semidetached!N$17)^0.16)</f>
        <v>6428.0445446400572</v>
      </c>
      <c r="O187" s="349">
        <f>O181/(1.355*(O175/Semidetached!O$17)^0.16)</f>
        <v>3743.1413083286338</v>
      </c>
      <c r="P187" s="349">
        <f>P181/(1.355*(P175/Semidetached!P$17)^0.16)</f>
        <v>3611.4571399397355</v>
      </c>
      <c r="Q187" s="349">
        <f>Q181/(1.355*(Q175/Semidetached!Q$17)^0.16)</f>
        <v>3212.5624981543283</v>
      </c>
      <c r="R187" s="349">
        <f>R181/(1.355*(R175/Semidetached!R$17)^0.16)</f>
        <v>4092.8301282869024</v>
      </c>
      <c r="S187" s="349">
        <f>S181/(1.355*(S175/Semidetached!S$17)^0.16)</f>
        <v>4854.1729124729309</v>
      </c>
      <c r="T187" s="349">
        <f>T181/(1.355*(T175/Semidetached!T$17)^0.16)</f>
        <v>5507.3734071436402</v>
      </c>
      <c r="U187" s="349">
        <f>U181/(1.355*(U175/Semidetached!U$17)^0.16)</f>
        <v>7364.8754736869832</v>
      </c>
      <c r="V187" s="349">
        <f>V181/(1.355*(V175/Semidetached!V$17)^0.16)</f>
        <v>4634.9998635190695</v>
      </c>
      <c r="W187" s="349">
        <f>W181/(1.355*(W175/Semidetached!W$17)^0.16)</f>
        <v>4075.9434212059327</v>
      </c>
      <c r="X187" s="349">
        <f>X181/(1.355*(X175/Semidetached!X$17)^0.16)</f>
        <v>4430.2300227864644</v>
      </c>
      <c r="Y187" s="349">
        <f>Y181/(1.355*(Y175/Semidetached!Y$17)^0.16)</f>
        <v>2785.8670257879958</v>
      </c>
      <c r="Z187" s="349">
        <f>Z181/(1.355*(Z175/Semidetached!Z$17)^0.16)</f>
        <v>5442.6140780102651</v>
      </c>
      <c r="AA187" s="349">
        <f>AA181/(1.355*(AA175/Semidetached!AA$17)^0.16)</f>
        <v>6286.3284941789298</v>
      </c>
      <c r="AB187" s="349">
        <f>AB181/(1.355*(AB175/Semidetached!AB$17)^0.16)</f>
        <v>6782.4199575605826</v>
      </c>
      <c r="AC187" s="349">
        <f>AC181/(1.355*(AC175/Semidetached!AC$17)^0.16)</f>
        <v>4723.8132621998502</v>
      </c>
      <c r="AD187" s="349">
        <f>AD181/(1.355*(AD175/Semidetached!AD$17)^0.16)</f>
        <v>6544.322754861827</v>
      </c>
      <c r="AE187" s="349">
        <f>AE181/(1.355*(AE175/Semidetached!AE$17)^0.16)</f>
        <v>5970.9495792447533</v>
      </c>
      <c r="AF187" s="349">
        <f>AF181/(1.355*(AF175/Semidetached!AF$17)^0.16)</f>
        <v>3057.470533910056</v>
      </c>
      <c r="AG187" s="349">
        <f>AG181/(1.355*(AG175/Semidetached!AG$17)^0.16)</f>
        <v>6440.4294445252453</v>
      </c>
      <c r="AH187" s="349">
        <f>AH181/(1.355*(AH175/Semidetached!AH$17)^0.16)</f>
        <v>4249.7958110019244</v>
      </c>
      <c r="AI187" s="349">
        <f>AI181/(1.355*(AI175/Semidetached!AI$17)^0.16)</f>
        <v>3533.446027630519</v>
      </c>
      <c r="AJ187" s="349">
        <f>AJ181/(1.355*(AJ175/Semidetached!AJ$17)^0.16)</f>
        <v>5155.9899175922765</v>
      </c>
      <c r="AK187" s="349">
        <f>AK181/(1.355*(AK175/Semidetached!AK$17)^0.16)</f>
        <v>5621.0275395075878</v>
      </c>
      <c r="AL187" s="349">
        <f>AL181/(1.355*(AL175/Semidetached!AL$17)^0.16)</f>
        <v>3452.4378461970982</v>
      </c>
      <c r="AM187" s="349">
        <f>AM181/(1.355*(AM175/Semidetached!AM$17)^0.16)</f>
        <v>4741.3226928714748</v>
      </c>
      <c r="AN187" s="354">
        <f>AN181/(1.355*(AN175/Semidetached!AN$17)^0.16)</f>
        <v>4741.3226928714748</v>
      </c>
    </row>
    <row r="188" spans="1:40">
      <c r="A188" s="334" t="s">
        <v>262</v>
      </c>
      <c r="B188" s="359" t="s">
        <v>2</v>
      </c>
      <c r="C188" s="366" t="s">
        <v>190</v>
      </c>
      <c r="D188" s="375">
        <f>D182/Semidetached!D$4</f>
        <v>120.17245470828126</v>
      </c>
      <c r="E188" s="376">
        <f>E182/Semidetached!E$4</f>
        <v>119.83103229150714</v>
      </c>
      <c r="F188" s="376">
        <f>F182/Semidetached!F$4</f>
        <v>110.15390711621116</v>
      </c>
      <c r="G188" s="376">
        <f>G182/Semidetached!G$4</f>
        <v>115.87697556322567</v>
      </c>
      <c r="H188" s="376">
        <f>H182/Semidetached!H$4</f>
        <v>54.66278021094768</v>
      </c>
      <c r="I188" s="376">
        <f>I182/Semidetached!I$4</f>
        <v>129.360540642724</v>
      </c>
      <c r="J188" s="376">
        <f>J182/Semidetached!J$4</f>
        <v>138.74140529848174</v>
      </c>
      <c r="K188" s="376">
        <f>K182/Semidetached!K$4</f>
        <v>79.785218955909698</v>
      </c>
      <c r="L188" s="376">
        <f>L182/Semidetached!L$4</f>
        <v>90.675065134783893</v>
      </c>
      <c r="M188" s="376">
        <f>M182/Semidetached!M$4</f>
        <v>100.48126289952967</v>
      </c>
      <c r="N188" s="376">
        <f>N182/Semidetached!N$4</f>
        <v>130.19216960766173</v>
      </c>
      <c r="O188" s="376">
        <f>O182/Semidetached!O$4</f>
        <v>137.67273311869297</v>
      </c>
      <c r="P188" s="376">
        <f>P182/Semidetached!P$4</f>
        <v>115.82841230049326</v>
      </c>
      <c r="Q188" s="376">
        <f>Q182/Semidetached!Q$4</f>
        <v>108.50891911249703</v>
      </c>
      <c r="R188" s="376">
        <f>R182/Semidetached!R$4</f>
        <v>105.62583587748273</v>
      </c>
      <c r="S188" s="376">
        <f>S182/Semidetached!S$4</f>
        <v>125.79502294885891</v>
      </c>
      <c r="T188" s="376">
        <f>T182/Semidetached!T$4</f>
        <v>110.34180673162832</v>
      </c>
      <c r="U188" s="376">
        <f>U182/Semidetached!U$4</f>
        <v>101.29026401601594</v>
      </c>
      <c r="V188" s="376">
        <f>V182/Semidetached!V$4</f>
        <v>124.99836913223994</v>
      </c>
      <c r="W188" s="376">
        <f>W182/Semidetached!W$4</f>
        <v>151.19862514032855</v>
      </c>
      <c r="X188" s="376">
        <f>X182/Semidetached!X$4</f>
        <v>145.16453025113185</v>
      </c>
      <c r="Y188" s="376">
        <f>Y182/Semidetached!Y$4</f>
        <v>34.546484698858357</v>
      </c>
      <c r="Z188" s="376">
        <f>Z182/Semidetached!Z$4</f>
        <v>134.66886150997144</v>
      </c>
      <c r="AA188" s="376">
        <f>AA182/Semidetached!AA$4</f>
        <v>95.909077393693195</v>
      </c>
      <c r="AB188" s="376">
        <f>AB182/Semidetached!AB$4</f>
        <v>163.01233696603586</v>
      </c>
      <c r="AC188" s="376">
        <f>AC182/Semidetached!AC$4</f>
        <v>74.738129764991712</v>
      </c>
      <c r="AD188" s="376">
        <f>AD182/Semidetached!AD$4</f>
        <v>145.98298204067228</v>
      </c>
      <c r="AE188" s="376">
        <f>AE182/Semidetached!AE$4</f>
        <v>93.317986790025998</v>
      </c>
      <c r="AF188" s="376">
        <f>AF182/Semidetached!AF$4</f>
        <v>110.6962104664984</v>
      </c>
      <c r="AG188" s="376">
        <f>AG182/Semidetached!AG$4</f>
        <v>179.46541300283226</v>
      </c>
      <c r="AH188" s="376">
        <f>AH182/Semidetached!AH$4</f>
        <v>144.83286169034187</v>
      </c>
      <c r="AI188" s="376">
        <f>AI182/Semidetached!AI$4</f>
        <v>114.11361105201091</v>
      </c>
      <c r="AJ188" s="376">
        <f>AJ182/Semidetached!AJ$4</f>
        <v>114.41081841579255</v>
      </c>
      <c r="AK188" s="376">
        <f>AK182/Semidetached!AK$4</f>
        <v>92.939623691341609</v>
      </c>
      <c r="AL188" s="376">
        <f>AL182/Semidetached!AL$4</f>
        <v>107.72608330973392</v>
      </c>
      <c r="AM188" s="376">
        <f>AM182/Semidetached!AM$4</f>
        <v>105.20940078139446</v>
      </c>
      <c r="AN188" s="377">
        <f>AN182/Semidetached!AN$4</f>
        <v>105.20940078139445</v>
      </c>
    </row>
    <row r="189" spans="1:40">
      <c r="A189" s="154"/>
      <c r="B189" s="347" t="s">
        <v>3</v>
      </c>
      <c r="C189" s="367" t="s">
        <v>190</v>
      </c>
      <c r="D189" s="369">
        <f>D183/Semidetached!D$4</f>
        <v>120.9147247924595</v>
      </c>
      <c r="E189" s="370">
        <f>E183/Semidetached!E$4</f>
        <v>119.83103229150714</v>
      </c>
      <c r="F189" s="370">
        <f>F183/Semidetached!F$4</f>
        <v>110.15390711621116</v>
      </c>
      <c r="G189" s="370">
        <f>G183/Semidetached!G$4</f>
        <v>116.63500847322888</v>
      </c>
      <c r="H189" s="370">
        <f>H183/Semidetached!H$4</f>
        <v>54.349672371589058</v>
      </c>
      <c r="I189" s="370">
        <f>I183/Semidetached!I$4</f>
        <v>102.97507657618704</v>
      </c>
      <c r="J189" s="370">
        <f>J183/Semidetached!J$4</f>
        <v>134.39051187399463</v>
      </c>
      <c r="K189" s="370">
        <f>K183/Semidetached!K$4</f>
        <v>75.679845189150029</v>
      </c>
      <c r="L189" s="370">
        <f>L183/Semidetached!L$4</f>
        <v>90.675065134783893</v>
      </c>
      <c r="M189" s="370">
        <f>M183/Semidetached!M$4</f>
        <v>94.603700889825078</v>
      </c>
      <c r="N189" s="370">
        <f>N183/Semidetached!N$4</f>
        <v>117.23956001782025</v>
      </c>
      <c r="O189" s="370">
        <f>O183/Semidetached!O$4</f>
        <v>137.67273311869297</v>
      </c>
      <c r="P189" s="370">
        <f>P183/Semidetached!P$4</f>
        <v>115.82841230049326</v>
      </c>
      <c r="Q189" s="370">
        <f>Q183/Semidetached!Q$4</f>
        <v>109.58002682678347</v>
      </c>
      <c r="R189" s="370">
        <f>R183/Semidetached!R$4</f>
        <v>105.62583587748273</v>
      </c>
      <c r="S189" s="370">
        <f>S183/Semidetached!S$4</f>
        <v>128.81418267515781</v>
      </c>
      <c r="T189" s="370">
        <f>T183/Semidetached!T$4</f>
        <v>99.326924396200113</v>
      </c>
      <c r="U189" s="370">
        <f>U183/Semidetached!U$4</f>
        <v>99.281561460526518</v>
      </c>
      <c r="V189" s="370">
        <f>V183/Semidetached!V$4</f>
        <v>124.99836913223994</v>
      </c>
      <c r="W189" s="370">
        <f>W183/Semidetached!W$4</f>
        <v>128.38463649654139</v>
      </c>
      <c r="X189" s="370">
        <f>X183/Semidetached!X$4</f>
        <v>143.73869198728917</v>
      </c>
      <c r="Y189" s="370">
        <f>Y183/Semidetached!Y$4</f>
        <v>34.459377748481558</v>
      </c>
      <c r="Z189" s="370">
        <f>Z183/Semidetached!Z$4</f>
        <v>105.93612115646387</v>
      </c>
      <c r="AA189" s="370">
        <f>AA183/Semidetached!AA$4</f>
        <v>95.603562922365384</v>
      </c>
      <c r="AB189" s="370">
        <f>AB183/Semidetached!AB$4</f>
        <v>122.86860784277805</v>
      </c>
      <c r="AC189" s="370">
        <f>AC183/Semidetached!AC$4</f>
        <v>74.122231181701522</v>
      </c>
      <c r="AD189" s="370">
        <f>AD183/Semidetached!AD$4</f>
        <v>134.35291358323124</v>
      </c>
      <c r="AE189" s="370">
        <f>AE183/Semidetached!AE$4</f>
        <v>93.016159839203439</v>
      </c>
      <c r="AF189" s="370">
        <f>AF183/Semidetached!AF$4</f>
        <v>110.6962104664984</v>
      </c>
      <c r="AG189" s="370">
        <f>AG183/Semidetached!AG$4</f>
        <v>155.97800752125019</v>
      </c>
      <c r="AH189" s="370">
        <f>AH183/Semidetached!AH$4</f>
        <v>148.40635451609626</v>
      </c>
      <c r="AI189" s="370">
        <f>AI183/Semidetached!AI$4</f>
        <v>114.11361105201091</v>
      </c>
      <c r="AJ189" s="370">
        <f>AJ183/Semidetached!AJ$4</f>
        <v>114.41081841579255</v>
      </c>
      <c r="AK189" s="370">
        <f>AK183/Semidetached!AK$4</f>
        <v>92.939623691341609</v>
      </c>
      <c r="AL189" s="370">
        <f>AL183/Semidetached!AL$4</f>
        <v>107.72608330973392</v>
      </c>
      <c r="AM189" s="370">
        <f>AM183/Semidetached!AM$4</f>
        <v>105.20940078139446</v>
      </c>
      <c r="AN189" s="371">
        <f>AN183/Semidetached!AN$4</f>
        <v>105.20940078139445</v>
      </c>
    </row>
    <row r="190" spans="1:40">
      <c r="A190" s="154"/>
      <c r="B190" s="347" t="s">
        <v>4</v>
      </c>
      <c r="C190" s="367" t="s">
        <v>190</v>
      </c>
      <c r="D190" s="369">
        <f>D184/Semidetached!D$4</f>
        <v>96.595345748904649</v>
      </c>
      <c r="E190" s="370">
        <f>E184/Semidetached!E$4</f>
        <v>119.83103229150714</v>
      </c>
      <c r="F190" s="370">
        <f>F184/Semidetached!F$4</f>
        <v>105.31926868811343</v>
      </c>
      <c r="G190" s="370">
        <f>G184/Semidetached!G$4</f>
        <v>93.024032772470491</v>
      </c>
      <c r="H190" s="370">
        <f>H184/Semidetached!H$4</f>
        <v>57.452664576822023</v>
      </c>
      <c r="I190" s="370">
        <f>I184/Semidetached!I$4</f>
        <v>102.97507657618704</v>
      </c>
      <c r="J190" s="370">
        <f>J184/Semidetached!J$4</f>
        <v>88.936909381066911</v>
      </c>
      <c r="K190" s="370">
        <f>K184/Semidetached!K$4</f>
        <v>55.028529696279811</v>
      </c>
      <c r="L190" s="370">
        <f>L184/Semidetached!L$4</f>
        <v>76.80363126407326</v>
      </c>
      <c r="M190" s="370">
        <f>M184/Semidetached!M$4</f>
        <v>94.603700889825078</v>
      </c>
      <c r="N190" s="370">
        <f>N184/Semidetached!N$4</f>
        <v>100.60139817405522</v>
      </c>
      <c r="O190" s="370">
        <f>O184/Semidetached!O$4</f>
        <v>69.86597789371298</v>
      </c>
      <c r="P190" s="370">
        <f>P184/Semidetached!P$4</f>
        <v>115.82841230049326</v>
      </c>
      <c r="Q190" s="370">
        <f>Q184/Semidetached!Q$4</f>
        <v>100.57628314924308</v>
      </c>
      <c r="R190" s="370">
        <f>R184/Semidetached!R$4</f>
        <v>96.671403738520652</v>
      </c>
      <c r="S190" s="370">
        <f>S184/Semidetached!S$4</f>
        <v>98.495617411819893</v>
      </c>
      <c r="T190" s="370">
        <f>T184/Semidetached!T$4</f>
        <v>85.210714270651991</v>
      </c>
      <c r="U190" s="370">
        <f>U184/Semidetached!U$4</f>
        <v>91.990552934379934</v>
      </c>
      <c r="V190" s="370">
        <f>V184/Semidetached!V$4</f>
        <v>87.554118907351864</v>
      </c>
      <c r="W190" s="370">
        <f>W184/Semidetached!W$4</f>
        <v>83.929743131411399</v>
      </c>
      <c r="X190" s="370">
        <f>X184/Semidetached!X$4</f>
        <v>135.25418574662947</v>
      </c>
      <c r="Y190" s="370">
        <f>Y184/Semidetached!Y$4</f>
        <v>33.964154371244476</v>
      </c>
      <c r="Z190" s="370">
        <f>Z184/Semidetached!Z$4</f>
        <v>99.931296657599574</v>
      </c>
      <c r="AA190" s="370">
        <f>AA184/Semidetached!AA$4</f>
        <v>69.618093353980015</v>
      </c>
      <c r="AB190" s="370">
        <f>AB184/Semidetached!AB$4</f>
        <v>97.339598090286913</v>
      </c>
      <c r="AC190" s="370">
        <f>AC184/Semidetached!AC$4</f>
        <v>72.207717182232273</v>
      </c>
      <c r="AD190" s="370">
        <f>AD184/Semidetached!AD$4</f>
        <v>134.35291358323124</v>
      </c>
      <c r="AE190" s="370">
        <f>AE184/Semidetached!AE$4</f>
        <v>67.874886258594458</v>
      </c>
      <c r="AF190" s="370">
        <f>AF184/Semidetached!AF$4</f>
        <v>96.440320467858413</v>
      </c>
      <c r="AG190" s="370">
        <f>AG184/Semidetached!AG$4</f>
        <v>155.97800752125019</v>
      </c>
      <c r="AH190" s="370">
        <f>AH184/Semidetached!AH$4</f>
        <v>112.55624532126649</v>
      </c>
      <c r="AI190" s="370">
        <f>AI184/Semidetached!AI$4</f>
        <v>114.11361105201091</v>
      </c>
      <c r="AJ190" s="370">
        <f>AJ184/Semidetached!AJ$4</f>
        <v>114.41081841579255</v>
      </c>
      <c r="AK190" s="370">
        <f>AK184/Semidetached!AK$4</f>
        <v>92.939623691341609</v>
      </c>
      <c r="AL190" s="370">
        <f>AL184/Semidetached!AL$4</f>
        <v>102.90799103073712</v>
      </c>
      <c r="AM190" s="370">
        <f>AM184/Semidetached!AM$4</f>
        <v>105.20940078139446</v>
      </c>
      <c r="AN190" s="371">
        <f>AN184/Semidetached!AN$4</f>
        <v>105.20940078139445</v>
      </c>
    </row>
    <row r="191" spans="1:40">
      <c r="A191" s="154"/>
      <c r="B191" s="347" t="s">
        <v>5</v>
      </c>
      <c r="C191" s="367" t="s">
        <v>190</v>
      </c>
      <c r="D191" s="369">
        <f>D185/Semidetached!D$4</f>
        <v>69.048481637549415</v>
      </c>
      <c r="E191" s="370">
        <f>E185/Semidetached!E$4</f>
        <v>101.95781896105338</v>
      </c>
      <c r="F191" s="370">
        <f>F185/Semidetached!F$4</f>
        <v>94.908923811539509</v>
      </c>
      <c r="G191" s="370">
        <f>G185/Semidetached!G$4</f>
        <v>66.371055159130918</v>
      </c>
      <c r="H191" s="370">
        <f>H185/Semidetached!H$4</f>
        <v>55.198510305340051</v>
      </c>
      <c r="I191" s="370">
        <f>I185/Semidetached!I$4</f>
        <v>92.271941937050599</v>
      </c>
      <c r="J191" s="370">
        <f>J185/Semidetached!J$4</f>
        <v>66.407769114256013</v>
      </c>
      <c r="K191" s="370">
        <f>K185/Semidetached!K$4</f>
        <v>48.097576096860529</v>
      </c>
      <c r="L191" s="370">
        <f>L185/Semidetached!L$4</f>
        <v>58.474367249431374</v>
      </c>
      <c r="M191" s="370">
        <f>M185/Semidetached!M$4</f>
        <v>58.332699558960925</v>
      </c>
      <c r="N191" s="370">
        <f>N185/Semidetached!N$4</f>
        <v>85.661449530307664</v>
      </c>
      <c r="O191" s="370">
        <f>O185/Semidetached!O$4</f>
        <v>60.42753090848278</v>
      </c>
      <c r="P191" s="370">
        <f>P185/Semidetached!P$4</f>
        <v>110.94373736082885</v>
      </c>
      <c r="Q191" s="370">
        <f>Q185/Semidetached!Q$4</f>
        <v>100.57628314924308</v>
      </c>
      <c r="R191" s="370">
        <f>R185/Semidetached!R$4</f>
        <v>79.915125542210674</v>
      </c>
      <c r="S191" s="370">
        <f>S185/Semidetached!S$4</f>
        <v>65.79173984699564</v>
      </c>
      <c r="T191" s="370">
        <f>T185/Semidetached!T$4</f>
        <v>72.555470430580328</v>
      </c>
      <c r="U191" s="370">
        <f>U185/Semidetached!U$4</f>
        <v>79.759733578035423</v>
      </c>
      <c r="V191" s="370">
        <f>V185/Semidetached!V$4</f>
        <v>87.554118907351864</v>
      </c>
      <c r="W191" s="370">
        <f>W185/Semidetached!W$4</f>
        <v>70.247034264840863</v>
      </c>
      <c r="X191" s="370">
        <f>X185/Semidetached!X$4</f>
        <v>80.84546126743011</v>
      </c>
      <c r="Y191" s="370">
        <f>Y185/Semidetached!Y$4</f>
        <v>29.77205836388833</v>
      </c>
      <c r="Z191" s="370">
        <f>Z185/Semidetached!Z$4</f>
        <v>78.800374498110273</v>
      </c>
      <c r="AA191" s="370">
        <f>AA185/Semidetached!AA$4</f>
        <v>68.859368993419437</v>
      </c>
      <c r="AB191" s="370">
        <f>AB185/Semidetached!AB$4</f>
        <v>97.339598090286913</v>
      </c>
      <c r="AC191" s="370">
        <f>AC185/Semidetached!AC$4</f>
        <v>71.203866077251732</v>
      </c>
      <c r="AD191" s="370">
        <f>AD185/Semidetached!AD$4</f>
        <v>123.53255439053638</v>
      </c>
      <c r="AE191" s="370">
        <f>AE185/Semidetached!AE$4</f>
        <v>67.125602669991935</v>
      </c>
      <c r="AF191" s="370">
        <f>AF185/Semidetached!AF$4</f>
        <v>84.550318967947391</v>
      </c>
      <c r="AG191" s="370">
        <f>AG185/Semidetached!AG$4</f>
        <v>135.96043167108644</v>
      </c>
      <c r="AH191" s="370">
        <f>AH185/Semidetached!AH$4</f>
        <v>81.499055931124772</v>
      </c>
      <c r="AI191" s="370">
        <f>AI185/Semidetached!AI$4</f>
        <v>109.24940914093324</v>
      </c>
      <c r="AJ191" s="370">
        <f>AJ185/Semidetached!AJ$4</f>
        <v>101.95316151823297</v>
      </c>
      <c r="AK191" s="370">
        <f>AK185/Semidetached!AK$4</f>
        <v>82.01872659556787</v>
      </c>
      <c r="AL191" s="370">
        <f>AL185/Semidetached!AL$4</f>
        <v>92.547766208833863</v>
      </c>
      <c r="AM191" s="370">
        <f>AM185/Semidetached!AM$4</f>
        <v>93.753643052529753</v>
      </c>
      <c r="AN191" s="371">
        <f>AN185/Semidetached!AN$4</f>
        <v>93.753643052529753</v>
      </c>
    </row>
    <row r="192" spans="1:40">
      <c r="A192" s="154"/>
      <c r="B192" s="347" t="s">
        <v>6</v>
      </c>
      <c r="C192" s="367" t="s">
        <v>190</v>
      </c>
      <c r="D192" s="369">
        <f>D186/Semidetached!D$4</f>
        <v>61.943799008875509</v>
      </c>
      <c r="E192" s="370">
        <f>E186/Semidetached!E$4</f>
        <v>101.95781896105338</v>
      </c>
      <c r="F192" s="370">
        <f>F186/Semidetached!F$4</f>
        <v>75.117528476989591</v>
      </c>
      <c r="G192" s="370">
        <f>G186/Semidetached!G$4</f>
        <v>59.54568873697766</v>
      </c>
      <c r="H192" s="370">
        <f>H186/Semidetached!H$4</f>
        <v>50.38301655440489</v>
      </c>
      <c r="I192" s="370">
        <f>I186/Semidetached!I$4</f>
        <v>73.959698509425522</v>
      </c>
      <c r="J192" s="370">
        <f>J186/Semidetached!J$4</f>
        <v>44.320412358806507</v>
      </c>
      <c r="K192" s="370">
        <f>K186/Semidetached!K$4</f>
        <v>48.097576096860529</v>
      </c>
      <c r="L192" s="370">
        <f>L186/Semidetached!L$4</f>
        <v>50.012802456773969</v>
      </c>
      <c r="M192" s="370">
        <f>M186/Semidetached!M$4</f>
        <v>58.332699558960925</v>
      </c>
      <c r="N192" s="370">
        <f>N186/Semidetached!N$4</f>
        <v>84.530832628108428</v>
      </c>
      <c r="O192" s="370">
        <f>O186/Semidetached!O$4</f>
        <v>39.103544506070676</v>
      </c>
      <c r="P192" s="370">
        <f>P186/Semidetached!P$4</f>
        <v>110.94373736082885</v>
      </c>
      <c r="Q192" s="370">
        <f>Q186/Semidetached!Q$4</f>
        <v>76.612289189721125</v>
      </c>
      <c r="R192" s="370">
        <f>R186/Semidetached!R$4</f>
        <v>79.915125542210674</v>
      </c>
      <c r="S192" s="370">
        <f>S186/Semidetached!S$4</f>
        <v>62.930580223658538</v>
      </c>
      <c r="T192" s="370">
        <f>T186/Semidetached!T$4</f>
        <v>71.594629073624674</v>
      </c>
      <c r="U192" s="370">
        <f>U186/Semidetached!U$4</f>
        <v>75.767137799263978</v>
      </c>
      <c r="V192" s="370">
        <f>V186/Semidetached!V$4</f>
        <v>87.554118907351864</v>
      </c>
      <c r="W192" s="370">
        <f>W186/Semidetached!W$4</f>
        <v>61.506071786109345</v>
      </c>
      <c r="X192" s="370">
        <f>X186/Semidetached!X$4</f>
        <v>78.85912442385947</v>
      </c>
      <c r="Y192" s="370">
        <f>Y186/Semidetached!Y$4</f>
        <v>28.963152160517314</v>
      </c>
      <c r="Z192" s="370">
        <f>Z186/Semidetached!Z$4</f>
        <v>71.388044279279683</v>
      </c>
      <c r="AA192" s="370">
        <f>AA186/Semidetached!AA$4</f>
        <v>63.26340168261595</v>
      </c>
      <c r="AB192" s="370">
        <f>AB186/Semidetached!AB$4</f>
        <v>97.339598090286913</v>
      </c>
      <c r="AC192" s="370">
        <f>AC186/Semidetached!AC$4</f>
        <v>67.691990369741234</v>
      </c>
      <c r="AD192" s="370">
        <f>AD186/Semidetached!AD$4</f>
        <v>123.53255439053638</v>
      </c>
      <c r="AE192" s="370">
        <f>AE186/Semidetached!AE$4</f>
        <v>61.693445404093005</v>
      </c>
      <c r="AF192" s="370">
        <f>AF186/Semidetached!AF$4</f>
        <v>62.977913624296029</v>
      </c>
      <c r="AG192" s="370">
        <f>AG186/Semidetached!AG$4</f>
        <v>118.99475572105499</v>
      </c>
      <c r="AH192" s="370">
        <f>AH186/Semidetached!AH$4</f>
        <v>64.018190966907142</v>
      </c>
      <c r="AI192" s="370">
        <f>AI186/Semidetached!AI$4</f>
        <v>109.24940914093324</v>
      </c>
      <c r="AJ192" s="370">
        <f>AJ186/Semidetached!AJ$4</f>
        <v>98.094310830770496</v>
      </c>
      <c r="AK192" s="370">
        <f>AK186/Semidetached!AK$4</f>
        <v>78.501739811499036</v>
      </c>
      <c r="AL192" s="370">
        <f>AL186/Semidetached!AL$4</f>
        <v>72.794373856890957</v>
      </c>
      <c r="AM192" s="370">
        <f>AM186/Semidetached!AM$4</f>
        <v>90.205137988460066</v>
      </c>
      <c r="AN192" s="371">
        <f>AN186/Semidetached!AN$4</f>
        <v>90.205137988460052</v>
      </c>
    </row>
    <row r="193" spans="1:40">
      <c r="A193" s="155"/>
      <c r="B193" s="338" t="s">
        <v>7</v>
      </c>
      <c r="C193" s="368" t="s">
        <v>190</v>
      </c>
      <c r="D193" s="378">
        <f>D187/Semidetached!D$4</f>
        <v>54.219025995265618</v>
      </c>
      <c r="E193" s="379">
        <f>E187/Semidetached!E$4</f>
        <v>65.918073470976594</v>
      </c>
      <c r="F193" s="379">
        <f>F187/Semidetached!F$4</f>
        <v>60.213848627641774</v>
      </c>
      <c r="G193" s="379">
        <f>G187/Semidetached!G$4</f>
        <v>52.058813782229656</v>
      </c>
      <c r="H193" s="379">
        <f>H187/Semidetached!H$4</f>
        <v>39.788859087598397</v>
      </c>
      <c r="I193" s="379">
        <f>I187/Semidetached!I$4</f>
        <v>58.126906167402559</v>
      </c>
      <c r="J193" s="379">
        <f>J187/Semidetached!J$4</f>
        <v>46.544178803746071</v>
      </c>
      <c r="K193" s="379">
        <f>K187/Semidetached!K$4</f>
        <v>35.2569633503864</v>
      </c>
      <c r="L193" s="379">
        <f>L187/Semidetached!L$4</f>
        <v>50.012802456773969</v>
      </c>
      <c r="M193" s="379">
        <f>M187/Semidetached!M$4</f>
        <v>45.638376965665522</v>
      </c>
      <c r="N193" s="379">
        <f>N187/Semidetached!N$4</f>
        <v>75.704015457859157</v>
      </c>
      <c r="O193" s="379">
        <f>O187/Semidetached!O$4</f>
        <v>37.97082609055127</v>
      </c>
      <c r="P193" s="379">
        <f>P187/Semidetached!P$4</f>
        <v>45.771192566595666</v>
      </c>
      <c r="Q193" s="379">
        <f>Q187/Semidetached!Q$4</f>
        <v>55.322429507705365</v>
      </c>
      <c r="R193" s="379">
        <f>R187/Semidetached!R$4</f>
        <v>51.96039102842731</v>
      </c>
      <c r="S193" s="379">
        <f>S187/Semidetached!S$4</f>
        <v>45.35929860498937</v>
      </c>
      <c r="T193" s="379">
        <f>T187/Semidetached!T$4</f>
        <v>64.116004270259481</v>
      </c>
      <c r="U193" s="379">
        <f>U187/Semidetached!U$4</f>
        <v>73.177426211198068</v>
      </c>
      <c r="V193" s="379">
        <f>V187/Semidetached!V$4</f>
        <v>55.952559625303998</v>
      </c>
      <c r="W193" s="379">
        <f>W187/Semidetached!W$4</f>
        <v>51.631333166080083</v>
      </c>
      <c r="X193" s="379">
        <f>X187/Semidetached!X$4</f>
        <v>54.392688364969587</v>
      </c>
      <c r="Y193" s="379">
        <f>Y187/Semidetached!Y$4</f>
        <v>28.692994914057699</v>
      </c>
      <c r="Z193" s="379">
        <f>Z187/Semidetached!Z$4</f>
        <v>49.369614986606493</v>
      </c>
      <c r="AA193" s="379">
        <f>AA187/Semidetached!AA$4</f>
        <v>57.470404945538988</v>
      </c>
      <c r="AB193" s="379">
        <f>AB187/Semidetached!AB$4</f>
        <v>83.252384532363706</v>
      </c>
      <c r="AC193" s="379">
        <f>AC187/Semidetached!AC$4</f>
        <v>46.334157362650359</v>
      </c>
      <c r="AD193" s="379">
        <f>AD187/Semidetached!AD$4</f>
        <v>107.58722796308821</v>
      </c>
      <c r="AE193" s="379">
        <f>AE187/Semidetached!AE$4</f>
        <v>55.972181588228118</v>
      </c>
      <c r="AF193" s="379">
        <f>AF187/Semidetached!AF$4</f>
        <v>38.020609932122603</v>
      </c>
      <c r="AG193" s="379">
        <f>AG187/Semidetached!AG$4</f>
        <v>79.883706663715273</v>
      </c>
      <c r="AH193" s="379">
        <f>AH187/Semidetached!AH$4</f>
        <v>54.945350002506693</v>
      </c>
      <c r="AI193" s="379">
        <f>AI187/Semidetached!AI$4</f>
        <v>44.782488698466956</v>
      </c>
      <c r="AJ193" s="379">
        <f>AJ187/Semidetached!AJ$4</f>
        <v>88.789522047373268</v>
      </c>
      <c r="AK193" s="379">
        <f>AK187/Semidetached!AK$4</f>
        <v>71.240256761632907</v>
      </c>
      <c r="AL193" s="379">
        <f>AL187/Semidetached!AL$4</f>
        <v>58.341651999006487</v>
      </c>
      <c r="AM193" s="379">
        <f>AM187/Semidetached!AM$4</f>
        <v>81.648680951845321</v>
      </c>
      <c r="AN193" s="380">
        <f>AN187/Semidetached!AN$4</f>
        <v>81.648680951845321</v>
      </c>
    </row>
    <row r="194" spans="1:40">
      <c r="A194" s="334" t="s">
        <v>299</v>
      </c>
      <c r="B194" s="359" t="s">
        <v>2</v>
      </c>
      <c r="C194" s="366" t="s">
        <v>190</v>
      </c>
      <c r="D194" s="376">
        <f>Semidetached!D$48-D188</f>
        <v>47.245753612345794</v>
      </c>
      <c r="E194" s="376">
        <f>Semidetached!E$48-E188</f>
        <v>45.210949948588421</v>
      </c>
      <c r="F194" s="376">
        <f>Semidetached!F$48-F188</f>
        <v>48.463066111440313</v>
      </c>
      <c r="G194" s="376">
        <f>Semidetached!G$48-G188</f>
        <v>45.099574998543233</v>
      </c>
      <c r="H194" s="376">
        <f>Semidetached!H$48-H188</f>
        <v>15.088451363291519</v>
      </c>
      <c r="I194" s="376">
        <f>Semidetached!I$48-I188</f>
        <v>21.727215685593507</v>
      </c>
      <c r="J194" s="376">
        <f>Semidetached!J$48-J188</f>
        <v>50.108034585121402</v>
      </c>
      <c r="K194" s="376">
        <f>Semidetached!K$48-K188</f>
        <v>20.214253229950685</v>
      </c>
      <c r="L194" s="376">
        <f>Semidetached!L$48-L188</f>
        <v>13.459476006405339</v>
      </c>
      <c r="M194" s="376">
        <f>Semidetached!M$48-M188</f>
        <v>41.366120231030834</v>
      </c>
      <c r="N194" s="376">
        <f>Semidetached!N$48-N188</f>
        <v>23.446450726552769</v>
      </c>
      <c r="O194" s="376">
        <f>Semidetached!O$48-O188</f>
        <v>56.238456786300389</v>
      </c>
      <c r="P194" s="376">
        <f>Semidetached!P$48-P188</f>
        <v>37.463925844132859</v>
      </c>
      <c r="Q194" s="376">
        <f>Semidetached!Q$48-Q188</f>
        <v>33.544963281704511</v>
      </c>
      <c r="R194" s="376">
        <f>Semidetached!R$48-R188</f>
        <v>45.033197755598309</v>
      </c>
      <c r="S194" s="376">
        <f>Semidetached!S$48-S188</f>
        <v>40.722695766180649</v>
      </c>
      <c r="T194" s="376">
        <f>Semidetached!T$48-T188</f>
        <v>19.846081277140129</v>
      </c>
      <c r="U194" s="376">
        <f>Semidetached!U$48-U188</f>
        <v>29.766601953685765</v>
      </c>
      <c r="V194" s="376">
        <f>Semidetached!V$48-V188</f>
        <v>33.059026021298948</v>
      </c>
      <c r="W194" s="376">
        <f>Semidetached!W$48-W188</f>
        <v>27.141033308101498</v>
      </c>
      <c r="X194" s="376">
        <f>Semidetached!X$48-X188</f>
        <v>34.584187651617526</v>
      </c>
      <c r="Y194" s="376">
        <f>Semidetached!Y$48-Y188</f>
        <v>14.388749139068587</v>
      </c>
      <c r="Z194" s="376">
        <f>Semidetached!Z$48-Z188</f>
        <v>43.3515305688517</v>
      </c>
      <c r="AA194" s="376">
        <f>Semidetached!AA$48-AA188</f>
        <v>14.771751443276244</v>
      </c>
      <c r="AB194" s="376">
        <f>Semidetached!AB$48-AB188</f>
        <v>59.869424035957422</v>
      </c>
      <c r="AC194" s="376">
        <f>Semidetached!AC$48-AC188</f>
        <v>21.542025059377494</v>
      </c>
      <c r="AD194" s="376">
        <f>Semidetached!AD$48-AD188</f>
        <v>65.08258349378778</v>
      </c>
      <c r="AE194" s="376">
        <f>Semidetached!AE$48-AE188</f>
        <v>14.394121179966973</v>
      </c>
      <c r="AF194" s="376">
        <f>Semidetached!AF$48-AF188</f>
        <v>39.104116651435277</v>
      </c>
      <c r="AG194" s="376">
        <f>Semidetached!AG$48-AG188</f>
        <v>45.648846652328217</v>
      </c>
      <c r="AH194" s="376">
        <f>Semidetached!AH$48-AH188</f>
        <v>53.363526068275064</v>
      </c>
      <c r="AI194" s="376">
        <f>Semidetached!AI$48-AI188</f>
        <v>34.611080531616196</v>
      </c>
      <c r="AJ194" s="376">
        <f>Semidetached!AJ$48-AJ188</f>
        <v>45.073664763639428</v>
      </c>
      <c r="AK194" s="376">
        <f>Semidetached!AK$48-AK188</f>
        <v>35.196734292841938</v>
      </c>
      <c r="AL194" s="376">
        <f>Semidetached!AL$48-AL188</f>
        <v>46.921998779954635</v>
      </c>
      <c r="AM194" s="376">
        <f>Semidetached!AM$48-AM188</f>
        <v>41.448643812422716</v>
      </c>
      <c r="AN194" s="377">
        <f>Semidetached!AN$48-AN188</f>
        <v>41.448643812422731</v>
      </c>
    </row>
    <row r="195" spans="1:40">
      <c r="A195" s="154"/>
      <c r="B195" s="347" t="s">
        <v>3</v>
      </c>
      <c r="C195" s="367" t="s">
        <v>190</v>
      </c>
      <c r="D195" s="370">
        <f>Semidetached!D$49-D189</f>
        <v>36.424075545242161</v>
      </c>
      <c r="E195" s="370">
        <f>Semidetached!E$49-E189</f>
        <v>45.210949948588421</v>
      </c>
      <c r="F195" s="370">
        <f>Semidetached!F$49-F189</f>
        <v>48.463066111440313</v>
      </c>
      <c r="G195" s="370">
        <f>Semidetached!G$49-G189</f>
        <v>34.765396832969685</v>
      </c>
      <c r="H195" s="370">
        <f>Semidetached!H$49-H189</f>
        <v>11.939899305965561</v>
      </c>
      <c r="I195" s="370">
        <f>Semidetached!I$49-I189</f>
        <v>20.982395534496064</v>
      </c>
      <c r="J195" s="370">
        <f>Semidetached!J$49-J189</f>
        <v>33.697879551404384</v>
      </c>
      <c r="K195" s="370">
        <f>Semidetached!K$49-K189</f>
        <v>20.57991477170826</v>
      </c>
      <c r="L195" s="370">
        <f>Semidetached!L$49-L189</f>
        <v>13.459476006405339</v>
      </c>
      <c r="M195" s="370">
        <f>Semidetached!M$49-M189</f>
        <v>34.00963741158624</v>
      </c>
      <c r="N195" s="370">
        <f>Semidetached!N$49-N189</f>
        <v>21.443907608834451</v>
      </c>
      <c r="O195" s="370">
        <f>Semidetached!O$49-O189</f>
        <v>56.238456786300389</v>
      </c>
      <c r="P195" s="370">
        <f>Semidetached!P$49-P189</f>
        <v>37.463925844132859</v>
      </c>
      <c r="Q195" s="370">
        <f>Semidetached!Q$49-Q189</f>
        <v>39.918025598690292</v>
      </c>
      <c r="R195" s="370">
        <f>Semidetached!R$49-R189</f>
        <v>45.033197755598309</v>
      </c>
      <c r="S195" s="370">
        <f>Semidetached!S$49-S189</f>
        <v>40.56747897317814</v>
      </c>
      <c r="T195" s="370">
        <f>Semidetached!T$49-T189</f>
        <v>18.152216665571004</v>
      </c>
      <c r="U195" s="370">
        <f>Semidetached!U$49-U189</f>
        <v>25.650543939881743</v>
      </c>
      <c r="V195" s="370">
        <f>Semidetached!V$49-V189</f>
        <v>33.059026021298948</v>
      </c>
      <c r="W195" s="370">
        <f>Semidetached!W$49-W189</f>
        <v>50.991523034580325</v>
      </c>
      <c r="X195" s="370">
        <f>Semidetached!X$49-X189</f>
        <v>34.641348061739905</v>
      </c>
      <c r="Y195" s="370">
        <f>Semidetached!Y$49-Y189</f>
        <v>14.394345510987314</v>
      </c>
      <c r="Z195" s="370">
        <f>Semidetached!Z$49-Z189</f>
        <v>36.083882820579973</v>
      </c>
      <c r="AA195" s="370">
        <f>Semidetached!AA$49-AA189</f>
        <v>14.779989093076509</v>
      </c>
      <c r="AB195" s="370">
        <f>Semidetached!AB$49-AB189</f>
        <v>39.088257868060779</v>
      </c>
      <c r="AC195" s="370">
        <f>Semidetached!AC$49-AC189</f>
        <v>14.882047777088317</v>
      </c>
      <c r="AD195" s="370">
        <f>Semidetached!AD$49-AD189</f>
        <v>57.251731107109777</v>
      </c>
      <c r="AE195" s="370">
        <f>Semidetached!AE$49-AE189</f>
        <v>14.40227077448121</v>
      </c>
      <c r="AF195" s="370">
        <f>Semidetached!AF$49-AF189</f>
        <v>39.104116651435277</v>
      </c>
      <c r="AG195" s="370">
        <f>Semidetached!AG$49-AG189</f>
        <v>34.600495395022818</v>
      </c>
      <c r="AH195" s="370">
        <f>Semidetached!AH$49-AH189</f>
        <v>59.475036329266686</v>
      </c>
      <c r="AI195" s="370">
        <f>Semidetached!AI$49-AI189</f>
        <v>34.611080531616196</v>
      </c>
      <c r="AJ195" s="370">
        <f>Semidetached!AJ$49-AJ189</f>
        <v>45.073664763639428</v>
      </c>
      <c r="AK195" s="370">
        <f>Semidetached!AK$49-AK189</f>
        <v>35.196734292841938</v>
      </c>
      <c r="AL195" s="370">
        <f>Semidetached!AL$49-AL189</f>
        <v>46.921998779954635</v>
      </c>
      <c r="AM195" s="370">
        <f>Semidetached!AM$49-AM189</f>
        <v>41.448643812422716</v>
      </c>
      <c r="AN195" s="371">
        <f>Semidetached!AN$49-AN189</f>
        <v>41.448643812422731</v>
      </c>
    </row>
    <row r="196" spans="1:40">
      <c r="A196" s="154"/>
      <c r="B196" s="347" t="s">
        <v>4</v>
      </c>
      <c r="C196" s="367" t="s">
        <v>190</v>
      </c>
      <c r="D196" s="370">
        <f>Semidetached!D$50-D190</f>
        <v>27.005270594392996</v>
      </c>
      <c r="E196" s="370">
        <f>Semidetached!E$50-E190</f>
        <v>45.210949948588421</v>
      </c>
      <c r="F196" s="370">
        <f>Semidetached!F$50-F190</f>
        <v>44.127715713042477</v>
      </c>
      <c r="G196" s="370">
        <f>Semidetached!G$50-G190</f>
        <v>25.78204236660541</v>
      </c>
      <c r="H196" s="370">
        <f>Semidetached!H$50-H190</f>
        <v>8.7615136900907302</v>
      </c>
      <c r="I196" s="370">
        <f>Semidetached!I$50-I190</f>
        <v>20.982395534496064</v>
      </c>
      <c r="J196" s="370">
        <f>Semidetached!J$50-J190</f>
        <v>16.270753851921256</v>
      </c>
      <c r="K196" s="370">
        <f>Semidetached!K$50-K190</f>
        <v>9.3744260334702645</v>
      </c>
      <c r="L196" s="370">
        <f>Semidetached!L$50-L190</f>
        <v>7.5986209391940065</v>
      </c>
      <c r="M196" s="370">
        <f>Semidetached!M$50-M190</f>
        <v>34.00963741158624</v>
      </c>
      <c r="N196" s="370">
        <f>Semidetached!N$50-N190</f>
        <v>13.092961521849688</v>
      </c>
      <c r="O196" s="370">
        <f>Semidetached!O$50-O190</f>
        <v>18.975065500064673</v>
      </c>
      <c r="P196" s="370">
        <f>Semidetached!P$50-P190</f>
        <v>37.463925844132859</v>
      </c>
      <c r="Q196" s="370">
        <f>Semidetached!Q$50-Q190</f>
        <v>33.956778219717577</v>
      </c>
      <c r="R196" s="370">
        <f>Semidetached!R$50-R190</f>
        <v>34.732111259870649</v>
      </c>
      <c r="S196" s="370">
        <f>Semidetached!S$50-S190</f>
        <v>42.317599307219098</v>
      </c>
      <c r="T196" s="370">
        <f>Semidetached!T$50-T190</f>
        <v>11.083585636256458</v>
      </c>
      <c r="U196" s="370">
        <f>Semidetached!U$50-U190</f>
        <v>25.975054498287477</v>
      </c>
      <c r="V196" s="370">
        <f>Semidetached!V$50-V190</f>
        <v>14.182399651876906</v>
      </c>
      <c r="W196" s="370">
        <f>Semidetached!W$50-W190</f>
        <v>14.798049018891177</v>
      </c>
      <c r="X196" s="370">
        <f>Semidetached!X$50-X190</f>
        <v>30.102499794288605</v>
      </c>
      <c r="Y196" s="370">
        <f>Semidetached!Y$50-Y190</f>
        <v>8.1337040601758872</v>
      </c>
      <c r="Z196" s="370">
        <f>Semidetached!Z$50-Z190</f>
        <v>36.419318339430248</v>
      </c>
      <c r="AA196" s="370">
        <f>Semidetached!AA$50-AA190</f>
        <v>5.2287458161858353</v>
      </c>
      <c r="AB196" s="370">
        <f>Semidetached!AB$50-AB190</f>
        <v>19.285467379060179</v>
      </c>
      <c r="AC196" s="370">
        <f>Semidetached!AC$50-AC190</f>
        <v>14.948526852354291</v>
      </c>
      <c r="AD196" s="370">
        <f>Semidetached!AD$50-AD190</f>
        <v>57.251731107109777</v>
      </c>
      <c r="AE196" s="370">
        <f>Semidetached!AE$50-AE190</f>
        <v>5.0932400996076552</v>
      </c>
      <c r="AF196" s="370">
        <f>Semidetached!AF$50-AF190</f>
        <v>39.956407603732117</v>
      </c>
      <c r="AG196" s="370">
        <f>Semidetached!AG$50-AG190</f>
        <v>34.600495395022818</v>
      </c>
      <c r="AH196" s="370">
        <f>Semidetached!AH$50-AH190</f>
        <v>47.396517368642805</v>
      </c>
      <c r="AI196" s="370">
        <f>Semidetached!AI$50-AI190</f>
        <v>34.611080531616196</v>
      </c>
      <c r="AJ196" s="370">
        <f>Semidetached!AJ$50-AJ190</f>
        <v>45.073664763639428</v>
      </c>
      <c r="AK196" s="370">
        <f>Semidetached!AK$50-AK190</f>
        <v>35.196734292841938</v>
      </c>
      <c r="AL196" s="370">
        <f>Semidetached!AL$50-AL190</f>
        <v>42.729746716718125</v>
      </c>
      <c r="AM196" s="370">
        <f>Semidetached!AM$50-AM190</f>
        <v>41.448643812422716</v>
      </c>
      <c r="AN196" s="371">
        <f>Semidetached!AN$50-AN190</f>
        <v>41.448643812422731</v>
      </c>
    </row>
    <row r="197" spans="1:40">
      <c r="A197" s="154"/>
      <c r="B197" s="347" t="s">
        <v>5</v>
      </c>
      <c r="C197" s="367" t="s">
        <v>190</v>
      </c>
      <c r="D197" s="370">
        <f>Semidetached!D$51-D191</f>
        <v>15.173729762097295</v>
      </c>
      <c r="E197" s="370">
        <f>Semidetached!E$51-E191</f>
        <v>37.018393689976918</v>
      </c>
      <c r="F197" s="370">
        <f>Semidetached!F$51-F191</f>
        <v>33.595915460985438</v>
      </c>
      <c r="G197" s="370">
        <f>Semidetached!G$51-G191</f>
        <v>14.490489800829366</v>
      </c>
      <c r="H197" s="370">
        <f>Semidetached!H$51-H191</f>
        <v>8.8229465750377187</v>
      </c>
      <c r="I197" s="370">
        <f>Semidetached!I$51-I191</f>
        <v>17.518244566716476</v>
      </c>
      <c r="J197" s="370">
        <f>Semidetached!J$51-J191</f>
        <v>14.392050812372133</v>
      </c>
      <c r="K197" s="370">
        <f>Semidetached!K$51-K191</f>
        <v>5.5311832594300725</v>
      </c>
      <c r="L197" s="370">
        <f>Semidetached!L$51-L191</f>
        <v>5.1240153582432413</v>
      </c>
      <c r="M197" s="370">
        <f>Semidetached!M$51-M191</f>
        <v>25.535335344329269</v>
      </c>
      <c r="N197" s="370">
        <f>Semidetached!N$51-N191</f>
        <v>7.4532180814915563</v>
      </c>
      <c r="O197" s="370">
        <f>Semidetached!O$51-O191</f>
        <v>15.088374069247195</v>
      </c>
      <c r="P197" s="370">
        <f>Semidetached!P$51-P191</f>
        <v>37.723238721497992</v>
      </c>
      <c r="Q197" s="370">
        <f>Semidetached!Q$51-Q191</f>
        <v>33.956778219717577</v>
      </c>
      <c r="R197" s="370">
        <f>Semidetached!R$51-R191</f>
        <v>18.093422794798968</v>
      </c>
      <c r="S197" s="370">
        <f>Semidetached!S$51-S191</f>
        <v>25.262942491698723</v>
      </c>
      <c r="T197" s="370">
        <f>Semidetached!T$51-T191</f>
        <v>6.3093746995968019</v>
      </c>
      <c r="U197" s="370">
        <f>Semidetached!U$51-U191</f>
        <v>14.025306672392844</v>
      </c>
      <c r="V197" s="370">
        <f>Semidetached!V$51-V191</f>
        <v>14.182399651876906</v>
      </c>
      <c r="W197" s="370">
        <f>Semidetached!W$51-W191</f>
        <v>13.293526942965229</v>
      </c>
      <c r="X197" s="370">
        <f>Semidetached!X$51-X191</f>
        <v>13.464770268966817</v>
      </c>
      <c r="Y197" s="370">
        <f>Semidetached!Y$51-Y191</f>
        <v>8.313245427335108</v>
      </c>
      <c r="Z197" s="370">
        <f>Semidetached!Z$51-Z191</f>
        <v>9.4313544006134151</v>
      </c>
      <c r="AA197" s="370">
        <f>Semidetached!AA$51-AA191</f>
        <v>5.2392045806507497</v>
      </c>
      <c r="AB197" s="370">
        <f>Semidetached!AB$51-AB191</f>
        <v>19.285467379060179</v>
      </c>
      <c r="AC197" s="370">
        <f>Semidetached!AC$51-AC191</f>
        <v>13.667510179464415</v>
      </c>
      <c r="AD197" s="370">
        <f>Semidetached!AD$51-AD191</f>
        <v>40.799693065347071</v>
      </c>
      <c r="AE197" s="370">
        <f>Semidetached!AE$51-AE191</f>
        <v>5.1035606689297168</v>
      </c>
      <c r="AF197" s="370">
        <f>Semidetached!AF$51-AF191</f>
        <v>22.175499269244554</v>
      </c>
      <c r="AG197" s="370">
        <f>Semidetached!AG$51-AG191</f>
        <v>27.451553129805149</v>
      </c>
      <c r="AH197" s="370">
        <f>Semidetached!AH$51-AH191</f>
        <v>12.620368810452376</v>
      </c>
      <c r="AI197" s="370">
        <f>Semidetached!AI$51-AI191</f>
        <v>34.855640311590918</v>
      </c>
      <c r="AJ197" s="370">
        <f>Semidetached!AJ$51-AJ191</f>
        <v>35.623470636773931</v>
      </c>
      <c r="AK197" s="370">
        <f>Semidetached!AK$51-AK191</f>
        <v>27.857565904240786</v>
      </c>
      <c r="AL197" s="370">
        <f>Semidetached!AL$51-AL191</f>
        <v>32.540926607109242</v>
      </c>
      <c r="AM197" s="370">
        <f>Semidetached!AM$51-AM191</f>
        <v>32.75847556502795</v>
      </c>
      <c r="AN197" s="371">
        <f>Semidetached!AN$51-AN191</f>
        <v>32.758475565027936</v>
      </c>
    </row>
    <row r="198" spans="1:40">
      <c r="A198" s="154"/>
      <c r="B198" s="347" t="s">
        <v>6</v>
      </c>
      <c r="C198" s="367" t="s">
        <v>190</v>
      </c>
      <c r="D198" s="370">
        <f>Semidetached!D$52-D192</f>
        <v>10.270782334513761</v>
      </c>
      <c r="E198" s="370">
        <f>Semidetached!E$52-E192</f>
        <v>37.018393689976918</v>
      </c>
      <c r="F198" s="370">
        <f>Semidetached!F$52-F192</f>
        <v>24.707819731738027</v>
      </c>
      <c r="G198" s="370">
        <f>Semidetached!G$52-G192</f>
        <v>9.8079440137473668</v>
      </c>
      <c r="H198" s="370">
        <f>Semidetached!H$52-H192</f>
        <v>8.9637320019297633</v>
      </c>
      <c r="I198" s="370">
        <f>Semidetached!I$52-I192</f>
        <v>9.1140231292398255</v>
      </c>
      <c r="J198" s="370">
        <f>Semidetached!J$52-J192</f>
        <v>3.8252373293798456</v>
      </c>
      <c r="K198" s="370">
        <f>Semidetached!K$52-K192</f>
        <v>5.5311832594300725</v>
      </c>
      <c r="L198" s="370">
        <f>Semidetached!L$52-L192</f>
        <v>4.2312889703021881</v>
      </c>
      <c r="M198" s="370">
        <f>Semidetached!M$52-M192</f>
        <v>25.535335344329269</v>
      </c>
      <c r="N198" s="370">
        <f>Semidetached!N$52-N192</f>
        <v>7.2464541693517077</v>
      </c>
      <c r="O198" s="370">
        <f>Semidetached!O$52-O192</f>
        <v>5.1469195154778049</v>
      </c>
      <c r="P198" s="370">
        <f>Semidetached!P$52-P192</f>
        <v>37.723238721497992</v>
      </c>
      <c r="Q198" s="370">
        <f>Semidetached!Q$52-Q192</f>
        <v>19.321378161443334</v>
      </c>
      <c r="R198" s="370">
        <f>Semidetached!R$52-R192</f>
        <v>18.093422794798968</v>
      </c>
      <c r="S198" s="370">
        <f>Semidetached!S$52-S192</f>
        <v>15.426203625738026</v>
      </c>
      <c r="T198" s="370">
        <f>Semidetached!T$52-T192</f>
        <v>6.1343922249853904</v>
      </c>
      <c r="U198" s="370">
        <f>Semidetached!U$52-U192</f>
        <v>11.190358034084028</v>
      </c>
      <c r="V198" s="370">
        <f>Semidetached!V$52-V192</f>
        <v>14.182399651876906</v>
      </c>
      <c r="W198" s="370">
        <f>Semidetached!W$52-W192</f>
        <v>10.362737644824762</v>
      </c>
      <c r="X198" s="370">
        <f>Semidetached!X$52-X192</f>
        <v>13.522976971162834</v>
      </c>
      <c r="Y198" s="370">
        <f>Semidetached!Y$52-Y192</f>
        <v>8.3508282190156216</v>
      </c>
      <c r="Z198" s="370">
        <f>Semidetached!Z$52-Z192</f>
        <v>7.9580947867306691</v>
      </c>
      <c r="AA198" s="370">
        <f>Semidetached!AA$52-AA192</f>
        <v>2.9652973052972982</v>
      </c>
      <c r="AB198" s="370">
        <f>Semidetached!AB$52-AB192</f>
        <v>19.285467379060179</v>
      </c>
      <c r="AC198" s="370">
        <f>Semidetached!AC$52-AC192</f>
        <v>11.178154361002015</v>
      </c>
      <c r="AD198" s="370">
        <f>Semidetached!AD$52-AD192</f>
        <v>40.799693065347071</v>
      </c>
      <c r="AE198" s="370">
        <f>Semidetached!AE$52-AE192</f>
        <v>2.8883209677847574</v>
      </c>
      <c r="AF198" s="370">
        <f>Semidetached!AF$52-AF192</f>
        <v>12.722019764668467</v>
      </c>
      <c r="AG198" s="370">
        <f>Semidetached!AG$52-AG192</f>
        <v>28.077209795512744</v>
      </c>
      <c r="AH198" s="370">
        <f>Semidetached!AH$52-AH192</f>
        <v>7.9964095286933485</v>
      </c>
      <c r="AI198" s="370">
        <f>Semidetached!AI$52-AI192</f>
        <v>34.855640311590918</v>
      </c>
      <c r="AJ198" s="370">
        <f>Semidetached!AJ$52-AJ192</f>
        <v>31.804522119091786</v>
      </c>
      <c r="AK198" s="370">
        <f>Semidetached!AK$52-AK192</f>
        <v>24.891059466111727</v>
      </c>
      <c r="AL198" s="370">
        <f>Semidetached!AL$52-AL192</f>
        <v>23.955575843273465</v>
      </c>
      <c r="AM198" s="370">
        <f>Semidetached!AM$52-AM192</f>
        <v>29.24666356399716</v>
      </c>
      <c r="AN198" s="371">
        <f>Semidetached!AN$52-AN192</f>
        <v>29.24666356399716</v>
      </c>
    </row>
    <row r="199" spans="1:40">
      <c r="A199" s="155"/>
      <c r="B199" s="338" t="s">
        <v>7</v>
      </c>
      <c r="C199" s="368" t="s">
        <v>190</v>
      </c>
      <c r="D199" s="379">
        <f>Semidetached!D$53-D193</f>
        <v>8.8760339478388701</v>
      </c>
      <c r="E199" s="379">
        <f>Semidetached!E$53-E193</f>
        <v>15.441812323215046</v>
      </c>
      <c r="F199" s="379">
        <f>Semidetached!F$53-F193</f>
        <v>7.6455808423460567</v>
      </c>
      <c r="G199" s="379">
        <f>Semidetached!G$53-G193</f>
        <v>8.47777043634715</v>
      </c>
      <c r="H199" s="379">
        <f>Semidetached!H$53-H193</f>
        <v>9.3313180836255754</v>
      </c>
      <c r="I199" s="379">
        <f>Semidetached!I$53-I193</f>
        <v>7.2073926505223156</v>
      </c>
      <c r="J199" s="379">
        <f>Semidetached!J$53-J193</f>
        <v>5.5447187742154327</v>
      </c>
      <c r="K199" s="379">
        <f>Semidetached!K$53-K193</f>
        <v>3.2240140411356037</v>
      </c>
      <c r="L199" s="379">
        <f>Semidetached!L$53-L193</f>
        <v>4.2312889703021881</v>
      </c>
      <c r="M199" s="379">
        <f>Semidetached!M$53-M193</f>
        <v>10.205400307407494</v>
      </c>
      <c r="N199" s="379">
        <f>Semidetached!N$53-N193</f>
        <v>6.5011660456933384</v>
      </c>
      <c r="O199" s="379">
        <f>Semidetached!O$53-O193</f>
        <v>4.8467020626308255</v>
      </c>
      <c r="P199" s="379">
        <f>Semidetached!P$53-P193</f>
        <v>7.2248174150855746</v>
      </c>
      <c r="Q199" s="379">
        <f>Semidetached!Q$53-Q193</f>
        <v>5.0015260559948942</v>
      </c>
      <c r="R199" s="379">
        <f>Semidetached!R$53-R193</f>
        <v>8.0031702458077305</v>
      </c>
      <c r="S199" s="379">
        <f>Semidetached!S$53-S193</f>
        <v>4.0830682340983273</v>
      </c>
      <c r="T199" s="379">
        <f>Semidetached!T$53-T193</f>
        <v>5.5035190352747918</v>
      </c>
      <c r="U199" s="379">
        <f>Semidetached!U$53-U193</f>
        <v>11.258696553355747</v>
      </c>
      <c r="V199" s="379">
        <f>Semidetached!V$53-V193</f>
        <v>2.3717821109683612</v>
      </c>
      <c r="W199" s="379">
        <f>Semidetached!W$53-W193</f>
        <v>6.4166076405475749</v>
      </c>
      <c r="X199" s="379">
        <f>Semidetached!X$53-X193</f>
        <v>2.5232761042040863</v>
      </c>
      <c r="Y199" s="379">
        <f>Semidetached!Y$53-Y193</f>
        <v>7.2123881792765019</v>
      </c>
      <c r="Z199" s="379">
        <f>Semidetached!Z$53-Z193</f>
        <v>5.6208203912333232</v>
      </c>
      <c r="AA199" s="379">
        <f>Semidetached!AA$53-AA193</f>
        <v>3.0184647932426287</v>
      </c>
      <c r="AB199" s="379">
        <f>Semidetached!AB$53-AB193</f>
        <v>8.4818130503503255</v>
      </c>
      <c r="AC199" s="379">
        <f>Semidetached!AC$53-AC193</f>
        <v>6.3178030645392056</v>
      </c>
      <c r="AD199" s="379">
        <f>Semidetached!AD$53-AD193</f>
        <v>24.998002616596281</v>
      </c>
      <c r="AE199" s="379">
        <f>Semidetached!AE$53-AE193</f>
        <v>2.9408086103317572</v>
      </c>
      <c r="AF199" s="379">
        <f>Semidetached!AF$53-AF193</f>
        <v>3.987364697771433</v>
      </c>
      <c r="AG199" s="379">
        <f>Semidetached!AG$53-AG193</f>
        <v>9.251553926442611</v>
      </c>
      <c r="AH199" s="379">
        <f>Semidetached!AH$53-AH193</f>
        <v>5.00712618161009</v>
      </c>
      <c r="AI199" s="379">
        <f>Semidetached!AI$53-AI193</f>
        <v>6.6778021364454574</v>
      </c>
      <c r="AJ199" s="379">
        <f>Semidetached!AJ$53-AJ193</f>
        <v>24.348975209455233</v>
      </c>
      <c r="AK199" s="379">
        <f>Semidetached!AK$53-AK193</f>
        <v>19.046583678165035</v>
      </c>
      <c r="AL199" s="379">
        <f>Semidetached!AL$53-AL193</f>
        <v>7.4130851403108551</v>
      </c>
      <c r="AM199" s="379">
        <f>Semidetached!AM$53-AM193</f>
        <v>22.390724294252635</v>
      </c>
      <c r="AN199" s="380">
        <f>Semidetached!AN$53-AN193</f>
        <v>22.390724294252621</v>
      </c>
    </row>
    <row r="200" spans="1:40">
      <c r="A200" s="5"/>
      <c r="B200" s="5"/>
      <c r="C200" s="5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64"/>
      <c r="AJ200" s="164"/>
      <c r="AK200" s="164"/>
      <c r="AL200" s="164"/>
      <c r="AM200" s="164"/>
      <c r="AN200" s="164"/>
    </row>
    <row r="201" spans="1:40">
      <c r="A201" s="5" t="s">
        <v>220</v>
      </c>
      <c r="B201" s="5"/>
      <c r="C201" s="5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</row>
    <row r="202" spans="1:40" ht="15" customHeight="1">
      <c r="A202" s="938" t="s">
        <v>123</v>
      </c>
      <c r="B202" s="939"/>
      <c r="C202" s="138" t="s">
        <v>76</v>
      </c>
      <c r="D202" s="194">
        <v>1</v>
      </c>
      <c r="E202" s="195">
        <v>1</v>
      </c>
      <c r="F202" s="195">
        <v>1</v>
      </c>
      <c r="G202" s="195">
        <v>1</v>
      </c>
      <c r="H202" s="195">
        <v>1</v>
      </c>
      <c r="I202" s="195">
        <v>1</v>
      </c>
      <c r="J202" s="195">
        <v>1</v>
      </c>
      <c r="K202" s="195">
        <v>1</v>
      </c>
      <c r="L202" s="195">
        <v>1</v>
      </c>
      <c r="M202" s="195">
        <v>1</v>
      </c>
      <c r="N202" s="195">
        <v>1</v>
      </c>
      <c r="O202" s="195">
        <v>1</v>
      </c>
      <c r="P202" s="195">
        <v>1</v>
      </c>
      <c r="Q202" s="195">
        <v>1</v>
      </c>
      <c r="R202" s="195">
        <v>1</v>
      </c>
      <c r="S202" s="195">
        <v>1</v>
      </c>
      <c r="T202" s="195">
        <v>1</v>
      </c>
      <c r="U202" s="195">
        <v>1</v>
      </c>
      <c r="V202" s="195">
        <v>1</v>
      </c>
      <c r="W202" s="195">
        <v>1</v>
      </c>
      <c r="X202" s="195">
        <v>1</v>
      </c>
      <c r="Y202" s="195">
        <v>1</v>
      </c>
      <c r="Z202" s="195">
        <v>1</v>
      </c>
      <c r="AA202" s="195">
        <v>1</v>
      </c>
      <c r="AB202" s="195">
        <v>1</v>
      </c>
      <c r="AC202" s="195">
        <v>1</v>
      </c>
      <c r="AD202" s="195">
        <v>1</v>
      </c>
      <c r="AE202" s="195">
        <v>1</v>
      </c>
      <c r="AF202" s="195">
        <v>1</v>
      </c>
      <c r="AG202" s="195">
        <v>1</v>
      </c>
      <c r="AH202" s="195">
        <v>1</v>
      </c>
      <c r="AI202" s="195">
        <v>1</v>
      </c>
      <c r="AJ202" s="195">
        <v>1</v>
      </c>
      <c r="AK202" s="195">
        <v>1</v>
      </c>
      <c r="AL202" s="195">
        <v>1</v>
      </c>
      <c r="AM202" s="195">
        <v>1</v>
      </c>
      <c r="AN202" s="196">
        <v>1</v>
      </c>
    </row>
    <row r="203" spans="1:40">
      <c r="A203" s="151" t="s">
        <v>193</v>
      </c>
      <c r="B203" s="141" t="s">
        <v>2</v>
      </c>
      <c r="C203" s="144" t="s">
        <v>195</v>
      </c>
      <c r="D203" s="170">
        <f>((LOOKUP(Semidetached!D$2,'Ceiling-U'!$A$4:$A$40,'Ceiling-U'!$E$4:$E$40)*Semidetached!D$15)+(LOOKUP(Semidetached!D$2,'Floor-U'!$A$4:$A$40,'Floor-U'!$E$4:$E$40)*Semidetached!D$16)+(LOOKUP(Semidetached!D$2,'Wall-U'!$A$4:$A$40,'Wall-U'!$X$4:$X$40)*Semidetached!D$13)+(LOOKUP(Semidetached!D$2,'Window-U'!$A$4:$A$40,'Window-U'!$E$4:$E$40)*Semidetached!D$22))*D202</f>
        <v>1040.5816937504258</v>
      </c>
      <c r="E203" s="171">
        <f>((LOOKUP(Semidetached!E$2,'Ceiling-U'!$A$4:$A$40,'Ceiling-U'!$E$4:$E$40)*Semidetached!E$15)+(LOOKUP(Semidetached!E$2,'Floor-U'!$A$4:$A$40,'Floor-U'!$E$4:$E$40)*Semidetached!E$16)+(LOOKUP(Semidetached!E$2,'Wall-U'!$A$4:$A$40,'Wall-U'!$X$4:$X$40)*Semidetached!E$13)+(LOOKUP(Semidetached!E$2,'Window-U'!$A$4:$A$40,'Window-U'!$E$4:$E$40)*Semidetached!E$22))*E202</f>
        <v>1394.8557526333223</v>
      </c>
      <c r="F203" s="171">
        <f>((LOOKUP(Semidetached!F$2,'Ceiling-U'!$A$4:$A$40,'Ceiling-U'!$E$4:$E$40)*Semidetached!F$15)+(LOOKUP(Semidetached!F$2,'Floor-U'!$A$4:$A$40,'Floor-U'!$E$4:$E$40)*Semidetached!F$16)+(LOOKUP(Semidetached!F$2,'Wall-U'!$A$4:$A$40,'Wall-U'!$X$4:$X$40)*Semidetached!F$13)+(LOOKUP(Semidetached!F$2,'Window-U'!$A$4:$A$40,'Window-U'!$E$4:$E$40)*Semidetached!F$22))*F202</f>
        <v>680.28293835592513</v>
      </c>
      <c r="G203" s="171">
        <f>((LOOKUP(Semidetached!G$2,'Ceiling-U'!$A$4:$A$40,'Ceiling-U'!$E$4:$E$40)*Semidetached!G$15)+(LOOKUP(Semidetached!G$2,'Floor-U'!$A$4:$A$40,'Floor-U'!$E$4:$E$40)*Semidetached!G$16)+(LOOKUP(Semidetached!G$2,'Wall-U'!$A$4:$A$40,'Wall-U'!$X$4:$X$40)*Semidetached!G$13)+(LOOKUP(Semidetached!G$2,'Window-U'!$A$4:$A$40,'Window-U'!$E$4:$E$40)*Semidetached!G$22))*G202</f>
        <v>1079.7594130676098</v>
      </c>
      <c r="H203" s="171">
        <f>((LOOKUP(Semidetached!H$2,'Ceiling-U'!$A$4:$A$40,'Ceiling-U'!$E$4:$E$40)*Semidetached!H$15)+(LOOKUP(Semidetached!H$2,'Floor-U'!$A$4:$A$40,'Floor-U'!$E$4:$E$40)*Semidetached!H$16)+(LOOKUP(Semidetached!H$2,'Wall-U'!$A$4:$A$40,'Wall-U'!$X$4:$X$40)*Semidetached!H$13)+(LOOKUP(Semidetached!H$2,'Window-U'!$A$4:$A$40,'Window-U'!$E$4:$E$40)*Semidetached!H$22))*H202</f>
        <v>2059.8292744424025</v>
      </c>
      <c r="I203" s="171">
        <f>((LOOKUP(Semidetached!I$2,'Ceiling-U'!$A$4:$A$40,'Ceiling-U'!$E$4:$E$40)*Semidetached!I$15)+(LOOKUP(Semidetached!I$2,'Floor-U'!$A$4:$A$40,'Floor-U'!$E$4:$E$40)*Semidetached!I$16)+(LOOKUP(Semidetached!I$2,'Wall-U'!$A$4:$A$40,'Wall-U'!$X$4:$X$40)*Semidetached!I$13)+(LOOKUP(Semidetached!I$2,'Window-U'!$A$4:$A$40,'Window-U'!$E$4:$E$40)*Semidetached!I$22))*I202</f>
        <v>988.33374434054008</v>
      </c>
      <c r="J203" s="171">
        <f>((LOOKUP(Semidetached!J$2,'Ceiling-U'!$A$4:$A$40,'Ceiling-U'!$E$4:$E$40)*Semidetached!J$15)+(LOOKUP(Semidetached!J$2,'Floor-U'!$A$4:$A$40,'Floor-U'!$E$4:$E$40)*Semidetached!J$16)+(LOOKUP(Semidetached!J$2,'Wall-U'!$A$4:$A$40,'Wall-U'!$X$4:$X$40)*Semidetached!J$13)+(LOOKUP(Semidetached!J$2,'Window-U'!$A$4:$A$40,'Window-U'!$E$4:$E$40)*Semidetached!J$22))*J202</f>
        <v>1318.876045020048</v>
      </c>
      <c r="K203" s="171">
        <f>((LOOKUP(Semidetached!K$2,'Ceiling-U'!$A$4:$A$40,'Ceiling-U'!$E$4:$E$40)*Semidetached!K$15)+(LOOKUP(Semidetached!K$2,'Floor-U'!$A$4:$A$40,'Floor-U'!$E$4:$E$40)*Semidetached!K$16)+(LOOKUP(Semidetached!K$2,'Wall-U'!$A$4:$A$40,'Wall-U'!$X$4:$X$40)*Semidetached!K$13)+(LOOKUP(Semidetached!K$2,'Window-U'!$A$4:$A$40,'Window-U'!$E$4:$E$40)*Semidetached!K$22))*K202</f>
        <v>738.39854792948825</v>
      </c>
      <c r="L203" s="171">
        <f>((LOOKUP(Semidetached!L$2,'Ceiling-U'!$A$4:$A$40,'Ceiling-U'!$E$4:$E$40)*Semidetached!L$15)+(LOOKUP(Semidetached!L$2,'Floor-U'!$A$4:$A$40,'Floor-U'!$E$4:$E$40)*Semidetached!L$16)+(LOOKUP(Semidetached!L$2,'Wall-U'!$A$4:$A$40,'Wall-U'!$X$4:$X$40)*Semidetached!L$13)+(LOOKUP(Semidetached!L$2,'Window-U'!$A$4:$A$40,'Window-U'!$E$4:$E$40)*Semidetached!L$22))*L202</f>
        <v>410.87278699047692</v>
      </c>
      <c r="M203" s="171">
        <f>((LOOKUP(Semidetached!M$2,'Ceiling-U'!$A$4:$A$40,'Ceiling-U'!$E$4:$E$40)*Semidetached!M$15)+(LOOKUP(Semidetached!M$2,'Floor-U'!$A$4:$A$40,'Floor-U'!$E$4:$E$40)*Semidetached!M$16)+(LOOKUP(Semidetached!M$2,'Wall-U'!$A$4:$A$40,'Wall-U'!$X$4:$X$40)*Semidetached!M$13)+(LOOKUP(Semidetached!M$2,'Window-U'!$A$4:$A$40,'Window-U'!$E$4:$E$40)*Semidetached!M$22))*M202</f>
        <v>1924.3319569538553</v>
      </c>
      <c r="N203" s="171">
        <f>((LOOKUP(Semidetached!N$2,'Ceiling-U'!$A$4:$A$40,'Ceiling-U'!$E$4:$E$40)*Semidetached!N$15)+(LOOKUP(Semidetached!N$2,'Floor-U'!$A$4:$A$40,'Floor-U'!$E$4:$E$40)*Semidetached!N$16)+(LOOKUP(Semidetached!N$2,'Wall-U'!$A$4:$A$40,'Wall-U'!$X$4:$X$40)*Semidetached!N$13)+(LOOKUP(Semidetached!N$2,'Window-U'!$A$4:$A$40,'Window-U'!$E$4:$E$40)*Semidetached!N$22))*N202</f>
        <v>531.41160195514328</v>
      </c>
      <c r="O203" s="171">
        <f>((LOOKUP(Semidetached!O$2,'Ceiling-U'!$A$4:$A$40,'Ceiling-U'!$E$4:$E$40)*Semidetached!O$15)+(LOOKUP(Semidetached!O$2,'Floor-U'!$A$4:$A$40,'Floor-U'!$E$4:$E$40)*Semidetached!O$16)+(LOOKUP(Semidetached!O$2,'Wall-U'!$A$4:$A$40,'Wall-U'!$X$4:$X$40)*Semidetached!O$13)+(LOOKUP(Semidetached!O$2,'Window-U'!$A$4:$A$40,'Window-U'!$E$4:$E$40)*Semidetached!O$22))*O202</f>
        <v>1875.4405399624827</v>
      </c>
      <c r="P203" s="171">
        <f>((LOOKUP(Semidetached!P$2,'Ceiling-U'!$A$4:$A$40,'Ceiling-U'!$E$4:$E$40)*Semidetached!P$15)+(LOOKUP(Semidetached!P$2,'Floor-U'!$A$4:$A$40,'Floor-U'!$E$4:$E$40)*Semidetached!P$16)+(LOOKUP(Semidetached!P$2,'Wall-U'!$A$4:$A$40,'Wall-U'!$X$4:$X$40)*Semidetached!P$13)+(LOOKUP(Semidetached!P$2,'Window-U'!$A$4:$A$40,'Window-U'!$E$4:$E$40)*Semidetached!P$22))*P202</f>
        <v>1304.0687081014323</v>
      </c>
      <c r="Q203" s="171">
        <f>((LOOKUP(Semidetached!Q$2,'Ceiling-U'!$A$4:$A$40,'Ceiling-U'!$E$4:$E$40)*Semidetached!Q$15)+(LOOKUP(Semidetached!Q$2,'Floor-U'!$A$4:$A$40,'Floor-U'!$E$4:$E$40)*Semidetached!Q$16)+(LOOKUP(Semidetached!Q$2,'Wall-U'!$A$4:$A$40,'Wall-U'!$X$4:$X$40)*Semidetached!Q$13)+(LOOKUP(Semidetached!Q$2,'Window-U'!$A$4:$A$40,'Window-U'!$E$4:$E$40)*Semidetached!Q$22))*Q202</f>
        <v>755.76082064342324</v>
      </c>
      <c r="R203" s="171">
        <f>((LOOKUP(Semidetached!R$2,'Ceiling-U'!$A$4:$A$40,'Ceiling-U'!$E$4:$E$40)*Semidetached!R$15)+(LOOKUP(Semidetached!R$2,'Floor-U'!$A$4:$A$40,'Floor-U'!$E$4:$E$40)*Semidetached!R$16)+(LOOKUP(Semidetached!R$2,'Wall-U'!$A$4:$A$40,'Wall-U'!$X$4:$X$40)*Semidetached!R$13)+(LOOKUP(Semidetached!R$2,'Window-U'!$A$4:$A$40,'Window-U'!$E$4:$E$40)*Semidetached!R$22))*R202</f>
        <v>858.26786917005415</v>
      </c>
      <c r="S203" s="171">
        <f>((LOOKUP(Semidetached!S$2,'Ceiling-U'!$A$4:$A$40,'Ceiling-U'!$E$4:$E$40)*Semidetached!S$15)+(LOOKUP(Semidetached!S$2,'Floor-U'!$A$4:$A$40,'Floor-U'!$E$4:$E$40)*Semidetached!S$16)+(LOOKUP(Semidetached!S$2,'Wall-U'!$A$4:$A$40,'Wall-U'!$X$4:$X$40)*Semidetached!S$13)+(LOOKUP(Semidetached!S$2,'Window-U'!$A$4:$A$40,'Window-U'!$E$4:$E$40)*Semidetached!S$22))*S202</f>
        <v>1511.1907312455355</v>
      </c>
      <c r="T203" s="171">
        <f>((LOOKUP(Semidetached!T$2,'Ceiling-U'!$A$4:$A$40,'Ceiling-U'!$E$4:$E$40)*Semidetached!T$15)+(LOOKUP(Semidetached!T$2,'Floor-U'!$A$4:$A$40,'Floor-U'!$E$4:$E$40)*Semidetached!T$16)+(LOOKUP(Semidetached!T$2,'Wall-U'!$A$4:$A$40,'Wall-U'!$X$4:$X$40)*Semidetached!T$13)+(LOOKUP(Semidetached!T$2,'Window-U'!$A$4:$A$40,'Window-U'!$E$4:$E$40)*Semidetached!T$22))*T202</f>
        <v>535.59194214186948</v>
      </c>
      <c r="U203" s="171">
        <f>((LOOKUP(Semidetached!U$2,'Ceiling-U'!$A$4:$A$40,'Ceiling-U'!$E$4:$E$40)*Semidetached!U$15)+(LOOKUP(Semidetached!U$2,'Floor-U'!$A$4:$A$40,'Floor-U'!$E$4:$E$40)*Semidetached!U$16)+(LOOKUP(Semidetached!U$2,'Wall-U'!$A$4:$A$40,'Wall-U'!$X$4:$X$40)*Semidetached!U$13)+(LOOKUP(Semidetached!U$2,'Window-U'!$A$4:$A$40,'Window-U'!$E$4:$E$40)*Semidetached!U$22))*U202</f>
        <v>1758.4255380739651</v>
      </c>
      <c r="V203" s="171">
        <f>((LOOKUP(Semidetached!V$2,'Ceiling-U'!$A$4:$A$40,'Ceiling-U'!$E$4:$E$40)*Semidetached!V$15)+(LOOKUP(Semidetached!V$2,'Floor-U'!$A$4:$A$40,'Floor-U'!$E$4:$E$40)*Semidetached!V$16)+(LOOKUP(Semidetached!V$2,'Wall-U'!$A$4:$A$40,'Wall-U'!$X$4:$X$40)*Semidetached!V$13)+(LOOKUP(Semidetached!V$2,'Window-U'!$A$4:$A$40,'Window-U'!$E$4:$E$40)*Semidetached!V$22))*V202</f>
        <v>750.06115792625133</v>
      </c>
      <c r="W203" s="171">
        <f>((LOOKUP(Semidetached!W$2,'Ceiling-U'!$A$4:$A$40,'Ceiling-U'!$E$4:$E$40)*Semidetached!W$15)+(LOOKUP(Semidetached!W$2,'Floor-U'!$A$4:$A$40,'Floor-U'!$E$4:$E$40)*Semidetached!W$16)+(LOOKUP(Semidetached!W$2,'Wall-U'!$A$4:$A$40,'Wall-U'!$X$4:$X$40)*Semidetached!W$13)+(LOOKUP(Semidetached!W$2,'Window-U'!$A$4:$A$40,'Window-U'!$E$4:$E$40)*Semidetached!W$22))*W202</f>
        <v>818.03853051833505</v>
      </c>
      <c r="X203" s="171">
        <f>((LOOKUP(Semidetached!X$2,'Ceiling-U'!$A$4:$A$40,'Ceiling-U'!$E$4:$E$40)*Semidetached!X$15)+(LOOKUP(Semidetached!X$2,'Floor-U'!$A$4:$A$40,'Floor-U'!$E$4:$E$40)*Semidetached!X$16)+(LOOKUP(Semidetached!X$2,'Wall-U'!$A$4:$A$40,'Wall-U'!$X$4:$X$40)*Semidetached!X$13)+(LOOKUP(Semidetached!X$2,'Window-U'!$A$4:$A$40,'Window-U'!$E$4:$E$40)*Semidetached!X$22))*X202</f>
        <v>847.970792045488</v>
      </c>
      <c r="Y203" s="171">
        <f>((LOOKUP(Semidetached!Y$2,'Ceiling-U'!$A$4:$A$40,'Ceiling-U'!$E$4:$E$40)*Semidetached!Y$15)+(LOOKUP(Semidetached!Y$2,'Floor-U'!$A$4:$A$40,'Floor-U'!$E$4:$E$40)*Semidetached!Y$16)+(LOOKUP(Semidetached!Y$2,'Wall-U'!$A$4:$A$40,'Wall-U'!$X$4:$X$40)*Semidetached!Y$13)+(LOOKUP(Semidetached!Y$2,'Window-U'!$A$4:$A$40,'Window-U'!$E$4:$E$40)*Semidetached!Y$22))*Y202</f>
        <v>2107.926410977745</v>
      </c>
      <c r="Z203" s="171">
        <f>((LOOKUP(Semidetached!Z$2,'Ceiling-U'!$A$4:$A$40,'Ceiling-U'!$E$4:$E$40)*Semidetached!Z$15)+(LOOKUP(Semidetached!Z$2,'Floor-U'!$A$4:$A$40,'Floor-U'!$E$4:$E$40)*Semidetached!Z$16)+(LOOKUP(Semidetached!Z$2,'Wall-U'!$A$4:$A$40,'Wall-U'!$X$4:$X$40)*Semidetached!Z$13)+(LOOKUP(Semidetached!Z$2,'Window-U'!$A$4:$A$40,'Window-U'!$E$4:$E$40)*Semidetached!Z$22))*Z202</f>
        <v>1701.4136450400374</v>
      </c>
      <c r="AA203" s="171">
        <f>((LOOKUP(Semidetached!AA$2,'Ceiling-U'!$A$4:$A$40,'Ceiling-U'!$E$4:$E$40)*Semidetached!AA$15)+(LOOKUP(Semidetached!AA$2,'Floor-U'!$A$4:$A$40,'Floor-U'!$E$4:$E$40)*Semidetached!AA$16)+(LOOKUP(Semidetached!AA$2,'Wall-U'!$A$4:$A$40,'Wall-U'!$X$4:$X$40)*Semidetached!AA$13)+(LOOKUP(Semidetached!AA$2,'Window-U'!$A$4:$A$40,'Window-U'!$E$4:$E$40)*Semidetached!AA$22))*AA202</f>
        <v>502.68473411226239</v>
      </c>
      <c r="AB203" s="171">
        <f>((LOOKUP(Semidetached!AB$2,'Ceiling-U'!$A$4:$A$40,'Ceiling-U'!$E$4:$E$40)*Semidetached!AB$15)+(LOOKUP(Semidetached!AB$2,'Floor-U'!$A$4:$A$40,'Floor-U'!$E$4:$E$40)*Semidetached!AB$16)+(LOOKUP(Semidetached!AB$2,'Wall-U'!$A$4:$A$40,'Wall-U'!$X$4:$X$40)*Semidetached!AB$13)+(LOOKUP(Semidetached!AB$2,'Window-U'!$A$4:$A$40,'Window-U'!$E$4:$E$40)*Semidetached!AB$22))*AB202</f>
        <v>1184.1217575754495</v>
      </c>
      <c r="AC203" s="171">
        <f>((LOOKUP(Semidetached!AC$2,'Ceiling-U'!$A$4:$A$40,'Ceiling-U'!$E$4:$E$40)*Semidetached!AC$15)+(LOOKUP(Semidetached!AC$2,'Floor-U'!$A$4:$A$40,'Floor-U'!$E$4:$E$40)*Semidetached!AC$16)+(LOOKUP(Semidetached!AC$2,'Wall-U'!$A$4:$A$40,'Wall-U'!$X$4:$X$40)*Semidetached!AC$13)+(LOOKUP(Semidetached!AC$2,'Window-U'!$A$4:$A$40,'Window-U'!$E$4:$E$40)*Semidetached!AC$22))*AC202</f>
        <v>2085.5033040260469</v>
      </c>
      <c r="AD203" s="171">
        <f>((LOOKUP(Semidetached!AD$2,'Ceiling-U'!$A$4:$A$40,'Ceiling-U'!$E$4:$E$40)*Semidetached!AD$15)+(LOOKUP(Semidetached!AD$2,'Floor-U'!$A$4:$A$40,'Floor-U'!$E$4:$E$40)*Semidetached!AD$16)+(LOOKUP(Semidetached!AD$2,'Wall-U'!$A$4:$A$40,'Wall-U'!$X$4:$X$40)*Semidetached!AD$13)+(LOOKUP(Semidetached!AD$2,'Window-U'!$A$4:$A$40,'Window-U'!$E$4:$E$40)*Semidetached!AD$22))*AD202</f>
        <v>897.90182813620709</v>
      </c>
      <c r="AE203" s="171">
        <f>((LOOKUP(Semidetached!AE$2,'Ceiling-U'!$A$4:$A$40,'Ceiling-U'!$E$4:$E$40)*Semidetached!AE$15)+(LOOKUP(Semidetached!AE$2,'Floor-U'!$A$4:$A$40,'Floor-U'!$E$4:$E$40)*Semidetached!AE$16)+(LOOKUP(Semidetached!AE$2,'Wall-U'!$A$4:$A$40,'Wall-U'!$X$4:$X$40)*Semidetached!AE$13)+(LOOKUP(Semidetached!AE$2,'Window-U'!$A$4:$A$40,'Window-U'!$E$4:$E$40)*Semidetached!AE$22))*AE202</f>
        <v>495.01289544022654</v>
      </c>
      <c r="AF203" s="171">
        <f>((LOOKUP(Semidetached!AF$2,'Ceiling-U'!$A$4:$A$40,'Ceiling-U'!$E$4:$E$40)*Semidetached!AF$15)+(LOOKUP(Semidetached!AF$2,'Floor-U'!$A$4:$A$40,'Floor-U'!$E$4:$E$40)*Semidetached!AF$16)+(LOOKUP(Semidetached!AF$2,'Wall-U'!$A$4:$A$40,'Wall-U'!$X$4:$X$40)*Semidetached!AF$13)+(LOOKUP(Semidetached!AF$2,'Window-U'!$A$4:$A$40,'Window-U'!$E$4:$E$40)*Semidetached!AF$22))*AF202</f>
        <v>888.86949880704879</v>
      </c>
      <c r="AG203" s="171">
        <f>((LOOKUP(Semidetached!AG$2,'Ceiling-U'!$A$4:$A$40,'Ceiling-U'!$E$4:$E$40)*Semidetached!AG$15)+(LOOKUP(Semidetached!AG$2,'Floor-U'!$A$4:$A$40,'Floor-U'!$E$4:$E$40)*Semidetached!AG$16)+(LOOKUP(Semidetached!AG$2,'Wall-U'!$A$4:$A$40,'Wall-U'!$X$4:$X$40)*Semidetached!AG$13)+(LOOKUP(Semidetached!AG$2,'Window-U'!$A$4:$A$40,'Window-U'!$E$4:$E$40)*Semidetached!AG$22))*AG202</f>
        <v>1415.3839201141102</v>
      </c>
      <c r="AH203" s="171">
        <f>((LOOKUP(Semidetached!AH$2,'Ceiling-U'!$A$4:$A$40,'Ceiling-U'!$E$4:$E$40)*Semidetached!AH$15)+(LOOKUP(Semidetached!AH$2,'Floor-U'!$A$4:$A$40,'Floor-U'!$E$4:$E$40)*Semidetached!AH$16)+(LOOKUP(Semidetached!AH$2,'Wall-U'!$A$4:$A$40,'Wall-U'!$X$4:$X$40)*Semidetached!AH$13)+(LOOKUP(Semidetached!AH$2,'Window-U'!$A$4:$A$40,'Window-U'!$E$4:$E$40)*Semidetached!AH$22))*AH202</f>
        <v>1164.5290377913936</v>
      </c>
      <c r="AI203" s="171">
        <f>((LOOKUP(Semidetached!AI$2,'Ceiling-U'!$A$4:$A$40,'Ceiling-U'!$E$4:$E$40)*Semidetached!AI$15)+(LOOKUP(Semidetached!AI$2,'Floor-U'!$A$4:$A$40,'Floor-U'!$E$4:$E$40)*Semidetached!AI$16)+(LOOKUP(Semidetached!AI$2,'Wall-U'!$A$4:$A$40,'Wall-U'!$X$4:$X$40)*Semidetached!AI$13)+(LOOKUP(Semidetached!AI$2,'Window-U'!$A$4:$A$40,'Window-U'!$E$4:$E$40)*Semidetached!AI$22))*AI202</f>
        <v>1943.347761631703</v>
      </c>
      <c r="AJ203" s="171">
        <f>((LOOKUP(Semidetached!AJ$2,'Ceiling-U'!$A$4:$A$40,'Ceiling-U'!$E$4:$E$40)*Semidetached!AJ$15)+(LOOKUP(Semidetached!AJ$2,'Floor-U'!$A$4:$A$40,'Floor-U'!$E$4:$E$40)*Semidetached!AJ$16)+(LOOKUP(Semidetached!AJ$2,'Wall-U'!$A$4:$A$40,'Wall-U'!$X$4:$X$40)*Semidetached!AJ$13)+(LOOKUP(Semidetached!AJ$2,'Window-U'!$A$4:$A$40,'Window-U'!$E$4:$E$40)*Semidetached!AJ$22))*AJ202</f>
        <v>687.48204597947154</v>
      </c>
      <c r="AK203" s="171">
        <f>((LOOKUP(Semidetached!AK$2,'Ceiling-U'!$A$4:$A$40,'Ceiling-U'!$E$4:$E$40)*Semidetached!AK$15)+(LOOKUP(Semidetached!AK$2,'Floor-U'!$A$4:$A$40,'Floor-U'!$E$4:$E$40)*Semidetached!AK$16)+(LOOKUP(Semidetached!AK$2,'Wall-U'!$A$4:$A$40,'Wall-U'!$X$4:$X$40)*Semidetached!AK$13)+(LOOKUP(Semidetached!AK$2,'Window-U'!$A$4:$A$40,'Window-U'!$E$4:$E$40)*Semidetached!AK$22))*AK202</f>
        <v>854.67164184452349</v>
      </c>
      <c r="AL203" s="171">
        <f>((LOOKUP(Semidetached!AL$2,'Ceiling-U'!$A$4:$A$40,'Ceiling-U'!$E$4:$E$40)*Semidetached!AL$15)+(LOOKUP(Semidetached!AL$2,'Floor-U'!$A$4:$A$40,'Floor-U'!$E$4:$E$40)*Semidetached!AL$16)+(LOOKUP(Semidetached!AL$2,'Wall-U'!$A$4:$A$40,'Wall-U'!$X$4:$X$40)*Semidetached!AL$13)+(LOOKUP(Semidetached!AL$2,'Window-U'!$A$4:$A$40,'Window-U'!$E$4:$E$40)*Semidetached!AL$22))*AL202</f>
        <v>719.38860702117199</v>
      </c>
      <c r="AM203" s="171">
        <f>((LOOKUP(Semidetached!AM$2,'Ceiling-U'!$A$4:$A$40,'Ceiling-U'!$E$4:$E$40)*Semidetached!AM$15)+(LOOKUP(Semidetached!AM$2,'Floor-U'!$A$4:$A$40,'Floor-U'!$E$4:$E$40)*Semidetached!AM$16)+(LOOKUP(Semidetached!AM$2,'Wall-U'!$A$4:$A$40,'Wall-U'!$X$4:$X$40)*Semidetached!AM$13)+(LOOKUP(Semidetached!AM$2,'Window-U'!$A$4:$A$40,'Window-U'!$E$4:$E$40)*Semidetached!AM$22))*AM202</f>
        <v>687.48204597947154</v>
      </c>
      <c r="AN203" s="172">
        <f>((LOOKUP(Semidetached!AN$2,'Ceiling-U'!$A$4:$A$40,'Ceiling-U'!$E$4:$E$40)*Semidetached!AN$15)+(LOOKUP(Semidetached!AN$2,'Floor-U'!$A$4:$A$40,'Floor-U'!$E$4:$E$40)*Semidetached!AN$16)+(LOOKUP(Semidetached!AN$2,'Wall-U'!$A$4:$A$40,'Wall-U'!$X$4:$X$40)*Semidetached!AN$13)+(LOOKUP(Semidetached!AN$2,'Window-U'!$A$4:$A$40,'Window-U'!$E$4:$E$40)*Semidetached!AN$22))*AN202</f>
        <v>687.48204597947154</v>
      </c>
    </row>
    <row r="204" spans="1:40">
      <c r="A204" s="372"/>
      <c r="B204" s="142" t="s">
        <v>3</v>
      </c>
      <c r="C204" s="131" t="s">
        <v>195</v>
      </c>
      <c r="D204" s="176">
        <f>((LOOKUP(Semidetached!D$2,'Ceiling-U'!$A$4:$A$40,'Ceiling-U'!$F$4:$F$40)*Semidetached!D$15)+(LOOKUP(Semidetached!D$2,'Floor-U'!$A$4:$A$40,'Floor-U'!$F$4:$F$40)*Semidetached!D$16)+(LOOKUP(Semidetached!D$2,'Wall-U'!$A$4:$A$40,'Wall-U'!$Y$4:$Y$40)*Semidetached!D$13)+(LOOKUP(Semidetached!D$2,'Window-U'!$A$4:$A$40,'Window-U'!$F$4:$F$40)*Semidetached!D$22))*D202</f>
        <v>1061.4538045534889</v>
      </c>
      <c r="E204" s="177">
        <f>((LOOKUP(Semidetached!E$2,'Ceiling-U'!$A$4:$A$40,'Ceiling-U'!$F$4:$F$40)*Semidetached!E$15)+(LOOKUP(Semidetached!E$2,'Floor-U'!$A$4:$A$40,'Floor-U'!$F$4:$F$40)*Semidetached!E$16)+(LOOKUP(Semidetached!E$2,'Wall-U'!$A$4:$A$40,'Wall-U'!$Y$4:$Y$40)*Semidetached!E$13)+(LOOKUP(Semidetached!E$2,'Window-U'!$A$4:$A$40,'Window-U'!$F$4:$F$40)*Semidetached!E$22))*E202</f>
        <v>1394.8557526333223</v>
      </c>
      <c r="F204" s="177">
        <f>((LOOKUP(Semidetached!F$2,'Ceiling-U'!$A$4:$A$40,'Ceiling-U'!$F$4:$F$40)*Semidetached!F$15)+(LOOKUP(Semidetached!F$2,'Floor-U'!$A$4:$A$40,'Floor-U'!$F$4:$F$40)*Semidetached!F$16)+(LOOKUP(Semidetached!F$2,'Wall-U'!$A$4:$A$40,'Wall-U'!$Y$4:$Y$40)*Semidetached!F$13)+(LOOKUP(Semidetached!F$2,'Window-U'!$A$4:$A$40,'Window-U'!$F$4:$F$40)*Semidetached!F$22))*F202</f>
        <v>680.28293835592513</v>
      </c>
      <c r="G204" s="177">
        <f>((LOOKUP(Semidetached!G$2,'Ceiling-U'!$A$4:$A$40,'Ceiling-U'!$F$4:$F$40)*Semidetached!G$15)+(LOOKUP(Semidetached!G$2,'Floor-U'!$A$4:$A$40,'Floor-U'!$F$4:$F$40)*Semidetached!G$16)+(LOOKUP(Semidetached!G$2,'Wall-U'!$A$4:$A$40,'Wall-U'!$Y$4:$Y$40)*Semidetached!G$13)+(LOOKUP(Semidetached!G$2,'Window-U'!$A$4:$A$40,'Window-U'!$F$4:$F$40)*Semidetached!G$22))*G202</f>
        <v>1101.7810318243858</v>
      </c>
      <c r="H204" s="177">
        <f>((LOOKUP(Semidetached!H$2,'Ceiling-U'!$A$4:$A$40,'Ceiling-U'!$F$4:$F$40)*Semidetached!H$15)+(LOOKUP(Semidetached!H$2,'Floor-U'!$A$4:$A$40,'Floor-U'!$F$4:$F$40)*Semidetached!H$16)+(LOOKUP(Semidetached!H$2,'Wall-U'!$A$4:$A$40,'Wall-U'!$Y$4:$Y$40)*Semidetached!H$13)+(LOOKUP(Semidetached!H$2,'Window-U'!$A$4:$A$40,'Window-U'!$F$4:$F$40)*Semidetached!H$22))*H202</f>
        <v>2054.7239521926158</v>
      </c>
      <c r="I204" s="177">
        <f>((LOOKUP(Semidetached!I$2,'Ceiling-U'!$A$4:$A$40,'Ceiling-U'!$F$4:$F$40)*Semidetached!I$15)+(LOOKUP(Semidetached!I$2,'Floor-U'!$A$4:$A$40,'Floor-U'!$F$4:$F$40)*Semidetached!I$16)+(LOOKUP(Semidetached!I$2,'Wall-U'!$A$4:$A$40,'Wall-U'!$Y$4:$Y$40)*Semidetached!I$13)+(LOOKUP(Semidetached!I$2,'Window-U'!$A$4:$A$40,'Window-U'!$F$4:$F$40)*Semidetached!I$22))*I202</f>
        <v>739.64579592673897</v>
      </c>
      <c r="J204" s="177">
        <f>((LOOKUP(Semidetached!J$2,'Ceiling-U'!$A$4:$A$40,'Ceiling-U'!$F$4:$F$40)*Semidetached!J$15)+(LOOKUP(Semidetached!J$2,'Floor-U'!$A$4:$A$40,'Floor-U'!$F$4:$F$40)*Semidetached!J$16)+(LOOKUP(Semidetached!J$2,'Wall-U'!$A$4:$A$40,'Wall-U'!$Y$4:$Y$40)*Semidetached!J$13)+(LOOKUP(Semidetached!J$2,'Window-U'!$A$4:$A$40,'Window-U'!$F$4:$F$40)*Semidetached!J$22))*J202</f>
        <v>1283.8584939496163</v>
      </c>
      <c r="K204" s="177">
        <f>((LOOKUP(Semidetached!K$2,'Ceiling-U'!$A$4:$A$40,'Ceiling-U'!$F$4:$F$40)*Semidetached!K$15)+(LOOKUP(Semidetached!K$2,'Floor-U'!$A$4:$A$40,'Floor-U'!$F$4:$F$40)*Semidetached!K$16)+(LOOKUP(Semidetached!K$2,'Wall-U'!$A$4:$A$40,'Wall-U'!$Y$4:$Y$40)*Semidetached!K$13)+(LOOKUP(Semidetached!K$2,'Window-U'!$A$4:$A$40,'Window-U'!$F$4:$F$40)*Semidetached!K$22))*K202</f>
        <v>688.02449835384493</v>
      </c>
      <c r="L204" s="177">
        <f>((LOOKUP(Semidetached!L$2,'Ceiling-U'!$A$4:$A$40,'Ceiling-U'!$F$4:$F$40)*Semidetached!L$15)+(LOOKUP(Semidetached!L$2,'Floor-U'!$A$4:$A$40,'Floor-U'!$F$4:$F$40)*Semidetached!L$16)+(LOOKUP(Semidetached!L$2,'Wall-U'!$A$4:$A$40,'Wall-U'!$Y$4:$Y$40)*Semidetached!L$13)+(LOOKUP(Semidetached!L$2,'Window-U'!$A$4:$A$40,'Window-U'!$F$4:$F$40)*Semidetached!L$22))*L202</f>
        <v>410.87278699047692</v>
      </c>
      <c r="M204" s="177">
        <f>((LOOKUP(Semidetached!M$2,'Ceiling-U'!$A$4:$A$40,'Ceiling-U'!$F$4:$F$40)*Semidetached!M$15)+(LOOKUP(Semidetached!M$2,'Floor-U'!$A$4:$A$40,'Floor-U'!$F$4:$F$40)*Semidetached!M$16)+(LOOKUP(Semidetached!M$2,'Wall-U'!$A$4:$A$40,'Wall-U'!$Y$4:$Y$40)*Semidetached!M$13)+(LOOKUP(Semidetached!M$2,'Window-U'!$A$4:$A$40,'Window-U'!$F$4:$F$40)*Semidetached!M$22))*M202</f>
        <v>1790.577476724136</v>
      </c>
      <c r="N204" s="177">
        <f>((LOOKUP(Semidetached!N$2,'Ceiling-U'!$A$4:$A$40,'Ceiling-U'!$F$4:$F$40)*Semidetached!N$15)+(LOOKUP(Semidetached!N$2,'Floor-U'!$A$4:$A$40,'Floor-U'!$F$4:$F$40)*Semidetached!N$16)+(LOOKUP(Semidetached!N$2,'Wall-U'!$A$4:$A$40,'Wall-U'!$Y$4:$Y$40)*Semidetached!N$13)+(LOOKUP(Semidetached!N$2,'Window-U'!$A$4:$A$40,'Window-U'!$F$4:$F$40)*Semidetached!N$22))*N202</f>
        <v>466.47795804465909</v>
      </c>
      <c r="O204" s="177">
        <f>((LOOKUP(Semidetached!O$2,'Ceiling-U'!$A$4:$A$40,'Ceiling-U'!$F$4:$F$40)*Semidetached!O$15)+(LOOKUP(Semidetached!O$2,'Floor-U'!$A$4:$A$40,'Floor-U'!$F$4:$F$40)*Semidetached!O$16)+(LOOKUP(Semidetached!O$2,'Wall-U'!$A$4:$A$40,'Wall-U'!$Y$4:$Y$40)*Semidetached!O$13)+(LOOKUP(Semidetached!O$2,'Window-U'!$A$4:$A$40,'Window-U'!$F$4:$F$40)*Semidetached!O$22))*O202</f>
        <v>1875.4405399624827</v>
      </c>
      <c r="P204" s="177">
        <f>((LOOKUP(Semidetached!P$2,'Ceiling-U'!$A$4:$A$40,'Ceiling-U'!$F$4:$F$40)*Semidetached!P$15)+(LOOKUP(Semidetached!P$2,'Floor-U'!$A$4:$A$40,'Floor-U'!$F$4:$F$40)*Semidetached!P$16)+(LOOKUP(Semidetached!P$2,'Wall-U'!$A$4:$A$40,'Wall-U'!$Y$4:$Y$40)*Semidetached!P$13)+(LOOKUP(Semidetached!P$2,'Window-U'!$A$4:$A$40,'Window-U'!$F$4:$F$40)*Semidetached!P$22))*P202</f>
        <v>1304.0687081014323</v>
      </c>
      <c r="Q204" s="177">
        <f>((LOOKUP(Semidetached!Q$2,'Ceiling-U'!$A$4:$A$40,'Ceiling-U'!$F$4:$F$40)*Semidetached!Q$15)+(LOOKUP(Semidetached!Q$2,'Floor-U'!$A$4:$A$40,'Floor-U'!$F$4:$F$40)*Semidetached!Q$16)+(LOOKUP(Semidetached!Q$2,'Wall-U'!$A$4:$A$40,'Wall-U'!$Y$4:$Y$40)*Semidetached!Q$13)+(LOOKUP(Semidetached!Q$2,'Window-U'!$A$4:$A$40,'Window-U'!$F$4:$F$40)*Semidetached!Q$22))*Q202</f>
        <v>759.4347926240506</v>
      </c>
      <c r="R204" s="177">
        <f>((LOOKUP(Semidetached!R$2,'Ceiling-U'!$A$4:$A$40,'Ceiling-U'!$F$4:$F$40)*Semidetached!R$15)+(LOOKUP(Semidetached!R$2,'Floor-U'!$A$4:$A$40,'Floor-U'!$F$4:$F$40)*Semidetached!R$16)+(LOOKUP(Semidetached!R$2,'Wall-U'!$A$4:$A$40,'Wall-U'!$Y$4:$Y$40)*Semidetached!R$13)+(LOOKUP(Semidetached!R$2,'Window-U'!$A$4:$A$40,'Window-U'!$F$4:$F$40)*Semidetached!R$22))*R202</f>
        <v>858.26786917005415</v>
      </c>
      <c r="S204" s="177">
        <f>((LOOKUP(Semidetached!S$2,'Ceiling-U'!$A$4:$A$40,'Ceiling-U'!$F$4:$F$40)*Semidetached!S$15)+(LOOKUP(Semidetached!S$2,'Floor-U'!$A$4:$A$40,'Floor-U'!$F$4:$F$40)*Semidetached!S$16)+(LOOKUP(Semidetached!S$2,'Wall-U'!$A$4:$A$40,'Wall-U'!$Y$4:$Y$40)*Semidetached!S$13)+(LOOKUP(Semidetached!S$2,'Window-U'!$A$4:$A$40,'Window-U'!$F$4:$F$40)*Semidetached!S$22))*S202</f>
        <v>1558.0008030729073</v>
      </c>
      <c r="T204" s="177">
        <f>((LOOKUP(Semidetached!T$2,'Ceiling-U'!$A$4:$A$40,'Ceiling-U'!$F$4:$F$40)*Semidetached!T$15)+(LOOKUP(Semidetached!T$2,'Floor-U'!$A$4:$A$40,'Floor-U'!$F$4:$F$40)*Semidetached!T$16)+(LOOKUP(Semidetached!T$2,'Wall-U'!$A$4:$A$40,'Wall-U'!$Y$4:$Y$40)*Semidetached!T$13)+(LOOKUP(Semidetached!T$2,'Window-U'!$A$4:$A$40,'Window-U'!$F$4:$F$40)*Semidetached!T$22))*T202</f>
        <v>469.92074273595716</v>
      </c>
      <c r="U204" s="177">
        <f>((LOOKUP(Semidetached!U$2,'Ceiling-U'!$A$4:$A$40,'Ceiling-U'!$F$4:$F$40)*Semidetached!U$15)+(LOOKUP(Semidetached!U$2,'Floor-U'!$A$4:$A$40,'Floor-U'!$F$4:$F$40)*Semidetached!U$16)+(LOOKUP(Semidetached!U$2,'Wall-U'!$A$4:$A$40,'Wall-U'!$Y$4:$Y$40)*Semidetached!U$13)+(LOOKUP(Semidetached!U$2,'Window-U'!$A$4:$A$40,'Window-U'!$F$4:$F$40)*Semidetached!U$22))*U202</f>
        <v>1721.272046712972</v>
      </c>
      <c r="V204" s="177">
        <f>((LOOKUP(Semidetached!V$2,'Ceiling-U'!$A$4:$A$40,'Ceiling-U'!$F$4:$F$40)*Semidetached!V$15)+(LOOKUP(Semidetached!V$2,'Floor-U'!$A$4:$A$40,'Floor-U'!$F$4:$F$40)*Semidetached!V$16)+(LOOKUP(Semidetached!V$2,'Wall-U'!$A$4:$A$40,'Wall-U'!$Y$4:$Y$40)*Semidetached!V$13)+(LOOKUP(Semidetached!V$2,'Window-U'!$A$4:$A$40,'Window-U'!$F$4:$F$40)*Semidetached!V$22))*V202</f>
        <v>750.06115792625133</v>
      </c>
      <c r="W204" s="177">
        <f>((LOOKUP(Semidetached!W$2,'Ceiling-U'!$A$4:$A$40,'Ceiling-U'!$F$4:$F$40)*Semidetached!W$15)+(LOOKUP(Semidetached!W$2,'Floor-U'!$A$4:$A$40,'Floor-U'!$F$4:$F$40)*Semidetached!W$16)+(LOOKUP(Semidetached!W$2,'Wall-U'!$A$4:$A$40,'Wall-U'!$Y$4:$Y$40)*Semidetached!W$13)+(LOOKUP(Semidetached!W$2,'Window-U'!$A$4:$A$40,'Window-U'!$F$4:$F$40)*Semidetached!W$22))*W202</f>
        <v>646.13310975713739</v>
      </c>
      <c r="X204" s="177">
        <f>((LOOKUP(Semidetached!X$2,'Ceiling-U'!$A$4:$A$40,'Ceiling-U'!$F$4:$F$40)*Semidetached!X$15)+(LOOKUP(Semidetached!X$2,'Floor-U'!$A$4:$A$40,'Floor-U'!$F$4:$F$40)*Semidetached!X$16)+(LOOKUP(Semidetached!X$2,'Wall-U'!$A$4:$A$40,'Wall-U'!$Y$4:$Y$40)*Semidetached!X$13)+(LOOKUP(Semidetached!X$2,'Window-U'!$A$4:$A$40,'Window-U'!$F$4:$F$40)*Semidetached!X$22))*X202</f>
        <v>837.17079204548804</v>
      </c>
      <c r="Y204" s="177">
        <f>((LOOKUP(Semidetached!Y$2,'Ceiling-U'!$A$4:$A$40,'Ceiling-U'!$F$4:$F$40)*Semidetached!Y$15)+(LOOKUP(Semidetached!Y$2,'Floor-U'!$A$4:$A$40,'Floor-U'!$F$4:$F$40)*Semidetached!Y$16)+(LOOKUP(Semidetached!Y$2,'Wall-U'!$A$4:$A$40,'Wall-U'!$Y$4:$Y$40)*Semidetached!Y$13)+(LOOKUP(Semidetached!Y$2,'Window-U'!$A$4:$A$40,'Window-U'!$F$4:$F$40)*Semidetached!Y$22))*Y202</f>
        <v>2101.1665194131242</v>
      </c>
      <c r="Z204" s="177">
        <f>((LOOKUP(Semidetached!Z$2,'Ceiling-U'!$A$4:$A$40,'Ceiling-U'!$F$4:$F$40)*Semidetached!Z$15)+(LOOKUP(Semidetached!Z$2,'Floor-U'!$A$4:$A$40,'Floor-U'!$F$4:$F$40)*Semidetached!Z$16)+(LOOKUP(Semidetached!Z$2,'Wall-U'!$A$4:$A$40,'Wall-U'!$Y$4:$Y$40)*Semidetached!Z$13)+(LOOKUP(Semidetached!Z$2,'Window-U'!$A$4:$A$40,'Window-U'!$F$4:$F$40)*Semidetached!Z$22))*Z202</f>
        <v>1257.3754292713693</v>
      </c>
      <c r="AA204" s="177">
        <f>((LOOKUP(Semidetached!AA$2,'Ceiling-U'!$A$4:$A$40,'Ceiling-U'!$F$4:$F$40)*Semidetached!AA$15)+(LOOKUP(Semidetached!AA$2,'Floor-U'!$A$4:$A$40,'Floor-U'!$F$4:$F$40)*Semidetached!AA$16)+(LOOKUP(Semidetached!AA$2,'Wall-U'!$A$4:$A$40,'Wall-U'!$Y$4:$Y$40)*Semidetached!AA$13)+(LOOKUP(Semidetached!AA$2,'Window-U'!$A$4:$A$40,'Window-U'!$F$4:$F$40)*Semidetached!AA$22))*AA202</f>
        <v>500.60308811226241</v>
      </c>
      <c r="AB204" s="177">
        <f>((LOOKUP(Semidetached!AB$2,'Ceiling-U'!$A$4:$A$40,'Ceiling-U'!$F$4:$F$40)*Semidetached!AB$15)+(LOOKUP(Semidetached!AB$2,'Floor-U'!$A$4:$A$40,'Floor-U'!$F$4:$F$40)*Semidetached!AB$16)+(LOOKUP(Semidetached!AB$2,'Wall-U'!$A$4:$A$40,'Wall-U'!$Y$4:$Y$40)*Semidetached!AB$13)+(LOOKUP(Semidetached!AB$2,'Window-U'!$A$4:$A$40,'Window-U'!$F$4:$F$40)*Semidetached!AB$22))*AB202</f>
        <v>834.69408265832953</v>
      </c>
      <c r="AC204" s="177">
        <f>((LOOKUP(Semidetached!AC$2,'Ceiling-U'!$A$4:$A$40,'Ceiling-U'!$F$4:$F$40)*Semidetached!AC$15)+(LOOKUP(Semidetached!AC$2,'Floor-U'!$A$4:$A$40,'Floor-U'!$F$4:$F$40)*Semidetached!AC$16)+(LOOKUP(Semidetached!AC$2,'Wall-U'!$A$4:$A$40,'Wall-U'!$Y$4:$Y$40)*Semidetached!AC$13)+(LOOKUP(Semidetached!AC$2,'Window-U'!$A$4:$A$40,'Window-U'!$F$4:$F$40)*Semidetached!AC$22))*AC202</f>
        <v>2081.3289907713329</v>
      </c>
      <c r="AD204" s="177">
        <f>((LOOKUP(Semidetached!AD$2,'Ceiling-U'!$A$4:$A$40,'Ceiling-U'!$F$4:$F$40)*Semidetached!AD$15)+(LOOKUP(Semidetached!AD$2,'Floor-U'!$A$4:$A$40,'Floor-U'!$F$4:$F$40)*Semidetached!AD$16)+(LOOKUP(Semidetached!AD$2,'Wall-U'!$A$4:$A$40,'Wall-U'!$Y$4:$Y$40)*Semidetached!AD$13)+(LOOKUP(Semidetached!AD$2,'Window-U'!$A$4:$A$40,'Window-U'!$F$4:$F$40)*Semidetached!AD$22))*AD202</f>
        <v>809.49739084966086</v>
      </c>
      <c r="AE204" s="177">
        <f>((LOOKUP(Semidetached!AE$2,'Ceiling-U'!$A$4:$A$40,'Ceiling-U'!$F$4:$F$40)*Semidetached!AE$15)+(LOOKUP(Semidetached!AE$2,'Floor-U'!$A$4:$A$40,'Floor-U'!$F$4:$F$40)*Semidetached!AE$16)+(LOOKUP(Semidetached!AE$2,'Wall-U'!$A$4:$A$40,'Wall-U'!$Y$4:$Y$40)*Semidetached!AE$13)+(LOOKUP(Semidetached!AE$2,'Window-U'!$A$4:$A$40,'Window-U'!$F$4:$F$40)*Semidetached!AE$22))*AE202</f>
        <v>492.93124944022657</v>
      </c>
      <c r="AF204" s="177">
        <f>((LOOKUP(Semidetached!AF$2,'Ceiling-U'!$A$4:$A$40,'Ceiling-U'!$F$4:$F$40)*Semidetached!AF$15)+(LOOKUP(Semidetached!AF$2,'Floor-U'!$A$4:$A$40,'Floor-U'!$F$4:$F$40)*Semidetached!AF$16)+(LOOKUP(Semidetached!AF$2,'Wall-U'!$A$4:$A$40,'Wall-U'!$Y$4:$Y$40)*Semidetached!AF$13)+(LOOKUP(Semidetached!AF$2,'Window-U'!$A$4:$A$40,'Window-U'!$F$4:$F$40)*Semidetached!AF$22))*AF202</f>
        <v>888.86949880704879</v>
      </c>
      <c r="AG204" s="177">
        <f>((LOOKUP(Semidetached!AG$2,'Ceiling-U'!$A$4:$A$40,'Ceiling-U'!$F$4:$F$40)*Semidetached!AG$15)+(LOOKUP(Semidetached!AG$2,'Floor-U'!$A$4:$A$40,'Floor-U'!$F$4:$F$40)*Semidetached!AG$16)+(LOOKUP(Semidetached!AG$2,'Wall-U'!$A$4:$A$40,'Wall-U'!$Y$4:$Y$40)*Semidetached!AG$13)+(LOOKUP(Semidetached!AG$2,'Window-U'!$A$4:$A$40,'Window-U'!$F$4:$F$40)*Semidetached!AG$22))*AG202</f>
        <v>1194.9720426425579</v>
      </c>
      <c r="AH204" s="177">
        <f>((LOOKUP(Semidetached!AH$2,'Ceiling-U'!$A$4:$A$40,'Ceiling-U'!$F$4:$F$40)*Semidetached!AH$15)+(LOOKUP(Semidetached!AH$2,'Floor-U'!$A$4:$A$40,'Floor-U'!$F$4:$F$40)*Semidetached!AH$16)+(LOOKUP(Semidetached!AH$2,'Wall-U'!$A$4:$A$40,'Wall-U'!$Y$4:$Y$40)*Semidetached!AH$13)+(LOOKUP(Semidetached!AH$2,'Window-U'!$A$4:$A$40,'Window-U'!$F$4:$F$40)*Semidetached!AH$22))*AH202</f>
        <v>1197.3460937353279</v>
      </c>
      <c r="AI204" s="177">
        <f>((LOOKUP(Semidetached!AI$2,'Ceiling-U'!$A$4:$A$40,'Ceiling-U'!$F$4:$F$40)*Semidetached!AI$15)+(LOOKUP(Semidetached!AI$2,'Floor-U'!$A$4:$A$40,'Floor-U'!$F$4:$F$40)*Semidetached!AI$16)+(LOOKUP(Semidetached!AI$2,'Wall-U'!$A$4:$A$40,'Wall-U'!$Y$4:$Y$40)*Semidetached!AI$13)+(LOOKUP(Semidetached!AI$2,'Window-U'!$A$4:$A$40,'Window-U'!$F$4:$F$40)*Semidetached!AI$22))*AI202</f>
        <v>1943.347761631703</v>
      </c>
      <c r="AJ204" s="177">
        <f>((LOOKUP(Semidetached!AJ$2,'Ceiling-U'!$A$4:$A$40,'Ceiling-U'!$F$4:$F$40)*Semidetached!AJ$15)+(LOOKUP(Semidetached!AJ$2,'Floor-U'!$A$4:$A$40,'Floor-U'!$F$4:$F$40)*Semidetached!AJ$16)+(LOOKUP(Semidetached!AJ$2,'Wall-U'!$A$4:$A$40,'Wall-U'!$Y$4:$Y$40)*Semidetached!AJ$13)+(LOOKUP(Semidetached!AJ$2,'Window-U'!$A$4:$A$40,'Window-U'!$F$4:$F$40)*Semidetached!AJ$22))*AJ202</f>
        <v>687.48204597947154</v>
      </c>
      <c r="AK204" s="177">
        <f>((LOOKUP(Semidetached!AK$2,'Ceiling-U'!$A$4:$A$40,'Ceiling-U'!$F$4:$F$40)*Semidetached!AK$15)+(LOOKUP(Semidetached!AK$2,'Floor-U'!$A$4:$A$40,'Floor-U'!$F$4:$F$40)*Semidetached!AK$16)+(LOOKUP(Semidetached!AK$2,'Wall-U'!$A$4:$A$40,'Wall-U'!$Y$4:$Y$40)*Semidetached!AK$13)+(LOOKUP(Semidetached!AK$2,'Window-U'!$A$4:$A$40,'Window-U'!$F$4:$F$40)*Semidetached!AK$22))*AK202</f>
        <v>854.67164184452349</v>
      </c>
      <c r="AL204" s="177">
        <f>((LOOKUP(Semidetached!AL$2,'Ceiling-U'!$A$4:$A$40,'Ceiling-U'!$F$4:$F$40)*Semidetached!AL$15)+(LOOKUP(Semidetached!AL$2,'Floor-U'!$A$4:$A$40,'Floor-U'!$F$4:$F$40)*Semidetached!AL$16)+(LOOKUP(Semidetached!AL$2,'Wall-U'!$A$4:$A$40,'Wall-U'!$Y$4:$Y$40)*Semidetached!AL$13)+(LOOKUP(Semidetached!AL$2,'Window-U'!$A$4:$A$40,'Window-U'!$F$4:$F$40)*Semidetached!AL$22))*AL202</f>
        <v>719.38860702117199</v>
      </c>
      <c r="AM204" s="177">
        <f>((LOOKUP(Semidetached!AM$2,'Ceiling-U'!$A$4:$A$40,'Ceiling-U'!$F$4:$F$40)*Semidetached!AM$15)+(LOOKUP(Semidetached!AM$2,'Floor-U'!$A$4:$A$40,'Floor-U'!$F$4:$F$40)*Semidetached!AM$16)+(LOOKUP(Semidetached!AM$2,'Wall-U'!$A$4:$A$40,'Wall-U'!$Y$4:$Y$40)*Semidetached!AM$13)+(LOOKUP(Semidetached!AM$2,'Window-U'!$A$4:$A$40,'Window-U'!$F$4:$F$40)*Semidetached!AM$22))*AM202</f>
        <v>687.48204597947154</v>
      </c>
      <c r="AN204" s="178">
        <f>((LOOKUP(Semidetached!AN$2,'Ceiling-U'!$A$4:$A$40,'Ceiling-U'!$F$4:$F$40)*Semidetached!AN$15)+(LOOKUP(Semidetached!AN$2,'Floor-U'!$A$4:$A$40,'Floor-U'!$F$4:$F$40)*Semidetached!AN$16)+(LOOKUP(Semidetached!AN$2,'Wall-U'!$A$4:$A$40,'Wall-U'!$Y$4:$Y$40)*Semidetached!AN$13)+(LOOKUP(Semidetached!AN$2,'Window-U'!$A$4:$A$40,'Window-U'!$F$4:$F$40)*Semidetached!AN$22))*AN202</f>
        <v>687.48204597947154</v>
      </c>
    </row>
    <row r="205" spans="1:40">
      <c r="A205" s="372"/>
      <c r="B205" s="142" t="s">
        <v>4</v>
      </c>
      <c r="C205" s="131" t="s">
        <v>195</v>
      </c>
      <c r="D205" s="176">
        <f>((LOOKUP(Semidetached!D$2,'Ceiling-U'!$A$4:$A$40,'Ceiling-U'!$G$4:$G$40)*Semidetached!D$15)+(LOOKUP(Semidetached!D$2,'Floor-U'!$A$4:$A$40,'Floor-U'!$G$4:$G$40)*Semidetached!D$16)+(LOOKUP(Semidetached!D$2,'Wall-U'!$A$4:$A$40,'Wall-U'!$Z$4:$Z$40)*Semidetached!D$13)+(LOOKUP(Semidetached!D$2,'Window-U'!$A$4:$A$40,'Window-U'!$G$4:$G$40)*Semidetached!D$22))*D202</f>
        <v>803.96811463304005</v>
      </c>
      <c r="E205" s="177">
        <f>((LOOKUP(Semidetached!E$2,'Ceiling-U'!$A$4:$A$40,'Ceiling-U'!$G$4:$G$40)*Semidetached!E$15)+(LOOKUP(Semidetached!E$2,'Floor-U'!$A$4:$A$40,'Floor-U'!$G$4:$G$40)*Semidetached!E$16)+(LOOKUP(Semidetached!E$2,'Wall-U'!$A$4:$A$40,'Wall-U'!$Z$4:$Z$40)*Semidetached!E$13)+(LOOKUP(Semidetached!E$2,'Window-U'!$A$4:$A$40,'Window-U'!$G$4:$G$40)*Semidetached!E$22))*E202</f>
        <v>1394.8557526333223</v>
      </c>
      <c r="F205" s="177">
        <f>((LOOKUP(Semidetached!F$2,'Ceiling-U'!$A$4:$A$40,'Ceiling-U'!$G$4:$G$40)*Semidetached!F$15)+(LOOKUP(Semidetached!F$2,'Floor-U'!$A$4:$A$40,'Floor-U'!$G$4:$G$40)*Semidetached!F$16)+(LOOKUP(Semidetached!F$2,'Wall-U'!$A$4:$A$40,'Wall-U'!$Z$4:$Z$40)*Semidetached!F$13)+(LOOKUP(Semidetached!F$2,'Window-U'!$A$4:$A$40,'Window-U'!$G$4:$G$40)*Semidetached!F$22))*F202</f>
        <v>644.01186868788523</v>
      </c>
      <c r="G205" s="177">
        <f>((LOOKUP(Semidetached!G$2,'Ceiling-U'!$A$4:$A$40,'Ceiling-U'!$G$4:$G$40)*Semidetached!G$15)+(LOOKUP(Semidetached!G$2,'Floor-U'!$A$4:$A$40,'Floor-U'!$G$4:$G$40)*Semidetached!G$16)+(LOOKUP(Semidetached!G$2,'Wall-U'!$A$4:$A$40,'Wall-U'!$Z$4:$Z$40)*Semidetached!G$13)+(LOOKUP(Semidetached!G$2,'Window-U'!$A$4:$A$40,'Window-U'!$G$4:$G$40)*Semidetached!G$22))*G202</f>
        <v>832.81892297653167</v>
      </c>
      <c r="H205" s="177">
        <f>((LOOKUP(Semidetached!H$2,'Ceiling-U'!$A$4:$A$40,'Ceiling-U'!$G$4:$G$40)*Semidetached!H$15)+(LOOKUP(Semidetached!H$2,'Floor-U'!$A$4:$A$40,'Floor-U'!$G$4:$G$40)*Semidetached!H$16)+(LOOKUP(Semidetached!H$2,'Wall-U'!$A$4:$A$40,'Wall-U'!$Z$4:$Z$40)*Semidetached!H$13)+(LOOKUP(Semidetached!H$2,'Window-U'!$A$4:$A$40,'Window-U'!$G$4:$G$40)*Semidetached!H$22))*H202</f>
        <v>2214.9936138549251</v>
      </c>
      <c r="I205" s="177">
        <f>((LOOKUP(Semidetached!I$2,'Ceiling-U'!$A$4:$A$40,'Ceiling-U'!$G$4:$G$40)*Semidetached!I$15)+(LOOKUP(Semidetached!I$2,'Floor-U'!$A$4:$A$40,'Floor-U'!$G$4:$G$40)*Semidetached!I$16)+(LOOKUP(Semidetached!I$2,'Wall-U'!$A$4:$A$40,'Wall-U'!$Z$4:$Z$40)*Semidetached!I$13)+(LOOKUP(Semidetached!I$2,'Window-U'!$A$4:$A$40,'Window-U'!$G$4:$G$40)*Semidetached!I$22))*I202</f>
        <v>739.64579592673897</v>
      </c>
      <c r="J205" s="177">
        <f>((LOOKUP(Semidetached!J$2,'Ceiling-U'!$A$4:$A$40,'Ceiling-U'!$G$4:$G$40)*Semidetached!J$15)+(LOOKUP(Semidetached!J$2,'Floor-U'!$A$4:$A$40,'Floor-U'!$G$4:$G$40)*Semidetached!J$16)+(LOOKUP(Semidetached!J$2,'Wall-U'!$A$4:$A$40,'Wall-U'!$Z$4:$Z$40)*Semidetached!J$13)+(LOOKUP(Semidetached!J$2,'Window-U'!$A$4:$A$40,'Window-U'!$G$4:$G$40)*Semidetached!J$22))*J202</f>
        <v>780.55550916912807</v>
      </c>
      <c r="K205" s="177">
        <f>((LOOKUP(Semidetached!K$2,'Ceiling-U'!$A$4:$A$40,'Ceiling-U'!$G$4:$G$40)*Semidetached!K$15)+(LOOKUP(Semidetached!K$2,'Floor-U'!$A$4:$A$40,'Floor-U'!$G$4:$G$40)*Semidetached!K$16)+(LOOKUP(Semidetached!K$2,'Wall-U'!$A$4:$A$40,'Wall-U'!$Z$4:$Z$40)*Semidetached!K$13)+(LOOKUP(Semidetached!K$2,'Window-U'!$A$4:$A$40,'Window-U'!$G$4:$G$40)*Semidetached!K$22))*K202</f>
        <v>477.94598678612692</v>
      </c>
      <c r="L205" s="177">
        <f>((LOOKUP(Semidetached!L$2,'Ceiling-U'!$A$4:$A$40,'Ceiling-U'!$G$4:$G$40)*Semidetached!L$15)+(LOOKUP(Semidetached!L$2,'Floor-U'!$A$4:$A$40,'Floor-U'!$G$4:$G$40)*Semidetached!L$16)+(LOOKUP(Semidetached!L$2,'Wall-U'!$A$4:$A$40,'Wall-U'!$Z$4:$Z$40)*Semidetached!L$13)+(LOOKUP(Semidetached!L$2,'Window-U'!$A$4:$A$40,'Window-U'!$G$4:$G$40)*Semidetached!L$22))*L202</f>
        <v>343.3356990502125</v>
      </c>
      <c r="M205" s="177">
        <f>((LOOKUP(Semidetached!M$2,'Ceiling-U'!$A$4:$A$40,'Ceiling-U'!$G$4:$G$40)*Semidetached!M$15)+(LOOKUP(Semidetached!M$2,'Floor-U'!$A$4:$A$40,'Floor-U'!$G$4:$G$40)*Semidetached!M$16)+(LOOKUP(Semidetached!M$2,'Wall-U'!$A$4:$A$40,'Wall-U'!$Z$4:$Z$40)*Semidetached!M$13)+(LOOKUP(Semidetached!M$2,'Window-U'!$A$4:$A$40,'Window-U'!$G$4:$G$40)*Semidetached!M$22))*M202</f>
        <v>1790.577476724136</v>
      </c>
      <c r="N205" s="177">
        <f>((LOOKUP(Semidetached!N$2,'Ceiling-U'!$A$4:$A$40,'Ceiling-U'!$G$4:$G$40)*Semidetached!N$15)+(LOOKUP(Semidetached!N$2,'Floor-U'!$A$4:$A$40,'Floor-U'!$G$4:$G$40)*Semidetached!N$16)+(LOOKUP(Semidetached!N$2,'Wall-U'!$A$4:$A$40,'Wall-U'!$Z$4:$Z$40)*Semidetached!N$13)+(LOOKUP(Semidetached!N$2,'Window-U'!$A$4:$A$40,'Window-U'!$G$4:$G$40)*Semidetached!N$22))*N202</f>
        <v>394.91202562305699</v>
      </c>
      <c r="O205" s="177">
        <f>((LOOKUP(Semidetached!O$2,'Ceiling-U'!$A$4:$A$40,'Ceiling-U'!$G$4:$G$40)*Semidetached!O$15)+(LOOKUP(Semidetached!O$2,'Floor-U'!$A$4:$A$40,'Floor-U'!$G$4:$G$40)*Semidetached!O$16)+(LOOKUP(Semidetached!O$2,'Wall-U'!$A$4:$A$40,'Wall-U'!$Z$4:$Z$40)*Semidetached!O$13)+(LOOKUP(Semidetached!O$2,'Window-U'!$A$4:$A$40,'Window-U'!$G$4:$G$40)*Semidetached!O$22))*O202</f>
        <v>813.7697623991819</v>
      </c>
      <c r="P205" s="177">
        <f>((LOOKUP(Semidetached!P$2,'Ceiling-U'!$A$4:$A$40,'Ceiling-U'!$G$4:$G$40)*Semidetached!P$15)+(LOOKUP(Semidetached!P$2,'Floor-U'!$A$4:$A$40,'Floor-U'!$G$4:$G$40)*Semidetached!P$16)+(LOOKUP(Semidetached!P$2,'Wall-U'!$A$4:$A$40,'Wall-U'!$Z$4:$Z$40)*Semidetached!P$13)+(LOOKUP(Semidetached!P$2,'Window-U'!$A$4:$A$40,'Window-U'!$G$4:$G$40)*Semidetached!P$22))*P202</f>
        <v>1304.0687081014323</v>
      </c>
      <c r="Q205" s="177">
        <f>((LOOKUP(Semidetached!Q$2,'Ceiling-U'!$A$4:$A$40,'Ceiling-U'!$G$4:$G$40)*Semidetached!Q$15)+(LOOKUP(Semidetached!Q$2,'Floor-U'!$A$4:$A$40,'Floor-U'!$G$4:$G$40)*Semidetached!Q$16)+(LOOKUP(Semidetached!Q$2,'Wall-U'!$A$4:$A$40,'Wall-U'!$Z$4:$Z$40)*Semidetached!Q$13)+(LOOKUP(Semidetached!Q$2,'Window-U'!$A$4:$A$40,'Window-U'!$G$4:$G$40)*Semidetached!Q$22))*Q202</f>
        <v>683.99342754020915</v>
      </c>
      <c r="R205" s="177">
        <f>((LOOKUP(Semidetached!R$2,'Ceiling-U'!$A$4:$A$40,'Ceiling-U'!$G$4:$G$40)*Semidetached!R$15)+(LOOKUP(Semidetached!R$2,'Floor-U'!$A$4:$A$40,'Floor-U'!$G$4:$G$40)*Semidetached!R$16)+(LOOKUP(Semidetached!R$2,'Wall-U'!$A$4:$A$40,'Wall-U'!$Z$4:$Z$40)*Semidetached!R$13)+(LOOKUP(Semidetached!R$2,'Window-U'!$A$4:$A$40,'Window-U'!$G$4:$G$40)*Semidetached!R$22))*R202</f>
        <v>773.60741858940628</v>
      </c>
      <c r="S205" s="177">
        <f>((LOOKUP(Semidetached!S$2,'Ceiling-U'!$A$4:$A$40,'Ceiling-U'!$G$4:$G$40)*Semidetached!S$15)+(LOOKUP(Semidetached!S$2,'Floor-U'!$A$4:$A$40,'Floor-U'!$G$4:$G$40)*Semidetached!S$16)+(LOOKUP(Semidetached!S$2,'Wall-U'!$A$4:$A$40,'Wall-U'!$Z$4:$Z$40)*Semidetached!S$13)+(LOOKUP(Semidetached!S$2,'Window-U'!$A$4:$A$40,'Window-U'!$G$4:$G$40)*Semidetached!S$22))*S202</f>
        <v>1098.1871721819814</v>
      </c>
      <c r="T205" s="177">
        <f>((LOOKUP(Semidetached!T$2,'Ceiling-U'!$A$4:$A$40,'Ceiling-U'!$G$4:$G$40)*Semidetached!T$15)+(LOOKUP(Semidetached!T$2,'Floor-U'!$A$4:$A$40,'Floor-U'!$G$4:$G$40)*Semidetached!T$16)+(LOOKUP(Semidetached!T$2,'Wall-U'!$A$4:$A$40,'Wall-U'!$Z$4:$Z$40)*Semidetached!T$13)+(LOOKUP(Semidetached!T$2,'Window-U'!$A$4:$A$40,'Window-U'!$G$4:$G$40)*Semidetached!T$22))*T202</f>
        <v>397.69944990563158</v>
      </c>
      <c r="U205" s="177">
        <f>((LOOKUP(Semidetached!U$2,'Ceiling-U'!$A$4:$A$40,'Ceiling-U'!$G$4:$G$40)*Semidetached!U$15)+(LOOKUP(Semidetached!U$2,'Floor-U'!$A$4:$A$40,'Floor-U'!$G$4:$G$40)*Semidetached!U$16)+(LOOKUP(Semidetached!U$2,'Wall-U'!$A$4:$A$40,'Wall-U'!$Z$4:$Z$40)*Semidetached!U$13)+(LOOKUP(Semidetached!U$2,'Window-U'!$A$4:$A$40,'Window-U'!$G$4:$G$40)*Semidetached!U$22))*U202</f>
        <v>1561.8281226979625</v>
      </c>
      <c r="V205" s="177">
        <f>((LOOKUP(Semidetached!V$2,'Ceiling-U'!$A$4:$A$40,'Ceiling-U'!$G$4:$G$40)*Semidetached!V$15)+(LOOKUP(Semidetached!V$2,'Floor-U'!$A$4:$A$40,'Floor-U'!$G$4:$G$40)*Semidetached!V$16)+(LOOKUP(Semidetached!V$2,'Wall-U'!$A$4:$A$40,'Wall-U'!$Z$4:$Z$40)*Semidetached!V$13)+(LOOKUP(Semidetached!V$2,'Window-U'!$A$4:$A$40,'Window-U'!$G$4:$G$40)*Semidetached!V$22))*V202</f>
        <v>496.04914056762919</v>
      </c>
      <c r="W205" s="177">
        <f>((LOOKUP(Semidetached!W$2,'Ceiling-U'!$A$4:$A$40,'Ceiling-U'!$G$4:$G$40)*Semidetached!W$15)+(LOOKUP(Semidetached!W$2,'Floor-U'!$A$4:$A$40,'Floor-U'!$G$4:$G$40)*Semidetached!W$16)+(LOOKUP(Semidetached!W$2,'Wall-U'!$A$4:$A$40,'Wall-U'!$Z$4:$Z$40)*Semidetached!W$13)+(LOOKUP(Semidetached!W$2,'Window-U'!$A$4:$A$40,'Window-U'!$G$4:$G$40)*Semidetached!W$22))*W202</f>
        <v>396.58903138838764</v>
      </c>
      <c r="X205" s="177">
        <f>((LOOKUP(Semidetached!X$2,'Ceiling-U'!$A$4:$A$40,'Ceiling-U'!$G$4:$G$40)*Semidetached!X$15)+(LOOKUP(Semidetached!X$2,'Floor-U'!$A$4:$A$40,'Floor-U'!$G$4:$G$40)*Semidetached!X$16)+(LOOKUP(Semidetached!X$2,'Wall-U'!$A$4:$A$40,'Wall-U'!$Z$4:$Z$40)*Semidetached!X$13)+(LOOKUP(Semidetached!X$2,'Window-U'!$A$4:$A$40,'Window-U'!$G$4:$G$40)*Semidetached!X$22))*X202</f>
        <v>779.17663025460388</v>
      </c>
      <c r="Y205" s="177">
        <f>((LOOKUP(Semidetached!Y$2,'Ceiling-U'!$A$4:$A$40,'Ceiling-U'!$G$4:$G$40)*Semidetached!Y$15)+(LOOKUP(Semidetached!Y$2,'Floor-U'!$A$4:$A$40,'Floor-U'!$G$4:$G$40)*Semidetached!Y$16)+(LOOKUP(Semidetached!Y$2,'Wall-U'!$A$4:$A$40,'Wall-U'!$Z$4:$Z$40)*Semidetached!Y$13)+(LOOKUP(Semidetached!Y$2,'Window-U'!$A$4:$A$40,'Window-U'!$G$4:$G$40)*Semidetached!Y$22))*Y202</f>
        <v>2088.37667713886</v>
      </c>
      <c r="Z205" s="177">
        <f>((LOOKUP(Semidetached!Z$2,'Ceiling-U'!$A$4:$A$40,'Ceiling-U'!$G$4:$G$40)*Semidetached!Z$15)+(LOOKUP(Semidetached!Z$2,'Floor-U'!$A$4:$A$40,'Floor-U'!$G$4:$G$40)*Semidetached!Z$16)+(LOOKUP(Semidetached!Z$2,'Wall-U'!$A$4:$A$40,'Wall-U'!$Z$4:$Z$40)*Semidetached!Z$13)+(LOOKUP(Semidetached!Z$2,'Window-U'!$A$4:$A$40,'Window-U'!$G$4:$G$40)*Semidetached!Z$22))*Z202</f>
        <v>1165.0188176569916</v>
      </c>
      <c r="AA205" s="177">
        <f>((LOOKUP(Semidetached!AA$2,'Ceiling-U'!$A$4:$A$40,'Ceiling-U'!$G$4:$G$40)*Semidetached!AA$15)+(LOOKUP(Semidetached!AA$2,'Floor-U'!$A$4:$A$40,'Floor-U'!$G$4:$G$40)*Semidetached!AA$16)+(LOOKUP(Semidetached!AA$2,'Wall-U'!$A$4:$A$40,'Wall-U'!$Z$4:$Z$40)*Semidetached!AA$13)+(LOOKUP(Semidetached!AA$2,'Window-U'!$A$4:$A$40,'Window-U'!$G$4:$G$40)*Semidetached!AA$22))*AA202</f>
        <v>354.20113422961231</v>
      </c>
      <c r="AB205" s="177">
        <f>((LOOKUP(Semidetached!AB$2,'Ceiling-U'!$A$4:$A$40,'Ceiling-U'!$G$4:$G$40)*Semidetached!AB$15)+(LOOKUP(Semidetached!AB$2,'Floor-U'!$A$4:$A$40,'Floor-U'!$G$4:$G$40)*Semidetached!AB$16)+(LOOKUP(Semidetached!AB$2,'Wall-U'!$A$4:$A$40,'Wall-U'!$Z$4:$Z$40)*Semidetached!AB$13)+(LOOKUP(Semidetached!AB$2,'Window-U'!$A$4:$A$40,'Window-U'!$G$4:$G$40)*Semidetached!AB$22))*AB202</f>
        <v>639.95148316299014</v>
      </c>
      <c r="AC205" s="177">
        <f>((LOOKUP(Semidetached!AC$2,'Ceiling-U'!$A$4:$A$40,'Ceiling-U'!$G$4:$G$40)*Semidetached!AC$15)+(LOOKUP(Semidetached!AC$2,'Floor-U'!$A$4:$A$40,'Floor-U'!$G$4:$G$40)*Semidetached!AC$16)+(LOOKUP(Semidetached!AC$2,'Wall-U'!$A$4:$A$40,'Wall-U'!$Z$4:$Z$40)*Semidetached!AC$13)+(LOOKUP(Semidetached!AC$2,'Window-U'!$A$4:$A$40,'Window-U'!$G$4:$G$40)*Semidetached!AC$22))*AC202</f>
        <v>2014.0413366838736</v>
      </c>
      <c r="AD205" s="177">
        <f>((LOOKUP(Semidetached!AD$2,'Ceiling-U'!$A$4:$A$40,'Ceiling-U'!$G$4:$G$40)*Semidetached!AD$15)+(LOOKUP(Semidetached!AD$2,'Floor-U'!$A$4:$A$40,'Floor-U'!$G$4:$G$40)*Semidetached!AD$16)+(LOOKUP(Semidetached!AD$2,'Wall-U'!$A$4:$A$40,'Wall-U'!$Z$4:$Z$40)*Semidetached!AD$13)+(LOOKUP(Semidetached!AD$2,'Window-U'!$A$4:$A$40,'Window-U'!$G$4:$G$40)*Semidetached!AD$22))*AD202</f>
        <v>809.49739084966086</v>
      </c>
      <c r="AE205" s="177">
        <f>((LOOKUP(Semidetached!AE$2,'Ceiling-U'!$A$4:$A$40,'Ceiling-U'!$G$4:$G$40)*Semidetached!AE$15)+(LOOKUP(Semidetached!AE$2,'Floor-U'!$A$4:$A$40,'Floor-U'!$G$4:$G$40)*Semidetached!AE$16)+(LOOKUP(Semidetached!AE$2,'Wall-U'!$A$4:$A$40,'Wall-U'!$Z$4:$Z$40)*Semidetached!AE$13)+(LOOKUP(Semidetached!AE$2,'Window-U'!$A$4:$A$40,'Window-U'!$G$4:$G$40)*Semidetached!AE$22))*AE202</f>
        <v>349.70645932833412</v>
      </c>
      <c r="AF205" s="177">
        <f>((LOOKUP(Semidetached!AF$2,'Ceiling-U'!$A$4:$A$40,'Ceiling-U'!$G$4:$G$40)*Semidetached!AF$15)+(LOOKUP(Semidetached!AF$2,'Floor-U'!$A$4:$A$40,'Floor-U'!$G$4:$G$40)*Semidetached!AF$16)+(LOOKUP(Semidetached!AF$2,'Wall-U'!$A$4:$A$40,'Wall-U'!$Z$4:$Z$40)*Semidetached!AF$13)+(LOOKUP(Semidetached!AF$2,'Window-U'!$A$4:$A$40,'Window-U'!$G$4:$G$40)*Semidetached!AF$22))*AF202</f>
        <v>739.98287463247584</v>
      </c>
      <c r="AG205" s="177">
        <f>((LOOKUP(Semidetached!AG$2,'Ceiling-U'!$A$4:$A$40,'Ceiling-U'!$G$4:$G$40)*Semidetached!AG$15)+(LOOKUP(Semidetached!AG$2,'Floor-U'!$A$4:$A$40,'Floor-U'!$G$4:$G$40)*Semidetached!AG$16)+(LOOKUP(Semidetached!AG$2,'Wall-U'!$A$4:$A$40,'Wall-U'!$Z$4:$Z$40)*Semidetached!AG$13)+(LOOKUP(Semidetached!AG$2,'Window-U'!$A$4:$A$40,'Window-U'!$G$4:$G$40)*Semidetached!AG$22))*AG202</f>
        <v>1194.9720426425579</v>
      </c>
      <c r="AH205" s="177">
        <f>((LOOKUP(Semidetached!AH$2,'Ceiling-U'!$A$4:$A$40,'Ceiling-U'!$G$4:$G$40)*Semidetached!AH$15)+(LOOKUP(Semidetached!AH$2,'Floor-U'!$A$4:$A$40,'Floor-U'!$G$4:$G$40)*Semidetached!AH$16)+(LOOKUP(Semidetached!AH$2,'Wall-U'!$A$4:$A$40,'Wall-U'!$Z$4:$Z$40)*Semidetached!AH$13)+(LOOKUP(Semidetached!AH$2,'Window-U'!$A$4:$A$40,'Window-U'!$G$4:$G$40)*Semidetached!AH$22))*AH202</f>
        <v>841.69843054852936</v>
      </c>
      <c r="AI205" s="177">
        <f>((LOOKUP(Semidetached!AI$2,'Ceiling-U'!$A$4:$A$40,'Ceiling-U'!$G$4:$G$40)*Semidetached!AI$15)+(LOOKUP(Semidetached!AI$2,'Floor-U'!$A$4:$A$40,'Floor-U'!$G$4:$G$40)*Semidetached!AI$16)+(LOOKUP(Semidetached!AI$2,'Wall-U'!$A$4:$A$40,'Wall-U'!$Z$4:$Z$40)*Semidetached!AI$13)+(LOOKUP(Semidetached!AI$2,'Window-U'!$A$4:$A$40,'Window-U'!$G$4:$G$40)*Semidetached!AI$22))*AI202</f>
        <v>1943.347761631703</v>
      </c>
      <c r="AJ205" s="177">
        <f>((LOOKUP(Semidetached!AJ$2,'Ceiling-U'!$A$4:$A$40,'Ceiling-U'!$G$4:$G$40)*Semidetached!AJ$15)+(LOOKUP(Semidetached!AJ$2,'Floor-U'!$A$4:$A$40,'Floor-U'!$G$4:$G$40)*Semidetached!AJ$16)+(LOOKUP(Semidetached!AJ$2,'Wall-U'!$A$4:$A$40,'Wall-U'!$Z$4:$Z$40)*Semidetached!AJ$13)+(LOOKUP(Semidetached!AJ$2,'Window-U'!$A$4:$A$40,'Window-U'!$G$4:$G$40)*Semidetached!AJ$22))*AJ202</f>
        <v>687.48204597947154</v>
      </c>
      <c r="AK205" s="177">
        <f>((LOOKUP(Semidetached!AK$2,'Ceiling-U'!$A$4:$A$40,'Ceiling-U'!$G$4:$G$40)*Semidetached!AK$15)+(LOOKUP(Semidetached!AK$2,'Floor-U'!$A$4:$A$40,'Floor-U'!$G$4:$G$40)*Semidetached!AK$16)+(LOOKUP(Semidetached!AK$2,'Wall-U'!$A$4:$A$40,'Wall-U'!$Z$4:$Z$40)*Semidetached!AK$13)+(LOOKUP(Semidetached!AK$2,'Window-U'!$A$4:$A$40,'Window-U'!$G$4:$G$40)*Semidetached!AK$22))*AK202</f>
        <v>854.67164184452349</v>
      </c>
      <c r="AL205" s="177">
        <f>((LOOKUP(Semidetached!AL$2,'Ceiling-U'!$A$4:$A$40,'Ceiling-U'!$G$4:$G$40)*Semidetached!AL$15)+(LOOKUP(Semidetached!AL$2,'Floor-U'!$A$4:$A$40,'Floor-U'!$G$4:$G$40)*Semidetached!AL$16)+(LOOKUP(Semidetached!AL$2,'Wall-U'!$A$4:$A$40,'Wall-U'!$Z$4:$Z$40)*Semidetached!AL$13)+(LOOKUP(Semidetached!AL$2,'Window-U'!$A$4:$A$40,'Window-U'!$G$4:$G$40)*Semidetached!AL$22))*AL202</f>
        <v>680.24873986368266</v>
      </c>
      <c r="AM205" s="177">
        <f>((LOOKUP(Semidetached!AM$2,'Ceiling-U'!$A$4:$A$40,'Ceiling-U'!$G$4:$G$40)*Semidetached!AM$15)+(LOOKUP(Semidetached!AM$2,'Floor-U'!$A$4:$A$40,'Floor-U'!$G$4:$G$40)*Semidetached!AM$16)+(LOOKUP(Semidetached!AM$2,'Wall-U'!$A$4:$A$40,'Wall-U'!$Z$4:$Z$40)*Semidetached!AM$13)+(LOOKUP(Semidetached!AM$2,'Window-U'!$A$4:$A$40,'Window-U'!$G$4:$G$40)*Semidetached!AM$22))*AM202</f>
        <v>687.48204597947154</v>
      </c>
      <c r="AN205" s="178">
        <f>((LOOKUP(Semidetached!AN$2,'Ceiling-U'!$A$4:$A$40,'Ceiling-U'!$G$4:$G$40)*Semidetached!AN$15)+(LOOKUP(Semidetached!AN$2,'Floor-U'!$A$4:$A$40,'Floor-U'!$G$4:$G$40)*Semidetached!AN$16)+(LOOKUP(Semidetached!AN$2,'Wall-U'!$A$4:$A$40,'Wall-U'!$Z$4:$Z$40)*Semidetached!AN$13)+(LOOKUP(Semidetached!AN$2,'Window-U'!$A$4:$A$40,'Window-U'!$G$4:$G$40)*Semidetached!AN$22))*AN202</f>
        <v>687.48204597947154</v>
      </c>
    </row>
    <row r="206" spans="1:40">
      <c r="A206" s="372"/>
      <c r="B206" s="142" t="s">
        <v>5</v>
      </c>
      <c r="C206" s="131" t="s">
        <v>195</v>
      </c>
      <c r="D206" s="176">
        <f>((LOOKUP(Semidetached!D$2,'Ceiling-U'!$A$4:$A$40,'Ceiling-U'!$H$4:$H$40)*Semidetached!D$15)+(LOOKUP(Semidetached!D$2,'Floor-U'!$A$4:$A$40,'Floor-U'!$H$4:$H$40)*Semidetached!D$16)+(LOOKUP(Semidetached!D$2,'Wall-U'!$A$4:$A$40,'Wall-U'!$AA$4:$AA$40)*Semidetached!D$13)+(LOOKUP(Semidetached!D$2,'Window-U'!$A$4:$A$40,'Window-U'!$H$4:$H$40)*Semidetached!D$22))*D202</f>
        <v>536.59717953843301</v>
      </c>
      <c r="E206" s="177">
        <f>((LOOKUP(Semidetached!E$2,'Ceiling-U'!$A$4:$A$40,'Ceiling-U'!$H$4:$H$40)*Semidetached!E$15)+(LOOKUP(Semidetached!E$2,'Floor-U'!$A$4:$A$40,'Floor-U'!$H$4:$H$40)*Semidetached!E$16)+(LOOKUP(Semidetached!E$2,'Wall-U'!$A$4:$A$40,'Wall-U'!$AA$4:$AA$40)*Semidetached!E$13)+(LOOKUP(Semidetached!E$2,'Window-U'!$A$4:$A$40,'Window-U'!$H$4:$H$40)*Semidetached!E$22))*E202</f>
        <v>1139.6555681453774</v>
      </c>
      <c r="F206" s="177">
        <f>((LOOKUP(Semidetached!F$2,'Ceiling-U'!$A$4:$A$40,'Ceiling-U'!$H$4:$H$40)*Semidetached!F$15)+(LOOKUP(Semidetached!F$2,'Floor-U'!$A$4:$A$40,'Floor-U'!$H$4:$H$40)*Semidetached!F$16)+(LOOKUP(Semidetached!F$2,'Wall-U'!$A$4:$A$40,'Wall-U'!$AA$4:$AA$40)*Semidetached!F$13)+(LOOKUP(Semidetached!F$2,'Window-U'!$A$4:$A$40,'Window-U'!$H$4:$H$40)*Semidetached!F$22))*F202</f>
        <v>569.45154957518889</v>
      </c>
      <c r="G206" s="177">
        <f>((LOOKUP(Semidetached!G$2,'Ceiling-U'!$A$4:$A$40,'Ceiling-U'!$H$4:$H$40)*Semidetached!G$15)+(LOOKUP(Semidetached!G$2,'Floor-U'!$A$4:$A$40,'Floor-U'!$H$4:$H$40)*Semidetached!G$16)+(LOOKUP(Semidetached!G$2,'Wall-U'!$A$4:$A$40,'Wall-U'!$AA$4:$AA$40)*Semidetached!G$13)+(LOOKUP(Semidetached!G$2,'Window-U'!$A$4:$A$40,'Window-U'!$H$4:$H$40)*Semidetached!G$22))*G202</f>
        <v>554.50017584302077</v>
      </c>
      <c r="H206" s="177">
        <f>((LOOKUP(Semidetached!H$2,'Ceiling-U'!$A$4:$A$40,'Ceiling-U'!$H$4:$H$40)*Semidetached!H$15)+(LOOKUP(Semidetached!H$2,'Floor-U'!$A$4:$A$40,'Floor-U'!$H$4:$H$40)*Semidetached!H$16)+(LOOKUP(Semidetached!H$2,'Wall-U'!$A$4:$A$40,'Wall-U'!$AA$4:$AA$40)*Semidetached!H$13)+(LOOKUP(Semidetached!H$2,'Window-U'!$A$4:$A$40,'Window-U'!$H$4:$H$40)*Semidetached!H$22))*H202</f>
        <v>2107.5040982165174</v>
      </c>
      <c r="I206" s="177">
        <f>((LOOKUP(Semidetached!I$2,'Ceiling-U'!$A$4:$A$40,'Ceiling-U'!$H$4:$H$40)*Semidetached!I$15)+(LOOKUP(Semidetached!I$2,'Floor-U'!$A$4:$A$40,'Floor-U'!$H$4:$H$40)*Semidetached!I$16)+(LOOKUP(Semidetached!I$2,'Wall-U'!$A$4:$A$40,'Wall-U'!$AA$4:$AA$40)*Semidetached!I$13)+(LOOKUP(Semidetached!I$2,'Window-U'!$A$4:$A$40,'Window-U'!$H$4:$H$40)*Semidetached!I$22))*I202</f>
        <v>648.16846580404956</v>
      </c>
      <c r="J206" s="177">
        <f>((LOOKUP(Semidetached!J$2,'Ceiling-U'!$A$4:$A$40,'Ceiling-U'!$H$4:$H$40)*Semidetached!J$15)+(LOOKUP(Semidetached!J$2,'Floor-U'!$A$4:$A$40,'Floor-U'!$H$4:$H$40)*Semidetached!J$16)+(LOOKUP(Semidetached!J$2,'Wall-U'!$A$4:$A$40,'Wall-U'!$AA$4:$AA$40)*Semidetached!J$13)+(LOOKUP(Semidetached!J$2,'Window-U'!$A$4:$A$40,'Window-U'!$H$4:$H$40)*Semidetached!J$22))*J202</f>
        <v>538.39094590661557</v>
      </c>
      <c r="K206" s="177">
        <f>((LOOKUP(Semidetached!K$2,'Ceiling-U'!$A$4:$A$40,'Ceiling-U'!$H$4:$H$40)*Semidetached!K$15)+(LOOKUP(Semidetached!K$2,'Floor-U'!$A$4:$A$40,'Floor-U'!$H$4:$H$40)*Semidetached!K$16)+(LOOKUP(Semidetached!K$2,'Wall-U'!$A$4:$A$40,'Wall-U'!$AA$4:$AA$40)*Semidetached!K$13)+(LOOKUP(Semidetached!K$2,'Window-U'!$A$4:$A$40,'Window-U'!$H$4:$H$40)*Semidetached!K$22))*K202</f>
        <v>415.59526983276066</v>
      </c>
      <c r="L206" s="177">
        <f>((LOOKUP(Semidetached!L$2,'Ceiling-U'!$A$4:$A$40,'Ceiling-U'!$H$4:$H$40)*Semidetached!L$15)+(LOOKUP(Semidetached!L$2,'Floor-U'!$A$4:$A$40,'Floor-U'!$H$4:$H$40)*Semidetached!L$16)+(LOOKUP(Semidetached!L$2,'Wall-U'!$A$4:$A$40,'Wall-U'!$AA$4:$AA$40)*Semidetached!L$13)+(LOOKUP(Semidetached!L$2,'Window-U'!$A$4:$A$40,'Window-U'!$H$4:$H$40)*Semidetached!L$22))*L202</f>
        <v>248.40874835692532</v>
      </c>
      <c r="M206" s="177">
        <f>((LOOKUP(Semidetached!M$2,'Ceiling-U'!$A$4:$A$40,'Ceiling-U'!$H$4:$H$40)*Semidetached!M$15)+(LOOKUP(Semidetached!M$2,'Floor-U'!$A$4:$A$40,'Floor-U'!$H$4:$H$40)*Semidetached!M$16)+(LOOKUP(Semidetached!M$2,'Wall-U'!$A$4:$A$40,'Wall-U'!$AA$4:$AA$40)*Semidetached!M$13)+(LOOKUP(Semidetached!M$2,'Window-U'!$A$4:$A$40,'Window-U'!$H$4:$H$40)*Semidetached!M$22))*M202</f>
        <v>965.4084084060014</v>
      </c>
      <c r="N206" s="177">
        <f>((LOOKUP(Semidetached!N$2,'Ceiling-U'!$A$4:$A$40,'Ceiling-U'!$H$4:$H$40)*Semidetached!N$15)+(LOOKUP(Semidetached!N$2,'Floor-U'!$A$4:$A$40,'Floor-U'!$H$4:$H$40)*Semidetached!N$16)+(LOOKUP(Semidetached!N$2,'Wall-U'!$A$4:$A$40,'Wall-U'!$AA$4:$AA$40)*Semidetached!N$13)+(LOOKUP(Semidetached!N$2,'Window-U'!$A$4:$A$40,'Window-U'!$H$4:$H$40)*Semidetached!N$22))*N202</f>
        <v>332.11365612071285</v>
      </c>
      <c r="O206" s="177">
        <f>((LOOKUP(Semidetached!O$2,'Ceiling-U'!$A$4:$A$40,'Ceiling-U'!$H$4:$H$40)*Semidetached!O$15)+(LOOKUP(Semidetached!O$2,'Floor-U'!$A$4:$A$40,'Floor-U'!$H$4:$H$40)*Semidetached!O$16)+(LOOKUP(Semidetached!O$2,'Wall-U'!$A$4:$A$40,'Wall-U'!$AA$4:$AA$40)*Semidetached!O$13)+(LOOKUP(Semidetached!O$2,'Window-U'!$A$4:$A$40,'Window-U'!$H$4:$H$40)*Semidetached!O$22))*O202</f>
        <v>681.95647418190947</v>
      </c>
      <c r="P206" s="177">
        <f>((LOOKUP(Semidetached!P$2,'Ceiling-U'!$A$4:$A$40,'Ceiling-U'!$H$4:$H$40)*Semidetached!P$15)+(LOOKUP(Semidetached!P$2,'Floor-U'!$A$4:$A$40,'Floor-U'!$H$4:$H$40)*Semidetached!P$16)+(LOOKUP(Semidetached!P$2,'Wall-U'!$A$4:$A$40,'Wall-U'!$AA$4:$AA$40)*Semidetached!P$13)+(LOOKUP(Semidetached!P$2,'Window-U'!$A$4:$A$40,'Window-U'!$H$4:$H$40)*Semidetached!P$22))*P202</f>
        <v>1234.6345923413294</v>
      </c>
      <c r="Q206" s="177">
        <f>((LOOKUP(Semidetached!Q$2,'Ceiling-U'!$A$4:$A$40,'Ceiling-U'!$H$4:$H$40)*Semidetached!Q$15)+(LOOKUP(Semidetached!Q$2,'Floor-U'!$A$4:$A$40,'Floor-U'!$H$4:$H$40)*Semidetached!Q$16)+(LOOKUP(Semidetached!Q$2,'Wall-U'!$A$4:$A$40,'Wall-U'!$AA$4:$AA$40)*Semidetached!Q$13)+(LOOKUP(Semidetached!Q$2,'Window-U'!$A$4:$A$40,'Window-U'!$H$4:$H$40)*Semidetached!Q$22))*Q202</f>
        <v>683.99342754020915</v>
      </c>
      <c r="R206" s="177">
        <f>((LOOKUP(Semidetached!R$2,'Ceiling-U'!$A$4:$A$40,'Ceiling-U'!$H$4:$H$40)*Semidetached!R$15)+(LOOKUP(Semidetached!R$2,'Floor-U'!$A$4:$A$40,'Floor-U'!$H$4:$H$40)*Semidetached!R$16)+(LOOKUP(Semidetached!R$2,'Wall-U'!$A$4:$A$40,'Wall-U'!$AA$4:$AA$40)*Semidetached!R$13)+(LOOKUP(Semidetached!R$2,'Window-U'!$A$4:$A$40,'Window-U'!$H$4:$H$40)*Semidetached!R$22))*R202</f>
        <v>625.08459770050217</v>
      </c>
      <c r="S206" s="177">
        <f>((LOOKUP(Semidetached!S$2,'Ceiling-U'!$A$4:$A$40,'Ceiling-U'!$H$4:$H$40)*Semidetached!S$15)+(LOOKUP(Semidetached!S$2,'Floor-U'!$A$4:$A$40,'Floor-U'!$H$4:$H$40)*Semidetached!S$16)+(LOOKUP(Semidetached!S$2,'Wall-U'!$A$4:$A$40,'Wall-U'!$AA$4:$AA$40)*Semidetached!S$13)+(LOOKUP(Semidetached!S$2,'Window-U'!$A$4:$A$40,'Window-U'!$H$4:$H$40)*Semidetached!S$22))*S202</f>
        <v>660.43724281339496</v>
      </c>
      <c r="T206" s="177">
        <f>((LOOKUP(Semidetached!T$2,'Ceiling-U'!$A$4:$A$40,'Ceiling-U'!$H$4:$H$40)*Semidetached!T$15)+(LOOKUP(Semidetached!T$2,'Floor-U'!$A$4:$A$40,'Floor-U'!$H$4:$H$40)*Semidetached!T$16)+(LOOKUP(Semidetached!T$2,'Wall-U'!$A$4:$A$40,'Wall-U'!$AA$4:$AA$40)*Semidetached!T$13)+(LOOKUP(Semidetached!T$2,'Window-U'!$A$4:$A$40,'Window-U'!$H$4:$H$40)*Semidetached!T$22))*T202</f>
        <v>334.44873741325551</v>
      </c>
      <c r="U206" s="177">
        <f>((LOOKUP(Semidetached!U$2,'Ceiling-U'!$A$4:$A$40,'Ceiling-U'!$H$4:$H$40)*Semidetached!U$15)+(LOOKUP(Semidetached!U$2,'Floor-U'!$A$4:$A$40,'Floor-U'!$H$4:$H$40)*Semidetached!U$16)+(LOOKUP(Semidetached!U$2,'Wall-U'!$A$4:$A$40,'Wall-U'!$AA$4:$AA$40)*Semidetached!U$13)+(LOOKUP(Semidetached!U$2,'Window-U'!$A$4:$A$40,'Window-U'!$H$4:$H$40)*Semidetached!U$22))*U202</f>
        <v>1329.3991989379761</v>
      </c>
      <c r="V206" s="177">
        <f>((LOOKUP(Semidetached!V$2,'Ceiling-U'!$A$4:$A$40,'Ceiling-U'!$H$4:$H$40)*Semidetached!V$15)+(LOOKUP(Semidetached!V$2,'Floor-U'!$A$4:$A$40,'Floor-U'!$H$4:$H$40)*Semidetached!V$16)+(LOOKUP(Semidetached!V$2,'Wall-U'!$A$4:$A$40,'Wall-U'!$AA$4:$AA$40)*Semidetached!V$13)+(LOOKUP(Semidetached!V$2,'Window-U'!$A$4:$A$40,'Window-U'!$H$4:$H$40)*Semidetached!V$22))*V202</f>
        <v>496.04914056762919</v>
      </c>
      <c r="W206" s="177">
        <f>((LOOKUP(Semidetached!W$2,'Ceiling-U'!$A$4:$A$40,'Ceiling-U'!$H$4:$H$40)*Semidetached!W$15)+(LOOKUP(Semidetached!W$2,'Floor-U'!$A$4:$A$40,'Floor-U'!$H$4:$H$40)*Semidetached!W$16)+(LOOKUP(Semidetached!W$2,'Wall-U'!$A$4:$A$40,'Wall-U'!$AA$4:$AA$40)*Semidetached!W$13)+(LOOKUP(Semidetached!W$2,'Window-U'!$A$4:$A$40,'Window-U'!$H$4:$H$40)*Semidetached!W$22))*W202</f>
        <v>316.97368370018899</v>
      </c>
      <c r="X206" s="177">
        <f>((LOOKUP(Semidetached!X$2,'Ceiling-U'!$A$4:$A$40,'Ceiling-U'!$H$4:$H$40)*Semidetached!X$15)+(LOOKUP(Semidetached!X$2,'Floor-U'!$A$4:$A$40,'Floor-U'!$H$4:$H$40)*Semidetached!X$16)+(LOOKUP(Semidetached!X$2,'Wall-U'!$A$4:$A$40,'Wall-U'!$AA$4:$AA$40)*Semidetached!X$13)+(LOOKUP(Semidetached!X$2,'Window-U'!$A$4:$A$40,'Window-U'!$H$4:$H$40)*Semidetached!X$22))*X202</f>
        <v>419.34809087914607</v>
      </c>
      <c r="Y206" s="177">
        <f>((LOOKUP(Semidetached!Y$2,'Ceiling-U'!$A$4:$A$40,'Ceiling-U'!$H$4:$H$40)*Semidetached!Y$15)+(LOOKUP(Semidetached!Y$2,'Floor-U'!$A$4:$A$40,'Floor-U'!$H$4:$H$40)*Semidetached!Y$16)+(LOOKUP(Semidetached!Y$2,'Wall-U'!$A$4:$A$40,'Wall-U'!$AA$4:$AA$40)*Semidetached!Y$13)+(LOOKUP(Semidetached!Y$2,'Window-U'!$A$4:$A$40,'Window-U'!$H$4:$H$40)*Semidetached!Y$22))*Y202</f>
        <v>1767.9722992537118</v>
      </c>
      <c r="Z206" s="177">
        <f>((LOOKUP(Semidetached!Z$2,'Ceiling-U'!$A$4:$A$40,'Ceiling-U'!$H$4:$H$40)*Semidetached!Z$15)+(LOOKUP(Semidetached!Z$2,'Floor-U'!$A$4:$A$40,'Floor-U'!$H$4:$H$40)*Semidetached!Z$16)+(LOOKUP(Semidetached!Z$2,'Wall-U'!$A$4:$A$40,'Wall-U'!$AA$4:$AA$40)*Semidetached!Z$13)+(LOOKUP(Semidetached!Z$2,'Window-U'!$A$4:$A$40,'Window-U'!$H$4:$H$40)*Semidetached!Z$22))*Z202</f>
        <v>910.76118793103319</v>
      </c>
      <c r="AA206" s="177">
        <f>((LOOKUP(Semidetached!AA$2,'Ceiling-U'!$A$4:$A$40,'Ceiling-U'!$H$4:$H$40)*Semidetached!AA$15)+(LOOKUP(Semidetached!AA$2,'Floor-U'!$A$4:$A$40,'Floor-U'!$H$4:$H$40)*Semidetached!AA$16)+(LOOKUP(Semidetached!AA$2,'Wall-U'!$A$4:$A$40,'Wall-U'!$AA$4:$AA$40)*Semidetached!AA$13)+(LOOKUP(Semidetached!AA$2,'Window-U'!$A$4:$A$40,'Window-U'!$H$4:$H$40)*Semidetached!AA$22))*AA202</f>
        <v>349.34113422961229</v>
      </c>
      <c r="AB206" s="177">
        <f>((LOOKUP(Semidetached!AB$2,'Ceiling-U'!$A$4:$A$40,'Ceiling-U'!$H$4:$H$40)*Semidetached!AB$15)+(LOOKUP(Semidetached!AB$2,'Floor-U'!$A$4:$A$40,'Floor-U'!$H$4:$H$40)*Semidetached!AB$16)+(LOOKUP(Semidetached!AB$2,'Wall-U'!$A$4:$A$40,'Wall-U'!$AA$4:$AA$40)*Semidetached!AB$13)+(LOOKUP(Semidetached!AB$2,'Window-U'!$A$4:$A$40,'Window-U'!$H$4:$H$40)*Semidetached!AB$22))*AB202</f>
        <v>639.95148316299014</v>
      </c>
      <c r="AC206" s="177">
        <f>((LOOKUP(Semidetached!AC$2,'Ceiling-U'!$A$4:$A$40,'Ceiling-U'!$H$4:$H$40)*Semidetached!AC$15)+(LOOKUP(Semidetached!AC$2,'Floor-U'!$A$4:$A$40,'Floor-U'!$H$4:$H$40)*Semidetached!AC$16)+(LOOKUP(Semidetached!AC$2,'Wall-U'!$A$4:$A$40,'Wall-U'!$AA$4:$AA$40)*Semidetached!AC$13)+(LOOKUP(Semidetached!AC$2,'Window-U'!$A$4:$A$40,'Window-U'!$H$4:$H$40)*Semidetached!AC$22))*AC202</f>
        <v>1983.2443594388872</v>
      </c>
      <c r="AD206" s="177">
        <f>((LOOKUP(Semidetached!AD$2,'Ceiling-U'!$A$4:$A$40,'Ceiling-U'!$H$4:$H$40)*Semidetached!AD$15)+(LOOKUP(Semidetached!AD$2,'Floor-U'!$A$4:$A$40,'Floor-U'!$H$4:$H$40)*Semidetached!AD$16)+(LOOKUP(Semidetached!AD$2,'Wall-U'!$A$4:$A$40,'Wall-U'!$AA$4:$AA$40)*Semidetached!AD$13)+(LOOKUP(Semidetached!AD$2,'Window-U'!$A$4:$A$40,'Window-U'!$H$4:$H$40)*Semidetached!AD$22))*AD202</f>
        <v>736.54089674440979</v>
      </c>
      <c r="AE206" s="177">
        <f>((LOOKUP(Semidetached!AE$2,'Ceiling-U'!$A$4:$A$40,'Ceiling-U'!$H$4:$H$40)*Semidetached!AE$15)+(LOOKUP(Semidetached!AE$2,'Floor-U'!$A$4:$A$40,'Floor-U'!$H$4:$H$40)*Semidetached!AE$16)+(LOOKUP(Semidetached!AE$2,'Wall-U'!$A$4:$A$40,'Wall-U'!$AA$4:$AA$40)*Semidetached!AE$13)+(LOOKUP(Semidetached!AE$2,'Window-U'!$A$4:$A$40,'Window-U'!$H$4:$H$40)*Semidetached!AE$22))*AE202</f>
        <v>344.84645932833411</v>
      </c>
      <c r="AF206" s="177">
        <f>((LOOKUP(Semidetached!AF$2,'Ceiling-U'!$A$4:$A$40,'Ceiling-U'!$H$4:$H$40)*Semidetached!AF$15)+(LOOKUP(Semidetached!AF$2,'Floor-U'!$A$4:$A$40,'Floor-U'!$H$4:$H$40)*Semidetached!AF$16)+(LOOKUP(Semidetached!AF$2,'Wall-U'!$A$4:$A$40,'Wall-U'!$AA$4:$AA$40)*Semidetached!AF$13)+(LOOKUP(Semidetached!AF$2,'Window-U'!$A$4:$A$40,'Window-U'!$H$4:$H$40)*Semidetached!AF$22))*AF202</f>
        <v>643.5443757753925</v>
      </c>
      <c r="AG206" s="177">
        <f>((LOOKUP(Semidetached!AG$2,'Ceiling-U'!$A$4:$A$40,'Ceiling-U'!$H$4:$H$40)*Semidetached!AG$15)+(LOOKUP(Semidetached!AG$2,'Floor-U'!$A$4:$A$40,'Floor-U'!$H$4:$H$40)*Semidetached!AG$16)+(LOOKUP(Semidetached!AG$2,'Wall-U'!$A$4:$A$40,'Wall-U'!$AA$4:$AA$40)*Semidetached!AG$13)+(LOOKUP(Semidetached!AG$2,'Window-U'!$A$4:$A$40,'Window-U'!$H$4:$H$40)*Semidetached!AG$22))*AG202</f>
        <v>1011.8972965880964</v>
      </c>
      <c r="AH206" s="177">
        <f>((LOOKUP(Semidetached!AH$2,'Ceiling-U'!$A$4:$A$40,'Ceiling-U'!$H$4:$H$40)*Semidetached!AH$15)+(LOOKUP(Semidetached!AH$2,'Floor-U'!$A$4:$A$40,'Floor-U'!$H$4:$H$40)*Semidetached!AH$16)+(LOOKUP(Semidetached!AH$2,'Wall-U'!$A$4:$A$40,'Wall-U'!$AA$4:$AA$40)*Semidetached!AH$13)+(LOOKUP(Semidetached!AH$2,'Window-U'!$A$4:$A$40,'Window-U'!$H$4:$H$40)*Semidetached!AH$22))*AH202</f>
        <v>592.52832554578106</v>
      </c>
      <c r="AI206" s="177">
        <f>((LOOKUP(Semidetached!AI$2,'Ceiling-U'!$A$4:$A$40,'Ceiling-U'!$H$4:$H$40)*Semidetached!AI$15)+(LOOKUP(Semidetached!AI$2,'Floor-U'!$A$4:$A$40,'Floor-U'!$H$4:$H$40)*Semidetached!AI$16)+(LOOKUP(Semidetached!AI$2,'Wall-U'!$A$4:$A$40,'Wall-U'!$AA$4:$AA$40)*Semidetached!AI$13)+(LOOKUP(Semidetached!AI$2,'Window-U'!$A$4:$A$40,'Window-U'!$H$4:$H$40)*Semidetached!AI$22))*AI202</f>
        <v>1839.1965879915485</v>
      </c>
      <c r="AJ206" s="177">
        <f>((LOOKUP(Semidetached!AJ$2,'Ceiling-U'!$A$4:$A$40,'Ceiling-U'!$H$4:$H$40)*Semidetached!AJ$15)+(LOOKUP(Semidetached!AJ$2,'Floor-U'!$A$4:$A$40,'Floor-U'!$H$4:$H$40)*Semidetached!AJ$16)+(LOOKUP(Semidetached!AJ$2,'Wall-U'!$A$4:$A$40,'Wall-U'!$AA$4:$AA$40)*Semidetached!AJ$13)+(LOOKUP(Semidetached!AJ$2,'Window-U'!$A$4:$A$40,'Window-U'!$H$4:$H$40)*Semidetached!AJ$22))*AJ202</f>
        <v>597.77785695426098</v>
      </c>
      <c r="AK206" s="177">
        <f>((LOOKUP(Semidetached!AK$2,'Ceiling-U'!$A$4:$A$40,'Ceiling-U'!$H$4:$H$40)*Semidetached!AK$15)+(LOOKUP(Semidetached!AK$2,'Floor-U'!$A$4:$A$40,'Floor-U'!$H$4:$H$40)*Semidetached!AK$16)+(LOOKUP(Semidetached!AK$2,'Wall-U'!$A$4:$A$40,'Wall-U'!$AA$4:$AA$40)*Semidetached!AK$13)+(LOOKUP(Semidetached!AK$2,'Window-U'!$A$4:$A$40,'Window-U'!$H$4:$H$40)*Semidetached!AK$22))*AK202</f>
        <v>733.7052749966158</v>
      </c>
      <c r="AL206" s="177">
        <f>((LOOKUP(Semidetached!AL$2,'Ceiling-U'!$A$4:$A$40,'Ceiling-U'!$H$4:$H$40)*Semidetached!AL$15)+(LOOKUP(Semidetached!AL$2,'Floor-U'!$A$4:$A$40,'Floor-U'!$H$4:$H$40)*Semidetached!AL$16)+(LOOKUP(Semidetached!AL$2,'Wall-U'!$A$4:$A$40,'Wall-U'!$AA$4:$AA$40)*Semidetached!AL$13)+(LOOKUP(Semidetached!AL$2,'Window-U'!$A$4:$A$40,'Window-U'!$H$4:$H$40)*Semidetached!AL$22))*AL202</f>
        <v>599.85943948239492</v>
      </c>
      <c r="AM206" s="177">
        <f>((LOOKUP(Semidetached!AM$2,'Ceiling-U'!$A$4:$A$40,'Ceiling-U'!$H$4:$H$40)*Semidetached!AM$15)+(LOOKUP(Semidetached!AM$2,'Floor-U'!$A$4:$A$40,'Floor-U'!$H$4:$H$40)*Semidetached!AM$16)+(LOOKUP(Semidetached!AM$2,'Wall-U'!$A$4:$A$40,'Wall-U'!$AA$4:$AA$40)*Semidetached!AM$13)+(LOOKUP(Semidetached!AM$2,'Window-U'!$A$4:$A$40,'Window-U'!$H$4:$H$40)*Semidetached!AM$22))*AM202</f>
        <v>597.77785695426098</v>
      </c>
      <c r="AN206" s="178">
        <f>((LOOKUP(Semidetached!AN$2,'Ceiling-U'!$A$4:$A$40,'Ceiling-U'!$H$4:$H$40)*Semidetached!AN$15)+(LOOKUP(Semidetached!AN$2,'Floor-U'!$A$4:$A$40,'Floor-U'!$H$4:$H$40)*Semidetached!AN$16)+(LOOKUP(Semidetached!AN$2,'Wall-U'!$A$4:$A$40,'Wall-U'!$AA$4:$AA$40)*Semidetached!AN$13)+(LOOKUP(Semidetached!AN$2,'Window-U'!$A$4:$A$40,'Window-U'!$H$4:$H$40)*Semidetached!AN$22))*AN202</f>
        <v>597.77785695426098</v>
      </c>
    </row>
    <row r="207" spans="1:40">
      <c r="A207" s="372"/>
      <c r="B207" s="142" t="s">
        <v>6</v>
      </c>
      <c r="C207" s="131" t="s">
        <v>195</v>
      </c>
      <c r="D207" s="176">
        <f>((LOOKUP(Semidetached!D$2,'Ceiling-U'!$A$4:$A$40,'Ceiling-U'!$I$4:$I$40)*Semidetached!D$15)+(LOOKUP(Semidetached!D$2,'Floor-U'!$A$4:$A$40,'Floor-U'!$I$4:$I$40)*Semidetached!D$16)+(LOOKUP(Semidetached!D$2,'Wall-U'!$A$4:$A$40,'Wall-U'!$AB$4:$AB$40)*Semidetached!D$13)+(LOOKUP(Semidetached!D$2,'Window-U'!$A$4:$A$40,'Window-U'!$I$4:$I$40)*Semidetached!D$22))*D202</f>
        <v>478.13273645045069</v>
      </c>
      <c r="E207" s="177">
        <f>((LOOKUP(Semidetached!E$2,'Ceiling-U'!$A$4:$A$40,'Ceiling-U'!$I$4:$I$40)*Semidetached!E$15)+(LOOKUP(Semidetached!E$2,'Floor-U'!$A$4:$A$40,'Floor-U'!$I$4:$I$40)*Semidetached!E$16)+(LOOKUP(Semidetached!E$2,'Wall-U'!$A$4:$A$40,'Wall-U'!$AB$4:$AB$40)*Semidetached!E$13)+(LOOKUP(Semidetached!E$2,'Window-U'!$A$4:$A$40,'Window-U'!$I$4:$I$40)*Semidetached!E$22))*E202</f>
        <v>1139.6555681453774</v>
      </c>
      <c r="F207" s="177">
        <f>((LOOKUP(Semidetached!F$2,'Ceiling-U'!$A$4:$A$40,'Ceiling-U'!$I$4:$I$40)*Semidetached!F$15)+(LOOKUP(Semidetached!F$2,'Floor-U'!$A$4:$A$40,'Floor-U'!$I$4:$I$40)*Semidetached!F$16)+(LOOKUP(Semidetached!F$2,'Wall-U'!$A$4:$A$40,'Wall-U'!$AB$4:$AB$40)*Semidetached!F$13)+(LOOKUP(Semidetached!F$2,'Window-U'!$A$4:$A$40,'Window-U'!$I$4:$I$40)*Semidetached!F$22))*F202</f>
        <v>425.30011824755945</v>
      </c>
      <c r="G207" s="177">
        <f>((LOOKUP(Semidetached!G$2,'Ceiling-U'!$A$4:$A$40,'Ceiling-U'!$I$4:$I$40)*Semidetached!G$15)+(LOOKUP(Semidetached!G$2,'Floor-U'!$A$4:$A$40,'Floor-U'!$I$4:$I$40)*Semidetached!G$16)+(LOOKUP(Semidetached!G$2,'Wall-U'!$A$4:$A$40,'Wall-U'!$AB$4:$AB$40)*Semidetached!G$13)+(LOOKUP(Semidetached!G$2,'Window-U'!$A$4:$A$40,'Window-U'!$I$4:$I$40)*Semidetached!G$22))*G202</f>
        <v>494.07631740562243</v>
      </c>
      <c r="H207" s="177">
        <f>((LOOKUP(Semidetached!H$2,'Ceiling-U'!$A$4:$A$40,'Ceiling-U'!$I$4:$I$40)*Semidetached!H$15)+(LOOKUP(Semidetached!H$2,'Floor-U'!$A$4:$A$40,'Floor-U'!$I$4:$I$40)*Semidetached!H$16)+(LOOKUP(Semidetached!H$2,'Wall-U'!$A$4:$A$40,'Wall-U'!$AB$4:$AB$40)*Semidetached!H$13)+(LOOKUP(Semidetached!H$2,'Window-U'!$A$4:$A$40,'Window-U'!$I$4:$I$40)*Semidetached!H$22))*H202</f>
        <v>1880.7040982165177</v>
      </c>
      <c r="I207" s="177">
        <f>((LOOKUP(Semidetached!I$2,'Ceiling-U'!$A$4:$A$40,'Ceiling-U'!$I$4:$I$40)*Semidetached!I$15)+(LOOKUP(Semidetached!I$2,'Floor-U'!$A$4:$A$40,'Floor-U'!$I$4:$I$40)*Semidetached!I$16)+(LOOKUP(Semidetached!I$2,'Wall-U'!$A$4:$A$40,'Wall-U'!$AB$4:$AB$40)*Semidetached!I$13)+(LOOKUP(Semidetached!I$2,'Window-U'!$A$4:$A$40,'Window-U'!$I$4:$I$40)*Semidetached!I$22))*I202</f>
        <v>505.58810507229578</v>
      </c>
      <c r="J207" s="177">
        <f>((LOOKUP(Semidetached!J$2,'Ceiling-U'!$A$4:$A$40,'Ceiling-U'!$I$4:$I$40)*Semidetached!J$15)+(LOOKUP(Semidetached!J$2,'Floor-U'!$A$4:$A$40,'Floor-U'!$I$4:$I$40)*Semidetached!J$16)+(LOOKUP(Semidetached!J$2,'Wall-U'!$A$4:$A$40,'Wall-U'!$AB$4:$AB$40)*Semidetached!J$13)+(LOOKUP(Semidetached!J$2,'Window-U'!$A$4:$A$40,'Window-U'!$I$4:$I$40)*Semidetached!J$22))*J202</f>
        <v>346.84340838861988</v>
      </c>
      <c r="K207" s="177">
        <f>((LOOKUP(Semidetached!K$2,'Ceiling-U'!$A$4:$A$40,'Ceiling-U'!$I$4:$I$40)*Semidetached!K$15)+(LOOKUP(Semidetached!K$2,'Floor-U'!$A$4:$A$40,'Floor-U'!$I$4:$I$40)*Semidetached!K$16)+(LOOKUP(Semidetached!K$2,'Wall-U'!$A$4:$A$40,'Wall-U'!$AB$4:$AB$40)*Semidetached!K$13)+(LOOKUP(Semidetached!K$2,'Window-U'!$A$4:$A$40,'Window-U'!$I$4:$I$40)*Semidetached!K$22))*K202</f>
        <v>415.59526983276066</v>
      </c>
      <c r="L207" s="177">
        <f>((LOOKUP(Semidetached!L$2,'Ceiling-U'!$A$4:$A$40,'Ceiling-U'!$I$4:$I$40)*Semidetached!L$15)+(LOOKUP(Semidetached!L$2,'Floor-U'!$A$4:$A$40,'Floor-U'!$I$4:$I$40)*Semidetached!L$16)+(LOOKUP(Semidetached!L$2,'Wall-U'!$A$4:$A$40,'Wall-U'!$AB$4:$AB$40)*Semidetached!L$13)+(LOOKUP(Semidetached!L$2,'Window-U'!$A$4:$A$40,'Window-U'!$I$4:$I$40)*Semidetached!L$22))*L202</f>
        <v>206.06662192217857</v>
      </c>
      <c r="M207" s="177">
        <f>((LOOKUP(Semidetached!M$2,'Ceiling-U'!$A$4:$A$40,'Ceiling-U'!$I$4:$I$40)*Semidetached!M$15)+(LOOKUP(Semidetached!M$2,'Floor-U'!$A$4:$A$40,'Floor-U'!$I$4:$I$40)*Semidetached!M$16)+(LOOKUP(Semidetached!M$2,'Wall-U'!$A$4:$A$40,'Wall-U'!$AB$4:$AB$40)*Semidetached!M$13)+(LOOKUP(Semidetached!M$2,'Window-U'!$A$4:$A$40,'Window-U'!$I$4:$I$40)*Semidetached!M$22))*M202</f>
        <v>965.4084084060014</v>
      </c>
      <c r="N207" s="177">
        <f>((LOOKUP(Semidetached!N$2,'Ceiling-U'!$A$4:$A$40,'Ceiling-U'!$I$4:$I$40)*Semidetached!N$15)+(LOOKUP(Semidetached!N$2,'Floor-U'!$A$4:$A$40,'Floor-U'!$I$4:$I$40)*Semidetached!N$16)+(LOOKUP(Semidetached!N$2,'Wall-U'!$A$4:$A$40,'Wall-U'!$AB$4:$AB$40)*Semidetached!N$13)+(LOOKUP(Semidetached!N$2,'Window-U'!$A$4:$A$40,'Window-U'!$I$4:$I$40)*Semidetached!N$22))*N202</f>
        <v>327.0633289641263</v>
      </c>
      <c r="O207" s="177">
        <f>((LOOKUP(Semidetached!O$2,'Ceiling-U'!$A$4:$A$40,'Ceiling-U'!$I$4:$I$40)*Semidetached!O$15)+(LOOKUP(Semidetached!O$2,'Floor-U'!$A$4:$A$40,'Floor-U'!$I$4:$I$40)*Semidetached!O$16)+(LOOKUP(Semidetached!O$2,'Wall-U'!$A$4:$A$40,'Wall-U'!$AB$4:$AB$40)*Semidetached!O$13)+(LOOKUP(Semidetached!O$2,'Window-U'!$A$4:$A$40,'Window-U'!$I$4:$I$40)*Semidetached!O$22))*O202</f>
        <v>414.6937041452311</v>
      </c>
      <c r="P207" s="177">
        <f>((LOOKUP(Semidetached!P$2,'Ceiling-U'!$A$4:$A$40,'Ceiling-U'!$I$4:$I$40)*Semidetached!P$15)+(LOOKUP(Semidetached!P$2,'Floor-U'!$A$4:$A$40,'Floor-U'!$I$4:$I$40)*Semidetached!P$16)+(LOOKUP(Semidetached!P$2,'Wall-U'!$A$4:$A$40,'Wall-U'!$AB$4:$AB$40)*Semidetached!P$13)+(LOOKUP(Semidetached!P$2,'Window-U'!$A$4:$A$40,'Window-U'!$I$4:$I$40)*Semidetached!P$22))*P202</f>
        <v>1234.6345923413294</v>
      </c>
      <c r="Q207" s="177">
        <f>((LOOKUP(Semidetached!Q$2,'Ceiling-U'!$A$4:$A$40,'Ceiling-U'!$I$4:$I$40)*Semidetached!Q$15)+(LOOKUP(Semidetached!Q$2,'Floor-U'!$A$4:$A$40,'Floor-U'!$I$4:$I$40)*Semidetached!Q$16)+(LOOKUP(Semidetached!Q$2,'Wall-U'!$A$4:$A$40,'Wall-U'!$AB$4:$AB$40)*Semidetached!Q$13)+(LOOKUP(Semidetached!Q$2,'Window-U'!$A$4:$A$40,'Window-U'!$I$4:$I$40)*Semidetached!Q$22))*Q202</f>
        <v>493.9812626425109</v>
      </c>
      <c r="R207" s="177">
        <f>((LOOKUP(Semidetached!R$2,'Ceiling-U'!$A$4:$A$40,'Ceiling-U'!$I$4:$I$40)*Semidetached!R$15)+(LOOKUP(Semidetached!R$2,'Floor-U'!$A$4:$A$40,'Floor-U'!$I$4:$I$40)*Semidetached!R$16)+(LOOKUP(Semidetached!R$2,'Wall-U'!$A$4:$A$40,'Wall-U'!$AB$4:$AB$40)*Semidetached!R$13)+(LOOKUP(Semidetached!R$2,'Window-U'!$A$4:$A$40,'Window-U'!$I$4:$I$40)*Semidetached!R$22))*R202</f>
        <v>625.08459770050217</v>
      </c>
      <c r="S207" s="177">
        <f>((LOOKUP(Semidetached!S$2,'Ceiling-U'!$A$4:$A$40,'Ceiling-U'!$I$4:$I$40)*Semidetached!S$15)+(LOOKUP(Semidetached!S$2,'Floor-U'!$A$4:$A$40,'Floor-U'!$I$4:$I$40)*Semidetached!S$16)+(LOOKUP(Semidetached!S$2,'Wall-U'!$A$4:$A$40,'Wall-U'!$AB$4:$AB$40)*Semidetached!S$13)+(LOOKUP(Semidetached!S$2,'Window-U'!$A$4:$A$40,'Window-U'!$I$4:$I$40)*Semidetached!S$22))*S202</f>
        <v>643.90188874845603</v>
      </c>
      <c r="T207" s="177">
        <f>((LOOKUP(Semidetached!T$2,'Ceiling-U'!$A$4:$A$40,'Ceiling-U'!$I$4:$I$40)*Semidetached!T$15)+(LOOKUP(Semidetached!T$2,'Floor-U'!$A$4:$A$40,'Floor-U'!$I$4:$I$40)*Semidetached!T$16)+(LOOKUP(Semidetached!T$2,'Wall-U'!$A$4:$A$40,'Wall-U'!$AB$4:$AB$40)*Semidetached!T$13)+(LOOKUP(Semidetached!T$2,'Window-U'!$A$4:$A$40,'Window-U'!$I$4:$I$40)*Semidetached!T$22))*T202</f>
        <v>329.34411736197399</v>
      </c>
      <c r="U207" s="177">
        <f>((LOOKUP(Semidetached!U$2,'Ceiling-U'!$A$4:$A$40,'Ceiling-U'!$I$4:$I$40)*Semidetached!U$15)+(LOOKUP(Semidetached!U$2,'Floor-U'!$A$4:$A$40,'Floor-U'!$I$4:$I$40)*Semidetached!U$16)+(LOOKUP(Semidetached!U$2,'Wall-U'!$A$4:$A$40,'Wall-U'!$AB$4:$AB$40)*Semidetached!U$13)+(LOOKUP(Semidetached!U$2,'Window-U'!$A$4:$A$40,'Window-U'!$I$4:$I$40)*Semidetached!U$22))*U202</f>
        <v>1255.5426095465516</v>
      </c>
      <c r="V207" s="177">
        <f>((LOOKUP(Semidetached!V$2,'Ceiling-U'!$A$4:$A$40,'Ceiling-U'!$I$4:$I$40)*Semidetached!V$15)+(LOOKUP(Semidetached!V$2,'Floor-U'!$A$4:$A$40,'Floor-U'!$I$4:$I$40)*Semidetached!V$16)+(LOOKUP(Semidetached!V$2,'Wall-U'!$A$4:$A$40,'Wall-U'!$AB$4:$AB$40)*Semidetached!V$13)+(LOOKUP(Semidetached!V$2,'Window-U'!$A$4:$A$40,'Window-U'!$I$4:$I$40)*Semidetached!V$22))*V202</f>
        <v>496.04914056762919</v>
      </c>
      <c r="W207" s="177">
        <f>((LOOKUP(Semidetached!W$2,'Ceiling-U'!$A$4:$A$40,'Ceiling-U'!$I$4:$I$40)*Semidetached!W$15)+(LOOKUP(Semidetached!W$2,'Floor-U'!$A$4:$A$40,'Floor-U'!$I$4:$I$40)*Semidetached!W$16)+(LOOKUP(Semidetached!W$2,'Wall-U'!$A$4:$A$40,'Wall-U'!$AB$4:$AB$40)*Semidetached!W$13)+(LOOKUP(Semidetached!W$2,'Window-U'!$A$4:$A$40,'Window-U'!$I$4:$I$40)*Semidetached!W$22))*W202</f>
        <v>271.17656439839686</v>
      </c>
      <c r="X207" s="177">
        <f>((LOOKUP(Semidetached!X$2,'Ceiling-U'!$A$4:$A$40,'Ceiling-U'!$I$4:$I$40)*Semidetached!X$15)+(LOOKUP(Semidetached!X$2,'Floor-U'!$A$4:$A$40,'Floor-U'!$I$4:$I$40)*Semidetached!X$16)+(LOOKUP(Semidetached!X$2,'Wall-U'!$A$4:$A$40,'Wall-U'!$AB$4:$AB$40)*Semidetached!X$13)+(LOOKUP(Semidetached!X$2,'Window-U'!$A$4:$A$40,'Window-U'!$I$4:$I$40)*Semidetached!X$22))*X202</f>
        <v>405.90900603643877</v>
      </c>
      <c r="Y207" s="177">
        <f>((LOOKUP(Semidetached!Y$2,'Ceiling-U'!$A$4:$A$40,'Ceiling-U'!$I$4:$I$40)*Semidetached!Y$15)+(LOOKUP(Semidetached!Y$2,'Floor-U'!$A$4:$A$40,'Floor-U'!$I$4:$I$40)*Semidetached!Y$16)+(LOOKUP(Semidetached!Y$2,'Wall-U'!$A$4:$A$40,'Wall-U'!$AB$4:$AB$40)*Semidetached!Y$13)+(LOOKUP(Semidetached!Y$2,'Window-U'!$A$4:$A$40,'Window-U'!$I$4:$I$40)*Semidetached!Y$22))*Y202</f>
        <v>1707.0954674555337</v>
      </c>
      <c r="Z207" s="177">
        <f>((LOOKUP(Semidetached!Z$2,'Ceiling-U'!$A$4:$A$40,'Ceiling-U'!$I$4:$I$40)*Semidetached!Z$15)+(LOOKUP(Semidetached!Z$2,'Floor-U'!$A$4:$A$40,'Floor-U'!$I$4:$I$40)*Semidetached!Z$16)+(LOOKUP(Semidetached!Z$2,'Wall-U'!$A$4:$A$40,'Wall-U'!$AB$4:$AB$40)*Semidetached!Z$13)+(LOOKUP(Semidetached!Z$2,'Window-U'!$A$4:$A$40,'Window-U'!$I$4:$I$40)*Semidetached!Z$22))*Z202</f>
        <v>809.86669545418556</v>
      </c>
      <c r="AA207" s="177">
        <f>((LOOKUP(Semidetached!AA$2,'Ceiling-U'!$A$4:$A$40,'Ceiling-U'!$I$4:$I$40)*Semidetached!AA$15)+(LOOKUP(Semidetached!AA$2,'Floor-U'!$A$4:$A$40,'Floor-U'!$I$4:$I$40)*Semidetached!AA$16)+(LOOKUP(Semidetached!AA$2,'Wall-U'!$A$4:$A$40,'Wall-U'!$AB$4:$AB$40)*Semidetached!AA$13)+(LOOKUP(Semidetached!AA$2,'Window-U'!$A$4:$A$40,'Window-U'!$I$4:$I$40)*Semidetached!AA$22))*AA202</f>
        <v>321.66124585319506</v>
      </c>
      <c r="AB207" s="177">
        <f>((LOOKUP(Semidetached!AB$2,'Ceiling-U'!$A$4:$A$40,'Ceiling-U'!$I$4:$I$40)*Semidetached!AB$15)+(LOOKUP(Semidetached!AB$2,'Floor-U'!$A$4:$A$40,'Floor-U'!$I$4:$I$40)*Semidetached!AB$16)+(LOOKUP(Semidetached!AB$2,'Wall-U'!$A$4:$A$40,'Wall-U'!$AB$4:$AB$40)*Semidetached!AB$13)+(LOOKUP(Semidetached!AB$2,'Window-U'!$A$4:$A$40,'Window-U'!$I$4:$I$40)*Semidetached!AB$22))*AB202</f>
        <v>639.95148316299014</v>
      </c>
      <c r="AC207" s="177">
        <f>((LOOKUP(Semidetached!AC$2,'Ceiling-U'!$A$4:$A$40,'Ceiling-U'!$I$4:$I$40)*Semidetached!AC$15)+(LOOKUP(Semidetached!AC$2,'Floor-U'!$A$4:$A$40,'Floor-U'!$I$4:$I$40)*Semidetached!AC$16)+(LOOKUP(Semidetached!AC$2,'Wall-U'!$A$4:$A$40,'Wall-U'!$AB$4:$AB$40)*Semidetached!AC$13)+(LOOKUP(Semidetached!AC$2,'Window-U'!$A$4:$A$40,'Window-U'!$I$4:$I$40)*Semidetached!AC$22))*AC202</f>
        <v>1870.8491465797129</v>
      </c>
      <c r="AD207" s="177">
        <f>((LOOKUP(Semidetached!AD$2,'Ceiling-U'!$A$4:$A$40,'Ceiling-U'!$I$4:$I$40)*Semidetached!AD$15)+(LOOKUP(Semidetached!AD$2,'Floor-U'!$A$4:$A$40,'Floor-U'!$I$4:$I$40)*Semidetached!AD$16)+(LOOKUP(Semidetached!AD$2,'Wall-U'!$A$4:$A$40,'Wall-U'!$AB$4:$AB$40)*Semidetached!AD$13)+(LOOKUP(Semidetached!AD$2,'Window-U'!$A$4:$A$40,'Window-U'!$I$4:$I$40)*Semidetached!AD$22))*AD202</f>
        <v>736.54089674440979</v>
      </c>
      <c r="AE207" s="177">
        <f>((LOOKUP(Semidetached!AE$2,'Ceiling-U'!$A$4:$A$40,'Ceiling-U'!$I$4:$I$40)*Semidetached!AE$15)+(LOOKUP(Semidetached!AE$2,'Floor-U'!$A$4:$A$40,'Floor-U'!$I$4:$I$40)*Semidetached!AE$16)+(LOOKUP(Semidetached!AE$2,'Wall-U'!$A$4:$A$40,'Wall-U'!$AB$4:$AB$40)*Semidetached!AE$13)+(LOOKUP(Semidetached!AE$2,'Window-U'!$A$4:$A$40,'Window-U'!$I$4:$I$40)*Semidetached!AE$22))*AE202</f>
        <v>317.66429318755081</v>
      </c>
      <c r="AF207" s="177">
        <f>((LOOKUP(Semidetached!AF$2,'Ceiling-U'!$A$4:$A$40,'Ceiling-U'!$I$4:$I$40)*Semidetached!AF$15)+(LOOKUP(Semidetached!AF$2,'Floor-U'!$A$4:$A$40,'Floor-U'!$I$4:$I$40)*Semidetached!AF$16)+(LOOKUP(Semidetached!AF$2,'Wall-U'!$A$4:$A$40,'Wall-U'!$AB$4:$AB$40)*Semidetached!AF$13)+(LOOKUP(Semidetached!AF$2,'Window-U'!$A$4:$A$40,'Window-U'!$I$4:$I$40)*Semidetached!AF$22))*AF202</f>
        <v>453.37880722621298</v>
      </c>
      <c r="AG207" s="177">
        <f>((LOOKUP(Semidetached!AG$2,'Ceiling-U'!$A$4:$A$40,'Ceiling-U'!$I$4:$I$40)*Semidetached!AG$15)+(LOOKUP(Semidetached!AG$2,'Floor-U'!$A$4:$A$40,'Floor-U'!$I$4:$I$40)*Semidetached!AG$16)+(LOOKUP(Semidetached!AG$2,'Wall-U'!$A$4:$A$40,'Wall-U'!$AB$4:$AB$40)*Semidetached!AG$13)+(LOOKUP(Semidetached!AG$2,'Window-U'!$A$4:$A$40,'Window-U'!$I$4:$I$40)*Semidetached!AG$22))*AG202</f>
        <v>852.26461512224978</v>
      </c>
      <c r="AH207" s="177">
        <f>((LOOKUP(Semidetached!AH$2,'Ceiling-U'!$A$4:$A$40,'Ceiling-U'!$I$4:$I$40)*Semidetached!AH$15)+(LOOKUP(Semidetached!AH$2,'Floor-U'!$A$4:$A$40,'Floor-U'!$I$4:$I$40)*Semidetached!AH$16)+(LOOKUP(Semidetached!AH$2,'Wall-U'!$A$4:$A$40,'Wall-U'!$AB$4:$AB$40)*Semidetached!AH$13)+(LOOKUP(Semidetached!AH$2,'Window-U'!$A$4:$A$40,'Window-U'!$I$4:$I$40)*Semidetached!AH$22))*AH202</f>
        <v>445.98571383167416</v>
      </c>
      <c r="AI207" s="177">
        <f>((LOOKUP(Semidetached!AI$2,'Ceiling-U'!$A$4:$A$40,'Ceiling-U'!$I$4:$I$40)*Semidetached!AI$15)+(LOOKUP(Semidetached!AI$2,'Floor-U'!$A$4:$A$40,'Floor-U'!$I$4:$I$40)*Semidetached!AI$16)+(LOOKUP(Semidetached!AI$2,'Wall-U'!$A$4:$A$40,'Wall-U'!$AB$4:$AB$40)*Semidetached!AI$13)+(LOOKUP(Semidetached!AI$2,'Window-U'!$A$4:$A$40,'Window-U'!$I$4:$I$40)*Semidetached!AI$22))*AI202</f>
        <v>1839.1965879915485</v>
      </c>
      <c r="AJ207" s="177">
        <f>((LOOKUP(Semidetached!AJ$2,'Ceiling-U'!$A$4:$A$40,'Ceiling-U'!$I$4:$I$40)*Semidetached!AJ$15)+(LOOKUP(Semidetached!AJ$2,'Floor-U'!$A$4:$A$40,'Floor-U'!$I$4:$I$40)*Semidetached!AJ$16)+(LOOKUP(Semidetached!AJ$2,'Wall-U'!$A$4:$A$40,'Wall-U'!$AB$4:$AB$40)*Semidetached!AJ$13)+(LOOKUP(Semidetached!AJ$2,'Window-U'!$A$4:$A$40,'Window-U'!$I$4:$I$40)*Semidetached!AJ$22))*AJ202</f>
        <v>571.77579882904593</v>
      </c>
      <c r="AK207" s="177">
        <f>((LOOKUP(Semidetached!AK$2,'Ceiling-U'!$A$4:$A$40,'Ceiling-U'!$I$4:$I$40)*Semidetached!AK$15)+(LOOKUP(Semidetached!AK$2,'Floor-U'!$A$4:$A$40,'Floor-U'!$I$4:$I$40)*Semidetached!AK$16)+(LOOKUP(Semidetached!AK$2,'Wall-U'!$A$4:$A$40,'Wall-U'!$AB$4:$AB$40)*Semidetached!AK$13)+(LOOKUP(Semidetached!AK$2,'Window-U'!$A$4:$A$40,'Window-U'!$I$4:$I$40)*Semidetached!AK$22))*AK202</f>
        <v>696.89121413198052</v>
      </c>
      <c r="AL207" s="177">
        <f>((LOOKUP(Semidetached!AL$2,'Ceiling-U'!$A$4:$A$40,'Ceiling-U'!$I$4:$I$40)*Semidetached!AL$15)+(LOOKUP(Semidetached!AL$2,'Floor-U'!$A$4:$A$40,'Floor-U'!$I$4:$I$40)*Semidetached!AL$16)+(LOOKUP(Semidetached!AL$2,'Wall-U'!$A$4:$A$40,'Wall-U'!$AB$4:$AB$40)*Semidetached!AL$13)+(LOOKUP(Semidetached!AL$2,'Window-U'!$A$4:$A$40,'Window-U'!$I$4:$I$40)*Semidetached!AL$22))*AL202</f>
        <v>444.3008776476932</v>
      </c>
      <c r="AM207" s="177">
        <f>((LOOKUP(Semidetached!AM$2,'Ceiling-U'!$A$4:$A$40,'Ceiling-U'!$I$4:$I$40)*Semidetached!AM$15)+(LOOKUP(Semidetached!AM$2,'Floor-U'!$A$4:$A$40,'Floor-U'!$I$4:$I$40)*Semidetached!AM$16)+(LOOKUP(Semidetached!AM$2,'Wall-U'!$A$4:$A$40,'Wall-U'!$AB$4:$AB$40)*Semidetached!AM$13)+(LOOKUP(Semidetached!AM$2,'Window-U'!$A$4:$A$40,'Window-U'!$I$4:$I$40)*Semidetached!AM$22))*AM202</f>
        <v>571.77579882904593</v>
      </c>
      <c r="AN207" s="178">
        <f>((LOOKUP(Semidetached!AN$2,'Ceiling-U'!$A$4:$A$40,'Ceiling-U'!$I$4:$I$40)*Semidetached!AN$15)+(LOOKUP(Semidetached!AN$2,'Floor-U'!$A$4:$A$40,'Floor-U'!$I$4:$I$40)*Semidetached!AN$16)+(LOOKUP(Semidetached!AN$2,'Wall-U'!$A$4:$A$40,'Wall-U'!$AB$4:$AB$40)*Semidetached!AN$13)+(LOOKUP(Semidetached!AN$2,'Window-U'!$A$4:$A$40,'Window-U'!$I$4:$I$40)*Semidetached!AN$22))*AN202</f>
        <v>571.77579882904593</v>
      </c>
    </row>
    <row r="208" spans="1:40">
      <c r="A208" s="373"/>
      <c r="B208" s="374" t="s">
        <v>7</v>
      </c>
      <c r="C208" s="131" t="s">
        <v>195</v>
      </c>
      <c r="D208" s="176">
        <f>((LOOKUP(Semidetached!D$2,'Ceiling-U'!$A$4:$A$40,'Ceiling-U'!$J$4:$J$40)*Semidetached!D$15)+(LOOKUP(Semidetached!D$2,'Floor-U'!$A$4:$A$40,'Floor-U'!$J$4:$J$40)*Semidetached!D$16)+(LOOKUP(Semidetached!D$2,'Wall-U'!$A$4:$A$40,'Wall-U'!$AC$4:$AC$40)*Semidetached!D$13)+(LOOKUP(Semidetached!D$2,'Window-U'!$A$4:$A$40,'Window-U'!$J$4:$J$40)*Semidetached!D$22))*D202</f>
        <v>406.21875655636211</v>
      </c>
      <c r="E208" s="174">
        <f>((LOOKUP(Semidetached!E$2,'Ceiling-U'!$A$4:$A$40,'Ceiling-U'!$J$4:$J$40)*Semidetached!E$15)+(LOOKUP(Semidetached!E$2,'Floor-U'!$A$4:$A$40,'Floor-U'!$J$4:$J$40)*Semidetached!E$16)+(LOOKUP(Semidetached!E$2,'Wall-U'!$A$4:$A$40,'Wall-U'!$AC$4:$AC$40)*Semidetached!E$13)+(LOOKUP(Semidetached!E$2,'Window-U'!$A$4:$A$40,'Window-U'!$J$4:$J$40)*Semidetached!E$22))*E202</f>
        <v>674.65442902012148</v>
      </c>
      <c r="F208" s="174">
        <f>((LOOKUP(Semidetached!F$2,'Ceiling-U'!$A$4:$A$40,'Ceiling-U'!$J$4:$J$40)*Semidetached!F$15)+(LOOKUP(Semidetached!F$2,'Floor-U'!$A$4:$A$40,'Floor-U'!$J$4:$J$40)*Semidetached!F$16)+(LOOKUP(Semidetached!F$2,'Wall-U'!$A$4:$A$40,'Wall-U'!$AC$4:$AC$40)*Semidetached!F$13)+(LOOKUP(Semidetached!F$2,'Window-U'!$A$4:$A$40,'Window-U'!$J$4:$J$40)*Semidetached!F$22))*F202</f>
        <v>344.09626448189942</v>
      </c>
      <c r="G208" s="174">
        <f>((LOOKUP(Semidetached!G$2,'Ceiling-U'!$A$4:$A$40,'Ceiling-U'!$J$4:$J$40)*Semidetached!G$15)+(LOOKUP(Semidetached!G$2,'Floor-U'!$A$4:$A$40,'Floor-U'!$J$4:$J$40)*Semidetached!G$16)+(LOOKUP(Semidetached!G$2,'Wall-U'!$A$4:$A$40,'Wall-U'!$AC$4:$AC$40)*Semidetached!G$13)+(LOOKUP(Semidetached!G$2,'Window-U'!$A$4:$A$40,'Window-U'!$J$4:$J$40)*Semidetached!G$22))*G202</f>
        <v>419.13193047649423</v>
      </c>
      <c r="H208" s="174">
        <f>((LOOKUP(Semidetached!H$2,'Ceiling-U'!$A$4:$A$40,'Ceiling-U'!$J$4:$J$40)*Semidetached!H$15)+(LOOKUP(Semidetached!H$2,'Floor-U'!$A$4:$A$40,'Floor-U'!$J$4:$J$40)*Semidetached!H$16)+(LOOKUP(Semidetached!H$2,'Wall-U'!$A$4:$A$40,'Wall-U'!$AC$4:$AC$40)*Semidetached!H$13)+(LOOKUP(Semidetached!H$2,'Window-U'!$A$4:$A$40,'Window-U'!$J$4:$J$40)*Semidetached!H$22))*H202</f>
        <v>1396.6583363280677</v>
      </c>
      <c r="I208" s="174">
        <f>((LOOKUP(Semidetached!I$2,'Ceiling-U'!$A$4:$A$40,'Ceiling-U'!$J$4:$J$40)*Semidetached!I$15)+(LOOKUP(Semidetached!I$2,'Floor-U'!$A$4:$A$40,'Floor-U'!$J$4:$J$40)*Semidetached!I$16)+(LOOKUP(Semidetached!I$2,'Wall-U'!$A$4:$A$40,'Wall-U'!$AC$4:$AC$40)*Semidetached!I$13)+(LOOKUP(Semidetached!I$2,'Window-U'!$A$4:$A$40,'Window-U'!$J$4:$J$40)*Semidetached!I$22))*I202</f>
        <v>376.78350948440959</v>
      </c>
      <c r="J208" s="174">
        <f>((LOOKUP(Semidetached!J$2,'Ceiling-U'!$A$4:$A$40,'Ceiling-U'!$J$4:$J$40)*Semidetached!J$15)+(LOOKUP(Semidetached!J$2,'Floor-U'!$A$4:$A$40,'Floor-U'!$J$4:$J$40)*Semidetached!J$16)+(LOOKUP(Semidetached!J$2,'Wall-U'!$A$4:$A$40,'Wall-U'!$AC$4:$AC$40)*Semidetached!J$13)+(LOOKUP(Semidetached!J$2,'Window-U'!$A$4:$A$40,'Window-U'!$J$4:$J$40)*Semidetached!J$22))*J202</f>
        <v>361.57347672208601</v>
      </c>
      <c r="K208" s="174">
        <f>((LOOKUP(Semidetached!K$2,'Ceiling-U'!$A$4:$A$40,'Ceiling-U'!$J$4:$J$40)*Semidetached!K$15)+(LOOKUP(Semidetached!K$2,'Floor-U'!$A$4:$A$40,'Floor-U'!$J$4:$J$40)*Semidetached!K$16)+(LOOKUP(Semidetached!K$2,'Wall-U'!$A$4:$A$40,'Wall-U'!$AC$4:$AC$40)*Semidetached!K$13)+(LOOKUP(Semidetached!K$2,'Window-U'!$A$4:$A$40,'Window-U'!$J$4:$J$40)*Semidetached!K$22))*K202</f>
        <v>288.9895224263297</v>
      </c>
      <c r="L208" s="174">
        <f>((LOOKUP(Semidetached!L$2,'Ceiling-U'!$A$4:$A$40,'Ceiling-U'!$J$4:$J$40)*Semidetached!L$15)+(LOOKUP(Semidetached!L$2,'Floor-U'!$A$4:$A$40,'Floor-U'!$J$4:$J$40)*Semidetached!L$16)+(LOOKUP(Semidetached!L$2,'Wall-U'!$A$4:$A$40,'Wall-U'!$AC$4:$AC$40)*Semidetached!L$13)+(LOOKUP(Semidetached!L$2,'Window-U'!$A$4:$A$40,'Window-U'!$J$4:$J$40)*Semidetached!L$22))*L202</f>
        <v>206.06662192217857</v>
      </c>
      <c r="M208" s="174">
        <f>((LOOKUP(Semidetached!M$2,'Ceiling-U'!$A$4:$A$40,'Ceiling-U'!$J$4:$J$40)*Semidetached!M$15)+(LOOKUP(Semidetached!M$2,'Floor-U'!$A$4:$A$40,'Floor-U'!$J$4:$J$40)*Semidetached!M$16)+(LOOKUP(Semidetached!M$2,'Wall-U'!$A$4:$A$40,'Wall-U'!$AC$4:$AC$40)*Semidetached!M$13)+(LOOKUP(Semidetached!M$2,'Window-U'!$A$4:$A$40,'Window-U'!$J$4:$J$40)*Semidetached!M$22))*M202</f>
        <v>735.06193948379234</v>
      </c>
      <c r="N208" s="174">
        <f>((LOOKUP(Semidetached!N$2,'Ceiling-U'!$A$4:$A$40,'Ceiling-U'!$J$4:$J$40)*Semidetached!N$15)+(LOOKUP(Semidetached!N$2,'Floor-U'!$A$4:$A$40,'Floor-U'!$J$4:$J$40)*Semidetached!N$16)+(LOOKUP(Semidetached!N$2,'Wall-U'!$A$4:$A$40,'Wall-U'!$AC$4:$AC$40)*Semidetached!N$13)+(LOOKUP(Semidetached!N$2,'Window-U'!$A$4:$A$40,'Window-U'!$J$4:$J$40)*Semidetached!N$22))*N202</f>
        <v>286.22855281563534</v>
      </c>
      <c r="O208" s="174">
        <f>((LOOKUP(Semidetached!O$2,'Ceiling-U'!$A$4:$A$40,'Ceiling-U'!$J$4:$J$40)*Semidetached!O$15)+(LOOKUP(Semidetached!O$2,'Floor-U'!$A$4:$A$40,'Floor-U'!$J$4:$J$40)*Semidetached!O$16)+(LOOKUP(Semidetached!O$2,'Wall-U'!$A$4:$A$40,'Wall-U'!$AC$4:$AC$40)*Semidetached!O$13)+(LOOKUP(Semidetached!O$2,'Window-U'!$A$4:$A$40,'Window-U'!$J$4:$J$40)*Semidetached!O$22))*O202</f>
        <v>400.82679204518814</v>
      </c>
      <c r="P208" s="174">
        <f>((LOOKUP(Semidetached!P$2,'Ceiling-U'!$A$4:$A$40,'Ceiling-U'!$J$4:$J$40)*Semidetached!P$15)+(LOOKUP(Semidetached!P$2,'Floor-U'!$A$4:$A$40,'Floor-U'!$J$4:$J$40)*Semidetached!P$16)+(LOOKUP(Semidetached!P$2,'Wall-U'!$A$4:$A$40,'Wall-U'!$AC$4:$AC$40)*Semidetached!P$13)+(LOOKUP(Semidetached!P$2,'Window-U'!$A$4:$A$40,'Window-U'!$J$4:$J$40)*Semidetached!P$22))*P202</f>
        <v>424.74374386334637</v>
      </c>
      <c r="Q208" s="174">
        <f>((LOOKUP(Semidetached!Q$2,'Ceiling-U'!$A$4:$A$40,'Ceiling-U'!$J$4:$J$40)*Semidetached!Q$15)+(LOOKUP(Semidetached!Q$2,'Floor-U'!$A$4:$A$40,'Floor-U'!$J$4:$J$40)*Semidetached!Q$16)+(LOOKUP(Semidetached!Q$2,'Wall-U'!$A$4:$A$40,'Wall-U'!$AC$4:$AC$40)*Semidetached!Q$13)+(LOOKUP(Semidetached!Q$2,'Window-U'!$A$4:$A$40,'Window-U'!$J$4:$J$40)*Semidetached!Q$22))*Q202</f>
        <v>350.59351137344925</v>
      </c>
      <c r="R208" s="174">
        <f>((LOOKUP(Semidetached!R$2,'Ceiling-U'!$A$4:$A$40,'Ceiling-U'!$J$4:$J$40)*Semidetached!R$15)+(LOOKUP(Semidetached!R$2,'Floor-U'!$A$4:$A$40,'Floor-U'!$J$4:$J$40)*Semidetached!R$16)+(LOOKUP(Semidetached!R$2,'Wall-U'!$A$4:$A$40,'Wall-U'!$AC$4:$AC$40)*Semidetached!R$13)+(LOOKUP(Semidetached!R$2,'Window-U'!$A$4:$A$40,'Window-U'!$J$4:$J$40)*Semidetached!R$22))*R202</f>
        <v>376.14941306463783</v>
      </c>
      <c r="S208" s="174">
        <f>((LOOKUP(Semidetached!S$2,'Ceiling-U'!$A$4:$A$40,'Ceiling-U'!$J$4:$J$40)*Semidetached!S$15)+(LOOKUP(Semidetached!S$2,'Floor-U'!$A$4:$A$40,'Floor-U'!$J$4:$J$40)*Semidetached!S$16)+(LOOKUP(Semidetached!S$2,'Wall-U'!$A$4:$A$40,'Wall-U'!$AC$4:$AC$40)*Semidetached!S$13)+(LOOKUP(Semidetached!S$2,'Window-U'!$A$4:$A$40,'Window-U'!$J$4:$J$40)*Semidetached!S$22))*S202</f>
        <v>456.36557407340865</v>
      </c>
      <c r="T208" s="174">
        <f>((LOOKUP(Semidetached!T$2,'Ceiling-U'!$A$4:$A$40,'Ceiling-U'!$J$4:$J$40)*Semidetached!T$15)+(LOOKUP(Semidetached!T$2,'Floor-U'!$A$4:$A$40,'Floor-U'!$J$4:$J$40)*Semidetached!T$16)+(LOOKUP(Semidetached!T$2,'Wall-U'!$A$4:$A$40,'Wall-U'!$AC$4:$AC$40)*Semidetached!T$13)+(LOOKUP(Semidetached!T$2,'Window-U'!$A$4:$A$40,'Window-U'!$J$4:$J$40)*Semidetached!T$22))*T202</f>
        <v>288.20993372023418</v>
      </c>
      <c r="U208" s="174">
        <f>((LOOKUP(Semidetached!U$2,'Ceiling-U'!$A$4:$A$40,'Ceiling-U'!$J$4:$J$40)*Semidetached!U$15)+(LOOKUP(Semidetached!U$2,'Floor-U'!$A$4:$A$40,'Floor-U'!$J$4:$J$40)*Semidetached!U$16)+(LOOKUP(Semidetached!U$2,'Wall-U'!$A$4:$A$40,'Wall-U'!$AC$4:$AC$40)*Semidetached!U$13)+(LOOKUP(Semidetached!U$2,'Window-U'!$A$4:$A$40,'Window-U'!$J$4:$J$40)*Semidetached!U$22))*U202</f>
        <v>1201.5426095465516</v>
      </c>
      <c r="V208" s="174">
        <f>((LOOKUP(Semidetached!V$2,'Ceiling-U'!$A$4:$A$40,'Ceiling-U'!$J$4:$J$40)*Semidetached!V$15)+(LOOKUP(Semidetached!V$2,'Floor-U'!$A$4:$A$40,'Floor-U'!$J$4:$J$40)*Semidetached!V$16)+(LOOKUP(Semidetached!V$2,'Wall-U'!$A$4:$A$40,'Wall-U'!$AC$4:$AC$40)*Semidetached!V$13)+(LOOKUP(Semidetached!V$2,'Window-U'!$A$4:$A$40,'Window-U'!$J$4:$J$40)*Semidetached!V$22))*V202</f>
        <v>306.4379921136528</v>
      </c>
      <c r="W208" s="174">
        <f>((LOOKUP(Semidetached!W$2,'Ceiling-U'!$A$4:$A$40,'Ceiling-U'!$J$4:$J$40)*Semidetached!W$15)+(LOOKUP(Semidetached!W$2,'Floor-U'!$A$4:$A$40,'Floor-U'!$J$4:$J$40)*Semidetached!W$16)+(LOOKUP(Semidetached!W$2,'Wall-U'!$A$4:$A$40,'Wall-U'!$AC$4:$AC$40)*Semidetached!W$13)+(LOOKUP(Semidetached!W$2,'Window-U'!$A$4:$A$40,'Window-U'!$J$4:$J$40)*Semidetached!W$22))*W202</f>
        <v>223.33440250644986</v>
      </c>
      <c r="X208" s="174">
        <f>((LOOKUP(Semidetached!X$2,'Ceiling-U'!$A$4:$A$40,'Ceiling-U'!$J$4:$J$40)*Semidetached!X$15)+(LOOKUP(Semidetached!X$2,'Floor-U'!$A$4:$A$40,'Floor-U'!$J$4:$J$40)*Semidetached!X$16)+(LOOKUP(Semidetached!X$2,'Wall-U'!$A$4:$A$40,'Wall-U'!$AC$4:$AC$40)*Semidetached!X$13)+(LOOKUP(Semidetached!X$2,'Window-U'!$A$4:$A$40,'Window-U'!$J$4:$J$40)*Semidetached!X$22))*X202</f>
        <v>276.33618969731543</v>
      </c>
      <c r="Y208" s="174">
        <f>((LOOKUP(Semidetached!Y$2,'Ceiling-U'!$A$4:$A$40,'Ceiling-U'!$J$4:$J$40)*Semidetached!Y$15)+(LOOKUP(Semidetached!Y$2,'Floor-U'!$A$4:$A$40,'Floor-U'!$J$4:$J$40)*Semidetached!Y$16)+(LOOKUP(Semidetached!Y$2,'Wall-U'!$A$4:$A$40,'Wall-U'!$AC$4:$AC$40)*Semidetached!Y$13)+(LOOKUP(Semidetached!Y$2,'Window-U'!$A$4:$A$40,'Window-U'!$J$4:$J$40)*Semidetached!Y$22))*Y202</f>
        <v>1693.6878343117</v>
      </c>
      <c r="Z208" s="174">
        <f>((LOOKUP(Semidetached!Z$2,'Ceiling-U'!$A$4:$A$40,'Ceiling-U'!$J$4:$J$40)*Semidetached!Z$15)+(LOOKUP(Semidetached!Z$2,'Floor-U'!$A$4:$A$40,'Floor-U'!$J$4:$J$40)*Semidetached!Z$16)+(LOOKUP(Semidetached!Z$2,'Wall-U'!$A$4:$A$40,'Wall-U'!$AC$4:$AC$40)*Semidetached!Z$13)+(LOOKUP(Semidetached!Z$2,'Window-U'!$A$4:$A$40,'Window-U'!$J$4:$J$40)*Semidetached!Z$22))*Z202</f>
        <v>516.56713192556504</v>
      </c>
      <c r="AA208" s="174">
        <f>((LOOKUP(Semidetached!AA$2,'Ceiling-U'!$A$4:$A$40,'Ceiling-U'!$J$4:$J$40)*Semidetached!AA$15)+(LOOKUP(Semidetached!AA$2,'Floor-U'!$A$4:$A$40,'Floor-U'!$J$4:$J$40)*Semidetached!AA$16)+(LOOKUP(Semidetached!AA$2,'Wall-U'!$A$4:$A$40,'Wall-U'!$AC$4:$AC$40)*Semidetached!AA$13)+(LOOKUP(Semidetached!AA$2,'Window-U'!$A$4:$A$40,'Window-U'!$J$4:$J$40)*Semidetached!AA$22))*AA202</f>
        <v>285.51299785319509</v>
      </c>
      <c r="AB208" s="174">
        <f>((LOOKUP(Semidetached!AB$2,'Ceiling-U'!$A$4:$A$40,'Ceiling-U'!$J$4:$J$40)*Semidetached!AB$15)+(LOOKUP(Semidetached!AB$2,'Floor-U'!$A$4:$A$40,'Floor-U'!$J$4:$J$40)*Semidetached!AB$16)+(LOOKUP(Semidetached!AB$2,'Wall-U'!$A$4:$A$40,'Wall-U'!$AC$4:$AC$40)*Semidetached!AB$13)+(LOOKUP(Semidetached!AB$2,'Window-U'!$A$4:$A$40,'Window-U'!$J$4:$J$40)*Semidetached!AB$22))*AB202</f>
        <v>546.15897135841396</v>
      </c>
      <c r="AC208" s="174">
        <f>((LOOKUP(Semidetached!AC$2,'Ceiling-U'!$A$4:$A$40,'Ceiling-U'!$J$4:$J$40)*Semidetached!AC$15)+(LOOKUP(Semidetached!AC$2,'Floor-U'!$A$4:$A$40,'Floor-U'!$J$4:$J$40)*Semidetached!AC$16)+(LOOKUP(Semidetached!AC$2,'Wall-U'!$A$4:$A$40,'Wall-U'!$AC$4:$AC$40)*Semidetached!AC$13)+(LOOKUP(Semidetached!AC$2,'Window-U'!$A$4:$A$40,'Window-U'!$J$4:$J$40)*Semidetached!AC$22))*AC202</f>
        <v>1183.4567269434551</v>
      </c>
      <c r="AD208" s="174">
        <f>((LOOKUP(Semidetached!AD$2,'Ceiling-U'!$A$4:$A$40,'Ceiling-U'!$J$4:$J$40)*Semidetached!AD$15)+(LOOKUP(Semidetached!AD$2,'Floor-U'!$A$4:$A$40,'Floor-U'!$J$4:$J$40)*Semidetached!AD$16)+(LOOKUP(Semidetached!AD$2,'Wall-U'!$A$4:$A$40,'Wall-U'!$AC$4:$AC$40)*Semidetached!AD$13)+(LOOKUP(Semidetached!AD$2,'Window-U'!$A$4:$A$40,'Window-U'!$J$4:$J$40)*Semidetached!AD$22))*AD202</f>
        <v>630.54276454865067</v>
      </c>
      <c r="AE208" s="174">
        <f>((LOOKUP(Semidetached!AE$2,'Ceiling-U'!$A$4:$A$40,'Ceiling-U'!$J$4:$J$40)*Semidetached!AE$15)+(LOOKUP(Semidetached!AE$2,'Floor-U'!$A$4:$A$40,'Floor-U'!$J$4:$J$40)*Semidetached!AE$16)+(LOOKUP(Semidetached!AE$2,'Wall-U'!$A$4:$A$40,'Wall-U'!$AC$4:$AC$40)*Semidetached!AE$13)+(LOOKUP(Semidetached!AE$2,'Window-U'!$A$4:$A$40,'Window-U'!$J$4:$J$40)*Semidetached!AE$22))*AE202</f>
        <v>281.51604518755084</v>
      </c>
      <c r="AF208" s="174">
        <f>((LOOKUP(Semidetached!AF$2,'Ceiling-U'!$A$4:$A$40,'Ceiling-U'!$J$4:$J$40)*Semidetached!AF$15)+(LOOKUP(Semidetached!AF$2,'Floor-U'!$A$4:$A$40,'Floor-U'!$J$4:$J$40)*Semidetached!AF$16)+(LOOKUP(Semidetached!AF$2,'Wall-U'!$A$4:$A$40,'Wall-U'!$AC$4:$AC$40)*Semidetached!AF$13)+(LOOKUP(Semidetached!AF$2,'Window-U'!$A$4:$A$40,'Window-U'!$J$4:$J$40)*Semidetached!AF$22))*AF202</f>
        <v>255.18454924766525</v>
      </c>
      <c r="AG208" s="174">
        <f>((LOOKUP(Semidetached!AG$2,'Ceiling-U'!$A$4:$A$40,'Ceiling-U'!$J$4:$J$40)*Semidetached!AG$15)+(LOOKUP(Semidetached!AG$2,'Floor-U'!$A$4:$A$40,'Floor-U'!$J$4:$J$40)*Semidetached!AG$16)+(LOOKUP(Semidetached!AG$2,'Wall-U'!$A$4:$A$40,'Wall-U'!$AC$4:$AC$40)*Semidetached!AG$13)+(LOOKUP(Semidetached!AG$2,'Window-U'!$A$4:$A$40,'Window-U'!$J$4:$J$40)*Semidetached!AG$22))*AG202</f>
        <v>540.22423788302888</v>
      </c>
      <c r="AH208" s="174">
        <f>((LOOKUP(Semidetached!AH$2,'Ceiling-U'!$A$4:$A$40,'Ceiling-U'!$J$4:$J$40)*Semidetached!AH$15)+(LOOKUP(Semidetached!AH$2,'Floor-U'!$A$4:$A$40,'Floor-U'!$J$4:$J$40)*Semidetached!AH$16)+(LOOKUP(Semidetached!AH$2,'Wall-U'!$A$4:$A$40,'Wall-U'!$AC$4:$AC$40)*Semidetached!AH$13)+(LOOKUP(Semidetached!AH$2,'Window-U'!$A$4:$A$40,'Window-U'!$J$4:$J$40)*Semidetached!AH$22))*AH202</f>
        <v>376.39449802506419</v>
      </c>
      <c r="AI208" s="174">
        <f>((LOOKUP(Semidetached!AI$2,'Ceiling-U'!$A$4:$A$40,'Ceiling-U'!$J$4:$J$40)*Semidetached!AI$15)+(LOOKUP(Semidetached!AI$2,'Floor-U'!$A$4:$A$40,'Floor-U'!$J$4:$J$40)*Semidetached!AI$16)+(LOOKUP(Semidetached!AI$2,'Wall-U'!$A$4:$A$40,'Wall-U'!$AC$4:$AC$40)*Semidetached!AI$13)+(LOOKUP(Semidetached!AI$2,'Window-U'!$A$4:$A$40,'Window-U'!$J$4:$J$40)*Semidetached!AI$22))*AI202</f>
        <v>628.07094815324933</v>
      </c>
      <c r="AJ208" s="174">
        <f>((LOOKUP(Semidetached!AJ$2,'Ceiling-U'!$A$4:$A$40,'Ceiling-U'!$J$4:$J$40)*Semidetached!AJ$15)+(LOOKUP(Semidetached!AJ$2,'Floor-U'!$A$4:$A$40,'Floor-U'!$J$4:$J$40)*Semidetached!AJ$16)+(LOOKUP(Semidetached!AJ$2,'Wall-U'!$A$4:$A$40,'Wall-U'!$AC$4:$AC$40)*Semidetached!AJ$13)+(LOOKUP(Semidetached!AJ$2,'Window-U'!$A$4:$A$40,'Window-U'!$J$4:$J$40)*Semidetached!AJ$22))*AJ202</f>
        <v>509.48969288943948</v>
      </c>
      <c r="AK208" s="174">
        <f>((LOOKUP(Semidetached!AK$2,'Ceiling-U'!$A$4:$A$40,'Ceiling-U'!$J$4:$J$40)*Semidetached!AK$15)+(LOOKUP(Semidetached!AK$2,'Floor-U'!$A$4:$A$40,'Floor-U'!$J$4:$J$40)*Semidetached!AK$16)+(LOOKUP(Semidetached!AK$2,'Wall-U'!$A$4:$A$40,'Wall-U'!$AC$4:$AC$40)*Semidetached!AK$13)+(LOOKUP(Semidetached!AK$2,'Window-U'!$A$4:$A$40,'Window-U'!$J$4:$J$40)*Semidetached!AK$22))*AK202</f>
        <v>623.06253447950155</v>
      </c>
      <c r="AL208" s="174">
        <f>((LOOKUP(Semidetached!AL$2,'Ceiling-U'!$A$4:$A$40,'Ceiling-U'!$J$4:$J$40)*Semidetached!AL$15)+(LOOKUP(Semidetached!AL$2,'Floor-U'!$A$4:$A$40,'Floor-U'!$J$4:$J$40)*Semidetached!AL$16)+(LOOKUP(Semidetached!AL$2,'Wall-U'!$A$4:$A$40,'Wall-U'!$AC$4:$AC$40)*Semidetached!AL$13)+(LOOKUP(Semidetached!AL$2,'Window-U'!$A$4:$A$40,'Window-U'!$J$4:$J$40)*Semidetached!AL$22))*AL202</f>
        <v>359.40063351702275</v>
      </c>
      <c r="AM208" s="174">
        <f>((LOOKUP(Semidetached!AM$2,'Ceiling-U'!$A$4:$A$40,'Ceiling-U'!$J$4:$J$40)*Semidetached!AM$15)+(LOOKUP(Semidetached!AM$2,'Floor-U'!$A$4:$A$40,'Floor-U'!$J$4:$J$40)*Semidetached!AM$16)+(LOOKUP(Semidetached!AM$2,'Wall-U'!$A$4:$A$40,'Wall-U'!$AC$4:$AC$40)*Semidetached!AM$13)+(LOOKUP(Semidetached!AM$2,'Window-U'!$A$4:$A$40,'Window-U'!$J$4:$J$40)*Semidetached!AM$22))*AM202</f>
        <v>509.48969288943948</v>
      </c>
      <c r="AN208" s="175">
        <f>((LOOKUP(Semidetached!AN$2,'Ceiling-U'!$A$4:$A$40,'Ceiling-U'!$J$4:$J$40)*Semidetached!AN$15)+(LOOKUP(Semidetached!AN$2,'Floor-U'!$A$4:$A$40,'Floor-U'!$J$4:$J$40)*Semidetached!AN$16)+(LOOKUP(Semidetached!AN$2,'Wall-U'!$A$4:$A$40,'Wall-U'!$AC$4:$AC$40)*Semidetached!AN$13)+(LOOKUP(Semidetached!AN$2,'Window-U'!$A$4:$A$40,'Window-U'!$J$4:$J$40)*Semidetached!AN$22))*AN202</f>
        <v>509.48969288943948</v>
      </c>
    </row>
    <row r="209" spans="1:40">
      <c r="A209" s="332" t="s">
        <v>280</v>
      </c>
      <c r="B209" s="142" t="s">
        <v>2</v>
      </c>
      <c r="C209" s="360" t="s">
        <v>261</v>
      </c>
      <c r="D209" s="351">
        <f>D203*24*LOOKUP(Semidetached!D$2,'HDD-by Country'!$A$4:$A$40,'HDD-by Country'!$C$4:$C$40)/1000/Semidetached!D$3</f>
        <v>14876.155893856085</v>
      </c>
      <c r="E209" s="352">
        <f>E203*24*LOOKUP(Semidetached!E$2,'HDD-by Country'!$A$4:$A$40,'HDD-by Country'!$C$4:$C$40)/1000/Semidetached!E$3</f>
        <v>16024.102886251605</v>
      </c>
      <c r="F209" s="352">
        <f>F203*24*LOOKUP(Semidetached!F$2,'HDD-by Country'!$A$4:$A$40,'HDD-by Country'!$C$4:$C$40)/1000/Semidetached!F$3</f>
        <v>7311.6810214494826</v>
      </c>
      <c r="G209" s="352">
        <f>G203*24*LOOKUP(Semidetached!G$2,'HDD-by Country'!$A$4:$A$40,'HDD-by Country'!$C$4:$C$40)/1000/Semidetached!G$3</f>
        <v>15038.88910520567</v>
      </c>
      <c r="H209" s="352">
        <f>H203*24*LOOKUP(Semidetached!H$2,'HDD-by Country'!$A$4:$A$40,'HDD-by Country'!$C$4:$C$40)/1000/Semidetached!H$3</f>
        <v>6443.1459704558356</v>
      </c>
      <c r="I209" s="352">
        <f>I203*24*LOOKUP(Semidetached!I$2,'HDD-by Country'!$A$4:$A$40,'HDD-by Country'!$C$4:$C$40)/1000/Semidetached!I$3</f>
        <v>14117.359204160275</v>
      </c>
      <c r="J209" s="352">
        <f>J203*24*LOOKUP(Semidetached!J$2,'HDD-by Country'!$A$4:$A$40,'HDD-by Country'!$C$4:$C$40)/1000/Semidetached!J$3</f>
        <v>17087.358039279741</v>
      </c>
      <c r="K209" s="352">
        <f>K203*24*LOOKUP(Semidetached!K$2,'HDD-by Country'!$A$4:$A$40,'HDD-by Country'!$C$4:$C$40)/1000/Semidetached!K$3</f>
        <v>10346.440453587989</v>
      </c>
      <c r="L209" s="352">
        <f>L203*24*LOOKUP(Semidetached!L$2,'HDD-by Country'!$A$4:$A$40,'HDD-by Country'!$C$4:$C$40)/1000/Semidetached!L$3</f>
        <v>7305.3181526906801</v>
      </c>
      <c r="M209" s="352">
        <f>M203*24*LOOKUP(Semidetached!M$2,'HDD-by Country'!$A$4:$A$40,'HDD-by Country'!$C$4:$C$40)/1000/Semidetached!M$3</f>
        <v>14178.477858836006</v>
      </c>
      <c r="N209" s="352">
        <f>N203*24*LOOKUP(Semidetached!N$2,'HDD-by Country'!$A$4:$A$40,'HDD-by Country'!$C$4:$C$40)/1000/Semidetached!N$3</f>
        <v>12435.031485750353</v>
      </c>
      <c r="O209" s="352">
        <f>O203*24*LOOKUP(Semidetached!O$2,'HDD-by Country'!$A$4:$A$40,'HDD-by Country'!$C$4:$C$40)/1000/Semidetached!O$3</f>
        <v>18626.875442907378</v>
      </c>
      <c r="P209" s="352">
        <f>P203*24*LOOKUP(Semidetached!P$2,'HDD-by Country'!$A$4:$A$40,'HDD-by Country'!$C$4:$C$40)/1000/Semidetached!P$3</f>
        <v>13011.997569436093</v>
      </c>
      <c r="Q209" s="352">
        <f>Q203*24*LOOKUP(Semidetached!Q$2,'HDD-by Country'!$A$4:$A$40,'HDD-by Country'!$C$4:$C$40)/1000/Semidetached!Q$3</f>
        <v>7844.7973182787318</v>
      </c>
      <c r="R209" s="352">
        <f>R203*24*LOOKUP(Semidetached!R$2,'HDD-by Country'!$A$4:$A$40,'HDD-by Country'!$C$4:$C$40)/1000/Semidetached!R$3</f>
        <v>10031.434854859594</v>
      </c>
      <c r="S209" s="352">
        <f>S203*24*LOOKUP(Semidetached!S$2,'HDD-by Country'!$A$4:$A$40,'HDD-by Country'!$C$4:$C$40)/1000/Semidetached!S$3</f>
        <v>17566.081059998109</v>
      </c>
      <c r="T209" s="352">
        <f>T203*24*LOOKUP(Semidetached!T$2,'HDD-by Country'!$A$4:$A$40,'HDD-by Country'!$C$4:$C$40)/1000/Semidetached!T$3</f>
        <v>10660.422016391771</v>
      </c>
      <c r="U209" s="352">
        <f>U203*24*LOOKUP(Semidetached!U$2,'HDD-by Country'!$A$4:$A$40,'HDD-by Country'!$C$4:$C$40)/1000/Semidetached!U$3</f>
        <v>13863.42694217514</v>
      </c>
      <c r="V209" s="352">
        <f>V203*24*LOOKUP(Semidetached!V$2,'HDD-by Country'!$A$4:$A$40,'HDD-by Country'!$C$4:$C$40)/1000/Semidetached!V$3</f>
        <v>12283.001522200291</v>
      </c>
      <c r="W209" s="352">
        <f>W203*24*LOOKUP(Semidetached!W$2,'HDD-by Country'!$A$4:$A$40,'HDD-by Country'!$C$4:$C$40)/1000/Semidetached!W$3</f>
        <v>15755.422097783134</v>
      </c>
      <c r="X209" s="352">
        <f>X203*24*LOOKUP(Semidetached!X$2,'HDD-by Country'!$A$4:$A$40,'HDD-by Country'!$C$4:$C$40)/1000/Semidetached!X$3</f>
        <v>14466.381712296026</v>
      </c>
      <c r="Y209" s="352">
        <f>Y203*24*LOOKUP(Semidetached!Y$2,'HDD-by Country'!$A$4:$A$40,'HDD-by Country'!$C$4:$C$40)/1000/Semidetached!Y$3</f>
        <v>4721.755160590149</v>
      </c>
      <c r="Z209" s="352">
        <f>Z203*24*LOOKUP(Semidetached!Z$2,'HDD-by Country'!$A$4:$A$40,'HDD-by Country'!$C$4:$C$40)/1000/Semidetached!Z$3</f>
        <v>19750.009591624756</v>
      </c>
      <c r="AA209" s="352">
        <f>AA203*24*LOOKUP(Semidetached!AA$2,'HDD-by Country'!$A$4:$A$40,'HDD-by Country'!$C$4:$C$40)/1000/Semidetached!AA$3</f>
        <v>11352.632035191333</v>
      </c>
      <c r="AB209" s="352">
        <f>AB203*24*LOOKUP(Semidetached!AB$2,'HDD-by Country'!$A$4:$A$40,'HDD-by Country'!$C$4:$C$40)/1000/Semidetached!AB$3</f>
        <v>17127.137101571301</v>
      </c>
      <c r="AC209" s="352">
        <f>AC203*24*LOOKUP(Semidetached!AC$2,'HDD-by Country'!$A$4:$A$40,'HDD-by Country'!$C$4:$C$40)/1000/Semidetached!AC$3</f>
        <v>10694.460943045568</v>
      </c>
      <c r="AD209" s="352">
        <f>AD203*24*LOOKUP(Semidetached!AD$2,'HDD-by Country'!$A$4:$A$40,'HDD-by Country'!$C$4:$C$40)/1000/Semidetached!AD$3</f>
        <v>11238.139280952768</v>
      </c>
      <c r="AE209" s="352">
        <f>AE203*24*LOOKUP(Semidetached!AE$2,'HDD-by Country'!$A$4:$A$40,'HDD-by Country'!$C$4:$C$40)/1000/Semidetached!AE$3</f>
        <v>10779.400811106372</v>
      </c>
      <c r="AF209" s="352">
        <f>AF203*24*LOOKUP(Semidetached!AF$2,'HDD-by Country'!$A$4:$A$40,'HDD-by Country'!$C$4:$C$40)/1000/Semidetached!AF$3</f>
        <v>10854.874319431679</v>
      </c>
      <c r="AG209" s="352">
        <f>AG203*24*LOOKUP(Semidetached!AG$2,'HDD-by Country'!$A$4:$A$40,'HDD-by Country'!$C$4:$C$40)/1000/Semidetached!AG$3</f>
        <v>19549.282704616093</v>
      </c>
      <c r="AH209" s="352">
        <f>AH203*24*LOOKUP(Semidetached!AH$2,'HDD-by Country'!$A$4:$A$40,'HDD-by Country'!$C$4:$C$40)/1000/Semidetached!AH$3</f>
        <v>14510.031810880764</v>
      </c>
      <c r="AI209" s="352">
        <f>AI203*24*LOOKUP(Semidetached!AI$2,'HDD-by Country'!$A$4:$A$40,'HDD-by Country'!$C$4:$C$40)/1000/Semidetached!AI$3</f>
        <v>12927.149310374089</v>
      </c>
      <c r="AJ209" s="352">
        <f>AJ203*24*LOOKUP(Semidetached!AJ$2,'HDD-by Country'!$A$4:$A$40,'HDD-by Country'!$C$4:$C$40)/1000/Semidetached!AJ$3</f>
        <v>8035.2901534080638</v>
      </c>
      <c r="AK209" s="352">
        <f>AK203*24*LOOKUP(Semidetached!AK$2,'HDD-by Country'!$A$4:$A$40,'HDD-by Country'!$C$4:$C$40)/1000/Semidetached!AK$3</f>
        <v>8871.4916423461527</v>
      </c>
      <c r="AL209" s="352">
        <f>AL203*24*LOOKUP(Semidetached!AL$2,'HDD-by Country'!$A$4:$A$40,'HDD-by Country'!$C$4:$C$40)/1000/Semidetached!AL$3</f>
        <v>7731.9887482635568</v>
      </c>
      <c r="AM209" s="352">
        <f>AM203*24*LOOKUP(Semidetached!AM$2,'HDD-by Country'!$A$4:$A$40,'HDD-by Country'!$C$4:$C$40)/1000/Semidetached!AM$3</f>
        <v>7389.0570301873604</v>
      </c>
      <c r="AN209" s="353">
        <f>AN203*24*LOOKUP(Semidetached!AN$2,'HDD-by Country'!$A$4:$A$40,'HDD-by Country'!$C$4:$C$40)/1000/Semidetached!AN$3</f>
        <v>7389.0570301873604</v>
      </c>
    </row>
    <row r="210" spans="1:40">
      <c r="A210" s="129"/>
      <c r="B210" s="142" t="s">
        <v>3</v>
      </c>
      <c r="C210" s="129" t="s">
        <v>261</v>
      </c>
      <c r="D210" s="345">
        <f>D204*24*LOOKUP(Semidetached!D$2,'HDD-by Country'!$A$4:$A$40,'HDD-by Country'!$C$4:$C$40)/1000/Semidetached!D$3</f>
        <v>15174.543589896675</v>
      </c>
      <c r="E210" s="349">
        <f>E204*24*LOOKUP(Semidetached!E$2,'HDD-by Country'!$A$4:$A$40,'HDD-by Country'!$C$4:$C$40)/1000/Semidetached!E$3</f>
        <v>16024.102886251605</v>
      </c>
      <c r="F210" s="349">
        <f>F204*24*LOOKUP(Semidetached!F$2,'HDD-by Country'!$A$4:$A$40,'HDD-by Country'!$C$4:$C$40)/1000/Semidetached!F$3</f>
        <v>7311.6810214494826</v>
      </c>
      <c r="G210" s="349">
        <f>G204*24*LOOKUP(Semidetached!G$2,'HDD-by Country'!$A$4:$A$40,'HDD-by Country'!$C$4:$C$40)/1000/Semidetached!G$3</f>
        <v>15345.606211250046</v>
      </c>
      <c r="H210" s="349">
        <f>H204*24*LOOKUP(Semidetached!H$2,'HDD-by Country'!$A$4:$A$40,'HDD-by Country'!$C$4:$C$40)/1000/Semidetached!H$3</f>
        <v>6427.1765224585024</v>
      </c>
      <c r="I210" s="349">
        <f>I204*24*LOOKUP(Semidetached!I$2,'HDD-by Country'!$A$4:$A$40,'HDD-by Country'!$C$4:$C$40)/1000/Semidetached!I$3</f>
        <v>10565.100549017539</v>
      </c>
      <c r="J210" s="349">
        <f>J204*24*LOOKUP(Semidetached!J$2,'HDD-by Country'!$A$4:$A$40,'HDD-by Country'!$C$4:$C$40)/1000/Semidetached!J$3</f>
        <v>16633.670647611227</v>
      </c>
      <c r="K210" s="349">
        <f>K204*24*LOOKUP(Semidetached!K$2,'HDD-by Country'!$A$4:$A$40,'HDD-by Country'!$C$4:$C$40)/1000/Semidetached!K$3</f>
        <v>9640.5992709340753</v>
      </c>
      <c r="L210" s="349">
        <f>L204*24*LOOKUP(Semidetached!L$2,'HDD-by Country'!$A$4:$A$40,'HDD-by Country'!$C$4:$C$40)/1000/Semidetached!L$3</f>
        <v>7305.3181526906801</v>
      </c>
      <c r="M210" s="349">
        <f>M204*24*LOOKUP(Semidetached!M$2,'HDD-by Country'!$A$4:$A$40,'HDD-by Country'!$C$4:$C$40)/1000/Semidetached!M$3</f>
        <v>13192.974848503434</v>
      </c>
      <c r="N210" s="349">
        <f>N204*24*LOOKUP(Semidetached!N$2,'HDD-by Country'!$A$4:$A$40,'HDD-by Country'!$C$4:$C$40)/1000/Semidetached!N$3</f>
        <v>10915.584218245023</v>
      </c>
      <c r="O210" s="349">
        <f>O204*24*LOOKUP(Semidetached!O$2,'HDD-by Country'!$A$4:$A$40,'HDD-by Country'!$C$4:$C$40)/1000/Semidetached!O$3</f>
        <v>18626.875442907378</v>
      </c>
      <c r="P210" s="349">
        <f>P204*24*LOOKUP(Semidetached!P$2,'HDD-by Country'!$A$4:$A$40,'HDD-by Country'!$C$4:$C$40)/1000/Semidetached!P$3</f>
        <v>13011.997569436093</v>
      </c>
      <c r="Q210" s="349">
        <f>Q204*24*LOOKUP(Semidetached!Q$2,'HDD-by Country'!$A$4:$A$40,'HDD-by Country'!$C$4:$C$40)/1000/Semidetached!Q$3</f>
        <v>7882.9331474376449</v>
      </c>
      <c r="R210" s="349">
        <f>R204*24*LOOKUP(Semidetached!R$2,'HDD-by Country'!$A$4:$A$40,'HDD-by Country'!$C$4:$C$40)/1000/Semidetached!R$3</f>
        <v>10031.434854859594</v>
      </c>
      <c r="S210" s="349">
        <f>S204*24*LOOKUP(Semidetached!S$2,'HDD-by Country'!$A$4:$A$40,'HDD-by Country'!$C$4:$C$40)/1000/Semidetached!S$3</f>
        <v>18110.201334919471</v>
      </c>
      <c r="T210" s="349">
        <f>T204*24*LOOKUP(Semidetached!T$2,'HDD-by Country'!$A$4:$A$40,'HDD-by Country'!$C$4:$C$40)/1000/Semidetached!T$3</f>
        <v>9353.3024634164904</v>
      </c>
      <c r="U210" s="349">
        <f>U204*24*LOOKUP(Semidetached!U$2,'HDD-by Country'!$A$4:$A$40,'HDD-by Country'!$C$4:$C$40)/1000/Semidetached!U$3</f>
        <v>13570.508816285072</v>
      </c>
      <c r="V210" s="349">
        <f>V204*24*LOOKUP(Semidetached!V$2,'HDD-by Country'!$A$4:$A$40,'HDD-by Country'!$C$4:$C$40)/1000/Semidetached!V$3</f>
        <v>12283.001522200291</v>
      </c>
      <c r="W210" s="349">
        <f>W204*24*LOOKUP(Semidetached!W$2,'HDD-by Country'!$A$4:$A$40,'HDD-by Country'!$C$4:$C$40)/1000/Semidetached!W$3</f>
        <v>12444.523693922465</v>
      </c>
      <c r="X210" s="349">
        <f>X204*24*LOOKUP(Semidetached!X$2,'HDD-by Country'!$A$4:$A$40,'HDD-by Country'!$C$4:$C$40)/1000/Semidetached!X$3</f>
        <v>14282.133712296025</v>
      </c>
      <c r="Y210" s="349">
        <f>Y204*24*LOOKUP(Semidetached!Y$2,'HDD-by Country'!$A$4:$A$40,'HDD-by Country'!$C$4:$C$40)/1000/Semidetached!Y$3</f>
        <v>4706.6130034853986</v>
      </c>
      <c r="Z210" s="349">
        <f>Z204*24*LOOKUP(Semidetached!Z$2,'HDD-by Country'!$A$4:$A$40,'HDD-by Country'!$C$4:$C$40)/1000/Semidetached!Z$3</f>
        <v>14595.613982982055</v>
      </c>
      <c r="AA210" s="349">
        <f>AA204*24*LOOKUP(Semidetached!AA$2,'HDD-by Country'!$A$4:$A$40,'HDD-by Country'!$C$4:$C$40)/1000/Semidetached!AA$3</f>
        <v>11305.620141927335</v>
      </c>
      <c r="AB210" s="349">
        <f>AB204*24*LOOKUP(Semidetached!AB$2,'HDD-by Country'!$A$4:$A$40,'HDD-by Country'!$C$4:$C$40)/1000/Semidetached!AB$3</f>
        <v>12073.015211570078</v>
      </c>
      <c r="AC210" s="349">
        <f>AC204*24*LOOKUP(Semidetached!AC$2,'HDD-by Country'!$A$4:$A$40,'HDD-by Country'!$C$4:$C$40)/1000/Semidetached!AC$3</f>
        <v>10673.055064675395</v>
      </c>
      <c r="AD210" s="349">
        <f>AD204*24*LOOKUP(Semidetached!AD$2,'HDD-by Country'!$A$4:$A$40,'HDD-by Country'!$C$4:$C$40)/1000/Semidetached!AD$3</f>
        <v>10131.669343874355</v>
      </c>
      <c r="AE210" s="349">
        <f>AE204*24*LOOKUP(Semidetached!AE$2,'HDD-by Country'!$A$4:$A$40,'HDD-by Country'!$C$4:$C$40)/1000/Semidetached!AE$3</f>
        <v>10734.070887810374</v>
      </c>
      <c r="AF210" s="349">
        <f>AF204*24*LOOKUP(Semidetached!AF$2,'HDD-by Country'!$A$4:$A$40,'HDD-by Country'!$C$4:$C$40)/1000/Semidetached!AF$3</f>
        <v>10854.874319431679</v>
      </c>
      <c r="AG210" s="349">
        <f>AG204*24*LOOKUP(Semidetached!AG$2,'HDD-by Country'!$A$4:$A$40,'HDD-by Country'!$C$4:$C$40)/1000/Semidetached!AG$3</f>
        <v>16504.953852979012</v>
      </c>
      <c r="AH210" s="349">
        <f>AH204*24*LOOKUP(Semidetached!AH$2,'HDD-by Country'!$A$4:$A$40,'HDD-by Country'!$C$4:$C$40)/1000/Semidetached!AH$3</f>
        <v>14918.932327942186</v>
      </c>
      <c r="AI210" s="349">
        <f>AI204*24*LOOKUP(Semidetached!AI$2,'HDD-by Country'!$A$4:$A$40,'HDD-by Country'!$C$4:$C$40)/1000/Semidetached!AI$3</f>
        <v>12927.149310374089</v>
      </c>
      <c r="AJ210" s="349">
        <f>AJ204*24*LOOKUP(Semidetached!AJ$2,'HDD-by Country'!$A$4:$A$40,'HDD-by Country'!$C$4:$C$40)/1000/Semidetached!AJ$3</f>
        <v>8035.2901534080638</v>
      </c>
      <c r="AK210" s="349">
        <f>AK204*24*LOOKUP(Semidetached!AK$2,'HDD-by Country'!$A$4:$A$40,'HDD-by Country'!$C$4:$C$40)/1000/Semidetached!AK$3</f>
        <v>8871.4916423461527</v>
      </c>
      <c r="AL210" s="349">
        <f>AL204*24*LOOKUP(Semidetached!AL$2,'HDD-by Country'!$A$4:$A$40,'HDD-by Country'!$C$4:$C$40)/1000/Semidetached!AL$3</f>
        <v>7731.9887482635568</v>
      </c>
      <c r="AM210" s="349">
        <f>AM204*24*LOOKUP(Semidetached!AM$2,'HDD-by Country'!$A$4:$A$40,'HDD-by Country'!$C$4:$C$40)/1000/Semidetached!AM$3</f>
        <v>7389.0570301873604</v>
      </c>
      <c r="AN210" s="354">
        <f>AN204*24*LOOKUP(Semidetached!AN$2,'HDD-by Country'!$A$4:$A$40,'HDD-by Country'!$C$4:$C$40)/1000/Semidetached!AN$3</f>
        <v>7389.0570301873604</v>
      </c>
    </row>
    <row r="211" spans="1:40">
      <c r="A211" s="129"/>
      <c r="B211" s="142" t="s">
        <v>4</v>
      </c>
      <c r="C211" s="129" t="s">
        <v>261</v>
      </c>
      <c r="D211" s="345">
        <f>D205*24*LOOKUP(Semidetached!D$2,'HDD-by Country'!$A$4:$A$40,'HDD-by Country'!$C$4:$C$40)/1000/Semidetached!D$3</f>
        <v>11493.52816679394</v>
      </c>
      <c r="E211" s="349">
        <f>E205*24*LOOKUP(Semidetached!E$2,'HDD-by Country'!$A$4:$A$40,'HDD-by Country'!$C$4:$C$40)/1000/Semidetached!E$3</f>
        <v>16024.102886251605</v>
      </c>
      <c r="F211" s="349">
        <f>F205*24*LOOKUP(Semidetached!F$2,'HDD-by Country'!$A$4:$A$40,'HDD-by Country'!$C$4:$C$40)/1000/Semidetached!F$3</f>
        <v>6921.8395646573908</v>
      </c>
      <c r="G211" s="349">
        <f>G205*24*LOOKUP(Semidetached!G$2,'HDD-by Country'!$A$4:$A$40,'HDD-by Country'!$C$4:$C$40)/1000/Semidetached!G$3</f>
        <v>11599.501959217132</v>
      </c>
      <c r="H211" s="349">
        <f>H205*24*LOOKUP(Semidetached!H$2,'HDD-by Country'!$A$4:$A$40,'HDD-by Country'!$C$4:$C$40)/1000/Semidetached!H$3</f>
        <v>6928.5000241382049</v>
      </c>
      <c r="I211" s="349">
        <f>I205*24*LOOKUP(Semidetached!I$2,'HDD-by Country'!$A$4:$A$40,'HDD-by Country'!$C$4:$C$40)/1000/Semidetached!I$3</f>
        <v>10565.100549017539</v>
      </c>
      <c r="J211" s="349">
        <f>J205*24*LOOKUP(Semidetached!J$2,'HDD-by Country'!$A$4:$A$40,'HDD-by Country'!$C$4:$C$40)/1000/Semidetached!J$3</f>
        <v>10112.877176795222</v>
      </c>
      <c r="K211" s="349">
        <f>K205*24*LOOKUP(Semidetached!K$2,'HDD-by Country'!$A$4:$A$40,'HDD-by Country'!$C$4:$C$40)/1000/Semidetached!K$3</f>
        <v>6696.9791668472099</v>
      </c>
      <c r="L211" s="349">
        <f>L205*24*LOOKUP(Semidetached!L$2,'HDD-by Country'!$A$4:$A$40,'HDD-by Country'!$C$4:$C$40)/1000/Semidetached!L$3</f>
        <v>6104.5087291127784</v>
      </c>
      <c r="M211" s="349">
        <f>M205*24*LOOKUP(Semidetached!M$2,'HDD-by Country'!$A$4:$A$40,'HDD-by Country'!$C$4:$C$40)/1000/Semidetached!M$3</f>
        <v>13192.974848503434</v>
      </c>
      <c r="N211" s="349">
        <f>N205*24*LOOKUP(Semidetached!N$2,'HDD-by Country'!$A$4:$A$40,'HDD-by Country'!$C$4:$C$40)/1000/Semidetached!N$3</f>
        <v>9240.9413995795348</v>
      </c>
      <c r="O211" s="349">
        <f>O205*24*LOOKUP(Semidetached!O$2,'HDD-by Country'!$A$4:$A$40,'HDD-by Country'!$C$4:$C$40)/1000/Semidetached!O$3</f>
        <v>8082.3612801486752</v>
      </c>
      <c r="P211" s="349">
        <f>P205*24*LOOKUP(Semidetached!P$2,'HDD-by Country'!$A$4:$A$40,'HDD-by Country'!$C$4:$C$40)/1000/Semidetached!P$3</f>
        <v>13011.997569436093</v>
      </c>
      <c r="Q211" s="349">
        <f>Q205*24*LOOKUP(Semidetached!Q$2,'HDD-by Country'!$A$4:$A$40,'HDD-by Country'!$C$4:$C$40)/1000/Semidetached!Q$3</f>
        <v>7099.8517778673704</v>
      </c>
      <c r="R211" s="349">
        <f>R205*24*LOOKUP(Semidetached!R$2,'HDD-by Country'!$A$4:$A$40,'HDD-by Country'!$C$4:$C$40)/1000/Semidetached!R$3</f>
        <v>9041.9235084729808</v>
      </c>
      <c r="S211" s="349">
        <f>S205*24*LOOKUP(Semidetached!S$2,'HDD-by Country'!$A$4:$A$40,'HDD-by Country'!$C$4:$C$40)/1000/Semidetached!S$3</f>
        <v>12765.327689443349</v>
      </c>
      <c r="T211" s="349">
        <f>T205*24*LOOKUP(Semidetached!T$2,'HDD-by Country'!$A$4:$A$40,'HDD-by Country'!$C$4:$C$40)/1000/Semidetached!T$3</f>
        <v>7915.8098509216907</v>
      </c>
      <c r="U211" s="349">
        <f>U205*24*LOOKUP(Semidetached!U$2,'HDD-by Country'!$A$4:$A$40,'HDD-by Country'!$C$4:$C$40)/1000/Semidetached!U$3</f>
        <v>12313.452919350735</v>
      </c>
      <c r="V211" s="349">
        <f>V205*24*LOOKUP(Semidetached!V$2,'HDD-by Country'!$A$4:$A$40,'HDD-by Country'!$C$4:$C$40)/1000/Semidetached!V$3</f>
        <v>8123.3007259354963</v>
      </c>
      <c r="W211" s="349">
        <f>W205*24*LOOKUP(Semidetached!W$2,'HDD-by Country'!$A$4:$A$40,'HDD-by Country'!$C$4:$C$40)/1000/Semidetached!W$3</f>
        <v>7638.3047445403463</v>
      </c>
      <c r="X211" s="349">
        <f>X205*24*LOOKUP(Semidetached!X$2,'HDD-by Country'!$A$4:$A$40,'HDD-by Country'!$C$4:$C$40)/1000/Semidetached!X$3</f>
        <v>13292.753312143541</v>
      </c>
      <c r="Y211" s="349">
        <f>Y205*24*LOOKUP(Semidetached!Y$2,'HDD-by Country'!$A$4:$A$40,'HDD-by Country'!$C$4:$C$40)/1000/Semidetached!Y$3</f>
        <v>4677.9637567910468</v>
      </c>
      <c r="Z211" s="349">
        <f>Z205*24*LOOKUP(Semidetached!Z$2,'HDD-by Country'!$A$4:$A$40,'HDD-by Country'!$C$4:$C$40)/1000/Semidetached!Z$3</f>
        <v>13523.538435362358</v>
      </c>
      <c r="AA211" s="349">
        <f>AA205*24*LOOKUP(Semidetached!AA$2,'HDD-by Country'!$A$4:$A$40,'HDD-by Country'!$C$4:$C$40)/1000/Semidetached!AA$3</f>
        <v>7999.278415441564</v>
      </c>
      <c r="AB211" s="349">
        <f>AB205*24*LOOKUP(Semidetached!AB$2,'HDD-by Country'!$A$4:$A$40,'HDD-by Country'!$C$4:$C$40)/1000/Semidetached!AB$3</f>
        <v>9256.2582524694899</v>
      </c>
      <c r="AC211" s="349">
        <f>AC205*24*LOOKUP(Semidetached!AC$2,'HDD-by Country'!$A$4:$A$40,'HDD-by Country'!$C$4:$C$40)/1000/Semidetached!AC$3</f>
        <v>10328.003974514904</v>
      </c>
      <c r="AD211" s="349">
        <f>AD205*24*LOOKUP(Semidetached!AD$2,'HDD-by Country'!$A$4:$A$40,'HDD-by Country'!$C$4:$C$40)/1000/Semidetached!AD$3</f>
        <v>10131.669343874355</v>
      </c>
      <c r="AE211" s="349">
        <f>AE205*24*LOOKUP(Semidetached!AE$2,'HDD-by Country'!$A$4:$A$40,'HDD-by Country'!$C$4:$C$40)/1000/Semidetached!AE$3</f>
        <v>7615.2078583338034</v>
      </c>
      <c r="AF211" s="349">
        <f>AF205*24*LOOKUP(Semidetached!AF$2,'HDD-by Country'!$A$4:$A$40,'HDD-by Country'!$C$4:$C$40)/1000/Semidetached!AF$3</f>
        <v>9036.6708650117962</v>
      </c>
      <c r="AG211" s="349">
        <f>AG205*24*LOOKUP(Semidetached!AG$2,'HDD-by Country'!$A$4:$A$40,'HDD-by Country'!$C$4:$C$40)/1000/Semidetached!AG$3</f>
        <v>16504.953852979012</v>
      </c>
      <c r="AH211" s="349">
        <f>AH205*24*LOOKUP(Semidetached!AH$2,'HDD-by Country'!$A$4:$A$40,'HDD-by Country'!$C$4:$C$40)/1000/Semidetached!AH$3</f>
        <v>10487.562444634676</v>
      </c>
      <c r="AI211" s="349">
        <f>AI205*24*LOOKUP(Semidetached!AI$2,'HDD-by Country'!$A$4:$A$40,'HDD-by Country'!$C$4:$C$40)/1000/Semidetached!AI$3</f>
        <v>12927.149310374089</v>
      </c>
      <c r="AJ211" s="349">
        <f>AJ205*24*LOOKUP(Semidetached!AJ$2,'HDD-by Country'!$A$4:$A$40,'HDD-by Country'!$C$4:$C$40)/1000/Semidetached!AJ$3</f>
        <v>8035.2901534080638</v>
      </c>
      <c r="AK211" s="349">
        <f>AK205*24*LOOKUP(Semidetached!AK$2,'HDD-by Country'!$A$4:$A$40,'HDD-by Country'!$C$4:$C$40)/1000/Semidetached!AK$3</f>
        <v>8871.4916423461527</v>
      </c>
      <c r="AL211" s="349">
        <f>AL205*24*LOOKUP(Semidetached!AL$2,'HDD-by Country'!$A$4:$A$40,'HDD-by Country'!$C$4:$C$40)/1000/Semidetached!AL$3</f>
        <v>7311.3134560548615</v>
      </c>
      <c r="AM211" s="349">
        <f>AM205*24*LOOKUP(Semidetached!AM$2,'HDD-by Country'!$A$4:$A$40,'HDD-by Country'!$C$4:$C$40)/1000/Semidetached!AM$3</f>
        <v>7389.0570301873604</v>
      </c>
      <c r="AN211" s="354">
        <f>AN205*24*LOOKUP(Semidetached!AN$2,'HDD-by Country'!$A$4:$A$40,'HDD-by Country'!$C$4:$C$40)/1000/Semidetached!AN$3</f>
        <v>7389.0570301873604</v>
      </c>
    </row>
    <row r="212" spans="1:40">
      <c r="A212" s="129"/>
      <c r="B212" s="142" t="s">
        <v>5</v>
      </c>
      <c r="C212" s="129" t="s">
        <v>261</v>
      </c>
      <c r="D212" s="345">
        <f>D206*24*LOOKUP(Semidetached!D$2,'HDD-by Country'!$A$4:$A$40,'HDD-by Country'!$C$4:$C$40)/1000/Semidetached!D$3</f>
        <v>7671.1932786814386</v>
      </c>
      <c r="E212" s="349">
        <f>E206*24*LOOKUP(Semidetached!E$2,'HDD-by Country'!$A$4:$A$40,'HDD-by Country'!$C$4:$C$40)/1000/Semidetached!E$3</f>
        <v>13092.363166854097</v>
      </c>
      <c r="F212" s="349">
        <f>F206*24*LOOKUP(Semidetached!F$2,'HDD-by Country'!$A$4:$A$40,'HDD-by Country'!$C$4:$C$40)/1000/Semidetached!F$3</f>
        <v>6120.4652548341301</v>
      </c>
      <c r="G212" s="349">
        <f>G206*24*LOOKUP(Semidetached!G$2,'HDD-by Country'!$A$4:$A$40,'HDD-by Country'!$C$4:$C$40)/1000/Semidetached!G$3</f>
        <v>7723.0784491415934</v>
      </c>
      <c r="H212" s="349">
        <f>H206*24*LOOKUP(Semidetached!H$2,'HDD-by Country'!$A$4:$A$40,'HDD-by Country'!$C$4:$C$40)/1000/Semidetached!H$3</f>
        <v>6592.2728192212671</v>
      </c>
      <c r="I212" s="349">
        <f>I206*24*LOOKUP(Semidetached!I$2,'HDD-by Country'!$A$4:$A$40,'HDD-by Country'!$C$4:$C$40)/1000/Semidetached!I$3</f>
        <v>9258.4383655450438</v>
      </c>
      <c r="J212" s="349">
        <f>J206*24*LOOKUP(Semidetached!J$2,'HDD-by Country'!$A$4:$A$40,'HDD-by Country'!$C$4:$C$40)/1000/Semidetached!J$3</f>
        <v>6975.3930951661105</v>
      </c>
      <c r="K212" s="349">
        <f>K206*24*LOOKUP(Semidetached!K$2,'HDD-by Country'!$A$4:$A$40,'HDD-by Country'!$C$4:$C$40)/1000/Semidetached!K$3</f>
        <v>5823.3209208966437</v>
      </c>
      <c r="L212" s="349">
        <f>L206*24*LOOKUP(Semidetached!L$2,'HDD-by Country'!$A$4:$A$40,'HDD-by Country'!$C$4:$C$40)/1000/Semidetached!L$3</f>
        <v>4416.707545786132</v>
      </c>
      <c r="M212" s="349">
        <f>M206*24*LOOKUP(Semidetached!M$2,'HDD-by Country'!$A$4:$A$40,'HDD-by Country'!$C$4:$C$40)/1000/Semidetached!M$3</f>
        <v>7113.1291531354191</v>
      </c>
      <c r="N212" s="349">
        <f>N206*24*LOOKUP(Semidetached!N$2,'HDD-by Country'!$A$4:$A$40,'HDD-by Country'!$C$4:$C$40)/1000/Semidetached!N$3</f>
        <v>7771.4595532246794</v>
      </c>
      <c r="O212" s="349">
        <f>O206*24*LOOKUP(Semidetached!O$2,'HDD-by Country'!$A$4:$A$40,'HDD-by Country'!$C$4:$C$40)/1000/Semidetached!O$3</f>
        <v>6773.1917015747249</v>
      </c>
      <c r="P212" s="349">
        <f>P206*24*LOOKUP(Semidetached!P$2,'HDD-by Country'!$A$4:$A$40,'HDD-by Country'!$C$4:$C$40)/1000/Semidetached!P$3</f>
        <v>12319.183962381785</v>
      </c>
      <c r="Q212" s="349">
        <f>Q206*24*LOOKUP(Semidetached!Q$2,'HDD-by Country'!$A$4:$A$40,'HDD-by Country'!$C$4:$C$40)/1000/Semidetached!Q$3</f>
        <v>7099.8517778673704</v>
      </c>
      <c r="R212" s="349">
        <f>R206*24*LOOKUP(Semidetached!R$2,'HDD-by Country'!$A$4:$A$40,'HDD-by Country'!$C$4:$C$40)/1000/Semidetached!R$3</f>
        <v>7305.9887779234696</v>
      </c>
      <c r="S212" s="349">
        <f>S206*24*LOOKUP(Semidetached!S$2,'HDD-by Country'!$A$4:$A$40,'HDD-by Country'!$C$4:$C$40)/1000/Semidetached!S$3</f>
        <v>7676.9225104629031</v>
      </c>
      <c r="T212" s="349">
        <f>T206*24*LOOKUP(Semidetached!T$2,'HDD-by Country'!$A$4:$A$40,'HDD-by Country'!$C$4:$C$40)/1000/Semidetached!T$3</f>
        <v>6656.8676694734386</v>
      </c>
      <c r="U212" s="349">
        <f>U206*24*LOOKUP(Semidetached!U$2,'HDD-by Country'!$A$4:$A$40,'HDD-by Country'!$C$4:$C$40)/1000/Semidetached!U$3</f>
        <v>10480.983284427004</v>
      </c>
      <c r="V212" s="349">
        <f>V206*24*LOOKUP(Semidetached!V$2,'HDD-by Country'!$A$4:$A$40,'HDD-by Country'!$C$4:$C$40)/1000/Semidetached!V$3</f>
        <v>8123.3007259354963</v>
      </c>
      <c r="W212" s="349">
        <f>W206*24*LOOKUP(Semidetached!W$2,'HDD-by Country'!$A$4:$A$40,'HDD-by Country'!$C$4:$C$40)/1000/Semidetached!W$3</f>
        <v>6104.9131480656397</v>
      </c>
      <c r="X212" s="349">
        <f>X206*24*LOOKUP(Semidetached!X$2,'HDD-by Country'!$A$4:$A$40,'HDD-by Country'!$C$4:$C$40)/1000/Semidetached!X$3</f>
        <v>7154.07843039823</v>
      </c>
      <c r="Y212" s="349">
        <f>Y206*24*LOOKUP(Semidetached!Y$2,'HDD-by Country'!$A$4:$A$40,'HDD-by Country'!$C$4:$C$40)/1000/Semidetached!Y$3</f>
        <v>3960.2579503283141</v>
      </c>
      <c r="Z212" s="349">
        <f>Z206*24*LOOKUP(Semidetached!Z$2,'HDD-by Country'!$A$4:$A$40,'HDD-by Country'!$C$4:$C$40)/1000/Semidetached!Z$3</f>
        <v>10572.115869503432</v>
      </c>
      <c r="AA212" s="349">
        <f>AA206*24*LOOKUP(Semidetached!AA$2,'HDD-by Country'!$A$4:$A$40,'HDD-by Country'!$C$4:$C$40)/1000/Semidetached!AA$3</f>
        <v>7889.5201754415648</v>
      </c>
      <c r="AB212" s="349">
        <f>AB206*24*LOOKUP(Semidetached!AB$2,'HDD-by Country'!$A$4:$A$40,'HDD-by Country'!$C$4:$C$40)/1000/Semidetached!AB$3</f>
        <v>9256.2582524694899</v>
      </c>
      <c r="AC212" s="349">
        <f>AC206*24*LOOKUP(Semidetached!AC$2,'HDD-by Country'!$A$4:$A$40,'HDD-by Country'!$C$4:$C$40)/1000/Semidetached!AC$3</f>
        <v>10170.077075202615</v>
      </c>
      <c r="AD212" s="349">
        <f>AD206*24*LOOKUP(Semidetached!AD$2,'HDD-by Country'!$A$4:$A$40,'HDD-by Country'!$C$4:$C$40)/1000/Semidetached!AD$3</f>
        <v>9218.5458636530311</v>
      </c>
      <c r="AE212" s="349">
        <f>AE206*24*LOOKUP(Semidetached!AE$2,'HDD-by Country'!$A$4:$A$40,'HDD-by Country'!$C$4:$C$40)/1000/Semidetached!AE$3</f>
        <v>7509.3764983338042</v>
      </c>
      <c r="AF212" s="349">
        <f>AF206*24*LOOKUP(Semidetached!AF$2,'HDD-by Country'!$A$4:$A$40,'HDD-by Country'!$C$4:$C$40)/1000/Semidetached!AF$3</f>
        <v>7858.9639169690927</v>
      </c>
      <c r="AG212" s="349">
        <f>AG206*24*LOOKUP(Semidetached!AG$2,'HDD-by Country'!$A$4:$A$40,'HDD-by Country'!$C$4:$C$40)/1000/Semidetached!AG$3</f>
        <v>13976.325460474787</v>
      </c>
      <c r="AH212" s="349">
        <f>AH206*24*LOOKUP(Semidetached!AH$2,'HDD-by Country'!$A$4:$A$40,'HDD-by Country'!$C$4:$C$40)/1000/Semidetached!AH$3</f>
        <v>7382.9029363004311</v>
      </c>
      <c r="AI212" s="349">
        <f>AI206*24*LOOKUP(Semidetached!AI$2,'HDD-by Country'!$A$4:$A$40,'HDD-by Country'!$C$4:$C$40)/1000/Semidetached!AI$3</f>
        <v>12234.335703319781</v>
      </c>
      <c r="AJ212" s="349">
        <f>AJ206*24*LOOKUP(Semidetached!AJ$2,'HDD-by Country'!$A$4:$A$40,'HDD-by Country'!$C$4:$C$40)/1000/Semidetached!AJ$3</f>
        <v>6986.8275920814012</v>
      </c>
      <c r="AK212" s="349">
        <f>AK206*24*LOOKUP(Semidetached!AK$2,'HDD-by Country'!$A$4:$A$40,'HDD-by Country'!$C$4:$C$40)/1000/Semidetached!AK$3</f>
        <v>7615.8607544648703</v>
      </c>
      <c r="AL212" s="349">
        <f>AL206*24*LOOKUP(Semidetached!AL$2,'HDD-by Country'!$A$4:$A$40,'HDD-by Country'!$C$4:$C$40)/1000/Semidetached!AL$3</f>
        <v>6447.2892555567814</v>
      </c>
      <c r="AM212" s="349">
        <f>AM206*24*LOOKUP(Semidetached!AM$2,'HDD-by Country'!$A$4:$A$40,'HDD-by Country'!$C$4:$C$40)/1000/Semidetached!AM$3</f>
        <v>6424.9164065443956</v>
      </c>
      <c r="AN212" s="354">
        <f>AN206*24*LOOKUP(Semidetached!AN$2,'HDD-by Country'!$A$4:$A$40,'HDD-by Country'!$C$4:$C$40)/1000/Semidetached!AN$3</f>
        <v>6424.9164065443956</v>
      </c>
    </row>
    <row r="213" spans="1:40">
      <c r="A213" s="129"/>
      <c r="B213" s="142" t="s">
        <v>6</v>
      </c>
      <c r="C213" s="129" t="s">
        <v>261</v>
      </c>
      <c r="D213" s="345">
        <f>D207*24*LOOKUP(Semidetached!D$2,'HDD-by Country'!$A$4:$A$40,'HDD-by Country'!$C$4:$C$40)/1000/Semidetached!D$3</f>
        <v>6835.3856002956427</v>
      </c>
      <c r="E213" s="349">
        <f>E207*24*LOOKUP(Semidetached!E$2,'HDD-by Country'!$A$4:$A$40,'HDD-by Country'!$C$4:$C$40)/1000/Semidetached!E$3</f>
        <v>13092.363166854097</v>
      </c>
      <c r="F213" s="349">
        <f>F207*24*LOOKUP(Semidetached!F$2,'HDD-by Country'!$A$4:$A$40,'HDD-by Country'!$C$4:$C$40)/1000/Semidetached!F$3</f>
        <v>4571.1256709247682</v>
      </c>
      <c r="G213" s="349">
        <f>G207*24*LOOKUP(Semidetached!G$2,'HDD-by Country'!$A$4:$A$40,'HDD-by Country'!$C$4:$C$40)/1000/Semidetached!G$3</f>
        <v>6881.4949488255088</v>
      </c>
      <c r="H213" s="349">
        <f>H207*24*LOOKUP(Semidetached!H$2,'HDD-by Country'!$A$4:$A$40,'HDD-by Country'!$C$4:$C$40)/1000/Semidetached!H$3</f>
        <v>5882.8424192212669</v>
      </c>
      <c r="I213" s="349">
        <f>I207*24*LOOKUP(Semidetached!I$2,'HDD-by Country'!$A$4:$A$40,'HDD-by Country'!$C$4:$C$40)/1000/Semidetached!I$3</f>
        <v>7221.8204928526729</v>
      </c>
      <c r="J213" s="349">
        <f>J207*24*LOOKUP(Semidetached!J$2,'HDD-by Country'!$A$4:$A$40,'HDD-by Country'!$C$4:$C$40)/1000/Semidetached!J$3</f>
        <v>4493.7031990829591</v>
      </c>
      <c r="K213" s="349">
        <f>K207*24*LOOKUP(Semidetached!K$2,'HDD-by Country'!$A$4:$A$40,'HDD-by Country'!$C$4:$C$40)/1000/Semidetached!K$3</f>
        <v>5823.3209208966437</v>
      </c>
      <c r="L213" s="349">
        <f>L207*24*LOOKUP(Semidetached!L$2,'HDD-by Country'!$A$4:$A$40,'HDD-by Country'!$C$4:$C$40)/1000/Semidetached!L$3</f>
        <v>3663.8645377763351</v>
      </c>
      <c r="M213" s="349">
        <f>M207*24*LOOKUP(Semidetached!M$2,'HDD-by Country'!$A$4:$A$40,'HDD-by Country'!$C$4:$C$40)/1000/Semidetached!M$3</f>
        <v>7113.1291531354191</v>
      </c>
      <c r="N213" s="349">
        <f>N207*24*LOOKUP(Semidetached!N$2,'HDD-by Country'!$A$4:$A$40,'HDD-by Country'!$C$4:$C$40)/1000/Semidetached!N$3</f>
        <v>7653.2818977605557</v>
      </c>
      <c r="O213" s="349">
        <f>O207*24*LOOKUP(Semidetached!O$2,'HDD-by Country'!$A$4:$A$40,'HDD-by Country'!$C$4:$C$40)/1000/Semidetached!O$3</f>
        <v>4118.7378695704356</v>
      </c>
      <c r="P213" s="349">
        <f>P207*24*LOOKUP(Semidetached!P$2,'HDD-by Country'!$A$4:$A$40,'HDD-by Country'!$C$4:$C$40)/1000/Semidetached!P$3</f>
        <v>12319.183962381785</v>
      </c>
      <c r="Q213" s="349">
        <f>Q207*24*LOOKUP(Semidetached!Q$2,'HDD-by Country'!$A$4:$A$40,'HDD-by Country'!$C$4:$C$40)/1000/Semidetached!Q$3</f>
        <v>5127.5255062292626</v>
      </c>
      <c r="R213" s="349">
        <f>R207*24*LOOKUP(Semidetached!R$2,'HDD-by Country'!$A$4:$A$40,'HDD-by Country'!$C$4:$C$40)/1000/Semidetached!R$3</f>
        <v>7305.9887779234696</v>
      </c>
      <c r="S213" s="349">
        <f>S207*24*LOOKUP(Semidetached!S$2,'HDD-by Country'!$A$4:$A$40,'HDD-by Country'!$C$4:$C$40)/1000/Semidetached!S$3</f>
        <v>7484.7155548120527</v>
      </c>
      <c r="T213" s="349">
        <f>T207*24*LOOKUP(Semidetached!T$2,'HDD-by Country'!$A$4:$A$40,'HDD-by Country'!$C$4:$C$40)/1000/Semidetached!T$3</f>
        <v>6555.2653119727302</v>
      </c>
      <c r="U213" s="349">
        <f>U207*24*LOOKUP(Semidetached!U$2,'HDD-by Country'!$A$4:$A$40,'HDD-by Country'!$C$4:$C$40)/1000/Semidetached!U$3</f>
        <v>9898.6979336650129</v>
      </c>
      <c r="V213" s="349">
        <f>V207*24*LOOKUP(Semidetached!V$2,'HDD-by Country'!$A$4:$A$40,'HDD-by Country'!$C$4:$C$40)/1000/Semidetached!V$3</f>
        <v>8123.3007259354963</v>
      </c>
      <c r="W213" s="349">
        <f>W207*24*LOOKUP(Semidetached!W$2,'HDD-by Country'!$A$4:$A$40,'HDD-by Country'!$C$4:$C$40)/1000/Semidetached!W$3</f>
        <v>5222.8606303131237</v>
      </c>
      <c r="X213" s="349">
        <f>X207*24*LOOKUP(Semidetached!X$2,'HDD-by Country'!$A$4:$A$40,'HDD-by Country'!$C$4:$C$40)/1000/Semidetached!X$3</f>
        <v>6924.8076429816465</v>
      </c>
      <c r="Y213" s="349">
        <f>Y207*24*LOOKUP(Semidetached!Y$2,'HDD-by Country'!$A$4:$A$40,'HDD-by Country'!$C$4:$C$40)/1000/Semidetached!Y$3</f>
        <v>3823.8938471003949</v>
      </c>
      <c r="Z213" s="349">
        <f>Z207*24*LOOKUP(Semidetached!Z$2,'HDD-by Country'!$A$4:$A$40,'HDD-by Country'!$C$4:$C$40)/1000/Semidetached!Z$3</f>
        <v>9400.9326008321859</v>
      </c>
      <c r="AA213" s="349">
        <f>AA207*24*LOOKUP(Semidetached!AA$2,'HDD-by Country'!$A$4:$A$40,'HDD-by Country'!$C$4:$C$40)/1000/Semidetached!AA$3</f>
        <v>7264.3975763485569</v>
      </c>
      <c r="AB213" s="349">
        <f>AB207*24*LOOKUP(Semidetached!AB$2,'HDD-by Country'!$A$4:$A$40,'HDD-by Country'!$C$4:$C$40)/1000/Semidetached!AB$3</f>
        <v>9256.2582524694899</v>
      </c>
      <c r="AC213" s="349">
        <f>AC207*24*LOOKUP(Semidetached!AC$2,'HDD-by Country'!$A$4:$A$40,'HDD-by Country'!$C$4:$C$40)/1000/Semidetached!AC$3</f>
        <v>9593.7144236607692</v>
      </c>
      <c r="AD213" s="349">
        <f>AD207*24*LOOKUP(Semidetached!AD$2,'HDD-by Country'!$A$4:$A$40,'HDD-by Country'!$C$4:$C$40)/1000/Semidetached!AD$3</f>
        <v>9218.5458636530311</v>
      </c>
      <c r="AE213" s="349">
        <f>AE207*24*LOOKUP(Semidetached!AE$2,'HDD-by Country'!$A$4:$A$40,'HDD-by Country'!$C$4:$C$40)/1000/Semidetached!AE$3</f>
        <v>6917.4576484521067</v>
      </c>
      <c r="AF213" s="349">
        <f>AF207*24*LOOKUP(Semidetached!AF$2,'HDD-by Country'!$A$4:$A$40,'HDD-by Country'!$C$4:$C$40)/1000/Semidetached!AF$3</f>
        <v>5536.6619938465128</v>
      </c>
      <c r="AG213" s="349">
        <f>AG207*24*LOOKUP(Semidetached!AG$2,'HDD-by Country'!$A$4:$A$40,'HDD-by Country'!$C$4:$C$40)/1000/Semidetached!AG$3</f>
        <v>11771.478864068513</v>
      </c>
      <c r="AH213" s="349">
        <f>AH207*24*LOOKUP(Semidetached!AH$2,'HDD-by Country'!$A$4:$A$40,'HDD-by Country'!$C$4:$C$40)/1000/Semidetached!AH$3</f>
        <v>5556.9819943426592</v>
      </c>
      <c r="AI213" s="349">
        <f>AI207*24*LOOKUP(Semidetached!AI$2,'HDD-by Country'!$A$4:$A$40,'HDD-by Country'!$C$4:$C$40)/1000/Semidetached!AI$3</f>
        <v>12234.335703319781</v>
      </c>
      <c r="AJ213" s="349">
        <f>AJ207*24*LOOKUP(Semidetached!AJ$2,'HDD-by Country'!$A$4:$A$40,'HDD-by Country'!$C$4:$C$40)/1000/Semidetached!AJ$3</f>
        <v>6682.9155367138883</v>
      </c>
      <c r="AK213" s="349">
        <f>AK207*24*LOOKUP(Semidetached!AK$2,'HDD-by Country'!$A$4:$A$40,'HDD-by Country'!$C$4:$C$40)/1000/Semidetached!AK$3</f>
        <v>7233.7308026899564</v>
      </c>
      <c r="AL213" s="349">
        <f>AL207*24*LOOKUP(Semidetached!AL$2,'HDD-by Country'!$A$4:$A$40,'HDD-by Country'!$C$4:$C$40)/1000/Semidetached!AL$3</f>
        <v>4775.3458329574069</v>
      </c>
      <c r="AM213" s="349">
        <f>AM207*24*LOOKUP(Semidetached!AM$2,'HDD-by Country'!$A$4:$A$40,'HDD-by Country'!$C$4:$C$40)/1000/Semidetached!AM$3</f>
        <v>6145.4462858145853</v>
      </c>
      <c r="AN213" s="354">
        <f>AN207*24*LOOKUP(Semidetached!AN$2,'HDD-by Country'!$A$4:$A$40,'HDD-by Country'!$C$4:$C$40)/1000/Semidetached!AN$3</f>
        <v>6145.4462858145853</v>
      </c>
    </row>
    <row r="214" spans="1:40">
      <c r="A214" s="130"/>
      <c r="B214" s="142" t="s">
        <v>7</v>
      </c>
      <c r="C214" s="129" t="s">
        <v>261</v>
      </c>
      <c r="D214" s="345">
        <f>D208*24*LOOKUP(Semidetached!D$2,'HDD-by Country'!$A$4:$A$40,'HDD-by Country'!$C$4:$C$40)/1000/Semidetached!D$3</f>
        <v>5807.3033437297518</v>
      </c>
      <c r="E214" s="349">
        <f>E208*24*LOOKUP(Semidetached!E$2,'HDD-by Country'!$A$4:$A$40,'HDD-by Country'!$C$4:$C$40)/1000/Semidetached!E$3</f>
        <v>7750.4300805831563</v>
      </c>
      <c r="F214" s="349">
        <f>F208*24*LOOKUP(Semidetached!F$2,'HDD-by Country'!$A$4:$A$40,'HDD-by Country'!$C$4:$C$40)/1000/Semidetached!F$3</f>
        <v>3698.3466506514546</v>
      </c>
      <c r="G214" s="349">
        <f>G208*24*LOOKUP(Semidetached!G$2,'HDD-by Country'!$A$4:$A$40,'HDD-by Country'!$C$4:$C$40)/1000/Semidetached!G$3</f>
        <v>5837.6695276766113</v>
      </c>
      <c r="H214" s="349">
        <f>H208*24*LOOKUP(Semidetached!H$2,'HDD-by Country'!$A$4:$A$40,'HDD-by Country'!$C$4:$C$40)/1000/Semidetached!H$3</f>
        <v>4368.7472760341961</v>
      </c>
      <c r="I214" s="349">
        <f>I208*24*LOOKUP(Semidetached!I$2,'HDD-by Country'!$A$4:$A$40,'HDD-by Country'!$C$4:$C$40)/1000/Semidetached!I$3</f>
        <v>5381.9756494753065</v>
      </c>
      <c r="J214" s="349">
        <f>J208*24*LOOKUP(Semidetached!J$2,'HDD-by Country'!$A$4:$A$40,'HDD-by Country'!$C$4:$C$40)/1000/Semidetached!J$3</f>
        <v>4684.5459644113462</v>
      </c>
      <c r="K214" s="349">
        <f>K208*24*LOOKUP(Semidetached!K$2,'HDD-by Country'!$A$4:$A$40,'HDD-by Country'!$C$4:$C$40)/1000/Semidetached!K$3</f>
        <v>4049.3211882377313</v>
      </c>
      <c r="L214" s="349">
        <f>L208*24*LOOKUP(Semidetached!L$2,'HDD-by Country'!$A$4:$A$40,'HDD-by Country'!$C$4:$C$40)/1000/Semidetached!L$3</f>
        <v>3663.8645377763351</v>
      </c>
      <c r="M214" s="349">
        <f>M208*24*LOOKUP(Semidetached!M$2,'HDD-by Country'!$A$4:$A$40,'HDD-by Country'!$C$4:$C$40)/1000/Semidetached!M$3</f>
        <v>5415.9363701165821</v>
      </c>
      <c r="N214" s="349">
        <f>N208*24*LOOKUP(Semidetached!N$2,'HDD-by Country'!$A$4:$A$40,'HDD-by Country'!$C$4:$C$40)/1000/Semidetached!N$3</f>
        <v>6697.7481358858668</v>
      </c>
      <c r="O214" s="349">
        <f>O208*24*LOOKUP(Semidetached!O$2,'HDD-by Country'!$A$4:$A$40,'HDD-by Country'!$C$4:$C$40)/1000/Semidetached!O$3</f>
        <v>3981.0116985928089</v>
      </c>
      <c r="P214" s="349">
        <f>P208*24*LOOKUP(Semidetached!P$2,'HDD-by Country'!$A$4:$A$40,'HDD-by Country'!$C$4:$C$40)/1000/Semidetached!P$3</f>
        <v>4238.0930762684702</v>
      </c>
      <c r="Q214" s="349">
        <f>Q208*24*LOOKUP(Semidetached!Q$2,'HDD-by Country'!$A$4:$A$40,'HDD-by Country'!$C$4:$C$40)/1000/Semidetached!Q$3</f>
        <v>3639.1606480564037</v>
      </c>
      <c r="R214" s="349">
        <f>R208*24*LOOKUP(Semidetached!R$2,'HDD-by Country'!$A$4:$A$40,'HDD-by Country'!$C$4:$C$40)/1000/Semidetached!R$3</f>
        <v>4396.434339899487</v>
      </c>
      <c r="S214" s="349">
        <f>S208*24*LOOKUP(Semidetached!S$2,'HDD-by Country'!$A$4:$A$40,'HDD-by Country'!$C$4:$C$40)/1000/Semidetached!S$3</f>
        <v>5304.7934330293019</v>
      </c>
      <c r="T214" s="349">
        <f>T208*24*LOOKUP(Semidetached!T$2,'HDD-by Country'!$A$4:$A$40,'HDD-by Country'!$C$4:$C$40)/1000/Semidetached!T$3</f>
        <v>5736.530520767541</v>
      </c>
      <c r="U214" s="349">
        <f>U208*24*LOOKUP(Semidetached!U$2,'HDD-by Country'!$A$4:$A$40,'HDD-by Country'!$C$4:$C$40)/1000/Semidetached!U$3</f>
        <v>9472.9619336650121</v>
      </c>
      <c r="V214" s="349">
        <f>V208*24*LOOKUP(Semidetached!V$2,'HDD-by Country'!$A$4:$A$40,'HDD-by Country'!$C$4:$C$40)/1000/Semidetached!V$3</f>
        <v>5018.2285588531777</v>
      </c>
      <c r="W214" s="349">
        <f>W208*24*LOOKUP(Semidetached!W$2,'HDD-by Country'!$A$4:$A$40,'HDD-by Country'!$C$4:$C$40)/1000/Semidetached!W$3</f>
        <v>4301.420592274224</v>
      </c>
      <c r="X214" s="349">
        <f>X208*24*LOOKUP(Semidetached!X$2,'HDD-by Country'!$A$4:$A$40,'HDD-by Country'!$C$4:$C$40)/1000/Semidetached!X$3</f>
        <v>4714.2953962362017</v>
      </c>
      <c r="Y214" s="349">
        <f>Y208*24*LOOKUP(Semidetached!Y$2,'HDD-by Country'!$A$4:$A$40,'HDD-by Country'!$C$4:$C$40)/1000/Semidetached!Y$3</f>
        <v>3793.8607488582079</v>
      </c>
      <c r="Z214" s="349">
        <f>Z208*24*LOOKUP(Semidetached!Z$2,'HDD-by Country'!$A$4:$A$40,'HDD-by Country'!$C$4:$C$40)/1000/Semidetached!Z$3</f>
        <v>5996.3112673919577</v>
      </c>
      <c r="AA214" s="349">
        <f>AA208*24*LOOKUP(Semidetached!AA$2,'HDD-by Country'!$A$4:$A$40,'HDD-by Country'!$C$4:$C$40)/1000/Semidetached!AA$3</f>
        <v>6448.0255435165573</v>
      </c>
      <c r="AB214" s="349">
        <f>AB208*24*LOOKUP(Semidetached!AB$2,'HDD-by Country'!$A$4:$A$40,'HDD-by Country'!$C$4:$C$40)/1000/Semidetached!AB$3</f>
        <v>7899.6433617281</v>
      </c>
      <c r="AC214" s="349">
        <f>AC208*24*LOOKUP(Semidetached!AC$2,'HDD-by Country'!$A$4:$A$40,'HDD-by Country'!$C$4:$C$40)/1000/Semidetached!AC$3</f>
        <v>6068.7660957660373</v>
      </c>
      <c r="AD214" s="349">
        <f>AD208*24*LOOKUP(Semidetached!AD$2,'HDD-by Country'!$A$4:$A$40,'HDD-by Country'!$C$4:$C$40)/1000/Semidetached!AD$3</f>
        <v>7891.8732410909106</v>
      </c>
      <c r="AE214" s="349">
        <f>AE208*24*LOOKUP(Semidetached!AE$2,'HDD-by Country'!$A$4:$A$40,'HDD-by Country'!$C$4:$C$40)/1000/Semidetached!AE$3</f>
        <v>6130.2934000041068</v>
      </c>
      <c r="AF214" s="349">
        <f>AF208*24*LOOKUP(Semidetached!AF$2,'HDD-by Country'!$A$4:$A$40,'HDD-by Country'!$C$4:$C$40)/1000/Semidetached!AF$3</f>
        <v>3116.3137154124884</v>
      </c>
      <c r="AG214" s="349">
        <f>AG208*24*LOOKUP(Semidetached!AG$2,'HDD-by Country'!$A$4:$A$40,'HDD-by Country'!$C$4:$C$40)/1000/Semidetached!AG$3</f>
        <v>7461.5771736403949</v>
      </c>
      <c r="AH214" s="349">
        <f>AH208*24*LOOKUP(Semidetached!AH$2,'HDD-by Country'!$A$4:$A$40,'HDD-by Country'!$C$4:$C$40)/1000/Semidetached!AH$3</f>
        <v>4689.8754453923002</v>
      </c>
      <c r="AI214" s="349">
        <f>AI208*24*LOOKUP(Semidetached!AI$2,'HDD-by Country'!$A$4:$A$40,'HDD-by Country'!$C$4:$C$40)/1000/Semidetached!AI$3</f>
        <v>4177.9279471154141</v>
      </c>
      <c r="AJ214" s="349">
        <f>AJ208*24*LOOKUP(Semidetached!AJ$2,'HDD-by Country'!$A$4:$A$40,'HDD-by Country'!$C$4:$C$40)/1000/Semidetached!AJ$3</f>
        <v>5954.9155304917685</v>
      </c>
      <c r="AK214" s="349">
        <f>AK208*24*LOOKUP(Semidetached!AK$2,'HDD-by Country'!$A$4:$A$40,'HDD-by Country'!$C$4:$C$40)/1000/Semidetached!AK$3</f>
        <v>6467.3891078972256</v>
      </c>
      <c r="AL214" s="349">
        <f>AL208*24*LOOKUP(Semidetached!AL$2,'HDD-by Country'!$A$4:$A$40,'HDD-by Country'!$C$4:$C$40)/1000/Semidetached!AL$3</f>
        <v>3862.838009040961</v>
      </c>
      <c r="AM214" s="349">
        <f>AM208*24*LOOKUP(Semidetached!AM$2,'HDD-by Country'!$A$4:$A$40,'HDD-by Country'!$C$4:$C$40)/1000/Semidetached!AM$3</f>
        <v>5475.9952191756956</v>
      </c>
      <c r="AN214" s="354">
        <f>AN208*24*LOOKUP(Semidetached!AN$2,'HDD-by Country'!$A$4:$A$40,'HDD-by Country'!$C$4:$C$40)/1000/Semidetached!AN$3</f>
        <v>5475.9952191756956</v>
      </c>
    </row>
    <row r="215" spans="1:40">
      <c r="A215" s="151" t="s">
        <v>260</v>
      </c>
      <c r="B215" s="141" t="s">
        <v>2</v>
      </c>
      <c r="C215" s="360" t="s">
        <v>261</v>
      </c>
      <c r="D215" s="351">
        <f>D209/(1.355*(D203/Semidetached!D$17)^0.16)</f>
        <v>11265.263415063657</v>
      </c>
      <c r="E215" s="352">
        <f>E209/(1.355*(E203/Semidetached!E$17)^0.16)</f>
        <v>11604.749391001837</v>
      </c>
      <c r="F215" s="352">
        <f>F209/(1.355*(F203/Semidetached!F$17)^0.16)</f>
        <v>5477.1708612712937</v>
      </c>
      <c r="G215" s="352">
        <f>G209/(1.355*(G203/Semidetached!G$17)^0.16)</f>
        <v>11388.633080514332</v>
      </c>
      <c r="H215" s="352">
        <f>H209/(1.355*(H203/Semidetached!H$17)^0.16)</f>
        <v>4248.9702618153424</v>
      </c>
      <c r="I215" s="352">
        <f>I209/(1.355*(I203/Semidetached!I$17)^0.16)</f>
        <v>10547.844607144676</v>
      </c>
      <c r="J215" s="352">
        <f>J209/(1.355*(J203/Semidetached!J$17)^0.16)</f>
        <v>12351.555646375615</v>
      </c>
      <c r="K215" s="352">
        <f>K209/(1.355*(K203/Semidetached!K$17)^0.16)</f>
        <v>8401.1341055530502</v>
      </c>
      <c r="L215" s="352">
        <f>L209/(1.355*(L203/Semidetached!L$17)^0.16)</f>
        <v>6148.1504092255254</v>
      </c>
      <c r="M215" s="352">
        <f>M209/(1.355*(M203/Semidetached!M$17)^0.16)</f>
        <v>9738.5384716248755</v>
      </c>
      <c r="N215" s="352">
        <f>N209/(1.355*(N203/Semidetached!N$17)^0.16)</f>
        <v>10239.421030750129</v>
      </c>
      <c r="O215" s="352">
        <f>O209/(1.355*(O203/Semidetached!O$17)^0.16)</f>
        <v>12775.526541266758</v>
      </c>
      <c r="P215" s="352">
        <f>P209/(1.355*(P203/Semidetached!P$17)^0.16)</f>
        <v>8669.0988937071288</v>
      </c>
      <c r="Q215" s="352">
        <f>Q209/(1.355*(Q203/Semidetached!Q$17)^0.16)</f>
        <v>5821.0849880374544</v>
      </c>
      <c r="R215" s="352">
        <f>R209/(1.355*(R203/Semidetached!R$17)^0.16)</f>
        <v>7578.0577798720815</v>
      </c>
      <c r="S215" s="352">
        <f>S209/(1.355*(S203/Semidetached!S$17)^0.16)</f>
        <v>12603.046645169063</v>
      </c>
      <c r="T215" s="352">
        <f>T209/(1.355*(T203/Semidetached!T$17)^0.16)</f>
        <v>8779.9919395737961</v>
      </c>
      <c r="U215" s="352">
        <f>U209/(1.355*(U203/Semidetached!U$17)^0.16)</f>
        <v>9632.4009520330219</v>
      </c>
      <c r="V215" s="352">
        <f>V209/(1.355*(V203/Semidetached!V$17)^0.16)</f>
        <v>9541.7562477930387</v>
      </c>
      <c r="W215" s="352">
        <f>W209/(1.355*(W203/Semidetached!W$17)^0.16)</f>
        <v>11310.772620955066</v>
      </c>
      <c r="X215" s="352">
        <f>X209/(1.355*(X203/Semidetached!X$17)^0.16)</f>
        <v>10995.868158259022</v>
      </c>
      <c r="Y215" s="352">
        <f>Y209/(1.355*(Y203/Semidetached!Y$17)^0.16)</f>
        <v>3172.3449600710128</v>
      </c>
      <c r="Z215" s="352">
        <f>Z209/(1.355*(Z203/Semidetached!Z$17)^0.16)</f>
        <v>13956.673610621738</v>
      </c>
      <c r="AA215" s="352">
        <f>AA209/(1.355*(AA203/Semidetached!AA$17)^0.16)</f>
        <v>9740.8821980098091</v>
      </c>
      <c r="AB215" s="352">
        <f>AB209/(1.355*(AB203/Semidetached!AB$17)^0.16)</f>
        <v>12341.411359941652</v>
      </c>
      <c r="AC215" s="352">
        <f>AC209/(1.355*(AC203/Semidetached!AC$17)^0.16)</f>
        <v>7242.4308457736379</v>
      </c>
      <c r="AD215" s="352">
        <f>AD209/(1.355*(AD203/Semidetached!AD$17)^0.16)</f>
        <v>8159.3865572451978</v>
      </c>
      <c r="AE215" s="352">
        <f>AE209/(1.355*(AE203/Semidetached!AE$17)^0.16)</f>
        <v>9242.1149405582673</v>
      </c>
      <c r="AF215" s="352">
        <f>AF209/(1.355*(AF203/Semidetached!AF$17)^0.16)</f>
        <v>8175.6219375036053</v>
      </c>
      <c r="AG215" s="352">
        <f>AG209/(1.355*(AG203/Semidetached!AG$17)^0.16)</f>
        <v>13672.304102413365</v>
      </c>
      <c r="AH215" s="352">
        <f>AH209/(1.355*(AH203/Semidetached!AH$17)^0.16)</f>
        <v>10415.021947817944</v>
      </c>
      <c r="AI215" s="352">
        <f>AI209/(1.355*(AI203/Semidetached!AI$17)^0.16)</f>
        <v>8570.4272478306848</v>
      </c>
      <c r="AJ215" s="352">
        <f>AJ209/(1.355*(AJ203/Semidetached!AJ$17)^0.16)</f>
        <v>6053.4569528172979</v>
      </c>
      <c r="AK215" s="352">
        <f>AK209/(1.355*(AK203/Semidetached!AK$17)^0.16)</f>
        <v>6707.7451238349768</v>
      </c>
      <c r="AL215" s="352">
        <f>AL209/(1.355*(AL203/Semidetached!AL$17)^0.16)</f>
        <v>5796.4695092970278</v>
      </c>
      <c r="AM215" s="352">
        <f>AM209/(1.355*(AM203/Semidetached!AM$17)^0.16)</f>
        <v>5566.611510000027</v>
      </c>
      <c r="AN215" s="353">
        <f>AN209/(1.355*(AN203/Semidetached!AN$17)^0.16)</f>
        <v>5566.611510000027</v>
      </c>
    </row>
    <row r="216" spans="1:40">
      <c r="A216" s="129"/>
      <c r="B216" s="142" t="s">
        <v>3</v>
      </c>
      <c r="C216" s="129" t="s">
        <v>261</v>
      </c>
      <c r="D216" s="345">
        <f>D210/(1.355*(D204/Semidetached!D$17)^0.16)</f>
        <v>11454.767568550144</v>
      </c>
      <c r="E216" s="349">
        <f>E210/(1.355*(E204/Semidetached!E$17)^0.16)</f>
        <v>11604.749391001837</v>
      </c>
      <c r="F216" s="349">
        <f>F210/(1.355*(F204/Semidetached!F$17)^0.16)</f>
        <v>5477.1708612712937</v>
      </c>
      <c r="G216" s="349">
        <f>G210/(1.355*(G204/Semidetached!G$17)^0.16)</f>
        <v>11583.424352313696</v>
      </c>
      <c r="H216" s="349">
        <f>H210/(1.355*(H204/Semidetached!H$17)^0.16)</f>
        <v>4240.1223436291839</v>
      </c>
      <c r="I216" s="349">
        <f>I210/(1.355*(I204/Semidetached!I$17)^0.16)</f>
        <v>8268.4606794005103</v>
      </c>
      <c r="J216" s="349">
        <f>J210/(1.355*(J204/Semidetached!J$17)^0.16)</f>
        <v>12075.489073493552</v>
      </c>
      <c r="K216" s="349">
        <f>K210/(1.355*(K204/Semidetached!K$17)^0.16)</f>
        <v>7917.0045539848588</v>
      </c>
      <c r="L216" s="349">
        <f>L210/(1.355*(L204/Semidetached!L$17)^0.16)</f>
        <v>6148.1504092255254</v>
      </c>
      <c r="M216" s="349">
        <f>M210/(1.355*(M204/Semidetached!M$17)^0.16)</f>
        <v>9166.6955890524969</v>
      </c>
      <c r="N216" s="349">
        <f>N210/(1.355*(N204/Semidetached!N$17)^0.16)</f>
        <v>9177.6497845733757</v>
      </c>
      <c r="O216" s="349">
        <f>O210/(1.355*(O204/Semidetached!O$17)^0.16)</f>
        <v>12775.526541266758</v>
      </c>
      <c r="P216" s="349">
        <f>P210/(1.355*(P204/Semidetached!P$17)^0.16)</f>
        <v>8669.0988937071288</v>
      </c>
      <c r="Q216" s="349">
        <f>Q210/(1.355*(Q204/Semidetached!Q$17)^0.16)</f>
        <v>5844.8460626181104</v>
      </c>
      <c r="R216" s="349">
        <f>R210/(1.355*(R204/Semidetached!R$17)^0.16)</f>
        <v>7578.0577798720815</v>
      </c>
      <c r="S216" s="349">
        <f>S210/(1.355*(S204/Semidetached!S$17)^0.16)</f>
        <v>12930.16885156957</v>
      </c>
      <c r="T216" s="349">
        <f>T210/(1.355*(T204/Semidetached!T$17)^0.16)</f>
        <v>7866.3670190173389</v>
      </c>
      <c r="U216" s="349">
        <f>U210/(1.355*(U204/Semidetached!U$17)^0.16)</f>
        <v>9461.1515693780948</v>
      </c>
      <c r="V216" s="349">
        <f>V210/(1.355*(V204/Semidetached!V$17)^0.16)</f>
        <v>9541.7562477930387</v>
      </c>
      <c r="W216" s="349">
        <f>W210/(1.355*(W204/Semidetached!W$17)^0.16)</f>
        <v>9277.5390357242559</v>
      </c>
      <c r="X216" s="349">
        <f>X210/(1.355*(X204/Semidetached!X$17)^0.16)</f>
        <v>10878.108606793839</v>
      </c>
      <c r="Y216" s="349">
        <f>Y210/(1.355*(Y204/Semidetached!Y$17)^0.16)</f>
        <v>3163.7971370948408</v>
      </c>
      <c r="Z216" s="349">
        <f>Z210/(1.355*(Z204/Semidetached!Z$17)^0.16)</f>
        <v>10825.604856800081</v>
      </c>
      <c r="AA216" s="349">
        <f>AA210/(1.355*(AA204/Semidetached!AA$17)^0.16)</f>
        <v>9706.9874164669345</v>
      </c>
      <c r="AB216" s="349">
        <f>AB210/(1.355*(AB204/Semidetached!AB$17)^0.16)</f>
        <v>9200.1486856931733</v>
      </c>
      <c r="AC216" s="349">
        <f>AC210/(1.355*(AC204/Semidetached!AC$17)^0.16)</f>
        <v>7230.2519647376757</v>
      </c>
      <c r="AD216" s="349">
        <f>AD210/(1.355*(AD204/Semidetached!AD$17)^0.16)</f>
        <v>7479.046795339088</v>
      </c>
      <c r="AE216" s="349">
        <f>AE210/(1.355*(AE204/Semidetached!AE$17)^0.16)</f>
        <v>9209.4571098579854</v>
      </c>
      <c r="AF216" s="349">
        <f>AF210/(1.355*(AF204/Semidetached!AF$17)^0.16)</f>
        <v>8175.6219375036053</v>
      </c>
      <c r="AG216" s="349">
        <f>AG210/(1.355*(AG204/Semidetached!AG$17)^0.16)</f>
        <v>11860.086018402313</v>
      </c>
      <c r="AH216" s="349">
        <f>AH210/(1.355*(AH204/Semidetached!AH$17)^0.16)</f>
        <v>10661.012884356856</v>
      </c>
      <c r="AI216" s="349">
        <f>AI210/(1.355*(AI204/Semidetached!AI$17)^0.16)</f>
        <v>8570.4272478306848</v>
      </c>
      <c r="AJ216" s="349">
        <f>AJ210/(1.355*(AJ204/Semidetached!AJ$17)^0.16)</f>
        <v>6053.4569528172979</v>
      </c>
      <c r="AK216" s="349">
        <f>AK210/(1.355*(AK204/Semidetached!AK$17)^0.16)</f>
        <v>6707.7451238349768</v>
      </c>
      <c r="AL216" s="349">
        <f>AL210/(1.355*(AL204/Semidetached!AL$17)^0.16)</f>
        <v>5796.4695092970278</v>
      </c>
      <c r="AM216" s="349">
        <f>AM210/(1.355*(AM204/Semidetached!AM$17)^0.16)</f>
        <v>5566.611510000027</v>
      </c>
      <c r="AN216" s="354">
        <f>AN210/(1.355*(AN204/Semidetached!AN$17)^0.16)</f>
        <v>5566.611510000027</v>
      </c>
    </row>
    <row r="217" spans="1:40">
      <c r="A217" s="129"/>
      <c r="B217" s="142" t="s">
        <v>4</v>
      </c>
      <c r="C217" s="129" t="s">
        <v>261</v>
      </c>
      <c r="D217" s="345">
        <f>D211/(1.355*(D205/Semidetached!D$17)^0.16)</f>
        <v>9070.4737723975504</v>
      </c>
      <c r="E217" s="349">
        <f>E211/(1.355*(E205/Semidetached!E$17)^0.16)</f>
        <v>11604.749391001837</v>
      </c>
      <c r="F217" s="349">
        <f>F211/(1.355*(F205/Semidetached!F$17)^0.16)</f>
        <v>5230.7973439730749</v>
      </c>
      <c r="G217" s="349">
        <f>G211/(1.355*(G205/Semidetached!G$17)^0.16)</f>
        <v>9156.7090102590046</v>
      </c>
      <c r="H217" s="349">
        <f>H211/(1.355*(H205/Semidetached!H$17)^0.16)</f>
        <v>4516.2538362872956</v>
      </c>
      <c r="I217" s="349">
        <f>I211/(1.355*(I205/Semidetached!I$17)^0.16)</f>
        <v>8268.4606794005103</v>
      </c>
      <c r="J217" s="349">
        <f>J211/(1.355*(J205/Semidetached!J$17)^0.16)</f>
        <v>7950.0434521509242</v>
      </c>
      <c r="K217" s="349">
        <f>K211/(1.355*(K205/Semidetached!K$17)^0.16)</f>
        <v>5829.7754224731289</v>
      </c>
      <c r="L217" s="349">
        <f>L211/(1.355*(L205/Semidetached!L$17)^0.16)</f>
        <v>5287.3031865221938</v>
      </c>
      <c r="M217" s="349">
        <f>M211/(1.355*(M205/Semidetached!M$17)^0.16)</f>
        <v>9166.6955890524969</v>
      </c>
      <c r="N217" s="349">
        <f>N211/(1.355*(N205/Semidetached!N$17)^0.16)</f>
        <v>7979.4624546694622</v>
      </c>
      <c r="O217" s="349">
        <f>O211/(1.355*(O205/Semidetached!O$17)^0.16)</f>
        <v>6335.6815130746099</v>
      </c>
      <c r="P217" s="349">
        <f>P211/(1.355*(P205/Semidetached!P$17)^0.16)</f>
        <v>8669.0988937071288</v>
      </c>
      <c r="Q217" s="349">
        <f>Q211/(1.355*(Q205/Semidetached!Q$17)^0.16)</f>
        <v>5353.0917364253501</v>
      </c>
      <c r="R217" s="349">
        <f>R211/(1.355*(R205/Semidetached!R$17)^0.16)</f>
        <v>6944.9966473200429</v>
      </c>
      <c r="S217" s="349">
        <f>S211/(1.355*(S205/Semidetached!S$17)^0.16)</f>
        <v>9638.6341276970743</v>
      </c>
      <c r="T217" s="349">
        <f>T211/(1.355*(T205/Semidetached!T$17)^0.16)</f>
        <v>6837.5374815033811</v>
      </c>
      <c r="U217" s="349">
        <f>U211/(1.355*(U205/Semidetached!U$17)^0.16)</f>
        <v>8719.3141867606355</v>
      </c>
      <c r="V217" s="349">
        <f>V211/(1.355*(V205/Semidetached!V$17)^0.16)</f>
        <v>6741.9862021790859</v>
      </c>
      <c r="W217" s="349">
        <f>W211/(1.355*(W205/Semidetached!W$17)^0.16)</f>
        <v>6156.9907397542265</v>
      </c>
      <c r="X217" s="349">
        <f>X211/(1.355*(X205/Semidetached!X$17)^0.16)</f>
        <v>10241.504139217957</v>
      </c>
      <c r="Y217" s="349">
        <f>Y211/(1.355*(Y205/Semidetached!Y$17)^0.16)</f>
        <v>3147.6124404409916</v>
      </c>
      <c r="Z217" s="349">
        <f>Z211/(1.355*(Z205/Semidetached!Z$17)^0.16)</f>
        <v>10153.628429955943</v>
      </c>
      <c r="AA217" s="349">
        <f>AA211/(1.355*(AA205/Semidetached!AA$17)^0.16)</f>
        <v>7259.0512421829062</v>
      </c>
      <c r="AB217" s="349">
        <f>AB211/(1.355*(AB205/Semidetached!AB$17)^0.16)</f>
        <v>7359.959201738684</v>
      </c>
      <c r="AC217" s="349">
        <f>AC211/(1.355*(AC205/Semidetached!AC$17)^0.16)</f>
        <v>7033.3892784906684</v>
      </c>
      <c r="AD217" s="349">
        <f>AD211/(1.355*(AD205/Semidetached!AD$17)^0.16)</f>
        <v>7479.046795339088</v>
      </c>
      <c r="AE217" s="349">
        <f>AE211/(1.355*(AE205/Semidetached!AE$17)^0.16)</f>
        <v>6902.4705776673145</v>
      </c>
      <c r="AF217" s="349">
        <f>AF211/(1.355*(AF205/Semidetached!AF$17)^0.16)</f>
        <v>7008.7905066593867</v>
      </c>
      <c r="AG217" s="349">
        <f>AG211/(1.355*(AG205/Semidetached!AG$17)^0.16)</f>
        <v>11860.086018402313</v>
      </c>
      <c r="AH217" s="349">
        <f>AH211/(1.355*(AH205/Semidetached!AH$17)^0.16)</f>
        <v>7929.1273550883725</v>
      </c>
      <c r="AI217" s="349">
        <f>AI211/(1.355*(AI205/Semidetached!AI$17)^0.16)</f>
        <v>8570.4272478306848</v>
      </c>
      <c r="AJ217" s="349">
        <f>AJ211/(1.355*(AJ205/Semidetached!AJ$17)^0.16)</f>
        <v>6053.4569528172979</v>
      </c>
      <c r="AK217" s="349">
        <f>AK211/(1.355*(AK205/Semidetached!AK$17)^0.16)</f>
        <v>6707.7451238349768</v>
      </c>
      <c r="AL217" s="349">
        <f>AL211/(1.355*(AL205/Semidetached!AL$17)^0.16)</f>
        <v>5530.381302758371</v>
      </c>
      <c r="AM217" s="349">
        <f>AM211/(1.355*(AM205/Semidetached!AM$17)^0.16)</f>
        <v>5566.611510000027</v>
      </c>
      <c r="AN217" s="354">
        <f>AN211/(1.355*(AN205/Semidetached!AN$17)^0.16)</f>
        <v>5566.611510000027</v>
      </c>
    </row>
    <row r="218" spans="1:40">
      <c r="A218" s="129"/>
      <c r="B218" s="142" t="s">
        <v>5</v>
      </c>
      <c r="C218" s="129" t="s">
        <v>261</v>
      </c>
      <c r="D218" s="345">
        <f>D212/(1.355*(D206/Semidetached!D$17)^0.16)</f>
        <v>6458.534782441664</v>
      </c>
      <c r="E218" s="349">
        <f>E212/(1.355*(E206/Semidetached!E$17)^0.16)</f>
        <v>9793.1181465090995</v>
      </c>
      <c r="F218" s="349">
        <f>F212/(1.355*(F206/Semidetached!F$17)^0.16)</f>
        <v>4717.1614117606141</v>
      </c>
      <c r="G218" s="349">
        <f>G212/(1.355*(G206/Semidetached!G$17)^0.16)</f>
        <v>6506.6034654455525</v>
      </c>
      <c r="H218" s="349">
        <f>H212/(1.355*(H206/Semidetached!H$17)^0.16)</f>
        <v>4331.4264174235213</v>
      </c>
      <c r="I218" s="349">
        <f>I212/(1.355*(I206/Semidetached!I$17)^0.16)</f>
        <v>7400.5247223185706</v>
      </c>
      <c r="J218" s="349">
        <f>J212/(1.355*(J206/Semidetached!J$17)^0.16)</f>
        <v>5819.3224751439311</v>
      </c>
      <c r="K218" s="349">
        <f>K212/(1.355*(K206/Semidetached!K$17)^0.16)</f>
        <v>5183.9036067252791</v>
      </c>
      <c r="L218" s="349">
        <f>L212/(1.355*(L206/Semidetached!L$17)^0.16)</f>
        <v>4028.7514131862172</v>
      </c>
      <c r="M218" s="349">
        <f>M212/(1.355*(M206/Semidetached!M$17)^0.16)</f>
        <v>5455.7680175919832</v>
      </c>
      <c r="N218" s="349">
        <f>N212/(1.355*(N206/Semidetached!N$17)^0.16)</f>
        <v>6899.1278085223148</v>
      </c>
      <c r="O218" s="349">
        <f>O212/(1.355*(O206/Semidetached!O$17)^0.16)</f>
        <v>5461.6973213393485</v>
      </c>
      <c r="P218" s="349">
        <f>P212/(1.355*(P206/Semidetached!P$17)^0.16)</f>
        <v>8279.6856713016659</v>
      </c>
      <c r="Q218" s="349">
        <f>Q212/(1.355*(Q206/Semidetached!Q$17)^0.16)</f>
        <v>5353.0917364253501</v>
      </c>
      <c r="R218" s="349">
        <f>R212/(1.355*(R206/Semidetached!R$17)^0.16)</f>
        <v>5806.3512554332692</v>
      </c>
      <c r="S218" s="349">
        <f>S212/(1.355*(S206/Semidetached!S$17)^0.16)</f>
        <v>6287.9032995269426</v>
      </c>
      <c r="T218" s="349">
        <f>T212/(1.355*(T206/Semidetached!T$17)^0.16)</f>
        <v>5911.6723995917828</v>
      </c>
      <c r="U218" s="349">
        <f>U212/(1.355*(U206/Semidetached!U$17)^0.16)</f>
        <v>7615.5443802220443</v>
      </c>
      <c r="V218" s="349">
        <f>V212/(1.355*(V206/Semidetached!V$17)^0.16)</f>
        <v>6741.9862021790859</v>
      </c>
      <c r="W218" s="349">
        <f>W212/(1.355*(W206/Semidetached!W$17)^0.16)</f>
        <v>5100.6063529031999</v>
      </c>
      <c r="X218" s="349">
        <f>X212/(1.355*(X206/Semidetached!X$17)^0.16)</f>
        <v>6086.2851597420486</v>
      </c>
      <c r="Y218" s="349">
        <f>Y212/(1.355*(Y206/Semidetached!Y$17)^0.16)</f>
        <v>2736.6623376795455</v>
      </c>
      <c r="Z218" s="349">
        <f>Z212/(1.355*(Z206/Semidetached!Z$17)^0.16)</f>
        <v>8256.6027357976618</v>
      </c>
      <c r="AA218" s="349">
        <f>AA212/(1.355*(AA206/Semidetached!AA$17)^0.16)</f>
        <v>7175.2935947005917</v>
      </c>
      <c r="AB218" s="349">
        <f>AB212/(1.355*(AB206/Semidetached!AB$17)^0.16)</f>
        <v>7359.959201738684</v>
      </c>
      <c r="AC218" s="349">
        <f>AC212/(1.355*(AC206/Semidetached!AC$17)^0.16)</f>
        <v>6942.9373646008862</v>
      </c>
      <c r="AD218" s="349">
        <f>AD212/(1.355*(AD206/Semidetached!AD$17)^0.16)</f>
        <v>6908.6093722553642</v>
      </c>
      <c r="AE218" s="349">
        <f>AE212/(1.355*(AE206/Semidetached!AE$17)^0.16)</f>
        <v>6821.8025102552501</v>
      </c>
      <c r="AF218" s="349">
        <f>AF212/(1.355*(AF206/Semidetached!AF$17)^0.16)</f>
        <v>6233.0816566479089</v>
      </c>
      <c r="AG218" s="349">
        <f>AG212/(1.355*(AG206/Semidetached!AG$17)^0.16)</f>
        <v>10313.876795693204</v>
      </c>
      <c r="AH218" s="349">
        <f>AH212/(1.355*(AH206/Semidetached!AH$17)^0.16)</f>
        <v>5904.3157777613478</v>
      </c>
      <c r="AI218" s="349">
        <f>AI212/(1.355*(AI206/Semidetached!AI$17)^0.16)</f>
        <v>8182.9082227641575</v>
      </c>
      <c r="AJ218" s="349">
        <f>AJ212/(1.355*(AJ206/Semidetached!AJ$17)^0.16)</f>
        <v>5382.6651953871342</v>
      </c>
      <c r="AK218" s="349">
        <f>AK212/(1.355*(AK206/Semidetached!AK$17)^0.16)</f>
        <v>5900.6971311987172</v>
      </c>
      <c r="AL218" s="349">
        <f>AL212/(1.355*(AL206/Semidetached!AL$17)^0.16)</f>
        <v>4975.9470100063327</v>
      </c>
      <c r="AM218" s="349">
        <f>AM212/(1.355*(AM206/Semidetached!AM$17)^0.16)</f>
        <v>4949.7677549641439</v>
      </c>
      <c r="AN218" s="354">
        <f>AN212/(1.355*(AN206/Semidetached!AN$17)^0.16)</f>
        <v>4949.7677549641439</v>
      </c>
    </row>
    <row r="219" spans="1:40">
      <c r="A219" s="129"/>
      <c r="B219" s="142" t="s">
        <v>6</v>
      </c>
      <c r="C219" s="129" t="s">
        <v>261</v>
      </c>
      <c r="D219" s="345">
        <f>D213/(1.355*(D207/Semidetached!D$17)^0.16)</f>
        <v>5862.0576050919772</v>
      </c>
      <c r="E219" s="349">
        <f>E213/(1.355*(E207/Semidetached!E$17)^0.16)</f>
        <v>9793.1181465090995</v>
      </c>
      <c r="F219" s="349">
        <f>F213/(1.355*(F207/Semidetached!F$17)^0.16)</f>
        <v>3691.4863397397971</v>
      </c>
      <c r="G219" s="349">
        <f>G213/(1.355*(G207/Semidetached!G$17)^0.16)</f>
        <v>5905.5984438220585</v>
      </c>
      <c r="H219" s="349">
        <f>H213/(1.355*(H207/Semidetached!H$17)^0.16)</f>
        <v>3936.3586148882691</v>
      </c>
      <c r="I219" s="349">
        <f>I213/(1.355*(I207/Semidetached!I$17)^0.16)</f>
        <v>6006.6735746889308</v>
      </c>
      <c r="J219" s="349">
        <f>J213/(1.355*(J207/Semidetached!J$17)^0.16)</f>
        <v>4022.1884081633916</v>
      </c>
      <c r="K219" s="349">
        <f>K213/(1.355*(K207/Semidetached!K$17)^0.16)</f>
        <v>5183.9036067252791</v>
      </c>
      <c r="L219" s="349">
        <f>L213/(1.355*(L207/Semidetached!L$17)^0.16)</f>
        <v>3443.4732497785772</v>
      </c>
      <c r="M219" s="349">
        <f>M213/(1.355*(M207/Semidetached!M$17)^0.16)</f>
        <v>5455.7680175919832</v>
      </c>
      <c r="N219" s="349">
        <f>N213/(1.355*(N207/Semidetached!N$17)^0.16)</f>
        <v>6810.8935186460703</v>
      </c>
      <c r="O219" s="349">
        <f>O213/(1.355*(O207/Semidetached!O$17)^0.16)</f>
        <v>3596.3594163937514</v>
      </c>
      <c r="P219" s="349">
        <f>P213/(1.355*(P207/Semidetached!P$17)^0.16)</f>
        <v>8279.6856713016659</v>
      </c>
      <c r="Q219" s="349">
        <f>Q213/(1.355*(Q207/Semidetached!Q$17)^0.16)</f>
        <v>4072.6572853230127</v>
      </c>
      <c r="R219" s="349">
        <f>R213/(1.355*(R207/Semidetached!R$17)^0.16)</f>
        <v>5806.3512554332692</v>
      </c>
      <c r="S219" s="349">
        <f>S213/(1.355*(S207/Semidetached!S$17)^0.16)</f>
        <v>6155.3945343685655</v>
      </c>
      <c r="T219" s="349">
        <f>T213/(1.355*(T207/Semidetached!T$17)^0.16)</f>
        <v>5835.787280784426</v>
      </c>
      <c r="U219" s="349">
        <f>U213/(1.355*(U207/Semidetached!U$17)^0.16)</f>
        <v>7258.532566671829</v>
      </c>
      <c r="V219" s="349">
        <f>V213/(1.355*(V207/Semidetached!V$17)^0.16)</f>
        <v>6741.9862021790859</v>
      </c>
      <c r="W219" s="349">
        <f>W213/(1.355*(W207/Semidetached!W$17)^0.16)</f>
        <v>4473.9808737593494</v>
      </c>
      <c r="X219" s="349">
        <f>X213/(1.355*(X207/Semidetached!X$17)^0.16)</f>
        <v>5922.0172864148699</v>
      </c>
      <c r="Y219" s="349">
        <f>Y213/(1.355*(Y207/Semidetached!Y$17)^0.16)</f>
        <v>2657.2865663189909</v>
      </c>
      <c r="Z219" s="349">
        <f>Z213/(1.355*(Z207/Semidetached!Z$17)^0.16)</f>
        <v>7481.1604615848964</v>
      </c>
      <c r="AA219" s="349">
        <f>AA213/(1.355*(AA207/Semidetached!AA$17)^0.16)</f>
        <v>6694.6033043166353</v>
      </c>
      <c r="AB219" s="349">
        <f>AB213/(1.355*(AB207/Semidetached!AB$17)^0.16)</f>
        <v>7359.959201738684</v>
      </c>
      <c r="AC219" s="349">
        <f>AC213/(1.355*(AC207/Semidetached!AC$17)^0.16)</f>
        <v>6610.887747118607</v>
      </c>
      <c r="AD219" s="349">
        <f>AD213/(1.355*(AD207/Semidetached!AD$17)^0.16)</f>
        <v>6908.6093722553642</v>
      </c>
      <c r="AE219" s="349">
        <f>AE213/(1.355*(AE207/Semidetached!AE$17)^0.16)</f>
        <v>6367.1774193912961</v>
      </c>
      <c r="AF219" s="349">
        <f>AF213/(1.355*(AF207/Semidetached!AF$17)^0.16)</f>
        <v>4644.3431269268422</v>
      </c>
      <c r="AG219" s="349">
        <f>AG213/(1.355*(AG207/Semidetached!AG$17)^0.16)</f>
        <v>8928.73385013191</v>
      </c>
      <c r="AH219" s="349">
        <f>AH213/(1.355*(AH207/Semidetached!AH$17)^0.16)</f>
        <v>4650.7555661258384</v>
      </c>
      <c r="AI219" s="349">
        <f>AI213/(1.355*(AI207/Semidetached!AI$17)^0.16)</f>
        <v>8182.9082227641575</v>
      </c>
      <c r="AJ219" s="349">
        <f>AJ213/(1.355*(AJ207/Semidetached!AJ$17)^0.16)</f>
        <v>5185.2961035752624</v>
      </c>
      <c r="AK219" s="349">
        <f>AK213/(1.355*(AK207/Semidetached!AK$17)^0.16)</f>
        <v>5650.9795556715862</v>
      </c>
      <c r="AL219" s="349">
        <f>AL213/(1.355*(AL207/Semidetached!AL$17)^0.16)</f>
        <v>3866.9004595978372</v>
      </c>
      <c r="AM219" s="349">
        <f>AM213/(1.355*(AM207/Semidetached!AM$17)^0.16)</f>
        <v>4768.2719474013456</v>
      </c>
      <c r="AN219" s="354">
        <f>AN213/(1.355*(AN207/Semidetached!AN$17)^0.16)</f>
        <v>4768.2719474013456</v>
      </c>
    </row>
    <row r="220" spans="1:40">
      <c r="A220" s="129"/>
      <c r="B220" s="142" t="s">
        <v>7</v>
      </c>
      <c r="C220" s="129" t="s">
        <v>261</v>
      </c>
      <c r="D220" s="345">
        <f>D214/(1.355*(D208/Semidetached!D$17)^0.16)</f>
        <v>5111.963400055638</v>
      </c>
      <c r="E220" s="349">
        <f>E214/(1.355*(E208/Semidetached!E$17)^0.16)</f>
        <v>6304.628655475025</v>
      </c>
      <c r="F220" s="349">
        <f>F214/(1.355*(F208/Semidetached!F$17)^0.16)</f>
        <v>3089.6423360010108</v>
      </c>
      <c r="G220" s="349">
        <f>G214/(1.355*(G208/Semidetached!G$17)^0.16)</f>
        <v>5143.414799089026</v>
      </c>
      <c r="H220" s="349">
        <f>H214/(1.355*(H208/Semidetached!H$17)^0.16)</f>
        <v>3065.7815836306058</v>
      </c>
      <c r="I220" s="349">
        <f>I214/(1.355*(I208/Semidetached!I$17)^0.16)</f>
        <v>4692.0417118048563</v>
      </c>
      <c r="J220" s="349">
        <f>J214/(1.355*(J208/Semidetached!J$17)^0.16)</f>
        <v>4165.1958860129416</v>
      </c>
      <c r="K220" s="349">
        <f>K214/(1.355*(K208/Semidetached!K$17)^0.16)</f>
        <v>3820.4505126287427</v>
      </c>
      <c r="L220" s="349">
        <f>L214/(1.355*(L208/Semidetached!L$17)^0.16)</f>
        <v>3443.4732497785772</v>
      </c>
      <c r="M220" s="349">
        <f>M214/(1.355*(M208/Semidetached!M$17)^0.16)</f>
        <v>4339.2102847897995</v>
      </c>
      <c r="N220" s="349">
        <f>N214/(1.355*(N208/Semidetached!N$17)^0.16)</f>
        <v>6089.0875183310345</v>
      </c>
      <c r="O220" s="349">
        <f>O214/(1.355*(O208/Semidetached!O$17)^0.16)</f>
        <v>3495.0685726938477</v>
      </c>
      <c r="P220" s="349">
        <f>P214/(1.355*(P208/Semidetached!P$17)^0.16)</f>
        <v>3378.6891054588723</v>
      </c>
      <c r="Q220" s="349">
        <f>Q214/(1.355*(Q208/Semidetached!Q$17)^0.16)</f>
        <v>3053.4887214259479</v>
      </c>
      <c r="R220" s="349">
        <f>R214/(1.355*(R208/Semidetached!R$17)^0.16)</f>
        <v>3789.8100320329145</v>
      </c>
      <c r="S220" s="349">
        <f>S214/(1.355*(S208/Semidetached!S$17)^0.16)</f>
        <v>4609.6734738673667</v>
      </c>
      <c r="T220" s="349">
        <f>T214/(1.355*(T208/Semidetached!T$17)^0.16)</f>
        <v>5217.0985730625071</v>
      </c>
      <c r="U220" s="349">
        <f>U214/(1.355*(U208/Semidetached!U$17)^0.16)</f>
        <v>6995.3800629067055</v>
      </c>
      <c r="V220" s="349">
        <f>V214/(1.355*(V208/Semidetached!V$17)^0.16)</f>
        <v>4498.5743311648075</v>
      </c>
      <c r="W220" s="349">
        <f>W214/(1.355*(W208/Semidetached!W$17)^0.16)</f>
        <v>3800.8877183839377</v>
      </c>
      <c r="X220" s="349">
        <f>X214/(1.355*(X208/Semidetached!X$17)^0.16)</f>
        <v>4287.4325032329079</v>
      </c>
      <c r="Y220" s="349">
        <f>Y214/(1.355*(Y208/Semidetached!Y$17)^0.16)</f>
        <v>2639.7443035830029</v>
      </c>
      <c r="Z220" s="349">
        <f>Z214/(1.355*(Z208/Semidetached!Z$17)^0.16)</f>
        <v>5127.7646372684048</v>
      </c>
      <c r="AA220" s="349">
        <f>AA214/(1.355*(AA208/Semidetached!AA$17)^0.16)</f>
        <v>6056.6942272349452</v>
      </c>
      <c r="AB220" s="349">
        <f>AB214/(1.355*(AB208/Semidetached!AB$17)^0.16)</f>
        <v>6442.5812656487033</v>
      </c>
      <c r="AC220" s="349">
        <f>AC214/(1.355*(AC208/Semidetached!AC$17)^0.16)</f>
        <v>4499.8207843410773</v>
      </c>
      <c r="AD220" s="349">
        <f>AD214/(1.355*(AD208/Semidetached!AD$17)^0.16)</f>
        <v>6063.2501877583654</v>
      </c>
      <c r="AE220" s="349">
        <f>AE214/(1.355*(AE208/Semidetached!AE$17)^0.16)</f>
        <v>5752.7585026329925</v>
      </c>
      <c r="AF220" s="349">
        <f>AF214/(1.355*(AF208/Semidetached!AF$17)^0.16)</f>
        <v>2865.8572391728271</v>
      </c>
      <c r="AG220" s="349">
        <f>AG214/(1.355*(AG208/Semidetached!AG$17)^0.16)</f>
        <v>6087.9285717836619</v>
      </c>
      <c r="AH220" s="349">
        <f>AH214/(1.355*(AH208/Semidetached!AH$17)^0.16)</f>
        <v>4033.0560956693994</v>
      </c>
      <c r="AI220" s="349">
        <f>AI214/(1.355*(AI208/Semidetached!AI$17)^0.16)</f>
        <v>3318.5421989631241</v>
      </c>
      <c r="AJ220" s="349">
        <f>AJ214/(1.355*(AJ208/Semidetached!AJ$17)^0.16)</f>
        <v>4706.4955618705944</v>
      </c>
      <c r="AK220" s="349">
        <f>AK214/(1.355*(AK208/Semidetached!AK$17)^0.16)</f>
        <v>5143.653685152939</v>
      </c>
      <c r="AL220" s="349">
        <f>AL214/(1.355*(AL208/Semidetached!AL$17)^0.16)</f>
        <v>3235.9394989915068</v>
      </c>
      <c r="AM220" s="349">
        <f>AM214/(1.355*(AM208/Semidetached!AM$17)^0.16)</f>
        <v>4327.9786361212482</v>
      </c>
      <c r="AN220" s="354">
        <f>AN214/(1.355*(AN208/Semidetached!AN$17)^0.16)</f>
        <v>4327.9786361212482</v>
      </c>
    </row>
    <row r="221" spans="1:40">
      <c r="A221" s="334" t="s">
        <v>262</v>
      </c>
      <c r="B221" s="359" t="s">
        <v>2</v>
      </c>
      <c r="C221" s="366" t="s">
        <v>190</v>
      </c>
      <c r="D221" s="375">
        <f>D215/Semidetached!D$4</f>
        <v>110.06818613595669</v>
      </c>
      <c r="E221" s="376">
        <f>E215/Semidetached!E$4</f>
        <v>111.41688832558154</v>
      </c>
      <c r="F221" s="376">
        <f>F215/Semidetached!F$4</f>
        <v>100.05523757542986</v>
      </c>
      <c r="G221" s="376">
        <f>G215/Semidetached!G$4</f>
        <v>106.23547140078306</v>
      </c>
      <c r="H221" s="376">
        <f>H215/Semidetached!H$4</f>
        <v>52.178491197816939</v>
      </c>
      <c r="I221" s="376">
        <f>I215/Semidetached!I$4</f>
        <v>122.21394466631371</v>
      </c>
      <c r="J221" s="376">
        <f>J215/Semidetached!J$4</f>
        <v>129.10138774102495</v>
      </c>
      <c r="K221" s="376">
        <f>K215/Semidetached!K$4</f>
        <v>73.086904463524888</v>
      </c>
      <c r="L221" s="376">
        <f>L215/Semidetached!L$4</f>
        <v>84.396240909019156</v>
      </c>
      <c r="M221" s="376">
        <f>M215/Semidetached!M$4</f>
        <v>94.579881402526595</v>
      </c>
      <c r="N221" s="376">
        <f>N215/Semidetached!N$4</f>
        <v>120.5911506381513</v>
      </c>
      <c r="O221" s="376">
        <f>O215/Semidetached!O$4</f>
        <v>129.59630870314777</v>
      </c>
      <c r="P221" s="376">
        <f>P215/Semidetached!P$4</f>
        <v>109.87116265468175</v>
      </c>
      <c r="Q221" s="376">
        <f>Q215/Semidetached!Q$4</f>
        <v>100.24289460332039</v>
      </c>
      <c r="R221" s="376">
        <f>R215/Semidetached!R$4</f>
        <v>96.206984686897087</v>
      </c>
      <c r="S221" s="376">
        <f>S215/Semidetached!S$4</f>
        <v>117.76781882695673</v>
      </c>
      <c r="T221" s="376">
        <f>T215/Semidetached!T$4</f>
        <v>102.21533189675641</v>
      </c>
      <c r="U221" s="376">
        <f>U215/Semidetached!U$4</f>
        <v>95.707566600742311</v>
      </c>
      <c r="V221" s="376">
        <f>V215/Semidetached!V$4</f>
        <v>115.18569603137172</v>
      </c>
      <c r="W221" s="376">
        <f>W215/Semidetached!W$4</f>
        <v>143.2773248323268</v>
      </c>
      <c r="X221" s="376">
        <f>X215/Semidetached!X$4</f>
        <v>135.00310976139647</v>
      </c>
      <c r="Y221" s="376">
        <f>Y215/Semidetached!Y$4</f>
        <v>32.673518499759531</v>
      </c>
      <c r="Z221" s="376">
        <f>Z215/Semidetached!Z$4</f>
        <v>126.60012133397983</v>
      </c>
      <c r="AA221" s="376">
        <f>AA215/Semidetached!AA$4</f>
        <v>89.052368956664566</v>
      </c>
      <c r="AB221" s="376">
        <f>AB215/Semidetached!AB$4</f>
        <v>151.48751192627202</v>
      </c>
      <c r="AC221" s="376">
        <f>AC215/Semidetached!AC$4</f>
        <v>71.03835648658027</v>
      </c>
      <c r="AD221" s="376">
        <f>AD215/Semidetached!AD$4</f>
        <v>134.13852196105981</v>
      </c>
      <c r="AE221" s="376">
        <f>AE215/Semidetached!AE$4</f>
        <v>86.636359735872247</v>
      </c>
      <c r="AF221" s="376">
        <f>AF215/Semidetached!AF$4</f>
        <v>101.66643609180024</v>
      </c>
      <c r="AG221" s="376">
        <f>AG215/Semidetached!AG$4</f>
        <v>169.58408437541871</v>
      </c>
      <c r="AH221" s="376">
        <f>AH215/Semidetached!AH$4</f>
        <v>134.65518148546803</v>
      </c>
      <c r="AI221" s="376">
        <f>AI215/Semidetached!AI$4</f>
        <v>108.62060955955378</v>
      </c>
      <c r="AJ221" s="376">
        <f>AJ215/Semidetached!AJ$4</f>
        <v>104.24449197254994</v>
      </c>
      <c r="AK221" s="376">
        <f>AK215/Semidetached!AK$4</f>
        <v>85.013190480731282</v>
      </c>
      <c r="AL221" s="376">
        <f>AL215/Semidetached!AL$4</f>
        <v>97.952699512538246</v>
      </c>
      <c r="AM221" s="376">
        <f>AM215/Semidetached!AM$4</f>
        <v>95.860694705763763</v>
      </c>
      <c r="AN221" s="377">
        <f>AN215/Semidetached!AN$4</f>
        <v>95.860694705763748</v>
      </c>
    </row>
    <row r="222" spans="1:40">
      <c r="A222" s="154"/>
      <c r="B222" s="347" t="s">
        <v>3</v>
      </c>
      <c r="C222" s="367" t="s">
        <v>190</v>
      </c>
      <c r="D222" s="369">
        <f>D216/Semidetached!D$4</f>
        <v>111.91975211102269</v>
      </c>
      <c r="E222" s="370">
        <f>E216/Semidetached!E$4</f>
        <v>111.41688832558154</v>
      </c>
      <c r="F222" s="370">
        <f>F216/Semidetached!F$4</f>
        <v>100.05523757542986</v>
      </c>
      <c r="G222" s="370">
        <f>G216/Semidetached!G$4</f>
        <v>108.05252375799439</v>
      </c>
      <c r="H222" s="370">
        <f>H216/Semidetached!H$4</f>
        <v>52.069836396124302</v>
      </c>
      <c r="I222" s="370">
        <f>I216/Semidetached!I$4</f>
        <v>95.80357253873072</v>
      </c>
      <c r="J222" s="370">
        <f>J216/Semidetached!J$4</f>
        <v>126.21587447545978</v>
      </c>
      <c r="K222" s="370">
        <f>K216/Semidetached!K$4</f>
        <v>68.875148069820199</v>
      </c>
      <c r="L222" s="370">
        <f>L216/Semidetached!L$4</f>
        <v>84.396240909019156</v>
      </c>
      <c r="M222" s="370">
        <f>M216/Semidetached!M$4</f>
        <v>89.026190551259617</v>
      </c>
      <c r="N222" s="370">
        <f>N216/Semidetached!N$4</f>
        <v>108.08651625438689</v>
      </c>
      <c r="O222" s="370">
        <f>O216/Semidetached!O$4</f>
        <v>129.59630870314777</v>
      </c>
      <c r="P222" s="370">
        <f>P216/Semidetached!P$4</f>
        <v>109.87116265468175</v>
      </c>
      <c r="Q222" s="370">
        <f>Q216/Semidetached!Q$4</f>
        <v>100.65207586415839</v>
      </c>
      <c r="R222" s="370">
        <f>R216/Semidetached!R$4</f>
        <v>96.206984686897087</v>
      </c>
      <c r="S222" s="370">
        <f>S216/Semidetached!S$4</f>
        <v>120.82457723008589</v>
      </c>
      <c r="T222" s="370">
        <f>T216/Semidetached!T$4</f>
        <v>91.579049411927699</v>
      </c>
      <c r="U222" s="370">
        <f>U216/Semidetached!U$4</f>
        <v>94.006032188148822</v>
      </c>
      <c r="V222" s="370">
        <f>V216/Semidetached!V$4</f>
        <v>115.18569603137172</v>
      </c>
      <c r="W222" s="370">
        <f>W216/Semidetached!W$4</f>
        <v>117.52167766182318</v>
      </c>
      <c r="X222" s="370">
        <f>X216/Semidetached!X$4</f>
        <v>133.55730253425489</v>
      </c>
      <c r="Y222" s="370">
        <f>Y216/Semidetached!Y$4</f>
        <v>32.585480327473761</v>
      </c>
      <c r="Z222" s="370">
        <f>Z216/Semidetached!Z$4</f>
        <v>98.198390721237033</v>
      </c>
      <c r="AA222" s="370">
        <f>AA216/Semidetached!AA$4</f>
        <v>88.742498605057364</v>
      </c>
      <c r="AB222" s="370">
        <f>AB216/Semidetached!AB$4</f>
        <v>112.9293557356968</v>
      </c>
      <c r="AC222" s="370">
        <f>AC216/Semidetached!AC$4</f>
        <v>70.918898294839963</v>
      </c>
      <c r="AD222" s="370">
        <f>AD216/Semidetached!AD$4</f>
        <v>122.95388578122468</v>
      </c>
      <c r="AE222" s="370">
        <f>AE216/Semidetached!AE$4</f>
        <v>86.330222494890052</v>
      </c>
      <c r="AF222" s="370">
        <f>AF216/Semidetached!AF$4</f>
        <v>101.66643609180024</v>
      </c>
      <c r="AG222" s="370">
        <f>AG216/Semidetached!AG$4</f>
        <v>147.10628237777715</v>
      </c>
      <c r="AH222" s="370">
        <f>AH216/Semidetached!AH$4</f>
        <v>137.83558325220338</v>
      </c>
      <c r="AI222" s="370">
        <f>AI216/Semidetached!AI$4</f>
        <v>108.62060955955378</v>
      </c>
      <c r="AJ222" s="370">
        <f>AJ216/Semidetached!AJ$4</f>
        <v>104.24449197254994</v>
      </c>
      <c r="AK222" s="370">
        <f>AK216/Semidetached!AK$4</f>
        <v>85.013190480731282</v>
      </c>
      <c r="AL222" s="370">
        <f>AL216/Semidetached!AL$4</f>
        <v>97.952699512538246</v>
      </c>
      <c r="AM222" s="370">
        <f>AM216/Semidetached!AM$4</f>
        <v>95.860694705763763</v>
      </c>
      <c r="AN222" s="371">
        <f>AN216/Semidetached!AN$4</f>
        <v>95.860694705763748</v>
      </c>
    </row>
    <row r="223" spans="1:40">
      <c r="A223" s="154"/>
      <c r="B223" s="347" t="s">
        <v>4</v>
      </c>
      <c r="C223" s="367" t="s">
        <v>190</v>
      </c>
      <c r="D223" s="369">
        <f>D217/Semidetached!D$4</f>
        <v>88.623812754042504</v>
      </c>
      <c r="E223" s="370">
        <f>E217/Semidetached!E$4</f>
        <v>111.41688832558154</v>
      </c>
      <c r="F223" s="370">
        <f>F217/Semidetached!F$4</f>
        <v>95.554563517610561</v>
      </c>
      <c r="G223" s="370">
        <f>G217/Semidetached!G$4</f>
        <v>85.415632526527148</v>
      </c>
      <c r="H223" s="370">
        <f>H217/Semidetached!H$4</f>
        <v>55.460804977049499</v>
      </c>
      <c r="I223" s="370">
        <f>I217/Semidetached!I$4</f>
        <v>95.80357253873072</v>
      </c>
      <c r="J223" s="370">
        <f>J217/Semidetached!J$4</f>
        <v>83.09573884122878</v>
      </c>
      <c r="K223" s="370">
        <f>K217/Semidetached!K$4</f>
        <v>50.716990586362023</v>
      </c>
      <c r="L223" s="370">
        <f>L217/Semidetached!L$4</f>
        <v>72.579309839129749</v>
      </c>
      <c r="M223" s="370">
        <f>M217/Semidetached!M$4</f>
        <v>89.026190551259617</v>
      </c>
      <c r="N223" s="370">
        <f>N217/Semidetached!N$4</f>
        <v>93.975289813043673</v>
      </c>
      <c r="O223" s="370">
        <f>O217/Semidetached!O$4</f>
        <v>64.269831428163528</v>
      </c>
      <c r="P223" s="370">
        <f>P217/Semidetached!P$4</f>
        <v>109.87116265468175</v>
      </c>
      <c r="Q223" s="370">
        <f>Q217/Semidetached!Q$4</f>
        <v>92.183744411762405</v>
      </c>
      <c r="R223" s="370">
        <f>R217/Semidetached!R$4</f>
        <v>88.169977784274636</v>
      </c>
      <c r="S223" s="370">
        <f>S217/Semidetached!S$4</f>
        <v>90.06718372537803</v>
      </c>
      <c r="T223" s="370">
        <f>T217/Semidetached!T$4</f>
        <v>79.60157228371061</v>
      </c>
      <c r="U223" s="370">
        <f>U217/Semidetached!U$4</f>
        <v>86.635133586923587</v>
      </c>
      <c r="V223" s="370">
        <f>V217/Semidetached!V$4</f>
        <v>81.387571969418275</v>
      </c>
      <c r="W223" s="370">
        <f>W217/Semidetached!W$4</f>
        <v>77.992652825064596</v>
      </c>
      <c r="X223" s="370">
        <f>X217/Semidetached!X$4</f>
        <v>125.74131369428414</v>
      </c>
      <c r="Y223" s="370">
        <f>Y217/Semidetached!Y$4</f>
        <v>32.418786291299114</v>
      </c>
      <c r="Z223" s="370">
        <f>Z217/Semidetached!Z$4</f>
        <v>92.102934200186226</v>
      </c>
      <c r="AA223" s="370">
        <f>AA217/Semidetached!AA$4</f>
        <v>66.363158526471224</v>
      </c>
      <c r="AB223" s="370">
        <f>AB217/Semidetached!AB$4</f>
        <v>90.341523739269931</v>
      </c>
      <c r="AC223" s="370">
        <f>AC217/Semidetached!AC$4</f>
        <v>68.987944174279519</v>
      </c>
      <c r="AD223" s="370">
        <f>AD217/Semidetached!AD$4</f>
        <v>122.95388578122468</v>
      </c>
      <c r="AE223" s="370">
        <f>AE217/Semidetached!AE$4</f>
        <v>64.704337468122532</v>
      </c>
      <c r="AF223" s="370">
        <f>AF217/Semidetached!AF$4</f>
        <v>87.156519415045238</v>
      </c>
      <c r="AG223" s="370">
        <f>AG217/Semidetached!AG$4</f>
        <v>147.10628237777715</v>
      </c>
      <c r="AH223" s="370">
        <f>AH217/Semidetached!AH$4</f>
        <v>102.51520240382285</v>
      </c>
      <c r="AI223" s="370">
        <f>AI217/Semidetached!AI$4</f>
        <v>108.62060955955378</v>
      </c>
      <c r="AJ223" s="370">
        <f>AJ217/Semidetached!AJ$4</f>
        <v>104.24449197254994</v>
      </c>
      <c r="AK223" s="370">
        <f>AK217/Semidetached!AK$4</f>
        <v>85.013190480731282</v>
      </c>
      <c r="AL223" s="370">
        <f>AL217/Semidetached!AL$4</f>
        <v>93.456159317319973</v>
      </c>
      <c r="AM223" s="370">
        <f>AM217/Semidetached!AM$4</f>
        <v>95.860694705763763</v>
      </c>
      <c r="AN223" s="371">
        <f>AN217/Semidetached!AN$4</f>
        <v>95.860694705763748</v>
      </c>
    </row>
    <row r="224" spans="1:40">
      <c r="A224" s="154"/>
      <c r="B224" s="347" t="s">
        <v>5</v>
      </c>
      <c r="C224" s="367" t="s">
        <v>190</v>
      </c>
      <c r="D224" s="369">
        <f>D218/Semidetached!D$4</f>
        <v>63.103647239066596</v>
      </c>
      <c r="E224" s="370">
        <f>E218/Semidetached!E$4</f>
        <v>94.02346523181869</v>
      </c>
      <c r="F224" s="370">
        <f>F218/Semidetached!F$4</f>
        <v>86.171623579003878</v>
      </c>
      <c r="G224" s="370">
        <f>G218/Semidetached!G$4</f>
        <v>60.694912329053594</v>
      </c>
      <c r="H224" s="370">
        <f>H218/Semidetached!H$4</f>
        <v>53.191074841499351</v>
      </c>
      <c r="I224" s="370">
        <f>I218/Semidetached!I$4</f>
        <v>85.747122052072427</v>
      </c>
      <c r="J224" s="370">
        <f>J218/Semidetached!J$4</f>
        <v>60.824938069567828</v>
      </c>
      <c r="K224" s="370">
        <f>K218/Semidetached!K$4</f>
        <v>45.098133524903545</v>
      </c>
      <c r="L224" s="370">
        <f>L218/Semidetached!L$4</f>
        <v>55.303050868699579</v>
      </c>
      <c r="M224" s="370">
        <f>M218/Semidetached!M$4</f>
        <v>52.98596843530791</v>
      </c>
      <c r="N224" s="370">
        <f>N218/Semidetached!N$4</f>
        <v>81.252031568080142</v>
      </c>
      <c r="O224" s="370">
        <f>O218/Semidetached!O$4</f>
        <v>55.404042237562912</v>
      </c>
      <c r="P224" s="370">
        <f>P218/Semidetached!P$4</f>
        <v>104.93578424645388</v>
      </c>
      <c r="Q224" s="370">
        <f>Q218/Semidetached!Q$4</f>
        <v>92.183744411762405</v>
      </c>
      <c r="R224" s="370">
        <f>R218/Semidetached!R$4</f>
        <v>73.714342453541391</v>
      </c>
      <c r="S224" s="370">
        <f>S218/Semidetached!S$4</f>
        <v>58.756638567545259</v>
      </c>
      <c r="T224" s="370">
        <f>T218/Semidetached!T$4</f>
        <v>68.822791700478589</v>
      </c>
      <c r="U224" s="370">
        <f>U218/Semidetached!U$4</f>
        <v>75.66807326652814</v>
      </c>
      <c r="V224" s="370">
        <f>V218/Semidetached!V$4</f>
        <v>81.387571969418275</v>
      </c>
      <c r="W224" s="370">
        <f>W218/Semidetached!W$4</f>
        <v>64.611079875552619</v>
      </c>
      <c r="X224" s="370">
        <f>X218/Semidetached!X$4</f>
        <v>74.725106888686909</v>
      </c>
      <c r="Y224" s="370">
        <f>Y218/Semidetached!Y$4</f>
        <v>28.186211979849197</v>
      </c>
      <c r="Z224" s="370">
        <f>Z218/Semidetached!Z$4</f>
        <v>74.895131699786788</v>
      </c>
      <c r="AA224" s="370">
        <f>AA218/Semidetached!AA$4</f>
        <v>65.597435589378193</v>
      </c>
      <c r="AB224" s="370">
        <f>AB218/Semidetached!AB$4</f>
        <v>90.341523739269931</v>
      </c>
      <c r="AC224" s="370">
        <f>AC218/Semidetached!AC$4</f>
        <v>68.100734418242226</v>
      </c>
      <c r="AD224" s="370">
        <f>AD218/Semidetached!AD$4</f>
        <v>113.57601990039055</v>
      </c>
      <c r="AE224" s="370">
        <f>AE218/Semidetached!AE$4</f>
        <v>63.948148246017162</v>
      </c>
      <c r="AF224" s="370">
        <f>AF218/Semidetached!AF$4</f>
        <v>77.510335329187612</v>
      </c>
      <c r="AG224" s="370">
        <f>AG218/Semidetached!AG$4</f>
        <v>127.92791468482424</v>
      </c>
      <c r="AH224" s="370">
        <f>AH218/Semidetached!AH$4</f>
        <v>76.336537415414398</v>
      </c>
      <c r="AI224" s="370">
        <f>AI218/Semidetached!AI$4</f>
        <v>103.70923799061542</v>
      </c>
      <c r="AJ224" s="370">
        <f>AJ218/Semidetached!AJ$4</f>
        <v>92.693018737056377</v>
      </c>
      <c r="AK224" s="370">
        <f>AK218/Semidetached!AK$4</f>
        <v>74.784757011891855</v>
      </c>
      <c r="AL224" s="370">
        <f>AL218/Semidetached!AL$4</f>
        <v>84.086950078785847</v>
      </c>
      <c r="AM224" s="370">
        <f>AM218/Semidetached!AM$4</f>
        <v>85.238241391673682</v>
      </c>
      <c r="AN224" s="371">
        <f>AN218/Semidetached!AN$4</f>
        <v>85.238241391673682</v>
      </c>
    </row>
    <row r="225" spans="1:40">
      <c r="A225" s="154"/>
      <c r="B225" s="347" t="s">
        <v>6</v>
      </c>
      <c r="C225" s="367" t="s">
        <v>190</v>
      </c>
      <c r="D225" s="369">
        <f>D219/Semidetached!D$4</f>
        <v>57.275717739026192</v>
      </c>
      <c r="E225" s="370">
        <f>E219/Semidetached!E$4</f>
        <v>94.02346523181869</v>
      </c>
      <c r="F225" s="370">
        <f>F219/Semidetached!F$4</f>
        <v>67.434913404068936</v>
      </c>
      <c r="G225" s="370">
        <f>G219/Semidetached!G$4</f>
        <v>55.088616004022974</v>
      </c>
      <c r="H225" s="370">
        <f>H219/Semidetached!H$4</f>
        <v>48.339536565889176</v>
      </c>
      <c r="I225" s="370">
        <f>I219/Semidetached!I$4</f>
        <v>69.597088241932681</v>
      </c>
      <c r="J225" s="370">
        <f>J219/Semidetached!J$4</f>
        <v>42.040866763380542</v>
      </c>
      <c r="K225" s="370">
        <f>K219/Semidetached!K$4</f>
        <v>45.098133524903545</v>
      </c>
      <c r="L225" s="370">
        <f>L219/Semidetached!L$4</f>
        <v>47.268882283035175</v>
      </c>
      <c r="M225" s="370">
        <f>M219/Semidetached!M$4</f>
        <v>52.98596843530791</v>
      </c>
      <c r="N225" s="370">
        <f>N219/Semidetached!N$4</f>
        <v>80.212883503950096</v>
      </c>
      <c r="O225" s="370">
        <f>O219/Semidetached!O$4</f>
        <v>36.481854867503827</v>
      </c>
      <c r="P225" s="370">
        <f>P219/Semidetached!P$4</f>
        <v>104.93578424645388</v>
      </c>
      <c r="Q225" s="370">
        <f>Q219/Semidetached!Q$4</f>
        <v>70.133824853452367</v>
      </c>
      <c r="R225" s="370">
        <f>R219/Semidetached!R$4</f>
        <v>73.714342453541391</v>
      </c>
      <c r="S225" s="370">
        <f>S219/Semidetached!S$4</f>
        <v>57.518424611228809</v>
      </c>
      <c r="T225" s="370">
        <f>T219/Semidetached!T$4</f>
        <v>67.939348679311621</v>
      </c>
      <c r="U225" s="370">
        <f>U219/Semidetached!U$4</f>
        <v>72.120802747707245</v>
      </c>
      <c r="V225" s="370">
        <f>V219/Semidetached!V$4</f>
        <v>81.387571969418275</v>
      </c>
      <c r="W225" s="370">
        <f>W219/Semidetached!W$4</f>
        <v>56.673406178782216</v>
      </c>
      <c r="X225" s="370">
        <f>X219/Semidetached!X$4</f>
        <v>72.708288078759352</v>
      </c>
      <c r="Y225" s="370">
        <f>Y219/Semidetached!Y$4</f>
        <v>27.368682434158266</v>
      </c>
      <c r="Z225" s="370">
        <f>Z219/Semidetached!Z$4</f>
        <v>67.861142889722458</v>
      </c>
      <c r="AA225" s="370">
        <f>AA219/Semidetached!AA$4</f>
        <v>61.202904557896844</v>
      </c>
      <c r="AB225" s="370">
        <f>AB219/Semidetached!AB$4</f>
        <v>90.341523739269931</v>
      </c>
      <c r="AC225" s="370">
        <f>AC219/Semidetached!AC$4</f>
        <v>64.843781110679217</v>
      </c>
      <c r="AD225" s="370">
        <f>AD219/Semidetached!AD$4</f>
        <v>113.57601990039055</v>
      </c>
      <c r="AE225" s="370">
        <f>AE219/Semidetached!AE$4</f>
        <v>59.686454556816628</v>
      </c>
      <c r="AF225" s="370">
        <f>AF219/Semidetached!AF$4</f>
        <v>57.753870875085489</v>
      </c>
      <c r="AG225" s="370">
        <f>AG219/Semidetached!AG$4</f>
        <v>110.74732856030852</v>
      </c>
      <c r="AH225" s="370">
        <f>AH219/Semidetached!AH$4</f>
        <v>60.129334142443263</v>
      </c>
      <c r="AI225" s="370">
        <f>AI219/Semidetached!AI$4</f>
        <v>103.70923799061542</v>
      </c>
      <c r="AJ225" s="370">
        <f>AJ219/Semidetached!AJ$4</f>
        <v>89.294193756986672</v>
      </c>
      <c r="AK225" s="370">
        <f>AK219/Semidetached!AK$4</f>
        <v>71.61986517078131</v>
      </c>
      <c r="AL225" s="370">
        <f>AL219/Semidetached!AL$4</f>
        <v>65.345524229250898</v>
      </c>
      <c r="AM225" s="370">
        <f>AM219/Semidetached!AM$4</f>
        <v>82.112764758734855</v>
      </c>
      <c r="AN225" s="371">
        <f>AN219/Semidetached!AN$4</f>
        <v>82.112764758734841</v>
      </c>
    </row>
    <row r="226" spans="1:40">
      <c r="A226" s="155"/>
      <c r="B226" s="338" t="s">
        <v>7</v>
      </c>
      <c r="C226" s="368" t="s">
        <v>190</v>
      </c>
      <c r="D226" s="378">
        <f>D220/Semidetached!D$4</f>
        <v>49.946860389002502</v>
      </c>
      <c r="E226" s="379">
        <f>E220/Semidetached!E$4</f>
        <v>60.530570990700248</v>
      </c>
      <c r="F226" s="379">
        <f>F220/Semidetached!F$4</f>
        <v>56.440616110327923</v>
      </c>
      <c r="G226" s="379">
        <f>G220/Semidetached!G$4</f>
        <v>47.9788129030064</v>
      </c>
      <c r="H226" s="379">
        <f>H220/Semidetached!H$4</f>
        <v>37.648617787113842</v>
      </c>
      <c r="I226" s="379">
        <f>I220/Semidetached!I$4</f>
        <v>54.364938762004009</v>
      </c>
      <c r="J226" s="379">
        <f>J220/Semidetached!J$4</f>
        <v>43.535614823973084</v>
      </c>
      <c r="K226" s="379">
        <f>K220/Semidetached!K$4</f>
        <v>33.236572362243002</v>
      </c>
      <c r="L226" s="379">
        <f>L220/Semidetached!L$4</f>
        <v>47.268882283035175</v>
      </c>
      <c r="M226" s="379">
        <f>M220/Semidetached!M$4</f>
        <v>42.142051942581411</v>
      </c>
      <c r="N226" s="379">
        <f>N220/Semidetached!N$4</f>
        <v>71.71206926317312</v>
      </c>
      <c r="O226" s="379">
        <f>O220/Semidetached!O$4</f>
        <v>35.454349707028975</v>
      </c>
      <c r="P226" s="379">
        <f>P220/Semidetached!P$4</f>
        <v>42.821117259942753</v>
      </c>
      <c r="Q226" s="379">
        <f>Q220/Semidetached!Q$4</f>
        <v>52.583074925612024</v>
      </c>
      <c r="R226" s="379">
        <f>R220/Semidetached!R$4</f>
        <v>48.113409307390391</v>
      </c>
      <c r="S226" s="379">
        <f>S220/Semidetached!S$4</f>
        <v>43.074599801622647</v>
      </c>
      <c r="T226" s="379">
        <f>T220/Semidetached!T$4</f>
        <v>60.736668763908298</v>
      </c>
      <c r="U226" s="379">
        <f>U220/Semidetached!U$4</f>
        <v>69.506118630458488</v>
      </c>
      <c r="V226" s="379">
        <f>V220/Semidetached!V$4</f>
        <v>54.305664704433354</v>
      </c>
      <c r="W226" s="379">
        <f>W220/Semidetached!W$4</f>
        <v>48.147110947060419</v>
      </c>
      <c r="X226" s="379">
        <f>X220/Semidetached!X$4</f>
        <v>52.63947443693025</v>
      </c>
      <c r="Y226" s="379">
        <f>Y220/Semidetached!Y$4</f>
        <v>27.188006166839873</v>
      </c>
      <c r="Z226" s="379">
        <f>Z220/Semidetached!Z$4</f>
        <v>46.5136352229528</v>
      </c>
      <c r="AA226" s="379">
        <f>AA220/Semidetached!AA$4</f>
        <v>55.371059624520015</v>
      </c>
      <c r="AB226" s="379">
        <f>AB220/Semidetached!AB$4</f>
        <v>79.08095580411387</v>
      </c>
      <c r="AC226" s="379">
        <f>AC220/Semidetached!AC$4</f>
        <v>44.137097034248391</v>
      </c>
      <c r="AD226" s="379">
        <f>AD220/Semidetached!AD$4</f>
        <v>99.678500676479786</v>
      </c>
      <c r="AE226" s="379">
        <f>AE220/Semidetached!AE$4</f>
        <v>53.926840156524186</v>
      </c>
      <c r="AF226" s="379">
        <f>AF220/Semidetached!AF$4</f>
        <v>35.637838207517873</v>
      </c>
      <c r="AG226" s="379">
        <f>AG220/Semidetached!AG$4</f>
        <v>75.511470843209665</v>
      </c>
      <c r="AH226" s="379">
        <f>AH220/Semidetached!AH$4</f>
        <v>52.143135484915163</v>
      </c>
      <c r="AI226" s="379">
        <f>AI220/Semidetached!AI$4</f>
        <v>42.058822282368169</v>
      </c>
      <c r="AJ226" s="379">
        <f>AJ220/Semidetached!AJ$4</f>
        <v>81.048934954418414</v>
      </c>
      <c r="AK226" s="379">
        <f>AK220/Semidetached!AK$4</f>
        <v>65.19007541729907</v>
      </c>
      <c r="AL226" s="379">
        <f>AL220/Semidetached!AL$4</f>
        <v>54.683115106027586</v>
      </c>
      <c r="AM226" s="379">
        <f>AM220/Semidetached!AM$4</f>
        <v>74.530625675058971</v>
      </c>
      <c r="AN226" s="380">
        <f>AN220/Semidetached!AN$4</f>
        <v>74.530625675058957</v>
      </c>
    </row>
    <row r="227" spans="1:40">
      <c r="A227" s="334" t="s">
        <v>299</v>
      </c>
      <c r="B227" s="359" t="s">
        <v>2</v>
      </c>
      <c r="C227" s="366" t="s">
        <v>190</v>
      </c>
      <c r="D227" s="376">
        <f>Semidetached!D$48-D221</f>
        <v>57.350022184670365</v>
      </c>
      <c r="E227" s="376">
        <f>Semidetached!E$48-E221</f>
        <v>53.625093914514025</v>
      </c>
      <c r="F227" s="376">
        <f>Semidetached!F$48-F221</f>
        <v>58.561735652221614</v>
      </c>
      <c r="G227" s="376">
        <f>Semidetached!G$48-G221</f>
        <v>54.741079160985848</v>
      </c>
      <c r="H227" s="376">
        <f>Semidetached!H$48-H221</f>
        <v>17.57274037642226</v>
      </c>
      <c r="I227" s="376">
        <f>Semidetached!I$48-I221</f>
        <v>28.873811662003803</v>
      </c>
      <c r="J227" s="376">
        <f>Semidetached!J$48-J221</f>
        <v>59.748052142578189</v>
      </c>
      <c r="K227" s="376">
        <f>Semidetached!K$48-K221</f>
        <v>26.912567722335496</v>
      </c>
      <c r="L227" s="376">
        <f>Semidetached!L$48-L221</f>
        <v>19.738300232170076</v>
      </c>
      <c r="M227" s="376">
        <f>Semidetached!M$48-M221</f>
        <v>47.267501728033906</v>
      </c>
      <c r="N227" s="376">
        <f>Semidetached!N$48-N221</f>
        <v>33.047469696063189</v>
      </c>
      <c r="O227" s="376">
        <f>Semidetached!O$48-O221</f>
        <v>64.314881201845594</v>
      </c>
      <c r="P227" s="376">
        <f>Semidetached!P$48-P221</f>
        <v>43.42117548994436</v>
      </c>
      <c r="Q227" s="376">
        <f>Semidetached!Q$48-Q221</f>
        <v>41.810987790881143</v>
      </c>
      <c r="R227" s="376">
        <f>Semidetached!R$48-R221</f>
        <v>54.45204894618395</v>
      </c>
      <c r="S227" s="376">
        <f>Semidetached!S$48-S221</f>
        <v>48.749899888082837</v>
      </c>
      <c r="T227" s="376">
        <f>Semidetached!T$48-T221</f>
        <v>27.972556112012043</v>
      </c>
      <c r="U227" s="376">
        <f>Semidetached!U$48-U221</f>
        <v>35.349299368959393</v>
      </c>
      <c r="V227" s="376">
        <f>Semidetached!V$48-V221</f>
        <v>42.871699122167172</v>
      </c>
      <c r="W227" s="376">
        <f>Semidetached!W$48-W221</f>
        <v>35.062333616103246</v>
      </c>
      <c r="X227" s="376">
        <f>Semidetached!X$48-X221</f>
        <v>44.745608141352903</v>
      </c>
      <c r="Y227" s="376">
        <f>Semidetached!Y$48-Y221</f>
        <v>16.261715338167413</v>
      </c>
      <c r="Z227" s="376">
        <f>Semidetached!Z$48-Z221</f>
        <v>51.420270744843307</v>
      </c>
      <c r="AA227" s="376">
        <f>Semidetached!AA$48-AA221</f>
        <v>21.628459880304874</v>
      </c>
      <c r="AB227" s="376">
        <f>Semidetached!AB$48-AB221</f>
        <v>71.394249075721262</v>
      </c>
      <c r="AC227" s="376">
        <f>Semidetached!AC$48-AC221</f>
        <v>25.241798337788936</v>
      </c>
      <c r="AD227" s="376">
        <f>Semidetached!AD$48-AD221</f>
        <v>76.927043573400255</v>
      </c>
      <c r="AE227" s="376">
        <f>Semidetached!AE$48-AE221</f>
        <v>21.075748234120724</v>
      </c>
      <c r="AF227" s="376">
        <f>Semidetached!AF$48-AF221</f>
        <v>48.133891026133441</v>
      </c>
      <c r="AG227" s="376">
        <f>Semidetached!AG$48-AG221</f>
        <v>55.530175279741769</v>
      </c>
      <c r="AH227" s="376">
        <f>Semidetached!AH$48-AH221</f>
        <v>63.541206273148902</v>
      </c>
      <c r="AI227" s="376">
        <f>Semidetached!AI$48-AI221</f>
        <v>40.104082024073321</v>
      </c>
      <c r="AJ227" s="376">
        <f>Semidetached!AJ$48-AJ221</f>
        <v>55.239991206882038</v>
      </c>
      <c r="AK227" s="376">
        <f>Semidetached!AK$48-AK221</f>
        <v>43.123167503452265</v>
      </c>
      <c r="AL227" s="376">
        <f>Semidetached!AL$48-AL221</f>
        <v>56.695382577150312</v>
      </c>
      <c r="AM227" s="376">
        <f>Semidetached!AM$48-AM221</f>
        <v>50.797349888053418</v>
      </c>
      <c r="AN227" s="377">
        <f>Semidetached!AN$48-AN221</f>
        <v>50.797349888053432</v>
      </c>
    </row>
    <row r="228" spans="1:40">
      <c r="A228" s="154"/>
      <c r="B228" s="347" t="s">
        <v>3</v>
      </c>
      <c r="C228" s="367" t="s">
        <v>190</v>
      </c>
      <c r="D228" s="370">
        <f>Semidetached!D$49-D222</f>
        <v>45.419048226678967</v>
      </c>
      <c r="E228" s="370">
        <f>Semidetached!E$49-E222</f>
        <v>53.625093914514025</v>
      </c>
      <c r="F228" s="370">
        <f>Semidetached!F$49-F222</f>
        <v>58.561735652221614</v>
      </c>
      <c r="G228" s="370">
        <f>Semidetached!G$49-G222</f>
        <v>43.347881548204171</v>
      </c>
      <c r="H228" s="370">
        <f>Semidetached!H$49-H222</f>
        <v>14.219735281430317</v>
      </c>
      <c r="I228" s="370">
        <f>Semidetached!I$49-I222</f>
        <v>28.15389957195238</v>
      </c>
      <c r="J228" s="370">
        <f>Semidetached!J$49-J222</f>
        <v>41.872516949939225</v>
      </c>
      <c r="K228" s="370">
        <f>Semidetached!K$49-K222</f>
        <v>27.384611891038091</v>
      </c>
      <c r="L228" s="370">
        <f>Semidetached!L$49-L222</f>
        <v>19.738300232170076</v>
      </c>
      <c r="M228" s="370">
        <f>Semidetached!M$49-M222</f>
        <v>39.587147750151701</v>
      </c>
      <c r="N228" s="370">
        <f>Semidetached!N$49-N222</f>
        <v>30.59695137226781</v>
      </c>
      <c r="O228" s="370">
        <f>Semidetached!O$49-O222</f>
        <v>64.314881201845594</v>
      </c>
      <c r="P228" s="370">
        <f>Semidetached!P$49-P222</f>
        <v>43.42117548994436</v>
      </c>
      <c r="Q228" s="370">
        <f>Semidetached!Q$49-Q222</f>
        <v>48.845976561315368</v>
      </c>
      <c r="R228" s="370">
        <f>Semidetached!R$49-R222</f>
        <v>54.45204894618395</v>
      </c>
      <c r="S228" s="370">
        <f>Semidetached!S$49-S222</f>
        <v>48.557084418250057</v>
      </c>
      <c r="T228" s="370">
        <f>Semidetached!T$49-T222</f>
        <v>25.900091649843418</v>
      </c>
      <c r="U228" s="370">
        <f>Semidetached!U$49-U222</f>
        <v>30.926073212259439</v>
      </c>
      <c r="V228" s="370">
        <f>Semidetached!V$49-V222</f>
        <v>42.871699122167172</v>
      </c>
      <c r="W228" s="370">
        <f>Semidetached!W$49-W222</f>
        <v>61.854481869298539</v>
      </c>
      <c r="X228" s="370">
        <f>Semidetached!X$49-X222</f>
        <v>44.82273751477419</v>
      </c>
      <c r="Y228" s="370">
        <f>Semidetached!Y$49-Y222</f>
        <v>16.268242931995111</v>
      </c>
      <c r="Z228" s="370">
        <f>Semidetached!Z$49-Z222</f>
        <v>43.82161325580681</v>
      </c>
      <c r="AA228" s="370">
        <f>Semidetached!AA$49-AA222</f>
        <v>21.641053410384529</v>
      </c>
      <c r="AB228" s="370">
        <f>Semidetached!AB$49-AB222</f>
        <v>49.027509975142024</v>
      </c>
      <c r="AC228" s="370">
        <f>Semidetached!AC$49-AC222</f>
        <v>18.085380663949877</v>
      </c>
      <c r="AD228" s="370">
        <f>Semidetached!AD$49-AD222</f>
        <v>68.650758909116334</v>
      </c>
      <c r="AE228" s="370">
        <f>Semidetached!AE$49-AE222</f>
        <v>21.088208118794597</v>
      </c>
      <c r="AF228" s="370">
        <f>Semidetached!AF$49-AF222</f>
        <v>48.133891026133441</v>
      </c>
      <c r="AG228" s="370">
        <f>Semidetached!AG$49-AG222</f>
        <v>43.472220538495861</v>
      </c>
      <c r="AH228" s="370">
        <f>Semidetached!AH$49-AH222</f>
        <v>70.045807593159566</v>
      </c>
      <c r="AI228" s="370">
        <f>Semidetached!AI$49-AI222</f>
        <v>40.104082024073321</v>
      </c>
      <c r="AJ228" s="370">
        <f>Semidetached!AJ$49-AJ222</f>
        <v>55.239991206882038</v>
      </c>
      <c r="AK228" s="370">
        <f>Semidetached!AK$49-AK222</f>
        <v>43.123167503452265</v>
      </c>
      <c r="AL228" s="370">
        <f>Semidetached!AL$49-AL222</f>
        <v>56.695382577150312</v>
      </c>
      <c r="AM228" s="370">
        <f>Semidetached!AM$49-AM222</f>
        <v>50.797349888053418</v>
      </c>
      <c r="AN228" s="371">
        <f>Semidetached!AN$49-AN222</f>
        <v>50.797349888053432</v>
      </c>
    </row>
    <row r="229" spans="1:40">
      <c r="A229" s="154"/>
      <c r="B229" s="347" t="s">
        <v>4</v>
      </c>
      <c r="C229" s="367" t="s">
        <v>190</v>
      </c>
      <c r="D229" s="370">
        <f>Semidetached!D$50-D223</f>
        <v>34.976803589255141</v>
      </c>
      <c r="E229" s="370">
        <f>Semidetached!E$50-E223</f>
        <v>53.625093914514025</v>
      </c>
      <c r="F229" s="370">
        <f>Semidetached!F$50-F223</f>
        <v>53.892420883545341</v>
      </c>
      <c r="G229" s="370">
        <f>Semidetached!G$50-G223</f>
        <v>33.390442612548753</v>
      </c>
      <c r="H229" s="370">
        <f>Semidetached!H$50-H223</f>
        <v>10.753373289863255</v>
      </c>
      <c r="I229" s="370">
        <f>Semidetached!I$50-I223</f>
        <v>28.15389957195238</v>
      </c>
      <c r="J229" s="370">
        <f>Semidetached!J$50-J223</f>
        <v>22.111924391759388</v>
      </c>
      <c r="K229" s="370">
        <f>Semidetached!K$50-K223</f>
        <v>13.685965143388053</v>
      </c>
      <c r="L229" s="370">
        <f>Semidetached!L$50-L223</f>
        <v>11.822942364137518</v>
      </c>
      <c r="M229" s="370">
        <f>Semidetached!M$50-M223</f>
        <v>39.587147750151701</v>
      </c>
      <c r="N229" s="370">
        <f>Semidetached!N$50-N223</f>
        <v>19.719069882861234</v>
      </c>
      <c r="O229" s="370">
        <f>Semidetached!O$50-O223</f>
        <v>24.571211965614125</v>
      </c>
      <c r="P229" s="370">
        <f>Semidetached!P$50-P223</f>
        <v>43.42117548994436</v>
      </c>
      <c r="Q229" s="370">
        <f>Semidetached!Q$50-Q223</f>
        <v>42.349316957198255</v>
      </c>
      <c r="R229" s="370">
        <f>Semidetached!R$50-R223</f>
        <v>43.233537214116666</v>
      </c>
      <c r="S229" s="370">
        <f>Semidetached!S$50-S223</f>
        <v>50.746032993660961</v>
      </c>
      <c r="T229" s="370">
        <f>Semidetached!T$50-T223</f>
        <v>16.69272762319784</v>
      </c>
      <c r="U229" s="370">
        <f>Semidetached!U$50-U223</f>
        <v>31.330473845743825</v>
      </c>
      <c r="V229" s="370">
        <f>Semidetached!V$50-V223</f>
        <v>20.348946589810495</v>
      </c>
      <c r="W229" s="370">
        <f>Semidetached!W$50-W223</f>
        <v>20.735139325237981</v>
      </c>
      <c r="X229" s="370">
        <f>Semidetached!X$50-X223</f>
        <v>39.615371846633934</v>
      </c>
      <c r="Y229" s="370">
        <f>Semidetached!Y$50-Y223</f>
        <v>9.6790721401212494</v>
      </c>
      <c r="Z229" s="370">
        <f>Semidetached!Z$50-Z223</f>
        <v>44.247680796843596</v>
      </c>
      <c r="AA229" s="370">
        <f>Semidetached!AA$50-AA223</f>
        <v>8.4836806436946262</v>
      </c>
      <c r="AB229" s="370">
        <f>Semidetached!AB$50-AB223</f>
        <v>26.283541730077161</v>
      </c>
      <c r="AC229" s="370">
        <f>Semidetached!AC$50-AC223</f>
        <v>18.168299860307044</v>
      </c>
      <c r="AD229" s="370">
        <f>Semidetached!AD$50-AD223</f>
        <v>68.650758909116334</v>
      </c>
      <c r="AE229" s="370">
        <f>Semidetached!AE$50-AE223</f>
        <v>8.2637888900795815</v>
      </c>
      <c r="AF229" s="370">
        <f>Semidetached!AF$50-AF223</f>
        <v>49.240208656545292</v>
      </c>
      <c r="AG229" s="370">
        <f>Semidetached!AG$50-AG223</f>
        <v>43.472220538495861</v>
      </c>
      <c r="AH229" s="370">
        <f>Semidetached!AH$50-AH223</f>
        <v>57.437560286086438</v>
      </c>
      <c r="AI229" s="370">
        <f>Semidetached!AI$50-AI223</f>
        <v>40.104082024073321</v>
      </c>
      <c r="AJ229" s="370">
        <f>Semidetached!AJ$50-AJ223</f>
        <v>55.239991206882038</v>
      </c>
      <c r="AK229" s="370">
        <f>Semidetached!AK$50-AK223</f>
        <v>43.123167503452265</v>
      </c>
      <c r="AL229" s="370">
        <f>Semidetached!AL$50-AL223</f>
        <v>52.181578430135275</v>
      </c>
      <c r="AM229" s="370">
        <f>Semidetached!AM$50-AM223</f>
        <v>50.797349888053418</v>
      </c>
      <c r="AN229" s="371">
        <f>Semidetached!AN$50-AN223</f>
        <v>50.797349888053432</v>
      </c>
    </row>
    <row r="230" spans="1:40">
      <c r="A230" s="154"/>
      <c r="B230" s="347" t="s">
        <v>5</v>
      </c>
      <c r="C230" s="367" t="s">
        <v>190</v>
      </c>
      <c r="D230" s="370">
        <f>Semidetached!D$51-D224</f>
        <v>21.118564160580114</v>
      </c>
      <c r="E230" s="370">
        <f>Semidetached!E$51-E224</f>
        <v>44.952747419211605</v>
      </c>
      <c r="F230" s="370">
        <f>Semidetached!F$51-F224</f>
        <v>42.333215693521069</v>
      </c>
      <c r="G230" s="370">
        <f>Semidetached!G$51-G224</f>
        <v>20.16663263090669</v>
      </c>
      <c r="H230" s="370">
        <f>Semidetached!H$51-H224</f>
        <v>10.830382038878419</v>
      </c>
      <c r="I230" s="370">
        <f>Semidetached!I$51-I224</f>
        <v>24.043064451694647</v>
      </c>
      <c r="J230" s="370">
        <f>Semidetached!J$51-J224</f>
        <v>19.974881857060318</v>
      </c>
      <c r="K230" s="370">
        <f>Semidetached!K$51-K224</f>
        <v>8.5306258313870558</v>
      </c>
      <c r="L230" s="370">
        <f>Semidetached!L$51-L224</f>
        <v>8.2953317389750367</v>
      </c>
      <c r="M230" s="370">
        <f>Semidetached!M$51-M224</f>
        <v>30.882066467982284</v>
      </c>
      <c r="N230" s="370">
        <f>Semidetached!N$51-N224</f>
        <v>11.862636043719078</v>
      </c>
      <c r="O230" s="370">
        <f>Semidetached!O$51-O224</f>
        <v>20.111862740167062</v>
      </c>
      <c r="P230" s="370">
        <f>Semidetached!P$51-P224</f>
        <v>43.731191835872963</v>
      </c>
      <c r="Q230" s="370">
        <f>Semidetached!Q$51-Q224</f>
        <v>42.349316957198255</v>
      </c>
      <c r="R230" s="370">
        <f>Semidetached!R$51-R224</f>
        <v>24.294205883468251</v>
      </c>
      <c r="S230" s="370">
        <f>Semidetached!S$51-S224</f>
        <v>32.298043771149104</v>
      </c>
      <c r="T230" s="370">
        <f>Semidetached!T$51-T224</f>
        <v>10.042053429698541</v>
      </c>
      <c r="U230" s="370">
        <f>Semidetached!U$51-U224</f>
        <v>18.116966983900127</v>
      </c>
      <c r="V230" s="370">
        <f>Semidetached!V$51-V224</f>
        <v>20.348946589810495</v>
      </c>
      <c r="W230" s="370">
        <f>Semidetached!W$51-W224</f>
        <v>18.929481332253474</v>
      </c>
      <c r="X230" s="370">
        <f>Semidetached!X$51-X224</f>
        <v>19.585124647710018</v>
      </c>
      <c r="Y230" s="370">
        <f>Semidetached!Y$51-Y224</f>
        <v>9.899091811374241</v>
      </c>
      <c r="Z230" s="370">
        <f>Semidetached!Z$51-Z224</f>
        <v>13.3365971989369</v>
      </c>
      <c r="AA230" s="370">
        <f>Semidetached!AA$51-AA224</f>
        <v>8.5011379846919937</v>
      </c>
      <c r="AB230" s="370">
        <f>Semidetached!AB$51-AB224</f>
        <v>26.283541730077161</v>
      </c>
      <c r="AC230" s="370">
        <f>Semidetached!AC$51-AC224</f>
        <v>16.770641838473921</v>
      </c>
      <c r="AD230" s="370">
        <f>Semidetached!AD$51-AD224</f>
        <v>50.756227555492899</v>
      </c>
      <c r="AE230" s="370">
        <f>Semidetached!AE$51-AE224</f>
        <v>8.2810150929044894</v>
      </c>
      <c r="AF230" s="370">
        <f>Semidetached!AF$51-AF224</f>
        <v>29.215482908004333</v>
      </c>
      <c r="AG230" s="370">
        <f>Semidetached!AG$51-AG224</f>
        <v>35.484070116067343</v>
      </c>
      <c r="AH230" s="370">
        <f>Semidetached!AH$51-AH224</f>
        <v>17.782887326162751</v>
      </c>
      <c r="AI230" s="370">
        <f>Semidetached!AI$51-AI224</f>
        <v>40.395811461908735</v>
      </c>
      <c r="AJ230" s="370">
        <f>Semidetached!AJ$51-AJ224</f>
        <v>44.883613417950528</v>
      </c>
      <c r="AK230" s="370">
        <f>Semidetached!AK$51-AK224</f>
        <v>35.091535487916801</v>
      </c>
      <c r="AL230" s="370">
        <f>Semidetached!AL$51-AL224</f>
        <v>41.001742737157258</v>
      </c>
      <c r="AM230" s="370">
        <f>Semidetached!AM$51-AM224</f>
        <v>41.273877225884021</v>
      </c>
      <c r="AN230" s="371">
        <f>Semidetached!AN$51-AN224</f>
        <v>41.273877225884007</v>
      </c>
    </row>
    <row r="231" spans="1:40">
      <c r="A231" s="154"/>
      <c r="B231" s="347" t="s">
        <v>6</v>
      </c>
      <c r="C231" s="367" t="s">
        <v>190</v>
      </c>
      <c r="D231" s="370">
        <f>Semidetached!D$52-D225</f>
        <v>14.938863604363078</v>
      </c>
      <c r="E231" s="370">
        <f>Semidetached!E$52-E225</f>
        <v>44.952747419211605</v>
      </c>
      <c r="F231" s="370">
        <f>Semidetached!F$52-F225</f>
        <v>32.390434804658682</v>
      </c>
      <c r="G231" s="370">
        <f>Semidetached!G$52-G225</f>
        <v>14.265016746702052</v>
      </c>
      <c r="H231" s="370">
        <f>Semidetached!H$52-H225</f>
        <v>11.007211990445477</v>
      </c>
      <c r="I231" s="370">
        <f>Semidetached!I$52-I225</f>
        <v>13.476633396732666</v>
      </c>
      <c r="J231" s="370">
        <f>Semidetached!J$52-J225</f>
        <v>6.1047829248058108</v>
      </c>
      <c r="K231" s="370">
        <f>Semidetached!K$52-K225</f>
        <v>8.5306258313870558</v>
      </c>
      <c r="L231" s="370">
        <f>Semidetached!L$52-L225</f>
        <v>6.9752091440409814</v>
      </c>
      <c r="M231" s="370">
        <f>Semidetached!M$52-M225</f>
        <v>30.882066467982284</v>
      </c>
      <c r="N231" s="370">
        <f>Semidetached!N$52-N225</f>
        <v>11.56440329351004</v>
      </c>
      <c r="O231" s="370">
        <f>Semidetached!O$52-O225</f>
        <v>7.768609154044654</v>
      </c>
      <c r="P231" s="370">
        <f>Semidetached!P$52-P225</f>
        <v>43.731191835872963</v>
      </c>
      <c r="Q231" s="370">
        <f>Semidetached!Q$52-Q225</f>
        <v>25.799842497712092</v>
      </c>
      <c r="R231" s="370">
        <f>Semidetached!R$52-R225</f>
        <v>24.294205883468251</v>
      </c>
      <c r="S231" s="370">
        <f>Semidetached!S$52-S225</f>
        <v>20.838359238167754</v>
      </c>
      <c r="T231" s="370">
        <f>Semidetached!T$52-T225</f>
        <v>9.7896726192984431</v>
      </c>
      <c r="U231" s="370">
        <f>Semidetached!U$52-U225</f>
        <v>14.836693085640761</v>
      </c>
      <c r="V231" s="370">
        <f>Semidetached!V$52-V225</f>
        <v>20.348946589810495</v>
      </c>
      <c r="W231" s="370">
        <f>Semidetached!W$52-W225</f>
        <v>15.195403252151891</v>
      </c>
      <c r="X231" s="370">
        <f>Semidetached!X$52-X225</f>
        <v>19.673813316262951</v>
      </c>
      <c r="Y231" s="370">
        <f>Semidetached!Y$52-Y225</f>
        <v>9.9452979453746693</v>
      </c>
      <c r="Z231" s="370">
        <f>Semidetached!Z$52-Z225</f>
        <v>11.484996176287893</v>
      </c>
      <c r="AA231" s="370">
        <f>Semidetached!AA$52-AA225</f>
        <v>5.0257944300164041</v>
      </c>
      <c r="AB231" s="370">
        <f>Semidetached!AB$52-AB225</f>
        <v>26.283541730077161</v>
      </c>
      <c r="AC231" s="370">
        <f>Semidetached!AC$52-AC225</f>
        <v>14.026363620064032</v>
      </c>
      <c r="AD231" s="370">
        <f>Semidetached!AD$52-AD225</f>
        <v>50.756227555492899</v>
      </c>
      <c r="AE231" s="370">
        <f>Semidetached!AE$52-AE225</f>
        <v>4.8953118150611346</v>
      </c>
      <c r="AF231" s="370">
        <f>Semidetached!AF$52-AF225</f>
        <v>17.946062513879006</v>
      </c>
      <c r="AG231" s="370">
        <f>Semidetached!AG$52-AG225</f>
        <v>36.324636956259212</v>
      </c>
      <c r="AH231" s="370">
        <f>Semidetached!AH$52-AH225</f>
        <v>11.885266353157228</v>
      </c>
      <c r="AI231" s="370">
        <f>Semidetached!AI$52-AI225</f>
        <v>40.395811461908735</v>
      </c>
      <c r="AJ231" s="370">
        <f>Semidetached!AJ$52-AJ225</f>
        <v>40.604639192875609</v>
      </c>
      <c r="AK231" s="370">
        <f>Semidetached!AK$52-AK225</f>
        <v>31.772934106829453</v>
      </c>
      <c r="AL231" s="370">
        <f>Semidetached!AL$52-AL225</f>
        <v>31.404425470913523</v>
      </c>
      <c r="AM231" s="370">
        <f>Semidetached!AM$52-AM225</f>
        <v>37.339036793722371</v>
      </c>
      <c r="AN231" s="371">
        <f>Semidetached!AN$52-AN225</f>
        <v>37.339036793722371</v>
      </c>
    </row>
    <row r="232" spans="1:40">
      <c r="A232" s="155"/>
      <c r="B232" s="338" t="s">
        <v>7</v>
      </c>
      <c r="C232" s="368" t="s">
        <v>190</v>
      </c>
      <c r="D232" s="379">
        <f>Semidetached!D$53-D226</f>
        <v>13.148199554101986</v>
      </c>
      <c r="E232" s="379">
        <f>Semidetached!E$53-E226</f>
        <v>20.829314803491393</v>
      </c>
      <c r="F232" s="379">
        <f>Semidetached!F$53-F226</f>
        <v>11.418813359659907</v>
      </c>
      <c r="G232" s="379">
        <f>Semidetached!G$53-G226</f>
        <v>12.557771315570406</v>
      </c>
      <c r="H232" s="379">
        <f>Semidetached!H$53-H226</f>
        <v>11.47155938411013</v>
      </c>
      <c r="I232" s="379">
        <f>Semidetached!I$53-I226</f>
        <v>10.969360055920866</v>
      </c>
      <c r="J232" s="379">
        <f>Semidetached!J$53-J226</f>
        <v>8.5532827539884195</v>
      </c>
      <c r="K232" s="379">
        <f>Semidetached!K$53-K226</f>
        <v>5.244405029279001</v>
      </c>
      <c r="L232" s="379">
        <f>Semidetached!L$53-L226</f>
        <v>6.9752091440409814</v>
      </c>
      <c r="M232" s="379">
        <f>Semidetached!M$53-M226</f>
        <v>13.701725330491605</v>
      </c>
      <c r="N232" s="379">
        <f>Semidetached!N$53-N226</f>
        <v>10.493112240379375</v>
      </c>
      <c r="O232" s="379">
        <f>Semidetached!O$53-O226</f>
        <v>7.3631784461531211</v>
      </c>
      <c r="P232" s="379">
        <f>Semidetached!P$53-P226</f>
        <v>10.174892721738487</v>
      </c>
      <c r="Q232" s="379">
        <f>Semidetached!Q$53-Q226</f>
        <v>7.7408806380882353</v>
      </c>
      <c r="R232" s="379">
        <f>Semidetached!R$53-R226</f>
        <v>11.850151966844649</v>
      </c>
      <c r="S232" s="379">
        <f>Semidetached!S$53-S226</f>
        <v>6.3677670374650504</v>
      </c>
      <c r="T232" s="379">
        <f>Semidetached!T$53-T226</f>
        <v>8.8828545416259743</v>
      </c>
      <c r="U232" s="379">
        <f>Semidetached!U$53-U226</f>
        <v>14.930004134095327</v>
      </c>
      <c r="V232" s="379">
        <f>Semidetached!V$53-V226</f>
        <v>4.0186770318390046</v>
      </c>
      <c r="W232" s="379">
        <f>Semidetached!W$53-W226</f>
        <v>9.9008298595672386</v>
      </c>
      <c r="X232" s="379">
        <f>Semidetached!X$53-X226</f>
        <v>4.2764900322434229</v>
      </c>
      <c r="Y232" s="379">
        <f>Semidetached!Y$53-Y226</f>
        <v>8.7173769264943282</v>
      </c>
      <c r="Z232" s="379">
        <f>Semidetached!Z$53-Z226</f>
        <v>8.476800154887016</v>
      </c>
      <c r="AA232" s="379">
        <f>Semidetached!AA$53-AA226</f>
        <v>5.1178101142616015</v>
      </c>
      <c r="AB232" s="379">
        <f>Semidetached!AB$53-AB226</f>
        <v>12.653241778600162</v>
      </c>
      <c r="AC232" s="379">
        <f>Semidetached!AC$53-AC226</f>
        <v>8.514863392941173</v>
      </c>
      <c r="AD232" s="379">
        <f>Semidetached!AD$53-AD226</f>
        <v>32.906729903204706</v>
      </c>
      <c r="AE232" s="379">
        <f>Semidetached!AE$53-AE226</f>
        <v>4.986150042035689</v>
      </c>
      <c r="AF232" s="379">
        <f>Semidetached!AF$53-AF226</f>
        <v>6.370136422376163</v>
      </c>
      <c r="AG232" s="379">
        <f>Semidetached!AG$53-AG226</f>
        <v>13.623789746948219</v>
      </c>
      <c r="AH232" s="379">
        <f>Semidetached!AH$53-AH226</f>
        <v>7.8093406992016199</v>
      </c>
      <c r="AI232" s="379">
        <f>Semidetached!AI$53-AI226</f>
        <v>9.4014685525442445</v>
      </c>
      <c r="AJ232" s="379">
        <f>Semidetached!AJ$53-AJ226</f>
        <v>32.089562302410087</v>
      </c>
      <c r="AK232" s="379">
        <f>Semidetached!AK$53-AK226</f>
        <v>25.096765022498872</v>
      </c>
      <c r="AL232" s="379">
        <f>Semidetached!AL$53-AL226</f>
        <v>11.071622033289756</v>
      </c>
      <c r="AM232" s="379">
        <f>Semidetached!AM$53-AM226</f>
        <v>29.508779571038986</v>
      </c>
      <c r="AN232" s="380">
        <f>Semidetached!AN$53-AN226</f>
        <v>29.508779571038986</v>
      </c>
    </row>
  </sheetData>
  <mergeCells count="7">
    <mergeCell ref="A202:B202"/>
    <mergeCell ref="A4:B4"/>
    <mergeCell ref="A37:B37"/>
    <mergeCell ref="A70:B70"/>
    <mergeCell ref="A103:B103"/>
    <mergeCell ref="A136:B136"/>
    <mergeCell ref="A169:B169"/>
  </mergeCell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7">
    <tabColor rgb="FFFFFF00"/>
  </sheetPr>
  <dimension ref="A1:AN232"/>
  <sheetViews>
    <sheetView zoomScale="70" zoomScaleNormal="70" workbookViewId="0">
      <pane ySplit="2" topLeftCell="A3" activePane="bottomLeft" state="frozen"/>
      <selection activeCell="J18" sqref="J18"/>
      <selection pane="bottomLeft" activeCell="J18" sqref="J18"/>
    </sheetView>
  </sheetViews>
  <sheetFormatPr defaultColWidth="9.109375" defaultRowHeight="14.4"/>
  <cols>
    <col min="1" max="1" width="34.44140625" customWidth="1"/>
    <col min="2" max="2" width="19.5546875" customWidth="1"/>
    <col min="3" max="3" width="15.6640625" bestFit="1" customWidth="1"/>
  </cols>
  <sheetData>
    <row r="1" spans="1:40" ht="21">
      <c r="A1" s="3" t="s">
        <v>124</v>
      </c>
      <c r="B1" s="3" t="s">
        <v>58</v>
      </c>
    </row>
    <row r="2" spans="1:40">
      <c r="A2" s="344" t="s">
        <v>253</v>
      </c>
      <c r="B2" s="158"/>
      <c r="C2" s="159" t="s">
        <v>1</v>
      </c>
      <c r="D2" s="165" t="s">
        <v>88</v>
      </c>
      <c r="E2" s="165" t="s">
        <v>89</v>
      </c>
      <c r="F2" s="165" t="s">
        <v>90</v>
      </c>
      <c r="G2" s="165" t="s">
        <v>91</v>
      </c>
      <c r="H2" s="165" t="s">
        <v>92</v>
      </c>
      <c r="I2" s="165" t="s">
        <v>93</v>
      </c>
      <c r="J2" s="165" t="s">
        <v>94</v>
      </c>
      <c r="K2" s="165" t="s">
        <v>95</v>
      </c>
      <c r="L2" s="165" t="s">
        <v>96</v>
      </c>
      <c r="M2" s="165" t="s">
        <v>97</v>
      </c>
      <c r="N2" s="165" t="s">
        <v>98</v>
      </c>
      <c r="O2" s="165" t="s">
        <v>99</v>
      </c>
      <c r="P2" s="165" t="s">
        <v>205</v>
      </c>
      <c r="Q2" s="165" t="s">
        <v>118</v>
      </c>
      <c r="R2" s="165" t="s">
        <v>100</v>
      </c>
      <c r="S2" s="165" t="s">
        <v>101</v>
      </c>
      <c r="T2" s="165" t="s">
        <v>102</v>
      </c>
      <c r="U2" s="165" t="s">
        <v>103</v>
      </c>
      <c r="V2" s="165" t="s">
        <v>104</v>
      </c>
      <c r="W2" s="165" t="s">
        <v>105</v>
      </c>
      <c r="X2" s="165" t="s">
        <v>106</v>
      </c>
      <c r="Y2" s="165" t="s">
        <v>107</v>
      </c>
      <c r="Z2" s="165" t="s">
        <v>108</v>
      </c>
      <c r="AA2" s="165" t="s">
        <v>109</v>
      </c>
      <c r="AB2" s="165" t="s">
        <v>110</v>
      </c>
      <c r="AC2" s="165" t="s">
        <v>111</v>
      </c>
      <c r="AD2" s="165" t="s">
        <v>112</v>
      </c>
      <c r="AE2" s="165" t="s">
        <v>113</v>
      </c>
      <c r="AF2" s="165" t="s">
        <v>114</v>
      </c>
      <c r="AG2" s="165" t="s">
        <v>115</v>
      </c>
      <c r="AH2" s="165" t="s">
        <v>52</v>
      </c>
      <c r="AI2" s="165" t="s">
        <v>116</v>
      </c>
      <c r="AJ2" s="165" t="s">
        <v>117</v>
      </c>
      <c r="AK2" s="165" t="s">
        <v>119</v>
      </c>
      <c r="AL2" s="165" t="s">
        <v>120</v>
      </c>
      <c r="AM2" s="165" t="s">
        <v>121</v>
      </c>
      <c r="AN2" s="166" t="s">
        <v>122</v>
      </c>
    </row>
    <row r="3" spans="1:40" s="5" customFormat="1">
      <c r="A3" s="5" t="s">
        <v>223</v>
      </c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</row>
    <row r="4" spans="1:40" s="5" customFormat="1">
      <c r="A4" s="938" t="s">
        <v>123</v>
      </c>
      <c r="B4" s="939"/>
      <c r="C4" s="138" t="s">
        <v>76</v>
      </c>
      <c r="D4" s="194">
        <v>1</v>
      </c>
      <c r="E4" s="195">
        <v>1</v>
      </c>
      <c r="F4" s="195">
        <v>1</v>
      </c>
      <c r="G4" s="195">
        <v>1</v>
      </c>
      <c r="H4" s="195">
        <v>1</v>
      </c>
      <c r="I4" s="195">
        <v>1</v>
      </c>
      <c r="J4" s="195">
        <v>1</v>
      </c>
      <c r="K4" s="195">
        <v>1</v>
      </c>
      <c r="L4" s="195">
        <v>1</v>
      </c>
      <c r="M4" s="195">
        <v>1</v>
      </c>
      <c r="N4" s="195">
        <v>1</v>
      </c>
      <c r="O4" s="195">
        <v>1</v>
      </c>
      <c r="P4" s="195">
        <v>1</v>
      </c>
      <c r="Q4" s="195">
        <v>1</v>
      </c>
      <c r="R4" s="195">
        <v>1</v>
      </c>
      <c r="S4" s="195">
        <v>1</v>
      </c>
      <c r="T4" s="195">
        <v>1</v>
      </c>
      <c r="U4" s="195">
        <v>1</v>
      </c>
      <c r="V4" s="195">
        <v>1</v>
      </c>
      <c r="W4" s="195">
        <v>1</v>
      </c>
      <c r="X4" s="195">
        <v>1</v>
      </c>
      <c r="Y4" s="195">
        <v>1</v>
      </c>
      <c r="Z4" s="195">
        <v>1</v>
      </c>
      <c r="AA4" s="195">
        <v>1</v>
      </c>
      <c r="AB4" s="195">
        <v>1</v>
      </c>
      <c r="AC4" s="195">
        <v>1</v>
      </c>
      <c r="AD4" s="195">
        <v>1</v>
      </c>
      <c r="AE4" s="195">
        <v>1</v>
      </c>
      <c r="AF4" s="195">
        <v>1</v>
      </c>
      <c r="AG4" s="195">
        <v>1</v>
      </c>
      <c r="AH4" s="195">
        <v>1</v>
      </c>
      <c r="AI4" s="195">
        <v>1</v>
      </c>
      <c r="AJ4" s="195">
        <v>1</v>
      </c>
      <c r="AK4" s="195">
        <v>1</v>
      </c>
      <c r="AL4" s="195">
        <v>1</v>
      </c>
      <c r="AM4" s="195">
        <v>1</v>
      </c>
      <c r="AN4" s="196">
        <v>1</v>
      </c>
    </row>
    <row r="5" spans="1:40" s="5" customFormat="1">
      <c r="A5" s="151" t="s">
        <v>193</v>
      </c>
      <c r="B5" s="141" t="s">
        <v>2</v>
      </c>
      <c r="C5" s="144" t="s">
        <v>195</v>
      </c>
      <c r="D5" s="170">
        <f>((LOOKUP(Flat!D$2,'Ceiling-U'!$A$4:$A$40,'Ceiling-U'!$E$4:$E$40)*Flat!D$15)+(LOOKUP(Flat!D$2,'Floor-U'!$A$4:$A$40,'Floor-U'!$E$4:$E$40)*Flat!D$16)+(LOOKUP(Flat!D$2,'Wall-U'!$A$4:$A$40,'Wall-U'!$E$4:$E$40)*Flat!D$13)+(LOOKUP(Flat!D$2,'Window-U'!$A$4:$A$40,'Window-U'!$Q$4:$Q$40)*Flat!D$22))*D4</f>
        <v>2621.0684368102293</v>
      </c>
      <c r="E5" s="171">
        <f>((LOOKUP(Flat!E$2,'Ceiling-U'!$A$4:$A$40,'Ceiling-U'!$E$4:$E$40)*Flat!E$15)+(LOOKUP(Flat!E$2,'Floor-U'!$A$4:$A$40,'Floor-U'!$E$4:$E$40)*Flat!E$16)+(LOOKUP(Flat!E$2,'Wall-U'!$A$4:$A$40,'Wall-U'!$E$4:$E$40)*Flat!E$13)+(LOOKUP(Flat!E$2,'Window-U'!$A$4:$A$40,'Window-U'!$Q$4:$Q$40)*Flat!E$22))*E4</f>
        <v>3147.6059714657667</v>
      </c>
      <c r="F5" s="171">
        <f>((LOOKUP(Flat!F$2,'Ceiling-U'!$A$4:$A$40,'Ceiling-U'!$E$4:$E$40)*Flat!F$15)+(LOOKUP(Flat!F$2,'Floor-U'!$A$4:$A$40,'Floor-U'!$E$4:$E$40)*Flat!F$16)+(LOOKUP(Flat!F$2,'Wall-U'!$A$4:$A$40,'Wall-U'!$E$4:$E$40)*Flat!F$13)+(LOOKUP(Flat!F$2,'Window-U'!$A$4:$A$40,'Window-U'!$Q$4:$Q$40)*Flat!F$22))*F4</f>
        <v>4066.1014179890412</v>
      </c>
      <c r="G5" s="171">
        <f>((LOOKUP(Flat!G$2,'Ceiling-U'!$A$4:$A$40,'Ceiling-U'!$E$4:$E$40)*Flat!G$15)+(LOOKUP(Flat!G$2,'Floor-U'!$A$4:$A$40,'Floor-U'!$E$4:$E$40)*Flat!G$16)+(LOOKUP(Flat!G$2,'Wall-U'!$A$4:$A$40,'Wall-U'!$E$4:$E$40)*Flat!G$13)+(LOOKUP(Flat!G$2,'Window-U'!$A$4:$A$40,'Window-U'!$Q$4:$Q$40)*Flat!G$22))*G4</f>
        <v>2621.0684368102293</v>
      </c>
      <c r="H5" s="171">
        <f>((LOOKUP(Flat!H$2,'Ceiling-U'!$A$4:$A$40,'Ceiling-U'!$E$4:$E$40)*Flat!H$15)+(LOOKUP(Flat!H$2,'Floor-U'!$A$4:$A$40,'Floor-U'!$E$4:$E$40)*Flat!H$16)+(LOOKUP(Flat!H$2,'Wall-U'!$A$4:$A$40,'Wall-U'!$E$4:$E$40)*Flat!H$13)+(LOOKUP(Flat!H$2,'Window-U'!$A$4:$A$40,'Window-U'!$Q$4:$Q$40)*Flat!H$22))*H4</f>
        <v>4237.7460269590292</v>
      </c>
      <c r="I5" s="171">
        <f>((LOOKUP(Flat!I$2,'Ceiling-U'!$A$4:$A$40,'Ceiling-U'!$E$4:$E$40)*Flat!I$15)+(LOOKUP(Flat!I$2,'Floor-U'!$A$4:$A$40,'Floor-U'!$E$4:$E$40)*Flat!I$16)+(LOOKUP(Flat!I$2,'Wall-U'!$A$4:$A$40,'Wall-U'!$E$4:$E$40)*Flat!I$13)+(LOOKUP(Flat!I$2,'Window-U'!$A$4:$A$40,'Window-U'!$Q$4:$Q$40)*Flat!I$22))*I4</f>
        <v>1716.0521934191602</v>
      </c>
      <c r="J5" s="171">
        <f>((LOOKUP(Flat!J$2,'Ceiling-U'!$A$4:$A$40,'Ceiling-U'!$E$4:$E$40)*Flat!J$15)+(LOOKUP(Flat!J$2,'Floor-U'!$A$4:$A$40,'Floor-U'!$E$4:$E$40)*Flat!J$16)+(LOOKUP(Flat!J$2,'Wall-U'!$A$4:$A$40,'Wall-U'!$E$4:$E$40)*Flat!J$13)+(LOOKUP(Flat!J$2,'Window-U'!$A$4:$A$40,'Window-U'!$Q$4:$Q$40)*Flat!J$22))*J4</f>
        <v>2820.7587221243048</v>
      </c>
      <c r="K5" s="171">
        <f>((LOOKUP(Flat!K$2,'Ceiling-U'!$A$4:$A$40,'Ceiling-U'!$E$4:$E$40)*Flat!K$15)+(LOOKUP(Flat!K$2,'Floor-U'!$A$4:$A$40,'Floor-U'!$E$4:$E$40)*Flat!K$16)+(LOOKUP(Flat!K$2,'Wall-U'!$A$4:$A$40,'Wall-U'!$E$4:$E$40)*Flat!K$13)+(LOOKUP(Flat!K$2,'Window-U'!$A$4:$A$40,'Window-U'!$Q$4:$Q$40)*Flat!K$22))*K4</f>
        <v>2203.2192349831757</v>
      </c>
      <c r="L5" s="171">
        <f>((LOOKUP(Flat!L$2,'Ceiling-U'!$A$4:$A$40,'Ceiling-U'!$E$4:$E$40)*Flat!L$15)+(LOOKUP(Flat!L$2,'Floor-U'!$A$4:$A$40,'Floor-U'!$E$4:$E$40)*Flat!L$16)+(LOOKUP(Flat!L$2,'Wall-U'!$A$4:$A$40,'Wall-U'!$E$4:$E$40)*Flat!L$13)+(LOOKUP(Flat!L$2,'Window-U'!$A$4:$A$40,'Window-U'!$Q$4:$Q$40)*Flat!L$22))*L4</f>
        <v>949.72600802657848</v>
      </c>
      <c r="M5" s="171">
        <f>((LOOKUP(Flat!M$2,'Ceiling-U'!$A$4:$A$40,'Ceiling-U'!$E$4:$E$40)*Flat!M$15)+(LOOKUP(Flat!M$2,'Floor-U'!$A$4:$A$40,'Floor-U'!$E$4:$E$40)*Flat!M$16)+(LOOKUP(Flat!M$2,'Wall-U'!$A$4:$A$40,'Wall-U'!$E$4:$E$40)*Flat!M$13)+(LOOKUP(Flat!M$2,'Window-U'!$A$4:$A$40,'Window-U'!$Q$4:$Q$40)*Flat!M$22))*M4</f>
        <v>2915.361839329556</v>
      </c>
      <c r="N5" s="171">
        <f>((LOOKUP(Flat!N$2,'Ceiling-U'!$A$4:$A$40,'Ceiling-U'!$E$4:$E$40)*Flat!N$15)+(LOOKUP(Flat!N$2,'Floor-U'!$A$4:$A$40,'Floor-U'!$E$4:$E$40)*Flat!N$16)+(LOOKUP(Flat!N$2,'Wall-U'!$A$4:$A$40,'Wall-U'!$E$4:$E$40)*Flat!N$13)+(LOOKUP(Flat!N$2,'Window-U'!$A$4:$A$40,'Window-U'!$Q$4:$Q$40)*Flat!N$22))*N4</f>
        <v>2301.5372605756675</v>
      </c>
      <c r="O5" s="171">
        <f>((LOOKUP(Flat!O$2,'Ceiling-U'!$A$4:$A$40,'Ceiling-U'!$E$4:$E$40)*Flat!O$15)+(LOOKUP(Flat!O$2,'Floor-U'!$A$4:$A$40,'Floor-U'!$E$4:$E$40)*Flat!O$16)+(LOOKUP(Flat!O$2,'Wall-U'!$A$4:$A$40,'Wall-U'!$E$4:$E$40)*Flat!O$13)+(LOOKUP(Flat!O$2,'Window-U'!$A$4:$A$40,'Window-U'!$Q$4:$Q$40)*Flat!O$22))*O4</f>
        <v>3999.8577587770546</v>
      </c>
      <c r="P5" s="171">
        <f>((LOOKUP(Flat!P$2,'Ceiling-U'!$A$4:$A$40,'Ceiling-U'!$E$4:$E$40)*Flat!P$15)+(LOOKUP(Flat!P$2,'Floor-U'!$A$4:$A$40,'Floor-U'!$E$4:$E$40)*Flat!P$16)+(LOOKUP(Flat!P$2,'Wall-U'!$A$4:$A$40,'Wall-U'!$E$4:$E$40)*Flat!P$13)+(LOOKUP(Flat!P$2,'Window-U'!$A$4:$A$40,'Window-U'!$Q$4:$Q$40)*Flat!P$22))*P4</f>
        <v>2688.3934065809658</v>
      </c>
      <c r="Q5" s="171">
        <f>((LOOKUP(Flat!Q$2,'Ceiling-U'!$A$4:$A$40,'Ceiling-U'!$E$4:$E$40)*Flat!Q$15)+(LOOKUP(Flat!Q$2,'Floor-U'!$A$4:$A$40,'Floor-U'!$E$4:$E$40)*Flat!Q$16)+(LOOKUP(Flat!Q$2,'Wall-U'!$A$4:$A$40,'Wall-U'!$E$4:$E$40)*Flat!Q$13)+(LOOKUP(Flat!Q$2,'Window-U'!$A$4:$A$40,'Window-U'!$Q$4:$Q$40)*Flat!Q$22))*Q4</f>
        <v>2149.1204905322325</v>
      </c>
      <c r="R5" s="171">
        <f>((LOOKUP(Flat!R$2,'Ceiling-U'!$A$4:$A$40,'Ceiling-U'!$E$4:$E$40)*Flat!R$15)+(LOOKUP(Flat!R$2,'Floor-U'!$A$4:$A$40,'Floor-U'!$E$4:$E$40)*Flat!R$16)+(LOOKUP(Flat!R$2,'Wall-U'!$A$4:$A$40,'Wall-U'!$E$4:$E$40)*Flat!R$13)+(LOOKUP(Flat!R$2,'Window-U'!$A$4:$A$40,'Window-U'!$Q$4:$Q$40)*Flat!R$22))*R4</f>
        <v>2127.123083202011</v>
      </c>
      <c r="S5" s="171">
        <f>((LOOKUP(Flat!S$2,'Ceiling-U'!$A$4:$A$40,'Ceiling-U'!$E$4:$E$40)*Flat!S$15)+(LOOKUP(Flat!S$2,'Floor-U'!$A$4:$A$40,'Floor-U'!$E$4:$E$40)*Flat!S$16)+(LOOKUP(Flat!S$2,'Wall-U'!$A$4:$A$40,'Wall-U'!$E$4:$E$40)*Flat!S$13)+(LOOKUP(Flat!S$2,'Window-U'!$A$4:$A$40,'Window-U'!$Q$4:$Q$40)*Flat!S$22))*S4</f>
        <v>7735.5491444855797</v>
      </c>
      <c r="T5" s="171">
        <f>((LOOKUP(Flat!T$2,'Ceiling-U'!$A$4:$A$40,'Ceiling-U'!$E$4:$E$40)*Flat!T$15)+(LOOKUP(Flat!T$2,'Floor-U'!$A$4:$A$40,'Floor-U'!$E$4:$E$40)*Flat!T$16)+(LOOKUP(Flat!T$2,'Wall-U'!$A$4:$A$40,'Wall-U'!$E$4:$E$40)*Flat!T$13)+(LOOKUP(Flat!T$2,'Window-U'!$A$4:$A$40,'Window-U'!$Q$4:$Q$40)*Flat!T$22))*T4</f>
        <v>1160.3323910130757</v>
      </c>
      <c r="U5" s="171">
        <f>((LOOKUP(Flat!U$2,'Ceiling-U'!$A$4:$A$40,'Ceiling-U'!$E$4:$E$40)*Flat!U$15)+(LOOKUP(Flat!U$2,'Floor-U'!$A$4:$A$40,'Floor-U'!$E$4:$E$40)*Flat!U$16)+(LOOKUP(Flat!U$2,'Wall-U'!$A$4:$A$40,'Wall-U'!$E$4:$E$40)*Flat!U$13)+(LOOKUP(Flat!U$2,'Window-U'!$A$4:$A$40,'Window-U'!$Q$4:$Q$40)*Flat!U$22))*U4</f>
        <v>3781.8345131495862</v>
      </c>
      <c r="V5" s="171">
        <f>((LOOKUP(Flat!V$2,'Ceiling-U'!$A$4:$A$40,'Ceiling-U'!$E$4:$E$40)*Flat!V$15)+(LOOKUP(Flat!V$2,'Floor-U'!$A$4:$A$40,'Floor-U'!$E$4:$E$40)*Flat!V$16)+(LOOKUP(Flat!V$2,'Wall-U'!$A$4:$A$40,'Wall-U'!$E$4:$E$40)*Flat!V$13)+(LOOKUP(Flat!V$2,'Window-U'!$A$4:$A$40,'Window-U'!$Q$4:$Q$40)*Flat!V$22))*V4</f>
        <v>1605.2671045766331</v>
      </c>
      <c r="W5" s="171">
        <f>((LOOKUP(Flat!W$2,'Ceiling-U'!$A$4:$A$40,'Ceiling-U'!$E$4:$E$40)*Flat!W$15)+(LOOKUP(Flat!W$2,'Floor-U'!$A$4:$A$40,'Floor-U'!$E$4:$E$40)*Flat!W$16)+(LOOKUP(Flat!W$2,'Wall-U'!$A$4:$A$40,'Wall-U'!$E$4:$E$40)*Flat!W$13)+(LOOKUP(Flat!W$2,'Window-U'!$A$4:$A$40,'Window-U'!$Q$4:$Q$40)*Flat!W$22))*W4</f>
        <v>2480.3221459866509</v>
      </c>
      <c r="X5" s="171">
        <f>((LOOKUP(Flat!X$2,'Ceiling-U'!$A$4:$A$40,'Ceiling-U'!$E$4:$E$40)*Flat!X$15)+(LOOKUP(Flat!X$2,'Floor-U'!$A$4:$A$40,'Floor-U'!$E$4:$E$40)*Flat!X$16)+(LOOKUP(Flat!X$2,'Wall-U'!$A$4:$A$40,'Wall-U'!$E$4:$E$40)*Flat!X$13)+(LOOKUP(Flat!X$2,'Window-U'!$A$4:$A$40,'Window-U'!$Q$4:$Q$40)*Flat!X$22))*X4</f>
        <v>1658.5433489193808</v>
      </c>
      <c r="Y5" s="171">
        <f>((LOOKUP(Flat!Y$2,'Ceiling-U'!$A$4:$A$40,'Ceiling-U'!$E$4:$E$40)*Flat!Y$15)+(LOOKUP(Flat!Y$2,'Floor-U'!$A$4:$A$40,'Floor-U'!$E$4:$E$40)*Flat!Y$16)+(LOOKUP(Flat!Y$2,'Wall-U'!$A$4:$A$40,'Wall-U'!$E$4:$E$40)*Flat!Y$13)+(LOOKUP(Flat!Y$2,'Window-U'!$A$4:$A$40,'Window-U'!$Q$4:$Q$40)*Flat!Y$22))*Y4</f>
        <v>5185.5783170475779</v>
      </c>
      <c r="Z5" s="171">
        <f>((LOOKUP(Flat!Z$2,'Ceiling-U'!$A$4:$A$40,'Ceiling-U'!$E$4:$E$40)*Flat!Z$15)+(LOOKUP(Flat!Z$2,'Floor-U'!$A$4:$A$40,'Floor-U'!$E$4:$E$40)*Flat!Z$16)+(LOOKUP(Flat!Z$2,'Wall-U'!$A$4:$A$40,'Wall-U'!$E$4:$E$40)*Flat!Z$13)+(LOOKUP(Flat!Z$2,'Window-U'!$A$4:$A$40,'Window-U'!$Q$4:$Q$40)*Flat!Z$22))*Z4</f>
        <v>3354.1971023184142</v>
      </c>
      <c r="AA5" s="171">
        <f>((LOOKUP(Flat!AA$2,'Ceiling-U'!$A$4:$A$40,'Ceiling-U'!$E$4:$E$40)*Flat!AA$15)+(LOOKUP(Flat!AA$2,'Floor-U'!$A$4:$A$40,'Floor-U'!$E$4:$E$40)*Flat!AA$16)+(LOOKUP(Flat!AA$2,'Wall-U'!$A$4:$A$40,'Wall-U'!$E$4:$E$40)*Flat!AA$13)+(LOOKUP(Flat!AA$2,'Window-U'!$A$4:$A$40,'Window-U'!$Q$4:$Q$40)*Flat!AA$22))*AA4</f>
        <v>1049.4328350713897</v>
      </c>
      <c r="AB5" s="171">
        <f>((LOOKUP(Flat!AB$2,'Ceiling-U'!$A$4:$A$40,'Ceiling-U'!$E$4:$E$40)*Flat!AB$15)+(LOOKUP(Flat!AB$2,'Floor-U'!$A$4:$A$40,'Floor-U'!$E$4:$E$40)*Flat!AB$16)+(LOOKUP(Flat!AB$2,'Wall-U'!$A$4:$A$40,'Wall-U'!$E$4:$E$40)*Flat!AB$13)+(LOOKUP(Flat!AB$2,'Window-U'!$A$4:$A$40,'Window-U'!$Q$4:$Q$40)*Flat!AB$22))*AB4</f>
        <v>3322.9863537257152</v>
      </c>
      <c r="AC5" s="171">
        <f>((LOOKUP(Flat!AC$2,'Ceiling-U'!$A$4:$A$40,'Ceiling-U'!$E$4:$E$40)*Flat!AC$15)+(LOOKUP(Flat!AC$2,'Floor-U'!$A$4:$A$40,'Floor-U'!$E$4:$E$40)*Flat!AC$16)+(LOOKUP(Flat!AC$2,'Wall-U'!$A$4:$A$40,'Wall-U'!$E$4:$E$40)*Flat!AC$13)+(LOOKUP(Flat!AC$2,'Window-U'!$A$4:$A$40,'Window-U'!$Q$4:$Q$40)*Flat!AC$22))*AC4</f>
        <v>4535.3633643976837</v>
      </c>
      <c r="AD5" s="171">
        <f>((LOOKUP(Flat!AD$2,'Ceiling-U'!$A$4:$A$40,'Ceiling-U'!$E$4:$E$40)*Flat!AD$15)+(LOOKUP(Flat!AD$2,'Floor-U'!$A$4:$A$40,'Floor-U'!$E$4:$E$40)*Flat!AD$16)+(LOOKUP(Flat!AD$2,'Wall-U'!$A$4:$A$40,'Wall-U'!$E$4:$E$40)*Flat!AD$13)+(LOOKUP(Flat!AD$2,'Window-U'!$A$4:$A$40,'Window-U'!$Q$4:$Q$40)*Flat!AD$22))*AD4</f>
        <v>6665.2293684085389</v>
      </c>
      <c r="AE5" s="171">
        <f>((LOOKUP(Flat!AE$2,'Ceiling-U'!$A$4:$A$40,'Ceiling-U'!$E$4:$E$40)*Flat!AE$15)+(LOOKUP(Flat!AE$2,'Floor-U'!$A$4:$A$40,'Floor-U'!$E$4:$E$40)*Flat!AE$16)+(LOOKUP(Flat!AE$2,'Wall-U'!$A$4:$A$40,'Wall-U'!$E$4:$E$40)*Flat!AE$13)+(LOOKUP(Flat!AE$2,'Window-U'!$A$4:$A$40,'Window-U'!$Q$4:$Q$40)*Flat!AE$22))*AE4</f>
        <v>1049.4328350713897</v>
      </c>
      <c r="AF5" s="171">
        <f>((LOOKUP(Flat!AF$2,'Ceiling-U'!$A$4:$A$40,'Ceiling-U'!$E$4:$E$40)*Flat!AF$15)+(LOOKUP(Flat!AF$2,'Floor-U'!$A$4:$A$40,'Floor-U'!$E$4:$E$40)*Flat!AF$16)+(LOOKUP(Flat!AF$2,'Wall-U'!$A$4:$A$40,'Wall-U'!$E$4:$E$40)*Flat!AF$13)+(LOOKUP(Flat!AF$2,'Window-U'!$A$4:$A$40,'Window-U'!$Q$4:$Q$40)*Flat!AF$22))*AF4</f>
        <v>2068.8816839383107</v>
      </c>
      <c r="AG5" s="171">
        <f>((LOOKUP(Flat!AG$2,'Ceiling-U'!$A$4:$A$40,'Ceiling-U'!$E$4:$E$40)*Flat!AG$15)+(LOOKUP(Flat!AG$2,'Floor-U'!$A$4:$A$40,'Floor-U'!$E$4:$E$40)*Flat!AG$16)+(LOOKUP(Flat!AG$2,'Wall-U'!$A$4:$A$40,'Wall-U'!$E$4:$E$40)*Flat!AG$13)+(LOOKUP(Flat!AG$2,'Window-U'!$A$4:$A$40,'Window-U'!$Q$4:$Q$40)*Flat!AG$22))*AG4</f>
        <v>2689.7858331483767</v>
      </c>
      <c r="AH5" s="171">
        <f>((LOOKUP(Flat!AH$2,'Ceiling-U'!$A$4:$A$40,'Ceiling-U'!$E$4:$E$40)*Flat!AH$15)+(LOOKUP(Flat!AH$2,'Floor-U'!$A$4:$A$40,'Floor-U'!$E$4:$E$40)*Flat!AH$16)+(LOOKUP(Flat!AH$2,'Wall-U'!$A$4:$A$40,'Wall-U'!$E$4:$E$40)*Flat!AH$13)+(LOOKUP(Flat!AH$2,'Window-U'!$A$4:$A$40,'Window-U'!$Q$4:$Q$40)*Flat!AH$22))*AH4</f>
        <v>6541.6016645007558</v>
      </c>
      <c r="AI5" s="171">
        <f>((LOOKUP(Flat!AI$2,'Ceiling-U'!$A$4:$A$40,'Ceiling-U'!$E$4:$E$40)*Flat!AI$15)+(LOOKUP(Flat!AI$2,'Floor-U'!$A$4:$A$40,'Floor-U'!$E$4:$E$40)*Flat!AI$16)+(LOOKUP(Flat!AI$2,'Wall-U'!$A$4:$A$40,'Wall-U'!$E$4:$E$40)*Flat!AI$13)+(LOOKUP(Flat!AI$2,'Window-U'!$A$4:$A$40,'Window-U'!$Q$4:$Q$40)*Flat!AI$22))*AI4</f>
        <v>4282.9548853856495</v>
      </c>
      <c r="AJ5" s="171">
        <f>((LOOKUP(Flat!AJ$2,'Ceiling-U'!$A$4:$A$40,'Ceiling-U'!$E$4:$E$40)*Flat!AJ$15)+(LOOKUP(Flat!AJ$2,'Floor-U'!$A$4:$A$40,'Floor-U'!$E$4:$E$40)*Flat!AJ$16)+(LOOKUP(Flat!AJ$2,'Wall-U'!$A$4:$A$40,'Wall-U'!$E$4:$E$40)*Flat!AJ$13)+(LOOKUP(Flat!AJ$2,'Window-U'!$A$4:$A$40,'Window-U'!$Q$4:$Q$40)*Flat!AJ$22))*AJ4</f>
        <v>2334.2645369594825</v>
      </c>
      <c r="AK5" s="171">
        <f>((LOOKUP(Flat!AK$2,'Ceiling-U'!$A$4:$A$40,'Ceiling-U'!$E$4:$E$40)*Flat!AK$15)+(LOOKUP(Flat!AK$2,'Floor-U'!$A$4:$A$40,'Floor-U'!$E$4:$E$40)*Flat!AK$16)+(LOOKUP(Flat!AK$2,'Wall-U'!$A$4:$A$40,'Wall-U'!$E$4:$E$40)*Flat!AK$13)+(LOOKUP(Flat!AK$2,'Window-U'!$A$4:$A$40,'Window-U'!$Q$4:$Q$40)*Flat!AK$22))*AK4</f>
        <v>2518.1984471859964</v>
      </c>
      <c r="AL5" s="171">
        <f>((LOOKUP(Flat!AL$2,'Ceiling-U'!$A$4:$A$40,'Ceiling-U'!$E$4:$E$40)*Flat!AL$15)+(LOOKUP(Flat!AL$2,'Floor-U'!$A$4:$A$40,'Floor-U'!$E$4:$E$40)*Flat!AL$16)+(LOOKUP(Flat!AL$2,'Wall-U'!$A$4:$A$40,'Wall-U'!$E$4:$E$40)*Flat!AL$13)+(LOOKUP(Flat!AL$2,'Window-U'!$A$4:$A$40,'Window-U'!$Q$4:$Q$40)*Flat!AL$22))*AL4</f>
        <v>2543.0929261710116</v>
      </c>
      <c r="AM5" s="171">
        <f>((LOOKUP(Flat!AM$2,'Ceiling-U'!$A$4:$A$40,'Ceiling-U'!$E$4:$E$40)*Flat!AM$15)+(LOOKUP(Flat!AM$2,'Floor-U'!$A$4:$A$40,'Floor-U'!$E$4:$E$40)*Flat!AM$16)+(LOOKUP(Flat!AM$2,'Wall-U'!$A$4:$A$40,'Wall-U'!$E$4:$E$40)*Flat!AM$13)+(LOOKUP(Flat!AM$2,'Window-U'!$A$4:$A$40,'Window-U'!$Q$4:$Q$40)*Flat!AM$22))*AM4</f>
        <v>2334.2645369594825</v>
      </c>
      <c r="AN5" s="172">
        <f>((LOOKUP(Flat!AN$2,'Ceiling-U'!$A$4:$A$40,'Ceiling-U'!$E$4:$E$40)*Flat!AN$15)+(LOOKUP(Flat!AN$2,'Floor-U'!$A$4:$A$40,'Floor-U'!$E$4:$E$40)*Flat!AN$16)+(LOOKUP(Flat!AN$2,'Wall-U'!$A$4:$A$40,'Wall-U'!$E$4:$E$40)*Flat!AN$13)+(LOOKUP(Flat!AN$2,'Window-U'!$A$4:$A$40,'Window-U'!$Q$4:$Q$40)*Flat!AN$22))*AN4</f>
        <v>2334.2645369594825</v>
      </c>
    </row>
    <row r="6" spans="1:40" s="5" customFormat="1">
      <c r="A6" s="372"/>
      <c r="B6" s="142" t="s">
        <v>3</v>
      </c>
      <c r="C6" s="131" t="s">
        <v>195</v>
      </c>
      <c r="D6" s="176">
        <f>((LOOKUP(Flat!D$2,'Ceiling-U'!$A$4:$A$40,'Ceiling-U'!$F$4:$F$40)*Flat!D$15)+(LOOKUP(Flat!D$2,'Floor-U'!$A$4:$A$40,'Floor-U'!$F$4:$F$40)*Flat!D$16)+(LOOKUP(Flat!D$2,'Wall-U'!$A$4:$A$40,'Wall-U'!$F$4:$F$40)*Flat!D$13)+(LOOKUP(Flat!D$2,'Window-U'!$A$4:$A$40,'Window-U'!$Q$4:$Q$40)*Flat!D$22))*D4</f>
        <v>2325.4940332861042</v>
      </c>
      <c r="E6" s="177">
        <f>((LOOKUP(Flat!E$2,'Ceiling-U'!$A$4:$A$40,'Ceiling-U'!$F$4:$F$40)*Flat!E$15)+(LOOKUP(Flat!E$2,'Floor-U'!$A$4:$A$40,'Floor-U'!$F$4:$F$40)*Flat!E$16)+(LOOKUP(Flat!E$2,'Wall-U'!$A$4:$A$40,'Wall-U'!$F$4:$F$40)*Flat!E$13)+(LOOKUP(Flat!E$2,'Window-U'!$A$4:$A$40,'Window-U'!$Q$4:$Q$40)*Flat!E$22))*E4</f>
        <v>3147.6059714657667</v>
      </c>
      <c r="F6" s="177">
        <f>((LOOKUP(Flat!F$2,'Ceiling-U'!$A$4:$A$40,'Ceiling-U'!$F$4:$F$40)*Flat!F$15)+(LOOKUP(Flat!F$2,'Floor-U'!$A$4:$A$40,'Floor-U'!$F$4:$F$40)*Flat!F$16)+(LOOKUP(Flat!F$2,'Wall-U'!$A$4:$A$40,'Wall-U'!$F$4:$F$40)*Flat!F$13)+(LOOKUP(Flat!F$2,'Window-U'!$A$4:$A$40,'Window-U'!$Q$4:$Q$40)*Flat!F$22))*F4</f>
        <v>4066.1014179890412</v>
      </c>
      <c r="G6" s="177">
        <f>((LOOKUP(Flat!G$2,'Ceiling-U'!$A$4:$A$40,'Ceiling-U'!$F$4:$F$40)*Flat!G$15)+(LOOKUP(Flat!G$2,'Floor-U'!$A$4:$A$40,'Floor-U'!$F$4:$F$40)*Flat!G$16)+(LOOKUP(Flat!G$2,'Wall-U'!$A$4:$A$40,'Wall-U'!$F$4:$F$40)*Flat!G$13)+(LOOKUP(Flat!G$2,'Window-U'!$A$4:$A$40,'Window-U'!$Q$4:$Q$40)*Flat!G$22))*G4</f>
        <v>2325.4940332861042</v>
      </c>
      <c r="H6" s="177">
        <f>((LOOKUP(Flat!H$2,'Ceiling-U'!$A$4:$A$40,'Ceiling-U'!$F$4:$F$40)*Flat!H$15)+(LOOKUP(Flat!H$2,'Floor-U'!$A$4:$A$40,'Floor-U'!$F$4:$F$40)*Flat!H$16)+(LOOKUP(Flat!H$2,'Wall-U'!$A$4:$A$40,'Wall-U'!$F$4:$F$40)*Flat!H$13)+(LOOKUP(Flat!H$2,'Window-U'!$A$4:$A$40,'Window-U'!$Q$4:$Q$40)*Flat!H$22))*H4</f>
        <v>3828.470579544527</v>
      </c>
      <c r="I6" s="177">
        <f>((LOOKUP(Flat!I$2,'Ceiling-U'!$A$4:$A$40,'Ceiling-U'!$F$4:$F$40)*Flat!I$15)+(LOOKUP(Flat!I$2,'Floor-U'!$A$4:$A$40,'Floor-U'!$F$4:$F$40)*Flat!I$16)+(LOOKUP(Flat!I$2,'Wall-U'!$A$4:$A$40,'Wall-U'!$F$4:$F$40)*Flat!I$13)+(LOOKUP(Flat!I$2,'Window-U'!$A$4:$A$40,'Window-U'!$Q$4:$Q$40)*Flat!I$22))*I4</f>
        <v>1514.6529477898259</v>
      </c>
      <c r="J6" s="177">
        <f>((LOOKUP(Flat!J$2,'Ceiling-U'!$A$4:$A$40,'Ceiling-U'!$F$4:$F$40)*Flat!J$15)+(LOOKUP(Flat!J$2,'Floor-U'!$A$4:$A$40,'Floor-U'!$F$4:$F$40)*Flat!J$16)+(LOOKUP(Flat!J$2,'Wall-U'!$A$4:$A$40,'Wall-U'!$F$4:$F$40)*Flat!J$13)+(LOOKUP(Flat!J$2,'Window-U'!$A$4:$A$40,'Window-U'!$Q$4:$Q$40)*Flat!J$22))*J4</f>
        <v>2343.3900240307721</v>
      </c>
      <c r="K6" s="177">
        <f>((LOOKUP(Flat!K$2,'Ceiling-U'!$A$4:$A$40,'Ceiling-U'!$F$4:$F$40)*Flat!K$15)+(LOOKUP(Flat!K$2,'Floor-U'!$A$4:$A$40,'Floor-U'!$F$4:$F$40)*Flat!K$16)+(LOOKUP(Flat!K$2,'Wall-U'!$A$4:$A$40,'Wall-U'!$F$4:$F$40)*Flat!K$13)+(LOOKUP(Flat!K$2,'Window-U'!$A$4:$A$40,'Window-U'!$Q$4:$Q$40)*Flat!K$22))*K4</f>
        <v>2165.6605410777515</v>
      </c>
      <c r="L6" s="177">
        <f>((LOOKUP(Flat!L$2,'Ceiling-U'!$A$4:$A$40,'Ceiling-U'!$F$4:$F$40)*Flat!L$15)+(LOOKUP(Flat!L$2,'Floor-U'!$A$4:$A$40,'Floor-U'!$F$4:$F$40)*Flat!L$16)+(LOOKUP(Flat!L$2,'Wall-U'!$A$4:$A$40,'Wall-U'!$F$4:$F$40)*Flat!L$13)+(LOOKUP(Flat!L$2,'Window-U'!$A$4:$A$40,'Window-U'!$Q$4:$Q$40)*Flat!L$22))*L4</f>
        <v>949.72600802657848</v>
      </c>
      <c r="M6" s="177">
        <f>((LOOKUP(Flat!M$2,'Ceiling-U'!$A$4:$A$40,'Ceiling-U'!$F$4:$F$40)*Flat!M$15)+(LOOKUP(Flat!M$2,'Floor-U'!$A$4:$A$40,'Floor-U'!$F$4:$F$40)*Flat!M$16)+(LOOKUP(Flat!M$2,'Wall-U'!$A$4:$A$40,'Wall-U'!$F$4:$F$40)*Flat!M$13)+(LOOKUP(Flat!M$2,'Window-U'!$A$4:$A$40,'Window-U'!$Q$4:$Q$40)*Flat!M$22))*M4</f>
        <v>2540.9001933104578</v>
      </c>
      <c r="N6" s="177">
        <f>((LOOKUP(Flat!N$2,'Ceiling-U'!$A$4:$A$40,'Ceiling-U'!$F$4:$F$40)*Flat!N$15)+(LOOKUP(Flat!N$2,'Floor-U'!$A$4:$A$40,'Floor-U'!$F$4:$F$40)*Flat!N$16)+(LOOKUP(Flat!N$2,'Wall-U'!$A$4:$A$40,'Wall-U'!$F$4:$F$40)*Flat!N$13)+(LOOKUP(Flat!N$2,'Window-U'!$A$4:$A$40,'Window-U'!$Q$4:$Q$40)*Flat!N$22))*N4</f>
        <v>2149.9014432039562</v>
      </c>
      <c r="O6" s="177">
        <f>((LOOKUP(Flat!O$2,'Ceiling-U'!$A$4:$A$40,'Ceiling-U'!$F$4:$F$40)*Flat!O$15)+(LOOKUP(Flat!O$2,'Floor-U'!$A$4:$A$40,'Floor-U'!$F$4:$F$40)*Flat!O$16)+(LOOKUP(Flat!O$2,'Wall-U'!$A$4:$A$40,'Wall-U'!$F$4:$F$40)*Flat!O$13)+(LOOKUP(Flat!O$2,'Window-U'!$A$4:$A$40,'Window-U'!$Q$4:$Q$40)*Flat!O$22))*O4</f>
        <v>3999.8577587770546</v>
      </c>
      <c r="P6" s="177">
        <f>((LOOKUP(Flat!P$2,'Ceiling-U'!$A$4:$A$40,'Ceiling-U'!$F$4:$F$40)*Flat!P$15)+(LOOKUP(Flat!P$2,'Floor-U'!$A$4:$A$40,'Floor-U'!$F$4:$F$40)*Flat!P$16)+(LOOKUP(Flat!P$2,'Wall-U'!$A$4:$A$40,'Wall-U'!$F$4:$F$40)*Flat!P$13)+(LOOKUP(Flat!P$2,'Window-U'!$A$4:$A$40,'Window-U'!$Q$4:$Q$40)*Flat!P$22))*P4</f>
        <v>2688.3934065809658</v>
      </c>
      <c r="Q6" s="177">
        <f>((LOOKUP(Flat!Q$2,'Ceiling-U'!$A$4:$A$40,'Ceiling-U'!$F$4:$F$40)*Flat!Q$15)+(LOOKUP(Flat!Q$2,'Floor-U'!$A$4:$A$40,'Floor-U'!$F$4:$F$40)*Flat!Q$16)+(LOOKUP(Flat!Q$2,'Wall-U'!$A$4:$A$40,'Wall-U'!$F$4:$F$40)*Flat!Q$13)+(LOOKUP(Flat!Q$2,'Window-U'!$A$4:$A$40,'Window-U'!$Q$4:$Q$40)*Flat!Q$22))*Q4</f>
        <v>2341.1141096952028</v>
      </c>
      <c r="R6" s="177">
        <f>((LOOKUP(Flat!R$2,'Ceiling-U'!$A$4:$A$40,'Ceiling-U'!$F$4:$F$40)*Flat!R$15)+(LOOKUP(Flat!R$2,'Floor-U'!$A$4:$A$40,'Floor-U'!$F$4:$F$40)*Flat!R$16)+(LOOKUP(Flat!R$2,'Wall-U'!$A$4:$A$40,'Wall-U'!$F$4:$F$40)*Flat!R$13)+(LOOKUP(Flat!R$2,'Window-U'!$A$4:$A$40,'Window-U'!$Q$4:$Q$40)*Flat!R$22))*R4</f>
        <v>2127.123083202011</v>
      </c>
      <c r="S6" s="177">
        <f>((LOOKUP(Flat!S$2,'Ceiling-U'!$A$4:$A$40,'Ceiling-U'!$F$4:$F$40)*Flat!S$15)+(LOOKUP(Flat!S$2,'Floor-U'!$A$4:$A$40,'Floor-U'!$F$4:$F$40)*Flat!S$16)+(LOOKUP(Flat!S$2,'Wall-U'!$A$4:$A$40,'Wall-U'!$F$4:$F$40)*Flat!S$13)+(LOOKUP(Flat!S$2,'Window-U'!$A$4:$A$40,'Window-U'!$Q$4:$Q$40)*Flat!S$22))*S4</f>
        <v>7841.394848394988</v>
      </c>
      <c r="T6" s="177">
        <f>((LOOKUP(Flat!T$2,'Ceiling-U'!$A$4:$A$40,'Ceiling-U'!$F$4:$F$40)*Flat!T$15)+(LOOKUP(Flat!T$2,'Floor-U'!$A$4:$A$40,'Floor-U'!$F$4:$F$40)*Flat!T$16)+(LOOKUP(Flat!T$2,'Wall-U'!$A$4:$A$40,'Wall-U'!$F$4:$F$40)*Flat!T$13)+(LOOKUP(Flat!T$2,'Window-U'!$A$4:$A$40,'Window-U'!$Q$4:$Q$40)*Flat!T$22))*T4</f>
        <v>1083.6968982788708</v>
      </c>
      <c r="U6" s="177">
        <f>((LOOKUP(Flat!U$2,'Ceiling-U'!$A$4:$A$40,'Ceiling-U'!$F$4:$F$40)*Flat!U$15)+(LOOKUP(Flat!U$2,'Floor-U'!$A$4:$A$40,'Floor-U'!$F$4:$F$40)*Flat!U$16)+(LOOKUP(Flat!U$2,'Wall-U'!$A$4:$A$40,'Wall-U'!$F$4:$F$40)*Flat!U$13)+(LOOKUP(Flat!U$2,'Window-U'!$A$4:$A$40,'Window-U'!$Q$4:$Q$40)*Flat!U$22))*U4</f>
        <v>3494.1173450218544</v>
      </c>
      <c r="V6" s="177">
        <f>((LOOKUP(Flat!V$2,'Ceiling-U'!$A$4:$A$40,'Ceiling-U'!$F$4:$F$40)*Flat!V$15)+(LOOKUP(Flat!V$2,'Floor-U'!$A$4:$A$40,'Floor-U'!$F$4:$F$40)*Flat!V$16)+(LOOKUP(Flat!V$2,'Wall-U'!$A$4:$A$40,'Wall-U'!$F$4:$F$40)*Flat!V$13)+(LOOKUP(Flat!V$2,'Window-U'!$A$4:$A$40,'Window-U'!$Q$4:$Q$40)*Flat!V$22))*V4</f>
        <v>1605.2671045766331</v>
      </c>
      <c r="W6" s="177">
        <f>((LOOKUP(Flat!W$2,'Ceiling-U'!$A$4:$A$40,'Ceiling-U'!$F$4:$F$40)*Flat!W$15)+(LOOKUP(Flat!W$2,'Floor-U'!$A$4:$A$40,'Floor-U'!$F$4:$F$40)*Flat!W$16)+(LOOKUP(Flat!W$2,'Wall-U'!$A$4:$A$40,'Wall-U'!$F$4:$F$40)*Flat!W$13)+(LOOKUP(Flat!W$2,'Window-U'!$A$4:$A$40,'Window-U'!$Q$4:$Q$40)*Flat!W$22))*W4</f>
        <v>2950.9846828340346</v>
      </c>
      <c r="X6" s="177">
        <f>((LOOKUP(Flat!X$2,'Ceiling-U'!$A$4:$A$40,'Ceiling-U'!$F$4:$F$40)*Flat!X$15)+(LOOKUP(Flat!X$2,'Floor-U'!$A$4:$A$40,'Floor-U'!$F$4:$F$40)*Flat!X$16)+(LOOKUP(Flat!X$2,'Wall-U'!$A$4:$A$40,'Wall-U'!$F$4:$F$40)*Flat!X$13)+(LOOKUP(Flat!X$2,'Window-U'!$A$4:$A$40,'Window-U'!$Q$4:$Q$40)*Flat!X$22))*X4</f>
        <v>1658.5433489193808</v>
      </c>
      <c r="Y6" s="177">
        <f>((LOOKUP(Flat!Y$2,'Ceiling-U'!$A$4:$A$40,'Ceiling-U'!$F$4:$F$40)*Flat!Y$15)+(LOOKUP(Flat!Y$2,'Floor-U'!$A$4:$A$40,'Floor-U'!$F$4:$F$40)*Flat!Y$16)+(LOOKUP(Flat!Y$2,'Wall-U'!$A$4:$A$40,'Wall-U'!$F$4:$F$40)*Flat!Y$13)+(LOOKUP(Flat!Y$2,'Window-U'!$A$4:$A$40,'Window-U'!$Q$4:$Q$40)*Flat!Y$22))*Y4</f>
        <v>5180.1963363246896</v>
      </c>
      <c r="Z6" s="177">
        <f>((LOOKUP(Flat!Z$2,'Ceiling-U'!$A$4:$A$40,'Ceiling-U'!$F$4:$F$40)*Flat!Z$15)+(LOOKUP(Flat!Z$2,'Floor-U'!$A$4:$A$40,'Floor-U'!$F$4:$F$40)*Flat!Z$16)+(LOOKUP(Flat!Z$2,'Wall-U'!$A$4:$A$40,'Wall-U'!$F$4:$F$40)*Flat!Z$13)+(LOOKUP(Flat!Z$2,'Window-U'!$A$4:$A$40,'Window-U'!$Q$4:$Q$40)*Flat!Z$22))*Z4</f>
        <v>2753.0209152151092</v>
      </c>
      <c r="AA6" s="177">
        <f>((LOOKUP(Flat!AA$2,'Ceiling-U'!$A$4:$A$40,'Ceiling-U'!$F$4:$F$40)*Flat!AA$15)+(LOOKUP(Flat!AA$2,'Floor-U'!$A$4:$A$40,'Floor-U'!$F$4:$F$40)*Flat!AA$16)+(LOOKUP(Flat!AA$2,'Wall-U'!$A$4:$A$40,'Wall-U'!$F$4:$F$40)*Flat!AA$13)+(LOOKUP(Flat!AA$2,'Window-U'!$A$4:$A$40,'Window-U'!$Q$4:$Q$40)*Flat!AA$22))*AA4</f>
        <v>1049.4328350713897</v>
      </c>
      <c r="AB6" s="177">
        <f>((LOOKUP(Flat!AB$2,'Ceiling-U'!$A$4:$A$40,'Ceiling-U'!$F$4:$F$40)*Flat!AB$15)+(LOOKUP(Flat!AB$2,'Floor-U'!$A$4:$A$40,'Floor-U'!$F$4:$F$40)*Flat!AB$16)+(LOOKUP(Flat!AB$2,'Wall-U'!$A$4:$A$40,'Wall-U'!$F$4:$F$40)*Flat!AB$13)+(LOOKUP(Flat!AB$2,'Window-U'!$A$4:$A$40,'Window-U'!$Q$4:$Q$40)*Flat!AB$22))*AB4</f>
        <v>2463.7293611889727</v>
      </c>
      <c r="AC6" s="177">
        <f>((LOOKUP(Flat!AC$2,'Ceiling-U'!$A$4:$A$40,'Ceiling-U'!$F$4:$F$40)*Flat!AC$15)+(LOOKUP(Flat!AC$2,'Floor-U'!$A$4:$A$40,'Floor-U'!$F$4:$F$40)*Flat!AC$16)+(LOOKUP(Flat!AC$2,'Wall-U'!$A$4:$A$40,'Wall-U'!$F$4:$F$40)*Flat!AC$13)+(LOOKUP(Flat!AC$2,'Window-U'!$A$4:$A$40,'Window-U'!$Q$4:$Q$40)*Flat!AC$22))*AC4</f>
        <v>3861.1981382982626</v>
      </c>
      <c r="AD6" s="177">
        <f>((LOOKUP(Flat!AD$2,'Ceiling-U'!$A$4:$A$40,'Ceiling-U'!$F$4:$F$40)*Flat!AD$15)+(LOOKUP(Flat!AD$2,'Floor-U'!$A$4:$A$40,'Floor-U'!$F$4:$F$40)*Flat!AD$16)+(LOOKUP(Flat!AD$2,'Wall-U'!$A$4:$A$40,'Wall-U'!$F$4:$F$40)*Flat!AD$13)+(LOOKUP(Flat!AD$2,'Window-U'!$A$4:$A$40,'Window-U'!$Q$4:$Q$40)*Flat!AD$22))*AD4</f>
        <v>6084.9333412497463</v>
      </c>
      <c r="AE6" s="177">
        <f>((LOOKUP(Flat!AE$2,'Ceiling-U'!$A$4:$A$40,'Ceiling-U'!$F$4:$F$40)*Flat!AE$15)+(LOOKUP(Flat!AE$2,'Floor-U'!$A$4:$A$40,'Floor-U'!$F$4:$F$40)*Flat!AE$16)+(LOOKUP(Flat!AE$2,'Wall-U'!$A$4:$A$40,'Wall-U'!$F$4:$F$40)*Flat!AE$13)+(LOOKUP(Flat!AE$2,'Window-U'!$A$4:$A$40,'Window-U'!$Q$4:$Q$40)*Flat!AE$22))*AE4</f>
        <v>1049.4328350713897</v>
      </c>
      <c r="AF6" s="177">
        <f>((LOOKUP(Flat!AF$2,'Ceiling-U'!$A$4:$A$40,'Ceiling-U'!$F$4:$F$40)*Flat!AF$15)+(LOOKUP(Flat!AF$2,'Floor-U'!$A$4:$A$40,'Floor-U'!$F$4:$F$40)*Flat!AF$16)+(LOOKUP(Flat!AF$2,'Wall-U'!$A$4:$A$40,'Wall-U'!$F$4:$F$40)*Flat!AF$13)+(LOOKUP(Flat!AF$2,'Window-U'!$A$4:$A$40,'Window-U'!$Q$4:$Q$40)*Flat!AF$22))*AF4</f>
        <v>2068.8816839383107</v>
      </c>
      <c r="AG6" s="177">
        <f>((LOOKUP(Flat!AG$2,'Ceiling-U'!$A$4:$A$40,'Ceiling-U'!$F$4:$F$40)*Flat!AG$15)+(LOOKUP(Flat!AG$2,'Floor-U'!$A$4:$A$40,'Floor-U'!$F$4:$F$40)*Flat!AG$16)+(LOOKUP(Flat!AG$2,'Wall-U'!$A$4:$A$40,'Wall-U'!$F$4:$F$40)*Flat!AG$13)+(LOOKUP(Flat!AG$2,'Window-U'!$A$4:$A$40,'Window-U'!$Q$4:$Q$40)*Flat!AG$22))*AG4</f>
        <v>2229.5886665187008</v>
      </c>
      <c r="AH6" s="177">
        <f>((LOOKUP(Flat!AH$2,'Ceiling-U'!$A$4:$A$40,'Ceiling-U'!$F$4:$F$40)*Flat!AH$15)+(LOOKUP(Flat!AH$2,'Floor-U'!$A$4:$A$40,'Floor-U'!$F$4:$F$40)*Flat!AH$16)+(LOOKUP(Flat!AH$2,'Wall-U'!$A$4:$A$40,'Wall-U'!$F$4:$F$40)*Flat!AH$13)+(LOOKUP(Flat!AH$2,'Window-U'!$A$4:$A$40,'Window-U'!$Q$4:$Q$40)*Flat!AH$22))*AH4</f>
        <v>6952.3105908567977</v>
      </c>
      <c r="AI6" s="177">
        <f>((LOOKUP(Flat!AI$2,'Ceiling-U'!$A$4:$A$40,'Ceiling-U'!$F$4:$F$40)*Flat!AI$15)+(LOOKUP(Flat!AI$2,'Floor-U'!$A$4:$A$40,'Floor-U'!$F$4:$F$40)*Flat!AI$16)+(LOOKUP(Flat!AI$2,'Wall-U'!$A$4:$A$40,'Wall-U'!$F$4:$F$40)*Flat!AI$13)+(LOOKUP(Flat!AI$2,'Window-U'!$A$4:$A$40,'Window-U'!$Q$4:$Q$40)*Flat!AI$22))*AI4</f>
        <v>4282.9548853856495</v>
      </c>
      <c r="AJ6" s="177">
        <f>((LOOKUP(Flat!AJ$2,'Ceiling-U'!$A$4:$A$40,'Ceiling-U'!$F$4:$F$40)*Flat!AJ$15)+(LOOKUP(Flat!AJ$2,'Floor-U'!$A$4:$A$40,'Floor-U'!$F$4:$F$40)*Flat!AJ$16)+(LOOKUP(Flat!AJ$2,'Wall-U'!$A$4:$A$40,'Wall-U'!$F$4:$F$40)*Flat!AJ$13)+(LOOKUP(Flat!AJ$2,'Window-U'!$A$4:$A$40,'Window-U'!$Q$4:$Q$40)*Flat!AJ$22))*AJ4</f>
        <v>2334.2645369594825</v>
      </c>
      <c r="AK6" s="177">
        <f>((LOOKUP(Flat!AK$2,'Ceiling-U'!$A$4:$A$40,'Ceiling-U'!$F$4:$F$40)*Flat!AK$15)+(LOOKUP(Flat!AK$2,'Floor-U'!$A$4:$A$40,'Floor-U'!$F$4:$F$40)*Flat!AK$16)+(LOOKUP(Flat!AK$2,'Wall-U'!$A$4:$A$40,'Wall-U'!$F$4:$F$40)*Flat!AK$13)+(LOOKUP(Flat!AK$2,'Window-U'!$A$4:$A$40,'Window-U'!$Q$4:$Q$40)*Flat!AK$22))*AK4</f>
        <v>2518.1984471859964</v>
      </c>
      <c r="AL6" s="177">
        <f>((LOOKUP(Flat!AL$2,'Ceiling-U'!$A$4:$A$40,'Ceiling-U'!$F$4:$F$40)*Flat!AL$15)+(LOOKUP(Flat!AL$2,'Floor-U'!$A$4:$A$40,'Floor-U'!$F$4:$F$40)*Flat!AL$16)+(LOOKUP(Flat!AL$2,'Wall-U'!$A$4:$A$40,'Wall-U'!$F$4:$F$40)*Flat!AL$13)+(LOOKUP(Flat!AL$2,'Window-U'!$A$4:$A$40,'Window-U'!$Q$4:$Q$40)*Flat!AL$22))*AL4</f>
        <v>2543.0929261710116</v>
      </c>
      <c r="AM6" s="177">
        <f>((LOOKUP(Flat!AM$2,'Ceiling-U'!$A$4:$A$40,'Ceiling-U'!$F$4:$F$40)*Flat!AM$15)+(LOOKUP(Flat!AM$2,'Floor-U'!$A$4:$A$40,'Floor-U'!$F$4:$F$40)*Flat!AM$16)+(LOOKUP(Flat!AM$2,'Wall-U'!$A$4:$A$40,'Wall-U'!$F$4:$F$40)*Flat!AM$13)+(LOOKUP(Flat!AM$2,'Window-U'!$A$4:$A$40,'Window-U'!$Q$4:$Q$40)*Flat!AM$22))*AM4</f>
        <v>2334.2645369594825</v>
      </c>
      <c r="AN6" s="178">
        <f>((LOOKUP(Flat!AN$2,'Ceiling-U'!$A$4:$A$40,'Ceiling-U'!$F$4:$F$40)*Flat!AN$15)+(LOOKUP(Flat!AN$2,'Floor-U'!$A$4:$A$40,'Floor-U'!$F$4:$F$40)*Flat!AN$16)+(LOOKUP(Flat!AN$2,'Wall-U'!$A$4:$A$40,'Wall-U'!$F$4:$F$40)*Flat!AN$13)+(LOOKUP(Flat!AN$2,'Window-U'!$A$4:$A$40,'Window-U'!$Q$4:$Q$40)*Flat!AN$22))*AN4</f>
        <v>2334.2645369594825</v>
      </c>
    </row>
    <row r="7" spans="1:40" s="5" customFormat="1">
      <c r="A7" s="372"/>
      <c r="B7" s="142" t="s">
        <v>4</v>
      </c>
      <c r="C7" s="131" t="s">
        <v>195</v>
      </c>
      <c r="D7" s="176">
        <f>((LOOKUP(Flat!D$2,'Ceiling-U'!$A$4:$A$40,'Ceiling-U'!$G$4:$G$40)*Flat!D$15)+(LOOKUP(Flat!D$2,'Floor-U'!$A$4:$A$40,'Floor-U'!$G$4:$G$40)*Flat!D$16)+(LOOKUP(Flat!D$2,'Wall-U'!$A$4:$A$40,'Wall-U'!$G$4:$G$40)*Flat!D$13)+(LOOKUP(Flat!D$2,'Window-U'!$A$4:$A$40,'Window-U'!$Q$4:$Q$40)*Flat!D$22))*D4</f>
        <v>1861.6783637341994</v>
      </c>
      <c r="E7" s="177">
        <f>((LOOKUP(Flat!E$2,'Ceiling-U'!$A$4:$A$40,'Ceiling-U'!$G$4:$G$40)*Flat!E$15)+(LOOKUP(Flat!E$2,'Floor-U'!$A$4:$A$40,'Floor-U'!$G$4:$G$40)*Flat!E$16)+(LOOKUP(Flat!E$2,'Wall-U'!$A$4:$A$40,'Wall-U'!$G$4:$G$40)*Flat!E$13)+(LOOKUP(Flat!E$2,'Window-U'!$A$4:$A$40,'Window-U'!$Q$4:$Q$40)*Flat!E$22))*E4</f>
        <v>3147.6059714657667</v>
      </c>
      <c r="F7" s="177">
        <f>((LOOKUP(Flat!F$2,'Ceiling-U'!$A$4:$A$40,'Ceiling-U'!$G$4:$G$40)*Flat!F$15)+(LOOKUP(Flat!F$2,'Floor-U'!$A$4:$A$40,'Floor-U'!$G$4:$G$40)*Flat!F$16)+(LOOKUP(Flat!F$2,'Wall-U'!$A$4:$A$40,'Wall-U'!$G$4:$G$40)*Flat!F$13)+(LOOKUP(Flat!F$2,'Window-U'!$A$4:$A$40,'Window-U'!$Q$4:$Q$40)*Flat!F$22))*F4</f>
        <v>3813.5224187795475</v>
      </c>
      <c r="G7" s="177">
        <f>((LOOKUP(Flat!G$2,'Ceiling-U'!$A$4:$A$40,'Ceiling-U'!$G$4:$G$40)*Flat!G$15)+(LOOKUP(Flat!G$2,'Floor-U'!$A$4:$A$40,'Floor-U'!$G$4:$G$40)*Flat!G$16)+(LOOKUP(Flat!G$2,'Wall-U'!$A$4:$A$40,'Wall-U'!$G$4:$G$40)*Flat!G$13)+(LOOKUP(Flat!G$2,'Window-U'!$A$4:$A$40,'Window-U'!$Q$4:$Q$40)*Flat!G$22))*G4</f>
        <v>1861.6783637341994</v>
      </c>
      <c r="H7" s="177">
        <f>((LOOKUP(Flat!H$2,'Ceiling-U'!$A$4:$A$40,'Ceiling-U'!$G$4:$G$40)*Flat!H$15)+(LOOKUP(Flat!H$2,'Floor-U'!$A$4:$A$40,'Floor-U'!$G$4:$G$40)*Flat!H$16)+(LOOKUP(Flat!H$2,'Wall-U'!$A$4:$A$40,'Wall-U'!$G$4:$G$40)*Flat!H$13)+(LOOKUP(Flat!H$2,'Window-U'!$A$4:$A$40,'Window-U'!$Q$4:$Q$40)*Flat!H$22))*H4</f>
        <v>3419.1951321300239</v>
      </c>
      <c r="I7" s="177">
        <f>((LOOKUP(Flat!I$2,'Ceiling-U'!$A$4:$A$40,'Ceiling-U'!$G$4:$G$40)*Flat!I$15)+(LOOKUP(Flat!I$2,'Floor-U'!$A$4:$A$40,'Floor-U'!$G$4:$G$40)*Flat!I$16)+(LOOKUP(Flat!I$2,'Wall-U'!$A$4:$A$40,'Wall-U'!$G$4:$G$40)*Flat!I$13)+(LOOKUP(Flat!I$2,'Window-U'!$A$4:$A$40,'Window-U'!$Q$4:$Q$40)*Flat!I$22))*I4</f>
        <v>1514.6529477898259</v>
      </c>
      <c r="J7" s="177">
        <f>((LOOKUP(Flat!J$2,'Ceiling-U'!$A$4:$A$40,'Ceiling-U'!$G$4:$G$40)*Flat!J$15)+(LOOKUP(Flat!J$2,'Floor-U'!$A$4:$A$40,'Floor-U'!$G$4:$G$40)*Flat!J$16)+(LOOKUP(Flat!J$2,'Wall-U'!$A$4:$A$40,'Wall-U'!$G$4:$G$40)*Flat!J$13)+(LOOKUP(Flat!J$2,'Window-U'!$A$4:$A$40,'Window-U'!$Q$4:$Q$40)*Flat!J$22))*J4</f>
        <v>1465.1943887198524</v>
      </c>
      <c r="K7" s="177">
        <f>((LOOKUP(Flat!K$2,'Ceiling-U'!$A$4:$A$40,'Ceiling-U'!$G$4:$G$40)*Flat!K$15)+(LOOKUP(Flat!K$2,'Floor-U'!$A$4:$A$40,'Floor-U'!$G$4:$G$40)*Flat!K$16)+(LOOKUP(Flat!K$2,'Wall-U'!$A$4:$A$40,'Wall-U'!$G$4:$G$40)*Flat!K$13)+(LOOKUP(Flat!K$2,'Window-U'!$A$4:$A$40,'Window-U'!$Q$4:$Q$40)*Flat!K$22))*K4</f>
        <v>1485.0239825036451</v>
      </c>
      <c r="L7" s="177">
        <f>((LOOKUP(Flat!L$2,'Ceiling-U'!$A$4:$A$40,'Ceiling-U'!$G$4:$G$40)*Flat!L$15)+(LOOKUP(Flat!L$2,'Floor-U'!$A$4:$A$40,'Floor-U'!$G$4:$G$40)*Flat!L$16)+(LOOKUP(Flat!L$2,'Wall-U'!$A$4:$A$40,'Wall-U'!$G$4:$G$40)*Flat!L$13)+(LOOKUP(Flat!L$2,'Window-U'!$A$4:$A$40,'Window-U'!$Q$4:$Q$40)*Flat!L$22))*L4</f>
        <v>787.96771882451753</v>
      </c>
      <c r="M7" s="177">
        <f>((LOOKUP(Flat!M$2,'Ceiling-U'!$A$4:$A$40,'Ceiling-U'!$G$4:$G$40)*Flat!M$15)+(LOOKUP(Flat!M$2,'Floor-U'!$A$4:$A$40,'Floor-U'!$G$4:$G$40)*Flat!M$16)+(LOOKUP(Flat!M$2,'Wall-U'!$A$4:$A$40,'Wall-U'!$G$4:$G$40)*Flat!M$13)+(LOOKUP(Flat!M$2,'Window-U'!$A$4:$A$40,'Window-U'!$Q$4:$Q$40)*Flat!M$22))*M4</f>
        <v>2540.9001933104578</v>
      </c>
      <c r="N7" s="177">
        <f>((LOOKUP(Flat!N$2,'Ceiling-U'!$A$4:$A$40,'Ceiling-U'!$G$4:$G$40)*Flat!N$15)+(LOOKUP(Flat!N$2,'Floor-U'!$A$4:$A$40,'Floor-U'!$G$4:$G$40)*Flat!N$16)+(LOOKUP(Flat!N$2,'Wall-U'!$A$4:$A$40,'Wall-U'!$G$4:$G$40)*Flat!N$13)+(LOOKUP(Flat!N$2,'Window-U'!$A$4:$A$40,'Window-U'!$Q$4:$Q$40)*Flat!N$22))*N4</f>
        <v>1848.9626508885754</v>
      </c>
      <c r="O7" s="177">
        <f>((LOOKUP(Flat!O$2,'Ceiling-U'!$A$4:$A$40,'Ceiling-U'!$G$4:$G$40)*Flat!O$15)+(LOOKUP(Flat!O$2,'Floor-U'!$A$4:$A$40,'Floor-U'!$G$4:$G$40)*Flat!O$16)+(LOOKUP(Flat!O$2,'Wall-U'!$A$4:$A$40,'Wall-U'!$G$4:$G$40)*Flat!O$13)+(LOOKUP(Flat!O$2,'Window-U'!$A$4:$A$40,'Window-U'!$Q$4:$Q$40)*Flat!O$22))*O4</f>
        <v>1764.0028058608216</v>
      </c>
      <c r="P7" s="177">
        <f>((LOOKUP(Flat!P$2,'Ceiling-U'!$A$4:$A$40,'Ceiling-U'!$G$4:$G$40)*Flat!P$15)+(LOOKUP(Flat!P$2,'Floor-U'!$A$4:$A$40,'Floor-U'!$G$4:$G$40)*Flat!P$16)+(LOOKUP(Flat!P$2,'Wall-U'!$A$4:$A$40,'Wall-U'!$G$4:$G$40)*Flat!P$13)+(LOOKUP(Flat!P$2,'Window-U'!$A$4:$A$40,'Window-U'!$Q$4:$Q$40)*Flat!P$22))*P4</f>
        <v>2688.3934065809658</v>
      </c>
      <c r="Q7" s="177">
        <f>((LOOKUP(Flat!Q$2,'Ceiling-U'!$A$4:$A$40,'Ceiling-U'!$G$4:$G$40)*Flat!Q$15)+(LOOKUP(Flat!Q$2,'Floor-U'!$A$4:$A$40,'Floor-U'!$G$4:$G$40)*Flat!Q$16)+(LOOKUP(Flat!Q$2,'Wall-U'!$A$4:$A$40,'Wall-U'!$G$4:$G$40)*Flat!Q$13)+(LOOKUP(Flat!Q$2,'Window-U'!$A$4:$A$40,'Window-U'!$Q$4:$Q$40)*Flat!Q$22))*Q4</f>
        <v>2152.9372299722327</v>
      </c>
      <c r="R7" s="177">
        <f>((LOOKUP(Flat!R$2,'Ceiling-U'!$A$4:$A$40,'Ceiling-U'!$G$4:$G$40)*Flat!R$15)+(LOOKUP(Flat!R$2,'Floor-U'!$A$4:$A$40,'Floor-U'!$G$4:$G$40)*Flat!R$16)+(LOOKUP(Flat!R$2,'Wall-U'!$A$4:$A$40,'Wall-U'!$G$4:$G$40)*Flat!R$13)+(LOOKUP(Flat!R$2,'Window-U'!$A$4:$A$40,'Window-U'!$Q$4:$Q$40)*Flat!R$22))*R4</f>
        <v>1816.9604045891338</v>
      </c>
      <c r="S7" s="177">
        <f>((LOOKUP(Flat!S$2,'Ceiling-U'!$A$4:$A$40,'Ceiling-U'!$G$4:$G$40)*Flat!S$15)+(LOOKUP(Flat!S$2,'Floor-U'!$A$4:$A$40,'Floor-U'!$G$4:$G$40)*Flat!S$16)+(LOOKUP(Flat!S$2,'Wall-U'!$A$4:$A$40,'Wall-U'!$G$4:$G$40)*Flat!S$13)+(LOOKUP(Flat!S$2,'Window-U'!$A$4:$A$40,'Window-U'!$Q$4:$Q$40)*Flat!S$22))*S4</f>
        <v>6801.6763534463798</v>
      </c>
      <c r="T7" s="177">
        <f>((LOOKUP(Flat!T$2,'Ceiling-U'!$A$4:$A$40,'Ceiling-U'!$G$4:$G$40)*Flat!T$15)+(LOOKUP(Flat!T$2,'Floor-U'!$A$4:$A$40,'Floor-U'!$G$4:$G$40)*Flat!T$16)+(LOOKUP(Flat!T$2,'Wall-U'!$A$4:$A$40,'Wall-U'!$G$4:$G$40)*Flat!T$13)+(LOOKUP(Flat!T$2,'Window-U'!$A$4:$A$40,'Window-U'!$Q$4:$Q$40)*Flat!T$22))*T4</f>
        <v>901.39436393382607</v>
      </c>
      <c r="U7" s="177">
        <f>((LOOKUP(Flat!U$2,'Ceiling-U'!$A$4:$A$40,'Ceiling-U'!$G$4:$G$40)*Flat!U$15)+(LOOKUP(Flat!U$2,'Floor-U'!$A$4:$A$40,'Floor-U'!$G$4:$G$40)*Flat!U$16)+(LOOKUP(Flat!U$2,'Wall-U'!$A$4:$A$40,'Wall-U'!$G$4:$G$40)*Flat!U$13)+(LOOKUP(Flat!U$2,'Window-U'!$A$4:$A$40,'Window-U'!$Q$4:$Q$40)*Flat!U$22))*U4</f>
        <v>3398.7773450218542</v>
      </c>
      <c r="V7" s="177">
        <f>((LOOKUP(Flat!V$2,'Ceiling-U'!$A$4:$A$40,'Ceiling-U'!$G$4:$G$40)*Flat!V$15)+(LOOKUP(Flat!V$2,'Floor-U'!$A$4:$A$40,'Floor-U'!$G$4:$G$40)*Flat!V$16)+(LOOKUP(Flat!V$2,'Wall-U'!$A$4:$A$40,'Wall-U'!$G$4:$G$40)*Flat!V$13)+(LOOKUP(Flat!V$2,'Window-U'!$A$4:$A$40,'Window-U'!$Q$4:$Q$40)*Flat!V$22))*V4</f>
        <v>1062.030496203618</v>
      </c>
      <c r="W7" s="177">
        <f>((LOOKUP(Flat!W$2,'Ceiling-U'!$A$4:$A$40,'Ceiling-U'!$G$4:$G$40)*Flat!W$15)+(LOOKUP(Flat!W$2,'Floor-U'!$A$4:$A$40,'Floor-U'!$G$4:$G$40)*Flat!W$16)+(LOOKUP(Flat!W$2,'Wall-U'!$A$4:$A$40,'Wall-U'!$G$4:$G$40)*Flat!W$13)+(LOOKUP(Flat!W$2,'Window-U'!$A$4:$A$40,'Window-U'!$Q$4:$Q$40)*Flat!W$22))*W4</f>
        <v>1476.0875961245997</v>
      </c>
      <c r="X7" s="177">
        <f>((LOOKUP(Flat!X$2,'Ceiling-U'!$A$4:$A$40,'Ceiling-U'!$G$4:$G$40)*Flat!X$15)+(LOOKUP(Flat!X$2,'Floor-U'!$A$4:$A$40,'Floor-U'!$G$4:$G$40)*Flat!X$16)+(LOOKUP(Flat!X$2,'Wall-U'!$A$4:$A$40,'Wall-U'!$G$4:$G$40)*Flat!X$13)+(LOOKUP(Flat!X$2,'Window-U'!$A$4:$A$40,'Window-U'!$Q$4:$Q$40)*Flat!X$22))*X4</f>
        <v>1533.1140140274426</v>
      </c>
      <c r="Y7" s="177">
        <f>((LOOKUP(Flat!Y$2,'Ceiling-U'!$A$4:$A$40,'Ceiling-U'!$G$4:$G$40)*Flat!Y$15)+(LOOKUP(Flat!Y$2,'Floor-U'!$A$4:$A$40,'Floor-U'!$G$4:$G$40)*Flat!Y$16)+(LOOKUP(Flat!Y$2,'Wall-U'!$A$4:$A$40,'Wall-U'!$G$4:$G$40)*Flat!Y$13)+(LOOKUP(Flat!Y$2,'Window-U'!$A$4:$A$40,'Window-U'!$Q$4:$Q$40)*Flat!Y$22))*Y4</f>
        <v>3874.2815011183766</v>
      </c>
      <c r="Z7" s="177">
        <f>((LOOKUP(Flat!Z$2,'Ceiling-U'!$A$4:$A$40,'Ceiling-U'!$G$4:$G$40)*Flat!Z$15)+(LOOKUP(Flat!Z$2,'Floor-U'!$A$4:$A$40,'Floor-U'!$G$4:$G$40)*Flat!Z$16)+(LOOKUP(Flat!Z$2,'Wall-U'!$A$4:$A$40,'Wall-U'!$G$4:$G$40)*Flat!Z$13)+(LOOKUP(Flat!Z$2,'Window-U'!$A$4:$A$40,'Window-U'!$Q$4:$Q$40)*Flat!Z$22))*Z4</f>
        <v>2695.2915594151091</v>
      </c>
      <c r="AA7" s="177">
        <f>((LOOKUP(Flat!AA$2,'Ceiling-U'!$A$4:$A$40,'Ceiling-U'!$G$4:$G$40)*Flat!AA$15)+(LOOKUP(Flat!AA$2,'Floor-U'!$A$4:$A$40,'Floor-U'!$G$4:$G$40)*Flat!AA$16)+(LOOKUP(Flat!AA$2,'Wall-U'!$A$4:$A$40,'Wall-U'!$G$4:$G$40)*Flat!AA$13)+(LOOKUP(Flat!AA$2,'Window-U'!$A$4:$A$40,'Window-U'!$Q$4:$Q$40)*Flat!AA$22))*AA4</f>
        <v>737.09635159968207</v>
      </c>
      <c r="AB7" s="177">
        <f>((LOOKUP(Flat!AB$2,'Ceiling-U'!$A$4:$A$40,'Ceiling-U'!$G$4:$G$40)*Flat!AB$15)+(LOOKUP(Flat!AB$2,'Floor-U'!$A$4:$A$40,'Floor-U'!$G$4:$G$40)*Flat!AB$16)+(LOOKUP(Flat!AB$2,'Wall-U'!$A$4:$A$40,'Wall-U'!$G$4:$G$40)*Flat!AB$13)+(LOOKUP(Flat!AB$2,'Window-U'!$A$4:$A$40,'Window-U'!$Q$4:$Q$40)*Flat!AB$22))*AB4</f>
        <v>1758.3742330699797</v>
      </c>
      <c r="AC7" s="177">
        <f>((LOOKUP(Flat!AC$2,'Ceiling-U'!$A$4:$A$40,'Ceiling-U'!$G$4:$G$40)*Flat!AC$15)+(LOOKUP(Flat!AC$2,'Floor-U'!$A$4:$A$40,'Floor-U'!$G$4:$G$40)*Flat!AC$16)+(LOOKUP(Flat!AC$2,'Wall-U'!$A$4:$A$40,'Wall-U'!$G$4:$G$40)*Flat!AC$13)+(LOOKUP(Flat!AC$2,'Window-U'!$A$4:$A$40,'Window-U'!$Q$4:$Q$40)*Flat!AC$22))*AC4</f>
        <v>3803.2020398982627</v>
      </c>
      <c r="AD7" s="177">
        <f>((LOOKUP(Flat!AD$2,'Ceiling-U'!$A$4:$A$40,'Ceiling-U'!$G$4:$G$40)*Flat!AD$15)+(LOOKUP(Flat!AD$2,'Floor-U'!$A$4:$A$40,'Floor-U'!$G$4:$G$40)*Flat!AD$16)+(LOOKUP(Flat!AD$2,'Wall-U'!$A$4:$A$40,'Wall-U'!$G$4:$G$40)*Flat!AD$13)+(LOOKUP(Flat!AD$2,'Window-U'!$A$4:$A$40,'Window-U'!$Q$4:$Q$40)*Flat!AD$22))*AD4</f>
        <v>6084.9333412497463</v>
      </c>
      <c r="AE7" s="177">
        <f>((LOOKUP(Flat!AE$2,'Ceiling-U'!$A$4:$A$40,'Ceiling-U'!$G$4:$G$40)*Flat!AE$15)+(LOOKUP(Flat!AE$2,'Floor-U'!$A$4:$A$40,'Floor-U'!$G$4:$G$40)*Flat!AE$16)+(LOOKUP(Flat!AE$2,'Wall-U'!$A$4:$A$40,'Wall-U'!$G$4:$G$40)*Flat!AE$13)+(LOOKUP(Flat!AE$2,'Window-U'!$A$4:$A$40,'Window-U'!$Q$4:$Q$40)*Flat!AE$22))*AE4</f>
        <v>737.09635159968207</v>
      </c>
      <c r="AF7" s="177">
        <f>((LOOKUP(Flat!AF$2,'Ceiling-U'!$A$4:$A$40,'Ceiling-U'!$G$4:$G$40)*Flat!AF$15)+(LOOKUP(Flat!AF$2,'Floor-U'!$A$4:$A$40,'Floor-U'!$G$4:$G$40)*Flat!AF$16)+(LOOKUP(Flat!AF$2,'Wall-U'!$A$4:$A$40,'Wall-U'!$G$4:$G$40)*Flat!AF$13)+(LOOKUP(Flat!AF$2,'Window-U'!$A$4:$A$40,'Window-U'!$Q$4:$Q$40)*Flat!AF$22))*AF4</f>
        <v>1991.5403774383105</v>
      </c>
      <c r="AG7" s="177">
        <f>((LOOKUP(Flat!AG$2,'Ceiling-U'!$A$4:$A$40,'Ceiling-U'!$G$4:$G$40)*Flat!AG$15)+(LOOKUP(Flat!AG$2,'Floor-U'!$A$4:$A$40,'Floor-U'!$G$4:$G$40)*Flat!AG$16)+(LOOKUP(Flat!AG$2,'Wall-U'!$A$4:$A$40,'Wall-U'!$G$4:$G$40)*Flat!AG$13)+(LOOKUP(Flat!AG$2,'Window-U'!$A$4:$A$40,'Window-U'!$Q$4:$Q$40)*Flat!AG$22))*AG4</f>
        <v>2229.5886665187008</v>
      </c>
      <c r="AH7" s="177">
        <f>((LOOKUP(Flat!AH$2,'Ceiling-U'!$A$4:$A$40,'Ceiling-U'!$G$4:$G$40)*Flat!AH$15)+(LOOKUP(Flat!AH$2,'Floor-U'!$A$4:$A$40,'Floor-U'!$G$4:$G$40)*Flat!AH$16)+(LOOKUP(Flat!AH$2,'Wall-U'!$A$4:$A$40,'Wall-U'!$G$4:$G$40)*Flat!AH$13)+(LOOKUP(Flat!AH$2,'Window-U'!$A$4:$A$40,'Window-U'!$Q$4:$Q$40)*Flat!AH$22))*AH4</f>
        <v>5697.12745745354</v>
      </c>
      <c r="AI7" s="177">
        <f>((LOOKUP(Flat!AI$2,'Ceiling-U'!$A$4:$A$40,'Ceiling-U'!$G$4:$G$40)*Flat!AI$15)+(LOOKUP(Flat!AI$2,'Floor-U'!$A$4:$A$40,'Floor-U'!$G$4:$G$40)*Flat!AI$16)+(LOOKUP(Flat!AI$2,'Wall-U'!$A$4:$A$40,'Wall-U'!$G$4:$G$40)*Flat!AI$13)+(LOOKUP(Flat!AI$2,'Window-U'!$A$4:$A$40,'Window-U'!$Q$4:$Q$40)*Flat!AI$22))*AI4</f>
        <v>4282.9548853856495</v>
      </c>
      <c r="AJ7" s="177">
        <f>((LOOKUP(Flat!AJ$2,'Ceiling-U'!$A$4:$A$40,'Ceiling-U'!$G$4:$G$40)*Flat!AJ$15)+(LOOKUP(Flat!AJ$2,'Floor-U'!$A$4:$A$40,'Floor-U'!$G$4:$G$40)*Flat!AJ$16)+(LOOKUP(Flat!AJ$2,'Wall-U'!$A$4:$A$40,'Wall-U'!$G$4:$G$40)*Flat!AJ$13)+(LOOKUP(Flat!AJ$2,'Window-U'!$A$4:$A$40,'Window-U'!$Q$4:$Q$40)*Flat!AJ$22))*AJ4</f>
        <v>2334.2645369594825</v>
      </c>
      <c r="AK7" s="177">
        <f>((LOOKUP(Flat!AK$2,'Ceiling-U'!$A$4:$A$40,'Ceiling-U'!$G$4:$G$40)*Flat!AK$15)+(LOOKUP(Flat!AK$2,'Floor-U'!$A$4:$A$40,'Floor-U'!$G$4:$G$40)*Flat!AK$16)+(LOOKUP(Flat!AK$2,'Wall-U'!$A$4:$A$40,'Wall-U'!$G$4:$G$40)*Flat!AK$13)+(LOOKUP(Flat!AK$2,'Window-U'!$A$4:$A$40,'Window-U'!$Q$4:$Q$40)*Flat!AK$22))*AK4</f>
        <v>2518.1984471859964</v>
      </c>
      <c r="AL7" s="177">
        <f>((LOOKUP(Flat!AL$2,'Ceiling-U'!$A$4:$A$40,'Ceiling-U'!$G$4:$G$40)*Flat!AL$15)+(LOOKUP(Flat!AL$2,'Floor-U'!$A$4:$A$40,'Floor-U'!$G$4:$G$40)*Flat!AL$16)+(LOOKUP(Flat!AL$2,'Wall-U'!$A$4:$A$40,'Wall-U'!$G$4:$G$40)*Flat!AL$13)+(LOOKUP(Flat!AL$2,'Window-U'!$A$4:$A$40,'Window-U'!$Q$4:$Q$40)*Flat!AL$22))*AL4</f>
        <v>2378.8381553823647</v>
      </c>
      <c r="AM7" s="177">
        <f>((LOOKUP(Flat!AM$2,'Ceiling-U'!$A$4:$A$40,'Ceiling-U'!$G$4:$G$40)*Flat!AM$15)+(LOOKUP(Flat!AM$2,'Floor-U'!$A$4:$A$40,'Floor-U'!$G$4:$G$40)*Flat!AM$16)+(LOOKUP(Flat!AM$2,'Wall-U'!$A$4:$A$40,'Wall-U'!$G$4:$G$40)*Flat!AM$13)+(LOOKUP(Flat!AM$2,'Window-U'!$A$4:$A$40,'Window-U'!$Q$4:$Q$40)*Flat!AM$22))*AM4</f>
        <v>2334.2645369594825</v>
      </c>
      <c r="AN7" s="178">
        <f>((LOOKUP(Flat!AN$2,'Ceiling-U'!$A$4:$A$40,'Ceiling-U'!$G$4:$G$40)*Flat!AN$15)+(LOOKUP(Flat!AN$2,'Floor-U'!$A$4:$A$40,'Floor-U'!$G$4:$G$40)*Flat!AN$16)+(LOOKUP(Flat!AN$2,'Wall-U'!$A$4:$A$40,'Wall-U'!$G$4:$G$40)*Flat!AN$13)+(LOOKUP(Flat!AN$2,'Window-U'!$A$4:$A$40,'Window-U'!$Q$4:$Q$40)*Flat!AN$22))*AN4</f>
        <v>2334.2645369594825</v>
      </c>
    </row>
    <row r="8" spans="1:40" s="5" customFormat="1">
      <c r="A8" s="372"/>
      <c r="B8" s="142" t="s">
        <v>5</v>
      </c>
      <c r="C8" s="131" t="s">
        <v>195</v>
      </c>
      <c r="D8" s="176">
        <f>((LOOKUP(Flat!D$2,'Ceiling-U'!$A$4:$A$40,'Ceiling-U'!$H$4:$H$40)*Flat!D$15)+(LOOKUP(Flat!D$2,'Floor-U'!$A$4:$A$40,'Floor-U'!$H$4:$H$40)*Flat!D$16)+(LOOKUP(Flat!D$2,'Wall-U'!$A$4:$A$40,'Wall-U'!$H$4:$H$40)*Flat!D$13)+(LOOKUP(Flat!D$2,'Window-U'!$A$4:$A$40,'Window-U'!$Q$4:$Q$40)*Flat!D$22))*D4</f>
        <v>1323.0906885772297</v>
      </c>
      <c r="E8" s="177">
        <f>((LOOKUP(Flat!E$2,'Ceiling-U'!$A$4:$A$40,'Ceiling-U'!$H$4:$H$40)*Flat!E$15)+(LOOKUP(Flat!E$2,'Floor-U'!$A$4:$A$40,'Floor-U'!$H$4:$H$40)*Flat!E$16)+(LOOKUP(Flat!E$2,'Wall-U'!$A$4:$A$40,'Wall-U'!$H$4:$H$40)*Flat!E$13)+(LOOKUP(Flat!E$2,'Window-U'!$A$4:$A$40,'Window-U'!$Q$4:$Q$40)*Flat!E$22))*E4</f>
        <v>2659.6701865412974</v>
      </c>
      <c r="F8" s="177">
        <f>((LOOKUP(Flat!F$2,'Ceiling-U'!$A$4:$A$40,'Ceiling-U'!$H$4:$H$40)*Flat!F$15)+(LOOKUP(Flat!F$2,'Floor-U'!$A$4:$A$40,'Floor-U'!$H$4:$H$40)*Flat!F$16)+(LOOKUP(Flat!F$2,'Wall-U'!$A$4:$A$40,'Wall-U'!$H$4:$H$40)*Flat!F$13)+(LOOKUP(Flat!F$2,'Window-U'!$A$4:$A$40,'Window-U'!$Q$4:$Q$40)*Flat!F$22))*F4</f>
        <v>3233.7512994149374</v>
      </c>
      <c r="G8" s="177">
        <f>((LOOKUP(Flat!G$2,'Ceiling-U'!$A$4:$A$40,'Ceiling-U'!$H$4:$H$40)*Flat!G$15)+(LOOKUP(Flat!G$2,'Floor-U'!$A$4:$A$40,'Floor-U'!$H$4:$H$40)*Flat!G$16)+(LOOKUP(Flat!G$2,'Wall-U'!$A$4:$A$40,'Wall-U'!$H$4:$H$40)*Flat!G$13)+(LOOKUP(Flat!G$2,'Window-U'!$A$4:$A$40,'Window-U'!$Q$4:$Q$40)*Flat!G$22))*G4</f>
        <v>1323.0906885772297</v>
      </c>
      <c r="H8" s="177">
        <f>((LOOKUP(Flat!H$2,'Ceiling-U'!$A$4:$A$40,'Ceiling-U'!$H$4:$H$40)*Flat!H$15)+(LOOKUP(Flat!H$2,'Floor-U'!$A$4:$A$40,'Floor-U'!$H$4:$H$40)*Flat!H$16)+(LOOKUP(Flat!H$2,'Wall-U'!$A$4:$A$40,'Wall-U'!$H$4:$H$40)*Flat!H$13)+(LOOKUP(Flat!H$2,'Window-U'!$A$4:$A$40,'Window-U'!$Q$4:$Q$40)*Flat!H$22))*H4</f>
        <v>3331.5951321300245</v>
      </c>
      <c r="I8" s="177">
        <f>((LOOKUP(Flat!I$2,'Ceiling-U'!$A$4:$A$40,'Ceiling-U'!$H$4:$H$40)*Flat!I$15)+(LOOKUP(Flat!I$2,'Floor-U'!$A$4:$A$40,'Floor-U'!$H$4:$H$40)*Flat!I$16)+(LOOKUP(Flat!I$2,'Wall-U'!$A$4:$A$40,'Wall-U'!$H$4:$H$40)*Flat!I$13)+(LOOKUP(Flat!I$2,'Window-U'!$A$4:$A$40,'Window-U'!$Q$4:$Q$40)*Flat!I$22))*I4</f>
        <v>1355.6250772160975</v>
      </c>
      <c r="J8" s="177">
        <f>((LOOKUP(Flat!J$2,'Ceiling-U'!$A$4:$A$40,'Ceiling-U'!$H$4:$H$40)*Flat!J$15)+(LOOKUP(Flat!J$2,'Floor-U'!$A$4:$A$40,'Floor-U'!$H$4:$H$40)*Flat!J$16)+(LOOKUP(Flat!J$2,'Wall-U'!$A$4:$A$40,'Wall-U'!$H$4:$H$40)*Flat!J$13)+(LOOKUP(Flat!J$2,'Window-U'!$A$4:$A$40,'Window-U'!$Q$4:$Q$40)*Flat!J$22))*J4</f>
        <v>1246.9856192706793</v>
      </c>
      <c r="K8" s="177">
        <f>((LOOKUP(Flat!K$2,'Ceiling-U'!$A$4:$A$40,'Ceiling-U'!$H$4:$H$40)*Flat!K$15)+(LOOKUP(Flat!K$2,'Floor-U'!$A$4:$A$40,'Floor-U'!$H$4:$H$40)*Flat!K$16)+(LOOKUP(Flat!K$2,'Wall-U'!$A$4:$A$40,'Wall-U'!$H$4:$H$40)*Flat!K$13)+(LOOKUP(Flat!K$2,'Window-U'!$A$4:$A$40,'Window-U'!$Q$4:$Q$40)*Flat!K$22))*K4</f>
        <v>1249.5359875026033</v>
      </c>
      <c r="L8" s="177">
        <f>((LOOKUP(Flat!L$2,'Ceiling-U'!$A$4:$A$40,'Ceiling-U'!$H$4:$H$40)*Flat!L$15)+(LOOKUP(Flat!L$2,'Floor-U'!$A$4:$A$40,'Floor-U'!$H$4:$H$40)*Flat!L$16)+(LOOKUP(Flat!L$2,'Wall-U'!$A$4:$A$40,'Wall-U'!$H$4:$H$40)*Flat!L$13)+(LOOKUP(Flat!L$2,'Window-U'!$A$4:$A$40,'Window-U'!$Q$4:$Q$40)*Flat!L$22))*L4</f>
        <v>689.94756708439991</v>
      </c>
      <c r="M8" s="177">
        <f>((LOOKUP(Flat!M$2,'Ceiling-U'!$A$4:$A$40,'Ceiling-U'!$H$4:$H$40)*Flat!M$15)+(LOOKUP(Flat!M$2,'Floor-U'!$A$4:$A$40,'Floor-U'!$H$4:$H$40)*Flat!M$16)+(LOOKUP(Flat!M$2,'Wall-U'!$A$4:$A$40,'Wall-U'!$H$4:$H$40)*Flat!M$13)+(LOOKUP(Flat!M$2,'Window-U'!$A$4:$A$40,'Window-U'!$Q$4:$Q$40)*Flat!M$22))*M4</f>
        <v>1772.2874894219403</v>
      </c>
      <c r="N8" s="177">
        <f>((LOOKUP(Flat!N$2,'Ceiling-U'!$A$4:$A$40,'Ceiling-U'!$H$4:$H$40)*Flat!N$15)+(LOOKUP(Flat!N$2,'Floor-U'!$A$4:$A$40,'Floor-U'!$H$4:$H$40)*Flat!N$16)+(LOOKUP(Flat!N$2,'Wall-U'!$A$4:$A$40,'Wall-U'!$H$4:$H$40)*Flat!N$13)+(LOOKUP(Flat!N$2,'Window-U'!$A$4:$A$40,'Window-U'!$Q$4:$Q$40)*Flat!N$22))*N4</f>
        <v>1627.155198773442</v>
      </c>
      <c r="O8" s="177">
        <f>((LOOKUP(Flat!O$2,'Ceiling-U'!$A$4:$A$40,'Ceiling-U'!$H$4:$H$40)*Flat!O$15)+(LOOKUP(Flat!O$2,'Floor-U'!$A$4:$A$40,'Floor-U'!$H$4:$H$40)*Flat!O$16)+(LOOKUP(Flat!O$2,'Wall-U'!$A$4:$A$40,'Wall-U'!$H$4:$H$40)*Flat!O$13)+(LOOKUP(Flat!O$2,'Window-U'!$A$4:$A$40,'Window-U'!$Q$4:$Q$40)*Flat!O$22))*O4</f>
        <v>1527.8579661518613</v>
      </c>
      <c r="P8" s="177">
        <f>((LOOKUP(Flat!P$2,'Ceiling-U'!$A$4:$A$40,'Ceiling-U'!$H$4:$H$40)*Flat!P$15)+(LOOKUP(Flat!P$2,'Floor-U'!$A$4:$A$40,'Floor-U'!$H$4:$H$40)*Flat!P$16)+(LOOKUP(Flat!P$2,'Wall-U'!$A$4:$A$40,'Wall-U'!$H$4:$H$40)*Flat!P$13)+(LOOKUP(Flat!P$2,'Window-U'!$A$4:$A$40,'Window-U'!$Q$4:$Q$40)*Flat!P$22))*P4</f>
        <v>2629.9934065809657</v>
      </c>
      <c r="Q8" s="177">
        <f>((LOOKUP(Flat!Q$2,'Ceiling-U'!$A$4:$A$40,'Ceiling-U'!$H$4:$H$40)*Flat!Q$15)+(LOOKUP(Flat!Q$2,'Floor-U'!$A$4:$A$40,'Floor-U'!$H$4:$H$40)*Flat!Q$16)+(LOOKUP(Flat!Q$2,'Wall-U'!$A$4:$A$40,'Wall-U'!$H$4:$H$40)*Flat!Q$13)+(LOOKUP(Flat!Q$2,'Window-U'!$A$4:$A$40,'Window-U'!$Q$4:$Q$40)*Flat!Q$22))*Q4</f>
        <v>2152.9372299722327</v>
      </c>
      <c r="R8" s="177">
        <f>((LOOKUP(Flat!R$2,'Ceiling-U'!$A$4:$A$40,'Ceiling-U'!$H$4:$H$40)*Flat!R$15)+(LOOKUP(Flat!R$2,'Floor-U'!$A$4:$A$40,'Floor-U'!$H$4:$H$40)*Flat!R$16)+(LOOKUP(Flat!R$2,'Wall-U'!$A$4:$A$40,'Wall-U'!$H$4:$H$40)*Flat!R$13)+(LOOKUP(Flat!R$2,'Window-U'!$A$4:$A$40,'Window-U'!$Q$4:$Q$40)*Flat!R$22))*R4</f>
        <v>1300.0226069010055</v>
      </c>
      <c r="S8" s="177">
        <f>((LOOKUP(Flat!S$2,'Ceiling-U'!$A$4:$A$40,'Ceiling-U'!$H$4:$H$40)*Flat!S$15)+(LOOKUP(Flat!S$2,'Floor-U'!$A$4:$A$40,'Floor-U'!$H$4:$H$40)*Flat!S$16)+(LOOKUP(Flat!S$2,'Wall-U'!$A$4:$A$40,'Wall-U'!$H$4:$H$40)*Flat!S$13)+(LOOKUP(Flat!S$2,'Window-U'!$A$4:$A$40,'Window-U'!$Q$4:$Q$40)*Flat!S$22))*S4</f>
        <v>4655.3029244726276</v>
      </c>
      <c r="T8" s="177">
        <f>((LOOKUP(Flat!T$2,'Ceiling-U'!$A$4:$A$40,'Ceiling-U'!$H$4:$H$40)*Flat!T$15)+(LOOKUP(Flat!T$2,'Floor-U'!$A$4:$A$40,'Floor-U'!$H$4:$H$40)*Flat!T$16)+(LOOKUP(Flat!T$2,'Wall-U'!$A$4:$A$40,'Wall-U'!$H$4:$H$40)*Flat!T$13)+(LOOKUP(Flat!T$2,'Window-U'!$A$4:$A$40,'Window-U'!$Q$4:$Q$40)*Flat!T$22))*T4</f>
        <v>764.72788573121102</v>
      </c>
      <c r="U8" s="177">
        <f>((LOOKUP(Flat!U$2,'Ceiling-U'!$A$4:$A$40,'Ceiling-U'!$H$4:$H$40)*Flat!U$15)+(LOOKUP(Flat!U$2,'Floor-U'!$A$4:$A$40,'Floor-U'!$H$4:$H$40)*Flat!U$16)+(LOOKUP(Flat!U$2,'Wall-U'!$A$4:$A$40,'Wall-U'!$H$4:$H$40)*Flat!U$13)+(LOOKUP(Flat!U$2,'Window-U'!$A$4:$A$40,'Window-U'!$Q$4:$Q$40)*Flat!U$22))*U4</f>
        <v>2508.3858406386589</v>
      </c>
      <c r="V8" s="177">
        <f>((LOOKUP(Flat!V$2,'Ceiling-U'!$A$4:$A$40,'Ceiling-U'!$H$4:$H$40)*Flat!V$15)+(LOOKUP(Flat!V$2,'Floor-U'!$A$4:$A$40,'Floor-U'!$H$4:$H$40)*Flat!V$16)+(LOOKUP(Flat!V$2,'Wall-U'!$A$4:$A$40,'Wall-U'!$H$4:$H$40)*Flat!V$13)+(LOOKUP(Flat!V$2,'Window-U'!$A$4:$A$40,'Window-U'!$Q$4:$Q$40)*Flat!V$22))*V4</f>
        <v>1062.030496203618</v>
      </c>
      <c r="W8" s="177">
        <f>((LOOKUP(Flat!W$2,'Ceiling-U'!$A$4:$A$40,'Ceiling-U'!$H$4:$H$40)*Flat!W$15)+(LOOKUP(Flat!W$2,'Floor-U'!$A$4:$A$40,'Floor-U'!$H$4:$H$40)*Flat!W$16)+(LOOKUP(Flat!W$2,'Wall-U'!$A$4:$A$40,'Wall-U'!$H$4:$H$40)*Flat!W$13)+(LOOKUP(Flat!W$2,'Window-U'!$A$4:$A$40,'Window-U'!$Q$4:$Q$40)*Flat!W$22))*W4</f>
        <v>1349.1868603690714</v>
      </c>
      <c r="X8" s="177">
        <f>((LOOKUP(Flat!X$2,'Ceiling-U'!$A$4:$A$40,'Ceiling-U'!$H$4:$H$40)*Flat!X$15)+(LOOKUP(Flat!X$2,'Floor-U'!$A$4:$A$40,'Floor-U'!$H$4:$H$40)*Flat!X$16)+(LOOKUP(Flat!X$2,'Wall-U'!$A$4:$A$40,'Wall-U'!$H$4:$H$40)*Flat!X$13)+(LOOKUP(Flat!X$2,'Window-U'!$A$4:$A$40,'Window-U'!$Q$4:$Q$40)*Flat!X$22))*X4</f>
        <v>985.04667445969039</v>
      </c>
      <c r="Y8" s="177">
        <f>((LOOKUP(Flat!Y$2,'Ceiling-U'!$A$4:$A$40,'Ceiling-U'!$H$4:$H$40)*Flat!Y$15)+(LOOKUP(Flat!Y$2,'Floor-U'!$A$4:$A$40,'Floor-U'!$H$4:$H$40)*Flat!Y$16)+(LOOKUP(Flat!Y$2,'Wall-U'!$A$4:$A$40,'Wall-U'!$H$4:$H$40)*Flat!Y$13)+(LOOKUP(Flat!Y$2,'Window-U'!$A$4:$A$40,'Window-U'!$Q$4:$Q$40)*Flat!Y$22))*Y4</f>
        <v>3619.1871451183765</v>
      </c>
      <c r="Z8" s="177">
        <f>((LOOKUP(Flat!Z$2,'Ceiling-U'!$A$4:$A$40,'Ceiling-U'!$H$4:$H$40)*Flat!Z$15)+(LOOKUP(Flat!Z$2,'Floor-U'!$A$4:$A$40,'Floor-U'!$H$4:$H$40)*Flat!Z$16)+(LOOKUP(Flat!Z$2,'Wall-U'!$A$4:$A$40,'Wall-U'!$H$4:$H$40)*Flat!Z$13)+(LOOKUP(Flat!Z$2,'Window-U'!$A$4:$A$40,'Window-U'!$Q$4:$Q$40)*Flat!Z$22))*Z4</f>
        <v>1444.8078528730782</v>
      </c>
      <c r="AA8" s="177">
        <f>((LOOKUP(Flat!AA$2,'Ceiling-U'!$A$4:$A$40,'Ceiling-U'!$H$4:$H$40)*Flat!AA$15)+(LOOKUP(Flat!AA$2,'Floor-U'!$A$4:$A$40,'Floor-U'!$H$4:$H$40)*Flat!AA$16)+(LOOKUP(Flat!AA$2,'Wall-U'!$A$4:$A$40,'Wall-U'!$H$4:$H$40)*Flat!AA$13)+(LOOKUP(Flat!AA$2,'Window-U'!$A$4:$A$40,'Window-U'!$Q$4:$Q$40)*Flat!AA$22))*AA4</f>
        <v>737.09635159968207</v>
      </c>
      <c r="AB8" s="177">
        <f>((LOOKUP(Flat!AB$2,'Ceiling-U'!$A$4:$A$40,'Ceiling-U'!$H$4:$H$40)*Flat!AB$15)+(LOOKUP(Flat!AB$2,'Floor-U'!$A$4:$A$40,'Floor-U'!$H$4:$H$40)*Flat!AB$16)+(LOOKUP(Flat!AB$2,'Wall-U'!$A$4:$A$40,'Wall-U'!$H$4:$H$40)*Flat!AB$13)+(LOOKUP(Flat!AB$2,'Window-U'!$A$4:$A$40,'Window-U'!$Q$4:$Q$40)*Flat!AB$22))*AB4</f>
        <v>1758.3742330699797</v>
      </c>
      <c r="AC8" s="177">
        <f>((LOOKUP(Flat!AC$2,'Ceiling-U'!$A$4:$A$40,'Ceiling-U'!$H$4:$H$40)*Flat!AC$15)+(LOOKUP(Flat!AC$2,'Floor-U'!$A$4:$A$40,'Floor-U'!$H$4:$H$40)*Flat!AC$16)+(LOOKUP(Flat!AC$2,'Wall-U'!$A$4:$A$40,'Wall-U'!$H$4:$H$40)*Flat!AC$13)+(LOOKUP(Flat!AC$2,'Window-U'!$A$4:$A$40,'Window-U'!$Q$4:$Q$40)*Flat!AC$22))*AC4</f>
        <v>3639.3709454783784</v>
      </c>
      <c r="AD8" s="177">
        <f>((LOOKUP(Flat!AD$2,'Ceiling-U'!$A$4:$A$40,'Ceiling-U'!$H$4:$H$40)*Flat!AD$15)+(LOOKUP(Flat!AD$2,'Floor-U'!$A$4:$A$40,'Floor-U'!$H$4:$H$40)*Flat!AD$16)+(LOOKUP(Flat!AD$2,'Wall-U'!$A$4:$A$40,'Wall-U'!$H$4:$H$40)*Flat!AD$13)+(LOOKUP(Flat!AD$2,'Window-U'!$A$4:$A$40,'Window-U'!$Q$4:$Q$40)*Flat!AD$22))*AD4</f>
        <v>5212.0433509321583</v>
      </c>
      <c r="AE8" s="177">
        <f>((LOOKUP(Flat!AE$2,'Ceiling-U'!$A$4:$A$40,'Ceiling-U'!$H$4:$H$40)*Flat!AE$15)+(LOOKUP(Flat!AE$2,'Floor-U'!$A$4:$A$40,'Floor-U'!$H$4:$H$40)*Flat!AE$16)+(LOOKUP(Flat!AE$2,'Wall-U'!$A$4:$A$40,'Wall-U'!$H$4:$H$40)*Flat!AE$13)+(LOOKUP(Flat!AE$2,'Window-U'!$A$4:$A$40,'Window-U'!$Q$4:$Q$40)*Flat!AE$22))*AE4</f>
        <v>737.09635159968207</v>
      </c>
      <c r="AF8" s="177">
        <f>((LOOKUP(Flat!AF$2,'Ceiling-U'!$A$4:$A$40,'Ceiling-U'!$H$4:$H$40)*Flat!AF$15)+(LOOKUP(Flat!AF$2,'Floor-U'!$A$4:$A$40,'Floor-U'!$H$4:$H$40)*Flat!AF$16)+(LOOKUP(Flat!AF$2,'Wall-U'!$A$4:$A$40,'Wall-U'!$H$4:$H$40)*Flat!AF$13)+(LOOKUP(Flat!AF$2,'Window-U'!$A$4:$A$40,'Window-U'!$Q$4:$Q$40)*Flat!AF$22))*AF4</f>
        <v>1487.6353998246282</v>
      </c>
      <c r="AG8" s="177">
        <f>((LOOKUP(Flat!AG$2,'Ceiling-U'!$A$4:$A$40,'Ceiling-U'!$H$4:$H$40)*Flat!AG$15)+(LOOKUP(Flat!AG$2,'Floor-U'!$A$4:$A$40,'Floor-U'!$H$4:$H$40)*Flat!AG$16)+(LOOKUP(Flat!AG$2,'Wall-U'!$A$4:$A$40,'Wall-U'!$H$4:$H$40)*Flat!AG$13)+(LOOKUP(Flat!AG$2,'Window-U'!$A$4:$A$40,'Window-U'!$Q$4:$Q$40)*Flat!AG$22))*AG4</f>
        <v>1928.9158445322507</v>
      </c>
      <c r="AH8" s="177">
        <f>((LOOKUP(Flat!AH$2,'Ceiling-U'!$A$4:$A$40,'Ceiling-U'!$H$4:$H$40)*Flat!AH$15)+(LOOKUP(Flat!AH$2,'Floor-U'!$A$4:$A$40,'Floor-U'!$H$4:$H$40)*Flat!AH$16)+(LOOKUP(Flat!AH$2,'Wall-U'!$A$4:$A$40,'Wall-U'!$H$4:$H$40)*Flat!AH$13)+(LOOKUP(Flat!AH$2,'Window-U'!$A$4:$A$40,'Window-U'!$Q$4:$Q$40)*Flat!AH$22))*AH4</f>
        <v>3262.3651009517916</v>
      </c>
      <c r="AI8" s="177">
        <f>((LOOKUP(Flat!AI$2,'Ceiling-U'!$A$4:$A$40,'Ceiling-U'!$H$4:$H$40)*Flat!AI$15)+(LOOKUP(Flat!AI$2,'Floor-U'!$A$4:$A$40,'Floor-U'!$H$4:$H$40)*Flat!AI$16)+(LOOKUP(Flat!AI$2,'Wall-U'!$A$4:$A$40,'Wall-U'!$H$4:$H$40)*Flat!AI$13)+(LOOKUP(Flat!AI$2,'Window-U'!$A$4:$A$40,'Window-U'!$Q$4:$Q$40)*Flat!AI$22))*AI4</f>
        <v>4195.3548853856501</v>
      </c>
      <c r="AJ8" s="177">
        <f>((LOOKUP(Flat!AJ$2,'Ceiling-U'!$A$4:$A$40,'Ceiling-U'!$H$4:$H$40)*Flat!AJ$15)+(LOOKUP(Flat!AJ$2,'Floor-U'!$A$4:$A$40,'Floor-U'!$H$4:$H$40)*Flat!AJ$16)+(LOOKUP(Flat!AJ$2,'Wall-U'!$A$4:$A$40,'Wall-U'!$H$4:$H$40)*Flat!AJ$13)+(LOOKUP(Flat!AJ$2,'Window-U'!$A$4:$A$40,'Window-U'!$Q$4:$Q$40)*Flat!AJ$22))*AJ4</f>
        <v>1983.638464886468</v>
      </c>
      <c r="AK8" s="177">
        <f>((LOOKUP(Flat!AK$2,'Ceiling-U'!$A$4:$A$40,'Ceiling-U'!$H$4:$H$40)*Flat!AK$15)+(LOOKUP(Flat!AK$2,'Floor-U'!$A$4:$A$40,'Floor-U'!$H$4:$H$40)*Flat!AK$16)+(LOOKUP(Flat!AK$2,'Wall-U'!$A$4:$A$40,'Wall-U'!$H$4:$H$40)*Flat!AK$13)+(LOOKUP(Flat!AK$2,'Window-U'!$A$4:$A$40,'Window-U'!$Q$4:$Q$40)*Flat!AK$22))*AK4</f>
        <v>2133.6163011194453</v>
      </c>
      <c r="AL8" s="177">
        <f>((LOOKUP(Flat!AL$2,'Ceiling-U'!$A$4:$A$40,'Ceiling-U'!$H$4:$H$40)*Flat!AL$15)+(LOOKUP(Flat!AL$2,'Floor-U'!$A$4:$A$40,'Floor-U'!$H$4:$H$40)*Flat!AL$16)+(LOOKUP(Flat!AL$2,'Wall-U'!$A$4:$A$40,'Wall-U'!$H$4:$H$40)*Flat!AL$13)+(LOOKUP(Flat!AL$2,'Window-U'!$A$4:$A$40,'Window-U'!$Q$4:$Q$40)*Flat!AL$22))*AL4</f>
        <v>1996.9970529264679</v>
      </c>
      <c r="AM8" s="177">
        <f>((LOOKUP(Flat!AM$2,'Ceiling-U'!$A$4:$A$40,'Ceiling-U'!$H$4:$H$40)*Flat!AM$15)+(LOOKUP(Flat!AM$2,'Floor-U'!$A$4:$A$40,'Floor-U'!$H$4:$H$40)*Flat!AM$16)+(LOOKUP(Flat!AM$2,'Wall-U'!$A$4:$A$40,'Wall-U'!$H$4:$H$40)*Flat!AM$13)+(LOOKUP(Flat!AM$2,'Window-U'!$A$4:$A$40,'Window-U'!$Q$4:$Q$40)*Flat!AM$22))*AM4</f>
        <v>1983.638464886468</v>
      </c>
      <c r="AN8" s="178">
        <f>((LOOKUP(Flat!AN$2,'Ceiling-U'!$A$4:$A$40,'Ceiling-U'!$H$4:$H$40)*Flat!AN$15)+(LOOKUP(Flat!AN$2,'Floor-U'!$A$4:$A$40,'Floor-U'!$H$4:$H$40)*Flat!AN$16)+(LOOKUP(Flat!AN$2,'Wall-U'!$A$4:$A$40,'Wall-U'!$H$4:$H$40)*Flat!AN$13)+(LOOKUP(Flat!AN$2,'Window-U'!$A$4:$A$40,'Window-U'!$Q$4:$Q$40)*Flat!AN$22))*AN4</f>
        <v>1983.638464886468</v>
      </c>
    </row>
    <row r="9" spans="1:40" s="5" customFormat="1">
      <c r="A9" s="372"/>
      <c r="B9" s="142" t="s">
        <v>6</v>
      </c>
      <c r="C9" s="131" t="s">
        <v>195</v>
      </c>
      <c r="D9" s="176">
        <f>((LOOKUP(Flat!D$2,'Ceiling-U'!$A$4:$A$40,'Ceiling-U'!$I$4:$I$40)*Flat!D$15)+(LOOKUP(Flat!D$2,'Floor-U'!$A$4:$A$40,'Floor-U'!$I$4:$I$40)*Flat!D$16)+(LOOKUP(Flat!D$2,'Wall-U'!$A$4:$A$40,'Wall-U'!$I$4:$I$40)*Flat!D$13)+(LOOKUP(Flat!D$2,'Window-U'!$A$4:$A$40,'Window-U'!$Q$4:$Q$40)*Flat!D$22))*D4</f>
        <v>1130.6066813670998</v>
      </c>
      <c r="E9" s="177">
        <f>((LOOKUP(Flat!E$2,'Ceiling-U'!$A$4:$A$40,'Ceiling-U'!$I$4:$I$40)*Flat!E$15)+(LOOKUP(Flat!E$2,'Floor-U'!$A$4:$A$40,'Floor-U'!$I$4:$I$40)*Flat!E$16)+(LOOKUP(Flat!E$2,'Wall-U'!$A$4:$A$40,'Wall-U'!$I$4:$I$40)*Flat!E$13)+(LOOKUP(Flat!E$2,'Window-U'!$A$4:$A$40,'Window-U'!$Q$4:$Q$40)*Flat!E$22))*E4</f>
        <v>2659.6701865412974</v>
      </c>
      <c r="F9" s="177">
        <f>((LOOKUP(Flat!F$2,'Ceiling-U'!$A$4:$A$40,'Ceiling-U'!$I$4:$I$40)*Flat!F$15)+(LOOKUP(Flat!F$2,'Floor-U'!$A$4:$A$40,'Floor-U'!$I$4:$I$40)*Flat!F$16)+(LOOKUP(Flat!F$2,'Wall-U'!$A$4:$A$40,'Wall-U'!$I$4:$I$40)*Flat!F$13)+(LOOKUP(Flat!F$2,'Window-U'!$A$4:$A$40,'Window-U'!$Q$4:$Q$40)*Flat!F$22))*F4</f>
        <v>2548.8037739849638</v>
      </c>
      <c r="G9" s="177">
        <f>((LOOKUP(Flat!G$2,'Ceiling-U'!$A$4:$A$40,'Ceiling-U'!$I$4:$I$40)*Flat!G$15)+(LOOKUP(Flat!G$2,'Floor-U'!$A$4:$A$40,'Floor-U'!$I$4:$I$40)*Flat!G$16)+(LOOKUP(Flat!G$2,'Wall-U'!$A$4:$A$40,'Wall-U'!$I$4:$I$40)*Flat!G$13)+(LOOKUP(Flat!G$2,'Window-U'!$A$4:$A$40,'Window-U'!$Q$4:$Q$40)*Flat!G$22))*G4</f>
        <v>1130.6066813670998</v>
      </c>
      <c r="H9" s="177">
        <f>((LOOKUP(Flat!H$2,'Ceiling-U'!$A$4:$A$40,'Ceiling-U'!$I$4:$I$40)*Flat!H$15)+(LOOKUP(Flat!H$2,'Floor-U'!$A$4:$A$40,'Floor-U'!$I$4:$I$40)*Flat!H$16)+(LOOKUP(Flat!H$2,'Wall-U'!$A$4:$A$40,'Wall-U'!$I$4:$I$40)*Flat!H$13)+(LOOKUP(Flat!H$2,'Window-U'!$A$4:$A$40,'Window-U'!$Q$4:$Q$40)*Flat!H$22))*H4</f>
        <v>3331.5951321300245</v>
      </c>
      <c r="I9" s="177">
        <f>((LOOKUP(Flat!I$2,'Ceiling-U'!$A$4:$A$40,'Ceiling-U'!$I$4:$I$40)*Flat!I$15)+(LOOKUP(Flat!I$2,'Floor-U'!$A$4:$A$40,'Floor-U'!$I$4:$I$40)*Flat!I$16)+(LOOKUP(Flat!I$2,'Wall-U'!$A$4:$A$40,'Wall-U'!$I$4:$I$40)*Flat!I$13)+(LOOKUP(Flat!I$2,'Window-U'!$A$4:$A$40,'Window-U'!$Q$4:$Q$40)*Flat!I$22))*I4</f>
        <v>1031.2404091817771</v>
      </c>
      <c r="J9" s="177">
        <f>((LOOKUP(Flat!J$2,'Ceiling-U'!$A$4:$A$40,'Ceiling-U'!$I$4:$I$40)*Flat!J$15)+(LOOKUP(Flat!J$2,'Floor-U'!$A$4:$A$40,'Floor-U'!$I$4:$I$40)*Flat!J$16)+(LOOKUP(Flat!J$2,'Wall-U'!$A$4:$A$40,'Wall-U'!$I$4:$I$40)*Flat!J$13)+(LOOKUP(Flat!J$2,'Window-U'!$A$4:$A$40,'Window-U'!$Q$4:$Q$40)*Flat!J$22))*J4</f>
        <v>788.50851234210643</v>
      </c>
      <c r="K9" s="177">
        <f>((LOOKUP(Flat!K$2,'Ceiling-U'!$A$4:$A$40,'Ceiling-U'!$I$4:$I$40)*Flat!K$15)+(LOOKUP(Flat!K$2,'Floor-U'!$A$4:$A$40,'Floor-U'!$I$4:$I$40)*Flat!K$16)+(LOOKUP(Flat!K$2,'Wall-U'!$A$4:$A$40,'Wall-U'!$I$4:$I$40)*Flat!K$13)+(LOOKUP(Flat!K$2,'Window-U'!$A$4:$A$40,'Window-U'!$Q$4:$Q$40)*Flat!K$22))*K4</f>
        <v>1249.5359875026033</v>
      </c>
      <c r="L9" s="177">
        <f>((LOOKUP(Flat!L$2,'Ceiling-U'!$A$4:$A$40,'Ceiling-U'!$I$4:$I$40)*Flat!L$15)+(LOOKUP(Flat!L$2,'Floor-U'!$A$4:$A$40,'Floor-U'!$I$4:$I$40)*Flat!L$16)+(LOOKUP(Flat!L$2,'Wall-U'!$A$4:$A$40,'Wall-U'!$I$4:$I$40)*Flat!L$13)+(LOOKUP(Flat!L$2,'Window-U'!$A$4:$A$40,'Window-U'!$Q$4:$Q$40)*Flat!L$22))*L4</f>
        <v>642.70926918035298</v>
      </c>
      <c r="M9" s="177">
        <f>((LOOKUP(Flat!M$2,'Ceiling-U'!$A$4:$A$40,'Ceiling-U'!$I$4:$I$40)*Flat!M$15)+(LOOKUP(Flat!M$2,'Floor-U'!$A$4:$A$40,'Floor-U'!$I$4:$I$40)*Flat!M$16)+(LOOKUP(Flat!M$2,'Wall-U'!$A$4:$A$40,'Wall-U'!$I$4:$I$40)*Flat!M$13)+(LOOKUP(Flat!M$2,'Window-U'!$A$4:$A$40,'Window-U'!$Q$4:$Q$40)*Flat!M$22))*M4</f>
        <v>1772.2874894219403</v>
      </c>
      <c r="N9" s="177">
        <f>((LOOKUP(Flat!N$2,'Ceiling-U'!$A$4:$A$40,'Ceiling-U'!$I$4:$I$40)*Flat!N$15)+(LOOKUP(Flat!N$2,'Floor-U'!$A$4:$A$40,'Floor-U'!$I$4:$I$40)*Flat!N$16)+(LOOKUP(Flat!N$2,'Wall-U'!$A$4:$A$40,'Wall-U'!$I$4:$I$40)*Flat!N$13)+(LOOKUP(Flat!N$2,'Window-U'!$A$4:$A$40,'Window-U'!$Q$4:$Q$40)*Flat!N$22))*N4</f>
        <v>1613.4507216019781</v>
      </c>
      <c r="O9" s="177">
        <f>((LOOKUP(Flat!O$2,'Ceiling-U'!$A$4:$A$40,'Ceiling-U'!$I$4:$I$40)*Flat!O$15)+(LOOKUP(Flat!O$2,'Floor-U'!$A$4:$A$40,'Floor-U'!$I$4:$I$40)*Flat!O$16)+(LOOKUP(Flat!O$2,'Wall-U'!$A$4:$A$40,'Wall-U'!$I$4:$I$40)*Flat!O$13)+(LOOKUP(Flat!O$2,'Window-U'!$A$4:$A$40,'Window-U'!$Q$4:$Q$40)*Flat!O$22))*O4</f>
        <v>948.7697362943286</v>
      </c>
      <c r="P9" s="177">
        <f>((LOOKUP(Flat!P$2,'Ceiling-U'!$A$4:$A$40,'Ceiling-U'!$I$4:$I$40)*Flat!P$15)+(LOOKUP(Flat!P$2,'Floor-U'!$A$4:$A$40,'Floor-U'!$I$4:$I$40)*Flat!P$16)+(LOOKUP(Flat!P$2,'Wall-U'!$A$4:$A$40,'Wall-U'!$I$4:$I$40)*Flat!P$13)+(LOOKUP(Flat!P$2,'Window-U'!$A$4:$A$40,'Window-U'!$Q$4:$Q$40)*Flat!P$22))*P4</f>
        <v>2629.9934065809657</v>
      </c>
      <c r="Q9" s="177">
        <f>((LOOKUP(Flat!Q$2,'Ceiling-U'!$A$4:$A$40,'Ceiling-U'!$I$4:$I$40)*Flat!Q$15)+(LOOKUP(Flat!Q$2,'Floor-U'!$A$4:$A$40,'Floor-U'!$I$4:$I$40)*Flat!Q$16)+(LOOKUP(Flat!Q$2,'Wall-U'!$A$4:$A$40,'Wall-U'!$I$4:$I$40)*Flat!Q$13)+(LOOKUP(Flat!Q$2,'Window-U'!$A$4:$A$40,'Window-U'!$Q$4:$Q$40)*Flat!Q$22))*Q4</f>
        <v>1529.8254530648069</v>
      </c>
      <c r="R9" s="177">
        <f>((LOOKUP(Flat!R$2,'Ceiling-U'!$A$4:$A$40,'Ceiling-U'!$I$4:$I$40)*Flat!R$15)+(LOOKUP(Flat!R$2,'Floor-U'!$A$4:$A$40,'Floor-U'!$I$4:$I$40)*Flat!R$16)+(LOOKUP(Flat!R$2,'Wall-U'!$A$4:$A$40,'Wall-U'!$I$4:$I$40)*Flat!R$13)+(LOOKUP(Flat!R$2,'Window-U'!$A$4:$A$40,'Window-U'!$Q$4:$Q$40)*Flat!R$22))*R4</f>
        <v>1300.0226069010055</v>
      </c>
      <c r="S9" s="177">
        <f>((LOOKUP(Flat!S$2,'Ceiling-U'!$A$4:$A$40,'Ceiling-U'!$I$4:$I$40)*Flat!S$15)+(LOOKUP(Flat!S$2,'Floor-U'!$A$4:$A$40,'Floor-U'!$I$4:$I$40)*Flat!S$16)+(LOOKUP(Flat!S$2,'Wall-U'!$A$4:$A$40,'Wall-U'!$I$4:$I$40)*Flat!S$13)+(LOOKUP(Flat!S$2,'Window-U'!$A$4:$A$40,'Window-U'!$Q$4:$Q$40)*Flat!S$22))*S4</f>
        <v>3951.7025205693508</v>
      </c>
      <c r="T9" s="177">
        <f>((LOOKUP(Flat!T$2,'Ceiling-U'!$A$4:$A$40,'Ceiling-U'!$I$4:$I$40)*Flat!T$15)+(LOOKUP(Flat!T$2,'Floor-U'!$A$4:$A$40,'Floor-U'!$I$4:$I$40)*Flat!T$16)+(LOOKUP(Flat!T$2,'Wall-U'!$A$4:$A$40,'Wall-U'!$I$4:$I$40)*Flat!T$13)+(LOOKUP(Flat!T$2,'Window-U'!$A$4:$A$40,'Window-U'!$Q$4:$Q$40)*Flat!T$22))*T4</f>
        <v>757.24844913943548</v>
      </c>
      <c r="U9" s="177">
        <f>((LOOKUP(Flat!U$2,'Ceiling-U'!$A$4:$A$40,'Ceiling-U'!$I$4:$I$40)*Flat!U$15)+(LOOKUP(Flat!U$2,'Floor-U'!$A$4:$A$40,'Floor-U'!$I$4:$I$40)*Flat!U$16)+(LOOKUP(Flat!U$2,'Wall-U'!$A$4:$A$40,'Wall-U'!$I$4:$I$40)*Flat!U$13)+(LOOKUP(Flat!U$2,'Window-U'!$A$4:$A$40,'Window-U'!$Q$4:$Q$40)*Flat!U$22))*U4</f>
        <v>2258.54796454286</v>
      </c>
      <c r="V9" s="177">
        <f>((LOOKUP(Flat!V$2,'Ceiling-U'!$A$4:$A$40,'Ceiling-U'!$I$4:$I$40)*Flat!V$15)+(LOOKUP(Flat!V$2,'Floor-U'!$A$4:$A$40,'Floor-U'!$I$4:$I$40)*Flat!V$16)+(LOOKUP(Flat!V$2,'Wall-U'!$A$4:$A$40,'Wall-U'!$I$4:$I$40)*Flat!V$13)+(LOOKUP(Flat!V$2,'Window-U'!$A$4:$A$40,'Window-U'!$Q$4:$Q$40)*Flat!V$22))*V4</f>
        <v>1062.030496203618</v>
      </c>
      <c r="W9" s="177">
        <f>((LOOKUP(Flat!W$2,'Ceiling-U'!$A$4:$A$40,'Ceiling-U'!$I$4:$I$40)*Flat!W$15)+(LOOKUP(Flat!W$2,'Floor-U'!$A$4:$A$40,'Floor-U'!$I$4:$I$40)*Flat!W$16)+(LOOKUP(Flat!W$2,'Wall-U'!$A$4:$A$40,'Wall-U'!$I$4:$I$40)*Flat!W$13)+(LOOKUP(Flat!W$2,'Window-U'!$A$4:$A$40,'Window-U'!$Q$4:$Q$40)*Flat!W$22))*W4</f>
        <v>1198.086022452386</v>
      </c>
      <c r="X9" s="177">
        <f>((LOOKUP(Flat!X$2,'Ceiling-U'!$A$4:$A$40,'Ceiling-U'!$I$4:$I$40)*Flat!X$15)+(LOOKUP(Flat!X$2,'Floor-U'!$A$4:$A$40,'Floor-U'!$I$4:$I$40)*Flat!X$16)+(LOOKUP(Flat!X$2,'Wall-U'!$A$4:$A$40,'Wall-U'!$I$4:$I$40)*Flat!X$13)+(LOOKUP(Flat!X$2,'Window-U'!$A$4:$A$40,'Window-U'!$Q$4:$Q$40)*Flat!X$22))*X4</f>
        <v>977.32167445969048</v>
      </c>
      <c r="Y9" s="177">
        <f>((LOOKUP(Flat!Y$2,'Ceiling-U'!$A$4:$A$40,'Ceiling-U'!$I$4:$I$40)*Flat!Y$15)+(LOOKUP(Flat!Y$2,'Floor-U'!$A$4:$A$40,'Floor-U'!$I$4:$I$40)*Flat!Y$16)+(LOOKUP(Flat!Y$2,'Wall-U'!$A$4:$A$40,'Wall-U'!$I$4:$I$40)*Flat!Y$13)+(LOOKUP(Flat!Y$2,'Window-U'!$A$4:$A$40,'Window-U'!$Q$4:$Q$40)*Flat!Y$22))*Y4</f>
        <v>3570.7192174783768</v>
      </c>
      <c r="Z9" s="177">
        <f>((LOOKUP(Flat!Z$2,'Ceiling-U'!$A$4:$A$40,'Ceiling-U'!$I$4:$I$40)*Flat!Z$15)+(LOOKUP(Flat!Z$2,'Floor-U'!$A$4:$A$40,'Floor-U'!$I$4:$I$40)*Flat!Z$16)+(LOOKUP(Flat!Z$2,'Wall-U'!$A$4:$A$40,'Wall-U'!$I$4:$I$40)*Flat!Z$13)+(LOOKUP(Flat!Z$2,'Window-U'!$A$4:$A$40,'Window-U'!$Q$4:$Q$40)*Flat!Z$22))*Z4</f>
        <v>1325.5174172986456</v>
      </c>
      <c r="AA9" s="177">
        <f>((LOOKUP(Flat!AA$2,'Ceiling-U'!$A$4:$A$40,'Ceiling-U'!$I$4:$I$40)*Flat!AA$15)+(LOOKUP(Flat!AA$2,'Floor-U'!$A$4:$A$40,'Floor-U'!$I$4:$I$40)*Flat!AA$16)+(LOOKUP(Flat!AA$2,'Wall-U'!$A$4:$A$40,'Wall-U'!$I$4:$I$40)*Flat!AA$13)+(LOOKUP(Flat!AA$2,'Window-U'!$A$4:$A$40,'Window-U'!$Q$4:$Q$40)*Flat!AA$22))*AA4</f>
        <v>654.32281315177102</v>
      </c>
      <c r="AB9" s="177">
        <f>((LOOKUP(Flat!AB$2,'Ceiling-U'!$A$4:$A$40,'Ceiling-U'!$I$4:$I$40)*Flat!AB$15)+(LOOKUP(Flat!AB$2,'Floor-U'!$A$4:$A$40,'Floor-U'!$I$4:$I$40)*Flat!AB$16)+(LOOKUP(Flat!AB$2,'Wall-U'!$A$4:$A$40,'Wall-U'!$I$4:$I$40)*Flat!AB$13)+(LOOKUP(Flat!AB$2,'Window-U'!$A$4:$A$40,'Window-U'!$Q$4:$Q$40)*Flat!AB$22))*AB4</f>
        <v>1758.3742330699797</v>
      </c>
      <c r="AC9" s="177">
        <f>((LOOKUP(Flat!AC$2,'Ceiling-U'!$A$4:$A$40,'Ceiling-U'!$I$4:$I$40)*Flat!AC$15)+(LOOKUP(Flat!AC$2,'Floor-U'!$A$4:$A$40,'Floor-U'!$I$4:$I$40)*Flat!AC$16)+(LOOKUP(Flat!AC$2,'Wall-U'!$A$4:$A$40,'Wall-U'!$I$4:$I$40)*Flat!AC$13)+(LOOKUP(Flat!AC$2,'Window-U'!$A$4:$A$40,'Window-U'!$Q$4:$Q$40)*Flat!AC$22))*AC4</f>
        <v>3282.7107074386104</v>
      </c>
      <c r="AD9" s="177">
        <f>((LOOKUP(Flat!AD$2,'Ceiling-U'!$A$4:$A$40,'Ceiling-U'!$I$4:$I$40)*Flat!AD$15)+(LOOKUP(Flat!AD$2,'Floor-U'!$A$4:$A$40,'Floor-U'!$I$4:$I$40)*Flat!AD$16)+(LOOKUP(Flat!AD$2,'Wall-U'!$A$4:$A$40,'Wall-U'!$I$4:$I$40)*Flat!AD$13)+(LOOKUP(Flat!AD$2,'Window-U'!$A$4:$A$40,'Window-U'!$Q$4:$Q$40)*Flat!AD$22))*AD4</f>
        <v>5212.0433509321583</v>
      </c>
      <c r="AE9" s="177">
        <f>((LOOKUP(Flat!AE$2,'Ceiling-U'!$A$4:$A$40,'Ceiling-U'!$I$4:$I$40)*Flat!AE$15)+(LOOKUP(Flat!AE$2,'Floor-U'!$A$4:$A$40,'Floor-U'!$I$4:$I$40)*Flat!AE$16)+(LOOKUP(Flat!AE$2,'Wall-U'!$A$4:$A$40,'Wall-U'!$I$4:$I$40)*Flat!AE$13)+(LOOKUP(Flat!AE$2,'Window-U'!$A$4:$A$40,'Window-U'!$Q$4:$Q$40)*Flat!AE$22))*AE4</f>
        <v>654.32281315177102</v>
      </c>
      <c r="AF9" s="177">
        <f>((LOOKUP(Flat!AF$2,'Ceiling-U'!$A$4:$A$40,'Ceiling-U'!$I$4:$I$40)*Flat!AF$15)+(LOOKUP(Flat!AF$2,'Floor-U'!$A$4:$A$40,'Floor-U'!$I$4:$I$40)*Flat!AF$16)+(LOOKUP(Flat!AF$2,'Wall-U'!$A$4:$A$40,'Wall-U'!$I$4:$I$40)*Flat!AF$13)+(LOOKUP(Flat!AF$2,'Window-U'!$A$4:$A$40,'Window-U'!$Q$4:$Q$40)*Flat!AF$22))*AF4</f>
        <v>1103.3106283664188</v>
      </c>
      <c r="AG9" s="177">
        <f>((LOOKUP(Flat!AG$2,'Ceiling-U'!$A$4:$A$40,'Ceiling-U'!$I$4:$I$40)*Flat!AG$15)+(LOOKUP(Flat!AG$2,'Floor-U'!$A$4:$A$40,'Floor-U'!$I$4:$I$40)*Flat!AG$16)+(LOOKUP(Flat!AG$2,'Wall-U'!$A$4:$A$40,'Wall-U'!$I$4:$I$40)*Flat!AG$13)+(LOOKUP(Flat!AG$2,'Window-U'!$A$4:$A$40,'Window-U'!$Q$4:$Q$40)*Flat!AG$22))*AG4</f>
        <v>1818.6606407322508</v>
      </c>
      <c r="AH9" s="177">
        <f>((LOOKUP(Flat!AH$2,'Ceiling-U'!$A$4:$A$40,'Ceiling-U'!$I$4:$I$40)*Flat!AH$15)+(LOOKUP(Flat!AH$2,'Floor-U'!$A$4:$A$40,'Floor-U'!$I$4:$I$40)*Flat!AH$16)+(LOOKUP(Flat!AH$2,'Wall-U'!$A$4:$A$40,'Wall-U'!$I$4:$I$40)*Flat!AH$13)+(LOOKUP(Flat!AH$2,'Window-U'!$A$4:$A$40,'Window-U'!$Q$4:$Q$40)*Flat!AH$22))*AH4</f>
        <v>2829.7951853462973</v>
      </c>
      <c r="AI9" s="177">
        <f>((LOOKUP(Flat!AI$2,'Ceiling-U'!$A$4:$A$40,'Ceiling-U'!$I$4:$I$40)*Flat!AI$15)+(LOOKUP(Flat!AI$2,'Floor-U'!$A$4:$A$40,'Floor-U'!$I$4:$I$40)*Flat!AI$16)+(LOOKUP(Flat!AI$2,'Wall-U'!$A$4:$A$40,'Wall-U'!$I$4:$I$40)*Flat!AI$13)+(LOOKUP(Flat!AI$2,'Window-U'!$A$4:$A$40,'Window-U'!$Q$4:$Q$40)*Flat!AI$22))*AI4</f>
        <v>4195.3548853856501</v>
      </c>
      <c r="AJ9" s="177">
        <f>((LOOKUP(Flat!AJ$2,'Ceiling-U'!$A$4:$A$40,'Ceiling-U'!$I$4:$I$40)*Flat!AJ$15)+(LOOKUP(Flat!AJ$2,'Floor-U'!$A$4:$A$40,'Floor-U'!$I$4:$I$40)*Flat!AJ$16)+(LOOKUP(Flat!AJ$2,'Wall-U'!$A$4:$A$40,'Wall-U'!$I$4:$I$40)*Flat!AJ$13)+(LOOKUP(Flat!AJ$2,'Window-U'!$A$4:$A$40,'Window-U'!$Q$4:$Q$40)*Flat!AJ$22))*AJ4</f>
        <v>1848.3497973292624</v>
      </c>
      <c r="AK9" s="177">
        <f>((LOOKUP(Flat!AK$2,'Ceiling-U'!$A$4:$A$40,'Ceiling-U'!$I$4:$I$40)*Flat!AK$15)+(LOOKUP(Flat!AK$2,'Floor-U'!$A$4:$A$40,'Floor-U'!$I$4:$I$40)*Flat!AK$16)+(LOOKUP(Flat!AK$2,'Wall-U'!$A$4:$A$40,'Wall-U'!$I$4:$I$40)*Flat!AK$13)+(LOOKUP(Flat!AK$2,'Window-U'!$A$4:$A$40,'Window-U'!$Q$4:$Q$40)*Flat!AK$22))*AK4</f>
        <v>1985.4774426928248</v>
      </c>
      <c r="AL9" s="177">
        <f>((LOOKUP(Flat!AL$2,'Ceiling-U'!$A$4:$A$40,'Ceiling-U'!$I$4:$I$40)*Flat!AL$15)+(LOOKUP(Flat!AL$2,'Floor-U'!$A$4:$A$40,'Floor-U'!$I$4:$I$40)*Flat!AL$16)+(LOOKUP(Flat!AL$2,'Wall-U'!$A$4:$A$40,'Wall-U'!$I$4:$I$40)*Flat!AL$13)+(LOOKUP(Flat!AL$2,'Window-U'!$A$4:$A$40,'Window-U'!$Q$4:$Q$40)*Flat!AL$22))*AL4</f>
        <v>1572.200291873017</v>
      </c>
      <c r="AM9" s="177">
        <f>((LOOKUP(Flat!AM$2,'Ceiling-U'!$A$4:$A$40,'Ceiling-U'!$I$4:$I$40)*Flat!AM$15)+(LOOKUP(Flat!AM$2,'Floor-U'!$A$4:$A$40,'Floor-U'!$I$4:$I$40)*Flat!AM$16)+(LOOKUP(Flat!AM$2,'Wall-U'!$A$4:$A$40,'Wall-U'!$I$4:$I$40)*Flat!AM$13)+(LOOKUP(Flat!AM$2,'Window-U'!$A$4:$A$40,'Window-U'!$Q$4:$Q$40)*Flat!AM$22))*AM4</f>
        <v>1848.3497973292624</v>
      </c>
      <c r="AN9" s="178">
        <f>((LOOKUP(Flat!AN$2,'Ceiling-U'!$A$4:$A$40,'Ceiling-U'!$I$4:$I$40)*Flat!AN$15)+(LOOKUP(Flat!AN$2,'Floor-U'!$A$4:$A$40,'Floor-U'!$I$4:$I$40)*Flat!AN$16)+(LOOKUP(Flat!AN$2,'Wall-U'!$A$4:$A$40,'Wall-U'!$I$4:$I$40)*Flat!AN$13)+(LOOKUP(Flat!AN$2,'Window-U'!$A$4:$A$40,'Window-U'!$Q$4:$Q$40)*Flat!AN$22))*AN4</f>
        <v>1848.3497973292624</v>
      </c>
    </row>
    <row r="10" spans="1:40" s="5" customFormat="1">
      <c r="A10" s="373"/>
      <c r="B10" s="374" t="s">
        <v>7</v>
      </c>
      <c r="C10" s="131" t="s">
        <v>195</v>
      </c>
      <c r="D10" s="176">
        <f>((LOOKUP(Flat!D$2,'Ceiling-U'!$A$4:$A$40,'Ceiling-U'!$J$4:$J$40)*Flat!D$15)+(LOOKUP(Flat!D$2,'Floor-U'!$A$4:$A$40,'Floor-U'!$J$4:$J$40)*Flat!D$16)+(LOOKUP(Flat!D$2,'Wall-U'!$A$4:$A$40,'Wall-U'!$J$4:$J$40)*Flat!D$13)+(LOOKUP(Flat!D$2,'Window-U'!$A$4:$A$40,'Window-U'!$Q$4:$Q$40)*Flat!D$22))*D4</f>
        <v>1034.9560152303898</v>
      </c>
      <c r="E10" s="174">
        <f>((LOOKUP(Flat!E$2,'Ceiling-U'!$A$4:$A$40,'Ceiling-U'!$J$4:$J$40)*Flat!E$15)+(LOOKUP(Flat!E$2,'Floor-U'!$A$4:$A$40,'Floor-U'!$J$4:$J$40)*Flat!E$16)+(LOOKUP(Flat!E$2,'Wall-U'!$A$4:$A$40,'Wall-U'!$J$4:$J$40)*Flat!E$13)+(LOOKUP(Flat!E$2,'Window-U'!$A$4:$A$40,'Window-U'!$Q$4:$Q$40)*Flat!E$22))*E4</f>
        <v>1542.3766048074103</v>
      </c>
      <c r="F10" s="174">
        <f>((LOOKUP(Flat!F$2,'Ceiling-U'!$A$4:$A$40,'Ceiling-U'!$J$4:$J$40)*Flat!F$15)+(LOOKUP(Flat!F$2,'Floor-U'!$A$4:$A$40,'Floor-U'!$J$4:$J$40)*Flat!F$16)+(LOOKUP(Flat!F$2,'Wall-U'!$A$4:$A$40,'Wall-U'!$J$4:$J$40)*Flat!F$13)+(LOOKUP(Flat!F$2,'Window-U'!$A$4:$A$40,'Window-U'!$Q$4:$Q$40)*Flat!F$22))*F4</f>
        <v>1721.3168288377906</v>
      </c>
      <c r="G10" s="174">
        <f>((LOOKUP(Flat!G$2,'Ceiling-U'!$A$4:$A$40,'Ceiling-U'!$J$4:$J$40)*Flat!G$15)+(LOOKUP(Flat!G$2,'Floor-U'!$A$4:$A$40,'Floor-U'!$J$4:$J$40)*Flat!G$16)+(LOOKUP(Flat!G$2,'Wall-U'!$A$4:$A$40,'Wall-U'!$J$4:$J$40)*Flat!G$13)+(LOOKUP(Flat!G$2,'Window-U'!$A$4:$A$40,'Window-U'!$Q$4:$Q$40)*Flat!G$22))*G4</f>
        <v>1034.9560152303898</v>
      </c>
      <c r="H10" s="174">
        <f>((LOOKUP(Flat!H$2,'Ceiling-U'!$A$4:$A$40,'Ceiling-U'!$J$4:$J$40)*Flat!H$15)+(LOOKUP(Flat!H$2,'Floor-U'!$A$4:$A$40,'Floor-U'!$J$4:$J$40)*Flat!H$16)+(LOOKUP(Flat!H$2,'Wall-U'!$A$4:$A$40,'Wall-U'!$J$4:$J$40)*Flat!H$13)+(LOOKUP(Flat!H$2,'Window-U'!$A$4:$A$40,'Window-U'!$Q$4:$Q$40)*Flat!H$22))*H4</f>
        <v>2888.7068331300243</v>
      </c>
      <c r="I10" s="174">
        <f>((LOOKUP(Flat!I$2,'Ceiling-U'!$A$4:$A$40,'Ceiling-U'!$J$4:$J$40)*Flat!I$15)+(LOOKUP(Flat!I$2,'Floor-U'!$A$4:$A$40,'Floor-U'!$J$4:$J$40)*Flat!I$16)+(LOOKUP(Flat!I$2,'Wall-U'!$A$4:$A$40,'Wall-U'!$J$4:$J$40)*Flat!I$13)+(LOOKUP(Flat!I$2,'Window-U'!$A$4:$A$40,'Window-U'!$Q$4:$Q$40)*Flat!I$22))*I4</f>
        <v>905.28389810016733</v>
      </c>
      <c r="J10" s="174">
        <f>((LOOKUP(Flat!J$2,'Ceiling-U'!$A$4:$A$40,'Ceiling-U'!$J$4:$J$40)*Flat!J$15)+(LOOKUP(Flat!J$2,'Floor-U'!$A$4:$A$40,'Floor-U'!$J$4:$J$40)*Flat!J$16)+(LOOKUP(Flat!J$2,'Wall-U'!$A$4:$A$40,'Wall-U'!$J$4:$J$40)*Flat!J$13)+(LOOKUP(Flat!J$2,'Window-U'!$A$4:$A$40,'Window-U'!$Q$4:$Q$40)*Flat!J$22))*J4</f>
        <v>864.44968278263286</v>
      </c>
      <c r="K10" s="174">
        <f>((LOOKUP(Flat!K$2,'Ceiling-U'!$A$4:$A$40,'Ceiling-U'!$J$4:$J$40)*Flat!K$15)+(LOOKUP(Flat!K$2,'Floor-U'!$A$4:$A$40,'Floor-U'!$J$4:$J$40)*Flat!K$16)+(LOOKUP(Flat!K$2,'Wall-U'!$A$4:$A$40,'Wall-U'!$J$4:$J$40)*Flat!K$13)+(LOOKUP(Flat!K$2,'Window-U'!$A$4:$A$40,'Window-U'!$Q$4:$Q$40)*Flat!K$22))*K4</f>
        <v>1036.8978844264468</v>
      </c>
      <c r="L10" s="174">
        <f>((LOOKUP(Flat!L$2,'Ceiling-U'!$A$4:$A$40,'Ceiling-U'!$J$4:$J$40)*Flat!L$15)+(LOOKUP(Flat!L$2,'Floor-U'!$A$4:$A$40,'Floor-U'!$J$4:$J$40)*Flat!L$16)+(LOOKUP(Flat!L$2,'Wall-U'!$A$4:$A$40,'Wall-U'!$J$4:$J$40)*Flat!L$13)+(LOOKUP(Flat!L$2,'Window-U'!$A$4:$A$40,'Window-U'!$Q$4:$Q$40)*Flat!L$22))*L4</f>
        <v>642.70926918035298</v>
      </c>
      <c r="M10" s="174">
        <f>((LOOKUP(Flat!M$2,'Ceiling-U'!$A$4:$A$40,'Ceiling-U'!$J$4:$J$40)*Flat!M$15)+(LOOKUP(Flat!M$2,'Floor-U'!$A$4:$A$40,'Floor-U'!$J$4:$J$40)*Flat!M$16)+(LOOKUP(Flat!M$2,'Wall-U'!$A$4:$A$40,'Wall-U'!$J$4:$J$40)*Flat!M$13)+(LOOKUP(Flat!M$2,'Window-U'!$A$4:$A$40,'Window-U'!$Q$4:$Q$40)*Flat!M$22))*M4</f>
        <v>1042.0750815509703</v>
      </c>
      <c r="N10" s="174">
        <f>((LOOKUP(Flat!N$2,'Ceiling-U'!$A$4:$A$40,'Ceiling-U'!$J$4:$J$40)*Flat!N$15)+(LOOKUP(Flat!N$2,'Floor-U'!$A$4:$A$40,'Floor-U'!$J$4:$J$40)*Flat!N$16)+(LOOKUP(Flat!N$2,'Wall-U'!$A$4:$A$40,'Wall-U'!$J$4:$J$40)*Flat!N$13)+(LOOKUP(Flat!N$2,'Window-U'!$A$4:$A$40,'Window-U'!$Q$4:$Q$40)*Flat!N$22))*N4</f>
        <v>1548.1328129161225</v>
      </c>
      <c r="O10" s="174">
        <f>((LOOKUP(Flat!O$2,'Ceiling-U'!$A$4:$A$40,'Ceiling-U'!$J$4:$J$40)*Flat!O$15)+(LOOKUP(Flat!O$2,'Floor-U'!$A$4:$A$40,'Floor-U'!$J$4:$J$40)*Flat!O$16)+(LOOKUP(Flat!O$2,'Wall-U'!$A$4:$A$40,'Wall-U'!$J$4:$J$40)*Flat!O$13)+(LOOKUP(Flat!O$2,'Window-U'!$A$4:$A$40,'Window-U'!$Q$4:$Q$40)*Flat!O$22))*O4</f>
        <v>927.2982468767002</v>
      </c>
      <c r="P10" s="174">
        <f>((LOOKUP(Flat!P$2,'Ceiling-U'!$A$4:$A$40,'Ceiling-U'!$J$4:$J$40)*Flat!P$15)+(LOOKUP(Flat!P$2,'Floor-U'!$A$4:$A$40,'Floor-U'!$J$4:$J$40)*Flat!P$16)+(LOOKUP(Flat!P$2,'Wall-U'!$A$4:$A$40,'Wall-U'!$J$4:$J$40)*Flat!P$13)+(LOOKUP(Flat!P$2,'Window-U'!$A$4:$A$40,'Window-U'!$Q$4:$Q$40)*Flat!P$22))*P4</f>
        <v>821.54842670389974</v>
      </c>
      <c r="Q10" s="174">
        <f>((LOOKUP(Flat!Q$2,'Ceiling-U'!$A$4:$A$40,'Ceiling-U'!$J$4:$J$40)*Flat!Q$15)+(LOOKUP(Flat!Q$2,'Floor-U'!$A$4:$A$40,'Floor-U'!$J$4:$J$40)*Flat!Q$16)+(LOOKUP(Flat!Q$2,'Wall-U'!$A$4:$A$40,'Wall-U'!$J$4:$J$40)*Flat!Q$13)+(LOOKUP(Flat!Q$2,'Window-U'!$A$4:$A$40,'Window-U'!$Q$4:$Q$40)*Flat!Q$22))*Q4</f>
        <v>930.84136765449921</v>
      </c>
      <c r="R10" s="174">
        <f>((LOOKUP(Flat!R$2,'Ceiling-U'!$A$4:$A$40,'Ceiling-U'!$J$4:$J$40)*Flat!R$15)+(LOOKUP(Flat!R$2,'Floor-U'!$A$4:$A$40,'Floor-U'!$J$4:$J$40)*Flat!R$16)+(LOOKUP(Flat!R$2,'Wall-U'!$A$4:$A$40,'Wall-U'!$J$4:$J$40)*Flat!R$13)+(LOOKUP(Flat!R$2,'Window-U'!$A$4:$A$40,'Window-U'!$Q$4:$Q$40)*Flat!R$22))*R4</f>
        <v>896.10508321931547</v>
      </c>
      <c r="S10" s="174">
        <f>((LOOKUP(Flat!S$2,'Ceiling-U'!$A$4:$A$40,'Ceiling-U'!$J$4:$J$40)*Flat!S$15)+(LOOKUP(Flat!S$2,'Floor-U'!$A$4:$A$40,'Floor-U'!$J$4:$J$40)*Flat!S$16)+(LOOKUP(Flat!S$2,'Wall-U'!$A$4:$A$40,'Wall-U'!$J$4:$J$40)*Flat!S$13)+(LOOKUP(Flat!S$2,'Window-U'!$A$4:$A$40,'Window-U'!$Q$4:$Q$40)*Flat!S$22))*S4</f>
        <v>2753.1598895463776</v>
      </c>
      <c r="T10" s="174">
        <f>((LOOKUP(Flat!T$2,'Ceiling-U'!$A$4:$A$40,'Ceiling-U'!$J$4:$J$40)*Flat!T$15)+(LOOKUP(Flat!T$2,'Floor-U'!$A$4:$A$40,'Floor-U'!$J$4:$J$40)*Flat!T$16)+(LOOKUP(Flat!T$2,'Wall-U'!$A$4:$A$40,'Wall-U'!$J$4:$J$40)*Flat!T$13)+(LOOKUP(Flat!T$2,'Window-U'!$A$4:$A$40,'Window-U'!$Q$4:$Q$40)*Flat!T$22))*T4</f>
        <v>723.13070277233282</v>
      </c>
      <c r="U10" s="174">
        <f>((LOOKUP(Flat!U$2,'Ceiling-U'!$A$4:$A$40,'Ceiling-U'!$J$4:$J$40)*Flat!U$15)+(LOOKUP(Flat!U$2,'Floor-U'!$A$4:$A$40,'Floor-U'!$J$4:$J$40)*Flat!U$16)+(LOOKUP(Flat!U$2,'Wall-U'!$A$4:$A$40,'Wall-U'!$J$4:$J$40)*Flat!U$13)+(LOOKUP(Flat!U$2,'Window-U'!$A$4:$A$40,'Window-U'!$Q$4:$Q$40)*Flat!U$22))*U4</f>
        <v>2258.54796454286</v>
      </c>
      <c r="V10" s="174">
        <f>((LOOKUP(Flat!V$2,'Ceiling-U'!$A$4:$A$40,'Ceiling-U'!$J$4:$J$40)*Flat!V$15)+(LOOKUP(Flat!V$2,'Floor-U'!$A$4:$A$40,'Floor-U'!$J$4:$J$40)*Flat!V$16)+(LOOKUP(Flat!V$2,'Wall-U'!$A$4:$A$40,'Wall-U'!$J$4:$J$40)*Flat!V$13)+(LOOKUP(Flat!V$2,'Window-U'!$A$4:$A$40,'Window-U'!$Q$4:$Q$40)*Flat!V$22))*V4</f>
        <v>648.78777566120607</v>
      </c>
      <c r="W10" s="174">
        <f>((LOOKUP(Flat!W$2,'Ceiling-U'!$A$4:$A$40,'Ceiling-U'!$J$4:$J$40)*Flat!W$15)+(LOOKUP(Flat!W$2,'Floor-U'!$A$4:$A$40,'Floor-U'!$J$4:$J$40)*Flat!W$16)+(LOOKUP(Flat!W$2,'Wall-U'!$A$4:$A$40,'Wall-U'!$J$4:$J$40)*Flat!W$13)+(LOOKUP(Flat!W$2,'Window-U'!$A$4:$A$40,'Window-U'!$Q$4:$Q$40)*Flat!W$22))*W4</f>
        <v>997.81000799320395</v>
      </c>
      <c r="X10" s="174">
        <f>((LOOKUP(Flat!X$2,'Ceiling-U'!$A$4:$A$40,'Ceiling-U'!$J$4:$J$40)*Flat!X$15)+(LOOKUP(Flat!X$2,'Floor-U'!$A$4:$A$40,'Floor-U'!$J$4:$J$40)*Flat!X$16)+(LOOKUP(Flat!X$2,'Wall-U'!$A$4:$A$40,'Wall-U'!$J$4:$J$40)*Flat!X$13)+(LOOKUP(Flat!X$2,'Window-U'!$A$4:$A$40,'Window-U'!$Q$4:$Q$40)*Flat!X$22))*X4</f>
        <v>633.11280280548851</v>
      </c>
      <c r="Y10" s="174">
        <f>((LOOKUP(Flat!Y$2,'Ceiling-U'!$A$4:$A$40,'Ceiling-U'!$J$4:$J$40)*Flat!Y$15)+(LOOKUP(Flat!Y$2,'Floor-U'!$A$4:$A$40,'Floor-U'!$J$4:$J$40)*Flat!Y$16)+(LOOKUP(Flat!Y$2,'Wall-U'!$A$4:$A$40,'Wall-U'!$J$4:$J$40)*Flat!Y$13)+(LOOKUP(Flat!Y$2,'Window-U'!$A$4:$A$40,'Window-U'!$Q$4:$Q$40)*Flat!Y$22))*Y4</f>
        <v>3324.4857919049155</v>
      </c>
      <c r="Z10" s="174">
        <f>((LOOKUP(Flat!Z$2,'Ceiling-U'!$A$4:$A$40,'Ceiling-U'!$J$4:$J$40)*Flat!Z$15)+(LOOKUP(Flat!Z$2,'Floor-U'!$A$4:$A$40,'Floor-U'!$J$4:$J$40)*Flat!Z$16)+(LOOKUP(Flat!Z$2,'Wall-U'!$A$4:$A$40,'Wall-U'!$J$4:$J$40)*Flat!Z$13)+(LOOKUP(Flat!Z$2,'Window-U'!$A$4:$A$40,'Window-U'!$Q$4:$Q$40)*Flat!Z$22))*Z4</f>
        <v>1043.5447532807502</v>
      </c>
      <c r="AA10" s="174">
        <f>((LOOKUP(Flat!AA$2,'Ceiling-U'!$A$4:$A$40,'Ceiling-U'!$J$4:$J$40)*Flat!AA$15)+(LOOKUP(Flat!AA$2,'Floor-U'!$A$4:$A$40,'Floor-U'!$J$4:$J$40)*Flat!AA$16)+(LOOKUP(Flat!AA$2,'Wall-U'!$A$4:$A$40,'Wall-U'!$J$4:$J$40)*Flat!AA$13)+(LOOKUP(Flat!AA$2,'Window-U'!$A$4:$A$40,'Window-U'!$Q$4:$Q$40)*Flat!AA$22))*AA4</f>
        <v>654.32281315177102</v>
      </c>
      <c r="AB10" s="174">
        <f>((LOOKUP(Flat!AB$2,'Ceiling-U'!$A$4:$A$40,'Ceiling-U'!$J$4:$J$40)*Flat!AB$15)+(LOOKUP(Flat!AB$2,'Floor-U'!$A$4:$A$40,'Floor-U'!$J$4:$J$40)*Flat!AB$16)+(LOOKUP(Flat!AB$2,'Wall-U'!$A$4:$A$40,'Wall-U'!$J$4:$J$40)*Flat!AB$13)+(LOOKUP(Flat!AB$2,'Window-U'!$A$4:$A$40,'Window-U'!$Q$4:$Q$40)*Flat!AB$22))*AB4</f>
        <v>1350.7198107355189</v>
      </c>
      <c r="AC10" s="174">
        <f>((LOOKUP(Flat!AC$2,'Ceiling-U'!$A$4:$A$40,'Ceiling-U'!$J$4:$J$40)*Flat!AC$15)+(LOOKUP(Flat!AC$2,'Floor-U'!$A$4:$A$40,'Floor-U'!$J$4:$J$40)*Flat!AC$16)+(LOOKUP(Flat!AC$2,'Wall-U'!$A$4:$A$40,'Wall-U'!$J$4:$J$40)*Flat!AC$13)+(LOOKUP(Flat!AC$2,'Window-U'!$A$4:$A$40,'Window-U'!$Q$4:$Q$40)*Flat!AC$22))*AC4</f>
        <v>2176.6140200131081</v>
      </c>
      <c r="AD10" s="174">
        <f>((LOOKUP(Flat!AD$2,'Ceiling-U'!$A$4:$A$40,'Ceiling-U'!$J$4:$J$40)*Flat!AD$15)+(LOOKUP(Flat!AD$2,'Floor-U'!$A$4:$A$40,'Floor-U'!$J$4:$J$40)*Flat!AD$16)+(LOOKUP(Flat!AD$2,'Wall-U'!$A$4:$A$40,'Wall-U'!$J$4:$J$40)*Flat!AD$13)+(LOOKUP(Flat!AD$2,'Window-U'!$A$4:$A$40,'Window-U'!$Q$4:$Q$40)*Flat!AD$22))*AD4</f>
        <v>4396.6937734145713</v>
      </c>
      <c r="AE10" s="174">
        <f>((LOOKUP(Flat!AE$2,'Ceiling-U'!$A$4:$A$40,'Ceiling-U'!$J$4:$J$40)*Flat!AE$15)+(LOOKUP(Flat!AE$2,'Floor-U'!$A$4:$A$40,'Floor-U'!$J$4:$J$40)*Flat!AE$16)+(LOOKUP(Flat!AE$2,'Wall-U'!$A$4:$A$40,'Wall-U'!$J$4:$J$40)*Flat!AE$13)+(LOOKUP(Flat!AE$2,'Window-U'!$A$4:$A$40,'Window-U'!$Q$4:$Q$40)*Flat!AE$22))*AE4</f>
        <v>654.32281315177102</v>
      </c>
      <c r="AF10" s="174">
        <f>((LOOKUP(Flat!AF$2,'Ceiling-U'!$A$4:$A$40,'Ceiling-U'!$J$4:$J$40)*Flat!AF$15)+(LOOKUP(Flat!AF$2,'Floor-U'!$A$4:$A$40,'Floor-U'!$J$4:$J$40)*Flat!AF$16)+(LOOKUP(Flat!AF$2,'Wall-U'!$A$4:$A$40,'Wall-U'!$J$4:$J$40)*Flat!AF$13)+(LOOKUP(Flat!AF$2,'Window-U'!$A$4:$A$40,'Window-U'!$Q$4:$Q$40)*Flat!AF$22))*AF4</f>
        <v>715.53538000766207</v>
      </c>
      <c r="AG10" s="174">
        <f>((LOOKUP(Flat!AG$2,'Ceiling-U'!$A$4:$A$40,'Ceiling-U'!$J$4:$J$40)*Flat!AG$15)+(LOOKUP(Flat!AG$2,'Floor-U'!$A$4:$A$40,'Floor-U'!$J$4:$J$40)*Flat!AG$16)+(LOOKUP(Flat!AG$2,'Wall-U'!$A$4:$A$40,'Wall-U'!$J$4:$J$40)*Flat!AG$13)+(LOOKUP(Flat!AG$2,'Window-U'!$A$4:$A$40,'Window-U'!$Q$4:$Q$40)*Flat!AG$22))*AG4</f>
        <v>1107.9112915188355</v>
      </c>
      <c r="AH10" s="174">
        <f>((LOOKUP(Flat!AH$2,'Ceiling-U'!$A$4:$A$40,'Ceiling-U'!$J$4:$J$40)*Flat!AH$15)+(LOOKUP(Flat!AH$2,'Floor-U'!$A$4:$A$40,'Floor-U'!$J$4:$J$40)*Flat!AH$16)+(LOOKUP(Flat!AH$2,'Wall-U'!$A$4:$A$40,'Wall-U'!$J$4:$J$40)*Flat!AH$13)+(LOOKUP(Flat!AH$2,'Window-U'!$A$4:$A$40,'Window-U'!$Q$4:$Q$40)*Flat!AH$22))*AH4</f>
        <v>2527.1216890706596</v>
      </c>
      <c r="AI10" s="174">
        <f>((LOOKUP(Flat!AI$2,'Ceiling-U'!$A$4:$A$40,'Ceiling-U'!$J$4:$J$40)*Flat!AI$15)+(LOOKUP(Flat!AI$2,'Floor-U'!$A$4:$A$40,'Floor-U'!$J$4:$J$40)*Flat!AI$16)+(LOOKUP(Flat!AI$2,'Wall-U'!$A$4:$A$40,'Wall-U'!$J$4:$J$40)*Flat!AI$13)+(LOOKUP(Flat!AI$2,'Window-U'!$A$4:$A$40,'Window-U'!$Q$4:$Q$40)*Flat!AI$22))*AI4</f>
        <v>1371.2948515597227</v>
      </c>
      <c r="AJ10" s="174">
        <f>((LOOKUP(Flat!AJ$2,'Ceiling-U'!$A$4:$A$40,'Ceiling-U'!$J$4:$J$40)*Flat!AJ$15)+(LOOKUP(Flat!AJ$2,'Floor-U'!$A$4:$A$40,'Floor-U'!$J$4:$J$40)*Flat!AJ$16)+(LOOKUP(Flat!AJ$2,'Wall-U'!$A$4:$A$40,'Wall-U'!$J$4:$J$40)*Flat!AJ$13)+(LOOKUP(Flat!AJ$2,'Window-U'!$A$4:$A$40,'Window-U'!$Q$4:$Q$40)*Flat!AJ$22))*AJ4</f>
        <v>1606.398008014851</v>
      </c>
      <c r="AK10" s="174">
        <f>((LOOKUP(Flat!AK$2,'Ceiling-U'!$A$4:$A$40,'Ceiling-U'!$J$4:$J$40)*Flat!AK$15)+(LOOKUP(Flat!AK$2,'Floor-U'!$A$4:$A$40,'Floor-U'!$J$4:$J$40)*Flat!AK$16)+(LOOKUP(Flat!AK$2,'Wall-U'!$A$4:$A$40,'Wall-U'!$J$4:$J$40)*Flat!AK$13)+(LOOKUP(Flat!AK$2,'Window-U'!$A$4:$A$40,'Window-U'!$Q$4:$Q$40)*Flat!AK$22))*AK4</f>
        <v>1722.0497258395837</v>
      </c>
      <c r="AL10" s="174">
        <f>((LOOKUP(Flat!AL$2,'Ceiling-U'!$A$4:$A$40,'Ceiling-U'!$J$4:$J$40)*Flat!AL$15)+(LOOKUP(Flat!AL$2,'Floor-U'!$A$4:$A$40,'Floor-U'!$J$4:$J$40)*Flat!AL$16)+(LOOKUP(Flat!AL$2,'Wall-U'!$A$4:$A$40,'Wall-U'!$J$4:$J$40)*Flat!AL$13)+(LOOKUP(Flat!AL$2,'Window-U'!$A$4:$A$40,'Window-U'!$Q$4:$Q$40)*Flat!AL$22))*AL4</f>
        <v>994.78784506812394</v>
      </c>
      <c r="AM10" s="174">
        <f>((LOOKUP(Flat!AM$2,'Ceiling-U'!$A$4:$A$40,'Ceiling-U'!$J$4:$J$40)*Flat!AM$15)+(LOOKUP(Flat!AM$2,'Floor-U'!$A$4:$A$40,'Floor-U'!$J$4:$J$40)*Flat!AM$16)+(LOOKUP(Flat!AM$2,'Wall-U'!$A$4:$A$40,'Wall-U'!$J$4:$J$40)*Flat!AM$13)+(LOOKUP(Flat!AM$2,'Window-U'!$A$4:$A$40,'Window-U'!$Q$4:$Q$40)*Flat!AM$22))*AM4</f>
        <v>1606.398008014851</v>
      </c>
      <c r="AN10" s="175">
        <f>((LOOKUP(Flat!AN$2,'Ceiling-U'!$A$4:$A$40,'Ceiling-U'!$J$4:$J$40)*Flat!AN$15)+(LOOKUP(Flat!AN$2,'Floor-U'!$A$4:$A$40,'Floor-U'!$J$4:$J$40)*Flat!AN$16)+(LOOKUP(Flat!AN$2,'Wall-U'!$A$4:$A$40,'Wall-U'!$J$4:$J$40)*Flat!AN$13)+(LOOKUP(Flat!AN$2,'Window-U'!$A$4:$A$40,'Window-U'!$Q$4:$Q$40)*Flat!AN$22))*AN4</f>
        <v>1606.398008014851</v>
      </c>
    </row>
    <row r="11" spans="1:40" s="5" customFormat="1">
      <c r="A11" s="332" t="s">
        <v>280</v>
      </c>
      <c r="B11" s="142" t="s">
        <v>2</v>
      </c>
      <c r="C11" s="360" t="s">
        <v>261</v>
      </c>
      <c r="D11" s="351">
        <f>D5*24*LOOKUP(Flat!D$2,'HDD-by Country'!$A$4:$A$40,'HDD-by Country'!$C$4:$C$40)/1000/Flat!D$3</f>
        <v>11241.238311791712</v>
      </c>
      <c r="E11" s="352">
        <f>E5*24*LOOKUP(Flat!E$2,'HDD-by Country'!$A$4:$A$40,'HDD-by Country'!$C$4:$C$40)/1000/Flat!E$3</f>
        <v>10847.909220059617</v>
      </c>
      <c r="F11" s="352">
        <f>F5*24*LOOKUP(Flat!F$2,'HDD-by Country'!$A$4:$A$40,'HDD-by Country'!$C$4:$C$40)/1000/Flat!F$3</f>
        <v>6555.3687060819329</v>
      </c>
      <c r="G11" s="352">
        <f>G5*24*LOOKUP(Flat!G$2,'HDD-by Country'!$A$4:$A$40,'HDD-by Country'!$C$4:$C$40)/1000/Flat!G$3</f>
        <v>10951.872356367861</v>
      </c>
      <c r="H11" s="352">
        <f>H5*24*LOOKUP(Flat!H$2,'HDD-by Country'!$A$4:$A$40,'HDD-by Country'!$C$4:$C$40)/1000/Flat!H$3</f>
        <v>3976.7008716983523</v>
      </c>
      <c r="I11" s="352">
        <f>I5*24*LOOKUP(Flat!I$2,'HDD-by Country'!$A$4:$A$40,'HDD-by Country'!$C$4:$C$40)/1000/Flat!I$3</f>
        <v>7353.6268592397855</v>
      </c>
      <c r="J11" s="352">
        <f>J5*24*LOOKUP(Flat!J$2,'HDD-by Country'!$A$4:$A$40,'HDD-by Country'!$C$4:$C$40)/1000/Flat!J$3</f>
        <v>10963.725001152747</v>
      </c>
      <c r="K11" s="352">
        <f>K5*24*LOOKUP(Flat!K$2,'HDD-by Country'!$A$4:$A$40,'HDD-by Country'!$C$4:$C$40)/1000/Flat!K$3</f>
        <v>6174.3015841168517</v>
      </c>
      <c r="L11" s="352">
        <f>L5*24*LOOKUP(Flat!L$2,'HDD-by Country'!$A$4:$A$40,'HDD-by Country'!$C$4:$C$40)/1000/Flat!L$3</f>
        <v>5065.8385268137699</v>
      </c>
      <c r="M11" s="352">
        <f>M5*24*LOOKUP(Flat!M$2,'HDD-by Country'!$A$4:$A$40,'HDD-by Country'!$C$4:$C$40)/1000/Flat!M$3</f>
        <v>12888.231619308101</v>
      </c>
      <c r="N11" s="352">
        <f>N5*24*LOOKUP(Flat!N$2,'HDD-by Country'!$A$4:$A$40,'HDD-by Country'!$C$4:$C$40)/1000/Flat!N$3</f>
        <v>6462.7166276964745</v>
      </c>
      <c r="O11" s="352">
        <f>O5*24*LOOKUP(Flat!O$2,'HDD-by Country'!$A$4:$A$40,'HDD-by Country'!$C$4:$C$40)/1000/Flat!O$3</f>
        <v>11917.976178052111</v>
      </c>
      <c r="P11" s="352">
        <f>P5*24*LOOKUP(Flat!P$2,'HDD-by Country'!$A$4:$A$40,'HDD-by Country'!$C$4:$C$40)/1000/Flat!P$3</f>
        <v>10729.915764345951</v>
      </c>
      <c r="Q11" s="352">
        <f>Q5*24*LOOKUP(Flat!Q$2,'HDD-by Country'!$A$4:$A$40,'HDD-by Country'!$C$4:$C$40)/1000/Flat!Q$3</f>
        <v>6692.3612075173714</v>
      </c>
      <c r="R11" s="352">
        <f>R5*24*LOOKUP(Flat!R$2,'HDD-by Country'!$A$4:$A$40,'HDD-by Country'!$C$4:$C$40)/1000/Flat!R$3</f>
        <v>7458.5443789395313</v>
      </c>
      <c r="S11" s="352">
        <f>S5*24*LOOKUP(Flat!S$2,'HDD-by Country'!$A$4:$A$40,'HDD-by Country'!$C$4:$C$40)/1000/Flat!S$3</f>
        <v>6743.8517441625281</v>
      </c>
      <c r="T11" s="352">
        <f>T5*24*LOOKUP(Flat!T$2,'HDD-by Country'!$A$4:$A$40,'HDD-by Country'!$C$4:$C$40)/1000/Flat!T$3</f>
        <v>6928.5767732172772</v>
      </c>
      <c r="U11" s="352">
        <f>U5*24*LOOKUP(Flat!U$2,'HDD-by Country'!$A$4:$A$40,'HDD-by Country'!$C$4:$C$40)/1000/Flat!U$3</f>
        <v>8944.7949905014011</v>
      </c>
      <c r="V11" s="352">
        <f>V5*24*LOOKUP(Flat!V$2,'HDD-by Country'!$A$4:$A$40,'HDD-by Country'!$C$4:$C$40)/1000/Flat!V$3</f>
        <v>7886.3562313640841</v>
      </c>
      <c r="W11" s="352">
        <f>W5*24*LOOKUP(Flat!W$2,'HDD-by Country'!$A$4:$A$40,'HDD-by Country'!$C$4:$C$40)/1000/Flat!W$3</f>
        <v>9554.2009063405803</v>
      </c>
      <c r="X11" s="352">
        <f>X5*24*LOOKUP(Flat!X$2,'HDD-by Country'!$A$4:$A$40,'HDD-by Country'!$C$4:$C$40)/1000/Flat!X$3</f>
        <v>8488.4248597693913</v>
      </c>
      <c r="Y11" s="352">
        <f>Y5*24*LOOKUP(Flat!Y$2,'HDD-by Country'!$A$4:$A$40,'HDD-by Country'!$C$4:$C$40)/1000/Flat!Y$3</f>
        <v>3484.7086290559723</v>
      </c>
      <c r="Z11" s="352">
        <f>Z5*24*LOOKUP(Flat!Z$2,'HDD-by Country'!$A$4:$A$40,'HDD-by Country'!$C$4:$C$40)/1000/Flat!Z$3</f>
        <v>11680.655989113646</v>
      </c>
      <c r="AA11" s="352">
        <f>AA5*24*LOOKUP(Flat!AA$2,'HDD-by Country'!$A$4:$A$40,'HDD-by Country'!$C$4:$C$40)/1000/Flat!AA$3</f>
        <v>7110.1173441756791</v>
      </c>
      <c r="AB11" s="352">
        <f>AB5*24*LOOKUP(Flat!AB$2,'HDD-by Country'!$A$4:$A$40,'HDD-by Country'!$C$4:$C$40)/1000/Flat!AB$3</f>
        <v>9612.7349240577496</v>
      </c>
      <c r="AC11" s="352">
        <f>AC5*24*LOOKUP(Flat!AC$2,'HDD-by Country'!$A$4:$A$40,'HDD-by Country'!$C$4:$C$40)/1000/Flat!AC$3</f>
        <v>6977.2029997893969</v>
      </c>
      <c r="AD11" s="352">
        <f>AD5*24*LOOKUP(Flat!AD$2,'HDD-by Country'!$A$4:$A$40,'HDD-by Country'!$C$4:$C$40)/1000/Flat!AD$3</f>
        <v>6256.6508081250959</v>
      </c>
      <c r="AE11" s="352">
        <f>AE5*24*LOOKUP(Flat!AE$2,'HDD-by Country'!$A$4:$A$40,'HDD-by Country'!$C$4:$C$40)/1000/Flat!AE$3</f>
        <v>6855.7348249543747</v>
      </c>
      <c r="AF11" s="352">
        <f>AF5*24*LOOKUP(Flat!AF$2,'HDD-by Country'!$A$4:$A$40,'HDD-by Country'!$C$4:$C$40)/1000/Flat!AF$3</f>
        <v>7579.5549372763944</v>
      </c>
      <c r="AG11" s="352">
        <f>AG5*24*LOOKUP(Flat!AG$2,'HDD-by Country'!$A$4:$A$40,'HDD-by Country'!$C$4:$C$40)/1000/Flat!AG$3</f>
        <v>11145.396578233613</v>
      </c>
      <c r="AH11" s="352">
        <f>AH5*24*LOOKUP(Flat!AH$2,'HDD-by Country'!$A$4:$A$40,'HDD-by Country'!$C$4:$C$40)/1000/Flat!AH$3</f>
        <v>6113.1267554759561</v>
      </c>
      <c r="AI11" s="352">
        <f>AI5*24*LOOKUP(Flat!AI$2,'HDD-by Country'!$A$4:$A$40,'HDD-by Country'!$C$4:$C$40)/1000/Flat!AI$3</f>
        <v>8547.0647692756011</v>
      </c>
      <c r="AJ11" s="352">
        <f>AJ5*24*LOOKUP(Flat!AJ$2,'HDD-by Country'!$A$4:$A$40,'HDD-by Country'!$C$4:$C$40)/1000/Flat!AJ$3</f>
        <v>8184.8651723947287</v>
      </c>
      <c r="AK11" s="352">
        <f>AK5*24*LOOKUP(Flat!AK$2,'HDD-by Country'!$A$4:$A$40,'HDD-by Country'!$C$4:$C$40)/1000/Flat!AK$3</f>
        <v>7841.6699645371937</v>
      </c>
      <c r="AL11" s="352">
        <f>AL5*24*LOOKUP(Flat!AL$2,'HDD-by Country'!$A$4:$A$40,'HDD-by Country'!$C$4:$C$40)/1000/Flat!AL$3</f>
        <v>8199.9488311458099</v>
      </c>
      <c r="AM11" s="352">
        <f>AM5*24*LOOKUP(Flat!AM$2,'HDD-by Country'!$A$4:$A$40,'HDD-by Country'!$C$4:$C$40)/1000/Flat!AM$3</f>
        <v>7526.6025729721541</v>
      </c>
      <c r="AN11" s="353">
        <f>AN5*24*LOOKUP(Flat!AN$2,'HDD-by Country'!$A$4:$A$40,'HDD-by Country'!$C$4:$C$40)/1000/Flat!AN$3</f>
        <v>7526.6025729721541</v>
      </c>
    </row>
    <row r="12" spans="1:40" s="5" customFormat="1">
      <c r="A12" s="129"/>
      <c r="B12" s="142" t="s">
        <v>3</v>
      </c>
      <c r="C12" s="129" t="s">
        <v>261</v>
      </c>
      <c r="D12" s="345">
        <f>D6*24*LOOKUP(Flat!D$2,'HDD-by Country'!$A$4:$A$40,'HDD-by Country'!$C$4:$C$40)/1000/Flat!D$3</f>
        <v>9973.5788099574438</v>
      </c>
      <c r="E12" s="349">
        <f>E6*24*LOOKUP(Flat!E$2,'HDD-by Country'!$A$4:$A$40,'HDD-by Country'!$C$4:$C$40)/1000/Flat!E$3</f>
        <v>10847.909220059617</v>
      </c>
      <c r="F12" s="349">
        <f>F6*24*LOOKUP(Flat!F$2,'HDD-by Country'!$A$4:$A$40,'HDD-by Country'!$C$4:$C$40)/1000/Flat!F$3</f>
        <v>6555.3687060819329</v>
      </c>
      <c r="G12" s="349">
        <f>G6*24*LOOKUP(Flat!G$2,'HDD-by Country'!$A$4:$A$40,'HDD-by Country'!$C$4:$C$40)/1000/Flat!G$3</f>
        <v>9716.8442686826584</v>
      </c>
      <c r="H12" s="349">
        <f>H6*24*LOOKUP(Flat!H$2,'HDD-by Country'!$A$4:$A$40,'HDD-by Country'!$C$4:$C$40)/1000/Flat!H$3</f>
        <v>3592.6367918445844</v>
      </c>
      <c r="I12" s="349">
        <f>I6*24*LOOKUP(Flat!I$2,'HDD-by Country'!$A$4:$A$40,'HDD-by Country'!$C$4:$C$40)/1000/Flat!I$3</f>
        <v>6490.5908118689631</v>
      </c>
      <c r="J12" s="349">
        <f>J6*24*LOOKUP(Flat!J$2,'HDD-by Country'!$A$4:$A$40,'HDD-by Country'!$C$4:$C$40)/1000/Flat!J$3</f>
        <v>9108.2883454028051</v>
      </c>
      <c r="K12" s="349">
        <f>K6*24*LOOKUP(Flat!K$2,'HDD-by Country'!$A$4:$A$40,'HDD-by Country'!$C$4:$C$40)/1000/Flat!K$3</f>
        <v>6069.0471003162902</v>
      </c>
      <c r="L12" s="349">
        <f>L6*24*LOOKUP(Flat!L$2,'HDD-by Country'!$A$4:$A$40,'HDD-by Country'!$C$4:$C$40)/1000/Flat!L$3</f>
        <v>5065.8385268137699</v>
      </c>
      <c r="M12" s="349">
        <f>M6*24*LOOKUP(Flat!M$2,'HDD-by Country'!$A$4:$A$40,'HDD-by Country'!$C$4:$C$40)/1000/Flat!M$3</f>
        <v>11232.811574586873</v>
      </c>
      <c r="N12" s="349">
        <f>N6*24*LOOKUP(Flat!N$2,'HDD-by Country'!$A$4:$A$40,'HDD-by Country'!$C$4:$C$40)/1000/Flat!N$3</f>
        <v>6036.9232525167081</v>
      </c>
      <c r="O12" s="349">
        <f>O6*24*LOOKUP(Flat!O$2,'HDD-by Country'!$A$4:$A$40,'HDD-by Country'!$C$4:$C$40)/1000/Flat!O$3</f>
        <v>11917.976178052111</v>
      </c>
      <c r="P12" s="349">
        <f>P6*24*LOOKUP(Flat!P$2,'HDD-by Country'!$A$4:$A$40,'HDD-by Country'!$C$4:$C$40)/1000/Flat!P$3</f>
        <v>10729.915764345951</v>
      </c>
      <c r="Q12" s="349">
        <f>Q6*24*LOOKUP(Flat!Q$2,'HDD-by Country'!$A$4:$A$40,'HDD-by Country'!$C$4:$C$40)/1000/Flat!Q$3</f>
        <v>7290.2293375908612</v>
      </c>
      <c r="R12" s="349">
        <f>R6*24*LOOKUP(Flat!R$2,'HDD-by Country'!$A$4:$A$40,'HDD-by Country'!$C$4:$C$40)/1000/Flat!R$3</f>
        <v>7458.5443789395313</v>
      </c>
      <c r="S12" s="349">
        <f>S6*24*LOOKUP(Flat!S$2,'HDD-by Country'!$A$4:$A$40,'HDD-by Country'!$C$4:$C$40)/1000/Flat!S$3</f>
        <v>6836.1280288307516</v>
      </c>
      <c r="T12" s="349">
        <f>T6*24*LOOKUP(Flat!T$2,'HDD-by Country'!$A$4:$A$40,'HDD-by Country'!$C$4:$C$40)/1000/Flat!T$3</f>
        <v>6470.9709190027925</v>
      </c>
      <c r="U12" s="349">
        <f>U6*24*LOOKUP(Flat!U$2,'HDD-by Country'!$A$4:$A$40,'HDD-by Country'!$C$4:$C$40)/1000/Flat!U$3</f>
        <v>8264.2863444456907</v>
      </c>
      <c r="V12" s="349">
        <f>V6*24*LOOKUP(Flat!V$2,'HDD-by Country'!$A$4:$A$40,'HDD-by Country'!$C$4:$C$40)/1000/Flat!V$3</f>
        <v>7886.3562313640841</v>
      </c>
      <c r="W12" s="349">
        <f>W6*24*LOOKUP(Flat!W$2,'HDD-by Country'!$A$4:$A$40,'HDD-by Country'!$C$4:$C$40)/1000/Flat!W$3</f>
        <v>11367.192998276701</v>
      </c>
      <c r="X12" s="349">
        <f>X6*24*LOOKUP(Flat!X$2,'HDD-by Country'!$A$4:$A$40,'HDD-by Country'!$C$4:$C$40)/1000/Flat!X$3</f>
        <v>8488.4248597693913</v>
      </c>
      <c r="Y12" s="349">
        <f>Y6*24*LOOKUP(Flat!Y$2,'HDD-by Country'!$A$4:$A$40,'HDD-by Country'!$C$4:$C$40)/1000/Flat!Y$3</f>
        <v>3481.0919380101914</v>
      </c>
      <c r="Z12" s="349">
        <f>Z6*24*LOOKUP(Flat!Z$2,'HDD-by Country'!$A$4:$A$40,'HDD-by Country'!$C$4:$C$40)/1000/Flat!Z$3</f>
        <v>9587.1200351450971</v>
      </c>
      <c r="AA12" s="349">
        <f>AA6*24*LOOKUP(Flat!AA$2,'HDD-by Country'!$A$4:$A$40,'HDD-by Country'!$C$4:$C$40)/1000/Flat!AA$3</f>
        <v>7110.1173441756791</v>
      </c>
      <c r="AB12" s="349">
        <f>AB6*24*LOOKUP(Flat!AB$2,'HDD-by Country'!$A$4:$A$40,'HDD-by Country'!$C$4:$C$40)/1000/Flat!AB$3</f>
        <v>7127.0762960474594</v>
      </c>
      <c r="AC12" s="349">
        <f>AC6*24*LOOKUP(Flat!AC$2,'HDD-by Country'!$A$4:$A$40,'HDD-by Country'!$C$4:$C$40)/1000/Flat!AC$3</f>
        <v>5940.0672159580472</v>
      </c>
      <c r="AD12" s="349">
        <f>AD6*24*LOOKUP(Flat!AD$2,'HDD-by Country'!$A$4:$A$40,'HDD-by Country'!$C$4:$C$40)/1000/Flat!AD$3</f>
        <v>5711.9269274311364</v>
      </c>
      <c r="AE12" s="349">
        <f>AE6*24*LOOKUP(Flat!AE$2,'HDD-by Country'!$A$4:$A$40,'HDD-by Country'!$C$4:$C$40)/1000/Flat!AE$3</f>
        <v>6855.7348249543747</v>
      </c>
      <c r="AF12" s="349">
        <f>AF6*24*LOOKUP(Flat!AF$2,'HDD-by Country'!$A$4:$A$40,'HDD-by Country'!$C$4:$C$40)/1000/Flat!AF$3</f>
        <v>7579.5549372763944</v>
      </c>
      <c r="AG12" s="349">
        <f>AG6*24*LOOKUP(Flat!AG$2,'HDD-by Country'!$A$4:$A$40,'HDD-by Country'!$C$4:$C$40)/1000/Flat!AG$3</f>
        <v>9238.5235985868894</v>
      </c>
      <c r="AH12" s="349">
        <f>AH6*24*LOOKUP(Flat!AH$2,'HDD-by Country'!$A$4:$A$40,'HDD-by Country'!$C$4:$C$40)/1000/Flat!AH$3</f>
        <v>6496.9342471556783</v>
      </c>
      <c r="AI12" s="349">
        <f>AI6*24*LOOKUP(Flat!AI$2,'HDD-by Country'!$A$4:$A$40,'HDD-by Country'!$C$4:$C$40)/1000/Flat!AI$3</f>
        <v>8547.0647692756011</v>
      </c>
      <c r="AJ12" s="349">
        <f>AJ6*24*LOOKUP(Flat!AJ$2,'HDD-by Country'!$A$4:$A$40,'HDD-by Country'!$C$4:$C$40)/1000/Flat!AJ$3</f>
        <v>8184.8651723947287</v>
      </c>
      <c r="AK12" s="349">
        <f>AK6*24*LOOKUP(Flat!AK$2,'HDD-by Country'!$A$4:$A$40,'HDD-by Country'!$C$4:$C$40)/1000/Flat!AK$3</f>
        <v>7841.6699645371937</v>
      </c>
      <c r="AL12" s="349">
        <f>AL6*24*LOOKUP(Flat!AL$2,'HDD-by Country'!$A$4:$A$40,'HDD-by Country'!$C$4:$C$40)/1000/Flat!AL$3</f>
        <v>8199.9488311458099</v>
      </c>
      <c r="AM12" s="349">
        <f>AM6*24*LOOKUP(Flat!AM$2,'HDD-by Country'!$A$4:$A$40,'HDD-by Country'!$C$4:$C$40)/1000/Flat!AM$3</f>
        <v>7526.6025729721541</v>
      </c>
      <c r="AN12" s="354">
        <f>AN6*24*LOOKUP(Flat!AN$2,'HDD-by Country'!$A$4:$A$40,'HDD-by Country'!$C$4:$C$40)/1000/Flat!AN$3</f>
        <v>7526.6025729721541</v>
      </c>
    </row>
    <row r="13" spans="1:40" s="5" customFormat="1">
      <c r="A13" s="129"/>
      <c r="B13" s="142" t="s">
        <v>4</v>
      </c>
      <c r="C13" s="129" t="s">
        <v>261</v>
      </c>
      <c r="D13" s="345">
        <f>D7*24*LOOKUP(Flat!D$2,'HDD-by Country'!$A$4:$A$40,'HDD-by Country'!$C$4:$C$40)/1000/Flat!D$3</f>
        <v>7984.3661663832336</v>
      </c>
      <c r="E13" s="349">
        <f>E7*24*LOOKUP(Flat!E$2,'HDD-by Country'!$A$4:$A$40,'HDD-by Country'!$C$4:$C$40)/1000/Flat!E$3</f>
        <v>10847.909220059617</v>
      </c>
      <c r="F13" s="349">
        <f>F7*24*LOOKUP(Flat!F$2,'HDD-by Country'!$A$4:$A$40,'HDD-by Country'!$C$4:$C$40)/1000/Flat!F$3</f>
        <v>6148.1608435563867</v>
      </c>
      <c r="G13" s="349">
        <f>G7*24*LOOKUP(Flat!G$2,'HDD-by Country'!$A$4:$A$40,'HDD-by Country'!$C$4:$C$40)/1000/Flat!G$3</f>
        <v>7778.8368750269783</v>
      </c>
      <c r="H13" s="349">
        <f>H7*24*LOOKUP(Flat!H$2,'HDD-by Country'!$A$4:$A$40,'HDD-by Country'!$C$4:$C$40)/1000/Flat!H$3</f>
        <v>3208.5727119908142</v>
      </c>
      <c r="I13" s="349">
        <f>I7*24*LOOKUP(Flat!I$2,'HDD-by Country'!$A$4:$A$40,'HDD-by Country'!$C$4:$C$40)/1000/Flat!I$3</f>
        <v>6490.5908118689631</v>
      </c>
      <c r="J13" s="349">
        <f>J7*24*LOOKUP(Flat!J$2,'HDD-by Country'!$A$4:$A$40,'HDD-by Country'!$C$4:$C$40)/1000/Flat!J$3</f>
        <v>5694.9175500763231</v>
      </c>
      <c r="K13" s="349">
        <f>K7*24*LOOKUP(Flat!K$2,'HDD-by Country'!$A$4:$A$40,'HDD-by Country'!$C$4:$C$40)/1000/Flat!K$3</f>
        <v>4161.6312085682148</v>
      </c>
      <c r="L13" s="349">
        <f>L7*24*LOOKUP(Flat!L$2,'HDD-by Country'!$A$4:$A$40,'HDD-by Country'!$C$4:$C$40)/1000/Flat!L$3</f>
        <v>4203.0198122099764</v>
      </c>
      <c r="M13" s="349">
        <f>M7*24*LOOKUP(Flat!M$2,'HDD-by Country'!$A$4:$A$40,'HDD-by Country'!$C$4:$C$40)/1000/Flat!M$3</f>
        <v>11232.811574586873</v>
      </c>
      <c r="N13" s="349">
        <f>N7*24*LOOKUP(Flat!N$2,'HDD-by Country'!$A$4:$A$40,'HDD-by Country'!$C$4:$C$40)/1000/Flat!N$3</f>
        <v>5191.887123695119</v>
      </c>
      <c r="O13" s="349">
        <f>O7*24*LOOKUP(Flat!O$2,'HDD-by Country'!$A$4:$A$40,'HDD-by Country'!$C$4:$C$40)/1000/Flat!O$3</f>
        <v>5256.0227603429039</v>
      </c>
      <c r="P13" s="349">
        <f>P7*24*LOOKUP(Flat!P$2,'HDD-by Country'!$A$4:$A$40,'HDD-by Country'!$C$4:$C$40)/1000/Flat!P$3</f>
        <v>10729.915764345951</v>
      </c>
      <c r="Q13" s="349">
        <f>Q7*24*LOOKUP(Flat!Q$2,'HDD-by Country'!$A$4:$A$40,'HDD-by Country'!$C$4:$C$40)/1000/Flat!Q$3</f>
        <v>6704.2465341335319</v>
      </c>
      <c r="R13" s="349">
        <f>R7*24*LOOKUP(Flat!R$2,'HDD-by Country'!$A$4:$A$40,'HDD-by Country'!$C$4:$C$40)/1000/Flat!R$3</f>
        <v>6370.9899626513379</v>
      </c>
      <c r="S13" s="349">
        <f>S7*24*LOOKUP(Flat!S$2,'HDD-by Country'!$A$4:$A$40,'HDD-by Country'!$C$4:$C$40)/1000/Flat!S$3</f>
        <v>5929.7014449345543</v>
      </c>
      <c r="T13" s="349">
        <f>T7*24*LOOKUP(Flat!T$2,'HDD-by Country'!$A$4:$A$40,'HDD-by Country'!$C$4:$C$40)/1000/Flat!T$3</f>
        <v>5382.4060259216631</v>
      </c>
      <c r="U13" s="349">
        <f>U7*24*LOOKUP(Flat!U$2,'HDD-by Country'!$A$4:$A$40,'HDD-by Country'!$C$4:$C$40)/1000/Flat!U$3</f>
        <v>8038.7881764456888</v>
      </c>
      <c r="V13" s="349">
        <f>V7*24*LOOKUP(Flat!V$2,'HDD-by Country'!$A$4:$A$40,'HDD-by Country'!$C$4:$C$40)/1000/Flat!V$3</f>
        <v>5217.5434217491347</v>
      </c>
      <c r="W13" s="349">
        <f>W7*24*LOOKUP(Flat!W$2,'HDD-by Country'!$A$4:$A$40,'HDD-by Country'!$C$4:$C$40)/1000/Flat!W$3</f>
        <v>5685.8894202719575</v>
      </c>
      <c r="X13" s="349">
        <f>X7*24*LOOKUP(Flat!X$2,'HDD-by Country'!$A$4:$A$40,'HDD-by Country'!$C$4:$C$40)/1000/Flat!X$3</f>
        <v>7846.4775237924523</v>
      </c>
      <c r="Y13" s="349">
        <f>Y7*24*LOOKUP(Flat!Y$2,'HDD-by Country'!$A$4:$A$40,'HDD-by Country'!$C$4:$C$40)/1000/Flat!Y$3</f>
        <v>2603.517168751549</v>
      </c>
      <c r="Z13" s="349">
        <f>Z7*24*LOOKUP(Flat!Z$2,'HDD-by Country'!$A$4:$A$40,'HDD-by Country'!$C$4:$C$40)/1000/Flat!Z$3</f>
        <v>9386.083326507176</v>
      </c>
      <c r="AA13" s="349">
        <f>AA7*24*LOOKUP(Flat!AA$2,'HDD-by Country'!$A$4:$A$40,'HDD-by Country'!$C$4:$C$40)/1000/Flat!AA$3</f>
        <v>4993.9752013581665</v>
      </c>
      <c r="AB13" s="349">
        <f>AB7*24*LOOKUP(Flat!AB$2,'HDD-by Country'!$A$4:$A$40,'HDD-by Country'!$C$4:$C$40)/1000/Flat!AB$3</f>
        <v>5086.6249814248376</v>
      </c>
      <c r="AC13" s="349">
        <f>AC7*24*LOOKUP(Flat!AC$2,'HDD-by Country'!$A$4:$A$40,'HDD-by Country'!$C$4:$C$40)/1000/Flat!AC$3</f>
        <v>5850.8460181794871</v>
      </c>
      <c r="AD13" s="349">
        <f>AD7*24*LOOKUP(Flat!AD$2,'HDD-by Country'!$A$4:$A$40,'HDD-by Country'!$C$4:$C$40)/1000/Flat!AD$3</f>
        <v>5711.9269274311364</v>
      </c>
      <c r="AE13" s="349">
        <f>AE7*24*LOOKUP(Flat!AE$2,'HDD-by Country'!$A$4:$A$40,'HDD-by Country'!$C$4:$C$40)/1000/Flat!AE$3</f>
        <v>4815.3030457304039</v>
      </c>
      <c r="AF13" s="349">
        <f>AF7*24*LOOKUP(Flat!AF$2,'HDD-by Country'!$A$4:$A$40,'HDD-by Country'!$C$4:$C$40)/1000/Flat!AF$3</f>
        <v>7296.2073267829956</v>
      </c>
      <c r="AG13" s="349">
        <f>AG7*24*LOOKUP(Flat!AG$2,'HDD-by Country'!$A$4:$A$40,'HDD-by Country'!$C$4:$C$40)/1000/Flat!AG$3</f>
        <v>9238.5235985868894</v>
      </c>
      <c r="AH13" s="349">
        <f>AH7*24*LOOKUP(Flat!AH$2,'HDD-by Country'!$A$4:$A$40,'HDD-by Country'!$C$4:$C$40)/1000/Flat!AH$3</f>
        <v>5323.9656089903328</v>
      </c>
      <c r="AI13" s="349">
        <f>AI7*24*LOOKUP(Flat!AI$2,'HDD-by Country'!$A$4:$A$40,'HDD-by Country'!$C$4:$C$40)/1000/Flat!AI$3</f>
        <v>8547.0647692756011</v>
      </c>
      <c r="AJ13" s="349">
        <f>AJ7*24*LOOKUP(Flat!AJ$2,'HDD-by Country'!$A$4:$A$40,'HDD-by Country'!$C$4:$C$40)/1000/Flat!AJ$3</f>
        <v>8184.8651723947287</v>
      </c>
      <c r="AK13" s="349">
        <f>AK7*24*LOOKUP(Flat!AK$2,'HDD-by Country'!$A$4:$A$40,'HDD-by Country'!$C$4:$C$40)/1000/Flat!AK$3</f>
        <v>7841.6699645371937</v>
      </c>
      <c r="AL13" s="349">
        <f>AL7*24*LOOKUP(Flat!AL$2,'HDD-by Country'!$A$4:$A$40,'HDD-by Country'!$C$4:$C$40)/1000/Flat!AL$3</f>
        <v>7670.3257482148956</v>
      </c>
      <c r="AM13" s="349">
        <f>AM7*24*LOOKUP(Flat!AM$2,'HDD-by Country'!$A$4:$A$40,'HDD-by Country'!$C$4:$C$40)/1000/Flat!AM$3</f>
        <v>7526.6025729721541</v>
      </c>
      <c r="AN13" s="354">
        <f>AN7*24*LOOKUP(Flat!AN$2,'HDD-by Country'!$A$4:$A$40,'HDD-by Country'!$C$4:$C$40)/1000/Flat!AN$3</f>
        <v>7526.6025729721541</v>
      </c>
    </row>
    <row r="14" spans="1:40" s="5" customFormat="1">
      <c r="A14" s="129"/>
      <c r="B14" s="142" t="s">
        <v>5</v>
      </c>
      <c r="C14" s="129" t="s">
        <v>261</v>
      </c>
      <c r="D14" s="345">
        <f>D8*24*LOOKUP(Flat!D$2,'HDD-by Country'!$A$4:$A$40,'HDD-by Country'!$C$4:$C$40)/1000/Flat!D$3</f>
        <v>5674.4713451700227</v>
      </c>
      <c r="E14" s="349">
        <f>E8*24*LOOKUP(Flat!E$2,'HDD-by Country'!$A$4:$A$40,'HDD-by Country'!$C$4:$C$40)/1000/Flat!E$3</f>
        <v>9166.2873308959279</v>
      </c>
      <c r="F14" s="349">
        <f>F8*24*LOOKUP(Flat!F$2,'HDD-by Country'!$A$4:$A$40,'HDD-by Country'!$C$4:$C$40)/1000/Flat!F$3</f>
        <v>5213.4538449167621</v>
      </c>
      <c r="G14" s="349">
        <f>G8*24*LOOKUP(Flat!G$2,'HDD-by Country'!$A$4:$A$40,'HDD-by Country'!$C$4:$C$40)/1000/Flat!G$3</f>
        <v>5528.4021331510967</v>
      </c>
      <c r="H14" s="349">
        <f>H8*24*LOOKUP(Flat!H$2,'HDD-by Country'!$A$4:$A$40,'HDD-by Country'!$C$4:$C$40)/1000/Flat!H$3</f>
        <v>3126.368871990815</v>
      </c>
      <c r="I14" s="349">
        <f>I8*24*LOOKUP(Flat!I$2,'HDD-by Country'!$A$4:$A$40,'HDD-by Country'!$C$4:$C$40)/1000/Flat!I$3</f>
        <v>5809.1245808864205</v>
      </c>
      <c r="J14" s="349">
        <f>J8*24*LOOKUP(Flat!J$2,'HDD-by Country'!$A$4:$A$40,'HDD-by Country'!$C$4:$C$40)/1000/Flat!J$3</f>
        <v>4846.7837049812761</v>
      </c>
      <c r="K14" s="349">
        <f>K8*24*LOOKUP(Flat!K$2,'HDD-by Country'!$A$4:$A$40,'HDD-by Country'!$C$4:$C$40)/1000/Flat!K$3</f>
        <v>3501.6996513772956</v>
      </c>
      <c r="L14" s="349">
        <f>L8*24*LOOKUP(Flat!L$2,'HDD-by Country'!$A$4:$A$40,'HDD-by Country'!$C$4:$C$40)/1000/Flat!L$3</f>
        <v>3680.1803228281888</v>
      </c>
      <c r="M14" s="349">
        <f>M8*24*LOOKUP(Flat!M$2,'HDD-by Country'!$A$4:$A$40,'HDD-by Country'!$C$4:$C$40)/1000/Flat!M$3</f>
        <v>7834.9285332365134</v>
      </c>
      <c r="N14" s="349">
        <f>N8*24*LOOKUP(Flat!N$2,'HDD-by Country'!$A$4:$A$40,'HDD-by Country'!$C$4:$C$40)/1000/Flat!N$3</f>
        <v>4569.0517981558251</v>
      </c>
      <c r="O14" s="349">
        <f>O8*24*LOOKUP(Flat!O$2,'HDD-by Country'!$A$4:$A$40,'HDD-by Country'!$C$4:$C$40)/1000/Flat!O$3</f>
        <v>4552.4055959460857</v>
      </c>
      <c r="P14" s="349">
        <f>P8*24*LOOKUP(Flat!P$2,'HDD-by Country'!$A$4:$A$40,'HDD-by Country'!$C$4:$C$40)/1000/Flat!P$3</f>
        <v>10496.82968434595</v>
      </c>
      <c r="Q14" s="349">
        <f>Q8*24*LOOKUP(Flat!Q$2,'HDD-by Country'!$A$4:$A$40,'HDD-by Country'!$C$4:$C$40)/1000/Flat!Q$3</f>
        <v>6704.2465341335319</v>
      </c>
      <c r="R14" s="349">
        <f>R8*24*LOOKUP(Flat!R$2,'HDD-by Country'!$A$4:$A$40,'HDD-by Country'!$C$4:$C$40)/1000/Flat!R$3</f>
        <v>4558.3992688376857</v>
      </c>
      <c r="S14" s="349">
        <f>S8*24*LOOKUP(Flat!S$2,'HDD-by Country'!$A$4:$A$40,'HDD-by Country'!$C$4:$C$40)/1000/Flat!S$3</f>
        <v>4058.4930895552366</v>
      </c>
      <c r="T14" s="349">
        <f>T8*24*LOOKUP(Flat!T$2,'HDD-by Country'!$A$4:$A$40,'HDD-by Country'!$C$4:$C$40)/1000/Flat!T$3</f>
        <v>4566.3431512782063</v>
      </c>
      <c r="U14" s="349">
        <f>U8*24*LOOKUP(Flat!U$2,'HDD-by Country'!$A$4:$A$40,'HDD-by Country'!$C$4:$C$40)/1000/Flat!U$3</f>
        <v>5932.834190278556</v>
      </c>
      <c r="V14" s="349">
        <f>V8*24*LOOKUP(Flat!V$2,'HDD-by Country'!$A$4:$A$40,'HDD-by Country'!$C$4:$C$40)/1000/Flat!V$3</f>
        <v>5217.5434217491347</v>
      </c>
      <c r="W14" s="349">
        <f>W8*24*LOOKUP(Flat!W$2,'HDD-by Country'!$A$4:$A$40,'HDD-by Country'!$C$4:$C$40)/1000/Flat!W$3</f>
        <v>5197.0677861416634</v>
      </c>
      <c r="X14" s="349">
        <f>X8*24*LOOKUP(Flat!X$2,'HDD-by Country'!$A$4:$A$40,'HDD-by Country'!$C$4:$C$40)/1000/Flat!X$3</f>
        <v>5041.4688798846955</v>
      </c>
      <c r="Y14" s="349">
        <f>Y8*24*LOOKUP(Flat!Y$2,'HDD-by Country'!$A$4:$A$40,'HDD-by Country'!$C$4:$C$40)/1000/Flat!Y$3</f>
        <v>2432.0937615195489</v>
      </c>
      <c r="Z14" s="349">
        <f>Z8*24*LOOKUP(Flat!Z$2,'HDD-by Country'!$A$4:$A$40,'HDD-by Country'!$C$4:$C$40)/1000/Flat!Z$3</f>
        <v>5031.3988668452075</v>
      </c>
      <c r="AA14" s="349">
        <f>AA8*24*LOOKUP(Flat!AA$2,'HDD-by Country'!$A$4:$A$40,'HDD-by Country'!$C$4:$C$40)/1000/Flat!AA$3</f>
        <v>4993.9752013581665</v>
      </c>
      <c r="AB14" s="349">
        <f>AB8*24*LOOKUP(Flat!AB$2,'HDD-by Country'!$A$4:$A$40,'HDD-by Country'!$C$4:$C$40)/1000/Flat!AB$3</f>
        <v>5086.6249814248376</v>
      </c>
      <c r="AC14" s="349">
        <f>AC8*24*LOOKUP(Flat!AC$2,'HDD-by Country'!$A$4:$A$40,'HDD-by Country'!$C$4:$C$40)/1000/Flat!AC$3</f>
        <v>5598.8082625239376</v>
      </c>
      <c r="AD14" s="349">
        <f>AD8*24*LOOKUP(Flat!AD$2,'HDD-by Country'!$A$4:$A$40,'HDD-by Country'!$C$4:$C$40)/1000/Flat!AD$3</f>
        <v>4892.545093520017</v>
      </c>
      <c r="AE14" s="349">
        <f>AE8*24*LOOKUP(Flat!AE$2,'HDD-by Country'!$A$4:$A$40,'HDD-by Country'!$C$4:$C$40)/1000/Flat!AE$3</f>
        <v>4815.3030457304039</v>
      </c>
      <c r="AF14" s="349">
        <f>AF8*24*LOOKUP(Flat!AF$2,'HDD-by Country'!$A$4:$A$40,'HDD-by Country'!$C$4:$C$40)/1000/Flat!AF$3</f>
        <v>5450.101050797507</v>
      </c>
      <c r="AG14" s="349">
        <f>AG8*24*LOOKUP(Flat!AG$2,'HDD-by Country'!$A$4:$A$40,'HDD-by Country'!$C$4:$C$40)/1000/Flat!AG$3</f>
        <v>7992.6556934038335</v>
      </c>
      <c r="AH14" s="349">
        <f>AH8*24*LOOKUP(Flat!AH$2,'HDD-by Country'!$A$4:$A$40,'HDD-by Country'!$C$4:$C$40)/1000/Flat!AH$3</f>
        <v>3048.6801868394491</v>
      </c>
      <c r="AI14" s="349">
        <f>AI8*24*LOOKUP(Flat!AI$2,'HDD-by Country'!$A$4:$A$40,'HDD-by Country'!$C$4:$C$40)/1000/Flat!AI$3</f>
        <v>8372.250209275604</v>
      </c>
      <c r="AJ14" s="349">
        <f>AJ8*24*LOOKUP(Flat!AJ$2,'HDD-by Country'!$A$4:$A$40,'HDD-by Country'!$C$4:$C$40)/1000/Flat!AJ$3</f>
        <v>6955.4299132779124</v>
      </c>
      <c r="AK14" s="349">
        <f>AK8*24*LOOKUP(Flat!AK$2,'HDD-by Country'!$A$4:$A$40,'HDD-by Country'!$C$4:$C$40)/1000/Flat!AK$3</f>
        <v>6644.0811616859528</v>
      </c>
      <c r="AL14" s="349">
        <f>AL8*24*LOOKUP(Flat!AL$2,'HDD-by Country'!$A$4:$A$40,'HDD-by Country'!$C$4:$C$40)/1000/Flat!AL$3</f>
        <v>6439.1172974561032</v>
      </c>
      <c r="AM14" s="349">
        <f>AM8*24*LOOKUP(Flat!AM$2,'HDD-by Country'!$A$4:$A$40,'HDD-by Country'!$C$4:$C$40)/1000/Flat!AM$3</f>
        <v>6396.0438661799271</v>
      </c>
      <c r="AN14" s="354">
        <f>AN8*24*LOOKUP(Flat!AN$2,'HDD-by Country'!$A$4:$A$40,'HDD-by Country'!$C$4:$C$40)/1000/Flat!AN$3</f>
        <v>6396.0438661799271</v>
      </c>
    </row>
    <row r="15" spans="1:40" s="5" customFormat="1">
      <c r="A15" s="129"/>
      <c r="B15" s="142" t="s">
        <v>6</v>
      </c>
      <c r="C15" s="129" t="s">
        <v>261</v>
      </c>
      <c r="D15" s="345">
        <f>D9*24*LOOKUP(Flat!D$2,'HDD-by Country'!$A$4:$A$40,'HDD-by Country'!$C$4:$C$40)/1000/Flat!D$3</f>
        <v>4848.9459350472189</v>
      </c>
      <c r="E15" s="349">
        <f>E9*24*LOOKUP(Flat!E$2,'HDD-by Country'!$A$4:$A$40,'HDD-by Country'!$C$4:$C$40)/1000/Flat!E$3</f>
        <v>9166.2873308959279</v>
      </c>
      <c r="F15" s="349">
        <f>F9*24*LOOKUP(Flat!F$2,'HDD-by Country'!$A$4:$A$40,'HDD-by Country'!$C$4:$C$40)/1000/Flat!F$3</f>
        <v>4109.1814444185584</v>
      </c>
      <c r="G15" s="349">
        <f>G9*24*LOOKUP(Flat!G$2,'HDD-by Country'!$A$4:$A$40,'HDD-by Country'!$C$4:$C$40)/1000/Flat!G$3</f>
        <v>4724.1269574242897</v>
      </c>
      <c r="H15" s="349">
        <f>H9*24*LOOKUP(Flat!H$2,'HDD-by Country'!$A$4:$A$40,'HDD-by Country'!$C$4:$C$40)/1000/Flat!H$3</f>
        <v>3126.368871990815</v>
      </c>
      <c r="I15" s="349">
        <f>I9*24*LOOKUP(Flat!I$2,'HDD-by Country'!$A$4:$A$40,'HDD-by Country'!$C$4:$C$40)/1000/Flat!I$3</f>
        <v>4419.0714014257519</v>
      </c>
      <c r="J15" s="349">
        <f>J9*24*LOOKUP(Flat!J$2,'HDD-by Country'!$A$4:$A$40,'HDD-by Country'!$C$4:$C$40)/1000/Flat!J$3</f>
        <v>3064.7748857712995</v>
      </c>
      <c r="K15" s="349">
        <f>K9*24*LOOKUP(Flat!K$2,'HDD-by Country'!$A$4:$A$40,'HDD-by Country'!$C$4:$C$40)/1000/Flat!K$3</f>
        <v>3501.6996513772956</v>
      </c>
      <c r="L15" s="349">
        <f>L9*24*LOOKUP(Flat!L$2,'HDD-by Country'!$A$4:$A$40,'HDD-by Country'!$C$4:$C$40)/1000/Flat!L$3</f>
        <v>3428.2112418080023</v>
      </c>
      <c r="M15" s="349">
        <f>M9*24*LOOKUP(Flat!M$2,'HDD-by Country'!$A$4:$A$40,'HDD-by Country'!$C$4:$C$40)/1000/Flat!M$3</f>
        <v>7834.9285332365134</v>
      </c>
      <c r="N15" s="349">
        <f>N9*24*LOOKUP(Flat!N$2,'HDD-by Country'!$A$4:$A$40,'HDD-by Country'!$C$4:$C$40)/1000/Flat!N$3</f>
        <v>4530.5696262583542</v>
      </c>
      <c r="O15" s="349">
        <f>O9*24*LOOKUP(Flat!O$2,'HDD-by Country'!$A$4:$A$40,'HDD-by Country'!$C$4:$C$40)/1000/Flat!O$3</f>
        <v>2826.9543062625812</v>
      </c>
      <c r="P15" s="349">
        <f>P9*24*LOOKUP(Flat!P$2,'HDD-by Country'!$A$4:$A$40,'HDD-by Country'!$C$4:$C$40)/1000/Flat!P$3</f>
        <v>10496.82968434595</v>
      </c>
      <c r="Q15" s="349">
        <f>Q9*24*LOOKUP(Flat!Q$2,'HDD-by Country'!$A$4:$A$40,'HDD-by Country'!$C$4:$C$40)/1000/Flat!Q$3</f>
        <v>4763.8764608438087</v>
      </c>
      <c r="R15" s="349">
        <f>R9*24*LOOKUP(Flat!R$2,'HDD-by Country'!$A$4:$A$40,'HDD-by Country'!$C$4:$C$40)/1000/Flat!R$3</f>
        <v>4558.3992688376857</v>
      </c>
      <c r="S15" s="349">
        <f>S9*24*LOOKUP(Flat!S$2,'HDD-by Country'!$A$4:$A$40,'HDD-by Country'!$C$4:$C$40)/1000/Flat!S$3</f>
        <v>3445.0942574323599</v>
      </c>
      <c r="T15" s="349">
        <f>T9*24*LOOKUP(Flat!T$2,'HDD-by Country'!$A$4:$A$40,'HDD-by Country'!$C$4:$C$40)/1000/Flat!T$3</f>
        <v>4521.6819395013972</v>
      </c>
      <c r="U15" s="349">
        <f>U9*24*LOOKUP(Flat!U$2,'HDD-by Country'!$A$4:$A$40,'HDD-by Country'!$C$4:$C$40)/1000/Flat!U$3</f>
        <v>5341.9176457367721</v>
      </c>
      <c r="V15" s="349">
        <f>V9*24*LOOKUP(Flat!V$2,'HDD-by Country'!$A$4:$A$40,'HDD-by Country'!$C$4:$C$40)/1000/Flat!V$3</f>
        <v>5217.5434217491347</v>
      </c>
      <c r="W15" s="349">
        <f>W9*24*LOOKUP(Flat!W$2,'HDD-by Country'!$A$4:$A$40,'HDD-by Country'!$C$4:$C$40)/1000/Flat!W$3</f>
        <v>4615.0273584865918</v>
      </c>
      <c r="X15" s="349">
        <f>X9*24*LOOKUP(Flat!X$2,'HDD-by Country'!$A$4:$A$40,'HDD-by Country'!$C$4:$C$40)/1000/Flat!X$3</f>
        <v>5001.9323298846957</v>
      </c>
      <c r="Y15" s="349">
        <f>Y9*24*LOOKUP(Flat!Y$2,'HDD-by Country'!$A$4:$A$40,'HDD-by Country'!$C$4:$C$40)/1000/Flat!Y$3</f>
        <v>2399.5233141454692</v>
      </c>
      <c r="Z15" s="349">
        <f>Z9*24*LOOKUP(Flat!Z$2,'HDD-by Country'!$A$4:$A$40,'HDD-by Country'!$C$4:$C$40)/1000/Flat!Z$3</f>
        <v>4615.9818540008037</v>
      </c>
      <c r="AA15" s="349">
        <f>AA9*24*LOOKUP(Flat!AA$2,'HDD-by Country'!$A$4:$A$40,'HDD-by Country'!$C$4:$C$40)/1000/Flat!AA$3</f>
        <v>4433.1679236658792</v>
      </c>
      <c r="AB15" s="349">
        <f>AB9*24*LOOKUP(Flat!AB$2,'HDD-by Country'!$A$4:$A$40,'HDD-by Country'!$C$4:$C$40)/1000/Flat!AB$3</f>
        <v>5086.6249814248376</v>
      </c>
      <c r="AC15" s="349">
        <f>AC9*24*LOOKUP(Flat!AC$2,'HDD-by Country'!$A$4:$A$40,'HDD-by Country'!$C$4:$C$40)/1000/Flat!AC$3</f>
        <v>5050.1221523235572</v>
      </c>
      <c r="AD15" s="349">
        <f>AD9*24*LOOKUP(Flat!AD$2,'HDD-by Country'!$A$4:$A$40,'HDD-by Country'!$C$4:$C$40)/1000/Flat!AD$3</f>
        <v>4892.545093520017</v>
      </c>
      <c r="AE15" s="349">
        <f>AE9*24*LOOKUP(Flat!AE$2,'HDD-by Country'!$A$4:$A$40,'HDD-by Country'!$C$4:$C$40)/1000/Flat!AE$3</f>
        <v>4274.5600737578898</v>
      </c>
      <c r="AF15" s="349">
        <f>AF9*24*LOOKUP(Flat!AF$2,'HDD-by Country'!$A$4:$A$40,'HDD-by Country'!$C$4:$C$40)/1000/Flat!AF$3</f>
        <v>4042.0888180832117</v>
      </c>
      <c r="AG15" s="349">
        <f>AG9*24*LOOKUP(Flat!AG$2,'HDD-by Country'!$A$4:$A$40,'HDD-by Country'!$C$4:$C$40)/1000/Flat!AG$3</f>
        <v>7535.802230938154</v>
      </c>
      <c r="AH15" s="349">
        <f>AH9*24*LOOKUP(Flat!AH$2,'HDD-by Country'!$A$4:$A$40,'HDD-by Country'!$C$4:$C$40)/1000/Flat!AH$3</f>
        <v>2644.4436007061149</v>
      </c>
      <c r="AI15" s="349">
        <f>AI9*24*LOOKUP(Flat!AI$2,'HDD-by Country'!$A$4:$A$40,'HDD-by Country'!$C$4:$C$40)/1000/Flat!AI$3</f>
        <v>8372.250209275604</v>
      </c>
      <c r="AJ15" s="349">
        <f>AJ9*24*LOOKUP(Flat!AJ$2,'HDD-by Country'!$A$4:$A$40,'HDD-by Country'!$C$4:$C$40)/1000/Flat!AJ$3</f>
        <v>6481.0537293553261</v>
      </c>
      <c r="AK15" s="349">
        <f>AK9*24*LOOKUP(Flat!AK$2,'HDD-by Country'!$A$4:$A$40,'HDD-by Country'!$C$4:$C$40)/1000/Flat!AK$3</f>
        <v>6182.776756545456</v>
      </c>
      <c r="AL15" s="349">
        <f>AL9*24*LOOKUP(Flat!AL$2,'HDD-by Country'!$A$4:$A$40,'HDD-by Country'!$C$4:$C$40)/1000/Flat!AL$3</f>
        <v>5069.4026211153569</v>
      </c>
      <c r="AM15" s="349">
        <f>AM9*24*LOOKUP(Flat!AM$2,'HDD-by Country'!$A$4:$A$40,'HDD-by Country'!$C$4:$C$40)/1000/Flat!AM$3</f>
        <v>5959.8190865084744</v>
      </c>
      <c r="AN15" s="354">
        <f>AN9*24*LOOKUP(Flat!AN$2,'HDD-by Country'!$A$4:$A$40,'HDD-by Country'!$C$4:$C$40)/1000/Flat!AN$3</f>
        <v>5959.8190865084744</v>
      </c>
    </row>
    <row r="16" spans="1:40" s="5" customFormat="1">
      <c r="A16" s="130"/>
      <c r="B16" s="142" t="s">
        <v>7</v>
      </c>
      <c r="C16" s="129" t="s">
        <v>261</v>
      </c>
      <c r="D16" s="345">
        <f>D10*24*LOOKUP(Flat!D$2,'HDD-by Country'!$A$4:$A$40,'HDD-by Country'!$C$4:$C$40)/1000/Flat!D$3</f>
        <v>4438.7193581200954</v>
      </c>
      <c r="E16" s="349">
        <f>E10*24*LOOKUP(Flat!E$2,'HDD-by Country'!$A$4:$A$40,'HDD-by Country'!$C$4:$C$40)/1000/Flat!E$3</f>
        <v>5315.6467308082592</v>
      </c>
      <c r="F16" s="349">
        <f>F10*24*LOOKUP(Flat!F$2,'HDD-by Country'!$A$4:$A$40,'HDD-by Country'!$C$4:$C$40)/1000/Flat!F$3</f>
        <v>2775.1069914522859</v>
      </c>
      <c r="G16" s="349">
        <f>G10*24*LOOKUP(Flat!G$2,'HDD-by Country'!$A$4:$A$40,'HDD-by Country'!$C$4:$C$40)/1000/Flat!G$3</f>
        <v>4324.4602140386605</v>
      </c>
      <c r="H16" s="349">
        <f>H10*24*LOOKUP(Flat!H$2,'HDD-by Country'!$A$4:$A$40,'HDD-by Country'!$C$4:$C$40)/1000/Flat!H$3</f>
        <v>2710.7624922092141</v>
      </c>
      <c r="I16" s="349">
        <f>I10*24*LOOKUP(Flat!I$2,'HDD-by Country'!$A$4:$A$40,'HDD-by Country'!$C$4:$C$40)/1000/Flat!I$3</f>
        <v>3879.3225601388376</v>
      </c>
      <c r="J16" s="349">
        <f>J10*24*LOOKUP(Flat!J$2,'HDD-by Country'!$A$4:$A$40,'HDD-by Country'!$C$4:$C$40)/1000/Flat!J$3</f>
        <v>3359.9430270395374</v>
      </c>
      <c r="K16" s="349">
        <f>K10*24*LOOKUP(Flat!K$2,'HDD-by Country'!$A$4:$A$40,'HDD-by Country'!$C$4:$C$40)/1000/Flat!K$3</f>
        <v>2905.8026313166747</v>
      </c>
      <c r="L16" s="349">
        <f>L10*24*LOOKUP(Flat!L$2,'HDD-by Country'!$A$4:$A$40,'HDD-by Country'!$C$4:$C$40)/1000/Flat!L$3</f>
        <v>3428.2112418080023</v>
      </c>
      <c r="M16" s="349">
        <f>M10*24*LOOKUP(Flat!M$2,'HDD-by Country'!$A$4:$A$40,'HDD-by Country'!$C$4:$C$40)/1000/Flat!M$3</f>
        <v>4606.8055205205292</v>
      </c>
      <c r="N16" s="349">
        <f>N10*24*LOOKUP(Flat!N$2,'HDD-by Country'!$A$4:$A$40,'HDD-by Country'!$C$4:$C$40)/1000/Flat!N$3</f>
        <v>4347.1569386684714</v>
      </c>
      <c r="O16" s="349">
        <f>O10*24*LOOKUP(Flat!O$2,'HDD-by Country'!$A$4:$A$40,'HDD-by Country'!$C$4:$C$40)/1000/Flat!O$3</f>
        <v>2762.9778563938153</v>
      </c>
      <c r="P16" s="349">
        <f>P10*24*LOOKUP(Flat!P$2,'HDD-by Country'!$A$4:$A$40,'HDD-by Country'!$C$4:$C$40)/1000/Flat!P$3</f>
        <v>3278.9640806606048</v>
      </c>
      <c r="Q16" s="349">
        <f>Q10*24*LOOKUP(Flat!Q$2,'HDD-by Country'!$A$4:$A$40,'HDD-by Country'!$C$4:$C$40)/1000/Flat!Q$3</f>
        <v>2898.6400188761104</v>
      </c>
      <c r="R16" s="349">
        <f>R10*24*LOOKUP(Flat!R$2,'HDD-by Country'!$A$4:$A$40,'HDD-by Country'!$C$4:$C$40)/1000/Flat!R$3</f>
        <v>3142.1028638002081</v>
      </c>
      <c r="S16" s="349">
        <f>S10*24*LOOKUP(Flat!S$2,'HDD-by Country'!$A$4:$A$40,'HDD-by Country'!$C$4:$C$40)/1000/Flat!S$3</f>
        <v>2400.204791706532</v>
      </c>
      <c r="T16" s="349">
        <f>T10*24*LOOKUP(Flat!T$2,'HDD-by Country'!$A$4:$A$40,'HDD-by Country'!$C$4:$C$40)/1000/Flat!T$3</f>
        <v>4317.958052394154</v>
      </c>
      <c r="U16" s="349">
        <f>U10*24*LOOKUP(Flat!U$2,'HDD-by Country'!$A$4:$A$40,'HDD-by Country'!$C$4:$C$40)/1000/Flat!U$3</f>
        <v>5341.9176457367721</v>
      </c>
      <c r="V16" s="349">
        <f>V10*24*LOOKUP(Flat!V$2,'HDD-by Country'!$A$4:$A$40,'HDD-by Country'!$C$4:$C$40)/1000/Flat!V$3</f>
        <v>3187.3645842683732</v>
      </c>
      <c r="W16" s="349">
        <f>W10*24*LOOKUP(Flat!W$2,'HDD-by Country'!$A$4:$A$40,'HDD-by Country'!$C$4:$C$40)/1000/Flat!W$3</f>
        <v>3843.5641507898217</v>
      </c>
      <c r="X16" s="349">
        <f>X10*24*LOOKUP(Flat!X$2,'HDD-by Country'!$A$4:$A$40,'HDD-by Country'!$C$4:$C$40)/1000/Flat!X$3</f>
        <v>3240.2713247584902</v>
      </c>
      <c r="Y16" s="349">
        <f>Y10*24*LOOKUP(Flat!Y$2,'HDD-by Country'!$A$4:$A$40,'HDD-by Country'!$C$4:$C$40)/1000/Flat!Y$3</f>
        <v>2234.0544521601032</v>
      </c>
      <c r="Z16" s="349">
        <f>Z10*24*LOOKUP(Flat!Z$2,'HDD-by Country'!$A$4:$A$40,'HDD-by Country'!$C$4:$C$40)/1000/Flat!Z$3</f>
        <v>3634.0402488248847</v>
      </c>
      <c r="AA16" s="349">
        <f>AA10*24*LOOKUP(Flat!AA$2,'HDD-by Country'!$A$4:$A$40,'HDD-by Country'!$C$4:$C$40)/1000/Flat!AA$3</f>
        <v>4433.1679236658792</v>
      </c>
      <c r="AB16" s="349">
        <f>AB10*24*LOOKUP(Flat!AB$2,'HDD-by Country'!$A$4:$A$40,'HDD-by Country'!$C$4:$C$40)/1000/Flat!AB$3</f>
        <v>3907.362268495709</v>
      </c>
      <c r="AC16" s="349">
        <f>AC10*24*LOOKUP(Flat!AC$2,'HDD-by Country'!$A$4:$A$40,'HDD-by Country'!$C$4:$C$40)/1000/Flat!AC$3</f>
        <v>3348.5030083881657</v>
      </c>
      <c r="AD16" s="349">
        <f>AD10*24*LOOKUP(Flat!AD$2,'HDD-by Country'!$A$4:$A$40,'HDD-by Country'!$C$4:$C$40)/1000/Flat!AD$3</f>
        <v>4127.1764451042573</v>
      </c>
      <c r="AE16" s="349">
        <f>AE10*24*LOOKUP(Flat!AE$2,'HDD-by Country'!$A$4:$A$40,'HDD-by Country'!$C$4:$C$40)/1000/Flat!AE$3</f>
        <v>4274.5600737578898</v>
      </c>
      <c r="AF16" s="349">
        <f>AF10*24*LOOKUP(Flat!AF$2,'HDD-by Country'!$A$4:$A$40,'HDD-by Country'!$C$4:$C$40)/1000/Flat!AF$3</f>
        <v>2621.4354181960707</v>
      </c>
      <c r="AG16" s="349">
        <f>AG10*24*LOOKUP(Flat!AG$2,'HDD-by Country'!$A$4:$A$40,'HDD-by Country'!$C$4:$C$40)/1000/Flat!AG$3</f>
        <v>4590.7412275374472</v>
      </c>
      <c r="AH16" s="349">
        <f>AH10*24*LOOKUP(Flat!AH$2,'HDD-by Country'!$A$4:$A$40,'HDD-by Country'!$C$4:$C$40)/1000/Flat!AH$3</f>
        <v>2361.5952184365315</v>
      </c>
      <c r="AI16" s="349">
        <f>AI10*24*LOOKUP(Flat!AI$2,'HDD-by Country'!$A$4:$A$40,'HDD-by Country'!$C$4:$C$40)/1000/Flat!AI$3</f>
        <v>2736.5560057725825</v>
      </c>
      <c r="AJ16" s="349">
        <f>AJ10*24*LOOKUP(Flat!AJ$2,'HDD-by Country'!$A$4:$A$40,'HDD-by Country'!$C$4:$C$40)/1000/Flat!AJ$3</f>
        <v>5632.6739753032734</v>
      </c>
      <c r="AK16" s="349">
        <f>AK10*24*LOOKUP(Flat!AK$2,'HDD-by Country'!$A$4:$A$40,'HDD-by Country'!$C$4:$C$40)/1000/Flat!AK$3</f>
        <v>5362.4628462644632</v>
      </c>
      <c r="AL16" s="349">
        <f>AL10*24*LOOKUP(Flat!AL$2,'HDD-by Country'!$A$4:$A$40,'HDD-by Country'!$C$4:$C$40)/1000/Flat!AL$3</f>
        <v>3207.5939276376589</v>
      </c>
      <c r="AM16" s="349">
        <f>AM10*24*LOOKUP(Flat!AM$2,'HDD-by Country'!$A$4:$A$40,'HDD-by Country'!$C$4:$C$40)/1000/Flat!AM$3</f>
        <v>5179.6697370430857</v>
      </c>
      <c r="AN16" s="354">
        <f>AN10*24*LOOKUP(Flat!AN$2,'HDD-by Country'!$A$4:$A$40,'HDD-by Country'!$C$4:$C$40)/1000/Flat!AN$3</f>
        <v>5179.6697370430857</v>
      </c>
    </row>
    <row r="17" spans="1:40" s="5" customFormat="1">
      <c r="A17" s="151" t="s">
        <v>260</v>
      </c>
      <c r="B17" s="141" t="s">
        <v>2</v>
      </c>
      <c r="C17" s="360" t="s">
        <v>261</v>
      </c>
      <c r="D17" s="351">
        <f>D11/(1.355*(D5/Flat!D$17)^0.16)</f>
        <v>7642.577280621259</v>
      </c>
      <c r="E17" s="352">
        <f>E11/(1.355*(E5/Flat!E$17)^0.16)</f>
        <v>7180.3731508684405</v>
      </c>
      <c r="F17" s="352">
        <f>F11/(1.355*(F5/Flat!F$17)^0.16)</f>
        <v>4405.8700880980887</v>
      </c>
      <c r="G17" s="352">
        <f>G11/(1.355*(G5/Flat!G$17)^0.16)</f>
        <v>7445.8461362963681</v>
      </c>
      <c r="H17" s="352">
        <f>H11/(1.355*(H5/Flat!H$17)^0.16)</f>
        <v>2509.0216205228726</v>
      </c>
      <c r="I17" s="352">
        <f>I11/(1.355*(I5/Flat!I$17)^0.16)</f>
        <v>5257.5097174196335</v>
      </c>
      <c r="J17" s="352">
        <f>J11/(1.355*(J5/Flat!J$17)^0.16)</f>
        <v>7261.3977235369039</v>
      </c>
      <c r="K17" s="352">
        <f>K11/(1.355*(K5/Flat!K$17)^0.16)</f>
        <v>4534.0296237160401</v>
      </c>
      <c r="L17" s="352">
        <f>L11/(1.355*(L5/Flat!L$17)^0.16)</f>
        <v>3877.1553596105368</v>
      </c>
      <c r="M17" s="352">
        <f>M11/(1.355*(M5/Flat!M$17)^0.16)</f>
        <v>8181.724815907085</v>
      </c>
      <c r="N17" s="352">
        <f>N11/(1.355*(N5/Flat!N$17)^0.16)</f>
        <v>4775.9286358557119</v>
      </c>
      <c r="O17" s="352">
        <f>O11/(1.355*(O5/Flat!O$17)^0.16)</f>
        <v>7505.2379101340757</v>
      </c>
      <c r="P17" s="352">
        <f>P11/(1.355*(P5/Flat!P$17)^0.16)</f>
        <v>6775.1122000871919</v>
      </c>
      <c r="Q17" s="352">
        <f>Q11/(1.355*(Q5/Flat!Q$17)^0.16)</f>
        <v>4636.7744221789826</v>
      </c>
      <c r="R17" s="352">
        <f>R11/(1.355*(R5/Flat!R$17)^0.16)</f>
        <v>5005.1781910693826</v>
      </c>
      <c r="S17" s="352">
        <f>S11/(1.355*(S5/Flat!S$17)^0.16)</f>
        <v>4434.8325720870444</v>
      </c>
      <c r="T17" s="352">
        <f>T11/(1.355*(T5/Flat!T$17)^0.16)</f>
        <v>5224.8923572288613</v>
      </c>
      <c r="U17" s="352">
        <f>U11/(1.355*(U5/Flat!U$17)^0.16)</f>
        <v>5886.2728212600114</v>
      </c>
      <c r="V17" s="352">
        <f>V11/(1.355*(V5/Flat!V$17)^0.16)</f>
        <v>5595.6437754244598</v>
      </c>
      <c r="W17" s="352">
        <f>W11/(1.355*(W5/Flat!W$17)^0.16)</f>
        <v>6684.6080803699306</v>
      </c>
      <c r="X17" s="352">
        <f>X11/(1.355*(X5/Flat!X$17)^0.16)</f>
        <v>5990.6697697258287</v>
      </c>
      <c r="Y17" s="352">
        <f>Y11/(1.355*(Y5/Flat!Y$17)^0.16)</f>
        <v>2164.5780926361999</v>
      </c>
      <c r="Z17" s="352">
        <f>Z11/(1.355*(Z5/Flat!Z$17)^0.16)</f>
        <v>7682.1518241147369</v>
      </c>
      <c r="AA17" s="352">
        <f>AA11/(1.355*(AA5/Flat!AA$17)^0.16)</f>
        <v>5554.4169298302313</v>
      </c>
      <c r="AB17" s="352">
        <f>AB11/(1.355*(AB5/Flat!AB$17)^0.16)</f>
        <v>6318.5523868196606</v>
      </c>
      <c r="AC17" s="352">
        <f>AC11/(1.355*(AC5/Flat!AC$17)^0.16)</f>
        <v>4490.6763634151021</v>
      </c>
      <c r="AD17" s="352">
        <f>AD11/(1.355*(AD5/Flat!AD$17)^0.16)</f>
        <v>4042.1399162389248</v>
      </c>
      <c r="AE17" s="352">
        <f>AE11/(1.355*(AE5/Flat!AE$17)^0.16)</f>
        <v>5355.6935469351365</v>
      </c>
      <c r="AF17" s="352">
        <f>AF11/(1.355*(AF5/Flat!AF$17)^0.16)</f>
        <v>5164.0023114562637</v>
      </c>
      <c r="AG17" s="352">
        <f>AG11/(1.355*(AG5/Flat!AG$17)^0.16)</f>
        <v>7419.0720777004535</v>
      </c>
      <c r="AH17" s="352">
        <f>AH11/(1.355*(AH5/Flat!AH$17)^0.16)</f>
        <v>3957.0209772377675</v>
      </c>
      <c r="AI17" s="352">
        <f>AI11/(1.355*(AI5/Flat!AI$17)^0.16)</f>
        <v>5383.4551881580019</v>
      </c>
      <c r="AJ17" s="352">
        <f>AJ11/(1.355*(AJ5/Flat!AJ$17)^0.16)</f>
        <v>5596.3624710078902</v>
      </c>
      <c r="AK17" s="352">
        <f>AK11/(1.355*(AK5/Flat!AK$17)^0.16)</f>
        <v>5377.2129391959897</v>
      </c>
      <c r="AL17" s="352">
        <f>AL11/(1.355*(AL5/Flat!AL$17)^0.16)</f>
        <v>5530.3358074886601</v>
      </c>
      <c r="AM17" s="352">
        <f>AM11/(1.355*(AM5/Flat!AM$17)^0.16)</f>
        <v>5146.2785624908283</v>
      </c>
      <c r="AN17" s="353">
        <f>AN11/(1.355*(AN5/Flat!AN$17)^0.16)</f>
        <v>5146.2785624908283</v>
      </c>
    </row>
    <row r="18" spans="1:40" s="5" customFormat="1">
      <c r="A18" s="129"/>
      <c r="B18" s="142" t="s">
        <v>3</v>
      </c>
      <c r="C18" s="129" t="s">
        <v>261</v>
      </c>
      <c r="D18" s="345">
        <f>D12/(1.355*(D6/Flat!D$17)^0.16)</f>
        <v>6911.7943648496475</v>
      </c>
      <c r="E18" s="349">
        <f>E12/(1.355*(E6/Flat!E$17)^0.16)</f>
        <v>7180.3731508684405</v>
      </c>
      <c r="F18" s="349">
        <f>F12/(1.355*(F6/Flat!F$17)^0.16)</f>
        <v>4405.8700880980887</v>
      </c>
      <c r="G18" s="349">
        <f>G12/(1.355*(G6/Flat!G$17)^0.16)</f>
        <v>6733.8746442099809</v>
      </c>
      <c r="H18" s="349">
        <f>H12/(1.355*(H6/Flat!H$17)^0.16)</f>
        <v>2303.840083840525</v>
      </c>
      <c r="I18" s="349">
        <f>I12/(1.355*(I6/Flat!I$17)^0.16)</f>
        <v>4734.1008246753172</v>
      </c>
      <c r="J18" s="349">
        <f>J12/(1.355*(J6/Flat!J$17)^0.16)</f>
        <v>6214.1578355284946</v>
      </c>
      <c r="K18" s="349">
        <f>K12/(1.355*(K6/Flat!K$17)^0.16)</f>
        <v>4469.0148256824759</v>
      </c>
      <c r="L18" s="349">
        <f>L12/(1.355*(L6/Flat!L$17)^0.16)</f>
        <v>3877.1553596105368</v>
      </c>
      <c r="M18" s="349">
        <f>M12/(1.355*(M6/Flat!M$17)^0.16)</f>
        <v>7289.4168643929288</v>
      </c>
      <c r="N18" s="349">
        <f>N12/(1.355*(N6/Flat!N$17)^0.16)</f>
        <v>4510.1842408905186</v>
      </c>
      <c r="O18" s="349">
        <f>O12/(1.355*(O6/Flat!O$17)^0.16)</f>
        <v>7505.2379101340757</v>
      </c>
      <c r="P18" s="349">
        <f>P12/(1.355*(P6/Flat!P$17)^0.16)</f>
        <v>6775.1122000871919</v>
      </c>
      <c r="Q18" s="349">
        <f>Q12/(1.355*(Q6/Flat!Q$17)^0.16)</f>
        <v>4982.3231805598271</v>
      </c>
      <c r="R18" s="349">
        <f>R12/(1.355*(R6/Flat!R$17)^0.16)</f>
        <v>5005.1781910693826</v>
      </c>
      <c r="S18" s="349">
        <f>S12/(1.355*(S6/Flat!S$17)^0.16)</f>
        <v>4485.7498810614507</v>
      </c>
      <c r="T18" s="349">
        <f>T12/(1.355*(T6/Flat!T$17)^0.16)</f>
        <v>4933.4495990972109</v>
      </c>
      <c r="U18" s="349">
        <f>U12/(1.355*(U6/Flat!U$17)^0.16)</f>
        <v>5507.7441510412127</v>
      </c>
      <c r="V18" s="349">
        <f>V12/(1.355*(V6/Flat!V$17)^0.16)</f>
        <v>5595.6437754244598</v>
      </c>
      <c r="W18" s="349">
        <f>W12/(1.355*(W6/Flat!W$17)^0.16)</f>
        <v>7735.0191924094825</v>
      </c>
      <c r="X18" s="349">
        <f>X12/(1.355*(X6/Flat!X$17)^0.16)</f>
        <v>5990.6697697258287</v>
      </c>
      <c r="Y18" s="349">
        <f>Y12/(1.355*(Y6/Flat!Y$17)^0.16)</f>
        <v>2162.690824718045</v>
      </c>
      <c r="Z18" s="349">
        <f>Z12/(1.355*(Z6/Flat!Z$17)^0.16)</f>
        <v>6507.7141494745874</v>
      </c>
      <c r="AA18" s="349">
        <f>AA12/(1.355*(AA6/Flat!AA$17)^0.16)</f>
        <v>5554.4169298302313</v>
      </c>
      <c r="AB18" s="349">
        <f>AB12/(1.355*(AB6/Flat!AB$17)^0.16)</f>
        <v>4914.4137942027955</v>
      </c>
      <c r="AC18" s="349">
        <f>AC12/(1.355*(AC6/Flat!AC$17)^0.16)</f>
        <v>3922.8721801290685</v>
      </c>
      <c r="AD18" s="349">
        <f>AD12/(1.355*(AD6/Flat!AD$17)^0.16)</f>
        <v>3744.3940971736761</v>
      </c>
      <c r="AE18" s="349">
        <f>AE12/(1.355*(AE6/Flat!AE$17)^0.16)</f>
        <v>5355.6935469351365</v>
      </c>
      <c r="AF18" s="349">
        <f>AF12/(1.355*(AF6/Flat!AF$17)^0.16)</f>
        <v>5164.0023114562637</v>
      </c>
      <c r="AG18" s="349">
        <f>AG12/(1.355*(AG6/Flat!AG$17)^0.16)</f>
        <v>6337.1722119441902</v>
      </c>
      <c r="AH18" s="349">
        <f>AH12/(1.355*(AH6/Flat!AH$17)^0.16)</f>
        <v>4164.6855092875412</v>
      </c>
      <c r="AI18" s="349">
        <f>AI12/(1.355*(AI6/Flat!AI$17)^0.16)</f>
        <v>5383.4551881580019</v>
      </c>
      <c r="AJ18" s="349">
        <f>AJ12/(1.355*(AJ6/Flat!AJ$17)^0.16)</f>
        <v>5596.3624710078902</v>
      </c>
      <c r="AK18" s="349">
        <f>AK12/(1.355*(AK6/Flat!AK$17)^0.16)</f>
        <v>5377.2129391959897</v>
      </c>
      <c r="AL18" s="349">
        <f>AL12/(1.355*(AL6/Flat!AL$17)^0.16)</f>
        <v>5530.3358074886601</v>
      </c>
      <c r="AM18" s="349">
        <f>AM12/(1.355*(AM6/Flat!AM$17)^0.16)</f>
        <v>5146.2785624908283</v>
      </c>
      <c r="AN18" s="354">
        <f>AN12/(1.355*(AN6/Flat!AN$17)^0.16)</f>
        <v>5146.2785624908283</v>
      </c>
    </row>
    <row r="19" spans="1:40" s="5" customFormat="1">
      <c r="A19" s="129"/>
      <c r="B19" s="142" t="s">
        <v>4</v>
      </c>
      <c r="C19" s="129" t="s">
        <v>261</v>
      </c>
      <c r="D19" s="345">
        <f>D13/(1.355*(D7/Flat!D$17)^0.16)</f>
        <v>5733.7390430087507</v>
      </c>
      <c r="E19" s="349">
        <f>E13/(1.355*(E7/Flat!E$17)^0.16)</f>
        <v>7180.3731508684405</v>
      </c>
      <c r="F19" s="349">
        <f>F13/(1.355*(F7/Flat!F$17)^0.16)</f>
        <v>4174.8039808861195</v>
      </c>
      <c r="G19" s="349">
        <f>G13/(1.355*(G7/Flat!G$17)^0.16)</f>
        <v>5586.1441935524545</v>
      </c>
      <c r="H19" s="349">
        <f>H13/(1.355*(H7/Flat!H$17)^0.16)</f>
        <v>2095.1114535044489</v>
      </c>
      <c r="I19" s="349">
        <f>I13/(1.355*(I7/Flat!I$17)^0.16)</f>
        <v>4734.1008246753172</v>
      </c>
      <c r="J19" s="349">
        <f>J13/(1.355*(J7/Flat!J$17)^0.16)</f>
        <v>4188.5609806522907</v>
      </c>
      <c r="K19" s="349">
        <f>K13/(1.355*(K7/Flat!K$17)^0.16)</f>
        <v>3255.1573433748622</v>
      </c>
      <c r="L19" s="349">
        <f>L13/(1.355*(L7/Flat!L$17)^0.16)</f>
        <v>3314.3447695182585</v>
      </c>
      <c r="M19" s="349">
        <f>M13/(1.355*(M7/Flat!M$17)^0.16)</f>
        <v>7289.4168643929288</v>
      </c>
      <c r="N19" s="349">
        <f>N13/(1.355*(N7/Flat!N$17)^0.16)</f>
        <v>3973.5834343578808</v>
      </c>
      <c r="O19" s="349">
        <f>O13/(1.355*(O7/Flat!O$17)^0.16)</f>
        <v>3773.1705138724897</v>
      </c>
      <c r="P19" s="349">
        <f>P13/(1.355*(P7/Flat!P$17)^0.16)</f>
        <v>6775.1122000871919</v>
      </c>
      <c r="Q19" s="349">
        <f>Q13/(1.355*(Q7/Flat!Q$17)^0.16)</f>
        <v>4643.6905870382006</v>
      </c>
      <c r="R19" s="349">
        <f>R13/(1.355*(R7/Flat!R$17)^0.16)</f>
        <v>4384.5389393739233</v>
      </c>
      <c r="S19" s="349">
        <f>S13/(1.355*(S7/Flat!S$17)^0.16)</f>
        <v>3980.5407271043769</v>
      </c>
      <c r="T19" s="349">
        <f>T13/(1.355*(T7/Flat!T$17)^0.16)</f>
        <v>4226.2636104308694</v>
      </c>
      <c r="U19" s="349">
        <f>U13/(1.355*(U7/Flat!U$17)^0.16)</f>
        <v>5381.2274642899247</v>
      </c>
      <c r="V19" s="349">
        <f>V13/(1.355*(V7/Flat!V$17)^0.16)</f>
        <v>3954.9900164956684</v>
      </c>
      <c r="W19" s="349">
        <f>W13/(1.355*(W7/Flat!W$17)^0.16)</f>
        <v>4322.5830190647475</v>
      </c>
      <c r="X19" s="349">
        <f>X13/(1.355*(X7/Flat!X$17)^0.16)</f>
        <v>5607.7337607065856</v>
      </c>
      <c r="Y19" s="349">
        <f>Y13/(1.355*(Y7/Flat!Y$17)^0.16)</f>
        <v>1694.4322074981437</v>
      </c>
      <c r="Z19" s="349">
        <f>Z13/(1.355*(Z7/Flat!Z$17)^0.16)</f>
        <v>6392.8911564967357</v>
      </c>
      <c r="AA19" s="349">
        <f>AA13/(1.355*(AA7/Flat!AA$17)^0.16)</f>
        <v>4128.1640834672235</v>
      </c>
      <c r="AB19" s="349">
        <f>AB13/(1.355*(AB7/Flat!AB$17)^0.16)</f>
        <v>3701.9206311876887</v>
      </c>
      <c r="AC19" s="349">
        <f>AC13/(1.355*(AC7/Flat!AC$17)^0.16)</f>
        <v>3873.3174941185212</v>
      </c>
      <c r="AD19" s="349">
        <f>AD13/(1.355*(AD7/Flat!AD$17)^0.16)</f>
        <v>3744.3940971736761</v>
      </c>
      <c r="AE19" s="349">
        <f>AE13/(1.355*(AE7/Flat!AE$17)^0.16)</f>
        <v>3980.4685211469296</v>
      </c>
      <c r="AF19" s="349">
        <f>AF13/(1.355*(AF7/Flat!AF$17)^0.16)</f>
        <v>5001.3510059017181</v>
      </c>
      <c r="AG19" s="349">
        <f>AG13/(1.355*(AG7/Flat!AG$17)^0.16)</f>
        <v>6337.1722119441902</v>
      </c>
      <c r="AH19" s="349">
        <f>AH13/(1.355*(AH7/Flat!AH$17)^0.16)</f>
        <v>3523.2600430995585</v>
      </c>
      <c r="AI19" s="349">
        <f>AI13/(1.355*(AI7/Flat!AI$17)^0.16)</f>
        <v>5383.4551881580019</v>
      </c>
      <c r="AJ19" s="349">
        <f>AJ13/(1.355*(AJ7/Flat!AJ$17)^0.16)</f>
        <v>5596.3624710078902</v>
      </c>
      <c r="AK19" s="349">
        <f>AK13/(1.355*(AK7/Flat!AK$17)^0.16)</f>
        <v>5377.2129391959897</v>
      </c>
      <c r="AL19" s="349">
        <f>AL13/(1.355*(AL7/Flat!AL$17)^0.16)</f>
        <v>5228.7002122817303</v>
      </c>
      <c r="AM19" s="349">
        <f>AM13/(1.355*(AM7/Flat!AM$17)^0.16)</f>
        <v>5146.2785624908283</v>
      </c>
      <c r="AN19" s="354">
        <f>AN13/(1.355*(AN7/Flat!AN$17)^0.16)</f>
        <v>5146.2785624908283</v>
      </c>
    </row>
    <row r="20" spans="1:40" s="5" customFormat="1">
      <c r="A20" s="129"/>
      <c r="B20" s="142" t="s">
        <v>5</v>
      </c>
      <c r="C20" s="129" t="s">
        <v>261</v>
      </c>
      <c r="D20" s="345">
        <f>D14/(1.355*(D8/Flat!D$17)^0.16)</f>
        <v>4303.8119884008656</v>
      </c>
      <c r="E20" s="349">
        <f>E14/(1.355*(E8/Flat!E$17)^0.16)</f>
        <v>6233.0247436446298</v>
      </c>
      <c r="F20" s="349">
        <f>F14/(1.355*(F8/Flat!F$17)^0.16)</f>
        <v>3634.7584204246027</v>
      </c>
      <c r="G20" s="349">
        <f>G14/(1.355*(G8/Flat!G$17)^0.16)</f>
        <v>4193.0255578096849</v>
      </c>
      <c r="H20" s="349">
        <f>H14/(1.355*(H8/Flat!H$17)^0.16)</f>
        <v>2049.9295231637402</v>
      </c>
      <c r="I20" s="349">
        <f>I14/(1.355*(I8/Flat!I$17)^0.16)</f>
        <v>4312.9232444667241</v>
      </c>
      <c r="J20" s="349">
        <f>J14/(1.355*(J8/Flat!J$17)^0.16)</f>
        <v>3657.9389185555115</v>
      </c>
      <c r="K20" s="349">
        <f>K14/(1.355*(K8/Flat!K$17)^0.16)</f>
        <v>2815.6900023472958</v>
      </c>
      <c r="L20" s="349">
        <f>L14/(1.355*(L8/Flat!L$17)^0.16)</f>
        <v>2964.3953208691892</v>
      </c>
      <c r="M20" s="349">
        <f>M14/(1.355*(M8/Flat!M$17)^0.16)</f>
        <v>5386.068869405527</v>
      </c>
      <c r="N20" s="349">
        <f>N14/(1.355*(N8/Flat!N$17)^0.16)</f>
        <v>3569.1355471773109</v>
      </c>
      <c r="O20" s="349">
        <f>O14/(1.355*(O8/Flat!O$17)^0.16)</f>
        <v>3344.0807003435566</v>
      </c>
      <c r="P20" s="349">
        <f>P14/(1.355*(P8/Flat!P$17)^0.16)</f>
        <v>6651.2678248177845</v>
      </c>
      <c r="Q20" s="349">
        <f>Q14/(1.355*(Q8/Flat!Q$17)^0.16)</f>
        <v>4643.6905870382006</v>
      </c>
      <c r="R20" s="349">
        <f>R14/(1.355*(R8/Flat!R$17)^0.16)</f>
        <v>3309.7295098552663</v>
      </c>
      <c r="S20" s="349">
        <f>S14/(1.355*(S8/Flat!S$17)^0.16)</f>
        <v>2894.8158223509768</v>
      </c>
      <c r="T20" s="349">
        <f>T14/(1.355*(T8/Flat!T$17)^0.16)</f>
        <v>3681.0688197751247</v>
      </c>
      <c r="U20" s="349">
        <f>U14/(1.355*(U8/Flat!U$17)^0.16)</f>
        <v>4169.2843523356196</v>
      </c>
      <c r="V20" s="349">
        <f>V14/(1.355*(V8/Flat!V$17)^0.16)</f>
        <v>3954.9900164956684</v>
      </c>
      <c r="W20" s="349">
        <f>W14/(1.355*(W8/Flat!W$17)^0.16)</f>
        <v>4008.2031008489666</v>
      </c>
      <c r="X20" s="349">
        <f>X14/(1.355*(X8/Flat!X$17)^0.16)</f>
        <v>3867.3062512376887</v>
      </c>
      <c r="Y20" s="349">
        <f>Y14/(1.355*(Y8/Flat!Y$17)^0.16)</f>
        <v>1600.2096563039779</v>
      </c>
      <c r="Z20" s="349">
        <f>Z14/(1.355*(Z8/Flat!Z$17)^0.16)</f>
        <v>3786.421502664205</v>
      </c>
      <c r="AA20" s="349">
        <f>AA14/(1.355*(AA8/Flat!AA$17)^0.16)</f>
        <v>4128.1640834672235</v>
      </c>
      <c r="AB20" s="349">
        <f>AB14/(1.355*(AB8/Flat!AB$17)^0.16)</f>
        <v>3701.9206311876887</v>
      </c>
      <c r="AC20" s="349">
        <f>AC14/(1.355*(AC8/Flat!AC$17)^0.16)</f>
        <v>3732.6710243819161</v>
      </c>
      <c r="AD20" s="349">
        <f>AD14/(1.355*(AD8/Flat!AD$17)^0.16)</f>
        <v>3287.7091861604149</v>
      </c>
      <c r="AE20" s="349">
        <f>AE14/(1.355*(AE8/Flat!AE$17)^0.16)</f>
        <v>3980.4685211469296</v>
      </c>
      <c r="AF20" s="349">
        <f>AF14/(1.355*(AF8/Flat!AF$17)^0.16)</f>
        <v>3914.40305409128</v>
      </c>
      <c r="AG20" s="349">
        <f>AG14/(1.355*(AG8/Flat!AG$17)^0.16)</f>
        <v>5611.1241309620573</v>
      </c>
      <c r="AH20" s="349">
        <f>AH14/(1.355*(AH8/Flat!AH$17)^0.16)</f>
        <v>2205.7742635203545</v>
      </c>
      <c r="AI20" s="349">
        <f>AI14/(1.355*(AI8/Flat!AI$17)^0.16)</f>
        <v>5290.8113149670417</v>
      </c>
      <c r="AJ20" s="349">
        <f>AJ14/(1.355*(AJ8/Flat!AJ$17)^0.16)</f>
        <v>4881.2189962117882</v>
      </c>
      <c r="AK20" s="349">
        <f>AK14/(1.355*(AK8/Flat!AK$17)^0.16)</f>
        <v>4678.4219111280872</v>
      </c>
      <c r="AL20" s="349">
        <f>AL14/(1.355*(AL8/Flat!AL$17)^0.16)</f>
        <v>4514.0281800221246</v>
      </c>
      <c r="AM20" s="349">
        <f>AM14/(1.355*(AM8/Flat!AM$17)^0.16)</f>
        <v>4488.6500488778483</v>
      </c>
      <c r="AN20" s="354">
        <f>AN14/(1.355*(AN8/Flat!AN$17)^0.16)</f>
        <v>4488.6500488778483</v>
      </c>
    </row>
    <row r="21" spans="1:40" s="5" customFormat="1">
      <c r="A21" s="129"/>
      <c r="B21" s="142" t="s">
        <v>6</v>
      </c>
      <c r="C21" s="129" t="s">
        <v>261</v>
      </c>
      <c r="D21" s="345">
        <f>D15/(1.355*(D9/Flat!D$17)^0.16)</f>
        <v>3771.3749838671856</v>
      </c>
      <c r="E21" s="349">
        <f>E15/(1.355*(E9/Flat!E$17)^0.16)</f>
        <v>6233.0247436446298</v>
      </c>
      <c r="F21" s="349">
        <f>F15/(1.355*(F9/Flat!F$17)^0.16)</f>
        <v>2976.0797920768232</v>
      </c>
      <c r="G21" s="349">
        <f>G15/(1.355*(G9/Flat!G$17)^0.16)</f>
        <v>3674.2942624022207</v>
      </c>
      <c r="H21" s="349">
        <f>H15/(1.355*(H9/Flat!H$17)^0.16)</f>
        <v>2049.9295231637402</v>
      </c>
      <c r="I21" s="349">
        <f>I15/(1.355*(I9/Flat!I$17)^0.16)</f>
        <v>3427.6526498153298</v>
      </c>
      <c r="J21" s="349">
        <f>J15/(1.355*(J9/Flat!J$17)^0.16)</f>
        <v>2489.0303929404549</v>
      </c>
      <c r="K21" s="349">
        <f>K15/(1.355*(K9/Flat!K$17)^0.16)</f>
        <v>2815.6900023472958</v>
      </c>
      <c r="L21" s="349">
        <f>L15/(1.355*(L9/Flat!L$17)^0.16)</f>
        <v>2792.9479281111621</v>
      </c>
      <c r="M21" s="349">
        <f>M15/(1.355*(M9/Flat!M$17)^0.16)</f>
        <v>5386.068869405527</v>
      </c>
      <c r="N21" s="349">
        <f>N15/(1.355*(N9/Flat!N$17)^0.16)</f>
        <v>3543.8676382943968</v>
      </c>
      <c r="O21" s="349">
        <f>O15/(1.355*(O9/Flat!O$17)^0.16)</f>
        <v>2241.1046424645288</v>
      </c>
      <c r="P21" s="349">
        <f>P15/(1.355*(P9/Flat!P$17)^0.16)</f>
        <v>6651.2678248177845</v>
      </c>
      <c r="Q21" s="349">
        <f>Q15/(1.355*(Q9/Flat!Q$17)^0.16)</f>
        <v>3485.1069229839172</v>
      </c>
      <c r="R21" s="349">
        <f>R15/(1.355*(R9/Flat!R$17)^0.16)</f>
        <v>3309.7295098552663</v>
      </c>
      <c r="S21" s="349">
        <f>S15/(1.355*(S9/Flat!S$17)^0.16)</f>
        <v>2522.5711696256112</v>
      </c>
      <c r="T21" s="349">
        <f>T15/(1.355*(T9/Flat!T$17)^0.16)</f>
        <v>3650.802741645753</v>
      </c>
      <c r="U21" s="349">
        <f>U15/(1.355*(U9/Flat!U$17)^0.16)</f>
        <v>3817.5690127465023</v>
      </c>
      <c r="V21" s="349">
        <f>V15/(1.355*(V9/Flat!V$17)^0.16)</f>
        <v>3954.9900164956684</v>
      </c>
      <c r="W21" s="349">
        <f>W15/(1.355*(W9/Flat!W$17)^0.16)</f>
        <v>3627.5973370453498</v>
      </c>
      <c r="X21" s="349">
        <f>X15/(1.355*(X9/Flat!X$17)^0.16)</f>
        <v>3841.8143197728323</v>
      </c>
      <c r="Y21" s="349">
        <f>Y15/(1.355*(Y9/Flat!Y$17)^0.16)</f>
        <v>1582.1891477985785</v>
      </c>
      <c r="Z21" s="349">
        <f>Z15/(1.355*(Z9/Flat!Z$17)^0.16)</f>
        <v>3522.0234871580351</v>
      </c>
      <c r="AA21" s="349">
        <f>AA15/(1.355*(AA9/Flat!AA$17)^0.16)</f>
        <v>3735.0971616114343</v>
      </c>
      <c r="AB21" s="349">
        <f>AB15/(1.355*(AB9/Flat!AB$17)^0.16)</f>
        <v>3701.9206311876887</v>
      </c>
      <c r="AC21" s="349">
        <f>AC15/(1.355*(AC9/Flat!AC$17)^0.16)</f>
        <v>3422.8904323040319</v>
      </c>
      <c r="AD21" s="349">
        <f>AD15/(1.355*(AD9/Flat!AD$17)^0.16)</f>
        <v>3287.7091861604149</v>
      </c>
      <c r="AE21" s="349">
        <f>AE15/(1.355*(AE9/Flat!AE$17)^0.16)</f>
        <v>3601.4645674482194</v>
      </c>
      <c r="AF21" s="349">
        <f>AF15/(1.355*(AF9/Flat!AF$17)^0.16)</f>
        <v>3045.3318982266996</v>
      </c>
      <c r="AG21" s="349">
        <f>AG15/(1.355*(AG9/Flat!AG$17)^0.16)</f>
        <v>5340.4533019909513</v>
      </c>
      <c r="AH21" s="349">
        <f>AH15/(1.355*(AH9/Flat!AH$17)^0.16)</f>
        <v>1957.347409366306</v>
      </c>
      <c r="AI21" s="349">
        <f>AI15/(1.355*(AI9/Flat!AI$17)^0.16)</f>
        <v>5290.8113149670417</v>
      </c>
      <c r="AJ21" s="349">
        <f>AJ15/(1.355*(AJ9/Flat!AJ$17)^0.16)</f>
        <v>4600.0067920536439</v>
      </c>
      <c r="AK21" s="349">
        <f>AK15/(1.355*(AK9/Flat!AK$17)^0.16)</f>
        <v>4404.009424341436</v>
      </c>
      <c r="AL21" s="349">
        <f>AL15/(1.355*(AL9/Flat!AL$17)^0.16)</f>
        <v>3692.4433648857116</v>
      </c>
      <c r="AM21" s="349">
        <f>AM15/(1.355*(AM9/Flat!AM$17)^0.16)</f>
        <v>4230.054158195805</v>
      </c>
      <c r="AN21" s="354">
        <f>AN15/(1.355*(AN9/Flat!AN$17)^0.16)</f>
        <v>4230.054158195805</v>
      </c>
    </row>
    <row r="22" spans="1:40" s="5" customFormat="1">
      <c r="A22" s="129"/>
      <c r="B22" s="142" t="s">
        <v>7</v>
      </c>
      <c r="C22" s="129" t="s">
        <v>261</v>
      </c>
      <c r="D22" s="345">
        <f>D16/(1.355*(D10/Flat!D$17)^0.16)</f>
        <v>3501.4860959644166</v>
      </c>
      <c r="E22" s="349">
        <f>E16/(1.355*(E10/Flat!E$17)^0.16)</f>
        <v>3943.8779990924731</v>
      </c>
      <c r="F22" s="349">
        <f>F16/(1.355*(F10/Flat!F$17)^0.16)</f>
        <v>2140.1542606151447</v>
      </c>
      <c r="G22" s="349">
        <f>G16/(1.355*(G10/Flat!G$17)^0.16)</f>
        <v>3411.3527101701447</v>
      </c>
      <c r="H22" s="349">
        <f>H16/(1.355*(H10/Flat!H$17)^0.16)</f>
        <v>1818.4525788308756</v>
      </c>
      <c r="I22" s="349">
        <f>I16/(1.355*(I10/Flat!I$17)^0.16)</f>
        <v>3072.3712937292803</v>
      </c>
      <c r="J22" s="349">
        <f>J16/(1.355*(J10/Flat!J$17)^0.16)</f>
        <v>2688.8972040220347</v>
      </c>
      <c r="K22" s="349">
        <f>K16/(1.355*(K10/Flat!K$17)^0.16)</f>
        <v>2407.3215488990095</v>
      </c>
      <c r="L22" s="349">
        <f>L16/(1.355*(L10/Flat!L$17)^0.16)</f>
        <v>2792.9479281111621</v>
      </c>
      <c r="M22" s="349">
        <f>M16/(1.355*(M10/Flat!M$17)^0.16)</f>
        <v>3447.7706412058615</v>
      </c>
      <c r="N22" s="349">
        <f>N16/(1.355*(N10/Flat!N$17)^0.16)</f>
        <v>3422.9582439016608</v>
      </c>
      <c r="O22" s="349">
        <f>O16/(1.355*(O10/Flat!O$17)^0.16)</f>
        <v>2198.4235734288764</v>
      </c>
      <c r="P22" s="349">
        <f>P16/(1.355*(P10/Flat!P$17)^0.16)</f>
        <v>2502.8474678745101</v>
      </c>
      <c r="Q22" s="349">
        <f>Q16/(1.355*(Q10/Flat!Q$17)^0.16)</f>
        <v>2296.0032214268977</v>
      </c>
      <c r="R22" s="349">
        <f>R16/(1.355*(R10/Flat!R$17)^0.16)</f>
        <v>2421.3370793223526</v>
      </c>
      <c r="S22" s="349">
        <f>S16/(1.355*(S10/Flat!S$17)^0.16)</f>
        <v>1862.1002880716694</v>
      </c>
      <c r="T22" s="349">
        <f>T16/(1.355*(T10/Flat!T$17)^0.16)</f>
        <v>3512.1271577901894</v>
      </c>
      <c r="U22" s="349">
        <f>U16/(1.355*(U10/Flat!U$17)^0.16)</f>
        <v>3817.5690127465023</v>
      </c>
      <c r="V22" s="349">
        <f>V16/(1.355*(V10/Flat!V$17)^0.16)</f>
        <v>2614.3068144539775</v>
      </c>
      <c r="W22" s="349">
        <f>W16/(1.355*(W10/Flat!W$17)^0.16)</f>
        <v>3110.923645157749</v>
      </c>
      <c r="X22" s="349">
        <f>X16/(1.355*(X10/Flat!X$17)^0.16)</f>
        <v>2667.7735723533847</v>
      </c>
      <c r="Y22" s="349">
        <f>Y16/(1.355*(Y10/Flat!Y$17)^0.16)</f>
        <v>1490.0202710391768</v>
      </c>
      <c r="Z22" s="349">
        <f>Z16/(1.355*(Z10/Flat!Z$17)^0.16)</f>
        <v>2880.9636953247727</v>
      </c>
      <c r="AA22" s="349">
        <f>AA16/(1.355*(AA10/Flat!AA$17)^0.16)</f>
        <v>3735.0971616114343</v>
      </c>
      <c r="AB22" s="349">
        <f>AB16/(1.355*(AB10/Flat!AB$17)^0.16)</f>
        <v>2966.2546257434583</v>
      </c>
      <c r="AC22" s="349">
        <f>AC16/(1.355*(AC10/Flat!AC$17)^0.16)</f>
        <v>2423.7844689469985</v>
      </c>
      <c r="AD22" s="349">
        <f>AD16/(1.355*(AD10/Flat!AD$17)^0.16)</f>
        <v>2849.9200868420221</v>
      </c>
      <c r="AE22" s="349">
        <f>AE16/(1.355*(AE10/Flat!AE$17)^0.16)</f>
        <v>3601.4645674482194</v>
      </c>
      <c r="AF22" s="349">
        <f>AF16/(1.355*(AF10/Flat!AF$17)^0.16)</f>
        <v>2116.6966015248177</v>
      </c>
      <c r="AG22" s="349">
        <f>AG16/(1.355*(AG10/Flat!AG$17)^0.16)</f>
        <v>3521.8504568113353</v>
      </c>
      <c r="AH22" s="349">
        <f>AH16/(1.355*(AH10/Flat!AH$17)^0.16)</f>
        <v>1779.9167206387817</v>
      </c>
      <c r="AI22" s="349">
        <f>AI16/(1.355*(AI10/Flat!AI$17)^0.16)</f>
        <v>2068.1711362125379</v>
      </c>
      <c r="AJ22" s="349">
        <f>AJ16/(1.355*(AJ10/Flat!AJ$17)^0.16)</f>
        <v>4088.6169694455202</v>
      </c>
      <c r="AK22" s="349">
        <f>AK16/(1.355*(AK10/Flat!AK$17)^0.16)</f>
        <v>3907.6895491130131</v>
      </c>
      <c r="AL22" s="349">
        <f>AL16/(1.355*(AL10/Flat!AL$17)^0.16)</f>
        <v>2513.8584784029476</v>
      </c>
      <c r="AM22" s="349">
        <f>AM16/(1.355*(AM10/Flat!AM$17)^0.16)</f>
        <v>3759.7925382957264</v>
      </c>
      <c r="AN22" s="354">
        <f>AN16/(1.355*(AN10/Flat!AN$17)^0.16)</f>
        <v>3759.7925382957264</v>
      </c>
    </row>
    <row r="23" spans="1:40" s="5" customFormat="1">
      <c r="A23" s="334" t="s">
        <v>262</v>
      </c>
      <c r="B23" s="359" t="s">
        <v>2</v>
      </c>
      <c r="C23" s="366" t="s">
        <v>190</v>
      </c>
      <c r="D23" s="375">
        <f>D17/Flat!D$4</f>
        <v>106.7896319406447</v>
      </c>
      <c r="E23" s="376">
        <f>E17/Flat!E$4</f>
        <v>98.041020345737493</v>
      </c>
      <c r="F23" s="376">
        <f>F17/Flat!F$4</f>
        <v>68.328963569307717</v>
      </c>
      <c r="G23" s="376">
        <f>G17/Flat!G$4</f>
        <v>104.04071024547419</v>
      </c>
      <c r="H23" s="376">
        <f>H17/Flat!H$4</f>
        <v>34.37015918524483</v>
      </c>
      <c r="I23" s="376">
        <f>I17/Flat!I$4</f>
        <v>86.206339233043806</v>
      </c>
      <c r="J23" s="376">
        <f>J17/Flat!J$4</f>
        <v>115.79627840424571</v>
      </c>
      <c r="K23" s="376">
        <f>K17/Flat!K$4</f>
        <v>57.832010506582137</v>
      </c>
      <c r="L23" s="376">
        <f>L17/Flat!L$4</f>
        <v>81.113681145765</v>
      </c>
      <c r="M23" s="376">
        <f>M17/Flat!M$4</f>
        <v>94.729205466129443</v>
      </c>
      <c r="N23" s="376">
        <f>N17/Flat!N$4</f>
        <v>85.28443992599486</v>
      </c>
      <c r="O23" s="376">
        <f>O17/Flat!O$4</f>
        <v>113.84666164666196</v>
      </c>
      <c r="P23" s="376">
        <f>P17/Flat!P$4</f>
        <v>92.809756165577966</v>
      </c>
      <c r="Q23" s="376">
        <f>Q17/Flat!Q$4</f>
        <v>72.891133834050493</v>
      </c>
      <c r="R23" s="376">
        <f>R17/Flat!R$4</f>
        <v>107.09810462081769</v>
      </c>
      <c r="S23" s="376">
        <f>S17/Flat!S$4</f>
        <v>66.64409806569202</v>
      </c>
      <c r="T23" s="376">
        <f>T17/Flat!T$4</f>
        <v>93.301649236229665</v>
      </c>
      <c r="U23" s="376">
        <f>U17/Flat!U$4</f>
        <v>64.826793185682945</v>
      </c>
      <c r="V23" s="376">
        <f>V17/Flat!V$4</f>
        <v>108.52314635038327</v>
      </c>
      <c r="W23" s="376">
        <f>W17/Flat!W$4</f>
        <v>77.909089742604976</v>
      </c>
      <c r="X23" s="376">
        <f>X17/Flat!X$4</f>
        <v>116.32368484904522</v>
      </c>
      <c r="Y23" s="376">
        <f>Y17/Flat!Y$4</f>
        <v>25.456205224346867</v>
      </c>
      <c r="Z23" s="376">
        <f>Z17/Flat!Z$4</f>
        <v>101.34764939465353</v>
      </c>
      <c r="AA23" s="376">
        <f>AA17/Flat!AA$4</f>
        <v>83.14995403937472</v>
      </c>
      <c r="AB23" s="376">
        <f>AB17/Flat!AB$4</f>
        <v>120.39985313987697</v>
      </c>
      <c r="AC23" s="376">
        <f>AC17/Flat!AC$4</f>
        <v>46.45839793335238</v>
      </c>
      <c r="AD23" s="376">
        <f>AD17/Flat!AD$4</f>
        <v>84.298455006682005</v>
      </c>
      <c r="AE23" s="376">
        <f>AE17/Flat!AE$4</f>
        <v>80.175053097831395</v>
      </c>
      <c r="AF23" s="376">
        <f>AF17/Flat!AF$4</f>
        <v>100.15351198113515</v>
      </c>
      <c r="AG23" s="376">
        <f>AG17/Flat!AG$4</f>
        <v>121.12199043307938</v>
      </c>
      <c r="AH23" s="376">
        <f>AH17/Flat!AH$4</f>
        <v>81.739743384378599</v>
      </c>
      <c r="AI23" s="376">
        <f>AI17/Flat!AI$4</f>
        <v>73.745961481616462</v>
      </c>
      <c r="AJ23" s="376">
        <f>AJ17/Flat!AJ$4</f>
        <v>87.976073174246707</v>
      </c>
      <c r="AK23" s="376">
        <f>AK17/Flat!AK$4</f>
        <v>73.660451221862871</v>
      </c>
      <c r="AL23" s="376">
        <f>AL17/Flat!AL$4</f>
        <v>86.938119215525916</v>
      </c>
      <c r="AM23" s="376">
        <f>AM17/Flat!AM$4</f>
        <v>80.900653189322696</v>
      </c>
      <c r="AN23" s="377">
        <f>AN17/Flat!AN$4</f>
        <v>80.900653189322696</v>
      </c>
    </row>
    <row r="24" spans="1:40" s="5" customFormat="1">
      <c r="A24" s="154"/>
      <c r="B24" s="347" t="s">
        <v>3</v>
      </c>
      <c r="C24" s="367" t="s">
        <v>190</v>
      </c>
      <c r="D24" s="369">
        <f>D18/Flat!D$4</f>
        <v>96.578411858952862</v>
      </c>
      <c r="E24" s="370">
        <f>E18/Flat!E$4</f>
        <v>98.041020345737493</v>
      </c>
      <c r="F24" s="370">
        <f>F18/Flat!F$4</f>
        <v>68.328963569307717</v>
      </c>
      <c r="G24" s="370">
        <f>G18/Flat!G$4</f>
        <v>94.092341939808023</v>
      </c>
      <c r="H24" s="370">
        <f>H18/Flat!H$4</f>
        <v>31.559453203294865</v>
      </c>
      <c r="I24" s="370">
        <f>I18/Flat!I$4</f>
        <v>77.624107912384702</v>
      </c>
      <c r="J24" s="370">
        <f>J18/Flat!J$4</f>
        <v>99.09612145859559</v>
      </c>
      <c r="K24" s="370">
        <f>K18/Flat!K$4</f>
        <v>57.002740123500963</v>
      </c>
      <c r="L24" s="370">
        <f>L18/Flat!L$4</f>
        <v>81.113681145765</v>
      </c>
      <c r="M24" s="370">
        <f>M18/Flat!M$4</f>
        <v>84.397933615760536</v>
      </c>
      <c r="N24" s="370">
        <f>N18/Flat!N$4</f>
        <v>80.539004301616401</v>
      </c>
      <c r="O24" s="370">
        <f>O18/Flat!O$4</f>
        <v>113.84666164666196</v>
      </c>
      <c r="P24" s="370">
        <f>P18/Flat!P$4</f>
        <v>92.809756165577966</v>
      </c>
      <c r="Q24" s="370">
        <f>Q18/Flat!Q$4</f>
        <v>78.323237814103862</v>
      </c>
      <c r="R24" s="370">
        <f>R18/Flat!R$4</f>
        <v>107.09810462081769</v>
      </c>
      <c r="S24" s="370">
        <f>S18/Flat!S$4</f>
        <v>67.40925392611598</v>
      </c>
      <c r="T24" s="370">
        <f>T18/Flat!T$4</f>
        <v>88.097314269593056</v>
      </c>
      <c r="U24" s="370">
        <f>U18/Flat!U$4</f>
        <v>60.65797523173142</v>
      </c>
      <c r="V24" s="370">
        <f>V18/Flat!V$4</f>
        <v>108.52314635038327</v>
      </c>
      <c r="W24" s="370">
        <f>W18/Flat!W$4</f>
        <v>90.151628513851847</v>
      </c>
      <c r="X24" s="370">
        <f>X18/Flat!X$4</f>
        <v>116.32368484904522</v>
      </c>
      <c r="Y24" s="370">
        <f>Y18/Flat!Y$4</f>
        <v>25.43401028501836</v>
      </c>
      <c r="Z24" s="370">
        <f>Z18/Flat!Z$4</f>
        <v>85.853748673807232</v>
      </c>
      <c r="AA24" s="370">
        <f>AA18/Flat!AA$4</f>
        <v>83.14995403937472</v>
      </c>
      <c r="AB24" s="370">
        <f>AB18/Flat!AB$4</f>
        <v>93.644028389297233</v>
      </c>
      <c r="AC24" s="370">
        <f>AC18/Flat!AC$4</f>
        <v>40.584166401052961</v>
      </c>
      <c r="AD24" s="370">
        <f>AD18/Flat!AD$4</f>
        <v>78.088993421479444</v>
      </c>
      <c r="AE24" s="370">
        <f>AE18/Flat!AE$4</f>
        <v>80.175053097831395</v>
      </c>
      <c r="AF24" s="370">
        <f>AF18/Flat!AF$4</f>
        <v>100.15351198113515</v>
      </c>
      <c r="AG24" s="370">
        <f>AG18/Flat!AG$4</f>
        <v>103.45915284136042</v>
      </c>
      <c r="AH24" s="370">
        <f>AH18/Flat!AH$4</f>
        <v>86.029446587224569</v>
      </c>
      <c r="AI24" s="370">
        <f>AI18/Flat!AI$4</f>
        <v>73.745961481616462</v>
      </c>
      <c r="AJ24" s="370">
        <f>AJ18/Flat!AJ$4</f>
        <v>87.976073174246707</v>
      </c>
      <c r="AK24" s="370">
        <f>AK18/Flat!AK$4</f>
        <v>73.660451221862871</v>
      </c>
      <c r="AL24" s="370">
        <f>AL18/Flat!AL$4</f>
        <v>86.938119215525916</v>
      </c>
      <c r="AM24" s="370">
        <f>AM18/Flat!AM$4</f>
        <v>80.900653189322696</v>
      </c>
      <c r="AN24" s="371">
        <f>AN18/Flat!AN$4</f>
        <v>80.900653189322696</v>
      </c>
    </row>
    <row r="25" spans="1:40" s="5" customFormat="1">
      <c r="A25" s="154"/>
      <c r="B25" s="347" t="s">
        <v>4</v>
      </c>
      <c r="C25" s="367" t="s">
        <v>190</v>
      </c>
      <c r="D25" s="369">
        <f>D19/Flat!D$4</f>
        <v>80.117460323127432</v>
      </c>
      <c r="E25" s="370">
        <f>E19/Flat!E$4</f>
        <v>98.041020345737493</v>
      </c>
      <c r="F25" s="370">
        <f>F19/Flat!F$4</f>
        <v>64.745447190910838</v>
      </c>
      <c r="G25" s="370">
        <f>G19/Flat!G$4</f>
        <v>78.055119430646258</v>
      </c>
      <c r="H25" s="370">
        <f>H19/Flat!H$4</f>
        <v>28.700156897321218</v>
      </c>
      <c r="I25" s="370">
        <f>I19/Flat!I$4</f>
        <v>77.624107912384702</v>
      </c>
      <c r="J25" s="370">
        <f>J19/Flat!J$4</f>
        <v>66.794271832355733</v>
      </c>
      <c r="K25" s="370">
        <f>K19/Flat!K$4</f>
        <v>41.519864073658951</v>
      </c>
      <c r="L25" s="370">
        <f>L19/Flat!L$4</f>
        <v>69.339162325660084</v>
      </c>
      <c r="M25" s="370">
        <f>M19/Flat!M$4</f>
        <v>84.397933615760536</v>
      </c>
      <c r="N25" s="370">
        <f>N19/Flat!N$4</f>
        <v>70.956847042105011</v>
      </c>
      <c r="O25" s="370">
        <f>O19/Flat!O$4</f>
        <v>57.235076618687643</v>
      </c>
      <c r="P25" s="370">
        <f>P19/Flat!P$4</f>
        <v>92.809756165577966</v>
      </c>
      <c r="Q25" s="370">
        <f>Q19/Flat!Q$4</f>
        <v>72.999857496767461</v>
      </c>
      <c r="R25" s="370">
        <f>R19/Flat!R$4</f>
        <v>93.818000502153978</v>
      </c>
      <c r="S25" s="370">
        <f>S19/Flat!S$4</f>
        <v>59.817263055498799</v>
      </c>
      <c r="T25" s="370">
        <f>T19/Flat!T$4</f>
        <v>75.468993043408389</v>
      </c>
      <c r="U25" s="370">
        <f>U19/Flat!U$4</f>
        <v>59.264619650770101</v>
      </c>
      <c r="V25" s="370">
        <f>V19/Flat!V$4</f>
        <v>76.703946426951816</v>
      </c>
      <c r="W25" s="370">
        <f>W19/Flat!W$4</f>
        <v>50.379693813483648</v>
      </c>
      <c r="X25" s="370">
        <f>X19/Flat!X$4</f>
        <v>108.88803418847739</v>
      </c>
      <c r="Y25" s="370">
        <f>Y19/Flat!Y$4</f>
        <v>19.927123054398081</v>
      </c>
      <c r="Z25" s="370">
        <f>Z19/Flat!Z$4</f>
        <v>84.338933463017625</v>
      </c>
      <c r="AA25" s="370">
        <f>AA19/Flat!AA$4</f>
        <v>61.798863524958435</v>
      </c>
      <c r="AB25" s="370">
        <f>AB19/Flat!AB$4</f>
        <v>70.540002368298715</v>
      </c>
      <c r="AC25" s="370">
        <f>AC19/Flat!AC$4</f>
        <v>40.071497231460533</v>
      </c>
      <c r="AD25" s="370">
        <f>AD19/Flat!AD$4</f>
        <v>78.088993421479444</v>
      </c>
      <c r="AE25" s="370">
        <f>AE19/Flat!AE$4</f>
        <v>59.587852112977991</v>
      </c>
      <c r="AF25" s="370">
        <f>AF19/Flat!AF$4</f>
        <v>96.998962758051903</v>
      </c>
      <c r="AG25" s="370">
        <f>AG19/Flat!AG$4</f>
        <v>103.45915284136042</v>
      </c>
      <c r="AH25" s="370">
        <f>AH19/Flat!AH$4</f>
        <v>72.779591883899172</v>
      </c>
      <c r="AI25" s="370">
        <f>AI19/Flat!AI$4</f>
        <v>73.745961481616462</v>
      </c>
      <c r="AJ25" s="370">
        <f>AJ19/Flat!AJ$4</f>
        <v>87.976073174246707</v>
      </c>
      <c r="AK25" s="370">
        <f>AK19/Flat!AK$4</f>
        <v>73.660451221862871</v>
      </c>
      <c r="AL25" s="370">
        <f>AL19/Flat!AL$4</f>
        <v>82.196340009236735</v>
      </c>
      <c r="AM25" s="370">
        <f>AM19/Flat!AM$4</f>
        <v>80.900653189322696</v>
      </c>
      <c r="AN25" s="371">
        <f>AN19/Flat!AN$4</f>
        <v>80.900653189322696</v>
      </c>
    </row>
    <row r="26" spans="1:40" s="5" customFormat="1">
      <c r="A26" s="154"/>
      <c r="B26" s="347" t="s">
        <v>5</v>
      </c>
      <c r="C26" s="367" t="s">
        <v>190</v>
      </c>
      <c r="D26" s="369">
        <f>D20/Flat!D$4</f>
        <v>60.137108374218748</v>
      </c>
      <c r="E26" s="370">
        <f>E20/Flat!E$4</f>
        <v>85.105898101303964</v>
      </c>
      <c r="F26" s="370">
        <f>F20/Flat!F$4</f>
        <v>56.370085982185195</v>
      </c>
      <c r="G26" s="370">
        <f>G20/Flat!G$4</f>
        <v>58.58909103498312</v>
      </c>
      <c r="H26" s="370">
        <f>H20/Flat!H$4</f>
        <v>28.081226344708771</v>
      </c>
      <c r="I26" s="370">
        <f>I20/Flat!I$4</f>
        <v>70.718143052916133</v>
      </c>
      <c r="J26" s="370">
        <f>J20/Flat!J$4</f>
        <v>58.332531769443271</v>
      </c>
      <c r="K26" s="370">
        <f>K20/Flat!K$4</f>
        <v>35.914413295246121</v>
      </c>
      <c r="L26" s="370">
        <f>L20/Flat!L$4</f>
        <v>62.017895736614186</v>
      </c>
      <c r="M26" s="370">
        <f>M20/Flat!M$4</f>
        <v>62.360692404694774</v>
      </c>
      <c r="N26" s="370">
        <f>N20/Flat!N$4</f>
        <v>63.734563342451978</v>
      </c>
      <c r="O26" s="370">
        <f>O20/Flat!O$4</f>
        <v>50.726229943634671</v>
      </c>
      <c r="P26" s="370">
        <f>P20/Flat!P$4</f>
        <v>91.113257874216231</v>
      </c>
      <c r="Q26" s="370">
        <f>Q20/Flat!Q$4</f>
        <v>72.999857496767461</v>
      </c>
      <c r="R26" s="370">
        <f>R20/Flat!R$4</f>
        <v>70.819807763398231</v>
      </c>
      <c r="S26" s="370">
        <f>S20/Flat!S$4</f>
        <v>43.501617346533912</v>
      </c>
      <c r="T26" s="370">
        <f>T20/Flat!T$4</f>
        <v>65.733371781698651</v>
      </c>
      <c r="U26" s="370">
        <f>U20/Flat!U$4</f>
        <v>45.917228549951759</v>
      </c>
      <c r="V26" s="370">
        <f>V20/Flat!V$4</f>
        <v>76.703946426951816</v>
      </c>
      <c r="W26" s="370">
        <f>W20/Flat!W$4</f>
        <v>46.715596686612059</v>
      </c>
      <c r="X26" s="370">
        <f>X20/Flat!X$4</f>
        <v>75.093325266751236</v>
      </c>
      <c r="Y26" s="370">
        <f>Y20/Flat!Y$4</f>
        <v>18.819032471702094</v>
      </c>
      <c r="Z26" s="370">
        <f>Z20/Flat!Z$4</f>
        <v>49.952790272614841</v>
      </c>
      <c r="AA26" s="370">
        <f>AA20/Flat!AA$4</f>
        <v>61.798863524958435</v>
      </c>
      <c r="AB26" s="370">
        <f>AB20/Flat!AB$4</f>
        <v>70.540002368298715</v>
      </c>
      <c r="AC26" s="370">
        <f>AC20/Flat!AC$4</f>
        <v>38.616435870954206</v>
      </c>
      <c r="AD26" s="370">
        <f>AD20/Flat!AD$4</f>
        <v>68.564871738155091</v>
      </c>
      <c r="AE26" s="370">
        <f>AE20/Flat!AE$4</f>
        <v>59.587852112977991</v>
      </c>
      <c r="AF26" s="370">
        <f>AF20/Flat!AF$4</f>
        <v>75.918094054138066</v>
      </c>
      <c r="AG26" s="370">
        <f>AG20/Flat!AG$4</f>
        <v>91.605866096378335</v>
      </c>
      <c r="AH26" s="370">
        <f>AH20/Flat!AH$4</f>
        <v>45.564434280527877</v>
      </c>
      <c r="AI26" s="370">
        <f>AI20/Flat!AI$4</f>
        <v>72.476867328315635</v>
      </c>
      <c r="AJ26" s="370">
        <f>AJ20/Flat!AJ$4</f>
        <v>76.733857360906796</v>
      </c>
      <c r="AK26" s="370">
        <f>AK20/Flat!AK$4</f>
        <v>64.087971385316266</v>
      </c>
      <c r="AL26" s="370">
        <f>AL20/Flat!AL$4</f>
        <v>70.961535378303807</v>
      </c>
      <c r="AM26" s="370">
        <f>AM20/Flat!AM$4</f>
        <v>70.562585465009079</v>
      </c>
      <c r="AN26" s="371">
        <f>AN20/Flat!AN$4</f>
        <v>70.562585465009079</v>
      </c>
    </row>
    <row r="27" spans="1:40" s="5" customFormat="1">
      <c r="A27" s="154"/>
      <c r="B27" s="347" t="s">
        <v>6</v>
      </c>
      <c r="C27" s="367" t="s">
        <v>190</v>
      </c>
      <c r="D27" s="369">
        <f>D21/Flat!D$4</f>
        <v>52.697373104559944</v>
      </c>
      <c r="E27" s="370">
        <f>E21/Flat!E$4</f>
        <v>85.105898101303964</v>
      </c>
      <c r="F27" s="370">
        <f>F21/Flat!F$4</f>
        <v>46.154889641776215</v>
      </c>
      <c r="G27" s="370">
        <f>G21/Flat!G$4</f>
        <v>51.340865458891344</v>
      </c>
      <c r="H27" s="370">
        <f>H21/Flat!H$4</f>
        <v>28.081226344708771</v>
      </c>
      <c r="I27" s="370">
        <f>I21/Flat!I$4</f>
        <v>56.202537510105628</v>
      </c>
      <c r="J27" s="370">
        <f>J21/Flat!J$4</f>
        <v>39.692145687507491</v>
      </c>
      <c r="K27" s="370">
        <f>K21/Flat!K$4</f>
        <v>35.914413295246121</v>
      </c>
      <c r="L27" s="370">
        <f>L21/Flat!L$4</f>
        <v>58.431057485478362</v>
      </c>
      <c r="M27" s="370">
        <f>M21/Flat!M$4</f>
        <v>62.360692404694774</v>
      </c>
      <c r="N27" s="370">
        <f>N21/Flat!N$4</f>
        <v>63.283350683828516</v>
      </c>
      <c r="O27" s="370">
        <f>O21/Flat!O$4</f>
        <v>33.995229065412076</v>
      </c>
      <c r="P27" s="370">
        <f>P21/Flat!P$4</f>
        <v>91.113257874216231</v>
      </c>
      <c r="Q27" s="370">
        <f>Q21/Flat!Q$4</f>
        <v>54.786662455280165</v>
      </c>
      <c r="R27" s="370">
        <f>R21/Flat!R$4</f>
        <v>70.819807763398231</v>
      </c>
      <c r="S27" s="370">
        <f>S21/Flat!S$4</f>
        <v>37.907740072158241</v>
      </c>
      <c r="T27" s="370">
        <f>T21/Flat!T$4</f>
        <v>65.192906100817012</v>
      </c>
      <c r="U27" s="370">
        <f>U21/Flat!U$4</f>
        <v>42.043711594124474</v>
      </c>
      <c r="V27" s="370">
        <f>V21/Flat!V$4</f>
        <v>76.703946426951816</v>
      </c>
      <c r="W27" s="370">
        <f>W21/Flat!W$4</f>
        <v>42.279637502137668</v>
      </c>
      <c r="X27" s="370">
        <f>X21/Flat!X$4</f>
        <v>74.598336306268592</v>
      </c>
      <c r="Y27" s="370">
        <f>Y21/Flat!Y$4</f>
        <v>18.607104907470926</v>
      </c>
      <c r="Z27" s="370">
        <f>Z21/Flat!Z$4</f>
        <v>46.464689804195714</v>
      </c>
      <c r="AA27" s="370">
        <f>AA21/Flat!AA$4</f>
        <v>55.914628167835843</v>
      </c>
      <c r="AB27" s="370">
        <f>AB21/Flat!AB$4</f>
        <v>70.540002368298715</v>
      </c>
      <c r="AC27" s="370">
        <f>AC21/Flat!AC$4</f>
        <v>35.411593469922437</v>
      </c>
      <c r="AD27" s="370">
        <f>AD21/Flat!AD$4</f>
        <v>68.564871738155091</v>
      </c>
      <c r="AE27" s="370">
        <f>AE21/Flat!AE$4</f>
        <v>53.914140231260774</v>
      </c>
      <c r="AF27" s="370">
        <f>AF21/Flat!AF$4</f>
        <v>59.062848225094953</v>
      </c>
      <c r="AG27" s="370">
        <f>AG21/Flat!AG$4</f>
        <v>87.186959093750389</v>
      </c>
      <c r="AH27" s="370">
        <f>AH21/Flat!AH$4</f>
        <v>40.432708311636155</v>
      </c>
      <c r="AI27" s="370">
        <f>AI21/Flat!AI$4</f>
        <v>72.476867328315635</v>
      </c>
      <c r="AJ27" s="370">
        <f>AJ21/Flat!AJ$4</f>
        <v>72.313138442381756</v>
      </c>
      <c r="AK27" s="370">
        <f>AK21/Flat!AK$4</f>
        <v>60.328896223855288</v>
      </c>
      <c r="AL27" s="370">
        <f>AL21/Flat!AL$4</f>
        <v>58.04603782257211</v>
      </c>
      <c r="AM27" s="370">
        <f>AM21/Flat!AM$4</f>
        <v>66.497400066625531</v>
      </c>
      <c r="AN27" s="371">
        <f>AN21/Flat!AN$4</f>
        <v>66.497400066625531</v>
      </c>
    </row>
    <row r="28" spans="1:40" s="5" customFormat="1">
      <c r="A28" s="155"/>
      <c r="B28" s="338" t="s">
        <v>7</v>
      </c>
      <c r="C28" s="368" t="s">
        <v>190</v>
      </c>
      <c r="D28" s="378">
        <f>D22/Flat!D$4</f>
        <v>48.926219219458005</v>
      </c>
      <c r="E28" s="379">
        <f>E22/Flat!E$4</f>
        <v>53.849822986339682</v>
      </c>
      <c r="F28" s="379">
        <f>F22/Flat!F$4</f>
        <v>33.190838490972602</v>
      </c>
      <c r="G28" s="379">
        <f>G22/Flat!G$4</f>
        <v>47.666786603848003</v>
      </c>
      <c r="H28" s="379">
        <f>H22/Flat!H$4</f>
        <v>24.91030929905309</v>
      </c>
      <c r="I28" s="379">
        <f>I22/Flat!I$4</f>
        <v>50.377059907191814</v>
      </c>
      <c r="J28" s="379">
        <f>J22/Flat!J$4</f>
        <v>42.879387838526647</v>
      </c>
      <c r="K28" s="379">
        <f>K22/Flat!K$4</f>
        <v>30.705632001262874</v>
      </c>
      <c r="L28" s="379">
        <f>L22/Flat!L$4</f>
        <v>58.431057485478362</v>
      </c>
      <c r="M28" s="379">
        <f>M22/Flat!M$4</f>
        <v>39.918792286424413</v>
      </c>
      <c r="N28" s="379">
        <f>N22/Flat!N$4</f>
        <v>61.124254355386803</v>
      </c>
      <c r="O28" s="379">
        <f>O22/Flat!O$4</f>
        <v>33.347801590973368</v>
      </c>
      <c r="P28" s="379">
        <f>P22/Flat!P$4</f>
        <v>34.285581751705621</v>
      </c>
      <c r="Q28" s="379">
        <f>Q22/Flat!Q$4</f>
        <v>36.093685579336757</v>
      </c>
      <c r="R28" s="379">
        <f>R22/Flat!R$4</f>
        <v>51.810465470785815</v>
      </c>
      <c r="S28" s="379">
        <f>S22/Flat!S$4</f>
        <v>27.982565787822026</v>
      </c>
      <c r="T28" s="379">
        <f>T22/Flat!T$4</f>
        <v>62.716556389110522</v>
      </c>
      <c r="U28" s="379">
        <f>U22/Flat!U$4</f>
        <v>42.043711594124474</v>
      </c>
      <c r="V28" s="379">
        <f>V22/Flat!V$4</f>
        <v>50.702441473460688</v>
      </c>
      <c r="W28" s="379">
        <f>W22/Flat!W$4</f>
        <v>36.257806970722811</v>
      </c>
      <c r="X28" s="379">
        <f>X22/Flat!X$4</f>
        <v>51.801428589386113</v>
      </c>
      <c r="Y28" s="379">
        <f>Y22/Flat!Y$4</f>
        <v>17.523166263692367</v>
      </c>
      <c r="Z28" s="379">
        <f>Z22/Flat!Z$4</f>
        <v>38.007436613783284</v>
      </c>
      <c r="AA28" s="379">
        <f>AA22/Flat!AA$4</f>
        <v>55.914628167835843</v>
      </c>
      <c r="AB28" s="379">
        <f>AB22/Flat!AB$4</f>
        <v>56.521905564947275</v>
      </c>
      <c r="AC28" s="379">
        <f>AC22/Flat!AC$4</f>
        <v>25.075319228167238</v>
      </c>
      <c r="AD28" s="379">
        <f>AD22/Flat!AD$4</f>
        <v>59.434820464312459</v>
      </c>
      <c r="AE28" s="379">
        <f>AE22/Flat!AE$4</f>
        <v>53.914140231260774</v>
      </c>
      <c r="AF28" s="379">
        <f>AF22/Flat!AF$4</f>
        <v>41.052382562055975</v>
      </c>
      <c r="AG28" s="379">
        <f>AG22/Flat!AG$4</f>
        <v>57.496885441886086</v>
      </c>
      <c r="AH28" s="379">
        <f>AH22/Flat!AH$4</f>
        <v>36.767542256533396</v>
      </c>
      <c r="AI28" s="379">
        <f>AI22/Flat!AI$4</f>
        <v>28.331111454966273</v>
      </c>
      <c r="AJ28" s="379">
        <f>AJ22/Flat!AJ$4</f>
        <v>64.27397573849872</v>
      </c>
      <c r="AK28" s="379">
        <f>AK22/Flat!AK$4</f>
        <v>53.529993823465929</v>
      </c>
      <c r="AL28" s="379">
        <f>AL22/Flat!AL$4</f>
        <v>39.518419078714174</v>
      </c>
      <c r="AM28" s="379">
        <f>AM22/Flat!AM$4</f>
        <v>59.104781933383322</v>
      </c>
      <c r="AN28" s="380">
        <f>AN22/Flat!AN$4</f>
        <v>59.104781933383322</v>
      </c>
    </row>
    <row r="29" spans="1:40" s="5" customFormat="1">
      <c r="A29" s="334" t="s">
        <v>299</v>
      </c>
      <c r="B29" s="359" t="s">
        <v>2</v>
      </c>
      <c r="C29" s="366" t="s">
        <v>190</v>
      </c>
      <c r="D29" s="376">
        <f>Flat!D$48-D23</f>
        <v>-0.98651961241723995</v>
      </c>
      <c r="E29" s="376">
        <f>Flat!E$48-E23</f>
        <v>4.6884647570898466</v>
      </c>
      <c r="F29" s="376">
        <f>Flat!F$48-F23</f>
        <v>-0.20332538321760296</v>
      </c>
      <c r="G29" s="376">
        <f>Flat!G$48-G23</f>
        <v>-0.9611251512133947</v>
      </c>
      <c r="H29" s="376">
        <f>Flat!H$48-H23</f>
        <v>0</v>
      </c>
      <c r="I29" s="376">
        <f>Flat!I$48-I23</f>
        <v>0.60723918332102755</v>
      </c>
      <c r="J29" s="376">
        <f>Flat!J$48-J23</f>
        <v>3.992607874924289</v>
      </c>
      <c r="K29" s="376">
        <f>Flat!K$48-K23</f>
        <v>-0.76990533657374272</v>
      </c>
      <c r="L29" s="376">
        <f>Flat!L$48-L23</f>
        <v>-10.199147635139923</v>
      </c>
      <c r="M29" s="376">
        <f>Flat!M$48-M23</f>
        <v>5.861570474787186</v>
      </c>
      <c r="N29" s="376">
        <f>Flat!N$48-N23</f>
        <v>-5.6389422048014666</v>
      </c>
      <c r="O29" s="376">
        <f>Flat!O$48-O23</f>
        <v>5.142410503613803</v>
      </c>
      <c r="P29" s="376">
        <f>Flat!P$48-P23</f>
        <v>0.88491038537549116</v>
      </c>
      <c r="Q29" s="376">
        <f>Flat!Q$48-Q23</f>
        <v>6.9134486458445679</v>
      </c>
      <c r="R29" s="376">
        <f>Flat!R$48-R23</f>
        <v>-1.2193645623927551</v>
      </c>
      <c r="S29" s="376">
        <f>Flat!S$48-S23</f>
        <v>5.9940741732460481</v>
      </c>
      <c r="T29" s="376">
        <f>Flat!T$48-T23</f>
        <v>-4.8879020646691203</v>
      </c>
      <c r="U29" s="376">
        <f>Flat!U$48-U23</f>
        <v>5.962031899442735</v>
      </c>
      <c r="V29" s="376">
        <f>Flat!V$48-V23</f>
        <v>-4.4332538511050643</v>
      </c>
      <c r="W29" s="376">
        <f>Flat!W$48-W23</f>
        <v>6.6718398181139804</v>
      </c>
      <c r="X29" s="376">
        <f>Flat!X$48-X23</f>
        <v>0</v>
      </c>
      <c r="Y29" s="376">
        <f>Flat!Y$48-Y23</f>
        <v>1.828498086259664</v>
      </c>
      <c r="Z29" s="376">
        <f>Flat!Z$48-Z23</f>
        <v>3.9548888565810927</v>
      </c>
      <c r="AA29" s="376">
        <f>Flat!AA$48-AA23</f>
        <v>-1.5501208765141996</v>
      </c>
      <c r="AB29" s="376">
        <f>Flat!AB$48-AB23</f>
        <v>5.2812640186829185</v>
      </c>
      <c r="AC29" s="376">
        <f>Flat!AC$48-AC23</f>
        <v>1.7286252181838861</v>
      </c>
      <c r="AD29" s="376">
        <f>Flat!AD$48-AD23</f>
        <v>-0.61236087927429139</v>
      </c>
      <c r="AE29" s="376">
        <f>Flat!AE$48-AE23</f>
        <v>-1.4946613623349805</v>
      </c>
      <c r="AF29" s="376">
        <f>Flat!AF$48-AF23</f>
        <v>-1.7596421039777681</v>
      </c>
      <c r="AG29" s="376">
        <f>Flat!AG$48-AG23</f>
        <v>5.4240119869421619</v>
      </c>
      <c r="AH29" s="376">
        <f>Flat!AH$48-AH23</f>
        <v>7.4034266880188682</v>
      </c>
      <c r="AI29" s="376">
        <f>Flat!AI$48-AI23</f>
        <v>0.88251744159647671</v>
      </c>
      <c r="AJ29" s="376">
        <f>Flat!AJ$48-AJ23</f>
        <v>1.3656475331686977</v>
      </c>
      <c r="AK29" s="376">
        <f>Flat!AK$48-AK23</f>
        <v>1.0600221478813836</v>
      </c>
      <c r="AL29" s="376">
        <f>Flat!AL$48-AL23</f>
        <v>-0.20680367677124423</v>
      </c>
      <c r="AM29" s="376">
        <f>Flat!AM$48-AM23</f>
        <v>1.2558161949432929</v>
      </c>
      <c r="AN29" s="377">
        <f>Flat!AN$48-AN23</f>
        <v>1.2558161949432929</v>
      </c>
    </row>
    <row r="30" spans="1:40" s="5" customFormat="1">
      <c r="A30" s="154"/>
      <c r="B30" s="347" t="s">
        <v>3</v>
      </c>
      <c r="C30" s="367" t="s">
        <v>190</v>
      </c>
      <c r="D30" s="370">
        <f>Flat!D$49-D24</f>
        <v>-1.0057006793998653</v>
      </c>
      <c r="E30" s="370">
        <f>Flat!E$49-E24</f>
        <v>4.6884647570898466</v>
      </c>
      <c r="F30" s="370">
        <f>Flat!F$49-F24</f>
        <v>-0.20332538321760296</v>
      </c>
      <c r="G30" s="370">
        <f>Flat!G$49-G24</f>
        <v>-0.97981246940972255</v>
      </c>
      <c r="H30" s="370">
        <f>Flat!H$49-H24</f>
        <v>0</v>
      </c>
      <c r="I30" s="370">
        <f>Flat!I$49-I24</f>
        <v>0.61943542362017467</v>
      </c>
      <c r="J30" s="370">
        <f>Flat!J$49-J24</f>
        <v>-0.22579359583697567</v>
      </c>
      <c r="K30" s="370">
        <f>Flat!K$49-K24</f>
        <v>-0.95667908565054205</v>
      </c>
      <c r="L30" s="370">
        <f>Flat!L$49-L24</f>
        <v>-10.199147635139923</v>
      </c>
      <c r="M30" s="370">
        <f>Flat!M$49-M24</f>
        <v>5.986970392085297</v>
      </c>
      <c r="N30" s="370">
        <f>Flat!N$49-N24</f>
        <v>-5.7034376022897249</v>
      </c>
      <c r="O30" s="370">
        <f>Flat!O$49-O24</f>
        <v>5.142410503613803</v>
      </c>
      <c r="P30" s="370">
        <f>Flat!P$49-P24</f>
        <v>0.88491038537549116</v>
      </c>
      <c r="Q30" s="370">
        <f>Flat!Q$49-Q24</f>
        <v>6.8241842587692503</v>
      </c>
      <c r="R30" s="370">
        <f>Flat!R$49-R24</f>
        <v>-1.2193645623927551</v>
      </c>
      <c r="S30" s="370">
        <f>Flat!S$49-S24</f>
        <v>5.9817040809097932</v>
      </c>
      <c r="T30" s="370">
        <f>Flat!T$49-T24</f>
        <v>-4.9434487497288302</v>
      </c>
      <c r="U30" s="370">
        <f>Flat!U$49-U24</f>
        <v>6.0339250871452847</v>
      </c>
      <c r="V30" s="370">
        <f>Flat!V$49-V24</f>
        <v>-4.4332538511050643</v>
      </c>
      <c r="W30" s="370">
        <f>Flat!W$49-W24</f>
        <v>3.9407035174716754</v>
      </c>
      <c r="X30" s="370">
        <f>Flat!X$49-X24</f>
        <v>-1.6991044290902551</v>
      </c>
      <c r="Y30" s="370">
        <f>Flat!Y$49-Y24</f>
        <v>1.8287895568189185</v>
      </c>
      <c r="Z30" s="370">
        <f>Flat!Z$49-Z24</f>
        <v>2.7655046892093651</v>
      </c>
      <c r="AA30" s="370">
        <f>Flat!AA$49-AA24</f>
        <v>-1.9210639520256052</v>
      </c>
      <c r="AB30" s="370">
        <f>Flat!AB$49-AB24</f>
        <v>-0.30445154868753832</v>
      </c>
      <c r="AC30" s="370">
        <f>Flat!AC$49-AC24</f>
        <v>1.8987186535300111</v>
      </c>
      <c r="AD30" s="370">
        <f>Flat!AD$49-AD24</f>
        <v>-1.2437350976150299</v>
      </c>
      <c r="AE30" s="370">
        <f>Flat!AE$49-AE24</f>
        <v>-1.8523330065227412</v>
      </c>
      <c r="AF30" s="370">
        <f>Flat!AF$49-AF24</f>
        <v>-1.7596421039777681</v>
      </c>
      <c r="AG30" s="370">
        <f>Flat!AG$49-AG24</f>
        <v>5.5845813938131386</v>
      </c>
      <c r="AH30" s="370">
        <f>Flat!AH$49-AH24</f>
        <v>6.9595926376871091</v>
      </c>
      <c r="AI30" s="370">
        <f>Flat!AI$49-AI24</f>
        <v>0.88251744159647671</v>
      </c>
      <c r="AJ30" s="370">
        <f>Flat!AJ$49-AJ24</f>
        <v>1.3656475331686977</v>
      </c>
      <c r="AK30" s="370">
        <f>Flat!AK$49-AK24</f>
        <v>1.0600221478813836</v>
      </c>
      <c r="AL30" s="370">
        <f>Flat!AL$49-AL24</f>
        <v>-0.20680367677124423</v>
      </c>
      <c r="AM30" s="370">
        <f>Flat!AM$49-AM24</f>
        <v>1.2558161949432929</v>
      </c>
      <c r="AN30" s="371">
        <f>Flat!AN$49-AN24</f>
        <v>1.2558161949432929</v>
      </c>
    </row>
    <row r="31" spans="1:40" s="5" customFormat="1">
      <c r="A31" s="154"/>
      <c r="B31" s="347" t="s">
        <v>4</v>
      </c>
      <c r="C31" s="367" t="s">
        <v>190</v>
      </c>
      <c r="D31" s="370">
        <f>Flat!D$50-D25</f>
        <v>-2.0874254313758343</v>
      </c>
      <c r="E31" s="370">
        <f>Flat!E$50-E25</f>
        <v>4.6884647570898466</v>
      </c>
      <c r="F31" s="370">
        <f>Flat!F$50-F25</f>
        <v>-0.20542631427429114</v>
      </c>
      <c r="G31" s="370">
        <f>Flat!G$50-G25</f>
        <v>-2.0336920403051693</v>
      </c>
      <c r="H31" s="370">
        <f>Flat!H$50-H25</f>
        <v>3.1161636470335168</v>
      </c>
      <c r="I31" s="370">
        <f>Flat!I$50-I25</f>
        <v>0.61943542362017467</v>
      </c>
      <c r="J31" s="370">
        <f>Flat!J$50-J25</f>
        <v>0.55099219531511778</v>
      </c>
      <c r="K31" s="370">
        <f>Flat!K$50-K25</f>
        <v>-1.1699286031195797</v>
      </c>
      <c r="L31" s="370">
        <f>Flat!L$50-L25</f>
        <v>-10.537301000702222</v>
      </c>
      <c r="M31" s="370">
        <f>Flat!M$50-M25</f>
        <v>5.986970392085297</v>
      </c>
      <c r="N31" s="370">
        <f>Flat!N$50-N25</f>
        <v>-7.6236868815850727</v>
      </c>
      <c r="O31" s="370">
        <f>Flat!O$50-O25</f>
        <v>3.1237444125719591</v>
      </c>
      <c r="P31" s="370">
        <f>Flat!P$50-P25</f>
        <v>0.88491038537549116</v>
      </c>
      <c r="Q31" s="370">
        <f>Flat!Q$50-Q25</f>
        <v>1.2284608660163769</v>
      </c>
      <c r="R31" s="370">
        <f>Flat!R$50-R25</f>
        <v>-1.2507377055302555</v>
      </c>
      <c r="S31" s="370">
        <f>Flat!S$50-S25</f>
        <v>6.1120220842434918</v>
      </c>
      <c r="T31" s="370">
        <f>Flat!T$50-T25</f>
        <v>-6.6397839807370218</v>
      </c>
      <c r="U31" s="370">
        <f>Flat!U$50-U25</f>
        <v>4.3987956392983349</v>
      </c>
      <c r="V31" s="370">
        <f>Flat!V$50-V25</f>
        <v>-7.9432172601536735</v>
      </c>
      <c r="W31" s="370">
        <f>Flat!W$50-W25</f>
        <v>1.2356622072197965</v>
      </c>
      <c r="X31" s="370">
        <f>Flat!X$50-X25</f>
        <v>-1.7208160099909406</v>
      </c>
      <c r="Y31" s="370">
        <f>Flat!Y$50-Y25</f>
        <v>1.9116336661560815</v>
      </c>
      <c r="Z31" s="370">
        <f>Flat!Z$50-Z25</f>
        <v>2.7747197555710272</v>
      </c>
      <c r="AA31" s="370">
        <f>Flat!AA$50-AA25</f>
        <v>-2.3410564010842947</v>
      </c>
      <c r="AB31" s="370">
        <f>Flat!AB$50-AB25</f>
        <v>-2.9231708710318145</v>
      </c>
      <c r="AC31" s="370">
        <f>Flat!AC$50-AC25</f>
        <v>1.9031968878247056</v>
      </c>
      <c r="AD31" s="370">
        <f>Flat!AD$50-AD25</f>
        <v>-1.2437350976150299</v>
      </c>
      <c r="AE31" s="370">
        <f>Flat!AE$50-AE25</f>
        <v>-2.2572991582541491</v>
      </c>
      <c r="AF31" s="370">
        <f>Flat!AF$50-AF25</f>
        <v>-3.5473292025273224</v>
      </c>
      <c r="AG31" s="370">
        <f>Flat!AG$50-AG25</f>
        <v>5.5845813938131386</v>
      </c>
      <c r="AH31" s="370">
        <f>Flat!AH$50-AH25</f>
        <v>5.2227535379607133</v>
      </c>
      <c r="AI31" s="370">
        <f>Flat!AI$50-AI25</f>
        <v>0.88251744159647671</v>
      </c>
      <c r="AJ31" s="370">
        <f>Flat!AJ$50-AJ25</f>
        <v>1.3656475331686977</v>
      </c>
      <c r="AK31" s="370">
        <f>Flat!AK$50-AK25</f>
        <v>1.0600221478813836</v>
      </c>
      <c r="AL31" s="370">
        <f>Flat!AL$50-AL25</f>
        <v>-0.20902808177551435</v>
      </c>
      <c r="AM31" s="370">
        <f>Flat!AM$50-AM25</f>
        <v>1.2558161949432929</v>
      </c>
      <c r="AN31" s="371">
        <f>Flat!AN$50-AN25</f>
        <v>1.2558161949432929</v>
      </c>
    </row>
    <row r="32" spans="1:40" s="5" customFormat="1">
      <c r="A32" s="154"/>
      <c r="B32" s="347" t="s">
        <v>5</v>
      </c>
      <c r="C32" s="367" t="s">
        <v>190</v>
      </c>
      <c r="D32" s="370">
        <f>Flat!D$51-D26</f>
        <v>-4.9884113252983369</v>
      </c>
      <c r="E32" s="370">
        <f>Flat!E$51-E26</f>
        <v>3.4701726189870072</v>
      </c>
      <c r="F32" s="370">
        <f>Flat!F$51-F26</f>
        <v>-0.2109302234685515</v>
      </c>
      <c r="G32" s="370">
        <f>Flat!G$51-G26</f>
        <v>-4.8600023040539426</v>
      </c>
      <c r="H32" s="370">
        <f>Flat!H$51-H26</f>
        <v>3.1283430909132974</v>
      </c>
      <c r="I32" s="370">
        <f>Flat!I$51-I26</f>
        <v>0.6304713030657183</v>
      </c>
      <c r="J32" s="370">
        <f>Flat!J$51-J26</f>
        <v>-0.73647638317299879</v>
      </c>
      <c r="K32" s="370">
        <f>Flat!K$51-K26</f>
        <v>-1.6763429315637879</v>
      </c>
      <c r="L32" s="370">
        <f>Flat!L$51-L26</f>
        <v>-17.790106619317122</v>
      </c>
      <c r="M32" s="370">
        <f>Flat!M$51-M26</f>
        <v>1.2743830099113751</v>
      </c>
      <c r="N32" s="370">
        <f>Flat!N$51-N26</f>
        <v>-11.45916412575658</v>
      </c>
      <c r="O32" s="370">
        <f>Flat!O$51-O26</f>
        <v>1.3579032135403608</v>
      </c>
      <c r="P32" s="370">
        <f>Flat!P$51-P26</f>
        <v>0.88800763974469987</v>
      </c>
      <c r="Q32" s="370">
        <f>Flat!Q$51-Q26</f>
        <v>1.2284608660163769</v>
      </c>
      <c r="R32" s="370">
        <f>Flat!R$51-R26</f>
        <v>-1.3202351246676187</v>
      </c>
      <c r="S32" s="370">
        <f>Flat!S$51-S26</f>
        <v>2.697088030275296</v>
      </c>
      <c r="T32" s="370">
        <f>Flat!T$51-T26</f>
        <v>-10.029639083924607</v>
      </c>
      <c r="U32" s="370">
        <f>Flat!U$51-U26</f>
        <v>1.3249261491440691</v>
      </c>
      <c r="V32" s="370">
        <f>Flat!V$51-V26</f>
        <v>-7.9432172601536735</v>
      </c>
      <c r="W32" s="370">
        <f>Flat!W$51-W26</f>
        <v>-2.9498187388795074</v>
      </c>
      <c r="X32" s="370">
        <f>Flat!X$51-X26</f>
        <v>-8.3911974961606148</v>
      </c>
      <c r="Y32" s="370">
        <f>Flat!Y$51-Y26</f>
        <v>1.9314198532194453</v>
      </c>
      <c r="Z32" s="370">
        <f>Flat!Z$51-Z26</f>
        <v>2.757502619638224</v>
      </c>
      <c r="AA32" s="370">
        <f>Flat!AA$51-AA26</f>
        <v>-3.2618850984604109</v>
      </c>
      <c r="AB32" s="370">
        <f>Flat!AB$51-AB26</f>
        <v>-2.9231708710318145</v>
      </c>
      <c r="AC32" s="370">
        <f>Flat!AC$51-AC26</f>
        <v>2.0434068150236229</v>
      </c>
      <c r="AD32" s="370">
        <f>Flat!AD$51-AD26</f>
        <v>-1.9146175346822503</v>
      </c>
      <c r="AE32" s="370">
        <f>Flat!AE$51-AE26</f>
        <v>-3.1451828685828147</v>
      </c>
      <c r="AF32" s="370">
        <f>Flat!AF$51-AF26</f>
        <v>-6.8505795085367822</v>
      </c>
      <c r="AG32" s="370">
        <f>Flat!AG$51-AG26</f>
        <v>1.1475343602808721</v>
      </c>
      <c r="AH32" s="370">
        <f>Flat!AH$51-AH26</f>
        <v>5.1376143598873512</v>
      </c>
      <c r="AI32" s="370">
        <f>Flat!AI$51-AI26</f>
        <v>0.88541937285721417</v>
      </c>
      <c r="AJ32" s="370">
        <f>Flat!AJ$51-AJ26</f>
        <v>1.4013174823092243</v>
      </c>
      <c r="AK32" s="370">
        <f>Flat!AK$51-AK26</f>
        <v>1.0882399361622674</v>
      </c>
      <c r="AL32" s="370">
        <f>Flat!AL$51-AL26</f>
        <v>-0.21497243905217545</v>
      </c>
      <c r="AM32" s="370">
        <f>Flat!AM$51-AM26</f>
        <v>1.2886174110078628</v>
      </c>
      <c r="AN32" s="371">
        <f>Flat!AN$51-AN26</f>
        <v>1.2886174110078628</v>
      </c>
    </row>
    <row r="33" spans="1:40" s="5" customFormat="1">
      <c r="A33" s="154"/>
      <c r="B33" s="347" t="s">
        <v>6</v>
      </c>
      <c r="C33" s="367" t="s">
        <v>190</v>
      </c>
      <c r="D33" s="370">
        <f>Flat!D$52-D27</f>
        <v>-6.2753041961098859</v>
      </c>
      <c r="E33" s="370">
        <f>Flat!E$52-E27</f>
        <v>3.4701726189870072</v>
      </c>
      <c r="F33" s="370">
        <f>Flat!F$52-F27</f>
        <v>-0.21913904774337567</v>
      </c>
      <c r="G33" s="370">
        <f>Flat!G$52-G27</f>
        <v>-6.1137686656000554</v>
      </c>
      <c r="H33" s="370">
        <f>Flat!H$52-H27</f>
        <v>-1.1258437182927032</v>
      </c>
      <c r="I33" s="370">
        <f>Flat!I$52-I27</f>
        <v>-1.9844314253286868</v>
      </c>
      <c r="J33" s="370">
        <f>Flat!J$52-J27</f>
        <v>-6.8148487855518241</v>
      </c>
      <c r="K33" s="370">
        <f>Flat!K$52-K27</f>
        <v>-1.6763429315637879</v>
      </c>
      <c r="L33" s="370">
        <f>Flat!L$52-L27</f>
        <v>-18.778414081382813</v>
      </c>
      <c r="M33" s="370">
        <f>Flat!M$52-M27</f>
        <v>1.2743830099113751</v>
      </c>
      <c r="N33" s="370">
        <f>Flat!N$52-N27</f>
        <v>-11.476608792663946</v>
      </c>
      <c r="O33" s="370">
        <f>Flat!O$52-O27</f>
        <v>-3.5026534898828601</v>
      </c>
      <c r="P33" s="370">
        <f>Flat!P$52-P27</f>
        <v>0.88800763974469987</v>
      </c>
      <c r="Q33" s="370">
        <f>Flat!Q$52-Q27</f>
        <v>-1.3025273440138108</v>
      </c>
      <c r="R33" s="370">
        <f>Flat!R$52-R27</f>
        <v>-1.3202351246676187</v>
      </c>
      <c r="S33" s="370">
        <f>Flat!S$52-S27</f>
        <v>2.7659625228847986</v>
      </c>
      <c r="T33" s="370">
        <f>Flat!T$52-T27</f>
        <v>-10.047050149219949</v>
      </c>
      <c r="U33" s="370">
        <f>Flat!U$52-U27</f>
        <v>1.3469545435293142</v>
      </c>
      <c r="V33" s="370">
        <f>Flat!V$52-V27</f>
        <v>-7.9432172601536735</v>
      </c>
      <c r="W33" s="370">
        <f>Flat!W$52-W27</f>
        <v>-4.7478553941329906</v>
      </c>
      <c r="X33" s="370">
        <f>Flat!X$52-X27</f>
        <v>-8.4025450572900127</v>
      </c>
      <c r="Y33" s="370">
        <f>Flat!Y$52-Y27</f>
        <v>1.935351912947219</v>
      </c>
      <c r="Z33" s="370">
        <f>Flat!Z$52-Z27</f>
        <v>0.75322948330090611</v>
      </c>
      <c r="AA33" s="370">
        <f>Flat!AA$52-AA27</f>
        <v>-3.3268554650115476</v>
      </c>
      <c r="AB33" s="370">
        <f>Flat!AB$52-AB27</f>
        <v>-2.9231708710318145</v>
      </c>
      <c r="AC33" s="370">
        <f>Flat!AC$52-AC27</f>
        <v>1.9471985122207585</v>
      </c>
      <c r="AD33" s="370">
        <f>Flat!AD$52-AD27</f>
        <v>-1.9146175346822503</v>
      </c>
      <c r="AE33" s="370">
        <f>Flat!AE$52-AE27</f>
        <v>-3.2078287551404188</v>
      </c>
      <c r="AF33" s="370">
        <f>Flat!AF$52-AF27</f>
        <v>-7.2095423967475156</v>
      </c>
      <c r="AG33" s="370">
        <f>Flat!AG$52-AG27</f>
        <v>1.1583090225121424</v>
      </c>
      <c r="AH33" s="370">
        <f>Flat!AH$52-AH27</f>
        <v>-4.2045563451703174</v>
      </c>
      <c r="AI33" s="370">
        <f>Flat!AI$52-AI27</f>
        <v>0.88541937285721417</v>
      </c>
      <c r="AJ33" s="370">
        <f>Flat!AJ$52-AJ27</f>
        <v>1.8882679235767625</v>
      </c>
      <c r="AK33" s="370">
        <f>Flat!AK$52-AK27</f>
        <v>1.4667775194534727</v>
      </c>
      <c r="AL33" s="370">
        <f>Flat!AL$52-AL27</f>
        <v>-0.223375662795263</v>
      </c>
      <c r="AM33" s="370">
        <f>Flat!AM$52-AM27</f>
        <v>1.7364051713383759</v>
      </c>
      <c r="AN33" s="371">
        <f>Flat!AN$52-AN27</f>
        <v>1.7364051713383759</v>
      </c>
    </row>
    <row r="34" spans="1:40" s="5" customFormat="1">
      <c r="A34" s="155"/>
      <c r="B34" s="338" t="s">
        <v>7</v>
      </c>
      <c r="C34" s="368" t="s">
        <v>190</v>
      </c>
      <c r="D34" s="379">
        <f>Flat!D$53-D28</f>
        <v>-6.960043831807198</v>
      </c>
      <c r="E34" s="379">
        <f>Flat!E$53-E28</f>
        <v>-0.97300515766645645</v>
      </c>
      <c r="F34" s="379">
        <f>Flat!F$53-F28</f>
        <v>-2.2303004942998506</v>
      </c>
      <c r="G34" s="379">
        <f>Flat!G$53-G28</f>
        <v>-6.7808820991473482</v>
      </c>
      <c r="H34" s="379">
        <f>Flat!H$53-H28</f>
        <v>0</v>
      </c>
      <c r="I34" s="379">
        <f>Flat!I$53-I28</f>
        <v>-6.8225861986263254</v>
      </c>
      <c r="J34" s="379">
        <f>Flat!J$53-J28</f>
        <v>-6.7043634418937827</v>
      </c>
      <c r="K34" s="379">
        <f>Flat!K$53-K28</f>
        <v>-5.4116258848569743</v>
      </c>
      <c r="L34" s="379">
        <f>Flat!L$53-L28</f>
        <v>-18.778414081382813</v>
      </c>
      <c r="M34" s="379">
        <f>Flat!M$53-M28</f>
        <v>0.92469607204133553</v>
      </c>
      <c r="N34" s="379">
        <f>Flat!N$53-N28</f>
        <v>-14.688125357150703</v>
      </c>
      <c r="O34" s="379">
        <f>Flat!O$53-O28</f>
        <v>-3.8611486818686487</v>
      </c>
      <c r="P34" s="379">
        <f>Flat!P$53-P28</f>
        <v>1.0675658499233904</v>
      </c>
      <c r="Q34" s="379">
        <f>Flat!Q$53-Q28</f>
        <v>-4.270995540085277</v>
      </c>
      <c r="R34" s="379">
        <f>Flat!R$53-R28</f>
        <v>-8.5325775187927917</v>
      </c>
      <c r="S34" s="379">
        <f>Flat!S$53-S28</f>
        <v>-0.82743776550631765</v>
      </c>
      <c r="T34" s="379">
        <f>Flat!T$53-T28</f>
        <v>-12.855206139686466</v>
      </c>
      <c r="U34" s="379">
        <f>Flat!U$53-U28</f>
        <v>-0.90254218026227306</v>
      </c>
      <c r="V34" s="379">
        <f>Flat!V$53-V28</f>
        <v>-10.425902405638389</v>
      </c>
      <c r="W34" s="379">
        <f>Flat!W$53-W28</f>
        <v>-6.2617240924854585</v>
      </c>
      <c r="X34" s="379">
        <f>Flat!X$53-X28</f>
        <v>-10.921874857073675</v>
      </c>
      <c r="Y34" s="379">
        <f>Flat!Y$53-Y28</f>
        <v>1.9562732189733367</v>
      </c>
      <c r="Z34" s="379">
        <f>Flat!Z$53-Z28</f>
        <v>-3.0509313365591382</v>
      </c>
      <c r="AA34" s="379">
        <f>Flat!AA$53-AA28</f>
        <v>-10.42229712402488</v>
      </c>
      <c r="AB34" s="379">
        <f>Flat!AB$53-AB28</f>
        <v>-3.0529377071965271</v>
      </c>
      <c r="AC34" s="379">
        <f>Flat!AC$53-AC28</f>
        <v>0.625598217432632</v>
      </c>
      <c r="AD34" s="379">
        <f>Flat!AD$53-AD28</f>
        <v>-8.6270233376820755</v>
      </c>
      <c r="AE34" s="379">
        <f>Flat!AE$53-AE28</f>
        <v>-10.04941295486919</v>
      </c>
      <c r="AF34" s="379">
        <f>Flat!AF$53-AF28</f>
        <v>-9.9630508682702441</v>
      </c>
      <c r="AG34" s="379">
        <f>Flat!AG$53-AG28</f>
        <v>-6.3462225411928301</v>
      </c>
      <c r="AH34" s="379">
        <f>Flat!AH$53-AH28</f>
        <v>-6.2846319883366029</v>
      </c>
      <c r="AI34" s="379">
        <f>Flat!AI$53-AI28</f>
        <v>1.0564041280392225</v>
      </c>
      <c r="AJ34" s="379">
        <f>Flat!AJ$53-AJ28</f>
        <v>-0.4843242389944038</v>
      </c>
      <c r="AK34" s="379">
        <f>Flat!AK$53-AK28</f>
        <v>-0.37625706151258953</v>
      </c>
      <c r="AL34" s="379">
        <f>Flat!AL$53-AL28</f>
        <v>-2.2953687116081269</v>
      </c>
      <c r="AM34" s="379">
        <f>Flat!AM$53-AM28</f>
        <v>-0.44537276871251663</v>
      </c>
      <c r="AN34" s="380">
        <f>Flat!AN$53-AN28</f>
        <v>-0.44537276871251663</v>
      </c>
    </row>
    <row r="35" spans="1:40" s="5" customFormat="1"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</row>
    <row r="36" spans="1:40" s="5" customFormat="1">
      <c r="A36" s="5" t="s">
        <v>224</v>
      </c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</row>
    <row r="37" spans="1:40" s="5" customFormat="1">
      <c r="A37" s="938" t="s">
        <v>123</v>
      </c>
      <c r="B37" s="939"/>
      <c r="C37" s="138" t="s">
        <v>76</v>
      </c>
      <c r="D37" s="194">
        <v>1</v>
      </c>
      <c r="E37" s="195">
        <v>1</v>
      </c>
      <c r="F37" s="195">
        <v>1</v>
      </c>
      <c r="G37" s="195">
        <v>1</v>
      </c>
      <c r="H37" s="195">
        <v>1</v>
      </c>
      <c r="I37" s="195">
        <v>1</v>
      </c>
      <c r="J37" s="195">
        <v>1</v>
      </c>
      <c r="K37" s="195">
        <v>1</v>
      </c>
      <c r="L37" s="195">
        <v>1</v>
      </c>
      <c r="M37" s="195">
        <v>1</v>
      </c>
      <c r="N37" s="195">
        <v>1</v>
      </c>
      <c r="O37" s="195">
        <v>1</v>
      </c>
      <c r="P37" s="195">
        <v>1</v>
      </c>
      <c r="Q37" s="195">
        <v>1</v>
      </c>
      <c r="R37" s="195">
        <v>1</v>
      </c>
      <c r="S37" s="195">
        <v>1</v>
      </c>
      <c r="T37" s="195">
        <v>1</v>
      </c>
      <c r="U37" s="195">
        <v>1</v>
      </c>
      <c r="V37" s="195">
        <v>1</v>
      </c>
      <c r="W37" s="195">
        <v>1</v>
      </c>
      <c r="X37" s="195">
        <v>1</v>
      </c>
      <c r="Y37" s="195">
        <v>1</v>
      </c>
      <c r="Z37" s="195">
        <v>1</v>
      </c>
      <c r="AA37" s="195">
        <v>1</v>
      </c>
      <c r="AB37" s="195">
        <v>1</v>
      </c>
      <c r="AC37" s="195">
        <v>1</v>
      </c>
      <c r="AD37" s="195">
        <v>1</v>
      </c>
      <c r="AE37" s="195">
        <v>1</v>
      </c>
      <c r="AF37" s="195">
        <v>1</v>
      </c>
      <c r="AG37" s="195">
        <v>1</v>
      </c>
      <c r="AH37" s="195">
        <v>1</v>
      </c>
      <c r="AI37" s="195">
        <v>1</v>
      </c>
      <c r="AJ37" s="195">
        <v>1</v>
      </c>
      <c r="AK37" s="195">
        <v>1</v>
      </c>
      <c r="AL37" s="195">
        <v>1</v>
      </c>
      <c r="AM37" s="195">
        <v>1</v>
      </c>
      <c r="AN37" s="196">
        <v>1</v>
      </c>
    </row>
    <row r="38" spans="1:40" s="5" customFormat="1">
      <c r="A38" s="151" t="s">
        <v>193</v>
      </c>
      <c r="B38" s="141" t="s">
        <v>2</v>
      </c>
      <c r="C38" s="144" t="s">
        <v>195</v>
      </c>
      <c r="D38" s="170">
        <f>((LOOKUP(Flat!D$2,'Ceiling-U'!$A$4:$A$40,'Ceiling-U'!$E$4:$E$40)*Flat!D$15)+(LOOKUP(Flat!D$2,'Floor-U'!$A$4:$A$40,'Floor-U'!$E$4:$E$40)*Flat!D$16)+(LOOKUP(Flat!D$2,'Wall-U'!$A$4:$A$40,'Wall-U'!$E$4:$E$40)*Flat!D$13)+(LOOKUP(Flat!D$2,'Window-U'!$A$4:$A$40,'Window-U'!$R$4:$R$40)*Flat!D$22))*D37</f>
        <v>2477.0684368102293</v>
      </c>
      <c r="E38" s="171">
        <f>((LOOKUP(Flat!E$2,'Ceiling-U'!$A$4:$A$40,'Ceiling-U'!$E$4:$E$40)*Flat!E$15)+(LOOKUP(Flat!E$2,'Floor-U'!$A$4:$A$40,'Floor-U'!$E$4:$E$40)*Flat!E$16)+(LOOKUP(Flat!E$2,'Wall-U'!$A$4:$A$40,'Wall-U'!$E$4:$E$40)*Flat!E$13)+(LOOKUP(Flat!E$2,'Window-U'!$A$4:$A$40,'Window-U'!$R$4:$R$40)*Flat!E$22))*E37</f>
        <v>3003.6059714657667</v>
      </c>
      <c r="F38" s="171">
        <f>((LOOKUP(Flat!F$2,'Ceiling-U'!$A$4:$A$40,'Ceiling-U'!$E$4:$E$40)*Flat!F$15)+(LOOKUP(Flat!F$2,'Floor-U'!$A$4:$A$40,'Floor-U'!$E$4:$E$40)*Flat!F$16)+(LOOKUP(Flat!F$2,'Wall-U'!$A$4:$A$40,'Wall-U'!$E$4:$E$40)*Flat!F$13)+(LOOKUP(Flat!F$2,'Window-U'!$A$4:$A$40,'Window-U'!$R$4:$R$40)*Flat!F$22))*F37</f>
        <v>3778.1014179890412</v>
      </c>
      <c r="G38" s="171">
        <f>((LOOKUP(Flat!G$2,'Ceiling-U'!$A$4:$A$40,'Ceiling-U'!$E$4:$E$40)*Flat!G$15)+(LOOKUP(Flat!G$2,'Floor-U'!$A$4:$A$40,'Floor-U'!$E$4:$E$40)*Flat!G$16)+(LOOKUP(Flat!G$2,'Wall-U'!$A$4:$A$40,'Wall-U'!$E$4:$E$40)*Flat!G$13)+(LOOKUP(Flat!G$2,'Window-U'!$A$4:$A$40,'Window-U'!$R$4:$R$40)*Flat!G$22))*G37</f>
        <v>2477.0684368102293</v>
      </c>
      <c r="H38" s="171">
        <f>((LOOKUP(Flat!H$2,'Ceiling-U'!$A$4:$A$40,'Ceiling-U'!$E$4:$E$40)*Flat!H$15)+(LOOKUP(Flat!H$2,'Floor-U'!$A$4:$A$40,'Floor-U'!$E$4:$E$40)*Flat!H$16)+(LOOKUP(Flat!H$2,'Wall-U'!$A$4:$A$40,'Wall-U'!$E$4:$E$40)*Flat!H$13)+(LOOKUP(Flat!H$2,'Window-U'!$A$4:$A$40,'Window-U'!$R$4:$R$40)*Flat!H$22))*H37</f>
        <v>4093.7460269590297</v>
      </c>
      <c r="I38" s="171">
        <f>((LOOKUP(Flat!I$2,'Ceiling-U'!$A$4:$A$40,'Ceiling-U'!$E$4:$E$40)*Flat!I$15)+(LOOKUP(Flat!I$2,'Floor-U'!$A$4:$A$40,'Floor-U'!$E$4:$E$40)*Flat!I$16)+(LOOKUP(Flat!I$2,'Wall-U'!$A$4:$A$40,'Wall-U'!$E$4:$E$40)*Flat!I$13)+(LOOKUP(Flat!I$2,'Window-U'!$A$4:$A$40,'Window-U'!$R$4:$R$40)*Flat!I$22))*I37</f>
        <v>1572.0521934191602</v>
      </c>
      <c r="J38" s="171">
        <f>((LOOKUP(Flat!J$2,'Ceiling-U'!$A$4:$A$40,'Ceiling-U'!$E$4:$E$40)*Flat!J$15)+(LOOKUP(Flat!J$2,'Floor-U'!$A$4:$A$40,'Floor-U'!$E$4:$E$40)*Flat!J$16)+(LOOKUP(Flat!J$2,'Wall-U'!$A$4:$A$40,'Wall-U'!$E$4:$E$40)*Flat!J$13)+(LOOKUP(Flat!J$2,'Window-U'!$A$4:$A$40,'Window-U'!$R$4:$R$40)*Flat!J$22))*J37</f>
        <v>2676.7587221243048</v>
      </c>
      <c r="K38" s="171">
        <f>((LOOKUP(Flat!K$2,'Ceiling-U'!$A$4:$A$40,'Ceiling-U'!$E$4:$E$40)*Flat!K$15)+(LOOKUP(Flat!K$2,'Floor-U'!$A$4:$A$40,'Floor-U'!$E$4:$E$40)*Flat!K$16)+(LOOKUP(Flat!K$2,'Wall-U'!$A$4:$A$40,'Wall-U'!$E$4:$E$40)*Flat!K$13)+(LOOKUP(Flat!K$2,'Window-U'!$A$4:$A$40,'Window-U'!$R$4:$R$40)*Flat!K$22))*K37</f>
        <v>1987.2192349831757</v>
      </c>
      <c r="L38" s="171">
        <f>((LOOKUP(Flat!L$2,'Ceiling-U'!$A$4:$A$40,'Ceiling-U'!$E$4:$E$40)*Flat!L$15)+(LOOKUP(Flat!L$2,'Floor-U'!$A$4:$A$40,'Floor-U'!$E$4:$E$40)*Flat!L$16)+(LOOKUP(Flat!L$2,'Wall-U'!$A$4:$A$40,'Wall-U'!$E$4:$E$40)*Flat!L$13)+(LOOKUP(Flat!L$2,'Window-U'!$A$4:$A$40,'Window-U'!$R$4:$R$40)*Flat!L$22))*L37</f>
        <v>805.72600802657837</v>
      </c>
      <c r="M38" s="171">
        <f>((LOOKUP(Flat!M$2,'Ceiling-U'!$A$4:$A$40,'Ceiling-U'!$E$4:$E$40)*Flat!M$15)+(LOOKUP(Flat!M$2,'Floor-U'!$A$4:$A$40,'Floor-U'!$E$4:$E$40)*Flat!M$16)+(LOOKUP(Flat!M$2,'Wall-U'!$A$4:$A$40,'Wall-U'!$E$4:$E$40)*Flat!M$13)+(LOOKUP(Flat!M$2,'Window-U'!$A$4:$A$40,'Window-U'!$R$4:$R$40)*Flat!M$22))*M37</f>
        <v>2843.361839329556</v>
      </c>
      <c r="N38" s="171">
        <f>((LOOKUP(Flat!N$2,'Ceiling-U'!$A$4:$A$40,'Ceiling-U'!$E$4:$E$40)*Flat!N$15)+(LOOKUP(Flat!N$2,'Floor-U'!$A$4:$A$40,'Floor-U'!$E$4:$E$40)*Flat!N$16)+(LOOKUP(Flat!N$2,'Wall-U'!$A$4:$A$40,'Wall-U'!$E$4:$E$40)*Flat!N$13)+(LOOKUP(Flat!N$2,'Window-U'!$A$4:$A$40,'Window-U'!$R$4:$R$40)*Flat!N$22))*N37</f>
        <v>1941.5372605756675</v>
      </c>
      <c r="O38" s="171">
        <f>((LOOKUP(Flat!O$2,'Ceiling-U'!$A$4:$A$40,'Ceiling-U'!$E$4:$E$40)*Flat!O$15)+(LOOKUP(Flat!O$2,'Floor-U'!$A$4:$A$40,'Floor-U'!$E$4:$E$40)*Flat!O$16)+(LOOKUP(Flat!O$2,'Wall-U'!$A$4:$A$40,'Wall-U'!$E$4:$E$40)*Flat!O$13)+(LOOKUP(Flat!O$2,'Window-U'!$A$4:$A$40,'Window-U'!$R$4:$R$40)*Flat!O$22))*O37</f>
        <v>3855.8577587770546</v>
      </c>
      <c r="P38" s="171">
        <f>((LOOKUP(Flat!P$2,'Ceiling-U'!$A$4:$A$40,'Ceiling-U'!$E$4:$E$40)*Flat!P$15)+(LOOKUP(Flat!P$2,'Floor-U'!$A$4:$A$40,'Floor-U'!$E$4:$E$40)*Flat!P$16)+(LOOKUP(Flat!P$2,'Wall-U'!$A$4:$A$40,'Wall-U'!$E$4:$E$40)*Flat!P$13)+(LOOKUP(Flat!P$2,'Window-U'!$A$4:$A$40,'Window-U'!$R$4:$R$40)*Flat!P$22))*P37</f>
        <v>2616.3934065809658</v>
      </c>
      <c r="Q38" s="171">
        <f>((LOOKUP(Flat!Q$2,'Ceiling-U'!$A$4:$A$40,'Ceiling-U'!$E$4:$E$40)*Flat!Q$15)+(LOOKUP(Flat!Q$2,'Floor-U'!$A$4:$A$40,'Floor-U'!$E$4:$E$40)*Flat!Q$16)+(LOOKUP(Flat!Q$2,'Wall-U'!$A$4:$A$40,'Wall-U'!$E$4:$E$40)*Flat!Q$13)+(LOOKUP(Flat!Q$2,'Window-U'!$A$4:$A$40,'Window-U'!$R$4:$R$40)*Flat!Q$22))*Q37</f>
        <v>2005.1204905322325</v>
      </c>
      <c r="R38" s="171">
        <f>((LOOKUP(Flat!R$2,'Ceiling-U'!$A$4:$A$40,'Ceiling-U'!$E$4:$E$40)*Flat!R$15)+(LOOKUP(Flat!R$2,'Floor-U'!$A$4:$A$40,'Floor-U'!$E$4:$E$40)*Flat!R$16)+(LOOKUP(Flat!R$2,'Wall-U'!$A$4:$A$40,'Wall-U'!$E$4:$E$40)*Flat!R$13)+(LOOKUP(Flat!R$2,'Window-U'!$A$4:$A$40,'Window-U'!$R$4:$R$40)*Flat!R$22))*R37</f>
        <v>1983.1230832020108</v>
      </c>
      <c r="S38" s="171">
        <f>((LOOKUP(Flat!S$2,'Ceiling-U'!$A$4:$A$40,'Ceiling-U'!$E$4:$E$40)*Flat!S$15)+(LOOKUP(Flat!S$2,'Floor-U'!$A$4:$A$40,'Floor-U'!$E$4:$E$40)*Flat!S$16)+(LOOKUP(Flat!S$2,'Wall-U'!$A$4:$A$40,'Wall-U'!$E$4:$E$40)*Flat!S$13)+(LOOKUP(Flat!S$2,'Window-U'!$A$4:$A$40,'Window-U'!$R$4:$R$40)*Flat!S$22))*S37</f>
        <v>7159.5491444855797</v>
      </c>
      <c r="T38" s="171">
        <f>((LOOKUP(Flat!T$2,'Ceiling-U'!$A$4:$A$40,'Ceiling-U'!$E$4:$E$40)*Flat!T$15)+(LOOKUP(Flat!T$2,'Floor-U'!$A$4:$A$40,'Floor-U'!$E$4:$E$40)*Flat!T$16)+(LOOKUP(Flat!T$2,'Wall-U'!$A$4:$A$40,'Wall-U'!$E$4:$E$40)*Flat!T$13)+(LOOKUP(Flat!T$2,'Window-U'!$A$4:$A$40,'Window-U'!$R$4:$R$40)*Flat!T$22))*T37</f>
        <v>1016.3323910130757</v>
      </c>
      <c r="U38" s="171">
        <f>((LOOKUP(Flat!U$2,'Ceiling-U'!$A$4:$A$40,'Ceiling-U'!$E$4:$E$40)*Flat!U$15)+(LOOKUP(Flat!U$2,'Floor-U'!$A$4:$A$40,'Floor-U'!$E$4:$E$40)*Flat!U$16)+(LOOKUP(Flat!U$2,'Wall-U'!$A$4:$A$40,'Wall-U'!$E$4:$E$40)*Flat!U$13)+(LOOKUP(Flat!U$2,'Window-U'!$A$4:$A$40,'Window-U'!$R$4:$R$40)*Flat!U$22))*U37</f>
        <v>3637.8345131495862</v>
      </c>
      <c r="V38" s="171">
        <f>((LOOKUP(Flat!V$2,'Ceiling-U'!$A$4:$A$40,'Ceiling-U'!$E$4:$E$40)*Flat!V$15)+(LOOKUP(Flat!V$2,'Floor-U'!$A$4:$A$40,'Floor-U'!$E$4:$E$40)*Flat!V$16)+(LOOKUP(Flat!V$2,'Wall-U'!$A$4:$A$40,'Wall-U'!$E$4:$E$40)*Flat!V$13)+(LOOKUP(Flat!V$2,'Window-U'!$A$4:$A$40,'Window-U'!$R$4:$R$40)*Flat!V$22))*V37</f>
        <v>1461.2671045766331</v>
      </c>
      <c r="W38" s="171">
        <f>((LOOKUP(Flat!W$2,'Ceiling-U'!$A$4:$A$40,'Ceiling-U'!$E$4:$E$40)*Flat!W$15)+(LOOKUP(Flat!W$2,'Floor-U'!$A$4:$A$40,'Floor-U'!$E$4:$E$40)*Flat!W$16)+(LOOKUP(Flat!W$2,'Wall-U'!$A$4:$A$40,'Wall-U'!$E$4:$E$40)*Flat!W$13)+(LOOKUP(Flat!W$2,'Window-U'!$A$4:$A$40,'Window-U'!$R$4:$R$40)*Flat!W$22))*W37</f>
        <v>2336.3221459866509</v>
      </c>
      <c r="X38" s="171">
        <f>((LOOKUP(Flat!X$2,'Ceiling-U'!$A$4:$A$40,'Ceiling-U'!$E$4:$E$40)*Flat!X$15)+(LOOKUP(Flat!X$2,'Floor-U'!$A$4:$A$40,'Floor-U'!$E$4:$E$40)*Flat!X$16)+(LOOKUP(Flat!X$2,'Wall-U'!$A$4:$A$40,'Wall-U'!$E$4:$E$40)*Flat!X$13)+(LOOKUP(Flat!X$2,'Window-U'!$A$4:$A$40,'Window-U'!$R$4:$R$40)*Flat!X$22))*X37</f>
        <v>1514.5433489193808</v>
      </c>
      <c r="Y38" s="171">
        <f>((LOOKUP(Flat!Y$2,'Ceiling-U'!$A$4:$A$40,'Ceiling-U'!$E$4:$E$40)*Flat!Y$15)+(LOOKUP(Flat!Y$2,'Floor-U'!$A$4:$A$40,'Floor-U'!$E$4:$E$40)*Flat!Y$16)+(LOOKUP(Flat!Y$2,'Wall-U'!$A$4:$A$40,'Wall-U'!$E$4:$E$40)*Flat!Y$13)+(LOOKUP(Flat!Y$2,'Window-U'!$A$4:$A$40,'Window-U'!$R$4:$R$40)*Flat!Y$22))*Y37</f>
        <v>5041.5783170475779</v>
      </c>
      <c r="Z38" s="171">
        <f>((LOOKUP(Flat!Z$2,'Ceiling-U'!$A$4:$A$40,'Ceiling-U'!$E$4:$E$40)*Flat!Z$15)+(LOOKUP(Flat!Z$2,'Floor-U'!$A$4:$A$40,'Floor-U'!$E$4:$E$40)*Flat!Z$16)+(LOOKUP(Flat!Z$2,'Wall-U'!$A$4:$A$40,'Wall-U'!$E$4:$E$40)*Flat!Z$13)+(LOOKUP(Flat!Z$2,'Window-U'!$A$4:$A$40,'Window-U'!$R$4:$R$40)*Flat!Z$22))*Z37</f>
        <v>3210.1971023184142</v>
      </c>
      <c r="AA38" s="171">
        <f>((LOOKUP(Flat!AA$2,'Ceiling-U'!$A$4:$A$40,'Ceiling-U'!$E$4:$E$40)*Flat!AA$15)+(LOOKUP(Flat!AA$2,'Floor-U'!$A$4:$A$40,'Floor-U'!$E$4:$E$40)*Flat!AA$16)+(LOOKUP(Flat!AA$2,'Wall-U'!$A$4:$A$40,'Wall-U'!$E$4:$E$40)*Flat!AA$13)+(LOOKUP(Flat!AA$2,'Window-U'!$A$4:$A$40,'Window-U'!$R$4:$R$40)*Flat!AA$22))*AA37</f>
        <v>905.4328350713896</v>
      </c>
      <c r="AB38" s="171">
        <f>((LOOKUP(Flat!AB$2,'Ceiling-U'!$A$4:$A$40,'Ceiling-U'!$E$4:$E$40)*Flat!AB$15)+(LOOKUP(Flat!AB$2,'Floor-U'!$A$4:$A$40,'Floor-U'!$E$4:$E$40)*Flat!AB$16)+(LOOKUP(Flat!AB$2,'Wall-U'!$A$4:$A$40,'Wall-U'!$E$4:$E$40)*Flat!AB$13)+(LOOKUP(Flat!AB$2,'Window-U'!$A$4:$A$40,'Window-U'!$R$4:$R$40)*Flat!AB$22))*AB37</f>
        <v>3106.9863537257152</v>
      </c>
      <c r="AC38" s="171">
        <f>((LOOKUP(Flat!AC$2,'Ceiling-U'!$A$4:$A$40,'Ceiling-U'!$E$4:$E$40)*Flat!AC$15)+(LOOKUP(Flat!AC$2,'Floor-U'!$A$4:$A$40,'Floor-U'!$E$4:$E$40)*Flat!AC$16)+(LOOKUP(Flat!AC$2,'Wall-U'!$A$4:$A$40,'Wall-U'!$E$4:$E$40)*Flat!AC$13)+(LOOKUP(Flat!AC$2,'Window-U'!$A$4:$A$40,'Window-U'!$R$4:$R$40)*Flat!AC$22))*AC37</f>
        <v>4391.3633643976837</v>
      </c>
      <c r="AD38" s="171">
        <f>((LOOKUP(Flat!AD$2,'Ceiling-U'!$A$4:$A$40,'Ceiling-U'!$E$4:$E$40)*Flat!AD$15)+(LOOKUP(Flat!AD$2,'Floor-U'!$A$4:$A$40,'Floor-U'!$E$4:$E$40)*Flat!AD$16)+(LOOKUP(Flat!AD$2,'Wall-U'!$A$4:$A$40,'Wall-U'!$E$4:$E$40)*Flat!AD$13)+(LOOKUP(Flat!AD$2,'Window-U'!$A$4:$A$40,'Window-U'!$R$4:$R$40)*Flat!AD$22))*AD37</f>
        <v>6089.2293684085389</v>
      </c>
      <c r="AE38" s="171">
        <f>((LOOKUP(Flat!AE$2,'Ceiling-U'!$A$4:$A$40,'Ceiling-U'!$E$4:$E$40)*Flat!AE$15)+(LOOKUP(Flat!AE$2,'Floor-U'!$A$4:$A$40,'Floor-U'!$E$4:$E$40)*Flat!AE$16)+(LOOKUP(Flat!AE$2,'Wall-U'!$A$4:$A$40,'Wall-U'!$E$4:$E$40)*Flat!AE$13)+(LOOKUP(Flat!AE$2,'Window-U'!$A$4:$A$40,'Window-U'!$R$4:$R$40)*Flat!AE$22))*AE37</f>
        <v>905.4328350713896</v>
      </c>
      <c r="AF38" s="171">
        <f>((LOOKUP(Flat!AF$2,'Ceiling-U'!$A$4:$A$40,'Ceiling-U'!$E$4:$E$40)*Flat!AF$15)+(LOOKUP(Flat!AF$2,'Floor-U'!$A$4:$A$40,'Floor-U'!$E$4:$E$40)*Flat!AF$16)+(LOOKUP(Flat!AF$2,'Wall-U'!$A$4:$A$40,'Wall-U'!$E$4:$E$40)*Flat!AF$13)+(LOOKUP(Flat!AF$2,'Window-U'!$A$4:$A$40,'Window-U'!$R$4:$R$40)*Flat!AF$22))*AF37</f>
        <v>1924.8816839383105</v>
      </c>
      <c r="AG38" s="171">
        <f>((LOOKUP(Flat!AG$2,'Ceiling-U'!$A$4:$A$40,'Ceiling-U'!$E$4:$E$40)*Flat!AG$15)+(LOOKUP(Flat!AG$2,'Floor-U'!$A$4:$A$40,'Floor-U'!$E$4:$E$40)*Flat!AG$16)+(LOOKUP(Flat!AG$2,'Wall-U'!$A$4:$A$40,'Wall-U'!$E$4:$E$40)*Flat!AG$13)+(LOOKUP(Flat!AG$2,'Window-U'!$A$4:$A$40,'Window-U'!$R$4:$R$40)*Flat!AG$22))*AG37</f>
        <v>2545.7858331483767</v>
      </c>
      <c r="AH38" s="171">
        <f>((LOOKUP(Flat!AH$2,'Ceiling-U'!$A$4:$A$40,'Ceiling-U'!$E$4:$E$40)*Flat!AH$15)+(LOOKUP(Flat!AH$2,'Floor-U'!$A$4:$A$40,'Floor-U'!$E$4:$E$40)*Flat!AH$16)+(LOOKUP(Flat!AH$2,'Wall-U'!$A$4:$A$40,'Wall-U'!$E$4:$E$40)*Flat!AH$13)+(LOOKUP(Flat!AH$2,'Window-U'!$A$4:$A$40,'Window-U'!$R$4:$R$40)*Flat!AH$22))*AH37</f>
        <v>5965.6016645007558</v>
      </c>
      <c r="AI38" s="171">
        <f>((LOOKUP(Flat!AI$2,'Ceiling-U'!$A$4:$A$40,'Ceiling-U'!$E$4:$E$40)*Flat!AI$15)+(LOOKUP(Flat!AI$2,'Floor-U'!$A$4:$A$40,'Floor-U'!$E$4:$E$40)*Flat!AI$16)+(LOOKUP(Flat!AI$2,'Wall-U'!$A$4:$A$40,'Wall-U'!$E$4:$E$40)*Flat!AI$13)+(LOOKUP(Flat!AI$2,'Window-U'!$A$4:$A$40,'Window-U'!$R$4:$R$40)*Flat!AI$22))*AI37</f>
        <v>4138.9548853856495</v>
      </c>
      <c r="AJ38" s="171">
        <f>((LOOKUP(Flat!AJ$2,'Ceiling-U'!$A$4:$A$40,'Ceiling-U'!$E$4:$E$40)*Flat!AJ$15)+(LOOKUP(Flat!AJ$2,'Floor-U'!$A$4:$A$40,'Floor-U'!$E$4:$E$40)*Flat!AJ$16)+(LOOKUP(Flat!AJ$2,'Wall-U'!$A$4:$A$40,'Wall-U'!$E$4:$E$40)*Flat!AJ$13)+(LOOKUP(Flat!AJ$2,'Window-U'!$A$4:$A$40,'Window-U'!$R$4:$R$40)*Flat!AJ$22))*AJ37</f>
        <v>2190.2645369594825</v>
      </c>
      <c r="AK38" s="171">
        <f>((LOOKUP(Flat!AK$2,'Ceiling-U'!$A$4:$A$40,'Ceiling-U'!$E$4:$E$40)*Flat!AK$15)+(LOOKUP(Flat!AK$2,'Floor-U'!$A$4:$A$40,'Floor-U'!$E$4:$E$40)*Flat!AK$16)+(LOOKUP(Flat!AK$2,'Wall-U'!$A$4:$A$40,'Wall-U'!$E$4:$E$40)*Flat!AK$13)+(LOOKUP(Flat!AK$2,'Window-U'!$A$4:$A$40,'Window-U'!$R$4:$R$40)*Flat!AK$22))*AK37</f>
        <v>2374.1984471859964</v>
      </c>
      <c r="AL38" s="171">
        <f>((LOOKUP(Flat!AL$2,'Ceiling-U'!$A$4:$A$40,'Ceiling-U'!$E$4:$E$40)*Flat!AL$15)+(LOOKUP(Flat!AL$2,'Floor-U'!$A$4:$A$40,'Floor-U'!$E$4:$E$40)*Flat!AL$16)+(LOOKUP(Flat!AL$2,'Wall-U'!$A$4:$A$40,'Wall-U'!$E$4:$E$40)*Flat!AL$13)+(LOOKUP(Flat!AL$2,'Window-U'!$A$4:$A$40,'Window-U'!$R$4:$R$40)*Flat!AL$22))*AL37</f>
        <v>2399.0929261710116</v>
      </c>
      <c r="AM38" s="171">
        <f>((LOOKUP(Flat!AM$2,'Ceiling-U'!$A$4:$A$40,'Ceiling-U'!$E$4:$E$40)*Flat!AM$15)+(LOOKUP(Flat!AM$2,'Floor-U'!$A$4:$A$40,'Floor-U'!$E$4:$E$40)*Flat!AM$16)+(LOOKUP(Flat!AM$2,'Wall-U'!$A$4:$A$40,'Wall-U'!$E$4:$E$40)*Flat!AM$13)+(LOOKUP(Flat!AM$2,'Window-U'!$A$4:$A$40,'Window-U'!$R$4:$R$40)*Flat!AM$22))*AM37</f>
        <v>2190.2645369594825</v>
      </c>
      <c r="AN38" s="172">
        <f>((LOOKUP(Flat!AN$2,'Ceiling-U'!$A$4:$A$40,'Ceiling-U'!$E$4:$E$40)*Flat!AN$15)+(LOOKUP(Flat!AN$2,'Floor-U'!$A$4:$A$40,'Floor-U'!$E$4:$E$40)*Flat!AN$16)+(LOOKUP(Flat!AN$2,'Wall-U'!$A$4:$A$40,'Wall-U'!$E$4:$E$40)*Flat!AN$13)+(LOOKUP(Flat!AN$2,'Window-U'!$A$4:$A$40,'Window-U'!$R$4:$R$40)*Flat!AN$22))*AN37</f>
        <v>2190.2645369594825</v>
      </c>
    </row>
    <row r="39" spans="1:40" s="5" customFormat="1">
      <c r="A39" s="372"/>
      <c r="B39" s="142" t="s">
        <v>3</v>
      </c>
      <c r="C39" s="131" t="s">
        <v>195</v>
      </c>
      <c r="D39" s="176">
        <f>((LOOKUP(Flat!D$2,'Ceiling-U'!$A$4:$A$40,'Ceiling-U'!$F$4:$F$40)*Flat!D$15)+(LOOKUP(Flat!D$2,'Floor-U'!$A$4:$A$40,'Floor-U'!$F$4:$F$40)*Flat!D$16)+(LOOKUP(Flat!D$2,'Wall-U'!$A$4:$A$40,'Wall-U'!$F$4:$F$40)*Flat!D$13)+(LOOKUP(Flat!D$2,'Window-U'!$A$4:$A$40,'Window-U'!$R$4:$R$40)*Flat!D$22))*D37</f>
        <v>2181.4940332861042</v>
      </c>
      <c r="E39" s="177">
        <f>((LOOKUP(Flat!E$2,'Ceiling-U'!$A$4:$A$40,'Ceiling-U'!$F$4:$F$40)*Flat!E$15)+(LOOKUP(Flat!E$2,'Floor-U'!$A$4:$A$40,'Floor-U'!$F$4:$F$40)*Flat!E$16)+(LOOKUP(Flat!E$2,'Wall-U'!$A$4:$A$40,'Wall-U'!$F$4:$F$40)*Flat!E$13)+(LOOKUP(Flat!E$2,'Window-U'!$A$4:$A$40,'Window-U'!$R$4:$R$40)*Flat!E$22))*E37</f>
        <v>3003.6059714657667</v>
      </c>
      <c r="F39" s="177">
        <f>((LOOKUP(Flat!F$2,'Ceiling-U'!$A$4:$A$40,'Ceiling-U'!$F$4:$F$40)*Flat!F$15)+(LOOKUP(Flat!F$2,'Floor-U'!$A$4:$A$40,'Floor-U'!$F$4:$F$40)*Flat!F$16)+(LOOKUP(Flat!F$2,'Wall-U'!$A$4:$A$40,'Wall-U'!$F$4:$F$40)*Flat!F$13)+(LOOKUP(Flat!F$2,'Window-U'!$A$4:$A$40,'Window-U'!$R$4:$R$40)*Flat!F$22))*F37</f>
        <v>3778.1014179890412</v>
      </c>
      <c r="G39" s="177">
        <f>((LOOKUP(Flat!G$2,'Ceiling-U'!$A$4:$A$40,'Ceiling-U'!$F$4:$F$40)*Flat!G$15)+(LOOKUP(Flat!G$2,'Floor-U'!$A$4:$A$40,'Floor-U'!$F$4:$F$40)*Flat!G$16)+(LOOKUP(Flat!G$2,'Wall-U'!$A$4:$A$40,'Wall-U'!$F$4:$F$40)*Flat!G$13)+(LOOKUP(Flat!G$2,'Window-U'!$A$4:$A$40,'Window-U'!$R$4:$R$40)*Flat!G$22))*G37</f>
        <v>2181.4940332861042</v>
      </c>
      <c r="H39" s="177">
        <f>((LOOKUP(Flat!H$2,'Ceiling-U'!$A$4:$A$40,'Ceiling-U'!$F$4:$F$40)*Flat!H$15)+(LOOKUP(Flat!H$2,'Floor-U'!$A$4:$A$40,'Floor-U'!$F$4:$F$40)*Flat!H$16)+(LOOKUP(Flat!H$2,'Wall-U'!$A$4:$A$40,'Wall-U'!$F$4:$F$40)*Flat!H$13)+(LOOKUP(Flat!H$2,'Window-U'!$A$4:$A$40,'Window-U'!$R$4:$R$40)*Flat!H$22))*H37</f>
        <v>3684.470579544527</v>
      </c>
      <c r="I39" s="177">
        <f>((LOOKUP(Flat!I$2,'Ceiling-U'!$A$4:$A$40,'Ceiling-U'!$F$4:$F$40)*Flat!I$15)+(LOOKUP(Flat!I$2,'Floor-U'!$A$4:$A$40,'Floor-U'!$F$4:$F$40)*Flat!I$16)+(LOOKUP(Flat!I$2,'Wall-U'!$A$4:$A$40,'Wall-U'!$F$4:$F$40)*Flat!I$13)+(LOOKUP(Flat!I$2,'Window-U'!$A$4:$A$40,'Window-U'!$R$4:$R$40)*Flat!I$22))*I37</f>
        <v>1370.6529477898259</v>
      </c>
      <c r="J39" s="177">
        <f>((LOOKUP(Flat!J$2,'Ceiling-U'!$A$4:$A$40,'Ceiling-U'!$F$4:$F$40)*Flat!J$15)+(LOOKUP(Flat!J$2,'Floor-U'!$A$4:$A$40,'Floor-U'!$F$4:$F$40)*Flat!J$16)+(LOOKUP(Flat!J$2,'Wall-U'!$A$4:$A$40,'Wall-U'!$F$4:$F$40)*Flat!J$13)+(LOOKUP(Flat!J$2,'Window-U'!$A$4:$A$40,'Window-U'!$R$4:$R$40)*Flat!J$22))*J37</f>
        <v>2199.3900240307721</v>
      </c>
      <c r="K39" s="177">
        <f>((LOOKUP(Flat!K$2,'Ceiling-U'!$A$4:$A$40,'Ceiling-U'!$F$4:$F$40)*Flat!K$15)+(LOOKUP(Flat!K$2,'Floor-U'!$A$4:$A$40,'Floor-U'!$F$4:$F$40)*Flat!K$16)+(LOOKUP(Flat!K$2,'Wall-U'!$A$4:$A$40,'Wall-U'!$F$4:$F$40)*Flat!K$13)+(LOOKUP(Flat!K$2,'Window-U'!$A$4:$A$40,'Window-U'!$R$4:$R$40)*Flat!K$22))*K37</f>
        <v>1949.6605410777515</v>
      </c>
      <c r="L39" s="177">
        <f>((LOOKUP(Flat!L$2,'Ceiling-U'!$A$4:$A$40,'Ceiling-U'!$F$4:$F$40)*Flat!L$15)+(LOOKUP(Flat!L$2,'Floor-U'!$A$4:$A$40,'Floor-U'!$F$4:$F$40)*Flat!L$16)+(LOOKUP(Flat!L$2,'Wall-U'!$A$4:$A$40,'Wall-U'!$F$4:$F$40)*Flat!L$13)+(LOOKUP(Flat!L$2,'Window-U'!$A$4:$A$40,'Window-U'!$R$4:$R$40)*Flat!L$22))*L37</f>
        <v>805.72600802657837</v>
      </c>
      <c r="M39" s="177">
        <f>((LOOKUP(Flat!M$2,'Ceiling-U'!$A$4:$A$40,'Ceiling-U'!$F$4:$F$40)*Flat!M$15)+(LOOKUP(Flat!M$2,'Floor-U'!$A$4:$A$40,'Floor-U'!$F$4:$F$40)*Flat!M$16)+(LOOKUP(Flat!M$2,'Wall-U'!$A$4:$A$40,'Wall-U'!$F$4:$F$40)*Flat!M$13)+(LOOKUP(Flat!M$2,'Window-U'!$A$4:$A$40,'Window-U'!$R$4:$R$40)*Flat!M$22))*M37</f>
        <v>2468.9001933104578</v>
      </c>
      <c r="N39" s="177">
        <f>((LOOKUP(Flat!N$2,'Ceiling-U'!$A$4:$A$40,'Ceiling-U'!$F$4:$F$40)*Flat!N$15)+(LOOKUP(Flat!N$2,'Floor-U'!$A$4:$A$40,'Floor-U'!$F$4:$F$40)*Flat!N$16)+(LOOKUP(Flat!N$2,'Wall-U'!$A$4:$A$40,'Wall-U'!$F$4:$F$40)*Flat!N$13)+(LOOKUP(Flat!N$2,'Window-U'!$A$4:$A$40,'Window-U'!$R$4:$R$40)*Flat!N$22))*N37</f>
        <v>1789.9014432039562</v>
      </c>
      <c r="O39" s="177">
        <f>((LOOKUP(Flat!O$2,'Ceiling-U'!$A$4:$A$40,'Ceiling-U'!$F$4:$F$40)*Flat!O$15)+(LOOKUP(Flat!O$2,'Floor-U'!$A$4:$A$40,'Floor-U'!$F$4:$F$40)*Flat!O$16)+(LOOKUP(Flat!O$2,'Wall-U'!$A$4:$A$40,'Wall-U'!$F$4:$F$40)*Flat!O$13)+(LOOKUP(Flat!O$2,'Window-U'!$A$4:$A$40,'Window-U'!$R$4:$R$40)*Flat!O$22))*O37</f>
        <v>3855.8577587770546</v>
      </c>
      <c r="P39" s="177">
        <f>((LOOKUP(Flat!P$2,'Ceiling-U'!$A$4:$A$40,'Ceiling-U'!$F$4:$F$40)*Flat!P$15)+(LOOKUP(Flat!P$2,'Floor-U'!$A$4:$A$40,'Floor-U'!$F$4:$F$40)*Flat!P$16)+(LOOKUP(Flat!P$2,'Wall-U'!$A$4:$A$40,'Wall-U'!$F$4:$F$40)*Flat!P$13)+(LOOKUP(Flat!P$2,'Window-U'!$A$4:$A$40,'Window-U'!$R$4:$R$40)*Flat!P$22))*P37</f>
        <v>2616.3934065809658</v>
      </c>
      <c r="Q39" s="177">
        <f>((LOOKUP(Flat!Q$2,'Ceiling-U'!$A$4:$A$40,'Ceiling-U'!$F$4:$F$40)*Flat!Q$15)+(LOOKUP(Flat!Q$2,'Floor-U'!$A$4:$A$40,'Floor-U'!$F$4:$F$40)*Flat!Q$16)+(LOOKUP(Flat!Q$2,'Wall-U'!$A$4:$A$40,'Wall-U'!$F$4:$F$40)*Flat!Q$13)+(LOOKUP(Flat!Q$2,'Window-U'!$A$4:$A$40,'Window-U'!$R$4:$R$40)*Flat!Q$22))*Q37</f>
        <v>2197.1141096952028</v>
      </c>
      <c r="R39" s="177">
        <f>((LOOKUP(Flat!R$2,'Ceiling-U'!$A$4:$A$40,'Ceiling-U'!$F$4:$F$40)*Flat!R$15)+(LOOKUP(Flat!R$2,'Floor-U'!$A$4:$A$40,'Floor-U'!$F$4:$F$40)*Flat!R$16)+(LOOKUP(Flat!R$2,'Wall-U'!$A$4:$A$40,'Wall-U'!$F$4:$F$40)*Flat!R$13)+(LOOKUP(Flat!R$2,'Window-U'!$A$4:$A$40,'Window-U'!$R$4:$R$40)*Flat!R$22))*R37</f>
        <v>1983.1230832020108</v>
      </c>
      <c r="S39" s="177">
        <f>((LOOKUP(Flat!S$2,'Ceiling-U'!$A$4:$A$40,'Ceiling-U'!$F$4:$F$40)*Flat!S$15)+(LOOKUP(Flat!S$2,'Floor-U'!$A$4:$A$40,'Floor-U'!$F$4:$F$40)*Flat!S$16)+(LOOKUP(Flat!S$2,'Wall-U'!$A$4:$A$40,'Wall-U'!$F$4:$F$40)*Flat!S$13)+(LOOKUP(Flat!S$2,'Window-U'!$A$4:$A$40,'Window-U'!$R$4:$R$40)*Flat!S$22))*S37</f>
        <v>7265.394848394988</v>
      </c>
      <c r="T39" s="177">
        <f>((LOOKUP(Flat!T$2,'Ceiling-U'!$A$4:$A$40,'Ceiling-U'!$F$4:$F$40)*Flat!T$15)+(LOOKUP(Flat!T$2,'Floor-U'!$A$4:$A$40,'Floor-U'!$F$4:$F$40)*Flat!T$16)+(LOOKUP(Flat!T$2,'Wall-U'!$A$4:$A$40,'Wall-U'!$F$4:$F$40)*Flat!T$13)+(LOOKUP(Flat!T$2,'Window-U'!$A$4:$A$40,'Window-U'!$R$4:$R$40)*Flat!T$22))*T37</f>
        <v>939.69689827887078</v>
      </c>
      <c r="U39" s="177">
        <f>((LOOKUP(Flat!U$2,'Ceiling-U'!$A$4:$A$40,'Ceiling-U'!$F$4:$F$40)*Flat!U$15)+(LOOKUP(Flat!U$2,'Floor-U'!$A$4:$A$40,'Floor-U'!$F$4:$F$40)*Flat!U$16)+(LOOKUP(Flat!U$2,'Wall-U'!$A$4:$A$40,'Wall-U'!$F$4:$F$40)*Flat!U$13)+(LOOKUP(Flat!U$2,'Window-U'!$A$4:$A$40,'Window-U'!$R$4:$R$40)*Flat!U$22))*U37</f>
        <v>3350.1173450218544</v>
      </c>
      <c r="V39" s="177">
        <f>((LOOKUP(Flat!V$2,'Ceiling-U'!$A$4:$A$40,'Ceiling-U'!$F$4:$F$40)*Flat!V$15)+(LOOKUP(Flat!V$2,'Floor-U'!$A$4:$A$40,'Floor-U'!$F$4:$F$40)*Flat!V$16)+(LOOKUP(Flat!V$2,'Wall-U'!$A$4:$A$40,'Wall-U'!$F$4:$F$40)*Flat!V$13)+(LOOKUP(Flat!V$2,'Window-U'!$A$4:$A$40,'Window-U'!$R$4:$R$40)*Flat!V$22))*V37</f>
        <v>1461.2671045766331</v>
      </c>
      <c r="W39" s="177">
        <f>((LOOKUP(Flat!W$2,'Ceiling-U'!$A$4:$A$40,'Ceiling-U'!$F$4:$F$40)*Flat!W$15)+(LOOKUP(Flat!W$2,'Floor-U'!$A$4:$A$40,'Floor-U'!$F$4:$F$40)*Flat!W$16)+(LOOKUP(Flat!W$2,'Wall-U'!$A$4:$A$40,'Wall-U'!$F$4:$F$40)*Flat!W$13)+(LOOKUP(Flat!W$2,'Window-U'!$A$4:$A$40,'Window-U'!$R$4:$R$40)*Flat!W$22))*W37</f>
        <v>2806.9846828340346</v>
      </c>
      <c r="X39" s="177">
        <f>((LOOKUP(Flat!X$2,'Ceiling-U'!$A$4:$A$40,'Ceiling-U'!$F$4:$F$40)*Flat!X$15)+(LOOKUP(Flat!X$2,'Floor-U'!$A$4:$A$40,'Floor-U'!$F$4:$F$40)*Flat!X$16)+(LOOKUP(Flat!X$2,'Wall-U'!$A$4:$A$40,'Wall-U'!$F$4:$F$40)*Flat!X$13)+(LOOKUP(Flat!X$2,'Window-U'!$A$4:$A$40,'Window-U'!$R$4:$R$40)*Flat!X$22))*X37</f>
        <v>1514.5433489193808</v>
      </c>
      <c r="Y39" s="177">
        <f>((LOOKUP(Flat!Y$2,'Ceiling-U'!$A$4:$A$40,'Ceiling-U'!$F$4:$F$40)*Flat!Y$15)+(LOOKUP(Flat!Y$2,'Floor-U'!$A$4:$A$40,'Floor-U'!$F$4:$F$40)*Flat!Y$16)+(LOOKUP(Flat!Y$2,'Wall-U'!$A$4:$A$40,'Wall-U'!$F$4:$F$40)*Flat!Y$13)+(LOOKUP(Flat!Y$2,'Window-U'!$A$4:$A$40,'Window-U'!$R$4:$R$40)*Flat!Y$22))*Y37</f>
        <v>5036.1963363246896</v>
      </c>
      <c r="Z39" s="177">
        <f>((LOOKUP(Flat!Z$2,'Ceiling-U'!$A$4:$A$40,'Ceiling-U'!$F$4:$F$40)*Flat!Z$15)+(LOOKUP(Flat!Z$2,'Floor-U'!$A$4:$A$40,'Floor-U'!$F$4:$F$40)*Flat!Z$16)+(LOOKUP(Flat!Z$2,'Wall-U'!$A$4:$A$40,'Wall-U'!$F$4:$F$40)*Flat!Z$13)+(LOOKUP(Flat!Z$2,'Window-U'!$A$4:$A$40,'Window-U'!$R$4:$R$40)*Flat!Z$22))*Z37</f>
        <v>2609.0209152151092</v>
      </c>
      <c r="AA39" s="177">
        <f>((LOOKUP(Flat!AA$2,'Ceiling-U'!$A$4:$A$40,'Ceiling-U'!$F$4:$F$40)*Flat!AA$15)+(LOOKUP(Flat!AA$2,'Floor-U'!$A$4:$A$40,'Floor-U'!$F$4:$F$40)*Flat!AA$16)+(LOOKUP(Flat!AA$2,'Wall-U'!$A$4:$A$40,'Wall-U'!$F$4:$F$40)*Flat!AA$13)+(LOOKUP(Flat!AA$2,'Window-U'!$A$4:$A$40,'Window-U'!$R$4:$R$40)*Flat!AA$22))*AA37</f>
        <v>905.4328350713896</v>
      </c>
      <c r="AB39" s="177">
        <f>((LOOKUP(Flat!AB$2,'Ceiling-U'!$A$4:$A$40,'Ceiling-U'!$F$4:$F$40)*Flat!AB$15)+(LOOKUP(Flat!AB$2,'Floor-U'!$A$4:$A$40,'Floor-U'!$F$4:$F$40)*Flat!AB$16)+(LOOKUP(Flat!AB$2,'Wall-U'!$A$4:$A$40,'Wall-U'!$F$4:$F$40)*Flat!AB$13)+(LOOKUP(Flat!AB$2,'Window-U'!$A$4:$A$40,'Window-U'!$R$4:$R$40)*Flat!AB$22))*AB37</f>
        <v>2247.7293611889727</v>
      </c>
      <c r="AC39" s="177">
        <f>((LOOKUP(Flat!AC$2,'Ceiling-U'!$A$4:$A$40,'Ceiling-U'!$F$4:$F$40)*Flat!AC$15)+(LOOKUP(Flat!AC$2,'Floor-U'!$A$4:$A$40,'Floor-U'!$F$4:$F$40)*Flat!AC$16)+(LOOKUP(Flat!AC$2,'Wall-U'!$A$4:$A$40,'Wall-U'!$F$4:$F$40)*Flat!AC$13)+(LOOKUP(Flat!AC$2,'Window-U'!$A$4:$A$40,'Window-U'!$R$4:$R$40)*Flat!AC$22))*AC37</f>
        <v>3717.1981382982626</v>
      </c>
      <c r="AD39" s="177">
        <f>((LOOKUP(Flat!AD$2,'Ceiling-U'!$A$4:$A$40,'Ceiling-U'!$F$4:$F$40)*Flat!AD$15)+(LOOKUP(Flat!AD$2,'Floor-U'!$A$4:$A$40,'Floor-U'!$F$4:$F$40)*Flat!AD$16)+(LOOKUP(Flat!AD$2,'Wall-U'!$A$4:$A$40,'Wall-U'!$F$4:$F$40)*Flat!AD$13)+(LOOKUP(Flat!AD$2,'Window-U'!$A$4:$A$40,'Window-U'!$R$4:$R$40)*Flat!AD$22))*AD37</f>
        <v>5508.9333412497463</v>
      </c>
      <c r="AE39" s="177">
        <f>((LOOKUP(Flat!AE$2,'Ceiling-U'!$A$4:$A$40,'Ceiling-U'!$F$4:$F$40)*Flat!AE$15)+(LOOKUP(Flat!AE$2,'Floor-U'!$A$4:$A$40,'Floor-U'!$F$4:$F$40)*Flat!AE$16)+(LOOKUP(Flat!AE$2,'Wall-U'!$A$4:$A$40,'Wall-U'!$F$4:$F$40)*Flat!AE$13)+(LOOKUP(Flat!AE$2,'Window-U'!$A$4:$A$40,'Window-U'!$R$4:$R$40)*Flat!AE$22))*AE37</f>
        <v>905.4328350713896</v>
      </c>
      <c r="AF39" s="177">
        <f>((LOOKUP(Flat!AF$2,'Ceiling-U'!$A$4:$A$40,'Ceiling-U'!$F$4:$F$40)*Flat!AF$15)+(LOOKUP(Flat!AF$2,'Floor-U'!$A$4:$A$40,'Floor-U'!$F$4:$F$40)*Flat!AF$16)+(LOOKUP(Flat!AF$2,'Wall-U'!$A$4:$A$40,'Wall-U'!$F$4:$F$40)*Flat!AF$13)+(LOOKUP(Flat!AF$2,'Window-U'!$A$4:$A$40,'Window-U'!$R$4:$R$40)*Flat!AF$22))*AF37</f>
        <v>1924.8816839383105</v>
      </c>
      <c r="AG39" s="177">
        <f>((LOOKUP(Flat!AG$2,'Ceiling-U'!$A$4:$A$40,'Ceiling-U'!$F$4:$F$40)*Flat!AG$15)+(LOOKUP(Flat!AG$2,'Floor-U'!$A$4:$A$40,'Floor-U'!$F$4:$F$40)*Flat!AG$16)+(LOOKUP(Flat!AG$2,'Wall-U'!$A$4:$A$40,'Wall-U'!$F$4:$F$40)*Flat!AG$13)+(LOOKUP(Flat!AG$2,'Window-U'!$A$4:$A$40,'Window-U'!$R$4:$R$40)*Flat!AG$22))*AG37</f>
        <v>2085.5886665187008</v>
      </c>
      <c r="AH39" s="177">
        <f>((LOOKUP(Flat!AH$2,'Ceiling-U'!$A$4:$A$40,'Ceiling-U'!$F$4:$F$40)*Flat!AH$15)+(LOOKUP(Flat!AH$2,'Floor-U'!$A$4:$A$40,'Floor-U'!$F$4:$F$40)*Flat!AH$16)+(LOOKUP(Flat!AH$2,'Wall-U'!$A$4:$A$40,'Wall-U'!$F$4:$F$40)*Flat!AH$13)+(LOOKUP(Flat!AH$2,'Window-U'!$A$4:$A$40,'Window-U'!$R$4:$R$40)*Flat!AH$22))*AH37</f>
        <v>6376.3105908567977</v>
      </c>
      <c r="AI39" s="177">
        <f>((LOOKUP(Flat!AI$2,'Ceiling-U'!$A$4:$A$40,'Ceiling-U'!$F$4:$F$40)*Flat!AI$15)+(LOOKUP(Flat!AI$2,'Floor-U'!$A$4:$A$40,'Floor-U'!$F$4:$F$40)*Flat!AI$16)+(LOOKUP(Flat!AI$2,'Wall-U'!$A$4:$A$40,'Wall-U'!$F$4:$F$40)*Flat!AI$13)+(LOOKUP(Flat!AI$2,'Window-U'!$A$4:$A$40,'Window-U'!$R$4:$R$40)*Flat!AI$22))*AI37</f>
        <v>4138.9548853856495</v>
      </c>
      <c r="AJ39" s="177">
        <f>((LOOKUP(Flat!AJ$2,'Ceiling-U'!$A$4:$A$40,'Ceiling-U'!$F$4:$F$40)*Flat!AJ$15)+(LOOKUP(Flat!AJ$2,'Floor-U'!$A$4:$A$40,'Floor-U'!$F$4:$F$40)*Flat!AJ$16)+(LOOKUP(Flat!AJ$2,'Wall-U'!$A$4:$A$40,'Wall-U'!$F$4:$F$40)*Flat!AJ$13)+(LOOKUP(Flat!AJ$2,'Window-U'!$A$4:$A$40,'Window-U'!$R$4:$R$40)*Flat!AJ$22))*AJ37</f>
        <v>2190.2645369594825</v>
      </c>
      <c r="AK39" s="177">
        <f>((LOOKUP(Flat!AK$2,'Ceiling-U'!$A$4:$A$40,'Ceiling-U'!$F$4:$F$40)*Flat!AK$15)+(LOOKUP(Flat!AK$2,'Floor-U'!$A$4:$A$40,'Floor-U'!$F$4:$F$40)*Flat!AK$16)+(LOOKUP(Flat!AK$2,'Wall-U'!$A$4:$A$40,'Wall-U'!$F$4:$F$40)*Flat!AK$13)+(LOOKUP(Flat!AK$2,'Window-U'!$A$4:$A$40,'Window-U'!$R$4:$R$40)*Flat!AK$22))*AK37</f>
        <v>2374.1984471859964</v>
      </c>
      <c r="AL39" s="177">
        <f>((LOOKUP(Flat!AL$2,'Ceiling-U'!$A$4:$A$40,'Ceiling-U'!$F$4:$F$40)*Flat!AL$15)+(LOOKUP(Flat!AL$2,'Floor-U'!$A$4:$A$40,'Floor-U'!$F$4:$F$40)*Flat!AL$16)+(LOOKUP(Flat!AL$2,'Wall-U'!$A$4:$A$40,'Wall-U'!$F$4:$F$40)*Flat!AL$13)+(LOOKUP(Flat!AL$2,'Window-U'!$A$4:$A$40,'Window-U'!$R$4:$R$40)*Flat!AL$22))*AL37</f>
        <v>2399.0929261710116</v>
      </c>
      <c r="AM39" s="177">
        <f>((LOOKUP(Flat!AM$2,'Ceiling-U'!$A$4:$A$40,'Ceiling-U'!$F$4:$F$40)*Flat!AM$15)+(LOOKUP(Flat!AM$2,'Floor-U'!$A$4:$A$40,'Floor-U'!$F$4:$F$40)*Flat!AM$16)+(LOOKUP(Flat!AM$2,'Wall-U'!$A$4:$A$40,'Wall-U'!$F$4:$F$40)*Flat!AM$13)+(LOOKUP(Flat!AM$2,'Window-U'!$A$4:$A$40,'Window-U'!$R$4:$R$40)*Flat!AM$22))*AM37</f>
        <v>2190.2645369594825</v>
      </c>
      <c r="AN39" s="178">
        <f>((LOOKUP(Flat!AN$2,'Ceiling-U'!$A$4:$A$40,'Ceiling-U'!$F$4:$F$40)*Flat!AN$15)+(LOOKUP(Flat!AN$2,'Floor-U'!$A$4:$A$40,'Floor-U'!$F$4:$F$40)*Flat!AN$16)+(LOOKUP(Flat!AN$2,'Wall-U'!$A$4:$A$40,'Wall-U'!$F$4:$F$40)*Flat!AN$13)+(LOOKUP(Flat!AN$2,'Window-U'!$A$4:$A$40,'Window-U'!$R$4:$R$40)*Flat!AN$22))*AN37</f>
        <v>2190.2645369594825</v>
      </c>
    </row>
    <row r="40" spans="1:40" s="5" customFormat="1">
      <c r="A40" s="372"/>
      <c r="B40" s="142" t="s">
        <v>4</v>
      </c>
      <c r="C40" s="131" t="s">
        <v>195</v>
      </c>
      <c r="D40" s="176">
        <f>((LOOKUP(Flat!D$2,'Ceiling-U'!$A$4:$A$40,'Ceiling-U'!$G$4:$G$40)*Flat!D$15)+(LOOKUP(Flat!D$2,'Floor-U'!$A$4:$A$40,'Floor-U'!$G$4:$G$40)*Flat!D$16)+(LOOKUP(Flat!D$2,'Wall-U'!$A$4:$A$40,'Wall-U'!$G$4:$G$40)*Flat!D$13)+(LOOKUP(Flat!D$2,'Window-U'!$A$4:$A$40,'Window-U'!$R$4:$R$40)*Flat!D$22))*D37</f>
        <v>1717.6783637341994</v>
      </c>
      <c r="E40" s="177">
        <f>((LOOKUP(Flat!E$2,'Ceiling-U'!$A$4:$A$40,'Ceiling-U'!$G$4:$G$40)*Flat!E$15)+(LOOKUP(Flat!E$2,'Floor-U'!$A$4:$A$40,'Floor-U'!$G$4:$G$40)*Flat!E$16)+(LOOKUP(Flat!E$2,'Wall-U'!$A$4:$A$40,'Wall-U'!$G$4:$G$40)*Flat!E$13)+(LOOKUP(Flat!E$2,'Window-U'!$A$4:$A$40,'Window-U'!$R$4:$R$40)*Flat!E$22))*E37</f>
        <v>3003.6059714657667</v>
      </c>
      <c r="F40" s="177">
        <f>((LOOKUP(Flat!F$2,'Ceiling-U'!$A$4:$A$40,'Ceiling-U'!$G$4:$G$40)*Flat!F$15)+(LOOKUP(Flat!F$2,'Floor-U'!$A$4:$A$40,'Floor-U'!$G$4:$G$40)*Flat!F$16)+(LOOKUP(Flat!F$2,'Wall-U'!$A$4:$A$40,'Wall-U'!$G$4:$G$40)*Flat!F$13)+(LOOKUP(Flat!F$2,'Window-U'!$A$4:$A$40,'Window-U'!$R$4:$R$40)*Flat!F$22))*F37</f>
        <v>3525.5224187795475</v>
      </c>
      <c r="G40" s="177">
        <f>((LOOKUP(Flat!G$2,'Ceiling-U'!$A$4:$A$40,'Ceiling-U'!$G$4:$G$40)*Flat!G$15)+(LOOKUP(Flat!G$2,'Floor-U'!$A$4:$A$40,'Floor-U'!$G$4:$G$40)*Flat!G$16)+(LOOKUP(Flat!G$2,'Wall-U'!$A$4:$A$40,'Wall-U'!$G$4:$G$40)*Flat!G$13)+(LOOKUP(Flat!G$2,'Window-U'!$A$4:$A$40,'Window-U'!$R$4:$R$40)*Flat!G$22))*G37</f>
        <v>1717.6783637341994</v>
      </c>
      <c r="H40" s="177">
        <f>((LOOKUP(Flat!H$2,'Ceiling-U'!$A$4:$A$40,'Ceiling-U'!$G$4:$G$40)*Flat!H$15)+(LOOKUP(Flat!H$2,'Floor-U'!$A$4:$A$40,'Floor-U'!$G$4:$G$40)*Flat!H$16)+(LOOKUP(Flat!H$2,'Wall-U'!$A$4:$A$40,'Wall-U'!$G$4:$G$40)*Flat!H$13)+(LOOKUP(Flat!H$2,'Window-U'!$A$4:$A$40,'Window-U'!$R$4:$R$40)*Flat!H$22))*H37</f>
        <v>3275.1951321300239</v>
      </c>
      <c r="I40" s="177">
        <f>((LOOKUP(Flat!I$2,'Ceiling-U'!$A$4:$A$40,'Ceiling-U'!$G$4:$G$40)*Flat!I$15)+(LOOKUP(Flat!I$2,'Floor-U'!$A$4:$A$40,'Floor-U'!$G$4:$G$40)*Flat!I$16)+(LOOKUP(Flat!I$2,'Wall-U'!$A$4:$A$40,'Wall-U'!$G$4:$G$40)*Flat!I$13)+(LOOKUP(Flat!I$2,'Window-U'!$A$4:$A$40,'Window-U'!$R$4:$R$40)*Flat!I$22))*I37</f>
        <v>1370.6529477898259</v>
      </c>
      <c r="J40" s="177">
        <f>((LOOKUP(Flat!J$2,'Ceiling-U'!$A$4:$A$40,'Ceiling-U'!$G$4:$G$40)*Flat!J$15)+(LOOKUP(Flat!J$2,'Floor-U'!$A$4:$A$40,'Floor-U'!$G$4:$G$40)*Flat!J$16)+(LOOKUP(Flat!J$2,'Wall-U'!$A$4:$A$40,'Wall-U'!$G$4:$G$40)*Flat!J$13)+(LOOKUP(Flat!J$2,'Window-U'!$A$4:$A$40,'Window-U'!$R$4:$R$40)*Flat!J$22))*J37</f>
        <v>1321.1943887198524</v>
      </c>
      <c r="K40" s="177">
        <f>((LOOKUP(Flat!K$2,'Ceiling-U'!$A$4:$A$40,'Ceiling-U'!$G$4:$G$40)*Flat!K$15)+(LOOKUP(Flat!K$2,'Floor-U'!$A$4:$A$40,'Floor-U'!$G$4:$G$40)*Flat!K$16)+(LOOKUP(Flat!K$2,'Wall-U'!$A$4:$A$40,'Wall-U'!$G$4:$G$40)*Flat!K$13)+(LOOKUP(Flat!K$2,'Window-U'!$A$4:$A$40,'Window-U'!$R$4:$R$40)*Flat!K$22))*K37</f>
        <v>1269.0239825036451</v>
      </c>
      <c r="L40" s="177">
        <f>((LOOKUP(Flat!L$2,'Ceiling-U'!$A$4:$A$40,'Ceiling-U'!$G$4:$G$40)*Flat!L$15)+(LOOKUP(Flat!L$2,'Floor-U'!$A$4:$A$40,'Floor-U'!$G$4:$G$40)*Flat!L$16)+(LOOKUP(Flat!L$2,'Wall-U'!$A$4:$A$40,'Wall-U'!$G$4:$G$40)*Flat!L$13)+(LOOKUP(Flat!L$2,'Window-U'!$A$4:$A$40,'Window-U'!$R$4:$R$40)*Flat!L$22))*L37</f>
        <v>643.96771882451753</v>
      </c>
      <c r="M40" s="177">
        <f>((LOOKUP(Flat!M$2,'Ceiling-U'!$A$4:$A$40,'Ceiling-U'!$G$4:$G$40)*Flat!M$15)+(LOOKUP(Flat!M$2,'Floor-U'!$A$4:$A$40,'Floor-U'!$G$4:$G$40)*Flat!M$16)+(LOOKUP(Flat!M$2,'Wall-U'!$A$4:$A$40,'Wall-U'!$G$4:$G$40)*Flat!M$13)+(LOOKUP(Flat!M$2,'Window-U'!$A$4:$A$40,'Window-U'!$R$4:$R$40)*Flat!M$22))*M37</f>
        <v>2468.9001933104578</v>
      </c>
      <c r="N40" s="177">
        <f>((LOOKUP(Flat!N$2,'Ceiling-U'!$A$4:$A$40,'Ceiling-U'!$G$4:$G$40)*Flat!N$15)+(LOOKUP(Flat!N$2,'Floor-U'!$A$4:$A$40,'Floor-U'!$G$4:$G$40)*Flat!N$16)+(LOOKUP(Flat!N$2,'Wall-U'!$A$4:$A$40,'Wall-U'!$G$4:$G$40)*Flat!N$13)+(LOOKUP(Flat!N$2,'Window-U'!$A$4:$A$40,'Window-U'!$R$4:$R$40)*Flat!N$22))*N37</f>
        <v>1488.9626508885754</v>
      </c>
      <c r="O40" s="177">
        <f>((LOOKUP(Flat!O$2,'Ceiling-U'!$A$4:$A$40,'Ceiling-U'!$G$4:$G$40)*Flat!O$15)+(LOOKUP(Flat!O$2,'Floor-U'!$A$4:$A$40,'Floor-U'!$G$4:$G$40)*Flat!O$16)+(LOOKUP(Flat!O$2,'Wall-U'!$A$4:$A$40,'Wall-U'!$G$4:$G$40)*Flat!O$13)+(LOOKUP(Flat!O$2,'Window-U'!$A$4:$A$40,'Window-U'!$R$4:$R$40)*Flat!O$22))*O37</f>
        <v>1620.0028058608216</v>
      </c>
      <c r="P40" s="177">
        <f>((LOOKUP(Flat!P$2,'Ceiling-U'!$A$4:$A$40,'Ceiling-U'!$G$4:$G$40)*Flat!P$15)+(LOOKUP(Flat!P$2,'Floor-U'!$A$4:$A$40,'Floor-U'!$G$4:$G$40)*Flat!P$16)+(LOOKUP(Flat!P$2,'Wall-U'!$A$4:$A$40,'Wall-U'!$G$4:$G$40)*Flat!P$13)+(LOOKUP(Flat!P$2,'Window-U'!$A$4:$A$40,'Window-U'!$R$4:$R$40)*Flat!P$22))*P37</f>
        <v>2616.3934065809658</v>
      </c>
      <c r="Q40" s="177">
        <f>((LOOKUP(Flat!Q$2,'Ceiling-U'!$A$4:$A$40,'Ceiling-U'!$G$4:$G$40)*Flat!Q$15)+(LOOKUP(Flat!Q$2,'Floor-U'!$A$4:$A$40,'Floor-U'!$G$4:$G$40)*Flat!Q$16)+(LOOKUP(Flat!Q$2,'Wall-U'!$A$4:$A$40,'Wall-U'!$G$4:$G$40)*Flat!Q$13)+(LOOKUP(Flat!Q$2,'Window-U'!$A$4:$A$40,'Window-U'!$R$4:$R$40)*Flat!Q$22))*Q37</f>
        <v>2008.9372299722324</v>
      </c>
      <c r="R40" s="177">
        <f>((LOOKUP(Flat!R$2,'Ceiling-U'!$A$4:$A$40,'Ceiling-U'!$G$4:$G$40)*Flat!R$15)+(LOOKUP(Flat!R$2,'Floor-U'!$A$4:$A$40,'Floor-U'!$G$4:$G$40)*Flat!R$16)+(LOOKUP(Flat!R$2,'Wall-U'!$A$4:$A$40,'Wall-U'!$G$4:$G$40)*Flat!R$13)+(LOOKUP(Flat!R$2,'Window-U'!$A$4:$A$40,'Window-U'!$R$4:$R$40)*Flat!R$22))*R37</f>
        <v>1672.9604045891338</v>
      </c>
      <c r="S40" s="177">
        <f>((LOOKUP(Flat!S$2,'Ceiling-U'!$A$4:$A$40,'Ceiling-U'!$G$4:$G$40)*Flat!S$15)+(LOOKUP(Flat!S$2,'Floor-U'!$A$4:$A$40,'Floor-U'!$G$4:$G$40)*Flat!S$16)+(LOOKUP(Flat!S$2,'Wall-U'!$A$4:$A$40,'Wall-U'!$G$4:$G$40)*Flat!S$13)+(LOOKUP(Flat!S$2,'Window-U'!$A$4:$A$40,'Window-U'!$R$4:$R$40)*Flat!S$22))*S37</f>
        <v>6225.6763534463798</v>
      </c>
      <c r="T40" s="177">
        <f>((LOOKUP(Flat!T$2,'Ceiling-U'!$A$4:$A$40,'Ceiling-U'!$G$4:$G$40)*Flat!T$15)+(LOOKUP(Flat!T$2,'Floor-U'!$A$4:$A$40,'Floor-U'!$G$4:$G$40)*Flat!T$16)+(LOOKUP(Flat!T$2,'Wall-U'!$A$4:$A$40,'Wall-U'!$G$4:$G$40)*Flat!T$13)+(LOOKUP(Flat!T$2,'Window-U'!$A$4:$A$40,'Window-U'!$R$4:$R$40)*Flat!T$22))*T37</f>
        <v>757.39436393382607</v>
      </c>
      <c r="U40" s="177">
        <f>((LOOKUP(Flat!U$2,'Ceiling-U'!$A$4:$A$40,'Ceiling-U'!$G$4:$G$40)*Flat!U$15)+(LOOKUP(Flat!U$2,'Floor-U'!$A$4:$A$40,'Floor-U'!$G$4:$G$40)*Flat!U$16)+(LOOKUP(Flat!U$2,'Wall-U'!$A$4:$A$40,'Wall-U'!$G$4:$G$40)*Flat!U$13)+(LOOKUP(Flat!U$2,'Window-U'!$A$4:$A$40,'Window-U'!$R$4:$R$40)*Flat!U$22))*U37</f>
        <v>3254.7773450218542</v>
      </c>
      <c r="V40" s="177">
        <f>((LOOKUP(Flat!V$2,'Ceiling-U'!$A$4:$A$40,'Ceiling-U'!$G$4:$G$40)*Flat!V$15)+(LOOKUP(Flat!V$2,'Floor-U'!$A$4:$A$40,'Floor-U'!$G$4:$G$40)*Flat!V$16)+(LOOKUP(Flat!V$2,'Wall-U'!$A$4:$A$40,'Wall-U'!$G$4:$G$40)*Flat!V$13)+(LOOKUP(Flat!V$2,'Window-U'!$A$4:$A$40,'Window-U'!$R$4:$R$40)*Flat!V$22))*V37</f>
        <v>918.03049620361799</v>
      </c>
      <c r="W40" s="177">
        <f>((LOOKUP(Flat!W$2,'Ceiling-U'!$A$4:$A$40,'Ceiling-U'!$G$4:$G$40)*Flat!W$15)+(LOOKUP(Flat!W$2,'Floor-U'!$A$4:$A$40,'Floor-U'!$G$4:$G$40)*Flat!W$16)+(LOOKUP(Flat!W$2,'Wall-U'!$A$4:$A$40,'Wall-U'!$G$4:$G$40)*Flat!W$13)+(LOOKUP(Flat!W$2,'Window-U'!$A$4:$A$40,'Window-U'!$R$4:$R$40)*Flat!W$22))*W37</f>
        <v>1332.0875961245997</v>
      </c>
      <c r="X40" s="177">
        <f>((LOOKUP(Flat!X$2,'Ceiling-U'!$A$4:$A$40,'Ceiling-U'!$G$4:$G$40)*Flat!X$15)+(LOOKUP(Flat!X$2,'Floor-U'!$A$4:$A$40,'Floor-U'!$G$4:$G$40)*Flat!X$16)+(LOOKUP(Flat!X$2,'Wall-U'!$A$4:$A$40,'Wall-U'!$G$4:$G$40)*Flat!X$13)+(LOOKUP(Flat!X$2,'Window-U'!$A$4:$A$40,'Window-U'!$R$4:$R$40)*Flat!X$22))*X37</f>
        <v>1389.1140140274426</v>
      </c>
      <c r="Y40" s="177">
        <f>((LOOKUP(Flat!Y$2,'Ceiling-U'!$A$4:$A$40,'Ceiling-U'!$G$4:$G$40)*Flat!Y$15)+(LOOKUP(Flat!Y$2,'Floor-U'!$A$4:$A$40,'Floor-U'!$G$4:$G$40)*Flat!Y$16)+(LOOKUP(Flat!Y$2,'Wall-U'!$A$4:$A$40,'Wall-U'!$G$4:$G$40)*Flat!Y$13)+(LOOKUP(Flat!Y$2,'Window-U'!$A$4:$A$40,'Window-U'!$R$4:$R$40)*Flat!Y$22))*Y37</f>
        <v>3730.2815011183766</v>
      </c>
      <c r="Z40" s="177">
        <f>((LOOKUP(Flat!Z$2,'Ceiling-U'!$A$4:$A$40,'Ceiling-U'!$G$4:$G$40)*Flat!Z$15)+(LOOKUP(Flat!Z$2,'Floor-U'!$A$4:$A$40,'Floor-U'!$G$4:$G$40)*Flat!Z$16)+(LOOKUP(Flat!Z$2,'Wall-U'!$A$4:$A$40,'Wall-U'!$G$4:$G$40)*Flat!Z$13)+(LOOKUP(Flat!Z$2,'Window-U'!$A$4:$A$40,'Window-U'!$R$4:$R$40)*Flat!Z$22))*Z37</f>
        <v>2551.2915594151091</v>
      </c>
      <c r="AA40" s="177">
        <f>((LOOKUP(Flat!AA$2,'Ceiling-U'!$A$4:$A$40,'Ceiling-U'!$G$4:$G$40)*Flat!AA$15)+(LOOKUP(Flat!AA$2,'Floor-U'!$A$4:$A$40,'Floor-U'!$G$4:$G$40)*Flat!AA$16)+(LOOKUP(Flat!AA$2,'Wall-U'!$A$4:$A$40,'Wall-U'!$G$4:$G$40)*Flat!AA$13)+(LOOKUP(Flat!AA$2,'Window-U'!$A$4:$A$40,'Window-U'!$R$4:$R$40)*Flat!AA$22))*AA37</f>
        <v>593.09635159968207</v>
      </c>
      <c r="AB40" s="177">
        <f>((LOOKUP(Flat!AB$2,'Ceiling-U'!$A$4:$A$40,'Ceiling-U'!$G$4:$G$40)*Flat!AB$15)+(LOOKUP(Flat!AB$2,'Floor-U'!$A$4:$A$40,'Floor-U'!$G$4:$G$40)*Flat!AB$16)+(LOOKUP(Flat!AB$2,'Wall-U'!$A$4:$A$40,'Wall-U'!$G$4:$G$40)*Flat!AB$13)+(LOOKUP(Flat!AB$2,'Window-U'!$A$4:$A$40,'Window-U'!$R$4:$R$40)*Flat!AB$22))*AB37</f>
        <v>1542.3742330699797</v>
      </c>
      <c r="AC40" s="177">
        <f>((LOOKUP(Flat!AC$2,'Ceiling-U'!$A$4:$A$40,'Ceiling-U'!$G$4:$G$40)*Flat!AC$15)+(LOOKUP(Flat!AC$2,'Floor-U'!$A$4:$A$40,'Floor-U'!$G$4:$G$40)*Flat!AC$16)+(LOOKUP(Flat!AC$2,'Wall-U'!$A$4:$A$40,'Wall-U'!$G$4:$G$40)*Flat!AC$13)+(LOOKUP(Flat!AC$2,'Window-U'!$A$4:$A$40,'Window-U'!$R$4:$R$40)*Flat!AC$22))*AC37</f>
        <v>3659.2020398982627</v>
      </c>
      <c r="AD40" s="177">
        <f>((LOOKUP(Flat!AD$2,'Ceiling-U'!$A$4:$A$40,'Ceiling-U'!$G$4:$G$40)*Flat!AD$15)+(LOOKUP(Flat!AD$2,'Floor-U'!$A$4:$A$40,'Floor-U'!$G$4:$G$40)*Flat!AD$16)+(LOOKUP(Flat!AD$2,'Wall-U'!$A$4:$A$40,'Wall-U'!$G$4:$G$40)*Flat!AD$13)+(LOOKUP(Flat!AD$2,'Window-U'!$A$4:$A$40,'Window-U'!$R$4:$R$40)*Flat!AD$22))*AD37</f>
        <v>5508.9333412497463</v>
      </c>
      <c r="AE40" s="177">
        <f>((LOOKUP(Flat!AE$2,'Ceiling-U'!$A$4:$A$40,'Ceiling-U'!$G$4:$G$40)*Flat!AE$15)+(LOOKUP(Flat!AE$2,'Floor-U'!$A$4:$A$40,'Floor-U'!$G$4:$G$40)*Flat!AE$16)+(LOOKUP(Flat!AE$2,'Wall-U'!$A$4:$A$40,'Wall-U'!$G$4:$G$40)*Flat!AE$13)+(LOOKUP(Flat!AE$2,'Window-U'!$A$4:$A$40,'Window-U'!$R$4:$R$40)*Flat!AE$22))*AE37</f>
        <v>593.09635159968207</v>
      </c>
      <c r="AF40" s="177">
        <f>((LOOKUP(Flat!AF$2,'Ceiling-U'!$A$4:$A$40,'Ceiling-U'!$G$4:$G$40)*Flat!AF$15)+(LOOKUP(Flat!AF$2,'Floor-U'!$A$4:$A$40,'Floor-U'!$G$4:$G$40)*Flat!AF$16)+(LOOKUP(Flat!AF$2,'Wall-U'!$A$4:$A$40,'Wall-U'!$G$4:$G$40)*Flat!AF$13)+(LOOKUP(Flat!AF$2,'Window-U'!$A$4:$A$40,'Window-U'!$R$4:$R$40)*Flat!AF$22))*AF37</f>
        <v>1847.5403774383105</v>
      </c>
      <c r="AG40" s="177">
        <f>((LOOKUP(Flat!AG$2,'Ceiling-U'!$A$4:$A$40,'Ceiling-U'!$G$4:$G$40)*Flat!AG$15)+(LOOKUP(Flat!AG$2,'Floor-U'!$A$4:$A$40,'Floor-U'!$G$4:$G$40)*Flat!AG$16)+(LOOKUP(Flat!AG$2,'Wall-U'!$A$4:$A$40,'Wall-U'!$G$4:$G$40)*Flat!AG$13)+(LOOKUP(Flat!AG$2,'Window-U'!$A$4:$A$40,'Window-U'!$R$4:$R$40)*Flat!AG$22))*AG37</f>
        <v>2085.5886665187008</v>
      </c>
      <c r="AH40" s="177">
        <f>((LOOKUP(Flat!AH$2,'Ceiling-U'!$A$4:$A$40,'Ceiling-U'!$G$4:$G$40)*Flat!AH$15)+(LOOKUP(Flat!AH$2,'Floor-U'!$A$4:$A$40,'Floor-U'!$G$4:$G$40)*Flat!AH$16)+(LOOKUP(Flat!AH$2,'Wall-U'!$A$4:$A$40,'Wall-U'!$G$4:$G$40)*Flat!AH$13)+(LOOKUP(Flat!AH$2,'Window-U'!$A$4:$A$40,'Window-U'!$R$4:$R$40)*Flat!AH$22))*AH37</f>
        <v>5121.12745745354</v>
      </c>
      <c r="AI40" s="177">
        <f>((LOOKUP(Flat!AI$2,'Ceiling-U'!$A$4:$A$40,'Ceiling-U'!$G$4:$G$40)*Flat!AI$15)+(LOOKUP(Flat!AI$2,'Floor-U'!$A$4:$A$40,'Floor-U'!$G$4:$G$40)*Flat!AI$16)+(LOOKUP(Flat!AI$2,'Wall-U'!$A$4:$A$40,'Wall-U'!$G$4:$G$40)*Flat!AI$13)+(LOOKUP(Flat!AI$2,'Window-U'!$A$4:$A$40,'Window-U'!$R$4:$R$40)*Flat!AI$22))*AI37</f>
        <v>4138.9548853856495</v>
      </c>
      <c r="AJ40" s="177">
        <f>((LOOKUP(Flat!AJ$2,'Ceiling-U'!$A$4:$A$40,'Ceiling-U'!$G$4:$G$40)*Flat!AJ$15)+(LOOKUP(Flat!AJ$2,'Floor-U'!$A$4:$A$40,'Floor-U'!$G$4:$G$40)*Flat!AJ$16)+(LOOKUP(Flat!AJ$2,'Wall-U'!$A$4:$A$40,'Wall-U'!$G$4:$G$40)*Flat!AJ$13)+(LOOKUP(Flat!AJ$2,'Window-U'!$A$4:$A$40,'Window-U'!$R$4:$R$40)*Flat!AJ$22))*AJ37</f>
        <v>2190.2645369594825</v>
      </c>
      <c r="AK40" s="177">
        <f>((LOOKUP(Flat!AK$2,'Ceiling-U'!$A$4:$A$40,'Ceiling-U'!$G$4:$G$40)*Flat!AK$15)+(LOOKUP(Flat!AK$2,'Floor-U'!$A$4:$A$40,'Floor-U'!$G$4:$G$40)*Flat!AK$16)+(LOOKUP(Flat!AK$2,'Wall-U'!$A$4:$A$40,'Wall-U'!$G$4:$G$40)*Flat!AK$13)+(LOOKUP(Flat!AK$2,'Window-U'!$A$4:$A$40,'Window-U'!$R$4:$R$40)*Flat!AK$22))*AK37</f>
        <v>2374.1984471859964</v>
      </c>
      <c r="AL40" s="177">
        <f>((LOOKUP(Flat!AL$2,'Ceiling-U'!$A$4:$A$40,'Ceiling-U'!$G$4:$G$40)*Flat!AL$15)+(LOOKUP(Flat!AL$2,'Floor-U'!$A$4:$A$40,'Floor-U'!$G$4:$G$40)*Flat!AL$16)+(LOOKUP(Flat!AL$2,'Wall-U'!$A$4:$A$40,'Wall-U'!$G$4:$G$40)*Flat!AL$13)+(LOOKUP(Flat!AL$2,'Window-U'!$A$4:$A$40,'Window-U'!$R$4:$R$40)*Flat!AL$22))*AL37</f>
        <v>2234.8381553823647</v>
      </c>
      <c r="AM40" s="177">
        <f>((LOOKUP(Flat!AM$2,'Ceiling-U'!$A$4:$A$40,'Ceiling-U'!$G$4:$G$40)*Flat!AM$15)+(LOOKUP(Flat!AM$2,'Floor-U'!$A$4:$A$40,'Floor-U'!$G$4:$G$40)*Flat!AM$16)+(LOOKUP(Flat!AM$2,'Wall-U'!$A$4:$A$40,'Wall-U'!$G$4:$G$40)*Flat!AM$13)+(LOOKUP(Flat!AM$2,'Window-U'!$A$4:$A$40,'Window-U'!$R$4:$R$40)*Flat!AM$22))*AM37</f>
        <v>2190.2645369594825</v>
      </c>
      <c r="AN40" s="178">
        <f>((LOOKUP(Flat!AN$2,'Ceiling-U'!$A$4:$A$40,'Ceiling-U'!$G$4:$G$40)*Flat!AN$15)+(LOOKUP(Flat!AN$2,'Floor-U'!$A$4:$A$40,'Floor-U'!$G$4:$G$40)*Flat!AN$16)+(LOOKUP(Flat!AN$2,'Wall-U'!$A$4:$A$40,'Wall-U'!$G$4:$G$40)*Flat!AN$13)+(LOOKUP(Flat!AN$2,'Window-U'!$A$4:$A$40,'Window-U'!$R$4:$R$40)*Flat!AN$22))*AN37</f>
        <v>2190.2645369594825</v>
      </c>
    </row>
    <row r="41" spans="1:40" s="5" customFormat="1">
      <c r="A41" s="372"/>
      <c r="B41" s="142" t="s">
        <v>5</v>
      </c>
      <c r="C41" s="131" t="s">
        <v>195</v>
      </c>
      <c r="D41" s="176">
        <f>((LOOKUP(Flat!D$2,'Ceiling-U'!$A$4:$A$40,'Ceiling-U'!$H$4:$H$40)*Flat!D$15)+(LOOKUP(Flat!D$2,'Floor-U'!$A$4:$A$40,'Floor-U'!$H$4:$H$40)*Flat!D$16)+(LOOKUP(Flat!D$2,'Wall-U'!$A$4:$A$40,'Wall-U'!$H$4:$H$40)*Flat!D$13)+(LOOKUP(Flat!D$2,'Window-U'!$A$4:$A$40,'Window-U'!$R$4:$R$40)*Flat!D$22))*D37</f>
        <v>1179.0906885772297</v>
      </c>
      <c r="E41" s="177">
        <f>((LOOKUP(Flat!E$2,'Ceiling-U'!$A$4:$A$40,'Ceiling-U'!$H$4:$H$40)*Flat!E$15)+(LOOKUP(Flat!E$2,'Floor-U'!$A$4:$A$40,'Floor-U'!$H$4:$H$40)*Flat!E$16)+(LOOKUP(Flat!E$2,'Wall-U'!$A$4:$A$40,'Wall-U'!$H$4:$H$40)*Flat!E$13)+(LOOKUP(Flat!E$2,'Window-U'!$A$4:$A$40,'Window-U'!$R$4:$R$40)*Flat!E$22))*E37</f>
        <v>2515.6701865412974</v>
      </c>
      <c r="F41" s="177">
        <f>((LOOKUP(Flat!F$2,'Ceiling-U'!$A$4:$A$40,'Ceiling-U'!$H$4:$H$40)*Flat!F$15)+(LOOKUP(Flat!F$2,'Floor-U'!$A$4:$A$40,'Floor-U'!$H$4:$H$40)*Flat!F$16)+(LOOKUP(Flat!F$2,'Wall-U'!$A$4:$A$40,'Wall-U'!$H$4:$H$40)*Flat!F$13)+(LOOKUP(Flat!F$2,'Window-U'!$A$4:$A$40,'Window-U'!$R$4:$R$40)*Flat!F$22))*F37</f>
        <v>2945.7512994149374</v>
      </c>
      <c r="G41" s="177">
        <f>((LOOKUP(Flat!G$2,'Ceiling-U'!$A$4:$A$40,'Ceiling-U'!$H$4:$H$40)*Flat!G$15)+(LOOKUP(Flat!G$2,'Floor-U'!$A$4:$A$40,'Floor-U'!$H$4:$H$40)*Flat!G$16)+(LOOKUP(Flat!G$2,'Wall-U'!$A$4:$A$40,'Wall-U'!$H$4:$H$40)*Flat!G$13)+(LOOKUP(Flat!G$2,'Window-U'!$A$4:$A$40,'Window-U'!$R$4:$R$40)*Flat!G$22))*G37</f>
        <v>1179.0906885772297</v>
      </c>
      <c r="H41" s="177">
        <f>((LOOKUP(Flat!H$2,'Ceiling-U'!$A$4:$A$40,'Ceiling-U'!$H$4:$H$40)*Flat!H$15)+(LOOKUP(Flat!H$2,'Floor-U'!$A$4:$A$40,'Floor-U'!$H$4:$H$40)*Flat!H$16)+(LOOKUP(Flat!H$2,'Wall-U'!$A$4:$A$40,'Wall-U'!$H$4:$H$40)*Flat!H$13)+(LOOKUP(Flat!H$2,'Window-U'!$A$4:$A$40,'Window-U'!$R$4:$R$40)*Flat!H$22))*H37</f>
        <v>3187.5951321300245</v>
      </c>
      <c r="I41" s="177">
        <f>((LOOKUP(Flat!I$2,'Ceiling-U'!$A$4:$A$40,'Ceiling-U'!$H$4:$H$40)*Flat!I$15)+(LOOKUP(Flat!I$2,'Floor-U'!$A$4:$A$40,'Floor-U'!$H$4:$H$40)*Flat!I$16)+(LOOKUP(Flat!I$2,'Wall-U'!$A$4:$A$40,'Wall-U'!$H$4:$H$40)*Flat!I$13)+(LOOKUP(Flat!I$2,'Window-U'!$A$4:$A$40,'Window-U'!$R$4:$R$40)*Flat!I$22))*I37</f>
        <v>1211.6250772160975</v>
      </c>
      <c r="J41" s="177">
        <f>((LOOKUP(Flat!J$2,'Ceiling-U'!$A$4:$A$40,'Ceiling-U'!$H$4:$H$40)*Flat!J$15)+(LOOKUP(Flat!J$2,'Floor-U'!$A$4:$A$40,'Floor-U'!$H$4:$H$40)*Flat!J$16)+(LOOKUP(Flat!J$2,'Wall-U'!$A$4:$A$40,'Wall-U'!$H$4:$H$40)*Flat!J$13)+(LOOKUP(Flat!J$2,'Window-U'!$A$4:$A$40,'Window-U'!$R$4:$R$40)*Flat!J$22))*J37</f>
        <v>1102.9856192706793</v>
      </c>
      <c r="K41" s="177">
        <f>((LOOKUP(Flat!K$2,'Ceiling-U'!$A$4:$A$40,'Ceiling-U'!$H$4:$H$40)*Flat!K$15)+(LOOKUP(Flat!K$2,'Floor-U'!$A$4:$A$40,'Floor-U'!$H$4:$H$40)*Flat!K$16)+(LOOKUP(Flat!K$2,'Wall-U'!$A$4:$A$40,'Wall-U'!$H$4:$H$40)*Flat!K$13)+(LOOKUP(Flat!K$2,'Window-U'!$A$4:$A$40,'Window-U'!$R$4:$R$40)*Flat!K$22))*K37</f>
        <v>1033.5359875026033</v>
      </c>
      <c r="L41" s="177">
        <f>((LOOKUP(Flat!L$2,'Ceiling-U'!$A$4:$A$40,'Ceiling-U'!$H$4:$H$40)*Flat!L$15)+(LOOKUP(Flat!L$2,'Floor-U'!$A$4:$A$40,'Floor-U'!$H$4:$H$40)*Flat!L$16)+(LOOKUP(Flat!L$2,'Wall-U'!$A$4:$A$40,'Wall-U'!$H$4:$H$40)*Flat!L$13)+(LOOKUP(Flat!L$2,'Window-U'!$A$4:$A$40,'Window-U'!$R$4:$R$40)*Flat!L$22))*L37</f>
        <v>545.94756708439991</v>
      </c>
      <c r="M41" s="177">
        <f>((LOOKUP(Flat!M$2,'Ceiling-U'!$A$4:$A$40,'Ceiling-U'!$H$4:$H$40)*Flat!M$15)+(LOOKUP(Flat!M$2,'Floor-U'!$A$4:$A$40,'Floor-U'!$H$4:$H$40)*Flat!M$16)+(LOOKUP(Flat!M$2,'Wall-U'!$A$4:$A$40,'Wall-U'!$H$4:$H$40)*Flat!M$13)+(LOOKUP(Flat!M$2,'Window-U'!$A$4:$A$40,'Window-U'!$R$4:$R$40)*Flat!M$22))*M37</f>
        <v>1700.2874894219403</v>
      </c>
      <c r="N41" s="177">
        <f>((LOOKUP(Flat!N$2,'Ceiling-U'!$A$4:$A$40,'Ceiling-U'!$H$4:$H$40)*Flat!N$15)+(LOOKUP(Flat!N$2,'Floor-U'!$A$4:$A$40,'Floor-U'!$H$4:$H$40)*Flat!N$16)+(LOOKUP(Flat!N$2,'Wall-U'!$A$4:$A$40,'Wall-U'!$H$4:$H$40)*Flat!N$13)+(LOOKUP(Flat!N$2,'Window-U'!$A$4:$A$40,'Window-U'!$R$4:$R$40)*Flat!N$22))*N37</f>
        <v>1267.155198773442</v>
      </c>
      <c r="O41" s="177">
        <f>((LOOKUP(Flat!O$2,'Ceiling-U'!$A$4:$A$40,'Ceiling-U'!$H$4:$H$40)*Flat!O$15)+(LOOKUP(Flat!O$2,'Floor-U'!$A$4:$A$40,'Floor-U'!$H$4:$H$40)*Flat!O$16)+(LOOKUP(Flat!O$2,'Wall-U'!$A$4:$A$40,'Wall-U'!$H$4:$H$40)*Flat!O$13)+(LOOKUP(Flat!O$2,'Window-U'!$A$4:$A$40,'Window-U'!$R$4:$R$40)*Flat!O$22))*O37</f>
        <v>1383.8579661518613</v>
      </c>
      <c r="P41" s="177">
        <f>((LOOKUP(Flat!P$2,'Ceiling-U'!$A$4:$A$40,'Ceiling-U'!$H$4:$H$40)*Flat!P$15)+(LOOKUP(Flat!P$2,'Floor-U'!$A$4:$A$40,'Floor-U'!$H$4:$H$40)*Flat!P$16)+(LOOKUP(Flat!P$2,'Wall-U'!$A$4:$A$40,'Wall-U'!$H$4:$H$40)*Flat!P$13)+(LOOKUP(Flat!P$2,'Window-U'!$A$4:$A$40,'Window-U'!$R$4:$R$40)*Flat!P$22))*P37</f>
        <v>2557.9934065809657</v>
      </c>
      <c r="Q41" s="177">
        <f>((LOOKUP(Flat!Q$2,'Ceiling-U'!$A$4:$A$40,'Ceiling-U'!$H$4:$H$40)*Flat!Q$15)+(LOOKUP(Flat!Q$2,'Floor-U'!$A$4:$A$40,'Floor-U'!$H$4:$H$40)*Flat!Q$16)+(LOOKUP(Flat!Q$2,'Wall-U'!$A$4:$A$40,'Wall-U'!$H$4:$H$40)*Flat!Q$13)+(LOOKUP(Flat!Q$2,'Window-U'!$A$4:$A$40,'Window-U'!$R$4:$R$40)*Flat!Q$22))*Q37</f>
        <v>2008.9372299722324</v>
      </c>
      <c r="R41" s="177">
        <f>((LOOKUP(Flat!R$2,'Ceiling-U'!$A$4:$A$40,'Ceiling-U'!$H$4:$H$40)*Flat!R$15)+(LOOKUP(Flat!R$2,'Floor-U'!$A$4:$A$40,'Floor-U'!$H$4:$H$40)*Flat!R$16)+(LOOKUP(Flat!R$2,'Wall-U'!$A$4:$A$40,'Wall-U'!$H$4:$H$40)*Flat!R$13)+(LOOKUP(Flat!R$2,'Window-U'!$A$4:$A$40,'Window-U'!$R$4:$R$40)*Flat!R$22))*R37</f>
        <v>1156.0226069010055</v>
      </c>
      <c r="S41" s="177">
        <f>((LOOKUP(Flat!S$2,'Ceiling-U'!$A$4:$A$40,'Ceiling-U'!$H$4:$H$40)*Flat!S$15)+(LOOKUP(Flat!S$2,'Floor-U'!$A$4:$A$40,'Floor-U'!$H$4:$H$40)*Flat!S$16)+(LOOKUP(Flat!S$2,'Wall-U'!$A$4:$A$40,'Wall-U'!$H$4:$H$40)*Flat!S$13)+(LOOKUP(Flat!S$2,'Window-U'!$A$4:$A$40,'Window-U'!$R$4:$R$40)*Flat!S$22))*S37</f>
        <v>4079.3029244726272</v>
      </c>
      <c r="T41" s="177">
        <f>((LOOKUP(Flat!T$2,'Ceiling-U'!$A$4:$A$40,'Ceiling-U'!$H$4:$H$40)*Flat!T$15)+(LOOKUP(Flat!T$2,'Floor-U'!$A$4:$A$40,'Floor-U'!$H$4:$H$40)*Flat!T$16)+(LOOKUP(Flat!T$2,'Wall-U'!$A$4:$A$40,'Wall-U'!$H$4:$H$40)*Flat!T$13)+(LOOKUP(Flat!T$2,'Window-U'!$A$4:$A$40,'Window-U'!$R$4:$R$40)*Flat!T$22))*T37</f>
        <v>620.72788573121102</v>
      </c>
      <c r="U41" s="177">
        <f>((LOOKUP(Flat!U$2,'Ceiling-U'!$A$4:$A$40,'Ceiling-U'!$H$4:$H$40)*Flat!U$15)+(LOOKUP(Flat!U$2,'Floor-U'!$A$4:$A$40,'Floor-U'!$H$4:$H$40)*Flat!U$16)+(LOOKUP(Flat!U$2,'Wall-U'!$A$4:$A$40,'Wall-U'!$H$4:$H$40)*Flat!U$13)+(LOOKUP(Flat!U$2,'Window-U'!$A$4:$A$40,'Window-U'!$R$4:$R$40)*Flat!U$22))*U37</f>
        <v>2364.3858406386589</v>
      </c>
      <c r="V41" s="177">
        <f>((LOOKUP(Flat!V$2,'Ceiling-U'!$A$4:$A$40,'Ceiling-U'!$H$4:$H$40)*Flat!V$15)+(LOOKUP(Flat!V$2,'Floor-U'!$A$4:$A$40,'Floor-U'!$H$4:$H$40)*Flat!V$16)+(LOOKUP(Flat!V$2,'Wall-U'!$A$4:$A$40,'Wall-U'!$H$4:$H$40)*Flat!V$13)+(LOOKUP(Flat!V$2,'Window-U'!$A$4:$A$40,'Window-U'!$R$4:$R$40)*Flat!V$22))*V37</f>
        <v>918.03049620361799</v>
      </c>
      <c r="W41" s="177">
        <f>((LOOKUP(Flat!W$2,'Ceiling-U'!$A$4:$A$40,'Ceiling-U'!$H$4:$H$40)*Flat!W$15)+(LOOKUP(Flat!W$2,'Floor-U'!$A$4:$A$40,'Floor-U'!$H$4:$H$40)*Flat!W$16)+(LOOKUP(Flat!W$2,'Wall-U'!$A$4:$A$40,'Wall-U'!$H$4:$H$40)*Flat!W$13)+(LOOKUP(Flat!W$2,'Window-U'!$A$4:$A$40,'Window-U'!$R$4:$R$40)*Flat!W$22))*W37</f>
        <v>1205.1868603690714</v>
      </c>
      <c r="X41" s="177">
        <f>((LOOKUP(Flat!X$2,'Ceiling-U'!$A$4:$A$40,'Ceiling-U'!$H$4:$H$40)*Flat!X$15)+(LOOKUP(Flat!X$2,'Floor-U'!$A$4:$A$40,'Floor-U'!$H$4:$H$40)*Flat!X$16)+(LOOKUP(Flat!X$2,'Wall-U'!$A$4:$A$40,'Wall-U'!$H$4:$H$40)*Flat!X$13)+(LOOKUP(Flat!X$2,'Window-U'!$A$4:$A$40,'Window-U'!$R$4:$R$40)*Flat!X$22))*X37</f>
        <v>841.04667445969039</v>
      </c>
      <c r="Y41" s="177">
        <f>((LOOKUP(Flat!Y$2,'Ceiling-U'!$A$4:$A$40,'Ceiling-U'!$H$4:$H$40)*Flat!Y$15)+(LOOKUP(Flat!Y$2,'Floor-U'!$A$4:$A$40,'Floor-U'!$H$4:$H$40)*Flat!Y$16)+(LOOKUP(Flat!Y$2,'Wall-U'!$A$4:$A$40,'Wall-U'!$H$4:$H$40)*Flat!Y$13)+(LOOKUP(Flat!Y$2,'Window-U'!$A$4:$A$40,'Window-U'!$R$4:$R$40)*Flat!Y$22))*Y37</f>
        <v>3475.1871451183765</v>
      </c>
      <c r="Z41" s="177">
        <f>((LOOKUP(Flat!Z$2,'Ceiling-U'!$A$4:$A$40,'Ceiling-U'!$H$4:$H$40)*Flat!Z$15)+(LOOKUP(Flat!Z$2,'Floor-U'!$A$4:$A$40,'Floor-U'!$H$4:$H$40)*Flat!Z$16)+(LOOKUP(Flat!Z$2,'Wall-U'!$A$4:$A$40,'Wall-U'!$H$4:$H$40)*Flat!Z$13)+(LOOKUP(Flat!Z$2,'Window-U'!$A$4:$A$40,'Window-U'!$R$4:$R$40)*Flat!Z$22))*Z37</f>
        <v>1300.8078528730782</v>
      </c>
      <c r="AA41" s="177">
        <f>((LOOKUP(Flat!AA$2,'Ceiling-U'!$A$4:$A$40,'Ceiling-U'!$H$4:$H$40)*Flat!AA$15)+(LOOKUP(Flat!AA$2,'Floor-U'!$A$4:$A$40,'Floor-U'!$H$4:$H$40)*Flat!AA$16)+(LOOKUP(Flat!AA$2,'Wall-U'!$A$4:$A$40,'Wall-U'!$H$4:$H$40)*Flat!AA$13)+(LOOKUP(Flat!AA$2,'Window-U'!$A$4:$A$40,'Window-U'!$R$4:$R$40)*Flat!AA$22))*AA37</f>
        <v>593.09635159968207</v>
      </c>
      <c r="AB41" s="177">
        <f>((LOOKUP(Flat!AB$2,'Ceiling-U'!$A$4:$A$40,'Ceiling-U'!$H$4:$H$40)*Flat!AB$15)+(LOOKUP(Flat!AB$2,'Floor-U'!$A$4:$A$40,'Floor-U'!$H$4:$H$40)*Flat!AB$16)+(LOOKUP(Flat!AB$2,'Wall-U'!$A$4:$A$40,'Wall-U'!$H$4:$H$40)*Flat!AB$13)+(LOOKUP(Flat!AB$2,'Window-U'!$A$4:$A$40,'Window-U'!$R$4:$R$40)*Flat!AB$22))*AB37</f>
        <v>1542.3742330699797</v>
      </c>
      <c r="AC41" s="177">
        <f>((LOOKUP(Flat!AC$2,'Ceiling-U'!$A$4:$A$40,'Ceiling-U'!$H$4:$H$40)*Flat!AC$15)+(LOOKUP(Flat!AC$2,'Floor-U'!$A$4:$A$40,'Floor-U'!$H$4:$H$40)*Flat!AC$16)+(LOOKUP(Flat!AC$2,'Wall-U'!$A$4:$A$40,'Wall-U'!$H$4:$H$40)*Flat!AC$13)+(LOOKUP(Flat!AC$2,'Window-U'!$A$4:$A$40,'Window-U'!$R$4:$R$40)*Flat!AC$22))*AC37</f>
        <v>3495.3709454783784</v>
      </c>
      <c r="AD41" s="177">
        <f>((LOOKUP(Flat!AD$2,'Ceiling-U'!$A$4:$A$40,'Ceiling-U'!$H$4:$H$40)*Flat!AD$15)+(LOOKUP(Flat!AD$2,'Floor-U'!$A$4:$A$40,'Floor-U'!$H$4:$H$40)*Flat!AD$16)+(LOOKUP(Flat!AD$2,'Wall-U'!$A$4:$A$40,'Wall-U'!$H$4:$H$40)*Flat!AD$13)+(LOOKUP(Flat!AD$2,'Window-U'!$A$4:$A$40,'Window-U'!$R$4:$R$40)*Flat!AD$22))*AD37</f>
        <v>4636.0433509321583</v>
      </c>
      <c r="AE41" s="177">
        <f>((LOOKUP(Flat!AE$2,'Ceiling-U'!$A$4:$A$40,'Ceiling-U'!$H$4:$H$40)*Flat!AE$15)+(LOOKUP(Flat!AE$2,'Floor-U'!$A$4:$A$40,'Floor-U'!$H$4:$H$40)*Flat!AE$16)+(LOOKUP(Flat!AE$2,'Wall-U'!$A$4:$A$40,'Wall-U'!$H$4:$H$40)*Flat!AE$13)+(LOOKUP(Flat!AE$2,'Window-U'!$A$4:$A$40,'Window-U'!$R$4:$R$40)*Flat!AE$22))*AE37</f>
        <v>593.09635159968207</v>
      </c>
      <c r="AF41" s="177">
        <f>((LOOKUP(Flat!AF$2,'Ceiling-U'!$A$4:$A$40,'Ceiling-U'!$H$4:$H$40)*Flat!AF$15)+(LOOKUP(Flat!AF$2,'Floor-U'!$A$4:$A$40,'Floor-U'!$H$4:$H$40)*Flat!AF$16)+(LOOKUP(Flat!AF$2,'Wall-U'!$A$4:$A$40,'Wall-U'!$H$4:$H$40)*Flat!AF$13)+(LOOKUP(Flat!AF$2,'Window-U'!$A$4:$A$40,'Window-U'!$R$4:$R$40)*Flat!AF$22))*AF37</f>
        <v>1343.6353998246282</v>
      </c>
      <c r="AG41" s="177">
        <f>((LOOKUP(Flat!AG$2,'Ceiling-U'!$A$4:$A$40,'Ceiling-U'!$H$4:$H$40)*Flat!AG$15)+(LOOKUP(Flat!AG$2,'Floor-U'!$A$4:$A$40,'Floor-U'!$H$4:$H$40)*Flat!AG$16)+(LOOKUP(Flat!AG$2,'Wall-U'!$A$4:$A$40,'Wall-U'!$H$4:$H$40)*Flat!AG$13)+(LOOKUP(Flat!AG$2,'Window-U'!$A$4:$A$40,'Window-U'!$R$4:$R$40)*Flat!AG$22))*AG37</f>
        <v>1784.9158445322507</v>
      </c>
      <c r="AH41" s="177">
        <f>((LOOKUP(Flat!AH$2,'Ceiling-U'!$A$4:$A$40,'Ceiling-U'!$H$4:$H$40)*Flat!AH$15)+(LOOKUP(Flat!AH$2,'Floor-U'!$A$4:$A$40,'Floor-U'!$H$4:$H$40)*Flat!AH$16)+(LOOKUP(Flat!AH$2,'Wall-U'!$A$4:$A$40,'Wall-U'!$H$4:$H$40)*Flat!AH$13)+(LOOKUP(Flat!AH$2,'Window-U'!$A$4:$A$40,'Window-U'!$R$4:$R$40)*Flat!AH$22))*AH37</f>
        <v>2686.3651009517916</v>
      </c>
      <c r="AI41" s="177">
        <f>((LOOKUP(Flat!AI$2,'Ceiling-U'!$A$4:$A$40,'Ceiling-U'!$H$4:$H$40)*Flat!AI$15)+(LOOKUP(Flat!AI$2,'Floor-U'!$A$4:$A$40,'Floor-U'!$H$4:$H$40)*Flat!AI$16)+(LOOKUP(Flat!AI$2,'Wall-U'!$A$4:$A$40,'Wall-U'!$H$4:$H$40)*Flat!AI$13)+(LOOKUP(Flat!AI$2,'Window-U'!$A$4:$A$40,'Window-U'!$R$4:$R$40)*Flat!AI$22))*AI37</f>
        <v>4051.3548853856501</v>
      </c>
      <c r="AJ41" s="177">
        <f>((LOOKUP(Flat!AJ$2,'Ceiling-U'!$A$4:$A$40,'Ceiling-U'!$H$4:$H$40)*Flat!AJ$15)+(LOOKUP(Flat!AJ$2,'Floor-U'!$A$4:$A$40,'Floor-U'!$H$4:$H$40)*Flat!AJ$16)+(LOOKUP(Flat!AJ$2,'Wall-U'!$A$4:$A$40,'Wall-U'!$H$4:$H$40)*Flat!AJ$13)+(LOOKUP(Flat!AJ$2,'Window-U'!$A$4:$A$40,'Window-U'!$R$4:$R$40)*Flat!AJ$22))*AJ37</f>
        <v>1839.638464886468</v>
      </c>
      <c r="AK41" s="177">
        <f>((LOOKUP(Flat!AK$2,'Ceiling-U'!$A$4:$A$40,'Ceiling-U'!$H$4:$H$40)*Flat!AK$15)+(LOOKUP(Flat!AK$2,'Floor-U'!$A$4:$A$40,'Floor-U'!$H$4:$H$40)*Flat!AK$16)+(LOOKUP(Flat!AK$2,'Wall-U'!$A$4:$A$40,'Wall-U'!$H$4:$H$40)*Flat!AK$13)+(LOOKUP(Flat!AK$2,'Window-U'!$A$4:$A$40,'Window-U'!$R$4:$R$40)*Flat!AK$22))*AK37</f>
        <v>1989.6163011194451</v>
      </c>
      <c r="AL41" s="177">
        <f>((LOOKUP(Flat!AL$2,'Ceiling-U'!$A$4:$A$40,'Ceiling-U'!$H$4:$H$40)*Flat!AL$15)+(LOOKUP(Flat!AL$2,'Floor-U'!$A$4:$A$40,'Floor-U'!$H$4:$H$40)*Flat!AL$16)+(LOOKUP(Flat!AL$2,'Wall-U'!$A$4:$A$40,'Wall-U'!$H$4:$H$40)*Flat!AL$13)+(LOOKUP(Flat!AL$2,'Window-U'!$A$4:$A$40,'Window-U'!$R$4:$R$40)*Flat!AL$22))*AL37</f>
        <v>1852.9970529264679</v>
      </c>
      <c r="AM41" s="177">
        <f>((LOOKUP(Flat!AM$2,'Ceiling-U'!$A$4:$A$40,'Ceiling-U'!$H$4:$H$40)*Flat!AM$15)+(LOOKUP(Flat!AM$2,'Floor-U'!$A$4:$A$40,'Floor-U'!$H$4:$H$40)*Flat!AM$16)+(LOOKUP(Flat!AM$2,'Wall-U'!$A$4:$A$40,'Wall-U'!$H$4:$H$40)*Flat!AM$13)+(LOOKUP(Flat!AM$2,'Window-U'!$A$4:$A$40,'Window-U'!$R$4:$R$40)*Flat!AM$22))*AM37</f>
        <v>1839.638464886468</v>
      </c>
      <c r="AN41" s="178">
        <f>((LOOKUP(Flat!AN$2,'Ceiling-U'!$A$4:$A$40,'Ceiling-U'!$H$4:$H$40)*Flat!AN$15)+(LOOKUP(Flat!AN$2,'Floor-U'!$A$4:$A$40,'Floor-U'!$H$4:$H$40)*Flat!AN$16)+(LOOKUP(Flat!AN$2,'Wall-U'!$A$4:$A$40,'Wall-U'!$H$4:$H$40)*Flat!AN$13)+(LOOKUP(Flat!AN$2,'Window-U'!$A$4:$A$40,'Window-U'!$R$4:$R$40)*Flat!AN$22))*AN37</f>
        <v>1839.638464886468</v>
      </c>
    </row>
    <row r="42" spans="1:40" s="5" customFormat="1">
      <c r="A42" s="372"/>
      <c r="B42" s="142" t="s">
        <v>6</v>
      </c>
      <c r="C42" s="131" t="s">
        <v>195</v>
      </c>
      <c r="D42" s="176">
        <f>((LOOKUP(Flat!D$2,'Ceiling-U'!$A$4:$A$40,'Ceiling-U'!$I$4:$I$40)*Flat!D$15)+(LOOKUP(Flat!D$2,'Floor-U'!$A$4:$A$40,'Floor-U'!$I$4:$I$40)*Flat!D$16)+(LOOKUP(Flat!D$2,'Wall-U'!$A$4:$A$40,'Wall-U'!$I$4:$I$40)*Flat!D$13)+(LOOKUP(Flat!D$2,'Window-U'!$A$4:$A$40,'Window-U'!$R$4:$R$40)*Flat!D$22))*D37</f>
        <v>986.60668136709967</v>
      </c>
      <c r="E42" s="177">
        <f>((LOOKUP(Flat!E$2,'Ceiling-U'!$A$4:$A$40,'Ceiling-U'!$I$4:$I$40)*Flat!E$15)+(LOOKUP(Flat!E$2,'Floor-U'!$A$4:$A$40,'Floor-U'!$I$4:$I$40)*Flat!E$16)+(LOOKUP(Flat!E$2,'Wall-U'!$A$4:$A$40,'Wall-U'!$I$4:$I$40)*Flat!E$13)+(LOOKUP(Flat!E$2,'Window-U'!$A$4:$A$40,'Window-U'!$R$4:$R$40)*Flat!E$22))*E37</f>
        <v>2515.6701865412974</v>
      </c>
      <c r="F42" s="177">
        <f>((LOOKUP(Flat!F$2,'Ceiling-U'!$A$4:$A$40,'Ceiling-U'!$I$4:$I$40)*Flat!F$15)+(LOOKUP(Flat!F$2,'Floor-U'!$A$4:$A$40,'Floor-U'!$I$4:$I$40)*Flat!F$16)+(LOOKUP(Flat!F$2,'Wall-U'!$A$4:$A$40,'Wall-U'!$I$4:$I$40)*Flat!F$13)+(LOOKUP(Flat!F$2,'Window-U'!$A$4:$A$40,'Window-U'!$R$4:$R$40)*Flat!F$22))*F37</f>
        <v>2260.8037739849638</v>
      </c>
      <c r="G42" s="177">
        <f>((LOOKUP(Flat!G$2,'Ceiling-U'!$A$4:$A$40,'Ceiling-U'!$I$4:$I$40)*Flat!G$15)+(LOOKUP(Flat!G$2,'Floor-U'!$A$4:$A$40,'Floor-U'!$I$4:$I$40)*Flat!G$16)+(LOOKUP(Flat!G$2,'Wall-U'!$A$4:$A$40,'Wall-U'!$I$4:$I$40)*Flat!G$13)+(LOOKUP(Flat!G$2,'Window-U'!$A$4:$A$40,'Window-U'!$R$4:$R$40)*Flat!G$22))*G37</f>
        <v>986.60668136709967</v>
      </c>
      <c r="H42" s="177">
        <f>((LOOKUP(Flat!H$2,'Ceiling-U'!$A$4:$A$40,'Ceiling-U'!$I$4:$I$40)*Flat!H$15)+(LOOKUP(Flat!H$2,'Floor-U'!$A$4:$A$40,'Floor-U'!$I$4:$I$40)*Flat!H$16)+(LOOKUP(Flat!H$2,'Wall-U'!$A$4:$A$40,'Wall-U'!$I$4:$I$40)*Flat!H$13)+(LOOKUP(Flat!H$2,'Window-U'!$A$4:$A$40,'Window-U'!$R$4:$R$40)*Flat!H$22))*H37</f>
        <v>3187.5951321300245</v>
      </c>
      <c r="I42" s="177">
        <f>((LOOKUP(Flat!I$2,'Ceiling-U'!$A$4:$A$40,'Ceiling-U'!$I$4:$I$40)*Flat!I$15)+(LOOKUP(Flat!I$2,'Floor-U'!$A$4:$A$40,'Floor-U'!$I$4:$I$40)*Flat!I$16)+(LOOKUP(Flat!I$2,'Wall-U'!$A$4:$A$40,'Wall-U'!$I$4:$I$40)*Flat!I$13)+(LOOKUP(Flat!I$2,'Window-U'!$A$4:$A$40,'Window-U'!$R$4:$R$40)*Flat!I$22))*I37</f>
        <v>887.24040918177695</v>
      </c>
      <c r="J42" s="177">
        <f>((LOOKUP(Flat!J$2,'Ceiling-U'!$A$4:$A$40,'Ceiling-U'!$I$4:$I$40)*Flat!J$15)+(LOOKUP(Flat!J$2,'Floor-U'!$A$4:$A$40,'Floor-U'!$I$4:$I$40)*Flat!J$16)+(LOOKUP(Flat!J$2,'Wall-U'!$A$4:$A$40,'Wall-U'!$I$4:$I$40)*Flat!J$13)+(LOOKUP(Flat!J$2,'Window-U'!$A$4:$A$40,'Window-U'!$R$4:$R$40)*Flat!J$22))*J37</f>
        <v>644.50851234210643</v>
      </c>
      <c r="K42" s="177">
        <f>((LOOKUP(Flat!K$2,'Ceiling-U'!$A$4:$A$40,'Ceiling-U'!$I$4:$I$40)*Flat!K$15)+(LOOKUP(Flat!K$2,'Floor-U'!$A$4:$A$40,'Floor-U'!$I$4:$I$40)*Flat!K$16)+(LOOKUP(Flat!K$2,'Wall-U'!$A$4:$A$40,'Wall-U'!$I$4:$I$40)*Flat!K$13)+(LOOKUP(Flat!K$2,'Window-U'!$A$4:$A$40,'Window-U'!$R$4:$R$40)*Flat!K$22))*K37</f>
        <v>1033.5359875026033</v>
      </c>
      <c r="L42" s="177">
        <f>((LOOKUP(Flat!L$2,'Ceiling-U'!$A$4:$A$40,'Ceiling-U'!$I$4:$I$40)*Flat!L$15)+(LOOKUP(Flat!L$2,'Floor-U'!$A$4:$A$40,'Floor-U'!$I$4:$I$40)*Flat!L$16)+(LOOKUP(Flat!L$2,'Wall-U'!$A$4:$A$40,'Wall-U'!$I$4:$I$40)*Flat!L$13)+(LOOKUP(Flat!L$2,'Window-U'!$A$4:$A$40,'Window-U'!$R$4:$R$40)*Flat!L$22))*L37</f>
        <v>498.70926918035286</v>
      </c>
      <c r="M42" s="177">
        <f>((LOOKUP(Flat!M$2,'Ceiling-U'!$A$4:$A$40,'Ceiling-U'!$I$4:$I$40)*Flat!M$15)+(LOOKUP(Flat!M$2,'Floor-U'!$A$4:$A$40,'Floor-U'!$I$4:$I$40)*Flat!M$16)+(LOOKUP(Flat!M$2,'Wall-U'!$A$4:$A$40,'Wall-U'!$I$4:$I$40)*Flat!M$13)+(LOOKUP(Flat!M$2,'Window-U'!$A$4:$A$40,'Window-U'!$R$4:$R$40)*Flat!M$22))*M37</f>
        <v>1700.2874894219403</v>
      </c>
      <c r="N42" s="177">
        <f>((LOOKUP(Flat!N$2,'Ceiling-U'!$A$4:$A$40,'Ceiling-U'!$I$4:$I$40)*Flat!N$15)+(LOOKUP(Flat!N$2,'Floor-U'!$A$4:$A$40,'Floor-U'!$I$4:$I$40)*Flat!N$16)+(LOOKUP(Flat!N$2,'Wall-U'!$A$4:$A$40,'Wall-U'!$I$4:$I$40)*Flat!N$13)+(LOOKUP(Flat!N$2,'Window-U'!$A$4:$A$40,'Window-U'!$R$4:$R$40)*Flat!N$22))*N37</f>
        <v>1253.4507216019781</v>
      </c>
      <c r="O42" s="177">
        <f>((LOOKUP(Flat!O$2,'Ceiling-U'!$A$4:$A$40,'Ceiling-U'!$I$4:$I$40)*Flat!O$15)+(LOOKUP(Flat!O$2,'Floor-U'!$A$4:$A$40,'Floor-U'!$I$4:$I$40)*Flat!O$16)+(LOOKUP(Flat!O$2,'Wall-U'!$A$4:$A$40,'Wall-U'!$I$4:$I$40)*Flat!O$13)+(LOOKUP(Flat!O$2,'Window-U'!$A$4:$A$40,'Window-U'!$R$4:$R$40)*Flat!O$22))*O37</f>
        <v>804.7697362943286</v>
      </c>
      <c r="P42" s="177">
        <f>((LOOKUP(Flat!P$2,'Ceiling-U'!$A$4:$A$40,'Ceiling-U'!$I$4:$I$40)*Flat!P$15)+(LOOKUP(Flat!P$2,'Floor-U'!$A$4:$A$40,'Floor-U'!$I$4:$I$40)*Flat!P$16)+(LOOKUP(Flat!P$2,'Wall-U'!$A$4:$A$40,'Wall-U'!$I$4:$I$40)*Flat!P$13)+(LOOKUP(Flat!P$2,'Window-U'!$A$4:$A$40,'Window-U'!$R$4:$R$40)*Flat!P$22))*P37</f>
        <v>2557.9934065809657</v>
      </c>
      <c r="Q42" s="177">
        <f>((LOOKUP(Flat!Q$2,'Ceiling-U'!$A$4:$A$40,'Ceiling-U'!$I$4:$I$40)*Flat!Q$15)+(LOOKUP(Flat!Q$2,'Floor-U'!$A$4:$A$40,'Floor-U'!$I$4:$I$40)*Flat!Q$16)+(LOOKUP(Flat!Q$2,'Wall-U'!$A$4:$A$40,'Wall-U'!$I$4:$I$40)*Flat!Q$13)+(LOOKUP(Flat!Q$2,'Window-U'!$A$4:$A$40,'Window-U'!$R$4:$R$40)*Flat!Q$22))*Q37</f>
        <v>1385.8254530648069</v>
      </c>
      <c r="R42" s="177">
        <f>((LOOKUP(Flat!R$2,'Ceiling-U'!$A$4:$A$40,'Ceiling-U'!$I$4:$I$40)*Flat!R$15)+(LOOKUP(Flat!R$2,'Floor-U'!$A$4:$A$40,'Floor-U'!$I$4:$I$40)*Flat!R$16)+(LOOKUP(Flat!R$2,'Wall-U'!$A$4:$A$40,'Wall-U'!$I$4:$I$40)*Flat!R$13)+(LOOKUP(Flat!R$2,'Window-U'!$A$4:$A$40,'Window-U'!$R$4:$R$40)*Flat!R$22))*R37</f>
        <v>1156.0226069010055</v>
      </c>
      <c r="S42" s="177">
        <f>((LOOKUP(Flat!S$2,'Ceiling-U'!$A$4:$A$40,'Ceiling-U'!$I$4:$I$40)*Flat!S$15)+(LOOKUP(Flat!S$2,'Floor-U'!$A$4:$A$40,'Floor-U'!$I$4:$I$40)*Flat!S$16)+(LOOKUP(Flat!S$2,'Wall-U'!$A$4:$A$40,'Wall-U'!$I$4:$I$40)*Flat!S$13)+(LOOKUP(Flat!S$2,'Window-U'!$A$4:$A$40,'Window-U'!$R$4:$R$40)*Flat!S$22))*S37</f>
        <v>3375.7025205693508</v>
      </c>
      <c r="T42" s="177">
        <f>((LOOKUP(Flat!T$2,'Ceiling-U'!$A$4:$A$40,'Ceiling-U'!$I$4:$I$40)*Flat!T$15)+(LOOKUP(Flat!T$2,'Floor-U'!$A$4:$A$40,'Floor-U'!$I$4:$I$40)*Flat!T$16)+(LOOKUP(Flat!T$2,'Wall-U'!$A$4:$A$40,'Wall-U'!$I$4:$I$40)*Flat!T$13)+(LOOKUP(Flat!T$2,'Window-U'!$A$4:$A$40,'Window-U'!$R$4:$R$40)*Flat!T$22))*T37</f>
        <v>613.24844913943537</v>
      </c>
      <c r="U42" s="177">
        <f>((LOOKUP(Flat!U$2,'Ceiling-U'!$A$4:$A$40,'Ceiling-U'!$I$4:$I$40)*Flat!U$15)+(LOOKUP(Flat!U$2,'Floor-U'!$A$4:$A$40,'Floor-U'!$I$4:$I$40)*Flat!U$16)+(LOOKUP(Flat!U$2,'Wall-U'!$A$4:$A$40,'Wall-U'!$I$4:$I$40)*Flat!U$13)+(LOOKUP(Flat!U$2,'Window-U'!$A$4:$A$40,'Window-U'!$R$4:$R$40)*Flat!U$22))*U37</f>
        <v>2114.54796454286</v>
      </c>
      <c r="V42" s="177">
        <f>((LOOKUP(Flat!V$2,'Ceiling-U'!$A$4:$A$40,'Ceiling-U'!$I$4:$I$40)*Flat!V$15)+(LOOKUP(Flat!V$2,'Floor-U'!$A$4:$A$40,'Floor-U'!$I$4:$I$40)*Flat!V$16)+(LOOKUP(Flat!V$2,'Wall-U'!$A$4:$A$40,'Wall-U'!$I$4:$I$40)*Flat!V$13)+(LOOKUP(Flat!V$2,'Window-U'!$A$4:$A$40,'Window-U'!$R$4:$R$40)*Flat!V$22))*V37</f>
        <v>918.03049620361799</v>
      </c>
      <c r="W42" s="177">
        <f>((LOOKUP(Flat!W$2,'Ceiling-U'!$A$4:$A$40,'Ceiling-U'!$I$4:$I$40)*Flat!W$15)+(LOOKUP(Flat!W$2,'Floor-U'!$A$4:$A$40,'Floor-U'!$I$4:$I$40)*Flat!W$16)+(LOOKUP(Flat!W$2,'Wall-U'!$A$4:$A$40,'Wall-U'!$I$4:$I$40)*Flat!W$13)+(LOOKUP(Flat!W$2,'Window-U'!$A$4:$A$40,'Window-U'!$R$4:$R$40)*Flat!W$22))*W37</f>
        <v>1054.086022452386</v>
      </c>
      <c r="X42" s="177">
        <f>((LOOKUP(Flat!X$2,'Ceiling-U'!$A$4:$A$40,'Ceiling-U'!$I$4:$I$40)*Flat!X$15)+(LOOKUP(Flat!X$2,'Floor-U'!$A$4:$A$40,'Floor-U'!$I$4:$I$40)*Flat!X$16)+(LOOKUP(Flat!X$2,'Wall-U'!$A$4:$A$40,'Wall-U'!$I$4:$I$40)*Flat!X$13)+(LOOKUP(Flat!X$2,'Window-U'!$A$4:$A$40,'Window-U'!$R$4:$R$40)*Flat!X$22))*X37</f>
        <v>833.32167445969037</v>
      </c>
      <c r="Y42" s="177">
        <f>((LOOKUP(Flat!Y$2,'Ceiling-U'!$A$4:$A$40,'Ceiling-U'!$I$4:$I$40)*Flat!Y$15)+(LOOKUP(Flat!Y$2,'Floor-U'!$A$4:$A$40,'Floor-U'!$I$4:$I$40)*Flat!Y$16)+(LOOKUP(Flat!Y$2,'Wall-U'!$A$4:$A$40,'Wall-U'!$I$4:$I$40)*Flat!Y$13)+(LOOKUP(Flat!Y$2,'Window-U'!$A$4:$A$40,'Window-U'!$R$4:$R$40)*Flat!Y$22))*Y37</f>
        <v>3426.7192174783768</v>
      </c>
      <c r="Z42" s="177">
        <f>((LOOKUP(Flat!Z$2,'Ceiling-U'!$A$4:$A$40,'Ceiling-U'!$I$4:$I$40)*Flat!Z$15)+(LOOKUP(Flat!Z$2,'Floor-U'!$A$4:$A$40,'Floor-U'!$I$4:$I$40)*Flat!Z$16)+(LOOKUP(Flat!Z$2,'Wall-U'!$A$4:$A$40,'Wall-U'!$I$4:$I$40)*Flat!Z$13)+(LOOKUP(Flat!Z$2,'Window-U'!$A$4:$A$40,'Window-U'!$R$4:$R$40)*Flat!Z$22))*Z37</f>
        <v>1181.5174172986456</v>
      </c>
      <c r="AA42" s="177">
        <f>((LOOKUP(Flat!AA$2,'Ceiling-U'!$A$4:$A$40,'Ceiling-U'!$I$4:$I$40)*Flat!AA$15)+(LOOKUP(Flat!AA$2,'Floor-U'!$A$4:$A$40,'Floor-U'!$I$4:$I$40)*Flat!AA$16)+(LOOKUP(Flat!AA$2,'Wall-U'!$A$4:$A$40,'Wall-U'!$I$4:$I$40)*Flat!AA$13)+(LOOKUP(Flat!AA$2,'Window-U'!$A$4:$A$40,'Window-U'!$R$4:$R$40)*Flat!AA$22))*AA37</f>
        <v>510.32281315177102</v>
      </c>
      <c r="AB42" s="177">
        <f>((LOOKUP(Flat!AB$2,'Ceiling-U'!$A$4:$A$40,'Ceiling-U'!$I$4:$I$40)*Flat!AB$15)+(LOOKUP(Flat!AB$2,'Floor-U'!$A$4:$A$40,'Floor-U'!$I$4:$I$40)*Flat!AB$16)+(LOOKUP(Flat!AB$2,'Wall-U'!$A$4:$A$40,'Wall-U'!$I$4:$I$40)*Flat!AB$13)+(LOOKUP(Flat!AB$2,'Window-U'!$A$4:$A$40,'Window-U'!$R$4:$R$40)*Flat!AB$22))*AB37</f>
        <v>1542.3742330699797</v>
      </c>
      <c r="AC42" s="177">
        <f>((LOOKUP(Flat!AC$2,'Ceiling-U'!$A$4:$A$40,'Ceiling-U'!$I$4:$I$40)*Flat!AC$15)+(LOOKUP(Flat!AC$2,'Floor-U'!$A$4:$A$40,'Floor-U'!$I$4:$I$40)*Flat!AC$16)+(LOOKUP(Flat!AC$2,'Wall-U'!$A$4:$A$40,'Wall-U'!$I$4:$I$40)*Flat!AC$13)+(LOOKUP(Flat!AC$2,'Window-U'!$A$4:$A$40,'Window-U'!$R$4:$R$40)*Flat!AC$22))*AC37</f>
        <v>3138.7107074386104</v>
      </c>
      <c r="AD42" s="177">
        <f>((LOOKUP(Flat!AD$2,'Ceiling-U'!$A$4:$A$40,'Ceiling-U'!$I$4:$I$40)*Flat!AD$15)+(LOOKUP(Flat!AD$2,'Floor-U'!$A$4:$A$40,'Floor-U'!$I$4:$I$40)*Flat!AD$16)+(LOOKUP(Flat!AD$2,'Wall-U'!$A$4:$A$40,'Wall-U'!$I$4:$I$40)*Flat!AD$13)+(LOOKUP(Flat!AD$2,'Window-U'!$A$4:$A$40,'Window-U'!$R$4:$R$40)*Flat!AD$22))*AD37</f>
        <v>4636.0433509321583</v>
      </c>
      <c r="AE42" s="177">
        <f>((LOOKUP(Flat!AE$2,'Ceiling-U'!$A$4:$A$40,'Ceiling-U'!$I$4:$I$40)*Flat!AE$15)+(LOOKUP(Flat!AE$2,'Floor-U'!$A$4:$A$40,'Floor-U'!$I$4:$I$40)*Flat!AE$16)+(LOOKUP(Flat!AE$2,'Wall-U'!$A$4:$A$40,'Wall-U'!$I$4:$I$40)*Flat!AE$13)+(LOOKUP(Flat!AE$2,'Window-U'!$A$4:$A$40,'Window-U'!$R$4:$R$40)*Flat!AE$22))*AE37</f>
        <v>510.32281315177102</v>
      </c>
      <c r="AF42" s="177">
        <f>((LOOKUP(Flat!AF$2,'Ceiling-U'!$A$4:$A$40,'Ceiling-U'!$I$4:$I$40)*Flat!AF$15)+(LOOKUP(Flat!AF$2,'Floor-U'!$A$4:$A$40,'Floor-U'!$I$4:$I$40)*Flat!AF$16)+(LOOKUP(Flat!AF$2,'Wall-U'!$A$4:$A$40,'Wall-U'!$I$4:$I$40)*Flat!AF$13)+(LOOKUP(Flat!AF$2,'Window-U'!$A$4:$A$40,'Window-U'!$R$4:$R$40)*Flat!AF$22))*AF37</f>
        <v>959.31062836641877</v>
      </c>
      <c r="AG42" s="177">
        <f>((LOOKUP(Flat!AG$2,'Ceiling-U'!$A$4:$A$40,'Ceiling-U'!$I$4:$I$40)*Flat!AG$15)+(LOOKUP(Flat!AG$2,'Floor-U'!$A$4:$A$40,'Floor-U'!$I$4:$I$40)*Flat!AG$16)+(LOOKUP(Flat!AG$2,'Wall-U'!$A$4:$A$40,'Wall-U'!$I$4:$I$40)*Flat!AG$13)+(LOOKUP(Flat!AG$2,'Window-U'!$A$4:$A$40,'Window-U'!$R$4:$R$40)*Flat!AG$22))*AG37</f>
        <v>1674.6606407322508</v>
      </c>
      <c r="AH42" s="177">
        <f>((LOOKUP(Flat!AH$2,'Ceiling-U'!$A$4:$A$40,'Ceiling-U'!$I$4:$I$40)*Flat!AH$15)+(LOOKUP(Flat!AH$2,'Floor-U'!$A$4:$A$40,'Floor-U'!$I$4:$I$40)*Flat!AH$16)+(LOOKUP(Flat!AH$2,'Wall-U'!$A$4:$A$40,'Wall-U'!$I$4:$I$40)*Flat!AH$13)+(LOOKUP(Flat!AH$2,'Window-U'!$A$4:$A$40,'Window-U'!$R$4:$R$40)*Flat!AH$22))*AH37</f>
        <v>2253.7951853462973</v>
      </c>
      <c r="AI42" s="177">
        <f>((LOOKUP(Flat!AI$2,'Ceiling-U'!$A$4:$A$40,'Ceiling-U'!$I$4:$I$40)*Flat!AI$15)+(LOOKUP(Flat!AI$2,'Floor-U'!$A$4:$A$40,'Floor-U'!$I$4:$I$40)*Flat!AI$16)+(LOOKUP(Flat!AI$2,'Wall-U'!$A$4:$A$40,'Wall-U'!$I$4:$I$40)*Flat!AI$13)+(LOOKUP(Flat!AI$2,'Window-U'!$A$4:$A$40,'Window-U'!$R$4:$R$40)*Flat!AI$22))*AI37</f>
        <v>4051.3548853856501</v>
      </c>
      <c r="AJ42" s="177">
        <f>((LOOKUP(Flat!AJ$2,'Ceiling-U'!$A$4:$A$40,'Ceiling-U'!$I$4:$I$40)*Flat!AJ$15)+(LOOKUP(Flat!AJ$2,'Floor-U'!$A$4:$A$40,'Floor-U'!$I$4:$I$40)*Flat!AJ$16)+(LOOKUP(Flat!AJ$2,'Wall-U'!$A$4:$A$40,'Wall-U'!$I$4:$I$40)*Flat!AJ$13)+(LOOKUP(Flat!AJ$2,'Window-U'!$A$4:$A$40,'Window-U'!$R$4:$R$40)*Flat!AJ$22))*AJ37</f>
        <v>1704.3497973292624</v>
      </c>
      <c r="AK42" s="177">
        <f>((LOOKUP(Flat!AK$2,'Ceiling-U'!$A$4:$A$40,'Ceiling-U'!$I$4:$I$40)*Flat!AK$15)+(LOOKUP(Flat!AK$2,'Floor-U'!$A$4:$A$40,'Floor-U'!$I$4:$I$40)*Flat!AK$16)+(LOOKUP(Flat!AK$2,'Wall-U'!$A$4:$A$40,'Wall-U'!$I$4:$I$40)*Flat!AK$13)+(LOOKUP(Flat!AK$2,'Window-U'!$A$4:$A$40,'Window-U'!$R$4:$R$40)*Flat!AK$22))*AK37</f>
        <v>1841.4774426928248</v>
      </c>
      <c r="AL42" s="177">
        <f>((LOOKUP(Flat!AL$2,'Ceiling-U'!$A$4:$A$40,'Ceiling-U'!$I$4:$I$40)*Flat!AL$15)+(LOOKUP(Flat!AL$2,'Floor-U'!$A$4:$A$40,'Floor-U'!$I$4:$I$40)*Flat!AL$16)+(LOOKUP(Flat!AL$2,'Wall-U'!$A$4:$A$40,'Wall-U'!$I$4:$I$40)*Flat!AL$13)+(LOOKUP(Flat!AL$2,'Window-U'!$A$4:$A$40,'Window-U'!$R$4:$R$40)*Flat!AL$22))*AL37</f>
        <v>1428.200291873017</v>
      </c>
      <c r="AM42" s="177">
        <f>((LOOKUP(Flat!AM$2,'Ceiling-U'!$A$4:$A$40,'Ceiling-U'!$I$4:$I$40)*Flat!AM$15)+(LOOKUP(Flat!AM$2,'Floor-U'!$A$4:$A$40,'Floor-U'!$I$4:$I$40)*Flat!AM$16)+(LOOKUP(Flat!AM$2,'Wall-U'!$A$4:$A$40,'Wall-U'!$I$4:$I$40)*Flat!AM$13)+(LOOKUP(Flat!AM$2,'Window-U'!$A$4:$A$40,'Window-U'!$R$4:$R$40)*Flat!AM$22))*AM37</f>
        <v>1704.3497973292624</v>
      </c>
      <c r="AN42" s="178">
        <f>((LOOKUP(Flat!AN$2,'Ceiling-U'!$A$4:$A$40,'Ceiling-U'!$I$4:$I$40)*Flat!AN$15)+(LOOKUP(Flat!AN$2,'Floor-U'!$A$4:$A$40,'Floor-U'!$I$4:$I$40)*Flat!AN$16)+(LOOKUP(Flat!AN$2,'Wall-U'!$A$4:$A$40,'Wall-U'!$I$4:$I$40)*Flat!AN$13)+(LOOKUP(Flat!AN$2,'Window-U'!$A$4:$A$40,'Window-U'!$R$4:$R$40)*Flat!AN$22))*AN37</f>
        <v>1704.3497973292624</v>
      </c>
    </row>
    <row r="43" spans="1:40" s="5" customFormat="1">
      <c r="A43" s="373"/>
      <c r="B43" s="374" t="s">
        <v>7</v>
      </c>
      <c r="C43" s="131" t="s">
        <v>195</v>
      </c>
      <c r="D43" s="176">
        <f>((LOOKUP(Flat!D$2,'Ceiling-U'!$A$4:$A$40,'Ceiling-U'!$J$4:$J$40)*Flat!D$15)+(LOOKUP(Flat!D$2,'Floor-U'!$A$4:$A$40,'Floor-U'!$J$4:$J$40)*Flat!D$16)+(LOOKUP(Flat!D$2,'Wall-U'!$A$4:$A$40,'Wall-U'!$J$4:$J$40)*Flat!D$13)+(LOOKUP(Flat!D$2,'Window-U'!$A$4:$A$40,'Window-U'!$R$4:$R$40)*Flat!D$22))*D37</f>
        <v>890.95601523038977</v>
      </c>
      <c r="E43" s="174">
        <f>((LOOKUP(Flat!E$2,'Ceiling-U'!$A$4:$A$40,'Ceiling-U'!$J$4:$J$40)*Flat!E$15)+(LOOKUP(Flat!E$2,'Floor-U'!$A$4:$A$40,'Floor-U'!$J$4:$J$40)*Flat!E$16)+(LOOKUP(Flat!E$2,'Wall-U'!$A$4:$A$40,'Wall-U'!$J$4:$J$40)*Flat!E$13)+(LOOKUP(Flat!E$2,'Window-U'!$A$4:$A$40,'Window-U'!$R$4:$R$40)*Flat!E$22))*E37</f>
        <v>1398.3766048074103</v>
      </c>
      <c r="F43" s="174">
        <f>((LOOKUP(Flat!F$2,'Ceiling-U'!$A$4:$A$40,'Ceiling-U'!$J$4:$J$40)*Flat!F$15)+(LOOKUP(Flat!F$2,'Floor-U'!$A$4:$A$40,'Floor-U'!$J$4:$J$40)*Flat!F$16)+(LOOKUP(Flat!F$2,'Wall-U'!$A$4:$A$40,'Wall-U'!$J$4:$J$40)*Flat!F$13)+(LOOKUP(Flat!F$2,'Window-U'!$A$4:$A$40,'Window-U'!$R$4:$R$40)*Flat!F$22))*F37</f>
        <v>1433.3168288377904</v>
      </c>
      <c r="G43" s="174">
        <f>((LOOKUP(Flat!G$2,'Ceiling-U'!$A$4:$A$40,'Ceiling-U'!$J$4:$J$40)*Flat!G$15)+(LOOKUP(Flat!G$2,'Floor-U'!$A$4:$A$40,'Floor-U'!$J$4:$J$40)*Flat!G$16)+(LOOKUP(Flat!G$2,'Wall-U'!$A$4:$A$40,'Wall-U'!$J$4:$J$40)*Flat!G$13)+(LOOKUP(Flat!G$2,'Window-U'!$A$4:$A$40,'Window-U'!$R$4:$R$40)*Flat!G$22))*G37</f>
        <v>890.95601523038977</v>
      </c>
      <c r="H43" s="174">
        <f>((LOOKUP(Flat!H$2,'Ceiling-U'!$A$4:$A$40,'Ceiling-U'!$J$4:$J$40)*Flat!H$15)+(LOOKUP(Flat!H$2,'Floor-U'!$A$4:$A$40,'Floor-U'!$J$4:$J$40)*Flat!H$16)+(LOOKUP(Flat!H$2,'Wall-U'!$A$4:$A$40,'Wall-U'!$J$4:$J$40)*Flat!H$13)+(LOOKUP(Flat!H$2,'Window-U'!$A$4:$A$40,'Window-U'!$R$4:$R$40)*Flat!H$22))*H37</f>
        <v>2744.7068331300243</v>
      </c>
      <c r="I43" s="174">
        <f>((LOOKUP(Flat!I$2,'Ceiling-U'!$A$4:$A$40,'Ceiling-U'!$J$4:$J$40)*Flat!I$15)+(LOOKUP(Flat!I$2,'Floor-U'!$A$4:$A$40,'Floor-U'!$J$4:$J$40)*Flat!I$16)+(LOOKUP(Flat!I$2,'Wall-U'!$A$4:$A$40,'Wall-U'!$J$4:$J$40)*Flat!I$13)+(LOOKUP(Flat!I$2,'Window-U'!$A$4:$A$40,'Window-U'!$R$4:$R$40)*Flat!I$22))*I37</f>
        <v>761.28389810016722</v>
      </c>
      <c r="J43" s="174">
        <f>((LOOKUP(Flat!J$2,'Ceiling-U'!$A$4:$A$40,'Ceiling-U'!$J$4:$J$40)*Flat!J$15)+(LOOKUP(Flat!J$2,'Floor-U'!$A$4:$A$40,'Floor-U'!$J$4:$J$40)*Flat!J$16)+(LOOKUP(Flat!J$2,'Wall-U'!$A$4:$A$40,'Wall-U'!$J$4:$J$40)*Flat!J$13)+(LOOKUP(Flat!J$2,'Window-U'!$A$4:$A$40,'Window-U'!$R$4:$R$40)*Flat!J$22))*J37</f>
        <v>720.44968278263286</v>
      </c>
      <c r="K43" s="174">
        <f>((LOOKUP(Flat!K$2,'Ceiling-U'!$A$4:$A$40,'Ceiling-U'!$J$4:$J$40)*Flat!K$15)+(LOOKUP(Flat!K$2,'Floor-U'!$A$4:$A$40,'Floor-U'!$J$4:$J$40)*Flat!K$16)+(LOOKUP(Flat!K$2,'Wall-U'!$A$4:$A$40,'Wall-U'!$J$4:$J$40)*Flat!K$13)+(LOOKUP(Flat!K$2,'Window-U'!$A$4:$A$40,'Window-U'!$R$4:$R$40)*Flat!K$22))*K37</f>
        <v>820.89788442644681</v>
      </c>
      <c r="L43" s="174">
        <f>((LOOKUP(Flat!L$2,'Ceiling-U'!$A$4:$A$40,'Ceiling-U'!$J$4:$J$40)*Flat!L$15)+(LOOKUP(Flat!L$2,'Floor-U'!$A$4:$A$40,'Floor-U'!$J$4:$J$40)*Flat!L$16)+(LOOKUP(Flat!L$2,'Wall-U'!$A$4:$A$40,'Wall-U'!$J$4:$J$40)*Flat!L$13)+(LOOKUP(Flat!L$2,'Window-U'!$A$4:$A$40,'Window-U'!$R$4:$R$40)*Flat!L$22))*L37</f>
        <v>498.70926918035286</v>
      </c>
      <c r="M43" s="174">
        <f>((LOOKUP(Flat!M$2,'Ceiling-U'!$A$4:$A$40,'Ceiling-U'!$J$4:$J$40)*Flat!M$15)+(LOOKUP(Flat!M$2,'Floor-U'!$A$4:$A$40,'Floor-U'!$J$4:$J$40)*Flat!M$16)+(LOOKUP(Flat!M$2,'Wall-U'!$A$4:$A$40,'Wall-U'!$J$4:$J$40)*Flat!M$13)+(LOOKUP(Flat!M$2,'Window-U'!$A$4:$A$40,'Window-U'!$R$4:$R$40)*Flat!M$22))*M37</f>
        <v>970.07508155097014</v>
      </c>
      <c r="N43" s="174">
        <f>((LOOKUP(Flat!N$2,'Ceiling-U'!$A$4:$A$40,'Ceiling-U'!$J$4:$J$40)*Flat!N$15)+(LOOKUP(Flat!N$2,'Floor-U'!$A$4:$A$40,'Floor-U'!$J$4:$J$40)*Flat!N$16)+(LOOKUP(Flat!N$2,'Wall-U'!$A$4:$A$40,'Wall-U'!$J$4:$J$40)*Flat!N$13)+(LOOKUP(Flat!N$2,'Window-U'!$A$4:$A$40,'Window-U'!$R$4:$R$40)*Flat!N$22))*N37</f>
        <v>1188.1328129161225</v>
      </c>
      <c r="O43" s="174">
        <f>((LOOKUP(Flat!O$2,'Ceiling-U'!$A$4:$A$40,'Ceiling-U'!$J$4:$J$40)*Flat!O$15)+(LOOKUP(Flat!O$2,'Floor-U'!$A$4:$A$40,'Floor-U'!$J$4:$J$40)*Flat!O$16)+(LOOKUP(Flat!O$2,'Wall-U'!$A$4:$A$40,'Wall-U'!$J$4:$J$40)*Flat!O$13)+(LOOKUP(Flat!O$2,'Window-U'!$A$4:$A$40,'Window-U'!$R$4:$R$40)*Flat!O$22))*O37</f>
        <v>783.2982468767002</v>
      </c>
      <c r="P43" s="174">
        <f>((LOOKUP(Flat!P$2,'Ceiling-U'!$A$4:$A$40,'Ceiling-U'!$J$4:$J$40)*Flat!P$15)+(LOOKUP(Flat!P$2,'Floor-U'!$A$4:$A$40,'Floor-U'!$J$4:$J$40)*Flat!P$16)+(LOOKUP(Flat!P$2,'Wall-U'!$A$4:$A$40,'Wall-U'!$J$4:$J$40)*Flat!P$13)+(LOOKUP(Flat!P$2,'Window-U'!$A$4:$A$40,'Window-U'!$R$4:$R$40)*Flat!P$22))*P37</f>
        <v>749.54842670389974</v>
      </c>
      <c r="Q43" s="174">
        <f>((LOOKUP(Flat!Q$2,'Ceiling-U'!$A$4:$A$40,'Ceiling-U'!$J$4:$J$40)*Flat!Q$15)+(LOOKUP(Flat!Q$2,'Floor-U'!$A$4:$A$40,'Floor-U'!$J$4:$J$40)*Flat!Q$16)+(LOOKUP(Flat!Q$2,'Wall-U'!$A$4:$A$40,'Wall-U'!$J$4:$J$40)*Flat!Q$13)+(LOOKUP(Flat!Q$2,'Window-U'!$A$4:$A$40,'Window-U'!$R$4:$R$40)*Flat!Q$22))*Q37</f>
        <v>786.84136765449921</v>
      </c>
      <c r="R43" s="174">
        <f>((LOOKUP(Flat!R$2,'Ceiling-U'!$A$4:$A$40,'Ceiling-U'!$J$4:$J$40)*Flat!R$15)+(LOOKUP(Flat!R$2,'Floor-U'!$A$4:$A$40,'Floor-U'!$J$4:$J$40)*Flat!R$16)+(LOOKUP(Flat!R$2,'Wall-U'!$A$4:$A$40,'Wall-U'!$J$4:$J$40)*Flat!R$13)+(LOOKUP(Flat!R$2,'Window-U'!$A$4:$A$40,'Window-U'!$R$4:$R$40)*Flat!R$22))*R37</f>
        <v>752.10508321931547</v>
      </c>
      <c r="S43" s="174">
        <f>((LOOKUP(Flat!S$2,'Ceiling-U'!$A$4:$A$40,'Ceiling-U'!$J$4:$J$40)*Flat!S$15)+(LOOKUP(Flat!S$2,'Floor-U'!$A$4:$A$40,'Floor-U'!$J$4:$J$40)*Flat!S$16)+(LOOKUP(Flat!S$2,'Wall-U'!$A$4:$A$40,'Wall-U'!$J$4:$J$40)*Flat!S$13)+(LOOKUP(Flat!S$2,'Window-U'!$A$4:$A$40,'Window-U'!$R$4:$R$40)*Flat!S$22))*S37</f>
        <v>2177.1598895463776</v>
      </c>
      <c r="T43" s="174">
        <f>((LOOKUP(Flat!T$2,'Ceiling-U'!$A$4:$A$40,'Ceiling-U'!$J$4:$J$40)*Flat!T$15)+(LOOKUP(Flat!T$2,'Floor-U'!$A$4:$A$40,'Floor-U'!$J$4:$J$40)*Flat!T$16)+(LOOKUP(Flat!T$2,'Wall-U'!$A$4:$A$40,'Wall-U'!$J$4:$J$40)*Flat!T$13)+(LOOKUP(Flat!T$2,'Window-U'!$A$4:$A$40,'Window-U'!$R$4:$R$40)*Flat!T$22))*T37</f>
        <v>579.13070277233282</v>
      </c>
      <c r="U43" s="174">
        <f>((LOOKUP(Flat!U$2,'Ceiling-U'!$A$4:$A$40,'Ceiling-U'!$J$4:$J$40)*Flat!U$15)+(LOOKUP(Flat!U$2,'Floor-U'!$A$4:$A$40,'Floor-U'!$J$4:$J$40)*Flat!U$16)+(LOOKUP(Flat!U$2,'Wall-U'!$A$4:$A$40,'Wall-U'!$J$4:$J$40)*Flat!U$13)+(LOOKUP(Flat!U$2,'Window-U'!$A$4:$A$40,'Window-U'!$R$4:$R$40)*Flat!U$22))*U37</f>
        <v>2114.54796454286</v>
      </c>
      <c r="V43" s="174">
        <f>((LOOKUP(Flat!V$2,'Ceiling-U'!$A$4:$A$40,'Ceiling-U'!$J$4:$J$40)*Flat!V$15)+(LOOKUP(Flat!V$2,'Floor-U'!$A$4:$A$40,'Floor-U'!$J$4:$J$40)*Flat!V$16)+(LOOKUP(Flat!V$2,'Wall-U'!$A$4:$A$40,'Wall-U'!$J$4:$J$40)*Flat!V$13)+(LOOKUP(Flat!V$2,'Window-U'!$A$4:$A$40,'Window-U'!$R$4:$R$40)*Flat!V$22))*V37</f>
        <v>504.78777566120596</v>
      </c>
      <c r="W43" s="174">
        <f>((LOOKUP(Flat!W$2,'Ceiling-U'!$A$4:$A$40,'Ceiling-U'!$J$4:$J$40)*Flat!W$15)+(LOOKUP(Flat!W$2,'Floor-U'!$A$4:$A$40,'Floor-U'!$J$4:$J$40)*Flat!W$16)+(LOOKUP(Flat!W$2,'Wall-U'!$A$4:$A$40,'Wall-U'!$J$4:$J$40)*Flat!W$13)+(LOOKUP(Flat!W$2,'Window-U'!$A$4:$A$40,'Window-U'!$R$4:$R$40)*Flat!W$22))*W37</f>
        <v>853.81000799320395</v>
      </c>
      <c r="X43" s="174">
        <f>((LOOKUP(Flat!X$2,'Ceiling-U'!$A$4:$A$40,'Ceiling-U'!$J$4:$J$40)*Flat!X$15)+(LOOKUP(Flat!X$2,'Floor-U'!$A$4:$A$40,'Floor-U'!$J$4:$J$40)*Flat!X$16)+(LOOKUP(Flat!X$2,'Wall-U'!$A$4:$A$40,'Wall-U'!$J$4:$J$40)*Flat!X$13)+(LOOKUP(Flat!X$2,'Window-U'!$A$4:$A$40,'Window-U'!$R$4:$R$40)*Flat!X$22))*X37</f>
        <v>489.11280280548851</v>
      </c>
      <c r="Y43" s="174">
        <f>((LOOKUP(Flat!Y$2,'Ceiling-U'!$A$4:$A$40,'Ceiling-U'!$J$4:$J$40)*Flat!Y$15)+(LOOKUP(Flat!Y$2,'Floor-U'!$A$4:$A$40,'Floor-U'!$J$4:$J$40)*Flat!Y$16)+(LOOKUP(Flat!Y$2,'Wall-U'!$A$4:$A$40,'Wall-U'!$J$4:$J$40)*Flat!Y$13)+(LOOKUP(Flat!Y$2,'Window-U'!$A$4:$A$40,'Window-U'!$R$4:$R$40)*Flat!Y$22))*Y37</f>
        <v>3180.4857919049155</v>
      </c>
      <c r="Z43" s="174">
        <f>((LOOKUP(Flat!Z$2,'Ceiling-U'!$A$4:$A$40,'Ceiling-U'!$J$4:$J$40)*Flat!Z$15)+(LOOKUP(Flat!Z$2,'Floor-U'!$A$4:$A$40,'Floor-U'!$J$4:$J$40)*Flat!Z$16)+(LOOKUP(Flat!Z$2,'Wall-U'!$A$4:$A$40,'Wall-U'!$J$4:$J$40)*Flat!Z$13)+(LOOKUP(Flat!Z$2,'Window-U'!$A$4:$A$40,'Window-U'!$R$4:$R$40)*Flat!Z$22))*Z37</f>
        <v>899.54475328075023</v>
      </c>
      <c r="AA43" s="174">
        <f>((LOOKUP(Flat!AA$2,'Ceiling-U'!$A$4:$A$40,'Ceiling-U'!$J$4:$J$40)*Flat!AA$15)+(LOOKUP(Flat!AA$2,'Floor-U'!$A$4:$A$40,'Floor-U'!$J$4:$J$40)*Flat!AA$16)+(LOOKUP(Flat!AA$2,'Wall-U'!$A$4:$A$40,'Wall-U'!$J$4:$J$40)*Flat!AA$13)+(LOOKUP(Flat!AA$2,'Window-U'!$A$4:$A$40,'Window-U'!$R$4:$R$40)*Flat!AA$22))*AA37</f>
        <v>510.32281315177102</v>
      </c>
      <c r="AB43" s="174">
        <f>((LOOKUP(Flat!AB$2,'Ceiling-U'!$A$4:$A$40,'Ceiling-U'!$J$4:$J$40)*Flat!AB$15)+(LOOKUP(Flat!AB$2,'Floor-U'!$A$4:$A$40,'Floor-U'!$J$4:$J$40)*Flat!AB$16)+(LOOKUP(Flat!AB$2,'Wall-U'!$A$4:$A$40,'Wall-U'!$J$4:$J$40)*Flat!AB$13)+(LOOKUP(Flat!AB$2,'Window-U'!$A$4:$A$40,'Window-U'!$R$4:$R$40)*Flat!AB$22))*AB37</f>
        <v>1134.7198107355189</v>
      </c>
      <c r="AC43" s="174">
        <f>((LOOKUP(Flat!AC$2,'Ceiling-U'!$A$4:$A$40,'Ceiling-U'!$J$4:$J$40)*Flat!AC$15)+(LOOKUP(Flat!AC$2,'Floor-U'!$A$4:$A$40,'Floor-U'!$J$4:$J$40)*Flat!AC$16)+(LOOKUP(Flat!AC$2,'Wall-U'!$A$4:$A$40,'Wall-U'!$J$4:$J$40)*Flat!AC$13)+(LOOKUP(Flat!AC$2,'Window-U'!$A$4:$A$40,'Window-U'!$R$4:$R$40)*Flat!AC$22))*AC37</f>
        <v>2032.6140200131081</v>
      </c>
      <c r="AD43" s="174">
        <f>((LOOKUP(Flat!AD$2,'Ceiling-U'!$A$4:$A$40,'Ceiling-U'!$J$4:$J$40)*Flat!AD$15)+(LOOKUP(Flat!AD$2,'Floor-U'!$A$4:$A$40,'Floor-U'!$J$4:$J$40)*Flat!AD$16)+(LOOKUP(Flat!AD$2,'Wall-U'!$A$4:$A$40,'Wall-U'!$J$4:$J$40)*Flat!AD$13)+(LOOKUP(Flat!AD$2,'Window-U'!$A$4:$A$40,'Window-U'!$R$4:$R$40)*Flat!AD$22))*AD37</f>
        <v>3820.6937734145713</v>
      </c>
      <c r="AE43" s="174">
        <f>((LOOKUP(Flat!AE$2,'Ceiling-U'!$A$4:$A$40,'Ceiling-U'!$J$4:$J$40)*Flat!AE$15)+(LOOKUP(Flat!AE$2,'Floor-U'!$A$4:$A$40,'Floor-U'!$J$4:$J$40)*Flat!AE$16)+(LOOKUP(Flat!AE$2,'Wall-U'!$A$4:$A$40,'Wall-U'!$J$4:$J$40)*Flat!AE$13)+(LOOKUP(Flat!AE$2,'Window-U'!$A$4:$A$40,'Window-U'!$R$4:$R$40)*Flat!AE$22))*AE37</f>
        <v>510.32281315177102</v>
      </c>
      <c r="AF43" s="174">
        <f>((LOOKUP(Flat!AF$2,'Ceiling-U'!$A$4:$A$40,'Ceiling-U'!$J$4:$J$40)*Flat!AF$15)+(LOOKUP(Flat!AF$2,'Floor-U'!$A$4:$A$40,'Floor-U'!$J$4:$J$40)*Flat!AF$16)+(LOOKUP(Flat!AF$2,'Wall-U'!$A$4:$A$40,'Wall-U'!$J$4:$J$40)*Flat!AF$13)+(LOOKUP(Flat!AF$2,'Window-U'!$A$4:$A$40,'Window-U'!$R$4:$R$40)*Flat!AF$22))*AF37</f>
        <v>571.53538000766207</v>
      </c>
      <c r="AG43" s="174">
        <f>((LOOKUP(Flat!AG$2,'Ceiling-U'!$A$4:$A$40,'Ceiling-U'!$J$4:$J$40)*Flat!AG$15)+(LOOKUP(Flat!AG$2,'Floor-U'!$A$4:$A$40,'Floor-U'!$J$4:$J$40)*Flat!AG$16)+(LOOKUP(Flat!AG$2,'Wall-U'!$A$4:$A$40,'Wall-U'!$J$4:$J$40)*Flat!AG$13)+(LOOKUP(Flat!AG$2,'Window-U'!$A$4:$A$40,'Window-U'!$R$4:$R$40)*Flat!AG$22))*AG37</f>
        <v>963.91129151883536</v>
      </c>
      <c r="AH43" s="174">
        <f>((LOOKUP(Flat!AH$2,'Ceiling-U'!$A$4:$A$40,'Ceiling-U'!$J$4:$J$40)*Flat!AH$15)+(LOOKUP(Flat!AH$2,'Floor-U'!$A$4:$A$40,'Floor-U'!$J$4:$J$40)*Flat!AH$16)+(LOOKUP(Flat!AH$2,'Wall-U'!$A$4:$A$40,'Wall-U'!$J$4:$J$40)*Flat!AH$13)+(LOOKUP(Flat!AH$2,'Window-U'!$A$4:$A$40,'Window-U'!$R$4:$R$40)*Flat!AH$22))*AH37</f>
        <v>1951.1216890706594</v>
      </c>
      <c r="AI43" s="174">
        <f>((LOOKUP(Flat!AI$2,'Ceiling-U'!$A$4:$A$40,'Ceiling-U'!$J$4:$J$40)*Flat!AI$15)+(LOOKUP(Flat!AI$2,'Floor-U'!$A$4:$A$40,'Floor-U'!$J$4:$J$40)*Flat!AI$16)+(LOOKUP(Flat!AI$2,'Wall-U'!$A$4:$A$40,'Wall-U'!$J$4:$J$40)*Flat!AI$13)+(LOOKUP(Flat!AI$2,'Window-U'!$A$4:$A$40,'Window-U'!$R$4:$R$40)*Flat!AI$22))*AI37</f>
        <v>1227.2948515597227</v>
      </c>
      <c r="AJ43" s="174">
        <f>((LOOKUP(Flat!AJ$2,'Ceiling-U'!$A$4:$A$40,'Ceiling-U'!$J$4:$J$40)*Flat!AJ$15)+(LOOKUP(Flat!AJ$2,'Floor-U'!$A$4:$A$40,'Floor-U'!$J$4:$J$40)*Flat!AJ$16)+(LOOKUP(Flat!AJ$2,'Wall-U'!$A$4:$A$40,'Wall-U'!$J$4:$J$40)*Flat!AJ$13)+(LOOKUP(Flat!AJ$2,'Window-U'!$A$4:$A$40,'Window-U'!$R$4:$R$40)*Flat!AJ$22))*AJ37</f>
        <v>1462.398008014851</v>
      </c>
      <c r="AK43" s="174">
        <f>((LOOKUP(Flat!AK$2,'Ceiling-U'!$A$4:$A$40,'Ceiling-U'!$J$4:$J$40)*Flat!AK$15)+(LOOKUP(Flat!AK$2,'Floor-U'!$A$4:$A$40,'Floor-U'!$J$4:$J$40)*Flat!AK$16)+(LOOKUP(Flat!AK$2,'Wall-U'!$A$4:$A$40,'Wall-U'!$J$4:$J$40)*Flat!AK$13)+(LOOKUP(Flat!AK$2,'Window-U'!$A$4:$A$40,'Window-U'!$R$4:$R$40)*Flat!AK$22))*AK37</f>
        <v>1578.0497258395837</v>
      </c>
      <c r="AL43" s="174">
        <f>((LOOKUP(Flat!AL$2,'Ceiling-U'!$A$4:$A$40,'Ceiling-U'!$J$4:$J$40)*Flat!AL$15)+(LOOKUP(Flat!AL$2,'Floor-U'!$A$4:$A$40,'Floor-U'!$J$4:$J$40)*Flat!AL$16)+(LOOKUP(Flat!AL$2,'Wall-U'!$A$4:$A$40,'Wall-U'!$J$4:$J$40)*Flat!AL$13)+(LOOKUP(Flat!AL$2,'Window-U'!$A$4:$A$40,'Window-U'!$R$4:$R$40)*Flat!AL$22))*AL37</f>
        <v>850.78784506812394</v>
      </c>
      <c r="AM43" s="174">
        <f>((LOOKUP(Flat!AM$2,'Ceiling-U'!$A$4:$A$40,'Ceiling-U'!$J$4:$J$40)*Flat!AM$15)+(LOOKUP(Flat!AM$2,'Floor-U'!$A$4:$A$40,'Floor-U'!$J$4:$J$40)*Flat!AM$16)+(LOOKUP(Flat!AM$2,'Wall-U'!$A$4:$A$40,'Wall-U'!$J$4:$J$40)*Flat!AM$13)+(LOOKUP(Flat!AM$2,'Window-U'!$A$4:$A$40,'Window-U'!$R$4:$R$40)*Flat!AM$22))*AM37</f>
        <v>1462.398008014851</v>
      </c>
      <c r="AN43" s="175">
        <f>((LOOKUP(Flat!AN$2,'Ceiling-U'!$A$4:$A$40,'Ceiling-U'!$J$4:$J$40)*Flat!AN$15)+(LOOKUP(Flat!AN$2,'Floor-U'!$A$4:$A$40,'Floor-U'!$J$4:$J$40)*Flat!AN$16)+(LOOKUP(Flat!AN$2,'Wall-U'!$A$4:$A$40,'Wall-U'!$J$4:$J$40)*Flat!AN$13)+(LOOKUP(Flat!AN$2,'Window-U'!$A$4:$A$40,'Window-U'!$R$4:$R$40)*Flat!AN$22))*AN37</f>
        <v>1462.398008014851</v>
      </c>
    </row>
    <row r="44" spans="1:40" s="5" customFormat="1">
      <c r="A44" s="332" t="s">
        <v>280</v>
      </c>
      <c r="B44" s="142" t="s">
        <v>2</v>
      </c>
      <c r="C44" s="360" t="s">
        <v>261</v>
      </c>
      <c r="D44" s="351">
        <f>D38*24*LOOKUP(Flat!D$2,'HDD-by Country'!$A$4:$A$40,'HDD-by Country'!$C$4:$C$40)/1000/Flat!D$3</f>
        <v>10623.651111791713</v>
      </c>
      <c r="E44" s="352">
        <f>E38*24*LOOKUP(Flat!E$2,'HDD-by Country'!$A$4:$A$40,'HDD-by Country'!$C$4:$C$40)/1000/Flat!E$3</f>
        <v>10351.627620059617</v>
      </c>
      <c r="F44" s="352">
        <f>F38*24*LOOKUP(Flat!F$2,'HDD-by Country'!$A$4:$A$40,'HDD-by Country'!$C$4:$C$40)/1000/Flat!F$3</f>
        <v>6091.0551060819325</v>
      </c>
      <c r="G44" s="352">
        <f>G38*24*LOOKUP(Flat!G$2,'HDD-by Country'!$A$4:$A$40,'HDD-by Country'!$C$4:$C$40)/1000/Flat!G$3</f>
        <v>10350.182756367863</v>
      </c>
      <c r="H44" s="352">
        <f>H38*24*LOOKUP(Flat!H$2,'HDD-by Country'!$A$4:$A$40,'HDD-by Country'!$C$4:$C$40)/1000/Flat!H$3</f>
        <v>3841.5712716983535</v>
      </c>
      <c r="I44" s="352">
        <f>I38*24*LOOKUP(Flat!I$2,'HDD-by Country'!$A$4:$A$40,'HDD-by Country'!$C$4:$C$40)/1000/Flat!I$3</f>
        <v>6736.5580592397846</v>
      </c>
      <c r="J44" s="352">
        <f>J38*24*LOOKUP(Flat!J$2,'HDD-by Country'!$A$4:$A$40,'HDD-by Country'!$C$4:$C$40)/1000/Flat!J$3</f>
        <v>10404.025801152748</v>
      </c>
      <c r="K44" s="352">
        <f>K38*24*LOOKUP(Flat!K$2,'HDD-by Country'!$A$4:$A$40,'HDD-by Country'!$C$4:$C$40)/1000/Flat!K$3</f>
        <v>5568.9831841168516</v>
      </c>
      <c r="L44" s="352">
        <f>L38*24*LOOKUP(Flat!L$2,'HDD-by Country'!$A$4:$A$40,'HDD-by Country'!$C$4:$C$40)/1000/Flat!L$3</f>
        <v>4297.7425268137695</v>
      </c>
      <c r="M44" s="352">
        <f>M38*24*LOOKUP(Flat!M$2,'HDD-by Country'!$A$4:$A$40,'HDD-by Country'!$C$4:$C$40)/1000/Flat!M$3</f>
        <v>12569.934019308101</v>
      </c>
      <c r="N44" s="352">
        <f>N38*24*LOOKUP(Flat!N$2,'HDD-by Country'!$A$4:$A$40,'HDD-by Country'!$C$4:$C$40)/1000/Flat!N$3</f>
        <v>5451.8366276964744</v>
      </c>
      <c r="O44" s="352">
        <f>O38*24*LOOKUP(Flat!O$2,'HDD-by Country'!$A$4:$A$40,'HDD-by Country'!$C$4:$C$40)/1000/Flat!O$3</f>
        <v>11488.913778052112</v>
      </c>
      <c r="P44" s="352">
        <f>P38*24*LOOKUP(Flat!P$2,'HDD-by Country'!$A$4:$A$40,'HDD-by Country'!$C$4:$C$40)/1000/Flat!P$3</f>
        <v>10442.54936434595</v>
      </c>
      <c r="Q44" s="352">
        <f>Q38*24*LOOKUP(Flat!Q$2,'HDD-by Country'!$A$4:$A$40,'HDD-by Country'!$C$4:$C$40)/1000/Flat!Q$3</f>
        <v>6243.9452075173722</v>
      </c>
      <c r="R44" s="352">
        <f>R38*24*LOOKUP(Flat!R$2,'HDD-by Country'!$A$4:$A$40,'HDD-by Country'!$C$4:$C$40)/1000/Flat!R$3</f>
        <v>6953.6227789395298</v>
      </c>
      <c r="S44" s="352">
        <f>S38*24*LOOKUP(Flat!S$2,'HDD-by Country'!$A$4:$A$40,'HDD-by Country'!$C$4:$C$40)/1000/Flat!S$3</f>
        <v>6241.6949441625284</v>
      </c>
      <c r="T44" s="352">
        <f>T38*24*LOOKUP(Flat!T$2,'HDD-by Country'!$A$4:$A$40,'HDD-by Country'!$C$4:$C$40)/1000/Flat!T$3</f>
        <v>6068.7239732172775</v>
      </c>
      <c r="U44" s="352">
        <f>U38*24*LOOKUP(Flat!U$2,'HDD-by Country'!$A$4:$A$40,'HDD-by Country'!$C$4:$C$40)/1000/Flat!U$3</f>
        <v>8604.2061905014016</v>
      </c>
      <c r="V44" s="352">
        <f>V38*24*LOOKUP(Flat!V$2,'HDD-by Country'!$A$4:$A$40,'HDD-by Country'!$C$4:$C$40)/1000/Flat!V$3</f>
        <v>7178.9130313640835</v>
      </c>
      <c r="W44" s="352">
        <f>W38*24*LOOKUP(Flat!W$2,'HDD-by Country'!$A$4:$A$40,'HDD-by Country'!$C$4:$C$40)/1000/Flat!W$3</f>
        <v>8999.5129063405802</v>
      </c>
      <c r="X44" s="352">
        <f>X38*24*LOOKUP(Flat!X$2,'HDD-by Country'!$A$4:$A$40,'HDD-by Country'!$C$4:$C$40)/1000/Flat!X$3</f>
        <v>7751.4328597693911</v>
      </c>
      <c r="Y44" s="352">
        <f>Y38*24*LOOKUP(Flat!Y$2,'HDD-by Country'!$A$4:$A$40,'HDD-by Country'!$C$4:$C$40)/1000/Flat!Y$3</f>
        <v>3387.9406290559723</v>
      </c>
      <c r="Z44" s="352">
        <f>Z38*24*LOOKUP(Flat!Z$2,'HDD-by Country'!$A$4:$A$40,'HDD-by Country'!$C$4:$C$40)/1000/Flat!Z$3</f>
        <v>11179.190389113644</v>
      </c>
      <c r="AA44" s="352">
        <f>AA38*24*LOOKUP(Flat!AA$2,'HDD-by Country'!$A$4:$A$40,'HDD-by Country'!$C$4:$C$40)/1000/Flat!AA$3</f>
        <v>6134.4885441756796</v>
      </c>
      <c r="AB44" s="352">
        <f>AB38*24*LOOKUP(Flat!AB$2,'HDD-by Country'!$A$4:$A$40,'HDD-by Country'!$C$4:$C$40)/1000/Flat!AB$3</f>
        <v>8987.890124057747</v>
      </c>
      <c r="AC44" s="352">
        <f>AC38*24*LOOKUP(Flat!AC$2,'HDD-by Country'!$A$4:$A$40,'HDD-by Country'!$C$4:$C$40)/1000/Flat!AC$3</f>
        <v>6755.6733997893971</v>
      </c>
      <c r="AD44" s="352">
        <f>AD38*24*LOOKUP(Flat!AD$2,'HDD-by Country'!$A$4:$A$40,'HDD-by Country'!$C$4:$C$40)/1000/Flat!AD$3</f>
        <v>5715.9596081250957</v>
      </c>
      <c r="AE44" s="352">
        <f>AE38*24*LOOKUP(Flat!AE$2,'HDD-by Country'!$A$4:$A$40,'HDD-by Country'!$C$4:$C$40)/1000/Flat!AE$3</f>
        <v>5915.0116249543735</v>
      </c>
      <c r="AF44" s="352">
        <f>AF38*24*LOOKUP(Flat!AF$2,'HDD-by Country'!$A$4:$A$40,'HDD-by Country'!$C$4:$C$40)/1000/Flat!AF$3</f>
        <v>7051.9965372763954</v>
      </c>
      <c r="AG44" s="352">
        <f>AG38*24*LOOKUP(Flat!AG$2,'HDD-by Country'!$A$4:$A$40,'HDD-by Country'!$C$4:$C$40)/1000/Flat!AG$3</f>
        <v>10548.718178233614</v>
      </c>
      <c r="AH44" s="352">
        <f>AH38*24*LOOKUP(Flat!AH$2,'HDD-by Country'!$A$4:$A$40,'HDD-by Country'!$C$4:$C$40)/1000/Flat!AH$3</f>
        <v>5574.8547554759562</v>
      </c>
      <c r="AI44" s="352">
        <f>AI38*24*LOOKUP(Flat!AI$2,'HDD-by Country'!$A$4:$A$40,'HDD-by Country'!$C$4:$C$40)/1000/Flat!AI$3</f>
        <v>8259.6983692756003</v>
      </c>
      <c r="AJ44" s="352">
        <f>AJ38*24*LOOKUP(Flat!AJ$2,'HDD-by Country'!$A$4:$A$40,'HDD-by Country'!$C$4:$C$40)/1000/Flat!AJ$3</f>
        <v>7679.943572394729</v>
      </c>
      <c r="AK44" s="352">
        <f>AK38*24*LOOKUP(Flat!AK$2,'HDD-by Country'!$A$4:$A$40,'HDD-by Country'!$C$4:$C$40)/1000/Flat!AK$3</f>
        <v>7393.2539645371926</v>
      </c>
      <c r="AL44" s="352">
        <f>AL38*24*LOOKUP(Flat!AL$2,'HDD-by Country'!$A$4:$A$40,'HDD-by Country'!$C$4:$C$40)/1000/Flat!AL$3</f>
        <v>7735.6352311458086</v>
      </c>
      <c r="AM44" s="352">
        <f>AM38*24*LOOKUP(Flat!AM$2,'HDD-by Country'!$A$4:$A$40,'HDD-by Country'!$C$4:$C$40)/1000/Flat!AM$3</f>
        <v>7062.2889729721546</v>
      </c>
      <c r="AN44" s="353">
        <f>AN38*24*LOOKUP(Flat!AN$2,'HDD-by Country'!$A$4:$A$40,'HDD-by Country'!$C$4:$C$40)/1000/Flat!AN$3</f>
        <v>7062.2889729721546</v>
      </c>
    </row>
    <row r="45" spans="1:40" s="5" customFormat="1">
      <c r="A45" s="129"/>
      <c r="B45" s="142" t="s">
        <v>3</v>
      </c>
      <c r="C45" s="129" t="s">
        <v>261</v>
      </c>
      <c r="D45" s="345">
        <f>D39*24*LOOKUP(Flat!D$2,'HDD-by Country'!$A$4:$A$40,'HDD-by Country'!$C$4:$C$40)/1000/Flat!D$3</f>
        <v>9355.9916099574439</v>
      </c>
      <c r="E45" s="349">
        <f>E39*24*LOOKUP(Flat!E$2,'HDD-by Country'!$A$4:$A$40,'HDD-by Country'!$C$4:$C$40)/1000/Flat!E$3</f>
        <v>10351.627620059617</v>
      </c>
      <c r="F45" s="349">
        <f>F39*24*LOOKUP(Flat!F$2,'HDD-by Country'!$A$4:$A$40,'HDD-by Country'!$C$4:$C$40)/1000/Flat!F$3</f>
        <v>6091.0551060819325</v>
      </c>
      <c r="G45" s="349">
        <f>G39*24*LOOKUP(Flat!G$2,'HDD-by Country'!$A$4:$A$40,'HDD-by Country'!$C$4:$C$40)/1000/Flat!G$3</f>
        <v>9115.1546686826587</v>
      </c>
      <c r="H45" s="349">
        <f>H39*24*LOOKUP(Flat!H$2,'HDD-by Country'!$A$4:$A$40,'HDD-by Country'!$C$4:$C$40)/1000/Flat!H$3</f>
        <v>3457.5071918445851</v>
      </c>
      <c r="I45" s="349">
        <f>I39*24*LOOKUP(Flat!I$2,'HDD-by Country'!$A$4:$A$40,'HDD-by Country'!$C$4:$C$40)/1000/Flat!I$3</f>
        <v>5873.5220118689631</v>
      </c>
      <c r="J45" s="349">
        <f>J39*24*LOOKUP(Flat!J$2,'HDD-by Country'!$A$4:$A$40,'HDD-by Country'!$C$4:$C$40)/1000/Flat!J$3</f>
        <v>8548.589145402806</v>
      </c>
      <c r="K45" s="349">
        <f>K39*24*LOOKUP(Flat!K$2,'HDD-by Country'!$A$4:$A$40,'HDD-by Country'!$C$4:$C$40)/1000/Flat!K$3</f>
        <v>5463.7287003162901</v>
      </c>
      <c r="L45" s="349">
        <f>L39*24*LOOKUP(Flat!L$2,'HDD-by Country'!$A$4:$A$40,'HDD-by Country'!$C$4:$C$40)/1000/Flat!L$3</f>
        <v>4297.7425268137695</v>
      </c>
      <c r="M45" s="349">
        <f>M39*24*LOOKUP(Flat!M$2,'HDD-by Country'!$A$4:$A$40,'HDD-by Country'!$C$4:$C$40)/1000/Flat!M$3</f>
        <v>10914.513974586873</v>
      </c>
      <c r="N45" s="349">
        <f>N39*24*LOOKUP(Flat!N$2,'HDD-by Country'!$A$4:$A$40,'HDD-by Country'!$C$4:$C$40)/1000/Flat!N$3</f>
        <v>5026.0432525167089</v>
      </c>
      <c r="O45" s="349">
        <f>O39*24*LOOKUP(Flat!O$2,'HDD-by Country'!$A$4:$A$40,'HDD-by Country'!$C$4:$C$40)/1000/Flat!O$3</f>
        <v>11488.913778052112</v>
      </c>
      <c r="P45" s="349">
        <f>P39*24*LOOKUP(Flat!P$2,'HDD-by Country'!$A$4:$A$40,'HDD-by Country'!$C$4:$C$40)/1000/Flat!P$3</f>
        <v>10442.54936434595</v>
      </c>
      <c r="Q45" s="349">
        <f>Q39*24*LOOKUP(Flat!Q$2,'HDD-by Country'!$A$4:$A$40,'HDD-by Country'!$C$4:$C$40)/1000/Flat!Q$3</f>
        <v>6841.813337590861</v>
      </c>
      <c r="R45" s="349">
        <f>R39*24*LOOKUP(Flat!R$2,'HDD-by Country'!$A$4:$A$40,'HDD-by Country'!$C$4:$C$40)/1000/Flat!R$3</f>
        <v>6953.6227789395298</v>
      </c>
      <c r="S45" s="349">
        <f>S39*24*LOOKUP(Flat!S$2,'HDD-by Country'!$A$4:$A$40,'HDD-by Country'!$C$4:$C$40)/1000/Flat!S$3</f>
        <v>6333.971228830751</v>
      </c>
      <c r="T45" s="349">
        <f>T39*24*LOOKUP(Flat!T$2,'HDD-by Country'!$A$4:$A$40,'HDD-by Country'!$C$4:$C$40)/1000/Flat!T$3</f>
        <v>5611.1181190027928</v>
      </c>
      <c r="U45" s="349">
        <f>U39*24*LOOKUP(Flat!U$2,'HDD-by Country'!$A$4:$A$40,'HDD-by Country'!$C$4:$C$40)/1000/Flat!U$3</f>
        <v>7923.6975444456912</v>
      </c>
      <c r="V45" s="349">
        <f>V39*24*LOOKUP(Flat!V$2,'HDD-by Country'!$A$4:$A$40,'HDD-by Country'!$C$4:$C$40)/1000/Flat!V$3</f>
        <v>7178.9130313640835</v>
      </c>
      <c r="W45" s="349">
        <f>W39*24*LOOKUP(Flat!W$2,'HDD-by Country'!$A$4:$A$40,'HDD-by Country'!$C$4:$C$40)/1000/Flat!W$3</f>
        <v>10812.504998276701</v>
      </c>
      <c r="X45" s="349">
        <f>X39*24*LOOKUP(Flat!X$2,'HDD-by Country'!$A$4:$A$40,'HDD-by Country'!$C$4:$C$40)/1000/Flat!X$3</f>
        <v>7751.4328597693911</v>
      </c>
      <c r="Y45" s="349">
        <f>Y39*24*LOOKUP(Flat!Y$2,'HDD-by Country'!$A$4:$A$40,'HDD-by Country'!$C$4:$C$40)/1000/Flat!Y$3</f>
        <v>3384.3239380101913</v>
      </c>
      <c r="Z45" s="349">
        <f>Z39*24*LOOKUP(Flat!Z$2,'HDD-by Country'!$A$4:$A$40,'HDD-by Country'!$C$4:$C$40)/1000/Flat!Z$3</f>
        <v>9085.6544351450975</v>
      </c>
      <c r="AA45" s="349">
        <f>AA39*24*LOOKUP(Flat!AA$2,'HDD-by Country'!$A$4:$A$40,'HDD-by Country'!$C$4:$C$40)/1000/Flat!AA$3</f>
        <v>6134.4885441756796</v>
      </c>
      <c r="AB45" s="349">
        <f>AB39*24*LOOKUP(Flat!AB$2,'HDD-by Country'!$A$4:$A$40,'HDD-by Country'!$C$4:$C$40)/1000/Flat!AB$3</f>
        <v>6502.2314960474605</v>
      </c>
      <c r="AC45" s="349">
        <f>AC39*24*LOOKUP(Flat!AC$2,'HDD-by Country'!$A$4:$A$40,'HDD-by Country'!$C$4:$C$40)/1000/Flat!AC$3</f>
        <v>5718.5376159580464</v>
      </c>
      <c r="AD45" s="349">
        <f>AD39*24*LOOKUP(Flat!AD$2,'HDD-by Country'!$A$4:$A$40,'HDD-by Country'!$C$4:$C$40)/1000/Flat!AD$3</f>
        <v>5171.2357274311362</v>
      </c>
      <c r="AE45" s="349">
        <f>AE39*24*LOOKUP(Flat!AE$2,'HDD-by Country'!$A$4:$A$40,'HDD-by Country'!$C$4:$C$40)/1000/Flat!AE$3</f>
        <v>5915.0116249543735</v>
      </c>
      <c r="AF45" s="349">
        <f>AF39*24*LOOKUP(Flat!AF$2,'HDD-by Country'!$A$4:$A$40,'HDD-by Country'!$C$4:$C$40)/1000/Flat!AF$3</f>
        <v>7051.9965372763954</v>
      </c>
      <c r="AG45" s="349">
        <f>AG39*24*LOOKUP(Flat!AG$2,'HDD-by Country'!$A$4:$A$40,'HDD-by Country'!$C$4:$C$40)/1000/Flat!AG$3</f>
        <v>8641.8451985868887</v>
      </c>
      <c r="AH45" s="349">
        <f>AH39*24*LOOKUP(Flat!AH$2,'HDD-by Country'!$A$4:$A$40,'HDD-by Country'!$C$4:$C$40)/1000/Flat!AH$3</f>
        <v>5958.6622471556784</v>
      </c>
      <c r="AI45" s="349">
        <f>AI39*24*LOOKUP(Flat!AI$2,'HDD-by Country'!$A$4:$A$40,'HDD-by Country'!$C$4:$C$40)/1000/Flat!AI$3</f>
        <v>8259.6983692756003</v>
      </c>
      <c r="AJ45" s="349">
        <f>AJ39*24*LOOKUP(Flat!AJ$2,'HDD-by Country'!$A$4:$A$40,'HDD-by Country'!$C$4:$C$40)/1000/Flat!AJ$3</f>
        <v>7679.943572394729</v>
      </c>
      <c r="AK45" s="349">
        <f>AK39*24*LOOKUP(Flat!AK$2,'HDD-by Country'!$A$4:$A$40,'HDD-by Country'!$C$4:$C$40)/1000/Flat!AK$3</f>
        <v>7393.2539645371926</v>
      </c>
      <c r="AL45" s="349">
        <f>AL39*24*LOOKUP(Flat!AL$2,'HDD-by Country'!$A$4:$A$40,'HDD-by Country'!$C$4:$C$40)/1000/Flat!AL$3</f>
        <v>7735.6352311458086</v>
      </c>
      <c r="AM45" s="349">
        <f>AM39*24*LOOKUP(Flat!AM$2,'HDD-by Country'!$A$4:$A$40,'HDD-by Country'!$C$4:$C$40)/1000/Flat!AM$3</f>
        <v>7062.2889729721546</v>
      </c>
      <c r="AN45" s="354">
        <f>AN39*24*LOOKUP(Flat!AN$2,'HDD-by Country'!$A$4:$A$40,'HDD-by Country'!$C$4:$C$40)/1000/Flat!AN$3</f>
        <v>7062.2889729721546</v>
      </c>
    </row>
    <row r="46" spans="1:40" s="5" customFormat="1">
      <c r="A46" s="129"/>
      <c r="B46" s="142" t="s">
        <v>4</v>
      </c>
      <c r="C46" s="129" t="s">
        <v>261</v>
      </c>
      <c r="D46" s="345">
        <f>D40*24*LOOKUP(Flat!D$2,'HDD-by Country'!$A$4:$A$40,'HDD-by Country'!$C$4:$C$40)/1000/Flat!D$3</f>
        <v>7366.7789663832345</v>
      </c>
      <c r="E46" s="349">
        <f>E40*24*LOOKUP(Flat!E$2,'HDD-by Country'!$A$4:$A$40,'HDD-by Country'!$C$4:$C$40)/1000/Flat!E$3</f>
        <v>10351.627620059617</v>
      </c>
      <c r="F46" s="349">
        <f>F40*24*LOOKUP(Flat!F$2,'HDD-by Country'!$A$4:$A$40,'HDD-by Country'!$C$4:$C$40)/1000/Flat!F$3</f>
        <v>5683.8472435563872</v>
      </c>
      <c r="G46" s="349">
        <f>G40*24*LOOKUP(Flat!G$2,'HDD-by Country'!$A$4:$A$40,'HDD-by Country'!$C$4:$C$40)/1000/Flat!G$3</f>
        <v>7177.1472750269777</v>
      </c>
      <c r="H46" s="349">
        <f>H40*24*LOOKUP(Flat!H$2,'HDD-by Country'!$A$4:$A$40,'HDD-by Country'!$C$4:$C$40)/1000/Flat!H$3</f>
        <v>3073.443111990814</v>
      </c>
      <c r="I46" s="349">
        <f>I40*24*LOOKUP(Flat!I$2,'HDD-by Country'!$A$4:$A$40,'HDD-by Country'!$C$4:$C$40)/1000/Flat!I$3</f>
        <v>5873.5220118689631</v>
      </c>
      <c r="J46" s="349">
        <f>J40*24*LOOKUP(Flat!J$2,'HDD-by Country'!$A$4:$A$40,'HDD-by Country'!$C$4:$C$40)/1000/Flat!J$3</f>
        <v>5135.2183500763231</v>
      </c>
      <c r="K46" s="349">
        <f>K40*24*LOOKUP(Flat!K$2,'HDD-by Country'!$A$4:$A$40,'HDD-by Country'!$C$4:$C$40)/1000/Flat!K$3</f>
        <v>3556.3128085682151</v>
      </c>
      <c r="L46" s="349">
        <f>L40*24*LOOKUP(Flat!L$2,'HDD-by Country'!$A$4:$A$40,'HDD-by Country'!$C$4:$C$40)/1000/Flat!L$3</f>
        <v>3434.9238122099764</v>
      </c>
      <c r="M46" s="349">
        <f>M40*24*LOOKUP(Flat!M$2,'HDD-by Country'!$A$4:$A$40,'HDD-by Country'!$C$4:$C$40)/1000/Flat!M$3</f>
        <v>10914.513974586873</v>
      </c>
      <c r="N46" s="349">
        <f>N40*24*LOOKUP(Flat!N$2,'HDD-by Country'!$A$4:$A$40,'HDD-by Country'!$C$4:$C$40)/1000/Flat!N$3</f>
        <v>4181.0071236951189</v>
      </c>
      <c r="O46" s="349">
        <f>O40*24*LOOKUP(Flat!O$2,'HDD-by Country'!$A$4:$A$40,'HDD-by Country'!$C$4:$C$40)/1000/Flat!O$3</f>
        <v>4826.9603603429041</v>
      </c>
      <c r="P46" s="349">
        <f>P40*24*LOOKUP(Flat!P$2,'HDD-by Country'!$A$4:$A$40,'HDD-by Country'!$C$4:$C$40)/1000/Flat!P$3</f>
        <v>10442.54936434595</v>
      </c>
      <c r="Q46" s="349">
        <f>Q40*24*LOOKUP(Flat!Q$2,'HDD-by Country'!$A$4:$A$40,'HDD-by Country'!$C$4:$C$40)/1000/Flat!Q$3</f>
        <v>6255.8305341335317</v>
      </c>
      <c r="R46" s="349">
        <f>R40*24*LOOKUP(Flat!R$2,'HDD-by Country'!$A$4:$A$40,'HDD-by Country'!$C$4:$C$40)/1000/Flat!R$3</f>
        <v>5866.0683626513382</v>
      </c>
      <c r="S46" s="349">
        <f>S40*24*LOOKUP(Flat!S$2,'HDD-by Country'!$A$4:$A$40,'HDD-by Country'!$C$4:$C$40)/1000/Flat!S$3</f>
        <v>5427.5446449345545</v>
      </c>
      <c r="T46" s="349">
        <f>T40*24*LOOKUP(Flat!T$2,'HDD-by Country'!$A$4:$A$40,'HDD-by Country'!$C$4:$C$40)/1000/Flat!T$3</f>
        <v>4522.5532259216625</v>
      </c>
      <c r="U46" s="349">
        <f>U40*24*LOOKUP(Flat!U$2,'HDD-by Country'!$A$4:$A$40,'HDD-by Country'!$C$4:$C$40)/1000/Flat!U$3</f>
        <v>7698.1993764456902</v>
      </c>
      <c r="V46" s="349">
        <f>V40*24*LOOKUP(Flat!V$2,'HDD-by Country'!$A$4:$A$40,'HDD-by Country'!$C$4:$C$40)/1000/Flat!V$3</f>
        <v>4510.100221749135</v>
      </c>
      <c r="W46" s="349">
        <f>W40*24*LOOKUP(Flat!W$2,'HDD-by Country'!$A$4:$A$40,'HDD-by Country'!$C$4:$C$40)/1000/Flat!W$3</f>
        <v>5131.2014202719583</v>
      </c>
      <c r="X46" s="349">
        <f>X40*24*LOOKUP(Flat!X$2,'HDD-by Country'!$A$4:$A$40,'HDD-by Country'!$C$4:$C$40)/1000/Flat!X$3</f>
        <v>7109.4855237924521</v>
      </c>
      <c r="Y46" s="349">
        <f>Y40*24*LOOKUP(Flat!Y$2,'HDD-by Country'!$A$4:$A$40,'HDD-by Country'!$C$4:$C$40)/1000/Flat!Y$3</f>
        <v>2506.749168751549</v>
      </c>
      <c r="Z46" s="349">
        <f>Z40*24*LOOKUP(Flat!Z$2,'HDD-by Country'!$A$4:$A$40,'HDD-by Country'!$C$4:$C$40)/1000/Flat!Z$3</f>
        <v>8884.6177265071765</v>
      </c>
      <c r="AA46" s="349">
        <f>AA40*24*LOOKUP(Flat!AA$2,'HDD-by Country'!$A$4:$A$40,'HDD-by Country'!$C$4:$C$40)/1000/Flat!AA$3</f>
        <v>4018.3464013581661</v>
      </c>
      <c r="AB46" s="349">
        <f>AB40*24*LOOKUP(Flat!AB$2,'HDD-by Country'!$A$4:$A$40,'HDD-by Country'!$C$4:$C$40)/1000/Flat!AB$3</f>
        <v>4461.7801814248378</v>
      </c>
      <c r="AC46" s="349">
        <f>AC40*24*LOOKUP(Flat!AC$2,'HDD-by Country'!$A$4:$A$40,'HDD-by Country'!$C$4:$C$40)/1000/Flat!AC$3</f>
        <v>5629.3164181794873</v>
      </c>
      <c r="AD46" s="349">
        <f>AD40*24*LOOKUP(Flat!AD$2,'HDD-by Country'!$A$4:$A$40,'HDD-by Country'!$C$4:$C$40)/1000/Flat!AD$3</f>
        <v>5171.2357274311362</v>
      </c>
      <c r="AE46" s="349">
        <f>AE40*24*LOOKUP(Flat!AE$2,'HDD-by Country'!$A$4:$A$40,'HDD-by Country'!$C$4:$C$40)/1000/Flat!AE$3</f>
        <v>3874.5798457304031</v>
      </c>
      <c r="AF46" s="349">
        <f>AF40*24*LOOKUP(Flat!AF$2,'HDD-by Country'!$A$4:$A$40,'HDD-by Country'!$C$4:$C$40)/1000/Flat!AF$3</f>
        <v>6768.6489267829947</v>
      </c>
      <c r="AG46" s="349">
        <f>AG40*24*LOOKUP(Flat!AG$2,'HDD-by Country'!$A$4:$A$40,'HDD-by Country'!$C$4:$C$40)/1000/Flat!AG$3</f>
        <v>8641.8451985868887</v>
      </c>
      <c r="AH46" s="349">
        <f>AH40*24*LOOKUP(Flat!AH$2,'HDD-by Country'!$A$4:$A$40,'HDD-by Country'!$C$4:$C$40)/1000/Flat!AH$3</f>
        <v>4785.6936089903338</v>
      </c>
      <c r="AI46" s="349">
        <f>AI40*24*LOOKUP(Flat!AI$2,'HDD-by Country'!$A$4:$A$40,'HDD-by Country'!$C$4:$C$40)/1000/Flat!AI$3</f>
        <v>8259.6983692756003</v>
      </c>
      <c r="AJ46" s="349">
        <f>AJ40*24*LOOKUP(Flat!AJ$2,'HDD-by Country'!$A$4:$A$40,'HDD-by Country'!$C$4:$C$40)/1000/Flat!AJ$3</f>
        <v>7679.943572394729</v>
      </c>
      <c r="AK46" s="349">
        <f>AK40*24*LOOKUP(Flat!AK$2,'HDD-by Country'!$A$4:$A$40,'HDD-by Country'!$C$4:$C$40)/1000/Flat!AK$3</f>
        <v>7393.2539645371926</v>
      </c>
      <c r="AL46" s="349">
        <f>AL40*24*LOOKUP(Flat!AL$2,'HDD-by Country'!$A$4:$A$40,'HDD-by Country'!$C$4:$C$40)/1000/Flat!AL$3</f>
        <v>7206.0121482148952</v>
      </c>
      <c r="AM46" s="349">
        <f>AM40*24*LOOKUP(Flat!AM$2,'HDD-by Country'!$A$4:$A$40,'HDD-by Country'!$C$4:$C$40)/1000/Flat!AM$3</f>
        <v>7062.2889729721546</v>
      </c>
      <c r="AN46" s="354">
        <f>AN40*24*LOOKUP(Flat!AN$2,'HDD-by Country'!$A$4:$A$40,'HDD-by Country'!$C$4:$C$40)/1000/Flat!AN$3</f>
        <v>7062.2889729721546</v>
      </c>
    </row>
    <row r="47" spans="1:40" s="5" customFormat="1">
      <c r="A47" s="129"/>
      <c r="B47" s="142" t="s">
        <v>5</v>
      </c>
      <c r="C47" s="129" t="s">
        <v>261</v>
      </c>
      <c r="D47" s="345">
        <f>D41*24*LOOKUP(Flat!D$2,'HDD-by Country'!$A$4:$A$40,'HDD-by Country'!$C$4:$C$40)/1000/Flat!D$3</f>
        <v>5056.8841451700227</v>
      </c>
      <c r="E47" s="349">
        <f>E41*24*LOOKUP(Flat!E$2,'HDD-by Country'!$A$4:$A$40,'HDD-by Country'!$C$4:$C$40)/1000/Flat!E$3</f>
        <v>8670.0057308959276</v>
      </c>
      <c r="F47" s="349">
        <f>F41*24*LOOKUP(Flat!F$2,'HDD-by Country'!$A$4:$A$40,'HDD-by Country'!$C$4:$C$40)/1000/Flat!F$3</f>
        <v>4749.1402449167626</v>
      </c>
      <c r="G47" s="349">
        <f>G41*24*LOOKUP(Flat!G$2,'HDD-by Country'!$A$4:$A$40,'HDD-by Country'!$C$4:$C$40)/1000/Flat!G$3</f>
        <v>4926.712533151097</v>
      </c>
      <c r="H47" s="349">
        <f>H41*24*LOOKUP(Flat!H$2,'HDD-by Country'!$A$4:$A$40,'HDD-by Country'!$C$4:$C$40)/1000/Flat!H$3</f>
        <v>2991.2392719908153</v>
      </c>
      <c r="I47" s="349">
        <f>I41*24*LOOKUP(Flat!I$2,'HDD-by Country'!$A$4:$A$40,'HDD-by Country'!$C$4:$C$40)/1000/Flat!I$3</f>
        <v>5192.0557808864205</v>
      </c>
      <c r="J47" s="349">
        <f>J41*24*LOOKUP(Flat!J$2,'HDD-by Country'!$A$4:$A$40,'HDD-by Country'!$C$4:$C$40)/1000/Flat!J$3</f>
        <v>4287.084504981276</v>
      </c>
      <c r="K47" s="349">
        <f>K41*24*LOOKUP(Flat!K$2,'HDD-by Country'!$A$4:$A$40,'HDD-by Country'!$C$4:$C$40)/1000/Flat!K$3</f>
        <v>2896.3812513772955</v>
      </c>
      <c r="L47" s="349">
        <f>L41*24*LOOKUP(Flat!L$2,'HDD-by Country'!$A$4:$A$40,'HDD-by Country'!$C$4:$C$40)/1000/Flat!L$3</f>
        <v>2912.0843228281892</v>
      </c>
      <c r="M47" s="349">
        <f>M41*24*LOOKUP(Flat!M$2,'HDD-by Country'!$A$4:$A$40,'HDD-by Country'!$C$4:$C$40)/1000/Flat!M$3</f>
        <v>7516.6309332365145</v>
      </c>
      <c r="N47" s="349">
        <f>N41*24*LOOKUP(Flat!N$2,'HDD-by Country'!$A$4:$A$40,'HDD-by Country'!$C$4:$C$40)/1000/Flat!N$3</f>
        <v>3558.1717981558254</v>
      </c>
      <c r="O47" s="349">
        <f>O41*24*LOOKUP(Flat!O$2,'HDD-by Country'!$A$4:$A$40,'HDD-by Country'!$C$4:$C$40)/1000/Flat!O$3</f>
        <v>4123.343195946085</v>
      </c>
      <c r="P47" s="349">
        <f>P41*24*LOOKUP(Flat!P$2,'HDD-by Country'!$A$4:$A$40,'HDD-by Country'!$C$4:$C$40)/1000/Flat!P$3</f>
        <v>10209.463284345951</v>
      </c>
      <c r="Q47" s="349">
        <f>Q41*24*LOOKUP(Flat!Q$2,'HDD-by Country'!$A$4:$A$40,'HDD-by Country'!$C$4:$C$40)/1000/Flat!Q$3</f>
        <v>6255.8305341335317</v>
      </c>
      <c r="R47" s="349">
        <f>R41*24*LOOKUP(Flat!R$2,'HDD-by Country'!$A$4:$A$40,'HDD-by Country'!$C$4:$C$40)/1000/Flat!R$3</f>
        <v>4053.4776688376855</v>
      </c>
      <c r="S47" s="349">
        <f>S41*24*LOOKUP(Flat!S$2,'HDD-by Country'!$A$4:$A$40,'HDD-by Country'!$C$4:$C$40)/1000/Flat!S$3</f>
        <v>3556.3362895552359</v>
      </c>
      <c r="T47" s="349">
        <f>T41*24*LOOKUP(Flat!T$2,'HDD-by Country'!$A$4:$A$40,'HDD-by Country'!$C$4:$C$40)/1000/Flat!T$3</f>
        <v>3706.4903512782075</v>
      </c>
      <c r="U47" s="349">
        <f>U41*24*LOOKUP(Flat!U$2,'HDD-by Country'!$A$4:$A$40,'HDD-by Country'!$C$4:$C$40)/1000/Flat!U$3</f>
        <v>5592.2453902785564</v>
      </c>
      <c r="V47" s="349">
        <f>V41*24*LOOKUP(Flat!V$2,'HDD-by Country'!$A$4:$A$40,'HDD-by Country'!$C$4:$C$40)/1000/Flat!V$3</f>
        <v>4510.100221749135</v>
      </c>
      <c r="W47" s="349">
        <f>W41*24*LOOKUP(Flat!W$2,'HDD-by Country'!$A$4:$A$40,'HDD-by Country'!$C$4:$C$40)/1000/Flat!W$3</f>
        <v>4642.3797861416624</v>
      </c>
      <c r="X47" s="349">
        <f>X41*24*LOOKUP(Flat!X$2,'HDD-by Country'!$A$4:$A$40,'HDD-by Country'!$C$4:$C$40)/1000/Flat!X$3</f>
        <v>4304.4768798846953</v>
      </c>
      <c r="Y47" s="349">
        <f>Y41*24*LOOKUP(Flat!Y$2,'HDD-by Country'!$A$4:$A$40,'HDD-by Country'!$C$4:$C$40)/1000/Flat!Y$3</f>
        <v>2335.3257615195489</v>
      </c>
      <c r="Z47" s="349">
        <f>Z41*24*LOOKUP(Flat!Z$2,'HDD-by Country'!$A$4:$A$40,'HDD-by Country'!$C$4:$C$40)/1000/Flat!Z$3</f>
        <v>4529.933266845208</v>
      </c>
      <c r="AA47" s="349">
        <f>AA41*24*LOOKUP(Flat!AA$2,'HDD-by Country'!$A$4:$A$40,'HDD-by Country'!$C$4:$C$40)/1000/Flat!AA$3</f>
        <v>4018.3464013581661</v>
      </c>
      <c r="AB47" s="349">
        <f>AB41*24*LOOKUP(Flat!AB$2,'HDD-by Country'!$A$4:$A$40,'HDD-by Country'!$C$4:$C$40)/1000/Flat!AB$3</f>
        <v>4461.7801814248378</v>
      </c>
      <c r="AC47" s="349">
        <f>AC41*24*LOOKUP(Flat!AC$2,'HDD-by Country'!$A$4:$A$40,'HDD-by Country'!$C$4:$C$40)/1000/Flat!AC$3</f>
        <v>5377.2786625239369</v>
      </c>
      <c r="AD47" s="349">
        <f>AD41*24*LOOKUP(Flat!AD$2,'HDD-by Country'!$A$4:$A$40,'HDD-by Country'!$C$4:$C$40)/1000/Flat!AD$3</f>
        <v>4351.8538935200177</v>
      </c>
      <c r="AE47" s="349">
        <f>AE41*24*LOOKUP(Flat!AE$2,'HDD-by Country'!$A$4:$A$40,'HDD-by Country'!$C$4:$C$40)/1000/Flat!AE$3</f>
        <v>3874.5798457304031</v>
      </c>
      <c r="AF47" s="349">
        <f>AF41*24*LOOKUP(Flat!AF$2,'HDD-by Country'!$A$4:$A$40,'HDD-by Country'!$C$4:$C$40)/1000/Flat!AF$3</f>
        <v>4922.542650797508</v>
      </c>
      <c r="AG47" s="349">
        <f>AG41*24*LOOKUP(Flat!AG$2,'HDD-by Country'!$A$4:$A$40,'HDD-by Country'!$C$4:$C$40)/1000/Flat!AG$3</f>
        <v>7395.9772934038338</v>
      </c>
      <c r="AH47" s="349">
        <f>AH41*24*LOOKUP(Flat!AH$2,'HDD-by Country'!$A$4:$A$40,'HDD-by Country'!$C$4:$C$40)/1000/Flat!AH$3</f>
        <v>2510.4081868394492</v>
      </c>
      <c r="AI47" s="349">
        <f>AI41*24*LOOKUP(Flat!AI$2,'HDD-by Country'!$A$4:$A$40,'HDD-by Country'!$C$4:$C$40)/1000/Flat!AI$3</f>
        <v>8084.8838092756032</v>
      </c>
      <c r="AJ47" s="349">
        <f>AJ41*24*LOOKUP(Flat!AJ$2,'HDD-by Country'!$A$4:$A$40,'HDD-by Country'!$C$4:$C$40)/1000/Flat!AJ$3</f>
        <v>6450.5083132779118</v>
      </c>
      <c r="AK47" s="349">
        <f>AK41*24*LOOKUP(Flat!AK$2,'HDD-by Country'!$A$4:$A$40,'HDD-by Country'!$C$4:$C$40)/1000/Flat!AK$3</f>
        <v>6195.6651616859526</v>
      </c>
      <c r="AL47" s="349">
        <f>AL41*24*LOOKUP(Flat!AL$2,'HDD-by Country'!$A$4:$A$40,'HDD-by Country'!$C$4:$C$40)/1000/Flat!AL$3</f>
        <v>5974.8036974561028</v>
      </c>
      <c r="AM47" s="349">
        <f>AM41*24*LOOKUP(Flat!AM$2,'HDD-by Country'!$A$4:$A$40,'HDD-by Country'!$C$4:$C$40)/1000/Flat!AM$3</f>
        <v>5931.7302661799276</v>
      </c>
      <c r="AN47" s="354">
        <f>AN41*24*LOOKUP(Flat!AN$2,'HDD-by Country'!$A$4:$A$40,'HDD-by Country'!$C$4:$C$40)/1000/Flat!AN$3</f>
        <v>5931.7302661799276</v>
      </c>
    </row>
    <row r="48" spans="1:40" s="5" customFormat="1">
      <c r="A48" s="129"/>
      <c r="B48" s="142" t="s">
        <v>6</v>
      </c>
      <c r="C48" s="129" t="s">
        <v>261</v>
      </c>
      <c r="D48" s="345">
        <f>D42*24*LOOKUP(Flat!D$2,'HDD-by Country'!$A$4:$A$40,'HDD-by Country'!$C$4:$C$40)/1000/Flat!D$3</f>
        <v>4231.3587350472171</v>
      </c>
      <c r="E48" s="349">
        <f>E42*24*LOOKUP(Flat!E$2,'HDD-by Country'!$A$4:$A$40,'HDD-by Country'!$C$4:$C$40)/1000/Flat!E$3</f>
        <v>8670.0057308959276</v>
      </c>
      <c r="F48" s="349">
        <f>F42*24*LOOKUP(Flat!F$2,'HDD-by Country'!$A$4:$A$40,'HDD-by Country'!$C$4:$C$40)/1000/Flat!F$3</f>
        <v>3644.8678444185584</v>
      </c>
      <c r="G48" s="349">
        <f>G42*24*LOOKUP(Flat!G$2,'HDD-by Country'!$A$4:$A$40,'HDD-by Country'!$C$4:$C$40)/1000/Flat!G$3</f>
        <v>4122.43735742429</v>
      </c>
      <c r="H48" s="349">
        <f>H42*24*LOOKUP(Flat!H$2,'HDD-by Country'!$A$4:$A$40,'HDD-by Country'!$C$4:$C$40)/1000/Flat!H$3</f>
        <v>2991.2392719908153</v>
      </c>
      <c r="I48" s="349">
        <f>I42*24*LOOKUP(Flat!I$2,'HDD-by Country'!$A$4:$A$40,'HDD-by Country'!$C$4:$C$40)/1000/Flat!I$3</f>
        <v>3802.0026014257505</v>
      </c>
      <c r="J48" s="349">
        <f>J42*24*LOOKUP(Flat!J$2,'HDD-by Country'!$A$4:$A$40,'HDD-by Country'!$C$4:$C$40)/1000/Flat!J$3</f>
        <v>2505.0756857712995</v>
      </c>
      <c r="K48" s="349">
        <f>K42*24*LOOKUP(Flat!K$2,'HDD-by Country'!$A$4:$A$40,'HDD-by Country'!$C$4:$C$40)/1000/Flat!K$3</f>
        <v>2896.3812513772955</v>
      </c>
      <c r="L48" s="349">
        <f>L42*24*LOOKUP(Flat!L$2,'HDD-by Country'!$A$4:$A$40,'HDD-by Country'!$C$4:$C$40)/1000/Flat!L$3</f>
        <v>2660.1152418080028</v>
      </c>
      <c r="M48" s="349">
        <f>M42*24*LOOKUP(Flat!M$2,'HDD-by Country'!$A$4:$A$40,'HDD-by Country'!$C$4:$C$40)/1000/Flat!M$3</f>
        <v>7516.6309332365145</v>
      </c>
      <c r="N48" s="349">
        <f>N42*24*LOOKUP(Flat!N$2,'HDD-by Country'!$A$4:$A$40,'HDD-by Country'!$C$4:$C$40)/1000/Flat!N$3</f>
        <v>3519.6896262583546</v>
      </c>
      <c r="O48" s="349">
        <f>O42*24*LOOKUP(Flat!O$2,'HDD-by Country'!$A$4:$A$40,'HDD-by Country'!$C$4:$C$40)/1000/Flat!O$3</f>
        <v>2397.8919062625814</v>
      </c>
      <c r="P48" s="349">
        <f>P42*24*LOOKUP(Flat!P$2,'HDD-by Country'!$A$4:$A$40,'HDD-by Country'!$C$4:$C$40)/1000/Flat!P$3</f>
        <v>10209.463284345951</v>
      </c>
      <c r="Q48" s="349">
        <f>Q42*24*LOOKUP(Flat!Q$2,'HDD-by Country'!$A$4:$A$40,'HDD-by Country'!$C$4:$C$40)/1000/Flat!Q$3</f>
        <v>4315.4604608438085</v>
      </c>
      <c r="R48" s="349">
        <f>R42*24*LOOKUP(Flat!R$2,'HDD-by Country'!$A$4:$A$40,'HDD-by Country'!$C$4:$C$40)/1000/Flat!R$3</f>
        <v>4053.4776688376855</v>
      </c>
      <c r="S48" s="349">
        <f>S42*24*LOOKUP(Flat!S$2,'HDD-by Country'!$A$4:$A$40,'HDD-by Country'!$C$4:$C$40)/1000/Flat!S$3</f>
        <v>2942.9374574323601</v>
      </c>
      <c r="T48" s="349">
        <f>T42*24*LOOKUP(Flat!T$2,'HDD-by Country'!$A$4:$A$40,'HDD-by Country'!$C$4:$C$40)/1000/Flat!T$3</f>
        <v>3661.8291395013962</v>
      </c>
      <c r="U48" s="349">
        <f>U42*24*LOOKUP(Flat!U$2,'HDD-by Country'!$A$4:$A$40,'HDD-by Country'!$C$4:$C$40)/1000/Flat!U$3</f>
        <v>5001.3288457367717</v>
      </c>
      <c r="V48" s="349">
        <f>V42*24*LOOKUP(Flat!V$2,'HDD-by Country'!$A$4:$A$40,'HDD-by Country'!$C$4:$C$40)/1000/Flat!V$3</f>
        <v>4510.100221749135</v>
      </c>
      <c r="W48" s="349">
        <f>W42*24*LOOKUP(Flat!W$2,'HDD-by Country'!$A$4:$A$40,'HDD-by Country'!$C$4:$C$40)/1000/Flat!W$3</f>
        <v>4060.3393584865908</v>
      </c>
      <c r="X48" s="349">
        <f>X42*24*LOOKUP(Flat!X$2,'HDD-by Country'!$A$4:$A$40,'HDD-by Country'!$C$4:$C$40)/1000/Flat!X$3</f>
        <v>4264.9403298846955</v>
      </c>
      <c r="Y48" s="349">
        <f>Y42*24*LOOKUP(Flat!Y$2,'HDD-by Country'!$A$4:$A$40,'HDD-by Country'!$C$4:$C$40)/1000/Flat!Y$3</f>
        <v>2302.7553141454691</v>
      </c>
      <c r="Z48" s="349">
        <f>Z42*24*LOOKUP(Flat!Z$2,'HDD-by Country'!$A$4:$A$40,'HDD-by Country'!$C$4:$C$40)/1000/Flat!Z$3</f>
        <v>4114.5162540008041</v>
      </c>
      <c r="AA48" s="349">
        <f>AA42*24*LOOKUP(Flat!AA$2,'HDD-by Country'!$A$4:$A$40,'HDD-by Country'!$C$4:$C$40)/1000/Flat!AA$3</f>
        <v>3457.5391236658788</v>
      </c>
      <c r="AB48" s="349">
        <f>AB42*24*LOOKUP(Flat!AB$2,'HDD-by Country'!$A$4:$A$40,'HDD-by Country'!$C$4:$C$40)/1000/Flat!AB$3</f>
        <v>4461.7801814248378</v>
      </c>
      <c r="AC48" s="349">
        <f>AC42*24*LOOKUP(Flat!AC$2,'HDD-by Country'!$A$4:$A$40,'HDD-by Country'!$C$4:$C$40)/1000/Flat!AC$3</f>
        <v>4828.5925523235574</v>
      </c>
      <c r="AD48" s="349">
        <f>AD42*24*LOOKUP(Flat!AD$2,'HDD-by Country'!$A$4:$A$40,'HDD-by Country'!$C$4:$C$40)/1000/Flat!AD$3</f>
        <v>4351.8538935200177</v>
      </c>
      <c r="AE48" s="349">
        <f>AE42*24*LOOKUP(Flat!AE$2,'HDD-by Country'!$A$4:$A$40,'HDD-by Country'!$C$4:$C$40)/1000/Flat!AE$3</f>
        <v>3333.8368737578903</v>
      </c>
      <c r="AF48" s="349">
        <f>AF42*24*LOOKUP(Flat!AF$2,'HDD-by Country'!$A$4:$A$40,'HDD-by Country'!$C$4:$C$40)/1000/Flat!AF$3</f>
        <v>3514.5304180832122</v>
      </c>
      <c r="AG48" s="349">
        <f>AG42*24*LOOKUP(Flat!AG$2,'HDD-by Country'!$A$4:$A$40,'HDD-by Country'!$C$4:$C$40)/1000/Flat!AG$3</f>
        <v>6939.1238309381542</v>
      </c>
      <c r="AH48" s="349">
        <f>AH42*24*LOOKUP(Flat!AH$2,'HDD-by Country'!$A$4:$A$40,'HDD-by Country'!$C$4:$C$40)/1000/Flat!AH$3</f>
        <v>2106.171600706115</v>
      </c>
      <c r="AI48" s="349">
        <f>AI42*24*LOOKUP(Flat!AI$2,'HDD-by Country'!$A$4:$A$40,'HDD-by Country'!$C$4:$C$40)/1000/Flat!AI$3</f>
        <v>8084.8838092756032</v>
      </c>
      <c r="AJ48" s="349">
        <f>AJ42*24*LOOKUP(Flat!AJ$2,'HDD-by Country'!$A$4:$A$40,'HDD-by Country'!$C$4:$C$40)/1000/Flat!AJ$3</f>
        <v>5976.1321293553256</v>
      </c>
      <c r="AK48" s="349">
        <f>AK42*24*LOOKUP(Flat!AK$2,'HDD-by Country'!$A$4:$A$40,'HDD-by Country'!$C$4:$C$40)/1000/Flat!AK$3</f>
        <v>5734.3607565454558</v>
      </c>
      <c r="AL48" s="349">
        <f>AL42*24*LOOKUP(Flat!AL$2,'HDD-by Country'!$A$4:$A$40,'HDD-by Country'!$C$4:$C$40)/1000/Flat!AL$3</f>
        <v>4605.0890211153564</v>
      </c>
      <c r="AM48" s="349">
        <f>AM42*24*LOOKUP(Flat!AM$2,'HDD-by Country'!$A$4:$A$40,'HDD-by Country'!$C$4:$C$40)/1000/Flat!AM$3</f>
        <v>5495.505486508473</v>
      </c>
      <c r="AN48" s="354">
        <f>AN42*24*LOOKUP(Flat!AN$2,'HDD-by Country'!$A$4:$A$40,'HDD-by Country'!$C$4:$C$40)/1000/Flat!AN$3</f>
        <v>5495.505486508473</v>
      </c>
    </row>
    <row r="49" spans="1:40" s="5" customFormat="1">
      <c r="A49" s="130"/>
      <c r="B49" s="142" t="s">
        <v>7</v>
      </c>
      <c r="C49" s="129" t="s">
        <v>261</v>
      </c>
      <c r="D49" s="345">
        <f>D43*24*LOOKUP(Flat!D$2,'HDD-by Country'!$A$4:$A$40,'HDD-by Country'!$C$4:$C$40)/1000/Flat!D$3</f>
        <v>3821.1321581200959</v>
      </c>
      <c r="E49" s="349">
        <f>E43*24*LOOKUP(Flat!E$2,'HDD-by Country'!$A$4:$A$40,'HDD-by Country'!$C$4:$C$40)/1000/Flat!E$3</f>
        <v>4819.365130808259</v>
      </c>
      <c r="F49" s="349">
        <f>F43*24*LOOKUP(Flat!F$2,'HDD-by Country'!$A$4:$A$40,'HDD-by Country'!$C$4:$C$40)/1000/Flat!F$3</f>
        <v>2310.7933914522855</v>
      </c>
      <c r="G49" s="349">
        <f>G43*24*LOOKUP(Flat!G$2,'HDD-by Country'!$A$4:$A$40,'HDD-by Country'!$C$4:$C$40)/1000/Flat!G$3</f>
        <v>3722.7706140386604</v>
      </c>
      <c r="H49" s="349">
        <f>H43*24*LOOKUP(Flat!H$2,'HDD-by Country'!$A$4:$A$40,'HDD-by Country'!$C$4:$C$40)/1000/Flat!H$3</f>
        <v>2575.6328922092143</v>
      </c>
      <c r="I49" s="349">
        <f>I43*24*LOOKUP(Flat!I$2,'HDD-by Country'!$A$4:$A$40,'HDD-by Country'!$C$4:$C$40)/1000/Flat!I$3</f>
        <v>3262.2537601388367</v>
      </c>
      <c r="J49" s="349">
        <f>J43*24*LOOKUP(Flat!J$2,'HDD-by Country'!$A$4:$A$40,'HDD-by Country'!$C$4:$C$40)/1000/Flat!J$3</f>
        <v>2800.2438270395373</v>
      </c>
      <c r="K49" s="349">
        <f>K43*24*LOOKUP(Flat!K$2,'HDD-by Country'!$A$4:$A$40,'HDD-by Country'!$C$4:$C$40)/1000/Flat!K$3</f>
        <v>2300.4842313166746</v>
      </c>
      <c r="L49" s="349">
        <f>L43*24*LOOKUP(Flat!L$2,'HDD-by Country'!$A$4:$A$40,'HDD-by Country'!$C$4:$C$40)/1000/Flat!L$3</f>
        <v>2660.1152418080028</v>
      </c>
      <c r="M49" s="349">
        <f>M43*24*LOOKUP(Flat!M$2,'HDD-by Country'!$A$4:$A$40,'HDD-by Country'!$C$4:$C$40)/1000/Flat!M$3</f>
        <v>4288.5079205205293</v>
      </c>
      <c r="N49" s="349">
        <f>N43*24*LOOKUP(Flat!N$2,'HDD-by Country'!$A$4:$A$40,'HDD-by Country'!$C$4:$C$40)/1000/Flat!N$3</f>
        <v>3336.2769386684722</v>
      </c>
      <c r="O49" s="349">
        <f>O43*24*LOOKUP(Flat!O$2,'HDD-by Country'!$A$4:$A$40,'HDD-by Country'!$C$4:$C$40)/1000/Flat!O$3</f>
        <v>2333.9154563938155</v>
      </c>
      <c r="P49" s="349">
        <f>P43*24*LOOKUP(Flat!P$2,'HDD-by Country'!$A$4:$A$40,'HDD-by Country'!$C$4:$C$40)/1000/Flat!P$3</f>
        <v>2991.5976806606045</v>
      </c>
      <c r="Q49" s="349">
        <f>Q43*24*LOOKUP(Flat!Q$2,'HDD-by Country'!$A$4:$A$40,'HDD-by Country'!$C$4:$C$40)/1000/Flat!Q$3</f>
        <v>2450.2240188761107</v>
      </c>
      <c r="R49" s="349">
        <f>R43*24*LOOKUP(Flat!R$2,'HDD-by Country'!$A$4:$A$40,'HDD-by Country'!$C$4:$C$40)/1000/Flat!R$3</f>
        <v>2637.1812638002079</v>
      </c>
      <c r="S49" s="349">
        <f>S43*24*LOOKUP(Flat!S$2,'HDD-by Country'!$A$4:$A$40,'HDD-by Country'!$C$4:$C$40)/1000/Flat!S$3</f>
        <v>1898.047991706532</v>
      </c>
      <c r="T49" s="349">
        <f>T43*24*LOOKUP(Flat!T$2,'HDD-by Country'!$A$4:$A$40,'HDD-by Country'!$C$4:$C$40)/1000/Flat!T$3</f>
        <v>3458.1052523941535</v>
      </c>
      <c r="U49" s="349">
        <f>U43*24*LOOKUP(Flat!U$2,'HDD-by Country'!$A$4:$A$40,'HDD-by Country'!$C$4:$C$40)/1000/Flat!U$3</f>
        <v>5001.3288457367717</v>
      </c>
      <c r="V49" s="349">
        <f>V43*24*LOOKUP(Flat!V$2,'HDD-by Country'!$A$4:$A$40,'HDD-by Country'!$C$4:$C$40)/1000/Flat!V$3</f>
        <v>2479.9213842683725</v>
      </c>
      <c r="W49" s="349">
        <f>W43*24*LOOKUP(Flat!W$2,'HDD-by Country'!$A$4:$A$40,'HDD-by Country'!$C$4:$C$40)/1000/Flat!W$3</f>
        <v>3288.8761507898221</v>
      </c>
      <c r="X49" s="349">
        <f>X43*24*LOOKUP(Flat!X$2,'HDD-by Country'!$A$4:$A$40,'HDD-by Country'!$C$4:$C$40)/1000/Flat!X$3</f>
        <v>2503.27932475849</v>
      </c>
      <c r="Y49" s="349">
        <f>Y43*24*LOOKUP(Flat!Y$2,'HDD-by Country'!$A$4:$A$40,'HDD-by Country'!$C$4:$C$40)/1000/Flat!Y$3</f>
        <v>2137.2864521601032</v>
      </c>
      <c r="Z49" s="349">
        <f>Z43*24*LOOKUP(Flat!Z$2,'HDD-by Country'!$A$4:$A$40,'HDD-by Country'!$C$4:$C$40)/1000/Flat!Z$3</f>
        <v>3132.5746488248847</v>
      </c>
      <c r="AA49" s="349">
        <f>AA43*24*LOOKUP(Flat!AA$2,'HDD-by Country'!$A$4:$A$40,'HDD-by Country'!$C$4:$C$40)/1000/Flat!AA$3</f>
        <v>3457.5391236658788</v>
      </c>
      <c r="AB49" s="349">
        <f>AB43*24*LOOKUP(Flat!AB$2,'HDD-by Country'!$A$4:$A$40,'HDD-by Country'!$C$4:$C$40)/1000/Flat!AB$3</f>
        <v>3282.5174684957092</v>
      </c>
      <c r="AC49" s="349">
        <f>AC43*24*LOOKUP(Flat!AC$2,'HDD-by Country'!$A$4:$A$40,'HDD-by Country'!$C$4:$C$40)/1000/Flat!AC$3</f>
        <v>3126.9734083881654</v>
      </c>
      <c r="AD49" s="349">
        <f>AD43*24*LOOKUP(Flat!AD$2,'HDD-by Country'!$A$4:$A$40,'HDD-by Country'!$C$4:$C$40)/1000/Flat!AD$3</f>
        <v>3586.485245104258</v>
      </c>
      <c r="AE49" s="349">
        <f>AE43*24*LOOKUP(Flat!AE$2,'HDD-by Country'!$A$4:$A$40,'HDD-by Country'!$C$4:$C$40)/1000/Flat!AE$3</f>
        <v>3333.8368737578903</v>
      </c>
      <c r="AF49" s="349">
        <f>AF43*24*LOOKUP(Flat!AF$2,'HDD-by Country'!$A$4:$A$40,'HDD-by Country'!$C$4:$C$40)/1000/Flat!AF$3</f>
        <v>2093.8770181960708</v>
      </c>
      <c r="AG49" s="349">
        <f>AG43*24*LOOKUP(Flat!AG$2,'HDD-by Country'!$A$4:$A$40,'HDD-by Country'!$C$4:$C$40)/1000/Flat!AG$3</f>
        <v>3994.0628275374465</v>
      </c>
      <c r="AH49" s="349">
        <f>AH43*24*LOOKUP(Flat!AH$2,'HDD-by Country'!$A$4:$A$40,'HDD-by Country'!$C$4:$C$40)/1000/Flat!AH$3</f>
        <v>1823.3232184365311</v>
      </c>
      <c r="AI49" s="349">
        <f>AI43*24*LOOKUP(Flat!AI$2,'HDD-by Country'!$A$4:$A$40,'HDD-by Country'!$C$4:$C$40)/1000/Flat!AI$3</f>
        <v>2449.1896057725826</v>
      </c>
      <c r="AJ49" s="349">
        <f>AJ43*24*LOOKUP(Flat!AJ$2,'HDD-by Country'!$A$4:$A$40,'HDD-by Country'!$C$4:$C$40)/1000/Flat!AJ$3</f>
        <v>5127.7523753032738</v>
      </c>
      <c r="AK49" s="349">
        <f>AK43*24*LOOKUP(Flat!AK$2,'HDD-by Country'!$A$4:$A$40,'HDD-by Country'!$C$4:$C$40)/1000/Flat!AK$3</f>
        <v>4914.046846264464</v>
      </c>
      <c r="AL49" s="349">
        <f>AL43*24*LOOKUP(Flat!AL$2,'HDD-by Country'!$A$4:$A$40,'HDD-by Country'!$C$4:$C$40)/1000/Flat!AL$3</f>
        <v>2743.280327637659</v>
      </c>
      <c r="AM49" s="349">
        <f>AM43*24*LOOKUP(Flat!AM$2,'HDD-by Country'!$A$4:$A$40,'HDD-by Country'!$C$4:$C$40)/1000/Flat!AM$3</f>
        <v>4715.3561370430853</v>
      </c>
      <c r="AN49" s="354">
        <f>AN43*24*LOOKUP(Flat!AN$2,'HDD-by Country'!$A$4:$A$40,'HDD-by Country'!$C$4:$C$40)/1000/Flat!AN$3</f>
        <v>4715.3561370430853</v>
      </c>
    </row>
    <row r="50" spans="1:40" s="5" customFormat="1">
      <c r="A50" s="151" t="s">
        <v>260</v>
      </c>
      <c r="B50" s="141" t="s">
        <v>2</v>
      </c>
      <c r="C50" s="360" t="s">
        <v>261</v>
      </c>
      <c r="D50" s="351">
        <f>D44/(1.355*(D38/Flat!D$17)^0.16)</f>
        <v>7288.2949641414598</v>
      </c>
      <c r="E50" s="352">
        <f>E44/(1.355*(E38/Flat!E$17)^0.16)</f>
        <v>6903.4088835442653</v>
      </c>
      <c r="F50" s="352">
        <f>F44/(1.355*(F38/Flat!F$17)^0.16)</f>
        <v>4142.2072797806977</v>
      </c>
      <c r="G50" s="352">
        <f>G44/(1.355*(G38/Flat!G$17)^0.16)</f>
        <v>7100.6835660717861</v>
      </c>
      <c r="H50" s="352">
        <f>H44/(1.355*(H38/Flat!H$17)^0.16)</f>
        <v>2437.2081340315153</v>
      </c>
      <c r="I50" s="352">
        <f>I44/(1.355*(I38/Flat!I$17)^0.16)</f>
        <v>4884.3493309442702</v>
      </c>
      <c r="J50" s="352">
        <f>J44/(1.355*(J38/Flat!J$17)^0.16)</f>
        <v>6948.7163769619237</v>
      </c>
      <c r="K50" s="352">
        <f>K44/(1.355*(K38/Flat!K$17)^0.16)</f>
        <v>4157.5964233002815</v>
      </c>
      <c r="L50" s="352">
        <f>L44/(1.355*(L38/Flat!L$17)^0.16)</f>
        <v>3376.9762539839098</v>
      </c>
      <c r="M50" s="352">
        <f>M44/(1.355*(M38/Flat!M$17)^0.16)</f>
        <v>8011.6540445647779</v>
      </c>
      <c r="N50" s="352">
        <f>N44/(1.355*(N38/Flat!N$17)^0.16)</f>
        <v>4140.0454891748732</v>
      </c>
      <c r="O50" s="352">
        <f>O44/(1.355*(O38/Flat!O$17)^0.16)</f>
        <v>7277.6084773955117</v>
      </c>
      <c r="P50" s="352">
        <f>P44/(1.355*(P38/Flat!P$17)^0.16)</f>
        <v>6622.3644898257717</v>
      </c>
      <c r="Q50" s="352">
        <f>Q44/(1.355*(Q38/Flat!Q$17)^0.16)</f>
        <v>4374.364059505544</v>
      </c>
      <c r="R50" s="352">
        <f>R44/(1.355*(R38/Flat!R$17)^0.16)</f>
        <v>4718.9726996226273</v>
      </c>
      <c r="S50" s="352">
        <f>S44/(1.355*(S38/Flat!S$17)^0.16)</f>
        <v>4155.7424977831397</v>
      </c>
      <c r="T50" s="352">
        <f>T44/(1.355*(T38/Flat!T$17)^0.16)</f>
        <v>4674.5322731222468</v>
      </c>
      <c r="U50" s="352">
        <f>U44/(1.355*(U38/Flat!U$17)^0.16)</f>
        <v>5697.4213456083871</v>
      </c>
      <c r="V50" s="352">
        <f>V44/(1.355*(V38/Flat!V$17)^0.16)</f>
        <v>5170.8649162350766</v>
      </c>
      <c r="W50" s="352">
        <f>W44/(1.355*(W38/Flat!W$17)^0.16)</f>
        <v>6357.0648638883376</v>
      </c>
      <c r="X50" s="352">
        <f>X44/(1.355*(X38/Flat!X$17)^0.16)</f>
        <v>5550.6197964241164</v>
      </c>
      <c r="Y50" s="352">
        <f>Y44/(1.355*(Y38/Flat!Y$17)^0.16)</f>
        <v>2113.9732511999928</v>
      </c>
      <c r="Z50" s="352">
        <f>Z44/(1.355*(Z38/Flat!Z$17)^0.16)</f>
        <v>7404.1482509788348</v>
      </c>
      <c r="AA50" s="352">
        <f>AA44/(1.355*(AA38/Flat!AA$17)^0.16)</f>
        <v>4906.7712594762843</v>
      </c>
      <c r="AB50" s="352">
        <f>AB44/(1.355*(AB38/Flat!AB$17)^0.16)</f>
        <v>5971.7092195515888</v>
      </c>
      <c r="AC50" s="352">
        <f>AC44/(1.355*(AC38/Flat!AC$17)^0.16)</f>
        <v>4370.6001680353183</v>
      </c>
      <c r="AD50" s="352">
        <f>AD44/(1.355*(AD38/Flat!AD$17)^0.16)</f>
        <v>3746.6145804565722</v>
      </c>
      <c r="AE50" s="352">
        <f>AE44/(1.355*(AE38/Flat!AE$17)^0.16)</f>
        <v>4731.2190465088352</v>
      </c>
      <c r="AF50" s="352">
        <f>AF44/(1.355*(AF38/Flat!AF$17)^0.16)</f>
        <v>4860.353660983149</v>
      </c>
      <c r="AG50" s="352">
        <f>AG44/(1.355*(AG38/Flat!AG$17)^0.16)</f>
        <v>7083.9761068037687</v>
      </c>
      <c r="AH50" s="352">
        <f>AH44/(1.355*(AH38/Flat!AH$17)^0.16)</f>
        <v>3662.2103326918941</v>
      </c>
      <c r="AI50" s="352">
        <f>AI44/(1.355*(AI38/Flat!AI$17)^0.16)</f>
        <v>5231.000292739961</v>
      </c>
      <c r="AJ50" s="352">
        <f>AJ44/(1.355*(AJ38/Flat!AJ$17)^0.16)</f>
        <v>5304.8962545048962</v>
      </c>
      <c r="AK50" s="352">
        <f>AK44/(1.355*(AK38/Flat!AK$17)^0.16)</f>
        <v>5117.7134988589496</v>
      </c>
      <c r="AL50" s="352">
        <f>AL44/(1.355*(AL38/Flat!AL$17)^0.16)</f>
        <v>5266.0717104601808</v>
      </c>
      <c r="AM50" s="352">
        <f>AM44/(1.355*(AM38/Flat!AM$17)^0.16)</f>
        <v>4878.2533319146669</v>
      </c>
      <c r="AN50" s="353">
        <f>AN44/(1.355*(AN38/Flat!AN$17)^0.16)</f>
        <v>4878.2533319146669</v>
      </c>
    </row>
    <row r="51" spans="1:40" s="5" customFormat="1">
      <c r="A51" s="129"/>
      <c r="B51" s="142" t="s">
        <v>3</v>
      </c>
      <c r="C51" s="129" t="s">
        <v>261</v>
      </c>
      <c r="D51" s="345">
        <f>D45/(1.355*(D39/Flat!D$17)^0.16)</f>
        <v>6550.453993377464</v>
      </c>
      <c r="E51" s="349">
        <f>E45/(1.355*(E39/Flat!E$17)^0.16)</f>
        <v>6903.4088835442653</v>
      </c>
      <c r="F51" s="349">
        <f>F45/(1.355*(F39/Flat!F$17)^0.16)</f>
        <v>4142.2072797806977</v>
      </c>
      <c r="G51" s="349">
        <f>G45/(1.355*(G39/Flat!G$17)^0.16)</f>
        <v>6381.8357036766456</v>
      </c>
      <c r="H51" s="349">
        <f>H45/(1.355*(H39/Flat!H$17)^0.16)</f>
        <v>2230.8282962329677</v>
      </c>
      <c r="I51" s="349">
        <f>I45/(1.355*(I39/Flat!I$17)^0.16)</f>
        <v>4353.0491814680599</v>
      </c>
      <c r="J51" s="349">
        <f>J45/(1.355*(J39/Flat!J$17)^0.16)</f>
        <v>5891.7827707437673</v>
      </c>
      <c r="K51" s="349">
        <f>K45/(1.355*(K39/Flat!K$17)^0.16)</f>
        <v>4091.4894431899475</v>
      </c>
      <c r="L51" s="349">
        <f>L45/(1.355*(L39/Flat!L$17)^0.16)</f>
        <v>3376.9762539839098</v>
      </c>
      <c r="M51" s="349">
        <f>M45/(1.355*(M39/Flat!M$17)^0.16)</f>
        <v>7115.5121773264909</v>
      </c>
      <c r="N51" s="349">
        <f>N45/(1.355*(N39/Flat!N$17)^0.16)</f>
        <v>3866.688256482159</v>
      </c>
      <c r="O51" s="349">
        <f>O45/(1.355*(O39/Flat!O$17)^0.16)</f>
        <v>7277.6084773955117</v>
      </c>
      <c r="P51" s="349">
        <f>P45/(1.355*(P39/Flat!P$17)^0.16)</f>
        <v>6622.3644898257717</v>
      </c>
      <c r="Q51" s="349">
        <f>Q45/(1.355*(Q39/Flat!Q$17)^0.16)</f>
        <v>4723.6000722827366</v>
      </c>
      <c r="R51" s="349">
        <f>R45/(1.355*(R39/Flat!R$17)^0.16)</f>
        <v>4718.9726996226273</v>
      </c>
      <c r="S51" s="349">
        <f>S45/(1.355*(S39/Flat!S$17)^0.16)</f>
        <v>4207.2896224920714</v>
      </c>
      <c r="T51" s="349">
        <f>T45/(1.355*(T39/Flat!T$17)^0.16)</f>
        <v>4376.6101646366587</v>
      </c>
      <c r="U51" s="349">
        <f>U45/(1.355*(U39/Flat!U$17)^0.16)</f>
        <v>5316.4371728075193</v>
      </c>
      <c r="V51" s="349">
        <f>V45/(1.355*(V39/Flat!V$17)^0.16)</f>
        <v>5170.8649162350766</v>
      </c>
      <c r="W51" s="349">
        <f>W45/(1.355*(W39/Flat!W$17)^0.16)</f>
        <v>7416.7013088141684</v>
      </c>
      <c r="X51" s="349">
        <f>X45/(1.355*(X39/Flat!X$17)^0.16)</f>
        <v>5550.6197964241164</v>
      </c>
      <c r="Y51" s="349">
        <f>Y45/(1.355*(Y39/Flat!Y$17)^0.16)</f>
        <v>2112.0774556617903</v>
      </c>
      <c r="Z51" s="349">
        <f>Z45/(1.355*(Z39/Flat!Z$17)^0.16)</f>
        <v>6220.5621026413328</v>
      </c>
      <c r="AA51" s="349">
        <f>AA45/(1.355*(AA39/Flat!AA$17)^0.16)</f>
        <v>4906.7712594762843</v>
      </c>
      <c r="AB51" s="349">
        <f>AB45/(1.355*(AB39/Flat!AB$17)^0.16)</f>
        <v>4549.8657003918515</v>
      </c>
      <c r="AC51" s="349">
        <f>AC45/(1.355*(AC39/Flat!AC$17)^0.16)</f>
        <v>3799.6080650158729</v>
      </c>
      <c r="AD51" s="349">
        <f>AD45/(1.355*(AD39/Flat!AD$17)^0.16)</f>
        <v>3444.3190487098532</v>
      </c>
      <c r="AE51" s="349">
        <f>AE45/(1.355*(AE39/Flat!AE$17)^0.16)</f>
        <v>4731.2190465088352</v>
      </c>
      <c r="AF51" s="349">
        <f>AF45/(1.355*(AF39/Flat!AF$17)^0.16)</f>
        <v>4860.353660983149</v>
      </c>
      <c r="AG51" s="349">
        <f>AG45/(1.355*(AG39/Flat!AG$17)^0.16)</f>
        <v>5991.5445605237173</v>
      </c>
      <c r="AH51" s="349">
        <f>AH45/(1.355*(AH39/Flat!AH$17)^0.16)</f>
        <v>3872.8623533873183</v>
      </c>
      <c r="AI51" s="349">
        <f>AI45/(1.355*(AI39/Flat!AI$17)^0.16)</f>
        <v>5231.000292739961</v>
      </c>
      <c r="AJ51" s="349">
        <f>AJ45/(1.355*(AJ39/Flat!AJ$17)^0.16)</f>
        <v>5304.8962545048962</v>
      </c>
      <c r="AK51" s="349">
        <f>AK45/(1.355*(AK39/Flat!AK$17)^0.16)</f>
        <v>5117.7134988589496</v>
      </c>
      <c r="AL51" s="349">
        <f>AL45/(1.355*(AL39/Flat!AL$17)^0.16)</f>
        <v>5266.0717104601808</v>
      </c>
      <c r="AM51" s="349">
        <f>AM45/(1.355*(AM39/Flat!AM$17)^0.16)</f>
        <v>4878.2533319146669</v>
      </c>
      <c r="AN51" s="354">
        <f>AN45/(1.355*(AN39/Flat!AN$17)^0.16)</f>
        <v>4878.2533319146669</v>
      </c>
    </row>
    <row r="52" spans="1:40" s="5" customFormat="1">
      <c r="A52" s="129"/>
      <c r="B52" s="142" t="s">
        <v>4</v>
      </c>
      <c r="C52" s="129" t="s">
        <v>261</v>
      </c>
      <c r="D52" s="345">
        <f>D46/(1.355*(D40/Flat!D$17)^0.16)</f>
        <v>5358.8199558682963</v>
      </c>
      <c r="E52" s="349">
        <f>E46/(1.355*(E40/Flat!E$17)^0.16)</f>
        <v>6903.4088835442653</v>
      </c>
      <c r="F52" s="349">
        <f>F46/(1.355*(F40/Flat!F$17)^0.16)</f>
        <v>3908.3164220002923</v>
      </c>
      <c r="G52" s="349">
        <f>G46/(1.355*(G40/Flat!G$17)^0.16)</f>
        <v>5220.8760734005045</v>
      </c>
      <c r="H52" s="349">
        <f>H46/(1.355*(H40/Flat!H$17)^0.16)</f>
        <v>2020.7393446098513</v>
      </c>
      <c r="I52" s="349">
        <f>I46/(1.355*(I40/Flat!I$17)^0.16)</f>
        <v>4353.0491814680599</v>
      </c>
      <c r="J52" s="349">
        <f>J46/(1.355*(J40/Flat!J$17)^0.16)</f>
        <v>3839.9439093166334</v>
      </c>
      <c r="K52" s="349">
        <f>K46/(1.355*(K40/Flat!K$17)^0.16)</f>
        <v>2852.5320326137798</v>
      </c>
      <c r="L52" s="349">
        <f>L46/(1.355*(L40/Flat!L$17)^0.16)</f>
        <v>2797.540917273428</v>
      </c>
      <c r="M52" s="349">
        <f>M46/(1.355*(M40/Flat!M$17)^0.16)</f>
        <v>7115.5121773264909</v>
      </c>
      <c r="N52" s="349">
        <f>N46/(1.355*(N40/Flat!N$17)^0.16)</f>
        <v>3312.7227904490414</v>
      </c>
      <c r="O52" s="349">
        <f>O46/(1.355*(O40/Flat!O$17)^0.16)</f>
        <v>3512.6937486712804</v>
      </c>
      <c r="P52" s="349">
        <f>P46/(1.355*(P40/Flat!P$17)^0.16)</f>
        <v>6622.3644898257717</v>
      </c>
      <c r="Q52" s="349">
        <f>Q46/(1.355*(Q40/Flat!Q$17)^0.16)</f>
        <v>4381.3573272771919</v>
      </c>
      <c r="R52" s="349">
        <f>R46/(1.355*(R40/Flat!R$17)^0.16)</f>
        <v>4090.7383159833839</v>
      </c>
      <c r="S52" s="349">
        <f>S46/(1.355*(S40/Flat!S$17)^0.16)</f>
        <v>3695.3991653243711</v>
      </c>
      <c r="T52" s="349">
        <f>T46/(1.355*(T40/Flat!T$17)^0.16)</f>
        <v>3651.393652400986</v>
      </c>
      <c r="U52" s="349">
        <f>U46/(1.355*(U40/Flat!U$17)^0.16)</f>
        <v>5189.0535024075616</v>
      </c>
      <c r="V52" s="349">
        <f>V46/(1.355*(V40/Flat!V$17)^0.16)</f>
        <v>3499.373453429243</v>
      </c>
      <c r="W52" s="349">
        <f>W46/(1.355*(W40/Flat!W$17)^0.16)</f>
        <v>3965.4884751225304</v>
      </c>
      <c r="X52" s="349">
        <f>X46/(1.355*(X40/Flat!X$17)^0.16)</f>
        <v>5161.8416234014358</v>
      </c>
      <c r="Y52" s="349">
        <f>Y46/(1.355*(Y40/Flat!Y$17)^0.16)</f>
        <v>1641.3702673036767</v>
      </c>
      <c r="Z52" s="349">
        <f>Z46/(1.355*(Z40/Flat!Z$17)^0.16)</f>
        <v>6104.7369724055288</v>
      </c>
      <c r="AA52" s="349">
        <f>AA46/(1.355*(AA40/Flat!AA$17)^0.16)</f>
        <v>3439.2344580998088</v>
      </c>
      <c r="AB52" s="349">
        <f>AB46/(1.355*(AB40/Flat!AB$17)^0.16)</f>
        <v>3315.9883912911873</v>
      </c>
      <c r="AC52" s="349">
        <f>AC46/(1.355*(AC40/Flat!AC$17)^0.16)</f>
        <v>3749.7487643924692</v>
      </c>
      <c r="AD52" s="349">
        <f>AD46/(1.355*(AD40/Flat!AD$17)^0.16)</f>
        <v>3444.3190487098532</v>
      </c>
      <c r="AE52" s="349">
        <f>AE46/(1.355*(AE40/Flat!AE$17)^0.16)</f>
        <v>3316.1871041259933</v>
      </c>
      <c r="AF52" s="349">
        <f>AF46/(1.355*(AF40/Flat!AF$17)^0.16)</f>
        <v>4695.776157225002</v>
      </c>
      <c r="AG52" s="349">
        <f>AG46/(1.355*(AG40/Flat!AG$17)^0.16)</f>
        <v>5991.5445605237173</v>
      </c>
      <c r="AH52" s="349">
        <f>AH46/(1.355*(AH40/Flat!AH$17)^0.16)</f>
        <v>3221.5197924273157</v>
      </c>
      <c r="AI52" s="349">
        <f>AI46/(1.355*(AI40/Flat!AI$17)^0.16)</f>
        <v>5231.000292739961</v>
      </c>
      <c r="AJ52" s="349">
        <f>AJ46/(1.355*(AJ40/Flat!AJ$17)^0.16)</f>
        <v>5304.8962545048962</v>
      </c>
      <c r="AK52" s="349">
        <f>AK46/(1.355*(AK40/Flat!AK$17)^0.16)</f>
        <v>5117.7134988589496</v>
      </c>
      <c r="AL52" s="349">
        <f>AL46/(1.355*(AL40/Flat!AL$17)^0.16)</f>
        <v>4961.5107296572323</v>
      </c>
      <c r="AM52" s="349">
        <f>AM46/(1.355*(AM40/Flat!AM$17)^0.16)</f>
        <v>4878.2533319146669</v>
      </c>
      <c r="AN52" s="354">
        <f>AN46/(1.355*(AN40/Flat!AN$17)^0.16)</f>
        <v>4878.2533319146669</v>
      </c>
    </row>
    <row r="53" spans="1:40" s="5" customFormat="1">
      <c r="A53" s="129"/>
      <c r="B53" s="142" t="s">
        <v>5</v>
      </c>
      <c r="C53" s="129" t="s">
        <v>261</v>
      </c>
      <c r="D53" s="345">
        <f>D47/(1.355*(D41/Flat!D$17)^0.16)</f>
        <v>3906.7684530412516</v>
      </c>
      <c r="E53" s="349">
        <f>E47/(1.355*(E41/Flat!E$17)^0.16)</f>
        <v>5948.2966861210434</v>
      </c>
      <c r="F53" s="349">
        <f>F47/(1.355*(F41/Flat!F$17)^0.16)</f>
        <v>3360.8311911817132</v>
      </c>
      <c r="G53" s="349">
        <f>G47/(1.355*(G41/Flat!G$17)^0.16)</f>
        <v>3806.202505173374</v>
      </c>
      <c r="H53" s="349">
        <f>H47/(1.355*(H41/Flat!H$17)^0.16)</f>
        <v>1975.2411130882726</v>
      </c>
      <c r="I53" s="349">
        <f>I47/(1.355*(I41/Flat!I$17)^0.16)</f>
        <v>3924.675941329142</v>
      </c>
      <c r="J53" s="349">
        <f>J47/(1.355*(J41/Flat!J$17)^0.16)</f>
        <v>3299.6776071314916</v>
      </c>
      <c r="K53" s="349">
        <f>K47/(1.355*(K41/Flat!K$17)^0.16)</f>
        <v>2400.7635012247933</v>
      </c>
      <c r="L53" s="349">
        <f>L47/(1.355*(L41/Flat!L$17)^0.16)</f>
        <v>2435.2154526591958</v>
      </c>
      <c r="M53" s="349">
        <f>M47/(1.355*(M41/Flat!M$17)^0.16)</f>
        <v>5201.6602167568408</v>
      </c>
      <c r="N53" s="349">
        <f>N47/(1.355*(N41/Flat!N$17)^0.16)</f>
        <v>2892.9420907014924</v>
      </c>
      <c r="O53" s="349">
        <f>O47/(1.355*(O41/Flat!O$17)^0.16)</f>
        <v>3077.2580677764872</v>
      </c>
      <c r="P53" s="349">
        <f>P47/(1.355*(P41/Flat!P$17)^0.16)</f>
        <v>6497.9749838903181</v>
      </c>
      <c r="Q53" s="349">
        <f>Q47/(1.355*(Q41/Flat!Q$17)^0.16)</f>
        <v>4381.3573272771919</v>
      </c>
      <c r="R53" s="349">
        <f>R47/(1.355*(R41/Flat!R$17)^0.16)</f>
        <v>2998.9239812728379</v>
      </c>
      <c r="S53" s="349">
        <f>S47/(1.355*(S41/Flat!S$17)^0.16)</f>
        <v>2590.8177667669966</v>
      </c>
      <c r="T53" s="349">
        <f>T47/(1.355*(T41/Flat!T$17)^0.16)</f>
        <v>3089.3362003238026</v>
      </c>
      <c r="U53" s="349">
        <f>U47/(1.355*(U41/Flat!U$17)^0.16)</f>
        <v>3967.2875880117422</v>
      </c>
      <c r="V53" s="349">
        <f>V47/(1.355*(V41/Flat!V$17)^0.16)</f>
        <v>3499.373453429243</v>
      </c>
      <c r="W53" s="349">
        <f>W47/(1.355*(W41/Flat!W$17)^0.16)</f>
        <v>3645.6488855074717</v>
      </c>
      <c r="X53" s="349">
        <f>X47/(1.355*(X41/Flat!X$17)^0.16)</f>
        <v>3386.5206465323222</v>
      </c>
      <c r="Y53" s="349">
        <f>Y47/(1.355*(Y41/Flat!Y$17)^0.16)</f>
        <v>1546.5547463839946</v>
      </c>
      <c r="Z53" s="349">
        <f>Z47/(1.355*(Z41/Flat!Z$17)^0.16)</f>
        <v>3466.789921343176</v>
      </c>
      <c r="AA53" s="349">
        <f>AA47/(1.355*(AA41/Flat!AA$17)^0.16)</f>
        <v>3439.2344580998088</v>
      </c>
      <c r="AB53" s="349">
        <f>AB47/(1.355*(AB41/Flat!AB$17)^0.16)</f>
        <v>3315.9883912911873</v>
      </c>
      <c r="AC53" s="349">
        <f>AC47/(1.355*(AC41/Flat!AC$17)^0.16)</f>
        <v>3608.2112149757982</v>
      </c>
      <c r="AD53" s="349">
        <f>AD47/(1.355*(AD41/Flat!AD$17)^0.16)</f>
        <v>2979.6863339953834</v>
      </c>
      <c r="AE53" s="349">
        <f>AE47/(1.355*(AE41/Flat!AE$17)^0.16)</f>
        <v>3316.1871041259933</v>
      </c>
      <c r="AF53" s="349">
        <f>AF47/(1.355*(AF41/Flat!AF$17)^0.16)</f>
        <v>3593.5598751835651</v>
      </c>
      <c r="AG53" s="349">
        <f>AG47/(1.355*(AG41/Flat!AG$17)^0.16)</f>
        <v>5257.0925939543304</v>
      </c>
      <c r="AH53" s="349">
        <f>AH47/(1.355*(AH41/Flat!AH$17)^0.16)</f>
        <v>1873.666722501019</v>
      </c>
      <c r="AI53" s="349">
        <f>AI47/(1.355*(AI41/Flat!AI$17)^0.16)</f>
        <v>5137.8427040834013</v>
      </c>
      <c r="AJ53" s="349">
        <f>AJ47/(1.355*(AJ41/Flat!AJ$17)^0.16)</f>
        <v>4581.7887291142006</v>
      </c>
      <c r="AK53" s="349">
        <f>AK47/(1.355*(AK41/Flat!AK$17)^0.16)</f>
        <v>4411.719715292661</v>
      </c>
      <c r="AL53" s="349">
        <f>AL47/(1.355*(AL41/Flat!AL$17)^0.16)</f>
        <v>4238.9861914239445</v>
      </c>
      <c r="AM53" s="349">
        <f>AM47/(1.355*(AM41/Flat!AM$17)^0.16)</f>
        <v>4213.3012714339002</v>
      </c>
      <c r="AN53" s="354">
        <f>AN47/(1.355*(AN41/Flat!AN$17)^0.16)</f>
        <v>4213.3012714339002</v>
      </c>
    </row>
    <row r="54" spans="1:40" s="5" customFormat="1">
      <c r="A54" s="129"/>
      <c r="B54" s="142" t="s">
        <v>6</v>
      </c>
      <c r="C54" s="129" t="s">
        <v>261</v>
      </c>
      <c r="D54" s="345">
        <f>D48/(1.355*(D42/Flat!D$17)^0.16)</f>
        <v>3363.5587663912424</v>
      </c>
      <c r="E54" s="349">
        <f>E48/(1.355*(E42/Flat!E$17)^0.16)</f>
        <v>5948.2966861210434</v>
      </c>
      <c r="F54" s="349">
        <f>F48/(1.355*(F42/Flat!F$17)^0.16)</f>
        <v>2690.9325005939586</v>
      </c>
      <c r="G54" s="349">
        <f>G48/(1.355*(G42/Flat!G$17)^0.16)</f>
        <v>3276.9758322815637</v>
      </c>
      <c r="H54" s="349">
        <f>H48/(1.355*(H42/Flat!H$17)^0.16)</f>
        <v>1975.2411130882726</v>
      </c>
      <c r="I54" s="349">
        <f>I48/(1.355*(I42/Flat!I$17)^0.16)</f>
        <v>3020.8500871262563</v>
      </c>
      <c r="J54" s="349">
        <f>J48/(1.355*(J42/Flat!J$17)^0.16)</f>
        <v>2101.1879804097625</v>
      </c>
      <c r="K54" s="349">
        <f>K48/(1.355*(K42/Flat!K$17)^0.16)</f>
        <v>2400.7635012247933</v>
      </c>
      <c r="L54" s="349">
        <f>L48/(1.355*(L42/Flat!L$17)^0.16)</f>
        <v>2256.9526889379667</v>
      </c>
      <c r="M54" s="349">
        <f>M48/(1.355*(M42/Flat!M$17)^0.16)</f>
        <v>5201.6602167568408</v>
      </c>
      <c r="N54" s="349">
        <f>N48/(1.355*(N42/Flat!N$17)^0.16)</f>
        <v>2866.6376627178433</v>
      </c>
      <c r="O54" s="349">
        <f>O48/(1.355*(O42/Flat!O$17)^0.16)</f>
        <v>1951.6917133676588</v>
      </c>
      <c r="P54" s="349">
        <f>P48/(1.355*(P42/Flat!P$17)^0.16)</f>
        <v>6497.9749838903181</v>
      </c>
      <c r="Q54" s="349">
        <f>Q48/(1.355*(Q42/Flat!Q$17)^0.16)</f>
        <v>3207.3923854544</v>
      </c>
      <c r="R54" s="349">
        <f>R48/(1.355*(R42/Flat!R$17)^0.16)</f>
        <v>2998.9239812728379</v>
      </c>
      <c r="S54" s="349">
        <f>S48/(1.355*(S42/Flat!S$17)^0.16)</f>
        <v>2209.8895287367091</v>
      </c>
      <c r="T54" s="349">
        <f>T48/(1.355*(T42/Flat!T$17)^0.16)</f>
        <v>3058.0370542508845</v>
      </c>
      <c r="U54" s="349">
        <f>U48/(1.355*(U42/Flat!U$17)^0.16)</f>
        <v>3612.0437660404896</v>
      </c>
      <c r="V54" s="349">
        <f>V48/(1.355*(V42/Flat!V$17)^0.16)</f>
        <v>3499.373453429243</v>
      </c>
      <c r="W54" s="349">
        <f>W48/(1.355*(W42/Flat!W$17)^0.16)</f>
        <v>3257.6546266652053</v>
      </c>
      <c r="X54" s="349">
        <f>X48/(1.355*(X42/Flat!X$17)^0.16)</f>
        <v>3360.3730639123219</v>
      </c>
      <c r="Y54" s="349">
        <f>Y48/(1.355*(Y42/Flat!Y$17)^0.16)</f>
        <v>1528.4159794216116</v>
      </c>
      <c r="Z54" s="349">
        <f>Z48/(1.355*(Z42/Flat!Z$17)^0.16)</f>
        <v>3197.7034604702394</v>
      </c>
      <c r="AA54" s="349">
        <f>AA48/(1.355*(AA42/Flat!AA$17)^0.16)</f>
        <v>3031.2821153168952</v>
      </c>
      <c r="AB54" s="349">
        <f>AB48/(1.355*(AB42/Flat!AB$17)^0.16)</f>
        <v>3315.9883912911873</v>
      </c>
      <c r="AC54" s="349">
        <f>AC48/(1.355*(AC42/Flat!AC$17)^0.16)</f>
        <v>3296.3148452192381</v>
      </c>
      <c r="AD54" s="349">
        <f>AD48/(1.355*(AD42/Flat!AD$17)^0.16)</f>
        <v>2979.6863339953834</v>
      </c>
      <c r="AE54" s="349">
        <f>AE48/(1.355*(AE42/Flat!AE$17)^0.16)</f>
        <v>2922.8302932669467</v>
      </c>
      <c r="AF54" s="349">
        <f>AF48/(1.355*(AF42/Flat!AF$17)^0.16)</f>
        <v>2707.7854677908622</v>
      </c>
      <c r="AG54" s="349">
        <f>AG48/(1.355*(AG42/Flat!AG$17)^0.16)</f>
        <v>4982.9352513393478</v>
      </c>
      <c r="AH54" s="349">
        <f>AH48/(1.355*(AH42/Flat!AH$17)^0.16)</f>
        <v>1616.7461963858502</v>
      </c>
      <c r="AI54" s="349">
        <f>AI48/(1.355*(AI42/Flat!AI$17)^0.16)</f>
        <v>5137.8427040834013</v>
      </c>
      <c r="AJ54" s="349">
        <f>AJ48/(1.355*(AJ42/Flat!AJ$17)^0.16)</f>
        <v>4297.0371754800435</v>
      </c>
      <c r="AK54" s="349">
        <f>AK48/(1.355*(AK42/Flat!AK$17)^0.16)</f>
        <v>4134.1045375666135</v>
      </c>
      <c r="AL54" s="349">
        <f>AL48/(1.355*(AL42/Flat!AL$17)^0.16)</f>
        <v>3406.1995600649593</v>
      </c>
      <c r="AM54" s="349">
        <f>AM48/(1.355*(AM42/Flat!AM$17)^0.16)</f>
        <v>3951.4506812165901</v>
      </c>
      <c r="AN54" s="354">
        <f>AN48/(1.355*(AN42/Flat!AN$17)^0.16)</f>
        <v>3951.4506812165901</v>
      </c>
    </row>
    <row r="55" spans="1:40" s="5" customFormat="1">
      <c r="A55" s="129"/>
      <c r="B55" s="142" t="s">
        <v>7</v>
      </c>
      <c r="C55" s="129" t="s">
        <v>261</v>
      </c>
      <c r="D55" s="345">
        <f>D49/(1.355*(D43/Flat!D$17)^0.16)</f>
        <v>3087.4311246816233</v>
      </c>
      <c r="E55" s="349">
        <f>E49/(1.355*(E43/Flat!E$17)^0.16)</f>
        <v>3632.1836322722856</v>
      </c>
      <c r="F55" s="349">
        <f>F49/(1.355*(F43/Flat!F$17)^0.16)</f>
        <v>1835.0565055882626</v>
      </c>
      <c r="G55" s="349">
        <f>G49/(1.355*(G43/Flat!G$17)^0.16)</f>
        <v>3007.9561209125382</v>
      </c>
      <c r="H55" s="349">
        <f>H49/(1.355*(H43/Flat!H$17)^0.16)</f>
        <v>1741.9980949688452</v>
      </c>
      <c r="I55" s="349">
        <f>I49/(1.355*(I43/Flat!I$17)^0.16)</f>
        <v>2656.2787701824536</v>
      </c>
      <c r="J55" s="349">
        <f>J49/(1.355*(J43/Flat!J$17)^0.16)</f>
        <v>2307.2778939998907</v>
      </c>
      <c r="K55" s="349">
        <f>K49/(1.355*(K43/Flat!K$17)^0.16)</f>
        <v>1978.421157347181</v>
      </c>
      <c r="L55" s="349">
        <f>L49/(1.355*(L43/Flat!L$17)^0.16)</f>
        <v>2256.9526889379667</v>
      </c>
      <c r="M55" s="349">
        <f>M49/(1.355*(M43/Flat!M$17)^0.16)</f>
        <v>3246.5320233431771</v>
      </c>
      <c r="N55" s="349">
        <f>N49/(1.355*(N43/Flat!N$17)^0.16)</f>
        <v>2740.6229598807822</v>
      </c>
      <c r="O55" s="349">
        <f>O49/(1.355*(O43/Flat!O$17)^0.16)</f>
        <v>1907.8571482806638</v>
      </c>
      <c r="P55" s="349">
        <f>P49/(1.355*(P43/Flat!P$17)^0.16)</f>
        <v>2317.2573431123769</v>
      </c>
      <c r="Q55" s="349">
        <f>Q49/(1.355*(Q43/Flat!Q$17)^0.16)</f>
        <v>1993.7107961698748</v>
      </c>
      <c r="R55" s="349">
        <f>R49/(1.355*(R43/Flat!R$17)^0.16)</f>
        <v>2090.006815916101</v>
      </c>
      <c r="S55" s="349">
        <f>S49/(1.355*(S43/Flat!S$17)^0.16)</f>
        <v>1528.8769587943202</v>
      </c>
      <c r="T55" s="349">
        <f>T49/(1.355*(T43/Flat!T$17)^0.16)</f>
        <v>2914.4758007333212</v>
      </c>
      <c r="U55" s="349">
        <f>U49/(1.355*(U43/Flat!U$17)^0.16)</f>
        <v>3612.0437660404896</v>
      </c>
      <c r="V55" s="349">
        <f>V49/(1.355*(V43/Flat!V$17)^0.16)</f>
        <v>2117.3942938931818</v>
      </c>
      <c r="W55" s="349">
        <f>W49/(1.355*(W43/Flat!W$17)^0.16)</f>
        <v>2729.1826123017859</v>
      </c>
      <c r="X55" s="349">
        <f>X49/(1.355*(X43/Flat!X$17)^0.16)</f>
        <v>2147.8721724210241</v>
      </c>
      <c r="Y55" s="349">
        <f>Y49/(1.355*(Y43/Flat!Y$17)^0.16)</f>
        <v>1435.6154344925451</v>
      </c>
      <c r="Z55" s="349">
        <f>Z49/(1.355*(Z43/Flat!Z$17)^0.16)</f>
        <v>2543.1244314785145</v>
      </c>
      <c r="AA55" s="349">
        <f>AA49/(1.355*(AA43/Flat!AA$17)^0.16)</f>
        <v>3031.2821153168952</v>
      </c>
      <c r="AB55" s="349">
        <f>AB49/(1.355*(AB43/Flat!AB$17)^0.16)</f>
        <v>2562.3594755094337</v>
      </c>
      <c r="AC55" s="349">
        <f>AC49/(1.355*(AC43/Flat!AC$17)^0.16)</f>
        <v>2288.3567644717136</v>
      </c>
      <c r="AD55" s="349">
        <f>AD49/(1.355*(AD43/Flat!AD$17)^0.16)</f>
        <v>2532.8305312833081</v>
      </c>
      <c r="AE55" s="349">
        <f>AE49/(1.355*(AE43/Flat!AE$17)^0.16)</f>
        <v>2922.8302932669467</v>
      </c>
      <c r="AF55" s="349">
        <f>AF49/(1.355*(AF43/Flat!AF$17)^0.16)</f>
        <v>1752.607632520823</v>
      </c>
      <c r="AG55" s="349">
        <f>AG49/(1.355*(AG43/Flat!AG$17)^0.16)</f>
        <v>3133.1259792339079</v>
      </c>
      <c r="AH55" s="349">
        <f>AH49/(1.355*(AH43/Flat!AH$17)^0.16)</f>
        <v>1432.295317652417</v>
      </c>
      <c r="AI55" s="349">
        <f>AI49/(1.355*(AI43/Flat!AI$17)^0.16)</f>
        <v>1884.1420792208326</v>
      </c>
      <c r="AJ55" s="349">
        <f>AJ49/(1.355*(AJ43/Flat!AJ$17)^0.16)</f>
        <v>3778.4603386303129</v>
      </c>
      <c r="AK55" s="349">
        <f>AK49/(1.355*(AK43/Flat!AK$17)^0.16)</f>
        <v>3631.3076967174279</v>
      </c>
      <c r="AL55" s="349">
        <f>AL49/(1.355*(AL43/Flat!AL$17)^0.16)</f>
        <v>2204.4340075106452</v>
      </c>
      <c r="AM55" s="349">
        <f>AM49/(1.355*(AM43/Flat!AM$17)^0.16)</f>
        <v>3474.5800581449862</v>
      </c>
      <c r="AN55" s="354">
        <f>AN49/(1.355*(AN43/Flat!AN$17)^0.16)</f>
        <v>3474.5800581449862</v>
      </c>
    </row>
    <row r="56" spans="1:40" s="5" customFormat="1">
      <c r="A56" s="334" t="s">
        <v>262</v>
      </c>
      <c r="B56" s="359" t="s">
        <v>2</v>
      </c>
      <c r="C56" s="366" t="s">
        <v>190</v>
      </c>
      <c r="D56" s="375">
        <f>D50/Flat!D$4</f>
        <v>101.83924978672276</v>
      </c>
      <c r="E56" s="376">
        <f>E50/Flat!E$4</f>
        <v>94.259342319089598</v>
      </c>
      <c r="F56" s="376">
        <f>F50/Flat!F$4</f>
        <v>64.239917350544289</v>
      </c>
      <c r="G56" s="376">
        <f>G50/Flat!G$4</f>
        <v>99.217758186169178</v>
      </c>
      <c r="H56" s="376">
        <f>H50/Flat!H$4</f>
        <v>33.386412794952264</v>
      </c>
      <c r="I56" s="376">
        <f>I50/Flat!I$4</f>
        <v>80.087702731385136</v>
      </c>
      <c r="J56" s="376">
        <f>J50/Flat!J$4</f>
        <v>110.81000198222171</v>
      </c>
      <c r="K56" s="376">
        <f>K50/Flat!K$4</f>
        <v>53.030566623728078</v>
      </c>
      <c r="L56" s="376">
        <f>L50/Flat!L$4</f>
        <v>70.649470989985332</v>
      </c>
      <c r="M56" s="376">
        <f>M50/Flat!M$4</f>
        <v>92.760101224081879</v>
      </c>
      <c r="N56" s="376">
        <f>N50/Flat!N$4</f>
        <v>73.929383735265588</v>
      </c>
      <c r="O56" s="376">
        <f>O50/Flat!O$4</f>
        <v>110.39375964407294</v>
      </c>
      <c r="P56" s="376">
        <f>P50/Flat!P$4</f>
        <v>90.717321778435235</v>
      </c>
      <c r="Q56" s="376">
        <f>Q50/Flat!Q$4</f>
        <v>68.765984080467547</v>
      </c>
      <c r="R56" s="376">
        <f>R50/Flat!R$4</f>
        <v>100.97403380937108</v>
      </c>
      <c r="S56" s="376">
        <f>S50/Flat!S$4</f>
        <v>62.450093900092227</v>
      </c>
      <c r="T56" s="376">
        <f>T50/Flat!T$4</f>
        <v>83.473790591468699</v>
      </c>
      <c r="U56" s="376">
        <f>U50/Flat!U$4</f>
        <v>62.746931119035104</v>
      </c>
      <c r="V56" s="376">
        <f>V50/Flat!V$4</f>
        <v>100.28489170936808</v>
      </c>
      <c r="W56" s="376">
        <f>W50/Flat!W$4</f>
        <v>74.091574408776509</v>
      </c>
      <c r="X56" s="376">
        <f>X50/Flat!X$4</f>
        <v>107.77902517328381</v>
      </c>
      <c r="Y56" s="376">
        <f>Y50/Flat!Y$4</f>
        <v>24.861074361049283</v>
      </c>
      <c r="Z56" s="376">
        <f>Z50/Flat!Z$4</f>
        <v>97.680056081514977</v>
      </c>
      <c r="AA56" s="376">
        <f>AA50/Flat!AA$4</f>
        <v>73.454659572998267</v>
      </c>
      <c r="AB56" s="376">
        <f>AB50/Flat!AB$4</f>
        <v>113.79076551266101</v>
      </c>
      <c r="AC56" s="376">
        <f>AC50/Flat!AC$4</f>
        <v>45.216146829994187</v>
      </c>
      <c r="AD56" s="376">
        <f>AD50/Flat!AD$4</f>
        <v>78.135301395472197</v>
      </c>
      <c r="AE56" s="376">
        <f>AE50/Flat!AE$4</f>
        <v>70.826632432766999</v>
      </c>
      <c r="AF56" s="376">
        <f>AF50/Flat!AF$4</f>
        <v>94.264382403143443</v>
      </c>
      <c r="AG56" s="376">
        <f>AG50/Flat!AG$4</f>
        <v>115.65129402306528</v>
      </c>
      <c r="AH56" s="376">
        <f>AH50/Flat!AH$4</f>
        <v>75.649872602600581</v>
      </c>
      <c r="AI56" s="376">
        <f>AI50/Flat!AI$4</f>
        <v>71.657538256711788</v>
      </c>
      <c r="AJ56" s="376">
        <f>AJ50/Flat!AJ$4</f>
        <v>83.394158881931375</v>
      </c>
      <c r="AK56" s="376">
        <f>AK50/Flat!AK$4</f>
        <v>70.105664367930814</v>
      </c>
      <c r="AL56" s="376">
        <f>AL50/Flat!AL$4</f>
        <v>82.783828342133532</v>
      </c>
      <c r="AM56" s="376">
        <f>AM50/Flat!AM$4</f>
        <v>76.687236453028618</v>
      </c>
      <c r="AN56" s="377">
        <f>AN50/Flat!AN$4</f>
        <v>76.687236453028618</v>
      </c>
    </row>
    <row r="57" spans="1:40" s="5" customFormat="1">
      <c r="A57" s="154"/>
      <c r="B57" s="347" t="s">
        <v>3</v>
      </c>
      <c r="C57" s="367" t="s">
        <v>190</v>
      </c>
      <c r="D57" s="369">
        <f>D51/Flat!D$4</f>
        <v>91.529407595344878</v>
      </c>
      <c r="E57" s="370">
        <f>E51/Flat!E$4</f>
        <v>94.259342319089598</v>
      </c>
      <c r="F57" s="370">
        <f>F51/Flat!F$4</f>
        <v>64.239917350544289</v>
      </c>
      <c r="G57" s="370">
        <f>G51/Flat!G$4</f>
        <v>89.173306448514509</v>
      </c>
      <c r="H57" s="370">
        <f>H51/Flat!H$4</f>
        <v>30.559291729218735</v>
      </c>
      <c r="I57" s="370">
        <f>I51/Flat!I$4</f>
        <v>71.376080046493129</v>
      </c>
      <c r="J57" s="370">
        <f>J51/Flat!J$4</f>
        <v>93.955260955747889</v>
      </c>
      <c r="K57" s="370">
        <f>K51/Flat!K$4</f>
        <v>52.187365346810552</v>
      </c>
      <c r="L57" s="370">
        <f>L51/Flat!L$4</f>
        <v>70.649470989985332</v>
      </c>
      <c r="M57" s="370">
        <f>M51/Flat!M$4</f>
        <v>82.384439737231318</v>
      </c>
      <c r="N57" s="370">
        <f>N51/Flat!N$4</f>
        <v>69.048004580038551</v>
      </c>
      <c r="O57" s="370">
        <f>O51/Flat!O$4</f>
        <v>110.39375964407294</v>
      </c>
      <c r="P57" s="370">
        <f>P51/Flat!P$4</f>
        <v>90.717321778435235</v>
      </c>
      <c r="Q57" s="370">
        <f>Q51/Flat!Q$4</f>
        <v>74.256052526594317</v>
      </c>
      <c r="R57" s="370">
        <f>R51/Flat!R$4</f>
        <v>100.97403380937108</v>
      </c>
      <c r="S57" s="370">
        <f>S51/Flat!S$4</f>
        <v>63.224714266986894</v>
      </c>
      <c r="T57" s="370">
        <f>T51/Flat!T$4</f>
        <v>78.153752939940333</v>
      </c>
      <c r="U57" s="370">
        <f>U51/Flat!U$4</f>
        <v>58.551070185104841</v>
      </c>
      <c r="V57" s="370">
        <f>V51/Flat!V$4</f>
        <v>100.28489170936808</v>
      </c>
      <c r="W57" s="370">
        <f>W51/Flat!W$4</f>
        <v>86.441634410752386</v>
      </c>
      <c r="X57" s="370">
        <f>X51/Flat!X$4</f>
        <v>107.77902517328381</v>
      </c>
      <c r="Y57" s="370">
        <f>Y51/Flat!Y$4</f>
        <v>24.838779133887897</v>
      </c>
      <c r="Z57" s="370">
        <f>Z51/Flat!Z$4</f>
        <v>82.065463095532095</v>
      </c>
      <c r="AA57" s="370">
        <f>AA51/Flat!AA$4</f>
        <v>73.454659572998267</v>
      </c>
      <c r="AB57" s="370">
        <f>AB51/Flat!AB$4</f>
        <v>86.697573842395585</v>
      </c>
      <c r="AC57" s="370">
        <f>AC51/Flat!AC$4</f>
        <v>39.308934599116476</v>
      </c>
      <c r="AD57" s="370">
        <f>AD51/Flat!AD$4</f>
        <v>71.830955972075046</v>
      </c>
      <c r="AE57" s="370">
        <f>AE51/Flat!AE$4</f>
        <v>70.826632432766999</v>
      </c>
      <c r="AF57" s="370">
        <f>AF51/Flat!AF$4</f>
        <v>94.264382403143443</v>
      </c>
      <c r="AG57" s="370">
        <f>AG51/Flat!AG$4</f>
        <v>97.816518742335234</v>
      </c>
      <c r="AH57" s="370">
        <f>AH51/Flat!AH$4</f>
        <v>80.001288027005131</v>
      </c>
      <c r="AI57" s="370">
        <f>AI51/Flat!AI$4</f>
        <v>71.657538256711788</v>
      </c>
      <c r="AJ57" s="370">
        <f>AJ51/Flat!AJ$4</f>
        <v>83.394158881931375</v>
      </c>
      <c r="AK57" s="370">
        <f>AK51/Flat!AK$4</f>
        <v>70.105664367930814</v>
      </c>
      <c r="AL57" s="370">
        <f>AL51/Flat!AL$4</f>
        <v>82.783828342133532</v>
      </c>
      <c r="AM57" s="370">
        <f>AM51/Flat!AM$4</f>
        <v>76.687236453028618</v>
      </c>
      <c r="AN57" s="371">
        <f>AN51/Flat!AN$4</f>
        <v>76.687236453028618</v>
      </c>
    </row>
    <row r="58" spans="1:40" s="5" customFormat="1">
      <c r="A58" s="154"/>
      <c r="B58" s="347" t="s">
        <v>4</v>
      </c>
      <c r="C58" s="367" t="s">
        <v>190</v>
      </c>
      <c r="D58" s="369">
        <f>D52/Flat!D$4</f>
        <v>74.878720843871946</v>
      </c>
      <c r="E58" s="370">
        <f>E52/Flat!E$4</f>
        <v>94.259342319089598</v>
      </c>
      <c r="F58" s="370">
        <f>F52/Flat!F$4</f>
        <v>60.61259298988201</v>
      </c>
      <c r="G58" s="370">
        <f>G52/Flat!G$4</f>
        <v>72.951232786335211</v>
      </c>
      <c r="H58" s="370">
        <f>H52/Flat!H$4</f>
        <v>27.681360885066457</v>
      </c>
      <c r="I58" s="370">
        <f>I52/Flat!I$4</f>
        <v>71.376080046493129</v>
      </c>
      <c r="J58" s="370">
        <f>J52/Flat!J$4</f>
        <v>61.234934500094347</v>
      </c>
      <c r="K58" s="370">
        <f>K52/Flat!K$4</f>
        <v>36.384337150685965</v>
      </c>
      <c r="L58" s="370">
        <f>L52/Flat!L$4</f>
        <v>58.527147072781204</v>
      </c>
      <c r="M58" s="370">
        <f>M52/Flat!M$4</f>
        <v>82.384439737231318</v>
      </c>
      <c r="N58" s="370">
        <f>N52/Flat!N$4</f>
        <v>59.155764115161453</v>
      </c>
      <c r="O58" s="370">
        <f>O52/Flat!O$4</f>
        <v>53.283914708864941</v>
      </c>
      <c r="P58" s="370">
        <f>P52/Flat!P$4</f>
        <v>90.717321778435235</v>
      </c>
      <c r="Q58" s="370">
        <f>Q52/Flat!Q$4</f>
        <v>68.875919818260243</v>
      </c>
      <c r="R58" s="370">
        <f>R52/Flat!R$4</f>
        <v>87.531413151940441</v>
      </c>
      <c r="S58" s="370">
        <f>S52/Flat!S$4</f>
        <v>55.532320637271631</v>
      </c>
      <c r="T58" s="370">
        <f>T52/Flat!T$4</f>
        <v>65.203458078589037</v>
      </c>
      <c r="U58" s="370">
        <f>U52/Flat!U$4</f>
        <v>57.148166326074467</v>
      </c>
      <c r="V58" s="370">
        <f>V52/Flat!V$4</f>
        <v>67.867618573046272</v>
      </c>
      <c r="W58" s="370">
        <f>W52/Flat!W$4</f>
        <v>46.217757835174332</v>
      </c>
      <c r="X58" s="370">
        <f>X52/Flat!X$4</f>
        <v>100.22993443497934</v>
      </c>
      <c r="Y58" s="370">
        <f>Y52/Flat!Y$4</f>
        <v>19.303095839215782</v>
      </c>
      <c r="Z58" s="370">
        <f>Z52/Flat!Z$4</f>
        <v>80.537427076590092</v>
      </c>
      <c r="AA58" s="370">
        <f>AA52/Flat!AA$4</f>
        <v>51.485545779937262</v>
      </c>
      <c r="AB58" s="370">
        <f>AB52/Flat!AB$4</f>
        <v>63.186073468000316</v>
      </c>
      <c r="AC58" s="370">
        <f>AC52/Flat!AC$4</f>
        <v>38.79311403188256</v>
      </c>
      <c r="AD58" s="370">
        <f>AD52/Flat!AD$4</f>
        <v>71.830955972075046</v>
      </c>
      <c r="AE58" s="370">
        <f>AE52/Flat!AE$4</f>
        <v>49.643519522844215</v>
      </c>
      <c r="AF58" s="370">
        <f>AF52/Flat!AF$4</f>
        <v>91.072475428605586</v>
      </c>
      <c r="AG58" s="370">
        <f>AG52/Flat!AG$4</f>
        <v>97.816518742335234</v>
      </c>
      <c r="AH58" s="370">
        <f>AH52/Flat!AH$4</f>
        <v>66.546576997052597</v>
      </c>
      <c r="AI58" s="370">
        <f>AI52/Flat!AI$4</f>
        <v>71.657538256711788</v>
      </c>
      <c r="AJ58" s="370">
        <f>AJ52/Flat!AJ$4</f>
        <v>83.394158881931375</v>
      </c>
      <c r="AK58" s="370">
        <f>AK52/Flat!AK$4</f>
        <v>70.105664367930814</v>
      </c>
      <c r="AL58" s="370">
        <f>AL52/Flat!AL$4</f>
        <v>77.996061418181043</v>
      </c>
      <c r="AM58" s="370">
        <f>AM52/Flat!AM$4</f>
        <v>76.687236453028618</v>
      </c>
      <c r="AN58" s="371">
        <f>AN52/Flat!AN$4</f>
        <v>76.687236453028618</v>
      </c>
    </row>
    <row r="59" spans="1:40" s="5" customFormat="1">
      <c r="A59" s="154"/>
      <c r="B59" s="347" t="s">
        <v>5</v>
      </c>
      <c r="C59" s="367" t="s">
        <v>190</v>
      </c>
      <c r="D59" s="369">
        <f>D53/Flat!D$4</f>
        <v>54.589224270648536</v>
      </c>
      <c r="E59" s="370">
        <f>E53/Flat!E$4</f>
        <v>81.218213061245009</v>
      </c>
      <c r="F59" s="370">
        <f>F53/Flat!F$4</f>
        <v>52.121852763021316</v>
      </c>
      <c r="G59" s="370">
        <f>G53/Flat!G$4</f>
        <v>53.184017602237887</v>
      </c>
      <c r="H59" s="370">
        <f>H53/Flat!H$4</f>
        <v>27.05809743956538</v>
      </c>
      <c r="I59" s="370">
        <f>I53/Flat!I$4</f>
        <v>64.35212938494341</v>
      </c>
      <c r="J59" s="370">
        <f>J53/Flat!J$4</f>
        <v>52.619399375571426</v>
      </c>
      <c r="K59" s="370">
        <f>K53/Flat!K$4</f>
        <v>30.621983433989708</v>
      </c>
      <c r="L59" s="370">
        <f>L53/Flat!L$4</f>
        <v>50.946962767073579</v>
      </c>
      <c r="M59" s="370">
        <f>M53/Flat!M$4</f>
        <v>60.225582077771271</v>
      </c>
      <c r="N59" s="370">
        <f>N53/Flat!N$4</f>
        <v>51.659680191098076</v>
      </c>
      <c r="O59" s="370">
        <f>O53/Flat!O$4</f>
        <v>46.678807818811968</v>
      </c>
      <c r="P59" s="370">
        <f>P53/Flat!P$4</f>
        <v>89.01335594370299</v>
      </c>
      <c r="Q59" s="370">
        <f>Q53/Flat!Q$4</f>
        <v>68.875919818260243</v>
      </c>
      <c r="R59" s="370">
        <f>R53/Flat!R$4</f>
        <v>64.169358619301406</v>
      </c>
      <c r="S59" s="370">
        <f>S53/Flat!S$4</f>
        <v>38.933310449080011</v>
      </c>
      <c r="T59" s="370">
        <f>T53/Flat!T$4</f>
        <v>55.166717862925047</v>
      </c>
      <c r="U59" s="370">
        <f>U53/Flat!U$4</f>
        <v>43.69259458162712</v>
      </c>
      <c r="V59" s="370">
        <f>V53/Flat!V$4</f>
        <v>67.867618573046272</v>
      </c>
      <c r="W59" s="370">
        <f>W53/Flat!W$4</f>
        <v>42.49002825238351</v>
      </c>
      <c r="X59" s="370">
        <f>X53/Flat!X$4</f>
        <v>65.757682456938298</v>
      </c>
      <c r="Y59" s="370">
        <f>Y53/Flat!Y$4</f>
        <v>18.188031722473639</v>
      </c>
      <c r="Z59" s="370">
        <f>Z53/Flat!Z$4</f>
        <v>45.736014793445598</v>
      </c>
      <c r="AA59" s="370">
        <f>AA53/Flat!AA$4</f>
        <v>51.485545779937262</v>
      </c>
      <c r="AB59" s="370">
        <f>AB53/Flat!AB$4</f>
        <v>63.186073468000316</v>
      </c>
      <c r="AC59" s="370">
        <f>AC53/Flat!AC$4</f>
        <v>37.328833985588915</v>
      </c>
      <c r="AD59" s="370">
        <f>AD53/Flat!AD$4</f>
        <v>62.14108357586305</v>
      </c>
      <c r="AE59" s="370">
        <f>AE53/Flat!AE$4</f>
        <v>49.643519522844215</v>
      </c>
      <c r="AF59" s="370">
        <f>AF53/Flat!AF$4</f>
        <v>69.695484298230056</v>
      </c>
      <c r="AG59" s="370">
        <f>AG53/Flat!AG$4</f>
        <v>85.826032177882524</v>
      </c>
      <c r="AH59" s="370">
        <f>AH53/Flat!AH$4</f>
        <v>38.704125645548835</v>
      </c>
      <c r="AI59" s="370">
        <f>AI53/Flat!AI$4</f>
        <v>70.381406905252078</v>
      </c>
      <c r="AJ59" s="370">
        <f>AJ53/Flat!AJ$4</f>
        <v>72.026746407098727</v>
      </c>
      <c r="AK59" s="370">
        <f>AK53/Flat!AK$4</f>
        <v>60.434516647844674</v>
      </c>
      <c r="AL59" s="370">
        <f>AL53/Flat!AL$4</f>
        <v>66.637813632212911</v>
      </c>
      <c r="AM59" s="370">
        <f>AM53/Flat!AM$4</f>
        <v>66.234040929457322</v>
      </c>
      <c r="AN59" s="371">
        <f>AN53/Flat!AN$4</f>
        <v>66.234040929457322</v>
      </c>
    </row>
    <row r="60" spans="1:40" s="5" customFormat="1">
      <c r="A60" s="154"/>
      <c r="B60" s="347" t="s">
        <v>6</v>
      </c>
      <c r="C60" s="367" t="s">
        <v>190</v>
      </c>
      <c r="D60" s="369">
        <f>D54/Flat!D$4</f>
        <v>46.998962455300308</v>
      </c>
      <c r="E60" s="370">
        <f>E54/Flat!E$4</f>
        <v>81.218213061245009</v>
      </c>
      <c r="F60" s="370">
        <f>F54/Flat!F$4</f>
        <v>41.732648744512232</v>
      </c>
      <c r="G60" s="370">
        <f>G54/Flat!G$4</f>
        <v>45.789140254436404</v>
      </c>
      <c r="H60" s="370">
        <f>H54/Flat!H$4</f>
        <v>27.05809743956538</v>
      </c>
      <c r="I60" s="370">
        <f>I54/Flat!I$4</f>
        <v>49.532276948560238</v>
      </c>
      <c r="J60" s="370">
        <f>J54/Flat!J$4</f>
        <v>33.5072884894496</v>
      </c>
      <c r="K60" s="370">
        <f>K54/Flat!K$4</f>
        <v>30.621983433989708</v>
      </c>
      <c r="L60" s="370">
        <f>L54/Flat!L$4</f>
        <v>47.217540642988489</v>
      </c>
      <c r="M60" s="370">
        <f>M54/Flat!M$4</f>
        <v>60.225582077771271</v>
      </c>
      <c r="N60" s="370">
        <f>N54/Flat!N$4</f>
        <v>51.189958262818628</v>
      </c>
      <c r="O60" s="370">
        <f>O54/Flat!O$4</f>
        <v>29.605135612069155</v>
      </c>
      <c r="P60" s="370">
        <f>P54/Flat!P$4</f>
        <v>89.01335594370299</v>
      </c>
      <c r="Q60" s="370">
        <f>Q54/Flat!Q$4</f>
        <v>50.420927640599956</v>
      </c>
      <c r="R60" s="370">
        <f>R54/Flat!R$4</f>
        <v>64.169358619301406</v>
      </c>
      <c r="S60" s="370">
        <f>S54/Flat!S$4</f>
        <v>33.208941278738422</v>
      </c>
      <c r="T60" s="370">
        <f>T54/Flat!T$4</f>
        <v>54.607804540194365</v>
      </c>
      <c r="U60" s="370">
        <f>U54/Flat!U$4</f>
        <v>39.780217687670593</v>
      </c>
      <c r="V60" s="370">
        <f>V54/Flat!V$4</f>
        <v>67.867618573046272</v>
      </c>
      <c r="W60" s="370">
        <f>W54/Flat!W$4</f>
        <v>37.967956177503574</v>
      </c>
      <c r="X60" s="370">
        <f>X54/Flat!X$4</f>
        <v>65.249962406064498</v>
      </c>
      <c r="Y60" s="370">
        <f>Y54/Flat!Y$4</f>
        <v>17.974713396892383</v>
      </c>
      <c r="Z60" s="370">
        <f>Z54/Flat!Z$4</f>
        <v>42.18606148377625</v>
      </c>
      <c r="AA60" s="370">
        <f>AA54/Flat!AA$4</f>
        <v>45.378474780193045</v>
      </c>
      <c r="AB60" s="370">
        <f>AB54/Flat!AB$4</f>
        <v>63.186073468000316</v>
      </c>
      <c r="AC60" s="370">
        <f>AC54/Flat!AC$4</f>
        <v>34.102102756821708</v>
      </c>
      <c r="AD60" s="370">
        <f>AD54/Flat!AD$4</f>
        <v>62.14108357586305</v>
      </c>
      <c r="AE60" s="370">
        <f>AE54/Flat!AE$4</f>
        <v>43.754944509984234</v>
      </c>
      <c r="AF60" s="370">
        <f>AF54/Flat!AF$4</f>
        <v>52.516286386839006</v>
      </c>
      <c r="AG60" s="370">
        <f>AG54/Flat!AG$4</f>
        <v>81.350205190141111</v>
      </c>
      <c r="AH60" s="370">
        <f>AH54/Flat!AH$4</f>
        <v>33.396946837137996</v>
      </c>
      <c r="AI60" s="370">
        <f>AI54/Flat!AI$4</f>
        <v>70.381406905252078</v>
      </c>
      <c r="AJ60" s="370">
        <f>AJ54/Flat!AJ$4</f>
        <v>67.550388121019495</v>
      </c>
      <c r="AK60" s="370">
        <f>AK54/Flat!AK$4</f>
        <v>56.631569007761833</v>
      </c>
      <c r="AL60" s="370">
        <f>AL54/Flat!AL$4</f>
        <v>53.546221013163411</v>
      </c>
      <c r="AM60" s="370">
        <f>AM54/Flat!AM$4</f>
        <v>62.11769092442826</v>
      </c>
      <c r="AN60" s="371">
        <f>AN54/Flat!AN$4</f>
        <v>62.11769092442826</v>
      </c>
    </row>
    <row r="61" spans="1:40" s="5" customFormat="1">
      <c r="A61" s="155"/>
      <c r="B61" s="338" t="s">
        <v>7</v>
      </c>
      <c r="C61" s="368" t="s">
        <v>190</v>
      </c>
      <c r="D61" s="378">
        <f>D55/Flat!D$4</f>
        <v>43.140634545214539</v>
      </c>
      <c r="E61" s="379">
        <f>E55/Flat!E$4</f>
        <v>49.593939187964416</v>
      </c>
      <c r="F61" s="379">
        <f>F55/Flat!F$4</f>
        <v>28.459193442103594</v>
      </c>
      <c r="G61" s="379">
        <f>G55/Flat!G$4</f>
        <v>42.03013136162199</v>
      </c>
      <c r="H61" s="379">
        <f>H55/Flat!H$4</f>
        <v>23.862987602312948</v>
      </c>
      <c r="I61" s="379">
        <f>I55/Flat!I$4</f>
        <v>43.554473708565489</v>
      </c>
      <c r="J61" s="379">
        <f>J55/Flat!J$4</f>
        <v>36.793769401111533</v>
      </c>
      <c r="K61" s="379">
        <f>K55/Flat!K$4</f>
        <v>25.234963741673223</v>
      </c>
      <c r="L61" s="379">
        <f>L55/Flat!L$4</f>
        <v>47.217540642988489</v>
      </c>
      <c r="M61" s="379">
        <f>M55/Flat!M$4</f>
        <v>37.588822162988933</v>
      </c>
      <c r="N61" s="379">
        <f>N55/Flat!N$4</f>
        <v>48.939695712156826</v>
      </c>
      <c r="O61" s="379">
        <f>O55/Flat!O$4</f>
        <v>28.940210800938342</v>
      </c>
      <c r="P61" s="379">
        <f>P55/Flat!P$4</f>
        <v>31.743251275512012</v>
      </c>
      <c r="Q61" s="379">
        <f>Q55/Flat!Q$4</f>
        <v>31.34158085734888</v>
      </c>
      <c r="R61" s="379">
        <f>R55/Flat!R$4</f>
        <v>44.720839115895885</v>
      </c>
      <c r="S61" s="379">
        <f>S55/Flat!S$4</f>
        <v>22.975078385950347</v>
      </c>
      <c r="T61" s="379">
        <f>T55/Flat!T$4</f>
        <v>52.044210727380737</v>
      </c>
      <c r="U61" s="379">
        <f>U55/Flat!U$4</f>
        <v>39.780217687670593</v>
      </c>
      <c r="V61" s="379">
        <f>V55/Flat!V$4</f>
        <v>41.065210735328783</v>
      </c>
      <c r="W61" s="379">
        <f>W55/Flat!W$4</f>
        <v>31.808616228404215</v>
      </c>
      <c r="X61" s="379">
        <f>X55/Flat!X$4</f>
        <v>41.706255775165516</v>
      </c>
      <c r="Y61" s="379">
        <f>Y55/Flat!Y$4</f>
        <v>16.883346111654603</v>
      </c>
      <c r="Z61" s="379">
        <f>Z55/Flat!Z$4</f>
        <v>33.550454241141352</v>
      </c>
      <c r="AA61" s="379">
        <f>AA55/Flat!AA$4</f>
        <v>45.378474780193045</v>
      </c>
      <c r="AB61" s="379">
        <f>AB55/Flat!AB$4</f>
        <v>48.825693870394616</v>
      </c>
      <c r="AC61" s="379">
        <f>AC55/Flat!AC$4</f>
        <v>23.674248726411367</v>
      </c>
      <c r="AD61" s="379">
        <f>AD55/Flat!AD$4</f>
        <v>52.821947039281056</v>
      </c>
      <c r="AE61" s="379">
        <f>AE55/Flat!AE$4</f>
        <v>43.754944509984234</v>
      </c>
      <c r="AF61" s="379">
        <f>AF55/Flat!AF$4</f>
        <v>33.991040076123291</v>
      </c>
      <c r="AG61" s="379">
        <f>AG55/Flat!AG$4</f>
        <v>51.150662900693256</v>
      </c>
      <c r="AH61" s="379">
        <f>AH55/Flat!AH$4</f>
        <v>29.586765495815268</v>
      </c>
      <c r="AI61" s="379">
        <f>AI55/Flat!AI$4</f>
        <v>25.810165468778528</v>
      </c>
      <c r="AJ61" s="379">
        <f>AJ55/Flat!AJ$4</f>
        <v>59.398243941383321</v>
      </c>
      <c r="AK61" s="379">
        <f>AK55/Flat!AK$4</f>
        <v>49.743941050923667</v>
      </c>
      <c r="AL61" s="379">
        <f>AL55/Flat!AL$4</f>
        <v>34.654196999792759</v>
      </c>
      <c r="AM61" s="379">
        <f>AM55/Flat!AM$4</f>
        <v>54.621177779088626</v>
      </c>
      <c r="AN61" s="380">
        <f>AN55/Flat!AN$4</f>
        <v>54.621177779088626</v>
      </c>
    </row>
    <row r="62" spans="1:40" s="5" customFormat="1">
      <c r="A62" s="334" t="s">
        <v>299</v>
      </c>
      <c r="B62" s="359" t="s">
        <v>2</v>
      </c>
      <c r="C62" s="366" t="s">
        <v>190</v>
      </c>
      <c r="D62" s="376">
        <f>Flat!D$48-D56</f>
        <v>3.963862541504696</v>
      </c>
      <c r="E62" s="376">
        <f>Flat!E$48-E56</f>
        <v>8.4701427837377423</v>
      </c>
      <c r="F62" s="376">
        <f>Flat!F$48-F56</f>
        <v>3.8857208355458255</v>
      </c>
      <c r="G62" s="376">
        <f>Flat!G$48-G56</f>
        <v>3.861826908091615</v>
      </c>
      <c r="H62" s="376">
        <f>Flat!H$48-H56</f>
        <v>0.98374639029256628</v>
      </c>
      <c r="I62" s="376">
        <f>Flat!I$48-I56</f>
        <v>6.7258756849796981</v>
      </c>
      <c r="J62" s="376">
        <f>Flat!J$48-J56</f>
        <v>8.9788842969482943</v>
      </c>
      <c r="K62" s="376">
        <f>Flat!K$48-K56</f>
        <v>4.0315385462803164</v>
      </c>
      <c r="L62" s="376">
        <f>Flat!L$48-L56</f>
        <v>0.265062520639745</v>
      </c>
      <c r="M62" s="376">
        <f>Flat!M$48-M56</f>
        <v>7.8306747168347499</v>
      </c>
      <c r="N62" s="376">
        <f>Flat!N$48-N56</f>
        <v>5.7161139859278052</v>
      </c>
      <c r="O62" s="376">
        <f>Flat!O$48-O56</f>
        <v>8.5953125062028164</v>
      </c>
      <c r="P62" s="376">
        <f>Flat!P$48-P56</f>
        <v>2.9773447725182223</v>
      </c>
      <c r="Q62" s="376">
        <f>Flat!Q$48-Q56</f>
        <v>11.038598399427514</v>
      </c>
      <c r="R62" s="376">
        <f>Flat!R$48-R56</f>
        <v>4.9047062490538593</v>
      </c>
      <c r="S62" s="376">
        <f>Flat!S$48-S56</f>
        <v>10.188078338845841</v>
      </c>
      <c r="T62" s="376">
        <f>Flat!T$48-T56</f>
        <v>4.9399565800918452</v>
      </c>
      <c r="U62" s="376">
        <f>Flat!U$48-U56</f>
        <v>8.0418939660905764</v>
      </c>
      <c r="V62" s="376">
        <f>Flat!V$48-V56</f>
        <v>3.8050007899101246</v>
      </c>
      <c r="W62" s="376">
        <f>Flat!W$48-W56</f>
        <v>10.489355151942448</v>
      </c>
      <c r="X62" s="376">
        <f>Flat!X$48-X56</f>
        <v>8.5446596757614088</v>
      </c>
      <c r="Y62" s="376">
        <f>Flat!Y$48-Y56</f>
        <v>2.4236289495572478</v>
      </c>
      <c r="Z62" s="376">
        <f>Flat!Z$48-Z56</f>
        <v>7.6224821697196461</v>
      </c>
      <c r="AA62" s="376">
        <f>Flat!AA$48-AA56</f>
        <v>8.145173589862253</v>
      </c>
      <c r="AB62" s="376">
        <f>Flat!AB$48-AB56</f>
        <v>11.890351645898875</v>
      </c>
      <c r="AC62" s="376">
        <f>Flat!AC$48-AC56</f>
        <v>2.9708763215420788</v>
      </c>
      <c r="AD62" s="376">
        <f>Flat!AD$48-AD56</f>
        <v>5.5507927319355161</v>
      </c>
      <c r="AE62" s="376">
        <f>Flat!AE$48-AE56</f>
        <v>7.853759302729415</v>
      </c>
      <c r="AF62" s="376">
        <f>Flat!AF$48-AF56</f>
        <v>4.129487474013942</v>
      </c>
      <c r="AG62" s="376">
        <f>Flat!AG$48-AG56</f>
        <v>10.894708396956261</v>
      </c>
      <c r="AH62" s="376">
        <f>Flat!AH$48-AH56</f>
        <v>13.493297469796886</v>
      </c>
      <c r="AI62" s="376">
        <f>Flat!AI$48-AI56</f>
        <v>2.97094066650115</v>
      </c>
      <c r="AJ62" s="376">
        <f>Flat!AJ$48-AJ56</f>
        <v>5.9475618254840299</v>
      </c>
      <c r="AK62" s="376">
        <f>Flat!AK$48-AK56</f>
        <v>4.6148090018134411</v>
      </c>
      <c r="AL62" s="376">
        <f>Flat!AL$48-AL56</f>
        <v>3.9474871966211396</v>
      </c>
      <c r="AM62" s="376">
        <f>Flat!AM$48-AM56</f>
        <v>5.4692329312373715</v>
      </c>
      <c r="AN62" s="377">
        <f>Flat!AN$48-AN56</f>
        <v>5.4692329312373715</v>
      </c>
    </row>
    <row r="63" spans="1:40" s="5" customFormat="1">
      <c r="A63" s="154"/>
      <c r="B63" s="347" t="s">
        <v>3</v>
      </c>
      <c r="C63" s="367" t="s">
        <v>190</v>
      </c>
      <c r="D63" s="370">
        <f>Flat!D$49-D57</f>
        <v>4.0433035842081182</v>
      </c>
      <c r="E63" s="370">
        <f>Flat!E$49-E57</f>
        <v>8.4701427837377423</v>
      </c>
      <c r="F63" s="370">
        <f>Flat!F$49-F57</f>
        <v>3.8857208355458255</v>
      </c>
      <c r="G63" s="370">
        <f>Flat!G$49-G57</f>
        <v>3.9392230218837909</v>
      </c>
      <c r="H63" s="370">
        <f>Flat!H$49-H57</f>
        <v>1.0001614740761298</v>
      </c>
      <c r="I63" s="370">
        <f>Flat!I$49-I57</f>
        <v>6.8674632895117469</v>
      </c>
      <c r="J63" s="370">
        <f>Flat!J$49-J57</f>
        <v>4.9150669070107256</v>
      </c>
      <c r="K63" s="370">
        <f>Flat!K$49-K57</f>
        <v>3.8586956910398698</v>
      </c>
      <c r="L63" s="370">
        <f>Flat!L$49-L57</f>
        <v>0.265062520639745</v>
      </c>
      <c r="M63" s="370">
        <f>Flat!M$49-M57</f>
        <v>8.0004642706145148</v>
      </c>
      <c r="N63" s="370">
        <f>Flat!N$49-N57</f>
        <v>5.7875621192881255</v>
      </c>
      <c r="O63" s="370">
        <f>Flat!O$49-O57</f>
        <v>8.5953125062028164</v>
      </c>
      <c r="P63" s="370">
        <f>Flat!P$49-P57</f>
        <v>2.9773447725182223</v>
      </c>
      <c r="Q63" s="370">
        <f>Flat!Q$49-Q57</f>
        <v>10.891369546278796</v>
      </c>
      <c r="R63" s="370">
        <f>Flat!R$49-R57</f>
        <v>4.9047062490538593</v>
      </c>
      <c r="S63" s="370">
        <f>Flat!S$49-S57</f>
        <v>10.16624374003888</v>
      </c>
      <c r="T63" s="370">
        <f>Flat!T$49-T57</f>
        <v>5.0001125799238935</v>
      </c>
      <c r="U63" s="370">
        <f>Flat!U$49-U57</f>
        <v>8.140830133771864</v>
      </c>
      <c r="V63" s="370">
        <f>Flat!V$49-V57</f>
        <v>3.8050007899101246</v>
      </c>
      <c r="W63" s="370">
        <f>Flat!W$49-W57</f>
        <v>7.6506976205711368</v>
      </c>
      <c r="X63" s="370">
        <f>Flat!X$49-X57</f>
        <v>6.8455552466711538</v>
      </c>
      <c r="Y63" s="370">
        <f>Flat!Y$49-Y57</f>
        <v>2.4240207079493814</v>
      </c>
      <c r="Z63" s="370">
        <f>Flat!Z$49-Z57</f>
        <v>6.5537902674845014</v>
      </c>
      <c r="AA63" s="370">
        <f>Flat!AA$49-AA57</f>
        <v>7.7742305143508474</v>
      </c>
      <c r="AB63" s="370">
        <f>Flat!AB$49-AB57</f>
        <v>6.6420029982141102</v>
      </c>
      <c r="AC63" s="370">
        <f>Flat!AC$49-AC57</f>
        <v>3.1739504554664961</v>
      </c>
      <c r="AD63" s="370">
        <f>Flat!AD$49-AD57</f>
        <v>5.0143023517893681</v>
      </c>
      <c r="AE63" s="370">
        <f>Flat!AE$49-AE57</f>
        <v>7.4960876585416543</v>
      </c>
      <c r="AF63" s="370">
        <f>Flat!AF$49-AF57</f>
        <v>4.129487474013942</v>
      </c>
      <c r="AG63" s="370">
        <f>Flat!AG$49-AG57</f>
        <v>11.227215492838326</v>
      </c>
      <c r="AH63" s="370">
        <f>Flat!AH$49-AH57</f>
        <v>12.987751197906547</v>
      </c>
      <c r="AI63" s="370">
        <f>Flat!AI$49-AI57</f>
        <v>2.97094066650115</v>
      </c>
      <c r="AJ63" s="370">
        <f>Flat!AJ$49-AJ57</f>
        <v>5.9475618254840299</v>
      </c>
      <c r="AK63" s="370">
        <f>Flat!AK$49-AK57</f>
        <v>4.6148090018134411</v>
      </c>
      <c r="AL63" s="370">
        <f>Flat!AL$49-AL57</f>
        <v>3.9474871966211396</v>
      </c>
      <c r="AM63" s="370">
        <f>Flat!AM$49-AM57</f>
        <v>5.4692329312373715</v>
      </c>
      <c r="AN63" s="371">
        <f>Flat!AN$49-AN57</f>
        <v>5.4692329312373715</v>
      </c>
    </row>
    <row r="64" spans="1:40" s="5" customFormat="1">
      <c r="A64" s="154"/>
      <c r="B64" s="347" t="s">
        <v>4</v>
      </c>
      <c r="C64" s="367" t="s">
        <v>190</v>
      </c>
      <c r="D64" s="370">
        <f>Flat!D$50-D58</f>
        <v>3.1513140478796515</v>
      </c>
      <c r="E64" s="370">
        <f>Flat!E$50-E58</f>
        <v>8.4701427837377423</v>
      </c>
      <c r="F64" s="370">
        <f>Flat!F$50-F58</f>
        <v>3.9274278867545362</v>
      </c>
      <c r="G64" s="370">
        <f>Flat!G$50-G58</f>
        <v>3.0701946040058772</v>
      </c>
      <c r="H64" s="370">
        <f>Flat!H$50-H58</f>
        <v>4.1349596592882776</v>
      </c>
      <c r="I64" s="370">
        <f>Flat!I$50-I58</f>
        <v>6.8674632895117469</v>
      </c>
      <c r="J64" s="370">
        <f>Flat!J$50-J58</f>
        <v>6.1103295275765035</v>
      </c>
      <c r="K64" s="370">
        <f>Flat!K$50-K58</f>
        <v>3.9655983198534059</v>
      </c>
      <c r="L64" s="370">
        <f>Flat!L$50-L58</f>
        <v>0.27471425217665768</v>
      </c>
      <c r="M64" s="370">
        <f>Flat!M$50-M58</f>
        <v>8.0004642706145148</v>
      </c>
      <c r="N64" s="370">
        <f>Flat!N$50-N58</f>
        <v>4.1773960453584849</v>
      </c>
      <c r="O64" s="370">
        <f>Flat!O$50-O58</f>
        <v>7.0749063223946607</v>
      </c>
      <c r="P64" s="370">
        <f>Flat!P$50-P58</f>
        <v>2.9773447725182223</v>
      </c>
      <c r="Q64" s="370">
        <f>Flat!Q$50-Q58</f>
        <v>5.3523985445235951</v>
      </c>
      <c r="R64" s="370">
        <f>Flat!R$50-R58</f>
        <v>5.0358496446832817</v>
      </c>
      <c r="S64" s="370">
        <f>Flat!S$50-S58</f>
        <v>10.396964502470659</v>
      </c>
      <c r="T64" s="370">
        <f>Flat!T$50-T58</f>
        <v>3.6257509840823303</v>
      </c>
      <c r="U64" s="370">
        <f>Flat!U$50-U58</f>
        <v>6.5152489639939688</v>
      </c>
      <c r="V64" s="370">
        <f>Flat!V$50-V58</f>
        <v>0.89311059375187085</v>
      </c>
      <c r="W64" s="370">
        <f>Flat!W$50-W58</f>
        <v>5.3975981855291124</v>
      </c>
      <c r="X64" s="370">
        <f>Flat!X$50-X58</f>
        <v>6.9372837435071091</v>
      </c>
      <c r="Y64" s="370">
        <f>Flat!Y$50-Y58</f>
        <v>2.5356608813383801</v>
      </c>
      <c r="Z64" s="370">
        <f>Flat!Z$50-Z58</f>
        <v>6.5762261419985606</v>
      </c>
      <c r="AA64" s="370">
        <f>Flat!AA$50-AA58</f>
        <v>7.9722613439368786</v>
      </c>
      <c r="AB64" s="370">
        <f>Flat!AB$50-AB58</f>
        <v>4.4307580292665847</v>
      </c>
      <c r="AC64" s="370">
        <f>Flat!AC$50-AC58</f>
        <v>3.1815800874026792</v>
      </c>
      <c r="AD64" s="370">
        <f>Flat!AD$50-AD58</f>
        <v>5.0143023517893681</v>
      </c>
      <c r="AE64" s="370">
        <f>Flat!AE$50-AE58</f>
        <v>7.6870334318796267</v>
      </c>
      <c r="AF64" s="370">
        <f>Flat!AF$50-AF58</f>
        <v>2.3791581269189948</v>
      </c>
      <c r="AG64" s="370">
        <f>Flat!AG$50-AG58</f>
        <v>11.227215492838326</v>
      </c>
      <c r="AH64" s="370">
        <f>Flat!AH$50-AH58</f>
        <v>11.455768424807289</v>
      </c>
      <c r="AI64" s="370">
        <f>Flat!AI$50-AI58</f>
        <v>2.97094066650115</v>
      </c>
      <c r="AJ64" s="370">
        <f>Flat!AJ$50-AJ58</f>
        <v>5.9475618254840299</v>
      </c>
      <c r="AK64" s="370">
        <f>Flat!AK$50-AK58</f>
        <v>4.6148090018134411</v>
      </c>
      <c r="AL64" s="370">
        <f>Flat!AL$50-AL58</f>
        <v>3.991250509280178</v>
      </c>
      <c r="AM64" s="370">
        <f>Flat!AM$50-AM58</f>
        <v>5.4692329312373715</v>
      </c>
      <c r="AN64" s="371">
        <f>Flat!AN$50-AN58</f>
        <v>5.4692329312373715</v>
      </c>
    </row>
    <row r="65" spans="1:40" s="5" customFormat="1">
      <c r="A65" s="154"/>
      <c r="B65" s="347" t="s">
        <v>5</v>
      </c>
      <c r="C65" s="367" t="s">
        <v>190</v>
      </c>
      <c r="D65" s="370">
        <f>Flat!D$51-D59</f>
        <v>0.55947277827187492</v>
      </c>
      <c r="E65" s="370">
        <f>Flat!E$51-E59</f>
        <v>7.3578576590459619</v>
      </c>
      <c r="F65" s="370">
        <f>Flat!F$51-F59</f>
        <v>4.0373029956953275</v>
      </c>
      <c r="G65" s="370">
        <f>Flat!G$51-G59</f>
        <v>0.5450711286912906</v>
      </c>
      <c r="H65" s="370">
        <f>Flat!H$51-H59</f>
        <v>4.1514719960566886</v>
      </c>
      <c r="I65" s="370">
        <f>Flat!I$51-I59</f>
        <v>6.9964849710384414</v>
      </c>
      <c r="J65" s="370">
        <f>Flat!J$51-J59</f>
        <v>4.9766560106988464</v>
      </c>
      <c r="K65" s="370">
        <f>Flat!K$51-K59</f>
        <v>3.6160869296926244</v>
      </c>
      <c r="L65" s="370">
        <f>Flat!L$51-L59</f>
        <v>-6.7191736497765149</v>
      </c>
      <c r="M65" s="370">
        <f>Flat!M$51-M59</f>
        <v>3.4094933368348777</v>
      </c>
      <c r="N65" s="370">
        <f>Flat!N$51-N59</f>
        <v>0.61571902559732195</v>
      </c>
      <c r="O65" s="370">
        <f>Flat!O$51-O59</f>
        <v>5.4053253383630633</v>
      </c>
      <c r="P65" s="370">
        <f>Flat!P$51-P59</f>
        <v>2.9879095702579406</v>
      </c>
      <c r="Q65" s="370">
        <f>Flat!Q$51-Q59</f>
        <v>5.3523985445235951</v>
      </c>
      <c r="R65" s="370">
        <f>Flat!R$51-R59</f>
        <v>5.3302140194292065</v>
      </c>
      <c r="S65" s="370">
        <f>Flat!S$51-S59</f>
        <v>7.2653949277291971</v>
      </c>
      <c r="T65" s="370">
        <f>Flat!T$51-T59</f>
        <v>0.53701483484899626</v>
      </c>
      <c r="U65" s="370">
        <f>Flat!U$51-U59</f>
        <v>3.5495601174687081</v>
      </c>
      <c r="V65" s="370">
        <f>Flat!V$51-V59</f>
        <v>0.89311059375187085</v>
      </c>
      <c r="W65" s="370">
        <f>Flat!W$51-W59</f>
        <v>1.2757496953490417</v>
      </c>
      <c r="X65" s="370">
        <f>Flat!X$51-X59</f>
        <v>0.94444531365232365</v>
      </c>
      <c r="Y65" s="370">
        <f>Flat!Y$51-Y59</f>
        <v>2.5624206024479008</v>
      </c>
      <c r="Z65" s="370">
        <f>Flat!Z$51-Z59</f>
        <v>6.9742780988074671</v>
      </c>
      <c r="AA65" s="370">
        <f>Flat!AA$51-AA59</f>
        <v>7.0514326465607624</v>
      </c>
      <c r="AB65" s="370">
        <f>Flat!AB$51-AB59</f>
        <v>4.4307580292665847</v>
      </c>
      <c r="AC65" s="370">
        <f>Flat!AC$51-AC59</f>
        <v>3.3310087003889137</v>
      </c>
      <c r="AD65" s="370">
        <f>Flat!AD$51-AD59</f>
        <v>4.5091706276097909</v>
      </c>
      <c r="AE65" s="370">
        <f>Flat!AE$51-AE59</f>
        <v>6.7991497215509611</v>
      </c>
      <c r="AF65" s="370">
        <f>Flat!AF$51-AF59</f>
        <v>-0.62796975262877197</v>
      </c>
      <c r="AG65" s="370">
        <f>Flat!AG$51-AG59</f>
        <v>6.927368278776683</v>
      </c>
      <c r="AH65" s="370">
        <f>Flat!AH$51-AH59</f>
        <v>11.997922994866393</v>
      </c>
      <c r="AI65" s="370">
        <f>Flat!AI$51-AI59</f>
        <v>2.9808797959207709</v>
      </c>
      <c r="AJ65" s="370">
        <f>Flat!AJ$51-AJ59</f>
        <v>6.1084284361172934</v>
      </c>
      <c r="AK65" s="370">
        <f>Flat!AK$51-AK59</f>
        <v>4.7416946736338588</v>
      </c>
      <c r="AL65" s="370">
        <f>Flat!AL$51-AL59</f>
        <v>4.1087493070387211</v>
      </c>
      <c r="AM65" s="370">
        <f>Flat!AM$51-AM59</f>
        <v>5.6171619465596194</v>
      </c>
      <c r="AN65" s="371">
        <f>Flat!AN$51-AN59</f>
        <v>5.6171619465596194</v>
      </c>
    </row>
    <row r="66" spans="1:40" s="5" customFormat="1">
      <c r="A66" s="154"/>
      <c r="B66" s="347" t="s">
        <v>6</v>
      </c>
      <c r="C66" s="367" t="s">
        <v>190</v>
      </c>
      <c r="D66" s="370">
        <f>Flat!D$52-D60</f>
        <v>-0.57689354685025052</v>
      </c>
      <c r="E66" s="370">
        <f>Flat!E$52-E60</f>
        <v>7.3578576590459619</v>
      </c>
      <c r="F66" s="370">
        <f>Flat!F$52-F60</f>
        <v>4.2031018495206069</v>
      </c>
      <c r="G66" s="370">
        <f>Flat!G$52-G60</f>
        <v>-0.56204346114511594</v>
      </c>
      <c r="H66" s="370">
        <f>Flat!H$52-H60</f>
        <v>-0.10271481314931208</v>
      </c>
      <c r="I66" s="370">
        <f>Flat!I$52-I60</f>
        <v>4.6858291362167037</v>
      </c>
      <c r="J66" s="370">
        <f>Flat!J$52-J60</f>
        <v>-0.62999158749393303</v>
      </c>
      <c r="K66" s="370">
        <f>Flat!K$52-K60</f>
        <v>3.6160869296926244</v>
      </c>
      <c r="L66" s="370">
        <f>Flat!L$52-L60</f>
        <v>-7.5648972388929394</v>
      </c>
      <c r="M66" s="370">
        <f>Flat!M$52-M60</f>
        <v>3.4094933368348777</v>
      </c>
      <c r="N66" s="370">
        <f>Flat!N$52-N60</f>
        <v>0.61678362834594225</v>
      </c>
      <c r="O66" s="370">
        <f>Flat!O$52-O60</f>
        <v>0.88743996346006071</v>
      </c>
      <c r="P66" s="370">
        <f>Flat!P$52-P60</f>
        <v>2.9879095702579406</v>
      </c>
      <c r="Q66" s="370">
        <f>Flat!Q$52-Q60</f>
        <v>3.0632074706663985</v>
      </c>
      <c r="R66" s="370">
        <f>Flat!R$52-R60</f>
        <v>5.3302140194292065</v>
      </c>
      <c r="S66" s="370">
        <f>Flat!S$52-S60</f>
        <v>7.4647613163046174</v>
      </c>
      <c r="T66" s="370">
        <f>Flat!T$52-T60</f>
        <v>0.53805141140269797</v>
      </c>
      <c r="U66" s="370">
        <f>Flat!U$52-U60</f>
        <v>3.6104484499831955</v>
      </c>
      <c r="V66" s="370">
        <f>Flat!V$52-V60</f>
        <v>0.89311059375187085</v>
      </c>
      <c r="W66" s="370">
        <f>Flat!W$52-W60</f>
        <v>-0.4361740694988967</v>
      </c>
      <c r="X66" s="370">
        <f>Flat!X$52-X60</f>
        <v>0.9458288429140822</v>
      </c>
      <c r="Y66" s="370">
        <f>Flat!Y$52-Y60</f>
        <v>2.5677434235257621</v>
      </c>
      <c r="Z66" s="370">
        <f>Flat!Z$52-Z60</f>
        <v>5.0318578037203707</v>
      </c>
      <c r="AA66" s="370">
        <f>Flat!AA$52-AA60</f>
        <v>7.2092979226312508</v>
      </c>
      <c r="AB66" s="370">
        <f>Flat!AB$52-AB60</f>
        <v>4.4307580292665847</v>
      </c>
      <c r="AC66" s="370">
        <f>Flat!AC$52-AC60</f>
        <v>3.2566892253214874</v>
      </c>
      <c r="AD66" s="370">
        <f>Flat!AD$52-AD60</f>
        <v>4.5091706276097909</v>
      </c>
      <c r="AE66" s="370">
        <f>Flat!AE$52-AE60</f>
        <v>6.9513669661361206</v>
      </c>
      <c r="AF66" s="370">
        <f>Flat!AF$52-AF60</f>
        <v>-0.66298055849156867</v>
      </c>
      <c r="AG66" s="370">
        <f>Flat!AG$52-AG60</f>
        <v>6.9950629261214203</v>
      </c>
      <c r="AH66" s="370">
        <f>Flat!AH$52-AH60</f>
        <v>2.8312051293278415</v>
      </c>
      <c r="AI66" s="370">
        <f>Flat!AI$52-AI60</f>
        <v>2.9808797959207709</v>
      </c>
      <c r="AJ66" s="370">
        <f>Flat!AJ$52-AJ60</f>
        <v>6.6510182449390243</v>
      </c>
      <c r="AK66" s="370">
        <f>Flat!AK$52-AK60</f>
        <v>5.1641047355469283</v>
      </c>
      <c r="AL66" s="370">
        <f>Flat!AL$52-AL60</f>
        <v>4.2764411466134362</v>
      </c>
      <c r="AM66" s="370">
        <f>Flat!AM$52-AM60</f>
        <v>6.1161143135356468</v>
      </c>
      <c r="AN66" s="371">
        <f>Flat!AN$52-AN60</f>
        <v>6.1161143135356468</v>
      </c>
    </row>
    <row r="67" spans="1:40" s="5" customFormat="1">
      <c r="A67" s="155"/>
      <c r="B67" s="338" t="s">
        <v>7</v>
      </c>
      <c r="C67" s="368" t="s">
        <v>190</v>
      </c>
      <c r="D67" s="379">
        <f>Flat!D$53-D61</f>
        <v>-1.1744591575637315</v>
      </c>
      <c r="E67" s="379">
        <f>Flat!E$53-E61</f>
        <v>3.2828786407088089</v>
      </c>
      <c r="F67" s="379">
        <f>Flat!F$53-F61</f>
        <v>2.5013445545691582</v>
      </c>
      <c r="G67" s="379">
        <f>Flat!G$53-G61</f>
        <v>-1.1442268569213354</v>
      </c>
      <c r="H67" s="379">
        <f>Flat!H$53-H61</f>
        <v>1.0473216967401413</v>
      </c>
      <c r="I67" s="379">
        <f>Flat!I$53-I61</f>
        <v>0</v>
      </c>
      <c r="J67" s="379">
        <f>Flat!J$53-J61</f>
        <v>-0.61874500447866865</v>
      </c>
      <c r="K67" s="379">
        <f>Flat!K$53-K61</f>
        <v>5.9042374732676706E-2</v>
      </c>
      <c r="L67" s="379">
        <f>Flat!L$53-L61</f>
        <v>-7.5648972388929394</v>
      </c>
      <c r="M67" s="379">
        <f>Flat!M$53-M61</f>
        <v>3.2546661954768155</v>
      </c>
      <c r="N67" s="379">
        <f>Flat!N$53-N61</f>
        <v>-2.5035667139207263</v>
      </c>
      <c r="O67" s="379">
        <f>Flat!O$53-O61</f>
        <v>0.54644210816637795</v>
      </c>
      <c r="P67" s="379">
        <f>Flat!P$53-P61</f>
        <v>3.6098963261169992</v>
      </c>
      <c r="Q67" s="379">
        <f>Flat!Q$53-Q61</f>
        <v>0.48110918190259966</v>
      </c>
      <c r="R67" s="379">
        <f>Flat!R$53-R61</f>
        <v>-1.4429511639028618</v>
      </c>
      <c r="S67" s="379">
        <f>Flat!S$53-S61</f>
        <v>4.1800496363653608</v>
      </c>
      <c r="T67" s="379">
        <f>Flat!T$53-T61</f>
        <v>-2.1828604779566803</v>
      </c>
      <c r="U67" s="379">
        <f>Flat!U$53-U61</f>
        <v>1.3609517261916082</v>
      </c>
      <c r="V67" s="379">
        <f>Flat!V$53-V61</f>
        <v>-0.78867166750648465</v>
      </c>
      <c r="W67" s="379">
        <f>Flat!W$53-W61</f>
        <v>-1.8125333501668628</v>
      </c>
      <c r="X67" s="379">
        <f>Flat!X$53-X61</f>
        <v>-0.82670204285307847</v>
      </c>
      <c r="Y67" s="379">
        <f>Flat!Y$53-Y61</f>
        <v>2.5960933710111007</v>
      </c>
      <c r="Z67" s="379">
        <f>Flat!Z$53-Z61</f>
        <v>1.4060510360827934</v>
      </c>
      <c r="AA67" s="379">
        <f>Flat!AA$53-AA61</f>
        <v>0.11385626361791878</v>
      </c>
      <c r="AB67" s="379">
        <f>Flat!AB$53-AB61</f>
        <v>4.6432739873561317</v>
      </c>
      <c r="AC67" s="379">
        <f>Flat!AC$53-AC61</f>
        <v>2.0266687191885033</v>
      </c>
      <c r="AD67" s="379">
        <f>Flat!AD$53-AD61</f>
        <v>-2.014149912650673</v>
      </c>
      <c r="AE67" s="379">
        <f>Flat!AE$53-AE61</f>
        <v>0.10978276640734919</v>
      </c>
      <c r="AF67" s="379">
        <f>Flat!AF$53-AF61</f>
        <v>-2.90170838233756</v>
      </c>
      <c r="AG67" s="379">
        <f>Flat!AG$53-AG61</f>
        <v>0</v>
      </c>
      <c r="AH67" s="379">
        <f>Flat!AH$53-AH61</f>
        <v>0.89614477238152546</v>
      </c>
      <c r="AI67" s="379">
        <f>Flat!AI$53-AI61</f>
        <v>3.5773501142269666</v>
      </c>
      <c r="AJ67" s="379">
        <f>Flat!AJ$53-AJ61</f>
        <v>4.3914075581209957</v>
      </c>
      <c r="AK67" s="379">
        <f>Flat!AK$53-AK61</f>
        <v>3.4097957110296733</v>
      </c>
      <c r="AL67" s="379">
        <f>Flat!AL$53-AL61</f>
        <v>2.5688533673132881</v>
      </c>
      <c r="AM67" s="379">
        <f>Flat!AM$53-AM61</f>
        <v>4.0382313855821792</v>
      </c>
      <c r="AN67" s="380">
        <f>Flat!AN$53-AN61</f>
        <v>4.0382313855821792</v>
      </c>
    </row>
    <row r="68" spans="1:40" s="5" customFormat="1"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</row>
    <row r="69" spans="1:40" s="5" customFormat="1">
      <c r="A69" s="5" t="s">
        <v>225</v>
      </c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</row>
    <row r="70" spans="1:40" s="5" customFormat="1">
      <c r="A70" s="938" t="s">
        <v>123</v>
      </c>
      <c r="B70" s="939"/>
      <c r="C70" s="138" t="s">
        <v>76</v>
      </c>
      <c r="D70" s="194">
        <v>1</v>
      </c>
      <c r="E70" s="195">
        <v>1</v>
      </c>
      <c r="F70" s="195">
        <v>1</v>
      </c>
      <c r="G70" s="195">
        <v>1</v>
      </c>
      <c r="H70" s="195">
        <v>1</v>
      </c>
      <c r="I70" s="195">
        <v>1</v>
      </c>
      <c r="J70" s="195">
        <v>1</v>
      </c>
      <c r="K70" s="195">
        <v>1</v>
      </c>
      <c r="L70" s="195">
        <v>1</v>
      </c>
      <c r="M70" s="195">
        <v>1</v>
      </c>
      <c r="N70" s="195">
        <v>1</v>
      </c>
      <c r="O70" s="195">
        <v>1</v>
      </c>
      <c r="P70" s="195">
        <v>1</v>
      </c>
      <c r="Q70" s="195">
        <v>1</v>
      </c>
      <c r="R70" s="195">
        <v>1</v>
      </c>
      <c r="S70" s="195">
        <v>1</v>
      </c>
      <c r="T70" s="195">
        <v>1</v>
      </c>
      <c r="U70" s="195">
        <v>1</v>
      </c>
      <c r="V70" s="195">
        <v>1</v>
      </c>
      <c r="W70" s="195">
        <v>1</v>
      </c>
      <c r="X70" s="195">
        <v>1</v>
      </c>
      <c r="Y70" s="195">
        <v>1</v>
      </c>
      <c r="Z70" s="195">
        <v>1</v>
      </c>
      <c r="AA70" s="195">
        <v>1</v>
      </c>
      <c r="AB70" s="195">
        <v>1</v>
      </c>
      <c r="AC70" s="195">
        <v>1</v>
      </c>
      <c r="AD70" s="195">
        <v>1</v>
      </c>
      <c r="AE70" s="195">
        <v>1</v>
      </c>
      <c r="AF70" s="195">
        <v>1</v>
      </c>
      <c r="AG70" s="195">
        <v>1</v>
      </c>
      <c r="AH70" s="195">
        <v>1</v>
      </c>
      <c r="AI70" s="195">
        <v>1</v>
      </c>
      <c r="AJ70" s="195">
        <v>1</v>
      </c>
      <c r="AK70" s="195">
        <v>1</v>
      </c>
      <c r="AL70" s="195">
        <v>1</v>
      </c>
      <c r="AM70" s="195">
        <v>1</v>
      </c>
      <c r="AN70" s="196">
        <v>1</v>
      </c>
    </row>
    <row r="71" spans="1:40" s="5" customFormat="1">
      <c r="A71" s="151" t="s">
        <v>193</v>
      </c>
      <c r="B71" s="141" t="s">
        <v>2</v>
      </c>
      <c r="C71" s="144" t="s">
        <v>195</v>
      </c>
      <c r="D71" s="170">
        <f>((LOOKUP(Flat!D$2,'Ceiling-U'!$A$4:$A$40,'Ceiling-U'!$E$4:$E$40)*Flat!D$15)+(LOOKUP(Flat!D$2,'Floor-U'!$A$4:$A$40,'Floor-U'!$E$4:$E$40)*Flat!D$16)+(LOOKUP(Flat!D$2,'Wall-U'!$A$4:$A$40,'Wall-U'!$E$4:$E$40)*Flat!D$13)+(LOOKUP(Flat!D$2,'Window-U'!$A$4:$A$40,'Window-U'!$S$4:$S$40)*Flat!D$22))*D70</f>
        <v>2325.868436810229</v>
      </c>
      <c r="E71" s="171">
        <f>((LOOKUP(Flat!E$2,'Ceiling-U'!$A$4:$A$40,'Ceiling-U'!$E$4:$E$40)*Flat!E$15)+(LOOKUP(Flat!E$2,'Floor-U'!$A$4:$A$40,'Floor-U'!$E$4:$E$40)*Flat!E$16)+(LOOKUP(Flat!E$2,'Wall-U'!$A$4:$A$40,'Wall-U'!$E$4:$E$40)*Flat!E$13)+(LOOKUP(Flat!E$2,'Window-U'!$A$4:$A$40,'Window-U'!$S$4:$S$40)*Flat!E$22))*E70</f>
        <v>2852.4059714657665</v>
      </c>
      <c r="F71" s="171">
        <f>((LOOKUP(Flat!F$2,'Ceiling-U'!$A$4:$A$40,'Ceiling-U'!$E$4:$E$40)*Flat!F$15)+(LOOKUP(Flat!F$2,'Floor-U'!$A$4:$A$40,'Floor-U'!$E$4:$E$40)*Flat!F$16)+(LOOKUP(Flat!F$2,'Wall-U'!$A$4:$A$40,'Wall-U'!$E$4:$E$40)*Flat!F$13)+(LOOKUP(Flat!F$2,'Window-U'!$A$4:$A$40,'Window-U'!$S$4:$S$40)*Flat!F$22))*F70</f>
        <v>3475.7014179890411</v>
      </c>
      <c r="G71" s="171">
        <f>((LOOKUP(Flat!G$2,'Ceiling-U'!$A$4:$A$40,'Ceiling-U'!$E$4:$E$40)*Flat!G$15)+(LOOKUP(Flat!G$2,'Floor-U'!$A$4:$A$40,'Floor-U'!$E$4:$E$40)*Flat!G$16)+(LOOKUP(Flat!G$2,'Wall-U'!$A$4:$A$40,'Wall-U'!$E$4:$E$40)*Flat!G$13)+(LOOKUP(Flat!G$2,'Window-U'!$A$4:$A$40,'Window-U'!$S$4:$S$40)*Flat!G$22))*G70</f>
        <v>2325.868436810229</v>
      </c>
      <c r="H71" s="171">
        <f>((LOOKUP(Flat!H$2,'Ceiling-U'!$A$4:$A$40,'Ceiling-U'!$E$4:$E$40)*Flat!H$15)+(LOOKUP(Flat!H$2,'Floor-U'!$A$4:$A$40,'Floor-U'!$E$4:$E$40)*Flat!H$16)+(LOOKUP(Flat!H$2,'Wall-U'!$A$4:$A$40,'Wall-U'!$E$4:$E$40)*Flat!H$13)+(LOOKUP(Flat!H$2,'Window-U'!$A$4:$A$40,'Window-U'!$S$4:$S$40)*Flat!H$22))*H70</f>
        <v>3942.5460269590294</v>
      </c>
      <c r="I71" s="171">
        <f>((LOOKUP(Flat!I$2,'Ceiling-U'!$A$4:$A$40,'Ceiling-U'!$E$4:$E$40)*Flat!I$15)+(LOOKUP(Flat!I$2,'Floor-U'!$A$4:$A$40,'Floor-U'!$E$4:$E$40)*Flat!I$16)+(LOOKUP(Flat!I$2,'Wall-U'!$A$4:$A$40,'Wall-U'!$E$4:$E$40)*Flat!I$13)+(LOOKUP(Flat!I$2,'Window-U'!$A$4:$A$40,'Window-U'!$S$4:$S$40)*Flat!I$22))*I70</f>
        <v>1420.8521934191601</v>
      </c>
      <c r="J71" s="171">
        <f>((LOOKUP(Flat!J$2,'Ceiling-U'!$A$4:$A$40,'Ceiling-U'!$E$4:$E$40)*Flat!J$15)+(LOOKUP(Flat!J$2,'Floor-U'!$A$4:$A$40,'Floor-U'!$E$4:$E$40)*Flat!J$16)+(LOOKUP(Flat!J$2,'Wall-U'!$A$4:$A$40,'Wall-U'!$E$4:$E$40)*Flat!J$13)+(LOOKUP(Flat!J$2,'Window-U'!$A$4:$A$40,'Window-U'!$S$4:$S$40)*Flat!J$22))*J70</f>
        <v>2525.5587221243045</v>
      </c>
      <c r="K71" s="171">
        <f>((LOOKUP(Flat!K$2,'Ceiling-U'!$A$4:$A$40,'Ceiling-U'!$E$4:$E$40)*Flat!K$15)+(LOOKUP(Flat!K$2,'Floor-U'!$A$4:$A$40,'Floor-U'!$E$4:$E$40)*Flat!K$16)+(LOOKUP(Flat!K$2,'Wall-U'!$A$4:$A$40,'Wall-U'!$E$4:$E$40)*Flat!K$13)+(LOOKUP(Flat!K$2,'Window-U'!$A$4:$A$40,'Window-U'!$S$4:$S$40)*Flat!K$22))*K70</f>
        <v>1760.419234983176</v>
      </c>
      <c r="L71" s="171">
        <f>((LOOKUP(Flat!L$2,'Ceiling-U'!$A$4:$A$40,'Ceiling-U'!$E$4:$E$40)*Flat!L$15)+(LOOKUP(Flat!L$2,'Floor-U'!$A$4:$A$40,'Floor-U'!$E$4:$E$40)*Flat!L$16)+(LOOKUP(Flat!L$2,'Wall-U'!$A$4:$A$40,'Wall-U'!$E$4:$E$40)*Flat!L$13)+(LOOKUP(Flat!L$2,'Window-U'!$A$4:$A$40,'Window-U'!$S$4:$S$40)*Flat!L$22))*L70</f>
        <v>654.52600802657844</v>
      </c>
      <c r="M71" s="171">
        <f>((LOOKUP(Flat!M$2,'Ceiling-U'!$A$4:$A$40,'Ceiling-U'!$E$4:$E$40)*Flat!M$15)+(LOOKUP(Flat!M$2,'Floor-U'!$A$4:$A$40,'Floor-U'!$E$4:$E$40)*Flat!M$16)+(LOOKUP(Flat!M$2,'Wall-U'!$A$4:$A$40,'Wall-U'!$E$4:$E$40)*Flat!M$13)+(LOOKUP(Flat!M$2,'Window-U'!$A$4:$A$40,'Window-U'!$S$4:$S$40)*Flat!M$22))*M70</f>
        <v>2767.7618393295561</v>
      </c>
      <c r="N71" s="171">
        <f>((LOOKUP(Flat!N$2,'Ceiling-U'!$A$4:$A$40,'Ceiling-U'!$E$4:$E$40)*Flat!N$15)+(LOOKUP(Flat!N$2,'Floor-U'!$A$4:$A$40,'Floor-U'!$E$4:$E$40)*Flat!N$16)+(LOOKUP(Flat!N$2,'Wall-U'!$A$4:$A$40,'Wall-U'!$E$4:$E$40)*Flat!N$13)+(LOOKUP(Flat!N$2,'Window-U'!$A$4:$A$40,'Window-U'!$S$4:$S$40)*Flat!N$22))*N70</f>
        <v>1563.5372605756675</v>
      </c>
      <c r="O71" s="171">
        <f>((LOOKUP(Flat!O$2,'Ceiling-U'!$A$4:$A$40,'Ceiling-U'!$E$4:$E$40)*Flat!O$15)+(LOOKUP(Flat!O$2,'Floor-U'!$A$4:$A$40,'Floor-U'!$E$4:$E$40)*Flat!O$16)+(LOOKUP(Flat!O$2,'Wall-U'!$A$4:$A$40,'Wall-U'!$E$4:$E$40)*Flat!O$13)+(LOOKUP(Flat!O$2,'Window-U'!$A$4:$A$40,'Window-U'!$S$4:$S$40)*Flat!O$22))*O70</f>
        <v>3704.6577587770544</v>
      </c>
      <c r="P71" s="171">
        <f>((LOOKUP(Flat!P$2,'Ceiling-U'!$A$4:$A$40,'Ceiling-U'!$E$4:$E$40)*Flat!P$15)+(LOOKUP(Flat!P$2,'Floor-U'!$A$4:$A$40,'Floor-U'!$E$4:$E$40)*Flat!P$16)+(LOOKUP(Flat!P$2,'Wall-U'!$A$4:$A$40,'Wall-U'!$E$4:$E$40)*Flat!P$13)+(LOOKUP(Flat!P$2,'Window-U'!$A$4:$A$40,'Window-U'!$S$4:$S$40)*Flat!P$22))*P70</f>
        <v>2540.7934065809659</v>
      </c>
      <c r="Q71" s="171">
        <f>((LOOKUP(Flat!Q$2,'Ceiling-U'!$A$4:$A$40,'Ceiling-U'!$E$4:$E$40)*Flat!Q$15)+(LOOKUP(Flat!Q$2,'Floor-U'!$A$4:$A$40,'Floor-U'!$E$4:$E$40)*Flat!Q$16)+(LOOKUP(Flat!Q$2,'Wall-U'!$A$4:$A$40,'Wall-U'!$E$4:$E$40)*Flat!Q$13)+(LOOKUP(Flat!Q$2,'Window-U'!$A$4:$A$40,'Window-U'!$S$4:$S$40)*Flat!Q$22))*Q70</f>
        <v>1853.9204905322324</v>
      </c>
      <c r="R71" s="171">
        <f>((LOOKUP(Flat!R$2,'Ceiling-U'!$A$4:$A$40,'Ceiling-U'!$E$4:$E$40)*Flat!R$15)+(LOOKUP(Flat!R$2,'Floor-U'!$A$4:$A$40,'Floor-U'!$E$4:$E$40)*Flat!R$16)+(LOOKUP(Flat!R$2,'Wall-U'!$A$4:$A$40,'Wall-U'!$E$4:$E$40)*Flat!R$13)+(LOOKUP(Flat!R$2,'Window-U'!$A$4:$A$40,'Window-U'!$S$4:$S$40)*Flat!R$22))*R70</f>
        <v>1831.9230832020107</v>
      </c>
      <c r="S71" s="171">
        <f>((LOOKUP(Flat!S$2,'Ceiling-U'!$A$4:$A$40,'Ceiling-U'!$E$4:$E$40)*Flat!S$15)+(LOOKUP(Flat!S$2,'Floor-U'!$A$4:$A$40,'Floor-U'!$E$4:$E$40)*Flat!S$16)+(LOOKUP(Flat!S$2,'Wall-U'!$A$4:$A$40,'Wall-U'!$E$4:$E$40)*Flat!S$13)+(LOOKUP(Flat!S$2,'Window-U'!$A$4:$A$40,'Window-U'!$S$4:$S$40)*Flat!S$22))*S70</f>
        <v>6554.7491444855796</v>
      </c>
      <c r="T71" s="171">
        <f>((LOOKUP(Flat!T$2,'Ceiling-U'!$A$4:$A$40,'Ceiling-U'!$E$4:$E$40)*Flat!T$15)+(LOOKUP(Flat!T$2,'Floor-U'!$A$4:$A$40,'Floor-U'!$E$4:$E$40)*Flat!T$16)+(LOOKUP(Flat!T$2,'Wall-U'!$A$4:$A$40,'Wall-U'!$E$4:$E$40)*Flat!T$13)+(LOOKUP(Flat!T$2,'Window-U'!$A$4:$A$40,'Window-U'!$S$4:$S$40)*Flat!T$22))*T70</f>
        <v>865.13239101307579</v>
      </c>
      <c r="U71" s="171">
        <f>((LOOKUP(Flat!U$2,'Ceiling-U'!$A$4:$A$40,'Ceiling-U'!$E$4:$E$40)*Flat!U$15)+(LOOKUP(Flat!U$2,'Floor-U'!$A$4:$A$40,'Floor-U'!$E$4:$E$40)*Flat!U$16)+(LOOKUP(Flat!U$2,'Wall-U'!$A$4:$A$40,'Wall-U'!$E$4:$E$40)*Flat!U$13)+(LOOKUP(Flat!U$2,'Window-U'!$A$4:$A$40,'Window-U'!$S$4:$S$40)*Flat!U$22))*U70</f>
        <v>3486.6345131495859</v>
      </c>
      <c r="V71" s="171">
        <f>((LOOKUP(Flat!V$2,'Ceiling-U'!$A$4:$A$40,'Ceiling-U'!$E$4:$E$40)*Flat!V$15)+(LOOKUP(Flat!V$2,'Floor-U'!$A$4:$A$40,'Floor-U'!$E$4:$E$40)*Flat!V$16)+(LOOKUP(Flat!V$2,'Wall-U'!$A$4:$A$40,'Wall-U'!$E$4:$E$40)*Flat!V$13)+(LOOKUP(Flat!V$2,'Window-U'!$A$4:$A$40,'Window-U'!$S$4:$S$40)*Flat!V$22))*V70</f>
        <v>1310.067104576633</v>
      </c>
      <c r="W71" s="171">
        <f>((LOOKUP(Flat!W$2,'Ceiling-U'!$A$4:$A$40,'Ceiling-U'!$E$4:$E$40)*Flat!W$15)+(LOOKUP(Flat!W$2,'Floor-U'!$A$4:$A$40,'Floor-U'!$E$4:$E$40)*Flat!W$16)+(LOOKUP(Flat!W$2,'Wall-U'!$A$4:$A$40,'Wall-U'!$E$4:$E$40)*Flat!W$13)+(LOOKUP(Flat!W$2,'Window-U'!$A$4:$A$40,'Window-U'!$S$4:$S$40)*Flat!W$22))*W70</f>
        <v>2185.1221459866506</v>
      </c>
      <c r="X71" s="171">
        <f>((LOOKUP(Flat!X$2,'Ceiling-U'!$A$4:$A$40,'Ceiling-U'!$E$4:$E$40)*Flat!X$15)+(LOOKUP(Flat!X$2,'Floor-U'!$A$4:$A$40,'Floor-U'!$E$4:$E$40)*Flat!X$16)+(LOOKUP(Flat!X$2,'Wall-U'!$A$4:$A$40,'Wall-U'!$E$4:$E$40)*Flat!X$13)+(LOOKUP(Flat!X$2,'Window-U'!$A$4:$A$40,'Window-U'!$S$4:$S$40)*Flat!X$22))*X70</f>
        <v>1363.3433489193808</v>
      </c>
      <c r="Y71" s="171">
        <f>((LOOKUP(Flat!Y$2,'Ceiling-U'!$A$4:$A$40,'Ceiling-U'!$E$4:$E$40)*Flat!Y$15)+(LOOKUP(Flat!Y$2,'Floor-U'!$A$4:$A$40,'Floor-U'!$E$4:$E$40)*Flat!Y$16)+(LOOKUP(Flat!Y$2,'Wall-U'!$A$4:$A$40,'Wall-U'!$E$4:$E$40)*Flat!Y$13)+(LOOKUP(Flat!Y$2,'Window-U'!$A$4:$A$40,'Window-U'!$S$4:$S$40)*Flat!Y$22))*Y70</f>
        <v>4890.3783170475781</v>
      </c>
      <c r="Z71" s="171">
        <f>((LOOKUP(Flat!Z$2,'Ceiling-U'!$A$4:$A$40,'Ceiling-U'!$E$4:$E$40)*Flat!Z$15)+(LOOKUP(Flat!Z$2,'Floor-U'!$A$4:$A$40,'Floor-U'!$E$4:$E$40)*Flat!Z$16)+(LOOKUP(Flat!Z$2,'Wall-U'!$A$4:$A$40,'Wall-U'!$E$4:$E$40)*Flat!Z$13)+(LOOKUP(Flat!Z$2,'Window-U'!$A$4:$A$40,'Window-U'!$S$4:$S$40)*Flat!Z$22))*Z70</f>
        <v>3058.9971023184139</v>
      </c>
      <c r="AA71" s="171">
        <f>((LOOKUP(Flat!AA$2,'Ceiling-U'!$A$4:$A$40,'Ceiling-U'!$E$4:$E$40)*Flat!AA$15)+(LOOKUP(Flat!AA$2,'Floor-U'!$A$4:$A$40,'Floor-U'!$E$4:$E$40)*Flat!AA$16)+(LOOKUP(Flat!AA$2,'Wall-U'!$A$4:$A$40,'Wall-U'!$E$4:$E$40)*Flat!AA$13)+(LOOKUP(Flat!AA$2,'Window-U'!$A$4:$A$40,'Window-U'!$S$4:$S$40)*Flat!AA$22))*AA70</f>
        <v>754.23283507138967</v>
      </c>
      <c r="AB71" s="171">
        <f>((LOOKUP(Flat!AB$2,'Ceiling-U'!$A$4:$A$40,'Ceiling-U'!$E$4:$E$40)*Flat!AB$15)+(LOOKUP(Flat!AB$2,'Floor-U'!$A$4:$A$40,'Floor-U'!$E$4:$E$40)*Flat!AB$16)+(LOOKUP(Flat!AB$2,'Wall-U'!$A$4:$A$40,'Wall-U'!$E$4:$E$40)*Flat!AB$13)+(LOOKUP(Flat!AB$2,'Window-U'!$A$4:$A$40,'Window-U'!$S$4:$S$40)*Flat!AB$22))*AB70</f>
        <v>2880.1863537257154</v>
      </c>
      <c r="AC71" s="171">
        <f>((LOOKUP(Flat!AC$2,'Ceiling-U'!$A$4:$A$40,'Ceiling-U'!$E$4:$E$40)*Flat!AC$15)+(LOOKUP(Flat!AC$2,'Floor-U'!$A$4:$A$40,'Floor-U'!$E$4:$E$40)*Flat!AC$16)+(LOOKUP(Flat!AC$2,'Wall-U'!$A$4:$A$40,'Wall-U'!$E$4:$E$40)*Flat!AC$13)+(LOOKUP(Flat!AC$2,'Window-U'!$A$4:$A$40,'Window-U'!$S$4:$S$40)*Flat!AC$22))*AC70</f>
        <v>4240.1633643976838</v>
      </c>
      <c r="AD71" s="171">
        <f>((LOOKUP(Flat!AD$2,'Ceiling-U'!$A$4:$A$40,'Ceiling-U'!$E$4:$E$40)*Flat!AD$15)+(LOOKUP(Flat!AD$2,'Floor-U'!$A$4:$A$40,'Floor-U'!$E$4:$E$40)*Flat!AD$16)+(LOOKUP(Flat!AD$2,'Wall-U'!$A$4:$A$40,'Wall-U'!$E$4:$E$40)*Flat!AD$13)+(LOOKUP(Flat!AD$2,'Window-U'!$A$4:$A$40,'Window-U'!$S$4:$S$40)*Flat!AD$22))*AD70</f>
        <v>5484.4293684085387</v>
      </c>
      <c r="AE71" s="171">
        <f>((LOOKUP(Flat!AE$2,'Ceiling-U'!$A$4:$A$40,'Ceiling-U'!$E$4:$E$40)*Flat!AE$15)+(LOOKUP(Flat!AE$2,'Floor-U'!$A$4:$A$40,'Floor-U'!$E$4:$E$40)*Flat!AE$16)+(LOOKUP(Flat!AE$2,'Wall-U'!$A$4:$A$40,'Wall-U'!$E$4:$E$40)*Flat!AE$13)+(LOOKUP(Flat!AE$2,'Window-U'!$A$4:$A$40,'Window-U'!$S$4:$S$40)*Flat!AE$22))*AE70</f>
        <v>754.23283507138967</v>
      </c>
      <c r="AF71" s="171">
        <f>((LOOKUP(Flat!AF$2,'Ceiling-U'!$A$4:$A$40,'Ceiling-U'!$E$4:$E$40)*Flat!AF$15)+(LOOKUP(Flat!AF$2,'Floor-U'!$A$4:$A$40,'Floor-U'!$E$4:$E$40)*Flat!AF$16)+(LOOKUP(Flat!AF$2,'Wall-U'!$A$4:$A$40,'Wall-U'!$E$4:$E$40)*Flat!AF$13)+(LOOKUP(Flat!AF$2,'Window-U'!$A$4:$A$40,'Window-U'!$S$4:$S$40)*Flat!AF$22))*AF70</f>
        <v>1773.6816839383105</v>
      </c>
      <c r="AG71" s="171">
        <f>((LOOKUP(Flat!AG$2,'Ceiling-U'!$A$4:$A$40,'Ceiling-U'!$E$4:$E$40)*Flat!AG$15)+(LOOKUP(Flat!AG$2,'Floor-U'!$A$4:$A$40,'Floor-U'!$E$4:$E$40)*Flat!AG$16)+(LOOKUP(Flat!AG$2,'Wall-U'!$A$4:$A$40,'Wall-U'!$E$4:$E$40)*Flat!AG$13)+(LOOKUP(Flat!AG$2,'Window-U'!$A$4:$A$40,'Window-U'!$S$4:$S$40)*Flat!AG$22))*AG70</f>
        <v>2394.5858331483764</v>
      </c>
      <c r="AH71" s="171">
        <f>((LOOKUP(Flat!AH$2,'Ceiling-U'!$A$4:$A$40,'Ceiling-U'!$E$4:$E$40)*Flat!AH$15)+(LOOKUP(Flat!AH$2,'Floor-U'!$A$4:$A$40,'Floor-U'!$E$4:$E$40)*Flat!AH$16)+(LOOKUP(Flat!AH$2,'Wall-U'!$A$4:$A$40,'Wall-U'!$E$4:$E$40)*Flat!AH$13)+(LOOKUP(Flat!AH$2,'Window-U'!$A$4:$A$40,'Window-U'!$S$4:$S$40)*Flat!AH$22))*AH70</f>
        <v>5360.8016645007556</v>
      </c>
      <c r="AI71" s="171">
        <f>((LOOKUP(Flat!AI$2,'Ceiling-U'!$A$4:$A$40,'Ceiling-U'!$E$4:$E$40)*Flat!AI$15)+(LOOKUP(Flat!AI$2,'Floor-U'!$A$4:$A$40,'Floor-U'!$E$4:$E$40)*Flat!AI$16)+(LOOKUP(Flat!AI$2,'Wall-U'!$A$4:$A$40,'Wall-U'!$E$4:$E$40)*Flat!AI$13)+(LOOKUP(Flat!AI$2,'Window-U'!$A$4:$A$40,'Window-U'!$S$4:$S$40)*Flat!AI$22))*AI70</f>
        <v>3987.7548853856492</v>
      </c>
      <c r="AJ71" s="171">
        <f>((LOOKUP(Flat!AJ$2,'Ceiling-U'!$A$4:$A$40,'Ceiling-U'!$E$4:$E$40)*Flat!AJ$15)+(LOOKUP(Flat!AJ$2,'Floor-U'!$A$4:$A$40,'Floor-U'!$E$4:$E$40)*Flat!AJ$16)+(LOOKUP(Flat!AJ$2,'Wall-U'!$A$4:$A$40,'Wall-U'!$E$4:$E$40)*Flat!AJ$13)+(LOOKUP(Flat!AJ$2,'Window-U'!$A$4:$A$40,'Window-U'!$S$4:$S$40)*Flat!AJ$22))*AJ70</f>
        <v>2039.0645369594822</v>
      </c>
      <c r="AK71" s="171">
        <f>((LOOKUP(Flat!AK$2,'Ceiling-U'!$A$4:$A$40,'Ceiling-U'!$E$4:$E$40)*Flat!AK$15)+(LOOKUP(Flat!AK$2,'Floor-U'!$A$4:$A$40,'Floor-U'!$E$4:$E$40)*Flat!AK$16)+(LOOKUP(Flat!AK$2,'Wall-U'!$A$4:$A$40,'Wall-U'!$E$4:$E$40)*Flat!AK$13)+(LOOKUP(Flat!AK$2,'Window-U'!$A$4:$A$40,'Window-U'!$S$4:$S$40)*Flat!AK$22))*AK70</f>
        <v>2222.9984471859962</v>
      </c>
      <c r="AL71" s="171">
        <f>((LOOKUP(Flat!AL$2,'Ceiling-U'!$A$4:$A$40,'Ceiling-U'!$E$4:$E$40)*Flat!AL$15)+(LOOKUP(Flat!AL$2,'Floor-U'!$A$4:$A$40,'Floor-U'!$E$4:$E$40)*Flat!AL$16)+(LOOKUP(Flat!AL$2,'Wall-U'!$A$4:$A$40,'Wall-U'!$E$4:$E$40)*Flat!AL$13)+(LOOKUP(Flat!AL$2,'Window-U'!$A$4:$A$40,'Window-U'!$S$4:$S$40)*Flat!AL$22))*AL70</f>
        <v>2247.8929261710114</v>
      </c>
      <c r="AM71" s="171">
        <f>((LOOKUP(Flat!AM$2,'Ceiling-U'!$A$4:$A$40,'Ceiling-U'!$E$4:$E$40)*Flat!AM$15)+(LOOKUP(Flat!AM$2,'Floor-U'!$A$4:$A$40,'Floor-U'!$E$4:$E$40)*Flat!AM$16)+(LOOKUP(Flat!AM$2,'Wall-U'!$A$4:$A$40,'Wall-U'!$E$4:$E$40)*Flat!AM$13)+(LOOKUP(Flat!AM$2,'Window-U'!$A$4:$A$40,'Window-U'!$S$4:$S$40)*Flat!AM$22))*AM70</f>
        <v>2039.0645369594822</v>
      </c>
      <c r="AN71" s="172">
        <f>((LOOKUP(Flat!AN$2,'Ceiling-U'!$A$4:$A$40,'Ceiling-U'!$E$4:$E$40)*Flat!AN$15)+(LOOKUP(Flat!AN$2,'Floor-U'!$A$4:$A$40,'Floor-U'!$E$4:$E$40)*Flat!AN$16)+(LOOKUP(Flat!AN$2,'Wall-U'!$A$4:$A$40,'Wall-U'!$E$4:$E$40)*Flat!AN$13)+(LOOKUP(Flat!AN$2,'Window-U'!$A$4:$A$40,'Window-U'!$S$4:$S$40)*Flat!AN$22))*AN70</f>
        <v>2039.0645369594822</v>
      </c>
    </row>
    <row r="72" spans="1:40" s="5" customFormat="1">
      <c r="A72" s="372"/>
      <c r="B72" s="142" t="s">
        <v>3</v>
      </c>
      <c r="C72" s="131" t="s">
        <v>195</v>
      </c>
      <c r="D72" s="176">
        <f>((LOOKUP(Flat!D$2,'Ceiling-U'!$A$4:$A$40,'Ceiling-U'!$F$4:$F$40)*Flat!D$15)+(LOOKUP(Flat!D$2,'Floor-U'!$A$4:$A$40,'Floor-U'!$F$4:$F$40)*Flat!D$16)+(LOOKUP(Flat!D$2,'Wall-U'!$A$4:$A$40,'Wall-U'!$F$4:$F$40)*Flat!D$13)+(LOOKUP(Flat!D$2,'Window-U'!$A$4:$A$40,'Window-U'!$S$4:$S$40)*Flat!D$22))*D70</f>
        <v>2030.294033286104</v>
      </c>
      <c r="E72" s="177">
        <f>((LOOKUP(Flat!E$2,'Ceiling-U'!$A$4:$A$40,'Ceiling-U'!$F$4:$F$40)*Flat!E$15)+(LOOKUP(Flat!E$2,'Floor-U'!$A$4:$A$40,'Floor-U'!$F$4:$F$40)*Flat!E$16)+(LOOKUP(Flat!E$2,'Wall-U'!$A$4:$A$40,'Wall-U'!$F$4:$F$40)*Flat!E$13)+(LOOKUP(Flat!E$2,'Window-U'!$A$4:$A$40,'Window-U'!$S$4:$S$40)*Flat!E$22))*E70</f>
        <v>2852.4059714657665</v>
      </c>
      <c r="F72" s="177">
        <f>((LOOKUP(Flat!F$2,'Ceiling-U'!$A$4:$A$40,'Ceiling-U'!$F$4:$F$40)*Flat!F$15)+(LOOKUP(Flat!F$2,'Floor-U'!$A$4:$A$40,'Floor-U'!$F$4:$F$40)*Flat!F$16)+(LOOKUP(Flat!F$2,'Wall-U'!$A$4:$A$40,'Wall-U'!$F$4:$F$40)*Flat!F$13)+(LOOKUP(Flat!F$2,'Window-U'!$A$4:$A$40,'Window-U'!$S$4:$S$40)*Flat!F$22))*F70</f>
        <v>3475.7014179890411</v>
      </c>
      <c r="G72" s="177">
        <f>((LOOKUP(Flat!G$2,'Ceiling-U'!$A$4:$A$40,'Ceiling-U'!$F$4:$F$40)*Flat!G$15)+(LOOKUP(Flat!G$2,'Floor-U'!$A$4:$A$40,'Floor-U'!$F$4:$F$40)*Flat!G$16)+(LOOKUP(Flat!G$2,'Wall-U'!$A$4:$A$40,'Wall-U'!$F$4:$F$40)*Flat!G$13)+(LOOKUP(Flat!G$2,'Window-U'!$A$4:$A$40,'Window-U'!$S$4:$S$40)*Flat!G$22))*G70</f>
        <v>2030.294033286104</v>
      </c>
      <c r="H72" s="177">
        <f>((LOOKUP(Flat!H$2,'Ceiling-U'!$A$4:$A$40,'Ceiling-U'!$F$4:$F$40)*Flat!H$15)+(LOOKUP(Flat!H$2,'Floor-U'!$A$4:$A$40,'Floor-U'!$F$4:$F$40)*Flat!H$16)+(LOOKUP(Flat!H$2,'Wall-U'!$A$4:$A$40,'Wall-U'!$F$4:$F$40)*Flat!H$13)+(LOOKUP(Flat!H$2,'Window-U'!$A$4:$A$40,'Window-U'!$S$4:$S$40)*Flat!H$22))*H70</f>
        <v>3533.2705795445268</v>
      </c>
      <c r="I72" s="177">
        <f>((LOOKUP(Flat!I$2,'Ceiling-U'!$A$4:$A$40,'Ceiling-U'!$F$4:$F$40)*Flat!I$15)+(LOOKUP(Flat!I$2,'Floor-U'!$A$4:$A$40,'Floor-U'!$F$4:$F$40)*Flat!I$16)+(LOOKUP(Flat!I$2,'Wall-U'!$A$4:$A$40,'Wall-U'!$F$4:$F$40)*Flat!I$13)+(LOOKUP(Flat!I$2,'Window-U'!$A$4:$A$40,'Window-U'!$S$4:$S$40)*Flat!I$22))*I70</f>
        <v>1219.4529477898259</v>
      </c>
      <c r="J72" s="177">
        <f>((LOOKUP(Flat!J$2,'Ceiling-U'!$A$4:$A$40,'Ceiling-U'!$F$4:$F$40)*Flat!J$15)+(LOOKUP(Flat!J$2,'Floor-U'!$A$4:$A$40,'Floor-U'!$F$4:$F$40)*Flat!J$16)+(LOOKUP(Flat!J$2,'Wall-U'!$A$4:$A$40,'Wall-U'!$F$4:$F$40)*Flat!J$13)+(LOOKUP(Flat!J$2,'Window-U'!$A$4:$A$40,'Window-U'!$S$4:$S$40)*Flat!J$22))*J70</f>
        <v>2048.1900240307718</v>
      </c>
      <c r="K72" s="177">
        <f>((LOOKUP(Flat!K$2,'Ceiling-U'!$A$4:$A$40,'Ceiling-U'!$F$4:$F$40)*Flat!K$15)+(LOOKUP(Flat!K$2,'Floor-U'!$A$4:$A$40,'Floor-U'!$F$4:$F$40)*Flat!K$16)+(LOOKUP(Flat!K$2,'Wall-U'!$A$4:$A$40,'Wall-U'!$F$4:$F$40)*Flat!K$13)+(LOOKUP(Flat!K$2,'Window-U'!$A$4:$A$40,'Window-U'!$S$4:$S$40)*Flat!K$22))*K70</f>
        <v>1722.8605410777513</v>
      </c>
      <c r="L72" s="177">
        <f>((LOOKUP(Flat!L$2,'Ceiling-U'!$A$4:$A$40,'Ceiling-U'!$F$4:$F$40)*Flat!L$15)+(LOOKUP(Flat!L$2,'Floor-U'!$A$4:$A$40,'Floor-U'!$F$4:$F$40)*Flat!L$16)+(LOOKUP(Flat!L$2,'Wall-U'!$A$4:$A$40,'Wall-U'!$F$4:$F$40)*Flat!L$13)+(LOOKUP(Flat!L$2,'Window-U'!$A$4:$A$40,'Window-U'!$S$4:$S$40)*Flat!L$22))*L70</f>
        <v>654.52600802657844</v>
      </c>
      <c r="M72" s="177">
        <f>((LOOKUP(Flat!M$2,'Ceiling-U'!$A$4:$A$40,'Ceiling-U'!$F$4:$F$40)*Flat!M$15)+(LOOKUP(Flat!M$2,'Floor-U'!$A$4:$A$40,'Floor-U'!$F$4:$F$40)*Flat!M$16)+(LOOKUP(Flat!M$2,'Wall-U'!$A$4:$A$40,'Wall-U'!$F$4:$F$40)*Flat!M$13)+(LOOKUP(Flat!M$2,'Window-U'!$A$4:$A$40,'Window-U'!$S$4:$S$40)*Flat!M$22))*M70</f>
        <v>2393.3001933104579</v>
      </c>
      <c r="N72" s="177">
        <f>((LOOKUP(Flat!N$2,'Ceiling-U'!$A$4:$A$40,'Ceiling-U'!$F$4:$F$40)*Flat!N$15)+(LOOKUP(Flat!N$2,'Floor-U'!$A$4:$A$40,'Floor-U'!$F$4:$F$40)*Flat!N$16)+(LOOKUP(Flat!N$2,'Wall-U'!$A$4:$A$40,'Wall-U'!$F$4:$F$40)*Flat!N$13)+(LOOKUP(Flat!N$2,'Window-U'!$A$4:$A$40,'Window-U'!$S$4:$S$40)*Flat!N$22))*N70</f>
        <v>1411.9014432039564</v>
      </c>
      <c r="O72" s="177">
        <f>((LOOKUP(Flat!O$2,'Ceiling-U'!$A$4:$A$40,'Ceiling-U'!$F$4:$F$40)*Flat!O$15)+(LOOKUP(Flat!O$2,'Floor-U'!$A$4:$A$40,'Floor-U'!$F$4:$F$40)*Flat!O$16)+(LOOKUP(Flat!O$2,'Wall-U'!$A$4:$A$40,'Wall-U'!$F$4:$F$40)*Flat!O$13)+(LOOKUP(Flat!O$2,'Window-U'!$A$4:$A$40,'Window-U'!$S$4:$S$40)*Flat!O$22))*O70</f>
        <v>3704.6577587770544</v>
      </c>
      <c r="P72" s="177">
        <f>((LOOKUP(Flat!P$2,'Ceiling-U'!$A$4:$A$40,'Ceiling-U'!$F$4:$F$40)*Flat!P$15)+(LOOKUP(Flat!P$2,'Floor-U'!$A$4:$A$40,'Floor-U'!$F$4:$F$40)*Flat!P$16)+(LOOKUP(Flat!P$2,'Wall-U'!$A$4:$A$40,'Wall-U'!$F$4:$F$40)*Flat!P$13)+(LOOKUP(Flat!P$2,'Window-U'!$A$4:$A$40,'Window-U'!$S$4:$S$40)*Flat!P$22))*P70</f>
        <v>2540.7934065809659</v>
      </c>
      <c r="Q72" s="177">
        <f>((LOOKUP(Flat!Q$2,'Ceiling-U'!$A$4:$A$40,'Ceiling-U'!$F$4:$F$40)*Flat!Q$15)+(LOOKUP(Flat!Q$2,'Floor-U'!$A$4:$A$40,'Floor-U'!$F$4:$F$40)*Flat!Q$16)+(LOOKUP(Flat!Q$2,'Wall-U'!$A$4:$A$40,'Wall-U'!$F$4:$F$40)*Flat!Q$13)+(LOOKUP(Flat!Q$2,'Window-U'!$A$4:$A$40,'Window-U'!$S$4:$S$40)*Flat!Q$22))*Q70</f>
        <v>2045.9141096952026</v>
      </c>
      <c r="R72" s="177">
        <f>((LOOKUP(Flat!R$2,'Ceiling-U'!$A$4:$A$40,'Ceiling-U'!$F$4:$F$40)*Flat!R$15)+(LOOKUP(Flat!R$2,'Floor-U'!$A$4:$A$40,'Floor-U'!$F$4:$F$40)*Flat!R$16)+(LOOKUP(Flat!R$2,'Wall-U'!$A$4:$A$40,'Wall-U'!$F$4:$F$40)*Flat!R$13)+(LOOKUP(Flat!R$2,'Window-U'!$A$4:$A$40,'Window-U'!$S$4:$S$40)*Flat!R$22))*R70</f>
        <v>1831.9230832020107</v>
      </c>
      <c r="S72" s="177">
        <f>((LOOKUP(Flat!S$2,'Ceiling-U'!$A$4:$A$40,'Ceiling-U'!$F$4:$F$40)*Flat!S$15)+(LOOKUP(Flat!S$2,'Floor-U'!$A$4:$A$40,'Floor-U'!$F$4:$F$40)*Flat!S$16)+(LOOKUP(Flat!S$2,'Wall-U'!$A$4:$A$40,'Wall-U'!$F$4:$F$40)*Flat!S$13)+(LOOKUP(Flat!S$2,'Window-U'!$A$4:$A$40,'Window-U'!$S$4:$S$40)*Flat!S$22))*S70</f>
        <v>6660.5948483949878</v>
      </c>
      <c r="T72" s="177">
        <f>((LOOKUP(Flat!T$2,'Ceiling-U'!$A$4:$A$40,'Ceiling-U'!$F$4:$F$40)*Flat!T$15)+(LOOKUP(Flat!T$2,'Floor-U'!$A$4:$A$40,'Floor-U'!$F$4:$F$40)*Flat!T$16)+(LOOKUP(Flat!T$2,'Wall-U'!$A$4:$A$40,'Wall-U'!$F$4:$F$40)*Flat!T$13)+(LOOKUP(Flat!T$2,'Window-U'!$A$4:$A$40,'Window-U'!$S$4:$S$40)*Flat!T$22))*T70</f>
        <v>788.49689827887084</v>
      </c>
      <c r="U72" s="177">
        <f>((LOOKUP(Flat!U$2,'Ceiling-U'!$A$4:$A$40,'Ceiling-U'!$F$4:$F$40)*Flat!U$15)+(LOOKUP(Flat!U$2,'Floor-U'!$A$4:$A$40,'Floor-U'!$F$4:$F$40)*Flat!U$16)+(LOOKUP(Flat!U$2,'Wall-U'!$A$4:$A$40,'Wall-U'!$F$4:$F$40)*Flat!U$13)+(LOOKUP(Flat!U$2,'Window-U'!$A$4:$A$40,'Window-U'!$S$4:$S$40)*Flat!U$22))*U70</f>
        <v>3198.9173450218541</v>
      </c>
      <c r="V72" s="177">
        <f>((LOOKUP(Flat!V$2,'Ceiling-U'!$A$4:$A$40,'Ceiling-U'!$F$4:$F$40)*Flat!V$15)+(LOOKUP(Flat!V$2,'Floor-U'!$A$4:$A$40,'Floor-U'!$F$4:$F$40)*Flat!V$16)+(LOOKUP(Flat!V$2,'Wall-U'!$A$4:$A$40,'Wall-U'!$F$4:$F$40)*Flat!V$13)+(LOOKUP(Flat!V$2,'Window-U'!$A$4:$A$40,'Window-U'!$S$4:$S$40)*Flat!V$22))*V70</f>
        <v>1310.067104576633</v>
      </c>
      <c r="W72" s="177">
        <f>((LOOKUP(Flat!W$2,'Ceiling-U'!$A$4:$A$40,'Ceiling-U'!$F$4:$F$40)*Flat!W$15)+(LOOKUP(Flat!W$2,'Floor-U'!$A$4:$A$40,'Floor-U'!$F$4:$F$40)*Flat!W$16)+(LOOKUP(Flat!W$2,'Wall-U'!$A$4:$A$40,'Wall-U'!$F$4:$F$40)*Flat!W$13)+(LOOKUP(Flat!W$2,'Window-U'!$A$4:$A$40,'Window-U'!$S$4:$S$40)*Flat!W$22))*W70</f>
        <v>2655.7846828340344</v>
      </c>
      <c r="X72" s="177">
        <f>((LOOKUP(Flat!X$2,'Ceiling-U'!$A$4:$A$40,'Ceiling-U'!$F$4:$F$40)*Flat!X$15)+(LOOKUP(Flat!X$2,'Floor-U'!$A$4:$A$40,'Floor-U'!$F$4:$F$40)*Flat!X$16)+(LOOKUP(Flat!X$2,'Wall-U'!$A$4:$A$40,'Wall-U'!$F$4:$F$40)*Flat!X$13)+(LOOKUP(Flat!X$2,'Window-U'!$A$4:$A$40,'Window-U'!$S$4:$S$40)*Flat!X$22))*X70</f>
        <v>1363.3433489193808</v>
      </c>
      <c r="Y72" s="177">
        <f>((LOOKUP(Flat!Y$2,'Ceiling-U'!$A$4:$A$40,'Ceiling-U'!$F$4:$F$40)*Flat!Y$15)+(LOOKUP(Flat!Y$2,'Floor-U'!$A$4:$A$40,'Floor-U'!$F$4:$F$40)*Flat!Y$16)+(LOOKUP(Flat!Y$2,'Wall-U'!$A$4:$A$40,'Wall-U'!$F$4:$F$40)*Flat!Y$13)+(LOOKUP(Flat!Y$2,'Window-U'!$A$4:$A$40,'Window-U'!$S$4:$S$40)*Flat!Y$22))*Y70</f>
        <v>4884.9963363246898</v>
      </c>
      <c r="Z72" s="177">
        <f>((LOOKUP(Flat!Z$2,'Ceiling-U'!$A$4:$A$40,'Ceiling-U'!$F$4:$F$40)*Flat!Z$15)+(LOOKUP(Flat!Z$2,'Floor-U'!$A$4:$A$40,'Floor-U'!$F$4:$F$40)*Flat!Z$16)+(LOOKUP(Flat!Z$2,'Wall-U'!$A$4:$A$40,'Wall-U'!$F$4:$F$40)*Flat!Z$13)+(LOOKUP(Flat!Z$2,'Window-U'!$A$4:$A$40,'Window-U'!$S$4:$S$40)*Flat!Z$22))*Z70</f>
        <v>2457.8209152151089</v>
      </c>
      <c r="AA72" s="177">
        <f>((LOOKUP(Flat!AA$2,'Ceiling-U'!$A$4:$A$40,'Ceiling-U'!$F$4:$F$40)*Flat!AA$15)+(LOOKUP(Flat!AA$2,'Floor-U'!$A$4:$A$40,'Floor-U'!$F$4:$F$40)*Flat!AA$16)+(LOOKUP(Flat!AA$2,'Wall-U'!$A$4:$A$40,'Wall-U'!$F$4:$F$40)*Flat!AA$13)+(LOOKUP(Flat!AA$2,'Window-U'!$A$4:$A$40,'Window-U'!$S$4:$S$40)*Flat!AA$22))*AA70</f>
        <v>754.23283507138967</v>
      </c>
      <c r="AB72" s="177">
        <f>((LOOKUP(Flat!AB$2,'Ceiling-U'!$A$4:$A$40,'Ceiling-U'!$F$4:$F$40)*Flat!AB$15)+(LOOKUP(Flat!AB$2,'Floor-U'!$A$4:$A$40,'Floor-U'!$F$4:$F$40)*Flat!AB$16)+(LOOKUP(Flat!AB$2,'Wall-U'!$A$4:$A$40,'Wall-U'!$F$4:$F$40)*Flat!AB$13)+(LOOKUP(Flat!AB$2,'Window-U'!$A$4:$A$40,'Window-U'!$S$4:$S$40)*Flat!AB$22))*AB70</f>
        <v>2020.929361188973</v>
      </c>
      <c r="AC72" s="177">
        <f>((LOOKUP(Flat!AC$2,'Ceiling-U'!$A$4:$A$40,'Ceiling-U'!$F$4:$F$40)*Flat!AC$15)+(LOOKUP(Flat!AC$2,'Floor-U'!$A$4:$A$40,'Floor-U'!$F$4:$F$40)*Flat!AC$16)+(LOOKUP(Flat!AC$2,'Wall-U'!$A$4:$A$40,'Wall-U'!$F$4:$F$40)*Flat!AC$13)+(LOOKUP(Flat!AC$2,'Window-U'!$A$4:$A$40,'Window-U'!$S$4:$S$40)*Flat!AC$22))*AC70</f>
        <v>3565.9981382982623</v>
      </c>
      <c r="AD72" s="177">
        <f>((LOOKUP(Flat!AD$2,'Ceiling-U'!$A$4:$A$40,'Ceiling-U'!$F$4:$F$40)*Flat!AD$15)+(LOOKUP(Flat!AD$2,'Floor-U'!$A$4:$A$40,'Floor-U'!$F$4:$F$40)*Flat!AD$16)+(LOOKUP(Flat!AD$2,'Wall-U'!$A$4:$A$40,'Wall-U'!$F$4:$F$40)*Flat!AD$13)+(LOOKUP(Flat!AD$2,'Window-U'!$A$4:$A$40,'Window-U'!$S$4:$S$40)*Flat!AD$22))*AD70</f>
        <v>4904.1333412497461</v>
      </c>
      <c r="AE72" s="177">
        <f>((LOOKUP(Flat!AE$2,'Ceiling-U'!$A$4:$A$40,'Ceiling-U'!$F$4:$F$40)*Flat!AE$15)+(LOOKUP(Flat!AE$2,'Floor-U'!$A$4:$A$40,'Floor-U'!$F$4:$F$40)*Flat!AE$16)+(LOOKUP(Flat!AE$2,'Wall-U'!$A$4:$A$40,'Wall-U'!$F$4:$F$40)*Flat!AE$13)+(LOOKUP(Flat!AE$2,'Window-U'!$A$4:$A$40,'Window-U'!$S$4:$S$40)*Flat!AE$22))*AE70</f>
        <v>754.23283507138967</v>
      </c>
      <c r="AF72" s="177">
        <f>((LOOKUP(Flat!AF$2,'Ceiling-U'!$A$4:$A$40,'Ceiling-U'!$F$4:$F$40)*Flat!AF$15)+(LOOKUP(Flat!AF$2,'Floor-U'!$A$4:$A$40,'Floor-U'!$F$4:$F$40)*Flat!AF$16)+(LOOKUP(Flat!AF$2,'Wall-U'!$A$4:$A$40,'Wall-U'!$F$4:$F$40)*Flat!AF$13)+(LOOKUP(Flat!AF$2,'Window-U'!$A$4:$A$40,'Window-U'!$S$4:$S$40)*Flat!AF$22))*AF70</f>
        <v>1773.6816839383105</v>
      </c>
      <c r="AG72" s="177">
        <f>((LOOKUP(Flat!AG$2,'Ceiling-U'!$A$4:$A$40,'Ceiling-U'!$F$4:$F$40)*Flat!AG$15)+(LOOKUP(Flat!AG$2,'Floor-U'!$A$4:$A$40,'Floor-U'!$F$4:$F$40)*Flat!AG$16)+(LOOKUP(Flat!AG$2,'Wall-U'!$A$4:$A$40,'Wall-U'!$F$4:$F$40)*Flat!AG$13)+(LOOKUP(Flat!AG$2,'Window-U'!$A$4:$A$40,'Window-U'!$S$4:$S$40)*Flat!AG$22))*AG70</f>
        <v>1934.3886665187008</v>
      </c>
      <c r="AH72" s="177">
        <f>((LOOKUP(Flat!AH$2,'Ceiling-U'!$A$4:$A$40,'Ceiling-U'!$F$4:$F$40)*Flat!AH$15)+(LOOKUP(Flat!AH$2,'Floor-U'!$A$4:$A$40,'Floor-U'!$F$4:$F$40)*Flat!AH$16)+(LOOKUP(Flat!AH$2,'Wall-U'!$A$4:$A$40,'Wall-U'!$F$4:$F$40)*Flat!AH$13)+(LOOKUP(Flat!AH$2,'Window-U'!$A$4:$A$40,'Window-U'!$S$4:$S$40)*Flat!AH$22))*AH70</f>
        <v>5771.5105908567975</v>
      </c>
      <c r="AI72" s="177">
        <f>((LOOKUP(Flat!AI$2,'Ceiling-U'!$A$4:$A$40,'Ceiling-U'!$F$4:$F$40)*Flat!AI$15)+(LOOKUP(Flat!AI$2,'Floor-U'!$A$4:$A$40,'Floor-U'!$F$4:$F$40)*Flat!AI$16)+(LOOKUP(Flat!AI$2,'Wall-U'!$A$4:$A$40,'Wall-U'!$F$4:$F$40)*Flat!AI$13)+(LOOKUP(Flat!AI$2,'Window-U'!$A$4:$A$40,'Window-U'!$S$4:$S$40)*Flat!AI$22))*AI70</f>
        <v>3987.7548853856492</v>
      </c>
      <c r="AJ72" s="177">
        <f>((LOOKUP(Flat!AJ$2,'Ceiling-U'!$A$4:$A$40,'Ceiling-U'!$F$4:$F$40)*Flat!AJ$15)+(LOOKUP(Flat!AJ$2,'Floor-U'!$A$4:$A$40,'Floor-U'!$F$4:$F$40)*Flat!AJ$16)+(LOOKUP(Flat!AJ$2,'Wall-U'!$A$4:$A$40,'Wall-U'!$F$4:$F$40)*Flat!AJ$13)+(LOOKUP(Flat!AJ$2,'Window-U'!$A$4:$A$40,'Window-U'!$S$4:$S$40)*Flat!AJ$22))*AJ70</f>
        <v>2039.0645369594822</v>
      </c>
      <c r="AK72" s="177">
        <f>((LOOKUP(Flat!AK$2,'Ceiling-U'!$A$4:$A$40,'Ceiling-U'!$F$4:$F$40)*Flat!AK$15)+(LOOKUP(Flat!AK$2,'Floor-U'!$A$4:$A$40,'Floor-U'!$F$4:$F$40)*Flat!AK$16)+(LOOKUP(Flat!AK$2,'Wall-U'!$A$4:$A$40,'Wall-U'!$F$4:$F$40)*Flat!AK$13)+(LOOKUP(Flat!AK$2,'Window-U'!$A$4:$A$40,'Window-U'!$S$4:$S$40)*Flat!AK$22))*AK70</f>
        <v>2222.9984471859962</v>
      </c>
      <c r="AL72" s="177">
        <f>((LOOKUP(Flat!AL$2,'Ceiling-U'!$A$4:$A$40,'Ceiling-U'!$F$4:$F$40)*Flat!AL$15)+(LOOKUP(Flat!AL$2,'Floor-U'!$A$4:$A$40,'Floor-U'!$F$4:$F$40)*Flat!AL$16)+(LOOKUP(Flat!AL$2,'Wall-U'!$A$4:$A$40,'Wall-U'!$F$4:$F$40)*Flat!AL$13)+(LOOKUP(Flat!AL$2,'Window-U'!$A$4:$A$40,'Window-U'!$S$4:$S$40)*Flat!AL$22))*AL70</f>
        <v>2247.8929261710114</v>
      </c>
      <c r="AM72" s="177">
        <f>((LOOKUP(Flat!AM$2,'Ceiling-U'!$A$4:$A$40,'Ceiling-U'!$F$4:$F$40)*Flat!AM$15)+(LOOKUP(Flat!AM$2,'Floor-U'!$A$4:$A$40,'Floor-U'!$F$4:$F$40)*Flat!AM$16)+(LOOKUP(Flat!AM$2,'Wall-U'!$A$4:$A$40,'Wall-U'!$F$4:$F$40)*Flat!AM$13)+(LOOKUP(Flat!AM$2,'Window-U'!$A$4:$A$40,'Window-U'!$S$4:$S$40)*Flat!AM$22))*AM70</f>
        <v>2039.0645369594822</v>
      </c>
      <c r="AN72" s="178">
        <f>((LOOKUP(Flat!AN$2,'Ceiling-U'!$A$4:$A$40,'Ceiling-U'!$F$4:$F$40)*Flat!AN$15)+(LOOKUP(Flat!AN$2,'Floor-U'!$A$4:$A$40,'Floor-U'!$F$4:$F$40)*Flat!AN$16)+(LOOKUP(Flat!AN$2,'Wall-U'!$A$4:$A$40,'Wall-U'!$F$4:$F$40)*Flat!AN$13)+(LOOKUP(Flat!AN$2,'Window-U'!$A$4:$A$40,'Window-U'!$S$4:$S$40)*Flat!AN$22))*AN70</f>
        <v>2039.0645369594822</v>
      </c>
    </row>
    <row r="73" spans="1:40" s="5" customFormat="1">
      <c r="A73" s="372"/>
      <c r="B73" s="142" t="s">
        <v>4</v>
      </c>
      <c r="C73" s="131" t="s">
        <v>195</v>
      </c>
      <c r="D73" s="176">
        <f>((LOOKUP(Flat!D$2,'Ceiling-U'!$A$4:$A$40,'Ceiling-U'!$G$4:$G$40)*Flat!D$15)+(LOOKUP(Flat!D$2,'Floor-U'!$A$4:$A$40,'Floor-U'!$G$4:$G$40)*Flat!D$16)+(LOOKUP(Flat!D$2,'Wall-U'!$A$4:$A$40,'Wall-U'!$G$4:$G$40)*Flat!D$13)+(LOOKUP(Flat!D$2,'Window-U'!$A$4:$A$40,'Window-U'!$S$4:$S$40)*Flat!D$22))*D70</f>
        <v>1566.4783637341993</v>
      </c>
      <c r="E73" s="177">
        <f>((LOOKUP(Flat!E$2,'Ceiling-U'!$A$4:$A$40,'Ceiling-U'!$G$4:$G$40)*Flat!E$15)+(LOOKUP(Flat!E$2,'Floor-U'!$A$4:$A$40,'Floor-U'!$G$4:$G$40)*Flat!E$16)+(LOOKUP(Flat!E$2,'Wall-U'!$A$4:$A$40,'Wall-U'!$G$4:$G$40)*Flat!E$13)+(LOOKUP(Flat!E$2,'Window-U'!$A$4:$A$40,'Window-U'!$S$4:$S$40)*Flat!E$22))*E70</f>
        <v>2852.4059714657665</v>
      </c>
      <c r="F73" s="177">
        <f>((LOOKUP(Flat!F$2,'Ceiling-U'!$A$4:$A$40,'Ceiling-U'!$G$4:$G$40)*Flat!F$15)+(LOOKUP(Flat!F$2,'Floor-U'!$A$4:$A$40,'Floor-U'!$G$4:$G$40)*Flat!F$16)+(LOOKUP(Flat!F$2,'Wall-U'!$A$4:$A$40,'Wall-U'!$G$4:$G$40)*Flat!F$13)+(LOOKUP(Flat!F$2,'Window-U'!$A$4:$A$40,'Window-U'!$S$4:$S$40)*Flat!F$22))*F70</f>
        <v>3223.1224187795474</v>
      </c>
      <c r="G73" s="177">
        <f>((LOOKUP(Flat!G$2,'Ceiling-U'!$A$4:$A$40,'Ceiling-U'!$G$4:$G$40)*Flat!G$15)+(LOOKUP(Flat!G$2,'Floor-U'!$A$4:$A$40,'Floor-U'!$G$4:$G$40)*Flat!G$16)+(LOOKUP(Flat!G$2,'Wall-U'!$A$4:$A$40,'Wall-U'!$G$4:$G$40)*Flat!G$13)+(LOOKUP(Flat!G$2,'Window-U'!$A$4:$A$40,'Window-U'!$S$4:$S$40)*Flat!G$22))*G70</f>
        <v>1566.4783637341993</v>
      </c>
      <c r="H73" s="177">
        <f>((LOOKUP(Flat!H$2,'Ceiling-U'!$A$4:$A$40,'Ceiling-U'!$G$4:$G$40)*Flat!H$15)+(LOOKUP(Flat!H$2,'Floor-U'!$A$4:$A$40,'Floor-U'!$G$4:$G$40)*Flat!H$16)+(LOOKUP(Flat!H$2,'Wall-U'!$A$4:$A$40,'Wall-U'!$G$4:$G$40)*Flat!H$13)+(LOOKUP(Flat!H$2,'Window-U'!$A$4:$A$40,'Window-U'!$S$4:$S$40)*Flat!H$22))*H70</f>
        <v>3123.9951321300236</v>
      </c>
      <c r="I73" s="177">
        <f>((LOOKUP(Flat!I$2,'Ceiling-U'!$A$4:$A$40,'Ceiling-U'!$G$4:$G$40)*Flat!I$15)+(LOOKUP(Flat!I$2,'Floor-U'!$A$4:$A$40,'Floor-U'!$G$4:$G$40)*Flat!I$16)+(LOOKUP(Flat!I$2,'Wall-U'!$A$4:$A$40,'Wall-U'!$G$4:$G$40)*Flat!I$13)+(LOOKUP(Flat!I$2,'Window-U'!$A$4:$A$40,'Window-U'!$S$4:$S$40)*Flat!I$22))*I70</f>
        <v>1219.4529477898259</v>
      </c>
      <c r="J73" s="177">
        <f>((LOOKUP(Flat!J$2,'Ceiling-U'!$A$4:$A$40,'Ceiling-U'!$G$4:$G$40)*Flat!J$15)+(LOOKUP(Flat!J$2,'Floor-U'!$A$4:$A$40,'Floor-U'!$G$4:$G$40)*Flat!J$16)+(LOOKUP(Flat!J$2,'Wall-U'!$A$4:$A$40,'Wall-U'!$G$4:$G$40)*Flat!J$13)+(LOOKUP(Flat!J$2,'Window-U'!$A$4:$A$40,'Window-U'!$S$4:$S$40)*Flat!J$22))*J70</f>
        <v>1169.9943887198524</v>
      </c>
      <c r="K73" s="177">
        <f>((LOOKUP(Flat!K$2,'Ceiling-U'!$A$4:$A$40,'Ceiling-U'!$G$4:$G$40)*Flat!K$15)+(LOOKUP(Flat!K$2,'Floor-U'!$A$4:$A$40,'Floor-U'!$G$4:$G$40)*Flat!K$16)+(LOOKUP(Flat!K$2,'Wall-U'!$A$4:$A$40,'Wall-U'!$G$4:$G$40)*Flat!K$13)+(LOOKUP(Flat!K$2,'Window-U'!$A$4:$A$40,'Window-U'!$S$4:$S$40)*Flat!K$22))*K70</f>
        <v>1042.2239825036449</v>
      </c>
      <c r="L73" s="177">
        <f>((LOOKUP(Flat!L$2,'Ceiling-U'!$A$4:$A$40,'Ceiling-U'!$G$4:$G$40)*Flat!L$15)+(LOOKUP(Flat!L$2,'Floor-U'!$A$4:$A$40,'Floor-U'!$G$4:$G$40)*Flat!L$16)+(LOOKUP(Flat!L$2,'Wall-U'!$A$4:$A$40,'Wall-U'!$G$4:$G$40)*Flat!L$13)+(LOOKUP(Flat!L$2,'Window-U'!$A$4:$A$40,'Window-U'!$S$4:$S$40)*Flat!L$22))*L70</f>
        <v>492.7677188245176</v>
      </c>
      <c r="M73" s="177">
        <f>((LOOKUP(Flat!M$2,'Ceiling-U'!$A$4:$A$40,'Ceiling-U'!$G$4:$G$40)*Flat!M$15)+(LOOKUP(Flat!M$2,'Floor-U'!$A$4:$A$40,'Floor-U'!$G$4:$G$40)*Flat!M$16)+(LOOKUP(Flat!M$2,'Wall-U'!$A$4:$A$40,'Wall-U'!$G$4:$G$40)*Flat!M$13)+(LOOKUP(Flat!M$2,'Window-U'!$A$4:$A$40,'Window-U'!$S$4:$S$40)*Flat!M$22))*M70</f>
        <v>2393.3001933104579</v>
      </c>
      <c r="N73" s="177">
        <f>((LOOKUP(Flat!N$2,'Ceiling-U'!$A$4:$A$40,'Ceiling-U'!$G$4:$G$40)*Flat!N$15)+(LOOKUP(Flat!N$2,'Floor-U'!$A$4:$A$40,'Floor-U'!$G$4:$G$40)*Flat!N$16)+(LOOKUP(Flat!N$2,'Wall-U'!$A$4:$A$40,'Wall-U'!$G$4:$G$40)*Flat!N$13)+(LOOKUP(Flat!N$2,'Window-U'!$A$4:$A$40,'Window-U'!$S$4:$S$40)*Flat!N$22))*N70</f>
        <v>1110.9626508885756</v>
      </c>
      <c r="O73" s="177">
        <f>((LOOKUP(Flat!O$2,'Ceiling-U'!$A$4:$A$40,'Ceiling-U'!$G$4:$G$40)*Flat!O$15)+(LOOKUP(Flat!O$2,'Floor-U'!$A$4:$A$40,'Floor-U'!$G$4:$G$40)*Flat!O$16)+(LOOKUP(Flat!O$2,'Wall-U'!$A$4:$A$40,'Wall-U'!$G$4:$G$40)*Flat!O$13)+(LOOKUP(Flat!O$2,'Window-U'!$A$4:$A$40,'Window-U'!$S$4:$S$40)*Flat!O$22))*O70</f>
        <v>1468.8028058608215</v>
      </c>
      <c r="P73" s="177">
        <f>((LOOKUP(Flat!P$2,'Ceiling-U'!$A$4:$A$40,'Ceiling-U'!$G$4:$G$40)*Flat!P$15)+(LOOKUP(Flat!P$2,'Floor-U'!$A$4:$A$40,'Floor-U'!$G$4:$G$40)*Flat!P$16)+(LOOKUP(Flat!P$2,'Wall-U'!$A$4:$A$40,'Wall-U'!$G$4:$G$40)*Flat!P$13)+(LOOKUP(Flat!P$2,'Window-U'!$A$4:$A$40,'Window-U'!$S$4:$S$40)*Flat!P$22))*P70</f>
        <v>2540.7934065809659</v>
      </c>
      <c r="Q73" s="177">
        <f>((LOOKUP(Flat!Q$2,'Ceiling-U'!$A$4:$A$40,'Ceiling-U'!$G$4:$G$40)*Flat!Q$15)+(LOOKUP(Flat!Q$2,'Floor-U'!$A$4:$A$40,'Floor-U'!$G$4:$G$40)*Flat!Q$16)+(LOOKUP(Flat!Q$2,'Wall-U'!$A$4:$A$40,'Wall-U'!$G$4:$G$40)*Flat!Q$13)+(LOOKUP(Flat!Q$2,'Window-U'!$A$4:$A$40,'Window-U'!$S$4:$S$40)*Flat!Q$22))*Q70</f>
        <v>1857.7372299722324</v>
      </c>
      <c r="R73" s="177">
        <f>((LOOKUP(Flat!R$2,'Ceiling-U'!$A$4:$A$40,'Ceiling-U'!$G$4:$G$40)*Flat!R$15)+(LOOKUP(Flat!R$2,'Floor-U'!$A$4:$A$40,'Floor-U'!$G$4:$G$40)*Flat!R$16)+(LOOKUP(Flat!R$2,'Wall-U'!$A$4:$A$40,'Wall-U'!$G$4:$G$40)*Flat!R$13)+(LOOKUP(Flat!R$2,'Window-U'!$A$4:$A$40,'Window-U'!$S$4:$S$40)*Flat!R$22))*R70</f>
        <v>1521.7604045891337</v>
      </c>
      <c r="S73" s="177">
        <f>((LOOKUP(Flat!S$2,'Ceiling-U'!$A$4:$A$40,'Ceiling-U'!$G$4:$G$40)*Flat!S$15)+(LOOKUP(Flat!S$2,'Floor-U'!$A$4:$A$40,'Floor-U'!$G$4:$G$40)*Flat!S$16)+(LOOKUP(Flat!S$2,'Wall-U'!$A$4:$A$40,'Wall-U'!$G$4:$G$40)*Flat!S$13)+(LOOKUP(Flat!S$2,'Window-U'!$A$4:$A$40,'Window-U'!$S$4:$S$40)*Flat!S$22))*S70</f>
        <v>5620.8763534463797</v>
      </c>
      <c r="T73" s="177">
        <f>((LOOKUP(Flat!T$2,'Ceiling-U'!$A$4:$A$40,'Ceiling-U'!$G$4:$G$40)*Flat!T$15)+(LOOKUP(Flat!T$2,'Floor-U'!$A$4:$A$40,'Floor-U'!$G$4:$G$40)*Flat!T$16)+(LOOKUP(Flat!T$2,'Wall-U'!$A$4:$A$40,'Wall-U'!$G$4:$G$40)*Flat!T$13)+(LOOKUP(Flat!T$2,'Window-U'!$A$4:$A$40,'Window-U'!$S$4:$S$40)*Flat!T$22))*T70</f>
        <v>606.19436393382614</v>
      </c>
      <c r="U73" s="177">
        <f>((LOOKUP(Flat!U$2,'Ceiling-U'!$A$4:$A$40,'Ceiling-U'!$G$4:$G$40)*Flat!U$15)+(LOOKUP(Flat!U$2,'Floor-U'!$A$4:$A$40,'Floor-U'!$G$4:$G$40)*Flat!U$16)+(LOOKUP(Flat!U$2,'Wall-U'!$A$4:$A$40,'Wall-U'!$G$4:$G$40)*Flat!U$13)+(LOOKUP(Flat!U$2,'Window-U'!$A$4:$A$40,'Window-U'!$S$4:$S$40)*Flat!U$22))*U70</f>
        <v>3103.5773450218539</v>
      </c>
      <c r="V73" s="177">
        <f>((LOOKUP(Flat!V$2,'Ceiling-U'!$A$4:$A$40,'Ceiling-U'!$G$4:$G$40)*Flat!V$15)+(LOOKUP(Flat!V$2,'Floor-U'!$A$4:$A$40,'Floor-U'!$G$4:$G$40)*Flat!V$16)+(LOOKUP(Flat!V$2,'Wall-U'!$A$4:$A$40,'Wall-U'!$G$4:$G$40)*Flat!V$13)+(LOOKUP(Flat!V$2,'Window-U'!$A$4:$A$40,'Window-U'!$S$4:$S$40)*Flat!V$22))*V70</f>
        <v>766.83049620361805</v>
      </c>
      <c r="W73" s="177">
        <f>((LOOKUP(Flat!W$2,'Ceiling-U'!$A$4:$A$40,'Ceiling-U'!$G$4:$G$40)*Flat!W$15)+(LOOKUP(Flat!W$2,'Floor-U'!$A$4:$A$40,'Floor-U'!$G$4:$G$40)*Flat!W$16)+(LOOKUP(Flat!W$2,'Wall-U'!$A$4:$A$40,'Wall-U'!$G$4:$G$40)*Flat!W$13)+(LOOKUP(Flat!W$2,'Window-U'!$A$4:$A$40,'Window-U'!$S$4:$S$40)*Flat!W$22))*W70</f>
        <v>1180.8875961245997</v>
      </c>
      <c r="X73" s="177">
        <f>((LOOKUP(Flat!X$2,'Ceiling-U'!$A$4:$A$40,'Ceiling-U'!$G$4:$G$40)*Flat!X$15)+(LOOKUP(Flat!X$2,'Floor-U'!$A$4:$A$40,'Floor-U'!$G$4:$G$40)*Flat!X$16)+(LOOKUP(Flat!X$2,'Wall-U'!$A$4:$A$40,'Wall-U'!$G$4:$G$40)*Flat!X$13)+(LOOKUP(Flat!X$2,'Window-U'!$A$4:$A$40,'Window-U'!$S$4:$S$40)*Flat!X$22))*X70</f>
        <v>1237.9140140274426</v>
      </c>
      <c r="Y73" s="177">
        <f>((LOOKUP(Flat!Y$2,'Ceiling-U'!$A$4:$A$40,'Ceiling-U'!$G$4:$G$40)*Flat!Y$15)+(LOOKUP(Flat!Y$2,'Floor-U'!$A$4:$A$40,'Floor-U'!$G$4:$G$40)*Flat!Y$16)+(LOOKUP(Flat!Y$2,'Wall-U'!$A$4:$A$40,'Wall-U'!$G$4:$G$40)*Flat!Y$13)+(LOOKUP(Flat!Y$2,'Window-U'!$A$4:$A$40,'Window-U'!$S$4:$S$40)*Flat!Y$22))*Y70</f>
        <v>3579.0815011183763</v>
      </c>
      <c r="Z73" s="177">
        <f>((LOOKUP(Flat!Z$2,'Ceiling-U'!$A$4:$A$40,'Ceiling-U'!$G$4:$G$40)*Flat!Z$15)+(LOOKUP(Flat!Z$2,'Floor-U'!$A$4:$A$40,'Floor-U'!$G$4:$G$40)*Flat!Z$16)+(LOOKUP(Flat!Z$2,'Wall-U'!$A$4:$A$40,'Wall-U'!$G$4:$G$40)*Flat!Z$13)+(LOOKUP(Flat!Z$2,'Window-U'!$A$4:$A$40,'Window-U'!$S$4:$S$40)*Flat!Z$22))*Z70</f>
        <v>2400.0915594151088</v>
      </c>
      <c r="AA73" s="177">
        <f>((LOOKUP(Flat!AA$2,'Ceiling-U'!$A$4:$A$40,'Ceiling-U'!$G$4:$G$40)*Flat!AA$15)+(LOOKUP(Flat!AA$2,'Floor-U'!$A$4:$A$40,'Floor-U'!$G$4:$G$40)*Flat!AA$16)+(LOOKUP(Flat!AA$2,'Wall-U'!$A$4:$A$40,'Wall-U'!$G$4:$G$40)*Flat!AA$13)+(LOOKUP(Flat!AA$2,'Window-U'!$A$4:$A$40,'Window-U'!$S$4:$S$40)*Flat!AA$22))*AA70</f>
        <v>441.89635159968213</v>
      </c>
      <c r="AB73" s="177">
        <f>((LOOKUP(Flat!AB$2,'Ceiling-U'!$A$4:$A$40,'Ceiling-U'!$G$4:$G$40)*Flat!AB$15)+(LOOKUP(Flat!AB$2,'Floor-U'!$A$4:$A$40,'Floor-U'!$G$4:$G$40)*Flat!AB$16)+(LOOKUP(Flat!AB$2,'Wall-U'!$A$4:$A$40,'Wall-U'!$G$4:$G$40)*Flat!AB$13)+(LOOKUP(Flat!AB$2,'Window-U'!$A$4:$A$40,'Window-U'!$S$4:$S$40)*Flat!AB$22))*AB70</f>
        <v>1315.5742330699795</v>
      </c>
      <c r="AC73" s="177">
        <f>((LOOKUP(Flat!AC$2,'Ceiling-U'!$A$4:$A$40,'Ceiling-U'!$G$4:$G$40)*Flat!AC$15)+(LOOKUP(Flat!AC$2,'Floor-U'!$A$4:$A$40,'Floor-U'!$G$4:$G$40)*Flat!AC$16)+(LOOKUP(Flat!AC$2,'Wall-U'!$A$4:$A$40,'Wall-U'!$G$4:$G$40)*Flat!AC$13)+(LOOKUP(Flat!AC$2,'Window-U'!$A$4:$A$40,'Window-U'!$S$4:$S$40)*Flat!AC$22))*AC70</f>
        <v>3508.0020398982624</v>
      </c>
      <c r="AD73" s="177">
        <f>((LOOKUP(Flat!AD$2,'Ceiling-U'!$A$4:$A$40,'Ceiling-U'!$G$4:$G$40)*Flat!AD$15)+(LOOKUP(Flat!AD$2,'Floor-U'!$A$4:$A$40,'Floor-U'!$G$4:$G$40)*Flat!AD$16)+(LOOKUP(Flat!AD$2,'Wall-U'!$A$4:$A$40,'Wall-U'!$G$4:$G$40)*Flat!AD$13)+(LOOKUP(Flat!AD$2,'Window-U'!$A$4:$A$40,'Window-U'!$S$4:$S$40)*Flat!AD$22))*AD70</f>
        <v>4904.1333412497461</v>
      </c>
      <c r="AE73" s="177">
        <f>((LOOKUP(Flat!AE$2,'Ceiling-U'!$A$4:$A$40,'Ceiling-U'!$G$4:$G$40)*Flat!AE$15)+(LOOKUP(Flat!AE$2,'Floor-U'!$A$4:$A$40,'Floor-U'!$G$4:$G$40)*Flat!AE$16)+(LOOKUP(Flat!AE$2,'Wall-U'!$A$4:$A$40,'Wall-U'!$G$4:$G$40)*Flat!AE$13)+(LOOKUP(Flat!AE$2,'Window-U'!$A$4:$A$40,'Window-U'!$S$4:$S$40)*Flat!AE$22))*AE70</f>
        <v>441.89635159968213</v>
      </c>
      <c r="AF73" s="177">
        <f>((LOOKUP(Flat!AF$2,'Ceiling-U'!$A$4:$A$40,'Ceiling-U'!$G$4:$G$40)*Flat!AF$15)+(LOOKUP(Flat!AF$2,'Floor-U'!$A$4:$A$40,'Floor-U'!$G$4:$G$40)*Flat!AF$16)+(LOOKUP(Flat!AF$2,'Wall-U'!$A$4:$A$40,'Wall-U'!$G$4:$G$40)*Flat!AF$13)+(LOOKUP(Flat!AF$2,'Window-U'!$A$4:$A$40,'Window-U'!$S$4:$S$40)*Flat!AF$22))*AF70</f>
        <v>1696.3403774383105</v>
      </c>
      <c r="AG73" s="177">
        <f>((LOOKUP(Flat!AG$2,'Ceiling-U'!$A$4:$A$40,'Ceiling-U'!$G$4:$G$40)*Flat!AG$15)+(LOOKUP(Flat!AG$2,'Floor-U'!$A$4:$A$40,'Floor-U'!$G$4:$G$40)*Flat!AG$16)+(LOOKUP(Flat!AG$2,'Wall-U'!$A$4:$A$40,'Wall-U'!$G$4:$G$40)*Flat!AG$13)+(LOOKUP(Flat!AG$2,'Window-U'!$A$4:$A$40,'Window-U'!$S$4:$S$40)*Flat!AG$22))*AG70</f>
        <v>1934.3886665187008</v>
      </c>
      <c r="AH73" s="177">
        <f>((LOOKUP(Flat!AH$2,'Ceiling-U'!$A$4:$A$40,'Ceiling-U'!$G$4:$G$40)*Flat!AH$15)+(LOOKUP(Flat!AH$2,'Floor-U'!$A$4:$A$40,'Floor-U'!$G$4:$G$40)*Flat!AH$16)+(LOOKUP(Flat!AH$2,'Wall-U'!$A$4:$A$40,'Wall-U'!$G$4:$G$40)*Flat!AH$13)+(LOOKUP(Flat!AH$2,'Window-U'!$A$4:$A$40,'Window-U'!$S$4:$S$40)*Flat!AH$22))*AH70</f>
        <v>4516.3274574535399</v>
      </c>
      <c r="AI73" s="177">
        <f>((LOOKUP(Flat!AI$2,'Ceiling-U'!$A$4:$A$40,'Ceiling-U'!$G$4:$G$40)*Flat!AI$15)+(LOOKUP(Flat!AI$2,'Floor-U'!$A$4:$A$40,'Floor-U'!$G$4:$G$40)*Flat!AI$16)+(LOOKUP(Flat!AI$2,'Wall-U'!$A$4:$A$40,'Wall-U'!$G$4:$G$40)*Flat!AI$13)+(LOOKUP(Flat!AI$2,'Window-U'!$A$4:$A$40,'Window-U'!$S$4:$S$40)*Flat!AI$22))*AI70</f>
        <v>3987.7548853856492</v>
      </c>
      <c r="AJ73" s="177">
        <f>((LOOKUP(Flat!AJ$2,'Ceiling-U'!$A$4:$A$40,'Ceiling-U'!$G$4:$G$40)*Flat!AJ$15)+(LOOKUP(Flat!AJ$2,'Floor-U'!$A$4:$A$40,'Floor-U'!$G$4:$G$40)*Flat!AJ$16)+(LOOKUP(Flat!AJ$2,'Wall-U'!$A$4:$A$40,'Wall-U'!$G$4:$G$40)*Flat!AJ$13)+(LOOKUP(Flat!AJ$2,'Window-U'!$A$4:$A$40,'Window-U'!$S$4:$S$40)*Flat!AJ$22))*AJ70</f>
        <v>2039.0645369594822</v>
      </c>
      <c r="AK73" s="177">
        <f>((LOOKUP(Flat!AK$2,'Ceiling-U'!$A$4:$A$40,'Ceiling-U'!$G$4:$G$40)*Flat!AK$15)+(LOOKUP(Flat!AK$2,'Floor-U'!$A$4:$A$40,'Floor-U'!$G$4:$G$40)*Flat!AK$16)+(LOOKUP(Flat!AK$2,'Wall-U'!$A$4:$A$40,'Wall-U'!$G$4:$G$40)*Flat!AK$13)+(LOOKUP(Flat!AK$2,'Window-U'!$A$4:$A$40,'Window-U'!$S$4:$S$40)*Flat!AK$22))*AK70</f>
        <v>2222.9984471859962</v>
      </c>
      <c r="AL73" s="177">
        <f>((LOOKUP(Flat!AL$2,'Ceiling-U'!$A$4:$A$40,'Ceiling-U'!$G$4:$G$40)*Flat!AL$15)+(LOOKUP(Flat!AL$2,'Floor-U'!$A$4:$A$40,'Floor-U'!$G$4:$G$40)*Flat!AL$16)+(LOOKUP(Flat!AL$2,'Wall-U'!$A$4:$A$40,'Wall-U'!$G$4:$G$40)*Flat!AL$13)+(LOOKUP(Flat!AL$2,'Window-U'!$A$4:$A$40,'Window-U'!$S$4:$S$40)*Flat!AL$22))*AL70</f>
        <v>2083.6381553823644</v>
      </c>
      <c r="AM73" s="177">
        <f>((LOOKUP(Flat!AM$2,'Ceiling-U'!$A$4:$A$40,'Ceiling-U'!$G$4:$G$40)*Flat!AM$15)+(LOOKUP(Flat!AM$2,'Floor-U'!$A$4:$A$40,'Floor-U'!$G$4:$G$40)*Flat!AM$16)+(LOOKUP(Flat!AM$2,'Wall-U'!$A$4:$A$40,'Wall-U'!$G$4:$G$40)*Flat!AM$13)+(LOOKUP(Flat!AM$2,'Window-U'!$A$4:$A$40,'Window-U'!$S$4:$S$40)*Flat!AM$22))*AM70</f>
        <v>2039.0645369594822</v>
      </c>
      <c r="AN73" s="178">
        <f>((LOOKUP(Flat!AN$2,'Ceiling-U'!$A$4:$A$40,'Ceiling-U'!$G$4:$G$40)*Flat!AN$15)+(LOOKUP(Flat!AN$2,'Floor-U'!$A$4:$A$40,'Floor-U'!$G$4:$G$40)*Flat!AN$16)+(LOOKUP(Flat!AN$2,'Wall-U'!$A$4:$A$40,'Wall-U'!$G$4:$G$40)*Flat!AN$13)+(LOOKUP(Flat!AN$2,'Window-U'!$A$4:$A$40,'Window-U'!$S$4:$S$40)*Flat!AN$22))*AN70</f>
        <v>2039.0645369594822</v>
      </c>
    </row>
    <row r="74" spans="1:40" s="5" customFormat="1">
      <c r="A74" s="372"/>
      <c r="B74" s="142" t="s">
        <v>5</v>
      </c>
      <c r="C74" s="131" t="s">
        <v>195</v>
      </c>
      <c r="D74" s="176">
        <f>((LOOKUP(Flat!D$2,'Ceiling-U'!$A$4:$A$40,'Ceiling-U'!$H$4:$H$40)*Flat!D$15)+(LOOKUP(Flat!D$2,'Floor-U'!$A$4:$A$40,'Floor-U'!$H$4:$H$40)*Flat!D$16)+(LOOKUP(Flat!D$2,'Wall-U'!$A$4:$A$40,'Wall-U'!$H$4:$H$40)*Flat!D$13)+(LOOKUP(Flat!D$2,'Window-U'!$A$4:$A$40,'Window-U'!$S$4:$S$40)*Flat!D$22))*D70</f>
        <v>1027.8906885772296</v>
      </c>
      <c r="E74" s="177">
        <f>((LOOKUP(Flat!E$2,'Ceiling-U'!$A$4:$A$40,'Ceiling-U'!$H$4:$H$40)*Flat!E$15)+(LOOKUP(Flat!E$2,'Floor-U'!$A$4:$A$40,'Floor-U'!$H$4:$H$40)*Flat!E$16)+(LOOKUP(Flat!E$2,'Wall-U'!$A$4:$A$40,'Wall-U'!$H$4:$H$40)*Flat!E$13)+(LOOKUP(Flat!E$2,'Window-U'!$A$4:$A$40,'Window-U'!$S$4:$S$40)*Flat!E$22))*E70</f>
        <v>2364.4701865412972</v>
      </c>
      <c r="F74" s="177">
        <f>((LOOKUP(Flat!F$2,'Ceiling-U'!$A$4:$A$40,'Ceiling-U'!$H$4:$H$40)*Flat!F$15)+(LOOKUP(Flat!F$2,'Floor-U'!$A$4:$A$40,'Floor-U'!$H$4:$H$40)*Flat!F$16)+(LOOKUP(Flat!F$2,'Wall-U'!$A$4:$A$40,'Wall-U'!$H$4:$H$40)*Flat!F$13)+(LOOKUP(Flat!F$2,'Window-U'!$A$4:$A$40,'Window-U'!$S$4:$S$40)*Flat!F$22))*F70</f>
        <v>2643.3512994149373</v>
      </c>
      <c r="G74" s="177">
        <f>((LOOKUP(Flat!G$2,'Ceiling-U'!$A$4:$A$40,'Ceiling-U'!$H$4:$H$40)*Flat!G$15)+(LOOKUP(Flat!G$2,'Floor-U'!$A$4:$A$40,'Floor-U'!$H$4:$H$40)*Flat!G$16)+(LOOKUP(Flat!G$2,'Wall-U'!$A$4:$A$40,'Wall-U'!$H$4:$H$40)*Flat!G$13)+(LOOKUP(Flat!G$2,'Window-U'!$A$4:$A$40,'Window-U'!$S$4:$S$40)*Flat!G$22))*G70</f>
        <v>1027.8906885772296</v>
      </c>
      <c r="H74" s="177">
        <f>((LOOKUP(Flat!H$2,'Ceiling-U'!$A$4:$A$40,'Ceiling-U'!$H$4:$H$40)*Flat!H$15)+(LOOKUP(Flat!H$2,'Floor-U'!$A$4:$A$40,'Floor-U'!$H$4:$H$40)*Flat!H$16)+(LOOKUP(Flat!H$2,'Wall-U'!$A$4:$A$40,'Wall-U'!$H$4:$H$40)*Flat!H$13)+(LOOKUP(Flat!H$2,'Window-U'!$A$4:$A$40,'Window-U'!$S$4:$S$40)*Flat!H$22))*H70</f>
        <v>3036.3951321300242</v>
      </c>
      <c r="I74" s="177">
        <f>((LOOKUP(Flat!I$2,'Ceiling-U'!$A$4:$A$40,'Ceiling-U'!$H$4:$H$40)*Flat!I$15)+(LOOKUP(Flat!I$2,'Floor-U'!$A$4:$A$40,'Floor-U'!$H$4:$H$40)*Flat!I$16)+(LOOKUP(Flat!I$2,'Wall-U'!$A$4:$A$40,'Wall-U'!$H$4:$H$40)*Flat!I$13)+(LOOKUP(Flat!I$2,'Window-U'!$A$4:$A$40,'Window-U'!$S$4:$S$40)*Flat!I$22))*I70</f>
        <v>1060.4250772160974</v>
      </c>
      <c r="J74" s="177">
        <f>((LOOKUP(Flat!J$2,'Ceiling-U'!$A$4:$A$40,'Ceiling-U'!$H$4:$H$40)*Flat!J$15)+(LOOKUP(Flat!J$2,'Floor-U'!$A$4:$A$40,'Floor-U'!$H$4:$H$40)*Flat!J$16)+(LOOKUP(Flat!J$2,'Wall-U'!$A$4:$A$40,'Wall-U'!$H$4:$H$40)*Flat!J$13)+(LOOKUP(Flat!J$2,'Window-U'!$A$4:$A$40,'Window-U'!$S$4:$S$40)*Flat!J$22))*J70</f>
        <v>951.78561927067938</v>
      </c>
      <c r="K74" s="177">
        <f>((LOOKUP(Flat!K$2,'Ceiling-U'!$A$4:$A$40,'Ceiling-U'!$H$4:$H$40)*Flat!K$15)+(LOOKUP(Flat!K$2,'Floor-U'!$A$4:$A$40,'Floor-U'!$H$4:$H$40)*Flat!K$16)+(LOOKUP(Flat!K$2,'Wall-U'!$A$4:$A$40,'Wall-U'!$H$4:$H$40)*Flat!K$13)+(LOOKUP(Flat!K$2,'Window-U'!$A$4:$A$40,'Window-U'!$S$4:$S$40)*Flat!K$22))*K70</f>
        <v>806.73598750260351</v>
      </c>
      <c r="L74" s="177">
        <f>((LOOKUP(Flat!L$2,'Ceiling-U'!$A$4:$A$40,'Ceiling-U'!$H$4:$H$40)*Flat!L$15)+(LOOKUP(Flat!L$2,'Floor-U'!$A$4:$A$40,'Floor-U'!$H$4:$H$40)*Flat!L$16)+(LOOKUP(Flat!L$2,'Wall-U'!$A$4:$A$40,'Wall-U'!$H$4:$H$40)*Flat!L$13)+(LOOKUP(Flat!L$2,'Window-U'!$A$4:$A$40,'Window-U'!$S$4:$S$40)*Flat!L$22))*L70</f>
        <v>394.74756708439998</v>
      </c>
      <c r="M74" s="177">
        <f>((LOOKUP(Flat!M$2,'Ceiling-U'!$A$4:$A$40,'Ceiling-U'!$H$4:$H$40)*Flat!M$15)+(LOOKUP(Flat!M$2,'Floor-U'!$A$4:$A$40,'Floor-U'!$H$4:$H$40)*Flat!M$16)+(LOOKUP(Flat!M$2,'Wall-U'!$A$4:$A$40,'Wall-U'!$H$4:$H$40)*Flat!M$13)+(LOOKUP(Flat!M$2,'Window-U'!$A$4:$A$40,'Window-U'!$S$4:$S$40)*Flat!M$22))*M70</f>
        <v>1624.6874894219402</v>
      </c>
      <c r="N74" s="177">
        <f>((LOOKUP(Flat!N$2,'Ceiling-U'!$A$4:$A$40,'Ceiling-U'!$H$4:$H$40)*Flat!N$15)+(LOOKUP(Flat!N$2,'Floor-U'!$A$4:$A$40,'Floor-U'!$H$4:$H$40)*Flat!N$16)+(LOOKUP(Flat!N$2,'Wall-U'!$A$4:$A$40,'Wall-U'!$H$4:$H$40)*Flat!N$13)+(LOOKUP(Flat!N$2,'Window-U'!$A$4:$A$40,'Window-U'!$S$4:$S$40)*Flat!N$22))*N70</f>
        <v>889.15519877344195</v>
      </c>
      <c r="O74" s="177">
        <f>((LOOKUP(Flat!O$2,'Ceiling-U'!$A$4:$A$40,'Ceiling-U'!$H$4:$H$40)*Flat!O$15)+(LOOKUP(Flat!O$2,'Floor-U'!$A$4:$A$40,'Floor-U'!$H$4:$H$40)*Flat!O$16)+(LOOKUP(Flat!O$2,'Wall-U'!$A$4:$A$40,'Wall-U'!$H$4:$H$40)*Flat!O$13)+(LOOKUP(Flat!O$2,'Window-U'!$A$4:$A$40,'Window-U'!$S$4:$S$40)*Flat!O$22))*O70</f>
        <v>1232.6579661518613</v>
      </c>
      <c r="P74" s="177">
        <f>((LOOKUP(Flat!P$2,'Ceiling-U'!$A$4:$A$40,'Ceiling-U'!$H$4:$H$40)*Flat!P$15)+(LOOKUP(Flat!P$2,'Floor-U'!$A$4:$A$40,'Floor-U'!$H$4:$H$40)*Flat!P$16)+(LOOKUP(Flat!P$2,'Wall-U'!$A$4:$A$40,'Wall-U'!$H$4:$H$40)*Flat!P$13)+(LOOKUP(Flat!P$2,'Window-U'!$A$4:$A$40,'Window-U'!$S$4:$S$40)*Flat!P$22))*P70</f>
        <v>2482.3934065809658</v>
      </c>
      <c r="Q74" s="177">
        <f>((LOOKUP(Flat!Q$2,'Ceiling-U'!$A$4:$A$40,'Ceiling-U'!$H$4:$H$40)*Flat!Q$15)+(LOOKUP(Flat!Q$2,'Floor-U'!$A$4:$A$40,'Floor-U'!$H$4:$H$40)*Flat!Q$16)+(LOOKUP(Flat!Q$2,'Wall-U'!$A$4:$A$40,'Wall-U'!$H$4:$H$40)*Flat!Q$13)+(LOOKUP(Flat!Q$2,'Window-U'!$A$4:$A$40,'Window-U'!$S$4:$S$40)*Flat!Q$22))*Q70</f>
        <v>1857.7372299722324</v>
      </c>
      <c r="R74" s="177">
        <f>((LOOKUP(Flat!R$2,'Ceiling-U'!$A$4:$A$40,'Ceiling-U'!$H$4:$H$40)*Flat!R$15)+(LOOKUP(Flat!R$2,'Floor-U'!$A$4:$A$40,'Floor-U'!$H$4:$H$40)*Flat!R$16)+(LOOKUP(Flat!R$2,'Wall-U'!$A$4:$A$40,'Wall-U'!$H$4:$H$40)*Flat!R$13)+(LOOKUP(Flat!R$2,'Window-U'!$A$4:$A$40,'Window-U'!$S$4:$S$40)*Flat!R$22))*R70</f>
        <v>1004.8226069010054</v>
      </c>
      <c r="S74" s="177">
        <f>((LOOKUP(Flat!S$2,'Ceiling-U'!$A$4:$A$40,'Ceiling-U'!$H$4:$H$40)*Flat!S$15)+(LOOKUP(Flat!S$2,'Floor-U'!$A$4:$A$40,'Floor-U'!$H$4:$H$40)*Flat!S$16)+(LOOKUP(Flat!S$2,'Wall-U'!$A$4:$A$40,'Wall-U'!$H$4:$H$40)*Flat!S$13)+(LOOKUP(Flat!S$2,'Window-U'!$A$4:$A$40,'Window-U'!$S$4:$S$40)*Flat!S$22))*S70</f>
        <v>3474.5029244726275</v>
      </c>
      <c r="T74" s="177">
        <f>((LOOKUP(Flat!T$2,'Ceiling-U'!$A$4:$A$40,'Ceiling-U'!$H$4:$H$40)*Flat!T$15)+(LOOKUP(Flat!T$2,'Floor-U'!$A$4:$A$40,'Floor-U'!$H$4:$H$40)*Flat!T$16)+(LOOKUP(Flat!T$2,'Wall-U'!$A$4:$A$40,'Wall-U'!$H$4:$H$40)*Flat!T$13)+(LOOKUP(Flat!T$2,'Window-U'!$A$4:$A$40,'Window-U'!$S$4:$S$40)*Flat!T$22))*T70</f>
        <v>469.52788573121103</v>
      </c>
      <c r="U74" s="177">
        <f>((LOOKUP(Flat!U$2,'Ceiling-U'!$A$4:$A$40,'Ceiling-U'!$H$4:$H$40)*Flat!U$15)+(LOOKUP(Flat!U$2,'Floor-U'!$A$4:$A$40,'Floor-U'!$H$4:$H$40)*Flat!U$16)+(LOOKUP(Flat!U$2,'Wall-U'!$A$4:$A$40,'Wall-U'!$H$4:$H$40)*Flat!U$13)+(LOOKUP(Flat!U$2,'Window-U'!$A$4:$A$40,'Window-U'!$S$4:$S$40)*Flat!U$22))*U70</f>
        <v>2213.1858406386586</v>
      </c>
      <c r="V74" s="177">
        <f>((LOOKUP(Flat!V$2,'Ceiling-U'!$A$4:$A$40,'Ceiling-U'!$H$4:$H$40)*Flat!V$15)+(LOOKUP(Flat!V$2,'Floor-U'!$A$4:$A$40,'Floor-U'!$H$4:$H$40)*Flat!V$16)+(LOOKUP(Flat!V$2,'Wall-U'!$A$4:$A$40,'Wall-U'!$H$4:$H$40)*Flat!V$13)+(LOOKUP(Flat!V$2,'Window-U'!$A$4:$A$40,'Window-U'!$S$4:$S$40)*Flat!V$22))*V70</f>
        <v>766.83049620361805</v>
      </c>
      <c r="W74" s="177">
        <f>((LOOKUP(Flat!W$2,'Ceiling-U'!$A$4:$A$40,'Ceiling-U'!$H$4:$H$40)*Flat!W$15)+(LOOKUP(Flat!W$2,'Floor-U'!$A$4:$A$40,'Floor-U'!$H$4:$H$40)*Flat!W$16)+(LOOKUP(Flat!W$2,'Wall-U'!$A$4:$A$40,'Wall-U'!$H$4:$H$40)*Flat!W$13)+(LOOKUP(Flat!W$2,'Window-U'!$A$4:$A$40,'Window-U'!$S$4:$S$40)*Flat!W$22))*W70</f>
        <v>1053.9868603690713</v>
      </c>
      <c r="X74" s="177">
        <f>((LOOKUP(Flat!X$2,'Ceiling-U'!$A$4:$A$40,'Ceiling-U'!$H$4:$H$40)*Flat!X$15)+(LOOKUP(Flat!X$2,'Floor-U'!$A$4:$A$40,'Floor-U'!$H$4:$H$40)*Flat!X$16)+(LOOKUP(Flat!X$2,'Wall-U'!$A$4:$A$40,'Wall-U'!$H$4:$H$40)*Flat!X$13)+(LOOKUP(Flat!X$2,'Window-U'!$A$4:$A$40,'Window-U'!$S$4:$S$40)*Flat!X$22))*X70</f>
        <v>689.84667445969046</v>
      </c>
      <c r="Y74" s="177">
        <f>((LOOKUP(Flat!Y$2,'Ceiling-U'!$A$4:$A$40,'Ceiling-U'!$H$4:$H$40)*Flat!Y$15)+(LOOKUP(Flat!Y$2,'Floor-U'!$A$4:$A$40,'Floor-U'!$H$4:$H$40)*Flat!Y$16)+(LOOKUP(Flat!Y$2,'Wall-U'!$A$4:$A$40,'Wall-U'!$H$4:$H$40)*Flat!Y$13)+(LOOKUP(Flat!Y$2,'Window-U'!$A$4:$A$40,'Window-U'!$S$4:$S$40)*Flat!Y$22))*Y70</f>
        <v>3323.9871451183762</v>
      </c>
      <c r="Z74" s="177">
        <f>((LOOKUP(Flat!Z$2,'Ceiling-U'!$A$4:$A$40,'Ceiling-U'!$H$4:$H$40)*Flat!Z$15)+(LOOKUP(Flat!Z$2,'Floor-U'!$A$4:$A$40,'Floor-U'!$H$4:$H$40)*Flat!Z$16)+(LOOKUP(Flat!Z$2,'Wall-U'!$A$4:$A$40,'Wall-U'!$H$4:$H$40)*Flat!Z$13)+(LOOKUP(Flat!Z$2,'Window-U'!$A$4:$A$40,'Window-U'!$S$4:$S$40)*Flat!Z$22))*Z70</f>
        <v>1149.6078528730782</v>
      </c>
      <c r="AA74" s="177">
        <f>((LOOKUP(Flat!AA$2,'Ceiling-U'!$A$4:$A$40,'Ceiling-U'!$H$4:$H$40)*Flat!AA$15)+(LOOKUP(Flat!AA$2,'Floor-U'!$A$4:$A$40,'Floor-U'!$H$4:$H$40)*Flat!AA$16)+(LOOKUP(Flat!AA$2,'Wall-U'!$A$4:$A$40,'Wall-U'!$H$4:$H$40)*Flat!AA$13)+(LOOKUP(Flat!AA$2,'Window-U'!$A$4:$A$40,'Window-U'!$S$4:$S$40)*Flat!AA$22))*AA70</f>
        <v>441.89635159968213</v>
      </c>
      <c r="AB74" s="177">
        <f>((LOOKUP(Flat!AB$2,'Ceiling-U'!$A$4:$A$40,'Ceiling-U'!$H$4:$H$40)*Flat!AB$15)+(LOOKUP(Flat!AB$2,'Floor-U'!$A$4:$A$40,'Floor-U'!$H$4:$H$40)*Flat!AB$16)+(LOOKUP(Flat!AB$2,'Wall-U'!$A$4:$A$40,'Wall-U'!$H$4:$H$40)*Flat!AB$13)+(LOOKUP(Flat!AB$2,'Window-U'!$A$4:$A$40,'Window-U'!$S$4:$S$40)*Flat!AB$22))*AB70</f>
        <v>1315.5742330699795</v>
      </c>
      <c r="AC74" s="177">
        <f>((LOOKUP(Flat!AC$2,'Ceiling-U'!$A$4:$A$40,'Ceiling-U'!$H$4:$H$40)*Flat!AC$15)+(LOOKUP(Flat!AC$2,'Floor-U'!$A$4:$A$40,'Floor-U'!$H$4:$H$40)*Flat!AC$16)+(LOOKUP(Flat!AC$2,'Wall-U'!$A$4:$A$40,'Wall-U'!$H$4:$H$40)*Flat!AC$13)+(LOOKUP(Flat!AC$2,'Window-U'!$A$4:$A$40,'Window-U'!$S$4:$S$40)*Flat!AC$22))*AC70</f>
        <v>3344.1709454783781</v>
      </c>
      <c r="AD74" s="177">
        <f>((LOOKUP(Flat!AD$2,'Ceiling-U'!$A$4:$A$40,'Ceiling-U'!$H$4:$H$40)*Flat!AD$15)+(LOOKUP(Flat!AD$2,'Floor-U'!$A$4:$A$40,'Floor-U'!$H$4:$H$40)*Flat!AD$16)+(LOOKUP(Flat!AD$2,'Wall-U'!$A$4:$A$40,'Wall-U'!$H$4:$H$40)*Flat!AD$13)+(LOOKUP(Flat!AD$2,'Window-U'!$A$4:$A$40,'Window-U'!$S$4:$S$40)*Flat!AD$22))*AD70</f>
        <v>4031.2433509321586</v>
      </c>
      <c r="AE74" s="177">
        <f>((LOOKUP(Flat!AE$2,'Ceiling-U'!$A$4:$A$40,'Ceiling-U'!$H$4:$H$40)*Flat!AE$15)+(LOOKUP(Flat!AE$2,'Floor-U'!$A$4:$A$40,'Floor-U'!$H$4:$H$40)*Flat!AE$16)+(LOOKUP(Flat!AE$2,'Wall-U'!$A$4:$A$40,'Wall-U'!$H$4:$H$40)*Flat!AE$13)+(LOOKUP(Flat!AE$2,'Window-U'!$A$4:$A$40,'Window-U'!$S$4:$S$40)*Flat!AE$22))*AE70</f>
        <v>441.89635159968213</v>
      </c>
      <c r="AF74" s="177">
        <f>((LOOKUP(Flat!AF$2,'Ceiling-U'!$A$4:$A$40,'Ceiling-U'!$H$4:$H$40)*Flat!AF$15)+(LOOKUP(Flat!AF$2,'Floor-U'!$A$4:$A$40,'Floor-U'!$H$4:$H$40)*Flat!AF$16)+(LOOKUP(Flat!AF$2,'Wall-U'!$A$4:$A$40,'Wall-U'!$H$4:$H$40)*Flat!AF$13)+(LOOKUP(Flat!AF$2,'Window-U'!$A$4:$A$40,'Window-U'!$S$4:$S$40)*Flat!AF$22))*AF70</f>
        <v>1192.4353998246281</v>
      </c>
      <c r="AG74" s="177">
        <f>((LOOKUP(Flat!AG$2,'Ceiling-U'!$A$4:$A$40,'Ceiling-U'!$H$4:$H$40)*Flat!AG$15)+(LOOKUP(Flat!AG$2,'Floor-U'!$A$4:$A$40,'Floor-U'!$H$4:$H$40)*Flat!AG$16)+(LOOKUP(Flat!AG$2,'Wall-U'!$A$4:$A$40,'Wall-U'!$H$4:$H$40)*Flat!AG$13)+(LOOKUP(Flat!AG$2,'Window-U'!$A$4:$A$40,'Window-U'!$S$4:$S$40)*Flat!AG$22))*AG70</f>
        <v>1633.7158445322507</v>
      </c>
      <c r="AH74" s="177">
        <f>((LOOKUP(Flat!AH$2,'Ceiling-U'!$A$4:$A$40,'Ceiling-U'!$H$4:$H$40)*Flat!AH$15)+(LOOKUP(Flat!AH$2,'Floor-U'!$A$4:$A$40,'Floor-U'!$H$4:$H$40)*Flat!AH$16)+(LOOKUP(Flat!AH$2,'Wall-U'!$A$4:$A$40,'Wall-U'!$H$4:$H$40)*Flat!AH$13)+(LOOKUP(Flat!AH$2,'Window-U'!$A$4:$A$40,'Window-U'!$S$4:$S$40)*Flat!AH$22))*AH70</f>
        <v>2081.5651009517919</v>
      </c>
      <c r="AI74" s="177">
        <f>((LOOKUP(Flat!AI$2,'Ceiling-U'!$A$4:$A$40,'Ceiling-U'!$H$4:$H$40)*Flat!AI$15)+(LOOKUP(Flat!AI$2,'Floor-U'!$A$4:$A$40,'Floor-U'!$H$4:$H$40)*Flat!AI$16)+(LOOKUP(Flat!AI$2,'Wall-U'!$A$4:$A$40,'Wall-U'!$H$4:$H$40)*Flat!AI$13)+(LOOKUP(Flat!AI$2,'Window-U'!$A$4:$A$40,'Window-U'!$S$4:$S$40)*Flat!AI$22))*AI70</f>
        <v>3900.1548853856498</v>
      </c>
      <c r="AJ74" s="177">
        <f>((LOOKUP(Flat!AJ$2,'Ceiling-U'!$A$4:$A$40,'Ceiling-U'!$H$4:$H$40)*Flat!AJ$15)+(LOOKUP(Flat!AJ$2,'Floor-U'!$A$4:$A$40,'Floor-U'!$H$4:$H$40)*Flat!AJ$16)+(LOOKUP(Flat!AJ$2,'Wall-U'!$A$4:$A$40,'Wall-U'!$H$4:$H$40)*Flat!AJ$13)+(LOOKUP(Flat!AJ$2,'Window-U'!$A$4:$A$40,'Window-U'!$S$4:$S$40)*Flat!AJ$22))*AJ70</f>
        <v>1688.438464886468</v>
      </c>
      <c r="AK74" s="177">
        <f>((LOOKUP(Flat!AK$2,'Ceiling-U'!$A$4:$A$40,'Ceiling-U'!$H$4:$H$40)*Flat!AK$15)+(LOOKUP(Flat!AK$2,'Floor-U'!$A$4:$A$40,'Floor-U'!$H$4:$H$40)*Flat!AK$16)+(LOOKUP(Flat!AK$2,'Wall-U'!$A$4:$A$40,'Wall-U'!$H$4:$H$40)*Flat!AK$13)+(LOOKUP(Flat!AK$2,'Window-U'!$A$4:$A$40,'Window-U'!$S$4:$S$40)*Flat!AK$22))*AK70</f>
        <v>1838.4163011194451</v>
      </c>
      <c r="AL74" s="177">
        <f>((LOOKUP(Flat!AL$2,'Ceiling-U'!$A$4:$A$40,'Ceiling-U'!$H$4:$H$40)*Flat!AL$15)+(LOOKUP(Flat!AL$2,'Floor-U'!$A$4:$A$40,'Floor-U'!$H$4:$H$40)*Flat!AL$16)+(LOOKUP(Flat!AL$2,'Wall-U'!$A$4:$A$40,'Wall-U'!$H$4:$H$40)*Flat!AL$13)+(LOOKUP(Flat!AL$2,'Window-U'!$A$4:$A$40,'Window-U'!$S$4:$S$40)*Flat!AL$22))*AL70</f>
        <v>1701.7970529264678</v>
      </c>
      <c r="AM74" s="177">
        <f>((LOOKUP(Flat!AM$2,'Ceiling-U'!$A$4:$A$40,'Ceiling-U'!$H$4:$H$40)*Flat!AM$15)+(LOOKUP(Flat!AM$2,'Floor-U'!$A$4:$A$40,'Floor-U'!$H$4:$H$40)*Flat!AM$16)+(LOOKUP(Flat!AM$2,'Wall-U'!$A$4:$A$40,'Wall-U'!$H$4:$H$40)*Flat!AM$13)+(LOOKUP(Flat!AM$2,'Window-U'!$A$4:$A$40,'Window-U'!$S$4:$S$40)*Flat!AM$22))*AM70</f>
        <v>1688.438464886468</v>
      </c>
      <c r="AN74" s="178">
        <f>((LOOKUP(Flat!AN$2,'Ceiling-U'!$A$4:$A$40,'Ceiling-U'!$H$4:$H$40)*Flat!AN$15)+(LOOKUP(Flat!AN$2,'Floor-U'!$A$4:$A$40,'Floor-U'!$H$4:$H$40)*Flat!AN$16)+(LOOKUP(Flat!AN$2,'Wall-U'!$A$4:$A$40,'Wall-U'!$H$4:$H$40)*Flat!AN$13)+(LOOKUP(Flat!AN$2,'Window-U'!$A$4:$A$40,'Window-U'!$S$4:$S$40)*Flat!AN$22))*AN70</f>
        <v>1688.438464886468</v>
      </c>
    </row>
    <row r="75" spans="1:40" s="5" customFormat="1">
      <c r="A75" s="372"/>
      <c r="B75" s="142" t="s">
        <v>6</v>
      </c>
      <c r="C75" s="131" t="s">
        <v>195</v>
      </c>
      <c r="D75" s="176">
        <f>((LOOKUP(Flat!D$2,'Ceiling-U'!$A$4:$A$40,'Ceiling-U'!$I$4:$I$40)*Flat!D$15)+(LOOKUP(Flat!D$2,'Floor-U'!$A$4:$A$40,'Floor-U'!$I$4:$I$40)*Flat!D$16)+(LOOKUP(Flat!D$2,'Wall-U'!$A$4:$A$40,'Wall-U'!$I$4:$I$40)*Flat!D$13)+(LOOKUP(Flat!D$2,'Window-U'!$A$4:$A$40,'Window-U'!$S$4:$S$40)*Flat!D$22))*D70</f>
        <v>835.40668136709974</v>
      </c>
      <c r="E75" s="177">
        <f>((LOOKUP(Flat!E$2,'Ceiling-U'!$A$4:$A$40,'Ceiling-U'!$I$4:$I$40)*Flat!E$15)+(LOOKUP(Flat!E$2,'Floor-U'!$A$4:$A$40,'Floor-U'!$I$4:$I$40)*Flat!E$16)+(LOOKUP(Flat!E$2,'Wall-U'!$A$4:$A$40,'Wall-U'!$I$4:$I$40)*Flat!E$13)+(LOOKUP(Flat!E$2,'Window-U'!$A$4:$A$40,'Window-U'!$S$4:$S$40)*Flat!E$22))*E70</f>
        <v>2364.4701865412972</v>
      </c>
      <c r="F75" s="177">
        <f>((LOOKUP(Flat!F$2,'Ceiling-U'!$A$4:$A$40,'Ceiling-U'!$I$4:$I$40)*Flat!F$15)+(LOOKUP(Flat!F$2,'Floor-U'!$A$4:$A$40,'Floor-U'!$I$4:$I$40)*Flat!F$16)+(LOOKUP(Flat!F$2,'Wall-U'!$A$4:$A$40,'Wall-U'!$I$4:$I$40)*Flat!F$13)+(LOOKUP(Flat!F$2,'Window-U'!$A$4:$A$40,'Window-U'!$S$4:$S$40)*Flat!F$22))*F70</f>
        <v>1958.4037739849637</v>
      </c>
      <c r="G75" s="177">
        <f>((LOOKUP(Flat!G$2,'Ceiling-U'!$A$4:$A$40,'Ceiling-U'!$I$4:$I$40)*Flat!G$15)+(LOOKUP(Flat!G$2,'Floor-U'!$A$4:$A$40,'Floor-U'!$I$4:$I$40)*Flat!G$16)+(LOOKUP(Flat!G$2,'Wall-U'!$A$4:$A$40,'Wall-U'!$I$4:$I$40)*Flat!G$13)+(LOOKUP(Flat!G$2,'Window-U'!$A$4:$A$40,'Window-U'!$S$4:$S$40)*Flat!G$22))*G70</f>
        <v>835.40668136709974</v>
      </c>
      <c r="H75" s="177">
        <f>((LOOKUP(Flat!H$2,'Ceiling-U'!$A$4:$A$40,'Ceiling-U'!$I$4:$I$40)*Flat!H$15)+(LOOKUP(Flat!H$2,'Floor-U'!$A$4:$A$40,'Floor-U'!$I$4:$I$40)*Flat!H$16)+(LOOKUP(Flat!H$2,'Wall-U'!$A$4:$A$40,'Wall-U'!$I$4:$I$40)*Flat!H$13)+(LOOKUP(Flat!H$2,'Window-U'!$A$4:$A$40,'Window-U'!$S$4:$S$40)*Flat!H$22))*H70</f>
        <v>3036.3951321300242</v>
      </c>
      <c r="I75" s="177">
        <f>((LOOKUP(Flat!I$2,'Ceiling-U'!$A$4:$A$40,'Ceiling-U'!$I$4:$I$40)*Flat!I$15)+(LOOKUP(Flat!I$2,'Floor-U'!$A$4:$A$40,'Floor-U'!$I$4:$I$40)*Flat!I$16)+(LOOKUP(Flat!I$2,'Wall-U'!$A$4:$A$40,'Wall-U'!$I$4:$I$40)*Flat!I$13)+(LOOKUP(Flat!I$2,'Window-U'!$A$4:$A$40,'Window-U'!$S$4:$S$40)*Flat!I$22))*I70</f>
        <v>736.04040918177702</v>
      </c>
      <c r="J75" s="177">
        <f>((LOOKUP(Flat!J$2,'Ceiling-U'!$A$4:$A$40,'Ceiling-U'!$I$4:$I$40)*Flat!J$15)+(LOOKUP(Flat!J$2,'Floor-U'!$A$4:$A$40,'Floor-U'!$I$4:$I$40)*Flat!J$16)+(LOOKUP(Flat!J$2,'Wall-U'!$A$4:$A$40,'Wall-U'!$I$4:$I$40)*Flat!J$13)+(LOOKUP(Flat!J$2,'Window-U'!$A$4:$A$40,'Window-U'!$S$4:$S$40)*Flat!J$22))*J70</f>
        <v>493.30851234210644</v>
      </c>
      <c r="K75" s="177">
        <f>((LOOKUP(Flat!K$2,'Ceiling-U'!$A$4:$A$40,'Ceiling-U'!$I$4:$I$40)*Flat!K$15)+(LOOKUP(Flat!K$2,'Floor-U'!$A$4:$A$40,'Floor-U'!$I$4:$I$40)*Flat!K$16)+(LOOKUP(Flat!K$2,'Wall-U'!$A$4:$A$40,'Wall-U'!$I$4:$I$40)*Flat!K$13)+(LOOKUP(Flat!K$2,'Window-U'!$A$4:$A$40,'Window-U'!$S$4:$S$40)*Flat!K$22))*K70</f>
        <v>806.73598750260351</v>
      </c>
      <c r="L75" s="177">
        <f>((LOOKUP(Flat!L$2,'Ceiling-U'!$A$4:$A$40,'Ceiling-U'!$I$4:$I$40)*Flat!L$15)+(LOOKUP(Flat!L$2,'Floor-U'!$A$4:$A$40,'Floor-U'!$I$4:$I$40)*Flat!L$16)+(LOOKUP(Flat!L$2,'Wall-U'!$A$4:$A$40,'Wall-U'!$I$4:$I$40)*Flat!L$13)+(LOOKUP(Flat!L$2,'Window-U'!$A$4:$A$40,'Window-U'!$S$4:$S$40)*Flat!L$22))*L70</f>
        <v>347.50926918035293</v>
      </c>
      <c r="M75" s="177">
        <f>((LOOKUP(Flat!M$2,'Ceiling-U'!$A$4:$A$40,'Ceiling-U'!$I$4:$I$40)*Flat!M$15)+(LOOKUP(Flat!M$2,'Floor-U'!$A$4:$A$40,'Floor-U'!$I$4:$I$40)*Flat!M$16)+(LOOKUP(Flat!M$2,'Wall-U'!$A$4:$A$40,'Wall-U'!$I$4:$I$40)*Flat!M$13)+(LOOKUP(Flat!M$2,'Window-U'!$A$4:$A$40,'Window-U'!$S$4:$S$40)*Flat!M$22))*M70</f>
        <v>1624.6874894219402</v>
      </c>
      <c r="N75" s="177">
        <f>((LOOKUP(Flat!N$2,'Ceiling-U'!$A$4:$A$40,'Ceiling-U'!$I$4:$I$40)*Flat!N$15)+(LOOKUP(Flat!N$2,'Floor-U'!$A$4:$A$40,'Floor-U'!$I$4:$I$40)*Flat!N$16)+(LOOKUP(Flat!N$2,'Wall-U'!$A$4:$A$40,'Wall-U'!$I$4:$I$40)*Flat!N$13)+(LOOKUP(Flat!N$2,'Window-U'!$A$4:$A$40,'Window-U'!$S$4:$S$40)*Flat!N$22))*N70</f>
        <v>875.45072160197822</v>
      </c>
      <c r="O75" s="177">
        <f>((LOOKUP(Flat!O$2,'Ceiling-U'!$A$4:$A$40,'Ceiling-U'!$I$4:$I$40)*Flat!O$15)+(LOOKUP(Flat!O$2,'Floor-U'!$A$4:$A$40,'Floor-U'!$I$4:$I$40)*Flat!O$16)+(LOOKUP(Flat!O$2,'Wall-U'!$A$4:$A$40,'Wall-U'!$I$4:$I$40)*Flat!O$13)+(LOOKUP(Flat!O$2,'Window-U'!$A$4:$A$40,'Window-U'!$S$4:$S$40)*Flat!O$22))*O70</f>
        <v>653.56973629432866</v>
      </c>
      <c r="P75" s="177">
        <f>((LOOKUP(Flat!P$2,'Ceiling-U'!$A$4:$A$40,'Ceiling-U'!$I$4:$I$40)*Flat!P$15)+(LOOKUP(Flat!P$2,'Floor-U'!$A$4:$A$40,'Floor-U'!$I$4:$I$40)*Flat!P$16)+(LOOKUP(Flat!P$2,'Wall-U'!$A$4:$A$40,'Wall-U'!$I$4:$I$40)*Flat!P$13)+(LOOKUP(Flat!P$2,'Window-U'!$A$4:$A$40,'Window-U'!$S$4:$S$40)*Flat!P$22))*P70</f>
        <v>2482.3934065809658</v>
      </c>
      <c r="Q75" s="177">
        <f>((LOOKUP(Flat!Q$2,'Ceiling-U'!$A$4:$A$40,'Ceiling-U'!$I$4:$I$40)*Flat!Q$15)+(LOOKUP(Flat!Q$2,'Floor-U'!$A$4:$A$40,'Floor-U'!$I$4:$I$40)*Flat!Q$16)+(LOOKUP(Flat!Q$2,'Wall-U'!$A$4:$A$40,'Wall-U'!$I$4:$I$40)*Flat!Q$13)+(LOOKUP(Flat!Q$2,'Window-U'!$A$4:$A$40,'Window-U'!$S$4:$S$40)*Flat!Q$22))*Q70</f>
        <v>1234.6254530648068</v>
      </c>
      <c r="R75" s="177">
        <f>((LOOKUP(Flat!R$2,'Ceiling-U'!$A$4:$A$40,'Ceiling-U'!$I$4:$I$40)*Flat!R$15)+(LOOKUP(Flat!R$2,'Floor-U'!$A$4:$A$40,'Floor-U'!$I$4:$I$40)*Flat!R$16)+(LOOKUP(Flat!R$2,'Wall-U'!$A$4:$A$40,'Wall-U'!$I$4:$I$40)*Flat!R$13)+(LOOKUP(Flat!R$2,'Window-U'!$A$4:$A$40,'Window-U'!$S$4:$S$40)*Flat!R$22))*R70</f>
        <v>1004.8226069010054</v>
      </c>
      <c r="S75" s="177">
        <f>((LOOKUP(Flat!S$2,'Ceiling-U'!$A$4:$A$40,'Ceiling-U'!$I$4:$I$40)*Flat!S$15)+(LOOKUP(Flat!S$2,'Floor-U'!$A$4:$A$40,'Floor-U'!$I$4:$I$40)*Flat!S$16)+(LOOKUP(Flat!S$2,'Wall-U'!$A$4:$A$40,'Wall-U'!$I$4:$I$40)*Flat!S$13)+(LOOKUP(Flat!S$2,'Window-U'!$A$4:$A$40,'Window-U'!$S$4:$S$40)*Flat!S$22))*S70</f>
        <v>2770.9025205693511</v>
      </c>
      <c r="T75" s="177">
        <f>((LOOKUP(Flat!T$2,'Ceiling-U'!$A$4:$A$40,'Ceiling-U'!$I$4:$I$40)*Flat!T$15)+(LOOKUP(Flat!T$2,'Floor-U'!$A$4:$A$40,'Floor-U'!$I$4:$I$40)*Flat!T$16)+(LOOKUP(Flat!T$2,'Wall-U'!$A$4:$A$40,'Wall-U'!$I$4:$I$40)*Flat!T$13)+(LOOKUP(Flat!T$2,'Window-U'!$A$4:$A$40,'Window-U'!$S$4:$S$40)*Flat!T$22))*T70</f>
        <v>462.04844913943543</v>
      </c>
      <c r="U75" s="177">
        <f>((LOOKUP(Flat!U$2,'Ceiling-U'!$A$4:$A$40,'Ceiling-U'!$I$4:$I$40)*Flat!U$15)+(LOOKUP(Flat!U$2,'Floor-U'!$A$4:$A$40,'Floor-U'!$I$4:$I$40)*Flat!U$16)+(LOOKUP(Flat!U$2,'Wall-U'!$A$4:$A$40,'Wall-U'!$I$4:$I$40)*Flat!U$13)+(LOOKUP(Flat!U$2,'Window-U'!$A$4:$A$40,'Window-U'!$S$4:$S$40)*Flat!U$22))*U70</f>
        <v>1963.3479645428597</v>
      </c>
      <c r="V75" s="177">
        <f>((LOOKUP(Flat!V$2,'Ceiling-U'!$A$4:$A$40,'Ceiling-U'!$I$4:$I$40)*Flat!V$15)+(LOOKUP(Flat!V$2,'Floor-U'!$A$4:$A$40,'Floor-U'!$I$4:$I$40)*Flat!V$16)+(LOOKUP(Flat!V$2,'Wall-U'!$A$4:$A$40,'Wall-U'!$I$4:$I$40)*Flat!V$13)+(LOOKUP(Flat!V$2,'Window-U'!$A$4:$A$40,'Window-U'!$S$4:$S$40)*Flat!V$22))*V70</f>
        <v>766.83049620361805</v>
      </c>
      <c r="W75" s="177">
        <f>((LOOKUP(Flat!W$2,'Ceiling-U'!$A$4:$A$40,'Ceiling-U'!$I$4:$I$40)*Flat!W$15)+(LOOKUP(Flat!W$2,'Floor-U'!$A$4:$A$40,'Floor-U'!$I$4:$I$40)*Flat!W$16)+(LOOKUP(Flat!W$2,'Wall-U'!$A$4:$A$40,'Wall-U'!$I$4:$I$40)*Flat!W$13)+(LOOKUP(Flat!W$2,'Window-U'!$A$4:$A$40,'Window-U'!$S$4:$S$40)*Flat!W$22))*W70</f>
        <v>902.88602245238599</v>
      </c>
      <c r="X75" s="177">
        <f>((LOOKUP(Flat!X$2,'Ceiling-U'!$A$4:$A$40,'Ceiling-U'!$I$4:$I$40)*Flat!X$15)+(LOOKUP(Flat!X$2,'Floor-U'!$A$4:$A$40,'Floor-U'!$I$4:$I$40)*Flat!X$16)+(LOOKUP(Flat!X$2,'Wall-U'!$A$4:$A$40,'Wall-U'!$I$4:$I$40)*Flat!X$13)+(LOOKUP(Flat!X$2,'Window-U'!$A$4:$A$40,'Window-U'!$S$4:$S$40)*Flat!X$22))*X70</f>
        <v>682.12167445969044</v>
      </c>
      <c r="Y75" s="177">
        <f>((LOOKUP(Flat!Y$2,'Ceiling-U'!$A$4:$A$40,'Ceiling-U'!$I$4:$I$40)*Flat!Y$15)+(LOOKUP(Flat!Y$2,'Floor-U'!$A$4:$A$40,'Floor-U'!$I$4:$I$40)*Flat!Y$16)+(LOOKUP(Flat!Y$2,'Wall-U'!$A$4:$A$40,'Wall-U'!$I$4:$I$40)*Flat!Y$13)+(LOOKUP(Flat!Y$2,'Window-U'!$A$4:$A$40,'Window-U'!$S$4:$S$40)*Flat!Y$22))*Y70</f>
        <v>3275.5192174783765</v>
      </c>
      <c r="Z75" s="177">
        <f>((LOOKUP(Flat!Z$2,'Ceiling-U'!$A$4:$A$40,'Ceiling-U'!$I$4:$I$40)*Flat!Z$15)+(LOOKUP(Flat!Z$2,'Floor-U'!$A$4:$A$40,'Floor-U'!$I$4:$I$40)*Flat!Z$16)+(LOOKUP(Flat!Z$2,'Wall-U'!$A$4:$A$40,'Wall-U'!$I$4:$I$40)*Flat!Z$13)+(LOOKUP(Flat!Z$2,'Window-U'!$A$4:$A$40,'Window-U'!$S$4:$S$40)*Flat!Z$22))*Z70</f>
        <v>1030.3174172986455</v>
      </c>
      <c r="AA75" s="177">
        <f>((LOOKUP(Flat!AA$2,'Ceiling-U'!$A$4:$A$40,'Ceiling-U'!$I$4:$I$40)*Flat!AA$15)+(LOOKUP(Flat!AA$2,'Floor-U'!$A$4:$A$40,'Floor-U'!$I$4:$I$40)*Flat!AA$16)+(LOOKUP(Flat!AA$2,'Wall-U'!$A$4:$A$40,'Wall-U'!$I$4:$I$40)*Flat!AA$13)+(LOOKUP(Flat!AA$2,'Window-U'!$A$4:$A$40,'Window-U'!$S$4:$S$40)*Flat!AA$22))*AA70</f>
        <v>359.12281315177108</v>
      </c>
      <c r="AB75" s="177">
        <f>((LOOKUP(Flat!AB$2,'Ceiling-U'!$A$4:$A$40,'Ceiling-U'!$I$4:$I$40)*Flat!AB$15)+(LOOKUP(Flat!AB$2,'Floor-U'!$A$4:$A$40,'Floor-U'!$I$4:$I$40)*Flat!AB$16)+(LOOKUP(Flat!AB$2,'Wall-U'!$A$4:$A$40,'Wall-U'!$I$4:$I$40)*Flat!AB$13)+(LOOKUP(Flat!AB$2,'Window-U'!$A$4:$A$40,'Window-U'!$S$4:$S$40)*Flat!AB$22))*AB70</f>
        <v>1315.5742330699795</v>
      </c>
      <c r="AC75" s="177">
        <f>((LOOKUP(Flat!AC$2,'Ceiling-U'!$A$4:$A$40,'Ceiling-U'!$I$4:$I$40)*Flat!AC$15)+(LOOKUP(Flat!AC$2,'Floor-U'!$A$4:$A$40,'Floor-U'!$I$4:$I$40)*Flat!AC$16)+(LOOKUP(Flat!AC$2,'Wall-U'!$A$4:$A$40,'Wall-U'!$I$4:$I$40)*Flat!AC$13)+(LOOKUP(Flat!AC$2,'Window-U'!$A$4:$A$40,'Window-U'!$S$4:$S$40)*Flat!AC$22))*AC70</f>
        <v>2987.5107074386101</v>
      </c>
      <c r="AD75" s="177">
        <f>((LOOKUP(Flat!AD$2,'Ceiling-U'!$A$4:$A$40,'Ceiling-U'!$I$4:$I$40)*Flat!AD$15)+(LOOKUP(Flat!AD$2,'Floor-U'!$A$4:$A$40,'Floor-U'!$I$4:$I$40)*Flat!AD$16)+(LOOKUP(Flat!AD$2,'Wall-U'!$A$4:$A$40,'Wall-U'!$I$4:$I$40)*Flat!AD$13)+(LOOKUP(Flat!AD$2,'Window-U'!$A$4:$A$40,'Window-U'!$S$4:$S$40)*Flat!AD$22))*AD70</f>
        <v>4031.2433509321586</v>
      </c>
      <c r="AE75" s="177">
        <f>((LOOKUP(Flat!AE$2,'Ceiling-U'!$A$4:$A$40,'Ceiling-U'!$I$4:$I$40)*Flat!AE$15)+(LOOKUP(Flat!AE$2,'Floor-U'!$A$4:$A$40,'Floor-U'!$I$4:$I$40)*Flat!AE$16)+(LOOKUP(Flat!AE$2,'Wall-U'!$A$4:$A$40,'Wall-U'!$I$4:$I$40)*Flat!AE$13)+(LOOKUP(Flat!AE$2,'Window-U'!$A$4:$A$40,'Window-U'!$S$4:$S$40)*Flat!AE$22))*AE70</f>
        <v>359.12281315177108</v>
      </c>
      <c r="AF75" s="177">
        <f>((LOOKUP(Flat!AF$2,'Ceiling-U'!$A$4:$A$40,'Ceiling-U'!$I$4:$I$40)*Flat!AF$15)+(LOOKUP(Flat!AF$2,'Floor-U'!$A$4:$A$40,'Floor-U'!$I$4:$I$40)*Flat!AF$16)+(LOOKUP(Flat!AF$2,'Wall-U'!$A$4:$A$40,'Wall-U'!$I$4:$I$40)*Flat!AF$13)+(LOOKUP(Flat!AF$2,'Window-U'!$A$4:$A$40,'Window-U'!$S$4:$S$40)*Flat!AF$22))*AF70</f>
        <v>808.11062836641884</v>
      </c>
      <c r="AG75" s="177">
        <f>((LOOKUP(Flat!AG$2,'Ceiling-U'!$A$4:$A$40,'Ceiling-U'!$I$4:$I$40)*Flat!AG$15)+(LOOKUP(Flat!AG$2,'Floor-U'!$A$4:$A$40,'Floor-U'!$I$4:$I$40)*Flat!AG$16)+(LOOKUP(Flat!AG$2,'Wall-U'!$A$4:$A$40,'Wall-U'!$I$4:$I$40)*Flat!AG$13)+(LOOKUP(Flat!AG$2,'Window-U'!$A$4:$A$40,'Window-U'!$S$4:$S$40)*Flat!AG$22))*AG70</f>
        <v>1523.4606407322508</v>
      </c>
      <c r="AH75" s="177">
        <f>((LOOKUP(Flat!AH$2,'Ceiling-U'!$A$4:$A$40,'Ceiling-U'!$I$4:$I$40)*Flat!AH$15)+(LOOKUP(Flat!AH$2,'Floor-U'!$A$4:$A$40,'Floor-U'!$I$4:$I$40)*Flat!AH$16)+(LOOKUP(Flat!AH$2,'Wall-U'!$A$4:$A$40,'Wall-U'!$I$4:$I$40)*Flat!AH$13)+(LOOKUP(Flat!AH$2,'Window-U'!$A$4:$A$40,'Window-U'!$S$4:$S$40)*Flat!AH$22))*AH70</f>
        <v>1648.9951853462976</v>
      </c>
      <c r="AI75" s="177">
        <f>((LOOKUP(Flat!AI$2,'Ceiling-U'!$A$4:$A$40,'Ceiling-U'!$I$4:$I$40)*Flat!AI$15)+(LOOKUP(Flat!AI$2,'Floor-U'!$A$4:$A$40,'Floor-U'!$I$4:$I$40)*Flat!AI$16)+(LOOKUP(Flat!AI$2,'Wall-U'!$A$4:$A$40,'Wall-U'!$I$4:$I$40)*Flat!AI$13)+(LOOKUP(Flat!AI$2,'Window-U'!$A$4:$A$40,'Window-U'!$S$4:$S$40)*Flat!AI$22))*AI70</f>
        <v>3900.1548853856498</v>
      </c>
      <c r="AJ75" s="177">
        <f>((LOOKUP(Flat!AJ$2,'Ceiling-U'!$A$4:$A$40,'Ceiling-U'!$I$4:$I$40)*Flat!AJ$15)+(LOOKUP(Flat!AJ$2,'Floor-U'!$A$4:$A$40,'Floor-U'!$I$4:$I$40)*Flat!AJ$16)+(LOOKUP(Flat!AJ$2,'Wall-U'!$A$4:$A$40,'Wall-U'!$I$4:$I$40)*Flat!AJ$13)+(LOOKUP(Flat!AJ$2,'Window-U'!$A$4:$A$40,'Window-U'!$S$4:$S$40)*Flat!AJ$22))*AJ70</f>
        <v>1553.1497973292624</v>
      </c>
      <c r="AK75" s="177">
        <f>((LOOKUP(Flat!AK$2,'Ceiling-U'!$A$4:$A$40,'Ceiling-U'!$I$4:$I$40)*Flat!AK$15)+(LOOKUP(Flat!AK$2,'Floor-U'!$A$4:$A$40,'Floor-U'!$I$4:$I$40)*Flat!AK$16)+(LOOKUP(Flat!AK$2,'Wall-U'!$A$4:$A$40,'Wall-U'!$I$4:$I$40)*Flat!AK$13)+(LOOKUP(Flat!AK$2,'Window-U'!$A$4:$A$40,'Window-U'!$S$4:$S$40)*Flat!AK$22))*AK70</f>
        <v>1690.2774426928247</v>
      </c>
      <c r="AL75" s="177">
        <f>((LOOKUP(Flat!AL$2,'Ceiling-U'!$A$4:$A$40,'Ceiling-U'!$I$4:$I$40)*Flat!AL$15)+(LOOKUP(Flat!AL$2,'Floor-U'!$A$4:$A$40,'Floor-U'!$I$4:$I$40)*Flat!AL$16)+(LOOKUP(Flat!AL$2,'Wall-U'!$A$4:$A$40,'Wall-U'!$I$4:$I$40)*Flat!AL$13)+(LOOKUP(Flat!AL$2,'Window-U'!$A$4:$A$40,'Window-U'!$S$4:$S$40)*Flat!AL$22))*AL70</f>
        <v>1277.000291873017</v>
      </c>
      <c r="AM75" s="177">
        <f>((LOOKUP(Flat!AM$2,'Ceiling-U'!$A$4:$A$40,'Ceiling-U'!$I$4:$I$40)*Flat!AM$15)+(LOOKUP(Flat!AM$2,'Floor-U'!$A$4:$A$40,'Floor-U'!$I$4:$I$40)*Flat!AM$16)+(LOOKUP(Flat!AM$2,'Wall-U'!$A$4:$A$40,'Wall-U'!$I$4:$I$40)*Flat!AM$13)+(LOOKUP(Flat!AM$2,'Window-U'!$A$4:$A$40,'Window-U'!$S$4:$S$40)*Flat!AM$22))*AM70</f>
        <v>1553.1497973292624</v>
      </c>
      <c r="AN75" s="178">
        <f>((LOOKUP(Flat!AN$2,'Ceiling-U'!$A$4:$A$40,'Ceiling-U'!$I$4:$I$40)*Flat!AN$15)+(LOOKUP(Flat!AN$2,'Floor-U'!$A$4:$A$40,'Floor-U'!$I$4:$I$40)*Flat!AN$16)+(LOOKUP(Flat!AN$2,'Wall-U'!$A$4:$A$40,'Wall-U'!$I$4:$I$40)*Flat!AN$13)+(LOOKUP(Flat!AN$2,'Window-U'!$A$4:$A$40,'Window-U'!$S$4:$S$40)*Flat!AN$22))*AN70</f>
        <v>1553.1497973292624</v>
      </c>
    </row>
    <row r="76" spans="1:40" s="5" customFormat="1">
      <c r="A76" s="373"/>
      <c r="B76" s="374" t="s">
        <v>7</v>
      </c>
      <c r="C76" s="131" t="s">
        <v>195</v>
      </c>
      <c r="D76" s="176">
        <f>((LOOKUP(Flat!D$2,'Ceiling-U'!$A$4:$A$40,'Ceiling-U'!$J$4:$J$40)*Flat!D$15)+(LOOKUP(Flat!D$2,'Floor-U'!$A$4:$A$40,'Floor-U'!$J$4:$J$40)*Flat!D$16)+(LOOKUP(Flat!D$2,'Wall-U'!$A$4:$A$40,'Wall-U'!$J$4:$J$40)*Flat!D$13)+(LOOKUP(Flat!D$2,'Window-U'!$A$4:$A$40,'Window-U'!$S$4:$S$40)*Flat!D$22))*D70</f>
        <v>739.75601523038983</v>
      </c>
      <c r="E76" s="174">
        <f>((LOOKUP(Flat!E$2,'Ceiling-U'!$A$4:$A$40,'Ceiling-U'!$J$4:$J$40)*Flat!E$15)+(LOOKUP(Flat!E$2,'Floor-U'!$A$4:$A$40,'Floor-U'!$J$4:$J$40)*Flat!E$16)+(LOOKUP(Flat!E$2,'Wall-U'!$A$4:$A$40,'Wall-U'!$J$4:$J$40)*Flat!E$13)+(LOOKUP(Flat!E$2,'Window-U'!$A$4:$A$40,'Window-U'!$S$4:$S$40)*Flat!E$22))*E70</f>
        <v>1247.1766048074103</v>
      </c>
      <c r="F76" s="174">
        <f>((LOOKUP(Flat!F$2,'Ceiling-U'!$A$4:$A$40,'Ceiling-U'!$J$4:$J$40)*Flat!F$15)+(LOOKUP(Flat!F$2,'Floor-U'!$A$4:$A$40,'Floor-U'!$J$4:$J$40)*Flat!F$16)+(LOOKUP(Flat!F$2,'Wall-U'!$A$4:$A$40,'Wall-U'!$J$4:$J$40)*Flat!F$13)+(LOOKUP(Flat!F$2,'Window-U'!$A$4:$A$40,'Window-U'!$S$4:$S$40)*Flat!F$22))*F70</f>
        <v>1130.9168288377905</v>
      </c>
      <c r="G76" s="174">
        <f>((LOOKUP(Flat!G$2,'Ceiling-U'!$A$4:$A$40,'Ceiling-U'!$J$4:$J$40)*Flat!G$15)+(LOOKUP(Flat!G$2,'Floor-U'!$A$4:$A$40,'Floor-U'!$J$4:$J$40)*Flat!G$16)+(LOOKUP(Flat!G$2,'Wall-U'!$A$4:$A$40,'Wall-U'!$J$4:$J$40)*Flat!G$13)+(LOOKUP(Flat!G$2,'Window-U'!$A$4:$A$40,'Window-U'!$S$4:$S$40)*Flat!G$22))*G70</f>
        <v>739.75601523038983</v>
      </c>
      <c r="H76" s="174">
        <f>((LOOKUP(Flat!H$2,'Ceiling-U'!$A$4:$A$40,'Ceiling-U'!$J$4:$J$40)*Flat!H$15)+(LOOKUP(Flat!H$2,'Floor-U'!$A$4:$A$40,'Floor-U'!$J$4:$J$40)*Flat!H$16)+(LOOKUP(Flat!H$2,'Wall-U'!$A$4:$A$40,'Wall-U'!$J$4:$J$40)*Flat!H$13)+(LOOKUP(Flat!H$2,'Window-U'!$A$4:$A$40,'Window-U'!$S$4:$S$40)*Flat!H$22))*H70</f>
        <v>2593.506833130024</v>
      </c>
      <c r="I76" s="174">
        <f>((LOOKUP(Flat!I$2,'Ceiling-U'!$A$4:$A$40,'Ceiling-U'!$J$4:$J$40)*Flat!I$15)+(LOOKUP(Flat!I$2,'Floor-U'!$A$4:$A$40,'Floor-U'!$J$4:$J$40)*Flat!I$16)+(LOOKUP(Flat!I$2,'Wall-U'!$A$4:$A$40,'Wall-U'!$J$4:$J$40)*Flat!I$13)+(LOOKUP(Flat!I$2,'Window-U'!$A$4:$A$40,'Window-U'!$S$4:$S$40)*Flat!I$22))*I70</f>
        <v>610.08389810016729</v>
      </c>
      <c r="J76" s="174">
        <f>((LOOKUP(Flat!J$2,'Ceiling-U'!$A$4:$A$40,'Ceiling-U'!$J$4:$J$40)*Flat!J$15)+(LOOKUP(Flat!J$2,'Floor-U'!$A$4:$A$40,'Floor-U'!$J$4:$J$40)*Flat!J$16)+(LOOKUP(Flat!J$2,'Wall-U'!$A$4:$A$40,'Wall-U'!$J$4:$J$40)*Flat!J$13)+(LOOKUP(Flat!J$2,'Window-U'!$A$4:$A$40,'Window-U'!$S$4:$S$40)*Flat!J$22))*J70</f>
        <v>569.24968278263293</v>
      </c>
      <c r="K76" s="174">
        <f>((LOOKUP(Flat!K$2,'Ceiling-U'!$A$4:$A$40,'Ceiling-U'!$J$4:$J$40)*Flat!K$15)+(LOOKUP(Flat!K$2,'Floor-U'!$A$4:$A$40,'Floor-U'!$J$4:$J$40)*Flat!K$16)+(LOOKUP(Flat!K$2,'Wall-U'!$A$4:$A$40,'Wall-U'!$J$4:$J$40)*Flat!K$13)+(LOOKUP(Flat!K$2,'Window-U'!$A$4:$A$40,'Window-U'!$S$4:$S$40)*Flat!K$22))*K70</f>
        <v>594.09788442644685</v>
      </c>
      <c r="L76" s="174">
        <f>((LOOKUP(Flat!L$2,'Ceiling-U'!$A$4:$A$40,'Ceiling-U'!$J$4:$J$40)*Flat!L$15)+(LOOKUP(Flat!L$2,'Floor-U'!$A$4:$A$40,'Floor-U'!$J$4:$J$40)*Flat!L$16)+(LOOKUP(Flat!L$2,'Wall-U'!$A$4:$A$40,'Wall-U'!$J$4:$J$40)*Flat!L$13)+(LOOKUP(Flat!L$2,'Window-U'!$A$4:$A$40,'Window-U'!$S$4:$S$40)*Flat!L$22))*L70</f>
        <v>347.50926918035293</v>
      </c>
      <c r="M76" s="174">
        <f>((LOOKUP(Flat!M$2,'Ceiling-U'!$A$4:$A$40,'Ceiling-U'!$J$4:$J$40)*Flat!M$15)+(LOOKUP(Flat!M$2,'Floor-U'!$A$4:$A$40,'Floor-U'!$J$4:$J$40)*Flat!M$16)+(LOOKUP(Flat!M$2,'Wall-U'!$A$4:$A$40,'Wall-U'!$J$4:$J$40)*Flat!M$13)+(LOOKUP(Flat!M$2,'Window-U'!$A$4:$A$40,'Window-U'!$S$4:$S$40)*Flat!M$22))*M70</f>
        <v>894.47508155097012</v>
      </c>
      <c r="N76" s="174">
        <f>((LOOKUP(Flat!N$2,'Ceiling-U'!$A$4:$A$40,'Ceiling-U'!$J$4:$J$40)*Flat!N$15)+(LOOKUP(Flat!N$2,'Floor-U'!$A$4:$A$40,'Floor-U'!$J$4:$J$40)*Flat!N$16)+(LOOKUP(Flat!N$2,'Wall-U'!$A$4:$A$40,'Wall-U'!$J$4:$J$40)*Flat!N$13)+(LOOKUP(Flat!N$2,'Window-U'!$A$4:$A$40,'Window-U'!$S$4:$S$40)*Flat!N$22))*N70</f>
        <v>810.13281291612259</v>
      </c>
      <c r="O76" s="174">
        <f>((LOOKUP(Flat!O$2,'Ceiling-U'!$A$4:$A$40,'Ceiling-U'!$J$4:$J$40)*Flat!O$15)+(LOOKUP(Flat!O$2,'Floor-U'!$A$4:$A$40,'Floor-U'!$J$4:$J$40)*Flat!O$16)+(LOOKUP(Flat!O$2,'Wall-U'!$A$4:$A$40,'Wall-U'!$J$4:$J$40)*Flat!O$13)+(LOOKUP(Flat!O$2,'Window-U'!$A$4:$A$40,'Window-U'!$S$4:$S$40)*Flat!O$22))*O70</f>
        <v>632.09824687670027</v>
      </c>
      <c r="P76" s="174">
        <f>((LOOKUP(Flat!P$2,'Ceiling-U'!$A$4:$A$40,'Ceiling-U'!$J$4:$J$40)*Flat!P$15)+(LOOKUP(Flat!P$2,'Floor-U'!$A$4:$A$40,'Floor-U'!$J$4:$J$40)*Flat!P$16)+(LOOKUP(Flat!P$2,'Wall-U'!$A$4:$A$40,'Wall-U'!$J$4:$J$40)*Flat!P$13)+(LOOKUP(Flat!P$2,'Window-U'!$A$4:$A$40,'Window-U'!$S$4:$S$40)*Flat!P$22))*P70</f>
        <v>673.94842670389971</v>
      </c>
      <c r="Q76" s="174">
        <f>((LOOKUP(Flat!Q$2,'Ceiling-U'!$A$4:$A$40,'Ceiling-U'!$J$4:$J$40)*Flat!Q$15)+(LOOKUP(Flat!Q$2,'Floor-U'!$A$4:$A$40,'Floor-U'!$J$4:$J$40)*Flat!Q$16)+(LOOKUP(Flat!Q$2,'Wall-U'!$A$4:$A$40,'Wall-U'!$J$4:$J$40)*Flat!Q$13)+(LOOKUP(Flat!Q$2,'Window-U'!$A$4:$A$40,'Window-U'!$S$4:$S$40)*Flat!Q$22))*Q70</f>
        <v>635.64136765449928</v>
      </c>
      <c r="R76" s="174">
        <f>((LOOKUP(Flat!R$2,'Ceiling-U'!$A$4:$A$40,'Ceiling-U'!$J$4:$J$40)*Flat!R$15)+(LOOKUP(Flat!R$2,'Floor-U'!$A$4:$A$40,'Floor-U'!$J$4:$J$40)*Flat!R$16)+(LOOKUP(Flat!R$2,'Wall-U'!$A$4:$A$40,'Wall-U'!$J$4:$J$40)*Flat!R$13)+(LOOKUP(Flat!R$2,'Window-U'!$A$4:$A$40,'Window-U'!$S$4:$S$40)*Flat!R$22))*R70</f>
        <v>600.90508321931554</v>
      </c>
      <c r="S76" s="174">
        <f>((LOOKUP(Flat!S$2,'Ceiling-U'!$A$4:$A$40,'Ceiling-U'!$J$4:$J$40)*Flat!S$15)+(LOOKUP(Flat!S$2,'Floor-U'!$A$4:$A$40,'Floor-U'!$J$4:$J$40)*Flat!S$16)+(LOOKUP(Flat!S$2,'Wall-U'!$A$4:$A$40,'Wall-U'!$J$4:$J$40)*Flat!S$13)+(LOOKUP(Flat!S$2,'Window-U'!$A$4:$A$40,'Window-U'!$S$4:$S$40)*Flat!S$22))*S70</f>
        <v>1572.3598895463779</v>
      </c>
      <c r="T76" s="174">
        <f>((LOOKUP(Flat!T$2,'Ceiling-U'!$A$4:$A$40,'Ceiling-U'!$J$4:$J$40)*Flat!T$15)+(LOOKUP(Flat!T$2,'Floor-U'!$A$4:$A$40,'Floor-U'!$J$4:$J$40)*Flat!T$16)+(LOOKUP(Flat!T$2,'Wall-U'!$A$4:$A$40,'Wall-U'!$J$4:$J$40)*Flat!T$13)+(LOOKUP(Flat!T$2,'Window-U'!$A$4:$A$40,'Window-U'!$S$4:$S$40)*Flat!T$22))*T70</f>
        <v>427.93070277233289</v>
      </c>
      <c r="U76" s="174">
        <f>((LOOKUP(Flat!U$2,'Ceiling-U'!$A$4:$A$40,'Ceiling-U'!$J$4:$J$40)*Flat!U$15)+(LOOKUP(Flat!U$2,'Floor-U'!$A$4:$A$40,'Floor-U'!$J$4:$J$40)*Flat!U$16)+(LOOKUP(Flat!U$2,'Wall-U'!$A$4:$A$40,'Wall-U'!$J$4:$J$40)*Flat!U$13)+(LOOKUP(Flat!U$2,'Window-U'!$A$4:$A$40,'Window-U'!$S$4:$S$40)*Flat!U$22))*U70</f>
        <v>1963.3479645428597</v>
      </c>
      <c r="V76" s="174">
        <f>((LOOKUP(Flat!V$2,'Ceiling-U'!$A$4:$A$40,'Ceiling-U'!$J$4:$J$40)*Flat!V$15)+(LOOKUP(Flat!V$2,'Floor-U'!$A$4:$A$40,'Floor-U'!$J$4:$J$40)*Flat!V$16)+(LOOKUP(Flat!V$2,'Wall-U'!$A$4:$A$40,'Wall-U'!$J$4:$J$40)*Flat!V$13)+(LOOKUP(Flat!V$2,'Window-U'!$A$4:$A$40,'Window-U'!$S$4:$S$40)*Flat!V$22))*V70</f>
        <v>353.58777566120602</v>
      </c>
      <c r="W76" s="174">
        <f>((LOOKUP(Flat!W$2,'Ceiling-U'!$A$4:$A$40,'Ceiling-U'!$J$4:$J$40)*Flat!W$15)+(LOOKUP(Flat!W$2,'Floor-U'!$A$4:$A$40,'Floor-U'!$J$4:$J$40)*Flat!W$16)+(LOOKUP(Flat!W$2,'Wall-U'!$A$4:$A$40,'Wall-U'!$J$4:$J$40)*Flat!W$13)+(LOOKUP(Flat!W$2,'Window-U'!$A$4:$A$40,'Window-U'!$S$4:$S$40)*Flat!W$22))*W70</f>
        <v>702.61000799320402</v>
      </c>
      <c r="X76" s="174">
        <f>((LOOKUP(Flat!X$2,'Ceiling-U'!$A$4:$A$40,'Ceiling-U'!$J$4:$J$40)*Flat!X$15)+(LOOKUP(Flat!X$2,'Floor-U'!$A$4:$A$40,'Floor-U'!$J$4:$J$40)*Flat!X$16)+(LOOKUP(Flat!X$2,'Wall-U'!$A$4:$A$40,'Wall-U'!$J$4:$J$40)*Flat!X$13)+(LOOKUP(Flat!X$2,'Window-U'!$A$4:$A$40,'Window-U'!$S$4:$S$40)*Flat!X$22))*X70</f>
        <v>337.91280280548852</v>
      </c>
      <c r="Y76" s="174">
        <f>((LOOKUP(Flat!Y$2,'Ceiling-U'!$A$4:$A$40,'Ceiling-U'!$J$4:$J$40)*Flat!Y$15)+(LOOKUP(Flat!Y$2,'Floor-U'!$A$4:$A$40,'Floor-U'!$J$4:$J$40)*Flat!Y$16)+(LOOKUP(Flat!Y$2,'Wall-U'!$A$4:$A$40,'Wall-U'!$J$4:$J$40)*Flat!Y$13)+(LOOKUP(Flat!Y$2,'Window-U'!$A$4:$A$40,'Window-U'!$S$4:$S$40)*Flat!Y$22))*Y70</f>
        <v>3029.2857919049152</v>
      </c>
      <c r="Z76" s="174">
        <f>((LOOKUP(Flat!Z$2,'Ceiling-U'!$A$4:$A$40,'Ceiling-U'!$J$4:$J$40)*Flat!Z$15)+(LOOKUP(Flat!Z$2,'Floor-U'!$A$4:$A$40,'Floor-U'!$J$4:$J$40)*Flat!Z$16)+(LOOKUP(Flat!Z$2,'Wall-U'!$A$4:$A$40,'Wall-U'!$J$4:$J$40)*Flat!Z$13)+(LOOKUP(Flat!Z$2,'Window-U'!$A$4:$A$40,'Window-U'!$S$4:$S$40)*Flat!Z$22))*Z70</f>
        <v>748.3447532807503</v>
      </c>
      <c r="AA76" s="174">
        <f>((LOOKUP(Flat!AA$2,'Ceiling-U'!$A$4:$A$40,'Ceiling-U'!$J$4:$J$40)*Flat!AA$15)+(LOOKUP(Flat!AA$2,'Floor-U'!$A$4:$A$40,'Floor-U'!$J$4:$J$40)*Flat!AA$16)+(LOOKUP(Flat!AA$2,'Wall-U'!$A$4:$A$40,'Wall-U'!$J$4:$J$40)*Flat!AA$13)+(LOOKUP(Flat!AA$2,'Window-U'!$A$4:$A$40,'Window-U'!$S$4:$S$40)*Flat!AA$22))*AA70</f>
        <v>359.12281315177108</v>
      </c>
      <c r="AB76" s="174">
        <f>((LOOKUP(Flat!AB$2,'Ceiling-U'!$A$4:$A$40,'Ceiling-U'!$J$4:$J$40)*Flat!AB$15)+(LOOKUP(Flat!AB$2,'Floor-U'!$A$4:$A$40,'Floor-U'!$J$4:$J$40)*Flat!AB$16)+(LOOKUP(Flat!AB$2,'Wall-U'!$A$4:$A$40,'Wall-U'!$J$4:$J$40)*Flat!AB$13)+(LOOKUP(Flat!AB$2,'Window-U'!$A$4:$A$40,'Window-U'!$S$4:$S$40)*Flat!AB$22))*AB70</f>
        <v>907.91981073551904</v>
      </c>
      <c r="AC76" s="174">
        <f>((LOOKUP(Flat!AC$2,'Ceiling-U'!$A$4:$A$40,'Ceiling-U'!$J$4:$J$40)*Flat!AC$15)+(LOOKUP(Flat!AC$2,'Floor-U'!$A$4:$A$40,'Floor-U'!$J$4:$J$40)*Flat!AC$16)+(LOOKUP(Flat!AC$2,'Wall-U'!$A$4:$A$40,'Wall-U'!$J$4:$J$40)*Flat!AC$13)+(LOOKUP(Flat!AC$2,'Window-U'!$A$4:$A$40,'Window-U'!$S$4:$S$40)*Flat!AC$22))*AC70</f>
        <v>1881.414020013108</v>
      </c>
      <c r="AD76" s="174">
        <f>((LOOKUP(Flat!AD$2,'Ceiling-U'!$A$4:$A$40,'Ceiling-U'!$J$4:$J$40)*Flat!AD$15)+(LOOKUP(Flat!AD$2,'Floor-U'!$A$4:$A$40,'Floor-U'!$J$4:$J$40)*Flat!AD$16)+(LOOKUP(Flat!AD$2,'Wall-U'!$A$4:$A$40,'Wall-U'!$J$4:$J$40)*Flat!AD$13)+(LOOKUP(Flat!AD$2,'Window-U'!$A$4:$A$40,'Window-U'!$S$4:$S$40)*Flat!AD$22))*AD70</f>
        <v>3215.8937734145716</v>
      </c>
      <c r="AE76" s="174">
        <f>((LOOKUP(Flat!AE$2,'Ceiling-U'!$A$4:$A$40,'Ceiling-U'!$J$4:$J$40)*Flat!AE$15)+(LOOKUP(Flat!AE$2,'Floor-U'!$A$4:$A$40,'Floor-U'!$J$4:$J$40)*Flat!AE$16)+(LOOKUP(Flat!AE$2,'Wall-U'!$A$4:$A$40,'Wall-U'!$J$4:$J$40)*Flat!AE$13)+(LOOKUP(Flat!AE$2,'Window-U'!$A$4:$A$40,'Window-U'!$S$4:$S$40)*Flat!AE$22))*AE70</f>
        <v>359.12281315177108</v>
      </c>
      <c r="AF76" s="174">
        <f>((LOOKUP(Flat!AF$2,'Ceiling-U'!$A$4:$A$40,'Ceiling-U'!$J$4:$J$40)*Flat!AF$15)+(LOOKUP(Flat!AF$2,'Floor-U'!$A$4:$A$40,'Floor-U'!$J$4:$J$40)*Flat!AF$16)+(LOOKUP(Flat!AF$2,'Wall-U'!$A$4:$A$40,'Wall-U'!$J$4:$J$40)*Flat!AF$13)+(LOOKUP(Flat!AF$2,'Window-U'!$A$4:$A$40,'Window-U'!$S$4:$S$40)*Flat!AF$22))*AF70</f>
        <v>420.33538000766214</v>
      </c>
      <c r="AG76" s="174">
        <f>((LOOKUP(Flat!AG$2,'Ceiling-U'!$A$4:$A$40,'Ceiling-U'!$J$4:$J$40)*Flat!AG$15)+(LOOKUP(Flat!AG$2,'Floor-U'!$A$4:$A$40,'Floor-U'!$J$4:$J$40)*Flat!AG$16)+(LOOKUP(Flat!AG$2,'Wall-U'!$A$4:$A$40,'Wall-U'!$J$4:$J$40)*Flat!AG$13)+(LOOKUP(Flat!AG$2,'Window-U'!$A$4:$A$40,'Window-U'!$S$4:$S$40)*Flat!AG$22))*AG70</f>
        <v>812.71129151883542</v>
      </c>
      <c r="AH76" s="174">
        <f>((LOOKUP(Flat!AH$2,'Ceiling-U'!$A$4:$A$40,'Ceiling-U'!$J$4:$J$40)*Flat!AH$15)+(LOOKUP(Flat!AH$2,'Floor-U'!$A$4:$A$40,'Floor-U'!$J$4:$J$40)*Flat!AH$16)+(LOOKUP(Flat!AH$2,'Wall-U'!$A$4:$A$40,'Wall-U'!$J$4:$J$40)*Flat!AH$13)+(LOOKUP(Flat!AH$2,'Window-U'!$A$4:$A$40,'Window-U'!$S$4:$S$40)*Flat!AH$22))*AH70</f>
        <v>1346.3216890706594</v>
      </c>
      <c r="AI76" s="174">
        <f>((LOOKUP(Flat!AI$2,'Ceiling-U'!$A$4:$A$40,'Ceiling-U'!$J$4:$J$40)*Flat!AI$15)+(LOOKUP(Flat!AI$2,'Floor-U'!$A$4:$A$40,'Floor-U'!$J$4:$J$40)*Flat!AI$16)+(LOOKUP(Flat!AI$2,'Wall-U'!$A$4:$A$40,'Wall-U'!$J$4:$J$40)*Flat!AI$13)+(LOOKUP(Flat!AI$2,'Window-U'!$A$4:$A$40,'Window-U'!$S$4:$S$40)*Flat!AI$22))*AI70</f>
        <v>1076.0948515597227</v>
      </c>
      <c r="AJ76" s="174">
        <f>((LOOKUP(Flat!AJ$2,'Ceiling-U'!$A$4:$A$40,'Ceiling-U'!$J$4:$J$40)*Flat!AJ$15)+(LOOKUP(Flat!AJ$2,'Floor-U'!$A$4:$A$40,'Floor-U'!$J$4:$J$40)*Flat!AJ$16)+(LOOKUP(Flat!AJ$2,'Wall-U'!$A$4:$A$40,'Wall-U'!$J$4:$J$40)*Flat!AJ$13)+(LOOKUP(Flat!AJ$2,'Window-U'!$A$4:$A$40,'Window-U'!$S$4:$S$40)*Flat!AJ$22))*AJ70</f>
        <v>1311.198008014851</v>
      </c>
      <c r="AK76" s="174">
        <f>((LOOKUP(Flat!AK$2,'Ceiling-U'!$A$4:$A$40,'Ceiling-U'!$J$4:$J$40)*Flat!AK$15)+(LOOKUP(Flat!AK$2,'Floor-U'!$A$4:$A$40,'Floor-U'!$J$4:$J$40)*Flat!AK$16)+(LOOKUP(Flat!AK$2,'Wall-U'!$A$4:$A$40,'Wall-U'!$J$4:$J$40)*Flat!AK$13)+(LOOKUP(Flat!AK$2,'Window-U'!$A$4:$A$40,'Window-U'!$S$4:$S$40)*Flat!AK$22))*AK70</f>
        <v>1426.8497258395837</v>
      </c>
      <c r="AL76" s="174">
        <f>((LOOKUP(Flat!AL$2,'Ceiling-U'!$A$4:$A$40,'Ceiling-U'!$J$4:$J$40)*Flat!AL$15)+(LOOKUP(Flat!AL$2,'Floor-U'!$A$4:$A$40,'Floor-U'!$J$4:$J$40)*Flat!AL$16)+(LOOKUP(Flat!AL$2,'Wall-U'!$A$4:$A$40,'Wall-U'!$J$4:$J$40)*Flat!AL$13)+(LOOKUP(Flat!AL$2,'Window-U'!$A$4:$A$40,'Window-U'!$S$4:$S$40)*Flat!AL$22))*AL70</f>
        <v>699.58784506812401</v>
      </c>
      <c r="AM76" s="174">
        <f>((LOOKUP(Flat!AM$2,'Ceiling-U'!$A$4:$A$40,'Ceiling-U'!$J$4:$J$40)*Flat!AM$15)+(LOOKUP(Flat!AM$2,'Floor-U'!$A$4:$A$40,'Floor-U'!$J$4:$J$40)*Flat!AM$16)+(LOOKUP(Flat!AM$2,'Wall-U'!$A$4:$A$40,'Wall-U'!$J$4:$J$40)*Flat!AM$13)+(LOOKUP(Flat!AM$2,'Window-U'!$A$4:$A$40,'Window-U'!$S$4:$S$40)*Flat!AM$22))*AM70</f>
        <v>1311.198008014851</v>
      </c>
      <c r="AN76" s="175">
        <f>((LOOKUP(Flat!AN$2,'Ceiling-U'!$A$4:$A$40,'Ceiling-U'!$J$4:$J$40)*Flat!AN$15)+(LOOKUP(Flat!AN$2,'Floor-U'!$A$4:$A$40,'Floor-U'!$J$4:$J$40)*Flat!AN$16)+(LOOKUP(Flat!AN$2,'Wall-U'!$A$4:$A$40,'Wall-U'!$J$4:$J$40)*Flat!AN$13)+(LOOKUP(Flat!AN$2,'Window-U'!$A$4:$A$40,'Window-U'!$S$4:$S$40)*Flat!AN$22))*AN70</f>
        <v>1311.198008014851</v>
      </c>
    </row>
    <row r="77" spans="1:40" s="5" customFormat="1">
      <c r="A77" s="332" t="s">
        <v>280</v>
      </c>
      <c r="B77" s="142" t="s">
        <v>2</v>
      </c>
      <c r="C77" s="360" t="s">
        <v>261</v>
      </c>
      <c r="D77" s="351">
        <f>D71*24*LOOKUP(Flat!D$2,'HDD-by Country'!$A$4:$A$40,'HDD-by Country'!$C$4:$C$40)/1000/Flat!D$3</f>
        <v>9975.18455179171</v>
      </c>
      <c r="E77" s="352">
        <f>E71*24*LOOKUP(Flat!E$2,'HDD-by Country'!$A$4:$A$40,'HDD-by Country'!$C$4:$C$40)/1000/Flat!E$3</f>
        <v>9830.5319400596163</v>
      </c>
      <c r="F77" s="352">
        <f>F71*24*LOOKUP(Flat!F$2,'HDD-by Country'!$A$4:$A$40,'HDD-by Country'!$C$4:$C$40)/1000/Flat!F$3</f>
        <v>5603.5258260819328</v>
      </c>
      <c r="G77" s="352">
        <f>G71*24*LOOKUP(Flat!G$2,'HDD-by Country'!$A$4:$A$40,'HDD-by Country'!$C$4:$C$40)/1000/Flat!G$3</f>
        <v>9718.4086763678606</v>
      </c>
      <c r="H77" s="352">
        <f>H71*24*LOOKUP(Flat!H$2,'HDD-by Country'!$A$4:$A$40,'HDD-by Country'!$C$4:$C$40)/1000/Flat!H$3</f>
        <v>3699.6851916983528</v>
      </c>
      <c r="I77" s="352">
        <f>I71*24*LOOKUP(Flat!I$2,'HDD-by Country'!$A$4:$A$40,'HDD-by Country'!$C$4:$C$40)/1000/Flat!I$3</f>
        <v>6088.6358192397847</v>
      </c>
      <c r="J77" s="352">
        <f>J71*24*LOOKUP(Flat!J$2,'HDD-by Country'!$A$4:$A$40,'HDD-by Country'!$C$4:$C$40)/1000/Flat!J$3</f>
        <v>9816.3416411527469</v>
      </c>
      <c r="K77" s="352">
        <f>K71*24*LOOKUP(Flat!K$2,'HDD-by Country'!$A$4:$A$40,'HDD-by Country'!$C$4:$C$40)/1000/Flat!K$3</f>
        <v>4933.3988641168526</v>
      </c>
      <c r="L77" s="352">
        <f>L71*24*LOOKUP(Flat!L$2,'HDD-by Country'!$A$4:$A$40,'HDD-by Country'!$C$4:$C$40)/1000/Flat!L$3</f>
        <v>3491.2417268137697</v>
      </c>
      <c r="M77" s="352">
        <f>M71*24*LOOKUP(Flat!M$2,'HDD-by Country'!$A$4:$A$40,'HDD-by Country'!$C$4:$C$40)/1000/Flat!M$3</f>
        <v>12235.721539308102</v>
      </c>
      <c r="N77" s="352">
        <f>N71*24*LOOKUP(Flat!N$2,'HDD-by Country'!$A$4:$A$40,'HDD-by Country'!$C$4:$C$40)/1000/Flat!N$3</f>
        <v>4390.4126276964744</v>
      </c>
      <c r="O77" s="352">
        <f>O71*24*LOOKUP(Flat!O$2,'HDD-by Country'!$A$4:$A$40,'HDD-by Country'!$C$4:$C$40)/1000/Flat!O$3</f>
        <v>11038.39825805211</v>
      </c>
      <c r="P77" s="352">
        <f>P71*24*LOOKUP(Flat!P$2,'HDD-by Country'!$A$4:$A$40,'HDD-by Country'!$C$4:$C$40)/1000/Flat!P$3</f>
        <v>10140.814644345952</v>
      </c>
      <c r="Q77" s="352">
        <f>Q71*24*LOOKUP(Flat!Q$2,'HDD-by Country'!$A$4:$A$40,'HDD-by Country'!$C$4:$C$40)/1000/Flat!Q$3</f>
        <v>5773.1084075173721</v>
      </c>
      <c r="R77" s="352">
        <f>R71*24*LOOKUP(Flat!R$2,'HDD-by Country'!$A$4:$A$40,'HDD-by Country'!$C$4:$C$40)/1000/Flat!R$3</f>
        <v>6423.4550989395302</v>
      </c>
      <c r="S77" s="352">
        <f>S71*24*LOOKUP(Flat!S$2,'HDD-by Country'!$A$4:$A$40,'HDD-by Country'!$C$4:$C$40)/1000/Flat!S$3</f>
        <v>5714.430304162528</v>
      </c>
      <c r="T77" s="352">
        <f>T71*24*LOOKUP(Flat!T$2,'HDD-by Country'!$A$4:$A$40,'HDD-by Country'!$C$4:$C$40)/1000/Flat!T$3</f>
        <v>5165.8785332172783</v>
      </c>
      <c r="U77" s="352">
        <f>U71*24*LOOKUP(Flat!U$2,'HDD-by Country'!$A$4:$A$40,'HDD-by Country'!$C$4:$C$40)/1000/Flat!U$3</f>
        <v>8246.5879505014018</v>
      </c>
      <c r="V77" s="352">
        <f>V71*24*LOOKUP(Flat!V$2,'HDD-by Country'!$A$4:$A$40,'HDD-by Country'!$C$4:$C$40)/1000/Flat!V$3</f>
        <v>6436.097671364083</v>
      </c>
      <c r="W77" s="352">
        <f>W71*24*LOOKUP(Flat!W$2,'HDD-by Country'!$A$4:$A$40,'HDD-by Country'!$C$4:$C$40)/1000/Flat!W$3</f>
        <v>8417.0905063405771</v>
      </c>
      <c r="X77" s="352">
        <f>X71*24*LOOKUP(Flat!X$2,'HDD-by Country'!$A$4:$A$40,'HDD-by Country'!$C$4:$C$40)/1000/Flat!X$3</f>
        <v>6977.5912597693914</v>
      </c>
      <c r="Y77" s="352">
        <f>Y71*24*LOOKUP(Flat!Y$2,'HDD-by Country'!$A$4:$A$40,'HDD-by Country'!$C$4:$C$40)/1000/Flat!Y$3</f>
        <v>3286.3342290559726</v>
      </c>
      <c r="Z77" s="352">
        <f>Z71*24*LOOKUP(Flat!Z$2,'HDD-by Country'!$A$4:$A$40,'HDD-by Country'!$C$4:$C$40)/1000/Flat!Z$3</f>
        <v>10652.651509113646</v>
      </c>
      <c r="AA77" s="352">
        <f>AA71*24*LOOKUP(Flat!AA$2,'HDD-by Country'!$A$4:$A$40,'HDD-by Country'!$C$4:$C$40)/1000/Flat!AA$3</f>
        <v>5110.0783041756795</v>
      </c>
      <c r="AB77" s="352">
        <f>AB71*24*LOOKUP(Flat!AB$2,'HDD-by Country'!$A$4:$A$40,'HDD-by Country'!$C$4:$C$40)/1000/Flat!AB$3</f>
        <v>8331.8030840577485</v>
      </c>
      <c r="AC77" s="352">
        <f>AC71*24*LOOKUP(Flat!AC$2,'HDD-by Country'!$A$4:$A$40,'HDD-by Country'!$C$4:$C$40)/1000/Flat!AC$3</f>
        <v>6523.0673197893975</v>
      </c>
      <c r="AD77" s="352">
        <f>AD71*24*LOOKUP(Flat!AD$2,'HDD-by Country'!$A$4:$A$40,'HDD-by Country'!$C$4:$C$40)/1000/Flat!AD$3</f>
        <v>5148.2338481250954</v>
      </c>
      <c r="AE77" s="352">
        <f>AE71*24*LOOKUP(Flat!AE$2,'HDD-by Country'!$A$4:$A$40,'HDD-by Country'!$C$4:$C$40)/1000/Flat!AE$3</f>
        <v>4927.2522649543744</v>
      </c>
      <c r="AF77" s="352">
        <f>AF71*24*LOOKUP(Flat!AF$2,'HDD-by Country'!$A$4:$A$40,'HDD-by Country'!$C$4:$C$40)/1000/Flat!AF$3</f>
        <v>6498.0602172763956</v>
      </c>
      <c r="AG77" s="352">
        <f>AG71*24*LOOKUP(Flat!AG$2,'HDD-by Country'!$A$4:$A$40,'HDD-by Country'!$C$4:$C$40)/1000/Flat!AG$3</f>
        <v>9922.205858233614</v>
      </c>
      <c r="AH77" s="352">
        <f>AH71*24*LOOKUP(Flat!AH$2,'HDD-by Country'!$A$4:$A$40,'HDD-by Country'!$C$4:$C$40)/1000/Flat!AH$3</f>
        <v>5009.6691554759564</v>
      </c>
      <c r="AI77" s="352">
        <f>AI71*24*LOOKUP(Flat!AI$2,'HDD-by Country'!$A$4:$A$40,'HDD-by Country'!$C$4:$C$40)/1000/Flat!AI$3</f>
        <v>7957.9636492756008</v>
      </c>
      <c r="AJ77" s="352">
        <f>AJ71*24*LOOKUP(Flat!AJ$2,'HDD-by Country'!$A$4:$A$40,'HDD-by Country'!$C$4:$C$40)/1000/Flat!AJ$3</f>
        <v>7149.7758923947285</v>
      </c>
      <c r="AK77" s="352">
        <f>AK71*24*LOOKUP(Flat!AK$2,'HDD-by Country'!$A$4:$A$40,'HDD-by Country'!$C$4:$C$40)/1000/Flat!AK$3</f>
        <v>6922.4171645371916</v>
      </c>
      <c r="AL77" s="352">
        <f>AL71*24*LOOKUP(Flat!AL$2,'HDD-by Country'!$A$4:$A$40,'HDD-by Country'!$C$4:$C$40)/1000/Flat!AL$3</f>
        <v>7248.1059511458097</v>
      </c>
      <c r="AM77" s="352">
        <f>AM71*24*LOOKUP(Flat!AM$2,'HDD-by Country'!$A$4:$A$40,'HDD-by Country'!$C$4:$C$40)/1000/Flat!AM$3</f>
        <v>6574.7596929721549</v>
      </c>
      <c r="AN77" s="353">
        <f>AN71*24*LOOKUP(Flat!AN$2,'HDD-by Country'!$A$4:$A$40,'HDD-by Country'!$C$4:$C$40)/1000/Flat!AN$3</f>
        <v>6574.7596929721549</v>
      </c>
    </row>
    <row r="78" spans="1:40" s="5" customFormat="1">
      <c r="A78" s="129"/>
      <c r="B78" s="142" t="s">
        <v>3</v>
      </c>
      <c r="C78" s="129" t="s">
        <v>261</v>
      </c>
      <c r="D78" s="345">
        <f>D72*24*LOOKUP(Flat!D$2,'HDD-by Country'!$A$4:$A$40,'HDD-by Country'!$C$4:$C$40)/1000/Flat!D$3</f>
        <v>8707.5250499574431</v>
      </c>
      <c r="E78" s="349">
        <f>E72*24*LOOKUP(Flat!E$2,'HDD-by Country'!$A$4:$A$40,'HDD-by Country'!$C$4:$C$40)/1000/Flat!E$3</f>
        <v>9830.5319400596163</v>
      </c>
      <c r="F78" s="349">
        <f>F72*24*LOOKUP(Flat!F$2,'HDD-by Country'!$A$4:$A$40,'HDD-by Country'!$C$4:$C$40)/1000/Flat!F$3</f>
        <v>5603.5258260819328</v>
      </c>
      <c r="G78" s="349">
        <f>G72*24*LOOKUP(Flat!G$2,'HDD-by Country'!$A$4:$A$40,'HDD-by Country'!$C$4:$C$40)/1000/Flat!G$3</f>
        <v>8483.3805886826576</v>
      </c>
      <c r="H78" s="349">
        <f>H72*24*LOOKUP(Flat!H$2,'HDD-by Country'!$A$4:$A$40,'HDD-by Country'!$C$4:$C$40)/1000/Flat!H$3</f>
        <v>3315.6211118445835</v>
      </c>
      <c r="I78" s="349">
        <f>I72*24*LOOKUP(Flat!I$2,'HDD-by Country'!$A$4:$A$40,'HDD-by Country'!$C$4:$C$40)/1000/Flat!I$3</f>
        <v>5225.5997718689623</v>
      </c>
      <c r="J78" s="349">
        <f>J72*24*LOOKUP(Flat!J$2,'HDD-by Country'!$A$4:$A$40,'HDD-by Country'!$C$4:$C$40)/1000/Flat!J$3</f>
        <v>7960.9049854028053</v>
      </c>
      <c r="K78" s="349">
        <f>K72*24*LOOKUP(Flat!K$2,'HDD-by Country'!$A$4:$A$40,'HDD-by Country'!$C$4:$C$40)/1000/Flat!K$3</f>
        <v>4828.144380316292</v>
      </c>
      <c r="L78" s="349">
        <f>L72*24*LOOKUP(Flat!L$2,'HDD-by Country'!$A$4:$A$40,'HDD-by Country'!$C$4:$C$40)/1000/Flat!L$3</f>
        <v>3491.2417268137697</v>
      </c>
      <c r="M78" s="349">
        <f>M72*24*LOOKUP(Flat!M$2,'HDD-by Country'!$A$4:$A$40,'HDD-by Country'!$C$4:$C$40)/1000/Flat!M$3</f>
        <v>10580.301494586873</v>
      </c>
      <c r="N78" s="349">
        <f>N72*24*LOOKUP(Flat!N$2,'HDD-by Country'!$A$4:$A$40,'HDD-by Country'!$C$4:$C$40)/1000/Flat!N$3</f>
        <v>3964.6192525167094</v>
      </c>
      <c r="O78" s="349">
        <f>O72*24*LOOKUP(Flat!O$2,'HDD-by Country'!$A$4:$A$40,'HDD-by Country'!$C$4:$C$40)/1000/Flat!O$3</f>
        <v>11038.39825805211</v>
      </c>
      <c r="P78" s="349">
        <f>P72*24*LOOKUP(Flat!P$2,'HDD-by Country'!$A$4:$A$40,'HDD-by Country'!$C$4:$C$40)/1000/Flat!P$3</f>
        <v>10140.814644345952</v>
      </c>
      <c r="Q78" s="349">
        <f>Q72*24*LOOKUP(Flat!Q$2,'HDD-by Country'!$A$4:$A$40,'HDD-by Country'!$C$4:$C$40)/1000/Flat!Q$3</f>
        <v>6370.9765375908601</v>
      </c>
      <c r="R78" s="349">
        <f>R72*24*LOOKUP(Flat!R$2,'HDD-by Country'!$A$4:$A$40,'HDD-by Country'!$C$4:$C$40)/1000/Flat!R$3</f>
        <v>6423.4550989395302</v>
      </c>
      <c r="S78" s="349">
        <f>S72*24*LOOKUP(Flat!S$2,'HDD-by Country'!$A$4:$A$40,'HDD-by Country'!$C$4:$C$40)/1000/Flat!S$3</f>
        <v>5806.7065888307498</v>
      </c>
      <c r="T78" s="349">
        <f>T72*24*LOOKUP(Flat!T$2,'HDD-by Country'!$A$4:$A$40,'HDD-by Country'!$C$4:$C$40)/1000/Flat!T$3</f>
        <v>4708.2726790027937</v>
      </c>
      <c r="U78" s="349">
        <f>U72*24*LOOKUP(Flat!U$2,'HDD-by Country'!$A$4:$A$40,'HDD-by Country'!$C$4:$C$40)/1000/Flat!U$3</f>
        <v>7566.0793044456877</v>
      </c>
      <c r="V78" s="349">
        <f>V72*24*LOOKUP(Flat!V$2,'HDD-by Country'!$A$4:$A$40,'HDD-by Country'!$C$4:$C$40)/1000/Flat!V$3</f>
        <v>6436.097671364083</v>
      </c>
      <c r="W78" s="349">
        <f>W72*24*LOOKUP(Flat!W$2,'HDD-by Country'!$A$4:$A$40,'HDD-by Country'!$C$4:$C$40)/1000/Flat!W$3</f>
        <v>10230.0825982767</v>
      </c>
      <c r="X78" s="349">
        <f>X72*24*LOOKUP(Flat!X$2,'HDD-by Country'!$A$4:$A$40,'HDD-by Country'!$C$4:$C$40)/1000/Flat!X$3</f>
        <v>6977.5912597693914</v>
      </c>
      <c r="Y78" s="349">
        <f>Y72*24*LOOKUP(Flat!Y$2,'HDD-by Country'!$A$4:$A$40,'HDD-by Country'!$C$4:$C$40)/1000/Flat!Y$3</f>
        <v>3282.7175380101917</v>
      </c>
      <c r="Z78" s="349">
        <f>Z72*24*LOOKUP(Flat!Z$2,'HDD-by Country'!$A$4:$A$40,'HDD-by Country'!$C$4:$C$40)/1000/Flat!Z$3</f>
        <v>8559.1155551450956</v>
      </c>
      <c r="AA78" s="349">
        <f>AA72*24*LOOKUP(Flat!AA$2,'HDD-by Country'!$A$4:$A$40,'HDD-by Country'!$C$4:$C$40)/1000/Flat!AA$3</f>
        <v>5110.0783041756795</v>
      </c>
      <c r="AB78" s="349">
        <f>AB72*24*LOOKUP(Flat!AB$2,'HDD-by Country'!$A$4:$A$40,'HDD-by Country'!$C$4:$C$40)/1000/Flat!AB$3</f>
        <v>5846.1444560474602</v>
      </c>
      <c r="AC78" s="349">
        <f>AC72*24*LOOKUP(Flat!AC$2,'HDD-by Country'!$A$4:$A$40,'HDD-by Country'!$C$4:$C$40)/1000/Flat!AC$3</f>
        <v>5485.931535958046</v>
      </c>
      <c r="AD78" s="349">
        <f>AD72*24*LOOKUP(Flat!AD$2,'HDD-by Country'!$A$4:$A$40,'HDD-by Country'!$C$4:$C$40)/1000/Flat!AD$3</f>
        <v>4603.5099674311368</v>
      </c>
      <c r="AE78" s="349">
        <f>AE72*24*LOOKUP(Flat!AE$2,'HDD-by Country'!$A$4:$A$40,'HDD-by Country'!$C$4:$C$40)/1000/Flat!AE$3</f>
        <v>4927.2522649543744</v>
      </c>
      <c r="AF78" s="349">
        <f>AF72*24*LOOKUP(Flat!AF$2,'HDD-by Country'!$A$4:$A$40,'HDD-by Country'!$C$4:$C$40)/1000/Flat!AF$3</f>
        <v>6498.0602172763956</v>
      </c>
      <c r="AG78" s="349">
        <f>AG72*24*LOOKUP(Flat!AG$2,'HDD-by Country'!$A$4:$A$40,'HDD-by Country'!$C$4:$C$40)/1000/Flat!AG$3</f>
        <v>8015.3328785868889</v>
      </c>
      <c r="AH78" s="349">
        <f>AH72*24*LOOKUP(Flat!AH$2,'HDD-by Country'!$A$4:$A$40,'HDD-by Country'!$C$4:$C$40)/1000/Flat!AH$3</f>
        <v>5393.4766471556777</v>
      </c>
      <c r="AI78" s="349">
        <f>AI72*24*LOOKUP(Flat!AI$2,'HDD-by Country'!$A$4:$A$40,'HDD-by Country'!$C$4:$C$40)/1000/Flat!AI$3</f>
        <v>7957.9636492756008</v>
      </c>
      <c r="AJ78" s="349">
        <f>AJ72*24*LOOKUP(Flat!AJ$2,'HDD-by Country'!$A$4:$A$40,'HDD-by Country'!$C$4:$C$40)/1000/Flat!AJ$3</f>
        <v>7149.7758923947285</v>
      </c>
      <c r="AK78" s="349">
        <f>AK72*24*LOOKUP(Flat!AK$2,'HDD-by Country'!$A$4:$A$40,'HDD-by Country'!$C$4:$C$40)/1000/Flat!AK$3</f>
        <v>6922.4171645371916</v>
      </c>
      <c r="AL78" s="349">
        <f>AL72*24*LOOKUP(Flat!AL$2,'HDD-by Country'!$A$4:$A$40,'HDD-by Country'!$C$4:$C$40)/1000/Flat!AL$3</f>
        <v>7248.1059511458097</v>
      </c>
      <c r="AM78" s="349">
        <f>AM72*24*LOOKUP(Flat!AM$2,'HDD-by Country'!$A$4:$A$40,'HDD-by Country'!$C$4:$C$40)/1000/Flat!AM$3</f>
        <v>6574.7596929721549</v>
      </c>
      <c r="AN78" s="354">
        <f>AN72*24*LOOKUP(Flat!AN$2,'HDD-by Country'!$A$4:$A$40,'HDD-by Country'!$C$4:$C$40)/1000/Flat!AN$3</f>
        <v>6574.7596929721549</v>
      </c>
    </row>
    <row r="79" spans="1:40" s="5" customFormat="1">
      <c r="A79" s="129"/>
      <c r="B79" s="142" t="s">
        <v>4</v>
      </c>
      <c r="C79" s="129" t="s">
        <v>261</v>
      </c>
      <c r="D79" s="345">
        <f>D73*24*LOOKUP(Flat!D$2,'HDD-by Country'!$A$4:$A$40,'HDD-by Country'!$C$4:$C$40)/1000/Flat!D$3</f>
        <v>6718.3124063832338</v>
      </c>
      <c r="E79" s="349">
        <f>E73*24*LOOKUP(Flat!E$2,'HDD-by Country'!$A$4:$A$40,'HDD-by Country'!$C$4:$C$40)/1000/Flat!E$3</f>
        <v>9830.5319400596163</v>
      </c>
      <c r="F79" s="349">
        <f>F73*24*LOOKUP(Flat!F$2,'HDD-by Country'!$A$4:$A$40,'HDD-by Country'!$C$4:$C$40)/1000/Flat!F$3</f>
        <v>5196.3179635563865</v>
      </c>
      <c r="G79" s="349">
        <f>G73*24*LOOKUP(Flat!G$2,'HDD-by Country'!$A$4:$A$40,'HDD-by Country'!$C$4:$C$40)/1000/Flat!G$3</f>
        <v>6545.3731950269785</v>
      </c>
      <c r="H79" s="349">
        <f>H73*24*LOOKUP(Flat!H$2,'HDD-by Country'!$A$4:$A$40,'HDD-by Country'!$C$4:$C$40)/1000/Flat!H$3</f>
        <v>2931.5570319908143</v>
      </c>
      <c r="I79" s="349">
        <f>I73*24*LOOKUP(Flat!I$2,'HDD-by Country'!$A$4:$A$40,'HDD-by Country'!$C$4:$C$40)/1000/Flat!I$3</f>
        <v>5225.5997718689623</v>
      </c>
      <c r="J79" s="349">
        <f>J73*24*LOOKUP(Flat!J$2,'HDD-by Country'!$A$4:$A$40,'HDD-by Country'!$C$4:$C$40)/1000/Flat!J$3</f>
        <v>4547.5341900763215</v>
      </c>
      <c r="K79" s="349">
        <f>K73*24*LOOKUP(Flat!K$2,'HDD-by Country'!$A$4:$A$40,'HDD-by Country'!$C$4:$C$40)/1000/Flat!K$3</f>
        <v>2920.7284885682147</v>
      </c>
      <c r="L79" s="349">
        <f>L73*24*LOOKUP(Flat!L$2,'HDD-by Country'!$A$4:$A$40,'HDD-by Country'!$C$4:$C$40)/1000/Flat!L$3</f>
        <v>2628.4230122099771</v>
      </c>
      <c r="M79" s="349">
        <f>M73*24*LOOKUP(Flat!M$2,'HDD-by Country'!$A$4:$A$40,'HDD-by Country'!$C$4:$C$40)/1000/Flat!M$3</f>
        <v>10580.301494586873</v>
      </c>
      <c r="N79" s="349">
        <f>N73*24*LOOKUP(Flat!N$2,'HDD-by Country'!$A$4:$A$40,'HDD-by Country'!$C$4:$C$40)/1000/Flat!N$3</f>
        <v>3119.5831236951203</v>
      </c>
      <c r="O79" s="349">
        <f>O73*24*LOOKUP(Flat!O$2,'HDD-by Country'!$A$4:$A$40,'HDD-by Country'!$C$4:$C$40)/1000/Flat!O$3</f>
        <v>4376.4448403429033</v>
      </c>
      <c r="P79" s="349">
        <f>P73*24*LOOKUP(Flat!P$2,'HDD-by Country'!$A$4:$A$40,'HDD-by Country'!$C$4:$C$40)/1000/Flat!P$3</f>
        <v>10140.814644345952</v>
      </c>
      <c r="Q79" s="349">
        <f>Q73*24*LOOKUP(Flat!Q$2,'HDD-by Country'!$A$4:$A$40,'HDD-by Country'!$C$4:$C$40)/1000/Flat!Q$3</f>
        <v>5784.9937341335317</v>
      </c>
      <c r="R79" s="349">
        <f>R73*24*LOOKUP(Flat!R$2,'HDD-by Country'!$A$4:$A$40,'HDD-by Country'!$C$4:$C$40)/1000/Flat!R$3</f>
        <v>5335.9006826513378</v>
      </c>
      <c r="S79" s="349">
        <f>S73*24*LOOKUP(Flat!S$2,'HDD-by Country'!$A$4:$A$40,'HDD-by Country'!$C$4:$C$40)/1000/Flat!S$3</f>
        <v>4900.2800049345542</v>
      </c>
      <c r="T79" s="349">
        <f>T73*24*LOOKUP(Flat!T$2,'HDD-by Country'!$A$4:$A$40,'HDD-by Country'!$C$4:$C$40)/1000/Flat!T$3</f>
        <v>3619.7077859216633</v>
      </c>
      <c r="U79" s="349">
        <f>U73*24*LOOKUP(Flat!U$2,'HDD-by Country'!$A$4:$A$40,'HDD-by Country'!$C$4:$C$40)/1000/Flat!U$3</f>
        <v>7340.5811364456877</v>
      </c>
      <c r="V79" s="349">
        <f>V73*24*LOOKUP(Flat!V$2,'HDD-by Country'!$A$4:$A$40,'HDD-by Country'!$C$4:$C$40)/1000/Flat!V$3</f>
        <v>3767.284861749135</v>
      </c>
      <c r="W79" s="349">
        <f>W73*24*LOOKUP(Flat!W$2,'HDD-by Country'!$A$4:$A$40,'HDD-by Country'!$C$4:$C$40)/1000/Flat!W$3</f>
        <v>4548.779020271958</v>
      </c>
      <c r="X79" s="349">
        <f>X73*24*LOOKUP(Flat!X$2,'HDD-by Country'!$A$4:$A$40,'HDD-by Country'!$C$4:$C$40)/1000/Flat!X$3</f>
        <v>6335.6439237924515</v>
      </c>
      <c r="Y79" s="349">
        <f>Y73*24*LOOKUP(Flat!Y$2,'HDD-by Country'!$A$4:$A$40,'HDD-by Country'!$C$4:$C$40)/1000/Flat!Y$3</f>
        <v>2405.1427687515488</v>
      </c>
      <c r="Z79" s="349">
        <f>Z73*24*LOOKUP(Flat!Z$2,'HDD-by Country'!$A$4:$A$40,'HDD-by Country'!$C$4:$C$40)/1000/Flat!Z$3</f>
        <v>8358.0788465071746</v>
      </c>
      <c r="AA79" s="349">
        <f>AA73*24*LOOKUP(Flat!AA$2,'HDD-by Country'!$A$4:$A$40,'HDD-by Country'!$C$4:$C$40)/1000/Flat!AA$3</f>
        <v>2993.9361613581668</v>
      </c>
      <c r="AB79" s="349">
        <f>AB73*24*LOOKUP(Flat!AB$2,'HDD-by Country'!$A$4:$A$40,'HDD-by Country'!$C$4:$C$40)/1000/Flat!AB$3</f>
        <v>3805.693141424837</v>
      </c>
      <c r="AC79" s="349">
        <f>AC73*24*LOOKUP(Flat!AC$2,'HDD-by Country'!$A$4:$A$40,'HDD-by Country'!$C$4:$C$40)/1000/Flat!AC$3</f>
        <v>5396.7103381794859</v>
      </c>
      <c r="AD79" s="349">
        <f>AD73*24*LOOKUP(Flat!AD$2,'HDD-by Country'!$A$4:$A$40,'HDD-by Country'!$C$4:$C$40)/1000/Flat!AD$3</f>
        <v>4603.5099674311368</v>
      </c>
      <c r="AE79" s="349">
        <f>AE73*24*LOOKUP(Flat!AE$2,'HDD-by Country'!$A$4:$A$40,'HDD-by Country'!$C$4:$C$40)/1000/Flat!AE$3</f>
        <v>2886.8204857304036</v>
      </c>
      <c r="AF79" s="349">
        <f>AF73*24*LOOKUP(Flat!AF$2,'HDD-by Country'!$A$4:$A$40,'HDD-by Country'!$C$4:$C$40)/1000/Flat!AF$3</f>
        <v>6214.712606782994</v>
      </c>
      <c r="AG79" s="349">
        <f>AG73*24*LOOKUP(Flat!AG$2,'HDD-by Country'!$A$4:$A$40,'HDD-by Country'!$C$4:$C$40)/1000/Flat!AG$3</f>
        <v>8015.3328785868889</v>
      </c>
      <c r="AH79" s="349">
        <f>AH73*24*LOOKUP(Flat!AH$2,'HDD-by Country'!$A$4:$A$40,'HDD-by Country'!$C$4:$C$40)/1000/Flat!AH$3</f>
        <v>4220.5080089903331</v>
      </c>
      <c r="AI79" s="349">
        <f>AI73*24*LOOKUP(Flat!AI$2,'HDD-by Country'!$A$4:$A$40,'HDD-by Country'!$C$4:$C$40)/1000/Flat!AI$3</f>
        <v>7957.9636492756008</v>
      </c>
      <c r="AJ79" s="349">
        <f>AJ73*24*LOOKUP(Flat!AJ$2,'HDD-by Country'!$A$4:$A$40,'HDD-by Country'!$C$4:$C$40)/1000/Flat!AJ$3</f>
        <v>7149.7758923947285</v>
      </c>
      <c r="AK79" s="349">
        <f>AK73*24*LOOKUP(Flat!AK$2,'HDD-by Country'!$A$4:$A$40,'HDD-by Country'!$C$4:$C$40)/1000/Flat!AK$3</f>
        <v>6922.4171645371916</v>
      </c>
      <c r="AL79" s="349">
        <f>AL73*24*LOOKUP(Flat!AL$2,'HDD-by Country'!$A$4:$A$40,'HDD-by Country'!$C$4:$C$40)/1000/Flat!AL$3</f>
        <v>6718.4828682148946</v>
      </c>
      <c r="AM79" s="349">
        <f>AM73*24*LOOKUP(Flat!AM$2,'HDD-by Country'!$A$4:$A$40,'HDD-by Country'!$C$4:$C$40)/1000/Flat!AM$3</f>
        <v>6574.7596929721549</v>
      </c>
      <c r="AN79" s="354">
        <f>AN73*24*LOOKUP(Flat!AN$2,'HDD-by Country'!$A$4:$A$40,'HDD-by Country'!$C$4:$C$40)/1000/Flat!AN$3</f>
        <v>6574.7596929721549</v>
      </c>
    </row>
    <row r="80" spans="1:40" s="5" customFormat="1">
      <c r="A80" s="129"/>
      <c r="B80" s="142" t="s">
        <v>5</v>
      </c>
      <c r="C80" s="129" t="s">
        <v>261</v>
      </c>
      <c r="D80" s="345">
        <f>D74*24*LOOKUP(Flat!D$2,'HDD-by Country'!$A$4:$A$40,'HDD-by Country'!$C$4:$C$40)/1000/Flat!D$3</f>
        <v>4408.4175851700229</v>
      </c>
      <c r="E80" s="349">
        <f>E74*24*LOOKUP(Flat!E$2,'HDD-by Country'!$A$4:$A$40,'HDD-by Country'!$C$4:$C$40)/1000/Flat!E$3</f>
        <v>8148.9100508959264</v>
      </c>
      <c r="F80" s="349">
        <f>F74*24*LOOKUP(Flat!F$2,'HDD-by Country'!$A$4:$A$40,'HDD-by Country'!$C$4:$C$40)/1000/Flat!F$3</f>
        <v>4261.610964916762</v>
      </c>
      <c r="G80" s="349">
        <f>G74*24*LOOKUP(Flat!G$2,'HDD-by Country'!$A$4:$A$40,'HDD-by Country'!$C$4:$C$40)/1000/Flat!G$3</f>
        <v>4294.9384531510968</v>
      </c>
      <c r="H80" s="349">
        <f>H74*24*LOOKUP(Flat!H$2,'HDD-by Country'!$A$4:$A$40,'HDD-by Country'!$C$4:$C$40)/1000/Flat!H$3</f>
        <v>2849.3531919908146</v>
      </c>
      <c r="I80" s="349">
        <f>I74*24*LOOKUP(Flat!I$2,'HDD-by Country'!$A$4:$A$40,'HDD-by Country'!$C$4:$C$40)/1000/Flat!I$3</f>
        <v>4544.1335408864197</v>
      </c>
      <c r="J80" s="349">
        <f>J74*24*LOOKUP(Flat!J$2,'HDD-by Country'!$A$4:$A$40,'HDD-by Country'!$C$4:$C$40)/1000/Flat!J$3</f>
        <v>3699.4003449812762</v>
      </c>
      <c r="K80" s="349">
        <f>K74*24*LOOKUP(Flat!K$2,'HDD-by Country'!$A$4:$A$40,'HDD-by Country'!$C$4:$C$40)/1000/Flat!K$3</f>
        <v>2260.7969313772965</v>
      </c>
      <c r="L80" s="349">
        <f>L74*24*LOOKUP(Flat!L$2,'HDD-by Country'!$A$4:$A$40,'HDD-by Country'!$C$4:$C$40)/1000/Flat!L$3</f>
        <v>2105.5835228281894</v>
      </c>
      <c r="M80" s="349">
        <f>M74*24*LOOKUP(Flat!M$2,'HDD-by Country'!$A$4:$A$40,'HDD-by Country'!$C$4:$C$40)/1000/Flat!M$3</f>
        <v>7182.4184532365125</v>
      </c>
      <c r="N80" s="349">
        <f>N74*24*LOOKUP(Flat!N$2,'HDD-by Country'!$A$4:$A$40,'HDD-by Country'!$C$4:$C$40)/1000/Flat!N$3</f>
        <v>2496.747798155825</v>
      </c>
      <c r="O80" s="349">
        <f>O74*24*LOOKUP(Flat!O$2,'HDD-by Country'!$A$4:$A$40,'HDD-by Country'!$C$4:$C$40)/1000/Flat!O$3</f>
        <v>3672.8276759460859</v>
      </c>
      <c r="P80" s="349">
        <f>P74*24*LOOKUP(Flat!P$2,'HDD-by Country'!$A$4:$A$40,'HDD-by Country'!$C$4:$C$40)/1000/Flat!P$3</f>
        <v>9907.7285643459509</v>
      </c>
      <c r="Q80" s="349">
        <f>Q74*24*LOOKUP(Flat!Q$2,'HDD-by Country'!$A$4:$A$40,'HDD-by Country'!$C$4:$C$40)/1000/Flat!Q$3</f>
        <v>5784.9937341335317</v>
      </c>
      <c r="R80" s="349">
        <f>R74*24*LOOKUP(Flat!R$2,'HDD-by Country'!$A$4:$A$40,'HDD-by Country'!$C$4:$C$40)/1000/Flat!R$3</f>
        <v>3523.3099888376855</v>
      </c>
      <c r="S80" s="349">
        <f>S74*24*LOOKUP(Flat!S$2,'HDD-by Country'!$A$4:$A$40,'HDD-by Country'!$C$4:$C$40)/1000/Flat!S$3</f>
        <v>3029.0716495552365</v>
      </c>
      <c r="T80" s="349">
        <f>T74*24*LOOKUP(Flat!T$2,'HDD-by Country'!$A$4:$A$40,'HDD-by Country'!$C$4:$C$40)/1000/Flat!T$3</f>
        <v>2803.6449112782075</v>
      </c>
      <c r="U80" s="349">
        <f>U74*24*LOOKUP(Flat!U$2,'HDD-by Country'!$A$4:$A$40,'HDD-by Country'!$C$4:$C$40)/1000/Flat!U$3</f>
        <v>5234.6271502785557</v>
      </c>
      <c r="V80" s="349">
        <f>V74*24*LOOKUP(Flat!V$2,'HDD-by Country'!$A$4:$A$40,'HDD-by Country'!$C$4:$C$40)/1000/Flat!V$3</f>
        <v>3767.284861749135</v>
      </c>
      <c r="W80" s="349">
        <f>W74*24*LOOKUP(Flat!W$2,'HDD-by Country'!$A$4:$A$40,'HDD-by Country'!$C$4:$C$40)/1000/Flat!W$3</f>
        <v>4059.9573861416634</v>
      </c>
      <c r="X80" s="349">
        <f>X74*24*LOOKUP(Flat!X$2,'HDD-by Country'!$A$4:$A$40,'HDD-by Country'!$C$4:$C$40)/1000/Flat!X$3</f>
        <v>3530.6352798846956</v>
      </c>
      <c r="Y80" s="349">
        <f>Y74*24*LOOKUP(Flat!Y$2,'HDD-by Country'!$A$4:$A$40,'HDD-by Country'!$C$4:$C$40)/1000/Flat!Y$3</f>
        <v>2233.7193615195492</v>
      </c>
      <c r="Z80" s="349">
        <f>Z74*24*LOOKUP(Flat!Z$2,'HDD-by Country'!$A$4:$A$40,'HDD-by Country'!$C$4:$C$40)/1000/Flat!Z$3</f>
        <v>4003.394386845207</v>
      </c>
      <c r="AA80" s="349">
        <f>AA74*24*LOOKUP(Flat!AA$2,'HDD-by Country'!$A$4:$A$40,'HDD-by Country'!$C$4:$C$40)/1000/Flat!AA$3</f>
        <v>2993.9361613581668</v>
      </c>
      <c r="AB80" s="349">
        <f>AB74*24*LOOKUP(Flat!AB$2,'HDD-by Country'!$A$4:$A$40,'HDD-by Country'!$C$4:$C$40)/1000/Flat!AB$3</f>
        <v>3805.693141424837</v>
      </c>
      <c r="AC80" s="349">
        <f>AC74*24*LOOKUP(Flat!AC$2,'HDD-by Country'!$A$4:$A$40,'HDD-by Country'!$C$4:$C$40)/1000/Flat!AC$3</f>
        <v>5144.6725825239373</v>
      </c>
      <c r="AD80" s="349">
        <f>AD74*24*LOOKUP(Flat!AD$2,'HDD-by Country'!$A$4:$A$40,'HDD-by Country'!$C$4:$C$40)/1000/Flat!AD$3</f>
        <v>3784.1281335200174</v>
      </c>
      <c r="AE80" s="349">
        <f>AE74*24*LOOKUP(Flat!AE$2,'HDD-by Country'!$A$4:$A$40,'HDD-by Country'!$C$4:$C$40)/1000/Flat!AE$3</f>
        <v>2886.8204857304036</v>
      </c>
      <c r="AF80" s="349">
        <f>AF74*24*LOOKUP(Flat!AF$2,'HDD-by Country'!$A$4:$A$40,'HDD-by Country'!$C$4:$C$40)/1000/Flat!AF$3</f>
        <v>4368.6063307975073</v>
      </c>
      <c r="AG80" s="349">
        <f>AG74*24*LOOKUP(Flat!AG$2,'HDD-by Country'!$A$4:$A$40,'HDD-by Country'!$C$4:$C$40)/1000/Flat!AG$3</f>
        <v>6769.4649734038339</v>
      </c>
      <c r="AH80" s="349">
        <f>AH74*24*LOOKUP(Flat!AH$2,'HDD-by Country'!$A$4:$A$40,'HDD-by Country'!$C$4:$C$40)/1000/Flat!AH$3</f>
        <v>1945.2225868394496</v>
      </c>
      <c r="AI80" s="349">
        <f>AI74*24*LOOKUP(Flat!AI$2,'HDD-by Country'!$A$4:$A$40,'HDD-by Country'!$C$4:$C$40)/1000/Flat!AI$3</f>
        <v>7783.1490892756028</v>
      </c>
      <c r="AJ80" s="349">
        <f>AJ74*24*LOOKUP(Flat!AJ$2,'HDD-by Country'!$A$4:$A$40,'HDD-by Country'!$C$4:$C$40)/1000/Flat!AJ$3</f>
        <v>5920.3406332779105</v>
      </c>
      <c r="AK80" s="349">
        <f>AK74*24*LOOKUP(Flat!AK$2,'HDD-by Country'!$A$4:$A$40,'HDD-by Country'!$C$4:$C$40)/1000/Flat!AK$3</f>
        <v>5724.8283616859517</v>
      </c>
      <c r="AL80" s="349">
        <f>AL74*24*LOOKUP(Flat!AL$2,'HDD-by Country'!$A$4:$A$40,'HDD-by Country'!$C$4:$C$40)/1000/Flat!AL$3</f>
        <v>5487.274417456103</v>
      </c>
      <c r="AM80" s="349">
        <f>AM74*24*LOOKUP(Flat!AM$2,'HDD-by Country'!$A$4:$A$40,'HDD-by Country'!$C$4:$C$40)/1000/Flat!AM$3</f>
        <v>5444.200986179927</v>
      </c>
      <c r="AN80" s="354">
        <f>AN74*24*LOOKUP(Flat!AN$2,'HDD-by Country'!$A$4:$A$40,'HDD-by Country'!$C$4:$C$40)/1000/Flat!AN$3</f>
        <v>5444.200986179927</v>
      </c>
    </row>
    <row r="81" spans="1:40" s="5" customFormat="1">
      <c r="A81" s="129"/>
      <c r="B81" s="142" t="s">
        <v>6</v>
      </c>
      <c r="C81" s="129" t="s">
        <v>261</v>
      </c>
      <c r="D81" s="345">
        <f>D75*24*LOOKUP(Flat!D$2,'HDD-by Country'!$A$4:$A$40,'HDD-by Country'!$C$4:$C$40)/1000/Flat!D$3</f>
        <v>3582.8921750472173</v>
      </c>
      <c r="E81" s="349">
        <f>E75*24*LOOKUP(Flat!E$2,'HDD-by Country'!$A$4:$A$40,'HDD-by Country'!$C$4:$C$40)/1000/Flat!E$3</f>
        <v>8148.9100508959264</v>
      </c>
      <c r="F81" s="349">
        <f>F75*24*LOOKUP(Flat!F$2,'HDD-by Country'!$A$4:$A$40,'HDD-by Country'!$C$4:$C$40)/1000/Flat!F$3</f>
        <v>3157.3385644185582</v>
      </c>
      <c r="G81" s="349">
        <f>G75*24*LOOKUP(Flat!G$2,'HDD-by Country'!$A$4:$A$40,'HDD-by Country'!$C$4:$C$40)/1000/Flat!G$3</f>
        <v>3490.6632774242889</v>
      </c>
      <c r="H81" s="349">
        <f>H75*24*LOOKUP(Flat!H$2,'HDD-by Country'!$A$4:$A$40,'HDD-by Country'!$C$4:$C$40)/1000/Flat!H$3</f>
        <v>2849.3531919908146</v>
      </c>
      <c r="I81" s="349">
        <f>I75*24*LOOKUP(Flat!I$2,'HDD-by Country'!$A$4:$A$40,'HDD-by Country'!$C$4:$C$40)/1000/Flat!I$3</f>
        <v>3154.0803614257507</v>
      </c>
      <c r="J81" s="349">
        <f>J75*24*LOOKUP(Flat!J$2,'HDD-by Country'!$A$4:$A$40,'HDD-by Country'!$C$4:$C$40)/1000/Flat!J$3</f>
        <v>1917.3915257712993</v>
      </c>
      <c r="K81" s="349">
        <f>K75*24*LOOKUP(Flat!K$2,'HDD-by Country'!$A$4:$A$40,'HDD-by Country'!$C$4:$C$40)/1000/Flat!K$3</f>
        <v>2260.7969313772965</v>
      </c>
      <c r="L81" s="349">
        <f>L75*24*LOOKUP(Flat!L$2,'HDD-by Country'!$A$4:$A$40,'HDD-by Country'!$C$4:$C$40)/1000/Flat!L$3</f>
        <v>1853.6144418080025</v>
      </c>
      <c r="M81" s="349">
        <f>M75*24*LOOKUP(Flat!M$2,'HDD-by Country'!$A$4:$A$40,'HDD-by Country'!$C$4:$C$40)/1000/Flat!M$3</f>
        <v>7182.4184532365125</v>
      </c>
      <c r="N81" s="349">
        <f>N75*24*LOOKUP(Flat!N$2,'HDD-by Country'!$A$4:$A$40,'HDD-by Country'!$C$4:$C$40)/1000/Flat!N$3</f>
        <v>2458.2656262583546</v>
      </c>
      <c r="O81" s="349">
        <f>O75*24*LOOKUP(Flat!O$2,'HDD-by Country'!$A$4:$A$40,'HDD-by Country'!$C$4:$C$40)/1000/Flat!O$3</f>
        <v>1947.3763862625815</v>
      </c>
      <c r="P81" s="349">
        <f>P75*24*LOOKUP(Flat!P$2,'HDD-by Country'!$A$4:$A$40,'HDD-by Country'!$C$4:$C$40)/1000/Flat!P$3</f>
        <v>9907.7285643459509</v>
      </c>
      <c r="Q81" s="349">
        <f>Q75*24*LOOKUP(Flat!Q$2,'HDD-by Country'!$A$4:$A$40,'HDD-by Country'!$C$4:$C$40)/1000/Flat!Q$3</f>
        <v>3844.6236608438094</v>
      </c>
      <c r="R81" s="349">
        <f>R75*24*LOOKUP(Flat!R$2,'HDD-by Country'!$A$4:$A$40,'HDD-by Country'!$C$4:$C$40)/1000/Flat!R$3</f>
        <v>3523.3099888376855</v>
      </c>
      <c r="S81" s="349">
        <f>S75*24*LOOKUP(Flat!S$2,'HDD-by Country'!$A$4:$A$40,'HDD-by Country'!$C$4:$C$40)/1000/Flat!S$3</f>
        <v>2415.6728174323603</v>
      </c>
      <c r="T81" s="349">
        <f>T75*24*LOOKUP(Flat!T$2,'HDD-by Country'!$A$4:$A$40,'HDD-by Country'!$C$4:$C$40)/1000/Flat!T$3</f>
        <v>2758.9836995013966</v>
      </c>
      <c r="U81" s="349">
        <f>U75*24*LOOKUP(Flat!U$2,'HDD-by Country'!$A$4:$A$40,'HDD-by Country'!$C$4:$C$40)/1000/Flat!U$3</f>
        <v>4643.7106057367719</v>
      </c>
      <c r="V81" s="349">
        <f>V75*24*LOOKUP(Flat!V$2,'HDD-by Country'!$A$4:$A$40,'HDD-by Country'!$C$4:$C$40)/1000/Flat!V$3</f>
        <v>3767.284861749135</v>
      </c>
      <c r="W81" s="349">
        <f>W75*24*LOOKUP(Flat!W$2,'HDD-by Country'!$A$4:$A$40,'HDD-by Country'!$C$4:$C$40)/1000/Flat!W$3</f>
        <v>3477.9169584865908</v>
      </c>
      <c r="X81" s="349">
        <f>X75*24*LOOKUP(Flat!X$2,'HDD-by Country'!$A$4:$A$40,'HDD-by Country'!$C$4:$C$40)/1000/Flat!X$3</f>
        <v>3491.0987298846958</v>
      </c>
      <c r="Y81" s="349">
        <f>Y75*24*LOOKUP(Flat!Y$2,'HDD-by Country'!$A$4:$A$40,'HDD-by Country'!$C$4:$C$40)/1000/Flat!Y$3</f>
        <v>2201.148914145469</v>
      </c>
      <c r="Z81" s="349">
        <f>Z75*24*LOOKUP(Flat!Z$2,'HDD-by Country'!$A$4:$A$40,'HDD-by Country'!$C$4:$C$40)/1000/Flat!Z$3</f>
        <v>3587.9773740008036</v>
      </c>
      <c r="AA81" s="349">
        <f>AA75*24*LOOKUP(Flat!AA$2,'HDD-by Country'!$A$4:$A$40,'HDD-by Country'!$C$4:$C$40)/1000/Flat!AA$3</f>
        <v>2433.1288836658796</v>
      </c>
      <c r="AB81" s="349">
        <f>AB75*24*LOOKUP(Flat!AB$2,'HDD-by Country'!$A$4:$A$40,'HDD-by Country'!$C$4:$C$40)/1000/Flat!AB$3</f>
        <v>3805.693141424837</v>
      </c>
      <c r="AC81" s="349">
        <f>AC75*24*LOOKUP(Flat!AC$2,'HDD-by Country'!$A$4:$A$40,'HDD-by Country'!$C$4:$C$40)/1000/Flat!AC$3</f>
        <v>4595.9864723235578</v>
      </c>
      <c r="AD81" s="349">
        <f>AD75*24*LOOKUP(Flat!AD$2,'HDD-by Country'!$A$4:$A$40,'HDD-by Country'!$C$4:$C$40)/1000/Flat!AD$3</f>
        <v>3784.1281335200174</v>
      </c>
      <c r="AE81" s="349">
        <f>AE75*24*LOOKUP(Flat!AE$2,'HDD-by Country'!$A$4:$A$40,'HDD-by Country'!$C$4:$C$40)/1000/Flat!AE$3</f>
        <v>2346.0775137578903</v>
      </c>
      <c r="AF81" s="349">
        <f>AF75*24*LOOKUP(Flat!AF$2,'HDD-by Country'!$A$4:$A$40,'HDD-by Country'!$C$4:$C$40)/1000/Flat!AF$3</f>
        <v>2960.594098083212</v>
      </c>
      <c r="AG81" s="349">
        <f>AG75*24*LOOKUP(Flat!AG$2,'HDD-by Country'!$A$4:$A$40,'HDD-by Country'!$C$4:$C$40)/1000/Flat!AG$3</f>
        <v>6312.6115109381544</v>
      </c>
      <c r="AH81" s="349">
        <f>AH75*24*LOOKUP(Flat!AH$2,'HDD-by Country'!$A$4:$A$40,'HDD-by Country'!$C$4:$C$40)/1000/Flat!AH$3</f>
        <v>1540.9860007061152</v>
      </c>
      <c r="AI81" s="349">
        <f>AI75*24*LOOKUP(Flat!AI$2,'HDD-by Country'!$A$4:$A$40,'HDD-by Country'!$C$4:$C$40)/1000/Flat!AI$3</f>
        <v>7783.1490892756028</v>
      </c>
      <c r="AJ81" s="349">
        <f>AJ75*24*LOOKUP(Flat!AJ$2,'HDD-by Country'!$A$4:$A$40,'HDD-by Country'!$C$4:$C$40)/1000/Flat!AJ$3</f>
        <v>5445.9644493553251</v>
      </c>
      <c r="AK81" s="349">
        <f>AK75*24*LOOKUP(Flat!AK$2,'HDD-by Country'!$A$4:$A$40,'HDD-by Country'!$C$4:$C$40)/1000/Flat!AK$3</f>
        <v>5263.5239565454558</v>
      </c>
      <c r="AL81" s="349">
        <f>AL75*24*LOOKUP(Flat!AL$2,'HDD-by Country'!$A$4:$A$40,'HDD-by Country'!$C$4:$C$40)/1000/Flat!AL$3</f>
        <v>4117.5597411153558</v>
      </c>
      <c r="AM81" s="349">
        <f>AM75*24*LOOKUP(Flat!AM$2,'HDD-by Country'!$A$4:$A$40,'HDD-by Country'!$C$4:$C$40)/1000/Flat!AM$3</f>
        <v>5007.9762065084733</v>
      </c>
      <c r="AN81" s="354">
        <f>AN75*24*LOOKUP(Flat!AN$2,'HDD-by Country'!$A$4:$A$40,'HDD-by Country'!$C$4:$C$40)/1000/Flat!AN$3</f>
        <v>5007.9762065084733</v>
      </c>
    </row>
    <row r="82" spans="1:40" s="5" customFormat="1">
      <c r="A82" s="130"/>
      <c r="B82" s="142" t="s">
        <v>7</v>
      </c>
      <c r="C82" s="129" t="s">
        <v>261</v>
      </c>
      <c r="D82" s="345">
        <f>D76*24*LOOKUP(Flat!D$2,'HDD-by Country'!$A$4:$A$40,'HDD-by Country'!$C$4:$C$40)/1000/Flat!D$3</f>
        <v>3172.6655981200956</v>
      </c>
      <c r="E82" s="349">
        <f>E76*24*LOOKUP(Flat!E$2,'HDD-by Country'!$A$4:$A$40,'HDD-by Country'!$C$4:$C$40)/1000/Flat!E$3</f>
        <v>4298.2694508082586</v>
      </c>
      <c r="F82" s="349">
        <f>F76*24*LOOKUP(Flat!F$2,'HDD-by Country'!$A$4:$A$40,'HDD-by Country'!$C$4:$C$40)/1000/Flat!F$3</f>
        <v>1823.264111452286</v>
      </c>
      <c r="G82" s="349">
        <f>G76*24*LOOKUP(Flat!G$2,'HDD-by Country'!$A$4:$A$40,'HDD-by Country'!$C$4:$C$40)/1000/Flat!G$3</f>
        <v>3090.9965340386607</v>
      </c>
      <c r="H82" s="349">
        <f>H76*24*LOOKUP(Flat!H$2,'HDD-by Country'!$A$4:$A$40,'HDD-by Country'!$C$4:$C$40)/1000/Flat!H$3</f>
        <v>2433.7468122092141</v>
      </c>
      <c r="I82" s="349">
        <f>I76*24*LOOKUP(Flat!I$2,'HDD-by Country'!$A$4:$A$40,'HDD-by Country'!$C$4:$C$40)/1000/Flat!I$3</f>
        <v>2614.3315201388368</v>
      </c>
      <c r="J82" s="349">
        <f>J76*24*LOOKUP(Flat!J$2,'HDD-by Country'!$A$4:$A$40,'HDD-by Country'!$C$4:$C$40)/1000/Flat!J$3</f>
        <v>2212.5596670395375</v>
      </c>
      <c r="K82" s="349">
        <f>K76*24*LOOKUP(Flat!K$2,'HDD-by Country'!$A$4:$A$40,'HDD-by Country'!$C$4:$C$40)/1000/Flat!K$3</f>
        <v>1664.8999113166747</v>
      </c>
      <c r="L82" s="349">
        <f>L76*24*LOOKUP(Flat!L$2,'HDD-by Country'!$A$4:$A$40,'HDD-by Country'!$C$4:$C$40)/1000/Flat!L$3</f>
        <v>1853.6144418080025</v>
      </c>
      <c r="M82" s="349">
        <f>M76*24*LOOKUP(Flat!M$2,'HDD-by Country'!$A$4:$A$40,'HDD-by Country'!$C$4:$C$40)/1000/Flat!M$3</f>
        <v>3954.2954405205287</v>
      </c>
      <c r="N82" s="349">
        <f>N76*24*LOOKUP(Flat!N$2,'HDD-by Country'!$A$4:$A$40,'HDD-by Country'!$C$4:$C$40)/1000/Flat!N$3</f>
        <v>2274.8529386684722</v>
      </c>
      <c r="O82" s="349">
        <f>O76*24*LOOKUP(Flat!O$2,'HDD-by Country'!$A$4:$A$40,'HDD-by Country'!$C$4:$C$40)/1000/Flat!O$3</f>
        <v>1883.3999363938165</v>
      </c>
      <c r="P82" s="349">
        <f>P76*24*LOOKUP(Flat!P$2,'HDD-by Country'!$A$4:$A$40,'HDD-by Country'!$C$4:$C$40)/1000/Flat!P$3</f>
        <v>2689.8629606606041</v>
      </c>
      <c r="Q82" s="349">
        <f>Q76*24*LOOKUP(Flat!Q$2,'HDD-by Country'!$A$4:$A$40,'HDD-by Country'!$C$4:$C$40)/1000/Flat!Q$3</f>
        <v>1979.3872188761106</v>
      </c>
      <c r="R82" s="349">
        <f>R76*24*LOOKUP(Flat!R$2,'HDD-by Country'!$A$4:$A$40,'HDD-by Country'!$C$4:$C$40)/1000/Flat!R$3</f>
        <v>2107.0135838002079</v>
      </c>
      <c r="S82" s="349">
        <f>S76*24*LOOKUP(Flat!S$2,'HDD-by Country'!$A$4:$A$40,'HDD-by Country'!$C$4:$C$40)/1000/Flat!S$3</f>
        <v>1370.7833517065321</v>
      </c>
      <c r="T82" s="349">
        <f>T76*24*LOOKUP(Flat!T$2,'HDD-by Country'!$A$4:$A$40,'HDD-by Country'!$C$4:$C$40)/1000/Flat!T$3</f>
        <v>2555.2598123941543</v>
      </c>
      <c r="U82" s="349">
        <f>U76*24*LOOKUP(Flat!U$2,'HDD-by Country'!$A$4:$A$40,'HDD-by Country'!$C$4:$C$40)/1000/Flat!U$3</f>
        <v>4643.7106057367719</v>
      </c>
      <c r="V82" s="349">
        <f>V76*24*LOOKUP(Flat!V$2,'HDD-by Country'!$A$4:$A$40,'HDD-by Country'!$C$4:$C$40)/1000/Flat!V$3</f>
        <v>1737.1060242683732</v>
      </c>
      <c r="W82" s="349">
        <f>W76*24*LOOKUP(Flat!W$2,'HDD-by Country'!$A$4:$A$40,'HDD-by Country'!$C$4:$C$40)/1000/Flat!W$3</f>
        <v>2706.4537507898217</v>
      </c>
      <c r="X82" s="349">
        <f>X76*24*LOOKUP(Flat!X$2,'HDD-by Country'!$A$4:$A$40,'HDD-by Country'!$C$4:$C$40)/1000/Flat!X$3</f>
        <v>1729.43772475849</v>
      </c>
      <c r="Y82" s="349">
        <f>Y76*24*LOOKUP(Flat!Y$2,'HDD-by Country'!$A$4:$A$40,'HDD-by Country'!$C$4:$C$40)/1000/Flat!Y$3</f>
        <v>2035.6800521601031</v>
      </c>
      <c r="Z82" s="349">
        <f>Z76*24*LOOKUP(Flat!Z$2,'HDD-by Country'!$A$4:$A$40,'HDD-by Country'!$C$4:$C$40)/1000/Flat!Z$3</f>
        <v>2606.0357688248846</v>
      </c>
      <c r="AA82" s="349">
        <f>AA76*24*LOOKUP(Flat!AA$2,'HDD-by Country'!$A$4:$A$40,'HDD-by Country'!$C$4:$C$40)/1000/Flat!AA$3</f>
        <v>2433.1288836658796</v>
      </c>
      <c r="AB82" s="349">
        <f>AB76*24*LOOKUP(Flat!AB$2,'HDD-by Country'!$A$4:$A$40,'HDD-by Country'!$C$4:$C$40)/1000/Flat!AB$3</f>
        <v>2626.4304284957097</v>
      </c>
      <c r="AC82" s="349">
        <f>AC76*24*LOOKUP(Flat!AC$2,'HDD-by Country'!$A$4:$A$40,'HDD-by Country'!$C$4:$C$40)/1000/Flat!AC$3</f>
        <v>2894.3673283881658</v>
      </c>
      <c r="AD82" s="349">
        <f>AD76*24*LOOKUP(Flat!AD$2,'HDD-by Country'!$A$4:$A$40,'HDD-by Country'!$C$4:$C$40)/1000/Flat!AD$3</f>
        <v>3018.7594851042586</v>
      </c>
      <c r="AE82" s="349">
        <f>AE76*24*LOOKUP(Flat!AE$2,'HDD-by Country'!$A$4:$A$40,'HDD-by Country'!$C$4:$C$40)/1000/Flat!AE$3</f>
        <v>2346.0775137578903</v>
      </c>
      <c r="AF82" s="349">
        <f>AF76*24*LOOKUP(Flat!AF$2,'HDD-by Country'!$A$4:$A$40,'HDD-by Country'!$C$4:$C$40)/1000/Flat!AF$3</f>
        <v>1539.9406981960713</v>
      </c>
      <c r="AG82" s="349">
        <f>AG76*24*LOOKUP(Flat!AG$2,'HDD-by Country'!$A$4:$A$40,'HDD-by Country'!$C$4:$C$40)/1000/Flat!AG$3</f>
        <v>3367.5505075374458</v>
      </c>
      <c r="AH82" s="349">
        <f>AH76*24*LOOKUP(Flat!AH$2,'HDD-by Country'!$A$4:$A$40,'HDD-by Country'!$C$4:$C$40)/1000/Flat!AH$3</f>
        <v>1258.1376184365313</v>
      </c>
      <c r="AI82" s="349">
        <f>AI76*24*LOOKUP(Flat!AI$2,'HDD-by Country'!$A$4:$A$40,'HDD-by Country'!$C$4:$C$40)/1000/Flat!AI$3</f>
        <v>2147.4548857725827</v>
      </c>
      <c r="AJ82" s="349">
        <f>AJ76*24*LOOKUP(Flat!AJ$2,'HDD-by Country'!$A$4:$A$40,'HDD-by Country'!$C$4:$C$40)/1000/Flat!AJ$3</f>
        <v>4597.5846953032733</v>
      </c>
      <c r="AK82" s="349">
        <f>AK76*24*LOOKUP(Flat!AK$2,'HDD-by Country'!$A$4:$A$40,'HDD-by Country'!$C$4:$C$40)/1000/Flat!AK$3</f>
        <v>4443.2100462644639</v>
      </c>
      <c r="AL82" s="349">
        <f>AL76*24*LOOKUP(Flat!AL$2,'HDD-by Country'!$A$4:$A$40,'HDD-by Country'!$C$4:$C$40)/1000/Flat!AL$3</f>
        <v>2255.7510476376592</v>
      </c>
      <c r="AM82" s="349">
        <f>AM76*24*LOOKUP(Flat!AM$2,'HDD-by Country'!$A$4:$A$40,'HDD-by Country'!$C$4:$C$40)/1000/Flat!AM$3</f>
        <v>4227.8268570430855</v>
      </c>
      <c r="AN82" s="354">
        <f>AN76*24*LOOKUP(Flat!AN$2,'HDD-by Country'!$A$4:$A$40,'HDD-by Country'!$C$4:$C$40)/1000/Flat!AN$3</f>
        <v>4227.8268570430855</v>
      </c>
    </row>
    <row r="83" spans="1:40" s="5" customFormat="1">
      <c r="A83" s="151" t="s">
        <v>260</v>
      </c>
      <c r="B83" s="141" t="s">
        <v>2</v>
      </c>
      <c r="C83" s="360" t="s">
        <v>261</v>
      </c>
      <c r="D83" s="351">
        <f>D77/(1.355*(D71/Flat!D$17)^0.16)</f>
        <v>6912.7291013461027</v>
      </c>
      <c r="E83" s="352">
        <f>E77/(1.355*(E71/Flat!E$17)^0.16)</f>
        <v>6610.2979401583298</v>
      </c>
      <c r="F83" s="352">
        <f>F77/(1.355*(F71/Flat!F$17)^0.16)</f>
        <v>3861.870095306916</v>
      </c>
      <c r="G83" s="352">
        <f>G77/(1.355*(G71/Flat!G$17)^0.16)</f>
        <v>6734.7853192185594</v>
      </c>
      <c r="H83" s="352">
        <f>H77/(1.355*(H71/Flat!H$17)^0.16)</f>
        <v>2361.3673550339622</v>
      </c>
      <c r="I83" s="352">
        <f>I77/(1.355*(I71/Flat!I$17)^0.16)</f>
        <v>4486.5813623594859</v>
      </c>
      <c r="J83" s="352">
        <f>J77/(1.355*(J71/Flat!J$17)^0.16)</f>
        <v>6617.4872139377976</v>
      </c>
      <c r="K83" s="352">
        <f>K77/(1.355*(K71/Flat!K$17)^0.16)</f>
        <v>3755.2028468551975</v>
      </c>
      <c r="L83" s="352">
        <f>L77/(1.355*(L71/Flat!L$17)^0.16)</f>
        <v>2836.0194723924351</v>
      </c>
      <c r="M83" s="352">
        <f>M77/(1.355*(M71/Flat!M$17)^0.16)</f>
        <v>7832.3361863397367</v>
      </c>
      <c r="N83" s="352">
        <f>N77/(1.355*(N71/Flat!N$17)^0.16)</f>
        <v>3451.5456189088486</v>
      </c>
      <c r="O83" s="352">
        <f>O77/(1.355*(O71/Flat!O$17)^0.16)</f>
        <v>7037.1278653950358</v>
      </c>
      <c r="P83" s="352">
        <f>P77/(1.355*(P71/Flat!P$17)^0.16)</f>
        <v>6461.2534756703708</v>
      </c>
      <c r="Q83" s="352">
        <f>Q77/(1.355*(Q71/Flat!Q$17)^0.16)</f>
        <v>4095.5615149538844</v>
      </c>
      <c r="R83" s="352">
        <f>R77/(1.355*(R71/Flat!R$17)^0.16)</f>
        <v>4414.8486508268152</v>
      </c>
      <c r="S83" s="352">
        <f>S77/(1.355*(S71/Flat!S$17)^0.16)</f>
        <v>3858.7955267638608</v>
      </c>
      <c r="T83" s="352">
        <f>T77/(1.355*(T71/Flat!T$17)^0.16)</f>
        <v>4082.9821302833184</v>
      </c>
      <c r="U83" s="352">
        <f>U77/(1.355*(U71/Flat!U$17)^0.16)</f>
        <v>5497.8345537522973</v>
      </c>
      <c r="V83" s="352">
        <f>V77/(1.355*(V71/Flat!V$17)^0.16)</f>
        <v>4717.5541836961656</v>
      </c>
      <c r="W83" s="352">
        <f>W77/(1.355*(W71/Flat!W$17)^0.16)</f>
        <v>6009.6441496238658</v>
      </c>
      <c r="X83" s="352">
        <f>X77/(1.355*(X71/Flat!X$17)^0.16)</f>
        <v>5081.2814412061989</v>
      </c>
      <c r="Y83" s="352">
        <f>Y77/(1.355*(Y71/Flat!Y$17)^0.16)</f>
        <v>2060.5885234197431</v>
      </c>
      <c r="Z83" s="352">
        <f>Z77/(1.355*(Z71/Flat!Z$17)^0.16)</f>
        <v>7110.0866645685301</v>
      </c>
      <c r="AA83" s="352">
        <f>AA77/(1.355*(AA71/Flat!AA$17)^0.16)</f>
        <v>4208.6337819695891</v>
      </c>
      <c r="AB83" s="352">
        <f>AB77/(1.355*(AB71/Flat!AB$17)^0.16)</f>
        <v>5603.3389783364746</v>
      </c>
      <c r="AC83" s="352">
        <f>AC77/(1.355*(AC71/Flat!AC$17)^0.16)</f>
        <v>4243.8397730721017</v>
      </c>
      <c r="AD83" s="352">
        <f>AD77/(1.355*(AD71/Flat!AD$17)^0.16)</f>
        <v>3431.4452585972685</v>
      </c>
      <c r="AE83" s="352">
        <f>AE77/(1.355*(AE71/Flat!AE$17)^0.16)</f>
        <v>4058.0592116617859</v>
      </c>
      <c r="AF83" s="352">
        <f>AF77/(1.355*(AF71/Flat!AF$17)^0.16)</f>
        <v>4537.577443298318</v>
      </c>
      <c r="AG83" s="352">
        <f>AG77/(1.355*(AG71/Flat!AG$17)^0.16)</f>
        <v>6728.8409685947909</v>
      </c>
      <c r="AH83" s="352">
        <f>AH77/(1.355*(AH71/Flat!AH$17)^0.16)</f>
        <v>3347.7012463163583</v>
      </c>
      <c r="AI83" s="352">
        <f>AI77/(1.355*(AI71/Flat!AI$17)^0.16)</f>
        <v>5070.0059075490735</v>
      </c>
      <c r="AJ83" s="352">
        <f>AJ77/(1.355*(AJ71/Flat!AJ$17)^0.16)</f>
        <v>4995.5325267251947</v>
      </c>
      <c r="AK83" s="352">
        <f>AK77/(1.355*(AK71/Flat!AK$17)^0.16)</f>
        <v>4842.5104806962636</v>
      </c>
      <c r="AL83" s="352">
        <f>AL77/(1.355*(AL71/Flat!AL$17)^0.16)</f>
        <v>4985.8447490786039</v>
      </c>
      <c r="AM83" s="352">
        <f>AM77/(1.355*(AM71/Flat!AM$17)^0.16)</f>
        <v>4593.7699860748116</v>
      </c>
      <c r="AN83" s="353">
        <f>AN77/(1.355*(AN71/Flat!AN$17)^0.16)</f>
        <v>4593.7699860748116</v>
      </c>
    </row>
    <row r="84" spans="1:40" s="5" customFormat="1">
      <c r="A84" s="129"/>
      <c r="B84" s="142" t="s">
        <v>3</v>
      </c>
      <c r="C84" s="129" t="s">
        <v>261</v>
      </c>
      <c r="D84" s="345">
        <f>D78/(1.355*(D72/Flat!D$17)^0.16)</f>
        <v>6166.9087760478424</v>
      </c>
      <c r="E84" s="349">
        <f>E78/(1.355*(E72/Flat!E$17)^0.16)</f>
        <v>6610.2979401583298</v>
      </c>
      <c r="F84" s="349">
        <f>F78/(1.355*(F72/Flat!F$17)^0.16)</f>
        <v>3861.870095306916</v>
      </c>
      <c r="G84" s="349">
        <f>G78/(1.355*(G72/Flat!G$17)^0.16)</f>
        <v>6008.1635025737514</v>
      </c>
      <c r="H84" s="349">
        <f>H78/(1.355*(H72/Flat!H$17)^0.16)</f>
        <v>2153.6724870083117</v>
      </c>
      <c r="I84" s="349">
        <f>I78/(1.355*(I72/Flat!I$17)^0.16)</f>
        <v>3945.9639239809344</v>
      </c>
      <c r="J84" s="349">
        <f>J78/(1.355*(J72/Flat!J$17)^0.16)</f>
        <v>5549.6276136705583</v>
      </c>
      <c r="K84" s="349">
        <f>K78/(1.355*(K72/Flat!K$17)^0.16)</f>
        <v>3687.7882619862644</v>
      </c>
      <c r="L84" s="349">
        <f>L78/(1.355*(L72/Flat!L$17)^0.16)</f>
        <v>2836.0194723924351</v>
      </c>
      <c r="M84" s="349">
        <f>M78/(1.355*(M72/Flat!M$17)^0.16)</f>
        <v>6932.0362589145207</v>
      </c>
      <c r="N84" s="349">
        <f>N78/(1.355*(N72/Flat!N$17)^0.16)</f>
        <v>3168.0963498957017</v>
      </c>
      <c r="O84" s="349">
        <f>O78/(1.355*(O72/Flat!O$17)^0.16)</f>
        <v>7037.1278653950358</v>
      </c>
      <c r="P84" s="349">
        <f>P78/(1.355*(P72/Flat!P$17)^0.16)</f>
        <v>6461.2534756703708</v>
      </c>
      <c r="Q84" s="349">
        <f>Q78/(1.355*(Q72/Flat!Q$17)^0.16)</f>
        <v>4448.9993208659471</v>
      </c>
      <c r="R84" s="349">
        <f>R78/(1.355*(R72/Flat!R$17)^0.16)</f>
        <v>4414.8486508268152</v>
      </c>
      <c r="S84" s="349">
        <f>S78/(1.355*(S72/Flat!S$17)^0.16)</f>
        <v>3911.0700752116754</v>
      </c>
      <c r="T84" s="349">
        <f>T78/(1.355*(T72/Flat!T$17)^0.16)</f>
        <v>3776.9402044455119</v>
      </c>
      <c r="U84" s="349">
        <f>U78/(1.355*(U72/Flat!U$17)^0.16)</f>
        <v>5114.1422692493279</v>
      </c>
      <c r="V84" s="349">
        <f>V78/(1.355*(V72/Flat!V$17)^0.16)</f>
        <v>4717.5541836961656</v>
      </c>
      <c r="W84" s="349">
        <f>W78/(1.355*(W72/Flat!W$17)^0.16)</f>
        <v>7079.6397184602629</v>
      </c>
      <c r="X84" s="349">
        <f>X78/(1.355*(X72/Flat!X$17)^0.16)</f>
        <v>5081.2814412061989</v>
      </c>
      <c r="Y84" s="349">
        <f>Y78/(1.355*(Y72/Flat!Y$17)^0.16)</f>
        <v>2058.6834641401779</v>
      </c>
      <c r="Z84" s="349">
        <f>Z78/(1.355*(Z72/Flat!Z$17)^0.16)</f>
        <v>5916.3066663809523</v>
      </c>
      <c r="AA84" s="349">
        <f>AA78/(1.355*(AA72/Flat!AA$17)^0.16)</f>
        <v>4208.6337819695891</v>
      </c>
      <c r="AB84" s="349">
        <f>AB78/(1.355*(AB72/Flat!AB$17)^0.16)</f>
        <v>4160.9888711392969</v>
      </c>
      <c r="AC84" s="349">
        <f>AC78/(1.355*(AC72/Flat!AC$17)^0.16)</f>
        <v>3669.3550608720707</v>
      </c>
      <c r="AD84" s="349">
        <f>AD78/(1.355*(AD72/Flat!AD$17)^0.16)</f>
        <v>3123.7693954541887</v>
      </c>
      <c r="AE84" s="349">
        <f>AE78/(1.355*(AE72/Flat!AE$17)^0.16)</f>
        <v>4058.0592116617859</v>
      </c>
      <c r="AF84" s="349">
        <f>AF78/(1.355*(AF72/Flat!AF$17)^0.16)</f>
        <v>4537.577443298318</v>
      </c>
      <c r="AG84" s="349">
        <f>AG78/(1.355*(AG72/Flat!AG$17)^0.16)</f>
        <v>5624.4940483773298</v>
      </c>
      <c r="AH84" s="349">
        <f>AH78/(1.355*(AH72/Flat!AH$17)^0.16)</f>
        <v>3561.8603659199748</v>
      </c>
      <c r="AI84" s="349">
        <f>AI78/(1.355*(AI72/Flat!AI$17)^0.16)</f>
        <v>5070.0059075490735</v>
      </c>
      <c r="AJ84" s="349">
        <f>AJ78/(1.355*(AJ72/Flat!AJ$17)^0.16)</f>
        <v>4995.5325267251947</v>
      </c>
      <c r="AK84" s="349">
        <f>AK78/(1.355*(AK72/Flat!AK$17)^0.16)</f>
        <v>4842.5104806962636</v>
      </c>
      <c r="AL84" s="349">
        <f>AL78/(1.355*(AL72/Flat!AL$17)^0.16)</f>
        <v>4985.8447490786039</v>
      </c>
      <c r="AM84" s="349">
        <f>AM78/(1.355*(AM72/Flat!AM$17)^0.16)</f>
        <v>4593.7699860748116</v>
      </c>
      <c r="AN84" s="354">
        <f>AN78/(1.355*(AN72/Flat!AN$17)^0.16)</f>
        <v>4593.7699860748116</v>
      </c>
    </row>
    <row r="85" spans="1:40" s="5" customFormat="1">
      <c r="A85" s="129"/>
      <c r="B85" s="142" t="s">
        <v>4</v>
      </c>
      <c r="C85" s="129" t="s">
        <v>261</v>
      </c>
      <c r="D85" s="345">
        <f>D79/(1.355*(D73/Flat!D$17)^0.16)</f>
        <v>4959.6897762735334</v>
      </c>
      <c r="E85" s="349">
        <f>E79/(1.355*(E73/Flat!E$17)^0.16)</f>
        <v>6610.2979401583298</v>
      </c>
      <c r="F85" s="349">
        <f>F79/(1.355*(F73/Flat!F$17)^0.16)</f>
        <v>3624.7203536927882</v>
      </c>
      <c r="G85" s="349">
        <f>G79/(1.355*(G73/Flat!G$17)^0.16)</f>
        <v>4832.0200898109797</v>
      </c>
      <c r="H85" s="349">
        <f>H79/(1.355*(H73/Flat!H$17)^0.16)</f>
        <v>1942.0828766559964</v>
      </c>
      <c r="I85" s="349">
        <f>I79/(1.355*(I73/Flat!I$17)^0.16)</f>
        <v>3945.9639239809344</v>
      </c>
      <c r="J85" s="349">
        <f>J79/(1.355*(J73/Flat!J$17)^0.16)</f>
        <v>3467.2663888242269</v>
      </c>
      <c r="K85" s="349">
        <f>K79/(1.355*(K73/Flat!K$17)^0.16)</f>
        <v>2417.7042036952098</v>
      </c>
      <c r="L85" s="349">
        <f>L79/(1.355*(L73/Flat!L$17)^0.16)</f>
        <v>2234.3442938828316</v>
      </c>
      <c r="M85" s="349">
        <f>M79/(1.355*(M73/Flat!M$17)^0.16)</f>
        <v>6932.0362589145207</v>
      </c>
      <c r="N85" s="349">
        <f>N79/(1.355*(N73/Flat!N$17)^0.16)</f>
        <v>2590.3010732165958</v>
      </c>
      <c r="O85" s="349">
        <f>O79/(1.355*(O73/Flat!O$17)^0.16)</f>
        <v>3235.1645741198513</v>
      </c>
      <c r="P85" s="349">
        <f>P79/(1.355*(P73/Flat!P$17)^0.16)</f>
        <v>6461.2534756703708</v>
      </c>
      <c r="Q85" s="349">
        <f>Q79/(1.355*(Q73/Flat!Q$17)^0.16)</f>
        <v>4102.6429727409968</v>
      </c>
      <c r="R85" s="349">
        <f>R79/(1.355*(R73/Flat!R$17)^0.16)</f>
        <v>3777.84919225264</v>
      </c>
      <c r="S85" s="349">
        <f>S79/(1.355*(S73/Flat!S$17)^0.16)</f>
        <v>3391.4080738241746</v>
      </c>
      <c r="T85" s="349">
        <f>T79/(1.355*(T73/Flat!T$17)^0.16)</f>
        <v>3028.4618655568679</v>
      </c>
      <c r="U85" s="349">
        <f>U79/(1.355*(U73/Flat!U$17)^0.16)</f>
        <v>4985.7997443633512</v>
      </c>
      <c r="V85" s="349">
        <f>V79/(1.355*(V73/Flat!V$17)^0.16)</f>
        <v>3008.4153629014859</v>
      </c>
      <c r="W85" s="349">
        <f>W79/(1.355*(W73/Flat!W$17)^0.16)</f>
        <v>3583.8047793421847</v>
      </c>
      <c r="X85" s="349">
        <f>X79/(1.355*(X73/Flat!X$17)^0.16)</f>
        <v>4685.5960855077428</v>
      </c>
      <c r="Y85" s="349">
        <f>Y79/(1.355*(Y73/Flat!Y$17)^0.16)</f>
        <v>1585.3010474264884</v>
      </c>
      <c r="Z85" s="349">
        <f>Z79/(1.355*(Z73/Flat!Z$17)^0.16)</f>
        <v>5799.3569364075356</v>
      </c>
      <c r="AA85" s="349">
        <f>AA79/(1.355*(AA73/Flat!AA$17)^0.16)</f>
        <v>2685.9982208568354</v>
      </c>
      <c r="AB85" s="349">
        <f>AB79/(1.355*(AB73/Flat!AB$17)^0.16)</f>
        <v>2901.2857396379491</v>
      </c>
      <c r="AC85" s="349">
        <f>AC79/(1.355*(AC73/Flat!AC$17)^0.16)</f>
        <v>3619.1606964522471</v>
      </c>
      <c r="AD85" s="349">
        <f>AD79/(1.355*(AD73/Flat!AD$17)^0.16)</f>
        <v>3123.7693954541887</v>
      </c>
      <c r="AE85" s="349">
        <f>AE79/(1.355*(AE73/Flat!AE$17)^0.16)</f>
        <v>2589.8998077124706</v>
      </c>
      <c r="AF85" s="349">
        <f>AF79/(1.355*(AF73/Flat!AF$17)^0.16)</f>
        <v>4370.7845337478366</v>
      </c>
      <c r="AG85" s="349">
        <f>AG79/(1.355*(AG73/Flat!AG$17)^0.16)</f>
        <v>5624.4940483773298</v>
      </c>
      <c r="AH85" s="349">
        <f>AH79/(1.355*(AH73/Flat!AH$17)^0.16)</f>
        <v>2898.7680633734458</v>
      </c>
      <c r="AI85" s="349">
        <f>AI79/(1.355*(AI73/Flat!AI$17)^0.16)</f>
        <v>5070.0059075490735</v>
      </c>
      <c r="AJ85" s="349">
        <f>AJ79/(1.355*(AJ73/Flat!AJ$17)^0.16)</f>
        <v>4995.5325267251947</v>
      </c>
      <c r="AK85" s="349">
        <f>AK79/(1.355*(AK73/Flat!AK$17)^0.16)</f>
        <v>4842.5104806962636</v>
      </c>
      <c r="AL85" s="349">
        <f>AL79/(1.355*(AL73/Flat!AL$17)^0.16)</f>
        <v>4677.9757177484398</v>
      </c>
      <c r="AM85" s="349">
        <f>AM79/(1.355*(AM73/Flat!AM$17)^0.16)</f>
        <v>4593.7699860748116</v>
      </c>
      <c r="AN85" s="354">
        <f>AN79/(1.355*(AN73/Flat!AN$17)^0.16)</f>
        <v>4593.7699860748116</v>
      </c>
    </row>
    <row r="86" spans="1:40" s="5" customFormat="1">
      <c r="A86" s="129"/>
      <c r="B86" s="142" t="s">
        <v>5</v>
      </c>
      <c r="C86" s="129" t="s">
        <v>261</v>
      </c>
      <c r="D86" s="345">
        <f>D80/(1.355*(D74/Flat!D$17)^0.16)</f>
        <v>3481.3961026790989</v>
      </c>
      <c r="E86" s="349">
        <f>E80/(1.355*(E74/Flat!E$17)^0.16)</f>
        <v>5646.5078865376545</v>
      </c>
      <c r="F86" s="349">
        <f>F80/(1.355*(F74/Flat!F$17)^0.16)</f>
        <v>3068.5421737764259</v>
      </c>
      <c r="G86" s="349">
        <f>G80/(1.355*(G74/Flat!G$17)^0.16)</f>
        <v>3391.7798627668221</v>
      </c>
      <c r="H86" s="349">
        <f>H80/(1.355*(H74/Flat!H$17)^0.16)</f>
        <v>1896.2344266174664</v>
      </c>
      <c r="I86" s="349">
        <f>I80/(1.355*(I74/Flat!I$17)^0.16)</f>
        <v>3508.9538902847962</v>
      </c>
      <c r="J86" s="349">
        <f>J80/(1.355*(J74/Flat!J$17)^0.16)</f>
        <v>2915.3165081263201</v>
      </c>
      <c r="K86" s="349">
        <f>K80/(1.355*(K74/Flat!K$17)^0.16)</f>
        <v>1949.7111482832111</v>
      </c>
      <c r="L86" s="349">
        <f>L80/(1.355*(L74/Flat!L$17)^0.16)</f>
        <v>1854.5517377030026</v>
      </c>
      <c r="M86" s="349">
        <f>M80/(1.355*(M74/Flat!M$17)^0.16)</f>
        <v>5006.6802984804435</v>
      </c>
      <c r="N86" s="349">
        <f>N80/(1.355*(N74/Flat!N$17)^0.16)</f>
        <v>2148.344185001336</v>
      </c>
      <c r="O86" s="349">
        <f>O80/(1.355*(O74/Flat!O$17)^0.16)</f>
        <v>2792.2533239987947</v>
      </c>
      <c r="P86" s="349">
        <f>P80/(1.355*(P74/Flat!P$17)^0.16)</f>
        <v>6336.2723081737895</v>
      </c>
      <c r="Q86" s="349">
        <f>Q80/(1.355*(Q74/Flat!Q$17)^0.16)</f>
        <v>4102.6429727409968</v>
      </c>
      <c r="R86" s="349">
        <f>R80/(1.355*(R74/Flat!R$17)^0.16)</f>
        <v>2665.8078111964978</v>
      </c>
      <c r="S86" s="349">
        <f>S80/(1.355*(S74/Flat!S$17)^0.16)</f>
        <v>2264.0943214141098</v>
      </c>
      <c r="T86" s="349">
        <f>T80/(1.355*(T74/Flat!T$17)^0.16)</f>
        <v>2443.5638204207398</v>
      </c>
      <c r="U86" s="349">
        <f>U80/(1.355*(U74/Flat!U$17)^0.16)</f>
        <v>3753.0581326022993</v>
      </c>
      <c r="V86" s="349">
        <f>V80/(1.355*(V74/Flat!V$17)^0.16)</f>
        <v>3008.4153629014859</v>
      </c>
      <c r="W86" s="349">
        <f>W80/(1.355*(W74/Flat!W$17)^0.16)</f>
        <v>3257.3971978360282</v>
      </c>
      <c r="X86" s="349">
        <f>X80/(1.355*(X74/Flat!X$17)^0.16)</f>
        <v>2867.1935332776807</v>
      </c>
      <c r="Y86" s="349">
        <f>Y80/(1.355*(Y74/Flat!Y$17)^0.16)</f>
        <v>1489.8325360517795</v>
      </c>
      <c r="Z86" s="349">
        <f>Z80/(1.355*(Z74/Flat!Z$17)^0.16)</f>
        <v>3125.0016108378099</v>
      </c>
      <c r="AA86" s="349">
        <f>AA80/(1.355*(AA74/Flat!AA$17)^0.16)</f>
        <v>2685.9982208568354</v>
      </c>
      <c r="AB86" s="349">
        <f>AB80/(1.355*(AB74/Flat!AB$17)^0.16)</f>
        <v>2901.2857396379491</v>
      </c>
      <c r="AC86" s="349">
        <f>AC80/(1.355*(AC74/Flat!AC$17)^0.16)</f>
        <v>3476.6415634661726</v>
      </c>
      <c r="AD86" s="349">
        <f>AD80/(1.355*(AD74/Flat!AD$17)^0.16)</f>
        <v>2649.5702091287631</v>
      </c>
      <c r="AE86" s="349">
        <f>AE80/(1.355*(AE74/Flat!AE$17)^0.16)</f>
        <v>2589.8998077124706</v>
      </c>
      <c r="AF86" s="349">
        <f>AF80/(1.355*(AF74/Flat!AF$17)^0.16)</f>
        <v>3250.6765683186054</v>
      </c>
      <c r="AG86" s="349">
        <f>AG80/(1.355*(AG74/Flat!AG$17)^0.16)</f>
        <v>4880.3952804836854</v>
      </c>
      <c r="AH86" s="349">
        <f>AH80/(1.355*(AH74/Flat!AH$17)^0.16)</f>
        <v>1512.3116958252106</v>
      </c>
      <c r="AI86" s="349">
        <f>AI80/(1.355*(AI74/Flat!AI$17)^0.16)</f>
        <v>4976.2858597167815</v>
      </c>
      <c r="AJ86" s="349">
        <f>AJ80/(1.355*(AJ74/Flat!AJ$17)^0.16)</f>
        <v>4263.3145309657757</v>
      </c>
      <c r="AK86" s="349">
        <f>AK80/(1.355*(AK74/Flat!AK$17)^0.16)</f>
        <v>4128.3310858105442</v>
      </c>
      <c r="AL86" s="349">
        <f>AL80/(1.355*(AL74/Flat!AL$17)^0.16)</f>
        <v>3946.4786194343556</v>
      </c>
      <c r="AM86" s="349">
        <f>AM80/(1.355*(AM74/Flat!AM$17)^0.16)</f>
        <v>3920.4401590366324</v>
      </c>
      <c r="AN86" s="354">
        <f>AN80/(1.355*(AN74/Flat!AN$17)^0.16)</f>
        <v>3920.4401590366324</v>
      </c>
    </row>
    <row r="87" spans="1:40" s="5" customFormat="1">
      <c r="A87" s="129"/>
      <c r="B87" s="142" t="s">
        <v>6</v>
      </c>
      <c r="C87" s="129" t="s">
        <v>261</v>
      </c>
      <c r="D87" s="345">
        <f>D81/(1.355*(D75/Flat!D$17)^0.16)</f>
        <v>2924.9085312984871</v>
      </c>
      <c r="E87" s="349">
        <f>E81/(1.355*(E75/Flat!E$17)^0.16)</f>
        <v>5646.5078865376545</v>
      </c>
      <c r="F87" s="349">
        <f>F81/(1.355*(F75/Flat!F$17)^0.16)</f>
        <v>2385.1729372383038</v>
      </c>
      <c r="G87" s="349">
        <f>G81/(1.355*(G75/Flat!G$17)^0.16)</f>
        <v>2849.6170973646699</v>
      </c>
      <c r="H87" s="349">
        <f>H81/(1.355*(H75/Flat!H$17)^0.16)</f>
        <v>1896.2344266174664</v>
      </c>
      <c r="I87" s="349">
        <f>I81/(1.355*(I75/Flat!I$17)^0.16)</f>
        <v>2582.0928969405541</v>
      </c>
      <c r="J87" s="349">
        <f>J81/(1.355*(J75/Flat!J$17)^0.16)</f>
        <v>1678.5429850802934</v>
      </c>
      <c r="K87" s="349">
        <f>K81/(1.355*(K75/Flat!K$17)^0.16)</f>
        <v>1949.7111482832111</v>
      </c>
      <c r="L87" s="349">
        <f>L81/(1.355*(L75/Flat!L$17)^0.16)</f>
        <v>1666.2584918108871</v>
      </c>
      <c r="M87" s="349">
        <f>M81/(1.355*(M75/Flat!M$17)^0.16)</f>
        <v>5006.6802984804435</v>
      </c>
      <c r="N87" s="349">
        <f>N81/(1.355*(N75/Flat!N$17)^0.16)</f>
        <v>2120.495388579156</v>
      </c>
      <c r="O87" s="349">
        <f>O81/(1.355*(O75/Flat!O$17)^0.16)</f>
        <v>1638.6728876173459</v>
      </c>
      <c r="P87" s="349">
        <f>P81/(1.355*(P75/Flat!P$17)^0.16)</f>
        <v>6336.2723081737895</v>
      </c>
      <c r="Q87" s="349">
        <f>Q81/(1.355*(Q75/Flat!Q$17)^0.16)</f>
        <v>2910.7607866632225</v>
      </c>
      <c r="R87" s="349">
        <f>R81/(1.355*(R75/Flat!R$17)^0.16)</f>
        <v>2665.8078111964978</v>
      </c>
      <c r="S87" s="349">
        <f>S81/(1.355*(S75/Flat!S$17)^0.16)</f>
        <v>1872.1752992271067</v>
      </c>
      <c r="T87" s="349">
        <f>T81/(1.355*(T75/Flat!T$17)^0.16)</f>
        <v>2410.8247003463739</v>
      </c>
      <c r="U87" s="349">
        <f>U81/(1.355*(U75/Flat!U$17)^0.16)</f>
        <v>3393.8135707349388</v>
      </c>
      <c r="V87" s="349">
        <f>V81/(1.355*(V75/Flat!V$17)^0.16)</f>
        <v>3008.4153629014859</v>
      </c>
      <c r="W87" s="349">
        <f>W81/(1.355*(W75/Flat!W$17)^0.16)</f>
        <v>2860.3607776181566</v>
      </c>
      <c r="X87" s="349">
        <f>X81/(1.355*(X75/Flat!X$17)^0.16)</f>
        <v>2840.1991885279795</v>
      </c>
      <c r="Y87" s="349">
        <f>Y81/(1.355*(Y75/Flat!Y$17)^0.16)</f>
        <v>1471.5632724930754</v>
      </c>
      <c r="Z87" s="349">
        <f>Z81/(1.355*(Z75/Flat!Z$17)^0.16)</f>
        <v>2850.2578743282957</v>
      </c>
      <c r="AA87" s="349">
        <f>AA81/(1.355*(AA75/Flat!AA$17)^0.16)</f>
        <v>2256.5277909800402</v>
      </c>
      <c r="AB87" s="349">
        <f>AB81/(1.355*(AB75/Flat!AB$17)^0.16)</f>
        <v>2901.2857396379491</v>
      </c>
      <c r="AC87" s="349">
        <f>AC81/(1.355*(AC75/Flat!AC$17)^0.16)</f>
        <v>3162.4055159184777</v>
      </c>
      <c r="AD87" s="349">
        <f>AD81/(1.355*(AD75/Flat!AD$17)^0.16)</f>
        <v>2649.5702091287631</v>
      </c>
      <c r="AE87" s="349">
        <f>AE81/(1.355*(AE75/Flat!AE$17)^0.16)</f>
        <v>2175.7947740161776</v>
      </c>
      <c r="AF87" s="349">
        <f>AF81/(1.355*(AF75/Flat!AF$17)^0.16)</f>
        <v>2344.4661447433041</v>
      </c>
      <c r="AG87" s="349">
        <f>AG81/(1.355*(AG75/Flat!AG$17)^0.16)</f>
        <v>4602.1944160019602</v>
      </c>
      <c r="AH87" s="349">
        <f>AH81/(1.355*(AH75/Flat!AH$17)^0.16)</f>
        <v>1243.5349568444615</v>
      </c>
      <c r="AI87" s="349">
        <f>AI81/(1.355*(AI75/Flat!AI$17)^0.16)</f>
        <v>4976.2858597167815</v>
      </c>
      <c r="AJ87" s="349">
        <f>AJ81/(1.355*(AJ75/Flat!AJ$17)^0.16)</f>
        <v>3974.4678130897714</v>
      </c>
      <c r="AK87" s="349">
        <f>AK81/(1.355*(AK75/Flat!AK$17)^0.16)</f>
        <v>3847.0372534227049</v>
      </c>
      <c r="AL87" s="349">
        <f>AL81/(1.355*(AL75/Flat!AL$17)^0.16)</f>
        <v>3100.613737709185</v>
      </c>
      <c r="AM87" s="349">
        <f>AM81/(1.355*(AM75/Flat!AM$17)^0.16)</f>
        <v>3654.8237555688625</v>
      </c>
      <c r="AN87" s="354">
        <f>AN81/(1.355*(AN75/Flat!AN$17)^0.16)</f>
        <v>3654.8237555688625</v>
      </c>
    </row>
    <row r="88" spans="1:40" s="5" customFormat="1">
      <c r="A88" s="129"/>
      <c r="B88" s="142" t="s">
        <v>7</v>
      </c>
      <c r="C88" s="129" t="s">
        <v>261</v>
      </c>
      <c r="D88" s="345">
        <f>D82/(1.355*(D76/Flat!D$17)^0.16)</f>
        <v>2640.9024557280663</v>
      </c>
      <c r="E88" s="349">
        <f>E82/(1.355*(E76/Flat!E$17)^0.16)</f>
        <v>3299.3090180440799</v>
      </c>
      <c r="F88" s="349">
        <f>F82/(1.355*(F76/Flat!F$17)^0.16)</f>
        <v>1503.847346104503</v>
      </c>
      <c r="G88" s="349">
        <f>G82/(1.355*(G76/Flat!G$17)^0.16)</f>
        <v>2572.9217545733427</v>
      </c>
      <c r="H88" s="349">
        <f>H82/(1.355*(H76/Flat!H$17)^0.16)</f>
        <v>1661.0261873597774</v>
      </c>
      <c r="I88" s="349">
        <f>I82/(1.355*(I76/Flat!I$17)^0.16)</f>
        <v>2205.4727845963516</v>
      </c>
      <c r="J88" s="349">
        <f>J82/(1.355*(J76/Flat!J$17)^0.16)</f>
        <v>1893.0722314442471</v>
      </c>
      <c r="K88" s="349">
        <f>K82/(1.355*(K76/Flat!K$17)^0.16)</f>
        <v>1507.8446453631152</v>
      </c>
      <c r="L88" s="349">
        <f>L82/(1.355*(L76/Flat!L$17)^0.16)</f>
        <v>1666.2584918108871</v>
      </c>
      <c r="M88" s="349">
        <f>M82/(1.355*(M76/Flat!M$17)^0.16)</f>
        <v>3032.6376675703555</v>
      </c>
      <c r="N88" s="349">
        <f>N82/(1.355*(N76/Flat!N$17)^0.16)</f>
        <v>1986.7806760431961</v>
      </c>
      <c r="O88" s="349">
        <f>O82/(1.355*(O76/Flat!O$17)^0.16)</f>
        <v>1593.3313300274085</v>
      </c>
      <c r="P88" s="349">
        <f>P82/(1.355*(P76/Flat!P$17)^0.16)</f>
        <v>2119.282828416362</v>
      </c>
      <c r="Q88" s="349">
        <f>Q82/(1.355*(Q76/Flat!Q$17)^0.16)</f>
        <v>1666.5376686723162</v>
      </c>
      <c r="R88" s="349">
        <f>R82/(1.355*(R76/Flat!R$17)^0.16)</f>
        <v>1730.8948259315503</v>
      </c>
      <c r="S88" s="349">
        <f>S82/(1.355*(S76/Flat!S$17)^0.16)</f>
        <v>1163.1836967405923</v>
      </c>
      <c r="T88" s="349">
        <f>T82/(1.355*(T76/Flat!T$17)^0.16)</f>
        <v>2260.3818618187061</v>
      </c>
      <c r="U88" s="349">
        <f>U82/(1.355*(U76/Flat!U$17)^0.16)</f>
        <v>3393.8135707349388</v>
      </c>
      <c r="V88" s="349">
        <f>V82/(1.355*(V76/Flat!V$17)^0.16)</f>
        <v>1570.102500394353</v>
      </c>
      <c r="W88" s="349">
        <f>W82/(1.355*(W76/Flat!W$17)^0.16)</f>
        <v>2317.0168479337995</v>
      </c>
      <c r="X88" s="349">
        <f>X82/(1.355*(X76/Flat!X$17)^0.16)</f>
        <v>1574.3480427798138</v>
      </c>
      <c r="Y88" s="349">
        <f>Y82/(1.355*(Y76/Flat!Y$17)^0.16)</f>
        <v>1378.0641057355786</v>
      </c>
      <c r="Z88" s="349">
        <f>Z82/(1.355*(Z76/Flat!Z$17)^0.16)</f>
        <v>2178.8830603481774</v>
      </c>
      <c r="AA88" s="349">
        <f>AA82/(1.355*(AA76/Flat!AA$17)^0.16)</f>
        <v>2256.5277909800402</v>
      </c>
      <c r="AB88" s="349">
        <f>AB82/(1.355*(AB76/Flat!AB$17)^0.16)</f>
        <v>2124.6798329880239</v>
      </c>
      <c r="AC88" s="349">
        <f>AC82/(1.355*(AC76/Flat!AC$17)^0.16)</f>
        <v>2144.4922420027738</v>
      </c>
      <c r="AD88" s="349">
        <f>AD82/(1.355*(AD76/Flat!AD$17)^0.16)</f>
        <v>2191.4929736254931</v>
      </c>
      <c r="AE88" s="349">
        <f>AE82/(1.355*(AE76/Flat!AE$17)^0.16)</f>
        <v>2175.7947740161776</v>
      </c>
      <c r="AF88" s="349">
        <f>AF82/(1.355*(AF76/Flat!AF$17)^0.16)</f>
        <v>1353.9077463402143</v>
      </c>
      <c r="AG88" s="349">
        <f>AG82/(1.355*(AG76/Flat!AG$17)^0.16)</f>
        <v>2714.7710389884664</v>
      </c>
      <c r="AH88" s="349">
        <f>AH82/(1.355*(AH76/Flat!AH$17)^0.16)</f>
        <v>1048.7663395147538</v>
      </c>
      <c r="AI88" s="349">
        <f>AI82/(1.355*(AI76/Flat!AI$17)^0.16)</f>
        <v>1687.1396325236121</v>
      </c>
      <c r="AJ88" s="349">
        <f>AJ82/(1.355*(AJ76/Flat!AJ$17)^0.16)</f>
        <v>3447.475042459359</v>
      </c>
      <c r="AK88" s="349">
        <f>AK82/(1.355*(AK76/Flat!AK$17)^0.16)</f>
        <v>3336.7171524612031</v>
      </c>
      <c r="AL88" s="349">
        <f>AL82/(1.355*(AL76/Flat!AL$17)^0.16)</f>
        <v>1870.3148592050072</v>
      </c>
      <c r="AM88" s="349">
        <f>AM82/(1.355*(AM76/Flat!AM$17)^0.16)</f>
        <v>3170.214044862525</v>
      </c>
      <c r="AN88" s="354">
        <f>AN82/(1.355*(AN76/Flat!AN$17)^0.16)</f>
        <v>3170.214044862525</v>
      </c>
    </row>
    <row r="89" spans="1:40" s="5" customFormat="1">
      <c r="A89" s="334" t="s">
        <v>262</v>
      </c>
      <c r="B89" s="359" t="s">
        <v>2</v>
      </c>
      <c r="C89" s="366" t="s">
        <v>190</v>
      </c>
      <c r="D89" s="375">
        <f>D83/Flat!D$4</f>
        <v>96.591472919738081</v>
      </c>
      <c r="E89" s="376">
        <f>E83/Flat!E$4</f>
        <v>90.257197115732964</v>
      </c>
      <c r="F89" s="376">
        <f>F83/Flat!F$4</f>
        <v>59.892274573519025</v>
      </c>
      <c r="G89" s="376">
        <f>G83/Flat!G$4</f>
        <v>94.10506678973924</v>
      </c>
      <c r="H89" s="376">
        <f>H83/Flat!H$4</f>
        <v>32.347498014163868</v>
      </c>
      <c r="I89" s="376">
        <f>I83/Flat!I$4</f>
        <v>73.565580609148128</v>
      </c>
      <c r="J89" s="376">
        <f>J83/Flat!J$4</f>
        <v>105.5279466758688</v>
      </c>
      <c r="K89" s="376">
        <f>K83/Flat!K$4</f>
        <v>47.897995495602004</v>
      </c>
      <c r="L89" s="376">
        <f>L83/Flat!L$4</f>
        <v>59.33215408472266</v>
      </c>
      <c r="M89" s="376">
        <f>M83/Flat!M$4</f>
        <v>90.683932858883324</v>
      </c>
      <c r="N89" s="376">
        <f>N83/Flat!N$4</f>
        <v>61.634743194800869</v>
      </c>
      <c r="O89" s="376">
        <f>O83/Flat!O$4</f>
        <v>106.74591860361333</v>
      </c>
      <c r="P89" s="376">
        <f>P83/Flat!P$4</f>
        <v>88.510321584525627</v>
      </c>
      <c r="Q89" s="376">
        <f>Q83/Flat!Q$4</f>
        <v>64.383145551385368</v>
      </c>
      <c r="R89" s="376">
        <f>R83/Flat!R$4</f>
        <v>94.466551367735661</v>
      </c>
      <c r="S89" s="376">
        <f>S83/Flat!S$4</f>
        <v>57.987746621983838</v>
      </c>
      <c r="T89" s="376">
        <f>T83/Flat!T$4</f>
        <v>72.910395183630683</v>
      </c>
      <c r="U89" s="376">
        <f>U83/Flat!U$4</f>
        <v>60.548838697712526</v>
      </c>
      <c r="V89" s="376">
        <f>V83/Flat!V$4</f>
        <v>91.493283639966279</v>
      </c>
      <c r="W89" s="376">
        <f>W83/Flat!W$4</f>
        <v>70.042386890131027</v>
      </c>
      <c r="X89" s="376">
        <f>X83/Flat!X$4</f>
        <v>98.665659052547554</v>
      </c>
      <c r="Y89" s="376">
        <f>Y83/Flat!Y$4</f>
        <v>24.233251049502755</v>
      </c>
      <c r="Z89" s="376">
        <f>Z83/Flat!Z$4</f>
        <v>93.800615627553171</v>
      </c>
      <c r="AA89" s="376">
        <f>AA83/Flat!AA$4</f>
        <v>63.003499730083675</v>
      </c>
      <c r="AB89" s="376">
        <f>AB83/Flat!AB$4</f>
        <v>106.77148004532559</v>
      </c>
      <c r="AC89" s="376">
        <f>AC83/Flat!AC$4</f>
        <v>43.904744182640762</v>
      </c>
      <c r="AD89" s="376">
        <f>AD83/Flat!AD$4</f>
        <v>71.562474267072375</v>
      </c>
      <c r="AE89" s="376">
        <f>AE83/Flat!AE$4</f>
        <v>60.749389396134525</v>
      </c>
      <c r="AF89" s="376">
        <f>AF83/Flat!AF$4</f>
        <v>88.004282225921244</v>
      </c>
      <c r="AG89" s="376">
        <f>AG83/Flat!AG$4</f>
        <v>109.853442976182</v>
      </c>
      <c r="AH89" s="376">
        <f>AH83/Flat!AH$4</f>
        <v>69.153093293046041</v>
      </c>
      <c r="AI89" s="376">
        <f>AI83/Flat!AI$4</f>
        <v>69.452135719850318</v>
      </c>
      <c r="AJ89" s="376">
        <f>AJ83/Flat!AJ$4</f>
        <v>78.530891698363263</v>
      </c>
      <c r="AK89" s="376">
        <f>AK83/Flat!AK$4</f>
        <v>66.335760009537864</v>
      </c>
      <c r="AL89" s="376">
        <f>AL83/Flat!AL$4</f>
        <v>78.378597661022468</v>
      </c>
      <c r="AM89" s="376">
        <f>AM83/Flat!AM$4</f>
        <v>72.215094453628382</v>
      </c>
      <c r="AN89" s="377">
        <f>AN83/Flat!AN$4</f>
        <v>72.215094453628382</v>
      </c>
    </row>
    <row r="90" spans="1:40" s="5" customFormat="1">
      <c r="A90" s="154"/>
      <c r="B90" s="347" t="s">
        <v>3</v>
      </c>
      <c r="C90" s="367" t="s">
        <v>190</v>
      </c>
      <c r="D90" s="369">
        <f>D84/Flat!D$4</f>
        <v>86.170135312278688</v>
      </c>
      <c r="E90" s="370">
        <f>E84/Flat!E$4</f>
        <v>90.257197115732964</v>
      </c>
      <c r="F90" s="370">
        <f>F84/Flat!F$4</f>
        <v>59.892274573519025</v>
      </c>
      <c r="G90" s="370">
        <f>G84/Flat!G$4</f>
        <v>83.951989691481359</v>
      </c>
      <c r="H90" s="370">
        <f>H84/Flat!H$4</f>
        <v>29.502362835730295</v>
      </c>
      <c r="I90" s="370">
        <f>I84/Flat!I$4</f>
        <v>64.701184194673417</v>
      </c>
      <c r="J90" s="370">
        <f>J84/Flat!J$4</f>
        <v>88.498970674680706</v>
      </c>
      <c r="K90" s="370">
        <f>K84/Flat!K$4</f>
        <v>47.038115586559492</v>
      </c>
      <c r="L90" s="370">
        <f>L84/Flat!L$4</f>
        <v>59.33215408472266</v>
      </c>
      <c r="M90" s="370">
        <f>M84/Flat!M$4</f>
        <v>80.260128743595516</v>
      </c>
      <c r="N90" s="370">
        <f>N84/Flat!N$4</f>
        <v>56.573149105280386</v>
      </c>
      <c r="O90" s="370">
        <f>O84/Flat!O$4</f>
        <v>106.74591860361333</v>
      </c>
      <c r="P90" s="370">
        <f>P84/Flat!P$4</f>
        <v>88.510321584525627</v>
      </c>
      <c r="Q90" s="370">
        <f>Q84/Flat!Q$4</f>
        <v>69.939267127953812</v>
      </c>
      <c r="R90" s="370">
        <f>R84/Flat!R$4</f>
        <v>94.466551367735661</v>
      </c>
      <c r="S90" s="370">
        <f>S84/Flat!S$4</f>
        <v>58.773298291966377</v>
      </c>
      <c r="T90" s="370">
        <f>T84/Flat!T$4</f>
        <v>67.445360793669849</v>
      </c>
      <c r="U90" s="370">
        <f>U84/Flat!U$4</f>
        <v>56.323152745036651</v>
      </c>
      <c r="V90" s="370">
        <f>V84/Flat!V$4</f>
        <v>91.493283639966279</v>
      </c>
      <c r="W90" s="370">
        <f>W84/Flat!W$4</f>
        <v>82.513182454266953</v>
      </c>
      <c r="X90" s="370">
        <f>X84/Flat!X$4</f>
        <v>98.665659052547554</v>
      </c>
      <c r="Y90" s="370">
        <f>Y84/Flat!Y$4</f>
        <v>24.210846877461034</v>
      </c>
      <c r="Z90" s="370">
        <f>Z84/Flat!Z$4</f>
        <v>78.051539134313359</v>
      </c>
      <c r="AA90" s="370">
        <f>AA84/Flat!AA$4</f>
        <v>63.003499730083675</v>
      </c>
      <c r="AB90" s="370">
        <f>AB84/Flat!AB$4</f>
        <v>79.287535867688675</v>
      </c>
      <c r="AC90" s="370">
        <f>AC84/Flat!AC$4</f>
        <v>37.961399081343075</v>
      </c>
      <c r="AD90" s="370">
        <f>AD84/Flat!AD$4</f>
        <v>65.145922528818332</v>
      </c>
      <c r="AE90" s="370">
        <f>AE84/Flat!AE$4</f>
        <v>60.749389396134525</v>
      </c>
      <c r="AF90" s="370">
        <f>AF84/Flat!AF$4</f>
        <v>88.004282225921244</v>
      </c>
      <c r="AG90" s="370">
        <f>AG84/Flat!AG$4</f>
        <v>91.824140159806177</v>
      </c>
      <c r="AH90" s="370">
        <f>AH84/Flat!AH$4</f>
        <v>73.576954470563422</v>
      </c>
      <c r="AI90" s="370">
        <f>AI84/Flat!AI$4</f>
        <v>69.452135719850318</v>
      </c>
      <c r="AJ90" s="370">
        <f>AJ84/Flat!AJ$4</f>
        <v>78.530891698363263</v>
      </c>
      <c r="AK90" s="370">
        <f>AK84/Flat!AK$4</f>
        <v>66.335760009537864</v>
      </c>
      <c r="AL90" s="370">
        <f>AL84/Flat!AL$4</f>
        <v>78.378597661022468</v>
      </c>
      <c r="AM90" s="370">
        <f>AM84/Flat!AM$4</f>
        <v>72.215094453628382</v>
      </c>
      <c r="AN90" s="371">
        <f>AN84/Flat!AN$4</f>
        <v>72.215094453628382</v>
      </c>
    </row>
    <row r="91" spans="1:40" s="5" customFormat="1">
      <c r="A91" s="154"/>
      <c r="B91" s="347" t="s">
        <v>4</v>
      </c>
      <c r="C91" s="367" t="s">
        <v>190</v>
      </c>
      <c r="D91" s="369">
        <f>D85/Flat!D$4</f>
        <v>69.301680087816493</v>
      </c>
      <c r="E91" s="370">
        <f>E85/Flat!E$4</f>
        <v>90.257197115732964</v>
      </c>
      <c r="F91" s="370">
        <f>F85/Flat!F$4</f>
        <v>56.214409422888252</v>
      </c>
      <c r="G91" s="370">
        <f>G85/Flat!G$4</f>
        <v>67.517753236087586</v>
      </c>
      <c r="H91" s="370">
        <f>H85/Flat!H$4</f>
        <v>26.603875022684882</v>
      </c>
      <c r="I91" s="370">
        <f>I85/Flat!I$4</f>
        <v>64.701184194673417</v>
      </c>
      <c r="J91" s="370">
        <f>J85/Flat!J$4</f>
        <v>55.291909264324346</v>
      </c>
      <c r="K91" s="370">
        <f>K85/Flat!K$4</f>
        <v>30.83806382264298</v>
      </c>
      <c r="L91" s="370">
        <f>L85/Flat!L$4</f>
        <v>46.744552078531292</v>
      </c>
      <c r="M91" s="370">
        <f>M85/Flat!M$4</f>
        <v>80.260128743595516</v>
      </c>
      <c r="N91" s="370">
        <f>N85/Flat!N$4</f>
        <v>46.255376307439214</v>
      </c>
      <c r="O91" s="370">
        <f>O85/Flat!O$4</f>
        <v>49.074085465534601</v>
      </c>
      <c r="P91" s="370">
        <f>P85/Flat!P$4</f>
        <v>88.510321584525627</v>
      </c>
      <c r="Q91" s="370">
        <f>Q85/Flat!Q$4</f>
        <v>64.494467656000069</v>
      </c>
      <c r="R91" s="370">
        <f>R85/Flat!R$4</f>
        <v>80.836380362134491</v>
      </c>
      <c r="S91" s="370">
        <f>S85/Flat!S$4</f>
        <v>50.964118392039673</v>
      </c>
      <c r="T91" s="370">
        <f>T85/Flat!T$4</f>
        <v>54.079676170658352</v>
      </c>
      <c r="U91" s="370">
        <f>U85/Flat!U$4</f>
        <v>54.909688814574352</v>
      </c>
      <c r="V91" s="370">
        <f>V85/Flat!V$4</f>
        <v>58.345869360873294</v>
      </c>
      <c r="W91" s="370">
        <f>W85/Flat!W$4</f>
        <v>41.769235356322518</v>
      </c>
      <c r="X91" s="370">
        <f>X85/Flat!X$4</f>
        <v>90.982448262286269</v>
      </c>
      <c r="Y91" s="370">
        <f>Y85/Flat!Y$4</f>
        <v>18.643701949562008</v>
      </c>
      <c r="Z91" s="370">
        <f>Z85/Flat!Z$4</f>
        <v>76.508666707223426</v>
      </c>
      <c r="AA91" s="370">
        <f>AA85/Flat!AA$4</f>
        <v>40.209554204443641</v>
      </c>
      <c r="AB91" s="370">
        <f>AB85/Flat!AB$4</f>
        <v>55.28392511200655</v>
      </c>
      <c r="AC91" s="370">
        <f>AC85/Flat!AC$4</f>
        <v>37.44211210372297</v>
      </c>
      <c r="AD91" s="370">
        <f>AD85/Flat!AD$4</f>
        <v>65.145922528818332</v>
      </c>
      <c r="AE91" s="370">
        <f>AE85/Flat!AE$4</f>
        <v>38.770955205276508</v>
      </c>
      <c r="AF91" s="370">
        <f>AF85/Flat!AF$4</f>
        <v>84.769408448275371</v>
      </c>
      <c r="AG91" s="370">
        <f>AG85/Flat!AG$4</f>
        <v>91.824140159806177</v>
      </c>
      <c r="AH91" s="370">
        <f>AH85/Flat!AH$4</f>
        <v>59.879530332027393</v>
      </c>
      <c r="AI91" s="370">
        <f>AI85/Flat!AI$4</f>
        <v>69.452135719850318</v>
      </c>
      <c r="AJ91" s="370">
        <f>AJ85/Flat!AJ$4</f>
        <v>78.530891698363263</v>
      </c>
      <c r="AK91" s="370">
        <f>AK85/Flat!AK$4</f>
        <v>66.335760009537864</v>
      </c>
      <c r="AL91" s="370">
        <f>AL85/Flat!AL$4</f>
        <v>73.538827440865703</v>
      </c>
      <c r="AM91" s="370">
        <f>AM85/Flat!AM$4</f>
        <v>72.215094453628382</v>
      </c>
      <c r="AN91" s="371">
        <f>AN85/Flat!AN$4</f>
        <v>72.215094453628382</v>
      </c>
    </row>
    <row r="92" spans="1:40" s="5" customFormat="1">
      <c r="A92" s="154"/>
      <c r="B92" s="347" t="s">
        <v>5</v>
      </c>
      <c r="C92" s="367" t="s">
        <v>190</v>
      </c>
      <c r="D92" s="369">
        <f>D86/Flat!D$4</f>
        <v>48.645502007206971</v>
      </c>
      <c r="E92" s="370">
        <f>E86/Flat!E$4</f>
        <v>77.097580161199659</v>
      </c>
      <c r="F92" s="370">
        <f>F86/Flat!F$4</f>
        <v>47.588853554545793</v>
      </c>
      <c r="G92" s="370">
        <f>G86/Flat!G$4</f>
        <v>47.393295464212279</v>
      </c>
      <c r="H92" s="370">
        <f>H86/Flat!H$4</f>
        <v>25.975814063252965</v>
      </c>
      <c r="I92" s="370">
        <f>I86/Flat!I$4</f>
        <v>57.535617750120466</v>
      </c>
      <c r="J92" s="370">
        <f>J86/Flat!J$4</f>
        <v>46.490058094085221</v>
      </c>
      <c r="K92" s="370">
        <f>K86/Flat!K$4</f>
        <v>24.868764646469526</v>
      </c>
      <c r="L92" s="370">
        <f>L86/Flat!L$4</f>
        <v>38.798940039244783</v>
      </c>
      <c r="M92" s="370">
        <f>M86/Flat!M$4</f>
        <v>57.968076092692968</v>
      </c>
      <c r="N92" s="370">
        <f>N86/Flat!N$4</f>
        <v>38.363289017881002</v>
      </c>
      <c r="O92" s="370">
        <f>O86/Flat!O$4</f>
        <v>42.355581956945464</v>
      </c>
      <c r="P92" s="370">
        <f>P86/Flat!P$4</f>
        <v>86.798250796901229</v>
      </c>
      <c r="Q92" s="370">
        <f>Q86/Flat!Q$4</f>
        <v>64.494467656000069</v>
      </c>
      <c r="R92" s="370">
        <f>R86/Flat!R$4</f>
        <v>57.041518396274384</v>
      </c>
      <c r="S92" s="370">
        <f>S86/Flat!S$4</f>
        <v>34.023499542236337</v>
      </c>
      <c r="T92" s="370">
        <f>T86/Flat!T$4</f>
        <v>43.635068221798925</v>
      </c>
      <c r="U92" s="370">
        <f>U86/Flat!U$4</f>
        <v>41.333239345840305</v>
      </c>
      <c r="V92" s="370">
        <f>V86/Flat!V$4</f>
        <v>58.345869360873294</v>
      </c>
      <c r="W92" s="370">
        <f>W86/Flat!W$4</f>
        <v>37.964955845170913</v>
      </c>
      <c r="X92" s="370">
        <f>X86/Flat!X$4</f>
        <v>55.673660840343317</v>
      </c>
      <c r="Y92" s="370">
        <f>Y86/Flat!Y$4</f>
        <v>17.520958433730843</v>
      </c>
      <c r="Z92" s="370">
        <f>Z86/Flat!Z$4</f>
        <v>41.226934179918338</v>
      </c>
      <c r="AA92" s="370">
        <f>AA86/Flat!AA$4</f>
        <v>40.209554204443641</v>
      </c>
      <c r="AB92" s="370">
        <f>AB86/Flat!AB$4</f>
        <v>55.28392511200655</v>
      </c>
      <c r="AC92" s="370">
        <f>AC86/Flat!AC$4</f>
        <v>35.967677061526324</v>
      </c>
      <c r="AD92" s="370">
        <f>AD86/Flat!AD$4</f>
        <v>55.256542249806657</v>
      </c>
      <c r="AE92" s="370">
        <f>AE86/Flat!AE$4</f>
        <v>38.770955205276508</v>
      </c>
      <c r="AF92" s="370">
        <f>AF86/Flat!AF$4</f>
        <v>63.045416131907572</v>
      </c>
      <c r="AG92" s="370">
        <f>AG86/Flat!AG$4</f>
        <v>79.67616223181507</v>
      </c>
      <c r="AH92" s="370">
        <f>AH86/Flat!AH$4</f>
        <v>31.239654943714328</v>
      </c>
      <c r="AI92" s="370">
        <f>AI86/Flat!AI$4</f>
        <v>68.168299448175091</v>
      </c>
      <c r="AJ92" s="370">
        <f>AJ86/Flat!AJ$4</f>
        <v>67.020260586074102</v>
      </c>
      <c r="AK92" s="370">
        <f>AK86/Flat!AK$4</f>
        <v>56.552480627541705</v>
      </c>
      <c r="AL92" s="370">
        <f>AL86/Flat!AL$4</f>
        <v>62.039528998097218</v>
      </c>
      <c r="AM92" s="370">
        <f>AM86/Flat!AM$4</f>
        <v>61.630198560842274</v>
      </c>
      <c r="AN92" s="371">
        <f>AN86/Flat!AN$4</f>
        <v>61.630198560842274</v>
      </c>
    </row>
    <row r="93" spans="1:40" s="5" customFormat="1">
      <c r="A93" s="154"/>
      <c r="B93" s="347" t="s">
        <v>6</v>
      </c>
      <c r="C93" s="367" t="s">
        <v>190</v>
      </c>
      <c r="D93" s="369">
        <f>D87/Flat!D$4</f>
        <v>40.869708482951239</v>
      </c>
      <c r="E93" s="370">
        <f>E87/Flat!E$4</f>
        <v>77.097580161199659</v>
      </c>
      <c r="F93" s="370">
        <f>F87/Flat!F$4</f>
        <v>36.990739961969197</v>
      </c>
      <c r="G93" s="370">
        <f>G87/Flat!G$4</f>
        <v>39.817662265706822</v>
      </c>
      <c r="H93" s="370">
        <f>H87/Flat!H$4</f>
        <v>25.975814063252965</v>
      </c>
      <c r="I93" s="370">
        <f>I87/Flat!I$4</f>
        <v>42.338062727183683</v>
      </c>
      <c r="J93" s="370">
        <f>J87/Flat!J$4</f>
        <v>26.767440403908555</v>
      </c>
      <c r="K93" s="370">
        <f>K87/Flat!K$4</f>
        <v>24.868764646469526</v>
      </c>
      <c r="L93" s="370">
        <f>L87/Flat!L$4</f>
        <v>34.85967093790849</v>
      </c>
      <c r="M93" s="370">
        <f>M87/Flat!M$4</f>
        <v>57.968076092692968</v>
      </c>
      <c r="N93" s="370">
        <f>N87/Flat!N$4</f>
        <v>37.865989081770643</v>
      </c>
      <c r="O93" s="370">
        <f>O87/Flat!O$4</f>
        <v>24.856965231472291</v>
      </c>
      <c r="P93" s="370">
        <f>P87/Flat!P$4</f>
        <v>86.798250796901229</v>
      </c>
      <c r="Q93" s="370">
        <f>Q87/Flat!Q$4</f>
        <v>45.757812380242896</v>
      </c>
      <c r="R93" s="370">
        <f>R87/Flat!R$4</f>
        <v>57.041518396274384</v>
      </c>
      <c r="S93" s="370">
        <f>S87/Flat!S$4</f>
        <v>28.133967226442724</v>
      </c>
      <c r="T93" s="370">
        <f>T87/Flat!T$4</f>
        <v>43.050441077613819</v>
      </c>
      <c r="U93" s="370">
        <f>U87/Flat!U$4</f>
        <v>37.376801439812105</v>
      </c>
      <c r="V93" s="370">
        <f>V87/Flat!V$4</f>
        <v>58.345869360873294</v>
      </c>
      <c r="W93" s="370">
        <f>W87/Flat!W$4</f>
        <v>33.337497403041134</v>
      </c>
      <c r="X93" s="370">
        <f>X87/Flat!X$4</f>
        <v>55.149498806368534</v>
      </c>
      <c r="Y93" s="370">
        <f>Y87/Flat!Y$4</f>
        <v>17.306105421945226</v>
      </c>
      <c r="Z93" s="370">
        <f>Z87/Flat!Z$4</f>
        <v>37.602346627022371</v>
      </c>
      <c r="AA93" s="370">
        <f>AA87/Flat!AA$4</f>
        <v>33.780356152395811</v>
      </c>
      <c r="AB93" s="370">
        <f>AB87/Flat!AB$4</f>
        <v>55.28392511200655</v>
      </c>
      <c r="AC93" s="370">
        <f>AC87/Flat!AC$4</f>
        <v>32.716740641144348</v>
      </c>
      <c r="AD93" s="370">
        <f>AD87/Flat!AD$4</f>
        <v>55.256542249806657</v>
      </c>
      <c r="AE93" s="370">
        <f>AE87/Flat!AE$4</f>
        <v>32.571778054134398</v>
      </c>
      <c r="AF93" s="370">
        <f>AF87/Flat!AF$4</f>
        <v>45.46987083952294</v>
      </c>
      <c r="AG93" s="370">
        <f>AG87/Flat!AG$4</f>
        <v>75.134321676375407</v>
      </c>
      <c r="AH93" s="370">
        <f>AH87/Flat!AH$4</f>
        <v>25.687563661319182</v>
      </c>
      <c r="AI93" s="370">
        <f>AI87/Flat!AI$4</f>
        <v>68.168299448175091</v>
      </c>
      <c r="AJ93" s="370">
        <f>AJ87/Flat!AJ$4</f>
        <v>62.479525399665818</v>
      </c>
      <c r="AK93" s="370">
        <f>AK87/Flat!AK$4</f>
        <v>52.699140457845274</v>
      </c>
      <c r="AL93" s="370">
        <f>AL87/Flat!AL$4</f>
        <v>48.742343350153106</v>
      </c>
      <c r="AM93" s="370">
        <f>AM87/Flat!AM$4</f>
        <v>57.454649126934306</v>
      </c>
      <c r="AN93" s="371">
        <f>AN87/Flat!AN$4</f>
        <v>57.454649126934306</v>
      </c>
    </row>
    <row r="94" spans="1:40" s="5" customFormat="1">
      <c r="A94" s="155"/>
      <c r="B94" s="338" t="s">
        <v>7</v>
      </c>
      <c r="C94" s="368" t="s">
        <v>190</v>
      </c>
      <c r="D94" s="378">
        <f>D88/Flat!D$4</f>
        <v>36.901295320028439</v>
      </c>
      <c r="E94" s="379">
        <f>E88/Flat!E$4</f>
        <v>45.048859685768917</v>
      </c>
      <c r="F94" s="379">
        <f>F88/Flat!F$4</f>
        <v>23.322596552122167</v>
      </c>
      <c r="G94" s="379">
        <f>G88/Flat!G$4</f>
        <v>35.951401875864299</v>
      </c>
      <c r="H94" s="379">
        <f>H88/Flat!H$4</f>
        <v>22.753783388490103</v>
      </c>
      <c r="I94" s="379">
        <f>I88/Flat!I$4</f>
        <v>36.162697789833445</v>
      </c>
      <c r="J94" s="379">
        <f>J88/Flat!J$4</f>
        <v>30.188501924515283</v>
      </c>
      <c r="K94" s="379">
        <f>K88/Flat!K$4</f>
        <v>19.23271231330504</v>
      </c>
      <c r="L94" s="379">
        <f>L88/Flat!L$4</f>
        <v>34.85967093790849</v>
      </c>
      <c r="M94" s="379">
        <f>M88/Flat!M$4</f>
        <v>35.112322056720984</v>
      </c>
      <c r="N94" s="379">
        <f>N88/Flat!N$4</f>
        <v>35.478226357914217</v>
      </c>
      <c r="O94" s="379">
        <f>O88/Flat!O$4</f>
        <v>24.169180909738245</v>
      </c>
      <c r="P94" s="379">
        <f>P88/Flat!P$4</f>
        <v>29.031271622141944</v>
      </c>
      <c r="Q94" s="379">
        <f>Q88/Flat!Q$4</f>
        <v>26.198345915994455</v>
      </c>
      <c r="R94" s="379">
        <f>R88/Flat!R$4</f>
        <v>37.036754352923992</v>
      </c>
      <c r="S94" s="379">
        <f>S88/Flat!S$4</f>
        <v>17.479651620199359</v>
      </c>
      <c r="T94" s="379">
        <f>T88/Flat!T$4</f>
        <v>40.363961818191179</v>
      </c>
      <c r="U94" s="379">
        <f>U88/Flat!U$4</f>
        <v>37.376801439812105</v>
      </c>
      <c r="V94" s="379">
        <f>V88/Flat!V$4</f>
        <v>30.450913295043318</v>
      </c>
      <c r="W94" s="379">
        <f>W88/Flat!W$4</f>
        <v>27.004825319663645</v>
      </c>
      <c r="X94" s="379">
        <f>X88/Flat!X$4</f>
        <v>30.569864908345899</v>
      </c>
      <c r="Y94" s="379">
        <f>Y88/Flat!Y$4</f>
        <v>16.206522096501168</v>
      </c>
      <c r="Z94" s="379">
        <f>Z88/Flat!Z$4</f>
        <v>28.745159107495745</v>
      </c>
      <c r="AA94" s="379">
        <f>AA88/Flat!AA$4</f>
        <v>33.780356152395811</v>
      </c>
      <c r="AB94" s="379">
        <f>AB88/Flat!AB$4</f>
        <v>40.485719544658984</v>
      </c>
      <c r="AC94" s="379">
        <f>AC88/Flat!AC$4</f>
        <v>22.185894925677697</v>
      </c>
      <c r="AD94" s="379">
        <f>AD88/Flat!AD$4</f>
        <v>45.703383767705461</v>
      </c>
      <c r="AE94" s="379">
        <f>AE88/Flat!AE$4</f>
        <v>32.571778054134398</v>
      </c>
      <c r="AF94" s="379">
        <f>AF88/Flat!AF$4</f>
        <v>26.258434353062313</v>
      </c>
      <c r="AG94" s="379">
        <f>AG88/Flat!AG$4</f>
        <v>44.320700536215774</v>
      </c>
      <c r="AH94" s="379">
        <f>AH88/Flat!AH$4</f>
        <v>21.664249938334102</v>
      </c>
      <c r="AI94" s="379">
        <f>AI88/Flat!AI$4</f>
        <v>23.111501815391946</v>
      </c>
      <c r="AJ94" s="379">
        <f>AJ88/Flat!AJ$4</f>
        <v>54.19508085350504</v>
      </c>
      <c r="AK94" s="379">
        <f>AK88/Flat!AK$4</f>
        <v>45.708454143304152</v>
      </c>
      <c r="AL94" s="379">
        <f>AL88/Flat!AL$4</f>
        <v>29.401769053509305</v>
      </c>
      <c r="AM94" s="379">
        <f>AM88/Flat!AM$4</f>
        <v>49.836475788284751</v>
      </c>
      <c r="AN94" s="380">
        <f>AN88/Flat!AN$4</f>
        <v>49.836475788284751</v>
      </c>
    </row>
    <row r="95" spans="1:40" s="5" customFormat="1">
      <c r="A95" s="334" t="s">
        <v>299</v>
      </c>
      <c r="B95" s="359" t="s">
        <v>2</v>
      </c>
      <c r="C95" s="366" t="s">
        <v>190</v>
      </c>
      <c r="D95" s="376">
        <f>Flat!D$48-D89</f>
        <v>9.2116394084893756</v>
      </c>
      <c r="E95" s="376">
        <f>Flat!E$48-E89</f>
        <v>12.472287987094376</v>
      </c>
      <c r="F95" s="376">
        <f>Flat!F$48-F89</f>
        <v>8.2333636125710896</v>
      </c>
      <c r="G95" s="376">
        <f>Flat!G$48-G89</f>
        <v>8.9745183045215526</v>
      </c>
      <c r="H95" s="376">
        <f>Flat!H$48-H89</f>
        <v>2.0226611710809621</v>
      </c>
      <c r="I95" s="376">
        <f>Flat!I$48-I89</f>
        <v>13.247997807216706</v>
      </c>
      <c r="J95" s="376">
        <f>Flat!J$48-J89</f>
        <v>14.260939603301196</v>
      </c>
      <c r="K95" s="376">
        <f>Flat!K$48-K89</f>
        <v>9.1641096744063901</v>
      </c>
      <c r="L95" s="376">
        <f>Flat!L$48-L89</f>
        <v>11.582379425902417</v>
      </c>
      <c r="M95" s="376">
        <f>Flat!M$48-M89</f>
        <v>9.9068430820333049</v>
      </c>
      <c r="N95" s="376">
        <f>Flat!N$48-N89</f>
        <v>18.010754526392525</v>
      </c>
      <c r="O95" s="376">
        <f>Flat!O$48-O89</f>
        <v>12.243153546662427</v>
      </c>
      <c r="P95" s="376">
        <f>Flat!P$48-P89</f>
        <v>5.1843449664278296</v>
      </c>
      <c r="Q95" s="376">
        <f>Flat!Q$48-Q89</f>
        <v>15.421436928509692</v>
      </c>
      <c r="R95" s="376">
        <f>Flat!R$48-R89</f>
        <v>11.412188690689277</v>
      </c>
      <c r="S95" s="376">
        <f>Flat!S$48-S89</f>
        <v>14.65042561695423</v>
      </c>
      <c r="T95" s="376">
        <f>Flat!T$48-T89</f>
        <v>15.503351987929861</v>
      </c>
      <c r="U95" s="376">
        <f>Flat!U$48-U89</f>
        <v>10.239986387413154</v>
      </c>
      <c r="V95" s="376">
        <f>Flat!V$48-V89</f>
        <v>12.596608859311928</v>
      </c>
      <c r="W95" s="376">
        <f>Flat!W$48-W89</f>
        <v>14.53854267058793</v>
      </c>
      <c r="X95" s="376">
        <f>Flat!X$48-X89</f>
        <v>17.658025796497668</v>
      </c>
      <c r="Y95" s="376">
        <f>Flat!Y$48-Y89</f>
        <v>3.0514522611037762</v>
      </c>
      <c r="Z95" s="376">
        <f>Flat!Z$48-Z89</f>
        <v>11.501922623681452</v>
      </c>
      <c r="AA95" s="376">
        <f>Flat!AA$48-AA89</f>
        <v>18.596333432776845</v>
      </c>
      <c r="AB95" s="376">
        <f>Flat!AB$48-AB89</f>
        <v>18.909637113234297</v>
      </c>
      <c r="AC95" s="376">
        <f>Flat!AC$48-AC89</f>
        <v>4.2822789688955041</v>
      </c>
      <c r="AD95" s="376">
        <f>Flat!AD$48-AD89</f>
        <v>12.123619860335339</v>
      </c>
      <c r="AE95" s="376">
        <f>Flat!AE$48-AE89</f>
        <v>17.931002339361889</v>
      </c>
      <c r="AF95" s="376">
        <f>Flat!AF$48-AF89</f>
        <v>10.389587651236141</v>
      </c>
      <c r="AG95" s="376">
        <f>Flat!AG$48-AG89</f>
        <v>16.692559443839542</v>
      </c>
      <c r="AH95" s="376">
        <f>Flat!AH$48-AH89</f>
        <v>19.990076779351426</v>
      </c>
      <c r="AI95" s="376">
        <f>Flat!AI$48-AI89</f>
        <v>5.1763432033626202</v>
      </c>
      <c r="AJ95" s="376">
        <f>Flat!AJ$48-AJ89</f>
        <v>10.810829009052142</v>
      </c>
      <c r="AK95" s="376">
        <f>Flat!AK$48-AK89</f>
        <v>8.3847133602063906</v>
      </c>
      <c r="AL95" s="376">
        <f>Flat!AL$48-AL89</f>
        <v>8.3527178777322035</v>
      </c>
      <c r="AM95" s="376">
        <f>Flat!AM$48-AM89</f>
        <v>9.9413749306376076</v>
      </c>
      <c r="AN95" s="377">
        <f>Flat!AN$48-AN89</f>
        <v>9.9413749306376076</v>
      </c>
    </row>
    <row r="96" spans="1:40" s="5" customFormat="1">
      <c r="A96" s="154"/>
      <c r="B96" s="347" t="s">
        <v>3</v>
      </c>
      <c r="C96" s="367" t="s">
        <v>190</v>
      </c>
      <c r="D96" s="370">
        <f>Flat!D$49-D90</f>
        <v>9.4025758672743081</v>
      </c>
      <c r="E96" s="370">
        <f>Flat!E$49-E90</f>
        <v>12.472287987094376</v>
      </c>
      <c r="F96" s="370">
        <f>Flat!F$49-F90</f>
        <v>8.2333636125710896</v>
      </c>
      <c r="G96" s="370">
        <f>Flat!G$49-G90</f>
        <v>9.1605397789169416</v>
      </c>
      <c r="H96" s="370">
        <f>Flat!H$49-H90</f>
        <v>2.0570903675645695</v>
      </c>
      <c r="I96" s="370">
        <f>Flat!I$49-I90</f>
        <v>13.54235914133146</v>
      </c>
      <c r="J96" s="370">
        <f>Flat!J$49-J90</f>
        <v>10.371357188077909</v>
      </c>
      <c r="K96" s="370">
        <f>Flat!K$49-K90</f>
        <v>9.0079454512909294</v>
      </c>
      <c r="L96" s="370">
        <f>Flat!L$49-L90</f>
        <v>11.582379425902417</v>
      </c>
      <c r="M96" s="370">
        <f>Flat!M$49-M90</f>
        <v>10.124775264250317</v>
      </c>
      <c r="N96" s="370">
        <f>Flat!N$49-N90</f>
        <v>18.262417594046291</v>
      </c>
      <c r="O96" s="370">
        <f>Flat!O$49-O90</f>
        <v>12.243153546662427</v>
      </c>
      <c r="P96" s="370">
        <f>Flat!P$49-P90</f>
        <v>5.1843449664278296</v>
      </c>
      <c r="Q96" s="370">
        <f>Flat!Q$49-Q90</f>
        <v>15.208154944919301</v>
      </c>
      <c r="R96" s="370">
        <f>Flat!R$49-R90</f>
        <v>11.412188690689277</v>
      </c>
      <c r="S96" s="370">
        <f>Flat!S$49-S90</f>
        <v>14.617659715059396</v>
      </c>
      <c r="T96" s="370">
        <f>Flat!T$49-T90</f>
        <v>15.708504726194377</v>
      </c>
      <c r="U96" s="370">
        <f>Flat!U$49-U90</f>
        <v>10.368747573840054</v>
      </c>
      <c r="V96" s="370">
        <f>Flat!V$49-V90</f>
        <v>12.596608859311928</v>
      </c>
      <c r="W96" s="370">
        <f>Flat!W$49-W90</f>
        <v>11.579149577056569</v>
      </c>
      <c r="X96" s="370">
        <f>Flat!X$49-X90</f>
        <v>15.958921367407413</v>
      </c>
      <c r="Y96" s="370">
        <f>Flat!Y$49-Y90</f>
        <v>3.0519529643762446</v>
      </c>
      <c r="Z96" s="370">
        <f>Flat!Z$49-Z90</f>
        <v>10.567714228703238</v>
      </c>
      <c r="AA96" s="370">
        <f>Flat!AA$49-AA90</f>
        <v>18.225390357265439</v>
      </c>
      <c r="AB96" s="370">
        <f>Flat!AB$49-AB90</f>
        <v>14.05204097292102</v>
      </c>
      <c r="AC96" s="370">
        <f>Flat!AC$49-AC90</f>
        <v>4.5214859732398978</v>
      </c>
      <c r="AD96" s="370">
        <f>Flat!AD$49-AD90</f>
        <v>11.699335795046082</v>
      </c>
      <c r="AE96" s="370">
        <f>Flat!AE$49-AE90</f>
        <v>17.573330695174128</v>
      </c>
      <c r="AF96" s="370">
        <f>Flat!AF$49-AF90</f>
        <v>10.389587651236141</v>
      </c>
      <c r="AG96" s="370">
        <f>Flat!AG$49-AG90</f>
        <v>17.219594075367382</v>
      </c>
      <c r="AH96" s="370">
        <f>Flat!AH$49-AH90</f>
        <v>19.412084754348257</v>
      </c>
      <c r="AI96" s="370">
        <f>Flat!AI$49-AI90</f>
        <v>5.1763432033626202</v>
      </c>
      <c r="AJ96" s="370">
        <f>Flat!AJ$49-AJ90</f>
        <v>10.810829009052142</v>
      </c>
      <c r="AK96" s="370">
        <f>Flat!AK$49-AK90</f>
        <v>8.3847133602063906</v>
      </c>
      <c r="AL96" s="370">
        <f>Flat!AL$49-AL90</f>
        <v>8.3527178777322035</v>
      </c>
      <c r="AM96" s="370">
        <f>Flat!AM$49-AM90</f>
        <v>9.9413749306376076</v>
      </c>
      <c r="AN96" s="371">
        <f>Flat!AN$49-AN90</f>
        <v>9.9413749306376076</v>
      </c>
    </row>
    <row r="97" spans="1:40" s="5" customFormat="1">
      <c r="A97" s="154"/>
      <c r="B97" s="347" t="s">
        <v>4</v>
      </c>
      <c r="C97" s="367" t="s">
        <v>190</v>
      </c>
      <c r="D97" s="370">
        <f>Flat!D$50-D91</f>
        <v>8.7283548039351047</v>
      </c>
      <c r="E97" s="370">
        <f>Flat!E$50-E91</f>
        <v>12.472287987094376</v>
      </c>
      <c r="F97" s="370">
        <f>Flat!F$50-F91</f>
        <v>8.3256114537482944</v>
      </c>
      <c r="G97" s="370">
        <f>Flat!G$50-G91</f>
        <v>8.5036741542535026</v>
      </c>
      <c r="H97" s="370">
        <f>Flat!H$50-H91</f>
        <v>5.2124455216698529</v>
      </c>
      <c r="I97" s="370">
        <f>Flat!I$50-I91</f>
        <v>13.54235914133146</v>
      </c>
      <c r="J97" s="370">
        <f>Flat!J$50-J91</f>
        <v>12.053354763346505</v>
      </c>
      <c r="K97" s="370">
        <f>Flat!K$50-K91</f>
        <v>9.5118716478963918</v>
      </c>
      <c r="L97" s="370">
        <f>Flat!L$50-L91</f>
        <v>12.05730924642657</v>
      </c>
      <c r="M97" s="370">
        <f>Flat!M$50-M91</f>
        <v>10.124775264250317</v>
      </c>
      <c r="N97" s="370">
        <f>Flat!N$50-N91</f>
        <v>17.077783853080724</v>
      </c>
      <c r="O97" s="370">
        <f>Flat!O$50-O91</f>
        <v>11.284735565725001</v>
      </c>
      <c r="P97" s="370">
        <f>Flat!P$50-P91</f>
        <v>5.1843449664278296</v>
      </c>
      <c r="Q97" s="370">
        <f>Flat!Q$50-Q91</f>
        <v>9.7338507067837696</v>
      </c>
      <c r="R97" s="370">
        <f>Flat!R$50-R91</f>
        <v>11.730882434489232</v>
      </c>
      <c r="S97" s="370">
        <f>Flat!S$50-S91</f>
        <v>14.965166747702618</v>
      </c>
      <c r="T97" s="370">
        <f>Flat!T$50-T91</f>
        <v>14.749532892013015</v>
      </c>
      <c r="U97" s="370">
        <f>Flat!U$50-U91</f>
        <v>8.7537264754940836</v>
      </c>
      <c r="V97" s="370">
        <f>Flat!V$50-V91</f>
        <v>10.414859805924849</v>
      </c>
      <c r="W97" s="370">
        <f>Flat!W$50-W91</f>
        <v>9.8461206643809263</v>
      </c>
      <c r="X97" s="370">
        <f>Flat!X$50-X91</f>
        <v>16.184769916200182</v>
      </c>
      <c r="Y97" s="370">
        <f>Flat!Y$50-Y91</f>
        <v>3.1950547709921544</v>
      </c>
      <c r="Z97" s="370">
        <f>Flat!Z$50-Z91</f>
        <v>10.604986511365226</v>
      </c>
      <c r="AA97" s="370">
        <f>Flat!AA$50-AA91</f>
        <v>19.248252919430499</v>
      </c>
      <c r="AB97" s="370">
        <f>Flat!AB$50-AB91</f>
        <v>12.332906385260351</v>
      </c>
      <c r="AC97" s="370">
        <f>Flat!AC$50-AC91</f>
        <v>4.5325820155622694</v>
      </c>
      <c r="AD97" s="370">
        <f>Flat!AD$50-AD91</f>
        <v>11.699335795046082</v>
      </c>
      <c r="AE97" s="370">
        <f>Flat!AE$50-AE91</f>
        <v>18.559597749447335</v>
      </c>
      <c r="AF97" s="370">
        <f>Flat!AF$50-AF91</f>
        <v>8.6822251072492094</v>
      </c>
      <c r="AG97" s="370">
        <f>Flat!AG$50-AG91</f>
        <v>17.219594075367382</v>
      </c>
      <c r="AH97" s="370">
        <f>Flat!AH$50-AH91</f>
        <v>18.122815089832493</v>
      </c>
      <c r="AI97" s="370">
        <f>Flat!AI$50-AI91</f>
        <v>5.1763432033626202</v>
      </c>
      <c r="AJ97" s="370">
        <f>Flat!AJ$50-AJ91</f>
        <v>10.810829009052142</v>
      </c>
      <c r="AK97" s="370">
        <f>Flat!AK$50-AK91</f>
        <v>8.3847133602063906</v>
      </c>
      <c r="AL97" s="370">
        <f>Flat!AL$50-AL91</f>
        <v>8.4484844865955182</v>
      </c>
      <c r="AM97" s="370">
        <f>Flat!AM$50-AM91</f>
        <v>9.9413749306376076</v>
      </c>
      <c r="AN97" s="371">
        <f>Flat!AN$50-AN91</f>
        <v>9.9413749306376076</v>
      </c>
    </row>
    <row r="98" spans="1:40" s="5" customFormat="1">
      <c r="A98" s="154"/>
      <c r="B98" s="347" t="s">
        <v>5</v>
      </c>
      <c r="C98" s="367" t="s">
        <v>190</v>
      </c>
      <c r="D98" s="370">
        <f>Flat!D$51-D92</f>
        <v>6.5031950417134397</v>
      </c>
      <c r="E98" s="370">
        <f>Flat!E$51-E92</f>
        <v>11.478490559091313</v>
      </c>
      <c r="F98" s="370">
        <f>Flat!F$51-F92</f>
        <v>8.5703022041708508</v>
      </c>
      <c r="G98" s="370">
        <f>Flat!G$51-G92</f>
        <v>6.3357932667168981</v>
      </c>
      <c r="H98" s="370">
        <f>Flat!H$51-H92</f>
        <v>5.233755372369103</v>
      </c>
      <c r="I98" s="370">
        <f>Flat!I$51-I92</f>
        <v>13.812996605861386</v>
      </c>
      <c r="J98" s="370">
        <f>Flat!J$51-J92</f>
        <v>11.105997292185052</v>
      </c>
      <c r="K98" s="370">
        <f>Flat!K$51-K92</f>
        <v>9.3693057172128071</v>
      </c>
      <c r="L98" s="370">
        <f>Flat!L$51-L92</f>
        <v>5.4288490780522807</v>
      </c>
      <c r="M98" s="370">
        <f>Flat!M$51-M92</f>
        <v>5.6669993219131811</v>
      </c>
      <c r="N98" s="370">
        <f>Flat!N$51-N92</f>
        <v>13.912110198814396</v>
      </c>
      <c r="O98" s="370">
        <f>Flat!O$51-O92</f>
        <v>9.7285512002295675</v>
      </c>
      <c r="P98" s="370">
        <f>Flat!P$51-P92</f>
        <v>5.2030147170597019</v>
      </c>
      <c r="Q98" s="370">
        <f>Flat!Q$51-Q92</f>
        <v>9.7338507067837696</v>
      </c>
      <c r="R98" s="370">
        <f>Flat!R$51-R92</f>
        <v>12.458054242456228</v>
      </c>
      <c r="S98" s="370">
        <f>Flat!S$51-S92</f>
        <v>12.175205834572871</v>
      </c>
      <c r="T98" s="370">
        <f>Flat!T$51-T92</f>
        <v>12.068664475975119</v>
      </c>
      <c r="U98" s="370">
        <f>Flat!U$51-U92</f>
        <v>5.908915353255523</v>
      </c>
      <c r="V98" s="370">
        <f>Flat!V$51-V92</f>
        <v>10.414859805924849</v>
      </c>
      <c r="W98" s="370">
        <f>Flat!W$51-W92</f>
        <v>5.8008221025616393</v>
      </c>
      <c r="X98" s="370">
        <f>Flat!X$51-X92</f>
        <v>11.028466930247305</v>
      </c>
      <c r="Y98" s="370">
        <f>Flat!Y$51-Y92</f>
        <v>3.2294938911906961</v>
      </c>
      <c r="Z98" s="370">
        <f>Flat!Z$51-Z92</f>
        <v>11.483358712334727</v>
      </c>
      <c r="AA98" s="370">
        <f>Flat!AA$51-AA92</f>
        <v>18.327424222054383</v>
      </c>
      <c r="AB98" s="370">
        <f>Flat!AB$51-AB92</f>
        <v>12.332906385260351</v>
      </c>
      <c r="AC98" s="370">
        <f>Flat!AC$51-AC92</f>
        <v>4.6921656244515049</v>
      </c>
      <c r="AD98" s="370">
        <f>Flat!AD$51-AD92</f>
        <v>11.393711953666184</v>
      </c>
      <c r="AE98" s="370">
        <f>Flat!AE$51-AE92</f>
        <v>17.671714039118669</v>
      </c>
      <c r="AF98" s="370">
        <f>Flat!AF$51-AF92</f>
        <v>6.0220984136937119</v>
      </c>
      <c r="AG98" s="370">
        <f>Flat!AG$51-AG92</f>
        <v>13.077238224844137</v>
      </c>
      <c r="AH98" s="370">
        <f>Flat!AH$51-AH92</f>
        <v>19.4623936967009</v>
      </c>
      <c r="AI98" s="370">
        <f>Flat!AI$51-AI92</f>
        <v>5.1939872529977578</v>
      </c>
      <c r="AJ98" s="370">
        <f>Flat!AJ$51-AJ92</f>
        <v>11.114914257141919</v>
      </c>
      <c r="AK98" s="370">
        <f>Flat!AK$51-AK92</f>
        <v>8.6237306939368281</v>
      </c>
      <c r="AL98" s="370">
        <f>Flat!AL$51-AL92</f>
        <v>8.707033941154414</v>
      </c>
      <c r="AM98" s="370">
        <f>Flat!AM$51-AM92</f>
        <v>10.221004315174667</v>
      </c>
      <c r="AN98" s="371">
        <f>Flat!AN$51-AN92</f>
        <v>10.221004315174667</v>
      </c>
    </row>
    <row r="99" spans="1:40" s="5" customFormat="1">
      <c r="A99" s="154"/>
      <c r="B99" s="347" t="s">
        <v>6</v>
      </c>
      <c r="C99" s="367" t="s">
        <v>190</v>
      </c>
      <c r="D99" s="370">
        <f>Flat!D$52-D93</f>
        <v>5.5523604254988186</v>
      </c>
      <c r="E99" s="370">
        <f>Flat!E$52-E93</f>
        <v>11.478490559091313</v>
      </c>
      <c r="F99" s="370">
        <f>Flat!F$52-F93</f>
        <v>8.9450106320636422</v>
      </c>
      <c r="G99" s="370">
        <f>Flat!G$52-G93</f>
        <v>5.409434527584466</v>
      </c>
      <c r="H99" s="370">
        <f>Flat!H$52-H93</f>
        <v>0.97956856316310237</v>
      </c>
      <c r="I99" s="370">
        <f>Flat!I$52-I93</f>
        <v>11.880043357593259</v>
      </c>
      <c r="J99" s="370">
        <f>Flat!J$52-J93</f>
        <v>6.1098564980471117</v>
      </c>
      <c r="K99" s="370">
        <f>Flat!K$52-K93</f>
        <v>9.3693057172128071</v>
      </c>
      <c r="L99" s="370">
        <f>Flat!L$52-L93</f>
        <v>4.7929724661870594</v>
      </c>
      <c r="M99" s="370">
        <f>Flat!M$52-M93</f>
        <v>5.6669993219131811</v>
      </c>
      <c r="N99" s="370">
        <f>Flat!N$52-N93</f>
        <v>13.940752809393928</v>
      </c>
      <c r="O99" s="370">
        <f>Flat!O$52-O93</f>
        <v>5.635610344056925</v>
      </c>
      <c r="P99" s="370">
        <f>Flat!P$52-P93</f>
        <v>5.2030147170597019</v>
      </c>
      <c r="Q99" s="370">
        <f>Flat!Q$52-Q93</f>
        <v>7.7263227310234583</v>
      </c>
      <c r="R99" s="370">
        <f>Flat!R$52-R93</f>
        <v>12.458054242456228</v>
      </c>
      <c r="S99" s="370">
        <f>Flat!S$52-S93</f>
        <v>12.539735368600315</v>
      </c>
      <c r="T99" s="370">
        <f>Flat!T$52-T93</f>
        <v>12.095414873983245</v>
      </c>
      <c r="U99" s="370">
        <f>Flat!U$52-U93</f>
        <v>6.013864697841683</v>
      </c>
      <c r="V99" s="370">
        <f>Flat!V$52-V93</f>
        <v>10.414859805924849</v>
      </c>
      <c r="W99" s="370">
        <f>Flat!W$52-W93</f>
        <v>4.1942847049635432</v>
      </c>
      <c r="X99" s="370">
        <f>Flat!X$52-X93</f>
        <v>11.046292442610046</v>
      </c>
      <c r="Y99" s="370">
        <f>Flat!Y$52-Y93</f>
        <v>3.2363513984729195</v>
      </c>
      <c r="Z99" s="370">
        <f>Flat!Z$52-Z93</f>
        <v>9.6155726604742497</v>
      </c>
      <c r="AA99" s="370">
        <f>Flat!AA$52-AA93</f>
        <v>18.807416550428485</v>
      </c>
      <c r="AB99" s="370">
        <f>Flat!AB$52-AB93</f>
        <v>12.332906385260351</v>
      </c>
      <c r="AC99" s="370">
        <f>Flat!AC$52-AC93</f>
        <v>4.6420513409988473</v>
      </c>
      <c r="AD99" s="370">
        <f>Flat!AD$52-AD93</f>
        <v>11.393711953666184</v>
      </c>
      <c r="AE99" s="370">
        <f>Flat!AE$52-AE93</f>
        <v>18.134533421985957</v>
      </c>
      <c r="AF99" s="370">
        <f>Flat!AF$52-AF93</f>
        <v>6.3834349888244972</v>
      </c>
      <c r="AG99" s="370">
        <f>Flat!AG$52-AG93</f>
        <v>13.210946439887124</v>
      </c>
      <c r="AH99" s="370">
        <f>Flat!AH$52-AH93</f>
        <v>10.540588305146656</v>
      </c>
      <c r="AI99" s="370">
        <f>Flat!AI$52-AI93</f>
        <v>5.1939872529977578</v>
      </c>
      <c r="AJ99" s="370">
        <f>Flat!AJ$52-AJ93</f>
        <v>11.721880966292701</v>
      </c>
      <c r="AK99" s="370">
        <f>Flat!AK$52-AK93</f>
        <v>9.0965332854634866</v>
      </c>
      <c r="AL99" s="370">
        <f>Flat!AL$52-AL93</f>
        <v>9.0803188096237406</v>
      </c>
      <c r="AM99" s="370">
        <f>Flat!AM$52-AM93</f>
        <v>10.7791561110296</v>
      </c>
      <c r="AN99" s="371">
        <f>Flat!AN$52-AN93</f>
        <v>10.7791561110296</v>
      </c>
    </row>
    <row r="100" spans="1:40" s="5" customFormat="1">
      <c r="A100" s="155"/>
      <c r="B100" s="338" t="s">
        <v>7</v>
      </c>
      <c r="C100" s="368" t="s">
        <v>190</v>
      </c>
      <c r="D100" s="379">
        <f>Flat!D$53-D94</f>
        <v>5.0648800676223686</v>
      </c>
      <c r="E100" s="379">
        <f>Flat!E$53-E94</f>
        <v>7.8279581429043077</v>
      </c>
      <c r="F100" s="379">
        <f>Flat!F$53-F94</f>
        <v>7.6379414445505844</v>
      </c>
      <c r="G100" s="379">
        <f>Flat!G$53-G94</f>
        <v>4.9345026288363556</v>
      </c>
      <c r="H100" s="379">
        <f>Flat!H$53-H94</f>
        <v>2.156525910562987</v>
      </c>
      <c r="I100" s="379">
        <f>Flat!I$53-I94</f>
        <v>7.3917759187320442</v>
      </c>
      <c r="J100" s="379">
        <f>Flat!J$53-J94</f>
        <v>5.9865224721175814</v>
      </c>
      <c r="K100" s="379">
        <f>Flat!K$53-K94</f>
        <v>6.0612938031008596</v>
      </c>
      <c r="L100" s="379">
        <f>Flat!L$53-L94</f>
        <v>4.7929724661870594</v>
      </c>
      <c r="M100" s="379">
        <f>Flat!M$53-M94</f>
        <v>5.7311663017447643</v>
      </c>
      <c r="N100" s="379">
        <f>Flat!N$53-N94</f>
        <v>10.957902640321883</v>
      </c>
      <c r="O100" s="379">
        <f>Flat!O$53-O94</f>
        <v>5.3174719993664752</v>
      </c>
      <c r="P100" s="379">
        <f>Flat!P$53-P94</f>
        <v>6.3218759794870678</v>
      </c>
      <c r="Q100" s="379">
        <f>Flat!Q$53-Q94</f>
        <v>5.6243441232570248</v>
      </c>
      <c r="R100" s="379">
        <f>Flat!R$53-R94</f>
        <v>6.2411335990690304</v>
      </c>
      <c r="S100" s="379">
        <f>Flat!S$53-S94</f>
        <v>9.6754764021163489</v>
      </c>
      <c r="T100" s="379">
        <f>Flat!T$53-T94</f>
        <v>9.4973884312328778</v>
      </c>
      <c r="U100" s="379">
        <f>Flat!U$53-U94</f>
        <v>3.7643679740500957</v>
      </c>
      <c r="V100" s="379">
        <f>Flat!V$53-V94</f>
        <v>9.8256257727789809</v>
      </c>
      <c r="W100" s="379">
        <f>Flat!W$53-W94</f>
        <v>2.9912575585737073</v>
      </c>
      <c r="X100" s="379">
        <f>Flat!X$53-X94</f>
        <v>10.309688823966539</v>
      </c>
      <c r="Y100" s="379">
        <f>Flat!Y$53-Y94</f>
        <v>3.2729173861645364</v>
      </c>
      <c r="Z100" s="379">
        <f>Flat!Z$53-Z94</f>
        <v>6.2113461697284009</v>
      </c>
      <c r="AA100" s="379">
        <f>Flat!AA$53-AA94</f>
        <v>11.711974891415153</v>
      </c>
      <c r="AB100" s="379">
        <f>Flat!AB$53-AB94</f>
        <v>12.983248313091764</v>
      </c>
      <c r="AC100" s="379">
        <f>Flat!AC$53-AC94</f>
        <v>3.515022519922173</v>
      </c>
      <c r="AD100" s="379">
        <f>Flat!AD$53-AD94</f>
        <v>5.1044133589249228</v>
      </c>
      <c r="AE100" s="379">
        <f>Flat!AE$53-AE94</f>
        <v>11.292949222257185</v>
      </c>
      <c r="AF100" s="379">
        <f>Flat!AF$53-AF94</f>
        <v>4.8308973407234177</v>
      </c>
      <c r="AG100" s="379">
        <f>Flat!AG$53-AG94</f>
        <v>6.8299623644774812</v>
      </c>
      <c r="AH100" s="379">
        <f>Flat!AH$53-AH94</f>
        <v>8.8186603298626913</v>
      </c>
      <c r="AI100" s="379">
        <f>Flat!AI$53-AI94</f>
        <v>6.2760137676135486</v>
      </c>
      <c r="AJ100" s="379">
        <f>Flat!AJ$53-AJ94</f>
        <v>9.5945706459992763</v>
      </c>
      <c r="AK100" s="379">
        <f>Flat!AK$53-AK94</f>
        <v>7.4452826186491876</v>
      </c>
      <c r="AL100" s="379">
        <f>Flat!AL$53-AL94</f>
        <v>7.8212813135967423</v>
      </c>
      <c r="AM100" s="379">
        <f>Flat!AM$53-AM94</f>
        <v>8.8229333763860538</v>
      </c>
      <c r="AN100" s="380">
        <f>Flat!AN$53-AN94</f>
        <v>8.8229333763860538</v>
      </c>
    </row>
    <row r="101" spans="1:40" s="5" customFormat="1"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164"/>
      <c r="AN101" s="164"/>
    </row>
    <row r="102" spans="1:40" s="5" customFormat="1">
      <c r="A102" s="5" t="s">
        <v>216</v>
      </c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64"/>
    </row>
    <row r="103" spans="1:40" s="5" customFormat="1">
      <c r="A103" s="938" t="s">
        <v>123</v>
      </c>
      <c r="B103" s="939"/>
      <c r="C103" s="138" t="s">
        <v>76</v>
      </c>
      <c r="D103" s="194">
        <v>1</v>
      </c>
      <c r="E103" s="195">
        <v>1</v>
      </c>
      <c r="F103" s="195">
        <v>1</v>
      </c>
      <c r="G103" s="195">
        <v>1</v>
      </c>
      <c r="H103" s="195">
        <v>1</v>
      </c>
      <c r="I103" s="195">
        <v>1</v>
      </c>
      <c r="J103" s="195">
        <v>1</v>
      </c>
      <c r="K103" s="195">
        <v>1</v>
      </c>
      <c r="L103" s="195">
        <v>1</v>
      </c>
      <c r="M103" s="195">
        <v>1</v>
      </c>
      <c r="N103" s="195">
        <v>1</v>
      </c>
      <c r="O103" s="195">
        <v>1</v>
      </c>
      <c r="P103" s="195">
        <v>1</v>
      </c>
      <c r="Q103" s="195">
        <v>1</v>
      </c>
      <c r="R103" s="195">
        <v>1</v>
      </c>
      <c r="S103" s="195">
        <v>1</v>
      </c>
      <c r="T103" s="195">
        <v>1</v>
      </c>
      <c r="U103" s="195">
        <v>1</v>
      </c>
      <c r="V103" s="195">
        <v>1</v>
      </c>
      <c r="W103" s="195">
        <v>1</v>
      </c>
      <c r="X103" s="195">
        <v>1</v>
      </c>
      <c r="Y103" s="195">
        <v>1</v>
      </c>
      <c r="Z103" s="195">
        <v>1</v>
      </c>
      <c r="AA103" s="195">
        <v>1</v>
      </c>
      <c r="AB103" s="195">
        <v>1</v>
      </c>
      <c r="AC103" s="195">
        <v>1</v>
      </c>
      <c r="AD103" s="195">
        <v>1</v>
      </c>
      <c r="AE103" s="195">
        <v>1</v>
      </c>
      <c r="AF103" s="195">
        <v>1</v>
      </c>
      <c r="AG103" s="195">
        <v>1</v>
      </c>
      <c r="AH103" s="195">
        <v>1</v>
      </c>
      <c r="AI103" s="195">
        <v>1</v>
      </c>
      <c r="AJ103" s="195">
        <v>1</v>
      </c>
      <c r="AK103" s="195">
        <v>1</v>
      </c>
      <c r="AL103" s="195">
        <v>1</v>
      </c>
      <c r="AM103" s="195">
        <v>1</v>
      </c>
      <c r="AN103" s="196">
        <v>1</v>
      </c>
    </row>
    <row r="104" spans="1:40" s="5" customFormat="1">
      <c r="A104" s="151" t="s">
        <v>193</v>
      </c>
      <c r="B104" s="141" t="s">
        <v>2</v>
      </c>
      <c r="C104" s="144" t="s">
        <v>195</v>
      </c>
      <c r="D104" s="170">
        <f>((LOOKUP(Flat!D$2,'Ceiling-U'!$A$4:$A$40,'Ceiling-U'!$Q$4:$Q$40)*Flat!D$15)+(LOOKUP(Flat!D$2,'Floor-U'!$A$4:$A$40,'Floor-U'!$E$4:$E$40)*Flat!D$16)+(LOOKUP(Flat!D$2,'Wall-U'!$A$4:$A$40,'Wall-U'!$E$4:$E$40)*Flat!D$13)+(LOOKUP(Flat!D$2,'Window-U'!$A$4:$A$40,'Window-U'!$E$4:$E$40)*Flat!D$22))*D103</f>
        <v>2455.3041014816577</v>
      </c>
      <c r="E104" s="171">
        <f>((LOOKUP(Flat!E$2,'Ceiling-U'!$A$4:$A$40,'Ceiling-U'!$Q$4:$Q$40)*Flat!E$15)+(LOOKUP(Flat!E$2,'Floor-U'!$A$4:$A$40,'Floor-U'!$E$4:$E$40)*Flat!E$16)+(LOOKUP(Flat!E$2,'Wall-U'!$A$4:$A$40,'Wall-U'!$E$4:$E$40)*Flat!E$13)+(LOOKUP(Flat!E$2,'Window-U'!$A$4:$A$40,'Window-U'!$E$4:$E$40)*Flat!E$22))*E103</f>
        <v>2984.8787716992165</v>
      </c>
      <c r="F104" s="171">
        <f>((LOOKUP(Flat!F$2,'Ceiling-U'!$A$4:$A$40,'Ceiling-U'!$Q$4:$Q$40)*Flat!F$15)+(LOOKUP(Flat!F$2,'Floor-U'!$A$4:$A$40,'Floor-U'!$E$4:$E$40)*Flat!F$16)+(LOOKUP(Flat!F$2,'Wall-U'!$A$4:$A$40,'Wall-U'!$E$4:$E$40)*Flat!F$13)+(LOOKUP(Flat!F$2,'Window-U'!$A$4:$A$40,'Window-U'!$E$4:$E$40)*Flat!F$22))*F103</f>
        <v>3685.3362418526772</v>
      </c>
      <c r="G104" s="171">
        <f>((LOOKUP(Flat!G$2,'Ceiling-U'!$A$4:$A$40,'Ceiling-U'!$Q$4:$Q$40)*Flat!G$15)+(LOOKUP(Flat!G$2,'Floor-U'!$A$4:$A$40,'Floor-U'!$E$4:$E$40)*Flat!G$16)+(LOOKUP(Flat!G$2,'Wall-U'!$A$4:$A$40,'Wall-U'!$E$4:$E$40)*Flat!G$13)+(LOOKUP(Flat!G$2,'Window-U'!$A$4:$A$40,'Window-U'!$E$4:$E$40)*Flat!G$22))*G103</f>
        <v>2455.3041014816577</v>
      </c>
      <c r="H104" s="171">
        <f>((LOOKUP(Flat!H$2,'Ceiling-U'!$A$4:$A$40,'Ceiling-U'!$Q$4:$Q$40)*Flat!H$15)+(LOOKUP(Flat!H$2,'Floor-U'!$A$4:$A$40,'Floor-U'!$E$4:$E$40)*Flat!H$16)+(LOOKUP(Flat!H$2,'Wall-U'!$A$4:$A$40,'Wall-U'!$E$4:$E$40)*Flat!H$13)+(LOOKUP(Flat!H$2,'Window-U'!$A$4:$A$40,'Window-U'!$E$4:$E$40)*Flat!H$22))*H103</f>
        <v>3567.1932520899195</v>
      </c>
      <c r="I104" s="171">
        <f>((LOOKUP(Flat!I$2,'Ceiling-U'!$A$4:$A$40,'Ceiling-U'!$Q$4:$Q$40)*Flat!I$15)+(LOOKUP(Flat!I$2,'Floor-U'!$A$4:$A$40,'Floor-U'!$E$4:$E$40)*Flat!I$16)+(LOOKUP(Flat!I$2,'Wall-U'!$A$4:$A$40,'Wall-U'!$E$4:$E$40)*Flat!I$13)+(LOOKUP(Flat!I$2,'Window-U'!$A$4:$A$40,'Window-U'!$E$4:$E$40)*Flat!I$22))*I103</f>
        <v>1605.5644741833348</v>
      </c>
      <c r="J104" s="171">
        <f>((LOOKUP(Flat!J$2,'Ceiling-U'!$A$4:$A$40,'Ceiling-U'!$Q$4:$Q$40)*Flat!J$15)+(LOOKUP(Flat!J$2,'Floor-U'!$A$4:$A$40,'Floor-U'!$E$4:$E$40)*Flat!J$16)+(LOOKUP(Flat!J$2,'Wall-U'!$A$4:$A$40,'Wall-U'!$E$4:$E$40)*Flat!J$13)+(LOOKUP(Flat!J$2,'Window-U'!$A$4:$A$40,'Window-U'!$E$4:$E$40)*Flat!J$22))*J103</f>
        <v>2631.475652732564</v>
      </c>
      <c r="K104" s="171">
        <f>((LOOKUP(Flat!K$2,'Ceiling-U'!$A$4:$A$40,'Ceiling-U'!$Q$4:$Q$40)*Flat!K$15)+(LOOKUP(Flat!K$2,'Floor-U'!$A$4:$A$40,'Floor-U'!$E$4:$E$40)*Flat!K$16)+(LOOKUP(Flat!K$2,'Wall-U'!$A$4:$A$40,'Wall-U'!$E$4:$E$40)*Flat!K$13)+(LOOKUP(Flat!K$2,'Window-U'!$A$4:$A$40,'Window-U'!$E$4:$E$40)*Flat!K$22))*K103</f>
        <v>2093.0669961551412</v>
      </c>
      <c r="L104" s="171">
        <f>((LOOKUP(Flat!L$2,'Ceiling-U'!$A$4:$A$40,'Ceiling-U'!$Q$4:$Q$40)*Flat!L$15)+(LOOKUP(Flat!L$2,'Floor-U'!$A$4:$A$40,'Floor-U'!$E$4:$E$40)*Flat!L$16)+(LOOKUP(Flat!L$2,'Wall-U'!$A$4:$A$40,'Wall-U'!$E$4:$E$40)*Flat!L$13)+(LOOKUP(Flat!L$2,'Window-U'!$A$4:$A$40,'Window-U'!$E$4:$E$40)*Flat!L$22))*L103</f>
        <v>773.76248985320876</v>
      </c>
      <c r="M104" s="171">
        <f>((LOOKUP(Flat!M$2,'Ceiling-U'!$A$4:$A$40,'Ceiling-U'!$Q$4:$Q$40)*Flat!M$15)+(LOOKUP(Flat!M$2,'Floor-U'!$A$4:$A$40,'Floor-U'!$E$4:$E$40)*Flat!M$16)+(LOOKUP(Flat!M$2,'Wall-U'!$A$4:$A$40,'Wall-U'!$E$4:$E$40)*Flat!M$13)+(LOOKUP(Flat!M$2,'Window-U'!$A$4:$A$40,'Window-U'!$E$4:$E$40)*Flat!M$22))*M103</f>
        <v>2885.308872062114</v>
      </c>
      <c r="N104" s="171">
        <f>((LOOKUP(Flat!N$2,'Ceiling-U'!$A$4:$A$40,'Ceiling-U'!$Q$4:$Q$40)*Flat!N$15)+(LOOKUP(Flat!N$2,'Floor-U'!$A$4:$A$40,'Floor-U'!$E$4:$E$40)*Flat!N$16)+(LOOKUP(Flat!N$2,'Wall-U'!$A$4:$A$40,'Wall-U'!$E$4:$E$40)*Flat!N$13)+(LOOKUP(Flat!N$2,'Window-U'!$A$4:$A$40,'Window-U'!$E$4:$E$40)*Flat!N$22))*N103</f>
        <v>2037.5372605756675</v>
      </c>
      <c r="O104" s="171">
        <f>((LOOKUP(Flat!O$2,'Ceiling-U'!$A$4:$A$40,'Ceiling-U'!$Q$4:$Q$40)*Flat!O$15)+(LOOKUP(Flat!O$2,'Floor-U'!$A$4:$A$40,'Floor-U'!$E$4:$E$40)*Flat!O$16)+(LOOKUP(Flat!O$2,'Wall-U'!$A$4:$A$40,'Wall-U'!$E$4:$E$40)*Flat!O$13)+(LOOKUP(Flat!O$2,'Window-U'!$A$4:$A$40,'Window-U'!$E$4:$E$40)*Flat!O$22))*O103</f>
        <v>3789.6243988632614</v>
      </c>
      <c r="P104" s="171">
        <f>((LOOKUP(Flat!P$2,'Ceiling-U'!$A$4:$A$40,'Ceiling-U'!$Q$4:$Q$40)*Flat!P$15)+(LOOKUP(Flat!P$2,'Floor-U'!$A$4:$A$40,'Floor-U'!$E$4:$E$40)*Flat!P$16)+(LOOKUP(Flat!P$2,'Wall-U'!$A$4:$A$40,'Wall-U'!$E$4:$E$40)*Flat!P$13)+(LOOKUP(Flat!P$2,'Window-U'!$A$4:$A$40,'Window-U'!$E$4:$E$40)*Flat!P$22))*P103</f>
        <v>2318.0621688666802</v>
      </c>
      <c r="Q104" s="171">
        <f>((LOOKUP(Flat!Q$2,'Ceiling-U'!$A$4:$A$40,'Ceiling-U'!$Q$4:$Q$40)*Flat!Q$15)+(LOOKUP(Flat!Q$2,'Floor-U'!$A$4:$A$40,'Floor-U'!$E$4:$E$40)*Flat!Q$16)+(LOOKUP(Flat!Q$2,'Wall-U'!$A$4:$A$40,'Wall-U'!$E$4:$E$40)*Flat!Q$13)+(LOOKUP(Flat!Q$2,'Window-U'!$A$4:$A$40,'Window-U'!$E$4:$E$40)*Flat!Q$22))*Q103</f>
        <v>2232.8739133821027</v>
      </c>
      <c r="R104" s="171">
        <f>((LOOKUP(Flat!R$2,'Ceiling-U'!$A$4:$A$40,'Ceiling-U'!$Q$4:$Q$40)*Flat!R$15)+(LOOKUP(Flat!R$2,'Floor-U'!$A$4:$A$40,'Floor-U'!$E$4:$E$40)*Flat!R$16)+(LOOKUP(Flat!R$2,'Wall-U'!$A$4:$A$40,'Wall-U'!$E$4:$E$40)*Flat!R$13)+(LOOKUP(Flat!R$2,'Window-U'!$A$4:$A$40,'Window-U'!$E$4:$E$40)*Flat!R$22))*R103</f>
        <v>1972.1398873020107</v>
      </c>
      <c r="S104" s="171">
        <f>((LOOKUP(Flat!S$2,'Ceiling-U'!$A$4:$A$40,'Ceiling-U'!$Q$4:$Q$40)*Flat!S$15)+(LOOKUP(Flat!S$2,'Floor-U'!$A$4:$A$40,'Floor-U'!$E$4:$E$40)*Flat!S$16)+(LOOKUP(Flat!S$2,'Wall-U'!$A$4:$A$40,'Wall-U'!$E$4:$E$40)*Flat!S$13)+(LOOKUP(Flat!S$2,'Window-U'!$A$4:$A$40,'Window-U'!$E$4:$E$40)*Flat!S$22))*S103</f>
        <v>6919.678959102961</v>
      </c>
      <c r="T104" s="171">
        <f>((LOOKUP(Flat!T$2,'Ceiling-U'!$A$4:$A$40,'Ceiling-U'!$Q$4:$Q$40)*Flat!T$15)+(LOOKUP(Flat!T$2,'Floor-U'!$A$4:$A$40,'Floor-U'!$E$4:$E$40)*Flat!T$16)+(LOOKUP(Flat!T$2,'Wall-U'!$A$4:$A$40,'Wall-U'!$E$4:$E$40)*Flat!T$13)+(LOOKUP(Flat!T$2,'Window-U'!$A$4:$A$40,'Window-U'!$E$4:$E$40)*Flat!T$22))*T103</f>
        <v>1054.7323910130758</v>
      </c>
      <c r="U104" s="171">
        <f>((LOOKUP(Flat!U$2,'Ceiling-U'!$A$4:$A$40,'Ceiling-U'!$Q$4:$Q$40)*Flat!U$15)+(LOOKUP(Flat!U$2,'Floor-U'!$A$4:$A$40,'Floor-U'!$E$4:$E$40)*Flat!U$16)+(LOOKUP(Flat!U$2,'Wall-U'!$A$4:$A$40,'Wall-U'!$E$4:$E$40)*Flat!U$13)+(LOOKUP(Flat!U$2,'Window-U'!$A$4:$A$40,'Window-U'!$E$4:$E$40)*Flat!U$22))*U103</f>
        <v>3745.4345131495861</v>
      </c>
      <c r="V104" s="171">
        <f>((LOOKUP(Flat!V$2,'Ceiling-U'!$A$4:$A$40,'Ceiling-U'!$Q$4:$Q$40)*Flat!V$15)+(LOOKUP(Flat!V$2,'Floor-U'!$A$4:$A$40,'Floor-U'!$E$4:$E$40)*Flat!V$16)+(LOOKUP(Flat!V$2,'Wall-U'!$A$4:$A$40,'Wall-U'!$E$4:$E$40)*Flat!V$13)+(LOOKUP(Flat!V$2,'Window-U'!$A$4:$A$40,'Window-U'!$E$4:$E$40)*Flat!V$22))*V103</f>
        <v>1443.6318976359719</v>
      </c>
      <c r="W104" s="171">
        <f>((LOOKUP(Flat!W$2,'Ceiling-U'!$A$4:$A$40,'Ceiling-U'!$Q$4:$Q$40)*Flat!W$15)+(LOOKUP(Flat!W$2,'Floor-U'!$A$4:$A$40,'Floor-U'!$E$4:$E$40)*Flat!W$16)+(LOOKUP(Flat!W$2,'Wall-U'!$A$4:$A$40,'Wall-U'!$E$4:$E$40)*Flat!W$13)+(LOOKUP(Flat!W$2,'Window-U'!$A$4:$A$40,'Window-U'!$E$4:$E$40)*Flat!W$22))*W103</f>
        <v>2441.7990317367544</v>
      </c>
      <c r="X104" s="171">
        <f>((LOOKUP(Flat!X$2,'Ceiling-U'!$A$4:$A$40,'Ceiling-U'!$Q$4:$Q$40)*Flat!X$15)+(LOOKUP(Flat!X$2,'Floor-U'!$A$4:$A$40,'Floor-U'!$E$4:$E$40)*Flat!X$16)+(LOOKUP(Flat!X$2,'Wall-U'!$A$4:$A$40,'Wall-U'!$E$4:$E$40)*Flat!X$13)+(LOOKUP(Flat!X$2,'Window-U'!$A$4:$A$40,'Window-U'!$E$4:$E$40)*Flat!X$22))*X103</f>
        <v>1519.4933489193807</v>
      </c>
      <c r="Y104" s="171">
        <f>((LOOKUP(Flat!Y$2,'Ceiling-U'!$A$4:$A$40,'Ceiling-U'!$Q$4:$Q$40)*Flat!Y$15)+(LOOKUP(Flat!Y$2,'Floor-U'!$A$4:$A$40,'Floor-U'!$E$4:$E$40)*Flat!Y$16)+(LOOKUP(Flat!Y$2,'Wall-U'!$A$4:$A$40,'Wall-U'!$E$4:$E$40)*Flat!Y$13)+(LOOKUP(Flat!Y$2,'Window-U'!$A$4:$A$40,'Window-U'!$E$4:$E$40)*Flat!Y$22))*Y103</f>
        <v>5201.587273016793</v>
      </c>
      <c r="Z104" s="171">
        <f>((LOOKUP(Flat!Z$2,'Ceiling-U'!$A$4:$A$40,'Ceiling-U'!$Q$4:$Q$40)*Flat!Z$15)+(LOOKUP(Flat!Z$2,'Floor-U'!$A$4:$A$40,'Floor-U'!$E$4:$E$40)*Flat!Z$16)+(LOOKUP(Flat!Z$2,'Wall-U'!$A$4:$A$40,'Wall-U'!$E$4:$E$40)*Flat!Z$13)+(LOOKUP(Flat!Z$2,'Window-U'!$A$4:$A$40,'Window-U'!$E$4:$E$40)*Flat!Z$22))*Z103</f>
        <v>3015.3106719746011</v>
      </c>
      <c r="AA104" s="171">
        <f>((LOOKUP(Flat!AA$2,'Ceiling-U'!$A$4:$A$40,'Ceiling-U'!$Q$4:$Q$40)*Flat!AA$15)+(LOOKUP(Flat!AA$2,'Floor-U'!$A$4:$A$40,'Floor-U'!$E$4:$E$40)*Flat!AA$16)+(LOOKUP(Flat!AA$2,'Wall-U'!$A$4:$A$40,'Wall-U'!$E$4:$E$40)*Flat!AA$13)+(LOOKUP(Flat!AA$2,'Window-U'!$A$4:$A$40,'Window-U'!$E$4:$E$40)*Flat!AA$22))*AA103</f>
        <v>978.44153813021319</v>
      </c>
      <c r="AB104" s="171">
        <f>((LOOKUP(Flat!AB$2,'Ceiling-U'!$A$4:$A$40,'Ceiling-U'!$Q$4:$Q$40)*Flat!AB$15)+(LOOKUP(Flat!AB$2,'Floor-U'!$A$4:$A$40,'Floor-U'!$E$4:$E$40)*Flat!AB$16)+(LOOKUP(Flat!AB$2,'Wall-U'!$A$4:$A$40,'Wall-U'!$E$4:$E$40)*Flat!AB$13)+(LOOKUP(Flat!AB$2,'Window-U'!$A$4:$A$40,'Window-U'!$E$4:$E$40)*Flat!AB$22))*AB103</f>
        <v>3113.7952568786081</v>
      </c>
      <c r="AC104" s="171">
        <f>((LOOKUP(Flat!AC$2,'Ceiling-U'!$A$4:$A$40,'Ceiling-U'!$Q$4:$Q$40)*Flat!AC$15)+(LOOKUP(Flat!AC$2,'Floor-U'!$A$4:$A$40,'Floor-U'!$E$4:$E$40)*Flat!AC$16)+(LOOKUP(Flat!AC$2,'Wall-U'!$A$4:$A$40,'Wall-U'!$E$4:$E$40)*Flat!AC$13)+(LOOKUP(Flat!AC$2,'Window-U'!$A$4:$A$40,'Window-U'!$E$4:$E$40)*Flat!AC$22))*AC103</f>
        <v>3940.7597849348267</v>
      </c>
      <c r="AD104" s="171">
        <f>((LOOKUP(Flat!AD$2,'Ceiling-U'!$A$4:$A$40,'Ceiling-U'!$Q$4:$Q$40)*Flat!AD$15)+(LOOKUP(Flat!AD$2,'Floor-U'!$A$4:$A$40,'Floor-U'!$E$4:$E$40)*Flat!AD$16)+(LOOKUP(Flat!AD$2,'Wall-U'!$A$4:$A$40,'Wall-U'!$E$4:$E$40)*Flat!AD$13)+(LOOKUP(Flat!AD$2,'Window-U'!$A$4:$A$40,'Window-U'!$E$4:$E$40)*Flat!AD$22))*AD103</f>
        <v>5981.07820680854</v>
      </c>
      <c r="AE104" s="171">
        <f>((LOOKUP(Flat!AE$2,'Ceiling-U'!$A$4:$A$40,'Ceiling-U'!$Q$4:$Q$40)*Flat!AE$15)+(LOOKUP(Flat!AE$2,'Floor-U'!$A$4:$A$40,'Floor-U'!$E$4:$E$40)*Flat!AE$16)+(LOOKUP(Flat!AE$2,'Wall-U'!$A$4:$A$40,'Wall-U'!$E$4:$E$40)*Flat!AE$13)+(LOOKUP(Flat!AE$2,'Window-U'!$A$4:$A$40,'Window-U'!$E$4:$E$40)*Flat!AE$22))*AE103</f>
        <v>978.44153813021319</v>
      </c>
      <c r="AF104" s="171">
        <f>((LOOKUP(Flat!AF$2,'Ceiling-U'!$A$4:$A$40,'Ceiling-U'!$Q$4:$Q$40)*Flat!AF$15)+(LOOKUP(Flat!AF$2,'Floor-U'!$A$4:$A$40,'Floor-U'!$E$4:$E$40)*Flat!AF$16)+(LOOKUP(Flat!AF$2,'Wall-U'!$A$4:$A$40,'Wall-U'!$E$4:$E$40)*Flat!AF$13)+(LOOKUP(Flat!AF$2,'Window-U'!$A$4:$A$40,'Window-U'!$E$4:$E$40)*Flat!AF$22))*AF103</f>
        <v>1886.4673322383105</v>
      </c>
      <c r="AG104" s="171">
        <f>((LOOKUP(Flat!AG$2,'Ceiling-U'!$A$4:$A$40,'Ceiling-U'!$Q$4:$Q$40)*Flat!AG$15)+(LOOKUP(Flat!AG$2,'Floor-U'!$A$4:$A$40,'Floor-U'!$E$4:$E$40)*Flat!AG$16)+(LOOKUP(Flat!AG$2,'Wall-U'!$A$4:$A$40,'Wall-U'!$E$4:$E$40)*Flat!AG$13)+(LOOKUP(Flat!AG$2,'Window-U'!$A$4:$A$40,'Window-U'!$E$4:$E$40)*Flat!AG$22))*AG103</f>
        <v>2527.5213781483762</v>
      </c>
      <c r="AH104" s="171">
        <f>((LOOKUP(Flat!AH$2,'Ceiling-U'!$A$4:$A$40,'Ceiling-U'!$Q$4:$Q$40)*Flat!AH$15)+(LOOKUP(Flat!AH$2,'Floor-U'!$A$4:$A$40,'Floor-U'!$E$4:$E$40)*Flat!AH$16)+(LOOKUP(Flat!AH$2,'Wall-U'!$A$4:$A$40,'Wall-U'!$E$4:$E$40)*Flat!AH$13)+(LOOKUP(Flat!AH$2,'Window-U'!$A$4:$A$40,'Window-U'!$E$4:$E$40)*Flat!AH$22))*AH103</f>
        <v>6566.5403363794148</v>
      </c>
      <c r="AI104" s="171">
        <f>((LOOKUP(Flat!AI$2,'Ceiling-U'!$A$4:$A$40,'Ceiling-U'!$Q$4:$Q$40)*Flat!AI$15)+(LOOKUP(Flat!AI$2,'Floor-U'!$A$4:$A$40,'Floor-U'!$E$4:$E$40)*Flat!AI$16)+(LOOKUP(Flat!AI$2,'Wall-U'!$A$4:$A$40,'Wall-U'!$E$4:$E$40)*Flat!AI$13)+(LOOKUP(Flat!AI$2,'Window-U'!$A$4:$A$40,'Window-U'!$E$4:$E$40)*Flat!AI$22))*AI103</f>
        <v>3742.7295528142213</v>
      </c>
      <c r="AJ104" s="171">
        <f>((LOOKUP(Flat!AJ$2,'Ceiling-U'!$A$4:$A$40,'Ceiling-U'!$Q$4:$Q$40)*Flat!AJ$15)+(LOOKUP(Flat!AJ$2,'Floor-U'!$A$4:$A$40,'Floor-U'!$E$4:$E$40)*Flat!AJ$16)+(LOOKUP(Flat!AJ$2,'Wall-U'!$A$4:$A$40,'Wall-U'!$E$4:$E$40)*Flat!AJ$13)+(LOOKUP(Flat!AJ$2,'Window-U'!$A$4:$A$40,'Window-U'!$E$4:$E$40)*Flat!AJ$22))*AJ103</f>
        <v>2212.8554154702515</v>
      </c>
      <c r="AK104" s="171">
        <f>((LOOKUP(Flat!AK$2,'Ceiling-U'!$A$4:$A$40,'Ceiling-U'!$Q$4:$Q$40)*Flat!AK$15)+(LOOKUP(Flat!AK$2,'Floor-U'!$A$4:$A$40,'Floor-U'!$E$4:$E$40)*Flat!AK$16)+(LOOKUP(Flat!AK$2,'Wall-U'!$A$4:$A$40,'Wall-U'!$E$4:$E$40)*Flat!AK$13)+(LOOKUP(Flat!AK$2,'Window-U'!$A$4:$A$40,'Window-U'!$E$4:$E$40)*Flat!AK$22))*AK103</f>
        <v>2372.4969087244576</v>
      </c>
      <c r="AL104" s="171">
        <f>((LOOKUP(Flat!AL$2,'Ceiling-U'!$A$4:$A$40,'Ceiling-U'!$Q$4:$Q$40)*Flat!AL$15)+(LOOKUP(Flat!AL$2,'Floor-U'!$A$4:$A$40,'Floor-U'!$E$4:$E$40)*Flat!AL$16)+(LOOKUP(Flat!AL$2,'Wall-U'!$A$4:$A$40,'Wall-U'!$E$4:$E$40)*Flat!AL$13)+(LOOKUP(Flat!AL$2,'Window-U'!$A$4:$A$40,'Window-U'!$E$4:$E$40)*Flat!AL$22))*AL103</f>
        <v>2355.1760966255565</v>
      </c>
      <c r="AM104" s="171">
        <f>((LOOKUP(Flat!AM$2,'Ceiling-U'!$A$4:$A$40,'Ceiling-U'!$Q$4:$Q$40)*Flat!AM$15)+(LOOKUP(Flat!AM$2,'Floor-U'!$A$4:$A$40,'Floor-U'!$E$4:$E$40)*Flat!AM$16)+(LOOKUP(Flat!AM$2,'Wall-U'!$A$4:$A$40,'Wall-U'!$E$4:$E$40)*Flat!AM$13)+(LOOKUP(Flat!AM$2,'Window-U'!$A$4:$A$40,'Window-U'!$E$4:$E$40)*Flat!AM$22))*AM103</f>
        <v>2212.8554154702515</v>
      </c>
      <c r="AN104" s="172">
        <f>((LOOKUP(Flat!AN$2,'Ceiling-U'!$A$4:$A$40,'Ceiling-U'!$Q$4:$Q$40)*Flat!AN$15)+(LOOKUP(Flat!AN$2,'Floor-U'!$A$4:$A$40,'Floor-U'!$E$4:$E$40)*Flat!AN$16)+(LOOKUP(Flat!AN$2,'Wall-U'!$A$4:$A$40,'Wall-U'!$E$4:$E$40)*Flat!AN$13)+(LOOKUP(Flat!AN$2,'Window-U'!$A$4:$A$40,'Window-U'!$E$4:$E$40)*Flat!AN$22))*AN103</f>
        <v>2212.8554154702515</v>
      </c>
    </row>
    <row r="105" spans="1:40" s="5" customFormat="1">
      <c r="A105" s="372"/>
      <c r="B105" s="142" t="s">
        <v>3</v>
      </c>
      <c r="C105" s="131" t="s">
        <v>195</v>
      </c>
      <c r="D105" s="176">
        <f>((LOOKUP(Flat!D$2,'Ceiling-U'!$A$4:$A$40,'Ceiling-U'!$R$4:$R$40)*Flat!D$15)+(LOOKUP(Flat!D$2,'Floor-U'!$A$4:$A$40,'Floor-U'!$F$4:$F$40)*Flat!D$16)+(LOOKUP(Flat!D$2,'Wall-U'!$A$4:$A$40,'Wall-U'!$F$4:$F$40)*Flat!D$13)+(LOOKUP(Flat!D$2,'Window-U'!$A$4:$A$40,'Window-U'!$F$4:$F$40)*Flat!D$22))*D103</f>
        <v>2191.6777387208867</v>
      </c>
      <c r="E105" s="177">
        <f>((LOOKUP(Flat!E$2,'Ceiling-U'!$A$4:$A$40,'Ceiling-U'!$R$4:$R$40)*Flat!E$15)+(LOOKUP(Flat!E$2,'Floor-U'!$A$4:$A$40,'Floor-U'!$F$4:$F$40)*Flat!E$16)+(LOOKUP(Flat!E$2,'Wall-U'!$A$4:$A$40,'Wall-U'!$F$4:$F$40)*Flat!E$13)+(LOOKUP(Flat!E$2,'Window-U'!$A$4:$A$40,'Window-U'!$F$4:$F$40)*Flat!E$22))*E103</f>
        <v>2984.8787716992165</v>
      </c>
      <c r="F105" s="177">
        <f>((LOOKUP(Flat!F$2,'Ceiling-U'!$A$4:$A$40,'Ceiling-U'!$R$4:$R$40)*Flat!F$15)+(LOOKUP(Flat!F$2,'Floor-U'!$A$4:$A$40,'Floor-U'!$F$4:$F$40)*Flat!F$16)+(LOOKUP(Flat!F$2,'Wall-U'!$A$4:$A$40,'Wall-U'!$F$4:$F$40)*Flat!F$13)+(LOOKUP(Flat!F$2,'Window-U'!$A$4:$A$40,'Window-U'!$F$4:$F$40)*Flat!F$22))*F103</f>
        <v>3685.3362418526772</v>
      </c>
      <c r="G105" s="177">
        <f>((LOOKUP(Flat!G$2,'Ceiling-U'!$A$4:$A$40,'Ceiling-U'!$R$4:$R$40)*Flat!G$15)+(LOOKUP(Flat!G$2,'Floor-U'!$A$4:$A$40,'Floor-U'!$F$4:$F$40)*Flat!G$16)+(LOOKUP(Flat!G$2,'Wall-U'!$A$4:$A$40,'Wall-U'!$F$4:$F$40)*Flat!G$13)+(LOOKUP(Flat!G$2,'Window-U'!$A$4:$A$40,'Window-U'!$F$4:$F$40)*Flat!G$22))*G103</f>
        <v>2191.6777387208867</v>
      </c>
      <c r="H105" s="177">
        <f>((LOOKUP(Flat!H$2,'Ceiling-U'!$A$4:$A$40,'Ceiling-U'!$R$4:$R$40)*Flat!H$15)+(LOOKUP(Flat!H$2,'Floor-U'!$A$4:$A$40,'Floor-U'!$F$4:$F$40)*Flat!H$16)+(LOOKUP(Flat!H$2,'Wall-U'!$A$4:$A$40,'Wall-U'!$F$4:$F$40)*Flat!H$13)+(LOOKUP(Flat!H$2,'Window-U'!$A$4:$A$40,'Window-U'!$F$4:$F$40)*Flat!H$22))*H103</f>
        <v>3157.9178046754168</v>
      </c>
      <c r="I105" s="177">
        <f>((LOOKUP(Flat!I$2,'Ceiling-U'!$A$4:$A$40,'Ceiling-U'!$R$4:$R$40)*Flat!I$15)+(LOOKUP(Flat!I$2,'Floor-U'!$A$4:$A$40,'Floor-U'!$F$4:$F$40)*Flat!I$16)+(LOOKUP(Flat!I$2,'Wall-U'!$A$4:$A$40,'Wall-U'!$F$4:$F$40)*Flat!I$13)+(LOOKUP(Flat!I$2,'Window-U'!$A$4:$A$40,'Window-U'!$F$4:$F$40)*Flat!I$22))*I103</f>
        <v>1463.1864402298258</v>
      </c>
      <c r="J105" s="177">
        <f>((LOOKUP(Flat!J$2,'Ceiling-U'!$A$4:$A$40,'Ceiling-U'!$R$4:$R$40)*Flat!J$15)+(LOOKUP(Flat!J$2,'Floor-U'!$A$4:$A$40,'Floor-U'!$F$4:$F$40)*Flat!J$16)+(LOOKUP(Flat!J$2,'Wall-U'!$A$4:$A$40,'Wall-U'!$F$4:$F$40)*Flat!J$13)+(LOOKUP(Flat!J$2,'Window-U'!$A$4:$A$40,'Window-U'!$F$4:$F$40)*Flat!J$22))*J103</f>
        <v>2045.7482831345808</v>
      </c>
      <c r="K105" s="177">
        <f>((LOOKUP(Flat!K$2,'Ceiling-U'!$A$4:$A$40,'Ceiling-U'!$R$4:$R$40)*Flat!K$15)+(LOOKUP(Flat!K$2,'Floor-U'!$A$4:$A$40,'Floor-U'!$F$4:$F$40)*Flat!K$16)+(LOOKUP(Flat!K$2,'Wall-U'!$A$4:$A$40,'Wall-U'!$F$4:$F$40)*Flat!K$13)+(LOOKUP(Flat!K$2,'Window-U'!$A$4:$A$40,'Window-U'!$F$4:$F$40)*Flat!K$22))*K103</f>
        <v>2062.2988568672249</v>
      </c>
      <c r="L105" s="177">
        <f>((LOOKUP(Flat!L$2,'Ceiling-U'!$A$4:$A$40,'Ceiling-U'!$R$4:$R$40)*Flat!L$15)+(LOOKUP(Flat!L$2,'Floor-U'!$A$4:$A$40,'Floor-U'!$F$4:$F$40)*Flat!L$16)+(LOOKUP(Flat!L$2,'Wall-U'!$A$4:$A$40,'Wall-U'!$F$4:$F$40)*Flat!L$13)+(LOOKUP(Flat!L$2,'Window-U'!$A$4:$A$40,'Window-U'!$F$4:$F$40)*Flat!L$22))*L103</f>
        <v>773.76248985320876</v>
      </c>
      <c r="M105" s="177">
        <f>((LOOKUP(Flat!M$2,'Ceiling-U'!$A$4:$A$40,'Ceiling-U'!$R$4:$R$40)*Flat!M$15)+(LOOKUP(Flat!M$2,'Floor-U'!$A$4:$A$40,'Floor-U'!$F$4:$F$40)*Flat!M$16)+(LOOKUP(Flat!M$2,'Wall-U'!$A$4:$A$40,'Wall-U'!$F$4:$F$40)*Flat!M$13)+(LOOKUP(Flat!M$2,'Window-U'!$A$4:$A$40,'Window-U'!$F$4:$F$40)*Flat!M$22))*M103</f>
        <v>2573.7282988023221</v>
      </c>
      <c r="N105" s="177">
        <f>((LOOKUP(Flat!N$2,'Ceiling-U'!$A$4:$A$40,'Ceiling-U'!$R$4:$R$40)*Flat!N$15)+(LOOKUP(Flat!N$2,'Floor-U'!$A$4:$A$40,'Floor-U'!$F$4:$F$40)*Flat!N$16)+(LOOKUP(Flat!N$2,'Wall-U'!$A$4:$A$40,'Wall-U'!$F$4:$F$40)*Flat!N$13)+(LOOKUP(Flat!N$2,'Window-U'!$A$4:$A$40,'Window-U'!$F$4:$F$40)*Flat!N$22))*N103</f>
        <v>1892.1475970501101</v>
      </c>
      <c r="O105" s="177">
        <f>((LOOKUP(Flat!O$2,'Ceiling-U'!$A$4:$A$40,'Ceiling-U'!$R$4:$R$40)*Flat!O$15)+(LOOKUP(Flat!O$2,'Floor-U'!$A$4:$A$40,'Floor-U'!$F$4:$F$40)*Flat!O$16)+(LOOKUP(Flat!O$2,'Wall-U'!$A$4:$A$40,'Wall-U'!$F$4:$F$40)*Flat!O$13)+(LOOKUP(Flat!O$2,'Window-U'!$A$4:$A$40,'Window-U'!$F$4:$F$40)*Flat!O$22))*O103</f>
        <v>3789.6243988632614</v>
      </c>
      <c r="P105" s="177">
        <f>((LOOKUP(Flat!P$2,'Ceiling-U'!$A$4:$A$40,'Ceiling-U'!$R$4:$R$40)*Flat!P$15)+(LOOKUP(Flat!P$2,'Floor-U'!$A$4:$A$40,'Floor-U'!$F$4:$F$40)*Flat!P$16)+(LOOKUP(Flat!P$2,'Wall-U'!$A$4:$A$40,'Wall-U'!$F$4:$F$40)*Flat!P$13)+(LOOKUP(Flat!P$2,'Window-U'!$A$4:$A$40,'Window-U'!$F$4:$F$40)*Flat!P$22))*P103</f>
        <v>2318.0621688666802</v>
      </c>
      <c r="Q105" s="177">
        <f>((LOOKUP(Flat!Q$2,'Ceiling-U'!$A$4:$A$40,'Ceiling-U'!$R$4:$R$40)*Flat!Q$15)+(LOOKUP(Flat!Q$2,'Floor-U'!$A$4:$A$40,'Floor-U'!$F$4:$F$40)*Flat!Q$16)+(LOOKUP(Flat!Q$2,'Wall-U'!$A$4:$A$40,'Wall-U'!$F$4:$F$40)*Flat!Q$13)+(LOOKUP(Flat!Q$2,'Window-U'!$A$4:$A$40,'Window-U'!$F$4:$F$40)*Flat!Q$22))*Q103</f>
        <v>2424.8675325450727</v>
      </c>
      <c r="R105" s="177">
        <f>((LOOKUP(Flat!R$2,'Ceiling-U'!$A$4:$A$40,'Ceiling-U'!$R$4:$R$40)*Flat!R$15)+(LOOKUP(Flat!R$2,'Floor-U'!$A$4:$A$40,'Floor-U'!$F$4:$F$40)*Flat!R$16)+(LOOKUP(Flat!R$2,'Wall-U'!$A$4:$A$40,'Wall-U'!$F$4:$F$40)*Flat!R$13)+(LOOKUP(Flat!R$2,'Window-U'!$A$4:$A$40,'Window-U'!$F$4:$F$40)*Flat!R$22))*R103</f>
        <v>1972.1398873020107</v>
      </c>
      <c r="S105" s="177">
        <f>((LOOKUP(Flat!S$2,'Ceiling-U'!$A$4:$A$40,'Ceiling-U'!$R$4:$R$40)*Flat!S$15)+(LOOKUP(Flat!S$2,'Floor-U'!$A$4:$A$40,'Floor-U'!$F$4:$F$40)*Flat!S$16)+(LOOKUP(Flat!S$2,'Wall-U'!$A$4:$A$40,'Wall-U'!$F$4:$F$40)*Flat!S$13)+(LOOKUP(Flat!S$2,'Window-U'!$A$4:$A$40,'Window-U'!$F$4:$F$40)*Flat!S$22))*S103</f>
        <v>6921.7261401416381</v>
      </c>
      <c r="T105" s="177">
        <f>((LOOKUP(Flat!T$2,'Ceiling-U'!$A$4:$A$40,'Ceiling-U'!$R$4:$R$40)*Flat!T$15)+(LOOKUP(Flat!T$2,'Floor-U'!$A$4:$A$40,'Floor-U'!$F$4:$F$40)*Flat!T$16)+(LOOKUP(Flat!T$2,'Wall-U'!$A$4:$A$40,'Wall-U'!$F$4:$F$40)*Flat!T$13)+(LOOKUP(Flat!T$2,'Window-U'!$A$4:$A$40,'Window-U'!$F$4:$F$40)*Flat!T$22))*T103</f>
        <v>980.59535981733234</v>
      </c>
      <c r="U105" s="177">
        <f>((LOOKUP(Flat!U$2,'Ceiling-U'!$A$4:$A$40,'Ceiling-U'!$R$4:$R$40)*Flat!U$15)+(LOOKUP(Flat!U$2,'Floor-U'!$A$4:$A$40,'Floor-U'!$F$4:$F$40)*Flat!U$16)+(LOOKUP(Flat!U$2,'Wall-U'!$A$4:$A$40,'Wall-U'!$F$4:$F$40)*Flat!U$13)+(LOOKUP(Flat!U$2,'Window-U'!$A$4:$A$40,'Window-U'!$F$4:$F$40)*Flat!U$22))*U103</f>
        <v>3484.167779804463</v>
      </c>
      <c r="V105" s="177">
        <f>((LOOKUP(Flat!V$2,'Ceiling-U'!$A$4:$A$40,'Ceiling-U'!$R$4:$R$40)*Flat!V$15)+(LOOKUP(Flat!V$2,'Floor-U'!$A$4:$A$40,'Floor-U'!$F$4:$F$40)*Flat!V$16)+(LOOKUP(Flat!V$2,'Wall-U'!$A$4:$A$40,'Wall-U'!$F$4:$F$40)*Flat!V$13)+(LOOKUP(Flat!V$2,'Window-U'!$A$4:$A$40,'Window-U'!$F$4:$F$40)*Flat!V$22))*V103</f>
        <v>1443.6318976359719</v>
      </c>
      <c r="W105" s="177">
        <f>((LOOKUP(Flat!W$2,'Ceiling-U'!$A$4:$A$40,'Ceiling-U'!$R$4:$R$40)*Flat!W$15)+(LOOKUP(Flat!W$2,'Floor-U'!$A$4:$A$40,'Floor-U'!$F$4:$F$40)*Flat!W$16)+(LOOKUP(Flat!W$2,'Wall-U'!$A$4:$A$40,'Wall-U'!$F$4:$F$40)*Flat!W$13)+(LOOKUP(Flat!W$2,'Window-U'!$A$4:$A$40,'Window-U'!$F$4:$F$40)*Flat!W$22))*W103</f>
        <v>2938.0698137064237</v>
      </c>
      <c r="X105" s="177">
        <f>((LOOKUP(Flat!X$2,'Ceiling-U'!$A$4:$A$40,'Ceiling-U'!$R$4:$R$40)*Flat!X$15)+(LOOKUP(Flat!X$2,'Floor-U'!$A$4:$A$40,'Floor-U'!$F$4:$F$40)*Flat!X$16)+(LOOKUP(Flat!X$2,'Wall-U'!$A$4:$A$40,'Wall-U'!$F$4:$F$40)*Flat!X$13)+(LOOKUP(Flat!X$2,'Window-U'!$A$4:$A$40,'Window-U'!$F$4:$F$40)*Flat!X$22))*X103</f>
        <v>1490.6933489193807</v>
      </c>
      <c r="Y105" s="177">
        <f>((LOOKUP(Flat!Y$2,'Ceiling-U'!$A$4:$A$40,'Ceiling-U'!$R$4:$R$40)*Flat!Y$15)+(LOOKUP(Flat!Y$2,'Floor-U'!$A$4:$A$40,'Floor-U'!$F$4:$F$40)*Flat!Y$16)+(LOOKUP(Flat!Y$2,'Wall-U'!$A$4:$A$40,'Wall-U'!$F$4:$F$40)*Flat!Y$13)+(LOOKUP(Flat!Y$2,'Window-U'!$A$4:$A$40,'Window-U'!$F$4:$F$40)*Flat!Y$22))*Y103</f>
        <v>5201.4390763246893</v>
      </c>
      <c r="Z105" s="177">
        <f>((LOOKUP(Flat!Z$2,'Ceiling-U'!$A$4:$A$40,'Ceiling-U'!$R$4:$R$40)*Flat!Z$15)+(LOOKUP(Flat!Z$2,'Floor-U'!$A$4:$A$40,'Floor-U'!$F$4:$F$40)*Flat!Z$16)+(LOOKUP(Flat!Z$2,'Wall-U'!$A$4:$A$40,'Wall-U'!$F$4:$F$40)*Flat!Z$13)+(LOOKUP(Flat!Z$2,'Window-U'!$A$4:$A$40,'Window-U'!$F$4:$F$40)*Flat!Z$22))*Z103</f>
        <v>2648.7887892930521</v>
      </c>
      <c r="AA105" s="177">
        <f>((LOOKUP(Flat!AA$2,'Ceiling-U'!$A$4:$A$40,'Ceiling-U'!$R$4:$R$40)*Flat!AA$15)+(LOOKUP(Flat!AA$2,'Floor-U'!$A$4:$A$40,'Floor-U'!$F$4:$F$40)*Flat!AA$16)+(LOOKUP(Flat!AA$2,'Wall-U'!$A$4:$A$40,'Wall-U'!$F$4:$F$40)*Flat!AA$13)+(LOOKUP(Flat!AA$2,'Window-U'!$A$4:$A$40,'Window-U'!$F$4:$F$40)*Flat!AA$22))*AA103</f>
        <v>972.89048213021317</v>
      </c>
      <c r="AB105" s="177">
        <f>((LOOKUP(Flat!AB$2,'Ceiling-U'!$A$4:$A$40,'Ceiling-U'!$R$4:$R$40)*Flat!AB$15)+(LOOKUP(Flat!AB$2,'Floor-U'!$A$4:$A$40,'Floor-U'!$F$4:$F$40)*Flat!AB$16)+(LOOKUP(Flat!AB$2,'Wall-U'!$A$4:$A$40,'Wall-U'!$F$4:$F$40)*Flat!AB$13)+(LOOKUP(Flat!AB$2,'Window-U'!$A$4:$A$40,'Window-U'!$F$4:$F$40)*Flat!AB$22))*AB103</f>
        <v>2313.4497029553113</v>
      </c>
      <c r="AC105" s="177">
        <f>((LOOKUP(Flat!AC$2,'Ceiling-U'!$A$4:$A$40,'Ceiling-U'!$R$4:$R$40)*Flat!AC$15)+(LOOKUP(Flat!AC$2,'Floor-U'!$A$4:$A$40,'Floor-U'!$F$4:$F$40)*Flat!AC$16)+(LOOKUP(Flat!AC$2,'Wall-U'!$A$4:$A$40,'Wall-U'!$F$4:$F$40)*Flat!AC$13)+(LOOKUP(Flat!AC$2,'Window-U'!$A$4:$A$40,'Window-U'!$F$4:$F$40)*Flat!AC$22))*AC103</f>
        <v>3338.1872480800812</v>
      </c>
      <c r="AD105" s="177">
        <f>((LOOKUP(Flat!AD$2,'Ceiling-U'!$A$4:$A$40,'Ceiling-U'!$R$4:$R$40)*Flat!AD$15)+(LOOKUP(Flat!AD$2,'Floor-U'!$A$4:$A$40,'Floor-U'!$F$4:$F$40)*Flat!AD$16)+(LOOKUP(Flat!AD$2,'Wall-U'!$A$4:$A$40,'Wall-U'!$F$4:$F$40)*Flat!AD$13)+(LOOKUP(Flat!AD$2,'Window-U'!$A$4:$A$40,'Window-U'!$F$4:$F$40)*Flat!AD$22))*AD103</f>
        <v>5397.7139434144519</v>
      </c>
      <c r="AE105" s="177">
        <f>((LOOKUP(Flat!AE$2,'Ceiling-U'!$A$4:$A$40,'Ceiling-U'!$R$4:$R$40)*Flat!AE$15)+(LOOKUP(Flat!AE$2,'Floor-U'!$A$4:$A$40,'Floor-U'!$F$4:$F$40)*Flat!AE$16)+(LOOKUP(Flat!AE$2,'Wall-U'!$A$4:$A$40,'Wall-U'!$F$4:$F$40)*Flat!AE$13)+(LOOKUP(Flat!AE$2,'Window-U'!$A$4:$A$40,'Window-U'!$F$4:$F$40)*Flat!AE$22))*AE103</f>
        <v>972.89048213021317</v>
      </c>
      <c r="AF105" s="177">
        <f>((LOOKUP(Flat!AF$2,'Ceiling-U'!$A$4:$A$40,'Ceiling-U'!$R$4:$R$40)*Flat!AF$15)+(LOOKUP(Flat!AF$2,'Floor-U'!$A$4:$A$40,'Floor-U'!$F$4:$F$40)*Flat!AF$16)+(LOOKUP(Flat!AF$2,'Wall-U'!$A$4:$A$40,'Wall-U'!$F$4:$F$40)*Flat!AF$13)+(LOOKUP(Flat!AF$2,'Window-U'!$A$4:$A$40,'Window-U'!$F$4:$F$40)*Flat!AF$22))*AF103</f>
        <v>1886.4673322383105</v>
      </c>
      <c r="AG105" s="177">
        <f>((LOOKUP(Flat!AG$2,'Ceiling-U'!$A$4:$A$40,'Ceiling-U'!$R$4:$R$40)*Flat!AG$15)+(LOOKUP(Flat!AG$2,'Floor-U'!$A$4:$A$40,'Floor-U'!$F$4:$F$40)*Flat!AG$16)+(LOOKUP(Flat!AG$2,'Wall-U'!$A$4:$A$40,'Wall-U'!$F$4:$F$40)*Flat!AG$13)+(LOOKUP(Flat!AG$2,'Window-U'!$A$4:$A$40,'Window-U'!$F$4:$F$40)*Flat!AG$22))*AG103</f>
        <v>2155.97971165028</v>
      </c>
      <c r="AH105" s="177">
        <f>((LOOKUP(Flat!AH$2,'Ceiling-U'!$A$4:$A$40,'Ceiling-U'!$R$4:$R$40)*Flat!AH$15)+(LOOKUP(Flat!AH$2,'Floor-U'!$A$4:$A$40,'Floor-U'!$F$4:$F$40)*Flat!AH$16)+(LOOKUP(Flat!AH$2,'Wall-U'!$A$4:$A$40,'Wall-U'!$F$4:$F$40)*Flat!AH$13)+(LOOKUP(Flat!AH$2,'Window-U'!$A$4:$A$40,'Window-U'!$F$4:$F$40)*Flat!AH$22))*AH103</f>
        <v>6897.4146301676365</v>
      </c>
      <c r="AI105" s="177">
        <f>((LOOKUP(Flat!AI$2,'Ceiling-U'!$A$4:$A$40,'Ceiling-U'!$R$4:$R$40)*Flat!AI$15)+(LOOKUP(Flat!AI$2,'Floor-U'!$A$4:$A$40,'Floor-U'!$F$4:$F$40)*Flat!AI$16)+(LOOKUP(Flat!AI$2,'Wall-U'!$A$4:$A$40,'Wall-U'!$F$4:$F$40)*Flat!AI$13)+(LOOKUP(Flat!AI$2,'Window-U'!$A$4:$A$40,'Window-U'!$F$4:$F$40)*Flat!AI$22))*AI103</f>
        <v>3742.7295528142213</v>
      </c>
      <c r="AJ105" s="177">
        <f>((LOOKUP(Flat!AJ$2,'Ceiling-U'!$A$4:$A$40,'Ceiling-U'!$R$4:$R$40)*Flat!AJ$15)+(LOOKUP(Flat!AJ$2,'Floor-U'!$A$4:$A$40,'Floor-U'!$F$4:$F$40)*Flat!AJ$16)+(LOOKUP(Flat!AJ$2,'Wall-U'!$A$4:$A$40,'Wall-U'!$F$4:$F$40)*Flat!AJ$13)+(LOOKUP(Flat!AJ$2,'Window-U'!$A$4:$A$40,'Window-U'!$F$4:$F$40)*Flat!AJ$22))*AJ103</f>
        <v>2212.8554154702515</v>
      </c>
      <c r="AK105" s="177">
        <f>((LOOKUP(Flat!AK$2,'Ceiling-U'!$A$4:$A$40,'Ceiling-U'!$R$4:$R$40)*Flat!AK$15)+(LOOKUP(Flat!AK$2,'Floor-U'!$A$4:$A$40,'Floor-U'!$F$4:$F$40)*Flat!AK$16)+(LOOKUP(Flat!AK$2,'Wall-U'!$A$4:$A$40,'Wall-U'!$F$4:$F$40)*Flat!AK$13)+(LOOKUP(Flat!AK$2,'Window-U'!$A$4:$A$40,'Window-U'!$F$4:$F$40)*Flat!AK$22))*AK103</f>
        <v>2372.4969087244576</v>
      </c>
      <c r="AL105" s="177">
        <f>((LOOKUP(Flat!AL$2,'Ceiling-U'!$A$4:$A$40,'Ceiling-U'!$R$4:$R$40)*Flat!AL$15)+(LOOKUP(Flat!AL$2,'Floor-U'!$A$4:$A$40,'Floor-U'!$F$4:$F$40)*Flat!AL$16)+(LOOKUP(Flat!AL$2,'Wall-U'!$A$4:$A$40,'Wall-U'!$F$4:$F$40)*Flat!AL$13)+(LOOKUP(Flat!AL$2,'Window-U'!$A$4:$A$40,'Window-U'!$F$4:$F$40)*Flat!AL$22))*AL103</f>
        <v>2355.1760966255565</v>
      </c>
      <c r="AM105" s="177">
        <f>((LOOKUP(Flat!AM$2,'Ceiling-U'!$A$4:$A$40,'Ceiling-U'!$R$4:$R$40)*Flat!AM$15)+(LOOKUP(Flat!AM$2,'Floor-U'!$A$4:$A$40,'Floor-U'!$F$4:$F$40)*Flat!AM$16)+(LOOKUP(Flat!AM$2,'Wall-U'!$A$4:$A$40,'Wall-U'!$F$4:$F$40)*Flat!AM$13)+(LOOKUP(Flat!AM$2,'Window-U'!$A$4:$A$40,'Window-U'!$F$4:$F$40)*Flat!AM$22))*AM103</f>
        <v>2212.8554154702515</v>
      </c>
      <c r="AN105" s="178">
        <f>((LOOKUP(Flat!AN$2,'Ceiling-U'!$A$4:$A$40,'Ceiling-U'!$R$4:$R$40)*Flat!AN$15)+(LOOKUP(Flat!AN$2,'Floor-U'!$A$4:$A$40,'Floor-U'!$F$4:$F$40)*Flat!AN$16)+(LOOKUP(Flat!AN$2,'Wall-U'!$A$4:$A$40,'Wall-U'!$F$4:$F$40)*Flat!AN$13)+(LOOKUP(Flat!AN$2,'Window-U'!$A$4:$A$40,'Window-U'!$F$4:$F$40)*Flat!AN$22))*AN103</f>
        <v>2212.8554154702515</v>
      </c>
    </row>
    <row r="106" spans="1:40" s="5" customFormat="1">
      <c r="A106" s="372"/>
      <c r="B106" s="142" t="s">
        <v>4</v>
      </c>
      <c r="C106" s="131" t="s">
        <v>195</v>
      </c>
      <c r="D106" s="176">
        <f>((LOOKUP(Flat!D$2,'Ceiling-U'!$A$4:$A$40,'Ceiling-U'!$S$4:$S$40)*Flat!D$15)+(LOOKUP(Flat!D$2,'Floor-U'!$A$4:$A$40,'Floor-U'!$G$4:$G$40)*Flat!D$16)+(LOOKUP(Flat!D$2,'Wall-U'!$A$4:$A$40,'Wall-U'!$G$4:$G$40)*Flat!D$13)+(LOOKUP(Flat!D$2,'Window-U'!$A$4:$A$40,'Window-U'!$G$4:$G$40)*Flat!D$22))*D103</f>
        <v>1752.9292508518465</v>
      </c>
      <c r="E106" s="177">
        <f>((LOOKUP(Flat!E$2,'Ceiling-U'!$A$4:$A$40,'Ceiling-U'!$S$4:$S$40)*Flat!E$15)+(LOOKUP(Flat!E$2,'Floor-U'!$A$4:$A$40,'Floor-U'!$G$4:$G$40)*Flat!E$16)+(LOOKUP(Flat!E$2,'Wall-U'!$A$4:$A$40,'Wall-U'!$G$4:$G$40)*Flat!E$13)+(LOOKUP(Flat!E$2,'Window-U'!$A$4:$A$40,'Window-U'!$G$4:$G$40)*Flat!E$22))*E103</f>
        <v>2984.8787716992165</v>
      </c>
      <c r="F106" s="177">
        <f>((LOOKUP(Flat!F$2,'Ceiling-U'!$A$4:$A$40,'Ceiling-U'!$S$4:$S$40)*Flat!F$15)+(LOOKUP(Flat!F$2,'Floor-U'!$A$4:$A$40,'Floor-U'!$G$4:$G$40)*Flat!F$16)+(LOOKUP(Flat!F$2,'Wall-U'!$A$4:$A$40,'Wall-U'!$G$4:$G$40)*Flat!F$13)+(LOOKUP(Flat!F$2,'Window-U'!$A$4:$A$40,'Window-U'!$G$4:$G$40)*Flat!F$22))*F103</f>
        <v>3469.0250314343862</v>
      </c>
      <c r="G106" s="177">
        <f>((LOOKUP(Flat!G$2,'Ceiling-U'!$A$4:$A$40,'Ceiling-U'!$S$4:$S$40)*Flat!G$15)+(LOOKUP(Flat!G$2,'Floor-U'!$A$4:$A$40,'Floor-U'!$G$4:$G$40)*Flat!G$16)+(LOOKUP(Flat!G$2,'Wall-U'!$A$4:$A$40,'Wall-U'!$G$4:$G$40)*Flat!G$13)+(LOOKUP(Flat!G$2,'Window-U'!$A$4:$A$40,'Window-U'!$G$4:$G$40)*Flat!G$22))*G103</f>
        <v>1752.9292508518465</v>
      </c>
      <c r="H106" s="177">
        <f>((LOOKUP(Flat!H$2,'Ceiling-U'!$A$4:$A$40,'Ceiling-U'!$S$4:$S$40)*Flat!H$15)+(LOOKUP(Flat!H$2,'Floor-U'!$A$4:$A$40,'Floor-U'!$G$4:$G$40)*Flat!H$16)+(LOOKUP(Flat!H$2,'Wall-U'!$A$4:$A$40,'Wall-U'!$G$4:$G$40)*Flat!H$13)+(LOOKUP(Flat!H$2,'Window-U'!$A$4:$A$40,'Window-U'!$G$4:$G$40)*Flat!H$22))*H103</f>
        <v>3195.0423572609138</v>
      </c>
      <c r="I106" s="177">
        <f>((LOOKUP(Flat!I$2,'Ceiling-U'!$A$4:$A$40,'Ceiling-U'!$S$4:$S$40)*Flat!I$15)+(LOOKUP(Flat!I$2,'Floor-U'!$A$4:$A$40,'Floor-U'!$G$4:$G$40)*Flat!I$16)+(LOOKUP(Flat!I$2,'Wall-U'!$A$4:$A$40,'Wall-U'!$G$4:$G$40)*Flat!I$13)+(LOOKUP(Flat!I$2,'Window-U'!$A$4:$A$40,'Window-U'!$G$4:$G$40)*Flat!I$22))*I103</f>
        <v>1463.1864402298258</v>
      </c>
      <c r="J106" s="177">
        <f>((LOOKUP(Flat!J$2,'Ceiling-U'!$A$4:$A$40,'Ceiling-U'!$S$4:$S$40)*Flat!J$15)+(LOOKUP(Flat!J$2,'Floor-U'!$A$4:$A$40,'Floor-U'!$G$4:$G$40)*Flat!J$16)+(LOOKUP(Flat!J$2,'Wall-U'!$A$4:$A$40,'Wall-U'!$G$4:$G$40)*Flat!J$13)+(LOOKUP(Flat!J$2,'Window-U'!$A$4:$A$40,'Window-U'!$G$4:$G$40)*Flat!J$22))*J103</f>
        <v>1413.4465427604587</v>
      </c>
      <c r="K106" s="177">
        <f>((LOOKUP(Flat!K$2,'Ceiling-U'!$A$4:$A$40,'Ceiling-U'!$S$4:$S$40)*Flat!K$15)+(LOOKUP(Flat!K$2,'Floor-U'!$A$4:$A$40,'Floor-U'!$G$4:$G$40)*Flat!K$16)+(LOOKUP(Flat!K$2,'Wall-U'!$A$4:$A$40,'Wall-U'!$G$4:$G$40)*Flat!K$13)+(LOOKUP(Flat!K$2,'Window-U'!$A$4:$A$40,'Window-U'!$G$4:$G$40)*Flat!K$22))*K103</f>
        <v>1399.2087097763722</v>
      </c>
      <c r="L106" s="177">
        <f>((LOOKUP(Flat!L$2,'Ceiling-U'!$A$4:$A$40,'Ceiling-U'!$S$4:$S$40)*Flat!L$15)+(LOOKUP(Flat!L$2,'Floor-U'!$A$4:$A$40,'Floor-U'!$G$4:$G$40)*Flat!L$16)+(LOOKUP(Flat!L$2,'Wall-U'!$A$4:$A$40,'Wall-U'!$G$4:$G$40)*Flat!L$13)+(LOOKUP(Flat!L$2,'Window-U'!$A$4:$A$40,'Window-U'!$G$4:$G$40)*Flat!L$22))*L103</f>
        <v>624.14619363451754</v>
      </c>
      <c r="M106" s="177">
        <f>((LOOKUP(Flat!M$2,'Ceiling-U'!$A$4:$A$40,'Ceiling-U'!$S$4:$S$40)*Flat!M$15)+(LOOKUP(Flat!M$2,'Floor-U'!$A$4:$A$40,'Floor-U'!$G$4:$G$40)*Flat!M$16)+(LOOKUP(Flat!M$2,'Wall-U'!$A$4:$A$40,'Wall-U'!$G$4:$G$40)*Flat!M$13)+(LOOKUP(Flat!M$2,'Window-U'!$A$4:$A$40,'Window-U'!$G$4:$G$40)*Flat!M$22))*M103</f>
        <v>2573.7282988023221</v>
      </c>
      <c r="N106" s="177">
        <f>((LOOKUP(Flat!N$2,'Ceiling-U'!$A$4:$A$40,'Ceiling-U'!$S$4:$S$40)*Flat!N$15)+(LOOKUP(Flat!N$2,'Floor-U'!$A$4:$A$40,'Floor-U'!$G$4:$G$40)*Flat!N$16)+(LOOKUP(Flat!N$2,'Wall-U'!$A$4:$A$40,'Wall-U'!$G$4:$G$40)*Flat!N$13)+(LOOKUP(Flat!N$2,'Window-U'!$A$4:$A$40,'Window-U'!$G$4:$G$40)*Flat!N$22))*N103</f>
        <v>1563.7713465407492</v>
      </c>
      <c r="O106" s="177">
        <f>((LOOKUP(Flat!O$2,'Ceiling-U'!$A$4:$A$40,'Ceiling-U'!$S$4:$S$40)*Flat!O$15)+(LOOKUP(Flat!O$2,'Floor-U'!$A$4:$A$40,'Floor-U'!$G$4:$G$40)*Flat!O$16)+(LOOKUP(Flat!O$2,'Wall-U'!$A$4:$A$40,'Wall-U'!$G$4:$G$40)*Flat!O$13)+(LOOKUP(Flat!O$2,'Window-U'!$A$4:$A$40,'Window-U'!$G$4:$G$40)*Flat!O$22))*O103</f>
        <v>1824.266061694155</v>
      </c>
      <c r="P106" s="177">
        <f>((LOOKUP(Flat!P$2,'Ceiling-U'!$A$4:$A$40,'Ceiling-U'!$S$4:$S$40)*Flat!P$15)+(LOOKUP(Flat!P$2,'Floor-U'!$A$4:$A$40,'Floor-U'!$G$4:$G$40)*Flat!P$16)+(LOOKUP(Flat!P$2,'Wall-U'!$A$4:$A$40,'Wall-U'!$G$4:$G$40)*Flat!P$13)+(LOOKUP(Flat!P$2,'Window-U'!$A$4:$A$40,'Window-U'!$G$4:$G$40)*Flat!P$22))*P103</f>
        <v>2318.0621688666802</v>
      </c>
      <c r="Q106" s="177">
        <f>((LOOKUP(Flat!Q$2,'Ceiling-U'!$A$4:$A$40,'Ceiling-U'!$S$4:$S$40)*Flat!Q$15)+(LOOKUP(Flat!Q$2,'Floor-U'!$A$4:$A$40,'Floor-U'!$G$4:$G$40)*Flat!Q$16)+(LOOKUP(Flat!Q$2,'Wall-U'!$A$4:$A$40,'Wall-U'!$G$4:$G$40)*Flat!Q$13)+(LOOKUP(Flat!Q$2,'Window-U'!$A$4:$A$40,'Window-U'!$G$4:$G$40)*Flat!Q$22))*Q103</f>
        <v>2031.5281084830017</v>
      </c>
      <c r="R106" s="177">
        <f>((LOOKUP(Flat!R$2,'Ceiling-U'!$A$4:$A$40,'Ceiling-U'!$S$4:$S$40)*Flat!R$15)+(LOOKUP(Flat!R$2,'Floor-U'!$A$4:$A$40,'Floor-U'!$G$4:$G$40)*Flat!R$16)+(LOOKUP(Flat!R$2,'Wall-U'!$A$4:$A$40,'Wall-U'!$G$4:$G$40)*Flat!R$13)+(LOOKUP(Flat!R$2,'Window-U'!$A$4:$A$40,'Window-U'!$G$4:$G$40)*Flat!R$22))*R103</f>
        <v>1700.8028074275953</v>
      </c>
      <c r="S106" s="177">
        <f>((LOOKUP(Flat!S$2,'Ceiling-U'!$A$4:$A$40,'Ceiling-U'!$S$4:$S$40)*Flat!S$15)+(LOOKUP(Flat!S$2,'Floor-U'!$A$4:$A$40,'Floor-U'!$G$4:$G$40)*Flat!S$16)+(LOOKUP(Flat!S$2,'Wall-U'!$A$4:$A$40,'Wall-U'!$G$4:$G$40)*Flat!S$13)+(LOOKUP(Flat!S$2,'Window-U'!$A$4:$A$40,'Window-U'!$G$4:$G$40)*Flat!S$22))*S103</f>
        <v>6887.2874356539905</v>
      </c>
      <c r="T106" s="177">
        <f>((LOOKUP(Flat!T$2,'Ceiling-U'!$A$4:$A$40,'Ceiling-U'!$S$4:$S$40)*Flat!T$15)+(LOOKUP(Flat!T$2,'Floor-U'!$A$4:$A$40,'Floor-U'!$G$4:$G$40)*Flat!T$16)+(LOOKUP(Flat!T$2,'Wall-U'!$A$4:$A$40,'Wall-U'!$G$4:$G$40)*Flat!T$13)+(LOOKUP(Flat!T$2,'Window-U'!$A$4:$A$40,'Window-U'!$G$4:$G$40)*Flat!T$22))*T103</f>
        <v>787.31784219469569</v>
      </c>
      <c r="U106" s="177">
        <f>((LOOKUP(Flat!U$2,'Ceiling-U'!$A$4:$A$40,'Ceiling-U'!$S$4:$S$40)*Flat!U$15)+(LOOKUP(Flat!U$2,'Floor-U'!$A$4:$A$40,'Floor-U'!$G$4:$G$40)*Flat!U$16)+(LOOKUP(Flat!U$2,'Wall-U'!$A$4:$A$40,'Wall-U'!$G$4:$G$40)*Flat!U$13)+(LOOKUP(Flat!U$2,'Window-U'!$A$4:$A$40,'Window-U'!$G$4:$G$40)*Flat!U$22))*U103</f>
        <v>3300.0064359309449</v>
      </c>
      <c r="V106" s="177">
        <f>((LOOKUP(Flat!V$2,'Ceiling-U'!$A$4:$A$40,'Ceiling-U'!$S$4:$S$40)*Flat!V$15)+(LOOKUP(Flat!V$2,'Floor-U'!$A$4:$A$40,'Floor-U'!$G$4:$G$40)*Flat!V$16)+(LOOKUP(Flat!V$2,'Wall-U'!$A$4:$A$40,'Wall-U'!$G$4:$G$40)*Flat!V$13)+(LOOKUP(Flat!V$2,'Window-U'!$A$4:$A$40,'Window-U'!$G$4:$G$40)*Flat!V$22))*V103</f>
        <v>895.5790073153828</v>
      </c>
      <c r="W106" s="177">
        <f>((LOOKUP(Flat!W$2,'Ceiling-U'!$A$4:$A$40,'Ceiling-U'!$S$4:$S$40)*Flat!W$15)+(LOOKUP(Flat!W$2,'Floor-U'!$A$4:$A$40,'Floor-U'!$G$4:$G$40)*Flat!W$16)+(LOOKUP(Flat!W$2,'Wall-U'!$A$4:$A$40,'Wall-U'!$G$4:$G$40)*Flat!W$13)+(LOOKUP(Flat!W$2,'Window-U'!$A$4:$A$40,'Window-U'!$G$4:$G$40)*Flat!W$22))*W103</f>
        <v>1432.1450449901113</v>
      </c>
      <c r="X106" s="177">
        <f>((LOOKUP(Flat!X$2,'Ceiling-U'!$A$4:$A$40,'Ceiling-U'!$S$4:$S$40)*Flat!X$15)+(LOOKUP(Flat!X$2,'Floor-U'!$A$4:$A$40,'Floor-U'!$G$4:$G$40)*Flat!X$16)+(LOOKUP(Flat!X$2,'Wall-U'!$A$4:$A$40,'Wall-U'!$G$4:$G$40)*Flat!X$13)+(LOOKUP(Flat!X$2,'Window-U'!$A$4:$A$40,'Window-U'!$G$4:$G$40)*Flat!X$22))*X103</f>
        <v>1393.9568711702998</v>
      </c>
      <c r="Y106" s="177">
        <f>((LOOKUP(Flat!Y$2,'Ceiling-U'!$A$4:$A$40,'Ceiling-U'!$S$4:$S$40)*Flat!Y$15)+(LOOKUP(Flat!Y$2,'Floor-U'!$A$4:$A$40,'Floor-U'!$G$4:$G$40)*Flat!Y$16)+(LOOKUP(Flat!Y$2,'Wall-U'!$A$4:$A$40,'Wall-U'!$G$4:$G$40)*Flat!Y$13)+(LOOKUP(Flat!Y$2,'Window-U'!$A$4:$A$40,'Window-U'!$G$4:$G$40)*Flat!Y$22))*Y103</f>
        <v>3895.5242411183763</v>
      </c>
      <c r="Z106" s="177">
        <f>((LOOKUP(Flat!Z$2,'Ceiling-U'!$A$4:$A$40,'Ceiling-U'!$S$4:$S$40)*Flat!Z$15)+(LOOKUP(Flat!Z$2,'Floor-U'!$A$4:$A$40,'Floor-U'!$G$4:$G$40)*Flat!Z$16)+(LOOKUP(Flat!Z$2,'Wall-U'!$A$4:$A$40,'Wall-U'!$G$4:$G$40)*Flat!Z$13)+(LOOKUP(Flat!Z$2,'Window-U'!$A$4:$A$40,'Window-U'!$G$4:$G$40)*Flat!Z$22))*Z103</f>
        <v>2591.059433493052</v>
      </c>
      <c r="AA106" s="177">
        <f>((LOOKUP(Flat!AA$2,'Ceiling-U'!$A$4:$A$40,'Ceiling-U'!$S$4:$S$40)*Flat!AA$15)+(LOOKUP(Flat!AA$2,'Floor-U'!$A$4:$A$40,'Floor-U'!$G$4:$G$40)*Flat!AA$16)+(LOOKUP(Flat!AA$2,'Wall-U'!$A$4:$A$40,'Wall-U'!$G$4:$G$40)*Flat!AA$13)+(LOOKUP(Flat!AA$2,'Window-U'!$A$4:$A$40,'Window-U'!$G$4:$G$40)*Flat!AA$22))*AA103</f>
        <v>692.78159297899242</v>
      </c>
      <c r="AB106" s="177">
        <f>((LOOKUP(Flat!AB$2,'Ceiling-U'!$A$4:$A$40,'Ceiling-U'!$S$4:$S$40)*Flat!AB$15)+(LOOKUP(Flat!AB$2,'Floor-U'!$A$4:$A$40,'Floor-U'!$G$4:$G$40)*Flat!AB$16)+(LOOKUP(Flat!AB$2,'Wall-U'!$A$4:$A$40,'Wall-U'!$G$4:$G$40)*Flat!AB$13)+(LOOKUP(Flat!AB$2,'Window-U'!$A$4:$A$40,'Window-U'!$G$4:$G$40)*Flat!AB$22))*AB103</f>
        <v>1591.8921759113259</v>
      </c>
      <c r="AC106" s="177">
        <f>((LOOKUP(Flat!AC$2,'Ceiling-U'!$A$4:$A$40,'Ceiling-U'!$S$4:$S$40)*Flat!AC$15)+(LOOKUP(Flat!AC$2,'Floor-U'!$A$4:$A$40,'Floor-U'!$G$4:$G$40)*Flat!AC$16)+(LOOKUP(Flat!AC$2,'Wall-U'!$A$4:$A$40,'Wall-U'!$G$4:$G$40)*Flat!AC$13)+(LOOKUP(Flat!AC$2,'Window-U'!$A$4:$A$40,'Window-U'!$G$4:$G$40)*Flat!AC$22))*AC103</f>
        <v>3337.2801732272951</v>
      </c>
      <c r="AD106" s="177">
        <f>((LOOKUP(Flat!AD$2,'Ceiling-U'!$A$4:$A$40,'Ceiling-U'!$S$4:$S$40)*Flat!AD$15)+(LOOKUP(Flat!AD$2,'Floor-U'!$A$4:$A$40,'Floor-U'!$G$4:$G$40)*Flat!AD$16)+(LOOKUP(Flat!AD$2,'Wall-U'!$A$4:$A$40,'Wall-U'!$G$4:$G$40)*Flat!AD$13)+(LOOKUP(Flat!AD$2,'Window-U'!$A$4:$A$40,'Window-U'!$G$4:$G$40)*Flat!AD$22))*AD103</f>
        <v>5397.7139434144519</v>
      </c>
      <c r="AE106" s="177">
        <f>((LOOKUP(Flat!AE$2,'Ceiling-U'!$A$4:$A$40,'Ceiling-U'!$S$4:$S$40)*Flat!AE$15)+(LOOKUP(Flat!AE$2,'Floor-U'!$A$4:$A$40,'Floor-U'!$G$4:$G$40)*Flat!AE$16)+(LOOKUP(Flat!AE$2,'Wall-U'!$A$4:$A$40,'Wall-U'!$G$4:$G$40)*Flat!AE$13)+(LOOKUP(Flat!AE$2,'Window-U'!$A$4:$A$40,'Window-U'!$G$4:$G$40)*Flat!AE$22))*AE103</f>
        <v>692.78159297899242</v>
      </c>
      <c r="AF106" s="177">
        <f>((LOOKUP(Flat!AF$2,'Ceiling-U'!$A$4:$A$40,'Ceiling-U'!$S$4:$S$40)*Flat!AF$15)+(LOOKUP(Flat!AF$2,'Floor-U'!$A$4:$A$40,'Floor-U'!$G$4:$G$40)*Flat!AF$16)+(LOOKUP(Flat!AF$2,'Wall-U'!$A$4:$A$40,'Wall-U'!$G$4:$G$40)*Flat!AF$13)+(LOOKUP(Flat!AF$2,'Window-U'!$A$4:$A$40,'Window-U'!$G$4:$G$40)*Flat!AF$22))*AF103</f>
        <v>1808.7612108767723</v>
      </c>
      <c r="AG106" s="177">
        <f>((LOOKUP(Flat!AG$2,'Ceiling-U'!$A$4:$A$40,'Ceiling-U'!$S$4:$S$40)*Flat!AG$15)+(LOOKUP(Flat!AG$2,'Floor-U'!$A$4:$A$40,'Floor-U'!$G$4:$G$40)*Flat!AG$16)+(LOOKUP(Flat!AG$2,'Wall-U'!$A$4:$A$40,'Wall-U'!$G$4:$G$40)*Flat!AG$13)+(LOOKUP(Flat!AG$2,'Window-U'!$A$4:$A$40,'Window-U'!$G$4:$G$40)*Flat!AG$22))*AG103</f>
        <v>2155.97971165028</v>
      </c>
      <c r="AH106" s="177">
        <f>((LOOKUP(Flat!AH$2,'Ceiling-U'!$A$4:$A$40,'Ceiling-U'!$S$4:$S$40)*Flat!AH$15)+(LOOKUP(Flat!AH$2,'Floor-U'!$A$4:$A$40,'Floor-U'!$G$4:$G$40)*Flat!AH$16)+(LOOKUP(Flat!AH$2,'Wall-U'!$A$4:$A$40,'Wall-U'!$G$4:$G$40)*Flat!AH$13)+(LOOKUP(Flat!AH$2,'Window-U'!$A$4:$A$40,'Window-U'!$G$4:$G$40)*Flat!AH$22))*AH103</f>
        <v>5875.4920775686951</v>
      </c>
      <c r="AI106" s="177">
        <f>((LOOKUP(Flat!AI$2,'Ceiling-U'!$A$4:$A$40,'Ceiling-U'!$S$4:$S$40)*Flat!AI$15)+(LOOKUP(Flat!AI$2,'Floor-U'!$A$4:$A$40,'Floor-U'!$G$4:$G$40)*Flat!AI$16)+(LOOKUP(Flat!AI$2,'Wall-U'!$A$4:$A$40,'Wall-U'!$G$4:$G$40)*Flat!AI$13)+(LOOKUP(Flat!AI$2,'Window-U'!$A$4:$A$40,'Window-U'!$G$4:$G$40)*Flat!AI$22))*AI103</f>
        <v>3742.7295528142213</v>
      </c>
      <c r="AJ106" s="177">
        <f>((LOOKUP(Flat!AJ$2,'Ceiling-U'!$A$4:$A$40,'Ceiling-U'!$S$4:$S$40)*Flat!AJ$15)+(LOOKUP(Flat!AJ$2,'Floor-U'!$A$4:$A$40,'Floor-U'!$G$4:$G$40)*Flat!AJ$16)+(LOOKUP(Flat!AJ$2,'Wall-U'!$A$4:$A$40,'Wall-U'!$G$4:$G$40)*Flat!AJ$13)+(LOOKUP(Flat!AJ$2,'Window-U'!$A$4:$A$40,'Window-U'!$G$4:$G$40)*Flat!AJ$22))*AJ103</f>
        <v>2212.8554154702515</v>
      </c>
      <c r="AK106" s="177">
        <f>((LOOKUP(Flat!AK$2,'Ceiling-U'!$A$4:$A$40,'Ceiling-U'!$S$4:$S$40)*Flat!AK$15)+(LOOKUP(Flat!AK$2,'Floor-U'!$A$4:$A$40,'Floor-U'!$G$4:$G$40)*Flat!AK$16)+(LOOKUP(Flat!AK$2,'Wall-U'!$A$4:$A$40,'Wall-U'!$G$4:$G$40)*Flat!AK$13)+(LOOKUP(Flat!AK$2,'Window-U'!$A$4:$A$40,'Window-U'!$G$4:$G$40)*Flat!AK$22))*AK103</f>
        <v>2372.4969087244576</v>
      </c>
      <c r="AL106" s="177">
        <f>((LOOKUP(Flat!AL$2,'Ceiling-U'!$A$4:$A$40,'Ceiling-U'!$S$4:$S$40)*Flat!AL$15)+(LOOKUP(Flat!AL$2,'Floor-U'!$A$4:$A$40,'Floor-U'!$G$4:$G$40)*Flat!AL$16)+(LOOKUP(Flat!AL$2,'Wall-U'!$A$4:$A$40,'Wall-U'!$G$4:$G$40)*Flat!AL$13)+(LOOKUP(Flat!AL$2,'Window-U'!$A$4:$A$40,'Window-U'!$G$4:$G$40)*Flat!AL$22))*AL103</f>
        <v>2208.8111260468804</v>
      </c>
      <c r="AM106" s="177">
        <f>((LOOKUP(Flat!AM$2,'Ceiling-U'!$A$4:$A$40,'Ceiling-U'!$S$4:$S$40)*Flat!AM$15)+(LOOKUP(Flat!AM$2,'Floor-U'!$A$4:$A$40,'Floor-U'!$G$4:$G$40)*Flat!AM$16)+(LOOKUP(Flat!AM$2,'Wall-U'!$A$4:$A$40,'Wall-U'!$G$4:$G$40)*Flat!AM$13)+(LOOKUP(Flat!AM$2,'Window-U'!$A$4:$A$40,'Window-U'!$G$4:$G$40)*Flat!AM$22))*AM103</f>
        <v>2212.8554154702515</v>
      </c>
      <c r="AN106" s="178">
        <f>((LOOKUP(Flat!AN$2,'Ceiling-U'!$A$4:$A$40,'Ceiling-U'!$S$4:$S$40)*Flat!AN$15)+(LOOKUP(Flat!AN$2,'Floor-U'!$A$4:$A$40,'Floor-U'!$G$4:$G$40)*Flat!AN$16)+(LOOKUP(Flat!AN$2,'Wall-U'!$A$4:$A$40,'Wall-U'!$G$4:$G$40)*Flat!AN$13)+(LOOKUP(Flat!AN$2,'Window-U'!$A$4:$A$40,'Window-U'!$G$4:$G$40)*Flat!AN$22))*AN103</f>
        <v>2212.8554154702515</v>
      </c>
    </row>
    <row r="107" spans="1:40" s="5" customFormat="1">
      <c r="A107" s="372"/>
      <c r="B107" s="142" t="s">
        <v>5</v>
      </c>
      <c r="C107" s="131" t="s">
        <v>195</v>
      </c>
      <c r="D107" s="176">
        <f>((LOOKUP(Flat!D$2,'Ceiling-U'!$A$4:$A$40,'Ceiling-U'!$T$4:$T$40)*Flat!D$15)+(LOOKUP(Flat!D$2,'Floor-U'!$A$4:$A$40,'Floor-U'!$H$4:$H$40)*Flat!D$16)+(LOOKUP(Flat!D$2,'Wall-U'!$A$4:$A$40,'Wall-U'!$H$4:$H$40)*Flat!D$13)+(LOOKUP(Flat!D$2,'Window-U'!$A$4:$A$40,'Window-U'!$H$4:$H$40)*Flat!D$22))*D103</f>
        <v>1165.8864054343726</v>
      </c>
      <c r="E107" s="177">
        <f>((LOOKUP(Flat!E$2,'Ceiling-U'!$A$4:$A$40,'Ceiling-U'!$T$4:$T$40)*Flat!E$15)+(LOOKUP(Flat!E$2,'Floor-U'!$A$4:$A$40,'Floor-U'!$H$4:$H$40)*Flat!E$16)+(LOOKUP(Flat!E$2,'Wall-U'!$A$4:$A$40,'Wall-U'!$H$4:$H$40)*Flat!E$13)+(LOOKUP(Flat!E$2,'Window-U'!$A$4:$A$40,'Window-U'!$H$4:$H$40)*Flat!E$22))*E103</f>
        <v>2562.5340224295733</v>
      </c>
      <c r="F107" s="177">
        <f>((LOOKUP(Flat!F$2,'Ceiling-U'!$A$4:$A$40,'Ceiling-U'!$T$4:$T$40)*Flat!F$15)+(LOOKUP(Flat!F$2,'Floor-U'!$A$4:$A$40,'Floor-U'!$H$4:$H$40)*Flat!F$16)+(LOOKUP(Flat!F$2,'Wall-U'!$A$4:$A$40,'Wall-U'!$H$4:$H$40)*Flat!F$13)+(LOOKUP(Flat!F$2,'Window-U'!$A$4:$A$40,'Window-U'!$H$4:$H$40)*Flat!F$22))*F103</f>
        <v>2914.4467530862885</v>
      </c>
      <c r="G107" s="177">
        <f>((LOOKUP(Flat!G$2,'Ceiling-U'!$A$4:$A$40,'Ceiling-U'!$T$4:$T$40)*Flat!G$15)+(LOOKUP(Flat!G$2,'Floor-U'!$A$4:$A$40,'Floor-U'!$H$4:$H$40)*Flat!G$16)+(LOOKUP(Flat!G$2,'Wall-U'!$A$4:$A$40,'Wall-U'!$H$4:$H$40)*Flat!G$13)+(LOOKUP(Flat!G$2,'Window-U'!$A$4:$A$40,'Window-U'!$H$4:$H$40)*Flat!G$22))*G103</f>
        <v>1165.8864054343726</v>
      </c>
      <c r="H107" s="177">
        <f>((LOOKUP(Flat!H$2,'Ceiling-U'!$A$4:$A$40,'Ceiling-U'!$T$4:$T$40)*Flat!H$15)+(LOOKUP(Flat!H$2,'Floor-U'!$A$4:$A$40,'Floor-U'!$H$4:$H$40)*Flat!H$16)+(LOOKUP(Flat!H$2,'Wall-U'!$A$4:$A$40,'Wall-U'!$H$4:$H$40)*Flat!H$13)+(LOOKUP(Flat!H$2,'Window-U'!$A$4:$A$40,'Window-U'!$H$4:$H$40)*Flat!H$22))*H103</f>
        <v>3107.4423572609139</v>
      </c>
      <c r="I107" s="177">
        <f>((LOOKUP(Flat!I$2,'Ceiling-U'!$A$4:$A$40,'Ceiling-U'!$T$4:$T$40)*Flat!I$15)+(LOOKUP(Flat!I$2,'Floor-U'!$A$4:$A$40,'Floor-U'!$H$4:$H$40)*Flat!I$16)+(LOOKUP(Flat!I$2,'Wall-U'!$A$4:$A$40,'Wall-U'!$H$4:$H$40)*Flat!I$13)+(LOOKUP(Flat!I$2,'Window-U'!$A$4:$A$40,'Window-U'!$H$4:$H$40)*Flat!I$22))*I103</f>
        <v>1319.2021547160975</v>
      </c>
      <c r="J107" s="177">
        <f>((LOOKUP(Flat!J$2,'Ceiling-U'!$A$4:$A$40,'Ceiling-U'!$T$4:$T$40)*Flat!J$15)+(LOOKUP(Flat!J$2,'Floor-U'!$A$4:$A$40,'Floor-U'!$H$4:$H$40)*Flat!J$16)+(LOOKUP(Flat!J$2,'Wall-U'!$A$4:$A$40,'Wall-U'!$H$4:$H$40)*Flat!J$13)+(LOOKUP(Flat!J$2,'Window-U'!$A$4:$A$40,'Window-U'!$H$4:$H$40)*Flat!J$22))*J103</f>
        <v>1204.0780989563937</v>
      </c>
      <c r="K107" s="177">
        <f>((LOOKUP(Flat!K$2,'Ceiling-U'!$A$4:$A$40,'Ceiling-U'!$T$4:$T$40)*Flat!K$15)+(LOOKUP(Flat!K$2,'Floor-U'!$A$4:$A$40,'Floor-U'!$H$4:$H$40)*Flat!K$16)+(LOOKUP(Flat!K$2,'Wall-U'!$A$4:$A$40,'Wall-U'!$H$4:$H$40)*Flat!K$13)+(LOOKUP(Flat!K$2,'Window-U'!$A$4:$A$40,'Window-U'!$H$4:$H$40)*Flat!K$22))*K103</f>
        <v>1152.8748262122808</v>
      </c>
      <c r="L107" s="177">
        <f>((LOOKUP(Flat!L$2,'Ceiling-U'!$A$4:$A$40,'Ceiling-U'!$T$4:$T$40)*Flat!L$15)+(LOOKUP(Flat!L$2,'Floor-U'!$A$4:$A$40,'Floor-U'!$H$4:$H$40)*Flat!L$16)+(LOOKUP(Flat!L$2,'Wall-U'!$A$4:$A$40,'Wall-U'!$H$4:$H$40)*Flat!L$13)+(LOOKUP(Flat!L$2,'Window-U'!$A$4:$A$40,'Window-U'!$H$4:$H$40)*Flat!L$22))*L103</f>
        <v>449.52016342769684</v>
      </c>
      <c r="M107" s="177">
        <f>((LOOKUP(Flat!M$2,'Ceiling-U'!$A$4:$A$40,'Ceiling-U'!$T$4:$T$40)*Flat!M$15)+(LOOKUP(Flat!M$2,'Floor-U'!$A$4:$A$40,'Floor-U'!$H$4:$H$40)*Flat!M$16)+(LOOKUP(Flat!M$2,'Wall-U'!$A$4:$A$40,'Wall-U'!$H$4:$H$40)*Flat!M$13)+(LOOKUP(Flat!M$2,'Window-U'!$A$4:$A$40,'Window-U'!$H$4:$H$40)*Flat!M$22))*M103</f>
        <v>1692.1023279933686</v>
      </c>
      <c r="N107" s="177">
        <f>((LOOKUP(Flat!N$2,'Ceiling-U'!$A$4:$A$40,'Ceiling-U'!$T$4:$T$40)*Flat!N$15)+(LOOKUP(Flat!N$2,'Floor-U'!$A$4:$A$40,'Floor-U'!$H$4:$H$40)*Flat!N$16)+(LOOKUP(Flat!N$2,'Wall-U'!$A$4:$A$40,'Wall-U'!$H$4:$H$40)*Flat!N$13)+(LOOKUP(Flat!N$2,'Window-U'!$A$4:$A$40,'Window-U'!$H$4:$H$40)*Flat!N$22))*N103</f>
        <v>1251.135198773442</v>
      </c>
      <c r="O107" s="177">
        <f>((LOOKUP(Flat!O$2,'Ceiling-U'!$A$4:$A$40,'Ceiling-U'!$T$4:$T$40)*Flat!O$15)+(LOOKUP(Flat!O$2,'Floor-U'!$A$4:$A$40,'Floor-U'!$H$4:$H$40)*Flat!O$16)+(LOOKUP(Flat!O$2,'Wall-U'!$A$4:$A$40,'Wall-U'!$H$4:$H$40)*Flat!O$13)+(LOOKUP(Flat!O$2,'Window-U'!$A$4:$A$40,'Window-U'!$H$4:$H$40)*Flat!O$22))*O103</f>
        <v>1543.8927943487563</v>
      </c>
      <c r="P107" s="177">
        <f>((LOOKUP(Flat!P$2,'Ceiling-U'!$A$4:$A$40,'Ceiling-U'!$T$4:$T$40)*Flat!P$15)+(LOOKUP(Flat!P$2,'Floor-U'!$A$4:$A$40,'Floor-U'!$H$4:$H$40)*Flat!P$16)+(LOOKUP(Flat!P$2,'Wall-U'!$A$4:$A$40,'Wall-U'!$H$4:$H$40)*Flat!P$13)+(LOOKUP(Flat!P$2,'Window-U'!$A$4:$A$40,'Window-U'!$H$4:$H$40)*Flat!P$22))*P103</f>
        <v>2259.6621688666801</v>
      </c>
      <c r="Q107" s="177">
        <f>((LOOKUP(Flat!Q$2,'Ceiling-U'!$A$4:$A$40,'Ceiling-U'!$T$4:$T$40)*Flat!Q$15)+(LOOKUP(Flat!Q$2,'Floor-U'!$A$4:$A$40,'Floor-U'!$H$4:$H$40)*Flat!Q$16)+(LOOKUP(Flat!Q$2,'Wall-U'!$A$4:$A$40,'Wall-U'!$H$4:$H$40)*Flat!Q$13)+(LOOKUP(Flat!Q$2,'Window-U'!$A$4:$A$40,'Window-U'!$H$4:$H$40)*Flat!Q$22))*Q103</f>
        <v>2031.5281084830017</v>
      </c>
      <c r="R107" s="177">
        <f>((LOOKUP(Flat!R$2,'Ceiling-U'!$A$4:$A$40,'Ceiling-U'!$T$4:$T$40)*Flat!R$15)+(LOOKUP(Flat!R$2,'Floor-U'!$A$4:$A$40,'Floor-U'!$H$4:$H$40)*Flat!R$16)+(LOOKUP(Flat!R$2,'Wall-U'!$A$4:$A$40,'Wall-U'!$H$4:$H$40)*Flat!R$13)+(LOOKUP(Flat!R$2,'Window-U'!$A$4:$A$40,'Window-U'!$H$4:$H$40)*Flat!R$22))*R103</f>
        <v>1220.7493285410055</v>
      </c>
      <c r="S107" s="177">
        <f>((LOOKUP(Flat!S$2,'Ceiling-U'!$A$4:$A$40,'Ceiling-U'!$T$4:$T$40)*Flat!S$15)+(LOOKUP(Flat!S$2,'Floor-U'!$A$4:$A$40,'Floor-U'!$H$4:$H$40)*Flat!S$16)+(LOOKUP(Flat!S$2,'Wall-U'!$A$4:$A$40,'Wall-U'!$H$4:$H$40)*Flat!S$13)+(LOOKUP(Flat!S$2,'Window-U'!$A$4:$A$40,'Window-U'!$H$4:$H$40)*Flat!S$22))*S103</f>
        <v>4810.6624669667453</v>
      </c>
      <c r="T107" s="177">
        <f>((LOOKUP(Flat!T$2,'Ceiling-U'!$A$4:$A$40,'Ceiling-U'!$T$4:$T$40)*Flat!T$15)+(LOOKUP(Flat!T$2,'Floor-U'!$A$4:$A$40,'Floor-U'!$H$4:$H$40)*Flat!T$16)+(LOOKUP(Flat!T$2,'Wall-U'!$A$4:$A$40,'Wall-U'!$H$4:$H$40)*Flat!T$13)+(LOOKUP(Flat!T$2,'Window-U'!$A$4:$A$40,'Window-U'!$H$4:$H$40)*Flat!T$22))*T103</f>
        <v>614.319885731211</v>
      </c>
      <c r="U107" s="177">
        <f>((LOOKUP(Flat!U$2,'Ceiling-U'!$A$4:$A$40,'Ceiling-U'!$T$4:$T$40)*Flat!U$15)+(LOOKUP(Flat!U$2,'Floor-U'!$A$4:$A$40,'Floor-U'!$H$4:$H$40)*Flat!U$16)+(LOOKUP(Flat!U$2,'Wall-U'!$A$4:$A$40,'Wall-U'!$H$4:$H$40)*Flat!U$13)+(LOOKUP(Flat!U$2,'Window-U'!$A$4:$A$40,'Window-U'!$H$4:$H$40)*Flat!U$22))*U103</f>
        <v>2298.1725073053253</v>
      </c>
      <c r="V107" s="177">
        <f>((LOOKUP(Flat!V$2,'Ceiling-U'!$A$4:$A$40,'Ceiling-U'!$T$4:$T$40)*Flat!V$15)+(LOOKUP(Flat!V$2,'Floor-U'!$A$4:$A$40,'Floor-U'!$H$4:$H$40)*Flat!V$16)+(LOOKUP(Flat!V$2,'Wall-U'!$A$4:$A$40,'Wall-U'!$H$4:$H$40)*Flat!V$13)+(LOOKUP(Flat!V$2,'Window-U'!$A$4:$A$40,'Window-U'!$H$4:$H$40)*Flat!V$22))*V103</f>
        <v>895.5790073153828</v>
      </c>
      <c r="W107" s="177">
        <f>((LOOKUP(Flat!W$2,'Ceiling-U'!$A$4:$A$40,'Ceiling-U'!$T$4:$T$40)*Flat!W$15)+(LOOKUP(Flat!W$2,'Floor-U'!$A$4:$A$40,'Floor-U'!$H$4:$H$40)*Flat!W$16)+(LOOKUP(Flat!W$2,'Wall-U'!$A$4:$A$40,'Wall-U'!$H$4:$H$40)*Flat!W$13)+(LOOKUP(Flat!W$2,'Window-U'!$A$4:$A$40,'Window-U'!$H$4:$H$40)*Flat!W$22))*W103</f>
        <v>1206.3448089190713</v>
      </c>
      <c r="X107" s="177">
        <f>((LOOKUP(Flat!X$2,'Ceiling-U'!$A$4:$A$40,'Ceiling-U'!$T$4:$T$40)*Flat!X$15)+(LOOKUP(Flat!X$2,'Floor-U'!$A$4:$A$40,'Floor-U'!$H$4:$H$40)*Flat!X$16)+(LOOKUP(Flat!X$2,'Wall-U'!$A$4:$A$40,'Wall-U'!$H$4:$H$40)*Flat!X$13)+(LOOKUP(Flat!X$2,'Window-U'!$A$4:$A$40,'Window-U'!$H$4:$H$40)*Flat!X$22))*X103</f>
        <v>812.53000779302374</v>
      </c>
      <c r="Y107" s="177">
        <f>((LOOKUP(Flat!Y$2,'Ceiling-U'!$A$4:$A$40,'Ceiling-U'!$T$4:$T$40)*Flat!Y$15)+(LOOKUP(Flat!Y$2,'Floor-U'!$A$4:$A$40,'Floor-U'!$H$4:$H$40)*Flat!Y$16)+(LOOKUP(Flat!Y$2,'Wall-U'!$A$4:$A$40,'Wall-U'!$H$4:$H$40)*Flat!Y$13)+(LOOKUP(Flat!Y$2,'Window-U'!$A$4:$A$40,'Window-U'!$H$4:$H$40)*Flat!Y$22))*Y103</f>
        <v>3640.4298851183762</v>
      </c>
      <c r="Z107" s="177">
        <f>((LOOKUP(Flat!Z$2,'Ceiling-U'!$A$4:$A$40,'Ceiling-U'!$T$4:$T$40)*Flat!Z$15)+(LOOKUP(Flat!Z$2,'Floor-U'!$A$4:$A$40,'Floor-U'!$H$4:$H$40)*Flat!Z$16)+(LOOKUP(Flat!Z$2,'Wall-U'!$A$4:$A$40,'Wall-U'!$H$4:$H$40)*Flat!Z$13)+(LOOKUP(Flat!Z$2,'Window-U'!$A$4:$A$40,'Window-U'!$H$4:$H$40)*Flat!Z$22))*Z103</f>
        <v>1446.1602935486449</v>
      </c>
      <c r="AA107" s="177">
        <f>((LOOKUP(Flat!AA$2,'Ceiling-U'!$A$4:$A$40,'Ceiling-U'!$T$4:$T$40)*Flat!AA$15)+(LOOKUP(Flat!AA$2,'Floor-U'!$A$4:$A$40,'Floor-U'!$H$4:$H$40)*Flat!AA$16)+(LOOKUP(Flat!AA$2,'Wall-U'!$A$4:$A$40,'Wall-U'!$H$4:$H$40)*Flat!AA$13)+(LOOKUP(Flat!AA$2,'Window-U'!$A$4:$A$40,'Window-U'!$H$4:$H$40)*Flat!AA$22))*AA103</f>
        <v>679.82159297899238</v>
      </c>
      <c r="AB107" s="177">
        <f>((LOOKUP(Flat!AB$2,'Ceiling-U'!$A$4:$A$40,'Ceiling-U'!$T$4:$T$40)*Flat!AB$15)+(LOOKUP(Flat!AB$2,'Floor-U'!$A$4:$A$40,'Floor-U'!$H$4:$H$40)*Flat!AB$16)+(LOOKUP(Flat!AB$2,'Wall-U'!$A$4:$A$40,'Wall-U'!$H$4:$H$40)*Flat!AB$13)+(LOOKUP(Flat!AB$2,'Window-U'!$A$4:$A$40,'Window-U'!$H$4:$H$40)*Flat!AB$22))*AB103</f>
        <v>1591.8921759113259</v>
      </c>
      <c r="AC107" s="177">
        <f>((LOOKUP(Flat!AC$2,'Ceiling-U'!$A$4:$A$40,'Ceiling-U'!$T$4:$T$40)*Flat!AC$15)+(LOOKUP(Flat!AC$2,'Floor-U'!$A$4:$A$40,'Floor-U'!$H$4:$H$40)*Flat!AC$16)+(LOOKUP(Flat!AC$2,'Wall-U'!$A$4:$A$40,'Wall-U'!$H$4:$H$40)*Flat!AC$13)+(LOOKUP(Flat!AC$2,'Window-U'!$A$4:$A$40,'Window-U'!$H$4:$H$40)*Flat!AC$22))*AC103</f>
        <v>3216.3482368383779</v>
      </c>
      <c r="AD107" s="177">
        <f>((LOOKUP(Flat!AD$2,'Ceiling-U'!$A$4:$A$40,'Ceiling-U'!$T$4:$T$40)*Flat!AD$15)+(LOOKUP(Flat!AD$2,'Floor-U'!$A$4:$A$40,'Floor-U'!$H$4:$H$40)*Flat!AD$16)+(LOOKUP(Flat!AD$2,'Wall-U'!$A$4:$A$40,'Wall-U'!$H$4:$H$40)*Flat!AD$13)+(LOOKUP(Flat!AD$2,'Window-U'!$A$4:$A$40,'Window-U'!$H$4:$H$40)*Flat!AD$22))*AD103</f>
        <v>4521.3796357321589</v>
      </c>
      <c r="AE107" s="177">
        <f>((LOOKUP(Flat!AE$2,'Ceiling-U'!$A$4:$A$40,'Ceiling-U'!$T$4:$T$40)*Flat!AE$15)+(LOOKUP(Flat!AE$2,'Floor-U'!$A$4:$A$40,'Floor-U'!$H$4:$H$40)*Flat!AE$16)+(LOOKUP(Flat!AE$2,'Wall-U'!$A$4:$A$40,'Wall-U'!$H$4:$H$40)*Flat!AE$13)+(LOOKUP(Flat!AE$2,'Window-U'!$A$4:$A$40,'Window-U'!$H$4:$H$40)*Flat!AE$22))*AE103</f>
        <v>679.82159297899238</v>
      </c>
      <c r="AF107" s="177">
        <f>((LOOKUP(Flat!AF$2,'Ceiling-U'!$A$4:$A$40,'Ceiling-U'!$T$4:$T$40)*Flat!AF$15)+(LOOKUP(Flat!AF$2,'Floor-U'!$A$4:$A$40,'Floor-U'!$H$4:$H$40)*Flat!AF$16)+(LOOKUP(Flat!AF$2,'Wall-U'!$A$4:$A$40,'Wall-U'!$H$4:$H$40)*Flat!AF$13)+(LOOKUP(Flat!AF$2,'Window-U'!$A$4:$A$40,'Window-U'!$H$4:$H$40)*Flat!AF$22))*AF103</f>
        <v>1246.7380062246284</v>
      </c>
      <c r="AG107" s="177">
        <f>((LOOKUP(Flat!AG$2,'Ceiling-U'!$A$4:$A$40,'Ceiling-U'!$T$4:$T$40)*Flat!AG$15)+(LOOKUP(Flat!AG$2,'Floor-U'!$A$4:$A$40,'Floor-U'!$H$4:$H$40)*Flat!AG$16)+(LOOKUP(Flat!AG$2,'Wall-U'!$A$4:$A$40,'Wall-U'!$H$4:$H$40)*Flat!AG$13)+(LOOKUP(Flat!AG$2,'Window-U'!$A$4:$A$40,'Window-U'!$H$4:$H$40)*Flat!AG$22))*AG103</f>
        <v>1826.4596495322508</v>
      </c>
      <c r="AH107" s="177">
        <f>((LOOKUP(Flat!AH$2,'Ceiling-U'!$A$4:$A$40,'Ceiling-U'!$T$4:$T$40)*Flat!AH$15)+(LOOKUP(Flat!AH$2,'Floor-U'!$A$4:$A$40,'Floor-U'!$H$4:$H$40)*Flat!AH$16)+(LOOKUP(Flat!AH$2,'Wall-U'!$A$4:$A$40,'Wall-U'!$H$4:$H$40)*Flat!AH$13)+(LOOKUP(Flat!AH$2,'Window-U'!$A$4:$A$40,'Window-U'!$H$4:$H$40)*Flat!AH$22))*AH103</f>
        <v>3571.8611331084348</v>
      </c>
      <c r="AI107" s="177">
        <f>((LOOKUP(Flat!AI$2,'Ceiling-U'!$A$4:$A$40,'Ceiling-U'!$T$4:$T$40)*Flat!AI$15)+(LOOKUP(Flat!AI$2,'Floor-U'!$A$4:$A$40,'Floor-U'!$H$4:$H$40)*Flat!AI$16)+(LOOKUP(Flat!AI$2,'Wall-U'!$A$4:$A$40,'Wall-U'!$H$4:$H$40)*Flat!AI$13)+(LOOKUP(Flat!AI$2,'Window-U'!$A$4:$A$40,'Window-U'!$H$4:$H$40)*Flat!AI$22))*AI103</f>
        <v>3655.1295528142214</v>
      </c>
      <c r="AJ107" s="177">
        <f>((LOOKUP(Flat!AJ$2,'Ceiling-U'!$A$4:$A$40,'Ceiling-U'!$T$4:$T$40)*Flat!AJ$15)+(LOOKUP(Flat!AJ$2,'Floor-U'!$A$4:$A$40,'Floor-U'!$H$4:$H$40)*Flat!AJ$16)+(LOOKUP(Flat!AJ$2,'Wall-U'!$A$4:$A$40,'Wall-U'!$H$4:$H$40)*Flat!AJ$13)+(LOOKUP(Flat!AJ$2,'Window-U'!$A$4:$A$40,'Window-U'!$H$4:$H$40)*Flat!AJ$22))*AJ103</f>
        <v>1933.4942937995115</v>
      </c>
      <c r="AK107" s="177">
        <f>((LOOKUP(Flat!AK$2,'Ceiling-U'!$A$4:$A$40,'Ceiling-U'!$T$4:$T$40)*Flat!AK$15)+(LOOKUP(Flat!AK$2,'Floor-U'!$A$4:$A$40,'Floor-U'!$H$4:$H$40)*Flat!AK$16)+(LOOKUP(Flat!AK$2,'Wall-U'!$A$4:$A$40,'Wall-U'!$H$4:$H$40)*Flat!AK$13)+(LOOKUP(Flat!AK$2,'Window-U'!$A$4:$A$40,'Window-U'!$H$4:$H$40)*Flat!AK$22))*AK103</f>
        <v>2069.6967359020537</v>
      </c>
      <c r="AL107" s="177">
        <f>((LOOKUP(Flat!AL$2,'Ceiling-U'!$A$4:$A$40,'Ceiling-U'!$T$4:$T$40)*Flat!AL$15)+(LOOKUP(Flat!AL$2,'Floor-U'!$A$4:$A$40,'Floor-U'!$H$4:$H$40)*Flat!AL$16)+(LOOKUP(Flat!AL$2,'Wall-U'!$A$4:$A$40,'Wall-U'!$H$4:$H$40)*Flat!AL$13)+(LOOKUP(Flat!AL$2,'Window-U'!$A$4:$A$40,'Window-U'!$H$4:$H$40)*Flat!AL$22))*AL103</f>
        <v>1839.3968879664678</v>
      </c>
      <c r="AM107" s="177">
        <f>((LOOKUP(Flat!AM$2,'Ceiling-U'!$A$4:$A$40,'Ceiling-U'!$T$4:$T$40)*Flat!AM$15)+(LOOKUP(Flat!AM$2,'Floor-U'!$A$4:$A$40,'Floor-U'!$H$4:$H$40)*Flat!AM$16)+(LOOKUP(Flat!AM$2,'Wall-U'!$A$4:$A$40,'Wall-U'!$H$4:$H$40)*Flat!AM$13)+(LOOKUP(Flat!AM$2,'Window-U'!$A$4:$A$40,'Window-U'!$H$4:$H$40)*Flat!AM$22))*AM103</f>
        <v>1933.4942937995115</v>
      </c>
      <c r="AN107" s="178">
        <f>((LOOKUP(Flat!AN$2,'Ceiling-U'!$A$4:$A$40,'Ceiling-U'!$T$4:$T$40)*Flat!AN$15)+(LOOKUP(Flat!AN$2,'Floor-U'!$A$4:$A$40,'Floor-U'!$H$4:$H$40)*Flat!AN$16)+(LOOKUP(Flat!AN$2,'Wall-U'!$A$4:$A$40,'Wall-U'!$H$4:$H$40)*Flat!AN$13)+(LOOKUP(Flat!AN$2,'Window-U'!$A$4:$A$40,'Window-U'!$H$4:$H$40)*Flat!AN$22))*AN103</f>
        <v>1933.4942937995115</v>
      </c>
    </row>
    <row r="108" spans="1:40" s="5" customFormat="1">
      <c r="A108" s="372"/>
      <c r="B108" s="142" t="s">
        <v>6</v>
      </c>
      <c r="C108" s="131" t="s">
        <v>195</v>
      </c>
      <c r="D108" s="176">
        <f>((LOOKUP(Flat!D$2,'Ceiling-U'!$A$4:$A$40,'Ceiling-U'!$U$4:$U$40)*Flat!D$15)+(LOOKUP(Flat!D$2,'Floor-U'!$A$4:$A$40,'Floor-U'!$I$4:$I$40)*Flat!D$16)+(LOOKUP(Flat!D$2,'Wall-U'!$A$4:$A$40,'Wall-U'!$I$4:$I$40)*Flat!D$13)+(LOOKUP(Flat!D$2,'Window-U'!$A$4:$A$40,'Window-U'!$I$4:$I$40)*Flat!D$22))*D103</f>
        <v>944.60239822424251</v>
      </c>
      <c r="E108" s="177">
        <f>((LOOKUP(Flat!E$2,'Ceiling-U'!$A$4:$A$40,'Ceiling-U'!$U$4:$U$40)*Flat!E$15)+(LOOKUP(Flat!E$2,'Floor-U'!$A$4:$A$40,'Floor-U'!$I$4:$I$40)*Flat!E$16)+(LOOKUP(Flat!E$2,'Wall-U'!$A$4:$A$40,'Wall-U'!$I$4:$I$40)*Flat!E$13)+(LOOKUP(Flat!E$2,'Window-U'!$A$4:$A$40,'Window-U'!$I$4:$I$40)*Flat!E$22))*E103</f>
        <v>2562.5340224295733</v>
      </c>
      <c r="F108" s="177">
        <f>((LOOKUP(Flat!F$2,'Ceiling-U'!$A$4:$A$40,'Ceiling-U'!$U$4:$U$40)*Flat!F$15)+(LOOKUP(Flat!F$2,'Floor-U'!$A$4:$A$40,'Floor-U'!$I$4:$I$40)*Flat!F$16)+(LOOKUP(Flat!F$2,'Wall-U'!$A$4:$A$40,'Wall-U'!$I$4:$I$40)*Flat!F$13)+(LOOKUP(Flat!F$2,'Window-U'!$A$4:$A$40,'Window-U'!$I$4:$I$40)*Flat!F$22))*F103</f>
        <v>2423.8236520919963</v>
      </c>
      <c r="G108" s="177">
        <f>((LOOKUP(Flat!G$2,'Ceiling-U'!$A$4:$A$40,'Ceiling-U'!$U$4:$U$40)*Flat!G$15)+(LOOKUP(Flat!G$2,'Floor-U'!$A$4:$A$40,'Floor-U'!$I$4:$I$40)*Flat!G$16)+(LOOKUP(Flat!G$2,'Wall-U'!$A$4:$A$40,'Wall-U'!$I$4:$I$40)*Flat!G$13)+(LOOKUP(Flat!G$2,'Window-U'!$A$4:$A$40,'Window-U'!$I$4:$I$40)*Flat!G$22))*G103</f>
        <v>944.60239822424251</v>
      </c>
      <c r="H108" s="177">
        <f>((LOOKUP(Flat!H$2,'Ceiling-U'!$A$4:$A$40,'Ceiling-U'!$U$4:$U$40)*Flat!H$15)+(LOOKUP(Flat!H$2,'Floor-U'!$A$4:$A$40,'Floor-U'!$I$4:$I$40)*Flat!H$16)+(LOOKUP(Flat!H$2,'Wall-U'!$A$4:$A$40,'Wall-U'!$I$4:$I$40)*Flat!H$13)+(LOOKUP(Flat!H$2,'Window-U'!$A$4:$A$40,'Window-U'!$I$4:$I$40)*Flat!H$22))*H103</f>
        <v>2502.6423572609142</v>
      </c>
      <c r="I108" s="177">
        <f>((LOOKUP(Flat!I$2,'Ceiling-U'!$A$4:$A$40,'Ceiling-U'!$U$4:$U$40)*Flat!I$15)+(LOOKUP(Flat!I$2,'Floor-U'!$A$4:$A$40,'Floor-U'!$I$4:$I$40)*Flat!I$16)+(LOOKUP(Flat!I$2,'Wall-U'!$A$4:$A$40,'Wall-U'!$I$4:$I$40)*Flat!I$13)+(LOOKUP(Flat!I$2,'Window-U'!$A$4:$A$40,'Window-U'!$I$4:$I$40)*Flat!I$22))*I103</f>
        <v>958.15653075177693</v>
      </c>
      <c r="J108" s="177">
        <f>((LOOKUP(Flat!J$2,'Ceiling-U'!$A$4:$A$40,'Ceiling-U'!$U$4:$U$40)*Flat!J$15)+(LOOKUP(Flat!J$2,'Floor-U'!$A$4:$A$40,'Floor-U'!$I$4:$I$40)*Flat!J$16)+(LOOKUP(Flat!J$2,'Wall-U'!$A$4:$A$40,'Wall-U'!$I$4:$I$40)*Flat!J$13)+(LOOKUP(Flat!J$2,'Window-U'!$A$4:$A$40,'Window-U'!$I$4:$I$40)*Flat!J$22))*J103</f>
        <v>616.50798862440149</v>
      </c>
      <c r="K108" s="177">
        <f>((LOOKUP(Flat!K$2,'Ceiling-U'!$A$4:$A$40,'Ceiling-U'!$U$4:$U$40)*Flat!K$15)+(LOOKUP(Flat!K$2,'Floor-U'!$A$4:$A$40,'Floor-U'!$I$4:$I$40)*Flat!K$16)+(LOOKUP(Flat!K$2,'Wall-U'!$A$4:$A$40,'Wall-U'!$I$4:$I$40)*Flat!K$13)+(LOOKUP(Flat!K$2,'Window-U'!$A$4:$A$40,'Window-U'!$I$4:$I$40)*Flat!K$22))*K103</f>
        <v>1152.8748262122808</v>
      </c>
      <c r="L108" s="177">
        <f>((LOOKUP(Flat!L$2,'Ceiling-U'!$A$4:$A$40,'Ceiling-U'!$U$4:$U$40)*Flat!L$15)+(LOOKUP(Flat!L$2,'Floor-U'!$A$4:$A$40,'Floor-U'!$I$4:$I$40)*Flat!L$16)+(LOOKUP(Flat!L$2,'Wall-U'!$A$4:$A$40,'Wall-U'!$I$4:$I$40)*Flat!L$13)+(LOOKUP(Flat!L$2,'Window-U'!$A$4:$A$40,'Window-U'!$I$4:$I$40)*Flat!L$22))*L103</f>
        <v>397.47181531404863</v>
      </c>
      <c r="M108" s="177">
        <f>((LOOKUP(Flat!M$2,'Ceiling-U'!$A$4:$A$40,'Ceiling-U'!$U$4:$U$40)*Flat!M$15)+(LOOKUP(Flat!M$2,'Floor-U'!$A$4:$A$40,'Floor-U'!$I$4:$I$40)*Flat!M$16)+(LOOKUP(Flat!M$2,'Wall-U'!$A$4:$A$40,'Wall-U'!$I$4:$I$40)*Flat!M$13)+(LOOKUP(Flat!M$2,'Window-U'!$A$4:$A$40,'Window-U'!$I$4:$I$40)*Flat!M$22))*M103</f>
        <v>1692.1023279933686</v>
      </c>
      <c r="N108" s="177">
        <f>((LOOKUP(Flat!N$2,'Ceiling-U'!$A$4:$A$40,'Ceiling-U'!$U$4:$U$40)*Flat!N$15)+(LOOKUP(Flat!N$2,'Floor-U'!$A$4:$A$40,'Floor-U'!$I$4:$I$40)*Flat!N$16)+(LOOKUP(Flat!N$2,'Wall-U'!$A$4:$A$40,'Wall-U'!$I$4:$I$40)*Flat!N$13)+(LOOKUP(Flat!N$2,'Window-U'!$A$4:$A$40,'Window-U'!$I$4:$I$40)*Flat!N$22))*N103</f>
        <v>1238.6636248277846</v>
      </c>
      <c r="O108" s="177">
        <f>((LOOKUP(Flat!O$2,'Ceiling-U'!$A$4:$A$40,'Ceiling-U'!$U$4:$U$40)*Flat!O$15)+(LOOKUP(Flat!O$2,'Floor-U'!$A$4:$A$40,'Floor-U'!$I$4:$I$40)*Flat!O$16)+(LOOKUP(Flat!O$2,'Wall-U'!$A$4:$A$40,'Wall-U'!$I$4:$I$40)*Flat!O$13)+(LOOKUP(Flat!O$2,'Window-U'!$A$4:$A$40,'Window-U'!$I$4:$I$40)*Flat!O$22))*O103</f>
        <v>816.96314334337626</v>
      </c>
      <c r="P108" s="177">
        <f>((LOOKUP(Flat!P$2,'Ceiling-U'!$A$4:$A$40,'Ceiling-U'!$U$4:$U$40)*Flat!P$15)+(LOOKUP(Flat!P$2,'Floor-U'!$A$4:$A$40,'Floor-U'!$I$4:$I$40)*Flat!P$16)+(LOOKUP(Flat!P$2,'Wall-U'!$A$4:$A$40,'Wall-U'!$I$4:$I$40)*Flat!P$13)+(LOOKUP(Flat!P$2,'Window-U'!$A$4:$A$40,'Window-U'!$I$4:$I$40)*Flat!P$22))*P103</f>
        <v>2259.6621688666801</v>
      </c>
      <c r="Q108" s="177">
        <f>((LOOKUP(Flat!Q$2,'Ceiling-U'!$A$4:$A$40,'Ceiling-U'!$U$4:$U$40)*Flat!Q$15)+(LOOKUP(Flat!Q$2,'Floor-U'!$A$4:$A$40,'Floor-U'!$I$4:$I$40)*Flat!Q$16)+(LOOKUP(Flat!Q$2,'Wall-U'!$A$4:$A$40,'Wall-U'!$I$4:$I$40)*Flat!Q$13)+(LOOKUP(Flat!Q$2,'Window-U'!$A$4:$A$40,'Window-U'!$I$4:$I$40)*Flat!Q$22))*Q103</f>
        <v>1403.2699646526967</v>
      </c>
      <c r="R108" s="177">
        <f>((LOOKUP(Flat!R$2,'Ceiling-U'!$A$4:$A$40,'Ceiling-U'!$U$4:$U$40)*Flat!R$15)+(LOOKUP(Flat!R$2,'Floor-U'!$A$4:$A$40,'Floor-U'!$I$4:$I$40)*Flat!R$16)+(LOOKUP(Flat!R$2,'Wall-U'!$A$4:$A$40,'Wall-U'!$I$4:$I$40)*Flat!R$13)+(LOOKUP(Flat!R$2,'Window-U'!$A$4:$A$40,'Window-U'!$I$4:$I$40)*Flat!R$22))*R103</f>
        <v>1220.7493285410055</v>
      </c>
      <c r="S108" s="177">
        <f>((LOOKUP(Flat!S$2,'Ceiling-U'!$A$4:$A$40,'Ceiling-U'!$U$4:$U$40)*Flat!S$15)+(LOOKUP(Flat!S$2,'Floor-U'!$A$4:$A$40,'Floor-U'!$I$4:$I$40)*Flat!S$16)+(LOOKUP(Flat!S$2,'Wall-U'!$A$4:$A$40,'Wall-U'!$I$4:$I$40)*Flat!S$13)+(LOOKUP(Flat!S$2,'Window-U'!$A$4:$A$40,'Window-U'!$I$4:$I$40)*Flat!S$22))*S103</f>
        <v>4107.0620630634685</v>
      </c>
      <c r="T108" s="177">
        <f>((LOOKUP(Flat!T$2,'Ceiling-U'!$A$4:$A$40,'Ceiling-U'!$U$4:$U$40)*Flat!T$15)+(LOOKUP(Flat!T$2,'Floor-U'!$A$4:$A$40,'Floor-U'!$I$4:$I$40)*Flat!T$16)+(LOOKUP(Flat!T$2,'Wall-U'!$A$4:$A$40,'Wall-U'!$I$4:$I$40)*Flat!T$13)+(LOOKUP(Flat!T$2,'Window-U'!$A$4:$A$40,'Window-U'!$I$4:$I$40)*Flat!T$22))*T103</f>
        <v>607.33361042975798</v>
      </c>
      <c r="U108" s="177">
        <f>((LOOKUP(Flat!U$2,'Ceiling-U'!$A$4:$A$40,'Ceiling-U'!$U$4:$U$40)*Flat!U$15)+(LOOKUP(Flat!U$2,'Floor-U'!$A$4:$A$40,'Floor-U'!$I$4:$I$40)*Flat!U$16)+(LOOKUP(Flat!U$2,'Wall-U'!$A$4:$A$40,'Wall-U'!$I$4:$I$40)*Flat!U$13)+(LOOKUP(Flat!U$2,'Window-U'!$A$4:$A$40,'Window-U'!$I$4:$I$40)*Flat!U$22))*U103</f>
        <v>2099.7879645428598</v>
      </c>
      <c r="V108" s="177">
        <f>((LOOKUP(Flat!V$2,'Ceiling-U'!$A$4:$A$40,'Ceiling-U'!$U$4:$U$40)*Flat!V$15)+(LOOKUP(Flat!V$2,'Floor-U'!$A$4:$A$40,'Floor-U'!$I$4:$I$40)*Flat!V$16)+(LOOKUP(Flat!V$2,'Wall-U'!$A$4:$A$40,'Wall-U'!$I$4:$I$40)*Flat!V$13)+(LOOKUP(Flat!V$2,'Window-U'!$A$4:$A$40,'Window-U'!$I$4:$I$40)*Flat!V$22))*V103</f>
        <v>895.5790073153828</v>
      </c>
      <c r="W108" s="177">
        <f>((LOOKUP(Flat!W$2,'Ceiling-U'!$A$4:$A$40,'Ceiling-U'!$U$4:$U$40)*Flat!W$15)+(LOOKUP(Flat!W$2,'Floor-U'!$A$4:$A$40,'Floor-U'!$I$4:$I$40)*Flat!W$16)+(LOOKUP(Flat!W$2,'Wall-U'!$A$4:$A$40,'Wall-U'!$I$4:$I$40)*Flat!W$13)+(LOOKUP(Flat!W$2,'Window-U'!$A$4:$A$40,'Window-U'!$I$4:$I$40)*Flat!W$22))*W103</f>
        <v>1010.009280252386</v>
      </c>
      <c r="X108" s="177">
        <f>((LOOKUP(Flat!X$2,'Ceiling-U'!$A$4:$A$40,'Ceiling-U'!$U$4:$U$40)*Flat!X$15)+(LOOKUP(Flat!X$2,'Floor-U'!$A$4:$A$40,'Floor-U'!$I$4:$I$40)*Flat!X$16)+(LOOKUP(Flat!X$2,'Wall-U'!$A$4:$A$40,'Wall-U'!$I$4:$I$40)*Flat!X$13)+(LOOKUP(Flat!X$2,'Window-U'!$A$4:$A$40,'Window-U'!$I$4:$I$40)*Flat!X$22))*X103</f>
        <v>810.91432151851382</v>
      </c>
      <c r="Y108" s="177">
        <f>((LOOKUP(Flat!Y$2,'Ceiling-U'!$A$4:$A$40,'Ceiling-U'!$U$4:$U$40)*Flat!Y$15)+(LOOKUP(Flat!Y$2,'Floor-U'!$A$4:$A$40,'Floor-U'!$I$4:$I$40)*Flat!Y$16)+(LOOKUP(Flat!Y$2,'Wall-U'!$A$4:$A$40,'Wall-U'!$I$4:$I$40)*Flat!Y$13)+(LOOKUP(Flat!Y$2,'Window-U'!$A$4:$A$40,'Window-U'!$I$4:$I$40)*Flat!Y$22))*Y103</f>
        <v>3638.9678058532181</v>
      </c>
      <c r="Z108" s="177">
        <f>((LOOKUP(Flat!Z$2,'Ceiling-U'!$A$4:$A$40,'Ceiling-U'!$U$4:$U$40)*Flat!Z$15)+(LOOKUP(Flat!Z$2,'Floor-U'!$A$4:$A$40,'Floor-U'!$I$4:$I$40)*Flat!Z$16)+(LOOKUP(Flat!Z$2,'Wall-U'!$A$4:$A$40,'Wall-U'!$I$4:$I$40)*Flat!Z$13)+(LOOKUP(Flat!Z$2,'Window-U'!$A$4:$A$40,'Window-U'!$I$4:$I$40)*Flat!Z$22))*Z103</f>
        <v>1275.2134390466404</v>
      </c>
      <c r="AA108" s="177">
        <f>((LOOKUP(Flat!AA$2,'Ceiling-U'!$A$4:$A$40,'Ceiling-U'!$U$4:$U$40)*Flat!AA$15)+(LOOKUP(Flat!AA$2,'Floor-U'!$A$4:$A$40,'Floor-U'!$I$4:$I$40)*Flat!AA$16)+(LOOKUP(Flat!AA$2,'Wall-U'!$A$4:$A$40,'Wall-U'!$I$4:$I$40)*Flat!AA$13)+(LOOKUP(Flat!AA$2,'Window-U'!$A$4:$A$40,'Window-U'!$I$4:$I$40)*Flat!AA$22))*AA103</f>
        <v>600.04463133358922</v>
      </c>
      <c r="AB108" s="177">
        <f>((LOOKUP(Flat!AB$2,'Ceiling-U'!$A$4:$A$40,'Ceiling-U'!$U$4:$U$40)*Flat!AB$15)+(LOOKUP(Flat!AB$2,'Floor-U'!$A$4:$A$40,'Floor-U'!$I$4:$I$40)*Flat!AB$16)+(LOOKUP(Flat!AB$2,'Wall-U'!$A$4:$A$40,'Wall-U'!$I$4:$I$40)*Flat!AB$13)+(LOOKUP(Flat!AB$2,'Window-U'!$A$4:$A$40,'Window-U'!$I$4:$I$40)*Flat!AB$22))*AB103</f>
        <v>1591.8921759113259</v>
      </c>
      <c r="AC108" s="177">
        <f>((LOOKUP(Flat!AC$2,'Ceiling-U'!$A$4:$A$40,'Ceiling-U'!$U$4:$U$40)*Flat!AC$15)+(LOOKUP(Flat!AC$2,'Floor-U'!$A$4:$A$40,'Floor-U'!$I$4:$I$40)*Flat!AC$16)+(LOOKUP(Flat!AC$2,'Wall-U'!$A$4:$A$40,'Wall-U'!$I$4:$I$40)*Flat!AC$13)+(LOOKUP(Flat!AC$2,'Window-U'!$A$4:$A$40,'Window-U'!$I$4:$I$40)*Flat!AC$22))*AC103</f>
        <v>2902.1794096100389</v>
      </c>
      <c r="AD108" s="177">
        <f>((LOOKUP(Flat!AD$2,'Ceiling-U'!$A$4:$A$40,'Ceiling-U'!$U$4:$U$40)*Flat!AD$15)+(LOOKUP(Flat!AD$2,'Floor-U'!$A$4:$A$40,'Floor-U'!$I$4:$I$40)*Flat!AD$16)+(LOOKUP(Flat!AD$2,'Wall-U'!$A$4:$A$40,'Wall-U'!$I$4:$I$40)*Flat!AD$13)+(LOOKUP(Flat!AD$2,'Window-U'!$A$4:$A$40,'Window-U'!$I$4:$I$40)*Flat!AD$22))*AD103</f>
        <v>4521.3796357321589</v>
      </c>
      <c r="AE108" s="177">
        <f>((LOOKUP(Flat!AE$2,'Ceiling-U'!$A$4:$A$40,'Ceiling-U'!$U$4:$U$40)*Flat!AE$15)+(LOOKUP(Flat!AE$2,'Floor-U'!$A$4:$A$40,'Floor-U'!$I$4:$I$40)*Flat!AE$16)+(LOOKUP(Flat!AE$2,'Wall-U'!$A$4:$A$40,'Wall-U'!$I$4:$I$40)*Flat!AE$13)+(LOOKUP(Flat!AE$2,'Window-U'!$A$4:$A$40,'Window-U'!$I$4:$I$40)*Flat!AE$22))*AE103</f>
        <v>600.04463133358922</v>
      </c>
      <c r="AF108" s="177">
        <f>((LOOKUP(Flat!AF$2,'Ceiling-U'!$A$4:$A$40,'Ceiling-U'!$U$4:$U$40)*Flat!AF$15)+(LOOKUP(Flat!AF$2,'Floor-U'!$A$4:$A$40,'Floor-U'!$I$4:$I$40)*Flat!AF$16)+(LOOKUP(Flat!AF$2,'Wall-U'!$A$4:$A$40,'Wall-U'!$I$4:$I$40)*Flat!AF$13)+(LOOKUP(Flat!AF$2,'Window-U'!$A$4:$A$40,'Window-U'!$I$4:$I$40)*Flat!AF$22))*AF103</f>
        <v>908.05977056347763</v>
      </c>
      <c r="AG108" s="177">
        <f>((LOOKUP(Flat!AG$2,'Ceiling-U'!$A$4:$A$40,'Ceiling-U'!$U$4:$U$40)*Flat!AG$15)+(LOOKUP(Flat!AG$2,'Floor-U'!$A$4:$A$40,'Floor-U'!$I$4:$I$40)*Flat!AG$16)+(LOOKUP(Flat!AG$2,'Wall-U'!$A$4:$A$40,'Wall-U'!$I$4:$I$40)*Flat!AG$13)+(LOOKUP(Flat!AG$2,'Window-U'!$A$4:$A$40,'Window-U'!$I$4:$I$40)*Flat!AG$22))*AG103</f>
        <v>1773.5196508822507</v>
      </c>
      <c r="AH108" s="177">
        <f>((LOOKUP(Flat!AH$2,'Ceiling-U'!$A$4:$A$40,'Ceiling-U'!$U$4:$U$40)*Flat!AH$15)+(LOOKUP(Flat!AH$2,'Floor-U'!$A$4:$A$40,'Floor-U'!$I$4:$I$40)*Flat!AH$16)+(LOOKUP(Flat!AH$2,'Wall-U'!$A$4:$A$40,'Wall-U'!$I$4:$I$40)*Flat!AH$13)+(LOOKUP(Flat!AH$2,'Window-U'!$A$4:$A$40,'Window-U'!$I$4:$I$40)*Flat!AH$22))*AH103</f>
        <v>2411.5714323604684</v>
      </c>
      <c r="AI108" s="177">
        <f>((LOOKUP(Flat!AI$2,'Ceiling-U'!$A$4:$A$40,'Ceiling-U'!$U$4:$U$40)*Flat!AI$15)+(LOOKUP(Flat!AI$2,'Floor-U'!$A$4:$A$40,'Floor-U'!$I$4:$I$40)*Flat!AI$16)+(LOOKUP(Flat!AI$2,'Wall-U'!$A$4:$A$40,'Wall-U'!$I$4:$I$40)*Flat!AI$13)+(LOOKUP(Flat!AI$2,'Window-U'!$A$4:$A$40,'Window-U'!$I$4:$I$40)*Flat!AI$22))*AI103</f>
        <v>3655.1295528142214</v>
      </c>
      <c r="AJ108" s="177">
        <f>((LOOKUP(Flat!AJ$2,'Ceiling-U'!$A$4:$A$40,'Ceiling-U'!$U$4:$U$40)*Flat!AJ$15)+(LOOKUP(Flat!AJ$2,'Floor-U'!$A$4:$A$40,'Floor-U'!$I$4:$I$40)*Flat!AJ$16)+(LOOKUP(Flat!AJ$2,'Wall-U'!$A$4:$A$40,'Wall-U'!$I$4:$I$40)*Flat!AJ$13)+(LOOKUP(Flat!AJ$2,'Window-U'!$A$4:$A$40,'Window-U'!$I$4:$I$40)*Flat!AJ$22))*AJ103</f>
        <v>1837.2484874092625</v>
      </c>
      <c r="AK108" s="177">
        <f>((LOOKUP(Flat!AK$2,'Ceiling-U'!$A$4:$A$40,'Ceiling-U'!$U$4:$U$40)*Flat!AK$15)+(LOOKUP(Flat!AK$2,'Floor-U'!$A$4:$A$40,'Floor-U'!$I$4:$I$40)*Flat!AK$16)+(LOOKUP(Flat!AK$2,'Wall-U'!$A$4:$A$40,'Wall-U'!$I$4:$I$40)*Flat!AK$13)+(LOOKUP(Flat!AK$2,'Window-U'!$A$4:$A$40,'Window-U'!$I$4:$I$40)*Flat!AK$22))*AK103</f>
        <v>1964.237442692825</v>
      </c>
      <c r="AL108" s="177">
        <f>((LOOKUP(Flat!AL$2,'Ceiling-U'!$A$4:$A$40,'Ceiling-U'!$U$4:$U$40)*Flat!AL$15)+(LOOKUP(Flat!AL$2,'Floor-U'!$A$4:$A$40,'Floor-U'!$I$4:$I$40)*Flat!AL$16)+(LOOKUP(Flat!AL$2,'Wall-U'!$A$4:$A$40,'Wall-U'!$I$4:$I$40)*Flat!AL$13)+(LOOKUP(Flat!AL$2,'Window-U'!$A$4:$A$40,'Window-U'!$I$4:$I$40)*Flat!AL$22))*AL103</f>
        <v>1510.4544716343357</v>
      </c>
      <c r="AM108" s="177">
        <f>((LOOKUP(Flat!AM$2,'Ceiling-U'!$A$4:$A$40,'Ceiling-U'!$U$4:$U$40)*Flat!AM$15)+(LOOKUP(Flat!AM$2,'Floor-U'!$A$4:$A$40,'Floor-U'!$I$4:$I$40)*Flat!AM$16)+(LOOKUP(Flat!AM$2,'Wall-U'!$A$4:$A$40,'Wall-U'!$I$4:$I$40)*Flat!AM$13)+(LOOKUP(Flat!AM$2,'Window-U'!$A$4:$A$40,'Window-U'!$I$4:$I$40)*Flat!AM$22))*AM103</f>
        <v>1837.2484874092625</v>
      </c>
      <c r="AN108" s="178">
        <f>((LOOKUP(Flat!AN$2,'Ceiling-U'!$A$4:$A$40,'Ceiling-U'!$U$4:$U$40)*Flat!AN$15)+(LOOKUP(Flat!AN$2,'Floor-U'!$A$4:$A$40,'Floor-U'!$I$4:$I$40)*Flat!AN$16)+(LOOKUP(Flat!AN$2,'Wall-U'!$A$4:$A$40,'Wall-U'!$I$4:$I$40)*Flat!AN$13)+(LOOKUP(Flat!AN$2,'Window-U'!$A$4:$A$40,'Window-U'!$I$4:$I$40)*Flat!AN$22))*AN103</f>
        <v>1837.2484874092625</v>
      </c>
    </row>
    <row r="109" spans="1:40" s="5" customFormat="1">
      <c r="A109" s="373"/>
      <c r="B109" s="374" t="s">
        <v>7</v>
      </c>
      <c r="C109" s="131" t="s">
        <v>195</v>
      </c>
      <c r="D109" s="176">
        <f>((LOOKUP(Flat!D$2,'Ceiling-U'!$A$4:$A$40,'Ceiling-U'!$V$4:$V$40)*Flat!D$15)+(LOOKUP(Flat!D$2,'Floor-U'!$A$4:$A$40,'Floor-U'!$J$4:$J$40)*Flat!D$16)+(LOOKUP(Flat!D$2,'Wall-U'!$A$4:$A$40,'Wall-U'!$J$4:$J$40)*Flat!D$13)+(LOOKUP(Flat!D$2,'Window-U'!$A$4:$A$40,'Window-U'!$J$4:$J$40)*Flat!D$22))*D103</f>
        <v>845.39556517877691</v>
      </c>
      <c r="E109" s="174">
        <f>((LOOKUP(Flat!E$2,'Ceiling-U'!$A$4:$A$40,'Ceiling-U'!$V$4:$V$40)*Flat!E$15)+(LOOKUP(Flat!E$2,'Floor-U'!$A$4:$A$40,'Floor-U'!$J$4:$J$40)*Flat!E$16)+(LOOKUP(Flat!E$2,'Wall-U'!$A$4:$A$40,'Wall-U'!$J$4:$J$40)*Flat!E$13)+(LOOKUP(Flat!E$2,'Window-U'!$A$4:$A$40,'Window-U'!$J$4:$J$40)*Flat!E$22))*E103</f>
        <v>1435.6632800521527</v>
      </c>
      <c r="F109" s="174">
        <f>((LOOKUP(Flat!F$2,'Ceiling-U'!$A$4:$A$40,'Ceiling-U'!$V$4:$V$40)*Flat!F$15)+(LOOKUP(Flat!F$2,'Floor-U'!$A$4:$A$40,'Floor-U'!$J$4:$J$40)*Flat!F$16)+(LOOKUP(Flat!F$2,'Wall-U'!$A$4:$A$40,'Wall-U'!$J$4:$J$40)*Flat!F$13)+(LOOKUP(Flat!F$2,'Window-U'!$A$4:$A$40,'Window-U'!$J$4:$J$40)*Flat!F$22))*F103</f>
        <v>1534.7749054949331</v>
      </c>
      <c r="G109" s="174">
        <f>((LOOKUP(Flat!G$2,'Ceiling-U'!$A$4:$A$40,'Ceiling-U'!$V$4:$V$40)*Flat!G$15)+(LOOKUP(Flat!G$2,'Floor-U'!$A$4:$A$40,'Floor-U'!$J$4:$J$40)*Flat!G$16)+(LOOKUP(Flat!G$2,'Wall-U'!$A$4:$A$40,'Wall-U'!$J$4:$J$40)*Flat!G$13)+(LOOKUP(Flat!G$2,'Window-U'!$A$4:$A$40,'Window-U'!$J$4:$J$40)*Flat!G$22))*G103</f>
        <v>845.39556517877691</v>
      </c>
      <c r="H109" s="174">
        <f>((LOOKUP(Flat!H$2,'Ceiling-U'!$A$4:$A$40,'Ceiling-U'!$V$4:$V$40)*Flat!H$15)+(LOOKUP(Flat!H$2,'Floor-U'!$A$4:$A$40,'Floor-U'!$J$4:$J$40)*Flat!H$16)+(LOOKUP(Flat!H$2,'Wall-U'!$A$4:$A$40,'Wall-U'!$J$4:$J$40)*Flat!H$13)+(LOOKUP(Flat!H$2,'Window-U'!$A$4:$A$40,'Window-U'!$J$4:$J$40)*Flat!H$22))*H103</f>
        <v>2218.1540582609141</v>
      </c>
      <c r="I109" s="174">
        <f>((LOOKUP(Flat!I$2,'Ceiling-U'!$A$4:$A$40,'Ceiling-U'!$V$4:$V$40)*Flat!I$15)+(LOOKUP(Flat!I$2,'Floor-U'!$A$4:$A$40,'Floor-U'!$J$4:$J$40)*Flat!I$16)+(LOOKUP(Flat!I$2,'Wall-U'!$A$4:$A$40,'Wall-U'!$J$4:$J$40)*Flat!I$13)+(LOOKUP(Flat!I$2,'Window-U'!$A$4:$A$40,'Window-U'!$J$4:$J$40)*Flat!I$22))*I103</f>
        <v>744.81727121016718</v>
      </c>
      <c r="J109" s="174">
        <f>((LOOKUP(Flat!J$2,'Ceiling-U'!$A$4:$A$40,'Ceiling-U'!$V$4:$V$40)*Flat!J$15)+(LOOKUP(Flat!J$2,'Floor-U'!$A$4:$A$40,'Floor-U'!$J$4:$J$40)*Flat!J$16)+(LOOKUP(Flat!J$2,'Wall-U'!$A$4:$A$40,'Wall-U'!$J$4:$J$40)*Flat!J$13)+(LOOKUP(Flat!J$2,'Window-U'!$A$4:$A$40,'Window-U'!$J$4:$J$40)*Flat!J$22))*J103</f>
        <v>691.36378335166523</v>
      </c>
      <c r="K109" s="174">
        <f>((LOOKUP(Flat!K$2,'Ceiling-U'!$A$4:$A$40,'Ceiling-U'!$V$4:$V$40)*Flat!K$15)+(LOOKUP(Flat!K$2,'Floor-U'!$A$4:$A$40,'Floor-U'!$J$4:$J$40)*Flat!K$16)+(LOOKUP(Flat!K$2,'Wall-U'!$A$4:$A$40,'Wall-U'!$J$4:$J$40)*Flat!K$13)+(LOOKUP(Flat!K$2,'Window-U'!$A$4:$A$40,'Window-U'!$J$4:$J$40)*Flat!K$22))*K103</f>
        <v>810.59305953894</v>
      </c>
      <c r="L109" s="174">
        <f>((LOOKUP(Flat!L$2,'Ceiling-U'!$A$4:$A$40,'Ceiling-U'!$V$4:$V$40)*Flat!L$15)+(LOOKUP(Flat!L$2,'Floor-U'!$A$4:$A$40,'Floor-U'!$J$4:$J$40)*Flat!L$16)+(LOOKUP(Flat!L$2,'Wall-U'!$A$4:$A$40,'Wall-U'!$J$4:$J$40)*Flat!L$13)+(LOOKUP(Flat!L$2,'Window-U'!$A$4:$A$40,'Window-U'!$J$4:$J$40)*Flat!L$22))*L103</f>
        <v>397.47181531404863</v>
      </c>
      <c r="M109" s="174">
        <f>((LOOKUP(Flat!M$2,'Ceiling-U'!$A$4:$A$40,'Ceiling-U'!$V$4:$V$40)*Flat!M$15)+(LOOKUP(Flat!M$2,'Floor-U'!$A$4:$A$40,'Floor-U'!$J$4:$J$40)*Flat!M$16)+(LOOKUP(Flat!M$2,'Wall-U'!$A$4:$A$40,'Wall-U'!$J$4:$J$40)*Flat!M$13)+(LOOKUP(Flat!M$2,'Window-U'!$A$4:$A$40,'Window-U'!$J$4:$J$40)*Flat!M$22))*M103</f>
        <v>1017.2891684641615</v>
      </c>
      <c r="N109" s="174">
        <f>((LOOKUP(Flat!N$2,'Ceiling-U'!$A$4:$A$40,'Ceiling-U'!$V$4:$V$40)*Flat!N$15)+(LOOKUP(Flat!N$2,'Floor-U'!$A$4:$A$40,'Floor-U'!$J$4:$J$40)*Flat!N$16)+(LOOKUP(Flat!N$2,'Wall-U'!$A$4:$A$40,'Wall-U'!$J$4:$J$40)*Flat!N$13)+(LOOKUP(Flat!N$2,'Window-U'!$A$4:$A$40,'Window-U'!$J$4:$J$40)*Flat!N$22))*N103</f>
        <v>1092.6707439506054</v>
      </c>
      <c r="O109" s="174">
        <f>((LOOKUP(Flat!O$2,'Ceiling-U'!$A$4:$A$40,'Ceiling-U'!$V$4:$V$40)*Flat!O$15)+(LOOKUP(Flat!O$2,'Floor-U'!$A$4:$A$40,'Floor-U'!$J$4:$J$40)*Flat!O$16)+(LOOKUP(Flat!O$2,'Wall-U'!$A$4:$A$40,'Wall-U'!$J$4:$J$40)*Flat!O$13)+(LOOKUP(Flat!O$2,'Window-U'!$A$4:$A$40,'Window-U'!$J$4:$J$40)*Flat!O$22))*O103</f>
        <v>785.68532808904411</v>
      </c>
      <c r="P109" s="174">
        <f>((LOOKUP(Flat!P$2,'Ceiling-U'!$A$4:$A$40,'Ceiling-U'!$V$4:$V$40)*Flat!P$15)+(LOOKUP(Flat!P$2,'Floor-U'!$A$4:$A$40,'Floor-U'!$J$4:$J$40)*Flat!P$16)+(LOOKUP(Flat!P$2,'Wall-U'!$A$4:$A$40,'Wall-U'!$J$4:$J$40)*Flat!P$13)+(LOOKUP(Flat!P$2,'Window-U'!$A$4:$A$40,'Window-U'!$J$4:$J$40)*Flat!P$22))*P103</f>
        <v>793.34385565628065</v>
      </c>
      <c r="Q109" s="174">
        <f>((LOOKUP(Flat!Q$2,'Ceiling-U'!$A$4:$A$40,'Ceiling-U'!$V$4:$V$40)*Flat!Q$15)+(LOOKUP(Flat!Q$2,'Floor-U'!$A$4:$A$40,'Floor-U'!$J$4:$J$40)*Flat!Q$16)+(LOOKUP(Flat!Q$2,'Wall-U'!$A$4:$A$40,'Wall-U'!$J$4:$J$40)*Flat!Q$13)+(LOOKUP(Flat!Q$2,'Window-U'!$A$4:$A$40,'Window-U'!$J$4:$J$40)*Flat!Q$22))*Q103</f>
        <v>777.98138309623846</v>
      </c>
      <c r="R109" s="174">
        <f>((LOOKUP(Flat!R$2,'Ceiling-U'!$A$4:$A$40,'Ceiling-U'!$V$4:$V$40)*Flat!R$15)+(LOOKUP(Flat!R$2,'Floor-U'!$A$4:$A$40,'Floor-U'!$J$4:$J$40)*Flat!R$16)+(LOOKUP(Flat!R$2,'Wall-U'!$A$4:$A$40,'Wall-U'!$J$4:$J$40)*Flat!R$13)+(LOOKUP(Flat!R$2,'Window-U'!$A$4:$A$40,'Window-U'!$J$4:$J$40)*Flat!R$22))*R103</f>
        <v>709.82397254623856</v>
      </c>
      <c r="S109" s="174">
        <f>((LOOKUP(Flat!S$2,'Ceiling-U'!$A$4:$A$40,'Ceiling-U'!$V$4:$V$40)*Flat!S$15)+(LOOKUP(Flat!S$2,'Floor-U'!$A$4:$A$40,'Floor-U'!$J$4:$J$40)*Flat!S$16)+(LOOKUP(Flat!S$2,'Wall-U'!$A$4:$A$40,'Wall-U'!$J$4:$J$40)*Flat!S$13)+(LOOKUP(Flat!S$2,'Window-U'!$A$4:$A$40,'Window-U'!$J$4:$J$40)*Flat!S$22))*S103</f>
        <v>2548.2142040387785</v>
      </c>
      <c r="T109" s="174">
        <f>((LOOKUP(Flat!T$2,'Ceiling-U'!$A$4:$A$40,'Ceiling-U'!$V$4:$V$40)*Flat!T$15)+(LOOKUP(Flat!T$2,'Floor-U'!$A$4:$A$40,'Floor-U'!$J$4:$J$40)*Flat!T$16)+(LOOKUP(Flat!T$2,'Wall-U'!$A$4:$A$40,'Wall-U'!$J$4:$J$40)*Flat!T$13)+(LOOKUP(Flat!T$2,'Window-U'!$A$4:$A$40,'Window-U'!$J$4:$J$40)*Flat!T$22))*T103</f>
        <v>540.94587518612593</v>
      </c>
      <c r="U109" s="174">
        <f>((LOOKUP(Flat!U$2,'Ceiling-U'!$A$4:$A$40,'Ceiling-U'!$V$4:$V$40)*Flat!U$15)+(LOOKUP(Flat!U$2,'Floor-U'!$A$4:$A$40,'Floor-U'!$J$4:$J$40)*Flat!U$16)+(LOOKUP(Flat!U$2,'Wall-U'!$A$4:$A$40,'Wall-U'!$J$4:$J$40)*Flat!U$13)+(LOOKUP(Flat!U$2,'Window-U'!$A$4:$A$40,'Window-U'!$J$4:$J$40)*Flat!U$22))*U103</f>
        <v>1955.78796454286</v>
      </c>
      <c r="V109" s="174">
        <f>((LOOKUP(Flat!V$2,'Ceiling-U'!$A$4:$A$40,'Ceiling-U'!$V$4:$V$40)*Flat!V$15)+(LOOKUP(Flat!V$2,'Floor-U'!$A$4:$A$40,'Floor-U'!$J$4:$J$40)*Flat!V$16)+(LOOKUP(Flat!V$2,'Wall-U'!$A$4:$A$40,'Wall-U'!$J$4:$J$40)*Flat!V$13)+(LOOKUP(Flat!V$2,'Window-U'!$A$4:$A$40,'Window-U'!$J$4:$J$40)*Flat!V$22))*V103</f>
        <v>484.6267368874129</v>
      </c>
      <c r="W109" s="174">
        <f>((LOOKUP(Flat!W$2,'Ceiling-U'!$A$4:$A$40,'Ceiling-U'!$V$4:$V$40)*Flat!W$15)+(LOOKUP(Flat!W$2,'Floor-U'!$A$4:$A$40,'Floor-U'!$J$4:$J$40)*Flat!W$16)+(LOOKUP(Flat!W$2,'Wall-U'!$A$4:$A$40,'Wall-U'!$J$4:$J$40)*Flat!W$13)+(LOOKUP(Flat!W$2,'Window-U'!$A$4:$A$40,'Window-U'!$J$4:$J$40)*Flat!W$22))*W103</f>
        <v>771.45997770474241</v>
      </c>
      <c r="X109" s="174">
        <f>((LOOKUP(Flat!X$2,'Ceiling-U'!$A$4:$A$40,'Ceiling-U'!$V$4:$V$40)*Flat!X$15)+(LOOKUP(Flat!X$2,'Floor-U'!$A$4:$A$40,'Floor-U'!$J$4:$J$40)*Flat!X$16)+(LOOKUP(Flat!X$2,'Wall-U'!$A$4:$A$40,'Wall-U'!$J$4:$J$40)*Flat!X$13)+(LOOKUP(Flat!X$2,'Window-U'!$A$4:$A$40,'Window-U'!$J$4:$J$40)*Flat!X$22))*X103</f>
        <v>468.9621131503161</v>
      </c>
      <c r="Y109" s="174">
        <f>((LOOKUP(Flat!Y$2,'Ceiling-U'!$A$4:$A$40,'Ceiling-U'!$V$4:$V$40)*Flat!Y$15)+(LOOKUP(Flat!Y$2,'Floor-U'!$A$4:$A$40,'Floor-U'!$J$4:$J$40)*Flat!Y$16)+(LOOKUP(Flat!Y$2,'Wall-U'!$A$4:$A$40,'Wall-U'!$J$4:$J$40)*Flat!Y$13)+(LOOKUP(Flat!Y$2,'Window-U'!$A$4:$A$40,'Window-U'!$J$4:$J$40)*Flat!Y$22))*Y103</f>
        <v>3392.7343802797568</v>
      </c>
      <c r="Z109" s="174">
        <f>((LOOKUP(Flat!Z$2,'Ceiling-U'!$A$4:$A$40,'Ceiling-U'!$V$4:$V$40)*Flat!Z$15)+(LOOKUP(Flat!Z$2,'Floor-U'!$A$4:$A$40,'Floor-U'!$J$4:$J$40)*Flat!Z$16)+(LOOKUP(Flat!Z$2,'Wall-U'!$A$4:$A$40,'Wall-U'!$J$4:$J$40)*Flat!Z$13)+(LOOKUP(Flat!Z$2,'Window-U'!$A$4:$A$40,'Window-U'!$J$4:$J$40)*Flat!Z$22))*Z103</f>
        <v>899.12120128075026</v>
      </c>
      <c r="AA109" s="174">
        <f>((LOOKUP(Flat!AA$2,'Ceiling-U'!$A$4:$A$40,'Ceiling-U'!$V$4:$V$40)*Flat!AA$15)+(LOOKUP(Flat!AA$2,'Floor-U'!$A$4:$A$40,'Floor-U'!$J$4:$J$40)*Flat!AA$16)+(LOOKUP(Flat!AA$2,'Wall-U'!$A$4:$A$40,'Wall-U'!$J$4:$J$40)*Flat!AA$13)+(LOOKUP(Flat!AA$2,'Window-U'!$A$4:$A$40,'Window-U'!$J$4:$J$40)*Flat!AA$22))*AA103</f>
        <v>503.64930333358927</v>
      </c>
      <c r="AB109" s="174">
        <f>((LOOKUP(Flat!AB$2,'Ceiling-U'!$A$4:$A$40,'Ceiling-U'!$V$4:$V$40)*Flat!AB$15)+(LOOKUP(Flat!AB$2,'Floor-U'!$A$4:$A$40,'Floor-U'!$J$4:$J$40)*Flat!AB$16)+(LOOKUP(Flat!AB$2,'Wall-U'!$A$4:$A$40,'Wall-U'!$J$4:$J$40)*Flat!AB$13)+(LOOKUP(Flat!AB$2,'Window-U'!$A$4:$A$40,'Window-U'!$J$4:$J$40)*Flat!AB$22))*AB103</f>
        <v>1179.3026400355188</v>
      </c>
      <c r="AC109" s="174">
        <f>((LOOKUP(Flat!AC$2,'Ceiling-U'!$A$4:$A$40,'Ceiling-U'!$V$4:$V$40)*Flat!AC$15)+(LOOKUP(Flat!AC$2,'Floor-U'!$A$4:$A$40,'Floor-U'!$J$4:$J$40)*Flat!AC$16)+(LOOKUP(Flat!AC$2,'Wall-U'!$A$4:$A$40,'Wall-U'!$J$4:$J$40)*Flat!AC$13)+(LOOKUP(Flat!AC$2,'Window-U'!$A$4:$A$40,'Window-U'!$J$4:$J$40)*Flat!AC$22))*AC103</f>
        <v>1946.2853236261515</v>
      </c>
      <c r="AD109" s="174">
        <f>((LOOKUP(Flat!AD$2,'Ceiling-U'!$A$4:$A$40,'Ceiling-U'!$V$4:$V$40)*Flat!AD$15)+(LOOKUP(Flat!AD$2,'Floor-U'!$A$4:$A$40,'Floor-U'!$J$4:$J$40)*Flat!AD$16)+(LOOKUP(Flat!AD$2,'Wall-U'!$A$4:$A$40,'Wall-U'!$J$4:$J$40)*Flat!AD$13)+(LOOKUP(Flat!AD$2,'Window-U'!$A$4:$A$40,'Window-U'!$J$4:$J$40)*Flat!AD$22))*AD103</f>
        <v>3236.890824843143</v>
      </c>
      <c r="AE109" s="174">
        <f>((LOOKUP(Flat!AE$2,'Ceiling-U'!$A$4:$A$40,'Ceiling-U'!$V$4:$V$40)*Flat!AE$15)+(LOOKUP(Flat!AE$2,'Floor-U'!$A$4:$A$40,'Floor-U'!$J$4:$J$40)*Flat!AE$16)+(LOOKUP(Flat!AE$2,'Wall-U'!$A$4:$A$40,'Wall-U'!$J$4:$J$40)*Flat!AE$13)+(LOOKUP(Flat!AE$2,'Window-U'!$A$4:$A$40,'Window-U'!$J$4:$J$40)*Flat!AE$22))*AE103</f>
        <v>503.64930333358927</v>
      </c>
      <c r="AF109" s="174">
        <f>((LOOKUP(Flat!AF$2,'Ceiling-U'!$A$4:$A$40,'Ceiling-U'!$V$4:$V$40)*Flat!AF$15)+(LOOKUP(Flat!AF$2,'Floor-U'!$A$4:$A$40,'Floor-U'!$J$4:$J$40)*Flat!AF$16)+(LOOKUP(Flat!AF$2,'Wall-U'!$A$4:$A$40,'Wall-U'!$J$4:$J$40)*Flat!AF$13)+(LOOKUP(Flat!AF$2,'Window-U'!$A$4:$A$40,'Window-U'!$J$4:$J$40)*Flat!AF$22))*AF103</f>
        <v>503.6232058076622</v>
      </c>
      <c r="AG109" s="174">
        <f>((LOOKUP(Flat!AG$2,'Ceiling-U'!$A$4:$A$40,'Ceiling-U'!$V$4:$V$40)*Flat!AG$15)+(LOOKUP(Flat!AG$2,'Floor-U'!$A$4:$A$40,'Floor-U'!$J$4:$J$40)*Flat!AG$16)+(LOOKUP(Flat!AG$2,'Wall-U'!$A$4:$A$40,'Wall-U'!$J$4:$J$40)*Flat!AG$13)+(LOOKUP(Flat!AG$2,'Window-U'!$A$4:$A$40,'Window-U'!$J$4:$J$40)*Flat!AG$22))*AG103</f>
        <v>940.28517641883536</v>
      </c>
      <c r="AH109" s="174">
        <f>((LOOKUP(Flat!AH$2,'Ceiling-U'!$A$4:$A$40,'Ceiling-U'!$V$4:$V$40)*Flat!AH$15)+(LOOKUP(Flat!AH$2,'Floor-U'!$A$4:$A$40,'Floor-U'!$J$4:$J$40)*Flat!AH$16)+(LOOKUP(Flat!AH$2,'Wall-U'!$A$4:$A$40,'Wall-U'!$J$4:$J$40)*Flat!AH$13)+(LOOKUP(Flat!AH$2,'Window-U'!$A$4:$A$40,'Window-U'!$J$4:$J$40)*Flat!AH$22))*AH103</f>
        <v>1976.6544501703636</v>
      </c>
      <c r="AI109" s="174">
        <f>((LOOKUP(Flat!AI$2,'Ceiling-U'!$A$4:$A$40,'Ceiling-U'!$V$4:$V$40)*Flat!AI$15)+(LOOKUP(Flat!AI$2,'Floor-U'!$A$4:$A$40,'Floor-U'!$J$4:$J$40)*Flat!AI$16)+(LOOKUP(Flat!AI$2,'Wall-U'!$A$4:$A$40,'Wall-U'!$J$4:$J$40)*Flat!AI$13)+(LOOKUP(Flat!AI$2,'Window-U'!$A$4:$A$40,'Window-U'!$J$4:$J$40)*Flat!AI$22))*AI103</f>
        <v>1344.2595189882941</v>
      </c>
      <c r="AJ109" s="174">
        <f>((LOOKUP(Flat!AJ$2,'Ceiling-U'!$A$4:$A$40,'Ceiling-U'!$V$4:$V$40)*Flat!AJ$15)+(LOOKUP(Flat!AJ$2,'Floor-U'!$A$4:$A$40,'Floor-U'!$J$4:$J$40)*Flat!AJ$16)+(LOOKUP(Flat!AJ$2,'Wall-U'!$A$4:$A$40,'Wall-U'!$J$4:$J$40)*Flat!AJ$13)+(LOOKUP(Flat!AJ$2,'Window-U'!$A$4:$A$40,'Window-U'!$J$4:$J$40)*Flat!AJ$22))*AJ103</f>
        <v>1546.5339058619099</v>
      </c>
      <c r="AK109" s="174">
        <f>((LOOKUP(Flat!AK$2,'Ceiling-U'!$A$4:$A$40,'Ceiling-U'!$V$4:$V$40)*Flat!AK$15)+(LOOKUP(Flat!AK$2,'Floor-U'!$A$4:$A$40,'Floor-U'!$J$4:$J$40)*Flat!AK$16)+(LOOKUP(Flat!AK$2,'Wall-U'!$A$4:$A$40,'Wall-U'!$J$4:$J$40)*Flat!AK$13)+(LOOKUP(Flat!AK$2,'Window-U'!$A$4:$A$40,'Window-U'!$J$4:$J$40)*Flat!AK$22))*AK103</f>
        <v>1655.4761964278193</v>
      </c>
      <c r="AL109" s="174">
        <f>((LOOKUP(Flat!AL$2,'Ceiling-U'!$A$4:$A$40,'Ceiling-U'!$V$4:$V$40)*Flat!AL$15)+(LOOKUP(Flat!AL$2,'Floor-U'!$A$4:$A$40,'Floor-U'!$J$4:$J$40)*Flat!AL$16)+(LOOKUP(Flat!AL$2,'Wall-U'!$A$4:$A$40,'Wall-U'!$J$4:$J$40)*Flat!AL$13)+(LOOKUP(Flat!AL$2,'Window-U'!$A$4:$A$40,'Window-U'!$J$4:$J$40)*Flat!AL$22))*AL103</f>
        <v>901.85166295383829</v>
      </c>
      <c r="AM109" s="174">
        <f>((LOOKUP(Flat!AM$2,'Ceiling-U'!$A$4:$A$40,'Ceiling-U'!$V$4:$V$40)*Flat!AM$15)+(LOOKUP(Flat!AM$2,'Floor-U'!$A$4:$A$40,'Floor-U'!$J$4:$J$40)*Flat!AM$16)+(LOOKUP(Flat!AM$2,'Wall-U'!$A$4:$A$40,'Wall-U'!$J$4:$J$40)*Flat!AM$13)+(LOOKUP(Flat!AM$2,'Window-U'!$A$4:$A$40,'Window-U'!$J$4:$J$40)*Flat!AM$22))*AM103</f>
        <v>1546.5339058619099</v>
      </c>
      <c r="AN109" s="175">
        <f>((LOOKUP(Flat!AN$2,'Ceiling-U'!$A$4:$A$40,'Ceiling-U'!$V$4:$V$40)*Flat!AN$15)+(LOOKUP(Flat!AN$2,'Floor-U'!$A$4:$A$40,'Floor-U'!$J$4:$J$40)*Flat!AN$16)+(LOOKUP(Flat!AN$2,'Wall-U'!$A$4:$A$40,'Wall-U'!$J$4:$J$40)*Flat!AN$13)+(LOOKUP(Flat!AN$2,'Window-U'!$A$4:$A$40,'Window-U'!$J$4:$J$40)*Flat!AN$22))*AN103</f>
        <v>1546.5339058619099</v>
      </c>
    </row>
    <row r="110" spans="1:40" s="5" customFormat="1">
      <c r="A110" s="332" t="s">
        <v>280</v>
      </c>
      <c r="B110" s="142" t="s">
        <v>2</v>
      </c>
      <c r="C110" s="360" t="s">
        <v>261</v>
      </c>
      <c r="D110" s="351">
        <f>D104*24*LOOKUP(Flat!D$2,'HDD-by Country'!$A$4:$A$40,'HDD-by Country'!$C$4:$C$40)/1000/Flat!D$3</f>
        <v>10530.308230434533</v>
      </c>
      <c r="E110" s="352">
        <f>E104*24*LOOKUP(Flat!E$2,'HDD-by Country'!$A$4:$A$40,'HDD-by Country'!$C$4:$C$40)/1000/Flat!E$3</f>
        <v>10287.086198784182</v>
      </c>
      <c r="F110" s="352">
        <f>F104*24*LOOKUP(Flat!F$2,'HDD-by Country'!$A$4:$A$40,'HDD-by Country'!$C$4:$C$40)/1000/Flat!F$3</f>
        <v>5941.4990891148864</v>
      </c>
      <c r="G110" s="352">
        <f>G104*24*LOOKUP(Flat!G$2,'HDD-by Country'!$A$4:$A$40,'HDD-by Country'!$C$4:$C$40)/1000/Flat!G$3</f>
        <v>10259.242657630959</v>
      </c>
      <c r="H110" s="352">
        <f>H104*24*LOOKUP(Flat!H$2,'HDD-by Country'!$A$4:$A$40,'HDD-by Country'!$C$4:$C$40)/1000/Flat!H$3</f>
        <v>3347.4541477611806</v>
      </c>
      <c r="I110" s="352">
        <f>I104*24*LOOKUP(Flat!I$2,'HDD-by Country'!$A$4:$A$40,'HDD-by Country'!$C$4:$C$40)/1000/Flat!I$3</f>
        <v>6880.1648847704255</v>
      </c>
      <c r="J110" s="352">
        <f>J104*24*LOOKUP(Flat!J$2,'HDD-by Country'!$A$4:$A$40,'HDD-by Country'!$C$4:$C$40)/1000/Flat!J$3</f>
        <v>10228.019567040928</v>
      </c>
      <c r="K110" s="352">
        <f>K104*24*LOOKUP(Flat!K$2,'HDD-by Country'!$A$4:$A$40,'HDD-by Country'!$C$4:$C$40)/1000/Flat!K$3</f>
        <v>5865.6109500251678</v>
      </c>
      <c r="L110" s="352">
        <f>L104*24*LOOKUP(Flat!L$2,'HDD-by Country'!$A$4:$A$40,'HDD-by Country'!$C$4:$C$40)/1000/Flat!L$3</f>
        <v>4127.2491208770152</v>
      </c>
      <c r="M110" s="352">
        <f>M104*24*LOOKUP(Flat!M$2,'HDD-by Country'!$A$4:$A$40,'HDD-by Country'!$C$4:$C$40)/1000/Flat!M$3</f>
        <v>12755.373461612193</v>
      </c>
      <c r="N110" s="352">
        <f>N104*24*LOOKUP(Flat!N$2,'HDD-by Country'!$A$4:$A$40,'HDD-by Country'!$C$4:$C$40)/1000/Flat!N$3</f>
        <v>5721.4046276964746</v>
      </c>
      <c r="O110" s="352">
        <f>O104*24*LOOKUP(Flat!O$2,'HDD-by Country'!$A$4:$A$40,'HDD-by Country'!$C$4:$C$40)/1000/Flat!O$3</f>
        <v>11291.564858852973</v>
      </c>
      <c r="P110" s="352">
        <f>P104*24*LOOKUP(Flat!P$2,'HDD-by Country'!$A$4:$A$40,'HDD-by Country'!$C$4:$C$40)/1000/Flat!P$3</f>
        <v>9251.8497283806955</v>
      </c>
      <c r="Q110" s="352">
        <f>Q104*24*LOOKUP(Flat!Q$2,'HDD-by Country'!$A$4:$A$40,'HDD-by Country'!$C$4:$C$40)/1000/Flat!Q$3</f>
        <v>6953.1693662718681</v>
      </c>
      <c r="R110" s="352">
        <f>R104*24*LOOKUP(Flat!R$2,'HDD-by Country'!$A$4:$A$40,'HDD-by Country'!$C$4:$C$40)/1000/Flat!R$3</f>
        <v>6915.1113008357697</v>
      </c>
      <c r="S110" s="352">
        <f>S104*24*LOOKUP(Flat!S$2,'HDD-by Country'!$A$4:$A$40,'HDD-by Country'!$C$4:$C$40)/1000/Flat!S$3</f>
        <v>6032.5761165459617</v>
      </c>
      <c r="T110" s="352">
        <f>T104*24*LOOKUP(Flat!T$2,'HDD-by Country'!$A$4:$A$40,'HDD-by Country'!$C$4:$C$40)/1000/Flat!T$3</f>
        <v>6298.0180532172781</v>
      </c>
      <c r="U110" s="352">
        <f>U104*24*LOOKUP(Flat!U$2,'HDD-by Country'!$A$4:$A$40,'HDD-by Country'!$C$4:$C$40)/1000/Flat!U$3</f>
        <v>8858.7017105014002</v>
      </c>
      <c r="V110" s="352">
        <f>V104*24*LOOKUP(Flat!V$2,'HDD-by Country'!$A$4:$A$40,'HDD-by Country'!$C$4:$C$40)/1000/Flat!V$3</f>
        <v>7092.2747867060043</v>
      </c>
      <c r="W110" s="352">
        <f>W104*24*LOOKUP(Flat!W$2,'HDD-by Country'!$A$4:$A$40,'HDD-by Country'!$C$4:$C$40)/1000/Flat!W$3</f>
        <v>9405.8098702499774</v>
      </c>
      <c r="X110" s="352">
        <f>X104*24*LOOKUP(Flat!X$2,'HDD-by Country'!$A$4:$A$40,'HDD-by Country'!$C$4:$C$40)/1000/Flat!X$3</f>
        <v>7776.7669597693912</v>
      </c>
      <c r="Y110" s="352">
        <f>Y104*24*LOOKUP(Flat!Y$2,'HDD-by Country'!$A$4:$A$40,'HDD-by Country'!$C$4:$C$40)/1000/Flat!Y$3</f>
        <v>3495.4666474672849</v>
      </c>
      <c r="Z110" s="352">
        <f>Z104*24*LOOKUP(Flat!Z$2,'HDD-by Country'!$A$4:$A$40,'HDD-by Country'!$C$4:$C$40)/1000/Flat!Z$3</f>
        <v>10500.517884084351</v>
      </c>
      <c r="AA110" s="352">
        <f>AA104*24*LOOKUP(Flat!AA$2,'HDD-by Country'!$A$4:$A$40,'HDD-by Country'!$C$4:$C$40)/1000/Flat!AA$3</f>
        <v>6629.1371091398205</v>
      </c>
      <c r="AB110" s="352">
        <f>AB104*24*LOOKUP(Flat!AB$2,'HDD-by Country'!$A$4:$A$40,'HDD-by Country'!$C$4:$C$40)/1000/Flat!AB$3</f>
        <v>9007.5869190984395</v>
      </c>
      <c r="AC110" s="352">
        <f>AC104*24*LOOKUP(Flat!AC$2,'HDD-by Country'!$A$4:$A$40,'HDD-by Country'!$C$4:$C$40)/1000/Flat!AC$3</f>
        <v>6062.464853143736</v>
      </c>
      <c r="AD110" s="352">
        <f>AD104*24*LOOKUP(Flat!AD$2,'HDD-by Country'!$A$4:$A$40,'HDD-by Country'!$C$4:$C$40)/1000/Flat!AD$3</f>
        <v>5614.4381127311772</v>
      </c>
      <c r="AE110" s="352">
        <f>AE104*24*LOOKUP(Flat!AE$2,'HDD-by Country'!$A$4:$A$40,'HDD-by Country'!$C$4:$C$40)/1000/Flat!AE$3</f>
        <v>6391.9628802970565</v>
      </c>
      <c r="AF110" s="352">
        <f>AF104*24*LOOKUP(Flat!AF$2,'HDD-by Country'!$A$4:$A$40,'HDD-by Country'!$C$4:$C$40)/1000/Flat!AF$3</f>
        <v>6911.2617183882739</v>
      </c>
      <c r="AG110" s="352">
        <f>AG104*24*LOOKUP(Flat!AG$2,'HDD-by Country'!$A$4:$A$40,'HDD-by Country'!$C$4:$C$40)/1000/Flat!AG$3</f>
        <v>10473.037582495612</v>
      </c>
      <c r="AH110" s="352">
        <f>AH104*24*LOOKUP(Flat!AH$2,'HDD-by Country'!$A$4:$A$40,'HDD-by Country'!$C$4:$C$40)/1000/Flat!AH$3</f>
        <v>6136.4319443465629</v>
      </c>
      <c r="AI110" s="352">
        <f>AI104*24*LOOKUP(Flat!AI$2,'HDD-by Country'!$A$4:$A$40,'HDD-by Country'!$C$4:$C$40)/1000/Flat!AI$3</f>
        <v>7468.9910955960604</v>
      </c>
      <c r="AJ110" s="352">
        <f>AJ104*24*LOOKUP(Flat!AJ$2,'HDD-by Country'!$A$4:$A$40,'HDD-by Country'!$C$4:$C$40)/1000/Flat!AJ$3</f>
        <v>7759.1562288048899</v>
      </c>
      <c r="AK110" s="352">
        <f>AK104*24*LOOKUP(Flat!AK$2,'HDD-by Country'!$A$4:$A$40,'HDD-by Country'!$C$4:$C$40)/1000/Flat!AK$3</f>
        <v>7387.9553737679616</v>
      </c>
      <c r="AL110" s="352">
        <f>AL104*24*LOOKUP(Flat!AL$2,'HDD-by Country'!$A$4:$A$40,'HDD-by Country'!$C$4:$C$40)/1000/Flat!AL$3</f>
        <v>7594.0298059594443</v>
      </c>
      <c r="AM110" s="352">
        <f>AM104*24*LOOKUP(Flat!AM$2,'HDD-by Country'!$A$4:$A$40,'HDD-by Country'!$C$4:$C$40)/1000/Flat!AM$3</f>
        <v>7135.1310016422794</v>
      </c>
      <c r="AN110" s="353">
        <f>AN104*24*LOOKUP(Flat!AN$2,'HDD-by Country'!$A$4:$A$40,'HDD-by Country'!$C$4:$C$40)/1000/Flat!AN$3</f>
        <v>7135.1310016422794</v>
      </c>
    </row>
    <row r="111" spans="1:40" s="5" customFormat="1">
      <c r="A111" s="129"/>
      <c r="B111" s="142" t="s">
        <v>3</v>
      </c>
      <c r="C111" s="129" t="s">
        <v>261</v>
      </c>
      <c r="D111" s="345">
        <f>D105*24*LOOKUP(Flat!D$2,'HDD-by Country'!$A$4:$A$40,'HDD-by Country'!$C$4:$C$40)/1000/Flat!D$3</f>
        <v>9399.6674858261395</v>
      </c>
      <c r="E111" s="349">
        <f>E105*24*LOOKUP(Flat!E$2,'HDD-by Country'!$A$4:$A$40,'HDD-by Country'!$C$4:$C$40)/1000/Flat!E$3</f>
        <v>10287.086198784182</v>
      </c>
      <c r="F111" s="349">
        <f>F105*24*LOOKUP(Flat!F$2,'HDD-by Country'!$A$4:$A$40,'HDD-by Country'!$C$4:$C$40)/1000/Flat!F$3</f>
        <v>5941.4990891148864</v>
      </c>
      <c r="G111" s="349">
        <f>G105*24*LOOKUP(Flat!G$2,'HDD-by Country'!$A$4:$A$40,'HDD-by Country'!$C$4:$C$40)/1000/Flat!G$3</f>
        <v>9157.7062634713529</v>
      </c>
      <c r="H111" s="349">
        <f>H105*24*LOOKUP(Flat!H$2,'HDD-by Country'!$A$4:$A$40,'HDD-by Country'!$C$4:$C$40)/1000/Flat!H$3</f>
        <v>2963.3900679074113</v>
      </c>
      <c r="I111" s="349">
        <f>I105*24*LOOKUP(Flat!I$2,'HDD-by Country'!$A$4:$A$40,'HDD-by Country'!$C$4:$C$40)/1000/Flat!I$3</f>
        <v>6270.0465336728494</v>
      </c>
      <c r="J111" s="349">
        <f>J105*24*LOOKUP(Flat!J$2,'HDD-by Country'!$A$4:$A$40,'HDD-by Country'!$C$4:$C$40)/1000/Flat!J$3</f>
        <v>7951.4144268874879</v>
      </c>
      <c r="K111" s="349">
        <f>K105*24*LOOKUP(Flat!K$2,'HDD-by Country'!$A$4:$A$40,'HDD-by Country'!$C$4:$C$40)/1000/Flat!K$3</f>
        <v>5779.3863164847116</v>
      </c>
      <c r="L111" s="349">
        <f>L105*24*LOOKUP(Flat!L$2,'HDD-by Country'!$A$4:$A$40,'HDD-by Country'!$C$4:$C$40)/1000/Flat!L$3</f>
        <v>4127.2491208770152</v>
      </c>
      <c r="M111" s="349">
        <f>M105*24*LOOKUP(Flat!M$2,'HDD-by Country'!$A$4:$A$40,'HDD-by Country'!$C$4:$C$40)/1000/Flat!M$3</f>
        <v>11377.938063345306</v>
      </c>
      <c r="N111" s="349">
        <f>N105*24*LOOKUP(Flat!N$2,'HDD-by Country'!$A$4:$A$40,'HDD-by Country'!$C$4:$C$40)/1000/Flat!N$3</f>
        <v>5313.1504525167084</v>
      </c>
      <c r="O111" s="349">
        <f>O105*24*LOOKUP(Flat!O$2,'HDD-by Country'!$A$4:$A$40,'HDD-by Country'!$C$4:$C$40)/1000/Flat!O$3</f>
        <v>11291.564858852973</v>
      </c>
      <c r="P111" s="349">
        <f>P105*24*LOOKUP(Flat!P$2,'HDD-by Country'!$A$4:$A$40,'HDD-by Country'!$C$4:$C$40)/1000/Flat!P$3</f>
        <v>9251.8497283806955</v>
      </c>
      <c r="Q111" s="349">
        <f>Q105*24*LOOKUP(Flat!Q$2,'HDD-by Country'!$A$4:$A$40,'HDD-by Country'!$C$4:$C$40)/1000/Flat!Q$3</f>
        <v>7551.037496345356</v>
      </c>
      <c r="R111" s="349">
        <f>R105*24*LOOKUP(Flat!R$2,'HDD-by Country'!$A$4:$A$40,'HDD-by Country'!$C$4:$C$40)/1000/Flat!R$3</f>
        <v>6915.1113008357697</v>
      </c>
      <c r="S111" s="349">
        <f>S105*24*LOOKUP(Flat!S$2,'HDD-by Country'!$A$4:$A$40,'HDD-by Country'!$C$4:$C$40)/1000/Flat!S$3</f>
        <v>6034.3608489754797</v>
      </c>
      <c r="T111" s="349">
        <f>T105*24*LOOKUP(Flat!T$2,'HDD-by Country'!$A$4:$A$40,'HDD-by Country'!$C$4:$C$40)/1000/Flat!T$3</f>
        <v>5855.3310125412545</v>
      </c>
      <c r="U111" s="349">
        <f>U105*24*LOOKUP(Flat!U$2,'HDD-by Country'!$A$4:$A$40,'HDD-by Country'!$C$4:$C$40)/1000/Flat!U$3</f>
        <v>8240.7536327935159</v>
      </c>
      <c r="V111" s="349">
        <f>V105*24*LOOKUP(Flat!V$2,'HDD-by Country'!$A$4:$A$40,'HDD-by Country'!$C$4:$C$40)/1000/Flat!V$3</f>
        <v>7092.2747867060043</v>
      </c>
      <c r="W111" s="349">
        <f>W105*24*LOOKUP(Flat!W$2,'HDD-by Country'!$A$4:$A$40,'HDD-by Country'!$C$4:$C$40)/1000/Flat!W$3</f>
        <v>11317.444922397142</v>
      </c>
      <c r="X111" s="349">
        <f>X105*24*LOOKUP(Flat!X$2,'HDD-by Country'!$A$4:$A$40,'HDD-by Country'!$C$4:$C$40)/1000/Flat!X$3</f>
        <v>7629.3685597693911</v>
      </c>
      <c r="Y111" s="349">
        <f>Y105*24*LOOKUP(Flat!Y$2,'HDD-by Country'!$A$4:$A$40,'HDD-by Country'!$C$4:$C$40)/1000/Flat!Y$3</f>
        <v>3495.3670592901917</v>
      </c>
      <c r="Z111" s="349">
        <f>Z105*24*LOOKUP(Flat!Z$2,'HDD-by Country'!$A$4:$A$40,'HDD-by Country'!$C$4:$C$40)/1000/Flat!Z$3</f>
        <v>9224.1420798341242</v>
      </c>
      <c r="AA111" s="349">
        <f>AA105*24*LOOKUP(Flat!AA$2,'HDD-by Country'!$A$4:$A$40,'HDD-by Country'!$C$4:$C$40)/1000/Flat!AA$3</f>
        <v>6591.5275945286212</v>
      </c>
      <c r="AB111" s="349">
        <f>AB105*24*LOOKUP(Flat!AB$2,'HDD-by Country'!$A$4:$A$40,'HDD-by Country'!$C$4:$C$40)/1000/Flat!AB$3</f>
        <v>6692.3473007091243</v>
      </c>
      <c r="AC111" s="349">
        <f>AC105*24*LOOKUP(Flat!AC$2,'HDD-by Country'!$A$4:$A$40,'HDD-by Country'!$C$4:$C$40)/1000/Flat!AC$3</f>
        <v>5135.4672624463965</v>
      </c>
      <c r="AD111" s="349">
        <f>AD105*24*LOOKUP(Flat!AD$2,'HDD-by Country'!$A$4:$A$40,'HDD-by Country'!$C$4:$C$40)/1000/Flat!AD$3</f>
        <v>5066.8340786831459</v>
      </c>
      <c r="AE111" s="349">
        <f>AE105*24*LOOKUP(Flat!AE$2,'HDD-by Country'!$A$4:$A$40,'HDD-by Country'!$C$4:$C$40)/1000/Flat!AE$3</f>
        <v>6355.6989416602573</v>
      </c>
      <c r="AF111" s="349">
        <f>AF105*24*LOOKUP(Flat!AF$2,'HDD-by Country'!$A$4:$A$40,'HDD-by Country'!$C$4:$C$40)/1000/Flat!AF$3</f>
        <v>6911.2617183882739</v>
      </c>
      <c r="AG111" s="349">
        <f>AG105*24*LOOKUP(Flat!AG$2,'HDD-by Country'!$A$4:$A$40,'HDD-by Country'!$C$4:$C$40)/1000/Flat!AG$3</f>
        <v>8933.5175331941009</v>
      </c>
      <c r="AH111" s="349">
        <f>AH105*24*LOOKUP(Flat!AH$2,'HDD-by Country'!$A$4:$A$40,'HDD-by Country'!$C$4:$C$40)/1000/Flat!AH$3</f>
        <v>6445.6339718916552</v>
      </c>
      <c r="AI111" s="349">
        <f>AI105*24*LOOKUP(Flat!AI$2,'HDD-by Country'!$A$4:$A$40,'HDD-by Country'!$C$4:$C$40)/1000/Flat!AI$3</f>
        <v>7468.9910955960604</v>
      </c>
      <c r="AJ111" s="349">
        <f>AJ105*24*LOOKUP(Flat!AJ$2,'HDD-by Country'!$A$4:$A$40,'HDD-by Country'!$C$4:$C$40)/1000/Flat!AJ$3</f>
        <v>7759.1562288048899</v>
      </c>
      <c r="AK111" s="349">
        <f>AK105*24*LOOKUP(Flat!AK$2,'HDD-by Country'!$A$4:$A$40,'HDD-by Country'!$C$4:$C$40)/1000/Flat!AK$3</f>
        <v>7387.9553737679616</v>
      </c>
      <c r="AL111" s="349">
        <f>AL105*24*LOOKUP(Flat!AL$2,'HDD-by Country'!$A$4:$A$40,'HDD-by Country'!$C$4:$C$40)/1000/Flat!AL$3</f>
        <v>7594.0298059594443</v>
      </c>
      <c r="AM111" s="349">
        <f>AM105*24*LOOKUP(Flat!AM$2,'HDD-by Country'!$A$4:$A$40,'HDD-by Country'!$C$4:$C$40)/1000/Flat!AM$3</f>
        <v>7135.1310016422794</v>
      </c>
      <c r="AN111" s="354">
        <f>AN105*24*LOOKUP(Flat!AN$2,'HDD-by Country'!$A$4:$A$40,'HDD-by Country'!$C$4:$C$40)/1000/Flat!AN$3</f>
        <v>7135.1310016422794</v>
      </c>
    </row>
    <row r="112" spans="1:40" s="5" customFormat="1">
      <c r="A112" s="129"/>
      <c r="B112" s="142" t="s">
        <v>4</v>
      </c>
      <c r="C112" s="129" t="s">
        <v>261</v>
      </c>
      <c r="D112" s="345">
        <f>D106*24*LOOKUP(Flat!D$2,'HDD-by Country'!$A$4:$A$40,'HDD-by Country'!$C$4:$C$40)/1000/Flat!D$3</f>
        <v>7517.9629710533991</v>
      </c>
      <c r="E112" s="349">
        <f>E106*24*LOOKUP(Flat!E$2,'HDD-by Country'!$A$4:$A$40,'HDD-by Country'!$C$4:$C$40)/1000/Flat!E$3</f>
        <v>10287.086198784182</v>
      </c>
      <c r="F112" s="349">
        <f>F106*24*LOOKUP(Flat!F$2,'HDD-by Country'!$A$4:$A$40,'HDD-by Country'!$C$4:$C$40)/1000/Flat!F$3</f>
        <v>5592.762155678518</v>
      </c>
      <c r="G112" s="349">
        <f>G106*24*LOOKUP(Flat!G$2,'HDD-by Country'!$A$4:$A$40,'HDD-by Country'!$C$4:$C$40)/1000/Flat!G$3</f>
        <v>7324.4395817593559</v>
      </c>
      <c r="H112" s="349">
        <f>H106*24*LOOKUP(Flat!H$2,'HDD-by Country'!$A$4:$A$40,'HDD-by Country'!$C$4:$C$40)/1000/Flat!H$3</f>
        <v>2998.2277480536413</v>
      </c>
      <c r="I112" s="349">
        <f>I106*24*LOOKUP(Flat!I$2,'HDD-by Country'!$A$4:$A$40,'HDD-by Country'!$C$4:$C$40)/1000/Flat!I$3</f>
        <v>6270.0465336728494</v>
      </c>
      <c r="J112" s="349">
        <f>J106*24*LOOKUP(Flat!J$2,'HDD-by Country'!$A$4:$A$40,'HDD-by Country'!$C$4:$C$40)/1000/Flat!J$3</f>
        <v>5493.7840224013498</v>
      </c>
      <c r="K112" s="349">
        <f>K106*24*LOOKUP(Flat!K$2,'HDD-by Country'!$A$4:$A$40,'HDD-by Country'!$C$4:$C$40)/1000/Flat!K$3</f>
        <v>3921.1424882773053</v>
      </c>
      <c r="L112" s="349">
        <f>L106*24*LOOKUP(Flat!L$2,'HDD-by Country'!$A$4:$A$40,'HDD-by Country'!$C$4:$C$40)/1000/Flat!L$3</f>
        <v>3329.1957968465163</v>
      </c>
      <c r="M112" s="349">
        <f>M106*24*LOOKUP(Flat!M$2,'HDD-by Country'!$A$4:$A$40,'HDD-by Country'!$C$4:$C$40)/1000/Flat!M$3</f>
        <v>11377.938063345306</v>
      </c>
      <c r="N112" s="349">
        <f>N106*24*LOOKUP(Flat!N$2,'HDD-by Country'!$A$4:$A$40,'HDD-by Country'!$C$4:$C$40)/1000/Flat!N$3</f>
        <v>4391.0699410864236</v>
      </c>
      <c r="O112" s="349">
        <f>O106*24*LOOKUP(Flat!O$2,'HDD-by Country'!$A$4:$A$40,'HDD-by Country'!$C$4:$C$40)/1000/Flat!O$3</f>
        <v>5435.5831574239046</v>
      </c>
      <c r="P112" s="349">
        <f>P106*24*LOOKUP(Flat!P$2,'HDD-by Country'!$A$4:$A$40,'HDD-by Country'!$C$4:$C$40)/1000/Flat!P$3</f>
        <v>9251.8497283806955</v>
      </c>
      <c r="Q112" s="349">
        <f>Q106*24*LOOKUP(Flat!Q$2,'HDD-by Country'!$A$4:$A$40,'HDD-by Country'!$C$4:$C$40)/1000/Flat!Q$3</f>
        <v>6326.1785298160667</v>
      </c>
      <c r="R112" s="349">
        <f>R106*24*LOOKUP(Flat!R$2,'HDD-by Country'!$A$4:$A$40,'HDD-by Country'!$C$4:$C$40)/1000/Flat!R$3</f>
        <v>5963.6949639641198</v>
      </c>
      <c r="S112" s="349">
        <f>S106*24*LOOKUP(Flat!S$2,'HDD-by Country'!$A$4:$A$40,'HDD-by Country'!$C$4:$C$40)/1000/Flat!S$3</f>
        <v>6004.3371864031487</v>
      </c>
      <c r="T112" s="349">
        <f>T106*24*LOOKUP(Flat!T$2,'HDD-by Country'!$A$4:$A$40,'HDD-by Country'!$C$4:$C$40)/1000/Flat!T$3</f>
        <v>4701.2322993129665</v>
      </c>
      <c r="U112" s="349">
        <f>U106*24*LOOKUP(Flat!U$2,'HDD-by Country'!$A$4:$A$40,'HDD-by Country'!$C$4:$C$40)/1000/Flat!U$3</f>
        <v>7805.1752222638706</v>
      </c>
      <c r="V112" s="349">
        <f>V106*24*LOOKUP(Flat!V$2,'HDD-by Country'!$A$4:$A$40,'HDD-by Country'!$C$4:$C$40)/1000/Flat!V$3</f>
        <v>4399.8005471390115</v>
      </c>
      <c r="W112" s="349">
        <f>W106*24*LOOKUP(Flat!W$2,'HDD-by Country'!$A$4:$A$40,'HDD-by Country'!$C$4:$C$40)/1000/Flat!W$3</f>
        <v>5516.6227133019092</v>
      </c>
      <c r="X112" s="349">
        <f>X106*24*LOOKUP(Flat!X$2,'HDD-by Country'!$A$4:$A$40,'HDD-by Country'!$C$4:$C$40)/1000/Flat!X$3</f>
        <v>7134.2712666495954</v>
      </c>
      <c r="Y112" s="349">
        <f>Y106*24*LOOKUP(Flat!Y$2,'HDD-by Country'!$A$4:$A$40,'HDD-by Country'!$C$4:$C$40)/1000/Flat!Y$3</f>
        <v>2617.7922900315489</v>
      </c>
      <c r="Z112" s="349">
        <f>Z106*24*LOOKUP(Flat!Z$2,'HDD-by Country'!$A$4:$A$40,'HDD-by Country'!$C$4:$C$40)/1000/Flat!Z$3</f>
        <v>9023.1053711962049</v>
      </c>
      <c r="AA112" s="349">
        <f>AA106*24*LOOKUP(Flat!AA$2,'HDD-by Country'!$A$4:$A$40,'HDD-by Country'!$C$4:$C$40)/1000/Flat!AA$3</f>
        <v>4693.7338487512698</v>
      </c>
      <c r="AB112" s="349">
        <f>AB106*24*LOOKUP(Flat!AB$2,'HDD-by Country'!$A$4:$A$40,'HDD-by Country'!$C$4:$C$40)/1000/Flat!AB$3</f>
        <v>4605.0256864762841</v>
      </c>
      <c r="AC112" s="349">
        <f>AC106*24*LOOKUP(Flat!AC$2,'HDD-by Country'!$A$4:$A$40,'HDD-by Country'!$C$4:$C$40)/1000/Flat!AC$3</f>
        <v>5134.071818492871</v>
      </c>
      <c r="AD112" s="349">
        <f>AD106*24*LOOKUP(Flat!AD$2,'HDD-by Country'!$A$4:$A$40,'HDD-by Country'!$C$4:$C$40)/1000/Flat!AD$3</f>
        <v>5066.8340786831459</v>
      </c>
      <c r="AE112" s="349">
        <f>AE106*24*LOOKUP(Flat!AE$2,'HDD-by Country'!$A$4:$A$40,'HDD-by Country'!$C$4:$C$40)/1000/Flat!AE$3</f>
        <v>4525.8035906131627</v>
      </c>
      <c r="AF112" s="349">
        <f>AF106*24*LOOKUP(Flat!AF$2,'HDD-by Country'!$A$4:$A$40,'HDD-by Country'!$C$4:$C$40)/1000/Flat!AF$3</f>
        <v>6626.5775721681439</v>
      </c>
      <c r="AG112" s="349">
        <f>AG106*24*LOOKUP(Flat!AG$2,'HDD-by Country'!$A$4:$A$40,'HDD-by Country'!$C$4:$C$40)/1000/Flat!AG$3</f>
        <v>8933.5175331941009</v>
      </c>
      <c r="AH112" s="349">
        <f>AH106*24*LOOKUP(Flat!AH$2,'HDD-by Country'!$A$4:$A$40,'HDD-by Country'!$C$4:$C$40)/1000/Flat!AH$3</f>
        <v>5490.6473464879455</v>
      </c>
      <c r="AI112" s="349">
        <f>AI106*24*LOOKUP(Flat!AI$2,'HDD-by Country'!$A$4:$A$40,'HDD-by Country'!$C$4:$C$40)/1000/Flat!AI$3</f>
        <v>7468.9910955960604</v>
      </c>
      <c r="AJ112" s="349">
        <f>AJ106*24*LOOKUP(Flat!AJ$2,'HDD-by Country'!$A$4:$A$40,'HDD-by Country'!$C$4:$C$40)/1000/Flat!AJ$3</f>
        <v>7759.1562288048899</v>
      </c>
      <c r="AK112" s="349">
        <f>AK106*24*LOOKUP(Flat!AK$2,'HDD-by Country'!$A$4:$A$40,'HDD-by Country'!$C$4:$C$40)/1000/Flat!AK$3</f>
        <v>7387.9553737679616</v>
      </c>
      <c r="AL112" s="349">
        <f>AL106*24*LOOKUP(Flat!AL$2,'HDD-by Country'!$A$4:$A$40,'HDD-by Country'!$C$4:$C$40)/1000/Flat!AL$3</f>
        <v>7122.0905948255622</v>
      </c>
      <c r="AM112" s="349">
        <f>AM106*24*LOOKUP(Flat!AM$2,'HDD-by Country'!$A$4:$A$40,'HDD-by Country'!$C$4:$C$40)/1000/Flat!AM$3</f>
        <v>7135.1310016422794</v>
      </c>
      <c r="AN112" s="354">
        <f>AN106*24*LOOKUP(Flat!AN$2,'HDD-by Country'!$A$4:$A$40,'HDD-by Country'!$C$4:$C$40)/1000/Flat!AN$3</f>
        <v>7135.1310016422794</v>
      </c>
    </row>
    <row r="113" spans="1:40" s="5" customFormat="1">
      <c r="A113" s="129"/>
      <c r="B113" s="142" t="s">
        <v>5</v>
      </c>
      <c r="C113" s="129" t="s">
        <v>261</v>
      </c>
      <c r="D113" s="345">
        <f>D107*24*LOOKUP(Flat!D$2,'HDD-by Country'!$A$4:$A$40,'HDD-by Country'!$C$4:$C$40)/1000/Flat!D$3</f>
        <v>5000.2536156269371</v>
      </c>
      <c r="E113" s="349">
        <f>E107*24*LOOKUP(Flat!E$2,'HDD-by Country'!$A$4:$A$40,'HDD-by Country'!$C$4:$C$40)/1000/Flat!E$3</f>
        <v>8831.5172549012823</v>
      </c>
      <c r="F113" s="349">
        <f>F107*24*LOOKUP(Flat!F$2,'HDD-by Country'!$A$4:$A$40,'HDD-by Country'!$C$4:$C$40)/1000/Flat!F$3</f>
        <v>4698.6710553257135</v>
      </c>
      <c r="G113" s="349">
        <f>G107*24*LOOKUP(Flat!G$2,'HDD-by Country'!$A$4:$A$40,'HDD-by Country'!$C$4:$C$40)/1000/Flat!G$3</f>
        <v>4871.539756466982</v>
      </c>
      <c r="H113" s="349">
        <f>H107*24*LOOKUP(Flat!H$2,'HDD-by Country'!$A$4:$A$40,'HDD-by Country'!$C$4:$C$40)/1000/Flat!H$3</f>
        <v>2916.0239080536421</v>
      </c>
      <c r="I113" s="349">
        <f>I107*24*LOOKUP(Flat!I$2,'HDD-by Country'!$A$4:$A$40,'HDD-by Country'!$C$4:$C$40)/1000/Flat!I$3</f>
        <v>5653.0450733894213</v>
      </c>
      <c r="J113" s="349">
        <f>J107*24*LOOKUP(Flat!J$2,'HDD-by Country'!$A$4:$A$40,'HDD-by Country'!$C$4:$C$40)/1000/Flat!J$3</f>
        <v>4680.0107550237108</v>
      </c>
      <c r="K113" s="349">
        <f>K107*24*LOOKUP(Flat!K$2,'HDD-by Country'!$A$4:$A$40,'HDD-by Country'!$C$4:$C$40)/1000/Flat!K$3</f>
        <v>3230.8164129772954</v>
      </c>
      <c r="L113" s="349">
        <f>L107*24*LOOKUP(Flat!L$2,'HDD-by Country'!$A$4:$A$40,'HDD-by Country'!$C$4:$C$40)/1000/Flat!L$3</f>
        <v>2397.7405517233351</v>
      </c>
      <c r="M113" s="349">
        <f>M107*24*LOOKUP(Flat!M$2,'HDD-by Country'!$A$4:$A$40,'HDD-by Country'!$C$4:$C$40)/1000/Flat!M$3</f>
        <v>7480.4459715930834</v>
      </c>
      <c r="N113" s="349">
        <f>N107*24*LOOKUP(Flat!N$2,'HDD-by Country'!$A$4:$A$40,'HDD-by Country'!$C$4:$C$40)/1000/Flat!N$3</f>
        <v>3513.187638155825</v>
      </c>
      <c r="O113" s="349">
        <f>O107*24*LOOKUP(Flat!O$2,'HDD-by Country'!$A$4:$A$40,'HDD-by Country'!$C$4:$C$40)/1000/Flat!O$3</f>
        <v>4600.1829700415547</v>
      </c>
      <c r="P113" s="349">
        <f>P107*24*LOOKUP(Flat!P$2,'HDD-by Country'!$A$4:$A$40,'HDD-by Country'!$C$4:$C$40)/1000/Flat!P$3</f>
        <v>9018.7636483806946</v>
      </c>
      <c r="Q113" s="349">
        <f>Q107*24*LOOKUP(Flat!Q$2,'HDD-by Country'!$A$4:$A$40,'HDD-by Country'!$C$4:$C$40)/1000/Flat!Q$3</f>
        <v>6326.1785298160667</v>
      </c>
      <c r="R113" s="349">
        <f>R107*24*LOOKUP(Flat!R$2,'HDD-by Country'!$A$4:$A$40,'HDD-by Country'!$C$4:$C$40)/1000/Flat!R$3</f>
        <v>4280.435445596182</v>
      </c>
      <c r="S113" s="349">
        <f>S107*24*LOOKUP(Flat!S$2,'HDD-by Country'!$A$4:$A$40,'HDD-by Country'!$C$4:$C$40)/1000/Flat!S$3</f>
        <v>4193.9355387016094</v>
      </c>
      <c r="T113" s="349">
        <f>T107*24*LOOKUP(Flat!T$2,'HDD-by Country'!$A$4:$A$40,'HDD-by Country'!$C$4:$C$40)/1000/Flat!T$3</f>
        <v>3668.2269016782075</v>
      </c>
      <c r="U113" s="349">
        <f>U107*24*LOOKUP(Flat!U$2,'HDD-by Country'!$A$4:$A$40,'HDD-by Country'!$C$4:$C$40)/1000/Flat!U$3</f>
        <v>5435.6376142785548</v>
      </c>
      <c r="V113" s="349">
        <f>V107*24*LOOKUP(Flat!V$2,'HDD-by Country'!$A$4:$A$40,'HDD-by Country'!$C$4:$C$40)/1000/Flat!V$3</f>
        <v>4399.8005471390115</v>
      </c>
      <c r="W113" s="349">
        <f>W107*24*LOOKUP(Flat!W$2,'HDD-by Country'!$A$4:$A$40,'HDD-by Country'!$C$4:$C$40)/1000/Flat!W$3</f>
        <v>4646.8402039562625</v>
      </c>
      <c r="X113" s="349">
        <f>X107*24*LOOKUP(Flat!X$2,'HDD-by Country'!$A$4:$A$40,'HDD-by Country'!$C$4:$C$40)/1000/Flat!X$3</f>
        <v>4158.5285798846953</v>
      </c>
      <c r="Y113" s="349">
        <f>Y107*24*LOOKUP(Flat!Y$2,'HDD-by Country'!$A$4:$A$40,'HDD-by Country'!$C$4:$C$40)/1000/Flat!Y$3</f>
        <v>2446.3688827995493</v>
      </c>
      <c r="Z113" s="349">
        <f>Z107*24*LOOKUP(Flat!Z$2,'HDD-by Country'!$A$4:$A$40,'HDD-by Country'!$C$4:$C$40)/1000/Flat!Z$3</f>
        <v>5036.1086062538016</v>
      </c>
      <c r="AA113" s="349">
        <f>AA107*24*LOOKUP(Flat!AA$2,'HDD-by Country'!$A$4:$A$40,'HDD-by Country'!$C$4:$C$40)/1000/Flat!AA$3</f>
        <v>4605.9272567512689</v>
      </c>
      <c r="AB113" s="349">
        <f>AB107*24*LOOKUP(Flat!AB$2,'HDD-by Country'!$A$4:$A$40,'HDD-by Country'!$C$4:$C$40)/1000/Flat!AB$3</f>
        <v>4605.0256864762841</v>
      </c>
      <c r="AC113" s="349">
        <f>AC107*24*LOOKUP(Flat!AC$2,'HDD-by Country'!$A$4:$A$40,'HDD-by Country'!$C$4:$C$40)/1000/Flat!AC$3</f>
        <v>4948.0301275521606</v>
      </c>
      <c r="AD113" s="349">
        <f>AD107*24*LOOKUP(Flat!AD$2,'HDD-by Country'!$A$4:$A$40,'HDD-by Country'!$C$4:$C$40)/1000/Flat!AD$3</f>
        <v>4244.2190640617773</v>
      </c>
      <c r="AE113" s="349">
        <f>AE107*24*LOOKUP(Flat!AE$2,'HDD-by Country'!$A$4:$A$40,'HDD-by Country'!$C$4:$C$40)/1000/Flat!AE$3</f>
        <v>4441.138502613162</v>
      </c>
      <c r="AF113" s="349">
        <f>AF107*24*LOOKUP(Flat!AF$2,'HDD-by Country'!$A$4:$A$40,'HDD-by Country'!$C$4:$C$40)/1000/Flat!AF$3</f>
        <v>4567.549359604549</v>
      </c>
      <c r="AG113" s="349">
        <f>AG107*24*LOOKUP(Flat!AG$2,'HDD-by Country'!$A$4:$A$40,'HDD-by Country'!$C$4:$C$40)/1000/Flat!AG$3</f>
        <v>7568.1182038018333</v>
      </c>
      <c r="AH113" s="349">
        <f>AH107*24*LOOKUP(Flat!AH$2,'HDD-by Country'!$A$4:$A$40,'HDD-by Country'!$C$4:$C$40)/1000/Flat!AH$3</f>
        <v>3337.9042288898318</v>
      </c>
      <c r="AI113" s="349">
        <f>AI107*24*LOOKUP(Flat!AI$2,'HDD-by Country'!$A$4:$A$40,'HDD-by Country'!$C$4:$C$40)/1000/Flat!AI$3</f>
        <v>7294.1765355960597</v>
      </c>
      <c r="AJ113" s="349">
        <f>AJ107*24*LOOKUP(Flat!AJ$2,'HDD-by Country'!$A$4:$A$40,'HDD-by Country'!$C$4:$C$40)/1000/Flat!AJ$3</f>
        <v>6779.6043917786083</v>
      </c>
      <c r="AK113" s="349">
        <f>AK107*24*LOOKUP(Flat!AK$2,'HDD-by Country'!$A$4:$A$40,'HDD-by Country'!$C$4:$C$40)/1000/Flat!AK$3</f>
        <v>6445.0356355989952</v>
      </c>
      <c r="AL113" s="349">
        <f>AL107*24*LOOKUP(Flat!AL$2,'HDD-by Country'!$A$4:$A$40,'HDD-by Country'!$C$4:$C$40)/1000/Flat!AL$3</f>
        <v>5930.9513255590791</v>
      </c>
      <c r="AM113" s="349">
        <f>AM107*24*LOOKUP(Flat!AM$2,'HDD-by Country'!$A$4:$A$40,'HDD-by Country'!$C$4:$C$40)/1000/Flat!AM$3</f>
        <v>6234.3590009271456</v>
      </c>
      <c r="AN113" s="354">
        <f>AN107*24*LOOKUP(Flat!AN$2,'HDD-by Country'!$A$4:$A$40,'HDD-by Country'!$C$4:$C$40)/1000/Flat!AN$3</f>
        <v>6234.3590009271456</v>
      </c>
    </row>
    <row r="114" spans="1:40" s="5" customFormat="1">
      <c r="A114" s="129"/>
      <c r="B114" s="142" t="s">
        <v>6</v>
      </c>
      <c r="C114" s="129" t="s">
        <v>261</v>
      </c>
      <c r="D114" s="345">
        <f>D108*24*LOOKUP(Flat!D$2,'HDD-by Country'!$A$4:$A$40,'HDD-by Country'!$C$4:$C$40)/1000/Flat!D$3</f>
        <v>4051.2107655041314</v>
      </c>
      <c r="E114" s="349">
        <f>E108*24*LOOKUP(Flat!E$2,'HDD-by Country'!$A$4:$A$40,'HDD-by Country'!$C$4:$C$40)/1000/Flat!E$3</f>
        <v>8831.5172549012823</v>
      </c>
      <c r="F114" s="349">
        <f>F108*24*LOOKUP(Flat!F$2,'HDD-by Country'!$A$4:$A$40,'HDD-by Country'!$C$4:$C$40)/1000/Flat!F$3</f>
        <v>3907.6884919027166</v>
      </c>
      <c r="G114" s="349">
        <f>G108*24*LOOKUP(Flat!G$2,'HDD-by Country'!$A$4:$A$40,'HDD-by Country'!$C$4:$C$40)/1000/Flat!G$3</f>
        <v>3946.9266607401755</v>
      </c>
      <c r="H114" s="349">
        <f>H108*24*LOOKUP(Flat!H$2,'HDD-by Country'!$A$4:$A$40,'HDD-by Country'!$C$4:$C$40)/1000/Flat!H$3</f>
        <v>2348.4795880536417</v>
      </c>
      <c r="I114" s="349">
        <f>I108*24*LOOKUP(Flat!I$2,'HDD-by Country'!$A$4:$A$40,'HDD-by Country'!$C$4:$C$40)/1000/Flat!I$3</f>
        <v>4105.8923655775143</v>
      </c>
      <c r="J114" s="349">
        <f>J108*24*LOOKUP(Flat!J$2,'HDD-by Country'!$A$4:$A$40,'HDD-by Country'!$C$4:$C$40)/1000/Flat!J$3</f>
        <v>2396.2432501853236</v>
      </c>
      <c r="K114" s="349">
        <f>K108*24*LOOKUP(Flat!K$2,'HDD-by Country'!$A$4:$A$40,'HDD-by Country'!$C$4:$C$40)/1000/Flat!K$3</f>
        <v>3230.8164129772954</v>
      </c>
      <c r="L114" s="349">
        <f>L108*24*LOOKUP(Flat!L$2,'HDD-by Country'!$A$4:$A$40,'HDD-by Country'!$C$4:$C$40)/1000/Flat!L$3</f>
        <v>2120.1146628851357</v>
      </c>
      <c r="M114" s="349">
        <f>M108*24*LOOKUP(Flat!M$2,'HDD-by Country'!$A$4:$A$40,'HDD-by Country'!$C$4:$C$40)/1000/Flat!M$3</f>
        <v>7480.4459715930834</v>
      </c>
      <c r="N114" s="349">
        <f>N108*24*LOOKUP(Flat!N$2,'HDD-by Country'!$A$4:$A$40,'HDD-by Country'!$C$4:$C$40)/1000/Flat!N$3</f>
        <v>3478.1674585164187</v>
      </c>
      <c r="O114" s="349">
        <f>O108*24*LOOKUP(Flat!O$2,'HDD-by Country'!$A$4:$A$40,'HDD-by Country'!$C$4:$C$40)/1000/Flat!O$3</f>
        <v>2434.2233819059243</v>
      </c>
      <c r="P114" s="349">
        <f>P108*24*LOOKUP(Flat!P$2,'HDD-by Country'!$A$4:$A$40,'HDD-by Country'!$C$4:$C$40)/1000/Flat!P$3</f>
        <v>9018.7636483806946</v>
      </c>
      <c r="Q114" s="349">
        <f>Q108*24*LOOKUP(Flat!Q$2,'HDD-by Country'!$A$4:$A$40,'HDD-by Country'!$C$4:$C$40)/1000/Flat!Q$3</f>
        <v>4369.7826699284979</v>
      </c>
      <c r="R114" s="349">
        <f>R108*24*LOOKUP(Flat!R$2,'HDD-by Country'!$A$4:$A$40,'HDD-by Country'!$C$4:$C$40)/1000/Flat!R$3</f>
        <v>4280.435445596182</v>
      </c>
      <c r="S114" s="349">
        <f>S108*24*LOOKUP(Flat!S$2,'HDD-by Country'!$A$4:$A$40,'HDD-by Country'!$C$4:$C$40)/1000/Flat!S$3</f>
        <v>3580.5367065787314</v>
      </c>
      <c r="T114" s="349">
        <f>T108*24*LOOKUP(Flat!T$2,'HDD-by Country'!$A$4:$A$40,'HDD-by Country'!$C$4:$C$40)/1000/Flat!T$3</f>
        <v>3626.5104545981703</v>
      </c>
      <c r="U114" s="349">
        <f>U108*24*LOOKUP(Flat!U$2,'HDD-by Country'!$A$4:$A$40,'HDD-by Country'!$C$4:$C$40)/1000/Flat!U$3</f>
        <v>4966.4184937367718</v>
      </c>
      <c r="V114" s="349">
        <f>V108*24*LOOKUP(Flat!V$2,'HDD-by Country'!$A$4:$A$40,'HDD-by Country'!$C$4:$C$40)/1000/Flat!V$3</f>
        <v>4399.8005471390115</v>
      </c>
      <c r="W114" s="349">
        <f>W108*24*LOOKUP(Flat!W$2,'HDD-by Country'!$A$4:$A$40,'HDD-by Country'!$C$4:$C$40)/1000/Flat!W$3</f>
        <v>3890.5557475321912</v>
      </c>
      <c r="X114" s="349">
        <f>X108*24*LOOKUP(Flat!X$2,'HDD-by Country'!$A$4:$A$40,'HDD-by Country'!$C$4:$C$40)/1000/Flat!X$3</f>
        <v>4150.2594975317534</v>
      </c>
      <c r="Y114" s="349">
        <f>Y108*24*LOOKUP(Flat!Y$2,'HDD-by Country'!$A$4:$A$40,'HDD-by Country'!$C$4:$C$40)/1000/Flat!Y$3</f>
        <v>2445.3863655333621</v>
      </c>
      <c r="Z114" s="349">
        <f>Z108*24*LOOKUP(Flat!Z$2,'HDD-by Country'!$A$4:$A$40,'HDD-by Country'!$C$4:$C$40)/1000/Flat!Z$3</f>
        <v>4440.8032801360205</v>
      </c>
      <c r="AA114" s="349">
        <f>AA108*24*LOOKUP(Flat!AA$2,'HDD-by Country'!$A$4:$A$40,'HDD-by Country'!$C$4:$C$40)/1000/Flat!AA$3</f>
        <v>4065.4223862113336</v>
      </c>
      <c r="AB114" s="349">
        <f>AB108*24*LOOKUP(Flat!AB$2,'HDD-by Country'!$A$4:$A$40,'HDD-by Country'!$C$4:$C$40)/1000/Flat!AB$3</f>
        <v>4605.0256864762841</v>
      </c>
      <c r="AC114" s="349">
        <f>AC108*24*LOOKUP(Flat!AC$2,'HDD-by Country'!$A$4:$A$40,'HDD-by Country'!$C$4:$C$40)/1000/Flat!AC$3</f>
        <v>4464.7128037440843</v>
      </c>
      <c r="AD114" s="349">
        <f>AD108*24*LOOKUP(Flat!AD$2,'HDD-by Country'!$A$4:$A$40,'HDD-by Country'!$C$4:$C$40)/1000/Flat!AD$3</f>
        <v>4244.2190640617773</v>
      </c>
      <c r="AE114" s="349">
        <f>AE108*24*LOOKUP(Flat!AE$2,'HDD-by Country'!$A$4:$A$40,'HDD-by Country'!$C$4:$C$40)/1000/Flat!AE$3</f>
        <v>3919.9715675760717</v>
      </c>
      <c r="AF114" s="349">
        <f>AF108*24*LOOKUP(Flat!AF$2,'HDD-by Country'!$A$4:$A$40,'HDD-by Country'!$C$4:$C$40)/1000/Flat!AF$3</f>
        <v>3326.7677754363567</v>
      </c>
      <c r="AG114" s="349">
        <f>AG108*24*LOOKUP(Flat!AG$2,'HDD-by Country'!$A$4:$A$40,'HDD-by Country'!$C$4:$C$40)/1000/Flat!AG$3</f>
        <v>7348.7560253956935</v>
      </c>
      <c r="AH114" s="349">
        <f>AH108*24*LOOKUP(Flat!AH$2,'HDD-by Country'!$A$4:$A$40,'HDD-by Country'!$C$4:$C$40)/1000/Flat!AH$3</f>
        <v>2253.6135035408579</v>
      </c>
      <c r="AI114" s="349">
        <f>AI108*24*LOOKUP(Flat!AI$2,'HDD-by Country'!$A$4:$A$40,'HDD-by Country'!$C$4:$C$40)/1000/Flat!AI$3</f>
        <v>7294.1765355960597</v>
      </c>
      <c r="AJ114" s="349">
        <f>AJ108*24*LOOKUP(Flat!AJ$2,'HDD-by Country'!$A$4:$A$40,'HDD-by Country'!$C$4:$C$40)/1000/Flat!AJ$3</f>
        <v>6442.1280962518376</v>
      </c>
      <c r="AK114" s="349">
        <f>AK108*24*LOOKUP(Flat!AK$2,'HDD-by Country'!$A$4:$A$40,'HDD-by Country'!$C$4:$C$40)/1000/Flat!AK$3</f>
        <v>6116.6353965454564</v>
      </c>
      <c r="AL114" s="349">
        <f>AL108*24*LOOKUP(Flat!AL$2,'HDD-by Country'!$A$4:$A$40,'HDD-by Country'!$C$4:$C$40)/1000/Flat!AL$3</f>
        <v>4870.309398337753</v>
      </c>
      <c r="AM114" s="349">
        <f>AM108*24*LOOKUP(Flat!AM$2,'HDD-by Country'!$A$4:$A$40,'HDD-by Country'!$C$4:$C$40)/1000/Flat!AM$3</f>
        <v>5924.0240228024259</v>
      </c>
      <c r="AN114" s="354">
        <f>AN108*24*LOOKUP(Flat!AN$2,'HDD-by Country'!$A$4:$A$40,'HDD-by Country'!$C$4:$C$40)/1000/Flat!AN$3</f>
        <v>5924.0240228024259</v>
      </c>
    </row>
    <row r="115" spans="1:40" s="5" customFormat="1">
      <c r="A115" s="130"/>
      <c r="B115" s="142" t="s">
        <v>7</v>
      </c>
      <c r="C115" s="129" t="s">
        <v>261</v>
      </c>
      <c r="D115" s="345">
        <f>D109*24*LOOKUP(Flat!D$2,'HDD-by Country'!$A$4:$A$40,'HDD-by Country'!$C$4:$C$40)/1000/Flat!D$3</f>
        <v>3625.7324999387383</v>
      </c>
      <c r="E115" s="349">
        <f>E109*24*LOOKUP(Flat!E$2,'HDD-by Country'!$A$4:$A$40,'HDD-by Country'!$C$4:$C$40)/1000/Flat!E$3</f>
        <v>4947.8699283717388</v>
      </c>
      <c r="F115" s="349">
        <f>F109*24*LOOKUP(Flat!F$2,'HDD-by Country'!$A$4:$A$40,'HDD-by Country'!$C$4:$C$40)/1000/Flat!F$3</f>
        <v>2474.3641026389314</v>
      </c>
      <c r="G115" s="349">
        <f>G109*24*LOOKUP(Flat!G$2,'HDD-by Country'!$A$4:$A$40,'HDD-by Country'!$C$4:$C$40)/1000/Flat!G$3</f>
        <v>3532.4008295430008</v>
      </c>
      <c r="H115" s="349">
        <f>H109*24*LOOKUP(Flat!H$2,'HDD-by Country'!$A$4:$A$40,'HDD-by Country'!$C$4:$C$40)/1000/Flat!H$3</f>
        <v>2081.5157682720419</v>
      </c>
      <c r="I115" s="349">
        <f>I109*24*LOOKUP(Flat!I$2,'HDD-by Country'!$A$4:$A$40,'HDD-by Country'!$C$4:$C$40)/1000/Flat!I$3</f>
        <v>3191.6909705898083</v>
      </c>
      <c r="J115" s="349">
        <f>J109*24*LOOKUP(Flat!J$2,'HDD-by Country'!$A$4:$A$40,'HDD-by Country'!$C$4:$C$40)/1000/Flat!J$3</f>
        <v>2687.1927531312531</v>
      </c>
      <c r="K115" s="349">
        <f>K109*24*LOOKUP(Flat!K$2,'HDD-by Country'!$A$4:$A$40,'HDD-by Country'!$C$4:$C$40)/1000/Flat!K$3</f>
        <v>2271.6059900519258</v>
      </c>
      <c r="L115" s="349">
        <f>L109*24*LOOKUP(Flat!L$2,'HDD-by Country'!$A$4:$A$40,'HDD-by Country'!$C$4:$C$40)/1000/Flat!L$3</f>
        <v>2120.1146628851357</v>
      </c>
      <c r="M115" s="349">
        <f>M109*24*LOOKUP(Flat!M$2,'HDD-by Country'!$A$4:$A$40,'HDD-by Country'!$C$4:$C$40)/1000/Flat!M$3</f>
        <v>4497.2319559463649</v>
      </c>
      <c r="N115" s="349">
        <f>N109*24*LOOKUP(Flat!N$2,'HDD-by Country'!$A$4:$A$40,'HDD-by Country'!$C$4:$C$40)/1000/Flat!N$3</f>
        <v>3068.2194490132997</v>
      </c>
      <c r="O115" s="349">
        <f>O109*24*LOOKUP(Flat!O$2,'HDD-by Country'!$A$4:$A$40,'HDD-by Country'!$C$4:$C$40)/1000/Flat!O$3</f>
        <v>2341.0280035741157</v>
      </c>
      <c r="P115" s="349">
        <f>P109*24*LOOKUP(Flat!P$2,'HDD-by Country'!$A$4:$A$40,'HDD-by Country'!$C$4:$C$40)/1000/Flat!P$3</f>
        <v>3166.3939966953476</v>
      </c>
      <c r="Q115" s="349">
        <f>Q109*24*LOOKUP(Flat!Q$2,'HDD-by Country'!$A$4:$A$40,'HDD-by Country'!$C$4:$C$40)/1000/Flat!Q$3</f>
        <v>2422.6340269616862</v>
      </c>
      <c r="R115" s="349">
        <f>R109*24*LOOKUP(Flat!R$2,'HDD-by Country'!$A$4:$A$40,'HDD-by Country'!$C$4:$C$40)/1000/Flat!R$3</f>
        <v>2488.9267773361307</v>
      </c>
      <c r="S115" s="349">
        <f>S109*24*LOOKUP(Flat!S$2,'HDD-by Country'!$A$4:$A$40,'HDD-by Country'!$C$4:$C$40)/1000/Flat!S$3</f>
        <v>2221.5331430810065</v>
      </c>
      <c r="T115" s="349">
        <f>T109*24*LOOKUP(Flat!T$2,'HDD-by Country'!$A$4:$A$40,'HDD-by Country'!$C$4:$C$40)/1000/Flat!T$3</f>
        <v>3230.0960099113954</v>
      </c>
      <c r="U115" s="349">
        <f>U109*24*LOOKUP(Flat!U$2,'HDD-by Country'!$A$4:$A$40,'HDD-by Country'!$C$4:$C$40)/1000/Flat!U$3</f>
        <v>4625.8296937367722</v>
      </c>
      <c r="V115" s="349">
        <f>V109*24*LOOKUP(Flat!V$2,'HDD-by Country'!$A$4:$A$40,'HDD-by Country'!$C$4:$C$40)/1000/Flat!V$3</f>
        <v>2380.8742329804822</v>
      </c>
      <c r="W115" s="349">
        <f>W109*24*LOOKUP(Flat!W$2,'HDD-by Country'!$A$4:$A$40,'HDD-by Country'!$C$4:$C$40)/1000/Flat!W$3</f>
        <v>2971.6638341186676</v>
      </c>
      <c r="X115" s="349">
        <f>X109*24*LOOKUP(Flat!X$2,'HDD-by Country'!$A$4:$A$40,'HDD-by Country'!$C$4:$C$40)/1000/Flat!X$3</f>
        <v>2400.1480951033182</v>
      </c>
      <c r="Y115" s="349">
        <f>Y109*24*LOOKUP(Flat!Y$2,'HDD-by Country'!$A$4:$A$40,'HDD-by Country'!$C$4:$C$40)/1000/Flat!Y$3</f>
        <v>2279.9175035479966</v>
      </c>
      <c r="Z115" s="349">
        <f>Z109*24*LOOKUP(Flat!Z$2,'HDD-by Country'!$A$4:$A$40,'HDD-by Country'!$C$4:$C$40)/1000/Flat!Z$3</f>
        <v>3131.0996713400846</v>
      </c>
      <c r="AA115" s="349">
        <f>AA109*24*LOOKUP(Flat!AA$2,'HDD-by Country'!$A$4:$A$40,'HDD-by Country'!$C$4:$C$40)/1000/Flat!AA$3</f>
        <v>3412.3247599457345</v>
      </c>
      <c r="AB115" s="349">
        <f>AB109*24*LOOKUP(Flat!AB$2,'HDD-by Country'!$A$4:$A$40,'HDD-by Country'!$C$4:$C$40)/1000/Flat!AB$3</f>
        <v>3411.4866770947492</v>
      </c>
      <c r="AC115" s="349">
        <f>AC109*24*LOOKUP(Flat!AC$2,'HDD-by Country'!$A$4:$A$40,'HDD-by Country'!$C$4:$C$40)/1000/Flat!AC$3</f>
        <v>2994.165341866471</v>
      </c>
      <c r="AD115" s="349">
        <f>AD109*24*LOOKUP(Flat!AD$2,'HDD-by Country'!$A$4:$A$40,'HDD-by Country'!$C$4:$C$40)/1000/Flat!AD$3</f>
        <v>3038.4694172802583</v>
      </c>
      <c r="AE115" s="349">
        <f>AE109*24*LOOKUP(Flat!AE$2,'HDD-by Country'!$A$4:$A$40,'HDD-by Country'!$C$4:$C$40)/1000/Flat!AE$3</f>
        <v>3290.2401688176724</v>
      </c>
      <c r="AF115" s="349">
        <f>AF109*24*LOOKUP(Flat!AF$2,'HDD-by Country'!$A$4:$A$40,'HDD-by Country'!$C$4:$C$40)/1000/Flat!AF$3</f>
        <v>1845.0739767969517</v>
      </c>
      <c r="AG115" s="349">
        <f>AG109*24*LOOKUP(Flat!AG$2,'HDD-by Country'!$A$4:$A$40,'HDD-by Country'!$C$4:$C$40)/1000/Flat!AG$3</f>
        <v>3896.1656570090863</v>
      </c>
      <c r="AH115" s="349">
        <f>AH109*24*LOOKUP(Flat!AH$2,'HDD-by Country'!$A$4:$A$40,'HDD-by Country'!$C$4:$C$40)/1000/Flat!AH$3</f>
        <v>1847.1835836842045</v>
      </c>
      <c r="AI115" s="349">
        <f>AI109*24*LOOKUP(Flat!AI$2,'HDD-by Country'!$A$4:$A$40,'HDD-by Country'!$C$4:$C$40)/1000/Flat!AI$3</f>
        <v>2682.6042960930399</v>
      </c>
      <c r="AJ115" s="349">
        <f>AJ109*24*LOOKUP(Flat!AJ$2,'HDD-by Country'!$A$4:$A$40,'HDD-by Country'!$C$4:$C$40)/1000/Flat!AJ$3</f>
        <v>5422.7664875142009</v>
      </c>
      <c r="AK115" s="349">
        <f>AK109*24*LOOKUP(Flat!AK$2,'HDD-by Country'!$A$4:$A$40,'HDD-by Country'!$C$4:$C$40)/1000/Flat!AK$3</f>
        <v>5155.1528756762291</v>
      </c>
      <c r="AL115" s="349">
        <f>AL109*24*LOOKUP(Flat!AL$2,'HDD-by Country'!$A$4:$A$40,'HDD-by Country'!$C$4:$C$40)/1000/Flat!AL$3</f>
        <v>2907.9305020283564</v>
      </c>
      <c r="AM115" s="349">
        <f>AM109*24*LOOKUP(Flat!AM$2,'HDD-by Country'!$A$4:$A$40,'HDD-by Country'!$C$4:$C$40)/1000/Flat!AM$3</f>
        <v>4986.6439260611423</v>
      </c>
      <c r="AN115" s="354">
        <f>AN109*24*LOOKUP(Flat!AN$2,'HDD-by Country'!$A$4:$A$40,'HDD-by Country'!$C$4:$C$40)/1000/Flat!AN$3</f>
        <v>4986.6439260611423</v>
      </c>
    </row>
    <row r="116" spans="1:40" s="5" customFormat="1">
      <c r="A116" s="151" t="s">
        <v>260</v>
      </c>
      <c r="B116" s="141" t="s">
        <v>2</v>
      </c>
      <c r="C116" s="360" t="s">
        <v>261</v>
      </c>
      <c r="D116" s="351">
        <f>D110/(1.355*(D104/Flat!D$17)^0.16)</f>
        <v>7234.4656517612939</v>
      </c>
      <c r="E116" s="352">
        <f>E110/(1.355*(E104/Flat!E$17)^0.16)</f>
        <v>6867.2354394780441</v>
      </c>
      <c r="F116" s="352">
        <f>F110/(1.355*(F104/Flat!F$17)^0.16)</f>
        <v>4056.6054786752497</v>
      </c>
      <c r="G116" s="352">
        <f>G110/(1.355*(G104/Flat!G$17)^0.16)</f>
        <v>7048.2398991138289</v>
      </c>
      <c r="H116" s="352">
        <f>H110/(1.355*(H104/Flat!H$17)^0.16)</f>
        <v>2171.0280874539271</v>
      </c>
      <c r="I116" s="352">
        <f>I110/(1.355*(I104/Flat!I$17)^0.16)</f>
        <v>4971.6641171460415</v>
      </c>
      <c r="J116" s="352">
        <f>J110/(1.355*(J104/Flat!J$17)^0.16)</f>
        <v>6849.8379062918812</v>
      </c>
      <c r="K116" s="352">
        <f>K110/(1.355*(K104/Flat!K$17)^0.16)</f>
        <v>4342.838728474635</v>
      </c>
      <c r="L116" s="352">
        <f>L110/(1.355*(L104/Flat!L$17)^0.16)</f>
        <v>3264.0819231316032</v>
      </c>
      <c r="M116" s="352">
        <f>M110/(1.355*(M104/Flat!M$17)^0.16)</f>
        <v>8110.819550290199</v>
      </c>
      <c r="N116" s="352">
        <f>N110/(1.355*(N104/Flat!N$17)^0.16)</f>
        <v>4311.3310318810718</v>
      </c>
      <c r="O116" s="352">
        <f>O110/(1.355*(O104/Flat!O$17)^0.16)</f>
        <v>7172.4548779342904</v>
      </c>
      <c r="P116" s="352">
        <f>P110/(1.355*(P104/Flat!P$17)^0.16)</f>
        <v>5982.0162470777113</v>
      </c>
      <c r="Q116" s="352">
        <f>Q110/(1.355*(Q104/Flat!Q$17)^0.16)</f>
        <v>4788.096046019773</v>
      </c>
      <c r="R116" s="352">
        <f>R110/(1.355*(R104/Flat!R$17)^0.16)</f>
        <v>4697.0093485784355</v>
      </c>
      <c r="S116" s="352">
        <f>S110/(1.355*(S104/Flat!S$17)^0.16)</f>
        <v>4038.4699653205162</v>
      </c>
      <c r="T116" s="352">
        <f>T110/(1.355*(T104/Flat!T$17)^0.16)</f>
        <v>4822.4489214365885</v>
      </c>
      <c r="U116" s="352">
        <f>U110/(1.355*(U104/Flat!U$17)^0.16)</f>
        <v>5838.645729541824</v>
      </c>
      <c r="V116" s="352">
        <f>V110/(1.355*(V104/Flat!V$17)^0.16)</f>
        <v>5118.3945015332238</v>
      </c>
      <c r="W116" s="352">
        <f>W110/(1.355*(W104/Flat!W$17)^0.16)</f>
        <v>6597.2886121940164</v>
      </c>
      <c r="X116" s="352">
        <f>X110/(1.355*(X104/Flat!X$17)^0.16)</f>
        <v>5565.8543885989111</v>
      </c>
      <c r="Y116" s="352">
        <f>Y110/(1.355*(Y104/Flat!Y$17)^0.16)</f>
        <v>2170.1900092744795</v>
      </c>
      <c r="Z116" s="352">
        <f>Z110/(1.355*(Z104/Flat!Z$17)^0.16)</f>
        <v>7024.6940458441823</v>
      </c>
      <c r="AA116" s="352">
        <f>AA110/(1.355*(AA104/Flat!AA$17)^0.16)</f>
        <v>5237.0397693710065</v>
      </c>
      <c r="AB116" s="352">
        <f>AB110/(1.355*(AB104/Flat!AB$17)^0.16)</f>
        <v>5982.700281803217</v>
      </c>
      <c r="AC116" s="352">
        <f>AC110/(1.355*(AC104/Flat!AC$17)^0.16)</f>
        <v>3990.6604066990608</v>
      </c>
      <c r="AD116" s="352">
        <f>AD110/(1.355*(AD104/Flat!AD$17)^0.16)</f>
        <v>3690.6377792230651</v>
      </c>
      <c r="AE116" s="352">
        <f>AE110/(1.355*(AE104/Flat!AE$17)^0.16)</f>
        <v>5049.6713610442366</v>
      </c>
      <c r="AF116" s="352">
        <f>AF110/(1.355*(AF104/Flat!AF$17)^0.16)</f>
        <v>4778.7452651440772</v>
      </c>
      <c r="AG116" s="352">
        <f>AG110/(1.355*(AG104/Flat!AG$17)^0.16)</f>
        <v>7041.2600542568225</v>
      </c>
      <c r="AH116" s="352">
        <f>AH110/(1.355*(AH104/Flat!AH$17)^0.16)</f>
        <v>3969.6888760523389</v>
      </c>
      <c r="AI116" s="352">
        <f>AI110/(1.355*(AI104/Flat!AI$17)^0.16)</f>
        <v>4807.0081397213016</v>
      </c>
      <c r="AJ116" s="352">
        <f>AJ110/(1.355*(AJ104/Flat!AJ$17)^0.16)</f>
        <v>5350.8198255083244</v>
      </c>
      <c r="AK116" s="352">
        <f>AK110/(1.355*(AK104/Flat!AK$17)^0.16)</f>
        <v>5114.6324050920257</v>
      </c>
      <c r="AL116" s="352">
        <f>AL110/(1.355*(AL104/Flat!AL$17)^0.16)</f>
        <v>5184.9774643113369</v>
      </c>
      <c r="AM116" s="352">
        <f>AM110/(1.355*(AM104/Flat!AM$17)^0.16)</f>
        <v>4920.483528795643</v>
      </c>
      <c r="AN116" s="353">
        <f>AN110/(1.355*(AN104/Flat!AN$17)^0.16)</f>
        <v>4920.483528795643</v>
      </c>
    </row>
    <row r="117" spans="1:40" s="5" customFormat="1">
      <c r="A117" s="129"/>
      <c r="B117" s="142" t="s">
        <v>3</v>
      </c>
      <c r="C117" s="129" t="s">
        <v>261</v>
      </c>
      <c r="D117" s="345">
        <f>D111/(1.355*(D105/Flat!D$17)^0.16)</f>
        <v>6576.1307732105315</v>
      </c>
      <c r="E117" s="349">
        <f>E111/(1.355*(E105/Flat!E$17)^0.16)</f>
        <v>6867.2354394780441</v>
      </c>
      <c r="F117" s="349">
        <f>F111/(1.355*(F105/Flat!F$17)^0.16)</f>
        <v>4056.6054786752497</v>
      </c>
      <c r="G117" s="349">
        <f>G111/(1.355*(G105/Flat!G$17)^0.16)</f>
        <v>6406.8515255509428</v>
      </c>
      <c r="H117" s="349">
        <f>H111/(1.355*(H105/Flat!H$17)^0.16)</f>
        <v>1959.7819650219178</v>
      </c>
      <c r="I117" s="349">
        <f>I111/(1.355*(I105/Flat!I$17)^0.16)</f>
        <v>4598.6058886239816</v>
      </c>
      <c r="J117" s="349">
        <f>J111/(1.355*(J105/Flat!J$17)^0.16)</f>
        <v>5544.0696731386206</v>
      </c>
      <c r="K117" s="349">
        <f>K111/(1.355*(K105/Flat!K$17)^0.16)</f>
        <v>4289.1498359768011</v>
      </c>
      <c r="L117" s="349">
        <f>L111/(1.355*(L105/Flat!L$17)^0.16)</f>
        <v>3264.0819231316032</v>
      </c>
      <c r="M117" s="349">
        <f>M111/(1.355*(M105/Flat!M$17)^0.16)</f>
        <v>7368.4453031095672</v>
      </c>
      <c r="N117" s="349">
        <f>N111/(1.355*(N105/Flat!N$17)^0.16)</f>
        <v>4051.3979963257125</v>
      </c>
      <c r="O117" s="349">
        <f>O111/(1.355*(O105/Flat!O$17)^0.16)</f>
        <v>7172.4548779342904</v>
      </c>
      <c r="P117" s="349">
        <f>P111/(1.355*(P105/Flat!P$17)^0.16)</f>
        <v>5982.0162470777113</v>
      </c>
      <c r="Q117" s="349">
        <f>Q111/(1.355*(Q105/Flat!Q$17)^0.16)</f>
        <v>5131.6243971175945</v>
      </c>
      <c r="R117" s="349">
        <f>R111/(1.355*(R105/Flat!R$17)^0.16)</f>
        <v>4697.0093485784355</v>
      </c>
      <c r="S117" s="349">
        <f>S111/(1.355*(S105/Flat!S$17)^0.16)</f>
        <v>4039.4735549624233</v>
      </c>
      <c r="T117" s="349">
        <f>T111/(1.355*(T105/Flat!T$17)^0.16)</f>
        <v>4536.0682323259061</v>
      </c>
      <c r="U117" s="349">
        <f>U111/(1.355*(U105/Flat!U$17)^0.16)</f>
        <v>5494.5670859338943</v>
      </c>
      <c r="V117" s="349">
        <f>V111/(1.355*(V105/Flat!V$17)^0.16)</f>
        <v>5118.3945015332238</v>
      </c>
      <c r="W117" s="349">
        <f>W111/(1.355*(W105/Flat!W$17)^0.16)</f>
        <v>7706.5735319978276</v>
      </c>
      <c r="X117" s="349">
        <f>X111/(1.355*(X105/Flat!X$17)^0.16)</f>
        <v>5477.1045239949508</v>
      </c>
      <c r="Y117" s="349">
        <f>Y111/(1.355*(Y105/Flat!Y$17)^0.16)</f>
        <v>2170.1380718205269</v>
      </c>
      <c r="Z117" s="349">
        <f>Z111/(1.355*(Z105/Flat!Z$17)^0.16)</f>
        <v>6300.1115066037437</v>
      </c>
      <c r="AA117" s="349">
        <f>AA111/(1.355*(AA105/Flat!AA$17)^0.16)</f>
        <v>5212.0706407456782</v>
      </c>
      <c r="AB117" s="349">
        <f>AB111/(1.355*(AB105/Flat!AB$17)^0.16)</f>
        <v>4661.3536556311883</v>
      </c>
      <c r="AC117" s="349">
        <f>AC111/(1.355*(AC105/Flat!AC$17)^0.16)</f>
        <v>3471.4154051433666</v>
      </c>
      <c r="AD117" s="349">
        <f>AD111/(1.355*(AD105/Flat!AD$17)^0.16)</f>
        <v>3385.8128236120574</v>
      </c>
      <c r="AE117" s="349">
        <f>AE111/(1.355*(AE105/Flat!AE$17)^0.16)</f>
        <v>5025.5955664575749</v>
      </c>
      <c r="AF117" s="349">
        <f>AF111/(1.355*(AF105/Flat!AF$17)^0.16)</f>
        <v>4778.7452651440772</v>
      </c>
      <c r="AG117" s="349">
        <f>AG111/(1.355*(AG105/Flat!AG$17)^0.16)</f>
        <v>6160.9579315489864</v>
      </c>
      <c r="AH117" s="349">
        <f>AH111/(1.355*(AH105/Flat!AH$17)^0.16)</f>
        <v>4137.0448871729477</v>
      </c>
      <c r="AI117" s="349">
        <f>AI111/(1.355*(AI105/Flat!AI$17)^0.16)</f>
        <v>4807.0081397213016</v>
      </c>
      <c r="AJ117" s="349">
        <f>AJ111/(1.355*(AJ105/Flat!AJ$17)^0.16)</f>
        <v>5350.8198255083244</v>
      </c>
      <c r="AK117" s="349">
        <f>AK111/(1.355*(AK105/Flat!AK$17)^0.16)</f>
        <v>5114.6324050920257</v>
      </c>
      <c r="AL117" s="349">
        <f>AL111/(1.355*(AL105/Flat!AL$17)^0.16)</f>
        <v>5184.9774643113369</v>
      </c>
      <c r="AM117" s="349">
        <f>AM111/(1.355*(AM105/Flat!AM$17)^0.16)</f>
        <v>4920.483528795643</v>
      </c>
      <c r="AN117" s="354">
        <f>AN111/(1.355*(AN105/Flat!AN$17)^0.16)</f>
        <v>4920.483528795643</v>
      </c>
    </row>
    <row r="118" spans="1:40" s="5" customFormat="1">
      <c r="A118" s="129"/>
      <c r="B118" s="142" t="s">
        <v>4</v>
      </c>
      <c r="C118" s="129" t="s">
        <v>261</v>
      </c>
      <c r="D118" s="345">
        <f>D112/(1.355*(D106/Flat!D$17)^0.16)</f>
        <v>5451.0492013517069</v>
      </c>
      <c r="E118" s="349">
        <f>E112/(1.355*(E106/Flat!E$17)^0.16)</f>
        <v>6867.2354394780441</v>
      </c>
      <c r="F118" s="349">
        <f>F112/(1.355*(F106/Flat!F$17)^0.16)</f>
        <v>3855.6378757858593</v>
      </c>
      <c r="G118" s="349">
        <f>G112/(1.355*(G106/Flat!G$17)^0.16)</f>
        <v>5310.7312028837841</v>
      </c>
      <c r="H118" s="349">
        <f>H112/(1.355*(H106/Flat!H$17)^0.16)</f>
        <v>1979.1168083701891</v>
      </c>
      <c r="I118" s="349">
        <f>I112/(1.355*(I106/Flat!I$17)^0.16)</f>
        <v>4598.6058886239816</v>
      </c>
      <c r="J118" s="349">
        <f>J112/(1.355*(J106/Flat!J$17)^0.16)</f>
        <v>4063.9421878782296</v>
      </c>
      <c r="K118" s="349">
        <f>K112/(1.355*(K106/Flat!K$17)^0.16)</f>
        <v>3096.4008146053848</v>
      </c>
      <c r="L118" s="349">
        <f>L112/(1.355*(L106/Flat!L$17)^0.16)</f>
        <v>2725.0289447372452</v>
      </c>
      <c r="M118" s="349">
        <f>M112/(1.355*(M106/Flat!M$17)^0.16)</f>
        <v>7368.4453031095672</v>
      </c>
      <c r="N118" s="349">
        <f>N112/(1.355*(N106/Flat!N$17)^0.16)</f>
        <v>3451.9796839830051</v>
      </c>
      <c r="O118" s="349">
        <f>O112/(1.355*(O106/Flat!O$17)^0.16)</f>
        <v>3881.1561308229011</v>
      </c>
      <c r="P118" s="349">
        <f>P112/(1.355*(P106/Flat!P$17)^0.16)</f>
        <v>5982.0162470777113</v>
      </c>
      <c r="Q118" s="349">
        <f>Q112/(1.355*(Q106/Flat!Q$17)^0.16)</f>
        <v>4422.7063766332112</v>
      </c>
      <c r="R118" s="349">
        <f>R112/(1.355*(R106/Flat!R$17)^0.16)</f>
        <v>4147.8502832069798</v>
      </c>
      <c r="S118" s="349">
        <f>S112/(1.355*(S106/Flat!S$17)^0.16)</f>
        <v>4022.5843341934101</v>
      </c>
      <c r="T118" s="349">
        <f>T112/(1.355*(T106/Flat!T$17)^0.16)</f>
        <v>3772.1955362202611</v>
      </c>
      <c r="U118" s="349">
        <f>U112/(1.355*(U106/Flat!U$17)^0.16)</f>
        <v>5249.5574225324081</v>
      </c>
      <c r="V118" s="349">
        <f>V112/(1.355*(V106/Flat!V$17)^0.16)</f>
        <v>3427.3432555632198</v>
      </c>
      <c r="W118" s="349">
        <f>W112/(1.355*(W106/Flat!W$17)^0.16)</f>
        <v>4214.2300267393448</v>
      </c>
      <c r="X118" s="349">
        <f>X112/(1.355*(X106/Flat!X$17)^0.16)</f>
        <v>5176.9537904917161</v>
      </c>
      <c r="Y118" s="349">
        <f>Y112/(1.355*(Y106/Flat!Y$17)^0.16)</f>
        <v>1702.2328918744602</v>
      </c>
      <c r="Z118" s="349">
        <f>Z112/(1.355*(Z106/Flat!Z$17)^0.16)</f>
        <v>6184.5694979191994</v>
      </c>
      <c r="AA118" s="349">
        <f>AA112/(1.355*(AA106/Flat!AA$17)^0.16)</f>
        <v>3918.6592159582342</v>
      </c>
      <c r="AB118" s="349">
        <f>AB112/(1.355*(AB106/Flat!AB$17)^0.16)</f>
        <v>3405.1877823884529</v>
      </c>
      <c r="AC118" s="349">
        <f>AC112/(1.355*(AC106/Flat!AC$17)^0.16)</f>
        <v>3470.623035648769</v>
      </c>
      <c r="AD118" s="349">
        <f>AD112/(1.355*(AD106/Flat!AD$17)^0.16)</f>
        <v>3385.8128236120574</v>
      </c>
      <c r="AE118" s="349">
        <f>AE112/(1.355*(AE106/Flat!AE$17)^0.16)</f>
        <v>3778.4592227553367</v>
      </c>
      <c r="AF118" s="349">
        <f>AF112/(1.355*(AF106/Flat!AF$17)^0.16)</f>
        <v>4612.843453571074</v>
      </c>
      <c r="AG118" s="349">
        <f>AG112/(1.355*(AG106/Flat!AG$17)^0.16)</f>
        <v>6160.9579315489864</v>
      </c>
      <c r="AH118" s="349">
        <f>AH112/(1.355*(AH106/Flat!AH$17)^0.16)</f>
        <v>3615.6874214318709</v>
      </c>
      <c r="AI118" s="349">
        <f>AI112/(1.355*(AI106/Flat!AI$17)^0.16)</f>
        <v>4807.0081397213016</v>
      </c>
      <c r="AJ118" s="349">
        <f>AJ112/(1.355*(AJ106/Flat!AJ$17)^0.16)</f>
        <v>5350.8198255083244</v>
      </c>
      <c r="AK118" s="349">
        <f>AK112/(1.355*(AK106/Flat!AK$17)^0.16)</f>
        <v>5114.6324050920257</v>
      </c>
      <c r="AL118" s="349">
        <f>AL112/(1.355*(AL106/Flat!AL$17)^0.16)</f>
        <v>4912.9284361188475</v>
      </c>
      <c r="AM118" s="349">
        <f>AM112/(1.355*(AM106/Flat!AM$17)^0.16)</f>
        <v>4920.483528795643</v>
      </c>
      <c r="AN118" s="354">
        <f>AN112/(1.355*(AN106/Flat!AN$17)^0.16)</f>
        <v>4920.483528795643</v>
      </c>
    </row>
    <row r="119" spans="1:40" s="5" customFormat="1">
      <c r="A119" s="129"/>
      <c r="B119" s="142" t="s">
        <v>5</v>
      </c>
      <c r="C119" s="129" t="s">
        <v>261</v>
      </c>
      <c r="D119" s="345">
        <f>D113/(1.355*(D107/Flat!D$17)^0.16)</f>
        <v>3869.9847727692509</v>
      </c>
      <c r="E119" s="349">
        <f>E113/(1.355*(E107/Flat!E$17)^0.16)</f>
        <v>6041.238886203434</v>
      </c>
      <c r="F119" s="349">
        <f>F113/(1.355*(F107/Flat!F$17)^0.16)</f>
        <v>3330.8044701086974</v>
      </c>
      <c r="G119" s="349">
        <f>G113/(1.355*(G107/Flat!G$17)^0.16)</f>
        <v>3770.3656907617601</v>
      </c>
      <c r="H119" s="349">
        <f>H113/(1.355*(H107/Flat!H$17)^0.16)</f>
        <v>1933.4353494696252</v>
      </c>
      <c r="I119" s="349">
        <f>I113/(1.355*(I107/Flat!I$17)^0.16)</f>
        <v>4215.3729648316194</v>
      </c>
      <c r="J119" s="349">
        <f>J113/(1.355*(J107/Flat!J$17)^0.16)</f>
        <v>3551.9164971764403</v>
      </c>
      <c r="K119" s="349">
        <f>K113/(1.355*(K107/Flat!K$17)^0.16)</f>
        <v>2631.5576240386745</v>
      </c>
      <c r="L119" s="349">
        <f>L113/(1.355*(L107/Flat!L$17)^0.16)</f>
        <v>2068.4256475806574</v>
      </c>
      <c r="M119" s="349">
        <f>M113/(1.355*(M107/Flat!M$17)^0.16)</f>
        <v>5180.6178933864267</v>
      </c>
      <c r="N119" s="349">
        <f>N113/(1.355*(N107/Flat!N$17)^0.16)</f>
        <v>2862.1887066789295</v>
      </c>
      <c r="O119" s="349">
        <f>O113/(1.355*(O107/Flat!O$17)^0.16)</f>
        <v>3373.5367192825856</v>
      </c>
      <c r="P119" s="349">
        <f>P113/(1.355*(P107/Flat!P$17)^0.16)</f>
        <v>5855.1641361023876</v>
      </c>
      <c r="Q119" s="349">
        <f>Q113/(1.355*(Q107/Flat!Q$17)^0.16)</f>
        <v>4422.7063766332112</v>
      </c>
      <c r="R119" s="349">
        <f>R113/(1.355*(R107/Flat!R$17)^0.16)</f>
        <v>3139.3518816739702</v>
      </c>
      <c r="S119" s="349">
        <f>S113/(1.355*(S107/Flat!S$17)^0.16)</f>
        <v>2975.752228259897</v>
      </c>
      <c r="T119" s="349">
        <f>T113/(1.355*(T107/Flat!T$17)^0.16)</f>
        <v>3062.524419081105</v>
      </c>
      <c r="U119" s="349">
        <f>U113/(1.355*(U107/Flat!U$17)^0.16)</f>
        <v>3873.750761425355</v>
      </c>
      <c r="V119" s="349">
        <f>V113/(1.355*(V107/Flat!V$17)^0.16)</f>
        <v>3427.3432555632198</v>
      </c>
      <c r="W119" s="349">
        <f>W113/(1.355*(W107/Flat!W$17)^0.16)</f>
        <v>3648.5909733116255</v>
      </c>
      <c r="X119" s="349">
        <f>X113/(1.355*(X107/Flat!X$17)^0.16)</f>
        <v>3289.8034295214643</v>
      </c>
      <c r="Y119" s="349">
        <f>Y113/(1.355*(Y107/Flat!Y$17)^0.16)</f>
        <v>1608.0955724162368</v>
      </c>
      <c r="Z119" s="349">
        <f>Z113/(1.355*(Z107/Flat!Z$17)^0.16)</f>
        <v>3789.3985371294475</v>
      </c>
      <c r="AA119" s="349">
        <f>AA113/(1.355*(AA107/Flat!AA$17)^0.16)</f>
        <v>3856.9884055529155</v>
      </c>
      <c r="AB119" s="349">
        <f>AB113/(1.355*(AB107/Flat!AB$17)^0.16)</f>
        <v>3405.1877823884529</v>
      </c>
      <c r="AC119" s="349">
        <f>AC113/(1.355*(AC107/Flat!AC$17)^0.16)</f>
        <v>3364.6707864170526</v>
      </c>
      <c r="AD119" s="349">
        <f>AD113/(1.355*(AD107/Flat!AD$17)^0.16)</f>
        <v>2917.6572831341946</v>
      </c>
      <c r="AE119" s="349">
        <f>AE113/(1.355*(AE107/Flat!AE$17)^0.16)</f>
        <v>3718.9948423361807</v>
      </c>
      <c r="AF119" s="349">
        <f>AF113/(1.355*(AF107/Flat!AF$17)^0.16)</f>
        <v>3374.5793537593195</v>
      </c>
      <c r="AG119" s="349">
        <f>AG113/(1.355*(AG107/Flat!AG$17)^0.16)</f>
        <v>5359.6840589694848</v>
      </c>
      <c r="AH119" s="349">
        <f>AH113/(1.355*(AH107/Flat!AH$17)^0.16)</f>
        <v>2380.2641086151107</v>
      </c>
      <c r="AI119" s="349">
        <f>AI113/(1.355*(AI107/Flat!AI$17)^0.16)</f>
        <v>4712.3212897141666</v>
      </c>
      <c r="AJ119" s="349">
        <f>AJ113/(1.355*(AJ107/Flat!AJ$17)^0.16)</f>
        <v>4777.3582133084501</v>
      </c>
      <c r="AK119" s="349">
        <f>AK113/(1.355*(AK107/Flat!AK$17)^0.16)</f>
        <v>4560.4039785560544</v>
      </c>
      <c r="AL119" s="349">
        <f>AL113/(1.355*(AL107/Flat!AL$17)^0.16)</f>
        <v>4212.8365108149892</v>
      </c>
      <c r="AM119" s="349">
        <f>AM113/(1.355*(AM107/Flat!AM$17)^0.16)</f>
        <v>4393.1422036823424</v>
      </c>
      <c r="AN119" s="354">
        <f>AN113/(1.355*(AN107/Flat!AN$17)^0.16)</f>
        <v>4393.1422036823424</v>
      </c>
    </row>
    <row r="120" spans="1:40" s="5" customFormat="1">
      <c r="A120" s="129"/>
      <c r="B120" s="142" t="s">
        <v>6</v>
      </c>
      <c r="C120" s="129" t="s">
        <v>261</v>
      </c>
      <c r="D120" s="345">
        <f>D114/(1.355*(D108/Flat!D$17)^0.16)</f>
        <v>3242.852630332889</v>
      </c>
      <c r="E120" s="349">
        <f>E114/(1.355*(E108/Flat!E$17)^0.16)</f>
        <v>6041.238886203434</v>
      </c>
      <c r="F120" s="349">
        <f>F114/(1.355*(F108/Flat!F$17)^0.16)</f>
        <v>2853.0070820627288</v>
      </c>
      <c r="G120" s="349">
        <f>G114/(1.355*(G108/Flat!G$17)^0.16)</f>
        <v>3159.3768491379747</v>
      </c>
      <c r="H120" s="349">
        <f>H114/(1.355*(H108/Flat!H$17)^0.16)</f>
        <v>1612.0037604727584</v>
      </c>
      <c r="I120" s="349">
        <f>I114/(1.355*(I108/Flat!I$17)^0.16)</f>
        <v>3222.4122512644572</v>
      </c>
      <c r="J120" s="349">
        <f>J114/(1.355*(J108/Flat!J$17)^0.16)</f>
        <v>2024.2369611310621</v>
      </c>
      <c r="K120" s="349">
        <f>K114/(1.355*(K108/Flat!K$17)^0.16)</f>
        <v>2631.5576240386745</v>
      </c>
      <c r="L120" s="349">
        <f>L114/(1.355*(L108/Flat!L$17)^0.16)</f>
        <v>1865.2967335736409</v>
      </c>
      <c r="M120" s="349">
        <f>M114/(1.355*(M108/Flat!M$17)^0.16)</f>
        <v>5180.6178933864267</v>
      </c>
      <c r="N120" s="349">
        <f>N114/(1.355*(N108/Flat!N$17)^0.16)</f>
        <v>2838.2035749816991</v>
      </c>
      <c r="O120" s="349">
        <f>O114/(1.355*(O108/Flat!O$17)^0.16)</f>
        <v>1976.5013423187997</v>
      </c>
      <c r="P120" s="349">
        <f>P114/(1.355*(P108/Flat!P$17)^0.16)</f>
        <v>5855.1641361023876</v>
      </c>
      <c r="Q120" s="349">
        <f>Q114/(1.355*(Q108/Flat!Q$17)^0.16)</f>
        <v>3241.2726046551584</v>
      </c>
      <c r="R120" s="349">
        <f>R114/(1.355*(R108/Flat!R$17)^0.16)</f>
        <v>3139.3518816739702</v>
      </c>
      <c r="S120" s="349">
        <f>S114/(1.355*(S108/Flat!S$17)^0.16)</f>
        <v>2605.6190821085997</v>
      </c>
      <c r="T120" s="349">
        <f>T114/(1.355*(T108/Flat!T$17)^0.16)</f>
        <v>3033.2420202378557</v>
      </c>
      <c r="U120" s="349">
        <f>U114/(1.355*(U108/Flat!U$17)^0.16)</f>
        <v>3590.8531192234727</v>
      </c>
      <c r="V120" s="349">
        <f>V114/(1.355*(V108/Flat!V$17)^0.16)</f>
        <v>3427.3432555632198</v>
      </c>
      <c r="W120" s="349">
        <f>W114/(1.355*(W108/Flat!W$17)^0.16)</f>
        <v>3142.841354743161</v>
      </c>
      <c r="X120" s="349">
        <f>X114/(1.355*(X108/Flat!X$17)^0.16)</f>
        <v>3284.3075652880439</v>
      </c>
      <c r="Y120" s="349">
        <f>Y114/(1.355*(Y108/Flat!Y$17)^0.16)</f>
        <v>1607.5530429321359</v>
      </c>
      <c r="Z120" s="349">
        <f>Z114/(1.355*(Z108/Flat!Z$17)^0.16)</f>
        <v>3409.4011183051375</v>
      </c>
      <c r="AA120" s="349">
        <f>AA114/(1.355*(AA108/Flat!AA$17)^0.16)</f>
        <v>3473.0477711014578</v>
      </c>
      <c r="AB120" s="349">
        <f>AB114/(1.355*(AB108/Flat!AB$17)^0.16)</f>
        <v>3405.1877823884529</v>
      </c>
      <c r="AC120" s="349">
        <f>AC114/(1.355*(AC108/Flat!AC$17)^0.16)</f>
        <v>3086.3557172070773</v>
      </c>
      <c r="AD120" s="349">
        <f>AD114/(1.355*(AD108/Flat!AD$17)^0.16)</f>
        <v>2917.6572831341946</v>
      </c>
      <c r="AE120" s="349">
        <f>AE114/(1.355*(AE108/Flat!AE$17)^0.16)</f>
        <v>3348.7906599143353</v>
      </c>
      <c r="AF120" s="349">
        <f>AF114/(1.355*(AF108/Flat!AF$17)^0.16)</f>
        <v>2585.7385127406642</v>
      </c>
      <c r="AG120" s="349">
        <f>AG114/(1.355*(AG108/Flat!AG$17)^0.16)</f>
        <v>5228.883488867401</v>
      </c>
      <c r="AH120" s="349">
        <f>AH114/(1.355*(AH108/Flat!AH$17)^0.16)</f>
        <v>1711.2987070722243</v>
      </c>
      <c r="AI120" s="349">
        <f>AI114/(1.355*(AI108/Flat!AI$17)^0.16)</f>
        <v>4712.3212897141666</v>
      </c>
      <c r="AJ120" s="349">
        <f>AJ114/(1.355*(AJ108/Flat!AJ$17)^0.16)</f>
        <v>4576.7881439293033</v>
      </c>
      <c r="AK120" s="349">
        <f>AK114/(1.355*(AK108/Flat!AK$17)^0.16)</f>
        <v>4364.4007650473341</v>
      </c>
      <c r="AL120" s="349">
        <f>AL114/(1.355*(AL108/Flat!AL$17)^0.16)</f>
        <v>3570.2419349952711</v>
      </c>
      <c r="AM120" s="349">
        <f>AM114/(1.355*(AM108/Flat!AM$17)^0.16)</f>
        <v>4208.7028551464873</v>
      </c>
      <c r="AN120" s="354">
        <f>AN114/(1.355*(AN108/Flat!AN$17)^0.16)</f>
        <v>4208.7028551464873</v>
      </c>
    </row>
    <row r="121" spans="1:40" s="5" customFormat="1">
      <c r="A121" s="129"/>
      <c r="B121" s="142" t="s">
        <v>7</v>
      </c>
      <c r="C121" s="129" t="s">
        <v>261</v>
      </c>
      <c r="D121" s="345">
        <f>D115/(1.355*(D109/Flat!D$17)^0.16)</f>
        <v>2954.2577725531746</v>
      </c>
      <c r="E121" s="349">
        <f>E115/(1.355*(E109/Flat!E$17)^0.16)</f>
        <v>3713.3654234563878</v>
      </c>
      <c r="F121" s="349">
        <f>F115/(1.355*(F109/Flat!F$17)^0.16)</f>
        <v>1943.5670735157023</v>
      </c>
      <c r="G121" s="349">
        <f>G115/(1.355*(G109/Flat!G$17)^0.16)</f>
        <v>2878.2108461192365</v>
      </c>
      <c r="H121" s="349">
        <f>H115/(1.355*(H109/Flat!H$17)^0.16)</f>
        <v>1456.61272444778</v>
      </c>
      <c r="I121" s="349">
        <f>I115/(1.355*(I109/Flat!I$17)^0.16)</f>
        <v>2607.9319246264868</v>
      </c>
      <c r="J121" s="349">
        <f>J115/(1.355*(J109/Flat!J$17)^0.16)</f>
        <v>2228.7758887637528</v>
      </c>
      <c r="K121" s="349">
        <f>K115/(1.355*(K109/Flat!K$17)^0.16)</f>
        <v>1957.5384133831878</v>
      </c>
      <c r="L121" s="349">
        <f>L115/(1.355*(L109/Flat!L$17)^0.16)</f>
        <v>1865.2967335736409</v>
      </c>
      <c r="M121" s="349">
        <f>M115/(1.355*(M109/Flat!M$17)^0.16)</f>
        <v>3378.7535192834216</v>
      </c>
      <c r="N121" s="349">
        <f>N115/(1.355*(N109/Flat!N$17)^0.16)</f>
        <v>2554.4283456663302</v>
      </c>
      <c r="O121" s="349">
        <f>O115/(1.355*(O109/Flat!O$17)^0.16)</f>
        <v>1912.7398411966146</v>
      </c>
      <c r="P121" s="349">
        <f>P115/(1.355*(P109/Flat!P$17)^0.16)</f>
        <v>2430.4693584171905</v>
      </c>
      <c r="Q121" s="349">
        <f>Q115/(1.355*(Q109/Flat!Q$17)^0.16)</f>
        <v>1974.8360994391696</v>
      </c>
      <c r="R121" s="349">
        <f>R115/(1.355*(R109/Flat!R$17)^0.16)</f>
        <v>1990.8580649981629</v>
      </c>
      <c r="S121" s="349">
        <f>S115/(1.355*(S109/Flat!S$17)^0.16)</f>
        <v>1744.9494328174635</v>
      </c>
      <c r="T121" s="349">
        <f>T115/(1.355*(T109/Flat!T$17)^0.16)</f>
        <v>2752.1830869433047</v>
      </c>
      <c r="U121" s="349">
        <f>U115/(1.355*(U109/Flat!U$17)^0.16)</f>
        <v>3382.832978905044</v>
      </c>
      <c r="V121" s="349">
        <f>V115/(1.355*(V109/Flat!V$17)^0.16)</f>
        <v>2046.1266556715473</v>
      </c>
      <c r="W121" s="349">
        <f>W115/(1.355*(W109/Flat!W$17)^0.16)</f>
        <v>2506.2962799814077</v>
      </c>
      <c r="X121" s="349">
        <f>X115/(1.355*(X109/Flat!X$17)^0.16)</f>
        <v>2073.2924309202003</v>
      </c>
      <c r="Y121" s="349">
        <f>Y115/(1.355*(Y109/Flat!Y$17)^0.16)</f>
        <v>1515.6729321885039</v>
      </c>
      <c r="Z121" s="349">
        <f>Z115/(1.355*(Z109/Flat!Z$17)^0.16)</f>
        <v>2542.1185490540624</v>
      </c>
      <c r="AA121" s="349">
        <f>AA115/(1.355*(AA109/Flat!AA$17)^0.16)</f>
        <v>2997.9493472584213</v>
      </c>
      <c r="AB121" s="349">
        <f>AB115/(1.355*(AB109/Flat!AB$17)^0.16)</f>
        <v>2646.6641177641322</v>
      </c>
      <c r="AC121" s="349">
        <f>AC115/(1.355*(AC109/Flat!AC$17)^0.16)</f>
        <v>2206.4346554332919</v>
      </c>
      <c r="AD121" s="349">
        <f>AD115/(1.355*(AD109/Flat!AD$17)^0.16)</f>
        <v>2203.5059231312143</v>
      </c>
      <c r="AE121" s="349">
        <f>AE115/(1.355*(AE109/Flat!AE$17)^0.16)</f>
        <v>2890.6900897050737</v>
      </c>
      <c r="AF121" s="349">
        <f>AF115/(1.355*(AF109/Flat!AF$17)^0.16)</f>
        <v>1575.9313458026188</v>
      </c>
      <c r="AG121" s="349">
        <f>AG115/(1.355*(AG109/Flat!AG$17)^0.16)</f>
        <v>3068.4904500344883</v>
      </c>
      <c r="AH121" s="349">
        <f>AH115/(1.355*(AH109/Flat!AH$17)^0.16)</f>
        <v>1448.0232876112759</v>
      </c>
      <c r="AI121" s="349">
        <f>AI115/(1.355*(AI109/Flat!AI$17)^0.16)</f>
        <v>2033.8662221716932</v>
      </c>
      <c r="AJ121" s="349">
        <f>AJ115/(1.355*(AJ109/Flat!AJ$17)^0.16)</f>
        <v>3960.2418553958219</v>
      </c>
      <c r="AK121" s="349">
        <f>AK115/(1.355*(AK109/Flat!AK$17)^0.16)</f>
        <v>3780.3929584888715</v>
      </c>
      <c r="AL121" s="349">
        <f>AL115/(1.355*(AL109/Flat!AL$17)^0.16)</f>
        <v>2315.0518514119071</v>
      </c>
      <c r="AM121" s="349">
        <f>AM115/(1.355*(AM109/Flat!AM$17)^0.16)</f>
        <v>3641.7419115155967</v>
      </c>
      <c r="AN121" s="354">
        <f>AN115/(1.355*(AN109/Flat!AN$17)^0.16)</f>
        <v>3641.7419115155967</v>
      </c>
    </row>
    <row r="122" spans="1:40" s="5" customFormat="1">
      <c r="A122" s="334" t="s">
        <v>262</v>
      </c>
      <c r="B122" s="359" t="s">
        <v>2</v>
      </c>
      <c r="C122" s="366" t="s">
        <v>190</v>
      </c>
      <c r="D122" s="375">
        <f>D116/Flat!D$4</f>
        <v>101.08709351199698</v>
      </c>
      <c r="E122" s="376">
        <f>E116/Flat!E$4</f>
        <v>93.765429079323937</v>
      </c>
      <c r="F122" s="376">
        <f>F116/Flat!F$4</f>
        <v>62.912351573014476</v>
      </c>
      <c r="G122" s="376">
        <f>G116/Flat!G$4</f>
        <v>98.484963516724534</v>
      </c>
      <c r="H122" s="376">
        <f>H116/Flat!H$4</f>
        <v>29.740110787040098</v>
      </c>
      <c r="I122" s="376">
        <f>I116/Flat!I$4</f>
        <v>81.519385882522485</v>
      </c>
      <c r="J122" s="376">
        <f>J116/Flat!J$4</f>
        <v>109.23320377424291</v>
      </c>
      <c r="K122" s="376">
        <f>K116/Flat!K$4</f>
        <v>55.393351128502992</v>
      </c>
      <c r="L122" s="376">
        <f>L116/Flat!L$4</f>
        <v>68.287617025784542</v>
      </c>
      <c r="M122" s="376">
        <f>M116/Flat!M$4</f>
        <v>93.908253939845707</v>
      </c>
      <c r="N122" s="376">
        <f>N116/Flat!N$4</f>
        <v>76.988054140733425</v>
      </c>
      <c r="O122" s="376">
        <f>O116/Flat!O$4</f>
        <v>108.79868878794116</v>
      </c>
      <c r="P122" s="376">
        <f>P116/Flat!P$4</f>
        <v>81.94542804216043</v>
      </c>
      <c r="Q122" s="376">
        <f>Q116/Flat!Q$4</f>
        <v>75.269943698641995</v>
      </c>
      <c r="R122" s="376">
        <f>R116/Flat!R$4</f>
        <v>100.50407386425832</v>
      </c>
      <c r="S122" s="376">
        <f>S116/Flat!S$4</f>
        <v>60.687790131728512</v>
      </c>
      <c r="T122" s="376">
        <f>T116/Flat!T$4</f>
        <v>86.115159311367648</v>
      </c>
      <c r="U122" s="376">
        <f>U116/Flat!U$4</f>
        <v>64.302265743852686</v>
      </c>
      <c r="V122" s="376">
        <f>V116/Flat!V$4</f>
        <v>99.267268943822657</v>
      </c>
      <c r="W122" s="376">
        <f>W116/Flat!W$4</f>
        <v>76.891381568752351</v>
      </c>
      <c r="X122" s="376">
        <f>X116/Flat!X$4</f>
        <v>108.07484249706623</v>
      </c>
      <c r="Y122" s="376">
        <f>Y116/Flat!Y$4</f>
        <v>25.522203352172316</v>
      </c>
      <c r="Z122" s="376">
        <f>Z116/Flat!Z$4</f>
        <v>92.674063929342779</v>
      </c>
      <c r="AA122" s="376">
        <f>AA116/Flat!AA$4</f>
        <v>78.398798942679747</v>
      </c>
      <c r="AB122" s="376">
        <f>AB116/Flat!AB$4</f>
        <v>114.00019992104032</v>
      </c>
      <c r="AC122" s="376">
        <f>AC116/Flat!AC$4</f>
        <v>41.285471093335417</v>
      </c>
      <c r="AD122" s="376">
        <f>AD116/Flat!AD$4</f>
        <v>76.967910370425386</v>
      </c>
      <c r="AE122" s="376">
        <f>AE116/Flat!AE$4</f>
        <v>75.593882650362829</v>
      </c>
      <c r="AF122" s="376">
        <f>AF116/Flat!AF$4</f>
        <v>92.681624116552982</v>
      </c>
      <c r="AG122" s="376">
        <f>AG116/Flat!AG$4</f>
        <v>114.95392199948282</v>
      </c>
      <c r="AH122" s="376">
        <f>AH116/Flat!AH$4</f>
        <v>82.001422764972915</v>
      </c>
      <c r="AI122" s="376">
        <f>AI116/Flat!AI$4</f>
        <v>65.849426571524674</v>
      </c>
      <c r="AJ122" s="376">
        <f>AJ116/Flat!AJ$4</f>
        <v>84.116087717661827</v>
      </c>
      <c r="AK122" s="376">
        <f>AK116/Flat!AK$4</f>
        <v>70.063457604000348</v>
      </c>
      <c r="AL122" s="376">
        <f>AL116/Flat!AL$4</f>
        <v>81.509008605177456</v>
      </c>
      <c r="AM122" s="376">
        <f>AM116/Flat!AM$4</f>
        <v>77.351104619218802</v>
      </c>
      <c r="AN122" s="377">
        <f>AN116/Flat!AN$4</f>
        <v>77.351104619218802</v>
      </c>
    </row>
    <row r="123" spans="1:40" s="5" customFormat="1">
      <c r="A123" s="154"/>
      <c r="B123" s="347" t="s">
        <v>3</v>
      </c>
      <c r="C123" s="367" t="s">
        <v>190</v>
      </c>
      <c r="D123" s="369">
        <f>D117/Flat!D$4</f>
        <v>91.888188902633317</v>
      </c>
      <c r="E123" s="370">
        <f>E117/Flat!E$4</f>
        <v>93.765429079323937</v>
      </c>
      <c r="F123" s="370">
        <f>F117/Flat!F$4</f>
        <v>62.912351573014476</v>
      </c>
      <c r="G123" s="370">
        <f>G117/Flat!G$4</f>
        <v>89.522852198928149</v>
      </c>
      <c r="H123" s="370">
        <f>H117/Flat!H$4</f>
        <v>26.846328287971478</v>
      </c>
      <c r="I123" s="370">
        <f>I117/Flat!I$4</f>
        <v>75.402424444468295</v>
      </c>
      <c r="J123" s="370">
        <f>J117/Flat!J$4</f>
        <v>88.410339139307794</v>
      </c>
      <c r="K123" s="370">
        <f>K117/Flat!K$4</f>
        <v>54.708543826234703</v>
      </c>
      <c r="L123" s="370">
        <f>L117/Flat!L$4</f>
        <v>68.287617025784542</v>
      </c>
      <c r="M123" s="370">
        <f>M117/Flat!M$4</f>
        <v>85.312936427184951</v>
      </c>
      <c r="N123" s="370">
        <f>N117/Flat!N$4</f>
        <v>72.346392791530576</v>
      </c>
      <c r="O123" s="370">
        <f>O117/Flat!O$4</f>
        <v>108.79868878794116</v>
      </c>
      <c r="P123" s="370">
        <f>P117/Flat!P$4</f>
        <v>81.94542804216043</v>
      </c>
      <c r="Q123" s="370">
        <f>Q117/Flat!Q$4</f>
        <v>80.6702864230773</v>
      </c>
      <c r="R123" s="370">
        <f>R117/Flat!R$4</f>
        <v>100.50407386425832</v>
      </c>
      <c r="S123" s="370">
        <f>S117/Flat!S$4</f>
        <v>60.7028714962278</v>
      </c>
      <c r="T123" s="370">
        <f>T117/Flat!T$4</f>
        <v>81.001218434391177</v>
      </c>
      <c r="U123" s="370">
        <f>U117/Flat!U$4</f>
        <v>60.512853369316019</v>
      </c>
      <c r="V123" s="370">
        <f>V117/Flat!V$4</f>
        <v>99.267268943822657</v>
      </c>
      <c r="W123" s="370">
        <f>W117/Flat!W$4</f>
        <v>89.820094415943046</v>
      </c>
      <c r="X123" s="370">
        <f>X117/Flat!X$4</f>
        <v>106.35154415524177</v>
      </c>
      <c r="Y123" s="370">
        <f>Y117/Flat!Y$4</f>
        <v>25.521592549313716</v>
      </c>
      <c r="Z123" s="370">
        <f>Z117/Flat!Z$4</f>
        <v>83.114927527753878</v>
      </c>
      <c r="AA123" s="370">
        <f>AA117/Flat!AA$4</f>
        <v>78.025009592001169</v>
      </c>
      <c r="AB123" s="370">
        <f>AB117/Flat!AB$4</f>
        <v>88.821973960638104</v>
      </c>
      <c r="AC123" s="370">
        <f>AC117/Flat!AC$4</f>
        <v>35.913609717684388</v>
      </c>
      <c r="AD123" s="370">
        <f>AD117/Flat!AD$4</f>
        <v>70.610814045714818</v>
      </c>
      <c r="AE123" s="370">
        <f>AE117/Flat!AE$4</f>
        <v>75.233466563736158</v>
      </c>
      <c r="AF123" s="370">
        <f>AF117/Flat!AF$4</f>
        <v>92.681624116552982</v>
      </c>
      <c r="AG123" s="370">
        <f>AG117/Flat!AG$4</f>
        <v>100.5823207846465</v>
      </c>
      <c r="AH123" s="370">
        <f>AH117/Flat!AH$4</f>
        <v>85.458477322308369</v>
      </c>
      <c r="AI123" s="370">
        <f>AI117/Flat!AI$4</f>
        <v>65.849426571524674</v>
      </c>
      <c r="AJ123" s="370">
        <f>AJ117/Flat!AJ$4</f>
        <v>84.116087717661827</v>
      </c>
      <c r="AK123" s="370">
        <f>AK117/Flat!AK$4</f>
        <v>70.063457604000348</v>
      </c>
      <c r="AL123" s="370">
        <f>AL117/Flat!AL$4</f>
        <v>81.509008605177456</v>
      </c>
      <c r="AM123" s="370">
        <f>AM117/Flat!AM$4</f>
        <v>77.351104619218802</v>
      </c>
      <c r="AN123" s="371">
        <f>AN117/Flat!AN$4</f>
        <v>77.351104619218802</v>
      </c>
    </row>
    <row r="124" spans="1:40" s="5" customFormat="1">
      <c r="A124" s="154"/>
      <c r="B124" s="347" t="s">
        <v>4</v>
      </c>
      <c r="C124" s="367" t="s">
        <v>190</v>
      </c>
      <c r="D124" s="369">
        <f>D118/Flat!D$4</f>
        <v>76.167438879384719</v>
      </c>
      <c r="E124" s="370">
        <f>E118/Flat!E$4</f>
        <v>93.765429079323937</v>
      </c>
      <c r="F124" s="370">
        <f>F118/Flat!F$4</f>
        <v>59.795621451185575</v>
      </c>
      <c r="G124" s="370">
        <f>G118/Flat!G$4</f>
        <v>74.206777330167213</v>
      </c>
      <c r="H124" s="370">
        <f>H118/Flat!H$4</f>
        <v>27.111189155756016</v>
      </c>
      <c r="I124" s="370">
        <f>I118/Flat!I$4</f>
        <v>75.402424444468295</v>
      </c>
      <c r="J124" s="370">
        <f>J118/Flat!J$4</f>
        <v>64.806997071782874</v>
      </c>
      <c r="K124" s="370">
        <f>K118/Flat!K$4</f>
        <v>39.494908349558479</v>
      </c>
      <c r="L124" s="370">
        <f>L118/Flat!L$4</f>
        <v>57.010129446708767</v>
      </c>
      <c r="M124" s="370">
        <f>M118/Flat!M$4</f>
        <v>85.312936427184951</v>
      </c>
      <c r="N124" s="370">
        <f>N118/Flat!N$4</f>
        <v>61.642494356839379</v>
      </c>
      <c r="O124" s="370">
        <f>O118/Flat!O$4</f>
        <v>58.873106237849967</v>
      </c>
      <c r="P124" s="370">
        <f>P118/Flat!P$4</f>
        <v>81.94542804216043</v>
      </c>
      <c r="Q124" s="370">
        <f>Q118/Flat!Q$4</f>
        <v>69.525936147737838</v>
      </c>
      <c r="R124" s="370">
        <f>R118/Flat!R$4</f>
        <v>88.753464237299809</v>
      </c>
      <c r="S124" s="370">
        <f>S118/Flat!S$4</f>
        <v>60.449070057980144</v>
      </c>
      <c r="T124" s="370">
        <f>T118/Flat!T$4</f>
        <v>67.3606345753618</v>
      </c>
      <c r="U124" s="370">
        <f>U118/Flat!U$4</f>
        <v>57.814509058726962</v>
      </c>
      <c r="V124" s="370">
        <f>V118/Flat!V$4</f>
        <v>66.470649069913719</v>
      </c>
      <c r="W124" s="370">
        <f>W118/Flat!W$4</f>
        <v>49.1168399705262</v>
      </c>
      <c r="X124" s="370">
        <f>X118/Flat!X$4</f>
        <v>100.52337457265467</v>
      </c>
      <c r="Y124" s="370">
        <f>Y118/Flat!Y$4</f>
        <v>20.018861866247565</v>
      </c>
      <c r="Z124" s="370">
        <f>Z118/Flat!Z$4</f>
        <v>81.590626621625319</v>
      </c>
      <c r="AA124" s="370">
        <f>AA118/Flat!AA$4</f>
        <v>58.662563113147222</v>
      </c>
      <c r="AB124" s="370">
        <f>AB118/Flat!AB$4</f>
        <v>64.885765570052001</v>
      </c>
      <c r="AC124" s="370">
        <f>AC118/Flat!AC$4</f>
        <v>35.905412240442395</v>
      </c>
      <c r="AD124" s="370">
        <f>AD118/Flat!AD$4</f>
        <v>70.610814045714818</v>
      </c>
      <c r="AE124" s="370">
        <f>AE118/Flat!AE$4</f>
        <v>56.563760819690671</v>
      </c>
      <c r="AF124" s="370">
        <f>AF118/Flat!AF$4</f>
        <v>89.464032785076</v>
      </c>
      <c r="AG124" s="370">
        <f>AG118/Flat!AG$4</f>
        <v>100.5823207846465</v>
      </c>
      <c r="AH124" s="370">
        <f>AH118/Flat!AH$4</f>
        <v>74.688853985372262</v>
      </c>
      <c r="AI124" s="370">
        <f>AI118/Flat!AI$4</f>
        <v>65.849426571524674</v>
      </c>
      <c r="AJ124" s="370">
        <f>AJ118/Flat!AJ$4</f>
        <v>84.116087717661827</v>
      </c>
      <c r="AK124" s="370">
        <f>AK118/Flat!AK$4</f>
        <v>70.063457604000348</v>
      </c>
      <c r="AL124" s="370">
        <f>AL118/Flat!AL$4</f>
        <v>77.232336867913318</v>
      </c>
      <c r="AM124" s="370">
        <f>AM118/Flat!AM$4</f>
        <v>77.351104619218802</v>
      </c>
      <c r="AN124" s="371">
        <f>AN118/Flat!AN$4</f>
        <v>77.351104619218802</v>
      </c>
    </row>
    <row r="125" spans="1:40" s="5" customFormat="1">
      <c r="A125" s="154"/>
      <c r="B125" s="347" t="s">
        <v>5</v>
      </c>
      <c r="C125" s="367" t="s">
        <v>190</v>
      </c>
      <c r="D125" s="369">
        <f>D119/Flat!D$4</f>
        <v>54.075246389439592</v>
      </c>
      <c r="E125" s="370">
        <f>E119/Flat!E$4</f>
        <v>82.487248519124122</v>
      </c>
      <c r="F125" s="370">
        <f>F119/Flat!F$4</f>
        <v>51.656179765570421</v>
      </c>
      <c r="G125" s="370">
        <f>G119/Flat!G$4</f>
        <v>52.683270265257036</v>
      </c>
      <c r="H125" s="370">
        <f>H119/Flat!H$4</f>
        <v>26.485415746159248</v>
      </c>
      <c r="I125" s="370">
        <f>I119/Flat!I$4</f>
        <v>69.118630555461451</v>
      </c>
      <c r="J125" s="370">
        <f>J119/Flat!J$4</f>
        <v>56.641810190688695</v>
      </c>
      <c r="K125" s="370">
        <f>K119/Flat!K$4</f>
        <v>33.565786020901456</v>
      </c>
      <c r="L125" s="370">
        <f>L119/Flat!L$4</f>
        <v>43.273380323978898</v>
      </c>
      <c r="M125" s="370">
        <f>M119/Flat!M$4</f>
        <v>59.98195098299707</v>
      </c>
      <c r="N125" s="370">
        <f>N119/Flat!N$4</f>
        <v>51.110512619266601</v>
      </c>
      <c r="O125" s="370">
        <f>O119/Flat!O$4</f>
        <v>51.173047148067482</v>
      </c>
      <c r="P125" s="370">
        <f>P119/Flat!P$4</f>
        <v>80.207727891813533</v>
      </c>
      <c r="Q125" s="370">
        <f>Q119/Flat!Q$4</f>
        <v>69.525936147737838</v>
      </c>
      <c r="R125" s="370">
        <f>R119/Flat!R$4</f>
        <v>67.174159126839172</v>
      </c>
      <c r="S125" s="370">
        <f>S119/Flat!S$4</f>
        <v>44.717882827767248</v>
      </c>
      <c r="T125" s="370">
        <f>T119/Flat!T$4</f>
        <v>54.687936055019733</v>
      </c>
      <c r="U125" s="370">
        <f>U119/Flat!U$4</f>
        <v>42.662453319662504</v>
      </c>
      <c r="V125" s="370">
        <f>V119/Flat!V$4</f>
        <v>66.470649069913719</v>
      </c>
      <c r="W125" s="370">
        <f>W119/Flat!W$4</f>
        <v>42.524318278067675</v>
      </c>
      <c r="X125" s="370">
        <f>X119/Flat!X$4</f>
        <v>63.879678243135231</v>
      </c>
      <c r="Y125" s="370">
        <f>Y119/Flat!Y$4</f>
        <v>18.911773638961694</v>
      </c>
      <c r="Z125" s="370">
        <f>Z119/Flat!Z$4</f>
        <v>49.992065133633872</v>
      </c>
      <c r="AA125" s="370">
        <f>AA119/Flat!AA$4</f>
        <v>57.739347388516705</v>
      </c>
      <c r="AB125" s="370">
        <f>AB119/Flat!AB$4</f>
        <v>64.885765570052001</v>
      </c>
      <c r="AC125" s="370">
        <f>AC119/Flat!AC$4</f>
        <v>34.809280754138314</v>
      </c>
      <c r="AD125" s="370">
        <f>AD119/Flat!AD$4</f>
        <v>60.847473443239416</v>
      </c>
      <c r="AE125" s="370">
        <f>AE119/Flat!AE$4</f>
        <v>55.673575484074561</v>
      </c>
      <c r="AF125" s="370">
        <f>AF119/Flat!AF$4</f>
        <v>65.448455162041768</v>
      </c>
      <c r="AG125" s="370">
        <f>AG119/Flat!AG$4</f>
        <v>87.500915817499703</v>
      </c>
      <c r="AH125" s="370">
        <f>AH119/Flat!AH$4</f>
        <v>49.168851654928957</v>
      </c>
      <c r="AI125" s="370">
        <f>AI119/Flat!AI$4</f>
        <v>64.552346434440636</v>
      </c>
      <c r="AJ125" s="370">
        <f>AJ119/Flat!AJ$4</f>
        <v>75.101142560181415</v>
      </c>
      <c r="AK125" s="370">
        <f>AK119/Flat!AK$4</f>
        <v>62.471287377480195</v>
      </c>
      <c r="AL125" s="370">
        <f>AL119/Flat!AL$4</f>
        <v>66.226734788293371</v>
      </c>
      <c r="AM125" s="370">
        <f>AM119/Flat!AM$4</f>
        <v>69.061180718414604</v>
      </c>
      <c r="AN125" s="371">
        <f>AN119/Flat!AN$4</f>
        <v>69.061180718414604</v>
      </c>
    </row>
    <row r="126" spans="1:40" s="5" customFormat="1">
      <c r="A126" s="154"/>
      <c r="B126" s="347" t="s">
        <v>6</v>
      </c>
      <c r="C126" s="367" t="s">
        <v>190</v>
      </c>
      <c r="D126" s="369">
        <f>D120/Flat!D$4</f>
        <v>45.312337201888269</v>
      </c>
      <c r="E126" s="370">
        <f>E120/Flat!E$4</f>
        <v>82.487248519124122</v>
      </c>
      <c r="F126" s="370">
        <f>F120/Flat!F$4</f>
        <v>44.246201788803411</v>
      </c>
      <c r="G126" s="370">
        <f>G120/Flat!G$4</f>
        <v>44.145931207883315</v>
      </c>
      <c r="H126" s="370">
        <f>H120/Flat!H$4</f>
        <v>22.082243294147375</v>
      </c>
      <c r="I126" s="370">
        <f>I120/Flat!I$4</f>
        <v>52.837251590960378</v>
      </c>
      <c r="J126" s="370">
        <f>J120/Flat!J$4</f>
        <v>32.280163631241635</v>
      </c>
      <c r="K126" s="370">
        <f>K120/Flat!K$4</f>
        <v>33.565786020901456</v>
      </c>
      <c r="L126" s="370">
        <f>L120/Flat!L$4</f>
        <v>39.023735304877647</v>
      </c>
      <c r="M126" s="370">
        <f>M120/Flat!M$4</f>
        <v>59.98195098299707</v>
      </c>
      <c r="N126" s="370">
        <f>N120/Flat!N$4</f>
        <v>50.682206696101773</v>
      </c>
      <c r="O126" s="370">
        <f>O120/Flat!O$4</f>
        <v>29.981471907680245</v>
      </c>
      <c r="P126" s="370">
        <f>P120/Flat!P$4</f>
        <v>80.207727891813533</v>
      </c>
      <c r="Q126" s="370">
        <f>Q120/Flat!Q$4</f>
        <v>50.953532284957213</v>
      </c>
      <c r="R126" s="370">
        <f>R120/Flat!R$4</f>
        <v>67.174159126839172</v>
      </c>
      <c r="S126" s="370">
        <f>S120/Flat!S$4</f>
        <v>39.155736052548242</v>
      </c>
      <c r="T126" s="370">
        <f>T120/Flat!T$4</f>
        <v>54.165036075675992</v>
      </c>
      <c r="U126" s="370">
        <f>U120/Flat!U$4</f>
        <v>39.546840520082299</v>
      </c>
      <c r="V126" s="370">
        <f>V120/Flat!V$4</f>
        <v>66.470649069913719</v>
      </c>
      <c r="W126" s="370">
        <f>W120/Flat!W$4</f>
        <v>36.629807792696305</v>
      </c>
      <c r="X126" s="370">
        <f>X120/Flat!X$4</f>
        <v>63.772962432777554</v>
      </c>
      <c r="Y126" s="370">
        <f>Y120/Flat!Y$4</f>
        <v>18.905393300024276</v>
      </c>
      <c r="Z126" s="370">
        <f>Z120/Flat!Z$4</f>
        <v>44.978906573946404</v>
      </c>
      <c r="AA126" s="370">
        <f>AA120/Flat!AA$4</f>
        <v>51.991733100321227</v>
      </c>
      <c r="AB126" s="370">
        <f>AB120/Flat!AB$4</f>
        <v>64.885765570052001</v>
      </c>
      <c r="AC126" s="370">
        <f>AC120/Flat!AC$4</f>
        <v>31.929965659970094</v>
      </c>
      <c r="AD126" s="370">
        <f>AD120/Flat!AD$4</f>
        <v>60.847473443239416</v>
      </c>
      <c r="AE126" s="370">
        <f>AE120/Flat!AE$4</f>
        <v>50.131596705304425</v>
      </c>
      <c r="AF126" s="370">
        <f>AF120/Flat!AF$4</f>
        <v>50.149240355940925</v>
      </c>
      <c r="AG126" s="370">
        <f>AG120/Flat!AG$4</f>
        <v>85.365497097392534</v>
      </c>
      <c r="AH126" s="370">
        <f>AH120/Flat!AH$4</f>
        <v>35.350107561913333</v>
      </c>
      <c r="AI126" s="370">
        <f>AI120/Flat!AI$4</f>
        <v>64.552346434440636</v>
      </c>
      <c r="AJ126" s="370">
        <f>AJ120/Flat!AJ$4</f>
        <v>71.948136086480716</v>
      </c>
      <c r="AK126" s="370">
        <f>AK120/Flat!AK$4</f>
        <v>59.786311849963482</v>
      </c>
      <c r="AL126" s="370">
        <f>AL120/Flat!AL$4</f>
        <v>56.125003937841839</v>
      </c>
      <c r="AM126" s="370">
        <f>AM120/Flat!AM$4</f>
        <v>66.161752794104601</v>
      </c>
      <c r="AN126" s="371">
        <f>AN120/Flat!AN$4</f>
        <v>66.161752794104601</v>
      </c>
    </row>
    <row r="127" spans="1:40" s="5" customFormat="1">
      <c r="A127" s="155"/>
      <c r="B127" s="338" t="s">
        <v>7</v>
      </c>
      <c r="C127" s="368" t="s">
        <v>190</v>
      </c>
      <c r="D127" s="378">
        <f>D121/Flat!D$4</f>
        <v>41.279805045438401</v>
      </c>
      <c r="E127" s="379">
        <f>E121/Flat!E$4</f>
        <v>50.702397686422998</v>
      </c>
      <c r="F127" s="379">
        <f>F121/Flat!F$4</f>
        <v>30.142042571683707</v>
      </c>
      <c r="G127" s="379">
        <f>G121/Flat!G$4</f>
        <v>40.217202341414797</v>
      </c>
      <c r="H127" s="379">
        <f>H121/Flat!H$4</f>
        <v>19.953598965038083</v>
      </c>
      <c r="I127" s="379">
        <f>I121/Flat!I$4</f>
        <v>42.761740115504097</v>
      </c>
      <c r="J127" s="379">
        <f>J121/Flat!J$4</f>
        <v>35.541911232793538</v>
      </c>
      <c r="K127" s="379">
        <f>K121/Flat!K$4</f>
        <v>24.968602211520253</v>
      </c>
      <c r="L127" s="379">
        <f>L121/Flat!L$4</f>
        <v>39.023735304877647</v>
      </c>
      <c r="M127" s="379">
        <f>M121/Flat!M$4</f>
        <v>39.119701963738351</v>
      </c>
      <c r="N127" s="379">
        <f>N121/Flat!N$4</f>
        <v>45.61479188689875</v>
      </c>
      <c r="O127" s="379">
        <f>O121/Flat!O$4</f>
        <v>29.014276179675534</v>
      </c>
      <c r="P127" s="379">
        <f>P121/Flat!P$4</f>
        <v>33.294100800235483</v>
      </c>
      <c r="Q127" s="379">
        <f>Q121/Flat!Q$4</f>
        <v>31.044866391599992</v>
      </c>
      <c r="R127" s="379">
        <f>R121/Flat!R$4</f>
        <v>42.599307595244071</v>
      </c>
      <c r="S127" s="379">
        <f>S121/Flat!S$4</f>
        <v>26.222090514148547</v>
      </c>
      <c r="T127" s="379">
        <f>T121/Flat!T$4</f>
        <v>49.146126552559011</v>
      </c>
      <c r="U127" s="379">
        <f>U121/Flat!U$4</f>
        <v>37.255869811729561</v>
      </c>
      <c r="V127" s="379">
        <f>V121/Flat!V$4</f>
        <v>39.683030481692832</v>
      </c>
      <c r="W127" s="379">
        <f>W121/Flat!W$4</f>
        <v>29.210876606519392</v>
      </c>
      <c r="X127" s="379">
        <f>X121/Flat!X$4</f>
        <v>40.258105454761171</v>
      </c>
      <c r="Y127" s="379">
        <f>Y121/Flat!Y$4</f>
        <v>17.824850646893619</v>
      </c>
      <c r="Z127" s="379">
        <f>Z121/Flat!Z$4</f>
        <v>33.537184024459926</v>
      </c>
      <c r="AA127" s="379">
        <f>AA121/Flat!AA$4</f>
        <v>44.879481246383556</v>
      </c>
      <c r="AB127" s="379">
        <f>AB121/Flat!AB$4</f>
        <v>50.432116659204404</v>
      </c>
      <c r="AC127" s="379">
        <f>AC121/Flat!AC$4</f>
        <v>22.8267216206388</v>
      </c>
      <c r="AD127" s="379">
        <f>AD121/Flat!AD$4</f>
        <v>45.953912721277128</v>
      </c>
      <c r="AE127" s="379">
        <f>AE121/Flat!AE$4</f>
        <v>43.273803738099907</v>
      </c>
      <c r="AF127" s="379">
        <f>AF121/Flat!AF$4</f>
        <v>30.564482624869136</v>
      </c>
      <c r="AG127" s="379">
        <f>AG121/Flat!AG$4</f>
        <v>50.09543876115967</v>
      </c>
      <c r="AH127" s="379">
        <f>AH121/Flat!AH$4</f>
        <v>29.911656426591119</v>
      </c>
      <c r="AI127" s="379">
        <f>AI121/Flat!AI$4</f>
        <v>27.861181125639632</v>
      </c>
      <c r="AJ127" s="379">
        <f>AJ121/Flat!AJ$4</f>
        <v>62.255890154175496</v>
      </c>
      <c r="AK127" s="379">
        <f>AK121/Flat!AK$4</f>
        <v>51.786204910806461</v>
      </c>
      <c r="AL127" s="379">
        <f>AL121/Flat!AL$4</f>
        <v>36.393134314852375</v>
      </c>
      <c r="AM127" s="379">
        <f>AM121/Flat!AM$4</f>
        <v>57.248999604472814</v>
      </c>
      <c r="AN127" s="380">
        <f>AN121/Flat!AN$4</f>
        <v>57.248999604472814</v>
      </c>
    </row>
    <row r="128" spans="1:40" s="5" customFormat="1">
      <c r="A128" s="334" t="s">
        <v>299</v>
      </c>
      <c r="B128" s="359" t="s">
        <v>2</v>
      </c>
      <c r="C128" s="366" t="s">
        <v>190</v>
      </c>
      <c r="D128" s="376">
        <f>Flat!D$48-D122</f>
        <v>4.7160188162304735</v>
      </c>
      <c r="E128" s="376">
        <f>Flat!E$48-E122</f>
        <v>8.964056023503403</v>
      </c>
      <c r="F128" s="376">
        <f>Flat!F$48-F122</f>
        <v>5.2132866130756383</v>
      </c>
      <c r="G128" s="376">
        <f>Flat!G$48-G122</f>
        <v>4.5946215775362589</v>
      </c>
      <c r="H128" s="376">
        <f>Flat!H$48-H122</f>
        <v>4.6300483982047318</v>
      </c>
      <c r="I128" s="376">
        <f>Flat!I$48-I122</f>
        <v>5.2941925338423488</v>
      </c>
      <c r="J128" s="376">
        <f>Flat!J$48-J122</f>
        <v>10.555682504927091</v>
      </c>
      <c r="K128" s="376">
        <f>Flat!K$48-K122</f>
        <v>1.6687540415054016</v>
      </c>
      <c r="L128" s="376">
        <f>Flat!L$48-L122</f>
        <v>2.6269164848405353</v>
      </c>
      <c r="M128" s="376">
        <f>Flat!M$48-M122</f>
        <v>6.6825220010709216</v>
      </c>
      <c r="N128" s="376">
        <f>Flat!N$48-N122</f>
        <v>2.6574435804599688</v>
      </c>
      <c r="O128" s="376">
        <f>Flat!O$48-O122</f>
        <v>10.1903833623346</v>
      </c>
      <c r="P128" s="376">
        <f>Flat!P$48-P122</f>
        <v>11.749238508793027</v>
      </c>
      <c r="Q128" s="376">
        <f>Flat!Q$48-Q122</f>
        <v>4.5346387812530651</v>
      </c>
      <c r="R128" s="376">
        <f>Flat!R$48-R122</f>
        <v>5.3746661941666218</v>
      </c>
      <c r="S128" s="376">
        <f>Flat!S$48-S122</f>
        <v>11.950382107209556</v>
      </c>
      <c r="T128" s="376">
        <f>Flat!T$48-T122</f>
        <v>2.298587860192896</v>
      </c>
      <c r="U128" s="376">
        <f>Flat!U$48-U122</f>
        <v>6.4865593412729936</v>
      </c>
      <c r="V128" s="376">
        <f>Flat!V$48-V122</f>
        <v>4.8226235554555501</v>
      </c>
      <c r="W128" s="376">
        <f>Flat!W$48-W122</f>
        <v>7.6895479919666059</v>
      </c>
      <c r="X128" s="376">
        <f>Flat!X$48-X122</f>
        <v>8.2488423519789933</v>
      </c>
      <c r="Y128" s="376">
        <f>Flat!Y$48-Y122</f>
        <v>1.7624999584342156</v>
      </c>
      <c r="Z128" s="376">
        <f>Flat!Z$48-Z122</f>
        <v>12.628474321891844</v>
      </c>
      <c r="AA128" s="376">
        <f>Flat!AA$48-AA122</f>
        <v>3.2010342201807731</v>
      </c>
      <c r="AB128" s="376">
        <f>Flat!AB$48-AB122</f>
        <v>11.680917237519566</v>
      </c>
      <c r="AC128" s="376">
        <f>Flat!AC$48-AC122</f>
        <v>6.9015520582008492</v>
      </c>
      <c r="AD128" s="376">
        <f>Flat!AD$48-AD122</f>
        <v>6.7181837569823273</v>
      </c>
      <c r="AE128" s="376">
        <f>Flat!AE$48-AE122</f>
        <v>3.086509085133585</v>
      </c>
      <c r="AF128" s="376">
        <f>Flat!AF$48-AF122</f>
        <v>5.7122457606044037</v>
      </c>
      <c r="AG128" s="376">
        <f>Flat!AG$48-AG122</f>
        <v>11.592080420538721</v>
      </c>
      <c r="AH128" s="376">
        <f>Flat!AH$48-AH122</f>
        <v>7.1417473074245521</v>
      </c>
      <c r="AI128" s="376">
        <f>Flat!AI$48-AI122</f>
        <v>8.7790523516882644</v>
      </c>
      <c r="AJ128" s="376">
        <f>Flat!AJ$48-AJ122</f>
        <v>5.2256329897535778</v>
      </c>
      <c r="AK128" s="376">
        <f>Flat!AK$48-AK122</f>
        <v>4.6570157657439069</v>
      </c>
      <c r="AL128" s="376">
        <f>Flat!AL$48-AL122</f>
        <v>5.2223069335772152</v>
      </c>
      <c r="AM128" s="376">
        <f>Flat!AM$48-AM122</f>
        <v>4.8053647650471873</v>
      </c>
      <c r="AN128" s="377">
        <f>Flat!AN$48-AN122</f>
        <v>4.8053647650471873</v>
      </c>
    </row>
    <row r="129" spans="1:40" s="5" customFormat="1">
      <c r="A129" s="154"/>
      <c r="B129" s="347" t="s">
        <v>3</v>
      </c>
      <c r="C129" s="367" t="s">
        <v>190</v>
      </c>
      <c r="D129" s="370">
        <f>Flat!D$49-D123</f>
        <v>3.6845222769196795</v>
      </c>
      <c r="E129" s="370">
        <f>Flat!E$49-E123</f>
        <v>8.964056023503403</v>
      </c>
      <c r="F129" s="370">
        <f>Flat!F$49-F123</f>
        <v>5.2132866130756383</v>
      </c>
      <c r="G129" s="370">
        <f>Flat!G$49-G123</f>
        <v>3.5896772714701513</v>
      </c>
      <c r="H129" s="370">
        <f>Flat!H$49-H123</f>
        <v>4.7131249153233874</v>
      </c>
      <c r="I129" s="370">
        <f>Flat!I$49-I123</f>
        <v>2.8411188915365813</v>
      </c>
      <c r="J129" s="370">
        <f>Flat!J$49-J123</f>
        <v>10.45998872345082</v>
      </c>
      <c r="K129" s="370">
        <f>Flat!K$49-K123</f>
        <v>1.3375172116157188</v>
      </c>
      <c r="L129" s="370">
        <f>Flat!L$49-L123</f>
        <v>2.6269164848405353</v>
      </c>
      <c r="M129" s="370">
        <f>Flat!M$49-M123</f>
        <v>5.0719675806608819</v>
      </c>
      <c r="N129" s="370">
        <f>Flat!N$49-N123</f>
        <v>2.4891739077961006</v>
      </c>
      <c r="O129" s="370">
        <f>Flat!O$49-O123</f>
        <v>10.1903833623346</v>
      </c>
      <c r="P129" s="370">
        <f>Flat!P$49-P123</f>
        <v>11.749238508793027</v>
      </c>
      <c r="Q129" s="370">
        <f>Flat!Q$49-Q123</f>
        <v>4.4771356497958124</v>
      </c>
      <c r="R129" s="370">
        <f>Flat!R$49-R123</f>
        <v>5.3746661941666218</v>
      </c>
      <c r="S129" s="370">
        <f>Flat!S$49-S123</f>
        <v>12.688086510797973</v>
      </c>
      <c r="T129" s="370">
        <f>Flat!T$49-T123</f>
        <v>2.1526470854730491</v>
      </c>
      <c r="U129" s="370">
        <f>Flat!U$49-U123</f>
        <v>6.1790469495606857</v>
      </c>
      <c r="V129" s="370">
        <f>Flat!V$49-V123</f>
        <v>4.8226235554555501</v>
      </c>
      <c r="W129" s="370">
        <f>Flat!W$49-W123</f>
        <v>4.272237615380476</v>
      </c>
      <c r="X129" s="370">
        <f>Flat!X$49-X123</f>
        <v>8.2730362647131983</v>
      </c>
      <c r="Y129" s="370">
        <f>Flat!Y$49-Y123</f>
        <v>1.741207292523562</v>
      </c>
      <c r="Z129" s="370">
        <f>Flat!Z$49-Z123</f>
        <v>5.5043258352627191</v>
      </c>
      <c r="AA129" s="370">
        <f>Flat!AA$49-AA123</f>
        <v>3.2038804953479456</v>
      </c>
      <c r="AB129" s="370">
        <f>Flat!AB$49-AB123</f>
        <v>4.5176028799715908</v>
      </c>
      <c r="AC129" s="370">
        <f>Flat!AC$49-AC123</f>
        <v>6.5692753368985848</v>
      </c>
      <c r="AD129" s="370">
        <f>Flat!AD$49-AD123</f>
        <v>6.2344442781495957</v>
      </c>
      <c r="AE129" s="370">
        <f>Flat!AE$49-AE123</f>
        <v>3.0892535275724953</v>
      </c>
      <c r="AF129" s="370">
        <f>Flat!AF$49-AF123</f>
        <v>5.7122457606044037</v>
      </c>
      <c r="AG129" s="370">
        <f>Flat!AG$49-AG123</f>
        <v>8.4614134505270613</v>
      </c>
      <c r="AH129" s="370">
        <f>Flat!AH$49-AH123</f>
        <v>7.5305619026033099</v>
      </c>
      <c r="AI129" s="370">
        <f>Flat!AI$49-AI123</f>
        <v>8.7790523516882644</v>
      </c>
      <c r="AJ129" s="370">
        <f>Flat!AJ$49-AJ123</f>
        <v>5.2256329897535778</v>
      </c>
      <c r="AK129" s="370">
        <f>Flat!AK$49-AK123</f>
        <v>4.6570157657439069</v>
      </c>
      <c r="AL129" s="370">
        <f>Flat!AL$49-AL123</f>
        <v>5.2223069335772152</v>
      </c>
      <c r="AM129" s="370">
        <f>Flat!AM$49-AM123</f>
        <v>4.8053647650471873</v>
      </c>
      <c r="AN129" s="371">
        <f>Flat!AN$49-AN123</f>
        <v>4.8053647650471873</v>
      </c>
    </row>
    <row r="130" spans="1:40" s="5" customFormat="1">
      <c r="A130" s="154"/>
      <c r="B130" s="347" t="s">
        <v>4</v>
      </c>
      <c r="C130" s="367" t="s">
        <v>190</v>
      </c>
      <c r="D130" s="370">
        <f>Flat!D$50-D124</f>
        <v>1.862596012366879</v>
      </c>
      <c r="E130" s="370">
        <f>Flat!E$50-E124</f>
        <v>8.964056023503403</v>
      </c>
      <c r="F130" s="370">
        <f>Flat!F$50-F124</f>
        <v>4.7443994254509718</v>
      </c>
      <c r="G130" s="370">
        <f>Flat!G$50-G124</f>
        <v>1.8146500601738751</v>
      </c>
      <c r="H130" s="370">
        <f>Flat!H$50-H124</f>
        <v>4.7051313885987192</v>
      </c>
      <c r="I130" s="370">
        <f>Flat!I$50-I124</f>
        <v>2.8411188915365813</v>
      </c>
      <c r="J130" s="370">
        <f>Flat!J$50-J124</f>
        <v>2.5382669558879769</v>
      </c>
      <c r="K130" s="370">
        <f>Flat!K$50-K124</f>
        <v>0.85502712098089262</v>
      </c>
      <c r="L130" s="370">
        <f>Flat!L$50-L124</f>
        <v>1.7917318782490952</v>
      </c>
      <c r="M130" s="370">
        <f>Flat!M$50-M124</f>
        <v>5.0719675806608819</v>
      </c>
      <c r="N130" s="370">
        <f>Flat!N$50-N124</f>
        <v>1.6906658036805595</v>
      </c>
      <c r="O130" s="370">
        <f>Flat!O$50-O124</f>
        <v>1.4857147934096346</v>
      </c>
      <c r="P130" s="370">
        <f>Flat!P$50-P124</f>
        <v>11.749238508793027</v>
      </c>
      <c r="Q130" s="370">
        <f>Flat!Q$50-Q124</f>
        <v>4.7023822150460006</v>
      </c>
      <c r="R130" s="370">
        <f>Flat!R$50-R124</f>
        <v>3.8137985593239137</v>
      </c>
      <c r="S130" s="370">
        <f>Flat!S$50-S124</f>
        <v>5.4802150817621467</v>
      </c>
      <c r="T130" s="370">
        <f>Flat!T$50-T124</f>
        <v>1.4685744873095672</v>
      </c>
      <c r="U130" s="370">
        <f>Flat!U$50-U124</f>
        <v>5.8489062313414735</v>
      </c>
      <c r="V130" s="370">
        <f>Flat!V$50-V124</f>
        <v>2.2900800968844237</v>
      </c>
      <c r="W130" s="370">
        <f>Flat!W$50-W124</f>
        <v>2.4985160501772441</v>
      </c>
      <c r="X130" s="370">
        <f>Flat!X$50-X124</f>
        <v>6.6438436058317762</v>
      </c>
      <c r="Y130" s="370">
        <f>Flat!Y$50-Y124</f>
        <v>1.8198948543065967</v>
      </c>
      <c r="Z130" s="370">
        <f>Flat!Z$50-Z124</f>
        <v>5.5230265969633336</v>
      </c>
      <c r="AA130" s="370">
        <f>Flat!AA$50-AA124</f>
        <v>0.7952440107269183</v>
      </c>
      <c r="AB130" s="370">
        <f>Flat!AB$50-AB124</f>
        <v>2.7310659272148996</v>
      </c>
      <c r="AC130" s="370">
        <f>Flat!AC$50-AC124</f>
        <v>6.069281878842844</v>
      </c>
      <c r="AD130" s="370">
        <f>Flat!AD$50-AD124</f>
        <v>6.2344442781495957</v>
      </c>
      <c r="AE130" s="370">
        <f>Flat!AE$50-AE124</f>
        <v>0.76679213503317101</v>
      </c>
      <c r="AF130" s="370">
        <f>Flat!AF$50-AF124</f>
        <v>3.9876007704485801</v>
      </c>
      <c r="AG130" s="370">
        <f>Flat!AG$50-AG124</f>
        <v>8.4614134505270613</v>
      </c>
      <c r="AH130" s="370">
        <f>Flat!AH$50-AH124</f>
        <v>3.3134914364876238</v>
      </c>
      <c r="AI130" s="370">
        <f>Flat!AI$50-AI124</f>
        <v>8.7790523516882644</v>
      </c>
      <c r="AJ130" s="370">
        <f>Flat!AJ$50-AJ124</f>
        <v>5.2256329897535778</v>
      </c>
      <c r="AK130" s="370">
        <f>Flat!AK$50-AK124</f>
        <v>4.6570157657439069</v>
      </c>
      <c r="AL130" s="370">
        <f>Flat!AL$50-AL124</f>
        <v>4.7549750595479026</v>
      </c>
      <c r="AM130" s="370">
        <f>Flat!AM$50-AM124</f>
        <v>4.8053647650471873</v>
      </c>
      <c r="AN130" s="371">
        <f>Flat!AN$50-AN124</f>
        <v>4.8053647650471873</v>
      </c>
    </row>
    <row r="131" spans="1:40" s="5" customFormat="1">
      <c r="A131" s="154"/>
      <c r="B131" s="347" t="s">
        <v>5</v>
      </c>
      <c r="C131" s="367" t="s">
        <v>190</v>
      </c>
      <c r="D131" s="370">
        <f>Flat!D$51-D125</f>
        <v>1.0734506594808195</v>
      </c>
      <c r="E131" s="370">
        <f>Flat!E$51-E125</f>
        <v>6.0888222011668489</v>
      </c>
      <c r="F131" s="370">
        <f>Flat!F$51-F125</f>
        <v>4.5029759931462223</v>
      </c>
      <c r="G131" s="370">
        <f>Flat!G$51-G125</f>
        <v>1.0458184656721414</v>
      </c>
      <c r="H131" s="370">
        <f>Flat!H$51-H125</f>
        <v>4.7241536894628204</v>
      </c>
      <c r="I131" s="370">
        <f>Flat!I$51-I125</f>
        <v>2.2299838005204009</v>
      </c>
      <c r="J131" s="370">
        <f>Flat!J$51-J125</f>
        <v>0.95424519558157783</v>
      </c>
      <c r="K131" s="370">
        <f>Flat!K$51-K125</f>
        <v>0.6722843427808769</v>
      </c>
      <c r="L131" s="370">
        <f>Flat!L$51-L125</f>
        <v>0.95440879331816575</v>
      </c>
      <c r="M131" s="370">
        <f>Flat!M$51-M125</f>
        <v>3.6531244316090792</v>
      </c>
      <c r="N131" s="370">
        <f>Flat!N$51-N125</f>
        <v>1.1648865974287972</v>
      </c>
      <c r="O131" s="370">
        <f>Flat!O$51-O125</f>
        <v>0.91108600910754944</v>
      </c>
      <c r="P131" s="370">
        <f>Flat!P$51-P125</f>
        <v>11.793537622147397</v>
      </c>
      <c r="Q131" s="370">
        <f>Flat!Q$51-Q125</f>
        <v>4.7023822150460006</v>
      </c>
      <c r="R131" s="370">
        <f>Flat!R$51-R125</f>
        <v>2.3254135118914405</v>
      </c>
      <c r="S131" s="370">
        <f>Flat!S$51-S125</f>
        <v>1.4808225490419602</v>
      </c>
      <c r="T131" s="370">
        <f>Flat!T$51-T125</f>
        <v>1.0157966427543101</v>
      </c>
      <c r="U131" s="370">
        <f>Flat!U$51-U125</f>
        <v>4.5797013794333239</v>
      </c>
      <c r="V131" s="370">
        <f>Flat!V$51-V125</f>
        <v>2.2900800968844237</v>
      </c>
      <c r="W131" s="370">
        <f>Flat!W$51-W125</f>
        <v>1.2414596696648772</v>
      </c>
      <c r="X131" s="370">
        <f>Flat!X$51-X125</f>
        <v>2.8224495274553902</v>
      </c>
      <c r="Y131" s="370">
        <f>Flat!Y$51-Y125</f>
        <v>1.8386786859598452</v>
      </c>
      <c r="Z131" s="370">
        <f>Flat!Z$51-Z125</f>
        <v>2.718227758619193</v>
      </c>
      <c r="AA131" s="370">
        <f>Flat!AA$51-AA125</f>
        <v>0.79763103798131851</v>
      </c>
      <c r="AB131" s="370">
        <f>Flat!AB$51-AB125</f>
        <v>2.7310659272148996</v>
      </c>
      <c r="AC131" s="370">
        <f>Flat!AC$51-AC125</f>
        <v>5.8505619318395148</v>
      </c>
      <c r="AD131" s="370">
        <f>Flat!AD$51-AD125</f>
        <v>5.8027807602334249</v>
      </c>
      <c r="AE131" s="370">
        <f>Flat!AE$51-AE125</f>
        <v>0.76909376032061516</v>
      </c>
      <c r="AF131" s="370">
        <f>Flat!AF$51-AF125</f>
        <v>3.6190593835595166</v>
      </c>
      <c r="AG131" s="370">
        <f>Flat!AG$51-AG125</f>
        <v>5.2524846391595048</v>
      </c>
      <c r="AH131" s="370">
        <f>Flat!AH$51-AH125</f>
        <v>1.5331969854862706</v>
      </c>
      <c r="AI131" s="370">
        <f>Flat!AI$51-AI125</f>
        <v>8.8099402667322124</v>
      </c>
      <c r="AJ131" s="370">
        <f>Flat!AJ$51-AJ125</f>
        <v>3.0340322830346054</v>
      </c>
      <c r="AK131" s="370">
        <f>Flat!AK$51-AK125</f>
        <v>2.7049239439983381</v>
      </c>
      <c r="AL131" s="370">
        <f>Flat!AL$51-AL125</f>
        <v>4.5198281509582614</v>
      </c>
      <c r="AM131" s="370">
        <f>Flat!AM$51-AM125</f>
        <v>2.790022157602337</v>
      </c>
      <c r="AN131" s="371">
        <f>Flat!AN$51-AN125</f>
        <v>2.790022157602337</v>
      </c>
    </row>
    <row r="132" spans="1:40" s="5" customFormat="1">
      <c r="A132" s="154"/>
      <c r="B132" s="347" t="s">
        <v>6</v>
      </c>
      <c r="C132" s="367" t="s">
        <v>190</v>
      </c>
      <c r="D132" s="370">
        <f>Flat!D$52-D126</f>
        <v>1.1097317065617887</v>
      </c>
      <c r="E132" s="370">
        <f>Flat!E$52-E126</f>
        <v>6.0888222011668489</v>
      </c>
      <c r="F132" s="370">
        <f>Flat!F$52-F126</f>
        <v>1.6895488052294283</v>
      </c>
      <c r="G132" s="370">
        <f>Flat!G$52-G126</f>
        <v>1.0811655854079731</v>
      </c>
      <c r="H132" s="370">
        <f>Flat!H$52-H126</f>
        <v>4.8731393322686927</v>
      </c>
      <c r="I132" s="370">
        <f>Flat!I$52-I126</f>
        <v>1.3808544938165639</v>
      </c>
      <c r="J132" s="370">
        <f>Flat!J$52-J126</f>
        <v>0.59713327071403199</v>
      </c>
      <c r="K132" s="370">
        <f>Flat!K$52-K126</f>
        <v>0.6722843427808769</v>
      </c>
      <c r="L132" s="370">
        <f>Flat!L$52-L126</f>
        <v>0.62890809921790236</v>
      </c>
      <c r="M132" s="370">
        <f>Flat!M$52-M126</f>
        <v>3.6531244316090792</v>
      </c>
      <c r="N132" s="370">
        <f>Flat!N$52-N126</f>
        <v>1.1245351950627978</v>
      </c>
      <c r="O132" s="370">
        <f>Flat!O$52-O126</f>
        <v>0.5111036678489711</v>
      </c>
      <c r="P132" s="370">
        <f>Flat!P$52-P126</f>
        <v>11.793537622147397</v>
      </c>
      <c r="Q132" s="370">
        <f>Flat!Q$52-Q126</f>
        <v>2.530602826309142</v>
      </c>
      <c r="R132" s="370">
        <f>Flat!R$52-R126</f>
        <v>2.3254135118914405</v>
      </c>
      <c r="S132" s="370">
        <f>Flat!S$52-S126</f>
        <v>1.517966542494797</v>
      </c>
      <c r="T132" s="370">
        <f>Flat!T$52-T126</f>
        <v>0.98081987592107112</v>
      </c>
      <c r="U132" s="370">
        <f>Flat!U$52-U126</f>
        <v>3.8438256175714898</v>
      </c>
      <c r="V132" s="370">
        <f>Flat!V$52-V126</f>
        <v>2.2900800968844237</v>
      </c>
      <c r="W132" s="370">
        <f>Flat!W$52-W126</f>
        <v>0.90197431530837235</v>
      </c>
      <c r="X132" s="370">
        <f>Flat!X$52-X126</f>
        <v>2.4228288162010259</v>
      </c>
      <c r="Y132" s="370">
        <f>Flat!Y$52-Y126</f>
        <v>1.6370635203938697</v>
      </c>
      <c r="Z132" s="370">
        <f>Flat!Z$52-Z126</f>
        <v>2.2390127135502169</v>
      </c>
      <c r="AA132" s="370">
        <f>Flat!AA$52-AA126</f>
        <v>0.59603960250306898</v>
      </c>
      <c r="AB132" s="370">
        <f>Flat!AB$52-AB126</f>
        <v>2.7310659272148996</v>
      </c>
      <c r="AC132" s="370">
        <f>Flat!AC$52-AC126</f>
        <v>5.4288263221731015</v>
      </c>
      <c r="AD132" s="370">
        <f>Flat!AD$52-AD126</f>
        <v>5.8027807602334249</v>
      </c>
      <c r="AE132" s="370">
        <f>Flat!AE$52-AE126</f>
        <v>0.57471477081593036</v>
      </c>
      <c r="AF132" s="370">
        <f>Flat!AF$52-AF126</f>
        <v>1.7040654724065121</v>
      </c>
      <c r="AG132" s="370">
        <f>Flat!AG$52-AG126</f>
        <v>2.9797710188699966</v>
      </c>
      <c r="AH132" s="370">
        <f>Flat!AH$52-AH126</f>
        <v>0.87804440455250443</v>
      </c>
      <c r="AI132" s="370">
        <f>Flat!AI$52-AI126</f>
        <v>8.8099402667322124</v>
      </c>
      <c r="AJ132" s="370">
        <f>Flat!AJ$52-AJ126</f>
        <v>2.2532702794778032</v>
      </c>
      <c r="AK132" s="370">
        <f>Flat!AK$52-AK126</f>
        <v>2.0093618933452788</v>
      </c>
      <c r="AL132" s="370">
        <f>Flat!AL$52-AL126</f>
        <v>1.6976582219350078</v>
      </c>
      <c r="AM132" s="370">
        <f>Flat!AM$52-AM126</f>
        <v>2.072052443859306</v>
      </c>
      <c r="AN132" s="371">
        <f>Flat!AN$52-AN126</f>
        <v>2.072052443859306</v>
      </c>
    </row>
    <row r="133" spans="1:40" s="5" customFormat="1">
      <c r="A133" s="155"/>
      <c r="B133" s="338" t="s">
        <v>7</v>
      </c>
      <c r="C133" s="368" t="s">
        <v>190</v>
      </c>
      <c r="D133" s="379">
        <f>Flat!D$53-D127</f>
        <v>0.68637034221240611</v>
      </c>
      <c r="E133" s="379">
        <f>Flat!E$53-E127</f>
        <v>2.1744201422502272</v>
      </c>
      <c r="F133" s="379">
        <f>Flat!F$53-F127</f>
        <v>0.81849542498904526</v>
      </c>
      <c r="G133" s="379">
        <f>Flat!G$53-G127</f>
        <v>0.66870216328585741</v>
      </c>
      <c r="H133" s="379">
        <f>Flat!H$53-H127</f>
        <v>4.9567103340150069</v>
      </c>
      <c r="I133" s="379">
        <f>Flat!I$53-I127</f>
        <v>0.79273359306139213</v>
      </c>
      <c r="J133" s="379">
        <f>Flat!J$53-J127</f>
        <v>0.63311316383932592</v>
      </c>
      <c r="K133" s="379">
        <f>Flat!K$53-K127</f>
        <v>0.32540390488564697</v>
      </c>
      <c r="L133" s="379">
        <f>Flat!L$53-L127</f>
        <v>0.62890809921790236</v>
      </c>
      <c r="M133" s="379">
        <f>Flat!M$53-M127</f>
        <v>1.7237863947273979</v>
      </c>
      <c r="N133" s="379">
        <f>Flat!N$53-N127</f>
        <v>0.82133711133734977</v>
      </c>
      <c r="O133" s="379">
        <f>Flat!O$53-O127</f>
        <v>0.47237672942918607</v>
      </c>
      <c r="P133" s="379">
        <f>Flat!P$53-P127</f>
        <v>2.0590468013935279</v>
      </c>
      <c r="Q133" s="379">
        <f>Flat!Q$53-Q127</f>
        <v>0.7778236476514877</v>
      </c>
      <c r="R133" s="379">
        <f>Flat!R$53-R127</f>
        <v>0.67858035674895234</v>
      </c>
      <c r="S133" s="379">
        <f>Flat!S$53-S127</f>
        <v>0.93303750816716047</v>
      </c>
      <c r="T133" s="379">
        <f>Flat!T$53-T127</f>
        <v>0.71522369686504561</v>
      </c>
      <c r="U133" s="379">
        <f>Flat!U$53-U127</f>
        <v>3.8852996021326405</v>
      </c>
      <c r="V133" s="379">
        <f>Flat!V$53-V127</f>
        <v>0.59350858612946666</v>
      </c>
      <c r="W133" s="379">
        <f>Flat!W$53-W127</f>
        <v>0.78520627171796065</v>
      </c>
      <c r="X133" s="379">
        <f>Flat!X$53-X127</f>
        <v>0.62144827755126641</v>
      </c>
      <c r="Y133" s="379">
        <f>Flat!Y$53-Y127</f>
        <v>1.6545888357720848</v>
      </c>
      <c r="Z133" s="379">
        <f>Flat!Z$53-Z127</f>
        <v>1.4193212527642203</v>
      </c>
      <c r="AA133" s="379">
        <f>Flat!AA$53-AA127</f>
        <v>0.6128497974274083</v>
      </c>
      <c r="AB133" s="379">
        <f>Flat!AB$53-AB127</f>
        <v>3.0368511985463442</v>
      </c>
      <c r="AC133" s="379">
        <f>Flat!AC$53-AC127</f>
        <v>2.8741958249610704</v>
      </c>
      <c r="AD133" s="379">
        <f>Flat!AD$53-AD127</f>
        <v>4.8538844053532557</v>
      </c>
      <c r="AE133" s="379">
        <f>Flat!AE$53-AE127</f>
        <v>0.59092353829167621</v>
      </c>
      <c r="AF133" s="379">
        <f>Flat!AF$53-AF127</f>
        <v>0.52484906891659477</v>
      </c>
      <c r="AG133" s="379">
        <f>Flat!AG$53-AG127</f>
        <v>1.0552241395335855</v>
      </c>
      <c r="AH133" s="379">
        <f>Flat!AH$53-AH127</f>
        <v>0.57125384160567449</v>
      </c>
      <c r="AI133" s="379">
        <f>Flat!AI$53-AI127</f>
        <v>1.5263344573658628</v>
      </c>
      <c r="AJ133" s="379">
        <f>Flat!AJ$53-AJ127</f>
        <v>1.5337613453288199</v>
      </c>
      <c r="AK133" s="379">
        <f>Flat!AK$53-AK127</f>
        <v>1.3675318511468788</v>
      </c>
      <c r="AL133" s="379">
        <f>Flat!AL$53-AL127</f>
        <v>0.82991605225367238</v>
      </c>
      <c r="AM133" s="379">
        <f>Flat!AM$53-AM127</f>
        <v>1.4104095601979907</v>
      </c>
      <c r="AN133" s="380">
        <f>Flat!AN$53-AN127</f>
        <v>1.4104095601979907</v>
      </c>
    </row>
    <row r="134" spans="1:40" s="5" customFormat="1"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</row>
    <row r="135" spans="1:40" s="5" customFormat="1">
      <c r="A135" s="5" t="s">
        <v>215</v>
      </c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</row>
    <row r="136" spans="1:40" s="5" customFormat="1">
      <c r="A136" s="938" t="s">
        <v>123</v>
      </c>
      <c r="B136" s="939"/>
      <c r="C136" s="138" t="s">
        <v>76</v>
      </c>
      <c r="D136" s="194">
        <v>1</v>
      </c>
      <c r="E136" s="195">
        <v>1</v>
      </c>
      <c r="F136" s="195">
        <v>1</v>
      </c>
      <c r="G136" s="195">
        <v>1</v>
      </c>
      <c r="H136" s="195">
        <v>1</v>
      </c>
      <c r="I136" s="195">
        <v>1</v>
      </c>
      <c r="J136" s="195">
        <v>1</v>
      </c>
      <c r="K136" s="195">
        <v>1</v>
      </c>
      <c r="L136" s="195">
        <v>1</v>
      </c>
      <c r="M136" s="195">
        <v>1</v>
      </c>
      <c r="N136" s="195">
        <v>1</v>
      </c>
      <c r="O136" s="195">
        <v>1</v>
      </c>
      <c r="P136" s="195">
        <v>1</v>
      </c>
      <c r="Q136" s="195">
        <v>1</v>
      </c>
      <c r="R136" s="195">
        <v>1</v>
      </c>
      <c r="S136" s="195">
        <v>1</v>
      </c>
      <c r="T136" s="195">
        <v>1</v>
      </c>
      <c r="U136" s="195">
        <v>1</v>
      </c>
      <c r="V136" s="195">
        <v>1</v>
      </c>
      <c r="W136" s="195">
        <v>1</v>
      </c>
      <c r="X136" s="195">
        <v>1</v>
      </c>
      <c r="Y136" s="195">
        <v>1</v>
      </c>
      <c r="Z136" s="195">
        <v>1</v>
      </c>
      <c r="AA136" s="195">
        <v>1</v>
      </c>
      <c r="AB136" s="195">
        <v>1</v>
      </c>
      <c r="AC136" s="195">
        <v>1</v>
      </c>
      <c r="AD136" s="195">
        <v>1</v>
      </c>
      <c r="AE136" s="195">
        <v>1</v>
      </c>
      <c r="AF136" s="195">
        <v>1</v>
      </c>
      <c r="AG136" s="195">
        <v>1</v>
      </c>
      <c r="AH136" s="195">
        <v>1</v>
      </c>
      <c r="AI136" s="195">
        <v>1</v>
      </c>
      <c r="AJ136" s="195">
        <v>1</v>
      </c>
      <c r="AK136" s="195">
        <v>1</v>
      </c>
      <c r="AL136" s="195">
        <v>1</v>
      </c>
      <c r="AM136" s="195">
        <v>1</v>
      </c>
      <c r="AN136" s="196">
        <v>1</v>
      </c>
    </row>
    <row r="137" spans="1:40" s="5" customFormat="1">
      <c r="A137" s="151" t="s">
        <v>193</v>
      </c>
      <c r="B137" s="141" t="s">
        <v>2</v>
      </c>
      <c r="C137" s="144" t="s">
        <v>195</v>
      </c>
      <c r="D137" s="170">
        <f>((LOOKUP(Flat!D$2,'Ceiling-U'!$A$4:$A$40,'Ceiling-U'!$X$4:$X$40)*Flat!D$15)+(LOOKUP(Flat!D$2,'Floor-U'!$A$4:$A$40,'Floor-U'!$E$4:$E$40)*Flat!D$16)+(LOOKUP(Flat!D$2,'Wall-U'!$A$4:$A$40,'Wall-U'!$E$4:$E$40)*Flat!D$13)+(LOOKUP(Flat!D$2,'Window-U'!$A$4:$A$40,'Window-U'!$E$4:$E$40)*Flat!D$22))*D136</f>
        <v>2439.8678782407032</v>
      </c>
      <c r="E137" s="171">
        <f>((LOOKUP(Flat!E$2,'Ceiling-U'!$A$4:$A$40,'Ceiling-U'!$X$4:$X$40)*Flat!E$15)+(LOOKUP(Flat!E$2,'Floor-U'!$A$4:$A$40,'Floor-U'!$E$4:$E$40)*Flat!E$16)+(LOOKUP(Flat!E$2,'Wall-U'!$A$4:$A$40,'Wall-U'!$E$4:$E$40)*Flat!E$13)+(LOOKUP(Flat!E$2,'Window-U'!$A$4:$A$40,'Window-U'!$E$4:$E$40)*Flat!E$22))*E136</f>
        <v>2963.6900731046849</v>
      </c>
      <c r="F137" s="171">
        <f>((LOOKUP(Flat!F$2,'Ceiling-U'!$A$4:$A$40,'Ceiling-U'!$X$4:$X$40)*Flat!F$15)+(LOOKUP(Flat!F$2,'Floor-U'!$A$4:$A$40,'Floor-U'!$E$4:$E$40)*Flat!F$16)+(LOOKUP(Flat!F$2,'Wall-U'!$A$4:$A$40,'Wall-U'!$E$4:$E$40)*Flat!F$13)+(LOOKUP(Flat!F$2,'Window-U'!$A$4:$A$40,'Window-U'!$E$4:$E$40)*Flat!F$22))*F136</f>
        <v>3653.1283142802495</v>
      </c>
      <c r="G137" s="171">
        <f>((LOOKUP(Flat!G$2,'Ceiling-U'!$A$4:$A$40,'Ceiling-U'!$X$4:$X$40)*Flat!G$15)+(LOOKUP(Flat!G$2,'Floor-U'!$A$4:$A$40,'Floor-U'!$E$4:$E$40)*Flat!G$16)+(LOOKUP(Flat!G$2,'Wall-U'!$A$4:$A$40,'Wall-U'!$E$4:$E$40)*Flat!G$13)+(LOOKUP(Flat!G$2,'Window-U'!$A$4:$A$40,'Window-U'!$E$4:$E$40)*Flat!G$22))*G136</f>
        <v>2439.8678782407032</v>
      </c>
      <c r="H137" s="171">
        <f>((LOOKUP(Flat!H$2,'Ceiling-U'!$A$4:$A$40,'Ceiling-U'!$X$4:$X$40)*Flat!H$15)+(LOOKUP(Flat!H$2,'Floor-U'!$A$4:$A$40,'Floor-U'!$E$4:$E$40)*Flat!H$16)+(LOOKUP(Flat!H$2,'Wall-U'!$A$4:$A$40,'Wall-U'!$E$4:$E$40)*Flat!H$13)+(LOOKUP(Flat!H$2,'Window-U'!$A$4:$A$40,'Window-U'!$E$4:$E$40)*Flat!H$22))*H136</f>
        <v>3542.9417954942919</v>
      </c>
      <c r="I137" s="171">
        <f>((LOOKUP(Flat!I$2,'Ceiling-U'!$A$4:$A$40,'Ceiling-U'!$X$4:$X$40)*Flat!I$15)+(LOOKUP(Flat!I$2,'Floor-U'!$A$4:$A$40,'Floor-U'!$E$4:$E$40)*Flat!I$16)+(LOOKUP(Flat!I$2,'Wall-U'!$A$4:$A$40,'Wall-U'!$E$4:$E$40)*Flat!I$13)+(LOOKUP(Flat!I$2,'Window-U'!$A$4:$A$40,'Window-U'!$E$4:$E$40)*Flat!I$22))*I136</f>
        <v>1592.0492734457343</v>
      </c>
      <c r="J137" s="171">
        <f>((LOOKUP(Flat!J$2,'Ceiling-U'!$A$4:$A$40,'Ceiling-U'!$X$4:$X$40)*Flat!J$15)+(LOOKUP(Flat!J$2,'Floor-U'!$A$4:$A$40,'Floor-U'!$E$4:$E$40)*Flat!J$16)+(LOOKUP(Flat!J$2,'Wall-U'!$A$4:$A$40,'Wall-U'!$E$4:$E$40)*Flat!J$13)+(LOOKUP(Flat!J$2,'Window-U'!$A$4:$A$40,'Window-U'!$E$4:$E$40)*Flat!J$22))*J136</f>
        <v>2613.1502136426006</v>
      </c>
      <c r="K137" s="171">
        <f>((LOOKUP(Flat!K$2,'Ceiling-U'!$A$4:$A$40,'Ceiling-U'!$X$4:$X$40)*Flat!K$15)+(LOOKUP(Flat!K$2,'Floor-U'!$A$4:$A$40,'Floor-U'!$E$4:$E$40)*Flat!K$16)+(LOOKUP(Flat!K$2,'Wall-U'!$A$4:$A$40,'Wall-U'!$E$4:$E$40)*Flat!K$13)+(LOOKUP(Flat!K$2,'Window-U'!$A$4:$A$40,'Window-U'!$E$4:$E$40)*Flat!K$22))*K136</f>
        <v>2078.4007523585287</v>
      </c>
      <c r="L137" s="171">
        <f>((LOOKUP(Flat!L$2,'Ceiling-U'!$A$4:$A$40,'Ceiling-U'!$X$4:$X$40)*Flat!L$15)+(LOOKUP(Flat!L$2,'Floor-U'!$A$4:$A$40,'Floor-U'!$E$4:$E$40)*Flat!L$16)+(LOOKUP(Flat!L$2,'Wall-U'!$A$4:$A$40,'Wall-U'!$E$4:$E$40)*Flat!L$13)+(LOOKUP(Flat!L$2,'Window-U'!$A$4:$A$40,'Window-U'!$E$4:$E$40)*Flat!L$22))*L136</f>
        <v>767.25944653007832</v>
      </c>
      <c r="M137" s="171">
        <f>((LOOKUP(Flat!M$2,'Ceiling-U'!$A$4:$A$40,'Ceiling-U'!$X$4:$X$40)*Flat!M$15)+(LOOKUP(Flat!M$2,'Floor-U'!$A$4:$A$40,'Floor-U'!$E$4:$E$40)*Flat!M$16)+(LOOKUP(Flat!M$2,'Wall-U'!$A$4:$A$40,'Wall-U'!$E$4:$E$40)*Flat!M$13)+(LOOKUP(Flat!M$2,'Window-U'!$A$4:$A$40,'Window-U'!$E$4:$E$40)*Flat!M$22))*M136</f>
        <v>2869.0409072841012</v>
      </c>
      <c r="N137" s="171">
        <f>((LOOKUP(Flat!N$2,'Ceiling-U'!$A$4:$A$40,'Ceiling-U'!$X$4:$X$40)*Flat!N$15)+(LOOKUP(Flat!N$2,'Floor-U'!$A$4:$A$40,'Floor-U'!$E$4:$E$40)*Flat!N$16)+(LOOKUP(Flat!N$2,'Wall-U'!$A$4:$A$40,'Wall-U'!$E$4:$E$40)*Flat!N$13)+(LOOKUP(Flat!N$2,'Window-U'!$A$4:$A$40,'Window-U'!$E$4:$E$40)*Flat!N$22))*N136</f>
        <v>2020.7372605756673</v>
      </c>
      <c r="O137" s="171">
        <f>((LOOKUP(Flat!O$2,'Ceiling-U'!$A$4:$A$40,'Ceiling-U'!$X$4:$X$40)*Flat!O$15)+(LOOKUP(Flat!O$2,'Floor-U'!$A$4:$A$40,'Floor-U'!$E$4:$E$40)*Flat!O$16)+(LOOKUP(Flat!O$2,'Wall-U'!$A$4:$A$40,'Wall-U'!$E$4:$E$40)*Flat!O$13)+(LOOKUP(Flat!O$2,'Window-U'!$A$4:$A$40,'Window-U'!$E$4:$E$40)*Flat!O$22))*O136</f>
        <v>3769.083032120428</v>
      </c>
      <c r="P137" s="171">
        <f>((LOOKUP(Flat!P$2,'Ceiling-U'!$A$4:$A$40,'Ceiling-U'!$X$4:$X$40)*Flat!P$15)+(LOOKUP(Flat!P$2,'Floor-U'!$A$4:$A$40,'Floor-U'!$E$4:$E$40)*Flat!P$16)+(LOOKUP(Flat!P$2,'Wall-U'!$A$4:$A$40,'Wall-U'!$E$4:$E$40)*Flat!P$13)+(LOOKUP(Flat!P$2,'Window-U'!$A$4:$A$40,'Window-U'!$E$4:$E$40)*Flat!P$22))*P136</f>
        <v>2302.1859595314609</v>
      </c>
      <c r="Q137" s="171">
        <f>((LOOKUP(Flat!Q$2,'Ceiling-U'!$A$4:$A$40,'Ceiling-U'!$X$4:$X$40)*Flat!Q$15)+(LOOKUP(Flat!Q$2,'Floor-U'!$A$4:$A$40,'Floor-U'!$E$4:$E$40)*Flat!Q$16)+(LOOKUP(Flat!Q$2,'Wall-U'!$A$4:$A$40,'Wall-U'!$E$4:$E$40)*Flat!Q$13)+(LOOKUP(Flat!Q$2,'Window-U'!$A$4:$A$40,'Window-U'!$E$4:$E$40)*Flat!Q$22))*Q136</f>
        <v>2217.6088349792467</v>
      </c>
      <c r="R137" s="171">
        <f>((LOOKUP(Flat!R$2,'Ceiling-U'!$A$4:$A$40,'Ceiling-U'!$X$4:$X$40)*Flat!R$15)+(LOOKUP(Flat!R$2,'Floor-U'!$A$4:$A$40,'Floor-U'!$E$4:$E$40)*Flat!R$16)+(LOOKUP(Flat!R$2,'Wall-U'!$A$4:$A$40,'Wall-U'!$E$4:$E$40)*Flat!R$13)+(LOOKUP(Flat!R$2,'Window-U'!$A$4:$A$40,'Window-U'!$E$4:$E$40)*Flat!R$22))*R136</f>
        <v>1960.6686876747381</v>
      </c>
      <c r="S137" s="171">
        <f>((LOOKUP(Flat!S$2,'Ceiling-U'!$A$4:$A$40,'Ceiling-U'!$X$4:$X$40)*Flat!S$15)+(LOOKUP(Flat!S$2,'Floor-U'!$A$4:$A$40,'Floor-U'!$E$4:$E$40)*Flat!S$16)+(LOOKUP(Flat!S$2,'Wall-U'!$A$4:$A$40,'Wall-U'!$E$4:$E$40)*Flat!S$13)+(LOOKUP(Flat!S$2,'Window-U'!$A$4:$A$40,'Window-U'!$E$4:$E$40)*Flat!S$22))*S136</f>
        <v>6837.454911315308</v>
      </c>
      <c r="T137" s="171">
        <f>((LOOKUP(Flat!T$2,'Ceiling-U'!$A$4:$A$40,'Ceiling-U'!$X$4:$X$40)*Flat!T$15)+(LOOKUP(Flat!T$2,'Floor-U'!$A$4:$A$40,'Floor-U'!$E$4:$E$40)*Flat!T$16)+(LOOKUP(Flat!T$2,'Wall-U'!$A$4:$A$40,'Wall-U'!$E$4:$E$40)*Flat!T$13)+(LOOKUP(Flat!T$2,'Window-U'!$A$4:$A$40,'Window-U'!$E$4:$E$40)*Flat!T$22))*T136</f>
        <v>1048.0123910130758</v>
      </c>
      <c r="U137" s="171">
        <f>((LOOKUP(Flat!U$2,'Ceiling-U'!$A$4:$A$40,'Ceiling-U'!$X$4:$X$40)*Flat!U$15)+(LOOKUP(Flat!U$2,'Floor-U'!$A$4:$A$40,'Floor-U'!$E$4:$E$40)*Flat!U$16)+(LOOKUP(Flat!U$2,'Wall-U'!$A$4:$A$40,'Wall-U'!$E$4:$E$40)*Flat!U$13)+(LOOKUP(Flat!U$2,'Window-U'!$A$4:$A$40,'Window-U'!$E$4:$E$40)*Flat!U$22))*U136</f>
        <v>3718.7286307966451</v>
      </c>
      <c r="V137" s="171">
        <f>((LOOKUP(Flat!V$2,'Ceiling-U'!$A$4:$A$40,'Ceiling-U'!$X$4:$X$40)*Flat!V$15)+(LOOKUP(Flat!V$2,'Floor-U'!$A$4:$A$40,'Floor-U'!$E$4:$E$40)*Flat!V$16)+(LOOKUP(Flat!V$2,'Wall-U'!$A$4:$A$40,'Wall-U'!$E$4:$E$40)*Flat!V$13)+(LOOKUP(Flat!V$2,'Window-U'!$A$4:$A$40,'Window-U'!$E$4:$E$40)*Flat!V$22))*V136</f>
        <v>1433.2448751046206</v>
      </c>
      <c r="W137" s="171">
        <f>((LOOKUP(Flat!W$2,'Ceiling-U'!$A$4:$A$40,'Ceiling-U'!$X$4:$X$40)*Flat!W$15)+(LOOKUP(Flat!W$2,'Floor-U'!$A$4:$A$40,'Floor-U'!$E$4:$E$40)*Flat!W$16)+(LOOKUP(Flat!W$2,'Wall-U'!$A$4:$A$40,'Wall-U'!$E$4:$E$40)*Flat!W$13)+(LOOKUP(Flat!W$2,'Window-U'!$A$4:$A$40,'Window-U'!$E$4:$E$40)*Flat!W$22))*W136</f>
        <v>2419.0574690072613</v>
      </c>
      <c r="X137" s="171">
        <f>((LOOKUP(Flat!X$2,'Ceiling-U'!$A$4:$A$40,'Ceiling-U'!$X$4:$X$40)*Flat!X$15)+(LOOKUP(Flat!X$2,'Floor-U'!$A$4:$A$40,'Floor-U'!$E$4:$E$40)*Flat!X$16)+(LOOKUP(Flat!X$2,'Wall-U'!$A$4:$A$40,'Wall-U'!$E$4:$E$40)*Flat!X$13)+(LOOKUP(Flat!X$2,'Window-U'!$A$4:$A$40,'Window-U'!$E$4:$E$40)*Flat!X$22))*X136</f>
        <v>1506.8524398284717</v>
      </c>
      <c r="Y137" s="171">
        <f>((LOOKUP(Flat!Y$2,'Ceiling-U'!$A$4:$A$40,'Ceiling-U'!$X$4:$X$40)*Flat!Y$15)+(LOOKUP(Flat!Y$2,'Floor-U'!$A$4:$A$40,'Floor-U'!$E$4:$E$40)*Flat!Y$16)+(LOOKUP(Flat!Y$2,'Wall-U'!$A$4:$A$40,'Wall-U'!$E$4:$E$40)*Flat!Y$13)+(LOOKUP(Flat!Y$2,'Window-U'!$A$4:$A$40,'Window-U'!$E$4:$E$40)*Flat!Y$22))*Y136</f>
        <v>5176.503629854732</v>
      </c>
      <c r="Z137" s="171">
        <f>((LOOKUP(Flat!Z$2,'Ceiling-U'!$A$4:$A$40,'Ceiling-U'!$X$4:$X$40)*Flat!Z$15)+(LOOKUP(Flat!Z$2,'Floor-U'!$A$4:$A$40,'Floor-U'!$E$4:$E$40)*Flat!Z$16)+(LOOKUP(Flat!Z$2,'Wall-U'!$A$4:$A$40,'Wall-U'!$E$4:$E$40)*Flat!Z$13)+(LOOKUP(Flat!Z$2,'Window-U'!$A$4:$A$40,'Window-U'!$E$4:$E$40)*Flat!Z$22))*Z136</f>
        <v>2991.6408990681921</v>
      </c>
      <c r="AA137" s="171">
        <f>((LOOKUP(Flat!AA$2,'Ceiling-U'!$A$4:$A$40,'Ceiling-U'!$X$4:$X$40)*Flat!AA$15)+(LOOKUP(Flat!AA$2,'Floor-U'!$A$4:$A$40,'Floor-U'!$E$4:$E$40)*Flat!AA$16)+(LOOKUP(Flat!AA$2,'Wall-U'!$A$4:$A$40,'Wall-U'!$E$4:$E$40)*Flat!AA$13)+(LOOKUP(Flat!AA$2,'Window-U'!$A$4:$A$40,'Window-U'!$E$4:$E$40)*Flat!AA$22))*AA136</f>
        <v>969.5592399085989</v>
      </c>
      <c r="AB137" s="171">
        <f>((LOOKUP(Flat!AB$2,'Ceiling-U'!$A$4:$A$40,'Ceiling-U'!$X$4:$X$40)*Flat!AB$15)+(LOOKUP(Flat!AB$2,'Floor-U'!$A$4:$A$40,'Floor-U'!$E$4:$E$40)*Flat!AB$16)+(LOOKUP(Flat!AB$2,'Wall-U'!$A$4:$A$40,'Wall-U'!$E$4:$E$40)*Flat!AB$13)+(LOOKUP(Flat!AB$2,'Window-U'!$A$4:$A$40,'Window-U'!$E$4:$E$40)*Flat!AB$22))*AB136</f>
        <v>3090.7908172363586</v>
      </c>
      <c r="AC137" s="171">
        <f>((LOOKUP(Flat!AC$2,'Ceiling-U'!$A$4:$A$40,'Ceiling-U'!$X$4:$X$40)*Flat!AC$15)+(LOOKUP(Flat!AC$2,'Floor-U'!$A$4:$A$40,'Floor-U'!$E$4:$E$40)*Flat!AC$16)+(LOOKUP(Flat!AC$2,'Wall-U'!$A$4:$A$40,'Wall-U'!$E$4:$E$40)*Flat!AC$13)+(LOOKUP(Flat!AC$2,'Window-U'!$A$4:$A$40,'Window-U'!$E$4:$E$40)*Flat!AC$22))*AC136</f>
        <v>3909.2269699065946</v>
      </c>
      <c r="AD137" s="171">
        <f>((LOOKUP(Flat!AD$2,'Ceiling-U'!$A$4:$A$40,'Ceiling-U'!$X$4:$X$40)*Flat!AD$15)+(LOOKUP(Flat!AD$2,'Floor-U'!$A$4:$A$40,'Floor-U'!$E$4:$E$40)*Flat!AD$16)+(LOOKUP(Flat!AD$2,'Wall-U'!$A$4:$A$40,'Wall-U'!$E$4:$E$40)*Flat!AD$13)+(LOOKUP(Flat!AD$2,'Window-U'!$A$4:$A$40,'Window-U'!$E$4:$E$40)*Flat!AD$22))*AD136</f>
        <v>5930.9541138805398</v>
      </c>
      <c r="AE137" s="171">
        <f>((LOOKUP(Flat!AE$2,'Ceiling-U'!$A$4:$A$40,'Ceiling-U'!$X$4:$X$40)*Flat!AE$15)+(LOOKUP(Flat!AE$2,'Floor-U'!$A$4:$A$40,'Floor-U'!$E$4:$E$40)*Flat!AE$16)+(LOOKUP(Flat!AE$2,'Wall-U'!$A$4:$A$40,'Wall-U'!$E$4:$E$40)*Flat!AE$13)+(LOOKUP(Flat!AE$2,'Window-U'!$A$4:$A$40,'Window-U'!$E$4:$E$40)*Flat!AE$22))*AE136</f>
        <v>969.5592399085989</v>
      </c>
      <c r="AF137" s="171">
        <f>((LOOKUP(Flat!AF$2,'Ceiling-U'!$A$4:$A$40,'Ceiling-U'!$X$4:$X$40)*Flat!AF$15)+(LOOKUP(Flat!AF$2,'Floor-U'!$A$4:$A$40,'Floor-U'!$E$4:$E$40)*Flat!AF$16)+(LOOKUP(Flat!AF$2,'Wall-U'!$A$4:$A$40,'Wall-U'!$E$4:$E$40)*Flat!AF$13)+(LOOKUP(Flat!AF$2,'Window-U'!$A$4:$A$40,'Window-U'!$E$4:$E$40)*Flat!AF$22))*AF136</f>
        <v>1873.8114820837652</v>
      </c>
      <c r="AG137" s="171">
        <f>((LOOKUP(Flat!AG$2,'Ceiling-U'!$A$4:$A$40,'Ceiling-U'!$X$4:$X$40)*Flat!AG$15)+(LOOKUP(Flat!AG$2,'Floor-U'!$A$4:$A$40,'Floor-U'!$E$4:$E$40)*Flat!AG$16)+(LOOKUP(Flat!AG$2,'Wall-U'!$A$4:$A$40,'Wall-U'!$E$4:$E$40)*Flat!AG$13)+(LOOKUP(Flat!AG$2,'Window-U'!$A$4:$A$40,'Window-U'!$E$4:$E$40)*Flat!AG$22))*AG136</f>
        <v>2509.5058219719058</v>
      </c>
      <c r="AH137" s="171">
        <f>((LOOKUP(Flat!AH$2,'Ceiling-U'!$A$4:$A$40,'Ceiling-U'!$X$4:$X$40)*Flat!AH$15)+(LOOKUP(Flat!AH$2,'Floor-U'!$A$4:$A$40,'Floor-U'!$E$4:$E$40)*Flat!AH$16)+(LOOKUP(Flat!AH$2,'Wall-U'!$A$4:$A$40,'Wall-U'!$E$4:$E$40)*Flat!AH$13)+(LOOKUP(Flat!AH$2,'Window-U'!$A$4:$A$40,'Window-U'!$E$4:$E$40)*Flat!AH$22))*AH136</f>
        <v>6532.3596835765466</v>
      </c>
      <c r="AI137" s="171">
        <f>((LOOKUP(Flat!AI$2,'Ceiling-U'!$A$4:$A$40,'Ceiling-U'!$X$4:$X$40)*Flat!AI$15)+(LOOKUP(Flat!AI$2,'Floor-U'!$A$4:$A$40,'Floor-U'!$E$4:$E$40)*Flat!AI$16)+(LOOKUP(Flat!AI$2,'Wall-U'!$A$4:$A$40,'Wall-U'!$E$4:$E$40)*Flat!AI$13)+(LOOKUP(Flat!AI$2,'Window-U'!$A$4:$A$40,'Window-U'!$E$4:$E$40)*Flat!AI$22))*AI136</f>
        <v>3718.9152388113926</v>
      </c>
      <c r="AJ137" s="171">
        <f>((LOOKUP(Flat!AJ$2,'Ceiling-U'!$A$4:$A$40,'Ceiling-U'!$X$4:$X$40)*Flat!AJ$15)+(LOOKUP(Flat!AJ$2,'Floor-U'!$A$4:$A$40,'Floor-U'!$E$4:$E$40)*Flat!AJ$16)+(LOOKUP(Flat!AJ$2,'Wall-U'!$A$4:$A$40,'Wall-U'!$E$4:$E$40)*Flat!AJ$13)+(LOOKUP(Flat!AJ$2,'Window-U'!$A$4:$A$40,'Window-U'!$E$4:$E$40)*Flat!AJ$22))*AJ136</f>
        <v>2197.4713854245288</v>
      </c>
      <c r="AK137" s="171">
        <f>((LOOKUP(Flat!AK$2,'Ceiling-U'!$A$4:$A$40,'Ceiling-U'!$X$4:$X$40)*Flat!AK$15)+(LOOKUP(Flat!AK$2,'Floor-U'!$A$4:$A$40,'Floor-U'!$E$4:$E$40)*Flat!AK$16)+(LOOKUP(Flat!AK$2,'Wall-U'!$A$4:$A$40,'Wall-U'!$E$4:$E$40)*Flat!AK$13)+(LOOKUP(Flat!AK$2,'Window-U'!$A$4:$A$40,'Window-U'!$E$4:$E$40)*Flat!AK$22))*AK136</f>
        <v>2354.8425593355287</v>
      </c>
      <c r="AL137" s="171">
        <f>((LOOKUP(Flat!AL$2,'Ceiling-U'!$A$4:$A$40,'Ceiling-U'!$X$4:$X$40)*Flat!AL$15)+(LOOKUP(Flat!AL$2,'Floor-U'!$A$4:$A$40,'Floor-U'!$E$4:$E$40)*Flat!AL$16)+(LOOKUP(Flat!AL$2,'Wall-U'!$A$4:$A$40,'Wall-U'!$E$4:$E$40)*Flat!AL$13)+(LOOKUP(Flat!AL$2,'Window-U'!$A$4:$A$40,'Window-U'!$E$4:$E$40)*Flat!AL$22))*AL136</f>
        <v>2339.2889028193626</v>
      </c>
      <c r="AM137" s="171">
        <f>((LOOKUP(Flat!AM$2,'Ceiling-U'!$A$4:$A$40,'Ceiling-U'!$X$4:$X$40)*Flat!AM$15)+(LOOKUP(Flat!AM$2,'Floor-U'!$A$4:$A$40,'Floor-U'!$E$4:$E$40)*Flat!AM$16)+(LOOKUP(Flat!AM$2,'Wall-U'!$A$4:$A$40,'Wall-U'!$E$4:$E$40)*Flat!AM$13)+(LOOKUP(Flat!AM$2,'Window-U'!$A$4:$A$40,'Window-U'!$E$4:$E$40)*Flat!AM$22))*AM136</f>
        <v>2197.4713854245288</v>
      </c>
      <c r="AN137" s="172">
        <f>((LOOKUP(Flat!AN$2,'Ceiling-U'!$A$4:$A$40,'Ceiling-U'!$X$4:$X$40)*Flat!AN$15)+(LOOKUP(Flat!AN$2,'Floor-U'!$A$4:$A$40,'Floor-U'!$E$4:$E$40)*Flat!AN$16)+(LOOKUP(Flat!AN$2,'Wall-U'!$A$4:$A$40,'Wall-U'!$E$4:$E$40)*Flat!AN$13)+(LOOKUP(Flat!AN$2,'Window-U'!$A$4:$A$40,'Window-U'!$E$4:$E$40)*Flat!AN$22))*AN136</f>
        <v>2197.4713854245288</v>
      </c>
    </row>
    <row r="138" spans="1:40" s="5" customFormat="1">
      <c r="A138" s="372"/>
      <c r="B138" s="142" t="s">
        <v>3</v>
      </c>
      <c r="C138" s="131" t="s">
        <v>195</v>
      </c>
      <c r="D138" s="176">
        <f>((LOOKUP(Flat!D$2,'Ceiling-U'!$A$4:$A$40,'Ceiling-U'!$Y$4:$Y$40)*Flat!D$15)+(LOOKUP(Flat!D$2,'Floor-U'!$A$4:$A$40,'Floor-U'!$F$4:$F$40)*Flat!D$16)+(LOOKUP(Flat!D$2,'Wall-U'!$A$4:$A$40,'Wall-U'!$F$4:$F$40)*Flat!D$13)+(LOOKUP(Flat!D$2,'Window-U'!$A$4:$A$40,'Window-U'!$F$4:$F$40)*Flat!D$22))*D136</f>
        <v>2177.9051099254484</v>
      </c>
      <c r="E138" s="177">
        <f>((LOOKUP(Flat!E$2,'Ceiling-U'!$A$4:$A$40,'Ceiling-U'!$Y$4:$Y$40)*Flat!E$15)+(LOOKUP(Flat!E$2,'Floor-U'!$A$4:$A$40,'Floor-U'!$F$4:$F$40)*Flat!E$16)+(LOOKUP(Flat!E$2,'Wall-U'!$A$4:$A$40,'Wall-U'!$F$4:$F$40)*Flat!E$13)+(LOOKUP(Flat!E$2,'Window-U'!$A$4:$A$40,'Window-U'!$F$4:$F$40)*Flat!E$22))*E136</f>
        <v>2963.6900731046849</v>
      </c>
      <c r="F138" s="177">
        <f>((LOOKUP(Flat!F$2,'Ceiling-U'!$A$4:$A$40,'Ceiling-U'!$Y$4:$Y$40)*Flat!F$15)+(LOOKUP(Flat!F$2,'Floor-U'!$A$4:$A$40,'Floor-U'!$F$4:$F$40)*Flat!F$16)+(LOOKUP(Flat!F$2,'Wall-U'!$A$4:$A$40,'Wall-U'!$F$4:$F$40)*Flat!F$13)+(LOOKUP(Flat!F$2,'Window-U'!$A$4:$A$40,'Window-U'!$F$4:$F$40)*Flat!F$22))*F136</f>
        <v>3653.1283142802495</v>
      </c>
      <c r="G138" s="177">
        <f>((LOOKUP(Flat!G$2,'Ceiling-U'!$A$4:$A$40,'Ceiling-U'!$Y$4:$Y$40)*Flat!G$15)+(LOOKUP(Flat!G$2,'Floor-U'!$A$4:$A$40,'Floor-U'!$F$4:$F$40)*Flat!G$16)+(LOOKUP(Flat!G$2,'Wall-U'!$A$4:$A$40,'Wall-U'!$F$4:$F$40)*Flat!G$13)+(LOOKUP(Flat!G$2,'Window-U'!$A$4:$A$40,'Window-U'!$F$4:$F$40)*Flat!G$22))*G136</f>
        <v>2177.9051099254484</v>
      </c>
      <c r="H138" s="177">
        <f>((LOOKUP(Flat!H$2,'Ceiling-U'!$A$4:$A$40,'Ceiling-U'!$Y$4:$Y$40)*Flat!H$15)+(LOOKUP(Flat!H$2,'Floor-U'!$A$4:$A$40,'Floor-U'!$F$4:$F$40)*Flat!H$16)+(LOOKUP(Flat!H$2,'Wall-U'!$A$4:$A$40,'Wall-U'!$F$4:$F$40)*Flat!H$13)+(LOOKUP(Flat!H$2,'Window-U'!$A$4:$A$40,'Window-U'!$F$4:$F$40)*Flat!H$22))*H136</f>
        <v>3133.6663480797893</v>
      </c>
      <c r="I138" s="177">
        <f>((LOOKUP(Flat!I$2,'Ceiling-U'!$A$4:$A$40,'Ceiling-U'!$Y$4:$Y$40)*Flat!I$15)+(LOOKUP(Flat!I$2,'Floor-U'!$A$4:$A$40,'Floor-U'!$F$4:$F$40)*Flat!I$16)+(LOOKUP(Flat!I$2,'Wall-U'!$A$4:$A$40,'Wall-U'!$F$4:$F$40)*Flat!I$13)+(LOOKUP(Flat!I$2,'Window-U'!$A$4:$A$40,'Window-U'!$F$4:$F$40)*Flat!I$22))*I136</f>
        <v>1453.0531313744414</v>
      </c>
      <c r="J138" s="177">
        <f>((LOOKUP(Flat!J$2,'Ceiling-U'!$A$4:$A$40,'Ceiling-U'!$Y$4:$Y$40)*Flat!J$15)+(LOOKUP(Flat!J$2,'Floor-U'!$A$4:$A$40,'Floor-U'!$F$4:$F$40)*Flat!J$16)+(LOOKUP(Flat!J$2,'Wall-U'!$A$4:$A$40,'Wall-U'!$F$4:$F$40)*Flat!J$13)+(LOOKUP(Flat!J$2,'Window-U'!$A$4:$A$40,'Window-U'!$F$4:$F$40)*Flat!J$22))*J136</f>
        <v>2027.6401994489909</v>
      </c>
      <c r="K138" s="177">
        <f>((LOOKUP(Flat!K$2,'Ceiling-U'!$A$4:$A$40,'Ceiling-U'!$Y$4:$Y$40)*Flat!K$15)+(LOOKUP(Flat!K$2,'Floor-U'!$A$4:$A$40,'Floor-U'!$F$4:$F$40)*Flat!K$16)+(LOOKUP(Flat!K$2,'Wall-U'!$A$4:$A$40,'Wall-U'!$F$4:$F$40)*Flat!K$13)+(LOOKUP(Flat!K$2,'Window-U'!$A$4:$A$40,'Window-U'!$F$4:$F$40)*Flat!K$22))*K136</f>
        <v>2049.4984985245601</v>
      </c>
      <c r="L138" s="177">
        <f>((LOOKUP(Flat!L$2,'Ceiling-U'!$A$4:$A$40,'Ceiling-U'!$Y$4:$Y$40)*Flat!L$15)+(LOOKUP(Flat!L$2,'Floor-U'!$A$4:$A$40,'Floor-U'!$F$4:$F$40)*Flat!L$16)+(LOOKUP(Flat!L$2,'Wall-U'!$A$4:$A$40,'Wall-U'!$F$4:$F$40)*Flat!L$13)+(LOOKUP(Flat!L$2,'Window-U'!$A$4:$A$40,'Window-U'!$F$4:$F$40)*Flat!L$22))*L136</f>
        <v>767.25944653007832</v>
      </c>
      <c r="M138" s="177">
        <f>((LOOKUP(Flat!M$2,'Ceiling-U'!$A$4:$A$40,'Ceiling-U'!$Y$4:$Y$40)*Flat!M$15)+(LOOKUP(Flat!M$2,'Floor-U'!$A$4:$A$40,'Floor-U'!$F$4:$F$40)*Flat!M$16)+(LOOKUP(Flat!M$2,'Wall-U'!$A$4:$A$40,'Wall-U'!$F$4:$F$40)*Flat!M$13)+(LOOKUP(Flat!M$2,'Window-U'!$A$4:$A$40,'Window-U'!$F$4:$F$40)*Flat!M$22))*M136</f>
        <v>2558.8059448709059</v>
      </c>
      <c r="N138" s="177">
        <f>((LOOKUP(Flat!N$2,'Ceiling-U'!$A$4:$A$40,'Ceiling-U'!$Y$4:$Y$40)*Flat!N$15)+(LOOKUP(Flat!N$2,'Floor-U'!$A$4:$A$40,'Floor-U'!$F$4:$F$40)*Flat!N$16)+(LOOKUP(Flat!N$2,'Wall-U'!$A$4:$A$40,'Wall-U'!$F$4:$F$40)*Flat!N$13)+(LOOKUP(Flat!N$2,'Window-U'!$A$4:$A$40,'Window-U'!$F$4:$F$40)*Flat!N$22))*N136</f>
        <v>1876.1158761936472</v>
      </c>
      <c r="O138" s="177">
        <f>((LOOKUP(Flat!O$2,'Ceiling-U'!$A$4:$A$40,'Ceiling-U'!$Y$4:$Y$40)*Flat!O$15)+(LOOKUP(Flat!O$2,'Floor-U'!$A$4:$A$40,'Floor-U'!$F$4:$F$40)*Flat!O$16)+(LOOKUP(Flat!O$2,'Wall-U'!$A$4:$A$40,'Wall-U'!$F$4:$F$40)*Flat!O$13)+(LOOKUP(Flat!O$2,'Window-U'!$A$4:$A$40,'Window-U'!$F$4:$F$40)*Flat!O$22))*O136</f>
        <v>3769.083032120428</v>
      </c>
      <c r="P138" s="177">
        <f>((LOOKUP(Flat!P$2,'Ceiling-U'!$A$4:$A$40,'Ceiling-U'!$Y$4:$Y$40)*Flat!P$15)+(LOOKUP(Flat!P$2,'Floor-U'!$A$4:$A$40,'Floor-U'!$F$4:$F$40)*Flat!P$16)+(LOOKUP(Flat!P$2,'Wall-U'!$A$4:$A$40,'Wall-U'!$F$4:$F$40)*Flat!P$13)+(LOOKUP(Flat!P$2,'Window-U'!$A$4:$A$40,'Window-U'!$F$4:$F$40)*Flat!P$22))*P136</f>
        <v>2302.1859595314609</v>
      </c>
      <c r="Q138" s="177">
        <f>((LOOKUP(Flat!Q$2,'Ceiling-U'!$A$4:$A$40,'Ceiling-U'!$Y$4:$Y$40)*Flat!Q$15)+(LOOKUP(Flat!Q$2,'Floor-U'!$A$4:$A$40,'Floor-U'!$F$4:$F$40)*Flat!Q$16)+(LOOKUP(Flat!Q$2,'Wall-U'!$A$4:$A$40,'Wall-U'!$F$4:$F$40)*Flat!Q$13)+(LOOKUP(Flat!Q$2,'Window-U'!$A$4:$A$40,'Window-U'!$F$4:$F$40)*Flat!Q$22))*Q136</f>
        <v>2409.6024541422171</v>
      </c>
      <c r="R138" s="177">
        <f>((LOOKUP(Flat!R$2,'Ceiling-U'!$A$4:$A$40,'Ceiling-U'!$Y$4:$Y$40)*Flat!R$15)+(LOOKUP(Flat!R$2,'Floor-U'!$A$4:$A$40,'Floor-U'!$F$4:$F$40)*Flat!R$16)+(LOOKUP(Flat!R$2,'Wall-U'!$A$4:$A$40,'Wall-U'!$F$4:$F$40)*Flat!R$13)+(LOOKUP(Flat!R$2,'Window-U'!$A$4:$A$40,'Window-U'!$F$4:$F$40)*Flat!R$22))*R136</f>
        <v>1960.6686876747381</v>
      </c>
      <c r="S138" s="177">
        <f>((LOOKUP(Flat!S$2,'Ceiling-U'!$A$4:$A$40,'Ceiling-U'!$Y$4:$Y$40)*Flat!S$15)+(LOOKUP(Flat!S$2,'Floor-U'!$A$4:$A$40,'Floor-U'!$F$4:$F$40)*Flat!S$16)+(LOOKUP(Flat!S$2,'Wall-U'!$A$4:$A$40,'Wall-U'!$F$4:$F$40)*Flat!S$13)+(LOOKUP(Flat!S$2,'Window-U'!$A$4:$A$40,'Window-U'!$F$4:$F$40)*Flat!S$22))*S136</f>
        <v>6838.4554049126418</v>
      </c>
      <c r="T138" s="177">
        <f>((LOOKUP(Flat!T$2,'Ceiling-U'!$A$4:$A$40,'Ceiling-U'!$Y$4:$Y$40)*Flat!T$15)+(LOOKUP(Flat!T$2,'Floor-U'!$A$4:$A$40,'Floor-U'!$F$4:$F$40)*Flat!T$16)+(LOOKUP(Flat!T$2,'Wall-U'!$A$4:$A$40,'Wall-U'!$F$4:$F$40)*Flat!T$13)+(LOOKUP(Flat!T$2,'Window-U'!$A$4:$A$40,'Window-U'!$F$4:$F$40)*Flat!T$22))*T136</f>
        <v>974.18267147474717</v>
      </c>
      <c r="U138" s="177">
        <f>((LOOKUP(Flat!U$2,'Ceiling-U'!$A$4:$A$40,'Ceiling-U'!$Y$4:$Y$40)*Flat!U$15)+(LOOKUP(Flat!U$2,'Floor-U'!$A$4:$A$40,'Floor-U'!$F$4:$F$40)*Flat!U$16)+(LOOKUP(Flat!U$2,'Wall-U'!$A$4:$A$40,'Wall-U'!$F$4:$F$40)*Flat!U$13)+(LOOKUP(Flat!U$2,'Window-U'!$A$4:$A$40,'Window-U'!$F$4:$F$40)*Flat!U$22))*U136</f>
        <v>3457.8570373295465</v>
      </c>
      <c r="V138" s="177">
        <f>((LOOKUP(Flat!V$2,'Ceiling-U'!$A$4:$A$40,'Ceiling-U'!$Y$4:$Y$40)*Flat!V$15)+(LOOKUP(Flat!V$2,'Floor-U'!$A$4:$A$40,'Floor-U'!$F$4:$F$40)*Flat!V$16)+(LOOKUP(Flat!V$2,'Wall-U'!$A$4:$A$40,'Wall-U'!$F$4:$F$40)*Flat!V$13)+(LOOKUP(Flat!V$2,'Window-U'!$A$4:$A$40,'Window-U'!$F$4:$F$40)*Flat!V$22))*V136</f>
        <v>1433.2448751046206</v>
      </c>
      <c r="W138" s="177">
        <f>((LOOKUP(Flat!W$2,'Ceiling-U'!$A$4:$A$40,'Ceiling-U'!$Y$4:$Y$40)*Flat!W$15)+(LOOKUP(Flat!W$2,'Floor-U'!$A$4:$A$40,'Floor-U'!$F$4:$F$40)*Flat!W$16)+(LOOKUP(Flat!W$2,'Wall-U'!$A$4:$A$40,'Wall-U'!$F$4:$F$40)*Flat!W$13)+(LOOKUP(Flat!W$2,'Window-U'!$A$4:$A$40,'Window-U'!$F$4:$F$40)*Flat!W$22))*W136</f>
        <v>2919.4318350810595</v>
      </c>
      <c r="X138" s="177">
        <f>((LOOKUP(Flat!X$2,'Ceiling-U'!$A$4:$A$40,'Ceiling-U'!$Y$4:$Y$40)*Flat!X$15)+(LOOKUP(Flat!X$2,'Floor-U'!$A$4:$A$40,'Floor-U'!$F$4:$F$40)*Flat!X$16)+(LOOKUP(Flat!X$2,'Wall-U'!$A$4:$A$40,'Wall-U'!$F$4:$F$40)*Flat!X$13)+(LOOKUP(Flat!X$2,'Window-U'!$A$4:$A$40,'Window-U'!$F$4:$F$40)*Flat!X$22))*X136</f>
        <v>1478.0524398284717</v>
      </c>
      <c r="Y138" s="177">
        <f>((LOOKUP(Flat!Y$2,'Ceiling-U'!$A$4:$A$40,'Ceiling-U'!$Y$4:$Y$40)*Flat!Y$15)+(LOOKUP(Flat!Y$2,'Floor-U'!$A$4:$A$40,'Floor-U'!$F$4:$F$40)*Flat!Y$16)+(LOOKUP(Flat!Y$2,'Wall-U'!$A$4:$A$40,'Wall-U'!$F$4:$F$40)*Flat!Y$13)+(LOOKUP(Flat!Y$2,'Window-U'!$A$4:$A$40,'Window-U'!$F$4:$F$40)*Flat!Y$22))*Y136</f>
        <v>5176.4298257364544</v>
      </c>
      <c r="Z138" s="177">
        <f>((LOOKUP(Flat!Z$2,'Ceiling-U'!$A$4:$A$40,'Ceiling-U'!$Y$4:$Y$40)*Flat!Z$15)+(LOOKUP(Flat!Z$2,'Floor-U'!$A$4:$A$40,'Floor-U'!$F$4:$F$40)*Flat!Z$16)+(LOOKUP(Flat!Z$2,'Wall-U'!$A$4:$A$40,'Wall-U'!$F$4:$F$40)*Flat!Z$13)+(LOOKUP(Flat!Z$2,'Window-U'!$A$4:$A$40,'Window-U'!$F$4:$F$40)*Flat!Z$22))*Z136</f>
        <v>2630.0143348720358</v>
      </c>
      <c r="AA138" s="177">
        <f>((LOOKUP(Flat!AA$2,'Ceiling-U'!$A$4:$A$40,'Ceiling-U'!$Y$4:$Y$40)*Flat!AA$15)+(LOOKUP(Flat!AA$2,'Floor-U'!$A$4:$A$40,'Floor-U'!$F$4:$F$40)*Flat!AA$16)+(LOOKUP(Flat!AA$2,'Wall-U'!$A$4:$A$40,'Wall-U'!$F$4:$F$40)*Flat!AA$13)+(LOOKUP(Flat!AA$2,'Window-U'!$A$4:$A$40,'Window-U'!$F$4:$F$40)*Flat!AA$22))*AA136</f>
        <v>964.00818390859888</v>
      </c>
      <c r="AB138" s="177">
        <f>((LOOKUP(Flat!AB$2,'Ceiling-U'!$A$4:$A$40,'Ceiling-U'!$Y$4:$Y$40)*Flat!AB$15)+(LOOKUP(Flat!AB$2,'Floor-U'!$A$4:$A$40,'Floor-U'!$F$4:$F$40)*Flat!AB$16)+(LOOKUP(Flat!AB$2,'Wall-U'!$A$4:$A$40,'Wall-U'!$F$4:$F$40)*Flat!AB$13)+(LOOKUP(Flat!AB$2,'Window-U'!$A$4:$A$40,'Window-U'!$F$4:$F$40)*Flat!AB$22))*AB136</f>
        <v>2296.9397991155856</v>
      </c>
      <c r="AC138" s="177">
        <f>((LOOKUP(Flat!AC$2,'Ceiling-U'!$A$4:$A$40,'Ceiling-U'!$Y$4:$Y$40)*Flat!AC$15)+(LOOKUP(Flat!AC$2,'Floor-U'!$A$4:$A$40,'Floor-U'!$F$4:$F$40)*Flat!AC$16)+(LOOKUP(Flat!AC$2,'Wall-U'!$A$4:$A$40,'Wall-U'!$F$4:$F$40)*Flat!AC$13)+(LOOKUP(Flat!AC$2,'Window-U'!$A$4:$A$40,'Window-U'!$F$4:$F$40)*Flat!AC$22))*AC136</f>
        <v>3307.0710000708941</v>
      </c>
      <c r="AD138" s="177">
        <f>((LOOKUP(Flat!AD$2,'Ceiling-U'!$A$4:$A$40,'Ceiling-U'!$Y$4:$Y$40)*Flat!AD$15)+(LOOKUP(Flat!AD$2,'Floor-U'!$A$4:$A$40,'Floor-U'!$F$4:$F$40)*Flat!AD$16)+(LOOKUP(Flat!AD$2,'Wall-U'!$A$4:$A$40,'Wall-U'!$F$4:$F$40)*Flat!AD$13)+(LOOKUP(Flat!AD$2,'Window-U'!$A$4:$A$40,'Window-U'!$F$4:$F$40)*Flat!AD$22))*AD136</f>
        <v>5349.0314414710228</v>
      </c>
      <c r="AE138" s="177">
        <f>((LOOKUP(Flat!AE$2,'Ceiling-U'!$A$4:$A$40,'Ceiling-U'!$Y$4:$Y$40)*Flat!AE$15)+(LOOKUP(Flat!AE$2,'Floor-U'!$A$4:$A$40,'Floor-U'!$F$4:$F$40)*Flat!AE$16)+(LOOKUP(Flat!AE$2,'Wall-U'!$A$4:$A$40,'Wall-U'!$F$4:$F$40)*Flat!AE$13)+(LOOKUP(Flat!AE$2,'Window-U'!$A$4:$A$40,'Window-U'!$F$4:$F$40)*Flat!AE$22))*AE136</f>
        <v>964.00818390859888</v>
      </c>
      <c r="AF138" s="177">
        <f>((LOOKUP(Flat!AF$2,'Ceiling-U'!$A$4:$A$40,'Ceiling-U'!$Y$4:$Y$40)*Flat!AF$15)+(LOOKUP(Flat!AF$2,'Floor-U'!$A$4:$A$40,'Floor-U'!$F$4:$F$40)*Flat!AF$16)+(LOOKUP(Flat!AF$2,'Wall-U'!$A$4:$A$40,'Wall-U'!$F$4:$F$40)*Flat!AF$13)+(LOOKUP(Flat!AF$2,'Window-U'!$A$4:$A$40,'Window-U'!$F$4:$F$40)*Flat!AF$22))*AF136</f>
        <v>1873.8114820837652</v>
      </c>
      <c r="AG138" s="177">
        <f>((LOOKUP(Flat!AG$2,'Ceiling-U'!$A$4:$A$40,'Ceiling-U'!$Y$4:$Y$40)*Flat!AG$15)+(LOOKUP(Flat!AG$2,'Floor-U'!$A$4:$A$40,'Floor-U'!$F$4:$F$40)*Flat!AG$16)+(LOOKUP(Flat!AG$2,'Wall-U'!$A$4:$A$40,'Wall-U'!$F$4:$F$40)*Flat!AG$13)+(LOOKUP(Flat!AG$2,'Window-U'!$A$4:$A$40,'Window-U'!$F$4:$F$40)*Flat!AG$22))*AG136</f>
        <v>2139.55639430172</v>
      </c>
      <c r="AH138" s="177">
        <f>((LOOKUP(Flat!AH$2,'Ceiling-U'!$A$4:$A$40,'Ceiling-U'!$Y$4:$Y$40)*Flat!AH$15)+(LOOKUP(Flat!AH$2,'Floor-U'!$A$4:$A$40,'Floor-U'!$F$4:$F$40)*Flat!AH$16)+(LOOKUP(Flat!AH$2,'Wall-U'!$A$4:$A$40,'Wall-U'!$F$4:$F$40)*Flat!AH$13)+(LOOKUP(Flat!AH$2,'Window-U'!$A$4:$A$40,'Window-U'!$F$4:$F$40)*Flat!AH$22))*AH136</f>
        <v>6862.7988679170066</v>
      </c>
      <c r="AI138" s="177">
        <f>((LOOKUP(Flat!AI$2,'Ceiling-U'!$A$4:$A$40,'Ceiling-U'!$Y$4:$Y$40)*Flat!AI$15)+(LOOKUP(Flat!AI$2,'Floor-U'!$A$4:$A$40,'Floor-U'!$F$4:$F$40)*Flat!AI$16)+(LOOKUP(Flat!AI$2,'Wall-U'!$A$4:$A$40,'Wall-U'!$F$4:$F$40)*Flat!AI$13)+(LOOKUP(Flat!AI$2,'Window-U'!$A$4:$A$40,'Window-U'!$F$4:$F$40)*Flat!AI$22))*AI136</f>
        <v>3718.9152388113926</v>
      </c>
      <c r="AJ138" s="177">
        <f>((LOOKUP(Flat!AJ$2,'Ceiling-U'!$A$4:$A$40,'Ceiling-U'!$Y$4:$Y$40)*Flat!AJ$15)+(LOOKUP(Flat!AJ$2,'Floor-U'!$A$4:$A$40,'Floor-U'!$F$4:$F$40)*Flat!AJ$16)+(LOOKUP(Flat!AJ$2,'Wall-U'!$A$4:$A$40,'Wall-U'!$F$4:$F$40)*Flat!AJ$13)+(LOOKUP(Flat!AJ$2,'Window-U'!$A$4:$A$40,'Window-U'!$F$4:$F$40)*Flat!AJ$22))*AJ136</f>
        <v>2197.4713854245288</v>
      </c>
      <c r="AK138" s="177">
        <f>((LOOKUP(Flat!AK$2,'Ceiling-U'!$A$4:$A$40,'Ceiling-U'!$Y$4:$Y$40)*Flat!AK$15)+(LOOKUP(Flat!AK$2,'Floor-U'!$A$4:$A$40,'Floor-U'!$F$4:$F$40)*Flat!AK$16)+(LOOKUP(Flat!AK$2,'Wall-U'!$A$4:$A$40,'Wall-U'!$F$4:$F$40)*Flat!AK$13)+(LOOKUP(Flat!AK$2,'Window-U'!$A$4:$A$40,'Window-U'!$F$4:$F$40)*Flat!AK$22))*AK136</f>
        <v>2354.8425593355287</v>
      </c>
      <c r="AL138" s="177">
        <f>((LOOKUP(Flat!AL$2,'Ceiling-U'!$A$4:$A$40,'Ceiling-U'!$Y$4:$Y$40)*Flat!AL$15)+(LOOKUP(Flat!AL$2,'Floor-U'!$A$4:$A$40,'Floor-U'!$F$4:$F$40)*Flat!AL$16)+(LOOKUP(Flat!AL$2,'Wall-U'!$A$4:$A$40,'Wall-U'!$F$4:$F$40)*Flat!AL$13)+(LOOKUP(Flat!AL$2,'Window-U'!$A$4:$A$40,'Window-U'!$F$4:$F$40)*Flat!AL$22))*AL136</f>
        <v>2339.2889028193626</v>
      </c>
      <c r="AM138" s="177">
        <f>((LOOKUP(Flat!AM$2,'Ceiling-U'!$A$4:$A$40,'Ceiling-U'!$Y$4:$Y$40)*Flat!AM$15)+(LOOKUP(Flat!AM$2,'Floor-U'!$A$4:$A$40,'Floor-U'!$F$4:$F$40)*Flat!AM$16)+(LOOKUP(Flat!AM$2,'Wall-U'!$A$4:$A$40,'Wall-U'!$F$4:$F$40)*Flat!AM$13)+(LOOKUP(Flat!AM$2,'Window-U'!$A$4:$A$40,'Window-U'!$F$4:$F$40)*Flat!AM$22))*AM136</f>
        <v>2197.4713854245288</v>
      </c>
      <c r="AN138" s="178">
        <f>((LOOKUP(Flat!AN$2,'Ceiling-U'!$A$4:$A$40,'Ceiling-U'!$Y$4:$Y$40)*Flat!AN$15)+(LOOKUP(Flat!AN$2,'Floor-U'!$A$4:$A$40,'Floor-U'!$F$4:$F$40)*Flat!AN$16)+(LOOKUP(Flat!AN$2,'Wall-U'!$A$4:$A$40,'Wall-U'!$F$4:$F$40)*Flat!AN$13)+(LOOKUP(Flat!AN$2,'Window-U'!$A$4:$A$40,'Window-U'!$F$4:$F$40)*Flat!AN$22))*AN136</f>
        <v>2197.4713854245288</v>
      </c>
    </row>
    <row r="139" spans="1:40" s="5" customFormat="1">
      <c r="A139" s="372"/>
      <c r="B139" s="142" t="s">
        <v>4</v>
      </c>
      <c r="C139" s="131" t="s">
        <v>195</v>
      </c>
      <c r="D139" s="176">
        <f>((LOOKUP(Flat!D$2,'Ceiling-U'!$A$4:$A$40,'Ceiling-U'!$Z$4:$Z$40)*Flat!D$15)+(LOOKUP(Flat!D$2,'Floor-U'!$A$4:$A$40,'Floor-U'!$G$4:$G$40)*Flat!D$16)+(LOOKUP(Flat!D$2,'Wall-U'!$A$4:$A$40,'Wall-U'!$G$4:$G$40)*Flat!D$13)+(LOOKUP(Flat!D$2,'Window-U'!$A$4:$A$40,'Window-U'!$G$4:$G$40)*Flat!D$22))*D136</f>
        <v>1743.4131368272226</v>
      </c>
      <c r="E139" s="177">
        <f>((LOOKUP(Flat!E$2,'Ceiling-U'!$A$4:$A$40,'Ceiling-U'!$Z$4:$Z$40)*Flat!E$15)+(LOOKUP(Flat!E$2,'Floor-U'!$A$4:$A$40,'Floor-U'!$G$4:$G$40)*Flat!E$16)+(LOOKUP(Flat!E$2,'Wall-U'!$A$4:$A$40,'Wall-U'!$G$4:$G$40)*Flat!E$13)+(LOOKUP(Flat!E$2,'Window-U'!$A$4:$A$40,'Window-U'!$G$4:$G$40)*Flat!E$22))*E136</f>
        <v>2963.6900731046849</v>
      </c>
      <c r="F139" s="177">
        <f>((LOOKUP(Flat!F$2,'Ceiling-U'!$A$4:$A$40,'Ceiling-U'!$Z$4:$Z$40)*Flat!F$15)+(LOOKUP(Flat!F$2,'Floor-U'!$A$4:$A$40,'Floor-U'!$G$4:$G$40)*Flat!F$16)+(LOOKUP(Flat!F$2,'Wall-U'!$A$4:$A$40,'Wall-U'!$G$4:$G$40)*Flat!F$13)+(LOOKUP(Flat!F$2,'Window-U'!$A$4:$A$40,'Window-U'!$G$4:$G$40)*Flat!F$22))*F136</f>
        <v>3437.9570420371942</v>
      </c>
      <c r="G139" s="177">
        <f>((LOOKUP(Flat!G$2,'Ceiling-U'!$A$4:$A$40,'Ceiling-U'!$Z$4:$Z$40)*Flat!G$15)+(LOOKUP(Flat!G$2,'Floor-U'!$A$4:$A$40,'Floor-U'!$G$4:$G$40)*Flat!G$16)+(LOOKUP(Flat!G$2,'Wall-U'!$A$4:$A$40,'Wall-U'!$G$4:$G$40)*Flat!G$13)+(LOOKUP(Flat!G$2,'Window-U'!$A$4:$A$40,'Window-U'!$G$4:$G$40)*Flat!G$22))*G136</f>
        <v>1743.4131368272226</v>
      </c>
      <c r="H139" s="177">
        <f>((LOOKUP(Flat!H$2,'Ceiling-U'!$A$4:$A$40,'Ceiling-U'!$Z$4:$Z$40)*Flat!H$15)+(LOOKUP(Flat!H$2,'Floor-U'!$A$4:$A$40,'Floor-U'!$G$4:$G$40)*Flat!H$16)+(LOOKUP(Flat!H$2,'Wall-U'!$A$4:$A$40,'Wall-U'!$G$4:$G$40)*Flat!H$13)+(LOOKUP(Flat!H$2,'Window-U'!$A$4:$A$40,'Window-U'!$G$4:$G$40)*Flat!H$22))*H136</f>
        <v>3170.7909006652858</v>
      </c>
      <c r="I139" s="177">
        <f>((LOOKUP(Flat!I$2,'Ceiling-U'!$A$4:$A$40,'Ceiling-U'!$Z$4:$Z$40)*Flat!I$15)+(LOOKUP(Flat!I$2,'Floor-U'!$A$4:$A$40,'Floor-U'!$G$4:$G$40)*Flat!I$16)+(LOOKUP(Flat!I$2,'Wall-U'!$A$4:$A$40,'Wall-U'!$G$4:$G$40)*Flat!I$13)+(LOOKUP(Flat!I$2,'Window-U'!$A$4:$A$40,'Window-U'!$G$4:$G$40)*Flat!I$22))*I136</f>
        <v>1453.0531313744414</v>
      </c>
      <c r="J139" s="177">
        <f>((LOOKUP(Flat!J$2,'Ceiling-U'!$A$4:$A$40,'Ceiling-U'!$Z$4:$Z$40)*Flat!J$15)+(LOOKUP(Flat!J$2,'Floor-U'!$A$4:$A$40,'Floor-U'!$G$4:$G$40)*Flat!J$16)+(LOOKUP(Flat!J$2,'Wall-U'!$A$4:$A$40,'Wall-U'!$G$4:$G$40)*Flat!J$13)+(LOOKUP(Flat!J$2,'Window-U'!$A$4:$A$40,'Window-U'!$G$4:$G$40)*Flat!J$22))*J136</f>
        <v>1403.1511581753389</v>
      </c>
      <c r="K139" s="177">
        <f>((LOOKUP(Flat!K$2,'Ceiling-U'!$A$4:$A$40,'Ceiling-U'!$Z$4:$Z$40)*Flat!K$15)+(LOOKUP(Flat!K$2,'Floor-U'!$A$4:$A$40,'Floor-U'!$G$4:$G$40)*Flat!K$16)+(LOOKUP(Flat!K$2,'Wall-U'!$A$4:$A$40,'Wall-U'!$G$4:$G$40)*Flat!K$13)+(LOOKUP(Flat!K$2,'Window-U'!$A$4:$A$40,'Window-U'!$G$4:$G$40)*Flat!K$22))*K136</f>
        <v>1390.0605394656704</v>
      </c>
      <c r="L139" s="177">
        <f>((LOOKUP(Flat!L$2,'Ceiling-U'!$A$4:$A$40,'Ceiling-U'!$Z$4:$Z$40)*Flat!L$15)+(LOOKUP(Flat!L$2,'Floor-U'!$A$4:$A$40,'Floor-U'!$G$4:$G$40)*Flat!L$16)+(LOOKUP(Flat!L$2,'Wall-U'!$A$4:$A$40,'Wall-U'!$G$4:$G$40)*Flat!L$13)+(LOOKUP(Flat!L$2,'Window-U'!$A$4:$A$40,'Window-U'!$G$4:$G$40)*Flat!L$22))*L136</f>
        <v>619.082080079923</v>
      </c>
      <c r="M139" s="177">
        <f>((LOOKUP(Flat!M$2,'Ceiling-U'!$A$4:$A$40,'Ceiling-U'!$Z$4:$Z$40)*Flat!M$15)+(LOOKUP(Flat!M$2,'Floor-U'!$A$4:$A$40,'Floor-U'!$G$4:$G$40)*Flat!M$16)+(LOOKUP(Flat!M$2,'Wall-U'!$A$4:$A$40,'Wall-U'!$G$4:$G$40)*Flat!M$13)+(LOOKUP(Flat!M$2,'Window-U'!$A$4:$A$40,'Window-U'!$G$4:$G$40)*Flat!M$22))*M136</f>
        <v>2558.8059448709059</v>
      </c>
      <c r="N139" s="177">
        <f>((LOOKUP(Flat!N$2,'Ceiling-U'!$A$4:$A$40,'Ceiling-U'!$Z$4:$Z$40)*Flat!N$15)+(LOOKUP(Flat!N$2,'Floor-U'!$A$4:$A$40,'Floor-U'!$G$4:$G$40)*Flat!N$16)+(LOOKUP(Flat!N$2,'Wall-U'!$A$4:$A$40,'Wall-U'!$G$4:$G$40)*Flat!N$13)+(LOOKUP(Flat!N$2,'Window-U'!$A$4:$A$40,'Window-U'!$G$4:$G$40)*Flat!N$22))*N136</f>
        <v>1551.5099562777968</v>
      </c>
      <c r="O139" s="177">
        <f>((LOOKUP(Flat!O$2,'Ceiling-U'!$A$4:$A$40,'Ceiling-U'!$Z$4:$Z$40)*Flat!O$15)+(LOOKUP(Flat!O$2,'Floor-U'!$A$4:$A$40,'Floor-U'!$G$4:$G$40)*Flat!O$16)+(LOOKUP(Flat!O$2,'Wall-U'!$A$4:$A$40,'Wall-U'!$G$4:$G$40)*Flat!O$13)+(LOOKUP(Flat!O$2,'Window-U'!$A$4:$A$40,'Window-U'!$G$4:$G$40)*Flat!O$22))*O136</f>
        <v>1814.7118453173434</v>
      </c>
      <c r="P139" s="177">
        <f>((LOOKUP(Flat!P$2,'Ceiling-U'!$A$4:$A$40,'Ceiling-U'!$Z$4:$Z$40)*Flat!P$15)+(LOOKUP(Flat!P$2,'Floor-U'!$A$4:$A$40,'Floor-U'!$G$4:$G$40)*Flat!P$16)+(LOOKUP(Flat!P$2,'Wall-U'!$A$4:$A$40,'Wall-U'!$G$4:$G$40)*Flat!P$13)+(LOOKUP(Flat!P$2,'Window-U'!$A$4:$A$40,'Window-U'!$G$4:$G$40)*Flat!P$22))*P136</f>
        <v>2302.1859595314609</v>
      </c>
      <c r="Q139" s="177">
        <f>((LOOKUP(Flat!Q$2,'Ceiling-U'!$A$4:$A$40,'Ceiling-U'!$Z$4:$Z$40)*Flat!Q$15)+(LOOKUP(Flat!Q$2,'Floor-U'!$A$4:$A$40,'Floor-U'!$G$4:$G$40)*Flat!Q$16)+(LOOKUP(Flat!Q$2,'Wall-U'!$A$4:$A$40,'Wall-U'!$G$4:$G$40)*Flat!Q$13)+(LOOKUP(Flat!Q$2,'Window-U'!$A$4:$A$40,'Window-U'!$G$4:$G$40)*Flat!Q$22))*Q136</f>
        <v>2016.1440784372794</v>
      </c>
      <c r="R139" s="177">
        <f>((LOOKUP(Flat!R$2,'Ceiling-U'!$A$4:$A$40,'Ceiling-U'!$Z$4:$Z$40)*Flat!R$15)+(LOOKUP(Flat!R$2,'Floor-U'!$A$4:$A$40,'Floor-U'!$G$4:$G$40)*Flat!R$16)+(LOOKUP(Flat!R$2,'Wall-U'!$A$4:$A$40,'Wall-U'!$G$4:$G$40)*Flat!R$13)+(LOOKUP(Flat!R$2,'Window-U'!$A$4:$A$40,'Window-U'!$G$4:$G$40)*Flat!R$22))*R136</f>
        <v>1690.8190820377054</v>
      </c>
      <c r="S139" s="177">
        <f>((LOOKUP(Flat!S$2,'Ceiling-U'!$A$4:$A$40,'Ceiling-U'!$Z$4:$Z$40)*Flat!S$15)+(LOOKUP(Flat!S$2,'Floor-U'!$A$4:$A$40,'Floor-U'!$G$4:$G$40)*Flat!S$16)+(LOOKUP(Flat!S$2,'Wall-U'!$A$4:$A$40,'Wall-U'!$G$4:$G$40)*Flat!S$13)+(LOOKUP(Flat!S$2,'Window-U'!$A$4:$A$40,'Window-U'!$G$4:$G$40)*Flat!S$22))*S136</f>
        <v>6821.0053641501418</v>
      </c>
      <c r="T139" s="177">
        <f>((LOOKUP(Flat!T$2,'Ceiling-U'!$A$4:$A$40,'Ceiling-U'!$Z$4:$Z$40)*Flat!T$15)+(LOOKUP(Flat!T$2,'Floor-U'!$A$4:$A$40,'Floor-U'!$G$4:$G$40)*Flat!T$16)+(LOOKUP(Flat!T$2,'Wall-U'!$A$4:$A$40,'Wall-U'!$G$4:$G$40)*Flat!T$13)+(LOOKUP(Flat!T$2,'Window-U'!$A$4:$A$40,'Window-U'!$G$4:$G$40)*Flat!T$22))*T136</f>
        <v>782.41328608951471</v>
      </c>
      <c r="U139" s="177">
        <f>((LOOKUP(Flat!U$2,'Ceiling-U'!$A$4:$A$40,'Ceiling-U'!$Z$4:$Z$40)*Flat!U$15)+(LOOKUP(Flat!U$2,'Floor-U'!$A$4:$A$40,'Floor-U'!$G$4:$G$40)*Flat!U$16)+(LOOKUP(Flat!U$2,'Wall-U'!$A$4:$A$40,'Wall-U'!$G$4:$G$40)*Flat!U$13)+(LOOKUP(Flat!U$2,'Window-U'!$A$4:$A$40,'Window-U'!$G$4:$G$40)*Flat!U$22))*U136</f>
        <v>3274.1244417960474</v>
      </c>
      <c r="V139" s="177">
        <f>((LOOKUP(Flat!V$2,'Ceiling-U'!$A$4:$A$40,'Ceiling-U'!$Z$4:$Z$40)*Flat!V$15)+(LOOKUP(Flat!V$2,'Floor-U'!$A$4:$A$40,'Floor-U'!$G$4:$G$40)*Flat!V$16)+(LOOKUP(Flat!V$2,'Wall-U'!$A$4:$A$40,'Wall-U'!$G$4:$G$40)*Flat!V$13)+(LOOKUP(Flat!V$2,'Window-U'!$A$4:$A$40,'Window-U'!$G$4:$G$40)*Flat!V$22))*V136</f>
        <v>888.72291635943202</v>
      </c>
      <c r="W139" s="177">
        <f>((LOOKUP(Flat!W$2,'Ceiling-U'!$A$4:$A$40,'Ceiling-U'!$Z$4:$Z$40)*Flat!W$15)+(LOOKUP(Flat!W$2,'Floor-U'!$A$4:$A$40,'Floor-U'!$G$4:$G$40)*Flat!W$16)+(LOOKUP(Flat!W$2,'Wall-U'!$A$4:$A$40,'Wall-U'!$G$4:$G$40)*Flat!W$13)+(LOOKUP(Flat!W$2,'Window-U'!$A$4:$A$40,'Window-U'!$G$4:$G$40)*Flat!W$22))*W136</f>
        <v>1418.3293522344991</v>
      </c>
      <c r="X139" s="177">
        <f>((LOOKUP(Flat!X$2,'Ceiling-U'!$A$4:$A$40,'Ceiling-U'!$Z$4:$Z$40)*Flat!X$15)+(LOOKUP(Flat!X$2,'Floor-U'!$A$4:$A$40,'Floor-U'!$G$4:$G$40)*Flat!X$16)+(LOOKUP(Flat!X$2,'Wall-U'!$A$4:$A$40,'Wall-U'!$G$4:$G$40)*Flat!X$13)+(LOOKUP(Flat!X$2,'Window-U'!$A$4:$A$40,'Window-U'!$G$4:$G$40)*Flat!X$22))*X136</f>
        <v>1382.3403298169164</v>
      </c>
      <c r="Y139" s="177">
        <f>((LOOKUP(Flat!Y$2,'Ceiling-U'!$A$4:$A$40,'Ceiling-U'!$Z$4:$Z$40)*Flat!Y$15)+(LOOKUP(Flat!Y$2,'Floor-U'!$A$4:$A$40,'Floor-U'!$G$4:$G$40)*Flat!Y$16)+(LOOKUP(Flat!Y$2,'Wall-U'!$A$4:$A$40,'Wall-U'!$G$4:$G$40)*Flat!Y$13)+(LOOKUP(Flat!Y$2,'Window-U'!$A$4:$A$40,'Window-U'!$G$4:$G$40)*Flat!Y$22))*Y136</f>
        <v>3870.5149905301409</v>
      </c>
      <c r="Z139" s="177">
        <f>((LOOKUP(Flat!Z$2,'Ceiling-U'!$A$4:$A$40,'Ceiling-U'!$Z$4:$Z$40)*Flat!Z$15)+(LOOKUP(Flat!Z$2,'Floor-U'!$A$4:$A$40,'Floor-U'!$G$4:$G$40)*Flat!Z$16)+(LOOKUP(Flat!Z$2,'Wall-U'!$A$4:$A$40,'Wall-U'!$G$4:$G$40)*Flat!Z$13)+(LOOKUP(Flat!Z$2,'Window-U'!$A$4:$A$40,'Window-U'!$G$4:$G$40)*Flat!Z$22))*Z136</f>
        <v>2572.2849790720356</v>
      </c>
      <c r="AA139" s="177">
        <f>((LOOKUP(Flat!AA$2,'Ceiling-U'!$A$4:$A$40,'Ceiling-U'!$Z$4:$Z$40)*Flat!AA$15)+(LOOKUP(Flat!AA$2,'Floor-U'!$A$4:$A$40,'Floor-U'!$G$4:$G$40)*Flat!AA$16)+(LOOKUP(Flat!AA$2,'Wall-U'!$A$4:$A$40,'Wall-U'!$G$4:$G$40)*Flat!AA$13)+(LOOKUP(Flat!AA$2,'Window-U'!$A$4:$A$40,'Window-U'!$G$4:$G$40)*Flat!AA$22))*AA136</f>
        <v>689.43987398774175</v>
      </c>
      <c r="AB139" s="177">
        <f>((LOOKUP(Flat!AB$2,'Ceiling-U'!$A$4:$A$40,'Ceiling-U'!$Z$4:$Z$40)*Flat!AB$15)+(LOOKUP(Flat!AB$2,'Floor-U'!$A$4:$A$40,'Floor-U'!$G$4:$G$40)*Flat!AB$16)+(LOOKUP(Flat!AB$2,'Wall-U'!$A$4:$A$40,'Wall-U'!$G$4:$G$40)*Flat!AB$13)+(LOOKUP(Flat!AB$2,'Window-U'!$A$4:$A$40,'Window-U'!$G$4:$G$40)*Flat!AB$22))*AB136</f>
        <v>1579.2059094307469</v>
      </c>
      <c r="AC139" s="177">
        <f>((LOOKUP(Flat!AC$2,'Ceiling-U'!$A$4:$A$40,'Ceiling-U'!$Z$4:$Z$40)*Flat!AC$15)+(LOOKUP(Flat!AC$2,'Floor-U'!$A$4:$A$40,'Floor-U'!$G$4:$G$40)*Flat!AC$16)+(LOOKUP(Flat!AC$2,'Wall-U'!$A$4:$A$40,'Wall-U'!$G$4:$G$40)*Flat!AC$13)+(LOOKUP(Flat!AC$2,'Window-U'!$A$4:$A$40,'Window-U'!$G$4:$G$40)*Flat!AC$22))*AC136</f>
        <v>3306.6319994443302</v>
      </c>
      <c r="AD139" s="177">
        <f>((LOOKUP(Flat!AD$2,'Ceiling-U'!$A$4:$A$40,'Ceiling-U'!$Z$4:$Z$40)*Flat!AD$15)+(LOOKUP(Flat!AD$2,'Floor-U'!$A$4:$A$40,'Floor-U'!$G$4:$G$40)*Flat!AD$16)+(LOOKUP(Flat!AD$2,'Wall-U'!$A$4:$A$40,'Wall-U'!$G$4:$G$40)*Flat!AD$13)+(LOOKUP(Flat!AD$2,'Window-U'!$A$4:$A$40,'Window-U'!$G$4:$G$40)*Flat!AD$22))*AD136</f>
        <v>5349.0314414710228</v>
      </c>
      <c r="AE139" s="177">
        <f>((LOOKUP(Flat!AE$2,'Ceiling-U'!$A$4:$A$40,'Ceiling-U'!$Z$4:$Z$40)*Flat!AE$15)+(LOOKUP(Flat!AE$2,'Floor-U'!$A$4:$A$40,'Floor-U'!$G$4:$G$40)*Flat!AE$16)+(LOOKUP(Flat!AE$2,'Wall-U'!$A$4:$A$40,'Wall-U'!$G$4:$G$40)*Flat!AE$13)+(LOOKUP(Flat!AE$2,'Window-U'!$A$4:$A$40,'Window-U'!$G$4:$G$40)*Flat!AE$22))*AE136</f>
        <v>689.43987398774175</v>
      </c>
      <c r="AF139" s="177">
        <f>((LOOKUP(Flat!AF$2,'Ceiling-U'!$A$4:$A$40,'Ceiling-U'!$Z$4:$Z$40)*Flat!AF$15)+(LOOKUP(Flat!AF$2,'Floor-U'!$A$4:$A$40,'Floor-U'!$G$4:$G$40)*Flat!AF$16)+(LOOKUP(Flat!AF$2,'Wall-U'!$A$4:$A$40,'Wall-U'!$G$4:$G$40)*Flat!AF$13)+(LOOKUP(Flat!AF$2,'Window-U'!$A$4:$A$40,'Window-U'!$G$4:$G$40)*Flat!AF$22))*AF136</f>
        <v>1797.7464489840249</v>
      </c>
      <c r="AG139" s="177">
        <f>((LOOKUP(Flat!AG$2,'Ceiling-U'!$A$4:$A$40,'Ceiling-U'!$Z$4:$Z$40)*Flat!AG$15)+(LOOKUP(Flat!AG$2,'Floor-U'!$A$4:$A$40,'Floor-U'!$G$4:$G$40)*Flat!AG$16)+(LOOKUP(Flat!AG$2,'Wall-U'!$A$4:$A$40,'Wall-U'!$G$4:$G$40)*Flat!AG$13)+(LOOKUP(Flat!AG$2,'Window-U'!$A$4:$A$40,'Window-U'!$G$4:$G$40)*Flat!AG$22))*AG136</f>
        <v>2139.55639430172</v>
      </c>
      <c r="AH139" s="177">
        <f>((LOOKUP(Flat!AH$2,'Ceiling-U'!$A$4:$A$40,'Ceiling-U'!$Z$4:$Z$40)*Flat!AH$15)+(LOOKUP(Flat!AH$2,'Floor-U'!$A$4:$A$40,'Floor-U'!$G$4:$G$40)*Flat!AH$16)+(LOOKUP(Flat!AH$2,'Wall-U'!$A$4:$A$40,'Wall-U'!$G$4:$G$40)*Flat!AH$13)+(LOOKUP(Flat!AH$2,'Window-U'!$A$4:$A$40,'Window-U'!$G$4:$G$40)*Flat!AH$22))*AH136</f>
        <v>5847.9385268242841</v>
      </c>
      <c r="AI139" s="177">
        <f>((LOOKUP(Flat!AI$2,'Ceiling-U'!$A$4:$A$40,'Ceiling-U'!$Z$4:$Z$40)*Flat!AI$15)+(LOOKUP(Flat!AI$2,'Floor-U'!$A$4:$A$40,'Floor-U'!$G$4:$G$40)*Flat!AI$16)+(LOOKUP(Flat!AI$2,'Wall-U'!$A$4:$A$40,'Wall-U'!$G$4:$G$40)*Flat!AI$13)+(LOOKUP(Flat!AI$2,'Window-U'!$A$4:$A$40,'Window-U'!$G$4:$G$40)*Flat!AI$22))*AI136</f>
        <v>3718.9152388113926</v>
      </c>
      <c r="AJ139" s="177">
        <f>((LOOKUP(Flat!AJ$2,'Ceiling-U'!$A$4:$A$40,'Ceiling-U'!$Z$4:$Z$40)*Flat!AJ$15)+(LOOKUP(Flat!AJ$2,'Floor-U'!$A$4:$A$40,'Floor-U'!$G$4:$G$40)*Flat!AJ$16)+(LOOKUP(Flat!AJ$2,'Wall-U'!$A$4:$A$40,'Wall-U'!$G$4:$G$40)*Flat!AJ$13)+(LOOKUP(Flat!AJ$2,'Window-U'!$A$4:$A$40,'Window-U'!$G$4:$G$40)*Flat!AJ$22))*AJ136</f>
        <v>2197.4713854245288</v>
      </c>
      <c r="AK139" s="177">
        <f>((LOOKUP(Flat!AK$2,'Ceiling-U'!$A$4:$A$40,'Ceiling-U'!$Z$4:$Z$40)*Flat!AK$15)+(LOOKUP(Flat!AK$2,'Floor-U'!$A$4:$A$40,'Floor-U'!$G$4:$G$40)*Flat!AK$16)+(LOOKUP(Flat!AK$2,'Wall-U'!$A$4:$A$40,'Wall-U'!$G$4:$G$40)*Flat!AK$13)+(LOOKUP(Flat!AK$2,'Window-U'!$A$4:$A$40,'Window-U'!$G$4:$G$40)*Flat!AK$22))*AK136</f>
        <v>2354.8425593355287</v>
      </c>
      <c r="AL139" s="177">
        <f>((LOOKUP(Flat!AL$2,'Ceiling-U'!$A$4:$A$40,'Ceiling-U'!$Z$4:$Z$40)*Flat!AL$15)+(LOOKUP(Flat!AL$2,'Floor-U'!$A$4:$A$40,'Floor-U'!$G$4:$G$40)*Flat!AL$16)+(LOOKUP(Flat!AL$2,'Wall-U'!$A$4:$A$40,'Wall-U'!$G$4:$G$40)*Flat!AL$13)+(LOOKUP(Flat!AL$2,'Window-U'!$A$4:$A$40,'Window-U'!$G$4:$G$40)*Flat!AL$22))*AL136</f>
        <v>2193.4862291682466</v>
      </c>
      <c r="AM139" s="177">
        <f>((LOOKUP(Flat!AM$2,'Ceiling-U'!$A$4:$A$40,'Ceiling-U'!$Z$4:$Z$40)*Flat!AM$15)+(LOOKUP(Flat!AM$2,'Floor-U'!$A$4:$A$40,'Floor-U'!$G$4:$G$40)*Flat!AM$16)+(LOOKUP(Flat!AM$2,'Wall-U'!$A$4:$A$40,'Wall-U'!$G$4:$G$40)*Flat!AM$13)+(LOOKUP(Flat!AM$2,'Window-U'!$A$4:$A$40,'Window-U'!$G$4:$G$40)*Flat!AM$22))*AM136</f>
        <v>2197.4713854245288</v>
      </c>
      <c r="AN139" s="178">
        <f>((LOOKUP(Flat!AN$2,'Ceiling-U'!$A$4:$A$40,'Ceiling-U'!$Z$4:$Z$40)*Flat!AN$15)+(LOOKUP(Flat!AN$2,'Floor-U'!$A$4:$A$40,'Floor-U'!$G$4:$G$40)*Flat!AN$16)+(LOOKUP(Flat!AN$2,'Wall-U'!$A$4:$A$40,'Wall-U'!$G$4:$G$40)*Flat!AN$13)+(LOOKUP(Flat!AN$2,'Window-U'!$A$4:$A$40,'Window-U'!$G$4:$G$40)*Flat!AN$22))*AN136</f>
        <v>2197.4713854245288</v>
      </c>
    </row>
    <row r="140" spans="1:40" s="5" customFormat="1">
      <c r="A140" s="372"/>
      <c r="B140" s="142" t="s">
        <v>5</v>
      </c>
      <c r="C140" s="131" t="s">
        <v>195</v>
      </c>
      <c r="D140" s="176">
        <f>((LOOKUP(Flat!D$2,'Ceiling-U'!$A$4:$A$40,'Ceiling-U'!$AA$4:$AA$40)*Flat!D$15)+(LOOKUP(Flat!D$2,'Floor-U'!$A$4:$A$40,'Floor-U'!$H$4:$H$40)*Flat!D$16)+(LOOKUP(Flat!D$2,'Wall-U'!$A$4:$A$40,'Wall-U'!$H$4:$H$40)*Flat!D$13)+(LOOKUP(Flat!D$2,'Window-U'!$A$4:$A$40,'Window-U'!$H$4:$H$40)*Flat!D$22))*D136</f>
        <v>1159.3912799889945</v>
      </c>
      <c r="E140" s="177">
        <f>((LOOKUP(Flat!E$2,'Ceiling-U'!$A$4:$A$40,'Ceiling-U'!$AA$4:$AA$40)*Flat!E$15)+(LOOKUP(Flat!E$2,'Floor-U'!$A$4:$A$40,'Floor-U'!$H$4:$H$40)*Flat!E$16)+(LOOKUP(Flat!E$2,'Wall-U'!$A$4:$A$40,'Wall-U'!$H$4:$H$40)*Flat!E$13)+(LOOKUP(Flat!E$2,'Window-U'!$A$4:$A$40,'Window-U'!$H$4:$H$40)*Flat!E$22))*E136</f>
        <v>2543.7177432501771</v>
      </c>
      <c r="F140" s="177">
        <f>((LOOKUP(Flat!F$2,'Ceiling-U'!$A$4:$A$40,'Ceiling-U'!$AA$4:$AA$40)*Flat!F$15)+(LOOKUP(Flat!F$2,'Floor-U'!$A$4:$A$40,'Floor-U'!$H$4:$H$40)*Flat!F$16)+(LOOKUP(Flat!F$2,'Wall-U'!$A$4:$A$40,'Wall-U'!$H$4:$H$40)*Flat!F$13)+(LOOKUP(Flat!F$2,'Window-U'!$A$4:$A$40,'Window-U'!$H$4:$H$40)*Flat!F$22))*F136</f>
        <v>2884.2581841428582</v>
      </c>
      <c r="G140" s="177">
        <f>((LOOKUP(Flat!G$2,'Ceiling-U'!$A$4:$A$40,'Ceiling-U'!$AA$4:$AA$40)*Flat!G$15)+(LOOKUP(Flat!G$2,'Floor-U'!$A$4:$A$40,'Floor-U'!$H$4:$H$40)*Flat!G$16)+(LOOKUP(Flat!G$2,'Wall-U'!$A$4:$A$40,'Wall-U'!$H$4:$H$40)*Flat!G$13)+(LOOKUP(Flat!G$2,'Window-U'!$A$4:$A$40,'Window-U'!$H$4:$H$40)*Flat!G$22))*G136</f>
        <v>1159.3912799889945</v>
      </c>
      <c r="H140" s="177">
        <f>((LOOKUP(Flat!H$2,'Ceiling-U'!$A$4:$A$40,'Ceiling-U'!$AA$4:$AA$40)*Flat!H$15)+(LOOKUP(Flat!H$2,'Floor-U'!$A$4:$A$40,'Floor-U'!$H$4:$H$40)*Flat!H$16)+(LOOKUP(Flat!H$2,'Wall-U'!$A$4:$A$40,'Wall-U'!$H$4:$H$40)*Flat!H$13)+(LOOKUP(Flat!H$2,'Window-U'!$A$4:$A$40,'Window-U'!$H$4:$H$40)*Flat!H$22))*H136</f>
        <v>3083.1909006652859</v>
      </c>
      <c r="I140" s="177">
        <f>((LOOKUP(Flat!I$2,'Ceiling-U'!$A$4:$A$40,'Ceiling-U'!$AA$4:$AA$40)*Flat!I$15)+(LOOKUP(Flat!I$2,'Floor-U'!$A$4:$A$40,'Floor-U'!$H$4:$H$40)*Flat!I$16)+(LOOKUP(Flat!I$2,'Wall-U'!$A$4:$A$40,'Wall-U'!$H$4:$H$40)*Flat!I$13)+(LOOKUP(Flat!I$2,'Window-U'!$A$4:$A$40,'Window-U'!$H$4:$H$40)*Flat!I$22))*I136</f>
        <v>1310.3633855856626</v>
      </c>
      <c r="J140" s="177">
        <f>((LOOKUP(Flat!J$2,'Ceiling-U'!$A$4:$A$40,'Ceiling-U'!$AA$4:$AA$40)*Flat!J$15)+(LOOKUP(Flat!J$2,'Floor-U'!$A$4:$A$40,'Floor-U'!$H$4:$H$40)*Flat!J$16)+(LOOKUP(Flat!J$2,'Wall-U'!$A$4:$A$40,'Wall-U'!$H$4:$H$40)*Flat!J$13)+(LOOKUP(Flat!J$2,'Window-U'!$A$4:$A$40,'Window-U'!$H$4:$H$40)*Flat!J$22))*J136</f>
        <v>1198.3869177059735</v>
      </c>
      <c r="K140" s="177">
        <f>((LOOKUP(Flat!K$2,'Ceiling-U'!$A$4:$A$40,'Ceiling-U'!$AA$4:$AA$40)*Flat!K$15)+(LOOKUP(Flat!K$2,'Floor-U'!$A$4:$A$40,'Floor-U'!$H$4:$H$40)*Flat!K$16)+(LOOKUP(Flat!K$2,'Wall-U'!$A$4:$A$40,'Wall-U'!$H$4:$H$40)*Flat!K$13)+(LOOKUP(Flat!K$2,'Window-U'!$A$4:$A$40,'Window-U'!$H$4:$H$40)*Flat!K$22))*K136</f>
        <v>1145.3293025710966</v>
      </c>
      <c r="L140" s="177">
        <f>((LOOKUP(Flat!L$2,'Ceiling-U'!$A$4:$A$40,'Ceiling-U'!$AA$4:$AA$40)*Flat!L$15)+(LOOKUP(Flat!L$2,'Floor-U'!$A$4:$A$40,'Floor-U'!$H$4:$H$40)*Flat!L$16)+(LOOKUP(Flat!L$2,'Wall-U'!$A$4:$A$40,'Wall-U'!$H$4:$H$40)*Flat!L$13)+(LOOKUP(Flat!L$2,'Window-U'!$A$4:$A$40,'Window-U'!$H$4:$H$40)*Flat!L$22))*L136</f>
        <v>446.32895839384776</v>
      </c>
      <c r="M140" s="177">
        <f>((LOOKUP(Flat!M$2,'Ceiling-U'!$A$4:$A$40,'Ceiling-U'!$AA$4:$AA$40)*Flat!M$15)+(LOOKUP(Flat!M$2,'Floor-U'!$A$4:$A$40,'Floor-U'!$H$4:$H$40)*Flat!M$16)+(LOOKUP(Flat!M$2,'Wall-U'!$A$4:$A$40,'Wall-U'!$H$4:$H$40)*Flat!M$13)+(LOOKUP(Flat!M$2,'Window-U'!$A$4:$A$40,'Window-U'!$H$4:$H$40)*Flat!M$22))*M136</f>
        <v>1679.1144162640453</v>
      </c>
      <c r="N140" s="177">
        <f>((LOOKUP(Flat!N$2,'Ceiling-U'!$A$4:$A$40,'Ceiling-U'!$AA$4:$AA$40)*Flat!N$15)+(LOOKUP(Flat!N$2,'Floor-U'!$A$4:$A$40,'Floor-U'!$H$4:$H$40)*Flat!N$16)+(LOOKUP(Flat!N$2,'Wall-U'!$A$4:$A$40,'Wall-U'!$H$4:$H$40)*Flat!N$13)+(LOOKUP(Flat!N$2,'Window-U'!$A$4:$A$40,'Window-U'!$H$4:$H$40)*Flat!N$22))*N136</f>
        <v>1241.9094360615775</v>
      </c>
      <c r="O140" s="177">
        <f>((LOOKUP(Flat!O$2,'Ceiling-U'!$A$4:$A$40,'Ceiling-U'!$AA$4:$AA$40)*Flat!O$15)+(LOOKUP(Flat!O$2,'Floor-U'!$A$4:$A$40,'Floor-U'!$H$4:$H$40)*Flat!O$16)+(LOOKUP(Flat!O$2,'Wall-U'!$A$4:$A$40,'Wall-U'!$H$4:$H$40)*Flat!O$13)+(LOOKUP(Flat!O$2,'Window-U'!$A$4:$A$40,'Window-U'!$H$4:$H$40)*Flat!O$22))*O136</f>
        <v>1536.8439147014096</v>
      </c>
      <c r="P140" s="177">
        <f>((LOOKUP(Flat!P$2,'Ceiling-U'!$A$4:$A$40,'Ceiling-U'!$AA$4:$AA$40)*Flat!P$15)+(LOOKUP(Flat!P$2,'Floor-U'!$A$4:$A$40,'Floor-U'!$H$4:$H$40)*Flat!P$16)+(LOOKUP(Flat!P$2,'Wall-U'!$A$4:$A$40,'Wall-U'!$H$4:$H$40)*Flat!P$13)+(LOOKUP(Flat!P$2,'Window-U'!$A$4:$A$40,'Window-U'!$H$4:$H$40)*Flat!P$22))*P136</f>
        <v>2243.7859595314608</v>
      </c>
      <c r="Q140" s="177">
        <f>((LOOKUP(Flat!Q$2,'Ceiling-U'!$A$4:$A$40,'Ceiling-U'!$AA$4:$AA$40)*Flat!Q$15)+(LOOKUP(Flat!Q$2,'Floor-U'!$A$4:$A$40,'Floor-U'!$H$4:$H$40)*Flat!Q$16)+(LOOKUP(Flat!Q$2,'Wall-U'!$A$4:$A$40,'Wall-U'!$H$4:$H$40)*Flat!Q$13)+(LOOKUP(Flat!Q$2,'Window-U'!$A$4:$A$40,'Window-U'!$H$4:$H$40)*Flat!Q$22))*Q136</f>
        <v>2016.1440784372794</v>
      </c>
      <c r="R140" s="177">
        <f>((LOOKUP(Flat!R$2,'Ceiling-U'!$A$4:$A$40,'Ceiling-U'!$AA$4:$AA$40)*Flat!R$15)+(LOOKUP(Flat!R$2,'Floor-U'!$A$4:$A$40,'Floor-U'!$H$4:$H$40)*Flat!R$16)+(LOOKUP(Flat!R$2,'Wall-U'!$A$4:$A$40,'Wall-U'!$H$4:$H$40)*Flat!R$13)+(LOOKUP(Flat!R$2,'Window-U'!$A$4:$A$40,'Window-U'!$H$4:$H$40)*Flat!R$22))*R136</f>
        <v>1212.984208793313</v>
      </c>
      <c r="S140" s="177">
        <f>((LOOKUP(Flat!S$2,'Ceiling-U'!$A$4:$A$40,'Ceiling-U'!$AA$4:$AA$40)*Flat!S$15)+(LOOKUP(Flat!S$2,'Floor-U'!$A$4:$A$40,'Floor-U'!$H$4:$H$40)*Flat!S$16)+(LOOKUP(Flat!S$2,'Wall-U'!$A$4:$A$40,'Wall-U'!$H$4:$H$40)*Flat!S$13)+(LOOKUP(Flat!S$2,'Window-U'!$A$4:$A$40,'Window-U'!$H$4:$H$40)*Flat!S$22))*S136</f>
        <v>4775.2688934772787</v>
      </c>
      <c r="T140" s="177">
        <f>((LOOKUP(Flat!T$2,'Ceiling-U'!$A$4:$A$40,'Ceiling-U'!$AA$4:$AA$40)*Flat!T$15)+(LOOKUP(Flat!T$2,'Floor-U'!$A$4:$A$40,'Floor-U'!$H$4:$H$40)*Flat!T$16)+(LOOKUP(Flat!T$2,'Wall-U'!$A$4:$A$40,'Wall-U'!$H$4:$H$40)*Flat!T$13)+(LOOKUP(Flat!T$2,'Window-U'!$A$4:$A$40,'Window-U'!$H$4:$H$40)*Flat!T$22))*T136</f>
        <v>610.62958064646523</v>
      </c>
      <c r="U140" s="177">
        <f>((LOOKUP(Flat!U$2,'Ceiling-U'!$A$4:$A$40,'Ceiling-U'!$AA$4:$AA$40)*Flat!U$15)+(LOOKUP(Flat!U$2,'Floor-U'!$A$4:$A$40,'Floor-U'!$H$4:$H$40)*Flat!U$16)+(LOOKUP(Flat!U$2,'Wall-U'!$A$4:$A$40,'Wall-U'!$H$4:$H$40)*Flat!U$13)+(LOOKUP(Flat!U$2,'Window-U'!$A$4:$A$40,'Window-U'!$H$4:$H$40)*Flat!U$22))*U136</f>
        <v>2274.443440638659</v>
      </c>
      <c r="V140" s="177">
        <f>((LOOKUP(Flat!V$2,'Ceiling-U'!$A$4:$A$40,'Ceiling-U'!$AA$4:$AA$40)*Flat!V$15)+(LOOKUP(Flat!V$2,'Floor-U'!$A$4:$A$40,'Floor-U'!$H$4:$H$40)*Flat!V$16)+(LOOKUP(Flat!V$2,'Wall-U'!$A$4:$A$40,'Wall-U'!$H$4:$H$40)*Flat!V$13)+(LOOKUP(Flat!V$2,'Window-U'!$A$4:$A$40,'Window-U'!$H$4:$H$40)*Flat!V$22))*V136</f>
        <v>888.72291635943202</v>
      </c>
      <c r="W140" s="177">
        <f>((LOOKUP(Flat!W$2,'Ceiling-U'!$A$4:$A$40,'Ceiling-U'!$AA$4:$AA$40)*Flat!W$15)+(LOOKUP(Flat!W$2,'Floor-U'!$A$4:$A$40,'Floor-U'!$H$4:$H$40)*Flat!W$16)+(LOOKUP(Flat!W$2,'Wall-U'!$A$4:$A$40,'Wall-U'!$H$4:$H$40)*Flat!W$13)+(LOOKUP(Flat!W$2,'Window-U'!$A$4:$A$40,'Window-U'!$H$4:$H$40)*Flat!W$22))*W136</f>
        <v>1197.2546356325847</v>
      </c>
      <c r="X140" s="177">
        <f>((LOOKUP(Flat!X$2,'Ceiling-U'!$A$4:$A$40,'Ceiling-U'!$AA$4:$AA$40)*Flat!X$15)+(LOOKUP(Flat!X$2,'Floor-U'!$A$4:$A$40,'Floor-U'!$H$4:$H$40)*Flat!X$16)+(LOOKUP(Flat!X$2,'Wall-U'!$A$4:$A$40,'Wall-U'!$H$4:$H$40)*Flat!X$13)+(LOOKUP(Flat!X$2,'Window-U'!$A$4:$A$40,'Window-U'!$H$4:$H$40)*Flat!X$22))*X136</f>
        <v>805.06623967708174</v>
      </c>
      <c r="Y140" s="177">
        <f>((LOOKUP(Flat!Y$2,'Ceiling-U'!$A$4:$A$40,'Ceiling-U'!$AA$4:$AA$40)*Flat!Y$15)+(LOOKUP(Flat!Y$2,'Floor-U'!$A$4:$A$40,'Floor-U'!$H$4:$H$40)*Flat!Y$16)+(LOOKUP(Flat!Y$2,'Wall-U'!$A$4:$A$40,'Wall-U'!$H$4:$H$40)*Flat!Y$13)+(LOOKUP(Flat!Y$2,'Window-U'!$A$4:$A$40,'Window-U'!$H$4:$H$40)*Flat!Y$22))*Y136</f>
        <v>3615.4206345301409</v>
      </c>
      <c r="Z140" s="177">
        <f>((LOOKUP(Flat!Z$2,'Ceiling-U'!$A$4:$A$40,'Ceiling-U'!$AA$4:$AA$40)*Flat!Z$15)+(LOOKUP(Flat!Z$2,'Floor-U'!$A$4:$A$40,'Floor-U'!$H$4:$H$40)*Flat!Z$16)+(LOOKUP(Flat!Z$2,'Wall-U'!$A$4:$A$40,'Wall-U'!$H$4:$H$40)*Flat!Z$13)+(LOOKUP(Flat!Z$2,'Window-U'!$A$4:$A$40,'Window-U'!$H$4:$H$40)*Flat!Z$22))*Z136</f>
        <v>1432.670180850022</v>
      </c>
      <c r="AA140" s="177">
        <f>((LOOKUP(Flat!AA$2,'Ceiling-U'!$A$4:$A$40,'Ceiling-U'!$AA$4:$AA$40)*Flat!AA$15)+(LOOKUP(Flat!AA$2,'Floor-U'!$A$4:$A$40,'Floor-U'!$H$4:$H$40)*Flat!AA$16)+(LOOKUP(Flat!AA$2,'Wall-U'!$A$4:$A$40,'Wall-U'!$H$4:$H$40)*Flat!AA$13)+(LOOKUP(Flat!AA$2,'Window-U'!$A$4:$A$40,'Window-U'!$H$4:$H$40)*Flat!AA$22))*AA136</f>
        <v>676.47987398774171</v>
      </c>
      <c r="AB140" s="177">
        <f>((LOOKUP(Flat!AB$2,'Ceiling-U'!$A$4:$A$40,'Ceiling-U'!$AA$4:$AA$40)*Flat!AB$15)+(LOOKUP(Flat!AB$2,'Floor-U'!$A$4:$A$40,'Floor-U'!$H$4:$H$40)*Flat!AB$16)+(LOOKUP(Flat!AB$2,'Wall-U'!$A$4:$A$40,'Wall-U'!$H$4:$H$40)*Flat!AB$13)+(LOOKUP(Flat!AB$2,'Window-U'!$A$4:$A$40,'Window-U'!$H$4:$H$40)*Flat!AB$22))*AB136</f>
        <v>1579.2059094307469</v>
      </c>
      <c r="AC140" s="177">
        <f>((LOOKUP(Flat!AC$2,'Ceiling-U'!$A$4:$A$40,'Ceiling-U'!$AA$4:$AA$40)*Flat!AC$15)+(LOOKUP(Flat!AC$2,'Floor-U'!$A$4:$A$40,'Floor-U'!$H$4:$H$40)*Flat!AC$16)+(LOOKUP(Flat!AC$2,'Wall-U'!$A$4:$A$40,'Wall-U'!$H$4:$H$40)*Flat!AC$13)+(LOOKUP(Flat!AC$2,'Window-U'!$A$4:$A$40,'Window-U'!$H$4:$H$40)*Flat!AC$22))*AC136</f>
        <v>3185.9564829481455</v>
      </c>
      <c r="AD140" s="177">
        <f>((LOOKUP(Flat!AD$2,'Ceiling-U'!$A$4:$A$40,'Ceiling-U'!$AA$4:$AA$40)*Flat!AD$15)+(LOOKUP(Flat!AD$2,'Floor-U'!$A$4:$A$40,'Floor-U'!$H$4:$H$40)*Flat!AD$16)+(LOOKUP(Flat!AD$2,'Wall-U'!$A$4:$A$40,'Wall-U'!$H$4:$H$40)*Flat!AD$13)+(LOOKUP(Flat!AD$2,'Window-U'!$A$4:$A$40,'Window-U'!$H$4:$H$40)*Flat!AD$22))*AD136</f>
        <v>4474.3011161685226</v>
      </c>
      <c r="AE140" s="177">
        <f>((LOOKUP(Flat!AE$2,'Ceiling-U'!$A$4:$A$40,'Ceiling-U'!$AA$4:$AA$40)*Flat!AE$15)+(LOOKUP(Flat!AE$2,'Floor-U'!$A$4:$A$40,'Floor-U'!$H$4:$H$40)*Flat!AE$16)+(LOOKUP(Flat!AE$2,'Wall-U'!$A$4:$A$40,'Wall-U'!$H$4:$H$40)*Flat!AE$13)+(LOOKUP(Flat!AE$2,'Window-U'!$A$4:$A$40,'Window-U'!$H$4:$H$40)*Flat!AE$22))*AE136</f>
        <v>676.47987398774171</v>
      </c>
      <c r="AF140" s="177">
        <f>((LOOKUP(Flat!AF$2,'Ceiling-U'!$A$4:$A$40,'Ceiling-U'!$AA$4:$AA$40)*Flat!AF$15)+(LOOKUP(Flat!AF$2,'Floor-U'!$A$4:$A$40,'Floor-U'!$H$4:$H$40)*Flat!AF$16)+(LOOKUP(Flat!AF$2,'Wall-U'!$A$4:$A$40,'Wall-U'!$H$4:$H$40)*Flat!AF$13)+(LOOKUP(Flat!AF$2,'Window-U'!$A$4:$A$40,'Window-U'!$H$4:$H$40)*Flat!AF$22))*AF136</f>
        <v>1236.4258320246283</v>
      </c>
      <c r="AG140" s="177">
        <f>((LOOKUP(Flat!AG$2,'Ceiling-U'!$A$4:$A$40,'Ceiling-U'!$AA$4:$AA$40)*Flat!AG$15)+(LOOKUP(Flat!AG$2,'Floor-U'!$A$4:$A$40,'Floor-U'!$H$4:$H$40)*Flat!AG$16)+(LOOKUP(Flat!AG$2,'Wall-U'!$A$4:$A$40,'Wall-U'!$H$4:$H$40)*Flat!AG$13)+(LOOKUP(Flat!AG$2,'Window-U'!$A$4:$A$40,'Window-U'!$H$4:$H$40)*Flat!AG$22))*AG136</f>
        <v>1812.6432079533033</v>
      </c>
      <c r="AH140" s="177">
        <f>((LOOKUP(Flat!AH$2,'Ceiling-U'!$A$4:$A$40,'Ceiling-U'!$AA$4:$AA$40)*Flat!AH$15)+(LOOKUP(Flat!AH$2,'Floor-U'!$A$4:$A$40,'Floor-U'!$H$4:$H$40)*Flat!AH$16)+(LOOKUP(Flat!AH$2,'Wall-U'!$A$4:$A$40,'Wall-U'!$H$4:$H$40)*Flat!AH$13)+(LOOKUP(Flat!AH$2,'Window-U'!$A$4:$A$40,'Window-U'!$H$4:$H$40)*Flat!AH$22))*AH136</f>
        <v>3552.4741423185828</v>
      </c>
      <c r="AI140" s="177">
        <f>((LOOKUP(Flat!AI$2,'Ceiling-U'!$A$4:$A$40,'Ceiling-U'!$AA$4:$AA$40)*Flat!AI$15)+(LOOKUP(Flat!AI$2,'Floor-U'!$A$4:$A$40,'Floor-U'!$H$4:$H$40)*Flat!AI$16)+(LOOKUP(Flat!AI$2,'Wall-U'!$A$4:$A$40,'Wall-U'!$H$4:$H$40)*Flat!AI$13)+(LOOKUP(Flat!AI$2,'Window-U'!$A$4:$A$40,'Window-U'!$H$4:$H$40)*Flat!AI$22))*AI136</f>
        <v>3631.3152388113922</v>
      </c>
      <c r="AJ140" s="177">
        <f>((LOOKUP(Flat!AJ$2,'Ceiling-U'!$A$4:$A$40,'Ceiling-U'!$AA$4:$AA$40)*Flat!AJ$15)+(LOOKUP(Flat!AJ$2,'Floor-U'!$A$4:$A$40,'Floor-U'!$H$4:$H$40)*Flat!AJ$16)+(LOOKUP(Flat!AJ$2,'Wall-U'!$A$4:$A$40,'Wall-U'!$H$4:$H$40)*Flat!AJ$13)+(LOOKUP(Flat!AJ$2,'Window-U'!$A$4:$A$40,'Window-U'!$H$4:$H$40)*Flat!AJ$22))*AJ136</f>
        <v>1921.2524352963039</v>
      </c>
      <c r="AK140" s="177">
        <f>((LOOKUP(Flat!AK$2,'Ceiling-U'!$A$4:$A$40,'Ceiling-U'!$AA$4:$AA$40)*Flat!AK$15)+(LOOKUP(Flat!AK$2,'Floor-U'!$A$4:$A$40,'Floor-U'!$H$4:$H$40)*Flat!AK$16)+(LOOKUP(Flat!AK$2,'Wall-U'!$A$4:$A$40,'Wall-U'!$H$4:$H$40)*Flat!AK$13)+(LOOKUP(Flat!AK$2,'Window-U'!$A$4:$A$40,'Window-U'!$H$4:$H$40)*Flat!AK$22))*AK136</f>
        <v>2055.6482683325603</v>
      </c>
      <c r="AL140" s="177">
        <f>((LOOKUP(Flat!AL$2,'Ceiling-U'!$A$4:$A$40,'Ceiling-U'!$AA$4:$AA$40)*Flat!AL$15)+(LOOKUP(Flat!AL$2,'Floor-U'!$A$4:$A$40,'Floor-U'!$H$4:$H$40)*Flat!AL$16)+(LOOKUP(Flat!AL$2,'Wall-U'!$A$4:$A$40,'Wall-U'!$H$4:$H$40)*Flat!AL$13)+(LOOKUP(Flat!AL$2,'Window-U'!$A$4:$A$40,'Window-U'!$H$4:$H$40)*Flat!AL$22))*AL136</f>
        <v>1824.5057825248837</v>
      </c>
      <c r="AM140" s="177">
        <f>((LOOKUP(Flat!AM$2,'Ceiling-U'!$A$4:$A$40,'Ceiling-U'!$AA$4:$AA$40)*Flat!AM$15)+(LOOKUP(Flat!AM$2,'Floor-U'!$A$4:$A$40,'Floor-U'!$H$4:$H$40)*Flat!AM$16)+(LOOKUP(Flat!AM$2,'Wall-U'!$A$4:$A$40,'Wall-U'!$H$4:$H$40)*Flat!AM$13)+(LOOKUP(Flat!AM$2,'Window-U'!$A$4:$A$40,'Window-U'!$H$4:$H$40)*Flat!AM$22))*AM136</f>
        <v>1921.2524352963039</v>
      </c>
      <c r="AN140" s="178">
        <f>((LOOKUP(Flat!AN$2,'Ceiling-U'!$A$4:$A$40,'Ceiling-U'!$AA$4:$AA$40)*Flat!AN$15)+(LOOKUP(Flat!AN$2,'Floor-U'!$A$4:$A$40,'Floor-U'!$H$4:$H$40)*Flat!AN$16)+(LOOKUP(Flat!AN$2,'Wall-U'!$A$4:$A$40,'Wall-U'!$H$4:$H$40)*Flat!AN$13)+(LOOKUP(Flat!AN$2,'Window-U'!$A$4:$A$40,'Window-U'!$H$4:$H$40)*Flat!AN$22))*AN136</f>
        <v>1921.2524352963039</v>
      </c>
    </row>
    <row r="141" spans="1:40" s="5" customFormat="1">
      <c r="A141" s="372"/>
      <c r="B141" s="142" t="s">
        <v>6</v>
      </c>
      <c r="C141" s="131" t="s">
        <v>195</v>
      </c>
      <c r="D141" s="176">
        <f>((LOOKUP(Flat!D$2,'Ceiling-U'!$A$4:$A$40,'Ceiling-U'!$AB$4:$AB$40)*Flat!D$15)+(LOOKUP(Flat!D$2,'Floor-U'!$A$4:$A$40,'Floor-U'!$I$4:$I$40)*Flat!D$16)+(LOOKUP(Flat!D$2,'Wall-U'!$A$4:$A$40,'Wall-U'!$I$4:$I$40)*Flat!D$13)+(LOOKUP(Flat!D$2,'Window-U'!$A$4:$A$40,'Window-U'!$I$4:$I$40)*Flat!D$22))*D136</f>
        <v>938.1072727788644</v>
      </c>
      <c r="E141" s="177">
        <f>((LOOKUP(Flat!E$2,'Ceiling-U'!$A$4:$A$40,'Ceiling-U'!$AB$4:$AB$40)*Flat!E$15)+(LOOKUP(Flat!E$2,'Floor-U'!$A$4:$A$40,'Floor-U'!$I$4:$I$40)*Flat!E$16)+(LOOKUP(Flat!E$2,'Wall-U'!$A$4:$A$40,'Wall-U'!$I$4:$I$40)*Flat!E$13)+(LOOKUP(Flat!E$2,'Window-U'!$A$4:$A$40,'Window-U'!$I$4:$I$40)*Flat!E$22))*E136</f>
        <v>2543.7177432501771</v>
      </c>
      <c r="F141" s="177">
        <f>((LOOKUP(Flat!F$2,'Ceiling-U'!$A$4:$A$40,'Ceiling-U'!$AB$4:$AB$40)*Flat!F$15)+(LOOKUP(Flat!F$2,'Floor-U'!$A$4:$A$40,'Floor-U'!$I$4:$I$40)*Flat!F$16)+(LOOKUP(Flat!F$2,'Wall-U'!$A$4:$A$40,'Wall-U'!$I$4:$I$40)*Flat!F$13)+(LOOKUP(Flat!F$2,'Window-U'!$A$4:$A$40,'Window-U'!$I$4:$I$40)*Flat!F$22))*F136</f>
        <v>2404.8399401790407</v>
      </c>
      <c r="G141" s="177">
        <f>((LOOKUP(Flat!G$2,'Ceiling-U'!$A$4:$A$40,'Ceiling-U'!$AB$4:$AB$40)*Flat!G$15)+(LOOKUP(Flat!G$2,'Floor-U'!$A$4:$A$40,'Floor-U'!$I$4:$I$40)*Flat!G$16)+(LOOKUP(Flat!G$2,'Wall-U'!$A$4:$A$40,'Wall-U'!$I$4:$I$40)*Flat!G$13)+(LOOKUP(Flat!G$2,'Window-U'!$A$4:$A$40,'Window-U'!$I$4:$I$40)*Flat!G$22))*G136</f>
        <v>938.1072727788644</v>
      </c>
      <c r="H141" s="177">
        <f>((LOOKUP(Flat!H$2,'Ceiling-U'!$A$4:$A$40,'Ceiling-U'!$AB$4:$AB$40)*Flat!H$15)+(LOOKUP(Flat!H$2,'Floor-U'!$A$4:$A$40,'Floor-U'!$I$4:$I$40)*Flat!H$16)+(LOOKUP(Flat!H$2,'Wall-U'!$A$4:$A$40,'Wall-U'!$I$4:$I$40)*Flat!H$13)+(LOOKUP(Flat!H$2,'Window-U'!$A$4:$A$40,'Window-U'!$I$4:$I$40)*Flat!H$22))*H136</f>
        <v>2478.3909006652862</v>
      </c>
      <c r="I141" s="177">
        <f>((LOOKUP(Flat!I$2,'Ceiling-U'!$A$4:$A$40,'Ceiling-U'!$AB$4:$AB$40)*Flat!I$15)+(LOOKUP(Flat!I$2,'Floor-U'!$A$4:$A$40,'Floor-U'!$I$4:$I$40)*Flat!I$16)+(LOOKUP(Flat!I$2,'Wall-U'!$A$4:$A$40,'Wall-U'!$I$4:$I$40)*Flat!I$13)+(LOOKUP(Flat!I$2,'Window-U'!$A$4:$A$40,'Window-U'!$I$4:$I$40)*Flat!I$22))*I136</f>
        <v>951.69515163177698</v>
      </c>
      <c r="J141" s="177">
        <f>((LOOKUP(Flat!J$2,'Ceiling-U'!$A$4:$A$40,'Ceiling-U'!$AB$4:$AB$40)*Flat!J$15)+(LOOKUP(Flat!J$2,'Floor-U'!$A$4:$A$40,'Floor-U'!$I$4:$I$40)*Flat!J$16)+(LOOKUP(Flat!J$2,'Wall-U'!$A$4:$A$40,'Wall-U'!$I$4:$I$40)*Flat!J$13)+(LOOKUP(Flat!J$2,'Window-U'!$A$4:$A$40,'Window-U'!$I$4:$I$40)*Flat!J$22))*J136</f>
        <v>612.70364632574274</v>
      </c>
      <c r="K141" s="177">
        <f>((LOOKUP(Flat!K$2,'Ceiling-U'!$A$4:$A$40,'Ceiling-U'!$AB$4:$AB$40)*Flat!K$15)+(LOOKUP(Flat!K$2,'Floor-U'!$A$4:$A$40,'Floor-U'!$I$4:$I$40)*Flat!K$16)+(LOOKUP(Flat!K$2,'Wall-U'!$A$4:$A$40,'Wall-U'!$I$4:$I$40)*Flat!K$13)+(LOOKUP(Flat!K$2,'Window-U'!$A$4:$A$40,'Window-U'!$I$4:$I$40)*Flat!K$22))*K136</f>
        <v>1145.3293025710966</v>
      </c>
      <c r="L141" s="177">
        <f>((LOOKUP(Flat!L$2,'Ceiling-U'!$A$4:$A$40,'Ceiling-U'!$AB$4:$AB$40)*Flat!L$15)+(LOOKUP(Flat!L$2,'Floor-U'!$A$4:$A$40,'Floor-U'!$I$4:$I$40)*Flat!L$16)+(LOOKUP(Flat!L$2,'Wall-U'!$A$4:$A$40,'Wall-U'!$I$4:$I$40)*Flat!L$13)+(LOOKUP(Flat!L$2,'Window-U'!$A$4:$A$40,'Window-U'!$I$4:$I$40)*Flat!L$22))*L136</f>
        <v>395.1661688638435</v>
      </c>
      <c r="M141" s="177">
        <f>((LOOKUP(Flat!M$2,'Ceiling-U'!$A$4:$A$40,'Ceiling-U'!$AB$4:$AB$40)*Flat!M$15)+(LOOKUP(Flat!M$2,'Floor-U'!$A$4:$A$40,'Floor-U'!$I$4:$I$40)*Flat!M$16)+(LOOKUP(Flat!M$2,'Wall-U'!$A$4:$A$40,'Wall-U'!$I$4:$I$40)*Flat!M$13)+(LOOKUP(Flat!M$2,'Window-U'!$A$4:$A$40,'Window-U'!$I$4:$I$40)*Flat!M$22))*M136</f>
        <v>1679.1144162640453</v>
      </c>
      <c r="N141" s="177">
        <f>((LOOKUP(Flat!N$2,'Ceiling-U'!$A$4:$A$40,'Ceiling-U'!$AB$4:$AB$40)*Flat!N$15)+(LOOKUP(Flat!N$2,'Floor-U'!$A$4:$A$40,'Floor-U'!$I$4:$I$40)*Flat!N$16)+(LOOKUP(Flat!N$2,'Wall-U'!$A$4:$A$40,'Wall-U'!$I$4:$I$40)*Flat!N$13)+(LOOKUP(Flat!N$2,'Window-U'!$A$4:$A$40,'Window-U'!$I$4:$I$40)*Flat!N$22))*N136</f>
        <v>1229.6808585882795</v>
      </c>
      <c r="O141" s="177">
        <f>((LOOKUP(Flat!O$2,'Ceiling-U'!$A$4:$A$40,'Ceiling-U'!$AB$4:$AB$40)*Flat!O$15)+(LOOKUP(Flat!O$2,'Floor-U'!$A$4:$A$40,'Floor-U'!$I$4:$I$40)*Flat!O$16)+(LOOKUP(Flat!O$2,'Wall-U'!$A$4:$A$40,'Wall-U'!$I$4:$I$40)*Flat!O$13)+(LOOKUP(Flat!O$2,'Window-U'!$A$4:$A$40,'Window-U'!$I$4:$I$40)*Flat!O$22))*O136</f>
        <v>812.50499758473143</v>
      </c>
      <c r="P141" s="177">
        <f>((LOOKUP(Flat!P$2,'Ceiling-U'!$A$4:$A$40,'Ceiling-U'!$AB$4:$AB$40)*Flat!P$15)+(LOOKUP(Flat!P$2,'Floor-U'!$A$4:$A$40,'Floor-U'!$I$4:$I$40)*Flat!P$16)+(LOOKUP(Flat!P$2,'Wall-U'!$A$4:$A$40,'Wall-U'!$I$4:$I$40)*Flat!P$13)+(LOOKUP(Flat!P$2,'Window-U'!$A$4:$A$40,'Window-U'!$I$4:$I$40)*Flat!P$22))*P136</f>
        <v>2243.7859595314608</v>
      </c>
      <c r="Q141" s="177">
        <f>((LOOKUP(Flat!Q$2,'Ceiling-U'!$A$4:$A$40,'Ceiling-U'!$AB$4:$AB$40)*Flat!Q$15)+(LOOKUP(Flat!Q$2,'Floor-U'!$A$4:$A$40,'Floor-U'!$I$4:$I$40)*Flat!Q$16)+(LOOKUP(Flat!Q$2,'Wall-U'!$A$4:$A$40,'Wall-U'!$I$4:$I$40)*Flat!Q$13)+(LOOKUP(Flat!Q$2,'Window-U'!$A$4:$A$40,'Window-U'!$I$4:$I$40)*Flat!Q$22))*Q136</f>
        <v>1391.6524749785351</v>
      </c>
      <c r="R141" s="177">
        <f>((LOOKUP(Flat!R$2,'Ceiling-U'!$A$4:$A$40,'Ceiling-U'!$AB$4:$AB$40)*Flat!R$15)+(LOOKUP(Flat!R$2,'Floor-U'!$A$4:$A$40,'Floor-U'!$I$4:$I$40)*Flat!R$16)+(LOOKUP(Flat!R$2,'Wall-U'!$A$4:$A$40,'Wall-U'!$I$4:$I$40)*Flat!R$13)+(LOOKUP(Flat!R$2,'Window-U'!$A$4:$A$40,'Window-U'!$I$4:$I$40)*Flat!R$22))*R136</f>
        <v>1212.984208793313</v>
      </c>
      <c r="S141" s="177">
        <f>((LOOKUP(Flat!S$2,'Ceiling-U'!$A$4:$A$40,'Ceiling-U'!$AB$4:$AB$40)*Flat!S$15)+(LOOKUP(Flat!S$2,'Floor-U'!$A$4:$A$40,'Floor-U'!$I$4:$I$40)*Flat!S$16)+(LOOKUP(Flat!S$2,'Wall-U'!$A$4:$A$40,'Wall-U'!$I$4:$I$40)*Flat!S$13)+(LOOKUP(Flat!S$2,'Window-U'!$A$4:$A$40,'Window-U'!$I$4:$I$40)*Flat!S$22))*S136</f>
        <v>4071.6684895740018</v>
      </c>
      <c r="T141" s="177">
        <f>((LOOKUP(Flat!T$2,'Ceiling-U'!$A$4:$A$40,'Ceiling-U'!$AB$4:$AB$40)*Flat!T$15)+(LOOKUP(Flat!T$2,'Floor-U'!$A$4:$A$40,'Floor-U'!$I$4:$I$40)*Flat!T$16)+(LOOKUP(Flat!T$2,'Wall-U'!$A$4:$A$40,'Wall-U'!$I$4:$I$40)*Flat!T$13)+(LOOKUP(Flat!T$2,'Window-U'!$A$4:$A$40,'Window-U'!$I$4:$I$40)*Flat!T$22))*T136</f>
        <v>603.74050393395589</v>
      </c>
      <c r="U141" s="177">
        <f>((LOOKUP(Flat!U$2,'Ceiling-U'!$A$4:$A$40,'Ceiling-U'!$AB$4:$AB$40)*Flat!U$15)+(LOOKUP(Flat!U$2,'Floor-U'!$A$4:$A$40,'Floor-U'!$I$4:$I$40)*Flat!U$16)+(LOOKUP(Flat!U$2,'Wall-U'!$A$4:$A$40,'Wall-U'!$I$4:$I$40)*Flat!U$13)+(LOOKUP(Flat!U$2,'Window-U'!$A$4:$A$40,'Window-U'!$I$4:$I$40)*Flat!U$22))*U136</f>
        <v>2077.5006918155873</v>
      </c>
      <c r="V141" s="177">
        <f>((LOOKUP(Flat!V$2,'Ceiling-U'!$A$4:$A$40,'Ceiling-U'!$AB$4:$AB$40)*Flat!V$15)+(LOOKUP(Flat!V$2,'Floor-U'!$A$4:$A$40,'Floor-U'!$I$4:$I$40)*Flat!V$16)+(LOOKUP(Flat!V$2,'Wall-U'!$A$4:$A$40,'Wall-U'!$I$4:$I$40)*Flat!V$13)+(LOOKUP(Flat!V$2,'Window-U'!$A$4:$A$40,'Window-U'!$I$4:$I$40)*Flat!V$22))*V136</f>
        <v>888.72291635943202</v>
      </c>
      <c r="W141" s="177">
        <f>((LOOKUP(Flat!W$2,'Ceiling-U'!$A$4:$A$40,'Ceiling-U'!$AB$4:$AB$40)*Flat!W$15)+(LOOKUP(Flat!W$2,'Floor-U'!$A$4:$A$40,'Floor-U'!$I$4:$I$40)*Flat!W$16)+(LOOKUP(Flat!W$2,'Wall-U'!$A$4:$A$40,'Wall-U'!$I$4:$I$40)*Flat!W$13)+(LOOKUP(Flat!W$2,'Window-U'!$A$4:$A$40,'Window-U'!$I$4:$I$40)*Flat!W$22))*W136</f>
        <v>1002.7710504475079</v>
      </c>
      <c r="X141" s="177">
        <f>((LOOKUP(Flat!X$2,'Ceiling-U'!$A$4:$A$40,'Ceiling-U'!$AB$4:$AB$40)*Flat!X$15)+(LOOKUP(Flat!X$2,'Floor-U'!$A$4:$A$40,'Floor-U'!$I$4:$I$40)*Flat!X$16)+(LOOKUP(Flat!X$2,'Wall-U'!$A$4:$A$40,'Wall-U'!$I$4:$I$40)*Flat!X$13)+(LOOKUP(Flat!X$2,'Window-U'!$A$4:$A$40,'Window-U'!$I$4:$I$40)*Flat!X$22))*X136</f>
        <v>804.06644190155089</v>
      </c>
      <c r="Y141" s="177">
        <f>((LOOKUP(Flat!Y$2,'Ceiling-U'!$A$4:$A$40,'Ceiling-U'!$AB$4:$AB$40)*Flat!Y$15)+(LOOKUP(Flat!Y$2,'Floor-U'!$A$4:$A$40,'Floor-U'!$I$4:$I$40)*Flat!Y$16)+(LOOKUP(Flat!Y$2,'Wall-U'!$A$4:$A$40,'Wall-U'!$I$4:$I$40)*Flat!Y$13)+(LOOKUP(Flat!Y$2,'Window-U'!$A$4:$A$40,'Window-U'!$I$4:$I$40)*Flat!Y$22))*Y136</f>
        <v>3614.6884214792108</v>
      </c>
      <c r="Z141" s="177">
        <f>((LOOKUP(Flat!Z$2,'Ceiling-U'!$A$4:$A$40,'Ceiling-U'!$AB$4:$AB$40)*Flat!Z$15)+(LOOKUP(Flat!Z$2,'Floor-U'!$A$4:$A$40,'Floor-U'!$I$4:$I$40)*Flat!Z$16)+(LOOKUP(Flat!Z$2,'Wall-U'!$A$4:$A$40,'Wall-U'!$I$4:$I$40)*Flat!Z$13)+(LOOKUP(Flat!Z$2,'Window-U'!$A$4:$A$40,'Window-U'!$I$4:$I$40)*Flat!Z$22))*Z136</f>
        <v>1263.0953314860581</v>
      </c>
      <c r="AA141" s="177">
        <f>((LOOKUP(Flat!AA$2,'Ceiling-U'!$A$4:$A$40,'Ceiling-U'!$AB$4:$AB$40)*Flat!AA$15)+(LOOKUP(Flat!AA$2,'Floor-U'!$A$4:$A$40,'Floor-U'!$I$4:$I$40)*Flat!AA$16)+(LOOKUP(Flat!AA$2,'Wall-U'!$A$4:$A$40,'Wall-U'!$I$4:$I$40)*Flat!AA$13)+(LOOKUP(Flat!AA$2,'Window-U'!$A$4:$A$40,'Window-U'!$I$4:$I$40)*Flat!AA$22))*AA136</f>
        <v>597.4212131517711</v>
      </c>
      <c r="AB141" s="177">
        <f>((LOOKUP(Flat!AB$2,'Ceiling-U'!$A$4:$A$40,'Ceiling-U'!$AB$4:$AB$40)*Flat!AB$15)+(LOOKUP(Flat!AB$2,'Floor-U'!$A$4:$A$40,'Floor-U'!$I$4:$I$40)*Flat!AB$16)+(LOOKUP(Flat!AB$2,'Wall-U'!$A$4:$A$40,'Wall-U'!$I$4:$I$40)*Flat!AB$13)+(LOOKUP(Flat!AB$2,'Window-U'!$A$4:$A$40,'Window-U'!$I$4:$I$40)*Flat!AB$22))*AB136</f>
        <v>1579.2059094307469</v>
      </c>
      <c r="AC141" s="177">
        <f>((LOOKUP(Flat!AC$2,'Ceiling-U'!$A$4:$A$40,'Ceiling-U'!$AB$4:$AB$40)*Flat!AC$15)+(LOOKUP(Flat!AC$2,'Floor-U'!$A$4:$A$40,'Floor-U'!$I$4:$I$40)*Flat!AC$16)+(LOOKUP(Flat!AC$2,'Wall-U'!$A$4:$A$40,'Wall-U'!$I$4:$I$40)*Flat!AC$13)+(LOOKUP(Flat!AC$2,'Window-U'!$A$4:$A$40,'Window-U'!$I$4:$I$40)*Flat!AC$22))*AC136</f>
        <v>2872.3528447186104</v>
      </c>
      <c r="AD141" s="177">
        <f>((LOOKUP(Flat!AD$2,'Ceiling-U'!$A$4:$A$40,'Ceiling-U'!$AB$4:$AB$40)*Flat!AD$15)+(LOOKUP(Flat!AD$2,'Floor-U'!$A$4:$A$40,'Floor-U'!$I$4:$I$40)*Flat!AD$16)+(LOOKUP(Flat!AD$2,'Wall-U'!$A$4:$A$40,'Wall-U'!$I$4:$I$40)*Flat!AD$13)+(LOOKUP(Flat!AD$2,'Window-U'!$A$4:$A$40,'Window-U'!$I$4:$I$40)*Flat!AD$22))*AD136</f>
        <v>4474.3011161685226</v>
      </c>
      <c r="AE141" s="177">
        <f>((LOOKUP(Flat!AE$2,'Ceiling-U'!$A$4:$A$40,'Ceiling-U'!$AB$4:$AB$40)*Flat!AE$15)+(LOOKUP(Flat!AE$2,'Floor-U'!$A$4:$A$40,'Floor-U'!$I$4:$I$40)*Flat!AE$16)+(LOOKUP(Flat!AE$2,'Wall-U'!$A$4:$A$40,'Wall-U'!$I$4:$I$40)*Flat!AE$13)+(LOOKUP(Flat!AE$2,'Window-U'!$A$4:$A$40,'Window-U'!$I$4:$I$40)*Flat!AE$22))*AE136</f>
        <v>597.4212131517711</v>
      </c>
      <c r="AF141" s="177">
        <f>((LOOKUP(Flat!AF$2,'Ceiling-U'!$A$4:$A$40,'Ceiling-U'!$AB$4:$AB$40)*Flat!AF$15)+(LOOKUP(Flat!AF$2,'Floor-U'!$A$4:$A$40,'Floor-U'!$I$4:$I$40)*Flat!AF$16)+(LOOKUP(Flat!AF$2,'Wall-U'!$A$4:$A$40,'Wall-U'!$I$4:$I$40)*Flat!AF$13)+(LOOKUP(Flat!AF$2,'Window-U'!$A$4:$A$40,'Window-U'!$I$4:$I$40)*Flat!AF$22))*AF136</f>
        <v>901.20379701874447</v>
      </c>
      <c r="AG141" s="177">
        <f>((LOOKUP(Flat!AG$2,'Ceiling-U'!$A$4:$A$40,'Ceiling-U'!$AB$4:$AB$40)*Flat!AG$15)+(LOOKUP(Flat!AG$2,'Floor-U'!$A$4:$A$40,'Floor-U'!$I$4:$I$40)*Flat!AG$16)+(LOOKUP(Flat!AG$2,'Wall-U'!$A$4:$A$40,'Wall-U'!$I$4:$I$40)*Flat!AG$13)+(LOOKUP(Flat!AG$2,'Window-U'!$A$4:$A$40,'Window-U'!$I$4:$I$40)*Flat!AG$22))*AG136</f>
        <v>1762.7645978131598</v>
      </c>
      <c r="AH141" s="177">
        <f>((LOOKUP(Flat!AH$2,'Ceiling-U'!$A$4:$A$40,'Ceiling-U'!$AB$4:$AB$40)*Flat!AH$15)+(LOOKUP(Flat!AH$2,'Floor-U'!$A$4:$A$40,'Floor-U'!$I$4:$I$40)*Flat!AH$16)+(LOOKUP(Flat!AH$2,'Wall-U'!$A$4:$A$40,'Wall-U'!$I$4:$I$40)*Flat!AH$13)+(LOOKUP(Flat!AH$2,'Window-U'!$A$4:$A$40,'Window-U'!$I$4:$I$40)*Flat!AH$22))*AH136</f>
        <v>2397.6977090362943</v>
      </c>
      <c r="AI141" s="177">
        <f>((LOOKUP(Flat!AI$2,'Ceiling-U'!$A$4:$A$40,'Ceiling-U'!$AB$4:$AB$40)*Flat!AI$15)+(LOOKUP(Flat!AI$2,'Floor-U'!$A$4:$A$40,'Floor-U'!$I$4:$I$40)*Flat!AI$16)+(LOOKUP(Flat!AI$2,'Wall-U'!$A$4:$A$40,'Wall-U'!$I$4:$I$40)*Flat!AI$13)+(LOOKUP(Flat!AI$2,'Window-U'!$A$4:$A$40,'Window-U'!$I$4:$I$40)*Flat!AI$22))*AI136</f>
        <v>3631.3152388113922</v>
      </c>
      <c r="AJ141" s="177">
        <f>((LOOKUP(Flat!AJ$2,'Ceiling-U'!$A$4:$A$40,'Ceiling-U'!$AB$4:$AB$40)*Flat!AJ$15)+(LOOKUP(Flat!AJ$2,'Floor-U'!$A$4:$A$40,'Floor-U'!$I$4:$I$40)*Flat!AJ$16)+(LOOKUP(Flat!AJ$2,'Wall-U'!$A$4:$A$40,'Wall-U'!$I$4:$I$40)*Flat!AJ$13)+(LOOKUP(Flat!AJ$2,'Window-U'!$A$4:$A$40,'Window-U'!$I$4:$I$40)*Flat!AJ$22))*AJ136</f>
        <v>1826.6790551138779</v>
      </c>
      <c r="AK141" s="177">
        <f>((LOOKUP(Flat!AK$2,'Ceiling-U'!$A$4:$A$40,'Ceiling-U'!$AB$4:$AB$40)*Flat!AK$15)+(LOOKUP(Flat!AK$2,'Floor-U'!$A$4:$A$40,'Floor-U'!$I$4:$I$40)*Flat!AK$16)+(LOOKUP(Flat!AK$2,'Wall-U'!$A$4:$A$40,'Wall-U'!$I$4:$I$40)*Flat!AK$13)+(LOOKUP(Flat!AK$2,'Window-U'!$A$4:$A$40,'Window-U'!$I$4:$I$40)*Flat!AK$22))*AK136</f>
        <v>1952.1082119235941</v>
      </c>
      <c r="AL141" s="177">
        <f>((LOOKUP(Flat!AL$2,'Ceiling-U'!$A$4:$A$40,'Ceiling-U'!$AB$4:$AB$40)*Flat!AL$15)+(LOOKUP(Flat!AL$2,'Floor-U'!$A$4:$A$40,'Floor-U'!$I$4:$I$40)*Flat!AL$16)+(LOOKUP(Flat!AL$2,'Wall-U'!$A$4:$A$40,'Wall-U'!$I$4:$I$40)*Flat!AL$13)+(LOOKUP(Flat!AL$2,'Window-U'!$A$4:$A$40,'Window-U'!$I$4:$I$40)*Flat!AL$22))*AL136</f>
        <v>1501.0903823229742</v>
      </c>
      <c r="AM141" s="177">
        <f>((LOOKUP(Flat!AM$2,'Ceiling-U'!$A$4:$A$40,'Ceiling-U'!$AB$4:$AB$40)*Flat!AM$15)+(LOOKUP(Flat!AM$2,'Floor-U'!$A$4:$A$40,'Floor-U'!$I$4:$I$40)*Flat!AM$16)+(LOOKUP(Flat!AM$2,'Wall-U'!$A$4:$A$40,'Wall-U'!$I$4:$I$40)*Flat!AM$13)+(LOOKUP(Flat!AM$2,'Window-U'!$A$4:$A$40,'Window-U'!$I$4:$I$40)*Flat!AM$22))*AM136</f>
        <v>1826.6790551138779</v>
      </c>
      <c r="AN141" s="178">
        <f>((LOOKUP(Flat!AN$2,'Ceiling-U'!$A$4:$A$40,'Ceiling-U'!$AB$4:$AB$40)*Flat!AN$15)+(LOOKUP(Flat!AN$2,'Floor-U'!$A$4:$A$40,'Floor-U'!$I$4:$I$40)*Flat!AN$16)+(LOOKUP(Flat!AN$2,'Wall-U'!$A$4:$A$40,'Wall-U'!$I$4:$I$40)*Flat!AN$13)+(LOOKUP(Flat!AN$2,'Window-U'!$A$4:$A$40,'Window-U'!$I$4:$I$40)*Flat!AN$22))*AN136</f>
        <v>1826.6790551138779</v>
      </c>
    </row>
    <row r="142" spans="1:40" s="5" customFormat="1">
      <c r="A142" s="373"/>
      <c r="B142" s="374" t="s">
        <v>7</v>
      </c>
      <c r="C142" s="131" t="s">
        <v>195</v>
      </c>
      <c r="D142" s="176">
        <f>((LOOKUP(Flat!D$2,'Ceiling-U'!$A$4:$A$40,'Ceiling-U'!$AC$4:$AC$40)*Flat!D$15)+(LOOKUP(Flat!D$2,'Floor-U'!$A$4:$A$40,'Floor-U'!$J$4:$J$40)*Flat!D$16)+(LOOKUP(Flat!D$2,'Wall-U'!$A$4:$A$40,'Wall-U'!$J$4:$J$40)*Flat!D$13)+(LOOKUP(Flat!D$2,'Window-U'!$A$4:$A$40,'Window-U'!$J$4:$J$40)*Flat!D$22))*D136</f>
        <v>840.80366105504731</v>
      </c>
      <c r="E142" s="174">
        <f>((LOOKUP(Flat!E$2,'Ceiling-U'!$A$4:$A$40,'Ceiling-U'!$AC$4:$AC$40)*Flat!E$15)+(LOOKUP(Flat!E$2,'Floor-U'!$A$4:$A$40,'Floor-U'!$J$4:$J$40)*Flat!E$16)+(LOOKUP(Flat!E$2,'Wall-U'!$A$4:$A$40,'Wall-U'!$J$4:$J$40)*Flat!E$13)+(LOOKUP(Flat!E$2,'Window-U'!$A$4:$A$40,'Window-U'!$J$4:$J$40)*Flat!E$22))*E136</f>
        <v>1423.9352601708367</v>
      </c>
      <c r="F142" s="174">
        <f>((LOOKUP(Flat!F$2,'Ceiling-U'!$A$4:$A$40,'Ceiling-U'!$AC$4:$AC$40)*Flat!F$15)+(LOOKUP(Flat!F$2,'Floor-U'!$A$4:$A$40,'Floor-U'!$J$4:$J$40)*Flat!F$16)+(LOOKUP(Flat!F$2,'Wall-U'!$A$4:$A$40,'Wall-U'!$J$4:$J$40)*Flat!F$13)+(LOOKUP(Flat!F$2,'Window-U'!$A$4:$A$40,'Window-U'!$J$4:$J$40)*Flat!F$22))*F136</f>
        <v>1523.0709235319082</v>
      </c>
      <c r="G142" s="174">
        <f>((LOOKUP(Flat!G$2,'Ceiling-U'!$A$4:$A$40,'Ceiling-U'!$AC$4:$AC$40)*Flat!G$15)+(LOOKUP(Flat!G$2,'Floor-U'!$A$4:$A$40,'Floor-U'!$J$4:$J$40)*Flat!G$16)+(LOOKUP(Flat!G$2,'Wall-U'!$A$4:$A$40,'Wall-U'!$J$4:$J$40)*Flat!G$13)+(LOOKUP(Flat!G$2,'Window-U'!$A$4:$A$40,'Window-U'!$J$4:$J$40)*Flat!G$22))*G136</f>
        <v>840.80366105504731</v>
      </c>
      <c r="H142" s="174">
        <f>((LOOKUP(Flat!H$2,'Ceiling-U'!$A$4:$A$40,'Ceiling-U'!$AC$4:$AC$40)*Flat!H$15)+(LOOKUP(Flat!H$2,'Floor-U'!$A$4:$A$40,'Floor-U'!$J$4:$J$40)*Flat!H$16)+(LOOKUP(Flat!H$2,'Wall-U'!$A$4:$A$40,'Wall-U'!$J$4:$J$40)*Flat!H$13)+(LOOKUP(Flat!H$2,'Window-U'!$A$4:$A$40,'Window-U'!$J$4:$J$40)*Flat!H$22))*H136</f>
        <v>2193.9026016652861</v>
      </c>
      <c r="I142" s="174">
        <f>((LOOKUP(Flat!I$2,'Ceiling-U'!$A$4:$A$40,'Ceiling-U'!$AC$4:$AC$40)*Flat!I$15)+(LOOKUP(Flat!I$2,'Floor-U'!$A$4:$A$40,'Floor-U'!$J$4:$J$40)*Flat!I$16)+(LOOKUP(Flat!I$2,'Wall-U'!$A$4:$A$40,'Wall-U'!$J$4:$J$40)*Flat!I$13)+(LOOKUP(Flat!I$2,'Window-U'!$A$4:$A$40,'Window-U'!$J$4:$J$40)*Flat!I$22))*I136</f>
        <v>740.48394834437772</v>
      </c>
      <c r="J142" s="174">
        <f>((LOOKUP(Flat!J$2,'Ceiling-U'!$A$4:$A$40,'Ceiling-U'!$AC$4:$AC$40)*Flat!J$15)+(LOOKUP(Flat!J$2,'Floor-U'!$A$4:$A$40,'Floor-U'!$J$4:$J$40)*Flat!J$16)+(LOOKUP(Flat!J$2,'Wall-U'!$A$4:$A$40,'Wall-U'!$J$4:$J$40)*Flat!J$13)+(LOOKUP(Flat!J$2,'Window-U'!$A$4:$A$40,'Window-U'!$J$4:$J$40)*Flat!J$22))*J136</f>
        <v>687.34024926098914</v>
      </c>
      <c r="K142" s="174">
        <f>((LOOKUP(Flat!K$2,'Ceiling-U'!$A$4:$A$40,'Ceiling-U'!$AC$4:$AC$40)*Flat!K$15)+(LOOKUP(Flat!K$2,'Floor-U'!$A$4:$A$40,'Floor-U'!$J$4:$J$40)*Flat!K$16)+(LOOKUP(Flat!K$2,'Wall-U'!$A$4:$A$40,'Wall-U'!$J$4:$J$40)*Flat!K$13)+(LOOKUP(Flat!K$2,'Window-U'!$A$4:$A$40,'Window-U'!$J$4:$J$40)*Flat!K$22))*K136</f>
        <v>806.45089002336772</v>
      </c>
      <c r="L142" s="174">
        <f>((LOOKUP(Flat!L$2,'Ceiling-U'!$A$4:$A$40,'Ceiling-U'!$AC$4:$AC$40)*Flat!L$15)+(LOOKUP(Flat!L$2,'Floor-U'!$A$4:$A$40,'Floor-U'!$J$4:$J$40)*Flat!L$16)+(LOOKUP(Flat!L$2,'Wall-U'!$A$4:$A$40,'Wall-U'!$J$4:$J$40)*Flat!L$13)+(LOOKUP(Flat!L$2,'Window-U'!$A$4:$A$40,'Window-U'!$J$4:$J$40)*Flat!L$22))*L136</f>
        <v>395.1661688638435</v>
      </c>
      <c r="M142" s="174">
        <f>((LOOKUP(Flat!M$2,'Ceiling-U'!$A$4:$A$40,'Ceiling-U'!$AC$4:$AC$40)*Flat!M$15)+(LOOKUP(Flat!M$2,'Floor-U'!$A$4:$A$40,'Floor-U'!$J$4:$J$40)*Flat!M$16)+(LOOKUP(Flat!M$2,'Wall-U'!$A$4:$A$40,'Wall-U'!$J$4:$J$40)*Flat!M$13)+(LOOKUP(Flat!M$2,'Window-U'!$A$4:$A$40,'Window-U'!$J$4:$J$40)*Flat!M$22))*M136</f>
        <v>1008.4319927473338</v>
      </c>
      <c r="N142" s="174">
        <f>((LOOKUP(Flat!N$2,'Ceiling-U'!$A$4:$A$40,'Ceiling-U'!$AC$4:$AC$40)*Flat!N$15)+(LOOKUP(Flat!N$2,'Floor-U'!$A$4:$A$40,'Floor-U'!$J$4:$J$40)*Flat!N$16)+(LOOKUP(Flat!N$2,'Wall-U'!$A$4:$A$40,'Wall-U'!$J$4:$J$40)*Flat!N$13)+(LOOKUP(Flat!N$2,'Window-U'!$A$4:$A$40,'Window-U'!$J$4:$J$40)*Flat!N$22))*N136</f>
        <v>1085.6671412743312</v>
      </c>
      <c r="O142" s="174">
        <f>((LOOKUP(Flat!O$2,'Ceiling-U'!$A$4:$A$40,'Ceiling-U'!$AC$4:$AC$40)*Flat!O$15)+(LOOKUP(Flat!O$2,'Floor-U'!$A$4:$A$40,'Floor-U'!$J$4:$J$40)*Flat!O$16)+(LOOKUP(Flat!O$2,'Wall-U'!$A$4:$A$40,'Wall-U'!$J$4:$J$40)*Flat!O$13)+(LOOKUP(Flat!O$2,'Window-U'!$A$4:$A$40,'Window-U'!$J$4:$J$40)*Flat!O$22))*O136</f>
        <v>781.49279363828157</v>
      </c>
      <c r="P142" s="174">
        <f>((LOOKUP(Flat!P$2,'Ceiling-U'!$A$4:$A$40,'Ceiling-U'!$AC$4:$AC$40)*Flat!P$15)+(LOOKUP(Flat!P$2,'Floor-U'!$A$4:$A$40,'Floor-U'!$J$4:$J$40)*Flat!P$16)+(LOOKUP(Flat!P$2,'Wall-U'!$A$4:$A$40,'Wall-U'!$J$4:$J$40)*Flat!P$13)+(LOOKUP(Flat!P$2,'Window-U'!$A$4:$A$40,'Window-U'!$J$4:$J$40)*Flat!P$22))*P136</f>
        <v>784.7987474311725</v>
      </c>
      <c r="Q142" s="174">
        <f>((LOOKUP(Flat!Q$2,'Ceiling-U'!$A$4:$A$40,'Ceiling-U'!$AC$4:$AC$40)*Flat!Q$15)+(LOOKUP(Flat!Q$2,'Floor-U'!$A$4:$A$40,'Floor-U'!$J$4:$J$40)*Flat!Q$16)+(LOOKUP(Flat!Q$2,'Wall-U'!$A$4:$A$40,'Wall-U'!$J$4:$J$40)*Flat!Q$13)+(LOOKUP(Flat!Q$2,'Window-U'!$A$4:$A$40,'Window-U'!$J$4:$J$40)*Flat!Q$22))*Q136</f>
        <v>772.41012930982856</v>
      </c>
      <c r="R142" s="174">
        <f>((LOOKUP(Flat!R$2,'Ceiling-U'!$A$4:$A$40,'Ceiling-U'!$AC$4:$AC$40)*Flat!R$15)+(LOOKUP(Flat!R$2,'Floor-U'!$A$4:$A$40,'Floor-U'!$J$4:$J$40)*Flat!R$16)+(LOOKUP(Flat!R$2,'Wall-U'!$A$4:$A$40,'Wall-U'!$J$4:$J$40)*Flat!R$13)+(LOOKUP(Flat!R$2,'Window-U'!$A$4:$A$40,'Window-U'!$J$4:$J$40)*Flat!R$22))*R136</f>
        <v>706.34497624350911</v>
      </c>
      <c r="S142" s="174">
        <f>((LOOKUP(Flat!S$2,'Ceiling-U'!$A$4:$A$40,'Ceiling-U'!$AC$4:$AC$40)*Flat!S$15)+(LOOKUP(Flat!S$2,'Floor-U'!$A$4:$A$40,'Floor-U'!$J$4:$J$40)*Flat!S$16)+(LOOKUP(Flat!S$2,'Wall-U'!$A$4:$A$40,'Wall-U'!$J$4:$J$40)*Flat!S$13)+(LOOKUP(Flat!S$2,'Window-U'!$A$4:$A$40,'Window-U'!$J$4:$J$40)*Flat!S$22))*S136</f>
        <v>2523.190343948495</v>
      </c>
      <c r="T142" s="174">
        <f>((LOOKUP(Flat!T$2,'Ceiling-U'!$A$4:$A$40,'Ceiling-U'!$AC$4:$AC$40)*Flat!T$15)+(LOOKUP(Flat!T$2,'Floor-U'!$A$4:$A$40,'Floor-U'!$J$4:$J$40)*Flat!T$16)+(LOOKUP(Flat!T$2,'Wall-U'!$A$4:$A$40,'Wall-U'!$J$4:$J$40)*Flat!T$13)+(LOOKUP(Flat!T$2,'Window-U'!$A$4:$A$40,'Window-U'!$J$4:$J$40)*Flat!T$22))*T136</f>
        <v>538.14443411561649</v>
      </c>
      <c r="U142" s="174">
        <f>((LOOKUP(Flat!U$2,'Ceiling-U'!$A$4:$A$40,'Ceiling-U'!$AC$4:$AC$40)*Flat!U$15)+(LOOKUP(Flat!U$2,'Floor-U'!$A$4:$A$40,'Floor-U'!$J$4:$J$40)*Flat!U$16)+(LOOKUP(Flat!U$2,'Wall-U'!$A$4:$A$40,'Wall-U'!$J$4:$J$40)*Flat!U$13)+(LOOKUP(Flat!U$2,'Window-U'!$A$4:$A$40,'Window-U'!$J$4:$J$40)*Flat!U$22))*U136</f>
        <v>1933.5006918155873</v>
      </c>
      <c r="V142" s="174">
        <f>((LOOKUP(Flat!V$2,'Ceiling-U'!$A$4:$A$40,'Ceiling-U'!$AC$4:$AC$40)*Flat!V$15)+(LOOKUP(Flat!V$2,'Floor-U'!$A$4:$A$40,'Floor-U'!$J$4:$J$40)*Flat!V$16)+(LOOKUP(Flat!V$2,'Wall-U'!$A$4:$A$40,'Wall-U'!$J$4:$J$40)*Flat!V$13)+(LOOKUP(Flat!V$2,'Window-U'!$A$4:$A$40,'Window-U'!$J$4:$J$40)*Flat!V$22))*V136</f>
        <v>482.04732232807169</v>
      </c>
      <c r="W142" s="174">
        <f>((LOOKUP(Flat!W$2,'Ceiling-U'!$A$4:$A$40,'Ceiling-U'!$AC$4:$AC$40)*Flat!W$15)+(LOOKUP(Flat!W$2,'Floor-U'!$A$4:$A$40,'Floor-U'!$J$4:$J$40)*Flat!W$16)+(LOOKUP(Flat!W$2,'Wall-U'!$A$4:$A$40,'Wall-U'!$J$4:$J$40)*Flat!W$13)+(LOOKUP(Flat!W$2,'Window-U'!$A$4:$A$40,'Window-U'!$J$4:$J$40)*Flat!W$22))*W136</f>
        <v>765.07287311417167</v>
      </c>
      <c r="X142" s="174">
        <f>((LOOKUP(Flat!X$2,'Ceiling-U'!$A$4:$A$40,'Ceiling-U'!$AC$4:$AC$40)*Flat!X$15)+(LOOKUP(Flat!X$2,'Floor-U'!$A$4:$A$40,'Floor-U'!$J$4:$J$40)*Flat!X$16)+(LOOKUP(Flat!X$2,'Wall-U'!$A$4:$A$40,'Wall-U'!$J$4:$J$40)*Flat!X$13)+(LOOKUP(Flat!X$2,'Window-U'!$A$4:$A$40,'Window-U'!$J$4:$J$40)*Flat!X$22))*X136</f>
        <v>466.3857878801154</v>
      </c>
      <c r="Y142" s="174">
        <f>((LOOKUP(Flat!Y$2,'Ceiling-U'!$A$4:$A$40,'Ceiling-U'!$AC$4:$AC$40)*Flat!Y$15)+(LOOKUP(Flat!Y$2,'Floor-U'!$A$4:$A$40,'Floor-U'!$J$4:$J$40)*Flat!Y$16)+(LOOKUP(Flat!Y$2,'Wall-U'!$A$4:$A$40,'Wall-U'!$J$4:$J$40)*Flat!Y$13)+(LOOKUP(Flat!Y$2,'Window-U'!$A$4:$A$40,'Window-U'!$J$4:$J$40)*Flat!Y$22))*Y136</f>
        <v>3368.4549959057495</v>
      </c>
      <c r="Z142" s="174">
        <f>((LOOKUP(Flat!Z$2,'Ceiling-U'!$A$4:$A$40,'Ceiling-U'!$AC$4:$AC$40)*Flat!Z$15)+(LOOKUP(Flat!Z$2,'Floor-U'!$A$4:$A$40,'Floor-U'!$J$4:$J$40)*Flat!Z$16)+(LOOKUP(Flat!Z$2,'Wall-U'!$A$4:$A$40,'Wall-U'!$J$4:$J$40)*Flat!Z$13)+(LOOKUP(Flat!Z$2,'Window-U'!$A$4:$A$40,'Window-U'!$J$4:$J$40)*Flat!Z$22))*Z136</f>
        <v>890.02520128075025</v>
      </c>
      <c r="AA142" s="174">
        <f>((LOOKUP(Flat!AA$2,'Ceiling-U'!$A$4:$A$40,'Ceiling-U'!$AC$4:$AC$40)*Flat!AA$15)+(LOOKUP(Flat!AA$2,'Floor-U'!$A$4:$A$40,'Floor-U'!$J$4:$J$40)*Flat!AA$16)+(LOOKUP(Flat!AA$2,'Wall-U'!$A$4:$A$40,'Wall-U'!$J$4:$J$40)*Flat!AA$13)+(LOOKUP(Flat!AA$2,'Window-U'!$A$4:$A$40,'Window-U'!$J$4:$J$40)*Flat!AA$22))*AA136</f>
        <v>501.02588515177109</v>
      </c>
      <c r="AB142" s="174">
        <f>((LOOKUP(Flat!AB$2,'Ceiling-U'!$A$4:$A$40,'Ceiling-U'!$AC$4:$AC$40)*Flat!AB$15)+(LOOKUP(Flat!AB$2,'Floor-U'!$A$4:$A$40,'Floor-U'!$J$4:$J$40)*Flat!AB$16)+(LOOKUP(Flat!AB$2,'Wall-U'!$A$4:$A$40,'Wall-U'!$J$4:$J$40)*Flat!AB$13)+(LOOKUP(Flat!AB$2,'Window-U'!$A$4:$A$40,'Window-U'!$J$4:$J$40)*Flat!AB$22))*AB136</f>
        <v>1166.223075312442</v>
      </c>
      <c r="AC142" s="174">
        <f>((LOOKUP(Flat!AC$2,'Ceiling-U'!$A$4:$A$40,'Ceiling-U'!$AC$4:$AC$40)*Flat!AC$15)+(LOOKUP(Flat!AC$2,'Floor-U'!$A$4:$A$40,'Floor-U'!$J$4:$J$40)*Flat!AC$16)+(LOOKUP(Flat!AC$2,'Wall-U'!$A$4:$A$40,'Wall-U'!$J$4:$J$40)*Flat!AC$13)+(LOOKUP(Flat!AC$2,'Window-U'!$A$4:$A$40,'Window-U'!$J$4:$J$40)*Flat!AC$22))*AC136</f>
        <v>1921.5625008921656</v>
      </c>
      <c r="AD142" s="174">
        <f>((LOOKUP(Flat!AD$2,'Ceiling-U'!$A$4:$A$40,'Ceiling-U'!$AC$4:$AC$40)*Flat!AD$15)+(LOOKUP(Flat!AD$2,'Floor-U'!$A$4:$A$40,'Floor-U'!$J$4:$J$40)*Flat!AD$16)+(LOOKUP(Flat!AD$2,'Wall-U'!$A$4:$A$40,'Wall-U'!$J$4:$J$40)*Flat!AD$13)+(LOOKUP(Flat!AD$2,'Window-U'!$A$4:$A$40,'Window-U'!$J$4:$J$40)*Flat!AD$22))*AD136</f>
        <v>3193.6273565724664</v>
      </c>
      <c r="AE142" s="174">
        <f>((LOOKUP(Flat!AE$2,'Ceiling-U'!$A$4:$A$40,'Ceiling-U'!$AC$4:$AC$40)*Flat!AE$15)+(LOOKUP(Flat!AE$2,'Floor-U'!$A$4:$A$40,'Floor-U'!$J$4:$J$40)*Flat!AE$16)+(LOOKUP(Flat!AE$2,'Wall-U'!$A$4:$A$40,'Wall-U'!$J$4:$J$40)*Flat!AE$13)+(LOOKUP(Flat!AE$2,'Window-U'!$A$4:$A$40,'Window-U'!$J$4:$J$40)*Flat!AE$22))*AE136</f>
        <v>501.02588515177109</v>
      </c>
      <c r="AF142" s="174">
        <f>((LOOKUP(Flat!AF$2,'Ceiling-U'!$A$4:$A$40,'Ceiling-U'!$AC$4:$AC$40)*Flat!AF$15)+(LOOKUP(Flat!AF$2,'Floor-U'!$A$4:$A$40,'Floor-U'!$J$4:$J$40)*Flat!AF$16)+(LOOKUP(Flat!AF$2,'Wall-U'!$A$4:$A$40,'Wall-U'!$J$4:$J$40)*Flat!AF$13)+(LOOKUP(Flat!AF$2,'Window-U'!$A$4:$A$40,'Window-U'!$J$4:$J$40)*Flat!AF$22))*AF136</f>
        <v>500.67687032194783</v>
      </c>
      <c r="AG142" s="174">
        <f>((LOOKUP(Flat!AG$2,'Ceiling-U'!$A$4:$A$40,'Ceiling-U'!$AC$4:$AC$40)*Flat!AG$15)+(LOOKUP(Flat!AG$2,'Floor-U'!$A$4:$A$40,'Floor-U'!$J$4:$J$40)*Flat!AG$16)+(LOOKUP(Flat!AG$2,'Wall-U'!$A$4:$A$40,'Wall-U'!$J$4:$J$40)*Flat!AG$13)+(LOOKUP(Flat!AG$2,'Window-U'!$A$4:$A$40,'Window-U'!$J$4:$J$40)*Flat!AG$22))*AG136</f>
        <v>934.72609051295296</v>
      </c>
      <c r="AH142" s="174">
        <f>((LOOKUP(Flat!AH$2,'Ceiling-U'!$A$4:$A$40,'Ceiling-U'!$AC$4:$AC$40)*Flat!AH$15)+(LOOKUP(Flat!AH$2,'Floor-U'!$A$4:$A$40,'Floor-U'!$J$4:$J$40)*Flat!AH$16)+(LOOKUP(Flat!AH$2,'Wall-U'!$A$4:$A$40,'Wall-U'!$J$4:$J$40)*Flat!AH$13)+(LOOKUP(Flat!AH$2,'Window-U'!$A$4:$A$40,'Window-U'!$J$4:$J$40)*Flat!AH$22))*AH136</f>
        <v>1966.2519961858252</v>
      </c>
      <c r="AI142" s="174">
        <f>((LOOKUP(Flat!AI$2,'Ceiling-U'!$A$4:$A$40,'Ceiling-U'!$AC$4:$AC$40)*Flat!AI$15)+(LOOKUP(Flat!AI$2,'Floor-U'!$A$4:$A$40,'Floor-U'!$J$4:$J$40)*Flat!AI$16)+(LOOKUP(Flat!AI$2,'Wall-U'!$A$4:$A$40,'Wall-U'!$J$4:$J$40)*Flat!AI$13)+(LOOKUP(Flat!AI$2,'Window-U'!$A$4:$A$40,'Window-U'!$J$4:$J$40)*Flat!AI$22))*AI136</f>
        <v>1331.4418566506317</v>
      </c>
      <c r="AJ142" s="174">
        <f>((LOOKUP(Flat!AJ$2,'Ceiling-U'!$A$4:$A$40,'Ceiling-U'!$AC$4:$AC$40)*Flat!AJ$15)+(LOOKUP(Flat!AJ$2,'Floor-U'!$A$4:$A$40,'Floor-U'!$J$4:$J$40)*Flat!AJ$16)+(LOOKUP(Flat!AJ$2,'Wall-U'!$A$4:$A$40,'Wall-U'!$J$4:$J$40)*Flat!AJ$13)+(LOOKUP(Flat!AJ$2,'Window-U'!$A$4:$A$40,'Window-U'!$J$4:$J$40)*Flat!AJ$22))*AJ136</f>
        <v>1538.0754682520603</v>
      </c>
      <c r="AK142" s="174">
        <f>((LOOKUP(Flat!AK$2,'Ceiling-U'!$A$4:$A$40,'Ceiling-U'!$AC$4:$AC$40)*Flat!AK$15)+(LOOKUP(Flat!AK$2,'Floor-U'!$A$4:$A$40,'Floor-U'!$J$4:$J$40)*Flat!AK$16)+(LOOKUP(Flat!AK$2,'Wall-U'!$A$4:$A$40,'Wall-U'!$J$4:$J$40)*Flat!AK$13)+(LOOKUP(Flat!AK$2,'Window-U'!$A$4:$A$40,'Window-U'!$J$4:$J$40)*Flat!AK$22))*AK136</f>
        <v>1645.7694932814445</v>
      </c>
      <c r="AL142" s="174">
        <f>((LOOKUP(Flat!AL$2,'Ceiling-U'!$A$4:$A$40,'Ceiling-U'!$AC$4:$AC$40)*Flat!AL$15)+(LOOKUP(Flat!AL$2,'Floor-U'!$A$4:$A$40,'Floor-U'!$J$4:$J$40)*Flat!AL$16)+(LOOKUP(Flat!AL$2,'Wall-U'!$A$4:$A$40,'Wall-U'!$J$4:$J$40)*Flat!AL$13)+(LOOKUP(Flat!AL$2,'Window-U'!$A$4:$A$40,'Window-U'!$J$4:$J$40)*Flat!AL$22))*AL136</f>
        <v>896.07844363282993</v>
      </c>
      <c r="AM142" s="174">
        <f>((LOOKUP(Flat!AM$2,'Ceiling-U'!$A$4:$A$40,'Ceiling-U'!$AC$4:$AC$40)*Flat!AM$15)+(LOOKUP(Flat!AM$2,'Floor-U'!$A$4:$A$40,'Floor-U'!$J$4:$J$40)*Flat!AM$16)+(LOOKUP(Flat!AM$2,'Wall-U'!$A$4:$A$40,'Wall-U'!$J$4:$J$40)*Flat!AM$13)+(LOOKUP(Flat!AM$2,'Window-U'!$A$4:$A$40,'Window-U'!$J$4:$J$40)*Flat!AM$22))*AM136</f>
        <v>1538.0754682520603</v>
      </c>
      <c r="AN142" s="175">
        <f>((LOOKUP(Flat!AN$2,'Ceiling-U'!$A$4:$A$40,'Ceiling-U'!$AC$4:$AC$40)*Flat!AN$15)+(LOOKUP(Flat!AN$2,'Floor-U'!$A$4:$A$40,'Floor-U'!$J$4:$J$40)*Flat!AN$16)+(LOOKUP(Flat!AN$2,'Wall-U'!$A$4:$A$40,'Wall-U'!$J$4:$J$40)*Flat!AN$13)+(LOOKUP(Flat!AN$2,'Window-U'!$A$4:$A$40,'Window-U'!$J$4:$J$40)*Flat!AN$22))*AN136</f>
        <v>1538.0754682520603</v>
      </c>
    </row>
    <row r="143" spans="1:40" s="5" customFormat="1">
      <c r="A143" s="332" t="s">
        <v>280</v>
      </c>
      <c r="B143" s="142" t="s">
        <v>2</v>
      </c>
      <c r="C143" s="360" t="s">
        <v>261</v>
      </c>
      <c r="D143" s="351">
        <f>D137*24*LOOKUP(Flat!D$2,'HDD-by Country'!$A$4:$A$40,'HDD-by Country'!$C$4:$C$40)/1000/Flat!D$3</f>
        <v>10464.105356198728</v>
      </c>
      <c r="E143" s="352">
        <f>E137*24*LOOKUP(Flat!E$2,'HDD-by Country'!$A$4:$A$40,'HDD-by Country'!$C$4:$C$40)/1000/Flat!E$3</f>
        <v>10214.061467947988</v>
      </c>
      <c r="F143" s="352">
        <f>F137*24*LOOKUP(Flat!F$2,'HDD-by Country'!$A$4:$A$40,'HDD-by Country'!$C$4:$C$40)/1000/Flat!F$3</f>
        <v>5889.5734682826187</v>
      </c>
      <c r="G143" s="352">
        <f>G137*24*LOOKUP(Flat!G$2,'HDD-by Country'!$A$4:$A$40,'HDD-by Country'!$C$4:$C$40)/1000/Flat!G$3</f>
        <v>10194.743942440955</v>
      </c>
      <c r="H143" s="352">
        <f>H137*24*LOOKUP(Flat!H$2,'HDD-by Country'!$A$4:$A$40,'HDD-by Country'!$C$4:$C$40)/1000/Flat!H$3</f>
        <v>3324.696580891844</v>
      </c>
      <c r="I143" s="352">
        <f>I137*24*LOOKUP(Flat!I$2,'HDD-by Country'!$A$4:$A$40,'HDD-by Country'!$C$4:$C$40)/1000/Flat!I$3</f>
        <v>6822.2495465696602</v>
      </c>
      <c r="J143" s="352">
        <f>J137*24*LOOKUP(Flat!J$2,'HDD-by Country'!$A$4:$A$40,'HDD-by Country'!$C$4:$C$40)/1000/Flat!J$3</f>
        <v>10156.792250386061</v>
      </c>
      <c r="K143" s="352">
        <f>K137*24*LOOKUP(Flat!K$2,'HDD-by Country'!$A$4:$A$40,'HDD-by Country'!$C$4:$C$40)/1000/Flat!K$3</f>
        <v>5824.5102684095418</v>
      </c>
      <c r="L143" s="352">
        <f>L137*24*LOOKUP(Flat!L$2,'HDD-by Country'!$A$4:$A$40,'HDD-by Country'!$C$4:$C$40)/1000/Flat!L$3</f>
        <v>4092.5618877914385</v>
      </c>
      <c r="M143" s="352">
        <f>M137*24*LOOKUP(Flat!M$2,'HDD-by Country'!$A$4:$A$40,'HDD-by Country'!$C$4:$C$40)/1000/Flat!M$3</f>
        <v>12683.456042921554</v>
      </c>
      <c r="N143" s="352">
        <f>N137*24*LOOKUP(Flat!N$2,'HDD-by Country'!$A$4:$A$40,'HDD-by Country'!$C$4:$C$40)/1000/Flat!N$3</f>
        <v>5674.2302276964738</v>
      </c>
      <c r="O143" s="352">
        <f>O137*24*LOOKUP(Flat!O$2,'HDD-by Country'!$A$4:$A$40,'HDD-by Country'!$C$4:$C$40)/1000/Flat!O$3</f>
        <v>11230.359802506027</v>
      </c>
      <c r="P143" s="352">
        <f>P137*24*LOOKUP(Flat!P$2,'HDD-by Country'!$A$4:$A$40,'HDD-by Country'!$C$4:$C$40)/1000/Flat!P$3</f>
        <v>9188.4846016819683</v>
      </c>
      <c r="Q143" s="352">
        <f>Q137*24*LOOKUP(Flat!Q$2,'HDD-by Country'!$A$4:$A$40,'HDD-by Country'!$C$4:$C$40)/1000/Flat!Q$3</f>
        <v>6905.6339121253741</v>
      </c>
      <c r="R143" s="352">
        <f>R137*24*LOOKUP(Flat!R$2,'HDD-by Country'!$A$4:$A$40,'HDD-by Country'!$C$4:$C$40)/1000/Flat!R$3</f>
        <v>6874.8886864627011</v>
      </c>
      <c r="S143" s="352">
        <f>S137*24*LOOKUP(Flat!S$2,'HDD-by Country'!$A$4:$A$40,'HDD-by Country'!$C$4:$C$40)/1000/Flat!S$3</f>
        <v>5960.8931916846859</v>
      </c>
      <c r="T143" s="352">
        <f>T137*24*LOOKUP(Flat!T$2,'HDD-by Country'!$A$4:$A$40,'HDD-by Country'!$C$4:$C$40)/1000/Flat!T$3</f>
        <v>6257.8915892172781</v>
      </c>
      <c r="U143" s="352">
        <f>U137*24*LOOKUP(Flat!U$2,'HDD-by Country'!$A$4:$A$40,'HDD-by Country'!$C$4:$C$40)/1000/Flat!U$3</f>
        <v>8795.5369575602253</v>
      </c>
      <c r="V143" s="352">
        <f>V137*24*LOOKUP(Flat!V$2,'HDD-by Country'!$A$4:$A$40,'HDD-by Country'!$C$4:$C$40)/1000/Flat!V$3</f>
        <v>7041.2454224139819</v>
      </c>
      <c r="W143" s="352">
        <f>W137*24*LOOKUP(Flat!W$2,'HDD-by Country'!$A$4:$A$40,'HDD-by Country'!$C$4:$C$40)/1000/Flat!W$3</f>
        <v>9318.2093706159703</v>
      </c>
      <c r="X143" s="352">
        <f>X137*24*LOOKUP(Flat!X$2,'HDD-by Country'!$A$4:$A$40,'HDD-by Country'!$C$4:$C$40)/1000/Flat!X$3</f>
        <v>7712.0707870421193</v>
      </c>
      <c r="Y143" s="352">
        <f>Y137*24*LOOKUP(Flat!Y$2,'HDD-by Country'!$A$4:$A$40,'HDD-by Country'!$C$4:$C$40)/1000/Flat!Y$3</f>
        <v>3478.6104392623806</v>
      </c>
      <c r="Z143" s="352">
        <f>Z137*24*LOOKUP(Flat!Z$2,'HDD-by Country'!$A$4:$A$40,'HDD-by Country'!$C$4:$C$40)/1000/Flat!Z$3</f>
        <v>10418.090266915073</v>
      </c>
      <c r="AA143" s="352">
        <f>AA137*24*LOOKUP(Flat!AA$2,'HDD-by Country'!$A$4:$A$40,'HDD-by Country'!$C$4:$C$40)/1000/Flat!AA$3</f>
        <v>6568.9577622287397</v>
      </c>
      <c r="AB143" s="352">
        <f>AB137*24*LOOKUP(Flat!AB$2,'HDD-by Country'!$A$4:$A$40,'HDD-by Country'!$C$4:$C$40)/1000/Flat!AB$3</f>
        <v>8941.0396761013362</v>
      </c>
      <c r="AC143" s="352">
        <f>AC137*24*LOOKUP(Flat!AC$2,'HDD-by Country'!$A$4:$A$40,'HDD-by Country'!$C$4:$C$40)/1000/Flat!AC$3</f>
        <v>6013.9547705043051</v>
      </c>
      <c r="AD143" s="352">
        <f>AD137*24*LOOKUP(Flat!AD$2,'HDD-by Country'!$A$4:$A$40,'HDD-by Country'!$C$4:$C$40)/1000/Flat!AD$3</f>
        <v>5567.3866266996629</v>
      </c>
      <c r="AE143" s="352">
        <f>AE137*24*LOOKUP(Flat!AE$2,'HDD-by Country'!$A$4:$A$40,'HDD-by Country'!$C$4:$C$40)/1000/Flat!AE$3</f>
        <v>6333.9366024748942</v>
      </c>
      <c r="AF143" s="352">
        <f>AF137*24*LOOKUP(Flat!AF$2,'HDD-by Country'!$A$4:$A$40,'HDD-by Country'!$C$4:$C$40)/1000/Flat!AF$3</f>
        <v>6864.8957457620809</v>
      </c>
      <c r="AG143" s="352">
        <f>AG137*24*LOOKUP(Flat!AG$2,'HDD-by Country'!$A$4:$A$40,'HDD-by Country'!$C$4:$C$40)/1000/Flat!AG$3</f>
        <v>10398.388323922789</v>
      </c>
      <c r="AH143" s="352">
        <f>AH137*24*LOOKUP(Flat!AH$2,'HDD-by Country'!$A$4:$A$40,'HDD-by Country'!$C$4:$C$40)/1000/Flat!AH$3</f>
        <v>6104.4901243022832</v>
      </c>
      <c r="AI143" s="352">
        <f>AI137*24*LOOKUP(Flat!AI$2,'HDD-by Country'!$A$4:$A$40,'HDD-by Country'!$C$4:$C$40)/1000/Flat!AI$3</f>
        <v>7421.4672505720155</v>
      </c>
      <c r="AJ143" s="352">
        <f>AJ137*24*LOOKUP(Flat!AJ$2,'HDD-by Country'!$A$4:$A$40,'HDD-by Country'!$C$4:$C$40)/1000/Flat!AJ$3</f>
        <v>7705.2136658525678</v>
      </c>
      <c r="AK143" s="352">
        <f>AK137*24*LOOKUP(Flat!AK$2,'HDD-by Country'!$A$4:$A$40,'HDD-by Country'!$C$4:$C$40)/1000/Flat!AK$3</f>
        <v>7332.9797297708355</v>
      </c>
      <c r="AL143" s="352">
        <f>AL137*24*LOOKUP(Flat!AL$2,'HDD-by Country'!$A$4:$A$40,'HDD-by Country'!$C$4:$C$40)/1000/Flat!AL$3</f>
        <v>7542.8031382507525</v>
      </c>
      <c r="AM143" s="352">
        <f>AM137*24*LOOKUP(Flat!AM$2,'HDD-by Country'!$A$4:$A$40,'HDD-by Country'!$C$4:$C$40)/1000/Flat!AM$3</f>
        <v>7085.5267351628499</v>
      </c>
      <c r="AN143" s="353">
        <f>AN137*24*LOOKUP(Flat!AN$2,'HDD-by Country'!$A$4:$A$40,'HDD-by Country'!$C$4:$C$40)/1000/Flat!AN$3</f>
        <v>7085.5267351628499</v>
      </c>
    </row>
    <row r="144" spans="1:40" s="5" customFormat="1">
      <c r="A144" s="129"/>
      <c r="B144" s="142" t="s">
        <v>3</v>
      </c>
      <c r="C144" s="129" t="s">
        <v>261</v>
      </c>
      <c r="D144" s="345">
        <f>D138*24*LOOKUP(Flat!D$2,'HDD-by Country'!$A$4:$A$40,'HDD-by Country'!$C$4:$C$40)/1000/Flat!D$3</f>
        <v>9340.5994354482646</v>
      </c>
      <c r="E144" s="349">
        <f>E138*24*LOOKUP(Flat!E$2,'HDD-by Country'!$A$4:$A$40,'HDD-by Country'!$C$4:$C$40)/1000/Flat!E$3</f>
        <v>10214.061467947988</v>
      </c>
      <c r="F144" s="349">
        <f>F138*24*LOOKUP(Flat!F$2,'HDD-by Country'!$A$4:$A$40,'HDD-by Country'!$C$4:$C$40)/1000/Flat!F$3</f>
        <v>5889.5734682826187</v>
      </c>
      <c r="G144" s="349">
        <f>G138*24*LOOKUP(Flat!G$2,'HDD-by Country'!$A$4:$A$40,'HDD-by Country'!$C$4:$C$40)/1000/Flat!G$3</f>
        <v>9100.1587113124933</v>
      </c>
      <c r="H144" s="349">
        <f>H138*24*LOOKUP(Flat!H$2,'HDD-by Country'!$A$4:$A$40,'HDD-by Country'!$C$4:$C$40)/1000/Flat!H$3</f>
        <v>2940.6325010380742</v>
      </c>
      <c r="I144" s="349">
        <f>I138*24*LOOKUP(Flat!I$2,'HDD-by Country'!$A$4:$A$40,'HDD-by Country'!$C$4:$C$40)/1000/Flat!I$3</f>
        <v>6226.6232785657567</v>
      </c>
      <c r="J144" s="349">
        <f>J138*24*LOOKUP(Flat!J$2,'HDD-by Country'!$A$4:$A$40,'HDD-by Country'!$C$4:$C$40)/1000/Flat!J$3</f>
        <v>7881.0319272183378</v>
      </c>
      <c r="K144" s="349">
        <f>K138*24*LOOKUP(Flat!K$2,'HDD-by Country'!$A$4:$A$40,'HDD-by Country'!$C$4:$C$40)/1000/Flat!K$3</f>
        <v>5743.5145922652273</v>
      </c>
      <c r="L144" s="349">
        <f>L138*24*LOOKUP(Flat!L$2,'HDD-by Country'!$A$4:$A$40,'HDD-by Country'!$C$4:$C$40)/1000/Flat!L$3</f>
        <v>4092.5618877914385</v>
      </c>
      <c r="M144" s="349">
        <f>M138*24*LOOKUP(Flat!M$2,'HDD-by Country'!$A$4:$A$40,'HDD-by Country'!$C$4:$C$40)/1000/Flat!M$3</f>
        <v>11311.9693210853</v>
      </c>
      <c r="N144" s="349">
        <f>N138*24*LOOKUP(Flat!N$2,'HDD-by Country'!$A$4:$A$40,'HDD-by Country'!$C$4:$C$40)/1000/Flat!N$3</f>
        <v>5268.13338035176</v>
      </c>
      <c r="O144" s="349">
        <f>O138*24*LOOKUP(Flat!O$2,'HDD-by Country'!$A$4:$A$40,'HDD-by Country'!$C$4:$C$40)/1000/Flat!O$3</f>
        <v>11230.359802506027</v>
      </c>
      <c r="P144" s="349">
        <f>P138*24*LOOKUP(Flat!P$2,'HDD-by Country'!$A$4:$A$40,'HDD-by Country'!$C$4:$C$40)/1000/Flat!P$3</f>
        <v>9188.4846016819683</v>
      </c>
      <c r="Q144" s="349">
        <f>Q138*24*LOOKUP(Flat!Q$2,'HDD-by Country'!$A$4:$A$40,'HDD-by Country'!$C$4:$C$40)/1000/Flat!Q$3</f>
        <v>7503.5020421988638</v>
      </c>
      <c r="R144" s="349">
        <f>R138*24*LOOKUP(Flat!R$2,'HDD-by Country'!$A$4:$A$40,'HDD-by Country'!$C$4:$C$40)/1000/Flat!R$3</f>
        <v>6874.8886864627011</v>
      </c>
      <c r="S144" s="349">
        <f>S138*24*LOOKUP(Flat!S$2,'HDD-by Country'!$A$4:$A$40,'HDD-by Country'!$C$4:$C$40)/1000/Flat!S$3</f>
        <v>5961.7654220028408</v>
      </c>
      <c r="T144" s="349">
        <f>T138*24*LOOKUP(Flat!T$2,'HDD-by Country'!$A$4:$A$40,'HDD-by Country'!$C$4:$C$40)/1000/Flat!T$3</f>
        <v>5817.0395679100102</v>
      </c>
      <c r="U144" s="349">
        <f>U138*24*LOOKUP(Flat!U$2,'HDD-by Country'!$A$4:$A$40,'HDD-by Country'!$C$4:$C$40)/1000/Flat!U$3</f>
        <v>8178.5234646918425</v>
      </c>
      <c r="V144" s="349">
        <f>V138*24*LOOKUP(Flat!V$2,'HDD-by Country'!$A$4:$A$40,'HDD-by Country'!$C$4:$C$40)/1000/Flat!V$3</f>
        <v>7041.2454224139819</v>
      </c>
      <c r="W144" s="349">
        <f>W138*24*LOOKUP(Flat!W$2,'HDD-by Country'!$A$4:$A$40,'HDD-by Country'!$C$4:$C$40)/1000/Flat!W$3</f>
        <v>11245.651428732241</v>
      </c>
      <c r="X144" s="349">
        <f>X138*24*LOOKUP(Flat!X$2,'HDD-by Country'!$A$4:$A$40,'HDD-by Country'!$C$4:$C$40)/1000/Flat!X$3</f>
        <v>7564.6723870421192</v>
      </c>
      <c r="Y144" s="349">
        <f>Y138*24*LOOKUP(Flat!Y$2,'HDD-by Country'!$A$4:$A$40,'HDD-by Country'!$C$4:$C$40)/1000/Flat!Y$3</f>
        <v>3478.5608428948972</v>
      </c>
      <c r="Z144" s="349">
        <f>Z138*24*LOOKUP(Flat!Z$2,'HDD-by Country'!$A$4:$A$40,'HDD-by Country'!$C$4:$C$40)/1000/Flat!Z$3</f>
        <v>9158.761919758379</v>
      </c>
      <c r="AA144" s="349">
        <f>AA138*24*LOOKUP(Flat!AA$2,'HDD-by Country'!$A$4:$A$40,'HDD-by Country'!$C$4:$C$40)/1000/Flat!AA$3</f>
        <v>6531.3482476175395</v>
      </c>
      <c r="AB144" s="349">
        <f>AB138*24*LOOKUP(Flat!AB$2,'HDD-by Country'!$A$4:$A$40,'HDD-by Country'!$C$4:$C$40)/1000/Flat!AB$3</f>
        <v>6644.5874508815659</v>
      </c>
      <c r="AC144" s="349">
        <f>AC138*24*LOOKUP(Flat!AC$2,'HDD-by Country'!$A$4:$A$40,'HDD-by Country'!$C$4:$C$40)/1000/Flat!AC$3</f>
        <v>5087.5980265090639</v>
      </c>
      <c r="AD144" s="349">
        <f>AD138*24*LOOKUP(Flat!AD$2,'HDD-by Country'!$A$4:$A$40,'HDD-by Country'!$C$4:$C$40)/1000/Flat!AD$3</f>
        <v>5021.1358141088494</v>
      </c>
      <c r="AE144" s="349">
        <f>AE138*24*LOOKUP(Flat!AE$2,'HDD-by Country'!$A$4:$A$40,'HDD-by Country'!$C$4:$C$40)/1000/Flat!AE$3</f>
        <v>6297.6726638380951</v>
      </c>
      <c r="AF144" s="349">
        <f>AF138*24*LOOKUP(Flat!AF$2,'HDD-by Country'!$A$4:$A$40,'HDD-by Country'!$C$4:$C$40)/1000/Flat!AF$3</f>
        <v>6864.8957457620809</v>
      </c>
      <c r="AG144" s="349">
        <f>AG138*24*LOOKUP(Flat!AG$2,'HDD-by Country'!$A$4:$A$40,'HDD-by Country'!$C$4:$C$40)/1000/Flat!AG$3</f>
        <v>8865.4658754286065</v>
      </c>
      <c r="AH144" s="349">
        <f>AH138*24*LOOKUP(Flat!AH$2,'HDD-by Country'!$A$4:$A$40,'HDD-by Country'!$C$4:$C$40)/1000/Flat!AH$3</f>
        <v>6413.2855420684418</v>
      </c>
      <c r="AI144" s="349">
        <f>AI138*24*LOOKUP(Flat!AI$2,'HDD-by Country'!$A$4:$A$40,'HDD-by Country'!$C$4:$C$40)/1000/Flat!AI$3</f>
        <v>7421.4672505720155</v>
      </c>
      <c r="AJ144" s="349">
        <f>AJ138*24*LOOKUP(Flat!AJ$2,'HDD-by Country'!$A$4:$A$40,'HDD-by Country'!$C$4:$C$40)/1000/Flat!AJ$3</f>
        <v>7705.2136658525678</v>
      </c>
      <c r="AK144" s="349">
        <f>AK138*24*LOOKUP(Flat!AK$2,'HDD-by Country'!$A$4:$A$40,'HDD-by Country'!$C$4:$C$40)/1000/Flat!AK$3</f>
        <v>7332.9797297708355</v>
      </c>
      <c r="AL144" s="349">
        <f>AL138*24*LOOKUP(Flat!AL$2,'HDD-by Country'!$A$4:$A$40,'HDD-by Country'!$C$4:$C$40)/1000/Flat!AL$3</f>
        <v>7542.8031382507525</v>
      </c>
      <c r="AM144" s="349">
        <f>AM138*24*LOOKUP(Flat!AM$2,'HDD-by Country'!$A$4:$A$40,'HDD-by Country'!$C$4:$C$40)/1000/Flat!AM$3</f>
        <v>7085.5267351628499</v>
      </c>
      <c r="AN144" s="354">
        <f>AN138*24*LOOKUP(Flat!AN$2,'HDD-by Country'!$A$4:$A$40,'HDD-by Country'!$C$4:$C$40)/1000/Flat!AN$3</f>
        <v>7085.5267351628499</v>
      </c>
    </row>
    <row r="145" spans="1:40" s="5" customFormat="1">
      <c r="A145" s="129"/>
      <c r="B145" s="142" t="s">
        <v>4</v>
      </c>
      <c r="C145" s="129" t="s">
        <v>261</v>
      </c>
      <c r="D145" s="345">
        <f>D139*24*LOOKUP(Flat!D$2,'HDD-by Country'!$A$4:$A$40,'HDD-by Country'!$C$4:$C$40)/1000/Flat!D$3</f>
        <v>7477.1502612245922</v>
      </c>
      <c r="E145" s="349">
        <f>E139*24*LOOKUP(Flat!E$2,'HDD-by Country'!$A$4:$A$40,'HDD-by Country'!$C$4:$C$40)/1000/Flat!E$3</f>
        <v>10214.061467947988</v>
      </c>
      <c r="F145" s="349">
        <f>F139*24*LOOKUP(Flat!F$2,'HDD-by Country'!$A$4:$A$40,'HDD-by Country'!$C$4:$C$40)/1000/Flat!F$3</f>
        <v>5542.6743431723644</v>
      </c>
      <c r="G145" s="349">
        <f>G139*24*LOOKUP(Flat!G$2,'HDD-by Country'!$A$4:$A$40,'HDD-by Country'!$C$4:$C$40)/1000/Flat!G$3</f>
        <v>7284.6774509188663</v>
      </c>
      <c r="H145" s="349">
        <f>H139*24*LOOKUP(Flat!H$2,'HDD-by Country'!$A$4:$A$40,'HDD-by Country'!$C$4:$C$40)/1000/Flat!H$3</f>
        <v>2975.4701811843042</v>
      </c>
      <c r="I145" s="349">
        <f>I139*24*LOOKUP(Flat!I$2,'HDD-by Country'!$A$4:$A$40,'HDD-by Country'!$C$4:$C$40)/1000/Flat!I$3</f>
        <v>6226.6232785657567</v>
      </c>
      <c r="J145" s="349">
        <f>J139*24*LOOKUP(Flat!J$2,'HDD-by Country'!$A$4:$A$40,'HDD-by Country'!$C$4:$C$40)/1000/Flat!J$3</f>
        <v>5453.7679215959079</v>
      </c>
      <c r="K145" s="349">
        <f>K139*24*LOOKUP(Flat!K$2,'HDD-by Country'!$A$4:$A$40,'HDD-by Country'!$C$4:$C$40)/1000/Flat!K$3</f>
        <v>3895.5056557985945</v>
      </c>
      <c r="L145" s="349">
        <f>L139*24*LOOKUP(Flat!L$2,'HDD-by Country'!$A$4:$A$40,'HDD-by Country'!$C$4:$C$40)/1000/Flat!L$3</f>
        <v>3302.1838151463098</v>
      </c>
      <c r="M145" s="349">
        <f>M139*24*LOOKUP(Flat!M$2,'HDD-by Country'!$A$4:$A$40,'HDD-by Country'!$C$4:$C$40)/1000/Flat!M$3</f>
        <v>11311.9693210853</v>
      </c>
      <c r="N145" s="349">
        <f>N139*24*LOOKUP(Flat!N$2,'HDD-by Country'!$A$4:$A$40,'HDD-by Country'!$C$4:$C$40)/1000/Flat!N$3</f>
        <v>4356.6399572280534</v>
      </c>
      <c r="O145" s="349">
        <f>O139*24*LOOKUP(Flat!O$2,'HDD-by Country'!$A$4:$A$40,'HDD-by Country'!$C$4:$C$40)/1000/Flat!O$3</f>
        <v>5407.1154143075564</v>
      </c>
      <c r="P145" s="349">
        <f>P139*24*LOOKUP(Flat!P$2,'HDD-by Country'!$A$4:$A$40,'HDD-by Country'!$C$4:$C$40)/1000/Flat!P$3</f>
        <v>9188.4846016819683</v>
      </c>
      <c r="Q145" s="349">
        <f>Q139*24*LOOKUP(Flat!Q$2,'HDD-by Country'!$A$4:$A$40,'HDD-by Country'!$C$4:$C$40)/1000/Flat!Q$3</f>
        <v>6278.2726602536886</v>
      </c>
      <c r="R145" s="349">
        <f>R139*24*LOOKUP(Flat!R$2,'HDD-by Country'!$A$4:$A$40,'HDD-by Country'!$C$4:$C$40)/1000/Flat!R$3</f>
        <v>5928.6880292570095</v>
      </c>
      <c r="S145" s="349">
        <f>S139*24*LOOKUP(Flat!S$2,'HDD-by Country'!$A$4:$A$40,'HDD-by Country'!$C$4:$C$40)/1000/Flat!S$3</f>
        <v>5946.5524764660931</v>
      </c>
      <c r="T145" s="349">
        <f>T139*24*LOOKUP(Flat!T$2,'HDD-by Country'!$A$4:$A$40,'HDD-by Country'!$C$4:$C$40)/1000/Flat!T$3</f>
        <v>4671.9462138977105</v>
      </c>
      <c r="U145" s="349">
        <f>U139*24*LOOKUP(Flat!U$2,'HDD-by Country'!$A$4:$A$40,'HDD-by Country'!$C$4:$C$40)/1000/Flat!U$3</f>
        <v>7743.9591297360112</v>
      </c>
      <c r="V145" s="349">
        <f>V139*24*LOOKUP(Flat!V$2,'HDD-by Country'!$A$4:$A$40,'HDD-by Country'!$C$4:$C$40)/1000/Flat!V$3</f>
        <v>4366.1179434906171</v>
      </c>
      <c r="W145" s="349">
        <f>W139*24*LOOKUP(Flat!W$2,'HDD-by Country'!$A$4:$A$40,'HDD-by Country'!$C$4:$C$40)/1000/Flat!W$3</f>
        <v>5463.4046648072899</v>
      </c>
      <c r="X145" s="349">
        <f>X139*24*LOOKUP(Flat!X$2,'HDD-by Country'!$A$4:$A$40,'HDD-by Country'!$C$4:$C$40)/1000/Flat!X$3</f>
        <v>7074.8178080029784</v>
      </c>
      <c r="Y145" s="349">
        <f>Y139*24*LOOKUP(Flat!Y$2,'HDD-by Country'!$A$4:$A$40,'HDD-by Country'!$C$4:$C$40)/1000/Flat!Y$3</f>
        <v>2600.9860736362543</v>
      </c>
      <c r="Z145" s="349">
        <f>Z139*24*LOOKUP(Flat!Z$2,'HDD-by Country'!$A$4:$A$40,'HDD-by Country'!$C$4:$C$40)/1000/Flat!Z$3</f>
        <v>8957.7252111204562</v>
      </c>
      <c r="AA145" s="349">
        <f>AA139*24*LOOKUP(Flat!AA$2,'HDD-by Country'!$A$4:$A$40,'HDD-by Country'!$C$4:$C$40)/1000/Flat!AA$3</f>
        <v>4671.0930342417487</v>
      </c>
      <c r="AB145" s="349">
        <f>AB139*24*LOOKUP(Flat!AB$2,'HDD-by Country'!$A$4:$A$40,'HDD-by Country'!$C$4:$C$40)/1000/Flat!AB$3</f>
        <v>4568.3268548012647</v>
      </c>
      <c r="AC145" s="349">
        <f>AC139*24*LOOKUP(Flat!AC$2,'HDD-by Country'!$A$4:$A$40,'HDD-by Country'!$C$4:$C$40)/1000/Flat!AC$3</f>
        <v>5086.9226679451576</v>
      </c>
      <c r="AD145" s="349">
        <f>AD139*24*LOOKUP(Flat!AD$2,'HDD-by Country'!$A$4:$A$40,'HDD-by Country'!$C$4:$C$40)/1000/Flat!AD$3</f>
        <v>5021.1358141088494</v>
      </c>
      <c r="AE145" s="349">
        <f>AE139*24*LOOKUP(Flat!AE$2,'HDD-by Country'!$A$4:$A$40,'HDD-by Country'!$C$4:$C$40)/1000/Flat!AE$3</f>
        <v>4503.9728087871208</v>
      </c>
      <c r="AF145" s="349">
        <f>AF139*24*LOOKUP(Flat!AF$2,'HDD-by Country'!$A$4:$A$40,'HDD-by Country'!$C$4:$C$40)/1000/Flat!AF$3</f>
        <v>6586.2238904978731</v>
      </c>
      <c r="AG145" s="349">
        <f>AG139*24*LOOKUP(Flat!AG$2,'HDD-by Country'!$A$4:$A$40,'HDD-by Country'!$C$4:$C$40)/1000/Flat!AG$3</f>
        <v>8865.4658754286065</v>
      </c>
      <c r="AH145" s="349">
        <f>AH139*24*LOOKUP(Flat!AH$2,'HDD-by Country'!$A$4:$A$40,'HDD-by Country'!$C$4:$C$40)/1000/Flat!AH$3</f>
        <v>5464.8985533172936</v>
      </c>
      <c r="AI145" s="349">
        <f>AI139*24*LOOKUP(Flat!AI$2,'HDD-by Country'!$A$4:$A$40,'HDD-by Country'!$C$4:$C$40)/1000/Flat!AI$3</f>
        <v>7421.4672505720155</v>
      </c>
      <c r="AJ145" s="349">
        <f>AJ139*24*LOOKUP(Flat!AJ$2,'HDD-by Country'!$A$4:$A$40,'HDD-by Country'!$C$4:$C$40)/1000/Flat!AJ$3</f>
        <v>7705.2136658525678</v>
      </c>
      <c r="AK145" s="349">
        <f>AK139*24*LOOKUP(Flat!AK$2,'HDD-by Country'!$A$4:$A$40,'HDD-by Country'!$C$4:$C$40)/1000/Flat!AK$3</f>
        <v>7332.9797297708355</v>
      </c>
      <c r="AL145" s="349">
        <f>AL139*24*LOOKUP(Flat!AL$2,'HDD-by Country'!$A$4:$A$40,'HDD-by Country'!$C$4:$C$40)/1000/Flat!AL$3</f>
        <v>7072.6769973300952</v>
      </c>
      <c r="AM145" s="349">
        <f>AM139*24*LOOKUP(Flat!AM$2,'HDD-by Country'!$A$4:$A$40,'HDD-by Country'!$C$4:$C$40)/1000/Flat!AM$3</f>
        <v>7085.5267351628499</v>
      </c>
      <c r="AN145" s="354">
        <f>AN139*24*LOOKUP(Flat!AN$2,'HDD-by Country'!$A$4:$A$40,'HDD-by Country'!$C$4:$C$40)/1000/Flat!AN$3</f>
        <v>7085.5267351628499</v>
      </c>
    </row>
    <row r="146" spans="1:40" s="5" customFormat="1">
      <c r="A146" s="129"/>
      <c r="B146" s="142" t="s">
        <v>5</v>
      </c>
      <c r="C146" s="129" t="s">
        <v>261</v>
      </c>
      <c r="D146" s="345">
        <f>D140*24*LOOKUP(Flat!D$2,'HDD-by Country'!$A$4:$A$40,'HDD-by Country'!$C$4:$C$40)/1000/Flat!D$3</f>
        <v>4972.3973216167997</v>
      </c>
      <c r="E146" s="349">
        <f>E140*24*LOOKUP(Flat!E$2,'HDD-by Country'!$A$4:$A$40,'HDD-by Country'!$C$4:$C$40)/1000/Flat!E$3</f>
        <v>8766.6688303374103</v>
      </c>
      <c r="F146" s="349">
        <f>F140*24*LOOKUP(Flat!F$2,'HDD-by Country'!$A$4:$A$40,'HDD-by Country'!$C$4:$C$40)/1000/Flat!F$3</f>
        <v>4650.0010444751151</v>
      </c>
      <c r="G146" s="349">
        <f>G140*24*LOOKUP(Flat!G$2,'HDD-by Country'!$A$4:$A$40,'HDD-by Country'!$C$4:$C$40)/1000/Flat!G$3</f>
        <v>4844.4005243060146</v>
      </c>
      <c r="H146" s="349">
        <f>H140*24*LOOKUP(Flat!H$2,'HDD-by Country'!$A$4:$A$40,'HDD-by Country'!$C$4:$C$40)/1000/Flat!H$3</f>
        <v>2893.2663411843041</v>
      </c>
      <c r="I146" s="349">
        <f>I140*24*LOOKUP(Flat!I$2,'HDD-by Country'!$A$4:$A$40,'HDD-by Country'!$C$4:$C$40)/1000/Flat!I$3</f>
        <v>5615.1691799116825</v>
      </c>
      <c r="J146" s="349">
        <f>J140*24*LOOKUP(Flat!J$2,'HDD-by Country'!$A$4:$A$40,'HDD-by Country'!$C$4:$C$40)/1000/Flat!J$3</f>
        <v>4657.8902717395777</v>
      </c>
      <c r="K146" s="349">
        <f>K140*24*LOOKUP(Flat!K$2,'HDD-by Country'!$A$4:$A$40,'HDD-by Country'!$C$4:$C$40)/1000/Flat!K$3</f>
        <v>3209.6708375252415</v>
      </c>
      <c r="L146" s="349">
        <f>L140*24*LOOKUP(Flat!L$2,'HDD-by Country'!$A$4:$A$40,'HDD-by Country'!$C$4:$C$40)/1000/Flat!L$3</f>
        <v>2380.7186640727841</v>
      </c>
      <c r="M146" s="349">
        <f>M140*24*LOOKUP(Flat!M$2,'HDD-by Country'!$A$4:$A$40,'HDD-by Country'!$C$4:$C$40)/1000/Flat!M$3</f>
        <v>7423.0290114200925</v>
      </c>
      <c r="N146" s="349">
        <f>N140*24*LOOKUP(Flat!N$2,'HDD-by Country'!$A$4:$A$40,'HDD-by Country'!$C$4:$C$40)/1000/Flat!N$3</f>
        <v>3487.2816964609101</v>
      </c>
      <c r="O146" s="349">
        <f>O140*24*LOOKUP(Flat!O$2,'HDD-by Country'!$A$4:$A$40,'HDD-by Country'!$C$4:$C$40)/1000/Flat!O$3</f>
        <v>4579.1801282443203</v>
      </c>
      <c r="P146" s="349">
        <f>P140*24*LOOKUP(Flat!P$2,'HDD-by Country'!$A$4:$A$40,'HDD-by Country'!$C$4:$C$40)/1000/Flat!P$3</f>
        <v>8955.3985216819674</v>
      </c>
      <c r="Q146" s="349">
        <f>Q140*24*LOOKUP(Flat!Q$2,'HDD-by Country'!$A$4:$A$40,'HDD-by Country'!$C$4:$C$40)/1000/Flat!Q$3</f>
        <v>6278.2726602536886</v>
      </c>
      <c r="R146" s="349">
        <f>R140*24*LOOKUP(Flat!R$2,'HDD-by Country'!$A$4:$A$40,'HDD-by Country'!$C$4:$C$40)/1000/Flat!R$3</f>
        <v>4253.2078297128728</v>
      </c>
      <c r="S146" s="349">
        <f>S140*24*LOOKUP(Flat!S$2,'HDD-by Country'!$A$4:$A$40,'HDD-by Country'!$C$4:$C$40)/1000/Flat!S$3</f>
        <v>4163.0794213334921</v>
      </c>
      <c r="T146" s="349">
        <f>T140*24*LOOKUP(Flat!T$2,'HDD-by Country'!$A$4:$A$40,'HDD-by Country'!$C$4:$C$40)/1000/Flat!T$3</f>
        <v>3646.1913519561726</v>
      </c>
      <c r="U146" s="349">
        <f>U140*24*LOOKUP(Flat!U$2,'HDD-by Country'!$A$4:$A$40,'HDD-by Country'!$C$4:$C$40)/1000/Flat!U$3</f>
        <v>5379.5136257985559</v>
      </c>
      <c r="V146" s="349">
        <f>V140*24*LOOKUP(Flat!V$2,'HDD-by Country'!$A$4:$A$40,'HDD-by Country'!$C$4:$C$40)/1000/Flat!V$3</f>
        <v>4366.1179434906171</v>
      </c>
      <c r="W146" s="349">
        <f>W140*24*LOOKUP(Flat!W$2,'HDD-by Country'!$A$4:$A$40,'HDD-by Country'!$C$4:$C$40)/1000/Flat!W$3</f>
        <v>4611.8248564567166</v>
      </c>
      <c r="X146" s="349">
        <f>X140*24*LOOKUP(Flat!X$2,'HDD-by Country'!$A$4:$A$40,'HDD-by Country'!$C$4:$C$40)/1000/Flat!X$3</f>
        <v>4120.3290146673044</v>
      </c>
      <c r="Y146" s="349">
        <f>Y140*24*LOOKUP(Flat!Y$2,'HDD-by Country'!$A$4:$A$40,'HDD-by Country'!$C$4:$C$40)/1000/Flat!Y$3</f>
        <v>2429.5626664042547</v>
      </c>
      <c r="Z146" s="349">
        <f>Z140*24*LOOKUP(Flat!Z$2,'HDD-by Country'!$A$4:$A$40,'HDD-by Country'!$C$4:$C$40)/1000/Flat!Z$3</f>
        <v>4989.1306377921164</v>
      </c>
      <c r="AA146" s="349">
        <f>AA140*24*LOOKUP(Flat!AA$2,'HDD-by Country'!$A$4:$A$40,'HDD-by Country'!$C$4:$C$40)/1000/Flat!AA$3</f>
        <v>4583.2864422417479</v>
      </c>
      <c r="AB146" s="349">
        <f>AB140*24*LOOKUP(Flat!AB$2,'HDD-by Country'!$A$4:$A$40,'HDD-by Country'!$C$4:$C$40)/1000/Flat!AB$3</f>
        <v>4568.3268548012647</v>
      </c>
      <c r="AC146" s="349">
        <f>AC140*24*LOOKUP(Flat!AC$2,'HDD-by Country'!$A$4:$A$40,'HDD-by Country'!$C$4:$C$40)/1000/Flat!AC$3</f>
        <v>4901.275453367427</v>
      </c>
      <c r="AD146" s="349">
        <f>AD140*24*LOOKUP(Flat!AD$2,'HDD-by Country'!$A$4:$A$40,'HDD-by Country'!$C$4:$C$40)/1000/Flat!AD$3</f>
        <v>4200.0264577473918</v>
      </c>
      <c r="AE146" s="349">
        <f>AE140*24*LOOKUP(Flat!AE$2,'HDD-by Country'!$A$4:$A$40,'HDD-by Country'!$C$4:$C$40)/1000/Flat!AE$3</f>
        <v>4419.3077207871193</v>
      </c>
      <c r="AF146" s="349">
        <f>AF140*24*LOOKUP(Flat!AF$2,'HDD-by Country'!$A$4:$A$40,'HDD-by Country'!$C$4:$C$40)/1000/Flat!AF$3</f>
        <v>4529.7696782054281</v>
      </c>
      <c r="AG146" s="349">
        <f>AG140*24*LOOKUP(Flat!AG$2,'HDD-by Country'!$A$4:$A$40,'HDD-by Country'!$C$4:$C$40)/1000/Flat!AG$3</f>
        <v>7510.8683964753072</v>
      </c>
      <c r="AH146" s="349">
        <f>AH140*24*LOOKUP(Flat!AH$2,'HDD-by Country'!$A$4:$A$40,'HDD-by Country'!$C$4:$C$40)/1000/Flat!AH$3</f>
        <v>3319.7870859967161</v>
      </c>
      <c r="AI146" s="349">
        <f>AI140*24*LOOKUP(Flat!AI$2,'HDD-by Country'!$A$4:$A$40,'HDD-by Country'!$C$4:$C$40)/1000/Flat!AI$3</f>
        <v>7246.6526905720148</v>
      </c>
      <c r="AJ146" s="349">
        <f>AJ140*24*LOOKUP(Flat!AJ$2,'HDD-by Country'!$A$4:$A$40,'HDD-by Country'!$C$4:$C$40)/1000/Flat!AJ$3</f>
        <v>6736.6795391229589</v>
      </c>
      <c r="AK146" s="349">
        <f>AK140*24*LOOKUP(Flat!AK$2,'HDD-by Country'!$A$4:$A$40,'HDD-by Country'!$C$4:$C$40)/1000/Flat!AK$3</f>
        <v>6401.2887075875933</v>
      </c>
      <c r="AL146" s="349">
        <f>AL140*24*LOOKUP(Flat!AL$2,'HDD-by Country'!$A$4:$A$40,'HDD-by Country'!$C$4:$C$40)/1000/Flat!AL$3</f>
        <v>5882.9364451732345</v>
      </c>
      <c r="AM146" s="349">
        <f>AM140*24*LOOKUP(Flat!AM$2,'HDD-by Country'!$A$4:$A$40,'HDD-by Country'!$C$4:$C$40)/1000/Flat!AM$3</f>
        <v>6194.8863523694026</v>
      </c>
      <c r="AN146" s="354">
        <f>AN140*24*LOOKUP(Flat!AN$2,'HDD-by Country'!$A$4:$A$40,'HDD-by Country'!$C$4:$C$40)/1000/Flat!AN$3</f>
        <v>6194.8863523694026</v>
      </c>
    </row>
    <row r="147" spans="1:40" s="5" customFormat="1">
      <c r="A147" s="129"/>
      <c r="B147" s="142" t="s">
        <v>6</v>
      </c>
      <c r="C147" s="129" t="s">
        <v>261</v>
      </c>
      <c r="D147" s="345">
        <f>D141*24*LOOKUP(Flat!D$2,'HDD-by Country'!$A$4:$A$40,'HDD-by Country'!$C$4:$C$40)/1000/Flat!D$3</f>
        <v>4023.354471493994</v>
      </c>
      <c r="E147" s="349">
        <f>E141*24*LOOKUP(Flat!E$2,'HDD-by Country'!$A$4:$A$40,'HDD-by Country'!$C$4:$C$40)/1000/Flat!E$3</f>
        <v>8766.6688303374103</v>
      </c>
      <c r="F147" s="349">
        <f>F141*24*LOOKUP(Flat!F$2,'HDD-by Country'!$A$4:$A$40,'HDD-by Country'!$C$4:$C$40)/1000/Flat!F$3</f>
        <v>3877.0829515566488</v>
      </c>
      <c r="G147" s="349">
        <f>G141*24*LOOKUP(Flat!G$2,'HDD-by Country'!$A$4:$A$40,'HDD-by Country'!$C$4:$C$40)/1000/Flat!G$3</f>
        <v>3919.7874285792072</v>
      </c>
      <c r="H147" s="349">
        <f>H141*24*LOOKUP(Flat!H$2,'HDD-by Country'!$A$4:$A$40,'HDD-by Country'!$C$4:$C$40)/1000/Flat!H$3</f>
        <v>2325.7220211843041</v>
      </c>
      <c r="I147" s="349">
        <f>I141*24*LOOKUP(Flat!I$2,'HDD-by Country'!$A$4:$A$40,'HDD-by Country'!$C$4:$C$40)/1000/Flat!I$3</f>
        <v>4078.2040637724917</v>
      </c>
      <c r="J147" s="349">
        <f>J141*24*LOOKUP(Flat!J$2,'HDD-by Country'!$A$4:$A$40,'HDD-by Country'!$C$4:$C$40)/1000/Flat!J$3</f>
        <v>2381.4565325388967</v>
      </c>
      <c r="K147" s="349">
        <f>K141*24*LOOKUP(Flat!K$2,'HDD-by Country'!$A$4:$A$40,'HDD-by Country'!$C$4:$C$40)/1000/Flat!K$3</f>
        <v>3209.6708375252415</v>
      </c>
      <c r="L147" s="349">
        <f>L141*24*LOOKUP(Flat!L$2,'HDD-by Country'!$A$4:$A$40,'HDD-by Country'!$C$4:$C$40)/1000/Flat!L$3</f>
        <v>2107.8163447197412</v>
      </c>
      <c r="M147" s="349">
        <f>M141*24*LOOKUP(Flat!M$2,'HDD-by Country'!$A$4:$A$40,'HDD-by Country'!$C$4:$C$40)/1000/Flat!M$3</f>
        <v>7423.0290114200925</v>
      </c>
      <c r="N147" s="349">
        <f>N141*24*LOOKUP(Flat!N$2,'HDD-by Country'!$A$4:$A$40,'HDD-by Country'!$C$4:$C$40)/1000/Flat!N$3</f>
        <v>3452.943850915889</v>
      </c>
      <c r="O147" s="349">
        <f>O141*24*LOOKUP(Flat!O$2,'HDD-by Country'!$A$4:$A$40,'HDD-by Country'!$C$4:$C$40)/1000/Flat!O$3</f>
        <v>2420.9398908034655</v>
      </c>
      <c r="P147" s="349">
        <f>P141*24*LOOKUP(Flat!P$2,'HDD-by Country'!$A$4:$A$40,'HDD-by Country'!$C$4:$C$40)/1000/Flat!P$3</f>
        <v>8955.3985216819674</v>
      </c>
      <c r="Q147" s="349">
        <f>Q141*24*LOOKUP(Flat!Q$2,'HDD-by Country'!$A$4:$A$40,'HDD-by Country'!$C$4:$C$40)/1000/Flat!Q$3</f>
        <v>4333.6058070831587</v>
      </c>
      <c r="R147" s="349">
        <f>R141*24*LOOKUP(Flat!R$2,'HDD-by Country'!$A$4:$A$40,'HDD-by Country'!$C$4:$C$40)/1000/Flat!R$3</f>
        <v>4253.2078297128728</v>
      </c>
      <c r="S147" s="349">
        <f>S141*24*LOOKUP(Flat!S$2,'HDD-by Country'!$A$4:$A$40,'HDD-by Country'!$C$4:$C$40)/1000/Flat!S$3</f>
        <v>3549.6805892106145</v>
      </c>
      <c r="T147" s="349">
        <f>T141*24*LOOKUP(Flat!T$2,'HDD-by Country'!$A$4:$A$40,'HDD-by Country'!$C$4:$C$40)/1000/Flat!T$3</f>
        <v>3605.0552970904369</v>
      </c>
      <c r="U147" s="349">
        <f>U141*24*LOOKUP(Flat!U$2,'HDD-by Country'!$A$4:$A$40,'HDD-by Country'!$C$4:$C$40)/1000/Flat!U$3</f>
        <v>4913.7046362822275</v>
      </c>
      <c r="V147" s="349">
        <f>V141*24*LOOKUP(Flat!V$2,'HDD-by Country'!$A$4:$A$40,'HDD-by Country'!$C$4:$C$40)/1000/Flat!V$3</f>
        <v>4366.1179434906171</v>
      </c>
      <c r="W147" s="349">
        <f>W141*24*LOOKUP(Flat!W$2,'HDD-by Country'!$A$4:$A$40,'HDD-by Country'!$C$4:$C$40)/1000/Flat!W$3</f>
        <v>3862.674086323801</v>
      </c>
      <c r="X147" s="349">
        <f>X141*24*LOOKUP(Flat!X$2,'HDD-by Country'!$A$4:$A$40,'HDD-by Country'!$C$4:$C$40)/1000/Flat!X$3</f>
        <v>4115.2120496521366</v>
      </c>
      <c r="Y147" s="349">
        <f>Y141*24*LOOKUP(Flat!Y$2,'HDD-by Country'!$A$4:$A$40,'HDD-by Country'!$C$4:$C$40)/1000/Flat!Y$3</f>
        <v>2429.0706192340294</v>
      </c>
      <c r="Z147" s="349">
        <f>Z141*24*LOOKUP(Flat!Z$2,'HDD-by Country'!$A$4:$A$40,'HDD-by Country'!$C$4:$C$40)/1000/Flat!Z$3</f>
        <v>4398.6031823670482</v>
      </c>
      <c r="AA147" s="349">
        <f>AA141*24*LOOKUP(Flat!AA$2,'HDD-by Country'!$A$4:$A$40,'HDD-by Country'!$C$4:$C$40)/1000/Flat!AA$3</f>
        <v>4047.6482033458801</v>
      </c>
      <c r="AB147" s="349">
        <f>AB141*24*LOOKUP(Flat!AB$2,'HDD-by Country'!$A$4:$A$40,'HDD-by Country'!$C$4:$C$40)/1000/Flat!AB$3</f>
        <v>4568.3268548012647</v>
      </c>
      <c r="AC147" s="349">
        <f>AC141*24*LOOKUP(Flat!AC$2,'HDD-by Country'!$A$4:$A$40,'HDD-by Country'!$C$4:$C$40)/1000/Flat!AC$3</f>
        <v>4418.8276163151104</v>
      </c>
      <c r="AD147" s="349">
        <f>AD141*24*LOOKUP(Flat!AD$2,'HDD-by Country'!$A$4:$A$40,'HDD-by Country'!$C$4:$C$40)/1000/Flat!AD$3</f>
        <v>4200.0264577473918</v>
      </c>
      <c r="AE147" s="349">
        <f>AE141*24*LOOKUP(Flat!AE$2,'HDD-by Country'!$A$4:$A$40,'HDD-by Country'!$C$4:$C$40)/1000/Flat!AE$3</f>
        <v>3902.8333012778903</v>
      </c>
      <c r="AF147" s="349">
        <f>AF141*24*LOOKUP(Flat!AF$2,'HDD-by Country'!$A$4:$A$40,'HDD-by Country'!$C$4:$C$40)/1000/Flat!AF$3</f>
        <v>3301.6502307578726</v>
      </c>
      <c r="AG147" s="349">
        <f>AG141*24*LOOKUP(Flat!AG$2,'HDD-by Country'!$A$4:$A$40,'HDD-by Country'!$C$4:$C$40)/1000/Flat!AG$3</f>
        <v>7304.1913874986103</v>
      </c>
      <c r="AH147" s="349">
        <f>AH141*24*LOOKUP(Flat!AH$2,'HDD-by Country'!$A$4:$A$40,'HDD-by Country'!$C$4:$C$40)/1000/Flat!AH$3</f>
        <v>2240.648509094417</v>
      </c>
      <c r="AI147" s="349">
        <f>AI141*24*LOOKUP(Flat!AI$2,'HDD-by Country'!$A$4:$A$40,'HDD-by Country'!$C$4:$C$40)/1000/Flat!AI$3</f>
        <v>7246.6526905720148</v>
      </c>
      <c r="AJ147" s="349">
        <f>AJ141*24*LOOKUP(Flat!AJ$2,'HDD-by Country'!$A$4:$A$40,'HDD-by Country'!$C$4:$C$40)/1000/Flat!AJ$3</f>
        <v>6405.0674388513007</v>
      </c>
      <c r="AK147" s="349">
        <f>AK141*24*LOOKUP(Flat!AK$2,'HDD-by Country'!$A$4:$A$40,'HDD-by Country'!$C$4:$C$40)/1000/Flat!AK$3</f>
        <v>6078.864971930072</v>
      </c>
      <c r="AL147" s="349">
        <f>AL141*24*LOOKUP(Flat!AL$2,'HDD-by Country'!$A$4:$A$40,'HDD-by Country'!$C$4:$C$40)/1000/Flat!AL$3</f>
        <v>4840.1158287621975</v>
      </c>
      <c r="AM147" s="349">
        <f>AM141*24*LOOKUP(Flat!AM$2,'HDD-by Country'!$A$4:$A$40,'HDD-by Country'!$C$4:$C$40)/1000/Flat!AM$3</f>
        <v>5889.9439453091873</v>
      </c>
      <c r="AN147" s="354">
        <f>AN141*24*LOOKUP(Flat!AN$2,'HDD-by Country'!$A$4:$A$40,'HDD-by Country'!$C$4:$C$40)/1000/Flat!AN$3</f>
        <v>5889.9439453091873</v>
      </c>
    </row>
    <row r="148" spans="1:40" s="5" customFormat="1">
      <c r="A148" s="130"/>
      <c r="B148" s="142" t="s">
        <v>7</v>
      </c>
      <c r="C148" s="129" t="s">
        <v>261</v>
      </c>
      <c r="D148" s="345">
        <f>D142*24*LOOKUP(Flat!D$2,'HDD-by Country'!$A$4:$A$40,'HDD-by Country'!$C$4:$C$40)/1000/Flat!D$3</f>
        <v>3606.0387415328878</v>
      </c>
      <c r="E148" s="349">
        <f>E142*24*LOOKUP(Flat!E$2,'HDD-by Country'!$A$4:$A$40,'HDD-by Country'!$C$4:$C$40)/1000/Flat!E$3</f>
        <v>4907.4504806527711</v>
      </c>
      <c r="F148" s="349">
        <f>F142*24*LOOKUP(Flat!F$2,'HDD-by Country'!$A$4:$A$40,'HDD-by Country'!$C$4:$C$40)/1000/Flat!F$3</f>
        <v>2455.4949429181424</v>
      </c>
      <c r="G148" s="349">
        <f>G142*24*LOOKUP(Flat!G$2,'HDD-by Country'!$A$4:$A$40,'HDD-by Country'!$C$4:$C$40)/1000/Flat!G$3</f>
        <v>3513.2140173524094</v>
      </c>
      <c r="H148" s="349">
        <f>H142*24*LOOKUP(Flat!H$2,'HDD-by Country'!$A$4:$A$40,'HDD-by Country'!$C$4:$C$40)/1000/Flat!H$3</f>
        <v>2058.7582014027043</v>
      </c>
      <c r="I148" s="349">
        <f>I142*24*LOOKUP(Flat!I$2,'HDD-by Country'!$A$4:$A$40,'HDD-by Country'!$C$4:$C$40)/1000/Flat!I$3</f>
        <v>3173.1218154453277</v>
      </c>
      <c r="J148" s="349">
        <f>J142*24*LOOKUP(Flat!J$2,'HDD-by Country'!$A$4:$A$40,'HDD-by Country'!$C$4:$C$40)/1000/Flat!J$3</f>
        <v>2671.5540808276123</v>
      </c>
      <c r="K148" s="349">
        <f>K142*24*LOOKUP(Flat!K$2,'HDD-by Country'!$A$4:$A$40,'HDD-by Country'!$C$4:$C$40)/1000/Flat!K$3</f>
        <v>2259.9979742014852</v>
      </c>
      <c r="L148" s="349">
        <f>L142*24*LOOKUP(Flat!L$2,'HDD-by Country'!$A$4:$A$40,'HDD-by Country'!$C$4:$C$40)/1000/Flat!L$3</f>
        <v>2107.8163447197412</v>
      </c>
      <c r="M148" s="349">
        <f>M142*24*LOOKUP(Flat!M$2,'HDD-by Country'!$A$4:$A$40,'HDD-by Country'!$C$4:$C$40)/1000/Flat!M$3</f>
        <v>4458.0761535374131</v>
      </c>
      <c r="N148" s="349">
        <f>N142*24*LOOKUP(Flat!N$2,'HDD-by Country'!$A$4:$A$40,'HDD-by Country'!$C$4:$C$40)/1000/Flat!N$3</f>
        <v>3048.5533326983218</v>
      </c>
      <c r="O148" s="349">
        <f>O142*24*LOOKUP(Flat!O$2,'HDD-by Country'!$A$4:$A$40,'HDD-by Country'!$C$4:$C$40)/1000/Flat!O$3</f>
        <v>2328.5359279246236</v>
      </c>
      <c r="P148" s="349">
        <f>P142*24*LOOKUP(Flat!P$2,'HDD-by Country'!$A$4:$A$40,'HDD-by Country'!$C$4:$C$40)/1000/Flat!P$3</f>
        <v>3132.2887607472958</v>
      </c>
      <c r="Q148" s="349">
        <f>Q142*24*LOOKUP(Flat!Q$2,'HDD-by Country'!$A$4:$A$40,'HDD-by Country'!$C$4:$C$40)/1000/Flat!Q$3</f>
        <v>2405.2851426708066</v>
      </c>
      <c r="R148" s="349">
        <f>R142*24*LOOKUP(Flat!R$2,'HDD-by Country'!$A$4:$A$40,'HDD-by Country'!$C$4:$C$40)/1000/Flat!R$3</f>
        <v>2476.72802470024</v>
      </c>
      <c r="S148" s="349">
        <f>S142*24*LOOKUP(Flat!S$2,'HDD-by Country'!$A$4:$A$40,'HDD-by Country'!$C$4:$C$40)/1000/Flat!S$3</f>
        <v>2199.717341854298</v>
      </c>
      <c r="T148" s="349">
        <f>T142*24*LOOKUP(Flat!T$2,'HDD-by Country'!$A$4:$A$40,'HDD-by Country'!$C$4:$C$40)/1000/Flat!T$3</f>
        <v>3213.368044991169</v>
      </c>
      <c r="U148" s="349">
        <f>U142*24*LOOKUP(Flat!U$2,'HDD-by Country'!$A$4:$A$40,'HDD-by Country'!$C$4:$C$40)/1000/Flat!U$3</f>
        <v>4573.1158362822271</v>
      </c>
      <c r="V148" s="349">
        <f>V142*24*LOOKUP(Flat!V$2,'HDD-by Country'!$A$4:$A$40,'HDD-by Country'!$C$4:$C$40)/1000/Flat!V$3</f>
        <v>2368.2020851333505</v>
      </c>
      <c r="W148" s="349">
        <f>W142*24*LOOKUP(Flat!W$2,'HDD-by Country'!$A$4:$A$40,'HDD-by Country'!$C$4:$C$40)/1000/Flat!W$3</f>
        <v>2947.0607072357893</v>
      </c>
      <c r="X148" s="349">
        <f>X142*24*LOOKUP(Flat!X$2,'HDD-by Country'!$A$4:$A$40,'HDD-by Country'!$C$4:$C$40)/1000/Flat!X$3</f>
        <v>2386.9624623704303</v>
      </c>
      <c r="Y148" s="349">
        <f>Y142*24*LOOKUP(Flat!Y$2,'HDD-by Country'!$A$4:$A$40,'HDD-by Country'!$C$4:$C$40)/1000/Flat!Y$3</f>
        <v>2263.6017572486635</v>
      </c>
      <c r="Z148" s="349">
        <f>Z142*24*LOOKUP(Flat!Z$2,'HDD-by Country'!$A$4:$A$40,'HDD-by Country'!$C$4:$C$40)/1000/Flat!Z$3</f>
        <v>3099.4237609400843</v>
      </c>
      <c r="AA148" s="349">
        <f>AA142*24*LOOKUP(Flat!AA$2,'HDD-by Country'!$A$4:$A$40,'HDD-by Country'!$C$4:$C$40)/1000/Flat!AA$3</f>
        <v>3394.5505770802797</v>
      </c>
      <c r="AB148" s="349">
        <f>AB142*24*LOOKUP(Flat!AB$2,'HDD-by Country'!$A$4:$A$40,'HDD-by Country'!$C$4:$C$40)/1000/Flat!AB$3</f>
        <v>3373.6501122638319</v>
      </c>
      <c r="AC148" s="349">
        <f>AC142*24*LOOKUP(Flat!AC$2,'HDD-by Country'!$A$4:$A$40,'HDD-by Country'!$C$4:$C$40)/1000/Flat!AC$3</f>
        <v>2956.131751372508</v>
      </c>
      <c r="AD148" s="349">
        <f>AD142*24*LOOKUP(Flat!AD$2,'HDD-by Country'!$A$4:$A$40,'HDD-by Country'!$C$4:$C$40)/1000/Flat!AD$3</f>
        <v>2997.8579996145745</v>
      </c>
      <c r="AE148" s="349">
        <f>AE142*24*LOOKUP(Flat!AE$2,'HDD-by Country'!$A$4:$A$40,'HDD-by Country'!$C$4:$C$40)/1000/Flat!AE$3</f>
        <v>3273.1019025194901</v>
      </c>
      <c r="AF148" s="349">
        <f>AF142*24*LOOKUP(Flat!AF$2,'HDD-by Country'!$A$4:$A$40,'HDD-by Country'!$C$4:$C$40)/1000/Flat!AF$3</f>
        <v>1834.2797821114884</v>
      </c>
      <c r="AG148" s="349">
        <f>AG142*24*LOOKUP(Flat!AG$2,'HDD-by Country'!$A$4:$A$40,'HDD-by Country'!$C$4:$C$40)/1000/Flat!AG$3</f>
        <v>3873.1310286494713</v>
      </c>
      <c r="AH148" s="349">
        <f>AH142*24*LOOKUP(Flat!AH$2,'HDD-by Country'!$A$4:$A$40,'HDD-by Country'!$C$4:$C$40)/1000/Flat!AH$3</f>
        <v>1837.4624904356538</v>
      </c>
      <c r="AI148" s="349">
        <f>AI142*24*LOOKUP(Flat!AI$2,'HDD-by Country'!$A$4:$A$40,'HDD-by Country'!$C$4:$C$40)/1000/Flat!AI$3</f>
        <v>2657.0253691320004</v>
      </c>
      <c r="AJ148" s="349">
        <f>AJ142*24*LOOKUP(Flat!AJ$2,'HDD-by Country'!$A$4:$A$40,'HDD-by Country'!$C$4:$C$40)/1000/Flat!AJ$3</f>
        <v>5393.1078218790253</v>
      </c>
      <c r="AK148" s="349">
        <f>AK142*24*LOOKUP(Flat!AK$2,'HDD-by Country'!$A$4:$A$40,'HDD-by Country'!$C$4:$C$40)/1000/Flat!AK$3</f>
        <v>5124.9262020784172</v>
      </c>
      <c r="AL148" s="349">
        <f>AL142*24*LOOKUP(Flat!AL$2,'HDD-by Country'!$A$4:$A$40,'HDD-by Country'!$C$4:$C$40)/1000/Flat!AL$3</f>
        <v>2889.3153336496971</v>
      </c>
      <c r="AM148" s="349">
        <f>AM142*24*LOOKUP(Flat!AM$2,'HDD-by Country'!$A$4:$A$40,'HDD-by Country'!$C$4:$C$40)/1000/Flat!AM$3</f>
        <v>4959.3705398319435</v>
      </c>
      <c r="AN148" s="354">
        <f>AN142*24*LOOKUP(Flat!AN$2,'HDD-by Country'!$A$4:$A$40,'HDD-by Country'!$C$4:$C$40)/1000/Flat!AN$3</f>
        <v>4959.3705398319435</v>
      </c>
    </row>
    <row r="149" spans="1:40" s="5" customFormat="1">
      <c r="A149" s="151" t="s">
        <v>260</v>
      </c>
      <c r="B149" s="141" t="s">
        <v>2</v>
      </c>
      <c r="C149" s="360" t="s">
        <v>261</v>
      </c>
      <c r="D149" s="351">
        <f>D143/(1.355*(D137/Flat!D$17)^0.16)</f>
        <v>7196.2412750027388</v>
      </c>
      <c r="E149" s="352">
        <f>E143/(1.355*(E137/Flat!E$17)^0.16)</f>
        <v>6826.2635444115358</v>
      </c>
      <c r="F149" s="352">
        <f>F143/(1.355*(F137/Flat!F$17)^0.16)</f>
        <v>4026.8043792366839</v>
      </c>
      <c r="G149" s="352">
        <f>G143/(1.355*(G137/Flat!G$17)^0.16)</f>
        <v>7010.9994738554942</v>
      </c>
      <c r="H149" s="352">
        <f>H143/(1.355*(H137/Flat!H$17)^0.16)</f>
        <v>2158.6232042246738</v>
      </c>
      <c r="I149" s="352">
        <f>I143/(1.355*(I137/Flat!I$17)^0.16)</f>
        <v>4936.4862798639542</v>
      </c>
      <c r="J149" s="352">
        <f>J143/(1.355*(J137/Flat!J$17)^0.16)</f>
        <v>6809.7459588664951</v>
      </c>
      <c r="K149" s="352">
        <f>K143/(1.355*(K137/Flat!K$17)^0.16)</f>
        <v>4317.2627179408582</v>
      </c>
      <c r="L149" s="352">
        <f>L143/(1.355*(L137/Flat!L$17)^0.16)</f>
        <v>3241.0228330415625</v>
      </c>
      <c r="M149" s="352">
        <f>M143/(1.355*(M137/Flat!M$17)^0.16)</f>
        <v>8072.3885920804642</v>
      </c>
      <c r="N149" s="352">
        <f>N143/(1.355*(N137/Flat!N$17)^0.16)</f>
        <v>4281.4509577918679</v>
      </c>
      <c r="O149" s="352">
        <f>O143/(1.355*(O137/Flat!O$17)^0.16)</f>
        <v>7139.7833865823868</v>
      </c>
      <c r="P149" s="352">
        <f>P143/(1.355*(P137/Flat!P$17)^0.16)</f>
        <v>5947.5822740990634</v>
      </c>
      <c r="Q149" s="352">
        <f>Q143/(1.355*(Q137/Flat!Q$17)^0.16)</f>
        <v>4760.584495418746</v>
      </c>
      <c r="R149" s="352">
        <f>R143/(1.355*(R137/Flat!R$17)^0.16)</f>
        <v>4674.049219233345</v>
      </c>
      <c r="S149" s="352">
        <f>S143/(1.355*(S137/Flat!S$17)^0.16)</f>
        <v>3998.1218171680325</v>
      </c>
      <c r="T149" s="352">
        <f>T143/(1.355*(T137/Flat!T$17)^0.16)</f>
        <v>4796.6265714172087</v>
      </c>
      <c r="U149" s="352">
        <f>U143/(1.355*(U137/Flat!U$17)^0.16)</f>
        <v>5803.6556863345786</v>
      </c>
      <c r="V149" s="352">
        <f>V143/(1.355*(V137/Flat!V$17)^0.16)</f>
        <v>5087.4418217714328</v>
      </c>
      <c r="W149" s="352">
        <f>W143/(1.355*(W137/Flat!W$17)^0.16)</f>
        <v>6545.6374867079448</v>
      </c>
      <c r="X149" s="352">
        <f>X143/(1.355*(X137/Flat!X$17)^0.16)</f>
        <v>5526.9337008899392</v>
      </c>
      <c r="Y149" s="352">
        <f>Y143/(1.355*(Y137/Flat!Y$17)^0.16)</f>
        <v>2161.3957433247283</v>
      </c>
      <c r="Z149" s="352">
        <f>Z143/(1.355*(Z137/Flat!Z$17)^0.16)</f>
        <v>6978.3448500019495</v>
      </c>
      <c r="AA149" s="352">
        <f>AA143/(1.355*(AA137/Flat!AA$17)^0.16)</f>
        <v>5197.0754863204975</v>
      </c>
      <c r="AB149" s="352">
        <f>AB143/(1.355*(AB137/Flat!AB$17)^0.16)</f>
        <v>5945.5505672830195</v>
      </c>
      <c r="AC149" s="352">
        <f>AC143/(1.355*(AC137/Flat!AC$17)^0.16)</f>
        <v>3963.8202145167115</v>
      </c>
      <c r="AD149" s="352">
        <f>AD143/(1.355*(AD137/Flat!AD$17)^0.16)</f>
        <v>3664.6397893330277</v>
      </c>
      <c r="AE149" s="352">
        <f>AE143/(1.355*(AE137/Flat!AE$17)^0.16)</f>
        <v>5011.1369017939751</v>
      </c>
      <c r="AF149" s="352">
        <f>AF143/(1.355*(AF137/Flat!AF$17)^0.16)</f>
        <v>4751.8008456088846</v>
      </c>
      <c r="AG149" s="352">
        <f>AG143/(1.355*(AG137/Flat!AG$17)^0.16)</f>
        <v>6999.0777048390073</v>
      </c>
      <c r="AH149" s="352">
        <f>AH143/(1.355*(AH137/Flat!AH$17)^0.16)</f>
        <v>3952.3244405313744</v>
      </c>
      <c r="AI149" s="352">
        <f>AI143/(1.355*(AI137/Flat!AI$17)^0.16)</f>
        <v>4781.3026827319545</v>
      </c>
      <c r="AJ149" s="352">
        <f>AJ143/(1.355*(AJ137/Flat!AJ$17)^0.16)</f>
        <v>5319.5547976628313</v>
      </c>
      <c r="AK149" s="352">
        <f>AK143/(1.355*(AK137/Flat!AK$17)^0.16)</f>
        <v>5082.6435291918342</v>
      </c>
      <c r="AL149" s="352">
        <f>AL143/(1.355*(AL137/Flat!AL$17)^0.16)</f>
        <v>5155.5816912666987</v>
      </c>
      <c r="AM149" s="352">
        <f>AM143/(1.355*(AM137/Flat!AM$17)^0.16)</f>
        <v>4891.7329710198583</v>
      </c>
      <c r="AN149" s="353">
        <f>AN143/(1.355*(AN137/Flat!AN$17)^0.16)</f>
        <v>4891.7329710198583</v>
      </c>
    </row>
    <row r="150" spans="1:40" s="5" customFormat="1">
      <c r="A150" s="129"/>
      <c r="B150" s="142" t="s">
        <v>3</v>
      </c>
      <c r="C150" s="129" t="s">
        <v>261</v>
      </c>
      <c r="D150" s="345">
        <f>D144/(1.355*(D138/Flat!D$17)^0.16)</f>
        <v>6541.4004615374097</v>
      </c>
      <c r="E150" s="349">
        <f>E144/(1.355*(E138/Flat!E$17)^0.16)</f>
        <v>6826.2635444115358</v>
      </c>
      <c r="F150" s="349">
        <f>F144/(1.355*(F138/Flat!F$17)^0.16)</f>
        <v>4026.8043792366839</v>
      </c>
      <c r="G150" s="349">
        <f>G144/(1.355*(G138/Flat!G$17)^0.16)</f>
        <v>6373.0152230199374</v>
      </c>
      <c r="H150" s="349">
        <f>H144/(1.355*(H138/Flat!H$17)^0.16)</f>
        <v>1947.1319343604116</v>
      </c>
      <c r="I150" s="349">
        <f>I144/(1.355*(I138/Flat!I$17)^0.16)</f>
        <v>4571.8389757209416</v>
      </c>
      <c r="J150" s="349">
        <f>J144/(1.355*(J138/Flat!J$17)^0.16)</f>
        <v>5502.8184579959161</v>
      </c>
      <c r="K150" s="349">
        <f>K144/(1.355*(K138/Flat!K$17)^0.16)</f>
        <v>4266.7761703117021</v>
      </c>
      <c r="L150" s="349">
        <f>L144/(1.355*(L138/Flat!L$17)^0.16)</f>
        <v>3241.0228330415625</v>
      </c>
      <c r="M150" s="349">
        <f>M144/(1.355*(M138/Flat!M$17)^0.16)</f>
        <v>7332.5422289263397</v>
      </c>
      <c r="N150" s="349">
        <f>N144/(1.355*(N138/Flat!N$17)^0.16)</f>
        <v>4022.5440932049169</v>
      </c>
      <c r="O150" s="349">
        <f>O144/(1.355*(O138/Flat!O$17)^0.16)</f>
        <v>7139.7833865823868</v>
      </c>
      <c r="P150" s="349">
        <f>P144/(1.355*(P138/Flat!P$17)^0.16)</f>
        <v>5947.5822740990634</v>
      </c>
      <c r="Q150" s="349">
        <f>Q144/(1.355*(Q138/Flat!Q$17)^0.16)</f>
        <v>5104.4747389964768</v>
      </c>
      <c r="R150" s="349">
        <f>R144/(1.355*(R138/Flat!R$17)^0.16)</f>
        <v>4674.049219233345</v>
      </c>
      <c r="S150" s="349">
        <f>S144/(1.355*(S138/Flat!S$17)^0.16)</f>
        <v>3998.6132340398535</v>
      </c>
      <c r="T150" s="349">
        <f>T144/(1.355*(T138/Flat!T$17)^0.16)</f>
        <v>4511.1373935657157</v>
      </c>
      <c r="U150" s="349">
        <f>U144/(1.355*(U138/Flat!U$17)^0.16)</f>
        <v>5459.6924352781443</v>
      </c>
      <c r="V150" s="349">
        <f>V144/(1.355*(V138/Flat!V$17)^0.16)</f>
        <v>5087.4418217714328</v>
      </c>
      <c r="W150" s="349">
        <f>W144/(1.355*(W138/Flat!W$17)^0.16)</f>
        <v>7665.4871218909957</v>
      </c>
      <c r="X150" s="349">
        <f>X144/(1.355*(X138/Flat!X$17)^0.16)</f>
        <v>5438.0639853817038</v>
      </c>
      <c r="Y150" s="349">
        <f>Y144/(1.355*(Y138/Flat!Y$17)^0.16)</f>
        <v>2161.3698577300543</v>
      </c>
      <c r="Z150" s="349">
        <f>Z144/(1.355*(Z138/Flat!Z$17)^0.16)</f>
        <v>6262.5801393774009</v>
      </c>
      <c r="AA150" s="349">
        <f>AA144/(1.355*(AA138/Flat!AA$17)^0.16)</f>
        <v>5172.0697939128077</v>
      </c>
      <c r="AB150" s="349">
        <f>AB144/(1.355*(AB138/Flat!AB$17)^0.16)</f>
        <v>4633.394478558962</v>
      </c>
      <c r="AC150" s="349">
        <f>AC144/(1.355*(AC138/Flat!AC$17)^0.16)</f>
        <v>3444.2142523619386</v>
      </c>
      <c r="AD150" s="349">
        <f>AD144/(1.355*(AD138/Flat!AD$17)^0.16)</f>
        <v>3360.1431943530147</v>
      </c>
      <c r="AE150" s="349">
        <f>AE144/(1.355*(AE138/Flat!AE$17)^0.16)</f>
        <v>4987.0258515871983</v>
      </c>
      <c r="AF150" s="349">
        <f>AF144/(1.355*(AF138/Flat!AF$17)^0.16)</f>
        <v>4751.8008456088846</v>
      </c>
      <c r="AG150" s="349">
        <f>AG144/(1.355*(AG138/Flat!AG$17)^0.16)</f>
        <v>6121.511374117139</v>
      </c>
      <c r="AH150" s="349">
        <f>AH144/(1.355*(AH138/Flat!AH$17)^0.16)</f>
        <v>4119.5974455157484</v>
      </c>
      <c r="AI150" s="349">
        <f>AI144/(1.355*(AI138/Flat!AI$17)^0.16)</f>
        <v>4781.3026827319545</v>
      </c>
      <c r="AJ150" s="349">
        <f>AJ144/(1.355*(AJ138/Flat!AJ$17)^0.16)</f>
        <v>5319.5547976628313</v>
      </c>
      <c r="AK150" s="349">
        <f>AK144/(1.355*(AK138/Flat!AK$17)^0.16)</f>
        <v>5082.6435291918342</v>
      </c>
      <c r="AL150" s="349">
        <f>AL144/(1.355*(AL138/Flat!AL$17)^0.16)</f>
        <v>5155.5816912666987</v>
      </c>
      <c r="AM150" s="349">
        <f>AM144/(1.355*(AM138/Flat!AM$17)^0.16)</f>
        <v>4891.7329710198583</v>
      </c>
      <c r="AN150" s="354">
        <f>AN144/(1.355*(AN138/Flat!AN$17)^0.16)</f>
        <v>4891.7329710198583</v>
      </c>
    </row>
    <row r="151" spans="1:40" s="5" customFormat="1">
      <c r="A151" s="129"/>
      <c r="B151" s="142" t="s">
        <v>4</v>
      </c>
      <c r="C151" s="129" t="s">
        <v>261</v>
      </c>
      <c r="D151" s="345">
        <f>D145/(1.355*(D139/Flat!D$17)^0.16)</f>
        <v>5426.1810440810823</v>
      </c>
      <c r="E151" s="349">
        <f>E145/(1.355*(E139/Flat!E$17)^0.16)</f>
        <v>6826.2635444115358</v>
      </c>
      <c r="F151" s="349">
        <f>F145/(1.355*(F139/Flat!F$17)^0.16)</f>
        <v>3826.6114630381639</v>
      </c>
      <c r="G151" s="349">
        <f>G145/(1.355*(G139/Flat!G$17)^0.16)</f>
        <v>5286.5031884416139</v>
      </c>
      <c r="H151" s="349">
        <f>H145/(1.355*(H139/Flat!H$17)^0.16)</f>
        <v>1966.4905016896678</v>
      </c>
      <c r="I151" s="349">
        <f>I145/(1.355*(I139/Flat!I$17)^0.16)</f>
        <v>4571.8389757209416</v>
      </c>
      <c r="J151" s="349">
        <f>J145/(1.355*(J139/Flat!J$17)^0.16)</f>
        <v>4039.0625701425633</v>
      </c>
      <c r="K151" s="349">
        <f>K145/(1.355*(K139/Flat!K$17)^0.16)</f>
        <v>3079.3864445600916</v>
      </c>
      <c r="L151" s="349">
        <f>L145/(1.355*(L139/Flat!L$17)^0.16)</f>
        <v>2706.4444735163333</v>
      </c>
      <c r="M151" s="349">
        <f>M145/(1.355*(M139/Flat!M$17)^0.16)</f>
        <v>7332.5422289263397</v>
      </c>
      <c r="N151" s="349">
        <f>N145/(1.355*(N139/Flat!N$17)^0.16)</f>
        <v>3429.2293830218309</v>
      </c>
      <c r="O151" s="349">
        <f>O145/(1.355*(O139/Flat!O$17)^0.16)</f>
        <v>3864.0744899340721</v>
      </c>
      <c r="P151" s="349">
        <f>P145/(1.355*(P139/Flat!P$17)^0.16)</f>
        <v>5947.5822740990634</v>
      </c>
      <c r="Q151" s="349">
        <f>Q145/(1.355*(Q139/Flat!Q$17)^0.16)</f>
        <v>4394.5563719642978</v>
      </c>
      <c r="R151" s="349">
        <f>R145/(1.355*(R139/Flat!R$17)^0.16)</f>
        <v>4127.3884103268392</v>
      </c>
      <c r="S151" s="349">
        <f>S145/(1.355*(S139/Flat!S$17)^0.16)</f>
        <v>3990.04056915093</v>
      </c>
      <c r="T151" s="349">
        <f>T145/(1.355*(T139/Flat!T$17)^0.16)</f>
        <v>3752.4467686520566</v>
      </c>
      <c r="U151" s="349">
        <f>U145/(1.355*(U139/Flat!U$17)^0.16)</f>
        <v>5214.9508839538485</v>
      </c>
      <c r="V151" s="349">
        <f>V145/(1.355*(V139/Flat!V$17)^0.16)</f>
        <v>3405.2898207062753</v>
      </c>
      <c r="W151" s="349">
        <f>W145/(1.355*(W139/Flat!W$17)^0.16)</f>
        <v>4180.0541647290538</v>
      </c>
      <c r="X151" s="349">
        <f>X145/(1.355*(X139/Flat!X$17)^0.16)</f>
        <v>5140.6901453764676</v>
      </c>
      <c r="Y151" s="349">
        <f>Y145/(1.355*(Y139/Flat!Y$17)^0.16)</f>
        <v>1693.0483693705833</v>
      </c>
      <c r="Z151" s="349">
        <f>Z145/(1.355*(Z139/Flat!Z$17)^0.16)</f>
        <v>6146.9050945339923</v>
      </c>
      <c r="AA151" s="349">
        <f>AA145/(1.355*(AA139/Flat!AA$17)^0.16)</f>
        <v>3902.7752758594511</v>
      </c>
      <c r="AB151" s="349">
        <f>AB145/(1.355*(AB139/Flat!AB$17)^0.16)</f>
        <v>3382.3781553571325</v>
      </c>
      <c r="AC151" s="349">
        <f>AC145/(1.355*(AC139/Flat!AC$17)^0.16)</f>
        <v>3443.8301953673777</v>
      </c>
      <c r="AD151" s="349">
        <f>AD145/(1.355*(AD139/Flat!AD$17)^0.16)</f>
        <v>3360.1431943530147</v>
      </c>
      <c r="AE151" s="349">
        <f>AE145/(1.355*(AE139/Flat!AE$17)^0.16)</f>
        <v>3763.143570984565</v>
      </c>
      <c r="AF151" s="349">
        <f>AF145/(1.355*(AF139/Flat!AF$17)^0.16)</f>
        <v>4589.2357412314859</v>
      </c>
      <c r="AG151" s="349">
        <f>AG145/(1.355*(AG139/Flat!AG$17)^0.16)</f>
        <v>6121.511374117139</v>
      </c>
      <c r="AH151" s="349">
        <f>AH145/(1.355*(AH139/Flat!AH$17)^0.16)</f>
        <v>3601.4390020176857</v>
      </c>
      <c r="AI151" s="349">
        <f>AI145/(1.355*(AI139/Flat!AI$17)^0.16)</f>
        <v>4781.3026827319545</v>
      </c>
      <c r="AJ151" s="349">
        <f>AJ145/(1.355*(AJ139/Flat!AJ$17)^0.16)</f>
        <v>5319.5547976628313</v>
      </c>
      <c r="AK151" s="349">
        <f>AK145/(1.355*(AK139/Flat!AK$17)^0.16)</f>
        <v>5082.6435291918342</v>
      </c>
      <c r="AL151" s="349">
        <f>AL145/(1.355*(AL139/Flat!AL$17)^0.16)</f>
        <v>4884.2800382843707</v>
      </c>
      <c r="AM151" s="349">
        <f>AM145/(1.355*(AM139/Flat!AM$17)^0.16)</f>
        <v>4891.7329710198583</v>
      </c>
      <c r="AN151" s="354">
        <f>AN145/(1.355*(AN139/Flat!AN$17)^0.16)</f>
        <v>4891.7329710198583</v>
      </c>
    </row>
    <row r="152" spans="1:40" s="5" customFormat="1">
      <c r="A152" s="129"/>
      <c r="B152" s="142" t="s">
        <v>5</v>
      </c>
      <c r="C152" s="129" t="s">
        <v>261</v>
      </c>
      <c r="D152" s="345">
        <f>D146/(1.355*(D140/Flat!D$17)^0.16)</f>
        <v>3851.866625820458</v>
      </c>
      <c r="E152" s="349">
        <f>E146/(1.355*(E140/Flat!E$17)^0.16)</f>
        <v>6003.9546567944153</v>
      </c>
      <c r="F152" s="349">
        <f>F146/(1.355*(F140/Flat!F$17)^0.16)</f>
        <v>3301.7992605369054</v>
      </c>
      <c r="G152" s="349">
        <f>G146/(1.355*(G140/Flat!G$17)^0.16)</f>
        <v>3752.7139314792485</v>
      </c>
      <c r="H152" s="349">
        <f>H146/(1.355*(H140/Flat!H$17)^0.16)</f>
        <v>1920.7525369088958</v>
      </c>
      <c r="I152" s="349">
        <f>I146/(1.355*(I140/Flat!I$17)^0.16)</f>
        <v>4191.6357884100371</v>
      </c>
      <c r="J152" s="349">
        <f>J146/(1.355*(J140/Flat!J$17)^0.16)</f>
        <v>3537.8088600082651</v>
      </c>
      <c r="K152" s="349">
        <f>K146/(1.355*(K140/Flat!K$17)^0.16)</f>
        <v>2617.0823327656926</v>
      </c>
      <c r="L152" s="349">
        <f>L146/(1.355*(L140/Flat!L$17)^0.16)</f>
        <v>2056.084032699614</v>
      </c>
      <c r="M152" s="349">
        <f>M146/(1.355*(M140/Flat!M$17)^0.16)</f>
        <v>5147.1952386215235</v>
      </c>
      <c r="N152" s="349">
        <f>N146/(1.355*(N140/Flat!N$17)^0.16)</f>
        <v>2844.4495715867006</v>
      </c>
      <c r="O152" s="349">
        <f>O146/(1.355*(O140/Flat!O$17)^0.16)</f>
        <v>3360.5939693096989</v>
      </c>
      <c r="P152" s="349">
        <f>P146/(1.355*(P140/Flat!P$17)^0.16)</f>
        <v>5820.5888036834676</v>
      </c>
      <c r="Q152" s="349">
        <f>Q146/(1.355*(Q140/Flat!Q$17)^0.16)</f>
        <v>4394.5563719642978</v>
      </c>
      <c r="R152" s="349">
        <f>R146/(1.355*(R140/Flat!R$17)^0.16)</f>
        <v>3122.5691582463796</v>
      </c>
      <c r="S152" s="349">
        <f>S146/(1.355*(S140/Flat!S$17)^0.16)</f>
        <v>2957.350786385286</v>
      </c>
      <c r="T152" s="349">
        <f>T146/(1.355*(T140/Flat!T$17)^0.16)</f>
        <v>3047.0634863889327</v>
      </c>
      <c r="U152" s="349">
        <f>U146/(1.355*(U140/Flat!U$17)^0.16)</f>
        <v>3840.1252408185492</v>
      </c>
      <c r="V152" s="349">
        <f>V146/(1.355*(V140/Flat!V$17)^0.16)</f>
        <v>3405.2898207062753</v>
      </c>
      <c r="W152" s="349">
        <f>W146/(1.355*(W140/Flat!W$17)^0.16)</f>
        <v>3625.4826913647053</v>
      </c>
      <c r="X152" s="349">
        <f>X146/(1.355*(X140/Flat!X$17)^0.16)</f>
        <v>3264.4002466736297</v>
      </c>
      <c r="Y152" s="349">
        <f>Y146/(1.355*(Y140/Flat!Y$17)^0.16)</f>
        <v>1598.8106473448395</v>
      </c>
      <c r="Z152" s="349">
        <f>Z146/(1.355*(Z140/Flat!Z$17)^0.16)</f>
        <v>3759.6836651954136</v>
      </c>
      <c r="AA152" s="349">
        <f>AA146/(1.355*(AA140/Flat!AA$17)^0.16)</f>
        <v>3841.0562819164484</v>
      </c>
      <c r="AB152" s="349">
        <f>AB146/(1.355*(AB140/Flat!AB$17)^0.16)</f>
        <v>3382.3781553571325</v>
      </c>
      <c r="AC152" s="349">
        <f>AC146/(1.355*(AC140/Flat!AC$17)^0.16)</f>
        <v>3337.9441724478256</v>
      </c>
      <c r="AD152" s="349">
        <f>AD146/(1.355*(AD140/Flat!AD$17)^0.16)</f>
        <v>2892.1168378754278</v>
      </c>
      <c r="AE152" s="349">
        <f>AE146/(1.355*(AE140/Flat!AE$17)^0.16)</f>
        <v>3703.6327309162498</v>
      </c>
      <c r="AF152" s="349">
        <f>AF146/(1.355*(AF140/Flat!AF$17)^0.16)</f>
        <v>3351.1175079752666</v>
      </c>
      <c r="AG152" s="349">
        <f>AG146/(1.355*(AG140/Flat!AG$17)^0.16)</f>
        <v>5325.6065287286183</v>
      </c>
      <c r="AH152" s="349">
        <f>AH146/(1.355*(AH140/Flat!AH$17)^0.16)</f>
        <v>2369.4071244227503</v>
      </c>
      <c r="AI152" s="349">
        <f>AI146/(1.355*(AI140/Flat!AI$17)^0.16)</f>
        <v>4686.5179239533481</v>
      </c>
      <c r="AJ152" s="349">
        <f>AJ146/(1.355*(AJ140/Flat!AJ$17)^0.16)</f>
        <v>4751.9372493149604</v>
      </c>
      <c r="AK152" s="349">
        <f>AK146/(1.355*(AK140/Flat!AK$17)^0.16)</f>
        <v>4534.3879364998866</v>
      </c>
      <c r="AL152" s="349">
        <f>AL146/(1.355*(AL140/Flat!AL$17)^0.16)</f>
        <v>4184.1691675079082</v>
      </c>
      <c r="AM152" s="349">
        <f>AM146/(1.355*(AM140/Flat!AM$17)^0.16)</f>
        <v>4369.7657046233062</v>
      </c>
      <c r="AN152" s="354">
        <f>AN146/(1.355*(AN140/Flat!AN$17)^0.16)</f>
        <v>4369.7657046233062</v>
      </c>
    </row>
    <row r="153" spans="1:40" s="5" customFormat="1">
      <c r="A153" s="129"/>
      <c r="B153" s="142" t="s">
        <v>6</v>
      </c>
      <c r="C153" s="129" t="s">
        <v>261</v>
      </c>
      <c r="D153" s="345">
        <f>D147/(1.355*(D141/Flat!D$17)^0.16)</f>
        <v>3224.111988178151</v>
      </c>
      <c r="E153" s="349">
        <f>E147/(1.355*(E141/Flat!E$17)^0.16)</f>
        <v>6003.9546567944153</v>
      </c>
      <c r="F153" s="349">
        <f>F147/(1.355*(F141/Flat!F$17)^0.16)</f>
        <v>2834.2253729763665</v>
      </c>
      <c r="G153" s="349">
        <f>G147/(1.355*(G141/Flat!G$17)^0.16)</f>
        <v>3141.1186185887859</v>
      </c>
      <c r="H153" s="349">
        <f>H147/(1.355*(H141/Flat!H$17)^0.16)</f>
        <v>1598.8720231163607</v>
      </c>
      <c r="I153" s="349">
        <f>I147/(1.355*(I141/Flat!I$17)^0.16)</f>
        <v>3204.1487520367582</v>
      </c>
      <c r="J153" s="349">
        <f>J147/(1.355*(J141/Flat!J$17)^0.16)</f>
        <v>2013.7392076635285</v>
      </c>
      <c r="K153" s="349">
        <f>K147/(1.355*(K141/Flat!K$17)^0.16)</f>
        <v>2617.0823327656926</v>
      </c>
      <c r="L153" s="349">
        <f>L147/(1.355*(L141/Flat!L$17)^0.16)</f>
        <v>1856.2035588368253</v>
      </c>
      <c r="M153" s="349">
        <f>M147/(1.355*(M141/Flat!M$17)^0.16)</f>
        <v>5147.1952386215235</v>
      </c>
      <c r="N153" s="349">
        <f>N147/(1.355*(N141/Flat!N$17)^0.16)</f>
        <v>2820.9041312579093</v>
      </c>
      <c r="O153" s="349">
        <f>O147/(1.355*(O141/Flat!O$17)^0.16)</f>
        <v>1967.4373787035051</v>
      </c>
      <c r="P153" s="349">
        <f>P147/(1.355*(P141/Flat!P$17)^0.16)</f>
        <v>5820.5888036834676</v>
      </c>
      <c r="Q153" s="349">
        <f>Q147/(1.355*(Q141/Flat!Q$17)^0.16)</f>
        <v>3218.7170050556992</v>
      </c>
      <c r="R153" s="349">
        <f>R147/(1.355*(R141/Flat!R$17)^0.16)</f>
        <v>3122.5691582463796</v>
      </c>
      <c r="S153" s="349">
        <f>S147/(1.355*(S141/Flat!S$17)^0.16)</f>
        <v>2586.7442251559401</v>
      </c>
      <c r="T153" s="349">
        <f>T147/(1.355*(T141/Flat!T$17)^0.16)</f>
        <v>3018.1608481423041</v>
      </c>
      <c r="U153" s="349">
        <f>U147/(1.355*(U141/Flat!U$17)^0.16)</f>
        <v>3558.8104602909971</v>
      </c>
      <c r="V153" s="349">
        <f>V147/(1.355*(V141/Flat!V$17)^0.16)</f>
        <v>3405.2898207062753</v>
      </c>
      <c r="W153" s="349">
        <f>W147/(1.355*(W141/Flat!W$17)^0.16)</f>
        <v>3123.9110171575958</v>
      </c>
      <c r="X153" s="349">
        <f>X147/(1.355*(X141/Flat!X$17)^0.16)</f>
        <v>3260.9945465487854</v>
      </c>
      <c r="Y153" s="349">
        <f>Y147/(1.355*(Y141/Flat!Y$17)^0.16)</f>
        <v>1598.5386516764129</v>
      </c>
      <c r="Z153" s="349">
        <f>Z147/(1.355*(Z141/Flat!Z$17)^0.16)</f>
        <v>3382.1652916287303</v>
      </c>
      <c r="AA153" s="349">
        <f>AA147/(1.355*(AA141/Flat!AA$17)^0.16)</f>
        <v>3460.2884918172008</v>
      </c>
      <c r="AB153" s="349">
        <f>AB147/(1.355*(AB141/Flat!AB$17)^0.16)</f>
        <v>3382.3781553571325</v>
      </c>
      <c r="AC153" s="349">
        <f>AC147/(1.355*(AC141/Flat!AC$17)^0.16)</f>
        <v>3059.6894272968234</v>
      </c>
      <c r="AD153" s="349">
        <f>AD147/(1.355*(AD141/Flat!AD$17)^0.16)</f>
        <v>2892.1168378754278</v>
      </c>
      <c r="AE153" s="349">
        <f>AE147/(1.355*(AE141/Flat!AE$17)^0.16)</f>
        <v>3336.4878762757417</v>
      </c>
      <c r="AF153" s="349">
        <f>AF147/(1.355*(AF141/Flat!AF$17)^0.16)</f>
        <v>2569.3295323781422</v>
      </c>
      <c r="AG153" s="349">
        <f>AG147/(1.355*(AG141/Flat!AG$17)^0.16)</f>
        <v>5202.2347941629259</v>
      </c>
      <c r="AH153" s="349">
        <f>AH147/(1.355*(AH141/Flat!AH$17)^0.16)</f>
        <v>1703.0250353361862</v>
      </c>
      <c r="AI153" s="349">
        <f>AI147/(1.355*(AI141/Flat!AI$17)^0.16)</f>
        <v>4686.5179239533481</v>
      </c>
      <c r="AJ153" s="349">
        <f>AJ147/(1.355*(AJ141/Flat!AJ$17)^0.16)</f>
        <v>4554.661062553274</v>
      </c>
      <c r="AK153" s="349">
        <f>AK147/(1.355*(AK141/Flat!AK$17)^0.16)</f>
        <v>4341.7512876264527</v>
      </c>
      <c r="AL153" s="349">
        <f>AL147/(1.355*(AL141/Flat!AL$17)^0.16)</f>
        <v>3551.6403179806757</v>
      </c>
      <c r="AM153" s="349">
        <f>AM147/(1.355*(AM141/Flat!AM$17)^0.16)</f>
        <v>4188.3553302808514</v>
      </c>
      <c r="AN153" s="354">
        <f>AN147/(1.355*(AN141/Flat!AN$17)^0.16)</f>
        <v>4188.3553302808514</v>
      </c>
    </row>
    <row r="154" spans="1:40" s="5" customFormat="1">
      <c r="A154" s="129"/>
      <c r="B154" s="142" t="s">
        <v>7</v>
      </c>
      <c r="C154" s="129" t="s">
        <v>261</v>
      </c>
      <c r="D154" s="345">
        <f>D148/(1.355*(D142/Flat!D$17)^0.16)</f>
        <v>2940.7728147762537</v>
      </c>
      <c r="E154" s="349">
        <f>E148/(1.355*(E142/Flat!E$17)^0.16)</f>
        <v>3687.8675650180667</v>
      </c>
      <c r="F154" s="349">
        <f>F148/(1.355*(F142/Flat!F$17)^0.16)</f>
        <v>1931.1095009379869</v>
      </c>
      <c r="G154" s="349">
        <f>G148/(1.355*(G142/Flat!G$17)^0.16)</f>
        <v>2865.0730109263882</v>
      </c>
      <c r="H154" s="349">
        <f>H148/(1.355*(H142/Flat!H$17)^0.16)</f>
        <v>1443.223642086836</v>
      </c>
      <c r="I154" s="349">
        <f>I148/(1.355*(I142/Flat!I$17)^0.16)</f>
        <v>2595.1807735186435</v>
      </c>
      <c r="J154" s="349">
        <f>J148/(1.355*(J142/Flat!J$17)^0.16)</f>
        <v>2217.8753151235801</v>
      </c>
      <c r="K154" s="349">
        <f>K148/(1.355*(K142/Flat!K$17)^0.16)</f>
        <v>1949.1323545936893</v>
      </c>
      <c r="L154" s="349">
        <f>L148/(1.355*(L142/Flat!L$17)^0.16)</f>
        <v>1856.2035588368253</v>
      </c>
      <c r="M154" s="349">
        <f>M148/(1.355*(M142/Flat!M$17)^0.16)</f>
        <v>3354.0254587923591</v>
      </c>
      <c r="N154" s="349">
        <f>N148/(1.355*(N142/Flat!N$17)^0.16)</f>
        <v>2540.6680303698445</v>
      </c>
      <c r="O154" s="349">
        <f>O148/(1.355*(O142/Flat!O$17)^0.16)</f>
        <v>1904.1625742308186</v>
      </c>
      <c r="P154" s="349">
        <f>P148/(1.355*(P142/Flat!P$17)^0.16)</f>
        <v>2408.4603148891129</v>
      </c>
      <c r="Q154" s="349">
        <f>Q148/(1.355*(Q142/Flat!Q$17)^0.16)</f>
        <v>1962.9498865210226</v>
      </c>
      <c r="R154" s="349">
        <f>R148/(1.355*(R142/Flat!R$17)^0.16)</f>
        <v>1982.6584499247176</v>
      </c>
      <c r="S154" s="349">
        <f>S148/(1.355*(S142/Flat!S$17)^0.16)</f>
        <v>1730.5441145570221</v>
      </c>
      <c r="T154" s="349">
        <f>T148/(1.355*(T142/Flat!T$17)^0.16)</f>
        <v>2740.2056321957739</v>
      </c>
      <c r="U154" s="349">
        <f>U148/(1.355*(U142/Flat!U$17)^0.16)</f>
        <v>3350.4219740875715</v>
      </c>
      <c r="V154" s="349">
        <f>V148/(1.355*(V142/Flat!V$17)^0.16)</f>
        <v>2036.9747646614967</v>
      </c>
      <c r="W154" s="349">
        <f>W148/(1.355*(W142/Flat!W$17)^0.16)</f>
        <v>2488.8545000475406</v>
      </c>
      <c r="X154" s="349">
        <f>X148/(1.355*(X142/Flat!X$17)^0.16)</f>
        <v>2063.7206220522694</v>
      </c>
      <c r="Y154" s="349">
        <f>Y148/(1.355*(Y142/Flat!Y$17)^0.16)</f>
        <v>1506.5565642356803</v>
      </c>
      <c r="Z154" s="349">
        <f>Z148/(1.355*(Z142/Flat!Z$17)^0.16)</f>
        <v>2520.498333338011</v>
      </c>
      <c r="AA154" s="349">
        <f>AA148/(1.355*(AA142/Flat!AA$17)^0.16)</f>
        <v>2984.8266181426934</v>
      </c>
      <c r="AB154" s="349">
        <f>AB148/(1.355*(AB142/Flat!AB$17)^0.16)</f>
        <v>2621.9848105281212</v>
      </c>
      <c r="AC154" s="349">
        <f>AC148/(1.355*(AC142/Flat!AC$17)^0.16)</f>
        <v>2182.8676071193413</v>
      </c>
      <c r="AD154" s="349">
        <f>AD148/(1.355*(AD142/Flat!AD$17)^0.16)</f>
        <v>2178.7400679321345</v>
      </c>
      <c r="AE154" s="349">
        <f>AE148/(1.355*(AE142/Flat!AE$17)^0.16)</f>
        <v>2878.0368595764826</v>
      </c>
      <c r="AF154" s="349">
        <f>AF148/(1.355*(AF142/Flat!AF$17)^0.16)</f>
        <v>1568.1832190617693</v>
      </c>
      <c r="AG154" s="349">
        <f>AG148/(1.355*(AG142/Flat!AG$17)^0.16)</f>
        <v>3053.2445282108465</v>
      </c>
      <c r="AH154" s="349">
        <f>AH148/(1.355*(AH142/Flat!AH$17)^0.16)</f>
        <v>1441.6194094699499</v>
      </c>
      <c r="AI154" s="349">
        <f>AI148/(1.355*(AI142/Flat!AI$17)^0.16)</f>
        <v>2017.5635137916438</v>
      </c>
      <c r="AJ154" s="349">
        <f>AJ148/(1.355*(AJ142/Flat!AJ$17)^0.16)</f>
        <v>3942.0397307605076</v>
      </c>
      <c r="AK154" s="349">
        <f>AK148/(1.355*(AK142/Flat!AK$17)^0.16)</f>
        <v>3761.7648323718035</v>
      </c>
      <c r="AL154" s="349">
        <f>AL148/(1.355*(AL142/Flat!AL$17)^0.16)</f>
        <v>2302.5967903417145</v>
      </c>
      <c r="AM154" s="349">
        <f>AM148/(1.355*(AM142/Flat!AM$17)^0.16)</f>
        <v>3625.0036812298022</v>
      </c>
      <c r="AN154" s="354">
        <f>AN148/(1.355*(AN142/Flat!AN$17)^0.16)</f>
        <v>3625.0036812298022</v>
      </c>
    </row>
    <row r="155" spans="1:40" s="5" customFormat="1">
      <c r="A155" s="334" t="s">
        <v>262</v>
      </c>
      <c r="B155" s="359" t="s">
        <v>2</v>
      </c>
      <c r="C155" s="366" t="s">
        <v>190</v>
      </c>
      <c r="D155" s="375">
        <f>D149/Flat!D$4</f>
        <v>100.55298479770802</v>
      </c>
      <c r="E155" s="376">
        <f>E149/Flat!E$4</f>
        <v>93.205997652374606</v>
      </c>
      <c r="F155" s="376">
        <f>F149/Flat!F$4</f>
        <v>62.450177655684541</v>
      </c>
      <c r="G155" s="376">
        <f>G149/Flat!G$4</f>
        <v>97.964603543821866</v>
      </c>
      <c r="H155" s="376">
        <f>H149/Flat!H$4</f>
        <v>29.570180879790051</v>
      </c>
      <c r="I155" s="376">
        <f>I149/Flat!I$4</f>
        <v>80.942581894091106</v>
      </c>
      <c r="J155" s="376">
        <f>J149/Flat!J$4</f>
        <v>108.5938642858149</v>
      </c>
      <c r="K155" s="376">
        <f>K149/Flat!K$4</f>
        <v>55.067126504347677</v>
      </c>
      <c r="L155" s="376">
        <f>L149/Flat!L$4</f>
        <v>67.80519950376322</v>
      </c>
      <c r="M155" s="376">
        <f>M149/Flat!M$4</f>
        <v>93.463294690002414</v>
      </c>
      <c r="N155" s="376">
        <f>N149/Flat!N$4</f>
        <v>76.454481389140497</v>
      </c>
      <c r="O155" s="376">
        <f>O149/Flat!O$4</f>
        <v>108.30309620767004</v>
      </c>
      <c r="P155" s="376">
        <f>P149/Flat!P$4</f>
        <v>81.47372978217895</v>
      </c>
      <c r="Q155" s="376">
        <f>Q149/Flat!Q$4</f>
        <v>74.837455953012281</v>
      </c>
      <c r="R155" s="376">
        <f>R149/Flat!R$4</f>
        <v>100.0127853944301</v>
      </c>
      <c r="S155" s="376">
        <f>S149/Flat!S$4</f>
        <v>60.081461505216744</v>
      </c>
      <c r="T155" s="376">
        <f>T149/Flat!T$4</f>
        <v>85.654045918164442</v>
      </c>
      <c r="U155" s="376">
        <f>U149/Flat!U$4</f>
        <v>63.91691284509448</v>
      </c>
      <c r="V155" s="376">
        <f>V149/Flat!V$4</f>
        <v>98.666965863330262</v>
      </c>
      <c r="W155" s="376">
        <f>W149/Flat!W$4</f>
        <v>76.289387835923336</v>
      </c>
      <c r="X155" s="376">
        <f>X149/Flat!X$4</f>
        <v>107.31910098815416</v>
      </c>
      <c r="Y155" s="376">
        <f>Y149/Flat!Y$4</f>
        <v>25.418779669018569</v>
      </c>
      <c r="Z155" s="376">
        <f>Z149/Flat!Z$4</f>
        <v>92.062596965724936</v>
      </c>
      <c r="AA155" s="376">
        <f>AA149/Flat!AA$4</f>
        <v>77.800531232342777</v>
      </c>
      <c r="AB155" s="376">
        <f>AB149/Flat!AB$4</f>
        <v>113.29231306680607</v>
      </c>
      <c r="AC155" s="376">
        <f>AC149/Flat!AC$4</f>
        <v>41.007795253861886</v>
      </c>
      <c r="AD155" s="376">
        <f>AD149/Flat!AD$4</f>
        <v>76.425724689963175</v>
      </c>
      <c r="AE155" s="376">
        <f>AE149/Flat!AE$4</f>
        <v>75.017019487933766</v>
      </c>
      <c r="AF155" s="376">
        <f>AF149/Flat!AF$4</f>
        <v>92.159049167514738</v>
      </c>
      <c r="AG155" s="376">
        <f>AG149/Flat!AG$4</f>
        <v>114.2652630851172</v>
      </c>
      <c r="AH155" s="376">
        <f>AH149/Flat!AH$4</f>
        <v>81.642727546609677</v>
      </c>
      <c r="AI155" s="376">
        <f>AI149/Flat!AI$4</f>
        <v>65.497297023725409</v>
      </c>
      <c r="AJ155" s="376">
        <f>AJ149/Flat!AJ$4</f>
        <v>83.624594467934088</v>
      </c>
      <c r="AK155" s="376">
        <f>AK149/Flat!AK$4</f>
        <v>69.62525382454568</v>
      </c>
      <c r="AL155" s="376">
        <f>AL149/Flat!AL$4</f>
        <v>81.046900460148237</v>
      </c>
      <c r="AM155" s="376">
        <f>AM149/Flat!AM$4</f>
        <v>76.899139402922273</v>
      </c>
      <c r="AN155" s="377">
        <f>AN149/Flat!AN$4</f>
        <v>76.899139402922273</v>
      </c>
    </row>
    <row r="156" spans="1:40" s="5" customFormat="1">
      <c r="A156" s="154"/>
      <c r="B156" s="347" t="s">
        <v>3</v>
      </c>
      <c r="C156" s="367" t="s">
        <v>190</v>
      </c>
      <c r="D156" s="369">
        <f>D150/Flat!D$4</f>
        <v>91.402902713881147</v>
      </c>
      <c r="E156" s="370">
        <f>E150/Flat!E$4</f>
        <v>93.205997652374606</v>
      </c>
      <c r="F156" s="370">
        <f>F150/Flat!F$4</f>
        <v>62.450177655684541</v>
      </c>
      <c r="G156" s="370">
        <f>G150/Flat!G$4</f>
        <v>89.050057988174061</v>
      </c>
      <c r="H156" s="370">
        <f>H150/Flat!H$4</f>
        <v>26.673040196717967</v>
      </c>
      <c r="I156" s="370">
        <f>I150/Flat!I$4</f>
        <v>74.963532707131989</v>
      </c>
      <c r="J156" s="370">
        <f>J150/Flat!J$4</f>
        <v>87.752513005133252</v>
      </c>
      <c r="K156" s="370">
        <f>K150/Flat!K$4</f>
        <v>54.42316543764926</v>
      </c>
      <c r="L156" s="370">
        <f>L150/Flat!L$4</f>
        <v>67.80519950376322</v>
      </c>
      <c r="M156" s="370">
        <f>M150/Flat!M$4</f>
        <v>84.897245387985464</v>
      </c>
      <c r="N156" s="370">
        <f>N150/Flat!N$4</f>
        <v>71.831144521516379</v>
      </c>
      <c r="O156" s="370">
        <f>O150/Flat!O$4</f>
        <v>108.30309620767004</v>
      </c>
      <c r="P156" s="370">
        <f>P150/Flat!P$4</f>
        <v>81.47372978217895</v>
      </c>
      <c r="Q156" s="370">
        <f>Q150/Flat!Q$4</f>
        <v>80.243487708395577</v>
      </c>
      <c r="R156" s="370">
        <f>R150/Flat!R$4</f>
        <v>100.0127853944301</v>
      </c>
      <c r="S156" s="370">
        <f>S150/Flat!S$4</f>
        <v>60.088846233651118</v>
      </c>
      <c r="T156" s="370">
        <f>T150/Flat!T$4</f>
        <v>80.556024885102062</v>
      </c>
      <c r="U156" s="370">
        <f>U150/Flat!U$4</f>
        <v>60.128771313635951</v>
      </c>
      <c r="V156" s="370">
        <f>V150/Flat!V$4</f>
        <v>98.666965863330262</v>
      </c>
      <c r="W156" s="370">
        <f>W150/Flat!W$4</f>
        <v>89.341232413305264</v>
      </c>
      <c r="X156" s="370">
        <f>X150/Flat!X$4</f>
        <v>105.59347544430493</v>
      </c>
      <c r="Y156" s="370">
        <f>Y150/Flat!Y$4</f>
        <v>25.418475245254594</v>
      </c>
      <c r="Z156" s="370">
        <f>Z150/Flat!Z$4</f>
        <v>82.619790756957798</v>
      </c>
      <c r="AA156" s="370">
        <f>AA150/Flat!AA$4</f>
        <v>77.42619451965281</v>
      </c>
      <c r="AB156" s="370">
        <f>AB150/Flat!AB$4</f>
        <v>88.289212560981156</v>
      </c>
      <c r="AC156" s="370">
        <f>AC150/Flat!AC$4</f>
        <v>35.632199551843705</v>
      </c>
      <c r="AD156" s="370">
        <f>AD150/Flat!AD$4</f>
        <v>70.075476295915934</v>
      </c>
      <c r="AE156" s="370">
        <f>AE150/Flat!AE$4</f>
        <v>74.656075622562852</v>
      </c>
      <c r="AF156" s="370">
        <f>AF150/Flat!AF$4</f>
        <v>92.159049167514738</v>
      </c>
      <c r="AG156" s="370">
        <f>AG150/Flat!AG$4</f>
        <v>99.938325753753219</v>
      </c>
      <c r="AH156" s="370">
        <f>AH150/Flat!AH$4</f>
        <v>85.098067455396588</v>
      </c>
      <c r="AI156" s="370">
        <f>AI150/Flat!AI$4</f>
        <v>65.497297023725409</v>
      </c>
      <c r="AJ156" s="370">
        <f>AJ150/Flat!AJ$4</f>
        <v>83.624594467934088</v>
      </c>
      <c r="AK156" s="370">
        <f>AK150/Flat!AK$4</f>
        <v>69.62525382454568</v>
      </c>
      <c r="AL156" s="370">
        <f>AL150/Flat!AL$4</f>
        <v>81.046900460148237</v>
      </c>
      <c r="AM156" s="370">
        <f>AM150/Flat!AM$4</f>
        <v>76.899139402922273</v>
      </c>
      <c r="AN156" s="371">
        <f>AN150/Flat!AN$4</f>
        <v>76.899139402922273</v>
      </c>
    </row>
    <row r="157" spans="1:40" s="5" customFormat="1">
      <c r="A157" s="154"/>
      <c r="B157" s="347" t="s">
        <v>4</v>
      </c>
      <c r="C157" s="367" t="s">
        <v>190</v>
      </c>
      <c r="D157" s="369">
        <f>D151/Flat!D$4</f>
        <v>75.81995644453832</v>
      </c>
      <c r="E157" s="370">
        <f>E151/Flat!E$4</f>
        <v>93.205997652374606</v>
      </c>
      <c r="F157" s="370">
        <f>F151/Flat!F$4</f>
        <v>59.345461855117883</v>
      </c>
      <c r="G157" s="370">
        <f>G151/Flat!G$4</f>
        <v>73.868239602653162</v>
      </c>
      <c r="H157" s="370">
        <f>H151/Flat!H$4</f>
        <v>26.938226050543395</v>
      </c>
      <c r="I157" s="370">
        <f>I151/Flat!I$4</f>
        <v>74.963532707131989</v>
      </c>
      <c r="J157" s="370">
        <f>J151/Flat!J$4</f>
        <v>64.410246025827604</v>
      </c>
      <c r="K157" s="370">
        <f>K151/Flat!K$4</f>
        <v>39.277888323470556</v>
      </c>
      <c r="L157" s="370">
        <f>L151/Flat!L$4</f>
        <v>56.621325095823245</v>
      </c>
      <c r="M157" s="370">
        <f>M151/Flat!M$4</f>
        <v>84.897245387985464</v>
      </c>
      <c r="N157" s="370">
        <f>N151/Flat!N$4</f>
        <v>61.236238982532697</v>
      </c>
      <c r="O157" s="370">
        <f>O151/Flat!O$4</f>
        <v>58.613995492271272</v>
      </c>
      <c r="P157" s="370">
        <f>P151/Flat!P$4</f>
        <v>81.47372978217895</v>
      </c>
      <c r="Q157" s="370">
        <f>Q151/Flat!Q$4</f>
        <v>69.083411760971003</v>
      </c>
      <c r="R157" s="370">
        <f>R151/Flat!R$4</f>
        <v>88.315632112488501</v>
      </c>
      <c r="S157" s="370">
        <f>S151/Flat!S$4</f>
        <v>59.960021185522443</v>
      </c>
      <c r="T157" s="370">
        <f>T151/Flat!T$4</f>
        <v>67.007978011643871</v>
      </c>
      <c r="U157" s="370">
        <f>U151/Flat!U$4</f>
        <v>57.433379779227408</v>
      </c>
      <c r="V157" s="370">
        <f>V151/Flat!V$4</f>
        <v>66.042939902825552</v>
      </c>
      <c r="W157" s="370">
        <f>W151/Flat!W$4</f>
        <v>48.718520387930219</v>
      </c>
      <c r="X157" s="370">
        <f>X151/Flat!X$4</f>
        <v>99.8192261238149</v>
      </c>
      <c r="Y157" s="370">
        <f>Y151/Flat!Y$4</f>
        <v>19.910848627759329</v>
      </c>
      <c r="Z157" s="370">
        <f>Z151/Flat!Z$4</f>
        <v>81.093734756385132</v>
      </c>
      <c r="AA157" s="370">
        <f>AA151/Flat!AA$4</f>
        <v>58.424779578734302</v>
      </c>
      <c r="AB157" s="370">
        <f>AB151/Flat!AB$4</f>
        <v>64.45112871391467</v>
      </c>
      <c r="AC157" s="370">
        <f>AC151/Flat!AC$4</f>
        <v>35.628226281173887</v>
      </c>
      <c r="AD157" s="370">
        <f>AD151/Flat!AD$4</f>
        <v>70.075476295915934</v>
      </c>
      <c r="AE157" s="370">
        <f>AE151/Flat!AE$4</f>
        <v>56.334484595577322</v>
      </c>
      <c r="AF157" s="370">
        <f>AF151/Flat!AF$4</f>
        <v>89.006171777654529</v>
      </c>
      <c r="AG157" s="370">
        <f>AG151/Flat!AG$4</f>
        <v>99.938325753753219</v>
      </c>
      <c r="AH157" s="370">
        <f>AH151/Flat!AH$4</f>
        <v>74.394525966074895</v>
      </c>
      <c r="AI157" s="370">
        <f>AI151/Flat!AI$4</f>
        <v>65.497297023725409</v>
      </c>
      <c r="AJ157" s="370">
        <f>AJ151/Flat!AJ$4</f>
        <v>83.624594467934088</v>
      </c>
      <c r="AK157" s="370">
        <f>AK151/Flat!AK$4</f>
        <v>69.62525382454568</v>
      </c>
      <c r="AL157" s="370">
        <f>AL151/Flat!AL$4</f>
        <v>76.781977628806189</v>
      </c>
      <c r="AM157" s="370">
        <f>AM151/Flat!AM$4</f>
        <v>76.899139402922273</v>
      </c>
      <c r="AN157" s="371">
        <f>AN151/Flat!AN$4</f>
        <v>76.899139402922273</v>
      </c>
    </row>
    <row r="158" spans="1:40" s="5" customFormat="1">
      <c r="A158" s="154"/>
      <c r="B158" s="347" t="s">
        <v>5</v>
      </c>
      <c r="C158" s="367" t="s">
        <v>190</v>
      </c>
      <c r="D158" s="369">
        <f>D152/Flat!D$4</f>
        <v>53.822081760144428</v>
      </c>
      <c r="E158" s="370">
        <f>E152/Flat!E$4</f>
        <v>81.978168584521754</v>
      </c>
      <c r="F158" s="370">
        <f>F152/Flat!F$4</f>
        <v>51.206349001493891</v>
      </c>
      <c r="G158" s="370">
        <f>G152/Flat!G$4</f>
        <v>52.43662246469583</v>
      </c>
      <c r="H158" s="370">
        <f>H152/Flat!H$4</f>
        <v>26.311678587793093</v>
      </c>
      <c r="I158" s="370">
        <f>I152/Flat!I$4</f>
        <v>68.729416803510873</v>
      </c>
      <c r="J158" s="370">
        <f>J152/Flat!J$4</f>
        <v>56.416838092568121</v>
      </c>
      <c r="K158" s="370">
        <f>K152/Flat!K$4</f>
        <v>33.381152203644035</v>
      </c>
      <c r="L158" s="370">
        <f>L152/Flat!L$4</f>
        <v>43.015182309859256</v>
      </c>
      <c r="M158" s="370">
        <f>M152/Flat!M$4</f>
        <v>59.594978602272114</v>
      </c>
      <c r="N158" s="370">
        <f>N152/Flat!N$4</f>
        <v>50.79374234976251</v>
      </c>
      <c r="O158" s="370">
        <f>O152/Flat!O$4</f>
        <v>50.97671907764736</v>
      </c>
      <c r="P158" s="370">
        <f>P152/Flat!P$4</f>
        <v>79.734093201143395</v>
      </c>
      <c r="Q158" s="370">
        <f>Q152/Flat!Q$4</f>
        <v>69.083411760971003</v>
      </c>
      <c r="R158" s="370">
        <f>R152/Flat!R$4</f>
        <v>66.815051458569258</v>
      </c>
      <c r="S158" s="370">
        <f>S152/Flat!S$4</f>
        <v>44.441356605659031</v>
      </c>
      <c r="T158" s="370">
        <f>T152/Flat!T$4</f>
        <v>54.411847971230941</v>
      </c>
      <c r="U158" s="370">
        <f>U152/Flat!U$4</f>
        <v>42.292128202847458</v>
      </c>
      <c r="V158" s="370">
        <f>V152/Flat!V$4</f>
        <v>66.042939902825552</v>
      </c>
      <c r="W158" s="370">
        <f>W152/Flat!W$4</f>
        <v>42.254991312244961</v>
      </c>
      <c r="X158" s="370">
        <f>X152/Flat!X$4</f>
        <v>63.386412556769507</v>
      </c>
      <c r="Y158" s="370">
        <f>Y152/Flat!Y$4</f>
        <v>18.802579630709346</v>
      </c>
      <c r="Z158" s="370">
        <f>Z152/Flat!Z$4</f>
        <v>49.600048353501499</v>
      </c>
      <c r="AA158" s="370">
        <f>AA152/Flat!AA$4</f>
        <v>57.50084254365941</v>
      </c>
      <c r="AB158" s="370">
        <f>AB152/Flat!AB$4</f>
        <v>64.45112871391467</v>
      </c>
      <c r="AC158" s="370">
        <f>AC152/Flat!AC$4</f>
        <v>34.532779940739864</v>
      </c>
      <c r="AD158" s="370">
        <f>AD152/Flat!AD$4</f>
        <v>60.314829813847169</v>
      </c>
      <c r="AE158" s="370">
        <f>AE152/Flat!AE$4</f>
        <v>55.443603756231283</v>
      </c>
      <c r="AF158" s="370">
        <f>AF152/Flat!AF$4</f>
        <v>64.993423171134296</v>
      </c>
      <c r="AG158" s="370">
        <f>AG152/Flat!AG$4</f>
        <v>86.944574236155134</v>
      </c>
      <c r="AH158" s="370">
        <f>AH152/Flat!AH$4</f>
        <v>48.944580136805421</v>
      </c>
      <c r="AI158" s="370">
        <f>AI152/Flat!AI$4</f>
        <v>64.198875670593807</v>
      </c>
      <c r="AJ158" s="370">
        <f>AJ152/Flat!AJ$4</f>
        <v>74.701519304890667</v>
      </c>
      <c r="AK158" s="370">
        <f>AK152/Flat!AK$4</f>
        <v>62.114903239724477</v>
      </c>
      <c r="AL158" s="370">
        <f>AL152/Flat!AL$4</f>
        <v>65.776077722107871</v>
      </c>
      <c r="AM158" s="370">
        <f>AM152/Flat!AM$4</f>
        <v>68.693696910417955</v>
      </c>
      <c r="AN158" s="371">
        <f>AN152/Flat!AN$4</f>
        <v>68.693696910417955</v>
      </c>
    </row>
    <row r="159" spans="1:40" s="5" customFormat="1">
      <c r="A159" s="154"/>
      <c r="B159" s="347" t="s">
        <v>6</v>
      </c>
      <c r="C159" s="367" t="s">
        <v>190</v>
      </c>
      <c r="D159" s="369">
        <f>D153/Flat!D$4</f>
        <v>45.050474455258232</v>
      </c>
      <c r="E159" s="370">
        <f>E153/Flat!E$4</f>
        <v>81.978168584521754</v>
      </c>
      <c r="F159" s="370">
        <f>F153/Flat!F$4</f>
        <v>43.954923405585042</v>
      </c>
      <c r="G159" s="370">
        <f>G153/Flat!G$4</f>
        <v>43.890809192280123</v>
      </c>
      <c r="H159" s="370">
        <f>H153/Flat!H$4</f>
        <v>21.902356481046038</v>
      </c>
      <c r="I159" s="370">
        <f>I153/Flat!I$4</f>
        <v>52.53778863328121</v>
      </c>
      <c r="J159" s="370">
        <f>J153/Flat!J$4</f>
        <v>32.112757736477683</v>
      </c>
      <c r="K159" s="370">
        <f>K153/Flat!K$4</f>
        <v>33.381152203644035</v>
      </c>
      <c r="L159" s="370">
        <f>L153/Flat!L$4</f>
        <v>38.833497667281691</v>
      </c>
      <c r="M159" s="370">
        <f>M153/Flat!M$4</f>
        <v>59.594978602272114</v>
      </c>
      <c r="N159" s="370">
        <f>N153/Flat!N$4</f>
        <v>50.373288058176954</v>
      </c>
      <c r="O159" s="370">
        <f>O153/Flat!O$4</f>
        <v>29.843980996500097</v>
      </c>
      <c r="P159" s="370">
        <f>P153/Flat!P$4</f>
        <v>79.734093201143395</v>
      </c>
      <c r="Q159" s="370">
        <f>Q153/Flat!Q$4</f>
        <v>50.598953200573199</v>
      </c>
      <c r="R159" s="370">
        <f>R153/Flat!R$4</f>
        <v>66.815051458569258</v>
      </c>
      <c r="S159" s="370">
        <f>S153/Flat!S$4</f>
        <v>38.872095622547299</v>
      </c>
      <c r="T159" s="370">
        <f>T153/Flat!T$4</f>
        <v>53.895729431112571</v>
      </c>
      <c r="U159" s="370">
        <f>U153/Flat!U$4</f>
        <v>39.193947800561645</v>
      </c>
      <c r="V159" s="370">
        <f>V153/Flat!V$4</f>
        <v>66.042939902825552</v>
      </c>
      <c r="W159" s="370">
        <f>W153/Flat!W$4</f>
        <v>36.409174757508694</v>
      </c>
      <c r="X159" s="370">
        <f>X153/Flat!X$4</f>
        <v>63.320282457257967</v>
      </c>
      <c r="Y159" s="370">
        <f>Y153/Flat!Y$4</f>
        <v>18.799380865287503</v>
      </c>
      <c r="Z159" s="370">
        <f>Z153/Flat!Z$4</f>
        <v>44.619594876368474</v>
      </c>
      <c r="AA159" s="370">
        <f>AA153/Flat!AA$4</f>
        <v>51.8007259254072</v>
      </c>
      <c r="AB159" s="370">
        <f>AB153/Flat!AB$4</f>
        <v>64.45112871391467</v>
      </c>
      <c r="AC159" s="370">
        <f>AC153/Flat!AC$4</f>
        <v>31.65408893054251</v>
      </c>
      <c r="AD159" s="370">
        <f>AD153/Flat!AD$4</f>
        <v>60.314829813847169</v>
      </c>
      <c r="AE159" s="370">
        <f>AE153/Flat!AE$4</f>
        <v>49.947423297541043</v>
      </c>
      <c r="AF159" s="370">
        <f>AF153/Flat!AF$4</f>
        <v>49.830995531051876</v>
      </c>
      <c r="AG159" s="370">
        <f>AG153/Flat!AG$4</f>
        <v>84.930436902364761</v>
      </c>
      <c r="AH159" s="370">
        <f>AH153/Flat!AH$4</f>
        <v>35.179199242639669</v>
      </c>
      <c r="AI159" s="370">
        <f>AI153/Flat!AI$4</f>
        <v>64.198875670593807</v>
      </c>
      <c r="AJ159" s="370">
        <f>AJ153/Flat!AJ$4</f>
        <v>71.600293404675384</v>
      </c>
      <c r="AK159" s="370">
        <f>AK153/Flat!AK$4</f>
        <v>59.476045035978807</v>
      </c>
      <c r="AL159" s="370">
        <f>AL153/Flat!AL$4</f>
        <v>55.832582346475434</v>
      </c>
      <c r="AM159" s="370">
        <f>AM153/Flat!AM$4</f>
        <v>65.841885139754538</v>
      </c>
      <c r="AN159" s="371">
        <f>AN153/Flat!AN$4</f>
        <v>65.841885139754538</v>
      </c>
    </row>
    <row r="160" spans="1:40" s="5" customFormat="1">
      <c r="A160" s="155"/>
      <c r="B160" s="338" t="s">
        <v>7</v>
      </c>
      <c r="C160" s="368" t="s">
        <v>190</v>
      </c>
      <c r="D160" s="378">
        <f>D154/Flat!D$4</f>
        <v>41.091379907575032</v>
      </c>
      <c r="E160" s="379">
        <f>E154/Flat!E$4</f>
        <v>50.354249198120293</v>
      </c>
      <c r="F160" s="379">
        <f>F154/Flat!F$4</f>
        <v>29.948842816401733</v>
      </c>
      <c r="G160" s="379">
        <f>G154/Flat!G$4</f>
        <v>40.033627542858483</v>
      </c>
      <c r="H160" s="379">
        <f>H154/Flat!H$4</f>
        <v>19.770186877901864</v>
      </c>
      <c r="I160" s="379">
        <f>I154/Flat!I$4</f>
        <v>42.552662031563997</v>
      </c>
      <c r="J160" s="379">
        <f>J154/Flat!J$4</f>
        <v>35.368081633030393</v>
      </c>
      <c r="K160" s="379">
        <f>K154/Flat!K$4</f>
        <v>24.861382073899097</v>
      </c>
      <c r="L160" s="379">
        <f>L154/Flat!L$4</f>
        <v>38.833497667281691</v>
      </c>
      <c r="M160" s="379">
        <f>M154/Flat!M$4</f>
        <v>38.83339686600609</v>
      </c>
      <c r="N160" s="379">
        <f>N154/Flat!N$4</f>
        <v>45.369071970890083</v>
      </c>
      <c r="O160" s="379">
        <f>O154/Flat!O$4</f>
        <v>28.884167951022377</v>
      </c>
      <c r="P160" s="379">
        <f>P154/Flat!P$4</f>
        <v>32.99260705327552</v>
      </c>
      <c r="Q160" s="379">
        <f>Q154/Flat!Q$4</f>
        <v>30.858012458733981</v>
      </c>
      <c r="R160" s="379">
        <f>R154/Flat!R$4</f>
        <v>42.423856652347936</v>
      </c>
      <c r="S160" s="379">
        <f>S154/Flat!S$4</f>
        <v>26.005615725706971</v>
      </c>
      <c r="T160" s="379">
        <f>T154/Flat!T$4</f>
        <v>48.932243432067388</v>
      </c>
      <c r="U160" s="379">
        <f>U154/Flat!U$4</f>
        <v>36.898920419466648</v>
      </c>
      <c r="V160" s="379">
        <f>V154/Flat!V$4</f>
        <v>39.50553669414537</v>
      </c>
      <c r="W160" s="379">
        <f>W154/Flat!W$4</f>
        <v>29.007592706880025</v>
      </c>
      <c r="X160" s="379">
        <f>X154/Flat!X$4</f>
        <v>40.072245088393579</v>
      </c>
      <c r="Y160" s="379">
        <f>Y154/Flat!Y$4</f>
        <v>17.717638930071196</v>
      </c>
      <c r="Z160" s="379">
        <f>Z154/Flat!Z$4</f>
        <v>33.251956904195396</v>
      </c>
      <c r="AA160" s="379">
        <f>AA154/Flat!AA$4</f>
        <v>44.683033205728947</v>
      </c>
      <c r="AB160" s="379">
        <f>AB154/Flat!AB$4</f>
        <v>49.961853094877888</v>
      </c>
      <c r="AC160" s="379">
        <f>AC154/Flat!AC$4</f>
        <v>22.582908168036436</v>
      </c>
      <c r="AD160" s="379">
        <f>AD154/Flat!AD$4</f>
        <v>45.437423096112397</v>
      </c>
      <c r="AE160" s="379">
        <f>AE154/Flat!AE$4</f>
        <v>43.084384125396447</v>
      </c>
      <c r="AF160" s="379">
        <f>AF154/Flat!AF$4</f>
        <v>30.414211176955668</v>
      </c>
      <c r="AG160" s="379">
        <f>AG154/Flat!AG$4</f>
        <v>49.846537499933618</v>
      </c>
      <c r="AH160" s="379">
        <f>AH154/Flat!AH$4</f>
        <v>29.779372226191903</v>
      </c>
      <c r="AI160" s="379">
        <f>AI154/Flat!AI$4</f>
        <v>27.637856353310188</v>
      </c>
      <c r="AJ160" s="379">
        <f>AJ154/Flat!AJ$4</f>
        <v>61.969748672607963</v>
      </c>
      <c r="AK160" s="379">
        <f>AK154/Flat!AK$4</f>
        <v>51.531025100983612</v>
      </c>
      <c r="AL160" s="379">
        <f>AL154/Flat!AL$4</f>
        <v>36.197337961457194</v>
      </c>
      <c r="AM160" s="379">
        <f>AM154/Flat!AM$4</f>
        <v>56.985870870396155</v>
      </c>
      <c r="AN160" s="380">
        <f>AN154/Flat!AN$4</f>
        <v>56.985870870396155</v>
      </c>
    </row>
    <row r="161" spans="1:40" s="5" customFormat="1">
      <c r="A161" s="334" t="s">
        <v>299</v>
      </c>
      <c r="B161" s="359" t="s">
        <v>2</v>
      </c>
      <c r="C161" s="366" t="s">
        <v>190</v>
      </c>
      <c r="D161" s="376">
        <f>Flat!D$48-D155</f>
        <v>5.2501275305194355</v>
      </c>
      <c r="E161" s="376">
        <f>Flat!E$48-E155</f>
        <v>9.523487450452734</v>
      </c>
      <c r="F161" s="376">
        <f>Flat!F$48-F155</f>
        <v>5.675460530405573</v>
      </c>
      <c r="G161" s="376">
        <f>Flat!G$48-G155</f>
        <v>5.1149815504389267</v>
      </c>
      <c r="H161" s="376">
        <f>Flat!H$48-H155</f>
        <v>4.7999783054547791</v>
      </c>
      <c r="I161" s="376">
        <f>Flat!I$48-I155</f>
        <v>5.8709965222737281</v>
      </c>
      <c r="J161" s="376">
        <f>Flat!J$48-J155</f>
        <v>11.195021993355098</v>
      </c>
      <c r="K161" s="376">
        <f>Flat!K$48-K155</f>
        <v>1.9949786656607174</v>
      </c>
      <c r="L161" s="376">
        <f>Flat!L$48-L155</f>
        <v>3.1093340068618573</v>
      </c>
      <c r="M161" s="376">
        <f>Flat!M$48-M155</f>
        <v>7.1274812509142151</v>
      </c>
      <c r="N161" s="376">
        <f>Flat!N$48-N155</f>
        <v>3.1910163320528966</v>
      </c>
      <c r="O161" s="376">
        <f>Flat!O$48-O155</f>
        <v>10.685975942605722</v>
      </c>
      <c r="P161" s="376">
        <f>Flat!P$48-P155</f>
        <v>12.220936768774507</v>
      </c>
      <c r="Q161" s="376">
        <f>Flat!Q$48-Q155</f>
        <v>4.9671265268827796</v>
      </c>
      <c r="R161" s="376">
        <f>Flat!R$48-R155</f>
        <v>5.8659546639948417</v>
      </c>
      <c r="S161" s="376">
        <f>Flat!S$48-S155</f>
        <v>12.556710733721324</v>
      </c>
      <c r="T161" s="376">
        <f>Flat!T$48-T155</f>
        <v>2.7597012533961021</v>
      </c>
      <c r="U161" s="376">
        <f>Flat!U$48-U155</f>
        <v>6.8719122400312003</v>
      </c>
      <c r="V161" s="376">
        <f>Flat!V$48-V155</f>
        <v>5.4229266359479453</v>
      </c>
      <c r="W161" s="376">
        <f>Flat!W$48-W155</f>
        <v>8.2915417247956213</v>
      </c>
      <c r="X161" s="376">
        <f>Flat!X$48-X155</f>
        <v>9.00458386089106</v>
      </c>
      <c r="Y161" s="376">
        <f>Flat!Y$48-Y155</f>
        <v>1.8659236415879619</v>
      </c>
      <c r="Z161" s="376">
        <f>Flat!Z$48-Z155</f>
        <v>13.239941285509687</v>
      </c>
      <c r="AA161" s="376">
        <f>Flat!AA$48-AA155</f>
        <v>3.7993019305177427</v>
      </c>
      <c r="AB161" s="376">
        <f>Flat!AB$48-AB155</f>
        <v>12.388804091753812</v>
      </c>
      <c r="AC161" s="376">
        <f>Flat!AC$48-AC155</f>
        <v>7.1792278976743802</v>
      </c>
      <c r="AD161" s="376">
        <f>Flat!AD$48-AD155</f>
        <v>7.2603694374445382</v>
      </c>
      <c r="AE161" s="376">
        <f>Flat!AE$48-AE155</f>
        <v>3.6633722475626485</v>
      </c>
      <c r="AF161" s="376">
        <f>Flat!AF$48-AF155</f>
        <v>6.2348207096426478</v>
      </c>
      <c r="AG161" s="376">
        <f>Flat!AG$48-AG155</f>
        <v>12.280739334904339</v>
      </c>
      <c r="AH161" s="376">
        <f>Flat!AH$48-AH155</f>
        <v>7.5004425257877898</v>
      </c>
      <c r="AI161" s="376">
        <f>Flat!AI$48-AI155</f>
        <v>9.1311818994875296</v>
      </c>
      <c r="AJ161" s="376">
        <f>Flat!AJ$48-AJ155</f>
        <v>5.7171262394813169</v>
      </c>
      <c r="AK161" s="376">
        <f>Flat!AK$48-AK155</f>
        <v>5.0952195451985745</v>
      </c>
      <c r="AL161" s="376">
        <f>Flat!AL$48-AL155</f>
        <v>5.6844150786064347</v>
      </c>
      <c r="AM161" s="376">
        <f>Flat!AM$48-AM155</f>
        <v>5.257329981343716</v>
      </c>
      <c r="AN161" s="377">
        <f>Flat!AN$48-AN155</f>
        <v>5.257329981343716</v>
      </c>
    </row>
    <row r="162" spans="1:40" s="5" customFormat="1">
      <c r="A162" s="154"/>
      <c r="B162" s="347" t="s">
        <v>3</v>
      </c>
      <c r="C162" s="367" t="s">
        <v>190</v>
      </c>
      <c r="D162" s="370">
        <f>Flat!D$49-D156</f>
        <v>4.1698084656718493</v>
      </c>
      <c r="E162" s="370">
        <f>Flat!E$49-E156</f>
        <v>9.523487450452734</v>
      </c>
      <c r="F162" s="370">
        <f>Flat!F$49-F156</f>
        <v>5.675460530405573</v>
      </c>
      <c r="G162" s="370">
        <f>Flat!G$49-G156</f>
        <v>4.0624714822242396</v>
      </c>
      <c r="H162" s="370">
        <f>Flat!H$49-H156</f>
        <v>4.8864130065768983</v>
      </c>
      <c r="I162" s="370">
        <f>Flat!I$49-I156</f>
        <v>3.280010628872887</v>
      </c>
      <c r="J162" s="370">
        <f>Flat!J$49-J156</f>
        <v>11.117814857625362</v>
      </c>
      <c r="K162" s="370">
        <f>Flat!K$49-K156</f>
        <v>1.6228956002011614</v>
      </c>
      <c r="L162" s="370">
        <f>Flat!L$49-L156</f>
        <v>3.1093340068618573</v>
      </c>
      <c r="M162" s="370">
        <f>Flat!M$49-M156</f>
        <v>5.487658619860369</v>
      </c>
      <c r="N162" s="370">
        <f>Flat!N$49-N156</f>
        <v>3.004422177810298</v>
      </c>
      <c r="O162" s="370">
        <f>Flat!O$49-O156</f>
        <v>10.685975942605722</v>
      </c>
      <c r="P162" s="370">
        <f>Flat!P$49-P156</f>
        <v>12.220936768774507</v>
      </c>
      <c r="Q162" s="370">
        <f>Flat!Q$49-Q156</f>
        <v>4.9039343644775357</v>
      </c>
      <c r="R162" s="370">
        <f>Flat!R$49-R156</f>
        <v>5.8659546639948417</v>
      </c>
      <c r="S162" s="370">
        <f>Flat!S$49-S156</f>
        <v>13.302111773374655</v>
      </c>
      <c r="T162" s="370">
        <f>Flat!T$49-T156</f>
        <v>2.5978406347621643</v>
      </c>
      <c r="U162" s="370">
        <f>Flat!U$49-U156</f>
        <v>6.5631290052407536</v>
      </c>
      <c r="V162" s="370">
        <f>Flat!V$49-V156</f>
        <v>5.4229266359479453</v>
      </c>
      <c r="W162" s="370">
        <f>Flat!W$49-W156</f>
        <v>4.7510996180182588</v>
      </c>
      <c r="X162" s="370">
        <f>Flat!X$49-X156</f>
        <v>9.0311049756500381</v>
      </c>
      <c r="Y162" s="370">
        <f>Flat!Y$49-Y156</f>
        <v>1.844324596582684</v>
      </c>
      <c r="Z162" s="370">
        <f>Flat!Z$49-Z156</f>
        <v>5.999462606058799</v>
      </c>
      <c r="AA162" s="370">
        <f>Flat!AA$49-AA156</f>
        <v>3.8026955676963041</v>
      </c>
      <c r="AB162" s="370">
        <f>Flat!AB$49-AB156</f>
        <v>5.0503642796285391</v>
      </c>
      <c r="AC162" s="370">
        <f>Flat!AC$49-AC156</f>
        <v>6.8506855027392675</v>
      </c>
      <c r="AD162" s="370">
        <f>Flat!AD$49-AD156</f>
        <v>6.7697820279484802</v>
      </c>
      <c r="AE162" s="370">
        <f>Flat!AE$49-AE156</f>
        <v>3.6666444687458011</v>
      </c>
      <c r="AF162" s="370">
        <f>Flat!AF$49-AF156</f>
        <v>6.2348207096426478</v>
      </c>
      <c r="AG162" s="370">
        <f>Flat!AG$49-AG156</f>
        <v>9.1054084814203406</v>
      </c>
      <c r="AH162" s="370">
        <f>Flat!AH$49-AH156</f>
        <v>7.8909717695150903</v>
      </c>
      <c r="AI162" s="370">
        <f>Flat!AI$49-AI156</f>
        <v>9.1311818994875296</v>
      </c>
      <c r="AJ162" s="370">
        <f>Flat!AJ$49-AJ156</f>
        <v>5.7171262394813169</v>
      </c>
      <c r="AK162" s="370">
        <f>Flat!AK$49-AK156</f>
        <v>5.0952195451985745</v>
      </c>
      <c r="AL162" s="370">
        <f>Flat!AL$49-AL156</f>
        <v>5.6844150786064347</v>
      </c>
      <c r="AM162" s="370">
        <f>Flat!AM$49-AM156</f>
        <v>5.257329981343716</v>
      </c>
      <c r="AN162" s="371">
        <f>Flat!AN$49-AN156</f>
        <v>5.257329981343716</v>
      </c>
    </row>
    <row r="163" spans="1:40" s="5" customFormat="1">
      <c r="A163" s="154"/>
      <c r="B163" s="347" t="s">
        <v>4</v>
      </c>
      <c r="C163" s="367" t="s">
        <v>190</v>
      </c>
      <c r="D163" s="370">
        <f>Flat!D$50-D157</f>
        <v>2.2100784472132773</v>
      </c>
      <c r="E163" s="370">
        <f>Flat!E$50-E157</f>
        <v>9.523487450452734</v>
      </c>
      <c r="F163" s="370">
        <f>Flat!F$50-F157</f>
        <v>5.1945590215186641</v>
      </c>
      <c r="G163" s="370">
        <f>Flat!G$50-G157</f>
        <v>2.1531877876879264</v>
      </c>
      <c r="H163" s="370">
        <f>Flat!H$50-H157</f>
        <v>4.8780944938113393</v>
      </c>
      <c r="I163" s="370">
        <f>Flat!I$50-I157</f>
        <v>3.280010628872887</v>
      </c>
      <c r="J163" s="370">
        <f>Flat!J$50-J157</f>
        <v>2.9350180018432468</v>
      </c>
      <c r="K163" s="370">
        <f>Flat!K$50-K157</f>
        <v>1.0720471470688153</v>
      </c>
      <c r="L163" s="370">
        <f>Flat!L$50-L157</f>
        <v>2.1805362291346171</v>
      </c>
      <c r="M163" s="370">
        <f>Flat!M$50-M157</f>
        <v>5.487658619860369</v>
      </c>
      <c r="N163" s="370">
        <f>Flat!N$50-N157</f>
        <v>2.096921177987241</v>
      </c>
      <c r="O163" s="370">
        <f>Flat!O$50-O157</f>
        <v>1.74482553898833</v>
      </c>
      <c r="P163" s="370">
        <f>Flat!P$50-P157</f>
        <v>12.220936768774507</v>
      </c>
      <c r="Q163" s="370">
        <f>Flat!Q$50-Q157</f>
        <v>5.1449066018128349</v>
      </c>
      <c r="R163" s="370">
        <f>Flat!R$50-R157</f>
        <v>4.2516306841352218</v>
      </c>
      <c r="S163" s="370">
        <f>Flat!S$50-S157</f>
        <v>5.9692639542198478</v>
      </c>
      <c r="T163" s="370">
        <f>Flat!T$50-T157</f>
        <v>1.8212310510274961</v>
      </c>
      <c r="U163" s="370">
        <f>Flat!U$50-U157</f>
        <v>6.2300355108410272</v>
      </c>
      <c r="V163" s="370">
        <f>Flat!V$50-V157</f>
        <v>2.7177892639725911</v>
      </c>
      <c r="W163" s="370">
        <f>Flat!W$50-W157</f>
        <v>2.8968356327732252</v>
      </c>
      <c r="X163" s="370">
        <f>Flat!X$50-X157</f>
        <v>7.3479920546715505</v>
      </c>
      <c r="Y163" s="370">
        <f>Flat!Y$50-Y157</f>
        <v>1.9279080927948335</v>
      </c>
      <c r="Z163" s="370">
        <f>Flat!Z$50-Z157</f>
        <v>6.0199184622035204</v>
      </c>
      <c r="AA163" s="370">
        <f>Flat!AA$50-AA157</f>
        <v>1.0330275451398379</v>
      </c>
      <c r="AB163" s="370">
        <f>Flat!AB$50-AB157</f>
        <v>3.1657027833522307</v>
      </c>
      <c r="AC163" s="370">
        <f>Flat!AC$50-AC157</f>
        <v>6.3464678381113515</v>
      </c>
      <c r="AD163" s="370">
        <f>Flat!AD$50-AD157</f>
        <v>6.7697820279484802</v>
      </c>
      <c r="AE163" s="370">
        <f>Flat!AE$50-AE157</f>
        <v>0.99606835914651981</v>
      </c>
      <c r="AF163" s="370">
        <f>Flat!AF$50-AF157</f>
        <v>4.4454617778700509</v>
      </c>
      <c r="AG163" s="370">
        <f>Flat!AG$50-AG157</f>
        <v>9.1054084814203406</v>
      </c>
      <c r="AH163" s="370">
        <f>Flat!AH$50-AH157</f>
        <v>3.6078194557849912</v>
      </c>
      <c r="AI163" s="370">
        <f>Flat!AI$50-AI157</f>
        <v>9.1311818994875296</v>
      </c>
      <c r="AJ163" s="370">
        <f>Flat!AJ$50-AJ157</f>
        <v>5.7171262394813169</v>
      </c>
      <c r="AK163" s="370">
        <f>Flat!AK$50-AK157</f>
        <v>5.0952195451985745</v>
      </c>
      <c r="AL163" s="370">
        <f>Flat!AL$50-AL157</f>
        <v>5.2053342986550319</v>
      </c>
      <c r="AM163" s="370">
        <f>Flat!AM$50-AM157</f>
        <v>5.257329981343716</v>
      </c>
      <c r="AN163" s="371">
        <f>Flat!AN$50-AN157</f>
        <v>5.257329981343716</v>
      </c>
    </row>
    <row r="164" spans="1:40" s="5" customFormat="1">
      <c r="A164" s="154"/>
      <c r="B164" s="347" t="s">
        <v>5</v>
      </c>
      <c r="C164" s="367" t="s">
        <v>190</v>
      </c>
      <c r="D164" s="370">
        <f>Flat!D$51-D158</f>
        <v>1.326615288775983</v>
      </c>
      <c r="E164" s="370">
        <f>Flat!E$51-E158</f>
        <v>6.5979021357692176</v>
      </c>
      <c r="F164" s="370">
        <f>Flat!F$51-F158</f>
        <v>4.9528067572227528</v>
      </c>
      <c r="G164" s="370">
        <f>Flat!G$51-G158</f>
        <v>1.2924662662333475</v>
      </c>
      <c r="H164" s="370">
        <f>Flat!H$51-H158</f>
        <v>4.8978908478289753</v>
      </c>
      <c r="I164" s="370">
        <f>Flat!I$51-I158</f>
        <v>2.619197552470979</v>
      </c>
      <c r="J164" s="370">
        <f>Flat!J$51-J158</f>
        <v>1.1792172937021519</v>
      </c>
      <c r="K164" s="370">
        <f>Flat!K$51-K158</f>
        <v>0.85691816003829757</v>
      </c>
      <c r="L164" s="370">
        <f>Flat!L$51-L158</f>
        <v>1.2126068074378082</v>
      </c>
      <c r="M164" s="370">
        <f>Flat!M$51-M158</f>
        <v>4.0400968123340348</v>
      </c>
      <c r="N164" s="370">
        <f>Flat!N$51-N158</f>
        <v>1.4816568669328873</v>
      </c>
      <c r="O164" s="370">
        <f>Flat!O$51-O158</f>
        <v>1.1074140795276719</v>
      </c>
      <c r="P164" s="370">
        <f>Flat!P$51-P158</f>
        <v>12.267172312817536</v>
      </c>
      <c r="Q164" s="370">
        <f>Flat!Q$51-Q158</f>
        <v>5.1449066018128349</v>
      </c>
      <c r="R164" s="370">
        <f>Flat!R$51-R158</f>
        <v>2.6845211801613544</v>
      </c>
      <c r="S164" s="370">
        <f>Flat!S$51-S158</f>
        <v>1.757348771150177</v>
      </c>
      <c r="T164" s="370">
        <f>Flat!T$51-T158</f>
        <v>1.2918847265431026</v>
      </c>
      <c r="U164" s="370">
        <f>Flat!U$51-U158</f>
        <v>4.9500264962483698</v>
      </c>
      <c r="V164" s="370">
        <f>Flat!V$51-V158</f>
        <v>2.7177892639725911</v>
      </c>
      <c r="W164" s="370">
        <f>Flat!W$51-W158</f>
        <v>1.510786635487591</v>
      </c>
      <c r="X164" s="370">
        <f>Flat!X$51-X158</f>
        <v>3.3157152138211146</v>
      </c>
      <c r="Y164" s="370">
        <f>Flat!Y$51-Y158</f>
        <v>1.9478726942121938</v>
      </c>
      <c r="Z164" s="370">
        <f>Flat!Z$51-Z158</f>
        <v>3.1102445387515658</v>
      </c>
      <c r="AA164" s="370">
        <f>Flat!AA$51-AA158</f>
        <v>1.0361358828386145</v>
      </c>
      <c r="AB164" s="370">
        <f>Flat!AB$51-AB158</f>
        <v>3.1657027833522307</v>
      </c>
      <c r="AC164" s="370">
        <f>Flat!AC$51-AC158</f>
        <v>6.1270627452379642</v>
      </c>
      <c r="AD164" s="370">
        <f>Flat!AD$51-AD158</f>
        <v>6.3354243896256719</v>
      </c>
      <c r="AE164" s="370">
        <f>Flat!AE$51-AE158</f>
        <v>0.99906548816389318</v>
      </c>
      <c r="AF164" s="370">
        <f>Flat!AF$51-AF158</f>
        <v>4.0740913744669882</v>
      </c>
      <c r="AG164" s="370">
        <f>Flat!AG$51-AG158</f>
        <v>5.8088262205040735</v>
      </c>
      <c r="AH164" s="370">
        <f>Flat!AH$51-AH158</f>
        <v>1.7574685036098074</v>
      </c>
      <c r="AI164" s="370">
        <f>Flat!AI$51-AI158</f>
        <v>9.1634110305790415</v>
      </c>
      <c r="AJ164" s="370">
        <f>Flat!AJ$51-AJ158</f>
        <v>3.433655538325354</v>
      </c>
      <c r="AK164" s="370">
        <f>Flat!AK$51-AK158</f>
        <v>3.0613080817540563</v>
      </c>
      <c r="AL164" s="370">
        <f>Flat!AL$51-AL158</f>
        <v>4.9704852171437608</v>
      </c>
      <c r="AM164" s="370">
        <f>Flat!AM$51-AM158</f>
        <v>3.1575059655989861</v>
      </c>
      <c r="AN164" s="371">
        <f>Flat!AN$51-AN158</f>
        <v>3.1575059655989861</v>
      </c>
    </row>
    <row r="165" spans="1:40" s="5" customFormat="1">
      <c r="A165" s="154"/>
      <c r="B165" s="347" t="s">
        <v>6</v>
      </c>
      <c r="C165" s="367" t="s">
        <v>190</v>
      </c>
      <c r="D165" s="370">
        <f>Flat!D$52-D159</f>
        <v>1.3715944531918254</v>
      </c>
      <c r="E165" s="370">
        <f>Flat!E$52-E159</f>
        <v>6.5979021357692176</v>
      </c>
      <c r="F165" s="370">
        <f>Flat!F$52-F159</f>
        <v>1.9808271884477975</v>
      </c>
      <c r="G165" s="370">
        <f>Flat!G$52-G159</f>
        <v>1.3362876010111648</v>
      </c>
      <c r="H165" s="370">
        <f>Flat!H$52-H159</f>
        <v>5.0530261453700298</v>
      </c>
      <c r="I165" s="370">
        <f>Flat!I$52-I159</f>
        <v>1.680317451495732</v>
      </c>
      <c r="J165" s="370">
        <f>Flat!J$52-J159</f>
        <v>0.76453916547798428</v>
      </c>
      <c r="K165" s="370">
        <f>Flat!K$52-K159</f>
        <v>0.85691816003829757</v>
      </c>
      <c r="L165" s="370">
        <f>Flat!L$52-L159</f>
        <v>0.8191457368138586</v>
      </c>
      <c r="M165" s="370">
        <f>Flat!M$52-M159</f>
        <v>4.0400968123340348</v>
      </c>
      <c r="N165" s="370">
        <f>Flat!N$52-N159</f>
        <v>1.4334538329876167</v>
      </c>
      <c r="O165" s="370">
        <f>Flat!O$52-O159</f>
        <v>0.64859457902911899</v>
      </c>
      <c r="P165" s="370">
        <f>Flat!P$52-P159</f>
        <v>12.267172312817536</v>
      </c>
      <c r="Q165" s="370">
        <f>Flat!Q$52-Q159</f>
        <v>2.8851819106931558</v>
      </c>
      <c r="R165" s="370">
        <f>Flat!R$52-R159</f>
        <v>2.6845211801613544</v>
      </c>
      <c r="S165" s="370">
        <f>Flat!S$52-S159</f>
        <v>1.8016069724957404</v>
      </c>
      <c r="T165" s="370">
        <f>Flat!T$52-T159</f>
        <v>1.2501265204844927</v>
      </c>
      <c r="U165" s="370">
        <f>Flat!U$52-U159</f>
        <v>4.1967183370921433</v>
      </c>
      <c r="V165" s="370">
        <f>Flat!V$52-V159</f>
        <v>2.7177892639725911</v>
      </c>
      <c r="W165" s="370">
        <f>Flat!W$52-W159</f>
        <v>1.1226073504959828</v>
      </c>
      <c r="X165" s="370">
        <f>Flat!X$52-X159</f>
        <v>2.8755087917206126</v>
      </c>
      <c r="Y165" s="370">
        <f>Flat!Y$52-Y159</f>
        <v>1.7430759551306423</v>
      </c>
      <c r="Z165" s="370">
        <f>Flat!Z$52-Z159</f>
        <v>2.5983244111281465</v>
      </c>
      <c r="AA165" s="370">
        <f>Flat!AA$52-AA159</f>
        <v>0.78704677741709617</v>
      </c>
      <c r="AB165" s="370">
        <f>Flat!AB$52-AB159</f>
        <v>3.1657027833522307</v>
      </c>
      <c r="AC165" s="370">
        <f>Flat!AC$52-AC159</f>
        <v>5.7047030516006849</v>
      </c>
      <c r="AD165" s="370">
        <f>Flat!AD$52-AD159</f>
        <v>6.3354243896256719</v>
      </c>
      <c r="AE165" s="370">
        <f>Flat!AE$52-AE159</f>
        <v>0.75888817857931201</v>
      </c>
      <c r="AF165" s="370">
        <f>Flat!AF$52-AF159</f>
        <v>2.0223102972955616</v>
      </c>
      <c r="AG165" s="370">
        <f>Flat!AG$52-AG159</f>
        <v>3.4148312138977701</v>
      </c>
      <c r="AH165" s="370">
        <f>Flat!AH$52-AH159</f>
        <v>1.0489527238261687</v>
      </c>
      <c r="AI165" s="370">
        <f>Flat!AI$52-AI159</f>
        <v>9.1634110305790415</v>
      </c>
      <c r="AJ165" s="370">
        <f>Flat!AJ$52-AJ159</f>
        <v>2.6011129612831354</v>
      </c>
      <c r="AK165" s="370">
        <f>Flat!AK$52-AK159</f>
        <v>2.3196287073299544</v>
      </c>
      <c r="AL165" s="370">
        <f>Flat!AL$52-AL159</f>
        <v>1.9900798133014135</v>
      </c>
      <c r="AM165" s="370">
        <f>Flat!AM$52-AM159</f>
        <v>2.3919200982093685</v>
      </c>
      <c r="AN165" s="371">
        <f>Flat!AN$52-AN159</f>
        <v>2.3919200982093685</v>
      </c>
    </row>
    <row r="166" spans="1:40" s="5" customFormat="1">
      <c r="A166" s="155"/>
      <c r="B166" s="338" t="s">
        <v>7</v>
      </c>
      <c r="C166" s="368" t="s">
        <v>190</v>
      </c>
      <c r="D166" s="379">
        <f>Flat!D$53-D160</f>
        <v>0.87479548007577534</v>
      </c>
      <c r="E166" s="379">
        <f>Flat!E$53-E160</f>
        <v>2.5225686305529322</v>
      </c>
      <c r="F166" s="379">
        <f>Flat!F$53-F160</f>
        <v>1.011695180271019</v>
      </c>
      <c r="G166" s="379">
        <f>Flat!G$53-G160</f>
        <v>0.85227696184217194</v>
      </c>
      <c r="H166" s="379">
        <f>Flat!H$53-H160</f>
        <v>5.1401224211512258</v>
      </c>
      <c r="I166" s="379">
        <f>Flat!I$53-I160</f>
        <v>1.0018116770014913</v>
      </c>
      <c r="J166" s="379">
        <f>Flat!J$53-J160</f>
        <v>0.8069427636024713</v>
      </c>
      <c r="K166" s="379">
        <f>Flat!K$53-K160</f>
        <v>0.4326240425068022</v>
      </c>
      <c r="L166" s="379">
        <f>Flat!L$53-L160</f>
        <v>0.8191457368138586</v>
      </c>
      <c r="M166" s="379">
        <f>Flat!M$53-M160</f>
        <v>2.010091492459658</v>
      </c>
      <c r="N166" s="379">
        <f>Flat!N$53-N160</f>
        <v>1.0670570273460172</v>
      </c>
      <c r="O166" s="379">
        <f>Flat!O$53-O160</f>
        <v>0.60248495808234281</v>
      </c>
      <c r="P166" s="379">
        <f>Flat!P$53-P160</f>
        <v>2.3605405483534909</v>
      </c>
      <c r="Q166" s="379">
        <f>Flat!Q$53-Q160</f>
        <v>0.96467758051749897</v>
      </c>
      <c r="R166" s="379">
        <f>Flat!R$53-R160</f>
        <v>0.85403129964508651</v>
      </c>
      <c r="S166" s="379">
        <f>Flat!S$53-S160</f>
        <v>1.1495122966087372</v>
      </c>
      <c r="T166" s="379">
        <f>Flat!T$53-T160</f>
        <v>0.92910681735666856</v>
      </c>
      <c r="U166" s="379">
        <f>Flat!U$53-U160</f>
        <v>4.2422489943955526</v>
      </c>
      <c r="V166" s="379">
        <f>Flat!V$53-V160</f>
        <v>0.7710023736769287</v>
      </c>
      <c r="W166" s="379">
        <f>Flat!W$53-W160</f>
        <v>0.98849017135732709</v>
      </c>
      <c r="X166" s="379">
        <f>Flat!X$53-X160</f>
        <v>0.80730864391885859</v>
      </c>
      <c r="Y166" s="379">
        <f>Flat!Y$53-Y160</f>
        <v>1.761800552594508</v>
      </c>
      <c r="Z166" s="379">
        <f>Flat!Z$53-Z160</f>
        <v>1.7045483730287501</v>
      </c>
      <c r="AA166" s="379">
        <f>Flat!AA$53-AA160</f>
        <v>0.80929783808201705</v>
      </c>
      <c r="AB166" s="379">
        <f>Flat!AB$53-AB160</f>
        <v>3.5071147628728596</v>
      </c>
      <c r="AC166" s="379">
        <f>Flat!AC$53-AC160</f>
        <v>3.1180092775634343</v>
      </c>
      <c r="AD166" s="379">
        <f>Flat!AD$53-AD160</f>
        <v>5.3703740305179863</v>
      </c>
      <c r="AE166" s="379">
        <f>Flat!AE$53-AE160</f>
        <v>0.78034315099513663</v>
      </c>
      <c r="AF166" s="379">
        <f>Flat!AF$53-AF160</f>
        <v>0.67512051683006291</v>
      </c>
      <c r="AG166" s="379">
        <f>Flat!AG$53-AG160</f>
        <v>1.3041254007596379</v>
      </c>
      <c r="AH166" s="379">
        <f>Flat!AH$53-AH160</f>
        <v>0.70353804200489023</v>
      </c>
      <c r="AI166" s="379">
        <f>Flat!AI$53-AI160</f>
        <v>1.7496592296953075</v>
      </c>
      <c r="AJ166" s="379">
        <f>Flat!AJ$53-AJ160</f>
        <v>1.8199028268963531</v>
      </c>
      <c r="AK166" s="379">
        <f>Flat!AK$53-AK160</f>
        <v>1.6227116609697276</v>
      </c>
      <c r="AL166" s="379">
        <f>Flat!AL$53-AL160</f>
        <v>1.0257124056488536</v>
      </c>
      <c r="AM166" s="379">
        <f>Flat!AM$53-AM160</f>
        <v>1.6735382942746497</v>
      </c>
      <c r="AN166" s="380">
        <f>Flat!AN$53-AN160</f>
        <v>1.6735382942746497</v>
      </c>
    </row>
    <row r="167" spans="1:40" s="5" customFormat="1"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4"/>
      <c r="AF167" s="164"/>
      <c r="AG167" s="164"/>
      <c r="AH167" s="164"/>
      <c r="AI167" s="164"/>
      <c r="AJ167" s="164"/>
      <c r="AK167" s="164"/>
      <c r="AL167" s="164"/>
      <c r="AM167" s="164"/>
      <c r="AN167" s="164"/>
    </row>
    <row r="168" spans="1:40" s="5" customFormat="1">
      <c r="A168" s="5" t="s">
        <v>221</v>
      </c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  <c r="AD168" s="164"/>
      <c r="AE168" s="164"/>
      <c r="AF168" s="164"/>
      <c r="AG168" s="164"/>
      <c r="AH168" s="164"/>
      <c r="AI168" s="164"/>
      <c r="AJ168" s="164"/>
      <c r="AK168" s="164"/>
      <c r="AL168" s="164"/>
      <c r="AM168" s="164"/>
      <c r="AN168" s="164"/>
    </row>
    <row r="169" spans="1:40" s="5" customFormat="1">
      <c r="A169" s="938" t="s">
        <v>123</v>
      </c>
      <c r="B169" s="939"/>
      <c r="C169" s="138" t="s">
        <v>76</v>
      </c>
      <c r="D169" s="194">
        <v>1</v>
      </c>
      <c r="E169" s="195">
        <v>1</v>
      </c>
      <c r="F169" s="195">
        <v>1</v>
      </c>
      <c r="G169" s="195">
        <v>1</v>
      </c>
      <c r="H169" s="195">
        <v>1</v>
      </c>
      <c r="I169" s="195">
        <v>1</v>
      </c>
      <c r="J169" s="195">
        <v>1</v>
      </c>
      <c r="K169" s="195">
        <v>1</v>
      </c>
      <c r="L169" s="195">
        <v>1</v>
      </c>
      <c r="M169" s="195">
        <v>1</v>
      </c>
      <c r="N169" s="195">
        <v>1</v>
      </c>
      <c r="O169" s="195">
        <v>1</v>
      </c>
      <c r="P169" s="195">
        <v>1</v>
      </c>
      <c r="Q169" s="195">
        <v>1</v>
      </c>
      <c r="R169" s="195">
        <v>1</v>
      </c>
      <c r="S169" s="195">
        <v>1</v>
      </c>
      <c r="T169" s="195">
        <v>1</v>
      </c>
      <c r="U169" s="195">
        <v>1</v>
      </c>
      <c r="V169" s="195">
        <v>1</v>
      </c>
      <c r="W169" s="195">
        <v>1</v>
      </c>
      <c r="X169" s="195">
        <v>1</v>
      </c>
      <c r="Y169" s="195">
        <v>1</v>
      </c>
      <c r="Z169" s="195">
        <v>1</v>
      </c>
      <c r="AA169" s="195">
        <v>1</v>
      </c>
      <c r="AB169" s="195">
        <v>1</v>
      </c>
      <c r="AC169" s="195">
        <v>1</v>
      </c>
      <c r="AD169" s="195">
        <v>1</v>
      </c>
      <c r="AE169" s="195">
        <v>1</v>
      </c>
      <c r="AF169" s="195">
        <v>1</v>
      </c>
      <c r="AG169" s="195">
        <v>1</v>
      </c>
      <c r="AH169" s="195">
        <v>1</v>
      </c>
      <c r="AI169" s="195">
        <v>1</v>
      </c>
      <c r="AJ169" s="195">
        <v>1</v>
      </c>
      <c r="AK169" s="195">
        <v>1</v>
      </c>
      <c r="AL169" s="195">
        <v>1</v>
      </c>
      <c r="AM169" s="195">
        <v>1</v>
      </c>
      <c r="AN169" s="196">
        <v>1</v>
      </c>
    </row>
    <row r="170" spans="1:40" s="5" customFormat="1">
      <c r="A170" s="151" t="s">
        <v>193</v>
      </c>
      <c r="B170" s="141" t="s">
        <v>2</v>
      </c>
      <c r="C170" s="144" t="s">
        <v>195</v>
      </c>
      <c r="D170" s="170">
        <f>((LOOKUP(Flat!D$2,'Ceiling-U'!$A$4:$A$40,'Ceiling-U'!$E$4:$E$40)*Flat!D$15)+(LOOKUP(Flat!D$2,'Floor-U'!$A$4:$A$40,'Floor-U'!$E$4:$E$40)*Flat!D$16)+(LOOKUP(Flat!D$2,'Wall-U'!$A$4:$A$40,'Wall-U'!$Q$4:$Q$40)*Flat!D$13)+(LOOKUP(Flat!D$2,'Window-U'!$A$4:$A$40,'Window-U'!$E$4:$E$40)*Flat!D$22))*D169</f>
        <v>1426.7048704915424</v>
      </c>
      <c r="E170" s="171">
        <f>((LOOKUP(Flat!E$2,'Ceiling-U'!$A$4:$A$40,'Ceiling-U'!$E$4:$E$40)*Flat!E$15)+(LOOKUP(Flat!E$2,'Floor-U'!$A$4:$A$40,'Floor-U'!$E$4:$E$40)*Flat!E$16)+(LOOKUP(Flat!E$2,'Wall-U'!$A$4:$A$40,'Wall-U'!$Q$4:$Q$40)*Flat!E$13)+(LOOKUP(Flat!E$2,'Window-U'!$A$4:$A$40,'Window-U'!$E$4:$E$40)*Flat!E$22))*E169</f>
        <v>1851.6432322681267</v>
      </c>
      <c r="F170" s="171">
        <f>((LOOKUP(Flat!F$2,'Ceiling-U'!$A$4:$A$40,'Ceiling-U'!$E$4:$E$40)*Flat!F$15)+(LOOKUP(Flat!F$2,'Floor-U'!$A$4:$A$40,'Floor-U'!$E$4:$E$40)*Flat!F$16)+(LOOKUP(Flat!F$2,'Wall-U'!$A$4:$A$40,'Wall-U'!$Q$4:$Q$40)*Flat!F$13)+(LOOKUP(Flat!F$2,'Window-U'!$A$4:$A$40,'Window-U'!$E$4:$E$40)*Flat!F$22))*F169</f>
        <v>2446.6834030251589</v>
      </c>
      <c r="G170" s="171">
        <f>((LOOKUP(Flat!G$2,'Ceiling-U'!$A$4:$A$40,'Ceiling-U'!$E$4:$E$40)*Flat!G$15)+(LOOKUP(Flat!G$2,'Floor-U'!$A$4:$A$40,'Floor-U'!$E$4:$E$40)*Flat!G$16)+(LOOKUP(Flat!G$2,'Wall-U'!$A$4:$A$40,'Wall-U'!$Q$4:$Q$40)*Flat!G$13)+(LOOKUP(Flat!G$2,'Window-U'!$A$4:$A$40,'Window-U'!$E$4:$E$40)*Flat!G$22))*G169</f>
        <v>1426.7048704915424</v>
      </c>
      <c r="H170" s="171">
        <f>((LOOKUP(Flat!H$2,'Ceiling-U'!$A$4:$A$40,'Ceiling-U'!$E$4:$E$40)*Flat!H$15)+(LOOKUP(Flat!H$2,'Floor-U'!$A$4:$A$40,'Floor-U'!$E$4:$E$40)*Flat!H$16)+(LOOKUP(Flat!H$2,'Wall-U'!$A$4:$A$40,'Wall-U'!$Q$4:$Q$40)*Flat!H$13)+(LOOKUP(Flat!H$2,'Window-U'!$A$4:$A$40,'Window-U'!$E$4:$E$40)*Flat!H$22))*H169</f>
        <v>2484.5602832990426</v>
      </c>
      <c r="I170" s="171">
        <f>((LOOKUP(Flat!I$2,'Ceiling-U'!$A$4:$A$40,'Ceiling-U'!$E$4:$E$40)*Flat!I$15)+(LOOKUP(Flat!I$2,'Floor-U'!$A$4:$A$40,'Floor-U'!$E$4:$E$40)*Flat!I$16)+(LOOKUP(Flat!I$2,'Wall-U'!$A$4:$A$40,'Wall-U'!$Q$4:$Q$40)*Flat!I$13)+(LOOKUP(Flat!I$2,'Window-U'!$A$4:$A$40,'Window-U'!$E$4:$E$40)*Flat!I$22))*I169</f>
        <v>1281.3275907519492</v>
      </c>
      <c r="J170" s="171">
        <f>((LOOKUP(Flat!J$2,'Ceiling-U'!$A$4:$A$40,'Ceiling-U'!$E$4:$E$40)*Flat!J$15)+(LOOKUP(Flat!J$2,'Floor-U'!$A$4:$A$40,'Floor-U'!$E$4:$E$40)*Flat!J$16)+(LOOKUP(Flat!J$2,'Wall-U'!$A$4:$A$40,'Wall-U'!$Q$4:$Q$40)*Flat!J$13)+(LOOKUP(Flat!J$2,'Window-U'!$A$4:$A$40,'Window-U'!$E$4:$E$40)*Flat!J$22))*J169</f>
        <v>1657.4769259121622</v>
      </c>
      <c r="K170" s="171">
        <f>((LOOKUP(Flat!K$2,'Ceiling-U'!$A$4:$A$40,'Ceiling-U'!$E$4:$E$40)*Flat!K$15)+(LOOKUP(Flat!K$2,'Floor-U'!$A$4:$A$40,'Floor-U'!$E$4:$E$40)*Flat!K$16)+(LOOKUP(Flat!K$2,'Wall-U'!$A$4:$A$40,'Wall-U'!$Q$4:$Q$40)*Flat!K$13)+(LOOKUP(Flat!K$2,'Window-U'!$A$4:$A$40,'Window-U'!$E$4:$E$40)*Flat!K$22))*K169</f>
        <v>1548.0038398456691</v>
      </c>
      <c r="L170" s="171">
        <f>((LOOKUP(Flat!L$2,'Ceiling-U'!$A$4:$A$40,'Ceiling-U'!$E$4:$E$40)*Flat!L$15)+(LOOKUP(Flat!L$2,'Floor-U'!$A$4:$A$40,'Floor-U'!$E$4:$E$40)*Flat!L$16)+(LOOKUP(Flat!L$2,'Wall-U'!$A$4:$A$40,'Wall-U'!$Q$4:$Q$40)*Flat!L$13)+(LOOKUP(Flat!L$2,'Window-U'!$A$4:$A$40,'Window-U'!$E$4:$E$40)*Flat!L$22))*L169</f>
        <v>649.1015560144707</v>
      </c>
      <c r="M170" s="171">
        <f>((LOOKUP(Flat!M$2,'Ceiling-U'!$A$4:$A$40,'Ceiling-U'!$E$4:$E$40)*Flat!M$15)+(LOOKUP(Flat!M$2,'Floor-U'!$A$4:$A$40,'Floor-U'!$E$4:$E$40)*Flat!M$16)+(LOOKUP(Flat!M$2,'Wall-U'!$A$4:$A$40,'Wall-U'!$Q$4:$Q$40)*Flat!M$13)+(LOOKUP(Flat!M$2,'Window-U'!$A$4:$A$40,'Window-U'!$E$4:$E$40)*Flat!M$22))*M169</f>
        <v>1616.7377829661582</v>
      </c>
      <c r="N170" s="171">
        <f>((LOOKUP(Flat!N$2,'Ceiling-U'!$A$4:$A$40,'Ceiling-U'!$E$4:$E$40)*Flat!N$15)+(LOOKUP(Flat!N$2,'Floor-U'!$A$4:$A$40,'Floor-U'!$E$4:$E$40)*Flat!N$16)+(LOOKUP(Flat!N$2,'Wall-U'!$A$4:$A$40,'Wall-U'!$Q$4:$Q$40)*Flat!N$13)+(LOOKUP(Flat!N$2,'Window-U'!$A$4:$A$40,'Window-U'!$E$4:$E$40)*Flat!N$22))*N169</f>
        <v>1740.7355774718098</v>
      </c>
      <c r="O170" s="171">
        <f>((LOOKUP(Flat!O$2,'Ceiling-U'!$A$4:$A$40,'Ceiling-U'!$E$4:$E$40)*Flat!O$15)+(LOOKUP(Flat!O$2,'Floor-U'!$A$4:$A$40,'Floor-U'!$E$4:$E$40)*Flat!O$16)+(LOOKUP(Flat!O$2,'Wall-U'!$A$4:$A$40,'Wall-U'!$Q$4:$Q$40)*Flat!O$13)+(LOOKUP(Flat!O$2,'Window-U'!$A$4:$A$40,'Window-U'!$E$4:$E$40)*Flat!O$22))*O169</f>
        <v>2154.4316199308009</v>
      </c>
      <c r="P170" s="171">
        <f>((LOOKUP(Flat!P$2,'Ceiling-U'!$A$4:$A$40,'Ceiling-U'!$E$4:$E$40)*Flat!P$15)+(LOOKUP(Flat!P$2,'Floor-U'!$A$4:$A$40,'Floor-U'!$E$4:$E$40)*Flat!P$16)+(LOOKUP(Flat!P$2,'Wall-U'!$A$4:$A$40,'Wall-U'!$Q$4:$Q$40)*Flat!P$13)+(LOOKUP(Flat!P$2,'Window-U'!$A$4:$A$40,'Window-U'!$E$4:$E$40)*Flat!P$22))*P169</f>
        <v>1553.8212897549242</v>
      </c>
      <c r="Q170" s="171">
        <f>((LOOKUP(Flat!Q$2,'Ceiling-U'!$A$4:$A$40,'Ceiling-U'!$E$4:$E$40)*Flat!Q$15)+(LOOKUP(Flat!Q$2,'Floor-U'!$A$4:$A$40,'Floor-U'!$E$4:$E$40)*Flat!Q$16)+(LOOKUP(Flat!Q$2,'Wall-U'!$A$4:$A$40,'Wall-U'!$Q$4:$Q$40)*Flat!Q$13)+(LOOKUP(Flat!Q$2,'Window-U'!$A$4:$A$40,'Window-U'!$E$4:$E$40)*Flat!Q$22))*Q169</f>
        <v>1553.7432853062433</v>
      </c>
      <c r="R170" s="171">
        <f>((LOOKUP(Flat!R$2,'Ceiling-U'!$A$4:$A$40,'Ceiling-U'!$E$4:$E$40)*Flat!R$15)+(LOOKUP(Flat!R$2,'Floor-U'!$A$4:$A$40,'Floor-U'!$E$4:$E$40)*Flat!R$16)+(LOOKUP(Flat!R$2,'Wall-U'!$A$4:$A$40,'Wall-U'!$Q$4:$Q$40)*Flat!R$13)+(LOOKUP(Flat!R$2,'Window-U'!$A$4:$A$40,'Window-U'!$E$4:$E$40)*Flat!R$22))*R169</f>
        <v>1145.0729025340036</v>
      </c>
      <c r="S170" s="171">
        <f>((LOOKUP(Flat!S$2,'Ceiling-U'!$A$4:$A$40,'Ceiling-U'!$E$4:$E$40)*Flat!S$15)+(LOOKUP(Flat!S$2,'Floor-U'!$A$4:$A$40,'Floor-U'!$E$4:$E$40)*Flat!S$16)+(LOOKUP(Flat!S$2,'Wall-U'!$A$4:$A$40,'Wall-U'!$Q$4:$Q$40)*Flat!S$13)+(LOOKUP(Flat!S$2,'Window-U'!$A$4:$A$40,'Window-U'!$E$4:$E$40)*Flat!S$22))*S169</f>
        <v>6068.0966309096184</v>
      </c>
      <c r="T170" s="171">
        <f>((LOOKUP(Flat!T$2,'Ceiling-U'!$A$4:$A$40,'Ceiling-U'!$E$4:$E$40)*Flat!T$15)+(LOOKUP(Flat!T$2,'Floor-U'!$A$4:$A$40,'Floor-U'!$E$4:$E$40)*Flat!T$16)+(LOOKUP(Flat!T$2,'Wall-U'!$A$4:$A$40,'Wall-U'!$Q$4:$Q$40)*Flat!T$13)+(LOOKUP(Flat!T$2,'Window-U'!$A$4:$A$40,'Window-U'!$E$4:$E$40)*Flat!T$22))*T169</f>
        <v>833.27565200747176</v>
      </c>
      <c r="U170" s="171">
        <f>((LOOKUP(Flat!U$2,'Ceiling-U'!$A$4:$A$40,'Ceiling-U'!$E$4:$E$40)*Flat!U$15)+(LOOKUP(Flat!U$2,'Floor-U'!$A$4:$A$40,'Floor-U'!$E$4:$E$40)*Flat!U$16)+(LOOKUP(Flat!U$2,'Wall-U'!$A$4:$A$40,'Wall-U'!$Q$4:$Q$40)*Flat!U$13)+(LOOKUP(Flat!U$2,'Window-U'!$A$4:$A$40,'Window-U'!$E$4:$E$40)*Flat!U$22))*U169</f>
        <v>2576.4613886614111</v>
      </c>
      <c r="V170" s="171">
        <f>((LOOKUP(Flat!V$2,'Ceiling-U'!$A$4:$A$40,'Ceiling-U'!$E$4:$E$40)*Flat!V$15)+(LOOKUP(Flat!V$2,'Floor-U'!$A$4:$A$40,'Floor-U'!$E$4:$E$40)*Flat!V$16)+(LOOKUP(Flat!V$2,'Wall-U'!$A$4:$A$40,'Wall-U'!$Q$4:$Q$40)*Flat!V$13)+(LOOKUP(Flat!V$2,'Window-U'!$A$4:$A$40,'Window-U'!$E$4:$E$40)*Flat!V$22))*V169</f>
        <v>1009.5619020330203</v>
      </c>
      <c r="W170" s="171">
        <f>((LOOKUP(Flat!W$2,'Ceiling-U'!$A$4:$A$40,'Ceiling-U'!$E$4:$E$40)*Flat!W$15)+(LOOKUP(Flat!W$2,'Floor-U'!$A$4:$A$40,'Floor-U'!$E$4:$E$40)*Flat!W$16)+(LOOKUP(Flat!W$2,'Wall-U'!$A$4:$A$40,'Wall-U'!$Q$4:$Q$40)*Flat!W$13)+(LOOKUP(Flat!W$2,'Window-U'!$A$4:$A$40,'Window-U'!$E$4:$E$40)*Flat!W$22))*W169</f>
        <v>2034.0913471879139</v>
      </c>
      <c r="X170" s="171">
        <f>((LOOKUP(Flat!X$2,'Ceiling-U'!$A$4:$A$40,'Ceiling-U'!$E$4:$E$40)*Flat!X$15)+(LOOKUP(Flat!X$2,'Floor-U'!$A$4:$A$40,'Floor-U'!$E$4:$E$40)*Flat!X$16)+(LOOKUP(Flat!X$2,'Wall-U'!$A$4:$A$40,'Wall-U'!$Q$4:$Q$40)*Flat!X$13)+(LOOKUP(Flat!X$2,'Window-U'!$A$4:$A$40,'Window-U'!$E$4:$E$40)*Flat!X$22))*X169</f>
        <v>1133.3803772975025</v>
      </c>
      <c r="Y170" s="171">
        <f>((LOOKUP(Flat!Y$2,'Ceiling-U'!$A$4:$A$40,'Ceiling-U'!$E$4:$E$40)*Flat!Y$15)+(LOOKUP(Flat!Y$2,'Floor-U'!$A$4:$A$40,'Floor-U'!$E$4:$E$40)*Flat!Y$16)+(LOOKUP(Flat!Y$2,'Wall-U'!$A$4:$A$40,'Wall-U'!$Q$4:$Q$40)*Flat!Y$13)+(LOOKUP(Flat!Y$2,'Window-U'!$A$4:$A$40,'Window-U'!$E$4:$E$40)*Flat!Y$22))*Y169</f>
        <v>2897.3703287950407</v>
      </c>
      <c r="Z170" s="171">
        <f>((LOOKUP(Flat!Z$2,'Ceiling-U'!$A$4:$A$40,'Ceiling-U'!$E$4:$E$40)*Flat!Z$15)+(LOOKUP(Flat!Z$2,'Floor-U'!$A$4:$A$40,'Floor-U'!$E$4:$E$40)*Flat!Z$16)+(LOOKUP(Flat!Z$2,'Wall-U'!$A$4:$A$40,'Wall-U'!$Q$4:$Q$40)*Flat!Z$13)+(LOOKUP(Flat!Z$2,'Window-U'!$A$4:$A$40,'Window-U'!$E$4:$E$40)*Flat!Z$22))*Z169</f>
        <v>2018.802367308142</v>
      </c>
      <c r="AA170" s="171">
        <f>((LOOKUP(Flat!AA$2,'Ceiling-U'!$A$4:$A$40,'Ceiling-U'!$E$4:$E$40)*Flat!AA$15)+(LOOKUP(Flat!AA$2,'Floor-U'!$A$4:$A$40,'Floor-U'!$E$4:$E$40)*Flat!AA$16)+(LOOKUP(Flat!AA$2,'Wall-U'!$A$4:$A$40,'Wall-U'!$Q$4:$Q$40)*Flat!AA$13)+(LOOKUP(Flat!AA$2,'Window-U'!$A$4:$A$40,'Window-U'!$E$4:$E$40)*Flat!AA$22))*AA169</f>
        <v>828.79707791961846</v>
      </c>
      <c r="AB170" s="171">
        <f>((LOOKUP(Flat!AB$2,'Ceiling-U'!$A$4:$A$40,'Ceiling-U'!$E$4:$E$40)*Flat!AB$15)+(LOOKUP(Flat!AB$2,'Floor-U'!$A$4:$A$40,'Floor-U'!$E$4:$E$40)*Flat!AB$16)+(LOOKUP(Flat!AB$2,'Wall-U'!$A$4:$A$40,'Wall-U'!$Q$4:$Q$40)*Flat!AB$13)+(LOOKUP(Flat!AB$2,'Window-U'!$A$4:$A$40,'Window-U'!$E$4:$E$40)*Flat!AB$22))*AB169</f>
        <v>2119.6755495752418</v>
      </c>
      <c r="AC170" s="171">
        <f>((LOOKUP(Flat!AC$2,'Ceiling-U'!$A$4:$A$40,'Ceiling-U'!$E$4:$E$40)*Flat!AC$15)+(LOOKUP(Flat!AC$2,'Floor-U'!$A$4:$A$40,'Floor-U'!$E$4:$E$40)*Flat!AC$16)+(LOOKUP(Flat!AC$2,'Wall-U'!$A$4:$A$40,'Wall-U'!$Q$4:$Q$40)*Flat!AC$13)+(LOOKUP(Flat!AC$2,'Window-U'!$A$4:$A$40,'Window-U'!$E$4:$E$40)*Flat!AC$22))*AC169</f>
        <v>2810.7770041136237</v>
      </c>
      <c r="AD170" s="171">
        <f>((LOOKUP(Flat!AD$2,'Ceiling-U'!$A$4:$A$40,'Ceiling-U'!$E$4:$E$40)*Flat!AD$15)+(LOOKUP(Flat!AD$2,'Floor-U'!$A$4:$A$40,'Floor-U'!$E$4:$E$40)*Flat!AD$16)+(LOOKUP(Flat!AD$2,'Wall-U'!$A$4:$A$40,'Wall-U'!$Q$4:$Q$40)*Flat!AD$13)+(LOOKUP(Flat!AD$2,'Window-U'!$A$4:$A$40,'Window-U'!$E$4:$E$40)*Flat!AD$22))*AD169</f>
        <v>4266.9162254247522</v>
      </c>
      <c r="AE170" s="171">
        <f>((LOOKUP(Flat!AE$2,'Ceiling-U'!$A$4:$A$40,'Ceiling-U'!$E$4:$E$40)*Flat!AE$15)+(LOOKUP(Flat!AE$2,'Floor-U'!$A$4:$A$40,'Floor-U'!$E$4:$E$40)*Flat!AE$16)+(LOOKUP(Flat!AE$2,'Wall-U'!$A$4:$A$40,'Wall-U'!$Q$4:$Q$40)*Flat!AE$13)+(LOOKUP(Flat!AE$2,'Window-U'!$A$4:$A$40,'Window-U'!$E$4:$E$40)*Flat!AE$22))*AE169</f>
        <v>828.79707791961846</v>
      </c>
      <c r="AF170" s="171">
        <f>((LOOKUP(Flat!AF$2,'Ceiling-U'!$A$4:$A$40,'Ceiling-U'!$E$4:$E$40)*Flat!AF$15)+(LOOKUP(Flat!AF$2,'Floor-U'!$A$4:$A$40,'Floor-U'!$E$4:$E$40)*Flat!AF$16)+(LOOKUP(Flat!AF$2,'Wall-U'!$A$4:$A$40,'Wall-U'!$Q$4:$Q$40)*Flat!AF$13)+(LOOKUP(Flat!AF$2,'Window-U'!$A$4:$A$40,'Window-U'!$E$4:$E$40)*Flat!AF$22))*AF169</f>
        <v>1182.9378913684766</v>
      </c>
      <c r="AG170" s="171">
        <f>((LOOKUP(Flat!AG$2,'Ceiling-U'!$A$4:$A$40,'Ceiling-U'!$E$4:$E$40)*Flat!AG$15)+(LOOKUP(Flat!AG$2,'Floor-U'!$A$4:$A$40,'Floor-U'!$E$4:$E$40)*Flat!AG$16)+(LOOKUP(Flat!AG$2,'Wall-U'!$A$4:$A$40,'Wall-U'!$Q$4:$Q$40)*Flat!AG$13)+(LOOKUP(Flat!AG$2,'Window-U'!$A$4:$A$40,'Window-U'!$E$4:$E$40)*Flat!AG$22))*AG169</f>
        <v>1812.5133497907395</v>
      </c>
      <c r="AH170" s="171">
        <f>((LOOKUP(Flat!AH$2,'Ceiling-U'!$A$4:$A$40,'Ceiling-U'!$E$4:$E$40)*Flat!AH$15)+(LOOKUP(Flat!AH$2,'Floor-U'!$A$4:$A$40,'Floor-U'!$E$4:$E$40)*Flat!AH$16)+(LOOKUP(Flat!AH$2,'Wall-U'!$A$4:$A$40,'Wall-U'!$Q$4:$Q$40)*Flat!AH$13)+(LOOKUP(Flat!AH$2,'Window-U'!$A$4:$A$40,'Window-U'!$E$4:$E$40)*Flat!AH$22))*AH169</f>
        <v>4529.9256619992266</v>
      </c>
      <c r="AI170" s="171">
        <f>((LOOKUP(Flat!AI$2,'Ceiling-U'!$A$4:$A$40,'Ceiling-U'!$E$4:$E$40)*Flat!AI$15)+(LOOKUP(Flat!AI$2,'Floor-U'!$A$4:$A$40,'Floor-U'!$E$4:$E$40)*Flat!AI$16)+(LOOKUP(Flat!AI$2,'Wall-U'!$A$4:$A$40,'Wall-U'!$Q$4:$Q$40)*Flat!AI$13)+(LOOKUP(Flat!AI$2,'Window-U'!$A$4:$A$40,'Window-U'!$E$4:$E$40)*Flat!AI$22))*AI169</f>
        <v>2484.0473987695068</v>
      </c>
      <c r="AJ170" s="171">
        <f>((LOOKUP(Flat!AJ$2,'Ceiling-U'!$A$4:$A$40,'Ceiling-U'!$E$4:$E$40)*Flat!AJ$15)+(LOOKUP(Flat!AJ$2,'Floor-U'!$A$4:$A$40,'Floor-U'!$E$4:$E$40)*Flat!AJ$16)+(LOOKUP(Flat!AJ$2,'Wall-U'!$A$4:$A$40,'Wall-U'!$Q$4:$Q$40)*Flat!AJ$13)+(LOOKUP(Flat!AJ$2,'Window-U'!$A$4:$A$40,'Window-U'!$E$4:$E$40)*Flat!AJ$22))*AJ169</f>
        <v>1380.7569214282603</v>
      </c>
      <c r="AK170" s="171">
        <f>((LOOKUP(Flat!AK$2,'Ceiling-U'!$A$4:$A$40,'Ceiling-U'!$E$4:$E$40)*Flat!AK$15)+(LOOKUP(Flat!AK$2,'Floor-U'!$A$4:$A$40,'Floor-U'!$E$4:$E$40)*Flat!AK$16)+(LOOKUP(Flat!AK$2,'Wall-U'!$A$4:$A$40,'Wall-U'!$Q$4:$Q$40)*Flat!AK$13)+(LOOKUP(Flat!AK$2,'Window-U'!$A$4:$A$40,'Window-U'!$E$4:$E$40)*Flat!AK$22))*AK169</f>
        <v>1484.0881145550211</v>
      </c>
      <c r="AL170" s="171">
        <f>((LOOKUP(Flat!AL$2,'Ceiling-U'!$A$4:$A$40,'Ceiling-U'!$E$4:$E$40)*Flat!AL$15)+(LOOKUP(Flat!AL$2,'Floor-U'!$A$4:$A$40,'Floor-U'!$E$4:$E$40)*Flat!AL$16)+(LOOKUP(Flat!AL$2,'Wall-U'!$A$4:$A$40,'Wall-U'!$Q$4:$Q$40)*Flat!AL$13)+(LOOKUP(Flat!AL$2,'Window-U'!$A$4:$A$40,'Window-U'!$E$4:$E$40)*Flat!AL$22))*AL169</f>
        <v>1388.666876764983</v>
      </c>
      <c r="AM170" s="171">
        <f>((LOOKUP(Flat!AM$2,'Ceiling-U'!$A$4:$A$40,'Ceiling-U'!$E$4:$E$40)*Flat!AM$15)+(LOOKUP(Flat!AM$2,'Floor-U'!$A$4:$A$40,'Floor-U'!$E$4:$E$40)*Flat!AM$16)+(LOOKUP(Flat!AM$2,'Wall-U'!$A$4:$A$40,'Wall-U'!$Q$4:$Q$40)*Flat!AM$13)+(LOOKUP(Flat!AM$2,'Window-U'!$A$4:$A$40,'Window-U'!$E$4:$E$40)*Flat!AM$22))*AM169</f>
        <v>1380.7569214282603</v>
      </c>
      <c r="AN170" s="172">
        <f>((LOOKUP(Flat!AN$2,'Ceiling-U'!$A$4:$A$40,'Ceiling-U'!$E$4:$E$40)*Flat!AN$15)+(LOOKUP(Flat!AN$2,'Floor-U'!$A$4:$A$40,'Floor-U'!$E$4:$E$40)*Flat!AN$16)+(LOOKUP(Flat!AN$2,'Wall-U'!$A$4:$A$40,'Wall-U'!$Q$4:$Q$40)*Flat!AN$13)+(LOOKUP(Flat!AN$2,'Window-U'!$A$4:$A$40,'Window-U'!$E$4:$E$40)*Flat!AN$22))*AN169</f>
        <v>1380.7569214282603</v>
      </c>
    </row>
    <row r="171" spans="1:40" s="5" customFormat="1">
      <c r="A171" s="372"/>
      <c r="B171" s="142" t="s">
        <v>3</v>
      </c>
      <c r="C171" s="131" t="s">
        <v>195</v>
      </c>
      <c r="D171" s="176">
        <f>((LOOKUP(Flat!D$2,'Ceiling-U'!$A$4:$A$40,'Ceiling-U'!$F$4:$F$40)*Flat!D$15)+(LOOKUP(Flat!D$2,'Floor-U'!$A$4:$A$40,'Floor-U'!$F$4:$F$40)*Flat!D$16)+(LOOKUP(Flat!D$2,'Wall-U'!$A$4:$A$40,'Wall-U'!$R$4:$R$40)*Flat!D$13)+(LOOKUP(Flat!D$2,'Window-U'!$A$4:$A$40,'Window-U'!$F$4:$F$40)*Flat!D$22))*D169</f>
        <v>1403.5064068693414</v>
      </c>
      <c r="E171" s="177">
        <f>((LOOKUP(Flat!E$2,'Ceiling-U'!$A$4:$A$40,'Ceiling-U'!$F$4:$F$40)*Flat!E$15)+(LOOKUP(Flat!E$2,'Floor-U'!$A$4:$A$40,'Floor-U'!$F$4:$F$40)*Flat!E$16)+(LOOKUP(Flat!E$2,'Wall-U'!$A$4:$A$40,'Wall-U'!$R$4:$R$40)*Flat!E$13)+(LOOKUP(Flat!E$2,'Window-U'!$A$4:$A$40,'Window-U'!$F$4:$F$40)*Flat!E$22))*E169</f>
        <v>1851.6432322681267</v>
      </c>
      <c r="F171" s="177">
        <f>((LOOKUP(Flat!F$2,'Ceiling-U'!$A$4:$A$40,'Ceiling-U'!$F$4:$F$40)*Flat!F$15)+(LOOKUP(Flat!F$2,'Floor-U'!$A$4:$A$40,'Floor-U'!$F$4:$F$40)*Flat!F$16)+(LOOKUP(Flat!F$2,'Wall-U'!$A$4:$A$40,'Wall-U'!$R$4:$R$40)*Flat!F$13)+(LOOKUP(Flat!F$2,'Window-U'!$A$4:$A$40,'Window-U'!$F$4:$F$40)*Flat!F$22))*F169</f>
        <v>2446.6834030251589</v>
      </c>
      <c r="G171" s="177">
        <f>((LOOKUP(Flat!G$2,'Ceiling-U'!$A$4:$A$40,'Ceiling-U'!$F$4:$F$40)*Flat!G$15)+(LOOKUP(Flat!G$2,'Floor-U'!$A$4:$A$40,'Floor-U'!$F$4:$F$40)*Flat!G$16)+(LOOKUP(Flat!G$2,'Wall-U'!$A$4:$A$40,'Wall-U'!$R$4:$R$40)*Flat!G$13)+(LOOKUP(Flat!G$2,'Window-U'!$A$4:$A$40,'Window-U'!$F$4:$F$40)*Flat!G$22))*G169</f>
        <v>1403.5064068693414</v>
      </c>
      <c r="H171" s="177">
        <f>((LOOKUP(Flat!H$2,'Ceiling-U'!$A$4:$A$40,'Ceiling-U'!$F$4:$F$40)*Flat!H$15)+(LOOKUP(Flat!H$2,'Floor-U'!$A$4:$A$40,'Floor-U'!$F$4:$F$40)*Flat!H$16)+(LOOKUP(Flat!H$2,'Wall-U'!$A$4:$A$40,'Wall-U'!$R$4:$R$40)*Flat!H$13)+(LOOKUP(Flat!H$2,'Window-U'!$A$4:$A$40,'Window-U'!$F$4:$F$40)*Flat!H$22))*H169</f>
        <v>2449.0699660650776</v>
      </c>
      <c r="I171" s="177">
        <f>((LOOKUP(Flat!I$2,'Ceiling-U'!$A$4:$A$40,'Ceiling-U'!$F$4:$F$40)*Flat!I$15)+(LOOKUP(Flat!I$2,'Floor-U'!$A$4:$A$40,'Floor-U'!$F$4:$F$40)*Flat!I$16)+(LOOKUP(Flat!I$2,'Wall-U'!$A$4:$A$40,'Wall-U'!$R$4:$R$40)*Flat!I$13)+(LOOKUP(Flat!I$2,'Window-U'!$A$4:$A$40,'Window-U'!$F$4:$F$40)*Flat!I$22))*I169</f>
        <v>1112.4964906949128</v>
      </c>
      <c r="J171" s="177">
        <f>((LOOKUP(Flat!J$2,'Ceiling-U'!$A$4:$A$40,'Ceiling-U'!$F$4:$F$40)*Flat!J$15)+(LOOKUP(Flat!J$2,'Floor-U'!$A$4:$A$40,'Floor-U'!$F$4:$F$40)*Flat!J$16)+(LOOKUP(Flat!J$2,'Wall-U'!$A$4:$A$40,'Wall-U'!$R$4:$R$40)*Flat!J$13)+(LOOKUP(Flat!J$2,'Window-U'!$A$4:$A$40,'Window-U'!$F$4:$F$40)*Flat!J$22))*J169</f>
        <v>1489.3345792525165</v>
      </c>
      <c r="K171" s="177">
        <f>((LOOKUP(Flat!K$2,'Ceiling-U'!$A$4:$A$40,'Ceiling-U'!$F$4:$F$40)*Flat!K$15)+(LOOKUP(Flat!K$2,'Floor-U'!$A$4:$A$40,'Floor-U'!$F$4:$F$40)*Flat!K$16)+(LOOKUP(Flat!K$2,'Wall-U'!$A$4:$A$40,'Wall-U'!$R$4:$R$40)*Flat!K$13)+(LOOKUP(Flat!K$2,'Window-U'!$A$4:$A$40,'Window-U'!$F$4:$F$40)*Flat!K$22))*K169</f>
        <v>1496.2688684013337</v>
      </c>
      <c r="L171" s="177">
        <f>((LOOKUP(Flat!L$2,'Ceiling-U'!$A$4:$A$40,'Ceiling-U'!$F$4:$F$40)*Flat!L$15)+(LOOKUP(Flat!L$2,'Floor-U'!$A$4:$A$40,'Floor-U'!$F$4:$F$40)*Flat!L$16)+(LOOKUP(Flat!L$2,'Wall-U'!$A$4:$A$40,'Wall-U'!$R$4:$R$40)*Flat!L$13)+(LOOKUP(Flat!L$2,'Window-U'!$A$4:$A$40,'Window-U'!$F$4:$F$40)*Flat!L$22))*L169</f>
        <v>649.1015560144707</v>
      </c>
      <c r="M171" s="177">
        <f>((LOOKUP(Flat!M$2,'Ceiling-U'!$A$4:$A$40,'Ceiling-U'!$F$4:$F$40)*Flat!M$15)+(LOOKUP(Flat!M$2,'Floor-U'!$A$4:$A$40,'Floor-U'!$F$4:$F$40)*Flat!M$16)+(LOOKUP(Flat!M$2,'Wall-U'!$A$4:$A$40,'Wall-U'!$R$4:$R$40)*Flat!M$13)+(LOOKUP(Flat!M$2,'Window-U'!$A$4:$A$40,'Window-U'!$F$4:$F$40)*Flat!M$22))*M169</f>
        <v>1530.7788876859954</v>
      </c>
      <c r="N171" s="177">
        <f>((LOOKUP(Flat!N$2,'Ceiling-U'!$A$4:$A$40,'Ceiling-U'!$F$4:$F$40)*Flat!N$15)+(LOOKUP(Flat!N$2,'Floor-U'!$A$4:$A$40,'Floor-U'!$F$4:$F$40)*Flat!N$16)+(LOOKUP(Flat!N$2,'Wall-U'!$A$4:$A$40,'Wall-U'!$R$4:$R$40)*Flat!N$13)+(LOOKUP(Flat!N$2,'Window-U'!$A$4:$A$40,'Window-U'!$F$4:$F$40)*Flat!N$22))*N169</f>
        <v>1628.4243783552683</v>
      </c>
      <c r="O171" s="177">
        <f>((LOOKUP(Flat!O$2,'Ceiling-U'!$A$4:$A$40,'Ceiling-U'!$F$4:$F$40)*Flat!O$15)+(LOOKUP(Flat!O$2,'Floor-U'!$A$4:$A$40,'Floor-U'!$F$4:$F$40)*Flat!O$16)+(LOOKUP(Flat!O$2,'Wall-U'!$A$4:$A$40,'Wall-U'!$R$4:$R$40)*Flat!O$13)+(LOOKUP(Flat!O$2,'Window-U'!$A$4:$A$40,'Window-U'!$F$4:$F$40)*Flat!O$22))*O169</f>
        <v>2154.4316199308009</v>
      </c>
      <c r="P171" s="177">
        <f>((LOOKUP(Flat!P$2,'Ceiling-U'!$A$4:$A$40,'Ceiling-U'!$F$4:$F$40)*Flat!P$15)+(LOOKUP(Flat!P$2,'Floor-U'!$A$4:$A$40,'Floor-U'!$F$4:$F$40)*Flat!P$16)+(LOOKUP(Flat!P$2,'Wall-U'!$A$4:$A$40,'Wall-U'!$R$4:$R$40)*Flat!P$13)+(LOOKUP(Flat!P$2,'Window-U'!$A$4:$A$40,'Window-U'!$F$4:$F$40)*Flat!P$22))*P169</f>
        <v>1553.8212897549242</v>
      </c>
      <c r="Q171" s="177">
        <f>((LOOKUP(Flat!Q$2,'Ceiling-U'!$A$4:$A$40,'Ceiling-U'!$F$4:$F$40)*Flat!Q$15)+(LOOKUP(Flat!Q$2,'Floor-U'!$A$4:$A$40,'Floor-U'!$F$4:$F$40)*Flat!Q$16)+(LOOKUP(Flat!Q$2,'Wall-U'!$A$4:$A$40,'Wall-U'!$R$4:$R$40)*Flat!Q$13)+(LOOKUP(Flat!Q$2,'Window-U'!$A$4:$A$40,'Window-U'!$F$4:$F$40)*Flat!Q$22))*Q169</f>
        <v>1579.8826480241423</v>
      </c>
      <c r="R171" s="177">
        <f>((LOOKUP(Flat!R$2,'Ceiling-U'!$A$4:$A$40,'Ceiling-U'!$F$4:$F$40)*Flat!R$15)+(LOOKUP(Flat!R$2,'Floor-U'!$A$4:$A$40,'Floor-U'!$F$4:$F$40)*Flat!R$16)+(LOOKUP(Flat!R$2,'Wall-U'!$A$4:$A$40,'Wall-U'!$R$4:$R$40)*Flat!R$13)+(LOOKUP(Flat!R$2,'Window-U'!$A$4:$A$40,'Window-U'!$F$4:$F$40)*Flat!R$22))*R169</f>
        <v>1145.0729025340036</v>
      </c>
      <c r="S171" s="177">
        <f>((LOOKUP(Flat!S$2,'Ceiling-U'!$A$4:$A$40,'Ceiling-U'!$F$4:$F$40)*Flat!S$15)+(LOOKUP(Flat!S$2,'Floor-U'!$A$4:$A$40,'Floor-U'!$F$4:$F$40)*Flat!S$16)+(LOOKUP(Flat!S$2,'Wall-U'!$A$4:$A$40,'Wall-U'!$R$4:$R$40)*Flat!S$13)+(LOOKUP(Flat!S$2,'Window-U'!$A$4:$A$40,'Window-U'!$F$4:$F$40)*Flat!S$22))*S169</f>
        <v>6173.9423348190267</v>
      </c>
      <c r="T171" s="177">
        <f>((LOOKUP(Flat!T$2,'Ceiling-U'!$A$4:$A$40,'Ceiling-U'!$F$4:$F$40)*Flat!T$15)+(LOOKUP(Flat!T$2,'Floor-U'!$A$4:$A$40,'Floor-U'!$F$4:$F$40)*Flat!T$16)+(LOOKUP(Flat!T$2,'Wall-U'!$A$4:$A$40,'Wall-U'!$R$4:$R$40)*Flat!T$13)+(LOOKUP(Flat!T$2,'Window-U'!$A$4:$A$40,'Window-U'!$F$4:$F$40)*Flat!T$22))*T169</f>
        <v>782.97935192874752</v>
      </c>
      <c r="U171" s="177">
        <f>((LOOKUP(Flat!U$2,'Ceiling-U'!$A$4:$A$40,'Ceiling-U'!$F$4:$F$40)*Flat!U$15)+(LOOKUP(Flat!U$2,'Floor-U'!$A$4:$A$40,'Floor-U'!$F$4:$F$40)*Flat!U$16)+(LOOKUP(Flat!U$2,'Wall-U'!$A$4:$A$40,'Wall-U'!$R$4:$R$40)*Flat!U$13)+(LOOKUP(Flat!U$2,'Window-U'!$A$4:$A$40,'Window-U'!$F$4:$F$40)*Flat!U$22))*U169</f>
        <v>2522.5057816739513</v>
      </c>
      <c r="V171" s="177">
        <f>((LOOKUP(Flat!V$2,'Ceiling-U'!$A$4:$A$40,'Ceiling-U'!$F$4:$F$40)*Flat!V$15)+(LOOKUP(Flat!V$2,'Floor-U'!$A$4:$A$40,'Floor-U'!$F$4:$F$40)*Flat!V$16)+(LOOKUP(Flat!V$2,'Wall-U'!$A$4:$A$40,'Wall-U'!$R$4:$R$40)*Flat!V$13)+(LOOKUP(Flat!V$2,'Window-U'!$A$4:$A$40,'Window-U'!$F$4:$F$40)*Flat!V$22))*V169</f>
        <v>1009.5619020330203</v>
      </c>
      <c r="W171" s="177">
        <f>((LOOKUP(Flat!W$2,'Ceiling-U'!$A$4:$A$40,'Ceiling-U'!$F$4:$F$40)*Flat!W$15)+(LOOKUP(Flat!W$2,'Floor-U'!$A$4:$A$40,'Floor-U'!$F$4:$F$40)*Flat!W$16)+(LOOKUP(Flat!W$2,'Wall-U'!$A$4:$A$40,'Wall-U'!$R$4:$R$40)*Flat!W$13)+(LOOKUP(Flat!W$2,'Window-U'!$A$4:$A$40,'Window-U'!$F$4:$F$40)*Flat!W$22))*W169</f>
        <v>1805.6996774600175</v>
      </c>
      <c r="X171" s="177">
        <f>((LOOKUP(Flat!X$2,'Ceiling-U'!$A$4:$A$40,'Ceiling-U'!$F$4:$F$40)*Flat!X$15)+(LOOKUP(Flat!X$2,'Floor-U'!$A$4:$A$40,'Floor-U'!$F$4:$F$40)*Flat!X$16)+(LOOKUP(Flat!X$2,'Wall-U'!$A$4:$A$40,'Wall-U'!$R$4:$R$40)*Flat!X$13)+(LOOKUP(Flat!X$2,'Window-U'!$A$4:$A$40,'Window-U'!$F$4:$F$40)*Flat!X$22))*X169</f>
        <v>1104.5803772975025</v>
      </c>
      <c r="Y171" s="177">
        <f>((LOOKUP(Flat!Y$2,'Ceiling-U'!$A$4:$A$40,'Ceiling-U'!$F$4:$F$40)*Flat!Y$15)+(LOOKUP(Flat!Y$2,'Floor-U'!$A$4:$A$40,'Floor-U'!$F$4:$F$40)*Flat!Y$16)+(LOOKUP(Flat!Y$2,'Wall-U'!$A$4:$A$40,'Wall-U'!$R$4:$R$40)*Flat!Y$13)+(LOOKUP(Flat!Y$2,'Window-U'!$A$4:$A$40,'Window-U'!$F$4:$F$40)*Flat!Y$22))*Y169</f>
        <v>2891.9883480721528</v>
      </c>
      <c r="Z171" s="177">
        <f>((LOOKUP(Flat!Z$2,'Ceiling-U'!$A$4:$A$40,'Ceiling-U'!$F$4:$F$40)*Flat!Z$15)+(LOOKUP(Flat!Z$2,'Floor-U'!$A$4:$A$40,'Floor-U'!$F$4:$F$40)*Flat!Z$16)+(LOOKUP(Flat!Z$2,'Wall-U'!$A$4:$A$40,'Wall-U'!$R$4:$R$40)*Flat!Z$13)+(LOOKUP(Flat!Z$2,'Window-U'!$A$4:$A$40,'Window-U'!$F$4:$F$40)*Flat!Z$22))*Z169</f>
        <v>1670.9409016432139</v>
      </c>
      <c r="AA171" s="177">
        <f>((LOOKUP(Flat!AA$2,'Ceiling-U'!$A$4:$A$40,'Ceiling-U'!$F$4:$F$40)*Flat!AA$15)+(LOOKUP(Flat!AA$2,'Floor-U'!$A$4:$A$40,'Floor-U'!$F$4:$F$40)*Flat!AA$16)+(LOOKUP(Flat!AA$2,'Wall-U'!$A$4:$A$40,'Wall-U'!$R$4:$R$40)*Flat!AA$13)+(LOOKUP(Flat!AA$2,'Window-U'!$A$4:$A$40,'Window-U'!$F$4:$F$40)*Flat!AA$22))*AA169</f>
        <v>823.24602191961844</v>
      </c>
      <c r="AB171" s="177">
        <f>((LOOKUP(Flat!AB$2,'Ceiling-U'!$A$4:$A$40,'Ceiling-U'!$F$4:$F$40)*Flat!AB$15)+(LOOKUP(Flat!AB$2,'Floor-U'!$A$4:$A$40,'Floor-U'!$F$4:$F$40)*Flat!AB$16)+(LOOKUP(Flat!AB$2,'Wall-U'!$A$4:$A$40,'Wall-U'!$R$4:$R$40)*Flat!AB$13)+(LOOKUP(Flat!AB$2,'Window-U'!$A$4:$A$40,'Window-U'!$F$4:$F$40)*Flat!AB$22))*AB169</f>
        <v>1605.2379199792747</v>
      </c>
      <c r="AC171" s="177">
        <f>((LOOKUP(Flat!AC$2,'Ceiling-U'!$A$4:$A$40,'Ceiling-U'!$F$4:$F$40)*Flat!AC$15)+(LOOKUP(Flat!AC$2,'Floor-U'!$A$4:$A$40,'Floor-U'!$F$4:$F$40)*Flat!AC$16)+(LOOKUP(Flat!AC$2,'Wall-U'!$A$4:$A$40,'Wall-U'!$R$4:$R$40)*Flat!AC$13)+(LOOKUP(Flat!AC$2,'Window-U'!$A$4:$A$40,'Window-U'!$F$4:$F$40)*Flat!AC$22))*AC169</f>
        <v>2758.179217668961</v>
      </c>
      <c r="AD171" s="177">
        <f>((LOOKUP(Flat!AD$2,'Ceiling-U'!$A$4:$A$40,'Ceiling-U'!$F$4:$F$40)*Flat!AD$15)+(LOOKUP(Flat!AD$2,'Floor-U'!$A$4:$A$40,'Floor-U'!$F$4:$F$40)*Flat!AD$16)+(LOOKUP(Flat!AD$2,'Wall-U'!$A$4:$A$40,'Wall-U'!$R$4:$R$40)*Flat!AD$13)+(LOOKUP(Flat!AD$2,'Window-U'!$A$4:$A$40,'Window-U'!$F$4:$F$40)*Flat!AD$22))*AD169</f>
        <v>3945.9566482079185</v>
      </c>
      <c r="AE171" s="177">
        <f>((LOOKUP(Flat!AE$2,'Ceiling-U'!$A$4:$A$40,'Ceiling-U'!$F$4:$F$40)*Flat!AE$15)+(LOOKUP(Flat!AE$2,'Floor-U'!$A$4:$A$40,'Floor-U'!$F$4:$F$40)*Flat!AE$16)+(LOOKUP(Flat!AE$2,'Wall-U'!$A$4:$A$40,'Wall-U'!$R$4:$R$40)*Flat!AE$13)+(LOOKUP(Flat!AE$2,'Window-U'!$A$4:$A$40,'Window-U'!$F$4:$F$40)*Flat!AE$22))*AE169</f>
        <v>823.24602191961844</v>
      </c>
      <c r="AF171" s="177">
        <f>((LOOKUP(Flat!AF$2,'Ceiling-U'!$A$4:$A$40,'Ceiling-U'!$F$4:$F$40)*Flat!AF$15)+(LOOKUP(Flat!AF$2,'Floor-U'!$A$4:$A$40,'Floor-U'!$F$4:$F$40)*Flat!AF$16)+(LOOKUP(Flat!AF$2,'Wall-U'!$A$4:$A$40,'Wall-U'!$R$4:$R$40)*Flat!AF$13)+(LOOKUP(Flat!AF$2,'Window-U'!$A$4:$A$40,'Window-U'!$F$4:$F$40)*Flat!AF$22))*AF169</f>
        <v>1182.9378913684766</v>
      </c>
      <c r="AG171" s="177">
        <f>((LOOKUP(Flat!AG$2,'Ceiling-U'!$A$4:$A$40,'Ceiling-U'!$F$4:$F$40)*Flat!AG$15)+(LOOKUP(Flat!AG$2,'Floor-U'!$A$4:$A$40,'Floor-U'!$F$4:$F$40)*Flat!AG$16)+(LOOKUP(Flat!AG$2,'Wall-U'!$A$4:$A$40,'Wall-U'!$R$4:$R$40)*Flat!AG$13)+(LOOKUP(Flat!AG$2,'Window-U'!$A$4:$A$40,'Window-U'!$F$4:$F$40)*Flat!AG$22))*AG169</f>
        <v>1621.9321187674805</v>
      </c>
      <c r="AH171" s="177">
        <f>((LOOKUP(Flat!AH$2,'Ceiling-U'!$A$4:$A$40,'Ceiling-U'!$F$4:$F$40)*Flat!AH$15)+(LOOKUP(Flat!AH$2,'Floor-U'!$A$4:$A$40,'Floor-U'!$F$4:$F$40)*Flat!AH$16)+(LOOKUP(Flat!AH$2,'Wall-U'!$A$4:$A$40,'Wall-U'!$R$4:$R$40)*Flat!AH$13)+(LOOKUP(Flat!AH$2,'Window-U'!$A$4:$A$40,'Window-U'!$F$4:$F$40)*Flat!AH$22))*AH169</f>
        <v>4570.3895288535186</v>
      </c>
      <c r="AI171" s="177">
        <f>((LOOKUP(Flat!AI$2,'Ceiling-U'!$A$4:$A$40,'Ceiling-U'!$F$4:$F$40)*Flat!AI$15)+(LOOKUP(Flat!AI$2,'Floor-U'!$A$4:$A$40,'Floor-U'!$F$4:$F$40)*Flat!AI$16)+(LOOKUP(Flat!AI$2,'Wall-U'!$A$4:$A$40,'Wall-U'!$R$4:$R$40)*Flat!AI$13)+(LOOKUP(Flat!AI$2,'Window-U'!$A$4:$A$40,'Window-U'!$F$4:$F$40)*Flat!AI$22))*AI169</f>
        <v>2484.0473987695068</v>
      </c>
      <c r="AJ171" s="177">
        <f>((LOOKUP(Flat!AJ$2,'Ceiling-U'!$A$4:$A$40,'Ceiling-U'!$F$4:$F$40)*Flat!AJ$15)+(LOOKUP(Flat!AJ$2,'Floor-U'!$A$4:$A$40,'Floor-U'!$F$4:$F$40)*Flat!AJ$16)+(LOOKUP(Flat!AJ$2,'Wall-U'!$A$4:$A$40,'Wall-U'!$R$4:$R$40)*Flat!AJ$13)+(LOOKUP(Flat!AJ$2,'Window-U'!$A$4:$A$40,'Window-U'!$F$4:$F$40)*Flat!AJ$22))*AJ169</f>
        <v>1380.7569214282603</v>
      </c>
      <c r="AK171" s="177">
        <f>((LOOKUP(Flat!AK$2,'Ceiling-U'!$A$4:$A$40,'Ceiling-U'!$F$4:$F$40)*Flat!AK$15)+(LOOKUP(Flat!AK$2,'Floor-U'!$A$4:$A$40,'Floor-U'!$F$4:$F$40)*Flat!AK$16)+(LOOKUP(Flat!AK$2,'Wall-U'!$A$4:$A$40,'Wall-U'!$R$4:$R$40)*Flat!AK$13)+(LOOKUP(Flat!AK$2,'Window-U'!$A$4:$A$40,'Window-U'!$F$4:$F$40)*Flat!AK$22))*AK169</f>
        <v>1484.0881145550211</v>
      </c>
      <c r="AL171" s="177">
        <f>((LOOKUP(Flat!AL$2,'Ceiling-U'!$A$4:$A$40,'Ceiling-U'!$F$4:$F$40)*Flat!AL$15)+(LOOKUP(Flat!AL$2,'Floor-U'!$A$4:$A$40,'Floor-U'!$F$4:$F$40)*Flat!AL$16)+(LOOKUP(Flat!AL$2,'Wall-U'!$A$4:$A$40,'Wall-U'!$R$4:$R$40)*Flat!AL$13)+(LOOKUP(Flat!AL$2,'Window-U'!$A$4:$A$40,'Window-U'!$F$4:$F$40)*Flat!AL$22))*AL169</f>
        <v>1388.666876764983</v>
      </c>
      <c r="AM171" s="177">
        <f>((LOOKUP(Flat!AM$2,'Ceiling-U'!$A$4:$A$40,'Ceiling-U'!$F$4:$F$40)*Flat!AM$15)+(LOOKUP(Flat!AM$2,'Floor-U'!$A$4:$A$40,'Floor-U'!$F$4:$F$40)*Flat!AM$16)+(LOOKUP(Flat!AM$2,'Wall-U'!$A$4:$A$40,'Wall-U'!$R$4:$R$40)*Flat!AM$13)+(LOOKUP(Flat!AM$2,'Window-U'!$A$4:$A$40,'Window-U'!$F$4:$F$40)*Flat!AM$22))*AM169</f>
        <v>1380.7569214282603</v>
      </c>
      <c r="AN171" s="178">
        <f>((LOOKUP(Flat!AN$2,'Ceiling-U'!$A$4:$A$40,'Ceiling-U'!$F$4:$F$40)*Flat!AN$15)+(LOOKUP(Flat!AN$2,'Floor-U'!$A$4:$A$40,'Floor-U'!$F$4:$F$40)*Flat!AN$16)+(LOOKUP(Flat!AN$2,'Wall-U'!$A$4:$A$40,'Wall-U'!$R$4:$R$40)*Flat!AN$13)+(LOOKUP(Flat!AN$2,'Window-U'!$A$4:$A$40,'Window-U'!$F$4:$F$40)*Flat!AN$22))*AN169</f>
        <v>1380.7569214282603</v>
      </c>
    </row>
    <row r="172" spans="1:40" s="5" customFormat="1">
      <c r="A172" s="372"/>
      <c r="B172" s="142" t="s">
        <v>4</v>
      </c>
      <c r="C172" s="131" t="s">
        <v>195</v>
      </c>
      <c r="D172" s="176">
        <f>((LOOKUP(Flat!D$2,'Ceiling-U'!$A$4:$A$40,'Ceiling-U'!$G$4:$G$40)*Flat!D$15)+(LOOKUP(Flat!D$2,'Floor-U'!$A$4:$A$40,'Floor-U'!$G$4:$G$40)*Flat!D$16)+(LOOKUP(Flat!D$2,'Wall-U'!$A$4:$A$40,'Wall-U'!$S$4:$S$40)*Flat!D$13)+(LOOKUP(Flat!D$2,'Window-U'!$A$4:$A$40,'Window-U'!$G$4:$G$40)*Flat!D$22))*D169</f>
        <v>1170.693144437422</v>
      </c>
      <c r="E172" s="177">
        <f>((LOOKUP(Flat!E$2,'Ceiling-U'!$A$4:$A$40,'Ceiling-U'!$G$4:$G$40)*Flat!E$15)+(LOOKUP(Flat!E$2,'Floor-U'!$A$4:$A$40,'Floor-U'!$G$4:$G$40)*Flat!E$16)+(LOOKUP(Flat!E$2,'Wall-U'!$A$4:$A$40,'Wall-U'!$S$4:$S$40)*Flat!E$13)+(LOOKUP(Flat!E$2,'Window-U'!$A$4:$A$40,'Window-U'!$G$4:$G$40)*Flat!E$22))*E169</f>
        <v>1851.6432322681267</v>
      </c>
      <c r="F172" s="177">
        <f>((LOOKUP(Flat!F$2,'Ceiling-U'!$A$4:$A$40,'Ceiling-U'!$G$4:$G$40)*Flat!F$15)+(LOOKUP(Flat!F$2,'Floor-U'!$A$4:$A$40,'Floor-U'!$G$4:$G$40)*Flat!F$16)+(LOOKUP(Flat!F$2,'Wall-U'!$A$4:$A$40,'Wall-U'!$S$4:$S$40)*Flat!F$13)+(LOOKUP(Flat!F$2,'Window-U'!$A$4:$A$40,'Window-U'!$G$4:$G$40)*Flat!F$22))*F169</f>
        <v>2352.4098440077023</v>
      </c>
      <c r="G172" s="177">
        <f>((LOOKUP(Flat!G$2,'Ceiling-U'!$A$4:$A$40,'Ceiling-U'!$G$4:$G$40)*Flat!G$15)+(LOOKUP(Flat!G$2,'Floor-U'!$A$4:$A$40,'Floor-U'!$G$4:$G$40)*Flat!G$16)+(LOOKUP(Flat!G$2,'Wall-U'!$A$4:$A$40,'Wall-U'!$S$4:$S$40)*Flat!G$13)+(LOOKUP(Flat!G$2,'Window-U'!$A$4:$A$40,'Window-U'!$G$4:$G$40)*Flat!G$22))*G169</f>
        <v>1170.693144437422</v>
      </c>
      <c r="H172" s="177">
        <f>((LOOKUP(Flat!H$2,'Ceiling-U'!$A$4:$A$40,'Ceiling-U'!$G$4:$G$40)*Flat!H$15)+(LOOKUP(Flat!H$2,'Floor-U'!$A$4:$A$40,'Floor-U'!$G$4:$G$40)*Flat!H$16)+(LOOKUP(Flat!H$2,'Wall-U'!$A$4:$A$40,'Wall-U'!$S$4:$S$40)*Flat!H$13)+(LOOKUP(Flat!H$2,'Window-U'!$A$4:$A$40,'Window-U'!$G$4:$G$40)*Flat!H$22))*H169</f>
        <v>2848.4736555726117</v>
      </c>
      <c r="I172" s="177">
        <f>((LOOKUP(Flat!I$2,'Ceiling-U'!$A$4:$A$40,'Ceiling-U'!$G$4:$G$40)*Flat!I$15)+(LOOKUP(Flat!I$2,'Floor-U'!$A$4:$A$40,'Floor-U'!$G$4:$G$40)*Flat!I$16)+(LOOKUP(Flat!I$2,'Wall-U'!$A$4:$A$40,'Wall-U'!$S$4:$S$40)*Flat!I$13)+(LOOKUP(Flat!I$2,'Window-U'!$A$4:$A$40,'Window-U'!$G$4:$G$40)*Flat!I$22))*I169</f>
        <v>1112.4964906949128</v>
      </c>
      <c r="J172" s="177">
        <f>((LOOKUP(Flat!J$2,'Ceiling-U'!$A$4:$A$40,'Ceiling-U'!$G$4:$G$40)*Flat!J$15)+(LOOKUP(Flat!J$2,'Floor-U'!$A$4:$A$40,'Floor-U'!$G$4:$G$40)*Flat!J$16)+(LOOKUP(Flat!J$2,'Wall-U'!$A$4:$A$40,'Wall-U'!$S$4:$S$40)*Flat!J$13)+(LOOKUP(Flat!J$2,'Window-U'!$A$4:$A$40,'Window-U'!$G$4:$G$40)*Flat!J$22))*J169</f>
        <v>1103.3864892020013</v>
      </c>
      <c r="K172" s="177">
        <f>((LOOKUP(Flat!K$2,'Ceiling-U'!$A$4:$A$40,'Ceiling-U'!$G$4:$G$40)*Flat!K$15)+(LOOKUP(Flat!K$2,'Floor-U'!$A$4:$A$40,'Floor-U'!$G$4:$G$40)*Flat!K$16)+(LOOKUP(Flat!K$2,'Wall-U'!$A$4:$A$40,'Wall-U'!$S$4:$S$40)*Flat!K$13)+(LOOKUP(Flat!K$2,'Window-U'!$A$4:$A$40,'Window-U'!$G$4:$G$40)*Flat!K$22))*K169</f>
        <v>1169.1759891495474</v>
      </c>
      <c r="L172" s="177">
        <f>((LOOKUP(Flat!L$2,'Ceiling-U'!$A$4:$A$40,'Ceiling-U'!$G$4:$G$40)*Flat!L$15)+(LOOKUP(Flat!L$2,'Floor-U'!$A$4:$A$40,'Floor-U'!$G$4:$G$40)*Flat!L$16)+(LOOKUP(Flat!L$2,'Wall-U'!$A$4:$A$40,'Wall-U'!$S$4:$S$40)*Flat!L$13)+(LOOKUP(Flat!L$2,'Window-U'!$A$4:$A$40,'Window-U'!$G$4:$G$40)*Flat!L$22))*L169</f>
        <v>560.31053410850802</v>
      </c>
      <c r="M172" s="177">
        <f>((LOOKUP(Flat!M$2,'Ceiling-U'!$A$4:$A$40,'Ceiling-U'!$G$4:$G$40)*Flat!M$15)+(LOOKUP(Flat!M$2,'Floor-U'!$A$4:$A$40,'Floor-U'!$G$4:$G$40)*Flat!M$16)+(LOOKUP(Flat!M$2,'Wall-U'!$A$4:$A$40,'Wall-U'!$S$4:$S$40)*Flat!M$13)+(LOOKUP(Flat!M$2,'Window-U'!$A$4:$A$40,'Window-U'!$G$4:$G$40)*Flat!M$22))*M169</f>
        <v>1530.7788876859954</v>
      </c>
      <c r="N172" s="177">
        <f>((LOOKUP(Flat!N$2,'Ceiling-U'!$A$4:$A$40,'Ceiling-U'!$G$4:$G$40)*Flat!N$15)+(LOOKUP(Flat!N$2,'Floor-U'!$A$4:$A$40,'Floor-U'!$G$4:$G$40)*Flat!N$16)+(LOOKUP(Flat!N$2,'Wall-U'!$A$4:$A$40,'Wall-U'!$S$4:$S$40)*Flat!N$13)+(LOOKUP(Flat!N$2,'Window-U'!$A$4:$A$40,'Window-U'!$G$4:$G$40)*Flat!N$22))*N169</f>
        <v>1413.3826727890955</v>
      </c>
      <c r="O172" s="177">
        <f>((LOOKUP(Flat!O$2,'Ceiling-U'!$A$4:$A$40,'Ceiling-U'!$G$4:$G$40)*Flat!O$15)+(LOOKUP(Flat!O$2,'Floor-U'!$A$4:$A$40,'Floor-U'!$G$4:$G$40)*Flat!O$16)+(LOOKUP(Flat!O$2,'Wall-U'!$A$4:$A$40,'Wall-U'!$S$4:$S$40)*Flat!O$13)+(LOOKUP(Flat!O$2,'Window-U'!$A$4:$A$40,'Window-U'!$G$4:$G$40)*Flat!O$22))*O169</f>
        <v>1274.5178051325875</v>
      </c>
      <c r="P172" s="177">
        <f>((LOOKUP(Flat!P$2,'Ceiling-U'!$A$4:$A$40,'Ceiling-U'!$G$4:$G$40)*Flat!P$15)+(LOOKUP(Flat!P$2,'Floor-U'!$A$4:$A$40,'Floor-U'!$G$4:$G$40)*Flat!P$16)+(LOOKUP(Flat!P$2,'Wall-U'!$A$4:$A$40,'Wall-U'!$S$4:$S$40)*Flat!P$13)+(LOOKUP(Flat!P$2,'Window-U'!$A$4:$A$40,'Window-U'!$G$4:$G$40)*Flat!P$22))*P169</f>
        <v>1553.8212897549242</v>
      </c>
      <c r="Q172" s="177">
        <f>((LOOKUP(Flat!Q$2,'Ceiling-U'!$A$4:$A$40,'Ceiling-U'!$G$4:$G$40)*Flat!Q$15)+(LOOKUP(Flat!Q$2,'Floor-U'!$A$4:$A$40,'Floor-U'!$G$4:$G$40)*Flat!Q$16)+(LOOKUP(Flat!Q$2,'Wall-U'!$A$4:$A$40,'Wall-U'!$S$4:$S$40)*Flat!Q$13)+(LOOKUP(Flat!Q$2,'Window-U'!$A$4:$A$40,'Window-U'!$G$4:$G$40)*Flat!Q$22))*Q169</f>
        <v>1355.9600247462433</v>
      </c>
      <c r="R172" s="177">
        <f>((LOOKUP(Flat!R$2,'Ceiling-U'!$A$4:$A$40,'Ceiling-U'!$G$4:$G$40)*Flat!R$15)+(LOOKUP(Flat!R$2,'Floor-U'!$A$4:$A$40,'Floor-U'!$G$4:$G$40)*Flat!R$16)+(LOOKUP(Flat!R$2,'Wall-U'!$A$4:$A$40,'Wall-U'!$S$4:$S$40)*Flat!R$13)+(LOOKUP(Flat!R$2,'Window-U'!$A$4:$A$40,'Window-U'!$G$4:$G$40)*Flat!R$22))*R169</f>
        <v>1068.967187924432</v>
      </c>
      <c r="S172" s="177">
        <f>((LOOKUP(Flat!S$2,'Ceiling-U'!$A$4:$A$40,'Ceiling-U'!$G$4:$G$40)*Flat!S$15)+(LOOKUP(Flat!S$2,'Floor-U'!$A$4:$A$40,'Floor-U'!$G$4:$G$40)*Flat!S$16)+(LOOKUP(Flat!S$2,'Wall-U'!$A$4:$A$40,'Wall-U'!$S$4:$S$40)*Flat!S$13)+(LOOKUP(Flat!S$2,'Window-U'!$A$4:$A$40,'Window-U'!$G$4:$G$40)*Flat!S$22))*S169</f>
        <v>5134.2238398704194</v>
      </c>
      <c r="T172" s="177">
        <f>((LOOKUP(Flat!T$2,'Ceiling-U'!$A$4:$A$40,'Ceiling-U'!$G$4:$G$40)*Flat!T$15)+(LOOKUP(Flat!T$2,'Floor-U'!$A$4:$A$40,'Floor-U'!$G$4:$G$40)*Flat!T$16)+(LOOKUP(Flat!T$2,'Wall-U'!$A$4:$A$40,'Wall-U'!$S$4:$S$40)*Flat!T$13)+(LOOKUP(Flat!T$2,'Window-U'!$A$4:$A$40,'Window-U'!$G$4:$G$40)*Flat!T$22))*T169</f>
        <v>672.77833290212516</v>
      </c>
      <c r="U172" s="177">
        <f>((LOOKUP(Flat!U$2,'Ceiling-U'!$A$4:$A$40,'Ceiling-U'!$G$4:$G$40)*Flat!U$15)+(LOOKUP(Flat!U$2,'Floor-U'!$A$4:$A$40,'Floor-U'!$G$4:$G$40)*Flat!U$16)+(LOOKUP(Flat!U$2,'Wall-U'!$A$4:$A$40,'Wall-U'!$S$4:$S$40)*Flat!U$13)+(LOOKUP(Flat!U$2,'Window-U'!$A$4:$A$40,'Window-U'!$G$4:$G$40)*Flat!U$22))*U169</f>
        <v>2311.9657816739514</v>
      </c>
      <c r="V172" s="177">
        <f>((LOOKUP(Flat!V$2,'Ceiling-U'!$A$4:$A$40,'Ceiling-U'!$G$4:$G$40)*Flat!V$15)+(LOOKUP(Flat!V$2,'Floor-U'!$A$4:$A$40,'Floor-U'!$G$4:$G$40)*Flat!V$16)+(LOOKUP(Flat!V$2,'Wall-U'!$A$4:$A$40,'Wall-U'!$S$4:$S$40)*Flat!V$13)+(LOOKUP(Flat!V$2,'Window-U'!$A$4:$A$40,'Window-U'!$G$4:$G$40)*Flat!V$22))*V169</f>
        <v>726.5812988932048</v>
      </c>
      <c r="W172" s="177">
        <f>((LOOKUP(Flat!W$2,'Ceiling-U'!$A$4:$A$40,'Ceiling-U'!$G$4:$G$40)*Flat!W$15)+(LOOKUP(Flat!W$2,'Floor-U'!$A$4:$A$40,'Floor-U'!$G$4:$G$40)*Flat!W$16)+(LOOKUP(Flat!W$2,'Wall-U'!$A$4:$A$40,'Wall-U'!$S$4:$S$40)*Flat!W$13)+(LOOKUP(Flat!W$2,'Window-U'!$A$4:$A$40,'Window-U'!$G$4:$G$40)*Flat!W$22))*W169</f>
        <v>1177.6590159099367</v>
      </c>
      <c r="X172" s="177">
        <f>((LOOKUP(Flat!X$2,'Ceiling-U'!$A$4:$A$40,'Ceiling-U'!$G$4:$G$40)*Flat!X$15)+(LOOKUP(Flat!X$2,'Floor-U'!$A$4:$A$40,'Floor-U'!$G$4:$G$40)*Flat!X$16)+(LOOKUP(Flat!X$2,'Wall-U'!$A$4:$A$40,'Wall-U'!$S$4:$S$40)*Flat!X$13)+(LOOKUP(Flat!X$2,'Window-U'!$A$4:$A$40,'Window-U'!$G$4:$G$40)*Flat!X$22))*X169</f>
        <v>1053.9095360129143</v>
      </c>
      <c r="Y172" s="177">
        <f>((LOOKUP(Flat!Y$2,'Ceiling-U'!$A$4:$A$40,'Ceiling-U'!$G$4:$G$40)*Flat!Y$15)+(LOOKUP(Flat!Y$2,'Floor-U'!$A$4:$A$40,'Floor-U'!$G$4:$G$40)*Flat!Y$16)+(LOOKUP(Flat!Y$2,'Wall-U'!$A$4:$A$40,'Wall-U'!$S$4:$S$40)*Flat!Y$13)+(LOOKUP(Flat!Y$2,'Window-U'!$A$4:$A$40,'Window-U'!$G$4:$G$40)*Flat!Y$22))*Y169</f>
        <v>2801.2998178494922</v>
      </c>
      <c r="Z172" s="177">
        <f>((LOOKUP(Flat!Z$2,'Ceiling-U'!$A$4:$A$40,'Ceiling-U'!$G$4:$G$40)*Flat!Z$15)+(LOOKUP(Flat!Z$2,'Floor-U'!$A$4:$A$40,'Floor-U'!$G$4:$G$40)*Flat!Z$16)+(LOOKUP(Flat!Z$2,'Wall-U'!$A$4:$A$40,'Wall-U'!$S$4:$S$40)*Flat!Z$13)+(LOOKUP(Flat!Z$2,'Window-U'!$A$4:$A$40,'Window-U'!$G$4:$G$40)*Flat!Z$22))*Z169</f>
        <v>1613.2115458432138</v>
      </c>
      <c r="AA172" s="177">
        <f>((LOOKUP(Flat!AA$2,'Ceiling-U'!$A$4:$A$40,'Ceiling-U'!$G$4:$G$40)*Flat!AA$15)+(LOOKUP(Flat!AA$2,'Floor-U'!$A$4:$A$40,'Floor-U'!$G$4:$G$40)*Flat!AA$16)+(LOOKUP(Flat!AA$2,'Wall-U'!$A$4:$A$40,'Wall-U'!$S$4:$S$40)*Flat!AA$13)+(LOOKUP(Flat!AA$2,'Window-U'!$A$4:$A$40,'Window-U'!$G$4:$G$40)*Flat!AA$22))*AA169</f>
        <v>638.70293455213869</v>
      </c>
      <c r="AB172" s="177">
        <f>((LOOKUP(Flat!AB$2,'Ceiling-U'!$A$4:$A$40,'Ceiling-U'!$G$4:$G$40)*Flat!AB$15)+(LOOKUP(Flat!AB$2,'Floor-U'!$A$4:$A$40,'Floor-U'!$G$4:$G$40)*Flat!AB$16)+(LOOKUP(Flat!AB$2,'Wall-U'!$A$4:$A$40,'Wall-U'!$S$4:$S$40)*Flat!AB$13)+(LOOKUP(Flat!AB$2,'Window-U'!$A$4:$A$40,'Window-U'!$G$4:$G$40)*Flat!AB$22))*AB169</f>
        <v>1275.2153358445155</v>
      </c>
      <c r="AC172" s="177">
        <f>((LOOKUP(Flat!AC$2,'Ceiling-U'!$A$4:$A$40,'Ceiling-U'!$G$4:$G$40)*Flat!AC$15)+(LOOKUP(Flat!AC$2,'Floor-U'!$A$4:$A$40,'Floor-U'!$G$4:$G$40)*Flat!AC$16)+(LOOKUP(Flat!AC$2,'Wall-U'!$A$4:$A$40,'Wall-U'!$S$4:$S$40)*Flat!AC$13)+(LOOKUP(Flat!AC$2,'Window-U'!$A$4:$A$40,'Window-U'!$G$4:$G$40)*Flat!AC$22))*AC169</f>
        <v>2700.183119268961</v>
      </c>
      <c r="AD172" s="177">
        <f>((LOOKUP(Flat!AD$2,'Ceiling-U'!$A$4:$A$40,'Ceiling-U'!$G$4:$G$40)*Flat!AD$15)+(LOOKUP(Flat!AD$2,'Floor-U'!$A$4:$A$40,'Floor-U'!$G$4:$G$40)*Flat!AD$16)+(LOOKUP(Flat!AD$2,'Wall-U'!$A$4:$A$40,'Wall-U'!$S$4:$S$40)*Flat!AD$13)+(LOOKUP(Flat!AD$2,'Window-U'!$A$4:$A$40,'Window-U'!$G$4:$G$40)*Flat!AD$22))*AD169</f>
        <v>3945.9566482079185</v>
      </c>
      <c r="AE172" s="177">
        <f>((LOOKUP(Flat!AE$2,'Ceiling-U'!$A$4:$A$40,'Ceiling-U'!$G$4:$G$40)*Flat!AE$15)+(LOOKUP(Flat!AE$2,'Floor-U'!$A$4:$A$40,'Floor-U'!$G$4:$G$40)*Flat!AE$16)+(LOOKUP(Flat!AE$2,'Wall-U'!$A$4:$A$40,'Wall-U'!$S$4:$S$40)*Flat!AE$13)+(LOOKUP(Flat!AE$2,'Window-U'!$A$4:$A$40,'Window-U'!$G$4:$G$40)*Flat!AE$22))*AE169</f>
        <v>638.70293455213869</v>
      </c>
      <c r="AF172" s="177">
        <f>((LOOKUP(Flat!AF$2,'Ceiling-U'!$A$4:$A$40,'Ceiling-U'!$G$4:$G$40)*Flat!AF$15)+(LOOKUP(Flat!AF$2,'Floor-U'!$A$4:$A$40,'Floor-U'!$G$4:$G$40)*Flat!AF$16)+(LOOKUP(Flat!AF$2,'Wall-U'!$A$4:$A$40,'Wall-U'!$S$4:$S$40)*Flat!AF$13)+(LOOKUP(Flat!AF$2,'Window-U'!$A$4:$A$40,'Window-U'!$G$4:$G$40)*Flat!AF$22))*AF169</f>
        <v>1062.3965848684766</v>
      </c>
      <c r="AG172" s="177">
        <f>((LOOKUP(Flat!AG$2,'Ceiling-U'!$A$4:$A$40,'Ceiling-U'!$G$4:$G$40)*Flat!AG$15)+(LOOKUP(Flat!AG$2,'Floor-U'!$A$4:$A$40,'Floor-U'!$G$4:$G$40)*Flat!AG$16)+(LOOKUP(Flat!AG$2,'Wall-U'!$A$4:$A$40,'Wall-U'!$S$4:$S$40)*Flat!AG$13)+(LOOKUP(Flat!AG$2,'Window-U'!$A$4:$A$40,'Window-U'!$G$4:$G$40)*Flat!AG$22))*AG169</f>
        <v>1621.9321187674805</v>
      </c>
      <c r="AH172" s="177">
        <f>((LOOKUP(Flat!AH$2,'Ceiling-U'!$A$4:$A$40,'Ceiling-U'!$G$4:$G$40)*Flat!AH$15)+(LOOKUP(Flat!AH$2,'Floor-U'!$A$4:$A$40,'Floor-U'!$G$4:$G$40)*Flat!AH$16)+(LOOKUP(Flat!AH$2,'Wall-U'!$A$4:$A$40,'Wall-U'!$S$4:$S$40)*Flat!AH$13)+(LOOKUP(Flat!AH$2,'Window-U'!$A$4:$A$40,'Window-U'!$G$4:$G$40)*Flat!AH$22))*AH169</f>
        <v>3872.7016204410638</v>
      </c>
      <c r="AI172" s="177">
        <f>((LOOKUP(Flat!AI$2,'Ceiling-U'!$A$4:$A$40,'Ceiling-U'!$G$4:$G$40)*Flat!AI$15)+(LOOKUP(Flat!AI$2,'Floor-U'!$A$4:$A$40,'Floor-U'!$G$4:$G$40)*Flat!AI$16)+(LOOKUP(Flat!AI$2,'Wall-U'!$A$4:$A$40,'Wall-U'!$S$4:$S$40)*Flat!AI$13)+(LOOKUP(Flat!AI$2,'Window-U'!$A$4:$A$40,'Window-U'!$G$4:$G$40)*Flat!AI$22))*AI169</f>
        <v>2484.0473987695068</v>
      </c>
      <c r="AJ172" s="177">
        <f>((LOOKUP(Flat!AJ$2,'Ceiling-U'!$A$4:$A$40,'Ceiling-U'!$G$4:$G$40)*Flat!AJ$15)+(LOOKUP(Flat!AJ$2,'Floor-U'!$A$4:$A$40,'Floor-U'!$G$4:$G$40)*Flat!AJ$16)+(LOOKUP(Flat!AJ$2,'Wall-U'!$A$4:$A$40,'Wall-U'!$S$4:$S$40)*Flat!AJ$13)+(LOOKUP(Flat!AJ$2,'Window-U'!$A$4:$A$40,'Window-U'!$G$4:$G$40)*Flat!AJ$22))*AJ169</f>
        <v>1380.7569214282603</v>
      </c>
      <c r="AK172" s="177">
        <f>((LOOKUP(Flat!AK$2,'Ceiling-U'!$A$4:$A$40,'Ceiling-U'!$G$4:$G$40)*Flat!AK$15)+(LOOKUP(Flat!AK$2,'Floor-U'!$A$4:$A$40,'Floor-U'!$G$4:$G$40)*Flat!AK$16)+(LOOKUP(Flat!AK$2,'Wall-U'!$A$4:$A$40,'Wall-U'!$S$4:$S$40)*Flat!AK$13)+(LOOKUP(Flat!AK$2,'Window-U'!$A$4:$A$40,'Window-U'!$G$4:$G$40)*Flat!AK$22))*AK169</f>
        <v>1484.0881145550211</v>
      </c>
      <c r="AL172" s="177">
        <f>((LOOKUP(Flat!AL$2,'Ceiling-U'!$A$4:$A$40,'Ceiling-U'!$G$4:$G$40)*Flat!AL$15)+(LOOKUP(Flat!AL$2,'Floor-U'!$A$4:$A$40,'Floor-U'!$G$4:$G$40)*Flat!AL$16)+(LOOKUP(Flat!AL$2,'Wall-U'!$A$4:$A$40,'Wall-U'!$S$4:$S$40)*Flat!AL$13)+(LOOKUP(Flat!AL$2,'Window-U'!$A$4:$A$40,'Window-U'!$G$4:$G$40)*Flat!AL$22))*AL169</f>
        <v>1337.5648077265903</v>
      </c>
      <c r="AM172" s="177">
        <f>((LOOKUP(Flat!AM$2,'Ceiling-U'!$A$4:$A$40,'Ceiling-U'!$G$4:$G$40)*Flat!AM$15)+(LOOKUP(Flat!AM$2,'Floor-U'!$A$4:$A$40,'Floor-U'!$G$4:$G$40)*Flat!AM$16)+(LOOKUP(Flat!AM$2,'Wall-U'!$A$4:$A$40,'Wall-U'!$S$4:$S$40)*Flat!AM$13)+(LOOKUP(Flat!AM$2,'Window-U'!$A$4:$A$40,'Window-U'!$G$4:$G$40)*Flat!AM$22))*AM169</f>
        <v>1380.7569214282603</v>
      </c>
      <c r="AN172" s="178">
        <f>((LOOKUP(Flat!AN$2,'Ceiling-U'!$A$4:$A$40,'Ceiling-U'!$G$4:$G$40)*Flat!AN$15)+(LOOKUP(Flat!AN$2,'Floor-U'!$A$4:$A$40,'Floor-U'!$G$4:$G$40)*Flat!AN$16)+(LOOKUP(Flat!AN$2,'Wall-U'!$A$4:$A$40,'Wall-U'!$S$4:$S$40)*Flat!AN$13)+(LOOKUP(Flat!AN$2,'Window-U'!$A$4:$A$40,'Window-U'!$G$4:$G$40)*Flat!AN$22))*AN169</f>
        <v>1380.7569214282603</v>
      </c>
    </row>
    <row r="173" spans="1:40" s="5" customFormat="1">
      <c r="A173" s="372"/>
      <c r="B173" s="142" t="s">
        <v>5</v>
      </c>
      <c r="C173" s="131" t="s">
        <v>195</v>
      </c>
      <c r="D173" s="176">
        <f>((LOOKUP(Flat!D$2,'Ceiling-U'!$A$4:$A$40,'Ceiling-U'!$H$4:$H$40)*Flat!D$15)+(LOOKUP(Flat!D$2,'Floor-U'!$A$4:$A$40,'Floor-U'!$H$4:$H$40)*Flat!D$16)+(LOOKUP(Flat!D$2,'Wall-U'!$A$4:$A$40,'Wall-U'!$T$4:$T$40)*Flat!D$13)+(LOOKUP(Flat!D$2,'Window-U'!$A$4:$A$40,'Window-U'!$H$4:$H$40)*Flat!D$22))*D169</f>
        <v>861.29106149088534</v>
      </c>
      <c r="E173" s="177">
        <f>((LOOKUP(Flat!E$2,'Ceiling-U'!$A$4:$A$40,'Ceiling-U'!$H$4:$H$40)*Flat!E$15)+(LOOKUP(Flat!E$2,'Floor-U'!$A$4:$A$40,'Floor-U'!$H$4:$H$40)*Flat!E$16)+(LOOKUP(Flat!E$2,'Wall-U'!$A$4:$A$40,'Wall-U'!$T$4:$T$40)*Flat!E$13)+(LOOKUP(Flat!E$2,'Window-U'!$A$4:$A$40,'Window-U'!$H$4:$H$40)*Flat!E$22))*E169</f>
        <v>1618.6676510185634</v>
      </c>
      <c r="F173" s="177">
        <f>((LOOKUP(Flat!F$2,'Ceiling-U'!$A$4:$A$40,'Ceiling-U'!$H$4:$H$40)*Flat!F$15)+(LOOKUP(Flat!F$2,'Floor-U'!$A$4:$A$40,'Floor-U'!$H$4:$H$40)*Flat!F$16)+(LOOKUP(Flat!F$2,'Wall-U'!$A$4:$A$40,'Wall-U'!$T$4:$T$40)*Flat!F$13)+(LOOKUP(Flat!F$2,'Window-U'!$A$4:$A$40,'Window-U'!$H$4:$H$40)*Flat!F$22))*F169</f>
        <v>2144.9223577979747</v>
      </c>
      <c r="G173" s="177">
        <f>((LOOKUP(Flat!G$2,'Ceiling-U'!$A$4:$A$40,'Ceiling-U'!$H$4:$H$40)*Flat!G$15)+(LOOKUP(Flat!G$2,'Floor-U'!$A$4:$A$40,'Floor-U'!$H$4:$H$40)*Flat!G$16)+(LOOKUP(Flat!G$2,'Wall-U'!$A$4:$A$40,'Wall-U'!$T$4:$T$40)*Flat!G$13)+(LOOKUP(Flat!G$2,'Window-U'!$A$4:$A$40,'Window-U'!$H$4:$H$40)*Flat!G$22))*G169</f>
        <v>861.29106149088534</v>
      </c>
      <c r="H173" s="177">
        <f>((LOOKUP(Flat!H$2,'Ceiling-U'!$A$4:$A$40,'Ceiling-U'!$H$4:$H$40)*Flat!H$15)+(LOOKUP(Flat!H$2,'Floor-U'!$A$4:$A$40,'Floor-U'!$H$4:$H$40)*Flat!H$16)+(LOOKUP(Flat!H$2,'Wall-U'!$A$4:$A$40,'Wall-U'!$T$4:$T$40)*Flat!H$13)+(LOOKUP(Flat!H$2,'Window-U'!$A$4:$A$40,'Window-U'!$H$4:$H$40)*Flat!H$22))*H169</f>
        <v>2760.8736555726118</v>
      </c>
      <c r="I173" s="177">
        <f>((LOOKUP(Flat!I$2,'Ceiling-U'!$A$4:$A$40,'Ceiling-U'!$H$4:$H$40)*Flat!I$15)+(LOOKUP(Flat!I$2,'Floor-U'!$A$4:$A$40,'Floor-U'!$H$4:$H$40)*Flat!I$16)+(LOOKUP(Flat!I$2,'Wall-U'!$A$4:$A$40,'Wall-U'!$T$4:$T$40)*Flat!I$13)+(LOOKUP(Flat!I$2,'Window-U'!$A$4:$A$40,'Window-U'!$H$4:$H$40)*Flat!I$22))*I169</f>
        <v>1029.8373039219186</v>
      </c>
      <c r="J173" s="177">
        <f>((LOOKUP(Flat!J$2,'Ceiling-U'!$A$4:$A$40,'Ceiling-U'!$H$4:$H$40)*Flat!J$15)+(LOOKUP(Flat!J$2,'Floor-U'!$A$4:$A$40,'Floor-U'!$H$4:$H$40)*Flat!J$16)+(LOOKUP(Flat!J$2,'Wall-U'!$A$4:$A$40,'Wall-U'!$T$4:$T$40)*Flat!J$13)+(LOOKUP(Flat!J$2,'Window-U'!$A$4:$A$40,'Window-U'!$H$4:$H$40)*Flat!J$22))*J169</f>
        <v>912.60514318804348</v>
      </c>
      <c r="K173" s="177">
        <f>((LOOKUP(Flat!K$2,'Ceiling-U'!$A$4:$A$40,'Ceiling-U'!$H$4:$H$40)*Flat!K$15)+(LOOKUP(Flat!K$2,'Floor-U'!$A$4:$A$40,'Floor-U'!$H$4:$H$40)*Flat!K$16)+(LOOKUP(Flat!K$2,'Wall-U'!$A$4:$A$40,'Wall-U'!$T$4:$T$40)*Flat!K$13)+(LOOKUP(Flat!K$2,'Window-U'!$A$4:$A$40,'Window-U'!$H$4:$H$40)*Flat!K$22))*K169</f>
        <v>1028.0838173931154</v>
      </c>
      <c r="L173" s="177">
        <f>((LOOKUP(Flat!L$2,'Ceiling-U'!$A$4:$A$40,'Ceiling-U'!$H$4:$H$40)*Flat!L$15)+(LOOKUP(Flat!L$2,'Floor-U'!$A$4:$A$40,'Floor-U'!$H$4:$H$40)*Flat!L$16)+(LOOKUP(Flat!L$2,'Wall-U'!$A$4:$A$40,'Wall-U'!$T$4:$T$40)*Flat!L$13)+(LOOKUP(Flat!L$2,'Window-U'!$A$4:$A$40,'Window-U'!$H$4:$H$40)*Flat!L$22))*L169</f>
        <v>405.54172553352606</v>
      </c>
      <c r="M173" s="177">
        <f>((LOOKUP(Flat!M$2,'Ceiling-U'!$A$4:$A$40,'Ceiling-U'!$H$4:$H$40)*Flat!M$15)+(LOOKUP(Flat!M$2,'Floor-U'!$A$4:$A$40,'Floor-U'!$H$4:$H$40)*Flat!M$16)+(LOOKUP(Flat!M$2,'Wall-U'!$A$4:$A$40,'Wall-U'!$T$4:$T$40)*Flat!M$13)+(LOOKUP(Flat!M$2,'Window-U'!$A$4:$A$40,'Window-U'!$H$4:$H$40)*Flat!M$22))*M169</f>
        <v>970.84956767398012</v>
      </c>
      <c r="N173" s="177">
        <f>((LOOKUP(Flat!N$2,'Ceiling-U'!$A$4:$A$40,'Ceiling-U'!$H$4:$H$40)*Flat!N$15)+(LOOKUP(Flat!N$2,'Floor-U'!$A$4:$A$40,'Floor-U'!$H$4:$H$40)*Flat!N$16)+(LOOKUP(Flat!N$2,'Wall-U'!$A$4:$A$40,'Wall-U'!$T$4:$T$40)*Flat!N$13)+(LOOKUP(Flat!N$2,'Window-U'!$A$4:$A$40,'Window-U'!$H$4:$H$40)*Flat!N$22))*N169</f>
        <v>1174.2927732891737</v>
      </c>
      <c r="O173" s="177">
        <f>((LOOKUP(Flat!O$2,'Ceiling-U'!$A$4:$A$40,'Ceiling-U'!$H$4:$H$40)*Flat!O$15)+(LOOKUP(Flat!O$2,'Floor-U'!$A$4:$A$40,'Floor-U'!$H$4:$H$40)*Flat!O$16)+(LOOKUP(Flat!O$2,'Wall-U'!$A$4:$A$40,'Wall-U'!$T$4:$T$40)*Flat!O$13)+(LOOKUP(Flat!O$2,'Window-U'!$A$4:$A$40,'Window-U'!$H$4:$H$40)*Flat!O$22))*O169</f>
        <v>1109.7932977050757</v>
      </c>
      <c r="P173" s="177">
        <f>((LOOKUP(Flat!P$2,'Ceiling-U'!$A$4:$A$40,'Ceiling-U'!$H$4:$H$40)*Flat!P$15)+(LOOKUP(Flat!P$2,'Floor-U'!$A$4:$A$40,'Floor-U'!$H$4:$H$40)*Flat!P$16)+(LOOKUP(Flat!P$2,'Wall-U'!$A$4:$A$40,'Wall-U'!$T$4:$T$40)*Flat!P$13)+(LOOKUP(Flat!P$2,'Window-U'!$A$4:$A$40,'Window-U'!$H$4:$H$40)*Flat!P$22))*P169</f>
        <v>1495.4212897549241</v>
      </c>
      <c r="Q173" s="177">
        <f>((LOOKUP(Flat!Q$2,'Ceiling-U'!$A$4:$A$40,'Ceiling-U'!$H$4:$H$40)*Flat!Q$15)+(LOOKUP(Flat!Q$2,'Floor-U'!$A$4:$A$40,'Floor-U'!$H$4:$H$40)*Flat!Q$16)+(LOOKUP(Flat!Q$2,'Wall-U'!$A$4:$A$40,'Wall-U'!$T$4:$T$40)*Flat!Q$13)+(LOOKUP(Flat!Q$2,'Window-U'!$A$4:$A$40,'Window-U'!$H$4:$H$40)*Flat!Q$22))*Q169</f>
        <v>1355.9600247462433</v>
      </c>
      <c r="R173" s="177">
        <f>((LOOKUP(Flat!R$2,'Ceiling-U'!$A$4:$A$40,'Ceiling-U'!$H$4:$H$40)*Flat!R$15)+(LOOKUP(Flat!R$2,'Floor-U'!$A$4:$A$40,'Floor-U'!$H$4:$H$40)*Flat!R$16)+(LOOKUP(Flat!R$2,'Wall-U'!$A$4:$A$40,'Wall-U'!$T$4:$T$40)*Flat!R$13)+(LOOKUP(Flat!R$2,'Window-U'!$A$4:$A$40,'Window-U'!$H$4:$H$40)*Flat!R$22))*R169</f>
        <v>913.75378915050271</v>
      </c>
      <c r="S173" s="177">
        <f>((LOOKUP(Flat!S$2,'Ceiling-U'!$A$4:$A$40,'Ceiling-U'!$H$4:$H$40)*Flat!S$15)+(LOOKUP(Flat!S$2,'Floor-U'!$A$4:$A$40,'Floor-U'!$H$4:$H$40)*Flat!S$16)+(LOOKUP(Flat!S$2,'Wall-U'!$A$4:$A$40,'Wall-U'!$T$4:$T$40)*Flat!S$13)+(LOOKUP(Flat!S$2,'Window-U'!$A$4:$A$40,'Window-U'!$H$4:$H$40)*Flat!S$22))*S169</f>
        <v>3622.1879629779482</v>
      </c>
      <c r="T173" s="177">
        <f>((LOOKUP(Flat!T$2,'Ceiling-U'!$A$4:$A$40,'Ceiling-U'!$H$4:$H$40)*Flat!T$15)+(LOOKUP(Flat!T$2,'Floor-U'!$A$4:$A$40,'Floor-U'!$H$4:$H$40)*Flat!T$16)+(LOOKUP(Flat!T$2,'Wall-U'!$A$4:$A$40,'Wall-U'!$T$4:$T$40)*Flat!T$13)+(LOOKUP(Flat!T$2,'Window-U'!$A$4:$A$40,'Window-U'!$H$4:$H$40)*Flat!T$22))*T169</f>
        <v>553.67346413361179</v>
      </c>
      <c r="U173" s="177">
        <f>((LOOKUP(Flat!U$2,'Ceiling-U'!$A$4:$A$40,'Ceiling-U'!$H$4:$H$40)*Flat!U$15)+(LOOKUP(Flat!U$2,'Floor-U'!$A$4:$A$40,'Floor-U'!$H$4:$H$40)*Flat!U$16)+(LOOKUP(Flat!U$2,'Wall-U'!$A$4:$A$40,'Wall-U'!$T$4:$T$40)*Flat!U$13)+(LOOKUP(Flat!U$2,'Window-U'!$A$4:$A$40,'Window-U'!$H$4:$H$40)*Flat!U$22))*U169</f>
        <v>1871.2381513949595</v>
      </c>
      <c r="V173" s="177">
        <f>((LOOKUP(Flat!V$2,'Ceiling-U'!$A$4:$A$40,'Ceiling-U'!$H$4:$H$40)*Flat!V$15)+(LOOKUP(Flat!V$2,'Floor-U'!$A$4:$A$40,'Floor-U'!$H$4:$H$40)*Flat!V$16)+(LOOKUP(Flat!V$2,'Wall-U'!$A$4:$A$40,'Wall-U'!$T$4:$T$40)*Flat!V$13)+(LOOKUP(Flat!V$2,'Window-U'!$A$4:$A$40,'Window-U'!$H$4:$H$40)*Flat!V$22))*V169</f>
        <v>726.5812988932048</v>
      </c>
      <c r="W173" s="177">
        <f>((LOOKUP(Flat!W$2,'Ceiling-U'!$A$4:$A$40,'Ceiling-U'!$H$4:$H$40)*Flat!W$15)+(LOOKUP(Flat!W$2,'Floor-U'!$A$4:$A$40,'Floor-U'!$H$4:$H$40)*Flat!W$16)+(LOOKUP(Flat!W$2,'Wall-U'!$A$4:$A$40,'Wall-U'!$T$4:$T$40)*Flat!W$13)+(LOOKUP(Flat!W$2,'Window-U'!$A$4:$A$40,'Window-U'!$H$4:$H$40)*Flat!W$22))*W169</f>
        <v>951.39256841653776</v>
      </c>
      <c r="X173" s="177">
        <f>((LOOKUP(Flat!X$2,'Ceiling-U'!$A$4:$A$40,'Ceiling-U'!$H$4:$H$40)*Flat!X$15)+(LOOKUP(Flat!X$2,'Floor-U'!$A$4:$A$40,'Floor-U'!$H$4:$H$40)*Flat!X$16)+(LOOKUP(Flat!X$2,'Wall-U'!$A$4:$A$40,'Wall-U'!$T$4:$T$40)*Flat!X$13)+(LOOKUP(Flat!X$2,'Window-U'!$A$4:$A$40,'Window-U'!$H$4:$H$40)*Flat!X$22))*X169</f>
        <v>673.6594919751941</v>
      </c>
      <c r="Y173" s="177">
        <f>((LOOKUP(Flat!Y$2,'Ceiling-U'!$A$4:$A$40,'Ceiling-U'!$H$4:$H$40)*Flat!Y$15)+(LOOKUP(Flat!Y$2,'Floor-U'!$A$4:$A$40,'Floor-U'!$H$4:$H$40)*Flat!Y$16)+(LOOKUP(Flat!Y$2,'Wall-U'!$A$4:$A$40,'Wall-U'!$T$4:$T$40)*Flat!Y$13)+(LOOKUP(Flat!Y$2,'Window-U'!$A$4:$A$40,'Window-U'!$H$4:$H$40)*Flat!Y$22))*Y169</f>
        <v>2546.2054618494922</v>
      </c>
      <c r="Z173" s="177">
        <f>((LOOKUP(Flat!Z$2,'Ceiling-U'!$A$4:$A$40,'Ceiling-U'!$H$4:$H$40)*Flat!Z$15)+(LOOKUP(Flat!Z$2,'Floor-U'!$A$4:$A$40,'Floor-U'!$H$4:$H$40)*Flat!Z$16)+(LOOKUP(Flat!Z$2,'Wall-U'!$A$4:$A$40,'Wall-U'!$T$4:$T$40)*Flat!Z$13)+(LOOKUP(Flat!Z$2,'Window-U'!$A$4:$A$40,'Window-U'!$H$4:$H$40)*Flat!Z$22))*Z169</f>
        <v>1252.1181631283441</v>
      </c>
      <c r="AA173" s="177">
        <f>((LOOKUP(Flat!AA$2,'Ceiling-U'!$A$4:$A$40,'Ceiling-U'!$H$4:$H$40)*Flat!AA$15)+(LOOKUP(Flat!AA$2,'Floor-U'!$A$4:$A$40,'Floor-U'!$H$4:$H$40)*Flat!AA$16)+(LOOKUP(Flat!AA$2,'Wall-U'!$A$4:$A$40,'Wall-U'!$T$4:$T$40)*Flat!AA$13)+(LOOKUP(Flat!AA$2,'Window-U'!$A$4:$A$40,'Window-U'!$H$4:$H$40)*Flat!AA$22))*AA169</f>
        <v>625.74293455213865</v>
      </c>
      <c r="AB173" s="177">
        <f>((LOOKUP(Flat!AB$2,'Ceiling-U'!$A$4:$A$40,'Ceiling-U'!$H$4:$H$40)*Flat!AB$15)+(LOOKUP(Flat!AB$2,'Floor-U'!$A$4:$A$40,'Floor-U'!$H$4:$H$40)*Flat!AB$16)+(LOOKUP(Flat!AB$2,'Wall-U'!$A$4:$A$40,'Wall-U'!$T$4:$T$40)*Flat!AB$13)+(LOOKUP(Flat!AB$2,'Window-U'!$A$4:$A$40,'Window-U'!$H$4:$H$40)*Flat!AB$22))*AB169</f>
        <v>1275.2153358445155</v>
      </c>
      <c r="AC173" s="177">
        <f>((LOOKUP(Flat!AC$2,'Ceiling-U'!$A$4:$A$40,'Ceiling-U'!$H$4:$H$40)*Flat!AC$15)+(LOOKUP(Flat!AC$2,'Floor-U'!$A$4:$A$40,'Floor-U'!$H$4:$H$40)*Flat!AC$16)+(LOOKUP(Flat!AC$2,'Wall-U'!$A$4:$A$40,'Wall-U'!$T$4:$T$40)*Flat!AC$13)+(LOOKUP(Flat!AC$2,'Window-U'!$A$4:$A$40,'Window-U'!$H$4:$H$40)*Flat!AC$22))*AC169</f>
        <v>2668.5310880648644</v>
      </c>
      <c r="AD173" s="177">
        <f>((LOOKUP(Flat!AD$2,'Ceiling-U'!$A$4:$A$40,'Ceiling-U'!$H$4:$H$40)*Flat!AD$15)+(LOOKUP(Flat!AD$2,'Floor-U'!$A$4:$A$40,'Floor-U'!$H$4:$H$40)*Flat!AD$16)+(LOOKUP(Flat!AD$2,'Wall-U'!$A$4:$A$40,'Wall-U'!$T$4:$T$40)*Flat!AD$13)+(LOOKUP(Flat!AD$2,'Window-U'!$A$4:$A$40,'Window-U'!$H$4:$H$40)*Flat!AD$22))*AD169</f>
        <v>3630.3693143360597</v>
      </c>
      <c r="AE173" s="177">
        <f>((LOOKUP(Flat!AE$2,'Ceiling-U'!$A$4:$A$40,'Ceiling-U'!$H$4:$H$40)*Flat!AE$15)+(LOOKUP(Flat!AE$2,'Floor-U'!$A$4:$A$40,'Floor-U'!$H$4:$H$40)*Flat!AE$16)+(LOOKUP(Flat!AE$2,'Wall-U'!$A$4:$A$40,'Wall-U'!$T$4:$T$40)*Flat!AE$13)+(LOOKUP(Flat!AE$2,'Window-U'!$A$4:$A$40,'Window-U'!$H$4:$H$40)*Flat!AE$22))*AE169</f>
        <v>625.74293455213865</v>
      </c>
      <c r="AF173" s="177">
        <f>((LOOKUP(Flat!AF$2,'Ceiling-U'!$A$4:$A$40,'Ceiling-U'!$H$4:$H$40)*Flat!AF$15)+(LOOKUP(Flat!AF$2,'Floor-U'!$A$4:$A$40,'Floor-U'!$H$4:$H$40)*Flat!AF$16)+(LOOKUP(Flat!AF$2,'Wall-U'!$A$4:$A$40,'Wall-U'!$T$4:$T$40)*Flat!AF$13)+(LOOKUP(Flat!AF$2,'Window-U'!$A$4:$A$40,'Window-U'!$H$4:$H$40)*Flat!AF$22))*AF169</f>
        <v>878.52428387041334</v>
      </c>
      <c r="AG173" s="177">
        <f>((LOOKUP(Flat!AG$2,'Ceiling-U'!$A$4:$A$40,'Ceiling-U'!$H$4:$H$40)*Flat!AG$15)+(LOOKUP(Flat!AG$2,'Floor-U'!$A$4:$A$40,'Floor-U'!$H$4:$H$40)*Flat!AG$16)+(LOOKUP(Flat!AG$2,'Wall-U'!$A$4:$A$40,'Wall-U'!$T$4:$T$40)*Flat!AG$13)+(LOOKUP(Flat!AG$2,'Window-U'!$A$4:$A$40,'Window-U'!$H$4:$H$40)*Flat!AG$22))*AG169</f>
        <v>1377.7339404032225</v>
      </c>
      <c r="AH173" s="177">
        <f>((LOOKUP(Flat!AH$2,'Ceiling-U'!$A$4:$A$40,'Ceiling-U'!$H$4:$H$40)*Flat!AH$15)+(LOOKUP(Flat!AH$2,'Floor-U'!$A$4:$A$40,'Floor-U'!$H$4:$H$40)*Flat!AH$16)+(LOOKUP(Flat!AH$2,'Wall-U'!$A$4:$A$40,'Wall-U'!$T$4:$T$40)*Flat!AH$13)+(LOOKUP(Flat!AH$2,'Window-U'!$A$4:$A$40,'Window-U'!$H$4:$H$40)*Flat!AH$22))*AH169</f>
        <v>3137.6914171390699</v>
      </c>
      <c r="AI173" s="177">
        <f>((LOOKUP(Flat!AI$2,'Ceiling-U'!$A$4:$A$40,'Ceiling-U'!$H$4:$H$40)*Flat!AI$15)+(LOOKUP(Flat!AI$2,'Floor-U'!$A$4:$A$40,'Floor-U'!$H$4:$H$40)*Flat!AI$16)+(LOOKUP(Flat!AI$2,'Wall-U'!$A$4:$A$40,'Wall-U'!$T$4:$T$40)*Flat!AI$13)+(LOOKUP(Flat!AI$2,'Window-U'!$A$4:$A$40,'Window-U'!$H$4:$H$40)*Flat!AI$22))*AI169</f>
        <v>2396.4473987695069</v>
      </c>
      <c r="AJ173" s="177">
        <f>((LOOKUP(Flat!AJ$2,'Ceiling-U'!$A$4:$A$40,'Ceiling-U'!$H$4:$H$40)*Flat!AJ$15)+(LOOKUP(Flat!AJ$2,'Floor-U'!$A$4:$A$40,'Floor-U'!$H$4:$H$40)*Flat!AJ$16)+(LOOKUP(Flat!AJ$2,'Wall-U'!$A$4:$A$40,'Wall-U'!$T$4:$T$40)*Flat!AJ$13)+(LOOKUP(Flat!AJ$2,'Window-U'!$A$4:$A$40,'Window-U'!$H$4:$H$40)*Flat!AJ$22))*AJ169</f>
        <v>1258.8639882345872</v>
      </c>
      <c r="AK173" s="177">
        <f>((LOOKUP(Flat!AK$2,'Ceiling-U'!$A$4:$A$40,'Ceiling-U'!$H$4:$H$40)*Flat!AK$15)+(LOOKUP(Flat!AK$2,'Floor-U'!$A$4:$A$40,'Floor-U'!$H$4:$H$40)*Flat!AK$16)+(LOOKUP(Flat!AK$2,'Wall-U'!$A$4:$A$40,'Wall-U'!$T$4:$T$40)*Flat!AK$13)+(LOOKUP(Flat!AK$2,'Window-U'!$A$4:$A$40,'Window-U'!$H$4:$H$40)*Flat!AK$22))*AK169</f>
        <v>1346.736520447778</v>
      </c>
      <c r="AL173" s="177">
        <f>((LOOKUP(Flat!AL$2,'Ceiling-U'!$A$4:$A$40,'Ceiling-U'!$H$4:$H$40)*Flat!AL$15)+(LOOKUP(Flat!AL$2,'Floor-U'!$A$4:$A$40,'Floor-U'!$H$4:$H$40)*Flat!AL$16)+(LOOKUP(Flat!AL$2,'Wall-U'!$A$4:$A$40,'Wall-U'!$T$4:$T$40)*Flat!AL$13)+(LOOKUP(Flat!AL$2,'Window-U'!$A$4:$A$40,'Window-U'!$H$4:$H$40)*Flat!AL$22))*AL169</f>
        <v>1221.8225762745872</v>
      </c>
      <c r="AM173" s="177">
        <f>((LOOKUP(Flat!AM$2,'Ceiling-U'!$A$4:$A$40,'Ceiling-U'!$H$4:$H$40)*Flat!AM$15)+(LOOKUP(Flat!AM$2,'Floor-U'!$A$4:$A$40,'Floor-U'!$H$4:$H$40)*Flat!AM$16)+(LOOKUP(Flat!AM$2,'Wall-U'!$A$4:$A$40,'Wall-U'!$T$4:$T$40)*Flat!AM$13)+(LOOKUP(Flat!AM$2,'Window-U'!$A$4:$A$40,'Window-U'!$H$4:$H$40)*Flat!AM$22))*AM169</f>
        <v>1258.8639882345872</v>
      </c>
      <c r="AN173" s="178">
        <f>((LOOKUP(Flat!AN$2,'Ceiling-U'!$A$4:$A$40,'Ceiling-U'!$H$4:$H$40)*Flat!AN$15)+(LOOKUP(Flat!AN$2,'Floor-U'!$A$4:$A$40,'Floor-U'!$H$4:$H$40)*Flat!AN$16)+(LOOKUP(Flat!AN$2,'Wall-U'!$A$4:$A$40,'Wall-U'!$T$4:$T$40)*Flat!AN$13)+(LOOKUP(Flat!AN$2,'Window-U'!$A$4:$A$40,'Window-U'!$H$4:$H$40)*Flat!AN$22))*AN169</f>
        <v>1258.8639882345872</v>
      </c>
    </row>
    <row r="174" spans="1:40" s="5" customFormat="1">
      <c r="A174" s="372"/>
      <c r="B174" s="142" t="s">
        <v>6</v>
      </c>
      <c r="C174" s="131" t="s">
        <v>195</v>
      </c>
      <c r="D174" s="176">
        <f>((LOOKUP(Flat!D$2,'Ceiling-U'!$A$4:$A$40,'Ceiling-U'!$I$4:$I$40)*Flat!D$15)+(LOOKUP(Flat!D$2,'Floor-U'!$A$4:$A$40,'Floor-U'!$I$4:$I$40)*Flat!D$16)+(LOOKUP(Flat!D$2,'Wall-U'!$A$4:$A$40,'Wall-U'!$U$4:$U$40)*Flat!D$13)+(LOOKUP(Flat!D$2,'Window-U'!$A$4:$A$40,'Window-U'!$I$4:$I$40)*Flat!D$22))*D169</f>
        <v>752.95795161052285</v>
      </c>
      <c r="E174" s="177">
        <f>((LOOKUP(Flat!E$2,'Ceiling-U'!$A$4:$A$40,'Ceiling-U'!$I$4:$I$40)*Flat!E$15)+(LOOKUP(Flat!E$2,'Floor-U'!$A$4:$A$40,'Floor-U'!$I$4:$I$40)*Flat!E$16)+(LOOKUP(Flat!E$2,'Wall-U'!$A$4:$A$40,'Wall-U'!$U$4:$U$40)*Flat!E$13)+(LOOKUP(Flat!E$2,'Window-U'!$A$4:$A$40,'Window-U'!$I$4:$I$40)*Flat!E$22))*E169</f>
        <v>1618.6676510185634</v>
      </c>
      <c r="F174" s="177">
        <f>((LOOKUP(Flat!F$2,'Ceiling-U'!$A$4:$A$40,'Ceiling-U'!$I$4:$I$40)*Flat!F$15)+(LOOKUP(Flat!F$2,'Floor-U'!$A$4:$A$40,'Floor-U'!$I$4:$I$40)*Flat!F$16)+(LOOKUP(Flat!F$2,'Wall-U'!$A$4:$A$40,'Wall-U'!$U$4:$U$40)*Flat!F$13)+(LOOKUP(Flat!F$2,'Window-U'!$A$4:$A$40,'Window-U'!$I$4:$I$40)*Flat!F$22))*F169</f>
        <v>1780.1377154529296</v>
      </c>
      <c r="G174" s="177">
        <f>((LOOKUP(Flat!G$2,'Ceiling-U'!$A$4:$A$40,'Ceiling-U'!$I$4:$I$40)*Flat!G$15)+(LOOKUP(Flat!G$2,'Floor-U'!$A$4:$A$40,'Floor-U'!$I$4:$I$40)*Flat!G$16)+(LOOKUP(Flat!G$2,'Wall-U'!$A$4:$A$40,'Wall-U'!$U$4:$U$40)*Flat!G$13)+(LOOKUP(Flat!G$2,'Window-U'!$A$4:$A$40,'Window-U'!$I$4:$I$40)*Flat!G$22))*G169</f>
        <v>752.95795161052285</v>
      </c>
      <c r="H174" s="177">
        <f>((LOOKUP(Flat!H$2,'Ceiling-U'!$A$4:$A$40,'Ceiling-U'!$I$4:$I$40)*Flat!H$15)+(LOOKUP(Flat!H$2,'Floor-U'!$A$4:$A$40,'Floor-U'!$I$4:$I$40)*Flat!H$16)+(LOOKUP(Flat!H$2,'Wall-U'!$A$4:$A$40,'Wall-U'!$U$4:$U$40)*Flat!H$13)+(LOOKUP(Flat!H$2,'Window-U'!$A$4:$A$40,'Window-U'!$I$4:$I$40)*Flat!H$22))*H169</f>
        <v>2156.0736555726116</v>
      </c>
      <c r="I174" s="177">
        <f>((LOOKUP(Flat!I$2,'Ceiling-U'!$A$4:$A$40,'Ceiling-U'!$I$4:$I$40)*Flat!I$15)+(LOOKUP(Flat!I$2,'Floor-U'!$A$4:$A$40,'Floor-U'!$I$4:$I$40)*Flat!I$16)+(LOOKUP(Flat!I$2,'Wall-U'!$A$4:$A$40,'Wall-U'!$U$4:$U$40)*Flat!I$13)+(LOOKUP(Flat!I$2,'Window-U'!$A$4:$A$40,'Window-U'!$I$4:$I$40)*Flat!I$22))*I169</f>
        <v>819.33504405833719</v>
      </c>
      <c r="J174" s="177">
        <f>((LOOKUP(Flat!J$2,'Ceiling-U'!$A$4:$A$40,'Ceiling-U'!$I$4:$I$40)*Flat!J$15)+(LOOKUP(Flat!J$2,'Floor-U'!$A$4:$A$40,'Floor-U'!$I$4:$I$40)*Flat!J$16)+(LOOKUP(Flat!J$2,'Wall-U'!$A$4:$A$40,'Wall-U'!$U$4:$U$40)*Flat!J$13)+(LOOKUP(Flat!J$2,'Window-U'!$A$4:$A$40,'Window-U'!$I$4:$I$40)*Flat!J$22))*J169</f>
        <v>553.30563352378249</v>
      </c>
      <c r="K174" s="177">
        <f>((LOOKUP(Flat!K$2,'Ceiling-U'!$A$4:$A$40,'Ceiling-U'!$I$4:$I$40)*Flat!K$15)+(LOOKUP(Flat!K$2,'Floor-U'!$A$4:$A$40,'Floor-U'!$I$4:$I$40)*Flat!K$16)+(LOOKUP(Flat!K$2,'Wall-U'!$A$4:$A$40,'Wall-U'!$U$4:$U$40)*Flat!K$13)+(LOOKUP(Flat!K$2,'Window-U'!$A$4:$A$40,'Window-U'!$I$4:$I$40)*Flat!K$22))*K169</f>
        <v>1028.0838173931154</v>
      </c>
      <c r="L174" s="177">
        <f>((LOOKUP(Flat!L$2,'Ceiling-U'!$A$4:$A$40,'Ceiling-U'!$I$4:$I$40)*Flat!L$15)+(LOOKUP(Flat!L$2,'Floor-U'!$A$4:$A$40,'Floor-U'!$I$4:$I$40)*Flat!L$16)+(LOOKUP(Flat!L$2,'Wall-U'!$A$4:$A$40,'Wall-U'!$U$4:$U$40)*Flat!L$13)+(LOOKUP(Flat!L$2,'Window-U'!$A$4:$A$40,'Window-U'!$I$4:$I$40)*Flat!L$22))*L169</f>
        <v>360.39018187125106</v>
      </c>
      <c r="M174" s="177">
        <f>((LOOKUP(Flat!M$2,'Ceiling-U'!$A$4:$A$40,'Ceiling-U'!$I$4:$I$40)*Flat!M$15)+(LOOKUP(Flat!M$2,'Floor-U'!$A$4:$A$40,'Floor-U'!$I$4:$I$40)*Flat!M$16)+(LOOKUP(Flat!M$2,'Wall-U'!$A$4:$A$40,'Wall-U'!$U$4:$U$40)*Flat!M$13)+(LOOKUP(Flat!M$2,'Window-U'!$A$4:$A$40,'Window-U'!$I$4:$I$40)*Flat!M$22))*M169</f>
        <v>970.84956767398012</v>
      </c>
      <c r="N174" s="177">
        <f>((LOOKUP(Flat!N$2,'Ceiling-U'!$A$4:$A$40,'Ceiling-U'!$I$4:$I$40)*Flat!N$15)+(LOOKUP(Flat!N$2,'Floor-U'!$A$4:$A$40,'Floor-U'!$I$4:$I$40)*Flat!N$16)+(LOOKUP(Flat!N$2,'Wall-U'!$A$4:$A$40,'Wall-U'!$U$4:$U$40)*Flat!N$13)+(LOOKUP(Flat!N$2,'Window-U'!$A$4:$A$40,'Window-U'!$I$4:$I$40)*Flat!N$22))*N169</f>
        <v>1163.9486826681318</v>
      </c>
      <c r="O174" s="177">
        <f>((LOOKUP(Flat!O$2,'Ceiling-U'!$A$4:$A$40,'Ceiling-U'!$I$4:$I$40)*Flat!O$15)+(LOOKUP(Flat!O$2,'Floor-U'!$A$4:$A$40,'Floor-U'!$I$4:$I$40)*Flat!O$16)+(LOOKUP(Flat!O$2,'Wall-U'!$A$4:$A$40,'Wall-U'!$U$4:$U$40)*Flat!O$13)+(LOOKUP(Flat!O$2,'Window-U'!$A$4:$A$40,'Window-U'!$I$4:$I$40)*Flat!O$22))*O169</f>
        <v>688.44533611955239</v>
      </c>
      <c r="P174" s="177">
        <f>((LOOKUP(Flat!P$2,'Ceiling-U'!$A$4:$A$40,'Ceiling-U'!$I$4:$I$40)*Flat!P$15)+(LOOKUP(Flat!P$2,'Floor-U'!$A$4:$A$40,'Floor-U'!$I$4:$I$40)*Flat!P$16)+(LOOKUP(Flat!P$2,'Wall-U'!$A$4:$A$40,'Wall-U'!$U$4:$U$40)*Flat!P$13)+(LOOKUP(Flat!P$2,'Window-U'!$A$4:$A$40,'Window-U'!$I$4:$I$40)*Flat!P$22))*P169</f>
        <v>1495.4212897549241</v>
      </c>
      <c r="Q174" s="177">
        <f>((LOOKUP(Flat!Q$2,'Ceiling-U'!$A$4:$A$40,'Ceiling-U'!$I$4:$I$40)*Flat!Q$15)+(LOOKUP(Flat!Q$2,'Floor-U'!$A$4:$A$40,'Floor-U'!$I$4:$I$40)*Flat!Q$16)+(LOOKUP(Flat!Q$2,'Wall-U'!$A$4:$A$40,'Wall-U'!$U$4:$U$40)*Flat!Q$13)+(LOOKUP(Flat!Q$2,'Window-U'!$A$4:$A$40,'Window-U'!$I$4:$I$40)*Flat!Q$22))*Q169</f>
        <v>1035.8265292700894</v>
      </c>
      <c r="R174" s="177">
        <f>((LOOKUP(Flat!R$2,'Ceiling-U'!$A$4:$A$40,'Ceiling-U'!$I$4:$I$40)*Flat!R$15)+(LOOKUP(Flat!R$2,'Floor-U'!$A$4:$A$40,'Floor-U'!$I$4:$I$40)*Flat!R$16)+(LOOKUP(Flat!R$2,'Wall-U'!$A$4:$A$40,'Wall-U'!$U$4:$U$40)*Flat!R$13)+(LOOKUP(Flat!R$2,'Window-U'!$A$4:$A$40,'Window-U'!$I$4:$I$40)*Flat!R$22))*R169</f>
        <v>913.75378915050271</v>
      </c>
      <c r="S174" s="177">
        <f>((LOOKUP(Flat!S$2,'Ceiling-U'!$A$4:$A$40,'Ceiling-U'!$I$4:$I$40)*Flat!S$15)+(LOOKUP(Flat!S$2,'Floor-U'!$A$4:$A$40,'Floor-U'!$I$4:$I$40)*Flat!S$16)+(LOOKUP(Flat!S$2,'Wall-U'!$A$4:$A$40,'Wall-U'!$U$4:$U$40)*Flat!S$13)+(LOOKUP(Flat!S$2,'Window-U'!$A$4:$A$40,'Window-U'!$I$4:$I$40)*Flat!S$22))*S169</f>
        <v>3471.7103494447501</v>
      </c>
      <c r="T174" s="177">
        <f>((LOOKUP(Flat!T$2,'Ceiling-U'!$A$4:$A$40,'Ceiling-U'!$I$4:$I$40)*Flat!T$15)+(LOOKUP(Flat!T$2,'Floor-U'!$A$4:$A$40,'Floor-U'!$I$4:$I$40)*Flat!T$16)+(LOOKUP(Flat!T$2,'Wall-U'!$A$4:$A$40,'Wall-U'!$U$4:$U$40)*Flat!T$13)+(LOOKUP(Flat!T$2,'Window-U'!$A$4:$A$40,'Window-U'!$I$4:$I$40)*Flat!T$22))*T169</f>
        <v>548.44477714032246</v>
      </c>
      <c r="U174" s="177">
        <f>((LOOKUP(Flat!U$2,'Ceiling-U'!$A$4:$A$40,'Ceiling-U'!$I$4:$I$40)*Flat!U$15)+(LOOKUP(Flat!U$2,'Floor-U'!$A$4:$A$40,'Floor-U'!$I$4:$I$40)*Flat!U$16)+(LOOKUP(Flat!U$2,'Wall-U'!$A$4:$A$40,'Wall-U'!$U$4:$U$40)*Flat!U$13)+(LOOKUP(Flat!U$2,'Window-U'!$A$4:$A$40,'Window-U'!$I$4:$I$40)*Flat!U$22))*U169</f>
        <v>1774.660831293508</v>
      </c>
      <c r="V174" s="177">
        <f>((LOOKUP(Flat!V$2,'Ceiling-U'!$A$4:$A$40,'Ceiling-U'!$I$4:$I$40)*Flat!V$15)+(LOOKUP(Flat!V$2,'Floor-U'!$A$4:$A$40,'Floor-U'!$I$4:$I$40)*Flat!V$16)+(LOOKUP(Flat!V$2,'Wall-U'!$A$4:$A$40,'Wall-U'!$U$4:$U$40)*Flat!V$13)+(LOOKUP(Flat!V$2,'Window-U'!$A$4:$A$40,'Window-U'!$I$4:$I$40)*Flat!V$22))*V169</f>
        <v>726.5812988932048</v>
      </c>
      <c r="W174" s="177">
        <f>((LOOKUP(Flat!W$2,'Ceiling-U'!$A$4:$A$40,'Ceiling-U'!$I$4:$I$40)*Flat!W$15)+(LOOKUP(Flat!W$2,'Floor-U'!$A$4:$A$40,'Floor-U'!$I$4:$I$40)*Flat!W$16)+(LOOKUP(Flat!W$2,'Wall-U'!$A$4:$A$40,'Wall-U'!$U$4:$U$40)*Flat!W$13)+(LOOKUP(Flat!W$2,'Window-U'!$A$4:$A$40,'Window-U'!$I$4:$I$40)*Flat!W$22))*W169</f>
        <v>814.35653317180731</v>
      </c>
      <c r="X174" s="177">
        <f>((LOOKUP(Flat!X$2,'Ceiling-U'!$A$4:$A$40,'Ceiling-U'!$I$4:$I$40)*Flat!X$15)+(LOOKUP(Flat!X$2,'Floor-U'!$A$4:$A$40,'Floor-U'!$I$4:$I$40)*Flat!X$16)+(LOOKUP(Flat!X$2,'Wall-U'!$A$4:$A$40,'Wall-U'!$U$4:$U$40)*Flat!X$13)+(LOOKUP(Flat!X$2,'Window-U'!$A$4:$A$40,'Window-U'!$I$4:$I$40)*Flat!X$22))*X169</f>
        <v>665.93449197519408</v>
      </c>
      <c r="Y174" s="177">
        <f>((LOOKUP(Flat!Y$2,'Ceiling-U'!$A$4:$A$40,'Ceiling-U'!$I$4:$I$40)*Flat!Y$15)+(LOOKUP(Flat!Y$2,'Floor-U'!$A$4:$A$40,'Floor-U'!$I$4:$I$40)*Flat!Y$16)+(LOOKUP(Flat!Y$2,'Wall-U'!$A$4:$A$40,'Wall-U'!$U$4:$U$40)*Flat!Y$13)+(LOOKUP(Flat!Y$2,'Window-U'!$A$4:$A$40,'Window-U'!$I$4:$I$40)*Flat!Y$22))*Y169</f>
        <v>2497.7375342094924</v>
      </c>
      <c r="Z174" s="177">
        <f>((LOOKUP(Flat!Z$2,'Ceiling-U'!$A$4:$A$40,'Ceiling-U'!$I$4:$I$40)*Flat!Z$15)+(LOOKUP(Flat!Z$2,'Floor-U'!$A$4:$A$40,'Floor-U'!$I$4:$I$40)*Flat!Z$16)+(LOOKUP(Flat!Z$2,'Wall-U'!$A$4:$A$40,'Wall-U'!$U$4:$U$40)*Flat!Z$13)+(LOOKUP(Flat!Z$2,'Window-U'!$A$4:$A$40,'Window-U'!$I$4:$I$40)*Flat!Z$22))*Z169</f>
        <v>1112.7216432674918</v>
      </c>
      <c r="AA174" s="177">
        <f>((LOOKUP(Flat!AA$2,'Ceiling-U'!$A$4:$A$40,'Ceiling-U'!$I$4:$I$40)*Flat!AA$15)+(LOOKUP(Flat!AA$2,'Floor-U'!$A$4:$A$40,'Floor-U'!$I$4:$I$40)*Flat!AA$16)+(LOOKUP(Flat!AA$2,'Wall-U'!$A$4:$A$40,'Wall-U'!$U$4:$U$40)*Flat!AA$13)+(LOOKUP(Flat!AA$2,'Window-U'!$A$4:$A$40,'Window-U'!$I$4:$I$40)*Flat!AA$22))*AA169</f>
        <v>571.98809236879265</v>
      </c>
      <c r="AB174" s="177">
        <f>((LOOKUP(Flat!AB$2,'Ceiling-U'!$A$4:$A$40,'Ceiling-U'!$I$4:$I$40)*Flat!AB$15)+(LOOKUP(Flat!AB$2,'Floor-U'!$A$4:$A$40,'Floor-U'!$I$4:$I$40)*Flat!AB$16)+(LOOKUP(Flat!AB$2,'Wall-U'!$A$4:$A$40,'Wall-U'!$U$4:$U$40)*Flat!AB$13)+(LOOKUP(Flat!AB$2,'Window-U'!$A$4:$A$40,'Window-U'!$I$4:$I$40)*Flat!AB$22))*AB169</f>
        <v>1275.2153358445155</v>
      </c>
      <c r="AC174" s="177">
        <f>((LOOKUP(Flat!AC$2,'Ceiling-U'!$A$4:$A$40,'Ceiling-U'!$I$4:$I$40)*Flat!AC$15)+(LOOKUP(Flat!AC$2,'Floor-U'!$A$4:$A$40,'Floor-U'!$I$4:$I$40)*Flat!AC$16)+(LOOKUP(Flat!AC$2,'Wall-U'!$A$4:$A$40,'Wall-U'!$U$4:$U$40)*Flat!AC$13)+(LOOKUP(Flat!AC$2,'Window-U'!$A$4:$A$40,'Window-U'!$I$4:$I$40)*Flat!AC$22))*AC169</f>
        <v>2527.9127818554443</v>
      </c>
      <c r="AD174" s="177">
        <f>((LOOKUP(Flat!AD$2,'Ceiling-U'!$A$4:$A$40,'Ceiling-U'!$I$4:$I$40)*Flat!AD$15)+(LOOKUP(Flat!AD$2,'Floor-U'!$A$4:$A$40,'Floor-U'!$I$4:$I$40)*Flat!AD$16)+(LOOKUP(Flat!AD$2,'Wall-U'!$A$4:$A$40,'Wall-U'!$U$4:$U$40)*Flat!AD$13)+(LOOKUP(Flat!AD$2,'Window-U'!$A$4:$A$40,'Window-U'!$I$4:$I$40)*Flat!AD$22))*AD169</f>
        <v>3630.3693143360597</v>
      </c>
      <c r="AE174" s="177">
        <f>((LOOKUP(Flat!AE$2,'Ceiling-U'!$A$4:$A$40,'Ceiling-U'!$I$4:$I$40)*Flat!AE$15)+(LOOKUP(Flat!AE$2,'Floor-U'!$A$4:$A$40,'Floor-U'!$I$4:$I$40)*Flat!AE$16)+(LOOKUP(Flat!AE$2,'Wall-U'!$A$4:$A$40,'Wall-U'!$U$4:$U$40)*Flat!AE$13)+(LOOKUP(Flat!AE$2,'Window-U'!$A$4:$A$40,'Window-U'!$I$4:$I$40)*Flat!AE$22))*AE169</f>
        <v>571.98809236879265</v>
      </c>
      <c r="AF174" s="177">
        <f>((LOOKUP(Flat!AF$2,'Ceiling-U'!$A$4:$A$40,'Ceiling-U'!$I$4:$I$40)*Flat!AF$15)+(LOOKUP(Flat!AF$2,'Floor-U'!$A$4:$A$40,'Floor-U'!$I$4:$I$40)*Flat!AF$16)+(LOOKUP(Flat!AF$2,'Wall-U'!$A$4:$A$40,'Wall-U'!$U$4:$U$40)*Flat!AF$13)+(LOOKUP(Flat!AF$2,'Window-U'!$A$4:$A$40,'Window-U'!$I$4:$I$40)*Flat!AF$22))*AF169</f>
        <v>701.66970864509642</v>
      </c>
      <c r="AG174" s="177">
        <f>((LOOKUP(Flat!AG$2,'Ceiling-U'!$A$4:$A$40,'Ceiling-U'!$I$4:$I$40)*Flat!AG$15)+(LOOKUP(Flat!AG$2,'Floor-U'!$A$4:$A$40,'Floor-U'!$I$4:$I$40)*Flat!AG$16)+(LOOKUP(Flat!AG$2,'Wall-U'!$A$4:$A$40,'Wall-U'!$U$4:$U$40)*Flat!AG$13)+(LOOKUP(Flat!AG$2,'Window-U'!$A$4:$A$40,'Window-U'!$I$4:$I$40)*Flat!AG$22))*AG169</f>
        <v>1267.4787366032224</v>
      </c>
      <c r="AH174" s="177">
        <f>((LOOKUP(Flat!AH$2,'Ceiling-U'!$A$4:$A$40,'Ceiling-U'!$I$4:$I$40)*Flat!AH$15)+(LOOKUP(Flat!AH$2,'Floor-U'!$A$4:$A$40,'Floor-U'!$I$4:$I$40)*Flat!AH$16)+(LOOKUP(Flat!AH$2,'Wall-U'!$A$4:$A$40,'Wall-U'!$U$4:$U$40)*Flat!AH$13)+(LOOKUP(Flat!AH$2,'Window-U'!$A$4:$A$40,'Window-U'!$I$4:$I$40)*Flat!AH$22))*AH169</f>
        <v>2140.7425975605925</v>
      </c>
      <c r="AI174" s="177">
        <f>((LOOKUP(Flat!AI$2,'Ceiling-U'!$A$4:$A$40,'Ceiling-U'!$I$4:$I$40)*Flat!AI$15)+(LOOKUP(Flat!AI$2,'Floor-U'!$A$4:$A$40,'Floor-U'!$I$4:$I$40)*Flat!AI$16)+(LOOKUP(Flat!AI$2,'Wall-U'!$A$4:$A$40,'Wall-U'!$U$4:$U$40)*Flat!AI$13)+(LOOKUP(Flat!AI$2,'Window-U'!$A$4:$A$40,'Window-U'!$I$4:$I$40)*Flat!AI$22))*AI169</f>
        <v>2396.4473987695069</v>
      </c>
      <c r="AJ174" s="177">
        <f>((LOOKUP(Flat!AJ$2,'Ceiling-U'!$A$4:$A$40,'Ceiling-U'!$I$4:$I$40)*Flat!AJ$15)+(LOOKUP(Flat!AJ$2,'Floor-U'!$A$4:$A$40,'Floor-U'!$I$4:$I$40)*Flat!AJ$16)+(LOOKUP(Flat!AJ$2,'Wall-U'!$A$4:$A$40,'Wall-U'!$U$4:$U$40)*Flat!AJ$13)+(LOOKUP(Flat!AJ$2,'Window-U'!$A$4:$A$40,'Window-U'!$I$4:$I$40)*Flat!AJ$22))*AJ169</f>
        <v>1226.6741271912686</v>
      </c>
      <c r="AK174" s="177">
        <f>((LOOKUP(Flat!AK$2,'Ceiling-U'!$A$4:$A$40,'Ceiling-U'!$I$4:$I$40)*Flat!AK$15)+(LOOKUP(Flat!AK$2,'Floor-U'!$A$4:$A$40,'Floor-U'!$I$4:$I$40)*Flat!AK$16)+(LOOKUP(Flat!AK$2,'Wall-U'!$A$4:$A$40,'Wall-U'!$U$4:$U$40)*Flat!AK$13)+(LOOKUP(Flat!AK$2,'Window-U'!$A$4:$A$40,'Window-U'!$I$4:$I$40)*Flat!AK$22))*AK169</f>
        <v>1308.8694495548737</v>
      </c>
      <c r="AL174" s="177">
        <f>((LOOKUP(Flat!AL$2,'Ceiling-U'!$A$4:$A$40,'Ceiling-U'!$I$4:$I$40)*Flat!AL$15)+(LOOKUP(Flat!AL$2,'Floor-U'!$A$4:$A$40,'Floor-U'!$I$4:$I$40)*Flat!AL$16)+(LOOKUP(Flat!AL$2,'Wall-U'!$A$4:$A$40,'Wall-U'!$U$4:$U$40)*Flat!AL$13)+(LOOKUP(Flat!AL$2,'Window-U'!$A$4:$A$40,'Window-U'!$I$4:$I$40)*Flat!AL$22))*AL169</f>
        <v>1025.870099898048</v>
      </c>
      <c r="AM174" s="177">
        <f>((LOOKUP(Flat!AM$2,'Ceiling-U'!$A$4:$A$40,'Ceiling-U'!$I$4:$I$40)*Flat!AM$15)+(LOOKUP(Flat!AM$2,'Floor-U'!$A$4:$A$40,'Floor-U'!$I$4:$I$40)*Flat!AM$16)+(LOOKUP(Flat!AM$2,'Wall-U'!$A$4:$A$40,'Wall-U'!$U$4:$U$40)*Flat!AM$13)+(LOOKUP(Flat!AM$2,'Window-U'!$A$4:$A$40,'Window-U'!$I$4:$I$40)*Flat!AM$22))*AM169</f>
        <v>1226.6741271912686</v>
      </c>
      <c r="AN174" s="178">
        <f>((LOOKUP(Flat!AN$2,'Ceiling-U'!$A$4:$A$40,'Ceiling-U'!$I$4:$I$40)*Flat!AN$15)+(LOOKUP(Flat!AN$2,'Floor-U'!$A$4:$A$40,'Floor-U'!$I$4:$I$40)*Flat!AN$16)+(LOOKUP(Flat!AN$2,'Wall-U'!$A$4:$A$40,'Wall-U'!$U$4:$U$40)*Flat!AN$13)+(LOOKUP(Flat!AN$2,'Window-U'!$A$4:$A$40,'Window-U'!$I$4:$I$40)*Flat!AN$22))*AN169</f>
        <v>1226.6741271912686</v>
      </c>
    </row>
    <row r="175" spans="1:40" s="5" customFormat="1">
      <c r="A175" s="373"/>
      <c r="B175" s="374" t="s">
        <v>7</v>
      </c>
      <c r="C175" s="131" t="s">
        <v>195</v>
      </c>
      <c r="D175" s="176">
        <f>((LOOKUP(Flat!D$2,'Ceiling-U'!$A$4:$A$40,'Ceiling-U'!$J$4:$J$40)*Flat!D$15)+(LOOKUP(Flat!D$2,'Floor-U'!$A$4:$A$40,'Floor-U'!$J$4:$J$40)*Flat!D$16)+(LOOKUP(Flat!D$2,'Wall-U'!$A$4:$A$40,'Wall-U'!$V$4:$V$40)*Flat!D$13)+(LOOKUP(Flat!D$2,'Window-U'!$A$4:$A$40,'Window-U'!$J$4:$J$40)*Flat!D$22))*D169</f>
        <v>677.46088528344944</v>
      </c>
      <c r="E175" s="174">
        <f>((LOOKUP(Flat!E$2,'Ceiling-U'!$A$4:$A$40,'Ceiling-U'!$J$4:$J$40)*Flat!E$15)+(LOOKUP(Flat!E$2,'Floor-U'!$A$4:$A$40,'Floor-U'!$J$4:$J$40)*Flat!E$16)+(LOOKUP(Flat!E$2,'Wall-U'!$A$4:$A$40,'Wall-U'!$V$4:$V$40)*Flat!E$13)+(LOOKUP(Flat!E$2,'Window-U'!$A$4:$A$40,'Window-U'!$J$4:$J$40)*Flat!E$22))*E169</f>
        <v>1064.5065660278026</v>
      </c>
      <c r="F175" s="174">
        <f>((LOOKUP(Flat!F$2,'Ceiling-U'!$A$4:$A$40,'Ceiling-U'!$J$4:$J$40)*Flat!F$15)+(LOOKUP(Flat!F$2,'Floor-U'!$A$4:$A$40,'Floor-U'!$J$4:$J$40)*Flat!F$16)+(LOOKUP(Flat!F$2,'Wall-U'!$A$4:$A$40,'Wall-U'!$V$4:$V$40)*Flat!F$13)+(LOOKUP(Flat!F$2,'Window-U'!$A$4:$A$40,'Window-U'!$J$4:$J$40)*Flat!F$22))*F169</f>
        <v>1364.4842578859038</v>
      </c>
      <c r="G175" s="174">
        <f>((LOOKUP(Flat!G$2,'Ceiling-U'!$A$4:$A$40,'Ceiling-U'!$J$4:$J$40)*Flat!G$15)+(LOOKUP(Flat!G$2,'Floor-U'!$A$4:$A$40,'Floor-U'!$J$4:$J$40)*Flat!G$16)+(LOOKUP(Flat!G$2,'Wall-U'!$A$4:$A$40,'Wall-U'!$V$4:$V$40)*Flat!G$13)+(LOOKUP(Flat!G$2,'Window-U'!$A$4:$A$40,'Window-U'!$J$4:$J$40)*Flat!G$22))*G169</f>
        <v>677.46088528344944</v>
      </c>
      <c r="H175" s="174">
        <f>((LOOKUP(Flat!H$2,'Ceiling-U'!$A$4:$A$40,'Ceiling-U'!$J$4:$J$40)*Flat!H$15)+(LOOKUP(Flat!H$2,'Floor-U'!$A$4:$A$40,'Floor-U'!$J$4:$J$40)*Flat!H$16)+(LOOKUP(Flat!H$2,'Wall-U'!$A$4:$A$40,'Wall-U'!$V$4:$V$40)*Flat!H$13)+(LOOKUP(Flat!H$2,'Window-U'!$A$4:$A$40,'Window-U'!$J$4:$J$40)*Flat!H$22))*H169</f>
        <v>1871.5853565726115</v>
      </c>
      <c r="I175" s="174">
        <f>((LOOKUP(Flat!I$2,'Ceiling-U'!$A$4:$A$40,'Ceiling-U'!$J$4:$J$40)*Flat!I$15)+(LOOKUP(Flat!I$2,'Floor-U'!$A$4:$A$40,'Floor-U'!$J$4:$J$40)*Flat!I$16)+(LOOKUP(Flat!I$2,'Wall-U'!$A$4:$A$40,'Wall-U'!$V$4:$V$40)*Flat!I$13)+(LOOKUP(Flat!I$2,'Window-U'!$A$4:$A$40,'Window-U'!$J$4:$J$40)*Flat!I$22))*I169</f>
        <v>633.84586334485914</v>
      </c>
      <c r="J175" s="174">
        <f>((LOOKUP(Flat!J$2,'Ceiling-U'!$A$4:$A$40,'Ceiling-U'!$J$4:$J$40)*Flat!J$15)+(LOOKUP(Flat!J$2,'Floor-U'!$A$4:$A$40,'Floor-U'!$J$4:$J$40)*Flat!J$16)+(LOOKUP(Flat!J$2,'Wall-U'!$A$4:$A$40,'Wall-U'!$V$4:$V$40)*Flat!J$13)+(LOOKUP(Flat!J$2,'Window-U'!$A$4:$A$40,'Window-U'!$J$4:$J$40)*Flat!J$22))*J169</f>
        <v>593.34980625574462</v>
      </c>
      <c r="K175" s="174">
        <f>((LOOKUP(Flat!K$2,'Ceiling-U'!$A$4:$A$40,'Ceiling-U'!$J$4:$J$40)*Flat!K$15)+(LOOKUP(Flat!K$2,'Floor-U'!$A$4:$A$40,'Floor-U'!$J$4:$J$40)*Flat!K$16)+(LOOKUP(Flat!K$2,'Wall-U'!$A$4:$A$40,'Wall-U'!$V$4:$V$40)*Flat!K$13)+(LOOKUP(Flat!K$2,'Window-U'!$A$4:$A$40,'Window-U'!$J$4:$J$40)*Flat!K$22))*K169</f>
        <v>739.66987371635423</v>
      </c>
      <c r="L175" s="174">
        <f>((LOOKUP(Flat!L$2,'Ceiling-U'!$A$4:$A$40,'Ceiling-U'!$J$4:$J$40)*Flat!L$15)+(LOOKUP(Flat!L$2,'Floor-U'!$A$4:$A$40,'Floor-U'!$J$4:$J$40)*Flat!L$16)+(LOOKUP(Flat!L$2,'Wall-U'!$A$4:$A$40,'Wall-U'!$V$4:$V$40)*Flat!L$13)+(LOOKUP(Flat!L$2,'Window-U'!$A$4:$A$40,'Window-U'!$J$4:$J$40)*Flat!L$22))*L169</f>
        <v>360.39018187125106</v>
      </c>
      <c r="M175" s="174">
        <f>((LOOKUP(Flat!M$2,'Ceiling-U'!$A$4:$A$40,'Ceiling-U'!$J$4:$J$40)*Flat!M$15)+(LOOKUP(Flat!M$2,'Floor-U'!$A$4:$A$40,'Floor-U'!$J$4:$J$40)*Flat!M$16)+(LOOKUP(Flat!M$2,'Wall-U'!$A$4:$A$40,'Wall-U'!$V$4:$V$40)*Flat!M$13)+(LOOKUP(Flat!M$2,'Window-U'!$A$4:$A$40,'Window-U'!$J$4:$J$40)*Flat!M$22))*M169</f>
        <v>754.13586089548517</v>
      </c>
      <c r="N175" s="174">
        <f>((LOOKUP(Flat!N$2,'Ceiling-U'!$A$4:$A$40,'Ceiling-U'!$J$4:$J$40)*Flat!N$15)+(LOOKUP(Flat!N$2,'Floor-U'!$A$4:$A$40,'Floor-U'!$J$4:$J$40)*Flat!N$16)+(LOOKUP(Flat!N$2,'Wall-U'!$A$4:$A$40,'Wall-U'!$V$4:$V$40)*Flat!N$13)+(LOOKUP(Flat!N$2,'Window-U'!$A$4:$A$40,'Window-U'!$J$4:$J$40)*Flat!N$22))*N169</f>
        <v>1021.6908022008472</v>
      </c>
      <c r="O175" s="174">
        <f>((LOOKUP(Flat!O$2,'Ceiling-U'!$A$4:$A$40,'Ceiling-U'!$J$4:$J$40)*Flat!O$15)+(LOOKUP(Flat!O$2,'Floor-U'!$A$4:$A$40,'Floor-U'!$J$4:$J$40)*Flat!O$16)+(LOOKUP(Flat!O$2,'Wall-U'!$A$4:$A$40,'Wall-U'!$V$4:$V$40)*Flat!O$13)+(LOOKUP(Flat!O$2,'Window-U'!$A$4:$A$40,'Window-U'!$J$4:$J$40)*Flat!O$22))*O169</f>
        <v>665.08823436013381</v>
      </c>
      <c r="P175" s="174">
        <f>((LOOKUP(Flat!P$2,'Ceiling-U'!$A$4:$A$40,'Ceiling-U'!$J$4:$J$40)*Flat!P$15)+(LOOKUP(Flat!P$2,'Floor-U'!$A$4:$A$40,'Floor-U'!$J$4:$J$40)*Flat!P$16)+(LOOKUP(Flat!P$2,'Wall-U'!$A$4:$A$40,'Wall-U'!$V$4:$V$40)*Flat!P$13)+(LOOKUP(Flat!P$2,'Window-U'!$A$4:$A$40,'Window-U'!$J$4:$J$40)*Flat!P$22))*P169</f>
        <v>666.38834925937124</v>
      </c>
      <c r="Q175" s="174">
        <f>((LOOKUP(Flat!Q$2,'Ceiling-U'!$A$4:$A$40,'Ceiling-U'!$J$4:$J$40)*Flat!Q$15)+(LOOKUP(Flat!Q$2,'Floor-U'!$A$4:$A$40,'Floor-U'!$J$4:$J$40)*Flat!Q$16)+(LOOKUP(Flat!Q$2,'Wall-U'!$A$4:$A$40,'Wall-U'!$V$4:$V$40)*Flat!Q$13)+(LOOKUP(Flat!Q$2,'Window-U'!$A$4:$A$40,'Window-U'!$J$4:$J$40)*Flat!Q$22))*Q169</f>
        <v>693.08121962701694</v>
      </c>
      <c r="R175" s="174">
        <f>((LOOKUP(Flat!R$2,'Ceiling-U'!$A$4:$A$40,'Ceiling-U'!$J$4:$J$40)*Flat!R$15)+(LOOKUP(Flat!R$2,'Floor-U'!$A$4:$A$40,'Floor-U'!$J$4:$J$40)*Flat!R$16)+(LOOKUP(Flat!R$2,'Wall-U'!$A$4:$A$40,'Wall-U'!$V$4:$V$40)*Flat!R$13)+(LOOKUP(Flat!R$2,'Window-U'!$A$4:$A$40,'Window-U'!$J$4:$J$40)*Flat!R$22))*R169</f>
        <v>578.53021203036189</v>
      </c>
      <c r="S175" s="174">
        <f>((LOOKUP(Flat!S$2,'Ceiling-U'!$A$4:$A$40,'Ceiling-U'!$J$4:$J$40)*Flat!S$15)+(LOOKUP(Flat!S$2,'Floor-U'!$A$4:$A$40,'Floor-U'!$J$4:$J$40)*Flat!S$16)+(LOOKUP(Flat!S$2,'Wall-U'!$A$4:$A$40,'Wall-U'!$V$4:$V$40)*Flat!S$13)+(LOOKUP(Flat!S$2,'Window-U'!$A$4:$A$40,'Window-U'!$J$4:$J$40)*Flat!S$22))*S169</f>
        <v>2453.9369962717892</v>
      </c>
      <c r="T175" s="174">
        <f>((LOOKUP(Flat!T$2,'Ceiling-U'!$A$4:$A$40,'Ceiling-U'!$J$4:$J$40)*Flat!T$15)+(LOOKUP(Flat!T$2,'Floor-U'!$A$4:$A$40,'Floor-U'!$J$4:$J$40)*Flat!T$16)+(LOOKUP(Flat!T$2,'Wall-U'!$A$4:$A$40,'Wall-U'!$V$4:$V$40)*Flat!T$13)+(LOOKUP(Flat!T$2,'Window-U'!$A$4:$A$40,'Window-U'!$J$4:$J$40)*Flat!T$22))*T169</f>
        <v>487.07449265836442</v>
      </c>
      <c r="U175" s="174">
        <f>((LOOKUP(Flat!U$2,'Ceiling-U'!$A$4:$A$40,'Ceiling-U'!$J$4:$J$40)*Flat!U$15)+(LOOKUP(Flat!U$2,'Floor-U'!$A$4:$A$40,'Floor-U'!$J$4:$J$40)*Flat!U$16)+(LOOKUP(Flat!U$2,'Wall-U'!$A$4:$A$40,'Wall-U'!$V$4:$V$40)*Flat!U$13)+(LOOKUP(Flat!U$2,'Window-U'!$A$4:$A$40,'Window-U'!$J$4:$J$40)*Flat!U$22))*U169</f>
        <v>1630.660831293508</v>
      </c>
      <c r="V175" s="174">
        <f>((LOOKUP(Flat!V$2,'Ceiling-U'!$A$4:$A$40,'Ceiling-U'!$J$4:$J$40)*Flat!V$15)+(LOOKUP(Flat!V$2,'Floor-U'!$A$4:$A$40,'Floor-U'!$J$4:$J$40)*Flat!V$16)+(LOOKUP(Flat!V$2,'Wall-U'!$A$4:$A$40,'Wall-U'!$V$4:$V$40)*Flat!V$13)+(LOOKUP(Flat!V$2,'Window-U'!$A$4:$A$40,'Window-U'!$J$4:$J$40)*Flat!V$22))*V169</f>
        <v>461.99363457322943</v>
      </c>
      <c r="W175" s="174">
        <f>((LOOKUP(Flat!W$2,'Ceiling-U'!$A$4:$A$40,'Ceiling-U'!$J$4:$J$40)*Flat!W$15)+(LOOKUP(Flat!W$2,'Floor-U'!$A$4:$A$40,'Floor-U'!$J$4:$J$40)*Flat!W$16)+(LOOKUP(Flat!W$2,'Wall-U'!$A$4:$A$40,'Wall-U'!$V$4:$V$40)*Flat!W$13)+(LOOKUP(Flat!W$2,'Window-U'!$A$4:$A$40,'Window-U'!$J$4:$J$40)*Flat!W$22))*W169</f>
        <v>661.77963309309837</v>
      </c>
      <c r="X175" s="174">
        <f>((LOOKUP(Flat!X$2,'Ceiling-U'!$A$4:$A$40,'Ceiling-U'!$J$4:$J$40)*Flat!X$15)+(LOOKUP(Flat!X$2,'Floor-U'!$A$4:$A$40,'Floor-U'!$J$4:$J$40)*Flat!X$16)+(LOOKUP(Flat!X$2,'Wall-U'!$A$4:$A$40,'Wall-U'!$V$4:$V$40)*Flat!X$13)+(LOOKUP(Flat!X$2,'Window-U'!$A$4:$A$40,'Window-U'!$J$4:$J$40)*Flat!X$22))*X169</f>
        <v>446.34024718815397</v>
      </c>
      <c r="Y175" s="174">
        <f>((LOOKUP(Flat!Y$2,'Ceiling-U'!$A$4:$A$40,'Ceiling-U'!$J$4:$J$40)*Flat!Y$15)+(LOOKUP(Flat!Y$2,'Floor-U'!$A$4:$A$40,'Floor-U'!$J$4:$J$40)*Flat!Y$16)+(LOOKUP(Flat!Y$2,'Wall-U'!$A$4:$A$40,'Wall-U'!$V$4:$V$40)*Flat!Y$13)+(LOOKUP(Flat!Y$2,'Window-U'!$A$4:$A$40,'Window-U'!$J$4:$J$40)*Flat!Y$22))*Y169</f>
        <v>2464.9179741103508</v>
      </c>
      <c r="Z175" s="174">
        <f>((LOOKUP(Flat!Z$2,'Ceiling-U'!$A$4:$A$40,'Ceiling-U'!$J$4:$J$40)*Flat!Z$15)+(LOOKUP(Flat!Z$2,'Floor-U'!$A$4:$A$40,'Floor-U'!$J$4:$J$40)*Flat!Z$16)+(LOOKUP(Flat!Z$2,'Wall-U'!$A$4:$A$40,'Wall-U'!$V$4:$V$40)*Flat!Z$13)+(LOOKUP(Flat!Z$2,'Window-U'!$A$4:$A$40,'Window-U'!$J$4:$J$40)*Flat!Z$22))*Z169</f>
        <v>787.59768258716679</v>
      </c>
      <c r="AA175" s="174">
        <f>((LOOKUP(Flat!AA$2,'Ceiling-U'!$A$4:$A$40,'Ceiling-U'!$J$4:$J$40)*Flat!AA$15)+(LOOKUP(Flat!AA$2,'Floor-U'!$A$4:$A$40,'Floor-U'!$J$4:$J$40)*Flat!AA$16)+(LOOKUP(Flat!AA$2,'Wall-U'!$A$4:$A$40,'Wall-U'!$V$4:$V$40)*Flat!AA$13)+(LOOKUP(Flat!AA$2,'Window-U'!$A$4:$A$40,'Window-U'!$J$4:$J$40)*Flat!AA$22))*AA169</f>
        <v>475.5927643687927</v>
      </c>
      <c r="AB175" s="174">
        <f>((LOOKUP(Flat!AB$2,'Ceiling-U'!$A$4:$A$40,'Ceiling-U'!$J$4:$J$40)*Flat!AB$15)+(LOOKUP(Flat!AB$2,'Floor-U'!$A$4:$A$40,'Floor-U'!$J$4:$J$40)*Flat!AB$16)+(LOOKUP(Flat!AB$2,'Wall-U'!$A$4:$A$40,'Wall-U'!$V$4:$V$40)*Flat!AB$13)+(LOOKUP(Flat!AB$2,'Window-U'!$A$4:$A$40,'Window-U'!$J$4:$J$40)*Flat!AB$22))*AB169</f>
        <v>1096.3566044191143</v>
      </c>
      <c r="AC175" s="174">
        <f>((LOOKUP(Flat!AC$2,'Ceiling-U'!$A$4:$A$40,'Ceiling-U'!$J$4:$J$40)*Flat!AC$15)+(LOOKUP(Flat!AC$2,'Floor-U'!$A$4:$A$40,'Floor-U'!$J$4:$J$40)*Flat!AC$16)+(LOOKUP(Flat!AC$2,'Wall-U'!$A$4:$A$40,'Wall-U'!$V$4:$V$40)*Flat!AC$13)+(LOOKUP(Flat!AC$2,'Window-U'!$A$4:$A$40,'Window-U'!$J$4:$J$40)*Flat!AC$22))*AC169</f>
        <v>1732.2260422368704</v>
      </c>
      <c r="AD175" s="174">
        <f>((LOOKUP(Flat!AD$2,'Ceiling-U'!$A$4:$A$40,'Ceiling-U'!$J$4:$J$40)*Flat!AD$15)+(LOOKUP(Flat!AD$2,'Floor-U'!$A$4:$A$40,'Floor-U'!$J$4:$J$40)*Flat!AD$16)+(LOOKUP(Flat!AD$2,'Wall-U'!$A$4:$A$40,'Wall-U'!$V$4:$V$40)*Flat!AD$13)+(LOOKUP(Flat!AD$2,'Window-U'!$A$4:$A$40,'Window-U'!$J$4:$J$40)*Flat!AD$22))*AD169</f>
        <v>2813.750113042151</v>
      </c>
      <c r="AE175" s="174">
        <f>((LOOKUP(Flat!AE$2,'Ceiling-U'!$A$4:$A$40,'Ceiling-U'!$J$4:$J$40)*Flat!AE$15)+(LOOKUP(Flat!AE$2,'Floor-U'!$A$4:$A$40,'Floor-U'!$J$4:$J$40)*Flat!AE$16)+(LOOKUP(Flat!AE$2,'Wall-U'!$A$4:$A$40,'Wall-U'!$V$4:$V$40)*Flat!AE$13)+(LOOKUP(Flat!AE$2,'Window-U'!$A$4:$A$40,'Window-U'!$J$4:$J$40)*Flat!AE$22))*AE169</f>
        <v>475.5927643687927</v>
      </c>
      <c r="AF175" s="174">
        <f>((LOOKUP(Flat!AF$2,'Ceiling-U'!$A$4:$A$40,'Ceiling-U'!$J$4:$J$40)*Flat!AF$15)+(LOOKUP(Flat!AF$2,'Floor-U'!$A$4:$A$40,'Floor-U'!$J$4:$J$40)*Flat!AF$16)+(LOOKUP(Flat!AF$2,'Wall-U'!$A$4:$A$40,'Wall-U'!$V$4:$V$40)*Flat!AF$13)+(LOOKUP(Flat!AF$2,'Window-U'!$A$4:$A$40,'Window-U'!$J$4:$J$40)*Flat!AF$22))*AF169</f>
        <v>445.26736727974981</v>
      </c>
      <c r="AG175" s="174">
        <f>((LOOKUP(Flat!AG$2,'Ceiling-U'!$A$4:$A$40,'Ceiling-U'!$J$4:$J$40)*Flat!AG$15)+(LOOKUP(Flat!AG$2,'Floor-U'!$A$4:$A$40,'Floor-U'!$J$4:$J$40)*Flat!AG$16)+(LOOKUP(Flat!AG$2,'Wall-U'!$A$4:$A$40,'Wall-U'!$V$4:$V$40)*Flat!AG$13)+(LOOKUP(Flat!AG$2,'Window-U'!$A$4:$A$40,'Window-U'!$J$4:$J$40)*Flat!AG$22))*AG169</f>
        <v>788.59104735640335</v>
      </c>
      <c r="AH175" s="174">
        <f>((LOOKUP(Flat!AH$2,'Ceiling-U'!$A$4:$A$40,'Ceiling-U'!$J$4:$J$40)*Flat!AH$15)+(LOOKUP(Flat!AH$2,'Floor-U'!$A$4:$A$40,'Floor-U'!$J$4:$J$40)*Flat!AH$16)+(LOOKUP(Flat!AH$2,'Wall-U'!$A$4:$A$40,'Wall-U'!$V$4:$V$40)*Flat!AH$13)+(LOOKUP(Flat!AH$2,'Window-U'!$A$4:$A$40,'Window-U'!$J$4:$J$40)*Flat!AH$22))*AH169</f>
        <v>1814.1100523564178</v>
      </c>
      <c r="AI175" s="174">
        <f>((LOOKUP(Flat!AI$2,'Ceiling-U'!$A$4:$A$40,'Ceiling-U'!$J$4:$J$40)*Flat!AI$15)+(LOOKUP(Flat!AI$2,'Floor-U'!$A$4:$A$40,'Floor-U'!$J$4:$J$40)*Flat!AI$16)+(LOOKUP(Flat!AI$2,'Wall-U'!$A$4:$A$40,'Wall-U'!$V$4:$V$40)*Flat!AI$13)+(LOOKUP(Flat!AI$2,'Window-U'!$A$4:$A$40,'Window-U'!$J$4:$J$40)*Flat!AI$22))*AI169</f>
        <v>1135.9238830341271</v>
      </c>
      <c r="AJ175" s="174">
        <f>((LOOKUP(Flat!AJ$2,'Ceiling-U'!$A$4:$A$40,'Ceiling-U'!$J$4:$J$40)*Flat!AJ$15)+(LOOKUP(Flat!AJ$2,'Floor-U'!$A$4:$A$40,'Floor-U'!$J$4:$J$40)*Flat!AJ$16)+(LOOKUP(Flat!AJ$2,'Wall-U'!$A$4:$A$40,'Wall-U'!$V$4:$V$40)*Flat!AJ$13)+(LOOKUP(Flat!AJ$2,'Window-U'!$A$4:$A$40,'Window-U'!$J$4:$J$40)*Flat!AJ$22))*AJ169</f>
        <v>1083.7796043481653</v>
      </c>
      <c r="AK175" s="174">
        <f>((LOOKUP(Flat!AK$2,'Ceiling-U'!$A$4:$A$40,'Ceiling-U'!$J$4:$J$40)*Flat!AK$15)+(LOOKUP(Flat!AK$2,'Floor-U'!$A$4:$A$40,'Floor-U'!$J$4:$J$40)*Flat!AK$16)+(LOOKUP(Flat!AK$2,'Wall-U'!$A$4:$A$40,'Wall-U'!$V$4:$V$40)*Flat!AK$13)+(LOOKUP(Flat!AK$2,'Window-U'!$A$4:$A$40,'Window-U'!$J$4:$J$40)*Flat!AK$22))*AK169</f>
        <v>1158.3322239245101</v>
      </c>
      <c r="AL175" s="174">
        <f>((LOOKUP(Flat!AL$2,'Ceiling-U'!$A$4:$A$40,'Ceiling-U'!$J$4:$J$40)*Flat!AL$15)+(LOOKUP(Flat!AL$2,'Floor-U'!$A$4:$A$40,'Floor-U'!$J$4:$J$40)*Flat!AL$16)+(LOOKUP(Flat!AL$2,'Wall-U'!$A$4:$A$40,'Wall-U'!$V$4:$V$40)*Flat!AL$13)+(LOOKUP(Flat!AL$2,'Window-U'!$A$4:$A$40,'Window-U'!$J$4:$J$40)*Flat!AL$22))*AL169</f>
        <v>769.11416043632596</v>
      </c>
      <c r="AM175" s="174">
        <f>((LOOKUP(Flat!AM$2,'Ceiling-U'!$A$4:$A$40,'Ceiling-U'!$J$4:$J$40)*Flat!AM$15)+(LOOKUP(Flat!AM$2,'Floor-U'!$A$4:$A$40,'Floor-U'!$J$4:$J$40)*Flat!AM$16)+(LOOKUP(Flat!AM$2,'Wall-U'!$A$4:$A$40,'Wall-U'!$V$4:$V$40)*Flat!AM$13)+(LOOKUP(Flat!AM$2,'Window-U'!$A$4:$A$40,'Window-U'!$J$4:$J$40)*Flat!AM$22))*AM169</f>
        <v>1083.7796043481653</v>
      </c>
      <c r="AN175" s="175">
        <f>((LOOKUP(Flat!AN$2,'Ceiling-U'!$A$4:$A$40,'Ceiling-U'!$J$4:$J$40)*Flat!AN$15)+(LOOKUP(Flat!AN$2,'Floor-U'!$A$4:$A$40,'Floor-U'!$J$4:$J$40)*Flat!AN$16)+(LOOKUP(Flat!AN$2,'Wall-U'!$A$4:$A$40,'Wall-U'!$V$4:$V$40)*Flat!AN$13)+(LOOKUP(Flat!AN$2,'Window-U'!$A$4:$A$40,'Window-U'!$J$4:$J$40)*Flat!AN$22))*AN169</f>
        <v>1083.7796043481653</v>
      </c>
    </row>
    <row r="176" spans="1:40" s="5" customFormat="1">
      <c r="A176" s="332" t="s">
        <v>280</v>
      </c>
      <c r="B176" s="142" t="s">
        <v>2</v>
      </c>
      <c r="C176" s="360" t="s">
        <v>261</v>
      </c>
      <c r="D176" s="351">
        <f>D170*24*LOOKUP(Flat!D$2,'HDD-by Country'!$A$4:$A$40,'HDD-by Country'!$C$4:$C$40)/1000/Flat!D$3</f>
        <v>6118.8518485641271</v>
      </c>
      <c r="E176" s="352">
        <f>E170*24*LOOKUP(Flat!E$2,'HDD-by Country'!$A$4:$A$40,'HDD-by Country'!$C$4:$C$40)/1000/Flat!E$3</f>
        <v>6381.5032356888714</v>
      </c>
      <c r="F176" s="352">
        <f>F170*24*LOOKUP(Flat!F$2,'HDD-by Country'!$A$4:$A$40,'HDD-by Country'!$C$4:$C$40)/1000/Flat!F$3</f>
        <v>3944.5429823571603</v>
      </c>
      <c r="G176" s="352">
        <f>G170*24*LOOKUP(Flat!G$2,'HDD-by Country'!$A$4:$A$40,'HDD-by Country'!$C$4:$C$40)/1000/Flat!G$3</f>
        <v>5961.3436308618602</v>
      </c>
      <c r="H176" s="352">
        <f>H170*24*LOOKUP(Flat!H$2,'HDD-by Country'!$A$4:$A$40,'HDD-by Country'!$C$4:$C$40)/1000/Flat!H$3</f>
        <v>2331.5113698478212</v>
      </c>
      <c r="I176" s="352">
        <f>I170*24*LOOKUP(Flat!I$2,'HDD-by Country'!$A$4:$A$40,'HDD-by Country'!$C$4:$C$40)/1000/Flat!I$3</f>
        <v>5490.7449918902521</v>
      </c>
      <c r="J176" s="352">
        <f>J170*24*LOOKUP(Flat!J$2,'HDD-by Country'!$A$4:$A$40,'HDD-by Country'!$C$4:$C$40)/1000/Flat!J$3</f>
        <v>6442.2813156353923</v>
      </c>
      <c r="K176" s="352">
        <f>K170*24*LOOKUP(Flat!K$2,'HDD-by Country'!$A$4:$A$40,'HDD-by Country'!$C$4:$C$40)/1000/Flat!K$3</f>
        <v>4338.1259607835027</v>
      </c>
      <c r="L176" s="352">
        <f>L170*24*LOOKUP(Flat!L$2,'HDD-by Country'!$A$4:$A$40,'HDD-by Country'!$C$4:$C$40)/1000/Flat!L$3</f>
        <v>3462.3076997811868</v>
      </c>
      <c r="M176" s="352">
        <f>M170*24*LOOKUP(Flat!M$2,'HDD-by Country'!$A$4:$A$40,'HDD-by Country'!$C$4:$C$40)/1000/Flat!M$3</f>
        <v>7147.274390936791</v>
      </c>
      <c r="N176" s="352">
        <f>N170*24*LOOKUP(Flat!N$2,'HDD-by Country'!$A$4:$A$40,'HDD-by Country'!$C$4:$C$40)/1000/Flat!N$3</f>
        <v>4887.9855015408421</v>
      </c>
      <c r="O176" s="352">
        <f>O170*24*LOOKUP(Flat!O$2,'HDD-by Country'!$A$4:$A$40,'HDD-by Country'!$C$4:$C$40)/1000/Flat!O$3</f>
        <v>6419.3444547458148</v>
      </c>
      <c r="P176" s="352">
        <f>P170*24*LOOKUP(Flat!P$2,'HDD-by Country'!$A$4:$A$40,'HDD-by Country'!$C$4:$C$40)/1000/Flat!P$3</f>
        <v>6201.6115316698542</v>
      </c>
      <c r="Q176" s="352">
        <f>Q170*24*LOOKUP(Flat!Q$2,'HDD-by Country'!$A$4:$A$40,'HDD-by Country'!$C$4:$C$40)/1000/Flat!Q$3</f>
        <v>4838.3565904436409</v>
      </c>
      <c r="R176" s="352">
        <f>R170*24*LOOKUP(Flat!R$2,'HDD-by Country'!$A$4:$A$40,'HDD-by Country'!$C$4:$C$40)/1000/Flat!R$3</f>
        <v>4015.0836254452306</v>
      </c>
      <c r="S176" s="352">
        <f>S170*24*LOOKUP(Flat!S$2,'HDD-by Country'!$A$4:$A$40,'HDD-by Country'!$C$4:$C$40)/1000/Flat!S$3</f>
        <v>5290.1666428270055</v>
      </c>
      <c r="T176" s="352">
        <f>T170*24*LOOKUP(Flat!T$2,'HDD-by Country'!$A$4:$A$40,'HDD-by Country'!$C$4:$C$40)/1000/Flat!T$3</f>
        <v>4975.6555732670149</v>
      </c>
      <c r="U176" s="352">
        <f>U170*24*LOOKUP(Flat!U$2,'HDD-by Country'!$A$4:$A$40,'HDD-by Country'!$C$4:$C$40)/1000/Flat!U$3</f>
        <v>6093.8464764619694</v>
      </c>
      <c r="V176" s="352">
        <f>V170*24*LOOKUP(Flat!V$2,'HDD-by Country'!$A$4:$A$40,'HDD-by Country'!$C$4:$C$40)/1000/Flat!V$3</f>
        <v>4959.7757123078209</v>
      </c>
      <c r="W176" s="352">
        <f>W170*24*LOOKUP(Flat!W$2,'HDD-by Country'!$A$4:$A$40,'HDD-by Country'!$C$4:$C$40)/1000/Flat!W$3</f>
        <v>7835.3198693678441</v>
      </c>
      <c r="X176" s="352">
        <f>X170*24*LOOKUP(Flat!X$2,'HDD-by Country'!$A$4:$A$40,'HDD-by Country'!$C$4:$C$40)/1000/Flat!X$3</f>
        <v>5800.6407710086178</v>
      </c>
      <c r="Y176" s="352">
        <f>Y170*24*LOOKUP(Flat!Y$2,'HDD-by Country'!$A$4:$A$40,'HDD-by Country'!$C$4:$C$40)/1000/Flat!Y$3</f>
        <v>1947.0328609502674</v>
      </c>
      <c r="Z176" s="352">
        <f>Z170*24*LOOKUP(Flat!Z$2,'HDD-by Country'!$A$4:$A$40,'HDD-by Country'!$C$4:$C$40)/1000/Flat!Z$3</f>
        <v>7030.2773639138732</v>
      </c>
      <c r="AA176" s="352">
        <f>AA170*24*LOOKUP(Flat!AA$2,'HDD-by Country'!$A$4:$A$40,'HDD-by Country'!$C$4:$C$40)/1000/Flat!AA$3</f>
        <v>5615.2659623209993</v>
      </c>
      <c r="AB176" s="352">
        <f>AB170*24*LOOKUP(Flat!AB$2,'HDD-by Country'!$A$4:$A$40,'HDD-by Country'!$C$4:$C$40)/1000/Flat!AB$3</f>
        <v>6131.7974298112586</v>
      </c>
      <c r="AC176" s="352">
        <f>AC170*24*LOOKUP(Flat!AC$2,'HDD-by Country'!$A$4:$A$40,'HDD-by Country'!$C$4:$C$40)/1000/Flat!AC$3</f>
        <v>4324.0993431283987</v>
      </c>
      <c r="AD176" s="352">
        <f>AD170*24*LOOKUP(Flat!AD$2,'HDD-by Country'!$A$4:$A$40,'HDD-by Country'!$C$4:$C$40)/1000/Flat!AD$3</f>
        <v>4005.3542608062148</v>
      </c>
      <c r="AE176" s="352">
        <f>AE170*24*LOOKUP(Flat!AE$2,'HDD-by Country'!$A$4:$A$40,'HDD-by Country'!$C$4:$C$40)/1000/Flat!AE$3</f>
        <v>5414.3655506332834</v>
      </c>
      <c r="AF176" s="352">
        <f>AF170*24*LOOKUP(Flat!AF$2,'HDD-by Country'!$A$4:$A$40,'HDD-by Country'!$C$4:$C$40)/1000/Flat!AF$3</f>
        <v>4333.8112588175509</v>
      </c>
      <c r="AG176" s="352">
        <f>AG170*24*LOOKUP(Flat!AG$2,'HDD-by Country'!$A$4:$A$40,'HDD-by Country'!$C$4:$C$40)/1000/Flat!AG$3</f>
        <v>7510.3303161929089</v>
      </c>
      <c r="AH176" s="352">
        <f>AH170*24*LOOKUP(Flat!AH$2,'HDD-by Country'!$A$4:$A$40,'HDD-by Country'!$C$4:$C$40)/1000/Flat!AH$3</f>
        <v>4233.2155311382767</v>
      </c>
      <c r="AI176" s="352">
        <f>AI170*24*LOOKUP(Flat!AI$2,'HDD-by Country'!$A$4:$A$40,'HDD-by Country'!$C$4:$C$40)/1000/Flat!AI$3</f>
        <v>4957.1649889844275</v>
      </c>
      <c r="AJ176" s="352">
        <f>AJ170*24*LOOKUP(Flat!AJ$2,'HDD-by Country'!$A$4:$A$40,'HDD-by Country'!$C$4:$C$40)/1000/Flat!AJ$3</f>
        <v>4841.4860692960519</v>
      </c>
      <c r="AK176" s="352">
        <f>AK170*24*LOOKUP(Flat!AK$2,'HDD-by Country'!$A$4:$A$40,'HDD-by Country'!$C$4:$C$40)/1000/Flat!AK$3</f>
        <v>4621.4503887243354</v>
      </c>
      <c r="AL176" s="352">
        <f>AL170*24*LOOKUP(Flat!AL$2,'HDD-by Country'!$A$4:$A$40,'HDD-by Country'!$C$4:$C$40)/1000/Flat!AL$3</f>
        <v>4477.6174774410119</v>
      </c>
      <c r="AM176" s="352">
        <f>AM170*24*LOOKUP(Flat!AM$2,'HDD-by Country'!$A$4:$A$40,'HDD-by Country'!$C$4:$C$40)/1000/Flat!AM$3</f>
        <v>4452.1126174532819</v>
      </c>
      <c r="AN176" s="353">
        <f>AN170*24*LOOKUP(Flat!AN$2,'HDD-by Country'!$A$4:$A$40,'HDD-by Country'!$C$4:$C$40)/1000/Flat!AN$3</f>
        <v>4452.1126174532819</v>
      </c>
    </row>
    <row r="177" spans="1:40" s="5" customFormat="1">
      <c r="A177" s="129"/>
      <c r="B177" s="142" t="s">
        <v>3</v>
      </c>
      <c r="C177" s="129" t="s">
        <v>261</v>
      </c>
      <c r="D177" s="345">
        <f>D171*24*LOOKUP(Flat!D$2,'HDD-by Country'!$A$4:$A$40,'HDD-by Country'!$C$4:$C$40)/1000/Flat!D$3</f>
        <v>6019.3582777812317</v>
      </c>
      <c r="E177" s="349">
        <f>E171*24*LOOKUP(Flat!E$2,'HDD-by Country'!$A$4:$A$40,'HDD-by Country'!$C$4:$C$40)/1000/Flat!E$3</f>
        <v>6381.5032356888714</v>
      </c>
      <c r="F177" s="349">
        <f>F171*24*LOOKUP(Flat!F$2,'HDD-by Country'!$A$4:$A$40,'HDD-by Country'!$C$4:$C$40)/1000/Flat!F$3</f>
        <v>3944.5429823571603</v>
      </c>
      <c r="G177" s="349">
        <f>G171*24*LOOKUP(Flat!G$2,'HDD-by Country'!$A$4:$A$40,'HDD-by Country'!$C$4:$C$40)/1000/Flat!G$3</f>
        <v>5864.4111704628567</v>
      </c>
      <c r="H177" s="349">
        <f>H171*24*LOOKUP(Flat!H$2,'HDD-by Country'!$A$4:$A$40,'HDD-by Country'!$C$4:$C$40)/1000/Flat!H$3</f>
        <v>2298.2072561554692</v>
      </c>
      <c r="I177" s="349">
        <f>I171*24*LOOKUP(Flat!I$2,'HDD-by Country'!$A$4:$A$40,'HDD-by Country'!$C$4:$C$40)/1000/Flat!I$3</f>
        <v>4767.269961925841</v>
      </c>
      <c r="J177" s="349">
        <f>J171*24*LOOKUP(Flat!J$2,'HDD-by Country'!$A$4:$A$40,'HDD-by Country'!$C$4:$C$40)/1000/Flat!J$3</f>
        <v>5788.7456426386816</v>
      </c>
      <c r="K177" s="349">
        <f>K171*24*LOOKUP(Flat!K$2,'HDD-by Country'!$A$4:$A$40,'HDD-by Country'!$C$4:$C$40)/1000/Flat!K$3</f>
        <v>4193.1438768078979</v>
      </c>
      <c r="L177" s="349">
        <f>L171*24*LOOKUP(Flat!L$2,'HDD-by Country'!$A$4:$A$40,'HDD-by Country'!$C$4:$C$40)/1000/Flat!L$3</f>
        <v>3462.3076997811868</v>
      </c>
      <c r="M177" s="349">
        <f>M171*24*LOOKUP(Flat!M$2,'HDD-by Country'!$A$4:$A$40,'HDD-by Country'!$C$4:$C$40)/1000/Flat!M$3</f>
        <v>6767.2673066822481</v>
      </c>
      <c r="N177" s="349">
        <f>N171*24*LOOKUP(Flat!N$2,'HDD-by Country'!$A$4:$A$40,'HDD-by Country'!$C$4:$C$40)/1000/Flat!N$3</f>
        <v>4572.6156544215937</v>
      </c>
      <c r="O177" s="349">
        <f>O171*24*LOOKUP(Flat!O$2,'HDD-by Country'!$A$4:$A$40,'HDD-by Country'!$C$4:$C$40)/1000/Flat!O$3</f>
        <v>6419.3444547458148</v>
      </c>
      <c r="P177" s="349">
        <f>P171*24*LOOKUP(Flat!P$2,'HDD-by Country'!$A$4:$A$40,'HDD-by Country'!$C$4:$C$40)/1000/Flat!P$3</f>
        <v>6201.6115316698542</v>
      </c>
      <c r="Q177" s="349">
        <f>Q171*24*LOOKUP(Flat!Q$2,'HDD-by Country'!$A$4:$A$40,'HDD-by Country'!$C$4:$C$40)/1000/Flat!Q$3</f>
        <v>4919.7545659471798</v>
      </c>
      <c r="R177" s="349">
        <f>R171*24*LOOKUP(Flat!R$2,'HDD-by Country'!$A$4:$A$40,'HDD-by Country'!$C$4:$C$40)/1000/Flat!R$3</f>
        <v>4015.0836254452306</v>
      </c>
      <c r="S177" s="349">
        <f>S171*24*LOOKUP(Flat!S$2,'HDD-by Country'!$A$4:$A$40,'HDD-by Country'!$C$4:$C$40)/1000/Flat!S$3</f>
        <v>5382.4429274952281</v>
      </c>
      <c r="T177" s="349">
        <f>T171*24*LOOKUP(Flat!T$2,'HDD-by Country'!$A$4:$A$40,'HDD-by Country'!$C$4:$C$40)/1000/Flat!T$3</f>
        <v>4675.3263062369369</v>
      </c>
      <c r="U177" s="349">
        <f>U171*24*LOOKUP(Flat!U$2,'HDD-by Country'!$A$4:$A$40,'HDD-by Country'!$C$4:$C$40)/1000/Flat!U$3</f>
        <v>5966.2306748152296</v>
      </c>
      <c r="V177" s="349">
        <f>V171*24*LOOKUP(Flat!V$2,'HDD-by Country'!$A$4:$A$40,'HDD-by Country'!$C$4:$C$40)/1000/Flat!V$3</f>
        <v>4959.7757123078209</v>
      </c>
      <c r="W177" s="349">
        <f>W171*24*LOOKUP(Flat!W$2,'HDD-by Country'!$A$4:$A$40,'HDD-by Country'!$C$4:$C$40)/1000/Flat!W$3</f>
        <v>6955.5551575759873</v>
      </c>
      <c r="X177" s="349">
        <f>X171*24*LOOKUP(Flat!X$2,'HDD-by Country'!$A$4:$A$40,'HDD-by Country'!$C$4:$C$40)/1000/Flat!X$3</f>
        <v>5653.2423710086177</v>
      </c>
      <c r="Y177" s="349">
        <f>Y171*24*LOOKUP(Flat!Y$2,'HDD-by Country'!$A$4:$A$40,'HDD-by Country'!$C$4:$C$40)/1000/Flat!Y$3</f>
        <v>1943.4161699044867</v>
      </c>
      <c r="Z177" s="349">
        <f>Z171*24*LOOKUP(Flat!Z$2,'HDD-by Country'!$A$4:$A$40,'HDD-by Country'!$C$4:$C$40)/1000/Flat!Z$3</f>
        <v>5818.8845958823285</v>
      </c>
      <c r="AA177" s="349">
        <f>AA171*24*LOOKUP(Flat!AA$2,'HDD-by Country'!$A$4:$A$40,'HDD-by Country'!$C$4:$C$40)/1000/Flat!AA$3</f>
        <v>5577.6564477097991</v>
      </c>
      <c r="AB177" s="349">
        <f>AB171*24*LOOKUP(Flat!AB$2,'HDD-by Country'!$A$4:$A$40,'HDD-by Country'!$C$4:$C$40)/1000/Flat!AB$3</f>
        <v>4643.6322549160459</v>
      </c>
      <c r="AC177" s="349">
        <f>AC171*24*LOOKUP(Flat!AC$2,'HDD-by Country'!$A$4:$A$40,'HDD-by Country'!$C$4:$C$40)/1000/Flat!AC$3</f>
        <v>4243.1829084619294</v>
      </c>
      <c r="AD177" s="349">
        <f>AD171*24*LOOKUP(Flat!AD$2,'HDD-by Country'!$A$4:$A$40,'HDD-by Country'!$C$4:$C$40)/1000/Flat!AD$3</f>
        <v>3704.0695056727732</v>
      </c>
      <c r="AE177" s="349">
        <f>AE171*24*LOOKUP(Flat!AE$2,'HDD-by Country'!$A$4:$A$40,'HDD-by Country'!$C$4:$C$40)/1000/Flat!AE$3</f>
        <v>5378.1016119964834</v>
      </c>
      <c r="AF177" s="349">
        <f>AF171*24*LOOKUP(Flat!AF$2,'HDD-by Country'!$A$4:$A$40,'HDD-by Country'!$C$4:$C$40)/1000/Flat!AF$3</f>
        <v>4333.8112588175509</v>
      </c>
      <c r="AG177" s="349">
        <f>AG171*24*LOOKUP(Flat!AG$2,'HDD-by Country'!$A$4:$A$40,'HDD-by Country'!$C$4:$C$40)/1000/Flat!AG$3</f>
        <v>6720.6379273249313</v>
      </c>
      <c r="AH177" s="349">
        <f>AH171*24*LOOKUP(Flat!AH$2,'HDD-by Country'!$A$4:$A$40,'HDD-by Country'!$C$4:$C$40)/1000/Flat!AH$3</f>
        <v>4271.0290147136129</v>
      </c>
      <c r="AI177" s="349">
        <f>AI171*24*LOOKUP(Flat!AI$2,'HDD-by Country'!$A$4:$A$40,'HDD-by Country'!$C$4:$C$40)/1000/Flat!AI$3</f>
        <v>4957.1649889844275</v>
      </c>
      <c r="AJ177" s="349">
        <f>AJ171*24*LOOKUP(Flat!AJ$2,'HDD-by Country'!$A$4:$A$40,'HDD-by Country'!$C$4:$C$40)/1000/Flat!AJ$3</f>
        <v>4841.4860692960519</v>
      </c>
      <c r="AK177" s="349">
        <f>AK171*24*LOOKUP(Flat!AK$2,'HDD-by Country'!$A$4:$A$40,'HDD-by Country'!$C$4:$C$40)/1000/Flat!AK$3</f>
        <v>4621.4503887243354</v>
      </c>
      <c r="AL177" s="349">
        <f>AL171*24*LOOKUP(Flat!AL$2,'HDD-by Country'!$A$4:$A$40,'HDD-by Country'!$C$4:$C$40)/1000/Flat!AL$3</f>
        <v>4477.6174774410119</v>
      </c>
      <c r="AM177" s="349">
        <f>AM171*24*LOOKUP(Flat!AM$2,'HDD-by Country'!$A$4:$A$40,'HDD-by Country'!$C$4:$C$40)/1000/Flat!AM$3</f>
        <v>4452.1126174532819</v>
      </c>
      <c r="AN177" s="354">
        <f>AN171*24*LOOKUP(Flat!AN$2,'HDD-by Country'!$A$4:$A$40,'HDD-by Country'!$C$4:$C$40)/1000/Flat!AN$3</f>
        <v>4452.1126174532819</v>
      </c>
    </row>
    <row r="178" spans="1:40" s="5" customFormat="1">
      <c r="A178" s="129"/>
      <c r="B178" s="142" t="s">
        <v>4</v>
      </c>
      <c r="C178" s="129" t="s">
        <v>261</v>
      </c>
      <c r="D178" s="345">
        <f>D172*24*LOOKUP(Flat!D$2,'HDD-by Country'!$A$4:$A$40,'HDD-by Country'!$C$4:$C$40)/1000/Flat!D$3</f>
        <v>5020.8687578632153</v>
      </c>
      <c r="E178" s="349">
        <f>E172*24*LOOKUP(Flat!E$2,'HDD-by Country'!$A$4:$A$40,'HDD-by Country'!$C$4:$C$40)/1000/Flat!E$3</f>
        <v>6381.5032356888714</v>
      </c>
      <c r="F178" s="349">
        <f>F172*24*LOOKUP(Flat!F$2,'HDD-by Country'!$A$4:$A$40,'HDD-by Country'!$C$4:$C$40)/1000/Flat!F$3</f>
        <v>3792.5551505092176</v>
      </c>
      <c r="G178" s="349">
        <f>G172*24*LOOKUP(Flat!G$2,'HDD-by Country'!$A$4:$A$40,'HDD-by Country'!$C$4:$C$40)/1000/Flat!G$3</f>
        <v>4891.6242347173229</v>
      </c>
      <c r="H178" s="349">
        <f>H172*24*LOOKUP(Flat!H$2,'HDD-by Country'!$A$4:$A$40,'HDD-by Country'!$C$4:$C$40)/1000/Flat!H$3</f>
        <v>2673.0076783893387</v>
      </c>
      <c r="I178" s="349">
        <f>I172*24*LOOKUP(Flat!I$2,'HDD-by Country'!$A$4:$A$40,'HDD-by Country'!$C$4:$C$40)/1000/Flat!I$3</f>
        <v>4767.269961925841</v>
      </c>
      <c r="J178" s="349">
        <f>J172*24*LOOKUP(Flat!J$2,'HDD-by Country'!$A$4:$A$40,'HDD-by Country'!$C$4:$C$40)/1000/Flat!J$3</f>
        <v>4288.6426062303381</v>
      </c>
      <c r="K178" s="349">
        <f>K172*24*LOOKUP(Flat!K$2,'HDD-by Country'!$A$4:$A$40,'HDD-by Country'!$C$4:$C$40)/1000/Flat!K$3</f>
        <v>3276.4987919926912</v>
      </c>
      <c r="L178" s="349">
        <f>L172*24*LOOKUP(Flat!L$2,'HDD-by Country'!$A$4:$A$40,'HDD-by Country'!$C$4:$C$40)/1000/Flat!L$3</f>
        <v>2988.6963889347821</v>
      </c>
      <c r="M178" s="349">
        <f>M172*24*LOOKUP(Flat!M$2,'HDD-by Country'!$A$4:$A$40,'HDD-by Country'!$C$4:$C$40)/1000/Flat!M$3</f>
        <v>6767.2673066822481</v>
      </c>
      <c r="N178" s="349">
        <f>N172*24*LOOKUP(Flat!N$2,'HDD-by Country'!$A$4:$A$40,'HDD-by Country'!$C$4:$C$40)/1000/Flat!N$3</f>
        <v>3968.7785451917803</v>
      </c>
      <c r="O178" s="349">
        <f>O172*24*LOOKUP(Flat!O$2,'HDD-by Country'!$A$4:$A$40,'HDD-by Country'!$C$4:$C$40)/1000/Flat!O$3</f>
        <v>3797.5532521730579</v>
      </c>
      <c r="P178" s="349">
        <f>P172*24*LOOKUP(Flat!P$2,'HDD-by Country'!$A$4:$A$40,'HDD-by Country'!$C$4:$C$40)/1000/Flat!P$3</f>
        <v>6201.6115316698542</v>
      </c>
      <c r="Q178" s="349">
        <f>Q172*24*LOOKUP(Flat!Q$2,'HDD-by Country'!$A$4:$A$40,'HDD-by Country'!$C$4:$C$40)/1000/Flat!Q$3</f>
        <v>4222.4595170598022</v>
      </c>
      <c r="R178" s="349">
        <f>R172*24*LOOKUP(Flat!R$2,'HDD-by Country'!$A$4:$A$40,'HDD-by Country'!$C$4:$C$40)/1000/Flat!R$3</f>
        <v>3748.226547738228</v>
      </c>
      <c r="S178" s="349">
        <f>S172*24*LOOKUP(Flat!S$2,'HDD-by Country'!$A$4:$A$40,'HDD-by Country'!$C$4:$C$40)/1000/Flat!S$3</f>
        <v>4476.0163435990316</v>
      </c>
      <c r="T178" s="349">
        <f>T172*24*LOOKUP(Flat!T$2,'HDD-by Country'!$A$4:$A$40,'HDD-by Country'!$C$4:$C$40)/1000/Flat!T$3</f>
        <v>4017.2939814251704</v>
      </c>
      <c r="U178" s="349">
        <f>U172*24*LOOKUP(Flat!U$2,'HDD-by Country'!$A$4:$A$40,'HDD-by Country'!$C$4:$C$40)/1000/Flat!U$3</f>
        <v>5468.2614668152301</v>
      </c>
      <c r="V178" s="349">
        <f>V172*24*LOOKUP(Flat!V$2,'HDD-by Country'!$A$4:$A$40,'HDD-by Country'!$C$4:$C$40)/1000/Flat!V$3</f>
        <v>3569.5486052025362</v>
      </c>
      <c r="W178" s="349">
        <f>W172*24*LOOKUP(Flat!W$2,'HDD-by Country'!$A$4:$A$40,'HDD-by Country'!$C$4:$C$40)/1000/Flat!W$3</f>
        <v>4536.3425292850752</v>
      </c>
      <c r="X178" s="349">
        <f>X172*24*LOOKUP(Flat!X$2,'HDD-by Country'!$A$4:$A$40,'HDD-by Country'!$C$4:$C$40)/1000/Flat!X$3</f>
        <v>5393.9090053140953</v>
      </c>
      <c r="Y178" s="349">
        <f>Y172*24*LOOKUP(Flat!Y$2,'HDD-by Country'!$A$4:$A$40,'HDD-by Country'!$C$4:$C$40)/1000/Flat!Y$3</f>
        <v>1882.4734775948589</v>
      </c>
      <c r="Z178" s="349">
        <f>Z172*24*LOOKUP(Flat!Z$2,'HDD-by Country'!$A$4:$A$40,'HDD-by Country'!$C$4:$C$40)/1000/Flat!Z$3</f>
        <v>5617.8478872444084</v>
      </c>
      <c r="AA178" s="349">
        <f>AA172*24*LOOKUP(Flat!AA$2,'HDD-by Country'!$A$4:$A$40,'HDD-by Country'!$C$4:$C$40)/1000/Flat!AA$3</f>
        <v>4327.3401221776494</v>
      </c>
      <c r="AB178" s="349">
        <f>AB172*24*LOOKUP(Flat!AB$2,'HDD-by Country'!$A$4:$A$40,'HDD-by Country'!$C$4:$C$40)/1000/Flat!AB$3</f>
        <v>3688.9429235310145</v>
      </c>
      <c r="AC178" s="349">
        <f>AC172*24*LOOKUP(Flat!AC$2,'HDD-by Country'!$A$4:$A$40,'HDD-by Country'!$C$4:$C$40)/1000/Flat!AC$3</f>
        <v>4153.9617106833703</v>
      </c>
      <c r="AD178" s="349">
        <f>AD172*24*LOOKUP(Flat!AD$2,'HDD-by Country'!$A$4:$A$40,'HDD-by Country'!$C$4:$C$40)/1000/Flat!AD$3</f>
        <v>3704.0695056727732</v>
      </c>
      <c r="AE178" s="349">
        <f>AE172*24*LOOKUP(Flat!AE$2,'HDD-by Country'!$A$4:$A$40,'HDD-by Country'!$C$4:$C$40)/1000/Flat!AE$3</f>
        <v>4172.5185308422124</v>
      </c>
      <c r="AF178" s="349">
        <f>AF172*24*LOOKUP(Flat!AF$2,'HDD-by Country'!$A$4:$A$40,'HDD-by Country'!$C$4:$C$40)/1000/Flat!AF$3</f>
        <v>3892.1961283241508</v>
      </c>
      <c r="AG178" s="349">
        <f>AG172*24*LOOKUP(Flat!AG$2,'HDD-by Country'!$A$4:$A$40,'HDD-by Country'!$C$4:$C$40)/1000/Flat!AG$3</f>
        <v>6720.6379273249313</v>
      </c>
      <c r="AH178" s="349">
        <f>AH172*24*LOOKUP(Flat!AH$2,'HDD-by Country'!$A$4:$A$40,'HDD-by Country'!$C$4:$C$40)/1000/Flat!AH$3</f>
        <v>3619.0396643021741</v>
      </c>
      <c r="AI178" s="349">
        <f>AI172*24*LOOKUP(Flat!AI$2,'HDD-by Country'!$A$4:$A$40,'HDD-by Country'!$C$4:$C$40)/1000/Flat!AI$3</f>
        <v>4957.1649889844275</v>
      </c>
      <c r="AJ178" s="349">
        <f>AJ172*24*LOOKUP(Flat!AJ$2,'HDD-by Country'!$A$4:$A$40,'HDD-by Country'!$C$4:$C$40)/1000/Flat!AJ$3</f>
        <v>4841.4860692960519</v>
      </c>
      <c r="AK178" s="349">
        <f>AK172*24*LOOKUP(Flat!AK$2,'HDD-by Country'!$A$4:$A$40,'HDD-by Country'!$C$4:$C$40)/1000/Flat!AK$3</f>
        <v>4621.4503887243354</v>
      </c>
      <c r="AL178" s="349">
        <f>AL172*24*LOOKUP(Flat!AL$2,'HDD-by Country'!$A$4:$A$40,'HDD-by Country'!$C$4:$C$40)/1000/Flat!AL$3</f>
        <v>4312.8439660336171</v>
      </c>
      <c r="AM178" s="349">
        <f>AM172*24*LOOKUP(Flat!AM$2,'HDD-by Country'!$A$4:$A$40,'HDD-by Country'!$C$4:$C$40)/1000/Flat!AM$3</f>
        <v>4452.1126174532819</v>
      </c>
      <c r="AN178" s="354">
        <f>AN172*24*LOOKUP(Flat!AN$2,'HDD-by Country'!$A$4:$A$40,'HDD-by Country'!$C$4:$C$40)/1000/Flat!AN$3</f>
        <v>4452.1126174532819</v>
      </c>
    </row>
    <row r="179" spans="1:40" s="5" customFormat="1">
      <c r="A179" s="129"/>
      <c r="B179" s="142" t="s">
        <v>5</v>
      </c>
      <c r="C179" s="129" t="s">
        <v>261</v>
      </c>
      <c r="D179" s="345">
        <f>D173*24*LOOKUP(Flat!D$2,'HDD-by Country'!$A$4:$A$40,'HDD-by Country'!$C$4:$C$40)/1000/Flat!D$3</f>
        <v>3693.9051045221086</v>
      </c>
      <c r="E179" s="349">
        <f>E173*24*LOOKUP(Flat!E$2,'HDD-by Country'!$A$4:$A$40,'HDD-by Country'!$C$4:$C$40)/1000/Flat!E$3</f>
        <v>5578.5761924703775</v>
      </c>
      <c r="F179" s="349">
        <f>F173*24*LOOKUP(Flat!F$2,'HDD-by Country'!$A$4:$A$40,'HDD-by Country'!$C$4:$C$40)/1000/Flat!F$3</f>
        <v>3458.0438252418949</v>
      </c>
      <c r="G179" s="349">
        <f>G173*24*LOOKUP(Flat!G$2,'HDD-by Country'!$A$4:$A$40,'HDD-by Country'!$C$4:$C$40)/1000/Flat!G$3</f>
        <v>3598.818571333516</v>
      </c>
      <c r="H179" s="349">
        <f>H173*24*LOOKUP(Flat!H$2,'HDD-by Country'!$A$4:$A$40,'HDD-by Country'!$C$4:$C$40)/1000/Flat!H$3</f>
        <v>2590.803838389339</v>
      </c>
      <c r="I179" s="349">
        <f>I173*24*LOOKUP(Flat!I$2,'HDD-by Country'!$A$4:$A$40,'HDD-by Country'!$C$4:$C$40)/1000/Flat!I$3</f>
        <v>4413.0588147662056</v>
      </c>
      <c r="J179" s="349">
        <f>J173*24*LOOKUP(Flat!J$2,'HDD-by Country'!$A$4:$A$40,'HDD-by Country'!$C$4:$C$40)/1000/Flat!J$3</f>
        <v>3547.1136705432882</v>
      </c>
      <c r="K179" s="349">
        <f>K173*24*LOOKUP(Flat!K$2,'HDD-by Country'!$A$4:$A$40,'HDD-by Country'!$C$4:$C$40)/1000/Flat!K$3</f>
        <v>2881.102089862467</v>
      </c>
      <c r="L179" s="349">
        <f>L173*24*LOOKUP(Flat!L$2,'HDD-by Country'!$A$4:$A$40,'HDD-by Country'!$C$4:$C$40)/1000/Flat!L$3</f>
        <v>2163.1595639958282</v>
      </c>
      <c r="M179" s="349">
        <f>M173*24*LOOKUP(Flat!M$2,'HDD-by Country'!$A$4:$A$40,'HDD-by Country'!$C$4:$C$40)/1000/Flat!M$3</f>
        <v>4291.9317687731309</v>
      </c>
      <c r="N179" s="349">
        <f>N173*24*LOOKUP(Flat!N$2,'HDD-by Country'!$A$4:$A$40,'HDD-by Country'!$C$4:$C$40)/1000/Flat!N$3</f>
        <v>3297.4141073959995</v>
      </c>
      <c r="O179" s="349">
        <f>O173*24*LOOKUP(Flat!O$2,'HDD-by Country'!$A$4:$A$40,'HDD-by Country'!$C$4:$C$40)/1000/Flat!O$3</f>
        <v>3306.7401098420437</v>
      </c>
      <c r="P179" s="349">
        <f>P173*24*LOOKUP(Flat!P$2,'HDD-by Country'!$A$4:$A$40,'HDD-by Country'!$C$4:$C$40)/1000/Flat!P$3</f>
        <v>5968.5254516698533</v>
      </c>
      <c r="Q179" s="349">
        <f>Q173*24*LOOKUP(Flat!Q$2,'HDD-by Country'!$A$4:$A$40,'HDD-by Country'!$C$4:$C$40)/1000/Flat!Q$3</f>
        <v>4222.4595170598022</v>
      </c>
      <c r="R179" s="349">
        <f>R173*24*LOOKUP(Flat!R$2,'HDD-by Country'!$A$4:$A$40,'HDD-by Country'!$C$4:$C$40)/1000/Flat!R$3</f>
        <v>3203.986286277323</v>
      </c>
      <c r="S179" s="349">
        <f>S173*24*LOOKUP(Flat!S$2,'HDD-by Country'!$A$4:$A$40,'HDD-by Country'!$C$4:$C$40)/1000/Flat!S$3</f>
        <v>3157.823466124175</v>
      </c>
      <c r="T179" s="349">
        <f>T173*24*LOOKUP(Flat!T$2,'HDD-by Country'!$A$4:$A$40,'HDD-by Country'!$C$4:$C$40)/1000/Flat!T$3</f>
        <v>3306.0949890346224</v>
      </c>
      <c r="U179" s="349">
        <f>U173*24*LOOKUP(Flat!U$2,'HDD-by Country'!$A$4:$A$40,'HDD-by Country'!$C$4:$C$40)/1000/Flat!U$3</f>
        <v>4425.8524756793577</v>
      </c>
      <c r="V179" s="349">
        <f>V173*24*LOOKUP(Flat!V$2,'HDD-by Country'!$A$4:$A$40,'HDD-by Country'!$C$4:$C$40)/1000/Flat!V$3</f>
        <v>3569.5486052025362</v>
      </c>
      <c r="W179" s="349">
        <f>W173*24*LOOKUP(Flat!W$2,'HDD-by Country'!$A$4:$A$40,'HDD-by Country'!$C$4:$C$40)/1000/Flat!W$3</f>
        <v>3664.7641735405036</v>
      </c>
      <c r="X179" s="349">
        <f>X173*24*LOOKUP(Flat!X$2,'HDD-by Country'!$A$4:$A$40,'HDD-by Country'!$C$4:$C$40)/1000/Flat!X$3</f>
        <v>3447.7892799290435</v>
      </c>
      <c r="Y179" s="349">
        <f>Y173*24*LOOKUP(Flat!Y$2,'HDD-by Country'!$A$4:$A$40,'HDD-by Country'!$C$4:$C$40)/1000/Flat!Y$3</f>
        <v>1711.0500703628591</v>
      </c>
      <c r="Z179" s="349">
        <f>Z173*24*LOOKUP(Flat!Z$2,'HDD-by Country'!$A$4:$A$40,'HDD-by Country'!$C$4:$C$40)/1000/Flat!Z$3</f>
        <v>4360.3762912781458</v>
      </c>
      <c r="AA179" s="349">
        <f>AA173*24*LOOKUP(Flat!AA$2,'HDD-by Country'!$A$4:$A$40,'HDD-by Country'!$C$4:$C$40)/1000/Flat!AA$3</f>
        <v>4239.5335301776495</v>
      </c>
      <c r="AB179" s="349">
        <f>AB173*24*LOOKUP(Flat!AB$2,'HDD-by Country'!$A$4:$A$40,'HDD-by Country'!$C$4:$C$40)/1000/Flat!AB$3</f>
        <v>3688.9429235310145</v>
      </c>
      <c r="AC179" s="349">
        <f>AC173*24*LOOKUP(Flat!AC$2,'HDD-by Country'!$A$4:$A$40,'HDD-by Country'!$C$4:$C$40)/1000/Flat!AC$3</f>
        <v>4105.2682258789873</v>
      </c>
      <c r="AD179" s="349">
        <f>AD173*24*LOOKUP(Flat!AD$2,'HDD-by Country'!$A$4:$A$40,'HDD-by Country'!$C$4:$C$40)/1000/Flat!AD$3</f>
        <v>3407.8276753672594</v>
      </c>
      <c r="AE179" s="349">
        <f>AE173*24*LOOKUP(Flat!AE$2,'HDD-by Country'!$A$4:$A$40,'HDD-by Country'!$C$4:$C$40)/1000/Flat!AE$3</f>
        <v>4087.8534428422113</v>
      </c>
      <c r="AF179" s="349">
        <f>AF173*24*LOOKUP(Flat!AF$2,'HDD-by Country'!$A$4:$A$40,'HDD-by Country'!$C$4:$C$40)/1000/Flat!AF$3</f>
        <v>3218.5615663876461</v>
      </c>
      <c r="AG179" s="349">
        <f>AG173*24*LOOKUP(Flat!AG$2,'HDD-by Country'!$A$4:$A$40,'HDD-by Country'!$C$4:$C$40)/1000/Flat!AG$3</f>
        <v>5708.7783554547923</v>
      </c>
      <c r="AH179" s="349">
        <f>AH173*24*LOOKUP(Flat!AH$2,'HDD-by Country'!$A$4:$A$40,'HDD-by Country'!$C$4:$C$40)/1000/Flat!AH$3</f>
        <v>2932.1726293164606</v>
      </c>
      <c r="AI179" s="349">
        <f>AI173*24*LOOKUP(Flat!AI$2,'HDD-by Country'!$A$4:$A$40,'HDD-by Country'!$C$4:$C$40)/1000/Flat!AI$3</f>
        <v>4782.3504289844277</v>
      </c>
      <c r="AJ179" s="349">
        <f>AJ173*24*LOOKUP(Flat!AJ$2,'HDD-by Country'!$A$4:$A$40,'HDD-by Country'!$C$4:$C$40)/1000/Flat!AJ$3</f>
        <v>4414.0806883457562</v>
      </c>
      <c r="AK179" s="349">
        <f>AK173*24*LOOKUP(Flat!AK$2,'HDD-by Country'!$A$4:$A$40,'HDD-by Country'!$C$4:$C$40)/1000/Flat!AK$3</f>
        <v>4193.7375246743804</v>
      </c>
      <c r="AL179" s="349">
        <f>AL173*24*LOOKUP(Flat!AL$2,'HDD-by Country'!$A$4:$A$40,'HDD-by Country'!$C$4:$C$40)/1000/Flat!AL$3</f>
        <v>3939.6447149397791</v>
      </c>
      <c r="AM179" s="349">
        <f>AM173*24*LOOKUP(Flat!AM$2,'HDD-by Country'!$A$4:$A$40,'HDD-by Country'!$C$4:$C$40)/1000/Flat!AM$3</f>
        <v>4059.0810436636029</v>
      </c>
      <c r="AN179" s="354">
        <f>AN173*24*LOOKUP(Flat!AN$2,'HDD-by Country'!$A$4:$A$40,'HDD-by Country'!$C$4:$C$40)/1000/Flat!AN$3</f>
        <v>4059.0810436636029</v>
      </c>
    </row>
    <row r="180" spans="1:40" s="5" customFormat="1">
      <c r="A180" s="129"/>
      <c r="B180" s="142" t="s">
        <v>6</v>
      </c>
      <c r="C180" s="129" t="s">
        <v>261</v>
      </c>
      <c r="D180" s="345">
        <f>D174*24*LOOKUP(Flat!D$2,'HDD-by Country'!$A$4:$A$40,'HDD-by Country'!$C$4:$C$40)/1000/Flat!D$3</f>
        <v>3229.2860628672106</v>
      </c>
      <c r="E180" s="349">
        <f>E174*24*LOOKUP(Flat!E$2,'HDD-by Country'!$A$4:$A$40,'HDD-by Country'!$C$4:$C$40)/1000/Flat!E$3</f>
        <v>5578.5761924703775</v>
      </c>
      <c r="F180" s="349">
        <f>F174*24*LOOKUP(Flat!F$2,'HDD-by Country'!$A$4:$A$40,'HDD-by Country'!$C$4:$C$40)/1000/Flat!F$3</f>
        <v>2869.9380248532134</v>
      </c>
      <c r="G180" s="349">
        <f>G174*24*LOOKUP(Flat!G$2,'HDD-by Country'!$A$4:$A$40,'HDD-by Country'!$C$4:$C$40)/1000/Flat!G$3</f>
        <v>3146.1595050094088</v>
      </c>
      <c r="H180" s="349">
        <f>H174*24*LOOKUP(Flat!H$2,'HDD-by Country'!$A$4:$A$40,'HDD-by Country'!$C$4:$C$40)/1000/Flat!H$3</f>
        <v>2023.2595183893386</v>
      </c>
      <c r="I180" s="349">
        <f>I174*24*LOOKUP(Flat!I$2,'HDD-by Country'!$A$4:$A$40,'HDD-by Country'!$C$4:$C$40)/1000/Flat!I$3</f>
        <v>3511.0145307987868</v>
      </c>
      <c r="J180" s="349">
        <f>J174*24*LOOKUP(Flat!J$2,'HDD-by Country'!$A$4:$A$40,'HDD-by Country'!$C$4:$C$40)/1000/Flat!J$3</f>
        <v>2150.5883363802377</v>
      </c>
      <c r="K180" s="349">
        <f>K174*24*LOOKUP(Flat!K$2,'HDD-by Country'!$A$4:$A$40,'HDD-by Country'!$C$4:$C$40)/1000/Flat!K$3</f>
        <v>2881.102089862467</v>
      </c>
      <c r="L180" s="349">
        <f>L174*24*LOOKUP(Flat!L$2,'HDD-by Country'!$A$4:$A$40,'HDD-by Country'!$C$4:$C$40)/1000/Flat!L$3</f>
        <v>1922.3212301012531</v>
      </c>
      <c r="M180" s="349">
        <f>M174*24*LOOKUP(Flat!M$2,'HDD-by Country'!$A$4:$A$40,'HDD-by Country'!$C$4:$C$40)/1000/Flat!M$3</f>
        <v>4291.9317687731309</v>
      </c>
      <c r="N180" s="349">
        <f>N174*24*LOOKUP(Flat!N$2,'HDD-by Country'!$A$4:$A$40,'HDD-by Country'!$C$4:$C$40)/1000/Flat!N$3</f>
        <v>3268.367900932114</v>
      </c>
      <c r="O180" s="349">
        <f>O174*24*LOOKUP(Flat!O$2,'HDD-by Country'!$A$4:$A$40,'HDD-by Country'!$C$4:$C$40)/1000/Flat!O$3</f>
        <v>2051.2917235018185</v>
      </c>
      <c r="P180" s="349">
        <f>P174*24*LOOKUP(Flat!P$2,'HDD-by Country'!$A$4:$A$40,'HDD-by Country'!$C$4:$C$40)/1000/Flat!P$3</f>
        <v>5968.5254516698533</v>
      </c>
      <c r="Q180" s="349">
        <f>Q174*24*LOOKUP(Flat!Q$2,'HDD-by Country'!$A$4:$A$40,'HDD-by Country'!$C$4:$C$40)/1000/Flat!Q$3</f>
        <v>3225.5638121470588</v>
      </c>
      <c r="R180" s="349">
        <f>R174*24*LOOKUP(Flat!R$2,'HDD-by Country'!$A$4:$A$40,'HDD-by Country'!$C$4:$C$40)/1000/Flat!R$3</f>
        <v>3203.986286277323</v>
      </c>
      <c r="S180" s="349">
        <f>S174*24*LOOKUP(Flat!S$2,'HDD-by Country'!$A$4:$A$40,'HDD-by Country'!$C$4:$C$40)/1000/Flat!S$3</f>
        <v>3026.6370826459329</v>
      </c>
      <c r="T180" s="349">
        <f>T174*24*LOOKUP(Flat!T$2,'HDD-by Country'!$A$4:$A$40,'HDD-by Country'!$C$4:$C$40)/1000/Flat!T$3</f>
        <v>3274.8734532602934</v>
      </c>
      <c r="U180" s="349">
        <f>U174*24*LOOKUP(Flat!U$2,'HDD-by Country'!$A$4:$A$40,'HDD-by Country'!$C$4:$C$40)/1000/Flat!U$3</f>
        <v>4197.4277981754049</v>
      </c>
      <c r="V180" s="349">
        <f>V174*24*LOOKUP(Flat!V$2,'HDD-by Country'!$A$4:$A$40,'HDD-by Country'!$C$4:$C$40)/1000/Flat!V$3</f>
        <v>3569.5486052025362</v>
      </c>
      <c r="W180" s="349">
        <f>W174*24*LOOKUP(Flat!W$2,'HDD-by Country'!$A$4:$A$40,'HDD-by Country'!$C$4:$C$40)/1000/Flat!W$3</f>
        <v>3136.9013657778019</v>
      </c>
      <c r="X180" s="349">
        <f>X174*24*LOOKUP(Flat!X$2,'HDD-by Country'!$A$4:$A$40,'HDD-by Country'!$C$4:$C$40)/1000/Flat!X$3</f>
        <v>3408.2527299290437</v>
      </c>
      <c r="Y180" s="349">
        <f>Y174*24*LOOKUP(Flat!Y$2,'HDD-by Country'!$A$4:$A$40,'HDD-by Country'!$C$4:$C$40)/1000/Flat!Y$3</f>
        <v>1678.4796229887786</v>
      </c>
      <c r="Z180" s="349">
        <f>Z174*24*LOOKUP(Flat!Z$2,'HDD-by Country'!$A$4:$A$40,'HDD-by Country'!$C$4:$C$40)/1000/Flat!Z$3</f>
        <v>3874.9418505147137</v>
      </c>
      <c r="AA180" s="349">
        <f>AA174*24*LOOKUP(Flat!AA$2,'HDD-by Country'!$A$4:$A$40,'HDD-by Country'!$C$4:$C$40)/1000/Flat!AA$3</f>
        <v>3875.333723417044</v>
      </c>
      <c r="AB180" s="349">
        <f>AB174*24*LOOKUP(Flat!AB$2,'HDD-by Country'!$A$4:$A$40,'HDD-by Country'!$C$4:$C$40)/1000/Flat!AB$3</f>
        <v>3688.9429235310145</v>
      </c>
      <c r="AC180" s="349">
        <f>AC174*24*LOOKUP(Flat!AC$2,'HDD-by Country'!$A$4:$A$40,'HDD-by Country'!$C$4:$C$40)/1000/Flat!AC$3</f>
        <v>3888.9410236064155</v>
      </c>
      <c r="AD180" s="349">
        <f>AD174*24*LOOKUP(Flat!AD$2,'HDD-by Country'!$A$4:$A$40,'HDD-by Country'!$C$4:$C$40)/1000/Flat!AD$3</f>
        <v>3407.8276753672594</v>
      </c>
      <c r="AE180" s="349">
        <f>AE174*24*LOOKUP(Flat!AE$2,'HDD-by Country'!$A$4:$A$40,'HDD-by Country'!$C$4:$C$40)/1000/Flat!AE$3</f>
        <v>3736.6838098268481</v>
      </c>
      <c r="AF180" s="349">
        <f>AF174*24*LOOKUP(Flat!AF$2,'HDD-by Country'!$A$4:$A$40,'HDD-by Country'!$C$4:$C$40)/1000/Flat!AF$3</f>
        <v>2570.637144592175</v>
      </c>
      <c r="AG180" s="349">
        <f>AG174*24*LOOKUP(Flat!AG$2,'HDD-by Country'!$A$4:$A$40,'HDD-by Country'!$C$4:$C$40)/1000/Flat!AG$3</f>
        <v>5251.9248929891128</v>
      </c>
      <c r="AH180" s="349">
        <f>AH174*24*LOOKUP(Flat!AH$2,'HDD-by Country'!$A$4:$A$40,'HDD-by Country'!$C$4:$C$40)/1000/Flat!AH$3</f>
        <v>2000.5239574203733</v>
      </c>
      <c r="AI180" s="349">
        <f>AI174*24*LOOKUP(Flat!AI$2,'HDD-by Country'!$A$4:$A$40,'HDD-by Country'!$C$4:$C$40)/1000/Flat!AI$3</f>
        <v>4782.3504289844277</v>
      </c>
      <c r="AJ180" s="349">
        <f>AJ174*24*LOOKUP(Flat!AJ$2,'HDD-by Country'!$A$4:$A$40,'HDD-by Country'!$C$4:$C$40)/1000/Flat!AJ$3</f>
        <v>4301.2101595834629</v>
      </c>
      <c r="AK180" s="349">
        <f>AK174*24*LOOKUP(Flat!AK$2,'HDD-by Country'!$A$4:$A$40,'HDD-by Country'!$C$4:$C$40)/1000/Flat!AK$3</f>
        <v>4075.8194659138767</v>
      </c>
      <c r="AL180" s="349">
        <f>AL174*24*LOOKUP(Flat!AL$2,'HDD-by Country'!$A$4:$A$40,'HDD-by Country'!$C$4:$C$40)/1000/Flat!AL$3</f>
        <v>3307.815550111266</v>
      </c>
      <c r="AM180" s="349">
        <f>AM174*24*LOOKUP(Flat!AM$2,'HDD-by Country'!$A$4:$A$40,'HDD-by Country'!$C$4:$C$40)/1000/Flat!AM$3</f>
        <v>3955.2880557155258</v>
      </c>
      <c r="AN180" s="354">
        <f>AN174*24*LOOKUP(Flat!AN$2,'HDD-by Country'!$A$4:$A$40,'HDD-by Country'!$C$4:$C$40)/1000/Flat!AN$3</f>
        <v>3955.2880557155258</v>
      </c>
    </row>
    <row r="181" spans="1:40" s="5" customFormat="1">
      <c r="A181" s="130"/>
      <c r="B181" s="142" t="s">
        <v>7</v>
      </c>
      <c r="C181" s="129" t="s">
        <v>261</v>
      </c>
      <c r="D181" s="345">
        <f>D175*24*LOOKUP(Flat!D$2,'HDD-by Country'!$A$4:$A$40,'HDD-by Country'!$C$4:$C$40)/1000/Flat!D$3</f>
        <v>2905.4942448036581</v>
      </c>
      <c r="E181" s="349">
        <f>E175*24*LOOKUP(Flat!E$2,'HDD-by Country'!$A$4:$A$40,'HDD-by Country'!$C$4:$C$40)/1000/Flat!E$3</f>
        <v>3668.7154291582192</v>
      </c>
      <c r="F181" s="349">
        <f>F175*24*LOOKUP(Flat!F$2,'HDD-by Country'!$A$4:$A$40,'HDD-by Country'!$C$4:$C$40)/1000/Flat!F$3</f>
        <v>2199.8215205636543</v>
      </c>
      <c r="G181" s="349">
        <f>G175*24*LOOKUP(Flat!G$2,'HDD-by Country'!$A$4:$A$40,'HDD-by Country'!$C$4:$C$40)/1000/Flat!G$3</f>
        <v>2830.7025630683652</v>
      </c>
      <c r="H181" s="349">
        <f>H175*24*LOOKUP(Flat!H$2,'HDD-by Country'!$A$4:$A$40,'HDD-by Country'!$C$4:$C$40)/1000/Flat!H$3</f>
        <v>1756.2956986077388</v>
      </c>
      <c r="I181" s="349">
        <f>I175*24*LOOKUP(Flat!I$2,'HDD-by Country'!$A$4:$A$40,'HDD-by Country'!$C$4:$C$40)/1000/Flat!I$3</f>
        <v>2716.1562936053906</v>
      </c>
      <c r="J181" s="349">
        <f>J175*24*LOOKUP(Flat!J$2,'HDD-by Country'!$A$4:$A$40,'HDD-by Country'!$C$4:$C$40)/1000/Flat!J$3</f>
        <v>2306.2320269548281</v>
      </c>
      <c r="K181" s="349">
        <f>K175*24*LOOKUP(Flat!K$2,'HDD-by Country'!$A$4:$A$40,'HDD-by Country'!$C$4:$C$40)/1000/Flat!K$3</f>
        <v>2072.8508541027109</v>
      </c>
      <c r="L181" s="349">
        <f>L175*24*LOOKUP(Flat!L$2,'HDD-by Country'!$A$4:$A$40,'HDD-by Country'!$C$4:$C$40)/1000/Flat!L$3</f>
        <v>1922.3212301012531</v>
      </c>
      <c r="M181" s="349">
        <f>M175*24*LOOKUP(Flat!M$2,'HDD-by Country'!$A$4:$A$40,'HDD-by Country'!$C$4:$C$40)/1000/Flat!M$3</f>
        <v>3333.8838138467609</v>
      </c>
      <c r="N181" s="349">
        <f>N175*24*LOOKUP(Flat!N$2,'HDD-by Country'!$A$4:$A$40,'HDD-by Country'!$C$4:$C$40)/1000/Flat!N$3</f>
        <v>2868.9077725799789</v>
      </c>
      <c r="O181" s="349">
        <f>O175*24*LOOKUP(Flat!O$2,'HDD-by Country'!$A$4:$A$40,'HDD-by Country'!$C$4:$C$40)/1000/Flat!O$3</f>
        <v>1981.6969030994546</v>
      </c>
      <c r="P181" s="349">
        <f>P175*24*LOOKUP(Flat!P$2,'HDD-by Country'!$A$4:$A$40,'HDD-by Country'!$C$4:$C$40)/1000/Flat!P$3</f>
        <v>2659.6891795640022</v>
      </c>
      <c r="Q181" s="349">
        <f>Q175*24*LOOKUP(Flat!Q$2,'HDD-by Country'!$A$4:$A$40,'HDD-by Country'!$C$4:$C$40)/1000/Flat!Q$3</f>
        <v>2158.2549179185307</v>
      </c>
      <c r="R181" s="349">
        <f>R175*24*LOOKUP(Flat!R$2,'HDD-by Country'!$A$4:$A$40,'HDD-by Country'!$C$4:$C$40)/1000/Flat!R$3</f>
        <v>2028.5583354632613</v>
      </c>
      <c r="S181" s="349">
        <f>S175*24*LOOKUP(Flat!S$2,'HDD-by Country'!$A$4:$A$40,'HDD-by Country'!$C$4:$C$40)/1000/Flat!S$3</f>
        <v>2139.3422733497459</v>
      </c>
      <c r="T181" s="349">
        <f>T175*24*LOOKUP(Flat!T$2,'HDD-by Country'!$A$4:$A$40,'HDD-by Country'!$C$4:$C$40)/1000/Flat!T$3</f>
        <v>2908.4192105616262</v>
      </c>
      <c r="U181" s="349">
        <f>U175*24*LOOKUP(Flat!U$2,'HDD-by Country'!$A$4:$A$40,'HDD-by Country'!$C$4:$C$40)/1000/Flat!U$3</f>
        <v>3856.8389981754053</v>
      </c>
      <c r="V181" s="349">
        <f>V175*24*LOOKUP(Flat!V$2,'HDD-by Country'!$A$4:$A$40,'HDD-by Country'!$C$4:$C$40)/1000/Flat!V$3</f>
        <v>2269.6823279313617</v>
      </c>
      <c r="W181" s="349">
        <f>W175*24*LOOKUP(Flat!W$2,'HDD-by Country'!$A$4:$A$40,'HDD-by Country'!$C$4:$C$40)/1000/Flat!W$3</f>
        <v>2549.175146674615</v>
      </c>
      <c r="X181" s="349">
        <f>X175*24*LOOKUP(Flat!X$2,'HDD-by Country'!$A$4:$A$40,'HDD-by Country'!$C$4:$C$40)/1000/Flat!X$3</f>
        <v>2284.369385108972</v>
      </c>
      <c r="Y181" s="349">
        <f>Y175*24*LOOKUP(Flat!Y$2,'HDD-by Country'!$A$4:$A$40,'HDD-by Country'!$C$4:$C$40)/1000/Flat!Y$3</f>
        <v>1656.4248786021556</v>
      </c>
      <c r="Z181" s="349">
        <f>Z175*24*LOOKUP(Flat!Z$2,'HDD-by Country'!$A$4:$A$40,'HDD-by Country'!$C$4:$C$40)/1000/Flat!Z$3</f>
        <v>2742.7301698415499</v>
      </c>
      <c r="AA181" s="349">
        <f>AA175*24*LOOKUP(Flat!AA$2,'HDD-by Country'!$A$4:$A$40,'HDD-by Country'!$C$4:$C$40)/1000/Flat!AA$3</f>
        <v>3222.236097151444</v>
      </c>
      <c r="AB181" s="349">
        <f>AB175*24*LOOKUP(Flat!AB$2,'HDD-by Country'!$A$4:$A$40,'HDD-by Country'!$C$4:$C$40)/1000/Flat!AB$3</f>
        <v>3171.5403852636141</v>
      </c>
      <c r="AC181" s="349">
        <f>AC175*24*LOOKUP(Flat!AC$2,'HDD-by Country'!$A$4:$A$40,'HDD-by Country'!$C$4:$C$40)/1000/Flat!AC$3</f>
        <v>2664.856543377201</v>
      </c>
      <c r="AD181" s="349">
        <f>AD175*24*LOOKUP(Flat!AD$2,'HDD-by Country'!$A$4:$A$40,'HDD-by Country'!$C$4:$C$40)/1000/Flat!AD$3</f>
        <v>2641.2672311126671</v>
      </c>
      <c r="AE181" s="349">
        <f>AE175*24*LOOKUP(Flat!AE$2,'HDD-by Country'!$A$4:$A$40,'HDD-by Country'!$C$4:$C$40)/1000/Flat!AE$3</f>
        <v>3106.9524110684488</v>
      </c>
      <c r="AF181" s="349">
        <f>AF175*24*LOOKUP(Flat!AF$2,'HDD-by Country'!$A$4:$A$40,'HDD-by Country'!$C$4:$C$40)/1000/Flat!AF$3</f>
        <v>1631.2815267660912</v>
      </c>
      <c r="AG181" s="349">
        <f>AG175*24*LOOKUP(Flat!AG$2,'HDD-by Country'!$A$4:$A$40,'HDD-by Country'!$C$4:$C$40)/1000/Flat!AG$3</f>
        <v>3267.6058638259924</v>
      </c>
      <c r="AH181" s="349">
        <f>AH175*24*LOOKUP(Flat!AH$2,'HDD-by Country'!$A$4:$A$40,'HDD-by Country'!$C$4:$C$40)/1000/Flat!AH$3</f>
        <v>1695.2858439270724</v>
      </c>
      <c r="AI181" s="349">
        <f>AI175*24*LOOKUP(Flat!AI$2,'HDD-by Country'!$A$4:$A$40,'HDD-by Country'!$C$4:$C$40)/1000/Flat!AI$3</f>
        <v>2266.8497009829039</v>
      </c>
      <c r="AJ181" s="349">
        <f>AJ175*24*LOOKUP(Flat!AJ$2,'HDD-by Country'!$A$4:$A$40,'HDD-by Country'!$C$4:$C$40)/1000/Flat!AJ$3</f>
        <v>3800.1648046864075</v>
      </c>
      <c r="AK181" s="349">
        <f>AK175*24*LOOKUP(Flat!AK$2,'HDD-by Country'!$A$4:$A$40,'HDD-by Country'!$C$4:$C$40)/1000/Flat!AK$3</f>
        <v>3607.0465453009247</v>
      </c>
      <c r="AL181" s="349">
        <f>AL175*24*LOOKUP(Flat!AL$2,'HDD-by Country'!$A$4:$A$40,'HDD-by Country'!$C$4:$C$40)/1000/Flat!AL$3</f>
        <v>2479.9316989108893</v>
      </c>
      <c r="AM181" s="349">
        <f>AM175*24*LOOKUP(Flat!AM$2,'HDD-by Country'!$A$4:$A$40,'HDD-by Country'!$C$4:$C$40)/1000/Flat!AM$3</f>
        <v>3494.538956260224</v>
      </c>
      <c r="AN181" s="354">
        <f>AN175*24*LOOKUP(Flat!AN$2,'HDD-by Country'!$A$4:$A$40,'HDD-by Country'!$C$4:$C$40)/1000/Flat!AN$3</f>
        <v>3494.538956260224</v>
      </c>
    </row>
    <row r="182" spans="1:40" s="5" customFormat="1">
      <c r="A182" s="151" t="s">
        <v>260</v>
      </c>
      <c r="B182" s="141" t="s">
        <v>2</v>
      </c>
      <c r="C182" s="360" t="s">
        <v>261</v>
      </c>
      <c r="D182" s="351">
        <f>D176/(1.355*(D170/Flat!D$17)^0.16)</f>
        <v>4585.204361371937</v>
      </c>
      <c r="E182" s="352">
        <f>E176/(1.355*(E170/Flat!E$17)^0.16)</f>
        <v>4598.2401971967747</v>
      </c>
      <c r="F182" s="352">
        <f>F176/(1.355*(F170/Flat!F$17)^0.16)</f>
        <v>2875.5923892037722</v>
      </c>
      <c r="G182" s="352">
        <f>G176/(1.355*(G170/Flat!G$17)^0.16)</f>
        <v>4467.1744785386354</v>
      </c>
      <c r="H182" s="352">
        <f>H176/(1.355*(H170/Flat!H$17)^0.16)</f>
        <v>1602.2145774736873</v>
      </c>
      <c r="I182" s="352">
        <f>I176/(1.355*(I170/Flat!I$17)^0.16)</f>
        <v>4113.4764911001093</v>
      </c>
      <c r="J182" s="352">
        <f>J176/(1.355*(J170/Flat!J$17)^0.16)</f>
        <v>4645.6739691658186</v>
      </c>
      <c r="K182" s="352">
        <f>K176/(1.355*(K170/Flat!K$17)^0.16)</f>
        <v>3370.7332213548389</v>
      </c>
      <c r="L182" s="352">
        <f>L176/(1.355*(L170/Flat!L$17)^0.16)</f>
        <v>2816.2631443168016</v>
      </c>
      <c r="M182" s="352">
        <f>M176/(1.355*(M170/Flat!M$17)^0.16)</f>
        <v>4986.093884854612</v>
      </c>
      <c r="N182" s="352">
        <f>N176/(1.355*(N170/Flat!N$17)^0.16)</f>
        <v>3777.2719780483749</v>
      </c>
      <c r="O182" s="352">
        <f>O176/(1.355*(O170/Flat!O$17)^0.16)</f>
        <v>4463.2018036861646</v>
      </c>
      <c r="P182" s="352">
        <f>P176/(1.355*(P170/Flat!P$17)^0.16)</f>
        <v>4274.8356101265963</v>
      </c>
      <c r="Q182" s="352">
        <f>Q176/(1.355*(Q170/Flat!Q$17)^0.16)</f>
        <v>3530.8194313888021</v>
      </c>
      <c r="R182" s="352">
        <f>R176/(1.355*(R170/Flat!R$17)^0.16)</f>
        <v>2975.0452646060162</v>
      </c>
      <c r="S182" s="352">
        <f>S176/(1.355*(S170/Flat!S$17)^0.16)</f>
        <v>3616.6689105565861</v>
      </c>
      <c r="T182" s="352">
        <f>T176/(1.355*(T170/Flat!T$17)^0.16)</f>
        <v>3956.3127861222811</v>
      </c>
      <c r="U182" s="352">
        <f>U176/(1.355*(U170/Flat!U$17)^0.16)</f>
        <v>4264.1269507202287</v>
      </c>
      <c r="V182" s="352">
        <f>V176/(1.355*(V170/Flat!V$17)^0.16)</f>
        <v>3790.1989116246705</v>
      </c>
      <c r="W182" s="352">
        <f>W176/(1.355*(W170/Flat!W$17)^0.16)</f>
        <v>5658.7477284768211</v>
      </c>
      <c r="X182" s="352">
        <f>X176/(1.355*(X170/Flat!X$17)^0.16)</f>
        <v>4350.9132513672557</v>
      </c>
      <c r="Y182" s="352">
        <f>Y176/(1.355*(Y170/Flat!Y$17)^0.16)</f>
        <v>1327.4769217518342</v>
      </c>
      <c r="Z182" s="352">
        <f>Z176/(1.355*(Z170/Flat!Z$17)^0.16)</f>
        <v>5014.9577177774081</v>
      </c>
      <c r="AA182" s="352">
        <f>AA176/(1.355*(AA170/Flat!AA$17)^0.16)</f>
        <v>4555.4687177536571</v>
      </c>
      <c r="AB182" s="352">
        <f>AB176/(1.355*(AB170/Flat!AB$17)^0.16)</f>
        <v>4331.1167405937658</v>
      </c>
      <c r="AC182" s="352">
        <f>AC176/(1.355*(AC170/Flat!AC$17)^0.16)</f>
        <v>3004.4969861977356</v>
      </c>
      <c r="AD182" s="352">
        <f>AD176/(1.355*(AD170/Flat!AD$17)^0.16)</f>
        <v>2779.0893923055382</v>
      </c>
      <c r="AE182" s="352">
        <f>AE176/(1.355*(AE170/Flat!AE$17)^0.16)</f>
        <v>4392.4852460947413</v>
      </c>
      <c r="AF182" s="352">
        <f>AF176/(1.355*(AF170/Flat!AF$17)^0.16)</f>
        <v>3228.9142395001736</v>
      </c>
      <c r="AG182" s="352">
        <f>AG176/(1.355*(AG170/Flat!AG$17)^0.16)</f>
        <v>5325.2860436774226</v>
      </c>
      <c r="AH182" s="352">
        <f>AH176/(1.355*(AH170/Flat!AH$17)^0.16)</f>
        <v>2906.09773300495</v>
      </c>
      <c r="AI182" s="352">
        <f>AI176/(1.355*(AI170/Flat!AI$17)^0.16)</f>
        <v>3406.6762316028112</v>
      </c>
      <c r="AJ182" s="352">
        <f>AJ176/(1.355*(AJ170/Flat!AJ$17)^0.16)</f>
        <v>3600.4621296066962</v>
      </c>
      <c r="AK182" s="352">
        <f>AK176/(1.355*(AK170/Flat!AK$17)^0.16)</f>
        <v>3448.7984335663327</v>
      </c>
      <c r="AL182" s="352">
        <f>AL176/(1.355*(AL170/Flat!AL$17)^0.16)</f>
        <v>3326.8223783498588</v>
      </c>
      <c r="AM182" s="352">
        <f>AM176/(1.355*(AM170/Flat!AM$17)^0.16)</f>
        <v>3310.8972423864443</v>
      </c>
      <c r="AN182" s="353">
        <f>AN176/(1.355*(AN170/Flat!AN$17)^0.16)</f>
        <v>3310.8972423864443</v>
      </c>
    </row>
    <row r="183" spans="1:40" s="5" customFormat="1">
      <c r="A183" s="129"/>
      <c r="B183" s="142" t="s">
        <v>3</v>
      </c>
      <c r="C183" s="129" t="s">
        <v>261</v>
      </c>
      <c r="D183" s="345">
        <f>D177/(1.355*(D171/Flat!D$17)^0.16)</f>
        <v>4522.4951685869764</v>
      </c>
      <c r="E183" s="349">
        <f>E177/(1.355*(E171/Flat!E$17)^0.16)</f>
        <v>4598.2401971967747</v>
      </c>
      <c r="F183" s="349">
        <f>F177/(1.355*(F171/Flat!F$17)^0.16)</f>
        <v>2875.5923892037722</v>
      </c>
      <c r="G183" s="349">
        <f>G177/(1.355*(G171/Flat!G$17)^0.16)</f>
        <v>4406.0795123166909</v>
      </c>
      <c r="H183" s="349">
        <f>H177/(1.355*(H171/Flat!H$17)^0.16)</f>
        <v>1582.9677535804167</v>
      </c>
      <c r="I183" s="349">
        <f>I177/(1.355*(I171/Flat!I$17)^0.16)</f>
        <v>3653.1317553677713</v>
      </c>
      <c r="J183" s="349">
        <f>J177/(1.355*(J171/Flat!J$17)^0.16)</f>
        <v>4246.4532255712293</v>
      </c>
      <c r="K183" s="349">
        <f>K177/(1.355*(K171/Flat!K$17)^0.16)</f>
        <v>3275.8497240963952</v>
      </c>
      <c r="L183" s="349">
        <f>L177/(1.355*(L171/Flat!L$17)^0.16)</f>
        <v>2816.2631443168016</v>
      </c>
      <c r="M183" s="349">
        <f>M177/(1.355*(M171/Flat!M$17)^0.16)</f>
        <v>4762.4416487497838</v>
      </c>
      <c r="N183" s="349">
        <f>N177/(1.355*(N171/Flat!N$17)^0.16)</f>
        <v>3571.4738961954627</v>
      </c>
      <c r="O183" s="349">
        <f>O177/(1.355*(O171/Flat!O$17)^0.16)</f>
        <v>4463.2018036861646</v>
      </c>
      <c r="P183" s="349">
        <f>P177/(1.355*(P171/Flat!P$17)^0.16)</f>
        <v>4274.8356101265963</v>
      </c>
      <c r="Q183" s="349">
        <f>Q177/(1.355*(Q171/Flat!Q$17)^0.16)</f>
        <v>3580.6492603534621</v>
      </c>
      <c r="R183" s="349">
        <f>R177/(1.355*(R171/Flat!R$17)^0.16)</f>
        <v>2975.0452646060162</v>
      </c>
      <c r="S183" s="349">
        <f>S177/(1.355*(S171/Flat!S$17)^0.16)</f>
        <v>3669.5872718272271</v>
      </c>
      <c r="T183" s="349">
        <f>T177/(1.355*(T171/Flat!T$17)^0.16)</f>
        <v>3754.7271077125633</v>
      </c>
      <c r="U183" s="349">
        <f>U177/(1.355*(U171/Flat!U$17)^0.16)</f>
        <v>4188.9897022008854</v>
      </c>
      <c r="V183" s="349">
        <f>V177/(1.355*(V171/Flat!V$17)^0.16)</f>
        <v>3790.1989116246705</v>
      </c>
      <c r="W183" s="349">
        <f>W177/(1.355*(W171/Flat!W$17)^0.16)</f>
        <v>5120.0168515608311</v>
      </c>
      <c r="X183" s="349">
        <f>X177/(1.355*(X171/Flat!X$17)^0.16)</f>
        <v>4257.8523512492266</v>
      </c>
      <c r="Y183" s="349">
        <f>Y177/(1.355*(Y171/Flat!Y$17)^0.16)</f>
        <v>1325.4053070981593</v>
      </c>
      <c r="Z183" s="349">
        <f>Z177/(1.355*(Z171/Flat!Z$17)^0.16)</f>
        <v>4278.3449232497715</v>
      </c>
      <c r="AA183" s="349">
        <f>AA177/(1.355*(AA171/Flat!AA$17)^0.16)</f>
        <v>4529.825471840204</v>
      </c>
      <c r="AB183" s="349">
        <f>AB177/(1.355*(AB171/Flat!AB$17)^0.16)</f>
        <v>3429.1517687734449</v>
      </c>
      <c r="AC183" s="349">
        <f>AC177/(1.355*(AC171/Flat!AC$17)^0.16)</f>
        <v>2957.1985756914669</v>
      </c>
      <c r="AD183" s="349">
        <f>AD177/(1.355*(AD171/Flat!AD$17)^0.16)</f>
        <v>2602.4032880711047</v>
      </c>
      <c r="AE183" s="349">
        <f>AE177/(1.355*(AE171/Flat!AE$17)^0.16)</f>
        <v>4367.7594524792894</v>
      </c>
      <c r="AF183" s="349">
        <f>AF177/(1.355*(AF171/Flat!AF$17)^0.16)</f>
        <v>3228.9142395001736</v>
      </c>
      <c r="AG183" s="349">
        <f>AG177/(1.355*(AG171/Flat!AG$17)^0.16)</f>
        <v>4850.8089149236539</v>
      </c>
      <c r="AH183" s="349">
        <f>AH177/(1.355*(AH171/Flat!AH$17)^0.16)</f>
        <v>2927.8876922017644</v>
      </c>
      <c r="AI183" s="349">
        <f>AI177/(1.355*(AI171/Flat!AI$17)^0.16)</f>
        <v>3406.6762316028112</v>
      </c>
      <c r="AJ183" s="349">
        <f>AJ177/(1.355*(AJ171/Flat!AJ$17)^0.16)</f>
        <v>3600.4621296066962</v>
      </c>
      <c r="AK183" s="349">
        <f>AK177/(1.355*(AK171/Flat!AK$17)^0.16)</f>
        <v>3448.7984335663327</v>
      </c>
      <c r="AL183" s="349">
        <f>AL177/(1.355*(AL171/Flat!AL$17)^0.16)</f>
        <v>3326.8223783498588</v>
      </c>
      <c r="AM183" s="349">
        <f>AM177/(1.355*(AM171/Flat!AM$17)^0.16)</f>
        <v>3310.8972423864443</v>
      </c>
      <c r="AN183" s="354">
        <f>AN177/(1.355*(AN171/Flat!AN$17)^0.16)</f>
        <v>3310.8972423864443</v>
      </c>
    </row>
    <row r="184" spans="1:40" s="5" customFormat="1">
      <c r="A184" s="129"/>
      <c r="B184" s="142" t="s">
        <v>4</v>
      </c>
      <c r="C184" s="129" t="s">
        <v>261</v>
      </c>
      <c r="D184" s="345">
        <f>D178/(1.355*(D172/Flat!D$17)^0.16)</f>
        <v>3883.3827676710239</v>
      </c>
      <c r="E184" s="349">
        <f>E178/(1.355*(E172/Flat!E$17)^0.16)</f>
        <v>4598.2401971967747</v>
      </c>
      <c r="F184" s="349">
        <f>F178/(1.355*(F172/Flat!F$17)^0.16)</f>
        <v>2782.2291961023293</v>
      </c>
      <c r="G184" s="349">
        <f>G178/(1.355*(G172/Flat!G$17)^0.16)</f>
        <v>3783.4188016313665</v>
      </c>
      <c r="H184" s="349">
        <f>H178/(1.355*(H172/Flat!H$17)^0.16)</f>
        <v>1797.154109923204</v>
      </c>
      <c r="I184" s="349">
        <f>I178/(1.355*(I172/Flat!I$17)^0.16)</f>
        <v>3653.1317553677713</v>
      </c>
      <c r="J184" s="349">
        <f>J178/(1.355*(J172/Flat!J$17)^0.16)</f>
        <v>3300.6849372086522</v>
      </c>
      <c r="K184" s="349">
        <f>K178/(1.355*(K172/Flat!K$17)^0.16)</f>
        <v>2662.7781153991518</v>
      </c>
      <c r="L184" s="349">
        <f>L178/(1.355*(L172/Flat!L$17)^0.16)</f>
        <v>2488.9191374003121</v>
      </c>
      <c r="M184" s="349">
        <f>M178/(1.355*(M172/Flat!M$17)^0.16)</f>
        <v>4762.4416487497838</v>
      </c>
      <c r="N184" s="349">
        <f>N178/(1.355*(N172/Flat!N$17)^0.16)</f>
        <v>3170.8879887002495</v>
      </c>
      <c r="O184" s="349">
        <f>O178/(1.355*(O172/Flat!O$17)^0.16)</f>
        <v>2871.6903291741455</v>
      </c>
      <c r="P184" s="349">
        <f>P178/(1.355*(P172/Flat!P$17)^0.16)</f>
        <v>4274.8356101265963</v>
      </c>
      <c r="Q184" s="349">
        <f>Q178/(1.355*(Q172/Flat!Q$17)^0.16)</f>
        <v>3149.2294928462802</v>
      </c>
      <c r="R184" s="349">
        <f>R178/(1.355*(R172/Flat!R$17)^0.16)</f>
        <v>2808.04340824978</v>
      </c>
      <c r="S184" s="349">
        <f>S178/(1.355*(S172/Flat!S$17)^0.16)</f>
        <v>3142.9935810940037</v>
      </c>
      <c r="T184" s="349">
        <f>T178/(1.355*(T172/Flat!T$17)^0.16)</f>
        <v>3305.5261347856158</v>
      </c>
      <c r="U184" s="349">
        <f>U178/(1.355*(U172/Flat!U$17)^0.16)</f>
        <v>3893.2711122145897</v>
      </c>
      <c r="V184" s="349">
        <f>V178/(1.355*(V172/Flat!V$17)^0.16)</f>
        <v>2875.2066417287183</v>
      </c>
      <c r="W184" s="349">
        <f>W178/(1.355*(W172/Flat!W$17)^0.16)</f>
        <v>3575.5724690679285</v>
      </c>
      <c r="X184" s="349">
        <f>X178/(1.355*(X172/Flat!X$17)^0.16)</f>
        <v>4093.1687154274891</v>
      </c>
      <c r="Y184" s="349">
        <f>Y178/(1.355*(Y172/Flat!Y$17)^0.16)</f>
        <v>1290.4039112899006</v>
      </c>
      <c r="Z184" s="349">
        <f>Z178/(1.355*(Z172/Flat!Z$17)^0.16)</f>
        <v>4153.8345032796105</v>
      </c>
      <c r="AA184" s="349">
        <f>AA178/(1.355*(AA172/Flat!AA$17)^0.16)</f>
        <v>3660.0553821937669</v>
      </c>
      <c r="AB184" s="349">
        <f>AB178/(1.355*(AB172/Flat!AB$17)^0.16)</f>
        <v>2826.3358329832549</v>
      </c>
      <c r="AC184" s="349">
        <f>AC178/(1.355*(AC172/Flat!AC$17)^0.16)</f>
        <v>2904.8780612101727</v>
      </c>
      <c r="AD184" s="349">
        <f>AD178/(1.355*(AD172/Flat!AD$17)^0.16)</f>
        <v>2602.4032880711047</v>
      </c>
      <c r="AE184" s="349">
        <f>AE178/(1.355*(AE172/Flat!AE$17)^0.16)</f>
        <v>3529.1075984170875</v>
      </c>
      <c r="AF184" s="349">
        <f>AF178/(1.355*(AF172/Flat!AF$17)^0.16)</f>
        <v>2950.1851824311038</v>
      </c>
      <c r="AG184" s="349">
        <f>AG178/(1.355*(AG172/Flat!AG$17)^0.16)</f>
        <v>4850.8089149236539</v>
      </c>
      <c r="AH184" s="349">
        <f>AH178/(1.355*(AH172/Flat!AH$17)^0.16)</f>
        <v>2547.56635038486</v>
      </c>
      <c r="AI184" s="349">
        <f>AI178/(1.355*(AI172/Flat!AI$17)^0.16)</f>
        <v>3406.6762316028112</v>
      </c>
      <c r="AJ184" s="349">
        <f>AJ178/(1.355*(AJ172/Flat!AJ$17)^0.16)</f>
        <v>3600.4621296066962</v>
      </c>
      <c r="AK184" s="349">
        <f>AK178/(1.355*(AK172/Flat!AK$17)^0.16)</f>
        <v>3448.7984335663327</v>
      </c>
      <c r="AL184" s="349">
        <f>AL178/(1.355*(AL172/Flat!AL$17)^0.16)</f>
        <v>3223.6782574844078</v>
      </c>
      <c r="AM184" s="349">
        <f>AM178/(1.355*(AM172/Flat!AM$17)^0.16)</f>
        <v>3310.8972423864443</v>
      </c>
      <c r="AN184" s="354">
        <f>AN178/(1.355*(AN172/Flat!AN$17)^0.16)</f>
        <v>3310.8972423864443</v>
      </c>
    </row>
    <row r="185" spans="1:40" s="5" customFormat="1">
      <c r="A185" s="129"/>
      <c r="B185" s="142" t="s">
        <v>5</v>
      </c>
      <c r="C185" s="129" t="s">
        <v>261</v>
      </c>
      <c r="D185" s="345">
        <f>D179/(1.355*(D173/Flat!D$17)^0.16)</f>
        <v>3000.8477771934295</v>
      </c>
      <c r="E185" s="349">
        <f>E179/(1.355*(E173/Flat!E$17)^0.16)</f>
        <v>4107.1065412926264</v>
      </c>
      <c r="F185" s="349">
        <f>F179/(1.355*(F173/Flat!F$17)^0.16)</f>
        <v>2574.5878633835569</v>
      </c>
      <c r="G185" s="349">
        <f>G179/(1.355*(G173/Flat!G$17)^0.16)</f>
        <v>2923.6015557323799</v>
      </c>
      <c r="H185" s="349">
        <f>H179/(1.355*(H173/Flat!H$17)^0.16)</f>
        <v>1750.6130187120748</v>
      </c>
      <c r="I185" s="349">
        <f>I179/(1.355*(I173/Flat!I$17)^0.16)</f>
        <v>3423.7347464883001</v>
      </c>
      <c r="J185" s="349">
        <f>J179/(1.355*(J173/Flat!J$17)^0.16)</f>
        <v>2814.1709878597676</v>
      </c>
      <c r="K185" s="349">
        <f>K179/(1.355*(K173/Flat!K$17)^0.16)</f>
        <v>2390.1206968966221</v>
      </c>
      <c r="L185" s="349">
        <f>L179/(1.355*(L173/Flat!L$17)^0.16)</f>
        <v>1897.0573623554674</v>
      </c>
      <c r="M185" s="349">
        <f>M179/(1.355*(M173/Flat!M$17)^0.16)</f>
        <v>3248.7091291591159</v>
      </c>
      <c r="N185" s="349">
        <f>N179/(1.355*(N173/Flat!N$17)^0.16)</f>
        <v>2713.7814292240314</v>
      </c>
      <c r="O185" s="349">
        <f>O179/(1.355*(O173/Flat!O$17)^0.16)</f>
        <v>2556.5271298697594</v>
      </c>
      <c r="P185" s="349">
        <f>P179/(1.355*(P173/Flat!P$17)^0.16)</f>
        <v>4139.4621073407061</v>
      </c>
      <c r="Q185" s="349">
        <f>Q179/(1.355*(Q173/Flat!Q$17)^0.16)</f>
        <v>3149.2294928462802</v>
      </c>
      <c r="R185" s="349">
        <f>R179/(1.355*(R173/Flat!R$17)^0.16)</f>
        <v>2461.3323663820752</v>
      </c>
      <c r="S185" s="349">
        <f>S179/(1.355*(S173/Flat!S$17)^0.16)</f>
        <v>2344.6622365396606</v>
      </c>
      <c r="T185" s="349">
        <f>T179/(1.355*(T173/Flat!T$17)^0.16)</f>
        <v>2806.4753646770723</v>
      </c>
      <c r="U185" s="349">
        <f>U179/(1.355*(U173/Flat!U$17)^0.16)</f>
        <v>3259.5577728263283</v>
      </c>
      <c r="V185" s="349">
        <f>V179/(1.355*(V173/Flat!V$17)^0.16)</f>
        <v>2875.2066417287183</v>
      </c>
      <c r="W185" s="349">
        <f>W179/(1.355*(W173/Flat!W$17)^0.16)</f>
        <v>2988.8997391433427</v>
      </c>
      <c r="X185" s="349">
        <f>X179/(1.355*(X173/Flat!X$17)^0.16)</f>
        <v>2810.5726095884775</v>
      </c>
      <c r="Y185" s="349">
        <f>Y179/(1.355*(Y173/Flat!Y$17)^0.16)</f>
        <v>1190.951585020287</v>
      </c>
      <c r="Z185" s="349">
        <f>Z179/(1.355*(Z173/Flat!Z$17)^0.16)</f>
        <v>3357.4576570902586</v>
      </c>
      <c r="AA185" s="349">
        <f>AA179/(1.355*(AA173/Flat!AA$17)^0.16)</f>
        <v>3597.5693381180313</v>
      </c>
      <c r="AB185" s="349">
        <f>AB179/(1.355*(AB173/Flat!AB$17)^0.16)</f>
        <v>2826.3358329832549</v>
      </c>
      <c r="AC185" s="349">
        <f>AC179/(1.355*(AC173/Flat!AC$17)^0.16)</f>
        <v>2876.2478537231591</v>
      </c>
      <c r="AD185" s="349">
        <f>AD179/(1.355*(AD173/Flat!AD$17)^0.16)</f>
        <v>2426.4164262045915</v>
      </c>
      <c r="AE185" s="349">
        <f>AE179/(1.355*(AE173/Flat!AE$17)^0.16)</f>
        <v>3468.8571513840884</v>
      </c>
      <c r="AF185" s="349">
        <f>AF179/(1.355*(AF173/Flat!AF$17)^0.16)</f>
        <v>2514.9053531584996</v>
      </c>
      <c r="AG185" s="349">
        <f>AG179/(1.355*(AG173/Flat!AG$17)^0.16)</f>
        <v>4229.4668071819378</v>
      </c>
      <c r="AH185" s="349">
        <f>AH179/(1.355*(AH173/Flat!AH$17)^0.16)</f>
        <v>2134.74647727004</v>
      </c>
      <c r="AI185" s="349">
        <f>AI179/(1.355*(AI173/Flat!AI$17)^0.16)</f>
        <v>3305.4728868957518</v>
      </c>
      <c r="AJ185" s="349">
        <f>AJ179/(1.355*(AJ173/Flat!AJ$17)^0.16)</f>
        <v>3331.5165528701054</v>
      </c>
      <c r="AK185" s="349">
        <f>AK179/(1.355*(AK173/Flat!AK$17)^0.16)</f>
        <v>3178.6235074597334</v>
      </c>
      <c r="AL185" s="349">
        <f>AL179/(1.355*(AL173/Flat!AL$17)^0.16)</f>
        <v>2987.6799465557078</v>
      </c>
      <c r="AM185" s="349">
        <f>AM179/(1.355*(AM173/Flat!AM$17)^0.16)</f>
        <v>3063.5814433819214</v>
      </c>
      <c r="AN185" s="354">
        <f>AN179/(1.355*(AN173/Flat!AN$17)^0.16)</f>
        <v>3063.5814433819214</v>
      </c>
    </row>
    <row r="186" spans="1:40" s="5" customFormat="1">
      <c r="A186" s="129"/>
      <c r="B186" s="142" t="s">
        <v>6</v>
      </c>
      <c r="C186" s="129" t="s">
        <v>261</v>
      </c>
      <c r="D186" s="345">
        <f>D180/(1.355*(D174/Flat!D$17)^0.16)</f>
        <v>2680.4358890169656</v>
      </c>
      <c r="E186" s="349">
        <f>E180/(1.355*(E174/Flat!E$17)^0.16)</f>
        <v>4107.1065412926264</v>
      </c>
      <c r="F186" s="349">
        <f>F180/(1.355*(F174/Flat!F$17)^0.16)</f>
        <v>2201.4205641418012</v>
      </c>
      <c r="G186" s="349">
        <f>G180/(1.355*(G174/Flat!G$17)^0.16)</f>
        <v>2611.4375393276646</v>
      </c>
      <c r="H186" s="349">
        <f>H180/(1.355*(H174/Flat!H$17)^0.16)</f>
        <v>1422.2910742167649</v>
      </c>
      <c r="I186" s="349">
        <f>I180/(1.355*(I174/Flat!I$17)^0.16)</f>
        <v>2825.4144107494849</v>
      </c>
      <c r="J186" s="349">
        <f>J180/(1.355*(J174/Flat!J$17)^0.16)</f>
        <v>1848.4321458826976</v>
      </c>
      <c r="K186" s="349">
        <f>K180/(1.355*(K174/Flat!K$17)^0.16)</f>
        <v>2390.1206968966221</v>
      </c>
      <c r="L186" s="349">
        <f>L180/(1.355*(L174/Flat!L$17)^0.16)</f>
        <v>1717.987044059272</v>
      </c>
      <c r="M186" s="349">
        <f>M180/(1.355*(M174/Flat!M$17)^0.16)</f>
        <v>3248.7091291591159</v>
      </c>
      <c r="N186" s="349">
        <f>N180/(1.355*(N174/Flat!N$17)^0.16)</f>
        <v>2693.6869355323111</v>
      </c>
      <c r="O186" s="349">
        <f>O180/(1.355*(O174/Flat!O$17)^0.16)</f>
        <v>1711.8172244503755</v>
      </c>
      <c r="P186" s="349">
        <f>P180/(1.355*(P174/Flat!P$17)^0.16)</f>
        <v>4139.4621073407061</v>
      </c>
      <c r="Q186" s="349">
        <f>Q180/(1.355*(Q174/Flat!Q$17)^0.16)</f>
        <v>2511.6436995021909</v>
      </c>
      <c r="R186" s="349">
        <f>R180/(1.355*(R174/Flat!R$17)^0.16)</f>
        <v>2461.3323663820752</v>
      </c>
      <c r="S186" s="349">
        <f>S180/(1.355*(S174/Flat!S$17)^0.16)</f>
        <v>2262.5656508518605</v>
      </c>
      <c r="T186" s="349">
        <f>T180/(1.355*(T174/Flat!T$17)^0.16)</f>
        <v>2784.1957005310169</v>
      </c>
      <c r="U186" s="349">
        <f>U180/(1.355*(U174/Flat!U$17)^0.16)</f>
        <v>3117.6486901214403</v>
      </c>
      <c r="V186" s="349">
        <f>V180/(1.355*(V174/Flat!V$17)^0.16)</f>
        <v>2875.2066417287183</v>
      </c>
      <c r="W186" s="349">
        <f>W180/(1.355*(W174/Flat!W$17)^0.16)</f>
        <v>2622.849700003082</v>
      </c>
      <c r="X186" s="349">
        <f>X180/(1.355*(X174/Flat!X$17)^0.16)</f>
        <v>2783.4749267388911</v>
      </c>
      <c r="Y186" s="349">
        <f>Y180/(1.355*(Y174/Flat!Y$17)^0.16)</f>
        <v>1171.8794126938601</v>
      </c>
      <c r="Z186" s="349">
        <f>Z180/(1.355*(Z174/Flat!Z$17)^0.16)</f>
        <v>3040.557138014482</v>
      </c>
      <c r="AA186" s="349">
        <f>AA180/(1.355*(AA174/Flat!AA$17)^0.16)</f>
        <v>3336.1198248936707</v>
      </c>
      <c r="AB186" s="349">
        <f>AB180/(1.355*(AB174/Flat!AB$17)^0.16)</f>
        <v>2826.3358329832549</v>
      </c>
      <c r="AC186" s="349">
        <f>AC180/(1.355*(AC174/Flat!AC$17)^0.16)</f>
        <v>2748.3861777583124</v>
      </c>
      <c r="AD186" s="349">
        <f>AD180/(1.355*(AD174/Flat!AD$17)^0.16)</f>
        <v>2426.4164262045915</v>
      </c>
      <c r="AE186" s="349">
        <f>AE180/(1.355*(AE174/Flat!AE$17)^0.16)</f>
        <v>3216.7616590012649</v>
      </c>
      <c r="AF186" s="349">
        <f>AF180/(1.355*(AF174/Flat!AF$17)^0.16)</f>
        <v>2082.1881462258839</v>
      </c>
      <c r="AG186" s="349">
        <f>AG180/(1.355*(AG174/Flat!AG$17)^0.16)</f>
        <v>3943.2734429946604</v>
      </c>
      <c r="AH186" s="349">
        <f>AH180/(1.355*(AH174/Flat!AH$17)^0.16)</f>
        <v>1548.3454113479468</v>
      </c>
      <c r="AI186" s="349">
        <f>AI180/(1.355*(AI174/Flat!AI$17)^0.16)</f>
        <v>3305.4728868957518</v>
      </c>
      <c r="AJ186" s="349">
        <f>AJ180/(1.355*(AJ174/Flat!AJ$17)^0.16)</f>
        <v>3259.8101482696793</v>
      </c>
      <c r="AK186" s="349">
        <f>AK180/(1.355*(AK174/Flat!AK$17)^0.16)</f>
        <v>3103.3774025911985</v>
      </c>
      <c r="AL186" s="349">
        <f>AL180/(1.355*(AL174/Flat!AL$17)^0.16)</f>
        <v>2579.6739749830854</v>
      </c>
      <c r="AM186" s="349">
        <f>AM180/(1.355*(AM174/Flat!AM$17)^0.16)</f>
        <v>2997.6419809721524</v>
      </c>
      <c r="AN186" s="354">
        <f>AN180/(1.355*(AN174/Flat!AN$17)^0.16)</f>
        <v>2997.6419809721524</v>
      </c>
    </row>
    <row r="187" spans="1:40" s="5" customFormat="1">
      <c r="A187" s="129"/>
      <c r="B187" s="142" t="s">
        <v>7</v>
      </c>
      <c r="C187" s="129" t="s">
        <v>261</v>
      </c>
      <c r="D187" s="345">
        <f>D181/(1.355*(D175/Flat!D$17)^0.16)</f>
        <v>2452.7922498595781</v>
      </c>
      <c r="E187" s="349">
        <f>E181/(1.355*(E175/Flat!E$17)^0.16)</f>
        <v>2888.3387107801127</v>
      </c>
      <c r="F187" s="349">
        <f>F181/(1.355*(F175/Flat!F$17)^0.16)</f>
        <v>1760.7413297636831</v>
      </c>
      <c r="G187" s="349">
        <f>G181/(1.355*(G175/Flat!G$17)^0.16)</f>
        <v>2389.65378120063</v>
      </c>
      <c r="H187" s="349">
        <f>H181/(1.355*(H175/Flat!H$17)^0.16)</f>
        <v>1262.8947643689482</v>
      </c>
      <c r="I187" s="349">
        <f>I181/(1.355*(I175/Flat!I$17)^0.16)</f>
        <v>2277.4074913007134</v>
      </c>
      <c r="J187" s="349">
        <f>J181/(1.355*(J175/Flat!J$17)^0.16)</f>
        <v>1960.1707824323782</v>
      </c>
      <c r="K187" s="349">
        <f>K181/(1.355*(K175/Flat!K$17)^0.16)</f>
        <v>1812.6240368517749</v>
      </c>
      <c r="L187" s="349">
        <f>L181/(1.355*(L175/Flat!L$17)^0.16)</f>
        <v>1717.987044059272</v>
      </c>
      <c r="M187" s="349">
        <f>M181/(1.355*(M175/Flat!M$17)^0.16)</f>
        <v>2627.6096976534659</v>
      </c>
      <c r="N187" s="349">
        <f>N181/(1.355*(N175/Flat!N$17)^0.16)</f>
        <v>2414.2990660700671</v>
      </c>
      <c r="O187" s="349">
        <f>O181/(1.355*(O175/Flat!O$17)^0.16)</f>
        <v>1662.8980591928671</v>
      </c>
      <c r="P187" s="349">
        <f>P181/(1.355*(P175/Flat!P$17)^0.16)</f>
        <v>2099.2953020620148</v>
      </c>
      <c r="Q187" s="349">
        <f>Q181/(1.355*(Q175/Flat!Q$17)^0.16)</f>
        <v>1792.1551128396802</v>
      </c>
      <c r="R187" s="349">
        <f>R181/(1.355*(R175/Flat!R$17)^0.16)</f>
        <v>1676.5928856639139</v>
      </c>
      <c r="S187" s="349">
        <f>S181/(1.355*(S175/Flat!S$17)^0.16)</f>
        <v>1690.5574185602063</v>
      </c>
      <c r="T187" s="349">
        <f>T181/(1.355*(T175/Flat!T$17)^0.16)</f>
        <v>2520.0446937269689</v>
      </c>
      <c r="U187" s="349">
        <f>U181/(1.355*(U175/Flat!U$17)^0.16)</f>
        <v>2903.7266256468706</v>
      </c>
      <c r="V187" s="349">
        <f>V181/(1.355*(V175/Flat!V$17)^0.16)</f>
        <v>1965.5520776540097</v>
      </c>
      <c r="W187" s="349">
        <f>W181/(1.355*(W175/Flat!W$17)^0.16)</f>
        <v>2203.3749457579761</v>
      </c>
      <c r="X187" s="349">
        <f>X181/(1.355*(X175/Flat!X$17)^0.16)</f>
        <v>1988.9521136880312</v>
      </c>
      <c r="Y187" s="349">
        <f>Y181/(1.355*(Y175/Flat!Y$17)^0.16)</f>
        <v>1158.9312907598762</v>
      </c>
      <c r="Z187" s="349">
        <f>Z181/(1.355*(Z175/Flat!Z$17)^0.16)</f>
        <v>2274.4908818295066</v>
      </c>
      <c r="AA187" s="349">
        <f>AA181/(1.355*(AA175/Flat!AA$17)^0.16)</f>
        <v>2857.0258626489303</v>
      </c>
      <c r="AB187" s="349">
        <f>AB181/(1.355*(AB175/Flat!AB$17)^0.16)</f>
        <v>2489.3911725342768</v>
      </c>
      <c r="AC187" s="349">
        <f>AC181/(1.355*(AC175/Flat!AC$17)^0.16)</f>
        <v>2000.715961678218</v>
      </c>
      <c r="AD187" s="349">
        <f>AD181/(1.355*(AD175/Flat!AD$17)^0.16)</f>
        <v>1958.8739927189602</v>
      </c>
      <c r="AE187" s="349">
        <f>AE181/(1.355*(AE175/Flat!AE$17)^0.16)</f>
        <v>2754.8085009317706</v>
      </c>
      <c r="AF187" s="349">
        <f>AF181/(1.355*(AF175/Flat!AF$17)^0.16)</f>
        <v>1421.0521201421507</v>
      </c>
      <c r="AG187" s="349">
        <f>AG181/(1.355*(AG175/Flat!AG$17)^0.16)</f>
        <v>2646.9288550375209</v>
      </c>
      <c r="AH187" s="349">
        <f>AH181/(1.355*(AH175/Flat!AH$17)^0.16)</f>
        <v>1347.3212565200772</v>
      </c>
      <c r="AI187" s="349">
        <f>AI181/(1.355*(AI175/Flat!AI$17)^0.16)</f>
        <v>1765.59022762786</v>
      </c>
      <c r="AJ187" s="349">
        <f>AJ181/(1.355*(AJ175/Flat!AJ$17)^0.16)</f>
        <v>2937.7185998009895</v>
      </c>
      <c r="AK187" s="349">
        <f>AK181/(1.355*(AK175/Flat!AK$17)^0.16)</f>
        <v>2800.6672415817575</v>
      </c>
      <c r="AL187" s="349">
        <f>AL181/(1.355*(AL175/Flat!AL$17)^0.16)</f>
        <v>2025.2540439232757</v>
      </c>
      <c r="AM187" s="349">
        <f>AM181/(1.355*(AM175/Flat!AM$17)^0.16)</f>
        <v>2701.4544413638801</v>
      </c>
      <c r="AN187" s="354">
        <f>AN181/(1.355*(AN175/Flat!AN$17)^0.16)</f>
        <v>2701.4544413638801</v>
      </c>
    </row>
    <row r="188" spans="1:40" s="5" customFormat="1">
      <c r="A188" s="334" t="s">
        <v>262</v>
      </c>
      <c r="B188" s="359" t="s">
        <v>2</v>
      </c>
      <c r="C188" s="366" t="s">
        <v>190</v>
      </c>
      <c r="D188" s="375">
        <f>D182/Flat!D$4</f>
        <v>64.069000305057372</v>
      </c>
      <c r="E188" s="376">
        <f>E182/Flat!E$4</f>
        <v>62.784503152657514</v>
      </c>
      <c r="F188" s="376">
        <f>F182/Flat!F$4</f>
        <v>44.596468727679074</v>
      </c>
      <c r="G188" s="376">
        <f>G182/Flat!G$4</f>
        <v>62.419770302800707</v>
      </c>
      <c r="H188" s="376">
        <f>H182/Flat!H$4</f>
        <v>21.948144896899827</v>
      </c>
      <c r="I188" s="376">
        <f>I182/Flat!I$4</f>
        <v>67.447854379424115</v>
      </c>
      <c r="J188" s="376">
        <f>J182/Flat!J$4</f>
        <v>74.083775161520165</v>
      </c>
      <c r="K188" s="376">
        <f>K182/Flat!K$4</f>
        <v>42.994046190750495</v>
      </c>
      <c r="L188" s="376">
        <f>L182/Flat!L$4</f>
        <v>58.918833403062116</v>
      </c>
      <c r="M188" s="376">
        <f>M182/Flat!M$4</f>
        <v>57.729723587560962</v>
      </c>
      <c r="N188" s="376">
        <f>N182/Flat!N$4</f>
        <v>67.451285322292406</v>
      </c>
      <c r="O188" s="376">
        <f>O182/Flat!O$4</f>
        <v>67.702134387896166</v>
      </c>
      <c r="P188" s="376">
        <f>P182/Flat!P$4</f>
        <v>58.559391919542414</v>
      </c>
      <c r="Q188" s="376">
        <f>Q182/Flat!Q$4</f>
        <v>55.505273339625226</v>
      </c>
      <c r="R188" s="376">
        <f>R182/Flat!R$4</f>
        <v>63.65841471317691</v>
      </c>
      <c r="S188" s="376">
        <f>S182/Flat!S$4</f>
        <v>54.349207918991048</v>
      </c>
      <c r="T188" s="376">
        <f>T182/Flat!T$4</f>
        <v>70.648442609326452</v>
      </c>
      <c r="U188" s="376">
        <f>U182/Flat!U$4</f>
        <v>46.961750558592826</v>
      </c>
      <c r="V188" s="376">
        <f>V182/Flat!V$4</f>
        <v>73.507951487155978</v>
      </c>
      <c r="W188" s="376">
        <f>W182/Flat!W$4</f>
        <v>65.95269001683414</v>
      </c>
      <c r="X188" s="376">
        <f>X182/Flat!X$4</f>
        <v>84.483752453733118</v>
      </c>
      <c r="Y188" s="376">
        <f>Y182/Flat!Y$4</f>
        <v>15.611598891100133</v>
      </c>
      <c r="Z188" s="376">
        <f>Z182/Flat!Z$4</f>
        <v>66.160392055110933</v>
      </c>
      <c r="AA188" s="376">
        <f>AA182/Flat!AA$4</f>
        <v>68.195639487330197</v>
      </c>
      <c r="AB188" s="376">
        <f>AB182/Flat!AB$4</f>
        <v>82.52931804235989</v>
      </c>
      <c r="AC188" s="376">
        <f>AC182/Flat!AC$4</f>
        <v>31.083094233087952</v>
      </c>
      <c r="AD188" s="376">
        <f>AD182/Flat!AD$4</f>
        <v>57.957652864920803</v>
      </c>
      <c r="AE188" s="376">
        <f>AE182/Flat!AE$4</f>
        <v>65.755767157106902</v>
      </c>
      <c r="AF188" s="376">
        <f>AF182/Flat!AF$4</f>
        <v>62.623345511369926</v>
      </c>
      <c r="AG188" s="376">
        <f>AG182/Flat!AG$4</f>
        <v>86.939342074114066</v>
      </c>
      <c r="AH188" s="376">
        <f>AH182/Flat!AH$4</f>
        <v>60.030938504543485</v>
      </c>
      <c r="AI188" s="376">
        <f>AI182/Flat!AI$4</f>
        <v>46.666797693189196</v>
      </c>
      <c r="AJ188" s="376">
        <f>AJ182/Flat!AJ$4</f>
        <v>56.60007217479896</v>
      </c>
      <c r="AK188" s="376">
        <f>AK182/Flat!AK$4</f>
        <v>47.243814158442916</v>
      </c>
      <c r="AL188" s="376">
        <f>AL182/Flat!AL$4</f>
        <v>52.298393914202201</v>
      </c>
      <c r="AM188" s="376">
        <f>AM182/Flat!AM$4</f>
        <v>52.04804720523093</v>
      </c>
      <c r="AN188" s="377">
        <f>AN182/Flat!AN$4</f>
        <v>52.04804720523093</v>
      </c>
    </row>
    <row r="189" spans="1:40" s="5" customFormat="1">
      <c r="A189" s="154"/>
      <c r="B189" s="347" t="s">
        <v>3</v>
      </c>
      <c r="C189" s="367" t="s">
        <v>190</v>
      </c>
      <c r="D189" s="369">
        <f>D183/Flat!D$4</f>
        <v>63.192765578091482</v>
      </c>
      <c r="E189" s="370">
        <f>E183/Flat!E$4</f>
        <v>62.784503152657514</v>
      </c>
      <c r="F189" s="370">
        <f>F183/Flat!F$4</f>
        <v>44.596468727679074</v>
      </c>
      <c r="G189" s="370">
        <f>G183/Flat!G$4</f>
        <v>61.566091142393553</v>
      </c>
      <c r="H189" s="370">
        <f>H183/Flat!H$4</f>
        <v>21.684489775074201</v>
      </c>
      <c r="I189" s="370">
        <f>I183/Flat!I$4</f>
        <v>59.899673475221263</v>
      </c>
      <c r="J189" s="370">
        <f>J183/Flat!J$4</f>
        <v>67.717469647061705</v>
      </c>
      <c r="K189" s="370">
        <f>K183/Flat!K$4</f>
        <v>41.783797501229529</v>
      </c>
      <c r="L189" s="370">
        <f>L183/Flat!L$4</f>
        <v>58.918833403062116</v>
      </c>
      <c r="M189" s="370">
        <f>M183/Flat!M$4</f>
        <v>55.140245316947102</v>
      </c>
      <c r="N189" s="370">
        <f>N183/Flat!N$4</f>
        <v>63.776319574918979</v>
      </c>
      <c r="O189" s="370">
        <f>O183/Flat!O$4</f>
        <v>67.702134387896166</v>
      </c>
      <c r="P189" s="370">
        <f>P183/Flat!P$4</f>
        <v>58.559391919542414</v>
      </c>
      <c r="Q189" s="370">
        <f>Q183/Flat!Q$4</f>
        <v>56.288609426586298</v>
      </c>
      <c r="R189" s="370">
        <f>R183/Flat!R$4</f>
        <v>63.65841471317691</v>
      </c>
      <c r="S189" s="370">
        <f>S183/Flat!S$4</f>
        <v>55.144434435589091</v>
      </c>
      <c r="T189" s="370">
        <f>T183/Flat!T$4</f>
        <v>67.048698352010064</v>
      </c>
      <c r="U189" s="370">
        <f>U183/Flat!U$4</f>
        <v>46.134247821595658</v>
      </c>
      <c r="V189" s="370">
        <f>V183/Flat!V$4</f>
        <v>73.507951487155978</v>
      </c>
      <c r="W189" s="370">
        <f>W183/Flat!W$4</f>
        <v>59.67378305144068</v>
      </c>
      <c r="X189" s="370">
        <f>X183/Flat!X$4</f>
        <v>82.676744684450995</v>
      </c>
      <c r="Y189" s="370">
        <f>Y183/Flat!Y$4</f>
        <v>15.587235968852552</v>
      </c>
      <c r="Z189" s="370">
        <f>Z183/Flat!Z$4</f>
        <v>56.442545161606489</v>
      </c>
      <c r="AA189" s="370">
        <f>AA183/Flat!AA$4</f>
        <v>67.811758560482104</v>
      </c>
      <c r="AB189" s="370">
        <f>AB183/Flat!AB$4</f>
        <v>65.342398713969217</v>
      </c>
      <c r="AC189" s="370">
        <f>AC183/Flat!AC$4</f>
        <v>30.593767414790101</v>
      </c>
      <c r="AD189" s="370">
        <f>AD183/Flat!AD$4</f>
        <v>54.272880462986976</v>
      </c>
      <c r="AE189" s="370">
        <f>AE183/Flat!AE$4</f>
        <v>65.385620546097144</v>
      </c>
      <c r="AF189" s="370">
        <f>AF183/Flat!AF$4</f>
        <v>62.623345511369926</v>
      </c>
      <c r="AG189" s="370">
        <f>AG183/Flat!AG$4</f>
        <v>79.193142327333646</v>
      </c>
      <c r="AH189" s="370">
        <f>AH183/Flat!AH$4</f>
        <v>60.481051274566504</v>
      </c>
      <c r="AI189" s="370">
        <f>AI183/Flat!AI$4</f>
        <v>46.666797693189196</v>
      </c>
      <c r="AJ189" s="370">
        <f>AJ183/Flat!AJ$4</f>
        <v>56.60007217479896</v>
      </c>
      <c r="AK189" s="370">
        <f>AK183/Flat!AK$4</f>
        <v>47.243814158442916</v>
      </c>
      <c r="AL189" s="370">
        <f>AL183/Flat!AL$4</f>
        <v>52.298393914202201</v>
      </c>
      <c r="AM189" s="370">
        <f>AM183/Flat!AM$4</f>
        <v>52.04804720523093</v>
      </c>
      <c r="AN189" s="371">
        <f>AN183/Flat!AN$4</f>
        <v>52.04804720523093</v>
      </c>
    </row>
    <row r="190" spans="1:40" s="5" customFormat="1">
      <c r="A190" s="154"/>
      <c r="B190" s="347" t="s">
        <v>4</v>
      </c>
      <c r="C190" s="367" t="s">
        <v>190</v>
      </c>
      <c r="D190" s="369">
        <f>D184/Flat!D$4</f>
        <v>54.262456396190963</v>
      </c>
      <c r="E190" s="370">
        <f>E184/Flat!E$4</f>
        <v>62.784503152657514</v>
      </c>
      <c r="F190" s="370">
        <f>F184/Flat!F$4</f>
        <v>43.148534473472189</v>
      </c>
      <c r="G190" s="370">
        <f>G184/Flat!G$4</f>
        <v>52.865661211957729</v>
      </c>
      <c r="H190" s="370">
        <f>H184/Flat!H$4</f>
        <v>24.618549451002796</v>
      </c>
      <c r="I190" s="370">
        <f>I184/Flat!I$4</f>
        <v>59.899673475221263</v>
      </c>
      <c r="J190" s="370">
        <f>J184/Flat!J$4</f>
        <v>52.635463097529765</v>
      </c>
      <c r="K190" s="370">
        <f>K184/Flat!K$4</f>
        <v>33.964006573968774</v>
      </c>
      <c r="L190" s="370">
        <f>L184/Flat!L$4</f>
        <v>52.070493592230186</v>
      </c>
      <c r="M190" s="370">
        <f>M184/Flat!M$4</f>
        <v>55.140245316947102</v>
      </c>
      <c r="N190" s="370">
        <f>N184/Flat!N$4</f>
        <v>56.622999798218743</v>
      </c>
      <c r="O190" s="370">
        <f>O184/Flat!O$4</f>
        <v>43.560558795615826</v>
      </c>
      <c r="P190" s="370">
        <f>P184/Flat!P$4</f>
        <v>58.559391919542414</v>
      </c>
      <c r="Q190" s="370">
        <f>Q184/Flat!Q$4</f>
        <v>49.506593924257196</v>
      </c>
      <c r="R190" s="370">
        <f>R184/Flat!R$4</f>
        <v>60.084999022238321</v>
      </c>
      <c r="S190" s="370">
        <f>S184/Flat!S$4</f>
        <v>47.231089118590091</v>
      </c>
      <c r="T190" s="370">
        <f>T184/Flat!T$4</f>
        <v>59.027252406885999</v>
      </c>
      <c r="U190" s="370">
        <f>U184/Flat!U$4</f>
        <v>42.877435156548344</v>
      </c>
      <c r="V190" s="370">
        <f>V184/Flat!V$4</f>
        <v>55.762390118239935</v>
      </c>
      <c r="W190" s="370">
        <f>W184/Flat!W$4</f>
        <v>41.673287801546728</v>
      </c>
      <c r="X190" s="370">
        <f>X184/Flat!X$4</f>
        <v>79.479004183058038</v>
      </c>
      <c r="Y190" s="370">
        <f>Y184/Flat!Y$4</f>
        <v>15.175607154043432</v>
      </c>
      <c r="Z190" s="370">
        <f>Z184/Flat!Z$4</f>
        <v>54.799927483899879</v>
      </c>
      <c r="AA190" s="370">
        <f>AA184/Flat!AA$4</f>
        <v>54.791248236433638</v>
      </c>
      <c r="AB190" s="370">
        <f>AB184/Flat!AB$4</f>
        <v>53.85575656933586</v>
      </c>
      <c r="AC190" s="370">
        <f>AC184/Flat!AC$4</f>
        <v>30.0524843017044</v>
      </c>
      <c r="AD190" s="370">
        <f>AD184/Flat!AD$4</f>
        <v>54.272880462986976</v>
      </c>
      <c r="AE190" s="370">
        <f>AE184/Flat!AE$4</f>
        <v>52.83095207211209</v>
      </c>
      <c r="AF190" s="370">
        <f>AF184/Flat!AF$4</f>
        <v>57.217520286480493</v>
      </c>
      <c r="AG190" s="370">
        <f>AG184/Flat!AG$4</f>
        <v>79.193142327333646</v>
      </c>
      <c r="AH190" s="370">
        <f>AH184/Flat!AH$4</f>
        <v>52.624795504748199</v>
      </c>
      <c r="AI190" s="370">
        <f>AI184/Flat!AI$4</f>
        <v>46.666797693189196</v>
      </c>
      <c r="AJ190" s="370">
        <f>AJ184/Flat!AJ$4</f>
        <v>56.60007217479896</v>
      </c>
      <c r="AK190" s="370">
        <f>AK184/Flat!AK$4</f>
        <v>47.243814158442916</v>
      </c>
      <c r="AL190" s="370">
        <f>AL184/Flat!AL$4</f>
        <v>50.676945201442535</v>
      </c>
      <c r="AM190" s="370">
        <f>AM184/Flat!AM$4</f>
        <v>52.04804720523093</v>
      </c>
      <c r="AN190" s="371">
        <f>AN184/Flat!AN$4</f>
        <v>52.04804720523093</v>
      </c>
    </row>
    <row r="191" spans="1:40" s="5" customFormat="1">
      <c r="A191" s="154"/>
      <c r="B191" s="347" t="s">
        <v>5</v>
      </c>
      <c r="C191" s="367" t="s">
        <v>190</v>
      </c>
      <c r="D191" s="369">
        <f>D185/Flat!D$4</f>
        <v>41.930806568218074</v>
      </c>
      <c r="E191" s="370">
        <f>E185/Flat!E$4</f>
        <v>56.078550169538339</v>
      </c>
      <c r="F191" s="370">
        <f>F185/Flat!F$4</f>
        <v>39.928304013851879</v>
      </c>
      <c r="G191" s="370">
        <f>G185/Flat!G$4</f>
        <v>40.851446130535919</v>
      </c>
      <c r="H191" s="370">
        <f>H185/Flat!H$4</f>
        <v>23.981000256329793</v>
      </c>
      <c r="I191" s="370">
        <f>I185/Flat!I$4</f>
        <v>56.138296429927856</v>
      </c>
      <c r="J191" s="370">
        <f>J185/Flat!J$4</f>
        <v>44.877107630545105</v>
      </c>
      <c r="K191" s="370">
        <f>K185/Flat!K$4</f>
        <v>30.486233378783442</v>
      </c>
      <c r="L191" s="370">
        <f>L185/Flat!L$4</f>
        <v>39.688197075699449</v>
      </c>
      <c r="M191" s="370">
        <f>M185/Flat!M$4</f>
        <v>37.614029012253603</v>
      </c>
      <c r="N191" s="370">
        <f>N185/Flat!N$4</f>
        <v>48.460382664714849</v>
      </c>
      <c r="O191" s="370">
        <f>O185/Flat!O$4</f>
        <v>38.779860496067187</v>
      </c>
      <c r="P191" s="370">
        <f>P185/Flat!P$4</f>
        <v>56.704960374530224</v>
      </c>
      <c r="Q191" s="370">
        <f>Q185/Flat!Q$4</f>
        <v>49.506593924257196</v>
      </c>
      <c r="R191" s="370">
        <f>R185/Flat!R$4</f>
        <v>52.666263061669717</v>
      </c>
      <c r="S191" s="370">
        <f>S185/Flat!S$4</f>
        <v>35.234227557172133</v>
      </c>
      <c r="T191" s="370">
        <f>T185/Flat!T$4</f>
        <v>50.11563151209058</v>
      </c>
      <c r="U191" s="370">
        <f>U185/Flat!U$4</f>
        <v>35.898213357118152</v>
      </c>
      <c r="V191" s="370">
        <f>V185/Flat!V$4</f>
        <v>55.762390118239935</v>
      </c>
      <c r="W191" s="370">
        <f>W185/Flat!W$4</f>
        <v>34.83561866437509</v>
      </c>
      <c r="X191" s="370">
        <f>X185/Flat!X$4</f>
        <v>54.574225428902473</v>
      </c>
      <c r="Y191" s="370">
        <f>Y185/Flat!Y$4</f>
        <v>14.00601256368393</v>
      </c>
      <c r="Z191" s="370">
        <f>Z185/Flat!Z$4</f>
        <v>44.293636637074655</v>
      </c>
      <c r="AA191" s="370">
        <f>AA185/Flat!AA$4</f>
        <v>53.855828414940589</v>
      </c>
      <c r="AB191" s="370">
        <f>AB185/Flat!AB$4</f>
        <v>53.85575656933586</v>
      </c>
      <c r="AC191" s="370">
        <f>AC185/Flat!AC$4</f>
        <v>29.756289816797324</v>
      </c>
      <c r="AD191" s="370">
        <f>AD185/Flat!AD$4</f>
        <v>50.602690696120796</v>
      </c>
      <c r="AE191" s="370">
        <f>AE185/Flat!AE$4</f>
        <v>51.928999272216892</v>
      </c>
      <c r="AF191" s="370">
        <f>AF185/Flat!AF$4</f>
        <v>48.775462950548288</v>
      </c>
      <c r="AG191" s="370">
        <f>AG185/Flat!AG$4</f>
        <v>69.049260175849298</v>
      </c>
      <c r="AH191" s="370">
        <f>AH185/Flat!AH$4</f>
        <v>44.097221178889491</v>
      </c>
      <c r="AI191" s="370">
        <f>AI185/Flat!AI$4</f>
        <v>45.280450505421257</v>
      </c>
      <c r="AJ191" s="370">
        <f>AJ185/Flat!AJ$4</f>
        <v>52.372187390451344</v>
      </c>
      <c r="AK191" s="370">
        <f>AK185/Flat!AK$4</f>
        <v>43.542787773421004</v>
      </c>
      <c r="AL191" s="370">
        <f>AL185/Flat!AL$4</f>
        <v>46.966998824877201</v>
      </c>
      <c r="AM191" s="370">
        <f>AM185/Flat!AM$4</f>
        <v>48.160187377872269</v>
      </c>
      <c r="AN191" s="371">
        <f>AN185/Flat!AN$4</f>
        <v>48.160187377872269</v>
      </c>
    </row>
    <row r="192" spans="1:40" s="5" customFormat="1">
      <c r="A192" s="154"/>
      <c r="B192" s="347" t="s">
        <v>6</v>
      </c>
      <c r="C192" s="367" t="s">
        <v>190</v>
      </c>
      <c r="D192" s="369">
        <f>D186/Flat!D$4</f>
        <v>37.453695464018658</v>
      </c>
      <c r="E192" s="370">
        <f>E186/Flat!E$4</f>
        <v>56.078550169538339</v>
      </c>
      <c r="F192" s="370">
        <f>F186/Flat!F$4</f>
        <v>34.14099429175478</v>
      </c>
      <c r="G192" s="370">
        <f>G186/Flat!G$4</f>
        <v>36.489582430249847</v>
      </c>
      <c r="H192" s="370">
        <f>H186/Flat!H$4</f>
        <v>19.483439372832397</v>
      </c>
      <c r="I192" s="370">
        <f>I186/Flat!I$4</f>
        <v>46.327757105229516</v>
      </c>
      <c r="J192" s="370">
        <f>J186/Flat!J$4</f>
        <v>29.476634048318477</v>
      </c>
      <c r="K192" s="370">
        <f>K186/Flat!K$4</f>
        <v>30.486233378783442</v>
      </c>
      <c r="L192" s="370">
        <f>L186/Flat!L$4</f>
        <v>35.941880161948724</v>
      </c>
      <c r="M192" s="370">
        <f>M186/Flat!M$4</f>
        <v>37.614029012253603</v>
      </c>
      <c r="N192" s="370">
        <f>N186/Flat!N$4</f>
        <v>48.101552420219839</v>
      </c>
      <c r="O192" s="370">
        <f>O186/Flat!O$4</f>
        <v>25.96648882905944</v>
      </c>
      <c r="P192" s="370">
        <f>P186/Flat!P$4</f>
        <v>56.704960374530224</v>
      </c>
      <c r="Q192" s="370">
        <f>Q186/Flat!Q$4</f>
        <v>39.483602257672445</v>
      </c>
      <c r="R192" s="370">
        <f>R186/Flat!R$4</f>
        <v>52.666263061669717</v>
      </c>
      <c r="S192" s="370">
        <f>S186/Flat!S$4</f>
        <v>34.000527565458249</v>
      </c>
      <c r="T192" s="370">
        <f>T186/Flat!T$4</f>
        <v>49.717780366625298</v>
      </c>
      <c r="U192" s="370">
        <f>U186/Flat!U$4</f>
        <v>34.335337996932161</v>
      </c>
      <c r="V192" s="370">
        <f>V186/Flat!V$4</f>
        <v>55.762390118239935</v>
      </c>
      <c r="W192" s="370">
        <f>W186/Flat!W$4</f>
        <v>30.569306412889379</v>
      </c>
      <c r="X192" s="370">
        <f>X186/Flat!X$4</f>
        <v>54.048056829881382</v>
      </c>
      <c r="Y192" s="370">
        <f>Y186/Flat!Y$4</f>
        <v>13.781717060339744</v>
      </c>
      <c r="Z192" s="370">
        <f>Z186/Flat!Z$4</f>
        <v>40.112891002829578</v>
      </c>
      <c r="AA192" s="370">
        <f>AA186/Flat!AA$4</f>
        <v>49.941913546312435</v>
      </c>
      <c r="AB192" s="370">
        <f>AB186/Flat!AB$4</f>
        <v>53.85575656933586</v>
      </c>
      <c r="AC192" s="370">
        <f>AC186/Flat!AC$4</f>
        <v>28.433493840940645</v>
      </c>
      <c r="AD192" s="370">
        <f>AD186/Flat!AD$4</f>
        <v>50.602690696120796</v>
      </c>
      <c r="AE192" s="370">
        <f>AE186/Flat!AE$4</f>
        <v>48.155114655707557</v>
      </c>
      <c r="AF192" s="370">
        <f>AF186/Flat!AF$4</f>
        <v>40.383106527154744</v>
      </c>
      <c r="AG192" s="370">
        <f>AG186/Flat!AG$4</f>
        <v>64.376935988126021</v>
      </c>
      <c r="AH192" s="370">
        <f>AH186/Flat!AH$4</f>
        <v>31.983999408137716</v>
      </c>
      <c r="AI192" s="370">
        <f>AI186/Flat!AI$4</f>
        <v>45.280450505421257</v>
      </c>
      <c r="AJ192" s="370">
        <f>AJ186/Flat!AJ$4</f>
        <v>51.244946628104316</v>
      </c>
      <c r="AK192" s="370">
        <f>AK186/Flat!AK$4</f>
        <v>42.512019213578064</v>
      </c>
      <c r="AL192" s="370">
        <f>AL186/Flat!AL$4</f>
        <v>40.553053445792756</v>
      </c>
      <c r="AM192" s="370">
        <f>AM186/Flat!AM$4</f>
        <v>47.123604240149319</v>
      </c>
      <c r="AN192" s="371">
        <f>AN186/Flat!AN$4</f>
        <v>47.123604240149319</v>
      </c>
    </row>
    <row r="193" spans="1:40" s="5" customFormat="1">
      <c r="A193" s="155"/>
      <c r="B193" s="338" t="s">
        <v>7</v>
      </c>
      <c r="C193" s="368" t="s">
        <v>190</v>
      </c>
      <c r="D193" s="378">
        <f>D187/Flat!D$4</f>
        <v>34.272833884654922</v>
      </c>
      <c r="E193" s="379">
        <f>E187/Flat!E$4</f>
        <v>39.437459357488287</v>
      </c>
      <c r="F193" s="379">
        <f>F187/Flat!F$4</f>
        <v>27.306667643560044</v>
      </c>
      <c r="G193" s="379">
        <f>G187/Flat!G$4</f>
        <v>33.390600891541254</v>
      </c>
      <c r="H193" s="379">
        <f>H187/Flat!H$4</f>
        <v>17.299928279026688</v>
      </c>
      <c r="I193" s="379">
        <f>I187/Flat!I$4</f>
        <v>37.342196842063302</v>
      </c>
      <c r="J193" s="379">
        <f>J187/Flat!J$4</f>
        <v>31.258511141275083</v>
      </c>
      <c r="K193" s="379">
        <f>K187/Flat!K$4</f>
        <v>23.1202045516808</v>
      </c>
      <c r="L193" s="379">
        <f>L187/Flat!L$4</f>
        <v>35.941880161948724</v>
      </c>
      <c r="M193" s="379">
        <f>M187/Flat!M$4</f>
        <v>30.422849036656746</v>
      </c>
      <c r="N193" s="379">
        <f>N187/Flat!N$4</f>
        <v>43.112483322679772</v>
      </c>
      <c r="O193" s="379">
        <f>O187/Flat!O$4</f>
        <v>25.224435915908121</v>
      </c>
      <c r="P193" s="379">
        <f>P187/Flat!P$4</f>
        <v>28.757469891260477</v>
      </c>
      <c r="Q193" s="379">
        <f>Q187/Flat!Q$4</f>
        <v>28.173080311288111</v>
      </c>
      <c r="R193" s="379">
        <f>R187/Flat!R$4</f>
        <v>35.874830709471418</v>
      </c>
      <c r="S193" s="379">
        <f>S187/Flat!S$4</f>
        <v>25.404718793067932</v>
      </c>
      <c r="T193" s="379">
        <f>T187/Flat!T$4</f>
        <v>45.000798102267304</v>
      </c>
      <c r="U193" s="379">
        <f>U187/Flat!U$4</f>
        <v>31.979368123864216</v>
      </c>
      <c r="V193" s="379">
        <f>V187/Flat!V$4</f>
        <v>38.120349390247853</v>
      </c>
      <c r="W193" s="379">
        <f>W187/Flat!W$4</f>
        <v>25.680329246193534</v>
      </c>
      <c r="X193" s="379">
        <f>X187/Flat!X$4</f>
        <v>38.620429392000609</v>
      </c>
      <c r="Y193" s="379">
        <f>Y187/Flat!Y$4</f>
        <v>13.629442559205931</v>
      </c>
      <c r="Z193" s="379">
        <f>Z187/Flat!Z$4</f>
        <v>30.006476013581882</v>
      </c>
      <c r="AA193" s="379">
        <f>AA187/Flat!AA$4</f>
        <v>42.769848243247459</v>
      </c>
      <c r="AB193" s="379">
        <f>AB187/Flat!AB$4</f>
        <v>47.435284734846256</v>
      </c>
      <c r="AC193" s="379">
        <f>AC187/Flat!AC$4</f>
        <v>20.698454036124108</v>
      </c>
      <c r="AD193" s="379">
        <f>AD187/Flat!AD$4</f>
        <v>40.8521363834003</v>
      </c>
      <c r="AE193" s="379">
        <f>AE187/Flat!AE$4</f>
        <v>41.239648217541479</v>
      </c>
      <c r="AF193" s="379">
        <f>AF187/Flat!AF$4</f>
        <v>27.56066941037809</v>
      </c>
      <c r="AG193" s="379">
        <f>AG187/Flat!AG$4</f>
        <v>43.213125320689286</v>
      </c>
      <c r="AH193" s="379">
        <f>AH187/Flat!AH$4</f>
        <v>27.831465740964209</v>
      </c>
      <c r="AI193" s="379">
        <f>AI187/Flat!AI$4</f>
        <v>24.186167501751509</v>
      </c>
      <c r="AJ193" s="379">
        <f>AJ187/Flat!AJ$4</f>
        <v>46.181595248760125</v>
      </c>
      <c r="AK193" s="379">
        <f>AK187/Flat!AK$4</f>
        <v>38.365304679202154</v>
      </c>
      <c r="AL193" s="379">
        <f>AL187/Flat!AL$4</f>
        <v>31.837447786426978</v>
      </c>
      <c r="AM193" s="379">
        <f>AM187/Flat!AM$4</f>
        <v>42.467469689739367</v>
      </c>
      <c r="AN193" s="380">
        <f>AN187/Flat!AN$4</f>
        <v>42.467469689739367</v>
      </c>
    </row>
    <row r="194" spans="1:40" s="5" customFormat="1">
      <c r="A194" s="334" t="s">
        <v>299</v>
      </c>
      <c r="B194" s="359" t="s">
        <v>2</v>
      </c>
      <c r="C194" s="366" t="s">
        <v>190</v>
      </c>
      <c r="D194" s="376">
        <f>Flat!D$48-D188</f>
        <v>41.734112023170084</v>
      </c>
      <c r="E194" s="376">
        <f>Flat!E$48-E188</f>
        <v>39.944981950169826</v>
      </c>
      <c r="F194" s="376">
        <f>Flat!F$48-F188</f>
        <v>23.52916945841104</v>
      </c>
      <c r="G194" s="376">
        <f>Flat!G$48-G188</f>
        <v>40.659814791460086</v>
      </c>
      <c r="H194" s="376">
        <f>Flat!H$48-H188</f>
        <v>12.422014288345004</v>
      </c>
      <c r="I194" s="376">
        <f>Flat!I$48-I188</f>
        <v>19.365724036940719</v>
      </c>
      <c r="J194" s="376">
        <f>Flat!J$48-J188</f>
        <v>45.705111117649835</v>
      </c>
      <c r="K194" s="376">
        <f>Flat!K$48-K188</f>
        <v>14.068058979257898</v>
      </c>
      <c r="L194" s="376">
        <f>Flat!L$48-L188</f>
        <v>11.995700107562961</v>
      </c>
      <c r="M194" s="376">
        <f>Flat!M$48-M188</f>
        <v>42.861052353355667</v>
      </c>
      <c r="N194" s="376">
        <f>Flat!N$48-N188</f>
        <v>12.194212398900987</v>
      </c>
      <c r="O194" s="376">
        <f>Flat!O$48-O188</f>
        <v>51.286937762379594</v>
      </c>
      <c r="P194" s="376">
        <f>Flat!P$48-P188</f>
        <v>35.135274631411043</v>
      </c>
      <c r="Q194" s="376">
        <f>Flat!Q$48-Q188</f>
        <v>24.299309140269834</v>
      </c>
      <c r="R194" s="376">
        <f>Flat!R$48-R188</f>
        <v>42.220325345248028</v>
      </c>
      <c r="S194" s="376">
        <f>Flat!S$48-S188</f>
        <v>18.28896431994702</v>
      </c>
      <c r="T194" s="376">
        <f>Flat!T$48-T188</f>
        <v>17.765304562234093</v>
      </c>
      <c r="U194" s="376">
        <f>Flat!U$48-U188</f>
        <v>23.827074526532854</v>
      </c>
      <c r="V194" s="376">
        <f>Flat!V$48-V188</f>
        <v>30.581941012122229</v>
      </c>
      <c r="W194" s="376">
        <f>Flat!W$48-W188</f>
        <v>18.628239543884817</v>
      </c>
      <c r="X194" s="376">
        <f>Flat!X$48-X188</f>
        <v>31.839932395312104</v>
      </c>
      <c r="Y194" s="376">
        <f>Flat!Y$48-Y188</f>
        <v>11.673104419506398</v>
      </c>
      <c r="Z194" s="376">
        <f>Flat!Z$48-Z188</f>
        <v>39.14214619612369</v>
      </c>
      <c r="AA194" s="376">
        <f>Flat!AA$48-AA188</f>
        <v>13.404193675530323</v>
      </c>
      <c r="AB194" s="376">
        <f>Flat!AB$48-AB188</f>
        <v>43.151799116199996</v>
      </c>
      <c r="AC194" s="376">
        <f>Flat!AC$48-AC188</f>
        <v>17.103928918448315</v>
      </c>
      <c r="AD194" s="376">
        <f>Flat!AD$48-AD188</f>
        <v>25.728441262486911</v>
      </c>
      <c r="AE194" s="376">
        <f>Flat!AE$48-AE188</f>
        <v>12.924624578389512</v>
      </c>
      <c r="AF194" s="376">
        <f>Flat!AF$48-AF188</f>
        <v>35.770524365787459</v>
      </c>
      <c r="AG194" s="376">
        <f>Flat!AG$48-AG188</f>
        <v>39.606660345907471</v>
      </c>
      <c r="AH194" s="376">
        <f>Flat!AH$48-AH188</f>
        <v>29.112231567853982</v>
      </c>
      <c r="AI194" s="376">
        <f>Flat!AI$48-AI188</f>
        <v>27.961681230023743</v>
      </c>
      <c r="AJ194" s="376">
        <f>Flat!AJ$48-AJ188</f>
        <v>32.741648532616445</v>
      </c>
      <c r="AK194" s="376">
        <f>Flat!AK$48-AK188</f>
        <v>27.476659211301339</v>
      </c>
      <c r="AL194" s="376">
        <f>Flat!AL$48-AL188</f>
        <v>34.432921624552471</v>
      </c>
      <c r="AM194" s="376">
        <f>Flat!AM$48-AM188</f>
        <v>30.10842217903506</v>
      </c>
      <c r="AN194" s="377">
        <f>Flat!AN$48-AN188</f>
        <v>30.10842217903506</v>
      </c>
    </row>
    <row r="195" spans="1:40" s="5" customFormat="1">
      <c r="A195" s="154"/>
      <c r="B195" s="347" t="s">
        <v>3</v>
      </c>
      <c r="C195" s="367" t="s">
        <v>190</v>
      </c>
      <c r="D195" s="370">
        <f>Flat!D$49-D189</f>
        <v>32.379945601461515</v>
      </c>
      <c r="E195" s="370">
        <f>Flat!E$49-E189</f>
        <v>39.944981950169826</v>
      </c>
      <c r="F195" s="370">
        <f>Flat!F$49-F189</f>
        <v>23.52916945841104</v>
      </c>
      <c r="G195" s="370">
        <f>Flat!G$49-G189</f>
        <v>31.546438328004747</v>
      </c>
      <c r="H195" s="370">
        <f>Flat!H$49-H189</f>
        <v>9.8749634282206635</v>
      </c>
      <c r="I195" s="370">
        <f>Flat!I$49-I189</f>
        <v>18.343869860783613</v>
      </c>
      <c r="J195" s="370">
        <f>Flat!J$49-J189</f>
        <v>31.152858215696909</v>
      </c>
      <c r="K195" s="370">
        <f>Flat!K$49-K189</f>
        <v>14.262263536620893</v>
      </c>
      <c r="L195" s="370">
        <f>Flat!L$49-L189</f>
        <v>11.995700107562961</v>
      </c>
      <c r="M195" s="370">
        <f>Flat!M$49-M189</f>
        <v>35.244658690898731</v>
      </c>
      <c r="N195" s="370">
        <f>Flat!N$49-N189</f>
        <v>11.059247124407698</v>
      </c>
      <c r="O195" s="370">
        <f>Flat!O$49-O189</f>
        <v>51.286937762379594</v>
      </c>
      <c r="P195" s="370">
        <f>Flat!P$49-P189</f>
        <v>35.135274631411043</v>
      </c>
      <c r="Q195" s="370">
        <f>Flat!Q$49-Q189</f>
        <v>28.858812646286815</v>
      </c>
      <c r="R195" s="370">
        <f>Flat!R$49-R189</f>
        <v>42.220325345248028</v>
      </c>
      <c r="S195" s="370">
        <f>Flat!S$49-S189</f>
        <v>18.246523571436683</v>
      </c>
      <c r="T195" s="370">
        <f>Flat!T$49-T189</f>
        <v>16.105167167854162</v>
      </c>
      <c r="U195" s="370">
        <f>Flat!U$49-U189</f>
        <v>20.557652497281047</v>
      </c>
      <c r="V195" s="370">
        <f>Flat!V$49-V189</f>
        <v>30.581941012122229</v>
      </c>
      <c r="W195" s="370">
        <f>Flat!W$49-W189</f>
        <v>34.418548979882843</v>
      </c>
      <c r="X195" s="370">
        <f>Flat!X$49-X189</f>
        <v>31.947835735503972</v>
      </c>
      <c r="Y195" s="370">
        <f>Flat!Y$49-Y189</f>
        <v>11.675563872984727</v>
      </c>
      <c r="Z195" s="370">
        <f>Flat!Z$49-Z189</f>
        <v>32.176708201410108</v>
      </c>
      <c r="AA195" s="370">
        <f>Flat!AA$49-AA189</f>
        <v>13.41713152686701</v>
      </c>
      <c r="AB195" s="370">
        <f>Flat!AB$49-AB189</f>
        <v>27.997178126640478</v>
      </c>
      <c r="AC195" s="370">
        <f>Flat!AC$49-AC189</f>
        <v>11.889117639792872</v>
      </c>
      <c r="AD195" s="370">
        <f>Flat!AD$49-AD189</f>
        <v>22.572377860877438</v>
      </c>
      <c r="AE195" s="370">
        <f>Flat!AE$49-AE189</f>
        <v>12.93709954521151</v>
      </c>
      <c r="AF195" s="370">
        <f>Flat!AF$49-AF189</f>
        <v>35.770524365787459</v>
      </c>
      <c r="AG195" s="370">
        <f>Flat!AG$49-AG189</f>
        <v>29.850591907839913</v>
      </c>
      <c r="AH195" s="370">
        <f>Flat!AH$49-AH189</f>
        <v>32.507987950345175</v>
      </c>
      <c r="AI195" s="370">
        <f>Flat!AI$49-AI189</f>
        <v>27.961681230023743</v>
      </c>
      <c r="AJ195" s="370">
        <f>Flat!AJ$49-AJ189</f>
        <v>32.741648532616445</v>
      </c>
      <c r="AK195" s="370">
        <f>Flat!AK$49-AK189</f>
        <v>27.476659211301339</v>
      </c>
      <c r="AL195" s="370">
        <f>Flat!AL$49-AL189</f>
        <v>34.432921624552471</v>
      </c>
      <c r="AM195" s="370">
        <f>Flat!AM$49-AM189</f>
        <v>30.10842217903506</v>
      </c>
      <c r="AN195" s="371">
        <f>Flat!AN$49-AN189</f>
        <v>30.10842217903506</v>
      </c>
    </row>
    <row r="196" spans="1:40" s="5" customFormat="1">
      <c r="A196" s="154"/>
      <c r="B196" s="347" t="s">
        <v>4</v>
      </c>
      <c r="C196" s="367" t="s">
        <v>190</v>
      </c>
      <c r="D196" s="370">
        <f>Flat!D$50-D190</f>
        <v>23.767578495560635</v>
      </c>
      <c r="E196" s="370">
        <f>Flat!E$50-E190</f>
        <v>39.944981950169826</v>
      </c>
      <c r="F196" s="370">
        <f>Flat!F$50-F190</f>
        <v>21.391486403164357</v>
      </c>
      <c r="G196" s="370">
        <f>Flat!G$50-G190</f>
        <v>23.155766178383359</v>
      </c>
      <c r="H196" s="370">
        <f>Flat!H$50-H190</f>
        <v>7.197771093351939</v>
      </c>
      <c r="I196" s="370">
        <f>Flat!I$50-I190</f>
        <v>18.343869860783613</v>
      </c>
      <c r="J196" s="370">
        <f>Flat!J$50-J190</f>
        <v>14.709800930141085</v>
      </c>
      <c r="K196" s="370">
        <f>Flat!K$50-K190</f>
        <v>6.3859288965705971</v>
      </c>
      <c r="L196" s="370">
        <f>Flat!L$50-L190</f>
        <v>6.7313677327276764</v>
      </c>
      <c r="M196" s="370">
        <f>Flat!M$50-M190</f>
        <v>35.244658690898731</v>
      </c>
      <c r="N196" s="370">
        <f>Flat!N$50-N190</f>
        <v>6.7101603623011954</v>
      </c>
      <c r="O196" s="370">
        <f>Flat!O$50-O190</f>
        <v>16.798262235643776</v>
      </c>
      <c r="P196" s="370">
        <f>Flat!P$50-P190</f>
        <v>35.135274631411043</v>
      </c>
      <c r="Q196" s="370">
        <f>Flat!Q$50-Q190</f>
        <v>24.721724438526643</v>
      </c>
      <c r="R196" s="370">
        <f>Flat!R$50-R190</f>
        <v>32.482263774385402</v>
      </c>
      <c r="S196" s="370">
        <f>Flat!S$50-S190</f>
        <v>18.698196021152199</v>
      </c>
      <c r="T196" s="370">
        <f>Flat!T$50-T190</f>
        <v>9.8019566557853679</v>
      </c>
      <c r="U196" s="370">
        <f>Flat!U$50-U190</f>
        <v>20.785980133520091</v>
      </c>
      <c r="V196" s="370">
        <f>Flat!V$50-V190</f>
        <v>12.998339048558208</v>
      </c>
      <c r="W196" s="370">
        <f>Flat!W$50-W190</f>
        <v>9.9420682191567167</v>
      </c>
      <c r="X196" s="370">
        <f>Flat!X$50-X190</f>
        <v>27.688213995428413</v>
      </c>
      <c r="Y196" s="370">
        <f>Flat!Y$50-Y190</f>
        <v>6.6631495665107305</v>
      </c>
      <c r="Z196" s="370">
        <f>Flat!Z$50-Z190</f>
        <v>32.313725734688774</v>
      </c>
      <c r="AA196" s="370">
        <f>Flat!AA$50-AA190</f>
        <v>4.6665588874405017</v>
      </c>
      <c r="AB196" s="370">
        <f>Flat!AB$50-AB190</f>
        <v>13.761074927931041</v>
      </c>
      <c r="AC196" s="370">
        <f>Flat!AC$50-AC190</f>
        <v>11.922209817580839</v>
      </c>
      <c r="AD196" s="370">
        <f>Flat!AD$50-AD190</f>
        <v>22.572377860877438</v>
      </c>
      <c r="AE196" s="370">
        <f>Flat!AE$50-AE190</f>
        <v>4.4996008826117517</v>
      </c>
      <c r="AF196" s="370">
        <f>Flat!AF$50-AF190</f>
        <v>36.234113269044087</v>
      </c>
      <c r="AG196" s="370">
        <f>Flat!AG$50-AG190</f>
        <v>29.850591907839913</v>
      </c>
      <c r="AH196" s="370">
        <f>Flat!AH$50-AH190</f>
        <v>25.377549917111686</v>
      </c>
      <c r="AI196" s="370">
        <f>Flat!AI$50-AI190</f>
        <v>27.961681230023743</v>
      </c>
      <c r="AJ196" s="370">
        <f>Flat!AJ$50-AJ190</f>
        <v>32.741648532616445</v>
      </c>
      <c r="AK196" s="370">
        <f>Flat!AK$50-AK190</f>
        <v>27.476659211301339</v>
      </c>
      <c r="AL196" s="370">
        <f>Flat!AL$50-AL190</f>
        <v>31.310366726018685</v>
      </c>
      <c r="AM196" s="370">
        <f>Flat!AM$50-AM190</f>
        <v>30.10842217903506</v>
      </c>
      <c r="AN196" s="371">
        <f>Flat!AN$50-AN190</f>
        <v>30.10842217903506</v>
      </c>
    </row>
    <row r="197" spans="1:40" s="5" customFormat="1">
      <c r="A197" s="154"/>
      <c r="B197" s="347" t="s">
        <v>5</v>
      </c>
      <c r="C197" s="367" t="s">
        <v>190</v>
      </c>
      <c r="D197" s="370">
        <f>Flat!D$51-D191</f>
        <v>13.217890480702337</v>
      </c>
      <c r="E197" s="370">
        <f>Flat!E$51-E191</f>
        <v>32.497520550752633</v>
      </c>
      <c r="F197" s="370">
        <f>Flat!F$51-F191</f>
        <v>16.230851744864765</v>
      </c>
      <c r="G197" s="370">
        <f>Flat!G$51-G191</f>
        <v>12.877642600393258</v>
      </c>
      <c r="H197" s="370">
        <f>Flat!H$51-H191</f>
        <v>7.2285691792922755</v>
      </c>
      <c r="I197" s="370">
        <f>Flat!I$51-I191</f>
        <v>15.210317926053996</v>
      </c>
      <c r="J197" s="370">
        <f>Flat!J$51-J191</f>
        <v>12.718947755725168</v>
      </c>
      <c r="K197" s="370">
        <f>Flat!K$51-K191</f>
        <v>3.7518369848988904</v>
      </c>
      <c r="L197" s="370">
        <f>Flat!L$51-L191</f>
        <v>4.539592041597615</v>
      </c>
      <c r="M197" s="370">
        <f>Flat!M$51-M191</f>
        <v>26.021046402352546</v>
      </c>
      <c r="N197" s="370">
        <f>Flat!N$51-N191</f>
        <v>3.8150165519805483</v>
      </c>
      <c r="O197" s="370">
        <f>Flat!O$51-O191</f>
        <v>13.304272661107845</v>
      </c>
      <c r="P197" s="370">
        <f>Flat!P$51-P191</f>
        <v>35.296305139430707</v>
      </c>
      <c r="Q197" s="370">
        <f>Flat!Q$51-Q191</f>
        <v>24.721724438526643</v>
      </c>
      <c r="R197" s="370">
        <f>Flat!R$51-R191</f>
        <v>16.833309577060895</v>
      </c>
      <c r="S197" s="370">
        <f>Flat!S$51-S191</f>
        <v>10.964477819637075</v>
      </c>
      <c r="T197" s="370">
        <f>Flat!T$51-T191</f>
        <v>5.5881011856834633</v>
      </c>
      <c r="U197" s="370">
        <f>Flat!U$51-U191</f>
        <v>11.343941341977676</v>
      </c>
      <c r="V197" s="370">
        <f>Flat!V$51-V191</f>
        <v>12.998339048558208</v>
      </c>
      <c r="W197" s="370">
        <f>Flat!W$51-W191</f>
        <v>8.9301592833574617</v>
      </c>
      <c r="X197" s="370">
        <f>Flat!X$51-X191</f>
        <v>12.127902341688149</v>
      </c>
      <c r="Y197" s="370">
        <f>Flat!Y$51-Y191</f>
        <v>6.7444397612376097</v>
      </c>
      <c r="Z197" s="370">
        <f>Flat!Z$51-Z191</f>
        <v>8.4166562551784097</v>
      </c>
      <c r="AA197" s="370">
        <f>Flat!AA$51-AA191</f>
        <v>4.6811500115574347</v>
      </c>
      <c r="AB197" s="370">
        <f>Flat!AB$51-AB191</f>
        <v>13.761074927931041</v>
      </c>
      <c r="AC197" s="370">
        <f>Flat!AC$51-AC191</f>
        <v>10.903552869180505</v>
      </c>
      <c r="AD197" s="370">
        <f>Flat!AD$51-AD191</f>
        <v>16.047563507352045</v>
      </c>
      <c r="AE197" s="370">
        <f>Flat!AE$51-AE191</f>
        <v>4.5136699721782847</v>
      </c>
      <c r="AF197" s="370">
        <f>Flat!AF$51-AF191</f>
        <v>20.292051595052996</v>
      </c>
      <c r="AG197" s="370">
        <f>Flat!AG$51-AG191</f>
        <v>23.704140280809909</v>
      </c>
      <c r="AH197" s="370">
        <f>Flat!AH$51-AH191</f>
        <v>6.604827461525737</v>
      </c>
      <c r="AI197" s="370">
        <f>Flat!AI$51-AI191</f>
        <v>28.081836195751592</v>
      </c>
      <c r="AJ197" s="370">
        <f>Flat!AJ$51-AJ191</f>
        <v>25.762987452764676</v>
      </c>
      <c r="AK197" s="370">
        <f>Flat!AK$51-AK191</f>
        <v>21.633423548057529</v>
      </c>
      <c r="AL197" s="370">
        <f>Flat!AL$51-AL191</f>
        <v>23.779564114374431</v>
      </c>
      <c r="AM197" s="370">
        <f>Flat!AM$51-AM191</f>
        <v>23.691015498144672</v>
      </c>
      <c r="AN197" s="371">
        <f>Flat!AN$51-AN191</f>
        <v>23.691015498144672</v>
      </c>
    </row>
    <row r="198" spans="1:40" s="5" customFormat="1">
      <c r="A198" s="154"/>
      <c r="B198" s="347" t="s">
        <v>6</v>
      </c>
      <c r="C198" s="367" t="s">
        <v>190</v>
      </c>
      <c r="D198" s="370">
        <f>Flat!D$52-D192</f>
        <v>8.9683734444313998</v>
      </c>
      <c r="E198" s="370">
        <f>Flat!E$52-E192</f>
        <v>32.497520550752633</v>
      </c>
      <c r="F198" s="370">
        <f>Flat!F$52-F192</f>
        <v>11.79475630227806</v>
      </c>
      <c r="G198" s="370">
        <f>Flat!G$52-G192</f>
        <v>8.7375143630414414</v>
      </c>
      <c r="H198" s="370">
        <f>Flat!H$52-H192</f>
        <v>7.471943253583671</v>
      </c>
      <c r="I198" s="370">
        <f>Flat!I$52-I192</f>
        <v>7.8903489795474258</v>
      </c>
      <c r="J198" s="370">
        <f>Flat!J$52-J192</f>
        <v>3.4006628536371899</v>
      </c>
      <c r="K198" s="370">
        <f>Flat!K$52-K192</f>
        <v>3.7518369848988904</v>
      </c>
      <c r="L198" s="370">
        <f>Flat!L$52-L192</f>
        <v>3.7107632421468253</v>
      </c>
      <c r="M198" s="370">
        <f>Flat!M$52-M192</f>
        <v>26.021046402352546</v>
      </c>
      <c r="N198" s="370">
        <f>Flat!N$52-N192</f>
        <v>3.7051894709447311</v>
      </c>
      <c r="O198" s="370">
        <f>Flat!O$52-O192</f>
        <v>4.526086746469776</v>
      </c>
      <c r="P198" s="370">
        <f>Flat!P$52-P192</f>
        <v>35.296305139430707</v>
      </c>
      <c r="Q198" s="370">
        <f>Flat!Q$52-Q192</f>
        <v>14.00053285359391</v>
      </c>
      <c r="R198" s="370">
        <f>Flat!R$52-R192</f>
        <v>16.833309577060895</v>
      </c>
      <c r="S198" s="370">
        <f>Flat!S$52-S192</f>
        <v>6.6731750295847903</v>
      </c>
      <c r="T198" s="370">
        <f>Flat!T$52-T192</f>
        <v>5.428075584971765</v>
      </c>
      <c r="U198" s="370">
        <f>Flat!U$52-U192</f>
        <v>9.0553281407216275</v>
      </c>
      <c r="V198" s="370">
        <f>Flat!V$52-V192</f>
        <v>12.998339048558208</v>
      </c>
      <c r="W198" s="370">
        <f>Flat!W$52-W192</f>
        <v>6.9624756951152982</v>
      </c>
      <c r="X198" s="370">
        <f>Flat!X$52-X192</f>
        <v>12.147734419097198</v>
      </c>
      <c r="Y198" s="370">
        <f>Flat!Y$52-Y192</f>
        <v>6.7607397600784012</v>
      </c>
      <c r="Z198" s="370">
        <f>Flat!Z$52-Z192</f>
        <v>7.1050282846670427</v>
      </c>
      <c r="AA198" s="370">
        <f>Flat!AA$52-AA192</f>
        <v>2.645859156511861</v>
      </c>
      <c r="AB198" s="370">
        <f>Flat!AB$52-AB192</f>
        <v>13.761074927931041</v>
      </c>
      <c r="AC198" s="370">
        <f>Flat!AC$52-AC192</f>
        <v>8.9252981412025498</v>
      </c>
      <c r="AD198" s="370">
        <f>Flat!AD$52-AD192</f>
        <v>16.047563507352045</v>
      </c>
      <c r="AE198" s="370">
        <f>Flat!AE$52-AE192</f>
        <v>2.5511968204127982</v>
      </c>
      <c r="AF198" s="370">
        <f>Flat!AF$52-AF192</f>
        <v>11.470199301192693</v>
      </c>
      <c r="AG198" s="370">
        <f>Flat!AG$52-AG192</f>
        <v>23.96833212813651</v>
      </c>
      <c r="AH198" s="370">
        <f>Flat!AH$52-AH192</f>
        <v>4.2441525583281212</v>
      </c>
      <c r="AI198" s="370">
        <f>Flat!AI$52-AI192</f>
        <v>28.081836195751592</v>
      </c>
      <c r="AJ198" s="370">
        <f>Flat!AJ$52-AJ192</f>
        <v>22.956459737854203</v>
      </c>
      <c r="AK198" s="370">
        <f>Flat!AK$52-AK192</f>
        <v>19.283654529730697</v>
      </c>
      <c r="AL198" s="370">
        <f>Flat!AL$52-AL192</f>
        <v>17.269608713984091</v>
      </c>
      <c r="AM198" s="370">
        <f>Flat!AM$52-AM192</f>
        <v>21.110200997814587</v>
      </c>
      <c r="AN198" s="371">
        <f>Flat!AN$52-AN192</f>
        <v>21.110200997814587</v>
      </c>
    </row>
    <row r="199" spans="1:40" s="5" customFormat="1">
      <c r="A199" s="155"/>
      <c r="B199" s="338" t="s">
        <v>7</v>
      </c>
      <c r="C199" s="368" t="s">
        <v>190</v>
      </c>
      <c r="D199" s="379">
        <f>Flat!D$53-D193</f>
        <v>7.6933415029958852</v>
      </c>
      <c r="E199" s="379">
        <f>Flat!E$53-E193</f>
        <v>13.439358471184939</v>
      </c>
      <c r="F199" s="379">
        <f>Flat!F$53-F193</f>
        <v>3.6538703531127084</v>
      </c>
      <c r="G199" s="379">
        <f>Flat!G$53-G193</f>
        <v>7.4953036131594004</v>
      </c>
      <c r="H199" s="379">
        <f>Flat!H$53-H193</f>
        <v>7.6103810200264022</v>
      </c>
      <c r="I199" s="379">
        <f>Flat!I$53-I193</f>
        <v>6.2122768665021866</v>
      </c>
      <c r="J199" s="379">
        <f>Flat!J$53-J193</f>
        <v>4.9165132553577813</v>
      </c>
      <c r="K199" s="379">
        <f>Flat!K$53-K193</f>
        <v>2.1738015647250997</v>
      </c>
      <c r="L199" s="379">
        <f>Flat!L$53-L193</f>
        <v>3.7107632421468253</v>
      </c>
      <c r="M199" s="379">
        <f>Flat!M$53-M193</f>
        <v>10.420639321809002</v>
      </c>
      <c r="N199" s="379">
        <f>Flat!N$53-N193</f>
        <v>3.3236456755563282</v>
      </c>
      <c r="O199" s="379">
        <f>Flat!O$53-O193</f>
        <v>4.2622169931965992</v>
      </c>
      <c r="P199" s="379">
        <f>Flat!P$53-P193</f>
        <v>6.595677710368534</v>
      </c>
      <c r="Q199" s="379">
        <f>Flat!Q$53-Q193</f>
        <v>3.6496097279633695</v>
      </c>
      <c r="R199" s="379">
        <f>Flat!R$53-R193</f>
        <v>7.403057242521605</v>
      </c>
      <c r="S199" s="379">
        <f>Flat!S$53-S193</f>
        <v>1.7504092292477758</v>
      </c>
      <c r="T199" s="379">
        <f>Flat!T$53-T193</f>
        <v>4.8605521471567528</v>
      </c>
      <c r="U199" s="379">
        <f>Flat!U$53-U193</f>
        <v>9.1618012899979853</v>
      </c>
      <c r="V199" s="379">
        <f>Flat!V$53-V193</f>
        <v>2.1561896775744458</v>
      </c>
      <c r="W199" s="379">
        <f>Flat!W$53-W193</f>
        <v>4.315753632043819</v>
      </c>
      <c r="X199" s="379">
        <f>Flat!X$53-X193</f>
        <v>2.2591243403118284</v>
      </c>
      <c r="Y199" s="379">
        <f>Flat!Y$53-Y193</f>
        <v>5.8499969234597735</v>
      </c>
      <c r="Z199" s="379">
        <f>Flat!Z$53-Z193</f>
        <v>4.9500292636422643</v>
      </c>
      <c r="AA199" s="379">
        <f>Flat!AA$53-AA193</f>
        <v>2.7224828005635047</v>
      </c>
      <c r="AB199" s="379">
        <f>Flat!AB$53-AB193</f>
        <v>6.0336831229044918</v>
      </c>
      <c r="AC199" s="379">
        <f>Flat!AC$53-AC193</f>
        <v>5.0024634094757623</v>
      </c>
      <c r="AD199" s="379">
        <f>Flat!AD$53-AD193</f>
        <v>9.9556607432300837</v>
      </c>
      <c r="AE199" s="379">
        <f>Flat!AE$53-AE193</f>
        <v>2.6250790588501047</v>
      </c>
      <c r="AF199" s="379">
        <f>Flat!AF$53-AF193</f>
        <v>3.5286622834076411</v>
      </c>
      <c r="AG199" s="379">
        <f>Flat!AG$53-AG193</f>
        <v>7.9375375800039691</v>
      </c>
      <c r="AH199" s="379">
        <f>Flat!AH$53-AH193</f>
        <v>2.6514445272325844</v>
      </c>
      <c r="AI199" s="379">
        <f>Flat!AI$53-AI193</f>
        <v>5.2013480812539861</v>
      </c>
      <c r="AJ199" s="379">
        <f>Flat!AJ$53-AJ193</f>
        <v>17.608056250744191</v>
      </c>
      <c r="AK199" s="379">
        <f>Flat!AK$53-AK193</f>
        <v>14.788432082751186</v>
      </c>
      <c r="AL199" s="379">
        <f>Flat!AL$53-AL193</f>
        <v>5.3856025806790697</v>
      </c>
      <c r="AM199" s="379">
        <f>Flat!AM$53-AM193</f>
        <v>16.191939474931438</v>
      </c>
      <c r="AN199" s="380">
        <f>Flat!AN$53-AN193</f>
        <v>16.191939474931438</v>
      </c>
    </row>
    <row r="200" spans="1:40" s="5" customFormat="1"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64"/>
      <c r="AJ200" s="164"/>
      <c r="AK200" s="164"/>
      <c r="AL200" s="164"/>
      <c r="AM200" s="164"/>
      <c r="AN200" s="164"/>
    </row>
    <row r="201" spans="1:40" s="5" customFormat="1">
      <c r="A201" s="5" t="s">
        <v>220</v>
      </c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</row>
    <row r="202" spans="1:40" s="5" customFormat="1">
      <c r="A202" s="938" t="s">
        <v>123</v>
      </c>
      <c r="B202" s="939"/>
      <c r="C202" s="138" t="s">
        <v>76</v>
      </c>
      <c r="D202" s="194">
        <v>1</v>
      </c>
      <c r="E202" s="195">
        <v>1</v>
      </c>
      <c r="F202" s="195">
        <v>1</v>
      </c>
      <c r="G202" s="195">
        <v>1</v>
      </c>
      <c r="H202" s="195">
        <v>1</v>
      </c>
      <c r="I202" s="195">
        <v>1</v>
      </c>
      <c r="J202" s="195">
        <v>1</v>
      </c>
      <c r="K202" s="195">
        <v>1</v>
      </c>
      <c r="L202" s="195">
        <v>1</v>
      </c>
      <c r="M202" s="195">
        <v>1</v>
      </c>
      <c r="N202" s="195">
        <v>1</v>
      </c>
      <c r="O202" s="195">
        <v>1</v>
      </c>
      <c r="P202" s="195">
        <v>1</v>
      </c>
      <c r="Q202" s="195">
        <v>1</v>
      </c>
      <c r="R202" s="195">
        <v>1</v>
      </c>
      <c r="S202" s="195">
        <v>1</v>
      </c>
      <c r="T202" s="195">
        <v>1</v>
      </c>
      <c r="U202" s="195">
        <v>1</v>
      </c>
      <c r="V202" s="195">
        <v>1</v>
      </c>
      <c r="W202" s="195">
        <v>1</v>
      </c>
      <c r="X202" s="195">
        <v>1</v>
      </c>
      <c r="Y202" s="195">
        <v>1</v>
      </c>
      <c r="Z202" s="195">
        <v>1</v>
      </c>
      <c r="AA202" s="195">
        <v>1</v>
      </c>
      <c r="AB202" s="195">
        <v>1</v>
      </c>
      <c r="AC202" s="195">
        <v>1</v>
      </c>
      <c r="AD202" s="195">
        <v>1</v>
      </c>
      <c r="AE202" s="195">
        <v>1</v>
      </c>
      <c r="AF202" s="195">
        <v>1</v>
      </c>
      <c r="AG202" s="195">
        <v>1</v>
      </c>
      <c r="AH202" s="195">
        <v>1</v>
      </c>
      <c r="AI202" s="195">
        <v>1</v>
      </c>
      <c r="AJ202" s="195">
        <v>1</v>
      </c>
      <c r="AK202" s="195">
        <v>1</v>
      </c>
      <c r="AL202" s="195">
        <v>1</v>
      </c>
      <c r="AM202" s="195">
        <v>1</v>
      </c>
      <c r="AN202" s="196">
        <v>1</v>
      </c>
    </row>
    <row r="203" spans="1:40" s="5" customFormat="1">
      <c r="A203" s="151" t="s">
        <v>193</v>
      </c>
      <c r="B203" s="141" t="s">
        <v>2</v>
      </c>
      <c r="C203" s="144" t="s">
        <v>195</v>
      </c>
      <c r="D203" s="170">
        <f>((LOOKUP(Flat!D$2,'Ceiling-U'!$A$4:$A$40,'Ceiling-U'!$E$4:$E$40)*Flat!D$15)+(LOOKUP(Flat!D$2,'Floor-U'!$A$4:$A$40,'Floor-U'!$E$4:$E$40)*Flat!D$16)+(LOOKUP(Flat!D$2,'Wall-U'!$A$4:$A$40,'Wall-U'!$X$4:$X$40)*Flat!D$13)+(LOOKUP(Flat!D$2,'Window-U'!$A$4:$A$40,'Window-U'!$E$4:$E$40)*Flat!D$22))*D202</f>
        <v>1187.6149081697604</v>
      </c>
      <c r="E203" s="171">
        <f>((LOOKUP(Flat!E$2,'Ceiling-U'!$A$4:$A$40,'Ceiling-U'!$E$4:$E$40)*Flat!E$15)+(LOOKUP(Flat!E$2,'Floor-U'!$A$4:$A$40,'Floor-U'!$E$4:$E$40)*Flat!E$16)+(LOOKUP(Flat!E$2,'Wall-U'!$A$4:$A$40,'Wall-U'!$X$4:$X$40)*Flat!E$13)+(LOOKUP(Flat!E$2,'Window-U'!$A$4:$A$40,'Window-U'!$E$4:$E$40)*Flat!E$22))*E202</f>
        <v>1587.4888270425981</v>
      </c>
      <c r="F203" s="171">
        <f>((LOOKUP(Flat!F$2,'Ceiling-U'!$A$4:$A$40,'Ceiling-U'!$E$4:$E$40)*Flat!F$15)+(LOOKUP(Flat!F$2,'Floor-U'!$A$4:$A$40,'Floor-U'!$E$4:$E$40)*Flat!F$16)+(LOOKUP(Flat!F$2,'Wall-U'!$A$4:$A$40,'Wall-U'!$X$4:$X$40)*Flat!F$13)+(LOOKUP(Flat!F$2,'Window-U'!$A$4:$A$40,'Window-U'!$E$4:$E$40)*Flat!F$22))*F202</f>
        <v>2127.2768328830925</v>
      </c>
      <c r="G203" s="171">
        <f>((LOOKUP(Flat!G$2,'Ceiling-U'!$A$4:$A$40,'Ceiling-U'!$E$4:$E$40)*Flat!G$15)+(LOOKUP(Flat!G$2,'Floor-U'!$A$4:$A$40,'Floor-U'!$E$4:$E$40)*Flat!G$16)+(LOOKUP(Flat!G$2,'Wall-U'!$A$4:$A$40,'Wall-U'!$X$4:$X$40)*Flat!G$13)+(LOOKUP(Flat!G$2,'Window-U'!$A$4:$A$40,'Window-U'!$E$4:$E$40)*Flat!G$22))*G202</f>
        <v>1187.6149081697604</v>
      </c>
      <c r="H203" s="171">
        <f>((LOOKUP(Flat!H$2,'Ceiling-U'!$A$4:$A$40,'Ceiling-U'!$E$4:$E$40)*Flat!H$15)+(LOOKUP(Flat!H$2,'Floor-U'!$A$4:$A$40,'Floor-U'!$E$4:$E$40)*Flat!H$16)+(LOOKUP(Flat!H$2,'Wall-U'!$A$4:$A$40,'Wall-U'!$X$4:$X$40)*Flat!H$13)+(LOOKUP(Flat!H$2,'Window-U'!$A$4:$A$40,'Window-U'!$E$4:$E$40)*Flat!H$22))*H202</f>
        <v>2204.0505643134447</v>
      </c>
      <c r="I203" s="171">
        <f>((LOOKUP(Flat!I$2,'Ceiling-U'!$A$4:$A$40,'Ceiling-U'!$E$4:$E$40)*Flat!I$15)+(LOOKUP(Flat!I$2,'Floor-U'!$A$4:$A$40,'Floor-U'!$E$4:$E$40)*Flat!I$16)+(LOOKUP(Flat!I$2,'Wall-U'!$A$4:$A$40,'Wall-U'!$X$4:$X$40)*Flat!I$13)+(LOOKUP(Flat!I$2,'Window-U'!$A$4:$A$40,'Window-U'!$E$4:$E$40)*Flat!I$22))*I202</f>
        <v>1136.6063627778433</v>
      </c>
      <c r="J203" s="171">
        <f>((LOOKUP(Flat!J$2,'Ceiling-U'!$A$4:$A$40,'Ceiling-U'!$E$4:$E$40)*Flat!J$15)+(LOOKUP(Flat!J$2,'Floor-U'!$A$4:$A$40,'Floor-U'!$E$4:$E$40)*Flat!J$16)+(LOOKUP(Flat!J$2,'Wall-U'!$A$4:$A$40,'Wall-U'!$X$4:$X$40)*Flat!J$13)+(LOOKUP(Flat!J$2,'Window-U'!$A$4:$A$40,'Window-U'!$E$4:$E$40)*Flat!J$22))*J202</f>
        <v>1420.4585153198364</v>
      </c>
      <c r="K203" s="171">
        <f>((LOOKUP(Flat!K$2,'Ceiling-U'!$A$4:$A$40,'Ceiling-U'!$E$4:$E$40)*Flat!K$15)+(LOOKUP(Flat!K$2,'Floor-U'!$A$4:$A$40,'Floor-U'!$E$4:$E$40)*Flat!K$16)+(LOOKUP(Flat!K$2,'Wall-U'!$A$4:$A$40,'Wall-U'!$X$4:$X$40)*Flat!K$13)+(LOOKUP(Flat!K$2,'Window-U'!$A$4:$A$40,'Window-U'!$E$4:$E$40)*Flat!K$22))*K202</f>
        <v>1348.6406536129437</v>
      </c>
      <c r="L203" s="171">
        <f>((LOOKUP(Flat!L$2,'Ceiling-U'!$A$4:$A$40,'Ceiling-U'!$E$4:$E$40)*Flat!L$15)+(LOOKUP(Flat!L$2,'Floor-U'!$A$4:$A$40,'Floor-U'!$E$4:$E$40)*Flat!L$16)+(LOOKUP(Flat!L$2,'Wall-U'!$A$4:$A$40,'Wall-U'!$X$4:$X$40)*Flat!L$13)+(LOOKUP(Flat!L$2,'Window-U'!$A$4:$A$40,'Window-U'!$E$4:$E$40)*Flat!L$22))*L202</f>
        <v>575.85609223750726</v>
      </c>
      <c r="M203" s="171">
        <f>((LOOKUP(Flat!M$2,'Ceiling-U'!$A$4:$A$40,'Ceiling-U'!$E$4:$E$40)*Flat!M$15)+(LOOKUP(Flat!M$2,'Floor-U'!$A$4:$A$40,'Floor-U'!$E$4:$E$40)*Flat!M$16)+(LOOKUP(Flat!M$2,'Wall-U'!$A$4:$A$40,'Wall-U'!$X$4:$X$40)*Flat!M$13)+(LOOKUP(Flat!M$2,'Window-U'!$A$4:$A$40,'Window-U'!$E$4:$E$40)*Flat!M$22))*M202</f>
        <v>1409.2550355191174</v>
      </c>
      <c r="N203" s="171">
        <f>((LOOKUP(Flat!N$2,'Ceiling-U'!$A$4:$A$40,'Ceiling-U'!$E$4:$E$40)*Flat!N$15)+(LOOKUP(Flat!N$2,'Floor-U'!$A$4:$A$40,'Floor-U'!$E$4:$E$40)*Flat!N$16)+(LOOKUP(Flat!N$2,'Wall-U'!$A$4:$A$40,'Wall-U'!$X$4:$X$40)*Flat!N$13)+(LOOKUP(Flat!N$2,'Window-U'!$A$4:$A$40,'Window-U'!$E$4:$E$40)*Flat!N$22))*N202</f>
        <v>1588.414904230267</v>
      </c>
      <c r="O203" s="171">
        <f>((LOOKUP(Flat!O$2,'Ceiling-U'!$A$4:$A$40,'Ceiling-U'!$E$4:$E$40)*Flat!O$15)+(LOOKUP(Flat!O$2,'Floor-U'!$A$4:$A$40,'Floor-U'!$E$4:$E$40)*Flat!O$16)+(LOOKUP(Flat!O$2,'Wall-U'!$A$4:$A$40,'Wall-U'!$X$4:$X$40)*Flat!O$13)+(LOOKUP(Flat!O$2,'Window-U'!$A$4:$A$40,'Window-U'!$E$4:$E$40)*Flat!O$22))*O202</f>
        <v>1870.0969800899384</v>
      </c>
      <c r="P203" s="171">
        <f>((LOOKUP(Flat!P$2,'Ceiling-U'!$A$4:$A$40,'Ceiling-U'!$E$4:$E$40)*Flat!P$15)+(LOOKUP(Flat!P$2,'Floor-U'!$A$4:$A$40,'Floor-U'!$E$4:$E$40)*Flat!P$16)+(LOOKUP(Flat!P$2,'Wall-U'!$A$4:$A$40,'Wall-U'!$X$4:$X$40)*Flat!P$13)+(LOOKUP(Flat!P$2,'Window-U'!$A$4:$A$40,'Window-U'!$E$4:$E$40)*Flat!P$22))*P202</f>
        <v>1374.57280285861</v>
      </c>
      <c r="Q203" s="171">
        <f>((LOOKUP(Flat!Q$2,'Ceiling-U'!$A$4:$A$40,'Ceiling-U'!$E$4:$E$40)*Flat!Q$15)+(LOOKUP(Flat!Q$2,'Floor-U'!$A$4:$A$40,'Floor-U'!$E$4:$E$40)*Flat!Q$16)+(LOOKUP(Flat!Q$2,'Wall-U'!$A$4:$A$40,'Wall-U'!$X$4:$X$40)*Flat!Q$13)+(LOOKUP(Flat!Q$2,'Window-U'!$A$4:$A$40,'Window-U'!$E$4:$E$40)*Flat!Q$22))*Q202</f>
        <v>1353.7010935857697</v>
      </c>
      <c r="R203" s="171">
        <f>((LOOKUP(Flat!R$2,'Ceiling-U'!$A$4:$A$40,'Ceiling-U'!$E$4:$E$40)*Flat!R$15)+(LOOKUP(Flat!R$2,'Floor-U'!$A$4:$A$40,'Floor-U'!$E$4:$E$40)*Flat!R$16)+(LOOKUP(Flat!R$2,'Wall-U'!$A$4:$A$40,'Wall-U'!$X$4:$X$40)*Flat!R$13)+(LOOKUP(Flat!R$2,'Window-U'!$A$4:$A$40,'Window-U'!$E$4:$E$40)*Flat!R$22))*R202</f>
        <v>954.4228664004022</v>
      </c>
      <c r="S203" s="171">
        <f>((LOOKUP(Flat!S$2,'Ceiling-U'!$A$4:$A$40,'Ceiling-U'!$E$4:$E$40)*Flat!S$15)+(LOOKUP(Flat!S$2,'Floor-U'!$A$4:$A$40,'Floor-U'!$E$4:$E$40)*Flat!S$16)+(LOOKUP(Flat!S$2,'Wall-U'!$A$4:$A$40,'Wall-U'!$X$4:$X$40)*Flat!S$13)+(LOOKUP(Flat!S$2,'Window-U'!$A$4:$A$40,'Window-U'!$E$4:$E$40)*Flat!S$22))*S202</f>
        <v>5591.4009140380076</v>
      </c>
      <c r="T203" s="171">
        <f>((LOOKUP(Flat!T$2,'Ceiling-U'!$A$4:$A$40,'Ceiling-U'!$E$4:$E$40)*Flat!T$15)+(LOOKUP(Flat!T$2,'Floor-U'!$A$4:$A$40,'Floor-U'!$E$4:$E$40)*Flat!T$16)+(LOOKUP(Flat!T$2,'Wall-U'!$A$4:$A$40,'Wall-U'!$X$4:$X$40)*Flat!T$13)+(LOOKUP(Flat!T$2,'Window-U'!$A$4:$A$40,'Window-U'!$E$4:$E$40)*Flat!T$22))*T202</f>
        <v>731.25295640523041</v>
      </c>
      <c r="U203" s="171">
        <f>((LOOKUP(Flat!U$2,'Ceiling-U'!$A$4:$A$40,'Ceiling-U'!$E$4:$E$40)*Flat!U$15)+(LOOKUP(Flat!U$2,'Floor-U'!$A$4:$A$40,'Floor-U'!$E$4:$E$40)*Flat!U$16)+(LOOKUP(Flat!U$2,'Wall-U'!$A$4:$A$40,'Wall-U'!$X$4:$X$40)*Flat!U$13)+(LOOKUP(Flat!U$2,'Window-U'!$A$4:$A$40,'Window-U'!$E$4:$E$40)*Flat!U$22))*U202</f>
        <v>2281.3753660271973</v>
      </c>
      <c r="V203" s="171">
        <f>((LOOKUP(Flat!V$2,'Ceiling-U'!$A$4:$A$40,'Ceiling-U'!$E$4:$E$40)*Flat!V$15)+(LOOKUP(Flat!V$2,'Floor-U'!$A$4:$A$40,'Floor-U'!$E$4:$E$40)*Flat!V$16)+(LOOKUP(Flat!V$2,'Wall-U'!$A$4:$A$40,'Wall-U'!$X$4:$X$40)*Flat!V$13)+(LOOKUP(Flat!V$2,'Window-U'!$A$4:$A$40,'Window-U'!$E$4:$E$40)*Flat!V$22))*V202</f>
        <v>860.51292288377931</v>
      </c>
      <c r="W203" s="171">
        <f>((LOOKUP(Flat!W$2,'Ceiling-U'!$A$4:$A$40,'Ceiling-U'!$E$4:$E$40)*Flat!W$15)+(LOOKUP(Flat!W$2,'Floor-U'!$A$4:$A$40,'Floor-U'!$E$4:$E$40)*Flat!W$16)+(LOOKUP(Flat!W$2,'Wall-U'!$A$4:$A$40,'Wall-U'!$X$4:$X$40)*Flat!W$13)+(LOOKUP(Flat!W$2,'Window-U'!$A$4:$A$40,'Window-U'!$E$4:$E$40)*Flat!W$22))*W202</f>
        <v>1833.7739761025609</v>
      </c>
      <c r="X203" s="171">
        <f>((LOOKUP(Flat!X$2,'Ceiling-U'!$A$4:$A$40,'Ceiling-U'!$E$4:$E$40)*Flat!X$15)+(LOOKUP(Flat!X$2,'Floor-U'!$A$4:$A$40,'Floor-U'!$E$4:$E$40)*Flat!X$16)+(LOOKUP(Flat!X$2,'Wall-U'!$A$4:$A$40,'Wall-U'!$X$4:$X$40)*Flat!X$13)+(LOOKUP(Flat!X$2,'Window-U'!$A$4:$A$40,'Window-U'!$E$4:$E$40)*Flat!X$22))*X202</f>
        <v>983.33381397696576</v>
      </c>
      <c r="Y203" s="171">
        <f>((LOOKUP(Flat!Y$2,'Ceiling-U'!$A$4:$A$40,'Ceiling-U'!$E$4:$E$40)*Flat!Y$15)+(LOOKUP(Flat!Y$2,'Floor-U'!$A$4:$A$40,'Floor-U'!$E$4:$E$40)*Flat!Y$16)+(LOOKUP(Flat!Y$2,'Wall-U'!$A$4:$A$40,'Wall-U'!$X$4:$X$40)*Flat!Y$13)+(LOOKUP(Flat!Y$2,'Window-U'!$A$4:$A$40,'Window-U'!$E$4:$E$40)*Flat!Y$22))*Y202</f>
        <v>2555.544330263474</v>
      </c>
      <c r="Z203" s="171">
        <f>((LOOKUP(Flat!Z$2,'Ceiling-U'!$A$4:$A$40,'Ceiling-U'!$E$4:$E$40)*Flat!Z$15)+(LOOKUP(Flat!Z$2,'Floor-U'!$A$4:$A$40,'Floor-U'!$E$4:$E$40)*Flat!Z$16)+(LOOKUP(Flat!Z$2,'Wall-U'!$A$4:$A$40,'Wall-U'!$X$4:$X$40)*Flat!Z$13)+(LOOKUP(Flat!Z$2,'Window-U'!$A$4:$A$40,'Window-U'!$E$4:$E$40)*Flat!Z$22))*Z202</f>
        <v>1750.3593389439634</v>
      </c>
      <c r="AA203" s="171">
        <f>((LOOKUP(Flat!AA$2,'Ceiling-U'!$A$4:$A$40,'Ceiling-U'!$E$4:$E$40)*Flat!AA$15)+(LOOKUP(Flat!AA$2,'Floor-U'!$A$4:$A$40,'Floor-U'!$E$4:$E$40)*Flat!AA$16)+(LOOKUP(Flat!AA$2,'Wall-U'!$A$4:$A$40,'Wall-U'!$X$4:$X$40)*Flat!AA$13)+(LOOKUP(Flat!AA$2,'Window-U'!$A$4:$A$40,'Window-U'!$E$4:$E$40)*Flat!AA$22))*AA202</f>
        <v>739.07579921426805</v>
      </c>
      <c r="AB203" s="171">
        <f>((LOOKUP(Flat!AB$2,'Ceiling-U'!$A$4:$A$40,'Ceiling-U'!$E$4:$E$40)*Flat!AB$15)+(LOOKUP(Flat!AB$2,'Floor-U'!$A$4:$A$40,'Floor-U'!$E$4:$E$40)*Flat!AB$16)+(LOOKUP(Flat!AB$2,'Wall-U'!$A$4:$A$40,'Wall-U'!$X$4:$X$40)*Flat!AB$13)+(LOOKUP(Flat!AB$2,'Window-U'!$A$4:$A$40,'Window-U'!$E$4:$E$40)*Flat!AB$22))*AB202</f>
        <v>1864.4822456412037</v>
      </c>
      <c r="AC203" s="171">
        <f>((LOOKUP(Flat!AC$2,'Ceiling-U'!$A$4:$A$40,'Ceiling-U'!$E$4:$E$40)*Flat!AC$15)+(LOOKUP(Flat!AC$2,'Floor-U'!$A$4:$A$40,'Floor-U'!$E$4:$E$40)*Flat!AC$16)+(LOOKUP(Flat!AC$2,'Wall-U'!$A$4:$A$40,'Wall-U'!$X$4:$X$40)*Flat!AC$13)+(LOOKUP(Flat!AC$2,'Window-U'!$A$4:$A$40,'Window-U'!$E$4:$E$40)*Flat!AC$22))*AC202</f>
        <v>2489.7459440662806</v>
      </c>
      <c r="AD203" s="171">
        <f>((LOOKUP(Flat!AD$2,'Ceiling-U'!$A$4:$A$40,'Ceiling-U'!$E$4:$E$40)*Flat!AD$15)+(LOOKUP(Flat!AD$2,'Floor-U'!$A$4:$A$40,'Floor-U'!$E$4:$E$40)*Flat!AD$16)+(LOOKUP(Flat!AD$2,'Wall-U'!$A$4:$A$40,'Wall-U'!$X$4:$X$40)*Flat!AD$13)+(LOOKUP(Flat!AD$2,'Window-U'!$A$4:$A$40,'Window-U'!$E$4:$E$40)*Flat!AD$22))*AD202</f>
        <v>3859.8356788188767</v>
      </c>
      <c r="AE203" s="171">
        <f>((LOOKUP(Flat!AE$2,'Ceiling-U'!$A$4:$A$40,'Ceiling-U'!$E$4:$E$40)*Flat!AE$15)+(LOOKUP(Flat!AE$2,'Floor-U'!$A$4:$A$40,'Floor-U'!$E$4:$E$40)*Flat!AE$16)+(LOOKUP(Flat!AE$2,'Wall-U'!$A$4:$A$40,'Wall-U'!$X$4:$X$40)*Flat!AE$13)+(LOOKUP(Flat!AE$2,'Window-U'!$A$4:$A$40,'Window-U'!$E$4:$E$40)*Flat!AE$22))*AE202</f>
        <v>739.07579921426805</v>
      </c>
      <c r="AF203" s="171">
        <f>((LOOKUP(Flat!AF$2,'Ceiling-U'!$A$4:$A$40,'Ceiling-U'!$E$4:$E$40)*Flat!AF$15)+(LOOKUP(Flat!AF$2,'Floor-U'!$A$4:$A$40,'Floor-U'!$E$4:$E$40)*Flat!AF$16)+(LOOKUP(Flat!AF$2,'Wall-U'!$A$4:$A$40,'Wall-U'!$X$4:$X$40)*Flat!AF$13)+(LOOKUP(Flat!AF$2,'Window-U'!$A$4:$A$40,'Window-U'!$E$4:$E$40)*Flat!AF$22))*AF202</f>
        <v>995.66149301962446</v>
      </c>
      <c r="AG203" s="171">
        <f>((LOOKUP(Flat!AG$2,'Ceiling-U'!$A$4:$A$40,'Ceiling-U'!$E$4:$E$40)*Flat!AG$15)+(LOOKUP(Flat!AG$2,'Floor-U'!$A$4:$A$40,'Floor-U'!$E$4:$E$40)*Flat!AG$16)+(LOOKUP(Flat!AG$2,'Wall-U'!$A$4:$A$40,'Wall-U'!$X$4:$X$40)*Flat!AG$13)+(LOOKUP(Flat!AG$2,'Window-U'!$A$4:$A$40,'Window-U'!$E$4:$E$40)*Flat!AG$22))*AG202</f>
        <v>1597.50861645229</v>
      </c>
      <c r="AH203" s="171">
        <f>((LOOKUP(Flat!AH$2,'Ceiling-U'!$A$4:$A$40,'Ceiling-U'!$E$4:$E$40)*Flat!AH$15)+(LOOKUP(Flat!AH$2,'Floor-U'!$A$4:$A$40,'Floor-U'!$E$4:$E$40)*Flat!AH$16)+(LOOKUP(Flat!AH$2,'Wall-U'!$A$4:$A$40,'Wall-U'!$X$4:$X$40)*Flat!AH$13)+(LOOKUP(Flat!AH$2,'Window-U'!$A$4:$A$40,'Window-U'!$E$4:$E$40)*Flat!AH$22))*AH202</f>
        <v>4030.1703335659536</v>
      </c>
      <c r="AI203" s="171">
        <f>((LOOKUP(Flat!AI$2,'Ceiling-U'!$A$4:$A$40,'Ceiling-U'!$E$4:$E$40)*Flat!AI$15)+(LOOKUP(Flat!AI$2,'Floor-U'!$A$4:$A$40,'Floor-U'!$E$4:$E$40)*Flat!AI$16)+(LOOKUP(Flat!AI$2,'Wall-U'!$A$4:$A$40,'Wall-U'!$X$4:$X$40)*Flat!AI$13)+(LOOKUP(Flat!AI$2,'Window-U'!$A$4:$A$40,'Window-U'!$E$4:$E$40)*Flat!AI$22))*AI202</f>
        <v>2197.8945399054846</v>
      </c>
      <c r="AJ203" s="171">
        <f>((LOOKUP(Flat!AJ$2,'Ceiling-U'!$A$4:$A$40,'Ceiling-U'!$E$4:$E$40)*Flat!AJ$15)+(LOOKUP(Flat!AJ$2,'Floor-U'!$A$4:$A$40,'Floor-U'!$E$4:$E$40)*Flat!AJ$16)+(LOOKUP(Flat!AJ$2,'Wall-U'!$A$4:$A$40,'Wall-U'!$X$4:$X$40)*Flat!AJ$13)+(LOOKUP(Flat!AJ$2,'Window-U'!$A$4:$A$40,'Window-U'!$E$4:$E$40)*Flat!AJ$22))*AJ202</f>
        <v>1165.2525721242125</v>
      </c>
      <c r="AK203" s="171">
        <f>((LOOKUP(Flat!AK$2,'Ceiling-U'!$A$4:$A$40,'Ceiling-U'!$E$4:$E$40)*Flat!AK$15)+(LOOKUP(Flat!AK$2,'Floor-U'!$A$4:$A$40,'Floor-U'!$E$4:$E$40)*Flat!AK$16)+(LOOKUP(Flat!AK$2,'Wall-U'!$A$4:$A$40,'Wall-U'!$X$4:$X$40)*Flat!AK$13)+(LOOKUP(Flat!AK$2,'Window-U'!$A$4:$A$40,'Window-U'!$E$4:$E$40)*Flat!AK$22))*AK202</f>
        <v>1251.1561507429183</v>
      </c>
      <c r="AL203" s="171">
        <f>((LOOKUP(Flat!AL$2,'Ceiling-U'!$A$4:$A$40,'Ceiling-U'!$E$4:$E$40)*Flat!AL$15)+(LOOKUP(Flat!AL$2,'Floor-U'!$A$4:$A$40,'Floor-U'!$E$4:$E$40)*Flat!AL$16)+(LOOKUP(Flat!AL$2,'Wall-U'!$A$4:$A$40,'Wall-U'!$X$4:$X$40)*Flat!AL$13)+(LOOKUP(Flat!AL$2,'Window-U'!$A$4:$A$40,'Window-U'!$E$4:$E$40)*Flat!AL$22))*AL202</f>
        <v>1160.3631853408979</v>
      </c>
      <c r="AM203" s="171">
        <f>((LOOKUP(Flat!AM$2,'Ceiling-U'!$A$4:$A$40,'Ceiling-U'!$E$4:$E$40)*Flat!AM$15)+(LOOKUP(Flat!AM$2,'Floor-U'!$A$4:$A$40,'Floor-U'!$E$4:$E$40)*Flat!AM$16)+(LOOKUP(Flat!AM$2,'Wall-U'!$A$4:$A$40,'Wall-U'!$X$4:$X$40)*Flat!AM$13)+(LOOKUP(Flat!AM$2,'Window-U'!$A$4:$A$40,'Window-U'!$E$4:$E$40)*Flat!AM$22))*AM202</f>
        <v>1165.2525721242125</v>
      </c>
      <c r="AN203" s="172">
        <f>((LOOKUP(Flat!AN$2,'Ceiling-U'!$A$4:$A$40,'Ceiling-U'!$E$4:$E$40)*Flat!AN$15)+(LOOKUP(Flat!AN$2,'Floor-U'!$A$4:$A$40,'Floor-U'!$E$4:$E$40)*Flat!AN$16)+(LOOKUP(Flat!AN$2,'Wall-U'!$A$4:$A$40,'Wall-U'!$X$4:$X$40)*Flat!AN$13)+(LOOKUP(Flat!AN$2,'Window-U'!$A$4:$A$40,'Window-U'!$E$4:$E$40)*Flat!AN$22))*AN202</f>
        <v>1165.2525721242125</v>
      </c>
    </row>
    <row r="204" spans="1:40" s="5" customFormat="1">
      <c r="A204" s="372"/>
      <c r="B204" s="142" t="s">
        <v>3</v>
      </c>
      <c r="C204" s="131" t="s">
        <v>195</v>
      </c>
      <c r="D204" s="176">
        <f>((LOOKUP(Flat!D$2,'Ceiling-U'!$A$4:$A$40,'Ceiling-U'!$F$4:$F$40)*Flat!D$15)+(LOOKUP(Flat!D$2,'Floor-U'!$A$4:$A$40,'Floor-U'!$F$4:$F$40)*Flat!D$16)+(LOOKUP(Flat!D$2,'Wall-U'!$A$4:$A$40,'Wall-U'!$Y$4:$Y$40)*Flat!D$13)+(LOOKUP(Flat!D$2,'Window-U'!$A$4:$A$40,'Window-U'!$F$4:$F$40)*Flat!D$22))*D202</f>
        <v>1190.2078692175771</v>
      </c>
      <c r="E204" s="177">
        <f>((LOOKUP(Flat!E$2,'Ceiling-U'!$A$4:$A$40,'Ceiling-U'!$F$4:$F$40)*Flat!E$15)+(LOOKUP(Flat!E$2,'Floor-U'!$A$4:$A$40,'Floor-U'!$F$4:$F$40)*Flat!E$16)+(LOOKUP(Flat!E$2,'Wall-U'!$A$4:$A$40,'Wall-U'!$Y$4:$Y$40)*Flat!E$13)+(LOOKUP(Flat!E$2,'Window-U'!$A$4:$A$40,'Window-U'!$F$4:$F$40)*Flat!E$22))*E202</f>
        <v>1587.4888270425981</v>
      </c>
      <c r="F204" s="177">
        <f>((LOOKUP(Flat!F$2,'Ceiling-U'!$A$4:$A$40,'Ceiling-U'!$F$4:$F$40)*Flat!F$15)+(LOOKUP(Flat!F$2,'Floor-U'!$A$4:$A$40,'Floor-U'!$F$4:$F$40)*Flat!F$16)+(LOOKUP(Flat!F$2,'Wall-U'!$A$4:$A$40,'Wall-U'!$Y$4:$Y$40)*Flat!F$13)+(LOOKUP(Flat!F$2,'Window-U'!$A$4:$A$40,'Window-U'!$F$4:$F$40)*Flat!F$22))*F202</f>
        <v>2127.2768328830925</v>
      </c>
      <c r="G204" s="177">
        <f>((LOOKUP(Flat!G$2,'Ceiling-U'!$A$4:$A$40,'Ceiling-U'!$F$4:$F$40)*Flat!G$15)+(LOOKUP(Flat!G$2,'Floor-U'!$A$4:$A$40,'Floor-U'!$F$4:$F$40)*Flat!G$16)+(LOOKUP(Flat!G$2,'Wall-U'!$A$4:$A$40,'Wall-U'!$Y$4:$Y$40)*Flat!G$13)+(LOOKUP(Flat!G$2,'Window-U'!$A$4:$A$40,'Window-U'!$F$4:$F$40)*Flat!G$22))*G202</f>
        <v>1190.2078692175771</v>
      </c>
      <c r="H204" s="177">
        <f>((LOOKUP(Flat!H$2,'Ceiling-U'!$A$4:$A$40,'Ceiling-U'!$F$4:$F$40)*Flat!H$15)+(LOOKUP(Flat!H$2,'Floor-U'!$A$4:$A$40,'Floor-U'!$F$4:$F$40)*Flat!H$16)+(LOOKUP(Flat!H$2,'Wall-U'!$A$4:$A$40,'Wall-U'!$Y$4:$Y$40)*Flat!H$13)+(LOOKUP(Flat!H$2,'Window-U'!$A$4:$A$40,'Window-U'!$F$4:$F$40)*Flat!H$22))*H202</f>
        <v>2191.8390824325461</v>
      </c>
      <c r="I204" s="177">
        <f>((LOOKUP(Flat!I$2,'Ceiling-U'!$A$4:$A$40,'Ceiling-U'!$F$4:$F$40)*Flat!I$15)+(LOOKUP(Flat!I$2,'Floor-U'!$A$4:$A$40,'Floor-U'!$F$4:$F$40)*Flat!I$16)+(LOOKUP(Flat!I$2,'Wall-U'!$A$4:$A$40,'Wall-U'!$Y$4:$Y$40)*Flat!I$13)+(LOOKUP(Flat!I$2,'Window-U'!$A$4:$A$40,'Window-U'!$F$4:$F$40)*Flat!I$22))*I202</f>
        <v>973.644338329942</v>
      </c>
      <c r="J204" s="177">
        <f>((LOOKUP(Flat!J$2,'Ceiling-U'!$A$4:$A$40,'Ceiling-U'!$F$4:$F$40)*Flat!J$15)+(LOOKUP(Flat!J$2,'Floor-U'!$A$4:$A$40,'Floor-U'!$F$4:$F$40)*Flat!J$16)+(LOOKUP(Flat!J$2,'Wall-U'!$A$4:$A$40,'Wall-U'!$Y$4:$Y$40)*Flat!J$13)+(LOOKUP(Flat!J$2,'Window-U'!$A$4:$A$40,'Window-U'!$F$4:$F$40)*Flat!J$22))*J202</f>
        <v>1289.3895852693197</v>
      </c>
      <c r="K204" s="177">
        <f>((LOOKUP(Flat!K$2,'Ceiling-U'!$A$4:$A$40,'Ceiling-U'!$F$4:$F$40)*Flat!K$15)+(LOOKUP(Flat!K$2,'Floor-U'!$A$4:$A$40,'Floor-U'!$F$4:$F$40)*Flat!K$16)+(LOOKUP(Flat!K$2,'Wall-U'!$A$4:$A$40,'Wall-U'!$Y$4:$Y$40)*Flat!K$13)+(LOOKUP(Flat!K$2,'Window-U'!$A$4:$A$40,'Window-U'!$F$4:$F$40)*Flat!K$22))*K202</f>
        <v>1295.8875331448803</v>
      </c>
      <c r="L204" s="177">
        <f>((LOOKUP(Flat!L$2,'Ceiling-U'!$A$4:$A$40,'Ceiling-U'!$F$4:$F$40)*Flat!L$15)+(LOOKUP(Flat!L$2,'Floor-U'!$A$4:$A$40,'Floor-U'!$F$4:$F$40)*Flat!L$16)+(LOOKUP(Flat!L$2,'Wall-U'!$A$4:$A$40,'Wall-U'!$Y$4:$Y$40)*Flat!L$13)+(LOOKUP(Flat!L$2,'Window-U'!$A$4:$A$40,'Window-U'!$F$4:$F$40)*Flat!L$22))*L202</f>
        <v>575.85609223750726</v>
      </c>
      <c r="M204" s="177">
        <f>((LOOKUP(Flat!M$2,'Ceiling-U'!$A$4:$A$40,'Ceiling-U'!$F$4:$F$40)*Flat!M$15)+(LOOKUP(Flat!M$2,'Floor-U'!$A$4:$A$40,'Floor-U'!$F$4:$F$40)*Flat!M$16)+(LOOKUP(Flat!M$2,'Wall-U'!$A$4:$A$40,'Wall-U'!$Y$4:$Y$40)*Flat!M$13)+(LOOKUP(Flat!M$2,'Window-U'!$A$4:$A$40,'Window-U'!$F$4:$F$40)*Flat!M$22))*M202</f>
        <v>1336.9257168362781</v>
      </c>
      <c r="N204" s="177">
        <f>((LOOKUP(Flat!N$2,'Ceiling-U'!$A$4:$A$40,'Ceiling-U'!$F$4:$F$40)*Flat!N$15)+(LOOKUP(Flat!N$2,'Floor-U'!$A$4:$A$40,'Floor-U'!$F$4:$F$40)*Flat!N$16)+(LOOKUP(Flat!N$2,'Wall-U'!$A$4:$A$40,'Wall-U'!$Y$4:$Y$40)*Flat!N$13)+(LOOKUP(Flat!N$2,'Window-U'!$A$4:$A$40,'Window-U'!$F$4:$F$40)*Flat!N$22))*N202</f>
        <v>1486.1422680016485</v>
      </c>
      <c r="O204" s="177">
        <f>((LOOKUP(Flat!O$2,'Ceiling-U'!$A$4:$A$40,'Ceiling-U'!$F$4:$F$40)*Flat!O$15)+(LOOKUP(Flat!O$2,'Floor-U'!$A$4:$A$40,'Floor-U'!$F$4:$F$40)*Flat!O$16)+(LOOKUP(Flat!O$2,'Wall-U'!$A$4:$A$40,'Wall-U'!$Y$4:$Y$40)*Flat!O$13)+(LOOKUP(Flat!O$2,'Window-U'!$A$4:$A$40,'Window-U'!$F$4:$F$40)*Flat!O$22))*O202</f>
        <v>1870.0969800899384</v>
      </c>
      <c r="P204" s="177">
        <f>((LOOKUP(Flat!P$2,'Ceiling-U'!$A$4:$A$40,'Ceiling-U'!$F$4:$F$40)*Flat!P$15)+(LOOKUP(Flat!P$2,'Floor-U'!$A$4:$A$40,'Floor-U'!$F$4:$F$40)*Flat!P$16)+(LOOKUP(Flat!P$2,'Wall-U'!$A$4:$A$40,'Wall-U'!$Y$4:$Y$40)*Flat!P$13)+(LOOKUP(Flat!P$2,'Window-U'!$A$4:$A$40,'Window-U'!$F$4:$F$40)*Flat!P$22))*P202</f>
        <v>1374.57280285861</v>
      </c>
      <c r="Q204" s="177">
        <f>((LOOKUP(Flat!Q$2,'Ceiling-U'!$A$4:$A$40,'Ceiling-U'!$F$4:$F$40)*Flat!Q$15)+(LOOKUP(Flat!Q$2,'Floor-U'!$A$4:$A$40,'Floor-U'!$F$4:$F$40)*Flat!Q$16)+(LOOKUP(Flat!Q$2,'Wall-U'!$A$4:$A$40,'Wall-U'!$Y$4:$Y$40)*Flat!Q$13)+(LOOKUP(Flat!Q$2,'Window-U'!$A$4:$A$40,'Window-U'!$F$4:$F$40)*Flat!Q$22))*Q202</f>
        <v>1363.5317960518714</v>
      </c>
      <c r="R204" s="177">
        <f>((LOOKUP(Flat!R$2,'Ceiling-U'!$A$4:$A$40,'Ceiling-U'!$F$4:$F$40)*Flat!R$15)+(LOOKUP(Flat!R$2,'Floor-U'!$A$4:$A$40,'Floor-U'!$F$4:$F$40)*Flat!R$16)+(LOOKUP(Flat!R$2,'Wall-U'!$A$4:$A$40,'Wall-U'!$Y$4:$Y$40)*Flat!R$13)+(LOOKUP(Flat!R$2,'Window-U'!$A$4:$A$40,'Window-U'!$F$4:$F$40)*Flat!R$22))*R202</f>
        <v>954.4228664004022</v>
      </c>
      <c r="S204" s="177">
        <f>((LOOKUP(Flat!S$2,'Ceiling-U'!$A$4:$A$40,'Ceiling-U'!$F$4:$F$40)*Flat!S$15)+(LOOKUP(Flat!S$2,'Floor-U'!$A$4:$A$40,'Floor-U'!$F$4:$F$40)*Flat!S$16)+(LOOKUP(Flat!S$2,'Wall-U'!$A$4:$A$40,'Wall-U'!$Y$4:$Y$40)*Flat!S$13)+(LOOKUP(Flat!S$2,'Window-U'!$A$4:$A$40,'Window-U'!$F$4:$F$40)*Flat!S$22))*S202</f>
        <v>5697.2466179474159</v>
      </c>
      <c r="T204" s="177">
        <f>((LOOKUP(Flat!T$2,'Ceiling-U'!$A$4:$A$40,'Ceiling-U'!$F$4:$F$40)*Flat!T$15)+(LOOKUP(Flat!T$2,'Floor-U'!$A$4:$A$40,'Floor-U'!$F$4:$F$40)*Flat!T$16)+(LOOKUP(Flat!T$2,'Wall-U'!$A$4:$A$40,'Wall-U'!$Y$4:$Y$40)*Flat!T$13)+(LOOKUP(Flat!T$2,'Window-U'!$A$4:$A$40,'Window-U'!$F$4:$F$40)*Flat!T$22))*T202</f>
        <v>687.68037428286289</v>
      </c>
      <c r="U204" s="177">
        <f>((LOOKUP(Flat!U$2,'Ceiling-U'!$A$4:$A$40,'Ceiling-U'!$F$4:$F$40)*Flat!U$15)+(LOOKUP(Flat!U$2,'Floor-U'!$A$4:$A$40,'Floor-U'!$F$4:$F$40)*Flat!U$16)+(LOOKUP(Flat!U$2,'Wall-U'!$A$4:$A$40,'Wall-U'!$Y$4:$Y$40)*Flat!U$13)+(LOOKUP(Flat!U$2,'Window-U'!$A$4:$A$40,'Window-U'!$F$4:$F$40)*Flat!U$22))*U202</f>
        <v>2244.6634690043707</v>
      </c>
      <c r="V204" s="177">
        <f>((LOOKUP(Flat!V$2,'Ceiling-U'!$A$4:$A$40,'Ceiling-U'!$F$4:$F$40)*Flat!V$15)+(LOOKUP(Flat!V$2,'Floor-U'!$A$4:$A$40,'Floor-U'!$F$4:$F$40)*Flat!V$16)+(LOOKUP(Flat!V$2,'Wall-U'!$A$4:$A$40,'Wall-U'!$Y$4:$Y$40)*Flat!V$13)+(LOOKUP(Flat!V$2,'Window-U'!$A$4:$A$40,'Window-U'!$F$4:$F$40)*Flat!V$22))*V202</f>
        <v>860.51292288377931</v>
      </c>
      <c r="W204" s="177">
        <f>((LOOKUP(Flat!W$2,'Ceiling-U'!$A$4:$A$40,'Ceiling-U'!$F$4:$F$40)*Flat!W$15)+(LOOKUP(Flat!W$2,'Floor-U'!$A$4:$A$40,'Floor-U'!$F$4:$F$40)*Flat!W$16)+(LOOKUP(Flat!W$2,'Wall-U'!$A$4:$A$40,'Wall-U'!$Y$4:$Y$40)*Flat!W$13)+(LOOKUP(Flat!W$2,'Window-U'!$A$4:$A$40,'Window-U'!$F$4:$F$40)*Flat!W$22))*W202</f>
        <v>1540.27209680435</v>
      </c>
      <c r="X204" s="177">
        <f>((LOOKUP(Flat!X$2,'Ceiling-U'!$A$4:$A$40,'Ceiling-U'!$F$4:$F$40)*Flat!X$15)+(LOOKUP(Flat!X$2,'Floor-U'!$A$4:$A$40,'Floor-U'!$F$4:$F$40)*Flat!X$16)+(LOOKUP(Flat!X$2,'Wall-U'!$A$4:$A$40,'Wall-U'!$Y$4:$Y$40)*Flat!X$13)+(LOOKUP(Flat!X$2,'Window-U'!$A$4:$A$40,'Window-U'!$F$4:$F$40)*Flat!X$22))*X202</f>
        <v>954.5338139769658</v>
      </c>
      <c r="Y204" s="177">
        <f>((LOOKUP(Flat!Y$2,'Ceiling-U'!$A$4:$A$40,'Ceiling-U'!$F$4:$F$40)*Flat!Y$15)+(LOOKUP(Flat!Y$2,'Floor-U'!$A$4:$A$40,'Floor-U'!$F$4:$F$40)*Flat!Y$16)+(LOOKUP(Flat!Y$2,'Wall-U'!$A$4:$A$40,'Wall-U'!$Y$4:$Y$40)*Flat!Y$13)+(LOOKUP(Flat!Y$2,'Window-U'!$A$4:$A$40,'Window-U'!$F$4:$F$40)*Flat!Y$22))*Y202</f>
        <v>2550.1623495405861</v>
      </c>
      <c r="Z204" s="177">
        <f>((LOOKUP(Flat!Z$2,'Ceiling-U'!$A$4:$A$40,'Ceiling-U'!$F$4:$F$40)*Flat!Z$15)+(LOOKUP(Flat!Z$2,'Floor-U'!$A$4:$A$40,'Floor-U'!$F$4:$F$40)*Flat!Z$16)+(LOOKUP(Flat!Z$2,'Wall-U'!$A$4:$A$40,'Wall-U'!$Y$4:$Y$40)*Flat!Z$13)+(LOOKUP(Flat!Z$2,'Window-U'!$A$4:$A$40,'Window-U'!$F$4:$F$40)*Flat!Z$22))*Z202</f>
        <v>1425.333757043411</v>
      </c>
      <c r="AA204" s="177">
        <f>((LOOKUP(Flat!AA$2,'Ceiling-U'!$A$4:$A$40,'Ceiling-U'!$F$4:$F$40)*Flat!AA$15)+(LOOKUP(Flat!AA$2,'Floor-U'!$A$4:$A$40,'Floor-U'!$F$4:$F$40)*Flat!AA$16)+(LOOKUP(Flat!AA$2,'Wall-U'!$A$4:$A$40,'Wall-U'!$Y$4:$Y$40)*Flat!AA$13)+(LOOKUP(Flat!AA$2,'Window-U'!$A$4:$A$40,'Window-U'!$F$4:$F$40)*Flat!AA$22))*AA202</f>
        <v>733.52474321426803</v>
      </c>
      <c r="AB204" s="177">
        <f>((LOOKUP(Flat!AB$2,'Ceiling-U'!$A$4:$A$40,'Ceiling-U'!$F$4:$F$40)*Flat!AB$15)+(LOOKUP(Flat!AB$2,'Floor-U'!$A$4:$A$40,'Floor-U'!$F$4:$F$40)*Flat!AB$16)+(LOOKUP(Flat!AB$2,'Wall-U'!$A$4:$A$40,'Wall-U'!$Y$4:$Y$40)*Flat!AB$13)+(LOOKUP(Flat!AB$2,'Window-U'!$A$4:$A$40,'Window-U'!$F$4:$F$40)*Flat!AB$22))*AB202</f>
        <v>1396.9044934247477</v>
      </c>
      <c r="AC204" s="177">
        <f>((LOOKUP(Flat!AC$2,'Ceiling-U'!$A$4:$A$40,'Ceiling-U'!$F$4:$F$40)*Flat!AC$15)+(LOOKUP(Flat!AC$2,'Floor-U'!$A$4:$A$40,'Floor-U'!$F$4:$F$40)*Flat!AC$16)+(LOOKUP(Flat!AC$2,'Wall-U'!$A$4:$A$40,'Wall-U'!$Y$4:$Y$40)*Flat!AC$13)+(LOOKUP(Flat!AC$2,'Window-U'!$A$4:$A$40,'Window-U'!$F$4:$F$40)*Flat!AC$22))*AC202</f>
        <v>2480.4910238522657</v>
      </c>
      <c r="AD204" s="177">
        <f>((LOOKUP(Flat!AD$2,'Ceiling-U'!$A$4:$A$40,'Ceiling-U'!$F$4:$F$40)*Flat!AD$15)+(LOOKUP(Flat!AD$2,'Floor-U'!$A$4:$A$40,'Floor-U'!$F$4:$F$40)*Flat!AD$16)+(LOOKUP(Flat!AD$2,'Wall-U'!$A$4:$A$40,'Wall-U'!$Y$4:$Y$40)*Flat!AD$13)+(LOOKUP(Flat!AD$2,'Window-U'!$A$4:$A$40,'Window-U'!$F$4:$F$40)*Flat!AD$22))*AD202</f>
        <v>3560.4753733428088</v>
      </c>
      <c r="AE204" s="177">
        <f>((LOOKUP(Flat!AE$2,'Ceiling-U'!$A$4:$A$40,'Ceiling-U'!$F$4:$F$40)*Flat!AE$15)+(LOOKUP(Flat!AE$2,'Floor-U'!$A$4:$A$40,'Floor-U'!$F$4:$F$40)*Flat!AE$16)+(LOOKUP(Flat!AE$2,'Wall-U'!$A$4:$A$40,'Wall-U'!$Y$4:$Y$40)*Flat!AE$13)+(LOOKUP(Flat!AE$2,'Window-U'!$A$4:$A$40,'Window-U'!$F$4:$F$40)*Flat!AE$22))*AE202</f>
        <v>733.52474321426803</v>
      </c>
      <c r="AF204" s="177">
        <f>((LOOKUP(Flat!AF$2,'Ceiling-U'!$A$4:$A$40,'Ceiling-U'!$F$4:$F$40)*Flat!AF$15)+(LOOKUP(Flat!AF$2,'Floor-U'!$A$4:$A$40,'Floor-U'!$F$4:$F$40)*Flat!AF$16)+(LOOKUP(Flat!AF$2,'Wall-U'!$A$4:$A$40,'Wall-U'!$Y$4:$Y$40)*Flat!AF$13)+(LOOKUP(Flat!AF$2,'Window-U'!$A$4:$A$40,'Window-U'!$F$4:$F$40)*Flat!AF$22))*AF202</f>
        <v>995.66149301962446</v>
      </c>
      <c r="AG204" s="177">
        <f>((LOOKUP(Flat!AG$2,'Ceiling-U'!$A$4:$A$40,'Ceiling-U'!$F$4:$F$40)*Flat!AG$15)+(LOOKUP(Flat!AG$2,'Floor-U'!$A$4:$A$40,'Floor-U'!$F$4:$F$40)*Flat!AG$16)+(LOOKUP(Flat!AG$2,'Wall-U'!$A$4:$A$40,'Wall-U'!$Y$4:$Y$40)*Flat!AG$13)+(LOOKUP(Flat!AG$2,'Window-U'!$A$4:$A$40,'Window-U'!$F$4:$F$40)*Flat!AG$22))*AG202</f>
        <v>1434.0179818296751</v>
      </c>
      <c r="AH204" s="177">
        <f>((LOOKUP(Flat!AH$2,'Ceiling-U'!$A$4:$A$40,'Ceiling-U'!$F$4:$F$40)*Flat!AH$15)+(LOOKUP(Flat!AH$2,'Floor-U'!$A$4:$A$40,'Floor-U'!$F$4:$F$40)*Flat!AH$16)+(LOOKUP(Flat!AH$2,'Wall-U'!$A$4:$A$40,'Wall-U'!$Y$4:$Y$40)*Flat!AH$13)+(LOOKUP(Flat!AH$2,'Window-U'!$A$4:$A$40,'Window-U'!$F$4:$F$40)*Flat!AH$22))*AH202</f>
        <v>4048.9665927546494</v>
      </c>
      <c r="AI204" s="177">
        <f>((LOOKUP(Flat!AI$2,'Ceiling-U'!$A$4:$A$40,'Ceiling-U'!$F$4:$F$40)*Flat!AI$15)+(LOOKUP(Flat!AI$2,'Floor-U'!$A$4:$A$40,'Floor-U'!$F$4:$F$40)*Flat!AI$16)+(LOOKUP(Flat!AI$2,'Wall-U'!$A$4:$A$40,'Wall-U'!$Y$4:$Y$40)*Flat!AI$13)+(LOOKUP(Flat!AI$2,'Window-U'!$A$4:$A$40,'Window-U'!$F$4:$F$40)*Flat!AI$22))*AI202</f>
        <v>2197.8945399054846</v>
      </c>
      <c r="AJ204" s="177">
        <f>((LOOKUP(Flat!AJ$2,'Ceiling-U'!$A$4:$A$40,'Ceiling-U'!$F$4:$F$40)*Flat!AJ$15)+(LOOKUP(Flat!AJ$2,'Floor-U'!$A$4:$A$40,'Floor-U'!$F$4:$F$40)*Flat!AJ$16)+(LOOKUP(Flat!AJ$2,'Wall-U'!$A$4:$A$40,'Wall-U'!$Y$4:$Y$40)*Flat!AJ$13)+(LOOKUP(Flat!AJ$2,'Window-U'!$A$4:$A$40,'Window-U'!$F$4:$F$40)*Flat!AJ$22))*AJ202</f>
        <v>1165.2525721242125</v>
      </c>
      <c r="AK204" s="177">
        <f>((LOOKUP(Flat!AK$2,'Ceiling-U'!$A$4:$A$40,'Ceiling-U'!$F$4:$F$40)*Flat!AK$15)+(LOOKUP(Flat!AK$2,'Floor-U'!$A$4:$A$40,'Floor-U'!$F$4:$F$40)*Flat!AK$16)+(LOOKUP(Flat!AK$2,'Wall-U'!$A$4:$A$40,'Wall-U'!$Y$4:$Y$40)*Flat!AK$13)+(LOOKUP(Flat!AK$2,'Window-U'!$A$4:$A$40,'Window-U'!$F$4:$F$40)*Flat!AK$22))*AK202</f>
        <v>1251.1561507429183</v>
      </c>
      <c r="AL204" s="177">
        <f>((LOOKUP(Flat!AL$2,'Ceiling-U'!$A$4:$A$40,'Ceiling-U'!$F$4:$F$40)*Flat!AL$15)+(LOOKUP(Flat!AL$2,'Floor-U'!$A$4:$A$40,'Floor-U'!$F$4:$F$40)*Flat!AL$16)+(LOOKUP(Flat!AL$2,'Wall-U'!$A$4:$A$40,'Wall-U'!$Y$4:$Y$40)*Flat!AL$13)+(LOOKUP(Flat!AL$2,'Window-U'!$A$4:$A$40,'Window-U'!$F$4:$F$40)*Flat!AL$22))*AL202</f>
        <v>1160.3631853408979</v>
      </c>
      <c r="AM204" s="177">
        <f>((LOOKUP(Flat!AM$2,'Ceiling-U'!$A$4:$A$40,'Ceiling-U'!$F$4:$F$40)*Flat!AM$15)+(LOOKUP(Flat!AM$2,'Floor-U'!$A$4:$A$40,'Floor-U'!$F$4:$F$40)*Flat!AM$16)+(LOOKUP(Flat!AM$2,'Wall-U'!$A$4:$A$40,'Wall-U'!$Y$4:$Y$40)*Flat!AM$13)+(LOOKUP(Flat!AM$2,'Window-U'!$A$4:$A$40,'Window-U'!$F$4:$F$40)*Flat!AM$22))*AM202</f>
        <v>1165.2525721242125</v>
      </c>
      <c r="AN204" s="178">
        <f>((LOOKUP(Flat!AN$2,'Ceiling-U'!$A$4:$A$40,'Ceiling-U'!$F$4:$F$40)*Flat!AN$15)+(LOOKUP(Flat!AN$2,'Floor-U'!$A$4:$A$40,'Floor-U'!$F$4:$F$40)*Flat!AN$16)+(LOOKUP(Flat!AN$2,'Wall-U'!$A$4:$A$40,'Wall-U'!$Y$4:$Y$40)*Flat!AN$13)+(LOOKUP(Flat!AN$2,'Window-U'!$A$4:$A$40,'Window-U'!$F$4:$F$40)*Flat!AN$22))*AN202</f>
        <v>1165.2525721242125</v>
      </c>
    </row>
    <row r="205" spans="1:40" s="5" customFormat="1">
      <c r="A205" s="372"/>
      <c r="B205" s="142" t="s">
        <v>4</v>
      </c>
      <c r="C205" s="131" t="s">
        <v>195</v>
      </c>
      <c r="D205" s="176">
        <f>((LOOKUP(Flat!D$2,'Ceiling-U'!$A$4:$A$40,'Ceiling-U'!$G$4:$G$40)*Flat!D$15)+(LOOKUP(Flat!D$2,'Floor-U'!$A$4:$A$40,'Floor-U'!$G$4:$G$40)*Flat!D$16)+(LOOKUP(Flat!D$2,'Wall-U'!$A$4:$A$40,'Wall-U'!$Z$4:$Z$40)*Flat!D$13)+(LOOKUP(Flat!D$2,'Window-U'!$A$4:$A$40,'Window-U'!$G$4:$G$40)*Flat!D$22))*D202</f>
        <v>989.72593892405712</v>
      </c>
      <c r="E205" s="177">
        <f>((LOOKUP(Flat!E$2,'Ceiling-U'!$A$4:$A$40,'Ceiling-U'!$G$4:$G$40)*Flat!E$15)+(LOOKUP(Flat!E$2,'Floor-U'!$A$4:$A$40,'Floor-U'!$G$4:$G$40)*Flat!E$16)+(LOOKUP(Flat!E$2,'Wall-U'!$A$4:$A$40,'Wall-U'!$Z$4:$Z$40)*Flat!E$13)+(LOOKUP(Flat!E$2,'Window-U'!$A$4:$A$40,'Window-U'!$G$4:$G$40)*Flat!E$22))*E202</f>
        <v>1587.4888270425981</v>
      </c>
      <c r="F205" s="177">
        <f>((LOOKUP(Flat!F$2,'Ceiling-U'!$A$4:$A$40,'Ceiling-U'!$G$4:$G$40)*Flat!F$15)+(LOOKUP(Flat!F$2,'Floor-U'!$A$4:$A$40,'Floor-U'!$G$4:$G$40)*Flat!F$16)+(LOOKUP(Flat!F$2,'Wall-U'!$A$4:$A$40,'Wall-U'!$Z$4:$Z$40)*Flat!F$13)+(LOOKUP(Flat!F$2,'Window-U'!$A$4:$A$40,'Window-U'!$G$4:$G$40)*Flat!F$22))*F202</f>
        <v>2046.2272885004331</v>
      </c>
      <c r="G205" s="177">
        <f>((LOOKUP(Flat!G$2,'Ceiling-U'!$A$4:$A$40,'Ceiling-U'!$G$4:$G$40)*Flat!G$15)+(LOOKUP(Flat!G$2,'Floor-U'!$A$4:$A$40,'Floor-U'!$G$4:$G$40)*Flat!G$16)+(LOOKUP(Flat!G$2,'Wall-U'!$A$4:$A$40,'Wall-U'!$Z$4:$Z$40)*Flat!G$13)+(LOOKUP(Flat!G$2,'Window-U'!$A$4:$A$40,'Window-U'!$G$4:$G$40)*Flat!G$22))*G202</f>
        <v>989.72593892405712</v>
      </c>
      <c r="H205" s="177">
        <f>((LOOKUP(Flat!H$2,'Ceiling-U'!$A$4:$A$40,'Ceiling-U'!$G$4:$G$40)*Flat!H$15)+(LOOKUP(Flat!H$2,'Floor-U'!$A$4:$A$40,'Floor-U'!$G$4:$G$40)*Flat!H$16)+(LOOKUP(Flat!H$2,'Wall-U'!$A$4:$A$40,'Wall-U'!$Z$4:$Z$40)*Flat!H$13)+(LOOKUP(Flat!H$2,'Window-U'!$A$4:$A$40,'Window-U'!$G$4:$G$40)*Flat!H$22))*H202</f>
        <v>2621.1839401407874</v>
      </c>
      <c r="I205" s="177">
        <f>((LOOKUP(Flat!I$2,'Ceiling-U'!$A$4:$A$40,'Ceiling-U'!$G$4:$G$40)*Flat!I$15)+(LOOKUP(Flat!I$2,'Floor-U'!$A$4:$A$40,'Floor-U'!$G$4:$G$40)*Flat!I$16)+(LOOKUP(Flat!I$2,'Wall-U'!$A$4:$A$40,'Wall-U'!$Z$4:$Z$40)*Flat!I$13)+(LOOKUP(Flat!I$2,'Window-U'!$A$4:$A$40,'Window-U'!$G$4:$G$40)*Flat!I$22))*I202</f>
        <v>973.644338329942</v>
      </c>
      <c r="J205" s="177">
        <f>((LOOKUP(Flat!J$2,'Ceiling-U'!$A$4:$A$40,'Ceiling-U'!$G$4:$G$40)*Flat!J$15)+(LOOKUP(Flat!J$2,'Floor-U'!$A$4:$A$40,'Floor-U'!$G$4:$G$40)*Flat!J$16)+(LOOKUP(Flat!J$2,'Wall-U'!$A$4:$A$40,'Wall-U'!$Z$4:$Z$40)*Flat!J$13)+(LOOKUP(Flat!J$2,'Window-U'!$A$4:$A$40,'Window-U'!$G$4:$G$40)*Flat!J$22))*J202</f>
        <v>971.38371744135179</v>
      </c>
      <c r="K205" s="177">
        <f>((LOOKUP(Flat!K$2,'Ceiling-U'!$A$4:$A$40,'Ceiling-U'!$G$4:$G$40)*Flat!K$15)+(LOOKUP(Flat!K$2,'Floor-U'!$A$4:$A$40,'Floor-U'!$G$4:$G$40)*Flat!K$16)+(LOOKUP(Flat!K$2,'Wall-U'!$A$4:$A$40,'Wall-U'!$Z$4:$Z$40)*Flat!K$13)+(LOOKUP(Flat!K$2,'Window-U'!$A$4:$A$40,'Window-U'!$G$4:$G$40)*Flat!K$22))*K202</f>
        <v>1049.5499247207395</v>
      </c>
      <c r="L205" s="177">
        <f>((LOOKUP(Flat!L$2,'Ceiling-U'!$A$4:$A$40,'Ceiling-U'!$G$4:$G$40)*Flat!L$15)+(LOOKUP(Flat!L$2,'Floor-U'!$A$4:$A$40,'Floor-U'!$G$4:$G$40)*Flat!L$16)+(LOOKUP(Flat!L$2,'Wall-U'!$A$4:$A$40,'Wall-U'!$Z$4:$Z$40)*Flat!L$13)+(LOOKUP(Flat!L$2,'Window-U'!$A$4:$A$40,'Window-U'!$G$4:$G$40)*Flat!L$22))*L202</f>
        <v>512.49837809973565</v>
      </c>
      <c r="M205" s="177">
        <f>((LOOKUP(Flat!M$2,'Ceiling-U'!$A$4:$A$40,'Ceiling-U'!$G$4:$G$40)*Flat!M$15)+(LOOKUP(Flat!M$2,'Floor-U'!$A$4:$A$40,'Floor-U'!$G$4:$G$40)*Flat!M$16)+(LOOKUP(Flat!M$2,'Wall-U'!$A$4:$A$40,'Wall-U'!$Z$4:$Z$40)*Flat!M$13)+(LOOKUP(Flat!M$2,'Window-U'!$A$4:$A$40,'Window-U'!$G$4:$G$40)*Flat!M$22))*M202</f>
        <v>1336.9257168362781</v>
      </c>
      <c r="N205" s="177">
        <f>((LOOKUP(Flat!N$2,'Ceiling-U'!$A$4:$A$40,'Ceiling-U'!$G$4:$G$40)*Flat!N$15)+(LOOKUP(Flat!N$2,'Floor-U'!$A$4:$A$40,'Floor-U'!$G$4:$G$40)*Flat!N$16)+(LOOKUP(Flat!N$2,'Wall-U'!$A$4:$A$40,'Wall-U'!$Z$4:$Z$40)*Flat!N$13)+(LOOKUP(Flat!N$2,'Window-U'!$A$4:$A$40,'Window-U'!$G$4:$G$40)*Flat!N$22))*N202</f>
        <v>1313.2187085160622</v>
      </c>
      <c r="O205" s="177">
        <f>((LOOKUP(Flat!O$2,'Ceiling-U'!$A$4:$A$40,'Ceiling-U'!$G$4:$G$40)*Flat!O$15)+(LOOKUP(Flat!O$2,'Floor-U'!$A$4:$A$40,'Floor-U'!$G$4:$G$40)*Flat!O$16)+(LOOKUP(Flat!O$2,'Wall-U'!$A$4:$A$40,'Wall-U'!$Z$4:$Z$40)*Flat!O$13)+(LOOKUP(Flat!O$2,'Window-U'!$A$4:$A$40,'Window-U'!$G$4:$G$40)*Flat!O$22))*O202</f>
        <v>1101.7506620673776</v>
      </c>
      <c r="P205" s="177">
        <f>((LOOKUP(Flat!P$2,'Ceiling-U'!$A$4:$A$40,'Ceiling-U'!$G$4:$G$40)*Flat!P$15)+(LOOKUP(Flat!P$2,'Floor-U'!$A$4:$A$40,'Floor-U'!$G$4:$G$40)*Flat!P$16)+(LOOKUP(Flat!P$2,'Wall-U'!$A$4:$A$40,'Wall-U'!$Z$4:$Z$40)*Flat!P$13)+(LOOKUP(Flat!P$2,'Window-U'!$A$4:$A$40,'Window-U'!$G$4:$G$40)*Flat!P$22))*P202</f>
        <v>1374.57280285861</v>
      </c>
      <c r="Q205" s="177">
        <f>((LOOKUP(Flat!Q$2,'Ceiling-U'!$A$4:$A$40,'Ceiling-U'!$G$4:$G$40)*Flat!Q$15)+(LOOKUP(Flat!Q$2,'Floor-U'!$A$4:$A$40,'Floor-U'!$G$4:$G$40)*Flat!Q$16)+(LOOKUP(Flat!Q$2,'Wall-U'!$A$4:$A$40,'Wall-U'!$Z$4:$Z$40)*Flat!Q$13)+(LOOKUP(Flat!Q$2,'Window-U'!$A$4:$A$40,'Window-U'!$G$4:$G$40)*Flat!Q$22))*Q202</f>
        <v>1155.9178330257698</v>
      </c>
      <c r="R205" s="177">
        <f>((LOOKUP(Flat!R$2,'Ceiling-U'!$A$4:$A$40,'Ceiling-U'!$G$4:$G$40)*Flat!R$15)+(LOOKUP(Flat!R$2,'Floor-U'!$A$4:$A$40,'Floor-U'!$G$4:$G$40)*Flat!R$16)+(LOOKUP(Flat!R$2,'Wall-U'!$A$4:$A$40,'Wall-U'!$Z$4:$Z$40)*Flat!R$13)+(LOOKUP(Flat!R$2,'Window-U'!$A$4:$A$40,'Window-U'!$G$4:$G$40)*Flat!R$22))*R202</f>
        <v>899.74525459156098</v>
      </c>
      <c r="S205" s="177">
        <f>((LOOKUP(Flat!S$2,'Ceiling-U'!$A$4:$A$40,'Ceiling-U'!$G$4:$G$40)*Flat!S$15)+(LOOKUP(Flat!S$2,'Floor-U'!$A$4:$A$40,'Floor-U'!$G$4:$G$40)*Flat!S$16)+(LOOKUP(Flat!S$2,'Wall-U'!$A$4:$A$40,'Wall-U'!$Z$4:$Z$40)*Flat!S$13)+(LOOKUP(Flat!S$2,'Window-U'!$A$4:$A$40,'Window-U'!$G$4:$G$40)*Flat!S$22))*S202</f>
        <v>4657.5281229988077</v>
      </c>
      <c r="T205" s="177">
        <f>((LOOKUP(Flat!T$2,'Ceiling-U'!$A$4:$A$40,'Ceiling-U'!$G$4:$G$40)*Flat!T$15)+(LOOKUP(Flat!T$2,'Floor-U'!$A$4:$A$40,'Floor-U'!$G$4:$G$40)*Flat!T$16)+(LOOKUP(Flat!T$2,'Wall-U'!$A$4:$A$40,'Wall-U'!$Z$4:$Z$40)*Flat!T$13)+(LOOKUP(Flat!T$2,'Window-U'!$A$4:$A$40,'Window-U'!$G$4:$G$40)*Flat!T$22))*T202</f>
        <v>605.68962183047256</v>
      </c>
      <c r="U205" s="177">
        <f>((LOOKUP(Flat!U$2,'Ceiling-U'!$A$4:$A$40,'Ceiling-U'!$G$4:$G$40)*Flat!U$15)+(LOOKUP(Flat!U$2,'Floor-U'!$A$4:$A$40,'Floor-U'!$G$4:$G$40)*Flat!U$16)+(LOOKUP(Flat!U$2,'Wall-U'!$A$4:$A$40,'Wall-U'!$Z$4:$Z$40)*Flat!U$13)+(LOOKUP(Flat!U$2,'Window-U'!$A$4:$A$40,'Window-U'!$G$4:$G$40)*Flat!U$22))*U202</f>
        <v>2034.1234690043707</v>
      </c>
      <c r="V205" s="177">
        <f>((LOOKUP(Flat!V$2,'Ceiling-U'!$A$4:$A$40,'Ceiling-U'!$G$4:$G$40)*Flat!V$15)+(LOOKUP(Flat!V$2,'Floor-U'!$A$4:$A$40,'Floor-U'!$G$4:$G$40)*Flat!V$16)+(LOOKUP(Flat!V$2,'Wall-U'!$A$4:$A$40,'Wall-U'!$Z$4:$Z$40)*Flat!V$13)+(LOOKUP(Flat!V$2,'Window-U'!$A$4:$A$40,'Window-U'!$G$4:$G$40)*Flat!V$22))*V202</f>
        <v>638.98589578239057</v>
      </c>
      <c r="W205" s="177">
        <f>((LOOKUP(Flat!W$2,'Ceiling-U'!$A$4:$A$40,'Ceiling-U'!$G$4:$G$40)*Flat!W$15)+(LOOKUP(Flat!W$2,'Floor-U'!$A$4:$A$40,'Floor-U'!$G$4:$G$40)*Flat!W$16)+(LOOKUP(Flat!W$2,'Wall-U'!$A$4:$A$40,'Wall-U'!$Z$4:$Z$40)*Flat!W$13)+(LOOKUP(Flat!W$2,'Window-U'!$A$4:$A$40,'Window-U'!$G$4:$G$40)*Flat!W$22))*W202</f>
        <v>1043.6870236688924</v>
      </c>
      <c r="X205" s="177">
        <f>((LOOKUP(Flat!X$2,'Ceiling-U'!$A$4:$A$40,'Ceiling-U'!$G$4:$G$40)*Flat!X$15)+(LOOKUP(Flat!X$2,'Floor-U'!$A$4:$A$40,'Floor-U'!$G$4:$G$40)*Flat!X$16)+(LOOKUP(Flat!X$2,'Wall-U'!$A$4:$A$40,'Wall-U'!$Z$4:$Z$40)*Flat!X$13)+(LOOKUP(Flat!X$2,'Window-U'!$A$4:$A$40,'Window-U'!$G$4:$G$40)*Flat!X$22))*X202</f>
        <v>915.32354277767467</v>
      </c>
      <c r="Y205" s="177">
        <f>((LOOKUP(Flat!Y$2,'Ceiling-U'!$A$4:$A$40,'Ceiling-U'!$G$4:$G$40)*Flat!Y$15)+(LOOKUP(Flat!Y$2,'Floor-U'!$A$4:$A$40,'Floor-U'!$G$4:$G$40)*Flat!Y$16)+(LOOKUP(Flat!Y$2,'Wall-U'!$A$4:$A$40,'Wall-U'!$Z$4:$Z$40)*Flat!Y$13)+(LOOKUP(Flat!Y$2,'Window-U'!$A$4:$A$40,'Window-U'!$G$4:$G$40)*Flat!Y$22))*Y202</f>
        <v>2519.9328394663657</v>
      </c>
      <c r="Z205" s="177">
        <f>((LOOKUP(Flat!Z$2,'Ceiling-U'!$A$4:$A$40,'Ceiling-U'!$G$4:$G$40)*Flat!Z$15)+(LOOKUP(Flat!Z$2,'Floor-U'!$A$4:$A$40,'Floor-U'!$G$4:$G$40)*Flat!Z$16)+(LOOKUP(Flat!Z$2,'Wall-U'!$A$4:$A$40,'Wall-U'!$Z$4:$Z$40)*Flat!Z$13)+(LOOKUP(Flat!Z$2,'Window-U'!$A$4:$A$40,'Window-U'!$G$4:$G$40)*Flat!Z$22))*Z202</f>
        <v>1367.6044012434108</v>
      </c>
      <c r="AA205" s="177">
        <f>((LOOKUP(Flat!AA$2,'Ceiling-U'!$A$4:$A$40,'Ceiling-U'!$G$4:$G$40)*Flat!AA$15)+(LOOKUP(Flat!AA$2,'Floor-U'!$A$4:$A$40,'Floor-U'!$G$4:$G$40)*Flat!AA$16)+(LOOKUP(Flat!AA$2,'Wall-U'!$A$4:$A$40,'Wall-U'!$Z$4:$Z$40)*Flat!AA$13)+(LOOKUP(Flat!AA$2,'Window-U'!$A$4:$A$40,'Window-U'!$G$4:$G$40)*Flat!AA$22))*AA202</f>
        <v>598.53467790749664</v>
      </c>
      <c r="AB205" s="177">
        <f>((LOOKUP(Flat!AB$2,'Ceiling-U'!$A$4:$A$40,'Ceiling-U'!$G$4:$G$40)*Flat!AB$15)+(LOOKUP(Flat!AB$2,'Floor-U'!$A$4:$A$40,'Floor-U'!$G$4:$G$40)*Flat!AB$16)+(LOOKUP(Flat!AB$2,'Wall-U'!$A$4:$A$40,'Wall-U'!$Z$4:$Z$40)*Flat!AB$13)+(LOOKUP(Flat!AB$2,'Window-U'!$A$4:$A$40,'Window-U'!$G$4:$G$40)*Flat!AB$22))*AB202</f>
        <v>1134.7697085080679</v>
      </c>
      <c r="AC205" s="177">
        <f>((LOOKUP(Flat!AC$2,'Ceiling-U'!$A$4:$A$40,'Ceiling-U'!$G$4:$G$40)*Flat!AC$15)+(LOOKUP(Flat!AC$2,'Floor-U'!$A$4:$A$40,'Floor-U'!$G$4:$G$40)*Flat!AC$16)+(LOOKUP(Flat!AC$2,'Wall-U'!$A$4:$A$40,'Wall-U'!$Z$4:$Z$40)*Flat!AC$13)+(LOOKUP(Flat!AC$2,'Window-U'!$A$4:$A$40,'Window-U'!$G$4:$G$40)*Flat!AC$22))*AC202</f>
        <v>2422.4949254522658</v>
      </c>
      <c r="AD205" s="177">
        <f>((LOOKUP(Flat!AD$2,'Ceiling-U'!$A$4:$A$40,'Ceiling-U'!$G$4:$G$40)*Flat!AD$15)+(LOOKUP(Flat!AD$2,'Floor-U'!$A$4:$A$40,'Floor-U'!$G$4:$G$40)*Flat!AD$16)+(LOOKUP(Flat!AD$2,'Wall-U'!$A$4:$A$40,'Wall-U'!$Z$4:$Z$40)*Flat!AD$13)+(LOOKUP(Flat!AD$2,'Window-U'!$A$4:$A$40,'Window-U'!$G$4:$G$40)*Flat!AD$22))*AD202</f>
        <v>3560.4753733428088</v>
      </c>
      <c r="AE205" s="177">
        <f>((LOOKUP(Flat!AE$2,'Ceiling-U'!$A$4:$A$40,'Ceiling-U'!$G$4:$G$40)*Flat!AE$15)+(LOOKUP(Flat!AE$2,'Floor-U'!$A$4:$A$40,'Floor-U'!$G$4:$G$40)*Flat!AE$16)+(LOOKUP(Flat!AE$2,'Wall-U'!$A$4:$A$40,'Wall-U'!$Z$4:$Z$40)*Flat!AE$13)+(LOOKUP(Flat!AE$2,'Window-U'!$A$4:$A$40,'Window-U'!$G$4:$G$40)*Flat!AE$22))*AE202</f>
        <v>598.53467790749664</v>
      </c>
      <c r="AF205" s="177">
        <f>((LOOKUP(Flat!AF$2,'Ceiling-U'!$A$4:$A$40,'Ceiling-U'!$G$4:$G$40)*Flat!AF$15)+(LOOKUP(Flat!AF$2,'Floor-U'!$A$4:$A$40,'Floor-U'!$G$4:$G$40)*Flat!AF$16)+(LOOKUP(Flat!AF$2,'Wall-U'!$A$4:$A$40,'Wall-U'!$Z$4:$Z$40)*Flat!AF$13)+(LOOKUP(Flat!AF$2,'Window-U'!$A$4:$A$40,'Window-U'!$G$4:$G$40)*Flat!AF$22))*AF202</f>
        <v>875.12018651962467</v>
      </c>
      <c r="AG205" s="177">
        <f>((LOOKUP(Flat!AG$2,'Ceiling-U'!$A$4:$A$40,'Ceiling-U'!$G$4:$G$40)*Flat!AG$15)+(LOOKUP(Flat!AG$2,'Floor-U'!$A$4:$A$40,'Floor-U'!$G$4:$G$40)*Flat!AG$16)+(LOOKUP(Flat!AG$2,'Wall-U'!$A$4:$A$40,'Wall-U'!$Z$4:$Z$40)*Flat!AG$13)+(LOOKUP(Flat!AG$2,'Window-U'!$A$4:$A$40,'Window-U'!$G$4:$G$40)*Flat!AG$22))*AG202</f>
        <v>1434.0179818296751</v>
      </c>
      <c r="AH205" s="177">
        <f>((LOOKUP(Flat!AH$2,'Ceiling-U'!$A$4:$A$40,'Ceiling-U'!$G$4:$G$40)*Flat!AH$15)+(LOOKUP(Flat!AH$2,'Floor-U'!$A$4:$A$40,'Floor-U'!$G$4:$G$40)*Flat!AH$16)+(LOOKUP(Flat!AH$2,'Wall-U'!$A$4:$A$40,'Wall-U'!$Z$4:$Z$40)*Flat!AH$13)+(LOOKUP(Flat!AH$2,'Window-U'!$A$4:$A$40,'Window-U'!$G$4:$G$40)*Flat!AH$22))*AH202</f>
        <v>3403.6664074683003</v>
      </c>
      <c r="AI205" s="177">
        <f>((LOOKUP(Flat!AI$2,'Ceiling-U'!$A$4:$A$40,'Ceiling-U'!$G$4:$G$40)*Flat!AI$15)+(LOOKUP(Flat!AI$2,'Floor-U'!$A$4:$A$40,'Floor-U'!$G$4:$G$40)*Flat!AI$16)+(LOOKUP(Flat!AI$2,'Wall-U'!$A$4:$A$40,'Wall-U'!$Z$4:$Z$40)*Flat!AI$13)+(LOOKUP(Flat!AI$2,'Window-U'!$A$4:$A$40,'Window-U'!$G$4:$G$40)*Flat!AI$22))*AI202</f>
        <v>2197.8945399054846</v>
      </c>
      <c r="AJ205" s="177">
        <f>((LOOKUP(Flat!AJ$2,'Ceiling-U'!$A$4:$A$40,'Ceiling-U'!$G$4:$G$40)*Flat!AJ$15)+(LOOKUP(Flat!AJ$2,'Floor-U'!$A$4:$A$40,'Floor-U'!$G$4:$G$40)*Flat!AJ$16)+(LOOKUP(Flat!AJ$2,'Wall-U'!$A$4:$A$40,'Wall-U'!$Z$4:$Z$40)*Flat!AJ$13)+(LOOKUP(Flat!AJ$2,'Window-U'!$A$4:$A$40,'Window-U'!$G$4:$G$40)*Flat!AJ$22))*AJ202</f>
        <v>1165.2525721242125</v>
      </c>
      <c r="AK205" s="177">
        <f>((LOOKUP(Flat!AK$2,'Ceiling-U'!$A$4:$A$40,'Ceiling-U'!$G$4:$G$40)*Flat!AK$15)+(LOOKUP(Flat!AK$2,'Floor-U'!$A$4:$A$40,'Floor-U'!$G$4:$G$40)*Flat!AK$16)+(LOOKUP(Flat!AK$2,'Wall-U'!$A$4:$A$40,'Wall-U'!$Z$4:$Z$40)*Flat!AK$13)+(LOOKUP(Flat!AK$2,'Window-U'!$A$4:$A$40,'Window-U'!$G$4:$G$40)*Flat!AK$22))*AK202</f>
        <v>1251.1561507429183</v>
      </c>
      <c r="AL205" s="177">
        <f>((LOOKUP(Flat!AL$2,'Ceiling-U'!$A$4:$A$40,'Ceiling-U'!$G$4:$G$40)*Flat!AL$15)+(LOOKUP(Flat!AL$2,'Floor-U'!$A$4:$A$40,'Floor-U'!$G$4:$G$40)*Flat!AL$16)+(LOOKUP(Flat!AL$2,'Wall-U'!$A$4:$A$40,'Wall-U'!$Z$4:$Z$40)*Flat!AL$13)+(LOOKUP(Flat!AL$2,'Window-U'!$A$4:$A$40,'Window-U'!$G$4:$G$40)*Flat!AL$22))*AL202</f>
        <v>1118.7133055772199</v>
      </c>
      <c r="AM205" s="177">
        <f>((LOOKUP(Flat!AM$2,'Ceiling-U'!$A$4:$A$40,'Ceiling-U'!$G$4:$G$40)*Flat!AM$15)+(LOOKUP(Flat!AM$2,'Floor-U'!$A$4:$A$40,'Floor-U'!$G$4:$G$40)*Flat!AM$16)+(LOOKUP(Flat!AM$2,'Wall-U'!$A$4:$A$40,'Wall-U'!$Z$4:$Z$40)*Flat!AM$13)+(LOOKUP(Flat!AM$2,'Window-U'!$A$4:$A$40,'Window-U'!$G$4:$G$40)*Flat!AM$22))*AM202</f>
        <v>1165.2525721242125</v>
      </c>
      <c r="AN205" s="178">
        <f>((LOOKUP(Flat!AN$2,'Ceiling-U'!$A$4:$A$40,'Ceiling-U'!$G$4:$G$40)*Flat!AN$15)+(LOOKUP(Flat!AN$2,'Floor-U'!$A$4:$A$40,'Floor-U'!$G$4:$G$40)*Flat!AN$16)+(LOOKUP(Flat!AN$2,'Wall-U'!$A$4:$A$40,'Wall-U'!$Z$4:$Z$40)*Flat!AN$13)+(LOOKUP(Flat!AN$2,'Window-U'!$A$4:$A$40,'Window-U'!$G$4:$G$40)*Flat!AN$22))*AN202</f>
        <v>1165.2525721242125</v>
      </c>
    </row>
    <row r="206" spans="1:40" s="5" customFormat="1">
      <c r="A206" s="372"/>
      <c r="B206" s="142" t="s">
        <v>5</v>
      </c>
      <c r="C206" s="131" t="s">
        <v>195</v>
      </c>
      <c r="D206" s="176">
        <f>((LOOKUP(Flat!D$2,'Ceiling-U'!$A$4:$A$40,'Ceiling-U'!$H$4:$H$40)*Flat!D$15)+(LOOKUP(Flat!D$2,'Floor-U'!$A$4:$A$40,'Floor-U'!$H$4:$H$40)*Flat!D$16)+(LOOKUP(Flat!D$2,'Wall-U'!$A$4:$A$40,'Wall-U'!$AA$4:$AA$40)*Flat!D$13)+(LOOKUP(Flat!D$2,'Window-U'!$A$4:$A$40,'Window-U'!$H$4:$H$40)*Flat!D$22))*D202</f>
        <v>734.73882260084929</v>
      </c>
      <c r="E206" s="177">
        <f>((LOOKUP(Flat!E$2,'Ceiling-U'!$A$4:$A$40,'Ceiling-U'!$H$4:$H$40)*Flat!E$15)+(LOOKUP(Flat!E$2,'Floor-U'!$A$4:$A$40,'Floor-U'!$H$4:$H$40)*Flat!E$16)+(LOOKUP(Flat!E$2,'Wall-U'!$A$4:$A$40,'Wall-U'!$AA$4:$AA$40)*Flat!E$13)+(LOOKUP(Flat!E$2,'Window-U'!$A$4:$A$40,'Window-U'!$H$4:$H$40)*Flat!E$22))*E202</f>
        <v>1377.3063034881025</v>
      </c>
      <c r="F206" s="177">
        <f>((LOOKUP(Flat!F$2,'Ceiling-U'!$A$4:$A$40,'Ceiling-U'!$H$4:$H$40)*Flat!F$15)+(LOOKUP(Flat!F$2,'Floor-U'!$A$4:$A$40,'Floor-U'!$H$4:$H$40)*Flat!F$16)+(LOOKUP(Flat!F$2,'Wall-U'!$A$4:$A$40,'Wall-U'!$AA$4:$AA$40)*Flat!F$13)+(LOOKUP(Flat!F$2,'Window-U'!$A$4:$A$40,'Window-U'!$H$4:$H$40)*Flat!F$22))*F202</f>
        <v>1876.3151223937343</v>
      </c>
      <c r="G206" s="177">
        <f>((LOOKUP(Flat!G$2,'Ceiling-U'!$A$4:$A$40,'Ceiling-U'!$H$4:$H$40)*Flat!G$15)+(LOOKUP(Flat!G$2,'Floor-U'!$A$4:$A$40,'Floor-U'!$H$4:$H$40)*Flat!G$16)+(LOOKUP(Flat!G$2,'Wall-U'!$A$4:$A$40,'Wall-U'!$AA$4:$AA$40)*Flat!G$13)+(LOOKUP(Flat!G$2,'Window-U'!$A$4:$A$40,'Window-U'!$H$4:$H$40)*Flat!G$22))*G202</f>
        <v>734.73882260084929</v>
      </c>
      <c r="H206" s="177">
        <f>((LOOKUP(Flat!H$2,'Ceiling-U'!$A$4:$A$40,'Ceiling-U'!$H$4:$H$40)*Flat!H$15)+(LOOKUP(Flat!H$2,'Floor-U'!$A$4:$A$40,'Floor-U'!$H$4:$H$40)*Flat!H$16)+(LOOKUP(Flat!H$2,'Wall-U'!$A$4:$A$40,'Wall-U'!$AA$4:$AA$40)*Flat!H$13)+(LOOKUP(Flat!H$2,'Window-U'!$A$4:$A$40,'Window-U'!$H$4:$H$40)*Flat!H$22))*H202</f>
        <v>2533.5839401407875</v>
      </c>
      <c r="I206" s="177">
        <f>((LOOKUP(Flat!I$2,'Ceiling-U'!$A$4:$A$40,'Ceiling-U'!$H$4:$H$40)*Flat!I$15)+(LOOKUP(Flat!I$2,'Floor-U'!$A$4:$A$40,'Floor-U'!$H$4:$H$40)*Flat!I$16)+(LOOKUP(Flat!I$2,'Wall-U'!$A$4:$A$40,'Wall-U'!$AA$4:$AA$40)*Flat!I$13)+(LOOKUP(Flat!I$2,'Window-U'!$A$4:$A$40,'Window-U'!$H$4:$H$40)*Flat!I$22))*I202</f>
        <v>906.13265908767175</v>
      </c>
      <c r="J206" s="177">
        <f>((LOOKUP(Flat!J$2,'Ceiling-U'!$A$4:$A$40,'Ceiling-U'!$H$4:$H$40)*Flat!J$15)+(LOOKUP(Flat!J$2,'Floor-U'!$A$4:$A$40,'Floor-U'!$H$4:$H$40)*Flat!J$16)+(LOOKUP(Flat!J$2,'Wall-U'!$A$4:$A$40,'Wall-U'!$AA$4:$AA$40)*Flat!J$13)+(LOOKUP(Flat!J$2,'Window-U'!$A$4:$A$40,'Window-U'!$H$4:$H$40)*Flat!J$22))*J202</f>
        <v>793.48798240214319</v>
      </c>
      <c r="K206" s="177">
        <f>((LOOKUP(Flat!K$2,'Ceiling-U'!$A$4:$A$40,'Ceiling-U'!$H$4:$H$40)*Flat!K$15)+(LOOKUP(Flat!K$2,'Floor-U'!$A$4:$A$40,'Floor-U'!$H$4:$H$40)*Flat!K$16)+(LOOKUP(Flat!K$2,'Wall-U'!$A$4:$A$40,'Wall-U'!$AA$4:$AA$40)*Flat!K$13)+(LOOKUP(Flat!K$2,'Window-U'!$A$4:$A$40,'Window-U'!$H$4:$H$40)*Flat!K$22))*K202</f>
        <v>946.83999333472184</v>
      </c>
      <c r="L206" s="177">
        <f>((LOOKUP(Flat!L$2,'Ceiling-U'!$A$4:$A$40,'Ceiling-U'!$H$4:$H$40)*Flat!L$15)+(LOOKUP(Flat!L$2,'Floor-U'!$A$4:$A$40,'Floor-U'!$H$4:$H$40)*Flat!L$16)+(LOOKUP(Flat!L$2,'Wall-U'!$A$4:$A$40,'Wall-U'!$AA$4:$AA$40)*Flat!L$13)+(LOOKUP(Flat!L$2,'Window-U'!$A$4:$A$40,'Window-U'!$H$4:$H$40)*Flat!L$22))*L202</f>
        <v>371.46182229635116</v>
      </c>
      <c r="M206" s="177">
        <f>((LOOKUP(Flat!M$2,'Ceiling-U'!$A$4:$A$40,'Ceiling-U'!$H$4:$H$40)*Flat!M$15)+(LOOKUP(Flat!M$2,'Floor-U'!$A$4:$A$40,'Floor-U'!$H$4:$H$40)*Flat!M$16)+(LOOKUP(Flat!M$2,'Wall-U'!$A$4:$A$40,'Wall-U'!$AA$4:$AA$40)*Flat!M$13)+(LOOKUP(Flat!M$2,'Window-U'!$A$4:$A$40,'Window-U'!$H$4:$H$40)*Flat!M$22))*M202</f>
        <v>801.92198332438807</v>
      </c>
      <c r="N206" s="177">
        <f>((LOOKUP(Flat!N$2,'Ceiling-U'!$A$4:$A$40,'Ceiling-U'!$H$4:$H$40)*Flat!N$15)+(LOOKUP(Flat!N$2,'Floor-U'!$A$4:$A$40,'Floor-U'!$H$4:$H$40)*Flat!N$16)+(LOOKUP(Flat!N$2,'Wall-U'!$A$4:$A$40,'Wall-U'!$AA$4:$AA$40)*Flat!N$13)+(LOOKUP(Flat!N$2,'Window-U'!$A$4:$A$40,'Window-U'!$H$4:$H$40)*Flat!N$22))*N202</f>
        <v>1109.5555905246376</v>
      </c>
      <c r="O206" s="177">
        <f>((LOOKUP(Flat!O$2,'Ceiling-U'!$A$4:$A$40,'Ceiling-U'!$H$4:$H$40)*Flat!O$15)+(LOOKUP(Flat!O$2,'Floor-U'!$A$4:$A$40,'Floor-U'!$H$4:$H$40)*Flat!O$16)+(LOOKUP(Flat!O$2,'Wall-U'!$A$4:$A$40,'Wall-U'!$AA$4:$AA$40)*Flat!O$13)+(LOOKUP(Flat!O$2,'Window-U'!$A$4:$A$40,'Window-U'!$H$4:$H$40)*Flat!O$22))*O202</f>
        <v>958.98014495979737</v>
      </c>
      <c r="P206" s="177">
        <f>((LOOKUP(Flat!P$2,'Ceiling-U'!$A$4:$A$40,'Ceiling-U'!$H$4:$H$40)*Flat!P$15)+(LOOKUP(Flat!P$2,'Floor-U'!$A$4:$A$40,'Floor-U'!$H$4:$H$40)*Flat!P$16)+(LOOKUP(Flat!P$2,'Wall-U'!$A$4:$A$40,'Wall-U'!$AA$4:$AA$40)*Flat!P$13)+(LOOKUP(Flat!P$2,'Window-U'!$A$4:$A$40,'Window-U'!$H$4:$H$40)*Flat!P$22))*P202</f>
        <v>1316.1728028586101</v>
      </c>
      <c r="Q206" s="177">
        <f>((LOOKUP(Flat!Q$2,'Ceiling-U'!$A$4:$A$40,'Ceiling-U'!$H$4:$H$40)*Flat!Q$15)+(LOOKUP(Flat!Q$2,'Floor-U'!$A$4:$A$40,'Floor-U'!$H$4:$H$40)*Flat!Q$16)+(LOOKUP(Flat!Q$2,'Wall-U'!$A$4:$A$40,'Wall-U'!$AA$4:$AA$40)*Flat!Q$13)+(LOOKUP(Flat!Q$2,'Window-U'!$A$4:$A$40,'Window-U'!$H$4:$H$40)*Flat!Q$22))*Q202</f>
        <v>1155.9178330257698</v>
      </c>
      <c r="R206" s="177">
        <f>((LOOKUP(Flat!R$2,'Ceiling-U'!$A$4:$A$40,'Ceiling-U'!$H$4:$H$40)*Flat!R$15)+(LOOKUP(Flat!R$2,'Floor-U'!$A$4:$A$40,'Floor-U'!$H$4:$H$40)*Flat!R$16)+(LOOKUP(Flat!R$2,'Wall-U'!$A$4:$A$40,'Wall-U'!$AA$4:$AA$40)*Flat!R$13)+(LOOKUP(Flat!R$2,'Window-U'!$A$4:$A$40,'Window-U'!$H$4:$H$40)*Flat!R$22))*R202</f>
        <v>794.59751656700178</v>
      </c>
      <c r="S206" s="177">
        <f>((LOOKUP(Flat!S$2,'Ceiling-U'!$A$4:$A$40,'Ceiling-U'!$H$4:$H$40)*Flat!S$15)+(LOOKUP(Flat!S$2,'Floor-U'!$A$4:$A$40,'Floor-U'!$H$4:$H$40)*Flat!S$16)+(LOOKUP(Flat!S$2,'Wall-U'!$A$4:$A$40,'Wall-U'!$AA$4:$AA$40)*Flat!S$13)+(LOOKUP(Flat!S$2,'Window-U'!$A$4:$A$40,'Window-U'!$H$4:$H$40)*Flat!S$22))*S202</f>
        <v>3254.5306399127003</v>
      </c>
      <c r="T206" s="177">
        <f>((LOOKUP(Flat!T$2,'Ceiling-U'!$A$4:$A$40,'Ceiling-U'!$H$4:$H$40)*Flat!T$15)+(LOOKUP(Flat!T$2,'Floor-U'!$A$4:$A$40,'Floor-U'!$H$4:$H$40)*Flat!T$16)+(LOOKUP(Flat!T$2,'Wall-U'!$A$4:$A$40,'Wall-U'!$AA$4:$AA$40)*Flat!T$13)+(LOOKUP(Flat!T$2,'Window-U'!$A$4:$A$40,'Window-U'!$H$4:$H$40)*Flat!T$22))*T202</f>
        <v>510.31321794523274</v>
      </c>
      <c r="U206" s="177">
        <f>((LOOKUP(Flat!U$2,'Ceiling-U'!$A$4:$A$40,'Ceiling-U'!$H$4:$H$40)*Flat!U$15)+(LOOKUP(Flat!U$2,'Floor-U'!$A$4:$A$40,'Floor-U'!$H$4:$H$40)*Flat!U$16)+(LOOKUP(Flat!U$2,'Wall-U'!$A$4:$A$40,'Wall-U'!$AA$4:$AA$40)*Flat!U$13)+(LOOKUP(Flat!U$2,'Window-U'!$A$4:$A$40,'Window-U'!$H$4:$H$40)*Flat!U$22))*U202</f>
        <v>1664.510240182474</v>
      </c>
      <c r="V206" s="177">
        <f>((LOOKUP(Flat!V$2,'Ceiling-U'!$A$4:$A$40,'Ceiling-U'!$H$4:$H$40)*Flat!V$15)+(LOOKUP(Flat!V$2,'Floor-U'!$A$4:$A$40,'Floor-U'!$H$4:$H$40)*Flat!V$16)+(LOOKUP(Flat!V$2,'Wall-U'!$A$4:$A$40,'Wall-U'!$AA$4:$AA$40)*Flat!V$13)+(LOOKUP(Flat!V$2,'Window-U'!$A$4:$A$40,'Window-U'!$H$4:$H$40)*Flat!V$22))*V202</f>
        <v>638.98589578239057</v>
      </c>
      <c r="W206" s="177">
        <f>((LOOKUP(Flat!W$2,'Ceiling-U'!$A$4:$A$40,'Ceiling-U'!$H$4:$H$40)*Flat!W$15)+(LOOKUP(Flat!W$2,'Floor-U'!$A$4:$A$40,'Floor-U'!$H$4:$H$40)*Flat!W$16)+(LOOKUP(Flat!W$2,'Wall-U'!$A$4:$A$40,'Wall-U'!$AA$4:$AA$40)*Flat!W$13)+(LOOKUP(Flat!W$2,'Window-U'!$A$4:$A$40,'Window-U'!$H$4:$H$40)*Flat!W$22))*W202</f>
        <v>828.57122440573028</v>
      </c>
      <c r="X206" s="177">
        <f>((LOOKUP(Flat!X$2,'Ceiling-U'!$A$4:$A$40,'Ceiling-U'!$H$4:$H$40)*Flat!X$15)+(LOOKUP(Flat!X$2,'Floor-U'!$A$4:$A$40,'Floor-U'!$H$4:$H$40)*Flat!X$16)+(LOOKUP(Flat!X$2,'Wall-U'!$A$4:$A$40,'Wall-U'!$AA$4:$AA$40)*Flat!X$13)+(LOOKUP(Flat!X$2,'Window-U'!$A$4:$A$40,'Window-U'!$H$4:$H$40)*Flat!X$22))*X202</f>
        <v>592.8651886487512</v>
      </c>
      <c r="Y206" s="177">
        <f>((LOOKUP(Flat!Y$2,'Ceiling-U'!$A$4:$A$40,'Ceiling-U'!$H$4:$H$40)*Flat!Y$15)+(LOOKUP(Flat!Y$2,'Floor-U'!$A$4:$A$40,'Floor-U'!$H$4:$H$40)*Flat!Y$16)+(LOOKUP(Flat!Y$2,'Wall-U'!$A$4:$A$40,'Wall-U'!$AA$4:$AA$40)*Flat!Y$13)+(LOOKUP(Flat!Y$2,'Window-U'!$A$4:$A$40,'Window-U'!$H$4:$H$40)*Flat!Y$22))*Y202</f>
        <v>2264.8384834663657</v>
      </c>
      <c r="Z206" s="177">
        <f>((LOOKUP(Flat!Z$2,'Ceiling-U'!$A$4:$A$40,'Ceiling-U'!$H$4:$H$40)*Flat!Z$15)+(LOOKUP(Flat!Z$2,'Floor-U'!$A$4:$A$40,'Floor-U'!$H$4:$H$40)*Flat!Z$16)+(LOOKUP(Flat!Z$2,'Wall-U'!$A$4:$A$40,'Wall-U'!$AA$4:$AA$40)*Flat!Z$13)+(LOOKUP(Flat!Z$2,'Window-U'!$A$4:$A$40,'Window-U'!$H$4:$H$40)*Flat!Z$22))*Z202</f>
        <v>1134.6805860840798</v>
      </c>
      <c r="AA206" s="177">
        <f>((LOOKUP(Flat!AA$2,'Ceiling-U'!$A$4:$A$40,'Ceiling-U'!$H$4:$H$40)*Flat!AA$15)+(LOOKUP(Flat!AA$2,'Floor-U'!$A$4:$A$40,'Floor-U'!$H$4:$H$40)*Flat!AA$16)+(LOOKUP(Flat!AA$2,'Wall-U'!$A$4:$A$40,'Wall-U'!$AA$4:$AA$40)*Flat!AA$13)+(LOOKUP(Flat!AA$2,'Window-U'!$A$4:$A$40,'Window-U'!$H$4:$H$40)*Flat!AA$22))*AA202</f>
        <v>585.57467790749661</v>
      </c>
      <c r="AB206" s="177">
        <f>((LOOKUP(Flat!AB$2,'Ceiling-U'!$A$4:$A$40,'Ceiling-U'!$H$4:$H$40)*Flat!AB$15)+(LOOKUP(Flat!AB$2,'Floor-U'!$A$4:$A$40,'Floor-U'!$H$4:$H$40)*Flat!AB$16)+(LOOKUP(Flat!AB$2,'Wall-U'!$A$4:$A$40,'Wall-U'!$AA$4:$AA$40)*Flat!AB$13)+(LOOKUP(Flat!AB$2,'Window-U'!$A$4:$A$40,'Window-U'!$H$4:$H$40)*Flat!AB$22))*AB202</f>
        <v>1134.7697085080679</v>
      </c>
      <c r="AC206" s="177">
        <f>((LOOKUP(Flat!AC$2,'Ceiling-U'!$A$4:$A$40,'Ceiling-U'!$H$4:$H$40)*Flat!AC$15)+(LOOKUP(Flat!AC$2,'Floor-U'!$A$4:$A$40,'Floor-U'!$H$4:$H$40)*Flat!AC$16)+(LOOKUP(Flat!AC$2,'Wall-U'!$A$4:$A$40,'Wall-U'!$AA$4:$AA$40)*Flat!AC$13)+(LOOKUP(Flat!AC$2,'Window-U'!$A$4:$A$40,'Window-U'!$H$4:$H$40)*Flat!AC$22))*AC202</f>
        <v>2401.5888975285284</v>
      </c>
      <c r="AD206" s="177">
        <f>((LOOKUP(Flat!AD$2,'Ceiling-U'!$A$4:$A$40,'Ceiling-U'!$H$4:$H$40)*Flat!AD$15)+(LOOKUP(Flat!AD$2,'Floor-U'!$A$4:$A$40,'Floor-U'!$H$4:$H$40)*Flat!AD$16)+(LOOKUP(Flat!AD$2,'Wall-U'!$A$4:$A$40,'Wall-U'!$AA$4:$AA$40)*Flat!AD$13)+(LOOKUP(Flat!AD$2,'Window-U'!$A$4:$A$40,'Window-U'!$H$4:$H$40)*Flat!AD$22))*AD202</f>
        <v>3298.8695410193313</v>
      </c>
      <c r="AE206" s="177">
        <f>((LOOKUP(Flat!AE$2,'Ceiling-U'!$A$4:$A$40,'Ceiling-U'!$H$4:$H$40)*Flat!AE$15)+(LOOKUP(Flat!AE$2,'Floor-U'!$A$4:$A$40,'Floor-U'!$H$4:$H$40)*Flat!AE$16)+(LOOKUP(Flat!AE$2,'Wall-U'!$A$4:$A$40,'Wall-U'!$AA$4:$AA$40)*Flat!AE$13)+(LOOKUP(Flat!AE$2,'Window-U'!$A$4:$A$40,'Window-U'!$H$4:$H$40)*Flat!AE$22))*AE202</f>
        <v>585.57467790749661</v>
      </c>
      <c r="AF206" s="177">
        <f>((LOOKUP(Flat!AF$2,'Ceiling-U'!$A$4:$A$40,'Ceiling-U'!$H$4:$H$40)*Flat!AF$15)+(LOOKUP(Flat!AF$2,'Floor-U'!$A$4:$A$40,'Floor-U'!$H$4:$H$40)*Flat!AF$16)+(LOOKUP(Flat!AF$2,'Wall-U'!$A$4:$A$40,'Wall-U'!$AA$4:$AA$40)*Flat!AF$13)+(LOOKUP(Flat!AF$2,'Window-U'!$A$4:$A$40,'Window-U'!$H$4:$H$40)*Flat!AF$22))*AF202</f>
        <v>739.84394049988566</v>
      </c>
      <c r="AG206" s="177">
        <f>((LOOKUP(Flat!AG$2,'Ceiling-U'!$A$4:$A$40,'Ceiling-U'!$H$4:$H$40)*Flat!AG$15)+(LOOKUP(Flat!AG$2,'Floor-U'!$A$4:$A$40,'Floor-U'!$H$4:$H$40)*Flat!AG$16)+(LOOKUP(Flat!AG$2,'Wall-U'!$A$4:$A$40,'Wall-U'!$AA$4:$AA$40)*Flat!AG$13)+(LOOKUP(Flat!AG$2,'Window-U'!$A$4:$A$40,'Window-U'!$H$4:$H$40)*Flat!AG$22))*AG202</f>
        <v>1212.0248249377858</v>
      </c>
      <c r="AH206" s="177">
        <f>((LOOKUP(Flat!AH$2,'Ceiling-U'!$A$4:$A$40,'Ceiling-U'!$H$4:$H$40)*Flat!AH$15)+(LOOKUP(Flat!AH$2,'Floor-U'!$A$4:$A$40,'Floor-U'!$H$4:$H$40)*Flat!AH$16)+(LOOKUP(Flat!AH$2,'Wall-U'!$A$4:$A$40,'Wall-U'!$AA$4:$AA$40)*Flat!AH$13)+(LOOKUP(Flat!AH$2,'Window-U'!$A$4:$A$40,'Window-U'!$H$4:$H$40)*Flat!AH$22))*AH202</f>
        <v>2910.3362274972687</v>
      </c>
      <c r="AI206" s="177">
        <f>((LOOKUP(Flat!AI$2,'Ceiling-U'!$A$4:$A$40,'Ceiling-U'!$H$4:$H$40)*Flat!AI$15)+(LOOKUP(Flat!AI$2,'Floor-U'!$A$4:$A$40,'Floor-U'!$H$4:$H$40)*Flat!AI$16)+(LOOKUP(Flat!AI$2,'Wall-U'!$A$4:$A$40,'Wall-U'!$AA$4:$AA$40)*Flat!AI$13)+(LOOKUP(Flat!AI$2,'Window-U'!$A$4:$A$40,'Window-U'!$H$4:$H$40)*Flat!AI$22))*AI202</f>
        <v>2110.2945399054847</v>
      </c>
      <c r="AJ206" s="177">
        <f>((LOOKUP(Flat!AJ$2,'Ceiling-U'!$A$4:$A$40,'Ceiling-U'!$H$4:$H$40)*Flat!AJ$15)+(LOOKUP(Flat!AJ$2,'Floor-U'!$A$4:$A$40,'Floor-U'!$H$4:$H$40)*Flat!AJ$16)+(LOOKUP(Flat!AJ$2,'Wall-U'!$A$4:$A$40,'Wall-U'!$AA$4:$AA$40)*Flat!AJ$13)+(LOOKUP(Flat!AJ$2,'Window-U'!$A$4:$A$40,'Window-U'!$H$4:$H$40)*Flat!AJ$22))*AJ202</f>
        <v>1066.870369071617</v>
      </c>
      <c r="AK206" s="177">
        <f>((LOOKUP(Flat!AK$2,'Ceiling-U'!$A$4:$A$40,'Ceiling-U'!$H$4:$H$40)*Flat!AK$15)+(LOOKUP(Flat!AK$2,'Floor-U'!$A$4:$A$40,'Floor-U'!$H$4:$H$40)*Flat!AK$16)+(LOOKUP(Flat!AK$2,'Wall-U'!$A$4:$A$40,'Wall-U'!$AA$4:$AA$40)*Flat!AK$13)+(LOOKUP(Flat!AK$2,'Window-U'!$A$4:$A$40,'Window-U'!$H$4:$H$40)*Flat!AK$22))*AK202</f>
        <v>1139.2165752798614</v>
      </c>
      <c r="AL206" s="177">
        <f>((LOOKUP(Flat!AL$2,'Ceiling-U'!$A$4:$A$40,'Ceiling-U'!$H$4:$H$40)*Flat!AL$15)+(LOOKUP(Flat!AL$2,'Floor-U'!$A$4:$A$40,'Floor-U'!$H$4:$H$40)*Flat!AL$16)+(LOOKUP(Flat!AL$2,'Wall-U'!$A$4:$A$40,'Wall-U'!$AA$4:$AA$40)*Flat!AL$13)+(LOOKUP(Flat!AL$2,'Window-U'!$A$4:$A$40,'Window-U'!$H$4:$H$40)*Flat!AL$22))*AL202</f>
        <v>1029.828957111617</v>
      </c>
      <c r="AM206" s="177">
        <f>((LOOKUP(Flat!AM$2,'Ceiling-U'!$A$4:$A$40,'Ceiling-U'!$H$4:$H$40)*Flat!AM$15)+(LOOKUP(Flat!AM$2,'Floor-U'!$A$4:$A$40,'Floor-U'!$H$4:$H$40)*Flat!AM$16)+(LOOKUP(Flat!AM$2,'Wall-U'!$A$4:$A$40,'Wall-U'!$AA$4:$AA$40)*Flat!AM$13)+(LOOKUP(Flat!AM$2,'Window-U'!$A$4:$A$40,'Window-U'!$H$4:$H$40)*Flat!AM$22))*AM202</f>
        <v>1066.870369071617</v>
      </c>
      <c r="AN206" s="178">
        <f>((LOOKUP(Flat!AN$2,'Ceiling-U'!$A$4:$A$40,'Ceiling-U'!$H$4:$H$40)*Flat!AN$15)+(LOOKUP(Flat!AN$2,'Floor-U'!$A$4:$A$40,'Floor-U'!$H$4:$H$40)*Flat!AN$16)+(LOOKUP(Flat!AN$2,'Wall-U'!$A$4:$A$40,'Wall-U'!$AA$4:$AA$40)*Flat!AN$13)+(LOOKUP(Flat!AN$2,'Window-U'!$A$4:$A$40,'Window-U'!$H$4:$H$40)*Flat!AN$22))*AN202</f>
        <v>1066.870369071617</v>
      </c>
    </row>
    <row r="207" spans="1:40" s="5" customFormat="1">
      <c r="A207" s="372"/>
      <c r="B207" s="142" t="s">
        <v>6</v>
      </c>
      <c r="C207" s="131" t="s">
        <v>195</v>
      </c>
      <c r="D207" s="176">
        <f>((LOOKUP(Flat!D$2,'Ceiling-U'!$A$4:$A$40,'Ceiling-U'!$I$4:$I$40)*Flat!D$15)+(LOOKUP(Flat!D$2,'Floor-U'!$A$4:$A$40,'Floor-U'!$I$4:$I$40)*Flat!D$16)+(LOOKUP(Flat!D$2,'Wall-U'!$A$4:$A$40,'Wall-U'!$AB$4:$AB$40)*Flat!D$13)+(LOOKUP(Flat!D$2,'Window-U'!$A$4:$A$40,'Window-U'!$I$4:$I$40)*Flat!D$22))*D202</f>
        <v>655.51407171871097</v>
      </c>
      <c r="E207" s="177">
        <f>((LOOKUP(Flat!E$2,'Ceiling-U'!$A$4:$A$40,'Ceiling-U'!$I$4:$I$40)*Flat!E$15)+(LOOKUP(Flat!E$2,'Floor-U'!$A$4:$A$40,'Floor-U'!$I$4:$I$40)*Flat!E$16)+(LOOKUP(Flat!E$2,'Wall-U'!$A$4:$A$40,'Wall-U'!$AB$4:$AB$40)*Flat!E$13)+(LOOKUP(Flat!E$2,'Window-U'!$A$4:$A$40,'Window-U'!$I$4:$I$40)*Flat!E$22))*E202</f>
        <v>1377.3063034881025</v>
      </c>
      <c r="F207" s="177">
        <f>((LOOKUP(Flat!F$2,'Ceiling-U'!$A$4:$A$40,'Ceiling-U'!$I$4:$I$40)*Flat!F$15)+(LOOKUP(Flat!F$2,'Floor-U'!$A$4:$A$40,'Floor-U'!$I$4:$I$40)*Flat!F$16)+(LOOKUP(Flat!F$2,'Wall-U'!$A$4:$A$40,'Wall-U'!$AB$4:$AB$40)*Flat!F$13)+(LOOKUP(Flat!F$2,'Window-U'!$A$4:$A$40,'Window-U'!$I$4:$I$40)*Flat!F$22))*F202</f>
        <v>1554.4784608434954</v>
      </c>
      <c r="G207" s="177">
        <f>((LOOKUP(Flat!G$2,'Ceiling-U'!$A$4:$A$40,'Ceiling-U'!$I$4:$I$40)*Flat!G$15)+(LOOKUP(Flat!G$2,'Floor-U'!$A$4:$A$40,'Floor-U'!$I$4:$I$40)*Flat!G$16)+(LOOKUP(Flat!G$2,'Wall-U'!$A$4:$A$40,'Wall-U'!$AB$4:$AB$40)*Flat!G$13)+(LOOKUP(Flat!G$2,'Window-U'!$A$4:$A$40,'Window-U'!$I$4:$I$40)*Flat!G$22))*G202</f>
        <v>655.51407171871097</v>
      </c>
      <c r="H207" s="177">
        <f>((LOOKUP(Flat!H$2,'Ceiling-U'!$A$4:$A$40,'Ceiling-U'!$I$4:$I$40)*Flat!H$15)+(LOOKUP(Flat!H$2,'Floor-U'!$A$4:$A$40,'Floor-U'!$I$4:$I$40)*Flat!H$16)+(LOOKUP(Flat!H$2,'Wall-U'!$A$4:$A$40,'Wall-U'!$AB$4:$AB$40)*Flat!H$13)+(LOOKUP(Flat!H$2,'Window-U'!$A$4:$A$40,'Window-U'!$I$4:$I$40)*Flat!H$22))*H202</f>
        <v>1928.7839401407878</v>
      </c>
      <c r="I207" s="177">
        <f>((LOOKUP(Flat!I$2,'Ceiling-U'!$A$4:$A$40,'Ceiling-U'!$I$4:$I$40)*Flat!I$15)+(LOOKUP(Flat!I$2,'Floor-U'!$A$4:$A$40,'Floor-U'!$I$4:$I$40)*Flat!I$16)+(LOOKUP(Flat!I$2,'Wall-U'!$A$4:$A$40,'Wall-U'!$AB$4:$AB$40)*Flat!I$13)+(LOOKUP(Flat!I$2,'Window-U'!$A$4:$A$40,'Window-U'!$I$4:$I$40)*Flat!I$22))*I202</f>
        <v>739.94428400024799</v>
      </c>
      <c r="J207" s="177">
        <f>((LOOKUP(Flat!J$2,'Ceiling-U'!$A$4:$A$40,'Ceiling-U'!$I$4:$I$40)*Flat!J$15)+(LOOKUP(Flat!J$2,'Floor-U'!$A$4:$A$40,'Floor-U'!$I$4:$I$40)*Flat!J$16)+(LOOKUP(Flat!J$2,'Wall-U'!$A$4:$A$40,'Wall-U'!$AB$4:$AB$40)*Flat!J$13)+(LOOKUP(Flat!J$2,'Window-U'!$A$4:$A$40,'Window-U'!$I$4:$I$40)*Flat!J$22))*J202</f>
        <v>508.12746951300369</v>
      </c>
      <c r="K207" s="177">
        <f>((LOOKUP(Flat!K$2,'Ceiling-U'!$A$4:$A$40,'Ceiling-U'!$I$4:$I$40)*Flat!K$15)+(LOOKUP(Flat!K$2,'Floor-U'!$A$4:$A$40,'Floor-U'!$I$4:$I$40)*Flat!K$16)+(LOOKUP(Flat!K$2,'Wall-U'!$A$4:$A$40,'Wall-U'!$AB$4:$AB$40)*Flat!K$13)+(LOOKUP(Flat!K$2,'Window-U'!$A$4:$A$40,'Window-U'!$I$4:$I$40)*Flat!K$22))*K202</f>
        <v>946.83999333472184</v>
      </c>
      <c r="L207" s="177">
        <f>((LOOKUP(Flat!L$2,'Ceiling-U'!$A$4:$A$40,'Ceiling-U'!$I$4:$I$40)*Flat!L$15)+(LOOKUP(Flat!L$2,'Floor-U'!$A$4:$A$40,'Floor-U'!$I$4:$I$40)*Flat!L$16)+(LOOKUP(Flat!L$2,'Wall-U'!$A$4:$A$40,'Wall-U'!$AB$4:$AB$40)*Flat!L$13)+(LOOKUP(Flat!L$2,'Window-U'!$A$4:$A$40,'Window-U'!$I$4:$I$40)*Flat!L$22))*L202</f>
        <v>331.7699659934259</v>
      </c>
      <c r="M207" s="177">
        <f>((LOOKUP(Flat!M$2,'Ceiling-U'!$A$4:$A$40,'Ceiling-U'!$I$4:$I$40)*Flat!M$15)+(LOOKUP(Flat!M$2,'Floor-U'!$A$4:$A$40,'Floor-U'!$I$4:$I$40)*Flat!M$16)+(LOOKUP(Flat!M$2,'Wall-U'!$A$4:$A$40,'Wall-U'!$AB$4:$AB$40)*Flat!M$13)+(LOOKUP(Flat!M$2,'Window-U'!$A$4:$A$40,'Window-U'!$I$4:$I$40)*Flat!M$22))*M202</f>
        <v>801.92198332438807</v>
      </c>
      <c r="N207" s="177">
        <f>((LOOKUP(Flat!N$2,'Ceiling-U'!$A$4:$A$40,'Ceiling-U'!$I$4:$I$40)*Flat!N$15)+(LOOKUP(Flat!N$2,'Floor-U'!$A$4:$A$40,'Floor-U'!$I$4:$I$40)*Flat!N$16)+(LOOKUP(Flat!N$2,'Wall-U'!$A$4:$A$40,'Wall-U'!$AB$4:$AB$40)*Flat!N$13)+(LOOKUP(Flat!N$2,'Window-U'!$A$4:$A$40,'Window-U'!$I$4:$I$40)*Flat!N$22))*N202</f>
        <v>1100.7121891776342</v>
      </c>
      <c r="O207" s="177">
        <f>((LOOKUP(Flat!O$2,'Ceiling-U'!$A$4:$A$40,'Ceiling-U'!$I$4:$I$40)*Flat!O$15)+(LOOKUP(Flat!O$2,'Floor-U'!$A$4:$A$40,'Floor-U'!$I$4:$I$40)*Flat!O$16)+(LOOKUP(Flat!O$2,'Wall-U'!$A$4:$A$40,'Wall-U'!$AB$4:$AB$40)*Flat!O$13)+(LOOKUP(Flat!O$2,'Window-U'!$A$4:$A$40,'Window-U'!$I$4:$I$40)*Flat!O$22))*O202</f>
        <v>615.88313603216432</v>
      </c>
      <c r="P207" s="177">
        <f>((LOOKUP(Flat!P$2,'Ceiling-U'!$A$4:$A$40,'Ceiling-U'!$I$4:$I$40)*Flat!P$15)+(LOOKUP(Flat!P$2,'Floor-U'!$A$4:$A$40,'Floor-U'!$I$4:$I$40)*Flat!P$16)+(LOOKUP(Flat!P$2,'Wall-U'!$A$4:$A$40,'Wall-U'!$AB$4:$AB$40)*Flat!P$13)+(LOOKUP(Flat!P$2,'Window-U'!$A$4:$A$40,'Window-U'!$I$4:$I$40)*Flat!P$22))*P202</f>
        <v>1316.1728028586101</v>
      </c>
      <c r="Q207" s="177">
        <f>((LOOKUP(Flat!Q$2,'Ceiling-U'!$A$4:$A$40,'Ceiling-U'!$I$4:$I$40)*Flat!Q$15)+(LOOKUP(Flat!Q$2,'Floor-U'!$A$4:$A$40,'Floor-U'!$I$4:$I$40)*Flat!Q$16)+(LOOKUP(Flat!Q$2,'Wall-U'!$A$4:$A$40,'Wall-U'!$AB$4:$AB$40)*Flat!Q$13)+(LOOKUP(Flat!Q$2,'Window-U'!$A$4:$A$40,'Window-U'!$I$4:$I$40)*Flat!Q$22))*Q202</f>
        <v>889.22525323928676</v>
      </c>
      <c r="R207" s="177">
        <f>((LOOKUP(Flat!R$2,'Ceiling-U'!$A$4:$A$40,'Ceiling-U'!$I$4:$I$40)*Flat!R$15)+(LOOKUP(Flat!R$2,'Floor-U'!$A$4:$A$40,'Floor-U'!$I$4:$I$40)*Flat!R$16)+(LOOKUP(Flat!R$2,'Wall-U'!$A$4:$A$40,'Wall-U'!$AB$4:$AB$40)*Flat!R$13)+(LOOKUP(Flat!R$2,'Window-U'!$A$4:$A$40,'Window-U'!$I$4:$I$40)*Flat!R$22))*R202</f>
        <v>794.59751656700178</v>
      </c>
      <c r="S207" s="177">
        <f>((LOOKUP(Flat!S$2,'Ceiling-U'!$A$4:$A$40,'Ceiling-U'!$I$4:$I$40)*Flat!S$15)+(LOOKUP(Flat!S$2,'Floor-U'!$A$4:$A$40,'Floor-U'!$I$4:$I$40)*Flat!S$16)+(LOOKUP(Flat!S$2,'Wall-U'!$A$4:$A$40,'Wall-U'!$AB$4:$AB$40)*Flat!S$13)+(LOOKUP(Flat!S$2,'Window-U'!$A$4:$A$40,'Window-U'!$I$4:$I$40)*Flat!S$22))*S202</f>
        <v>3190.6576954448856</v>
      </c>
      <c r="T207" s="177">
        <f>((LOOKUP(Flat!T$2,'Ceiling-U'!$A$4:$A$40,'Ceiling-U'!$I$4:$I$40)*Flat!T$15)+(LOOKUP(Flat!T$2,'Floor-U'!$A$4:$A$40,'Floor-U'!$I$4:$I$40)*Flat!T$16)+(LOOKUP(Flat!T$2,'Wall-U'!$A$4:$A$40,'Wall-U'!$AB$4:$AB$40)*Flat!T$13)+(LOOKUP(Flat!T$2,'Window-U'!$A$4:$A$40,'Window-U'!$I$4:$I$40)*Flat!T$22))*T202</f>
        <v>506.08967596437378</v>
      </c>
      <c r="U207" s="177">
        <f>((LOOKUP(Flat!U$2,'Ceiling-U'!$A$4:$A$40,'Ceiling-U'!$I$4:$I$40)*Flat!U$15)+(LOOKUP(Flat!U$2,'Floor-U'!$A$4:$A$40,'Floor-U'!$I$4:$I$40)*Flat!U$16)+(LOOKUP(Flat!U$2,'Wall-U'!$A$4:$A$40,'Wall-U'!$AB$4:$AB$40)*Flat!U$13)+(LOOKUP(Flat!U$2,'Window-U'!$A$4:$A$40,'Window-U'!$I$4:$I$40)*Flat!U$22))*U202</f>
        <v>1592.168948653715</v>
      </c>
      <c r="V207" s="177">
        <f>((LOOKUP(Flat!V$2,'Ceiling-U'!$A$4:$A$40,'Ceiling-U'!$I$4:$I$40)*Flat!V$15)+(LOOKUP(Flat!V$2,'Floor-U'!$A$4:$A$40,'Floor-U'!$I$4:$I$40)*Flat!V$16)+(LOOKUP(Flat!V$2,'Wall-U'!$A$4:$A$40,'Wall-U'!$AB$4:$AB$40)*Flat!V$13)+(LOOKUP(Flat!V$2,'Window-U'!$A$4:$A$40,'Window-U'!$I$4:$I$40)*Flat!V$22))*V202</f>
        <v>638.98589578239057</v>
      </c>
      <c r="W207" s="177">
        <f>((LOOKUP(Flat!W$2,'Ceiling-U'!$A$4:$A$40,'Ceiling-U'!$I$4:$I$40)*Flat!W$15)+(LOOKUP(Flat!W$2,'Floor-U'!$A$4:$A$40,'Floor-U'!$I$4:$I$40)*Flat!W$16)+(LOOKUP(Flat!W$2,'Wall-U'!$A$4:$A$40,'Wall-U'!$AB$4:$AB$40)*Flat!W$13)+(LOOKUP(Flat!W$2,'Window-U'!$A$4:$A$40,'Window-U'!$I$4:$I$40)*Flat!W$22))*W202</f>
        <v>711.6559294776772</v>
      </c>
      <c r="X207" s="177">
        <f>((LOOKUP(Flat!X$2,'Ceiling-U'!$A$4:$A$40,'Ceiling-U'!$I$4:$I$40)*Flat!X$15)+(LOOKUP(Flat!X$2,'Floor-U'!$A$4:$A$40,'Floor-U'!$I$4:$I$40)*Flat!X$16)+(LOOKUP(Flat!X$2,'Wall-U'!$A$4:$A$40,'Wall-U'!$AB$4:$AB$40)*Flat!X$13)+(LOOKUP(Flat!X$2,'Window-U'!$A$4:$A$40,'Window-U'!$I$4:$I$40)*Flat!X$22))*X202</f>
        <v>585.14018864875129</v>
      </c>
      <c r="Y207" s="177">
        <f>((LOOKUP(Flat!Y$2,'Ceiling-U'!$A$4:$A$40,'Ceiling-U'!$I$4:$I$40)*Flat!Y$15)+(LOOKUP(Flat!Y$2,'Floor-U'!$A$4:$A$40,'Floor-U'!$I$4:$I$40)*Flat!Y$16)+(LOOKUP(Flat!Y$2,'Wall-U'!$A$4:$A$40,'Wall-U'!$AB$4:$AB$40)*Flat!Y$13)+(LOOKUP(Flat!Y$2,'Window-U'!$A$4:$A$40,'Window-U'!$I$4:$I$40)*Flat!Y$22))*Y202</f>
        <v>2216.3705558263655</v>
      </c>
      <c r="Z207" s="177">
        <f>((LOOKUP(Flat!Z$2,'Ceiling-U'!$A$4:$A$40,'Ceiling-U'!$I$4:$I$40)*Flat!Z$15)+(LOOKUP(Flat!Z$2,'Floor-U'!$A$4:$A$40,'Floor-U'!$I$4:$I$40)*Flat!Z$16)+(LOOKUP(Flat!Z$2,'Wall-U'!$A$4:$A$40,'Wall-U'!$AB$4:$AB$40)*Flat!Z$13)+(LOOKUP(Flat!Z$2,'Window-U'!$A$4:$A$40,'Window-U'!$I$4:$I$40)*Flat!Z$22))*Z202</f>
        <v>1008.6369236889753</v>
      </c>
      <c r="AA207" s="177">
        <f>((LOOKUP(Flat!AA$2,'Ceiling-U'!$A$4:$A$40,'Ceiling-U'!$I$4:$I$40)*Flat!AA$15)+(LOOKUP(Flat!AA$2,'Floor-U'!$A$4:$A$40,'Floor-U'!$I$4:$I$40)*Flat!AA$16)+(LOOKUP(Flat!AA$2,'Wall-U'!$A$4:$A$40,'Wall-U'!$AB$4:$AB$40)*Flat!AA$13)+(LOOKUP(Flat!AA$2,'Window-U'!$A$4:$A$40,'Window-U'!$I$4:$I$40)*Flat!AA$22))*AA202</f>
        <v>546.98483665639378</v>
      </c>
      <c r="AB207" s="177">
        <f>((LOOKUP(Flat!AB$2,'Ceiling-U'!$A$4:$A$40,'Ceiling-U'!$I$4:$I$40)*Flat!AB$15)+(LOOKUP(Flat!AB$2,'Floor-U'!$A$4:$A$40,'Floor-U'!$I$4:$I$40)*Flat!AB$16)+(LOOKUP(Flat!AB$2,'Wall-U'!$A$4:$A$40,'Wall-U'!$AB$4:$AB$40)*Flat!AB$13)+(LOOKUP(Flat!AB$2,'Window-U'!$A$4:$A$40,'Window-U'!$I$4:$I$40)*Flat!AB$22))*AB202</f>
        <v>1134.7697085080679</v>
      </c>
      <c r="AC207" s="177">
        <f>((LOOKUP(Flat!AC$2,'Ceiling-U'!$A$4:$A$40,'Ceiling-U'!$I$4:$I$40)*Flat!AC$15)+(LOOKUP(Flat!AC$2,'Floor-U'!$A$4:$A$40,'Floor-U'!$I$4:$I$40)*Flat!AC$16)+(LOOKUP(Flat!AC$2,'Wall-U'!$A$4:$A$40,'Wall-U'!$AB$4:$AB$40)*Flat!AC$13)+(LOOKUP(Flat!AC$2,'Window-U'!$A$4:$A$40,'Window-U'!$I$4:$I$40)*Flat!AC$22))*AC202</f>
        <v>2285.2133004596526</v>
      </c>
      <c r="AD207" s="177">
        <f>((LOOKUP(Flat!AD$2,'Ceiling-U'!$A$4:$A$40,'Ceiling-U'!$I$4:$I$40)*Flat!AD$15)+(LOOKUP(Flat!AD$2,'Floor-U'!$A$4:$A$40,'Floor-U'!$I$4:$I$40)*Flat!AD$16)+(LOOKUP(Flat!AD$2,'Wall-U'!$A$4:$A$40,'Wall-U'!$AB$4:$AB$40)*Flat!AD$13)+(LOOKUP(Flat!AD$2,'Window-U'!$A$4:$A$40,'Window-U'!$I$4:$I$40)*Flat!AD$22))*AD202</f>
        <v>3298.8695410193313</v>
      </c>
      <c r="AE207" s="177">
        <f>((LOOKUP(Flat!AE$2,'Ceiling-U'!$A$4:$A$40,'Ceiling-U'!$I$4:$I$40)*Flat!AE$15)+(LOOKUP(Flat!AE$2,'Floor-U'!$A$4:$A$40,'Floor-U'!$I$4:$I$40)*Flat!AE$16)+(LOOKUP(Flat!AE$2,'Wall-U'!$A$4:$A$40,'Wall-U'!$AB$4:$AB$40)*Flat!AE$13)+(LOOKUP(Flat!AE$2,'Window-U'!$A$4:$A$40,'Window-U'!$I$4:$I$40)*Flat!AE$22))*AE202</f>
        <v>546.98483665639378</v>
      </c>
      <c r="AF207" s="177">
        <f>((LOOKUP(Flat!AF$2,'Ceiling-U'!$A$4:$A$40,'Ceiling-U'!$I$4:$I$40)*Flat!AF$15)+(LOOKUP(Flat!AF$2,'Floor-U'!$A$4:$A$40,'Floor-U'!$I$4:$I$40)*Flat!AF$16)+(LOOKUP(Flat!AF$2,'Wall-U'!$A$4:$A$40,'Wall-U'!$AB$4:$AB$40)*Flat!AF$13)+(LOOKUP(Flat!AF$2,'Window-U'!$A$4:$A$40,'Window-U'!$I$4:$I$40)*Flat!AF$22))*AF202</f>
        <v>604.37334075656747</v>
      </c>
      <c r="AG207" s="177">
        <f>((LOOKUP(Flat!AG$2,'Ceiling-U'!$A$4:$A$40,'Ceiling-U'!$I$4:$I$40)*Flat!AG$15)+(LOOKUP(Flat!AG$2,'Floor-U'!$A$4:$A$40,'Floor-U'!$I$4:$I$40)*Flat!AG$16)+(LOOKUP(Flat!AG$2,'Wall-U'!$A$4:$A$40,'Wall-U'!$AB$4:$AB$40)*Flat!AG$13)+(LOOKUP(Flat!AG$2,'Window-U'!$A$4:$A$40,'Window-U'!$I$4:$I$40)*Flat!AG$22))*AG202</f>
        <v>1101.7696211377859</v>
      </c>
      <c r="AH207" s="177">
        <f>((LOOKUP(Flat!AH$2,'Ceiling-U'!$A$4:$A$40,'Ceiling-U'!$I$4:$I$40)*Flat!AH$15)+(LOOKUP(Flat!AH$2,'Floor-U'!$A$4:$A$40,'Floor-U'!$I$4:$I$40)*Flat!AH$16)+(LOOKUP(Flat!AH$2,'Wall-U'!$A$4:$A$40,'Wall-U'!$AB$4:$AB$40)*Flat!AH$13)+(LOOKUP(Flat!AH$2,'Window-U'!$A$4:$A$40,'Window-U'!$I$4:$I$40)*Flat!AH$22))*AH202</f>
        <v>1977.1341081363166</v>
      </c>
      <c r="AI207" s="177">
        <f>((LOOKUP(Flat!AI$2,'Ceiling-U'!$A$4:$A$40,'Ceiling-U'!$I$4:$I$40)*Flat!AI$15)+(LOOKUP(Flat!AI$2,'Floor-U'!$A$4:$A$40,'Floor-U'!$I$4:$I$40)*Flat!AI$16)+(LOOKUP(Flat!AI$2,'Wall-U'!$A$4:$A$40,'Wall-U'!$AB$4:$AB$40)*Flat!AI$13)+(LOOKUP(Flat!AI$2,'Window-U'!$A$4:$A$40,'Window-U'!$I$4:$I$40)*Flat!AI$22))*AI202</f>
        <v>2110.2945399054847</v>
      </c>
      <c r="AJ207" s="177">
        <f>((LOOKUP(Flat!AJ$2,'Ceiling-U'!$A$4:$A$40,'Ceiling-U'!$I$4:$I$40)*Flat!AJ$15)+(LOOKUP(Flat!AJ$2,'Floor-U'!$A$4:$A$40,'Floor-U'!$I$4:$I$40)*Flat!AJ$16)+(LOOKUP(Flat!AJ$2,'Wall-U'!$A$4:$A$40,'Wall-U'!$AB$4:$AB$40)*Flat!AJ$13)+(LOOKUP(Flat!AJ$2,'Window-U'!$A$4:$A$40,'Window-U'!$I$4:$I$40)*Flat!AJ$22))*AJ202</f>
        <v>1045.5339484878034</v>
      </c>
      <c r="AK207" s="177">
        <f>((LOOKUP(Flat!AK$2,'Ceiling-U'!$A$4:$A$40,'Ceiling-U'!$I$4:$I$40)*Flat!AK$15)+(LOOKUP(Flat!AK$2,'Floor-U'!$A$4:$A$40,'Floor-U'!$I$4:$I$40)*Flat!AK$16)+(LOOKUP(Flat!AK$2,'Wall-U'!$A$4:$A$40,'Wall-U'!$AB$4:$AB$40)*Flat!AK$13)+(LOOKUP(Flat!AK$2,'Window-U'!$A$4:$A$40,'Window-U'!$I$4:$I$40)*Flat!AK$22))*AK202</f>
        <v>1113.0806513847533</v>
      </c>
      <c r="AL207" s="177">
        <f>((LOOKUP(Flat!AL$2,'Ceiling-U'!$A$4:$A$40,'Ceiling-U'!$I$4:$I$40)*Flat!AL$15)+(LOOKUP(Flat!AL$2,'Floor-U'!$A$4:$A$40,'Floor-U'!$I$4:$I$40)*Flat!AL$16)+(LOOKUP(Flat!AL$2,'Wall-U'!$A$4:$A$40,'Wall-U'!$AB$4:$AB$40)*Flat!AL$13)+(LOOKUP(Flat!AL$2,'Window-U'!$A$4:$A$40,'Window-U'!$I$4:$I$40)*Flat!AL$22))*AL202</f>
        <v>864.57460491675602</v>
      </c>
      <c r="AM207" s="177">
        <f>((LOOKUP(Flat!AM$2,'Ceiling-U'!$A$4:$A$40,'Ceiling-U'!$I$4:$I$40)*Flat!AM$15)+(LOOKUP(Flat!AM$2,'Floor-U'!$A$4:$A$40,'Floor-U'!$I$4:$I$40)*Flat!AM$16)+(LOOKUP(Flat!AM$2,'Wall-U'!$A$4:$A$40,'Wall-U'!$AB$4:$AB$40)*Flat!AM$13)+(LOOKUP(Flat!AM$2,'Window-U'!$A$4:$A$40,'Window-U'!$I$4:$I$40)*Flat!AM$22))*AM202</f>
        <v>1045.5339484878034</v>
      </c>
      <c r="AN207" s="178">
        <f>((LOOKUP(Flat!AN$2,'Ceiling-U'!$A$4:$A$40,'Ceiling-U'!$I$4:$I$40)*Flat!AN$15)+(LOOKUP(Flat!AN$2,'Floor-U'!$A$4:$A$40,'Floor-U'!$I$4:$I$40)*Flat!AN$16)+(LOOKUP(Flat!AN$2,'Wall-U'!$A$4:$A$40,'Wall-U'!$AB$4:$AB$40)*Flat!AN$13)+(LOOKUP(Flat!AN$2,'Window-U'!$A$4:$A$40,'Window-U'!$I$4:$I$40)*Flat!AN$22))*AN202</f>
        <v>1045.5339484878034</v>
      </c>
    </row>
    <row r="208" spans="1:40" s="5" customFormat="1">
      <c r="A208" s="373"/>
      <c r="B208" s="374" t="s">
        <v>7</v>
      </c>
      <c r="C208" s="131" t="s">
        <v>195</v>
      </c>
      <c r="D208" s="176">
        <f>((LOOKUP(Flat!D$2,'Ceiling-U'!$A$4:$A$40,'Ceiling-U'!$J$4:$J$40)*Flat!D$15)+(LOOKUP(Flat!D$2,'Floor-U'!$A$4:$A$40,'Floor-U'!$J$4:$J$40)*Flat!D$16)+(LOOKUP(Flat!D$2,'Wall-U'!$A$4:$A$40,'Wall-U'!$AC$4:$AC$40)*Flat!D$13)+(LOOKUP(Flat!D$2,'Window-U'!$A$4:$A$40,'Window-U'!$J$4:$J$40)*Flat!D$22))*D202</f>
        <v>590.54553001430111</v>
      </c>
      <c r="E208" s="174">
        <f>((LOOKUP(Flat!E$2,'Ceiling-U'!$A$4:$A$40,'Ceiling-U'!$J$4:$J$40)*Flat!E$15)+(LOOKUP(Flat!E$2,'Floor-U'!$A$4:$A$40,'Floor-U'!$J$4:$J$40)*Flat!E$16)+(LOOKUP(Flat!E$2,'Wall-U'!$A$4:$A$40,'Wall-U'!$AC$4:$AC$40)*Flat!E$13)+(LOOKUP(Flat!E$2,'Window-U'!$A$4:$A$40,'Window-U'!$J$4:$J$40)*Flat!E$22))*E202</f>
        <v>913.74384101776627</v>
      </c>
      <c r="F208" s="174">
        <f>((LOOKUP(Flat!F$2,'Ceiling-U'!$A$4:$A$40,'Ceiling-U'!$J$4:$J$40)*Flat!F$15)+(LOOKUP(Flat!F$2,'Floor-U'!$A$4:$A$40,'Floor-U'!$J$4:$J$40)*Flat!F$16)+(LOOKUP(Flat!F$2,'Wall-U'!$A$4:$A$40,'Wall-U'!$AC$4:$AC$40)*Flat!F$13)+(LOOKUP(Flat!F$2,'Window-U'!$A$4:$A$40,'Window-U'!$J$4:$J$40)*Flat!F$22))*F202</f>
        <v>1257.8017992425653</v>
      </c>
      <c r="G208" s="174">
        <f>((LOOKUP(Flat!G$2,'Ceiling-U'!$A$4:$A$40,'Ceiling-U'!$J$4:$J$40)*Flat!G$15)+(LOOKUP(Flat!G$2,'Floor-U'!$A$4:$A$40,'Floor-U'!$J$4:$J$40)*Flat!G$16)+(LOOKUP(Flat!G$2,'Wall-U'!$A$4:$A$40,'Wall-U'!$AC$4:$AC$40)*Flat!G$13)+(LOOKUP(Flat!G$2,'Window-U'!$A$4:$A$40,'Window-U'!$J$4:$J$40)*Flat!G$22))*G202</f>
        <v>590.54553001430111</v>
      </c>
      <c r="H208" s="174">
        <f>((LOOKUP(Flat!H$2,'Ceiling-U'!$A$4:$A$40,'Ceiling-U'!$J$4:$J$40)*Flat!H$15)+(LOOKUP(Flat!H$2,'Floor-U'!$A$4:$A$40,'Floor-U'!$J$4:$J$40)*Flat!H$16)+(LOOKUP(Flat!H$2,'Wall-U'!$A$4:$A$40,'Wall-U'!$AC$4:$AC$40)*Flat!H$13)+(LOOKUP(Flat!H$2,'Window-U'!$A$4:$A$40,'Window-U'!$J$4:$J$40)*Flat!H$22))*H202</f>
        <v>1644.2956411407874</v>
      </c>
      <c r="I208" s="174">
        <f>((LOOKUP(Flat!I$2,'Ceiling-U'!$A$4:$A$40,'Ceiling-U'!$J$4:$J$40)*Flat!I$15)+(LOOKUP(Flat!I$2,'Floor-U'!$A$4:$A$40,'Floor-U'!$J$4:$J$40)*Flat!I$16)+(LOOKUP(Flat!I$2,'Wall-U'!$A$4:$A$40,'Wall-U'!$AC$4:$AC$40)*Flat!I$13)+(LOOKUP(Flat!I$2,'Window-U'!$A$4:$A$40,'Window-U'!$J$4:$J$40)*Flat!I$22))*I202</f>
        <v>568.49302500880367</v>
      </c>
      <c r="J208" s="174">
        <f>((LOOKUP(Flat!J$2,'Ceiling-U'!$A$4:$A$40,'Ceiling-U'!$J$4:$J$40)*Flat!J$15)+(LOOKUP(Flat!J$2,'Floor-U'!$A$4:$A$40,'Floor-U'!$J$4:$J$40)*Flat!J$16)+(LOOKUP(Flat!J$2,'Wall-U'!$A$4:$A$40,'Wall-U'!$AC$4:$AC$40)*Flat!J$13)+(LOOKUP(Flat!J$2,'Window-U'!$A$4:$A$40,'Window-U'!$J$4:$J$40)*Flat!J$22))*J202</f>
        <v>533.24320544140426</v>
      </c>
      <c r="K208" s="174">
        <f>((LOOKUP(Flat!K$2,'Ceiling-U'!$A$4:$A$40,'Ceiling-U'!$J$4:$J$40)*Flat!K$15)+(LOOKUP(Flat!K$2,'Floor-U'!$A$4:$A$40,'Floor-U'!$J$4:$J$40)*Flat!K$16)+(LOOKUP(Flat!K$2,'Wall-U'!$A$4:$A$40,'Wall-U'!$AC$4:$AC$40)*Flat!K$13)+(LOOKUP(Flat!K$2,'Window-U'!$A$4:$A$40,'Window-U'!$J$4:$J$40)*Flat!K$22))*K202</f>
        <v>688.0625203977221</v>
      </c>
      <c r="L208" s="174">
        <f>((LOOKUP(Flat!L$2,'Ceiling-U'!$A$4:$A$40,'Ceiling-U'!$J$4:$J$40)*Flat!L$15)+(LOOKUP(Flat!L$2,'Floor-U'!$A$4:$A$40,'Floor-U'!$J$4:$J$40)*Flat!L$16)+(LOOKUP(Flat!L$2,'Wall-U'!$A$4:$A$40,'Wall-U'!$AC$4:$AC$40)*Flat!L$13)+(LOOKUP(Flat!L$2,'Window-U'!$A$4:$A$40,'Window-U'!$J$4:$J$40)*Flat!L$22))*L202</f>
        <v>331.7699659934259</v>
      </c>
      <c r="M208" s="174">
        <f>((LOOKUP(Flat!M$2,'Ceiling-U'!$A$4:$A$40,'Ceiling-U'!$J$4:$J$40)*Flat!M$15)+(LOOKUP(Flat!M$2,'Floor-U'!$A$4:$A$40,'Floor-U'!$J$4:$J$40)*Flat!M$16)+(LOOKUP(Flat!M$2,'Wall-U'!$A$4:$A$40,'Wall-U'!$AC$4:$AC$40)*Flat!M$13)+(LOOKUP(Flat!M$2,'Window-U'!$A$4:$A$40,'Window-U'!$J$4:$J$40)*Flat!M$22))*M202</f>
        <v>648.55612067699008</v>
      </c>
      <c r="N208" s="174">
        <f>((LOOKUP(Flat!N$2,'Ceiling-U'!$A$4:$A$40,'Ceiling-U'!$J$4:$J$40)*Flat!N$15)+(LOOKUP(Flat!N$2,'Floor-U'!$A$4:$A$40,'Floor-U'!$J$4:$J$40)*Flat!N$16)+(LOOKUP(Flat!N$2,'Wall-U'!$A$4:$A$40,'Wall-U'!$AC$4:$AC$40)*Flat!N$13)+(LOOKUP(Flat!N$2,'Window-U'!$A$4:$A$40,'Window-U'!$J$4:$J$40)*Flat!N$22))*N202</f>
        <v>964.45321994916515</v>
      </c>
      <c r="O208" s="174">
        <f>((LOOKUP(Flat!O$2,'Ceiling-U'!$A$4:$A$40,'Ceiling-U'!$J$4:$J$40)*Flat!O$15)+(LOOKUP(Flat!O$2,'Floor-U'!$A$4:$A$40,'Floor-U'!$J$4:$J$40)*Flat!O$16)+(LOOKUP(Flat!O$2,'Wall-U'!$A$4:$A$40,'Wall-U'!$AC$4:$AC$40)*Flat!O$13)+(LOOKUP(Flat!O$2,'Window-U'!$A$4:$A$40,'Window-U'!$J$4:$J$40)*Flat!O$22))*O202</f>
        <v>595.8216631175984</v>
      </c>
      <c r="P208" s="174">
        <f>((LOOKUP(Flat!P$2,'Ceiling-U'!$A$4:$A$40,'Ceiling-U'!$J$4:$J$40)*Flat!P$15)+(LOOKUP(Flat!P$2,'Floor-U'!$A$4:$A$40,'Floor-U'!$J$4:$J$40)*Flat!P$16)+(LOOKUP(Flat!P$2,'Wall-U'!$A$4:$A$40,'Wall-U'!$AC$4:$AC$40)*Flat!P$13)+(LOOKUP(Flat!P$2,'Window-U'!$A$4:$A$40,'Window-U'!$J$4:$J$40)*Flat!P$22))*P202</f>
        <v>592.10709908155991</v>
      </c>
      <c r="Q208" s="174">
        <f>((LOOKUP(Flat!Q$2,'Ceiling-U'!$A$4:$A$40,'Ceiling-U'!$J$4:$J$40)*Flat!Q$15)+(LOOKUP(Flat!Q$2,'Floor-U'!$A$4:$A$40,'Floor-U'!$J$4:$J$40)*Flat!Q$16)+(LOOKUP(Flat!Q$2,'Wall-U'!$A$4:$A$40,'Wall-U'!$AC$4:$AC$40)*Flat!Q$13)+(LOOKUP(Flat!Q$2,'Window-U'!$A$4:$A$40,'Window-U'!$J$4:$J$40)*Flat!Q$22))*Q202</f>
        <v>634.61627474729687</v>
      </c>
      <c r="R208" s="174">
        <f>((LOOKUP(Flat!R$2,'Ceiling-U'!$A$4:$A$40,'Ceiling-U'!$J$4:$J$40)*Flat!R$15)+(LOOKUP(Flat!R$2,'Floor-U'!$A$4:$A$40,'Floor-U'!$J$4:$J$40)*Flat!R$16)+(LOOKUP(Flat!R$2,'Wall-U'!$A$4:$A$40,'Wall-U'!$AC$4:$AC$40)*Flat!R$13)+(LOOKUP(Flat!R$2,'Window-U'!$A$4:$A$40,'Window-U'!$J$4:$J$40)*Flat!R$22))*R202</f>
        <v>510.4008608826191</v>
      </c>
      <c r="S208" s="174">
        <f>((LOOKUP(Flat!S$2,'Ceiling-U'!$A$4:$A$40,'Ceiling-U'!$J$4:$J$40)*Flat!S$15)+(LOOKUP(Flat!S$2,'Floor-U'!$A$4:$A$40,'Floor-U'!$J$4:$J$40)*Flat!S$16)+(LOOKUP(Flat!S$2,'Wall-U'!$A$4:$A$40,'Wall-U'!$AC$4:$AC$40)*Flat!S$13)+(LOOKUP(Flat!S$2,'Window-U'!$A$4:$A$40,'Window-U'!$J$4:$J$40)*Flat!S$22))*S202</f>
        <v>2342.0698593392908</v>
      </c>
      <c r="T208" s="174">
        <f>((LOOKUP(Flat!T$2,'Ceiling-U'!$A$4:$A$40,'Ceiling-U'!$J$4:$J$40)*Flat!T$15)+(LOOKUP(Flat!T$2,'Floor-U'!$A$4:$A$40,'Floor-U'!$J$4:$J$40)*Flat!T$16)+(LOOKUP(Flat!T$2,'Wall-U'!$A$4:$A$40,'Wall-U'!$AC$4:$AC$40)*Flat!T$13)+(LOOKUP(Flat!T$2,'Window-U'!$A$4:$A$40,'Window-U'!$J$4:$J$40)*Flat!T$22))*T202</f>
        <v>448.73739561959565</v>
      </c>
      <c r="U208" s="174">
        <f>((LOOKUP(Flat!U$2,'Ceiling-U'!$A$4:$A$40,'Ceiling-U'!$J$4:$J$40)*Flat!U$15)+(LOOKUP(Flat!U$2,'Floor-U'!$A$4:$A$40,'Floor-U'!$J$4:$J$40)*Flat!U$16)+(LOOKUP(Flat!U$2,'Wall-U'!$A$4:$A$40,'Wall-U'!$AC$4:$AC$40)*Flat!U$13)+(LOOKUP(Flat!U$2,'Window-U'!$A$4:$A$40,'Window-U'!$J$4:$J$40)*Flat!U$22))*U202</f>
        <v>1448.168948653715</v>
      </c>
      <c r="V208" s="174">
        <f>((LOOKUP(Flat!V$2,'Ceiling-U'!$A$4:$A$40,'Ceiling-U'!$J$4:$J$40)*Flat!V$15)+(LOOKUP(Flat!V$2,'Floor-U'!$A$4:$A$40,'Floor-U'!$J$4:$J$40)*Flat!V$16)+(LOOKUP(Flat!V$2,'Wall-U'!$A$4:$A$40,'Wall-U'!$AC$4:$AC$40)*Flat!V$13)+(LOOKUP(Flat!V$2,'Window-U'!$A$4:$A$40,'Window-U'!$J$4:$J$40)*Flat!V$22))*V202</f>
        <v>440.42526140910763</v>
      </c>
      <c r="W208" s="174">
        <f>((LOOKUP(Flat!W$2,'Ceiling-U'!$A$4:$A$40,'Ceiling-U'!$J$4:$J$40)*Flat!W$15)+(LOOKUP(Flat!W$2,'Floor-U'!$A$4:$A$40,'Floor-U'!$J$4:$J$40)*Flat!W$16)+(LOOKUP(Flat!W$2,'Wall-U'!$A$4:$A$40,'Wall-U'!$AC$4:$AC$40)*Flat!W$13)+(LOOKUP(Flat!W$2,'Window-U'!$A$4:$A$40,'Window-U'!$J$4:$J$40)*Flat!W$22))*W202</f>
        <v>590.08343314637546</v>
      </c>
      <c r="X208" s="174">
        <f>((LOOKUP(Flat!X$2,'Ceiling-U'!$A$4:$A$40,'Ceiling-U'!$J$4:$J$40)*Flat!X$15)+(LOOKUP(Flat!X$2,'Floor-U'!$A$4:$A$40,'Floor-U'!$J$4:$J$40)*Flat!X$16)+(LOOKUP(Flat!X$2,'Wall-U'!$A$4:$A$40,'Wall-U'!$AC$4:$AC$40)*Flat!X$13)+(LOOKUP(Flat!X$2,'Window-U'!$A$4:$A$40,'Window-U'!$J$4:$J$40)*Flat!X$22))*X202</f>
        <v>424.78676055550937</v>
      </c>
      <c r="Y208" s="174">
        <f>((LOOKUP(Flat!Y$2,'Ceiling-U'!$A$4:$A$40,'Ceiling-U'!$J$4:$J$40)*Flat!Y$15)+(LOOKUP(Flat!Y$2,'Floor-U'!$A$4:$A$40,'Floor-U'!$J$4:$J$40)*Flat!Y$16)+(LOOKUP(Flat!Y$2,'Wall-U'!$A$4:$A$40,'Wall-U'!$AC$4:$AC$40)*Flat!Y$13)+(LOOKUP(Flat!Y$2,'Window-U'!$A$4:$A$40,'Window-U'!$J$4:$J$40)*Flat!Y$22))*Y202</f>
        <v>2199.746843593688</v>
      </c>
      <c r="Z208" s="174">
        <f>((LOOKUP(Flat!Z$2,'Ceiling-U'!$A$4:$A$40,'Ceiling-U'!$J$4:$J$40)*Flat!Z$15)+(LOOKUP(Flat!Z$2,'Floor-U'!$A$4:$A$40,'Floor-U'!$J$4:$J$40)*Flat!Z$16)+(LOOKUP(Flat!Z$2,'Wall-U'!$A$4:$A$40,'Wall-U'!$AC$4:$AC$40)*Flat!Z$13)+(LOOKUP(Flat!Z$2,'Window-U'!$A$4:$A$40,'Window-U'!$J$4:$J$40)*Flat!Z$22))*Z202</f>
        <v>709.0959232403751</v>
      </c>
      <c r="AA208" s="174">
        <f>((LOOKUP(Flat!AA$2,'Ceiling-U'!$A$4:$A$40,'Ceiling-U'!$J$4:$J$40)*Flat!AA$15)+(LOOKUP(Flat!AA$2,'Floor-U'!$A$4:$A$40,'Floor-U'!$J$4:$J$40)*Flat!AA$16)+(LOOKUP(Flat!AA$2,'Wall-U'!$A$4:$A$40,'Wall-U'!$AC$4:$AC$40)*Flat!AA$13)+(LOOKUP(Flat!AA$2,'Window-U'!$A$4:$A$40,'Window-U'!$J$4:$J$40)*Flat!AA$22))*AA202</f>
        <v>450.58950865639383</v>
      </c>
      <c r="AB208" s="174">
        <f>((LOOKUP(Flat!AB$2,'Ceiling-U'!$A$4:$A$40,'Ceiling-U'!$J$4:$J$40)*Flat!AB$15)+(LOOKUP(Flat!AB$2,'Floor-U'!$A$4:$A$40,'Floor-U'!$J$4:$J$40)*Flat!AB$16)+(LOOKUP(Flat!AB$2,'Wall-U'!$A$4:$A$40,'Wall-U'!$AC$4:$AC$40)*Flat!AB$13)+(LOOKUP(Flat!AB$2,'Window-U'!$A$4:$A$40,'Window-U'!$J$4:$J$40)*Flat!AB$22))*AB202</f>
        <v>1014.919898326312</v>
      </c>
      <c r="AC208" s="174">
        <f>((LOOKUP(Flat!AC$2,'Ceiling-U'!$A$4:$A$40,'Ceiling-U'!$J$4:$J$40)*Flat!AC$15)+(LOOKUP(Flat!AC$2,'Floor-U'!$A$4:$A$40,'Floor-U'!$J$4:$J$40)*Flat!AC$16)+(LOOKUP(Flat!AC$2,'Wall-U'!$A$4:$A$40,'Wall-U'!$AC$4:$AC$40)*Flat!AC$13)+(LOOKUP(Flat!AC$2,'Window-U'!$A$4:$A$40,'Window-U'!$J$4:$J$40)*Flat!AC$22))*AC202</f>
        <v>1558.1446823133701</v>
      </c>
      <c r="AD208" s="174">
        <f>((LOOKUP(Flat!AD$2,'Ceiling-U'!$A$4:$A$40,'Ceiling-U'!$J$4:$J$40)*Flat!AD$15)+(LOOKUP(Flat!AD$2,'Floor-U'!$A$4:$A$40,'Floor-U'!$J$4:$J$40)*Flat!AD$16)+(LOOKUP(Flat!AD$2,'Wall-U'!$A$4:$A$40,'Wall-U'!$AC$4:$AC$40)*Flat!AD$13)+(LOOKUP(Flat!AD$2,'Window-U'!$A$4:$A$40,'Window-U'!$J$4:$J$40)*Flat!AD$22))*AD202</f>
        <v>2557.0905252352527</v>
      </c>
      <c r="AE208" s="174">
        <f>((LOOKUP(Flat!AE$2,'Ceiling-U'!$A$4:$A$40,'Ceiling-U'!$J$4:$J$40)*Flat!AE$15)+(LOOKUP(Flat!AE$2,'Floor-U'!$A$4:$A$40,'Floor-U'!$J$4:$J$40)*Flat!AE$16)+(LOOKUP(Flat!AE$2,'Wall-U'!$A$4:$A$40,'Wall-U'!$AC$4:$AC$40)*Flat!AE$13)+(LOOKUP(Flat!AE$2,'Window-U'!$A$4:$A$40,'Window-U'!$J$4:$J$40)*Flat!AE$22))*AE202</f>
        <v>450.58950865639383</v>
      </c>
      <c r="AF208" s="174">
        <f>((LOOKUP(Flat!AF$2,'Ceiling-U'!$A$4:$A$40,'Ceiling-U'!$J$4:$J$40)*Flat!AF$15)+(LOOKUP(Flat!AF$2,'Floor-U'!$A$4:$A$40,'Floor-U'!$J$4:$J$40)*Flat!AF$16)+(LOOKUP(Flat!AF$2,'Wall-U'!$A$4:$A$40,'Wall-U'!$AC$4:$AC$40)*Flat!AF$13)+(LOOKUP(Flat!AF$2,'Window-U'!$A$4:$A$40,'Window-U'!$J$4:$J$40)*Flat!AF$22))*AF202</f>
        <v>404.8744186162719</v>
      </c>
      <c r="AG208" s="174">
        <f>((LOOKUP(Flat!AG$2,'Ceiling-U'!$A$4:$A$40,'Ceiling-U'!$J$4:$J$40)*Flat!AG$15)+(LOOKUP(Flat!AG$2,'Floor-U'!$A$4:$A$40,'Floor-U'!$J$4:$J$40)*Flat!AG$16)+(LOOKUP(Flat!AG$2,'Wall-U'!$A$4:$A$40,'Wall-U'!$AC$4:$AC$40)*Flat!AG$13)+(LOOKUP(Flat!AG$2,'Window-U'!$A$4:$A$40,'Window-U'!$J$4:$J$40)*Flat!AG$22))*AG202</f>
        <v>707.04674774596992</v>
      </c>
      <c r="AH208" s="174">
        <f>((LOOKUP(Flat!AH$2,'Ceiling-U'!$A$4:$A$40,'Ceiling-U'!$J$4:$J$40)*Flat!AH$15)+(LOOKUP(Flat!AH$2,'Floor-U'!$A$4:$A$40,'Floor-U'!$J$4:$J$40)*Flat!AH$16)+(LOOKUP(Flat!AH$2,'Wall-U'!$A$4:$A$40,'Wall-U'!$AC$4:$AC$40)*Flat!AH$13)+(LOOKUP(Flat!AH$2,'Window-U'!$A$4:$A$40,'Window-U'!$J$4:$J$40)*Flat!AH$22))*AH202</f>
        <v>1699.4899225517527</v>
      </c>
      <c r="AI208" s="174">
        <f>((LOOKUP(Flat!AI$2,'Ceiling-U'!$A$4:$A$40,'Ceiling-U'!$J$4:$J$40)*Flat!AI$15)+(LOOKUP(Flat!AI$2,'Floor-U'!$A$4:$A$40,'Floor-U'!$J$4:$J$40)*Flat!AI$16)+(LOOKUP(Flat!AI$2,'Wall-U'!$A$4:$A$40,'Wall-U'!$AC$4:$AC$40)*Flat!AI$13)+(LOOKUP(Flat!AI$2,'Window-U'!$A$4:$A$40,'Window-U'!$J$4:$J$40)*Flat!AI$22))*AI202</f>
        <v>1017.341057223889</v>
      </c>
      <c r="AJ208" s="174">
        <f>((LOOKUP(Flat!AJ$2,'Ceiling-U'!$A$4:$A$40,'Ceiling-U'!$J$4:$J$40)*Flat!AJ$15)+(LOOKUP(Flat!AJ$2,'Floor-U'!$A$4:$A$40,'Floor-U'!$J$4:$J$40)*Flat!AJ$16)+(LOOKUP(Flat!AJ$2,'Wall-U'!$A$4:$A$40,'Wall-U'!$AC$4:$AC$40)*Flat!AJ$13)+(LOOKUP(Flat!AJ$2,'Window-U'!$A$4:$A$40,'Window-U'!$J$4:$J$40)*Flat!AJ$22))*AJ202</f>
        <v>927.40471091226186</v>
      </c>
      <c r="AK208" s="174">
        <f>((LOOKUP(Flat!AK$2,'Ceiling-U'!$A$4:$A$40,'Ceiling-U'!$J$4:$J$40)*Flat!AK$15)+(LOOKUP(Flat!AK$2,'Floor-U'!$A$4:$A$40,'Floor-U'!$J$4:$J$40)*Flat!AK$16)+(LOOKUP(Flat!AK$2,'Wall-U'!$A$4:$A$40,'Wall-U'!$AC$4:$AC$40)*Flat!AK$13)+(LOOKUP(Flat!AK$2,'Window-U'!$A$4:$A$40,'Window-U'!$J$4:$J$40)*Flat!AK$22))*AK202</f>
        <v>989.31145410448744</v>
      </c>
      <c r="AL208" s="174">
        <f>((LOOKUP(Flat!AL$2,'Ceiling-U'!$A$4:$A$40,'Ceiling-U'!$J$4:$J$40)*Flat!AL$15)+(LOOKUP(Flat!AL$2,'Floor-U'!$A$4:$A$40,'Floor-U'!$J$4:$J$40)*Flat!AL$16)+(LOOKUP(Flat!AL$2,'Wall-U'!$A$4:$A$40,'Wall-U'!$AC$4:$AC$40)*Flat!AL$13)+(LOOKUP(Flat!AL$2,'Window-U'!$A$4:$A$40,'Window-U'!$J$4:$J$40)*Flat!AL$22))*AL202</f>
        <v>692.86025273606015</v>
      </c>
      <c r="AM208" s="174">
        <f>((LOOKUP(Flat!AM$2,'Ceiling-U'!$A$4:$A$40,'Ceiling-U'!$J$4:$J$40)*Flat!AM$15)+(LOOKUP(Flat!AM$2,'Floor-U'!$A$4:$A$40,'Floor-U'!$J$4:$J$40)*Flat!AM$16)+(LOOKUP(Flat!AM$2,'Wall-U'!$A$4:$A$40,'Wall-U'!$AC$4:$AC$40)*Flat!AM$13)+(LOOKUP(Flat!AM$2,'Window-U'!$A$4:$A$40,'Window-U'!$J$4:$J$40)*Flat!AM$22))*AM202</f>
        <v>927.40471091226186</v>
      </c>
      <c r="AN208" s="175">
        <f>((LOOKUP(Flat!AN$2,'Ceiling-U'!$A$4:$A$40,'Ceiling-U'!$J$4:$J$40)*Flat!AN$15)+(LOOKUP(Flat!AN$2,'Floor-U'!$A$4:$A$40,'Floor-U'!$J$4:$J$40)*Flat!AN$16)+(LOOKUP(Flat!AN$2,'Wall-U'!$A$4:$A$40,'Wall-U'!$AC$4:$AC$40)*Flat!AN$13)+(LOOKUP(Flat!AN$2,'Window-U'!$A$4:$A$40,'Window-U'!$J$4:$J$40)*Flat!AN$22))*AN202</f>
        <v>927.40471091226186</v>
      </c>
    </row>
    <row r="209" spans="1:40" s="5" customFormat="1">
      <c r="A209" s="332" t="s">
        <v>280</v>
      </c>
      <c r="B209" s="142" t="s">
        <v>2</v>
      </c>
      <c r="C209" s="360" t="s">
        <v>261</v>
      </c>
      <c r="D209" s="351">
        <f>D203*24*LOOKUP(Flat!D$2,'HDD-by Country'!$A$4:$A$40,'HDD-by Country'!$C$4:$C$40)/1000/Flat!D$3</f>
        <v>5093.4428181584681</v>
      </c>
      <c r="E209" s="352">
        <f>E203*24*LOOKUP(Flat!E$2,'HDD-by Country'!$A$4:$A$40,'HDD-by Country'!$C$4:$C$40)/1000/Flat!E$3</f>
        <v>5471.1214935196103</v>
      </c>
      <c r="F209" s="352">
        <f>F203*24*LOOKUP(Flat!F$2,'HDD-by Country'!$A$4:$A$40,'HDD-by Country'!$C$4:$C$40)/1000/Flat!F$3</f>
        <v>3429.5957099741222</v>
      </c>
      <c r="G209" s="352">
        <f>G203*24*LOOKUP(Flat!G$2,'HDD-by Country'!$A$4:$A$40,'HDD-by Country'!$C$4:$C$40)/1000/Flat!G$3</f>
        <v>4962.3301322965262</v>
      </c>
      <c r="H209" s="352">
        <f>H203*24*LOOKUP(Flat!H$2,'HDD-by Country'!$A$4:$A$40,'HDD-by Country'!$C$4:$C$40)/1000/Flat!H$3</f>
        <v>2068.2810495517365</v>
      </c>
      <c r="I209" s="352">
        <f>I203*24*LOOKUP(Flat!I$2,'HDD-by Country'!$A$4:$A$40,'HDD-by Country'!$C$4:$C$40)/1000/Flat!I$3</f>
        <v>4870.5855857756151</v>
      </c>
      <c r="J209" s="352">
        <f>J203*24*LOOKUP(Flat!J$2,'HDD-by Country'!$A$4:$A$40,'HDD-by Country'!$C$4:$C$40)/1000/Flat!J$3</f>
        <v>5521.0381573451396</v>
      </c>
      <c r="K209" s="352">
        <f>K203*24*LOOKUP(Flat!K$2,'HDD-by Country'!$A$4:$A$40,'HDD-by Country'!$C$4:$C$40)/1000/Flat!K$3</f>
        <v>3779.4305676849135</v>
      </c>
      <c r="L209" s="352">
        <f>L203*24*LOOKUP(Flat!L$2,'HDD-by Country'!$A$4:$A$40,'HDD-by Country'!$C$4:$C$40)/1000/Flat!L$3</f>
        <v>3071.6163959948635</v>
      </c>
      <c r="M209" s="352">
        <f>M203*24*LOOKUP(Flat!M$2,'HDD-by Country'!$A$4:$A$40,'HDD-by Country'!$C$4:$C$40)/1000/Flat!M$3</f>
        <v>6230.0346610229135</v>
      </c>
      <c r="N209" s="352">
        <f>N203*24*LOOKUP(Flat!N$2,'HDD-by Country'!$A$4:$A$40,'HDD-by Country'!$C$4:$C$40)/1000/Flat!N$3</f>
        <v>4460.2690510785897</v>
      </c>
      <c r="O209" s="352">
        <f>O203*24*LOOKUP(Flat!O$2,'HDD-by Country'!$A$4:$A$40,'HDD-by Country'!$C$4:$C$40)/1000/Flat!O$3</f>
        <v>5572.1409618759808</v>
      </c>
      <c r="P209" s="352">
        <f>P203*24*LOOKUP(Flat!P$2,'HDD-by Country'!$A$4:$A$40,'HDD-by Country'!$C$4:$C$40)/1000/Flat!P$3</f>
        <v>5486.1949707692838</v>
      </c>
      <c r="Q209" s="352">
        <f>Q203*24*LOOKUP(Flat!Q$2,'HDD-by Country'!$A$4:$A$40,'HDD-by Country'!$C$4:$C$40)/1000/Flat!Q$3</f>
        <v>4215.4252054260869</v>
      </c>
      <c r="R209" s="352">
        <f>R203*24*LOOKUP(Flat!R$2,'HDD-by Country'!$A$4:$A$40,'HDD-by Country'!$C$4:$C$40)/1000/Flat!R$3</f>
        <v>3346.5883387463705</v>
      </c>
      <c r="S209" s="352">
        <f>S203*24*LOOKUP(Flat!S$2,'HDD-by Country'!$A$4:$A$40,'HDD-by Country'!$C$4:$C$40)/1000/Flat!S$3</f>
        <v>4874.5833168583349</v>
      </c>
      <c r="T209" s="352">
        <f>T203*24*LOOKUP(Flat!T$2,'HDD-by Country'!$A$4:$A$40,'HDD-by Country'!$C$4:$C$40)/1000/Flat!T$3</f>
        <v>4366.4576532869123</v>
      </c>
      <c r="U209" s="352">
        <f>U203*24*LOOKUP(Flat!U$2,'HDD-by Country'!$A$4:$A$40,'HDD-by Country'!$C$4:$C$40)/1000/Flat!U$3</f>
        <v>5395.9090157275268</v>
      </c>
      <c r="V209" s="352">
        <f>V203*24*LOOKUP(Flat!V$2,'HDD-by Country'!$A$4:$A$40,'HDD-by Country'!$C$4:$C$40)/1000/Flat!V$3</f>
        <v>4227.5278875434315</v>
      </c>
      <c r="W209" s="352">
        <f>W203*24*LOOKUP(Flat!W$2,'HDD-by Country'!$A$4:$A$40,'HDD-by Country'!$C$4:$C$40)/1000/Flat!W$3</f>
        <v>7063.6973559470662</v>
      </c>
      <c r="X209" s="352">
        <f>X203*24*LOOKUP(Flat!X$2,'HDD-by Country'!$A$4:$A$40,'HDD-by Country'!$C$4:$C$40)/1000/Flat!X$3</f>
        <v>5032.7024599341112</v>
      </c>
      <c r="Y209" s="352">
        <f>Y203*24*LOOKUP(Flat!Y$2,'HDD-by Country'!$A$4:$A$40,'HDD-by Country'!$C$4:$C$40)/1000/Flat!Y$3</f>
        <v>1717.3257899370542</v>
      </c>
      <c r="Z209" s="352">
        <f>Z203*24*LOOKUP(Flat!Z$2,'HDD-by Country'!$A$4:$A$40,'HDD-by Country'!$C$4:$C$40)/1000/Flat!Z$3</f>
        <v>6095.4513619384588</v>
      </c>
      <c r="AA209" s="352">
        <f>AA203*24*LOOKUP(Flat!AA$2,'HDD-by Country'!$A$4:$A$40,'HDD-by Country'!$C$4:$C$40)/1000/Flat!AA$3</f>
        <v>5007.3863548365089</v>
      </c>
      <c r="AB209" s="352">
        <f>AB203*24*LOOKUP(Flat!AB$2,'HDD-by Country'!$A$4:$A$40,'HDD-by Country'!$C$4:$C$40)/1000/Flat!AB$3</f>
        <v>5393.5742401908738</v>
      </c>
      <c r="AC209" s="352">
        <f>AC203*24*LOOKUP(Flat!AC$2,'HDD-by Country'!$A$4:$A$40,'HDD-by Country'!$C$4:$C$40)/1000/Flat!AC$3</f>
        <v>3830.225160351566</v>
      </c>
      <c r="AD209" s="352">
        <f>AD203*24*LOOKUP(Flat!AD$2,'HDD-by Country'!$A$4:$A$40,'HDD-by Country'!$C$4:$C$40)/1000/Flat!AD$3</f>
        <v>3623.2277517072798</v>
      </c>
      <c r="AE209" s="352">
        <f>AE203*24*LOOKUP(Flat!AE$2,'HDD-by Country'!$A$4:$A$40,'HDD-by Country'!$C$4:$C$40)/1000/Flat!AE$3</f>
        <v>4828.2343811069704</v>
      </c>
      <c r="AF209" s="352">
        <f>AF203*24*LOOKUP(Flat!AF$2,'HDD-by Country'!$A$4:$A$40,'HDD-by Country'!$C$4:$C$40)/1000/Flat!AF$3</f>
        <v>3647.7054458266962</v>
      </c>
      <c r="AG209" s="352">
        <f>AG203*24*LOOKUP(Flat!AG$2,'HDD-by Country'!$A$4:$A$40,'HDD-by Country'!$C$4:$C$40)/1000/Flat!AG$3</f>
        <v>6619.4367031317088</v>
      </c>
      <c r="AH209" s="352">
        <f>AH203*24*LOOKUP(Flat!AH$2,'HDD-by Country'!$A$4:$A$40,'HDD-by Country'!$C$4:$C$40)/1000/Flat!AH$3</f>
        <v>3766.1941767173835</v>
      </c>
      <c r="AI209" s="352">
        <f>AI203*24*LOOKUP(Flat!AI$2,'HDD-by Country'!$A$4:$A$40,'HDD-by Country'!$C$4:$C$40)/1000/Flat!AI$3</f>
        <v>4386.1183438353855</v>
      </c>
      <c r="AJ209" s="352">
        <f>AJ203*24*LOOKUP(Flat!AJ$2,'HDD-by Country'!$A$4:$A$40,'HDD-by Country'!$C$4:$C$40)/1000/Flat!AJ$3</f>
        <v>4085.8416188963383</v>
      </c>
      <c r="AK209" s="352">
        <f>AK203*24*LOOKUP(Flat!AK$2,'HDD-by Country'!$A$4:$A$40,'HDD-by Country'!$C$4:$C$40)/1000/Flat!AK$3</f>
        <v>3896.1002534134482</v>
      </c>
      <c r="AL209" s="352">
        <f>AL203*24*LOOKUP(Flat!AL$2,'HDD-by Country'!$A$4:$A$40,'HDD-by Country'!$C$4:$C$40)/1000/Flat!AL$3</f>
        <v>3741.475054813191</v>
      </c>
      <c r="AM209" s="352">
        <f>AM203*24*LOOKUP(Flat!AM$2,'HDD-by Country'!$A$4:$A$40,'HDD-by Country'!$C$4:$C$40)/1000/Flat!AM$3</f>
        <v>3757.2403935573107</v>
      </c>
      <c r="AN209" s="353">
        <f>AN203*24*LOOKUP(Flat!AN$2,'HDD-by Country'!$A$4:$A$40,'HDD-by Country'!$C$4:$C$40)/1000/Flat!AN$3</f>
        <v>3757.2403935573107</v>
      </c>
    </row>
    <row r="210" spans="1:40" s="5" customFormat="1">
      <c r="A210" s="129"/>
      <c r="B210" s="142" t="s">
        <v>3</v>
      </c>
      <c r="C210" s="129" t="s">
        <v>261</v>
      </c>
      <c r="D210" s="345">
        <f>D204*24*LOOKUP(Flat!D$2,'HDD-by Country'!$A$4:$A$40,'HDD-by Country'!$C$4:$C$40)/1000/Flat!D$3</f>
        <v>5104.5635095003436</v>
      </c>
      <c r="E210" s="349">
        <f>E204*24*LOOKUP(Flat!E$2,'HDD-by Country'!$A$4:$A$40,'HDD-by Country'!$C$4:$C$40)/1000/Flat!E$3</f>
        <v>5471.1214935196103</v>
      </c>
      <c r="F210" s="349">
        <f>F204*24*LOOKUP(Flat!F$2,'HDD-by Country'!$A$4:$A$40,'HDD-by Country'!$C$4:$C$40)/1000/Flat!F$3</f>
        <v>3429.5957099741222</v>
      </c>
      <c r="G210" s="349">
        <f>G204*24*LOOKUP(Flat!G$2,'HDD-by Country'!$A$4:$A$40,'HDD-by Country'!$C$4:$C$40)/1000/Flat!G$3</f>
        <v>4973.1645607387236</v>
      </c>
      <c r="H210" s="349">
        <f>H204*24*LOOKUP(Flat!H$2,'HDD-by Country'!$A$4:$A$40,'HDD-by Country'!$C$4:$C$40)/1000/Flat!H$3</f>
        <v>2056.8217949547011</v>
      </c>
      <c r="I210" s="349">
        <f>I204*24*LOOKUP(Flat!I$2,'HDD-by Country'!$A$4:$A$40,'HDD-by Country'!$C$4:$C$40)/1000/Flat!I$3</f>
        <v>4172.2607186114674</v>
      </c>
      <c r="J210" s="349">
        <f>J204*24*LOOKUP(Flat!J$2,'HDD-by Country'!$A$4:$A$40,'HDD-by Country'!$C$4:$C$40)/1000/Flat!J$3</f>
        <v>5011.5994400247928</v>
      </c>
      <c r="K210" s="349">
        <f>K204*24*LOOKUP(Flat!K$2,'HDD-by Country'!$A$4:$A$40,'HDD-by Country'!$C$4:$C$40)/1000/Flat!K$3</f>
        <v>3631.5952228852125</v>
      </c>
      <c r="L210" s="349">
        <f>L204*24*LOOKUP(Flat!L$2,'HDD-by Country'!$A$4:$A$40,'HDD-by Country'!$C$4:$C$40)/1000/Flat!L$3</f>
        <v>3071.6163959948635</v>
      </c>
      <c r="M210" s="349">
        <f>M204*24*LOOKUP(Flat!M$2,'HDD-by Country'!$A$4:$A$40,'HDD-by Country'!$C$4:$C$40)/1000/Flat!M$3</f>
        <v>5910.281208989818</v>
      </c>
      <c r="N210" s="349">
        <f>N204*24*LOOKUP(Flat!N$2,'HDD-by Country'!$A$4:$A$40,'HDD-by Country'!$C$4:$C$40)/1000/Flat!N$3</f>
        <v>4173.0874885486292</v>
      </c>
      <c r="O210" s="349">
        <f>O204*24*LOOKUP(Flat!O$2,'HDD-by Country'!$A$4:$A$40,'HDD-by Country'!$C$4:$C$40)/1000/Flat!O$3</f>
        <v>5572.1409618759808</v>
      </c>
      <c r="P210" s="349">
        <f>P204*24*LOOKUP(Flat!P$2,'HDD-by Country'!$A$4:$A$40,'HDD-by Country'!$C$4:$C$40)/1000/Flat!P$3</f>
        <v>5486.1949707692838</v>
      </c>
      <c r="Q210" s="349">
        <f>Q204*24*LOOKUP(Flat!Q$2,'HDD-by Country'!$A$4:$A$40,'HDD-by Country'!$C$4:$C$40)/1000/Flat!Q$3</f>
        <v>4246.0380129055284</v>
      </c>
      <c r="R210" s="349">
        <f>R204*24*LOOKUP(Flat!R$2,'HDD-by Country'!$A$4:$A$40,'HDD-by Country'!$C$4:$C$40)/1000/Flat!R$3</f>
        <v>3346.5883387463705</v>
      </c>
      <c r="S210" s="349">
        <f>S204*24*LOOKUP(Flat!S$2,'HDD-by Country'!$A$4:$A$40,'HDD-by Country'!$C$4:$C$40)/1000/Flat!S$3</f>
        <v>4966.8596015265575</v>
      </c>
      <c r="T210" s="349">
        <f>T204*24*LOOKUP(Flat!T$2,'HDD-by Country'!$A$4:$A$40,'HDD-by Country'!$C$4:$C$40)/1000/Flat!T$3</f>
        <v>4106.2770509178317</v>
      </c>
      <c r="U210" s="349">
        <f>U204*24*LOOKUP(Flat!U$2,'HDD-by Country'!$A$4:$A$40,'HDD-by Country'!$C$4:$C$40)/1000/Flat!U$3</f>
        <v>5309.0780368891374</v>
      </c>
      <c r="V210" s="349">
        <f>V204*24*LOOKUP(Flat!V$2,'HDD-by Country'!$A$4:$A$40,'HDD-by Country'!$C$4:$C$40)/1000/Flat!V$3</f>
        <v>4227.5278875434315</v>
      </c>
      <c r="W210" s="349">
        <f>W204*24*LOOKUP(Flat!W$2,'HDD-by Country'!$A$4:$A$40,'HDD-by Country'!$C$4:$C$40)/1000/Flat!W$3</f>
        <v>5933.1281168903552</v>
      </c>
      <c r="X210" s="349">
        <f>X204*24*LOOKUP(Flat!X$2,'HDD-by Country'!$A$4:$A$40,'HDD-by Country'!$C$4:$C$40)/1000/Flat!X$3</f>
        <v>4885.304059934112</v>
      </c>
      <c r="Y210" s="349">
        <f>Y204*24*LOOKUP(Flat!Y$2,'HDD-by Country'!$A$4:$A$40,'HDD-by Country'!$C$4:$C$40)/1000/Flat!Y$3</f>
        <v>1713.7090988912739</v>
      </c>
      <c r="Z210" s="349">
        <f>Z204*24*LOOKUP(Flat!Z$2,'HDD-by Country'!$A$4:$A$40,'HDD-by Country'!$C$4:$C$40)/1000/Flat!Z$3</f>
        <v>4963.5822755279751</v>
      </c>
      <c r="AA210" s="349">
        <f>AA204*24*LOOKUP(Flat!AA$2,'HDD-by Country'!$A$4:$A$40,'HDD-by Country'!$C$4:$C$40)/1000/Flat!AA$3</f>
        <v>4969.7768402253087</v>
      </c>
      <c r="AB210" s="349">
        <f>AB204*24*LOOKUP(Flat!AB$2,'HDD-by Country'!$A$4:$A$40,'HDD-by Country'!$C$4:$C$40)/1000/Flat!AB$3</f>
        <v>4040.9653185791099</v>
      </c>
      <c r="AC210" s="349">
        <f>AC204*24*LOOKUP(Flat!AC$2,'HDD-by Country'!$A$4:$A$40,'HDD-by Country'!$C$4:$C$40)/1000/Flat!AC$3</f>
        <v>3815.9873910943256</v>
      </c>
      <c r="AD210" s="349">
        <f>AD204*24*LOOKUP(Flat!AD$2,'HDD-by Country'!$A$4:$A$40,'HDD-by Country'!$C$4:$C$40)/1000/Flat!AD$3</f>
        <v>3342.2182329568946</v>
      </c>
      <c r="AE210" s="349">
        <f>AE204*24*LOOKUP(Flat!AE$2,'HDD-by Country'!$A$4:$A$40,'HDD-by Country'!$C$4:$C$40)/1000/Flat!AE$3</f>
        <v>4791.9704424701704</v>
      </c>
      <c r="AF210" s="349">
        <f>AF204*24*LOOKUP(Flat!AF$2,'HDD-by Country'!$A$4:$A$40,'HDD-by Country'!$C$4:$C$40)/1000/Flat!AF$3</f>
        <v>3647.7054458266962</v>
      </c>
      <c r="AG210" s="349">
        <f>AG204*24*LOOKUP(Flat!AG$2,'HDD-by Country'!$A$4:$A$40,'HDD-by Country'!$C$4:$C$40)/1000/Flat!AG$3</f>
        <v>5941.996909509443</v>
      </c>
      <c r="AH210" s="349">
        <f>AH204*24*LOOKUP(Flat!AH$2,'HDD-by Country'!$A$4:$A$40,'HDD-by Country'!$C$4:$C$40)/1000/Flat!AH$3</f>
        <v>3783.7592809292205</v>
      </c>
      <c r="AI210" s="349">
        <f>AI204*24*LOOKUP(Flat!AI$2,'HDD-by Country'!$A$4:$A$40,'HDD-by Country'!$C$4:$C$40)/1000/Flat!AI$3</f>
        <v>4386.1183438353855</v>
      </c>
      <c r="AJ210" s="349">
        <f>AJ204*24*LOOKUP(Flat!AJ$2,'HDD-by Country'!$A$4:$A$40,'HDD-by Country'!$C$4:$C$40)/1000/Flat!AJ$3</f>
        <v>4085.8416188963383</v>
      </c>
      <c r="AK210" s="349">
        <f>AK204*24*LOOKUP(Flat!AK$2,'HDD-by Country'!$A$4:$A$40,'HDD-by Country'!$C$4:$C$40)/1000/Flat!AK$3</f>
        <v>3896.1002534134482</v>
      </c>
      <c r="AL210" s="349">
        <f>AL204*24*LOOKUP(Flat!AL$2,'HDD-by Country'!$A$4:$A$40,'HDD-by Country'!$C$4:$C$40)/1000/Flat!AL$3</f>
        <v>3741.475054813191</v>
      </c>
      <c r="AM210" s="349">
        <f>AM204*24*LOOKUP(Flat!AM$2,'HDD-by Country'!$A$4:$A$40,'HDD-by Country'!$C$4:$C$40)/1000/Flat!AM$3</f>
        <v>3757.2403935573107</v>
      </c>
      <c r="AN210" s="354">
        <f>AN204*24*LOOKUP(Flat!AN$2,'HDD-by Country'!$A$4:$A$40,'HDD-by Country'!$C$4:$C$40)/1000/Flat!AN$3</f>
        <v>3757.2403935573107</v>
      </c>
    </row>
    <row r="211" spans="1:40" s="5" customFormat="1">
      <c r="A211" s="129"/>
      <c r="B211" s="142" t="s">
        <v>4</v>
      </c>
      <c r="C211" s="129" t="s">
        <v>261</v>
      </c>
      <c r="D211" s="345">
        <f>D205*24*LOOKUP(Flat!D$2,'HDD-by Country'!$A$4:$A$40,'HDD-by Country'!$C$4:$C$40)/1000/Flat!D$3</f>
        <v>4244.7366068574966</v>
      </c>
      <c r="E211" s="349">
        <f>E205*24*LOOKUP(Flat!E$2,'HDD-by Country'!$A$4:$A$40,'HDD-by Country'!$C$4:$C$40)/1000/Flat!E$3</f>
        <v>5471.1214935196103</v>
      </c>
      <c r="F211" s="349">
        <f>F205*24*LOOKUP(Flat!F$2,'HDD-by Country'!$A$4:$A$40,'HDD-by Country'!$C$4:$C$40)/1000/Flat!F$3</f>
        <v>3298.9276345203989</v>
      </c>
      <c r="G211" s="349">
        <f>G205*24*LOOKUP(Flat!G$2,'HDD-by Country'!$A$4:$A$40,'HDD-by Country'!$C$4:$C$40)/1000/Flat!G$3</f>
        <v>4135.4708632002803</v>
      </c>
      <c r="H211" s="349">
        <f>H205*24*LOOKUP(Flat!H$2,'HDD-by Country'!$A$4:$A$40,'HDD-by Country'!$C$4:$C$40)/1000/Flat!H$3</f>
        <v>2459.719009428115</v>
      </c>
      <c r="I211" s="349">
        <f>I205*24*LOOKUP(Flat!I$2,'HDD-by Country'!$A$4:$A$40,'HDD-by Country'!$C$4:$C$40)/1000/Flat!I$3</f>
        <v>4172.2607186114674</v>
      </c>
      <c r="J211" s="349">
        <f>J205*24*LOOKUP(Flat!J$2,'HDD-by Country'!$A$4:$A$40,'HDD-by Country'!$C$4:$C$40)/1000/Flat!J$3</f>
        <v>3775.5742329510458</v>
      </c>
      <c r="K211" s="349">
        <f>K205*24*LOOKUP(Flat!K$2,'HDD-by Country'!$A$4:$A$40,'HDD-by Country'!$C$4:$C$40)/1000/Flat!K$3</f>
        <v>2941.2587090374004</v>
      </c>
      <c r="L211" s="349">
        <f>L205*24*LOOKUP(Flat!L$2,'HDD-by Country'!$A$4:$A$40,'HDD-by Country'!$C$4:$C$40)/1000/Flat!L$3</f>
        <v>2733.6663487839896</v>
      </c>
      <c r="M211" s="349">
        <f>M205*24*LOOKUP(Flat!M$2,'HDD-by Country'!$A$4:$A$40,'HDD-by Country'!$C$4:$C$40)/1000/Flat!M$3</f>
        <v>5910.281208989818</v>
      </c>
      <c r="N211" s="349">
        <f>N205*24*LOOKUP(Flat!N$2,'HDD-by Country'!$A$4:$A$40,'HDD-by Country'!$C$4:$C$40)/1000/Flat!N$3</f>
        <v>3687.5181335131028</v>
      </c>
      <c r="O211" s="349">
        <f>O205*24*LOOKUP(Flat!O$2,'HDD-by Country'!$A$4:$A$40,'HDD-by Country'!$C$4:$C$40)/1000/Flat!O$3</f>
        <v>3282.7762726959581</v>
      </c>
      <c r="P211" s="349">
        <f>P205*24*LOOKUP(Flat!P$2,'HDD-by Country'!$A$4:$A$40,'HDD-by Country'!$C$4:$C$40)/1000/Flat!P$3</f>
        <v>5486.1949707692838</v>
      </c>
      <c r="Q211" s="349">
        <f>Q205*24*LOOKUP(Flat!Q$2,'HDD-by Country'!$A$4:$A$40,'HDD-by Country'!$C$4:$C$40)/1000/Flat!Q$3</f>
        <v>3599.5281320422473</v>
      </c>
      <c r="R211" s="349">
        <f>R205*24*LOOKUP(Flat!R$2,'HDD-by Country'!$A$4:$A$40,'HDD-by Country'!$C$4:$C$40)/1000/Flat!R$3</f>
        <v>3154.8667606998492</v>
      </c>
      <c r="S211" s="349">
        <f>S205*24*LOOKUP(Flat!S$2,'HDD-by Country'!$A$4:$A$40,'HDD-by Country'!$C$4:$C$40)/1000/Flat!S$3</f>
        <v>4060.4330176303606</v>
      </c>
      <c r="T211" s="349">
        <f>T205*24*LOOKUP(Flat!T$2,'HDD-by Country'!$A$4:$A$40,'HDD-by Country'!$C$4:$C$40)/1000/Flat!T$3</f>
        <v>3616.6938698741178</v>
      </c>
      <c r="U211" s="349">
        <f>U205*24*LOOKUP(Flat!U$2,'HDD-by Country'!$A$4:$A$40,'HDD-by Country'!$C$4:$C$40)/1000/Flat!U$3</f>
        <v>4811.1088288891378</v>
      </c>
      <c r="V211" s="349">
        <f>V205*24*LOOKUP(Flat!V$2,'HDD-by Country'!$A$4:$A$40,'HDD-by Country'!$C$4:$C$40)/1000/Flat!V$3</f>
        <v>3139.2099087997285</v>
      </c>
      <c r="W211" s="349">
        <f>W205*24*LOOKUP(Flat!W$2,'HDD-by Country'!$A$4:$A$40,'HDD-by Country'!$C$4:$C$40)/1000/Flat!W$3</f>
        <v>4020.2824151725736</v>
      </c>
      <c r="X211" s="349">
        <f>X205*24*LOOKUP(Flat!X$2,'HDD-by Country'!$A$4:$A$40,'HDD-by Country'!$C$4:$C$40)/1000/Flat!X$3</f>
        <v>4684.6258919361389</v>
      </c>
      <c r="Y211" s="349">
        <f>Y205*24*LOOKUP(Flat!Y$2,'HDD-by Country'!$A$4:$A$40,'HDD-by Country'!$C$4:$C$40)/1000/Flat!Y$3</f>
        <v>1693.3948681213976</v>
      </c>
      <c r="Z211" s="349">
        <f>Z205*24*LOOKUP(Flat!Z$2,'HDD-by Country'!$A$4:$A$40,'HDD-by Country'!$C$4:$C$40)/1000/Flat!Z$3</f>
        <v>4762.545566890054</v>
      </c>
      <c r="AA211" s="349">
        <f>AA205*24*LOOKUP(Flat!AA$2,'HDD-by Country'!$A$4:$A$40,'HDD-by Country'!$C$4:$C$40)/1000/Flat!AA$3</f>
        <v>4055.192149758871</v>
      </c>
      <c r="AB211" s="349">
        <f>AB205*24*LOOKUP(Flat!AB$2,'HDD-by Country'!$A$4:$A$40,'HDD-by Country'!$C$4:$C$40)/1000/Flat!AB$3</f>
        <v>3282.6618127721385</v>
      </c>
      <c r="AC211" s="349">
        <f>AC205*24*LOOKUP(Flat!AC$2,'HDD-by Country'!$A$4:$A$40,'HDD-by Country'!$C$4:$C$40)/1000/Flat!AC$3</f>
        <v>3726.766193315766</v>
      </c>
      <c r="AD211" s="349">
        <f>AD205*24*LOOKUP(Flat!AD$2,'HDD-by Country'!$A$4:$A$40,'HDD-by Country'!$C$4:$C$40)/1000/Flat!AD$3</f>
        <v>3342.2182329568946</v>
      </c>
      <c r="AE211" s="349">
        <f>AE205*24*LOOKUP(Flat!AE$2,'HDD-by Country'!$A$4:$A$40,'HDD-by Country'!$C$4:$C$40)/1000/Flat!AE$3</f>
        <v>3910.1073438340936</v>
      </c>
      <c r="AF211" s="349">
        <f>AF205*24*LOOKUP(Flat!AF$2,'HDD-by Country'!$A$4:$A$40,'HDD-by Country'!$C$4:$C$40)/1000/Flat!AF$3</f>
        <v>3206.0903153332974</v>
      </c>
      <c r="AG211" s="349">
        <f>AG205*24*LOOKUP(Flat!AG$2,'HDD-by Country'!$A$4:$A$40,'HDD-by Country'!$C$4:$C$40)/1000/Flat!AG$3</f>
        <v>5941.996909509443</v>
      </c>
      <c r="AH211" s="349">
        <f>AH205*24*LOOKUP(Flat!AH$2,'HDD-by Country'!$A$4:$A$40,'HDD-by Country'!$C$4:$C$40)/1000/Flat!AH$3</f>
        <v>3180.7262577791271</v>
      </c>
      <c r="AI211" s="349">
        <f>AI205*24*LOOKUP(Flat!AI$2,'HDD-by Country'!$A$4:$A$40,'HDD-by Country'!$C$4:$C$40)/1000/Flat!AI$3</f>
        <v>4386.1183438353855</v>
      </c>
      <c r="AJ211" s="349">
        <f>AJ205*24*LOOKUP(Flat!AJ$2,'HDD-by Country'!$A$4:$A$40,'HDD-by Country'!$C$4:$C$40)/1000/Flat!AJ$3</f>
        <v>4085.8416188963383</v>
      </c>
      <c r="AK211" s="349">
        <f>AK205*24*LOOKUP(Flat!AK$2,'HDD-by Country'!$A$4:$A$40,'HDD-by Country'!$C$4:$C$40)/1000/Flat!AK$3</f>
        <v>3896.1002534134482</v>
      </c>
      <c r="AL211" s="349">
        <f>AL205*24*LOOKUP(Flat!AL$2,'HDD-by Country'!$A$4:$A$40,'HDD-by Country'!$C$4:$C$40)/1000/Flat!AL$3</f>
        <v>3607.1791825031878</v>
      </c>
      <c r="AM211" s="349">
        <f>AM205*24*LOOKUP(Flat!AM$2,'HDD-by Country'!$A$4:$A$40,'HDD-by Country'!$C$4:$C$40)/1000/Flat!AM$3</f>
        <v>3757.2403935573107</v>
      </c>
      <c r="AN211" s="354">
        <f>AN205*24*LOOKUP(Flat!AN$2,'HDD-by Country'!$A$4:$A$40,'HDD-by Country'!$C$4:$C$40)/1000/Flat!AN$3</f>
        <v>3757.2403935573107</v>
      </c>
    </row>
    <row r="212" spans="1:40" s="5" customFormat="1">
      <c r="A212" s="129"/>
      <c r="B212" s="142" t="s">
        <v>5</v>
      </c>
      <c r="C212" s="129" t="s">
        <v>261</v>
      </c>
      <c r="D212" s="345">
        <f>D206*24*LOOKUP(Flat!D$2,'HDD-by Country'!$A$4:$A$40,'HDD-by Country'!$C$4:$C$40)/1000/Flat!D$3</f>
        <v>3151.1478623705225</v>
      </c>
      <c r="E212" s="349">
        <f>E206*24*LOOKUP(Flat!E$2,'HDD-by Country'!$A$4:$A$40,'HDD-by Country'!$C$4:$C$40)/1000/Flat!E$3</f>
        <v>4746.7484443413969</v>
      </c>
      <c r="F212" s="349">
        <f>F206*24*LOOKUP(Flat!F$2,'HDD-by Country'!$A$4:$A$40,'HDD-by Country'!$C$4:$C$40)/1000/Flat!F$3</f>
        <v>3024.9952403231782</v>
      </c>
      <c r="G212" s="349">
        <f>G206*24*LOOKUP(Flat!G$2,'HDD-by Country'!$A$4:$A$40,'HDD-by Country'!$C$4:$C$40)/1000/Flat!G$3</f>
        <v>3070.0326963553885</v>
      </c>
      <c r="H212" s="349">
        <f>H206*24*LOOKUP(Flat!H$2,'HDD-by Country'!$A$4:$A$40,'HDD-by Country'!$C$4:$C$40)/1000/Flat!H$3</f>
        <v>2377.5151694281149</v>
      </c>
      <c r="I212" s="349">
        <f>I206*24*LOOKUP(Flat!I$2,'HDD-by Country'!$A$4:$A$40,'HDD-by Country'!$C$4:$C$40)/1000/Flat!I$3</f>
        <v>3882.959670722491</v>
      </c>
      <c r="J212" s="349">
        <f>J206*24*LOOKUP(Flat!J$2,'HDD-by Country'!$A$4:$A$40,'HDD-by Country'!$C$4:$C$40)/1000/Flat!J$3</f>
        <v>3084.1290900006506</v>
      </c>
      <c r="K212" s="349">
        <f>K206*24*LOOKUP(Flat!K$2,'HDD-by Country'!$A$4:$A$40,'HDD-by Country'!$C$4:$C$40)/1000/Flat!K$3</f>
        <v>2653.4243973212247</v>
      </c>
      <c r="L212" s="349">
        <f>L206*24*LOOKUP(Flat!L$2,'HDD-by Country'!$A$4:$A$40,'HDD-by Country'!$C$4:$C$40)/1000/Flat!L$3</f>
        <v>1981.3773601287371</v>
      </c>
      <c r="M212" s="349">
        <f>M206*24*LOOKUP(Flat!M$2,'HDD-by Country'!$A$4:$A$40,'HDD-by Country'!$C$4:$C$40)/1000/Flat!M$3</f>
        <v>3545.1367038804551</v>
      </c>
      <c r="N212" s="349">
        <f>N206*24*LOOKUP(Flat!N$2,'HDD-by Country'!$A$4:$A$40,'HDD-by Country'!$C$4:$C$40)/1000/Flat!N$3</f>
        <v>3115.6320981931831</v>
      </c>
      <c r="O212" s="349">
        <f>O206*24*LOOKUP(Flat!O$2,'HDD-by Country'!$A$4:$A$40,'HDD-by Country'!$C$4:$C$40)/1000/Flat!O$3</f>
        <v>2857.3772399222125</v>
      </c>
      <c r="P212" s="349">
        <f>P206*24*LOOKUP(Flat!P$2,'HDD-by Country'!$A$4:$A$40,'HDD-by Country'!$C$4:$C$40)/1000/Flat!P$3</f>
        <v>5253.1088907692847</v>
      </c>
      <c r="Q212" s="349">
        <f>Q206*24*LOOKUP(Flat!Q$2,'HDD-by Country'!$A$4:$A$40,'HDD-by Country'!$C$4:$C$40)/1000/Flat!Q$3</f>
        <v>3599.5281320422473</v>
      </c>
      <c r="R212" s="349">
        <f>R206*24*LOOKUP(Flat!R$2,'HDD-by Country'!$A$4:$A$40,'HDD-by Country'!$C$4:$C$40)/1000/Flat!R$3</f>
        <v>2786.1767320905356</v>
      </c>
      <c r="S212" s="349">
        <f>S206*24*LOOKUP(Flat!S$2,'HDD-by Country'!$A$4:$A$40,'HDD-by Country'!$C$4:$C$40)/1000/Flat!S$3</f>
        <v>2837.2998118758924</v>
      </c>
      <c r="T212" s="349">
        <f>T206*24*LOOKUP(Flat!T$2,'HDD-by Country'!$A$4:$A$40,'HDD-by Country'!$C$4:$C$40)/1000/Flat!T$3</f>
        <v>3047.182286994574</v>
      </c>
      <c r="U212" s="349">
        <f>U206*24*LOOKUP(Flat!U$2,'HDD-by Country'!$A$4:$A$40,'HDD-by Country'!$C$4:$C$40)/1000/Flat!U$3</f>
        <v>3936.8996200795873</v>
      </c>
      <c r="V212" s="349">
        <f>V206*24*LOOKUP(Flat!V$2,'HDD-by Country'!$A$4:$A$40,'HDD-by Country'!$C$4:$C$40)/1000/Flat!V$3</f>
        <v>3139.2099087997285</v>
      </c>
      <c r="W212" s="349">
        <f>W206*24*LOOKUP(Flat!W$2,'HDD-by Country'!$A$4:$A$40,'HDD-by Country'!$C$4:$C$40)/1000/Flat!W$3</f>
        <v>3191.6563564108728</v>
      </c>
      <c r="X212" s="349">
        <f>X206*24*LOOKUP(Flat!X$2,'HDD-by Country'!$A$4:$A$40,'HDD-by Country'!$C$4:$C$40)/1000/Flat!X$3</f>
        <v>3034.284035504309</v>
      </c>
      <c r="Y212" s="349">
        <f>Y206*24*LOOKUP(Flat!Y$2,'HDD-by Country'!$A$4:$A$40,'HDD-by Country'!$C$4:$C$40)/1000/Flat!Y$3</f>
        <v>1521.9714608893978</v>
      </c>
      <c r="Z212" s="349">
        <f>Z206*24*LOOKUP(Flat!Z$2,'HDD-by Country'!$A$4:$A$40,'HDD-by Country'!$C$4:$C$40)/1000/Flat!Z$3</f>
        <v>3951.4116729791995</v>
      </c>
      <c r="AA212" s="349">
        <f>AA206*24*LOOKUP(Flat!AA$2,'HDD-by Country'!$A$4:$A$40,'HDD-by Country'!$C$4:$C$40)/1000/Flat!AA$3</f>
        <v>3967.3855577588706</v>
      </c>
      <c r="AB212" s="349">
        <f>AB206*24*LOOKUP(Flat!AB$2,'HDD-by Country'!$A$4:$A$40,'HDD-by Country'!$C$4:$C$40)/1000/Flat!AB$3</f>
        <v>3282.6618127721385</v>
      </c>
      <c r="AC212" s="349">
        <f>AC206*24*LOOKUP(Flat!AC$2,'HDD-by Country'!$A$4:$A$40,'HDD-by Country'!$C$4:$C$40)/1000/Flat!AC$3</f>
        <v>3694.6043599578879</v>
      </c>
      <c r="AD212" s="349">
        <f>AD206*24*LOOKUP(Flat!AD$2,'HDD-by Country'!$A$4:$A$40,'HDD-by Country'!$C$4:$C$40)/1000/Flat!AD$3</f>
        <v>3096.6488381548461</v>
      </c>
      <c r="AE212" s="349">
        <f>AE206*24*LOOKUP(Flat!AE$2,'HDD-by Country'!$A$4:$A$40,'HDD-by Country'!$C$4:$C$40)/1000/Flat!AE$3</f>
        <v>3825.4422558340934</v>
      </c>
      <c r="AF212" s="349">
        <f>AF206*24*LOOKUP(Flat!AF$2,'HDD-by Country'!$A$4:$A$40,'HDD-by Country'!$C$4:$C$40)/1000/Flat!AF$3</f>
        <v>2710.4922604153808</v>
      </c>
      <c r="AG212" s="349">
        <f>AG206*24*LOOKUP(Flat!AG$2,'HDD-by Country'!$A$4:$A$40,'HDD-by Country'!$C$4:$C$40)/1000/Flat!AG$3</f>
        <v>5022.1460646122086</v>
      </c>
      <c r="AH212" s="349">
        <f>AH206*24*LOOKUP(Flat!AH$2,'HDD-by Country'!$A$4:$A$40,'HDD-by Country'!$C$4:$C$40)/1000/Flat!AH$3</f>
        <v>2719.7092045961981</v>
      </c>
      <c r="AI212" s="349">
        <f>AI206*24*LOOKUP(Flat!AI$2,'HDD-by Country'!$A$4:$A$40,'HDD-by Country'!$C$4:$C$40)/1000/Flat!AI$3</f>
        <v>4211.3037838353857</v>
      </c>
      <c r="AJ212" s="349">
        <f>AJ206*24*LOOKUP(Flat!AJ$2,'HDD-by Country'!$A$4:$A$40,'HDD-by Country'!$C$4:$C$40)/1000/Flat!AJ$3</f>
        <v>3740.874262112718</v>
      </c>
      <c r="AK212" s="349">
        <f>AK206*24*LOOKUP(Flat!AK$2,'HDD-by Country'!$A$4:$A$40,'HDD-by Country'!$C$4:$C$40)/1000/Flat!AK$3</f>
        <v>3547.5204154214889</v>
      </c>
      <c r="AL212" s="349">
        <f>AL206*24*LOOKUP(Flat!AL$2,'HDD-by Country'!$A$4:$A$40,'HDD-by Country'!$C$4:$C$40)/1000/Flat!AL$3</f>
        <v>3320.5804893106979</v>
      </c>
      <c r="AM212" s="349">
        <f>AM206*24*LOOKUP(Flat!AM$2,'HDD-by Country'!$A$4:$A$40,'HDD-by Country'!$C$4:$C$40)/1000/Flat!AM$3</f>
        <v>3440.0168180345222</v>
      </c>
      <c r="AN212" s="354">
        <f>AN206*24*LOOKUP(Flat!AN$2,'HDD-by Country'!$A$4:$A$40,'HDD-by Country'!$C$4:$C$40)/1000/Flat!AN$3</f>
        <v>3440.0168180345222</v>
      </c>
    </row>
    <row r="213" spans="1:40" s="5" customFormat="1">
      <c r="A213" s="129"/>
      <c r="B213" s="142" t="s">
        <v>6</v>
      </c>
      <c r="C213" s="129" t="s">
        <v>261</v>
      </c>
      <c r="D213" s="345">
        <f>D207*24*LOOKUP(Flat!D$2,'HDD-by Country'!$A$4:$A$40,'HDD-by Country'!$C$4:$C$40)/1000/Flat!D$3</f>
        <v>2811.3687507872073</v>
      </c>
      <c r="E213" s="349">
        <f>E207*24*LOOKUP(Flat!E$2,'HDD-by Country'!$A$4:$A$40,'HDD-by Country'!$C$4:$C$40)/1000/Flat!E$3</f>
        <v>4746.7484443413969</v>
      </c>
      <c r="F213" s="349">
        <f>F207*24*LOOKUP(Flat!F$2,'HDD-by Country'!$A$4:$A$40,'HDD-by Country'!$C$4:$C$40)/1000/Flat!F$3</f>
        <v>2506.1301745718833</v>
      </c>
      <c r="G213" s="349">
        <f>G207*24*LOOKUP(Flat!G$2,'HDD-by Country'!$A$4:$A$40,'HDD-by Country'!$C$4:$C$40)/1000/Flat!G$3</f>
        <v>2738.9999972694618</v>
      </c>
      <c r="H213" s="349">
        <f>H207*24*LOOKUP(Flat!H$2,'HDD-by Country'!$A$4:$A$40,'HDD-by Country'!$C$4:$C$40)/1000/Flat!H$3</f>
        <v>1809.9708494281153</v>
      </c>
      <c r="I213" s="349">
        <f>I207*24*LOOKUP(Flat!I$2,'HDD-by Country'!$A$4:$A$40,'HDD-by Country'!$C$4:$C$40)/1000/Flat!I$3</f>
        <v>3170.8092457978628</v>
      </c>
      <c r="J213" s="349">
        <f>J207*24*LOOKUP(Flat!J$2,'HDD-by Country'!$A$4:$A$40,'HDD-by Country'!$C$4:$C$40)/1000/Flat!J$3</f>
        <v>1974.9898485031426</v>
      </c>
      <c r="K213" s="349">
        <f>K207*24*LOOKUP(Flat!K$2,'HDD-by Country'!$A$4:$A$40,'HDD-by Country'!$C$4:$C$40)/1000/Flat!K$3</f>
        <v>2653.4243973212247</v>
      </c>
      <c r="L213" s="349">
        <f>L207*24*LOOKUP(Flat!L$2,'HDD-by Country'!$A$4:$A$40,'HDD-by Country'!$C$4:$C$40)/1000/Flat!L$3</f>
        <v>1769.6609986089338</v>
      </c>
      <c r="M213" s="349">
        <f>M207*24*LOOKUP(Flat!M$2,'HDD-by Country'!$A$4:$A$40,'HDD-by Country'!$C$4:$C$40)/1000/Flat!M$3</f>
        <v>3545.1367038804551</v>
      </c>
      <c r="N213" s="349">
        <f>N207*24*LOOKUP(Flat!N$2,'HDD-by Country'!$A$4:$A$40,'HDD-by Country'!$C$4:$C$40)/1000/Flat!N$3</f>
        <v>3090.7998272107966</v>
      </c>
      <c r="O213" s="349">
        <f>O207*24*LOOKUP(Flat!O$2,'HDD-by Country'!$A$4:$A$40,'HDD-by Country'!$C$4:$C$40)/1000/Flat!O$3</f>
        <v>1835.0853921214371</v>
      </c>
      <c r="P213" s="349">
        <f>P207*24*LOOKUP(Flat!P$2,'HDD-by Country'!$A$4:$A$40,'HDD-by Country'!$C$4:$C$40)/1000/Flat!P$3</f>
        <v>5253.1088907692847</v>
      </c>
      <c r="Q213" s="349">
        <f>Q207*24*LOOKUP(Flat!Q$2,'HDD-by Country'!$A$4:$A$40,'HDD-by Country'!$C$4:$C$40)/1000/Flat!Q$3</f>
        <v>2769.0474385871389</v>
      </c>
      <c r="R213" s="349">
        <f>R207*24*LOOKUP(Flat!R$2,'HDD-by Country'!$A$4:$A$40,'HDD-by Country'!$C$4:$C$40)/1000/Flat!R$3</f>
        <v>2786.1767320905356</v>
      </c>
      <c r="S213" s="349">
        <f>S207*24*LOOKUP(Flat!S$2,'HDD-by Country'!$A$4:$A$40,'HDD-by Country'!$C$4:$C$40)/1000/Flat!S$3</f>
        <v>2781.615378888851</v>
      </c>
      <c r="T213" s="349">
        <f>T207*24*LOOKUP(Flat!T$2,'HDD-by Country'!$A$4:$A$40,'HDD-by Country'!$C$4:$C$40)/1000/Flat!T$3</f>
        <v>3021.9626731184685</v>
      </c>
      <c r="U213" s="349">
        <f>U207*24*LOOKUP(Flat!U$2,'HDD-by Country'!$A$4:$A$40,'HDD-by Country'!$C$4:$C$40)/1000/Flat!U$3</f>
        <v>3765.7979973557667</v>
      </c>
      <c r="V213" s="349">
        <f>V207*24*LOOKUP(Flat!V$2,'HDD-by Country'!$A$4:$A$40,'HDD-by Country'!$C$4:$C$40)/1000/Flat!V$3</f>
        <v>3139.2099087997285</v>
      </c>
      <c r="W213" s="349">
        <f>W207*24*LOOKUP(Flat!W$2,'HDD-by Country'!$A$4:$A$40,'HDD-by Country'!$C$4:$C$40)/1000/Flat!W$3</f>
        <v>2741.2986403480127</v>
      </c>
      <c r="X213" s="349">
        <f>X207*24*LOOKUP(Flat!X$2,'HDD-by Country'!$A$4:$A$40,'HDD-by Country'!$C$4:$C$40)/1000/Flat!X$3</f>
        <v>2994.7474855043092</v>
      </c>
      <c r="Y213" s="349">
        <f>Y207*24*LOOKUP(Flat!Y$2,'HDD-by Country'!$A$4:$A$40,'HDD-by Country'!$C$4:$C$40)/1000/Flat!Y$3</f>
        <v>1489.4010135153176</v>
      </c>
      <c r="Z213" s="349">
        <f>Z207*24*LOOKUP(Flat!Z$2,'HDD-by Country'!$A$4:$A$40,'HDD-by Country'!$C$4:$C$40)/1000/Flat!Z$3</f>
        <v>3512.4772230544868</v>
      </c>
      <c r="AA213" s="349">
        <f>AA207*24*LOOKUP(Flat!AA$2,'HDD-by Country'!$A$4:$A$40,'HDD-by Country'!$C$4:$C$40)/1000/Flat!AA$3</f>
        <v>3705.9316653143992</v>
      </c>
      <c r="AB213" s="349">
        <f>AB207*24*LOOKUP(Flat!AB$2,'HDD-by Country'!$A$4:$A$40,'HDD-by Country'!$C$4:$C$40)/1000/Flat!AB$3</f>
        <v>3282.6618127721385</v>
      </c>
      <c r="AC213" s="349">
        <f>AC207*24*LOOKUP(Flat!AC$2,'HDD-by Country'!$A$4:$A$40,'HDD-by Country'!$C$4:$C$40)/1000/Flat!AC$3</f>
        <v>3515.5721414271297</v>
      </c>
      <c r="AD213" s="349">
        <f>AD207*24*LOOKUP(Flat!AD$2,'HDD-by Country'!$A$4:$A$40,'HDD-by Country'!$C$4:$C$40)/1000/Flat!AD$3</f>
        <v>3096.6488381548461</v>
      </c>
      <c r="AE213" s="349">
        <f>AE207*24*LOOKUP(Flat!AE$2,'HDD-by Country'!$A$4:$A$40,'HDD-by Country'!$C$4:$C$40)/1000/Flat!AE$3</f>
        <v>3573.3425409088895</v>
      </c>
      <c r="AF213" s="349">
        <f>AF207*24*LOOKUP(Flat!AF$2,'HDD-by Country'!$A$4:$A$40,'HDD-by Country'!$C$4:$C$40)/1000/Flat!AF$3</f>
        <v>2214.1821711957609</v>
      </c>
      <c r="AG213" s="349">
        <f>AG207*24*LOOKUP(Flat!AG$2,'HDD-by Country'!$A$4:$A$40,'HDD-by Country'!$C$4:$C$40)/1000/Flat!AG$3</f>
        <v>4565.29260214653</v>
      </c>
      <c r="AH213" s="349">
        <f>AH207*24*LOOKUP(Flat!AH$2,'HDD-by Country'!$A$4:$A$40,'HDD-by Country'!$C$4:$C$40)/1000/Flat!AH$3</f>
        <v>1847.6318240533878</v>
      </c>
      <c r="AI213" s="349">
        <f>AI207*24*LOOKUP(Flat!AI$2,'HDD-by Country'!$A$4:$A$40,'HDD-by Country'!$C$4:$C$40)/1000/Flat!AI$3</f>
        <v>4211.3037838353857</v>
      </c>
      <c r="AJ213" s="349">
        <f>AJ207*24*LOOKUP(Flat!AJ$2,'HDD-by Country'!$A$4:$A$40,'HDD-by Country'!$C$4:$C$40)/1000/Flat!AJ$3</f>
        <v>3666.0602369776338</v>
      </c>
      <c r="AK213" s="349">
        <f>AK207*24*LOOKUP(Flat!AK$2,'HDD-by Country'!$A$4:$A$40,'HDD-by Country'!$C$4:$C$40)/1000/Flat!AK$3</f>
        <v>3466.133148412122</v>
      </c>
      <c r="AL213" s="349">
        <f>AL207*24*LOOKUP(Flat!AL$2,'HDD-by Country'!$A$4:$A$40,'HDD-by Country'!$C$4:$C$40)/1000/Flat!AL$3</f>
        <v>2787.7343560935883</v>
      </c>
      <c r="AM213" s="349">
        <f>AM207*24*LOOKUP(Flat!AM$2,'HDD-by Country'!$A$4:$A$40,'HDD-by Country'!$C$4:$C$40)/1000/Flat!AM$3</f>
        <v>3371.2196635040737</v>
      </c>
      <c r="AN213" s="354">
        <f>AN207*24*LOOKUP(Flat!AN$2,'HDD-by Country'!$A$4:$A$40,'HDD-by Country'!$C$4:$C$40)/1000/Flat!AN$3</f>
        <v>3371.2196635040737</v>
      </c>
    </row>
    <row r="214" spans="1:40" s="5" customFormat="1">
      <c r="A214" s="130"/>
      <c r="B214" s="142" t="s">
        <v>7</v>
      </c>
      <c r="C214" s="129" t="s">
        <v>261</v>
      </c>
      <c r="D214" s="345">
        <f>D208*24*LOOKUP(Flat!D$2,'HDD-by Country'!$A$4:$A$40,'HDD-by Country'!$C$4:$C$40)/1000/Flat!D$3</f>
        <v>2532.7316691253345</v>
      </c>
      <c r="E214" s="349">
        <f>E208*24*LOOKUP(Flat!E$2,'HDD-by Country'!$A$4:$A$40,'HDD-by Country'!$C$4:$C$40)/1000/Flat!E$3</f>
        <v>3149.1267736836298</v>
      </c>
      <c r="F214" s="349">
        <f>F208*24*LOOKUP(Flat!F$2,'HDD-by Country'!$A$4:$A$40,'HDD-by Country'!$C$4:$C$40)/1000/Flat!F$3</f>
        <v>2027.8280607388638</v>
      </c>
      <c r="G214" s="349">
        <f>G208*24*LOOKUP(Flat!G$2,'HDD-by Country'!$A$4:$A$40,'HDD-by Country'!$C$4:$C$40)/1000/Flat!G$3</f>
        <v>2467.5354426117556</v>
      </c>
      <c r="H214" s="349">
        <f>H208*24*LOOKUP(Flat!H$2,'HDD-by Country'!$A$4:$A$40,'HDD-by Country'!$C$4:$C$40)/1000/Flat!H$3</f>
        <v>1543.0070296465151</v>
      </c>
      <c r="I214" s="349">
        <f>I208*24*LOOKUP(Flat!I$2,'HDD-by Country'!$A$4:$A$40,'HDD-by Country'!$C$4:$C$40)/1000/Flat!I$3</f>
        <v>2436.1063107677255</v>
      </c>
      <c r="J214" s="349">
        <f>J208*24*LOOKUP(Flat!J$2,'HDD-by Country'!$A$4:$A$40,'HDD-by Country'!$C$4:$C$40)/1000/Flat!J$3</f>
        <v>2072.6096909096495</v>
      </c>
      <c r="K214" s="349">
        <f>K208*24*LOOKUP(Flat!K$2,'HDD-by Country'!$A$4:$A$40,'HDD-by Country'!$C$4:$C$40)/1000/Flat!K$3</f>
        <v>1928.2264071625764</v>
      </c>
      <c r="L214" s="349">
        <f>L208*24*LOOKUP(Flat!L$2,'HDD-by Country'!$A$4:$A$40,'HDD-by Country'!$C$4:$C$40)/1000/Flat!L$3</f>
        <v>1769.6609986089338</v>
      </c>
      <c r="M214" s="349">
        <f>M208*24*LOOKUP(Flat!M$2,'HDD-by Country'!$A$4:$A$40,'HDD-by Country'!$C$4:$C$40)/1000/Flat!M$3</f>
        <v>2867.136898288838</v>
      </c>
      <c r="N214" s="349">
        <f>N208*24*LOOKUP(Flat!N$2,'HDD-by Country'!$A$4:$A$40,'HDD-by Country'!$C$4:$C$40)/1000/Flat!N$3</f>
        <v>2708.1846416172561</v>
      </c>
      <c r="O214" s="349">
        <f>O208*24*LOOKUP(Flat!O$2,'HDD-by Country'!$A$4:$A$40,'HDD-by Country'!$C$4:$C$40)/1000/Flat!O$3</f>
        <v>1775.3102274251964</v>
      </c>
      <c r="P214" s="349">
        <f>P208*24*LOOKUP(Flat!P$2,'HDD-by Country'!$A$4:$A$40,'HDD-by Country'!$C$4:$C$40)/1000/Flat!P$3</f>
        <v>2363.2178538543221</v>
      </c>
      <c r="Q214" s="349">
        <f>Q208*24*LOOKUP(Flat!Q$2,'HDD-by Country'!$A$4:$A$40,'HDD-by Country'!$C$4:$C$40)/1000/Flat!Q$3</f>
        <v>1976.1950795630826</v>
      </c>
      <c r="R214" s="349">
        <f>R208*24*LOOKUP(Flat!R$2,'HDD-by Country'!$A$4:$A$40,'HDD-by Country'!$C$4:$C$40)/1000/Flat!R$3</f>
        <v>1789.6695785988154</v>
      </c>
      <c r="S214" s="349">
        <f>S208*24*LOOKUP(Flat!S$2,'HDD-by Country'!$A$4:$A$40,'HDD-by Country'!$C$4:$C$40)/1000/Flat!S$3</f>
        <v>2041.8165033719938</v>
      </c>
      <c r="T214" s="349">
        <f>T208*24*LOOKUP(Flat!T$2,'HDD-by Country'!$A$4:$A$40,'HDD-by Country'!$C$4:$C$40)/1000/Flat!T$3</f>
        <v>2679.5007367237295</v>
      </c>
      <c r="U214" s="349">
        <f>U208*24*LOOKUP(Flat!U$2,'HDD-by Country'!$A$4:$A$40,'HDD-by Country'!$C$4:$C$40)/1000/Flat!U$3</f>
        <v>3425.2091973557667</v>
      </c>
      <c r="V214" s="349">
        <f>V208*24*LOOKUP(Flat!V$2,'HDD-by Country'!$A$4:$A$40,'HDD-by Country'!$C$4:$C$40)/1000/Flat!V$3</f>
        <v>2163.7212242506639</v>
      </c>
      <c r="W214" s="349">
        <f>W208*24*LOOKUP(Flat!W$2,'HDD-by Country'!$A$4:$A$40,'HDD-by Country'!$C$4:$C$40)/1000/Flat!W$3</f>
        <v>2273.0013844798382</v>
      </c>
      <c r="X214" s="349">
        <f>X208*24*LOOKUP(Flat!X$2,'HDD-by Country'!$A$4:$A$40,'HDD-by Country'!$C$4:$C$40)/1000/Flat!X$3</f>
        <v>2174.058640523097</v>
      </c>
      <c r="Y214" s="349">
        <f>Y208*24*LOOKUP(Flat!Y$2,'HDD-by Country'!$A$4:$A$40,'HDD-by Country'!$C$4:$C$40)/1000/Flat!Y$3</f>
        <v>1478.2298788949583</v>
      </c>
      <c r="Z214" s="349">
        <f>Z208*24*LOOKUP(Flat!Z$2,'HDD-by Country'!$A$4:$A$40,'HDD-by Country'!$C$4:$C$40)/1000/Flat!Z$3</f>
        <v>2469.3556430922822</v>
      </c>
      <c r="AA214" s="349">
        <f>AA208*24*LOOKUP(Flat!AA$2,'HDD-by Country'!$A$4:$A$40,'HDD-by Country'!$C$4:$C$40)/1000/Flat!AA$3</f>
        <v>3052.8340390488002</v>
      </c>
      <c r="AB214" s="349">
        <f>AB208*24*LOOKUP(Flat!AB$2,'HDD-by Country'!$A$4:$A$40,'HDD-by Country'!$C$4:$C$40)/1000/Flat!AB$3</f>
        <v>2935.9602818783551</v>
      </c>
      <c r="AC214" s="349">
        <f>AC208*24*LOOKUP(Flat!AC$2,'HDD-by Country'!$A$4:$A$40,'HDD-by Country'!$C$4:$C$40)/1000/Flat!AC$3</f>
        <v>2397.0497792708884</v>
      </c>
      <c r="AD214" s="349">
        <f>AD208*24*LOOKUP(Flat!AD$2,'HDD-by Country'!$A$4:$A$40,'HDD-by Country'!$C$4:$C$40)/1000/Flat!AD$3</f>
        <v>2400.3408760383313</v>
      </c>
      <c r="AE214" s="349">
        <f>AE208*24*LOOKUP(Flat!AE$2,'HDD-by Country'!$A$4:$A$40,'HDD-by Country'!$C$4:$C$40)/1000/Flat!AE$3</f>
        <v>2943.6111421504897</v>
      </c>
      <c r="AF214" s="349">
        <f>AF208*24*LOOKUP(Flat!AF$2,'HDD-by Country'!$A$4:$A$40,'HDD-by Country'!$C$4:$C$40)/1000/Flat!AF$3</f>
        <v>1483.2979200425737</v>
      </c>
      <c r="AG214" s="349">
        <f>AG208*24*LOOKUP(Flat!AG$2,'HDD-by Country'!$A$4:$A$40,'HDD-by Country'!$C$4:$C$40)/1000/Flat!AG$3</f>
        <v>2929.7189039602008</v>
      </c>
      <c r="AH214" s="349">
        <f>AH208*24*LOOKUP(Flat!AH$2,'HDD-by Country'!$A$4:$A$40,'HDD-by Country'!$C$4:$C$40)/1000/Flat!AH$3</f>
        <v>1588.1733326246126</v>
      </c>
      <c r="AI214" s="349">
        <f>AI208*24*LOOKUP(Flat!AI$2,'HDD-by Country'!$A$4:$A$40,'HDD-by Country'!$C$4:$C$40)/1000/Flat!AI$3</f>
        <v>2030.2058137959932</v>
      </c>
      <c r="AJ214" s="349">
        <f>AJ208*24*LOOKUP(Flat!AJ$2,'HDD-by Country'!$A$4:$A$40,'HDD-by Country'!$C$4:$C$40)/1000/Flat!AJ$3</f>
        <v>3251.8518783427548</v>
      </c>
      <c r="AK214" s="349">
        <f>AK208*24*LOOKUP(Flat!AK$2,'HDD-by Country'!$A$4:$A$40,'HDD-by Country'!$C$4:$C$40)/1000/Flat!AK$3</f>
        <v>3080.7158680813736</v>
      </c>
      <c r="AL214" s="349">
        <f>AL208*24*LOOKUP(Flat!AL$2,'HDD-by Country'!$A$4:$A$40,'HDD-by Country'!$C$4:$C$40)/1000/Flat!AL$3</f>
        <v>2234.0585989221522</v>
      </c>
      <c r="AM214" s="349">
        <f>AM208*24*LOOKUP(Flat!AM$2,'HDD-by Country'!$A$4:$A$40,'HDD-by Country'!$C$4:$C$40)/1000/Flat!AM$3</f>
        <v>2990.3237498654971</v>
      </c>
      <c r="AN214" s="354">
        <f>AN208*24*LOOKUP(Flat!AN$2,'HDD-by Country'!$A$4:$A$40,'HDD-by Country'!$C$4:$C$40)/1000/Flat!AN$3</f>
        <v>2990.3237498654971</v>
      </c>
    </row>
    <row r="215" spans="1:40" s="5" customFormat="1">
      <c r="A215" s="151" t="s">
        <v>260</v>
      </c>
      <c r="B215" s="141" t="s">
        <v>2</v>
      </c>
      <c r="C215" s="360" t="s">
        <v>261</v>
      </c>
      <c r="D215" s="351">
        <f>D209/(1.355*(D203/Flat!D$17)^0.16)</f>
        <v>3930.4796690332455</v>
      </c>
      <c r="E215" s="352">
        <f>E209/(1.355*(E203/Flat!E$17)^0.16)</f>
        <v>4040.5499543276183</v>
      </c>
      <c r="F215" s="352">
        <f>F209/(1.355*(F203/Flat!F$17)^0.16)</f>
        <v>2556.7847215627357</v>
      </c>
      <c r="G215" s="352">
        <f>G209/(1.355*(G203/Flat!G$17)^0.16)</f>
        <v>3829.3033597016674</v>
      </c>
      <c r="H215" s="352">
        <f>H209/(1.355*(H203/Flat!H$17)^0.16)</f>
        <v>1448.8291373158777</v>
      </c>
      <c r="I215" s="352">
        <f>I209/(1.355*(I203/Flat!I$17)^0.16)</f>
        <v>3719.5203560668547</v>
      </c>
      <c r="J215" s="352">
        <f>J209/(1.355*(J203/Flat!J$17)^0.16)</f>
        <v>4080.8705742758739</v>
      </c>
      <c r="K215" s="352">
        <f>K209/(1.355*(K203/Flat!K$17)^0.16)</f>
        <v>3002.1246510951801</v>
      </c>
      <c r="L215" s="352">
        <f>L209/(1.355*(L203/Flat!L$17)^0.16)</f>
        <v>2546.7970421304144</v>
      </c>
      <c r="M215" s="352">
        <f>M209/(1.355*(M203/Flat!M$17)^0.16)</f>
        <v>4442.7764180002878</v>
      </c>
      <c r="N215" s="352">
        <f>N209/(1.355*(N203/Flat!N$17)^0.16)</f>
        <v>3497.6183679518858</v>
      </c>
      <c r="O215" s="352">
        <f>O209/(1.355*(O203/Flat!O$17)^0.16)</f>
        <v>3962.8981620640016</v>
      </c>
      <c r="P215" s="352">
        <f>P209/(1.355*(P203/Flat!P$17)^0.16)</f>
        <v>3856.589628073828</v>
      </c>
      <c r="Q215" s="352">
        <f>Q209/(1.355*(Q203/Flat!Q$17)^0.16)</f>
        <v>3144.8219390698769</v>
      </c>
      <c r="R215" s="352">
        <f>R209/(1.355*(R203/Flat!R$17)^0.16)</f>
        <v>2553.0307421935395</v>
      </c>
      <c r="S215" s="352">
        <f>S209/(1.355*(S203/Flat!S$17)^0.16)</f>
        <v>3376.4629982111192</v>
      </c>
      <c r="T215" s="352">
        <f>T209/(1.355*(T203/Flat!T$17)^0.16)</f>
        <v>3545.2342113824152</v>
      </c>
      <c r="U215" s="352">
        <f>U209/(1.355*(U203/Flat!U$17)^0.16)</f>
        <v>3849.9539760203588</v>
      </c>
      <c r="V215" s="352">
        <f>V209/(1.355*(V203/Flat!V$17)^0.16)</f>
        <v>3314.2596937217786</v>
      </c>
      <c r="W215" s="352">
        <f>W209/(1.355*(W203/Flat!W$17)^0.16)</f>
        <v>5186.8015209850455</v>
      </c>
      <c r="X215" s="352">
        <f>X209/(1.355*(X203/Flat!X$17)^0.16)</f>
        <v>3861.6567061023766</v>
      </c>
      <c r="Y215" s="352">
        <f>Y209/(1.355*(Y203/Flat!Y$17)^0.16)</f>
        <v>1194.619733732422</v>
      </c>
      <c r="Z215" s="352">
        <f>Z209/(1.355*(Z203/Flat!Z$17)^0.16)</f>
        <v>4448.5178828329326</v>
      </c>
      <c r="AA215" s="352">
        <f>AA209/(1.355*(AA203/Flat!AA$17)^0.16)</f>
        <v>4137.4743641118775</v>
      </c>
      <c r="AB215" s="352">
        <f>AB209/(1.355*(AB203/Flat!AB$17)^0.16)</f>
        <v>3888.682931361895</v>
      </c>
      <c r="AC215" s="352">
        <f>AC209/(1.355*(AC203/Flat!AC$17)^0.16)</f>
        <v>2713.4875406950396</v>
      </c>
      <c r="AD215" s="352">
        <f>AD209/(1.355*(AD203/Flat!AD$17)^0.16)</f>
        <v>2554.6091569770506</v>
      </c>
      <c r="AE215" s="352">
        <f>AE209/(1.355*(AE203/Flat!AE$17)^0.16)</f>
        <v>3989.4457028383035</v>
      </c>
      <c r="AF215" s="352">
        <f>AF209/(1.355*(AF203/Flat!AF$17)^0.16)</f>
        <v>2793.71638813036</v>
      </c>
      <c r="AG215" s="352">
        <f>AG209/(1.355*(AG203/Flat!AG$17)^0.16)</f>
        <v>4789.3769153755129</v>
      </c>
      <c r="AH215" s="352">
        <f>AH209/(1.355*(AH203/Flat!AH$17)^0.16)</f>
        <v>2634.3008384380601</v>
      </c>
      <c r="AI215" s="352">
        <f>AI209/(1.355*(AI203/Flat!AI$17)^0.16)</f>
        <v>3073.8474943391952</v>
      </c>
      <c r="AJ215" s="352">
        <f>AJ209/(1.355*(AJ203/Flat!AJ$17)^0.16)</f>
        <v>3122.1418735723823</v>
      </c>
      <c r="AK215" s="352">
        <f>AK209/(1.355*(AK203/Flat!AK$17)^0.16)</f>
        <v>2988.0189560476274</v>
      </c>
      <c r="AL215" s="352">
        <f>AL209/(1.355*(AL203/Flat!AL$17)^0.16)</f>
        <v>2860.9228125153331</v>
      </c>
      <c r="AM215" s="352">
        <f>AM209/(1.355*(AM203/Flat!AM$17)^0.16)</f>
        <v>2871.0455901057467</v>
      </c>
      <c r="AN215" s="353">
        <f>AN209/(1.355*(AN203/Flat!AN$17)^0.16)</f>
        <v>2871.0455901057467</v>
      </c>
    </row>
    <row r="216" spans="1:40" s="5" customFormat="1">
      <c r="A216" s="129"/>
      <c r="B216" s="142" t="s">
        <v>3</v>
      </c>
      <c r="C216" s="129" t="s">
        <v>261</v>
      </c>
      <c r="D216" s="345">
        <f>D210/(1.355*(D204/Flat!D$17)^0.16)</f>
        <v>3937.686915813581</v>
      </c>
      <c r="E216" s="349">
        <f>E210/(1.355*(E204/Flat!E$17)^0.16)</f>
        <v>4040.5499543276183</v>
      </c>
      <c r="F216" s="349">
        <f>F210/(1.355*(F204/Flat!F$17)^0.16)</f>
        <v>2556.7847215627357</v>
      </c>
      <c r="G216" s="349">
        <f>G210/(1.355*(G204/Flat!G$17)^0.16)</f>
        <v>3836.3250813830136</v>
      </c>
      <c r="H216" s="349">
        <f>H210/(1.355*(H204/Flat!H$17)^0.16)</f>
        <v>1442.0832957075859</v>
      </c>
      <c r="I216" s="349">
        <f>I210/(1.355*(I204/Flat!I$17)^0.16)</f>
        <v>3266.1096300407462</v>
      </c>
      <c r="J216" s="349">
        <f>J210/(1.355*(J204/Flat!J$17)^0.16)</f>
        <v>3762.1449828939622</v>
      </c>
      <c r="K216" s="349">
        <f>K210/(1.355*(K204/Flat!K$17)^0.16)</f>
        <v>2903.1696501733068</v>
      </c>
      <c r="L216" s="349">
        <f>L210/(1.355*(L204/Flat!L$17)^0.16)</f>
        <v>2546.7970421304144</v>
      </c>
      <c r="M216" s="349">
        <f>M210/(1.355*(M204/Flat!M$17)^0.16)</f>
        <v>4250.4343328473569</v>
      </c>
      <c r="N216" s="349">
        <f>N210/(1.355*(N204/Flat!N$17)^0.16)</f>
        <v>3307.451044139686</v>
      </c>
      <c r="O216" s="349">
        <f>O210/(1.355*(O204/Flat!O$17)^0.16)</f>
        <v>3962.8981620640016</v>
      </c>
      <c r="P216" s="349">
        <f>P210/(1.355*(P204/Flat!P$17)^0.16)</f>
        <v>3856.589628073828</v>
      </c>
      <c r="Q216" s="349">
        <f>Q210/(1.355*(Q204/Flat!Q$17)^0.16)</f>
        <v>3163.9947346031558</v>
      </c>
      <c r="R216" s="349">
        <f>R210/(1.355*(R204/Flat!R$17)^0.16)</f>
        <v>2553.0307421935395</v>
      </c>
      <c r="S216" s="349">
        <f>S210/(1.355*(S204/Flat!S$17)^0.16)</f>
        <v>3430.072337993447</v>
      </c>
      <c r="T216" s="349">
        <f>T210/(1.355*(T204/Flat!T$17)^0.16)</f>
        <v>3366.9206991727247</v>
      </c>
      <c r="U216" s="349">
        <f>U210/(1.355*(U204/Flat!U$17)^0.16)</f>
        <v>3797.8456476536271</v>
      </c>
      <c r="V216" s="349">
        <f>V210/(1.355*(V204/Flat!V$17)^0.16)</f>
        <v>3314.2596937217786</v>
      </c>
      <c r="W216" s="349">
        <f>W210/(1.355*(W204/Flat!W$17)^0.16)</f>
        <v>4479.9277444006202</v>
      </c>
      <c r="X216" s="349">
        <f>X210/(1.355*(X204/Flat!X$17)^0.16)</f>
        <v>3766.4269814255349</v>
      </c>
      <c r="Y216" s="349">
        <f>Y210/(1.355*(Y204/Flat!Y$17)^0.16)</f>
        <v>1192.5060455806067</v>
      </c>
      <c r="Z216" s="349">
        <f>Z210/(1.355*(Z204/Flat!Z$17)^0.16)</f>
        <v>3743.5048388715904</v>
      </c>
      <c r="AA216" s="349">
        <f>AA210/(1.355*(AA204/Flat!AA$17)^0.16)</f>
        <v>4111.3549841511713</v>
      </c>
      <c r="AB216" s="349">
        <f>AB210/(1.355*(AB204/Flat!AB$17)^0.16)</f>
        <v>3051.2208406625623</v>
      </c>
      <c r="AC216" s="349">
        <f>AC210/(1.355*(AC204/Flat!AC$17)^0.16)</f>
        <v>2705.012260218848</v>
      </c>
      <c r="AD216" s="349">
        <f>AD210/(1.355*(AD204/Flat!AD$17)^0.16)</f>
        <v>2387.1151405910582</v>
      </c>
      <c r="AE216" s="349">
        <f>AE210/(1.355*(AE204/Flat!AE$17)^0.16)</f>
        <v>3964.2608100812922</v>
      </c>
      <c r="AF216" s="349">
        <f>AF210/(1.355*(AF204/Flat!AF$17)^0.16)</f>
        <v>2793.71638813036</v>
      </c>
      <c r="AG216" s="349">
        <f>AG210/(1.355*(AG204/Flat!AG$17)^0.16)</f>
        <v>4374.1390265238579</v>
      </c>
      <c r="AH216" s="349">
        <f>AH210/(1.355*(AH204/Flat!AH$17)^0.16)</f>
        <v>2644.6173032384891</v>
      </c>
      <c r="AI216" s="349">
        <f>AI210/(1.355*(AI204/Flat!AI$17)^0.16)</f>
        <v>3073.8474943391952</v>
      </c>
      <c r="AJ216" s="349">
        <f>AJ210/(1.355*(AJ204/Flat!AJ$17)^0.16)</f>
        <v>3122.1418735723823</v>
      </c>
      <c r="AK216" s="349">
        <f>AK210/(1.355*(AK204/Flat!AK$17)^0.16)</f>
        <v>2988.0189560476274</v>
      </c>
      <c r="AL216" s="349">
        <f>AL210/(1.355*(AL204/Flat!AL$17)^0.16)</f>
        <v>2860.9228125153331</v>
      </c>
      <c r="AM216" s="349">
        <f>AM210/(1.355*(AM204/Flat!AM$17)^0.16)</f>
        <v>2871.0455901057467</v>
      </c>
      <c r="AN216" s="354">
        <f>AN210/(1.355*(AN204/Flat!AN$17)^0.16)</f>
        <v>2871.0455901057467</v>
      </c>
    </row>
    <row r="217" spans="1:40" s="5" customFormat="1">
      <c r="A217" s="129"/>
      <c r="B217" s="142" t="s">
        <v>4</v>
      </c>
      <c r="C217" s="129" t="s">
        <v>261</v>
      </c>
      <c r="D217" s="345">
        <f>D211/(1.355*(D205/Flat!D$17)^0.16)</f>
        <v>3372.4892661796994</v>
      </c>
      <c r="E217" s="349">
        <f>E211/(1.355*(E205/Flat!E$17)^0.16)</f>
        <v>4040.5499543276183</v>
      </c>
      <c r="F217" s="349">
        <f>F211/(1.355*(F205/Flat!F$17)^0.16)</f>
        <v>2474.7039200666409</v>
      </c>
      <c r="G217" s="349">
        <f>G211/(1.355*(G205/Flat!G$17)^0.16)</f>
        <v>3285.6764479120629</v>
      </c>
      <c r="H217" s="349">
        <f>H211/(1.355*(H205/Flat!H$17)^0.16)</f>
        <v>1675.90333433196</v>
      </c>
      <c r="I217" s="349">
        <f>I211/(1.355*(I205/Flat!I$17)^0.16)</f>
        <v>3266.1096300407462</v>
      </c>
      <c r="J217" s="349">
        <f>J211/(1.355*(J205/Flat!J$17)^0.16)</f>
        <v>2965.6583893366169</v>
      </c>
      <c r="K217" s="349">
        <f>K211/(1.355*(K205/Flat!K$17)^0.16)</f>
        <v>2431.9714859641249</v>
      </c>
      <c r="L217" s="349">
        <f>L211/(1.355*(L205/Flat!L$17)^0.16)</f>
        <v>2309.2571746167214</v>
      </c>
      <c r="M217" s="349">
        <f>M211/(1.355*(M205/Flat!M$17)^0.16)</f>
        <v>4250.4343328473569</v>
      </c>
      <c r="N217" s="349">
        <f>N211/(1.355*(N205/Flat!N$17)^0.16)</f>
        <v>2981.0264641952467</v>
      </c>
      <c r="O217" s="349">
        <f>O211/(1.355*(O205/Flat!O$17)^0.16)</f>
        <v>2540.9553445204469</v>
      </c>
      <c r="P217" s="349">
        <f>P211/(1.355*(P205/Flat!P$17)^0.16)</f>
        <v>3856.589628073828</v>
      </c>
      <c r="Q217" s="349">
        <f>Q211/(1.355*(Q205/Flat!Q$17)^0.16)</f>
        <v>2754.0738096988703</v>
      </c>
      <c r="R217" s="349">
        <f>R211/(1.355*(R205/Flat!R$17)^0.16)</f>
        <v>2429.5966312943897</v>
      </c>
      <c r="S217" s="349">
        <f>S211/(1.355*(S205/Flat!S$17)^0.16)</f>
        <v>2895.9780854161404</v>
      </c>
      <c r="T217" s="349">
        <f>T211/(1.355*(T205/Flat!T$17)^0.16)</f>
        <v>3026.3435630915196</v>
      </c>
      <c r="U217" s="349">
        <f>U211/(1.355*(U205/Flat!U$17)^0.16)</f>
        <v>3496.2880880111984</v>
      </c>
      <c r="V217" s="349">
        <f>V211/(1.355*(V205/Flat!V$17)^0.16)</f>
        <v>2581.0890627214762</v>
      </c>
      <c r="W217" s="349">
        <f>W211/(1.355*(W205/Flat!W$17)^0.16)</f>
        <v>3230.637215265534</v>
      </c>
      <c r="X217" s="349">
        <f>X211/(1.355*(X205/Flat!X$17)^0.16)</f>
        <v>3636.0306633160949</v>
      </c>
      <c r="Y217" s="349">
        <f>Y211/(1.355*(Y205/Flat!Y$17)^0.16)</f>
        <v>1180.6205661126928</v>
      </c>
      <c r="Z217" s="349">
        <f>Z211/(1.355*(Z205/Flat!Z$17)^0.16)</f>
        <v>3615.7241558720534</v>
      </c>
      <c r="AA217" s="349">
        <f>AA211/(1.355*(AA205/Flat!AA$17)^0.16)</f>
        <v>3465.70504132826</v>
      </c>
      <c r="AB217" s="349">
        <f>AB211/(1.355*(AB205/Flat!AB$17)^0.16)</f>
        <v>2562.454123268838</v>
      </c>
      <c r="AC217" s="349">
        <f>AC211/(1.355*(AC205/Flat!AC$17)^0.16)</f>
        <v>2651.7856702989657</v>
      </c>
      <c r="AD217" s="349">
        <f>AD211/(1.355*(AD205/Flat!AD$17)^0.16)</f>
        <v>2387.1151405910582</v>
      </c>
      <c r="AE217" s="349">
        <f>AE211/(1.355*(AE205/Flat!AE$17)^0.16)</f>
        <v>3341.71063496122</v>
      </c>
      <c r="AF217" s="349">
        <f>AF211/(1.355*(AF205/Flat!AF$17)^0.16)</f>
        <v>2506.7172380838351</v>
      </c>
      <c r="AG217" s="349">
        <f>AG211/(1.355*(AG205/Flat!AG$17)^0.16)</f>
        <v>4374.1390265238579</v>
      </c>
      <c r="AH217" s="349">
        <f>AH211/(1.355*(AH205/Flat!AH$17)^0.16)</f>
        <v>2285.7523915209504</v>
      </c>
      <c r="AI217" s="349">
        <f>AI211/(1.355*(AI205/Flat!AI$17)^0.16)</f>
        <v>3073.8474943391952</v>
      </c>
      <c r="AJ217" s="349">
        <f>AJ211/(1.355*(AJ205/Flat!AJ$17)^0.16)</f>
        <v>3122.1418735723823</v>
      </c>
      <c r="AK217" s="349">
        <f>AK211/(1.355*(AK205/Flat!AK$17)^0.16)</f>
        <v>2988.0189560476274</v>
      </c>
      <c r="AL217" s="349">
        <f>AL211/(1.355*(AL205/Flat!AL$17)^0.16)</f>
        <v>2774.4124503564994</v>
      </c>
      <c r="AM217" s="349">
        <f>AM211/(1.355*(AM205/Flat!AM$17)^0.16)</f>
        <v>2871.0455901057467</v>
      </c>
      <c r="AN217" s="354">
        <f>AN211/(1.355*(AN205/Flat!AN$17)^0.16)</f>
        <v>2871.0455901057467</v>
      </c>
    </row>
    <row r="218" spans="1:40" s="5" customFormat="1">
      <c r="A218" s="129"/>
      <c r="B218" s="142" t="s">
        <v>5</v>
      </c>
      <c r="C218" s="129" t="s">
        <v>261</v>
      </c>
      <c r="D218" s="345">
        <f>D212/(1.355*(D206/Flat!D$17)^0.16)</f>
        <v>2625.8488647546365</v>
      </c>
      <c r="E218" s="349">
        <f>E212/(1.355*(E206/Flat!E$17)^0.16)</f>
        <v>3586.1558615452668</v>
      </c>
      <c r="F218" s="349">
        <f>F212/(1.355*(F206/Flat!F$17)^0.16)</f>
        <v>2300.9058480141857</v>
      </c>
      <c r="G218" s="349">
        <f>G212/(1.355*(G206/Flat!G$17)^0.16)</f>
        <v>2558.2556651023065</v>
      </c>
      <c r="H218" s="349">
        <f>H212/(1.355*(H206/Flat!H$17)^0.16)</f>
        <v>1628.7285764588462</v>
      </c>
      <c r="I218" s="349">
        <f>I212/(1.355*(I206/Flat!I$17)^0.16)</f>
        <v>3074.7907681479642</v>
      </c>
      <c r="J218" s="349">
        <f>J212/(1.355*(J206/Flat!J$17)^0.16)</f>
        <v>2502.227152272088</v>
      </c>
      <c r="K218" s="349">
        <f>K212/(1.355*(K206/Flat!K$17)^0.16)</f>
        <v>2230.4280175925005</v>
      </c>
      <c r="L218" s="349">
        <f>L212/(1.355*(L206/Flat!L$17)^0.16)</f>
        <v>1762.2134874698538</v>
      </c>
      <c r="M218" s="349">
        <f>M212/(1.355*(M206/Flat!M$17)^0.16)</f>
        <v>2766.7771350454705</v>
      </c>
      <c r="N218" s="349">
        <f>N212/(1.355*(N206/Flat!N$17)^0.16)</f>
        <v>2587.54502491228</v>
      </c>
      <c r="O218" s="349">
        <f>O212/(1.355*(O206/Flat!O$17)^0.16)</f>
        <v>2261.3465393944298</v>
      </c>
      <c r="P218" s="349">
        <f>P212/(1.355*(P206/Flat!P$17)^0.16)</f>
        <v>3718.479298663819</v>
      </c>
      <c r="Q218" s="349">
        <f>Q212/(1.355*(Q206/Flat!Q$17)^0.16)</f>
        <v>2754.0738096988703</v>
      </c>
      <c r="R218" s="349">
        <f>R212/(1.355*(R206/Flat!R$17)^0.16)</f>
        <v>2188.7562194691527</v>
      </c>
      <c r="S218" s="349">
        <f>S212/(1.355*(S206/Flat!S$17)^0.16)</f>
        <v>2143.0627578766007</v>
      </c>
      <c r="T218" s="349">
        <f>T212/(1.355*(T206/Flat!T$17)^0.16)</f>
        <v>2620.6622019585743</v>
      </c>
      <c r="U218" s="349">
        <f>U212/(1.355*(U206/Flat!U$17)^0.16)</f>
        <v>2954.2749061833847</v>
      </c>
      <c r="V218" s="349">
        <f>V212/(1.355*(V206/Flat!V$17)^0.16)</f>
        <v>2581.0890627214762</v>
      </c>
      <c r="W218" s="349">
        <f>W212/(1.355*(W206/Flat!W$17)^0.16)</f>
        <v>2661.2533691947679</v>
      </c>
      <c r="X218" s="349">
        <f>X212/(1.355*(X206/Flat!X$17)^0.16)</f>
        <v>2524.5724810896018</v>
      </c>
      <c r="Y218" s="349">
        <f>Y212/(1.355*(Y206/Flat!Y$17)^0.16)</f>
        <v>1079.3813023451912</v>
      </c>
      <c r="Z218" s="349">
        <f>Z212/(1.355*(Z206/Flat!Z$17)^0.16)</f>
        <v>3090.8812761527029</v>
      </c>
      <c r="AA218" s="349">
        <f>AA212/(1.355*(AA206/Flat!AA$17)^0.16)</f>
        <v>3402.559225654501</v>
      </c>
      <c r="AB218" s="349">
        <f>AB212/(1.355*(AB206/Flat!AB$17)^0.16)</f>
        <v>2562.454123268838</v>
      </c>
      <c r="AC218" s="349">
        <f>AC212/(1.355*(AC206/Flat!AC$17)^0.16)</f>
        <v>2632.5491244410109</v>
      </c>
      <c r="AD218" s="349">
        <f>AD212/(1.355*(AD206/Flat!AD$17)^0.16)</f>
        <v>2238.893200426005</v>
      </c>
      <c r="AE218" s="349">
        <f>AE212/(1.355*(AE206/Flat!AE$17)^0.16)</f>
        <v>3280.8240213360082</v>
      </c>
      <c r="AF218" s="349">
        <f>AF212/(1.355*(AF206/Flat!AF$17)^0.16)</f>
        <v>2176.938598650208</v>
      </c>
      <c r="AG218" s="349">
        <f>AG212/(1.355*(AG206/Flat!AG$17)^0.16)</f>
        <v>3797.8376325638005</v>
      </c>
      <c r="AH218" s="349">
        <f>AH212/(1.355*(AH206/Flat!AH$17)^0.16)</f>
        <v>2004.0380888441803</v>
      </c>
      <c r="AI218" s="349">
        <f>AI212/(1.355*(AI206/Flat!AI$17)^0.16)</f>
        <v>2970.6038922737739</v>
      </c>
      <c r="AJ218" s="349">
        <f>AJ212/(1.355*(AJ206/Flat!AJ$17)^0.16)</f>
        <v>2899.1692106611167</v>
      </c>
      <c r="AK218" s="349">
        <f>AK212/(1.355*(AK206/Flat!AK$17)^0.16)</f>
        <v>2761.791975811157</v>
      </c>
      <c r="AL218" s="349">
        <f>AL212/(1.355*(AL206/Flat!AL$17)^0.16)</f>
        <v>2588.0336169439242</v>
      </c>
      <c r="AM218" s="349">
        <f>AM212/(1.355*(AM206/Flat!AM$17)^0.16)</f>
        <v>2666.0053624388847</v>
      </c>
      <c r="AN218" s="354">
        <f>AN212/(1.355*(AN206/Flat!AN$17)^0.16)</f>
        <v>2666.0053624388847</v>
      </c>
    </row>
    <row r="219" spans="1:40" s="5" customFormat="1">
      <c r="A219" s="129"/>
      <c r="B219" s="142" t="s">
        <v>6</v>
      </c>
      <c r="C219" s="129" t="s">
        <v>261</v>
      </c>
      <c r="D219" s="345">
        <f>D213/(1.355*(D207/Flat!D$17)^0.16)</f>
        <v>2385.8707448408086</v>
      </c>
      <c r="E219" s="349">
        <f>E213/(1.355*(E207/Flat!E$17)^0.16)</f>
        <v>3586.1558615452668</v>
      </c>
      <c r="F219" s="349">
        <f>F213/(1.355*(F207/Flat!F$17)^0.16)</f>
        <v>1964.5050476604499</v>
      </c>
      <c r="G219" s="349">
        <f>G213/(1.355*(G207/Flat!G$17)^0.16)</f>
        <v>2324.4549338376319</v>
      </c>
      <c r="H219" s="349">
        <f>H213/(1.355*(H207/Flat!H$17)^0.16)</f>
        <v>1295.2370971466764</v>
      </c>
      <c r="I219" s="349">
        <f>I213/(1.355*(I207/Flat!I$17)^0.16)</f>
        <v>2593.5919330063734</v>
      </c>
      <c r="J219" s="349">
        <f>J213/(1.355*(J207/Flat!J$17)^0.16)</f>
        <v>1720.7979548024616</v>
      </c>
      <c r="K219" s="349">
        <f>K213/(1.355*(K207/Flat!K$17)^0.16)</f>
        <v>2230.4280175925005</v>
      </c>
      <c r="L219" s="349">
        <f>L213/(1.355*(L207/Flat!L$17)^0.16)</f>
        <v>1602.6317518738747</v>
      </c>
      <c r="M219" s="349">
        <f>M213/(1.355*(M207/Flat!M$17)^0.16)</f>
        <v>2766.7771350454705</v>
      </c>
      <c r="N219" s="349">
        <f>N213/(1.355*(N207/Flat!N$17)^0.16)</f>
        <v>2570.2103718887706</v>
      </c>
      <c r="O219" s="349">
        <f>O213/(1.355*(O207/Flat!O$17)^0.16)</f>
        <v>1558.9264520451375</v>
      </c>
      <c r="P219" s="349">
        <f>P213/(1.355*(P207/Flat!P$17)^0.16)</f>
        <v>3718.479298663819</v>
      </c>
      <c r="Q219" s="349">
        <f>Q213/(1.355*(Q207/Flat!Q$17)^0.16)</f>
        <v>2209.463478851404</v>
      </c>
      <c r="R219" s="349">
        <f>R213/(1.355*(R207/Flat!R$17)^0.16)</f>
        <v>2188.7562194691527</v>
      </c>
      <c r="S219" s="349">
        <f>S213/(1.355*(S207/Flat!S$17)^0.16)</f>
        <v>2107.6769343870465</v>
      </c>
      <c r="T219" s="349">
        <f>T213/(1.355*(T207/Flat!T$17)^0.16)</f>
        <v>2602.4308570199883</v>
      </c>
      <c r="U219" s="349">
        <f>U213/(1.355*(U207/Flat!U$17)^0.16)</f>
        <v>2846.0410214781191</v>
      </c>
      <c r="V219" s="349">
        <f>V213/(1.355*(V207/Flat!V$17)^0.16)</f>
        <v>2581.0890627214762</v>
      </c>
      <c r="W219" s="349">
        <f>W213/(1.355*(W207/Flat!W$17)^0.16)</f>
        <v>2342.0491983126376</v>
      </c>
      <c r="X219" s="349">
        <f>X213/(1.355*(X207/Flat!X$17)^0.16)</f>
        <v>2496.911700424273</v>
      </c>
      <c r="Y219" s="349">
        <f>Y213/(1.355*(Y207/Flat!Y$17)^0.16)</f>
        <v>1059.944693805933</v>
      </c>
      <c r="Z219" s="349">
        <f>Z213/(1.355*(Z207/Flat!Z$17)^0.16)</f>
        <v>2799.7919712511234</v>
      </c>
      <c r="AA219" s="349">
        <f>AA213/(1.355*(AA207/Flat!AA$17)^0.16)</f>
        <v>3213.1856034808716</v>
      </c>
      <c r="AB219" s="349">
        <f>AB213/(1.355*(AB207/Flat!AB$17)^0.16)</f>
        <v>2562.454123268838</v>
      </c>
      <c r="AC219" s="349">
        <f>AC213/(1.355*(AC207/Flat!AC$17)^0.16)</f>
        <v>2524.9691007199176</v>
      </c>
      <c r="AD219" s="349">
        <f>AD213/(1.355*(AD207/Flat!AD$17)^0.16)</f>
        <v>2238.893200426005</v>
      </c>
      <c r="AE219" s="349">
        <f>AE213/(1.355*(AE207/Flat!AE$17)^0.16)</f>
        <v>3098.2257218118784</v>
      </c>
      <c r="AF219" s="349">
        <f>AF213/(1.355*(AF207/Flat!AF$17)^0.16)</f>
        <v>1836.812935754416</v>
      </c>
      <c r="AG219" s="349">
        <f>AG213/(1.355*(AG207/Flat!AG$17)^0.16)</f>
        <v>3505.4436265859085</v>
      </c>
      <c r="AH219" s="349">
        <f>AH213/(1.355*(AH207/Flat!AH$17)^0.16)</f>
        <v>1448.3184406841933</v>
      </c>
      <c r="AI219" s="349">
        <f>AI213/(1.355*(AI207/Flat!AI$17)^0.16)</f>
        <v>2970.6038922737739</v>
      </c>
      <c r="AJ219" s="349">
        <f>AJ213/(1.355*(AJ207/Flat!AJ$17)^0.16)</f>
        <v>2850.3868888214388</v>
      </c>
      <c r="AK219" s="349">
        <f>AK213/(1.355*(AK207/Flat!AK$17)^0.16)</f>
        <v>2708.4701128436968</v>
      </c>
      <c r="AL219" s="349">
        <f>AL213/(1.355*(AL207/Flat!AL$17)^0.16)</f>
        <v>2234.4019861083661</v>
      </c>
      <c r="AM219" s="349">
        <f>AM213/(1.355*(AM207/Flat!AM$17)^0.16)</f>
        <v>2621.1463279477093</v>
      </c>
      <c r="AN219" s="354">
        <f>AN213/(1.355*(AN207/Flat!AN$17)^0.16)</f>
        <v>2621.1463279477093</v>
      </c>
    </row>
    <row r="220" spans="1:40" s="5" customFormat="1">
      <c r="A220" s="129"/>
      <c r="B220" s="142" t="s">
        <v>7</v>
      </c>
      <c r="C220" s="129" t="s">
        <v>261</v>
      </c>
      <c r="D220" s="345">
        <f>D214/(1.355*(D208/Flat!D$17)^0.16)</f>
        <v>2185.6008994415065</v>
      </c>
      <c r="E220" s="349">
        <f>E214/(1.355*(E208/Flat!E$17)^0.16)</f>
        <v>2540.5986330790997</v>
      </c>
      <c r="F220" s="349">
        <f>F214/(1.355*(F208/Flat!F$17)^0.16)</f>
        <v>1644.3575301649487</v>
      </c>
      <c r="G220" s="349">
        <f>G214/(1.355*(G208/Flat!G$17)^0.16)</f>
        <v>2129.3403278834148</v>
      </c>
      <c r="H220" s="349">
        <f>H214/(1.355*(H208/Flat!H$17)^0.16)</f>
        <v>1132.7503029819741</v>
      </c>
      <c r="I220" s="349">
        <f>I214/(1.355*(I208/Flat!I$17)^0.16)</f>
        <v>2078.4691762035054</v>
      </c>
      <c r="J220" s="349">
        <f>J214/(1.355*(J208/Flat!J$17)^0.16)</f>
        <v>1791.9674343180882</v>
      </c>
      <c r="K220" s="349">
        <f>K214/(1.355*(K208/Flat!K$17)^0.16)</f>
        <v>1705.7811496792981</v>
      </c>
      <c r="L220" s="349">
        <f>L214/(1.355*(L208/Flat!L$17)^0.16)</f>
        <v>1602.6317518738747</v>
      </c>
      <c r="M220" s="349">
        <f>M214/(1.355*(M208/Flat!M$17)^0.16)</f>
        <v>2314.9368607817969</v>
      </c>
      <c r="N220" s="349">
        <f>N214/(1.355*(N208/Flat!N$17)^0.16)</f>
        <v>2300.164416889525</v>
      </c>
      <c r="O220" s="349">
        <f>O214/(1.355*(O208/Flat!O$17)^0.16)</f>
        <v>1516.1589253366967</v>
      </c>
      <c r="P220" s="349">
        <f>P214/(1.355*(P208/Flat!P$17)^0.16)</f>
        <v>1900.8977071876623</v>
      </c>
      <c r="Q220" s="349">
        <f>Q214/(1.355*(Q208/Flat!Q$17)^0.16)</f>
        <v>1664.2797850280729</v>
      </c>
      <c r="R220" s="349">
        <f>R214/(1.355*(R208/Flat!R$17)^0.16)</f>
        <v>1509.1045094108154</v>
      </c>
      <c r="S220" s="349">
        <f>S214/(1.355*(S208/Flat!S$17)^0.16)</f>
        <v>1625.5806940822235</v>
      </c>
      <c r="T220" s="349">
        <f>T214/(1.355*(T208/Flat!T$17)^0.16)</f>
        <v>2352.3482638341188</v>
      </c>
      <c r="U220" s="349">
        <f>U214/(1.355*(U208/Flat!U$17)^0.16)</f>
        <v>2628.2000780576222</v>
      </c>
      <c r="V220" s="349">
        <f>V214/(1.355*(V208/Flat!V$17)^0.16)</f>
        <v>1888.1782355669295</v>
      </c>
      <c r="W220" s="349">
        <f>W214/(1.355*(W208/Flat!W$17)^0.16)</f>
        <v>2001.0430289946789</v>
      </c>
      <c r="X220" s="349">
        <f>X214/(1.355*(X208/Flat!X$17)^0.16)</f>
        <v>1907.9564712689548</v>
      </c>
      <c r="Y220" s="349">
        <f>Y214/(1.355*(Y208/Flat!Y$17)^0.16)</f>
        <v>1053.262648698261</v>
      </c>
      <c r="Z220" s="349">
        <f>Z214/(1.355*(Z208/Flat!Z$17)^0.16)</f>
        <v>2082.4791870229342</v>
      </c>
      <c r="AA220" s="349">
        <f>AA214/(1.355*(AA208/Flat!AA$17)^0.16)</f>
        <v>2730.3144951896497</v>
      </c>
      <c r="AB220" s="349">
        <f>AB214/(1.355*(AB208/Flat!AB$17)^0.16)</f>
        <v>2333.1157558144237</v>
      </c>
      <c r="AC220" s="349">
        <f>AC214/(1.355*(AC208/Flat!AC$17)^0.16)</f>
        <v>1830.4089909470254</v>
      </c>
      <c r="AD220" s="349">
        <f>AD214/(1.355*(AD208/Flat!AD$17)^0.16)</f>
        <v>1807.6460040782697</v>
      </c>
      <c r="AE220" s="349">
        <f>AE214/(1.355*(AE208/Flat!AE$17)^0.16)</f>
        <v>2632.6305546957938</v>
      </c>
      <c r="AF220" s="349">
        <f>AF214/(1.355*(AF208/Flat!AF$17)^0.16)</f>
        <v>1311.9508383741568</v>
      </c>
      <c r="AG220" s="349">
        <f>AG214/(1.355*(AG208/Flat!AG$17)^0.16)</f>
        <v>2415.0334426617387</v>
      </c>
      <c r="AH220" s="349">
        <f>AH214/(1.355*(AH208/Flat!AH$17)^0.16)</f>
        <v>1275.4438125399683</v>
      </c>
      <c r="AI220" s="349">
        <f>AI214/(1.355*(AI208/Flat!AI$17)^0.16)</f>
        <v>1609.4166238070634</v>
      </c>
      <c r="AJ220" s="349">
        <f>AJ214/(1.355*(AJ208/Flat!AJ$17)^0.16)</f>
        <v>2577.3060012192009</v>
      </c>
      <c r="AK220" s="349">
        <f>AK214/(1.355*(AK208/Flat!AK$17)^0.16)</f>
        <v>2453.1348759644789</v>
      </c>
      <c r="AL220" s="349">
        <f>AL214/(1.355*(AL208/Flat!AL$17)^0.16)</f>
        <v>1855.1950380863027</v>
      </c>
      <c r="AM220" s="349">
        <f>AM214/(1.355*(AM208/Flat!AM$17)^0.16)</f>
        <v>2370.0277978357267</v>
      </c>
      <c r="AN220" s="354">
        <f>AN214/(1.355*(AN208/Flat!AN$17)^0.16)</f>
        <v>2370.0277978357267</v>
      </c>
    </row>
    <row r="221" spans="1:40" s="5" customFormat="1">
      <c r="A221" s="334" t="s">
        <v>262</v>
      </c>
      <c r="B221" s="359" t="s">
        <v>2</v>
      </c>
      <c r="C221" s="366" t="s">
        <v>190</v>
      </c>
      <c r="D221" s="375">
        <f>D215/Flat!D$4</f>
        <v>54.92054078020751</v>
      </c>
      <c r="E221" s="376">
        <f>E215/Flat!E$4</f>
        <v>55.169784627737776</v>
      </c>
      <c r="F221" s="376">
        <f>F215/Flat!F$4</f>
        <v>39.65220185818908</v>
      </c>
      <c r="G221" s="376">
        <f>G215/Flat!G$4</f>
        <v>53.506805539082968</v>
      </c>
      <c r="H221" s="376">
        <f>H215/Flat!H$4</f>
        <v>19.846974483779146</v>
      </c>
      <c r="I221" s="376">
        <f>I215/Flat!I$4</f>
        <v>60.98823413239132</v>
      </c>
      <c r="J221" s="376">
        <f>J215/Flat!J$4</f>
        <v>65.076951179637661</v>
      </c>
      <c r="K221" s="376">
        <f>K215/Flat!K$4</f>
        <v>38.292406263969134</v>
      </c>
      <c r="L221" s="376">
        <f>L215/Flat!L$4</f>
        <v>53.281352965720465</v>
      </c>
      <c r="M221" s="376">
        <f>M215/Flat!M$4</f>
        <v>51.439114564520366</v>
      </c>
      <c r="N221" s="376">
        <f>N215/Flat!N$4</f>
        <v>62.457470856283678</v>
      </c>
      <c r="O221" s="376">
        <f>O215/Flat!O$4</f>
        <v>60.113047927166804</v>
      </c>
      <c r="P221" s="376">
        <f>P215/Flat!P$4</f>
        <v>52.829994905120934</v>
      </c>
      <c r="Q221" s="376">
        <f>Q215/Flat!Q$4</f>
        <v>49.437306190383438</v>
      </c>
      <c r="R221" s="376">
        <f>R215/Flat!R$4</f>
        <v>54.628375472320378</v>
      </c>
      <c r="S221" s="376">
        <f>S215/Flat!S$4</f>
        <v>50.739532442386356</v>
      </c>
      <c r="T221" s="376">
        <f>T215/Flat!T$4</f>
        <v>63.307753774685985</v>
      </c>
      <c r="U221" s="376">
        <f>U215/Flat!U$4</f>
        <v>42.400374185246243</v>
      </c>
      <c r="V221" s="376">
        <f>V215/Flat!V$4</f>
        <v>64.27748159462881</v>
      </c>
      <c r="W221" s="376">
        <f>W215/Flat!W$4</f>
        <v>60.452158199399001</v>
      </c>
      <c r="X221" s="376">
        <f>X215/Flat!X$4</f>
        <v>74.983625361211196</v>
      </c>
      <c r="Y221" s="376">
        <f>Y215/Flat!Y$4</f>
        <v>14.049151292070396</v>
      </c>
      <c r="Z221" s="376">
        <f>Z215/Flat!Z$4</f>
        <v>58.687571013627078</v>
      </c>
      <c r="AA221" s="376">
        <f>AA215/Flat!AA$4</f>
        <v>61.938238983710747</v>
      </c>
      <c r="AB221" s="376">
        <f>AB215/Flat!AB$4</f>
        <v>74.098753192292136</v>
      </c>
      <c r="AC221" s="376">
        <f>AC215/Flat!AC$4</f>
        <v>28.072449170425987</v>
      </c>
      <c r="AD221" s="376">
        <f>AD215/Flat!AD$4</f>
        <v>53.27613826872755</v>
      </c>
      <c r="AE221" s="376">
        <f>AE215/Flat!AE$4</f>
        <v>59.722241060453648</v>
      </c>
      <c r="AF221" s="376">
        <f>AF215/Flat!AF$4</f>
        <v>54.182878100146134</v>
      </c>
      <c r="AG221" s="376">
        <f>AG215/Flat!AG$4</f>
        <v>78.190218244156227</v>
      </c>
      <c r="AH221" s="376">
        <f>AH215/Flat!AH$4</f>
        <v>54.416460203223721</v>
      </c>
      <c r="AI221" s="376">
        <f>AI215/Flat!AI$4</f>
        <v>42.107499922454728</v>
      </c>
      <c r="AJ221" s="376">
        <f>AJ215/Flat!AJ$4</f>
        <v>49.080770474167586</v>
      </c>
      <c r="AK221" s="376">
        <f>AK215/Flat!AK$4</f>
        <v>40.931766521200373</v>
      </c>
      <c r="AL221" s="376">
        <f>AL215/Flat!AL$4</f>
        <v>44.974348249174689</v>
      </c>
      <c r="AM221" s="376">
        <f>AM215/Flat!AM$4</f>
        <v>45.133480583192444</v>
      </c>
      <c r="AN221" s="377">
        <f>AN215/Flat!AN$4</f>
        <v>45.133480583192444</v>
      </c>
    </row>
    <row r="222" spans="1:40" s="5" customFormat="1">
      <c r="A222" s="154"/>
      <c r="B222" s="347" t="s">
        <v>3</v>
      </c>
      <c r="C222" s="367" t="s">
        <v>190</v>
      </c>
      <c r="D222" s="369">
        <f>D216/Flat!D$4</f>
        <v>55.021247544786654</v>
      </c>
      <c r="E222" s="370">
        <f>E216/Flat!E$4</f>
        <v>55.169784627737776</v>
      </c>
      <c r="F222" s="370">
        <f>F216/Flat!F$4</f>
        <v>39.65220185818908</v>
      </c>
      <c r="G222" s="370">
        <f>G216/Flat!G$4</f>
        <v>53.604919963891199</v>
      </c>
      <c r="H222" s="370">
        <f>H216/Flat!H$4</f>
        <v>19.754565694624464</v>
      </c>
      <c r="I222" s="370">
        <f>I216/Flat!I$4</f>
        <v>53.55374880368116</v>
      </c>
      <c r="J222" s="370">
        <f>J216/Flat!J$4</f>
        <v>59.994288210415149</v>
      </c>
      <c r="K222" s="370">
        <f>K216/Flat!K$4</f>
        <v>37.030225129761561</v>
      </c>
      <c r="L222" s="370">
        <f>L216/Flat!L$4</f>
        <v>53.281352965720465</v>
      </c>
      <c r="M222" s="370">
        <f>M216/Flat!M$4</f>
        <v>49.212149796796666</v>
      </c>
      <c r="N222" s="370">
        <f>N216/Flat!N$4</f>
        <v>59.06162578820868</v>
      </c>
      <c r="O222" s="370">
        <f>O216/Flat!O$4</f>
        <v>60.113047927166804</v>
      </c>
      <c r="P222" s="370">
        <f>P216/Flat!P$4</f>
        <v>52.829994905120934</v>
      </c>
      <c r="Q222" s="370">
        <f>Q216/Flat!Q$4</f>
        <v>49.7387068361652</v>
      </c>
      <c r="R222" s="370">
        <f>R216/Flat!R$4</f>
        <v>54.628375472320378</v>
      </c>
      <c r="S222" s="370">
        <f>S216/Flat!S$4</f>
        <v>51.545142584283802</v>
      </c>
      <c r="T222" s="370">
        <f>T216/Flat!T$4</f>
        <v>60.123583913798655</v>
      </c>
      <c r="U222" s="370">
        <f>U216/Flat!U$4</f>
        <v>41.826493916890165</v>
      </c>
      <c r="V222" s="370">
        <f>V216/Flat!V$4</f>
        <v>64.27748159462881</v>
      </c>
      <c r="W222" s="370">
        <f>W216/Flat!W$4</f>
        <v>52.213546176902931</v>
      </c>
      <c r="X222" s="370">
        <f>X216/Flat!X$4</f>
        <v>73.134504493699708</v>
      </c>
      <c r="Y222" s="370">
        <f>Y216/Flat!Y$4</f>
        <v>14.024293570579117</v>
      </c>
      <c r="Z222" s="370">
        <f>Z216/Flat!Z$4</f>
        <v>49.38660737297613</v>
      </c>
      <c r="AA222" s="370">
        <f>AA216/Flat!AA$4</f>
        <v>61.547230301664243</v>
      </c>
      <c r="AB222" s="370">
        <f>AB216/Flat!AB$4</f>
        <v>58.140934603853516</v>
      </c>
      <c r="AC222" s="370">
        <f>AC216/Flat!AC$4</f>
        <v>27.984767956930511</v>
      </c>
      <c r="AD222" s="370">
        <f>AD216/Flat!AD$4</f>
        <v>49.783066010768515</v>
      </c>
      <c r="AE222" s="370">
        <f>AE216/Flat!AE$4</f>
        <v>59.34522170780378</v>
      </c>
      <c r="AF222" s="370">
        <f>AF216/Flat!AF$4</f>
        <v>54.182878100146134</v>
      </c>
      <c r="AG222" s="370">
        <f>AG216/Flat!AG$4</f>
        <v>71.411144112754741</v>
      </c>
      <c r="AH222" s="370">
        <f>AH216/Flat!AH$4</f>
        <v>54.62956627222659</v>
      </c>
      <c r="AI222" s="370">
        <f>AI216/Flat!AI$4</f>
        <v>42.107499922454728</v>
      </c>
      <c r="AJ222" s="370">
        <f>AJ216/Flat!AJ$4</f>
        <v>49.080770474167586</v>
      </c>
      <c r="AK222" s="370">
        <f>AK216/Flat!AK$4</f>
        <v>40.931766521200373</v>
      </c>
      <c r="AL222" s="370">
        <f>AL216/Flat!AL$4</f>
        <v>44.974348249174689</v>
      </c>
      <c r="AM222" s="370">
        <f>AM216/Flat!AM$4</f>
        <v>45.133480583192444</v>
      </c>
      <c r="AN222" s="371">
        <f>AN216/Flat!AN$4</f>
        <v>45.133480583192444</v>
      </c>
    </row>
    <row r="223" spans="1:40" s="5" customFormat="1">
      <c r="A223" s="154"/>
      <c r="B223" s="347" t="s">
        <v>4</v>
      </c>
      <c r="C223" s="367" t="s">
        <v>190</v>
      </c>
      <c r="D223" s="369">
        <f>D217/Flat!D$4</f>
        <v>47.123748211523349</v>
      </c>
      <c r="E223" s="370">
        <f>E217/Flat!E$4</f>
        <v>55.169784627737776</v>
      </c>
      <c r="F223" s="370">
        <f>F217/Flat!F$4</f>
        <v>38.379241924504953</v>
      </c>
      <c r="G223" s="370">
        <f>G217/Flat!G$4</f>
        <v>45.910713842340314</v>
      </c>
      <c r="H223" s="370">
        <f>H217/Flat!H$4</f>
        <v>22.957579922355617</v>
      </c>
      <c r="I223" s="370">
        <f>I217/Flat!I$4</f>
        <v>53.55374880368116</v>
      </c>
      <c r="J223" s="370">
        <f>J217/Flat!J$4</f>
        <v>47.292851538813593</v>
      </c>
      <c r="K223" s="370">
        <f>K217/Flat!K$4</f>
        <v>31.020044463828121</v>
      </c>
      <c r="L223" s="370">
        <f>L217/Flat!L$4</f>
        <v>48.311798927821812</v>
      </c>
      <c r="M223" s="370">
        <f>M217/Flat!M$4</f>
        <v>49.212149796796666</v>
      </c>
      <c r="N223" s="370">
        <f>N217/Flat!N$4</f>
        <v>53.232615432057976</v>
      </c>
      <c r="O223" s="370">
        <f>O217/Flat!O$4</f>
        <v>38.543652690382061</v>
      </c>
      <c r="P223" s="370">
        <f>P217/Flat!P$4</f>
        <v>52.829994905120934</v>
      </c>
      <c r="Q223" s="370">
        <f>Q217/Flat!Q$4</f>
        <v>43.294657961228872</v>
      </c>
      <c r="R223" s="370">
        <f>R217/Flat!R$4</f>
        <v>51.987198911125795</v>
      </c>
      <c r="S223" s="370">
        <f>S217/Flat!S$4</f>
        <v>43.519083163435411</v>
      </c>
      <c r="T223" s="370">
        <f>T217/Flat!T$4</f>
        <v>54.041849340919995</v>
      </c>
      <c r="U223" s="370">
        <f>U217/Flat!U$4</f>
        <v>38.505375418625533</v>
      </c>
      <c r="V223" s="370">
        <f>V217/Flat!V$4</f>
        <v>50.058209088881583</v>
      </c>
      <c r="W223" s="370">
        <f>W217/Flat!W$4</f>
        <v>37.653068318104438</v>
      </c>
      <c r="X223" s="370">
        <f>X217/Flat!X$4</f>
        <v>70.602537151768828</v>
      </c>
      <c r="Y223" s="370">
        <f>Y217/Flat!Y$4</f>
        <v>13.884516121313473</v>
      </c>
      <c r="Z223" s="370">
        <f>Z217/Flat!Z$4</f>
        <v>47.700846383536323</v>
      </c>
      <c r="AA223" s="370">
        <f>AA217/Flat!AA$4</f>
        <v>51.88181199593204</v>
      </c>
      <c r="AB223" s="370">
        <f>AB217/Flat!AB$4</f>
        <v>48.82749738101456</v>
      </c>
      <c r="AC223" s="370">
        <f>AC217/Flat!AC$4</f>
        <v>27.434111019085027</v>
      </c>
      <c r="AD223" s="370">
        <f>AD217/Flat!AD$4</f>
        <v>49.783066010768515</v>
      </c>
      <c r="AE223" s="370">
        <f>AE217/Flat!AE$4</f>
        <v>50.025608307802699</v>
      </c>
      <c r="AF223" s="370">
        <f>AF217/Flat!AF$4</f>
        <v>48.616658125962132</v>
      </c>
      <c r="AG223" s="370">
        <f>AG217/Flat!AG$4</f>
        <v>71.411144112754741</v>
      </c>
      <c r="AH223" s="370">
        <f>AH217/Flat!AH$4</f>
        <v>47.216533598862853</v>
      </c>
      <c r="AI223" s="370">
        <f>AI217/Flat!AI$4</f>
        <v>42.107499922454728</v>
      </c>
      <c r="AJ223" s="370">
        <f>AJ217/Flat!AJ$4</f>
        <v>49.080770474167586</v>
      </c>
      <c r="AK223" s="370">
        <f>AK217/Flat!AK$4</f>
        <v>40.931766521200373</v>
      </c>
      <c r="AL223" s="370">
        <f>AL217/Flat!AL$4</f>
        <v>43.614385953836546</v>
      </c>
      <c r="AM223" s="370">
        <f>AM217/Flat!AM$4</f>
        <v>45.133480583192444</v>
      </c>
      <c r="AN223" s="371">
        <f>AN217/Flat!AN$4</f>
        <v>45.133480583192444</v>
      </c>
    </row>
    <row r="224" spans="1:40" s="5" customFormat="1">
      <c r="A224" s="154"/>
      <c r="B224" s="347" t="s">
        <v>5</v>
      </c>
      <c r="C224" s="367" t="s">
        <v>190</v>
      </c>
      <c r="D224" s="369">
        <f>D218/Flat!D$4</f>
        <v>36.690951691117576</v>
      </c>
      <c r="E224" s="370">
        <f>E218/Flat!E$4</f>
        <v>48.965474690158921</v>
      </c>
      <c r="F224" s="370">
        <f>F218/Flat!F$4</f>
        <v>35.683873723393404</v>
      </c>
      <c r="G224" s="370">
        <f>G218/Flat!G$4</f>
        <v>35.746472800355733</v>
      </c>
      <c r="H224" s="370">
        <f>H218/Flat!H$4</f>
        <v>22.311350362449947</v>
      </c>
      <c r="I224" s="370">
        <f>I218/Flat!I$4</f>
        <v>50.416731547134141</v>
      </c>
      <c r="J224" s="370">
        <f>J218/Flat!J$4</f>
        <v>39.902592171198414</v>
      </c>
      <c r="K224" s="370">
        <f>K218/Flat!K$4</f>
        <v>28.449336959088015</v>
      </c>
      <c r="L224" s="370">
        <f>L218/Flat!L$4</f>
        <v>36.867138320646163</v>
      </c>
      <c r="M224" s="370">
        <f>M218/Flat!M$4</f>
        <v>32.034149962504408</v>
      </c>
      <c r="N224" s="370">
        <f>N218/Flat!N$4</f>
        <v>46.206161159147861</v>
      </c>
      <c r="O224" s="370">
        <f>O218/Flat!O$4</f>
        <v>34.302277611835024</v>
      </c>
      <c r="P224" s="370">
        <f>P218/Flat!P$4</f>
        <v>50.938072584435879</v>
      </c>
      <c r="Q224" s="370">
        <f>Q218/Flat!Q$4</f>
        <v>43.294657961228872</v>
      </c>
      <c r="R224" s="370">
        <f>R218/Flat!R$4</f>
        <v>46.833825616923633</v>
      </c>
      <c r="S224" s="370">
        <f>S218/Flat!S$4</f>
        <v>32.204707229713499</v>
      </c>
      <c r="T224" s="370">
        <f>T218/Flat!T$4</f>
        <v>46.797539320688827</v>
      </c>
      <c r="U224" s="370">
        <f>U218/Flat!U$4</f>
        <v>32.536067248715689</v>
      </c>
      <c r="V224" s="370">
        <f>V218/Flat!V$4</f>
        <v>50.058209088881583</v>
      </c>
      <c r="W224" s="370">
        <f>W218/Flat!W$4</f>
        <v>31.016901077157979</v>
      </c>
      <c r="X224" s="370">
        <f>X218/Flat!X$4</f>
        <v>49.020824875526245</v>
      </c>
      <c r="Y224" s="370">
        <f>Y218/Flat!Y$4</f>
        <v>12.693906512912319</v>
      </c>
      <c r="Z224" s="370">
        <f>Z218/Flat!Z$4</f>
        <v>40.776797838426162</v>
      </c>
      <c r="AA224" s="370">
        <f>AA218/Flat!AA$4</f>
        <v>50.936515354109297</v>
      </c>
      <c r="AB224" s="370">
        <f>AB218/Flat!AB$4</f>
        <v>48.82749738101456</v>
      </c>
      <c r="AC224" s="370">
        <f>AC218/Flat!AC$4</f>
        <v>27.235098881489701</v>
      </c>
      <c r="AD224" s="370">
        <f>AD218/Flat!AD$4</f>
        <v>46.69191112426649</v>
      </c>
      <c r="AE224" s="370">
        <f>AE218/Flat!AE$4</f>
        <v>49.114132055928266</v>
      </c>
      <c r="AF224" s="370">
        <f>AF218/Flat!AF$4</f>
        <v>42.220749115161532</v>
      </c>
      <c r="AG224" s="370">
        <f>AG218/Flat!AG$4</f>
        <v>62.002585846336636</v>
      </c>
      <c r="AH224" s="370">
        <f>AH218/Flat!AH$4</f>
        <v>41.397192498330519</v>
      </c>
      <c r="AI224" s="370">
        <f>AI218/Flat!AI$4</f>
        <v>40.693204003750324</v>
      </c>
      <c r="AJ224" s="370">
        <f>AJ218/Flat!AJ$4</f>
        <v>45.575590205777054</v>
      </c>
      <c r="AK224" s="370">
        <f>AK218/Flat!AK$4</f>
        <v>37.832766791933658</v>
      </c>
      <c r="AL224" s="370">
        <f>AL218/Flat!AL$4</f>
        <v>40.684468892284521</v>
      </c>
      <c r="AM224" s="370">
        <f>AM218/Flat!AM$4</f>
        <v>41.910202218659464</v>
      </c>
      <c r="AN224" s="371">
        <f>AN218/Flat!AN$4</f>
        <v>41.910202218659464</v>
      </c>
    </row>
    <row r="225" spans="1:40" s="5" customFormat="1">
      <c r="A225" s="154"/>
      <c r="B225" s="347" t="s">
        <v>6</v>
      </c>
      <c r="C225" s="367" t="s">
        <v>190</v>
      </c>
      <c r="D225" s="369">
        <f>D219/Flat!D$4</f>
        <v>33.337740574183684</v>
      </c>
      <c r="E225" s="370">
        <f>E219/Flat!E$4</f>
        <v>48.965474690158921</v>
      </c>
      <c r="F225" s="370">
        <f>F219/Flat!F$4</f>
        <v>30.466761649628456</v>
      </c>
      <c r="G225" s="370">
        <f>G219/Flat!G$4</f>
        <v>32.479578253863345</v>
      </c>
      <c r="H225" s="370">
        <f>H219/Flat!H$4</f>
        <v>17.742973933516115</v>
      </c>
      <c r="I225" s="370">
        <f>I219/Flat!I$4</f>
        <v>42.526610130274278</v>
      </c>
      <c r="J225" s="370">
        <f>J219/Flat!J$4</f>
        <v>27.441273242185847</v>
      </c>
      <c r="K225" s="370">
        <f>K219/Flat!K$4</f>
        <v>28.449336959088015</v>
      </c>
      <c r="L225" s="370">
        <f>L219/Flat!L$4</f>
        <v>33.528540607316387</v>
      </c>
      <c r="M225" s="370">
        <f>M219/Flat!M$4</f>
        <v>32.034149962504408</v>
      </c>
      <c r="N225" s="370">
        <f>N219/Flat!N$4</f>
        <v>45.89661378372805</v>
      </c>
      <c r="O225" s="370">
        <f>O219/Flat!O$4</f>
        <v>23.647294655159495</v>
      </c>
      <c r="P225" s="370">
        <f>P219/Flat!P$4</f>
        <v>50.938072584435879</v>
      </c>
      <c r="Q225" s="370">
        <f>Q219/Flat!Q$4</f>
        <v>34.733261417259399</v>
      </c>
      <c r="R225" s="370">
        <f>R219/Flat!R$4</f>
        <v>46.833825616923633</v>
      </c>
      <c r="S225" s="370">
        <f>S219/Flat!S$4</f>
        <v>31.672949547221481</v>
      </c>
      <c r="T225" s="370">
        <f>T219/Flat!T$4</f>
        <v>46.47197958964265</v>
      </c>
      <c r="U225" s="370">
        <f>U219/Flat!U$4</f>
        <v>31.344064113195145</v>
      </c>
      <c r="V225" s="370">
        <f>V219/Flat!V$4</f>
        <v>50.058209088881583</v>
      </c>
      <c r="W225" s="370">
        <f>W219/Flat!W$4</f>
        <v>27.296577298042205</v>
      </c>
      <c r="X225" s="370">
        <f>X219/Flat!X$4</f>
        <v>48.483722338335397</v>
      </c>
      <c r="Y225" s="370">
        <f>Y219/Flat!Y$4</f>
        <v>12.465325110594758</v>
      </c>
      <c r="Z225" s="370">
        <f>Z219/Flat!Z$4</f>
        <v>36.936569541571551</v>
      </c>
      <c r="AA225" s="370">
        <f>AA219/Flat!AA$4</f>
        <v>48.10158089043221</v>
      </c>
      <c r="AB225" s="370">
        <f>AB219/Flat!AB$4</f>
        <v>48.82749738101456</v>
      </c>
      <c r="AC225" s="370">
        <f>AC219/Flat!AC$4</f>
        <v>26.122127215922351</v>
      </c>
      <c r="AD225" s="370">
        <f>AD219/Flat!AD$4</f>
        <v>46.69191112426649</v>
      </c>
      <c r="AE225" s="370">
        <f>AE219/Flat!AE$4</f>
        <v>46.380624578022136</v>
      </c>
      <c r="AF225" s="370">
        <f>AF219/Flat!AF$4</f>
        <v>35.624164218529515</v>
      </c>
      <c r="AG225" s="370">
        <f>AG219/Flat!AG$4</f>
        <v>57.229031468668289</v>
      </c>
      <c r="AH225" s="370">
        <f>AH219/Flat!AH$4</f>
        <v>29.917753370877783</v>
      </c>
      <c r="AI225" s="370">
        <f>AI219/Flat!AI$4</f>
        <v>40.693204003750324</v>
      </c>
      <c r="AJ225" s="370">
        <f>AJ219/Flat!AJ$4</f>
        <v>44.80872116575145</v>
      </c>
      <c r="AK225" s="370">
        <f>AK219/Flat!AK$4</f>
        <v>37.102330312927357</v>
      </c>
      <c r="AL225" s="370">
        <f>AL219/Flat!AL$4</f>
        <v>35.125300344448448</v>
      </c>
      <c r="AM225" s="370">
        <f>AM219/Flat!AM$4</f>
        <v>41.20500813565166</v>
      </c>
      <c r="AN225" s="371">
        <f>AN219/Flat!AN$4</f>
        <v>41.20500813565166</v>
      </c>
    </row>
    <row r="226" spans="1:40" s="5" customFormat="1">
      <c r="A226" s="155"/>
      <c r="B226" s="338" t="s">
        <v>7</v>
      </c>
      <c r="C226" s="368" t="s">
        <v>190</v>
      </c>
      <c r="D226" s="378">
        <f>D220/Flat!D$4</f>
        <v>30.539372655388789</v>
      </c>
      <c r="E226" s="379">
        <f>E220/Flat!E$4</f>
        <v>34.689406391913657</v>
      </c>
      <c r="F226" s="379">
        <f>F220/Flat!F$4</f>
        <v>25.501715558313158</v>
      </c>
      <c r="G226" s="379">
        <f>G220/Flat!G$4</f>
        <v>29.75324442810961</v>
      </c>
      <c r="H226" s="379">
        <f>H220/Flat!H$4</f>
        <v>15.517127438109235</v>
      </c>
      <c r="I226" s="379">
        <f>I220/Flat!I$4</f>
        <v>34.080244929564103</v>
      </c>
      <c r="J226" s="379">
        <f>J220/Flat!J$4</f>
        <v>28.576200865990845</v>
      </c>
      <c r="K226" s="379">
        <f>K220/Flat!K$4</f>
        <v>21.757412623460432</v>
      </c>
      <c r="L226" s="379">
        <f>L220/Flat!L$4</f>
        <v>33.528540607316387</v>
      </c>
      <c r="M226" s="379">
        <f>M220/Flat!M$4</f>
        <v>26.80267724230508</v>
      </c>
      <c r="N226" s="379">
        <f>N220/Flat!N$4</f>
        <v>41.074364587312949</v>
      </c>
      <c r="O226" s="379">
        <f>O220/Flat!O$4</f>
        <v>22.998555707648443</v>
      </c>
      <c r="P226" s="379">
        <f>P220/Flat!P$4</f>
        <v>26.039694619009072</v>
      </c>
      <c r="Q226" s="379">
        <f>Q220/Flat!Q$4</f>
        <v>26.162851478717755</v>
      </c>
      <c r="R226" s="379">
        <f>R220/Flat!R$4</f>
        <v>32.2910047280646</v>
      </c>
      <c r="S226" s="379">
        <f>S220/Flat!S$4</f>
        <v>24.428286170706208</v>
      </c>
      <c r="T226" s="379">
        <f>T220/Flat!T$4</f>
        <v>42.006218997037834</v>
      </c>
      <c r="U226" s="379">
        <f>U220/Flat!U$4</f>
        <v>28.944934780370289</v>
      </c>
      <c r="V226" s="379">
        <f>V220/Flat!V$4</f>
        <v>36.619744075558977</v>
      </c>
      <c r="W226" s="379">
        <f>W220/Flat!W$4</f>
        <v>23.322151284018577</v>
      </c>
      <c r="X226" s="379">
        <f>X220/Flat!X$4</f>
        <v>37.047698471241844</v>
      </c>
      <c r="Y226" s="379">
        <f>Y220/Flat!Y$4</f>
        <v>12.386741892849965</v>
      </c>
      <c r="Z226" s="379">
        <f>Z220/Flat!Z$4</f>
        <v>27.473340198191746</v>
      </c>
      <c r="AA226" s="379">
        <f>AA220/Flat!AA$4</f>
        <v>40.872971484874995</v>
      </c>
      <c r="AB226" s="379">
        <f>AB220/Flat!AB$4</f>
        <v>44.457460690577491</v>
      </c>
      <c r="AC226" s="379">
        <f>AC220/Flat!AC$4</f>
        <v>18.936539264996753</v>
      </c>
      <c r="AD226" s="379">
        <f>AD220/Flat!AD$4</f>
        <v>37.69829063329076</v>
      </c>
      <c r="AE226" s="379">
        <f>AE220/Flat!AE$4</f>
        <v>39.41063704634422</v>
      </c>
      <c r="AF226" s="379">
        <f>AF220/Flat!AF$4</f>
        <v>25.444698914689724</v>
      </c>
      <c r="AG226" s="379">
        <f>AG220/Flat!AG$4</f>
        <v>39.427256464706929</v>
      </c>
      <c r="AH226" s="379">
        <f>AH220/Flat!AH$4</f>
        <v>26.346701353851859</v>
      </c>
      <c r="AI226" s="379">
        <f>AI220/Flat!AI$4</f>
        <v>22.046803065850185</v>
      </c>
      <c r="AJ226" s="379">
        <f>AJ220/Flat!AJ$4</f>
        <v>40.515828367144721</v>
      </c>
      <c r="AK226" s="379">
        <f>AK220/Flat!AK$4</f>
        <v>33.604587341979162</v>
      </c>
      <c r="AL226" s="379">
        <f>AL220/Flat!AL$4</f>
        <v>29.164082074509693</v>
      </c>
      <c r="AM226" s="379">
        <f>AM220/Flat!AM$4</f>
        <v>37.257368522422269</v>
      </c>
      <c r="AN226" s="380">
        <f>AN220/Flat!AN$4</f>
        <v>37.257368522422269</v>
      </c>
    </row>
    <row r="227" spans="1:40" s="5" customFormat="1">
      <c r="A227" s="334" t="s">
        <v>299</v>
      </c>
      <c r="B227" s="359" t="s">
        <v>2</v>
      </c>
      <c r="C227" s="366" t="s">
        <v>190</v>
      </c>
      <c r="D227" s="376">
        <f>Flat!D$48-D221</f>
        <v>50.882571548019946</v>
      </c>
      <c r="E227" s="376">
        <f>Flat!E$48-E221</f>
        <v>47.559700475089564</v>
      </c>
      <c r="F227" s="376">
        <f>Flat!F$48-F221</f>
        <v>28.473436327901034</v>
      </c>
      <c r="G227" s="376">
        <f>Flat!G$48-G221</f>
        <v>49.572779555177824</v>
      </c>
      <c r="H227" s="376">
        <f>Flat!H$48-H221</f>
        <v>14.523184701465684</v>
      </c>
      <c r="I227" s="376">
        <f>Flat!I$48-I221</f>
        <v>25.825344283973514</v>
      </c>
      <c r="J227" s="376">
        <f>Flat!J$48-J221</f>
        <v>54.71193509953234</v>
      </c>
      <c r="K227" s="376">
        <f>Flat!K$48-K221</f>
        <v>18.76969890603926</v>
      </c>
      <c r="L227" s="376">
        <f>Flat!L$48-L221</f>
        <v>17.633180544904612</v>
      </c>
      <c r="M227" s="376">
        <f>Flat!M$48-M221</f>
        <v>49.151661376396262</v>
      </c>
      <c r="N227" s="376">
        <f>Flat!N$48-N221</f>
        <v>17.188026864909716</v>
      </c>
      <c r="O227" s="376">
        <f>Flat!O$48-O221</f>
        <v>58.876024223108956</v>
      </c>
      <c r="P227" s="376">
        <f>Flat!P$48-P221</f>
        <v>40.864671645832523</v>
      </c>
      <c r="Q227" s="376">
        <f>Flat!Q$48-Q221</f>
        <v>30.367276289511622</v>
      </c>
      <c r="R227" s="376">
        <f>Flat!R$48-R221</f>
        <v>51.25036458610456</v>
      </c>
      <c r="S227" s="376">
        <f>Flat!S$48-S221</f>
        <v>21.898639796551713</v>
      </c>
      <c r="T227" s="376">
        <f>Flat!T$48-T221</f>
        <v>25.10599339687456</v>
      </c>
      <c r="U227" s="376">
        <f>Flat!U$48-U221</f>
        <v>28.388450899879437</v>
      </c>
      <c r="V227" s="376">
        <f>Flat!V$48-V221</f>
        <v>39.812410904649397</v>
      </c>
      <c r="W227" s="376">
        <f>Flat!W$48-W221</f>
        <v>24.128771361319956</v>
      </c>
      <c r="X227" s="376">
        <f>Flat!X$48-X221</f>
        <v>41.340059487834026</v>
      </c>
      <c r="Y227" s="376">
        <f>Flat!Y$48-Y221</f>
        <v>13.235552018536135</v>
      </c>
      <c r="Z227" s="376">
        <f>Flat!Z$48-Z221</f>
        <v>46.614967237607544</v>
      </c>
      <c r="AA227" s="376">
        <f>Flat!AA$48-AA221</f>
        <v>19.661594179149773</v>
      </c>
      <c r="AB227" s="376">
        <f>Flat!AB$48-AB221</f>
        <v>51.582363966267749</v>
      </c>
      <c r="AC227" s="376">
        <f>Flat!AC$48-AC221</f>
        <v>20.114573981110279</v>
      </c>
      <c r="AD227" s="376">
        <f>Flat!AD$48-AD221</f>
        <v>30.409955858680163</v>
      </c>
      <c r="AE227" s="376">
        <f>Flat!AE$48-AE221</f>
        <v>18.958150675042766</v>
      </c>
      <c r="AF227" s="376">
        <f>Flat!AF$48-AF221</f>
        <v>44.210991777011252</v>
      </c>
      <c r="AG227" s="376">
        <f>Flat!AG$48-AG221</f>
        <v>48.35578417586531</v>
      </c>
      <c r="AH227" s="376">
        <f>Flat!AH$48-AH221</f>
        <v>34.726709869173746</v>
      </c>
      <c r="AI227" s="376">
        <f>Flat!AI$48-AI221</f>
        <v>32.52097900075821</v>
      </c>
      <c r="AJ227" s="376">
        <f>Flat!AJ$48-AJ221</f>
        <v>40.260950233247819</v>
      </c>
      <c r="AK227" s="376">
        <f>Flat!AK$48-AK221</f>
        <v>33.788706848543882</v>
      </c>
      <c r="AL227" s="376">
        <f>Flat!AL$48-AL221</f>
        <v>41.756967289579983</v>
      </c>
      <c r="AM227" s="376">
        <f>Flat!AM$48-AM221</f>
        <v>37.022988801073545</v>
      </c>
      <c r="AN227" s="377">
        <f>Flat!AN$48-AN221</f>
        <v>37.022988801073545</v>
      </c>
    </row>
    <row r="228" spans="1:40" s="5" customFormat="1">
      <c r="A228" s="154"/>
      <c r="B228" s="347" t="s">
        <v>3</v>
      </c>
      <c r="C228" s="367" t="s">
        <v>190</v>
      </c>
      <c r="D228" s="370">
        <f>Flat!D$49-D222</f>
        <v>40.551463634766343</v>
      </c>
      <c r="E228" s="370">
        <f>Flat!E$49-E222</f>
        <v>47.559700475089564</v>
      </c>
      <c r="F228" s="370">
        <f>Flat!F$49-F222</f>
        <v>28.473436327901034</v>
      </c>
      <c r="G228" s="370">
        <f>Flat!G$49-G222</f>
        <v>39.507609506507102</v>
      </c>
      <c r="H228" s="370">
        <f>Flat!H$49-H222</f>
        <v>11.804887508670401</v>
      </c>
      <c r="I228" s="370">
        <f>Flat!I$49-I222</f>
        <v>24.689794532323717</v>
      </c>
      <c r="J228" s="370">
        <f>Flat!J$49-J222</f>
        <v>38.876039652343465</v>
      </c>
      <c r="K228" s="370">
        <f>Flat!K$49-K222</f>
        <v>19.01583590808886</v>
      </c>
      <c r="L228" s="370">
        <f>Flat!L$49-L222</f>
        <v>17.633180544904612</v>
      </c>
      <c r="M228" s="370">
        <f>Flat!M$49-M222</f>
        <v>41.172754211049167</v>
      </c>
      <c r="N228" s="370">
        <f>Flat!N$49-N222</f>
        <v>15.773940911117997</v>
      </c>
      <c r="O228" s="370">
        <f>Flat!O$49-O222</f>
        <v>58.876024223108956</v>
      </c>
      <c r="P228" s="370">
        <f>Flat!P$49-P222</f>
        <v>40.864671645832523</v>
      </c>
      <c r="Q228" s="370">
        <f>Flat!Q$49-Q222</f>
        <v>35.408715236707913</v>
      </c>
      <c r="R228" s="370">
        <f>Flat!R$49-R222</f>
        <v>51.25036458610456</v>
      </c>
      <c r="S228" s="370">
        <f>Flat!S$49-S222</f>
        <v>21.845815422741971</v>
      </c>
      <c r="T228" s="370">
        <f>Flat!T$49-T222</f>
        <v>23.030281606065572</v>
      </c>
      <c r="U228" s="370">
        <f>Flat!U$49-U222</f>
        <v>24.86540640198654</v>
      </c>
      <c r="V228" s="370">
        <f>Flat!V$49-V222</f>
        <v>39.812410904649397</v>
      </c>
      <c r="W228" s="370">
        <f>Flat!W$49-W222</f>
        <v>41.878785854420592</v>
      </c>
      <c r="X228" s="370">
        <f>Flat!X$49-X222</f>
        <v>41.490075926255258</v>
      </c>
      <c r="Y228" s="370">
        <f>Flat!Y$49-Y222</f>
        <v>13.238506271258162</v>
      </c>
      <c r="Z228" s="370">
        <f>Flat!Z$49-Z222</f>
        <v>39.232645990040467</v>
      </c>
      <c r="AA228" s="370">
        <f>Flat!AA$49-AA222</f>
        <v>19.681659785684872</v>
      </c>
      <c r="AB228" s="370">
        <f>Flat!AB$49-AB222</f>
        <v>35.198642236756179</v>
      </c>
      <c r="AC228" s="370">
        <f>Flat!AC$49-AC222</f>
        <v>14.498117097652461</v>
      </c>
      <c r="AD228" s="370">
        <f>Flat!AD$49-AD222</f>
        <v>27.062192313095899</v>
      </c>
      <c r="AE228" s="370">
        <f>Flat!AE$49-AE222</f>
        <v>18.977498383504873</v>
      </c>
      <c r="AF228" s="370">
        <f>Flat!AF$49-AF222</f>
        <v>44.210991777011252</v>
      </c>
      <c r="AG228" s="370">
        <f>Flat!AG$49-AG222</f>
        <v>37.632590122418819</v>
      </c>
      <c r="AH228" s="370">
        <f>Flat!AH$49-AH222</f>
        <v>38.359472952685088</v>
      </c>
      <c r="AI228" s="370">
        <f>Flat!AI$49-AI222</f>
        <v>32.52097900075821</v>
      </c>
      <c r="AJ228" s="370">
        <f>Flat!AJ$49-AJ222</f>
        <v>40.260950233247819</v>
      </c>
      <c r="AK228" s="370">
        <f>Flat!AK$49-AK222</f>
        <v>33.788706848543882</v>
      </c>
      <c r="AL228" s="370">
        <f>Flat!AL$49-AL222</f>
        <v>41.756967289579983</v>
      </c>
      <c r="AM228" s="370">
        <f>Flat!AM$49-AM222</f>
        <v>37.022988801073545</v>
      </c>
      <c r="AN228" s="371">
        <f>Flat!AN$49-AN222</f>
        <v>37.022988801073545</v>
      </c>
    </row>
    <row r="229" spans="1:40" s="5" customFormat="1">
      <c r="A229" s="154"/>
      <c r="B229" s="347" t="s">
        <v>4</v>
      </c>
      <c r="C229" s="367" t="s">
        <v>190</v>
      </c>
      <c r="D229" s="370">
        <f>Flat!D$50-D223</f>
        <v>30.906286680228249</v>
      </c>
      <c r="E229" s="370">
        <f>Flat!E$50-E223</f>
        <v>47.559700475089564</v>
      </c>
      <c r="F229" s="370">
        <f>Flat!F$50-F223</f>
        <v>26.160778952131594</v>
      </c>
      <c r="G229" s="370">
        <f>Flat!G$50-G223</f>
        <v>30.110713548000774</v>
      </c>
      <c r="H229" s="370">
        <f>Flat!H$50-H223</f>
        <v>8.858740621999118</v>
      </c>
      <c r="I229" s="370">
        <f>Flat!I$50-I223</f>
        <v>24.689794532323717</v>
      </c>
      <c r="J229" s="370">
        <f>Flat!J$50-J223</f>
        <v>20.052412488857257</v>
      </c>
      <c r="K229" s="370">
        <f>Flat!K$50-K223</f>
        <v>9.3298910067112502</v>
      </c>
      <c r="L229" s="370">
        <f>Flat!L$50-L223</f>
        <v>10.49006239713605</v>
      </c>
      <c r="M229" s="370">
        <f>Flat!M$50-M223</f>
        <v>41.172754211049167</v>
      </c>
      <c r="N229" s="370">
        <f>Flat!N$50-N223</f>
        <v>10.100544728461962</v>
      </c>
      <c r="O229" s="370">
        <f>Flat!O$50-O223</f>
        <v>21.815168340877541</v>
      </c>
      <c r="P229" s="370">
        <f>Flat!P$50-P223</f>
        <v>40.864671645832523</v>
      </c>
      <c r="Q229" s="370">
        <f>Flat!Q$50-Q223</f>
        <v>30.933660401554967</v>
      </c>
      <c r="R229" s="370">
        <f>Flat!R$50-R223</f>
        <v>40.580063885497928</v>
      </c>
      <c r="S229" s="370">
        <f>Flat!S$50-S223</f>
        <v>22.41020197630688</v>
      </c>
      <c r="T229" s="370">
        <f>Flat!T$50-T223</f>
        <v>14.787359721751372</v>
      </c>
      <c r="U229" s="370">
        <f>Flat!U$50-U223</f>
        <v>25.158039871442902</v>
      </c>
      <c r="V229" s="370">
        <f>Flat!V$50-V223</f>
        <v>18.70252007791656</v>
      </c>
      <c r="W229" s="370">
        <f>Flat!W$50-W223</f>
        <v>13.962287702599006</v>
      </c>
      <c r="X229" s="370">
        <f>Flat!X$50-X223</f>
        <v>36.564681026717622</v>
      </c>
      <c r="Y229" s="370">
        <f>Flat!Y$50-Y223</f>
        <v>7.9542405992406895</v>
      </c>
      <c r="Z229" s="370">
        <f>Flat!Z$50-Z223</f>
        <v>39.412806835052329</v>
      </c>
      <c r="AA229" s="370">
        <f>Flat!AA$50-AA223</f>
        <v>7.5759951279421003</v>
      </c>
      <c r="AB229" s="370">
        <f>Flat!AB$50-AB223</f>
        <v>18.789334116252341</v>
      </c>
      <c r="AC229" s="370">
        <f>Flat!AC$50-AC223</f>
        <v>14.540583100200212</v>
      </c>
      <c r="AD229" s="370">
        <f>Flat!AD$50-AD223</f>
        <v>27.062192313095899</v>
      </c>
      <c r="AE229" s="370">
        <f>Flat!AE$50-AE223</f>
        <v>7.3049446469211432</v>
      </c>
      <c r="AF229" s="370">
        <f>Flat!AF$50-AF223</f>
        <v>44.834975429562448</v>
      </c>
      <c r="AG229" s="370">
        <f>Flat!AG$50-AG223</f>
        <v>37.632590122418819</v>
      </c>
      <c r="AH229" s="370">
        <f>Flat!AH$50-AH223</f>
        <v>30.785811822997033</v>
      </c>
      <c r="AI229" s="370">
        <f>Flat!AI$50-AI223</f>
        <v>32.52097900075821</v>
      </c>
      <c r="AJ229" s="370">
        <f>Flat!AJ$50-AJ223</f>
        <v>40.260950233247819</v>
      </c>
      <c r="AK229" s="370">
        <f>Flat!AK$50-AK223</f>
        <v>33.788706848543882</v>
      </c>
      <c r="AL229" s="370">
        <f>Flat!AL$50-AL223</f>
        <v>38.372925973624675</v>
      </c>
      <c r="AM229" s="370">
        <f>Flat!AM$50-AM223</f>
        <v>37.022988801073545</v>
      </c>
      <c r="AN229" s="371">
        <f>Flat!AN$50-AN223</f>
        <v>37.022988801073545</v>
      </c>
    </row>
    <row r="230" spans="1:40" s="5" customFormat="1">
      <c r="A230" s="154"/>
      <c r="B230" s="347" t="s">
        <v>5</v>
      </c>
      <c r="C230" s="367" t="s">
        <v>190</v>
      </c>
      <c r="D230" s="370">
        <f>Flat!D$51-D224</f>
        <v>18.457745357802835</v>
      </c>
      <c r="E230" s="370">
        <f>Flat!E$51-E224</f>
        <v>39.610596030132051</v>
      </c>
      <c r="F230" s="370">
        <f>Flat!F$51-F224</f>
        <v>20.475282035323239</v>
      </c>
      <c r="G230" s="370">
        <f>Flat!G$51-G224</f>
        <v>17.982615930573445</v>
      </c>
      <c r="H230" s="370">
        <f>Flat!H$51-H224</f>
        <v>8.8982190731721218</v>
      </c>
      <c r="I230" s="370">
        <f>Flat!I$51-I224</f>
        <v>20.93188280884771</v>
      </c>
      <c r="J230" s="370">
        <f>Flat!J$51-J224</f>
        <v>17.693463215071858</v>
      </c>
      <c r="K230" s="370">
        <f>Flat!K$51-K224</f>
        <v>5.7887334045943177</v>
      </c>
      <c r="L230" s="370">
        <f>Flat!L$51-L224</f>
        <v>7.3606507966509014</v>
      </c>
      <c r="M230" s="370">
        <f>Flat!M$51-M224</f>
        <v>31.600925452101741</v>
      </c>
      <c r="N230" s="370">
        <f>Flat!N$51-N224</f>
        <v>6.0692380575475369</v>
      </c>
      <c r="O230" s="370">
        <f>Flat!O$51-O224</f>
        <v>17.781855545340008</v>
      </c>
      <c r="P230" s="370">
        <f>Flat!P$51-P224</f>
        <v>41.063192929525052</v>
      </c>
      <c r="Q230" s="370">
        <f>Flat!Q$51-Q224</f>
        <v>30.933660401554967</v>
      </c>
      <c r="R230" s="370">
        <f>Flat!R$51-R224</f>
        <v>22.665747021806979</v>
      </c>
      <c r="S230" s="370">
        <f>Flat!S$51-S224</f>
        <v>13.993998147095709</v>
      </c>
      <c r="T230" s="370">
        <f>Flat!T$51-T224</f>
        <v>8.9061933770852164</v>
      </c>
      <c r="U230" s="370">
        <f>Flat!U$51-U224</f>
        <v>14.706087450380139</v>
      </c>
      <c r="V230" s="370">
        <f>Flat!V$51-V224</f>
        <v>18.70252007791656</v>
      </c>
      <c r="W230" s="370">
        <f>Flat!W$51-W224</f>
        <v>12.748876870574573</v>
      </c>
      <c r="X230" s="370">
        <f>Flat!X$51-X224</f>
        <v>17.681302895064377</v>
      </c>
      <c r="Y230" s="370">
        <f>Flat!Y$51-Y224</f>
        <v>8.0565458120092206</v>
      </c>
      <c r="Z230" s="370">
        <f>Flat!Z$51-Z224</f>
        <v>11.933495053826903</v>
      </c>
      <c r="AA230" s="370">
        <f>Flat!AA$51-AA224</f>
        <v>7.6004630723887274</v>
      </c>
      <c r="AB230" s="370">
        <f>Flat!AB$51-AB224</f>
        <v>18.789334116252341</v>
      </c>
      <c r="AC230" s="370">
        <f>Flat!AC$51-AC224</f>
        <v>13.424743804488127</v>
      </c>
      <c r="AD230" s="370">
        <f>Flat!AD$51-AD224</f>
        <v>19.958343079206351</v>
      </c>
      <c r="AE230" s="370">
        <f>Flat!AE$51-AE224</f>
        <v>7.3285371884669104</v>
      </c>
      <c r="AF230" s="370">
        <f>Flat!AF$51-AF224</f>
        <v>26.846765430439753</v>
      </c>
      <c r="AG230" s="370">
        <f>Flat!AG$51-AG224</f>
        <v>30.750814610322571</v>
      </c>
      <c r="AH230" s="370">
        <f>Flat!AH$51-AH224</f>
        <v>9.3048561420847093</v>
      </c>
      <c r="AI230" s="370">
        <f>Flat!AI$51-AI224</f>
        <v>32.669082697422525</v>
      </c>
      <c r="AJ230" s="370">
        <f>Flat!AJ$51-AJ224</f>
        <v>32.559584637438967</v>
      </c>
      <c r="AK230" s="370">
        <f>Flat!AK$51-AK224</f>
        <v>27.343444529544875</v>
      </c>
      <c r="AL230" s="370">
        <f>Flat!AL$51-AL224</f>
        <v>30.062094046967111</v>
      </c>
      <c r="AM230" s="370">
        <f>Flat!AM$51-AM224</f>
        <v>29.941000657357478</v>
      </c>
      <c r="AN230" s="371">
        <f>Flat!AN$51-AN224</f>
        <v>29.941000657357478</v>
      </c>
    </row>
    <row r="231" spans="1:40" s="5" customFormat="1">
      <c r="A231" s="154"/>
      <c r="B231" s="347" t="s">
        <v>6</v>
      </c>
      <c r="C231" s="367" t="s">
        <v>190</v>
      </c>
      <c r="D231" s="370">
        <f>Flat!D$52-D225</f>
        <v>13.084328334266374</v>
      </c>
      <c r="E231" s="370">
        <f>Flat!E$52-E225</f>
        <v>39.610596030132051</v>
      </c>
      <c r="F231" s="370">
        <f>Flat!F$52-F225</f>
        <v>15.468988944404384</v>
      </c>
      <c r="G231" s="370">
        <f>Flat!G$52-G225</f>
        <v>12.747518539427944</v>
      </c>
      <c r="H231" s="370">
        <f>Flat!H$52-H225</f>
        <v>9.2124086928999525</v>
      </c>
      <c r="I231" s="370">
        <f>Flat!I$52-I225</f>
        <v>11.691495954502663</v>
      </c>
      <c r="J231" s="370">
        <f>Flat!J$52-J225</f>
        <v>5.4360236597698197</v>
      </c>
      <c r="K231" s="370">
        <f>Flat!K$52-K225</f>
        <v>5.7887334045943177</v>
      </c>
      <c r="L231" s="370">
        <f>Flat!L$52-L225</f>
        <v>6.1241027967791624</v>
      </c>
      <c r="M231" s="370">
        <f>Flat!M$52-M225</f>
        <v>31.600925452101741</v>
      </c>
      <c r="N231" s="370">
        <f>Flat!N$52-N225</f>
        <v>5.9101281074365204</v>
      </c>
      <c r="O231" s="370">
        <f>Flat!O$52-O225</f>
        <v>6.8452809203697207</v>
      </c>
      <c r="P231" s="370">
        <f>Flat!P$52-P225</f>
        <v>41.063192929525052</v>
      </c>
      <c r="Q231" s="370">
        <f>Flat!Q$52-Q225</f>
        <v>18.750873694006955</v>
      </c>
      <c r="R231" s="370">
        <f>Flat!R$52-R225</f>
        <v>22.665747021806979</v>
      </c>
      <c r="S231" s="370">
        <f>Flat!S$52-S225</f>
        <v>9.0007530478215578</v>
      </c>
      <c r="T231" s="370">
        <f>Flat!T$52-T225</f>
        <v>8.673876361954413</v>
      </c>
      <c r="U231" s="370">
        <f>Flat!U$52-U225</f>
        <v>12.046602024458643</v>
      </c>
      <c r="V231" s="370">
        <f>Flat!V$52-V225</f>
        <v>18.70252007791656</v>
      </c>
      <c r="W231" s="370">
        <f>Flat!W$52-W225</f>
        <v>10.235204809962472</v>
      </c>
      <c r="X231" s="370">
        <f>Flat!X$52-X225</f>
        <v>17.712068910643183</v>
      </c>
      <c r="Y231" s="370">
        <f>Flat!Y$52-Y225</f>
        <v>8.0771317098233872</v>
      </c>
      <c r="Z231" s="370">
        <f>Flat!Z$52-Z225</f>
        <v>10.28134974592507</v>
      </c>
      <c r="AA231" s="370">
        <f>Flat!AA$52-AA225</f>
        <v>4.4861918123920859</v>
      </c>
      <c r="AB231" s="370">
        <f>Flat!AB$52-AB225</f>
        <v>18.789334116252341</v>
      </c>
      <c r="AC231" s="370">
        <f>Flat!AC$52-AC225</f>
        <v>11.236664766220844</v>
      </c>
      <c r="AD231" s="370">
        <f>Flat!AD$52-AD225</f>
        <v>19.958343079206351</v>
      </c>
      <c r="AE231" s="370">
        <f>Flat!AE$52-AE225</f>
        <v>4.325686898098219</v>
      </c>
      <c r="AF231" s="370">
        <f>Flat!AF$52-AF225</f>
        <v>16.229141609817923</v>
      </c>
      <c r="AG231" s="370">
        <f>Flat!AG$52-AG225</f>
        <v>31.116236647594242</v>
      </c>
      <c r="AH231" s="370">
        <f>Flat!AH$52-AH225</f>
        <v>6.3103985955880546</v>
      </c>
      <c r="AI231" s="370">
        <f>Flat!AI$52-AI225</f>
        <v>32.669082697422525</v>
      </c>
      <c r="AJ231" s="370">
        <f>Flat!AJ$52-AJ225</f>
        <v>29.392685200207069</v>
      </c>
      <c r="AK231" s="370">
        <f>Flat!AK$52-AK225</f>
        <v>24.693343430381404</v>
      </c>
      <c r="AL231" s="370">
        <f>Flat!AL$52-AL225</f>
        <v>22.697361815328399</v>
      </c>
      <c r="AM231" s="370">
        <f>Flat!AM$52-AM225</f>
        <v>27.028797102312247</v>
      </c>
      <c r="AN231" s="371">
        <f>Flat!AN$52-AN225</f>
        <v>27.028797102312247</v>
      </c>
    </row>
    <row r="232" spans="1:40" s="5" customFormat="1">
      <c r="A232" s="155"/>
      <c r="B232" s="338" t="s">
        <v>7</v>
      </c>
      <c r="C232" s="368" t="s">
        <v>190</v>
      </c>
      <c r="D232" s="379">
        <f>Flat!D$53-D226</f>
        <v>11.426802732262018</v>
      </c>
      <c r="E232" s="379">
        <f>Flat!E$53-E226</f>
        <v>18.187411436759568</v>
      </c>
      <c r="F232" s="379">
        <f>Flat!F$53-F226</f>
        <v>5.4588224383595936</v>
      </c>
      <c r="G232" s="379">
        <f>Flat!G$53-G226</f>
        <v>11.132660076591044</v>
      </c>
      <c r="H232" s="379">
        <f>Flat!H$53-H226</f>
        <v>9.3931818609438551</v>
      </c>
      <c r="I232" s="379">
        <f>Flat!I$53-I226</f>
        <v>9.4742287790013862</v>
      </c>
      <c r="J232" s="379">
        <f>Flat!J$53-J226</f>
        <v>7.5988235306420187</v>
      </c>
      <c r="K232" s="379">
        <f>Flat!K$53-K226</f>
        <v>3.5365934929454674</v>
      </c>
      <c r="L232" s="379">
        <f>Flat!L$53-L226</f>
        <v>6.1241027967791624</v>
      </c>
      <c r="M232" s="379">
        <f>Flat!M$53-M226</f>
        <v>14.040811116160668</v>
      </c>
      <c r="N232" s="379">
        <f>Flat!N$53-N226</f>
        <v>5.3617644109231506</v>
      </c>
      <c r="O232" s="379">
        <f>Flat!O$53-O226</f>
        <v>6.4880972014562772</v>
      </c>
      <c r="P232" s="379">
        <f>Flat!P$53-P226</f>
        <v>9.313452982619939</v>
      </c>
      <c r="Q232" s="379">
        <f>Flat!Q$53-Q226</f>
        <v>5.6598385605337249</v>
      </c>
      <c r="R232" s="379">
        <f>Flat!R$53-R226</f>
        <v>10.986883223928423</v>
      </c>
      <c r="S232" s="379">
        <f>Flat!S$53-S226</f>
        <v>2.7268418516094997</v>
      </c>
      <c r="T232" s="379">
        <f>Flat!T$53-T226</f>
        <v>7.8551312523862222</v>
      </c>
      <c r="U232" s="379">
        <f>Flat!U$53-U226</f>
        <v>12.196234633491912</v>
      </c>
      <c r="V232" s="379">
        <f>Flat!V$53-V226</f>
        <v>3.6567949922633218</v>
      </c>
      <c r="W232" s="379">
        <f>Flat!W$53-W226</f>
        <v>6.6739315942187751</v>
      </c>
      <c r="X232" s="379">
        <f>Flat!X$53-X226</f>
        <v>3.8318552610705936</v>
      </c>
      <c r="Y232" s="379">
        <f>Flat!Y$53-Y226</f>
        <v>7.0926975898157387</v>
      </c>
      <c r="Z232" s="379">
        <f>Flat!Z$53-Z226</f>
        <v>7.4831650790323998</v>
      </c>
      <c r="AA232" s="379">
        <f>Flat!AA$53-AA226</f>
        <v>4.6193595589359688</v>
      </c>
      <c r="AB232" s="379">
        <f>Flat!AB$53-AB226</f>
        <v>9.0115071671732565</v>
      </c>
      <c r="AC232" s="379">
        <f>Flat!AC$53-AC226</f>
        <v>6.7643781806031171</v>
      </c>
      <c r="AD232" s="379">
        <f>Flat!AD$53-AD226</f>
        <v>13.109506493339623</v>
      </c>
      <c r="AE232" s="379">
        <f>Flat!AE$53-AE226</f>
        <v>4.4540902300473633</v>
      </c>
      <c r="AF232" s="379">
        <f>Flat!AF$53-AF226</f>
        <v>5.6446327790960069</v>
      </c>
      <c r="AG232" s="379">
        <f>Flat!AG$53-AG226</f>
        <v>11.723406435986327</v>
      </c>
      <c r="AH232" s="379">
        <f>Flat!AH$53-AH226</f>
        <v>4.1362089143449339</v>
      </c>
      <c r="AI232" s="379">
        <f>Flat!AI$53-AI226</f>
        <v>7.3407125171553105</v>
      </c>
      <c r="AJ232" s="379">
        <f>Flat!AJ$53-AJ226</f>
        <v>23.273823132359595</v>
      </c>
      <c r="AK232" s="379">
        <f>Flat!AK$53-AK226</f>
        <v>19.549149419974178</v>
      </c>
      <c r="AL232" s="379">
        <f>Flat!AL$53-AL226</f>
        <v>8.0589682925963544</v>
      </c>
      <c r="AM232" s="379">
        <f>Flat!AM$53-AM226</f>
        <v>21.402040642248537</v>
      </c>
      <c r="AN232" s="380">
        <f>Flat!AN$53-AN226</f>
        <v>21.402040642248537</v>
      </c>
    </row>
  </sheetData>
  <mergeCells count="7">
    <mergeCell ref="A202:B202"/>
    <mergeCell ref="A4:B4"/>
    <mergeCell ref="A37:B37"/>
    <mergeCell ref="A70:B70"/>
    <mergeCell ref="A103:B103"/>
    <mergeCell ref="A136:B136"/>
    <mergeCell ref="A169:B169"/>
  </mergeCell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9">
    <tabColor rgb="FFFFC000"/>
  </sheetPr>
  <dimension ref="A1:AY84"/>
  <sheetViews>
    <sheetView zoomScaleNormal="100" workbookViewId="0">
      <selection activeCell="H4" sqref="H4"/>
    </sheetView>
  </sheetViews>
  <sheetFormatPr defaultColWidth="9.109375" defaultRowHeight="14.4"/>
  <cols>
    <col min="1" max="1" width="2.6640625" customWidth="1"/>
    <col min="2" max="2" width="2" bestFit="1" customWidth="1"/>
    <col min="3" max="3" width="20.5546875" bestFit="1" customWidth="1"/>
    <col min="4" max="4" width="18.44140625" bestFit="1" customWidth="1"/>
    <col min="5" max="6" width="5" bestFit="1" customWidth="1"/>
    <col min="8" max="8" width="8.44140625" bestFit="1" customWidth="1"/>
    <col min="9" max="9" width="12.5546875" bestFit="1" customWidth="1"/>
    <col min="10" max="10" width="19.5546875" bestFit="1" customWidth="1"/>
    <col min="11" max="11" width="18.6640625" bestFit="1" customWidth="1"/>
    <col min="13" max="13" width="10.44140625" bestFit="1" customWidth="1"/>
    <col min="14" max="50" width="5.33203125" customWidth="1"/>
  </cols>
  <sheetData>
    <row r="1" spans="1:51" ht="21">
      <c r="A1" s="3" t="s">
        <v>626</v>
      </c>
    </row>
    <row r="2" spans="1:51">
      <c r="A2" s="135" t="s">
        <v>672</v>
      </c>
    </row>
    <row r="3" spans="1:51">
      <c r="B3" s="2"/>
      <c r="C3" s="2"/>
      <c r="D3" s="2"/>
      <c r="E3" s="2"/>
      <c r="F3" s="2"/>
      <c r="G3" s="564" t="s">
        <v>671</v>
      </c>
      <c r="H3" s="566"/>
      <c r="I3" s="2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0"/>
      <c r="AB3" s="480"/>
      <c r="AC3" s="480"/>
      <c r="AD3" s="480"/>
      <c r="AE3" s="480"/>
      <c r="AF3" s="480"/>
      <c r="AG3" s="480"/>
      <c r="AH3" s="480"/>
      <c r="AI3" s="480"/>
      <c r="AJ3" s="480"/>
      <c r="AK3" s="480"/>
      <c r="AL3" s="480"/>
      <c r="AM3" s="480"/>
      <c r="AN3" s="480"/>
      <c r="AO3" s="480"/>
      <c r="AP3" s="480"/>
      <c r="AQ3" s="480"/>
      <c r="AR3" s="480"/>
      <c r="AS3" s="480"/>
      <c r="AT3" s="480"/>
      <c r="AU3" s="2"/>
      <c r="AV3" s="2"/>
      <c r="AW3" s="2"/>
      <c r="AX3" s="2"/>
      <c r="AY3" s="2"/>
    </row>
    <row r="4" spans="1:51" ht="15" thickBot="1">
      <c r="B4" s="2"/>
      <c r="C4" s="2"/>
      <c r="D4" s="2"/>
      <c r="E4" s="2"/>
      <c r="F4" s="2"/>
      <c r="G4" s="539" t="s">
        <v>254</v>
      </c>
      <c r="H4" s="539" t="s">
        <v>554</v>
      </c>
      <c r="I4" s="539" t="s">
        <v>622</v>
      </c>
      <c r="J4" s="539" t="s">
        <v>621</v>
      </c>
      <c r="K4" s="539" t="s">
        <v>618</v>
      </c>
      <c r="L4" s="539" t="s">
        <v>546</v>
      </c>
      <c r="M4" s="557" t="s">
        <v>627</v>
      </c>
      <c r="N4" s="540" t="str">
        <f>'SubRes-RSD_MaxRetrofit'!N66</f>
        <v>AL</v>
      </c>
      <c r="O4" s="540" t="str">
        <f>'SubRes-RSD_MaxRetrofit'!O66</f>
        <v>AT</v>
      </c>
      <c r="P4" s="540" t="str">
        <f>'SubRes-RSD_MaxRetrofit'!P66</f>
        <v>BA</v>
      </c>
      <c r="Q4" s="540" t="str">
        <f>'SubRes-RSD_MaxRetrofit'!Q66</f>
        <v>BE</v>
      </c>
      <c r="R4" s="540" t="str">
        <f>'SubRes-RSD_MaxRetrofit'!R66</f>
        <v>BG</v>
      </c>
      <c r="S4" s="540" t="str">
        <f>'SubRes-RSD_MaxRetrofit'!S66</f>
        <v>CH</v>
      </c>
      <c r="T4" s="540" t="str">
        <f>'SubRes-RSD_MaxRetrofit'!T66</f>
        <v>CY</v>
      </c>
      <c r="U4" s="540" t="str">
        <f>'SubRes-RSD_MaxRetrofit'!U66</f>
        <v>CZ</v>
      </c>
      <c r="V4" s="540" t="str">
        <f>'SubRes-RSD_MaxRetrofit'!V66</f>
        <v>DE</v>
      </c>
      <c r="W4" s="540" t="str">
        <f>'SubRes-RSD_MaxRetrofit'!W66</f>
        <v>DK</v>
      </c>
      <c r="X4" s="540" t="str">
        <f>'SubRes-RSD_MaxRetrofit'!X66</f>
        <v>EE</v>
      </c>
      <c r="Y4" s="540" t="str">
        <f>'SubRes-RSD_MaxRetrofit'!Y66</f>
        <v>EL</v>
      </c>
      <c r="Z4" s="540" t="str">
        <f>'SubRes-RSD_MaxRetrofit'!Z66</f>
        <v>ES</v>
      </c>
      <c r="AA4" s="540" t="str">
        <f>'SubRes-RSD_MaxRetrofit'!AA66</f>
        <v>FI</v>
      </c>
      <c r="AB4" s="540" t="str">
        <f>'SubRes-RSD_MaxRetrofit'!AB66</f>
        <v>FR</v>
      </c>
      <c r="AC4" s="540" t="str">
        <f>'SubRes-RSD_MaxRetrofit'!AC66</f>
        <v>HR</v>
      </c>
      <c r="AD4" s="540" t="str">
        <f>'SubRes-RSD_MaxRetrofit'!AD66</f>
        <v>HU</v>
      </c>
      <c r="AE4" s="540" t="str">
        <f>'SubRes-RSD_MaxRetrofit'!AE66</f>
        <v>IE</v>
      </c>
      <c r="AF4" s="540" t="str">
        <f>'SubRes-RSD_MaxRetrofit'!AF66</f>
        <v>IS</v>
      </c>
      <c r="AG4" s="540" t="str">
        <f>'SubRes-RSD_MaxRetrofit'!AG66</f>
        <v>IT</v>
      </c>
      <c r="AH4" s="540" t="str">
        <f>'SubRes-RSD_MaxRetrofit'!AH66</f>
        <v>KS</v>
      </c>
      <c r="AI4" s="540" t="str">
        <f>'SubRes-RSD_MaxRetrofit'!AI66</f>
        <v>LT</v>
      </c>
      <c r="AJ4" s="540" t="str">
        <f>'SubRes-RSD_MaxRetrofit'!AJ66</f>
        <v>LU</v>
      </c>
      <c r="AK4" s="540" t="str">
        <f>'SubRes-RSD_MaxRetrofit'!AK66</f>
        <v>LV</v>
      </c>
      <c r="AL4" s="540" t="str">
        <f>'SubRes-RSD_MaxRetrofit'!AL66</f>
        <v>ME</v>
      </c>
      <c r="AM4" s="540" t="str">
        <f>'SubRes-RSD_MaxRetrofit'!AM66</f>
        <v>MK</v>
      </c>
      <c r="AN4" s="540" t="str">
        <f>'SubRes-RSD_MaxRetrofit'!AN66</f>
        <v>MT</v>
      </c>
      <c r="AO4" s="540" t="str">
        <f>'SubRes-RSD_MaxRetrofit'!AO66</f>
        <v>NL</v>
      </c>
      <c r="AP4" s="540" t="str">
        <f>'SubRes-RSD_MaxRetrofit'!AP66</f>
        <v>NO</v>
      </c>
      <c r="AQ4" s="540" t="str">
        <f>'SubRes-RSD_MaxRetrofit'!AQ66</f>
        <v>PL</v>
      </c>
      <c r="AR4" s="540" t="str">
        <f>'SubRes-RSD_MaxRetrofit'!AR66</f>
        <v>PT</v>
      </c>
      <c r="AS4" s="540" t="str">
        <f>'SubRes-RSD_MaxRetrofit'!AS66</f>
        <v>RO</v>
      </c>
      <c r="AT4" s="540" t="str">
        <f>'SubRes-RSD_MaxRetrofit'!AT66</f>
        <v>RS</v>
      </c>
      <c r="AU4" s="540" t="str">
        <f>'SubRes-RSD_MaxRetrofit'!AU66</f>
        <v>SE</v>
      </c>
      <c r="AV4" s="540" t="str">
        <f>'SubRes-RSD_MaxRetrofit'!AV66</f>
        <v>SI</v>
      </c>
      <c r="AW4" s="540" t="str">
        <f>'SubRes-RSD_MaxRetrofit'!AW66</f>
        <v>SK</v>
      </c>
      <c r="AX4" s="540" t="str">
        <f>'SubRes-RSD_MaxRetrofit'!AX66</f>
        <v>UK</v>
      </c>
      <c r="AY4" s="2"/>
    </row>
    <row r="5" spans="1:51">
      <c r="B5" s="523">
        <v>1</v>
      </c>
      <c r="C5" s="526">
        <v>1</v>
      </c>
      <c r="D5" s="526" t="str">
        <f>INDEX('SubRes-RSD_MaxRetrofit'!$I$65:$I$70,C5)</f>
        <v>Pre45</v>
      </c>
      <c r="E5" s="526" t="s">
        <v>628</v>
      </c>
      <c r="F5" s="2"/>
      <c r="G5" s="2" t="s">
        <v>629</v>
      </c>
      <c r="H5" s="2" t="s">
        <v>630</v>
      </c>
      <c r="I5" s="2" t="s">
        <v>512</v>
      </c>
      <c r="J5" s="5" t="s">
        <v>631</v>
      </c>
      <c r="K5" s="2" t="str">
        <f>"Bldg_"&amp;E5&amp;D5&amp;"-"&amp;INDEX('SubRes-RSD_MaxRetrofit'!$C$65:$C$67,B5)</f>
        <v>Bldg_FLTPre45-Win</v>
      </c>
      <c r="L5" s="2">
        <v>2020</v>
      </c>
      <c r="M5" s="2"/>
      <c r="N5" s="480">
        <f>'SubRes-RSD_MaxRetrofit'!N67</f>
        <v>52.739168560647769</v>
      </c>
      <c r="O5" s="480">
        <f>'SubRes-RSD_MaxRetrofit'!O67</f>
        <v>426.88055213555992</v>
      </c>
      <c r="P5" s="480">
        <f>'SubRes-RSD_MaxRetrofit'!P67</f>
        <v>79.510185717506019</v>
      </c>
      <c r="Q5" s="480">
        <f>'SubRes-RSD_MaxRetrofit'!Q67</f>
        <v>470.89406639831816</v>
      </c>
      <c r="R5" s="480">
        <f>'SubRes-RSD_MaxRetrofit'!R67</f>
        <v>195.8671606411277</v>
      </c>
      <c r="S5" s="480">
        <f>'SubRes-RSD_MaxRetrofit'!S67</f>
        <v>447.84190702457772</v>
      </c>
      <c r="T5" s="480">
        <f>'SubRes-RSD_MaxRetrofit'!T67</f>
        <v>2.5426748009718181</v>
      </c>
      <c r="U5" s="480">
        <f>'SubRes-RSD_MaxRetrofit'!U67</f>
        <v>553.47062423293596</v>
      </c>
      <c r="V5" s="480">
        <f>'SubRes-RSD_MaxRetrofit'!V67</f>
        <v>4572.4327834387923</v>
      </c>
      <c r="W5" s="480">
        <f>'SubRes-RSD_MaxRetrofit'!W67</f>
        <v>394.10243103245057</v>
      </c>
      <c r="X5" s="480">
        <f>'SubRes-RSD_MaxRetrofit'!X67</f>
        <v>91.537888851347205</v>
      </c>
      <c r="Y5" s="480">
        <f>'SubRes-RSD_MaxRetrofit'!Y67</f>
        <v>190.68902718918901</v>
      </c>
      <c r="Z5" s="480">
        <f>'SubRes-RSD_MaxRetrofit'!Z67</f>
        <v>1538.1678329068884</v>
      </c>
      <c r="AA5" s="480">
        <f>'SubRes-RSD_MaxRetrofit'!AA67</f>
        <v>156.1978807080441</v>
      </c>
      <c r="AB5" s="480">
        <f>'SubRes-RSD_MaxRetrofit'!AB67</f>
        <v>3136.7254014648984</v>
      </c>
      <c r="AC5" s="480">
        <f>'SubRes-RSD_MaxRetrofit'!AC67</f>
        <v>81.173032345013482</v>
      </c>
      <c r="AD5" s="480">
        <f>'SubRes-RSD_MaxRetrofit'!AD67</f>
        <v>295.53679069488578</v>
      </c>
      <c r="AE5" s="480">
        <f>'SubRes-RSD_MaxRetrofit'!AE67</f>
        <v>31.327020862816234</v>
      </c>
      <c r="AF5" s="480">
        <f>'SubRes-RSD_MaxRetrofit'!AF67</f>
        <v>9.4665630514884089</v>
      </c>
      <c r="AG5" s="480">
        <f>'SubRes-RSD_MaxRetrofit'!AG67</f>
        <v>4829.7260985748217</v>
      </c>
      <c r="AH5" s="480">
        <f>'SubRes-RSD_MaxRetrofit'!AH67</f>
        <v>44.537809726405577</v>
      </c>
      <c r="AI5" s="480">
        <f>'SubRes-RSD_MaxRetrofit'!AI67</f>
        <v>256.67024104732417</v>
      </c>
      <c r="AJ5" s="480">
        <f>'SubRes-RSD_MaxRetrofit'!AJ67</f>
        <v>19.252162893617022</v>
      </c>
      <c r="AK5" s="480">
        <f>'SubRes-RSD_MaxRetrofit'!AK67</f>
        <v>142.81512059319493</v>
      </c>
      <c r="AL5" s="480">
        <f>'SubRes-RSD_MaxRetrofit'!AL67</f>
        <v>16.050250811740536</v>
      </c>
      <c r="AM5" s="480">
        <f>'SubRes-RSD_MaxRetrofit'!AM67</f>
        <v>45.857106317917776</v>
      </c>
      <c r="AN5" s="480">
        <f>'SubRes-RSD_MaxRetrofit'!AN67</f>
        <v>7.7229494551607436</v>
      </c>
      <c r="AO5" s="480">
        <f>'SubRes-RSD_MaxRetrofit'!AO67</f>
        <v>479.97393801218868</v>
      </c>
      <c r="AP5" s="480">
        <f>'SubRes-RSD_MaxRetrofit'!AP67</f>
        <v>251.93643930050624</v>
      </c>
      <c r="AQ5" s="480">
        <f>'SubRes-RSD_MaxRetrofit'!AQ67</f>
        <v>1636.0838921174191</v>
      </c>
      <c r="AR5" s="480">
        <f>'SubRes-RSD_MaxRetrofit'!AR67</f>
        <v>210.84515230491107</v>
      </c>
      <c r="AS5" s="480">
        <f>'SubRes-RSD_MaxRetrofit'!AS67</f>
        <v>329.51833469999997</v>
      </c>
      <c r="AT5" s="480">
        <f>'SubRes-RSD_MaxRetrofit'!AT67</f>
        <v>152.35595533057008</v>
      </c>
      <c r="AU5" s="480">
        <f>'SubRes-RSD_MaxRetrofit'!AU67</f>
        <v>783.73120850317878</v>
      </c>
      <c r="AV5" s="480">
        <f>'SubRes-RSD_MaxRetrofit'!AV67</f>
        <v>155.75980789926879</v>
      </c>
      <c r="AW5" s="480">
        <f>'SubRes-RSD_MaxRetrofit'!AW67</f>
        <v>212.22796724117987</v>
      </c>
      <c r="AX5" s="480">
        <f>'SubRes-RSD_MaxRetrofit'!AX67</f>
        <v>1942.6772105200455</v>
      </c>
      <c r="AY5" s="2"/>
    </row>
    <row r="6" spans="1:51">
      <c r="B6" s="523">
        <v>1</v>
      </c>
      <c r="C6" s="526">
        <v>1</v>
      </c>
      <c r="D6" s="526" t="str">
        <f>INDEX('SubRes-RSD_MaxRetrofit'!$I$65:$I$70,C6)</f>
        <v>Pre45</v>
      </c>
      <c r="E6" s="526" t="s">
        <v>632</v>
      </c>
      <c r="F6" s="2"/>
      <c r="G6" s="2" t="s">
        <v>629</v>
      </c>
      <c r="H6" s="2" t="s">
        <v>630</v>
      </c>
      <c r="I6" s="2" t="s">
        <v>512</v>
      </c>
      <c r="J6" s="5" t="s">
        <v>631</v>
      </c>
      <c r="K6" s="2" t="str">
        <f>"Bldg_"&amp;E6&amp;D6&amp;"-"&amp;INDEX('SubRes-RSD_MaxRetrofit'!$C$65:$C$67,B6)</f>
        <v>Bldg_DETPre45-Win</v>
      </c>
      <c r="L6" s="2">
        <v>2020</v>
      </c>
      <c r="M6" s="2"/>
      <c r="N6" s="480">
        <f>'SubRes-RSD_MaxRetrofit'!N68</f>
        <v>22.891748480538716</v>
      </c>
      <c r="O6" s="480">
        <f>'SubRes-RSD_MaxRetrofit'!O68</f>
        <v>295.16062419070067</v>
      </c>
      <c r="P6" s="480">
        <f>'SubRes-RSD_MaxRetrofit'!P68</f>
        <v>65.411590087141235</v>
      </c>
      <c r="Q6" s="480">
        <f>'SubRes-RSD_MaxRetrofit'!Q68</f>
        <v>494.22454694164037</v>
      </c>
      <c r="R6" s="480">
        <f>'SubRes-RSD_MaxRetrofit'!R68</f>
        <v>155.49370045786091</v>
      </c>
      <c r="S6" s="480">
        <f>'SubRes-RSD_MaxRetrofit'!S68</f>
        <v>228.650637018819</v>
      </c>
      <c r="T6" s="480">
        <f>'SubRes-RSD_MaxRetrofit'!T68</f>
        <v>3.2215918458349959</v>
      </c>
      <c r="U6" s="480">
        <f>'SubRes-RSD_MaxRetrofit'!U68</f>
        <v>257.44502523096679</v>
      </c>
      <c r="V6" s="480">
        <f>'SubRes-RSD_MaxRetrofit'!V68</f>
        <v>1910.6637985410352</v>
      </c>
      <c r="W6" s="480">
        <f>'SubRes-RSD_MaxRetrofit'!W68</f>
        <v>368.50018018225222</v>
      </c>
      <c r="X6" s="480">
        <f>'SubRes-RSD_MaxRetrofit'!X68</f>
        <v>20.940127776042473</v>
      </c>
      <c r="Y6" s="480">
        <f>'SubRes-RSD_MaxRetrofit'!Y68</f>
        <v>82.769701676159826</v>
      </c>
      <c r="Z6" s="480">
        <f>'SubRes-RSD_MaxRetrofit'!Z68</f>
        <v>201.34423896837302</v>
      </c>
      <c r="AA6" s="480">
        <f>'SubRes-RSD_MaxRetrofit'!AA68</f>
        <v>111.65023072555439</v>
      </c>
      <c r="AB6" s="480">
        <f>'SubRes-RSD_MaxRetrofit'!AB68</f>
        <v>2148.6720895143894</v>
      </c>
      <c r="AC6" s="480">
        <f>'SubRes-RSD_MaxRetrofit'!AC68</f>
        <v>102.23827126167988</v>
      </c>
      <c r="AD6" s="480">
        <f>'SubRes-RSD_MaxRetrofit'!AD68</f>
        <v>345.4056736628205</v>
      </c>
      <c r="AE6" s="480">
        <f>'SubRes-RSD_MaxRetrofit'!AE68</f>
        <v>98.451963737097685</v>
      </c>
      <c r="AF6" s="480">
        <f>'SubRes-RSD_MaxRetrofit'!AF68</f>
        <v>6.1429929449196727</v>
      </c>
      <c r="AG6" s="480">
        <f>'SubRes-RSD_MaxRetrofit'!AG68</f>
        <v>598.28263118779432</v>
      </c>
      <c r="AH6" s="480">
        <f>'SubRes-RSD_MaxRetrofit'!AH68</f>
        <v>36.640449609229186</v>
      </c>
      <c r="AI6" s="480">
        <f>'SubRes-RSD_MaxRetrofit'!AI68</f>
        <v>92.199781704418712</v>
      </c>
      <c r="AJ6" s="480">
        <f>'SubRes-RSD_MaxRetrofit'!AJ68</f>
        <v>14.810399351764557</v>
      </c>
      <c r="AK6" s="480">
        <f>'SubRes-RSD_MaxRetrofit'!AK68</f>
        <v>45.690331045761816</v>
      </c>
      <c r="AL6" s="480">
        <f>'SubRes-RSD_MaxRetrofit'!AL68</f>
        <v>6.966706428248135</v>
      </c>
      <c r="AM6" s="480">
        <f>'SubRes-RSD_MaxRetrofit'!AM68</f>
        <v>33.189324103315371</v>
      </c>
      <c r="AN6" s="480">
        <f>'SubRes-RSD_MaxRetrofit'!AN68</f>
        <v>1.6869085072867203</v>
      </c>
      <c r="AO6" s="480">
        <f>'SubRes-RSD_MaxRetrofit'!AO68</f>
        <v>176.5269202005164</v>
      </c>
      <c r="AP6" s="480">
        <f>'SubRes-RSD_MaxRetrofit'!AP68</f>
        <v>101.41934085943784</v>
      </c>
      <c r="AQ6" s="480">
        <f>'SubRes-RSD_MaxRetrofit'!AQ68</f>
        <v>807.78881301796559</v>
      </c>
      <c r="AR6" s="480">
        <f>'SubRes-RSD_MaxRetrofit'!AR68</f>
        <v>167.8841493399743</v>
      </c>
      <c r="AS6" s="480">
        <f>'SubRes-RSD_MaxRetrofit'!AS68</f>
        <v>337.96513130850724</v>
      </c>
      <c r="AT6" s="480">
        <f>'SubRes-RSD_MaxRetrofit'!AT68</f>
        <v>125.3404857187227</v>
      </c>
      <c r="AU6" s="480">
        <f>'SubRes-RSD_MaxRetrofit'!AU68</f>
        <v>380.67209163992203</v>
      </c>
      <c r="AV6" s="480">
        <f>'SubRes-RSD_MaxRetrofit'!AV68</f>
        <v>65.847429831083915</v>
      </c>
      <c r="AW6" s="480">
        <f>'SubRes-RSD_MaxRetrofit'!AW68</f>
        <v>157.79324420795558</v>
      </c>
      <c r="AX6" s="480">
        <f>'SubRes-RSD_MaxRetrofit'!AX68</f>
        <v>1884.6922720259267</v>
      </c>
      <c r="AY6" s="2"/>
    </row>
    <row r="7" spans="1:51">
      <c r="B7" s="523">
        <v>1</v>
      </c>
      <c r="C7" s="526">
        <v>1</v>
      </c>
      <c r="D7" s="526" t="str">
        <f>INDEX('SubRes-RSD_MaxRetrofit'!$I$65:$I$70,C7)</f>
        <v>Pre45</v>
      </c>
      <c r="E7" s="526" t="s">
        <v>633</v>
      </c>
      <c r="F7" s="2"/>
      <c r="G7" s="2" t="s">
        <v>629</v>
      </c>
      <c r="H7" s="2" t="s">
        <v>630</v>
      </c>
      <c r="I7" s="2" t="s">
        <v>512</v>
      </c>
      <c r="J7" s="5" t="s">
        <v>631</v>
      </c>
      <c r="K7" s="2" t="str">
        <f>"Bldg_"&amp;E7&amp;D7&amp;"-"&amp;INDEX('SubRes-RSD_MaxRetrofit'!$C$65:$C$67,B7)</f>
        <v>Bldg_SDEPre45-Win</v>
      </c>
      <c r="L7" s="2">
        <v>2020</v>
      </c>
      <c r="M7" s="2"/>
      <c r="N7" s="480">
        <f>'SubRes-RSD_MaxRetrofit'!N69</f>
        <v>12.943465262360681</v>
      </c>
      <c r="O7" s="480">
        <f>'SubRes-RSD_MaxRetrofit'!O69</f>
        <v>136.78175267373942</v>
      </c>
      <c r="P7" s="480">
        <f>'SubRes-RSD_MaxRetrofit'!P69</f>
        <v>23.409284808583056</v>
      </c>
      <c r="Q7" s="480">
        <f>'SubRes-RSD_MaxRetrofit'!Q69</f>
        <v>824.59567266004137</v>
      </c>
      <c r="R7" s="480">
        <f>'SubRes-RSD_MaxRetrofit'!R69</f>
        <v>84.507445901011394</v>
      </c>
      <c r="S7" s="480">
        <f>'SubRes-RSD_MaxRetrofit'!S69</f>
        <v>256.51142892447353</v>
      </c>
      <c r="T7" s="480">
        <f>'SubRes-RSD_MaxRetrofit'!T69</f>
        <v>3.2901363531931875</v>
      </c>
      <c r="U7" s="480">
        <f>'SubRes-RSD_MaxRetrofit'!U69</f>
        <v>152.5984625360972</v>
      </c>
      <c r="V7" s="480">
        <f>'SubRes-RSD_MaxRetrofit'!V69</f>
        <v>1997.5121530201732</v>
      </c>
      <c r="W7" s="480">
        <f>'SubRes-RSD_MaxRetrofit'!W69</f>
        <v>196.18923778529717</v>
      </c>
      <c r="X7" s="480">
        <f>'SubRes-RSD_MaxRetrofit'!X69</f>
        <v>9.7146733726103118</v>
      </c>
      <c r="Y7" s="480">
        <f>'SubRes-RSD_MaxRetrofit'!Y69</f>
        <v>46.799691134651134</v>
      </c>
      <c r="Z7" s="480">
        <f>'SubRes-RSD_MaxRetrofit'!Z69</f>
        <v>446.36241212473851</v>
      </c>
      <c r="AA7" s="480">
        <f>'SubRes-RSD_MaxRetrofit'!AA69</f>
        <v>84.388177566401509</v>
      </c>
      <c r="AB7" s="480">
        <f>'SubRes-RSD_MaxRetrofit'!AB69</f>
        <v>1910.4708850207126</v>
      </c>
      <c r="AC7" s="480">
        <f>'SubRes-RSD_MaxRetrofit'!AC69</f>
        <v>36.588696393306648</v>
      </c>
      <c r="AD7" s="480">
        <f>'SubRes-RSD_MaxRetrofit'!AD69</f>
        <v>127.56766664229369</v>
      </c>
      <c r="AE7" s="480">
        <f>'SubRes-RSD_MaxRetrofit'!AE69</f>
        <v>148.08803140008607</v>
      </c>
      <c r="AF7" s="480">
        <f>'SubRes-RSD_MaxRetrofit'!AF69</f>
        <v>5.7381538683203814</v>
      </c>
      <c r="AG7" s="480">
        <f>'SubRes-RSD_MaxRetrofit'!AG69</f>
        <v>1063.9912702373838</v>
      </c>
      <c r="AH7" s="480">
        <f>'SubRes-RSD_MaxRetrofit'!AH69</f>
        <v>13.112763644398795</v>
      </c>
      <c r="AI7" s="480">
        <f>'SubRes-RSD_MaxRetrofit'!AI69</f>
        <v>46.623753248257195</v>
      </c>
      <c r="AJ7" s="480">
        <f>'SubRes-RSD_MaxRetrofit'!AJ69</f>
        <v>19.164005754618422</v>
      </c>
      <c r="AK7" s="480">
        <f>'SubRes-RSD_MaxRetrofit'!AK69</f>
        <v>18.247396361043236</v>
      </c>
      <c r="AL7" s="480">
        <f>'SubRes-RSD_MaxRetrofit'!AL69</f>
        <v>3.9391190552244133</v>
      </c>
      <c r="AM7" s="480">
        <f>'SubRes-RSD_MaxRetrofit'!AM69</f>
        <v>18.037676143106179</v>
      </c>
      <c r="AN7" s="480">
        <f>'SubRes-RSD_MaxRetrofit'!AN69</f>
        <v>21.554942037552536</v>
      </c>
      <c r="AO7" s="480">
        <f>'SubRes-RSD_MaxRetrofit'!AO69</f>
        <v>932.21469278729489</v>
      </c>
      <c r="AP7" s="480">
        <f>'SubRes-RSD_MaxRetrofit'!AP69</f>
        <v>79.656788722795696</v>
      </c>
      <c r="AQ7" s="480">
        <f>'SubRes-RSD_MaxRetrofit'!AQ69</f>
        <v>303.12729486461518</v>
      </c>
      <c r="AR7" s="480">
        <f>'SubRes-RSD_MaxRetrofit'!AR69</f>
        <v>135.52716735511473</v>
      </c>
      <c r="AS7" s="480">
        <f>'SubRes-RSD_MaxRetrofit'!AS69</f>
        <v>97.060233991492765</v>
      </c>
      <c r="AT7" s="480">
        <f>'SubRes-RSD_MaxRetrofit'!AT69</f>
        <v>44.856440950707238</v>
      </c>
      <c r="AU7" s="480">
        <f>'SubRes-RSD_MaxRetrofit'!AU69</f>
        <v>182.62480285689929</v>
      </c>
      <c r="AV7" s="480">
        <f>'SubRes-RSD_MaxRetrofit'!AV69</f>
        <v>21.899708269647281</v>
      </c>
      <c r="AW7" s="480">
        <f>'SubRes-RSD_MaxRetrofit'!AW69</f>
        <v>46.958510550864531</v>
      </c>
      <c r="AX7" s="480">
        <f>'SubRes-RSD_MaxRetrofit'!AX69</f>
        <v>6543.194195454028</v>
      </c>
      <c r="AY7" s="2"/>
    </row>
    <row r="8" spans="1:51">
      <c r="B8" s="523">
        <v>1</v>
      </c>
      <c r="C8" s="526">
        <f t="shared" ref="C8:C22" si="0">C5+1</f>
        <v>2</v>
      </c>
      <c r="D8" s="526" t="str">
        <f>INDEX('SubRes-RSD_MaxRetrofit'!$I$65:$I$70,C8)</f>
        <v>Pre69</v>
      </c>
      <c r="E8" s="526" t="str">
        <f t="shared" ref="E8:E58" si="1">E5</f>
        <v>FLT</v>
      </c>
      <c r="F8" s="2"/>
      <c r="G8" s="2" t="s">
        <v>629</v>
      </c>
      <c r="H8" s="2" t="s">
        <v>630</v>
      </c>
      <c r="I8" s="2" t="s">
        <v>512</v>
      </c>
      <c r="J8" s="5" t="s">
        <v>631</v>
      </c>
      <c r="K8" s="2" t="str">
        <f>"Bldg_"&amp;E8&amp;D8&amp;"-"&amp;INDEX('SubRes-RSD_MaxRetrofit'!$C$65:$C$67,B8)</f>
        <v>Bldg_FLTPre69-Win</v>
      </c>
      <c r="L8" s="2">
        <v>2020</v>
      </c>
      <c r="M8" s="2"/>
      <c r="N8" s="480">
        <f>'SubRes-RSD_MaxRetrofit'!N70</f>
        <v>191.93680774504145</v>
      </c>
      <c r="O8" s="480">
        <f>'SubRes-RSD_MaxRetrofit'!O70</f>
        <v>515.04262112180743</v>
      </c>
      <c r="P8" s="480">
        <f>'SubRes-RSD_MaxRetrofit'!P70</f>
        <v>181.53050099523071</v>
      </c>
      <c r="Q8" s="480">
        <f>'SubRes-RSD_MaxRetrofit'!Q70</f>
        <v>261.60781454879395</v>
      </c>
      <c r="R8" s="480">
        <f>'SubRes-RSD_MaxRetrofit'!R70</f>
        <v>405.47518103273359</v>
      </c>
      <c r="S8" s="480">
        <f>'SubRes-RSD_MaxRetrofit'!S70</f>
        <v>540.33304747244563</v>
      </c>
      <c r="T8" s="480">
        <f>'SubRes-RSD_MaxRetrofit'!T70</f>
        <v>8.4717928845389423</v>
      </c>
      <c r="U8" s="480">
        <f>'SubRes-RSD_MaxRetrofit'!U70</f>
        <v>751.69863269096174</v>
      </c>
      <c r="V8" s="480">
        <f>'SubRes-RSD_MaxRetrofit'!V70</f>
        <v>6940.5184375470717</v>
      </c>
      <c r="W8" s="480">
        <f>'SubRes-RSD_MaxRetrofit'!W70</f>
        <v>286.17472420440134</v>
      </c>
      <c r="X8" s="480">
        <f>'SubRes-RSD_MaxRetrofit'!X70</f>
        <v>135.32120899748926</v>
      </c>
      <c r="Y8" s="480">
        <f>'SubRes-RSD_MaxRetrofit'!Y70</f>
        <v>693.98597189888676</v>
      </c>
      <c r="Z8" s="480">
        <f>'SubRes-RSD_MaxRetrofit'!Z70</f>
        <v>2734.3004349620101</v>
      </c>
      <c r="AA8" s="480">
        <f>'SubRes-RSD_MaxRetrofit'!AA70</f>
        <v>285.688707956717</v>
      </c>
      <c r="AB8" s="480">
        <f>'SubRes-RSD_MaxRetrofit'!AB70</f>
        <v>2121.5340000000001</v>
      </c>
      <c r="AC8" s="480">
        <f>'SubRes-RSD_MaxRetrofit'!AC70</f>
        <v>147.48670391096834</v>
      </c>
      <c r="AD8" s="480">
        <f>'SubRes-RSD_MaxRetrofit'!AD70</f>
        <v>398.1831531074975</v>
      </c>
      <c r="AE8" s="480">
        <f>'SubRes-RSD_MaxRetrofit'!AE70</f>
        <v>28.426152223949444</v>
      </c>
      <c r="AF8" s="480">
        <f>'SubRes-RSD_MaxRetrofit'!AF70</f>
        <v>17.314512557475691</v>
      </c>
      <c r="AG8" s="480">
        <f>'SubRes-RSD_MaxRetrofit'!AG70</f>
        <v>6774.6830123077498</v>
      </c>
      <c r="AH8" s="480">
        <f>'SubRes-RSD_MaxRetrofit'!AH70</f>
        <v>101.68471925836</v>
      </c>
      <c r="AI8" s="480">
        <f>'SubRes-RSD_MaxRetrofit'!AI70</f>
        <v>274.29610281756123</v>
      </c>
      <c r="AJ8" s="480">
        <f>'SubRes-RSD_MaxRetrofit'!AJ70</f>
        <v>17.707211936170214</v>
      </c>
      <c r="AK8" s="480">
        <f>'SubRes-RSD_MaxRetrofit'!AK70</f>
        <v>173.20295378351014</v>
      </c>
      <c r="AL8" s="480">
        <f>'SubRes-RSD_MaxRetrofit'!AL70</f>
        <v>36.644488308783671</v>
      </c>
      <c r="AM8" s="480">
        <f>'SubRes-RSD_MaxRetrofit'!AM70</f>
        <v>94.931270893150014</v>
      </c>
      <c r="AN8" s="480">
        <f>'SubRes-RSD_MaxRetrofit'!AN70</f>
        <v>8.0967860205301729</v>
      </c>
      <c r="AO8" s="480">
        <f>'SubRes-RSD_MaxRetrofit'!AO70</f>
        <v>540.21171597759201</v>
      </c>
      <c r="AP8" s="480">
        <f>'SubRes-RSD_MaxRetrofit'!AP70</f>
        <v>335.17517555977088</v>
      </c>
      <c r="AQ8" s="480">
        <f>'SubRes-RSD_MaxRetrofit'!AQ70</f>
        <v>1815.4020952512292</v>
      </c>
      <c r="AR8" s="480">
        <f>'SubRes-RSD_MaxRetrofit'!AR70</f>
        <v>285.22065045017092</v>
      </c>
      <c r="AS8" s="480">
        <f>'SubRes-RSD_MaxRetrofit'!AS70</f>
        <v>954.79116533699994</v>
      </c>
      <c r="AT8" s="480">
        <f>'SubRes-RSD_MaxRetrofit'!AT70</f>
        <v>347.84540686434332</v>
      </c>
      <c r="AU8" s="480">
        <f>'SubRes-RSD_MaxRetrofit'!AU70</f>
        <v>710.7822987937368</v>
      </c>
      <c r="AV8" s="480">
        <f>'SubRes-RSD_MaxRetrofit'!AV70</f>
        <v>104.11454124166788</v>
      </c>
      <c r="AW8" s="480">
        <f>'SubRes-RSD_MaxRetrofit'!AW70</f>
        <v>272.68034493927127</v>
      </c>
      <c r="AX8" s="480">
        <f>'SubRes-RSD_MaxRetrofit'!AX70</f>
        <v>1222.398110288827</v>
      </c>
      <c r="AY8" s="2"/>
    </row>
    <row r="9" spans="1:51">
      <c r="B9" s="523">
        <v>1</v>
      </c>
      <c r="C9" s="526">
        <f t="shared" si="0"/>
        <v>2</v>
      </c>
      <c r="D9" s="526" t="str">
        <f>INDEX('SubRes-RSD_MaxRetrofit'!$I$65:$I$70,C9)</f>
        <v>Pre69</v>
      </c>
      <c r="E9" s="526" t="str">
        <f t="shared" si="1"/>
        <v>DET</v>
      </c>
      <c r="F9" s="2"/>
      <c r="G9" s="2" t="s">
        <v>629</v>
      </c>
      <c r="H9" s="2" t="s">
        <v>630</v>
      </c>
      <c r="I9" s="2" t="s">
        <v>512</v>
      </c>
      <c r="J9" s="5" t="s">
        <v>631</v>
      </c>
      <c r="K9" s="2" t="str">
        <f>"Bldg_"&amp;E9&amp;D9&amp;"-"&amp;INDEX('SubRes-RSD_MaxRetrofit'!$C$65:$C$67,B9)</f>
        <v>Bldg_DETPre69-Win</v>
      </c>
      <c r="L9" s="2">
        <v>2020</v>
      </c>
      <c r="M9" s="2"/>
      <c r="N9" s="480">
        <f>'SubRes-RSD_MaxRetrofit'!N71</f>
        <v>83.311308216858961</v>
      </c>
      <c r="O9" s="480">
        <f>'SubRes-RSD_MaxRetrofit'!O71</f>
        <v>356.11906135009821</v>
      </c>
      <c r="P9" s="480">
        <f>'SubRes-RSD_MaxRetrofit'!P71</f>
        <v>149.34185616924091</v>
      </c>
      <c r="Q9" s="480">
        <f>'SubRes-RSD_MaxRetrofit'!Q71</f>
        <v>274.56919262262369</v>
      </c>
      <c r="R9" s="480">
        <f>'SubRes-RSD_MaxRetrofit'!R71</f>
        <v>321.89590197879232</v>
      </c>
      <c r="S9" s="480">
        <f>'SubRes-RSD_MaxRetrofit'!S71</f>
        <v>275.8730113662948</v>
      </c>
      <c r="T9" s="480">
        <f>'SubRes-RSD_MaxRetrofit'!T71</f>
        <v>10.733837793964945</v>
      </c>
      <c r="U9" s="480">
        <f>'SubRes-RSD_MaxRetrofit'!U71</f>
        <v>349.65012592567479</v>
      </c>
      <c r="V9" s="480">
        <f>'SubRes-RSD_MaxRetrofit'!V71</f>
        <v>2900.2060718658772</v>
      </c>
      <c r="W9" s="480">
        <f>'SubRes-RSD_MaxRetrofit'!W71</f>
        <v>267.58382879461351</v>
      </c>
      <c r="X9" s="480">
        <f>'SubRes-RSD_MaxRetrofit'!X71</f>
        <v>30.955961982230814</v>
      </c>
      <c r="Y9" s="480">
        <f>'SubRes-RSD_MaxRetrofit'!Y71</f>
        <v>301.22872148548709</v>
      </c>
      <c r="Z9" s="480">
        <f>'SubRes-RSD_MaxRetrofit'!Z71</f>
        <v>357.91649546323816</v>
      </c>
      <c r="AA9" s="480">
        <f>'SubRes-RSD_MaxRetrofit'!AA71</f>
        <v>204.21026210127249</v>
      </c>
      <c r="AB9" s="480">
        <f>'SubRes-RSD_MaxRetrofit'!AB71</f>
        <v>1453.261063473054</v>
      </c>
      <c r="AC9" s="480">
        <f>'SubRes-RSD_MaxRetrofit'!AC71</f>
        <v>185.76102439847986</v>
      </c>
      <c r="AD9" s="480">
        <f>'SubRes-RSD_MaxRetrofit'!AD71</f>
        <v>465.37258497292464</v>
      </c>
      <c r="AE9" s="480">
        <f>'SubRes-RSD_MaxRetrofit'!AE71</f>
        <v>89.335354299818349</v>
      </c>
      <c r="AF9" s="480">
        <f>'SubRes-RSD_MaxRetrofit'!AF71</f>
        <v>11.235643591743999</v>
      </c>
      <c r="AG9" s="480">
        <f>'SubRes-RSD_MaxRetrofit'!AG71</f>
        <v>839.21429400784496</v>
      </c>
      <c r="AH9" s="480">
        <f>'SubRes-RSD_MaxRetrofit'!AH71</f>
        <v>83.654177313654912</v>
      </c>
      <c r="AI9" s="480">
        <f>'SubRes-RSD_MaxRetrofit'!AI71</f>
        <v>98.531254340034806</v>
      </c>
      <c r="AJ9" s="480">
        <f>'SubRes-RSD_MaxRetrofit'!AJ71</f>
        <v>13.621891817046759</v>
      </c>
      <c r="AK9" s="480">
        <f>'SubRes-RSD_MaxRetrofit'!AK71</f>
        <v>55.412201898525339</v>
      </c>
      <c r="AL9" s="480">
        <f>'SubRes-RSD_MaxRetrofit'!AL71</f>
        <v>15.905757190655534</v>
      </c>
      <c r="AM9" s="480">
        <f>'SubRes-RSD_MaxRetrofit'!AM71</f>
        <v>68.70701119624087</v>
      </c>
      <c r="AN9" s="480">
        <f>'SubRes-RSD_MaxRetrofit'!AN71</f>
        <v>1.7685648856066809</v>
      </c>
      <c r="AO9" s="480">
        <f>'SubRes-RSD_MaxRetrofit'!AO71</f>
        <v>198.68143439767087</v>
      </c>
      <c r="AP9" s="480">
        <f>'SubRes-RSD_MaxRetrofit'!AP71</f>
        <v>134.92786304394681</v>
      </c>
      <c r="AQ9" s="480">
        <f>'SubRes-RSD_MaxRetrofit'!AQ71</f>
        <v>896.32414984260026</v>
      </c>
      <c r="AR9" s="480">
        <f>'SubRes-RSD_MaxRetrofit'!AR71</f>
        <v>227.10518004120016</v>
      </c>
      <c r="AS9" s="480">
        <f>'SubRes-RSD_MaxRetrofit'!AS71</f>
        <v>979.2660607462152</v>
      </c>
      <c r="AT9" s="480">
        <f>'SubRes-RSD_MaxRetrofit'!AT71</f>
        <v>286.16611773924791</v>
      </c>
      <c r="AU9" s="480">
        <f>'SubRes-RSD_MaxRetrofit'!AU71</f>
        <v>345.2395176392244</v>
      </c>
      <c r="AV9" s="480">
        <f>'SubRes-RSD_MaxRetrofit'!AV71</f>
        <v>44.014402953294862</v>
      </c>
      <c r="AW9" s="480">
        <f>'SubRes-RSD_MaxRetrofit'!AW71</f>
        <v>202.74008566842264</v>
      </c>
      <c r="AX9" s="480">
        <f>'SubRes-RSD_MaxRetrofit'!AX71</f>
        <v>1185.9120286811417</v>
      </c>
      <c r="AY9" s="2"/>
    </row>
    <row r="10" spans="1:51">
      <c r="B10" s="523">
        <v>1</v>
      </c>
      <c r="C10" s="526">
        <f t="shared" si="0"/>
        <v>2</v>
      </c>
      <c r="D10" s="526" t="str">
        <f>INDEX('SubRes-RSD_MaxRetrofit'!$I$65:$I$70,C10)</f>
        <v>Pre69</v>
      </c>
      <c r="E10" s="526" t="str">
        <f t="shared" si="1"/>
        <v>SDE</v>
      </c>
      <c r="F10" s="2"/>
      <c r="G10" s="2" t="s">
        <v>629</v>
      </c>
      <c r="H10" s="2" t="s">
        <v>630</v>
      </c>
      <c r="I10" s="2" t="s">
        <v>512</v>
      </c>
      <c r="J10" s="5" t="s">
        <v>631</v>
      </c>
      <c r="K10" s="2" t="str">
        <f>"Bldg_"&amp;E10&amp;D10&amp;"-"&amp;INDEX('SubRes-RSD_MaxRetrofit'!$C$65:$C$67,B10)</f>
        <v>Bldg_SDEPre69-Win</v>
      </c>
      <c r="L10" s="2">
        <v>2020</v>
      </c>
      <c r="M10" s="2"/>
      <c r="N10" s="480">
        <f>'SubRes-RSD_MaxRetrofit'!N72</f>
        <v>47.105926608597841</v>
      </c>
      <c r="O10" s="480">
        <f>'SubRes-RSD_MaxRetrofit'!O72</f>
        <v>165.03078452809439</v>
      </c>
      <c r="P10" s="480">
        <f>'SubRes-RSD_MaxRetrofit'!P72</f>
        <v>53.445972498923489</v>
      </c>
      <c r="Q10" s="480">
        <f>'SubRes-RSD_MaxRetrofit'!Q72</f>
        <v>458.10870682858234</v>
      </c>
      <c r="R10" s="480">
        <f>'SubRes-RSD_MaxRetrofit'!R72</f>
        <v>174.94342498847413</v>
      </c>
      <c r="S10" s="480">
        <f>'SubRes-RSD_MaxRetrofit'!S72</f>
        <v>309.48779006218803</v>
      </c>
      <c r="T10" s="480">
        <f>'SubRes-RSD_MaxRetrofit'!T72</f>
        <v>10.962217321496114</v>
      </c>
      <c r="U10" s="480">
        <f>'SubRes-RSD_MaxRetrofit'!U72</f>
        <v>207.2522923833636</v>
      </c>
      <c r="V10" s="480">
        <f>'SubRes-RSD_MaxRetrofit'!V72</f>
        <v>3032.0336205870531</v>
      </c>
      <c r="W10" s="480">
        <f>'SubRes-RSD_MaxRetrofit'!W72</f>
        <v>142.46144300098516</v>
      </c>
      <c r="X10" s="480">
        <f>'SubRes-RSD_MaxRetrofit'!X72</f>
        <v>14.361281020279904</v>
      </c>
      <c r="Y10" s="480">
        <f>'SubRes-RSD_MaxRetrofit'!Y72</f>
        <v>170.32091261562596</v>
      </c>
      <c r="Z10" s="480">
        <f>'SubRes-RSD_MaxRetrofit'!Z72</f>
        <v>793.46928957475188</v>
      </c>
      <c r="AA10" s="480">
        <f>'SubRes-RSD_MaxRetrofit'!AA72</f>
        <v>154.34748094201046</v>
      </c>
      <c r="AB10" s="480">
        <f>'SubRes-RSD_MaxRetrofit'!AB72</f>
        <v>1292.1529365269462</v>
      </c>
      <c r="AC10" s="480">
        <f>'SubRes-RSD_MaxRetrofit'!AC72</f>
        <v>66.479544690551833</v>
      </c>
      <c r="AD10" s="480">
        <f>'SubRes-RSD_MaxRetrofit'!AD72</f>
        <v>171.87469491957785</v>
      </c>
      <c r="AE10" s="480">
        <f>'SubRes-RSD_MaxRetrofit'!AE72</f>
        <v>134.37514347623221</v>
      </c>
      <c r="AF10" s="480">
        <f>'SubRes-RSD_MaxRetrofit'!AF72</f>
        <v>10.495185704609007</v>
      </c>
      <c r="AG10" s="480">
        <f>'SubRes-RSD_MaxRetrofit'!AG72</f>
        <v>1492.4663296844055</v>
      </c>
      <c r="AH10" s="480">
        <f>'SubRes-RSD_MaxRetrofit'!AH72</f>
        <v>29.937881949578543</v>
      </c>
      <c r="AI10" s="480">
        <f>'SubRes-RSD_MaxRetrofit'!AI72</f>
        <v>49.82546384240397</v>
      </c>
      <c r="AJ10" s="480">
        <f>'SubRes-RSD_MaxRetrofit'!AJ72</f>
        <v>17.626129246783027</v>
      </c>
      <c r="AK10" s="480">
        <f>'SubRes-RSD_MaxRetrofit'!AK72</f>
        <v>22.130030317964515</v>
      </c>
      <c r="AL10" s="480">
        <f>'SubRes-RSD_MaxRetrofit'!AL72</f>
        <v>8.9934421498566355</v>
      </c>
      <c r="AM10" s="480">
        <f>'SubRes-RSD_MaxRetrofit'!AM72</f>
        <v>37.340766954478738</v>
      </c>
      <c r="AN10" s="480">
        <f>'SubRes-RSD_MaxRetrofit'!AN72</f>
        <v>22.598329093863143</v>
      </c>
      <c r="AO10" s="480">
        <f>'SubRes-RSD_MaxRetrofit'!AO72</f>
        <v>1049.2096736247372</v>
      </c>
      <c r="AP10" s="480">
        <f>'SubRes-RSD_MaxRetrofit'!AP72</f>
        <v>105.97505552916252</v>
      </c>
      <c r="AQ10" s="480">
        <f>'SubRes-RSD_MaxRetrofit'!AQ72</f>
        <v>336.35067790617035</v>
      </c>
      <c r="AR10" s="480">
        <f>'SubRes-RSD_MaxRetrofit'!AR72</f>
        <v>183.33429250862898</v>
      </c>
      <c r="AS10" s="480">
        <f>'SubRes-RSD_MaxRetrofit'!AS72</f>
        <v>281.23550091678493</v>
      </c>
      <c r="AT10" s="480">
        <f>'SubRes-RSD_MaxRetrofit'!AT72</f>
        <v>102.41218939640885</v>
      </c>
      <c r="AU10" s="480">
        <f>'SubRes-RSD_MaxRetrofit'!AU72</f>
        <v>165.62627056703889</v>
      </c>
      <c r="AV10" s="480">
        <f>'SubRes-RSD_MaxRetrofit'!AV72</f>
        <v>14.638423805037259</v>
      </c>
      <c r="AW10" s="480">
        <f>'SubRes-RSD_MaxRetrofit'!AW72</f>
        <v>60.33447439230612</v>
      </c>
      <c r="AX10" s="480">
        <f>'SubRes-RSD_MaxRetrofit'!AX72</f>
        <v>4117.1987690300311</v>
      </c>
      <c r="AY10" s="2"/>
    </row>
    <row r="11" spans="1:51">
      <c r="B11" s="523">
        <v>1</v>
      </c>
      <c r="C11" s="526">
        <f t="shared" si="0"/>
        <v>3</v>
      </c>
      <c r="D11" s="526" t="str">
        <f>INDEX('SubRes-RSD_MaxRetrofit'!$I$65:$I$70,C11)</f>
        <v>Pre79</v>
      </c>
      <c r="E11" s="526" t="str">
        <f t="shared" si="1"/>
        <v>FLT</v>
      </c>
      <c r="F11" s="2"/>
      <c r="G11" s="2" t="s">
        <v>629</v>
      </c>
      <c r="H11" s="2" t="s">
        <v>630</v>
      </c>
      <c r="I11" s="2" t="s">
        <v>512</v>
      </c>
      <c r="J11" s="5" t="s">
        <v>631</v>
      </c>
      <c r="K11" s="2" t="str">
        <f>"Bldg_"&amp;E11&amp;D11&amp;"-"&amp;INDEX('SubRes-RSD_MaxRetrofit'!$C$65:$C$67,B11)</f>
        <v>Bldg_FLTPre79-Win</v>
      </c>
      <c r="L11" s="2">
        <v>2020</v>
      </c>
      <c r="M11" s="2"/>
      <c r="N11" s="480">
        <f>'SubRes-RSD_MaxRetrofit'!N73</f>
        <v>152.9384031498299</v>
      </c>
      <c r="O11" s="480">
        <f>'SubRes-RSD_MaxRetrofit'!O73</f>
        <v>265.00259735559922</v>
      </c>
      <c r="P11" s="480">
        <f>'SubRes-RSD_MaxRetrofit'!P73</f>
        <v>135.53199998502913</v>
      </c>
      <c r="Q11" s="480">
        <f>'SubRes-RSD_MaxRetrofit'!Q73</f>
        <v>141.57894179730027</v>
      </c>
      <c r="R11" s="480">
        <f>'SubRes-RSD_MaxRetrofit'!R73</f>
        <v>235.09046348242146</v>
      </c>
      <c r="S11" s="480">
        <f>'SubRes-RSD_MaxRetrofit'!S73</f>
        <v>278.01516834739789</v>
      </c>
      <c r="T11" s="480">
        <f>'SubRes-RSD_MaxRetrofit'!T73</f>
        <v>11.468502244637412</v>
      </c>
      <c r="U11" s="480">
        <f>'SubRes-RSD_MaxRetrofit'!U73</f>
        <v>308.0105691065101</v>
      </c>
      <c r="V11" s="480">
        <f>'SubRes-RSD_MaxRetrofit'!V73</f>
        <v>3577.4769678543789</v>
      </c>
      <c r="W11" s="480">
        <f>'SubRes-RSD_MaxRetrofit'!W73</f>
        <v>176.77417608504288</v>
      </c>
      <c r="X11" s="480">
        <f>'SubRes-RSD_MaxRetrofit'!X73</f>
        <v>105.1121772319657</v>
      </c>
      <c r="Y11" s="480">
        <f>'SubRes-RSD_MaxRetrofit'!Y73</f>
        <v>552.97942899824238</v>
      </c>
      <c r="Z11" s="480">
        <f>'SubRes-RSD_MaxRetrofit'!Z73</f>
        <v>2257.564510503491</v>
      </c>
      <c r="AA11" s="480">
        <f>'SubRes-RSD_MaxRetrofit'!AA73</f>
        <v>226.93505876276029</v>
      </c>
      <c r="AB11" s="480">
        <f>'SubRes-RSD_MaxRetrofit'!AB73</f>
        <v>2343.409095381699</v>
      </c>
      <c r="AC11" s="480">
        <f>'SubRes-RSD_MaxRetrofit'!AC73</f>
        <v>113.92735707285915</v>
      </c>
      <c r="AD11" s="480">
        <f>'SubRes-RSD_MaxRetrofit'!AD73</f>
        <v>238.80967110302882</v>
      </c>
      <c r="AE11" s="480">
        <f>'SubRes-RSD_MaxRetrofit'!AE73</f>
        <v>24.022171570852088</v>
      </c>
      <c r="AF11" s="480">
        <f>'SubRes-RSD_MaxRetrofit'!AF73</f>
        <v>13.753675995043519</v>
      </c>
      <c r="AG11" s="480">
        <f>'SubRes-RSD_MaxRetrofit'!AG73</f>
        <v>3832.8595945806114</v>
      </c>
      <c r="AH11" s="480">
        <f>'SubRes-RSD_MaxRetrofit'!AH73</f>
        <v>75.918555247990057</v>
      </c>
      <c r="AI11" s="480">
        <f>'SubRes-RSD_MaxRetrofit'!AI73</f>
        <v>180.5584525040924</v>
      </c>
      <c r="AJ11" s="480">
        <f>'SubRes-RSD_MaxRetrofit'!AJ73</f>
        <v>9.5621806170212764</v>
      </c>
      <c r="AK11" s="480">
        <f>'SubRes-RSD_MaxRetrofit'!AK73</f>
        <v>140.02687112524131</v>
      </c>
      <c r="AL11" s="480">
        <f>'SubRes-RSD_MaxRetrofit'!AL73</f>
        <v>27.359043035131332</v>
      </c>
      <c r="AM11" s="480">
        <f>'SubRes-RSD_MaxRetrofit'!AM73</f>
        <v>55.040203487680984</v>
      </c>
      <c r="AN11" s="480">
        <f>'SubRes-RSD_MaxRetrofit'!AN73</f>
        <v>5.3202274653130281</v>
      </c>
      <c r="AO11" s="480">
        <f>'SubRes-RSD_MaxRetrofit'!AO73</f>
        <v>332.83444609770106</v>
      </c>
      <c r="AP11" s="480">
        <f>'SubRes-RSD_MaxRetrofit'!AP73</f>
        <v>215.15246371622854</v>
      </c>
      <c r="AQ11" s="480">
        <f>'SubRes-RSD_MaxRetrofit'!AQ73</f>
        <v>1043.3336324719116</v>
      </c>
      <c r="AR11" s="480">
        <f>'SubRes-RSD_MaxRetrofit'!AR73</f>
        <v>319.64996421260577</v>
      </c>
      <c r="AS11" s="480">
        <f>'SubRes-RSD_MaxRetrofit'!AS73</f>
        <v>688.83423066299997</v>
      </c>
      <c r="AT11" s="480">
        <f>'SubRes-RSD_MaxRetrofit'!AT73</f>
        <v>259.70392534293302</v>
      </c>
      <c r="AU11" s="480">
        <f>'SubRes-RSD_MaxRetrofit'!AU73</f>
        <v>386.78670753520134</v>
      </c>
      <c r="AV11" s="480">
        <f>'SubRes-RSD_MaxRetrofit'!AV73</f>
        <v>89.629814264805177</v>
      </c>
      <c r="AW11" s="480">
        <f>'SubRes-RSD_MaxRetrofit'!AW73</f>
        <v>111.61335504916136</v>
      </c>
      <c r="AX11" s="480">
        <f>'SubRes-RSD_MaxRetrofit'!AX73</f>
        <v>537.03108459066505</v>
      </c>
      <c r="AY11" s="2"/>
    </row>
    <row r="12" spans="1:51">
      <c r="B12" s="523">
        <v>1</v>
      </c>
      <c r="C12" s="526">
        <f t="shared" si="0"/>
        <v>3</v>
      </c>
      <c r="D12" s="526" t="str">
        <f>INDEX('SubRes-RSD_MaxRetrofit'!$I$65:$I$70,C12)</f>
        <v>Pre79</v>
      </c>
      <c r="E12" s="526" t="str">
        <f t="shared" si="1"/>
        <v>DET</v>
      </c>
      <c r="F12" s="2"/>
      <c r="G12" s="2" t="s">
        <v>629</v>
      </c>
      <c r="H12" s="2" t="s">
        <v>630</v>
      </c>
      <c r="I12" s="2" t="s">
        <v>512</v>
      </c>
      <c r="J12" s="5" t="s">
        <v>631</v>
      </c>
      <c r="K12" s="2" t="str">
        <f>"Bldg_"&amp;E12&amp;D12&amp;"-"&amp;INDEX('SubRes-RSD_MaxRetrofit'!$C$65:$C$67,B12)</f>
        <v>Bldg_DETPre79-Win</v>
      </c>
      <c r="L12" s="2">
        <v>2020</v>
      </c>
      <c r="M12" s="2"/>
      <c r="N12" s="480">
        <f>'SubRes-RSD_MaxRetrofit'!N74</f>
        <v>66.383819720159323</v>
      </c>
      <c r="O12" s="480">
        <f>'SubRes-RSD_MaxRetrofit'!O74</f>
        <v>183.23236244034049</v>
      </c>
      <c r="P12" s="480">
        <f>'SubRes-RSD_MaxRetrofit'!P74</f>
        <v>111.49972228978508</v>
      </c>
      <c r="Q12" s="480">
        <f>'SubRes-RSD_MaxRetrofit'!Q74</f>
        <v>148.59348069818344</v>
      </c>
      <c r="R12" s="480">
        <f>'SubRes-RSD_MaxRetrofit'!R74</f>
        <v>186.6320315747692</v>
      </c>
      <c r="S12" s="480">
        <f>'SubRes-RSD_MaxRetrofit'!S74</f>
        <v>141.94371796482656</v>
      </c>
      <c r="T12" s="480">
        <f>'SubRes-RSD_MaxRetrofit'!T74</f>
        <v>14.530695510547806</v>
      </c>
      <c r="U12" s="480">
        <f>'SubRes-RSD_MaxRetrofit'!U74</f>
        <v>143.27009467743164</v>
      </c>
      <c r="V12" s="480">
        <f>'SubRes-RSD_MaxRetrofit'!V74</f>
        <v>1494.9056785156374</v>
      </c>
      <c r="W12" s="480">
        <f>'SubRes-RSD_MaxRetrofit'!W74</f>
        <v>165.29031695707485</v>
      </c>
      <c r="X12" s="480">
        <f>'SubRes-RSD_MaxRetrofit'!X74</f>
        <v>24.045370170485317</v>
      </c>
      <c r="Y12" s="480">
        <f>'SubRes-RSD_MaxRetrofit'!Y74</f>
        <v>240.02399637724213</v>
      </c>
      <c r="Z12" s="480">
        <f>'SubRes-RSD_MaxRetrofit'!Z74</f>
        <v>295.51236124234345</v>
      </c>
      <c r="AA12" s="480">
        <f>'SubRes-RSD_MaxRetrofit'!AA74</f>
        <v>162.21315907568888</v>
      </c>
      <c r="AB12" s="480">
        <f>'SubRes-RSD_MaxRetrofit'!AB74</f>
        <v>1605.2465782338793</v>
      </c>
      <c r="AC12" s="480">
        <f>'SubRes-RSD_MaxRetrofit'!AC74</f>
        <v>143.49268100561193</v>
      </c>
      <c r="AD12" s="480">
        <f>'SubRes-RSD_MaxRetrofit'!AD74</f>
        <v>279.10641896933095</v>
      </c>
      <c r="AE12" s="480">
        <f>'SubRes-RSD_MaxRetrofit'!AE74</f>
        <v>75.494889052378838</v>
      </c>
      <c r="AF12" s="480">
        <f>'SubRes-RSD_MaxRetrofit'!AF74</f>
        <v>8.92496401753532</v>
      </c>
      <c r="AG12" s="480">
        <f>'SubRes-RSD_MaxRetrofit'!AG74</f>
        <v>474.79572887078194</v>
      </c>
      <c r="AH12" s="480">
        <f>'SubRes-RSD_MaxRetrofit'!AH74</f>
        <v>62.456820734052698</v>
      </c>
      <c r="AI12" s="480">
        <f>'SubRes-RSD_MaxRetrofit'!AI74</f>
        <v>64.859291197282047</v>
      </c>
      <c r="AJ12" s="480">
        <f>'SubRes-RSD_MaxRetrofit'!AJ74</f>
        <v>7.3560417286278508</v>
      </c>
      <c r="AK12" s="480">
        <f>'SubRes-RSD_MaxRetrofit'!AK74</f>
        <v>44.798296359939897</v>
      </c>
      <c r="AL12" s="480">
        <f>'SubRes-RSD_MaxRetrofit'!AL74</f>
        <v>11.87535467322067</v>
      </c>
      <c r="AM12" s="480">
        <f>'SubRes-RSD_MaxRetrofit'!AM74</f>
        <v>39.835639423050715</v>
      </c>
      <c r="AN12" s="480">
        <f>'SubRes-RSD_MaxRetrofit'!AN74</f>
        <v>1.1620867162272803</v>
      </c>
      <c r="AO12" s="480">
        <f>'SubRes-RSD_MaxRetrofit'!AO74</f>
        <v>122.41131247584514</v>
      </c>
      <c r="AP12" s="480">
        <f>'SubRes-RSD_MaxRetrofit'!AP74</f>
        <v>86.6116117024131</v>
      </c>
      <c r="AQ12" s="480">
        <f>'SubRes-RSD_MaxRetrofit'!AQ74</f>
        <v>515.12837490592563</v>
      </c>
      <c r="AR12" s="480">
        <f>'SubRes-RSD_MaxRetrofit'!AR74</f>
        <v>254.51930832529072</v>
      </c>
      <c r="AS12" s="480">
        <f>'SubRes-RSD_MaxRetrofit'!AS74</f>
        <v>706.49164765827936</v>
      </c>
      <c r="AT12" s="480">
        <f>'SubRes-RSD_MaxRetrofit'!AT74</f>
        <v>213.6537168823798</v>
      </c>
      <c r="AU12" s="480">
        <f>'SubRes-RSD_MaxRetrofit'!AU74</f>
        <v>187.86913597220456</v>
      </c>
      <c r="AV12" s="480">
        <f>'SubRes-RSD_MaxRetrofit'!AV74</f>
        <v>37.890987316777171</v>
      </c>
      <c r="AW12" s="480">
        <f>'SubRes-RSD_MaxRetrofit'!AW74</f>
        <v>82.985450122731237</v>
      </c>
      <c r="AX12" s="480">
        <f>'SubRes-RSD_MaxRetrofit'!AX74</f>
        <v>521.00180590206412</v>
      </c>
      <c r="AY12" s="2"/>
    </row>
    <row r="13" spans="1:51">
      <c r="B13" s="523">
        <v>1</v>
      </c>
      <c r="C13" s="526">
        <f t="shared" si="0"/>
        <v>3</v>
      </c>
      <c r="D13" s="526" t="str">
        <f>INDEX('SubRes-RSD_MaxRetrofit'!$I$65:$I$70,C13)</f>
        <v>Pre79</v>
      </c>
      <c r="E13" s="526" t="str">
        <f t="shared" si="1"/>
        <v>SDE</v>
      </c>
      <c r="F13" s="2"/>
      <c r="G13" s="2" t="s">
        <v>629</v>
      </c>
      <c r="H13" s="2" t="s">
        <v>630</v>
      </c>
      <c r="I13" s="2" t="s">
        <v>512</v>
      </c>
      <c r="J13" s="5" t="s">
        <v>631</v>
      </c>
      <c r="K13" s="2" t="str">
        <f>"Bldg_"&amp;E13&amp;D13&amp;"-"&amp;INDEX('SubRes-RSD_MaxRetrofit'!$C$65:$C$67,B13)</f>
        <v>Bldg_SDEPre79-Win</v>
      </c>
      <c r="L13" s="2">
        <v>2020</v>
      </c>
      <c r="M13" s="2"/>
      <c r="N13" s="480">
        <f>'SubRes-RSD_MaxRetrofit'!N75</f>
        <v>37.534776570744306</v>
      </c>
      <c r="O13" s="480">
        <f>'SubRes-RSD_MaxRetrofit'!O75</f>
        <v>84.912558204060275</v>
      </c>
      <c r="P13" s="480">
        <f>'SubRes-RSD_MaxRetrofit'!P75</f>
        <v>39.903154038638803</v>
      </c>
      <c r="Q13" s="480">
        <f>'SubRes-RSD_MaxRetrofit'!Q75</f>
        <v>247.92281550451628</v>
      </c>
      <c r="R13" s="480">
        <f>'SubRes-RSD_MaxRetrofit'!R75</f>
        <v>101.43045194280938</v>
      </c>
      <c r="S13" s="480">
        <f>'SubRes-RSD_MaxRetrofit'!S75</f>
        <v>159.23938107818785</v>
      </c>
      <c r="T13" s="480">
        <f>'SubRes-RSD_MaxRetrofit'!T75</f>
        <v>14.839859244814781</v>
      </c>
      <c r="U13" s="480">
        <f>'SubRes-RSD_MaxRetrofit'!U75</f>
        <v>84.922193216058247</v>
      </c>
      <c r="V13" s="480">
        <f>'SubRes-RSD_MaxRetrofit'!V75</f>
        <v>1562.8559366299846</v>
      </c>
      <c r="W13" s="480">
        <f>'SubRes-RSD_MaxRetrofit'!W75</f>
        <v>88.000448957882242</v>
      </c>
      <c r="X13" s="480">
        <f>'SubRes-RSD_MaxRetrofit'!X75</f>
        <v>11.15527659754898</v>
      </c>
      <c r="Y13" s="480">
        <f>'SubRes-RSD_MaxRetrofit'!Y75</f>
        <v>135.71450262451546</v>
      </c>
      <c r="Z13" s="480">
        <f>'SubRes-RSD_MaxRetrofit'!Z75</f>
        <v>655.12483025416543</v>
      </c>
      <c r="AA13" s="480">
        <f>'SubRes-RSD_MaxRetrofit'!AA75</f>
        <v>122.6049671615508</v>
      </c>
      <c r="AB13" s="480">
        <f>'SubRes-RSD_MaxRetrofit'!AB75</f>
        <v>1427.289378384422</v>
      </c>
      <c r="AC13" s="480">
        <f>'SubRes-RSD_MaxRetrofit'!AC75</f>
        <v>51.352688921528895</v>
      </c>
      <c r="AD13" s="480">
        <f>'SubRes-RSD_MaxRetrofit'!AD75</f>
        <v>103.08155692764026</v>
      </c>
      <c r="AE13" s="480">
        <f>'SubRes-RSD_MaxRetrofit'!AE75</f>
        <v>113.55679537676909</v>
      </c>
      <c r="AF13" s="480">
        <f>'SubRes-RSD_MaxRetrofit'!AF75</f>
        <v>8.3367858731132198</v>
      </c>
      <c r="AG13" s="480">
        <f>'SubRes-RSD_MaxRetrofit'!AG75</f>
        <v>844.38104054860628</v>
      </c>
      <c r="AH13" s="480">
        <f>'SubRes-RSD_MaxRetrofit'!AH75</f>
        <v>22.351841666809946</v>
      </c>
      <c r="AI13" s="480">
        <f>'SubRes-RSD_MaxRetrofit'!AI75</f>
        <v>32.798164298625586</v>
      </c>
      <c r="AJ13" s="480">
        <f>'SubRes-RSD_MaxRetrofit'!AJ75</f>
        <v>9.5183946543508711</v>
      </c>
      <c r="AK13" s="480">
        <f>'SubRes-RSD_MaxRetrofit'!AK75</f>
        <v>17.891143514818761</v>
      </c>
      <c r="AL13" s="480">
        <f>'SubRes-RSD_MaxRetrofit'!AL75</f>
        <v>6.7145696984098198</v>
      </c>
      <c r="AM13" s="480">
        <f>'SubRes-RSD_MaxRetrofit'!AM75</f>
        <v>21.64980403426669</v>
      </c>
      <c r="AN13" s="480">
        <f>'SubRes-RSD_MaxRetrofit'!AN75</f>
        <v>14.84888581845969</v>
      </c>
      <c r="AO13" s="480">
        <f>'SubRes-RSD_MaxRetrofit'!AO75</f>
        <v>646.43751742645384</v>
      </c>
      <c r="AP13" s="480">
        <f>'SubRes-RSD_MaxRetrofit'!AP75</f>
        <v>68.026500624588877</v>
      </c>
      <c r="AQ13" s="480">
        <f>'SubRes-RSD_MaxRetrofit'!AQ75</f>
        <v>193.30481962216246</v>
      </c>
      <c r="AR13" s="480">
        <f>'SubRes-RSD_MaxRetrofit'!AR75</f>
        <v>205.46478646210355</v>
      </c>
      <c r="AS13" s="480">
        <f>'SubRes-RSD_MaxRetrofit'!AS75</f>
        <v>202.89739467872073</v>
      </c>
      <c r="AT13" s="480">
        <f>'SubRes-RSD_MaxRetrofit'!AT75</f>
        <v>76.461689774687244</v>
      </c>
      <c r="AU13" s="480">
        <f>'SubRes-RSD_MaxRetrofit'!AU75</f>
        <v>90.128918492594138</v>
      </c>
      <c r="AV13" s="480">
        <f>'SubRes-RSD_MaxRetrofit'!AV75</f>
        <v>12.601882418417636</v>
      </c>
      <c r="AW13" s="480">
        <f>'SubRes-RSD_MaxRetrofit'!AW75</f>
        <v>24.696070828107388</v>
      </c>
      <c r="AX13" s="480">
        <f>'SubRes-RSD_MaxRetrofit'!AX75</f>
        <v>1808.7918345072708</v>
      </c>
      <c r="AY13" s="2"/>
    </row>
    <row r="14" spans="1:51">
      <c r="B14" s="523">
        <v>1</v>
      </c>
      <c r="C14" s="526">
        <f t="shared" si="0"/>
        <v>4</v>
      </c>
      <c r="D14" s="526" t="str">
        <f>INDEX('SubRes-RSD_MaxRetrofit'!$I$65:$I$70,C14)</f>
        <v>Pre89</v>
      </c>
      <c r="E14" s="526" t="str">
        <f t="shared" si="1"/>
        <v>FLT</v>
      </c>
      <c r="F14" s="2"/>
      <c r="G14" s="2" t="s">
        <v>629</v>
      </c>
      <c r="H14" s="2" t="s">
        <v>630</v>
      </c>
      <c r="I14" s="2" t="s">
        <v>512</v>
      </c>
      <c r="J14" s="5" t="s">
        <v>631</v>
      </c>
      <c r="K14" s="2" t="str">
        <f>"Bldg_"&amp;E14&amp;D14&amp;"-"&amp;INDEX('SubRes-RSD_MaxRetrofit'!$C$65:$C$67,B14)</f>
        <v>Bldg_FLTPre89-Win</v>
      </c>
      <c r="L14" s="2">
        <v>2020</v>
      </c>
      <c r="M14" s="2"/>
      <c r="N14" s="480">
        <f>'SubRes-RSD_MaxRetrofit'!N76</f>
        <v>117.07257224847828</v>
      </c>
      <c r="O14" s="480">
        <f>'SubRes-RSD_MaxRetrofit'!O76</f>
        <v>210.26379918467583</v>
      </c>
      <c r="P14" s="480">
        <f>'SubRes-RSD_MaxRetrofit'!P76</f>
        <v>114.54587565682624</v>
      </c>
      <c r="Q14" s="480">
        <f>'SubRes-RSD_MaxRetrofit'!Q76</f>
        <v>141.57894179730027</v>
      </c>
      <c r="R14" s="480">
        <f>'SubRes-RSD_MaxRetrofit'!R76</f>
        <v>221.53421622439518</v>
      </c>
      <c r="S14" s="480">
        <f>'SubRes-RSD_MaxRetrofit'!S76</f>
        <v>220.58850030533858</v>
      </c>
      <c r="T14" s="480">
        <f>'SubRes-RSD_MaxRetrofit'!T76</f>
        <v>16.556208223280315</v>
      </c>
      <c r="U14" s="480">
        <f>'SubRes-RSD_MaxRetrofit'!U76</f>
        <v>357.01365906868517</v>
      </c>
      <c r="V14" s="480">
        <f>'SubRes-RSD_MaxRetrofit'!V76</f>
        <v>2493.4227862575094</v>
      </c>
      <c r="W14" s="480">
        <f>'SubRes-RSD_MaxRetrofit'!W76</f>
        <v>72.405306119358457</v>
      </c>
      <c r="X14" s="480">
        <f>'SubRes-RSD_MaxRetrofit'!X76</f>
        <v>98.852387248851798</v>
      </c>
      <c r="Y14" s="480">
        <f>'SubRes-RSD_MaxRetrofit'!Y76</f>
        <v>423.29933371866127</v>
      </c>
      <c r="Z14" s="480">
        <f>'SubRes-RSD_MaxRetrofit'!Z76</f>
        <v>1430.3689982425908</v>
      </c>
      <c r="AA14" s="480">
        <f>'SubRes-RSD_MaxRetrofit'!AA76</f>
        <v>179.81601137443855</v>
      </c>
      <c r="AB14" s="480">
        <f>'SubRes-RSD_MaxRetrofit'!AB76</f>
        <v>1726.9517110401723</v>
      </c>
      <c r="AC14" s="480">
        <f>'SubRes-RSD_MaxRetrofit'!AC76</f>
        <v>90.323446900269545</v>
      </c>
      <c r="AD14" s="480">
        <f>'SubRes-RSD_MaxRetrofit'!AD76</f>
        <v>324.64061636022842</v>
      </c>
      <c r="AE14" s="480">
        <f>'SubRes-RSD_MaxRetrofit'!AE76</f>
        <v>20.906358275172671</v>
      </c>
      <c r="AF14" s="480">
        <f>'SubRes-RSD_MaxRetrofit'!AF76</f>
        <v>10.897968664024354</v>
      </c>
      <c r="AG14" s="480">
        <f>'SubRes-RSD_MaxRetrofit'!AG76</f>
        <v>2776.5717413895486</v>
      </c>
      <c r="AH14" s="480">
        <f>'SubRes-RSD_MaxRetrofit'!AH76</f>
        <v>64.163130407894386</v>
      </c>
      <c r="AI14" s="480">
        <f>'SubRes-RSD_MaxRetrofit'!AI76</f>
        <v>180.5584525040924</v>
      </c>
      <c r="AJ14" s="480">
        <f>'SubRes-RSD_MaxRetrofit'!AJ76</f>
        <v>7.4320838723404261</v>
      </c>
      <c r="AK14" s="480">
        <f>'SubRes-RSD_MaxRetrofit'!AK76</f>
        <v>135.16701031962145</v>
      </c>
      <c r="AL14" s="480">
        <f>'SubRes-RSD_MaxRetrofit'!AL76</f>
        <v>23.122698270062266</v>
      </c>
      <c r="AM14" s="480">
        <f>'SubRes-RSD_MaxRetrofit'!AM76</f>
        <v>51.866367354311528</v>
      </c>
      <c r="AN14" s="480">
        <f>'SubRes-RSD_MaxRetrofit'!AN76</f>
        <v>6.1111084890016913</v>
      </c>
      <c r="AO14" s="480">
        <f>'SubRes-RSD_MaxRetrofit'!AO76</f>
        <v>323.73835075595912</v>
      </c>
      <c r="AP14" s="480">
        <f>'SubRes-RSD_MaxRetrofit'!AP76</f>
        <v>180.96621905997586</v>
      </c>
      <c r="AQ14" s="480">
        <f>'SubRes-RSD_MaxRetrofit'!AQ76</f>
        <v>1078.5750540157949</v>
      </c>
      <c r="AR14" s="480">
        <f>'SubRes-RSD_MaxRetrofit'!AR76</f>
        <v>273.20339136932103</v>
      </c>
      <c r="AS14" s="480">
        <f>'SubRes-RSD_MaxRetrofit'!AS76</f>
        <v>942.38753400000007</v>
      </c>
      <c r="AT14" s="480">
        <f>'SubRes-RSD_MaxRetrofit'!AT76</f>
        <v>219.49069993217293</v>
      </c>
      <c r="AU14" s="480">
        <f>'SubRes-RSD_MaxRetrofit'!AU76</f>
        <v>266.44956783023309</v>
      </c>
      <c r="AV14" s="480">
        <f>'SubRes-RSD_MaxRetrofit'!AV76</f>
        <v>48.691389510087625</v>
      </c>
      <c r="AW14" s="480">
        <f>'SubRes-RSD_MaxRetrofit'!AW76</f>
        <v>129.46979234239444</v>
      </c>
      <c r="AX14" s="480">
        <f>'SubRes-RSD_MaxRetrofit'!AX76</f>
        <v>381.28805308539404</v>
      </c>
      <c r="AY14" s="2"/>
    </row>
    <row r="15" spans="1:51">
      <c r="B15" s="523">
        <v>1</v>
      </c>
      <c r="C15" s="526">
        <f t="shared" si="0"/>
        <v>4</v>
      </c>
      <c r="D15" s="526" t="str">
        <f>INDEX('SubRes-RSD_MaxRetrofit'!$I$65:$I$70,C15)</f>
        <v>Pre89</v>
      </c>
      <c r="E15" s="526" t="str">
        <f t="shared" si="1"/>
        <v>DET</v>
      </c>
      <c r="F15" s="2"/>
      <c r="G15" s="2" t="s">
        <v>629</v>
      </c>
      <c r="H15" s="2" t="s">
        <v>630</v>
      </c>
      <c r="I15" s="2" t="s">
        <v>512</v>
      </c>
      <c r="J15" s="5" t="s">
        <v>631</v>
      </c>
      <c r="K15" s="2" t="str">
        <f>"Bldg_"&amp;E15&amp;D15&amp;"-"&amp;INDEX('SubRes-RSD_MaxRetrofit'!$C$65:$C$67,B15)</f>
        <v>Bldg_DETPre89-Win</v>
      </c>
      <c r="L15" s="2">
        <v>2020</v>
      </c>
      <c r="M15" s="2"/>
      <c r="N15" s="480">
        <f>'SubRes-RSD_MaxRetrofit'!N77</f>
        <v>50.816043389079638</v>
      </c>
      <c r="O15" s="480">
        <f>'SubRes-RSD_MaxRetrofit'!O77</f>
        <v>145.38398130713816</v>
      </c>
      <c r="P15" s="480">
        <f>'SubRes-RSD_MaxRetrofit'!P77</f>
        <v>94.234817803818714</v>
      </c>
      <c r="Q15" s="480">
        <f>'SubRes-RSD_MaxRetrofit'!Q77</f>
        <v>148.59348069818344</v>
      </c>
      <c r="R15" s="480">
        <f>'SubRes-RSD_MaxRetrofit'!R77</f>
        <v>175.87008943208198</v>
      </c>
      <c r="S15" s="480">
        <f>'SubRes-RSD_MaxRetrofit'!S77</f>
        <v>112.62389768064644</v>
      </c>
      <c r="T15" s="480">
        <f>'SubRes-RSD_MaxRetrofit'!T77</f>
        <v>20.976864752692897</v>
      </c>
      <c r="U15" s="480">
        <f>'SubRes-RSD_MaxRetrofit'!U77</f>
        <v>166.06371945054707</v>
      </c>
      <c r="V15" s="480">
        <f>'SubRes-RSD_MaxRetrofit'!V77</f>
        <v>1041.9163884518846</v>
      </c>
      <c r="W15" s="480">
        <f>'SubRes-RSD_MaxRetrofit'!W77</f>
        <v>67.701608135824372</v>
      </c>
      <c r="X15" s="480">
        <f>'SubRes-RSD_MaxRetrofit'!X77</f>
        <v>22.613386062675442</v>
      </c>
      <c r="Y15" s="480">
        <f>'SubRes-RSD_MaxRetrofit'!Y77</f>
        <v>183.73558294389989</v>
      </c>
      <c r="Z15" s="480">
        <f>'SubRes-RSD_MaxRetrofit'!Z77</f>
        <v>187.23350679544612</v>
      </c>
      <c r="AA15" s="480">
        <f>'SubRes-RSD_MaxRetrofit'!AA77</f>
        <v>128.5324683478311</v>
      </c>
      <c r="AB15" s="480">
        <f>'SubRes-RSD_MaxRetrofit'!AB77</f>
        <v>1182.9702847811304</v>
      </c>
      <c r="AC15" s="480">
        <f>'SubRes-RSD_MaxRetrofit'!AC77</f>
        <v>113.76331274936017</v>
      </c>
      <c r="AD15" s="480">
        <f>'SubRes-RSD_MaxRetrofit'!AD77</f>
        <v>379.42047935407322</v>
      </c>
      <c r="AE15" s="480">
        <f>'SubRes-RSD_MaxRetrofit'!AE77</f>
        <v>65.702769369466225</v>
      </c>
      <c r="AF15" s="480">
        <f>'SubRes-RSD_MaxRetrofit'!AF77</f>
        <v>7.0718532431399668</v>
      </c>
      <c r="AG15" s="480">
        <f>'SubRes-RSD_MaxRetrofit'!AG77</f>
        <v>343.94800309905816</v>
      </c>
      <c r="AH15" s="480">
        <f>'SubRes-RSD_MaxRetrofit'!AH77</f>
        <v>52.785845575316081</v>
      </c>
      <c r="AI15" s="480">
        <f>'SubRes-RSD_MaxRetrofit'!AI77</f>
        <v>64.859291197282047</v>
      </c>
      <c r="AJ15" s="480">
        <f>'SubRes-RSD_MaxRetrofit'!AJ77</f>
        <v>5.7173903406803417</v>
      </c>
      <c r="AK15" s="480">
        <f>'SubRes-RSD_MaxRetrofit'!AK77</f>
        <v>43.243498463731179</v>
      </c>
      <c r="AL15" s="480">
        <f>'SubRes-RSD_MaxRetrofit'!AL77</f>
        <v>10.036544136659248</v>
      </c>
      <c r="AM15" s="480">
        <f>'SubRes-RSD_MaxRetrofit'!AM77</f>
        <v>37.538558675065232</v>
      </c>
      <c r="AN15" s="480">
        <f>'SubRes-RSD_MaxRetrofit'!AN77</f>
        <v>1.334837287088587</v>
      </c>
      <c r="AO15" s="480">
        <f>'SubRes-RSD_MaxRetrofit'!AO77</f>
        <v>119.06591063344928</v>
      </c>
      <c r="AP15" s="480">
        <f>'SubRes-RSD_MaxRetrofit'!AP77</f>
        <v>72.84962312655226</v>
      </c>
      <c r="AQ15" s="480">
        <f>'SubRes-RSD_MaxRetrofit'!AQ77</f>
        <v>532.52823209855194</v>
      </c>
      <c r="AR15" s="480">
        <f>'SubRes-RSD_MaxRetrofit'!AR77</f>
        <v>217.53651177384077</v>
      </c>
      <c r="AS15" s="480">
        <f>'SubRes-RSD_MaxRetrofit'!AS77</f>
        <v>966.54447759871596</v>
      </c>
      <c r="AT15" s="480">
        <f>'SubRes-RSD_MaxRetrofit'!AT77</f>
        <v>180.57102448374658</v>
      </c>
      <c r="AU15" s="480">
        <f>'SubRes-RSD_MaxRetrofit'!AU77</f>
        <v>129.419261606547</v>
      </c>
      <c r="AV15" s="480">
        <f>'SubRes-RSD_MaxRetrofit'!AV77</f>
        <v>20.584275862852557</v>
      </c>
      <c r="AW15" s="480">
        <f>'SubRes-RSD_MaxRetrofit'!AW77</f>
        <v>96.261858539220341</v>
      </c>
      <c r="AX15" s="480">
        <f>'SubRes-RSD_MaxRetrofit'!AX77</f>
        <v>369.90738511493879</v>
      </c>
      <c r="AY15" s="2"/>
    </row>
    <row r="16" spans="1:51">
      <c r="B16" s="523">
        <v>1</v>
      </c>
      <c r="C16" s="526">
        <f t="shared" si="0"/>
        <v>4</v>
      </c>
      <c r="D16" s="526" t="str">
        <f>INDEX('SubRes-RSD_MaxRetrofit'!$I$65:$I$70,C16)</f>
        <v>Pre89</v>
      </c>
      <c r="E16" s="526" t="str">
        <f t="shared" si="1"/>
        <v>SDE</v>
      </c>
      <c r="F16" s="2"/>
      <c r="G16" s="2" t="s">
        <v>629</v>
      </c>
      <c r="H16" s="2" t="s">
        <v>630</v>
      </c>
      <c r="I16" s="2" t="s">
        <v>512</v>
      </c>
      <c r="J16" s="5" t="s">
        <v>631</v>
      </c>
      <c r="K16" s="2" t="str">
        <f>"Bldg_"&amp;E16&amp;D16&amp;"-"&amp;INDEX('SubRes-RSD_MaxRetrofit'!$C$65:$C$67,B16)</f>
        <v>Bldg_SDEPre89-Win</v>
      </c>
      <c r="L16" s="2">
        <v>2020</v>
      </c>
      <c r="M16" s="2"/>
      <c r="N16" s="480">
        <f>'SubRes-RSD_MaxRetrofit'!N78</f>
        <v>28.732435748031019</v>
      </c>
      <c r="O16" s="480">
        <f>'SubRes-RSD_MaxRetrofit'!O78</f>
        <v>67.373064508186019</v>
      </c>
      <c r="P16" s="480">
        <f>'SubRes-RSD_MaxRetrofit'!P78</f>
        <v>33.724446782530975</v>
      </c>
      <c r="Q16" s="480">
        <f>'SubRes-RSD_MaxRetrofit'!Q78</f>
        <v>247.92281550451628</v>
      </c>
      <c r="R16" s="480">
        <f>'SubRes-RSD_MaxRetrofit'!R78</f>
        <v>95.581570343522856</v>
      </c>
      <c r="S16" s="480">
        <f>'SubRes-RSD_MaxRetrofit'!S78</f>
        <v>126.34697765013705</v>
      </c>
      <c r="T16" s="480">
        <f>'SubRes-RSD_MaxRetrofit'!T78</f>
        <v>21.423181024026793</v>
      </c>
      <c r="U16" s="480">
        <f>'SubRes-RSD_MaxRetrofit'!U78</f>
        <v>98.43293048076778</v>
      </c>
      <c r="V16" s="480">
        <f>'SubRes-RSD_MaxRetrofit'!V78</f>
        <v>1089.2762242906067</v>
      </c>
      <c r="W16" s="480">
        <f>'SubRes-RSD_MaxRetrofit'!W78</f>
        <v>36.04428874481718</v>
      </c>
      <c r="X16" s="480">
        <f>'SubRes-RSD_MaxRetrofit'!X78</f>
        <v>10.490941688472754</v>
      </c>
      <c r="Y16" s="480">
        <f>'SubRes-RSD_MaxRetrofit'!Y78</f>
        <v>103.88787633743875</v>
      </c>
      <c r="Z16" s="480">
        <f>'SubRes-RSD_MaxRetrofit'!Z78</f>
        <v>415.08016396196308</v>
      </c>
      <c r="AA16" s="480">
        <f>'SubRes-RSD_MaxRetrofit'!AA78</f>
        <v>97.148216277730356</v>
      </c>
      <c r="AB16" s="480">
        <f>'SubRes-RSD_MaxRetrofit'!AB78</f>
        <v>1051.8265201786974</v>
      </c>
      <c r="AC16" s="480">
        <f>'SubRes-RSD_MaxRetrofit'!AC78</f>
        <v>40.713240350370306</v>
      </c>
      <c r="AD16" s="480">
        <f>'SubRes-RSD_MaxRetrofit'!AD78</f>
        <v>140.13025528569844</v>
      </c>
      <c r="AE16" s="480">
        <f>'SubRes-RSD_MaxRetrofit'!AE78</f>
        <v>98.82782835536112</v>
      </c>
      <c r="AF16" s="480">
        <f>'SubRes-RSD_MaxRetrofit'!AF78</f>
        <v>6.6057998775462146</v>
      </c>
      <c r="AG16" s="480">
        <f>'SubRes-RSD_MaxRetrofit'!AG78</f>
        <v>611.68025551139306</v>
      </c>
      <c r="AH16" s="480">
        <f>'SubRes-RSD_MaxRetrofit'!AH78</f>
        <v>18.890824871988109</v>
      </c>
      <c r="AI16" s="480">
        <f>'SubRes-RSD_MaxRetrofit'!AI78</f>
        <v>32.798164298625586</v>
      </c>
      <c r="AJ16" s="480">
        <f>'SubRes-RSD_MaxRetrofit'!AJ78</f>
        <v>7.3980517869792326</v>
      </c>
      <c r="AK16" s="480">
        <f>'SubRes-RSD_MaxRetrofit'!AK78</f>
        <v>17.270202216647352</v>
      </c>
      <c r="AL16" s="480">
        <f>'SubRes-RSD_MaxRetrofit'!AL78</f>
        <v>5.6748684137185474</v>
      </c>
      <c r="AM16" s="480">
        <f>'SubRes-RSD_MaxRetrofit'!AM78</f>
        <v>20.401390584274584</v>
      </c>
      <c r="AN16" s="480">
        <f>'SubRes-RSD_MaxRetrofit'!AN78</f>
        <v>17.056254223909722</v>
      </c>
      <c r="AO16" s="480">
        <f>'SubRes-RSD_MaxRetrofit'!AO78</f>
        <v>628.77090461059174</v>
      </c>
      <c r="AP16" s="480">
        <f>'SubRes-RSD_MaxRetrofit'!AP78</f>
        <v>57.217558197007889</v>
      </c>
      <c r="AQ16" s="480">
        <f>'SubRes-RSD_MaxRetrofit'!AQ78</f>
        <v>199.8342138856531</v>
      </c>
      <c r="AR16" s="480">
        <f>'SubRes-RSD_MaxRetrofit'!AR78</f>
        <v>175.60983185683824</v>
      </c>
      <c r="AS16" s="480">
        <f>'SubRes-RSD_MaxRetrofit'!AS78</f>
        <v>277.58198840128415</v>
      </c>
      <c r="AT16" s="480">
        <f>'SubRes-RSD_MaxRetrofit'!AT78</f>
        <v>64.622164584080508</v>
      </c>
      <c r="AU16" s="480">
        <f>'SubRes-RSD_MaxRetrofit'!AU78</f>
        <v>62.087995563219899</v>
      </c>
      <c r="AV16" s="480">
        <f>'SubRes-RSD_MaxRetrofit'!AV78</f>
        <v>6.8459716270598241</v>
      </c>
      <c r="AW16" s="480">
        <f>'SubRes-RSD_MaxRetrofit'!AW78</f>
        <v>28.647066118385208</v>
      </c>
      <c r="AX16" s="480">
        <f>'SubRes-RSD_MaxRetrofit'!AX78</f>
        <v>1284.228672799667</v>
      </c>
      <c r="AY16" s="2"/>
    </row>
    <row r="17" spans="2:51">
      <c r="B17" s="523">
        <v>1</v>
      </c>
      <c r="C17" s="526">
        <f t="shared" si="0"/>
        <v>5</v>
      </c>
      <c r="D17" s="526" t="str">
        <f>INDEX('SubRes-RSD_MaxRetrofit'!$I$65:$I$70,C17)</f>
        <v>Pre99</v>
      </c>
      <c r="E17" s="526" t="str">
        <f t="shared" si="1"/>
        <v>FLT</v>
      </c>
      <c r="F17" s="2"/>
      <c r="G17" s="2" t="s">
        <v>629</v>
      </c>
      <c r="H17" s="2" t="s">
        <v>630</v>
      </c>
      <c r="I17" s="2" t="s">
        <v>512</v>
      </c>
      <c r="J17" s="5" t="s">
        <v>631</v>
      </c>
      <c r="K17" s="2" t="str">
        <f>"Bldg_"&amp;E17&amp;D17&amp;"-"&amp;INDEX('SubRes-RSD_MaxRetrofit'!$C$65:$C$67,B17)</f>
        <v>Bldg_FLTPre99-Win</v>
      </c>
      <c r="L17" s="2">
        <v>2020</v>
      </c>
      <c r="M17" s="2"/>
      <c r="N17" s="480">
        <f>'SubRes-RSD_MaxRetrofit'!N79</f>
        <v>78.760400894311005</v>
      </c>
      <c r="O17" s="480">
        <f>'SubRes-RSD_MaxRetrofit'!O79</f>
        <v>250.95383690176817</v>
      </c>
      <c r="P17" s="480">
        <f>'SubRes-RSD_MaxRetrofit'!P79</f>
        <v>56.143200376494306</v>
      </c>
      <c r="Q17" s="480">
        <f>'SubRes-RSD_MaxRetrofit'!Q79</f>
        <v>104.28996161451649</v>
      </c>
      <c r="R17" s="480">
        <f>'SubRes-RSD_MaxRetrofit'!R79</f>
        <v>127.93998529141672</v>
      </c>
      <c r="S17" s="480">
        <f>'SubRes-RSD_MaxRetrofit'!S79</f>
        <v>263.27656373891904</v>
      </c>
      <c r="T17" s="480">
        <f>'SubRes-RSD_MaxRetrofit'!T79</f>
        <v>14.275871920854083</v>
      </c>
      <c r="U17" s="480">
        <f>'SubRes-RSD_MaxRetrofit'!U79</f>
        <v>184.28781159304199</v>
      </c>
      <c r="V17" s="480">
        <f>'SubRes-RSD_MaxRetrofit'!V79</f>
        <v>2294.8521642411897</v>
      </c>
      <c r="W17" s="480">
        <f>'SubRes-RSD_MaxRetrofit'!W79</f>
        <v>72.46270178142484</v>
      </c>
      <c r="X17" s="480">
        <f>'SubRes-RSD_MaxRetrofit'!X79</f>
        <v>32.07327194030924</v>
      </c>
      <c r="Y17" s="480">
        <f>'SubRes-RSD_MaxRetrofit'!Y79</f>
        <v>284.77400454836123</v>
      </c>
      <c r="Z17" s="480">
        <f>'SubRes-RSD_MaxRetrofit'!Z79</f>
        <v>1416.3041684017362</v>
      </c>
      <c r="AA17" s="480">
        <f>'SubRes-RSD_MaxRetrofit'!AA79</f>
        <v>131.29364090567577</v>
      </c>
      <c r="AB17" s="480">
        <f>'SubRes-RSD_MaxRetrofit'!AB79</f>
        <v>1040.2944476333871</v>
      </c>
      <c r="AC17" s="480">
        <f>'SubRes-RSD_MaxRetrofit'!AC79</f>
        <v>48.34714989947237</v>
      </c>
      <c r="AD17" s="480">
        <f>'SubRes-RSD_MaxRetrofit'!AD79</f>
        <v>133.89909293520358</v>
      </c>
      <c r="AE17" s="480">
        <f>'SubRes-RSD_MaxRetrofit'!AE79</f>
        <v>27.163656005024833</v>
      </c>
      <c r="AF17" s="480">
        <f>'SubRes-RSD_MaxRetrofit'!AF79</f>
        <v>7.9572112262919372</v>
      </c>
      <c r="AG17" s="480">
        <f>'SubRes-RSD_MaxRetrofit'!AG79</f>
        <v>1027.3211290083136</v>
      </c>
      <c r="AH17" s="480">
        <f>'SubRes-RSD_MaxRetrofit'!AH79</f>
        <v>31.448740224099652</v>
      </c>
      <c r="AI17" s="480">
        <f>'SubRes-RSD_MaxRetrofit'!AI79</f>
        <v>56.147849277506879</v>
      </c>
      <c r="AJ17" s="480">
        <f>'SubRes-RSD_MaxRetrofit'!AJ79</f>
        <v>5.9131027659574471</v>
      </c>
      <c r="AK17" s="480">
        <f>'SubRes-RSD_MaxRetrofit'!AK79</f>
        <v>42.309518110997381</v>
      </c>
      <c r="AL17" s="480">
        <f>'SubRes-RSD_MaxRetrofit'!AL79</f>
        <v>11.333295719093488</v>
      </c>
      <c r="AM17" s="480">
        <f>'SubRes-RSD_MaxRetrofit'!AM79</f>
        <v>29.953757886810376</v>
      </c>
      <c r="AN17" s="480">
        <f>'SubRes-RSD_MaxRetrofit'!AN79</f>
        <v>5.9183140924985889</v>
      </c>
      <c r="AO17" s="480">
        <f>'SubRes-RSD_MaxRetrofit'!AO79</f>
        <v>285.59305629628477</v>
      </c>
      <c r="AP17" s="480">
        <f>'SubRes-RSD_MaxRetrofit'!AP79</f>
        <v>199.31371586044133</v>
      </c>
      <c r="AQ17" s="480">
        <f>'SubRes-RSD_MaxRetrofit'!AQ79</f>
        <v>1078.5750540157949</v>
      </c>
      <c r="AR17" s="480">
        <f>'SubRes-RSD_MaxRetrofit'!AR79</f>
        <v>297.53641782104188</v>
      </c>
      <c r="AS17" s="480">
        <f>'SubRes-RSD_MaxRetrofit'!AS79</f>
        <v>129.77659979999999</v>
      </c>
      <c r="AT17" s="480">
        <f>'SubRes-RSD_MaxRetrofit'!AT79</f>
        <v>107.58056784155019</v>
      </c>
      <c r="AU17" s="480">
        <f>'SubRes-RSD_MaxRetrofit'!AU79</f>
        <v>218.16532251448081</v>
      </c>
      <c r="AV17" s="480">
        <f>'SubRes-RSD_MaxRetrofit'!AV79</f>
        <v>48.691389510087625</v>
      </c>
      <c r="AW17" s="480">
        <f>'SubRes-RSD_MaxRetrofit'!AW79</f>
        <v>68.884631856564482</v>
      </c>
      <c r="AX17" s="480">
        <f>'SubRes-RSD_MaxRetrofit'!AX79</f>
        <v>381.28805308539404</v>
      </c>
      <c r="AY17" s="2"/>
    </row>
    <row r="18" spans="2:51">
      <c r="B18" s="523">
        <v>1</v>
      </c>
      <c r="C18" s="526">
        <f t="shared" si="0"/>
        <v>5</v>
      </c>
      <c r="D18" s="526" t="str">
        <f>INDEX('SubRes-RSD_MaxRetrofit'!$I$65:$I$70,C18)</f>
        <v>Pre99</v>
      </c>
      <c r="E18" s="526" t="str">
        <f t="shared" si="1"/>
        <v>DET</v>
      </c>
      <c r="F18" s="2"/>
      <c r="G18" s="2" t="s">
        <v>629</v>
      </c>
      <c r="H18" s="2" t="s">
        <v>630</v>
      </c>
      <c r="I18" s="2" t="s">
        <v>512</v>
      </c>
      <c r="J18" s="5" t="s">
        <v>631</v>
      </c>
      <c r="K18" s="2" t="str">
        <f>"Bldg_"&amp;E18&amp;D18&amp;"-"&amp;INDEX('SubRes-RSD_MaxRetrofit'!$C$65:$C$67,B18)</f>
        <v>Bldg_DETPre99-Win</v>
      </c>
      <c r="L18" s="2">
        <v>2020</v>
      </c>
      <c r="M18" s="2"/>
      <c r="N18" s="480">
        <f>'SubRes-RSD_MaxRetrofit'!N80</f>
        <v>34.186418495119696</v>
      </c>
      <c r="O18" s="480">
        <f>'SubRes-RSD_MaxRetrofit'!O80</f>
        <v>173.51854230045839</v>
      </c>
      <c r="P18" s="480">
        <f>'SubRes-RSD_MaxRetrofit'!P80</f>
        <v>46.18799435653829</v>
      </c>
      <c r="Q18" s="480">
        <f>'SubRes-RSD_MaxRetrofit'!Q80</f>
        <v>109.45701529799435</v>
      </c>
      <c r="R18" s="480">
        <f>'SubRes-RSD_MaxRetrofit'!R80</f>
        <v>101.56813262809619</v>
      </c>
      <c r="S18" s="480">
        <f>'SubRes-RSD_MaxRetrofit'!S80</f>
        <v>134.41876043039858</v>
      </c>
      <c r="T18" s="480">
        <f>'SubRes-RSD_MaxRetrofit'!T80</f>
        <v>18.08765814441956</v>
      </c>
      <c r="U18" s="480">
        <f>'SubRes-RSD_MaxRetrofit'!U80</f>
        <v>85.72086435677366</v>
      </c>
      <c r="V18" s="480">
        <f>'SubRes-RSD_MaxRetrofit'!V80</f>
        <v>958.94049423764079</v>
      </c>
      <c r="W18" s="480">
        <f>'SubRes-RSD_MaxRetrofit'!W80</f>
        <v>67.75527517806448</v>
      </c>
      <c r="X18" s="480">
        <f>'SubRes-RSD_MaxRetrofit'!X80</f>
        <v>7.3370537714334541</v>
      </c>
      <c r="Y18" s="480">
        <f>'SubRes-RSD_MaxRetrofit'!Y80</f>
        <v>123.60784335119607</v>
      </c>
      <c r="Z18" s="480">
        <f>'SubRes-RSD_MaxRetrofit'!Z80</f>
        <v>185.39243822026032</v>
      </c>
      <c r="AA18" s="480">
        <f>'SubRes-RSD_MaxRetrofit'!AA80</f>
        <v>93.84868241148844</v>
      </c>
      <c r="AB18" s="480">
        <f>'SubRes-RSD_MaxRetrofit'!AB80</f>
        <v>712.60673422759623</v>
      </c>
      <c r="AC18" s="480">
        <f>'SubRes-RSD_MaxRetrofit'!AC80</f>
        <v>60.893733834436496</v>
      </c>
      <c r="AD18" s="480">
        <f>'SubRes-RSD_MaxRetrofit'!AD80</f>
        <v>156.49322809989133</v>
      </c>
      <c r="AE18" s="480">
        <f>'SubRes-RSD_MaxRetrofit'!AE80</f>
        <v>85.367685860866288</v>
      </c>
      <c r="AF18" s="480">
        <f>'SubRes-RSD_MaxRetrofit'!AF80</f>
        <v>5.1635521950769148</v>
      </c>
      <c r="AG18" s="480">
        <f>'SubRes-RSD_MaxRetrofit'!AG80</f>
        <v>127.25947094997306</v>
      </c>
      <c r="AH18" s="480">
        <f>'SubRes-RSD_MaxRetrofit'!AH80</f>
        <v>25.872309135392644</v>
      </c>
      <c r="AI18" s="480">
        <f>'SubRes-RSD_MaxRetrofit'!AI80</f>
        <v>20.169145536448266</v>
      </c>
      <c r="AJ18" s="480">
        <f>'SubRes-RSD_MaxRetrofit'!AJ80</f>
        <v>4.5488610217862151</v>
      </c>
      <c r="AK18" s="480">
        <f>'SubRes-RSD_MaxRetrofit'!AK80</f>
        <v>13.535932895961425</v>
      </c>
      <c r="AL18" s="480">
        <f>'SubRes-RSD_MaxRetrofit'!AL80</f>
        <v>4.9192841324130994</v>
      </c>
      <c r="AM18" s="480">
        <f>'SubRes-RSD_MaxRetrofit'!AM80</f>
        <v>21.679191262645055</v>
      </c>
      <c r="AN18" s="480">
        <f>'SubRes-RSD_MaxRetrofit'!AN80</f>
        <v>1.2927255900605863</v>
      </c>
      <c r="AO18" s="480">
        <f>'SubRes-RSD_MaxRetrofit'!AO80</f>
        <v>105.03666692285195</v>
      </c>
      <c r="AP18" s="480">
        <f>'SubRes-RSD_MaxRetrofit'!AP80</f>
        <v>80.235577445388714</v>
      </c>
      <c r="AQ18" s="480">
        <f>'SubRes-RSD_MaxRetrofit'!AQ80</f>
        <v>532.52823209855194</v>
      </c>
      <c r="AR18" s="480">
        <f>'SubRes-RSD_MaxRetrofit'!AR80</f>
        <v>236.91153368948144</v>
      </c>
      <c r="AS18" s="480">
        <f>'SubRes-RSD_MaxRetrofit'!AS80</f>
        <v>133.10326307672554</v>
      </c>
      <c r="AT18" s="480">
        <f>'SubRes-RSD_MaxRetrofit'!AT80</f>
        <v>88.50458518604627</v>
      </c>
      <c r="AU18" s="480">
        <f>'SubRes-RSD_MaxRetrofit'!AU80</f>
        <v>105.96675077351949</v>
      </c>
      <c r="AV18" s="480">
        <f>'SubRes-RSD_MaxRetrofit'!AV80</f>
        <v>20.584275862852557</v>
      </c>
      <c r="AW18" s="480">
        <f>'SubRes-RSD_MaxRetrofit'!AW80</f>
        <v>51.216291980809764</v>
      </c>
      <c r="AX18" s="480">
        <f>'SubRes-RSD_MaxRetrofit'!AX80</f>
        <v>369.90738511493879</v>
      </c>
      <c r="AY18" s="2"/>
    </row>
    <row r="19" spans="2:51">
      <c r="B19" s="523">
        <v>1</v>
      </c>
      <c r="C19" s="526">
        <f t="shared" si="0"/>
        <v>5</v>
      </c>
      <c r="D19" s="526" t="str">
        <f>INDEX('SubRes-RSD_MaxRetrofit'!$I$65:$I$70,C19)</f>
        <v>Pre99</v>
      </c>
      <c r="E19" s="526" t="str">
        <f t="shared" si="1"/>
        <v>SDE</v>
      </c>
      <c r="F19" s="2"/>
      <c r="G19" s="2" t="s">
        <v>629</v>
      </c>
      <c r="H19" s="2" t="s">
        <v>630</v>
      </c>
      <c r="I19" s="2" t="s">
        <v>512</v>
      </c>
      <c r="J19" s="5" t="s">
        <v>631</v>
      </c>
      <c r="K19" s="2" t="str">
        <f>"Bldg_"&amp;E19&amp;D19&amp;"-"&amp;INDEX('SubRes-RSD_MaxRetrofit'!$C$65:$C$67,B19)</f>
        <v>Bldg_SDEPre99-Win</v>
      </c>
      <c r="L19" s="2">
        <v>2020</v>
      </c>
      <c r="M19" s="2"/>
      <c r="N19" s="480">
        <f>'SubRes-RSD_MaxRetrofit'!N81</f>
        <v>19.329703915464879</v>
      </c>
      <c r="O19" s="480">
        <f>'SubRes-RSD_MaxRetrofit'!O81</f>
        <v>80.411031797773447</v>
      </c>
      <c r="P19" s="480">
        <f>'SubRes-RSD_MaxRetrofit'!P81</f>
        <v>16.529607569377557</v>
      </c>
      <c r="Q19" s="480">
        <f>'SubRes-RSD_MaxRetrofit'!Q81</f>
        <v>182.62504708748918</v>
      </c>
      <c r="R19" s="480">
        <f>'SubRes-RSD_MaxRetrofit'!R81</f>
        <v>55.200072080487089</v>
      </c>
      <c r="S19" s="480">
        <f>'SubRes-RSD_MaxRetrofit'!S81</f>
        <v>150.7975169534304</v>
      </c>
      <c r="T19" s="480">
        <f>'SubRes-RSD_MaxRetrofit'!T81</f>
        <v>18.472501934726363</v>
      </c>
      <c r="U19" s="480">
        <f>'SubRes-RSD_MaxRetrofit'!U81</f>
        <v>50.810351050184373</v>
      </c>
      <c r="V19" s="480">
        <f>'SubRes-RSD_MaxRetrofit'!V81</f>
        <v>1002.5286985211699</v>
      </c>
      <c r="W19" s="480">
        <f>'SubRes-RSD_MaxRetrofit'!W81</f>
        <v>36.072861040510688</v>
      </c>
      <c r="X19" s="480">
        <f>'SubRes-RSD_MaxRetrofit'!X81</f>
        <v>3.4038512882572998</v>
      </c>
      <c r="Y19" s="480">
        <f>'SubRes-RSD_MaxRetrofit'!Y81</f>
        <v>69.890416100442664</v>
      </c>
      <c r="Z19" s="480">
        <f>'SubRes-RSD_MaxRetrofit'!Z81</f>
        <v>410.99867737800338</v>
      </c>
      <c r="AA19" s="480">
        <f>'SubRes-RSD_MaxRetrofit'!AA81</f>
        <v>70.933299682835781</v>
      </c>
      <c r="AB19" s="480">
        <f>'SubRes-RSD_MaxRetrofit'!AB81</f>
        <v>633.60734513901662</v>
      </c>
      <c r="AC19" s="480">
        <f>'SubRes-RSD_MaxRetrofit'!AC81</f>
        <v>21.792449266091133</v>
      </c>
      <c r="AD19" s="480">
        <f>'SubRes-RSD_MaxRetrofit'!AD81</f>
        <v>57.797185964905104</v>
      </c>
      <c r="AE19" s="480">
        <f>'SubRes-RSD_MaxRetrofit'!AE81</f>
        <v>128.40711413410889</v>
      </c>
      <c r="AF19" s="480">
        <f>'SubRes-RSD_MaxRetrofit'!AF81</f>
        <v>4.8232607896706998</v>
      </c>
      <c r="AG19" s="480">
        <f>'SubRes-RSD_MaxRetrofit'!AG81</f>
        <v>226.31940004171341</v>
      </c>
      <c r="AH19" s="480">
        <f>'SubRes-RSD_MaxRetrofit'!AH81</f>
        <v>9.259096933727843</v>
      </c>
      <c r="AI19" s="480">
        <f>'SubRes-RSD_MaxRetrofit'!AI81</f>
        <v>10.199170186044862</v>
      </c>
      <c r="AJ19" s="480">
        <f>'SubRes-RSD_MaxRetrofit'!AJ81</f>
        <v>5.886026212256338</v>
      </c>
      <c r="AK19" s="480">
        <f>'SubRes-RSD_MaxRetrofit'!AK81</f>
        <v>5.4058599930411964</v>
      </c>
      <c r="AL19" s="480">
        <f>'SubRes-RSD_MaxRetrofit'!AL81</f>
        <v>2.7814643926260985</v>
      </c>
      <c r="AM19" s="480">
        <f>'SubRes-RSD_MaxRetrofit'!AM81</f>
        <v>11.78216916448101</v>
      </c>
      <c r="AN19" s="480">
        <f>'SubRes-RSD_MaxRetrofit'!AN81</f>
        <v>16.518160317440824</v>
      </c>
      <c r="AO19" s="480">
        <f>'SubRes-RSD_MaxRetrofit'!AO81</f>
        <v>554.68437378086321</v>
      </c>
      <c r="AP19" s="480">
        <f>'SubRes-RSD_MaxRetrofit'!AP81</f>
        <v>63.018635168186279</v>
      </c>
      <c r="AQ19" s="480">
        <f>'SubRes-RSD_MaxRetrofit'!AQ81</f>
        <v>199.8342138856531</v>
      </c>
      <c r="AR19" s="480">
        <f>'SubRes-RSD_MaxRetrofit'!AR81</f>
        <v>191.25062848947672</v>
      </c>
      <c r="AS19" s="480">
        <f>'SubRes-RSD_MaxRetrofit'!AS81</f>
        <v>38.225937123274477</v>
      </c>
      <c r="AT19" s="480">
        <f>'SubRes-RSD_MaxRetrofit'!AT81</f>
        <v>31.673729972403528</v>
      </c>
      <c r="AU19" s="480">
        <f>'SubRes-RSD_MaxRetrofit'!AU81</f>
        <v>50.836815711999698</v>
      </c>
      <c r="AV19" s="480">
        <f>'SubRes-RSD_MaxRetrofit'!AV81</f>
        <v>6.8459716270598241</v>
      </c>
      <c r="AW19" s="480">
        <f>'SubRes-RSD_MaxRetrofit'!AW81</f>
        <v>15.241722162625749</v>
      </c>
      <c r="AX19" s="480">
        <f>'SubRes-RSD_MaxRetrofit'!AX81</f>
        <v>1284.228672799667</v>
      </c>
      <c r="AY19" s="2"/>
    </row>
    <row r="20" spans="2:51">
      <c r="B20" s="523">
        <v>1</v>
      </c>
      <c r="C20" s="526">
        <f t="shared" si="0"/>
        <v>6</v>
      </c>
      <c r="D20" s="526" t="str">
        <f>INDEX('SubRes-RSD_MaxRetrofit'!$I$65:$I$70,C20)</f>
        <v>Pre09</v>
      </c>
      <c r="E20" s="526" t="str">
        <f t="shared" si="1"/>
        <v>FLT</v>
      </c>
      <c r="F20" s="2"/>
      <c r="G20" s="2" t="s">
        <v>629</v>
      </c>
      <c r="H20" s="2" t="s">
        <v>630</v>
      </c>
      <c r="I20" s="2" t="s">
        <v>512</v>
      </c>
      <c r="J20" s="5" t="s">
        <v>631</v>
      </c>
      <c r="K20" s="2" t="str">
        <f>"Bldg_"&amp;E20&amp;D20&amp;"-"&amp;INDEX('SubRes-RSD_MaxRetrofit'!$C$65:$C$67,B20)</f>
        <v>Bldg_FLTPre09-Win</v>
      </c>
      <c r="L20" s="2">
        <v>2020</v>
      </c>
      <c r="M20" s="2"/>
      <c r="N20" s="480">
        <f>'SubRes-RSD_MaxRetrofit'!N82</f>
        <v>40.109860472738262</v>
      </c>
      <c r="O20" s="480">
        <f>'SubRes-RSD_MaxRetrofit'!O82</f>
        <v>102.6026573497053</v>
      </c>
      <c r="P20" s="480">
        <f>'SubRes-RSD_MaxRetrofit'!P82</f>
        <v>42.161557376973775</v>
      </c>
      <c r="Q20" s="480">
        <f>'SubRes-RSD_MaxRetrofit'!Q82</f>
        <v>70.102719075016594</v>
      </c>
      <c r="R20" s="480">
        <f>'SubRes-RSD_MaxRetrofit'!R82</f>
        <v>199.0585423279054</v>
      </c>
      <c r="S20" s="480">
        <f>'SubRes-RSD_MaxRetrofit'!S82</f>
        <v>107.64081311132098</v>
      </c>
      <c r="T20" s="480">
        <f>'SubRes-RSD_MaxRetrofit'!T82</f>
        <v>30.694791644895528</v>
      </c>
      <c r="U20" s="480">
        <f>'SubRes-RSD_MaxRetrofit'!U82</f>
        <v>139.21443130786497</v>
      </c>
      <c r="V20" s="480">
        <f>'SubRes-RSD_MaxRetrofit'!V82</f>
        <v>1261.9275493689988</v>
      </c>
      <c r="W20" s="480">
        <f>'SubRes-RSD_MaxRetrofit'!W82</f>
        <v>95.842879700857893</v>
      </c>
      <c r="X20" s="480">
        <f>'SubRes-RSD_MaxRetrofit'!X82</f>
        <v>25.249444480802204</v>
      </c>
      <c r="Y20" s="480">
        <f>'SubRes-RSD_MaxRetrofit'!Y82</f>
        <v>145.02523424208152</v>
      </c>
      <c r="Z20" s="480">
        <f>'SubRes-RSD_MaxRetrofit'!Z82</f>
        <v>2403.9570549832829</v>
      </c>
      <c r="AA20" s="480">
        <f>'SubRes-RSD_MaxRetrofit'!AA82</f>
        <v>128.24101552307064</v>
      </c>
      <c r="AB20" s="480">
        <f>'SubRes-RSD_MaxRetrofit'!AB82</f>
        <v>1417.3853444798438</v>
      </c>
      <c r="AC20" s="480">
        <f>'SubRes-RSD_MaxRetrofit'!AC82</f>
        <v>66.291309871417113</v>
      </c>
      <c r="AD20" s="480">
        <f>'SubRes-RSD_MaxRetrofit'!AD82</f>
        <v>157.93067579915589</v>
      </c>
      <c r="AE20" s="480">
        <f>'SubRes-RSD_MaxRetrofit'!AE82</f>
        <v>54.110641174925789</v>
      </c>
      <c r="AF20" s="480">
        <f>'SubRes-RSD_MaxRetrofit'!AF82</f>
        <v>7.7722031421488511</v>
      </c>
      <c r="AG20" s="480">
        <f>'SubRes-RSD_MaxRetrofit'!AG82</f>
        <v>803.83842413895491</v>
      </c>
      <c r="AH20" s="480">
        <f>'SubRes-RSD_MaxRetrofit'!AH82</f>
        <v>23.61689138667364</v>
      </c>
      <c r="AI20" s="480">
        <f>'SubRes-RSD_MaxRetrofit'!AI82</f>
        <v>49.208265200013763</v>
      </c>
      <c r="AJ20" s="480">
        <f>'SubRes-RSD_MaxRetrofit'!AJ82</f>
        <v>8.1332575531914895</v>
      </c>
      <c r="AK20" s="480">
        <f>'SubRes-RSD_MaxRetrofit'!AK82</f>
        <v>49.086026067434688</v>
      </c>
      <c r="AL20" s="480">
        <f>'SubRes-RSD_MaxRetrofit'!AL82</f>
        <v>8.5109041616164447</v>
      </c>
      <c r="AM20" s="480">
        <f>'SubRes-RSD_MaxRetrofit'!AM82</f>
        <v>46.60428378673177</v>
      </c>
      <c r="AN20" s="480">
        <f>'SubRes-RSD_MaxRetrofit'!AN82</f>
        <v>2.2070144774957696</v>
      </c>
      <c r="AO20" s="480">
        <f>'SubRes-RSD_MaxRetrofit'!AO82</f>
        <v>148.46865716238921</v>
      </c>
      <c r="AP20" s="480">
        <f>'SubRes-RSD_MaxRetrofit'!AP82</f>
        <v>140.73088690336078</v>
      </c>
      <c r="AQ20" s="480">
        <f>'SubRes-RSD_MaxRetrofit'!AQ82</f>
        <v>1342.0302721278497</v>
      </c>
      <c r="AR20" s="480">
        <f>'SubRes-RSD_MaxRetrofit'!AR82</f>
        <v>168.96951817194957</v>
      </c>
      <c r="AS20" s="480">
        <f>'SubRes-RSD_MaxRetrofit'!AS82</f>
        <v>127.5554844</v>
      </c>
      <c r="AT20" s="480">
        <f>'SubRes-RSD_MaxRetrofit'!AT82</f>
        <v>80.789200709654324</v>
      </c>
      <c r="AU20" s="480">
        <f>'SubRes-RSD_MaxRetrofit'!AU82</f>
        <v>60.866387059806925</v>
      </c>
      <c r="AV20" s="480">
        <f>'SubRes-RSD_MaxRetrofit'!AV82</f>
        <v>42.574698508130162</v>
      </c>
      <c r="AW20" s="480">
        <f>'SubRes-RSD_MaxRetrofit'!AW82</f>
        <v>85.123908571428572</v>
      </c>
      <c r="AX20" s="480">
        <f>'SubRes-RSD_MaxRetrofit'!AX82</f>
        <v>315.31074469020649</v>
      </c>
      <c r="AY20" s="2"/>
    </row>
    <row r="21" spans="2:51">
      <c r="B21" s="523">
        <v>1</v>
      </c>
      <c r="C21" s="526">
        <f t="shared" si="0"/>
        <v>6</v>
      </c>
      <c r="D21" s="526" t="str">
        <f>INDEX('SubRes-RSD_MaxRetrofit'!$I$65:$I$70,C21)</f>
        <v>Pre09</v>
      </c>
      <c r="E21" s="526" t="str">
        <f t="shared" si="1"/>
        <v>DET</v>
      </c>
      <c r="F21" s="2"/>
      <c r="G21" s="2" t="s">
        <v>629</v>
      </c>
      <c r="H21" s="2" t="s">
        <v>630</v>
      </c>
      <c r="I21" s="2" t="s">
        <v>512</v>
      </c>
      <c r="J21" s="5" t="s">
        <v>631</v>
      </c>
      <c r="K21" s="2" t="str">
        <f>"Bldg_"&amp;E21&amp;D21&amp;"-"&amp;INDEX('SubRes-RSD_MaxRetrofit'!$C$65:$C$67,B21)</f>
        <v>Bldg_DETPre09-Win</v>
      </c>
      <c r="L21" s="2">
        <v>2020</v>
      </c>
      <c r="M21" s="2"/>
      <c r="N21" s="480">
        <f>'SubRes-RSD_MaxRetrofit'!N83</f>
        <v>17.409922503339299</v>
      </c>
      <c r="O21" s="480">
        <f>'SubRes-RSD_MaxRetrofit'!O83</f>
        <v>70.943181261034695</v>
      </c>
      <c r="P21" s="480">
        <f>'SubRes-RSD_MaxRetrofit'!P83</f>
        <v>34.685549828503149</v>
      </c>
      <c r="Q21" s="480">
        <f>'SubRes-RSD_MaxRetrofit'!Q83</f>
        <v>73.57596335673621</v>
      </c>
      <c r="R21" s="480">
        <f>'SubRes-RSD_MaxRetrofit'!R83</f>
        <v>158.02725302699085</v>
      </c>
      <c r="S21" s="480">
        <f>'SubRes-RSD_MaxRetrofit'!S83</f>
        <v>54.957207222182682</v>
      </c>
      <c r="T21" s="480">
        <f>'SubRes-RSD_MaxRetrofit'!T83</f>
        <v>38.890577133578006</v>
      </c>
      <c r="U21" s="480">
        <f>'SubRes-RSD_MaxRetrofit'!U83</f>
        <v>64.755131006707572</v>
      </c>
      <c r="V21" s="480">
        <f>'SubRes-RSD_MaxRetrofit'!V83</f>
        <v>527.31650724182305</v>
      </c>
      <c r="W21" s="480">
        <f>'SubRes-RSD_MaxRetrofit'!W83</f>
        <v>89.616596239783021</v>
      </c>
      <c r="X21" s="480">
        <f>'SubRes-RSD_MaxRetrofit'!X83</f>
        <v>5.7760409414806713</v>
      </c>
      <c r="Y21" s="480">
        <f>'SubRes-RSD_MaxRetrofit'!Y83</f>
        <v>62.949061887147899</v>
      </c>
      <c r="Z21" s="480">
        <f>'SubRes-RSD_MaxRetrofit'!Z83</f>
        <v>314.67496159605378</v>
      </c>
      <c r="AA21" s="480">
        <f>'SubRes-RSD_MaxRetrofit'!AA83</f>
        <v>91.666666069515145</v>
      </c>
      <c r="AB21" s="480">
        <f>'SubRes-RSD_MaxRetrofit'!AB83</f>
        <v>970.91582462025042</v>
      </c>
      <c r="AC21" s="480">
        <f>'SubRes-RSD_MaxRetrofit'!AC83</f>
        <v>83.49458835194504</v>
      </c>
      <c r="AD21" s="480">
        <f>'SubRes-RSD_MaxRetrofit'!AD83</f>
        <v>184.57990065524498</v>
      </c>
      <c r="AE21" s="480">
        <f>'SubRes-RSD_MaxRetrofit'!AE83</f>
        <v>170.05443658602607</v>
      </c>
      <c r="AF21" s="480">
        <f>'SubRes-RSD_MaxRetrofit'!AF83</f>
        <v>5.043497709677867</v>
      </c>
      <c r="AG21" s="480">
        <f>'SubRes-RSD_MaxRetrofit'!AG83</f>
        <v>99.57553650622485</v>
      </c>
      <c r="AH21" s="480">
        <f>'SubRes-RSD_MaxRetrofit'!AH83</f>
        <v>19.429188909283418</v>
      </c>
      <c r="AI21" s="480">
        <f>'SubRes-RSD_MaxRetrofit'!AI83</f>
        <v>17.676343353953119</v>
      </c>
      <c r="AJ21" s="480">
        <f>'SubRes-RSD_MaxRetrofit'!AJ83</f>
        <v>6.2567927073512548</v>
      </c>
      <c r="AK21" s="480">
        <f>'SubRes-RSD_MaxRetrofit'!AK83</f>
        <v>15.703916864170269</v>
      </c>
      <c r="AL21" s="480">
        <f>'SubRes-RSD_MaxRetrofit'!AL83</f>
        <v>3.6942083602559723</v>
      </c>
      <c r="AM21" s="480">
        <f>'SubRes-RSD_MaxRetrofit'!AM83</f>
        <v>33.73009776232562</v>
      </c>
      <c r="AN21" s="480">
        <f>'SubRes-RSD_MaxRetrofit'!AN83</f>
        <v>0.48207378792369415</v>
      </c>
      <c r="AO21" s="480">
        <f>'SubRes-RSD_MaxRetrofit'!AO83</f>
        <v>54.60445394957538</v>
      </c>
      <c r="AP21" s="480">
        <f>'SubRes-RSD_MaxRetrofit'!AP83</f>
        <v>56.652518500027334</v>
      </c>
      <c r="AQ21" s="480">
        <f>'SubRes-RSD_MaxRetrofit'!AQ83</f>
        <v>662.60480026688674</v>
      </c>
      <c r="AR21" s="480">
        <f>'SubRes-RSD_MaxRetrofit'!AR83</f>
        <v>134.5409344847543</v>
      </c>
      <c r="AS21" s="480">
        <f>'SubRes-RSD_MaxRetrofit'!AS83</f>
        <v>130.82521211942216</v>
      </c>
      <c r="AT21" s="480">
        <f>'SubRes-RSD_MaxRetrofit'!AT83</f>
        <v>66.463812561868693</v>
      </c>
      <c r="AU21" s="480">
        <f>'SubRes-RSD_MaxRetrofit'!AU83</f>
        <v>29.563879326527815</v>
      </c>
      <c r="AV21" s="480">
        <f>'SubRes-RSD_MaxRetrofit'!AV83</f>
        <v>17.99844587896936</v>
      </c>
      <c r="AW21" s="480">
        <f>'SubRes-RSD_MaxRetrofit'!AW83</f>
        <v>63.290328168119139</v>
      </c>
      <c r="AX21" s="480">
        <f>'SubRes-RSD_MaxRetrofit'!AX83</f>
        <v>305.89936433407308</v>
      </c>
      <c r="AY21" s="2"/>
    </row>
    <row r="22" spans="2:51">
      <c r="B22" s="523">
        <v>1</v>
      </c>
      <c r="C22" s="526">
        <f t="shared" si="0"/>
        <v>6</v>
      </c>
      <c r="D22" s="526" t="str">
        <f>INDEX('SubRes-RSD_MaxRetrofit'!$I$65:$I$70,C22)</f>
        <v>Pre09</v>
      </c>
      <c r="E22" s="526" t="str">
        <f t="shared" si="1"/>
        <v>SDE</v>
      </c>
      <c r="F22" s="2"/>
      <c r="G22" s="2" t="s">
        <v>629</v>
      </c>
      <c r="H22" s="2" t="s">
        <v>630</v>
      </c>
      <c r="I22" s="2" t="s">
        <v>512</v>
      </c>
      <c r="J22" s="5" t="s">
        <v>631</v>
      </c>
      <c r="K22" s="2" t="str">
        <f>"Bldg_"&amp;E22&amp;D22&amp;"-"&amp;INDEX('SubRes-RSD_MaxRetrofit'!$C$65:$C$67,B22)</f>
        <v>Bldg_SDEPre09-Win</v>
      </c>
      <c r="L22" s="2">
        <v>2020</v>
      </c>
      <c r="M22" s="2"/>
      <c r="N22" s="480">
        <f>'SubRes-RSD_MaxRetrofit'!N84</f>
        <v>9.8439281444114766</v>
      </c>
      <c r="O22" s="480">
        <f>'SubRes-RSD_MaxRetrofit'!O84</f>
        <v>32.876108389259997</v>
      </c>
      <c r="P22" s="480">
        <f>'SubRes-RSD_MaxRetrofit'!P84</f>
        <v>12.413150537940327</v>
      </c>
      <c r="Q22" s="480">
        <f>'SubRes-RSD_MaxRetrofit'!Q84</f>
        <v>122.7588175682472</v>
      </c>
      <c r="R22" s="480">
        <f>'SubRes-RSD_MaxRetrofit'!R84</f>
        <v>85.884376645103757</v>
      </c>
      <c r="S22" s="480">
        <f>'SubRes-RSD_MaxRetrofit'!S84</f>
        <v>61.653673648415058</v>
      </c>
      <c r="T22" s="480">
        <f>'SubRes-RSD_MaxRetrofit'!T84</f>
        <v>39.718036221526475</v>
      </c>
      <c r="U22" s="480">
        <f>'SubRes-RSD_MaxRetrofit'!U84</f>
        <v>38.383081685427463</v>
      </c>
      <c r="V22" s="480">
        <f>'SubRes-RSD_MaxRetrofit'!V84</f>
        <v>551.28543938917858</v>
      </c>
      <c r="W22" s="480">
        <f>'SubRes-RSD_MaxRetrofit'!W84</f>
        <v>47.711813059359088</v>
      </c>
      <c r="X22" s="480">
        <f>'SubRes-RSD_MaxRetrofit'!X84</f>
        <v>2.6796565777171244</v>
      </c>
      <c r="Y22" s="480">
        <f>'SubRes-RSD_MaxRetrofit'!Y84</f>
        <v>35.592693870770553</v>
      </c>
      <c r="Z22" s="480">
        <f>'SubRes-RSD_MaxRetrofit'!Z84</f>
        <v>697.60662442066302</v>
      </c>
      <c r="AA22" s="480">
        <f>'SubRes-RSD_MaxRetrofit'!AA84</f>
        <v>69.284074407414224</v>
      </c>
      <c r="AB22" s="480">
        <f>'SubRes-RSD_MaxRetrofit'!AB84</f>
        <v>863.28035989990587</v>
      </c>
      <c r="AC22" s="480">
        <f>'SubRes-RSD_MaxRetrofit'!AC84</f>
        <v>29.880768776637847</v>
      </c>
      <c r="AD22" s="480">
        <f>'SubRes-RSD_MaxRetrofit'!AD84</f>
        <v>68.17035454559911</v>
      </c>
      <c r="AE22" s="480">
        <f>'SubRes-RSD_MaxRetrofit'!AE84</f>
        <v>255.78998923904814</v>
      </c>
      <c r="AF22" s="480">
        <f>'SubRes-RSD_MaxRetrofit'!AF84</f>
        <v>4.7111182044555431</v>
      </c>
      <c r="AG22" s="480">
        <f>'SubRes-RSD_MaxRetrofit'!AG84</f>
        <v>177.08603935482026</v>
      </c>
      <c r="AH22" s="480">
        <f>'SubRes-RSD_MaxRetrofit'!AH84</f>
        <v>6.9532542500688912</v>
      </c>
      <c r="AI22" s="480">
        <f>'SubRes-RSD_MaxRetrofit'!AI84</f>
        <v>8.9386054460331117</v>
      </c>
      <c r="AJ22" s="480">
        <f>'SubRes-RSD_MaxRetrofit'!AJ84</f>
        <v>8.0960147394572548</v>
      </c>
      <c r="AK22" s="480">
        <f>'SubRes-RSD_MaxRetrofit'!AK84</f>
        <v>6.2716900683950429</v>
      </c>
      <c r="AL22" s="480">
        <f>'SubRes-RSD_MaxRetrofit'!AL84</f>
        <v>2.0887813625746388</v>
      </c>
      <c r="AM22" s="480">
        <f>'SubRes-RSD_MaxRetrofit'!AM84</f>
        <v>18.33157487082914</v>
      </c>
      <c r="AN22" s="480">
        <f>'SubRes-RSD_MaxRetrofit'!AN84</f>
        <v>6.1598317345805356</v>
      </c>
      <c r="AO22" s="480">
        <f>'SubRes-RSD_MaxRetrofit'!AO84</f>
        <v>288.35870588803544</v>
      </c>
      <c r="AP22" s="480">
        <f>'SubRes-RSD_MaxRetrofit'!AP84</f>
        <v>44.496026680210925</v>
      </c>
      <c r="AQ22" s="480">
        <f>'SubRes-RSD_MaxRetrofit'!AQ84</f>
        <v>248.64617760526343</v>
      </c>
      <c r="AR22" s="480">
        <f>'SubRes-RSD_MaxRetrofit'!AR84</f>
        <v>108.61032334329613</v>
      </c>
      <c r="AS22" s="480">
        <f>'SubRes-RSD_MaxRetrofit'!AS84</f>
        <v>37.571703480577852</v>
      </c>
      <c r="AT22" s="480">
        <f>'SubRes-RSD_MaxRetrofit'!AT84</f>
        <v>23.785850728476969</v>
      </c>
      <c r="AU22" s="480">
        <f>'SubRes-RSD_MaxRetrofit'!AU84</f>
        <v>14.183066613665265</v>
      </c>
      <c r="AV22" s="480">
        <f>'SubRes-RSD_MaxRetrofit'!AV84</f>
        <v>5.9859696129004716</v>
      </c>
      <c r="AW22" s="480">
        <f>'SubRes-RSD_MaxRetrofit'!AW84</f>
        <v>18.834897260452287</v>
      </c>
      <c r="AX22" s="480">
        <f>'SubRes-RSD_MaxRetrofit'!AX84</f>
        <v>1062.0083579757202</v>
      </c>
      <c r="AY22" s="2"/>
    </row>
    <row r="23" spans="2:51">
      <c r="B23" s="523">
        <f t="shared" ref="B23:B58" si="2">B5+1</f>
        <v>2</v>
      </c>
      <c r="C23" s="526">
        <f t="shared" ref="C23:C58" si="3">C5</f>
        <v>1</v>
      </c>
      <c r="D23" s="526" t="str">
        <f>INDEX('SubRes-RSD_MaxRetrofit'!$I$65:$I$70,C23)</f>
        <v>Pre45</v>
      </c>
      <c r="E23" s="526" t="str">
        <f t="shared" si="1"/>
        <v>FLT</v>
      </c>
      <c r="F23" s="2"/>
      <c r="G23" s="2" t="s">
        <v>629</v>
      </c>
      <c r="H23" s="2" t="s">
        <v>630</v>
      </c>
      <c r="I23" s="2" t="s">
        <v>512</v>
      </c>
      <c r="J23" s="5" t="s">
        <v>631</v>
      </c>
      <c r="K23" s="2" t="str">
        <f>"Bldg_"&amp;E23&amp;D23&amp;"-"&amp;INDEX('SubRes-RSD_MaxRetrofit'!$C$65:$C$67,B23)</f>
        <v>Bldg_FLTPre45-Cei</v>
      </c>
      <c r="L23" s="2">
        <v>2020</v>
      </c>
      <c r="M23" s="2"/>
      <c r="N23" s="480">
        <f t="shared" ref="N23:AX29" si="4">N5</f>
        <v>52.739168560647769</v>
      </c>
      <c r="O23" s="480">
        <f t="shared" si="4"/>
        <v>426.88055213555992</v>
      </c>
      <c r="P23" s="480">
        <f t="shared" si="4"/>
        <v>79.510185717506019</v>
      </c>
      <c r="Q23" s="480">
        <f t="shared" si="4"/>
        <v>470.89406639831816</v>
      </c>
      <c r="R23" s="480">
        <f t="shared" si="4"/>
        <v>195.8671606411277</v>
      </c>
      <c r="S23" s="480">
        <f t="shared" si="4"/>
        <v>447.84190702457772</v>
      </c>
      <c r="T23" s="480">
        <f t="shared" si="4"/>
        <v>2.5426748009718181</v>
      </c>
      <c r="U23" s="480">
        <f t="shared" si="4"/>
        <v>553.47062423293596</v>
      </c>
      <c r="V23" s="480">
        <f t="shared" si="4"/>
        <v>4572.4327834387923</v>
      </c>
      <c r="W23" s="480">
        <f t="shared" si="4"/>
        <v>394.10243103245057</v>
      </c>
      <c r="X23" s="480">
        <f t="shared" si="4"/>
        <v>91.537888851347205</v>
      </c>
      <c r="Y23" s="480">
        <f t="shared" si="4"/>
        <v>190.68902718918901</v>
      </c>
      <c r="Z23" s="480">
        <f t="shared" si="4"/>
        <v>1538.1678329068884</v>
      </c>
      <c r="AA23" s="480">
        <f t="shared" si="4"/>
        <v>156.1978807080441</v>
      </c>
      <c r="AB23" s="480">
        <f t="shared" si="4"/>
        <v>3136.7254014648984</v>
      </c>
      <c r="AC23" s="480">
        <f t="shared" si="4"/>
        <v>81.173032345013482</v>
      </c>
      <c r="AD23" s="480">
        <f t="shared" si="4"/>
        <v>295.53679069488578</v>
      </c>
      <c r="AE23" s="480">
        <f t="shared" si="4"/>
        <v>31.327020862816234</v>
      </c>
      <c r="AF23" s="480">
        <f t="shared" si="4"/>
        <v>9.4665630514884089</v>
      </c>
      <c r="AG23" s="480">
        <f t="shared" si="4"/>
        <v>4829.7260985748217</v>
      </c>
      <c r="AH23" s="480">
        <f t="shared" si="4"/>
        <v>44.537809726405577</v>
      </c>
      <c r="AI23" s="480">
        <f t="shared" si="4"/>
        <v>256.67024104732417</v>
      </c>
      <c r="AJ23" s="480">
        <f t="shared" si="4"/>
        <v>19.252162893617022</v>
      </c>
      <c r="AK23" s="480">
        <f t="shared" si="4"/>
        <v>142.81512059319493</v>
      </c>
      <c r="AL23" s="480">
        <f t="shared" si="4"/>
        <v>16.050250811740536</v>
      </c>
      <c r="AM23" s="480">
        <f t="shared" si="4"/>
        <v>45.857106317917776</v>
      </c>
      <c r="AN23" s="480">
        <f t="shared" si="4"/>
        <v>7.7229494551607436</v>
      </c>
      <c r="AO23" s="480">
        <f t="shared" si="4"/>
        <v>479.97393801218868</v>
      </c>
      <c r="AP23" s="480">
        <f t="shared" si="4"/>
        <v>251.93643930050624</v>
      </c>
      <c r="AQ23" s="480">
        <f t="shared" si="4"/>
        <v>1636.0838921174191</v>
      </c>
      <c r="AR23" s="480">
        <f t="shared" si="4"/>
        <v>210.84515230491107</v>
      </c>
      <c r="AS23" s="480">
        <f t="shared" si="4"/>
        <v>329.51833469999997</v>
      </c>
      <c r="AT23" s="480">
        <f t="shared" si="4"/>
        <v>152.35595533057008</v>
      </c>
      <c r="AU23" s="480">
        <f t="shared" si="4"/>
        <v>783.73120850317878</v>
      </c>
      <c r="AV23" s="480">
        <f t="shared" si="4"/>
        <v>155.75980789926879</v>
      </c>
      <c r="AW23" s="480">
        <f t="shared" si="4"/>
        <v>212.22796724117987</v>
      </c>
      <c r="AX23" s="480">
        <f t="shared" si="4"/>
        <v>1942.6772105200455</v>
      </c>
      <c r="AY23" s="2"/>
    </row>
    <row r="24" spans="2:51">
      <c r="B24" s="523">
        <f t="shared" si="2"/>
        <v>2</v>
      </c>
      <c r="C24" s="526">
        <f t="shared" si="3"/>
        <v>1</v>
      </c>
      <c r="D24" s="526" t="str">
        <f>INDEX('SubRes-RSD_MaxRetrofit'!$I$65:$I$70,C24)</f>
        <v>Pre45</v>
      </c>
      <c r="E24" s="526" t="str">
        <f t="shared" si="1"/>
        <v>DET</v>
      </c>
      <c r="F24" s="2"/>
      <c r="G24" s="2" t="s">
        <v>629</v>
      </c>
      <c r="H24" s="2" t="s">
        <v>630</v>
      </c>
      <c r="I24" s="2" t="s">
        <v>512</v>
      </c>
      <c r="J24" s="5" t="s">
        <v>631</v>
      </c>
      <c r="K24" s="2" t="str">
        <f>"Bldg_"&amp;E24&amp;D24&amp;"-"&amp;INDEX('SubRes-RSD_MaxRetrofit'!$C$65:$C$67,B24)</f>
        <v>Bldg_DETPre45-Cei</v>
      </c>
      <c r="L24" s="2">
        <v>2020</v>
      </c>
      <c r="M24" s="2"/>
      <c r="N24" s="480">
        <f t="shared" si="4"/>
        <v>22.891748480538716</v>
      </c>
      <c r="O24" s="480">
        <f t="shared" si="4"/>
        <v>295.16062419070067</v>
      </c>
      <c r="P24" s="480">
        <f t="shared" si="4"/>
        <v>65.411590087141235</v>
      </c>
      <c r="Q24" s="480">
        <f t="shared" si="4"/>
        <v>494.22454694164037</v>
      </c>
      <c r="R24" s="480">
        <f t="shared" si="4"/>
        <v>155.49370045786091</v>
      </c>
      <c r="S24" s="480">
        <f t="shared" si="4"/>
        <v>228.650637018819</v>
      </c>
      <c r="T24" s="480">
        <f t="shared" si="4"/>
        <v>3.2215918458349959</v>
      </c>
      <c r="U24" s="480">
        <f t="shared" si="4"/>
        <v>257.44502523096679</v>
      </c>
      <c r="V24" s="480">
        <f t="shared" si="4"/>
        <v>1910.6637985410352</v>
      </c>
      <c r="W24" s="480">
        <f t="shared" si="4"/>
        <v>368.50018018225222</v>
      </c>
      <c r="X24" s="480">
        <f t="shared" si="4"/>
        <v>20.940127776042473</v>
      </c>
      <c r="Y24" s="480">
        <f t="shared" si="4"/>
        <v>82.769701676159826</v>
      </c>
      <c r="Z24" s="480">
        <f t="shared" si="4"/>
        <v>201.34423896837302</v>
      </c>
      <c r="AA24" s="480">
        <f t="shared" si="4"/>
        <v>111.65023072555439</v>
      </c>
      <c r="AB24" s="480">
        <f t="shared" si="4"/>
        <v>2148.6720895143894</v>
      </c>
      <c r="AC24" s="480">
        <f t="shared" si="4"/>
        <v>102.23827126167988</v>
      </c>
      <c r="AD24" s="480">
        <f t="shared" si="4"/>
        <v>345.4056736628205</v>
      </c>
      <c r="AE24" s="480">
        <f t="shared" si="4"/>
        <v>98.451963737097685</v>
      </c>
      <c r="AF24" s="480">
        <f t="shared" si="4"/>
        <v>6.1429929449196727</v>
      </c>
      <c r="AG24" s="480">
        <f t="shared" si="4"/>
        <v>598.28263118779432</v>
      </c>
      <c r="AH24" s="480">
        <f t="shared" si="4"/>
        <v>36.640449609229186</v>
      </c>
      <c r="AI24" s="480">
        <f t="shared" si="4"/>
        <v>92.199781704418712</v>
      </c>
      <c r="AJ24" s="480">
        <f t="shared" si="4"/>
        <v>14.810399351764557</v>
      </c>
      <c r="AK24" s="480">
        <f t="shared" si="4"/>
        <v>45.690331045761816</v>
      </c>
      <c r="AL24" s="480">
        <f t="shared" si="4"/>
        <v>6.966706428248135</v>
      </c>
      <c r="AM24" s="480">
        <f t="shared" si="4"/>
        <v>33.189324103315371</v>
      </c>
      <c r="AN24" s="480">
        <f t="shared" si="4"/>
        <v>1.6869085072867203</v>
      </c>
      <c r="AO24" s="480">
        <f t="shared" si="4"/>
        <v>176.5269202005164</v>
      </c>
      <c r="AP24" s="480">
        <f t="shared" si="4"/>
        <v>101.41934085943784</v>
      </c>
      <c r="AQ24" s="480">
        <f t="shared" si="4"/>
        <v>807.78881301796559</v>
      </c>
      <c r="AR24" s="480">
        <f t="shared" si="4"/>
        <v>167.8841493399743</v>
      </c>
      <c r="AS24" s="480">
        <f t="shared" si="4"/>
        <v>337.96513130850724</v>
      </c>
      <c r="AT24" s="480">
        <f t="shared" si="4"/>
        <v>125.3404857187227</v>
      </c>
      <c r="AU24" s="480">
        <f t="shared" si="4"/>
        <v>380.67209163992203</v>
      </c>
      <c r="AV24" s="480">
        <f t="shared" si="4"/>
        <v>65.847429831083915</v>
      </c>
      <c r="AW24" s="480">
        <f t="shared" si="4"/>
        <v>157.79324420795558</v>
      </c>
      <c r="AX24" s="480">
        <f t="shared" si="4"/>
        <v>1884.6922720259267</v>
      </c>
      <c r="AY24" s="2"/>
    </row>
    <row r="25" spans="2:51">
      <c r="B25" s="523">
        <f t="shared" si="2"/>
        <v>2</v>
      </c>
      <c r="C25" s="526">
        <f t="shared" si="3"/>
        <v>1</v>
      </c>
      <c r="D25" s="526" t="str">
        <f>INDEX('SubRes-RSD_MaxRetrofit'!$I$65:$I$70,C25)</f>
        <v>Pre45</v>
      </c>
      <c r="E25" s="526" t="str">
        <f t="shared" si="1"/>
        <v>SDE</v>
      </c>
      <c r="F25" s="2"/>
      <c r="G25" s="2" t="s">
        <v>629</v>
      </c>
      <c r="H25" s="2" t="s">
        <v>630</v>
      </c>
      <c r="I25" s="2" t="s">
        <v>512</v>
      </c>
      <c r="J25" s="5" t="s">
        <v>631</v>
      </c>
      <c r="K25" s="2" t="str">
        <f>"Bldg_"&amp;E25&amp;D25&amp;"-"&amp;INDEX('SubRes-RSD_MaxRetrofit'!$C$65:$C$67,B25)</f>
        <v>Bldg_SDEPre45-Cei</v>
      </c>
      <c r="L25" s="2">
        <v>2020</v>
      </c>
      <c r="M25" s="2"/>
      <c r="N25" s="480">
        <f t="shared" si="4"/>
        <v>12.943465262360681</v>
      </c>
      <c r="O25" s="480">
        <f t="shared" si="4"/>
        <v>136.78175267373942</v>
      </c>
      <c r="P25" s="480">
        <f t="shared" si="4"/>
        <v>23.409284808583056</v>
      </c>
      <c r="Q25" s="480">
        <f t="shared" si="4"/>
        <v>824.59567266004137</v>
      </c>
      <c r="R25" s="480">
        <f t="shared" si="4"/>
        <v>84.507445901011394</v>
      </c>
      <c r="S25" s="480">
        <f t="shared" si="4"/>
        <v>256.51142892447353</v>
      </c>
      <c r="T25" s="480">
        <f t="shared" si="4"/>
        <v>3.2901363531931875</v>
      </c>
      <c r="U25" s="480">
        <f t="shared" si="4"/>
        <v>152.5984625360972</v>
      </c>
      <c r="V25" s="480">
        <f t="shared" si="4"/>
        <v>1997.5121530201732</v>
      </c>
      <c r="W25" s="480">
        <f t="shared" si="4"/>
        <v>196.18923778529717</v>
      </c>
      <c r="X25" s="480">
        <f t="shared" si="4"/>
        <v>9.7146733726103118</v>
      </c>
      <c r="Y25" s="480">
        <f t="shared" si="4"/>
        <v>46.799691134651134</v>
      </c>
      <c r="Z25" s="480">
        <f t="shared" si="4"/>
        <v>446.36241212473851</v>
      </c>
      <c r="AA25" s="480">
        <f t="shared" si="4"/>
        <v>84.388177566401509</v>
      </c>
      <c r="AB25" s="480">
        <f t="shared" si="4"/>
        <v>1910.4708850207126</v>
      </c>
      <c r="AC25" s="480">
        <f t="shared" si="4"/>
        <v>36.588696393306648</v>
      </c>
      <c r="AD25" s="480">
        <f t="shared" si="4"/>
        <v>127.56766664229369</v>
      </c>
      <c r="AE25" s="480">
        <f t="shared" si="4"/>
        <v>148.08803140008607</v>
      </c>
      <c r="AF25" s="480">
        <f t="shared" si="4"/>
        <v>5.7381538683203814</v>
      </c>
      <c r="AG25" s="480">
        <f t="shared" si="4"/>
        <v>1063.9912702373838</v>
      </c>
      <c r="AH25" s="480">
        <f t="shared" si="4"/>
        <v>13.112763644398795</v>
      </c>
      <c r="AI25" s="480">
        <f t="shared" si="4"/>
        <v>46.623753248257195</v>
      </c>
      <c r="AJ25" s="480">
        <f t="shared" si="4"/>
        <v>19.164005754618422</v>
      </c>
      <c r="AK25" s="480">
        <f t="shared" si="4"/>
        <v>18.247396361043236</v>
      </c>
      <c r="AL25" s="480">
        <f t="shared" si="4"/>
        <v>3.9391190552244133</v>
      </c>
      <c r="AM25" s="480">
        <f t="shared" si="4"/>
        <v>18.037676143106179</v>
      </c>
      <c r="AN25" s="480">
        <f t="shared" si="4"/>
        <v>21.554942037552536</v>
      </c>
      <c r="AO25" s="480">
        <f t="shared" si="4"/>
        <v>932.21469278729489</v>
      </c>
      <c r="AP25" s="480">
        <f t="shared" si="4"/>
        <v>79.656788722795696</v>
      </c>
      <c r="AQ25" s="480">
        <f t="shared" si="4"/>
        <v>303.12729486461518</v>
      </c>
      <c r="AR25" s="480">
        <f t="shared" si="4"/>
        <v>135.52716735511473</v>
      </c>
      <c r="AS25" s="480">
        <f t="shared" si="4"/>
        <v>97.060233991492765</v>
      </c>
      <c r="AT25" s="480">
        <f t="shared" si="4"/>
        <v>44.856440950707238</v>
      </c>
      <c r="AU25" s="480">
        <f t="shared" si="4"/>
        <v>182.62480285689929</v>
      </c>
      <c r="AV25" s="480">
        <f t="shared" si="4"/>
        <v>21.899708269647281</v>
      </c>
      <c r="AW25" s="480">
        <f t="shared" si="4"/>
        <v>46.958510550864531</v>
      </c>
      <c r="AX25" s="480">
        <f t="shared" si="4"/>
        <v>6543.194195454028</v>
      </c>
      <c r="AY25" s="2"/>
    </row>
    <row r="26" spans="2:51">
      <c r="B26" s="523">
        <f t="shared" si="2"/>
        <v>2</v>
      </c>
      <c r="C26" s="526">
        <f t="shared" si="3"/>
        <v>2</v>
      </c>
      <c r="D26" s="526" t="str">
        <f>INDEX('SubRes-RSD_MaxRetrofit'!$I$65:$I$70,C26)</f>
        <v>Pre69</v>
      </c>
      <c r="E26" s="526" t="str">
        <f t="shared" si="1"/>
        <v>FLT</v>
      </c>
      <c r="F26" s="2"/>
      <c r="G26" s="2" t="s">
        <v>629</v>
      </c>
      <c r="H26" s="2" t="s">
        <v>630</v>
      </c>
      <c r="I26" s="2" t="s">
        <v>512</v>
      </c>
      <c r="J26" s="5" t="s">
        <v>631</v>
      </c>
      <c r="K26" s="2" t="str">
        <f>"Bldg_"&amp;E26&amp;D26&amp;"-"&amp;INDEX('SubRes-RSD_MaxRetrofit'!$C$65:$C$67,B26)</f>
        <v>Bldg_FLTPre69-Cei</v>
      </c>
      <c r="L26" s="2">
        <v>2020</v>
      </c>
      <c r="M26" s="2"/>
      <c r="N26" s="480">
        <f t="shared" si="4"/>
        <v>191.93680774504145</v>
      </c>
      <c r="O26" s="480">
        <f t="shared" si="4"/>
        <v>515.04262112180743</v>
      </c>
      <c r="P26" s="480">
        <f t="shared" si="4"/>
        <v>181.53050099523071</v>
      </c>
      <c r="Q26" s="480">
        <f t="shared" si="4"/>
        <v>261.60781454879395</v>
      </c>
      <c r="R26" s="480">
        <f t="shared" si="4"/>
        <v>405.47518103273359</v>
      </c>
      <c r="S26" s="480">
        <f t="shared" si="4"/>
        <v>540.33304747244563</v>
      </c>
      <c r="T26" s="480">
        <f t="shared" si="4"/>
        <v>8.4717928845389423</v>
      </c>
      <c r="U26" s="480">
        <f t="shared" si="4"/>
        <v>751.69863269096174</v>
      </c>
      <c r="V26" s="480">
        <f t="shared" si="4"/>
        <v>6940.5184375470717</v>
      </c>
      <c r="W26" s="480">
        <f t="shared" si="4"/>
        <v>286.17472420440134</v>
      </c>
      <c r="X26" s="480">
        <f t="shared" si="4"/>
        <v>135.32120899748926</v>
      </c>
      <c r="Y26" s="480">
        <f t="shared" si="4"/>
        <v>693.98597189888676</v>
      </c>
      <c r="Z26" s="480">
        <f t="shared" si="4"/>
        <v>2734.3004349620101</v>
      </c>
      <c r="AA26" s="480">
        <f t="shared" si="4"/>
        <v>285.688707956717</v>
      </c>
      <c r="AB26" s="480">
        <f t="shared" si="4"/>
        <v>2121.5340000000001</v>
      </c>
      <c r="AC26" s="480">
        <f t="shared" si="4"/>
        <v>147.48670391096834</v>
      </c>
      <c r="AD26" s="480">
        <f t="shared" si="4"/>
        <v>398.1831531074975</v>
      </c>
      <c r="AE26" s="480">
        <f t="shared" si="4"/>
        <v>28.426152223949444</v>
      </c>
      <c r="AF26" s="480">
        <f t="shared" si="4"/>
        <v>17.314512557475691</v>
      </c>
      <c r="AG26" s="480">
        <f t="shared" si="4"/>
        <v>6774.6830123077498</v>
      </c>
      <c r="AH26" s="480">
        <f t="shared" si="4"/>
        <v>101.68471925836</v>
      </c>
      <c r="AI26" s="480">
        <f t="shared" si="4"/>
        <v>274.29610281756123</v>
      </c>
      <c r="AJ26" s="480">
        <f t="shared" si="4"/>
        <v>17.707211936170214</v>
      </c>
      <c r="AK26" s="480">
        <f t="shared" si="4"/>
        <v>173.20295378351014</v>
      </c>
      <c r="AL26" s="480">
        <f t="shared" si="4"/>
        <v>36.644488308783671</v>
      </c>
      <c r="AM26" s="480">
        <f t="shared" si="4"/>
        <v>94.931270893150014</v>
      </c>
      <c r="AN26" s="480">
        <f t="shared" si="4"/>
        <v>8.0967860205301729</v>
      </c>
      <c r="AO26" s="480">
        <f t="shared" si="4"/>
        <v>540.21171597759201</v>
      </c>
      <c r="AP26" s="480">
        <f t="shared" si="4"/>
        <v>335.17517555977088</v>
      </c>
      <c r="AQ26" s="480">
        <f t="shared" si="4"/>
        <v>1815.4020952512292</v>
      </c>
      <c r="AR26" s="480">
        <f t="shared" si="4"/>
        <v>285.22065045017092</v>
      </c>
      <c r="AS26" s="480">
        <f t="shared" si="4"/>
        <v>954.79116533699994</v>
      </c>
      <c r="AT26" s="480">
        <f t="shared" si="4"/>
        <v>347.84540686434332</v>
      </c>
      <c r="AU26" s="480">
        <f t="shared" si="4"/>
        <v>710.7822987937368</v>
      </c>
      <c r="AV26" s="480">
        <f t="shared" si="4"/>
        <v>104.11454124166788</v>
      </c>
      <c r="AW26" s="480">
        <f t="shared" si="4"/>
        <v>272.68034493927127</v>
      </c>
      <c r="AX26" s="480">
        <f t="shared" si="4"/>
        <v>1222.398110288827</v>
      </c>
      <c r="AY26" s="2"/>
    </row>
    <row r="27" spans="2:51">
      <c r="B27" s="523">
        <f t="shared" si="2"/>
        <v>2</v>
      </c>
      <c r="C27" s="526">
        <f t="shared" si="3"/>
        <v>2</v>
      </c>
      <c r="D27" s="526" t="str">
        <f>INDEX('SubRes-RSD_MaxRetrofit'!$I$65:$I$70,C27)</f>
        <v>Pre69</v>
      </c>
      <c r="E27" s="526" t="str">
        <f t="shared" si="1"/>
        <v>DET</v>
      </c>
      <c r="F27" s="2"/>
      <c r="G27" s="2" t="s">
        <v>629</v>
      </c>
      <c r="H27" s="2" t="s">
        <v>630</v>
      </c>
      <c r="I27" s="2" t="s">
        <v>512</v>
      </c>
      <c r="J27" s="5" t="s">
        <v>631</v>
      </c>
      <c r="K27" s="2" t="str">
        <f>"Bldg_"&amp;E27&amp;D27&amp;"-"&amp;INDEX('SubRes-RSD_MaxRetrofit'!$C$65:$C$67,B27)</f>
        <v>Bldg_DETPre69-Cei</v>
      </c>
      <c r="L27" s="2">
        <v>2020</v>
      </c>
      <c r="M27" s="2"/>
      <c r="N27" s="480">
        <f t="shared" si="4"/>
        <v>83.311308216858961</v>
      </c>
      <c r="O27" s="480">
        <f t="shared" si="4"/>
        <v>356.11906135009821</v>
      </c>
      <c r="P27" s="480">
        <f t="shared" si="4"/>
        <v>149.34185616924091</v>
      </c>
      <c r="Q27" s="480">
        <f t="shared" si="4"/>
        <v>274.56919262262369</v>
      </c>
      <c r="R27" s="480">
        <f t="shared" si="4"/>
        <v>321.89590197879232</v>
      </c>
      <c r="S27" s="480">
        <f t="shared" si="4"/>
        <v>275.8730113662948</v>
      </c>
      <c r="T27" s="480">
        <f t="shared" si="4"/>
        <v>10.733837793964945</v>
      </c>
      <c r="U27" s="480">
        <f t="shared" si="4"/>
        <v>349.65012592567479</v>
      </c>
      <c r="V27" s="480">
        <f t="shared" si="4"/>
        <v>2900.2060718658772</v>
      </c>
      <c r="W27" s="480">
        <f t="shared" si="4"/>
        <v>267.58382879461351</v>
      </c>
      <c r="X27" s="480">
        <f t="shared" si="4"/>
        <v>30.955961982230814</v>
      </c>
      <c r="Y27" s="480">
        <f t="shared" si="4"/>
        <v>301.22872148548709</v>
      </c>
      <c r="Z27" s="480">
        <f t="shared" si="4"/>
        <v>357.91649546323816</v>
      </c>
      <c r="AA27" s="480">
        <f t="shared" si="4"/>
        <v>204.21026210127249</v>
      </c>
      <c r="AB27" s="480">
        <f t="shared" si="4"/>
        <v>1453.261063473054</v>
      </c>
      <c r="AC27" s="480">
        <f t="shared" si="4"/>
        <v>185.76102439847986</v>
      </c>
      <c r="AD27" s="480">
        <f t="shared" si="4"/>
        <v>465.37258497292464</v>
      </c>
      <c r="AE27" s="480">
        <f t="shared" si="4"/>
        <v>89.335354299818349</v>
      </c>
      <c r="AF27" s="480">
        <f t="shared" si="4"/>
        <v>11.235643591743999</v>
      </c>
      <c r="AG27" s="480">
        <f t="shared" si="4"/>
        <v>839.21429400784496</v>
      </c>
      <c r="AH27" s="480">
        <f t="shared" si="4"/>
        <v>83.654177313654912</v>
      </c>
      <c r="AI27" s="480">
        <f t="shared" si="4"/>
        <v>98.531254340034806</v>
      </c>
      <c r="AJ27" s="480">
        <f t="shared" si="4"/>
        <v>13.621891817046759</v>
      </c>
      <c r="AK27" s="480">
        <f t="shared" si="4"/>
        <v>55.412201898525339</v>
      </c>
      <c r="AL27" s="480">
        <f t="shared" si="4"/>
        <v>15.905757190655534</v>
      </c>
      <c r="AM27" s="480">
        <f t="shared" si="4"/>
        <v>68.70701119624087</v>
      </c>
      <c r="AN27" s="480">
        <f t="shared" si="4"/>
        <v>1.7685648856066809</v>
      </c>
      <c r="AO27" s="480">
        <f t="shared" si="4"/>
        <v>198.68143439767087</v>
      </c>
      <c r="AP27" s="480">
        <f t="shared" si="4"/>
        <v>134.92786304394681</v>
      </c>
      <c r="AQ27" s="480">
        <f t="shared" si="4"/>
        <v>896.32414984260026</v>
      </c>
      <c r="AR27" s="480">
        <f t="shared" si="4"/>
        <v>227.10518004120016</v>
      </c>
      <c r="AS27" s="480">
        <f t="shared" si="4"/>
        <v>979.2660607462152</v>
      </c>
      <c r="AT27" s="480">
        <f t="shared" si="4"/>
        <v>286.16611773924791</v>
      </c>
      <c r="AU27" s="480">
        <f t="shared" si="4"/>
        <v>345.2395176392244</v>
      </c>
      <c r="AV27" s="480">
        <f t="shared" si="4"/>
        <v>44.014402953294862</v>
      </c>
      <c r="AW27" s="480">
        <f t="shared" si="4"/>
        <v>202.74008566842264</v>
      </c>
      <c r="AX27" s="480">
        <f t="shared" si="4"/>
        <v>1185.9120286811417</v>
      </c>
      <c r="AY27" s="2"/>
    </row>
    <row r="28" spans="2:51">
      <c r="B28" s="523">
        <f t="shared" si="2"/>
        <v>2</v>
      </c>
      <c r="C28" s="526">
        <f t="shared" si="3"/>
        <v>2</v>
      </c>
      <c r="D28" s="526" t="str">
        <f>INDEX('SubRes-RSD_MaxRetrofit'!$I$65:$I$70,C28)</f>
        <v>Pre69</v>
      </c>
      <c r="E28" s="526" t="str">
        <f t="shared" si="1"/>
        <v>SDE</v>
      </c>
      <c r="F28" s="2"/>
      <c r="G28" s="2" t="s">
        <v>629</v>
      </c>
      <c r="H28" s="2" t="s">
        <v>630</v>
      </c>
      <c r="I28" s="2" t="s">
        <v>512</v>
      </c>
      <c r="J28" s="5" t="s">
        <v>631</v>
      </c>
      <c r="K28" s="2" t="str">
        <f>"Bldg_"&amp;E28&amp;D28&amp;"-"&amp;INDEX('SubRes-RSD_MaxRetrofit'!$C$65:$C$67,B28)</f>
        <v>Bldg_SDEPre69-Cei</v>
      </c>
      <c r="L28" s="2">
        <v>2020</v>
      </c>
      <c r="M28" s="2"/>
      <c r="N28" s="480">
        <f t="shared" si="4"/>
        <v>47.105926608597841</v>
      </c>
      <c r="O28" s="480">
        <f t="shared" si="4"/>
        <v>165.03078452809439</v>
      </c>
      <c r="P28" s="480">
        <f t="shared" si="4"/>
        <v>53.445972498923489</v>
      </c>
      <c r="Q28" s="480">
        <f t="shared" si="4"/>
        <v>458.10870682858234</v>
      </c>
      <c r="R28" s="480">
        <f t="shared" si="4"/>
        <v>174.94342498847413</v>
      </c>
      <c r="S28" s="480">
        <f t="shared" si="4"/>
        <v>309.48779006218803</v>
      </c>
      <c r="T28" s="480">
        <f t="shared" si="4"/>
        <v>10.962217321496114</v>
      </c>
      <c r="U28" s="480">
        <f t="shared" si="4"/>
        <v>207.2522923833636</v>
      </c>
      <c r="V28" s="480">
        <f t="shared" si="4"/>
        <v>3032.0336205870531</v>
      </c>
      <c r="W28" s="480">
        <f t="shared" si="4"/>
        <v>142.46144300098516</v>
      </c>
      <c r="X28" s="480">
        <f t="shared" si="4"/>
        <v>14.361281020279904</v>
      </c>
      <c r="Y28" s="480">
        <f t="shared" si="4"/>
        <v>170.32091261562596</v>
      </c>
      <c r="Z28" s="480">
        <f t="shared" si="4"/>
        <v>793.46928957475188</v>
      </c>
      <c r="AA28" s="480">
        <f t="shared" si="4"/>
        <v>154.34748094201046</v>
      </c>
      <c r="AB28" s="480">
        <f t="shared" si="4"/>
        <v>1292.1529365269462</v>
      </c>
      <c r="AC28" s="480">
        <f t="shared" si="4"/>
        <v>66.479544690551833</v>
      </c>
      <c r="AD28" s="480">
        <f t="shared" si="4"/>
        <v>171.87469491957785</v>
      </c>
      <c r="AE28" s="480">
        <f t="shared" si="4"/>
        <v>134.37514347623221</v>
      </c>
      <c r="AF28" s="480">
        <f t="shared" si="4"/>
        <v>10.495185704609007</v>
      </c>
      <c r="AG28" s="480">
        <f t="shared" si="4"/>
        <v>1492.4663296844055</v>
      </c>
      <c r="AH28" s="480">
        <f t="shared" si="4"/>
        <v>29.937881949578543</v>
      </c>
      <c r="AI28" s="480">
        <f t="shared" si="4"/>
        <v>49.82546384240397</v>
      </c>
      <c r="AJ28" s="480">
        <f t="shared" si="4"/>
        <v>17.626129246783027</v>
      </c>
      <c r="AK28" s="480">
        <f t="shared" si="4"/>
        <v>22.130030317964515</v>
      </c>
      <c r="AL28" s="480">
        <f t="shared" si="4"/>
        <v>8.9934421498566355</v>
      </c>
      <c r="AM28" s="480">
        <f t="shared" si="4"/>
        <v>37.340766954478738</v>
      </c>
      <c r="AN28" s="480">
        <f t="shared" si="4"/>
        <v>22.598329093863143</v>
      </c>
      <c r="AO28" s="480">
        <f t="shared" si="4"/>
        <v>1049.2096736247372</v>
      </c>
      <c r="AP28" s="480">
        <f t="shared" si="4"/>
        <v>105.97505552916252</v>
      </c>
      <c r="AQ28" s="480">
        <f t="shared" si="4"/>
        <v>336.35067790617035</v>
      </c>
      <c r="AR28" s="480">
        <f t="shared" si="4"/>
        <v>183.33429250862898</v>
      </c>
      <c r="AS28" s="480">
        <f t="shared" si="4"/>
        <v>281.23550091678493</v>
      </c>
      <c r="AT28" s="480">
        <f t="shared" si="4"/>
        <v>102.41218939640885</v>
      </c>
      <c r="AU28" s="480">
        <f t="shared" si="4"/>
        <v>165.62627056703889</v>
      </c>
      <c r="AV28" s="480">
        <f t="shared" si="4"/>
        <v>14.638423805037259</v>
      </c>
      <c r="AW28" s="480">
        <f t="shared" si="4"/>
        <v>60.33447439230612</v>
      </c>
      <c r="AX28" s="480">
        <f t="shared" si="4"/>
        <v>4117.1987690300311</v>
      </c>
      <c r="AY28" s="2"/>
    </row>
    <row r="29" spans="2:51">
      <c r="B29" s="523">
        <f t="shared" si="2"/>
        <v>2</v>
      </c>
      <c r="C29" s="526">
        <f t="shared" si="3"/>
        <v>3</v>
      </c>
      <c r="D29" s="526" t="str">
        <f>INDEX('SubRes-RSD_MaxRetrofit'!$I$65:$I$70,C29)</f>
        <v>Pre79</v>
      </c>
      <c r="E29" s="526" t="str">
        <f t="shared" si="1"/>
        <v>FLT</v>
      </c>
      <c r="F29" s="2"/>
      <c r="G29" s="2" t="s">
        <v>629</v>
      </c>
      <c r="H29" s="2" t="s">
        <v>630</v>
      </c>
      <c r="I29" s="2" t="s">
        <v>512</v>
      </c>
      <c r="J29" s="5" t="s">
        <v>631</v>
      </c>
      <c r="K29" s="2" t="str">
        <f>"Bldg_"&amp;E29&amp;D29&amp;"-"&amp;INDEX('SubRes-RSD_MaxRetrofit'!$C$65:$C$67,B29)</f>
        <v>Bldg_FLTPre79-Cei</v>
      </c>
      <c r="L29" s="2">
        <v>2020</v>
      </c>
      <c r="M29" s="2"/>
      <c r="N29" s="480">
        <f t="shared" si="4"/>
        <v>152.9384031498299</v>
      </c>
      <c r="O29" s="480">
        <f t="shared" si="4"/>
        <v>265.00259735559922</v>
      </c>
      <c r="P29" s="480">
        <f t="shared" si="4"/>
        <v>135.53199998502913</v>
      </c>
      <c r="Q29" s="480">
        <f t="shared" si="4"/>
        <v>141.57894179730027</v>
      </c>
      <c r="R29" s="480">
        <f t="shared" si="4"/>
        <v>235.09046348242146</v>
      </c>
      <c r="S29" s="480">
        <f t="shared" si="4"/>
        <v>278.01516834739789</v>
      </c>
      <c r="T29" s="480">
        <f t="shared" si="4"/>
        <v>11.468502244637412</v>
      </c>
      <c r="U29" s="480">
        <f t="shared" si="4"/>
        <v>308.0105691065101</v>
      </c>
      <c r="V29" s="480">
        <f t="shared" si="4"/>
        <v>3577.4769678543789</v>
      </c>
      <c r="W29" s="480">
        <f t="shared" si="4"/>
        <v>176.77417608504288</v>
      </c>
      <c r="X29" s="480">
        <f t="shared" si="4"/>
        <v>105.1121772319657</v>
      </c>
      <c r="Y29" s="480">
        <f t="shared" si="4"/>
        <v>552.97942899824238</v>
      </c>
      <c r="Z29" s="480">
        <f t="shared" si="4"/>
        <v>2257.564510503491</v>
      </c>
      <c r="AA29" s="480">
        <f t="shared" si="4"/>
        <v>226.93505876276029</v>
      </c>
      <c r="AB29" s="480">
        <f t="shared" si="4"/>
        <v>2343.409095381699</v>
      </c>
      <c r="AC29" s="480">
        <f t="shared" si="4"/>
        <v>113.92735707285915</v>
      </c>
      <c r="AD29" s="480">
        <f t="shared" si="4"/>
        <v>238.80967110302882</v>
      </c>
      <c r="AE29" s="480">
        <f t="shared" si="4"/>
        <v>24.022171570852088</v>
      </c>
      <c r="AF29" s="480">
        <f t="shared" si="4"/>
        <v>13.753675995043519</v>
      </c>
      <c r="AG29" s="480">
        <f t="shared" si="4"/>
        <v>3832.8595945806114</v>
      </c>
      <c r="AH29" s="480">
        <f t="shared" si="4"/>
        <v>75.918555247990057</v>
      </c>
      <c r="AI29" s="480">
        <f t="shared" si="4"/>
        <v>180.5584525040924</v>
      </c>
      <c r="AJ29" s="480">
        <f t="shared" si="4"/>
        <v>9.5621806170212764</v>
      </c>
      <c r="AK29" s="480">
        <f t="shared" si="4"/>
        <v>140.02687112524131</v>
      </c>
      <c r="AL29" s="480">
        <f t="shared" si="4"/>
        <v>27.359043035131332</v>
      </c>
      <c r="AM29" s="480">
        <f t="shared" si="4"/>
        <v>55.040203487680984</v>
      </c>
      <c r="AN29" s="480">
        <f t="shared" si="4"/>
        <v>5.3202274653130281</v>
      </c>
      <c r="AO29" s="480">
        <f t="shared" si="4"/>
        <v>332.83444609770106</v>
      </c>
      <c r="AP29" s="480">
        <f t="shared" si="4"/>
        <v>215.15246371622854</v>
      </c>
      <c r="AQ29" s="480">
        <f t="shared" si="4"/>
        <v>1043.3336324719116</v>
      </c>
      <c r="AR29" s="480">
        <f t="shared" si="4"/>
        <v>319.64996421260577</v>
      </c>
      <c r="AS29" s="480">
        <f t="shared" si="4"/>
        <v>688.83423066299997</v>
      </c>
      <c r="AT29" s="480">
        <f t="shared" si="4"/>
        <v>259.70392534293302</v>
      </c>
      <c r="AU29" s="480">
        <f t="shared" ref="AU29:AX29" si="5">AU11</f>
        <v>386.78670753520134</v>
      </c>
      <c r="AV29" s="480">
        <f t="shared" si="5"/>
        <v>89.629814264805177</v>
      </c>
      <c r="AW29" s="480">
        <f t="shared" si="5"/>
        <v>111.61335504916136</v>
      </c>
      <c r="AX29" s="480">
        <f t="shared" si="5"/>
        <v>537.03108459066505</v>
      </c>
      <c r="AY29" s="2"/>
    </row>
    <row r="30" spans="2:51">
      <c r="B30" s="523">
        <f t="shared" si="2"/>
        <v>2</v>
      </c>
      <c r="C30" s="526">
        <f t="shared" si="3"/>
        <v>3</v>
      </c>
      <c r="D30" s="526" t="str">
        <f>INDEX('SubRes-RSD_MaxRetrofit'!$I$65:$I$70,C30)</f>
        <v>Pre79</v>
      </c>
      <c r="E30" s="526" t="str">
        <f t="shared" si="1"/>
        <v>DET</v>
      </c>
      <c r="F30" s="2"/>
      <c r="G30" s="2" t="s">
        <v>629</v>
      </c>
      <c r="H30" s="2" t="s">
        <v>630</v>
      </c>
      <c r="I30" s="2" t="s">
        <v>512</v>
      </c>
      <c r="J30" s="5" t="s">
        <v>631</v>
      </c>
      <c r="K30" s="2" t="str">
        <f>"Bldg_"&amp;E30&amp;D30&amp;"-"&amp;INDEX('SubRes-RSD_MaxRetrofit'!$C$65:$C$67,B30)</f>
        <v>Bldg_DETPre79-Cei</v>
      </c>
      <c r="L30" s="2">
        <v>2020</v>
      </c>
      <c r="M30" s="2"/>
      <c r="N30" s="480">
        <f t="shared" ref="N30:AX36" si="6">N12</f>
        <v>66.383819720159323</v>
      </c>
      <c r="O30" s="480">
        <f t="shared" si="6"/>
        <v>183.23236244034049</v>
      </c>
      <c r="P30" s="480">
        <f t="shared" si="6"/>
        <v>111.49972228978508</v>
      </c>
      <c r="Q30" s="480">
        <f t="shared" si="6"/>
        <v>148.59348069818344</v>
      </c>
      <c r="R30" s="480">
        <f t="shared" si="6"/>
        <v>186.6320315747692</v>
      </c>
      <c r="S30" s="480">
        <f t="shared" si="6"/>
        <v>141.94371796482656</v>
      </c>
      <c r="T30" s="480">
        <f t="shared" si="6"/>
        <v>14.530695510547806</v>
      </c>
      <c r="U30" s="480">
        <f t="shared" si="6"/>
        <v>143.27009467743164</v>
      </c>
      <c r="V30" s="480">
        <f t="shared" si="6"/>
        <v>1494.9056785156374</v>
      </c>
      <c r="W30" s="480">
        <f t="shared" si="6"/>
        <v>165.29031695707485</v>
      </c>
      <c r="X30" s="480">
        <f t="shared" si="6"/>
        <v>24.045370170485317</v>
      </c>
      <c r="Y30" s="480">
        <f t="shared" si="6"/>
        <v>240.02399637724213</v>
      </c>
      <c r="Z30" s="480">
        <f t="shared" si="6"/>
        <v>295.51236124234345</v>
      </c>
      <c r="AA30" s="480">
        <f t="shared" si="6"/>
        <v>162.21315907568888</v>
      </c>
      <c r="AB30" s="480">
        <f t="shared" si="6"/>
        <v>1605.2465782338793</v>
      </c>
      <c r="AC30" s="480">
        <f t="shared" si="6"/>
        <v>143.49268100561193</v>
      </c>
      <c r="AD30" s="480">
        <f t="shared" si="6"/>
        <v>279.10641896933095</v>
      </c>
      <c r="AE30" s="480">
        <f t="shared" si="6"/>
        <v>75.494889052378838</v>
      </c>
      <c r="AF30" s="480">
        <f t="shared" si="6"/>
        <v>8.92496401753532</v>
      </c>
      <c r="AG30" s="480">
        <f t="shared" si="6"/>
        <v>474.79572887078194</v>
      </c>
      <c r="AH30" s="480">
        <f t="shared" si="6"/>
        <v>62.456820734052698</v>
      </c>
      <c r="AI30" s="480">
        <f t="shared" si="6"/>
        <v>64.859291197282047</v>
      </c>
      <c r="AJ30" s="480">
        <f t="shared" si="6"/>
        <v>7.3560417286278508</v>
      </c>
      <c r="AK30" s="480">
        <f t="shared" si="6"/>
        <v>44.798296359939897</v>
      </c>
      <c r="AL30" s="480">
        <f t="shared" si="6"/>
        <v>11.87535467322067</v>
      </c>
      <c r="AM30" s="480">
        <f t="shared" si="6"/>
        <v>39.835639423050715</v>
      </c>
      <c r="AN30" s="480">
        <f t="shared" si="6"/>
        <v>1.1620867162272803</v>
      </c>
      <c r="AO30" s="480">
        <f t="shared" si="6"/>
        <v>122.41131247584514</v>
      </c>
      <c r="AP30" s="480">
        <f t="shared" si="6"/>
        <v>86.6116117024131</v>
      </c>
      <c r="AQ30" s="480">
        <f t="shared" si="6"/>
        <v>515.12837490592563</v>
      </c>
      <c r="AR30" s="480">
        <f t="shared" si="6"/>
        <v>254.51930832529072</v>
      </c>
      <c r="AS30" s="480">
        <f t="shared" si="6"/>
        <v>706.49164765827936</v>
      </c>
      <c r="AT30" s="480">
        <f t="shared" si="6"/>
        <v>213.6537168823798</v>
      </c>
      <c r="AU30" s="480">
        <f t="shared" si="6"/>
        <v>187.86913597220456</v>
      </c>
      <c r="AV30" s="480">
        <f t="shared" si="6"/>
        <v>37.890987316777171</v>
      </c>
      <c r="AW30" s="480">
        <f t="shared" si="6"/>
        <v>82.985450122731237</v>
      </c>
      <c r="AX30" s="480">
        <f t="shared" si="6"/>
        <v>521.00180590206412</v>
      </c>
      <c r="AY30" s="2"/>
    </row>
    <row r="31" spans="2:51">
      <c r="B31" s="523">
        <f t="shared" si="2"/>
        <v>2</v>
      </c>
      <c r="C31" s="526">
        <f t="shared" si="3"/>
        <v>3</v>
      </c>
      <c r="D31" s="526" t="str">
        <f>INDEX('SubRes-RSD_MaxRetrofit'!$I$65:$I$70,C31)</f>
        <v>Pre79</v>
      </c>
      <c r="E31" s="526" t="str">
        <f t="shared" si="1"/>
        <v>SDE</v>
      </c>
      <c r="F31" s="2"/>
      <c r="G31" s="2" t="s">
        <v>629</v>
      </c>
      <c r="H31" s="2" t="s">
        <v>630</v>
      </c>
      <c r="I31" s="2" t="s">
        <v>512</v>
      </c>
      <c r="J31" s="5" t="s">
        <v>631</v>
      </c>
      <c r="K31" s="2" t="str">
        <f>"Bldg_"&amp;E31&amp;D31&amp;"-"&amp;INDEX('SubRes-RSD_MaxRetrofit'!$C$65:$C$67,B31)</f>
        <v>Bldg_SDEPre79-Cei</v>
      </c>
      <c r="L31" s="2">
        <v>2020</v>
      </c>
      <c r="M31" s="2"/>
      <c r="N31" s="480">
        <f t="shared" si="6"/>
        <v>37.534776570744306</v>
      </c>
      <c r="O31" s="480">
        <f t="shared" si="6"/>
        <v>84.912558204060275</v>
      </c>
      <c r="P31" s="480">
        <f t="shared" si="6"/>
        <v>39.903154038638803</v>
      </c>
      <c r="Q31" s="480">
        <f t="shared" si="6"/>
        <v>247.92281550451628</v>
      </c>
      <c r="R31" s="480">
        <f t="shared" si="6"/>
        <v>101.43045194280938</v>
      </c>
      <c r="S31" s="480">
        <f t="shared" si="6"/>
        <v>159.23938107818785</v>
      </c>
      <c r="T31" s="480">
        <f t="shared" si="6"/>
        <v>14.839859244814781</v>
      </c>
      <c r="U31" s="480">
        <f t="shared" si="6"/>
        <v>84.922193216058247</v>
      </c>
      <c r="V31" s="480">
        <f t="shared" si="6"/>
        <v>1562.8559366299846</v>
      </c>
      <c r="W31" s="480">
        <f t="shared" si="6"/>
        <v>88.000448957882242</v>
      </c>
      <c r="X31" s="480">
        <f t="shared" si="6"/>
        <v>11.15527659754898</v>
      </c>
      <c r="Y31" s="480">
        <f t="shared" si="6"/>
        <v>135.71450262451546</v>
      </c>
      <c r="Z31" s="480">
        <f t="shared" si="6"/>
        <v>655.12483025416543</v>
      </c>
      <c r="AA31" s="480">
        <f t="shared" si="6"/>
        <v>122.6049671615508</v>
      </c>
      <c r="AB31" s="480">
        <f t="shared" si="6"/>
        <v>1427.289378384422</v>
      </c>
      <c r="AC31" s="480">
        <f t="shared" si="6"/>
        <v>51.352688921528895</v>
      </c>
      <c r="AD31" s="480">
        <f t="shared" si="6"/>
        <v>103.08155692764026</v>
      </c>
      <c r="AE31" s="480">
        <f t="shared" si="6"/>
        <v>113.55679537676909</v>
      </c>
      <c r="AF31" s="480">
        <f t="shared" si="6"/>
        <v>8.3367858731132198</v>
      </c>
      <c r="AG31" s="480">
        <f t="shared" si="6"/>
        <v>844.38104054860628</v>
      </c>
      <c r="AH31" s="480">
        <f t="shared" si="6"/>
        <v>22.351841666809946</v>
      </c>
      <c r="AI31" s="480">
        <f t="shared" si="6"/>
        <v>32.798164298625586</v>
      </c>
      <c r="AJ31" s="480">
        <f t="shared" si="6"/>
        <v>9.5183946543508711</v>
      </c>
      <c r="AK31" s="480">
        <f t="shared" si="6"/>
        <v>17.891143514818761</v>
      </c>
      <c r="AL31" s="480">
        <f t="shared" si="6"/>
        <v>6.7145696984098198</v>
      </c>
      <c r="AM31" s="480">
        <f t="shared" si="6"/>
        <v>21.64980403426669</v>
      </c>
      <c r="AN31" s="480">
        <f t="shared" si="6"/>
        <v>14.84888581845969</v>
      </c>
      <c r="AO31" s="480">
        <f t="shared" si="6"/>
        <v>646.43751742645384</v>
      </c>
      <c r="AP31" s="480">
        <f t="shared" si="6"/>
        <v>68.026500624588877</v>
      </c>
      <c r="AQ31" s="480">
        <f t="shared" si="6"/>
        <v>193.30481962216246</v>
      </c>
      <c r="AR31" s="480">
        <f t="shared" si="6"/>
        <v>205.46478646210355</v>
      </c>
      <c r="AS31" s="480">
        <f t="shared" si="6"/>
        <v>202.89739467872073</v>
      </c>
      <c r="AT31" s="480">
        <f t="shared" si="6"/>
        <v>76.461689774687244</v>
      </c>
      <c r="AU31" s="480">
        <f t="shared" si="6"/>
        <v>90.128918492594138</v>
      </c>
      <c r="AV31" s="480">
        <f t="shared" si="6"/>
        <v>12.601882418417636</v>
      </c>
      <c r="AW31" s="480">
        <f t="shared" si="6"/>
        <v>24.696070828107388</v>
      </c>
      <c r="AX31" s="480">
        <f t="shared" si="6"/>
        <v>1808.7918345072708</v>
      </c>
      <c r="AY31" s="2"/>
    </row>
    <row r="32" spans="2:51">
      <c r="B32" s="523">
        <f t="shared" si="2"/>
        <v>2</v>
      </c>
      <c r="C32" s="526">
        <f t="shared" si="3"/>
        <v>4</v>
      </c>
      <c r="D32" s="526" t="str">
        <f>INDEX('SubRes-RSD_MaxRetrofit'!$I$65:$I$70,C32)</f>
        <v>Pre89</v>
      </c>
      <c r="E32" s="526" t="str">
        <f t="shared" si="1"/>
        <v>FLT</v>
      </c>
      <c r="F32" s="2"/>
      <c r="G32" s="2" t="s">
        <v>629</v>
      </c>
      <c r="H32" s="2" t="s">
        <v>630</v>
      </c>
      <c r="I32" s="2" t="s">
        <v>512</v>
      </c>
      <c r="J32" s="5" t="s">
        <v>631</v>
      </c>
      <c r="K32" s="2" t="str">
        <f>"Bldg_"&amp;E32&amp;D32&amp;"-"&amp;INDEX('SubRes-RSD_MaxRetrofit'!$C$65:$C$67,B32)</f>
        <v>Bldg_FLTPre89-Cei</v>
      </c>
      <c r="L32" s="2">
        <v>2020</v>
      </c>
      <c r="M32" s="2"/>
      <c r="N32" s="480">
        <f t="shared" si="6"/>
        <v>117.07257224847828</v>
      </c>
      <c r="O32" s="480">
        <f t="shared" si="6"/>
        <v>210.26379918467583</v>
      </c>
      <c r="P32" s="480">
        <f t="shared" si="6"/>
        <v>114.54587565682624</v>
      </c>
      <c r="Q32" s="480">
        <f t="shared" si="6"/>
        <v>141.57894179730027</v>
      </c>
      <c r="R32" s="480">
        <f t="shared" si="6"/>
        <v>221.53421622439518</v>
      </c>
      <c r="S32" s="480">
        <f t="shared" si="6"/>
        <v>220.58850030533858</v>
      </c>
      <c r="T32" s="480">
        <f t="shared" si="6"/>
        <v>16.556208223280315</v>
      </c>
      <c r="U32" s="480">
        <f t="shared" si="6"/>
        <v>357.01365906868517</v>
      </c>
      <c r="V32" s="480">
        <f t="shared" si="6"/>
        <v>2493.4227862575094</v>
      </c>
      <c r="W32" s="480">
        <f t="shared" si="6"/>
        <v>72.405306119358457</v>
      </c>
      <c r="X32" s="480">
        <f t="shared" si="6"/>
        <v>98.852387248851798</v>
      </c>
      <c r="Y32" s="480">
        <f t="shared" si="6"/>
        <v>423.29933371866127</v>
      </c>
      <c r="Z32" s="480">
        <f t="shared" si="6"/>
        <v>1430.3689982425908</v>
      </c>
      <c r="AA32" s="480">
        <f t="shared" si="6"/>
        <v>179.81601137443855</v>
      </c>
      <c r="AB32" s="480">
        <f t="shared" si="6"/>
        <v>1726.9517110401723</v>
      </c>
      <c r="AC32" s="480">
        <f t="shared" si="6"/>
        <v>90.323446900269545</v>
      </c>
      <c r="AD32" s="480">
        <f t="shared" si="6"/>
        <v>324.64061636022842</v>
      </c>
      <c r="AE32" s="480">
        <f t="shared" si="6"/>
        <v>20.906358275172671</v>
      </c>
      <c r="AF32" s="480">
        <f t="shared" si="6"/>
        <v>10.897968664024354</v>
      </c>
      <c r="AG32" s="480">
        <f t="shared" si="6"/>
        <v>2776.5717413895486</v>
      </c>
      <c r="AH32" s="480">
        <f t="shared" si="6"/>
        <v>64.163130407894386</v>
      </c>
      <c r="AI32" s="480">
        <f t="shared" si="6"/>
        <v>180.5584525040924</v>
      </c>
      <c r="AJ32" s="480">
        <f t="shared" si="6"/>
        <v>7.4320838723404261</v>
      </c>
      <c r="AK32" s="480">
        <f t="shared" si="6"/>
        <v>135.16701031962145</v>
      </c>
      <c r="AL32" s="480">
        <f t="shared" si="6"/>
        <v>23.122698270062266</v>
      </c>
      <c r="AM32" s="480">
        <f t="shared" si="6"/>
        <v>51.866367354311528</v>
      </c>
      <c r="AN32" s="480">
        <f t="shared" si="6"/>
        <v>6.1111084890016913</v>
      </c>
      <c r="AO32" s="480">
        <f t="shared" si="6"/>
        <v>323.73835075595912</v>
      </c>
      <c r="AP32" s="480">
        <f t="shared" si="6"/>
        <v>180.96621905997586</v>
      </c>
      <c r="AQ32" s="480">
        <f t="shared" si="6"/>
        <v>1078.5750540157949</v>
      </c>
      <c r="AR32" s="480">
        <f t="shared" si="6"/>
        <v>273.20339136932103</v>
      </c>
      <c r="AS32" s="480">
        <f t="shared" si="6"/>
        <v>942.38753400000007</v>
      </c>
      <c r="AT32" s="480">
        <f t="shared" si="6"/>
        <v>219.49069993217293</v>
      </c>
      <c r="AU32" s="480">
        <f t="shared" si="6"/>
        <v>266.44956783023309</v>
      </c>
      <c r="AV32" s="480">
        <f t="shared" si="6"/>
        <v>48.691389510087625</v>
      </c>
      <c r="AW32" s="480">
        <f t="shared" si="6"/>
        <v>129.46979234239444</v>
      </c>
      <c r="AX32" s="480">
        <f t="shared" si="6"/>
        <v>381.28805308539404</v>
      </c>
      <c r="AY32" s="2"/>
    </row>
    <row r="33" spans="2:51">
      <c r="B33" s="523">
        <f t="shared" si="2"/>
        <v>2</v>
      </c>
      <c r="C33" s="526">
        <f t="shared" si="3"/>
        <v>4</v>
      </c>
      <c r="D33" s="526" t="str">
        <f>INDEX('SubRes-RSD_MaxRetrofit'!$I$65:$I$70,C33)</f>
        <v>Pre89</v>
      </c>
      <c r="E33" s="526" t="str">
        <f t="shared" si="1"/>
        <v>DET</v>
      </c>
      <c r="F33" s="2"/>
      <c r="G33" s="2" t="s">
        <v>629</v>
      </c>
      <c r="H33" s="2" t="s">
        <v>630</v>
      </c>
      <c r="I33" s="2" t="s">
        <v>512</v>
      </c>
      <c r="J33" s="5" t="s">
        <v>631</v>
      </c>
      <c r="K33" s="2" t="str">
        <f>"Bldg_"&amp;E33&amp;D33&amp;"-"&amp;INDEX('SubRes-RSD_MaxRetrofit'!$C$65:$C$67,B33)</f>
        <v>Bldg_DETPre89-Cei</v>
      </c>
      <c r="L33" s="2">
        <v>2020</v>
      </c>
      <c r="M33" s="2"/>
      <c r="N33" s="480">
        <f t="shared" si="6"/>
        <v>50.816043389079638</v>
      </c>
      <c r="O33" s="480">
        <f t="shared" si="6"/>
        <v>145.38398130713816</v>
      </c>
      <c r="P33" s="480">
        <f t="shared" si="6"/>
        <v>94.234817803818714</v>
      </c>
      <c r="Q33" s="480">
        <f t="shared" si="6"/>
        <v>148.59348069818344</v>
      </c>
      <c r="R33" s="480">
        <f t="shared" si="6"/>
        <v>175.87008943208198</v>
      </c>
      <c r="S33" s="480">
        <f t="shared" si="6"/>
        <v>112.62389768064644</v>
      </c>
      <c r="T33" s="480">
        <f t="shared" si="6"/>
        <v>20.976864752692897</v>
      </c>
      <c r="U33" s="480">
        <f t="shared" si="6"/>
        <v>166.06371945054707</v>
      </c>
      <c r="V33" s="480">
        <f t="shared" si="6"/>
        <v>1041.9163884518846</v>
      </c>
      <c r="W33" s="480">
        <f t="shared" si="6"/>
        <v>67.701608135824372</v>
      </c>
      <c r="X33" s="480">
        <f t="shared" si="6"/>
        <v>22.613386062675442</v>
      </c>
      <c r="Y33" s="480">
        <f t="shared" si="6"/>
        <v>183.73558294389989</v>
      </c>
      <c r="Z33" s="480">
        <f t="shared" si="6"/>
        <v>187.23350679544612</v>
      </c>
      <c r="AA33" s="480">
        <f t="shared" si="6"/>
        <v>128.5324683478311</v>
      </c>
      <c r="AB33" s="480">
        <f t="shared" si="6"/>
        <v>1182.9702847811304</v>
      </c>
      <c r="AC33" s="480">
        <f t="shared" si="6"/>
        <v>113.76331274936017</v>
      </c>
      <c r="AD33" s="480">
        <f t="shared" si="6"/>
        <v>379.42047935407322</v>
      </c>
      <c r="AE33" s="480">
        <f t="shared" si="6"/>
        <v>65.702769369466225</v>
      </c>
      <c r="AF33" s="480">
        <f t="shared" si="6"/>
        <v>7.0718532431399668</v>
      </c>
      <c r="AG33" s="480">
        <f t="shared" si="6"/>
        <v>343.94800309905816</v>
      </c>
      <c r="AH33" s="480">
        <f t="shared" si="6"/>
        <v>52.785845575316081</v>
      </c>
      <c r="AI33" s="480">
        <f t="shared" si="6"/>
        <v>64.859291197282047</v>
      </c>
      <c r="AJ33" s="480">
        <f t="shared" si="6"/>
        <v>5.7173903406803417</v>
      </c>
      <c r="AK33" s="480">
        <f t="shared" si="6"/>
        <v>43.243498463731179</v>
      </c>
      <c r="AL33" s="480">
        <f t="shared" si="6"/>
        <v>10.036544136659248</v>
      </c>
      <c r="AM33" s="480">
        <f t="shared" si="6"/>
        <v>37.538558675065232</v>
      </c>
      <c r="AN33" s="480">
        <f t="shared" si="6"/>
        <v>1.334837287088587</v>
      </c>
      <c r="AO33" s="480">
        <f t="shared" si="6"/>
        <v>119.06591063344928</v>
      </c>
      <c r="AP33" s="480">
        <f t="shared" si="6"/>
        <v>72.84962312655226</v>
      </c>
      <c r="AQ33" s="480">
        <f t="shared" si="6"/>
        <v>532.52823209855194</v>
      </c>
      <c r="AR33" s="480">
        <f t="shared" si="6"/>
        <v>217.53651177384077</v>
      </c>
      <c r="AS33" s="480">
        <f t="shared" si="6"/>
        <v>966.54447759871596</v>
      </c>
      <c r="AT33" s="480">
        <f t="shared" si="6"/>
        <v>180.57102448374658</v>
      </c>
      <c r="AU33" s="480">
        <f t="shared" si="6"/>
        <v>129.419261606547</v>
      </c>
      <c r="AV33" s="480">
        <f t="shared" si="6"/>
        <v>20.584275862852557</v>
      </c>
      <c r="AW33" s="480">
        <f t="shared" si="6"/>
        <v>96.261858539220341</v>
      </c>
      <c r="AX33" s="480">
        <f t="shared" si="6"/>
        <v>369.90738511493879</v>
      </c>
      <c r="AY33" s="2"/>
    </row>
    <row r="34" spans="2:51">
      <c r="B34" s="523">
        <f t="shared" si="2"/>
        <v>2</v>
      </c>
      <c r="C34" s="526">
        <f t="shared" si="3"/>
        <v>4</v>
      </c>
      <c r="D34" s="526" t="str">
        <f>INDEX('SubRes-RSD_MaxRetrofit'!$I$65:$I$70,C34)</f>
        <v>Pre89</v>
      </c>
      <c r="E34" s="526" t="str">
        <f t="shared" si="1"/>
        <v>SDE</v>
      </c>
      <c r="F34" s="2"/>
      <c r="G34" s="2" t="s">
        <v>629</v>
      </c>
      <c r="H34" s="2" t="s">
        <v>630</v>
      </c>
      <c r="I34" s="2" t="s">
        <v>512</v>
      </c>
      <c r="J34" s="5" t="s">
        <v>631</v>
      </c>
      <c r="K34" s="2" t="str">
        <f>"Bldg_"&amp;E34&amp;D34&amp;"-"&amp;INDEX('SubRes-RSD_MaxRetrofit'!$C$65:$C$67,B34)</f>
        <v>Bldg_SDEPre89-Cei</v>
      </c>
      <c r="L34" s="2">
        <v>2020</v>
      </c>
      <c r="M34" s="2"/>
      <c r="N34" s="480">
        <f t="shared" si="6"/>
        <v>28.732435748031019</v>
      </c>
      <c r="O34" s="480">
        <f t="shared" si="6"/>
        <v>67.373064508186019</v>
      </c>
      <c r="P34" s="480">
        <f t="shared" si="6"/>
        <v>33.724446782530975</v>
      </c>
      <c r="Q34" s="480">
        <f t="shared" si="6"/>
        <v>247.92281550451628</v>
      </c>
      <c r="R34" s="480">
        <f t="shared" si="6"/>
        <v>95.581570343522856</v>
      </c>
      <c r="S34" s="480">
        <f t="shared" si="6"/>
        <v>126.34697765013705</v>
      </c>
      <c r="T34" s="480">
        <f t="shared" si="6"/>
        <v>21.423181024026793</v>
      </c>
      <c r="U34" s="480">
        <f t="shared" si="6"/>
        <v>98.43293048076778</v>
      </c>
      <c r="V34" s="480">
        <f t="shared" si="6"/>
        <v>1089.2762242906067</v>
      </c>
      <c r="W34" s="480">
        <f t="shared" si="6"/>
        <v>36.04428874481718</v>
      </c>
      <c r="X34" s="480">
        <f t="shared" si="6"/>
        <v>10.490941688472754</v>
      </c>
      <c r="Y34" s="480">
        <f t="shared" si="6"/>
        <v>103.88787633743875</v>
      </c>
      <c r="Z34" s="480">
        <f t="shared" si="6"/>
        <v>415.08016396196308</v>
      </c>
      <c r="AA34" s="480">
        <f t="shared" si="6"/>
        <v>97.148216277730356</v>
      </c>
      <c r="AB34" s="480">
        <f t="shared" si="6"/>
        <v>1051.8265201786974</v>
      </c>
      <c r="AC34" s="480">
        <f t="shared" si="6"/>
        <v>40.713240350370306</v>
      </c>
      <c r="AD34" s="480">
        <f t="shared" si="6"/>
        <v>140.13025528569844</v>
      </c>
      <c r="AE34" s="480">
        <f t="shared" si="6"/>
        <v>98.82782835536112</v>
      </c>
      <c r="AF34" s="480">
        <f t="shared" si="6"/>
        <v>6.6057998775462146</v>
      </c>
      <c r="AG34" s="480">
        <f t="shared" si="6"/>
        <v>611.68025551139306</v>
      </c>
      <c r="AH34" s="480">
        <f t="shared" si="6"/>
        <v>18.890824871988109</v>
      </c>
      <c r="AI34" s="480">
        <f t="shared" si="6"/>
        <v>32.798164298625586</v>
      </c>
      <c r="AJ34" s="480">
        <f t="shared" si="6"/>
        <v>7.3980517869792326</v>
      </c>
      <c r="AK34" s="480">
        <f t="shared" si="6"/>
        <v>17.270202216647352</v>
      </c>
      <c r="AL34" s="480">
        <f t="shared" si="6"/>
        <v>5.6748684137185474</v>
      </c>
      <c r="AM34" s="480">
        <f t="shared" si="6"/>
        <v>20.401390584274584</v>
      </c>
      <c r="AN34" s="480">
        <f t="shared" si="6"/>
        <v>17.056254223909722</v>
      </c>
      <c r="AO34" s="480">
        <f t="shared" si="6"/>
        <v>628.77090461059174</v>
      </c>
      <c r="AP34" s="480">
        <f t="shared" si="6"/>
        <v>57.217558197007889</v>
      </c>
      <c r="AQ34" s="480">
        <f t="shared" si="6"/>
        <v>199.8342138856531</v>
      </c>
      <c r="AR34" s="480">
        <f t="shared" si="6"/>
        <v>175.60983185683824</v>
      </c>
      <c r="AS34" s="480">
        <f t="shared" si="6"/>
        <v>277.58198840128415</v>
      </c>
      <c r="AT34" s="480">
        <f t="shared" si="6"/>
        <v>64.622164584080508</v>
      </c>
      <c r="AU34" s="480">
        <f t="shared" si="6"/>
        <v>62.087995563219899</v>
      </c>
      <c r="AV34" s="480">
        <f t="shared" si="6"/>
        <v>6.8459716270598241</v>
      </c>
      <c r="AW34" s="480">
        <f t="shared" si="6"/>
        <v>28.647066118385208</v>
      </c>
      <c r="AX34" s="480">
        <f t="shared" si="6"/>
        <v>1284.228672799667</v>
      </c>
      <c r="AY34" s="2"/>
    </row>
    <row r="35" spans="2:51">
      <c r="B35" s="523">
        <f t="shared" si="2"/>
        <v>2</v>
      </c>
      <c r="C35" s="526">
        <f t="shared" si="3"/>
        <v>5</v>
      </c>
      <c r="D35" s="526" t="str">
        <f>INDEX('SubRes-RSD_MaxRetrofit'!$I$65:$I$70,C35)</f>
        <v>Pre99</v>
      </c>
      <c r="E35" s="526" t="str">
        <f t="shared" si="1"/>
        <v>FLT</v>
      </c>
      <c r="F35" s="2"/>
      <c r="G35" s="2" t="s">
        <v>629</v>
      </c>
      <c r="H35" s="2" t="s">
        <v>630</v>
      </c>
      <c r="I35" s="2" t="s">
        <v>512</v>
      </c>
      <c r="J35" s="5" t="s">
        <v>631</v>
      </c>
      <c r="K35" s="2" t="str">
        <f>"Bldg_"&amp;E35&amp;D35&amp;"-"&amp;INDEX('SubRes-RSD_MaxRetrofit'!$C$65:$C$67,B35)</f>
        <v>Bldg_FLTPre99-Cei</v>
      </c>
      <c r="L35" s="2">
        <v>2020</v>
      </c>
      <c r="M35" s="2"/>
      <c r="N35" s="480">
        <f t="shared" si="6"/>
        <v>78.760400894311005</v>
      </c>
      <c r="O35" s="480">
        <f t="shared" si="6"/>
        <v>250.95383690176817</v>
      </c>
      <c r="P35" s="480">
        <f t="shared" si="6"/>
        <v>56.143200376494306</v>
      </c>
      <c r="Q35" s="480">
        <f t="shared" si="6"/>
        <v>104.28996161451649</v>
      </c>
      <c r="R35" s="480">
        <f t="shared" si="6"/>
        <v>127.93998529141672</v>
      </c>
      <c r="S35" s="480">
        <f t="shared" si="6"/>
        <v>263.27656373891904</v>
      </c>
      <c r="T35" s="480">
        <f t="shared" si="6"/>
        <v>14.275871920854083</v>
      </c>
      <c r="U35" s="480">
        <f t="shared" si="6"/>
        <v>184.28781159304199</v>
      </c>
      <c r="V35" s="480">
        <f t="shared" si="6"/>
        <v>2294.8521642411897</v>
      </c>
      <c r="W35" s="480">
        <f t="shared" si="6"/>
        <v>72.46270178142484</v>
      </c>
      <c r="X35" s="480">
        <f t="shared" si="6"/>
        <v>32.07327194030924</v>
      </c>
      <c r="Y35" s="480">
        <f t="shared" si="6"/>
        <v>284.77400454836123</v>
      </c>
      <c r="Z35" s="480">
        <f t="shared" si="6"/>
        <v>1416.3041684017362</v>
      </c>
      <c r="AA35" s="480">
        <f t="shared" si="6"/>
        <v>131.29364090567577</v>
      </c>
      <c r="AB35" s="480">
        <f t="shared" si="6"/>
        <v>1040.2944476333871</v>
      </c>
      <c r="AC35" s="480">
        <f t="shared" si="6"/>
        <v>48.34714989947237</v>
      </c>
      <c r="AD35" s="480">
        <f t="shared" si="6"/>
        <v>133.89909293520358</v>
      </c>
      <c r="AE35" s="480">
        <f t="shared" si="6"/>
        <v>27.163656005024833</v>
      </c>
      <c r="AF35" s="480">
        <f t="shared" si="6"/>
        <v>7.9572112262919372</v>
      </c>
      <c r="AG35" s="480">
        <f t="shared" si="6"/>
        <v>1027.3211290083136</v>
      </c>
      <c r="AH35" s="480">
        <f t="shared" si="6"/>
        <v>31.448740224099652</v>
      </c>
      <c r="AI35" s="480">
        <f t="shared" si="6"/>
        <v>56.147849277506879</v>
      </c>
      <c r="AJ35" s="480">
        <f t="shared" si="6"/>
        <v>5.9131027659574471</v>
      </c>
      <c r="AK35" s="480">
        <f t="shared" si="6"/>
        <v>42.309518110997381</v>
      </c>
      <c r="AL35" s="480">
        <f t="shared" si="6"/>
        <v>11.333295719093488</v>
      </c>
      <c r="AM35" s="480">
        <f t="shared" si="6"/>
        <v>29.953757886810376</v>
      </c>
      <c r="AN35" s="480">
        <f t="shared" si="6"/>
        <v>5.9183140924985889</v>
      </c>
      <c r="AO35" s="480">
        <f t="shared" si="6"/>
        <v>285.59305629628477</v>
      </c>
      <c r="AP35" s="480">
        <f t="shared" si="6"/>
        <v>199.31371586044133</v>
      </c>
      <c r="AQ35" s="480">
        <f t="shared" si="6"/>
        <v>1078.5750540157949</v>
      </c>
      <c r="AR35" s="480">
        <f t="shared" si="6"/>
        <v>297.53641782104188</v>
      </c>
      <c r="AS35" s="480">
        <f t="shared" si="6"/>
        <v>129.77659979999999</v>
      </c>
      <c r="AT35" s="480">
        <f t="shared" si="6"/>
        <v>107.58056784155019</v>
      </c>
      <c r="AU35" s="480">
        <f t="shared" si="6"/>
        <v>218.16532251448081</v>
      </c>
      <c r="AV35" s="480">
        <f t="shared" si="6"/>
        <v>48.691389510087625</v>
      </c>
      <c r="AW35" s="480">
        <f t="shared" si="6"/>
        <v>68.884631856564482</v>
      </c>
      <c r="AX35" s="480">
        <f t="shared" si="6"/>
        <v>381.28805308539404</v>
      </c>
      <c r="AY35" s="2"/>
    </row>
    <row r="36" spans="2:51">
      <c r="B36" s="523">
        <f t="shared" si="2"/>
        <v>2</v>
      </c>
      <c r="C36" s="526">
        <f t="shared" si="3"/>
        <v>5</v>
      </c>
      <c r="D36" s="526" t="str">
        <f>INDEX('SubRes-RSD_MaxRetrofit'!$I$65:$I$70,C36)</f>
        <v>Pre99</v>
      </c>
      <c r="E36" s="526" t="str">
        <f t="shared" si="1"/>
        <v>DET</v>
      </c>
      <c r="F36" s="2"/>
      <c r="G36" s="2" t="s">
        <v>629</v>
      </c>
      <c r="H36" s="2" t="s">
        <v>630</v>
      </c>
      <c r="I36" s="2" t="s">
        <v>512</v>
      </c>
      <c r="J36" s="5" t="s">
        <v>631</v>
      </c>
      <c r="K36" s="2" t="str">
        <f>"Bldg_"&amp;E36&amp;D36&amp;"-"&amp;INDEX('SubRes-RSD_MaxRetrofit'!$C$65:$C$67,B36)</f>
        <v>Bldg_DETPre99-Cei</v>
      </c>
      <c r="L36" s="2">
        <v>2020</v>
      </c>
      <c r="M36" s="2"/>
      <c r="N36" s="480">
        <f t="shared" si="6"/>
        <v>34.186418495119696</v>
      </c>
      <c r="O36" s="480">
        <f t="shared" si="6"/>
        <v>173.51854230045839</v>
      </c>
      <c r="P36" s="480">
        <f t="shared" si="6"/>
        <v>46.18799435653829</v>
      </c>
      <c r="Q36" s="480">
        <f t="shared" si="6"/>
        <v>109.45701529799435</v>
      </c>
      <c r="R36" s="480">
        <f t="shared" si="6"/>
        <v>101.56813262809619</v>
      </c>
      <c r="S36" s="480">
        <f t="shared" si="6"/>
        <v>134.41876043039858</v>
      </c>
      <c r="T36" s="480">
        <f t="shared" si="6"/>
        <v>18.08765814441956</v>
      </c>
      <c r="U36" s="480">
        <f t="shared" si="6"/>
        <v>85.72086435677366</v>
      </c>
      <c r="V36" s="480">
        <f t="shared" si="6"/>
        <v>958.94049423764079</v>
      </c>
      <c r="W36" s="480">
        <f t="shared" si="6"/>
        <v>67.75527517806448</v>
      </c>
      <c r="X36" s="480">
        <f t="shared" si="6"/>
        <v>7.3370537714334541</v>
      </c>
      <c r="Y36" s="480">
        <f t="shared" si="6"/>
        <v>123.60784335119607</v>
      </c>
      <c r="Z36" s="480">
        <f t="shared" si="6"/>
        <v>185.39243822026032</v>
      </c>
      <c r="AA36" s="480">
        <f t="shared" si="6"/>
        <v>93.84868241148844</v>
      </c>
      <c r="AB36" s="480">
        <f t="shared" si="6"/>
        <v>712.60673422759623</v>
      </c>
      <c r="AC36" s="480">
        <f t="shared" si="6"/>
        <v>60.893733834436496</v>
      </c>
      <c r="AD36" s="480">
        <f t="shared" si="6"/>
        <v>156.49322809989133</v>
      </c>
      <c r="AE36" s="480">
        <f t="shared" si="6"/>
        <v>85.367685860866288</v>
      </c>
      <c r="AF36" s="480">
        <f t="shared" si="6"/>
        <v>5.1635521950769148</v>
      </c>
      <c r="AG36" s="480">
        <f t="shared" si="6"/>
        <v>127.25947094997306</v>
      </c>
      <c r="AH36" s="480">
        <f t="shared" si="6"/>
        <v>25.872309135392644</v>
      </c>
      <c r="AI36" s="480">
        <f t="shared" si="6"/>
        <v>20.169145536448266</v>
      </c>
      <c r="AJ36" s="480">
        <f t="shared" si="6"/>
        <v>4.5488610217862151</v>
      </c>
      <c r="AK36" s="480">
        <f t="shared" si="6"/>
        <v>13.535932895961425</v>
      </c>
      <c r="AL36" s="480">
        <f t="shared" si="6"/>
        <v>4.9192841324130994</v>
      </c>
      <c r="AM36" s="480">
        <f t="shared" si="6"/>
        <v>21.679191262645055</v>
      </c>
      <c r="AN36" s="480">
        <f t="shared" si="6"/>
        <v>1.2927255900605863</v>
      </c>
      <c r="AO36" s="480">
        <f t="shared" si="6"/>
        <v>105.03666692285195</v>
      </c>
      <c r="AP36" s="480">
        <f t="shared" si="6"/>
        <v>80.235577445388714</v>
      </c>
      <c r="AQ36" s="480">
        <f t="shared" si="6"/>
        <v>532.52823209855194</v>
      </c>
      <c r="AR36" s="480">
        <f t="shared" si="6"/>
        <v>236.91153368948144</v>
      </c>
      <c r="AS36" s="480">
        <f t="shared" si="6"/>
        <v>133.10326307672554</v>
      </c>
      <c r="AT36" s="480">
        <f t="shared" si="6"/>
        <v>88.50458518604627</v>
      </c>
      <c r="AU36" s="480">
        <f t="shared" ref="AU36:AX36" si="7">AU18</f>
        <v>105.96675077351949</v>
      </c>
      <c r="AV36" s="480">
        <f t="shared" si="7"/>
        <v>20.584275862852557</v>
      </c>
      <c r="AW36" s="480">
        <f t="shared" si="7"/>
        <v>51.216291980809764</v>
      </c>
      <c r="AX36" s="480">
        <f t="shared" si="7"/>
        <v>369.90738511493879</v>
      </c>
      <c r="AY36" s="2"/>
    </row>
    <row r="37" spans="2:51">
      <c r="B37" s="523">
        <f t="shared" si="2"/>
        <v>2</v>
      </c>
      <c r="C37" s="526">
        <f t="shared" si="3"/>
        <v>5</v>
      </c>
      <c r="D37" s="526" t="str">
        <f>INDEX('SubRes-RSD_MaxRetrofit'!$I$65:$I$70,C37)</f>
        <v>Pre99</v>
      </c>
      <c r="E37" s="526" t="str">
        <f t="shared" si="1"/>
        <v>SDE</v>
      </c>
      <c r="F37" s="2"/>
      <c r="G37" s="2" t="s">
        <v>629</v>
      </c>
      <c r="H37" s="2" t="s">
        <v>630</v>
      </c>
      <c r="I37" s="2" t="s">
        <v>512</v>
      </c>
      <c r="J37" s="5" t="s">
        <v>631</v>
      </c>
      <c r="K37" s="2" t="str">
        <f>"Bldg_"&amp;E37&amp;D37&amp;"-"&amp;INDEX('SubRes-RSD_MaxRetrofit'!$C$65:$C$67,B37)</f>
        <v>Bldg_SDEPre99-Cei</v>
      </c>
      <c r="L37" s="2">
        <v>2020</v>
      </c>
      <c r="M37" s="2"/>
      <c r="N37" s="480">
        <f t="shared" ref="N37:AX43" si="8">N19</f>
        <v>19.329703915464879</v>
      </c>
      <c r="O37" s="480">
        <f t="shared" si="8"/>
        <v>80.411031797773447</v>
      </c>
      <c r="P37" s="480">
        <f t="shared" si="8"/>
        <v>16.529607569377557</v>
      </c>
      <c r="Q37" s="480">
        <f t="shared" si="8"/>
        <v>182.62504708748918</v>
      </c>
      <c r="R37" s="480">
        <f t="shared" si="8"/>
        <v>55.200072080487089</v>
      </c>
      <c r="S37" s="480">
        <f t="shared" si="8"/>
        <v>150.7975169534304</v>
      </c>
      <c r="T37" s="480">
        <f t="shared" si="8"/>
        <v>18.472501934726363</v>
      </c>
      <c r="U37" s="480">
        <f t="shared" si="8"/>
        <v>50.810351050184373</v>
      </c>
      <c r="V37" s="480">
        <f t="shared" si="8"/>
        <v>1002.5286985211699</v>
      </c>
      <c r="W37" s="480">
        <f t="shared" si="8"/>
        <v>36.072861040510688</v>
      </c>
      <c r="X37" s="480">
        <f t="shared" si="8"/>
        <v>3.4038512882572998</v>
      </c>
      <c r="Y37" s="480">
        <f t="shared" si="8"/>
        <v>69.890416100442664</v>
      </c>
      <c r="Z37" s="480">
        <f t="shared" si="8"/>
        <v>410.99867737800338</v>
      </c>
      <c r="AA37" s="480">
        <f t="shared" si="8"/>
        <v>70.933299682835781</v>
      </c>
      <c r="AB37" s="480">
        <f t="shared" si="8"/>
        <v>633.60734513901662</v>
      </c>
      <c r="AC37" s="480">
        <f t="shared" si="8"/>
        <v>21.792449266091133</v>
      </c>
      <c r="AD37" s="480">
        <f t="shared" si="8"/>
        <v>57.797185964905104</v>
      </c>
      <c r="AE37" s="480">
        <f t="shared" si="8"/>
        <v>128.40711413410889</v>
      </c>
      <c r="AF37" s="480">
        <f t="shared" si="8"/>
        <v>4.8232607896706998</v>
      </c>
      <c r="AG37" s="480">
        <f t="shared" si="8"/>
        <v>226.31940004171341</v>
      </c>
      <c r="AH37" s="480">
        <f t="shared" si="8"/>
        <v>9.259096933727843</v>
      </c>
      <c r="AI37" s="480">
        <f t="shared" si="8"/>
        <v>10.199170186044862</v>
      </c>
      <c r="AJ37" s="480">
        <f t="shared" si="8"/>
        <v>5.886026212256338</v>
      </c>
      <c r="AK37" s="480">
        <f t="shared" si="8"/>
        <v>5.4058599930411964</v>
      </c>
      <c r="AL37" s="480">
        <f t="shared" si="8"/>
        <v>2.7814643926260985</v>
      </c>
      <c r="AM37" s="480">
        <f t="shared" si="8"/>
        <v>11.78216916448101</v>
      </c>
      <c r="AN37" s="480">
        <f t="shared" si="8"/>
        <v>16.518160317440824</v>
      </c>
      <c r="AO37" s="480">
        <f t="shared" si="8"/>
        <v>554.68437378086321</v>
      </c>
      <c r="AP37" s="480">
        <f t="shared" si="8"/>
        <v>63.018635168186279</v>
      </c>
      <c r="AQ37" s="480">
        <f t="shared" si="8"/>
        <v>199.8342138856531</v>
      </c>
      <c r="AR37" s="480">
        <f t="shared" si="8"/>
        <v>191.25062848947672</v>
      </c>
      <c r="AS37" s="480">
        <f t="shared" si="8"/>
        <v>38.225937123274477</v>
      </c>
      <c r="AT37" s="480">
        <f t="shared" si="8"/>
        <v>31.673729972403528</v>
      </c>
      <c r="AU37" s="480">
        <f t="shared" si="8"/>
        <v>50.836815711999698</v>
      </c>
      <c r="AV37" s="480">
        <f t="shared" si="8"/>
        <v>6.8459716270598241</v>
      </c>
      <c r="AW37" s="480">
        <f t="shared" si="8"/>
        <v>15.241722162625749</v>
      </c>
      <c r="AX37" s="480">
        <f t="shared" si="8"/>
        <v>1284.228672799667</v>
      </c>
      <c r="AY37" s="2"/>
    </row>
    <row r="38" spans="2:51">
      <c r="B38" s="523">
        <f t="shared" si="2"/>
        <v>2</v>
      </c>
      <c r="C38" s="526">
        <f t="shared" si="3"/>
        <v>6</v>
      </c>
      <c r="D38" s="526" t="str">
        <f>INDEX('SubRes-RSD_MaxRetrofit'!$I$65:$I$70,C38)</f>
        <v>Pre09</v>
      </c>
      <c r="E38" s="526" t="str">
        <f t="shared" si="1"/>
        <v>FLT</v>
      </c>
      <c r="F38" s="2"/>
      <c r="G38" s="2" t="s">
        <v>629</v>
      </c>
      <c r="H38" s="2" t="s">
        <v>630</v>
      </c>
      <c r="I38" s="2" t="s">
        <v>512</v>
      </c>
      <c r="J38" s="5" t="s">
        <v>631</v>
      </c>
      <c r="K38" s="2" t="str">
        <f>"Bldg_"&amp;E38&amp;D38&amp;"-"&amp;INDEX('SubRes-RSD_MaxRetrofit'!$C$65:$C$67,B38)</f>
        <v>Bldg_FLTPre09-Cei</v>
      </c>
      <c r="L38" s="2">
        <v>2020</v>
      </c>
      <c r="M38" s="2"/>
      <c r="N38" s="480">
        <f t="shared" si="8"/>
        <v>40.109860472738262</v>
      </c>
      <c r="O38" s="480">
        <f t="shared" si="8"/>
        <v>102.6026573497053</v>
      </c>
      <c r="P38" s="480">
        <f t="shared" si="8"/>
        <v>42.161557376973775</v>
      </c>
      <c r="Q38" s="480">
        <f t="shared" si="8"/>
        <v>70.102719075016594</v>
      </c>
      <c r="R38" s="480">
        <f t="shared" si="8"/>
        <v>199.0585423279054</v>
      </c>
      <c r="S38" s="480">
        <f t="shared" si="8"/>
        <v>107.64081311132098</v>
      </c>
      <c r="T38" s="480">
        <f t="shared" si="8"/>
        <v>30.694791644895528</v>
      </c>
      <c r="U38" s="480">
        <f t="shared" si="8"/>
        <v>139.21443130786497</v>
      </c>
      <c r="V38" s="480">
        <f t="shared" si="8"/>
        <v>1261.9275493689988</v>
      </c>
      <c r="W38" s="480">
        <f t="shared" si="8"/>
        <v>95.842879700857893</v>
      </c>
      <c r="X38" s="480">
        <f t="shared" si="8"/>
        <v>25.249444480802204</v>
      </c>
      <c r="Y38" s="480">
        <f t="shared" si="8"/>
        <v>145.02523424208152</v>
      </c>
      <c r="Z38" s="480">
        <f t="shared" si="8"/>
        <v>2403.9570549832829</v>
      </c>
      <c r="AA38" s="480">
        <f t="shared" si="8"/>
        <v>128.24101552307064</v>
      </c>
      <c r="AB38" s="480">
        <f t="shared" si="8"/>
        <v>1417.3853444798438</v>
      </c>
      <c r="AC38" s="480">
        <f t="shared" si="8"/>
        <v>66.291309871417113</v>
      </c>
      <c r="AD38" s="480">
        <f t="shared" si="8"/>
        <v>157.93067579915589</v>
      </c>
      <c r="AE38" s="480">
        <f t="shared" si="8"/>
        <v>54.110641174925789</v>
      </c>
      <c r="AF38" s="480">
        <f t="shared" si="8"/>
        <v>7.7722031421488511</v>
      </c>
      <c r="AG38" s="480">
        <f t="shared" si="8"/>
        <v>803.83842413895491</v>
      </c>
      <c r="AH38" s="480">
        <f t="shared" si="8"/>
        <v>23.61689138667364</v>
      </c>
      <c r="AI38" s="480">
        <f t="shared" si="8"/>
        <v>49.208265200013763</v>
      </c>
      <c r="AJ38" s="480">
        <f t="shared" si="8"/>
        <v>8.1332575531914895</v>
      </c>
      <c r="AK38" s="480">
        <f t="shared" si="8"/>
        <v>49.086026067434688</v>
      </c>
      <c r="AL38" s="480">
        <f t="shared" si="8"/>
        <v>8.5109041616164447</v>
      </c>
      <c r="AM38" s="480">
        <f t="shared" si="8"/>
        <v>46.60428378673177</v>
      </c>
      <c r="AN38" s="480">
        <f t="shared" si="8"/>
        <v>2.2070144774957696</v>
      </c>
      <c r="AO38" s="480">
        <f t="shared" si="8"/>
        <v>148.46865716238921</v>
      </c>
      <c r="AP38" s="480">
        <f t="shared" si="8"/>
        <v>140.73088690336078</v>
      </c>
      <c r="AQ38" s="480">
        <f t="shared" si="8"/>
        <v>1342.0302721278497</v>
      </c>
      <c r="AR38" s="480">
        <f t="shared" si="8"/>
        <v>168.96951817194957</v>
      </c>
      <c r="AS38" s="480">
        <f t="shared" si="8"/>
        <v>127.5554844</v>
      </c>
      <c r="AT38" s="480">
        <f t="shared" si="8"/>
        <v>80.789200709654324</v>
      </c>
      <c r="AU38" s="480">
        <f t="shared" si="8"/>
        <v>60.866387059806925</v>
      </c>
      <c r="AV38" s="480">
        <f t="shared" si="8"/>
        <v>42.574698508130162</v>
      </c>
      <c r="AW38" s="480">
        <f t="shared" si="8"/>
        <v>85.123908571428572</v>
      </c>
      <c r="AX38" s="480">
        <f t="shared" si="8"/>
        <v>315.31074469020649</v>
      </c>
      <c r="AY38" s="2"/>
    </row>
    <row r="39" spans="2:51">
      <c r="B39" s="523">
        <f t="shared" si="2"/>
        <v>2</v>
      </c>
      <c r="C39" s="526">
        <f t="shared" si="3"/>
        <v>6</v>
      </c>
      <c r="D39" s="526" t="str">
        <f>INDEX('SubRes-RSD_MaxRetrofit'!$I$65:$I$70,C39)</f>
        <v>Pre09</v>
      </c>
      <c r="E39" s="526" t="str">
        <f t="shared" si="1"/>
        <v>DET</v>
      </c>
      <c r="F39" s="2"/>
      <c r="G39" s="2" t="s">
        <v>629</v>
      </c>
      <c r="H39" s="2" t="s">
        <v>630</v>
      </c>
      <c r="I39" s="2" t="s">
        <v>512</v>
      </c>
      <c r="J39" s="5" t="s">
        <v>631</v>
      </c>
      <c r="K39" s="2" t="str">
        <f>"Bldg_"&amp;E39&amp;D39&amp;"-"&amp;INDEX('SubRes-RSD_MaxRetrofit'!$C$65:$C$67,B39)</f>
        <v>Bldg_DETPre09-Cei</v>
      </c>
      <c r="L39" s="2">
        <v>2020</v>
      </c>
      <c r="M39" s="2"/>
      <c r="N39" s="480">
        <f t="shared" si="8"/>
        <v>17.409922503339299</v>
      </c>
      <c r="O39" s="480">
        <f t="shared" si="8"/>
        <v>70.943181261034695</v>
      </c>
      <c r="P39" s="480">
        <f t="shared" si="8"/>
        <v>34.685549828503149</v>
      </c>
      <c r="Q39" s="480">
        <f t="shared" si="8"/>
        <v>73.57596335673621</v>
      </c>
      <c r="R39" s="480">
        <f t="shared" si="8"/>
        <v>158.02725302699085</v>
      </c>
      <c r="S39" s="480">
        <f t="shared" si="8"/>
        <v>54.957207222182682</v>
      </c>
      <c r="T39" s="480">
        <f t="shared" si="8"/>
        <v>38.890577133578006</v>
      </c>
      <c r="U39" s="480">
        <f t="shared" si="8"/>
        <v>64.755131006707572</v>
      </c>
      <c r="V39" s="480">
        <f t="shared" si="8"/>
        <v>527.31650724182305</v>
      </c>
      <c r="W39" s="480">
        <f t="shared" si="8"/>
        <v>89.616596239783021</v>
      </c>
      <c r="X39" s="480">
        <f t="shared" si="8"/>
        <v>5.7760409414806713</v>
      </c>
      <c r="Y39" s="480">
        <f t="shared" si="8"/>
        <v>62.949061887147899</v>
      </c>
      <c r="Z39" s="480">
        <f t="shared" si="8"/>
        <v>314.67496159605378</v>
      </c>
      <c r="AA39" s="480">
        <f t="shared" si="8"/>
        <v>91.666666069515145</v>
      </c>
      <c r="AB39" s="480">
        <f t="shared" si="8"/>
        <v>970.91582462025042</v>
      </c>
      <c r="AC39" s="480">
        <f t="shared" si="8"/>
        <v>83.49458835194504</v>
      </c>
      <c r="AD39" s="480">
        <f t="shared" si="8"/>
        <v>184.57990065524498</v>
      </c>
      <c r="AE39" s="480">
        <f t="shared" si="8"/>
        <v>170.05443658602607</v>
      </c>
      <c r="AF39" s="480">
        <f t="shared" si="8"/>
        <v>5.043497709677867</v>
      </c>
      <c r="AG39" s="480">
        <f t="shared" si="8"/>
        <v>99.57553650622485</v>
      </c>
      <c r="AH39" s="480">
        <f t="shared" si="8"/>
        <v>19.429188909283418</v>
      </c>
      <c r="AI39" s="480">
        <f t="shared" si="8"/>
        <v>17.676343353953119</v>
      </c>
      <c r="AJ39" s="480">
        <f t="shared" si="8"/>
        <v>6.2567927073512548</v>
      </c>
      <c r="AK39" s="480">
        <f t="shared" si="8"/>
        <v>15.703916864170269</v>
      </c>
      <c r="AL39" s="480">
        <f t="shared" si="8"/>
        <v>3.6942083602559723</v>
      </c>
      <c r="AM39" s="480">
        <f t="shared" si="8"/>
        <v>33.73009776232562</v>
      </c>
      <c r="AN39" s="480">
        <f t="shared" si="8"/>
        <v>0.48207378792369415</v>
      </c>
      <c r="AO39" s="480">
        <f t="shared" si="8"/>
        <v>54.60445394957538</v>
      </c>
      <c r="AP39" s="480">
        <f t="shared" si="8"/>
        <v>56.652518500027334</v>
      </c>
      <c r="AQ39" s="480">
        <f t="shared" si="8"/>
        <v>662.60480026688674</v>
      </c>
      <c r="AR39" s="480">
        <f t="shared" si="8"/>
        <v>134.5409344847543</v>
      </c>
      <c r="AS39" s="480">
        <f t="shared" si="8"/>
        <v>130.82521211942216</v>
      </c>
      <c r="AT39" s="480">
        <f t="shared" si="8"/>
        <v>66.463812561868693</v>
      </c>
      <c r="AU39" s="480">
        <f t="shared" si="8"/>
        <v>29.563879326527815</v>
      </c>
      <c r="AV39" s="480">
        <f t="shared" si="8"/>
        <v>17.99844587896936</v>
      </c>
      <c r="AW39" s="480">
        <f t="shared" si="8"/>
        <v>63.290328168119139</v>
      </c>
      <c r="AX39" s="480">
        <f t="shared" si="8"/>
        <v>305.89936433407308</v>
      </c>
      <c r="AY39" s="2"/>
    </row>
    <row r="40" spans="2:51">
      <c r="B40" s="523">
        <f t="shared" si="2"/>
        <v>2</v>
      </c>
      <c r="C40" s="526">
        <f t="shared" si="3"/>
        <v>6</v>
      </c>
      <c r="D40" s="526" t="str">
        <f>INDEX('SubRes-RSD_MaxRetrofit'!$I$65:$I$70,C40)</f>
        <v>Pre09</v>
      </c>
      <c r="E40" s="526" t="str">
        <f t="shared" si="1"/>
        <v>SDE</v>
      </c>
      <c r="F40" s="2"/>
      <c r="G40" s="2" t="s">
        <v>629</v>
      </c>
      <c r="H40" s="2" t="s">
        <v>630</v>
      </c>
      <c r="I40" s="2" t="s">
        <v>512</v>
      </c>
      <c r="J40" s="5" t="s">
        <v>631</v>
      </c>
      <c r="K40" s="2" t="str">
        <f>"Bldg_"&amp;E40&amp;D40&amp;"-"&amp;INDEX('SubRes-RSD_MaxRetrofit'!$C$65:$C$67,B40)</f>
        <v>Bldg_SDEPre09-Cei</v>
      </c>
      <c r="L40" s="2">
        <v>2020</v>
      </c>
      <c r="M40" s="2"/>
      <c r="N40" s="480">
        <f t="shared" si="8"/>
        <v>9.8439281444114766</v>
      </c>
      <c r="O40" s="480">
        <f t="shared" si="8"/>
        <v>32.876108389259997</v>
      </c>
      <c r="P40" s="480">
        <f t="shared" si="8"/>
        <v>12.413150537940327</v>
      </c>
      <c r="Q40" s="480">
        <f t="shared" si="8"/>
        <v>122.7588175682472</v>
      </c>
      <c r="R40" s="480">
        <f t="shared" si="8"/>
        <v>85.884376645103757</v>
      </c>
      <c r="S40" s="480">
        <f t="shared" si="8"/>
        <v>61.653673648415058</v>
      </c>
      <c r="T40" s="480">
        <f t="shared" si="8"/>
        <v>39.718036221526475</v>
      </c>
      <c r="U40" s="480">
        <f t="shared" si="8"/>
        <v>38.383081685427463</v>
      </c>
      <c r="V40" s="480">
        <f t="shared" si="8"/>
        <v>551.28543938917858</v>
      </c>
      <c r="W40" s="480">
        <f t="shared" si="8"/>
        <v>47.711813059359088</v>
      </c>
      <c r="X40" s="480">
        <f t="shared" si="8"/>
        <v>2.6796565777171244</v>
      </c>
      <c r="Y40" s="480">
        <f t="shared" si="8"/>
        <v>35.592693870770553</v>
      </c>
      <c r="Z40" s="480">
        <f t="shared" si="8"/>
        <v>697.60662442066302</v>
      </c>
      <c r="AA40" s="480">
        <f t="shared" si="8"/>
        <v>69.284074407414224</v>
      </c>
      <c r="AB40" s="480">
        <f t="shared" si="8"/>
        <v>863.28035989990587</v>
      </c>
      <c r="AC40" s="480">
        <f t="shared" si="8"/>
        <v>29.880768776637847</v>
      </c>
      <c r="AD40" s="480">
        <f t="shared" si="8"/>
        <v>68.17035454559911</v>
      </c>
      <c r="AE40" s="480">
        <f t="shared" si="8"/>
        <v>255.78998923904814</v>
      </c>
      <c r="AF40" s="480">
        <f t="shared" si="8"/>
        <v>4.7111182044555431</v>
      </c>
      <c r="AG40" s="480">
        <f t="shared" si="8"/>
        <v>177.08603935482026</v>
      </c>
      <c r="AH40" s="480">
        <f t="shared" si="8"/>
        <v>6.9532542500688912</v>
      </c>
      <c r="AI40" s="480">
        <f t="shared" si="8"/>
        <v>8.9386054460331117</v>
      </c>
      <c r="AJ40" s="480">
        <f t="shared" si="8"/>
        <v>8.0960147394572548</v>
      </c>
      <c r="AK40" s="480">
        <f t="shared" si="8"/>
        <v>6.2716900683950429</v>
      </c>
      <c r="AL40" s="480">
        <f t="shared" si="8"/>
        <v>2.0887813625746388</v>
      </c>
      <c r="AM40" s="480">
        <f t="shared" si="8"/>
        <v>18.33157487082914</v>
      </c>
      <c r="AN40" s="480">
        <f t="shared" si="8"/>
        <v>6.1598317345805356</v>
      </c>
      <c r="AO40" s="480">
        <f t="shared" si="8"/>
        <v>288.35870588803544</v>
      </c>
      <c r="AP40" s="480">
        <f t="shared" si="8"/>
        <v>44.496026680210925</v>
      </c>
      <c r="AQ40" s="480">
        <f t="shared" si="8"/>
        <v>248.64617760526343</v>
      </c>
      <c r="AR40" s="480">
        <f t="shared" si="8"/>
        <v>108.61032334329613</v>
      </c>
      <c r="AS40" s="480">
        <f t="shared" si="8"/>
        <v>37.571703480577852</v>
      </c>
      <c r="AT40" s="480">
        <f t="shared" si="8"/>
        <v>23.785850728476969</v>
      </c>
      <c r="AU40" s="480">
        <f t="shared" si="8"/>
        <v>14.183066613665265</v>
      </c>
      <c r="AV40" s="480">
        <f t="shared" si="8"/>
        <v>5.9859696129004716</v>
      </c>
      <c r="AW40" s="480">
        <f t="shared" si="8"/>
        <v>18.834897260452287</v>
      </c>
      <c r="AX40" s="480">
        <f t="shared" si="8"/>
        <v>1062.0083579757202</v>
      </c>
      <c r="AY40" s="2"/>
    </row>
    <row r="41" spans="2:51">
      <c r="B41" s="523">
        <f t="shared" si="2"/>
        <v>3</v>
      </c>
      <c r="C41" s="526">
        <f t="shared" si="3"/>
        <v>1</v>
      </c>
      <c r="D41" s="526" t="str">
        <f>INDEX('SubRes-RSD_MaxRetrofit'!$I$65:$I$70,C41)</f>
        <v>Pre45</v>
      </c>
      <c r="E41" s="526" t="str">
        <f t="shared" si="1"/>
        <v>FLT</v>
      </c>
      <c r="F41" s="2"/>
      <c r="G41" s="2" t="s">
        <v>629</v>
      </c>
      <c r="H41" s="2" t="s">
        <v>630</v>
      </c>
      <c r="I41" s="2" t="s">
        <v>512</v>
      </c>
      <c r="J41" s="5" t="s">
        <v>631</v>
      </c>
      <c r="K41" s="2" t="str">
        <f>"Bldg_"&amp;E41&amp;D41&amp;"-"&amp;INDEX('SubRes-RSD_MaxRetrofit'!$C$65:$C$67,B41)</f>
        <v>Bldg_FLTPre45-Wal</v>
      </c>
      <c r="L41" s="2">
        <v>2020</v>
      </c>
      <c r="M41" s="2"/>
      <c r="N41" s="480">
        <f t="shared" si="8"/>
        <v>52.739168560647769</v>
      </c>
      <c r="O41" s="480">
        <f t="shared" si="8"/>
        <v>426.88055213555992</v>
      </c>
      <c r="P41" s="480">
        <f t="shared" si="8"/>
        <v>79.510185717506019</v>
      </c>
      <c r="Q41" s="480">
        <f t="shared" si="8"/>
        <v>470.89406639831816</v>
      </c>
      <c r="R41" s="480">
        <f t="shared" si="8"/>
        <v>195.8671606411277</v>
      </c>
      <c r="S41" s="480">
        <f t="shared" si="8"/>
        <v>447.84190702457772</v>
      </c>
      <c r="T41" s="480">
        <f t="shared" si="8"/>
        <v>2.5426748009718181</v>
      </c>
      <c r="U41" s="480">
        <f t="shared" si="8"/>
        <v>553.47062423293596</v>
      </c>
      <c r="V41" s="480">
        <f t="shared" si="8"/>
        <v>4572.4327834387923</v>
      </c>
      <c r="W41" s="480">
        <f t="shared" si="8"/>
        <v>394.10243103245057</v>
      </c>
      <c r="X41" s="480">
        <f t="shared" si="8"/>
        <v>91.537888851347205</v>
      </c>
      <c r="Y41" s="480">
        <f t="shared" si="8"/>
        <v>190.68902718918901</v>
      </c>
      <c r="Z41" s="480">
        <f t="shared" si="8"/>
        <v>1538.1678329068884</v>
      </c>
      <c r="AA41" s="480">
        <f t="shared" si="8"/>
        <v>156.1978807080441</v>
      </c>
      <c r="AB41" s="480">
        <f t="shared" si="8"/>
        <v>3136.7254014648984</v>
      </c>
      <c r="AC41" s="480">
        <f t="shared" si="8"/>
        <v>81.173032345013482</v>
      </c>
      <c r="AD41" s="480">
        <f t="shared" si="8"/>
        <v>295.53679069488578</v>
      </c>
      <c r="AE41" s="480">
        <f t="shared" si="8"/>
        <v>31.327020862816234</v>
      </c>
      <c r="AF41" s="480">
        <f t="shared" si="8"/>
        <v>9.4665630514884089</v>
      </c>
      <c r="AG41" s="480">
        <f t="shared" si="8"/>
        <v>4829.7260985748217</v>
      </c>
      <c r="AH41" s="480">
        <f t="shared" si="8"/>
        <v>44.537809726405577</v>
      </c>
      <c r="AI41" s="480">
        <f t="shared" si="8"/>
        <v>256.67024104732417</v>
      </c>
      <c r="AJ41" s="480">
        <f t="shared" si="8"/>
        <v>19.252162893617022</v>
      </c>
      <c r="AK41" s="480">
        <f t="shared" si="8"/>
        <v>142.81512059319493</v>
      </c>
      <c r="AL41" s="480">
        <f t="shared" si="8"/>
        <v>16.050250811740536</v>
      </c>
      <c r="AM41" s="480">
        <f t="shared" si="8"/>
        <v>45.857106317917776</v>
      </c>
      <c r="AN41" s="480">
        <f t="shared" si="8"/>
        <v>7.7229494551607436</v>
      </c>
      <c r="AO41" s="480">
        <f t="shared" si="8"/>
        <v>479.97393801218868</v>
      </c>
      <c r="AP41" s="480">
        <f t="shared" si="8"/>
        <v>251.93643930050624</v>
      </c>
      <c r="AQ41" s="480">
        <f t="shared" si="8"/>
        <v>1636.0838921174191</v>
      </c>
      <c r="AR41" s="480">
        <f t="shared" si="8"/>
        <v>210.84515230491107</v>
      </c>
      <c r="AS41" s="480">
        <f t="shared" si="8"/>
        <v>329.51833469999997</v>
      </c>
      <c r="AT41" s="480">
        <f t="shared" si="8"/>
        <v>152.35595533057008</v>
      </c>
      <c r="AU41" s="480">
        <f t="shared" si="8"/>
        <v>783.73120850317878</v>
      </c>
      <c r="AV41" s="480">
        <f t="shared" si="8"/>
        <v>155.75980789926879</v>
      </c>
      <c r="AW41" s="480">
        <f t="shared" si="8"/>
        <v>212.22796724117987</v>
      </c>
      <c r="AX41" s="480">
        <f t="shared" si="8"/>
        <v>1942.6772105200455</v>
      </c>
      <c r="AY41" s="2"/>
    </row>
    <row r="42" spans="2:51">
      <c r="B42" s="523">
        <f t="shared" si="2"/>
        <v>3</v>
      </c>
      <c r="C42" s="526">
        <f t="shared" si="3"/>
        <v>1</v>
      </c>
      <c r="D42" s="526" t="str">
        <f>INDEX('SubRes-RSD_MaxRetrofit'!$I$65:$I$70,C42)</f>
        <v>Pre45</v>
      </c>
      <c r="E42" s="526" t="str">
        <f t="shared" si="1"/>
        <v>DET</v>
      </c>
      <c r="F42" s="2"/>
      <c r="G42" s="2" t="s">
        <v>629</v>
      </c>
      <c r="H42" s="2" t="s">
        <v>630</v>
      </c>
      <c r="I42" s="2" t="s">
        <v>512</v>
      </c>
      <c r="J42" s="5" t="s">
        <v>631</v>
      </c>
      <c r="K42" s="2" t="str">
        <f>"Bldg_"&amp;E42&amp;D42&amp;"-"&amp;INDEX('SubRes-RSD_MaxRetrofit'!$C$65:$C$67,B42)</f>
        <v>Bldg_DETPre45-Wal</v>
      </c>
      <c r="L42" s="2">
        <v>2020</v>
      </c>
      <c r="M42" s="2"/>
      <c r="N42" s="480">
        <f t="shared" si="8"/>
        <v>22.891748480538716</v>
      </c>
      <c r="O42" s="480">
        <f t="shared" si="8"/>
        <v>295.16062419070067</v>
      </c>
      <c r="P42" s="480">
        <f t="shared" si="8"/>
        <v>65.411590087141235</v>
      </c>
      <c r="Q42" s="480">
        <f t="shared" si="8"/>
        <v>494.22454694164037</v>
      </c>
      <c r="R42" s="480">
        <f t="shared" si="8"/>
        <v>155.49370045786091</v>
      </c>
      <c r="S42" s="480">
        <f t="shared" si="8"/>
        <v>228.650637018819</v>
      </c>
      <c r="T42" s="480">
        <f t="shared" si="8"/>
        <v>3.2215918458349959</v>
      </c>
      <c r="U42" s="480">
        <f t="shared" si="8"/>
        <v>257.44502523096679</v>
      </c>
      <c r="V42" s="480">
        <f t="shared" si="8"/>
        <v>1910.6637985410352</v>
      </c>
      <c r="W42" s="480">
        <f t="shared" si="8"/>
        <v>368.50018018225222</v>
      </c>
      <c r="X42" s="480">
        <f t="shared" si="8"/>
        <v>20.940127776042473</v>
      </c>
      <c r="Y42" s="480">
        <f t="shared" si="8"/>
        <v>82.769701676159826</v>
      </c>
      <c r="Z42" s="480">
        <f t="shared" si="8"/>
        <v>201.34423896837302</v>
      </c>
      <c r="AA42" s="480">
        <f t="shared" si="8"/>
        <v>111.65023072555439</v>
      </c>
      <c r="AB42" s="480">
        <f t="shared" si="8"/>
        <v>2148.6720895143894</v>
      </c>
      <c r="AC42" s="480">
        <f t="shared" si="8"/>
        <v>102.23827126167988</v>
      </c>
      <c r="AD42" s="480">
        <f t="shared" si="8"/>
        <v>345.4056736628205</v>
      </c>
      <c r="AE42" s="480">
        <f t="shared" si="8"/>
        <v>98.451963737097685</v>
      </c>
      <c r="AF42" s="480">
        <f t="shared" si="8"/>
        <v>6.1429929449196727</v>
      </c>
      <c r="AG42" s="480">
        <f t="shared" si="8"/>
        <v>598.28263118779432</v>
      </c>
      <c r="AH42" s="480">
        <f t="shared" si="8"/>
        <v>36.640449609229186</v>
      </c>
      <c r="AI42" s="480">
        <f t="shared" si="8"/>
        <v>92.199781704418712</v>
      </c>
      <c r="AJ42" s="480">
        <f t="shared" si="8"/>
        <v>14.810399351764557</v>
      </c>
      <c r="AK42" s="480">
        <f t="shared" si="8"/>
        <v>45.690331045761816</v>
      </c>
      <c r="AL42" s="480">
        <f t="shared" si="8"/>
        <v>6.966706428248135</v>
      </c>
      <c r="AM42" s="480">
        <f t="shared" si="8"/>
        <v>33.189324103315371</v>
      </c>
      <c r="AN42" s="480">
        <f t="shared" si="8"/>
        <v>1.6869085072867203</v>
      </c>
      <c r="AO42" s="480">
        <f t="shared" si="8"/>
        <v>176.5269202005164</v>
      </c>
      <c r="AP42" s="480">
        <f t="shared" si="8"/>
        <v>101.41934085943784</v>
      </c>
      <c r="AQ42" s="480">
        <f t="shared" si="8"/>
        <v>807.78881301796559</v>
      </c>
      <c r="AR42" s="480">
        <f t="shared" si="8"/>
        <v>167.8841493399743</v>
      </c>
      <c r="AS42" s="480">
        <f t="shared" si="8"/>
        <v>337.96513130850724</v>
      </c>
      <c r="AT42" s="480">
        <f t="shared" si="8"/>
        <v>125.3404857187227</v>
      </c>
      <c r="AU42" s="480">
        <f t="shared" si="8"/>
        <v>380.67209163992203</v>
      </c>
      <c r="AV42" s="480">
        <f t="shared" si="8"/>
        <v>65.847429831083915</v>
      </c>
      <c r="AW42" s="480">
        <f t="shared" si="8"/>
        <v>157.79324420795558</v>
      </c>
      <c r="AX42" s="480">
        <f t="shared" si="8"/>
        <v>1884.6922720259267</v>
      </c>
      <c r="AY42" s="2"/>
    </row>
    <row r="43" spans="2:51">
      <c r="B43" s="523">
        <f t="shared" si="2"/>
        <v>3</v>
      </c>
      <c r="C43" s="526">
        <f t="shared" si="3"/>
        <v>1</v>
      </c>
      <c r="D43" s="526" t="str">
        <f>INDEX('SubRes-RSD_MaxRetrofit'!$I$65:$I$70,C43)</f>
        <v>Pre45</v>
      </c>
      <c r="E43" s="526" t="str">
        <f t="shared" si="1"/>
        <v>SDE</v>
      </c>
      <c r="F43" s="2"/>
      <c r="G43" s="2" t="s">
        <v>629</v>
      </c>
      <c r="H43" s="2" t="s">
        <v>630</v>
      </c>
      <c r="I43" s="2" t="s">
        <v>512</v>
      </c>
      <c r="J43" s="5" t="s">
        <v>631</v>
      </c>
      <c r="K43" s="2" t="str">
        <f>"Bldg_"&amp;E43&amp;D43&amp;"-"&amp;INDEX('SubRes-RSD_MaxRetrofit'!$C$65:$C$67,B43)</f>
        <v>Bldg_SDEPre45-Wal</v>
      </c>
      <c r="L43" s="2">
        <v>2020</v>
      </c>
      <c r="M43" s="2"/>
      <c r="N43" s="480">
        <f t="shared" si="8"/>
        <v>12.943465262360681</v>
      </c>
      <c r="O43" s="480">
        <f t="shared" si="8"/>
        <v>136.78175267373942</v>
      </c>
      <c r="P43" s="480">
        <f t="shared" si="8"/>
        <v>23.409284808583056</v>
      </c>
      <c r="Q43" s="480">
        <f t="shared" si="8"/>
        <v>824.59567266004137</v>
      </c>
      <c r="R43" s="480">
        <f t="shared" si="8"/>
        <v>84.507445901011394</v>
      </c>
      <c r="S43" s="480">
        <f t="shared" si="8"/>
        <v>256.51142892447353</v>
      </c>
      <c r="T43" s="480">
        <f t="shared" si="8"/>
        <v>3.2901363531931875</v>
      </c>
      <c r="U43" s="480">
        <f t="shared" si="8"/>
        <v>152.5984625360972</v>
      </c>
      <c r="V43" s="480">
        <f t="shared" si="8"/>
        <v>1997.5121530201732</v>
      </c>
      <c r="W43" s="480">
        <f t="shared" si="8"/>
        <v>196.18923778529717</v>
      </c>
      <c r="X43" s="480">
        <f t="shared" si="8"/>
        <v>9.7146733726103118</v>
      </c>
      <c r="Y43" s="480">
        <f t="shared" si="8"/>
        <v>46.799691134651134</v>
      </c>
      <c r="Z43" s="480">
        <f t="shared" si="8"/>
        <v>446.36241212473851</v>
      </c>
      <c r="AA43" s="480">
        <f t="shared" si="8"/>
        <v>84.388177566401509</v>
      </c>
      <c r="AB43" s="480">
        <f t="shared" si="8"/>
        <v>1910.4708850207126</v>
      </c>
      <c r="AC43" s="480">
        <f t="shared" si="8"/>
        <v>36.588696393306648</v>
      </c>
      <c r="AD43" s="480">
        <f t="shared" si="8"/>
        <v>127.56766664229369</v>
      </c>
      <c r="AE43" s="480">
        <f t="shared" si="8"/>
        <v>148.08803140008607</v>
      </c>
      <c r="AF43" s="480">
        <f t="shared" si="8"/>
        <v>5.7381538683203814</v>
      </c>
      <c r="AG43" s="480">
        <f t="shared" si="8"/>
        <v>1063.9912702373838</v>
      </c>
      <c r="AH43" s="480">
        <f t="shared" si="8"/>
        <v>13.112763644398795</v>
      </c>
      <c r="AI43" s="480">
        <f t="shared" si="8"/>
        <v>46.623753248257195</v>
      </c>
      <c r="AJ43" s="480">
        <f t="shared" si="8"/>
        <v>19.164005754618422</v>
      </c>
      <c r="AK43" s="480">
        <f t="shared" si="8"/>
        <v>18.247396361043236</v>
      </c>
      <c r="AL43" s="480">
        <f t="shared" si="8"/>
        <v>3.9391190552244133</v>
      </c>
      <c r="AM43" s="480">
        <f t="shared" si="8"/>
        <v>18.037676143106179</v>
      </c>
      <c r="AN43" s="480">
        <f t="shared" si="8"/>
        <v>21.554942037552536</v>
      </c>
      <c r="AO43" s="480">
        <f t="shared" si="8"/>
        <v>932.21469278729489</v>
      </c>
      <c r="AP43" s="480">
        <f t="shared" si="8"/>
        <v>79.656788722795696</v>
      </c>
      <c r="AQ43" s="480">
        <f t="shared" si="8"/>
        <v>303.12729486461518</v>
      </c>
      <c r="AR43" s="480">
        <f t="shared" si="8"/>
        <v>135.52716735511473</v>
      </c>
      <c r="AS43" s="480">
        <f t="shared" si="8"/>
        <v>97.060233991492765</v>
      </c>
      <c r="AT43" s="480">
        <f t="shared" si="8"/>
        <v>44.856440950707238</v>
      </c>
      <c r="AU43" s="480">
        <f t="shared" ref="AU43:AX43" si="9">AU25</f>
        <v>182.62480285689929</v>
      </c>
      <c r="AV43" s="480">
        <f t="shared" si="9"/>
        <v>21.899708269647281</v>
      </c>
      <c r="AW43" s="480">
        <f t="shared" si="9"/>
        <v>46.958510550864531</v>
      </c>
      <c r="AX43" s="480">
        <f t="shared" si="9"/>
        <v>6543.194195454028</v>
      </c>
      <c r="AY43" s="2"/>
    </row>
    <row r="44" spans="2:51">
      <c r="B44" s="523">
        <f t="shared" si="2"/>
        <v>3</v>
      </c>
      <c r="C44" s="526">
        <f t="shared" si="3"/>
        <v>2</v>
      </c>
      <c r="D44" s="526" t="str">
        <f>INDEX('SubRes-RSD_MaxRetrofit'!$I$65:$I$70,C44)</f>
        <v>Pre69</v>
      </c>
      <c r="E44" s="526" t="str">
        <f t="shared" si="1"/>
        <v>FLT</v>
      </c>
      <c r="F44" s="2"/>
      <c r="G44" s="2" t="s">
        <v>629</v>
      </c>
      <c r="H44" s="2" t="s">
        <v>630</v>
      </c>
      <c r="I44" s="2" t="s">
        <v>512</v>
      </c>
      <c r="J44" s="5" t="s">
        <v>631</v>
      </c>
      <c r="K44" s="2" t="str">
        <f>"Bldg_"&amp;E44&amp;D44&amp;"-"&amp;INDEX('SubRes-RSD_MaxRetrofit'!$C$65:$C$67,B44)</f>
        <v>Bldg_FLTPre69-Wal</v>
      </c>
      <c r="L44" s="2">
        <v>2020</v>
      </c>
      <c r="M44" s="2"/>
      <c r="N44" s="480">
        <f t="shared" ref="N44:AX50" si="10">N26</f>
        <v>191.93680774504145</v>
      </c>
      <c r="O44" s="480">
        <f t="shared" si="10"/>
        <v>515.04262112180743</v>
      </c>
      <c r="P44" s="480">
        <f t="shared" si="10"/>
        <v>181.53050099523071</v>
      </c>
      <c r="Q44" s="480">
        <f t="shared" si="10"/>
        <v>261.60781454879395</v>
      </c>
      <c r="R44" s="480">
        <f t="shared" si="10"/>
        <v>405.47518103273359</v>
      </c>
      <c r="S44" s="480">
        <f t="shared" si="10"/>
        <v>540.33304747244563</v>
      </c>
      <c r="T44" s="480">
        <f t="shared" si="10"/>
        <v>8.4717928845389423</v>
      </c>
      <c r="U44" s="480">
        <f t="shared" si="10"/>
        <v>751.69863269096174</v>
      </c>
      <c r="V44" s="480">
        <f t="shared" si="10"/>
        <v>6940.5184375470717</v>
      </c>
      <c r="W44" s="480">
        <f t="shared" si="10"/>
        <v>286.17472420440134</v>
      </c>
      <c r="X44" s="480">
        <f t="shared" si="10"/>
        <v>135.32120899748926</v>
      </c>
      <c r="Y44" s="480">
        <f t="shared" si="10"/>
        <v>693.98597189888676</v>
      </c>
      <c r="Z44" s="480">
        <f t="shared" si="10"/>
        <v>2734.3004349620101</v>
      </c>
      <c r="AA44" s="480">
        <f t="shared" si="10"/>
        <v>285.688707956717</v>
      </c>
      <c r="AB44" s="480">
        <f t="shared" si="10"/>
        <v>2121.5340000000001</v>
      </c>
      <c r="AC44" s="480">
        <f t="shared" si="10"/>
        <v>147.48670391096834</v>
      </c>
      <c r="AD44" s="480">
        <f t="shared" si="10"/>
        <v>398.1831531074975</v>
      </c>
      <c r="AE44" s="480">
        <f t="shared" si="10"/>
        <v>28.426152223949444</v>
      </c>
      <c r="AF44" s="480">
        <f t="shared" si="10"/>
        <v>17.314512557475691</v>
      </c>
      <c r="AG44" s="480">
        <f t="shared" si="10"/>
        <v>6774.6830123077498</v>
      </c>
      <c r="AH44" s="480">
        <f t="shared" si="10"/>
        <v>101.68471925836</v>
      </c>
      <c r="AI44" s="480">
        <f t="shared" si="10"/>
        <v>274.29610281756123</v>
      </c>
      <c r="AJ44" s="480">
        <f t="shared" si="10"/>
        <v>17.707211936170214</v>
      </c>
      <c r="AK44" s="480">
        <f t="shared" si="10"/>
        <v>173.20295378351014</v>
      </c>
      <c r="AL44" s="480">
        <f t="shared" si="10"/>
        <v>36.644488308783671</v>
      </c>
      <c r="AM44" s="480">
        <f t="shared" si="10"/>
        <v>94.931270893150014</v>
      </c>
      <c r="AN44" s="480">
        <f t="shared" si="10"/>
        <v>8.0967860205301729</v>
      </c>
      <c r="AO44" s="480">
        <f t="shared" si="10"/>
        <v>540.21171597759201</v>
      </c>
      <c r="AP44" s="480">
        <f t="shared" si="10"/>
        <v>335.17517555977088</v>
      </c>
      <c r="AQ44" s="480">
        <f t="shared" si="10"/>
        <v>1815.4020952512292</v>
      </c>
      <c r="AR44" s="480">
        <f t="shared" si="10"/>
        <v>285.22065045017092</v>
      </c>
      <c r="AS44" s="480">
        <f t="shared" si="10"/>
        <v>954.79116533699994</v>
      </c>
      <c r="AT44" s="480">
        <f t="shared" si="10"/>
        <v>347.84540686434332</v>
      </c>
      <c r="AU44" s="480">
        <f t="shared" si="10"/>
        <v>710.7822987937368</v>
      </c>
      <c r="AV44" s="480">
        <f t="shared" si="10"/>
        <v>104.11454124166788</v>
      </c>
      <c r="AW44" s="480">
        <f t="shared" si="10"/>
        <v>272.68034493927127</v>
      </c>
      <c r="AX44" s="480">
        <f t="shared" si="10"/>
        <v>1222.398110288827</v>
      </c>
      <c r="AY44" s="2"/>
    </row>
    <row r="45" spans="2:51">
      <c r="B45" s="523">
        <f t="shared" si="2"/>
        <v>3</v>
      </c>
      <c r="C45" s="526">
        <f t="shared" si="3"/>
        <v>2</v>
      </c>
      <c r="D45" s="526" t="str">
        <f>INDEX('SubRes-RSD_MaxRetrofit'!$I$65:$I$70,C45)</f>
        <v>Pre69</v>
      </c>
      <c r="E45" s="526" t="str">
        <f t="shared" si="1"/>
        <v>DET</v>
      </c>
      <c r="F45" s="2"/>
      <c r="G45" s="2" t="s">
        <v>629</v>
      </c>
      <c r="H45" s="2" t="s">
        <v>630</v>
      </c>
      <c r="I45" s="2" t="s">
        <v>512</v>
      </c>
      <c r="J45" s="5" t="s">
        <v>631</v>
      </c>
      <c r="K45" s="2" t="str">
        <f>"Bldg_"&amp;E45&amp;D45&amp;"-"&amp;INDEX('SubRes-RSD_MaxRetrofit'!$C$65:$C$67,B45)</f>
        <v>Bldg_DETPre69-Wal</v>
      </c>
      <c r="L45" s="2">
        <v>2020</v>
      </c>
      <c r="M45" s="2"/>
      <c r="N45" s="480">
        <f t="shared" si="10"/>
        <v>83.311308216858961</v>
      </c>
      <c r="O45" s="480">
        <f t="shared" si="10"/>
        <v>356.11906135009821</v>
      </c>
      <c r="P45" s="480">
        <f t="shared" si="10"/>
        <v>149.34185616924091</v>
      </c>
      <c r="Q45" s="480">
        <f t="shared" si="10"/>
        <v>274.56919262262369</v>
      </c>
      <c r="R45" s="480">
        <f t="shared" si="10"/>
        <v>321.89590197879232</v>
      </c>
      <c r="S45" s="480">
        <f t="shared" si="10"/>
        <v>275.8730113662948</v>
      </c>
      <c r="T45" s="480">
        <f t="shared" si="10"/>
        <v>10.733837793964945</v>
      </c>
      <c r="U45" s="480">
        <f t="shared" si="10"/>
        <v>349.65012592567479</v>
      </c>
      <c r="V45" s="480">
        <f t="shared" si="10"/>
        <v>2900.2060718658772</v>
      </c>
      <c r="W45" s="480">
        <f t="shared" si="10"/>
        <v>267.58382879461351</v>
      </c>
      <c r="X45" s="480">
        <f t="shared" si="10"/>
        <v>30.955961982230814</v>
      </c>
      <c r="Y45" s="480">
        <f t="shared" si="10"/>
        <v>301.22872148548709</v>
      </c>
      <c r="Z45" s="480">
        <f t="shared" si="10"/>
        <v>357.91649546323816</v>
      </c>
      <c r="AA45" s="480">
        <f t="shared" si="10"/>
        <v>204.21026210127249</v>
      </c>
      <c r="AB45" s="480">
        <f t="shared" si="10"/>
        <v>1453.261063473054</v>
      </c>
      <c r="AC45" s="480">
        <f t="shared" si="10"/>
        <v>185.76102439847986</v>
      </c>
      <c r="AD45" s="480">
        <f t="shared" si="10"/>
        <v>465.37258497292464</v>
      </c>
      <c r="AE45" s="480">
        <f t="shared" si="10"/>
        <v>89.335354299818349</v>
      </c>
      <c r="AF45" s="480">
        <f t="shared" si="10"/>
        <v>11.235643591743999</v>
      </c>
      <c r="AG45" s="480">
        <f t="shared" si="10"/>
        <v>839.21429400784496</v>
      </c>
      <c r="AH45" s="480">
        <f t="shared" si="10"/>
        <v>83.654177313654912</v>
      </c>
      <c r="AI45" s="480">
        <f t="shared" si="10"/>
        <v>98.531254340034806</v>
      </c>
      <c r="AJ45" s="480">
        <f t="shared" si="10"/>
        <v>13.621891817046759</v>
      </c>
      <c r="AK45" s="480">
        <f t="shared" si="10"/>
        <v>55.412201898525339</v>
      </c>
      <c r="AL45" s="480">
        <f t="shared" si="10"/>
        <v>15.905757190655534</v>
      </c>
      <c r="AM45" s="480">
        <f t="shared" si="10"/>
        <v>68.70701119624087</v>
      </c>
      <c r="AN45" s="480">
        <f t="shared" si="10"/>
        <v>1.7685648856066809</v>
      </c>
      <c r="AO45" s="480">
        <f t="shared" si="10"/>
        <v>198.68143439767087</v>
      </c>
      <c r="AP45" s="480">
        <f t="shared" si="10"/>
        <v>134.92786304394681</v>
      </c>
      <c r="AQ45" s="480">
        <f t="shared" si="10"/>
        <v>896.32414984260026</v>
      </c>
      <c r="AR45" s="480">
        <f t="shared" si="10"/>
        <v>227.10518004120016</v>
      </c>
      <c r="AS45" s="480">
        <f t="shared" si="10"/>
        <v>979.2660607462152</v>
      </c>
      <c r="AT45" s="480">
        <f t="shared" si="10"/>
        <v>286.16611773924791</v>
      </c>
      <c r="AU45" s="480">
        <f t="shared" si="10"/>
        <v>345.2395176392244</v>
      </c>
      <c r="AV45" s="480">
        <f t="shared" si="10"/>
        <v>44.014402953294862</v>
      </c>
      <c r="AW45" s="480">
        <f t="shared" si="10"/>
        <v>202.74008566842264</v>
      </c>
      <c r="AX45" s="480">
        <f t="shared" si="10"/>
        <v>1185.9120286811417</v>
      </c>
      <c r="AY45" s="2"/>
    </row>
    <row r="46" spans="2:51">
      <c r="B46" s="523">
        <f t="shared" si="2"/>
        <v>3</v>
      </c>
      <c r="C46" s="526">
        <f t="shared" si="3"/>
        <v>2</v>
      </c>
      <c r="D46" s="526" t="str">
        <f>INDEX('SubRes-RSD_MaxRetrofit'!$I$65:$I$70,C46)</f>
        <v>Pre69</v>
      </c>
      <c r="E46" s="526" t="str">
        <f t="shared" si="1"/>
        <v>SDE</v>
      </c>
      <c r="F46" s="2"/>
      <c r="G46" s="2" t="s">
        <v>629</v>
      </c>
      <c r="H46" s="2" t="s">
        <v>630</v>
      </c>
      <c r="I46" s="2" t="s">
        <v>512</v>
      </c>
      <c r="J46" s="5" t="s">
        <v>631</v>
      </c>
      <c r="K46" s="2" t="str">
        <f>"Bldg_"&amp;E46&amp;D46&amp;"-"&amp;INDEX('SubRes-RSD_MaxRetrofit'!$C$65:$C$67,B46)</f>
        <v>Bldg_SDEPre69-Wal</v>
      </c>
      <c r="L46" s="2">
        <v>2020</v>
      </c>
      <c r="M46" s="2"/>
      <c r="N46" s="480">
        <f t="shared" si="10"/>
        <v>47.105926608597841</v>
      </c>
      <c r="O46" s="480">
        <f t="shared" si="10"/>
        <v>165.03078452809439</v>
      </c>
      <c r="P46" s="480">
        <f t="shared" si="10"/>
        <v>53.445972498923489</v>
      </c>
      <c r="Q46" s="480">
        <f t="shared" si="10"/>
        <v>458.10870682858234</v>
      </c>
      <c r="R46" s="480">
        <f t="shared" si="10"/>
        <v>174.94342498847413</v>
      </c>
      <c r="S46" s="480">
        <f t="shared" si="10"/>
        <v>309.48779006218803</v>
      </c>
      <c r="T46" s="480">
        <f t="shared" si="10"/>
        <v>10.962217321496114</v>
      </c>
      <c r="U46" s="480">
        <f t="shared" si="10"/>
        <v>207.2522923833636</v>
      </c>
      <c r="V46" s="480">
        <f t="shared" si="10"/>
        <v>3032.0336205870531</v>
      </c>
      <c r="W46" s="480">
        <f t="shared" si="10"/>
        <v>142.46144300098516</v>
      </c>
      <c r="X46" s="480">
        <f t="shared" si="10"/>
        <v>14.361281020279904</v>
      </c>
      <c r="Y46" s="480">
        <f t="shared" si="10"/>
        <v>170.32091261562596</v>
      </c>
      <c r="Z46" s="480">
        <f t="shared" si="10"/>
        <v>793.46928957475188</v>
      </c>
      <c r="AA46" s="480">
        <f t="shared" si="10"/>
        <v>154.34748094201046</v>
      </c>
      <c r="AB46" s="480">
        <f t="shared" si="10"/>
        <v>1292.1529365269462</v>
      </c>
      <c r="AC46" s="480">
        <f t="shared" si="10"/>
        <v>66.479544690551833</v>
      </c>
      <c r="AD46" s="480">
        <f t="shared" si="10"/>
        <v>171.87469491957785</v>
      </c>
      <c r="AE46" s="480">
        <f t="shared" si="10"/>
        <v>134.37514347623221</v>
      </c>
      <c r="AF46" s="480">
        <f t="shared" si="10"/>
        <v>10.495185704609007</v>
      </c>
      <c r="AG46" s="480">
        <f t="shared" si="10"/>
        <v>1492.4663296844055</v>
      </c>
      <c r="AH46" s="480">
        <f t="shared" si="10"/>
        <v>29.937881949578543</v>
      </c>
      <c r="AI46" s="480">
        <f t="shared" si="10"/>
        <v>49.82546384240397</v>
      </c>
      <c r="AJ46" s="480">
        <f t="shared" si="10"/>
        <v>17.626129246783027</v>
      </c>
      <c r="AK46" s="480">
        <f t="shared" si="10"/>
        <v>22.130030317964515</v>
      </c>
      <c r="AL46" s="480">
        <f t="shared" si="10"/>
        <v>8.9934421498566355</v>
      </c>
      <c r="AM46" s="480">
        <f t="shared" si="10"/>
        <v>37.340766954478738</v>
      </c>
      <c r="AN46" s="480">
        <f t="shared" si="10"/>
        <v>22.598329093863143</v>
      </c>
      <c r="AO46" s="480">
        <f t="shared" si="10"/>
        <v>1049.2096736247372</v>
      </c>
      <c r="AP46" s="480">
        <f t="shared" si="10"/>
        <v>105.97505552916252</v>
      </c>
      <c r="AQ46" s="480">
        <f t="shared" si="10"/>
        <v>336.35067790617035</v>
      </c>
      <c r="AR46" s="480">
        <f t="shared" si="10"/>
        <v>183.33429250862898</v>
      </c>
      <c r="AS46" s="480">
        <f t="shared" si="10"/>
        <v>281.23550091678493</v>
      </c>
      <c r="AT46" s="480">
        <f t="shared" si="10"/>
        <v>102.41218939640885</v>
      </c>
      <c r="AU46" s="480">
        <f t="shared" si="10"/>
        <v>165.62627056703889</v>
      </c>
      <c r="AV46" s="480">
        <f t="shared" si="10"/>
        <v>14.638423805037259</v>
      </c>
      <c r="AW46" s="480">
        <f t="shared" si="10"/>
        <v>60.33447439230612</v>
      </c>
      <c r="AX46" s="480">
        <f t="shared" si="10"/>
        <v>4117.1987690300311</v>
      </c>
      <c r="AY46" s="2"/>
    </row>
    <row r="47" spans="2:51">
      <c r="B47" s="523">
        <f t="shared" si="2"/>
        <v>3</v>
      </c>
      <c r="C47" s="526">
        <f t="shared" si="3"/>
        <v>3</v>
      </c>
      <c r="D47" s="526" t="str">
        <f>INDEX('SubRes-RSD_MaxRetrofit'!$I$65:$I$70,C47)</f>
        <v>Pre79</v>
      </c>
      <c r="E47" s="526" t="str">
        <f t="shared" si="1"/>
        <v>FLT</v>
      </c>
      <c r="F47" s="2"/>
      <c r="G47" s="2" t="s">
        <v>629</v>
      </c>
      <c r="H47" s="2" t="s">
        <v>630</v>
      </c>
      <c r="I47" s="2" t="s">
        <v>512</v>
      </c>
      <c r="J47" s="5" t="s">
        <v>631</v>
      </c>
      <c r="K47" s="2" t="str">
        <f>"Bldg_"&amp;E47&amp;D47&amp;"-"&amp;INDEX('SubRes-RSD_MaxRetrofit'!$C$65:$C$67,B47)</f>
        <v>Bldg_FLTPre79-Wal</v>
      </c>
      <c r="L47" s="2">
        <v>2020</v>
      </c>
      <c r="M47" s="2"/>
      <c r="N47" s="480">
        <f t="shared" si="10"/>
        <v>152.9384031498299</v>
      </c>
      <c r="O47" s="480">
        <f t="shared" si="10"/>
        <v>265.00259735559922</v>
      </c>
      <c r="P47" s="480">
        <f t="shared" si="10"/>
        <v>135.53199998502913</v>
      </c>
      <c r="Q47" s="480">
        <f t="shared" si="10"/>
        <v>141.57894179730027</v>
      </c>
      <c r="R47" s="480">
        <f t="shared" si="10"/>
        <v>235.09046348242146</v>
      </c>
      <c r="S47" s="480">
        <f t="shared" si="10"/>
        <v>278.01516834739789</v>
      </c>
      <c r="T47" s="480">
        <f t="shared" si="10"/>
        <v>11.468502244637412</v>
      </c>
      <c r="U47" s="480">
        <f t="shared" si="10"/>
        <v>308.0105691065101</v>
      </c>
      <c r="V47" s="480">
        <f t="shared" si="10"/>
        <v>3577.4769678543789</v>
      </c>
      <c r="W47" s="480">
        <f t="shared" si="10"/>
        <v>176.77417608504288</v>
      </c>
      <c r="X47" s="480">
        <f t="shared" si="10"/>
        <v>105.1121772319657</v>
      </c>
      <c r="Y47" s="480">
        <f t="shared" si="10"/>
        <v>552.97942899824238</v>
      </c>
      <c r="Z47" s="480">
        <f t="shared" si="10"/>
        <v>2257.564510503491</v>
      </c>
      <c r="AA47" s="480">
        <f t="shared" si="10"/>
        <v>226.93505876276029</v>
      </c>
      <c r="AB47" s="480">
        <f t="shared" si="10"/>
        <v>2343.409095381699</v>
      </c>
      <c r="AC47" s="480">
        <f t="shared" si="10"/>
        <v>113.92735707285915</v>
      </c>
      <c r="AD47" s="480">
        <f t="shared" si="10"/>
        <v>238.80967110302882</v>
      </c>
      <c r="AE47" s="480">
        <f t="shared" si="10"/>
        <v>24.022171570852088</v>
      </c>
      <c r="AF47" s="480">
        <f t="shared" si="10"/>
        <v>13.753675995043519</v>
      </c>
      <c r="AG47" s="480">
        <f t="shared" si="10"/>
        <v>3832.8595945806114</v>
      </c>
      <c r="AH47" s="480">
        <f t="shared" si="10"/>
        <v>75.918555247990057</v>
      </c>
      <c r="AI47" s="480">
        <f t="shared" si="10"/>
        <v>180.5584525040924</v>
      </c>
      <c r="AJ47" s="480">
        <f t="shared" si="10"/>
        <v>9.5621806170212764</v>
      </c>
      <c r="AK47" s="480">
        <f t="shared" si="10"/>
        <v>140.02687112524131</v>
      </c>
      <c r="AL47" s="480">
        <f t="shared" si="10"/>
        <v>27.359043035131332</v>
      </c>
      <c r="AM47" s="480">
        <f t="shared" si="10"/>
        <v>55.040203487680984</v>
      </c>
      <c r="AN47" s="480">
        <f t="shared" si="10"/>
        <v>5.3202274653130281</v>
      </c>
      <c r="AO47" s="480">
        <f t="shared" si="10"/>
        <v>332.83444609770106</v>
      </c>
      <c r="AP47" s="480">
        <f t="shared" si="10"/>
        <v>215.15246371622854</v>
      </c>
      <c r="AQ47" s="480">
        <f t="shared" si="10"/>
        <v>1043.3336324719116</v>
      </c>
      <c r="AR47" s="480">
        <f t="shared" si="10"/>
        <v>319.64996421260577</v>
      </c>
      <c r="AS47" s="480">
        <f t="shared" si="10"/>
        <v>688.83423066299997</v>
      </c>
      <c r="AT47" s="480">
        <f t="shared" si="10"/>
        <v>259.70392534293302</v>
      </c>
      <c r="AU47" s="480">
        <f t="shared" si="10"/>
        <v>386.78670753520134</v>
      </c>
      <c r="AV47" s="480">
        <f t="shared" si="10"/>
        <v>89.629814264805177</v>
      </c>
      <c r="AW47" s="480">
        <f t="shared" si="10"/>
        <v>111.61335504916136</v>
      </c>
      <c r="AX47" s="480">
        <f t="shared" si="10"/>
        <v>537.03108459066505</v>
      </c>
      <c r="AY47" s="2"/>
    </row>
    <row r="48" spans="2:51">
      <c r="B48" s="523">
        <f t="shared" si="2"/>
        <v>3</v>
      </c>
      <c r="C48" s="526">
        <f t="shared" si="3"/>
        <v>3</v>
      </c>
      <c r="D48" s="526" t="str">
        <f>INDEX('SubRes-RSD_MaxRetrofit'!$I$65:$I$70,C48)</f>
        <v>Pre79</v>
      </c>
      <c r="E48" s="526" t="str">
        <f t="shared" si="1"/>
        <v>DET</v>
      </c>
      <c r="F48" s="2"/>
      <c r="G48" s="2" t="s">
        <v>629</v>
      </c>
      <c r="H48" s="2" t="s">
        <v>630</v>
      </c>
      <c r="I48" s="2" t="s">
        <v>512</v>
      </c>
      <c r="J48" s="5" t="s">
        <v>631</v>
      </c>
      <c r="K48" s="2" t="str">
        <f>"Bldg_"&amp;E48&amp;D48&amp;"-"&amp;INDEX('SubRes-RSD_MaxRetrofit'!$C$65:$C$67,B48)</f>
        <v>Bldg_DETPre79-Wal</v>
      </c>
      <c r="L48" s="2">
        <v>2020</v>
      </c>
      <c r="M48" s="2"/>
      <c r="N48" s="480">
        <f t="shared" si="10"/>
        <v>66.383819720159323</v>
      </c>
      <c r="O48" s="480">
        <f t="shared" si="10"/>
        <v>183.23236244034049</v>
      </c>
      <c r="P48" s="480">
        <f t="shared" si="10"/>
        <v>111.49972228978508</v>
      </c>
      <c r="Q48" s="480">
        <f t="shared" si="10"/>
        <v>148.59348069818344</v>
      </c>
      <c r="R48" s="480">
        <f t="shared" si="10"/>
        <v>186.6320315747692</v>
      </c>
      <c r="S48" s="480">
        <f t="shared" si="10"/>
        <v>141.94371796482656</v>
      </c>
      <c r="T48" s="480">
        <f t="shared" si="10"/>
        <v>14.530695510547806</v>
      </c>
      <c r="U48" s="480">
        <f t="shared" si="10"/>
        <v>143.27009467743164</v>
      </c>
      <c r="V48" s="480">
        <f t="shared" si="10"/>
        <v>1494.9056785156374</v>
      </c>
      <c r="W48" s="480">
        <f t="shared" si="10"/>
        <v>165.29031695707485</v>
      </c>
      <c r="X48" s="480">
        <f t="shared" si="10"/>
        <v>24.045370170485317</v>
      </c>
      <c r="Y48" s="480">
        <f t="shared" si="10"/>
        <v>240.02399637724213</v>
      </c>
      <c r="Z48" s="480">
        <f t="shared" si="10"/>
        <v>295.51236124234345</v>
      </c>
      <c r="AA48" s="480">
        <f t="shared" si="10"/>
        <v>162.21315907568888</v>
      </c>
      <c r="AB48" s="480">
        <f t="shared" si="10"/>
        <v>1605.2465782338793</v>
      </c>
      <c r="AC48" s="480">
        <f t="shared" si="10"/>
        <v>143.49268100561193</v>
      </c>
      <c r="AD48" s="480">
        <f t="shared" si="10"/>
        <v>279.10641896933095</v>
      </c>
      <c r="AE48" s="480">
        <f t="shared" si="10"/>
        <v>75.494889052378838</v>
      </c>
      <c r="AF48" s="480">
        <f t="shared" si="10"/>
        <v>8.92496401753532</v>
      </c>
      <c r="AG48" s="480">
        <f t="shared" si="10"/>
        <v>474.79572887078194</v>
      </c>
      <c r="AH48" s="480">
        <f t="shared" si="10"/>
        <v>62.456820734052698</v>
      </c>
      <c r="AI48" s="480">
        <f t="shared" si="10"/>
        <v>64.859291197282047</v>
      </c>
      <c r="AJ48" s="480">
        <f t="shared" si="10"/>
        <v>7.3560417286278508</v>
      </c>
      <c r="AK48" s="480">
        <f t="shared" si="10"/>
        <v>44.798296359939897</v>
      </c>
      <c r="AL48" s="480">
        <f t="shared" si="10"/>
        <v>11.87535467322067</v>
      </c>
      <c r="AM48" s="480">
        <f t="shared" si="10"/>
        <v>39.835639423050715</v>
      </c>
      <c r="AN48" s="480">
        <f t="shared" si="10"/>
        <v>1.1620867162272803</v>
      </c>
      <c r="AO48" s="480">
        <f t="shared" si="10"/>
        <v>122.41131247584514</v>
      </c>
      <c r="AP48" s="480">
        <f t="shared" si="10"/>
        <v>86.6116117024131</v>
      </c>
      <c r="AQ48" s="480">
        <f t="shared" si="10"/>
        <v>515.12837490592563</v>
      </c>
      <c r="AR48" s="480">
        <f t="shared" si="10"/>
        <v>254.51930832529072</v>
      </c>
      <c r="AS48" s="480">
        <f t="shared" si="10"/>
        <v>706.49164765827936</v>
      </c>
      <c r="AT48" s="480">
        <f t="shared" si="10"/>
        <v>213.6537168823798</v>
      </c>
      <c r="AU48" s="480">
        <f t="shared" si="10"/>
        <v>187.86913597220456</v>
      </c>
      <c r="AV48" s="480">
        <f t="shared" si="10"/>
        <v>37.890987316777171</v>
      </c>
      <c r="AW48" s="480">
        <f t="shared" si="10"/>
        <v>82.985450122731237</v>
      </c>
      <c r="AX48" s="480">
        <f t="shared" si="10"/>
        <v>521.00180590206412</v>
      </c>
      <c r="AY48" s="2"/>
    </row>
    <row r="49" spans="1:51">
      <c r="B49" s="523">
        <f t="shared" si="2"/>
        <v>3</v>
      </c>
      <c r="C49" s="526">
        <f t="shared" si="3"/>
        <v>3</v>
      </c>
      <c r="D49" s="526" t="str">
        <f>INDEX('SubRes-RSD_MaxRetrofit'!$I$65:$I$70,C49)</f>
        <v>Pre79</v>
      </c>
      <c r="E49" s="526" t="str">
        <f t="shared" si="1"/>
        <v>SDE</v>
      </c>
      <c r="F49" s="2"/>
      <c r="G49" s="2" t="s">
        <v>629</v>
      </c>
      <c r="H49" s="2" t="s">
        <v>630</v>
      </c>
      <c r="I49" s="2" t="s">
        <v>512</v>
      </c>
      <c r="J49" s="5" t="s">
        <v>631</v>
      </c>
      <c r="K49" s="2" t="str">
        <f>"Bldg_"&amp;E49&amp;D49&amp;"-"&amp;INDEX('SubRes-RSD_MaxRetrofit'!$C$65:$C$67,B49)</f>
        <v>Bldg_SDEPre79-Wal</v>
      </c>
      <c r="L49" s="2">
        <v>2020</v>
      </c>
      <c r="M49" s="2"/>
      <c r="N49" s="480">
        <f t="shared" si="10"/>
        <v>37.534776570744306</v>
      </c>
      <c r="O49" s="480">
        <f t="shared" si="10"/>
        <v>84.912558204060275</v>
      </c>
      <c r="P49" s="480">
        <f t="shared" si="10"/>
        <v>39.903154038638803</v>
      </c>
      <c r="Q49" s="480">
        <f t="shared" si="10"/>
        <v>247.92281550451628</v>
      </c>
      <c r="R49" s="480">
        <f t="shared" si="10"/>
        <v>101.43045194280938</v>
      </c>
      <c r="S49" s="480">
        <f t="shared" si="10"/>
        <v>159.23938107818785</v>
      </c>
      <c r="T49" s="480">
        <f t="shared" si="10"/>
        <v>14.839859244814781</v>
      </c>
      <c r="U49" s="480">
        <f t="shared" si="10"/>
        <v>84.922193216058247</v>
      </c>
      <c r="V49" s="480">
        <f t="shared" si="10"/>
        <v>1562.8559366299846</v>
      </c>
      <c r="W49" s="480">
        <f t="shared" si="10"/>
        <v>88.000448957882242</v>
      </c>
      <c r="X49" s="480">
        <f t="shared" si="10"/>
        <v>11.15527659754898</v>
      </c>
      <c r="Y49" s="480">
        <f t="shared" si="10"/>
        <v>135.71450262451546</v>
      </c>
      <c r="Z49" s="480">
        <f t="shared" si="10"/>
        <v>655.12483025416543</v>
      </c>
      <c r="AA49" s="480">
        <f t="shared" si="10"/>
        <v>122.6049671615508</v>
      </c>
      <c r="AB49" s="480">
        <f t="shared" si="10"/>
        <v>1427.289378384422</v>
      </c>
      <c r="AC49" s="480">
        <f t="shared" si="10"/>
        <v>51.352688921528895</v>
      </c>
      <c r="AD49" s="480">
        <f t="shared" si="10"/>
        <v>103.08155692764026</v>
      </c>
      <c r="AE49" s="480">
        <f t="shared" si="10"/>
        <v>113.55679537676909</v>
      </c>
      <c r="AF49" s="480">
        <f t="shared" si="10"/>
        <v>8.3367858731132198</v>
      </c>
      <c r="AG49" s="480">
        <f t="shared" si="10"/>
        <v>844.38104054860628</v>
      </c>
      <c r="AH49" s="480">
        <f t="shared" si="10"/>
        <v>22.351841666809946</v>
      </c>
      <c r="AI49" s="480">
        <f t="shared" si="10"/>
        <v>32.798164298625586</v>
      </c>
      <c r="AJ49" s="480">
        <f t="shared" si="10"/>
        <v>9.5183946543508711</v>
      </c>
      <c r="AK49" s="480">
        <f t="shared" si="10"/>
        <v>17.891143514818761</v>
      </c>
      <c r="AL49" s="480">
        <f t="shared" si="10"/>
        <v>6.7145696984098198</v>
      </c>
      <c r="AM49" s="480">
        <f t="shared" si="10"/>
        <v>21.64980403426669</v>
      </c>
      <c r="AN49" s="480">
        <f t="shared" si="10"/>
        <v>14.84888581845969</v>
      </c>
      <c r="AO49" s="480">
        <f t="shared" si="10"/>
        <v>646.43751742645384</v>
      </c>
      <c r="AP49" s="480">
        <f t="shared" si="10"/>
        <v>68.026500624588877</v>
      </c>
      <c r="AQ49" s="480">
        <f t="shared" si="10"/>
        <v>193.30481962216246</v>
      </c>
      <c r="AR49" s="480">
        <f t="shared" si="10"/>
        <v>205.46478646210355</v>
      </c>
      <c r="AS49" s="480">
        <f t="shared" si="10"/>
        <v>202.89739467872073</v>
      </c>
      <c r="AT49" s="480">
        <f t="shared" si="10"/>
        <v>76.461689774687244</v>
      </c>
      <c r="AU49" s="480">
        <f t="shared" si="10"/>
        <v>90.128918492594138</v>
      </c>
      <c r="AV49" s="480">
        <f t="shared" si="10"/>
        <v>12.601882418417636</v>
      </c>
      <c r="AW49" s="480">
        <f t="shared" si="10"/>
        <v>24.696070828107388</v>
      </c>
      <c r="AX49" s="480">
        <f t="shared" si="10"/>
        <v>1808.7918345072708</v>
      </c>
      <c r="AY49" s="2"/>
    </row>
    <row r="50" spans="1:51">
      <c r="B50" s="523">
        <f t="shared" si="2"/>
        <v>3</v>
      </c>
      <c r="C50" s="526">
        <f t="shared" si="3"/>
        <v>4</v>
      </c>
      <c r="D50" s="526" t="str">
        <f>INDEX('SubRes-RSD_MaxRetrofit'!$I$65:$I$70,C50)</f>
        <v>Pre89</v>
      </c>
      <c r="E50" s="526" t="str">
        <f t="shared" si="1"/>
        <v>FLT</v>
      </c>
      <c r="F50" s="2"/>
      <c r="G50" s="2" t="s">
        <v>629</v>
      </c>
      <c r="H50" s="2" t="s">
        <v>630</v>
      </c>
      <c r="I50" s="2" t="s">
        <v>512</v>
      </c>
      <c r="J50" s="5" t="s">
        <v>631</v>
      </c>
      <c r="K50" s="2" t="str">
        <f>"Bldg_"&amp;E50&amp;D50&amp;"-"&amp;INDEX('SubRes-RSD_MaxRetrofit'!$C$65:$C$67,B50)</f>
        <v>Bldg_FLTPre89-Wal</v>
      </c>
      <c r="L50" s="2">
        <v>2020</v>
      </c>
      <c r="M50" s="2"/>
      <c r="N50" s="480">
        <f t="shared" si="10"/>
        <v>117.07257224847828</v>
      </c>
      <c r="O50" s="480">
        <f t="shared" si="10"/>
        <v>210.26379918467583</v>
      </c>
      <c r="P50" s="480">
        <f t="shared" si="10"/>
        <v>114.54587565682624</v>
      </c>
      <c r="Q50" s="480">
        <f t="shared" si="10"/>
        <v>141.57894179730027</v>
      </c>
      <c r="R50" s="480">
        <f t="shared" si="10"/>
        <v>221.53421622439518</v>
      </c>
      <c r="S50" s="480">
        <f t="shared" si="10"/>
        <v>220.58850030533858</v>
      </c>
      <c r="T50" s="480">
        <f t="shared" si="10"/>
        <v>16.556208223280315</v>
      </c>
      <c r="U50" s="480">
        <f t="shared" si="10"/>
        <v>357.01365906868517</v>
      </c>
      <c r="V50" s="480">
        <f t="shared" si="10"/>
        <v>2493.4227862575094</v>
      </c>
      <c r="W50" s="480">
        <f t="shared" si="10"/>
        <v>72.405306119358457</v>
      </c>
      <c r="X50" s="480">
        <f t="shared" si="10"/>
        <v>98.852387248851798</v>
      </c>
      <c r="Y50" s="480">
        <f t="shared" si="10"/>
        <v>423.29933371866127</v>
      </c>
      <c r="Z50" s="480">
        <f t="shared" si="10"/>
        <v>1430.3689982425908</v>
      </c>
      <c r="AA50" s="480">
        <f t="shared" si="10"/>
        <v>179.81601137443855</v>
      </c>
      <c r="AB50" s="480">
        <f t="shared" si="10"/>
        <v>1726.9517110401723</v>
      </c>
      <c r="AC50" s="480">
        <f t="shared" si="10"/>
        <v>90.323446900269545</v>
      </c>
      <c r="AD50" s="480">
        <f t="shared" si="10"/>
        <v>324.64061636022842</v>
      </c>
      <c r="AE50" s="480">
        <f t="shared" si="10"/>
        <v>20.906358275172671</v>
      </c>
      <c r="AF50" s="480">
        <f t="shared" si="10"/>
        <v>10.897968664024354</v>
      </c>
      <c r="AG50" s="480">
        <f t="shared" si="10"/>
        <v>2776.5717413895486</v>
      </c>
      <c r="AH50" s="480">
        <f t="shared" si="10"/>
        <v>64.163130407894386</v>
      </c>
      <c r="AI50" s="480">
        <f t="shared" si="10"/>
        <v>180.5584525040924</v>
      </c>
      <c r="AJ50" s="480">
        <f t="shared" si="10"/>
        <v>7.4320838723404261</v>
      </c>
      <c r="AK50" s="480">
        <f t="shared" si="10"/>
        <v>135.16701031962145</v>
      </c>
      <c r="AL50" s="480">
        <f t="shared" si="10"/>
        <v>23.122698270062266</v>
      </c>
      <c r="AM50" s="480">
        <f t="shared" si="10"/>
        <v>51.866367354311528</v>
      </c>
      <c r="AN50" s="480">
        <f t="shared" si="10"/>
        <v>6.1111084890016913</v>
      </c>
      <c r="AO50" s="480">
        <f t="shared" si="10"/>
        <v>323.73835075595912</v>
      </c>
      <c r="AP50" s="480">
        <f t="shared" si="10"/>
        <v>180.96621905997586</v>
      </c>
      <c r="AQ50" s="480">
        <f t="shared" si="10"/>
        <v>1078.5750540157949</v>
      </c>
      <c r="AR50" s="480">
        <f t="shared" si="10"/>
        <v>273.20339136932103</v>
      </c>
      <c r="AS50" s="480">
        <f t="shared" si="10"/>
        <v>942.38753400000007</v>
      </c>
      <c r="AT50" s="480">
        <f t="shared" si="10"/>
        <v>219.49069993217293</v>
      </c>
      <c r="AU50" s="480">
        <f t="shared" ref="AU50:AX50" si="11">AU32</f>
        <v>266.44956783023309</v>
      </c>
      <c r="AV50" s="480">
        <f t="shared" si="11"/>
        <v>48.691389510087625</v>
      </c>
      <c r="AW50" s="480">
        <f t="shared" si="11"/>
        <v>129.46979234239444</v>
      </c>
      <c r="AX50" s="480">
        <f t="shared" si="11"/>
        <v>381.28805308539404</v>
      </c>
      <c r="AY50" s="2"/>
    </row>
    <row r="51" spans="1:51">
      <c r="B51" s="523">
        <f t="shared" si="2"/>
        <v>3</v>
      </c>
      <c r="C51" s="526">
        <f t="shared" si="3"/>
        <v>4</v>
      </c>
      <c r="D51" s="526" t="str">
        <f>INDEX('SubRes-RSD_MaxRetrofit'!$I$65:$I$70,C51)</f>
        <v>Pre89</v>
      </c>
      <c r="E51" s="526" t="str">
        <f t="shared" si="1"/>
        <v>DET</v>
      </c>
      <c r="F51" s="2"/>
      <c r="G51" s="2" t="s">
        <v>629</v>
      </c>
      <c r="H51" s="2" t="s">
        <v>630</v>
      </c>
      <c r="I51" s="2" t="s">
        <v>512</v>
      </c>
      <c r="J51" s="5" t="s">
        <v>631</v>
      </c>
      <c r="K51" s="2" t="str">
        <f>"Bldg_"&amp;E51&amp;D51&amp;"-"&amp;INDEX('SubRes-RSD_MaxRetrofit'!$C$65:$C$67,B51)</f>
        <v>Bldg_DETPre89-Wal</v>
      </c>
      <c r="L51" s="2">
        <v>2020</v>
      </c>
      <c r="M51" s="2"/>
      <c r="N51" s="480">
        <f t="shared" ref="N51:AX57" si="12">N33</f>
        <v>50.816043389079638</v>
      </c>
      <c r="O51" s="480">
        <f t="shared" si="12"/>
        <v>145.38398130713816</v>
      </c>
      <c r="P51" s="480">
        <f t="shared" si="12"/>
        <v>94.234817803818714</v>
      </c>
      <c r="Q51" s="480">
        <f t="shared" si="12"/>
        <v>148.59348069818344</v>
      </c>
      <c r="R51" s="480">
        <f t="shared" si="12"/>
        <v>175.87008943208198</v>
      </c>
      <c r="S51" s="480">
        <f t="shared" si="12"/>
        <v>112.62389768064644</v>
      </c>
      <c r="T51" s="480">
        <f t="shared" si="12"/>
        <v>20.976864752692897</v>
      </c>
      <c r="U51" s="480">
        <f t="shared" si="12"/>
        <v>166.06371945054707</v>
      </c>
      <c r="V51" s="480">
        <f t="shared" si="12"/>
        <v>1041.9163884518846</v>
      </c>
      <c r="W51" s="480">
        <f t="shared" si="12"/>
        <v>67.701608135824372</v>
      </c>
      <c r="X51" s="480">
        <f t="shared" si="12"/>
        <v>22.613386062675442</v>
      </c>
      <c r="Y51" s="480">
        <f t="shared" si="12"/>
        <v>183.73558294389989</v>
      </c>
      <c r="Z51" s="480">
        <f t="shared" si="12"/>
        <v>187.23350679544612</v>
      </c>
      <c r="AA51" s="480">
        <f t="shared" si="12"/>
        <v>128.5324683478311</v>
      </c>
      <c r="AB51" s="480">
        <f t="shared" si="12"/>
        <v>1182.9702847811304</v>
      </c>
      <c r="AC51" s="480">
        <f t="shared" si="12"/>
        <v>113.76331274936017</v>
      </c>
      <c r="AD51" s="480">
        <f t="shared" si="12"/>
        <v>379.42047935407322</v>
      </c>
      <c r="AE51" s="480">
        <f t="shared" si="12"/>
        <v>65.702769369466225</v>
      </c>
      <c r="AF51" s="480">
        <f t="shared" si="12"/>
        <v>7.0718532431399668</v>
      </c>
      <c r="AG51" s="480">
        <f t="shared" si="12"/>
        <v>343.94800309905816</v>
      </c>
      <c r="AH51" s="480">
        <f t="shared" si="12"/>
        <v>52.785845575316081</v>
      </c>
      <c r="AI51" s="480">
        <f t="shared" si="12"/>
        <v>64.859291197282047</v>
      </c>
      <c r="AJ51" s="480">
        <f t="shared" si="12"/>
        <v>5.7173903406803417</v>
      </c>
      <c r="AK51" s="480">
        <f t="shared" si="12"/>
        <v>43.243498463731179</v>
      </c>
      <c r="AL51" s="480">
        <f t="shared" si="12"/>
        <v>10.036544136659248</v>
      </c>
      <c r="AM51" s="480">
        <f t="shared" si="12"/>
        <v>37.538558675065232</v>
      </c>
      <c r="AN51" s="480">
        <f t="shared" si="12"/>
        <v>1.334837287088587</v>
      </c>
      <c r="AO51" s="480">
        <f t="shared" si="12"/>
        <v>119.06591063344928</v>
      </c>
      <c r="AP51" s="480">
        <f t="shared" si="12"/>
        <v>72.84962312655226</v>
      </c>
      <c r="AQ51" s="480">
        <f t="shared" si="12"/>
        <v>532.52823209855194</v>
      </c>
      <c r="AR51" s="480">
        <f t="shared" si="12"/>
        <v>217.53651177384077</v>
      </c>
      <c r="AS51" s="480">
        <f t="shared" si="12"/>
        <v>966.54447759871596</v>
      </c>
      <c r="AT51" s="480">
        <f t="shared" si="12"/>
        <v>180.57102448374658</v>
      </c>
      <c r="AU51" s="480">
        <f t="shared" si="12"/>
        <v>129.419261606547</v>
      </c>
      <c r="AV51" s="480">
        <f t="shared" si="12"/>
        <v>20.584275862852557</v>
      </c>
      <c r="AW51" s="480">
        <f t="shared" si="12"/>
        <v>96.261858539220341</v>
      </c>
      <c r="AX51" s="480">
        <f t="shared" si="12"/>
        <v>369.90738511493879</v>
      </c>
      <c r="AY51" s="2"/>
    </row>
    <row r="52" spans="1:51">
      <c r="B52" s="523">
        <f t="shared" si="2"/>
        <v>3</v>
      </c>
      <c r="C52" s="526">
        <f t="shared" si="3"/>
        <v>4</v>
      </c>
      <c r="D52" s="526" t="str">
        <f>INDEX('SubRes-RSD_MaxRetrofit'!$I$65:$I$70,C52)</f>
        <v>Pre89</v>
      </c>
      <c r="E52" s="526" t="str">
        <f t="shared" si="1"/>
        <v>SDE</v>
      </c>
      <c r="F52" s="2"/>
      <c r="G52" s="2" t="s">
        <v>629</v>
      </c>
      <c r="H52" s="2" t="s">
        <v>630</v>
      </c>
      <c r="I52" s="2" t="s">
        <v>512</v>
      </c>
      <c r="J52" s="5" t="s">
        <v>631</v>
      </c>
      <c r="K52" s="2" t="str">
        <f>"Bldg_"&amp;E52&amp;D52&amp;"-"&amp;INDEX('SubRes-RSD_MaxRetrofit'!$C$65:$C$67,B52)</f>
        <v>Bldg_SDEPre89-Wal</v>
      </c>
      <c r="L52" s="2">
        <v>2020</v>
      </c>
      <c r="M52" s="2"/>
      <c r="N52" s="480">
        <f t="shared" si="12"/>
        <v>28.732435748031019</v>
      </c>
      <c r="O52" s="480">
        <f t="shared" si="12"/>
        <v>67.373064508186019</v>
      </c>
      <c r="P52" s="480">
        <f t="shared" si="12"/>
        <v>33.724446782530975</v>
      </c>
      <c r="Q52" s="480">
        <f t="shared" si="12"/>
        <v>247.92281550451628</v>
      </c>
      <c r="R52" s="480">
        <f t="shared" si="12"/>
        <v>95.581570343522856</v>
      </c>
      <c r="S52" s="480">
        <f t="shared" si="12"/>
        <v>126.34697765013705</v>
      </c>
      <c r="T52" s="480">
        <f t="shared" si="12"/>
        <v>21.423181024026793</v>
      </c>
      <c r="U52" s="480">
        <f t="shared" si="12"/>
        <v>98.43293048076778</v>
      </c>
      <c r="V52" s="480">
        <f t="shared" si="12"/>
        <v>1089.2762242906067</v>
      </c>
      <c r="W52" s="480">
        <f t="shared" si="12"/>
        <v>36.04428874481718</v>
      </c>
      <c r="X52" s="480">
        <f t="shared" si="12"/>
        <v>10.490941688472754</v>
      </c>
      <c r="Y52" s="480">
        <f t="shared" si="12"/>
        <v>103.88787633743875</v>
      </c>
      <c r="Z52" s="480">
        <f t="shared" si="12"/>
        <v>415.08016396196308</v>
      </c>
      <c r="AA52" s="480">
        <f t="shared" si="12"/>
        <v>97.148216277730356</v>
      </c>
      <c r="AB52" s="480">
        <f t="shared" si="12"/>
        <v>1051.8265201786974</v>
      </c>
      <c r="AC52" s="480">
        <f t="shared" si="12"/>
        <v>40.713240350370306</v>
      </c>
      <c r="AD52" s="480">
        <f t="shared" si="12"/>
        <v>140.13025528569844</v>
      </c>
      <c r="AE52" s="480">
        <f t="shared" si="12"/>
        <v>98.82782835536112</v>
      </c>
      <c r="AF52" s="480">
        <f t="shared" si="12"/>
        <v>6.6057998775462146</v>
      </c>
      <c r="AG52" s="480">
        <f t="shared" si="12"/>
        <v>611.68025551139306</v>
      </c>
      <c r="AH52" s="480">
        <f t="shared" si="12"/>
        <v>18.890824871988109</v>
      </c>
      <c r="AI52" s="480">
        <f t="shared" si="12"/>
        <v>32.798164298625586</v>
      </c>
      <c r="AJ52" s="480">
        <f t="shared" si="12"/>
        <v>7.3980517869792326</v>
      </c>
      <c r="AK52" s="480">
        <f t="shared" si="12"/>
        <v>17.270202216647352</v>
      </c>
      <c r="AL52" s="480">
        <f t="shared" si="12"/>
        <v>5.6748684137185474</v>
      </c>
      <c r="AM52" s="480">
        <f t="shared" si="12"/>
        <v>20.401390584274584</v>
      </c>
      <c r="AN52" s="480">
        <f t="shared" si="12"/>
        <v>17.056254223909722</v>
      </c>
      <c r="AO52" s="480">
        <f t="shared" si="12"/>
        <v>628.77090461059174</v>
      </c>
      <c r="AP52" s="480">
        <f t="shared" si="12"/>
        <v>57.217558197007889</v>
      </c>
      <c r="AQ52" s="480">
        <f t="shared" si="12"/>
        <v>199.8342138856531</v>
      </c>
      <c r="AR52" s="480">
        <f t="shared" si="12"/>
        <v>175.60983185683824</v>
      </c>
      <c r="AS52" s="480">
        <f t="shared" si="12"/>
        <v>277.58198840128415</v>
      </c>
      <c r="AT52" s="480">
        <f t="shared" si="12"/>
        <v>64.622164584080508</v>
      </c>
      <c r="AU52" s="480">
        <f t="shared" si="12"/>
        <v>62.087995563219899</v>
      </c>
      <c r="AV52" s="480">
        <f t="shared" si="12"/>
        <v>6.8459716270598241</v>
      </c>
      <c r="AW52" s="480">
        <f t="shared" si="12"/>
        <v>28.647066118385208</v>
      </c>
      <c r="AX52" s="480">
        <f t="shared" si="12"/>
        <v>1284.228672799667</v>
      </c>
      <c r="AY52" s="2"/>
    </row>
    <row r="53" spans="1:51">
      <c r="B53" s="523">
        <f t="shared" si="2"/>
        <v>3</v>
      </c>
      <c r="C53" s="526">
        <f t="shared" si="3"/>
        <v>5</v>
      </c>
      <c r="D53" s="526" t="str">
        <f>INDEX('SubRes-RSD_MaxRetrofit'!$I$65:$I$70,C53)</f>
        <v>Pre99</v>
      </c>
      <c r="E53" s="526" t="str">
        <f t="shared" si="1"/>
        <v>FLT</v>
      </c>
      <c r="F53" s="2"/>
      <c r="G53" s="2" t="s">
        <v>629</v>
      </c>
      <c r="H53" s="2" t="s">
        <v>630</v>
      </c>
      <c r="I53" s="2" t="s">
        <v>512</v>
      </c>
      <c r="J53" s="5" t="s">
        <v>631</v>
      </c>
      <c r="K53" s="2" t="str">
        <f>"Bldg_"&amp;E53&amp;D53&amp;"-"&amp;INDEX('SubRes-RSD_MaxRetrofit'!$C$65:$C$67,B53)</f>
        <v>Bldg_FLTPre99-Wal</v>
      </c>
      <c r="L53" s="2">
        <v>2020</v>
      </c>
      <c r="M53" s="2"/>
      <c r="N53" s="480">
        <f t="shared" si="12"/>
        <v>78.760400894311005</v>
      </c>
      <c r="O53" s="480">
        <f t="shared" si="12"/>
        <v>250.95383690176817</v>
      </c>
      <c r="P53" s="480">
        <f t="shared" si="12"/>
        <v>56.143200376494306</v>
      </c>
      <c r="Q53" s="480">
        <f t="shared" si="12"/>
        <v>104.28996161451649</v>
      </c>
      <c r="R53" s="480">
        <f t="shared" si="12"/>
        <v>127.93998529141672</v>
      </c>
      <c r="S53" s="480">
        <f t="shared" si="12"/>
        <v>263.27656373891904</v>
      </c>
      <c r="T53" s="480">
        <f t="shared" si="12"/>
        <v>14.275871920854083</v>
      </c>
      <c r="U53" s="480">
        <f t="shared" si="12"/>
        <v>184.28781159304199</v>
      </c>
      <c r="V53" s="480">
        <f t="shared" si="12"/>
        <v>2294.8521642411897</v>
      </c>
      <c r="W53" s="480">
        <f t="shared" si="12"/>
        <v>72.46270178142484</v>
      </c>
      <c r="X53" s="480">
        <f t="shared" si="12"/>
        <v>32.07327194030924</v>
      </c>
      <c r="Y53" s="480">
        <f t="shared" si="12"/>
        <v>284.77400454836123</v>
      </c>
      <c r="Z53" s="480">
        <f t="shared" si="12"/>
        <v>1416.3041684017362</v>
      </c>
      <c r="AA53" s="480">
        <f t="shared" si="12"/>
        <v>131.29364090567577</v>
      </c>
      <c r="AB53" s="480">
        <f t="shared" si="12"/>
        <v>1040.2944476333871</v>
      </c>
      <c r="AC53" s="480">
        <f t="shared" si="12"/>
        <v>48.34714989947237</v>
      </c>
      <c r="AD53" s="480">
        <f t="shared" si="12"/>
        <v>133.89909293520358</v>
      </c>
      <c r="AE53" s="480">
        <f t="shared" si="12"/>
        <v>27.163656005024833</v>
      </c>
      <c r="AF53" s="480">
        <f t="shared" si="12"/>
        <v>7.9572112262919372</v>
      </c>
      <c r="AG53" s="480">
        <f t="shared" si="12"/>
        <v>1027.3211290083136</v>
      </c>
      <c r="AH53" s="480">
        <f t="shared" si="12"/>
        <v>31.448740224099652</v>
      </c>
      <c r="AI53" s="480">
        <f t="shared" si="12"/>
        <v>56.147849277506879</v>
      </c>
      <c r="AJ53" s="480">
        <f t="shared" si="12"/>
        <v>5.9131027659574471</v>
      </c>
      <c r="AK53" s="480">
        <f t="shared" si="12"/>
        <v>42.309518110997381</v>
      </c>
      <c r="AL53" s="480">
        <f t="shared" si="12"/>
        <v>11.333295719093488</v>
      </c>
      <c r="AM53" s="480">
        <f t="shared" si="12"/>
        <v>29.953757886810376</v>
      </c>
      <c r="AN53" s="480">
        <f t="shared" si="12"/>
        <v>5.9183140924985889</v>
      </c>
      <c r="AO53" s="480">
        <f t="shared" si="12"/>
        <v>285.59305629628477</v>
      </c>
      <c r="AP53" s="480">
        <f t="shared" si="12"/>
        <v>199.31371586044133</v>
      </c>
      <c r="AQ53" s="480">
        <f t="shared" si="12"/>
        <v>1078.5750540157949</v>
      </c>
      <c r="AR53" s="480">
        <f t="shared" si="12"/>
        <v>297.53641782104188</v>
      </c>
      <c r="AS53" s="480">
        <f t="shared" si="12"/>
        <v>129.77659979999999</v>
      </c>
      <c r="AT53" s="480">
        <f t="shared" si="12"/>
        <v>107.58056784155019</v>
      </c>
      <c r="AU53" s="480">
        <f t="shared" si="12"/>
        <v>218.16532251448081</v>
      </c>
      <c r="AV53" s="480">
        <f t="shared" si="12"/>
        <v>48.691389510087625</v>
      </c>
      <c r="AW53" s="480">
        <f t="shared" si="12"/>
        <v>68.884631856564482</v>
      </c>
      <c r="AX53" s="480">
        <f t="shared" si="12"/>
        <v>381.28805308539404</v>
      </c>
      <c r="AY53" s="2"/>
    </row>
    <row r="54" spans="1:51">
      <c r="B54" s="523">
        <f t="shared" si="2"/>
        <v>3</v>
      </c>
      <c r="C54" s="526">
        <f t="shared" si="3"/>
        <v>5</v>
      </c>
      <c r="D54" s="526" t="str">
        <f>INDEX('SubRes-RSD_MaxRetrofit'!$I$65:$I$70,C54)</f>
        <v>Pre99</v>
      </c>
      <c r="E54" s="526" t="str">
        <f t="shared" si="1"/>
        <v>DET</v>
      </c>
      <c r="F54" s="2"/>
      <c r="G54" s="2" t="s">
        <v>629</v>
      </c>
      <c r="H54" s="2" t="s">
        <v>630</v>
      </c>
      <c r="I54" s="2" t="s">
        <v>512</v>
      </c>
      <c r="J54" s="5" t="s">
        <v>631</v>
      </c>
      <c r="K54" s="2" t="str">
        <f>"Bldg_"&amp;E54&amp;D54&amp;"-"&amp;INDEX('SubRes-RSD_MaxRetrofit'!$C$65:$C$67,B54)</f>
        <v>Bldg_DETPre99-Wal</v>
      </c>
      <c r="L54" s="2">
        <v>2020</v>
      </c>
      <c r="M54" s="2"/>
      <c r="N54" s="480">
        <f t="shared" si="12"/>
        <v>34.186418495119696</v>
      </c>
      <c r="O54" s="480">
        <f t="shared" si="12"/>
        <v>173.51854230045839</v>
      </c>
      <c r="P54" s="480">
        <f t="shared" si="12"/>
        <v>46.18799435653829</v>
      </c>
      <c r="Q54" s="480">
        <f t="shared" si="12"/>
        <v>109.45701529799435</v>
      </c>
      <c r="R54" s="480">
        <f t="shared" si="12"/>
        <v>101.56813262809619</v>
      </c>
      <c r="S54" s="480">
        <f t="shared" si="12"/>
        <v>134.41876043039858</v>
      </c>
      <c r="T54" s="480">
        <f t="shared" si="12"/>
        <v>18.08765814441956</v>
      </c>
      <c r="U54" s="480">
        <f t="shared" si="12"/>
        <v>85.72086435677366</v>
      </c>
      <c r="V54" s="480">
        <f t="shared" si="12"/>
        <v>958.94049423764079</v>
      </c>
      <c r="W54" s="480">
        <f t="shared" si="12"/>
        <v>67.75527517806448</v>
      </c>
      <c r="X54" s="480">
        <f t="shared" si="12"/>
        <v>7.3370537714334541</v>
      </c>
      <c r="Y54" s="480">
        <f t="shared" si="12"/>
        <v>123.60784335119607</v>
      </c>
      <c r="Z54" s="480">
        <f t="shared" si="12"/>
        <v>185.39243822026032</v>
      </c>
      <c r="AA54" s="480">
        <f t="shared" si="12"/>
        <v>93.84868241148844</v>
      </c>
      <c r="AB54" s="480">
        <f t="shared" si="12"/>
        <v>712.60673422759623</v>
      </c>
      <c r="AC54" s="480">
        <f t="shared" si="12"/>
        <v>60.893733834436496</v>
      </c>
      <c r="AD54" s="480">
        <f t="shared" si="12"/>
        <v>156.49322809989133</v>
      </c>
      <c r="AE54" s="480">
        <f t="shared" si="12"/>
        <v>85.367685860866288</v>
      </c>
      <c r="AF54" s="480">
        <f t="shared" si="12"/>
        <v>5.1635521950769148</v>
      </c>
      <c r="AG54" s="480">
        <f t="shared" si="12"/>
        <v>127.25947094997306</v>
      </c>
      <c r="AH54" s="480">
        <f t="shared" si="12"/>
        <v>25.872309135392644</v>
      </c>
      <c r="AI54" s="480">
        <f t="shared" si="12"/>
        <v>20.169145536448266</v>
      </c>
      <c r="AJ54" s="480">
        <f t="shared" si="12"/>
        <v>4.5488610217862151</v>
      </c>
      <c r="AK54" s="480">
        <f t="shared" si="12"/>
        <v>13.535932895961425</v>
      </c>
      <c r="AL54" s="480">
        <f t="shared" si="12"/>
        <v>4.9192841324130994</v>
      </c>
      <c r="AM54" s="480">
        <f t="shared" si="12"/>
        <v>21.679191262645055</v>
      </c>
      <c r="AN54" s="480">
        <f t="shared" si="12"/>
        <v>1.2927255900605863</v>
      </c>
      <c r="AO54" s="480">
        <f t="shared" si="12"/>
        <v>105.03666692285195</v>
      </c>
      <c r="AP54" s="480">
        <f t="shared" si="12"/>
        <v>80.235577445388714</v>
      </c>
      <c r="AQ54" s="480">
        <f t="shared" si="12"/>
        <v>532.52823209855194</v>
      </c>
      <c r="AR54" s="480">
        <f t="shared" si="12"/>
        <v>236.91153368948144</v>
      </c>
      <c r="AS54" s="480">
        <f t="shared" si="12"/>
        <v>133.10326307672554</v>
      </c>
      <c r="AT54" s="480">
        <f t="shared" si="12"/>
        <v>88.50458518604627</v>
      </c>
      <c r="AU54" s="480">
        <f t="shared" si="12"/>
        <v>105.96675077351949</v>
      </c>
      <c r="AV54" s="480">
        <f t="shared" si="12"/>
        <v>20.584275862852557</v>
      </c>
      <c r="AW54" s="480">
        <f t="shared" si="12"/>
        <v>51.216291980809764</v>
      </c>
      <c r="AX54" s="480">
        <f t="shared" si="12"/>
        <v>369.90738511493879</v>
      </c>
      <c r="AY54" s="2"/>
    </row>
    <row r="55" spans="1:51">
      <c r="B55" s="523">
        <f t="shared" si="2"/>
        <v>3</v>
      </c>
      <c r="C55" s="526">
        <f t="shared" si="3"/>
        <v>5</v>
      </c>
      <c r="D55" s="526" t="str">
        <f>INDEX('SubRes-RSD_MaxRetrofit'!$I$65:$I$70,C55)</f>
        <v>Pre99</v>
      </c>
      <c r="E55" s="526" t="str">
        <f t="shared" si="1"/>
        <v>SDE</v>
      </c>
      <c r="F55" s="2"/>
      <c r="G55" s="2" t="s">
        <v>629</v>
      </c>
      <c r="H55" s="2" t="s">
        <v>630</v>
      </c>
      <c r="I55" s="2" t="s">
        <v>512</v>
      </c>
      <c r="J55" s="5" t="s">
        <v>631</v>
      </c>
      <c r="K55" s="2" t="str">
        <f>"Bldg_"&amp;E55&amp;D55&amp;"-"&amp;INDEX('SubRes-RSD_MaxRetrofit'!$C$65:$C$67,B55)</f>
        <v>Bldg_SDEPre99-Wal</v>
      </c>
      <c r="L55" s="2">
        <v>2020</v>
      </c>
      <c r="M55" s="2"/>
      <c r="N55" s="480">
        <f t="shared" si="12"/>
        <v>19.329703915464879</v>
      </c>
      <c r="O55" s="480">
        <f t="shared" si="12"/>
        <v>80.411031797773447</v>
      </c>
      <c r="P55" s="480">
        <f t="shared" si="12"/>
        <v>16.529607569377557</v>
      </c>
      <c r="Q55" s="480">
        <f t="shared" si="12"/>
        <v>182.62504708748918</v>
      </c>
      <c r="R55" s="480">
        <f t="shared" si="12"/>
        <v>55.200072080487089</v>
      </c>
      <c r="S55" s="480">
        <f t="shared" si="12"/>
        <v>150.7975169534304</v>
      </c>
      <c r="T55" s="480">
        <f t="shared" si="12"/>
        <v>18.472501934726363</v>
      </c>
      <c r="U55" s="480">
        <f t="shared" si="12"/>
        <v>50.810351050184373</v>
      </c>
      <c r="V55" s="480">
        <f t="shared" si="12"/>
        <v>1002.5286985211699</v>
      </c>
      <c r="W55" s="480">
        <f t="shared" si="12"/>
        <v>36.072861040510688</v>
      </c>
      <c r="X55" s="480">
        <f t="shared" si="12"/>
        <v>3.4038512882572998</v>
      </c>
      <c r="Y55" s="480">
        <f t="shared" si="12"/>
        <v>69.890416100442664</v>
      </c>
      <c r="Z55" s="480">
        <f t="shared" si="12"/>
        <v>410.99867737800338</v>
      </c>
      <c r="AA55" s="480">
        <f t="shared" si="12"/>
        <v>70.933299682835781</v>
      </c>
      <c r="AB55" s="480">
        <f t="shared" si="12"/>
        <v>633.60734513901662</v>
      </c>
      <c r="AC55" s="480">
        <f t="shared" si="12"/>
        <v>21.792449266091133</v>
      </c>
      <c r="AD55" s="480">
        <f t="shared" si="12"/>
        <v>57.797185964905104</v>
      </c>
      <c r="AE55" s="480">
        <f t="shared" si="12"/>
        <v>128.40711413410889</v>
      </c>
      <c r="AF55" s="480">
        <f t="shared" si="12"/>
        <v>4.8232607896706998</v>
      </c>
      <c r="AG55" s="480">
        <f t="shared" si="12"/>
        <v>226.31940004171341</v>
      </c>
      <c r="AH55" s="480">
        <f t="shared" si="12"/>
        <v>9.259096933727843</v>
      </c>
      <c r="AI55" s="480">
        <f t="shared" si="12"/>
        <v>10.199170186044862</v>
      </c>
      <c r="AJ55" s="480">
        <f t="shared" si="12"/>
        <v>5.886026212256338</v>
      </c>
      <c r="AK55" s="480">
        <f t="shared" si="12"/>
        <v>5.4058599930411964</v>
      </c>
      <c r="AL55" s="480">
        <f t="shared" si="12"/>
        <v>2.7814643926260985</v>
      </c>
      <c r="AM55" s="480">
        <f t="shared" si="12"/>
        <v>11.78216916448101</v>
      </c>
      <c r="AN55" s="480">
        <f t="shared" si="12"/>
        <v>16.518160317440824</v>
      </c>
      <c r="AO55" s="480">
        <f t="shared" si="12"/>
        <v>554.68437378086321</v>
      </c>
      <c r="AP55" s="480">
        <f t="shared" si="12"/>
        <v>63.018635168186279</v>
      </c>
      <c r="AQ55" s="480">
        <f t="shared" si="12"/>
        <v>199.8342138856531</v>
      </c>
      <c r="AR55" s="480">
        <f t="shared" si="12"/>
        <v>191.25062848947672</v>
      </c>
      <c r="AS55" s="480">
        <f t="shared" si="12"/>
        <v>38.225937123274477</v>
      </c>
      <c r="AT55" s="480">
        <f t="shared" si="12"/>
        <v>31.673729972403528</v>
      </c>
      <c r="AU55" s="480">
        <f t="shared" si="12"/>
        <v>50.836815711999698</v>
      </c>
      <c r="AV55" s="480">
        <f t="shared" si="12"/>
        <v>6.8459716270598241</v>
      </c>
      <c r="AW55" s="480">
        <f t="shared" si="12"/>
        <v>15.241722162625749</v>
      </c>
      <c r="AX55" s="480">
        <f t="shared" si="12"/>
        <v>1284.228672799667</v>
      </c>
      <c r="AY55" s="2"/>
    </row>
    <row r="56" spans="1:51">
      <c r="B56" s="523">
        <f t="shared" si="2"/>
        <v>3</v>
      </c>
      <c r="C56" s="526">
        <f t="shared" si="3"/>
        <v>6</v>
      </c>
      <c r="D56" s="526" t="str">
        <f>INDEX('SubRes-RSD_MaxRetrofit'!$I$65:$I$70,C56)</f>
        <v>Pre09</v>
      </c>
      <c r="E56" s="526" t="str">
        <f t="shared" si="1"/>
        <v>FLT</v>
      </c>
      <c r="F56" s="2"/>
      <c r="G56" s="2" t="s">
        <v>629</v>
      </c>
      <c r="H56" s="2" t="s">
        <v>630</v>
      </c>
      <c r="I56" s="2" t="s">
        <v>512</v>
      </c>
      <c r="J56" s="5" t="s">
        <v>631</v>
      </c>
      <c r="K56" s="2" t="str">
        <f>"Bldg_"&amp;E56&amp;D56&amp;"-"&amp;INDEX('SubRes-RSD_MaxRetrofit'!$C$65:$C$67,B56)</f>
        <v>Bldg_FLTPre09-Wal</v>
      </c>
      <c r="L56" s="2">
        <v>2020</v>
      </c>
      <c r="M56" s="2"/>
      <c r="N56" s="480">
        <f t="shared" si="12"/>
        <v>40.109860472738262</v>
      </c>
      <c r="O56" s="480">
        <f t="shared" si="12"/>
        <v>102.6026573497053</v>
      </c>
      <c r="P56" s="480">
        <f t="shared" si="12"/>
        <v>42.161557376973775</v>
      </c>
      <c r="Q56" s="480">
        <f t="shared" si="12"/>
        <v>70.102719075016594</v>
      </c>
      <c r="R56" s="480">
        <f t="shared" si="12"/>
        <v>199.0585423279054</v>
      </c>
      <c r="S56" s="480">
        <f t="shared" si="12"/>
        <v>107.64081311132098</v>
      </c>
      <c r="T56" s="480">
        <f t="shared" si="12"/>
        <v>30.694791644895528</v>
      </c>
      <c r="U56" s="480">
        <f t="shared" si="12"/>
        <v>139.21443130786497</v>
      </c>
      <c r="V56" s="480">
        <f t="shared" si="12"/>
        <v>1261.9275493689988</v>
      </c>
      <c r="W56" s="480">
        <f t="shared" si="12"/>
        <v>95.842879700857893</v>
      </c>
      <c r="X56" s="480">
        <f t="shared" si="12"/>
        <v>25.249444480802204</v>
      </c>
      <c r="Y56" s="480">
        <f t="shared" si="12"/>
        <v>145.02523424208152</v>
      </c>
      <c r="Z56" s="480">
        <f t="shared" si="12"/>
        <v>2403.9570549832829</v>
      </c>
      <c r="AA56" s="480">
        <f t="shared" si="12"/>
        <v>128.24101552307064</v>
      </c>
      <c r="AB56" s="480">
        <f t="shared" si="12"/>
        <v>1417.3853444798438</v>
      </c>
      <c r="AC56" s="480">
        <f t="shared" si="12"/>
        <v>66.291309871417113</v>
      </c>
      <c r="AD56" s="480">
        <f t="shared" si="12"/>
        <v>157.93067579915589</v>
      </c>
      <c r="AE56" s="480">
        <f t="shared" si="12"/>
        <v>54.110641174925789</v>
      </c>
      <c r="AF56" s="480">
        <f t="shared" si="12"/>
        <v>7.7722031421488511</v>
      </c>
      <c r="AG56" s="480">
        <f t="shared" si="12"/>
        <v>803.83842413895491</v>
      </c>
      <c r="AH56" s="480">
        <f t="shared" si="12"/>
        <v>23.61689138667364</v>
      </c>
      <c r="AI56" s="480">
        <f t="shared" si="12"/>
        <v>49.208265200013763</v>
      </c>
      <c r="AJ56" s="480">
        <f t="shared" si="12"/>
        <v>8.1332575531914895</v>
      </c>
      <c r="AK56" s="480">
        <f t="shared" si="12"/>
        <v>49.086026067434688</v>
      </c>
      <c r="AL56" s="480">
        <f t="shared" si="12"/>
        <v>8.5109041616164447</v>
      </c>
      <c r="AM56" s="480">
        <f t="shared" si="12"/>
        <v>46.60428378673177</v>
      </c>
      <c r="AN56" s="480">
        <f t="shared" si="12"/>
        <v>2.2070144774957696</v>
      </c>
      <c r="AO56" s="480">
        <f t="shared" si="12"/>
        <v>148.46865716238921</v>
      </c>
      <c r="AP56" s="480">
        <f t="shared" si="12"/>
        <v>140.73088690336078</v>
      </c>
      <c r="AQ56" s="480">
        <f t="shared" si="12"/>
        <v>1342.0302721278497</v>
      </c>
      <c r="AR56" s="480">
        <f t="shared" si="12"/>
        <v>168.96951817194957</v>
      </c>
      <c r="AS56" s="480">
        <f t="shared" si="12"/>
        <v>127.5554844</v>
      </c>
      <c r="AT56" s="480">
        <f t="shared" si="12"/>
        <v>80.789200709654324</v>
      </c>
      <c r="AU56" s="480">
        <f t="shared" si="12"/>
        <v>60.866387059806925</v>
      </c>
      <c r="AV56" s="480">
        <f t="shared" si="12"/>
        <v>42.574698508130162</v>
      </c>
      <c r="AW56" s="480">
        <f t="shared" si="12"/>
        <v>85.123908571428572</v>
      </c>
      <c r="AX56" s="480">
        <f t="shared" si="12"/>
        <v>315.31074469020649</v>
      </c>
      <c r="AY56" s="2"/>
    </row>
    <row r="57" spans="1:51">
      <c r="B57" s="523">
        <f t="shared" si="2"/>
        <v>3</v>
      </c>
      <c r="C57" s="526">
        <f t="shared" si="3"/>
        <v>6</v>
      </c>
      <c r="D57" s="526" t="str">
        <f>INDEX('SubRes-RSD_MaxRetrofit'!$I$65:$I$70,C57)</f>
        <v>Pre09</v>
      </c>
      <c r="E57" s="526" t="str">
        <f t="shared" si="1"/>
        <v>DET</v>
      </c>
      <c r="F57" s="2"/>
      <c r="G57" s="2" t="s">
        <v>629</v>
      </c>
      <c r="H57" s="2" t="s">
        <v>630</v>
      </c>
      <c r="I57" s="2" t="s">
        <v>512</v>
      </c>
      <c r="J57" s="5" t="s">
        <v>631</v>
      </c>
      <c r="K57" s="2" t="str">
        <f>"Bldg_"&amp;E57&amp;D57&amp;"-"&amp;INDEX('SubRes-RSD_MaxRetrofit'!$C$65:$C$67,B57)</f>
        <v>Bldg_DETPre09-Wal</v>
      </c>
      <c r="L57" s="2">
        <v>2020</v>
      </c>
      <c r="M57" s="2"/>
      <c r="N57" s="480">
        <f t="shared" si="12"/>
        <v>17.409922503339299</v>
      </c>
      <c r="O57" s="480">
        <f t="shared" si="12"/>
        <v>70.943181261034695</v>
      </c>
      <c r="P57" s="480">
        <f t="shared" si="12"/>
        <v>34.685549828503149</v>
      </c>
      <c r="Q57" s="480">
        <f t="shared" si="12"/>
        <v>73.57596335673621</v>
      </c>
      <c r="R57" s="480">
        <f t="shared" si="12"/>
        <v>158.02725302699085</v>
      </c>
      <c r="S57" s="480">
        <f t="shared" si="12"/>
        <v>54.957207222182682</v>
      </c>
      <c r="T57" s="480">
        <f t="shared" si="12"/>
        <v>38.890577133578006</v>
      </c>
      <c r="U57" s="480">
        <f t="shared" si="12"/>
        <v>64.755131006707572</v>
      </c>
      <c r="V57" s="480">
        <f t="shared" si="12"/>
        <v>527.31650724182305</v>
      </c>
      <c r="W57" s="480">
        <f t="shared" si="12"/>
        <v>89.616596239783021</v>
      </c>
      <c r="X57" s="480">
        <f t="shared" si="12"/>
        <v>5.7760409414806713</v>
      </c>
      <c r="Y57" s="480">
        <f t="shared" si="12"/>
        <v>62.949061887147899</v>
      </c>
      <c r="Z57" s="480">
        <f t="shared" si="12"/>
        <v>314.67496159605378</v>
      </c>
      <c r="AA57" s="480">
        <f t="shared" si="12"/>
        <v>91.666666069515145</v>
      </c>
      <c r="AB57" s="480">
        <f t="shared" si="12"/>
        <v>970.91582462025042</v>
      </c>
      <c r="AC57" s="480">
        <f t="shared" si="12"/>
        <v>83.49458835194504</v>
      </c>
      <c r="AD57" s="480">
        <f t="shared" si="12"/>
        <v>184.57990065524498</v>
      </c>
      <c r="AE57" s="480">
        <f t="shared" si="12"/>
        <v>170.05443658602607</v>
      </c>
      <c r="AF57" s="480">
        <f t="shared" si="12"/>
        <v>5.043497709677867</v>
      </c>
      <c r="AG57" s="480">
        <f t="shared" si="12"/>
        <v>99.57553650622485</v>
      </c>
      <c r="AH57" s="480">
        <f t="shared" si="12"/>
        <v>19.429188909283418</v>
      </c>
      <c r="AI57" s="480">
        <f t="shared" si="12"/>
        <v>17.676343353953119</v>
      </c>
      <c r="AJ57" s="480">
        <f t="shared" si="12"/>
        <v>6.2567927073512548</v>
      </c>
      <c r="AK57" s="480">
        <f t="shared" si="12"/>
        <v>15.703916864170269</v>
      </c>
      <c r="AL57" s="480">
        <f t="shared" si="12"/>
        <v>3.6942083602559723</v>
      </c>
      <c r="AM57" s="480">
        <f t="shared" si="12"/>
        <v>33.73009776232562</v>
      </c>
      <c r="AN57" s="480">
        <f t="shared" si="12"/>
        <v>0.48207378792369415</v>
      </c>
      <c r="AO57" s="480">
        <f t="shared" si="12"/>
        <v>54.60445394957538</v>
      </c>
      <c r="AP57" s="480">
        <f t="shared" si="12"/>
        <v>56.652518500027334</v>
      </c>
      <c r="AQ57" s="480">
        <f t="shared" si="12"/>
        <v>662.60480026688674</v>
      </c>
      <c r="AR57" s="480">
        <f t="shared" si="12"/>
        <v>134.5409344847543</v>
      </c>
      <c r="AS57" s="480">
        <f t="shared" si="12"/>
        <v>130.82521211942216</v>
      </c>
      <c r="AT57" s="480">
        <f t="shared" si="12"/>
        <v>66.463812561868693</v>
      </c>
      <c r="AU57" s="480">
        <f t="shared" ref="AU57:AX57" si="13">AU39</f>
        <v>29.563879326527815</v>
      </c>
      <c r="AV57" s="480">
        <f t="shared" si="13"/>
        <v>17.99844587896936</v>
      </c>
      <c r="AW57" s="480">
        <f t="shared" si="13"/>
        <v>63.290328168119139</v>
      </c>
      <c r="AX57" s="480">
        <f t="shared" si="13"/>
        <v>305.89936433407308</v>
      </c>
      <c r="AY57" s="2"/>
    </row>
    <row r="58" spans="1:51">
      <c r="B58" s="523">
        <f t="shared" si="2"/>
        <v>3</v>
      </c>
      <c r="C58" s="526">
        <f t="shared" si="3"/>
        <v>6</v>
      </c>
      <c r="D58" s="526" t="str">
        <f>INDEX('SubRes-RSD_MaxRetrofit'!$I$65:$I$70,C58)</f>
        <v>Pre09</v>
      </c>
      <c r="E58" s="526" t="str">
        <f t="shared" si="1"/>
        <v>SDE</v>
      </c>
      <c r="F58" s="2"/>
      <c r="G58" s="2" t="s">
        <v>629</v>
      </c>
      <c r="H58" s="2" t="s">
        <v>630</v>
      </c>
      <c r="I58" s="2" t="s">
        <v>512</v>
      </c>
      <c r="J58" s="5" t="s">
        <v>631</v>
      </c>
      <c r="K58" s="2" t="str">
        <f>"Bldg_"&amp;E58&amp;D58&amp;"-"&amp;INDEX('SubRes-RSD_MaxRetrofit'!$C$65:$C$67,B58)</f>
        <v>Bldg_SDEPre09-Wal</v>
      </c>
      <c r="L58" s="2">
        <v>2020</v>
      </c>
      <c r="M58" s="2"/>
      <c r="N58" s="480">
        <f t="shared" ref="N58:AX58" si="14">N40</f>
        <v>9.8439281444114766</v>
      </c>
      <c r="O58" s="480">
        <f t="shared" si="14"/>
        <v>32.876108389259997</v>
      </c>
      <c r="P58" s="480">
        <f t="shared" si="14"/>
        <v>12.413150537940327</v>
      </c>
      <c r="Q58" s="480">
        <f t="shared" si="14"/>
        <v>122.7588175682472</v>
      </c>
      <c r="R58" s="480">
        <f t="shared" si="14"/>
        <v>85.884376645103757</v>
      </c>
      <c r="S58" s="480">
        <f t="shared" si="14"/>
        <v>61.653673648415058</v>
      </c>
      <c r="T58" s="480">
        <f t="shared" si="14"/>
        <v>39.718036221526475</v>
      </c>
      <c r="U58" s="480">
        <f t="shared" si="14"/>
        <v>38.383081685427463</v>
      </c>
      <c r="V58" s="480">
        <f t="shared" si="14"/>
        <v>551.28543938917858</v>
      </c>
      <c r="W58" s="480">
        <f t="shared" si="14"/>
        <v>47.711813059359088</v>
      </c>
      <c r="X58" s="480">
        <f t="shared" si="14"/>
        <v>2.6796565777171244</v>
      </c>
      <c r="Y58" s="480">
        <f t="shared" si="14"/>
        <v>35.592693870770553</v>
      </c>
      <c r="Z58" s="480">
        <f t="shared" si="14"/>
        <v>697.60662442066302</v>
      </c>
      <c r="AA58" s="480">
        <f t="shared" si="14"/>
        <v>69.284074407414224</v>
      </c>
      <c r="AB58" s="480">
        <f t="shared" si="14"/>
        <v>863.28035989990587</v>
      </c>
      <c r="AC58" s="480">
        <f t="shared" si="14"/>
        <v>29.880768776637847</v>
      </c>
      <c r="AD58" s="480">
        <f t="shared" si="14"/>
        <v>68.17035454559911</v>
      </c>
      <c r="AE58" s="480">
        <f t="shared" si="14"/>
        <v>255.78998923904814</v>
      </c>
      <c r="AF58" s="480">
        <f t="shared" si="14"/>
        <v>4.7111182044555431</v>
      </c>
      <c r="AG58" s="480">
        <f t="shared" si="14"/>
        <v>177.08603935482026</v>
      </c>
      <c r="AH58" s="480">
        <f t="shared" si="14"/>
        <v>6.9532542500688912</v>
      </c>
      <c r="AI58" s="480">
        <f t="shared" si="14"/>
        <v>8.9386054460331117</v>
      </c>
      <c r="AJ58" s="480">
        <f t="shared" si="14"/>
        <v>8.0960147394572548</v>
      </c>
      <c r="AK58" s="480">
        <f t="shared" si="14"/>
        <v>6.2716900683950429</v>
      </c>
      <c r="AL58" s="480">
        <f t="shared" si="14"/>
        <v>2.0887813625746388</v>
      </c>
      <c r="AM58" s="480">
        <f t="shared" si="14"/>
        <v>18.33157487082914</v>
      </c>
      <c r="AN58" s="480">
        <f t="shared" si="14"/>
        <v>6.1598317345805356</v>
      </c>
      <c r="AO58" s="480">
        <f t="shared" si="14"/>
        <v>288.35870588803544</v>
      </c>
      <c r="AP58" s="480">
        <f t="shared" si="14"/>
        <v>44.496026680210925</v>
      </c>
      <c r="AQ58" s="480">
        <f t="shared" si="14"/>
        <v>248.64617760526343</v>
      </c>
      <c r="AR58" s="480">
        <f t="shared" si="14"/>
        <v>108.61032334329613</v>
      </c>
      <c r="AS58" s="480">
        <f t="shared" si="14"/>
        <v>37.571703480577852</v>
      </c>
      <c r="AT58" s="480">
        <f t="shared" si="14"/>
        <v>23.785850728476969</v>
      </c>
      <c r="AU58" s="480">
        <f t="shared" si="14"/>
        <v>14.183066613665265</v>
      </c>
      <c r="AV58" s="480">
        <f t="shared" si="14"/>
        <v>5.9859696129004716</v>
      </c>
      <c r="AW58" s="480">
        <f t="shared" si="14"/>
        <v>18.834897260452287</v>
      </c>
      <c r="AX58" s="480">
        <f t="shared" si="14"/>
        <v>1062.0083579757202</v>
      </c>
      <c r="AY58" s="2"/>
    </row>
    <row r="59" spans="1:51">
      <c r="B59" s="2"/>
      <c r="C59" s="2"/>
      <c r="D59" s="2"/>
      <c r="E59" s="2"/>
      <c r="F59" s="2"/>
      <c r="G59" s="2" t="s">
        <v>629</v>
      </c>
      <c r="H59" s="2" t="s">
        <v>630</v>
      </c>
      <c r="I59" s="2" t="s">
        <v>512</v>
      </c>
      <c r="J59" s="5" t="s">
        <v>631</v>
      </c>
      <c r="K59" s="2" t="s">
        <v>634</v>
      </c>
      <c r="L59" s="2">
        <v>0</v>
      </c>
      <c r="M59" s="2">
        <v>5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4" spans="1:51">
      <c r="A64" s="162"/>
    </row>
    <row r="65" spans="1:50">
      <c r="A65" s="162"/>
      <c r="B65" s="488">
        <v>1</v>
      </c>
      <c r="C65" s="526" t="s">
        <v>635</v>
      </c>
      <c r="E65" s="2"/>
      <c r="F65" s="2"/>
      <c r="G65" s="526" t="s">
        <v>2</v>
      </c>
      <c r="H65" s="526">
        <v>1945</v>
      </c>
      <c r="I65" s="2" t="str">
        <f>"Pre"&amp;RIGHT(G65,2)</f>
        <v>Pre45</v>
      </c>
      <c r="K65" s="2"/>
      <c r="L65" s="2" t="s">
        <v>636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spans="1:50" ht="15" thickBot="1">
      <c r="A66" s="162"/>
      <c r="B66" s="488">
        <v>2</v>
      </c>
      <c r="C66" s="526" t="s">
        <v>637</v>
      </c>
      <c r="E66" s="2">
        <v>1945</v>
      </c>
      <c r="F66" s="2">
        <v>1969</v>
      </c>
      <c r="G66" s="526" t="s">
        <v>3</v>
      </c>
      <c r="H66" s="526">
        <f>ROUNDDOWN(AVERAGE(E66:F66),0)</f>
        <v>1957</v>
      </c>
      <c r="I66" s="2" t="str">
        <f>"Pre"&amp;RIGHT(G66,2)</f>
        <v>Pre69</v>
      </c>
      <c r="K66" s="539" t="s">
        <v>545</v>
      </c>
      <c r="L66" s="539" t="s">
        <v>546</v>
      </c>
      <c r="M66" s="557" t="s">
        <v>627</v>
      </c>
      <c r="N66" s="540" t="s">
        <v>116</v>
      </c>
      <c r="O66" s="540" t="s">
        <v>88</v>
      </c>
      <c r="P66" s="540" t="s">
        <v>117</v>
      </c>
      <c r="Q66" s="540" t="s">
        <v>89</v>
      </c>
      <c r="R66" s="540" t="s">
        <v>90</v>
      </c>
      <c r="S66" s="540" t="s">
        <v>91</v>
      </c>
      <c r="T66" s="540" t="s">
        <v>92</v>
      </c>
      <c r="U66" s="540" t="s">
        <v>93</v>
      </c>
      <c r="V66" s="540" t="s">
        <v>94</v>
      </c>
      <c r="W66" s="540" t="s">
        <v>95</v>
      </c>
      <c r="X66" s="540" t="s">
        <v>96</v>
      </c>
      <c r="Y66" s="540" t="s">
        <v>205</v>
      </c>
      <c r="Z66" s="540" t="s">
        <v>97</v>
      </c>
      <c r="AA66" s="540" t="s">
        <v>98</v>
      </c>
      <c r="AB66" s="540" t="s">
        <v>99</v>
      </c>
      <c r="AC66" s="540" t="s">
        <v>118</v>
      </c>
      <c r="AD66" s="540" t="s">
        <v>100</v>
      </c>
      <c r="AE66" s="540" t="s">
        <v>101</v>
      </c>
      <c r="AF66" s="540" t="s">
        <v>102</v>
      </c>
      <c r="AG66" s="540" t="s">
        <v>103</v>
      </c>
      <c r="AH66" s="540" t="s">
        <v>122</v>
      </c>
      <c r="AI66" s="540" t="s">
        <v>104</v>
      </c>
      <c r="AJ66" s="540" t="s">
        <v>105</v>
      </c>
      <c r="AK66" s="540" t="s">
        <v>106</v>
      </c>
      <c r="AL66" s="540" t="s">
        <v>119</v>
      </c>
      <c r="AM66" s="540" t="s">
        <v>120</v>
      </c>
      <c r="AN66" s="540" t="s">
        <v>107</v>
      </c>
      <c r="AO66" s="540" t="s">
        <v>108</v>
      </c>
      <c r="AP66" s="540" t="s">
        <v>109</v>
      </c>
      <c r="AQ66" s="540" t="s">
        <v>110</v>
      </c>
      <c r="AR66" s="540" t="s">
        <v>111</v>
      </c>
      <c r="AS66" s="540" t="s">
        <v>112</v>
      </c>
      <c r="AT66" s="540" t="s">
        <v>121</v>
      </c>
      <c r="AU66" s="540" t="s">
        <v>113</v>
      </c>
      <c r="AV66" s="540" t="s">
        <v>114</v>
      </c>
      <c r="AW66" s="540" t="s">
        <v>115</v>
      </c>
      <c r="AX66" s="540" t="s">
        <v>52</v>
      </c>
    </row>
    <row r="67" spans="1:50">
      <c r="A67" s="162"/>
      <c r="B67" s="488">
        <v>3</v>
      </c>
      <c r="C67" s="526" t="s">
        <v>638</v>
      </c>
      <c r="E67" s="2">
        <v>1970</v>
      </c>
      <c r="F67" s="2">
        <v>1979</v>
      </c>
      <c r="G67" s="526" t="s">
        <v>4</v>
      </c>
      <c r="H67" s="526">
        <f>ROUNDDOWN(AVERAGE(E67:F67),0)</f>
        <v>1974</v>
      </c>
      <c r="I67" s="2" t="str">
        <f>"Pre"&amp;RIGHT(G67,2)</f>
        <v>Pre79</v>
      </c>
      <c r="K67" s="2" t="s">
        <v>639</v>
      </c>
      <c r="L67" s="2">
        <v>1945</v>
      </c>
      <c r="N67" s="509">
        <f>'Dwelling stock'!O4</f>
        <v>52.739168560647769</v>
      </c>
      <c r="O67" s="509">
        <f>'Dwelling stock'!O5</f>
        <v>426.88055213555992</v>
      </c>
      <c r="P67" s="509">
        <f>'Dwelling stock'!O6</f>
        <v>79.510185717506019</v>
      </c>
      <c r="Q67" s="509">
        <f>'Dwelling stock'!O7</f>
        <v>470.89406639831816</v>
      </c>
      <c r="R67" s="509">
        <f>'Dwelling stock'!O8</f>
        <v>195.8671606411277</v>
      </c>
      <c r="S67" s="509">
        <f>'Dwelling stock'!O9</f>
        <v>447.84190702457772</v>
      </c>
      <c r="T67" s="509">
        <f>'Dwelling stock'!O10</f>
        <v>2.5426748009718181</v>
      </c>
      <c r="U67" s="509">
        <f>'Dwelling stock'!O11</f>
        <v>553.47062423293596</v>
      </c>
      <c r="V67" s="509">
        <f>'Dwelling stock'!O12</f>
        <v>4572.4327834387923</v>
      </c>
      <c r="W67" s="509">
        <f>'Dwelling stock'!O13</f>
        <v>394.10243103245057</v>
      </c>
      <c r="X67" s="509">
        <f>'Dwelling stock'!O14</f>
        <v>91.537888851347205</v>
      </c>
      <c r="Y67" s="509">
        <f>'Dwelling stock'!O15</f>
        <v>190.68902718918901</v>
      </c>
      <c r="Z67" s="509">
        <f>'Dwelling stock'!O16</f>
        <v>1538.1678329068884</v>
      </c>
      <c r="AA67" s="509">
        <f>'Dwelling stock'!O17</f>
        <v>156.1978807080441</v>
      </c>
      <c r="AB67" s="509">
        <f>'Dwelling stock'!O18</f>
        <v>3136.7254014648984</v>
      </c>
      <c r="AC67" s="509">
        <f>'Dwelling stock'!O19</f>
        <v>81.173032345013482</v>
      </c>
      <c r="AD67" s="509">
        <f>'Dwelling stock'!O20</f>
        <v>295.53679069488578</v>
      </c>
      <c r="AE67" s="509">
        <f>'Dwelling stock'!O21</f>
        <v>31.327020862816234</v>
      </c>
      <c r="AF67" s="509">
        <f>'Dwelling stock'!O22</f>
        <v>9.4665630514884089</v>
      </c>
      <c r="AG67" s="509">
        <f>'Dwelling stock'!O23</f>
        <v>4829.7260985748217</v>
      </c>
      <c r="AH67" s="509">
        <f>'Dwelling stock'!O24</f>
        <v>44.537809726405577</v>
      </c>
      <c r="AI67" s="509">
        <f>'Dwelling stock'!O25</f>
        <v>256.67024104732417</v>
      </c>
      <c r="AJ67" s="509">
        <f>'Dwelling stock'!O26</f>
        <v>19.252162893617022</v>
      </c>
      <c r="AK67" s="509">
        <f>'Dwelling stock'!O27</f>
        <v>142.81512059319493</v>
      </c>
      <c r="AL67" s="509">
        <f>'Dwelling stock'!O28</f>
        <v>16.050250811740536</v>
      </c>
      <c r="AM67" s="509">
        <f>'Dwelling stock'!O29</f>
        <v>45.857106317917776</v>
      </c>
      <c r="AN67" s="509">
        <f>'Dwelling stock'!O30</f>
        <v>7.7229494551607436</v>
      </c>
      <c r="AO67" s="509">
        <f>'Dwelling stock'!O31</f>
        <v>479.97393801218868</v>
      </c>
      <c r="AP67" s="509">
        <f>'Dwelling stock'!O32</f>
        <v>251.93643930050624</v>
      </c>
      <c r="AQ67" s="509">
        <f>'Dwelling stock'!O33</f>
        <v>1636.0838921174191</v>
      </c>
      <c r="AR67" s="509">
        <f>'Dwelling stock'!O34</f>
        <v>210.84515230491107</v>
      </c>
      <c r="AS67" s="509">
        <f>'Dwelling stock'!O35</f>
        <v>329.51833469999997</v>
      </c>
      <c r="AT67" s="509">
        <f>'Dwelling stock'!O36</f>
        <v>152.35595533057008</v>
      </c>
      <c r="AU67" s="509">
        <f>'Dwelling stock'!O37</f>
        <v>783.73120850317878</v>
      </c>
      <c r="AV67" s="509">
        <f>'Dwelling stock'!O38</f>
        <v>155.75980789926879</v>
      </c>
      <c r="AW67" s="509">
        <f>'Dwelling stock'!O39</f>
        <v>212.22796724117987</v>
      </c>
      <c r="AX67" s="509">
        <f>'Dwelling stock'!O40</f>
        <v>1942.6772105200455</v>
      </c>
    </row>
    <row r="68" spans="1:50">
      <c r="A68" s="162"/>
      <c r="D68" s="488"/>
      <c r="E68" s="2">
        <v>1980</v>
      </c>
      <c r="F68" s="2">
        <v>1989</v>
      </c>
      <c r="G68" s="526" t="s">
        <v>5</v>
      </c>
      <c r="H68" s="526">
        <f>ROUNDDOWN(AVERAGE(E68:F68),0)</f>
        <v>1984</v>
      </c>
      <c r="I68" s="2" t="str">
        <f>"Pre"&amp;RIGHT(G68,2)</f>
        <v>Pre89</v>
      </c>
      <c r="K68" s="2" t="s">
        <v>640</v>
      </c>
      <c r="L68" s="2">
        <v>1945</v>
      </c>
      <c r="N68" s="509">
        <f>'Dwelling stock'!P4</f>
        <v>22.891748480538716</v>
      </c>
      <c r="O68" s="509">
        <f>'Dwelling stock'!P5</f>
        <v>295.16062419070067</v>
      </c>
      <c r="P68" s="509">
        <f>'Dwelling stock'!P6</f>
        <v>65.411590087141235</v>
      </c>
      <c r="Q68" s="509">
        <f>'Dwelling stock'!P7</f>
        <v>494.22454694164037</v>
      </c>
      <c r="R68" s="509">
        <f>'Dwelling stock'!P8</f>
        <v>155.49370045786091</v>
      </c>
      <c r="S68" s="509">
        <f>'Dwelling stock'!P9</f>
        <v>228.650637018819</v>
      </c>
      <c r="T68" s="509">
        <f>'Dwelling stock'!P10</f>
        <v>3.2215918458349959</v>
      </c>
      <c r="U68" s="509">
        <f>'Dwelling stock'!P11</f>
        <v>257.44502523096679</v>
      </c>
      <c r="V68" s="509">
        <f>'Dwelling stock'!P12</f>
        <v>1910.6637985410352</v>
      </c>
      <c r="W68" s="509">
        <f>'Dwelling stock'!P13</f>
        <v>368.50018018225222</v>
      </c>
      <c r="X68" s="509">
        <f>'Dwelling stock'!P14</f>
        <v>20.940127776042473</v>
      </c>
      <c r="Y68" s="509">
        <f>'Dwelling stock'!P15</f>
        <v>82.769701676159826</v>
      </c>
      <c r="Z68" s="509">
        <f>'Dwelling stock'!P16</f>
        <v>201.34423896837302</v>
      </c>
      <c r="AA68" s="509">
        <f>'Dwelling stock'!P17</f>
        <v>111.65023072555439</v>
      </c>
      <c r="AB68" s="509">
        <f>'Dwelling stock'!P18</f>
        <v>2148.6720895143894</v>
      </c>
      <c r="AC68" s="509">
        <f>'Dwelling stock'!P19</f>
        <v>102.23827126167988</v>
      </c>
      <c r="AD68" s="509">
        <f>'Dwelling stock'!P20</f>
        <v>345.4056736628205</v>
      </c>
      <c r="AE68" s="509">
        <f>'Dwelling stock'!P21</f>
        <v>98.451963737097685</v>
      </c>
      <c r="AF68" s="509">
        <f>'Dwelling stock'!P22</f>
        <v>6.1429929449196727</v>
      </c>
      <c r="AG68" s="509">
        <f>'Dwelling stock'!P23</f>
        <v>598.28263118779432</v>
      </c>
      <c r="AH68" s="509">
        <f>'Dwelling stock'!P24</f>
        <v>36.640449609229186</v>
      </c>
      <c r="AI68" s="509">
        <f>'Dwelling stock'!P25</f>
        <v>92.199781704418712</v>
      </c>
      <c r="AJ68" s="509">
        <f>'Dwelling stock'!P26</f>
        <v>14.810399351764557</v>
      </c>
      <c r="AK68" s="509">
        <f>'Dwelling stock'!P27</f>
        <v>45.690331045761816</v>
      </c>
      <c r="AL68" s="509">
        <f>'Dwelling stock'!P28</f>
        <v>6.966706428248135</v>
      </c>
      <c r="AM68" s="509">
        <f>'Dwelling stock'!P29</f>
        <v>33.189324103315371</v>
      </c>
      <c r="AN68" s="509">
        <f>'Dwelling stock'!P30</f>
        <v>1.6869085072867203</v>
      </c>
      <c r="AO68" s="509">
        <f>'Dwelling stock'!P31</f>
        <v>176.5269202005164</v>
      </c>
      <c r="AP68" s="509">
        <f>'Dwelling stock'!P32</f>
        <v>101.41934085943784</v>
      </c>
      <c r="AQ68" s="509">
        <f>'Dwelling stock'!P33</f>
        <v>807.78881301796559</v>
      </c>
      <c r="AR68" s="509">
        <f>'Dwelling stock'!P34</f>
        <v>167.8841493399743</v>
      </c>
      <c r="AS68" s="509">
        <f>'Dwelling stock'!P35</f>
        <v>337.96513130850724</v>
      </c>
      <c r="AT68" s="509">
        <f>'Dwelling stock'!P36</f>
        <v>125.3404857187227</v>
      </c>
      <c r="AU68" s="509">
        <f>'Dwelling stock'!P37</f>
        <v>380.67209163992203</v>
      </c>
      <c r="AV68" s="509">
        <f>'Dwelling stock'!P38</f>
        <v>65.847429831083915</v>
      </c>
      <c r="AW68" s="509">
        <f>'Dwelling stock'!P39</f>
        <v>157.79324420795558</v>
      </c>
      <c r="AX68" s="509">
        <f>'Dwelling stock'!P40</f>
        <v>1884.6922720259267</v>
      </c>
    </row>
    <row r="69" spans="1:50">
      <c r="A69" s="162"/>
      <c r="E69" s="2">
        <v>1990</v>
      </c>
      <c r="F69" s="2">
        <v>1999</v>
      </c>
      <c r="G69" s="523" t="s">
        <v>6</v>
      </c>
      <c r="H69" s="526">
        <f>ROUNDDOWN(AVERAGE(E69:F69),0)</f>
        <v>1994</v>
      </c>
      <c r="I69" s="2" t="str">
        <f>"Pre"&amp;RIGHT(G69,2)</f>
        <v>Pre99</v>
      </c>
      <c r="K69" s="2" t="s">
        <v>641</v>
      </c>
      <c r="L69" s="2">
        <v>1945</v>
      </c>
      <c r="N69" s="509">
        <f>'Dwelling stock'!Q4</f>
        <v>12.943465262360681</v>
      </c>
      <c r="O69" s="509">
        <f>'Dwelling stock'!Q5</f>
        <v>136.78175267373942</v>
      </c>
      <c r="P69" s="509">
        <f>'Dwelling stock'!Q6</f>
        <v>23.409284808583056</v>
      </c>
      <c r="Q69" s="509">
        <f>'Dwelling stock'!Q7</f>
        <v>824.59567266004137</v>
      </c>
      <c r="R69" s="509">
        <f>'Dwelling stock'!Q8</f>
        <v>84.507445901011394</v>
      </c>
      <c r="S69" s="509">
        <f>'Dwelling stock'!Q9</f>
        <v>256.51142892447353</v>
      </c>
      <c r="T69" s="509">
        <f>'Dwelling stock'!Q10</f>
        <v>3.2901363531931875</v>
      </c>
      <c r="U69" s="509">
        <f>'Dwelling stock'!Q11</f>
        <v>152.5984625360972</v>
      </c>
      <c r="V69" s="509">
        <f>'Dwelling stock'!Q12</f>
        <v>1997.5121530201732</v>
      </c>
      <c r="W69" s="509">
        <f>'Dwelling stock'!Q13</f>
        <v>196.18923778529717</v>
      </c>
      <c r="X69" s="509">
        <f>'Dwelling stock'!Q14</f>
        <v>9.7146733726103118</v>
      </c>
      <c r="Y69" s="509">
        <f>'Dwelling stock'!Q15</f>
        <v>46.799691134651134</v>
      </c>
      <c r="Z69" s="509">
        <f>'Dwelling stock'!Q16</f>
        <v>446.36241212473851</v>
      </c>
      <c r="AA69" s="509">
        <f>'Dwelling stock'!Q17</f>
        <v>84.388177566401509</v>
      </c>
      <c r="AB69" s="509">
        <f>'Dwelling stock'!Q18</f>
        <v>1910.4708850207126</v>
      </c>
      <c r="AC69" s="509">
        <f>'Dwelling stock'!Q19</f>
        <v>36.588696393306648</v>
      </c>
      <c r="AD69" s="509">
        <f>'Dwelling stock'!Q20</f>
        <v>127.56766664229369</v>
      </c>
      <c r="AE69" s="509">
        <f>'Dwelling stock'!Q21</f>
        <v>148.08803140008607</v>
      </c>
      <c r="AF69" s="509">
        <f>'Dwelling stock'!Q22</f>
        <v>5.7381538683203814</v>
      </c>
      <c r="AG69" s="509">
        <f>'Dwelling stock'!Q23</f>
        <v>1063.9912702373838</v>
      </c>
      <c r="AH69" s="509">
        <f>'Dwelling stock'!Q24</f>
        <v>13.112763644398795</v>
      </c>
      <c r="AI69" s="509">
        <f>'Dwelling stock'!Q25</f>
        <v>46.623753248257195</v>
      </c>
      <c r="AJ69" s="509">
        <f>'Dwelling stock'!Q26</f>
        <v>19.164005754618422</v>
      </c>
      <c r="AK69" s="509">
        <f>'Dwelling stock'!Q27</f>
        <v>18.247396361043236</v>
      </c>
      <c r="AL69" s="509">
        <f>'Dwelling stock'!Q28</f>
        <v>3.9391190552244133</v>
      </c>
      <c r="AM69" s="509">
        <f>'Dwelling stock'!Q29</f>
        <v>18.037676143106179</v>
      </c>
      <c r="AN69" s="509">
        <f>'Dwelling stock'!Q30</f>
        <v>21.554942037552536</v>
      </c>
      <c r="AO69" s="509">
        <f>'Dwelling stock'!Q31</f>
        <v>932.21469278729489</v>
      </c>
      <c r="AP69" s="509">
        <f>'Dwelling stock'!Q32</f>
        <v>79.656788722795696</v>
      </c>
      <c r="AQ69" s="509">
        <f>'Dwelling stock'!Q33</f>
        <v>303.12729486461518</v>
      </c>
      <c r="AR69" s="509">
        <f>'Dwelling stock'!Q34</f>
        <v>135.52716735511473</v>
      </c>
      <c r="AS69" s="509">
        <f>'Dwelling stock'!Q35</f>
        <v>97.060233991492765</v>
      </c>
      <c r="AT69" s="509">
        <f>'Dwelling stock'!Q36</f>
        <v>44.856440950707238</v>
      </c>
      <c r="AU69" s="509">
        <f>'Dwelling stock'!Q37</f>
        <v>182.62480285689929</v>
      </c>
      <c r="AV69" s="509">
        <f>'Dwelling stock'!Q38</f>
        <v>21.899708269647281</v>
      </c>
      <c r="AW69" s="509">
        <f>'Dwelling stock'!Q39</f>
        <v>46.958510550864531</v>
      </c>
      <c r="AX69" s="509">
        <f>'Dwelling stock'!Q40</f>
        <v>6543.194195454028</v>
      </c>
    </row>
    <row r="70" spans="1:50">
      <c r="A70" s="162"/>
      <c r="E70" s="2">
        <v>2000</v>
      </c>
      <c r="F70" s="2">
        <v>2008</v>
      </c>
      <c r="G70" s="526" t="s">
        <v>7</v>
      </c>
      <c r="H70" s="526">
        <f>ROUNDDOWN(AVERAGE(E70:F70),0)</f>
        <v>2004</v>
      </c>
      <c r="I70" s="2" t="s">
        <v>642</v>
      </c>
      <c r="K70" s="2" t="s">
        <v>639</v>
      </c>
      <c r="L70" s="2">
        <v>1957</v>
      </c>
      <c r="N70" s="509">
        <f>'Dwelling stock'!R4</f>
        <v>191.93680774504145</v>
      </c>
      <c r="O70" s="509">
        <f>'Dwelling stock'!R5</f>
        <v>515.04262112180743</v>
      </c>
      <c r="P70" s="509">
        <f>'Dwelling stock'!R6</f>
        <v>181.53050099523071</v>
      </c>
      <c r="Q70" s="509">
        <f>'Dwelling stock'!R7</f>
        <v>261.60781454879395</v>
      </c>
      <c r="R70" s="509">
        <f>'Dwelling stock'!R8</f>
        <v>405.47518103273359</v>
      </c>
      <c r="S70" s="509">
        <f>'Dwelling stock'!R9</f>
        <v>540.33304747244563</v>
      </c>
      <c r="T70" s="509">
        <f>'Dwelling stock'!R10</f>
        <v>8.4717928845389423</v>
      </c>
      <c r="U70" s="509">
        <f>'Dwelling stock'!R11</f>
        <v>751.69863269096174</v>
      </c>
      <c r="V70" s="509">
        <f>'Dwelling stock'!R12</f>
        <v>6940.5184375470717</v>
      </c>
      <c r="W70" s="509">
        <f>'Dwelling stock'!R13</f>
        <v>286.17472420440134</v>
      </c>
      <c r="X70" s="509">
        <f>'Dwelling stock'!R14</f>
        <v>135.32120899748926</v>
      </c>
      <c r="Y70" s="509">
        <f>'Dwelling stock'!R15</f>
        <v>693.98597189888676</v>
      </c>
      <c r="Z70" s="509">
        <f>'Dwelling stock'!R16</f>
        <v>2734.3004349620101</v>
      </c>
      <c r="AA70" s="509">
        <f>'Dwelling stock'!R17</f>
        <v>285.688707956717</v>
      </c>
      <c r="AB70" s="509">
        <f>'Dwelling stock'!R18</f>
        <v>2121.5340000000001</v>
      </c>
      <c r="AC70" s="509">
        <f>'Dwelling stock'!R19</f>
        <v>147.48670391096834</v>
      </c>
      <c r="AD70" s="509">
        <f>'Dwelling stock'!R20</f>
        <v>398.1831531074975</v>
      </c>
      <c r="AE70" s="509">
        <f>'Dwelling stock'!R21</f>
        <v>28.426152223949444</v>
      </c>
      <c r="AF70" s="509">
        <f>'Dwelling stock'!R22</f>
        <v>17.314512557475691</v>
      </c>
      <c r="AG70" s="509">
        <f>'Dwelling stock'!R23</f>
        <v>6774.6830123077498</v>
      </c>
      <c r="AH70" s="509">
        <f>'Dwelling stock'!R24</f>
        <v>101.68471925836</v>
      </c>
      <c r="AI70" s="509">
        <f>'Dwelling stock'!R25</f>
        <v>274.29610281756123</v>
      </c>
      <c r="AJ70" s="509">
        <f>'Dwelling stock'!R26</f>
        <v>17.707211936170214</v>
      </c>
      <c r="AK70" s="509">
        <f>'Dwelling stock'!R27</f>
        <v>173.20295378351014</v>
      </c>
      <c r="AL70" s="509">
        <f>'Dwelling stock'!R28</f>
        <v>36.644488308783671</v>
      </c>
      <c r="AM70" s="509">
        <f>'Dwelling stock'!R29</f>
        <v>94.931270893150014</v>
      </c>
      <c r="AN70" s="509">
        <f>'Dwelling stock'!R30</f>
        <v>8.0967860205301729</v>
      </c>
      <c r="AO70" s="509">
        <f>'Dwelling stock'!R31</f>
        <v>540.21171597759201</v>
      </c>
      <c r="AP70" s="509">
        <f>'Dwelling stock'!R32</f>
        <v>335.17517555977088</v>
      </c>
      <c r="AQ70" s="509">
        <f>'Dwelling stock'!R33</f>
        <v>1815.4020952512292</v>
      </c>
      <c r="AR70" s="509">
        <f>'Dwelling stock'!R34</f>
        <v>285.22065045017092</v>
      </c>
      <c r="AS70" s="509">
        <f>'Dwelling stock'!R35</f>
        <v>954.79116533699994</v>
      </c>
      <c r="AT70" s="509">
        <f>'Dwelling stock'!R36</f>
        <v>347.84540686434332</v>
      </c>
      <c r="AU70" s="509">
        <f>'Dwelling stock'!R37</f>
        <v>710.7822987937368</v>
      </c>
      <c r="AV70" s="509">
        <f>'Dwelling stock'!R38</f>
        <v>104.11454124166788</v>
      </c>
      <c r="AW70" s="509">
        <f>'Dwelling stock'!R39</f>
        <v>272.68034493927127</v>
      </c>
      <c r="AX70" s="509">
        <f>'Dwelling stock'!R40</f>
        <v>1222.398110288827</v>
      </c>
    </row>
    <row r="71" spans="1:50">
      <c r="A71" s="162"/>
      <c r="K71" s="2" t="s">
        <v>640</v>
      </c>
      <c r="L71" s="2">
        <v>1957</v>
      </c>
      <c r="N71" s="509">
        <f>'Dwelling stock'!S4</f>
        <v>83.311308216858961</v>
      </c>
      <c r="O71" s="509">
        <f>'Dwelling stock'!S5</f>
        <v>356.11906135009821</v>
      </c>
      <c r="P71" s="509">
        <f>'Dwelling stock'!S6</f>
        <v>149.34185616924091</v>
      </c>
      <c r="Q71" s="509">
        <f>'Dwelling stock'!S7</f>
        <v>274.56919262262369</v>
      </c>
      <c r="R71" s="509">
        <f>'Dwelling stock'!S8</f>
        <v>321.89590197879232</v>
      </c>
      <c r="S71" s="509">
        <f>'Dwelling stock'!S9</f>
        <v>275.8730113662948</v>
      </c>
      <c r="T71" s="509">
        <f>'Dwelling stock'!S10</f>
        <v>10.733837793964945</v>
      </c>
      <c r="U71" s="509">
        <f>'Dwelling stock'!S11</f>
        <v>349.65012592567479</v>
      </c>
      <c r="V71" s="509">
        <f>'Dwelling stock'!S12</f>
        <v>2900.2060718658772</v>
      </c>
      <c r="W71" s="509">
        <f>'Dwelling stock'!S13</f>
        <v>267.58382879461351</v>
      </c>
      <c r="X71" s="509">
        <f>'Dwelling stock'!S14</f>
        <v>30.955961982230814</v>
      </c>
      <c r="Y71" s="509">
        <f>'Dwelling stock'!S15</f>
        <v>301.22872148548709</v>
      </c>
      <c r="Z71" s="509">
        <f>'Dwelling stock'!S16</f>
        <v>357.91649546323816</v>
      </c>
      <c r="AA71" s="509">
        <f>'Dwelling stock'!S17</f>
        <v>204.21026210127249</v>
      </c>
      <c r="AB71" s="509">
        <f>'Dwelling stock'!S18</f>
        <v>1453.261063473054</v>
      </c>
      <c r="AC71" s="509">
        <f>'Dwelling stock'!S19</f>
        <v>185.76102439847986</v>
      </c>
      <c r="AD71" s="509">
        <f>'Dwelling stock'!S20</f>
        <v>465.37258497292464</v>
      </c>
      <c r="AE71" s="509">
        <f>'Dwelling stock'!S21</f>
        <v>89.335354299818349</v>
      </c>
      <c r="AF71" s="509">
        <f>'Dwelling stock'!S22</f>
        <v>11.235643591743999</v>
      </c>
      <c r="AG71" s="509">
        <f>'Dwelling stock'!S23</f>
        <v>839.21429400784496</v>
      </c>
      <c r="AH71" s="509">
        <f>'Dwelling stock'!S24</f>
        <v>83.654177313654912</v>
      </c>
      <c r="AI71" s="509">
        <f>'Dwelling stock'!S25</f>
        <v>98.531254340034806</v>
      </c>
      <c r="AJ71" s="509">
        <f>'Dwelling stock'!S26</f>
        <v>13.621891817046759</v>
      </c>
      <c r="AK71" s="509">
        <f>'Dwelling stock'!S27</f>
        <v>55.412201898525339</v>
      </c>
      <c r="AL71" s="509">
        <f>'Dwelling stock'!S28</f>
        <v>15.905757190655534</v>
      </c>
      <c r="AM71" s="509">
        <f>'Dwelling stock'!S29</f>
        <v>68.70701119624087</v>
      </c>
      <c r="AN71" s="509">
        <f>'Dwelling stock'!S30</f>
        <v>1.7685648856066809</v>
      </c>
      <c r="AO71" s="509">
        <f>'Dwelling stock'!S31</f>
        <v>198.68143439767087</v>
      </c>
      <c r="AP71" s="509">
        <f>'Dwelling stock'!S32</f>
        <v>134.92786304394681</v>
      </c>
      <c r="AQ71" s="509">
        <f>'Dwelling stock'!S33</f>
        <v>896.32414984260026</v>
      </c>
      <c r="AR71" s="509">
        <f>'Dwelling stock'!S34</f>
        <v>227.10518004120016</v>
      </c>
      <c r="AS71" s="509">
        <f>'Dwelling stock'!S35</f>
        <v>979.2660607462152</v>
      </c>
      <c r="AT71" s="509">
        <f>'Dwelling stock'!S36</f>
        <v>286.16611773924791</v>
      </c>
      <c r="AU71" s="509">
        <f>'Dwelling stock'!S37</f>
        <v>345.2395176392244</v>
      </c>
      <c r="AV71" s="509">
        <f>'Dwelling stock'!S38</f>
        <v>44.014402953294862</v>
      </c>
      <c r="AW71" s="509">
        <f>'Dwelling stock'!S39</f>
        <v>202.74008566842264</v>
      </c>
      <c r="AX71" s="509">
        <f>'Dwelling stock'!S40</f>
        <v>1185.9120286811417</v>
      </c>
    </row>
    <row r="72" spans="1:50">
      <c r="A72" s="162"/>
      <c r="C72" s="526" t="s">
        <v>58</v>
      </c>
      <c r="D72" s="526" t="s">
        <v>639</v>
      </c>
      <c r="E72" s="2" t="s">
        <v>628</v>
      </c>
      <c r="K72" s="2" t="s">
        <v>641</v>
      </c>
      <c r="L72" s="2">
        <v>1957</v>
      </c>
      <c r="N72" s="509">
        <f>'Dwelling stock'!T4</f>
        <v>47.105926608597841</v>
      </c>
      <c r="O72" s="509">
        <f>'Dwelling stock'!T5</f>
        <v>165.03078452809439</v>
      </c>
      <c r="P72" s="509">
        <f>'Dwelling stock'!T6</f>
        <v>53.445972498923489</v>
      </c>
      <c r="Q72" s="509">
        <f>'Dwelling stock'!T7</f>
        <v>458.10870682858234</v>
      </c>
      <c r="R72" s="509">
        <f>'Dwelling stock'!T8</f>
        <v>174.94342498847413</v>
      </c>
      <c r="S72" s="509">
        <f>'Dwelling stock'!T9</f>
        <v>309.48779006218803</v>
      </c>
      <c r="T72" s="509">
        <f>'Dwelling stock'!T10</f>
        <v>10.962217321496114</v>
      </c>
      <c r="U72" s="509">
        <f>'Dwelling stock'!T11</f>
        <v>207.2522923833636</v>
      </c>
      <c r="V72" s="509">
        <f>'Dwelling stock'!T12</f>
        <v>3032.0336205870531</v>
      </c>
      <c r="W72" s="509">
        <f>'Dwelling stock'!T13</f>
        <v>142.46144300098516</v>
      </c>
      <c r="X72" s="509">
        <f>'Dwelling stock'!T14</f>
        <v>14.361281020279904</v>
      </c>
      <c r="Y72" s="509">
        <f>'Dwelling stock'!T15</f>
        <v>170.32091261562596</v>
      </c>
      <c r="Z72" s="509">
        <f>'Dwelling stock'!T16</f>
        <v>793.46928957475188</v>
      </c>
      <c r="AA72" s="509">
        <f>'Dwelling stock'!T17</f>
        <v>154.34748094201046</v>
      </c>
      <c r="AB72" s="509">
        <f>'Dwelling stock'!T18</f>
        <v>1292.1529365269462</v>
      </c>
      <c r="AC72" s="509">
        <f>'Dwelling stock'!T19</f>
        <v>66.479544690551833</v>
      </c>
      <c r="AD72" s="509">
        <f>'Dwelling stock'!T20</f>
        <v>171.87469491957785</v>
      </c>
      <c r="AE72" s="509">
        <f>'Dwelling stock'!T21</f>
        <v>134.37514347623221</v>
      </c>
      <c r="AF72" s="509">
        <f>'Dwelling stock'!T22</f>
        <v>10.495185704609007</v>
      </c>
      <c r="AG72" s="509">
        <f>'Dwelling stock'!T23</f>
        <v>1492.4663296844055</v>
      </c>
      <c r="AH72" s="509">
        <f>'Dwelling stock'!T24</f>
        <v>29.937881949578543</v>
      </c>
      <c r="AI72" s="509">
        <f>'Dwelling stock'!T25</f>
        <v>49.82546384240397</v>
      </c>
      <c r="AJ72" s="509">
        <f>'Dwelling stock'!T26</f>
        <v>17.626129246783027</v>
      </c>
      <c r="AK72" s="509">
        <f>'Dwelling stock'!T27</f>
        <v>22.130030317964515</v>
      </c>
      <c r="AL72" s="509">
        <f>'Dwelling stock'!T28</f>
        <v>8.9934421498566355</v>
      </c>
      <c r="AM72" s="509">
        <f>'Dwelling stock'!T29</f>
        <v>37.340766954478738</v>
      </c>
      <c r="AN72" s="509">
        <f>'Dwelling stock'!T30</f>
        <v>22.598329093863143</v>
      </c>
      <c r="AO72" s="509">
        <f>'Dwelling stock'!T31</f>
        <v>1049.2096736247372</v>
      </c>
      <c r="AP72" s="509">
        <f>'Dwelling stock'!T32</f>
        <v>105.97505552916252</v>
      </c>
      <c r="AQ72" s="509">
        <f>'Dwelling stock'!T33</f>
        <v>336.35067790617035</v>
      </c>
      <c r="AR72" s="509">
        <f>'Dwelling stock'!T34</f>
        <v>183.33429250862898</v>
      </c>
      <c r="AS72" s="509">
        <f>'Dwelling stock'!T35</f>
        <v>281.23550091678493</v>
      </c>
      <c r="AT72" s="509">
        <f>'Dwelling stock'!T36</f>
        <v>102.41218939640885</v>
      </c>
      <c r="AU72" s="509">
        <f>'Dwelling stock'!T37</f>
        <v>165.62627056703889</v>
      </c>
      <c r="AV72" s="509">
        <f>'Dwelling stock'!T38</f>
        <v>14.638423805037259</v>
      </c>
      <c r="AW72" s="509">
        <f>'Dwelling stock'!T39</f>
        <v>60.33447439230612</v>
      </c>
      <c r="AX72" s="509">
        <f>'Dwelling stock'!T40</f>
        <v>4117.1987690300311</v>
      </c>
    </row>
    <row r="73" spans="1:50">
      <c r="A73" s="162"/>
      <c r="C73" s="526" t="s">
        <v>59</v>
      </c>
      <c r="D73" s="526" t="s">
        <v>640</v>
      </c>
      <c r="E73" s="2" t="s">
        <v>632</v>
      </c>
      <c r="K73" s="2" t="s">
        <v>639</v>
      </c>
      <c r="L73" s="2">
        <v>1974</v>
      </c>
      <c r="N73" s="509">
        <f>'Dwelling stock'!U4</f>
        <v>152.9384031498299</v>
      </c>
      <c r="O73" s="509">
        <f>'Dwelling stock'!U5</f>
        <v>265.00259735559922</v>
      </c>
      <c r="P73" s="509">
        <f>'Dwelling stock'!U6</f>
        <v>135.53199998502913</v>
      </c>
      <c r="Q73" s="509">
        <f>'Dwelling stock'!U7</f>
        <v>141.57894179730027</v>
      </c>
      <c r="R73" s="509">
        <f>'Dwelling stock'!U8</f>
        <v>235.09046348242146</v>
      </c>
      <c r="S73" s="509">
        <f>'Dwelling stock'!U9</f>
        <v>278.01516834739789</v>
      </c>
      <c r="T73" s="509">
        <f>'Dwelling stock'!U10</f>
        <v>11.468502244637412</v>
      </c>
      <c r="U73" s="509">
        <f>'Dwelling stock'!U11</f>
        <v>308.0105691065101</v>
      </c>
      <c r="V73" s="509">
        <f>'Dwelling stock'!U12</f>
        <v>3577.4769678543789</v>
      </c>
      <c r="W73" s="509">
        <f>'Dwelling stock'!U13</f>
        <v>176.77417608504288</v>
      </c>
      <c r="X73" s="509">
        <f>'Dwelling stock'!U14</f>
        <v>105.1121772319657</v>
      </c>
      <c r="Y73" s="509">
        <f>'Dwelling stock'!U15</f>
        <v>552.97942899824238</v>
      </c>
      <c r="Z73" s="509">
        <f>'Dwelling stock'!U16</f>
        <v>2257.564510503491</v>
      </c>
      <c r="AA73" s="509">
        <f>'Dwelling stock'!U17</f>
        <v>226.93505876276029</v>
      </c>
      <c r="AB73" s="509">
        <f>'Dwelling stock'!U18</f>
        <v>2343.409095381699</v>
      </c>
      <c r="AC73" s="509">
        <f>'Dwelling stock'!U19</f>
        <v>113.92735707285915</v>
      </c>
      <c r="AD73" s="509">
        <f>'Dwelling stock'!U20</f>
        <v>238.80967110302882</v>
      </c>
      <c r="AE73" s="509">
        <f>'Dwelling stock'!U21</f>
        <v>24.022171570852088</v>
      </c>
      <c r="AF73" s="509">
        <f>'Dwelling stock'!U22</f>
        <v>13.753675995043519</v>
      </c>
      <c r="AG73" s="509">
        <f>'Dwelling stock'!U23</f>
        <v>3832.8595945806114</v>
      </c>
      <c r="AH73" s="509">
        <f>'Dwelling stock'!U24</f>
        <v>75.918555247990057</v>
      </c>
      <c r="AI73" s="509">
        <f>'Dwelling stock'!U25</f>
        <v>180.5584525040924</v>
      </c>
      <c r="AJ73" s="509">
        <f>'Dwelling stock'!U26</f>
        <v>9.5621806170212764</v>
      </c>
      <c r="AK73" s="509">
        <f>'Dwelling stock'!U27</f>
        <v>140.02687112524131</v>
      </c>
      <c r="AL73" s="509">
        <f>'Dwelling stock'!U28</f>
        <v>27.359043035131332</v>
      </c>
      <c r="AM73" s="509">
        <f>'Dwelling stock'!U29</f>
        <v>55.040203487680984</v>
      </c>
      <c r="AN73" s="509">
        <f>'Dwelling stock'!U30</f>
        <v>5.3202274653130281</v>
      </c>
      <c r="AO73" s="509">
        <f>'Dwelling stock'!U31</f>
        <v>332.83444609770106</v>
      </c>
      <c r="AP73" s="509">
        <f>'Dwelling stock'!U32</f>
        <v>215.15246371622854</v>
      </c>
      <c r="AQ73" s="509">
        <f>'Dwelling stock'!U33</f>
        <v>1043.3336324719116</v>
      </c>
      <c r="AR73" s="509">
        <f>'Dwelling stock'!U34</f>
        <v>319.64996421260577</v>
      </c>
      <c r="AS73" s="509">
        <f>'Dwelling stock'!U35</f>
        <v>688.83423066299997</v>
      </c>
      <c r="AT73" s="509">
        <f>'Dwelling stock'!U36</f>
        <v>259.70392534293302</v>
      </c>
      <c r="AU73" s="509">
        <f>'Dwelling stock'!U37</f>
        <v>386.78670753520134</v>
      </c>
      <c r="AV73" s="509">
        <f>'Dwelling stock'!U38</f>
        <v>89.629814264805177</v>
      </c>
      <c r="AW73" s="509">
        <f>'Dwelling stock'!U39</f>
        <v>111.61335504916136</v>
      </c>
      <c r="AX73" s="509">
        <f>'Dwelling stock'!U40</f>
        <v>537.03108459066505</v>
      </c>
    </row>
    <row r="74" spans="1:50">
      <c r="A74" s="162"/>
      <c r="C74" s="526" t="s">
        <v>60</v>
      </c>
      <c r="D74" s="526" t="s">
        <v>641</v>
      </c>
      <c r="E74" s="2" t="s">
        <v>633</v>
      </c>
      <c r="K74" s="2" t="s">
        <v>640</v>
      </c>
      <c r="L74" s="2">
        <v>1974</v>
      </c>
      <c r="N74" s="509">
        <f>'Dwelling stock'!V4</f>
        <v>66.383819720159323</v>
      </c>
      <c r="O74" s="509">
        <f>'Dwelling stock'!V5</f>
        <v>183.23236244034049</v>
      </c>
      <c r="P74" s="509">
        <f>'Dwelling stock'!V6</f>
        <v>111.49972228978508</v>
      </c>
      <c r="Q74" s="509">
        <f>'Dwelling stock'!V7</f>
        <v>148.59348069818344</v>
      </c>
      <c r="R74" s="509">
        <f>'Dwelling stock'!V8</f>
        <v>186.6320315747692</v>
      </c>
      <c r="S74" s="509">
        <f>'Dwelling stock'!V9</f>
        <v>141.94371796482656</v>
      </c>
      <c r="T74" s="509">
        <f>'Dwelling stock'!V10</f>
        <v>14.530695510547806</v>
      </c>
      <c r="U74" s="509">
        <f>'Dwelling stock'!V11</f>
        <v>143.27009467743164</v>
      </c>
      <c r="V74" s="509">
        <f>'Dwelling stock'!V12</f>
        <v>1494.9056785156374</v>
      </c>
      <c r="W74" s="509">
        <f>'Dwelling stock'!V13</f>
        <v>165.29031695707485</v>
      </c>
      <c r="X74" s="509">
        <f>'Dwelling stock'!V14</f>
        <v>24.045370170485317</v>
      </c>
      <c r="Y74" s="509">
        <f>'Dwelling stock'!V15</f>
        <v>240.02399637724213</v>
      </c>
      <c r="Z74" s="509">
        <f>'Dwelling stock'!V16</f>
        <v>295.51236124234345</v>
      </c>
      <c r="AA74" s="509">
        <f>'Dwelling stock'!V17</f>
        <v>162.21315907568888</v>
      </c>
      <c r="AB74" s="509">
        <f>'Dwelling stock'!V18</f>
        <v>1605.2465782338793</v>
      </c>
      <c r="AC74" s="509">
        <f>'Dwelling stock'!V19</f>
        <v>143.49268100561193</v>
      </c>
      <c r="AD74" s="509">
        <f>'Dwelling stock'!V20</f>
        <v>279.10641896933095</v>
      </c>
      <c r="AE74" s="509">
        <f>'Dwelling stock'!V21</f>
        <v>75.494889052378838</v>
      </c>
      <c r="AF74" s="509">
        <f>'Dwelling stock'!V22</f>
        <v>8.92496401753532</v>
      </c>
      <c r="AG74" s="509">
        <f>'Dwelling stock'!V23</f>
        <v>474.79572887078194</v>
      </c>
      <c r="AH74" s="509">
        <f>'Dwelling stock'!V24</f>
        <v>62.456820734052698</v>
      </c>
      <c r="AI74" s="509">
        <f>'Dwelling stock'!V25</f>
        <v>64.859291197282047</v>
      </c>
      <c r="AJ74" s="509">
        <f>'Dwelling stock'!V26</f>
        <v>7.3560417286278508</v>
      </c>
      <c r="AK74" s="509">
        <f>'Dwelling stock'!V27</f>
        <v>44.798296359939897</v>
      </c>
      <c r="AL74" s="509">
        <f>'Dwelling stock'!V28</f>
        <v>11.87535467322067</v>
      </c>
      <c r="AM74" s="509">
        <f>'Dwelling stock'!V29</f>
        <v>39.835639423050715</v>
      </c>
      <c r="AN74" s="509">
        <f>'Dwelling stock'!V30</f>
        <v>1.1620867162272803</v>
      </c>
      <c r="AO74" s="509">
        <f>'Dwelling stock'!V31</f>
        <v>122.41131247584514</v>
      </c>
      <c r="AP74" s="509">
        <f>'Dwelling stock'!V32</f>
        <v>86.6116117024131</v>
      </c>
      <c r="AQ74" s="509">
        <f>'Dwelling stock'!V33</f>
        <v>515.12837490592563</v>
      </c>
      <c r="AR74" s="509">
        <f>'Dwelling stock'!V34</f>
        <v>254.51930832529072</v>
      </c>
      <c r="AS74" s="509">
        <f>'Dwelling stock'!V35</f>
        <v>706.49164765827936</v>
      </c>
      <c r="AT74" s="509">
        <f>'Dwelling stock'!V36</f>
        <v>213.6537168823798</v>
      </c>
      <c r="AU74" s="509">
        <f>'Dwelling stock'!V37</f>
        <v>187.86913597220456</v>
      </c>
      <c r="AV74" s="509">
        <f>'Dwelling stock'!V38</f>
        <v>37.890987316777171</v>
      </c>
      <c r="AW74" s="509">
        <f>'Dwelling stock'!V39</f>
        <v>82.985450122731237</v>
      </c>
      <c r="AX74" s="509">
        <f>'Dwelling stock'!V40</f>
        <v>521.00180590206412</v>
      </c>
    </row>
    <row r="75" spans="1:50">
      <c r="A75" s="162"/>
      <c r="D75" s="488"/>
      <c r="E75" s="558"/>
      <c r="K75" s="2" t="s">
        <v>641</v>
      </c>
      <c r="L75" s="2">
        <v>1974</v>
      </c>
      <c r="N75" s="509">
        <f>'Dwelling stock'!W4</f>
        <v>37.534776570744306</v>
      </c>
      <c r="O75" s="509">
        <f>'Dwelling stock'!W5</f>
        <v>84.912558204060275</v>
      </c>
      <c r="P75" s="509">
        <f>'Dwelling stock'!W6</f>
        <v>39.903154038638803</v>
      </c>
      <c r="Q75" s="509">
        <f>'Dwelling stock'!W7</f>
        <v>247.92281550451628</v>
      </c>
      <c r="R75" s="509">
        <f>'Dwelling stock'!W8</f>
        <v>101.43045194280938</v>
      </c>
      <c r="S75" s="509">
        <f>'Dwelling stock'!W9</f>
        <v>159.23938107818785</v>
      </c>
      <c r="T75" s="509">
        <f>'Dwelling stock'!W10</f>
        <v>14.839859244814781</v>
      </c>
      <c r="U75" s="509">
        <f>'Dwelling stock'!W11</f>
        <v>84.922193216058247</v>
      </c>
      <c r="V75" s="509">
        <f>'Dwelling stock'!W12</f>
        <v>1562.8559366299846</v>
      </c>
      <c r="W75" s="509">
        <f>'Dwelling stock'!W13</f>
        <v>88.000448957882242</v>
      </c>
      <c r="X75" s="509">
        <f>'Dwelling stock'!W14</f>
        <v>11.15527659754898</v>
      </c>
      <c r="Y75" s="509">
        <f>'Dwelling stock'!W15</f>
        <v>135.71450262451546</v>
      </c>
      <c r="Z75" s="509">
        <f>'Dwelling stock'!W16</f>
        <v>655.12483025416543</v>
      </c>
      <c r="AA75" s="509">
        <f>'Dwelling stock'!W17</f>
        <v>122.6049671615508</v>
      </c>
      <c r="AB75" s="509">
        <f>'Dwelling stock'!W18</f>
        <v>1427.289378384422</v>
      </c>
      <c r="AC75" s="509">
        <f>'Dwelling stock'!W19</f>
        <v>51.352688921528895</v>
      </c>
      <c r="AD75" s="509">
        <f>'Dwelling stock'!W20</f>
        <v>103.08155692764026</v>
      </c>
      <c r="AE75" s="509">
        <f>'Dwelling stock'!W21</f>
        <v>113.55679537676909</v>
      </c>
      <c r="AF75" s="509">
        <f>'Dwelling stock'!W22</f>
        <v>8.3367858731132198</v>
      </c>
      <c r="AG75" s="509">
        <f>'Dwelling stock'!W23</f>
        <v>844.38104054860628</v>
      </c>
      <c r="AH75" s="509">
        <f>'Dwelling stock'!W24</f>
        <v>22.351841666809946</v>
      </c>
      <c r="AI75" s="509">
        <f>'Dwelling stock'!W25</f>
        <v>32.798164298625586</v>
      </c>
      <c r="AJ75" s="509">
        <f>'Dwelling stock'!W26</f>
        <v>9.5183946543508711</v>
      </c>
      <c r="AK75" s="509">
        <f>'Dwelling stock'!W27</f>
        <v>17.891143514818761</v>
      </c>
      <c r="AL75" s="509">
        <f>'Dwelling stock'!W28</f>
        <v>6.7145696984098198</v>
      </c>
      <c r="AM75" s="509">
        <f>'Dwelling stock'!W29</f>
        <v>21.64980403426669</v>
      </c>
      <c r="AN75" s="509">
        <f>'Dwelling stock'!W30</f>
        <v>14.84888581845969</v>
      </c>
      <c r="AO75" s="509">
        <f>'Dwelling stock'!W31</f>
        <v>646.43751742645384</v>
      </c>
      <c r="AP75" s="509">
        <f>'Dwelling stock'!W32</f>
        <v>68.026500624588877</v>
      </c>
      <c r="AQ75" s="509">
        <f>'Dwelling stock'!W33</f>
        <v>193.30481962216246</v>
      </c>
      <c r="AR75" s="509">
        <f>'Dwelling stock'!W34</f>
        <v>205.46478646210355</v>
      </c>
      <c r="AS75" s="509">
        <f>'Dwelling stock'!W35</f>
        <v>202.89739467872073</v>
      </c>
      <c r="AT75" s="509">
        <f>'Dwelling stock'!W36</f>
        <v>76.461689774687244</v>
      </c>
      <c r="AU75" s="509">
        <f>'Dwelling stock'!W37</f>
        <v>90.128918492594138</v>
      </c>
      <c r="AV75" s="509">
        <f>'Dwelling stock'!W38</f>
        <v>12.601882418417636</v>
      </c>
      <c r="AW75" s="509">
        <f>'Dwelling stock'!W39</f>
        <v>24.696070828107388</v>
      </c>
      <c r="AX75" s="509">
        <f>'Dwelling stock'!W40</f>
        <v>1808.7918345072708</v>
      </c>
    </row>
    <row r="76" spans="1:50">
      <c r="A76" s="162"/>
      <c r="D76" s="488"/>
      <c r="E76" s="558"/>
      <c r="K76" s="2" t="s">
        <v>639</v>
      </c>
      <c r="L76" s="2">
        <v>1984</v>
      </c>
      <c r="N76" s="509">
        <f>'Dwelling stock'!X4</f>
        <v>117.07257224847828</v>
      </c>
      <c r="O76" s="509">
        <f>'Dwelling stock'!X5</f>
        <v>210.26379918467583</v>
      </c>
      <c r="P76" s="509">
        <f>'Dwelling stock'!X6</f>
        <v>114.54587565682624</v>
      </c>
      <c r="Q76" s="509">
        <f>'Dwelling stock'!X7</f>
        <v>141.57894179730027</v>
      </c>
      <c r="R76" s="509">
        <f>'Dwelling stock'!X8</f>
        <v>221.53421622439518</v>
      </c>
      <c r="S76" s="509">
        <f>'Dwelling stock'!X9</f>
        <v>220.58850030533858</v>
      </c>
      <c r="T76" s="509">
        <f>'Dwelling stock'!X10</f>
        <v>16.556208223280315</v>
      </c>
      <c r="U76" s="509">
        <f>'Dwelling stock'!X11</f>
        <v>357.01365906868517</v>
      </c>
      <c r="V76" s="509">
        <f>'Dwelling stock'!X12</f>
        <v>2493.4227862575094</v>
      </c>
      <c r="W76" s="509">
        <f>'Dwelling stock'!X13</f>
        <v>72.405306119358457</v>
      </c>
      <c r="X76" s="509">
        <f>'Dwelling stock'!X14</f>
        <v>98.852387248851798</v>
      </c>
      <c r="Y76" s="509">
        <f>'Dwelling stock'!X15</f>
        <v>423.29933371866127</v>
      </c>
      <c r="Z76" s="509">
        <f>'Dwelling stock'!X16</f>
        <v>1430.3689982425908</v>
      </c>
      <c r="AA76" s="509">
        <f>'Dwelling stock'!X17</f>
        <v>179.81601137443855</v>
      </c>
      <c r="AB76" s="509">
        <f>'Dwelling stock'!X18</f>
        <v>1726.9517110401723</v>
      </c>
      <c r="AC76" s="509">
        <f>'Dwelling stock'!X19</f>
        <v>90.323446900269545</v>
      </c>
      <c r="AD76" s="509">
        <f>'Dwelling stock'!X20</f>
        <v>324.64061636022842</v>
      </c>
      <c r="AE76" s="509">
        <f>'Dwelling stock'!X21</f>
        <v>20.906358275172671</v>
      </c>
      <c r="AF76" s="509">
        <f>'Dwelling stock'!X22</f>
        <v>10.897968664024354</v>
      </c>
      <c r="AG76" s="509">
        <f>'Dwelling stock'!X23</f>
        <v>2776.5717413895486</v>
      </c>
      <c r="AH76" s="509">
        <f>'Dwelling stock'!X24</f>
        <v>64.163130407894386</v>
      </c>
      <c r="AI76" s="509">
        <f>'Dwelling stock'!X25</f>
        <v>180.5584525040924</v>
      </c>
      <c r="AJ76" s="509">
        <f>'Dwelling stock'!X26</f>
        <v>7.4320838723404261</v>
      </c>
      <c r="AK76" s="509">
        <f>'Dwelling stock'!X27</f>
        <v>135.16701031962145</v>
      </c>
      <c r="AL76" s="509">
        <f>'Dwelling stock'!X28</f>
        <v>23.122698270062266</v>
      </c>
      <c r="AM76" s="509">
        <f>'Dwelling stock'!X29</f>
        <v>51.866367354311528</v>
      </c>
      <c r="AN76" s="509">
        <f>'Dwelling stock'!X30</f>
        <v>6.1111084890016913</v>
      </c>
      <c r="AO76" s="509">
        <f>'Dwelling stock'!X31</f>
        <v>323.73835075595912</v>
      </c>
      <c r="AP76" s="509">
        <f>'Dwelling stock'!X32</f>
        <v>180.96621905997586</v>
      </c>
      <c r="AQ76" s="509">
        <f>'Dwelling stock'!X33</f>
        <v>1078.5750540157949</v>
      </c>
      <c r="AR76" s="509">
        <f>'Dwelling stock'!X34</f>
        <v>273.20339136932103</v>
      </c>
      <c r="AS76" s="509">
        <f>'Dwelling stock'!X35</f>
        <v>942.38753400000007</v>
      </c>
      <c r="AT76" s="509">
        <f>'Dwelling stock'!X36</f>
        <v>219.49069993217293</v>
      </c>
      <c r="AU76" s="509">
        <f>'Dwelling stock'!X37</f>
        <v>266.44956783023309</v>
      </c>
      <c r="AV76" s="509">
        <f>'Dwelling stock'!X38</f>
        <v>48.691389510087625</v>
      </c>
      <c r="AW76" s="509">
        <f>'Dwelling stock'!X39</f>
        <v>129.46979234239444</v>
      </c>
      <c r="AX76" s="509">
        <f>'Dwelling stock'!X40</f>
        <v>381.28805308539404</v>
      </c>
    </row>
    <row r="77" spans="1:50">
      <c r="A77" s="162"/>
      <c r="D77" s="488"/>
      <c r="E77" s="558"/>
      <c r="K77" s="2" t="s">
        <v>640</v>
      </c>
      <c r="L77" s="2">
        <v>1984</v>
      </c>
      <c r="N77" s="509">
        <f>'Dwelling stock'!Y4</f>
        <v>50.816043389079638</v>
      </c>
      <c r="O77" s="509">
        <f>'Dwelling stock'!Y5</f>
        <v>145.38398130713816</v>
      </c>
      <c r="P77" s="509">
        <f>'Dwelling stock'!Y6</f>
        <v>94.234817803818714</v>
      </c>
      <c r="Q77" s="509">
        <f>'Dwelling stock'!Y7</f>
        <v>148.59348069818344</v>
      </c>
      <c r="R77" s="509">
        <f>'Dwelling stock'!Y8</f>
        <v>175.87008943208198</v>
      </c>
      <c r="S77" s="509">
        <f>'Dwelling stock'!Y9</f>
        <v>112.62389768064644</v>
      </c>
      <c r="T77" s="509">
        <f>'Dwelling stock'!Y10</f>
        <v>20.976864752692897</v>
      </c>
      <c r="U77" s="509">
        <f>'Dwelling stock'!Y11</f>
        <v>166.06371945054707</v>
      </c>
      <c r="V77" s="509">
        <f>'Dwelling stock'!Y12</f>
        <v>1041.9163884518846</v>
      </c>
      <c r="W77" s="509">
        <f>'Dwelling stock'!Y13</f>
        <v>67.701608135824372</v>
      </c>
      <c r="X77" s="509">
        <f>'Dwelling stock'!Y14</f>
        <v>22.613386062675442</v>
      </c>
      <c r="Y77" s="509">
        <f>'Dwelling stock'!Y15</f>
        <v>183.73558294389989</v>
      </c>
      <c r="Z77" s="509">
        <f>'Dwelling stock'!Y16</f>
        <v>187.23350679544612</v>
      </c>
      <c r="AA77" s="509">
        <f>'Dwelling stock'!Y17</f>
        <v>128.5324683478311</v>
      </c>
      <c r="AB77" s="509">
        <f>'Dwelling stock'!Y18</f>
        <v>1182.9702847811304</v>
      </c>
      <c r="AC77" s="509">
        <f>'Dwelling stock'!Y19</f>
        <v>113.76331274936017</v>
      </c>
      <c r="AD77" s="509">
        <f>'Dwelling stock'!Y20</f>
        <v>379.42047935407322</v>
      </c>
      <c r="AE77" s="509">
        <f>'Dwelling stock'!Y21</f>
        <v>65.702769369466225</v>
      </c>
      <c r="AF77" s="509">
        <f>'Dwelling stock'!Y22</f>
        <v>7.0718532431399668</v>
      </c>
      <c r="AG77" s="509">
        <f>'Dwelling stock'!Y23</f>
        <v>343.94800309905816</v>
      </c>
      <c r="AH77" s="509">
        <f>'Dwelling stock'!Y24</f>
        <v>52.785845575316081</v>
      </c>
      <c r="AI77" s="509">
        <f>'Dwelling stock'!Y25</f>
        <v>64.859291197282047</v>
      </c>
      <c r="AJ77" s="509">
        <f>'Dwelling stock'!Y26</f>
        <v>5.7173903406803417</v>
      </c>
      <c r="AK77" s="509">
        <f>'Dwelling stock'!Y27</f>
        <v>43.243498463731179</v>
      </c>
      <c r="AL77" s="509">
        <f>'Dwelling stock'!Y28</f>
        <v>10.036544136659248</v>
      </c>
      <c r="AM77" s="509">
        <f>'Dwelling stock'!Y29</f>
        <v>37.538558675065232</v>
      </c>
      <c r="AN77" s="509">
        <f>'Dwelling stock'!Y30</f>
        <v>1.334837287088587</v>
      </c>
      <c r="AO77" s="509">
        <f>'Dwelling stock'!Y31</f>
        <v>119.06591063344928</v>
      </c>
      <c r="AP77" s="509">
        <f>'Dwelling stock'!Y32</f>
        <v>72.84962312655226</v>
      </c>
      <c r="AQ77" s="509">
        <f>'Dwelling stock'!Y33</f>
        <v>532.52823209855194</v>
      </c>
      <c r="AR77" s="509">
        <f>'Dwelling stock'!Y34</f>
        <v>217.53651177384077</v>
      </c>
      <c r="AS77" s="509">
        <f>'Dwelling stock'!Y35</f>
        <v>966.54447759871596</v>
      </c>
      <c r="AT77" s="509">
        <f>'Dwelling stock'!Y36</f>
        <v>180.57102448374658</v>
      </c>
      <c r="AU77" s="509">
        <f>'Dwelling stock'!Y37</f>
        <v>129.419261606547</v>
      </c>
      <c r="AV77" s="509">
        <f>'Dwelling stock'!Y38</f>
        <v>20.584275862852557</v>
      </c>
      <c r="AW77" s="509">
        <f>'Dwelling stock'!Y39</f>
        <v>96.261858539220341</v>
      </c>
      <c r="AX77" s="509">
        <f>'Dwelling stock'!Y40</f>
        <v>369.90738511493879</v>
      </c>
    </row>
    <row r="78" spans="1:50">
      <c r="A78" s="162"/>
      <c r="K78" s="2" t="s">
        <v>641</v>
      </c>
      <c r="L78" s="2">
        <v>1984</v>
      </c>
      <c r="N78" s="509">
        <f>'Dwelling stock'!Z4</f>
        <v>28.732435748031019</v>
      </c>
      <c r="O78" s="509">
        <f>'Dwelling stock'!Z5</f>
        <v>67.373064508186019</v>
      </c>
      <c r="P78" s="509">
        <f>'Dwelling stock'!Z6</f>
        <v>33.724446782530975</v>
      </c>
      <c r="Q78" s="509">
        <f>'Dwelling stock'!Z7</f>
        <v>247.92281550451628</v>
      </c>
      <c r="R78" s="509">
        <f>'Dwelling stock'!Z8</f>
        <v>95.581570343522856</v>
      </c>
      <c r="S78" s="509">
        <f>'Dwelling stock'!Z9</f>
        <v>126.34697765013705</v>
      </c>
      <c r="T78" s="509">
        <f>'Dwelling stock'!Z10</f>
        <v>21.423181024026793</v>
      </c>
      <c r="U78" s="509">
        <f>'Dwelling stock'!Z11</f>
        <v>98.43293048076778</v>
      </c>
      <c r="V78" s="509">
        <f>'Dwelling stock'!Z12</f>
        <v>1089.2762242906067</v>
      </c>
      <c r="W78" s="509">
        <f>'Dwelling stock'!Z13</f>
        <v>36.04428874481718</v>
      </c>
      <c r="X78" s="509">
        <f>'Dwelling stock'!Z14</f>
        <v>10.490941688472754</v>
      </c>
      <c r="Y78" s="509">
        <f>'Dwelling stock'!Z15</f>
        <v>103.88787633743875</v>
      </c>
      <c r="Z78" s="509">
        <f>'Dwelling stock'!Z16</f>
        <v>415.08016396196308</v>
      </c>
      <c r="AA78" s="509">
        <f>'Dwelling stock'!Z17</f>
        <v>97.148216277730356</v>
      </c>
      <c r="AB78" s="509">
        <f>'Dwelling stock'!Z18</f>
        <v>1051.8265201786974</v>
      </c>
      <c r="AC78" s="509">
        <f>'Dwelling stock'!Z19</f>
        <v>40.713240350370306</v>
      </c>
      <c r="AD78" s="509">
        <f>'Dwelling stock'!Z20</f>
        <v>140.13025528569844</v>
      </c>
      <c r="AE78" s="509">
        <f>'Dwelling stock'!Z21</f>
        <v>98.82782835536112</v>
      </c>
      <c r="AF78" s="509">
        <f>'Dwelling stock'!Z22</f>
        <v>6.6057998775462146</v>
      </c>
      <c r="AG78" s="509">
        <f>'Dwelling stock'!Z23</f>
        <v>611.68025551139306</v>
      </c>
      <c r="AH78" s="509">
        <f>'Dwelling stock'!Z24</f>
        <v>18.890824871988109</v>
      </c>
      <c r="AI78" s="509">
        <f>'Dwelling stock'!Z25</f>
        <v>32.798164298625586</v>
      </c>
      <c r="AJ78" s="509">
        <f>'Dwelling stock'!Z26</f>
        <v>7.3980517869792326</v>
      </c>
      <c r="AK78" s="509">
        <f>'Dwelling stock'!Z27</f>
        <v>17.270202216647352</v>
      </c>
      <c r="AL78" s="509">
        <f>'Dwelling stock'!Z28</f>
        <v>5.6748684137185474</v>
      </c>
      <c r="AM78" s="509">
        <f>'Dwelling stock'!Z29</f>
        <v>20.401390584274584</v>
      </c>
      <c r="AN78" s="509">
        <f>'Dwelling stock'!Z30</f>
        <v>17.056254223909722</v>
      </c>
      <c r="AO78" s="509">
        <f>'Dwelling stock'!Z31</f>
        <v>628.77090461059174</v>
      </c>
      <c r="AP78" s="509">
        <f>'Dwelling stock'!Z32</f>
        <v>57.217558197007889</v>
      </c>
      <c r="AQ78" s="509">
        <f>'Dwelling stock'!Z33</f>
        <v>199.8342138856531</v>
      </c>
      <c r="AR78" s="509">
        <f>'Dwelling stock'!Z34</f>
        <v>175.60983185683824</v>
      </c>
      <c r="AS78" s="509">
        <f>'Dwelling stock'!Z35</f>
        <v>277.58198840128415</v>
      </c>
      <c r="AT78" s="509">
        <f>'Dwelling stock'!Z36</f>
        <v>64.622164584080508</v>
      </c>
      <c r="AU78" s="509">
        <f>'Dwelling stock'!Z37</f>
        <v>62.087995563219899</v>
      </c>
      <c r="AV78" s="509">
        <f>'Dwelling stock'!Z38</f>
        <v>6.8459716270598241</v>
      </c>
      <c r="AW78" s="509">
        <f>'Dwelling stock'!Z39</f>
        <v>28.647066118385208</v>
      </c>
      <c r="AX78" s="509">
        <f>'Dwelling stock'!Z40</f>
        <v>1284.228672799667</v>
      </c>
    </row>
    <row r="79" spans="1:50">
      <c r="A79" s="162"/>
      <c r="K79" s="2" t="s">
        <v>639</v>
      </c>
      <c r="L79" s="2">
        <v>1994</v>
      </c>
      <c r="N79" s="509">
        <f>'Dwelling stock'!AA4</f>
        <v>78.760400894311005</v>
      </c>
      <c r="O79" s="509">
        <f>'Dwelling stock'!AA5</f>
        <v>250.95383690176817</v>
      </c>
      <c r="P79" s="509">
        <f>'Dwelling stock'!AA6</f>
        <v>56.143200376494306</v>
      </c>
      <c r="Q79" s="509">
        <f>'Dwelling stock'!AA7</f>
        <v>104.28996161451649</v>
      </c>
      <c r="R79" s="509">
        <f>'Dwelling stock'!AA8</f>
        <v>127.93998529141672</v>
      </c>
      <c r="S79" s="509">
        <f>'Dwelling stock'!AA9</f>
        <v>263.27656373891904</v>
      </c>
      <c r="T79" s="509">
        <f>'Dwelling stock'!AA10</f>
        <v>14.275871920854083</v>
      </c>
      <c r="U79" s="509">
        <f>'Dwelling stock'!AA11</f>
        <v>184.28781159304199</v>
      </c>
      <c r="V79" s="509">
        <f>'Dwelling stock'!AA12</f>
        <v>2294.8521642411897</v>
      </c>
      <c r="W79" s="509">
        <f>'Dwelling stock'!AA13</f>
        <v>72.46270178142484</v>
      </c>
      <c r="X79" s="509">
        <f>'Dwelling stock'!AA14</f>
        <v>32.07327194030924</v>
      </c>
      <c r="Y79" s="509">
        <f>'Dwelling stock'!AA15</f>
        <v>284.77400454836123</v>
      </c>
      <c r="Z79" s="509">
        <f>'Dwelling stock'!AA16</f>
        <v>1416.3041684017362</v>
      </c>
      <c r="AA79" s="509">
        <f>'Dwelling stock'!AA17</f>
        <v>131.29364090567577</v>
      </c>
      <c r="AB79" s="509">
        <f>'Dwelling stock'!AA18</f>
        <v>1040.2944476333871</v>
      </c>
      <c r="AC79" s="509">
        <f>'Dwelling stock'!AA19</f>
        <v>48.34714989947237</v>
      </c>
      <c r="AD79" s="509">
        <f>'Dwelling stock'!AA20</f>
        <v>133.89909293520358</v>
      </c>
      <c r="AE79" s="509">
        <f>'Dwelling stock'!AA21</f>
        <v>27.163656005024833</v>
      </c>
      <c r="AF79" s="509">
        <f>'Dwelling stock'!AA22</f>
        <v>7.9572112262919372</v>
      </c>
      <c r="AG79" s="509">
        <f>'Dwelling stock'!AA23</f>
        <v>1027.3211290083136</v>
      </c>
      <c r="AH79" s="509">
        <f>'Dwelling stock'!AA24</f>
        <v>31.448740224099652</v>
      </c>
      <c r="AI79" s="509">
        <f>'Dwelling stock'!AA25</f>
        <v>56.147849277506879</v>
      </c>
      <c r="AJ79" s="509">
        <f>'Dwelling stock'!AA26</f>
        <v>5.9131027659574471</v>
      </c>
      <c r="AK79" s="509">
        <f>'Dwelling stock'!AA27</f>
        <v>42.309518110997381</v>
      </c>
      <c r="AL79" s="509">
        <f>'Dwelling stock'!AA28</f>
        <v>11.333295719093488</v>
      </c>
      <c r="AM79" s="509">
        <f>'Dwelling stock'!AA29</f>
        <v>29.953757886810376</v>
      </c>
      <c r="AN79" s="509">
        <f>'Dwelling stock'!AA30</f>
        <v>5.9183140924985889</v>
      </c>
      <c r="AO79" s="509">
        <f>'Dwelling stock'!AA31</f>
        <v>285.59305629628477</v>
      </c>
      <c r="AP79" s="509">
        <f>'Dwelling stock'!AA32</f>
        <v>199.31371586044133</v>
      </c>
      <c r="AQ79" s="509">
        <f>'Dwelling stock'!AA33</f>
        <v>1078.5750540157949</v>
      </c>
      <c r="AR79" s="509">
        <f>'Dwelling stock'!AA34</f>
        <v>297.53641782104188</v>
      </c>
      <c r="AS79" s="509">
        <f>'Dwelling stock'!AA35</f>
        <v>129.77659979999999</v>
      </c>
      <c r="AT79" s="509">
        <f>'Dwelling stock'!AA36</f>
        <v>107.58056784155019</v>
      </c>
      <c r="AU79" s="509">
        <f>'Dwelling stock'!AA37</f>
        <v>218.16532251448081</v>
      </c>
      <c r="AV79" s="509">
        <f>'Dwelling stock'!AA38</f>
        <v>48.691389510087625</v>
      </c>
      <c r="AW79" s="509">
        <f>'Dwelling stock'!AA39</f>
        <v>68.884631856564482</v>
      </c>
      <c r="AX79" s="509">
        <f>'Dwelling stock'!AA40</f>
        <v>381.28805308539404</v>
      </c>
    </row>
    <row r="80" spans="1:50">
      <c r="A80" s="162"/>
      <c r="K80" s="2" t="s">
        <v>640</v>
      </c>
      <c r="L80" s="2">
        <v>1994</v>
      </c>
      <c r="N80" s="509">
        <f>'Dwelling stock'!AB4</f>
        <v>34.186418495119696</v>
      </c>
      <c r="O80" s="509">
        <f>'Dwelling stock'!AB5</f>
        <v>173.51854230045839</v>
      </c>
      <c r="P80" s="509">
        <f>'Dwelling stock'!AB6</f>
        <v>46.18799435653829</v>
      </c>
      <c r="Q80" s="509">
        <f>'Dwelling stock'!AB7</f>
        <v>109.45701529799435</v>
      </c>
      <c r="R80" s="509">
        <f>'Dwelling stock'!AB8</f>
        <v>101.56813262809619</v>
      </c>
      <c r="S80" s="509">
        <f>'Dwelling stock'!AB9</f>
        <v>134.41876043039858</v>
      </c>
      <c r="T80" s="509">
        <f>'Dwelling stock'!AB10</f>
        <v>18.08765814441956</v>
      </c>
      <c r="U80" s="509">
        <f>'Dwelling stock'!AB11</f>
        <v>85.72086435677366</v>
      </c>
      <c r="V80" s="509">
        <f>'Dwelling stock'!AB12</f>
        <v>958.94049423764079</v>
      </c>
      <c r="W80" s="509">
        <f>'Dwelling stock'!AB13</f>
        <v>67.75527517806448</v>
      </c>
      <c r="X80" s="509">
        <f>'Dwelling stock'!AB14</f>
        <v>7.3370537714334541</v>
      </c>
      <c r="Y80" s="509">
        <f>'Dwelling stock'!AB15</f>
        <v>123.60784335119607</v>
      </c>
      <c r="Z80" s="509">
        <f>'Dwelling stock'!AB16</f>
        <v>185.39243822026032</v>
      </c>
      <c r="AA80" s="509">
        <f>'Dwelling stock'!AB17</f>
        <v>93.84868241148844</v>
      </c>
      <c r="AB80" s="509">
        <f>'Dwelling stock'!AB18</f>
        <v>712.60673422759623</v>
      </c>
      <c r="AC80" s="509">
        <f>'Dwelling stock'!AB19</f>
        <v>60.893733834436496</v>
      </c>
      <c r="AD80" s="509">
        <f>'Dwelling stock'!AB20</f>
        <v>156.49322809989133</v>
      </c>
      <c r="AE80" s="509">
        <f>'Dwelling stock'!AB21</f>
        <v>85.367685860866288</v>
      </c>
      <c r="AF80" s="509">
        <f>'Dwelling stock'!AB22</f>
        <v>5.1635521950769148</v>
      </c>
      <c r="AG80" s="509">
        <f>'Dwelling stock'!AB23</f>
        <v>127.25947094997306</v>
      </c>
      <c r="AH80" s="509">
        <f>'Dwelling stock'!AB24</f>
        <v>25.872309135392644</v>
      </c>
      <c r="AI80" s="509">
        <f>'Dwelling stock'!AB25</f>
        <v>20.169145536448266</v>
      </c>
      <c r="AJ80" s="509">
        <f>'Dwelling stock'!AB26</f>
        <v>4.5488610217862151</v>
      </c>
      <c r="AK80" s="509">
        <f>'Dwelling stock'!AB27</f>
        <v>13.535932895961425</v>
      </c>
      <c r="AL80" s="509">
        <f>'Dwelling stock'!AB28</f>
        <v>4.9192841324130994</v>
      </c>
      <c r="AM80" s="509">
        <f>'Dwelling stock'!AB29</f>
        <v>21.679191262645055</v>
      </c>
      <c r="AN80" s="509">
        <f>'Dwelling stock'!AB30</f>
        <v>1.2927255900605863</v>
      </c>
      <c r="AO80" s="509">
        <f>'Dwelling stock'!AB31</f>
        <v>105.03666692285195</v>
      </c>
      <c r="AP80" s="509">
        <f>'Dwelling stock'!AB32</f>
        <v>80.235577445388714</v>
      </c>
      <c r="AQ80" s="509">
        <f>'Dwelling stock'!AB33</f>
        <v>532.52823209855194</v>
      </c>
      <c r="AR80" s="509">
        <f>'Dwelling stock'!AB34</f>
        <v>236.91153368948144</v>
      </c>
      <c r="AS80" s="509">
        <f>'Dwelling stock'!AB35</f>
        <v>133.10326307672554</v>
      </c>
      <c r="AT80" s="509">
        <f>'Dwelling stock'!AB36</f>
        <v>88.50458518604627</v>
      </c>
      <c r="AU80" s="509">
        <f>'Dwelling stock'!AB37</f>
        <v>105.96675077351949</v>
      </c>
      <c r="AV80" s="509">
        <f>'Dwelling stock'!AB38</f>
        <v>20.584275862852557</v>
      </c>
      <c r="AW80" s="509">
        <f>'Dwelling stock'!AB39</f>
        <v>51.216291980809764</v>
      </c>
      <c r="AX80" s="509">
        <f>'Dwelling stock'!AB40</f>
        <v>369.90738511493879</v>
      </c>
    </row>
    <row r="81" spans="1:50">
      <c r="A81" s="162"/>
      <c r="K81" s="2" t="s">
        <v>641</v>
      </c>
      <c r="L81" s="2">
        <v>1994</v>
      </c>
      <c r="N81" s="509">
        <f>'Dwelling stock'!AC4</f>
        <v>19.329703915464879</v>
      </c>
      <c r="O81" s="509">
        <f>'Dwelling stock'!AC5</f>
        <v>80.411031797773447</v>
      </c>
      <c r="P81" s="509">
        <f>'Dwelling stock'!AC6</f>
        <v>16.529607569377557</v>
      </c>
      <c r="Q81" s="509">
        <f>'Dwelling stock'!AC7</f>
        <v>182.62504708748918</v>
      </c>
      <c r="R81" s="509">
        <f>'Dwelling stock'!AC8</f>
        <v>55.200072080487089</v>
      </c>
      <c r="S81" s="509">
        <f>'Dwelling stock'!AC9</f>
        <v>150.7975169534304</v>
      </c>
      <c r="T81" s="509">
        <f>'Dwelling stock'!AC10</f>
        <v>18.472501934726363</v>
      </c>
      <c r="U81" s="509">
        <f>'Dwelling stock'!AC11</f>
        <v>50.810351050184373</v>
      </c>
      <c r="V81" s="509">
        <f>'Dwelling stock'!AC12</f>
        <v>1002.5286985211699</v>
      </c>
      <c r="W81" s="509">
        <f>'Dwelling stock'!AC13</f>
        <v>36.072861040510688</v>
      </c>
      <c r="X81" s="509">
        <f>'Dwelling stock'!AC14</f>
        <v>3.4038512882572998</v>
      </c>
      <c r="Y81" s="509">
        <f>'Dwelling stock'!AC15</f>
        <v>69.890416100442664</v>
      </c>
      <c r="Z81" s="509">
        <f>'Dwelling stock'!AC16</f>
        <v>410.99867737800338</v>
      </c>
      <c r="AA81" s="509">
        <f>'Dwelling stock'!AC17</f>
        <v>70.933299682835781</v>
      </c>
      <c r="AB81" s="509">
        <f>'Dwelling stock'!AC18</f>
        <v>633.60734513901662</v>
      </c>
      <c r="AC81" s="509">
        <f>'Dwelling stock'!AC19</f>
        <v>21.792449266091133</v>
      </c>
      <c r="AD81" s="509">
        <f>'Dwelling stock'!AC20</f>
        <v>57.797185964905104</v>
      </c>
      <c r="AE81" s="509">
        <f>'Dwelling stock'!AC21</f>
        <v>128.40711413410889</v>
      </c>
      <c r="AF81" s="509">
        <f>'Dwelling stock'!AC22</f>
        <v>4.8232607896706998</v>
      </c>
      <c r="AG81" s="509">
        <f>'Dwelling stock'!AC23</f>
        <v>226.31940004171341</v>
      </c>
      <c r="AH81" s="509">
        <f>'Dwelling stock'!AC24</f>
        <v>9.259096933727843</v>
      </c>
      <c r="AI81" s="509">
        <f>'Dwelling stock'!AC25</f>
        <v>10.199170186044862</v>
      </c>
      <c r="AJ81" s="509">
        <f>'Dwelling stock'!AC26</f>
        <v>5.886026212256338</v>
      </c>
      <c r="AK81" s="509">
        <f>'Dwelling stock'!AC27</f>
        <v>5.4058599930411964</v>
      </c>
      <c r="AL81" s="509">
        <f>'Dwelling stock'!AC28</f>
        <v>2.7814643926260985</v>
      </c>
      <c r="AM81" s="509">
        <f>'Dwelling stock'!AC29</f>
        <v>11.78216916448101</v>
      </c>
      <c r="AN81" s="509">
        <f>'Dwelling stock'!AC30</f>
        <v>16.518160317440824</v>
      </c>
      <c r="AO81" s="509">
        <f>'Dwelling stock'!AC31</f>
        <v>554.68437378086321</v>
      </c>
      <c r="AP81" s="509">
        <f>'Dwelling stock'!AC32</f>
        <v>63.018635168186279</v>
      </c>
      <c r="AQ81" s="509">
        <f>'Dwelling stock'!AC33</f>
        <v>199.8342138856531</v>
      </c>
      <c r="AR81" s="509">
        <f>'Dwelling stock'!AC34</f>
        <v>191.25062848947672</v>
      </c>
      <c r="AS81" s="509">
        <f>'Dwelling stock'!AC35</f>
        <v>38.225937123274477</v>
      </c>
      <c r="AT81" s="509">
        <f>'Dwelling stock'!AC36</f>
        <v>31.673729972403528</v>
      </c>
      <c r="AU81" s="509">
        <f>'Dwelling stock'!AC37</f>
        <v>50.836815711999698</v>
      </c>
      <c r="AV81" s="509">
        <f>'Dwelling stock'!AC38</f>
        <v>6.8459716270598241</v>
      </c>
      <c r="AW81" s="509">
        <f>'Dwelling stock'!AC39</f>
        <v>15.241722162625749</v>
      </c>
      <c r="AX81" s="509">
        <f>'Dwelling stock'!AC40</f>
        <v>1284.228672799667</v>
      </c>
    </row>
    <row r="82" spans="1:50">
      <c r="A82" s="162"/>
      <c r="K82" s="2" t="s">
        <v>639</v>
      </c>
      <c r="L82" s="2">
        <v>2004</v>
      </c>
      <c r="N82" s="509">
        <f>'Dwelling stock'!AD4</f>
        <v>40.109860472738262</v>
      </c>
      <c r="O82" s="509">
        <f>'Dwelling stock'!AD5</f>
        <v>102.6026573497053</v>
      </c>
      <c r="P82" s="509">
        <f>'Dwelling stock'!AD6</f>
        <v>42.161557376973775</v>
      </c>
      <c r="Q82" s="509">
        <f>'Dwelling stock'!AD7</f>
        <v>70.102719075016594</v>
      </c>
      <c r="R82" s="509">
        <f>'Dwelling stock'!AD8</f>
        <v>199.0585423279054</v>
      </c>
      <c r="S82" s="509">
        <f>'Dwelling stock'!AD9</f>
        <v>107.64081311132098</v>
      </c>
      <c r="T82" s="509">
        <f>'Dwelling stock'!AD10</f>
        <v>30.694791644895528</v>
      </c>
      <c r="U82" s="509">
        <f>'Dwelling stock'!AD11</f>
        <v>139.21443130786497</v>
      </c>
      <c r="V82" s="509">
        <f>'Dwelling stock'!AD12</f>
        <v>1261.9275493689988</v>
      </c>
      <c r="W82" s="509">
        <f>'Dwelling stock'!AD13</f>
        <v>95.842879700857893</v>
      </c>
      <c r="X82" s="509">
        <f>'Dwelling stock'!AD14</f>
        <v>25.249444480802204</v>
      </c>
      <c r="Y82" s="509">
        <f>'Dwelling stock'!AD15</f>
        <v>145.02523424208152</v>
      </c>
      <c r="Z82" s="509">
        <f>'Dwelling stock'!AD16</f>
        <v>2403.9570549832829</v>
      </c>
      <c r="AA82" s="509">
        <f>'Dwelling stock'!AD17</f>
        <v>128.24101552307064</v>
      </c>
      <c r="AB82" s="509">
        <f>'Dwelling stock'!AD18</f>
        <v>1417.3853444798438</v>
      </c>
      <c r="AC82" s="509">
        <f>'Dwelling stock'!AD19</f>
        <v>66.291309871417113</v>
      </c>
      <c r="AD82" s="509">
        <f>'Dwelling stock'!AD20</f>
        <v>157.93067579915589</v>
      </c>
      <c r="AE82" s="509">
        <f>'Dwelling stock'!AD21</f>
        <v>54.110641174925789</v>
      </c>
      <c r="AF82" s="509">
        <f>'Dwelling stock'!AD22</f>
        <v>7.7722031421488511</v>
      </c>
      <c r="AG82" s="509">
        <f>'Dwelling stock'!AD23</f>
        <v>803.83842413895491</v>
      </c>
      <c r="AH82" s="509">
        <f>'Dwelling stock'!AD24</f>
        <v>23.61689138667364</v>
      </c>
      <c r="AI82" s="509">
        <f>'Dwelling stock'!AD25</f>
        <v>49.208265200013763</v>
      </c>
      <c r="AJ82" s="509">
        <f>'Dwelling stock'!AD26</f>
        <v>8.1332575531914895</v>
      </c>
      <c r="AK82" s="509">
        <f>'Dwelling stock'!AD27</f>
        <v>49.086026067434688</v>
      </c>
      <c r="AL82" s="509">
        <f>'Dwelling stock'!AD28</f>
        <v>8.5109041616164447</v>
      </c>
      <c r="AM82" s="509">
        <f>'Dwelling stock'!AD29</f>
        <v>46.60428378673177</v>
      </c>
      <c r="AN82" s="509">
        <f>'Dwelling stock'!AD30</f>
        <v>2.2070144774957696</v>
      </c>
      <c r="AO82" s="509">
        <f>'Dwelling stock'!AD31</f>
        <v>148.46865716238921</v>
      </c>
      <c r="AP82" s="509">
        <f>'Dwelling stock'!AD32</f>
        <v>140.73088690336078</v>
      </c>
      <c r="AQ82" s="509">
        <f>'Dwelling stock'!AD33</f>
        <v>1342.0302721278497</v>
      </c>
      <c r="AR82" s="509">
        <f>'Dwelling stock'!AD34</f>
        <v>168.96951817194957</v>
      </c>
      <c r="AS82" s="509">
        <f>'Dwelling stock'!AD35</f>
        <v>127.5554844</v>
      </c>
      <c r="AT82" s="509">
        <f>'Dwelling stock'!AD36</f>
        <v>80.789200709654324</v>
      </c>
      <c r="AU82" s="509">
        <f>'Dwelling stock'!AD37</f>
        <v>60.866387059806925</v>
      </c>
      <c r="AV82" s="509">
        <f>'Dwelling stock'!AD38</f>
        <v>42.574698508130162</v>
      </c>
      <c r="AW82" s="509">
        <f>'Dwelling stock'!AD39</f>
        <v>85.123908571428572</v>
      </c>
      <c r="AX82" s="509">
        <f>'Dwelling stock'!AD40</f>
        <v>315.31074469020649</v>
      </c>
    </row>
    <row r="83" spans="1:50">
      <c r="A83" s="162"/>
      <c r="K83" s="2" t="s">
        <v>640</v>
      </c>
      <c r="L83" s="2">
        <v>2004</v>
      </c>
      <c r="N83" s="509">
        <f>'Dwelling stock'!AE4</f>
        <v>17.409922503339299</v>
      </c>
      <c r="O83" s="509">
        <f>'Dwelling stock'!AE5</f>
        <v>70.943181261034695</v>
      </c>
      <c r="P83" s="509">
        <f>'Dwelling stock'!AE6</f>
        <v>34.685549828503149</v>
      </c>
      <c r="Q83" s="509">
        <f>'Dwelling stock'!AE7</f>
        <v>73.57596335673621</v>
      </c>
      <c r="R83" s="509">
        <f>'Dwelling stock'!AE8</f>
        <v>158.02725302699085</v>
      </c>
      <c r="S83" s="509">
        <f>'Dwelling stock'!AE9</f>
        <v>54.957207222182682</v>
      </c>
      <c r="T83" s="509">
        <f>'Dwelling stock'!AE10</f>
        <v>38.890577133578006</v>
      </c>
      <c r="U83" s="509">
        <f>'Dwelling stock'!AE11</f>
        <v>64.755131006707572</v>
      </c>
      <c r="V83" s="509">
        <f>'Dwelling stock'!AE12</f>
        <v>527.31650724182305</v>
      </c>
      <c r="W83" s="509">
        <f>'Dwelling stock'!AE13</f>
        <v>89.616596239783021</v>
      </c>
      <c r="X83" s="509">
        <f>'Dwelling stock'!AE14</f>
        <v>5.7760409414806713</v>
      </c>
      <c r="Y83" s="509">
        <f>'Dwelling stock'!AE15</f>
        <v>62.949061887147899</v>
      </c>
      <c r="Z83" s="509">
        <f>'Dwelling stock'!AE16</f>
        <v>314.67496159605378</v>
      </c>
      <c r="AA83" s="509">
        <f>'Dwelling stock'!AE17</f>
        <v>91.666666069515145</v>
      </c>
      <c r="AB83" s="509">
        <f>'Dwelling stock'!AE18</f>
        <v>970.91582462025042</v>
      </c>
      <c r="AC83" s="509">
        <f>'Dwelling stock'!AE19</f>
        <v>83.49458835194504</v>
      </c>
      <c r="AD83" s="509">
        <f>'Dwelling stock'!AE20</f>
        <v>184.57990065524498</v>
      </c>
      <c r="AE83" s="509">
        <f>'Dwelling stock'!AE21</f>
        <v>170.05443658602607</v>
      </c>
      <c r="AF83" s="509">
        <f>'Dwelling stock'!AE22</f>
        <v>5.043497709677867</v>
      </c>
      <c r="AG83" s="509">
        <f>'Dwelling stock'!AE23</f>
        <v>99.57553650622485</v>
      </c>
      <c r="AH83" s="509">
        <f>'Dwelling stock'!AE24</f>
        <v>19.429188909283418</v>
      </c>
      <c r="AI83" s="509">
        <f>'Dwelling stock'!AE25</f>
        <v>17.676343353953119</v>
      </c>
      <c r="AJ83" s="509">
        <f>'Dwelling stock'!AE26</f>
        <v>6.2567927073512548</v>
      </c>
      <c r="AK83" s="509">
        <f>'Dwelling stock'!AE27</f>
        <v>15.703916864170269</v>
      </c>
      <c r="AL83" s="509">
        <f>'Dwelling stock'!AE28</f>
        <v>3.6942083602559723</v>
      </c>
      <c r="AM83" s="509">
        <f>'Dwelling stock'!AE29</f>
        <v>33.73009776232562</v>
      </c>
      <c r="AN83" s="509">
        <f>'Dwelling stock'!AE30</f>
        <v>0.48207378792369415</v>
      </c>
      <c r="AO83" s="509">
        <f>'Dwelling stock'!AE31</f>
        <v>54.60445394957538</v>
      </c>
      <c r="AP83" s="509">
        <f>'Dwelling stock'!AE32</f>
        <v>56.652518500027334</v>
      </c>
      <c r="AQ83" s="509">
        <f>'Dwelling stock'!AE33</f>
        <v>662.60480026688674</v>
      </c>
      <c r="AR83" s="509">
        <f>'Dwelling stock'!AE34</f>
        <v>134.5409344847543</v>
      </c>
      <c r="AS83" s="509">
        <f>'Dwelling stock'!AE35</f>
        <v>130.82521211942216</v>
      </c>
      <c r="AT83" s="509">
        <f>'Dwelling stock'!AE36</f>
        <v>66.463812561868693</v>
      </c>
      <c r="AU83" s="509">
        <f>'Dwelling stock'!AE37</f>
        <v>29.563879326527815</v>
      </c>
      <c r="AV83" s="509">
        <f>'Dwelling stock'!AE38</f>
        <v>17.99844587896936</v>
      </c>
      <c r="AW83" s="509">
        <f>'Dwelling stock'!AE39</f>
        <v>63.290328168119139</v>
      </c>
      <c r="AX83" s="509">
        <f>'Dwelling stock'!AE40</f>
        <v>305.89936433407308</v>
      </c>
    </row>
    <row r="84" spans="1:50">
      <c r="A84" s="162"/>
      <c r="K84" s="2" t="s">
        <v>641</v>
      </c>
      <c r="L84" s="2">
        <v>2004</v>
      </c>
      <c r="N84" s="509">
        <f>'Dwelling stock'!AF4</f>
        <v>9.8439281444114766</v>
      </c>
      <c r="O84" s="509">
        <f>'Dwelling stock'!AF5</f>
        <v>32.876108389259997</v>
      </c>
      <c r="P84" s="509">
        <f>'Dwelling stock'!AF6</f>
        <v>12.413150537940327</v>
      </c>
      <c r="Q84" s="509">
        <f>'Dwelling stock'!AF7</f>
        <v>122.7588175682472</v>
      </c>
      <c r="R84" s="509">
        <f>'Dwelling stock'!AF8</f>
        <v>85.884376645103757</v>
      </c>
      <c r="S84" s="509">
        <f>'Dwelling stock'!AF9</f>
        <v>61.653673648415058</v>
      </c>
      <c r="T84" s="509">
        <f>'Dwelling stock'!AF10</f>
        <v>39.718036221526475</v>
      </c>
      <c r="U84" s="509">
        <f>'Dwelling stock'!AF11</f>
        <v>38.383081685427463</v>
      </c>
      <c r="V84" s="509">
        <f>'Dwelling stock'!AF12</f>
        <v>551.28543938917858</v>
      </c>
      <c r="W84" s="509">
        <f>'Dwelling stock'!AF13</f>
        <v>47.711813059359088</v>
      </c>
      <c r="X84" s="509">
        <f>'Dwelling stock'!AF14</f>
        <v>2.6796565777171244</v>
      </c>
      <c r="Y84" s="509">
        <f>'Dwelling stock'!AF15</f>
        <v>35.592693870770553</v>
      </c>
      <c r="Z84" s="509">
        <f>'Dwelling stock'!AF16</f>
        <v>697.60662442066302</v>
      </c>
      <c r="AA84" s="509">
        <f>'Dwelling stock'!AF17</f>
        <v>69.284074407414224</v>
      </c>
      <c r="AB84" s="509">
        <f>'Dwelling stock'!AF18</f>
        <v>863.28035989990587</v>
      </c>
      <c r="AC84" s="509">
        <f>'Dwelling stock'!AF19</f>
        <v>29.880768776637847</v>
      </c>
      <c r="AD84" s="509">
        <f>'Dwelling stock'!AF20</f>
        <v>68.17035454559911</v>
      </c>
      <c r="AE84" s="509">
        <f>'Dwelling stock'!AF21</f>
        <v>255.78998923904814</v>
      </c>
      <c r="AF84" s="509">
        <f>'Dwelling stock'!AF22</f>
        <v>4.7111182044555431</v>
      </c>
      <c r="AG84" s="509">
        <f>'Dwelling stock'!AF23</f>
        <v>177.08603935482026</v>
      </c>
      <c r="AH84" s="509">
        <f>'Dwelling stock'!AF24</f>
        <v>6.9532542500688912</v>
      </c>
      <c r="AI84" s="509">
        <f>'Dwelling stock'!AF25</f>
        <v>8.9386054460331117</v>
      </c>
      <c r="AJ84" s="509">
        <f>'Dwelling stock'!AF26</f>
        <v>8.0960147394572548</v>
      </c>
      <c r="AK84" s="509">
        <f>'Dwelling stock'!AF27</f>
        <v>6.2716900683950429</v>
      </c>
      <c r="AL84" s="509">
        <f>'Dwelling stock'!AF28</f>
        <v>2.0887813625746388</v>
      </c>
      <c r="AM84" s="509">
        <f>'Dwelling stock'!AF29</f>
        <v>18.33157487082914</v>
      </c>
      <c r="AN84" s="509">
        <f>'Dwelling stock'!AF30</f>
        <v>6.1598317345805356</v>
      </c>
      <c r="AO84" s="509">
        <f>'Dwelling stock'!AF31</f>
        <v>288.35870588803544</v>
      </c>
      <c r="AP84" s="509">
        <f>'Dwelling stock'!AF32</f>
        <v>44.496026680210925</v>
      </c>
      <c r="AQ84" s="509">
        <f>'Dwelling stock'!AF33</f>
        <v>248.64617760526343</v>
      </c>
      <c r="AR84" s="509">
        <f>'Dwelling stock'!AF34</f>
        <v>108.61032334329613</v>
      </c>
      <c r="AS84" s="509">
        <f>'Dwelling stock'!AF35</f>
        <v>37.571703480577852</v>
      </c>
      <c r="AT84" s="509">
        <f>'Dwelling stock'!AF36</f>
        <v>23.785850728476969</v>
      </c>
      <c r="AU84" s="509">
        <f>'Dwelling stock'!AF37</f>
        <v>14.183066613665265</v>
      </c>
      <c r="AV84" s="509">
        <f>'Dwelling stock'!AF38</f>
        <v>5.9859696129004716</v>
      </c>
      <c r="AW84" s="509">
        <f>'Dwelling stock'!AF39</f>
        <v>18.834897260452287</v>
      </c>
      <c r="AX84" s="509">
        <f>'Dwelling stock'!AF40</f>
        <v>1062.0083579757202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8">
    <tabColor rgb="FFFFC000"/>
  </sheetPr>
  <dimension ref="A1:AU207"/>
  <sheetViews>
    <sheetView zoomScaleNormal="100" workbookViewId="0">
      <selection activeCell="A5" sqref="A5:F5"/>
    </sheetView>
  </sheetViews>
  <sheetFormatPr defaultColWidth="9.109375" defaultRowHeight="14.4"/>
  <cols>
    <col min="1" max="1" width="9.88671875" style="5" customWidth="1"/>
    <col min="2" max="2" width="8.6640625" style="5" bestFit="1" customWidth="1"/>
    <col min="3" max="3" width="18.6640625" style="5" bestFit="1" customWidth="1"/>
    <col min="4" max="4" width="18.109375" style="5" bestFit="1" customWidth="1"/>
    <col min="5" max="5" width="16.5546875" style="5" bestFit="1" customWidth="1"/>
    <col min="6" max="6" width="15.44140625" style="5" bestFit="1" customWidth="1"/>
    <col min="7" max="43" width="7.44140625" style="5" customWidth="1"/>
    <col min="44" max="45" width="2" style="5" bestFit="1" customWidth="1"/>
    <col min="46" max="46" width="14.6640625" style="5" bestFit="1" customWidth="1"/>
    <col min="47" max="16384" width="9.109375" style="5"/>
  </cols>
  <sheetData>
    <row r="1" spans="1:46" ht="28.8">
      <c r="A1" s="3" t="s">
        <v>613</v>
      </c>
      <c r="B1" s="162"/>
      <c r="E1" s="553" t="s">
        <v>614</v>
      </c>
      <c r="F1" s="554">
        <f>1000*10^-9*3.6</f>
        <v>3.6000000000000007E-6</v>
      </c>
    </row>
    <row r="2" spans="1:46">
      <c r="A2" s="135" t="s">
        <v>672</v>
      </c>
    </row>
    <row r="3" spans="1:46">
      <c r="A3" s="135"/>
    </row>
    <row r="4" spans="1:46">
      <c r="A4" s="564" t="s">
        <v>671</v>
      </c>
      <c r="B4" s="565"/>
    </row>
    <row r="5" spans="1:46" ht="15" thickBot="1">
      <c r="A5" s="539" t="s">
        <v>254</v>
      </c>
      <c r="B5" s="539" t="s">
        <v>618</v>
      </c>
      <c r="C5" s="539" t="s">
        <v>619</v>
      </c>
      <c r="D5" s="539" t="s">
        <v>620</v>
      </c>
      <c r="E5" s="539" t="s">
        <v>621</v>
      </c>
      <c r="F5" s="539" t="s">
        <v>622</v>
      </c>
      <c r="G5" s="540" t="s">
        <v>88</v>
      </c>
      <c r="H5" s="540" t="s">
        <v>89</v>
      </c>
      <c r="I5" s="540" t="s">
        <v>90</v>
      </c>
      <c r="J5" s="540" t="s">
        <v>91</v>
      </c>
      <c r="K5" s="540" t="s">
        <v>92</v>
      </c>
      <c r="L5" s="540" t="s">
        <v>93</v>
      </c>
      <c r="M5" s="540" t="s">
        <v>94</v>
      </c>
      <c r="N5" s="540" t="s">
        <v>95</v>
      </c>
      <c r="O5" s="540" t="s">
        <v>96</v>
      </c>
      <c r="P5" s="540" t="s">
        <v>97</v>
      </c>
      <c r="Q5" s="540" t="s">
        <v>98</v>
      </c>
      <c r="R5" s="540" t="s">
        <v>99</v>
      </c>
      <c r="S5" s="540" t="s">
        <v>205</v>
      </c>
      <c r="T5" s="540" t="s">
        <v>118</v>
      </c>
      <c r="U5" s="540" t="s">
        <v>100</v>
      </c>
      <c r="V5" s="540" t="s">
        <v>101</v>
      </c>
      <c r="W5" s="540" t="s">
        <v>102</v>
      </c>
      <c r="X5" s="540" t="s">
        <v>103</v>
      </c>
      <c r="Y5" s="540" t="s">
        <v>104</v>
      </c>
      <c r="Z5" s="540" t="s">
        <v>105</v>
      </c>
      <c r="AA5" s="540" t="s">
        <v>106</v>
      </c>
      <c r="AB5" s="540" t="s">
        <v>107</v>
      </c>
      <c r="AC5" s="540" t="s">
        <v>108</v>
      </c>
      <c r="AD5" s="540" t="s">
        <v>109</v>
      </c>
      <c r="AE5" s="540" t="s">
        <v>110</v>
      </c>
      <c r="AF5" s="540" t="s">
        <v>111</v>
      </c>
      <c r="AG5" s="540" t="s">
        <v>112</v>
      </c>
      <c r="AH5" s="540" t="s">
        <v>113</v>
      </c>
      <c r="AI5" s="540" t="s">
        <v>114</v>
      </c>
      <c r="AJ5" s="540" t="s">
        <v>115</v>
      </c>
      <c r="AK5" s="540" t="s">
        <v>52</v>
      </c>
      <c r="AL5" s="540" t="s">
        <v>116</v>
      </c>
      <c r="AM5" s="540" t="s">
        <v>117</v>
      </c>
      <c r="AN5" s="540" t="s">
        <v>119</v>
      </c>
      <c r="AO5" s="540" t="s">
        <v>120</v>
      </c>
      <c r="AP5" s="540" t="s">
        <v>121</v>
      </c>
      <c r="AQ5" s="540" t="s">
        <v>122</v>
      </c>
      <c r="AT5" s="5" t="s">
        <v>545</v>
      </c>
    </row>
    <row r="6" spans="1:46">
      <c r="A6" s="135" t="str">
        <f t="shared" ref="A6" si="0">IF(F6=$F$7,"INVCOST",IF(F6=$F$8,"OUTPUT","\I:"))</f>
        <v>\I:</v>
      </c>
      <c r="E6" s="162" t="s">
        <v>623</v>
      </c>
      <c r="F6" s="135" t="s">
        <v>393</v>
      </c>
      <c r="G6" s="492">
        <f>G24*'Energy Efficiency Measures-DBT'!D55/'Energy Efficiency Measures-DBT'!D57</f>
        <v>54.075480357999702</v>
      </c>
      <c r="H6" s="492">
        <f>H24*'Energy Efficiency Measures-DBT'!E55/'Energy Efficiency Measures-DBT'!E57</f>
        <v>73.739730721991762</v>
      </c>
      <c r="I6" s="492">
        <f>I24*'Energy Efficiency Measures-DBT'!F55/'Energy Efficiency Measures-DBT'!F57</f>
        <v>56.59661268958628</v>
      </c>
      <c r="J6" s="492">
        <f>J24*'Energy Efficiency Measures-DBT'!G55/'Energy Efficiency Measures-DBT'!G57</f>
        <v>54.075480357999702</v>
      </c>
      <c r="K6" s="492">
        <f>K24*'Energy Efficiency Measures-DBT'!H55/'Energy Efficiency Measures-DBT'!H57</f>
        <v>83.931457899477991</v>
      </c>
      <c r="L6" s="492">
        <f>L24*'Energy Efficiency Measures-DBT'!I55/'Energy Efficiency Measures-DBT'!I57</f>
        <v>48.070558927805415</v>
      </c>
      <c r="M6" s="492">
        <f>M24*'Energy Efficiency Measures-DBT'!J55/'Energy Efficiency Measures-DBT'!J57</f>
        <v>63.255080347928789</v>
      </c>
      <c r="N6" s="492">
        <f>N24*'Energy Efficiency Measures-DBT'!K55/'Energy Efficiency Measures-DBT'!K57</f>
        <v>62.827225130890049</v>
      </c>
      <c r="O6" s="492">
        <f>O24*'Energy Efficiency Measures-DBT'!L55/'Energy Efficiency Measures-DBT'!L57</f>
        <v>42.209303413534371</v>
      </c>
      <c r="P6" s="492">
        <f>P24*'Energy Efficiency Measures-DBT'!M55/'Energy Efficiency Measures-DBT'!M57</f>
        <v>97.325153334427341</v>
      </c>
      <c r="Q6" s="492">
        <f>Q24*'Energy Efficiency Measures-DBT'!N55/'Energy Efficiency Measures-DBT'!N57</f>
        <v>86.597938144329888</v>
      </c>
      <c r="R6" s="492">
        <f>R24*'Energy Efficiency Measures-DBT'!O55/'Energy Efficiency Measures-DBT'!O57</f>
        <v>81.702172307570095</v>
      </c>
      <c r="S6" s="492">
        <f>S24*'Energy Efficiency Measures-DBT'!P55/'Energy Efficiency Measures-DBT'!P57</f>
        <v>83.931457899477991</v>
      </c>
      <c r="T6" s="492">
        <f>T24*'Energy Efficiency Measures-DBT'!Q55/'Energy Efficiency Measures-DBT'!Q57</f>
        <v>52.355191756779782</v>
      </c>
      <c r="U6" s="492">
        <f>U24*'Energy Efficiency Measures-DBT'!R55/'Energy Efficiency Measures-DBT'!R57</f>
        <v>38.647713913647223</v>
      </c>
      <c r="V6" s="492">
        <f>V24*'Energy Efficiency Measures-DBT'!S55/'Energy Efficiency Measures-DBT'!S57</f>
        <v>57.701765878179359</v>
      </c>
      <c r="W6" s="492">
        <f>W24*'Energy Efficiency Measures-DBT'!T55/'Energy Efficiency Measures-DBT'!T57</f>
        <v>86.597938144329888</v>
      </c>
      <c r="X6" s="492">
        <f>X24*'Energy Efficiency Measures-DBT'!U55/'Energy Efficiency Measures-DBT'!U57</f>
        <v>70.009115770282591</v>
      </c>
      <c r="Y6" s="492">
        <f>Y24*'Energy Efficiency Measures-DBT'!V55/'Energy Efficiency Measures-DBT'!V57</f>
        <v>37.270063122028304</v>
      </c>
      <c r="Z6" s="492">
        <f>Z24*'Energy Efficiency Measures-DBT'!W55/'Energy Efficiency Measures-DBT'!W57</f>
        <v>95.948892685241375</v>
      </c>
      <c r="AA6" s="492">
        <f>AA24*'Energy Efficiency Measures-DBT'!X55/'Energy Efficiency Measures-DBT'!X57</f>
        <v>37.5</v>
      </c>
      <c r="AB6" s="492">
        <f>AB24*'Energy Efficiency Measures-DBT'!Y55/'Energy Efficiency Measures-DBT'!Y57</f>
        <v>77.690339054599619</v>
      </c>
      <c r="AC6" s="492">
        <f>AC24*'Energy Efficiency Measures-DBT'!Z55/'Energy Efficiency Measures-DBT'!Z57</f>
        <v>59.246946805485166</v>
      </c>
      <c r="AD6" s="492">
        <f>AD24*'Energy Efficiency Measures-DBT'!AA55/'Energy Efficiency Measures-DBT'!AA57</f>
        <v>67.361668003207697</v>
      </c>
      <c r="AE6" s="492">
        <f>AE24*'Energy Efficiency Measures-DBT'!AB55/'Energy Efficiency Measures-DBT'!AB57</f>
        <v>37.391790106919643</v>
      </c>
      <c r="AF6" s="492">
        <f>AF24*'Energy Efficiency Measures-DBT'!AC55/'Energy Efficiency Measures-DBT'!AC57</f>
        <v>93.060189728012801</v>
      </c>
      <c r="AG6" s="492">
        <f>AG24*'Energy Efficiency Measures-DBT'!AD55/'Energy Efficiency Measures-DBT'!AD57</f>
        <v>49.557982715882623</v>
      </c>
      <c r="AH6" s="492">
        <f>AH24*'Energy Efficiency Measures-DBT'!AE55/'Energy Efficiency Measures-DBT'!AE57</f>
        <v>67.361668003207697</v>
      </c>
      <c r="AI6" s="492">
        <f>AI24*'Energy Efficiency Measures-DBT'!AF55/'Energy Efficiency Measures-DBT'!AF57</f>
        <v>37.695286715376795</v>
      </c>
      <c r="AJ6" s="492">
        <f>AJ24*'Energy Efficiency Measures-DBT'!AG55/'Energy Efficiency Measures-DBT'!AG57</f>
        <v>49.919068709854145</v>
      </c>
      <c r="AK6" s="492">
        <f>AK24*'Energy Efficiency Measures-DBT'!AH55/'Energy Efficiency Measures-DBT'!AH57</f>
        <v>83.157700033085916</v>
      </c>
      <c r="AL6" s="492">
        <f>AL24*'Energy Efficiency Measures-DBT'!AI55/'Energy Efficiency Measures-DBT'!AI57</f>
        <v>39.342870890380311</v>
      </c>
      <c r="AM6" s="492">
        <f>AM24*'Energy Efficiency Measures-DBT'!AJ55/'Energy Efficiency Measures-DBT'!AJ57</f>
        <v>52.355191756779782</v>
      </c>
      <c r="AN6" s="492">
        <f>AN24*'Energy Efficiency Measures-DBT'!AK55/'Energy Efficiency Measures-DBT'!AK57</f>
        <v>39.342870890380311</v>
      </c>
      <c r="AO6" s="492">
        <f>AO24*'Energy Efficiency Measures-DBT'!AL55/'Energy Efficiency Measures-DBT'!AL57</f>
        <v>52.355191756779782</v>
      </c>
      <c r="AP6" s="492">
        <f>AP24*'Energy Efficiency Measures-DBT'!AM55/'Energy Efficiency Measures-DBT'!AM57</f>
        <v>52.355191756779782</v>
      </c>
      <c r="AQ6" s="492">
        <f>AQ24*'Energy Efficiency Measures-DBT'!AN55/'Energy Efficiency Measures-DBT'!AN57</f>
        <v>52.355191756779782</v>
      </c>
      <c r="AT6" s="162"/>
    </row>
    <row r="7" spans="1:46">
      <c r="A7" s="135" t="str">
        <f t="shared" ref="A7:A70" si="1">IF(F7=$F$7,"\I:",IF(F7=$F$8,"OUTPUT","\I:"))</f>
        <v>\I:</v>
      </c>
      <c r="E7" s="5" t="s">
        <v>303</v>
      </c>
      <c r="F7" s="135" t="s">
        <v>624</v>
      </c>
      <c r="G7" s="214">
        <f>G6*Detached!D4</f>
        <v>8099.9999999999991</v>
      </c>
      <c r="H7" s="214">
        <f>H6*Detached!E4</f>
        <v>10500</v>
      </c>
      <c r="I7" s="214">
        <f>I6*Detached!F4</f>
        <v>4500.0000000000009</v>
      </c>
      <c r="J7" s="214">
        <f>J6*Detached!G4</f>
        <v>8099.9999999999991</v>
      </c>
      <c r="K7" s="214">
        <f>K6*Detached!H4</f>
        <v>9599.9999999999982</v>
      </c>
      <c r="L7" s="214">
        <f>L6*Detached!I4</f>
        <v>6000</v>
      </c>
      <c r="M7" s="214">
        <f>M6*Detached!J4</f>
        <v>8489.3617021276586</v>
      </c>
      <c r="N7" s="214">
        <f>N6*Detached!K4</f>
        <v>10500</v>
      </c>
      <c r="O7" s="214">
        <f>O6*Detached!L4</f>
        <v>4500</v>
      </c>
      <c r="P7" s="214">
        <f>P6*Detached!M4</f>
        <v>13500</v>
      </c>
      <c r="Q7" s="214">
        <f>Q6*Detached!N4</f>
        <v>10499.999999999998</v>
      </c>
      <c r="R7" s="214">
        <f>R6*Detached!O4</f>
        <v>11400</v>
      </c>
      <c r="S7" s="214">
        <f>S6*Detached!P4</f>
        <v>9599.9999999999982</v>
      </c>
      <c r="T7" s="214">
        <f>T6*Detached!Q4</f>
        <v>4500.0000000000009</v>
      </c>
      <c r="U7" s="214">
        <f>U6*Detached!R4</f>
        <v>4500</v>
      </c>
      <c r="V7" s="214">
        <f>V6*Detached!S4</f>
        <v>8489.3617021276586</v>
      </c>
      <c r="W7" s="214">
        <f>W6*Detached!T4</f>
        <v>10499.999999999998</v>
      </c>
      <c r="X7" s="214">
        <f>X6*Detached!U4</f>
        <v>9600</v>
      </c>
      <c r="Y7" s="214">
        <f>Y6*Detached!V4</f>
        <v>4500.0000000000009</v>
      </c>
      <c r="Z7" s="214">
        <f>Z6*Detached!W4</f>
        <v>10500.000000000002</v>
      </c>
      <c r="AA7" s="214">
        <f>AA6*Detached!X4</f>
        <v>4500</v>
      </c>
      <c r="AB7" s="214">
        <f>AB6*Detached!Y4</f>
        <v>9600</v>
      </c>
      <c r="AC7" s="214">
        <f>AC6*Detached!Z4</f>
        <v>8489.3617021276586</v>
      </c>
      <c r="AD7" s="214">
        <f>AD6*Detached!AA4</f>
        <v>10500</v>
      </c>
      <c r="AE7" s="214">
        <f>AE6*Detached!AB4</f>
        <v>4500</v>
      </c>
      <c r="AF7" s="214">
        <f>AF6*Detached!AC4</f>
        <v>13500</v>
      </c>
      <c r="AG7" s="214">
        <f>AG6*Detached!AD4</f>
        <v>4500</v>
      </c>
      <c r="AH7" s="214">
        <f>AH6*Detached!AE4</f>
        <v>10500</v>
      </c>
      <c r="AI7" s="214">
        <f>AI6*Detached!AF4</f>
        <v>4500</v>
      </c>
      <c r="AJ7" s="214">
        <f>AJ6*Detached!AG4</f>
        <v>6000</v>
      </c>
      <c r="AK7" s="214">
        <f>AK6*Detached!AH4</f>
        <v>8489.3617021276586</v>
      </c>
      <c r="AL7" s="214">
        <f>AL6*Detached!AI4</f>
        <v>4500</v>
      </c>
      <c r="AM7" s="214">
        <f>AM6*Detached!AJ4</f>
        <v>4500.0000000000009</v>
      </c>
      <c r="AN7" s="214">
        <f>AN6*Detached!AK4</f>
        <v>4500</v>
      </c>
      <c r="AO7" s="214">
        <f>AO6*Detached!AL4</f>
        <v>4500.0000000000009</v>
      </c>
      <c r="AP7" s="214">
        <f>AP6*Detached!AM4</f>
        <v>4500.0000000000009</v>
      </c>
      <c r="AQ7" s="214">
        <f>AQ6*Detached!AN4</f>
        <v>4500.0000000000009</v>
      </c>
      <c r="AT7" s="162"/>
    </row>
    <row r="8" spans="1:46">
      <c r="A8" s="5" t="str">
        <f t="shared" si="1"/>
        <v>OUTPUT</v>
      </c>
      <c r="B8" s="5" t="s">
        <v>616</v>
      </c>
      <c r="C8" s="5" t="str">
        <f t="shared" ref="C8:C71" si="2">IF(B8&lt;&gt;"","Bldg_"&amp;LEFT(E8,8)&amp;"-"&amp;LEFT(D8,3),"")</f>
        <v>Bldg_DETPre45-Win</v>
      </c>
      <c r="D8" s="5" t="s">
        <v>78</v>
      </c>
      <c r="E8" s="5" t="s">
        <v>303</v>
      </c>
      <c r="F8" s="5" t="s">
        <v>606</v>
      </c>
      <c r="G8" s="556">
        <f>$F$1*(Detached!D40-Savings_Detached!D17)</f>
        <v>-1.1207538322577212E-3</v>
      </c>
      <c r="H8" s="556">
        <f>$F$1*(Detached!E40-Savings_Detached!E17)</f>
        <v>5.4157897771733516E-3</v>
      </c>
      <c r="I8" s="556">
        <f>$F$1*(Detached!F40-Savings_Detached!F17)</f>
        <v>-2.0113495616169388E-4</v>
      </c>
      <c r="J8" s="556">
        <f>$F$1*(Detached!G40-Savings_Detached!G17)</f>
        <v>-1.0919039854284829E-3</v>
      </c>
      <c r="K8" s="556">
        <f>$F$1*(Detached!H40-Savings_Detached!H17)</f>
        <v>0</v>
      </c>
      <c r="L8" s="556">
        <f>$F$1*(Detached!I40-Savings_Detached!I17)</f>
        <v>5.7285969672184742E-4</v>
      </c>
      <c r="M8" s="556">
        <f>$F$1*(Detached!J40-Savings_Detached!J17)</f>
        <v>3.9389078439599533E-3</v>
      </c>
      <c r="N8" s="556">
        <f>$F$1*(Detached!K40-Savings_Detached!K17)</f>
        <v>-9.6657053973596353E-4</v>
      </c>
      <c r="O8" s="556">
        <f>$F$1*(Detached!L40-Savings_Detached!L17)</f>
        <v>-7.5934550890767926E-3</v>
      </c>
      <c r="P8" s="556">
        <f>$F$1*(Detached!M40-Savings_Detached!M17)</f>
        <v>7.9065171663123945E-3</v>
      </c>
      <c r="Q8" s="556">
        <f>$F$1*(Detached!N40-Savings_Detached!N17)</f>
        <v>-5.0423380937491746E-3</v>
      </c>
      <c r="R8" s="556">
        <f>$F$1*(Detached!O40-Savings_Detached!O17)</f>
        <v>5.3342828216382428E-3</v>
      </c>
      <c r="S8" s="556">
        <f>$F$1*(Detached!P40-Savings_Detached!P17)</f>
        <v>9.9138554051729022E-4</v>
      </c>
      <c r="T8" s="556">
        <f>$F$1*(Detached!Q40-Savings_Detached!Q17)</f>
        <v>6.7124731529762003E-3</v>
      </c>
      <c r="U8" s="556">
        <f>$F$1*(Detached!R40-Savings_Detached!R17)</f>
        <v>-8.9937319397119736E-4</v>
      </c>
      <c r="V8" s="556">
        <f>$F$1*(Detached!S40-Savings_Detached!S17)</f>
        <v>6.3746330106766091E-3</v>
      </c>
      <c r="W8" s="556">
        <f>$F$1*(Detached!T40-Savings_Detached!T17)</f>
        <v>-4.2890041631616672E-3</v>
      </c>
      <c r="X8" s="556">
        <f>$F$1*(Detached!U40-Savings_Detached!U17)</f>
        <v>8.4263996335108247E-3</v>
      </c>
      <c r="Y8" s="556">
        <f>$F$1*(Detached!V40-Savings_Detached!V17)</f>
        <v>-3.5843066337728239E-3</v>
      </c>
      <c r="Z8" s="556">
        <f>$F$1*(Detached!W40-Savings_Detached!W17)</f>
        <v>8.7119733207410843E-3</v>
      </c>
      <c r="AA8" s="556">
        <f>$F$1*(Detached!X40-Savings_Detached!X17)</f>
        <v>0</v>
      </c>
      <c r="AB8" s="556">
        <f>$F$1*(Detached!Y40-Savings_Detached!Y17)</f>
        <v>2.4217191606237549E-3</v>
      </c>
      <c r="AC8" s="556">
        <f>$F$1*(Detached!Z40-Savings_Detached!Z17)</f>
        <v>4.7020236513723133E-3</v>
      </c>
      <c r="AD8" s="556">
        <f>$F$1*(Detached!AA40-Savings_Detached!AA17)</f>
        <v>-1.6516987571960405E-3</v>
      </c>
      <c r="AE8" s="556">
        <f>$F$1*(Detached!AB40-Savings_Detached!AB17)</f>
        <v>4.3633994537890086E-3</v>
      </c>
      <c r="AF8" s="556">
        <f>$F$1*(Detached!AC40-Savings_Detached!AC17)</f>
        <v>2.6001816693447069E-3</v>
      </c>
      <c r="AG8" s="556">
        <f>$F$1*(Detached!AD40-Savings_Detached!AD17)</f>
        <v>-4.595945082516978E-4</v>
      </c>
      <c r="AH8" s="556">
        <f>$F$1*(Detached!AE40-Savings_Detached!AE17)</f>
        <v>-1.5926050361628138E-3</v>
      </c>
      <c r="AI8" s="556">
        <f>$F$1*(Detached!AF40-Savings_Detached!AF17)</f>
        <v>-1.4249453663220807E-3</v>
      </c>
      <c r="AJ8" s="556">
        <f>$F$1*(Detached!AG40-Savings_Detached!AG17)</f>
        <v>5.1387248981892867E-3</v>
      </c>
      <c r="AK8" s="556">
        <f>$F$1*(Detached!AH40-Savings_Detached!AH17)</f>
        <v>5.6808933548372761E-3</v>
      </c>
      <c r="AL8" s="556">
        <f>$F$1*(Detached!AI40-Savings_Detached!AI17)</f>
        <v>9.9138554051729022E-4</v>
      </c>
      <c r="AM8" s="556">
        <f>$F$1*(Detached!AJ40-Savings_Detached!AJ17)</f>
        <v>1.3327151356001242E-3</v>
      </c>
      <c r="AN8" s="556">
        <f>$F$1*(Detached!AK40-Savings_Detached!AK17)</f>
        <v>1.2062748466827647E-3</v>
      </c>
      <c r="AO8" s="556">
        <f>$F$1*(Detached!AL40-Savings_Detached!AL17)</f>
        <v>-2.0216845561375088E-4</v>
      </c>
      <c r="AP8" s="556">
        <f>$F$1*(Detached!AM40-Savings_Detached!AM17)</f>
        <v>1.2255323645987419E-3</v>
      </c>
      <c r="AQ8" s="556">
        <f>$F$1*(Detached!AN40-Savings_Detached!AN17)</f>
        <v>1.2255323645987419E-3</v>
      </c>
      <c r="AT8" s="5" t="s">
        <v>303</v>
      </c>
    </row>
    <row r="9" spans="1:46">
      <c r="A9" s="5" t="str">
        <f t="shared" si="1"/>
        <v>OUTPUT</v>
      </c>
      <c r="B9" s="5" t="s">
        <v>616</v>
      </c>
      <c r="C9" s="5" t="str">
        <f t="shared" si="2"/>
        <v>Bldg_DETPre69-Win</v>
      </c>
      <c r="D9" s="5" t="s">
        <v>78</v>
      </c>
      <c r="E9" s="5" t="s">
        <v>304</v>
      </c>
      <c r="F9" s="5" t="s">
        <v>606</v>
      </c>
      <c r="G9" s="556">
        <f>$F$1*(Detached!D41-Savings_Detached!D18)</f>
        <v>-1.1359528341904998E-3</v>
      </c>
      <c r="H9" s="556">
        <f>$F$1*(Detached!E41-Savings_Detached!E18)</f>
        <v>5.4157897771733516E-3</v>
      </c>
      <c r="I9" s="556">
        <f>$F$1*(Detached!F41-Savings_Detached!F18)</f>
        <v>-2.0113495616169388E-4</v>
      </c>
      <c r="J9" s="556">
        <f>$F$1*(Detached!G41-Savings_Detached!G18)</f>
        <v>-1.106711742767571E-3</v>
      </c>
      <c r="K9" s="556">
        <f>$F$1*(Detached!H41-Savings_Detached!H18)</f>
        <v>0</v>
      </c>
      <c r="L9" s="556">
        <f>$F$1*(Detached!I41-Savings_Detached!I18)</f>
        <v>5.8989286756498194E-4</v>
      </c>
      <c r="M9" s="556">
        <f>$F$1*(Detached!J41-Savings_Detached!J18)</f>
        <v>-2.2083704345954034E-4</v>
      </c>
      <c r="N9" s="556">
        <f>$F$1*(Detached!K41-Savings_Detached!K18)</f>
        <v>-1.2035419550577603E-3</v>
      </c>
      <c r="O9" s="556">
        <f>$F$1*(Detached!L41-Savings_Detached!L18)</f>
        <v>-7.5934550890767926E-3</v>
      </c>
      <c r="P9" s="556">
        <f>$F$1*(Detached!M41-Savings_Detached!M18)</f>
        <v>8.0543705822691165E-3</v>
      </c>
      <c r="Q9" s="556">
        <f>$F$1*(Detached!N41-Savings_Detached!N18)</f>
        <v>-5.1158849903166492E-3</v>
      </c>
      <c r="R9" s="556">
        <f>$F$1*(Detached!O41-Savings_Detached!O18)</f>
        <v>5.3342828216382428E-3</v>
      </c>
      <c r="S9" s="556">
        <f>$F$1*(Detached!P41-Savings_Detached!P18)</f>
        <v>9.9138554051729022E-4</v>
      </c>
      <c r="T9" s="556">
        <f>$F$1*(Detached!Q41-Savings_Detached!Q18)</f>
        <v>6.646900403796085E-3</v>
      </c>
      <c r="U9" s="556">
        <f>$F$1*(Detached!R41-Savings_Detached!R18)</f>
        <v>-8.9937319397119736E-4</v>
      </c>
      <c r="V9" s="556">
        <f>$F$1*(Detached!S41-Savings_Detached!S18)</f>
        <v>6.3585467299840225E-3</v>
      </c>
      <c r="W9" s="556">
        <f>$F$1*(Detached!T41-Savings_Detached!T18)</f>
        <v>-4.3515630276607853E-3</v>
      </c>
      <c r="X9" s="556">
        <f>$F$1*(Detached!U41-Savings_Detached!U18)</f>
        <v>8.5075369026894661E-3</v>
      </c>
      <c r="Y9" s="556">
        <f>$F$1*(Detached!V41-Savings_Detached!V18)</f>
        <v>-3.5843066337728239E-3</v>
      </c>
      <c r="Z9" s="556">
        <f>$F$1*(Detached!W41-Savings_Detached!W18)</f>
        <v>5.2333865384289729E-3</v>
      </c>
      <c r="AA9" s="556">
        <f>$F$1*(Detached!X41-Savings_Detached!X18)</f>
        <v>-1.3669032598515422E-3</v>
      </c>
      <c r="AB9" s="556">
        <f>$F$1*(Detached!Y41-Savings_Detached!Y18)</f>
        <v>2.4223112376477091E-3</v>
      </c>
      <c r="AC9" s="556">
        <f>$F$1*(Detached!Z41-Savings_Detached!Z18)</f>
        <v>3.304223732900546E-3</v>
      </c>
      <c r="AD9" s="556">
        <f>$F$1*(Detached!AA41-Savings_Detached!AA18)</f>
        <v>-2.0469312892919976E-3</v>
      </c>
      <c r="AE9" s="556">
        <f>$F$1*(Detached!AB41-Savings_Detached!AB18)</f>
        <v>-2.521893800650287E-4</v>
      </c>
      <c r="AF9" s="556">
        <f>$F$1*(Detached!AC41-Savings_Detached!AC18)</f>
        <v>2.8348362617124628E-3</v>
      </c>
      <c r="AG9" s="556">
        <f>$F$1*(Detached!AD41-Savings_Detached!AD18)</f>
        <v>-9.345240286526723E-4</v>
      </c>
      <c r="AH9" s="556">
        <f>$F$1*(Detached!AE41-Savings_Detached!AE18)</f>
        <v>-1.9736971198911608E-3</v>
      </c>
      <c r="AI9" s="556">
        <f>$F$1*(Detached!AF41-Savings_Detached!AF18)</f>
        <v>-1.4249453663220807E-3</v>
      </c>
      <c r="AJ9" s="556">
        <f>$F$1*(Detached!AG41-Savings_Detached!AG18)</f>
        <v>5.2912620833200676E-3</v>
      </c>
      <c r="AK9" s="556">
        <f>$F$1*(Detached!AH41-Savings_Detached!AH18)</f>
        <v>5.3403561169242742E-3</v>
      </c>
      <c r="AL9" s="556">
        <f>$F$1*(Detached!AI41-Savings_Detached!AI18)</f>
        <v>9.9138554051729022E-4</v>
      </c>
      <c r="AM9" s="556">
        <f>$F$1*(Detached!AJ41-Savings_Detached!AJ18)</f>
        <v>1.3327151356001242E-3</v>
      </c>
      <c r="AN9" s="556">
        <f>$F$1*(Detached!AK41-Savings_Detached!AK18)</f>
        <v>1.2062748466827647E-3</v>
      </c>
      <c r="AO9" s="556">
        <f>$F$1*(Detached!AL41-Savings_Detached!AL18)</f>
        <v>-2.0216845561375088E-4</v>
      </c>
      <c r="AP9" s="556">
        <f>$F$1*(Detached!AM41-Savings_Detached!AM18)</f>
        <v>1.2255323645987419E-3</v>
      </c>
      <c r="AQ9" s="556">
        <f>$F$1*(Detached!AN41-Savings_Detached!AN18)</f>
        <v>1.2255323645987419E-3</v>
      </c>
      <c r="AT9" s="5" t="s">
        <v>304</v>
      </c>
    </row>
    <row r="10" spans="1:46">
      <c r="A10" s="5" t="str">
        <f t="shared" si="1"/>
        <v>OUTPUT</v>
      </c>
      <c r="B10" s="5" t="s">
        <v>616</v>
      </c>
      <c r="C10" s="5" t="str">
        <f t="shared" si="2"/>
        <v>Bldg_DETPre79-Win</v>
      </c>
      <c r="D10" s="5" t="s">
        <v>78</v>
      </c>
      <c r="E10" s="5" t="s">
        <v>305</v>
      </c>
      <c r="F10" s="5" t="s">
        <v>606</v>
      </c>
      <c r="G10" s="556">
        <f>$F$1*(Detached!D42-Savings_Detached!D19)</f>
        <v>-2.3650501336854057E-3</v>
      </c>
      <c r="H10" s="556">
        <f>$F$1*(Detached!E42-Savings_Detached!E19)</f>
        <v>5.4157897771733516E-3</v>
      </c>
      <c r="I10" s="556">
        <f>$F$1*(Detached!F42-Savings_Detached!F19)</f>
        <v>-2.0315656661444595E-4</v>
      </c>
      <c r="J10" s="556">
        <f>$F$1*(Detached!G42-Savings_Detached!G19)</f>
        <v>-2.3041702757393813E-3</v>
      </c>
      <c r="K10" s="556">
        <f>$F$1*(Detached!H42-Savings_Detached!H19)</f>
        <v>3.4528627018787293E-3</v>
      </c>
      <c r="L10" s="556">
        <f>$F$1*(Detached!I42-Savings_Detached!I19)</f>
        <v>5.8989286756498194E-4</v>
      </c>
      <c r="M10" s="556">
        <f>$F$1*(Detached!J42-Savings_Detached!J19)</f>
        <v>5.4111069038107677E-4</v>
      </c>
      <c r="N10" s="556">
        <f>$F$1*(Detached!K42-Savings_Detached!K19)</f>
        <v>-1.4766242747636282E-3</v>
      </c>
      <c r="O10" s="556">
        <f>$F$1*(Detached!L42-Savings_Detached!L19)</f>
        <v>-7.8341851949591552E-3</v>
      </c>
      <c r="P10" s="556">
        <f>$F$1*(Detached!M42-Savings_Detached!M19)</f>
        <v>8.0543705822691165E-3</v>
      </c>
      <c r="Q10" s="556">
        <f>$F$1*(Detached!N42-Savings_Detached!N19)</f>
        <v>-6.858329962779023E-3</v>
      </c>
      <c r="R10" s="556">
        <f>$F$1*(Detached!O42-Savings_Detached!O19)</f>
        <v>3.2560457541812777E-3</v>
      </c>
      <c r="S10" s="556">
        <f>$F$1*(Detached!P42-Savings_Detached!P19)</f>
        <v>9.9138554051729022E-4</v>
      </c>
      <c r="T10" s="556">
        <f>$F$1*(Detached!Q42-Savings_Detached!Q19)</f>
        <v>1.1952250995045355E-3</v>
      </c>
      <c r="U10" s="556">
        <f>$F$1*(Detached!R42-Savings_Detached!R19)</f>
        <v>-9.2142653437971478E-4</v>
      </c>
      <c r="V10" s="556">
        <f>$F$1*(Detached!S42-Savings_Detached!S19)</f>
        <v>6.5308707311404878E-3</v>
      </c>
      <c r="W10" s="556">
        <f>$F$1*(Detached!T42-Savings_Detached!T19)</f>
        <v>-5.8336837426988799E-3</v>
      </c>
      <c r="X10" s="556">
        <f>$F$1*(Detached!U42-Savings_Detached!U19)</f>
        <v>6.2173401779456947E-3</v>
      </c>
      <c r="Y10" s="556">
        <f>$F$1*(Detached!V42-Savings_Detached!V19)</f>
        <v>-6.4198179025574649E-3</v>
      </c>
      <c r="Z10" s="556">
        <f>$F$1*(Detached!W42-Savings_Detached!W19)</f>
        <v>1.6215835350370394E-3</v>
      </c>
      <c r="AA10" s="556">
        <f>$F$1*(Detached!X42-Savings_Detached!X19)</f>
        <v>-1.3845356973376521E-3</v>
      </c>
      <c r="AB10" s="556">
        <f>$F$1*(Detached!Y42-Savings_Detached!Y19)</f>
        <v>2.5025837002035267E-3</v>
      </c>
      <c r="AC10" s="556">
        <f>$F$1*(Detached!Z42-Savings_Detached!Z19)</f>
        <v>3.323244549543909E-3</v>
      </c>
      <c r="AD10" s="556">
        <f>$F$1*(Detached!AA42-Savings_Detached!AA19)</f>
        <v>-2.4942976521473105E-3</v>
      </c>
      <c r="AE10" s="556">
        <f>$F$1*(Detached!AB42-Savings_Detached!AB19)</f>
        <v>-2.419366088601483E-3</v>
      </c>
      <c r="AF10" s="556">
        <f>$F$1*(Detached!AC42-Savings_Detached!AC19)</f>
        <v>2.8442134185674636E-3</v>
      </c>
      <c r="AG10" s="556">
        <f>$F$1*(Detached!AD42-Savings_Detached!AD19)</f>
        <v>-9.345240286526723E-4</v>
      </c>
      <c r="AH10" s="556">
        <f>$F$1*(Detached!AE42-Savings_Detached!AE19)</f>
        <v>-2.4050578140789635E-3</v>
      </c>
      <c r="AI10" s="556">
        <f>$F$1*(Detached!AF42-Savings_Detached!AF19)</f>
        <v>-2.8890936993978137E-3</v>
      </c>
      <c r="AJ10" s="556">
        <f>$F$1*(Detached!AG42-Savings_Detached!AG19)</f>
        <v>5.2912620833200676E-3</v>
      </c>
      <c r="AK10" s="556">
        <f>$F$1*(Detached!AH42-Savings_Detached!AH19)</f>
        <v>4.0457435266138819E-3</v>
      </c>
      <c r="AL10" s="556">
        <f>$F$1*(Detached!AI42-Savings_Detached!AI19)</f>
        <v>9.9138554051729022E-4</v>
      </c>
      <c r="AM10" s="556">
        <f>$F$1*(Detached!AJ42-Savings_Detached!AJ19)</f>
        <v>1.3327151356001242E-3</v>
      </c>
      <c r="AN10" s="556">
        <f>$F$1*(Detached!AK42-Savings_Detached!AK19)</f>
        <v>1.2062748466827647E-3</v>
      </c>
      <c r="AO10" s="556">
        <f>$F$1*(Detached!AL42-Savings_Detached!AL19)</f>
        <v>-2.0422805180466533E-4</v>
      </c>
      <c r="AP10" s="556">
        <f>$F$1*(Detached!AM42-Savings_Detached!AM19)</f>
        <v>1.2255323645987419E-3</v>
      </c>
      <c r="AQ10" s="556">
        <f>$F$1*(Detached!AN42-Savings_Detached!AN19)</f>
        <v>1.2255323645987419E-3</v>
      </c>
      <c r="AT10" s="5" t="s">
        <v>305</v>
      </c>
    </row>
    <row r="11" spans="1:46">
      <c r="A11" s="5" t="str">
        <f t="shared" si="1"/>
        <v>OUTPUT</v>
      </c>
      <c r="B11" s="5" t="s">
        <v>616</v>
      </c>
      <c r="C11" s="5" t="str">
        <f t="shared" si="2"/>
        <v>Bldg_DETPre89-Win</v>
      </c>
      <c r="D11" s="5" t="s">
        <v>78</v>
      </c>
      <c r="E11" s="5" t="s">
        <v>306</v>
      </c>
      <c r="F11" s="5" t="s">
        <v>606</v>
      </c>
      <c r="G11" s="556">
        <f>$F$1*(Detached!D43-Savings_Detached!D20)</f>
        <v>-5.6638714315725546E-3</v>
      </c>
      <c r="H11" s="556">
        <f>$F$1*(Detached!E43-Savings_Detached!E20)</f>
        <v>4.015480064528087E-3</v>
      </c>
      <c r="I11" s="556">
        <f>$F$1*(Detached!F43-Savings_Detached!F20)</f>
        <v>-2.0836749264265821E-4</v>
      </c>
      <c r="J11" s="556">
        <f>$F$1*(Detached!G43-Savings_Detached!G20)</f>
        <v>-5.5180750768706321E-3</v>
      </c>
      <c r="K11" s="556">
        <f>$F$1*(Detached!H43-Savings_Detached!H20)</f>
        <v>3.4714365215912707E-3</v>
      </c>
      <c r="L11" s="556">
        <f>$F$1*(Detached!I43-Savings_Detached!I20)</f>
        <v>6.0132683410510813E-4</v>
      </c>
      <c r="M11" s="556">
        <f>$F$1*(Detached!J43-Savings_Detached!J20)</f>
        <v>-7.307200746619675E-4</v>
      </c>
      <c r="N11" s="556">
        <f>$F$1*(Detached!K43-Savings_Detached!K20)</f>
        <v>-2.1151127722475746E-3</v>
      </c>
      <c r="O11" s="556">
        <f>$F$1*(Detached!L43-Savings_Detached!L20)</f>
        <v>-1.3251172264594732E-2</v>
      </c>
      <c r="P11" s="556">
        <f>$F$1*(Detached!M43-Savings_Detached!M20)</f>
        <v>1.7284594235024047E-3</v>
      </c>
      <c r="Q11" s="556">
        <f>$F$1*(Detached!N43-Savings_Detached!N20)</f>
        <v>-1.032856502798169E-2</v>
      </c>
      <c r="R11" s="556">
        <f>$F$1*(Detached!O43-Savings_Detached!O20)</f>
        <v>1.4169255565557501E-3</v>
      </c>
      <c r="S11" s="556">
        <f>$F$1*(Detached!P43-Savings_Detached!P20)</f>
        <v>9.9627678459229818E-4</v>
      </c>
      <c r="T11" s="556">
        <f>$F$1*(Detached!Q43-Savings_Detached!Q20)</f>
        <v>1.1952250995045355E-3</v>
      </c>
      <c r="U11" s="556">
        <f>$F$1*(Detached!R43-Savings_Detached!R20)</f>
        <v>-9.6953315132876979E-4</v>
      </c>
      <c r="V11" s="556">
        <f>$F$1*(Detached!S43-Savings_Detached!S20)</f>
        <v>2.9037988728736358E-3</v>
      </c>
      <c r="W11" s="556">
        <f>$F$1*(Detached!T43-Savings_Detached!T20)</f>
        <v>-8.7854597571345189E-3</v>
      </c>
      <c r="X11" s="556">
        <f>$F$1*(Detached!U43-Savings_Detached!U20)</f>
        <v>1.8572441456828576E-3</v>
      </c>
      <c r="Y11" s="556">
        <f>$F$1*(Detached!V43-Savings_Detached!V20)</f>
        <v>-6.4198179025574649E-3</v>
      </c>
      <c r="Z11" s="556">
        <f>$F$1*(Detached!W43-Savings_Detached!W20)</f>
        <v>-3.8821318624585911E-3</v>
      </c>
      <c r="AA11" s="556">
        <f>$F$1*(Detached!X43-Savings_Detached!X20)</f>
        <v>-6.7998686256670899E-3</v>
      </c>
      <c r="AB11" s="556">
        <f>$F$1*(Detached!Y43-Savings_Detached!Y20)</f>
        <v>2.5401340145664781E-3</v>
      </c>
      <c r="AC11" s="556">
        <f>$F$1*(Detached!Z43-Savings_Detached!Z20)</f>
        <v>3.2491876650770084E-3</v>
      </c>
      <c r="AD11" s="556">
        <f>$F$1*(Detached!AA43-Savings_Detached!AA20)</f>
        <v>-3.4752949183899451E-3</v>
      </c>
      <c r="AE11" s="556">
        <f>$F$1*(Detached!AB43-Savings_Detached!AB20)</f>
        <v>-2.419366088601483E-3</v>
      </c>
      <c r="AF11" s="556">
        <f>$F$1*(Detached!AC43-Savings_Detached!AC20)</f>
        <v>3.0497956651423918E-3</v>
      </c>
      <c r="AG11" s="556">
        <f>$F$1*(Detached!AD43-Savings_Detached!AD20)</f>
        <v>-1.4411829431515786E-3</v>
      </c>
      <c r="AH11" s="556">
        <f>$F$1*(Detached!AE43-Savings_Detached!AE20)</f>
        <v>-3.3509574097971687E-3</v>
      </c>
      <c r="AI11" s="556">
        <f>$F$1*(Detached!AF43-Savings_Detached!AF20)</f>
        <v>-5.5382387736267339E-3</v>
      </c>
      <c r="AJ11" s="556">
        <f>$F$1*(Detached!AG43-Savings_Detached!AG20)</f>
        <v>1.0869387072262051E-3</v>
      </c>
      <c r="AK11" s="556">
        <f>$F$1*(Detached!AH43-Savings_Detached!AH20)</f>
        <v>4.0020044424222542E-3</v>
      </c>
      <c r="AL11" s="556">
        <f>$F$1*(Detached!AI43-Savings_Detached!AI20)</f>
        <v>9.9627678459229818E-4</v>
      </c>
      <c r="AM11" s="556">
        <f>$F$1*(Detached!AJ43-Savings_Detached!AJ20)</f>
        <v>1.365734036998702E-3</v>
      </c>
      <c r="AN11" s="556">
        <f>$F$1*(Detached!AK43-Savings_Detached!AK20)</f>
        <v>1.2378895742059862E-3</v>
      </c>
      <c r="AO11" s="556">
        <f>$F$1*(Detached!AL43-Savings_Detached!AL20)</f>
        <v>-2.0953946469739172E-4</v>
      </c>
      <c r="AP11" s="556">
        <f>$F$1*(Detached!AM43-Savings_Detached!AM20)</f>
        <v>1.2558957417575273E-3</v>
      </c>
      <c r="AQ11" s="556">
        <f>$F$1*(Detached!AN43-Savings_Detached!AN20)</f>
        <v>1.2558957417575273E-3</v>
      </c>
      <c r="AT11" s="5" t="s">
        <v>306</v>
      </c>
    </row>
    <row r="12" spans="1:46">
      <c r="A12" s="5" t="str">
        <f t="shared" si="1"/>
        <v>OUTPUT</v>
      </c>
      <c r="B12" s="5" t="s">
        <v>616</v>
      </c>
      <c r="C12" s="5" t="str">
        <f t="shared" si="2"/>
        <v>Bldg_DETPre99-Win</v>
      </c>
      <c r="D12" s="5" t="s">
        <v>78</v>
      </c>
      <c r="E12" s="5" t="s">
        <v>307</v>
      </c>
      <c r="F12" s="5" t="s">
        <v>606</v>
      </c>
      <c r="G12" s="556">
        <f>$F$1*(Detached!D44-Savings_Detached!D21)</f>
        <v>-7.1026514146211688E-3</v>
      </c>
      <c r="H12" s="556">
        <f>$F$1*(Detached!E44-Savings_Detached!E21)</f>
        <v>4.015480064528087E-3</v>
      </c>
      <c r="I12" s="556">
        <f>$F$1*(Detached!F44-Savings_Detached!F21)</f>
        <v>-2.1651829237300484E-4</v>
      </c>
      <c r="J12" s="556">
        <f>$F$1*(Detached!G44-Savings_Detached!G21)</f>
        <v>-6.9198187536964008E-3</v>
      </c>
      <c r="K12" s="556">
        <f>$F$1*(Detached!H44-Savings_Detached!H21)</f>
        <v>-1.2502293529625323E-3</v>
      </c>
      <c r="L12" s="556">
        <f>$F$1*(Detached!I44-Savings_Detached!I21)</f>
        <v>-1.887519190533074E-3</v>
      </c>
      <c r="M12" s="556">
        <f>$F$1*(Detached!J44-Savings_Detached!J21)</f>
        <v>-6.7080679956794233E-3</v>
      </c>
      <c r="N12" s="556">
        <f>$F$1*(Detached!K44-Savings_Detached!K21)</f>
        <v>-2.1151127722475746E-3</v>
      </c>
      <c r="O12" s="556">
        <f>$F$1*(Detached!L44-Savings_Detached!L21)</f>
        <v>-1.403301446680248E-2</v>
      </c>
      <c r="P12" s="556">
        <f>$F$1*(Detached!M44-Savings_Detached!M21)</f>
        <v>1.7284594235024047E-3</v>
      </c>
      <c r="Q12" s="556">
        <f>$F$1*(Detached!N44-Savings_Detached!N21)</f>
        <v>-1.0348354282985799E-2</v>
      </c>
      <c r="R12" s="556">
        <f>$F$1*(Detached!O44-Savings_Detached!O21)</f>
        <v>-3.6430655274100202E-3</v>
      </c>
      <c r="S12" s="556">
        <f>$F$1*(Detached!P44-Savings_Detached!P21)</f>
        <v>9.9627678459229818E-4</v>
      </c>
      <c r="T12" s="556">
        <f>$F$1*(Detached!Q44-Savings_Detached!Q21)</f>
        <v>-1.2631649631625668E-3</v>
      </c>
      <c r="U12" s="556">
        <f>$F$1*(Detached!R44-Savings_Detached!R21)</f>
        <v>-9.6953315132876979E-4</v>
      </c>
      <c r="V12" s="556">
        <f>$F$1*(Detached!S44-Savings_Detached!S21)</f>
        <v>2.9870650828224279E-3</v>
      </c>
      <c r="W12" s="556">
        <f>$F$1*(Detached!T44-Savings_Detached!T21)</f>
        <v>-8.8022924636132344E-3</v>
      </c>
      <c r="X12" s="556">
        <f>$F$1*(Detached!U44-Savings_Detached!U21)</f>
        <v>1.8833882909462863E-3</v>
      </c>
      <c r="Y12" s="556">
        <f>$F$1*(Detached!V44-Savings_Detached!V21)</f>
        <v>-6.4198179025574649E-3</v>
      </c>
      <c r="Z12" s="556">
        <f>$F$1*(Detached!W44-Savings_Detached!W21)</f>
        <v>-6.2421711207375653E-3</v>
      </c>
      <c r="AA12" s="556">
        <f>$F$1*(Detached!X44-Savings_Detached!X21)</f>
        <v>-6.8175655320138308E-3</v>
      </c>
      <c r="AB12" s="556">
        <f>$F$1*(Detached!Y44-Savings_Detached!Y21)</f>
        <v>2.5477498516470742E-3</v>
      </c>
      <c r="AC12" s="556">
        <f>$F$1*(Detached!Z44-Savings_Detached!Z21)</f>
        <v>8.8761121028885551E-4</v>
      </c>
      <c r="AD12" s="556">
        <f>$F$1*(Detached!AA44-Savings_Detached!AA21)</f>
        <v>-3.5343679507690131E-3</v>
      </c>
      <c r="AE12" s="556">
        <f>$F$1*(Detached!AB44-Savings_Detached!AB21)</f>
        <v>-2.419366088601483E-3</v>
      </c>
      <c r="AF12" s="556">
        <f>$F$1*(Detached!AC44-Savings_Detached!AC21)</f>
        <v>2.8994878682685977E-3</v>
      </c>
      <c r="AG12" s="556">
        <f>$F$1*(Detached!AD44-Savings_Detached!AD21)</f>
        <v>-1.4411829431515786E-3</v>
      </c>
      <c r="AH12" s="556">
        <f>$F$1*(Detached!AE44-Savings_Detached!AE21)</f>
        <v>-3.4079169543015488E-3</v>
      </c>
      <c r="AI12" s="556">
        <f>$F$1*(Detached!AF44-Savings_Detached!AF21)</f>
        <v>-5.8464519675984006E-3</v>
      </c>
      <c r="AJ12" s="556">
        <f>$F$1*(Detached!AG44-Savings_Detached!AG21)</f>
        <v>1.1039018181375347E-3</v>
      </c>
      <c r="AK12" s="556">
        <f>$F$1*(Detached!AH44-Savings_Detached!AH21)</f>
        <v>-3.2719093284371979E-3</v>
      </c>
      <c r="AL12" s="556">
        <f>$F$1*(Detached!AI44-Savings_Detached!AI21)</f>
        <v>9.9627678459229818E-4</v>
      </c>
      <c r="AM12" s="556">
        <f>$F$1*(Detached!AJ44-Savings_Detached!AJ21)</f>
        <v>1.83834501111768E-3</v>
      </c>
      <c r="AN12" s="556">
        <f>$F$1*(Detached!AK44-Savings_Detached!AK21)</f>
        <v>1.6674716541454199E-3</v>
      </c>
      <c r="AO12" s="556">
        <f>$F$1*(Detached!AL44-Savings_Detached!AL21)</f>
        <v>-2.1793044768184049E-4</v>
      </c>
      <c r="AP12" s="556">
        <f>$F$1*(Detached!AM44-Savings_Detached!AM21)</f>
        <v>1.6904972775062448E-3</v>
      </c>
      <c r="AQ12" s="556">
        <f>$F$1*(Detached!AN44-Savings_Detached!AN21)</f>
        <v>1.6904972775062448E-3</v>
      </c>
      <c r="AT12" s="5" t="s">
        <v>307</v>
      </c>
    </row>
    <row r="13" spans="1:46">
      <c r="A13" s="5" t="str">
        <f t="shared" si="1"/>
        <v>OUTPUT</v>
      </c>
      <c r="B13" s="5" t="s">
        <v>616</v>
      </c>
      <c r="C13" s="5" t="str">
        <f t="shared" si="2"/>
        <v>Bldg_DETPre09-Win</v>
      </c>
      <c r="D13" s="5" t="s">
        <v>78</v>
      </c>
      <c r="E13" s="5" t="s">
        <v>308</v>
      </c>
      <c r="F13" s="5" t="s">
        <v>606</v>
      </c>
      <c r="G13" s="556">
        <f>$F$1*(Detached!D45-Savings_Detached!D22)</f>
        <v>-7.899850340311201E-3</v>
      </c>
      <c r="H13" s="556">
        <f>$F$1*(Detached!E45-Savings_Detached!E22)</f>
        <v>-1.1243315348002808E-3</v>
      </c>
      <c r="I13" s="556">
        <f>$F$1*(Detached!F45-Savings_Detached!F22)</f>
        <v>-2.1888713400964686E-3</v>
      </c>
      <c r="J13" s="556">
        <f>$F$1*(Detached!G45-Savings_Detached!G22)</f>
        <v>-7.6964966102304475E-3</v>
      </c>
      <c r="K13" s="556">
        <f>$F$1*(Detached!H45-Savings_Detached!H22)</f>
        <v>0</v>
      </c>
      <c r="L13" s="556">
        <f>$F$1*(Detached!I45-Savings_Detached!I22)</f>
        <v>-6.5130361035900418E-3</v>
      </c>
      <c r="M13" s="556">
        <f>$F$1*(Detached!J45-Savings_Detached!J22)</f>
        <v>-6.6231565165249225E-3</v>
      </c>
      <c r="N13" s="556">
        <f>$F$1*(Detached!K45-Savings_Detached!K22)</f>
        <v>-6.8494761947357962E-3</v>
      </c>
      <c r="O13" s="556">
        <f>$F$1*(Detached!L45-Savings_Detached!L22)</f>
        <v>-1.403301446680248E-2</v>
      </c>
      <c r="P13" s="556">
        <f>$F$1*(Detached!M45-Savings_Detached!M22)</f>
        <v>1.2390116811424503E-3</v>
      </c>
      <c r="Q13" s="556">
        <f>$F$1*(Detached!N45-Savings_Detached!N22)</f>
        <v>-1.3261840421912249E-2</v>
      </c>
      <c r="R13" s="556">
        <f>$F$1*(Detached!O45-Savings_Detached!O22)</f>
        <v>-4.0157297522333997E-3</v>
      </c>
      <c r="S13" s="556">
        <f>$F$1*(Detached!P45-Savings_Detached!P22)</f>
        <v>1.1865182889821385E-3</v>
      </c>
      <c r="T13" s="556">
        <f>$F$1*(Detached!Q45-Savings_Detached!Q22)</f>
        <v>-4.0797455567726758E-3</v>
      </c>
      <c r="U13" s="556">
        <f>$F$1*(Detached!R45-Savings_Detached!R22)</f>
        <v>-6.2793985145878934E-3</v>
      </c>
      <c r="V13" s="556">
        <f>$F$1*(Detached!S45-Savings_Detached!S22)</f>
        <v>-9.0159988145254626E-4</v>
      </c>
      <c r="W13" s="556">
        <f>$F$1*(Detached!T45-Savings_Detached!T22)</f>
        <v>-1.1280498793065877E-2</v>
      </c>
      <c r="X13" s="556">
        <f>$F$1*(Detached!U45-Savings_Detached!U22)</f>
        <v>-1.2626530857326873E-3</v>
      </c>
      <c r="Y13" s="556">
        <f>$F$1*(Detached!V45-Savings_Detached!V22)</f>
        <v>-8.3773349513495635E-3</v>
      </c>
      <c r="Z13" s="556">
        <f>$F$1*(Detached!W45-Savings_Detached!W22)</f>
        <v>-8.1993569432946001E-3</v>
      </c>
      <c r="AA13" s="556">
        <f>$F$1*(Detached!X45-Savings_Detached!X22)</f>
        <v>-8.7926019538922089E-3</v>
      </c>
      <c r="AB13" s="556">
        <f>$F$1*(Detached!Y45-Savings_Detached!Y22)</f>
        <v>2.568387591004456E-3</v>
      </c>
      <c r="AC13" s="556">
        <f>$F$1*(Detached!Z45-Savings_Detached!Z22)</f>
        <v>-3.6194889453293514E-3</v>
      </c>
      <c r="AD13" s="556">
        <f>$F$1*(Detached!AA45-Savings_Detached!AA22)</f>
        <v>-1.1066398630675532E-2</v>
      </c>
      <c r="AE13" s="556">
        <f>$F$1*(Detached!AB45-Savings_Detached!AB22)</f>
        <v>-2.5210872914704185E-3</v>
      </c>
      <c r="AF13" s="556">
        <f>$F$1*(Detached!AC45-Savings_Detached!AC22)</f>
        <v>9.326739048979327E-4</v>
      </c>
      <c r="AG13" s="556">
        <f>$F$1*(Detached!AD45-Savings_Detached!AD22)</f>
        <v>-6.4903288101565825E-3</v>
      </c>
      <c r="AH13" s="556">
        <f>$F$1*(Detached!AE45-Savings_Detached!AE22)</f>
        <v>-1.0670470093056623E-2</v>
      </c>
      <c r="AI13" s="556">
        <f>$F$1*(Detached!AF45-Savings_Detached!AF22)</f>
        <v>-8.0978001350289017E-3</v>
      </c>
      <c r="AJ13" s="556">
        <f>$F$1*(Detached!AG45-Savings_Detached!AG22)</f>
        <v>-6.0065515090364898E-3</v>
      </c>
      <c r="AK13" s="556">
        <f>$F$1*(Detached!AH45-Savings_Detached!AH22)</f>
        <v>-4.9016057716645932E-3</v>
      </c>
      <c r="AL13" s="556">
        <f>$F$1*(Detached!AI45-Savings_Detached!AI22)</f>
        <v>1.1865182889821385E-3</v>
      </c>
      <c r="AM13" s="556">
        <f>$F$1*(Detached!AJ45-Savings_Detached!AJ22)</f>
        <v>-4.7035308685250063E-4</v>
      </c>
      <c r="AN13" s="556">
        <f>$F$1*(Detached!AK45-Savings_Detached!AK22)</f>
        <v>-4.2674333526634224E-4</v>
      </c>
      <c r="AO13" s="556">
        <f>$F$1*(Detached!AL45-Savings_Detached!AL22)</f>
        <v>-2.2047922059634018E-3</v>
      </c>
      <c r="AP13" s="556">
        <f>$F$1*(Detached!AM45-Savings_Detached!AM22)</f>
        <v>-4.3252523763609869E-4</v>
      </c>
      <c r="AQ13" s="556">
        <f>$F$1*(Detached!AN45-Savings_Detached!AN22)</f>
        <v>-4.3252523763609869E-4</v>
      </c>
      <c r="AT13" s="5" t="s">
        <v>308</v>
      </c>
    </row>
    <row r="14" spans="1:46">
      <c r="A14" s="5" t="str">
        <f t="shared" si="1"/>
        <v>\I:</v>
      </c>
      <c r="C14" s="5" t="str">
        <f t="shared" si="2"/>
        <v/>
      </c>
      <c r="E14" s="5" t="s">
        <v>623</v>
      </c>
      <c r="G14" s="493"/>
      <c r="H14" s="493"/>
      <c r="I14" s="493"/>
      <c r="J14" s="493"/>
      <c r="K14" s="493"/>
      <c r="L14" s="493"/>
      <c r="M14" s="493"/>
      <c r="N14" s="493"/>
      <c r="O14" s="493"/>
      <c r="P14" s="493"/>
      <c r="Q14" s="493"/>
      <c r="R14" s="493"/>
      <c r="S14" s="493"/>
      <c r="T14" s="493"/>
      <c r="U14" s="493"/>
      <c r="V14" s="493"/>
      <c r="W14" s="493"/>
      <c r="X14" s="493"/>
      <c r="Y14" s="493"/>
      <c r="Z14" s="493"/>
      <c r="AA14" s="493"/>
      <c r="AB14" s="493"/>
      <c r="AC14" s="493"/>
      <c r="AD14" s="493"/>
      <c r="AE14" s="493"/>
      <c r="AF14" s="493"/>
      <c r="AG14" s="493"/>
      <c r="AH14" s="493"/>
      <c r="AI14" s="493"/>
      <c r="AJ14" s="493"/>
      <c r="AK14" s="493"/>
      <c r="AL14" s="493"/>
      <c r="AM14" s="493"/>
      <c r="AN14" s="493"/>
      <c r="AO14" s="493"/>
      <c r="AP14" s="493"/>
      <c r="AQ14" s="493"/>
    </row>
    <row r="15" spans="1:46">
      <c r="A15" s="135" t="str">
        <f t="shared" si="1"/>
        <v>\I:</v>
      </c>
      <c r="C15" s="5" t="str">
        <f t="shared" si="2"/>
        <v/>
      </c>
      <c r="E15" s="5" t="s">
        <v>623</v>
      </c>
      <c r="F15" s="135" t="s">
        <v>393</v>
      </c>
      <c r="G15" s="492">
        <f>G24*'Energy Efficiency Measures-DBT'!D56/'Energy Efficiency Measures-DBT'!D57</f>
        <v>60.083867064444114</v>
      </c>
      <c r="H15" s="492">
        <f>H24*'Energy Efficiency Measures-DBT'!E56/'Energy Efficiency Measures-DBT'!E57</f>
        <v>84.273977967990575</v>
      </c>
      <c r="I15" s="492">
        <f>I24*'Energy Efficiency Measures-DBT'!F56/'Energy Efficiency Measures-DBT'!F57</f>
        <v>75.462150252781697</v>
      </c>
      <c r="J15" s="492">
        <f>J24*'Energy Efficiency Measures-DBT'!G56/'Energy Efficiency Measures-DBT'!G57</f>
        <v>60.083867064444114</v>
      </c>
      <c r="K15" s="492">
        <f>K24*'Energy Efficiency Measures-DBT'!H56/'Energy Efficiency Measures-DBT'!H57</f>
        <v>104.91432237434749</v>
      </c>
      <c r="L15" s="492">
        <f>L24*'Energy Efficiency Measures-DBT'!I56/'Energy Efficiency Measures-DBT'!I57</f>
        <v>62.49172660614704</v>
      </c>
      <c r="M15" s="492">
        <f>M24*'Energy Efficiency Measures-DBT'!J56/'Energy Efficiency Measures-DBT'!J57</f>
        <v>78.236546746122457</v>
      </c>
      <c r="N15" s="492">
        <f>N24*'Energy Efficiency Measures-DBT'!K56/'Energy Efficiency Measures-DBT'!K57</f>
        <v>71.802543006731483</v>
      </c>
      <c r="O15" s="492">
        <f>O24*'Energy Efficiency Measures-DBT'!L56/'Energy Efficiency Measures-DBT'!L57</f>
        <v>56.279071218045836</v>
      </c>
      <c r="P15" s="492">
        <f>P24*'Energy Efficiency Measures-DBT'!M56/'Energy Efficiency Measures-DBT'!M57</f>
        <v>110.30184044568433</v>
      </c>
      <c r="Q15" s="492">
        <f>Q24*'Energy Efficiency Measures-DBT'!N56/'Energy Efficiency Measures-DBT'!N57</f>
        <v>98.969072164948443</v>
      </c>
      <c r="R15" s="492">
        <f>R24*'Energy Efficiency Measures-DBT'!O56/'Energy Efficiency Measures-DBT'!O57</f>
        <v>101.05268680146827</v>
      </c>
      <c r="S15" s="492">
        <f>S24*'Energy Efficiency Measures-DBT'!P56/'Energy Efficiency Measures-DBT'!P57</f>
        <v>104.91432237434749</v>
      </c>
      <c r="T15" s="492">
        <f>T24*'Energy Efficiency Measures-DBT'!Q56/'Energy Efficiency Measures-DBT'!Q57</f>
        <v>69.806922342373028</v>
      </c>
      <c r="U15" s="492">
        <f>U24*'Energy Efficiency Measures-DBT'!R56/'Energy Efficiency Measures-DBT'!R57</f>
        <v>51.53028521819629</v>
      </c>
      <c r="V15" s="492">
        <f>V24*'Energy Efficiency Measures-DBT'!S56/'Energy Efficiency Measures-DBT'!S57</f>
        <v>71.367973586169214</v>
      </c>
      <c r="W15" s="492">
        <f>W24*'Energy Efficiency Measures-DBT'!T56/'Energy Efficiency Measures-DBT'!T57</f>
        <v>98.969072164948443</v>
      </c>
      <c r="X15" s="492">
        <f>X24*'Energy Efficiency Measures-DBT'!U56/'Energy Efficiency Measures-DBT'!U57</f>
        <v>87.511394712853232</v>
      </c>
      <c r="Y15" s="492">
        <f>Y24*'Energy Efficiency Measures-DBT'!V56/'Energy Efficiency Measures-DBT'!V57</f>
        <v>49.693417496037725</v>
      </c>
      <c r="Z15" s="492">
        <f>Z24*'Energy Efficiency Measures-DBT'!W56/'Energy Efficiency Measures-DBT'!W57</f>
        <v>109.65587735456155</v>
      </c>
      <c r="AA15" s="492">
        <f>AA24*'Energy Efficiency Measures-DBT'!X56/'Energy Efficiency Measures-DBT'!X57</f>
        <v>50</v>
      </c>
      <c r="AB15" s="492">
        <f>AB24*'Energy Efficiency Measures-DBT'!Y56/'Energy Efficiency Measures-DBT'!Y57</f>
        <v>97.112923818249513</v>
      </c>
      <c r="AC15" s="492">
        <f>AC24*'Energy Efficiency Measures-DBT'!Z56/'Energy Efficiency Measures-DBT'!Z57</f>
        <v>73.279118417310613</v>
      </c>
      <c r="AD15" s="492">
        <f>AD24*'Energy Efficiency Measures-DBT'!AA56/'Energy Efficiency Measures-DBT'!AA57</f>
        <v>76.984763432237358</v>
      </c>
      <c r="AE15" s="492">
        <f>AE24*'Energy Efficiency Measures-DBT'!AB56/'Energy Efficiency Measures-DBT'!AB57</f>
        <v>49.85572014255952</v>
      </c>
      <c r="AF15" s="492">
        <f>AF24*'Energy Efficiency Measures-DBT'!AC56/'Energy Efficiency Measures-DBT'!AC57</f>
        <v>105.46821502508118</v>
      </c>
      <c r="AG15" s="492">
        <f>AG24*'Energy Efficiency Measures-DBT'!AD56/'Energy Efficiency Measures-DBT'!AD57</f>
        <v>66.077310287843503</v>
      </c>
      <c r="AH15" s="492">
        <f>AH24*'Energy Efficiency Measures-DBT'!AE56/'Energy Efficiency Measures-DBT'!AE57</f>
        <v>76.984763432237358</v>
      </c>
      <c r="AI15" s="492">
        <f>AI24*'Energy Efficiency Measures-DBT'!AF56/'Energy Efficiency Measures-DBT'!AF57</f>
        <v>50.260382287169051</v>
      </c>
      <c r="AJ15" s="492">
        <f>AJ24*'Energy Efficiency Measures-DBT'!AG56/'Energy Efficiency Measures-DBT'!AG57</f>
        <v>64.894789322810396</v>
      </c>
      <c r="AK15" s="492">
        <f>AK24*'Energy Efficiency Measures-DBT'!AH56/'Energy Efficiency Measures-DBT'!AH57</f>
        <v>102.85294477776416</v>
      </c>
      <c r="AL15" s="492">
        <f>AL24*'Energy Efficiency Measures-DBT'!AI56/'Energy Efficiency Measures-DBT'!AI57</f>
        <v>52.457161187173753</v>
      </c>
      <c r="AM15" s="492">
        <f>AM24*'Energy Efficiency Measures-DBT'!AJ56/'Energy Efficiency Measures-DBT'!AJ57</f>
        <v>69.806922342373028</v>
      </c>
      <c r="AN15" s="492">
        <f>AN24*'Energy Efficiency Measures-DBT'!AK56/'Energy Efficiency Measures-DBT'!AK57</f>
        <v>52.457161187173753</v>
      </c>
      <c r="AO15" s="492">
        <f>AO24*'Energy Efficiency Measures-DBT'!AL56/'Energy Efficiency Measures-DBT'!AL57</f>
        <v>69.806922342373028</v>
      </c>
      <c r="AP15" s="492">
        <f>AP24*'Energy Efficiency Measures-DBT'!AM56/'Energy Efficiency Measures-DBT'!AM57</f>
        <v>69.806922342373028</v>
      </c>
      <c r="AQ15" s="492">
        <f>AQ24*'Energy Efficiency Measures-DBT'!AN56/'Energy Efficiency Measures-DBT'!AN57</f>
        <v>69.806922342373028</v>
      </c>
    </row>
    <row r="16" spans="1:46">
      <c r="A16" s="135" t="str">
        <f t="shared" si="1"/>
        <v>\I:</v>
      </c>
      <c r="C16" s="5" t="str">
        <f t="shared" si="2"/>
        <v/>
      </c>
      <c r="E16" s="5" t="s">
        <v>309</v>
      </c>
      <c r="F16" s="135" t="s">
        <v>624</v>
      </c>
      <c r="G16" s="214">
        <f>G15*Detached!D4</f>
        <v>9000</v>
      </c>
      <c r="H16" s="214">
        <f>H15*Detached!E4</f>
        <v>11999.999999999998</v>
      </c>
      <c r="I16" s="214">
        <f>I15*Detached!F4</f>
        <v>6000</v>
      </c>
      <c r="J16" s="214">
        <f>J15*Detached!G4</f>
        <v>9000</v>
      </c>
      <c r="K16" s="214">
        <f>K15*Detached!H4</f>
        <v>12000</v>
      </c>
      <c r="L16" s="214">
        <f>L15*Detached!I4</f>
        <v>7800</v>
      </c>
      <c r="M16" s="214">
        <f>M15*Detached!J4</f>
        <v>10500</v>
      </c>
      <c r="N16" s="214">
        <f>N15*Detached!K4</f>
        <v>11999.999999999998</v>
      </c>
      <c r="O16" s="214">
        <f>O15*Detached!L4</f>
        <v>6000.0000000000009</v>
      </c>
      <c r="P16" s="214">
        <f>P15*Detached!M4</f>
        <v>15300.000000000002</v>
      </c>
      <c r="Q16" s="214">
        <f>Q15*Detached!N4</f>
        <v>11999.999999999998</v>
      </c>
      <c r="R16" s="214">
        <f>R15*Detached!O4</f>
        <v>14100</v>
      </c>
      <c r="S16" s="214">
        <f>S15*Detached!P4</f>
        <v>12000</v>
      </c>
      <c r="T16" s="214">
        <f>T15*Detached!Q4</f>
        <v>6000</v>
      </c>
      <c r="U16" s="214">
        <f>U15*Detached!R4</f>
        <v>6000</v>
      </c>
      <c r="V16" s="214">
        <f>V15*Detached!S4</f>
        <v>10500</v>
      </c>
      <c r="W16" s="214">
        <f>W15*Detached!T4</f>
        <v>11999.999999999998</v>
      </c>
      <c r="X16" s="214">
        <f>X15*Detached!U4</f>
        <v>12000</v>
      </c>
      <c r="Y16" s="214">
        <f>Y15*Detached!V4</f>
        <v>6000</v>
      </c>
      <c r="Z16" s="214">
        <f>Z15*Detached!W4</f>
        <v>12000</v>
      </c>
      <c r="AA16" s="214">
        <f>AA15*Detached!X4</f>
        <v>6000</v>
      </c>
      <c r="AB16" s="214">
        <f>AB15*Detached!Y4</f>
        <v>11999.999999999998</v>
      </c>
      <c r="AC16" s="214">
        <f>AC15*Detached!Z4</f>
        <v>10500</v>
      </c>
      <c r="AD16" s="214">
        <f>AD15*Detached!AA4</f>
        <v>11999.999999999998</v>
      </c>
      <c r="AE16" s="214">
        <f>AE15*Detached!AB4</f>
        <v>5999.9999999999991</v>
      </c>
      <c r="AF16" s="214">
        <f>AF15*Detached!AC4</f>
        <v>15300</v>
      </c>
      <c r="AG16" s="214">
        <f>AG15*Detached!AD4</f>
        <v>6000</v>
      </c>
      <c r="AH16" s="214">
        <f>AH15*Detached!AE4</f>
        <v>11999.999999999998</v>
      </c>
      <c r="AI16" s="214">
        <f>AI15*Detached!AF4</f>
        <v>5999.9999999999991</v>
      </c>
      <c r="AJ16" s="214">
        <f>AJ15*Detached!AG4</f>
        <v>7800.0000000000009</v>
      </c>
      <c r="AK16" s="214">
        <f>AK15*Detached!AH4</f>
        <v>10500</v>
      </c>
      <c r="AL16" s="214">
        <f>AL15*Detached!AI4</f>
        <v>6000</v>
      </c>
      <c r="AM16" s="214">
        <f>AM15*Detached!AJ4</f>
        <v>6000</v>
      </c>
      <c r="AN16" s="214">
        <f>AN15*Detached!AK4</f>
        <v>6000</v>
      </c>
      <c r="AO16" s="214">
        <f>AO15*Detached!AL4</f>
        <v>6000</v>
      </c>
      <c r="AP16" s="214">
        <f>AP15*Detached!AM4</f>
        <v>6000</v>
      </c>
      <c r="AQ16" s="214">
        <f>AQ15*Detached!AN4</f>
        <v>6000</v>
      </c>
    </row>
    <row r="17" spans="1:47">
      <c r="A17" s="5" t="str">
        <f t="shared" si="1"/>
        <v>OUTPUT</v>
      </c>
      <c r="B17" s="5" t="s">
        <v>616</v>
      </c>
      <c r="C17" s="5" t="str">
        <f t="shared" si="2"/>
        <v>Bldg_DETPre45-Win</v>
      </c>
      <c r="D17" s="5" t="s">
        <v>78</v>
      </c>
      <c r="E17" s="5" t="s">
        <v>309</v>
      </c>
      <c r="F17" s="5" t="s">
        <v>606</v>
      </c>
      <c r="G17" s="556">
        <f>$F$1*(Detached!D40-Savings_Detached!D50)</f>
        <v>4.5039773090643585E-3</v>
      </c>
      <c r="H17" s="556">
        <f>$F$1*(Detached!E40-Savings_Detached!E50)</f>
        <v>9.786485133653643E-3</v>
      </c>
      <c r="I17" s="556">
        <f>$F$1*(Detached!F40-Savings_Detached!F50)</f>
        <v>3.847061093891629E-3</v>
      </c>
      <c r="J17" s="556">
        <f>$F$1*(Detached!G40-Savings_Detached!G50)</f>
        <v>4.3880383296480427E-3</v>
      </c>
      <c r="K17" s="556">
        <f>$F$1*(Detached!H40-Savings_Detached!H50)</f>
        <v>1.1028435093912168E-3</v>
      </c>
      <c r="L17" s="556">
        <f>$F$1*(Detached!I40-Savings_Detached!I50)</f>
        <v>6.3427789261104551E-3</v>
      </c>
      <c r="M17" s="556">
        <f>$F$1*(Detached!J40-Savings_Detached!J50)</f>
        <v>8.8581085030311653E-3</v>
      </c>
      <c r="N17" s="556">
        <f>$F$1*(Detached!K40-Savings_Detached!K50)</f>
        <v>5.0566871903323088E-3</v>
      </c>
      <c r="O17" s="556">
        <f>$F$1*(Detached!L40-Savings_Detached!L50)</f>
        <v>1.9729707726961863E-4</v>
      </c>
      <c r="P17" s="556">
        <f>$F$1*(Detached!M40-Savings_Detached!M50)</f>
        <v>1.0572501745484408E-2</v>
      </c>
      <c r="Q17" s="556">
        <f>$F$1*(Detached!N40-Savings_Detached!N50)</f>
        <v>5.0959838156243798E-3</v>
      </c>
      <c r="R17" s="556">
        <f>$F$1*(Detached!O40-Savings_Detached!O50)</f>
        <v>8.9159121774626208E-3</v>
      </c>
      <c r="S17" s="556">
        <f>$F$1*(Detached!P40-Savings_Detached!P50)</f>
        <v>3.3386641765794692E-3</v>
      </c>
      <c r="T17" s="556">
        <f>$F$1*(Detached!Q40-Savings_Detached!Q50)</f>
        <v>1.0736113255749333E-2</v>
      </c>
      <c r="U17" s="556">
        <f>$F$1*(Detached!R40-Savings_Detached!R50)</f>
        <v>3.6168108288642041E-3</v>
      </c>
      <c r="V17" s="556">
        <f>$F$1*(Detached!S40-Savings_Detached!S50)</f>
        <v>1.081241780754723E-2</v>
      </c>
      <c r="W17" s="556">
        <f>$F$1*(Detached!T40-Savings_Detached!T50)</f>
        <v>4.334635122486657E-3</v>
      </c>
      <c r="X17" s="556">
        <f>$F$1*(Detached!U40-Savings_Detached!U50)</f>
        <v>1.1372286839270697E-2</v>
      </c>
      <c r="Y17" s="556">
        <f>$F$1*(Detached!V40-Savings_Detached!V50)</f>
        <v>3.0752409345163418E-3</v>
      </c>
      <c r="Z17" s="556">
        <f>$F$1*(Detached!W40-Savings_Detached!W50)</f>
        <v>1.3712343790895727E-2</v>
      </c>
      <c r="AA17" s="556">
        <f>$F$1*(Detached!X40-Savings_Detached!X50)</f>
        <v>6.8714142886841141E-3</v>
      </c>
      <c r="AB17" s="556">
        <f>$F$1*(Detached!Y40-Savings_Detached!Y50)</f>
        <v>3.2117847468852412E-3</v>
      </c>
      <c r="AC17" s="556">
        <f>$F$1*(Detached!Z40-Savings_Detached!Z50)</f>
        <v>9.0639391091246156E-3</v>
      </c>
      <c r="AD17" s="556">
        <f>$F$1*(Detached!AA40-Savings_Detached!AA50)</f>
        <v>8.6767665754081628E-3</v>
      </c>
      <c r="AE17" s="556">
        <f>$F$1*(Detached!AB40-Savings_Detached!AB50)</f>
        <v>9.8153217845664779E-3</v>
      </c>
      <c r="AF17" s="556">
        <f>$F$1*(Detached!AC40-Savings_Detached!AC50)</f>
        <v>4.4706355683643197E-3</v>
      </c>
      <c r="AG17" s="556">
        <f>$F$1*(Detached!AD40-Savings_Detached!AD50)</f>
        <v>4.1576348488200155E-3</v>
      </c>
      <c r="AH17" s="556">
        <f>$F$1*(Detached!AE40-Savings_Detached!AE50)</f>
        <v>8.3663331981087465E-3</v>
      </c>
      <c r="AI17" s="556">
        <f>$F$1*(Detached!AF40-Savings_Detached!AF50)</f>
        <v>3.3435044738396266E-3</v>
      </c>
      <c r="AJ17" s="556">
        <f>$F$1*(Detached!AG40-Savings_Detached!AG50)</f>
        <v>1.0321121135634112E-2</v>
      </c>
      <c r="AK17" s="556">
        <f>$F$1*(Detached!AH40-Savings_Detached!AH50)</f>
        <v>1.0330615063873134E-2</v>
      </c>
      <c r="AL17" s="556">
        <f>$F$1*(Detached!AI40-Savings_Detached!AI50)</f>
        <v>3.3386641765794692E-3</v>
      </c>
      <c r="AM17" s="556">
        <f>$F$1*(Detached!AJ40-Savings_Detached!AJ50)</f>
        <v>5.8145989596667218E-3</v>
      </c>
      <c r="AN17" s="556">
        <f>$F$1*(Detached!AK40-Savings_Detached!AK50)</f>
        <v>5.2572644245927848E-3</v>
      </c>
      <c r="AO17" s="556">
        <f>$F$1*(Detached!AL40-Savings_Detached!AL50)</f>
        <v>3.8656443871550954E-3</v>
      </c>
      <c r="AP17" s="556">
        <f>$F$1*(Detached!AM40-Savings_Detached!AM50)</f>
        <v>5.3469635197209023E-3</v>
      </c>
      <c r="AQ17" s="556">
        <f>$F$1*(Detached!AN40-Savings_Detached!AN50)</f>
        <v>5.3469635197209023E-3</v>
      </c>
      <c r="AT17" s="5" t="s">
        <v>309</v>
      </c>
    </row>
    <row r="18" spans="1:47">
      <c r="A18" s="5" t="str">
        <f t="shared" si="1"/>
        <v>OUTPUT</v>
      </c>
      <c r="B18" s="5" t="s">
        <v>616</v>
      </c>
      <c r="C18" s="5" t="str">
        <f t="shared" si="2"/>
        <v>Bldg_DETPre69-Win</v>
      </c>
      <c r="D18" s="5" t="s">
        <v>78</v>
      </c>
      <c r="E18" s="5" t="s">
        <v>310</v>
      </c>
      <c r="F18" s="5" t="s">
        <v>606</v>
      </c>
      <c r="G18" s="556">
        <f>$F$1*(Detached!D41-Savings_Detached!D51)</f>
        <v>4.5669658242990007E-3</v>
      </c>
      <c r="H18" s="556">
        <f>$F$1*(Detached!E41-Savings_Detached!E51)</f>
        <v>9.786485133653643E-3</v>
      </c>
      <c r="I18" s="556">
        <f>$F$1*(Detached!F41-Savings_Detached!F51)</f>
        <v>3.847061093891629E-3</v>
      </c>
      <c r="J18" s="556">
        <f>$F$1*(Detached!G41-Savings_Detached!G51)</f>
        <v>4.449405428150293E-3</v>
      </c>
      <c r="K18" s="556">
        <f>$F$1*(Detached!H41-Savings_Detached!H51)</f>
        <v>1.1155982060526762E-3</v>
      </c>
      <c r="L18" s="556">
        <f>$F$1*(Detached!I41-Savings_Detached!I51)</f>
        <v>6.5402782214697679E-3</v>
      </c>
      <c r="M18" s="556">
        <f>$F$1*(Detached!J41-Savings_Detached!J51)</f>
        <v>4.8058671511333906E-3</v>
      </c>
      <c r="N18" s="556">
        <f>$F$1*(Detached!K41-Savings_Detached!K51)</f>
        <v>4.8503135299657859E-3</v>
      </c>
      <c r="O18" s="556">
        <f>$F$1*(Detached!L41-Savings_Detached!L51)</f>
        <v>1.9729707726961863E-4</v>
      </c>
      <c r="P18" s="556">
        <f>$F$1*(Detached!M41-Savings_Detached!M51)</f>
        <v>1.077417566473712E-2</v>
      </c>
      <c r="Q18" s="556">
        <f>$F$1*(Detached!N41-Savings_Detached!N51)</f>
        <v>5.1756944253088756E-3</v>
      </c>
      <c r="R18" s="556">
        <f>$F$1*(Detached!O41-Savings_Detached!O51)</f>
        <v>8.9159121774626208E-3</v>
      </c>
      <c r="S18" s="556">
        <f>$F$1*(Detached!P41-Savings_Detached!P51)</f>
        <v>3.3386641765794692E-3</v>
      </c>
      <c r="T18" s="556">
        <f>$F$1*(Detached!Q41-Savings_Detached!Q51)</f>
        <v>1.0626533419578164E-2</v>
      </c>
      <c r="U18" s="556">
        <f>$F$1*(Detached!R41-Savings_Detached!R51)</f>
        <v>3.6168108288642041E-3</v>
      </c>
      <c r="V18" s="556">
        <f>$F$1*(Detached!S41-Savings_Detached!S51)</f>
        <v>1.0784463509751504E-2</v>
      </c>
      <c r="W18" s="556">
        <f>$F$1*(Detached!T41-Savings_Detached!T51)</f>
        <v>4.4024368308268422E-3</v>
      </c>
      <c r="X18" s="556">
        <f>$F$1*(Detached!U41-Savings_Detached!U51)</f>
        <v>1.1484412841259926E-2</v>
      </c>
      <c r="Y18" s="556">
        <f>$F$1*(Detached!V41-Savings_Detached!V51)</f>
        <v>3.0752409345163418E-3</v>
      </c>
      <c r="Z18" s="556">
        <f>$F$1*(Detached!W41-Savings_Detached!W51)</f>
        <v>1.0175734928874648E-2</v>
      </c>
      <c r="AA18" s="556">
        <f>$F$1*(Detached!X41-Savings_Detached!X51)</f>
        <v>5.5045110288325719E-3</v>
      </c>
      <c r="AB18" s="556">
        <f>$F$1*(Detached!Y41-Savings_Detached!Y51)</f>
        <v>3.2125840183623551E-3</v>
      </c>
      <c r="AC18" s="556">
        <f>$F$1*(Detached!Z41-Savings_Detached!Z51)</f>
        <v>7.8331300044049805E-3</v>
      </c>
      <c r="AD18" s="556">
        <f>$F$1*(Detached!AA41-Savings_Detached!AA51)</f>
        <v>8.2815340433122046E-3</v>
      </c>
      <c r="AE18" s="556">
        <f>$F$1*(Detached!AB41-Savings_Detached!AB51)</f>
        <v>5.4957955988500671E-3</v>
      </c>
      <c r="AF18" s="556">
        <f>$F$1*(Detached!AC41-Savings_Detached!AC51)</f>
        <v>4.740362069930195E-3</v>
      </c>
      <c r="AG18" s="556">
        <f>$F$1*(Detached!AD41-Savings_Detached!AD51)</f>
        <v>3.7594526844672619E-3</v>
      </c>
      <c r="AH18" s="556">
        <f>$F$1*(Detached!AE41-Savings_Detached!AE51)</f>
        <v>7.9852411143803998E-3</v>
      </c>
      <c r="AI18" s="556">
        <f>$F$1*(Detached!AF41-Savings_Detached!AF51)</f>
        <v>3.3435044738396266E-3</v>
      </c>
      <c r="AJ18" s="556">
        <f>$F$1*(Detached!AG41-Savings_Detached!AG51)</f>
        <v>1.0636857298938453E-2</v>
      </c>
      <c r="AK18" s="556">
        <f>$F$1*(Detached!AH41-Savings_Detached!AH51)</f>
        <v>9.9449698736058592E-3</v>
      </c>
      <c r="AL18" s="556">
        <f>$F$1*(Detached!AI41-Savings_Detached!AI51)</f>
        <v>3.3386641765794692E-3</v>
      </c>
      <c r="AM18" s="556">
        <f>$F$1*(Detached!AJ41-Savings_Detached!AJ51)</f>
        <v>5.8145989596667218E-3</v>
      </c>
      <c r="AN18" s="556">
        <f>$F$1*(Detached!AK41-Savings_Detached!AK51)</f>
        <v>5.2572644245927848E-3</v>
      </c>
      <c r="AO18" s="556">
        <f>$F$1*(Detached!AL41-Savings_Detached!AL51)</f>
        <v>3.8656443871550954E-3</v>
      </c>
      <c r="AP18" s="556">
        <f>$F$1*(Detached!AM41-Savings_Detached!AM51)</f>
        <v>5.3469635197209023E-3</v>
      </c>
      <c r="AQ18" s="556">
        <f>$F$1*(Detached!AN41-Savings_Detached!AN51)</f>
        <v>5.3469635197209023E-3</v>
      </c>
      <c r="AT18" s="5" t="s">
        <v>310</v>
      </c>
    </row>
    <row r="19" spans="1:47">
      <c r="A19" s="5" t="str">
        <f t="shared" si="1"/>
        <v>OUTPUT</v>
      </c>
      <c r="B19" s="5" t="s">
        <v>616</v>
      </c>
      <c r="C19" s="5" t="str">
        <f t="shared" si="2"/>
        <v>Bldg_DETPre79-Win</v>
      </c>
      <c r="D19" s="5" t="s">
        <v>78</v>
      </c>
      <c r="E19" s="5" t="s">
        <v>311</v>
      </c>
      <c r="F19" s="5" t="s">
        <v>606</v>
      </c>
      <c r="G19" s="556">
        <f>$F$1*(Detached!D42-Savings_Detached!D52)</f>
        <v>3.5708888165970178E-3</v>
      </c>
      <c r="H19" s="556">
        <f>$F$1*(Detached!E42-Savings_Detached!E52)</f>
        <v>9.786485133653643E-3</v>
      </c>
      <c r="I19" s="556">
        <f>$F$1*(Detached!F42-Savings_Detached!F52)</f>
        <v>3.8874462318593053E-3</v>
      </c>
      <c r="J19" s="556">
        <f>$F$1*(Detached!G42-Savings_Detached!G52)</f>
        <v>3.4789689030192612E-3</v>
      </c>
      <c r="K19" s="556">
        <f>$F$1*(Detached!H42-Savings_Detached!H52)</f>
        <v>4.5823690629378079E-3</v>
      </c>
      <c r="L19" s="556">
        <f>$F$1*(Detached!I42-Savings_Detached!I52)</f>
        <v>6.5402782214697679E-3</v>
      </c>
      <c r="M19" s="556">
        <f>$F$1*(Detached!J42-Savings_Detached!J52)</f>
        <v>5.9993134404219845E-3</v>
      </c>
      <c r="N19" s="556">
        <f>$F$1*(Detached!K42-Savings_Detached!K52)</f>
        <v>5.0000087842743575E-3</v>
      </c>
      <c r="O19" s="556">
        <f>$F$1*(Detached!L42-Savings_Detached!L52)</f>
        <v>2.0415187363014342E-4</v>
      </c>
      <c r="P19" s="556">
        <f>$F$1*(Detached!M42-Savings_Detached!M52)</f>
        <v>1.077417566473712E-2</v>
      </c>
      <c r="Q19" s="556">
        <f>$F$1*(Detached!N42-Savings_Detached!N52)</f>
        <v>3.7454766490660177E-3</v>
      </c>
      <c r="R19" s="556">
        <f>$F$1*(Detached!O42-Savings_Detached!O52)</f>
        <v>7.3759019728063344E-3</v>
      </c>
      <c r="S19" s="556">
        <f>$F$1*(Detached!P42-Savings_Detached!P52)</f>
        <v>3.3386641765794692E-3</v>
      </c>
      <c r="T19" s="556">
        <f>$F$1*(Detached!Q42-Savings_Detached!Q52)</f>
        <v>5.2170644617725382E-3</v>
      </c>
      <c r="U19" s="556">
        <f>$F$1*(Detached!R42-Savings_Detached!R52)</f>
        <v>3.7088233005321126E-3</v>
      </c>
      <c r="V19" s="556">
        <f>$F$1*(Detached!S42-Savings_Detached!S52)</f>
        <v>1.1084634835162326E-2</v>
      </c>
      <c r="W19" s="556">
        <f>$F$1*(Detached!T42-Savings_Detached!T52)</f>
        <v>3.1858960351713664E-3</v>
      </c>
      <c r="X19" s="556">
        <f>$F$1*(Detached!U42-Savings_Detached!U52)</f>
        <v>9.2145200162461558E-3</v>
      </c>
      <c r="Y19" s="556">
        <f>$F$1*(Detached!V42-Savings_Detached!V52)</f>
        <v>7.2139020809058147E-4</v>
      </c>
      <c r="Z19" s="556">
        <f>$F$1*(Detached!W42-Savings_Detached!W52)</f>
        <v>7.0997586557134925E-3</v>
      </c>
      <c r="AA19" s="556">
        <f>$F$1*(Detached!X42-Savings_Detached!X52)</f>
        <v>5.5787356859095015E-3</v>
      </c>
      <c r="AB19" s="556">
        <f>$F$1*(Detached!Y42-Savings_Detached!Y52)</f>
        <v>3.3212090907525057E-3</v>
      </c>
      <c r="AC19" s="556">
        <f>$F$1*(Detached!Z42-Savings_Detached!Z52)</f>
        <v>7.8795706609351007E-3</v>
      </c>
      <c r="AD19" s="556">
        <f>$F$1*(Detached!AA42-Savings_Detached!AA52)</f>
        <v>8.490896909561731E-3</v>
      </c>
      <c r="AE19" s="556">
        <f>$F$1*(Detached!AB42-Savings_Detached!AB52)</f>
        <v>3.6611283635297406E-3</v>
      </c>
      <c r="AF19" s="556">
        <f>$F$1*(Detached!AC42-Savings_Detached!AC52)</f>
        <v>4.7563790743339702E-3</v>
      </c>
      <c r="AG19" s="556">
        <f>$F$1*(Detached!AD42-Savings_Detached!AD52)</f>
        <v>3.7594526844672619E-3</v>
      </c>
      <c r="AH19" s="556">
        <f>$F$1*(Detached!AE42-Savings_Detached!AE52)</f>
        <v>8.1871134919684965E-3</v>
      </c>
      <c r="AI19" s="556">
        <f>$F$1*(Detached!AF42-Savings_Detached!AF52)</f>
        <v>1.9377894785668124E-3</v>
      </c>
      <c r="AJ19" s="556">
        <f>$F$1*(Detached!AG42-Savings_Detached!AG52)</f>
        <v>1.0636857298938453E-2</v>
      </c>
      <c r="AK19" s="556">
        <f>$F$1*(Detached!AH42-Savings_Detached!AH52)</f>
        <v>8.8540556616337526E-3</v>
      </c>
      <c r="AL19" s="556">
        <f>$F$1*(Detached!AI42-Savings_Detached!AI52)</f>
        <v>3.3386641765794692E-3</v>
      </c>
      <c r="AM19" s="556">
        <f>$F$1*(Detached!AJ42-Savings_Detached!AJ52)</f>
        <v>5.8145989596667218E-3</v>
      </c>
      <c r="AN19" s="556">
        <f>$F$1*(Detached!AK42-Savings_Detached!AK52)</f>
        <v>5.2572644245927848E-3</v>
      </c>
      <c r="AO19" s="556">
        <f>$F$1*(Detached!AL42-Savings_Detached!AL52)</f>
        <v>3.9066936350452526E-3</v>
      </c>
      <c r="AP19" s="556">
        <f>$F$1*(Detached!AM42-Savings_Detached!AM52)</f>
        <v>5.3469635197209023E-3</v>
      </c>
      <c r="AQ19" s="556">
        <f>$F$1*(Detached!AN42-Savings_Detached!AN52)</f>
        <v>5.3469635197209023E-3</v>
      </c>
      <c r="AT19" s="5" t="s">
        <v>311</v>
      </c>
    </row>
    <row r="20" spans="1:47">
      <c r="A20" s="5" t="str">
        <f t="shared" si="1"/>
        <v>OUTPUT</v>
      </c>
      <c r="B20" s="5" t="s">
        <v>616</v>
      </c>
      <c r="C20" s="5" t="str">
        <f t="shared" si="2"/>
        <v>Bldg_DETPre89-Win</v>
      </c>
      <c r="D20" s="5" t="s">
        <v>78</v>
      </c>
      <c r="E20" s="5" t="s">
        <v>312</v>
      </c>
      <c r="F20" s="5" t="s">
        <v>606</v>
      </c>
      <c r="G20" s="556">
        <f>$F$1*(Detached!D43-Savings_Detached!D53)</f>
        <v>6.3542871773958917E-4</v>
      </c>
      <c r="H20" s="556">
        <f>$F$1*(Detached!E43-Savings_Detached!E53)</f>
        <v>8.5169769017196355E-3</v>
      </c>
      <c r="I20" s="556">
        <f>$F$1*(Detached!F43-Savings_Detached!F53)</f>
        <v>3.9921875349483282E-3</v>
      </c>
      <c r="J20" s="556">
        <f>$F$1*(Detached!G43-Savings_Detached!G53)</f>
        <v>6.1907185091474037E-4</v>
      </c>
      <c r="K20" s="556">
        <f>$F$1*(Detached!H43-Savings_Detached!H53)</f>
        <v>4.60758061923916E-3</v>
      </c>
      <c r="L20" s="556">
        <f>$F$1*(Detached!I43-Savings_Detached!I53)</f>
        <v>6.6740519231875805E-3</v>
      </c>
      <c r="M20" s="556">
        <f>$F$1*(Detached!J43-Savings_Detached!J53)</f>
        <v>4.939547588294943E-3</v>
      </c>
      <c r="N20" s="556">
        <f>$F$1*(Detached!K43-Savings_Detached!K53)</f>
        <v>4.5567024448327255E-3</v>
      </c>
      <c r="O20" s="556">
        <f>$F$1*(Detached!L43-Savings_Detached!L53)</f>
        <v>-5.0033808408104508E-3</v>
      </c>
      <c r="P20" s="556">
        <f>$F$1*(Detached!M43-Savings_Detached!M53)</f>
        <v>4.6323882199445351E-3</v>
      </c>
      <c r="Q20" s="556">
        <f>$F$1*(Detached!N43-Savings_Detached!N53)</f>
        <v>5.5290463800975137E-4</v>
      </c>
      <c r="R20" s="556">
        <f>$F$1*(Detached!O43-Savings_Detached!O53)</f>
        <v>5.6417913961391269E-3</v>
      </c>
      <c r="S20" s="556">
        <f>$F$1*(Detached!P43-Savings_Detached!P53)</f>
        <v>3.3554643775897835E-3</v>
      </c>
      <c r="T20" s="556">
        <f>$F$1*(Detached!Q43-Savings_Detached!Q53)</f>
        <v>5.2170644617725382E-3</v>
      </c>
      <c r="U20" s="556">
        <f>$F$1*(Detached!R43-Savings_Detached!R53)</f>
        <v>3.9119198258183085E-3</v>
      </c>
      <c r="V20" s="556">
        <f>$F$1*(Detached!S43-Savings_Detached!S53)</f>
        <v>7.7985193086524294E-3</v>
      </c>
      <c r="W20" s="556">
        <f>$F$1*(Detached!T43-Savings_Detached!T53)</f>
        <v>4.7029973995495026E-4</v>
      </c>
      <c r="X20" s="556">
        <f>$F$1*(Detached!U43-Savings_Detached!U53)</f>
        <v>4.9785252908327044E-3</v>
      </c>
      <c r="Y20" s="556">
        <f>$F$1*(Detached!V43-Savings_Detached!V53)</f>
        <v>7.2139020809058147E-4</v>
      </c>
      <c r="Z20" s="556">
        <f>$F$1*(Detached!W43-Savings_Detached!W53)</f>
        <v>1.6836349048378379E-3</v>
      </c>
      <c r="AA20" s="556">
        <f>$F$1*(Detached!X43-Savings_Detached!X53)</f>
        <v>7.6512390485482045E-4</v>
      </c>
      <c r="AB20" s="556">
        <f>$F$1*(Detached!Y43-Savings_Detached!Y53)</f>
        <v>3.3722194098235593E-3</v>
      </c>
      <c r="AC20" s="556">
        <f>$F$1*(Detached!Z43-Savings_Detached!Z53)</f>
        <v>8.2170645981297225E-3</v>
      </c>
      <c r="AD20" s="556">
        <f>$F$1*(Detached!AA43-Savings_Detached!AA53)</f>
        <v>7.5098996433190955E-3</v>
      </c>
      <c r="AE20" s="556">
        <f>$F$1*(Detached!AB43-Savings_Detached!AB53)</f>
        <v>3.6611283635297406E-3</v>
      </c>
      <c r="AF20" s="556">
        <f>$F$1*(Detached!AC43-Savings_Detached!AC53)</f>
        <v>4.973260582151127E-3</v>
      </c>
      <c r="AG20" s="556">
        <f>$F$1*(Detached!AD43-Savings_Detached!AD53)</f>
        <v>3.3856777832739424E-3</v>
      </c>
      <c r="AH20" s="556">
        <f>$F$1*(Detached!AE43-Savings_Detached!AE53)</f>
        <v>7.2412138962502917E-3</v>
      </c>
      <c r="AI20" s="556">
        <f>$F$1*(Detached!AF43-Savings_Detached!AF53)</f>
        <v>-5.0751426339578037E-4</v>
      </c>
      <c r="AJ20" s="556">
        <f>$F$1*(Detached!AG43-Savings_Detached!AG53)</f>
        <v>6.5610079299195483E-3</v>
      </c>
      <c r="AK20" s="556">
        <f>$F$1*(Detached!AH43-Savings_Detached!AH53)</f>
        <v>9.3112102465165505E-3</v>
      </c>
      <c r="AL20" s="556">
        <f>$F$1*(Detached!AI43-Savings_Detached!AI53)</f>
        <v>3.3554643775897835E-3</v>
      </c>
      <c r="AM20" s="556">
        <f>$F$1*(Detached!AJ43-Savings_Detached!AJ53)</f>
        <v>5.9656581942567665E-3</v>
      </c>
      <c r="AN20" s="556">
        <f>$F$1*(Detached!AK43-Savings_Detached!AK53)</f>
        <v>5.4006765702007617E-3</v>
      </c>
      <c r="AO20" s="556">
        <f>$F$1*(Detached!AL43-Savings_Detached!AL53)</f>
        <v>4.0131867482913154E-3</v>
      </c>
      <c r="AP20" s="556">
        <f>$F$1*(Detached!AM43-Savings_Detached!AM53)</f>
        <v>5.4858739110088834E-3</v>
      </c>
      <c r="AQ20" s="556">
        <f>$F$1*(Detached!AN43-Savings_Detached!AN53)</f>
        <v>5.4858739110088834E-3</v>
      </c>
      <c r="AT20" s="5" t="s">
        <v>312</v>
      </c>
    </row>
    <row r="21" spans="1:47">
      <c r="A21" s="5" t="str">
        <f t="shared" si="1"/>
        <v>OUTPUT</v>
      </c>
      <c r="B21" s="5" t="s">
        <v>616</v>
      </c>
      <c r="C21" s="5" t="str">
        <f t="shared" si="2"/>
        <v>Bldg_DETPre99-Win</v>
      </c>
      <c r="D21" s="5" t="s">
        <v>78</v>
      </c>
      <c r="E21" s="5" t="s">
        <v>313</v>
      </c>
      <c r="F21" s="5" t="s">
        <v>606</v>
      </c>
      <c r="G21" s="556">
        <f>$F$1*(Detached!D44-Savings_Detached!D54)</f>
        <v>-6.5304806512960357E-4</v>
      </c>
      <c r="H21" s="556">
        <f>$F$1*(Detached!E44-Savings_Detached!E54)</f>
        <v>8.5169769017196355E-3</v>
      </c>
      <c r="I21" s="556">
        <f>$F$1*(Detached!F44-Savings_Detached!F54)</f>
        <v>4.1581958430308083E-3</v>
      </c>
      <c r="J21" s="556">
        <f>$F$1*(Detached!G44-Savings_Detached!G54)</f>
        <v>-6.3623765047041896E-4</v>
      </c>
      <c r="K21" s="556">
        <f>$F$1*(Detached!H44-Savings_Detached!H54)</f>
        <v>-1.1408525531464332E-4</v>
      </c>
      <c r="L21" s="556">
        <f>$F$1*(Detached!I44-Savings_Detached!I54)</f>
        <v>4.4569302805549564E-3</v>
      </c>
      <c r="M21" s="556">
        <f>$F$1*(Detached!J44-Savings_Detached!J54)</f>
        <v>-6.1996805951678336E-4</v>
      </c>
      <c r="N21" s="556">
        <f>$F$1*(Detached!K44-Savings_Detached!K54)</f>
        <v>4.5567024448327255E-3</v>
      </c>
      <c r="O21" s="556">
        <f>$F$1*(Detached!L44-Savings_Detached!L54)</f>
        <v>-5.65396638598169E-3</v>
      </c>
      <c r="P21" s="556">
        <f>$F$1*(Detached!M44-Savings_Detached!M54)</f>
        <v>4.6323882199445351E-3</v>
      </c>
      <c r="Q21" s="556">
        <f>$F$1*(Detached!N44-Savings_Detached!N54)</f>
        <v>5.5408114214513637E-4</v>
      </c>
      <c r="R21" s="556">
        <f>$F$1*(Detached!O44-Savings_Detached!O54)</f>
        <v>9.2317702319097384E-4</v>
      </c>
      <c r="S21" s="556">
        <f>$F$1*(Detached!P44-Savings_Detached!P54)</f>
        <v>3.3554643775897835E-3</v>
      </c>
      <c r="T21" s="556">
        <f>$F$1*(Detached!Q44-Savings_Detached!Q54)</f>
        <v>2.9777948924964814E-3</v>
      </c>
      <c r="U21" s="556">
        <f>$F$1*(Detached!R44-Savings_Detached!R54)</f>
        <v>3.9119198258183085E-3</v>
      </c>
      <c r="V21" s="556">
        <f>$F$1*(Detached!S44-Savings_Detached!S54)</f>
        <v>8.0336993369034392E-3</v>
      </c>
      <c r="W21" s="556">
        <f>$F$1*(Detached!T44-Savings_Detached!T54)</f>
        <v>4.7130047236139156E-4</v>
      </c>
      <c r="X21" s="556">
        <f>$F$1*(Detached!U44-Savings_Detached!U54)</f>
        <v>5.0510911902039556E-3</v>
      </c>
      <c r="Y21" s="556">
        <f>$F$1*(Detached!V44-Savings_Detached!V54)</f>
        <v>7.2139020809058147E-4</v>
      </c>
      <c r="Z21" s="556">
        <f>$F$1*(Detached!W44-Savings_Detached!W54)</f>
        <v>-5.7522977359790472E-4</v>
      </c>
      <c r="AA21" s="556">
        <f>$F$1*(Detached!X44-Savings_Detached!X54)</f>
        <v>7.6727803665354232E-4</v>
      </c>
      <c r="AB21" s="556">
        <f>$F$1*(Detached!Y44-Savings_Detached!Y54)</f>
        <v>3.3825821539439924E-3</v>
      </c>
      <c r="AC21" s="556">
        <f>$F$1*(Detached!Z44-Savings_Detached!Z54)</f>
        <v>5.9289835685612611E-3</v>
      </c>
      <c r="AD21" s="556">
        <f>$F$1*(Detached!AA44-Savings_Detached!AA54)</f>
        <v>7.6528154686287975E-3</v>
      </c>
      <c r="AE21" s="556">
        <f>$F$1*(Detached!AB44-Savings_Detached!AB54)</f>
        <v>3.6611283635297406E-3</v>
      </c>
      <c r="AF21" s="556">
        <f>$F$1*(Detached!AC44-Savings_Detached!AC54)</f>
        <v>4.8509718409451138E-3</v>
      </c>
      <c r="AG21" s="556">
        <f>$F$1*(Detached!AD44-Savings_Detached!AD54)</f>
        <v>3.3856777832739424E-3</v>
      </c>
      <c r="AH21" s="556">
        <f>$F$1*(Detached!AE44-Savings_Detached!AE54)</f>
        <v>7.3790165446714802E-3</v>
      </c>
      <c r="AI21" s="556">
        <f>$F$1*(Detached!AF44-Savings_Detached!AF54)</f>
        <v>-5.3751826102012062E-4</v>
      </c>
      <c r="AJ21" s="556">
        <f>$F$1*(Detached!AG44-Savings_Detached!AG54)</f>
        <v>6.6676132680845608E-3</v>
      </c>
      <c r="AK21" s="556">
        <f>$F$1*(Detached!AH44-Savings_Detached!AH54)</f>
        <v>2.1929451288348243E-3</v>
      </c>
      <c r="AL21" s="556">
        <f>$F$1*(Detached!AI44-Savings_Detached!AI54)</f>
        <v>3.3554643775897835E-3</v>
      </c>
      <c r="AM21" s="556">
        <f>$F$1*(Detached!AJ44-Savings_Detached!AJ54)</f>
        <v>6.4892526075446362E-3</v>
      </c>
      <c r="AN21" s="556">
        <f>$F$1*(Detached!AK44-Savings_Detached!AK54)</f>
        <v>5.878653959865112E-3</v>
      </c>
      <c r="AO21" s="556">
        <f>$F$1*(Detached!AL44-Savings_Detached!AL54)</f>
        <v>4.1836000801083913E-3</v>
      </c>
      <c r="AP21" s="556">
        <f>$F$1*(Detached!AM44-Savings_Detached!AM54)</f>
        <v>5.9673585751103576E-3</v>
      </c>
      <c r="AQ21" s="556">
        <f>$F$1*(Detached!AN44-Savings_Detached!AN54)</f>
        <v>5.9673585751103576E-3</v>
      </c>
      <c r="AT21" s="5" t="s">
        <v>313</v>
      </c>
    </row>
    <row r="22" spans="1:47">
      <c r="A22" s="5" t="str">
        <f t="shared" si="1"/>
        <v>OUTPUT</v>
      </c>
      <c r="B22" s="5" t="s">
        <v>616</v>
      </c>
      <c r="C22" s="5" t="str">
        <f t="shared" si="2"/>
        <v>Bldg_DETPre09-Win</v>
      </c>
      <c r="D22" s="5" t="s">
        <v>78</v>
      </c>
      <c r="E22" s="5" t="s">
        <v>314</v>
      </c>
      <c r="F22" s="5" t="s">
        <v>606</v>
      </c>
      <c r="G22" s="556">
        <f>$F$1*(Detached!D45-Savings_Detached!D55)</f>
        <v>-1.3335635968952427E-3</v>
      </c>
      <c r="H22" s="556">
        <f>$F$1*(Detached!E45-Savings_Detached!E55)</f>
        <v>3.7954712249977348E-3</v>
      </c>
      <c r="I22" s="556">
        <f>$F$1*(Detached!F45-Savings_Detached!F55)</f>
        <v>2.4580595107287339E-3</v>
      </c>
      <c r="J22" s="556">
        <f>$F$1*(Detached!G45-Savings_Detached!G55)</f>
        <v>-1.2992357147143887E-3</v>
      </c>
      <c r="K22" s="556">
        <f>$F$1*(Detached!H45-Savings_Detached!H55)</f>
        <v>1.174775572422664E-3</v>
      </c>
      <c r="L22" s="556">
        <f>$F$1*(Detached!I45-Savings_Detached!I55)</f>
        <v>0</v>
      </c>
      <c r="M22" s="556">
        <f>$F$1*(Detached!J45-Savings_Detached!J55)</f>
        <v>-6.1132799772705782E-4</v>
      </c>
      <c r="N22" s="556">
        <f>$F$1*(Detached!K45-Savings_Detached!K55)</f>
        <v>7.4634815762026862E-5</v>
      </c>
      <c r="O22" s="556">
        <f>$F$1*(Detached!L45-Savings_Detached!L55)</f>
        <v>-5.65396638598169E-3</v>
      </c>
      <c r="P22" s="556">
        <f>$F$1*(Detached!M45-Savings_Detached!M55)</f>
        <v>4.371349534041123E-3</v>
      </c>
      <c r="Q22" s="556">
        <f>$F$1*(Detached!N45-Savings_Detached!N55)</f>
        <v>-2.2518766125606692E-3</v>
      </c>
      <c r="R22" s="556">
        <f>$F$1*(Detached!O45-Savings_Detached!O55)</f>
        <v>5.6841886708403706E-4</v>
      </c>
      <c r="S22" s="556">
        <f>$F$1*(Detached!P45-Savings_Detached!P55)</f>
        <v>4.0227827411374881E-3</v>
      </c>
      <c r="T22" s="556">
        <f>$F$1*(Detached!Q45-Savings_Detached!Q55)</f>
        <v>4.6073072772993443E-4</v>
      </c>
      <c r="U22" s="556">
        <f>$F$1*(Detached!R45-Savings_Detached!R55)</f>
        <v>-1.061107176068974E-3</v>
      </c>
      <c r="V22" s="556">
        <f>$F$1*(Detached!S45-Savings_Detached!S55)</f>
        <v>4.5342638018986354E-3</v>
      </c>
      <c r="W22" s="556">
        <f>$F$1*(Detached!T45-Savings_Detached!T55)</f>
        <v>-1.9154423972823748E-3</v>
      </c>
      <c r="X22" s="556">
        <f>$F$1*(Detached!U45-Savings_Detached!U55)</f>
        <v>1.9050498135249818E-3</v>
      </c>
      <c r="Y22" s="556">
        <f>$F$1*(Detached!V45-Savings_Detached!V55)</f>
        <v>-6.3255908321388206E-4</v>
      </c>
      <c r="Z22" s="556">
        <f>$F$1*(Detached!W45-Savings_Detached!W55)</f>
        <v>-2.381464655031711E-3</v>
      </c>
      <c r="AA22" s="556">
        <f>$F$1*(Detached!X45-Savings_Detached!X55)</f>
        <v>-6.6463054887716218E-4</v>
      </c>
      <c r="AB22" s="556">
        <f>$F$1*(Detached!Y45-Savings_Detached!Y55)</f>
        <v>3.4106940185184144E-3</v>
      </c>
      <c r="AC22" s="556">
        <f>$F$1*(Detached!Z45-Savings_Detached!Z55)</f>
        <v>1.6687321719110867E-3</v>
      </c>
      <c r="AD22" s="556">
        <f>$F$1*(Detached!AA45-Savings_Detached!AA55)</f>
        <v>1.2078478872227864E-4</v>
      </c>
      <c r="AE22" s="556">
        <f>$F$1*(Detached!AB45-Savings_Detached!AB55)</f>
        <v>3.8253246746543191E-3</v>
      </c>
      <c r="AF22" s="556">
        <f>$F$1*(Detached!AC45-Savings_Detached!AC55)</f>
        <v>3.0231143871323413E-3</v>
      </c>
      <c r="AG22" s="556">
        <f>$F$1*(Detached!AD45-Savings_Detached!AD55)</f>
        <v>-1.5105787960780954E-3</v>
      </c>
      <c r="AH22" s="556">
        <f>$F$1*(Detached!AE45-Savings_Detached!AE55)</f>
        <v>1.1646340591640548E-4</v>
      </c>
      <c r="AI22" s="556">
        <f>$F$1*(Detached!AF45-Savings_Detached!AF55)</f>
        <v>-2.3582725305051917E-3</v>
      </c>
      <c r="AJ22" s="556">
        <f>$F$1*(Detached!AG45-Savings_Detached!AG55)</f>
        <v>0</v>
      </c>
      <c r="AK22" s="556">
        <f>$F$1*(Detached!AH45-Savings_Detached!AH55)</f>
        <v>6.9533366198722515E-4</v>
      </c>
      <c r="AL22" s="556">
        <f>$F$1*(Detached!AI45-Savings_Detached!AI55)</f>
        <v>4.0227827411374881E-3</v>
      </c>
      <c r="AM22" s="556">
        <f>$F$1*(Detached!AJ45-Savings_Detached!AJ55)</f>
        <v>4.2748501913229152E-3</v>
      </c>
      <c r="AN22" s="556">
        <f>$F$1*(Detached!AK45-Savings_Detached!AK55)</f>
        <v>3.872950938480663E-3</v>
      </c>
      <c r="AO22" s="556">
        <f>$F$1*(Detached!AL45-Savings_Detached!AL55)</f>
        <v>2.4746104375790684E-3</v>
      </c>
      <c r="AP22" s="556">
        <f>$F$1*(Detached!AM45-Savings_Detached!AM55)</f>
        <v>3.9310480712130948E-3</v>
      </c>
      <c r="AQ22" s="556">
        <f>$F$1*(Detached!AN45-Savings_Detached!AN55)</f>
        <v>3.9310480712130948E-3</v>
      </c>
      <c r="AT22" s="5" t="s">
        <v>314</v>
      </c>
    </row>
    <row r="23" spans="1:47">
      <c r="A23" s="5" t="str">
        <f t="shared" si="1"/>
        <v>\I:</v>
      </c>
      <c r="C23" s="5" t="str">
        <f t="shared" si="2"/>
        <v/>
      </c>
      <c r="E23" s="5" t="s">
        <v>623</v>
      </c>
    </row>
    <row r="24" spans="1:47">
      <c r="A24" s="135" t="str">
        <f t="shared" si="1"/>
        <v>\I:</v>
      </c>
      <c r="C24" s="5" t="str">
        <f t="shared" si="2"/>
        <v/>
      </c>
      <c r="E24" s="5" t="s">
        <v>623</v>
      </c>
      <c r="F24" s="135" t="s">
        <v>393</v>
      </c>
      <c r="G24" s="492">
        <f>'Energy Efficiency Measures-DBT'!D57*Detached!D21/Detached!D4</f>
        <v>66.092253770888533</v>
      </c>
      <c r="H24" s="492">
        <f>'Energy Efficiency Measures-DBT'!E57*Detached!E21/Detached!E4</f>
        <v>105.34247245998823</v>
      </c>
      <c r="I24" s="492">
        <f>'Energy Efficiency Measures-DBT'!F57*Detached!F21/Detached!F4</f>
        <v>124.5125479170898</v>
      </c>
      <c r="J24" s="492">
        <f>'Energy Efficiency Measures-DBT'!G57*Detached!G21/Detached!G4</f>
        <v>66.092253770888533</v>
      </c>
      <c r="K24" s="492">
        <f>'Energy Efficiency Measures-DBT'!H57*Detached!H21/Detached!H4</f>
        <v>131.14290296793436</v>
      </c>
      <c r="L24" s="492">
        <f>'Energy Efficiency Measures-DBT'!I57*Detached!I21/Detached!I4</f>
        <v>103.11134890014262</v>
      </c>
      <c r="M24" s="492">
        <f>'Energy Efficiency Measures-DBT'!J57*Detached!J21/Detached!J4</f>
        <v>89.413196281282808</v>
      </c>
      <c r="N24" s="492">
        <f>'Energy Efficiency Measures-DBT'!K57*Detached!K21/Detached!K4</f>
        <v>89.753178758414364</v>
      </c>
      <c r="O24" s="492">
        <f>'Energy Efficiency Measures-DBT'!L57*Detached!L21/Detached!L4</f>
        <v>92.860467509775617</v>
      </c>
      <c r="P24" s="492">
        <f>'Energy Efficiency Measures-DBT'!M57*Detached!M21/Detached!M4</f>
        <v>126.05924622363924</v>
      </c>
      <c r="Q24" s="492">
        <f>'Energy Efficiency Measures-DBT'!N57*Detached!N21/Detached!N4</f>
        <v>123.71134020618557</v>
      </c>
      <c r="R24" s="492">
        <f>'Energy Efficiency Measures-DBT'!O57*Detached!O21/Detached!O4</f>
        <v>115.48878491596373</v>
      </c>
      <c r="S24" s="492">
        <f>'Energy Efficiency Measures-DBT'!P57*Detached!P21/Detached!P4</f>
        <v>131.14290296793436</v>
      </c>
      <c r="T24" s="492">
        <f>'Energy Efficiency Measures-DBT'!Q57*Detached!Q21/Detached!Q4</f>
        <v>115.18142186491551</v>
      </c>
      <c r="U24" s="492">
        <f>'Energy Efficiency Measures-DBT'!R57*Detached!R21/Detached!R4</f>
        <v>85.024970610023885</v>
      </c>
      <c r="V24" s="492">
        <f>'Energy Efficiency Measures-DBT'!S57*Detached!S21/Detached!S4</f>
        <v>81.563398384193391</v>
      </c>
      <c r="W24" s="492">
        <f>'Energy Efficiency Measures-DBT'!T57*Detached!T21/Detached!T4</f>
        <v>123.71134020618557</v>
      </c>
      <c r="X24" s="492">
        <f>'Energy Efficiency Measures-DBT'!U57*Detached!U21/Detached!U4</f>
        <v>109.38924339106654</v>
      </c>
      <c r="Y24" s="492">
        <f>'Energy Efficiency Measures-DBT'!V57*Detached!V21/Detached!V4</f>
        <v>81.994138868462258</v>
      </c>
      <c r="Z24" s="492">
        <f>'Energy Efficiency Measures-DBT'!W57*Detached!W21/Detached!W4</f>
        <v>137.06984669320195</v>
      </c>
      <c r="AA24" s="492">
        <f>'Energy Efficiency Measures-DBT'!X57*Detached!X21/Detached!X4</f>
        <v>82.5</v>
      </c>
      <c r="AB24" s="492">
        <f>'Energy Efficiency Measures-DBT'!Y57*Detached!Y21/Detached!Y4</f>
        <v>121.3911547728119</v>
      </c>
      <c r="AC24" s="492">
        <f>'Energy Efficiency Measures-DBT'!Z57*Detached!Z21/Detached!Z4</f>
        <v>83.747563905497842</v>
      </c>
      <c r="AD24" s="492">
        <f>'Energy Efficiency Measures-DBT'!AA57*Detached!AA21/Detached!AA4</f>
        <v>96.230954290296708</v>
      </c>
      <c r="AE24" s="492">
        <f>'Energy Efficiency Measures-DBT'!AB57*Detached!AB21/Detached!AB4</f>
        <v>82.261938235223212</v>
      </c>
      <c r="AF24" s="492">
        <f>'Energy Efficiency Measures-DBT'!AC57*Detached!AC21/Detached!AC4</f>
        <v>120.53510288580706</v>
      </c>
      <c r="AG24" s="492">
        <f>'Energy Efficiency Measures-DBT'!AD57*Detached!AD21/Detached!AD4</f>
        <v>109.02756197494178</v>
      </c>
      <c r="AH24" s="492">
        <f>'Energy Efficiency Measures-DBT'!AE57*Detached!AE21/Detached!AE4</f>
        <v>96.230954290296708</v>
      </c>
      <c r="AI24" s="492">
        <f>'Energy Efficiency Measures-DBT'!AF57*Detached!AF21/Detached!AF4</f>
        <v>82.929630773828947</v>
      </c>
      <c r="AJ24" s="492">
        <f>'Energy Efficiency Measures-DBT'!AG57*Detached!AG21/Detached!AG4</f>
        <v>82.366463371259343</v>
      </c>
      <c r="AK24" s="492">
        <f>'Energy Efficiency Measures-DBT'!AH57*Detached!AH21/Detached!AH4</f>
        <v>117.54622260315905</v>
      </c>
      <c r="AL24" s="492">
        <f>'Energy Efficiency Measures-DBT'!AI57*Detached!AI21/Detached!AI4</f>
        <v>86.554315958836682</v>
      </c>
      <c r="AM24" s="492">
        <f>'Energy Efficiency Measures-DBT'!AJ57*Detached!AJ21/Detached!AJ4</f>
        <v>115.18142186491551</v>
      </c>
      <c r="AN24" s="492">
        <f>'Energy Efficiency Measures-DBT'!AK57*Detached!AK21/Detached!AK4</f>
        <v>86.554315958836682</v>
      </c>
      <c r="AO24" s="492">
        <f>'Energy Efficiency Measures-DBT'!AL57*Detached!AL21/Detached!AL4</f>
        <v>115.18142186491551</v>
      </c>
      <c r="AP24" s="492">
        <f>'Energy Efficiency Measures-DBT'!AM57*Detached!AM21/Detached!AM4</f>
        <v>115.18142186491551</v>
      </c>
      <c r="AQ24" s="492">
        <f>'Energy Efficiency Measures-DBT'!AN57*Detached!AN21/Detached!AN4</f>
        <v>115.18142186491551</v>
      </c>
    </row>
    <row r="25" spans="1:47">
      <c r="A25" s="135" t="str">
        <f t="shared" si="1"/>
        <v>\I:</v>
      </c>
      <c r="C25" s="5" t="str">
        <f t="shared" si="2"/>
        <v/>
      </c>
      <c r="E25" s="5" t="s">
        <v>315</v>
      </c>
      <c r="F25" s="135" t="s">
        <v>624</v>
      </c>
      <c r="G25" s="214">
        <f>G24*Detached!D4</f>
        <v>9900</v>
      </c>
      <c r="H25" s="214">
        <f>H24*Detached!E4</f>
        <v>15000</v>
      </c>
      <c r="I25" s="214">
        <f>I24*Detached!F4</f>
        <v>9900</v>
      </c>
      <c r="J25" s="214">
        <f>J24*Detached!G4</f>
        <v>9900</v>
      </c>
      <c r="K25" s="214">
        <f>K24*Detached!H4</f>
        <v>14999.999999999998</v>
      </c>
      <c r="L25" s="214">
        <f>L24*Detached!I4</f>
        <v>12870</v>
      </c>
      <c r="M25" s="214">
        <f>M24*Detached!J4</f>
        <v>12000</v>
      </c>
      <c r="N25" s="214">
        <f>N24*Detached!K4</f>
        <v>15000</v>
      </c>
      <c r="O25" s="214">
        <f>O24*Detached!L4</f>
        <v>9900</v>
      </c>
      <c r="P25" s="214">
        <f>P24*Detached!M4</f>
        <v>17485.714285714286</v>
      </c>
      <c r="Q25" s="214">
        <f>Q24*Detached!N4</f>
        <v>15000</v>
      </c>
      <c r="R25" s="214">
        <f>R24*Detached!O4</f>
        <v>16114.285714285714</v>
      </c>
      <c r="S25" s="214">
        <f>S24*Detached!P4</f>
        <v>14999.999999999998</v>
      </c>
      <c r="T25" s="214">
        <f>T24*Detached!Q4</f>
        <v>9900</v>
      </c>
      <c r="U25" s="214">
        <f>U24*Detached!R4</f>
        <v>9900</v>
      </c>
      <c r="V25" s="214">
        <f>V24*Detached!S4</f>
        <v>12000</v>
      </c>
      <c r="W25" s="214">
        <f>W24*Detached!T4</f>
        <v>15000</v>
      </c>
      <c r="X25" s="214">
        <f>X24*Detached!U4</f>
        <v>15000</v>
      </c>
      <c r="Y25" s="214">
        <f>Y24*Detached!V4</f>
        <v>9900</v>
      </c>
      <c r="Z25" s="214">
        <f>Z24*Detached!W4</f>
        <v>15000</v>
      </c>
      <c r="AA25" s="214">
        <f>AA24*Detached!X4</f>
        <v>9900</v>
      </c>
      <c r="AB25" s="214">
        <f>AB24*Detached!Y4</f>
        <v>15000</v>
      </c>
      <c r="AC25" s="214">
        <f>AC24*Detached!Z4</f>
        <v>12000</v>
      </c>
      <c r="AD25" s="214">
        <f>AD24*Detached!AA4</f>
        <v>15000</v>
      </c>
      <c r="AE25" s="214">
        <f>AE24*Detached!AB4</f>
        <v>9900</v>
      </c>
      <c r="AF25" s="214">
        <f>AF24*Detached!AC4</f>
        <v>17485.714285714286</v>
      </c>
      <c r="AG25" s="214">
        <f>AG24*Detached!AD4</f>
        <v>9900</v>
      </c>
      <c r="AH25" s="214">
        <f>AH24*Detached!AE4</f>
        <v>15000</v>
      </c>
      <c r="AI25" s="214">
        <f>AI24*Detached!AF4</f>
        <v>9900</v>
      </c>
      <c r="AJ25" s="214">
        <f>AJ24*Detached!AG4</f>
        <v>9900</v>
      </c>
      <c r="AK25" s="214">
        <f>AK24*Detached!AH4</f>
        <v>12000</v>
      </c>
      <c r="AL25" s="214">
        <f>AL24*Detached!AI4</f>
        <v>9900</v>
      </c>
      <c r="AM25" s="214">
        <f>AM24*Detached!AJ4</f>
        <v>9900</v>
      </c>
      <c r="AN25" s="214">
        <f>AN24*Detached!AK4</f>
        <v>9900</v>
      </c>
      <c r="AO25" s="214">
        <f>AO24*Detached!AL4</f>
        <v>9900</v>
      </c>
      <c r="AP25" s="214">
        <f>AP24*Detached!AM4</f>
        <v>9900</v>
      </c>
      <c r="AQ25" s="214">
        <f>AQ24*Detached!AN4</f>
        <v>9900</v>
      </c>
    </row>
    <row r="26" spans="1:47">
      <c r="A26" s="5" t="str">
        <f t="shared" si="1"/>
        <v>OUTPUT</v>
      </c>
      <c r="B26" s="5" t="s">
        <v>616</v>
      </c>
      <c r="C26" s="5" t="str">
        <f t="shared" si="2"/>
        <v>Bldg_DETPre45-Win</v>
      </c>
      <c r="D26" s="5" t="s">
        <v>78</v>
      </c>
      <c r="E26" s="5" t="s">
        <v>315</v>
      </c>
      <c r="F26" s="5" t="s">
        <v>606</v>
      </c>
      <c r="G26" s="556">
        <f>$F$1*(Detached!D40-Savings_Detached!D83)</f>
        <v>1.0468827314015706E-2</v>
      </c>
      <c r="H26" s="556">
        <f>$F$1*(Detached!E40-Savings_Detached!E83)</f>
        <v>1.4414522629454064E-2</v>
      </c>
      <c r="I26" s="556">
        <f>$F$1*(Detached!F40-Savings_Detached!F83)</f>
        <v>8.159457741959213E-3</v>
      </c>
      <c r="J26" s="556">
        <f>$F$1*(Detached!G40-Savings_Detached!G83)</f>
        <v>1.0199344350140646E-2</v>
      </c>
      <c r="K26" s="556">
        <f>$F$1*(Detached!H40-Savings_Detached!H83)</f>
        <v>2.2683507487094756E-3</v>
      </c>
      <c r="L26" s="556">
        <f>$F$1*(Detached!I40-Savings_Detached!I83)</f>
        <v>1.2488003787035211E-2</v>
      </c>
      <c r="M26" s="556">
        <f>$F$1*(Detached!J40-Savings_Detached!J83)</f>
        <v>1.4069094556205529E-2</v>
      </c>
      <c r="N26" s="556">
        <f>$F$1*(Detached!K40-Savings_Detached!K83)</f>
        <v>1.1481500867198931E-2</v>
      </c>
      <c r="O26" s="556">
        <f>$F$1*(Detached!L40-Savings_Detached!L83)</f>
        <v>8.6184720388752436E-3</v>
      </c>
      <c r="P26" s="556">
        <f>$F$1*(Detached!M40-Savings_Detached!M83)</f>
        <v>1.3389403331846718E-2</v>
      </c>
      <c r="Q26" s="556">
        <f>$F$1*(Detached!N40-Savings_Detached!N83)</f>
        <v>1.5992805528904228E-2</v>
      </c>
      <c r="R26" s="556">
        <f>$F$1*(Detached!O40-Savings_Detached!O83)</f>
        <v>1.2699647520863151E-2</v>
      </c>
      <c r="S26" s="556">
        <f>$F$1*(Detached!P40-Savings_Detached!P83)</f>
        <v>5.8194019517488508E-3</v>
      </c>
      <c r="T26" s="556">
        <f>$F$1*(Detached!Q40-Savings_Detached!Q83)</f>
        <v>1.5029341127035408E-2</v>
      </c>
      <c r="U26" s="556">
        <f>$F$1*(Detached!R40-Savings_Detached!R83)</f>
        <v>8.4134287546152736E-3</v>
      </c>
      <c r="V26" s="556">
        <f>$F$1*(Detached!S40-Savings_Detached!S83)</f>
        <v>1.5511048720608121E-2</v>
      </c>
      <c r="W26" s="556">
        <f>$F$1*(Detached!T40-Savings_Detached!T83)</f>
        <v>1.3603453044756839E-2</v>
      </c>
      <c r="X26" s="556">
        <f>$F$1*(Detached!U40-Savings_Detached!U83)</f>
        <v>1.4489677561005939E-2</v>
      </c>
      <c r="Y26" s="556">
        <f>$F$1*(Detached!V40-Savings_Detached!V83)</f>
        <v>1.0176246393974625E-2</v>
      </c>
      <c r="Z26" s="556">
        <f>$F$1*(Detached!W40-Savings_Detached!W83)</f>
        <v>1.9030664785772731E-2</v>
      </c>
      <c r="AA26" s="556">
        <f>$F$1*(Detached!X40-Savings_Detached!X83)</f>
        <v>1.4192133806404257E-2</v>
      </c>
      <c r="AB26" s="556">
        <f>$F$1*(Detached!Y40-Savings_Detached!Y83)</f>
        <v>4.046344672716389E-3</v>
      </c>
      <c r="AC26" s="556">
        <f>$F$1*(Detached!Z40-Savings_Detached!Z83)</f>
        <v>1.3679476888904635E-2</v>
      </c>
      <c r="AD26" s="556">
        <f>$F$1*(Detached!AA40-Savings_Detached!AA83)</f>
        <v>1.9803564074355455E-2</v>
      </c>
      <c r="AE26" s="556">
        <f>$F$1*(Detached!AB40-Savings_Detached!AB83)</f>
        <v>1.5594076327491855E-2</v>
      </c>
      <c r="AF26" s="556">
        <f>$F$1*(Detached!AC40-Savings_Detached!AC83)</f>
        <v>6.4470416523831628E-3</v>
      </c>
      <c r="AG26" s="556">
        <f>$F$1*(Detached!AD40-Savings_Detached!AD83)</f>
        <v>9.0592451428551275E-3</v>
      </c>
      <c r="AH26" s="556">
        <f>$F$1*(Detached!AE40-Savings_Detached!AE83)</f>
        <v>1.9095041236413562E-2</v>
      </c>
      <c r="AI26" s="556">
        <f>$F$1*(Detached!AF40-Savings_Detached!AF83)</f>
        <v>8.4105547052197912E-3</v>
      </c>
      <c r="AJ26" s="556">
        <f>$F$1*(Detached!AG40-Savings_Detached!AG83)</f>
        <v>1.581275414315567E-2</v>
      </c>
      <c r="AK26" s="556">
        <f>$F$1*(Detached!AH40-Savings_Detached!AH83)</f>
        <v>1.5264237959661033E-2</v>
      </c>
      <c r="AL26" s="556">
        <f>$F$1*(Detached!AI40-Savings_Detached!AI83)</f>
        <v>5.8194019517488508E-3</v>
      </c>
      <c r="AM26" s="556">
        <f>$F$1*(Detached!AJ40-Savings_Detached!AJ83)</f>
        <v>1.0591501322146611E-2</v>
      </c>
      <c r="AN26" s="556">
        <f>$F$1*(Detached!AK40-Savings_Detached!AK83)</f>
        <v>9.5640854908079151E-3</v>
      </c>
      <c r="AO26" s="556">
        <f>$F$1*(Detached!AL40-Savings_Detached!AL83)</f>
        <v>8.1958946554315758E-3</v>
      </c>
      <c r="AP26" s="556">
        <f>$F$1*(Detached!AM40-Savings_Detached!AM83)</f>
        <v>9.7396865340889545E-3</v>
      </c>
      <c r="AQ26" s="556">
        <f>$F$1*(Detached!AN40-Savings_Detached!AN83)</f>
        <v>9.7396865340889545E-3</v>
      </c>
      <c r="AR26" s="92"/>
      <c r="AS26" s="92"/>
      <c r="AT26" s="5" t="s">
        <v>315</v>
      </c>
      <c r="AU26" s="92"/>
    </row>
    <row r="27" spans="1:47">
      <c r="A27" s="5" t="str">
        <f t="shared" si="1"/>
        <v>OUTPUT</v>
      </c>
      <c r="B27" s="5" t="s">
        <v>616</v>
      </c>
      <c r="C27" s="5" t="str">
        <f t="shared" si="2"/>
        <v>Bldg_DETPre69-Win</v>
      </c>
      <c r="D27" s="5" t="s">
        <v>78</v>
      </c>
      <c r="E27" s="5" t="s">
        <v>316</v>
      </c>
      <c r="F27" s="5" t="s">
        <v>606</v>
      </c>
      <c r="G27" s="556">
        <f>$F$1*(Detached!D41-Savings_Detached!D84)</f>
        <v>1.0620331917990201E-2</v>
      </c>
      <c r="H27" s="556">
        <f>$F$1*(Detached!E41-Savings_Detached!E84)</f>
        <v>1.4414522629454064E-2</v>
      </c>
      <c r="I27" s="556">
        <f>$F$1*(Detached!F41-Savings_Detached!F84)</f>
        <v>8.159457741959213E-3</v>
      </c>
      <c r="J27" s="556">
        <f>$F$1*(Detached!G41-Savings_Detached!G84)</f>
        <v>1.0346949003481242E-2</v>
      </c>
      <c r="K27" s="556">
        <f>$F$1*(Detached!H41-Savings_Detached!H84)</f>
        <v>2.2951665741303751E-3</v>
      </c>
      <c r="L27" s="556">
        <f>$F$1*(Detached!I41-Savings_Detached!I84)</f>
        <v>1.2897988243370207E-2</v>
      </c>
      <c r="M27" s="556">
        <f>$F$1*(Detached!J41-Savings_Detached!J84)</f>
        <v>1.0137767391192862E-2</v>
      </c>
      <c r="N27" s="556">
        <f>$F$1*(Detached!K41-Savings_Detached!K84)</f>
        <v>1.1311215579203913E-2</v>
      </c>
      <c r="O27" s="556">
        <f>$F$1*(Detached!L41-Savings_Detached!L84)</f>
        <v>8.6184720388752436E-3</v>
      </c>
      <c r="P27" s="556">
        <f>$F$1*(Detached!M41-Savings_Detached!M84)</f>
        <v>1.3650399623517311E-2</v>
      </c>
      <c r="Q27" s="556">
        <f>$F$1*(Detached!N41-Savings_Detached!N84)</f>
        <v>1.6264932018819719E-2</v>
      </c>
      <c r="R27" s="556">
        <f>$F$1*(Detached!O41-Savings_Detached!O84)</f>
        <v>1.2699647520863151E-2</v>
      </c>
      <c r="S27" s="556">
        <f>$F$1*(Detached!P41-Savings_Detached!P84)</f>
        <v>5.8194019517488508E-3</v>
      </c>
      <c r="T27" s="556">
        <f>$F$1*(Detached!Q41-Savings_Detached!Q84)</f>
        <v>1.4868052906753857E-2</v>
      </c>
      <c r="U27" s="556">
        <f>$F$1*(Detached!R41-Savings_Detached!R84)</f>
        <v>8.4134287546152736E-3</v>
      </c>
      <c r="V27" s="556">
        <f>$F$1*(Detached!S41-Savings_Detached!S84)</f>
        <v>1.5469864133561106E-2</v>
      </c>
      <c r="W27" s="556">
        <f>$F$1*(Detached!T41-Savings_Detached!T84)</f>
        <v>1.3834923371905471E-2</v>
      </c>
      <c r="X27" s="556">
        <f>$F$1*(Detached!U41-Savings_Detached!U84)</f>
        <v>1.4636301641242527E-2</v>
      </c>
      <c r="Y27" s="556">
        <f>$F$1*(Detached!V41-Savings_Detached!V84)</f>
        <v>1.0176246393974625E-2</v>
      </c>
      <c r="Z27" s="556">
        <f>$F$1*(Detached!W41-Savings_Detached!W84)</f>
        <v>1.5427406518713197E-2</v>
      </c>
      <c r="AA27" s="556">
        <f>$F$1*(Detached!X41-Savings_Detached!X84)</f>
        <v>1.2825230546552715E-2</v>
      </c>
      <c r="AB27" s="556">
        <f>$F$1*(Detached!Y41-Savings_Detached!Y84)</f>
        <v>4.0473711791599466E-3</v>
      </c>
      <c r="AC27" s="556">
        <f>$F$1*(Detached!Z41-Savings_Detached!Z84)</f>
        <v>1.2635492539580706E-2</v>
      </c>
      <c r="AD27" s="556">
        <f>$F$1*(Detached!AA41-Savings_Detached!AA84)</f>
        <v>1.9408331542259495E-2</v>
      </c>
      <c r="AE27" s="556">
        <f>$F$1*(Detached!AB41-Savings_Detached!AB84)</f>
        <v>1.1611888513894613E-2</v>
      </c>
      <c r="AF27" s="556">
        <f>$F$1*(Detached!AC41-Savings_Detached!AC84)</f>
        <v>6.7554270549078903E-3</v>
      </c>
      <c r="AG27" s="556">
        <f>$F$1*(Detached!AD41-Savings_Detached!AD84)</f>
        <v>8.7487165243843174E-3</v>
      </c>
      <c r="AH27" s="556">
        <f>$F$1*(Detached!AE41-Savings_Detached!AE84)</f>
        <v>1.8713949152685216E-2</v>
      </c>
      <c r="AI27" s="556">
        <f>$F$1*(Detached!AF41-Savings_Detached!AF84)</f>
        <v>8.4105547052197912E-3</v>
      </c>
      <c r="AJ27" s="556">
        <f>$F$1*(Detached!AG41-Savings_Detached!AG84)</f>
        <v>1.6312950148432925E-2</v>
      </c>
      <c r="AK27" s="556">
        <f>$F$1*(Detached!AH41-Savings_Detached!AH84)</f>
        <v>1.482760903682556E-2</v>
      </c>
      <c r="AL27" s="556">
        <f>$F$1*(Detached!AI41-Savings_Detached!AI84)</f>
        <v>5.8194019517488508E-3</v>
      </c>
      <c r="AM27" s="556">
        <f>$F$1*(Detached!AJ41-Savings_Detached!AJ84)</f>
        <v>1.0591501322146611E-2</v>
      </c>
      <c r="AN27" s="556">
        <f>$F$1*(Detached!AK41-Savings_Detached!AK84)</f>
        <v>9.5640854908079151E-3</v>
      </c>
      <c r="AO27" s="556">
        <f>$F$1*(Detached!AL41-Savings_Detached!AL84)</f>
        <v>8.1958946554315758E-3</v>
      </c>
      <c r="AP27" s="556">
        <f>$F$1*(Detached!AM41-Savings_Detached!AM84)</f>
        <v>9.7396865340889545E-3</v>
      </c>
      <c r="AQ27" s="556">
        <f>$F$1*(Detached!AN41-Savings_Detached!AN84)</f>
        <v>9.7396865340889545E-3</v>
      </c>
      <c r="AR27" s="92"/>
      <c r="AS27" s="92"/>
      <c r="AT27" s="5" t="s">
        <v>316</v>
      </c>
      <c r="AU27" s="92"/>
    </row>
    <row r="28" spans="1:47">
      <c r="A28" s="5" t="str">
        <f t="shared" si="1"/>
        <v>OUTPUT</v>
      </c>
      <c r="B28" s="5" t="s">
        <v>616</v>
      </c>
      <c r="C28" s="5" t="str">
        <f t="shared" si="2"/>
        <v>Bldg_DETPre79-Win</v>
      </c>
      <c r="D28" s="5" t="s">
        <v>78</v>
      </c>
      <c r="E28" s="5" t="s">
        <v>317</v>
      </c>
      <c r="F28" s="5" t="s">
        <v>606</v>
      </c>
      <c r="G28" s="556">
        <f>$F$1*(Detached!D42-Savings_Detached!D85)</f>
        <v>9.8919632332432807E-3</v>
      </c>
      <c r="H28" s="556">
        <f>$F$1*(Detached!E42-Savings_Detached!E85)</f>
        <v>1.4414522629454064E-2</v>
      </c>
      <c r="I28" s="556">
        <f>$F$1*(Detached!F42-Savings_Detached!F85)</f>
        <v>8.2494690300508808E-3</v>
      </c>
      <c r="J28" s="556">
        <f>$F$1*(Detached!G42-Savings_Detached!G85)</f>
        <v>9.6373295965733359E-3</v>
      </c>
      <c r="K28" s="556">
        <f>$F$1*(Detached!H42-Savings_Detached!H85)</f>
        <v>5.7773296134533535E-3</v>
      </c>
      <c r="L28" s="556">
        <f>$F$1*(Detached!I42-Savings_Detached!I85)</f>
        <v>1.2897988243370207E-2</v>
      </c>
      <c r="M28" s="556">
        <f>$F$1*(Detached!J42-Savings_Detached!J85)</f>
        <v>1.1830905465860009E-2</v>
      </c>
      <c r="N28" s="556">
        <f>$F$1*(Detached!K42-Savings_Detached!K85)</f>
        <v>1.1976610404482356E-2</v>
      </c>
      <c r="O28" s="556">
        <f>$F$1*(Detached!L42-Savings_Detached!L85)</f>
        <v>8.954571437475559E-3</v>
      </c>
      <c r="P28" s="556">
        <f>$F$1*(Detached!M42-Savings_Detached!M85)</f>
        <v>1.3650399623517311E-2</v>
      </c>
      <c r="Q28" s="556">
        <f>$F$1*(Detached!N42-Savings_Detached!N85)</f>
        <v>1.5238742579088107E-2</v>
      </c>
      <c r="R28" s="556">
        <f>$F$1*(Detached!O42-Savings_Detached!O85)</f>
        <v>1.1767402488916686E-2</v>
      </c>
      <c r="S28" s="556">
        <f>$F$1*(Detached!P42-Savings_Detached!P85)</f>
        <v>5.8194019517488508E-3</v>
      </c>
      <c r="T28" s="556">
        <f>$F$1*(Detached!Q42-Savings_Detached!Q85)</f>
        <v>9.5081681031894179E-3</v>
      </c>
      <c r="U28" s="556">
        <f>$F$1*(Detached!R42-Savings_Detached!R85)</f>
        <v>8.6365236860495229E-3</v>
      </c>
      <c r="V28" s="556">
        <f>$F$1*(Detached!S42-Savings_Detached!S85)</f>
        <v>1.5913315711225472E-2</v>
      </c>
      <c r="W28" s="556">
        <f>$F$1*(Detached!T42-Savings_Detached!T85)</f>
        <v>1.2962048388639732E-2</v>
      </c>
      <c r="X28" s="556">
        <f>$F$1*(Detached!U42-Savings_Detached!U85)</f>
        <v>1.2389087313053639E-2</v>
      </c>
      <c r="Y28" s="556">
        <f>$F$1*(Detached!V42-Savings_Detached!V85)</f>
        <v>8.405759177945853E-3</v>
      </c>
      <c r="Z28" s="556">
        <f>$F$1*(Detached!W42-Savings_Detached!W85)</f>
        <v>1.2988740750136509E-2</v>
      </c>
      <c r="AA28" s="556">
        <f>$F$1*(Detached!X42-Savings_Detached!X85)</f>
        <v>1.3007157684794407E-2</v>
      </c>
      <c r="AB28" s="556">
        <f>$F$1*(Detached!Y42-Savings_Detached!Y85)</f>
        <v>4.1872585011432659E-3</v>
      </c>
      <c r="AC28" s="556">
        <f>$F$1*(Detached!Z42-Savings_Detached!Z85)</f>
        <v>1.2712897322387263E-2</v>
      </c>
      <c r="AD28" s="556">
        <f>$F$1*(Detached!AA42-Savings_Detached!AA85)</f>
        <v>2.0488945522883321E-2</v>
      </c>
      <c r="AE28" s="556">
        <f>$F$1*(Detached!AB42-Savings_Detached!AB85)</f>
        <v>1.0169659564644178E-2</v>
      </c>
      <c r="AF28" s="556">
        <f>$F$1*(Detached!AC42-Savings_Detached!AC85)</f>
        <v>6.7787887209308367E-3</v>
      </c>
      <c r="AG28" s="556">
        <f>$F$1*(Detached!AD42-Savings_Detached!AD85)</f>
        <v>8.7487165243843174E-3</v>
      </c>
      <c r="AH28" s="556">
        <f>$F$1*(Detached!AE42-Savings_Detached!AE85)</f>
        <v>1.9755901421639546E-2</v>
      </c>
      <c r="AI28" s="556">
        <f>$F$1*(Detached!AF42-Savings_Detached!AF85)</f>
        <v>7.0719878440025814E-3</v>
      </c>
      <c r="AJ28" s="556">
        <f>$F$1*(Detached!AG42-Savings_Detached!AG85)</f>
        <v>1.6312950148432925E-2</v>
      </c>
      <c r="AK28" s="556">
        <f>$F$1*(Detached!AH42-Savings_Detached!AH85)</f>
        <v>1.3968965887516159E-2</v>
      </c>
      <c r="AL28" s="556">
        <f>$F$1*(Detached!AI42-Savings_Detached!AI85)</f>
        <v>5.8194019517488508E-3</v>
      </c>
      <c r="AM28" s="556">
        <f>$F$1*(Detached!AJ42-Savings_Detached!AJ85)</f>
        <v>1.0591501322146611E-2</v>
      </c>
      <c r="AN28" s="556">
        <f>$F$1*(Detached!AK42-Savings_Detached!AK85)</f>
        <v>9.5640854908079151E-3</v>
      </c>
      <c r="AO28" s="556">
        <f>$F$1*(Detached!AL42-Savings_Detached!AL85)</f>
        <v>8.2871273046816914E-3</v>
      </c>
      <c r="AP28" s="556">
        <f>$F$1*(Detached!AM42-Savings_Detached!AM85)</f>
        <v>9.7396865340889545E-3</v>
      </c>
      <c r="AQ28" s="556">
        <f>$F$1*(Detached!AN42-Savings_Detached!AN85)</f>
        <v>9.7396865340889545E-3</v>
      </c>
      <c r="AR28" s="92"/>
      <c r="AS28" s="92"/>
      <c r="AT28" s="5" t="s">
        <v>317</v>
      </c>
      <c r="AU28" s="92"/>
    </row>
    <row r="29" spans="1:47">
      <c r="A29" s="5" t="str">
        <f t="shared" si="1"/>
        <v>OUTPUT</v>
      </c>
      <c r="B29" s="5" t="s">
        <v>616</v>
      </c>
      <c r="C29" s="5" t="str">
        <f t="shared" si="2"/>
        <v>Bldg_DETPre89-Win</v>
      </c>
      <c r="D29" s="5" t="s">
        <v>78</v>
      </c>
      <c r="E29" s="5" t="s">
        <v>318</v>
      </c>
      <c r="F29" s="5" t="s">
        <v>606</v>
      </c>
      <c r="G29" s="556">
        <f>$F$1*(Detached!D43-Savings_Detached!D86)</f>
        <v>7.389008732466883E-3</v>
      </c>
      <c r="H29" s="556">
        <f>$F$1*(Detached!E43-Savings_Detached!E86)</f>
        <v>1.3291916712607732E-2</v>
      </c>
      <c r="I29" s="556">
        <f>$F$1*(Detached!F43-Savings_Detached!F86)</f>
        <v>8.4847268220179552E-3</v>
      </c>
      <c r="J29" s="556">
        <f>$F$1*(Detached!G43-Savings_Detached!G86)</f>
        <v>7.1988048143395962E-3</v>
      </c>
      <c r="K29" s="556">
        <f>$F$1*(Detached!H43-Savings_Detached!H86)</f>
        <v>5.8099103377804214E-3</v>
      </c>
      <c r="L29" s="556">
        <f>$F$1*(Detached!I43-Savings_Detached!I86)</f>
        <v>1.3178858408314431E-2</v>
      </c>
      <c r="M29" s="556">
        <f>$F$1*(Detached!J43-Savings_Detached!J86)</f>
        <v>1.1028256032870453E-2</v>
      </c>
      <c r="N29" s="556">
        <f>$F$1*(Detached!K43-Savings_Detached!K86)</f>
        <v>1.1785239748282692E-2</v>
      </c>
      <c r="O29" s="556">
        <f>$F$1*(Detached!L43-Savings_Detached!L86)</f>
        <v>4.0407117626341848E-3</v>
      </c>
      <c r="P29" s="556">
        <f>$F$1*(Detached!M43-Savings_Detached!M86)</f>
        <v>7.7148118079328901E-3</v>
      </c>
      <c r="Q29" s="556">
        <f>$F$1*(Detached!N43-Savings_Detached!N86)</f>
        <v>1.2421959380602024E-2</v>
      </c>
      <c r="R29" s="556">
        <f>$F$1*(Detached!O43-Savings_Detached!O86)</f>
        <v>1.015748333668043E-2</v>
      </c>
      <c r="S29" s="556">
        <f>$F$1*(Detached!P43-Savings_Detached!P86)</f>
        <v>5.8493211170910706E-3</v>
      </c>
      <c r="T29" s="556">
        <f>$F$1*(Detached!Q43-Savings_Detached!Q86)</f>
        <v>9.5081681031894179E-3</v>
      </c>
      <c r="U29" s="556">
        <f>$F$1*(Detached!R43-Savings_Detached!R86)</f>
        <v>9.1361657799438386E-3</v>
      </c>
      <c r="V29" s="556">
        <f>$F$1*(Detached!S43-Savings_Detached!S86)</f>
        <v>1.3019431744287267E-2</v>
      </c>
      <c r="W29" s="556">
        <f>$F$1*(Detached!T43-Savings_Detached!T86)</f>
        <v>1.0566097415021476E-2</v>
      </c>
      <c r="X29" s="556">
        <f>$F$1*(Detached!U43-Savings_Detached!U86)</f>
        <v>8.2931672780186833E-3</v>
      </c>
      <c r="Y29" s="556">
        <f>$F$1*(Detached!V43-Savings_Detached!V86)</f>
        <v>8.405759177945853E-3</v>
      </c>
      <c r="Z29" s="556">
        <f>$F$1*(Detached!W43-Savings_Detached!W86)</f>
        <v>7.6827867175370225E-3</v>
      </c>
      <c r="AA29" s="556">
        <f>$F$1*(Detached!X43-Savings_Detached!X86)</f>
        <v>8.9311469428463765E-3</v>
      </c>
      <c r="AB29" s="556">
        <f>$F$1*(Detached!Y43-Savings_Detached!Y86)</f>
        <v>4.2532389434438078E-3</v>
      </c>
      <c r="AC29" s="556">
        <f>$F$1*(Detached!Z43-Savings_Detached!Z86)</f>
        <v>1.3528060601224957E-2</v>
      </c>
      <c r="AD29" s="556">
        <f>$F$1*(Detached!AA43-Savings_Detached!AA86)</f>
        <v>1.9507948256640689E-2</v>
      </c>
      <c r="AE29" s="556">
        <f>$F$1*(Detached!AB43-Savings_Detached!AB86)</f>
        <v>1.0169659564644178E-2</v>
      </c>
      <c r="AF29" s="556">
        <f>$F$1*(Detached!AC43-Savings_Detached!AC86)</f>
        <v>7.0081887700283209E-3</v>
      </c>
      <c r="AG29" s="556">
        <f>$F$1*(Detached!AD43-Savings_Detached!AD86)</f>
        <v>8.528727885170841E-3</v>
      </c>
      <c r="AH29" s="556">
        <f>$F$1*(Detached!AE43-Savings_Detached!AE86)</f>
        <v>1.8810001825921342E-2</v>
      </c>
      <c r="AI29" s="556">
        <f>$F$1*(Detached!AF43-Savings_Detached!AF86)</f>
        <v>4.8651119477345585E-3</v>
      </c>
      <c r="AJ29" s="556">
        <f>$F$1*(Detached!AG43-Savings_Detached!AG86)</f>
        <v>1.238439257772485E-2</v>
      </c>
      <c r="AK29" s="556">
        <f>$F$1*(Detached!AH43-Savings_Detached!AH86)</f>
        <v>1.5027799096942908E-2</v>
      </c>
      <c r="AL29" s="556">
        <f>$F$1*(Detached!AI43-Savings_Detached!AI86)</f>
        <v>5.8493211170910706E-3</v>
      </c>
      <c r="AM29" s="556">
        <f>$F$1*(Detached!AJ43-Savings_Detached!AJ86)</f>
        <v>1.0882094673077778E-2</v>
      </c>
      <c r="AN29" s="556">
        <f>$F$1*(Detached!AK43-Savings_Detached!AK86)</f>
        <v>9.8370893356095647E-3</v>
      </c>
      <c r="AO29" s="556">
        <f>$F$1*(Detached!AL43-Savings_Detached!AL86)</f>
        <v>8.5255660652826613E-3</v>
      </c>
      <c r="AP29" s="556">
        <f>$F$1*(Detached!AM43-Savings_Detached!AM86)</f>
        <v>1.000690909875428E-2</v>
      </c>
      <c r="AQ29" s="556">
        <f>$F$1*(Detached!AN43-Savings_Detached!AN86)</f>
        <v>1.000690909875428E-2</v>
      </c>
      <c r="AR29" s="92"/>
      <c r="AS29" s="92"/>
      <c r="AT29" s="5" t="s">
        <v>318</v>
      </c>
      <c r="AU29" s="92"/>
    </row>
    <row r="30" spans="1:47">
      <c r="A30" s="5" t="str">
        <f t="shared" si="1"/>
        <v>OUTPUT</v>
      </c>
      <c r="B30" s="5" t="s">
        <v>616</v>
      </c>
      <c r="C30" s="5" t="str">
        <f t="shared" si="2"/>
        <v>Bldg_DETPre99-Win</v>
      </c>
      <c r="D30" s="5" t="s">
        <v>78</v>
      </c>
      <c r="E30" s="5" t="s">
        <v>319</v>
      </c>
      <c r="F30" s="5" t="s">
        <v>606</v>
      </c>
      <c r="G30" s="556">
        <f>$F$1*(Detached!D44-Savings_Detached!D87)</f>
        <v>6.2865123664386782E-3</v>
      </c>
      <c r="H30" s="556">
        <f>$F$1*(Detached!E44-Savings_Detached!E87)</f>
        <v>1.3291916712607732E-2</v>
      </c>
      <c r="I30" s="556">
        <f>$F$1*(Detached!F44-Savings_Detached!F87)</f>
        <v>8.8640199769708938E-3</v>
      </c>
      <c r="J30" s="556">
        <f>$F$1*(Detached!G44-Savings_Detached!G87)</f>
        <v>6.124688321191795E-3</v>
      </c>
      <c r="K30" s="556">
        <f>$F$1*(Detached!H44-Savings_Detached!H87)</f>
        <v>1.0882444632266189E-3</v>
      </c>
      <c r="L30" s="556">
        <f>$F$1*(Detached!I44-Savings_Detached!I87)</f>
        <v>1.1299510301580846E-2</v>
      </c>
      <c r="M30" s="556">
        <f>$F$1*(Detached!J44-Savings_Detached!J87)</f>
        <v>6.0105070493647926E-3</v>
      </c>
      <c r="N30" s="556">
        <f>$F$1*(Detached!K44-Savings_Detached!K87)</f>
        <v>1.1785239748282692E-2</v>
      </c>
      <c r="O30" s="556">
        <f>$F$1*(Detached!L44-Savings_Detached!L87)</f>
        <v>3.5830169299869105E-3</v>
      </c>
      <c r="P30" s="556">
        <f>$F$1*(Detached!M44-Savings_Detached!M87)</f>
        <v>7.7148118079328901E-3</v>
      </c>
      <c r="Q30" s="556">
        <f>$F$1*(Detached!N44-Savings_Detached!N87)</f>
        <v>1.2452252571739418E-2</v>
      </c>
      <c r="R30" s="556">
        <f>$F$1*(Detached!O44-Savings_Detached!O87)</f>
        <v>5.8639549630400975E-3</v>
      </c>
      <c r="S30" s="556">
        <f>$F$1*(Detached!P44-Savings_Detached!P87)</f>
        <v>5.8493211170910706E-3</v>
      </c>
      <c r="T30" s="556">
        <f>$F$1*(Detached!Q44-Savings_Detached!Q87)</f>
        <v>7.533471752499913E-3</v>
      </c>
      <c r="U30" s="556">
        <f>$F$1*(Detached!R44-Savings_Detached!R87)</f>
        <v>9.1361657799438386E-3</v>
      </c>
      <c r="V30" s="556">
        <f>$F$1*(Detached!S44-Savings_Detached!S87)</f>
        <v>1.3435648717678876E-2</v>
      </c>
      <c r="W30" s="556">
        <f>$F$1*(Detached!T44-Savings_Detached!T87)</f>
        <v>1.0591864751619707E-2</v>
      </c>
      <c r="X30" s="556">
        <f>$F$1*(Detached!U44-Savings_Detached!U87)</f>
        <v>8.4188628824449132E-3</v>
      </c>
      <c r="Y30" s="556">
        <f>$F$1*(Detached!V44-Savings_Detached!V87)</f>
        <v>8.405759177945853E-3</v>
      </c>
      <c r="Z30" s="556">
        <f>$F$1*(Detached!W44-Savings_Detached!W87)</f>
        <v>5.5540430280309628E-3</v>
      </c>
      <c r="AA30" s="556">
        <f>$F$1*(Detached!X44-Savings_Detached!X87)</f>
        <v>8.9588363506607829E-3</v>
      </c>
      <c r="AB30" s="556">
        <f>$F$1*(Detached!Y44-Savings_Detached!Y87)</f>
        <v>4.2666681036977903E-3</v>
      </c>
      <c r="AC30" s="556">
        <f>$F$1*(Detached!Z44-Savings_Detached!Z87)</f>
        <v>1.1328507144668052E-2</v>
      </c>
      <c r="AD30" s="556">
        <f>$F$1*(Detached!AA44-Savings_Detached!AA87)</f>
        <v>1.9939314826851757E-2</v>
      </c>
      <c r="AE30" s="556">
        <f>$F$1*(Detached!AB44-Savings_Detached!AB87)</f>
        <v>1.0169659564644178E-2</v>
      </c>
      <c r="AF30" s="556">
        <f>$F$1*(Detached!AC44-Savings_Detached!AC87)</f>
        <v>6.9170558171060027E-3</v>
      </c>
      <c r="AG30" s="556">
        <f>$F$1*(Detached!AD44-Savings_Detached!AD87)</f>
        <v>8.528727885170841E-3</v>
      </c>
      <c r="AH30" s="556">
        <f>$F$1*(Detached!AE44-Savings_Detached!AE87)</f>
        <v>1.9225935160712172E-2</v>
      </c>
      <c r="AI30" s="556">
        <f>$F$1*(Detached!AF44-Savings_Detached!AF87)</f>
        <v>5.1740062652530436E-3</v>
      </c>
      <c r="AJ30" s="556">
        <f>$F$1*(Detached!AG44-Savings_Detached!AG87)</f>
        <v>1.2595029262206851E-2</v>
      </c>
      <c r="AK30" s="556">
        <f>$F$1*(Detached!AH44-Savings_Detached!AH87)</f>
        <v>8.1096140043774734E-3</v>
      </c>
      <c r="AL30" s="556">
        <f>$F$1*(Detached!AI44-Savings_Detached!AI87)</f>
        <v>5.8493211170910706E-3</v>
      </c>
      <c r="AM30" s="556">
        <f>$F$1*(Detached!AJ44-Savings_Detached!AJ87)</f>
        <v>1.1466883316152686E-2</v>
      </c>
      <c r="AN30" s="556">
        <f>$F$1*(Detached!AK44-Savings_Detached!AK87)</f>
        <v>1.0371912905978992E-2</v>
      </c>
      <c r="AO30" s="556">
        <f>$F$1*(Detached!AL44-Savings_Detached!AL87)</f>
        <v>8.9134651613469677E-3</v>
      </c>
      <c r="AP30" s="556">
        <f>$F$1*(Detached!AM44-Savings_Detached!AM87)</f>
        <v>1.0544666485455956E-2</v>
      </c>
      <c r="AQ30" s="556">
        <f>$F$1*(Detached!AN44-Savings_Detached!AN87)</f>
        <v>1.0544666485455956E-2</v>
      </c>
      <c r="AR30" s="92"/>
      <c r="AS30" s="92"/>
      <c r="AT30" s="5" t="s">
        <v>319</v>
      </c>
      <c r="AU30" s="92"/>
    </row>
    <row r="31" spans="1:47">
      <c r="A31" s="5" t="str">
        <f t="shared" si="1"/>
        <v>OUTPUT</v>
      </c>
      <c r="B31" s="5" t="s">
        <v>616</v>
      </c>
      <c r="C31" s="5" t="str">
        <f t="shared" si="2"/>
        <v>Bldg_DETPre09-Win</v>
      </c>
      <c r="D31" s="5" t="s">
        <v>78</v>
      </c>
      <c r="E31" s="5" t="s">
        <v>320</v>
      </c>
      <c r="F31" s="5" t="s">
        <v>606</v>
      </c>
      <c r="G31" s="556">
        <f>$F$1*(Detached!D45-Savings_Detached!D88)</f>
        <v>5.7539976073422358E-3</v>
      </c>
      <c r="H31" s="556">
        <f>$F$1*(Detached!E45-Savings_Detached!E88)</f>
        <v>9.0561265478735515E-3</v>
      </c>
      <c r="I31" s="556">
        <f>$F$1*(Detached!F45-Savings_Detached!F88)</f>
        <v>7.5195933423441511E-3</v>
      </c>
      <c r="J31" s="556">
        <f>$F$1*(Detached!G45-Savings_Detached!G88)</f>
        <v>5.6058812727380163E-3</v>
      </c>
      <c r="K31" s="556">
        <f>$F$1*(Detached!H45-Savings_Detached!H88)</f>
        <v>2.4203234902395029E-3</v>
      </c>
      <c r="L31" s="556">
        <f>$F$1*(Detached!I45-Savings_Detached!I88)</f>
        <v>7.0617873691282713E-3</v>
      </c>
      <c r="M31" s="556">
        <f>$F$1*(Detached!J45-Savings_Detached!J88)</f>
        <v>5.9158145215342526E-3</v>
      </c>
      <c r="N31" s="556">
        <f>$F$1*(Detached!K45-Savings_Detached!K88)</f>
        <v>7.6472337831974754E-3</v>
      </c>
      <c r="O31" s="556">
        <f>$F$1*(Detached!L45-Savings_Detached!L88)</f>
        <v>3.5830169299869105E-3</v>
      </c>
      <c r="P31" s="556">
        <f>$F$1*(Detached!M45-Savings_Detached!M88)</f>
        <v>7.7194462584563323E-3</v>
      </c>
      <c r="Q31" s="556">
        <f>$F$1*(Detached!N45-Savings_Detached!N88)</f>
        <v>9.7974611356552478E-3</v>
      </c>
      <c r="R31" s="556">
        <f>$F$1*(Detached!O45-Savings_Detached!O88)</f>
        <v>5.5326629273087825E-3</v>
      </c>
      <c r="S31" s="556">
        <f>$F$1*(Detached!P45-Savings_Detached!P88)</f>
        <v>7.068109564732911E-3</v>
      </c>
      <c r="T31" s="556">
        <f>$F$1*(Detached!Q45-Savings_Detached!Q88)</f>
        <v>5.4052892008507993E-3</v>
      </c>
      <c r="U31" s="556">
        <f>$F$1*(Detached!R45-Savings_Detached!R88)</f>
        <v>4.5847687288639773E-3</v>
      </c>
      <c r="V31" s="556">
        <f>$F$1*(Detached!S45-Savings_Detached!S88)</f>
        <v>1.0426773062124235E-2</v>
      </c>
      <c r="W31" s="556">
        <f>$F$1*(Detached!T45-Savings_Detached!T88)</f>
        <v>8.3337036941915389E-3</v>
      </c>
      <c r="X31" s="556">
        <f>$F$1*(Detached!U45-Savings_Detached!U88)</f>
        <v>5.2728215057659391E-3</v>
      </c>
      <c r="Y31" s="556">
        <f>$F$1*(Detached!V45-Savings_Detached!V88)</f>
        <v>7.8584040386358456E-3</v>
      </c>
      <c r="Z31" s="556">
        <f>$F$1*(Detached!W45-Savings_Detached!W88)</f>
        <v>3.948681569689352E-3</v>
      </c>
      <c r="AA31" s="556">
        <f>$F$1*(Detached!X45-Savings_Detached!X88)</f>
        <v>8.2706282971019875E-3</v>
      </c>
      <c r="AB31" s="556">
        <f>$F$1*(Detached!Y45-Savings_Detached!Y88)</f>
        <v>4.3031440204692383E-3</v>
      </c>
      <c r="AC31" s="556">
        <f>$F$1*(Detached!Z45-Savings_Detached!Z88)</f>
        <v>7.3756060486880343E-3</v>
      </c>
      <c r="AD31" s="556">
        <f>$F$1*(Detached!AA45-Savings_Detached!AA88)</f>
        <v>1.2407284146945237E-2</v>
      </c>
      <c r="AE31" s="556">
        <f>$F$1*(Detached!AB45-Savings_Detached!AB88)</f>
        <v>1.0662221775869297E-2</v>
      </c>
      <c r="AF31" s="556">
        <f>$F$1*(Detached!AC45-Savings_Detached!AC88)</f>
        <v>5.2465903614628889E-3</v>
      </c>
      <c r="AG31" s="556">
        <f>$F$1*(Detached!AD45-Savings_Detached!AD88)</f>
        <v>3.8131486242864469E-3</v>
      </c>
      <c r="AH31" s="556">
        <f>$F$1*(Detached!AE45-Savings_Detached!AE88)</f>
        <v>1.1963382021957099E-2</v>
      </c>
      <c r="AI31" s="556">
        <f>$F$1*(Detached!AF45-Savings_Detached!AF88)</f>
        <v>3.9256876082239458E-3</v>
      </c>
      <c r="AJ31" s="556">
        <f>$F$1*(Detached!AG45-Savings_Detached!AG88)</f>
        <v>6.4612500763966199E-3</v>
      </c>
      <c r="AK31" s="556">
        <f>$F$1*(Detached!AH45-Savings_Detached!AH88)</f>
        <v>6.7888386863106118E-3</v>
      </c>
      <c r="AL31" s="556">
        <f>$F$1*(Detached!AI45-Savings_Detached!AI88)</f>
        <v>7.068109564732911E-3</v>
      </c>
      <c r="AM31" s="556">
        <f>$F$1*(Detached!AJ45-Savings_Detached!AJ88)</f>
        <v>9.3673443080803595E-3</v>
      </c>
      <c r="AN31" s="556">
        <f>$F$1*(Detached!AK45-Savings_Detached!AK88)</f>
        <v>8.4715120591600489E-3</v>
      </c>
      <c r="AO31" s="556">
        <f>$F$1*(Detached!AL45-Savings_Detached!AL88)</f>
        <v>7.5644035363987509E-3</v>
      </c>
      <c r="AP31" s="556">
        <f>$F$1*(Detached!AM45-Savings_Detached!AM88)</f>
        <v>8.613981572830904E-3</v>
      </c>
      <c r="AQ31" s="556">
        <f>$F$1*(Detached!AN45-Savings_Detached!AN88)</f>
        <v>8.613981572830904E-3</v>
      </c>
      <c r="AR31" s="92"/>
      <c r="AS31" s="92"/>
      <c r="AT31" s="5" t="s">
        <v>320</v>
      </c>
      <c r="AU31" s="92"/>
    </row>
    <row r="32" spans="1:47">
      <c r="A32" s="5" t="str">
        <f t="shared" si="1"/>
        <v>\I:</v>
      </c>
      <c r="C32" s="5" t="str">
        <f t="shared" si="2"/>
        <v/>
      </c>
      <c r="E32" s="5" t="s">
        <v>623</v>
      </c>
    </row>
    <row r="33" spans="1:46">
      <c r="A33" s="5" t="str">
        <f t="shared" si="1"/>
        <v>\I:</v>
      </c>
      <c r="C33" s="5" t="str">
        <f t="shared" si="2"/>
        <v/>
      </c>
      <c r="E33" s="5" t="s">
        <v>623</v>
      </c>
    </row>
    <row r="34" spans="1:46">
      <c r="A34" s="135" t="str">
        <f t="shared" si="1"/>
        <v>\I:</v>
      </c>
      <c r="C34" s="5" t="str">
        <f t="shared" si="2"/>
        <v/>
      </c>
      <c r="E34" s="5" t="s">
        <v>623</v>
      </c>
      <c r="F34" s="135" t="s">
        <v>393</v>
      </c>
      <c r="G34" s="492">
        <f>G43*'Energy Efficiency Measures-DBT'!D17/'Energy Efficiency Measures-DBT'!D16</f>
        <v>13.363636363636363</v>
      </c>
      <c r="H34" s="492">
        <f>H43*'Energy Efficiency Measures-DBT'!E17/'Energy Efficiency Measures-DBT'!E16</f>
        <v>16.70454545454545</v>
      </c>
      <c r="I34" s="492">
        <f>I43*'Energy Efficiency Measures-DBT'!F17/'Energy Efficiency Measures-DBT'!F16</f>
        <v>13.125</v>
      </c>
      <c r="J34" s="492">
        <f>J43*'Energy Efficiency Measures-DBT'!G17/'Energy Efficiency Measures-DBT'!G16</f>
        <v>13.363636363636363</v>
      </c>
      <c r="K34" s="492">
        <f>K43*'Energy Efficiency Measures-DBT'!H17/'Energy Efficiency Measures-DBT'!H16</f>
        <v>18.375000000000004</v>
      </c>
      <c r="L34" s="492">
        <f>L43*'Energy Efficiency Measures-DBT'!I17/'Energy Efficiency Measures-DBT'!I16</f>
        <v>8.7500000000000018</v>
      </c>
      <c r="M34" s="492">
        <f>M43*'Energy Efficiency Measures-DBT'!J17/'Energy Efficiency Measures-DBT'!J16</f>
        <v>5.0113636363636358</v>
      </c>
      <c r="N34" s="492">
        <f>N43*'Energy Efficiency Measures-DBT'!K17/'Energy Efficiency Measures-DBT'!K16</f>
        <v>13.363636363636369</v>
      </c>
      <c r="O34" s="492">
        <f>O43*'Energy Efficiency Measures-DBT'!L17/'Energy Efficiency Measures-DBT'!L16</f>
        <v>13.125</v>
      </c>
      <c r="P34" s="492">
        <f>P43*'Energy Efficiency Measures-DBT'!M17/'Energy Efficiency Measures-DBT'!M16</f>
        <v>11.693181818181822</v>
      </c>
      <c r="Q34" s="492">
        <f>Q43*'Energy Efficiency Measures-DBT'!N17/'Energy Efficiency Measures-DBT'!N16</f>
        <v>16.70454545454545</v>
      </c>
      <c r="R34" s="492">
        <f>R43*'Energy Efficiency Measures-DBT'!O17/'Energy Efficiency Measures-DBT'!O16</f>
        <v>16.704545454545453</v>
      </c>
      <c r="S34" s="492">
        <f>S43*'Energy Efficiency Measures-DBT'!P17/'Energy Efficiency Measures-DBT'!P16</f>
        <v>18.375000000000004</v>
      </c>
      <c r="T34" s="492">
        <f>T43*'Energy Efficiency Measures-DBT'!Q17/'Energy Efficiency Measures-DBT'!Q16</f>
        <v>13.125000000000002</v>
      </c>
      <c r="U34" s="492">
        <f>U43*'Energy Efficiency Measures-DBT'!R17/'Energy Efficiency Measures-DBT'!R16</f>
        <v>13.125</v>
      </c>
      <c r="V34" s="492">
        <f>V43*'Energy Efficiency Measures-DBT'!S17/'Energy Efficiency Measures-DBT'!S16</f>
        <v>16.704545454545453</v>
      </c>
      <c r="W34" s="492">
        <f>W43*'Energy Efficiency Measures-DBT'!T17/'Energy Efficiency Measures-DBT'!T16</f>
        <v>13.36363636363636</v>
      </c>
      <c r="X34" s="492">
        <f>X43*'Energy Efficiency Measures-DBT'!U17/'Energy Efficiency Measures-DBT'!U16</f>
        <v>18.375000000000007</v>
      </c>
      <c r="Y34" s="492">
        <f>Y43*'Energy Efficiency Measures-DBT'!V17/'Energy Efficiency Measures-DBT'!V16</f>
        <v>13.125</v>
      </c>
      <c r="Z34" s="492">
        <f>Z43*'Energy Efficiency Measures-DBT'!W17/'Energy Efficiency Measures-DBT'!W16</f>
        <v>13.363636363636365</v>
      </c>
      <c r="AA34" s="492">
        <f>AA43*'Energy Efficiency Measures-DBT'!X17/'Energy Efficiency Measures-DBT'!X16</f>
        <v>13.125000000000002</v>
      </c>
      <c r="AB34" s="492">
        <f>AB43*'Energy Efficiency Measures-DBT'!Y17/'Energy Efficiency Measures-DBT'!Y16</f>
        <v>18.375000000000004</v>
      </c>
      <c r="AC34" s="492">
        <f>AC43*'Energy Efficiency Measures-DBT'!Z17/'Energy Efficiency Measures-DBT'!Z16</f>
        <v>16.704545454545453</v>
      </c>
      <c r="AD34" s="492">
        <f>AD43*'Energy Efficiency Measures-DBT'!AA17/'Energy Efficiency Measures-DBT'!AA16</f>
        <v>16.704545454545457</v>
      </c>
      <c r="AE34" s="492">
        <f>AE43*'Energy Efficiency Measures-DBT'!AB17/'Energy Efficiency Measures-DBT'!AB16</f>
        <v>17.5</v>
      </c>
      <c r="AF34" s="492">
        <f>AF43*'Energy Efficiency Measures-DBT'!AC17/'Energy Efficiency Measures-DBT'!AC16</f>
        <v>11.693181818181822</v>
      </c>
      <c r="AG34" s="492">
        <f>AG43*'Energy Efficiency Measures-DBT'!AD17/'Energy Efficiency Measures-DBT'!AD16</f>
        <v>17.500000000000004</v>
      </c>
      <c r="AH34" s="492">
        <f>AH43*'Energy Efficiency Measures-DBT'!AE17/'Energy Efficiency Measures-DBT'!AE16</f>
        <v>16.704545454545457</v>
      </c>
      <c r="AI34" s="492">
        <f>AI43*'Energy Efficiency Measures-DBT'!AF17/'Energy Efficiency Measures-DBT'!AF16</f>
        <v>13.124999999999998</v>
      </c>
      <c r="AJ34" s="492">
        <f>AJ43*'Energy Efficiency Measures-DBT'!AG17/'Energy Efficiency Measures-DBT'!AG16</f>
        <v>8.7500000000000018</v>
      </c>
      <c r="AK34" s="492">
        <f>AK43*'Energy Efficiency Measures-DBT'!AH17/'Energy Efficiency Measures-DBT'!AH16</f>
        <v>16.704545454545453</v>
      </c>
      <c r="AL34" s="492">
        <f>AL43*'Energy Efficiency Measures-DBT'!AI17/'Energy Efficiency Measures-DBT'!AI16</f>
        <v>13.125000000000004</v>
      </c>
      <c r="AM34" s="492">
        <f>AM43*'Energy Efficiency Measures-DBT'!AJ17/'Energy Efficiency Measures-DBT'!AJ16</f>
        <v>13.125000000000002</v>
      </c>
      <c r="AN34" s="492">
        <f>AN43*'Energy Efficiency Measures-DBT'!AK17/'Energy Efficiency Measures-DBT'!AK16</f>
        <v>13.125000000000004</v>
      </c>
      <c r="AO34" s="492">
        <f>AO43*'Energy Efficiency Measures-DBT'!AL17/'Energy Efficiency Measures-DBT'!AL16</f>
        <v>13.125000000000002</v>
      </c>
      <c r="AP34" s="492">
        <f>AP43*'Energy Efficiency Measures-DBT'!AM17/'Energy Efficiency Measures-DBT'!AM16</f>
        <v>13.125000000000002</v>
      </c>
      <c r="AQ34" s="492">
        <f>AQ43*'Energy Efficiency Measures-DBT'!AN17/'Energy Efficiency Measures-DBT'!AN16</f>
        <v>13.125000000000002</v>
      </c>
      <c r="AR34" s="492"/>
      <c r="AS34" s="492"/>
    </row>
    <row r="35" spans="1:46">
      <c r="A35" s="135" t="str">
        <f t="shared" si="1"/>
        <v>\I:</v>
      </c>
      <c r="C35" s="5" t="str">
        <f t="shared" si="2"/>
        <v/>
      </c>
      <c r="E35" s="5" t="s">
        <v>394</v>
      </c>
      <c r="F35" s="135" t="s">
        <v>624</v>
      </c>
      <c r="G35" s="214">
        <f>G34*Detached!D4</f>
        <v>2001.7474431818182</v>
      </c>
      <c r="H35" s="214">
        <f>H34*Detached!E4</f>
        <v>2378.6054757102265</v>
      </c>
      <c r="I35" s="214">
        <f>I34*Detached!F4</f>
        <v>1043.5695210937499</v>
      </c>
      <c r="J35" s="214">
        <f>J34*Detached!G4</f>
        <v>2001.7474431818182</v>
      </c>
      <c r="K35" s="214">
        <f>K34*Detached!H4</f>
        <v>2101.7149518750007</v>
      </c>
      <c r="L35" s="214">
        <f>L34*Detached!I4</f>
        <v>1092.1445718750001</v>
      </c>
      <c r="M35" s="214">
        <f>M34*Detached!J4</f>
        <v>672.56698269886363</v>
      </c>
      <c r="N35" s="214">
        <f>N34*Detached!K4</f>
        <v>2233.3977272727279</v>
      </c>
      <c r="O35" s="214">
        <f>O34*Detached!L4</f>
        <v>1399.2768234375001</v>
      </c>
      <c r="P35" s="214">
        <f>P34*Detached!M4</f>
        <v>1621.9646117897732</v>
      </c>
      <c r="Q35" s="214">
        <f>Q34*Detached!N4</f>
        <v>2025.4261363636358</v>
      </c>
      <c r="R35" s="214">
        <f>R34*Detached!O4</f>
        <v>2330.8048342329544</v>
      </c>
      <c r="S35" s="214">
        <f>S34*Detached!P4</f>
        <v>2101.7149518750007</v>
      </c>
      <c r="T35" s="214">
        <f>T34*Detached!Q4</f>
        <v>1128.1116164062501</v>
      </c>
      <c r="U35" s="214">
        <f>U34*Detached!R4</f>
        <v>1528.2275203125</v>
      </c>
      <c r="V35" s="214">
        <f>V34*Detached!S4</f>
        <v>2457.6531805397726</v>
      </c>
      <c r="W35" s="214">
        <f>W34*Detached!T4</f>
        <v>1620.3409090909086</v>
      </c>
      <c r="X35" s="214">
        <f>X34*Detached!U4</f>
        <v>2519.6718750000009</v>
      </c>
      <c r="Y35" s="214">
        <f>Y34*Detached!V4</f>
        <v>1584.7169296874999</v>
      </c>
      <c r="Z35" s="214">
        <f>Z34*Detached!W4</f>
        <v>1462.4262760227273</v>
      </c>
      <c r="AA35" s="214">
        <f>AA34*Detached!X4</f>
        <v>1575.0000000000002</v>
      </c>
      <c r="AB35" s="214">
        <f>AB34*Detached!Y4</f>
        <v>2270.5525828125005</v>
      </c>
      <c r="AC35" s="214">
        <f>AC34*Detached!Z4</f>
        <v>2393.5567329545456</v>
      </c>
      <c r="AD35" s="214">
        <f>AD34*Detached!AA4</f>
        <v>2603.821022727273</v>
      </c>
      <c r="AE35" s="214">
        <f>AE34*Detached!AB4</f>
        <v>2106.0772906249999</v>
      </c>
      <c r="AF35" s="214">
        <f>AF34*Detached!AC4</f>
        <v>1696.2995133238644</v>
      </c>
      <c r="AG35" s="214">
        <f>AG34*Detached!AD4</f>
        <v>1589.0477312500004</v>
      </c>
      <c r="AH35" s="214">
        <f>AH34*Detached!AE4</f>
        <v>2603.821022727273</v>
      </c>
      <c r="AI35" s="214">
        <f>AI34*Detached!AF4</f>
        <v>1566.8404499999999</v>
      </c>
      <c r="AJ35" s="214">
        <f>AJ34*Detached!AG4</f>
        <v>1051.7023125000003</v>
      </c>
      <c r="AK35" s="214">
        <f>AK34*Detached!AH4</f>
        <v>1705.325284090909</v>
      </c>
      <c r="AL35" s="214">
        <f>AL34*Detached!AI4</f>
        <v>1501.2249656250006</v>
      </c>
      <c r="AM35" s="214">
        <f>AM34*Detached!AJ4</f>
        <v>1128.1116164062501</v>
      </c>
      <c r="AN35" s="214">
        <f>AN34*Detached!AK4</f>
        <v>1501.2249656250006</v>
      </c>
      <c r="AO35" s="214">
        <f>AO34*Detached!AL4</f>
        <v>1128.1116164062501</v>
      </c>
      <c r="AP35" s="214">
        <f>AP34*Detached!AM4</f>
        <v>1128.1116164062501</v>
      </c>
      <c r="AQ35" s="214">
        <f>AQ34*Detached!AN4</f>
        <v>1128.1116164062501</v>
      </c>
      <c r="AR35" s="492"/>
      <c r="AS35" s="492"/>
    </row>
    <row r="36" spans="1:46">
      <c r="A36" s="5" t="str">
        <f t="shared" si="1"/>
        <v>OUTPUT</v>
      </c>
      <c r="B36" s="5" t="s">
        <v>616</v>
      </c>
      <c r="C36" s="5" t="str">
        <f t="shared" si="2"/>
        <v>Bldg_DETPre45-Cei</v>
      </c>
      <c r="D36" s="5" t="s">
        <v>301</v>
      </c>
      <c r="E36" s="5" t="s">
        <v>394</v>
      </c>
      <c r="F36" s="5" t="s">
        <v>606</v>
      </c>
      <c r="G36" s="556">
        <f>$F$1*(Detached!D40-Savings_Detached!D116)</f>
        <v>9.4545645625612341E-3</v>
      </c>
      <c r="H36" s="556">
        <f>$F$1*(Detached!E40-Savings_Detached!E116)</f>
        <v>1.7020065741890165E-2</v>
      </c>
      <c r="I36" s="556">
        <f>$F$1*(Detached!F40-Savings_Detached!F116)</f>
        <v>5.3494257988513805E-3</v>
      </c>
      <c r="J36" s="556">
        <f>$F$1*(Detached!G40-Savings_Detached!G116)</f>
        <v>9.2111902089642515E-3</v>
      </c>
      <c r="K36" s="556">
        <f>$F$1*(Detached!H40-Savings_Detached!H116)</f>
        <v>6.8766061325916932E-3</v>
      </c>
      <c r="L36" s="556">
        <f>$F$1*(Detached!I40-Savings_Detached!I116)</f>
        <v>8.6200597012788503E-3</v>
      </c>
      <c r="M36" s="556">
        <f>$F$1*(Detached!J40-Savings_Detached!J116)</f>
        <v>1.8860326817356134E-2</v>
      </c>
      <c r="N36" s="556">
        <f>$F$1*(Detached!K40-Savings_Detached!K116)</f>
        <v>3.7572480713278368E-3</v>
      </c>
      <c r="O36" s="556">
        <f>$F$1*(Detached!L40-Savings_Detached!L116)</f>
        <v>3.6747240501273553E-3</v>
      </c>
      <c r="P36" s="556">
        <f>$F$1*(Detached!M40-Savings_Detached!M116)</f>
        <v>9.1246914150615102E-3</v>
      </c>
      <c r="Q36" s="556">
        <f>$F$1*(Detached!N40-Savings_Detached!N116)</f>
        <v>4.3216050307804113E-3</v>
      </c>
      <c r="R36" s="556">
        <f>$F$1*(Detached!O40-Savings_Detached!O116)</f>
        <v>1.8924209409551813E-2</v>
      </c>
      <c r="S36" s="556">
        <f>$F$1*(Detached!P40-Savings_Detached!P116)</f>
        <v>1.3058354568172307E-2</v>
      </c>
      <c r="T36" s="556">
        <f>$F$1*(Detached!Q40-Savings_Detached!Q116)</f>
        <v>4.9975445659048556E-3</v>
      </c>
      <c r="U36" s="556">
        <f>$F$1*(Detached!R40-Savings_Detached!R116)</f>
        <v>8.3393100950606529E-3</v>
      </c>
      <c r="V36" s="556">
        <f>$F$1*(Detached!S40-Savings_Detached!S116)</f>
        <v>2.377341534428944E-2</v>
      </c>
      <c r="W36" s="556">
        <f>$F$1*(Detached!T40-Savings_Detached!T116)</f>
        <v>3.6759498518228058E-3</v>
      </c>
      <c r="X36" s="556">
        <f>$F$1*(Detached!U40-Savings_Detached!U116)</f>
        <v>1.1666549851319166E-2</v>
      </c>
      <c r="Y36" s="556">
        <f>$F$1*(Detached!V40-Savings_Detached!V116)</f>
        <v>7.6992241889030939E-3</v>
      </c>
      <c r="Z36" s="556">
        <f>$F$1*(Detached!W40-Savings_Detached!W116)</f>
        <v>1.0769576486507461E-2</v>
      </c>
      <c r="AA36" s="556">
        <f>$F$1*(Detached!X40-Savings_Detached!X116)</f>
        <v>1.3069127458305399E-2</v>
      </c>
      <c r="AB36" s="556">
        <f>$F$1*(Detached!Y40-Savings_Detached!Y116)</f>
        <v>2.854443523370765E-3</v>
      </c>
      <c r="AC36" s="556">
        <f>$F$1*(Detached!Z40-Savings_Detached!Z116)</f>
        <v>2.4042141788780554E-2</v>
      </c>
      <c r="AD36" s="556">
        <f>$F$1*(Detached!AA40-Savings_Detached!AA116)</f>
        <v>6.7093372647353362E-3</v>
      </c>
      <c r="AE36" s="556">
        <f>$F$1*(Detached!AB40-Savings_Detached!AB116)</f>
        <v>1.8715746390602975E-2</v>
      </c>
      <c r="AF36" s="556">
        <f>$F$1*(Detached!AC40-Savings_Detached!AC116)</f>
        <v>1.3175058136201101E-2</v>
      </c>
      <c r="AG36" s="556">
        <f>$F$1*(Detached!AD40-Savings_Detached!AD116)</f>
        <v>8.0288678082218717E-3</v>
      </c>
      <c r="AH36" s="556">
        <f>$F$1*(Detached!AE40-Savings_Detached!AE116)</f>
        <v>6.4692936714876356E-3</v>
      </c>
      <c r="AI36" s="556">
        <f>$F$1*(Detached!AF40-Savings_Detached!AF116)</f>
        <v>9.0434829416394316E-3</v>
      </c>
      <c r="AJ36" s="556">
        <f>$F$1*(Detached!AG40-Savings_Detached!AG116)</f>
        <v>1.8212869418208436E-2</v>
      </c>
      <c r="AK36" s="556">
        <f>$F$1*(Detached!AH40-Savings_Detached!AH116)</f>
        <v>1.7201028740883414E-2</v>
      </c>
      <c r="AL36" s="556">
        <f>$F$1*(Detached!AI40-Savings_Detached!AI116)</f>
        <v>1.3058354568172307E-2</v>
      </c>
      <c r="AM36" s="556">
        <f>$F$1*(Detached!AJ40-Savings_Detached!AJ116)</f>
        <v>5.8029756198072048E-3</v>
      </c>
      <c r="AN36" s="556">
        <f>$F$1*(Detached!AK40-Savings_Detached!AK116)</f>
        <v>6.9999430176755336E-3</v>
      </c>
      <c r="AO36" s="556">
        <f>$F$1*(Detached!AL40-Savings_Detached!AL116)</f>
        <v>5.8141685309679968E-3</v>
      </c>
      <c r="AP36" s="556">
        <f>$F$1*(Detached!AM40-Savings_Detached!AM116)</f>
        <v>5.3362749796105179E-3</v>
      </c>
      <c r="AQ36" s="556">
        <f>$F$1*(Detached!AN40-Savings_Detached!AN116)</f>
        <v>5.3362749796105179E-3</v>
      </c>
      <c r="AR36" s="492"/>
      <c r="AS36" s="492"/>
      <c r="AT36" s="5" t="s">
        <v>394</v>
      </c>
    </row>
    <row r="37" spans="1:46">
      <c r="A37" s="5" t="str">
        <f t="shared" si="1"/>
        <v>OUTPUT</v>
      </c>
      <c r="B37" s="5" t="s">
        <v>616</v>
      </c>
      <c r="C37" s="5" t="str">
        <f t="shared" si="2"/>
        <v>Bldg_DETPre69-Cei</v>
      </c>
      <c r="D37" s="5" t="s">
        <v>301</v>
      </c>
      <c r="E37" s="5" t="s">
        <v>395</v>
      </c>
      <c r="F37" s="5" t="s">
        <v>606</v>
      </c>
      <c r="G37" s="556">
        <f>$F$1*(Detached!D41-Savings_Detached!D117)</f>
        <v>7.3381328704886038E-3</v>
      </c>
      <c r="H37" s="556">
        <f>$F$1*(Detached!E41-Savings_Detached!E117)</f>
        <v>1.7020065741890165E-2</v>
      </c>
      <c r="I37" s="556">
        <f>$F$1*(Detached!F41-Savings_Detached!F117)</f>
        <v>5.3494257988513805E-3</v>
      </c>
      <c r="J37" s="556">
        <f>$F$1*(Detached!G41-Savings_Detached!G117)</f>
        <v>7.1492385716400049E-3</v>
      </c>
      <c r="K37" s="556">
        <f>$F$1*(Detached!H41-Savings_Detached!H117)</f>
        <v>6.9659528476440184E-3</v>
      </c>
      <c r="L37" s="556">
        <f>$F$1*(Detached!I41-Savings_Detached!I117)</f>
        <v>4.6635262040726575E-3</v>
      </c>
      <c r="M37" s="556">
        <f>$F$1*(Detached!J41-Savings_Detached!J117)</f>
        <v>1.8538426795415685E-2</v>
      </c>
      <c r="N37" s="556">
        <f>$F$1*(Detached!K41-Savings_Detached!K117)</f>
        <v>3.0168209321371634E-3</v>
      </c>
      <c r="O37" s="556">
        <f>$F$1*(Detached!L41-Savings_Detached!L117)</f>
        <v>3.6747240501273553E-3</v>
      </c>
      <c r="P37" s="556">
        <f>$F$1*(Detached!M41-Savings_Detached!M117)</f>
        <v>6.9013637587479549E-3</v>
      </c>
      <c r="Q37" s="556">
        <f>$F$1*(Detached!N41-Savings_Detached!N117)</f>
        <v>4.0609243895180589E-3</v>
      </c>
      <c r="R37" s="556">
        <f>$F$1*(Detached!O41-Savings_Detached!O117)</f>
        <v>1.8924209409551813E-2</v>
      </c>
      <c r="S37" s="556">
        <f>$F$1*(Detached!P41-Savings_Detached!P117)</f>
        <v>1.3058354568172307E-2</v>
      </c>
      <c r="T37" s="556">
        <f>$F$1*(Detached!Q41-Savings_Detached!Q117)</f>
        <v>4.9495889522002809E-3</v>
      </c>
      <c r="U37" s="556">
        <f>$F$1*(Detached!R41-Savings_Detached!R117)</f>
        <v>8.3393100950606529E-3</v>
      </c>
      <c r="V37" s="556">
        <f>$F$1*(Detached!S41-Savings_Detached!S117)</f>
        <v>2.5233752226402211E-2</v>
      </c>
      <c r="W37" s="556">
        <f>$F$1*(Detached!T41-Savings_Detached!T117)</f>
        <v>3.4542153439729773E-3</v>
      </c>
      <c r="X37" s="556">
        <f>$F$1*(Detached!U41-Savings_Detached!U117)</f>
        <v>1.1085524715456863E-2</v>
      </c>
      <c r="Y37" s="556">
        <f>$F$1*(Detached!V41-Savings_Detached!V117)</f>
        <v>7.6992241889030939E-3</v>
      </c>
      <c r="Z37" s="556">
        <f>$F$1*(Detached!W41-Savings_Detached!W117)</f>
        <v>6.0820977497991098E-3</v>
      </c>
      <c r="AA37" s="556">
        <f>$F$1*(Detached!X41-Savings_Detached!X117)</f>
        <v>1.3106418668726725E-2</v>
      </c>
      <c r="AB37" s="556">
        <f>$F$1*(Detached!Y41-Savings_Detached!Y117)</f>
        <v>2.8200814134208161E-3</v>
      </c>
      <c r="AC37" s="556">
        <f>$F$1*(Detached!Z41-Savings_Detached!Z117)</f>
        <v>1.0487352115134001E-2</v>
      </c>
      <c r="AD37" s="556">
        <f>$F$1*(Detached!AA41-Savings_Detached!AA117)</f>
        <v>6.7153147298391379E-3</v>
      </c>
      <c r="AE37" s="556">
        <f>$F$1*(Detached!AB41-Savings_Detached!AB117)</f>
        <v>7.2305288712366644E-3</v>
      </c>
      <c r="AF37" s="556">
        <f>$F$1*(Detached!AC41-Savings_Detached!AC117)</f>
        <v>1.244267579137686E-2</v>
      </c>
      <c r="AG37" s="556">
        <f>$F$1*(Detached!AD41-Savings_Detached!AD117)</f>
        <v>7.4580933741062675E-3</v>
      </c>
      <c r="AH37" s="556">
        <f>$F$1*(Detached!AE41-Savings_Detached!AE117)</f>
        <v>6.4750572775848893E-3</v>
      </c>
      <c r="AI37" s="556">
        <f>$F$1*(Detached!AF41-Savings_Detached!AF117)</f>
        <v>9.0434829416394316E-3</v>
      </c>
      <c r="AJ37" s="556">
        <f>$F$1*(Detached!AG41-Savings_Detached!AG117)</f>
        <v>1.3282041063501039E-2</v>
      </c>
      <c r="AK37" s="556">
        <f>$F$1*(Detached!AH41-Savings_Detached!AH117)</f>
        <v>1.8134739244464765E-2</v>
      </c>
      <c r="AL37" s="556">
        <f>$F$1*(Detached!AI41-Savings_Detached!AI117)</f>
        <v>1.3058354568172307E-2</v>
      </c>
      <c r="AM37" s="556">
        <f>$F$1*(Detached!AJ41-Savings_Detached!AJ117)</f>
        <v>5.8029756198072048E-3</v>
      </c>
      <c r="AN37" s="556">
        <f>$F$1*(Detached!AK41-Savings_Detached!AK117)</f>
        <v>6.9999430176755336E-3</v>
      </c>
      <c r="AO37" s="556">
        <f>$F$1*(Detached!AL41-Savings_Detached!AL117)</f>
        <v>5.8141685309679968E-3</v>
      </c>
      <c r="AP37" s="556">
        <f>$F$1*(Detached!AM41-Savings_Detached!AM117)</f>
        <v>5.3362749796105179E-3</v>
      </c>
      <c r="AQ37" s="556">
        <f>$F$1*(Detached!AN41-Savings_Detached!AN117)</f>
        <v>5.3362749796105179E-3</v>
      </c>
      <c r="AR37" s="492"/>
      <c r="AS37" s="492"/>
      <c r="AT37" s="5" t="s">
        <v>395</v>
      </c>
    </row>
    <row r="38" spans="1:46">
      <c r="A38" s="5" t="str">
        <f t="shared" si="1"/>
        <v>OUTPUT</v>
      </c>
      <c r="B38" s="5" t="s">
        <v>616</v>
      </c>
      <c r="C38" s="5" t="str">
        <f t="shared" si="2"/>
        <v>Bldg_DETPre79-Cei</v>
      </c>
      <c r="D38" s="5" t="s">
        <v>301</v>
      </c>
      <c r="E38" s="5" t="s">
        <v>396</v>
      </c>
      <c r="F38" s="5" t="s">
        <v>606</v>
      </c>
      <c r="G38" s="556">
        <f>$F$1*(Detached!D42-Savings_Detached!D118)</f>
        <v>3.717282929760729E-3</v>
      </c>
      <c r="H38" s="556">
        <f>$F$1*(Detached!E42-Savings_Detached!E118)</f>
        <v>1.7020065741890165E-2</v>
      </c>
      <c r="I38" s="556">
        <f>$F$1*(Detached!F42-Savings_Detached!F118)</f>
        <v>4.8665861931979481E-3</v>
      </c>
      <c r="J38" s="556">
        <f>$F$1*(Detached!G42-Savings_Detached!G118)</f>
        <v>3.6215946170752395E-3</v>
      </c>
      <c r="K38" s="556">
        <f>$F$1*(Detached!H42-Savings_Detached!H118)</f>
        <v>6.8999797996959662E-3</v>
      </c>
      <c r="L38" s="556">
        <f>$F$1*(Detached!I42-Savings_Detached!I118)</f>
        <v>4.6635262040726575E-3</v>
      </c>
      <c r="M38" s="556">
        <f>$F$1*(Detached!J42-Savings_Detached!J118)</f>
        <v>4.4940008703217762E-3</v>
      </c>
      <c r="N38" s="556">
        <f>$F$1*(Detached!K42-Savings_Detached!K118)</f>
        <v>1.9345419940772063E-3</v>
      </c>
      <c r="O38" s="556">
        <f>$F$1*(Detached!L42-Savings_Detached!L118)</f>
        <v>2.5008294742895716E-3</v>
      </c>
      <c r="P38" s="556">
        <f>$F$1*(Detached!M42-Savings_Detached!M118)</f>
        <v>6.9013637587479549E-3</v>
      </c>
      <c r="Q38" s="556">
        <f>$F$1*(Detached!N42-Savings_Detached!N118)</f>
        <v>2.7638407148411312E-3</v>
      </c>
      <c r="R38" s="556">
        <f>$F$1*(Detached!O42-Savings_Detached!O118)</f>
        <v>2.7584230477788151E-3</v>
      </c>
      <c r="S38" s="556">
        <f>$F$1*(Detached!P42-Savings_Detached!P118)</f>
        <v>1.3058354568172307E-2</v>
      </c>
      <c r="T38" s="556">
        <f>$F$1*(Detached!Q42-Savings_Detached!Q118)</f>
        <v>5.2066292129243612E-3</v>
      </c>
      <c r="U38" s="556">
        <f>$F$1*(Detached!R42-Savings_Detached!R118)</f>
        <v>5.9039524253453254E-3</v>
      </c>
      <c r="V38" s="556">
        <f>$F$1*(Detached!S42-Savings_Detached!S118)</f>
        <v>1.0933008792108593E-2</v>
      </c>
      <c r="W38" s="556">
        <f>$F$1*(Detached!T42-Savings_Detached!T118)</f>
        <v>2.3509181875298285E-3</v>
      </c>
      <c r="X38" s="556">
        <f>$F$1*(Detached!U42-Savings_Detached!U118)</f>
        <v>1.0523411001325976E-2</v>
      </c>
      <c r="Y38" s="556">
        <f>$F$1*(Detached!V42-Savings_Detached!V118)</f>
        <v>3.6490728381085376E-3</v>
      </c>
      <c r="Z38" s="556">
        <f>$F$1*(Detached!W42-Savings_Detached!W118)</f>
        <v>3.5167554744511302E-3</v>
      </c>
      <c r="AA38" s="556">
        <f>$F$1*(Detached!X42-Savings_Detached!X118)</f>
        <v>1.0516823131597313E-2</v>
      </c>
      <c r="AB38" s="556">
        <f>$F$1*(Detached!Y42-Savings_Detached!Y118)</f>
        <v>2.9144796116943351E-3</v>
      </c>
      <c r="AC38" s="556">
        <f>$F$1*(Detached!Z42-Savings_Detached!Z118)</f>
        <v>1.0550651419597688E-2</v>
      </c>
      <c r="AD38" s="556">
        <f>$F$1*(Detached!AA42-Savings_Detached!AA118)</f>
        <v>1.6626397972840862E-3</v>
      </c>
      <c r="AE38" s="556">
        <f>$F$1*(Detached!AB42-Savings_Detached!AB118)</f>
        <v>4.3623924776621378E-3</v>
      </c>
      <c r="AF38" s="556">
        <f>$F$1*(Detached!AC42-Savings_Detached!AC118)</f>
        <v>1.1501811967179533E-2</v>
      </c>
      <c r="AG38" s="556">
        <f>$F$1*(Detached!AD42-Savings_Detached!AD118)</f>
        <v>7.4580933741062675E-3</v>
      </c>
      <c r="AH38" s="556">
        <f>$F$1*(Detached!AE42-Savings_Detached!AE118)</f>
        <v>1.6031546327337437E-3</v>
      </c>
      <c r="AI38" s="556">
        <f>$F$1*(Detached!AF42-Savings_Detached!AF118)</f>
        <v>6.3424137842474793E-3</v>
      </c>
      <c r="AJ38" s="556">
        <f>$F$1*(Detached!AG42-Savings_Detached!AG118)</f>
        <v>1.3282041063501039E-2</v>
      </c>
      <c r="AK38" s="556">
        <f>$F$1*(Detached!AH42-Savings_Detached!AH118)</f>
        <v>8.0149565183015737E-3</v>
      </c>
      <c r="AL38" s="556">
        <f>$F$1*(Detached!AI42-Savings_Detached!AI118)</f>
        <v>1.3058354568172307E-2</v>
      </c>
      <c r="AM38" s="556">
        <f>$F$1*(Detached!AJ42-Savings_Detached!AJ118)</f>
        <v>5.8029756198072048E-3</v>
      </c>
      <c r="AN38" s="556">
        <f>$F$1*(Detached!AK42-Savings_Detached!AK118)</f>
        <v>6.9999430176755336E-3</v>
      </c>
      <c r="AO38" s="556">
        <f>$F$1*(Detached!AL42-Savings_Detached!AL118)</f>
        <v>5.2900634320130436E-3</v>
      </c>
      <c r="AP38" s="556">
        <f>$F$1*(Detached!AM42-Savings_Detached!AM118)</f>
        <v>5.3362749796105179E-3</v>
      </c>
      <c r="AQ38" s="556">
        <f>$F$1*(Detached!AN42-Savings_Detached!AN118)</f>
        <v>5.3362749796105179E-3</v>
      </c>
      <c r="AR38" s="492"/>
      <c r="AS38" s="492"/>
      <c r="AT38" s="5" t="s">
        <v>396</v>
      </c>
    </row>
    <row r="39" spans="1:46">
      <c r="A39" s="5" t="str">
        <f t="shared" si="1"/>
        <v>OUTPUT</v>
      </c>
      <c r="B39" s="5" t="s">
        <v>616</v>
      </c>
      <c r="C39" s="5" t="str">
        <f t="shared" si="2"/>
        <v>Bldg_DETPre89-Cei</v>
      </c>
      <c r="D39" s="5" t="s">
        <v>301</v>
      </c>
      <c r="E39" s="5" t="s">
        <v>397</v>
      </c>
      <c r="F39" s="5" t="s">
        <v>606</v>
      </c>
      <c r="G39" s="556">
        <f>$F$1*(Detached!D43-Savings_Detached!D119)</f>
        <v>2.1467531132562008E-3</v>
      </c>
      <c r="H39" s="556">
        <f>$F$1*(Detached!E43-Savings_Detached!E119)</f>
        <v>1.1564708888275821E-2</v>
      </c>
      <c r="I39" s="556">
        <f>$F$1*(Detached!F43-Savings_Detached!F119)</f>
        <v>4.614111279761959E-3</v>
      </c>
      <c r="J39" s="556">
        <f>$F$1*(Detached!G43-Savings_Detached!G119)</f>
        <v>2.0914925406709949E-3</v>
      </c>
      <c r="K39" s="556">
        <f>$F$1*(Detached!H43-Savings_Detached!H119)</f>
        <v>6.9398390782967239E-3</v>
      </c>
      <c r="L39" s="556">
        <f>$F$1*(Detached!I43-Savings_Detached!I119)</f>
        <v>3.6647932092799622E-3</v>
      </c>
      <c r="M39" s="556">
        <f>$F$1*(Detached!J43-Savings_Detached!J119)</f>
        <v>1.704537715593354E-3</v>
      </c>
      <c r="N39" s="556">
        <f>$F$1*(Detached!K43-Savings_Detached!K119)</f>
        <v>1.5201803362488065E-3</v>
      </c>
      <c r="O39" s="556">
        <f>$F$1*(Detached!L43-Savings_Detached!L119)</f>
        <v>1.333568333633982E-3</v>
      </c>
      <c r="P39" s="556">
        <f>$F$1*(Detached!M43-Savings_Detached!M119)</f>
        <v>5.023455133941231E-3</v>
      </c>
      <c r="Q39" s="556">
        <f>$F$1*(Detached!N43-Savings_Detached!N119)</f>
        <v>1.9048489040728008E-3</v>
      </c>
      <c r="R39" s="556">
        <f>$F$1*(Detached!O43-Savings_Detached!O119)</f>
        <v>1.6924839688879324E-3</v>
      </c>
      <c r="S39" s="556">
        <f>$F$1*(Detached!P43-Savings_Detached!P119)</f>
        <v>1.3130135269085847E-2</v>
      </c>
      <c r="T39" s="556">
        <f>$F$1*(Detached!Q43-Savings_Detached!Q119)</f>
        <v>5.2066292129243612E-3</v>
      </c>
      <c r="U39" s="556">
        <f>$F$1*(Detached!R43-Savings_Detached!R119)</f>
        <v>3.5848403227916538E-3</v>
      </c>
      <c r="V39" s="556">
        <f>$F$1*(Detached!S43-Savings_Detached!S119)</f>
        <v>2.9688297753127238E-3</v>
      </c>
      <c r="W39" s="556">
        <f>$F$1*(Detached!T43-Savings_Detached!T119)</f>
        <v>1.6202612216523451E-3</v>
      </c>
      <c r="X39" s="556">
        <f>$F$1*(Detached!U43-Savings_Detached!U119)</f>
        <v>8.1756578992490773E-3</v>
      </c>
      <c r="Y39" s="556">
        <f>$F$1*(Detached!V43-Savings_Detached!V119)</f>
        <v>3.6490728381085376E-3</v>
      </c>
      <c r="Z39" s="556">
        <f>$F$1*(Detached!W43-Savings_Detached!W119)</f>
        <v>1.7557326693773455E-3</v>
      </c>
      <c r="AA39" s="556">
        <f>$F$1*(Detached!X43-Savings_Detached!X119)</f>
        <v>4.4928795812792504E-3</v>
      </c>
      <c r="AB39" s="556">
        <f>$F$1*(Detached!Y43-Savings_Detached!Y119)</f>
        <v>2.9587223824354453E-3</v>
      </c>
      <c r="AC39" s="556">
        <f>$F$1*(Detached!Z43-Savings_Detached!Z119)</f>
        <v>5.1011686906539426E-3</v>
      </c>
      <c r="AD39" s="556">
        <f>$F$1*(Detached!AA43-Savings_Detached!AA119)</f>
        <v>1.667560114822489E-3</v>
      </c>
      <c r="AE39" s="556">
        <f>$F$1*(Detached!AB43-Savings_Detached!AB119)</f>
        <v>4.3623924776621378E-3</v>
      </c>
      <c r="AF39" s="556">
        <f>$F$1*(Detached!AC43-Savings_Detached!AC119)</f>
        <v>1.1070398348415271E-2</v>
      </c>
      <c r="AG39" s="556">
        <f>$F$1*(Detached!AD43-Savings_Detached!AD119)</f>
        <v>6.9533989070450506E-3</v>
      </c>
      <c r="AH39" s="556">
        <f>$F$1*(Detached!AE43-Savings_Detached!AE119)</f>
        <v>1.6078989134066057E-3</v>
      </c>
      <c r="AI39" s="556">
        <f>$F$1*(Detached!AF43-Savings_Detached!AF119)</f>
        <v>5.7144406103980814E-3</v>
      </c>
      <c r="AJ39" s="556">
        <f>$F$1*(Detached!AG43-Savings_Detached!AG119)</f>
        <v>8.2300549810160554E-3</v>
      </c>
      <c r="AK39" s="556">
        <f>$F$1*(Detached!AH43-Savings_Detached!AH119)</f>
        <v>3.726537779586662E-3</v>
      </c>
      <c r="AL39" s="556">
        <f>$F$1*(Detached!AI43-Savings_Detached!AI119)</f>
        <v>1.3130135269085847E-2</v>
      </c>
      <c r="AM39" s="556">
        <f>$F$1*(Detached!AJ43-Savings_Detached!AJ119)</f>
        <v>3.3607991097185032E-3</v>
      </c>
      <c r="AN39" s="556">
        <f>$F$1*(Detached!AK43-Savings_Detached!AK119)</f>
        <v>4.0583537032277189E-3</v>
      </c>
      <c r="AO39" s="556">
        <f>$F$1*(Detached!AL43-Savings_Detached!AL119)</f>
        <v>5.01759881200312E-3</v>
      </c>
      <c r="AP39" s="556">
        <f>$F$1*(Detached!AM43-Savings_Detached!AM119)</f>
        <v>3.0905089691354005E-3</v>
      </c>
      <c r="AQ39" s="556">
        <f>$F$1*(Detached!AN43-Savings_Detached!AN119)</f>
        <v>3.0905089691354005E-3</v>
      </c>
      <c r="AR39" s="492"/>
      <c r="AS39" s="492"/>
      <c r="AT39" s="5" t="s">
        <v>397</v>
      </c>
    </row>
    <row r="40" spans="1:46">
      <c r="A40" s="5" t="str">
        <f t="shared" si="1"/>
        <v>OUTPUT</v>
      </c>
      <c r="B40" s="5" t="s">
        <v>616</v>
      </c>
      <c r="C40" s="5" t="str">
        <f t="shared" si="2"/>
        <v>Bldg_DETPre99-Cei</v>
      </c>
      <c r="D40" s="5" t="s">
        <v>301</v>
      </c>
      <c r="E40" s="5" t="s">
        <v>398</v>
      </c>
      <c r="F40" s="5" t="s">
        <v>606</v>
      </c>
      <c r="G40" s="556">
        <f>$F$1*(Detached!D44-Savings_Detached!D120)</f>
        <v>2.212695199527482E-3</v>
      </c>
      <c r="H40" s="556">
        <f>$F$1*(Detached!E44-Savings_Detached!E120)</f>
        <v>1.1564708888275821E-2</v>
      </c>
      <c r="I40" s="556">
        <f>$F$1*(Detached!F44-Savings_Detached!F120)</f>
        <v>1.7302731295801899E-3</v>
      </c>
      <c r="J40" s="556">
        <f>$F$1*(Detached!G44-Savings_Detached!G120)</f>
        <v>2.1557371809610162E-3</v>
      </c>
      <c r="K40" s="556">
        <f>$F$1*(Detached!H44-Savings_Detached!H120)</f>
        <v>7.1813446389981566E-3</v>
      </c>
      <c r="L40" s="556">
        <f>$F$1*(Detached!I44-Savings_Detached!I120)</f>
        <v>2.2619756745610492E-3</v>
      </c>
      <c r="M40" s="556">
        <f>$F$1*(Detached!J44-Savings_Detached!J120)</f>
        <v>1.057829429739433E-3</v>
      </c>
      <c r="N40" s="556">
        <f>$F$1*(Detached!K44-Savings_Detached!K120)</f>
        <v>1.5201803362488065E-3</v>
      </c>
      <c r="O40" s="556">
        <f>$F$1*(Detached!L44-Savings_Detached!L120)</f>
        <v>8.8195590608320979E-4</v>
      </c>
      <c r="P40" s="556">
        <f>$F$1*(Detached!M44-Savings_Detached!M120)</f>
        <v>5.023455133941231E-3</v>
      </c>
      <c r="Q40" s="556">
        <f>$F$1*(Detached!N44-Savings_Detached!N120)</f>
        <v>1.8395623761550781E-3</v>
      </c>
      <c r="R40" s="556">
        <f>$F$1*(Detached!O44-Savings_Detached!O120)</f>
        <v>9.464786113380718E-4</v>
      </c>
      <c r="S40" s="556">
        <f>$F$1*(Detached!P44-Savings_Detached!P120)</f>
        <v>1.3130135269085847E-2</v>
      </c>
      <c r="T40" s="556">
        <f>$F$1*(Detached!Q44-Savings_Detached!Q120)</f>
        <v>2.7935668352023742E-3</v>
      </c>
      <c r="U40" s="556">
        <f>$F$1*(Detached!R44-Savings_Detached!R120)</f>
        <v>3.5848403227916538E-3</v>
      </c>
      <c r="V40" s="556">
        <f>$F$1*(Detached!S44-Savings_Detached!S120)</f>
        <v>3.0540156881320901E-3</v>
      </c>
      <c r="W40" s="556">
        <f>$F$1*(Detached!T44-Savings_Detached!T120)</f>
        <v>1.5647286126064381E-3</v>
      </c>
      <c r="X40" s="556">
        <f>$F$1*(Detached!U44-Savings_Detached!U120)</f>
        <v>6.8407709458340868E-3</v>
      </c>
      <c r="Y40" s="556">
        <f>$F$1*(Detached!V44-Savings_Detached!V120)</f>
        <v>3.6490728381085376E-3</v>
      </c>
      <c r="Z40" s="556">
        <f>$F$1*(Detached!W44-Savings_Detached!W120)</f>
        <v>1.276097144339733E-3</v>
      </c>
      <c r="AA40" s="556">
        <f>$F$1*(Detached!X44-Savings_Detached!X120)</f>
        <v>3.8600363143966713E-3</v>
      </c>
      <c r="AB40" s="556">
        <f>$F$1*(Detached!Y44-Savings_Detached!Y120)</f>
        <v>2.6355776550489292E-3</v>
      </c>
      <c r="AC40" s="556">
        <f>$F$1*(Detached!Z44-Savings_Detached!Z120)</f>
        <v>4.2009971151834554E-3</v>
      </c>
      <c r="AD40" s="556">
        <f>$F$1*(Detached!AA44-Savings_Detached!AA120)</f>
        <v>1.2420855254422468E-3</v>
      </c>
      <c r="AE40" s="556">
        <f>$F$1*(Detached!AB44-Savings_Detached!AB120)</f>
        <v>4.3623924776621378E-3</v>
      </c>
      <c r="AF40" s="556">
        <f>$F$1*(Detached!AC44-Savings_Detached!AC120)</f>
        <v>1.0246727595878347E-2</v>
      </c>
      <c r="AG40" s="556">
        <f>$F$1*(Detached!AD44-Savings_Detached!AD120)</f>
        <v>6.9533989070450506E-3</v>
      </c>
      <c r="AH40" s="556">
        <f>$F$1*(Detached!AE44-Savings_Detached!AE120)</f>
        <v>1.1976467588571806E-3</v>
      </c>
      <c r="AI40" s="556">
        <f>$F$1*(Detached!AF44-Savings_Detached!AF120)</f>
        <v>2.6948346019287244E-3</v>
      </c>
      <c r="AJ40" s="556">
        <f>$F$1*(Detached!AG44-Savings_Detached!AG120)</f>
        <v>4.6914654021488963E-3</v>
      </c>
      <c r="AK40" s="556">
        <f>$F$1*(Detached!AH44-Savings_Detached!AH120)</f>
        <v>2.1190899053016702E-3</v>
      </c>
      <c r="AL40" s="556">
        <f>$F$1*(Detached!AI44-Savings_Detached!AI120)</f>
        <v>1.3130135269085847E-2</v>
      </c>
      <c r="AM40" s="556">
        <f>$F$1*(Detached!AJ44-Savings_Detached!AJ120)</f>
        <v>2.4915366598893041E-3</v>
      </c>
      <c r="AN40" s="556">
        <f>$F$1*(Detached!AK44-Savings_Detached!AK120)</f>
        <v>3.0107457629027926E-3</v>
      </c>
      <c r="AO40" s="556">
        <f>$F$1*(Detached!AL44-Savings_Detached!AL120)</f>
        <v>1.8829409576134716E-3</v>
      </c>
      <c r="AP40" s="556">
        <f>$F$1*(Detached!AM44-Savings_Detached!AM120)</f>
        <v>2.2911564014793241E-3</v>
      </c>
      <c r="AQ40" s="556">
        <f>$F$1*(Detached!AN44-Savings_Detached!AN120)</f>
        <v>2.2911564014793241E-3</v>
      </c>
      <c r="AR40" s="492"/>
      <c r="AS40" s="492"/>
      <c r="AT40" s="5" t="s">
        <v>398</v>
      </c>
    </row>
    <row r="41" spans="1:46">
      <c r="A41" s="5" t="str">
        <f t="shared" si="1"/>
        <v>OUTPUT</v>
      </c>
      <c r="B41" s="5" t="s">
        <v>616</v>
      </c>
      <c r="C41" s="5" t="str">
        <f t="shared" si="2"/>
        <v>Bldg_DETPre09-Cei</v>
      </c>
      <c r="D41" s="5" t="s">
        <v>301</v>
      </c>
      <c r="E41" s="5" t="s">
        <v>399</v>
      </c>
      <c r="F41" s="5" t="s">
        <v>606</v>
      </c>
      <c r="G41" s="556">
        <f>$F$1*(Detached!D45-Savings_Detached!D121)</f>
        <v>1.3721103323380401E-3</v>
      </c>
      <c r="H41" s="556">
        <f>$F$1*(Detached!E45-Savings_Detached!E121)</f>
        <v>4.1164354126456311E-3</v>
      </c>
      <c r="I41" s="556">
        <f>$F$1*(Detached!F45-Savings_Detached!F121)</f>
        <v>8.3279446475368149E-4</v>
      </c>
      <c r="J41" s="556">
        <f>$F$1*(Detached!G45-Savings_Detached!G121)</f>
        <v>1.3367902006718143E-3</v>
      </c>
      <c r="K41" s="556">
        <f>$F$1*(Detached!H45-Savings_Detached!H121)</f>
        <v>7.395389521793647E-3</v>
      </c>
      <c r="L41" s="556">
        <f>$F$1*(Detached!I45-Savings_Detached!I121)</f>
        <v>1.3031507783176897E-3</v>
      </c>
      <c r="M41" s="556">
        <f>$F$1*(Detached!J45-Savings_Detached!J121)</f>
        <v>1.1261186069689512E-3</v>
      </c>
      <c r="N41" s="556">
        <f>$F$1*(Detached!K45-Savings_Detached!K121)</f>
        <v>7.3717370270190094E-4</v>
      </c>
      <c r="O41" s="556">
        <f>$F$1*(Detached!L45-Savings_Detached!L121)</f>
        <v>8.8195590608320979E-4</v>
      </c>
      <c r="P41" s="556">
        <f>$F$1*(Detached!M45-Savings_Detached!M121)</f>
        <v>2.3389440376299533E-3</v>
      </c>
      <c r="Q41" s="556">
        <f>$F$1*(Detached!N45-Savings_Detached!N121)</f>
        <v>1.3434590447817707E-3</v>
      </c>
      <c r="R41" s="556">
        <f>$F$1*(Detached!O45-Savings_Detached!O121)</f>
        <v>8.7467999736688272E-4</v>
      </c>
      <c r="S41" s="556">
        <f>$F$1*(Detached!P45-Savings_Detached!P121)</f>
        <v>2.260979468138882E-3</v>
      </c>
      <c r="T41" s="556">
        <f>$F$1*(Detached!Q45-Savings_Detached!Q121)</f>
        <v>8.4590194906559166E-4</v>
      </c>
      <c r="U41" s="556">
        <f>$F$1*(Detached!R45-Savings_Detached!R121)</f>
        <v>1.0456970102404603E-3</v>
      </c>
      <c r="V41" s="556">
        <f>$F$1*(Detached!S45-Savings_Detached!S121)</f>
        <v>1.8895236327344505E-3</v>
      </c>
      <c r="W41" s="556">
        <f>$F$1*(Detached!T45-Savings_Detached!T121)</f>
        <v>1.1427439669801892E-3</v>
      </c>
      <c r="X41" s="556">
        <f>$F$1*(Detached!U45-Savings_Detached!U121)</f>
        <v>6.924325813693127E-3</v>
      </c>
      <c r="Y41" s="556">
        <f>$F$1*(Detached!V45-Savings_Detached!V121)</f>
        <v>9.3722369303276295E-4</v>
      </c>
      <c r="Z41" s="556">
        <f>$F$1*(Detached!W45-Savings_Detached!W121)</f>
        <v>1.108198548826104E-3</v>
      </c>
      <c r="AA41" s="556">
        <f>$F$1*(Detached!X45-Savings_Detached!X121)</f>
        <v>9.7894364652178719E-4</v>
      </c>
      <c r="AB41" s="556">
        <f>$F$1*(Detached!Y45-Savings_Detached!Y121)</f>
        <v>2.6569835283674192E-3</v>
      </c>
      <c r="AC41" s="556">
        <f>$F$1*(Detached!Z45-Savings_Detached!Z121)</f>
        <v>2.6813288402677336E-3</v>
      </c>
      <c r="AD41" s="556">
        <f>$F$1*(Detached!AA45-Savings_Detached!AA121)</f>
        <v>1.2758056034449716E-3</v>
      </c>
      <c r="AE41" s="556">
        <f>$F$1*(Detached!AB45-Savings_Detached!AB121)</f>
        <v>4.8431851723069732E-3</v>
      </c>
      <c r="AF41" s="556">
        <f>$F$1*(Detached!AC45-Savings_Detached!AC121)</f>
        <v>5.4252832243861151E-3</v>
      </c>
      <c r="AG41" s="556">
        <f>$F$1*(Detached!AD45-Savings_Detached!AD121)</f>
        <v>5.7924918476898075E-3</v>
      </c>
      <c r="AH41" s="556">
        <f>$F$1*(Detached!AE45-Savings_Detached!AE121)</f>
        <v>1.2301604153656331E-3</v>
      </c>
      <c r="AI41" s="556">
        <f>$F$1*(Detached!AF45-Savings_Detached!AF121)</f>
        <v>8.3082120321571252E-4</v>
      </c>
      <c r="AJ41" s="556">
        <f>$F$1*(Detached!AG45-Savings_Detached!AG121)</f>
        <v>1.6479218871120788E-3</v>
      </c>
      <c r="AK41" s="556">
        <f>$F$1*(Detached!AH45-Savings_Detached!AH121)</f>
        <v>1.3783353998601483E-3</v>
      </c>
      <c r="AL41" s="556">
        <f>$F$1*(Detached!AI45-Savings_Detached!AI121)</f>
        <v>2.260979468138882E-3</v>
      </c>
      <c r="AM41" s="556">
        <f>$F$1*(Detached!AJ45-Savings_Detached!AJ121)</f>
        <v>1.69287848633684E-3</v>
      </c>
      <c r="AN41" s="556">
        <f>$F$1*(Detached!AK45-Savings_Detached!AK121)</f>
        <v>2.0446568836797871E-3</v>
      </c>
      <c r="AO41" s="556">
        <f>$F$1*(Detached!AL45-Savings_Detached!AL121)</f>
        <v>9.0671248801147103E-4</v>
      </c>
      <c r="AP41" s="556">
        <f>$F$1*(Detached!AM45-Savings_Detached!AM121)</f>
        <v>1.5567298058819436E-3</v>
      </c>
      <c r="AQ41" s="556">
        <f>$F$1*(Detached!AN45-Savings_Detached!AN121)</f>
        <v>1.5567298058819436E-3</v>
      </c>
      <c r="AR41" s="492"/>
      <c r="AS41" s="492"/>
      <c r="AT41" s="5" t="s">
        <v>399</v>
      </c>
    </row>
    <row r="42" spans="1:46">
      <c r="A42" s="5" t="str">
        <f t="shared" si="1"/>
        <v>\I:</v>
      </c>
      <c r="C42" s="5" t="str">
        <f t="shared" si="2"/>
        <v/>
      </c>
      <c r="E42" s="5" t="s">
        <v>623</v>
      </c>
      <c r="G42" s="492"/>
      <c r="H42" s="492"/>
      <c r="I42" s="492"/>
      <c r="J42" s="492"/>
      <c r="K42" s="492"/>
      <c r="L42" s="492"/>
      <c r="M42" s="492"/>
      <c r="N42" s="492"/>
      <c r="O42" s="492"/>
      <c r="P42" s="492"/>
      <c r="Q42" s="492"/>
      <c r="R42" s="492"/>
      <c r="S42" s="492"/>
      <c r="T42" s="492"/>
      <c r="U42" s="492"/>
      <c r="V42" s="492"/>
      <c r="W42" s="492"/>
      <c r="X42" s="492"/>
      <c r="Y42" s="492"/>
      <c r="Z42" s="492"/>
      <c r="AA42" s="492"/>
      <c r="AB42" s="492"/>
      <c r="AC42" s="492"/>
      <c r="AD42" s="492"/>
      <c r="AE42" s="492"/>
      <c r="AF42" s="492"/>
      <c r="AG42" s="492"/>
      <c r="AH42" s="492"/>
      <c r="AI42" s="492"/>
      <c r="AJ42" s="492"/>
      <c r="AK42" s="492"/>
      <c r="AL42" s="492"/>
      <c r="AM42" s="492"/>
      <c r="AN42" s="492"/>
      <c r="AO42" s="492"/>
      <c r="AP42" s="492"/>
      <c r="AQ42" s="492"/>
      <c r="AR42" s="492"/>
      <c r="AS42" s="492"/>
    </row>
    <row r="43" spans="1:46">
      <c r="A43" s="135" t="str">
        <f t="shared" si="1"/>
        <v>\I:</v>
      </c>
      <c r="C43" s="5" t="str">
        <f t="shared" si="2"/>
        <v/>
      </c>
      <c r="E43" s="5" t="s">
        <v>623</v>
      </c>
      <c r="F43" s="135" t="s">
        <v>393</v>
      </c>
      <c r="G43" s="492">
        <f>'Energy Efficiency Measures-DBT'!D16*Detached!D14/Detached!D4</f>
        <v>21</v>
      </c>
      <c r="H43" s="492">
        <f>'Energy Efficiency Measures-DBT'!E16*Detached!E14/Detached!E4</f>
        <v>26.249999999999993</v>
      </c>
      <c r="I43" s="492">
        <f>'Energy Efficiency Measures-DBT'!F16*Detached!F14/Detached!F4</f>
        <v>15.75</v>
      </c>
      <c r="J43" s="492">
        <f>'Energy Efficiency Measures-DBT'!G16*Detached!G14/Detached!G4</f>
        <v>21</v>
      </c>
      <c r="K43" s="492">
        <f>'Energy Efficiency Measures-DBT'!H16*Detached!H14/Detached!H4</f>
        <v>28.875000000000004</v>
      </c>
      <c r="L43" s="492">
        <f>'Energy Efficiency Measures-DBT'!I16*Detached!I14/Detached!I4</f>
        <v>10.500000000000002</v>
      </c>
      <c r="M43" s="492">
        <f>'Energy Efficiency Measures-DBT'!J16*Detached!J14/Detached!J4</f>
        <v>7.8749999999999991</v>
      </c>
      <c r="N43" s="492">
        <f>'Energy Efficiency Measures-DBT'!K16*Detached!K14/Detached!K4</f>
        <v>21.000000000000007</v>
      </c>
      <c r="O43" s="492">
        <f>'Energy Efficiency Measures-DBT'!L16*Detached!L14/Detached!L4</f>
        <v>15.75</v>
      </c>
      <c r="P43" s="492">
        <f>'Energy Efficiency Measures-DBT'!M16*Detached!M14/Detached!M4</f>
        <v>18.375000000000004</v>
      </c>
      <c r="Q43" s="492">
        <f>'Energy Efficiency Measures-DBT'!N16*Detached!N14/Detached!N4</f>
        <v>26.249999999999996</v>
      </c>
      <c r="R43" s="492">
        <f>'Energy Efficiency Measures-DBT'!O16*Detached!O14/Detached!O4</f>
        <v>26.250000000000004</v>
      </c>
      <c r="S43" s="492">
        <f>'Energy Efficiency Measures-DBT'!P16*Detached!P14/Detached!P4</f>
        <v>28.875000000000004</v>
      </c>
      <c r="T43" s="492">
        <f>'Energy Efficiency Measures-DBT'!Q16*Detached!Q14/Detached!Q4</f>
        <v>15.750000000000002</v>
      </c>
      <c r="U43" s="492">
        <f>'Energy Efficiency Measures-DBT'!R16*Detached!R14/Detached!R4</f>
        <v>15.75</v>
      </c>
      <c r="V43" s="492">
        <f>'Energy Efficiency Measures-DBT'!S16*Detached!S14/Detached!S4</f>
        <v>26.250000000000004</v>
      </c>
      <c r="W43" s="492">
        <f>'Energy Efficiency Measures-DBT'!T16*Detached!T14/Detached!T4</f>
        <v>20.999999999999996</v>
      </c>
      <c r="X43" s="492">
        <f>'Energy Efficiency Measures-DBT'!U16*Detached!U14/Detached!U4</f>
        <v>28.875000000000011</v>
      </c>
      <c r="Y43" s="492">
        <f>'Energy Efficiency Measures-DBT'!V16*Detached!V14/Detached!V4</f>
        <v>15.75</v>
      </c>
      <c r="Z43" s="492">
        <f>'Energy Efficiency Measures-DBT'!W16*Detached!W14/Detached!W4</f>
        <v>21.000000000000004</v>
      </c>
      <c r="AA43" s="492">
        <f>'Energy Efficiency Measures-DBT'!X16*Detached!X14/Detached!X4</f>
        <v>15.750000000000002</v>
      </c>
      <c r="AB43" s="492">
        <f>'Energy Efficiency Measures-DBT'!Y16*Detached!Y14/Detached!Y4</f>
        <v>28.875000000000007</v>
      </c>
      <c r="AC43" s="492">
        <f>'Energy Efficiency Measures-DBT'!Z16*Detached!Z14/Detached!Z4</f>
        <v>26.250000000000004</v>
      </c>
      <c r="AD43" s="492">
        <f>'Energy Efficiency Measures-DBT'!AA16*Detached!AA14/Detached!AA4</f>
        <v>26.250000000000007</v>
      </c>
      <c r="AE43" s="492">
        <f>'Energy Efficiency Measures-DBT'!AB16*Detached!AB14/Detached!AB4</f>
        <v>21</v>
      </c>
      <c r="AF43" s="492">
        <f>'Energy Efficiency Measures-DBT'!AC16*Detached!AC14/Detached!AC4</f>
        <v>18.375000000000004</v>
      </c>
      <c r="AG43" s="492">
        <f>'Energy Efficiency Measures-DBT'!AD16*Detached!AD14/Detached!AD4</f>
        <v>21.000000000000004</v>
      </c>
      <c r="AH43" s="492">
        <f>'Energy Efficiency Measures-DBT'!AE16*Detached!AE14/Detached!AE4</f>
        <v>26.250000000000007</v>
      </c>
      <c r="AI43" s="492">
        <f>'Energy Efficiency Measures-DBT'!AF16*Detached!AF14/Detached!AF4</f>
        <v>15.749999999999998</v>
      </c>
      <c r="AJ43" s="492">
        <f>'Energy Efficiency Measures-DBT'!AG16*Detached!AG14/Detached!AG4</f>
        <v>10.500000000000002</v>
      </c>
      <c r="AK43" s="492">
        <f>'Energy Efficiency Measures-DBT'!AH16*Detached!AH14/Detached!AH4</f>
        <v>26.250000000000004</v>
      </c>
      <c r="AL43" s="492">
        <f>'Energy Efficiency Measures-DBT'!AI16*Detached!AI14/Detached!AI4</f>
        <v>15.750000000000004</v>
      </c>
      <c r="AM43" s="492">
        <f>'Energy Efficiency Measures-DBT'!AJ16*Detached!AJ14/Detached!AJ4</f>
        <v>15.750000000000002</v>
      </c>
      <c r="AN43" s="492">
        <f>'Energy Efficiency Measures-DBT'!AK16*Detached!AK14/Detached!AK4</f>
        <v>15.750000000000004</v>
      </c>
      <c r="AO43" s="492">
        <f>'Energy Efficiency Measures-DBT'!AL16*Detached!AL14/Detached!AL4</f>
        <v>15.750000000000002</v>
      </c>
      <c r="AP43" s="492">
        <f>'Energy Efficiency Measures-DBT'!AM16*Detached!AM14/Detached!AM4</f>
        <v>15.750000000000002</v>
      </c>
      <c r="AQ43" s="492">
        <f>'Energy Efficiency Measures-DBT'!AN16*Detached!AN14/Detached!AN4</f>
        <v>15.750000000000002</v>
      </c>
      <c r="AR43" s="492"/>
      <c r="AS43" s="492"/>
    </row>
    <row r="44" spans="1:46">
      <c r="A44" s="135" t="str">
        <f t="shared" si="1"/>
        <v>\I:</v>
      </c>
      <c r="C44" s="5" t="str">
        <f t="shared" si="2"/>
        <v/>
      </c>
      <c r="E44" s="5" t="s">
        <v>321</v>
      </c>
      <c r="F44" s="135" t="s">
        <v>624</v>
      </c>
      <c r="G44" s="214">
        <f>G43*Detached!D4</f>
        <v>3145.6031250000001</v>
      </c>
      <c r="H44" s="214">
        <f>H43*Detached!E4</f>
        <v>3737.8086046874987</v>
      </c>
      <c r="I44" s="214">
        <f>I43*Detached!F4</f>
        <v>1252.2834253125</v>
      </c>
      <c r="J44" s="214">
        <f>J43*Detached!G4</f>
        <v>3145.6031250000001</v>
      </c>
      <c r="K44" s="214">
        <f>K43*Detached!H4</f>
        <v>3302.6949243750005</v>
      </c>
      <c r="L44" s="214">
        <f>L43*Detached!I4</f>
        <v>1310.5734862500001</v>
      </c>
      <c r="M44" s="214">
        <f>M43*Detached!J4</f>
        <v>1056.8909728125</v>
      </c>
      <c r="N44" s="214">
        <f>N43*Detached!K4</f>
        <v>3509.6250000000014</v>
      </c>
      <c r="O44" s="214">
        <f>O43*Detached!L4</f>
        <v>1679.1321881250001</v>
      </c>
      <c r="P44" s="214">
        <f>P43*Detached!M4</f>
        <v>2548.8015328125002</v>
      </c>
      <c r="Q44" s="214">
        <f>Q43*Detached!N4</f>
        <v>3182.8124999999995</v>
      </c>
      <c r="R44" s="214">
        <f>R43*Detached!O4</f>
        <v>3662.6933109375004</v>
      </c>
      <c r="S44" s="214">
        <f>S43*Detached!P4</f>
        <v>3302.6949243750005</v>
      </c>
      <c r="T44" s="214">
        <f>T43*Detached!Q4</f>
        <v>1353.7339396875</v>
      </c>
      <c r="U44" s="214">
        <f>U43*Detached!R4</f>
        <v>1833.8730243750001</v>
      </c>
      <c r="V44" s="214">
        <f>V43*Detached!S4</f>
        <v>3862.0264265625005</v>
      </c>
      <c r="W44" s="214">
        <f>W43*Detached!T4</f>
        <v>2546.2499999999995</v>
      </c>
      <c r="X44" s="214">
        <f>X43*Detached!U4</f>
        <v>3959.4843750000014</v>
      </c>
      <c r="Y44" s="214">
        <f>Y43*Detached!V4</f>
        <v>1901.6603156249998</v>
      </c>
      <c r="Z44" s="214">
        <f>Z43*Detached!W4</f>
        <v>2298.0984337500004</v>
      </c>
      <c r="AA44" s="214">
        <f>AA43*Detached!X4</f>
        <v>1890.0000000000002</v>
      </c>
      <c r="AB44" s="214">
        <f>AB43*Detached!Y4</f>
        <v>3568.0112015625009</v>
      </c>
      <c r="AC44" s="214">
        <f>AC43*Detached!Z4</f>
        <v>3761.3034375000011</v>
      </c>
      <c r="AD44" s="214">
        <f>AD43*Detached!AA4</f>
        <v>4091.7187500000009</v>
      </c>
      <c r="AE44" s="214">
        <f>AE43*Detached!AB4</f>
        <v>2527.2927487500001</v>
      </c>
      <c r="AF44" s="214">
        <f>AF43*Detached!AC4</f>
        <v>2665.6135209375007</v>
      </c>
      <c r="AG44" s="214">
        <f>AG43*Detached!AD4</f>
        <v>1906.8572775000005</v>
      </c>
      <c r="AH44" s="214">
        <f>AH43*Detached!AE4</f>
        <v>4091.7187500000009</v>
      </c>
      <c r="AI44" s="214">
        <f>AI43*Detached!AF4</f>
        <v>1880.2085399999999</v>
      </c>
      <c r="AJ44" s="214">
        <f>AJ43*Detached!AG4</f>
        <v>1262.0427750000003</v>
      </c>
      <c r="AK44" s="214">
        <f>AK43*Detached!AH4</f>
        <v>2679.7968750000005</v>
      </c>
      <c r="AL44" s="214">
        <f>AL43*Detached!AI4</f>
        <v>1801.4699587500004</v>
      </c>
      <c r="AM44" s="214">
        <f>AM43*Detached!AJ4</f>
        <v>1353.7339396875</v>
      </c>
      <c r="AN44" s="214">
        <f>AN43*Detached!AK4</f>
        <v>1801.4699587500004</v>
      </c>
      <c r="AO44" s="214">
        <f>AO43*Detached!AL4</f>
        <v>1353.7339396875</v>
      </c>
      <c r="AP44" s="214">
        <f>AP43*Detached!AM4</f>
        <v>1353.7339396875</v>
      </c>
      <c r="AQ44" s="214">
        <f>AQ43*Detached!AN4</f>
        <v>1353.7339396875</v>
      </c>
      <c r="AR44" s="492"/>
      <c r="AS44" s="492"/>
    </row>
    <row r="45" spans="1:46">
      <c r="A45" s="5" t="str">
        <f t="shared" si="1"/>
        <v>OUTPUT</v>
      </c>
      <c r="B45" s="5" t="s">
        <v>616</v>
      </c>
      <c r="C45" s="5" t="str">
        <f t="shared" si="2"/>
        <v>Bldg_DETPre45-Cei</v>
      </c>
      <c r="D45" s="5" t="s">
        <v>301</v>
      </c>
      <c r="E45" s="5" t="s">
        <v>321</v>
      </c>
      <c r="F45" s="5" t="s">
        <v>606</v>
      </c>
      <c r="G45" s="556">
        <f>$F$1*(Detached!D40-Savings_Detached!D149)</f>
        <v>1.0529959439920722E-2</v>
      </c>
      <c r="H45" s="556">
        <f>$F$1*(Detached!E40-Savings_Detached!E149)</f>
        <v>1.8090677748190849E-2</v>
      </c>
      <c r="I45" s="556">
        <f>$F$1*(Detached!F40-Savings_Detached!F149)</f>
        <v>5.8244443359327103E-3</v>
      </c>
      <c r="J45" s="556">
        <f>$F$1*(Detached!G40-Savings_Detached!G149)</f>
        <v>1.0258902845496378E-2</v>
      </c>
      <c r="K45" s="556">
        <f>$F$1*(Detached!H40-Savings_Detached!H149)</f>
        <v>7.1310720949588971E-3</v>
      </c>
      <c r="L45" s="556">
        <f>$F$1*(Detached!I40-Savings_Detached!I149)</f>
        <v>9.5635862004932511E-3</v>
      </c>
      <c r="M45" s="556">
        <f>$F$1*(Detached!J40-Savings_Detached!J149)</f>
        <v>2.0012640897190757E-2</v>
      </c>
      <c r="N45" s="556">
        <f>$F$1*(Detached!K40-Savings_Detached!K149)</f>
        <v>4.4932974695781691E-3</v>
      </c>
      <c r="O45" s="556">
        <f>$F$1*(Detached!L40-Savings_Detached!L149)</f>
        <v>4.3521519486665406E-3</v>
      </c>
      <c r="P45" s="556">
        <f>$F$1*(Detached!M40-Savings_Detached!M149)</f>
        <v>9.734410745311688E-3</v>
      </c>
      <c r="Q45" s="556">
        <f>$F$1*(Detached!N40-Savings_Detached!N149)</f>
        <v>5.1907919955207727E-3</v>
      </c>
      <c r="R45" s="556">
        <f>$F$1*(Detached!O40-Savings_Detached!O149)</f>
        <v>1.9851951982357098E-2</v>
      </c>
      <c r="S45" s="556">
        <f>$F$1*(Detached!P40-Savings_Detached!P149)</f>
        <v>1.3585944209105985E-2</v>
      </c>
      <c r="T45" s="556">
        <f>$F$1*(Detached!Q40-Savings_Detached!Q149)</f>
        <v>5.4756299106797817E-3</v>
      </c>
      <c r="U45" s="556">
        <f>$F$1*(Detached!R40-Savings_Detached!R149)</f>
        <v>9.1062229428768935E-3</v>
      </c>
      <c r="V45" s="556">
        <f>$F$1*(Detached!S40-Savings_Detached!S149)</f>
        <v>2.4986282981127129E-2</v>
      </c>
      <c r="W45" s="556">
        <f>$F$1*(Detached!T40-Savings_Detached!T149)</f>
        <v>4.4152787982412829E-3</v>
      </c>
      <c r="X45" s="556">
        <f>$F$1*(Detached!U40-Savings_Detached!U149)</f>
        <v>1.2363359423329058E-2</v>
      </c>
      <c r="Y45" s="556">
        <f>$F$1*(Detached!V40-Savings_Detached!V149)</f>
        <v>8.6622326481507091E-3</v>
      </c>
      <c r="Z45" s="556">
        <f>$F$1*(Detached!W40-Savings_Detached!W149)</f>
        <v>1.1615574767387673E-2</v>
      </c>
      <c r="AA45" s="556">
        <f>$F$1*(Detached!X40-Savings_Detached!X149)</f>
        <v>1.4275193823713709E-2</v>
      </c>
      <c r="AB45" s="556">
        <f>$F$1*(Detached!Y40-Savings_Detached!Y149)</f>
        <v>3.0225862124388116E-3</v>
      </c>
      <c r="AC45" s="556">
        <f>$F$1*(Detached!Z40-Savings_Detached!Z149)</f>
        <v>2.5218300447844118E-2</v>
      </c>
      <c r="AD45" s="556">
        <f>$F$1*(Detached!AA40-Savings_Detached!AA149)</f>
        <v>7.96894763099615E-3</v>
      </c>
      <c r="AE45" s="556">
        <f>$F$1*(Detached!AB40-Savings_Detached!AB149)</f>
        <v>1.9858075568922429E-2</v>
      </c>
      <c r="AF45" s="556">
        <f>$F$1*(Detached!AC40-Savings_Detached!AC149)</f>
        <v>1.3709792597691752E-2</v>
      </c>
      <c r="AG45" s="556">
        <f>$F$1*(Detached!AD40-Savings_Detached!AD149)</f>
        <v>8.6777534081583629E-3</v>
      </c>
      <c r="AH45" s="556">
        <f>$F$1*(Detached!AE40-Savings_Detached!AE149)</f>
        <v>7.6838382754415551E-3</v>
      </c>
      <c r="AI45" s="556">
        <f>$F$1*(Detached!AF40-Savings_Detached!AF149)</f>
        <v>9.8759386282108366E-3</v>
      </c>
      <c r="AJ45" s="556">
        <f>$F$1*(Detached!AG40-Savings_Detached!AG149)</f>
        <v>1.9302537473776461E-2</v>
      </c>
      <c r="AK45" s="556">
        <f>$F$1*(Detached!AH40-Savings_Detached!AH149)</f>
        <v>1.8075092815341826E-2</v>
      </c>
      <c r="AL45" s="556">
        <f>$F$1*(Detached!AI40-Savings_Detached!AI149)</f>
        <v>1.3585944209105985E-2</v>
      </c>
      <c r="AM45" s="556">
        <f>$F$1*(Detached!AJ40-Savings_Detached!AJ149)</f>
        <v>6.3507365859706367E-3</v>
      </c>
      <c r="AN45" s="556">
        <f>$F$1*(Detached!AK40-Savings_Detached!AK149)</f>
        <v>7.6616104635029497E-3</v>
      </c>
      <c r="AO45" s="556">
        <f>$F$1*(Detached!AL40-Savings_Detached!AL149)</f>
        <v>6.3306373917148464E-3</v>
      </c>
      <c r="AP45" s="556">
        <f>$F$1*(Detached!AM40-Savings_Detached!AM149)</f>
        <v>5.8399826168730783E-3</v>
      </c>
      <c r="AQ45" s="556">
        <f>$F$1*(Detached!AN40-Savings_Detached!AN149)</f>
        <v>5.8399826168730783E-3</v>
      </c>
      <c r="AT45" s="5" t="s">
        <v>321</v>
      </c>
    </row>
    <row r="46" spans="1:46">
      <c r="A46" s="5" t="str">
        <f t="shared" si="1"/>
        <v>OUTPUT</v>
      </c>
      <c r="B46" s="5" t="s">
        <v>616</v>
      </c>
      <c r="C46" s="5" t="str">
        <f t="shared" si="2"/>
        <v>Bldg_DETPre69-Cei</v>
      </c>
      <c r="D46" s="5" t="s">
        <v>301</v>
      </c>
      <c r="E46" s="5" t="s">
        <v>322</v>
      </c>
      <c r="F46" s="5" t="s">
        <v>606</v>
      </c>
      <c r="G46" s="556">
        <f>$F$1*(Detached!D41-Savings_Detached!D150)</f>
        <v>8.3079605208856728E-3</v>
      </c>
      <c r="H46" s="556">
        <f>$F$1*(Detached!E41-Savings_Detached!E150)</f>
        <v>1.8090677748190849E-2</v>
      </c>
      <c r="I46" s="556">
        <f>$F$1*(Detached!F41-Savings_Detached!F150)</f>
        <v>5.8244443359327103E-3</v>
      </c>
      <c r="J46" s="556">
        <f>$F$1*(Detached!G41-Savings_Detached!G150)</f>
        <v>8.0941014364084834E-3</v>
      </c>
      <c r="K46" s="556">
        <f>$F$1*(Detached!H41-Savings_Detached!H150)</f>
        <v>7.2242478249584076E-3</v>
      </c>
      <c r="L46" s="556">
        <f>$F$1*(Detached!I41-Savings_Detached!I150)</f>
        <v>5.3862233237659133E-3</v>
      </c>
      <c r="M46" s="556">
        <f>$F$1*(Detached!J41-Savings_Detached!J150)</f>
        <v>1.9715488881822719E-2</v>
      </c>
      <c r="N46" s="556">
        <f>$F$1*(Detached!K41-Savings_Detached!K150)</f>
        <v>3.6616503533606335E-3</v>
      </c>
      <c r="O46" s="556">
        <f>$F$1*(Detached!L41-Savings_Detached!L150)</f>
        <v>4.3521519486665406E-3</v>
      </c>
      <c r="P46" s="556">
        <f>$F$1*(Detached!M41-Savings_Detached!M150)</f>
        <v>7.4685711830479442E-3</v>
      </c>
      <c r="Q46" s="556">
        <f>$F$1*(Detached!N41-Savings_Detached!N150)</f>
        <v>4.903048871408926E-3</v>
      </c>
      <c r="R46" s="556">
        <f>$F$1*(Detached!O41-Savings_Detached!O150)</f>
        <v>1.9851951982357098E-2</v>
      </c>
      <c r="S46" s="556">
        <f>$F$1*(Detached!P41-Savings_Detached!P150)</f>
        <v>1.3585944209105985E-2</v>
      </c>
      <c r="T46" s="556">
        <f>$F$1*(Detached!Q41-Savings_Detached!Q150)</f>
        <v>5.4228268193158664E-3</v>
      </c>
      <c r="U46" s="556">
        <f>$F$1*(Detached!R41-Savings_Detached!R150)</f>
        <v>9.1062229428768935E-3</v>
      </c>
      <c r="V46" s="556">
        <f>$F$1*(Detached!S41-Savings_Detached!S150)</f>
        <v>2.6462001619809588E-2</v>
      </c>
      <c r="W46" s="556">
        <f>$F$1*(Detached!T41-Savings_Detached!T150)</f>
        <v>4.1705249887403328E-3</v>
      </c>
      <c r="X46" s="556">
        <f>$F$1*(Detached!U41-Savings_Detached!U150)</f>
        <v>1.1778173828088085E-2</v>
      </c>
      <c r="Y46" s="556">
        <f>$F$1*(Detached!V41-Savings_Detached!V150)</f>
        <v>8.6622326481507091E-3</v>
      </c>
      <c r="Z46" s="556">
        <f>$F$1*(Detached!W41-Savings_Detached!W150)</f>
        <v>6.7654594387086689E-3</v>
      </c>
      <c r="AA46" s="556">
        <f>$F$1*(Detached!X41-Savings_Detached!X150)</f>
        <v>1.4316263486434803E-2</v>
      </c>
      <c r="AB46" s="556">
        <f>$F$1*(Detached!Y41-Savings_Detached!Y150)</f>
        <v>2.9877263386203813E-3</v>
      </c>
      <c r="AC46" s="556">
        <f>$F$1*(Detached!Z41-Savings_Detached!Z150)</f>
        <v>1.143569986999216E-2</v>
      </c>
      <c r="AD46" s="556">
        <f>$F$1*(Detached!AA41-Savings_Detached!AA150)</f>
        <v>7.9761124263585097E-3</v>
      </c>
      <c r="AE46" s="556">
        <f>$F$1*(Detached!AB41-Savings_Detached!AB150)</f>
        <v>8.0863595936987078E-3</v>
      </c>
      <c r="AF46" s="556">
        <f>$F$1*(Detached!AC41-Savings_Detached!AC150)</f>
        <v>1.2980095420859591E-2</v>
      </c>
      <c r="AG46" s="556">
        <f>$F$1*(Detached!AD41-Savings_Detached!AD150)</f>
        <v>8.09947173411334E-3</v>
      </c>
      <c r="AH46" s="556">
        <f>$F$1*(Detached!AE41-Savings_Detached!AE150)</f>
        <v>7.6907467320396416E-3</v>
      </c>
      <c r="AI46" s="556">
        <f>$F$1*(Detached!AF41-Savings_Detached!AF150)</f>
        <v>9.8759386282108366E-3</v>
      </c>
      <c r="AJ46" s="556">
        <f>$F$1*(Detached!AG41-Savings_Detached!AG150)</f>
        <v>1.4298928340110472E-2</v>
      </c>
      <c r="AK46" s="556">
        <f>$F$1*(Detached!AH41-Savings_Detached!AH150)</f>
        <v>1.9012926993754956E-2</v>
      </c>
      <c r="AL46" s="556">
        <f>$F$1*(Detached!AI41-Savings_Detached!AI150)</f>
        <v>1.3585944209105985E-2</v>
      </c>
      <c r="AM46" s="556">
        <f>$F$1*(Detached!AJ41-Savings_Detached!AJ150)</f>
        <v>6.3507365859706367E-3</v>
      </c>
      <c r="AN46" s="556">
        <f>$F$1*(Detached!AK41-Savings_Detached!AK150)</f>
        <v>7.6616104635029497E-3</v>
      </c>
      <c r="AO46" s="556">
        <f>$F$1*(Detached!AL41-Savings_Detached!AL150)</f>
        <v>6.3306373917148464E-3</v>
      </c>
      <c r="AP46" s="556">
        <f>$F$1*(Detached!AM41-Savings_Detached!AM150)</f>
        <v>5.8399826168730783E-3</v>
      </c>
      <c r="AQ46" s="556">
        <f>$F$1*(Detached!AN41-Savings_Detached!AN150)</f>
        <v>5.8399826168730783E-3</v>
      </c>
      <c r="AT46" s="5" t="s">
        <v>322</v>
      </c>
    </row>
    <row r="47" spans="1:46">
      <c r="A47" s="5" t="str">
        <f t="shared" si="1"/>
        <v>OUTPUT</v>
      </c>
      <c r="B47" s="5" t="s">
        <v>616</v>
      </c>
      <c r="C47" s="5" t="str">
        <f t="shared" si="2"/>
        <v>Bldg_DETPre79-Cei</v>
      </c>
      <c r="D47" s="5" t="s">
        <v>301</v>
      </c>
      <c r="E47" s="5" t="s">
        <v>323</v>
      </c>
      <c r="F47" s="5" t="s">
        <v>606</v>
      </c>
      <c r="G47" s="556">
        <f>$F$1*(Detached!D42-Savings_Detached!D151)</f>
        <v>4.4123414861564651E-3</v>
      </c>
      <c r="H47" s="556">
        <f>$F$1*(Detached!E42-Savings_Detached!E151)</f>
        <v>1.8090677748190849E-2</v>
      </c>
      <c r="I47" s="556">
        <f>$F$1*(Detached!F42-Savings_Detached!F151)</f>
        <v>5.3290565565802025E-3</v>
      </c>
      <c r="J47" s="556">
        <f>$F$1*(Detached!G42-Savings_Detached!G151)</f>
        <v>4.2987613471731582E-3</v>
      </c>
      <c r="K47" s="556">
        <f>$F$1*(Detached!H42-Savings_Detached!H151)</f>
        <v>7.1554422802567125E-3</v>
      </c>
      <c r="L47" s="556">
        <f>$F$1*(Detached!I42-Savings_Detached!I151)</f>
        <v>5.3862233237659133E-3</v>
      </c>
      <c r="M47" s="556">
        <f>$F$1*(Detached!J42-Savings_Detached!J151)</f>
        <v>5.1988252710729078E-3</v>
      </c>
      <c r="N47" s="556">
        <f>$F$1*(Detached!K42-Savings_Detached!K151)</f>
        <v>2.4264029160401663E-3</v>
      </c>
      <c r="O47" s="556">
        <f>$F$1*(Detached!L42-Savings_Detached!L151)</f>
        <v>3.0452011893949741E-3</v>
      </c>
      <c r="P47" s="556">
        <f>$F$1*(Detached!M42-Savings_Detached!M151)</f>
        <v>7.4685711830479442E-3</v>
      </c>
      <c r="Q47" s="556">
        <f>$F$1*(Detached!N42-Savings_Detached!N151)</f>
        <v>3.4290035518696987E-3</v>
      </c>
      <c r="R47" s="556">
        <f>$F$1*(Detached!O42-Savings_Detached!O151)</f>
        <v>3.2406527085668568E-3</v>
      </c>
      <c r="S47" s="556">
        <f>$F$1*(Detached!P42-Savings_Detached!P151)</f>
        <v>1.3585944209105985E-2</v>
      </c>
      <c r="T47" s="556">
        <f>$F$1*(Detached!Q42-Savings_Detached!Q151)</f>
        <v>5.698430295363612E-3</v>
      </c>
      <c r="U47" s="556">
        <f>$F$1*(Detached!R42-Savings_Detached!R151)</f>
        <v>6.5850209926443595E-3</v>
      </c>
      <c r="V47" s="556">
        <f>$F$1*(Detached!S42-Savings_Detached!S151)</f>
        <v>1.1911458160251374E-2</v>
      </c>
      <c r="W47" s="556">
        <f>$F$1*(Detached!T42-Savings_Detached!T151)</f>
        <v>2.9167045596758317E-3</v>
      </c>
      <c r="X47" s="556">
        <f>$F$1*(Detached!U42-Savings_Detached!U151)</f>
        <v>1.1212884577238395E-2</v>
      </c>
      <c r="Y47" s="556">
        <f>$F$1*(Detached!V42-Savings_Detached!V151)</f>
        <v>4.3329996148781958E-3</v>
      </c>
      <c r="Z47" s="556">
        <f>$F$1*(Detached!W42-Savings_Detached!W151)</f>
        <v>4.0785885909613104E-3</v>
      </c>
      <c r="AA47" s="556">
        <f>$F$1*(Detached!X42-Savings_Detached!X151)</f>
        <v>1.1638464519516107E-2</v>
      </c>
      <c r="AB47" s="556">
        <f>$F$1*(Detached!Y42-Savings_Detached!Y151)</f>
        <v>3.0881654237804035E-3</v>
      </c>
      <c r="AC47" s="556">
        <f>$F$1*(Detached!Z42-Savings_Detached!Z151)</f>
        <v>1.1505173920282608E-2</v>
      </c>
      <c r="AD47" s="556">
        <f>$F$1*(Detached!AA42-Savings_Detached!AA151)</f>
        <v>2.1605629601534793E-3</v>
      </c>
      <c r="AE47" s="556">
        <f>$F$1*(Detached!AB42-Savings_Detached!AB151)</f>
        <v>5.058769718251253E-3</v>
      </c>
      <c r="AF47" s="556">
        <f>$F$1*(Detached!AC42-Savings_Detached!AC151)</f>
        <v>1.203117355736358E-2</v>
      </c>
      <c r="AG47" s="556">
        <f>$F$1*(Detached!AD42-Savings_Detached!AD151)</f>
        <v>8.09947173411334E-3</v>
      </c>
      <c r="AH47" s="556">
        <f>$F$1*(Detached!AE42-Savings_Detached!AE151)</f>
        <v>2.0832633289188181E-3</v>
      </c>
      <c r="AI47" s="556">
        <f>$F$1*(Detached!AF42-Savings_Detached!AF151)</f>
        <v>7.0741868490663993E-3</v>
      </c>
      <c r="AJ47" s="556">
        <f>$F$1*(Detached!AG42-Savings_Detached!AG151)</f>
        <v>1.4298928340110472E-2</v>
      </c>
      <c r="AK47" s="556">
        <f>$F$1*(Detached!AH42-Savings_Detached!AH151)</f>
        <v>8.7314908380227828E-3</v>
      </c>
      <c r="AL47" s="556">
        <f>$F$1*(Detached!AI42-Savings_Detached!AI151)</f>
        <v>1.3585944209105985E-2</v>
      </c>
      <c r="AM47" s="556">
        <f>$F$1*(Detached!AJ42-Savings_Detached!AJ151)</f>
        <v>6.3507365859706367E-3</v>
      </c>
      <c r="AN47" s="556">
        <f>$F$1*(Detached!AK42-Savings_Detached!AK151)</f>
        <v>7.6616104635029497E-3</v>
      </c>
      <c r="AO47" s="556">
        <f>$F$1*(Detached!AL42-Savings_Detached!AL151)</f>
        <v>5.7929512523389607E-3</v>
      </c>
      <c r="AP47" s="556">
        <f>$F$1*(Detached!AM42-Savings_Detached!AM151)</f>
        <v>5.8399826168730783E-3</v>
      </c>
      <c r="AQ47" s="556">
        <f>$F$1*(Detached!AN42-Savings_Detached!AN151)</f>
        <v>5.8399826168730783E-3</v>
      </c>
      <c r="AT47" s="5" t="s">
        <v>323</v>
      </c>
    </row>
    <row r="48" spans="1:46">
      <c r="A48" s="5" t="str">
        <f t="shared" si="1"/>
        <v>OUTPUT</v>
      </c>
      <c r="B48" s="5" t="s">
        <v>616</v>
      </c>
      <c r="C48" s="5" t="str">
        <f t="shared" si="2"/>
        <v>Bldg_DETPre89-Cei</v>
      </c>
      <c r="D48" s="5" t="s">
        <v>301</v>
      </c>
      <c r="E48" s="5" t="s">
        <v>324</v>
      </c>
      <c r="F48" s="5" t="s">
        <v>606</v>
      </c>
      <c r="G48" s="556">
        <f>$F$1*(Detached!D43-Savings_Detached!D152)</f>
        <v>2.6540439873631548E-3</v>
      </c>
      <c r="H48" s="556">
        <f>$F$1*(Detached!E43-Savings_Detached!E152)</f>
        <v>1.2537678643570577E-2</v>
      </c>
      <c r="I48" s="556">
        <f>$F$1*(Detached!F43-Savings_Detached!F152)</f>
        <v>5.0758019528512515E-3</v>
      </c>
      <c r="J48" s="556">
        <f>$F$1*(Detached!G43-Savings_Detached!G152)</f>
        <v>2.585725003916762E-3</v>
      </c>
      <c r="K48" s="556">
        <f>$F$1*(Detached!H43-Savings_Detached!H152)</f>
        <v>7.1970093168306952E-3</v>
      </c>
      <c r="L48" s="556">
        <f>$F$1*(Detached!I43-Savings_Detached!I152)</f>
        <v>4.3062295655067594E-3</v>
      </c>
      <c r="M48" s="556">
        <f>$F$1*(Detached!J43-Savings_Detached!J152)</f>
        <v>2.1071026247920983E-3</v>
      </c>
      <c r="N48" s="556">
        <f>$F$1*(Detached!K43-Savings_Detached!K152)</f>
        <v>1.9383445319153096E-3</v>
      </c>
      <c r="O48" s="556">
        <f>$F$1*(Detached!L43-Savings_Detached!L152)</f>
        <v>1.6951769996651816E-3</v>
      </c>
      <c r="P48" s="556">
        <f>$F$1*(Detached!M43-Savings_Detached!M152)</f>
        <v>5.5574891498701082E-3</v>
      </c>
      <c r="Q48" s="556">
        <f>$F$1*(Detached!N43-Savings_Detached!N152)</f>
        <v>2.4235275633222152E-3</v>
      </c>
      <c r="R48" s="556">
        <f>$F$1*(Detached!O43-Savings_Detached!O152)</f>
        <v>2.057838400940439E-3</v>
      </c>
      <c r="S48" s="556">
        <f>$F$1*(Detached!P43-Savings_Detached!P152)</f>
        <v>1.3661010239705651E-2</v>
      </c>
      <c r="T48" s="556">
        <f>$F$1*(Detached!Q43-Savings_Detached!Q152)</f>
        <v>5.698430295363612E-3</v>
      </c>
      <c r="U48" s="556">
        <f>$F$1*(Detached!R43-Savings_Detached!R152)</f>
        <v>4.1405598658664586E-3</v>
      </c>
      <c r="V48" s="556">
        <f>$F$1*(Detached!S43-Savings_Detached!S152)</f>
        <v>3.5239430614601493E-3</v>
      </c>
      <c r="W48" s="556">
        <f>$F$1*(Detached!T43-Savings_Detached!T152)</f>
        <v>2.0614484025797031E-3</v>
      </c>
      <c r="X48" s="556">
        <f>$F$1*(Detached!U43-Savings_Detached!U152)</f>
        <v>8.8401086047412581E-3</v>
      </c>
      <c r="Y48" s="556">
        <f>$F$1*(Detached!V43-Savings_Detached!V152)</f>
        <v>4.3329996148781958E-3</v>
      </c>
      <c r="Z48" s="556">
        <f>$F$1*(Detached!W43-Savings_Detached!W152)</f>
        <v>2.137165787032054E-3</v>
      </c>
      <c r="AA48" s="556">
        <f>$F$1*(Detached!X43-Savings_Detached!X152)</f>
        <v>5.2818524052703694E-3</v>
      </c>
      <c r="AB48" s="556">
        <f>$F$1*(Detached!Y43-Savings_Detached!Y152)</f>
        <v>3.1352784008299365E-3</v>
      </c>
      <c r="AC48" s="556">
        <f>$F$1*(Detached!Z43-Savings_Detached!Z152)</f>
        <v>5.8394846480104437E-3</v>
      </c>
      <c r="AD48" s="556">
        <f>$F$1*(Detached!AA43-Savings_Detached!AA152)</f>
        <v>2.1669872520796115E-3</v>
      </c>
      <c r="AE48" s="556">
        <f>$F$1*(Detached!AB43-Savings_Detached!AB152)</f>
        <v>5.058769718251253E-3</v>
      </c>
      <c r="AF48" s="556">
        <f>$F$1*(Detached!AC43-Savings_Detached!AC152)</f>
        <v>1.159750520802892E-2</v>
      </c>
      <c r="AG48" s="556">
        <f>$F$1*(Detached!AD43-Savings_Detached!AD152)</f>
        <v>7.5927860376710466E-3</v>
      </c>
      <c r="AH48" s="556">
        <f>$F$1*(Detached!AE43-Savings_Detached!AE152)</f>
        <v>2.0894577754731569E-3</v>
      </c>
      <c r="AI48" s="556">
        <f>$F$1*(Detached!AF43-Savings_Detached!AF152)</f>
        <v>6.4369136471968732E-3</v>
      </c>
      <c r="AJ48" s="556">
        <f>$F$1*(Detached!AG43-Savings_Detached!AG152)</f>
        <v>9.1054624917174167E-3</v>
      </c>
      <c r="AK48" s="556">
        <f>$F$1*(Detached!AH43-Savings_Detached!AH152)</f>
        <v>4.2743785994283946E-3</v>
      </c>
      <c r="AL48" s="556">
        <f>$F$1*(Detached!AI43-Savings_Detached!AI152)</f>
        <v>1.3661010239705651E-2</v>
      </c>
      <c r="AM48" s="556">
        <f>$F$1*(Detached!AJ43-Savings_Detached!AJ152)</f>
        <v>3.8044870293021224E-3</v>
      </c>
      <c r="AN48" s="556">
        <f>$F$1*(Detached!AK43-Savings_Detached!AK152)</f>
        <v>4.5946519128318292E-3</v>
      </c>
      <c r="AO48" s="556">
        <f>$F$1*(Detached!AL43-Savings_Detached!AL152)</f>
        <v>5.5198677761870395E-3</v>
      </c>
      <c r="AP48" s="556">
        <f>$F$1*(Detached!AM43-Savings_Detached!AM152)</f>
        <v>3.4985135686977482E-3</v>
      </c>
      <c r="AQ48" s="556">
        <f>$F$1*(Detached!AN43-Savings_Detached!AN152)</f>
        <v>3.4985135686977482E-3</v>
      </c>
      <c r="AT48" s="5" t="s">
        <v>324</v>
      </c>
    </row>
    <row r="49" spans="1:46">
      <c r="A49" s="5" t="str">
        <f t="shared" si="1"/>
        <v>OUTPUT</v>
      </c>
      <c r="B49" s="5" t="s">
        <v>616</v>
      </c>
      <c r="C49" s="5" t="str">
        <f t="shared" si="2"/>
        <v>Bldg_DETPre99-Cei</v>
      </c>
      <c r="D49" s="5" t="s">
        <v>301</v>
      </c>
      <c r="E49" s="5" t="s">
        <v>325</v>
      </c>
      <c r="F49" s="5" t="s">
        <v>606</v>
      </c>
      <c r="G49" s="556">
        <f>$F$1*(Detached!D44-Savings_Detached!D153)</f>
        <v>2.7360417458598208E-3</v>
      </c>
      <c r="H49" s="556">
        <f>$F$1*(Detached!E44-Savings_Detached!E153)</f>
        <v>1.2537678643570577E-2</v>
      </c>
      <c r="I49" s="556">
        <f>$F$1*(Detached!F44-Savings_Detached!F153)</f>
        <v>2.028796690244257E-3</v>
      </c>
      <c r="J49" s="556">
        <f>$F$1*(Detached!G44-Savings_Detached!G153)</f>
        <v>2.6656120198891684E-3</v>
      </c>
      <c r="K49" s="556">
        <f>$F$1*(Detached!H44-Savings_Detached!H153)</f>
        <v>7.4491123633018321E-3</v>
      </c>
      <c r="L49" s="556">
        <f>$F$1*(Detached!I44-Savings_Detached!I153)</f>
        <v>2.7536275148139834E-3</v>
      </c>
      <c r="M49" s="556">
        <f>$F$1*(Detached!J44-Savings_Detached!J153)</f>
        <v>1.3549191742633451E-3</v>
      </c>
      <c r="N49" s="556">
        <f>$F$1*(Detached!K44-Savings_Detached!K153)</f>
        <v>1.9383445319153096E-3</v>
      </c>
      <c r="O49" s="556">
        <f>$F$1*(Detached!L44-Savings_Detached!L153)</f>
        <v>1.1492230219472494E-3</v>
      </c>
      <c r="P49" s="556">
        <f>$F$1*(Detached!M44-Savings_Detached!M153)</f>
        <v>5.5574891498701082E-3</v>
      </c>
      <c r="Q49" s="556">
        <f>$F$1*(Detached!N44-Savings_Detached!N153)</f>
        <v>2.3455649189511232E-3</v>
      </c>
      <c r="R49" s="556">
        <f>$F$1*(Detached!O44-Savings_Detached!O153)</f>
        <v>1.2015198600975492E-3</v>
      </c>
      <c r="S49" s="556">
        <f>$F$1*(Detached!P44-Savings_Detached!P153)</f>
        <v>1.3661010239705651E-2</v>
      </c>
      <c r="T49" s="556">
        <f>$F$1*(Detached!Q44-Savings_Detached!Q153)</f>
        <v>3.1860464856399403E-3</v>
      </c>
      <c r="U49" s="556">
        <f>$F$1*(Detached!R44-Savings_Detached!R153)</f>
        <v>4.1405598658664586E-3</v>
      </c>
      <c r="V49" s="556">
        <f>$F$1*(Detached!S44-Savings_Detached!S153)</f>
        <v>3.6256181121275067E-3</v>
      </c>
      <c r="W49" s="556">
        <f>$F$1*(Detached!T44-Savings_Detached!T153)</f>
        <v>1.9951335105471411E-3</v>
      </c>
      <c r="X49" s="556">
        <f>$F$1*(Detached!U44-Savings_Detached!U153)</f>
        <v>7.4715365473172375E-3</v>
      </c>
      <c r="Y49" s="556">
        <f>$F$1*(Detached!V44-Savings_Detached!V153)</f>
        <v>4.3329996148781958E-3</v>
      </c>
      <c r="Z49" s="556">
        <f>$F$1*(Detached!W44-Savings_Detached!W153)</f>
        <v>1.5886280456141426E-3</v>
      </c>
      <c r="AA49" s="556">
        <f>$F$1*(Detached!X44-Savings_Detached!X153)</f>
        <v>4.5842839463043081E-3</v>
      </c>
      <c r="AB49" s="556">
        <f>$F$1*(Detached!Y44-Savings_Detached!Y153)</f>
        <v>2.80699380737791E-3</v>
      </c>
      <c r="AC49" s="556">
        <f>$F$1*(Detached!Z44-Savings_Detached!Z153)</f>
        <v>4.8773997545627779E-3</v>
      </c>
      <c r="AD49" s="556">
        <f>$F$1*(Detached!AA44-Savings_Detached!AA153)</f>
        <v>1.6406403070604091E-3</v>
      </c>
      <c r="AE49" s="556">
        <f>$F$1*(Detached!AB44-Savings_Detached!AB153)</f>
        <v>5.058769718251253E-3</v>
      </c>
      <c r="AF49" s="556">
        <f>$F$1*(Detached!AC44-Savings_Detached!AC153)</f>
        <v>1.077118867041834E-2</v>
      </c>
      <c r="AG49" s="556">
        <f>$F$1*(Detached!AD44-Savings_Detached!AD153)</f>
        <v>7.5927860376710466E-3</v>
      </c>
      <c r="AH49" s="556">
        <f>$F$1*(Detached!AE44-Savings_Detached!AE153)</f>
        <v>1.5819422301872105E-3</v>
      </c>
      <c r="AI49" s="556">
        <f>$F$1*(Detached!AF44-Savings_Detached!AF153)</f>
        <v>3.1999517289208598E-3</v>
      </c>
      <c r="AJ49" s="556">
        <f>$F$1*(Detached!AG44-Savings_Detached!AG153)</f>
        <v>5.3783152141125591E-3</v>
      </c>
      <c r="AK49" s="556">
        <f>$F$1*(Detached!AH44-Savings_Detached!AH153)</f>
        <v>2.5331525235400584E-3</v>
      </c>
      <c r="AL49" s="556">
        <f>$F$1*(Detached!AI44-Savings_Detached!AI153)</f>
        <v>1.3661010239705651E-2</v>
      </c>
      <c r="AM49" s="556">
        <f>$F$1*(Detached!AJ44-Savings_Detached!AJ153)</f>
        <v>2.8768425850898157E-3</v>
      </c>
      <c r="AN49" s="556">
        <f>$F$1*(Detached!AK44-Savings_Detached!AK153)</f>
        <v>3.4767101474947135E-3</v>
      </c>
      <c r="AO49" s="556">
        <f>$F$1*(Detached!AL44-Savings_Detached!AL153)</f>
        <v>2.2078737287469417E-3</v>
      </c>
      <c r="AP49" s="556">
        <f>$F$1*(Detached!AM44-Savings_Detached!AM153)</f>
        <v>2.6454743415935678E-3</v>
      </c>
      <c r="AQ49" s="556">
        <f>$F$1*(Detached!AN44-Savings_Detached!AN153)</f>
        <v>2.6454743415935678E-3</v>
      </c>
      <c r="AT49" s="5" t="s">
        <v>325</v>
      </c>
    </row>
    <row r="50" spans="1:46">
      <c r="A50" s="5" t="str">
        <f t="shared" si="1"/>
        <v>OUTPUT</v>
      </c>
      <c r="B50" s="5" t="s">
        <v>616</v>
      </c>
      <c r="C50" s="5" t="str">
        <f t="shared" si="2"/>
        <v>Bldg_DETPre09-Cei</v>
      </c>
      <c r="D50" s="5" t="s">
        <v>301</v>
      </c>
      <c r="E50" s="5" t="s">
        <v>326</v>
      </c>
      <c r="F50" s="5" t="s">
        <v>606</v>
      </c>
      <c r="G50" s="556">
        <f>$F$1*(Detached!D45-Savings_Detached!D154)</f>
        <v>1.7494243751097808E-3</v>
      </c>
      <c r="H50" s="556">
        <f>$F$1*(Detached!E45-Savings_Detached!E154)</f>
        <v>4.7779697055269936E-3</v>
      </c>
      <c r="I50" s="556">
        <f>$F$1*(Detached!F45-Savings_Detached!F154)</f>
        <v>1.0294507871760562E-3</v>
      </c>
      <c r="J50" s="556">
        <f>$F$1*(Detached!G45-Savings_Detached!G154)</f>
        <v>1.7043916267857483E-3</v>
      </c>
      <c r="K50" s="556">
        <f>$F$1*(Detached!H45-Savings_Detached!H154)</f>
        <v>7.6729738656534478E-3</v>
      </c>
      <c r="L50" s="556">
        <f>$F$1*(Detached!I45-Savings_Detached!I154)</f>
        <v>1.6474459972616994E-3</v>
      </c>
      <c r="M50" s="556">
        <f>$F$1*(Detached!J45-Savings_Detached!J154)</f>
        <v>1.4358678110412682E-3</v>
      </c>
      <c r="N50" s="556">
        <f>$F$1*(Detached!K45-Savings_Detached!K154)</f>
        <v>9.8034228798467532E-4</v>
      </c>
      <c r="O50" s="556">
        <f>$F$1*(Detached!L45-Savings_Detached!L154)</f>
        <v>1.1492230219472494E-3</v>
      </c>
      <c r="P50" s="556">
        <f>$F$1*(Detached!M45-Savings_Detached!M154)</f>
        <v>2.7282425309624399E-3</v>
      </c>
      <c r="Q50" s="556">
        <f>$F$1*(Detached!N45-Savings_Detached!N154)</f>
        <v>1.7458158772258483E-3</v>
      </c>
      <c r="R50" s="556">
        <f>$F$1*(Detached!O45-Savings_Detached!O154)</f>
        <v>1.1159868182508354E-3</v>
      </c>
      <c r="S50" s="556">
        <f>$F$1*(Detached!P45-Savings_Detached!P154)</f>
        <v>2.5928083340474571E-3</v>
      </c>
      <c r="T50" s="556">
        <f>$F$1*(Detached!Q45-Savings_Detached!Q154)</f>
        <v>1.0493294783718108E-3</v>
      </c>
      <c r="U50" s="556">
        <f>$F$1*(Detached!R45-Savings_Detached!R154)</f>
        <v>1.3165837567253129E-3</v>
      </c>
      <c r="V50" s="556">
        <f>$F$1*(Detached!S45-Savings_Detached!S154)</f>
        <v>2.3287106140770148E-3</v>
      </c>
      <c r="W50" s="556">
        <f>$F$1*(Detached!T45-Savings_Detached!T154)</f>
        <v>1.4849880008676688E-3</v>
      </c>
      <c r="X50" s="556">
        <f>$F$1*(Detached!U45-Savings_Detached!U154)</f>
        <v>7.5635334573304243E-3</v>
      </c>
      <c r="Y50" s="556">
        <f>$F$1*(Detached!V45-Savings_Detached!V154)</f>
        <v>1.2179219508518264E-3</v>
      </c>
      <c r="Z50" s="556">
        <f>$F$1*(Detached!W45-Savings_Detached!W154)</f>
        <v>1.3954719493975626E-3</v>
      </c>
      <c r="AA50" s="556">
        <f>$F$1*(Detached!X45-Savings_Detached!X154)</f>
        <v>1.2721924098303943E-3</v>
      </c>
      <c r="AB50" s="556">
        <f>$F$1*(Detached!Y45-Savings_Detached!Y154)</f>
        <v>2.8299109101989814E-3</v>
      </c>
      <c r="AC50" s="556">
        <f>$F$1*(Detached!Z45-Savings_Detached!Z154)</f>
        <v>3.2219280432838394E-3</v>
      </c>
      <c r="AD50" s="556">
        <f>$F$1*(Detached!AA45-Savings_Detached!AA154)</f>
        <v>1.6853858756955375E-3</v>
      </c>
      <c r="AE50" s="556">
        <f>$F$1*(Detached!AB45-Savings_Detached!AB154)</f>
        <v>5.5963593485808599E-3</v>
      </c>
      <c r="AF50" s="556">
        <f>$F$1*(Detached!AC45-Savings_Detached!AC154)</f>
        <v>5.8880480057865005E-3</v>
      </c>
      <c r="AG50" s="556">
        <f>$F$1*(Detached!AD45-Savings_Detached!AD154)</f>
        <v>6.4098734468408958E-3</v>
      </c>
      <c r="AH50" s="556">
        <f>$F$1*(Detached!AE45-Savings_Detached!AE154)</f>
        <v>1.6250869123780507E-3</v>
      </c>
      <c r="AI50" s="556">
        <f>$F$1*(Detached!AF45-Savings_Detached!AF154)</f>
        <v>1.0691775842510392E-3</v>
      </c>
      <c r="AJ50" s="556">
        <f>$F$1*(Detached!AG45-Savings_Detached!AG154)</f>
        <v>2.0372349329106799E-3</v>
      </c>
      <c r="AK50" s="556">
        <f>$F$1*(Detached!AH45-Savings_Detached!AH154)</f>
        <v>1.6984844610427692E-3</v>
      </c>
      <c r="AL50" s="556">
        <f>$F$1*(Detached!AI45-Savings_Detached!AI154)</f>
        <v>2.5928083340474571E-3</v>
      </c>
      <c r="AM50" s="556">
        <f>$F$1*(Detached!AJ45-Savings_Detached!AJ154)</f>
        <v>2.0091425110975321E-3</v>
      </c>
      <c r="AN50" s="556">
        <f>$F$1*(Detached!AK45-Savings_Detached!AK154)</f>
        <v>2.4268736571224745E-3</v>
      </c>
      <c r="AO50" s="556">
        <f>$F$1*(Detached!AL45-Savings_Detached!AL154)</f>
        <v>1.1208592309624778E-3</v>
      </c>
      <c r="AP50" s="556">
        <f>$F$1*(Detached!AM45-Savings_Detached!AM154)</f>
        <v>1.8475584966868748E-3</v>
      </c>
      <c r="AQ50" s="556">
        <f>$F$1*(Detached!AN45-Savings_Detached!AN154)</f>
        <v>1.8475584966868748E-3</v>
      </c>
      <c r="AT50" s="5" t="s">
        <v>326</v>
      </c>
    </row>
    <row r="51" spans="1:46">
      <c r="A51" s="5" t="str">
        <f t="shared" si="1"/>
        <v>\I:</v>
      </c>
      <c r="C51" s="5" t="str">
        <f t="shared" si="2"/>
        <v/>
      </c>
      <c r="E51" s="5" t="s">
        <v>623</v>
      </c>
    </row>
    <row r="52" spans="1:46">
      <c r="A52" s="5" t="str">
        <f t="shared" si="1"/>
        <v>\I:</v>
      </c>
      <c r="C52" s="5" t="str">
        <f t="shared" si="2"/>
        <v/>
      </c>
      <c r="E52" s="5" t="s">
        <v>623</v>
      </c>
    </row>
    <row r="53" spans="1:46">
      <c r="A53" s="135" t="str">
        <f t="shared" si="1"/>
        <v>\I:</v>
      </c>
      <c r="C53" s="5" t="str">
        <f t="shared" si="2"/>
        <v/>
      </c>
      <c r="E53" s="5" t="s">
        <v>623</v>
      </c>
      <c r="F53" s="135" t="s">
        <v>393</v>
      </c>
      <c r="G53" s="492">
        <f>G62*'Energy Efficiency Measures-DBT'!D37/'Energy Efficiency Measures-DBT'!D36</f>
        <v>71.179749866776916</v>
      </c>
      <c r="H53" s="492">
        <f>H62*'Energy Efficiency Measures-DBT'!E37/'Energy Efficiency Measures-DBT'!E36</f>
        <v>77.881362070970695</v>
      </c>
      <c r="I53" s="492">
        <f>I62*'Energy Efficiency Measures-DBT'!F37/'Energy Efficiency Measures-DBT'!F36</f>
        <v>39.237239744039137</v>
      </c>
      <c r="J53" s="492">
        <f>J62*'Energy Efficiency Measures-DBT'!G37/'Energy Efficiency Measures-DBT'!G36</f>
        <v>71.179749866776916</v>
      </c>
      <c r="K53" s="492">
        <f>K62*'Energy Efficiency Measures-DBT'!H37/'Energy Efficiency Measures-DBT'!H36</f>
        <v>79.471031193420302</v>
      </c>
      <c r="L53" s="492">
        <f>L62*'Energy Efficiency Measures-DBT'!I37/'Energy Efficiency Measures-DBT'!I36</f>
        <v>54.799530306813907</v>
      </c>
      <c r="M53" s="492">
        <f>M62*'Energy Efficiency Measures-DBT'!J37/'Energy Efficiency Measures-DBT'!J36</f>
        <v>79.801829186417805</v>
      </c>
      <c r="N53" s="492">
        <f>N62*'Energy Efficiency Measures-DBT'!K37/'Energy Efficiency Measures-DBT'!K36</f>
        <v>56.6612007734889</v>
      </c>
      <c r="O53" s="492">
        <f>O62*'Energy Efficiency Measures-DBT'!L37/'Energy Efficiency Measures-DBT'!L36</f>
        <v>35.027919614430196</v>
      </c>
      <c r="P53" s="492">
        <f>P62*'Energy Efficiency Measures-DBT'!M37/'Energy Efficiency Measures-DBT'!M36</f>
        <v>78.727412892191467</v>
      </c>
      <c r="Q53" s="492">
        <f>Q62*'Energy Efficiency Measures-DBT'!N37/'Energy Efficiency Measures-DBT'!N36</f>
        <v>64.688221867533699</v>
      </c>
      <c r="R53" s="492">
        <f>R62*'Energy Efficiency Measures-DBT'!O37/'Energy Efficiency Measures-DBT'!O36</f>
        <v>67.192190040386649</v>
      </c>
      <c r="S53" s="492">
        <f>S62*'Energy Efficiency Measures-DBT'!P37/'Energy Efficiency Measures-DBT'!P36</f>
        <v>79.471031193420302</v>
      </c>
      <c r="T53" s="492">
        <f>T62*'Energy Efficiency Measures-DBT'!Q37/'Energy Efficiency Measures-DBT'!Q36</f>
        <v>38.094838475520469</v>
      </c>
      <c r="U53" s="492">
        <f>U62*'Energy Efficiency Measures-DBT'!R37/'Energy Efficiency Measures-DBT'!R36</f>
        <v>33.816093941597828</v>
      </c>
      <c r="V53" s="492">
        <f>V62*'Energy Efficiency Measures-DBT'!S37/'Energy Efficiency Measures-DBT'!S36</f>
        <v>76.834675757138129</v>
      </c>
      <c r="W53" s="492">
        <f>W62*'Energy Efficiency Measures-DBT'!T37/'Energy Efficiency Measures-DBT'!T36</f>
        <v>64.688221867533699</v>
      </c>
      <c r="X53" s="492">
        <f>X62*'Energy Efficiency Measures-DBT'!U37/'Energy Efficiency Measures-DBT'!U36</f>
        <v>73.827212517112272</v>
      </c>
      <c r="Y53" s="492">
        <f>Y62*'Energy Efficiency Measures-DBT'!V37/'Energy Efficiency Measures-DBT'!V36</f>
        <v>33.324927228356941</v>
      </c>
      <c r="Z53" s="492">
        <f>Z62*'Energy Efficiency Measures-DBT'!W37/'Energy Efficiency Measures-DBT'!W36</f>
        <v>67.406224127235831</v>
      </c>
      <c r="AA53" s="492">
        <f>AA62*'Energy Efficiency Measures-DBT'!X37/'Energy Efficiency Measures-DBT'!X36</f>
        <v>33.40782870384772</v>
      </c>
      <c r="AB53" s="492">
        <f>AB62*'Energy Efficiency Measures-DBT'!Y37/'Energy Efficiency Measures-DBT'!Y36</f>
        <v>77.03304296599849</v>
      </c>
      <c r="AC53" s="492">
        <f>AC62*'Energy Efficiency Measures-DBT'!Z37/'Energy Efficiency Measures-DBT'!Z36</f>
        <v>77.679974474946619</v>
      </c>
      <c r="AD53" s="492">
        <f>AD62*'Energy Efficiency Measures-DBT'!AA37/'Energy Efficiency Measures-DBT'!AA36</f>
        <v>58.340761185602219</v>
      </c>
      <c r="AE53" s="492">
        <f>AE62*'Energy Efficiency Measures-DBT'!AB37/'Energy Efficiency Measures-DBT'!AB36</f>
        <v>33.368861546907226</v>
      </c>
      <c r="AF53" s="492">
        <f>AF62*'Energy Efficiency Measures-DBT'!AC37/'Energy Efficiency Measures-DBT'!AC36</f>
        <v>77.28432813215332</v>
      </c>
      <c r="AG53" s="492">
        <f>AG62*'Energy Efficiency Measures-DBT'!AD37/'Energy Efficiency Measures-DBT'!AD36</f>
        <v>37.299683110561297</v>
      </c>
      <c r="AH53" s="492">
        <f>AH62*'Energy Efficiency Measures-DBT'!AE37/'Energy Efficiency Measures-DBT'!AE36</f>
        <v>58.340761185602219</v>
      </c>
      <c r="AI53" s="492">
        <f>AI62*'Energy Efficiency Measures-DBT'!AF37/'Energy Efficiency Measures-DBT'!AF36</f>
        <v>33.477943218214662</v>
      </c>
      <c r="AJ53" s="492">
        <f>AJ62*'Energy Efficiency Measures-DBT'!AG37/'Energy Efficiency Measures-DBT'!AG36</f>
        <v>55.643301643540696</v>
      </c>
      <c r="AK53" s="492">
        <f>AK62*'Energy Efficiency Measures-DBT'!AH37/'Energy Efficiency Measures-DBT'!AH36</f>
        <v>89.083946269593469</v>
      </c>
      <c r="AL53" s="492">
        <f>AL62*'Energy Efficiency Measures-DBT'!AI37/'Energy Efficiency Measures-DBT'!AI36</f>
        <v>34.05901336860871</v>
      </c>
      <c r="AM53" s="492">
        <f>AM62*'Energy Efficiency Measures-DBT'!AJ37/'Energy Efficiency Measures-DBT'!AJ36</f>
        <v>38.094838475520469</v>
      </c>
      <c r="AN53" s="492">
        <f>AN62*'Energy Efficiency Measures-DBT'!AK37/'Energy Efficiency Measures-DBT'!AK36</f>
        <v>34.05901336860871</v>
      </c>
      <c r="AO53" s="492">
        <f>AO62*'Energy Efficiency Measures-DBT'!AL37/'Energy Efficiency Measures-DBT'!AL36</f>
        <v>38.094838475520469</v>
      </c>
      <c r="AP53" s="492">
        <f>AP62*'Energy Efficiency Measures-DBT'!AM37/'Energy Efficiency Measures-DBT'!AM36</f>
        <v>38.094838475520469</v>
      </c>
      <c r="AQ53" s="492">
        <f>AQ62*'Energy Efficiency Measures-DBT'!AN37/'Energy Efficiency Measures-DBT'!AN36</f>
        <v>38.094838475520469</v>
      </c>
    </row>
    <row r="54" spans="1:46">
      <c r="A54" s="135" t="str">
        <f t="shared" si="1"/>
        <v>\I:</v>
      </c>
      <c r="C54" s="5" t="str">
        <f t="shared" si="2"/>
        <v/>
      </c>
      <c r="E54" s="5" t="s">
        <v>412</v>
      </c>
      <c r="F54" s="135" t="s">
        <v>624</v>
      </c>
      <c r="G54" s="214">
        <f>G53*Detached!D4</f>
        <v>10662.059219888182</v>
      </c>
      <c r="H54" s="214">
        <f>H53*Detached!E4</f>
        <v>11089.738106425028</v>
      </c>
      <c r="I54" s="214">
        <f>I53*Detached!F4</f>
        <v>3119.7552372363866</v>
      </c>
      <c r="J54" s="214">
        <f>J53*Detached!G4</f>
        <v>10662.059219888182</v>
      </c>
      <c r="K54" s="214">
        <f>K53*Detached!H4</f>
        <v>9089.8206530686257</v>
      </c>
      <c r="L54" s="214">
        <f>L53*Detached!I4</f>
        <v>6839.8868075298697</v>
      </c>
      <c r="M54" s="214">
        <f>M53*Detached!J4</f>
        <v>10710.07401664128</v>
      </c>
      <c r="N54" s="214">
        <f>N53*Detached!K4</f>
        <v>9469.5031792693317</v>
      </c>
      <c r="O54" s="214">
        <f>O53*Detached!L4</f>
        <v>3734.3814163583993</v>
      </c>
      <c r="P54" s="214">
        <f>P53*Detached!M4</f>
        <v>10920.302076407084</v>
      </c>
      <c r="Q54" s="214">
        <f>Q53*Detached!N4</f>
        <v>7843.4469014384613</v>
      </c>
      <c r="R54" s="214">
        <f>R53*Detached!O4</f>
        <v>9375.4051431682092</v>
      </c>
      <c r="S54" s="214">
        <f>S53*Detached!P4</f>
        <v>9089.8206530686257</v>
      </c>
      <c r="T54" s="214">
        <f>T53*Detached!Q4</f>
        <v>3274.3032235698588</v>
      </c>
      <c r="U54" s="214">
        <f>U53*Detached!R4</f>
        <v>3937.4236488398174</v>
      </c>
      <c r="V54" s="214">
        <f>V53*Detached!S4</f>
        <v>11304.287552397278</v>
      </c>
      <c r="W54" s="214">
        <f>W53*Detached!T4</f>
        <v>7843.4469014384613</v>
      </c>
      <c r="X54" s="214">
        <f>X53*Detached!U4</f>
        <v>10123.55651640902</v>
      </c>
      <c r="Y54" s="214">
        <f>Y53*Detached!V4</f>
        <v>4023.6629607147565</v>
      </c>
      <c r="Z54" s="214">
        <f>Z53*Detached!W4</f>
        <v>7376.4827662762909</v>
      </c>
      <c r="AA54" s="214">
        <f>AA53*Detached!X4</f>
        <v>4008.9394444617265</v>
      </c>
      <c r="AB54" s="214">
        <f>AB53*Detached!Y4</f>
        <v>9518.7795737879806</v>
      </c>
      <c r="AC54" s="214">
        <f>AC53*Detached!Z4</f>
        <v>11130.588762572534</v>
      </c>
      <c r="AD54" s="214">
        <f>AD53*Detached!AA4</f>
        <v>9093.8661498057463</v>
      </c>
      <c r="AE54" s="214">
        <f>AE53*Detached!AB4</f>
        <v>4015.8515153114922</v>
      </c>
      <c r="AF54" s="214">
        <f>AF53*Detached!AC4</f>
        <v>11211.436736089159</v>
      </c>
      <c r="AG54" s="214">
        <f>AG53*Detached!AD4</f>
        <v>3386.91296132465</v>
      </c>
      <c r="AH54" s="214">
        <f>AH53*Detached!AE4</f>
        <v>9093.8661498057463</v>
      </c>
      <c r="AI54" s="214">
        <f>AI53*Detached!AF4</f>
        <v>3996.5406184458598</v>
      </c>
      <c r="AJ54" s="214">
        <f>AJ53*Detached!AG4</f>
        <v>6688.0216015596343</v>
      </c>
      <c r="AK54" s="214">
        <f>AK53*Detached!AH4</f>
        <v>9094.3573647971243</v>
      </c>
      <c r="AL54" s="214">
        <f>AL53*Detached!AI4</f>
        <v>3895.6374227436972</v>
      </c>
      <c r="AM54" s="214">
        <f>AM53*Detached!AJ4</f>
        <v>3274.3032235698588</v>
      </c>
      <c r="AN54" s="214">
        <f>AN53*Detached!AK4</f>
        <v>3895.6374227436972</v>
      </c>
      <c r="AO54" s="214">
        <f>AO53*Detached!AL4</f>
        <v>3274.3032235698588</v>
      </c>
      <c r="AP54" s="214">
        <f>AP53*Detached!AM4</f>
        <v>3274.3032235698588</v>
      </c>
      <c r="AQ54" s="214">
        <f>AQ53*Detached!AN4</f>
        <v>3274.3032235698588</v>
      </c>
    </row>
    <row r="55" spans="1:46">
      <c r="A55" s="5" t="str">
        <f t="shared" si="1"/>
        <v>OUTPUT</v>
      </c>
      <c r="B55" s="5" t="s">
        <v>616</v>
      </c>
      <c r="C55" s="5" t="str">
        <f t="shared" si="2"/>
        <v>Bldg_DETPre45-Wal</v>
      </c>
      <c r="D55" s="5" t="s">
        <v>302</v>
      </c>
      <c r="E55" s="5" t="s">
        <v>412</v>
      </c>
      <c r="F55" s="5" t="s">
        <v>606</v>
      </c>
      <c r="G55" s="556">
        <f>$F$1*(Detached!D40-Savings_Detached!D182)</f>
        <v>3.5072735151696843E-2</v>
      </c>
      <c r="H55" s="556">
        <f>$F$1*(Detached!E40-Savings_Detached!E182)</f>
        <v>3.268204602007338E-2</v>
      </c>
      <c r="I55" s="556">
        <f>$F$1*(Detached!F40-Savings_Detached!F182)</f>
        <v>1.808024376819653E-2</v>
      </c>
      <c r="J55" s="556">
        <f>$F$1*(Detached!G40-Savings_Detached!G182)</f>
        <v>3.4169911527198782E-2</v>
      </c>
      <c r="K55" s="556">
        <f>$F$1*(Detached!H40-Savings_Detached!H182)</f>
        <v>8.6663677638318323E-3</v>
      </c>
      <c r="L55" s="556">
        <f>$F$1*(Detached!I40-Savings_Detached!I182)</f>
        <v>1.3340250121847559E-2</v>
      </c>
      <c r="M55" s="556">
        <f>$F$1*(Detached!J40-Savings_Detached!J182)</f>
        <v>3.3682362280023269E-2</v>
      </c>
      <c r="N55" s="556">
        <f>$F$1*(Detached!K40-Savings_Detached!K182)</f>
        <v>1.6766597507163594E-2</v>
      </c>
      <c r="O55" s="556">
        <f>$F$1*(Detached!L40-Savings_Detached!L182)</f>
        <v>6.8441320572729574E-3</v>
      </c>
      <c r="P55" s="556">
        <f>$F$1*(Detached!M40-Savings_Detached!M182)</f>
        <v>2.9264981124908922E-2</v>
      </c>
      <c r="Q55" s="556">
        <f>$F$1*(Detached!N40-Savings_Detached!N182)</f>
        <v>1.3838609116813682E-2</v>
      </c>
      <c r="R55" s="556">
        <f>$F$1*(Detached!O40-Savings_Detached!O182)</f>
        <v>3.942640661798763E-2</v>
      </c>
      <c r="S55" s="556">
        <f>$F$1*(Detached!P40-Savings_Detached!P182)</f>
        <v>1.954723046806689E-2</v>
      </c>
      <c r="T55" s="556">
        <f>$F$1*(Detached!Q40-Savings_Detached!Q182)</f>
        <v>1.3357721155938264E-2</v>
      </c>
      <c r="U55" s="556">
        <f>$F$1*(Detached!R40-Savings_Detached!R182)</f>
        <v>2.5335535883728777E-2</v>
      </c>
      <c r="V55" s="556">
        <f>$F$1*(Detached!S40-Savings_Detached!S182)</f>
        <v>3.0457176725829552E-2</v>
      </c>
      <c r="W55" s="556">
        <f>$F$1*(Detached!T40-Savings_Detached!T182)</f>
        <v>1.1771097259019649E-2</v>
      </c>
      <c r="X55" s="556">
        <f>$F$1*(Detached!U40-Savings_Detached!U182)</f>
        <v>2.0679477650472167E-2</v>
      </c>
      <c r="Y55" s="556">
        <f>$F$1*(Detached!V40-Savings_Detached!V182)</f>
        <v>1.9463744501594032E-2</v>
      </c>
      <c r="Z55" s="556">
        <f>$F$1*(Detached!W40-Savings_Detached!W182)</f>
        <v>1.3521368110538997E-2</v>
      </c>
      <c r="AA55" s="556">
        <f>$F$1*(Detached!X40-Savings_Detached!X182)</f>
        <v>2.011451144751894E-2</v>
      </c>
      <c r="AB55" s="556">
        <f>$F$1*(Detached!Y40-Savings_Detached!Y182)</f>
        <v>9.2314207202348134E-3</v>
      </c>
      <c r="AC55" s="556">
        <f>$F$1*(Detached!Z40-Savings_Detached!Z182)</f>
        <v>3.244195233048329E-2</v>
      </c>
      <c r="AD55" s="556">
        <f>$F$1*(Detached!AA40-Savings_Detached!AA182)</f>
        <v>1.1326347747502687E-2</v>
      </c>
      <c r="AE55" s="556">
        <f>$F$1*(Detached!AB40-Savings_Detached!AB182)</f>
        <v>3.4963161908193152E-2</v>
      </c>
      <c r="AF55" s="556">
        <f>$F$1*(Detached!AC40-Savings_Detached!AC182)</f>
        <v>1.5770093679278785E-2</v>
      </c>
      <c r="AG55" s="556">
        <f>$F$1*(Detached!AD40-Savings_Detached!AD182)</f>
        <v>2.7935805606522986E-2</v>
      </c>
      <c r="AH55" s="556">
        <f>$F$1*(Detached!AE40-Savings_Detached!AE182)</f>
        <v>1.0921118869536773E-2</v>
      </c>
      <c r="AI55" s="556">
        <f>$F$1*(Detached!AF40-Savings_Detached!AF182)</f>
        <v>2.2604188483164048E-2</v>
      </c>
      <c r="AJ55" s="556">
        <f>$F$1*(Detached!AG40-Savings_Detached!AG182)</f>
        <v>2.6636394701628492E-2</v>
      </c>
      <c r="AK55" s="556">
        <f>$F$1*(Detached!AH40-Savings_Detached!AH182)</f>
        <v>2.7268534110091804E-2</v>
      </c>
      <c r="AL55" s="556">
        <f>$F$1*(Detached!AI40-Savings_Detached!AI182)</f>
        <v>1.954723046806689E-2</v>
      </c>
      <c r="AM55" s="556">
        <f>$F$1*(Detached!AJ40-Savings_Detached!AJ182)</f>
        <v>1.8107546392775772E-2</v>
      </c>
      <c r="AN55" s="556">
        <f>$F$1*(Detached!AK40-Savings_Detached!AK182)</f>
        <v>1.9511293266594298E-2</v>
      </c>
      <c r="AO55" s="556">
        <f>$F$1*(Detached!AL40-Savings_Detached!AL182)</f>
        <v>1.9074866289986767E-2</v>
      </c>
      <c r="AP55" s="556">
        <f>$F$1*(Detached!AM40-Savings_Detached!AM182)</f>
        <v>1.6651258438531321E-2</v>
      </c>
      <c r="AQ55" s="556">
        <f>$F$1*(Detached!AN40-Savings_Detached!AN182)</f>
        <v>1.6651258438531321E-2</v>
      </c>
      <c r="AT55" s="5" t="s">
        <v>412</v>
      </c>
    </row>
    <row r="56" spans="1:46">
      <c r="A56" s="5" t="str">
        <f t="shared" si="1"/>
        <v>OUTPUT</v>
      </c>
      <c r="B56" s="5" t="s">
        <v>616</v>
      </c>
      <c r="C56" s="5" t="str">
        <f t="shared" si="2"/>
        <v>Bldg_DETPre69-Wal</v>
      </c>
      <c r="D56" s="5" t="s">
        <v>302</v>
      </c>
      <c r="E56" s="5" t="s">
        <v>413</v>
      </c>
      <c r="F56" s="5" t="s">
        <v>606</v>
      </c>
      <c r="G56" s="556">
        <f>$F$1*(Detached!D41-Savings_Detached!D183)</f>
        <v>2.7080180866117787E-2</v>
      </c>
      <c r="H56" s="556">
        <f>$F$1*(Detached!E41-Savings_Detached!E183)</f>
        <v>3.268204602007338E-2</v>
      </c>
      <c r="I56" s="556">
        <f>$F$1*(Detached!F41-Savings_Detached!F183)</f>
        <v>1.808024376819653E-2</v>
      </c>
      <c r="J56" s="556">
        <f>$F$1*(Detached!G41-Savings_Detached!G183)</f>
        <v>2.6383097307169041E-2</v>
      </c>
      <c r="K56" s="556">
        <f>$F$1*(Detached!H41-Savings_Detached!H183)</f>
        <v>6.8650582810479283E-3</v>
      </c>
      <c r="L56" s="556">
        <f>$F$1*(Detached!I41-Savings_Detached!I183)</f>
        <v>1.2763308157807355E-2</v>
      </c>
      <c r="M56" s="556">
        <f>$F$1*(Detached!J41-Savings_Detached!J183)</f>
        <v>2.2786371063787024E-2</v>
      </c>
      <c r="N56" s="556">
        <f>$F$1*(Detached!K41-Savings_Detached!K183)</f>
        <v>1.7035461558605924E-2</v>
      </c>
      <c r="O56" s="556">
        <f>$F$1*(Detached!L41-Savings_Detached!L183)</f>
        <v>6.8441320572729574E-3</v>
      </c>
      <c r="P56" s="556">
        <f>$F$1*(Detached!M41-Savings_Detached!M183)</f>
        <v>2.4021045109916671E-2</v>
      </c>
      <c r="Q56" s="556">
        <f>$F$1*(Detached!N41-Savings_Detached!N183)</f>
        <v>1.2593637573971273E-2</v>
      </c>
      <c r="R56" s="556">
        <f>$F$1*(Detached!O41-Savings_Detached!O183)</f>
        <v>3.942640661798763E-2</v>
      </c>
      <c r="S56" s="556">
        <f>$F$1*(Detached!P41-Savings_Detached!P183)</f>
        <v>1.954723046806689E-2</v>
      </c>
      <c r="T56" s="556">
        <f>$F$1*(Detached!Q41-Savings_Detached!Q183)</f>
        <v>1.59018396910185E-2</v>
      </c>
      <c r="U56" s="556">
        <f>$F$1*(Detached!R41-Savings_Detached!R183)</f>
        <v>2.5335535883728777E-2</v>
      </c>
      <c r="V56" s="556">
        <f>$F$1*(Detached!S41-Savings_Detached!S183)</f>
        <v>3.0368472167115936E-2</v>
      </c>
      <c r="W56" s="556">
        <f>$F$1*(Detached!T41-Savings_Detached!T183)</f>
        <v>1.0712126592834381E-2</v>
      </c>
      <c r="X56" s="556">
        <f>$F$1*(Detached!U41-Savings_Detached!U183)</f>
        <v>1.7814128080692288E-2</v>
      </c>
      <c r="Y56" s="556">
        <f>$F$1*(Detached!V41-Savings_Detached!V183)</f>
        <v>1.9463744501594032E-2</v>
      </c>
      <c r="Z56" s="556">
        <f>$F$1*(Detached!W41-Savings_Detached!W183)</f>
        <v>2.533447934713846E-2</v>
      </c>
      <c r="AA56" s="556">
        <f>$F$1*(Detached!X41-Savings_Detached!X183)</f>
        <v>2.0174826558689508E-2</v>
      </c>
      <c r="AB56" s="556">
        <f>$F$1*(Detached!Y41-Savings_Detached!Y183)</f>
        <v>9.2340975434233741E-3</v>
      </c>
      <c r="AC56" s="556">
        <f>$F$1*(Detached!Z41-Savings_Detached!Z183)</f>
        <v>2.6835014605407902E-2</v>
      </c>
      <c r="AD56" s="556">
        <f>$F$1*(Detached!AA41-Savings_Detached!AA183)</f>
        <v>1.1336788458143832E-2</v>
      </c>
      <c r="AE56" s="556">
        <f>$F$1*(Detached!AB41-Savings_Detached!AB183)</f>
        <v>2.2761018677672124E-2</v>
      </c>
      <c r="AF56" s="556">
        <f>$F$1*(Detached!AC41-Savings_Detached!AC183)</f>
        <v>1.0905036759903657E-2</v>
      </c>
      <c r="AG56" s="556">
        <f>$F$1*(Detached!AD41-Savings_Detached!AD183)</f>
        <v>2.4534369811799326E-2</v>
      </c>
      <c r="AH56" s="556">
        <f>$F$1*(Detached!AE41-Savings_Detached!AE183)</f>
        <v>1.0931186037218406E-2</v>
      </c>
      <c r="AI56" s="556">
        <f>$F$1*(Detached!AF41-Savings_Detached!AF183)</f>
        <v>2.2604188483164048E-2</v>
      </c>
      <c r="AJ56" s="556">
        <f>$F$1*(Detached!AG41-Savings_Detached!AG183)</f>
        <v>2.0109962483931702E-2</v>
      </c>
      <c r="AK56" s="556">
        <f>$F$1*(Detached!AH41-Savings_Detached!AH183)</f>
        <v>3.0424232390439121E-2</v>
      </c>
      <c r="AL56" s="556">
        <f>$F$1*(Detached!AI41-Savings_Detached!AI183)</f>
        <v>1.954723046806689E-2</v>
      </c>
      <c r="AM56" s="556">
        <f>$F$1*(Detached!AJ41-Savings_Detached!AJ183)</f>
        <v>1.8107546392775772E-2</v>
      </c>
      <c r="AN56" s="556">
        <f>$F$1*(Detached!AK41-Savings_Detached!AK183)</f>
        <v>1.9511293266594298E-2</v>
      </c>
      <c r="AO56" s="556">
        <f>$F$1*(Detached!AL41-Savings_Detached!AL183)</f>
        <v>1.9074866289986767E-2</v>
      </c>
      <c r="AP56" s="556">
        <f>$F$1*(Detached!AM41-Savings_Detached!AM183)</f>
        <v>1.6651258438531321E-2</v>
      </c>
      <c r="AQ56" s="556">
        <f>$F$1*(Detached!AN41-Savings_Detached!AN183)</f>
        <v>1.6651258438531321E-2</v>
      </c>
      <c r="AT56" s="5" t="s">
        <v>413</v>
      </c>
    </row>
    <row r="57" spans="1:46">
      <c r="A57" s="5" t="str">
        <f t="shared" si="1"/>
        <v>OUTPUT</v>
      </c>
      <c r="B57" s="5" t="s">
        <v>616</v>
      </c>
      <c r="C57" s="5" t="str">
        <f t="shared" si="2"/>
        <v>Bldg_DETPre79-Wal</v>
      </c>
      <c r="D57" s="5" t="s">
        <v>302</v>
      </c>
      <c r="E57" s="5" t="s">
        <v>414</v>
      </c>
      <c r="F57" s="5" t="s">
        <v>606</v>
      </c>
      <c r="G57" s="556">
        <f>$F$1*(Detached!D42-Savings_Detached!D184)</f>
        <v>1.9976036506347945E-2</v>
      </c>
      <c r="H57" s="556">
        <f>$F$1*(Detached!E42-Savings_Detached!E184)</f>
        <v>3.268204602007338E-2</v>
      </c>
      <c r="I57" s="556">
        <f>$F$1*(Detached!F42-Savings_Detached!F184)</f>
        <v>1.6436220051566593E-2</v>
      </c>
      <c r="J57" s="556">
        <f>$F$1*(Detached!G42-Savings_Detached!G184)</f>
        <v>1.946182403892098E-2</v>
      </c>
      <c r="K57" s="556">
        <f>$F$1*(Detached!H42-Savings_Detached!H184)</f>
        <v>4.9855653760407471E-3</v>
      </c>
      <c r="L57" s="556">
        <f>$F$1*(Detached!I42-Savings_Detached!I184)</f>
        <v>1.2763308157807355E-2</v>
      </c>
      <c r="M57" s="556">
        <f>$F$1*(Detached!J42-Savings_Detached!J184)</f>
        <v>1.0849529183315703E-2</v>
      </c>
      <c r="N57" s="556">
        <f>$F$1*(Detached!K42-Savings_Detached!K184)</f>
        <v>7.6677475735444653E-3</v>
      </c>
      <c r="O57" s="556">
        <f>$F$1*(Detached!L42-Savings_Detached!L184)</f>
        <v>3.8399792197399809E-3</v>
      </c>
      <c r="P57" s="556">
        <f>$F$1*(Detached!M42-Savings_Detached!M184)</f>
        <v>2.4021045109916671E-2</v>
      </c>
      <c r="Q57" s="556">
        <f>$F$1*(Detached!N42-Savings_Detached!N184)</f>
        <v>7.6594373456360292E-3</v>
      </c>
      <c r="R57" s="556">
        <f>$F$1*(Detached!O42-Savings_Detached!O184)</f>
        <v>1.3063976889701654E-2</v>
      </c>
      <c r="S57" s="556">
        <f>$F$1*(Detached!P42-Savings_Detached!P184)</f>
        <v>1.954723046806689E-2</v>
      </c>
      <c r="T57" s="556">
        <f>$F$1*(Detached!Q42-Savings_Detached!Q184)</f>
        <v>1.3640260418835743E-2</v>
      </c>
      <c r="U57" s="556">
        <f>$F$1*(Detached!R42-Savings_Detached!R184)</f>
        <v>1.9496904469473435E-2</v>
      </c>
      <c r="V57" s="556">
        <f>$F$1*(Detached!S42-Savings_Detached!S184)</f>
        <v>3.1333931246337973E-2</v>
      </c>
      <c r="W57" s="556">
        <f>$F$1*(Detached!T42-Savings_Detached!T184)</f>
        <v>6.5151043131427165E-3</v>
      </c>
      <c r="X57" s="556">
        <f>$F$1*(Detached!U42-Savings_Detached!U184)</f>
        <v>1.8054338891295773E-2</v>
      </c>
      <c r="Y57" s="556">
        <f>$F$1*(Detached!V42-Savings_Detached!V184)</f>
        <v>8.2947150881838953E-3</v>
      </c>
      <c r="Z57" s="556">
        <f>$F$1*(Detached!W42-Savings_Detached!W184)</f>
        <v>7.2727747869970596E-3</v>
      </c>
      <c r="AA57" s="556">
        <f>$F$1*(Detached!X42-Savings_Detached!X184)</f>
        <v>1.7499984472384236E-2</v>
      </c>
      <c r="AB57" s="556">
        <f>$F$1*(Detached!Y42-Savings_Detached!Y184)</f>
        <v>5.2264223767689065E-3</v>
      </c>
      <c r="AC57" s="556">
        <f>$F$1*(Detached!Z42-Savings_Detached!Z184)</f>
        <v>2.7018026117080485E-2</v>
      </c>
      <c r="AD57" s="556">
        <f>$F$1*(Detached!AA42-Savings_Detached!AA184)</f>
        <v>3.95110693585091E-3</v>
      </c>
      <c r="AE57" s="556">
        <f>$F$1*(Detached!AB42-Savings_Detached!AB184)</f>
        <v>1.1193668429059958E-2</v>
      </c>
      <c r="AF57" s="556">
        <f>$F$1*(Detached!AC42-Savings_Detached!AC184)</f>
        <v>1.0944700916371666E-2</v>
      </c>
      <c r="AG57" s="556">
        <f>$F$1*(Detached!AD42-Savings_Detached!AD184)</f>
        <v>2.4534369811799326E-2</v>
      </c>
      <c r="AH57" s="556">
        <f>$F$1*(Detached!AE42-Savings_Detached!AE184)</f>
        <v>3.8097460429990272E-3</v>
      </c>
      <c r="AI57" s="556">
        <f>$F$1*(Detached!AF42-Savings_Detached!AF184)</f>
        <v>2.3039329269030445E-2</v>
      </c>
      <c r="AJ57" s="556">
        <f>$F$1*(Detached!AG42-Savings_Detached!AG184)</f>
        <v>2.0109962483931702E-2</v>
      </c>
      <c r="AK57" s="556">
        <f>$F$1*(Detached!AH42-Savings_Detached!AH184)</f>
        <v>2.4024457757548509E-2</v>
      </c>
      <c r="AL57" s="556">
        <f>$F$1*(Detached!AI42-Savings_Detached!AI184)</f>
        <v>1.954723046806689E-2</v>
      </c>
      <c r="AM57" s="556">
        <f>$F$1*(Detached!AJ42-Savings_Detached!AJ184)</f>
        <v>1.8107546392775772E-2</v>
      </c>
      <c r="AN57" s="556">
        <f>$F$1*(Detached!AK42-Savings_Detached!AK184)</f>
        <v>1.9511293266594298E-2</v>
      </c>
      <c r="AO57" s="556">
        <f>$F$1*(Detached!AL42-Savings_Detached!AL184)</f>
        <v>1.7343172315107333E-2</v>
      </c>
      <c r="AP57" s="556">
        <f>$F$1*(Detached!AM42-Savings_Detached!AM184)</f>
        <v>1.6651258438531321E-2</v>
      </c>
      <c r="AQ57" s="556">
        <f>$F$1*(Detached!AN42-Savings_Detached!AN184)</f>
        <v>1.6651258438531321E-2</v>
      </c>
      <c r="AT57" s="5" t="s">
        <v>414</v>
      </c>
    </row>
    <row r="58" spans="1:46">
      <c r="A58" s="5" t="str">
        <f t="shared" si="1"/>
        <v>OUTPUT</v>
      </c>
      <c r="B58" s="5" t="s">
        <v>616</v>
      </c>
      <c r="C58" s="5" t="str">
        <f t="shared" si="2"/>
        <v>Bldg_DETPre89-Wal</v>
      </c>
      <c r="D58" s="5" t="s">
        <v>302</v>
      </c>
      <c r="E58" s="5" t="s">
        <v>415</v>
      </c>
      <c r="F58" s="5" t="s">
        <v>606</v>
      </c>
      <c r="G58" s="556">
        <f>$F$1*(Detached!D43-Savings_Detached!D185)</f>
        <v>1.1162900924614463E-2</v>
      </c>
      <c r="H58" s="556">
        <f>$F$1*(Detached!E43-Savings_Detached!E185)</f>
        <v>2.6668001167253295E-2</v>
      </c>
      <c r="I58" s="556">
        <f>$F$1*(Detached!F43-Savings_Detached!F185)</f>
        <v>1.246389292865804E-2</v>
      </c>
      <c r="J58" s="556">
        <f>$F$1*(Detached!G43-Savings_Detached!G185)</f>
        <v>1.0875551488390481E-2</v>
      </c>
      <c r="K58" s="556">
        <f>$F$1*(Detached!H43-Savings_Detached!H185)</f>
        <v>5.0132219638068867E-3</v>
      </c>
      <c r="L58" s="556">
        <f>$F$1*(Detached!I43-Savings_Detached!I185)</f>
        <v>1.0608545786522402E-2</v>
      </c>
      <c r="M58" s="556">
        <f>$F$1*(Detached!J43-Savings_Detached!J185)</f>
        <v>9.488222536029451E-3</v>
      </c>
      <c r="N58" s="556">
        <f>$F$1*(Detached!K43-Savings_Detached!K185)</f>
        <v>4.5057625736808094E-3</v>
      </c>
      <c r="O58" s="556">
        <f>$F$1*(Detached!L43-Savings_Detached!L185)</f>
        <v>2.5953288830722083E-3</v>
      </c>
      <c r="P58" s="556">
        <f>$F$1*(Detached!M43-Savings_Detached!M185)</f>
        <v>1.793783178583316E-2</v>
      </c>
      <c r="Q58" s="556">
        <f>$F$1*(Detached!N43-Savings_Detached!N185)</f>
        <v>4.3565106351887949E-3</v>
      </c>
      <c r="R58" s="556">
        <f>$F$1*(Detached!O43-Savings_Detached!O185)</f>
        <v>1.0367402941926061E-2</v>
      </c>
      <c r="S58" s="556">
        <f>$F$1*(Detached!P43-Savings_Detached!P185)</f>
        <v>1.9662035721402168E-2</v>
      </c>
      <c r="T58" s="556">
        <f>$F$1*(Detached!Q43-Savings_Detached!Q185)</f>
        <v>1.3640260418835743E-2</v>
      </c>
      <c r="U58" s="556">
        <f>$F$1*(Detached!R43-Savings_Detached!R185)</f>
        <v>1.0101705514596675E-2</v>
      </c>
      <c r="V58" s="556">
        <f>$F$1*(Detached!S43-Savings_Detached!S185)</f>
        <v>1.8502449030464316E-2</v>
      </c>
      <c r="W58" s="556">
        <f>$F$1*(Detached!T43-Savings_Detached!T185)</f>
        <v>3.7056404992648626E-3</v>
      </c>
      <c r="X58" s="556">
        <f>$F$1*(Detached!U43-Savings_Detached!U185)</f>
        <v>9.8046725864590258E-3</v>
      </c>
      <c r="Y58" s="556">
        <f>$F$1*(Detached!V43-Savings_Detached!V185)</f>
        <v>8.2947150881838953E-3</v>
      </c>
      <c r="Z58" s="556">
        <f>$F$1*(Detached!W43-Savings_Detached!W185)</f>
        <v>6.568441075016019E-3</v>
      </c>
      <c r="AA58" s="556">
        <f>$F$1*(Detached!X43-Savings_Detached!X185)</f>
        <v>7.7438383323693832E-3</v>
      </c>
      <c r="AB58" s="556">
        <f>$F$1*(Detached!Y43-Savings_Detached!Y185)</f>
        <v>5.3114634224048904E-3</v>
      </c>
      <c r="AC58" s="556">
        <f>$F$1*(Detached!Z43-Savings_Detached!Z185)</f>
        <v>6.9644656951068432E-3</v>
      </c>
      <c r="AD58" s="556">
        <f>$F$1*(Detached!AA43-Savings_Detached!AA185)</f>
        <v>3.9630610634607318E-3</v>
      </c>
      <c r="AE58" s="556">
        <f>$F$1*(Detached!AB43-Savings_Detached!AB185)</f>
        <v>1.1193668429059958E-2</v>
      </c>
      <c r="AF58" s="556">
        <f>$F$1*(Detached!AC43-Savings_Detached!AC185)</f>
        <v>1.0001653427577367E-2</v>
      </c>
      <c r="AG58" s="556">
        <f>$F$1*(Detached!AD43-Savings_Detached!AD185)</f>
        <v>1.7466115083181341E-2</v>
      </c>
      <c r="AH58" s="556">
        <f>$F$1*(Detached!AE43-Savings_Detached!AE185)</f>
        <v>3.8212724813107045E-3</v>
      </c>
      <c r="AI58" s="556">
        <f>$F$1*(Detached!AF43-Savings_Detached!AF185)</f>
        <v>1.2825793749628823E-2</v>
      </c>
      <c r="AJ58" s="556">
        <f>$F$1*(Detached!AG43-Savings_Detached!AG185)</f>
        <v>1.5974630498820089E-2</v>
      </c>
      <c r="AK58" s="556">
        <f>$F$1*(Detached!AH43-Savings_Detached!AH185)</f>
        <v>6.3100161521825026E-3</v>
      </c>
      <c r="AL58" s="556">
        <f>$F$1*(Detached!AI43-Savings_Detached!AI185)</f>
        <v>1.9662035721402168E-2</v>
      </c>
      <c r="AM58" s="556">
        <f>$F$1*(Detached!AJ43-Savings_Detached!AJ185)</f>
        <v>1.4244128397197733E-2</v>
      </c>
      <c r="AN58" s="556">
        <f>$F$1*(Detached!AK43-Savings_Detached!AK185)</f>
        <v>1.5373807708491101E-2</v>
      </c>
      <c r="AO58" s="556">
        <f>$F$1*(Detached!AL43-Savings_Detached!AL185)</f>
        <v>1.3156814169338378E-2</v>
      </c>
      <c r="AP58" s="556">
        <f>$F$1*(Detached!AM43-Savings_Detached!AM185)</f>
        <v>1.3098553389209559E-2</v>
      </c>
      <c r="AQ58" s="556">
        <f>$F$1*(Detached!AN43-Savings_Detached!AN185)</f>
        <v>1.3098553389209559E-2</v>
      </c>
      <c r="AT58" s="5" t="s">
        <v>415</v>
      </c>
    </row>
    <row r="59" spans="1:46">
      <c r="A59" s="5" t="str">
        <f t="shared" si="1"/>
        <v>OUTPUT</v>
      </c>
      <c r="B59" s="5" t="s">
        <v>616</v>
      </c>
      <c r="C59" s="5" t="str">
        <f t="shared" si="2"/>
        <v>Bldg_DETPre99-Wal</v>
      </c>
      <c r="D59" s="5" t="s">
        <v>302</v>
      </c>
      <c r="E59" s="5" t="s">
        <v>416</v>
      </c>
      <c r="F59" s="5" t="s">
        <v>606</v>
      </c>
      <c r="G59" s="556">
        <f>$F$1*(Detached!D44-Savings_Detached!D186)</f>
        <v>7.557194160247983E-3</v>
      </c>
      <c r="H59" s="556">
        <f>$F$1*(Detached!E44-Savings_Detached!E186)</f>
        <v>2.6668001167253295E-2</v>
      </c>
      <c r="I59" s="556">
        <f>$F$1*(Detached!F44-Savings_Detached!F186)</f>
        <v>9.0645557789814334E-3</v>
      </c>
      <c r="J59" s="556">
        <f>$F$1*(Detached!G44-Savings_Detached!G186)</f>
        <v>7.3626609026254891E-3</v>
      </c>
      <c r="K59" s="556">
        <f>$F$1*(Detached!H44-Savings_Detached!H186)</f>
        <v>5.1796489179617893E-3</v>
      </c>
      <c r="L59" s="556">
        <f>$F$1*(Detached!I44-Savings_Detached!I186)</f>
        <v>5.4985303536473282E-3</v>
      </c>
      <c r="M59" s="556">
        <f>$F$1*(Detached!J44-Savings_Detached!J186)</f>
        <v>2.5225944203661112E-3</v>
      </c>
      <c r="N59" s="556">
        <f>$F$1*(Detached!K44-Savings_Detached!K186)</f>
        <v>4.5057625736808094E-3</v>
      </c>
      <c r="O59" s="556">
        <f>$F$1*(Detached!L44-Savings_Detached!L186)</f>
        <v>2.1309628064372418E-3</v>
      </c>
      <c r="P59" s="556">
        <f>$F$1*(Detached!M44-Savings_Detached!M186)</f>
        <v>1.793783178583316E-2</v>
      </c>
      <c r="Q59" s="556">
        <f>$F$1*(Detached!N44-Savings_Detached!N186)</f>
        <v>4.2328399212571395E-3</v>
      </c>
      <c r="R59" s="556">
        <f>$F$1*(Detached!O44-Savings_Detached!O186)</f>
        <v>3.5261829084689772E-3</v>
      </c>
      <c r="S59" s="556">
        <f>$F$1*(Detached!P44-Savings_Detached!P186)</f>
        <v>1.9662035721402168E-2</v>
      </c>
      <c r="T59" s="556">
        <f>$F$1*(Detached!Q44-Savings_Detached!Q186)</f>
        <v>7.7263957830011618E-3</v>
      </c>
      <c r="U59" s="556">
        <f>$F$1*(Detached!R44-Savings_Detached!R186)</f>
        <v>1.0101705514596675E-2</v>
      </c>
      <c r="V59" s="556">
        <f>$F$1*(Detached!S44-Savings_Detached!S186)</f>
        <v>1.1288411993013824E-2</v>
      </c>
      <c r="W59" s="556">
        <f>$F$1*(Detached!T44-Savings_Detached!T186)</f>
        <v>3.6004464013975122E-3</v>
      </c>
      <c r="X59" s="556">
        <f>$F$1*(Detached!U44-Savings_Detached!U186)</f>
        <v>7.8148650373327574E-3</v>
      </c>
      <c r="Y59" s="556">
        <f>$F$1*(Detached!V44-Savings_Detached!V186)</f>
        <v>8.2947150881838953E-3</v>
      </c>
      <c r="Z59" s="556">
        <f>$F$1*(Detached!W44-Savings_Detached!W186)</f>
        <v>5.1272706051350694E-3</v>
      </c>
      <c r="AA59" s="556">
        <f>$F$1*(Detached!X44-Savings_Detached!X186)</f>
        <v>7.7674917049654268E-3</v>
      </c>
      <c r="AB59" s="556">
        <f>$F$1*(Detached!Y44-Savings_Detached!Y186)</f>
        <v>5.3288150664319908E-3</v>
      </c>
      <c r="AC59" s="556">
        <f>$F$1*(Detached!Z44-Savings_Detached!Z186)</f>
        <v>5.8813214341347959E-3</v>
      </c>
      <c r="AD59" s="556">
        <f>$F$1*(Detached!AA44-Savings_Detached!AA186)</f>
        <v>2.2346673870699235E-3</v>
      </c>
      <c r="AE59" s="556">
        <f>$F$1*(Detached!AB44-Savings_Detached!AB186)</f>
        <v>1.1193668429059958E-2</v>
      </c>
      <c r="AF59" s="556">
        <f>$F$1*(Detached!AC44-Savings_Detached!AC186)</f>
        <v>8.1766709169768144E-3</v>
      </c>
      <c r="AG59" s="556">
        <f>$F$1*(Detached!AD44-Savings_Detached!AD186)</f>
        <v>1.7466115083181341E-2</v>
      </c>
      <c r="AH59" s="556">
        <f>$F$1*(Detached!AE44-Savings_Detached!AE186)</f>
        <v>2.1547164816168485E-3</v>
      </c>
      <c r="AI59" s="556">
        <f>$F$1*(Detached!AF44-Savings_Detached!AF186)</f>
        <v>7.2932559503596723E-3</v>
      </c>
      <c r="AJ59" s="556">
        <f>$F$1*(Detached!AG44-Savings_Detached!AG186)</f>
        <v>1.625455524418673E-2</v>
      </c>
      <c r="AK59" s="556">
        <f>$F$1*(Detached!AH44-Savings_Detached!AH186)</f>
        <v>4.0290483039219305E-3</v>
      </c>
      <c r="AL59" s="556">
        <f>$F$1*(Detached!AI44-Savings_Detached!AI186)</f>
        <v>1.9662035721402168E-2</v>
      </c>
      <c r="AM59" s="556">
        <f>$F$1*(Detached!AJ44-Savings_Detached!AJ186)</f>
        <v>1.2682573971180278E-2</v>
      </c>
      <c r="AN59" s="556">
        <f>$F$1*(Detached!AK44-Savings_Detached!AK186)</f>
        <v>1.3701470552371366E-2</v>
      </c>
      <c r="AO59" s="556">
        <f>$F$1*(Detached!AL44-Savings_Detached!AL186)</f>
        <v>9.578202252326978E-3</v>
      </c>
      <c r="AP59" s="556">
        <f>$F$1*(Detached!AM44-Savings_Detached!AM186)</f>
        <v>1.1662585989240732E-2</v>
      </c>
      <c r="AQ59" s="556">
        <f>$F$1*(Detached!AN44-Savings_Detached!AN186)</f>
        <v>1.1662585989240732E-2</v>
      </c>
      <c r="AT59" s="5" t="s">
        <v>416</v>
      </c>
    </row>
    <row r="60" spans="1:46">
      <c r="A60" s="5" t="str">
        <f t="shared" si="1"/>
        <v>OUTPUT</v>
      </c>
      <c r="B60" s="5" t="s">
        <v>616</v>
      </c>
      <c r="C60" s="5" t="str">
        <f t="shared" si="2"/>
        <v>Bldg_DETPre09-Wal</v>
      </c>
      <c r="D60" s="5" t="s">
        <v>302</v>
      </c>
      <c r="E60" s="5" t="s">
        <v>417</v>
      </c>
      <c r="F60" s="5" t="s">
        <v>606</v>
      </c>
      <c r="G60" s="556">
        <f>$F$1*(Detached!D45-Savings_Detached!D187)</f>
        <v>6.5068838077600244E-3</v>
      </c>
      <c r="H60" s="556">
        <f>$F$1*(Detached!E45-Savings_Detached!E187)</f>
        <v>1.1059117297602611E-2</v>
      </c>
      <c r="I60" s="556">
        <f>$F$1*(Detached!F45-Savings_Detached!F187)</f>
        <v>2.7953152470216723E-3</v>
      </c>
      <c r="J60" s="556">
        <f>$F$1*(Detached!G45-Savings_Detached!G187)</f>
        <v>6.3393870785171868E-3</v>
      </c>
      <c r="K60" s="556">
        <f>$F$1*(Detached!H45-Savings_Detached!H187)</f>
        <v>5.3252671857711431E-3</v>
      </c>
      <c r="L60" s="556">
        <f>$F$1*(Detached!I45-Savings_Detached!I187)</f>
        <v>4.3478726436296305E-3</v>
      </c>
      <c r="M60" s="556">
        <f>$F$1*(Detached!J45-Savings_Detached!J187)</f>
        <v>3.6593159541600099E-3</v>
      </c>
      <c r="N60" s="556">
        <f>$F$1*(Detached!K45-Savings_Detached!K187)</f>
        <v>2.6176428834186181E-3</v>
      </c>
      <c r="O60" s="556">
        <f>$F$1*(Detached!L45-Savings_Detached!L187)</f>
        <v>2.1309628064372418E-3</v>
      </c>
      <c r="P60" s="556">
        <f>$F$1*(Detached!M45-Savings_Detached!M187)</f>
        <v>7.1246286498315428E-3</v>
      </c>
      <c r="Q60" s="556">
        <f>$F$1*(Detached!N45-Savings_Detached!N187)</f>
        <v>3.7973503704720364E-3</v>
      </c>
      <c r="R60" s="556">
        <f>$F$1*(Detached!O45-Savings_Detached!O187)</f>
        <v>3.3208376958591143E-3</v>
      </c>
      <c r="S60" s="556">
        <f>$F$1*(Detached!P45-Savings_Detached!P187)</f>
        <v>3.6631461022943929E-3</v>
      </c>
      <c r="T60" s="556">
        <f>$F$1*(Detached!Q45-Savings_Detached!Q187)</f>
        <v>1.9947607125063984E-3</v>
      </c>
      <c r="U60" s="556">
        <f>$F$1*(Detached!R45-Savings_Detached!R187)</f>
        <v>4.4582062362458737E-3</v>
      </c>
      <c r="V60" s="556">
        <f>$F$1*(Detached!S45-Savings_Detached!S187)</f>
        <v>2.9761560026386074E-3</v>
      </c>
      <c r="W60" s="556">
        <f>$F$1*(Detached!T45-Savings_Detached!T187)</f>
        <v>3.230019733926308E-3</v>
      </c>
      <c r="X60" s="556">
        <f>$F$1*(Detached!U45-Savings_Detached!U187)</f>
        <v>7.9115159152561253E-3</v>
      </c>
      <c r="Y60" s="556">
        <f>$F$1*(Detached!V45-Savings_Detached!V187)</f>
        <v>1.3708623221726588E-3</v>
      </c>
      <c r="Z60" s="556">
        <f>$F$1*(Detached!W45-Savings_Detached!W187)</f>
        <v>3.1739321333799828E-3</v>
      </c>
      <c r="AA60" s="556">
        <f>$F$1*(Detached!X45-Savings_Detached!X187)</f>
        <v>1.4355585977889622E-3</v>
      </c>
      <c r="AB60" s="556">
        <f>$F$1*(Detached!Y45-Savings_Detached!Y187)</f>
        <v>4.6025202123273351E-3</v>
      </c>
      <c r="AC60" s="556">
        <f>$F$1*(Detached!Z45-Savings_Detached!Z187)</f>
        <v>4.1292556292212889E-3</v>
      </c>
      <c r="AD60" s="556">
        <f>$F$1*(Detached!AA45-Savings_Detached!AA187)</f>
        <v>2.2960372918007254E-3</v>
      </c>
      <c r="AE60" s="556">
        <f>$F$1*(Detached!AB45-Savings_Detached!AB187)</f>
        <v>4.903747797703294E-3</v>
      </c>
      <c r="AF60" s="556">
        <f>$F$1*(Detached!AC45-Savings_Detached!AC187)</f>
        <v>4.5983302652791453E-3</v>
      </c>
      <c r="AG60" s="556">
        <f>$F$1*(Detached!AD45-Savings_Detached!AD187)</f>
        <v>1.078242853459997E-2</v>
      </c>
      <c r="AH60" s="556">
        <f>$F$1*(Detached!AE45-Savings_Detached!AE187)</f>
        <v>2.2138907220267674E-3</v>
      </c>
      <c r="AI60" s="556">
        <f>$F$1*(Detached!AF45-Savings_Detached!AF187)</f>
        <v>2.2559628596558355E-3</v>
      </c>
      <c r="AJ60" s="556">
        <f>$F$1*(Detached!AG45-Savings_Detached!AG187)</f>
        <v>5.3632630555811456E-3</v>
      </c>
      <c r="AK60" s="556">
        <f>$F$1*(Detached!AH45-Savings_Detached!AH187)</f>
        <v>2.5190422797019552E-3</v>
      </c>
      <c r="AL60" s="556">
        <f>$F$1*(Detached!AI45-Savings_Detached!AI187)</f>
        <v>3.6631461022943929E-3</v>
      </c>
      <c r="AM60" s="556">
        <f>$F$1*(Detached!AJ45-Savings_Detached!AJ187)</f>
        <v>9.7229528802423269E-3</v>
      </c>
      <c r="AN60" s="556">
        <f>$F$1*(Detached!AK45-Savings_Detached!AK187)</f>
        <v>1.0499141985315524E-2</v>
      </c>
      <c r="AO60" s="556">
        <f>$F$1*(Detached!AL45-Savings_Detached!AL187)</f>
        <v>2.9548673935729255E-3</v>
      </c>
      <c r="AP60" s="556">
        <f>$F$1*(Detached!AM45-Savings_Detached!AM187)</f>
        <v>8.9409905507224861E-3</v>
      </c>
      <c r="AQ60" s="556">
        <f>$F$1*(Detached!AN45-Savings_Detached!AN187)</f>
        <v>8.9409905507224861E-3</v>
      </c>
      <c r="AT60" s="5" t="s">
        <v>417</v>
      </c>
    </row>
    <row r="61" spans="1:46">
      <c r="A61" s="5" t="str">
        <f t="shared" si="1"/>
        <v>\I:</v>
      </c>
      <c r="C61" s="5" t="str">
        <f t="shared" si="2"/>
        <v/>
      </c>
      <c r="E61" s="5" t="s">
        <v>623</v>
      </c>
      <c r="G61" s="493"/>
      <c r="H61" s="493"/>
      <c r="I61" s="493"/>
      <c r="J61" s="493"/>
      <c r="K61" s="493"/>
      <c r="L61" s="493"/>
      <c r="M61" s="493"/>
      <c r="N61" s="493"/>
      <c r="O61" s="493"/>
      <c r="P61" s="493"/>
      <c r="Q61" s="493"/>
      <c r="R61" s="493"/>
      <c r="S61" s="493"/>
      <c r="T61" s="493"/>
      <c r="U61" s="493"/>
      <c r="V61" s="493"/>
      <c r="W61" s="493"/>
      <c r="X61" s="493"/>
      <c r="Y61" s="493"/>
      <c r="Z61" s="493"/>
      <c r="AA61" s="493"/>
      <c r="AB61" s="493"/>
      <c r="AC61" s="493"/>
      <c r="AD61" s="493"/>
      <c r="AE61" s="493"/>
      <c r="AF61" s="493"/>
      <c r="AG61" s="493"/>
      <c r="AH61" s="493"/>
      <c r="AI61" s="493"/>
      <c r="AJ61" s="493"/>
      <c r="AK61" s="493"/>
      <c r="AL61" s="493"/>
      <c r="AM61" s="493"/>
      <c r="AN61" s="493"/>
      <c r="AO61" s="493"/>
      <c r="AP61" s="493"/>
      <c r="AQ61" s="493"/>
    </row>
    <row r="62" spans="1:46">
      <c r="A62" s="135" t="str">
        <f t="shared" si="1"/>
        <v>\I:</v>
      </c>
      <c r="C62" s="5" t="str">
        <f t="shared" si="2"/>
        <v/>
      </c>
      <c r="E62" s="5" t="s">
        <v>623</v>
      </c>
      <c r="F62" s="135" t="s">
        <v>393</v>
      </c>
      <c r="G62" s="492">
        <f>'Energy Efficiency Measures-DBT'!D36*Detached!D12/Detached!D4</f>
        <v>83.043041511239721</v>
      </c>
      <c r="H62" s="492">
        <f>'Energy Efficiency Measures-DBT'!E36*Detached!E12/Detached!E4</f>
        <v>90.861589082799128</v>
      </c>
      <c r="I62" s="492">
        <f>'Energy Efficiency Measures-DBT'!F36*Detached!F12/Detached!F4</f>
        <v>45.776779701378992</v>
      </c>
      <c r="J62" s="492">
        <f>'Energy Efficiency Measures-DBT'!G36*Detached!G12/Detached!G4</f>
        <v>83.043041511239721</v>
      </c>
      <c r="K62" s="492">
        <f>'Energy Efficiency Measures-DBT'!H36*Detached!H12/Detached!H4</f>
        <v>92.716203058990359</v>
      </c>
      <c r="L62" s="492">
        <f>'Energy Efficiency Measures-DBT'!I36*Detached!I12/Detached!I4</f>
        <v>63.932785357949562</v>
      </c>
      <c r="M62" s="492">
        <f>'Energy Efficiency Measures-DBT'!J36*Detached!J12/Detached!J4</f>
        <v>93.102134050820766</v>
      </c>
      <c r="N62" s="492">
        <f>'Energy Efficiency Measures-DBT'!K36*Detached!K12/Detached!K4</f>
        <v>66.104734235737055</v>
      </c>
      <c r="O62" s="492">
        <f>'Energy Efficiency Measures-DBT'!L36*Detached!L12/Detached!L4</f>
        <v>40.865906216835228</v>
      </c>
      <c r="P62" s="492">
        <f>'Energy Efficiency Measures-DBT'!M36*Detached!M12/Detached!M4</f>
        <v>91.848648374223373</v>
      </c>
      <c r="Q62" s="492">
        <f>'Energy Efficiency Measures-DBT'!N36*Detached!N12/Detached!N4</f>
        <v>75.469592178789327</v>
      </c>
      <c r="R62" s="492">
        <f>'Energy Efficiency Measures-DBT'!O36*Detached!O12/Detached!O4</f>
        <v>78.390888380451102</v>
      </c>
      <c r="S62" s="492">
        <f>'Energy Efficiency Measures-DBT'!P36*Detached!P12/Detached!P4</f>
        <v>92.716203058990359</v>
      </c>
      <c r="T62" s="492">
        <f>'Energy Efficiency Measures-DBT'!Q36*Detached!Q12/Detached!Q4</f>
        <v>44.443978221440553</v>
      </c>
      <c r="U62" s="492">
        <f>'Energy Efficiency Measures-DBT'!R36*Detached!R12/Detached!R4</f>
        <v>39.452109598530797</v>
      </c>
      <c r="V62" s="492">
        <f>'Energy Efficiency Measures-DBT'!S36*Detached!S12/Detached!S4</f>
        <v>89.640455049994472</v>
      </c>
      <c r="W62" s="492">
        <f>'Energy Efficiency Measures-DBT'!T36*Detached!T12/Detached!T4</f>
        <v>75.469592178789327</v>
      </c>
      <c r="X62" s="492">
        <f>'Energy Efficiency Measures-DBT'!U36*Detached!U12/Detached!U4</f>
        <v>86.131747936630987</v>
      </c>
      <c r="Y62" s="492">
        <f>'Energy Efficiency Measures-DBT'!V36*Detached!V12/Detached!V4</f>
        <v>38.879081766416434</v>
      </c>
      <c r="Z62" s="492">
        <f>'Energy Efficiency Measures-DBT'!W36*Detached!W12/Detached!W4</f>
        <v>78.640594815108471</v>
      </c>
      <c r="AA62" s="492">
        <f>'Energy Efficiency Measures-DBT'!X36*Detached!X12/Detached!X4</f>
        <v>38.975800154489008</v>
      </c>
      <c r="AB62" s="492">
        <f>'Energy Efficiency Measures-DBT'!Y36*Detached!Y12/Detached!Y4</f>
        <v>89.871883460331574</v>
      </c>
      <c r="AC62" s="492">
        <f>'Energy Efficiency Measures-DBT'!Z36*Detached!Z12/Detached!Z4</f>
        <v>90.626636887437712</v>
      </c>
      <c r="AD62" s="492">
        <f>'Energy Efficiency Measures-DBT'!AA36*Detached!AA12/Detached!AA4</f>
        <v>68.064221383202593</v>
      </c>
      <c r="AE62" s="492">
        <f>'Energy Efficiency Measures-DBT'!AB36*Detached!AB12/Detached!AB4</f>
        <v>38.930338471391764</v>
      </c>
      <c r="AF62" s="492">
        <f>'Energy Efficiency Measures-DBT'!AC36*Detached!AC12/Detached!AC4</f>
        <v>90.165049487512206</v>
      </c>
      <c r="AG62" s="492">
        <f>'Energy Efficiency Measures-DBT'!AD36*Detached!AD12/Detached!AD4</f>
        <v>43.516296962321512</v>
      </c>
      <c r="AH62" s="492">
        <f>'Energy Efficiency Measures-DBT'!AE36*Detached!AE12/Detached!AE4</f>
        <v>68.064221383202593</v>
      </c>
      <c r="AI62" s="492">
        <f>'Energy Efficiency Measures-DBT'!AF36*Detached!AF12/Detached!AF4</f>
        <v>39.057600421250434</v>
      </c>
      <c r="AJ62" s="492">
        <f>'Energy Efficiency Measures-DBT'!AG36*Detached!AG12/Detached!AG4</f>
        <v>64.917185250797488</v>
      </c>
      <c r="AK62" s="492">
        <f>'Energy Efficiency Measures-DBT'!AH36*Detached!AH12/Detached!AH4</f>
        <v>103.93127064785904</v>
      </c>
      <c r="AL62" s="492">
        <f>'Energy Efficiency Measures-DBT'!AI36*Detached!AI12/Detached!AI4</f>
        <v>39.735515596710158</v>
      </c>
      <c r="AM62" s="492">
        <f>'Energy Efficiency Measures-DBT'!AJ36*Detached!AJ12/Detached!AJ4</f>
        <v>44.443978221440553</v>
      </c>
      <c r="AN62" s="492">
        <f>'Energy Efficiency Measures-DBT'!AK36*Detached!AK12/Detached!AK4</f>
        <v>39.735515596710158</v>
      </c>
      <c r="AO62" s="492">
        <f>'Energy Efficiency Measures-DBT'!AL36*Detached!AL12/Detached!AL4</f>
        <v>44.443978221440553</v>
      </c>
      <c r="AP62" s="492">
        <f>'Energy Efficiency Measures-DBT'!AM36*Detached!AM12/Detached!AM4</f>
        <v>44.443978221440553</v>
      </c>
      <c r="AQ62" s="492">
        <f>'Energy Efficiency Measures-DBT'!AN36*Detached!AN12/Detached!AN4</f>
        <v>44.443978221440553</v>
      </c>
    </row>
    <row r="63" spans="1:46">
      <c r="A63" s="135" t="str">
        <f t="shared" si="1"/>
        <v>\I:</v>
      </c>
      <c r="C63" s="5" t="str">
        <f t="shared" si="2"/>
        <v/>
      </c>
      <c r="E63" s="5" t="s">
        <v>327</v>
      </c>
      <c r="F63" s="135" t="s">
        <v>624</v>
      </c>
      <c r="G63" s="214">
        <f>G62*Detached!D4</f>
        <v>12439.069089869543</v>
      </c>
      <c r="H63" s="214">
        <f>H62*Detached!E4</f>
        <v>12938.027790829196</v>
      </c>
      <c r="I63" s="214">
        <f>I62*Detached!F4</f>
        <v>3639.7144434424508</v>
      </c>
      <c r="J63" s="214">
        <f>J62*Detached!G4</f>
        <v>12439.069089869543</v>
      </c>
      <c r="K63" s="214">
        <f>K62*Detached!H4</f>
        <v>10604.790761913397</v>
      </c>
      <c r="L63" s="214">
        <f>L62*Detached!I4</f>
        <v>7979.8679421181814</v>
      </c>
      <c r="M63" s="214">
        <f>M62*Detached!J4</f>
        <v>12495.086352748158</v>
      </c>
      <c r="N63" s="214">
        <f>N62*Detached!K4</f>
        <v>11047.753709147555</v>
      </c>
      <c r="O63" s="214">
        <f>O62*Detached!L4</f>
        <v>4356.7783190847986</v>
      </c>
      <c r="P63" s="214">
        <f>P62*Detached!M4</f>
        <v>12740.352422474931</v>
      </c>
      <c r="Q63" s="214">
        <f>Q62*Detached!N4</f>
        <v>9150.6880516782057</v>
      </c>
      <c r="R63" s="214">
        <f>R62*Detached!O4</f>
        <v>10937.972667029579</v>
      </c>
      <c r="S63" s="214">
        <f>S62*Detached!P4</f>
        <v>10604.790761913397</v>
      </c>
      <c r="T63" s="214">
        <f>T62*Detached!Q4</f>
        <v>3820.0204274981688</v>
      </c>
      <c r="U63" s="214">
        <f>U62*Detached!R4</f>
        <v>4593.6609236464537</v>
      </c>
      <c r="V63" s="214">
        <f>V62*Detached!S4</f>
        <v>13188.335477796822</v>
      </c>
      <c r="W63" s="214">
        <f>W62*Detached!T4</f>
        <v>9150.6880516782057</v>
      </c>
      <c r="X63" s="214">
        <f>X62*Detached!U4</f>
        <v>11810.815935810524</v>
      </c>
      <c r="Y63" s="214">
        <f>Y62*Detached!V4</f>
        <v>4694.2734541672162</v>
      </c>
      <c r="Z63" s="214">
        <f>Z62*Detached!W4</f>
        <v>8605.896560655674</v>
      </c>
      <c r="AA63" s="214">
        <f>AA62*Detached!X4</f>
        <v>4677.0960185386812</v>
      </c>
      <c r="AB63" s="214">
        <f>AB62*Detached!Y4</f>
        <v>11105.242836085978</v>
      </c>
      <c r="AC63" s="214">
        <f>AC62*Detached!Z4</f>
        <v>12985.686889667955</v>
      </c>
      <c r="AD63" s="214">
        <f>AD62*Detached!AA4</f>
        <v>10609.510508106705</v>
      </c>
      <c r="AE63" s="214">
        <f>AE62*Detached!AB4</f>
        <v>4685.1601011967414</v>
      </c>
      <c r="AF63" s="214">
        <f>AF62*Detached!AC4</f>
        <v>13080.009525437354</v>
      </c>
      <c r="AG63" s="214">
        <f>AG62*Detached!AD4</f>
        <v>3951.398454878758</v>
      </c>
      <c r="AH63" s="214">
        <f>AH62*Detached!AE4</f>
        <v>10609.510508106705</v>
      </c>
      <c r="AI63" s="214">
        <f>AI62*Detached!AF4</f>
        <v>4662.6307215201696</v>
      </c>
      <c r="AJ63" s="214">
        <f>AJ62*Detached!AG4</f>
        <v>7802.6918684862412</v>
      </c>
      <c r="AK63" s="214">
        <f>AK62*Detached!AH4</f>
        <v>10610.08359226331</v>
      </c>
      <c r="AL63" s="214">
        <f>AL62*Detached!AI4</f>
        <v>4544.9103265343128</v>
      </c>
      <c r="AM63" s="214">
        <f>AM62*Detached!AJ4</f>
        <v>3820.0204274981688</v>
      </c>
      <c r="AN63" s="214">
        <f>AN62*Detached!AK4</f>
        <v>4544.9103265343128</v>
      </c>
      <c r="AO63" s="214">
        <f>AO62*Detached!AL4</f>
        <v>3820.0204274981688</v>
      </c>
      <c r="AP63" s="214">
        <f>AP62*Detached!AM4</f>
        <v>3820.0204274981688</v>
      </c>
      <c r="AQ63" s="214">
        <f>AQ62*Detached!AN4</f>
        <v>3820.0204274981688</v>
      </c>
    </row>
    <row r="64" spans="1:46">
      <c r="A64" s="5" t="str">
        <f t="shared" si="1"/>
        <v>OUTPUT</v>
      </c>
      <c r="B64" s="5" t="s">
        <v>616</v>
      </c>
      <c r="C64" s="5" t="str">
        <f t="shared" si="2"/>
        <v>Bldg_DETPre45-Wal</v>
      </c>
      <c r="D64" s="5" t="s">
        <v>302</v>
      </c>
      <c r="E64" s="5" t="s">
        <v>327</v>
      </c>
      <c r="F64" s="5" t="s">
        <v>606</v>
      </c>
      <c r="G64" s="556">
        <f>$F$1*(Detached!D40-Savings_Detached!D215)</f>
        <v>4.2603679612282383E-2</v>
      </c>
      <c r="H64" s="556">
        <f>$F$1*(Detached!E40-Savings_Detached!E215)</f>
        <v>3.8785740092641761E-2</v>
      </c>
      <c r="I64" s="556">
        <f>$F$1*(Detached!F40-Savings_Detached!F215)</f>
        <v>2.1847881375440369E-2</v>
      </c>
      <c r="J64" s="556">
        <f>$F$1*(Detached!G40-Savings_Detached!G215)</f>
        <v>4.1506998435916993E-2</v>
      </c>
      <c r="K64" s="556">
        <f>$F$1*(Detached!H40-Savings_Detached!H215)</f>
        <v>1.0101508489661151E-2</v>
      </c>
      <c r="L64" s="556">
        <f>$F$1*(Detached!I40-Savings_Detached!I215)</f>
        <v>1.7735968281320694E-2</v>
      </c>
      <c r="M64" s="556">
        <f>$F$1*(Detached!J40-Savings_Detached!J215)</f>
        <v>4.0185840914991687E-2</v>
      </c>
      <c r="N64" s="556">
        <f>$F$1*(Detached!K40-Savings_Detached!K215)</f>
        <v>2.2328664946659197E-2</v>
      </c>
      <c r="O64" s="556">
        <f>$F$1*(Detached!L40-Savings_Detached!L215)</f>
        <v>1.003577696825712E-2</v>
      </c>
      <c r="P64" s="556">
        <f>$F$1*(Detached!M40-Savings_Detached!M215)</f>
        <v>3.3455533764083993E-2</v>
      </c>
      <c r="Q64" s="556">
        <f>$F$1*(Detached!N40-Savings_Detached!N215)</f>
        <v>1.9504306235141902E-2</v>
      </c>
      <c r="R64" s="556">
        <f>$F$1*(Detached!O40-Savings_Detached!O215)</f>
        <v>4.5118085315393804E-2</v>
      </c>
      <c r="S64" s="556">
        <f>$F$1*(Detached!P40-Savings_Detached!P215)</f>
        <v>2.2665918306886898E-2</v>
      </c>
      <c r="T64" s="556">
        <f>$F$1*(Detached!Q40-Savings_Detached!Q215)</f>
        <v>1.6640967194424199E-2</v>
      </c>
      <c r="U64" s="556">
        <f>$F$1*(Detached!R40-Savings_Detached!R215)</f>
        <v>3.0648595641758213E-2</v>
      </c>
      <c r="V64" s="556">
        <f>$F$1*(Detached!S40-Savings_Detached!S215)</f>
        <v>3.6481485203075238E-2</v>
      </c>
      <c r="W64" s="556">
        <f>$F$1*(Detached!T40-Savings_Detached!T215)</f>
        <v>1.6590329542917299E-2</v>
      </c>
      <c r="X64" s="556">
        <f>$F$1*(Detached!U40-Savings_Detached!U215)</f>
        <v>2.4567547583341353E-2</v>
      </c>
      <c r="Y64" s="556">
        <f>$F$1*(Detached!V40-Savings_Detached!V215)</f>
        <v>2.5252540935351189E-2</v>
      </c>
      <c r="Z64" s="556">
        <f>$F$1*(Detached!W40-Savings_Detached!W215)</f>
        <v>1.7466121300703637E-2</v>
      </c>
      <c r="AA64" s="556">
        <f>$F$1*(Detached!X40-Savings_Detached!X215)</f>
        <v>2.603353134967086E-2</v>
      </c>
      <c r="AB64" s="556">
        <f>$F$1*(Detached!Y40-Savings_Detached!Y215)</f>
        <v>1.0438366688386977E-2</v>
      </c>
      <c r="AC64" s="556">
        <f>$F$1*(Detached!Z40-Savings_Detached!Z215)</f>
        <v>3.8509304924861668E-2</v>
      </c>
      <c r="AD64" s="556">
        <f>$F$1*(Detached!AA40-Savings_Detached!AA215)</f>
        <v>1.6578298285184815E-2</v>
      </c>
      <c r="AE64" s="556">
        <f>$F$1*(Detached!AB40-Savings_Detached!AB215)</f>
        <v>4.1711941569385222E-2</v>
      </c>
      <c r="AF64" s="556">
        <f>$F$1*(Detached!AC40-Savings_Detached!AC215)</f>
        <v>1.8491391221868513E-2</v>
      </c>
      <c r="AG64" s="556">
        <f>$F$1*(Detached!AD40-Savings_Detached!AD215)</f>
        <v>3.3033299654484705E-2</v>
      </c>
      <c r="AH64" s="556">
        <f>$F$1*(Detached!AE40-Savings_Detached!AE215)</f>
        <v>1.5985167528258248E-2</v>
      </c>
      <c r="AI64" s="556">
        <f>$F$1*(Detached!AF40-Savings_Detached!AF215)</f>
        <v>2.7838769097307894E-2</v>
      </c>
      <c r="AJ64" s="556">
        <f>$F$1*(Detached!AG40-Savings_Detached!AG215)</f>
        <v>3.2418309260765117E-2</v>
      </c>
      <c r="AK64" s="556">
        <f>$F$1*(Detached!AH40-Savings_Detached!AH215)</f>
        <v>3.2479053034414791E-2</v>
      </c>
      <c r="AL64" s="556">
        <f>$F$1*(Detached!AI40-Savings_Detached!AI215)</f>
        <v>2.2665918306886898E-2</v>
      </c>
      <c r="AM64" s="556">
        <f>$F$1*(Detached!AJ40-Savings_Detached!AJ215)</f>
        <v>2.2188786245943965E-2</v>
      </c>
      <c r="AN64" s="556">
        <f>$F$1*(Detached!AK40-Savings_Detached!AK215)</f>
        <v>2.3911058574524472E-2</v>
      </c>
      <c r="AO64" s="556">
        <f>$F$1*(Detached!AL40-Savings_Detached!AL215)</f>
        <v>2.3050375472513433E-2</v>
      </c>
      <c r="AP64" s="556">
        <f>$F$1*(Detached!AM40-Savings_Detached!AM215)</f>
        <v>2.0404267160455659E-2</v>
      </c>
      <c r="AQ64" s="556">
        <f>$F$1*(Detached!AN40-Savings_Detached!AN215)</f>
        <v>2.0404267160455659E-2</v>
      </c>
      <c r="AT64" s="5" t="s">
        <v>327</v>
      </c>
    </row>
    <row r="65" spans="1:46">
      <c r="A65" s="5" t="str">
        <f t="shared" si="1"/>
        <v>OUTPUT</v>
      </c>
      <c r="B65" s="5" t="s">
        <v>616</v>
      </c>
      <c r="C65" s="5" t="str">
        <f t="shared" si="2"/>
        <v>Bldg_DETPre69-Wal</v>
      </c>
      <c r="D65" s="5" t="s">
        <v>302</v>
      </c>
      <c r="E65" s="5" t="s">
        <v>328</v>
      </c>
      <c r="F65" s="5" t="s">
        <v>606</v>
      </c>
      <c r="G65" s="556">
        <f>$F$1*(Detached!D41-Savings_Detached!D216)</f>
        <v>3.3791332070188508E-2</v>
      </c>
      <c r="H65" s="556">
        <f>$F$1*(Detached!E41-Savings_Detached!E216)</f>
        <v>3.8785740092641761E-2</v>
      </c>
      <c r="I65" s="556">
        <f>$F$1*(Detached!F41-Savings_Detached!F216)</f>
        <v>2.1847881375440369E-2</v>
      </c>
      <c r="J65" s="556">
        <f>$F$1*(Detached!G41-Savings_Detached!G216)</f>
        <v>3.2921493639730383E-2</v>
      </c>
      <c r="K65" s="556">
        <f>$F$1*(Detached!H41-Savings_Detached!H216)</f>
        <v>8.1823150985803113E-3</v>
      </c>
      <c r="L65" s="556">
        <f>$F$1*(Detached!I41-Savings_Detached!I216)</f>
        <v>1.7127999636380987E-2</v>
      </c>
      <c r="M65" s="556">
        <f>$F$1*(Detached!J41-Savings_Detached!J216)</f>
        <v>2.8335544275487106E-2</v>
      </c>
      <c r="N65" s="556">
        <f>$F$1*(Detached!K41-Savings_Detached!K216)</f>
        <v>2.2672324201244338E-2</v>
      </c>
      <c r="O65" s="556">
        <f>$F$1*(Detached!L41-Savings_Detached!L216)</f>
        <v>1.003577696825712E-2</v>
      </c>
      <c r="P65" s="556">
        <f>$F$1*(Detached!M41-Savings_Detached!M216)</f>
        <v>2.7971786039283221E-2</v>
      </c>
      <c r="Q65" s="556">
        <f>$F$1*(Detached!N41-Savings_Detached!N216)</f>
        <v>1.7963844871197437E-2</v>
      </c>
      <c r="R65" s="556">
        <f>$F$1*(Detached!O41-Savings_Detached!O216)</f>
        <v>4.5118085315393804E-2</v>
      </c>
      <c r="S65" s="556">
        <f>$F$1*(Detached!P41-Savings_Detached!P216)</f>
        <v>2.2665918306886898E-2</v>
      </c>
      <c r="T65" s="556">
        <f>$F$1*(Detached!Q41-Savings_Detached!Q216)</f>
        <v>1.9448389726482961E-2</v>
      </c>
      <c r="U65" s="556">
        <f>$F$1*(Detached!R41-Savings_Detached!R216)</f>
        <v>3.0648595641758213E-2</v>
      </c>
      <c r="V65" s="556">
        <f>$F$1*(Detached!S41-Savings_Detached!S216)</f>
        <v>3.6370763214902527E-2</v>
      </c>
      <c r="W65" s="556">
        <f>$F$1*(Detached!T41-Savings_Detached!T216)</f>
        <v>1.5280015740013414E-2</v>
      </c>
      <c r="X65" s="556">
        <f>$F$1*(Detached!U41-Savings_Detached!U216)</f>
        <v>2.1485857774832803E-2</v>
      </c>
      <c r="Y65" s="556">
        <f>$F$1*(Detached!V41-Savings_Detached!V216)</f>
        <v>2.5252540935351189E-2</v>
      </c>
      <c r="Z65" s="556">
        <f>$F$1*(Detached!W41-Savings_Detached!W216)</f>
        <v>3.0723054935536138E-2</v>
      </c>
      <c r="AA65" s="556">
        <f>$F$1*(Detached!X41-Savings_Detached!X216)</f>
        <v>2.6115167906267094E-2</v>
      </c>
      <c r="AB65" s="556">
        <f>$F$1*(Detached!Y41-Savings_Detached!Y216)</f>
        <v>1.0441502584554853E-2</v>
      </c>
      <c r="AC65" s="556">
        <f>$F$1*(Detached!Z41-Savings_Detached!Z216)</f>
        <v>3.2609609787400927E-2</v>
      </c>
      <c r="AD65" s="556">
        <f>$F$1*(Detached!AA41-Savings_Detached!AA216)</f>
        <v>1.6594219574410964E-2</v>
      </c>
      <c r="AE65" s="556">
        <f>$F$1*(Detached!AB41-Savings_Detached!AB216)</f>
        <v>2.8558863608167725E-2</v>
      </c>
      <c r="AF65" s="556">
        <f>$F$1*(Detached!AC41-Savings_Detached!AC216)</f>
        <v>1.3260760982569902E-2</v>
      </c>
      <c r="AG65" s="556">
        <f>$F$1*(Detached!AD41-Savings_Detached!AD216)</f>
        <v>2.9429203525984802E-2</v>
      </c>
      <c r="AH65" s="556">
        <f>$F$1*(Detached!AE41-Savings_Detached!AE216)</f>
        <v>1.6000519192896457E-2</v>
      </c>
      <c r="AI65" s="556">
        <f>$F$1*(Detached!AF41-Savings_Detached!AF216)</f>
        <v>2.7838769097307894E-2</v>
      </c>
      <c r="AJ65" s="556">
        <f>$F$1*(Detached!AG41-Savings_Detached!AG216)</f>
        <v>2.5275519773712233E-2</v>
      </c>
      <c r="AK65" s="556">
        <f>$F$1*(Detached!AH41-Savings_Detached!AH216)</f>
        <v>3.5844318495340248E-2</v>
      </c>
      <c r="AL65" s="556">
        <f>$F$1*(Detached!AI41-Savings_Detached!AI216)</f>
        <v>2.2665918306886898E-2</v>
      </c>
      <c r="AM65" s="556">
        <f>$F$1*(Detached!AJ41-Savings_Detached!AJ216)</f>
        <v>2.2188786245943965E-2</v>
      </c>
      <c r="AN65" s="556">
        <f>$F$1*(Detached!AK41-Savings_Detached!AK216)</f>
        <v>2.3911058574524472E-2</v>
      </c>
      <c r="AO65" s="556">
        <f>$F$1*(Detached!AL41-Savings_Detached!AL216)</f>
        <v>2.3050375472513433E-2</v>
      </c>
      <c r="AP65" s="556">
        <f>$F$1*(Detached!AM41-Savings_Detached!AM216)</f>
        <v>2.0404267160455659E-2</v>
      </c>
      <c r="AQ65" s="556">
        <f>$F$1*(Detached!AN41-Savings_Detached!AN216)</f>
        <v>2.0404267160455659E-2</v>
      </c>
      <c r="AT65" s="5" t="s">
        <v>328</v>
      </c>
    </row>
    <row r="66" spans="1:46">
      <c r="A66" s="5" t="str">
        <f t="shared" si="1"/>
        <v>OUTPUT</v>
      </c>
      <c r="B66" s="5" t="s">
        <v>616</v>
      </c>
      <c r="C66" s="5" t="str">
        <f t="shared" si="2"/>
        <v>Bldg_DETPre79-Wal</v>
      </c>
      <c r="D66" s="5" t="s">
        <v>302</v>
      </c>
      <c r="E66" s="5" t="s">
        <v>329</v>
      </c>
      <c r="F66" s="5" t="s">
        <v>606</v>
      </c>
      <c r="G66" s="556">
        <f>$F$1*(Detached!D42-Savings_Detached!D217)</f>
        <v>2.5885666049147757E-2</v>
      </c>
      <c r="H66" s="556">
        <f>$F$1*(Detached!E42-Savings_Detached!E217)</f>
        <v>3.8785740092641761E-2</v>
      </c>
      <c r="I66" s="556">
        <f>$F$1*(Detached!F42-Savings_Detached!F217)</f>
        <v>2.007154696734675E-2</v>
      </c>
      <c r="J66" s="556">
        <f>$F$1*(Detached!G42-Savings_Detached!G217)</f>
        <v>2.5219331052919017E-2</v>
      </c>
      <c r="K66" s="556">
        <f>$F$1*(Detached!H42-Savings_Detached!H217)</f>
        <v>6.1214130762810917E-3</v>
      </c>
      <c r="L66" s="556">
        <f>$F$1*(Detached!I42-Savings_Detached!I217)</f>
        <v>1.7127999636380987E-2</v>
      </c>
      <c r="M66" s="556">
        <f>$F$1*(Detached!J42-Savings_Detached!J217)</f>
        <v>1.4747668478931813E-2</v>
      </c>
      <c r="N66" s="556">
        <f>$F$1*(Detached!K42-Savings_Detached!K217)</f>
        <v>1.1189775066242741E-2</v>
      </c>
      <c r="O66" s="556">
        <f>$F$1*(Detached!L42-Savings_Detached!L217)</f>
        <v>5.973015753404887E-3</v>
      </c>
      <c r="P66" s="556">
        <f>$F$1*(Detached!M42-Savings_Detached!M217)</f>
        <v>2.7971786039283221E-2</v>
      </c>
      <c r="Q66" s="556">
        <f>$F$1*(Detached!N42-Savings_Detached!N217)</f>
        <v>1.1531203267141984E-2</v>
      </c>
      <c r="R66" s="556">
        <f>$F$1*(Detached!O42-Savings_Detached!O217)</f>
        <v>1.6916421825570474E-2</v>
      </c>
      <c r="S66" s="556">
        <f>$F$1*(Detached!P42-Savings_Detached!P217)</f>
        <v>2.2665918306886898E-2</v>
      </c>
      <c r="T66" s="556">
        <f>$F$1*(Detached!Q42-Savings_Detached!Q217)</f>
        <v>1.7009327189054853E-2</v>
      </c>
      <c r="U66" s="556">
        <f>$F$1*(Detached!R42-Savings_Detached!R217)</f>
        <v>2.4277167046405566E-2</v>
      </c>
      <c r="V66" s="556">
        <f>$F$1*(Detached!S42-Savings_Detached!S217)</f>
        <v>3.7582540424497532E-2</v>
      </c>
      <c r="W66" s="556">
        <f>$F$1*(Detached!T42-Savings_Detached!T217)</f>
        <v>9.8084217875723939E-3</v>
      </c>
      <c r="X66" s="556">
        <f>$F$1*(Detached!U42-Savings_Detached!U217)</f>
        <v>2.1786186217994559E-2</v>
      </c>
      <c r="Y66" s="556">
        <f>$F$1*(Detached!V42-Savings_Detached!V217)</f>
        <v>1.1902600751815172E-2</v>
      </c>
      <c r="Z66" s="556">
        <f>$F$1*(Detached!W42-Savings_Detached!W217)</f>
        <v>1.0183817121940756E-2</v>
      </c>
      <c r="AA66" s="556">
        <f>$F$1*(Detached!X42-Savings_Detached!X217)</f>
        <v>2.3037835053525663E-2</v>
      </c>
      <c r="AB66" s="556">
        <f>$F$1*(Detached!Y42-Savings_Detached!Y217)</f>
        <v>6.2223866432088082E-3</v>
      </c>
      <c r="AC66" s="556">
        <f>$F$1*(Detached!Z42-Savings_Detached!Z217)</f>
        <v>3.2843208462107587E-2</v>
      </c>
      <c r="AD66" s="556">
        <f>$F$1*(Detached!AA42-Savings_Detached!AA217)</f>
        <v>6.4069132666563777E-3</v>
      </c>
      <c r="AE66" s="556">
        <f>$F$1*(Detached!AB42-Savings_Detached!AB217)</f>
        <v>1.5258117105967644E-2</v>
      </c>
      <c r="AF66" s="556">
        <f>$F$1*(Detached!AC42-Savings_Detached!AC217)</f>
        <v>1.3310484224042858E-2</v>
      </c>
      <c r="AG66" s="556">
        <f>$F$1*(Detached!AD42-Savings_Detached!AD217)</f>
        <v>2.9429203525984802E-2</v>
      </c>
      <c r="AH66" s="556">
        <f>$F$1*(Detached!AE42-Savings_Detached!AE217)</f>
        <v>6.1776896605875613E-3</v>
      </c>
      <c r="AI66" s="556">
        <f>$F$1*(Detached!AF42-Savings_Detached!AF217)</f>
        <v>2.8406068759038432E-2</v>
      </c>
      <c r="AJ66" s="556">
        <f>$F$1*(Detached!AG42-Savings_Detached!AG217)</f>
        <v>2.5275519773712233E-2</v>
      </c>
      <c r="AK66" s="556">
        <f>$F$1*(Detached!AH42-Savings_Detached!AH217)</f>
        <v>2.9112293510299866E-2</v>
      </c>
      <c r="AL66" s="556">
        <f>$F$1*(Detached!AI42-Savings_Detached!AI217)</f>
        <v>2.2665918306886898E-2</v>
      </c>
      <c r="AM66" s="556">
        <f>$F$1*(Detached!AJ42-Savings_Detached!AJ217)</f>
        <v>2.2188786245943965E-2</v>
      </c>
      <c r="AN66" s="556">
        <f>$F$1*(Detached!AK42-Savings_Detached!AK217)</f>
        <v>2.3911058574524472E-2</v>
      </c>
      <c r="AO66" s="556">
        <f>$F$1*(Detached!AL42-Savings_Detached!AL217)</f>
        <v>2.1179845276793119E-2</v>
      </c>
      <c r="AP66" s="556">
        <f>$F$1*(Detached!AM42-Savings_Detached!AM217)</f>
        <v>2.0404267160455659E-2</v>
      </c>
      <c r="AQ66" s="556">
        <f>$F$1*(Detached!AN42-Savings_Detached!AN217)</f>
        <v>2.0404267160455659E-2</v>
      </c>
      <c r="AT66" s="5" t="s">
        <v>329</v>
      </c>
    </row>
    <row r="67" spans="1:46">
      <c r="A67" s="5" t="str">
        <f t="shared" si="1"/>
        <v>OUTPUT</v>
      </c>
      <c r="B67" s="5" t="s">
        <v>616</v>
      </c>
      <c r="C67" s="5" t="str">
        <f t="shared" si="2"/>
        <v>Bldg_DETPre89-Wal</v>
      </c>
      <c r="D67" s="5" t="s">
        <v>302</v>
      </c>
      <c r="E67" s="5" t="s">
        <v>330</v>
      </c>
      <c r="F67" s="5" t="s">
        <v>606</v>
      </c>
      <c r="G67" s="556">
        <f>$F$1*(Detached!D43-Savings_Detached!D218)</f>
        <v>1.5539820452696397E-2</v>
      </c>
      <c r="H67" s="556">
        <f>$F$1*(Detached!E43-Savings_Detached!E218)</f>
        <v>3.2398058689136713E-2</v>
      </c>
      <c r="I67" s="556">
        <f>$F$1*(Detached!F43-Savings_Detached!F218)</f>
        <v>1.570061945354348E-2</v>
      </c>
      <c r="J67" s="556">
        <f>$F$1*(Detached!G43-Savings_Detached!G218)</f>
        <v>1.5139802690623637E-2</v>
      </c>
      <c r="K67" s="556">
        <f>$F$1*(Detached!H43-Savings_Detached!H218)</f>
        <v>6.1561865258757033E-3</v>
      </c>
      <c r="L67" s="556">
        <f>$F$1*(Detached!I43-Savings_Detached!I218)</f>
        <v>1.4558991302165853E-2</v>
      </c>
      <c r="M67" s="556">
        <f>$F$1*(Detached!J43-Savings_Detached!J218)</f>
        <v>1.3164727623302806E-2</v>
      </c>
      <c r="N67" s="556">
        <f>$F$1*(Detached!K43-Savings_Detached!K218)</f>
        <v>6.9458861732935827E-3</v>
      </c>
      <c r="O67" s="556">
        <f>$F$1*(Detached!L43-Savings_Detached!L218)</f>
        <v>4.2007081164589536E-3</v>
      </c>
      <c r="P67" s="556">
        <f>$F$1*(Detached!M43-Savings_Detached!M218)</f>
        <v>2.1700687079915546E-2</v>
      </c>
      <c r="Q67" s="556">
        <f>$F$1*(Detached!N43-Savings_Detached!N218)</f>
        <v>6.9315860381124542E-3</v>
      </c>
      <c r="R67" s="556">
        <f>$F$1*(Detached!O43-Savings_Detached!O218)</f>
        <v>1.3817374613018137E-2</v>
      </c>
      <c r="S67" s="556">
        <f>$F$1*(Detached!P43-Savings_Detached!P218)</f>
        <v>2.2803692053701204E-2</v>
      </c>
      <c r="T67" s="556">
        <f>$F$1*(Detached!Q43-Savings_Detached!Q218)</f>
        <v>1.7009327189054853E-2</v>
      </c>
      <c r="U67" s="556">
        <f>$F$1*(Detached!R43-Savings_Detached!R218)</f>
        <v>1.3564013516345372E-2</v>
      </c>
      <c r="V67" s="556">
        <f>$F$1*(Detached!S43-Savings_Detached!S218)</f>
        <v>2.3644337047590919E-2</v>
      </c>
      <c r="W67" s="556">
        <f>$F$1*(Detached!T43-Savings_Detached!T218)</f>
        <v>5.8959952351534187E-3</v>
      </c>
      <c r="X67" s="556">
        <f>$F$1*(Detached!U43-Savings_Detached!U218)</f>
        <v>1.2672423121560172E-2</v>
      </c>
      <c r="Y67" s="556">
        <f>$F$1*(Detached!V43-Savings_Detached!V218)</f>
        <v>1.1902600751815172E-2</v>
      </c>
      <c r="Z67" s="556">
        <f>$F$1*(Detached!W43-Savings_Detached!W218)</f>
        <v>9.3482914802417577E-3</v>
      </c>
      <c r="AA67" s="556">
        <f>$F$1*(Detached!X43-Savings_Detached!X218)</f>
        <v>1.1262044228695568E-2</v>
      </c>
      <c r="AB67" s="556">
        <f>$F$1*(Detached!Y43-Savings_Detached!Y218)</f>
        <v>6.326956834066309E-3</v>
      </c>
      <c r="AC67" s="556">
        <f>$F$1*(Detached!Z43-Savings_Detached!Z218)</f>
        <v>9.8501372962218475E-3</v>
      </c>
      <c r="AD67" s="556">
        <f>$F$1*(Detached!AA43-Savings_Detached!AA218)</f>
        <v>6.4267793905503634E-3</v>
      </c>
      <c r="AE67" s="556">
        <f>$F$1*(Detached!AB43-Savings_Detached!AB218)</f>
        <v>1.5258117105967644E-2</v>
      </c>
      <c r="AF67" s="556">
        <f>$F$1*(Detached!AC43-Savings_Detached!AC218)</f>
        <v>1.2279855223120974E-2</v>
      </c>
      <c r="AG67" s="556">
        <f>$F$1*(Detached!AD43-Savings_Detached!AD218)</f>
        <v>2.1734326235662141E-2</v>
      </c>
      <c r="AH67" s="556">
        <f>$F$1*(Detached!AE43-Savings_Detached!AE218)</f>
        <v>6.1968450234070405E-3</v>
      </c>
      <c r="AI67" s="556">
        <f>$F$1*(Detached!AF43-Savings_Detached!AF218)</f>
        <v>1.690741647865392E-2</v>
      </c>
      <c r="AJ67" s="556">
        <f>$F$1*(Detached!AG43-Savings_Detached!AG218)</f>
        <v>2.0657805363566838E-2</v>
      </c>
      <c r="AK67" s="556">
        <f>$F$1*(Detached!AH43-Savings_Detached!AH218)</f>
        <v>8.8863517131375254E-3</v>
      </c>
      <c r="AL67" s="556">
        <f>$F$1*(Detached!AI43-Savings_Detached!AI218)</f>
        <v>2.2803692053701204E-2</v>
      </c>
      <c r="AM67" s="556">
        <f>$F$1*(Detached!AJ43-Savings_Detached!AJ218)</f>
        <v>1.7939903227497087E-2</v>
      </c>
      <c r="AN67" s="556">
        <f>$F$1*(Detached!AK43-Savings_Detached!AK218)</f>
        <v>1.9366121759128881E-2</v>
      </c>
      <c r="AO67" s="556">
        <f>$F$1*(Detached!AL43-Savings_Detached!AL218)</f>
        <v>1.657440464295537E-2</v>
      </c>
      <c r="AP67" s="556">
        <f>$F$1*(Detached!AM43-Savings_Detached!AM218)</f>
        <v>1.6497097868680598E-2</v>
      </c>
      <c r="AQ67" s="556">
        <f>$F$1*(Detached!AN43-Savings_Detached!AN218)</f>
        <v>1.6497097868680598E-2</v>
      </c>
      <c r="AT67" s="5" t="s">
        <v>330</v>
      </c>
    </row>
    <row r="68" spans="1:46">
      <c r="A68" s="5" t="str">
        <f t="shared" si="1"/>
        <v>OUTPUT</v>
      </c>
      <c r="B68" s="5" t="s">
        <v>616</v>
      </c>
      <c r="C68" s="5" t="str">
        <f t="shared" si="2"/>
        <v>Bldg_DETPre99-Wal</v>
      </c>
      <c r="D68" s="5" t="s">
        <v>302</v>
      </c>
      <c r="E68" s="5" t="s">
        <v>331</v>
      </c>
      <c r="F68" s="5" t="s">
        <v>606</v>
      </c>
      <c r="G68" s="556">
        <f>$F$1*(Detached!D44-Savings_Detached!D219)</f>
        <v>1.09941759053034E-2</v>
      </c>
      <c r="H68" s="556">
        <f>$F$1*(Detached!E44-Savings_Detached!E219)</f>
        <v>3.2398058689136713E-2</v>
      </c>
      <c r="I68" s="556">
        <f>$F$1*(Detached!F44-Savings_Detached!F219)</f>
        <v>1.1871329494316437E-2</v>
      </c>
      <c r="J68" s="556">
        <f>$F$1*(Detached!G44-Savings_Detached!G219)</f>
        <v>1.071116969845172E-2</v>
      </c>
      <c r="K68" s="556">
        <f>$F$1*(Detached!H44-Savings_Detached!H219)</f>
        <v>6.3662659781793763E-3</v>
      </c>
      <c r="L68" s="556">
        <f>$F$1*(Detached!I44-Savings_Detached!I219)</f>
        <v>8.129063660860034E-3</v>
      </c>
      <c r="M68" s="556">
        <f>$F$1*(Detached!J44-Savings_Detached!J219)</f>
        <v>4.0251438577497368E-3</v>
      </c>
      <c r="N68" s="556">
        <f>$F$1*(Detached!K44-Savings_Detached!K219)</f>
        <v>6.9458861732935827E-3</v>
      </c>
      <c r="O68" s="556">
        <f>$F$1*(Detached!L44-Savings_Detached!L219)</f>
        <v>3.5114606117377088E-3</v>
      </c>
      <c r="P68" s="556">
        <f>$F$1*(Detached!M44-Savings_Detached!M219)</f>
        <v>2.1700687079915546E-2</v>
      </c>
      <c r="Q68" s="556">
        <f>$F$1*(Detached!N44-Savings_Detached!N219)</f>
        <v>6.7527200007520541E-3</v>
      </c>
      <c r="R68" s="556">
        <f>$F$1*(Detached!O44-Savings_Detached!O219)</f>
        <v>5.3211545068503332E-3</v>
      </c>
      <c r="S68" s="556">
        <f>$F$1*(Detached!P44-Savings_Detached!P219)</f>
        <v>2.2803692053701204E-2</v>
      </c>
      <c r="T68" s="556">
        <f>$F$1*(Detached!Q44-Savings_Detached!Q219)</f>
        <v>1.0313377495713504E-2</v>
      </c>
      <c r="U68" s="556">
        <f>$F$1*(Detached!R44-Savings_Detached!R219)</f>
        <v>1.3564013516345372E-2</v>
      </c>
      <c r="V68" s="556">
        <f>$F$1*(Detached!S44-Savings_Detached!S219)</f>
        <v>1.5242711846831734E-2</v>
      </c>
      <c r="W68" s="556">
        <f>$F$1*(Detached!T44-Savings_Detached!T219)</f>
        <v>5.7438520895285779E-3</v>
      </c>
      <c r="X68" s="556">
        <f>$F$1*(Detached!U44-Savings_Detached!U219)</f>
        <v>1.0366635385006972E-2</v>
      </c>
      <c r="Y68" s="556">
        <f>$F$1*(Detached!V44-Savings_Detached!V219)</f>
        <v>1.1902600751815172E-2</v>
      </c>
      <c r="Z68" s="556">
        <f>$F$1*(Detached!W44-Savings_Detached!W219)</f>
        <v>7.5149544925555206E-3</v>
      </c>
      <c r="AA68" s="556">
        <f>$F$1*(Detached!X44-Savings_Detached!X219)</f>
        <v>1.1298032228671926E-2</v>
      </c>
      <c r="AB68" s="556">
        <f>$F$1*(Detached!Y44-Savings_Detached!Y219)</f>
        <v>6.3483498053779558E-3</v>
      </c>
      <c r="AC68" s="556">
        <f>$F$1*(Detached!Z44-Savings_Detached!Z219)</f>
        <v>8.4896749762637391E-3</v>
      </c>
      <c r="AD68" s="556">
        <f>$F$1*(Detached!AA44-Savings_Detached!AA219)</f>
        <v>3.7857469763130313E-3</v>
      </c>
      <c r="AE68" s="556">
        <f>$F$1*(Detached!AB44-Savings_Detached!AB219)</f>
        <v>1.5258117105967644E-2</v>
      </c>
      <c r="AF68" s="556">
        <f>$F$1*(Detached!AC44-Savings_Detached!AC219)</f>
        <v>1.026594088566099E-2</v>
      </c>
      <c r="AG68" s="556">
        <f>$F$1*(Detached!AD44-Savings_Detached!AD219)</f>
        <v>2.1734326235662141E-2</v>
      </c>
      <c r="AH68" s="556">
        <f>$F$1*(Detached!AE44-Savings_Detached!AE219)</f>
        <v>3.650302256296169E-3</v>
      </c>
      <c r="AI68" s="556">
        <f>$F$1*(Detached!AF44-Savings_Detached!AF219)</f>
        <v>1.0289200610337482E-2</v>
      </c>
      <c r="AJ68" s="556">
        <f>$F$1*(Detached!AG44-Savings_Detached!AG219)</f>
        <v>2.1034956131966723E-2</v>
      </c>
      <c r="AK68" s="556">
        <f>$F$1*(Detached!AH44-Savings_Detached!AH219)</f>
        <v>5.9869260399591324E-3</v>
      </c>
      <c r="AL68" s="556">
        <f>$F$1*(Detached!AI44-Savings_Detached!AI219)</f>
        <v>2.2803692053701204E-2</v>
      </c>
      <c r="AM68" s="556">
        <f>$F$1*(Detached!AJ44-Savings_Detached!AJ219)</f>
        <v>1.6183324503123524E-2</v>
      </c>
      <c r="AN68" s="556">
        <f>$F$1*(Detached!AK44-Savings_Detached!AK219)</f>
        <v>1.7487345491518601E-2</v>
      </c>
      <c r="AO68" s="556">
        <f>$F$1*(Detached!AL44-Savings_Detached!AL219)</f>
        <v>1.2545455533100169E-2</v>
      </c>
      <c r="AP68" s="556">
        <f>$F$1*(Detached!AM44-Savings_Detached!AM219)</f>
        <v>1.4881790876075609E-2</v>
      </c>
      <c r="AQ68" s="556">
        <f>$F$1*(Detached!AN44-Savings_Detached!AN219)</f>
        <v>1.4881790876075609E-2</v>
      </c>
      <c r="AT68" s="5" t="s">
        <v>331</v>
      </c>
    </row>
    <row r="69" spans="1:46">
      <c r="A69" s="5" t="str">
        <f t="shared" si="1"/>
        <v>OUTPUT</v>
      </c>
      <c r="B69" s="5" t="s">
        <v>616</v>
      </c>
      <c r="C69" s="5" t="str">
        <f t="shared" si="2"/>
        <v>Bldg_DETPre09-Wal</v>
      </c>
      <c r="D69" s="5" t="s">
        <v>302</v>
      </c>
      <c r="E69" s="5" t="s">
        <v>332</v>
      </c>
      <c r="F69" s="5" t="s">
        <v>606</v>
      </c>
      <c r="G69" s="556">
        <f>$F$1*(Detached!D45-Savings_Detached!D220)</f>
        <v>9.6390275818296518E-3</v>
      </c>
      <c r="H69" s="556">
        <f>$F$1*(Detached!E45-Savings_Detached!E220)</f>
        <v>1.491989065534737E-2</v>
      </c>
      <c r="I69" s="556">
        <f>$F$1*(Detached!F45-Savings_Detached!F220)</f>
        <v>4.1718408625754499E-3</v>
      </c>
      <c r="J69" s="556">
        <f>$F$1*(Detached!G45-Savings_Detached!G220)</f>
        <v>9.3909048796672698E-3</v>
      </c>
      <c r="K69" s="556">
        <f>$F$1*(Detached!H45-Savings_Detached!H220)</f>
        <v>6.5514362253963447E-3</v>
      </c>
      <c r="L69" s="556">
        <f>$F$1*(Detached!I45-Savings_Detached!I220)</f>
        <v>6.6159649984233676E-3</v>
      </c>
      <c r="M69" s="556">
        <f>$F$1*(Detached!J45-Savings_Detached!J220)</f>
        <v>5.6437466799014986E-3</v>
      </c>
      <c r="N69" s="556">
        <f>$F$1*(Detached!K45-Savings_Detached!K220)</f>
        <v>4.255758249775427E-3</v>
      </c>
      <c r="O69" s="556">
        <f>$F$1*(Detached!L45-Savings_Detached!L220)</f>
        <v>3.5114606117377088E-3</v>
      </c>
      <c r="P69" s="556">
        <f>$F$1*(Detached!M45-Savings_Detached!M220)</f>
        <v>9.5652318154662436E-3</v>
      </c>
      <c r="Q69" s="556">
        <f>$F$1*(Detached!N45-Savings_Detached!N220)</f>
        <v>6.126852034308068E-3</v>
      </c>
      <c r="R69" s="556">
        <f>$F$1*(Detached!O45-Savings_Detached!O220)</f>
        <v>5.0439945597839531E-3</v>
      </c>
      <c r="S69" s="556">
        <f>$F$1*(Detached!P45-Savings_Detached!P220)</f>
        <v>5.1561134462062719E-3</v>
      </c>
      <c r="T69" s="556">
        <f>$F$1*(Detached!Q45-Savings_Detached!Q220)</f>
        <v>3.0864232302965644E-3</v>
      </c>
      <c r="U69" s="556">
        <f>$F$1*(Detached!R45-Savings_Detached!R220)</f>
        <v>6.6006802242094863E-3</v>
      </c>
      <c r="V69" s="556">
        <f>$F$1*(Detached!S45-Savings_Detached!S220)</f>
        <v>4.639863696229425E-3</v>
      </c>
      <c r="W69" s="556">
        <f>$F$1*(Detached!T45-Savings_Detached!T220)</f>
        <v>5.2114898671311062E-3</v>
      </c>
      <c r="X69" s="556">
        <f>$F$1*(Detached!U45-Savings_Detached!U220)</f>
        <v>1.0499256516295963E-2</v>
      </c>
      <c r="Y69" s="556">
        <f>$F$1*(Detached!V45-Savings_Detached!V220)</f>
        <v>2.3223760134614638E-3</v>
      </c>
      <c r="Z69" s="556">
        <f>$F$1*(Detached!W45-Savings_Detached!W220)</f>
        <v>4.8954177239232746E-3</v>
      </c>
      <c r="AA69" s="556">
        <f>$F$1*(Detached!X45-Savings_Detached!X220)</f>
        <v>2.4323668587757801E-3</v>
      </c>
      <c r="AB69" s="556">
        <f>$F$1*(Detached!Y45-Savings_Detached!Y220)</f>
        <v>5.5646572105221533E-3</v>
      </c>
      <c r="AC69" s="556">
        <f>$F$1*(Detached!Z45-Savings_Detached!Z220)</f>
        <v>6.2276003012667778E-3</v>
      </c>
      <c r="AD69" s="556">
        <f>$F$1*(Detached!AA45-Savings_Detached!AA220)</f>
        <v>3.8916460586889217E-3</v>
      </c>
      <c r="AE69" s="556">
        <f>$F$1*(Detached!AB45-Savings_Detached!AB220)</f>
        <v>7.315438508196946E-3</v>
      </c>
      <c r="AF69" s="556">
        <f>$F$1*(Detached!AC45-Savings_Detached!AC220)</f>
        <v>6.2004242470964314E-3</v>
      </c>
      <c r="AG69" s="556">
        <f>$F$1*(Detached!AD45-Savings_Detached!AD220)</f>
        <v>1.4202372009985741E-2</v>
      </c>
      <c r="AH69" s="556">
        <f>$F$1*(Detached!AE45-Savings_Detached!AE220)</f>
        <v>3.7524125298445759E-3</v>
      </c>
      <c r="AI69" s="556">
        <f>$F$1*(Detached!AF45-Savings_Detached!AF220)</f>
        <v>3.6026014322240348E-3</v>
      </c>
      <c r="AJ69" s="556">
        <f>$F$1*(Detached!AG45-Savings_Detached!AG220)</f>
        <v>7.9000066400627452E-3</v>
      </c>
      <c r="AK69" s="556">
        <f>$F$1*(Detached!AH45-Savings_Detached!AH220)</f>
        <v>3.9277840595392677E-3</v>
      </c>
      <c r="AL69" s="556">
        <f>$F$1*(Detached!AI45-Savings_Detached!AI220)</f>
        <v>5.1561134462062719E-3</v>
      </c>
      <c r="AM69" s="556">
        <f>$F$1*(Detached!AJ45-Savings_Detached!AJ220)</f>
        <v>1.2808262574395551E-2</v>
      </c>
      <c r="AN69" s="556">
        <f>$F$1*(Detached!AK45-Savings_Detached!AK220)</f>
        <v>1.3833445202529902E-2</v>
      </c>
      <c r="AO69" s="556">
        <f>$F$1*(Detached!AL45-Savings_Detached!AL220)</f>
        <v>4.4103244954514101E-3</v>
      </c>
      <c r="AP69" s="556">
        <f>$F$1*(Detached!AM45-Savings_Detached!AM220)</f>
        <v>1.177816616611938E-2</v>
      </c>
      <c r="AQ69" s="556">
        <f>$F$1*(Detached!AN45-Savings_Detached!AN220)</f>
        <v>1.177816616611938E-2</v>
      </c>
      <c r="AT69" s="5" t="s">
        <v>332</v>
      </c>
    </row>
    <row r="70" spans="1:46">
      <c r="A70" s="5" t="str">
        <f t="shared" si="1"/>
        <v>\I:</v>
      </c>
      <c r="C70" s="5" t="str">
        <f t="shared" si="2"/>
        <v/>
      </c>
      <c r="E70" s="5" t="s">
        <v>623</v>
      </c>
    </row>
    <row r="71" spans="1:46" ht="15" thickBot="1">
      <c r="A71" s="494" t="str">
        <f t="shared" ref="A71:A74" si="3">IF(F71=$F$7,"\I:",IF(F71=$F$8,"OUTPUT","\I:"))</f>
        <v>\I:</v>
      </c>
      <c r="B71" s="494"/>
      <c r="C71" s="494" t="str">
        <f t="shared" si="2"/>
        <v/>
      </c>
      <c r="D71" s="494"/>
      <c r="E71" s="494" t="s">
        <v>623</v>
      </c>
      <c r="F71" s="494"/>
      <c r="G71" s="494"/>
      <c r="H71" s="494"/>
      <c r="I71" s="494"/>
      <c r="J71" s="494"/>
      <c r="K71" s="494"/>
      <c r="L71" s="494"/>
      <c r="M71" s="494"/>
      <c r="N71" s="494"/>
      <c r="O71" s="494"/>
      <c r="P71" s="494"/>
      <c r="Q71" s="494"/>
      <c r="R71" s="494"/>
      <c r="S71" s="494"/>
      <c r="T71" s="494"/>
      <c r="U71" s="494"/>
      <c r="V71" s="494"/>
      <c r="W71" s="494"/>
      <c r="X71" s="494"/>
      <c r="Y71" s="494"/>
      <c r="Z71" s="494"/>
      <c r="AA71" s="494"/>
      <c r="AB71" s="494"/>
      <c r="AC71" s="494"/>
      <c r="AD71" s="494"/>
      <c r="AE71" s="494"/>
      <c r="AF71" s="494"/>
      <c r="AG71" s="494"/>
      <c r="AH71" s="494"/>
      <c r="AI71" s="494"/>
      <c r="AJ71" s="494"/>
      <c r="AK71" s="494"/>
      <c r="AL71" s="494"/>
      <c r="AM71" s="494"/>
      <c r="AN71" s="494"/>
      <c r="AO71" s="494"/>
      <c r="AP71" s="494"/>
      <c r="AQ71" s="494"/>
      <c r="AT71" s="494"/>
    </row>
    <row r="72" spans="1:46">
      <c r="A72" s="5" t="str">
        <f t="shared" si="3"/>
        <v>\I:</v>
      </c>
      <c r="C72" s="5" t="str">
        <f t="shared" ref="C72:C135" si="4">IF(B72&lt;&gt;"","Bldg_"&amp;LEFT(E72,8)&amp;"-"&amp;LEFT(D72,3),"")</f>
        <v/>
      </c>
      <c r="E72" s="5" t="s">
        <v>623</v>
      </c>
    </row>
    <row r="73" spans="1:46">
      <c r="A73" s="5" t="str">
        <f t="shared" si="3"/>
        <v>\I:</v>
      </c>
      <c r="C73" s="5" t="str">
        <f t="shared" si="4"/>
        <v/>
      </c>
      <c r="E73" s="162" t="s">
        <v>623</v>
      </c>
      <c r="G73" s="5" t="s">
        <v>88</v>
      </c>
      <c r="H73" s="5" t="s">
        <v>89</v>
      </c>
      <c r="I73" s="5" t="s">
        <v>90</v>
      </c>
      <c r="J73" s="5" t="s">
        <v>91</v>
      </c>
      <c r="K73" s="5" t="s">
        <v>92</v>
      </c>
      <c r="L73" s="5" t="s">
        <v>93</v>
      </c>
      <c r="M73" s="5" t="s">
        <v>94</v>
      </c>
      <c r="N73" s="5" t="s">
        <v>95</v>
      </c>
      <c r="O73" s="5" t="s">
        <v>96</v>
      </c>
      <c r="P73" s="5" t="s">
        <v>97</v>
      </c>
      <c r="Q73" s="5" t="s">
        <v>98</v>
      </c>
      <c r="R73" s="5" t="s">
        <v>99</v>
      </c>
      <c r="S73" s="5" t="s">
        <v>205</v>
      </c>
      <c r="T73" s="5" t="s">
        <v>118</v>
      </c>
      <c r="U73" s="5" t="s">
        <v>100</v>
      </c>
      <c r="V73" s="5" t="s">
        <v>101</v>
      </c>
      <c r="W73" s="5" t="s">
        <v>102</v>
      </c>
      <c r="X73" s="5" t="s">
        <v>103</v>
      </c>
      <c r="Y73" s="5" t="s">
        <v>104</v>
      </c>
      <c r="Z73" s="5" t="s">
        <v>105</v>
      </c>
      <c r="AA73" s="5" t="s">
        <v>106</v>
      </c>
      <c r="AB73" s="5" t="s">
        <v>107</v>
      </c>
      <c r="AC73" s="5" t="s">
        <v>108</v>
      </c>
      <c r="AD73" s="5" t="s">
        <v>109</v>
      </c>
      <c r="AE73" s="5" t="s">
        <v>110</v>
      </c>
      <c r="AF73" s="5" t="s">
        <v>111</v>
      </c>
      <c r="AG73" s="5" t="s">
        <v>112</v>
      </c>
      <c r="AH73" s="5" t="s">
        <v>113</v>
      </c>
      <c r="AI73" s="5" t="s">
        <v>114</v>
      </c>
      <c r="AJ73" s="5" t="s">
        <v>115</v>
      </c>
      <c r="AK73" s="5" t="s">
        <v>52</v>
      </c>
      <c r="AL73" s="5" t="s">
        <v>116</v>
      </c>
      <c r="AM73" s="5" t="s">
        <v>117</v>
      </c>
      <c r="AN73" s="5" t="s">
        <v>119</v>
      </c>
      <c r="AO73" s="5" t="s">
        <v>120</v>
      </c>
      <c r="AP73" s="5" t="s">
        <v>121</v>
      </c>
      <c r="AQ73" s="5" t="s">
        <v>122</v>
      </c>
      <c r="AT73" s="491" t="s">
        <v>85</v>
      </c>
    </row>
    <row r="74" spans="1:46">
      <c r="A74" s="135" t="str">
        <f t="shared" si="3"/>
        <v>\I:</v>
      </c>
      <c r="C74" s="5" t="str">
        <f t="shared" si="4"/>
        <v/>
      </c>
      <c r="E74" s="162" t="s">
        <v>623</v>
      </c>
      <c r="F74" s="135" t="s">
        <v>393</v>
      </c>
      <c r="G74" s="492">
        <f>G92*'Energy Efficiency Measures-DBT'!D55/'Energy Efficiency Measures-DBT'!D57</f>
        <v>23.742515594684239</v>
      </c>
      <c r="H74" s="492">
        <f>H92*'Energy Efficiency Measures-DBT'!E55/'Energy Efficiency Measures-DBT'!E57</f>
        <v>30.243065696680517</v>
      </c>
      <c r="I74" s="492">
        <f>I92*'Energy Efficiency Measures-DBT'!F55/'Energy Efficiency Measures-DBT'!F57</f>
        <v>24.661376127944717</v>
      </c>
      <c r="J74" s="492">
        <f>J92*'Energy Efficiency Measures-DBT'!G55/'Energy Efficiency Measures-DBT'!G57</f>
        <v>22.667531184720911</v>
      </c>
      <c r="K74" s="492">
        <f>K92*'Energy Efficiency Measures-DBT'!H55/'Energy Efficiency Measures-DBT'!H57</f>
        <v>35.367170253036619</v>
      </c>
      <c r="L74" s="492">
        <f>L92*'Energy Efficiency Measures-DBT'!I55/'Energy Efficiency Measures-DBT'!I57</f>
        <v>20.855929205702914</v>
      </c>
      <c r="M74" s="492">
        <f>M92*'Energy Efficiency Measures-DBT'!J55/'Energy Efficiency Measures-DBT'!J57</f>
        <v>26.61984631308669</v>
      </c>
      <c r="N74" s="492">
        <f>N92*'Energy Efficiency Measures-DBT'!K55/'Energy Efficiency Measures-DBT'!K57</f>
        <v>27.403889304412868</v>
      </c>
      <c r="O74" s="492">
        <f>O92*'Energy Efficiency Measures-DBT'!L55/'Energy Efficiency Measures-DBT'!L57</f>
        <v>18.531577408420638</v>
      </c>
      <c r="P74" s="492">
        <f>P92*'Energy Efficiency Measures-DBT'!M55/'Energy Efficiency Measures-DBT'!M57</f>
        <v>39.333265540442127</v>
      </c>
      <c r="Q74" s="492">
        <f>Q92*'Energy Efficiency Measures-DBT'!N55/'Energy Efficiency Measures-DBT'!N57</f>
        <v>37.098008116807385</v>
      </c>
      <c r="R74" s="492">
        <f>R92*'Energy Efficiency Measures-DBT'!O55/'Energy Efficiency Measures-DBT'!O57</f>
        <v>34.692846070422547</v>
      </c>
      <c r="S74" s="492">
        <f>S92*'Energy Efficiency Measures-DBT'!P55/'Energy Efficiency Measures-DBT'!P57</f>
        <v>36.500788873821506</v>
      </c>
      <c r="T74" s="492">
        <f>T92*'Energy Efficiency Measures-DBT'!Q55/'Energy Efficiency Measures-DBT'!Q57</f>
        <v>23.247883855430107</v>
      </c>
      <c r="U74" s="492">
        <f>U92*'Energy Efficiency Measures-DBT'!R55/'Energy Efficiency Measures-DBT'!R57</f>
        <v>17.138880845205623</v>
      </c>
      <c r="V74" s="492">
        <f>V92*'Energy Efficiency Measures-DBT'!S55/'Energy Efficiency Measures-DBT'!S57</f>
        <v>23.798379210376961</v>
      </c>
      <c r="W74" s="492">
        <f>W92*'Energy Efficiency Measures-DBT'!T55/'Energy Efficiency Measures-DBT'!T57</f>
        <v>36.671821305841917</v>
      </c>
      <c r="X74" s="492">
        <f>X92*'Energy Efficiency Measures-DBT'!U55/'Energy Efficiency Measures-DBT'!U57</f>
        <v>28.615689191380838</v>
      </c>
      <c r="Y74" s="492">
        <f>Y92*'Energy Efficiency Measures-DBT'!V55/'Energy Efficiency Measures-DBT'!V57</f>
        <v>16.296862506660485</v>
      </c>
      <c r="Z74" s="492">
        <f>Z92*'Energy Efficiency Measures-DBT'!W55/'Energy Efficiency Measures-DBT'!W57</f>
        <v>39.902099383173727</v>
      </c>
      <c r="AA74" s="492">
        <f>AA92*'Energy Efficiency Measures-DBT'!X55/'Energy Efficiency Measures-DBT'!X57</f>
        <v>16.574789325842694</v>
      </c>
      <c r="AB74" s="492">
        <f>AB92*'Energy Efficiency Measures-DBT'!Y55/'Energy Efficiency Measures-DBT'!Y57</f>
        <v>29.662516045291945</v>
      </c>
      <c r="AC74" s="492">
        <f>AC92*'Energy Efficiency Measures-DBT'!Z55/'Energy Efficiency Measures-DBT'!Z57</f>
        <v>23.101942157323084</v>
      </c>
      <c r="AD74" s="492">
        <f>AD92*'Energy Efficiency Measures-DBT'!AA55/'Energy Efficiency Measures-DBT'!AA57</f>
        <v>28.797695784762308</v>
      </c>
      <c r="AE74" s="492">
        <f>AE92*'Energy Efficiency Measures-DBT'!AB55/'Energy Efficiency Measures-DBT'!AB57</f>
        <v>16.570887651008018</v>
      </c>
      <c r="AF74" s="492">
        <f>AF92*'Energy Efficiency Measures-DBT'!AC55/'Energy Efficiency Measures-DBT'!AC57</f>
        <v>39.72496940561637</v>
      </c>
      <c r="AG74" s="492">
        <f>AG92*'Energy Efficiency Measures-DBT'!AD55/'Energy Efficiency Measures-DBT'!AD57</f>
        <v>22.193703335042134</v>
      </c>
      <c r="AH74" s="492">
        <f>AH92*'Energy Efficiency Measures-DBT'!AE55/'Energy Efficiency Measures-DBT'!AE57</f>
        <v>29.528363899736657</v>
      </c>
      <c r="AI74" s="492">
        <f>AI92*'Energy Efficiency Measures-DBT'!AF55/'Energy Efficiency Measures-DBT'!AF57</f>
        <v>16.787675576622732</v>
      </c>
      <c r="AJ74" s="492">
        <f>AJ92*'Energy Efficiency Measures-DBT'!AG55/'Energy Efficiency Measures-DBT'!AG57</f>
        <v>22.326255296053002</v>
      </c>
      <c r="AK74" s="492">
        <f>AK92*'Energy Efficiency Measures-DBT'!AH55/'Energy Efficiency Measures-DBT'!AH57</f>
        <v>32.927531399065764</v>
      </c>
      <c r="AL74" s="492">
        <f>AL92*'Energy Efficiency Measures-DBT'!AI55/'Energy Efficiency Measures-DBT'!AI57</f>
        <v>17.109744784603823</v>
      </c>
      <c r="AM74" s="492">
        <f>AM92*'Energy Efficiency Measures-DBT'!AJ55/'Energy Efficiency Measures-DBT'!AJ57</f>
        <v>23.247883855430103</v>
      </c>
      <c r="AN74" s="492">
        <f>AN92*'Energy Efficiency Measures-DBT'!AK55/'Energy Efficiency Measures-DBT'!AK57</f>
        <v>17.109744784603823</v>
      </c>
      <c r="AO74" s="492">
        <f>AO92*'Energy Efficiency Measures-DBT'!AL55/'Energy Efficiency Measures-DBT'!AL57</f>
        <v>22.813221760216535</v>
      </c>
      <c r="AP74" s="492">
        <f>AP92*'Energy Efficiency Measures-DBT'!AM55/'Energy Efficiency Measures-DBT'!AM57</f>
        <v>23.247883855430107</v>
      </c>
      <c r="AQ74" s="492">
        <f>AQ92*'Energy Efficiency Measures-DBT'!AN55/'Energy Efficiency Measures-DBT'!AN57</f>
        <v>23.247883855430103</v>
      </c>
      <c r="AT74" s="162"/>
    </row>
    <row r="75" spans="1:46">
      <c r="A75" s="135" t="str">
        <f t="shared" ref="A75:A138" si="5">IF(F75=$F$75,"\I:",IF(F75=$F$8,"OUTPUT","\I:"))</f>
        <v>\I:</v>
      </c>
      <c r="C75" s="5" t="str">
        <f t="shared" si="4"/>
        <v/>
      </c>
      <c r="E75" s="162" t="s">
        <v>333</v>
      </c>
      <c r="F75" s="135" t="s">
        <v>625</v>
      </c>
      <c r="G75" s="214">
        <f>G74*Semidetached!D5</f>
        <v>14579.999999999996</v>
      </c>
      <c r="H75" s="214">
        <f>H74*Semidetached!E5</f>
        <v>18899.999999999996</v>
      </c>
      <c r="I75" s="214">
        <f>I74*Semidetached!F5</f>
        <v>8099.9999999999982</v>
      </c>
      <c r="J75" s="214">
        <f>J74*Semidetached!G5</f>
        <v>14579.999999999998</v>
      </c>
      <c r="K75" s="214">
        <f>K74*Semidetached!H5</f>
        <v>17280</v>
      </c>
      <c r="L75" s="214">
        <f>L74*Semidetached!I5</f>
        <v>10799.999999999996</v>
      </c>
      <c r="M75" s="214">
        <f>M74*Semidetached!J5</f>
        <v>15280.851063829781</v>
      </c>
      <c r="N75" s="214">
        <f>N74*Semidetached!K5</f>
        <v>18900</v>
      </c>
      <c r="O75" s="214">
        <f>O74*Semidetached!L5</f>
        <v>8099.9999999999982</v>
      </c>
      <c r="P75" s="214">
        <f>P74*Semidetached!M5</f>
        <v>24299.999999999996</v>
      </c>
      <c r="Q75" s="214">
        <f>Q74*Semidetached!N5</f>
        <v>18899.999999999996</v>
      </c>
      <c r="R75" s="214">
        <f>R74*Semidetached!O5</f>
        <v>20520</v>
      </c>
      <c r="S75" s="214">
        <f>S74*Semidetached!P5</f>
        <v>11520.000000000002</v>
      </c>
      <c r="T75" s="214">
        <f>T74*Semidetached!Q5</f>
        <v>8099.9999999999973</v>
      </c>
      <c r="U75" s="214">
        <f>U74*Semidetached!R5</f>
        <v>8099.9999999999991</v>
      </c>
      <c r="V75" s="214">
        <f>V74*Semidetached!S5</f>
        <v>15280.851063829785</v>
      </c>
      <c r="W75" s="214">
        <f>W74*Semidetached!T5</f>
        <v>18900</v>
      </c>
      <c r="X75" s="214">
        <f>X74*Semidetached!U5</f>
        <v>17279.999999999996</v>
      </c>
      <c r="Y75" s="214">
        <f>Y74*Semidetached!V5</f>
        <v>8099.9999999999991</v>
      </c>
      <c r="Z75" s="214">
        <f>Z74*Semidetached!W5</f>
        <v>12600</v>
      </c>
      <c r="AA75" s="214">
        <f>AA74*Semidetached!X5</f>
        <v>8099.9999999999982</v>
      </c>
      <c r="AB75" s="214">
        <f>AB74*Semidetached!Y5</f>
        <v>17280</v>
      </c>
      <c r="AC75" s="214">
        <f>AC74*Semidetached!Z5</f>
        <v>15280.851063829785</v>
      </c>
      <c r="AD75" s="214">
        <f>AD74*Semidetached!AA5</f>
        <v>18899.999999999996</v>
      </c>
      <c r="AE75" s="214">
        <f>AE74*Semidetached!AB5</f>
        <v>8099.9999999999982</v>
      </c>
      <c r="AF75" s="214">
        <f>AF74*Semidetached!AC5</f>
        <v>24299.999999999996</v>
      </c>
      <c r="AG75" s="214">
        <f>AG74*Semidetached!AD5</f>
        <v>8099.9999999999982</v>
      </c>
      <c r="AH75" s="214">
        <f>AH74*Semidetached!AE5</f>
        <v>18899.999999999996</v>
      </c>
      <c r="AI75" s="214">
        <f>AI74*Semidetached!AF5</f>
        <v>8099.9999999999982</v>
      </c>
      <c r="AJ75" s="214">
        <f>AJ74*Semidetached!AG5</f>
        <v>10799.999999999996</v>
      </c>
      <c r="AK75" s="214">
        <f>AK74*Semidetached!AH5</f>
        <v>15280.851063829781</v>
      </c>
      <c r="AL75" s="214">
        <f>AL74*Semidetached!AI5</f>
        <v>8099.9999999999982</v>
      </c>
      <c r="AM75" s="214">
        <f>AM74*Semidetached!AJ5</f>
        <v>8099.9999999999973</v>
      </c>
      <c r="AN75" s="214">
        <f>AN74*Semidetached!AK5</f>
        <v>8099.9999999999991</v>
      </c>
      <c r="AO75" s="214">
        <f>AO74*Semidetached!AL5</f>
        <v>8099.9999999999982</v>
      </c>
      <c r="AP75" s="214">
        <f>AP74*Semidetached!AM5</f>
        <v>8099.9999999999973</v>
      </c>
      <c r="AQ75" s="214">
        <f>AQ74*Semidetached!AN5</f>
        <v>8099.9999999999973</v>
      </c>
      <c r="AT75" s="162"/>
    </row>
    <row r="76" spans="1:46">
      <c r="A76" s="5" t="str">
        <f t="shared" si="5"/>
        <v>OUTPUT</v>
      </c>
      <c r="B76" s="5" t="s">
        <v>617</v>
      </c>
      <c r="C76" s="5" t="str">
        <f t="shared" si="4"/>
        <v>Bldg_SDEPre45-Win</v>
      </c>
      <c r="D76" s="5" t="s">
        <v>78</v>
      </c>
      <c r="E76" s="5" t="s">
        <v>333</v>
      </c>
      <c r="F76" s="5" t="s">
        <v>606</v>
      </c>
      <c r="G76" s="556">
        <f>$F$1*(Semidetached!D41-Savings_SemiDet!D17)</f>
        <v>-3.2625623265097387E-4</v>
      </c>
      <c r="H76" s="556">
        <f>$F$1*(Semidetached!E41-Savings_SemiDet!E17)</f>
        <v>1.5796211684599448E-3</v>
      </c>
      <c r="I76" s="556">
        <f>$F$1*(Semidetached!F41-Savings_SemiDet!F17)</f>
        <v>-6.0202772349456801E-5</v>
      </c>
      <c r="J76" s="556">
        <f>$F$1*(Semidetached!G41-Savings_SemiDet!G17)</f>
        <v>-3.1809663511248222E-4</v>
      </c>
      <c r="K76" s="556">
        <f>$F$1*(Semidetached!H41-Savings_SemiDet!H17)</f>
        <v>0</v>
      </c>
      <c r="L76" s="556">
        <f>$F$1*(Semidetached!I41-Savings_SemiDet!I17)</f>
        <v>1.674321515777105E-4</v>
      </c>
      <c r="M76" s="556">
        <f>$F$1*(Semidetached!J41-Savings_SemiDet!J17)</f>
        <v>1.1493742310903256E-3</v>
      </c>
      <c r="N76" s="556">
        <f>$F$1*(Semidetached!K41-Savings_SemiDet!K17)</f>
        <v>-2.8238839107366445E-4</v>
      </c>
      <c r="O76" s="556">
        <f>$F$1*(Semidetached!L41-Savings_SemiDet!L17)</f>
        <v>-2.2713266718087559E-3</v>
      </c>
      <c r="P76" s="556">
        <f>$F$1*(Semidetached!M41-Savings_SemiDet!M17)</f>
        <v>2.3047363516941512E-3</v>
      </c>
      <c r="Q76" s="556">
        <f>$F$1*(Semidetached!N41-Savings_SemiDet!N17)</f>
        <v>-1.4977824474669778E-3</v>
      </c>
      <c r="R76" s="556">
        <f>$F$1*(Semidetached!O41-Savings_SemiDet!O17)</f>
        <v>1.5486188259487654E-3</v>
      </c>
      <c r="S76" s="556">
        <f>$F$1*(Semidetached!P41-Savings_SemiDet!P17)</f>
        <v>2.8831168444733418E-4</v>
      </c>
      <c r="T76" s="556">
        <f>$F$1*(Semidetached!Q41-Savings_SemiDet!Q17)</f>
        <v>2.0140657657989878E-3</v>
      </c>
      <c r="U76" s="556">
        <f>$F$1*(Semidetached!R41-Savings_SemiDet!R17)</f>
        <v>-2.6459543488983693E-4</v>
      </c>
      <c r="V76" s="556">
        <f>$F$1*(Semidetached!S41-Savings_SemiDet!S17)</f>
        <v>1.8537537914058648E-3</v>
      </c>
      <c r="W76" s="556">
        <f>$F$1*(Semidetached!T41-Savings_SemiDet!T17)</f>
        <v>-1.2743798558272649E-3</v>
      </c>
      <c r="X76" s="556">
        <f>$F$1*(Semidetached!U41-Savings_SemiDet!U17)</f>
        <v>2.4555936275752126E-3</v>
      </c>
      <c r="Y76" s="556">
        <f>$F$1*(Semidetached!V41-Savings_SemiDet!V17)</f>
        <v>-1.0539210995023889E-3</v>
      </c>
      <c r="Z76" s="556">
        <f>$F$1*(Semidetached!W41-Savings_SemiDet!W17)</f>
        <v>2.5680155097943897E-3</v>
      </c>
      <c r="AA76" s="556">
        <f>$F$1*(Semidetached!X41-Savings_SemiDet!X17)</f>
        <v>0</v>
      </c>
      <c r="AB76" s="556">
        <f>$F$1*(Semidetached!Y41-Savings_SemiDet!Y17)</f>
        <v>7.0824479478199219E-4</v>
      </c>
      <c r="AC76" s="556">
        <f>$F$1*(Semidetached!Z41-Savings_SemiDet!Z17)</f>
        <v>1.3658930607845456E-3</v>
      </c>
      <c r="AD76" s="556">
        <f>$F$1*(Semidetached!AA41-Savings_SemiDet!AA17)</f>
        <v>-4.8963199167392389E-4</v>
      </c>
      <c r="AE76" s="556">
        <f>$F$1*(Semidetached!AB41-Savings_SemiDet!AB17)</f>
        <v>1.2779452832468294E-3</v>
      </c>
      <c r="AF76" s="556">
        <f>$F$1*(Semidetached!AC41-Savings_SemiDet!AC17)</f>
        <v>7.5077637821606565E-4</v>
      </c>
      <c r="AG76" s="556">
        <f>$F$1*(Semidetached!AD41-Savings_SemiDet!AD17)</f>
        <v>-1.3607697897481124E-4</v>
      </c>
      <c r="AH76" s="556">
        <f>$F$1*(Semidetached!AE41-Savings_SemiDet!AE17)</f>
        <v>-4.717250135746247E-4</v>
      </c>
      <c r="AI76" s="556">
        <f>$F$1*(Semidetached!AF41-Savings_SemiDet!AF17)</f>
        <v>-4.1813658986147281E-4</v>
      </c>
      <c r="AJ76" s="556">
        <f>$F$1*(Semidetached!AG41-Savings_SemiDet!AG17)</f>
        <v>1.4978426405220615E-3</v>
      </c>
      <c r="AK76" s="556">
        <f>$F$1*(Semidetached!AH41-Savings_SemiDet!AH17)</f>
        <v>1.6803748940030247E-3</v>
      </c>
      <c r="AL76" s="556">
        <f>$F$1*(Semidetached!AI41-Savings_SemiDet!AI17)</f>
        <v>2.8793565833509717E-4</v>
      </c>
      <c r="AM76" s="556">
        <f>$F$1*(Semidetached!AJ41-Savings_SemiDet!AJ17)</f>
        <v>3.9825432610494178E-4</v>
      </c>
      <c r="AN76" s="556">
        <f>$F$1*(Semidetached!AK41-Savings_SemiDet!AK17)</f>
        <v>3.5590949397137673E-4</v>
      </c>
      <c r="AO76" s="556">
        <f>$F$1*(Semidetached!AL41-Savings_SemiDet!AL17)</f>
        <v>-6.0296639576008616E-5</v>
      </c>
      <c r="AP76" s="556">
        <f>$F$1*(Semidetached!AM41-Savings_SemiDet!AM17)</f>
        <v>3.6622497407392011E-4</v>
      </c>
      <c r="AQ76" s="556">
        <f>$F$1*(Semidetached!AN41-Savings_SemiDet!AN17)</f>
        <v>3.6622497407392011E-4</v>
      </c>
      <c r="AT76" s="5" t="s">
        <v>333</v>
      </c>
    </row>
    <row r="77" spans="1:46">
      <c r="A77" s="5" t="str">
        <f t="shared" si="5"/>
        <v>OUTPUT</v>
      </c>
      <c r="B77" s="5" t="s">
        <v>617</v>
      </c>
      <c r="C77" s="5" t="str">
        <f t="shared" si="4"/>
        <v>Bldg_SDEPre69-Win</v>
      </c>
      <c r="D77" s="5" t="s">
        <v>78</v>
      </c>
      <c r="E77" s="5" t="s">
        <v>334</v>
      </c>
      <c r="F77" s="5" t="s">
        <v>606</v>
      </c>
      <c r="G77" s="556">
        <f>$F$1*(Semidetached!D42-Savings_SemiDet!D18)</f>
        <v>-3.3012517509140168E-4</v>
      </c>
      <c r="H77" s="556">
        <f>$F$1*(Semidetached!E42-Savings_SemiDet!E18)</f>
        <v>1.5796211684599448E-3</v>
      </c>
      <c r="I77" s="556">
        <f>$F$1*(Semidetached!F42-Savings_SemiDet!F18)</f>
        <v>-6.0202772349456801E-5</v>
      </c>
      <c r="J77" s="556">
        <f>$F$1*(Semidetached!G42-Savings_SemiDet!G18)</f>
        <v>-3.2182260048465254E-4</v>
      </c>
      <c r="K77" s="556">
        <f>$F$1*(Semidetached!H42-Savings_SemiDet!H18)</f>
        <v>0</v>
      </c>
      <c r="L77" s="556">
        <f>$F$1*(Semidetached!I42-Savings_SemiDet!I18)</f>
        <v>1.7388048799293977E-4</v>
      </c>
      <c r="M77" s="556">
        <f>$F$1*(Semidetached!J42-Savings_SemiDet!J18)</f>
        <v>-6.4177230679714567E-5</v>
      </c>
      <c r="N77" s="556">
        <f>$F$1*(Semidetached!K42-Savings_SemiDet!K18)</f>
        <v>-3.5229452562148586E-4</v>
      </c>
      <c r="O77" s="556">
        <f>$F$1*(Semidetached!L42-Savings_SemiDet!L18)</f>
        <v>-2.2713266718087559E-3</v>
      </c>
      <c r="P77" s="556">
        <f>$F$1*(Semidetached!M42-Savings_SemiDet!M18)</f>
        <v>2.349391547463075E-3</v>
      </c>
      <c r="Q77" s="556">
        <f>$F$1*(Semidetached!N42-Savings_SemiDet!N18)</f>
        <v>-1.5266990179167088E-3</v>
      </c>
      <c r="R77" s="556">
        <f>$F$1*(Semidetached!O42-Savings_SemiDet!O18)</f>
        <v>1.5486188259487654E-3</v>
      </c>
      <c r="S77" s="556">
        <f>$F$1*(Semidetached!P42-Savings_SemiDet!P18)</f>
        <v>2.8831168444733418E-4</v>
      </c>
      <c r="T77" s="556">
        <f>$F$1*(Semidetached!Q42-Savings_SemiDet!Q18)</f>
        <v>1.9937677853911662E-3</v>
      </c>
      <c r="U77" s="556">
        <f>$F$1*(Semidetached!R42-Savings_SemiDet!R18)</f>
        <v>-2.6459543488983693E-4</v>
      </c>
      <c r="V77" s="556">
        <f>$F$1*(Semidetached!S42-Savings_SemiDet!S18)</f>
        <v>1.8476379171142067E-3</v>
      </c>
      <c r="W77" s="556">
        <f>$F$1*(Semidetached!T42-Savings_SemiDet!T18)</f>
        <v>-1.2990618011558925E-3</v>
      </c>
      <c r="X77" s="556">
        <f>$F$1*(Semidetached!U42-Savings_SemiDet!U18)</f>
        <v>2.47882692076988E-3</v>
      </c>
      <c r="Y77" s="556">
        <f>$F$1*(Semidetached!V42-Savings_SemiDet!V18)</f>
        <v>-1.0539210995023889E-3</v>
      </c>
      <c r="Z77" s="556">
        <f>$F$1*(Semidetached!W42-Savings_SemiDet!W18)</f>
        <v>1.5487896615031091E-3</v>
      </c>
      <c r="AA77" s="556">
        <f>$F$1*(Semidetached!X42-Savings_SemiDet!X18)</f>
        <v>-4.0131878833050586E-4</v>
      </c>
      <c r="AB77" s="556">
        <f>$F$1*(Semidetached!Y42-Savings_SemiDet!Y18)</f>
        <v>7.0847544876236545E-4</v>
      </c>
      <c r="AC77" s="556">
        <f>$F$1*(Semidetached!Z42-Savings_SemiDet!Z18)</f>
        <v>9.6528125279930408E-4</v>
      </c>
      <c r="AD77" s="556">
        <f>$F$1*(Semidetached!AA42-Savings_SemiDet!AA18)</f>
        <v>-6.0669410599440831E-4</v>
      </c>
      <c r="AE77" s="556">
        <f>$F$1*(Semidetached!AB42-Savings_SemiDet!AB18)</f>
        <v>-7.4150626808431859E-5</v>
      </c>
      <c r="AF77" s="556">
        <f>$F$1*(Semidetached!AC42-Savings_SemiDet!AC18)</f>
        <v>8.1683020125908096E-4</v>
      </c>
      <c r="AG77" s="556">
        <f>$F$1*(Semidetached!AD42-Savings_SemiDet!AD18)</f>
        <v>-2.7711872308784738E-4</v>
      </c>
      <c r="AH77" s="556">
        <f>$F$1*(Semidetached!AE42-Savings_SemiDet!AE18)</f>
        <v>-5.8450814073481754E-4</v>
      </c>
      <c r="AI77" s="556">
        <f>$F$1*(Semidetached!AF42-Savings_SemiDet!AF18)</f>
        <v>-4.1813658986147281E-4</v>
      </c>
      <c r="AJ77" s="556">
        <f>$F$1*(Semidetached!AG42-Savings_SemiDet!AG18)</f>
        <v>1.5468745108627383E-3</v>
      </c>
      <c r="AK77" s="556">
        <f>$F$1*(Semidetached!AH42-Savings_SemiDet!AH18)</f>
        <v>1.5788047733640911E-3</v>
      </c>
      <c r="AL77" s="556">
        <f>$F$1*(Semidetached!AI42-Savings_SemiDet!AI18)</f>
        <v>2.8793565833509717E-4</v>
      </c>
      <c r="AM77" s="556">
        <f>$F$1*(Semidetached!AJ42-Savings_SemiDet!AJ18)</f>
        <v>3.9825432610494178E-4</v>
      </c>
      <c r="AN77" s="556">
        <f>$F$1*(Semidetached!AK42-Savings_SemiDet!AK18)</f>
        <v>3.5590949397137673E-4</v>
      </c>
      <c r="AO77" s="556">
        <f>$F$1*(Semidetached!AL42-Savings_SemiDet!AL18)</f>
        <v>-6.0296639576008616E-5</v>
      </c>
      <c r="AP77" s="556">
        <f>$F$1*(Semidetached!AM42-Savings_SemiDet!AM18)</f>
        <v>3.6622497407392011E-4</v>
      </c>
      <c r="AQ77" s="556">
        <f>$F$1*(Semidetached!AN42-Savings_SemiDet!AN18)</f>
        <v>3.6622497407392011E-4</v>
      </c>
      <c r="AT77" s="5" t="s">
        <v>334</v>
      </c>
    </row>
    <row r="78" spans="1:46">
      <c r="A78" s="5" t="str">
        <f t="shared" si="5"/>
        <v>OUTPUT</v>
      </c>
      <c r="B78" s="5" t="s">
        <v>617</v>
      </c>
      <c r="C78" s="5" t="str">
        <f t="shared" si="4"/>
        <v>Bldg_SDEPre79-Win</v>
      </c>
      <c r="D78" s="5" t="s">
        <v>78</v>
      </c>
      <c r="E78" s="5" t="s">
        <v>335</v>
      </c>
      <c r="F78" s="5" t="s">
        <v>606</v>
      </c>
      <c r="G78" s="556">
        <f>$F$1*(Semidetached!D43-Savings_SemiDet!D19)</f>
        <v>-6.9069171602484359E-4</v>
      </c>
      <c r="H78" s="556">
        <f>$F$1*(Semidetached!E43-Savings_SemiDet!E19)</f>
        <v>1.5796211684599448E-3</v>
      </c>
      <c r="I78" s="556">
        <f>$F$1*(Semidetached!F43-Savings_SemiDet!F19)</f>
        <v>-6.0888719112546471E-5</v>
      </c>
      <c r="J78" s="556">
        <f>$F$1*(Semidetached!G43-Savings_SemiDet!G19)</f>
        <v>-6.7347914994094328E-4</v>
      </c>
      <c r="K78" s="556">
        <f>$F$1*(Semidetached!H43-Savings_SemiDet!H19)</f>
        <v>1.0028964205316961E-3</v>
      </c>
      <c r="L78" s="556">
        <f>$F$1*(Semidetached!I43-Savings_SemiDet!I19)</f>
        <v>1.7388048799293977E-4</v>
      </c>
      <c r="M78" s="556">
        <f>$F$1*(Semidetached!J43-Savings_SemiDet!J19)</f>
        <v>1.5907621654604739E-4</v>
      </c>
      <c r="N78" s="556">
        <f>$F$1*(Semidetached!K43-Savings_SemiDet!K19)</f>
        <v>-4.3705816309667868E-4</v>
      </c>
      <c r="O78" s="556">
        <f>$F$1*(Semidetached!L43-Savings_SemiDet!L19)</f>
        <v>-2.3590937253088482E-3</v>
      </c>
      <c r="P78" s="556">
        <f>$F$1*(Semidetached!M43-Savings_SemiDet!M19)</f>
        <v>2.349391547463075E-3</v>
      </c>
      <c r="Q78" s="556">
        <f>$F$1*(Semidetached!N43-Savings_SemiDet!N19)</f>
        <v>-2.0568462151005409E-3</v>
      </c>
      <c r="R78" s="556">
        <f>$F$1*(Semidetached!O43-Savings_SemiDet!O19)</f>
        <v>9.5905967280545388E-4</v>
      </c>
      <c r="S78" s="556">
        <f>$F$1*(Semidetached!P43-Savings_SemiDet!P19)</f>
        <v>2.8831168444733418E-4</v>
      </c>
      <c r="T78" s="556">
        <f>$F$1*(Semidetached!Q43-Savings_SemiDet!Q19)</f>
        <v>3.5719521773573768E-4</v>
      </c>
      <c r="U78" s="556">
        <f>$F$1*(Semidetached!R43-Savings_SemiDet!R19)</f>
        <v>-2.715496947455817E-4</v>
      </c>
      <c r="V78" s="556">
        <f>$F$1*(Semidetached!S43-Savings_SemiDet!S19)</f>
        <v>1.9151043316713589E-3</v>
      </c>
      <c r="W78" s="556">
        <f>$F$1*(Semidetached!T43-Savings_SemiDet!T19)</f>
        <v>-1.750242607342685E-3</v>
      </c>
      <c r="X78" s="556">
        <f>$F$1*(Semidetached!U43-Savings_SemiDet!U19)</f>
        <v>1.8125356514208852E-3</v>
      </c>
      <c r="Y78" s="556">
        <f>$F$1*(Semidetached!V43-Savings_SemiDet!V19)</f>
        <v>-1.9031636123901026E-3</v>
      </c>
      <c r="Z78" s="556">
        <f>$F$1*(Semidetached!W43-Savings_SemiDet!W19)</f>
        <v>4.8556912155635226E-4</v>
      </c>
      <c r="AA78" s="556">
        <f>$F$1*(Semidetached!X43-Savings_SemiDet!X19)</f>
        <v>-4.0712805152172448E-4</v>
      </c>
      <c r="AB78" s="556">
        <f>$F$1*(Semidetached!Y43-Savings_SemiDet!Y19)</f>
        <v>7.2942562243558378E-4</v>
      </c>
      <c r="AC78" s="556">
        <f>$F$1*(Semidetached!Z43-Savings_SemiDet!Z19)</f>
        <v>9.7288053786061734E-4</v>
      </c>
      <c r="AD78" s="556">
        <f>$F$1*(Semidetached!AA43-Savings_SemiDet!AA19)</f>
        <v>-7.5047603695992018E-4</v>
      </c>
      <c r="AE78" s="556">
        <f>$F$1*(Semidetached!AB43-Savings_SemiDet!AB19)</f>
        <v>-7.1413667176812245E-4</v>
      </c>
      <c r="AF78" s="556">
        <f>$F$1*(Semidetached!AC43-Savings_SemiDet!AC19)</f>
        <v>8.2015159157415194E-4</v>
      </c>
      <c r="AG78" s="556">
        <f>$F$1*(Semidetached!AD43-Savings_SemiDet!AD19)</f>
        <v>-2.7711872308784738E-4</v>
      </c>
      <c r="AH78" s="556">
        <f>$F$1*(Semidetached!AE43-Savings_SemiDet!AE19)</f>
        <v>-7.2277526685306237E-4</v>
      </c>
      <c r="AI78" s="556">
        <f>$F$1*(Semidetached!AF43-Savings_SemiDet!AF19)</f>
        <v>-8.5038400139070887E-4</v>
      </c>
      <c r="AJ78" s="556">
        <f>$F$1*(Semidetached!AG43-Savings_SemiDet!AG19)</f>
        <v>1.5468745108627383E-3</v>
      </c>
      <c r="AK78" s="556">
        <f>$F$1*(Semidetached!AH43-Savings_SemiDet!AH19)</f>
        <v>1.2053681767846911E-3</v>
      </c>
      <c r="AL78" s="556">
        <f>$F$1*(Semidetached!AI43-Savings_SemiDet!AI19)</f>
        <v>2.8793565833509717E-4</v>
      </c>
      <c r="AM78" s="556">
        <f>$F$1*(Semidetached!AJ43-Savings_SemiDet!AJ19)</f>
        <v>3.9825432610494178E-4</v>
      </c>
      <c r="AN78" s="556">
        <f>$F$1*(Semidetached!AK43-Savings_SemiDet!AK19)</f>
        <v>3.5590949397137673E-4</v>
      </c>
      <c r="AO78" s="556">
        <f>$F$1*(Semidetached!AL43-Savings_SemiDet!AL19)</f>
        <v>-6.0989256658673557E-5</v>
      </c>
      <c r="AP78" s="556">
        <f>$F$1*(Semidetached!AM43-Savings_SemiDet!AM19)</f>
        <v>3.6622497407392011E-4</v>
      </c>
      <c r="AQ78" s="556">
        <f>$F$1*(Semidetached!AN43-Savings_SemiDet!AN19)</f>
        <v>3.6622497407392011E-4</v>
      </c>
      <c r="AT78" s="5" t="s">
        <v>335</v>
      </c>
    </row>
    <row r="79" spans="1:46">
      <c r="A79" s="5" t="str">
        <f t="shared" si="5"/>
        <v>OUTPUT</v>
      </c>
      <c r="B79" s="5" t="s">
        <v>617</v>
      </c>
      <c r="C79" s="5" t="str">
        <f t="shared" si="4"/>
        <v>Bldg_SDEPre89-Win</v>
      </c>
      <c r="D79" s="5" t="s">
        <v>78</v>
      </c>
      <c r="E79" s="5" t="s">
        <v>336</v>
      </c>
      <c r="F79" s="5" t="s">
        <v>606</v>
      </c>
      <c r="G79" s="556">
        <f>$F$1*(Semidetached!D44-Savings_SemiDet!D20)</f>
        <v>-1.665864938583501E-3</v>
      </c>
      <c r="H79" s="556">
        <f>$F$1*(Semidetached!E44-Savings_SemiDet!E20)</f>
        <v>1.1748436217747856E-3</v>
      </c>
      <c r="I79" s="556">
        <f>$F$1*(Semidetached!F44-Savings_SemiDet!F20)</f>
        <v>-6.2662700890785722E-5</v>
      </c>
      <c r="J79" s="556">
        <f>$F$1*(Semidetached!G44-Savings_SemiDet!G20)</f>
        <v>-1.6248768539012675E-3</v>
      </c>
      <c r="K79" s="556">
        <f>$F$1*(Semidetached!H44-Savings_SemiDet!H20)</f>
        <v>1.0095615868642171E-3</v>
      </c>
      <c r="L79" s="556">
        <f>$F$1*(Semidetached!I44-Savings_SemiDet!I20)</f>
        <v>1.779589469774481E-4</v>
      </c>
      <c r="M79" s="556">
        <f>$F$1*(Semidetached!J44-Savings_SemiDet!J20)</f>
        <v>-2.1721027205844661E-4</v>
      </c>
      <c r="N79" s="556">
        <f>$F$1*(Semidetached!K44-Savings_SemiDet!K20)</f>
        <v>-6.2895379878542498E-4</v>
      </c>
      <c r="O79" s="556">
        <f>$F$1*(Semidetached!L44-Savings_SemiDet!L20)</f>
        <v>-4.0075169169923788E-3</v>
      </c>
      <c r="P79" s="556">
        <f>$F$1*(Semidetached!M44-Savings_SemiDet!M20)</f>
        <v>5.0811667422203473E-4</v>
      </c>
      <c r="Q79" s="556">
        <f>$F$1*(Semidetached!N44-Savings_SemiDet!N20)</f>
        <v>-3.108602243974105E-3</v>
      </c>
      <c r="R79" s="556">
        <f>$F$1*(Semidetached!O44-Savings_SemiDet!O20)</f>
        <v>4.1855507454012996E-4</v>
      </c>
      <c r="S79" s="556">
        <f>$F$1*(Semidetached!P44-Savings_SemiDet!P20)</f>
        <v>2.9000596602266385E-4</v>
      </c>
      <c r="T79" s="556">
        <f>$F$1*(Semidetached!Q44-Savings_SemiDet!Q20)</f>
        <v>3.5719521773573768E-4</v>
      </c>
      <c r="U79" s="556">
        <f>$F$1*(Semidetached!R44-Savings_SemiDet!R20)</f>
        <v>-2.8706486111508024E-4</v>
      </c>
      <c r="V79" s="556">
        <f>$F$1*(Semidetached!S44-Savings_SemiDet!S20)</f>
        <v>8.6017355133574832E-4</v>
      </c>
      <c r="W79" s="556">
        <f>$F$1*(Semidetached!T44-Savings_SemiDet!T20)</f>
        <v>-2.6452918065135978E-3</v>
      </c>
      <c r="X79" s="556">
        <f>$F$1*(Semidetached!U44-Savings_SemiDet!U20)</f>
        <v>5.396052098048539E-4</v>
      </c>
      <c r="Y79" s="556">
        <f>$F$1*(Semidetached!V44-Savings_SemiDet!V20)</f>
        <v>-1.9031636123901026E-3</v>
      </c>
      <c r="Z79" s="556">
        <f>$F$1*(Semidetached!W44-Savings_SemiDet!W20)</f>
        <v>-1.1623353265391228E-3</v>
      </c>
      <c r="AA79" s="556">
        <f>$F$1*(Semidetached!X44-Savings_SemiDet!X20)</f>
        <v>-2.0266413968424734E-3</v>
      </c>
      <c r="AB79" s="556">
        <f>$F$1*(Semidetached!Y44-Savings_SemiDet!Y20)</f>
        <v>7.4393915710054513E-4</v>
      </c>
      <c r="AC79" s="556">
        <f>$F$1*(Semidetached!Z44-Savings_SemiDet!Z20)</f>
        <v>9.535003802060559E-4</v>
      </c>
      <c r="AD79" s="556">
        <f>$F$1*(Semidetached!AA44-Savings_SemiDet!AA20)</f>
        <v>-1.0451291898769212E-3</v>
      </c>
      <c r="AE79" s="556">
        <f>$F$1*(Semidetached!AB44-Savings_SemiDet!AB20)</f>
        <v>-7.1413667176812245E-4</v>
      </c>
      <c r="AF79" s="556">
        <f>$F$1*(Semidetached!AC44-Savings_SemiDet!AC20)</f>
        <v>8.7948743214938017E-4</v>
      </c>
      <c r="AG79" s="556">
        <f>$F$1*(Semidetached!AD44-Savings_SemiDet!AD20)</f>
        <v>-4.2780065327636772E-4</v>
      </c>
      <c r="AH79" s="556">
        <f>$F$1*(Semidetached!AE44-Savings_SemiDet!AE20)</f>
        <v>-1.0065648011155814E-3</v>
      </c>
      <c r="AI79" s="556">
        <f>$F$1*(Semidetached!AF44-Savings_SemiDet!AF20)</f>
        <v>-1.6288780488052286E-3</v>
      </c>
      <c r="AJ79" s="556">
        <f>$F$1*(Semidetached!AG44-Savings_SemiDet!AG20)</f>
        <v>3.1791991063443716E-4</v>
      </c>
      <c r="AK79" s="556">
        <f>$F$1*(Semidetached!AH44-Savings_SemiDet!AH20)</f>
        <v>1.2064708927586154E-3</v>
      </c>
      <c r="AL79" s="556">
        <f>$F$1*(Semidetached!AI44-Savings_SemiDet!AI20)</f>
        <v>2.8967869871198348E-4</v>
      </c>
      <c r="AM79" s="556">
        <f>$F$1*(Semidetached!AJ44-Savings_SemiDet!AJ20)</f>
        <v>4.0971326899481397E-4</v>
      </c>
      <c r="AN79" s="556">
        <f>$F$1*(Semidetached!AK44-Savings_SemiDet!AK20)</f>
        <v>3.6655508016001628E-4</v>
      </c>
      <c r="AO79" s="556">
        <f>$F$1*(Semidetached!AL44-Savings_SemiDet!AL20)</f>
        <v>-6.2779708824785139E-5</v>
      </c>
      <c r="AP79" s="556">
        <f>$F$1*(Semidetached!AM44-Savings_SemiDet!AM20)</f>
        <v>3.7676233873683892E-4</v>
      </c>
      <c r="AQ79" s="556">
        <f>$F$1*(Semidetached!AN44-Savings_SemiDet!AN20)</f>
        <v>3.7676233873683892E-4</v>
      </c>
      <c r="AT79" s="5" t="s">
        <v>336</v>
      </c>
    </row>
    <row r="80" spans="1:46">
      <c r="A80" s="5" t="str">
        <f t="shared" si="5"/>
        <v>OUTPUT</v>
      </c>
      <c r="B80" s="5" t="s">
        <v>617</v>
      </c>
      <c r="C80" s="5" t="str">
        <f t="shared" si="4"/>
        <v>Bldg_SDEPre99-Win</v>
      </c>
      <c r="D80" s="5" t="s">
        <v>78</v>
      </c>
      <c r="E80" s="5" t="s">
        <v>337</v>
      </c>
      <c r="F80" s="5" t="s">
        <v>606</v>
      </c>
      <c r="G80" s="556">
        <f>$F$1*(Semidetached!D45-Savings_SemiDet!D21)</f>
        <v>-2.0918190679176602E-3</v>
      </c>
      <c r="H80" s="556">
        <f>$F$1*(Semidetached!E45-Savings_SemiDet!E21)</f>
        <v>1.1748436217747856E-3</v>
      </c>
      <c r="I80" s="556">
        <f>$F$1*(Semidetached!F45-Savings_SemiDet!F21)</f>
        <v>-6.5745262377191847E-5</v>
      </c>
      <c r="J80" s="556">
        <f>$F$1*(Semidetached!G45-Savings_SemiDet!G21)</f>
        <v>-2.0403735984428095E-3</v>
      </c>
      <c r="K80" s="556">
        <f>$F$1*(Semidetached!H45-Savings_SemiDet!H21)</f>
        <v>-3.6084423177821964E-4</v>
      </c>
      <c r="L80" s="556">
        <f>$F$1*(Semidetached!I45-Savings_SemiDet!I21)</f>
        <v>-5.6156219024396136E-4</v>
      </c>
      <c r="M80" s="556">
        <f>$F$1*(Semidetached!J45-Savings_SemiDet!J21)</f>
        <v>-2.0075009256483815E-3</v>
      </c>
      <c r="N80" s="556">
        <f>$F$1*(Semidetached!K45-Savings_SemiDet!K21)</f>
        <v>-6.2895379878542498E-4</v>
      </c>
      <c r="O80" s="556">
        <f>$F$1*(Semidetached!L45-Savings_SemiDet!L21)</f>
        <v>-4.272480361253727E-3</v>
      </c>
      <c r="P80" s="556">
        <f>$F$1*(Semidetached!M45-Savings_SemiDet!M21)</f>
        <v>5.0811667422203473E-4</v>
      </c>
      <c r="Q80" s="556">
        <f>$F$1*(Semidetached!N45-Savings_SemiDet!N21)</f>
        <v>-3.1166586040848733E-3</v>
      </c>
      <c r="R80" s="556">
        <f>$F$1*(Semidetached!O45-Savings_SemiDet!O21)</f>
        <v>-1.0850117518940636E-3</v>
      </c>
      <c r="S80" s="556">
        <f>$F$1*(Semidetached!P45-Savings_SemiDet!P21)</f>
        <v>2.9000596602266385E-4</v>
      </c>
      <c r="T80" s="556">
        <f>$F$1*(Semidetached!Q45-Savings_SemiDet!Q21)</f>
        <v>-3.7981532071757618E-4</v>
      </c>
      <c r="U80" s="556">
        <f>$F$1*(Semidetached!R45-Savings_SemiDet!R21)</f>
        <v>-2.8706486111508024E-4</v>
      </c>
      <c r="V80" s="556">
        <f>$F$1*(Semidetached!S45-Savings_SemiDet!S21)</f>
        <v>8.8554904363623667E-4</v>
      </c>
      <c r="W80" s="556">
        <f>$F$1*(Semidetached!T45-Savings_SemiDet!T21)</f>
        <v>-2.6521692223675933E-3</v>
      </c>
      <c r="X80" s="556">
        <f>$F$1*(Semidetached!U45-Savings_SemiDet!U21)</f>
        <v>5.4750919633792666E-4</v>
      </c>
      <c r="Y80" s="556">
        <f>$F$1*(Semidetached!V45-Savings_SemiDet!V21)</f>
        <v>-1.9031636123901026E-3</v>
      </c>
      <c r="Z80" s="556">
        <f>$F$1*(Semidetached!W45-Savings_SemiDet!W21)</f>
        <v>-1.8723342956706824E-3</v>
      </c>
      <c r="AA80" s="556">
        <f>$F$1*(Semidetached!X45-Savings_SemiDet!X21)</f>
        <v>-2.0342956325875819E-3</v>
      </c>
      <c r="AB80" s="556">
        <f>$F$1*(Semidetached!Y45-Savings_SemiDet!Y21)</f>
        <v>7.469463743132699E-4</v>
      </c>
      <c r="AC80" s="556">
        <f>$F$1*(Semidetached!Z45-Savings_SemiDet!Z21)</f>
        <v>2.607084472745032E-4</v>
      </c>
      <c r="AD80" s="556">
        <f>$F$1*(Semidetached!AA45-Savings_SemiDet!AA21)</f>
        <v>-1.0672157344606078E-3</v>
      </c>
      <c r="AE80" s="556">
        <f>$F$1*(Semidetached!AB45-Savings_SemiDet!AB21)</f>
        <v>-7.1413667176812245E-4</v>
      </c>
      <c r="AF80" s="556">
        <f>$F$1*(Semidetached!AC45-Savings_SemiDet!AC21)</f>
        <v>8.3617037929074043E-4</v>
      </c>
      <c r="AG80" s="556">
        <f>$F$1*(Semidetached!AD45-Savings_SemiDet!AD21)</f>
        <v>-4.2780065327636772E-4</v>
      </c>
      <c r="AH80" s="556">
        <f>$F$1*(Semidetached!AE45-Savings_SemiDet!AE21)</f>
        <v>-1.0277593415718459E-3</v>
      </c>
      <c r="AI80" s="556">
        <f>$F$1*(Semidetached!AF45-Savings_SemiDet!AF21)</f>
        <v>-1.7348132527898179E-3</v>
      </c>
      <c r="AJ80" s="556">
        <f>$F$1*(Semidetached!AG45-Savings_SemiDet!AG21)</f>
        <v>3.2439191400907664E-4</v>
      </c>
      <c r="AK80" s="556">
        <f>$F$1*(Semidetached!AH45-Savings_SemiDet!AH21)</f>
        <v>-9.859268103062941E-4</v>
      </c>
      <c r="AL80" s="556">
        <f>$F$1*(Semidetached!AI45-Savings_SemiDet!AI21)</f>
        <v>2.8967869871198348E-4</v>
      </c>
      <c r="AM80" s="556">
        <f>$F$1*(Semidetached!AJ45-Savings_SemiDet!AJ21)</f>
        <v>5.5261723838420011E-4</v>
      </c>
      <c r="AN80" s="556">
        <f>$F$1*(Semidetached!AK45-Savings_SemiDet!AK21)</f>
        <v>4.9467731904642871E-4</v>
      </c>
      <c r="AO80" s="556">
        <f>$F$1*(Semidetached!AL45-Savings_SemiDet!AL21)</f>
        <v>-6.592276657380027E-5</v>
      </c>
      <c r="AP80" s="556">
        <f>$F$1*(Semidetached!AM45-Savings_SemiDet!AM21)</f>
        <v>5.0817334686459477E-4</v>
      </c>
      <c r="AQ80" s="556">
        <f>$F$1*(Semidetached!AN45-Savings_SemiDet!AN21)</f>
        <v>5.0817334686459477E-4</v>
      </c>
      <c r="AT80" s="5" t="s">
        <v>337</v>
      </c>
    </row>
    <row r="81" spans="1:46">
      <c r="A81" s="5" t="str">
        <f t="shared" si="5"/>
        <v>OUTPUT</v>
      </c>
      <c r="B81" s="5" t="s">
        <v>617</v>
      </c>
      <c r="C81" s="5" t="str">
        <f t="shared" si="4"/>
        <v>Bldg_SDEPre09-Win</v>
      </c>
      <c r="D81" s="5" t="s">
        <v>78</v>
      </c>
      <c r="E81" s="5" t="s">
        <v>338</v>
      </c>
      <c r="F81" s="5" t="s">
        <v>606</v>
      </c>
      <c r="G81" s="556">
        <f>$F$1*(Semidetached!D46-Savings_SemiDet!D22)</f>
        <v>-2.3368065911440862E-3</v>
      </c>
      <c r="H81" s="556">
        <f>$F$1*(Semidetached!E46-Savings_SemiDet!E22)</f>
        <v>-3.3141320763091069E-4</v>
      </c>
      <c r="I81" s="556">
        <f>$F$1*(Semidetached!F46-Savings_SemiDet!F22)</f>
        <v>-6.6929543165194659E-4</v>
      </c>
      <c r="J81" s="556">
        <f>$F$1*(Semidetached!G46-Savings_SemiDet!G22)</f>
        <v>-2.2798631920024734E-3</v>
      </c>
      <c r="K81" s="556">
        <f>$F$1*(Semidetached!H46-Savings_SemiDet!H22)</f>
        <v>0</v>
      </c>
      <c r="L81" s="556">
        <f>$F$1*(Semidetached!I46-Savings_SemiDet!I22)</f>
        <v>-1.9462169015746476E-3</v>
      </c>
      <c r="M81" s="556">
        <f>$F$1*(Semidetached!J46-Savings_SemiDet!J22)</f>
        <v>-1.9795077870585504E-3</v>
      </c>
      <c r="N81" s="556">
        <f>$F$1*(Semidetached!K46-Savings_SemiDet!K22)</f>
        <v>-2.0527639941249121E-3</v>
      </c>
      <c r="O81" s="556">
        <f>$F$1*(Semidetached!L46-Savings_SemiDet!L22)</f>
        <v>-4.272480361253727E-3</v>
      </c>
      <c r="P81" s="556">
        <f>$F$1*(Semidetached!M46-Savings_SemiDet!M22)</f>
        <v>3.6607532418042545E-4</v>
      </c>
      <c r="Q81" s="556">
        <f>$F$1*(Semidetached!N46-Savings_SemiDet!N22)</f>
        <v>-4.0033183012628806E-3</v>
      </c>
      <c r="R81" s="556">
        <f>$F$1*(Semidetached!O46-Savings_SemiDet!O22)</f>
        <v>-1.1965687005436273E-3</v>
      </c>
      <c r="S81" s="556">
        <f>$F$1*(Semidetached!P46-Savings_SemiDet!P22)</f>
        <v>3.5353208594029355E-4</v>
      </c>
      <c r="T81" s="556">
        <f>$F$1*(Semidetached!Q46-Savings_SemiDet!Q22)</f>
        <v>-1.2357122576588384E-3</v>
      </c>
      <c r="U81" s="556">
        <f>$F$1*(Semidetached!R46-Savings_SemiDet!R22)</f>
        <v>-1.8741017082562943E-3</v>
      </c>
      <c r="V81" s="556">
        <f>$F$1*(Semidetached!S46-Savings_SemiDet!S22)</f>
        <v>-2.6920822175838081E-4</v>
      </c>
      <c r="W81" s="556">
        <f>$F$1*(Semidetached!T46-Savings_SemiDet!T22)</f>
        <v>-3.4067971889498862E-3</v>
      </c>
      <c r="X81" s="556">
        <f>$F$1*(Semidetached!U46-Savings_SemiDet!U22)</f>
        <v>-3.6603147718644477E-4</v>
      </c>
      <c r="Y81" s="556">
        <f>$F$1*(Semidetached!V46-Savings_SemiDet!V22)</f>
        <v>-2.520521026091451E-3</v>
      </c>
      <c r="Z81" s="556">
        <f>$F$1*(Semidetached!W46-Savings_SemiDet!W22)</f>
        <v>-2.4691984477184154E-3</v>
      </c>
      <c r="AA81" s="556">
        <f>$F$1*(Semidetached!X46-Savings_SemiDet!X22)</f>
        <v>-2.6571838014395671E-3</v>
      </c>
      <c r="AB81" s="556">
        <f>$F$1*(Semidetached!Y46-Savings_SemiDet!Y22)</f>
        <v>7.5264244335610669E-4</v>
      </c>
      <c r="AC81" s="556">
        <f>$F$1*(Semidetached!Z46-Savings_SemiDet!Z22)</f>
        <v>-1.0738628256116054E-3</v>
      </c>
      <c r="AD81" s="556">
        <f>$F$1*(Semidetached!AA46-Savings_SemiDet!AA22)</f>
        <v>-3.327454337286376E-3</v>
      </c>
      <c r="AE81" s="556">
        <f>$F$1*(Semidetached!AB46-Savings_SemiDet!AB22)</f>
        <v>-7.4706757283524248E-4</v>
      </c>
      <c r="AF81" s="556">
        <f>$F$1*(Semidetached!AC46-Savings_SemiDet!AC22)</f>
        <v>2.7053284109575801E-4</v>
      </c>
      <c r="AG81" s="556">
        <f>$F$1*(Semidetached!AD46-Savings_SemiDet!AD22)</f>
        <v>-1.9214518901946066E-3</v>
      </c>
      <c r="AH81" s="556">
        <f>$F$1*(Semidetached!AE46-Savings_SemiDet!AE22)</f>
        <v>-3.2047821533910301E-3</v>
      </c>
      <c r="AI81" s="556">
        <f>$F$1*(Semidetached!AF46-Savings_SemiDet!AF22)</f>
        <v>-2.4438410690728299E-3</v>
      </c>
      <c r="AJ81" s="556">
        <f>$F$1*(Semidetached!AG46-Savings_SemiDet!AG22)</f>
        <v>-1.7716460624292972E-3</v>
      </c>
      <c r="AK81" s="556">
        <f>$F$1*(Semidetached!AH46-Savings_SemiDet!AH22)</f>
        <v>-1.4828551948094649E-3</v>
      </c>
      <c r="AL81" s="556">
        <f>$F$1*(Semidetached!AI46-Savings_SemiDet!AI22)</f>
        <v>3.5303044721710509E-4</v>
      </c>
      <c r="AM81" s="556">
        <f>$F$1*(Semidetached!AJ46-Savings_SemiDet!AJ22)</f>
        <v>-1.4148092117545496E-4</v>
      </c>
      <c r="AN81" s="556">
        <f>$F$1*(Semidetached!AK46-Savings_SemiDet!AK22)</f>
        <v>-1.2663979165082712E-4</v>
      </c>
      <c r="AO81" s="556">
        <f>$F$1*(Semidetached!AL46-Savings_SemiDet!AL22)</f>
        <v>-6.7125268951440402E-4</v>
      </c>
      <c r="AP81" s="556">
        <f>$F$1*(Semidetached!AM46-Savings_SemiDet!AM22)</f>
        <v>-1.3010240766544995E-4</v>
      </c>
      <c r="AQ81" s="556">
        <f>$F$1*(Semidetached!AN46-Savings_SemiDet!AN22)</f>
        <v>-1.3010240766544995E-4</v>
      </c>
      <c r="AT81" s="5" t="s">
        <v>338</v>
      </c>
    </row>
    <row r="82" spans="1:46">
      <c r="A82" s="5" t="str">
        <f t="shared" si="5"/>
        <v>\I:</v>
      </c>
      <c r="C82" s="5" t="str">
        <f t="shared" si="4"/>
        <v/>
      </c>
      <c r="E82" s="5" t="s">
        <v>623</v>
      </c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</row>
    <row r="83" spans="1:46">
      <c r="A83" s="135" t="str">
        <f t="shared" si="5"/>
        <v>\I:</v>
      </c>
      <c r="C83" s="5" t="str">
        <f t="shared" si="4"/>
        <v/>
      </c>
      <c r="E83" s="5" t="s">
        <v>623</v>
      </c>
      <c r="F83" s="135" t="s">
        <v>393</v>
      </c>
      <c r="G83" s="492">
        <f>G92*'Energy Efficiency Measures-DBT'!D56/'Energy Efficiency Measures-DBT'!D57</f>
        <v>26.380572882982488</v>
      </c>
      <c r="H83" s="492">
        <f>H92*'Energy Efficiency Measures-DBT'!E56/'Energy Efficiency Measures-DBT'!E57</f>
        <v>34.563503653349166</v>
      </c>
      <c r="I83" s="492">
        <f>I92*'Energy Efficiency Measures-DBT'!F56/'Energy Efficiency Measures-DBT'!F57</f>
        <v>32.881834837259625</v>
      </c>
      <c r="J83" s="492">
        <f>J92*'Energy Efficiency Measures-DBT'!G56/'Energy Efficiency Measures-DBT'!G57</f>
        <v>25.186145760801011</v>
      </c>
      <c r="K83" s="492">
        <f>K92*'Energy Efficiency Measures-DBT'!H56/'Energy Efficiency Measures-DBT'!H57</f>
        <v>44.208962816295767</v>
      </c>
      <c r="L83" s="492">
        <f>L92*'Energy Efficiency Measures-DBT'!I56/'Energy Efficiency Measures-DBT'!I57</f>
        <v>27.11270796741379</v>
      </c>
      <c r="M83" s="492">
        <f>M92*'Energy Efficiency Measures-DBT'!J56/'Energy Efficiency Measures-DBT'!J57</f>
        <v>32.924546755659861</v>
      </c>
      <c r="N83" s="492">
        <f>N92*'Energy Efficiency Measures-DBT'!K56/'Energy Efficiency Measures-DBT'!K57</f>
        <v>31.318730633614706</v>
      </c>
      <c r="O83" s="492">
        <f>O92*'Energy Efficiency Measures-DBT'!L56/'Energy Efficiency Measures-DBT'!L57</f>
        <v>24.708769877894188</v>
      </c>
      <c r="P83" s="492">
        <f>P92*'Energy Efficiency Measures-DBT'!M56/'Energy Efficiency Measures-DBT'!M57</f>
        <v>44.577700945834408</v>
      </c>
      <c r="Q83" s="492">
        <f>Q92*'Energy Efficiency Measures-DBT'!N56/'Energy Efficiency Measures-DBT'!N57</f>
        <v>42.397723562065586</v>
      </c>
      <c r="R83" s="492">
        <f>R92*'Energy Efficiency Measures-DBT'!O56/'Energy Efficiency Measures-DBT'!O57</f>
        <v>42.909572771312092</v>
      </c>
      <c r="S83" s="492">
        <f>S92*'Energy Efficiency Measures-DBT'!P56/'Energy Efficiency Measures-DBT'!P57</f>
        <v>45.625986092276875</v>
      </c>
      <c r="T83" s="492">
        <f>T92*'Energy Efficiency Measures-DBT'!Q56/'Energy Efficiency Measures-DBT'!Q57</f>
        <v>30.997178473906811</v>
      </c>
      <c r="U83" s="492">
        <f>U92*'Energy Efficiency Measures-DBT'!R56/'Energy Efficiency Measures-DBT'!R57</f>
        <v>22.85184112694083</v>
      </c>
      <c r="V83" s="492">
        <f>V92*'Energy Efficiency Measures-DBT'!S56/'Energy Efficiency Measures-DBT'!S57</f>
        <v>29.43483744441361</v>
      </c>
      <c r="W83" s="492">
        <f>W92*'Energy Efficiency Measures-DBT'!T56/'Energy Efficiency Measures-DBT'!T57</f>
        <v>41.910652920962185</v>
      </c>
      <c r="X83" s="492">
        <f>X92*'Energy Efficiency Measures-DBT'!U56/'Energy Efficiency Measures-DBT'!U57</f>
        <v>35.769611489226044</v>
      </c>
      <c r="Y83" s="492">
        <f>Y92*'Energy Efficiency Measures-DBT'!V56/'Energy Efficiency Measures-DBT'!V57</f>
        <v>21.729150008880644</v>
      </c>
      <c r="Z83" s="492">
        <f>Z92*'Energy Efficiency Measures-DBT'!W56/'Energy Efficiency Measures-DBT'!W57</f>
        <v>45.602399295055683</v>
      </c>
      <c r="AA83" s="492">
        <f>AA92*'Energy Efficiency Measures-DBT'!X56/'Energy Efficiency Measures-DBT'!X57</f>
        <v>22.099719101123593</v>
      </c>
      <c r="AB83" s="492">
        <f>AB92*'Energy Efficiency Measures-DBT'!Y56/'Energy Efficiency Measures-DBT'!Y57</f>
        <v>37.078145056614929</v>
      </c>
      <c r="AC83" s="492">
        <f>AC92*'Energy Efficiency Measures-DBT'!Z56/'Energy Efficiency Measures-DBT'!Z57</f>
        <v>28.573454773531186</v>
      </c>
      <c r="AD83" s="492">
        <f>AD92*'Energy Efficiency Measures-DBT'!AA56/'Energy Efficiency Measures-DBT'!AA57</f>
        <v>32.911652325442645</v>
      </c>
      <c r="AE83" s="492">
        <f>AE92*'Energy Efficiency Measures-DBT'!AB56/'Energy Efficiency Measures-DBT'!AB57</f>
        <v>22.09451686801069</v>
      </c>
      <c r="AF83" s="492">
        <f>AF92*'Energy Efficiency Measures-DBT'!AC56/'Energy Efficiency Measures-DBT'!AC57</f>
        <v>45.021631993031889</v>
      </c>
      <c r="AG83" s="492">
        <f>AG92*'Energy Efficiency Measures-DBT'!AD56/'Energy Efficiency Measures-DBT'!AD57</f>
        <v>29.591604446722847</v>
      </c>
      <c r="AH83" s="492">
        <f>AH92*'Energy Efficiency Measures-DBT'!AE56/'Energy Efficiency Measures-DBT'!AE57</f>
        <v>33.746701599699037</v>
      </c>
      <c r="AI83" s="492">
        <f>AI92*'Energy Efficiency Measures-DBT'!AF56/'Energy Efficiency Measures-DBT'!AF57</f>
        <v>22.383567435496975</v>
      </c>
      <c r="AJ83" s="492">
        <f>AJ92*'Energy Efficiency Measures-DBT'!AG56/'Energy Efficiency Measures-DBT'!AG57</f>
        <v>29.0241318848689</v>
      </c>
      <c r="AK83" s="492">
        <f>AK92*'Energy Efficiency Measures-DBT'!AH56/'Energy Efficiency Measures-DBT'!AH57</f>
        <v>40.726157256739242</v>
      </c>
      <c r="AL83" s="492">
        <f>AL92*'Energy Efficiency Measures-DBT'!AI56/'Energy Efficiency Measures-DBT'!AI57</f>
        <v>22.812993046138434</v>
      </c>
      <c r="AM83" s="492">
        <f>AM92*'Energy Efficiency Measures-DBT'!AJ56/'Energy Efficiency Measures-DBT'!AJ57</f>
        <v>30.997178473906807</v>
      </c>
      <c r="AN83" s="492">
        <f>AN92*'Energy Efficiency Measures-DBT'!AK56/'Energy Efficiency Measures-DBT'!AK57</f>
        <v>22.812993046138434</v>
      </c>
      <c r="AO83" s="492">
        <f>AO92*'Energy Efficiency Measures-DBT'!AL56/'Energy Efficiency Measures-DBT'!AL57</f>
        <v>30.417629013622047</v>
      </c>
      <c r="AP83" s="492">
        <f>AP92*'Energy Efficiency Measures-DBT'!AM56/'Energy Efficiency Measures-DBT'!AM57</f>
        <v>30.997178473906811</v>
      </c>
      <c r="AQ83" s="492">
        <f>AQ92*'Energy Efficiency Measures-DBT'!AN56/'Energy Efficiency Measures-DBT'!AN57</f>
        <v>30.997178473906807</v>
      </c>
    </row>
    <row r="84" spans="1:46">
      <c r="A84" s="135" t="str">
        <f t="shared" si="5"/>
        <v>\I:</v>
      </c>
      <c r="C84" s="5" t="str">
        <f t="shared" si="4"/>
        <v/>
      </c>
      <c r="E84" s="5" t="s">
        <v>339</v>
      </c>
      <c r="F84" s="135" t="s">
        <v>625</v>
      </c>
      <c r="G84" s="214">
        <f>G83*Semidetached!D5</f>
        <v>16199.999999999996</v>
      </c>
      <c r="H84" s="214">
        <f>H83*Semidetached!E5</f>
        <v>21599.999999999996</v>
      </c>
      <c r="I84" s="214">
        <f>I83*Semidetached!F5</f>
        <v>10799.999999999998</v>
      </c>
      <c r="J84" s="214">
        <f>J83*Semidetached!G5</f>
        <v>16199.999999999996</v>
      </c>
      <c r="K84" s="214">
        <f>K83*Semidetached!H5</f>
        <v>21599.999999999996</v>
      </c>
      <c r="L84" s="214">
        <f>L83*Semidetached!I5</f>
        <v>14039.999999999996</v>
      </c>
      <c r="M84" s="214">
        <f>M83*Semidetached!J5</f>
        <v>18899.999999999996</v>
      </c>
      <c r="N84" s="214">
        <f>N83*Semidetached!K5</f>
        <v>21600</v>
      </c>
      <c r="O84" s="214">
        <f>O83*Semidetached!L5</f>
        <v>10800</v>
      </c>
      <c r="P84" s="214">
        <f>P83*Semidetached!M5</f>
        <v>27539.999999999996</v>
      </c>
      <c r="Q84" s="214">
        <f>Q83*Semidetached!N5</f>
        <v>21599.999999999996</v>
      </c>
      <c r="R84" s="214">
        <f>R83*Semidetached!O5</f>
        <v>25379.999999999996</v>
      </c>
      <c r="S84" s="214">
        <f>S83*Semidetached!P5</f>
        <v>14400</v>
      </c>
      <c r="T84" s="214">
        <f>T83*Semidetached!Q5</f>
        <v>10799.999999999996</v>
      </c>
      <c r="U84" s="214">
        <f>U83*Semidetached!R5</f>
        <v>10799.999999999998</v>
      </c>
      <c r="V84" s="214">
        <f>V83*Semidetached!S5</f>
        <v>18899.999999999996</v>
      </c>
      <c r="W84" s="214">
        <f>W83*Semidetached!T5</f>
        <v>21599.999999999996</v>
      </c>
      <c r="X84" s="214">
        <f>X83*Semidetached!U5</f>
        <v>21599.999999999996</v>
      </c>
      <c r="Y84" s="214">
        <f>Y83*Semidetached!V5</f>
        <v>10799.999999999998</v>
      </c>
      <c r="Z84" s="214">
        <f>Z83*Semidetached!W5</f>
        <v>14399.999999999998</v>
      </c>
      <c r="AA84" s="214">
        <f>AA83*Semidetached!X5</f>
        <v>10799.999999999998</v>
      </c>
      <c r="AB84" s="214">
        <f>AB83*Semidetached!Y5</f>
        <v>21599.999999999996</v>
      </c>
      <c r="AC84" s="214">
        <f>AC83*Semidetached!Z5</f>
        <v>18899.999999999996</v>
      </c>
      <c r="AD84" s="214">
        <f>AD83*Semidetached!AA5</f>
        <v>21600</v>
      </c>
      <c r="AE84" s="214">
        <f>AE83*Semidetached!AB5</f>
        <v>10799.999999999998</v>
      </c>
      <c r="AF84" s="214">
        <f>AF83*Semidetached!AC5</f>
        <v>27539.999999999996</v>
      </c>
      <c r="AG84" s="214">
        <f>AG83*Semidetached!AD5</f>
        <v>10799.999999999998</v>
      </c>
      <c r="AH84" s="214">
        <f>AH83*Semidetached!AE5</f>
        <v>21599.999999999996</v>
      </c>
      <c r="AI84" s="214">
        <f>AI83*Semidetached!AF5</f>
        <v>10799.999999999998</v>
      </c>
      <c r="AJ84" s="214">
        <f>AJ83*Semidetached!AG5</f>
        <v>14039.999999999995</v>
      </c>
      <c r="AK84" s="214">
        <f>AK83*Semidetached!AH5</f>
        <v>18899.999999999996</v>
      </c>
      <c r="AL84" s="214">
        <f>AL83*Semidetached!AI5</f>
        <v>10799.999999999998</v>
      </c>
      <c r="AM84" s="214">
        <f>AM83*Semidetached!AJ5</f>
        <v>10799.999999999998</v>
      </c>
      <c r="AN84" s="214">
        <f>AN83*Semidetached!AK5</f>
        <v>10800</v>
      </c>
      <c r="AO84" s="214">
        <f>AO83*Semidetached!AL5</f>
        <v>10799.999999999998</v>
      </c>
      <c r="AP84" s="214">
        <f>AP83*Semidetached!AM5</f>
        <v>10799.999999999996</v>
      </c>
      <c r="AQ84" s="214">
        <f>AQ83*Semidetached!AN5</f>
        <v>10799.999999999998</v>
      </c>
    </row>
    <row r="85" spans="1:46">
      <c r="A85" s="5" t="str">
        <f t="shared" si="5"/>
        <v>OUTPUT</v>
      </c>
      <c r="B85" s="5" t="s">
        <v>617</v>
      </c>
      <c r="C85" s="5" t="str">
        <f t="shared" si="4"/>
        <v>Bldg_SDEPre45-Win</v>
      </c>
      <c r="D85" s="5" t="s">
        <v>78</v>
      </c>
      <c r="E85" s="5" t="s">
        <v>339</v>
      </c>
      <c r="F85" s="5" t="s">
        <v>606</v>
      </c>
      <c r="G85" s="556">
        <f>$F$1*(Semidetached!D41-Savings_SemiDet!D50)</f>
        <v>1.3083394430212418E-3</v>
      </c>
      <c r="H85" s="556">
        <f>$F$1*(Semidetached!E41-Savings_SemiDet!E50)</f>
        <v>2.8490079265871965E-3</v>
      </c>
      <c r="I85" s="556">
        <f>$F$1*(Semidetached!F41-Savings_SemiDet!F50)</f>
        <v>1.1481190633192144E-3</v>
      </c>
      <c r="J85" s="556">
        <f>$F$1*(Semidetached!G41-Savings_SemiDet!G50)</f>
        <v>1.2755142056542859E-3</v>
      </c>
      <c r="K85" s="556">
        <f>$F$1*(Semidetached!H41-Savings_SemiDet!H50)</f>
        <v>3.1920185966531866E-4</v>
      </c>
      <c r="L85" s="556">
        <f>$F$1*(Semidetached!I41-Savings_SemiDet!I50)</f>
        <v>1.8481319065652587E-3</v>
      </c>
      <c r="M85" s="556">
        <f>$F$1*(Semidetached!J41-Savings_SemiDet!J50)</f>
        <v>2.5797061979135737E-3</v>
      </c>
      <c r="N85" s="556">
        <f>$F$1*(Semidetached!K41-Savings_SemiDet!K50)</f>
        <v>1.4726688054954797E-3</v>
      </c>
      <c r="O85" s="556">
        <f>$F$1*(Semidetached!L41-Savings_SemiDet!L50)</f>
        <v>5.8702492470695518E-5</v>
      </c>
      <c r="P85" s="556">
        <f>$F$1*(Semidetached!M41-Savings_SemiDet!M50)</f>
        <v>3.0774310294589455E-3</v>
      </c>
      <c r="Q85" s="556">
        <f>$F$1*(Semidetached!N41-Savings_SemiDet!N50)</f>
        <v>1.5069387215175247E-3</v>
      </c>
      <c r="R85" s="556">
        <f>$F$1*(Semidetached!O41-Savings_SemiDet!O50)</f>
        <v>2.5848075668430965E-3</v>
      </c>
      <c r="S85" s="556">
        <f>$F$1*(Semidetached!P41-Savings_SemiDet!P50)</f>
        <v>9.6941352868638083E-4</v>
      </c>
      <c r="T85" s="556">
        <f>$F$1*(Semidetached!Q41-Savings_SemiDet!Q50)</f>
        <v>3.2118582387581532E-3</v>
      </c>
      <c r="U85" s="556">
        <f>$F$1*(Semidetached!R41-Savings_SemiDet!R50)</f>
        <v>1.06153408193307E-3</v>
      </c>
      <c r="V85" s="556">
        <f>$F$1*(Semidetached!S41-Savings_SemiDet!S50)</f>
        <v>3.1383358021471876E-3</v>
      </c>
      <c r="W85" s="556">
        <f>$F$1*(Semidetached!T41-Savings_SemiDet!T50)</f>
        <v>1.2821121727273081E-3</v>
      </c>
      <c r="X85" s="556">
        <f>$F$1*(Semidetached!U41-Savings_SemiDet!U50)</f>
        <v>3.3082302295912537E-3</v>
      </c>
      <c r="Y85" s="556">
        <f>$F$1*(Semidetached!V41-Savings_SemiDet!V50)</f>
        <v>9.0133505305006419E-4</v>
      </c>
      <c r="Z85" s="556">
        <f>$F$1*(Semidetached!W41-Savings_SemiDet!W50)</f>
        <v>4.0304110802577269E-3</v>
      </c>
      <c r="AA85" s="556">
        <f>$F$1*(Semidetached!X41-Savings_SemiDet!X50)</f>
        <v>2.012531376820136E-3</v>
      </c>
      <c r="AB85" s="556">
        <f>$F$1*(Semidetached!Y41-Savings_SemiDet!Y50)</f>
        <v>9.3794763735813335E-4</v>
      </c>
      <c r="AC85" s="556">
        <f>$F$1*(Semidetached!Z41-Savings_SemiDet!Z50)</f>
        <v>2.6280783354946883E-3</v>
      </c>
      <c r="AD85" s="556">
        <f>$F$1*(Semidetached!AA41-Savings_SemiDet!AA50)</f>
        <v>2.5603355818510447E-3</v>
      </c>
      <c r="AE85" s="556">
        <f>$F$1*(Semidetached!AB41-Savings_SemiDet!AB50)</f>
        <v>2.8689439137661909E-3</v>
      </c>
      <c r="AF85" s="556">
        <f>$F$1*(Semidetached!AC41-Savings_SemiDet!AC50)</f>
        <v>1.2889483574155902E-3</v>
      </c>
      <c r="AG85" s="556">
        <f>$F$1*(Semidetached!AD41-Savings_SemiDet!AD50)</f>
        <v>1.2281666416100788E-3</v>
      </c>
      <c r="AH85" s="556">
        <f>$F$1*(Semidetached!AE41-Savings_SemiDet!AE50)</f>
        <v>2.4669558284368298E-3</v>
      </c>
      <c r="AI85" s="556">
        <f>$F$1*(Semidetached!AF41-Savings_SemiDet!AF50)</f>
        <v>9.7866195476201492E-4</v>
      </c>
      <c r="AJ85" s="556">
        <f>$F$1*(Semidetached!AG41-Savings_SemiDet!AG50)</f>
        <v>3.0024101000346946E-3</v>
      </c>
      <c r="AK85" s="556">
        <f>$F$1*(Semidetached!AH41-Savings_SemiDet!AH50)</f>
        <v>3.0485255371743166E-3</v>
      </c>
      <c r="AL85" s="556">
        <f>$F$1*(Semidetached!AI41-Savings_SemiDet!AI50)</f>
        <v>9.6819244149578751E-4</v>
      </c>
      <c r="AM85" s="556">
        <f>$F$1*(Semidetached!AJ41-Savings_SemiDet!AJ50)</f>
        <v>1.7324962495626165E-3</v>
      </c>
      <c r="AN85" s="556">
        <f>$F$1*(Semidetached!AK41-Savings_SemiDet!AK50)</f>
        <v>1.5471711990375737E-3</v>
      </c>
      <c r="AO85" s="556">
        <f>$F$1*(Semidetached!AL41-Savings_SemiDet!AL50)</f>
        <v>1.1496933349618727E-3</v>
      </c>
      <c r="AP85" s="556">
        <f>$F$1*(Semidetached!AM41-Savings_SemiDet!AM50)</f>
        <v>1.5931613355834309E-3</v>
      </c>
      <c r="AQ85" s="556">
        <f>$F$1*(Semidetached!AN41-Savings_SemiDet!AN50)</f>
        <v>1.5931613355834309E-3</v>
      </c>
      <c r="AT85" s="5" t="s">
        <v>339</v>
      </c>
    </row>
    <row r="86" spans="1:46">
      <c r="A86" s="5" t="str">
        <f t="shared" si="5"/>
        <v>OUTPUT</v>
      </c>
      <c r="B86" s="5" t="s">
        <v>617</v>
      </c>
      <c r="C86" s="5" t="str">
        <f t="shared" si="4"/>
        <v>Bldg_SDEPre69-Win</v>
      </c>
      <c r="D86" s="5" t="s">
        <v>78</v>
      </c>
      <c r="E86" s="5" t="s">
        <v>340</v>
      </c>
      <c r="F86" s="5" t="s">
        <v>606</v>
      </c>
      <c r="G86" s="556">
        <f>$F$1*(Semidetached!D42-Savings_SemiDet!D51)</f>
        <v>1.3241140401117442E-3</v>
      </c>
      <c r="H86" s="556">
        <f>$F$1*(Semidetached!E42-Savings_SemiDet!E51)</f>
        <v>2.8490079265871965E-3</v>
      </c>
      <c r="I86" s="556">
        <f>$F$1*(Semidetached!F42-Savings_SemiDet!F51)</f>
        <v>1.1481190633192144E-3</v>
      </c>
      <c r="J86" s="556">
        <f>$F$1*(Semidetached!G42-Savings_SemiDet!G51)</f>
        <v>1.2906963711779597E-3</v>
      </c>
      <c r="K86" s="556">
        <f>$F$1*(Semidetached!H42-Savings_SemiDet!H51)</f>
        <v>3.2234209592348604E-4</v>
      </c>
      <c r="L86" s="556">
        <f>$F$1*(Semidetached!I42-Savings_SemiDet!I51)</f>
        <v>1.9211140352487887E-3</v>
      </c>
      <c r="M86" s="556">
        <f>$F$1*(Semidetached!J42-Savings_SemiDet!J51)</f>
        <v>1.393362086952587E-3</v>
      </c>
      <c r="N86" s="556">
        <f>$F$1*(Semidetached!K42-Savings_SemiDet!K51)</f>
        <v>1.415197398940899E-3</v>
      </c>
      <c r="O86" s="556">
        <f>$F$1*(Semidetached!L42-Savings_SemiDet!L51)</f>
        <v>5.8702492470695518E-5</v>
      </c>
      <c r="P86" s="556">
        <f>$F$1*(Semidetached!M42-Savings_SemiDet!M51)</f>
        <v>3.1376470125667024E-3</v>
      </c>
      <c r="Q86" s="556">
        <f>$F$1*(Semidetached!N42-Savings_SemiDet!N51)</f>
        <v>1.5372471113396019E-3</v>
      </c>
      <c r="R86" s="556">
        <f>$F$1*(Semidetached!O42-Savings_SemiDet!O51)</f>
        <v>2.5848075668430965E-3</v>
      </c>
      <c r="S86" s="556">
        <f>$F$1*(Semidetached!P42-Savings_SemiDet!P51)</f>
        <v>9.6941352868638083E-4</v>
      </c>
      <c r="T86" s="556">
        <f>$F$1*(Semidetached!Q42-Savings_SemiDet!Q51)</f>
        <v>3.1786686095731454E-3</v>
      </c>
      <c r="U86" s="556">
        <f>$F$1*(Semidetached!R42-Savings_SemiDet!R51)</f>
        <v>1.06153408193307E-3</v>
      </c>
      <c r="V86" s="556">
        <f>$F$1*(Semidetached!S42-Savings_SemiDet!S51)</f>
        <v>3.1278549149645236E-3</v>
      </c>
      <c r="W86" s="556">
        <f>$F$1*(Semidetached!T42-Savings_SemiDet!T51)</f>
        <v>1.3079732765928743E-3</v>
      </c>
      <c r="X86" s="556">
        <f>$F$1*(Semidetached!U42-Savings_SemiDet!U51)</f>
        <v>3.339898664833659E-3</v>
      </c>
      <c r="Y86" s="556">
        <f>$F$1*(Semidetached!V42-Savings_SemiDet!V51)</f>
        <v>9.0133505305006419E-4</v>
      </c>
      <c r="Z86" s="556">
        <f>$F$1*(Semidetached!W42-Savings_SemiDet!W51)</f>
        <v>3.0035646749725507E-3</v>
      </c>
      <c r="AA86" s="556">
        <f>$F$1*(Semidetached!X42-Savings_SemiDet!X51)</f>
        <v>1.61121258848963E-3</v>
      </c>
      <c r="AB86" s="556">
        <f>$F$1*(Semidetached!Y42-Savings_SemiDet!Y51)</f>
        <v>9.3825566057429549E-4</v>
      </c>
      <c r="AC86" s="556">
        <f>$F$1*(Semidetached!Z42-Savings_SemiDet!Z51)</f>
        <v>2.2831139180504029E-3</v>
      </c>
      <c r="AD86" s="556">
        <f>$F$1*(Semidetached!AA42-Savings_SemiDet!AA51)</f>
        <v>2.44327346753056E-3</v>
      </c>
      <c r="AE86" s="556">
        <f>$F$1*(Semidetached!AB42-Savings_SemiDet!AB51)</f>
        <v>1.6115062715985147E-3</v>
      </c>
      <c r="AF86" s="556">
        <f>$F$1*(Semidetached!AC42-Savings_SemiDet!AC51)</f>
        <v>1.3636027745785623E-3</v>
      </c>
      <c r="AG86" s="556">
        <f>$F$1*(Semidetached!AD42-Savings_SemiDet!AD51)</f>
        <v>1.1119979884443975E-3</v>
      </c>
      <c r="AH86" s="556">
        <f>$F$1*(Semidetached!AE42-Savings_SemiDet!AE51)</f>
        <v>2.3541727012766369E-3</v>
      </c>
      <c r="AI86" s="556">
        <f>$F$1*(Semidetached!AF42-Savings_SemiDet!AF51)</f>
        <v>9.7866195476201492E-4</v>
      </c>
      <c r="AJ86" s="556">
        <f>$F$1*(Semidetached!AG42-Savings_SemiDet!AG51)</f>
        <v>3.1022741638040822E-3</v>
      </c>
      <c r="AK86" s="556">
        <f>$F$1*(Semidetached!AH42-Savings_SemiDet!AH51)</f>
        <v>2.9335372671727773E-3</v>
      </c>
      <c r="AL86" s="556">
        <f>$F$1*(Semidetached!AI42-Savings_SemiDet!AI51)</f>
        <v>9.6819244149578751E-4</v>
      </c>
      <c r="AM86" s="556">
        <f>$F$1*(Semidetached!AJ42-Savings_SemiDet!AJ51)</f>
        <v>1.7324962495626165E-3</v>
      </c>
      <c r="AN86" s="556">
        <f>$F$1*(Semidetached!AK42-Savings_SemiDet!AK51)</f>
        <v>1.5471711990375737E-3</v>
      </c>
      <c r="AO86" s="556">
        <f>$F$1*(Semidetached!AL42-Savings_SemiDet!AL51)</f>
        <v>1.1496933349618727E-3</v>
      </c>
      <c r="AP86" s="556">
        <f>$F$1*(Semidetached!AM42-Savings_SemiDet!AM51)</f>
        <v>1.5931613355834309E-3</v>
      </c>
      <c r="AQ86" s="556">
        <f>$F$1*(Semidetached!AN42-Savings_SemiDet!AN51)</f>
        <v>1.5931613355834309E-3</v>
      </c>
      <c r="AT86" s="5" t="s">
        <v>340</v>
      </c>
    </row>
    <row r="87" spans="1:46">
      <c r="A87" s="5" t="str">
        <f t="shared" si="5"/>
        <v>OUTPUT</v>
      </c>
      <c r="B87" s="5" t="s">
        <v>617</v>
      </c>
      <c r="C87" s="5" t="str">
        <f t="shared" si="4"/>
        <v>Bldg_SDEPre79-Win</v>
      </c>
      <c r="D87" s="5" t="s">
        <v>78</v>
      </c>
      <c r="E87" s="5" t="s">
        <v>341</v>
      </c>
      <c r="F87" s="5" t="s">
        <v>606</v>
      </c>
      <c r="G87" s="556">
        <f>$F$1*(Semidetached!D43-Savings_SemiDet!D52)</f>
        <v>1.0398030871456418E-3</v>
      </c>
      <c r="H87" s="556">
        <f>$F$1*(Semidetached!E43-Savings_SemiDet!E52)</f>
        <v>2.8490079265871965E-3</v>
      </c>
      <c r="I87" s="556">
        <f>$F$1*(Semidetached!F43-Savings_SemiDet!F52)</f>
        <v>1.1615233525168731E-3</v>
      </c>
      <c r="J87" s="556">
        <f>$F$1*(Semidetached!G43-Savings_SemiDet!G52)</f>
        <v>1.013774000946762E-3</v>
      </c>
      <c r="K87" s="556">
        <f>$F$1*(Semidetached!H43-Savings_SemiDet!H52)</f>
        <v>1.328617480228461E-3</v>
      </c>
      <c r="L87" s="556">
        <f>$F$1*(Semidetached!I43-Savings_SemiDet!I52)</f>
        <v>1.9211140352487887E-3</v>
      </c>
      <c r="M87" s="556">
        <f>$F$1*(Semidetached!J43-Savings_SemiDet!J52)</f>
        <v>1.7573311875067334E-3</v>
      </c>
      <c r="N87" s="556">
        <f>$F$1*(Semidetached!K43-Savings_SemiDet!K52)</f>
        <v>1.4733460565992344E-3</v>
      </c>
      <c r="O87" s="556">
        <f>$F$1*(Semidetached!L43-Savings_SemiDet!L52)</f>
        <v>6.110279073876956E-5</v>
      </c>
      <c r="P87" s="556">
        <f>$F$1*(Semidetached!M43-Savings_SemiDet!M52)</f>
        <v>3.1376470125667024E-3</v>
      </c>
      <c r="Q87" s="556">
        <f>$F$1*(Semidetached!N43-Savings_SemiDet!N52)</f>
        <v>1.1171281138339468E-3</v>
      </c>
      <c r="R87" s="556">
        <f>$F$1*(Semidetached!O43-Savings_SemiDet!O52)</f>
        <v>2.1660241072934158E-3</v>
      </c>
      <c r="S87" s="556">
        <f>$F$1*(Semidetached!P43-Savings_SemiDet!P52)</f>
        <v>9.6941352868638083E-4</v>
      </c>
      <c r="T87" s="556">
        <f>$F$1*(Semidetached!Q43-Savings_SemiDet!Q52)</f>
        <v>1.5542729558888607E-3</v>
      </c>
      <c r="U87" s="556">
        <f>$F$1*(Semidetached!R43-Savings_SemiDet!R52)</f>
        <v>1.0900122615348222E-3</v>
      </c>
      <c r="V87" s="556">
        <f>$F$1*(Semidetached!S43-Savings_SemiDet!S52)</f>
        <v>3.2436585427996702E-3</v>
      </c>
      <c r="W87" s="556">
        <f>$F$1*(Semidetached!T43-Savings_SemiDet!T52)</f>
        <v>9.5054763454053377E-4</v>
      </c>
      <c r="X87" s="556">
        <f>$F$1*(Semidetached!U43-Savings_SemiDet!U52)</f>
        <v>2.6810107508961111E-3</v>
      </c>
      <c r="Y87" s="556">
        <f>$F$1*(Semidetached!V43-Savings_SemiDet!V52)</f>
        <v>2.1284762297505154E-4</v>
      </c>
      <c r="Z87" s="556">
        <f>$F$1*(Semidetached!W43-Savings_SemiDet!W52)</f>
        <v>2.1161693160396968E-3</v>
      </c>
      <c r="AA87" s="556">
        <f>$F$1*(Semidetached!X43-Savings_SemiDet!X52)</f>
        <v>1.6351117828447949E-3</v>
      </c>
      <c r="AB87" s="556">
        <f>$F$1*(Semidetached!Y43-Savings_SemiDet!Y52)</f>
        <v>9.6626068468194735E-4</v>
      </c>
      <c r="AC87" s="556">
        <f>$F$1*(Semidetached!Z43-Savings_SemiDet!Z52)</f>
        <v>2.3013540740972468E-3</v>
      </c>
      <c r="AD87" s="556">
        <f>$F$1*(Semidetached!AA43-Savings_SemiDet!AA52)</f>
        <v>2.5398643256724809E-3</v>
      </c>
      <c r="AE87" s="556">
        <f>$F$1*(Semidetached!AB43-Savings_SemiDet!AB52)</f>
        <v>1.0765780901928683E-3</v>
      </c>
      <c r="AF87" s="556">
        <f>$F$1*(Semidetached!AC43-Savings_SemiDet!AC52)</f>
        <v>1.3692054996300943E-3</v>
      </c>
      <c r="AG87" s="556">
        <f>$F$1*(Semidetached!AD43-Savings_SemiDet!AD52)</f>
        <v>1.1119979884443975E-3</v>
      </c>
      <c r="AH87" s="556">
        <f>$F$1*(Semidetached!AE43-Savings_SemiDet!AE52)</f>
        <v>2.4464695658791796E-3</v>
      </c>
      <c r="AI87" s="556">
        <f>$F$1*(Semidetached!AF43-Savings_SemiDet!AF52)</f>
        <v>5.688623203157216E-4</v>
      </c>
      <c r="AJ87" s="556">
        <f>$F$1*(Semidetached!AG43-Savings_SemiDet!AG52)</f>
        <v>3.1022741638040822E-3</v>
      </c>
      <c r="AK87" s="556">
        <f>$F$1*(Semidetached!AH43-Savings_SemiDet!AH52)</f>
        <v>2.6306089493224605E-3</v>
      </c>
      <c r="AL87" s="556">
        <f>$F$1*(Semidetached!AI43-Savings_SemiDet!AI52)</f>
        <v>9.6819244149578751E-4</v>
      </c>
      <c r="AM87" s="556">
        <f>$F$1*(Semidetached!AJ43-Savings_SemiDet!AJ52)</f>
        <v>1.7324962495626165E-3</v>
      </c>
      <c r="AN87" s="556">
        <f>$F$1*(Semidetached!AK43-Savings_SemiDet!AK52)</f>
        <v>1.5471711990375737E-3</v>
      </c>
      <c r="AO87" s="556">
        <f>$F$1*(Semidetached!AL43-Savings_SemiDet!AL52)</f>
        <v>1.1632088405347336E-3</v>
      </c>
      <c r="AP87" s="556">
        <f>$F$1*(Semidetached!AM43-Savings_SemiDet!AM52)</f>
        <v>1.5931613355834309E-3</v>
      </c>
      <c r="AQ87" s="556">
        <f>$F$1*(Semidetached!AN43-Savings_SemiDet!AN52)</f>
        <v>1.5931613355834309E-3</v>
      </c>
      <c r="AT87" s="5" t="s">
        <v>341</v>
      </c>
    </row>
    <row r="88" spans="1:46">
      <c r="A88" s="5" t="str">
        <f t="shared" si="5"/>
        <v>OUTPUT</v>
      </c>
      <c r="B88" s="5" t="s">
        <v>617</v>
      </c>
      <c r="C88" s="5" t="str">
        <f t="shared" si="4"/>
        <v>Bldg_SDEPre89-Win</v>
      </c>
      <c r="D88" s="5" t="s">
        <v>78</v>
      </c>
      <c r="E88" s="5" t="s">
        <v>342</v>
      </c>
      <c r="F88" s="5" t="s">
        <v>606</v>
      </c>
      <c r="G88" s="556">
        <f>$F$1*(Semidetached!D44-Savings_SemiDet!D53)</f>
        <v>1.861355454121411E-4</v>
      </c>
      <c r="H88" s="556">
        <f>$F$1*(Semidetached!E44-Savings_SemiDet!E53)</f>
        <v>2.4863137748262331E-3</v>
      </c>
      <c r="I88" s="556">
        <f>$F$1*(Semidetached!F44-Savings_SemiDet!F53)</f>
        <v>1.1963241441195259E-3</v>
      </c>
      <c r="J88" s="556">
        <f>$F$1*(Semidetached!G44-Savings_SemiDet!G53)</f>
        <v>1.81525590709984E-4</v>
      </c>
      <c r="K88" s="556">
        <f>$F$1*(Semidetached!H44-Savings_SemiDet!H53)</f>
        <v>1.3375432670378437E-3</v>
      </c>
      <c r="L88" s="556">
        <f>$F$1*(Semidetached!I44-Savings_SemiDet!I53)</f>
        <v>1.96755546109725E-3</v>
      </c>
      <c r="M88" s="556">
        <f>$F$1*(Semidetached!J44-Savings_SemiDet!J53)</f>
        <v>1.4621386949115931E-3</v>
      </c>
      <c r="N88" s="556">
        <f>$F$1*(Semidetached!K44-Savings_SemiDet!K53)</f>
        <v>1.3480371507196783E-3</v>
      </c>
      <c r="O88" s="556">
        <f>$F$1*(Semidetached!L44-Savings_SemiDet!L53)</f>
        <v>-1.5024568901820378E-3</v>
      </c>
      <c r="P88" s="556">
        <f>$F$1*(Semidetached!M44-Savings_SemiDet!M53)</f>
        <v>1.3585817052103341E-3</v>
      </c>
      <c r="Q88" s="556">
        <f>$F$1*(Semidetached!N44-Savings_SemiDet!N53)</f>
        <v>1.653562535545469E-4</v>
      </c>
      <c r="R88" s="556">
        <f>$F$1*(Semidetached!O44-Savings_SemiDet!O53)</f>
        <v>1.6608011817220284E-3</v>
      </c>
      <c r="S88" s="556">
        <f>$F$1*(Semidetached!P44-Savings_SemiDet!P53)</f>
        <v>9.7516549642273696E-4</v>
      </c>
      <c r="T88" s="556">
        <f>$F$1*(Semidetached!Q44-Savings_SemiDet!Q53)</f>
        <v>1.5542729558888607E-3</v>
      </c>
      <c r="U88" s="556">
        <f>$F$1*(Semidetached!R44-Savings_SemiDet!R53)</f>
        <v>1.1540015777712078E-3</v>
      </c>
      <c r="V88" s="556">
        <f>$F$1*(Semidetached!S44-Savings_SemiDet!S53)</f>
        <v>2.3030668198343839E-3</v>
      </c>
      <c r="W88" s="556">
        <f>$F$1*(Semidetached!T44-Savings_SemiDet!T53)</f>
        <v>1.4070143628322368E-4</v>
      </c>
      <c r="X88" s="556">
        <f>$F$1*(Semidetached!U44-Savings_SemiDet!U53)</f>
        <v>1.442663059389053E-3</v>
      </c>
      <c r="Y88" s="556">
        <f>$F$1*(Semidetached!V44-Savings_SemiDet!V53)</f>
        <v>2.1284762297505154E-4</v>
      </c>
      <c r="Z88" s="556">
        <f>$F$1*(Semidetached!W44-Savings_SemiDet!W53)</f>
        <v>5.0145081283593221E-4</v>
      </c>
      <c r="AA88" s="556">
        <f>$F$1*(Semidetached!X44-Savings_SemiDet!X53)</f>
        <v>2.269017107080101E-4</v>
      </c>
      <c r="AB88" s="556">
        <f>$F$1*(Semidetached!Y44-Savings_SemiDet!Y53)</f>
        <v>9.85696560553253E-4</v>
      </c>
      <c r="AC88" s="556">
        <f>$F$1*(Semidetached!Z44-Savings_SemiDet!Z53)</f>
        <v>2.4018809939310519E-3</v>
      </c>
      <c r="AD88" s="556">
        <f>$F$1*(Semidetached!AA44-Savings_SemiDet!AA53)</f>
        <v>2.2452111727554801E-3</v>
      </c>
      <c r="AE88" s="556">
        <f>$F$1*(Semidetached!AB44-Savings_SemiDet!AB53)</f>
        <v>1.0765780901928683E-3</v>
      </c>
      <c r="AF88" s="556">
        <f>$F$1*(Semidetached!AC44-Savings_SemiDet!AC53)</f>
        <v>1.4316402884397455E-3</v>
      </c>
      <c r="AG88" s="556">
        <f>$F$1*(Semidetached!AD44-Savings_SemiDet!AD53)</f>
        <v>1.0020054856903081E-3</v>
      </c>
      <c r="AH88" s="556">
        <f>$F$1*(Semidetached!AE44-Savings_SemiDet!AE53)</f>
        <v>2.1626800316166604E-3</v>
      </c>
      <c r="AI88" s="556">
        <f>$F$1*(Semidetached!AF44-Savings_SemiDet!AF53)</f>
        <v>-1.4874487809383576E-4</v>
      </c>
      <c r="AJ88" s="556">
        <f>$F$1*(Semidetached!AG44-Savings_SemiDet!AG53)</f>
        <v>1.9137352134115306E-3</v>
      </c>
      <c r="AK88" s="556">
        <f>$F$1*(Semidetached!AH44-Savings_SemiDet!AH53)</f>
        <v>2.7938926408250897E-3</v>
      </c>
      <c r="AL88" s="556">
        <f>$F$1*(Semidetached!AI44-Savings_SemiDet!AI53)</f>
        <v>9.7411194508228603E-4</v>
      </c>
      <c r="AM88" s="556">
        <f>$F$1*(Semidetached!AJ44-Savings_SemiDet!AJ53)</f>
        <v>1.7837233404166552E-3</v>
      </c>
      <c r="AN88" s="556">
        <f>$F$1*(Semidetached!AK44-Savings_SemiDet!AK53)</f>
        <v>1.5944906277870485E-3</v>
      </c>
      <c r="AO88" s="556">
        <f>$F$1*(Semidetached!AL44-Savings_SemiDet!AL53)</f>
        <v>1.1982771504235306E-3</v>
      </c>
      <c r="AP88" s="556">
        <f>$F$1*(Semidetached!AM44-Savings_SemiDet!AM53)</f>
        <v>1.6402685200888252E-3</v>
      </c>
      <c r="AQ88" s="556">
        <f>$F$1*(Semidetached!AN44-Savings_SemiDet!AN53)</f>
        <v>1.6402685200888252E-3</v>
      </c>
      <c r="AT88" s="5" t="s">
        <v>342</v>
      </c>
    </row>
    <row r="89" spans="1:46">
      <c r="A89" s="5" t="str">
        <f t="shared" si="5"/>
        <v>OUTPUT</v>
      </c>
      <c r="B89" s="5" t="s">
        <v>617</v>
      </c>
      <c r="C89" s="5" t="str">
        <f t="shared" si="4"/>
        <v>Bldg_SDEPre99-Win</v>
      </c>
      <c r="D89" s="5" t="s">
        <v>78</v>
      </c>
      <c r="E89" s="5" t="s">
        <v>343</v>
      </c>
      <c r="F89" s="5" t="s">
        <v>606</v>
      </c>
      <c r="G89" s="556">
        <f>$F$1*(Semidetached!D45-Savings_SemiDet!D54)</f>
        <v>-1.9142911555423601E-4</v>
      </c>
      <c r="H89" s="556">
        <f>$F$1*(Semidetached!E45-Savings_SemiDet!E54)</f>
        <v>2.4863137748262331E-3</v>
      </c>
      <c r="I89" s="556">
        <f>$F$1*(Semidetached!F45-Savings_SemiDet!F54)</f>
        <v>1.2573466877522539E-3</v>
      </c>
      <c r="J89" s="556">
        <f>$F$1*(Semidetached!G45-Savings_SemiDet!G54)</f>
        <v>-1.8668462446968593E-4</v>
      </c>
      <c r="K89" s="556">
        <f>$F$1*(Semidetached!H45-Savings_SemiDet!H54)</f>
        <v>-3.286255160459296E-5</v>
      </c>
      <c r="L89" s="556">
        <f>$F$1*(Semidetached!I45-Savings_SemiDet!I54)</f>
        <v>1.3195262293038427E-3</v>
      </c>
      <c r="M89" s="556">
        <f>$F$1*(Semidetached!J45-Savings_SemiDet!J54)</f>
        <v>-1.8434444476452195E-4</v>
      </c>
      <c r="N89" s="556">
        <f>$F$1*(Semidetached!K45-Savings_SemiDet!K54)</f>
        <v>1.3480371507196783E-3</v>
      </c>
      <c r="O89" s="556">
        <f>$F$1*(Semidetached!L45-Savings_SemiDet!L54)</f>
        <v>-1.708845277419951E-3</v>
      </c>
      <c r="P89" s="556">
        <f>$F$1*(Semidetached!M45-Savings_SemiDet!M54)</f>
        <v>1.3585817052103341E-3</v>
      </c>
      <c r="Q89" s="556">
        <f>$F$1*(Semidetached!N45-Savings_SemiDet!N54)</f>
        <v>1.6581413732310869E-4</v>
      </c>
      <c r="R89" s="556">
        <f>$F$1*(Semidetached!O45-Savings_SemiDet!O54)</f>
        <v>2.7346122593350272E-4</v>
      </c>
      <c r="S89" s="556">
        <f>$F$1*(Semidetached!P45-Savings_SemiDet!P54)</f>
        <v>9.7516549642273696E-4</v>
      </c>
      <c r="T89" s="556">
        <f>$F$1*(Semidetached!Q45-Savings_SemiDet!Q54)</f>
        <v>8.9164785513916377E-4</v>
      </c>
      <c r="U89" s="556">
        <f>$F$1*(Semidetached!R45-Savings_SemiDet!R54)</f>
        <v>1.1540015777712078E-3</v>
      </c>
      <c r="V89" s="556">
        <f>$F$1*(Semidetached!S45-Savings_SemiDet!S54)</f>
        <v>2.3729696529169396E-3</v>
      </c>
      <c r="W89" s="556">
        <f>$F$1*(Semidetached!T45-Savings_SemiDet!T54)</f>
        <v>1.410921184012441E-4</v>
      </c>
      <c r="X89" s="556">
        <f>$F$1*(Semidetached!U45-Savings_SemiDet!U54)</f>
        <v>1.4641599665987598E-3</v>
      </c>
      <c r="Y89" s="556">
        <f>$F$1*(Semidetached!V45-Savings_SemiDet!V54)</f>
        <v>2.1284762297505154E-4</v>
      </c>
      <c r="Z89" s="556">
        <f>$F$1*(Semidetached!W45-Savings_SemiDet!W54)</f>
        <v>-1.7152605089531902E-4</v>
      </c>
      <c r="AA89" s="556">
        <f>$F$1*(Semidetached!X45-Savings_SemiDet!X54)</f>
        <v>2.2780068624208476E-4</v>
      </c>
      <c r="AB89" s="556">
        <f>$F$1*(Semidetached!Y45-Savings_SemiDet!Y54)</f>
        <v>9.8972764673302144E-4</v>
      </c>
      <c r="AC89" s="556">
        <f>$F$1*(Semidetached!Z45-Savings_SemiDet!Z54)</f>
        <v>1.7339214338917427E-3</v>
      </c>
      <c r="AD89" s="556">
        <f>$F$1*(Semidetached!AA45-Savings_SemiDet!AA54)</f>
        <v>2.2963088423059055E-3</v>
      </c>
      <c r="AE89" s="556">
        <f>$F$1*(Semidetached!AB45-Savings_SemiDet!AB54)</f>
        <v>1.0765780901928683E-3</v>
      </c>
      <c r="AF89" s="556">
        <f>$F$1*(Semidetached!AC45-Savings_SemiDet!AC54)</f>
        <v>1.3962525044600566E-3</v>
      </c>
      <c r="AG89" s="556">
        <f>$F$1*(Semidetached!AD45-Savings_SemiDet!AD54)</f>
        <v>1.0020054856903081E-3</v>
      </c>
      <c r="AH89" s="556">
        <f>$F$1*(Semidetached!AE45-Savings_SemiDet!AE54)</f>
        <v>2.2117692726873611E-3</v>
      </c>
      <c r="AI89" s="556">
        <f>$F$1*(Semidetached!AF45-Savings_SemiDet!AF54)</f>
        <v>-1.5876544096591572E-4</v>
      </c>
      <c r="AJ89" s="556">
        <f>$F$1*(Semidetached!AG45-Savings_SemiDet!AG54)</f>
        <v>1.9535621243709687E-3</v>
      </c>
      <c r="AK89" s="556">
        <f>$F$1*(Semidetached!AH45-Savings_SemiDet!AH54)</f>
        <v>6.569307297385463E-4</v>
      </c>
      <c r="AL89" s="556">
        <f>$F$1*(Semidetached!AI45-Savings_SemiDet!AI54)</f>
        <v>9.7411194508228603E-4</v>
      </c>
      <c r="AM89" s="556">
        <f>$F$1*(Semidetached!AJ45-Savings_SemiDet!AJ54)</f>
        <v>1.9439082813835335E-3</v>
      </c>
      <c r="AN89" s="556">
        <f>$F$1*(Semidetached!AK45-Savings_SemiDet!AK54)</f>
        <v>1.7385430315330192E-3</v>
      </c>
      <c r="AO89" s="556">
        <f>$F$1*(Semidetached!AL45-Savings_SemiDet!AL54)</f>
        <v>1.2603786391143824E-3</v>
      </c>
      <c r="AP89" s="556">
        <f>$F$1*(Semidetached!AM45-Savings_SemiDet!AM54)</f>
        <v>1.7875706885960171E-3</v>
      </c>
      <c r="AQ89" s="556">
        <f>$F$1*(Semidetached!AN45-Savings_SemiDet!AN54)</f>
        <v>1.7875706885960171E-3</v>
      </c>
      <c r="AT89" s="5" t="s">
        <v>343</v>
      </c>
    </row>
    <row r="90" spans="1:46">
      <c r="A90" s="5" t="str">
        <f t="shared" si="5"/>
        <v>OUTPUT</v>
      </c>
      <c r="B90" s="5" t="s">
        <v>617</v>
      </c>
      <c r="C90" s="5" t="str">
        <f t="shared" si="4"/>
        <v>Bldg_SDEPre09-Win</v>
      </c>
      <c r="D90" s="5" t="s">
        <v>78</v>
      </c>
      <c r="E90" s="5" t="s">
        <v>344</v>
      </c>
      <c r="F90" s="5" t="s">
        <v>606</v>
      </c>
      <c r="G90" s="556">
        <f>$F$1*(Semidetached!D46-Savings_SemiDet!D55)</f>
        <v>-3.9247125736365239E-4</v>
      </c>
      <c r="H90" s="556">
        <f>$F$1*(Semidetached!E46-Savings_SemiDet!E55)</f>
        <v>1.1145754602818446E-3</v>
      </c>
      <c r="I90" s="556">
        <f>$F$1*(Semidetached!F46-Savings_SemiDet!F55)</f>
        <v>7.4726532230002521E-4</v>
      </c>
      <c r="J90" s="556">
        <f>$F$1*(Semidetached!G46-Savings_SemiDet!G55)</f>
        <v>-3.8282475183425423E-4</v>
      </c>
      <c r="K90" s="556">
        <f>$F$1*(Semidetached!H46-Savings_SemiDet!H55)</f>
        <v>3.415174827309488E-4</v>
      </c>
      <c r="L90" s="556">
        <f>$F$1*(Semidetached!I46-Savings_SemiDet!I55)</f>
        <v>0</v>
      </c>
      <c r="M90" s="556">
        <f>$F$1*(Semidetached!J46-Savings_SemiDet!J55)</f>
        <v>-1.8161798455286956E-4</v>
      </c>
      <c r="N90" s="556">
        <f>$F$1*(Semidetached!K46-Savings_SemiDet!K55)</f>
        <v>2.2231038763550537E-5</v>
      </c>
      <c r="O90" s="556">
        <f>$F$1*(Semidetached!L46-Savings_SemiDet!L55)</f>
        <v>-1.708845277419951E-3</v>
      </c>
      <c r="P90" s="556">
        <f>$F$1*(Semidetached!M46-Savings_SemiDet!M55)</f>
        <v>1.2868456891098096E-3</v>
      </c>
      <c r="Q90" s="556">
        <f>$F$1*(Semidetached!N46-Savings_SemiDet!N55)</f>
        <v>-6.7522137578220911E-4</v>
      </c>
      <c r="R90" s="556">
        <f>$F$1*(Semidetached!O46-Savings_SemiDet!O55)</f>
        <v>1.6843365072031596E-4</v>
      </c>
      <c r="S90" s="556">
        <f>$F$1*(Semidetached!P46-Savings_SemiDet!P55)</f>
        <v>1.1934630388982254E-3</v>
      </c>
      <c r="T90" s="556">
        <f>$F$1*(Semidetached!Q46-Savings_SemiDet!Q55)</f>
        <v>1.3869594360136909E-4</v>
      </c>
      <c r="U90" s="556">
        <f>$F$1*(Semidetached!R46-Savings_SemiDet!R55)</f>
        <v>-3.149831233683159E-4</v>
      </c>
      <c r="V90" s="556">
        <f>$F$1*(Semidetached!S46-Savings_SemiDet!S55)</f>
        <v>1.3463454486947702E-3</v>
      </c>
      <c r="W90" s="556">
        <f>$F$1*(Semidetached!T46-Savings_SemiDet!T55)</f>
        <v>-5.7456550555576476E-4</v>
      </c>
      <c r="X90" s="556">
        <f>$F$1*(Semidetached!U46-Savings_SemiDet!U55)</f>
        <v>5.5061929307438856E-4</v>
      </c>
      <c r="Y90" s="556">
        <f>$F$1*(Semidetached!V46-Savings_SemiDet!V55)</f>
        <v>-1.8899237573902724E-4</v>
      </c>
      <c r="Z90" s="556">
        <f>$F$1*(Semidetached!W46-Savings_SemiDet!W55)</f>
        <v>-7.1226573637071756E-4</v>
      </c>
      <c r="AA90" s="556">
        <f>$F$1*(Semidetached!X46-Savings_SemiDet!X55)</f>
        <v>-1.9946703418867405E-4</v>
      </c>
      <c r="AB90" s="556">
        <f>$F$1*(Semidetached!Y46-Savings_SemiDet!Y55)</f>
        <v>9.9736701088448611E-4</v>
      </c>
      <c r="AC90" s="556">
        <f>$F$1*(Semidetached!Z46-Savings_SemiDet!Z55)</f>
        <v>4.9233671962784257E-4</v>
      </c>
      <c r="AD90" s="556">
        <f>$F$1*(Semidetached!AA46-Savings_SemiDet!AA55)</f>
        <v>3.6070239480137034E-5</v>
      </c>
      <c r="AE90" s="556">
        <f>$F$1*(Semidetached!AB46-Savings_SemiDet!AB55)</f>
        <v>1.128099743274048E-3</v>
      </c>
      <c r="AF90" s="556">
        <f>$F$1*(Semidetached!AC46-Savings_SemiDet!AC55)</f>
        <v>8.7436503689444637E-4</v>
      </c>
      <c r="AG90" s="556">
        <f>$F$1*(Semidetached!AD46-Savings_SemiDet!AD55)</f>
        <v>-4.4550988877865719E-4</v>
      </c>
      <c r="AH90" s="556">
        <f>$F$1*(Semidetached!AE46-Savings_SemiDet!AE55)</f>
        <v>3.4746460868177025E-5</v>
      </c>
      <c r="AI90" s="556">
        <f>$F$1*(Semidetached!AF46-Savings_SemiDet!AF55)</f>
        <v>-7.0708265541771667E-4</v>
      </c>
      <c r="AJ90" s="556">
        <f>$F$1*(Semidetached!AG46-Savings_SemiDet!AG55)</f>
        <v>0</v>
      </c>
      <c r="AK90" s="556">
        <f>$F$1*(Semidetached!AH46-Savings_SemiDet!AH55)</f>
        <v>2.0895162495712251E-4</v>
      </c>
      <c r="AL90" s="556">
        <f>$F$1*(Semidetached!AI46-Savings_SemiDet!AI55)</f>
        <v>1.191963609882682E-3</v>
      </c>
      <c r="AM90" s="556">
        <f>$F$1*(Semidetached!AJ46-Savings_SemiDet!AJ55)</f>
        <v>1.2807566089837279E-3</v>
      </c>
      <c r="AN90" s="556">
        <f>$F$1*(Semidetached!AK46-Savings_SemiDet!AK55)</f>
        <v>1.1452238397015233E-3</v>
      </c>
      <c r="AO90" s="556">
        <f>$F$1*(Semidetached!AL46-Savings_SemiDet!AL55)</f>
        <v>7.4912575437310783E-4</v>
      </c>
      <c r="AP90" s="556">
        <f>$F$1*(Semidetached!AM46-Savings_SemiDet!AM55)</f>
        <v>1.1777525695890719E-3</v>
      </c>
      <c r="AQ90" s="556">
        <f>$F$1*(Semidetached!AN46-Savings_SemiDet!AN55)</f>
        <v>1.1777525695890719E-3</v>
      </c>
      <c r="AT90" s="5" t="s">
        <v>344</v>
      </c>
    </row>
    <row r="91" spans="1:46">
      <c r="A91" s="5" t="str">
        <f t="shared" si="5"/>
        <v>\I:</v>
      </c>
      <c r="C91" s="5" t="str">
        <f t="shared" si="4"/>
        <v/>
      </c>
      <c r="E91" s="5" t="s">
        <v>623</v>
      </c>
    </row>
    <row r="92" spans="1:46">
      <c r="A92" s="135" t="str">
        <f t="shared" si="5"/>
        <v>\I:</v>
      </c>
      <c r="C92" s="5" t="str">
        <f t="shared" si="4"/>
        <v/>
      </c>
      <c r="E92" s="5" t="s">
        <v>623</v>
      </c>
      <c r="F92" s="135" t="s">
        <v>393</v>
      </c>
      <c r="G92" s="492">
        <f>'Energy Efficiency Measures-DBT'!D57*Semidetached!D22/Semidetached!D5</f>
        <v>29.018630171280737</v>
      </c>
      <c r="H92" s="492">
        <f>'Energy Efficiency Measures-DBT'!E57*Semidetached!E22/Semidetached!E5</f>
        <v>43.204379566686455</v>
      </c>
      <c r="I92" s="492">
        <f>'Energy Efficiency Measures-DBT'!F57*Semidetached!F22/Semidetached!F5</f>
        <v>54.255027481478379</v>
      </c>
      <c r="J92" s="492">
        <f>'Energy Efficiency Measures-DBT'!G57*Semidetached!G22/Semidetached!G5</f>
        <v>27.704760336881112</v>
      </c>
      <c r="K92" s="492">
        <f>'Energy Efficiency Measures-DBT'!H57*Semidetached!H22/Semidetached!H5</f>
        <v>55.261203520369712</v>
      </c>
      <c r="L92" s="492">
        <f>'Energy Efficiency Measures-DBT'!I57*Semidetached!I22/Semidetached!I5</f>
        <v>44.735968146232757</v>
      </c>
      <c r="M92" s="492">
        <f>'Energy Efficiency Measures-DBT'!J57*Semidetached!J22/Semidetached!J5</f>
        <v>37.628053435039838</v>
      </c>
      <c r="N92" s="492">
        <f>'Energy Efficiency Measures-DBT'!K57*Semidetached!K22/Semidetached!K5</f>
        <v>39.148413292018382</v>
      </c>
      <c r="O92" s="492">
        <f>'Energy Efficiency Measures-DBT'!L57*Semidetached!L22/Semidetached!L5</f>
        <v>40.769470298525405</v>
      </c>
      <c r="P92" s="492">
        <f>'Energy Efficiency Measures-DBT'!M57*Semidetached!M22/Semidetached!M5</f>
        <v>50.94594393809647</v>
      </c>
      <c r="Q92" s="492">
        <f>'Energy Efficiency Measures-DBT'!N57*Semidetached!N22/Semidetached!N5</f>
        <v>52.997154452581981</v>
      </c>
      <c r="R92" s="492">
        <f>'Energy Efficiency Measures-DBT'!O57*Semidetached!O22/Semidetached!O5</f>
        <v>49.039511738642389</v>
      </c>
      <c r="S92" s="492">
        <f>'Energy Efficiency Measures-DBT'!P57*Semidetached!P22/Semidetached!P5</f>
        <v>57.032482615346098</v>
      </c>
      <c r="T92" s="492">
        <f>'Energy Efficiency Measures-DBT'!Q57*Semidetached!Q22/Semidetached!Q5</f>
        <v>51.145344481946239</v>
      </c>
      <c r="U92" s="492">
        <f>'Energy Efficiency Measures-DBT'!R57*Semidetached!R22/Semidetached!R5</f>
        <v>37.70553785945237</v>
      </c>
      <c r="V92" s="492">
        <f>'Energy Efficiency Measures-DBT'!S57*Semidetached!S22/Semidetached!S5</f>
        <v>33.639814222186985</v>
      </c>
      <c r="W92" s="492">
        <f>'Energy Efficiency Measures-DBT'!T57*Semidetached!T22/Semidetached!T5</f>
        <v>52.388316151202737</v>
      </c>
      <c r="X92" s="492">
        <f>'Energy Efficiency Measures-DBT'!U57*Semidetached!U22/Semidetached!U5</f>
        <v>44.71201436153256</v>
      </c>
      <c r="Y92" s="492">
        <f>'Energy Efficiency Measures-DBT'!V57*Semidetached!V22/Semidetached!V5</f>
        <v>35.853097514653065</v>
      </c>
      <c r="Z92" s="492">
        <f>'Energy Efficiency Measures-DBT'!W57*Semidetached!W22/Semidetached!W5</f>
        <v>57.002999118819609</v>
      </c>
      <c r="AA92" s="492">
        <f>'Energy Efficiency Measures-DBT'!X57*Semidetached!X22/Semidetached!X5</f>
        <v>36.464536516853926</v>
      </c>
      <c r="AB92" s="492">
        <f>'Energy Efficiency Measures-DBT'!Y57*Semidetached!Y22/Semidetached!Y5</f>
        <v>46.347681320768665</v>
      </c>
      <c r="AC92" s="492">
        <f>'Energy Efficiency Measures-DBT'!Z57*Semidetached!Z22/Semidetached!Z5</f>
        <v>32.65537688403564</v>
      </c>
      <c r="AD92" s="492">
        <f>'Energy Efficiency Measures-DBT'!AA57*Semidetached!AA22/Semidetached!AA5</f>
        <v>41.1395654068033</v>
      </c>
      <c r="AE92" s="492">
        <f>'Energy Efficiency Measures-DBT'!AB57*Semidetached!AB22/Semidetached!AB5</f>
        <v>36.45595283221764</v>
      </c>
      <c r="AF92" s="492">
        <f>'Energy Efficiency Measures-DBT'!AC57*Semidetached!AC22/Semidetached!AC5</f>
        <v>51.453293706322157</v>
      </c>
      <c r="AG92" s="492">
        <f>'Energy Efficiency Measures-DBT'!AD57*Semidetached!AD22/Semidetached!AD5</f>
        <v>48.826147337092699</v>
      </c>
      <c r="AH92" s="492">
        <f>'Energy Efficiency Measures-DBT'!AE57*Semidetached!AE22/Semidetached!AE5</f>
        <v>42.183376999623796</v>
      </c>
      <c r="AI92" s="492">
        <f>'Energy Efficiency Measures-DBT'!AF57*Semidetached!AF22/Semidetached!AF5</f>
        <v>36.932886268570009</v>
      </c>
      <c r="AJ92" s="492">
        <f>'Energy Efficiency Measures-DBT'!AG57*Semidetached!AG22/Semidetached!AG5</f>
        <v>36.838321238487453</v>
      </c>
      <c r="AK92" s="492">
        <f>'Energy Efficiency Measures-DBT'!AH57*Semidetached!AH22/Semidetached!AH5</f>
        <v>46.544179721987703</v>
      </c>
      <c r="AL92" s="492">
        <f>'Energy Efficiency Measures-DBT'!AI57*Semidetached!AI22/Semidetached!AI5</f>
        <v>37.641438526128411</v>
      </c>
      <c r="AM92" s="492">
        <f>'Energy Efficiency Measures-DBT'!AJ57*Semidetached!AJ22/Semidetached!AJ5</f>
        <v>51.145344481946232</v>
      </c>
      <c r="AN92" s="492">
        <f>'Energy Efficiency Measures-DBT'!AK57*Semidetached!AK22/Semidetached!AK5</f>
        <v>37.641438526128411</v>
      </c>
      <c r="AO92" s="492">
        <f>'Energy Efficiency Measures-DBT'!AL57*Semidetached!AL22/Semidetached!AL5</f>
        <v>50.189087872476378</v>
      </c>
      <c r="AP92" s="492">
        <f>'Energy Efficiency Measures-DBT'!AM57*Semidetached!AM22/Semidetached!AM5</f>
        <v>51.145344481946239</v>
      </c>
      <c r="AQ92" s="492">
        <f>'Energy Efficiency Measures-DBT'!AN57*Semidetached!AN22/Semidetached!AN5</f>
        <v>51.145344481946232</v>
      </c>
      <c r="AR92" s="492"/>
    </row>
    <row r="93" spans="1:46">
      <c r="A93" s="135" t="str">
        <f t="shared" si="5"/>
        <v>\I:</v>
      </c>
      <c r="C93" s="5" t="str">
        <f t="shared" si="4"/>
        <v/>
      </c>
      <c r="E93" s="5" t="s">
        <v>345</v>
      </c>
      <c r="F93" s="135" t="s">
        <v>625</v>
      </c>
      <c r="G93" s="214">
        <f>G92*Semidetached!D5</f>
        <v>17819.999999999996</v>
      </c>
      <c r="H93" s="214">
        <f>H92*Semidetached!E5</f>
        <v>26999.999999999996</v>
      </c>
      <c r="I93" s="214">
        <f>I92*Semidetached!F5</f>
        <v>17819.999999999996</v>
      </c>
      <c r="J93" s="214">
        <f>J92*Semidetached!G5</f>
        <v>17819.999999999996</v>
      </c>
      <c r="K93" s="214">
        <f>K92*Semidetached!H5</f>
        <v>26999.999999999996</v>
      </c>
      <c r="L93" s="214">
        <f>L92*Semidetached!I5</f>
        <v>23165.999999999996</v>
      </c>
      <c r="M93" s="214">
        <f>M92*Semidetached!J5</f>
        <v>21599.999999999996</v>
      </c>
      <c r="N93" s="214">
        <f>N92*Semidetached!K5</f>
        <v>27000</v>
      </c>
      <c r="O93" s="214">
        <f>O92*Semidetached!L5</f>
        <v>17819.999999999996</v>
      </c>
      <c r="P93" s="214">
        <f>P92*Semidetached!M5</f>
        <v>31474.28571428571</v>
      </c>
      <c r="Q93" s="214">
        <f>Q92*Semidetached!N5</f>
        <v>26999.999999999996</v>
      </c>
      <c r="R93" s="214">
        <f>R92*Semidetached!O5</f>
        <v>29005.714285714279</v>
      </c>
      <c r="S93" s="214">
        <f>S92*Semidetached!P5</f>
        <v>18000</v>
      </c>
      <c r="T93" s="214">
        <f>T92*Semidetached!Q5</f>
        <v>17819.999999999996</v>
      </c>
      <c r="U93" s="214">
        <f>U92*Semidetached!R5</f>
        <v>17819.999999999996</v>
      </c>
      <c r="V93" s="214">
        <f>V92*Semidetached!S5</f>
        <v>21600</v>
      </c>
      <c r="W93" s="214">
        <f>W92*Semidetached!T5</f>
        <v>26999.999999999996</v>
      </c>
      <c r="X93" s="214">
        <f>X92*Semidetached!U5</f>
        <v>26999.999999999996</v>
      </c>
      <c r="Y93" s="214">
        <f>Y92*Semidetached!V5</f>
        <v>17819.999999999996</v>
      </c>
      <c r="Z93" s="214">
        <f>Z92*Semidetached!W5</f>
        <v>18000</v>
      </c>
      <c r="AA93" s="214">
        <f>AA92*Semidetached!X5</f>
        <v>17819.999999999996</v>
      </c>
      <c r="AB93" s="214">
        <f>AB92*Semidetached!Y5</f>
        <v>26999.999999999996</v>
      </c>
      <c r="AC93" s="214">
        <f>AC92*Semidetached!Z5</f>
        <v>21599.999999999996</v>
      </c>
      <c r="AD93" s="214">
        <f>AD92*Semidetached!AA5</f>
        <v>26999.999999999993</v>
      </c>
      <c r="AE93" s="214">
        <f>AE92*Semidetached!AB5</f>
        <v>17819.999999999996</v>
      </c>
      <c r="AF93" s="214">
        <f>AF92*Semidetached!AC5</f>
        <v>31474.285714285706</v>
      </c>
      <c r="AG93" s="214">
        <f>AG92*Semidetached!AD5</f>
        <v>17819.999999999996</v>
      </c>
      <c r="AH93" s="214">
        <f>AH92*Semidetached!AE5</f>
        <v>26999.999999999996</v>
      </c>
      <c r="AI93" s="214">
        <f>AI92*Semidetached!AF5</f>
        <v>17819.999999999996</v>
      </c>
      <c r="AJ93" s="214">
        <f>AJ92*Semidetached!AG5</f>
        <v>17819.999999999996</v>
      </c>
      <c r="AK93" s="214">
        <f>AK92*Semidetached!AH5</f>
        <v>21599.999999999996</v>
      </c>
      <c r="AL93" s="214">
        <f>AL92*Semidetached!AI5</f>
        <v>17819.999999999996</v>
      </c>
      <c r="AM93" s="214">
        <f>AM92*Semidetached!AJ5</f>
        <v>17819.999999999996</v>
      </c>
      <c r="AN93" s="214">
        <f>AN92*Semidetached!AK5</f>
        <v>17819.999999999996</v>
      </c>
      <c r="AO93" s="214">
        <f>AO92*Semidetached!AL5</f>
        <v>17819.999999999996</v>
      </c>
      <c r="AP93" s="214">
        <f>AP92*Semidetached!AM5</f>
        <v>17819.999999999996</v>
      </c>
      <c r="AQ93" s="214">
        <f>AQ92*Semidetached!AN5</f>
        <v>17819.999999999996</v>
      </c>
      <c r="AR93" s="492"/>
    </row>
    <row r="94" spans="1:46">
      <c r="A94" s="5" t="str">
        <f t="shared" si="5"/>
        <v>OUTPUT</v>
      </c>
      <c r="B94" s="5" t="s">
        <v>617</v>
      </c>
      <c r="C94" s="5" t="str">
        <f t="shared" si="4"/>
        <v>Bldg_SDEPre45-Win</v>
      </c>
      <c r="D94" s="5" t="s">
        <v>78</v>
      </c>
      <c r="E94" s="5" t="s">
        <v>345</v>
      </c>
      <c r="F94" s="5" t="s">
        <v>606</v>
      </c>
      <c r="G94" s="556">
        <f>$F$1*(Semidetached!D41-Savings_SemiDet!D83)</f>
        <v>3.0337911403076701E-3</v>
      </c>
      <c r="H94" s="556">
        <f>$F$1*(Semidetached!E41-Savings_SemiDet!E83)</f>
        <v>4.1874858008401905E-3</v>
      </c>
      <c r="I94" s="556">
        <f>$F$1*(Semidetached!F41-Savings_SemiDet!F83)</f>
        <v>2.4268870398637217E-3</v>
      </c>
      <c r="J94" s="556">
        <f>$F$1*(Semidetached!G41-Savings_SemiDet!G83)</f>
        <v>2.9574108707560742E-3</v>
      </c>
      <c r="K94" s="556">
        <f>$F$1*(Semidetached!H41-Savings_SemiDet!H83)</f>
        <v>6.5540509665359872E-4</v>
      </c>
      <c r="L94" s="556">
        <f>$F$1*(Semidetached!I41-Savings_SemiDet!I83)</f>
        <v>3.6258149741715336E-3</v>
      </c>
      <c r="M94" s="556">
        <f>$F$1*(Semidetached!J41-Savings_SemiDet!J83)</f>
        <v>4.0883027647094618E-3</v>
      </c>
      <c r="N94" s="556">
        <f>$F$1*(Semidetached!K41-Savings_SemiDet!K83)</f>
        <v>3.3314585888416927E-3</v>
      </c>
      <c r="O94" s="556">
        <f>$F$1*(Semidetached!L41-Savings_SemiDet!L83)</f>
        <v>2.5469060788561493E-3</v>
      </c>
      <c r="P94" s="556">
        <f>$F$1*(Semidetached!M41-Savings_SemiDet!M83)</f>
        <v>3.8912413910928479E-3</v>
      </c>
      <c r="Q94" s="556">
        <f>$F$1*(Semidetached!N41-Savings_SemiDet!N83)</f>
        <v>4.7032374214968642E-3</v>
      </c>
      <c r="R94" s="556">
        <f>$F$1*(Semidetached!O41-Savings_SemiDet!O83)</f>
        <v>3.676140350214531E-3</v>
      </c>
      <c r="S94" s="556">
        <f>$F$1*(Semidetached!P41-Savings_SemiDet!P83)</f>
        <v>1.6868120473118946E-3</v>
      </c>
      <c r="T94" s="556">
        <f>$F$1*(Semidetached!Q41-Savings_SemiDet!Q83)</f>
        <v>4.4807590859037858E-3</v>
      </c>
      <c r="U94" s="556">
        <f>$F$1*(Semidetached!R41-Savings_SemiDet!R83)</f>
        <v>2.4626850968656731E-3</v>
      </c>
      <c r="V94" s="556">
        <f>$F$1*(Semidetached!S41-Savings_SemiDet!S83)</f>
        <v>4.4927168452629116E-3</v>
      </c>
      <c r="W94" s="556">
        <f>$F$1*(Semidetached!T41-Savings_SemiDet!T83)</f>
        <v>4.0013280235452761E-3</v>
      </c>
      <c r="X94" s="556">
        <f>$F$1*(Semidetached!U41-Savings_SemiDet!U83)</f>
        <v>4.206886517906178E-3</v>
      </c>
      <c r="Y94" s="556">
        <f>$F$1*(Semidetached!V41-Savings_SemiDet!V83)</f>
        <v>2.9714667846405187E-3</v>
      </c>
      <c r="Z94" s="556">
        <f>$F$1*(Semidetached!W41-Savings_SemiDet!W83)</f>
        <v>5.5753892454493709E-3</v>
      </c>
      <c r="AA94" s="556">
        <f>$F$1*(Semidetached!X41-Savings_SemiDet!X83)</f>
        <v>4.1422146651225091E-3</v>
      </c>
      <c r="AB94" s="556">
        <f>$F$1*(Semidetached!Y41-Savings_SemiDet!Y83)</f>
        <v>1.1798067583224652E-3</v>
      </c>
      <c r="AC94" s="556">
        <f>$F$1*(Semidetached!Z41-Savings_SemiDet!Z83)</f>
        <v>3.9581934785464538E-3</v>
      </c>
      <c r="AD94" s="556">
        <f>$F$1*(Semidetached!AA41-Savings_SemiDet!AA83)</f>
        <v>5.8100981332922224E-3</v>
      </c>
      <c r="AE94" s="556">
        <f>$F$1*(Semidetached!AB41-Savings_SemiDet!AB83)</f>
        <v>4.5478418209269986E-3</v>
      </c>
      <c r="AF94" s="556">
        <f>$F$1*(Semidetached!AC41-Savings_SemiDet!AC83)</f>
        <v>1.8557787653950644E-3</v>
      </c>
      <c r="AG94" s="556">
        <f>$F$1*(Semidetached!AD41-Savings_SemiDet!AD83)</f>
        <v>2.6691598113456737E-3</v>
      </c>
      <c r="AH94" s="556">
        <f>$F$1*(Semidetached!AE41-Savings_SemiDet!AE83)</f>
        <v>5.5988917554685149E-3</v>
      </c>
      <c r="AI94" s="556">
        <f>$F$1*(Semidetached!AF41-Savings_SemiDet!AF83)</f>
        <v>2.4548054285668105E-3</v>
      </c>
      <c r="AJ94" s="556">
        <f>$F$1*(Semidetached!AG41-Savings_SemiDet!AG83)</f>
        <v>4.5896901702650551E-3</v>
      </c>
      <c r="AK94" s="556">
        <f>$F$1*(Semidetached!AH41-Savings_SemiDet!AH83)</f>
        <v>4.4924861435819948E-3</v>
      </c>
      <c r="AL94" s="556">
        <f>$F$1*(Semidetached!AI41-Savings_SemiDet!AI83)</f>
        <v>1.6847685511803957E-3</v>
      </c>
      <c r="AM94" s="556">
        <f>$F$1*(Semidetached!AJ41-Savings_SemiDet!AJ83)</f>
        <v>3.1451060125595952E-3</v>
      </c>
      <c r="AN94" s="556">
        <f>$F$1*(Semidetached!AK41-Savings_SemiDet!AK83)</f>
        <v>2.8064073772338617E-3</v>
      </c>
      <c r="AO94" s="556">
        <f>$F$1*(Semidetached!AL41-Savings_SemiDet!AL83)</f>
        <v>2.4297028670639247E-3</v>
      </c>
      <c r="AP94" s="556">
        <f>$F$1*(Semidetached!AM41-Savings_SemiDet!AM83)</f>
        <v>2.8921628527541618E-3</v>
      </c>
      <c r="AQ94" s="556">
        <f>$F$1*(Semidetached!AN41-Savings_SemiDet!AN83)</f>
        <v>2.8921628527541618E-3</v>
      </c>
      <c r="AT94" s="5" t="s">
        <v>345</v>
      </c>
    </row>
    <row r="95" spans="1:46">
      <c r="A95" s="5" t="str">
        <f t="shared" si="5"/>
        <v>OUTPUT</v>
      </c>
      <c r="B95" s="5" t="s">
        <v>617</v>
      </c>
      <c r="C95" s="5" t="str">
        <f t="shared" si="4"/>
        <v>Bldg_SDEPre69-Win</v>
      </c>
      <c r="D95" s="5" t="s">
        <v>78</v>
      </c>
      <c r="E95" s="5" t="s">
        <v>346</v>
      </c>
      <c r="F95" s="5" t="s">
        <v>606</v>
      </c>
      <c r="G95" s="556">
        <f>$F$1*(Semidetached!D42-Savings_SemiDet!D84)</f>
        <v>3.0710323341279762E-3</v>
      </c>
      <c r="H95" s="556">
        <f>$F$1*(Semidetached!E42-Savings_SemiDet!E84)</f>
        <v>4.1874858008401905E-3</v>
      </c>
      <c r="I95" s="556">
        <f>$F$1*(Semidetached!F42-Savings_SemiDet!F84)</f>
        <v>2.4268870398637217E-3</v>
      </c>
      <c r="J95" s="556">
        <f>$F$1*(Semidetached!G42-Savings_SemiDet!G84)</f>
        <v>2.9932285357597392E-3</v>
      </c>
      <c r="K95" s="556">
        <f>$F$1*(Semidetached!H42-Savings_SemiDet!H84)</f>
        <v>6.6191998108798122E-4</v>
      </c>
      <c r="L95" s="556">
        <f>$F$1*(Semidetached!I42-Savings_SemiDet!I84)</f>
        <v>3.7729971634808002E-3</v>
      </c>
      <c r="M95" s="556">
        <f>$F$1*(Semidetached!J42-Savings_SemiDet!J84)</f>
        <v>2.9315302938412728E-3</v>
      </c>
      <c r="N95" s="556">
        <f>$F$1*(Semidetached!K42-Savings_SemiDet!K84)</f>
        <v>3.287907574275039E-3</v>
      </c>
      <c r="O95" s="556">
        <f>$F$1*(Semidetached!L42-Savings_SemiDet!L84)</f>
        <v>2.5469060788561493E-3</v>
      </c>
      <c r="P95" s="556">
        <f>$F$1*(Semidetached!M42-Savings_SemiDet!M84)</f>
        <v>3.9681863409369768E-3</v>
      </c>
      <c r="Q95" s="556">
        <f>$F$1*(Semidetached!N42-Savings_SemiDet!N84)</f>
        <v>4.80232659947415E-3</v>
      </c>
      <c r="R95" s="556">
        <f>$F$1*(Semidetached!O42-Savings_SemiDet!O84)</f>
        <v>3.676140350214531E-3</v>
      </c>
      <c r="S95" s="556">
        <f>$F$1*(Semidetached!P42-Savings_SemiDet!P84)</f>
        <v>1.6868120473118946E-3</v>
      </c>
      <c r="T95" s="556">
        <f>$F$1*(Semidetached!Q42-Savings_SemiDet!Q84)</f>
        <v>4.4331641015211065E-3</v>
      </c>
      <c r="U95" s="556">
        <f>$F$1*(Semidetached!R42-Savings_SemiDet!R84)</f>
        <v>2.4626850968656731E-3</v>
      </c>
      <c r="V95" s="556">
        <f>$F$1*(Semidetached!S42-Savings_SemiDet!S84)</f>
        <v>4.4775151790974587E-3</v>
      </c>
      <c r="W95" s="556">
        <f>$F$1*(Semidetached!T42-Savings_SemiDet!T84)</f>
        <v>4.0858421833578698E-3</v>
      </c>
      <c r="X95" s="556">
        <f>$F$1*(Semidetached!U42-Savings_SemiDet!U84)</f>
        <v>4.2476657192149535E-3</v>
      </c>
      <c r="Y95" s="556">
        <f>$F$1*(Semidetached!V42-Savings_SemiDet!V84)</f>
        <v>2.9714667846405187E-3</v>
      </c>
      <c r="Z95" s="556">
        <f>$F$1*(Semidetached!W42-Savings_SemiDet!W84)</f>
        <v>4.5401828189375786E-3</v>
      </c>
      <c r="AA95" s="556">
        <f>$F$1*(Semidetached!X42-Savings_SemiDet!X84)</f>
        <v>3.7408958767920033E-3</v>
      </c>
      <c r="AB95" s="556">
        <f>$F$1*(Semidetached!Y42-Savings_SemiDet!Y84)</f>
        <v>1.1801976743849626E-3</v>
      </c>
      <c r="AC95" s="556">
        <f>$F$1*(Semidetached!Z42-Savings_SemiDet!Z84)</f>
        <v>3.6734566913123622E-3</v>
      </c>
      <c r="AD95" s="556">
        <f>$F$1*(Semidetached!AA42-Savings_SemiDet!AA84)</f>
        <v>5.6930360189717385E-3</v>
      </c>
      <c r="AE95" s="556">
        <f>$F$1*(Semidetached!AB42-Savings_SemiDet!AB84)</f>
        <v>3.3942442117197175E-3</v>
      </c>
      <c r="AF95" s="556">
        <f>$F$1*(Semidetached!AC42-Savings_SemiDet!AC84)</f>
        <v>1.9396792985543212E-3</v>
      </c>
      <c r="AG95" s="556">
        <f>$F$1*(Semidetached!AD42-Savings_SemiDet!AD84)</f>
        <v>2.5803286571261319E-3</v>
      </c>
      <c r="AH95" s="556">
        <f>$F$1*(Semidetached!AE42-Savings_SemiDet!AE84)</f>
        <v>5.486108628308322E-3</v>
      </c>
      <c r="AI95" s="556">
        <f>$F$1*(Semidetached!AF42-Savings_SemiDet!AF84)</f>
        <v>2.4548054285668105E-3</v>
      </c>
      <c r="AJ95" s="556">
        <f>$F$1*(Semidetached!AG42-Savings_SemiDet!AG84)</f>
        <v>4.7450054483405037E-3</v>
      </c>
      <c r="AK95" s="556">
        <f>$F$1*(Semidetached!AH42-Savings_SemiDet!AH84)</f>
        <v>4.3628904735761786E-3</v>
      </c>
      <c r="AL95" s="556">
        <f>$F$1*(Semidetached!AI42-Savings_SemiDet!AI84)</f>
        <v>1.6847685511803957E-3</v>
      </c>
      <c r="AM95" s="556">
        <f>$F$1*(Semidetached!AJ42-Savings_SemiDet!AJ84)</f>
        <v>3.1451060125595952E-3</v>
      </c>
      <c r="AN95" s="556">
        <f>$F$1*(Semidetached!AK42-Savings_SemiDet!AK84)</f>
        <v>2.8064073772338617E-3</v>
      </c>
      <c r="AO95" s="556">
        <f>$F$1*(Semidetached!AL42-Savings_SemiDet!AL84)</f>
        <v>2.4297028670639247E-3</v>
      </c>
      <c r="AP95" s="556">
        <f>$F$1*(Semidetached!AM42-Savings_SemiDet!AM84)</f>
        <v>2.8921628527541618E-3</v>
      </c>
      <c r="AQ95" s="556">
        <f>$F$1*(Semidetached!AN42-Savings_SemiDet!AN84)</f>
        <v>2.8921628527541618E-3</v>
      </c>
      <c r="AT95" s="5" t="s">
        <v>346</v>
      </c>
    </row>
    <row r="96" spans="1:46">
      <c r="A96" s="5" t="str">
        <f t="shared" si="5"/>
        <v>OUTPUT</v>
      </c>
      <c r="B96" s="5" t="s">
        <v>617</v>
      </c>
      <c r="C96" s="5" t="str">
        <f t="shared" si="4"/>
        <v>Bldg_SDEPre79-Win</v>
      </c>
      <c r="D96" s="5" t="s">
        <v>78</v>
      </c>
      <c r="E96" s="5" t="s">
        <v>347</v>
      </c>
      <c r="F96" s="5" t="s">
        <v>606</v>
      </c>
      <c r="G96" s="556">
        <f>$F$1*(Semidetached!D43-Savings_SemiDet!D85)</f>
        <v>2.8707380727569184E-3</v>
      </c>
      <c r="H96" s="556">
        <f>$F$1*(Semidetached!E43-Savings_SemiDet!E85)</f>
        <v>4.1874858008401905E-3</v>
      </c>
      <c r="I96" s="556">
        <f>$F$1*(Semidetached!F43-Savings_SemiDet!F85)</f>
        <v>2.4559898796057402E-3</v>
      </c>
      <c r="J96" s="556">
        <f>$F$1*(Semidetached!G43-Savings_SemiDet!G85)</f>
        <v>2.798515691981294E-3</v>
      </c>
      <c r="K96" s="556">
        <f>$F$1*(Semidetached!H43-Savings_SemiDet!H85)</f>
        <v>1.6718321241174525E-3</v>
      </c>
      <c r="L96" s="556">
        <f>$F$1*(Semidetached!I43-Savings_SemiDet!I85)</f>
        <v>3.7729971634808002E-3</v>
      </c>
      <c r="M96" s="556">
        <f>$F$1*(Semidetached!J43-Savings_SemiDet!J85)</f>
        <v>3.4508462722243E-3</v>
      </c>
      <c r="N96" s="556">
        <f>$F$1*(Semidetached!K43-Savings_SemiDet!K85)</f>
        <v>3.5095177278085042E-3</v>
      </c>
      <c r="O96" s="556">
        <f>$F$1*(Semidetached!L43-Savings_SemiDet!L85)</f>
        <v>2.658173140743045E-3</v>
      </c>
      <c r="P96" s="556">
        <f>$F$1*(Semidetached!M43-Savings_SemiDet!M85)</f>
        <v>3.9681863409369768E-3</v>
      </c>
      <c r="Q96" s="556">
        <f>$F$1*(Semidetached!N43-Savings_SemiDet!N85)</f>
        <v>4.5125951707053989E-3</v>
      </c>
      <c r="R96" s="556">
        <f>$F$1*(Semidetached!O43-Savings_SemiDet!O85)</f>
        <v>3.4436015834478782E-3</v>
      </c>
      <c r="S96" s="556">
        <f>$F$1*(Semidetached!P43-Savings_SemiDet!P85)</f>
        <v>1.6868120473118946E-3</v>
      </c>
      <c r="T96" s="556">
        <f>$F$1*(Semidetached!Q43-Savings_SemiDet!Q85)</f>
        <v>2.822373497270483E-3</v>
      </c>
      <c r="U96" s="556">
        <f>$F$1*(Semidetached!R43-Savings_SemiDet!R85)</f>
        <v>2.5302475378961627E-3</v>
      </c>
      <c r="V96" s="556">
        <f>$F$1*(Semidetached!S43-Savings_SemiDet!S85)</f>
        <v>4.6457752983333845E-3</v>
      </c>
      <c r="W96" s="556">
        <f>$F$1*(Semidetached!T43-Savings_SemiDet!T85)</f>
        <v>3.8394214714300347E-3</v>
      </c>
      <c r="X96" s="556">
        <f>$F$1*(Semidetached!U43-Savings_SemiDet!U85)</f>
        <v>3.5967876993281598E-3</v>
      </c>
      <c r="Y96" s="556">
        <f>$F$1*(Semidetached!V43-Savings_SemiDet!V85)</f>
        <v>2.4656271505812655E-3</v>
      </c>
      <c r="Z96" s="556">
        <f>$F$1*(Semidetached!W43-Savings_SemiDet!W85)</f>
        <v>3.8496163280719244E-3</v>
      </c>
      <c r="AA96" s="556">
        <f>$F$1*(Semidetached!X43-Savings_SemiDet!X85)</f>
        <v>3.7978929756919467E-3</v>
      </c>
      <c r="AB96" s="556">
        <f>$F$1*(Semidetached!Y43-Savings_SemiDet!Y85)</f>
        <v>1.2157770126374197E-3</v>
      </c>
      <c r="AC96" s="556">
        <f>$F$1*(Semidetached!Z43-Savings_SemiDet!Z85)</f>
        <v>3.7032735412529678E-3</v>
      </c>
      <c r="AD96" s="556">
        <f>$F$1*(Semidetached!AA43-Savings_SemiDet!AA85)</f>
        <v>6.0796409217739374E-3</v>
      </c>
      <c r="AE96" s="556">
        <f>$F$1*(Semidetached!AB43-Savings_SemiDet!AB85)</f>
        <v>2.9769173805307332E-3</v>
      </c>
      <c r="AF96" s="556">
        <f>$F$1*(Semidetached!AC43-Savings_SemiDet!AC85)</f>
        <v>1.9477383311123401E-3</v>
      </c>
      <c r="AG96" s="556">
        <f>$F$1*(Semidetached!AD43-Savings_SemiDet!AD85)</f>
        <v>2.5803286571261319E-3</v>
      </c>
      <c r="AH96" s="556">
        <f>$F$1*(Semidetached!AE43-Savings_SemiDet!AE85)</f>
        <v>5.8571824329906753E-3</v>
      </c>
      <c r="AI96" s="556">
        <f>$F$1*(Semidetached!AF43-Savings_SemiDet!AF85)</f>
        <v>2.0697677000917009E-3</v>
      </c>
      <c r="AJ96" s="556">
        <f>$F$1*(Semidetached!AG43-Savings_SemiDet!AG85)</f>
        <v>4.7450054483405037E-3</v>
      </c>
      <c r="AK96" s="556">
        <f>$F$1*(Semidetached!AH43-Savings_SemiDet!AH85)</f>
        <v>4.1371237685250955E-3</v>
      </c>
      <c r="AL96" s="556">
        <f>$F$1*(Semidetached!AI43-Savings_SemiDet!AI85)</f>
        <v>1.6847685511803957E-3</v>
      </c>
      <c r="AM96" s="556">
        <f>$F$1*(Semidetached!AJ43-Savings_SemiDet!AJ85)</f>
        <v>3.1451060125595952E-3</v>
      </c>
      <c r="AN96" s="556">
        <f>$F$1*(Semidetached!AK43-Savings_SemiDet!AK85)</f>
        <v>2.8064073772338617E-3</v>
      </c>
      <c r="AO96" s="556">
        <f>$F$1*(Semidetached!AL43-Savings_SemiDet!AL85)</f>
        <v>2.4589997253132239E-3</v>
      </c>
      <c r="AP96" s="556">
        <f>$F$1*(Semidetached!AM43-Savings_SemiDet!AM85)</f>
        <v>2.8921628527541618E-3</v>
      </c>
      <c r="AQ96" s="556">
        <f>$F$1*(Semidetached!AN43-Savings_SemiDet!AN85)</f>
        <v>2.8921628527541618E-3</v>
      </c>
      <c r="AT96" s="5" t="s">
        <v>347</v>
      </c>
    </row>
    <row r="97" spans="1:46">
      <c r="A97" s="5" t="str">
        <f t="shared" si="5"/>
        <v>OUTPUT</v>
      </c>
      <c r="B97" s="5" t="s">
        <v>617</v>
      </c>
      <c r="C97" s="5" t="str">
        <f t="shared" si="4"/>
        <v>Bldg_SDEPre89-Win</v>
      </c>
      <c r="D97" s="5" t="s">
        <v>78</v>
      </c>
      <c r="E97" s="5" t="s">
        <v>348</v>
      </c>
      <c r="F97" s="5" t="s">
        <v>606</v>
      </c>
      <c r="G97" s="556">
        <f>$F$1*(Semidetached!D44-Savings_SemiDet!D86)</f>
        <v>2.1538467768360855E-3</v>
      </c>
      <c r="H97" s="556">
        <f>$F$1*(Semidetached!E44-Savings_SemiDet!E86)</f>
        <v>3.8705040871798986E-3</v>
      </c>
      <c r="I97" s="556">
        <f>$F$1*(Semidetached!F44-Savings_SemiDet!F86)</f>
        <v>2.5318878942035281E-3</v>
      </c>
      <c r="J97" s="556">
        <f>$F$1*(Semidetached!G44-Savings_SemiDet!G86)</f>
        <v>2.1000980986992167E-3</v>
      </c>
      <c r="K97" s="556">
        <f>$F$1*(Semidetached!H44-Savings_SemiDet!H86)</f>
        <v>1.6831943879502518E-3</v>
      </c>
      <c r="L97" s="556">
        <f>$F$1*(Semidetached!I44-Savings_SemiDet!I86)</f>
        <v>3.8673173474516138E-3</v>
      </c>
      <c r="M97" s="556">
        <f>$F$1*(Semidetached!J44-Savings_SemiDet!J86)</f>
        <v>3.2477053360749023E-3</v>
      </c>
      <c r="N97" s="556">
        <f>$F$1*(Semidetached!K44-Savings_SemiDet!K86)</f>
        <v>3.4631969770052081E-3</v>
      </c>
      <c r="O97" s="556">
        <f>$F$1*(Semidetached!L44-Savings_SemiDet!L86)</f>
        <v>1.201098439387789E-3</v>
      </c>
      <c r="P97" s="556">
        <f>$F$1*(Semidetached!M44-Savings_SemiDet!M86)</f>
        <v>2.2565890486549358E-3</v>
      </c>
      <c r="Q97" s="556">
        <f>$F$1*(Semidetached!N44-Savings_SemiDet!N86)</f>
        <v>3.6828909005710299E-3</v>
      </c>
      <c r="R97" s="556">
        <f>$F$1*(Semidetached!O44-Savings_SemiDet!O86)</f>
        <v>2.9778852932851071E-3</v>
      </c>
      <c r="S97" s="556">
        <f>$F$1*(Semidetached!P44-Savings_SemiDet!P86)</f>
        <v>1.6969242491120214E-3</v>
      </c>
      <c r="T97" s="556">
        <f>$F$1*(Semidetached!Q44-Savings_SemiDet!Q86)</f>
        <v>2.822373497270483E-3</v>
      </c>
      <c r="U97" s="556">
        <f>$F$1*(Semidetached!R44-Savings_SemiDet!R86)</f>
        <v>2.683300924875601E-3</v>
      </c>
      <c r="V97" s="556">
        <f>$F$1*(Semidetached!S44-Savings_SemiDet!S86)</f>
        <v>3.8312557541769674E-3</v>
      </c>
      <c r="W97" s="556">
        <f>$F$1*(Semidetached!T44-Savings_SemiDet!T86)</f>
        <v>3.1334853064503448E-3</v>
      </c>
      <c r="X97" s="556">
        <f>$F$1*(Semidetached!U44-Savings_SemiDet!U86)</f>
        <v>2.3960434490449402E-3</v>
      </c>
      <c r="Y97" s="556">
        <f>$F$1*(Semidetached!V44-Savings_SemiDet!V86)</f>
        <v>2.4656271505812655E-3</v>
      </c>
      <c r="Z97" s="556">
        <f>$F$1*(Semidetached!W44-Savings_SemiDet!W86)</f>
        <v>2.2732532393790477E-3</v>
      </c>
      <c r="AA97" s="556">
        <f>$F$1*(Semidetached!X44-Savings_SemiDet!X86)</f>
        <v>2.6318213879776395E-3</v>
      </c>
      <c r="AB97" s="556">
        <f>$F$1*(Semidetached!Y44-Savings_SemiDet!Y86)</f>
        <v>1.2405180378983213E-3</v>
      </c>
      <c r="AC97" s="556">
        <f>$F$1*(Semidetached!Z44-Savings_SemiDet!Z86)</f>
        <v>3.9359987520248049E-3</v>
      </c>
      <c r="AD97" s="556">
        <f>$F$1*(Semidetached!AA44-Savings_SemiDet!AA86)</f>
        <v>5.7849877688569366E-3</v>
      </c>
      <c r="AE97" s="556">
        <f>$F$1*(Semidetached!AB44-Savings_SemiDet!AB86)</f>
        <v>2.9769173805307332E-3</v>
      </c>
      <c r="AF97" s="556">
        <f>$F$1*(Semidetached!AC44-Savings_SemiDet!AC86)</f>
        <v>2.0135123870484478E-3</v>
      </c>
      <c r="AG97" s="556">
        <f>$F$1*(Semidetached!AD44-Savings_SemiDet!AD86)</f>
        <v>2.515391738666716E-3</v>
      </c>
      <c r="AH97" s="556">
        <f>$F$1*(Semidetached!AE44-Savings_SemiDet!AE86)</f>
        <v>5.5733928987281561E-3</v>
      </c>
      <c r="AI97" s="556">
        <f>$F$1*(Semidetached!AF44-Savings_SemiDet!AF86)</f>
        <v>1.4200177249122016E-3</v>
      </c>
      <c r="AJ97" s="556">
        <f>$F$1*(Semidetached!AG44-Savings_SemiDet!AG86)</f>
        <v>3.6009010964883426E-3</v>
      </c>
      <c r="AK97" s="556">
        <f>$F$1*(Semidetached!AH44-Savings_SemiDet!AH86)</f>
        <v>4.483097662932433E-3</v>
      </c>
      <c r="AL97" s="556">
        <f>$F$1*(Semidetached!AI44-Savings_SemiDet!AI86)</f>
        <v>1.6951791182611643E-3</v>
      </c>
      <c r="AM97" s="556">
        <f>$F$1*(Semidetached!AJ44-Savings_SemiDet!AJ86)</f>
        <v>3.2409468816582856E-3</v>
      </c>
      <c r="AN97" s="556">
        <f>$F$1*(Semidetached!AK44-Savings_SemiDet!AK86)</f>
        <v>2.8943575806249988E-3</v>
      </c>
      <c r="AO97" s="556">
        <f>$F$1*(Semidetached!AL44-Savings_SemiDet!AL86)</f>
        <v>2.5353409356162226E-3</v>
      </c>
      <c r="AP97" s="556">
        <f>$F$1*(Semidetached!AM44-Savings_SemiDet!AM86)</f>
        <v>2.9802957806351125E-3</v>
      </c>
      <c r="AQ97" s="556">
        <f>$F$1*(Semidetached!AN44-Savings_SemiDet!AN86)</f>
        <v>2.9802957806351125E-3</v>
      </c>
      <c r="AT97" s="5" t="s">
        <v>348</v>
      </c>
    </row>
    <row r="98" spans="1:46">
      <c r="A98" s="5" t="str">
        <f t="shared" si="5"/>
        <v>OUTPUT</v>
      </c>
      <c r="B98" s="5" t="s">
        <v>617</v>
      </c>
      <c r="C98" s="5" t="str">
        <f t="shared" si="4"/>
        <v>Bldg_SDEPre99-Win</v>
      </c>
      <c r="D98" s="5" t="s">
        <v>78</v>
      </c>
      <c r="E98" s="5" t="s">
        <v>349</v>
      </c>
      <c r="F98" s="5" t="s">
        <v>606</v>
      </c>
      <c r="G98" s="556">
        <f>$F$1*(Semidetached!D45-Savings_SemiDet!D87)</f>
        <v>1.8320646475153499E-3</v>
      </c>
      <c r="H98" s="556">
        <f>$F$1*(Semidetached!E45-Savings_SemiDet!E87)</f>
        <v>3.8705040871798986E-3</v>
      </c>
      <c r="I98" s="556">
        <f>$F$1*(Semidetached!F45-Savings_SemiDet!F87)</f>
        <v>2.6664087445388337E-3</v>
      </c>
      <c r="J98" s="556">
        <f>$F$1*(Semidetached!G45-Savings_SemiDet!G87)</f>
        <v>1.7862438813773479E-3</v>
      </c>
      <c r="K98" s="556">
        <f>$F$1*(Semidetached!H45-Savings_SemiDet!H87)</f>
        <v>3.1278856930781518E-4</v>
      </c>
      <c r="L98" s="556">
        <f>$F$1*(Semidetached!I45-Savings_SemiDet!I87)</f>
        <v>3.3248230396861157E-3</v>
      </c>
      <c r="M98" s="556">
        <f>$F$1*(Semidetached!J45-Savings_SemiDet!J87)</f>
        <v>1.7716949313156696E-3</v>
      </c>
      <c r="N98" s="556">
        <f>$F$1*(Semidetached!K45-Savings_SemiDet!K87)</f>
        <v>3.4631969770052081E-3</v>
      </c>
      <c r="O98" s="556">
        <f>$F$1*(Semidetached!L45-Savings_SemiDet!L87)</f>
        <v>1.0710997545781162E-3</v>
      </c>
      <c r="P98" s="556">
        <f>$F$1*(Semidetached!M45-Savings_SemiDet!M87)</f>
        <v>2.2565890486549358E-3</v>
      </c>
      <c r="Q98" s="556">
        <f>$F$1*(Semidetached!N45-Savings_SemiDet!N87)</f>
        <v>3.6939283988713812E-3</v>
      </c>
      <c r="R98" s="556">
        <f>$F$1*(Semidetached!O45-Savings_SemiDet!O87)</f>
        <v>1.7248916729340398E-3</v>
      </c>
      <c r="S98" s="556">
        <f>$F$1*(Semidetached!P45-Savings_SemiDet!P87)</f>
        <v>1.6969242491120214E-3</v>
      </c>
      <c r="T98" s="556">
        <f>$F$1*(Semidetached!Q45-Savings_SemiDet!Q87)</f>
        <v>2.2442447442756015E-3</v>
      </c>
      <c r="U98" s="556">
        <f>$F$1*(Semidetached!R45-Savings_SemiDet!R87)</f>
        <v>2.683300924875601E-3</v>
      </c>
      <c r="V98" s="556">
        <f>$F$1*(Semidetached!S45-Savings_SemiDet!S87)</f>
        <v>3.9512667851108593E-3</v>
      </c>
      <c r="W98" s="556">
        <f>$F$1*(Semidetached!T45-Savings_SemiDet!T87)</f>
        <v>3.1428965074803538E-3</v>
      </c>
      <c r="X98" s="556">
        <f>$F$1*(Semidetached!U45-Savings_SemiDet!U87)</f>
        <v>2.4324157630780541E-3</v>
      </c>
      <c r="Y98" s="556">
        <f>$F$1*(Semidetached!V45-Savings_SemiDet!V87)</f>
        <v>2.4656271505812655E-3</v>
      </c>
      <c r="Z98" s="556">
        <f>$F$1*(Semidetached!W45-Savings_SemiDet!W87)</f>
        <v>1.6436793946153305E-3</v>
      </c>
      <c r="AA98" s="556">
        <f>$F$1*(Semidetached!X45-Savings_SemiDet!X87)</f>
        <v>2.6428386866368032E-3</v>
      </c>
      <c r="AB98" s="556">
        <f>$F$1*(Semidetached!Y45-Savings_SemiDet!Y87)</f>
        <v>1.2456549430160137E-3</v>
      </c>
      <c r="AC98" s="556">
        <f>$F$1*(Semidetached!Z45-Savings_SemiDet!Z87)</f>
        <v>3.2959157409607467E-3</v>
      </c>
      <c r="AD98" s="556">
        <f>$F$1*(Semidetached!AA45-Savings_SemiDet!AA87)</f>
        <v>5.9290587686469248E-3</v>
      </c>
      <c r="AE98" s="556">
        <f>$F$1*(Semidetached!AB45-Savings_SemiDet!AB87)</f>
        <v>2.9769173805307332E-3</v>
      </c>
      <c r="AF98" s="556">
        <f>$F$1*(Semidetached!AC45-Savings_SemiDet!AC87)</f>
        <v>1.9866832419853306E-3</v>
      </c>
      <c r="AG98" s="556">
        <f>$F$1*(Semidetached!AD45-Savings_SemiDet!AD87)</f>
        <v>2.515391738666716E-3</v>
      </c>
      <c r="AH98" s="556">
        <f>$F$1*(Semidetached!AE45-Savings_SemiDet!AE87)</f>
        <v>5.7120192869495939E-3</v>
      </c>
      <c r="AI98" s="556">
        <f>$F$1*(Semidetached!AF45-Savings_SemiDet!AF87)</f>
        <v>1.5195386244952699E-3</v>
      </c>
      <c r="AJ98" s="556">
        <f>$F$1*(Semidetached!AG45-Savings_SemiDet!AG87)</f>
        <v>3.6776689804199187E-3</v>
      </c>
      <c r="AK98" s="556">
        <f>$F$1*(Semidetached!AH45-Savings_SemiDet!AH87)</f>
        <v>2.4110337588462974E-3</v>
      </c>
      <c r="AL98" s="556">
        <f>$F$1*(Semidetached!AI45-Savings_SemiDet!AI87)</f>
        <v>1.6951791182611643E-3</v>
      </c>
      <c r="AM98" s="556">
        <f>$F$1*(Semidetached!AJ45-Savings_SemiDet!AJ87)</f>
        <v>3.4207024149842343E-3</v>
      </c>
      <c r="AN98" s="556">
        <f>$F$1*(Semidetached!AK45-Savings_SemiDet!AK87)</f>
        <v>3.056198352749482E-3</v>
      </c>
      <c r="AO98" s="556">
        <f>$F$1*(Semidetached!AL45-Savings_SemiDet!AL87)</f>
        <v>2.6719285207501605E-3</v>
      </c>
      <c r="AP98" s="556">
        <f>$F$1*(Semidetached!AM45-Savings_SemiDet!AM87)</f>
        <v>3.1455945890015886E-3</v>
      </c>
      <c r="AQ98" s="556">
        <f>$F$1*(Semidetached!AN45-Savings_SemiDet!AN87)</f>
        <v>3.1455945890015886E-3</v>
      </c>
      <c r="AT98" s="5" t="s">
        <v>349</v>
      </c>
    </row>
    <row r="99" spans="1:46">
      <c r="A99" s="5" t="str">
        <f t="shared" si="5"/>
        <v>OUTPUT</v>
      </c>
      <c r="B99" s="5" t="s">
        <v>617</v>
      </c>
      <c r="C99" s="5" t="str">
        <f t="shared" si="4"/>
        <v>Bldg_SDEPre09-Win</v>
      </c>
      <c r="D99" s="5" t="s">
        <v>78</v>
      </c>
      <c r="E99" s="5" t="s">
        <v>350</v>
      </c>
      <c r="F99" s="5" t="s">
        <v>606</v>
      </c>
      <c r="G99" s="556">
        <f>$F$1*(Semidetached!D46-Savings_SemiDet!D88)</f>
        <v>1.6825037961170938E-3</v>
      </c>
      <c r="H99" s="556">
        <f>$F$1*(Semidetached!E46-Savings_SemiDet!E88)</f>
        <v>2.6476098650452134E-3</v>
      </c>
      <c r="I99" s="556">
        <f>$F$1*(Semidetached!F46-Savings_SemiDet!F88)</f>
        <v>2.2681372354519569E-3</v>
      </c>
      <c r="J99" s="556">
        <f>$F$1*(Semidetached!G46-Savings_SemiDet!G88)</f>
        <v>1.6407218025112447E-3</v>
      </c>
      <c r="K99" s="556">
        <f>$F$1*(Semidetached!H46-Savings_SemiDet!H88)</f>
        <v>7.0182072610138629E-4</v>
      </c>
      <c r="L99" s="556">
        <f>$F$1*(Semidetached!I46-Savings_SemiDet!I88)</f>
        <v>2.0826652807122517E-3</v>
      </c>
      <c r="M99" s="556">
        <f>$F$1*(Semidetached!J46-Savings_SemiDet!J88)</f>
        <v>1.7436115503217211E-3</v>
      </c>
      <c r="N99" s="556">
        <f>$F$1*(Semidetached!K46-Savings_SemiDet!K88)</f>
        <v>2.2583128404044771E-3</v>
      </c>
      <c r="O99" s="556">
        <f>$F$1*(Semidetached!L46-Savings_SemiDet!L88)</f>
        <v>1.0710997545781162E-3</v>
      </c>
      <c r="P99" s="556">
        <f>$F$1*(Semidetached!M46-Savings_SemiDet!M88)</f>
        <v>2.2627037300067231E-3</v>
      </c>
      <c r="Q99" s="556">
        <f>$F$1*(Semidetached!N46-Savings_SemiDet!N88)</f>
        <v>2.9101394257648543E-3</v>
      </c>
      <c r="R99" s="556">
        <f>$F$1*(Semidetached!O46-Savings_SemiDet!O88)</f>
        <v>1.6276588563589002E-3</v>
      </c>
      <c r="S99" s="556">
        <f>$F$1*(Semidetached!P46-Savings_SemiDet!P88)</f>
        <v>2.0859711663800628E-3</v>
      </c>
      <c r="T99" s="556">
        <f>$F$1*(Semidetached!Q46-Savings_SemiDet!Q88)</f>
        <v>1.6137154139317131E-3</v>
      </c>
      <c r="U99" s="556">
        <f>$F$1*(Semidetached!R46-Savings_SemiDet!R88)</f>
        <v>1.3514863948444493E-3</v>
      </c>
      <c r="V99" s="556">
        <f>$F$1*(Semidetached!S46-Savings_SemiDet!S88)</f>
        <v>3.073565294273716E-3</v>
      </c>
      <c r="W99" s="556">
        <f>$F$1*(Semidetached!T46-Savings_SemiDet!T88)</f>
        <v>2.4760769868886609E-3</v>
      </c>
      <c r="X99" s="556">
        <f>$F$1*(Semidetached!U46-Savings_SemiDet!U88)</f>
        <v>1.5188750895536829E-3</v>
      </c>
      <c r="Y99" s="556">
        <f>$F$1*(Semidetached!V46-Savings_SemiDet!V88)</f>
        <v>2.3246231733797676E-3</v>
      </c>
      <c r="Z99" s="556">
        <f>$F$1*(Semidetached!W46-Savings_SemiDet!W88)</f>
        <v>1.1701985504532423E-3</v>
      </c>
      <c r="AA99" s="556">
        <f>$F$1*(Semidetached!X46-Savings_SemiDet!X88)</f>
        <v>2.4572070544288281E-3</v>
      </c>
      <c r="AB99" s="556">
        <f>$F$1*(Semidetached!Y46-Savings_SemiDet!Y88)</f>
        <v>1.2553954809847022E-3</v>
      </c>
      <c r="AC99" s="556">
        <f>$F$1*(Semidetached!Z46-Savings_SemiDet!Z88)</f>
        <v>2.1608256947169579E-3</v>
      </c>
      <c r="AD99" s="556">
        <f>$F$1*(Semidetached!AA46-Savings_SemiDet!AA88)</f>
        <v>3.668820165821156E-3</v>
      </c>
      <c r="AE99" s="556">
        <f>$F$1*(Semidetached!AB46-Savings_SemiDet!AB88)</f>
        <v>3.1254674378541625E-3</v>
      </c>
      <c r="AF99" s="556">
        <f>$F$1*(Semidetached!AC46-Savings_SemiDet!AC88)</f>
        <v>1.5124695959826641E-3</v>
      </c>
      <c r="AG99" s="556">
        <f>$F$1*(Semidetached!AD46-Savings_SemiDet!AD88)</f>
        <v>1.1195506974947169E-3</v>
      </c>
      <c r="AH99" s="556">
        <f>$F$1*(Semidetached!AE46-Savings_SemiDet!AE88)</f>
        <v>3.5349964751304093E-3</v>
      </c>
      <c r="AI99" s="556">
        <f>$F$1*(Semidetached!AF46-Savings_SemiDet!AF88)</f>
        <v>1.1662137590186434E-3</v>
      </c>
      <c r="AJ99" s="556">
        <f>$F$1*(Semidetached!AG46-Savings_SemiDet!AG88)</f>
        <v>1.8854968631653944E-3</v>
      </c>
      <c r="AK99" s="556">
        <f>$F$1*(Semidetached!AH46-Savings_SemiDet!AH88)</f>
        <v>2.0218331754446304E-3</v>
      </c>
      <c r="AL99" s="556">
        <f>$F$1*(Semidetached!AI46-Savings_SemiDet!AI88)</f>
        <v>2.0837457897318027E-3</v>
      </c>
      <c r="AM99" s="556">
        <f>$F$1*(Semidetached!AJ46-Savings_SemiDet!AJ88)</f>
        <v>2.7929149398647339E-3</v>
      </c>
      <c r="AN99" s="556">
        <f>$F$1*(Semidetached!AK46-Savings_SemiDet!AK88)</f>
        <v>2.4943760154295985E-3</v>
      </c>
      <c r="AO99" s="556">
        <f>$F$1*(Semidetached!AL46-Savings_SemiDet!AL88)</f>
        <v>2.2725350106718029E-3</v>
      </c>
      <c r="AP99" s="556">
        <f>$F$1*(Semidetached!AM46-Savings_SemiDet!AM88)</f>
        <v>2.5682965240987465E-3</v>
      </c>
      <c r="AQ99" s="556">
        <f>$F$1*(Semidetached!AN46-Savings_SemiDet!AN88)</f>
        <v>2.5682965240987465E-3</v>
      </c>
      <c r="AT99" s="5" t="s">
        <v>350</v>
      </c>
    </row>
    <row r="100" spans="1:46">
      <c r="A100" s="5" t="str">
        <f t="shared" si="5"/>
        <v>\I:</v>
      </c>
      <c r="C100" s="5" t="str">
        <f t="shared" si="4"/>
        <v/>
      </c>
      <c r="E100" s="5" t="s">
        <v>623</v>
      </c>
    </row>
    <row r="101" spans="1:46">
      <c r="A101" s="5" t="str">
        <f t="shared" si="5"/>
        <v>\I:</v>
      </c>
      <c r="C101" s="5" t="str">
        <f t="shared" si="4"/>
        <v/>
      </c>
      <c r="E101" s="5" t="s">
        <v>623</v>
      </c>
    </row>
    <row r="102" spans="1:46">
      <c r="A102" s="135" t="str">
        <f t="shared" si="5"/>
        <v>\I:</v>
      </c>
      <c r="C102" s="5" t="str">
        <f t="shared" si="4"/>
        <v/>
      </c>
      <c r="E102" s="5" t="s">
        <v>623</v>
      </c>
      <c r="F102" s="135" t="s">
        <v>393</v>
      </c>
      <c r="G102" s="495">
        <f>G111*'Energy Efficiency Measures-DBT'!D17/'Energy Efficiency Measures-DBT'!D16</f>
        <v>13.999999999999995</v>
      </c>
      <c r="H102" s="495">
        <f>H111*'Energy Efficiency Measures-DBT'!E17/'Energy Efficiency Measures-DBT'!E16</f>
        <v>17.500000000000004</v>
      </c>
      <c r="I102" s="495">
        <f>I111*'Energy Efficiency Measures-DBT'!F17/'Energy Efficiency Measures-DBT'!F16</f>
        <v>13.75</v>
      </c>
      <c r="J102" s="495">
        <f>J111*'Energy Efficiency Measures-DBT'!G17/'Energy Efficiency Measures-DBT'!G16</f>
        <v>13.999999999999996</v>
      </c>
      <c r="K102" s="495">
        <f>K111*'Energy Efficiency Measures-DBT'!H17/'Energy Efficiency Measures-DBT'!H16</f>
        <v>19.250000000000004</v>
      </c>
      <c r="L102" s="495">
        <f>L111*'Energy Efficiency Measures-DBT'!I17/'Energy Efficiency Measures-DBT'!I16</f>
        <v>9.1666666666666679</v>
      </c>
      <c r="M102" s="495">
        <f>M111*'Energy Efficiency Measures-DBT'!J17/'Energy Efficiency Measures-DBT'!J16</f>
        <v>5.25</v>
      </c>
      <c r="N102" s="495">
        <f>N111*'Energy Efficiency Measures-DBT'!K17/'Energy Efficiency Measures-DBT'!K16</f>
        <v>14.000000000000004</v>
      </c>
      <c r="O102" s="495">
        <f>O111*'Energy Efficiency Measures-DBT'!L17/'Energy Efficiency Measures-DBT'!L16</f>
        <v>13.750000000000004</v>
      </c>
      <c r="P102" s="495">
        <f>P111*'Energy Efficiency Measures-DBT'!M17/'Energy Efficiency Measures-DBT'!M16</f>
        <v>12.250000000000004</v>
      </c>
      <c r="Q102" s="495">
        <f>Q111*'Energy Efficiency Measures-DBT'!N17/'Energy Efficiency Measures-DBT'!N16</f>
        <v>17.500000000000004</v>
      </c>
      <c r="R102" s="495">
        <f>R111*'Energy Efficiency Measures-DBT'!O17/'Energy Efficiency Measures-DBT'!O16</f>
        <v>17.500000000000004</v>
      </c>
      <c r="S102" s="495">
        <f>S111*'Energy Efficiency Measures-DBT'!P17/'Energy Efficiency Measures-DBT'!P16</f>
        <v>19.250000000000004</v>
      </c>
      <c r="T102" s="495">
        <f>T111*'Energy Efficiency Measures-DBT'!Q17/'Energy Efficiency Measures-DBT'!Q16</f>
        <v>13.75</v>
      </c>
      <c r="U102" s="495">
        <f>U111*'Energy Efficiency Measures-DBT'!R17/'Energy Efficiency Measures-DBT'!R16</f>
        <v>13.75</v>
      </c>
      <c r="V102" s="495">
        <f>V111*'Energy Efficiency Measures-DBT'!S17/'Energy Efficiency Measures-DBT'!S16</f>
        <v>17.500000000000004</v>
      </c>
      <c r="W102" s="495">
        <f>W111*'Energy Efficiency Measures-DBT'!T17/'Energy Efficiency Measures-DBT'!T16</f>
        <v>13.999999999999996</v>
      </c>
      <c r="X102" s="495">
        <f>X111*'Energy Efficiency Measures-DBT'!U17/'Energy Efficiency Measures-DBT'!U16</f>
        <v>19.250000000000004</v>
      </c>
      <c r="Y102" s="495">
        <f>Y111*'Energy Efficiency Measures-DBT'!V17/'Energy Efficiency Measures-DBT'!V16</f>
        <v>13.750000000000004</v>
      </c>
      <c r="Z102" s="495">
        <f>Z111*'Energy Efficiency Measures-DBT'!W17/'Energy Efficiency Measures-DBT'!W16</f>
        <v>14</v>
      </c>
      <c r="AA102" s="495">
        <f>AA111*'Energy Efficiency Measures-DBT'!X17/'Energy Efficiency Measures-DBT'!X16</f>
        <v>13.75</v>
      </c>
      <c r="AB102" s="495">
        <f>AB111*'Energy Efficiency Measures-DBT'!Y17/'Energy Efficiency Measures-DBT'!Y16</f>
        <v>19.249999999999996</v>
      </c>
      <c r="AC102" s="495">
        <f>AC111*'Energy Efficiency Measures-DBT'!Z17/'Energy Efficiency Measures-DBT'!Z16</f>
        <v>17.500000000000004</v>
      </c>
      <c r="AD102" s="495">
        <f>AD111*'Energy Efficiency Measures-DBT'!AA17/'Energy Efficiency Measures-DBT'!AA16</f>
        <v>17.5</v>
      </c>
      <c r="AE102" s="495">
        <f>AE111*'Energy Efficiency Measures-DBT'!AB17/'Energy Efficiency Measures-DBT'!AB16</f>
        <v>18.333333333333339</v>
      </c>
      <c r="AF102" s="495">
        <f>AF111*'Energy Efficiency Measures-DBT'!AC17/'Energy Efficiency Measures-DBT'!AC16</f>
        <v>12.250000000000004</v>
      </c>
      <c r="AG102" s="495">
        <f>AG111*'Energy Efficiency Measures-DBT'!AD17/'Energy Efficiency Measures-DBT'!AD16</f>
        <v>18.333333333333336</v>
      </c>
      <c r="AH102" s="495">
        <f>AH111*'Energy Efficiency Measures-DBT'!AE17/'Energy Efficiency Measures-DBT'!AE16</f>
        <v>17.500000000000004</v>
      </c>
      <c r="AI102" s="495">
        <f>AI111*'Energy Efficiency Measures-DBT'!AF17/'Energy Efficiency Measures-DBT'!AF16</f>
        <v>13.75</v>
      </c>
      <c r="AJ102" s="495">
        <f>AJ111*'Energy Efficiency Measures-DBT'!AG17/'Energy Efficiency Measures-DBT'!AG16</f>
        <v>9.1666666666666679</v>
      </c>
      <c r="AK102" s="495">
        <f>AK111*'Energy Efficiency Measures-DBT'!AH17/'Energy Efficiency Measures-DBT'!AH16</f>
        <v>17.500000000000004</v>
      </c>
      <c r="AL102" s="495">
        <f>AL111*'Energy Efficiency Measures-DBT'!AI17/'Energy Efficiency Measures-DBT'!AI16</f>
        <v>13.75</v>
      </c>
      <c r="AM102" s="495">
        <f>AM111*'Energy Efficiency Measures-DBT'!AJ17/'Energy Efficiency Measures-DBT'!AJ16</f>
        <v>13.749999999999996</v>
      </c>
      <c r="AN102" s="495">
        <f>AN111*'Energy Efficiency Measures-DBT'!AK17/'Energy Efficiency Measures-DBT'!AK16</f>
        <v>13.750000000000005</v>
      </c>
      <c r="AO102" s="495">
        <f>AO111*'Energy Efficiency Measures-DBT'!AL17/'Energy Efficiency Measures-DBT'!AL16</f>
        <v>13.75</v>
      </c>
      <c r="AP102" s="495">
        <f>AP111*'Energy Efficiency Measures-DBT'!AM17/'Energy Efficiency Measures-DBT'!AM16</f>
        <v>13.75</v>
      </c>
      <c r="AQ102" s="495">
        <f>AQ111*'Energy Efficiency Measures-DBT'!AN17/'Energy Efficiency Measures-DBT'!AN16</f>
        <v>13.749999999999996</v>
      </c>
    </row>
    <row r="103" spans="1:46">
      <c r="A103" s="135" t="str">
        <f t="shared" si="5"/>
        <v>\I:</v>
      </c>
      <c r="C103" s="5" t="str">
        <f t="shared" si="4"/>
        <v/>
      </c>
      <c r="E103" s="5" t="s">
        <v>400</v>
      </c>
      <c r="F103" s="135" t="s">
        <v>625</v>
      </c>
      <c r="G103" s="214">
        <f>G102*Semidetached!D5</f>
        <v>8597.2355871886102</v>
      </c>
      <c r="H103" s="214">
        <f>H102*Semidetached!E5</f>
        <v>10936.391281135999</v>
      </c>
      <c r="I103" s="214">
        <f>I102*Semidetached!F5</f>
        <v>4516.1713369999998</v>
      </c>
      <c r="J103" s="214">
        <f>J102*Semidetached!G5</f>
        <v>9004.9506643046934</v>
      </c>
      <c r="K103" s="214">
        <f>K102*Semidetached!H5</f>
        <v>9405.3326183606569</v>
      </c>
      <c r="L103" s="214">
        <f>L102*Semidetached!I5</f>
        <v>4746.8515559080961</v>
      </c>
      <c r="M103" s="214">
        <f>M102*Semidetached!J5</f>
        <v>3013.7089125742577</v>
      </c>
      <c r="N103" s="214">
        <f>N102*Semidetached!K5</f>
        <v>9655.5637435519529</v>
      </c>
      <c r="O103" s="214">
        <f>O102*Semidetached!L5</f>
        <v>6010.0118595080776</v>
      </c>
      <c r="P103" s="214">
        <f>P102*Semidetached!M5</f>
        <v>7568.021518425242</v>
      </c>
      <c r="Q103" s="214">
        <f>Q102*Semidetached!N5</f>
        <v>8915.5730129390031</v>
      </c>
      <c r="R103" s="214">
        <f>R102*Semidetached!O5</f>
        <v>10350.837151586462</v>
      </c>
      <c r="S103" s="214">
        <f>S102*Semidetached!P5</f>
        <v>6075.4851290090091</v>
      </c>
      <c r="T103" s="214">
        <f>T102*Semidetached!Q5</f>
        <v>4790.7586209824267</v>
      </c>
      <c r="U103" s="214">
        <f>U102*Semidetached!R5</f>
        <v>6498.3823043005568</v>
      </c>
      <c r="V103" s="214">
        <f>V102*Semidetached!S5</f>
        <v>11236.68512267502</v>
      </c>
      <c r="W103" s="214">
        <f>W102*Semidetached!T5</f>
        <v>7215.3492948507701</v>
      </c>
      <c r="X103" s="214">
        <f>X102*Semidetached!U5</f>
        <v>11624.392401500942</v>
      </c>
      <c r="Y103" s="214">
        <f>Y102*Semidetached!V5</f>
        <v>6834.1375497572826</v>
      </c>
      <c r="Z103" s="214">
        <f>Z102*Semidetached!W5</f>
        <v>4420.8200251835851</v>
      </c>
      <c r="AA103" s="214">
        <f>AA102*Semidetached!X5</f>
        <v>6719.5424213536699</v>
      </c>
      <c r="AB103" s="214">
        <f>AB102*Semidetached!Y5</f>
        <v>11214.153225980193</v>
      </c>
      <c r="AC103" s="214">
        <f>AC102*Semidetached!Z5</f>
        <v>11575.429104442348</v>
      </c>
      <c r="AD103" s="214">
        <f>AD102*Semidetached!AA5</f>
        <v>11485.293909348444</v>
      </c>
      <c r="AE103" s="214">
        <f>AE102*Semidetached!AB5</f>
        <v>8961.4994155709373</v>
      </c>
      <c r="AF103" s="214">
        <f>AF102*Semidetached!AC5</f>
        <v>7493.3978415579177</v>
      </c>
      <c r="AG103" s="214">
        <f>AG102*Semidetached!AD5</f>
        <v>6691.0870059946246</v>
      </c>
      <c r="AH103" s="214">
        <f>AH102*Semidetached!AE5</f>
        <v>11201.094687232222</v>
      </c>
      <c r="AI103" s="214">
        <f>AI102*Semidetached!AF5</f>
        <v>6634.3312087286531</v>
      </c>
      <c r="AJ103" s="214">
        <f>AJ102*Semidetached!AG5</f>
        <v>4434.2411518290719</v>
      </c>
      <c r="AK103" s="214">
        <f>AK102*Semidetached!AH5</f>
        <v>8121.3161829862674</v>
      </c>
      <c r="AL103" s="214">
        <f>AL102*Semidetached!AI5</f>
        <v>6509.4483525096521</v>
      </c>
      <c r="AM103" s="214">
        <f>AM102*Semidetached!AJ5</f>
        <v>4790.7586209824267</v>
      </c>
      <c r="AN103" s="214">
        <f>AN102*Semidetached!AK5</f>
        <v>6509.4483525096557</v>
      </c>
      <c r="AO103" s="214">
        <f>AO102*Semidetached!AL5</f>
        <v>4882.0373189999991</v>
      </c>
      <c r="AP103" s="214">
        <f>AP102*Semidetached!AM5</f>
        <v>4790.7586209824267</v>
      </c>
      <c r="AQ103" s="214">
        <f>AQ102*Semidetached!AN5</f>
        <v>4790.7586209824267</v>
      </c>
    </row>
    <row r="104" spans="1:46">
      <c r="A104" s="5" t="str">
        <f t="shared" si="5"/>
        <v>OUTPUT</v>
      </c>
      <c r="B104" s="5" t="s">
        <v>617</v>
      </c>
      <c r="C104" s="5" t="str">
        <f t="shared" si="4"/>
        <v>Bldg_SDEPre45-Cei</v>
      </c>
      <c r="D104" s="5" t="s">
        <v>301</v>
      </c>
      <c r="E104" s="5" t="s">
        <v>400</v>
      </c>
      <c r="F104" s="5" t="s">
        <v>606</v>
      </c>
      <c r="G104" s="556">
        <f>$F$1*(Semidetached!D41-Savings_SemiDet!D116)</f>
        <v>6.5810112660748821E-3</v>
      </c>
      <c r="H104" s="556">
        <f>$F$1*(Semidetached!E41-Savings_SemiDet!E116)</f>
        <v>1.2783156675280004E-2</v>
      </c>
      <c r="I104" s="556">
        <f>$F$1*(Semidetached!F41-Savings_SemiDet!F116)</f>
        <v>3.8620888394551157E-3</v>
      </c>
      <c r="J104" s="556">
        <f>$F$1*(Semidetached!G41-Savings_SemiDet!G116)</f>
        <v>6.7216435838846345E-3</v>
      </c>
      <c r="K104" s="556">
        <f>$F$1*(Semidetached!H41-Savings_SemiDet!H116)</f>
        <v>4.9805386978758817E-3</v>
      </c>
      <c r="L104" s="556">
        <f>$F$1*(Semidetached!I41-Savings_SemiDet!I116)</f>
        <v>6.1041765036696583E-3</v>
      </c>
      <c r="M104" s="556">
        <f>$F$1*(Semidetached!J41-Savings_SemiDet!J116)</f>
        <v>1.3799354343948253E-2</v>
      </c>
      <c r="N104" s="556">
        <f>$F$1*(Semidetached!K41-Savings_SemiDet!K116)</f>
        <v>2.6396359022230918E-3</v>
      </c>
      <c r="O104" s="556">
        <f>$F$1*(Semidetached!L41-Savings_SemiDet!L116)</f>
        <v>2.6165112250192322E-3</v>
      </c>
      <c r="P104" s="556">
        <f>$F$1*(Semidetached!M41-Savings_SemiDet!M116)</f>
        <v>6.9474273523540148E-3</v>
      </c>
      <c r="Q104" s="556">
        <f>$F$1*(Semidetached!N41-Savings_SemiDet!N116)</f>
        <v>3.138480870431574E-3</v>
      </c>
      <c r="R104" s="556">
        <f>$F$1*(Semidetached!O41-Savings_SemiDet!O116)</f>
        <v>1.3648307877606163E-2</v>
      </c>
      <c r="S104" s="556">
        <f>$F$1*(Semidetached!P41-Savings_SemiDet!P116)</f>
        <v>9.188691184977265E-3</v>
      </c>
      <c r="T104" s="556">
        <f>$F$1*(Semidetached!Q41-Savings_SemiDet!Q116)</f>
        <v>3.5668559911052975E-3</v>
      </c>
      <c r="U104" s="556">
        <f>$F$1*(Semidetached!R41-Savings_SemiDet!R116)</f>
        <v>5.813132377989254E-3</v>
      </c>
      <c r="V104" s="556">
        <f>$F$1*(Semidetached!S41-Savings_SemiDet!S116)</f>
        <v>1.7746798486548778E-2</v>
      </c>
      <c r="W104" s="556">
        <f>$F$1*(Semidetached!T41-Savings_SemiDet!T116)</f>
        <v>2.7014070430045321E-3</v>
      </c>
      <c r="X104" s="556">
        <f>$F$1*(Semidetached!U41-Savings_SemiDet!U116)</f>
        <v>8.8003887202580747E-3</v>
      </c>
      <c r="Y104" s="556">
        <f>$F$1*(Semidetached!V41-Savings_SemiDet!V116)</f>
        <v>5.4302119578950774E-3</v>
      </c>
      <c r="Z104" s="556">
        <f>$F$1*(Semidetached!W41-Savings_SemiDet!W116)</f>
        <v>8.0673086214997948E-3</v>
      </c>
      <c r="AA104" s="556">
        <f>$F$1*(Semidetached!X41-Savings_SemiDet!X116)</f>
        <v>9.1410692499783643E-3</v>
      </c>
      <c r="AB104" s="556">
        <f>$F$1*(Semidetached!Y41-Savings_SemiDet!Y116)</f>
        <v>2.308831091819159E-3</v>
      </c>
      <c r="AC104" s="556">
        <f>$F$1*(Semidetached!Z41-Savings_SemiDet!Z116)</f>
        <v>1.8943353695295668E-2</v>
      </c>
      <c r="AD104" s="556">
        <f>$F$1*(Semidetached!AA41-Savings_SemiDet!AA116)</f>
        <v>4.8886062857349784E-3</v>
      </c>
      <c r="AE104" s="556">
        <f>$F$1*(Semidetached!AB41-Savings_SemiDet!AB116)</f>
        <v>1.3044489107191149E-2</v>
      </c>
      <c r="AF104" s="556">
        <f>$F$1*(Semidetached!AC41-Savings_SemiDet!AC116)</f>
        <v>9.4135768859909281E-3</v>
      </c>
      <c r="AG104" s="556">
        <f>$F$1*(Semidetached!AD41-Savings_SemiDet!AD116)</f>
        <v>5.5757932577875447E-3</v>
      </c>
      <c r="AH104" s="556">
        <f>$F$1*(Semidetached!AE41-Savings_SemiDet!AE116)</f>
        <v>4.592814943796192E-3</v>
      </c>
      <c r="AI104" s="556">
        <f>$F$1*(Semidetached!AF41-Savings_SemiDet!AF116)</f>
        <v>6.2598628872269765E-3</v>
      </c>
      <c r="AJ104" s="556">
        <f>$F$1*(Semidetached!AG41-Savings_SemiDet!AG116)</f>
        <v>1.2513802429367497E-2</v>
      </c>
      <c r="AK104" s="556">
        <f>$F$1*(Semidetached!AH41-Savings_SemiDet!AH116)</f>
        <v>1.3603099001063169E-2</v>
      </c>
      <c r="AL104" s="556">
        <f>$F$1*(Semidetached!AI41-Savings_SemiDet!AI116)</f>
        <v>9.1829766837080943E-3</v>
      </c>
      <c r="AM104" s="556">
        <f>$F$1*(Semidetached!AJ41-Savings_SemiDet!AJ116)</f>
        <v>4.1087949228637149E-3</v>
      </c>
      <c r="AN104" s="556">
        <f>$F$1*(Semidetached!AK41-Savings_SemiDet!AK116)</f>
        <v>4.997568000642702E-3</v>
      </c>
      <c r="AO104" s="556">
        <f>$F$1*(Semidetached!AL41-Savings_SemiDet!AL116)</f>
        <v>4.1829152951891983E-3</v>
      </c>
      <c r="AP104" s="556">
        <f>$F$1*(Semidetached!AM41-Savings_SemiDet!AM116)</f>
        <v>3.7783476925854985E-3</v>
      </c>
      <c r="AQ104" s="556">
        <f>$F$1*(Semidetached!AN41-Savings_SemiDet!AN116)</f>
        <v>3.7783476925854985E-3</v>
      </c>
      <c r="AT104" s="5" t="s">
        <v>400</v>
      </c>
    </row>
    <row r="105" spans="1:46">
      <c r="A105" s="5" t="str">
        <f t="shared" si="5"/>
        <v>OUTPUT</v>
      </c>
      <c r="B105" s="5" t="s">
        <v>617</v>
      </c>
      <c r="C105" s="5" t="str">
        <f t="shared" si="4"/>
        <v>Bldg_SDEPre69-Cei</v>
      </c>
      <c r="D105" s="5" t="s">
        <v>301</v>
      </c>
      <c r="E105" s="5" t="s">
        <v>401</v>
      </c>
      <c r="F105" s="5" t="s">
        <v>606</v>
      </c>
      <c r="G105" s="556">
        <f>$F$1*(Semidetached!D42-Savings_SemiDet!D117)</f>
        <v>5.0962430458766595E-3</v>
      </c>
      <c r="H105" s="556">
        <f>$F$1*(Semidetached!E42-Savings_SemiDet!E117)</f>
        <v>1.2783156675280004E-2</v>
      </c>
      <c r="I105" s="556">
        <f>$F$1*(Semidetached!F42-Savings_SemiDet!F117)</f>
        <v>3.8620888394551157E-3</v>
      </c>
      <c r="J105" s="556">
        <f>$F$1*(Semidetached!G42-Savings_SemiDet!G117)</f>
        <v>5.2041962980115698E-3</v>
      </c>
      <c r="K105" s="556">
        <f>$F$1*(Semidetached!H42-Savings_SemiDet!H117)</f>
        <v>5.0380461686683657E-3</v>
      </c>
      <c r="L105" s="556">
        <f>$F$1*(Semidetached!I42-Savings_SemiDet!I117)</f>
        <v>3.328173893535266E-3</v>
      </c>
      <c r="M105" s="556">
        <f>$F$1*(Semidetached!J42-Savings_SemiDet!J117)</f>
        <v>1.3486107553010732E-2</v>
      </c>
      <c r="N105" s="556">
        <f>$F$1*(Semidetached!K42-Savings_SemiDet!K117)</f>
        <v>2.1227216217473495E-3</v>
      </c>
      <c r="O105" s="556">
        <f>$F$1*(Semidetached!L42-Savings_SemiDet!L117)</f>
        <v>2.6165112250192322E-3</v>
      </c>
      <c r="P105" s="556">
        <f>$F$1*(Semidetached!M42-Savings_SemiDet!M117)</f>
        <v>5.2574623827978525E-3</v>
      </c>
      <c r="Q105" s="556">
        <f>$F$1*(Semidetached!N42-Savings_SemiDet!N117)</f>
        <v>2.96323798658634E-3</v>
      </c>
      <c r="R105" s="556">
        <f>$F$1*(Semidetached!O42-Savings_SemiDet!O117)</f>
        <v>1.3648307877606163E-2</v>
      </c>
      <c r="S105" s="556">
        <f>$F$1*(Semidetached!P42-Savings_SemiDet!P117)</f>
        <v>9.188691184977265E-3</v>
      </c>
      <c r="T105" s="556">
        <f>$F$1*(Semidetached!Q42-Savings_SemiDet!Q117)</f>
        <v>3.5297169918642869E-3</v>
      </c>
      <c r="U105" s="556">
        <f>$F$1*(Semidetached!R42-Savings_SemiDet!R117)</f>
        <v>5.813132377989254E-3</v>
      </c>
      <c r="V105" s="556">
        <f>$F$1*(Semidetached!S42-Savings_SemiDet!S117)</f>
        <v>1.8827420806214416E-2</v>
      </c>
      <c r="W105" s="556">
        <f>$F$1*(Semidetached!T42-Savings_SemiDet!T117)</f>
        <v>2.5507290049457489E-3</v>
      </c>
      <c r="X105" s="556">
        <f>$F$1*(Semidetached!U42-Savings_SemiDet!U117)</f>
        <v>8.3630483907299429E-3</v>
      </c>
      <c r="Y105" s="556">
        <f>$F$1*(Semidetached!V42-Savings_SemiDet!V117)</f>
        <v>5.4302119578950774E-3</v>
      </c>
      <c r="Z105" s="556">
        <f>$F$1*(Semidetached!W42-Savings_SemiDet!W117)</f>
        <v>4.5566994374454332E-3</v>
      </c>
      <c r="AA105" s="556">
        <f>$F$1*(Semidetached!X42-Savings_SemiDet!X117)</f>
        <v>9.1559745163826995E-3</v>
      </c>
      <c r="AB105" s="556">
        <f>$F$1*(Semidetached!Y42-Savings_SemiDet!Y117)</f>
        <v>2.2811468870259865E-3</v>
      </c>
      <c r="AC105" s="556">
        <f>$F$1*(Semidetached!Z42-Savings_SemiDet!Z117)</f>
        <v>8.2789274883220271E-3</v>
      </c>
      <c r="AD105" s="556">
        <f>$F$1*(Semidetached!AA42-Savings_SemiDet!AA117)</f>
        <v>4.8912939657645774E-3</v>
      </c>
      <c r="AE105" s="556">
        <f>$F$1*(Semidetached!AB42-Savings_SemiDet!AB117)</f>
        <v>5.0385079064076826E-3</v>
      </c>
      <c r="AF105" s="556">
        <f>$F$1*(Semidetached!AC42-Savings_SemiDet!AC117)</f>
        <v>8.8745446015124092E-3</v>
      </c>
      <c r="AG105" s="556">
        <f>$F$1*(Semidetached!AD42-Savings_SemiDet!AD117)</f>
        <v>5.186768012388627E-3</v>
      </c>
      <c r="AH105" s="556">
        <f>$F$1*(Semidetached!AE42-Savings_SemiDet!AE117)</f>
        <v>4.5953763268035642E-3</v>
      </c>
      <c r="AI105" s="556">
        <f>$F$1*(Semidetached!AF42-Savings_SemiDet!AF117)</f>
        <v>6.2598628872269765E-3</v>
      </c>
      <c r="AJ105" s="556">
        <f>$F$1*(Semidetached!AG42-Savings_SemiDet!AG117)</f>
        <v>9.1522551157668091E-3</v>
      </c>
      <c r="AK105" s="556">
        <f>$F$1*(Semidetached!AH42-Savings_SemiDet!AH117)</f>
        <v>1.4329220267382448E-2</v>
      </c>
      <c r="AL105" s="556">
        <f>$F$1*(Semidetached!AI42-Savings_SemiDet!AI117)</f>
        <v>9.1829766837080943E-3</v>
      </c>
      <c r="AM105" s="556">
        <f>$F$1*(Semidetached!AJ42-Savings_SemiDet!AJ117)</f>
        <v>4.1087949228637149E-3</v>
      </c>
      <c r="AN105" s="556">
        <f>$F$1*(Semidetached!AK42-Savings_SemiDet!AK117)</f>
        <v>4.997568000642702E-3</v>
      </c>
      <c r="AO105" s="556">
        <f>$F$1*(Semidetached!AL42-Savings_SemiDet!AL117)</f>
        <v>4.1829152951891983E-3</v>
      </c>
      <c r="AP105" s="556">
        <f>$F$1*(Semidetached!AM42-Savings_SemiDet!AM117)</f>
        <v>3.7783476925854985E-3</v>
      </c>
      <c r="AQ105" s="556">
        <f>$F$1*(Semidetached!AN42-Savings_SemiDet!AN117)</f>
        <v>3.7783476925854985E-3</v>
      </c>
      <c r="AT105" s="5" t="s">
        <v>401</v>
      </c>
    </row>
    <row r="106" spans="1:46">
      <c r="A106" s="5" t="str">
        <f t="shared" si="5"/>
        <v>OUTPUT</v>
      </c>
      <c r="B106" s="5" t="s">
        <v>617</v>
      </c>
      <c r="C106" s="5" t="str">
        <f t="shared" si="4"/>
        <v>Bldg_SDEPre79-Cei</v>
      </c>
      <c r="D106" s="5" t="s">
        <v>301</v>
      </c>
      <c r="E106" s="5" t="s">
        <v>402</v>
      </c>
      <c r="F106" s="5" t="s">
        <v>606</v>
      </c>
      <c r="G106" s="556">
        <f>$F$1*(Semidetached!D43-Savings_SemiDet!D118)</f>
        <v>2.5909031927343566E-3</v>
      </c>
      <c r="H106" s="556">
        <f>$F$1*(Semidetached!E43-Savings_SemiDet!E118)</f>
        <v>1.2783156675280004E-2</v>
      </c>
      <c r="I106" s="556">
        <f>$F$1*(Semidetached!F43-Savings_SemiDet!F118)</f>
        <v>3.5179713614937251E-3</v>
      </c>
      <c r="J106" s="556">
        <f>$F$1*(Semidetached!G43-Savings_SemiDet!G118)</f>
        <v>2.6462408021055727E-3</v>
      </c>
      <c r="K106" s="556">
        <f>$F$1*(Semidetached!H43-Savings_SemiDet!H118)</f>
        <v>5.0393474244104543E-3</v>
      </c>
      <c r="L106" s="556">
        <f>$F$1*(Semidetached!I43-Savings_SemiDet!I118)</f>
        <v>3.328173893535266E-3</v>
      </c>
      <c r="M106" s="556">
        <f>$F$1*(Semidetached!J43-Savings_SemiDet!J118)</f>
        <v>3.2982356223524873E-3</v>
      </c>
      <c r="N106" s="556">
        <f>$F$1*(Semidetached!K43-Savings_SemiDet!K118)</f>
        <v>1.3761926284200263E-3</v>
      </c>
      <c r="O106" s="556">
        <f>$F$1*(Semidetached!L43-Savings_SemiDet!L118)</f>
        <v>1.790848910072363E-3</v>
      </c>
      <c r="P106" s="556">
        <f>$F$1*(Semidetached!M43-Savings_SemiDet!M118)</f>
        <v>5.2574623827978525E-3</v>
      </c>
      <c r="Q106" s="556">
        <f>$F$1*(Semidetached!N43-Savings_SemiDet!N118)</f>
        <v>2.0238256402037081E-3</v>
      </c>
      <c r="R106" s="556">
        <f>$F$1*(Semidetached!O43-Savings_SemiDet!O118)</f>
        <v>2.012725949759164E-3</v>
      </c>
      <c r="S106" s="556">
        <f>$F$1*(Semidetached!P43-Savings_SemiDet!P118)</f>
        <v>9.188691184977265E-3</v>
      </c>
      <c r="T106" s="556">
        <f>$F$1*(Semidetached!Q43-Savings_SemiDet!Q118)</f>
        <v>3.6879374667930275E-3</v>
      </c>
      <c r="U106" s="556">
        <f>$F$1*(Semidetached!R43-Savings_SemiDet!R118)</f>
        <v>4.1197970677574842E-3</v>
      </c>
      <c r="V106" s="556">
        <f>$F$1*(Semidetached!S43-Savings_SemiDet!S118)</f>
        <v>8.2039306965566057E-3</v>
      </c>
      <c r="W106" s="556">
        <f>$F$1*(Semidetached!T43-Savings_SemiDet!T118)</f>
        <v>1.7421406060879868E-3</v>
      </c>
      <c r="X106" s="556">
        <f>$F$1*(Semidetached!U43-Savings_SemiDet!U118)</f>
        <v>7.9340517076676078E-3</v>
      </c>
      <c r="Y106" s="556">
        <f>$F$1*(Semidetached!V43-Savings_SemiDet!V118)</f>
        <v>2.5867834148934235E-3</v>
      </c>
      <c r="Z106" s="556">
        <f>$F$1*(Semidetached!W43-Savings_SemiDet!W118)</f>
        <v>2.6638955151671562E-3</v>
      </c>
      <c r="AA106" s="556">
        <f>$F$1*(Semidetached!X43-Savings_SemiDet!X118)</f>
        <v>7.3540189435386503E-3</v>
      </c>
      <c r="AB106" s="556">
        <f>$F$1*(Semidetached!Y43-Savings_SemiDet!Y118)</f>
        <v>2.3532501322878802E-3</v>
      </c>
      <c r="AC106" s="556">
        <f>$F$1*(Semidetached!Z43-Savings_SemiDet!Z118)</f>
        <v>8.3499497613857936E-3</v>
      </c>
      <c r="AD106" s="556">
        <f>$F$1*(Semidetached!AA43-Savings_SemiDet!AA118)</f>
        <v>1.2262749536487039E-3</v>
      </c>
      <c r="AE106" s="556">
        <f>$F$1*(Semidetached!AB43-Savings_SemiDet!AB118)</f>
        <v>3.0465712595158932E-3</v>
      </c>
      <c r="AF106" s="556">
        <f>$F$1*(Semidetached!AC43-Savings_SemiDet!AC118)</f>
        <v>8.2075189708749035E-3</v>
      </c>
      <c r="AG106" s="556">
        <f>$F$1*(Semidetached!AD43-Savings_SemiDet!AD118)</f>
        <v>5.186768012388627E-3</v>
      </c>
      <c r="AH106" s="556">
        <f>$F$1*(Semidetached!AE43-Savings_SemiDet!AE118)</f>
        <v>1.1517670350719223E-3</v>
      </c>
      <c r="AI106" s="556">
        <f>$F$1*(Semidetached!AF43-Savings_SemiDet!AF118)</f>
        <v>4.3967432411483086E-3</v>
      </c>
      <c r="AJ106" s="556">
        <f>$F$1*(Semidetached!AG43-Savings_SemiDet!AG118)</f>
        <v>9.1522551157668091E-3</v>
      </c>
      <c r="AK106" s="556">
        <f>$F$1*(Semidetached!AH43-Savings_SemiDet!AH118)</f>
        <v>6.3609552183308852E-3</v>
      </c>
      <c r="AL106" s="556">
        <f>$F$1*(Semidetached!AI43-Savings_SemiDet!AI118)</f>
        <v>9.1829766837080943E-3</v>
      </c>
      <c r="AM106" s="556">
        <f>$F$1*(Semidetached!AJ43-Savings_SemiDet!AJ118)</f>
        <v>4.1087949228637149E-3</v>
      </c>
      <c r="AN106" s="556">
        <f>$F$1*(Semidetached!AK43-Savings_SemiDet!AK118)</f>
        <v>4.997568000642702E-3</v>
      </c>
      <c r="AO106" s="556">
        <f>$F$1*(Semidetached!AL43-Savings_SemiDet!AL118)</f>
        <v>3.8105383290198405E-3</v>
      </c>
      <c r="AP106" s="556">
        <f>$F$1*(Semidetached!AM43-Savings_SemiDet!AM118)</f>
        <v>3.7783476925854985E-3</v>
      </c>
      <c r="AQ106" s="556">
        <f>$F$1*(Semidetached!AN43-Savings_SemiDet!AN118)</f>
        <v>3.7783476925854985E-3</v>
      </c>
      <c r="AT106" s="5" t="s">
        <v>402</v>
      </c>
    </row>
    <row r="107" spans="1:46">
      <c r="A107" s="5" t="str">
        <f t="shared" si="5"/>
        <v>OUTPUT</v>
      </c>
      <c r="B107" s="5" t="s">
        <v>617</v>
      </c>
      <c r="C107" s="5" t="str">
        <f t="shared" si="4"/>
        <v>Bldg_SDEPre89-Cei</v>
      </c>
      <c r="D107" s="5" t="s">
        <v>301</v>
      </c>
      <c r="E107" s="5" t="s">
        <v>403</v>
      </c>
      <c r="F107" s="5" t="s">
        <v>606</v>
      </c>
      <c r="G107" s="556">
        <f>$F$1*(Semidetached!D44-Savings_SemiDet!D119)</f>
        <v>1.5030027385837313E-3</v>
      </c>
      <c r="H107" s="556">
        <f>$F$1*(Semidetached!E44-Savings_SemiDet!E119)</f>
        <v>8.7009752479328736E-3</v>
      </c>
      <c r="I107" s="556">
        <f>$F$1*(Semidetached!F44-Savings_SemiDet!F119)</f>
        <v>3.3487163145616426E-3</v>
      </c>
      <c r="J107" s="556">
        <f>$F$1*(Semidetached!G44-Savings_SemiDet!G119)</f>
        <v>1.535433961621366E-3</v>
      </c>
      <c r="K107" s="556">
        <f>$F$1*(Semidetached!H44-Savings_SemiDet!H119)</f>
        <v>5.0781775328862799E-3</v>
      </c>
      <c r="L107" s="556">
        <f>$F$1*(Semidetached!I44-Savings_SemiDet!I119)</f>
        <v>2.6256006436392683E-3</v>
      </c>
      <c r="M107" s="556">
        <f>$F$1*(Semidetached!J44-Savings_SemiDet!J119)</f>
        <v>1.2624622152216298E-3</v>
      </c>
      <c r="N107" s="556">
        <f>$F$1*(Semidetached!K44-Savings_SemiDet!K119)</f>
        <v>1.0858222201738613E-3</v>
      </c>
      <c r="O107" s="556">
        <f>$F$1*(Semidetached!L44-Savings_SemiDet!L119)</f>
        <v>9.5216816837752545E-4</v>
      </c>
      <c r="P107" s="556">
        <f>$F$1*(Semidetached!M44-Savings_SemiDet!M119)</f>
        <v>3.8472662942847231E-3</v>
      </c>
      <c r="Q107" s="556">
        <f>$F$1*(Semidetached!N44-Savings_SemiDet!N119)</f>
        <v>1.3958404073831068E-3</v>
      </c>
      <c r="R107" s="556">
        <f>$F$1*(Semidetached!O44-Savings_SemiDet!O119)</f>
        <v>1.23650011027637E-3</v>
      </c>
      <c r="S107" s="556">
        <f>$F$1*(Semidetached!P44-Savings_SemiDet!P119)</f>
        <v>9.2506896000072066E-3</v>
      </c>
      <c r="T107" s="556">
        <f>$F$1*(Semidetached!Q44-Savings_SemiDet!Q119)</f>
        <v>3.6879374667930275E-3</v>
      </c>
      <c r="U107" s="556">
        <f>$F$1*(Semidetached!R44-Savings_SemiDet!R119)</f>
        <v>2.5118882292285479E-3</v>
      </c>
      <c r="V107" s="556">
        <f>$F$1*(Semidetached!S44-Savings_SemiDet!S119)</f>
        <v>2.2422651548668114E-3</v>
      </c>
      <c r="W107" s="556">
        <f>$F$1*(Semidetached!T44-Savings_SemiDet!T119)</f>
        <v>1.2015538247331684E-3</v>
      </c>
      <c r="X107" s="556">
        <f>$F$1*(Semidetached!U44-Savings_SemiDet!U119)</f>
        <v>6.1246200049618373E-3</v>
      </c>
      <c r="Y107" s="556">
        <f>$F$1*(Semidetached!V44-Savings_SemiDet!V119)</f>
        <v>2.5867834148934235E-3</v>
      </c>
      <c r="Z107" s="556">
        <f>$F$1*(Semidetached!W44-Savings_SemiDet!W119)</f>
        <v>1.3215435615180303E-3</v>
      </c>
      <c r="AA107" s="556">
        <f>$F$1*(Semidetached!X44-Savings_SemiDet!X119)</f>
        <v>3.1704852186794407E-3</v>
      </c>
      <c r="AB107" s="556">
        <f>$F$1*(Semidetached!Y44-Savings_SemiDet!Y119)</f>
        <v>2.4038855699353486E-3</v>
      </c>
      <c r="AC107" s="556">
        <f>$F$1*(Semidetached!Z44-Savings_SemiDet!Z119)</f>
        <v>4.0456734708848091E-3</v>
      </c>
      <c r="AD107" s="556">
        <f>$F$1*(Semidetached!AA44-Savings_SemiDet!AA119)</f>
        <v>1.2286845190659927E-3</v>
      </c>
      <c r="AE107" s="556">
        <f>$F$1*(Semidetached!AB44-Savings_SemiDet!AB119)</f>
        <v>3.0465712595158932E-3</v>
      </c>
      <c r="AF107" s="556">
        <f>$F$1*(Semidetached!AC44-Savings_SemiDet!AC119)</f>
        <v>7.9017797553896079E-3</v>
      </c>
      <c r="AG107" s="556">
        <f>$F$1*(Semidetached!AD44-Savings_SemiDet!AD119)</f>
        <v>4.8405468766119109E-3</v>
      </c>
      <c r="AH107" s="556">
        <f>$F$1*(Semidetached!AE44-Savings_SemiDet!AE119)</f>
        <v>1.1540590701727613E-3</v>
      </c>
      <c r="AI107" s="556">
        <f>$F$1*(Semidetached!AF44-Savings_SemiDet!AF119)</f>
        <v>3.9502060797615363E-3</v>
      </c>
      <c r="AJ107" s="556">
        <f>$F$1*(Semidetached!AG44-Savings_SemiDet!AG119)</f>
        <v>5.6570520413897355E-3</v>
      </c>
      <c r="AK107" s="556">
        <f>$F$1*(Semidetached!AH44-Savings_SemiDet!AH119)</f>
        <v>2.9943277290515758E-3</v>
      </c>
      <c r="AL107" s="556">
        <f>$F$1*(Semidetached!AI44-Savings_SemiDet!AI119)</f>
        <v>9.2471076723722803E-3</v>
      </c>
      <c r="AM107" s="556">
        <f>$F$1*(Semidetached!AJ44-Savings_SemiDet!AJ119)</f>
        <v>2.3866489795810139E-3</v>
      </c>
      <c r="AN107" s="556">
        <f>$F$1*(Semidetached!AK44-Savings_SemiDet!AK119)</f>
        <v>2.9049208885349137E-3</v>
      </c>
      <c r="AO107" s="556">
        <f>$F$1*(Semidetached!AL44-Savings_SemiDet!AL119)</f>
        <v>3.6282041186437193E-3</v>
      </c>
      <c r="AP107" s="556">
        <f>$F$1*(Semidetached!AM44-Savings_SemiDet!AM119)</f>
        <v>2.1947042464524917E-3</v>
      </c>
      <c r="AQ107" s="556">
        <f>$F$1*(Semidetached!AN44-Savings_SemiDet!AN119)</f>
        <v>2.1947042464524917E-3</v>
      </c>
      <c r="AT107" s="5" t="s">
        <v>403</v>
      </c>
    </row>
    <row r="108" spans="1:46">
      <c r="A108" s="5" t="str">
        <f t="shared" si="5"/>
        <v>OUTPUT</v>
      </c>
      <c r="B108" s="5" t="s">
        <v>617</v>
      </c>
      <c r="C108" s="5" t="str">
        <f t="shared" si="4"/>
        <v>Bldg_SDEPre99-Cei</v>
      </c>
      <c r="D108" s="5" t="s">
        <v>301</v>
      </c>
      <c r="E108" s="5" t="s">
        <v>404</v>
      </c>
      <c r="F108" s="5" t="s">
        <v>606</v>
      </c>
      <c r="G108" s="556">
        <f>$F$1*(Semidetached!D45-Savings_SemiDet!D120)</f>
        <v>1.5491842003253851E-3</v>
      </c>
      <c r="H108" s="556">
        <f>$F$1*(Semidetached!E45-Savings_SemiDet!E120)</f>
        <v>8.7009752479328736E-3</v>
      </c>
      <c r="I108" s="556">
        <f>$F$1*(Semidetached!F45-Savings_SemiDet!F120)</f>
        <v>1.2655667562682337E-3</v>
      </c>
      <c r="J108" s="556">
        <f>$F$1*(Semidetached!G45-Savings_SemiDet!G120)</f>
        <v>1.5825443732397904E-3</v>
      </c>
      <c r="K108" s="556">
        <f>$F$1*(Semidetached!H45-Savings_SemiDet!H120)</f>
        <v>5.1680134194983345E-3</v>
      </c>
      <c r="L108" s="556">
        <f>$F$1*(Semidetached!I45-Savings_SemiDet!I120)</f>
        <v>1.6258006122243489E-3</v>
      </c>
      <c r="M108" s="556">
        <f>$F$1*(Semidetached!J45-Savings_SemiDet!J120)</f>
        <v>7.8359640196653255E-4</v>
      </c>
      <c r="N108" s="556">
        <f>$F$1*(Semidetached!K45-Savings_SemiDet!K120)</f>
        <v>1.0858222201738613E-3</v>
      </c>
      <c r="O108" s="556">
        <f>$F$1*(Semidetached!L45-Savings_SemiDet!L120)</f>
        <v>6.3298770494903068E-4</v>
      </c>
      <c r="P108" s="556">
        <f>$F$1*(Semidetached!M45-Savings_SemiDet!M120)</f>
        <v>3.8472662942847231E-3</v>
      </c>
      <c r="Q108" s="556">
        <f>$F$1*(Semidetached!N45-Savings_SemiDet!N120)</f>
        <v>1.3488391155690256E-3</v>
      </c>
      <c r="R108" s="556">
        <f>$F$1*(Semidetached!O45-Savings_SemiDet!O120)</f>
        <v>6.9345065508285566E-4</v>
      </c>
      <c r="S108" s="556">
        <f>$F$1*(Semidetached!P45-Savings_SemiDet!P120)</f>
        <v>9.2506896000072066E-3</v>
      </c>
      <c r="T108" s="556">
        <f>$F$1*(Semidetached!Q45-Savings_SemiDet!Q120)</f>
        <v>1.985186880506226E-3</v>
      </c>
      <c r="U108" s="556">
        <f>$F$1*(Semidetached!R45-Savings_SemiDet!R120)</f>
        <v>2.5118882292285479E-3</v>
      </c>
      <c r="V108" s="556">
        <f>$F$1*(Semidetached!S45-Savings_SemiDet!S120)</f>
        <v>2.3102392812991129E-3</v>
      </c>
      <c r="W108" s="556">
        <f>$F$1*(Semidetached!T45-Savings_SemiDet!T120)</f>
        <v>1.1611032072184214E-3</v>
      </c>
      <c r="X108" s="556">
        <f>$F$1*(Semidetached!U45-Savings_SemiDet!U120)</f>
        <v>5.1259566264269642E-3</v>
      </c>
      <c r="Y108" s="556">
        <f>$F$1*(Semidetached!V45-Savings_SemiDet!V120)</f>
        <v>2.5867834148934235E-3</v>
      </c>
      <c r="Z108" s="556">
        <f>$F$1*(Semidetached!W45-Savings_SemiDet!W120)</f>
        <v>9.5915904515279091E-4</v>
      </c>
      <c r="AA108" s="556">
        <f>$F$1*(Semidetached!X45-Savings_SemiDet!X120)</f>
        <v>2.7259656201380949E-3</v>
      </c>
      <c r="AB108" s="556">
        <f>$F$1*(Semidetached!Y45-Savings_SemiDet!Y120)</f>
        <v>2.1427147970513212E-3</v>
      </c>
      <c r="AC108" s="556">
        <f>$F$1*(Semidetached!Z45-Savings_SemiDet!Z120)</f>
        <v>3.3279619068569263E-3</v>
      </c>
      <c r="AD108" s="556">
        <f>$F$1*(Semidetached!AA45-Savings_SemiDet!AA120)</f>
        <v>9.1862770835155622E-4</v>
      </c>
      <c r="AE108" s="556">
        <f>$F$1*(Semidetached!AB45-Savings_SemiDet!AB120)</f>
        <v>3.0465712595158932E-3</v>
      </c>
      <c r="AF108" s="556">
        <f>$F$1*(Semidetached!AC45-Savings_SemiDet!AC120)</f>
        <v>7.3144457536215958E-3</v>
      </c>
      <c r="AG108" s="556">
        <f>$F$1*(Semidetached!AD45-Savings_SemiDet!AD120)</f>
        <v>4.8405468766119109E-3</v>
      </c>
      <c r="AH108" s="556">
        <f>$F$1*(Semidetached!AE45-Savings_SemiDet!AE120)</f>
        <v>8.6277882853770332E-4</v>
      </c>
      <c r="AI108" s="556">
        <f>$F$1*(Semidetached!AF45-Savings_SemiDet!AF120)</f>
        <v>1.8757063384925317E-3</v>
      </c>
      <c r="AJ108" s="556">
        <f>$F$1*(Semidetached!AG45-Savings_SemiDet!AG120)</f>
        <v>3.2370850976646071E-3</v>
      </c>
      <c r="AK108" s="556">
        <f>$F$1*(Semidetached!AH45-Savings_SemiDet!AH120)</f>
        <v>1.688425836954985E-3</v>
      </c>
      <c r="AL108" s="556">
        <f>$F$1*(Semidetached!AI45-Savings_SemiDet!AI120)</f>
        <v>9.2471076723722803E-3</v>
      </c>
      <c r="AM108" s="556">
        <f>$F$1*(Semidetached!AJ45-Savings_SemiDet!AJ120)</f>
        <v>1.7727526935984407E-3</v>
      </c>
      <c r="AN108" s="556">
        <f>$F$1*(Semidetached!AK45-Savings_SemiDet!AK120)</f>
        <v>2.1586796702829968E-3</v>
      </c>
      <c r="AO108" s="556">
        <f>$F$1*(Semidetached!AL45-Savings_SemiDet!AL120)</f>
        <v>1.3720735197683483E-3</v>
      </c>
      <c r="AP108" s="556">
        <f>$F$1*(Semidetached!AM45-Savings_SemiDet!AM120)</f>
        <v>1.6301801805951427E-3</v>
      </c>
      <c r="AQ108" s="556">
        <f>$F$1*(Semidetached!AN45-Savings_SemiDet!AN120)</f>
        <v>1.6301801805951427E-3</v>
      </c>
      <c r="AT108" s="5" t="s">
        <v>404</v>
      </c>
    </row>
    <row r="109" spans="1:46">
      <c r="A109" s="5" t="str">
        <f t="shared" si="5"/>
        <v>OUTPUT</v>
      </c>
      <c r="B109" s="5" t="s">
        <v>617</v>
      </c>
      <c r="C109" s="5" t="str">
        <f t="shared" si="4"/>
        <v>Bldg_SDEPre09-Cei</v>
      </c>
      <c r="D109" s="5" t="s">
        <v>301</v>
      </c>
      <c r="E109" s="5" t="s">
        <v>405</v>
      </c>
      <c r="F109" s="5" t="s">
        <v>606</v>
      </c>
      <c r="G109" s="556">
        <f>$F$1*(Semidetached!D46-Savings_SemiDet!D121)</f>
        <v>9.6352525409557652E-4</v>
      </c>
      <c r="H109" s="556">
        <f>$F$1*(Semidetached!E46-Savings_SemiDet!E121)</f>
        <v>3.1061839212459153E-3</v>
      </c>
      <c r="I109" s="556">
        <f>$F$1*(Semidetached!F46-Savings_SemiDet!F121)</f>
        <v>6.1159365321494037E-4</v>
      </c>
      <c r="J109" s="556">
        <f>$F$1*(Semidetached!G46-Savings_SemiDet!G121)</f>
        <v>9.844344732851788E-4</v>
      </c>
      <c r="K109" s="556">
        <f>$F$1*(Semidetached!H46-Savings_SemiDet!H121)</f>
        <v>5.4093003871632456E-3</v>
      </c>
      <c r="L109" s="556">
        <f>$F$1*(Semidetached!I46-Savings_SemiDet!I121)</f>
        <v>9.3623117419047361E-4</v>
      </c>
      <c r="M109" s="556">
        <f>$F$1*(Semidetached!J46-Savings_SemiDet!J121)</f>
        <v>8.3347262640721075E-4</v>
      </c>
      <c r="N109" s="556">
        <f>$F$1*(Semidetached!K46-Savings_SemiDet!K121)</f>
        <v>5.2802336960138722E-4</v>
      </c>
      <c r="O109" s="556">
        <f>$F$1*(Semidetached!L46-Savings_SemiDet!L121)</f>
        <v>6.3298770494903068E-4</v>
      </c>
      <c r="P109" s="556">
        <f>$F$1*(Semidetached!M46-Savings_SemiDet!M121)</f>
        <v>1.7986518109265317E-3</v>
      </c>
      <c r="Q109" s="556">
        <f>$F$1*(Semidetached!N46-Savings_SemiDet!N121)</f>
        <v>9.8482028857328568E-4</v>
      </c>
      <c r="R109" s="556">
        <f>$F$1*(Semidetached!O46-Savings_SemiDet!O121)</f>
        <v>6.4075133511324342E-4</v>
      </c>
      <c r="S109" s="556">
        <f>$F$1*(Semidetached!P46-Savings_SemiDet!P121)</f>
        <v>1.6306511250576766E-3</v>
      </c>
      <c r="T109" s="556">
        <f>$F$1*(Semidetached!Q46-Savings_SemiDet!Q121)</f>
        <v>6.020463502546293E-4</v>
      </c>
      <c r="U109" s="556">
        <f>$F$1*(Semidetached!R46-Savings_SemiDet!R121)</f>
        <v>7.3327316848081881E-4</v>
      </c>
      <c r="V109" s="556">
        <f>$F$1*(Semidetached!S46-Savings_SemiDet!S121)</f>
        <v>1.4356161411900221E-3</v>
      </c>
      <c r="W109" s="556">
        <f>$F$1*(Semidetached!T46-Savings_SemiDet!T121)</f>
        <v>8.4775227516354701E-4</v>
      </c>
      <c r="X109" s="556">
        <f>$F$1*(Semidetached!U46-Savings_SemiDet!U121)</f>
        <v>5.1580129464134424E-3</v>
      </c>
      <c r="Y109" s="556">
        <f>$F$1*(Semidetached!V46-Savings_SemiDet!V121)</f>
        <v>6.7125155822839308E-4</v>
      </c>
      <c r="Z109" s="556">
        <f>$F$1*(Semidetached!W46-Savings_SemiDet!W121)</f>
        <v>8.3343061833902768E-4</v>
      </c>
      <c r="AA109" s="556">
        <f>$F$1*(Semidetached!X46-Savings_SemiDet!X121)</f>
        <v>6.9686243744088432E-4</v>
      </c>
      <c r="AB109" s="556">
        <f>$F$1*(Semidetached!Y46-Savings_SemiDet!Y121)</f>
        <v>2.1602873950545415E-3</v>
      </c>
      <c r="AC109" s="556">
        <f>$F$1*(Semidetached!Z46-Savings_SemiDet!Z121)</f>
        <v>2.1360238804909466E-3</v>
      </c>
      <c r="AD109" s="556">
        <f>$F$1*(Semidetached!AA46-Savings_SemiDet!AA121)</f>
        <v>9.3499534660281371E-4</v>
      </c>
      <c r="AE109" s="556">
        <f>$F$1*(Semidetached!AB46-Savings_SemiDet!AB121)</f>
        <v>3.398575928232E-3</v>
      </c>
      <c r="AF109" s="556">
        <f>$F$1*(Semidetached!AC46-Savings_SemiDet!AC121)</f>
        <v>3.8858461365854705E-3</v>
      </c>
      <c r="AG109" s="556">
        <f>$F$1*(Semidetached!AD46-Savings_SemiDet!AD121)</f>
        <v>4.0034516478966754E-3</v>
      </c>
      <c r="AH109" s="556">
        <f>$F$1*(Semidetached!AE46-Savings_SemiDet!AE121)</f>
        <v>8.7835523044877903E-4</v>
      </c>
      <c r="AI109" s="556">
        <f>$F$1*(Semidetached!AF46-Savings_SemiDet!AF121)</f>
        <v>5.8501194809951348E-4</v>
      </c>
      <c r="AJ109" s="556">
        <f>$F$1*(Semidetached!AG46-Savings_SemiDet!AG121)</f>
        <v>1.1342537669592674E-3</v>
      </c>
      <c r="AK109" s="556">
        <f>$F$1*(Semidetached!AH46-Savings_SemiDet!AH121)</f>
        <v>1.099280672284611E-3</v>
      </c>
      <c r="AL109" s="556">
        <f>$F$1*(Semidetached!AI46-Savings_SemiDet!AI121)</f>
        <v>1.6287500255238569E-3</v>
      </c>
      <c r="AM109" s="556">
        <f>$F$1*(Semidetached!AJ46-Savings_SemiDet!AJ121)</f>
        <v>1.202706062038745E-3</v>
      </c>
      <c r="AN109" s="556">
        <f>$F$1*(Semidetached!AK46-Savings_SemiDet!AK121)</f>
        <v>1.4635073870534557E-3</v>
      </c>
      <c r="AO109" s="556">
        <f>$F$1*(Semidetached!AL46-Savings_SemiDet!AL121)</f>
        <v>6.6304746546145665E-4</v>
      </c>
      <c r="AP109" s="556">
        <f>$F$1*(Semidetached!AM46-Savings_SemiDet!AM121)</f>
        <v>1.105979188466157E-3</v>
      </c>
      <c r="AQ109" s="556">
        <f>$F$1*(Semidetached!AN46-Savings_SemiDet!AN121)</f>
        <v>1.105979188466157E-3</v>
      </c>
      <c r="AT109" s="5" t="s">
        <v>405</v>
      </c>
    </row>
    <row r="110" spans="1:46">
      <c r="A110" s="5" t="str">
        <f t="shared" si="5"/>
        <v>\I:</v>
      </c>
      <c r="C110" s="5" t="str">
        <f t="shared" si="4"/>
        <v/>
      </c>
      <c r="E110" s="5" t="s">
        <v>623</v>
      </c>
    </row>
    <row r="111" spans="1:46">
      <c r="A111" s="135" t="str">
        <f t="shared" si="5"/>
        <v>\I:</v>
      </c>
      <c r="C111" s="5" t="str">
        <f t="shared" si="4"/>
        <v/>
      </c>
      <c r="E111" s="5" t="s">
        <v>623</v>
      </c>
      <c r="F111" s="135" t="s">
        <v>393</v>
      </c>
      <c r="G111" s="135">
        <f>'Energy Efficiency Measures-DBT'!D16*Semidetached!D15/Semidetached!D5</f>
        <v>21.999999999999993</v>
      </c>
      <c r="H111" s="135">
        <f>'Energy Efficiency Measures-DBT'!E16*Semidetached!E15/Semidetached!E5</f>
        <v>27.500000000000004</v>
      </c>
      <c r="I111" s="135">
        <f>'Energy Efficiency Measures-DBT'!F16*Semidetached!F15/Semidetached!F5</f>
        <v>16.5</v>
      </c>
      <c r="J111" s="135">
        <f>'Energy Efficiency Measures-DBT'!G16*Semidetached!G15/Semidetached!G5</f>
        <v>21.999999999999996</v>
      </c>
      <c r="K111" s="135">
        <f>'Energy Efficiency Measures-DBT'!H16*Semidetached!H15/Semidetached!H5</f>
        <v>30.250000000000004</v>
      </c>
      <c r="L111" s="135">
        <f>'Energy Efficiency Measures-DBT'!I16*Semidetached!I15/Semidetached!I5</f>
        <v>11.000000000000002</v>
      </c>
      <c r="M111" s="135">
        <f>'Energy Efficiency Measures-DBT'!J16*Semidetached!J15/Semidetached!J5</f>
        <v>8.25</v>
      </c>
      <c r="N111" s="135">
        <f>'Energy Efficiency Measures-DBT'!K16*Semidetached!K15/Semidetached!K5</f>
        <v>22.000000000000004</v>
      </c>
      <c r="O111" s="135">
        <f>'Energy Efficiency Measures-DBT'!L16*Semidetached!L15/Semidetached!L5</f>
        <v>16.500000000000004</v>
      </c>
      <c r="P111" s="135">
        <f>'Energy Efficiency Measures-DBT'!M16*Semidetached!M15/Semidetached!M5</f>
        <v>19.250000000000004</v>
      </c>
      <c r="Q111" s="135">
        <f>'Energy Efficiency Measures-DBT'!N16*Semidetached!N15/Semidetached!N5</f>
        <v>27.500000000000007</v>
      </c>
      <c r="R111" s="135">
        <f>'Energy Efficiency Measures-DBT'!O16*Semidetached!O15/Semidetached!O5</f>
        <v>27.500000000000004</v>
      </c>
      <c r="S111" s="135">
        <f>'Energy Efficiency Measures-DBT'!P16*Semidetached!P15/Semidetached!P5</f>
        <v>30.250000000000004</v>
      </c>
      <c r="T111" s="135">
        <f>'Energy Efficiency Measures-DBT'!Q16*Semidetached!Q15/Semidetached!Q5</f>
        <v>16.5</v>
      </c>
      <c r="U111" s="135">
        <f>'Energy Efficiency Measures-DBT'!R16*Semidetached!R15/Semidetached!R5</f>
        <v>16.5</v>
      </c>
      <c r="V111" s="135">
        <f>'Energy Efficiency Measures-DBT'!S16*Semidetached!S15/Semidetached!S5</f>
        <v>27.500000000000004</v>
      </c>
      <c r="W111" s="135">
        <f>'Energy Efficiency Measures-DBT'!T16*Semidetached!T15/Semidetached!T5</f>
        <v>21.999999999999996</v>
      </c>
      <c r="X111" s="135">
        <f>'Energy Efficiency Measures-DBT'!U16*Semidetached!U15/Semidetached!U5</f>
        <v>30.250000000000004</v>
      </c>
      <c r="Y111" s="135">
        <f>'Energy Efficiency Measures-DBT'!V16*Semidetached!V15/Semidetached!V5</f>
        <v>16.500000000000004</v>
      </c>
      <c r="Z111" s="135">
        <f>'Energy Efficiency Measures-DBT'!W16*Semidetached!W15/Semidetached!W5</f>
        <v>22</v>
      </c>
      <c r="AA111" s="135">
        <f>'Energy Efficiency Measures-DBT'!X16*Semidetached!X15/Semidetached!X5</f>
        <v>16.5</v>
      </c>
      <c r="AB111" s="135">
        <f>'Energy Efficiency Measures-DBT'!Y16*Semidetached!Y15/Semidetached!Y5</f>
        <v>30.249999999999996</v>
      </c>
      <c r="AC111" s="135">
        <f>'Energy Efficiency Measures-DBT'!Z16*Semidetached!Z15/Semidetached!Z5</f>
        <v>27.500000000000004</v>
      </c>
      <c r="AD111" s="135">
        <f>'Energy Efficiency Measures-DBT'!AA16*Semidetached!AA15/Semidetached!AA5</f>
        <v>27.5</v>
      </c>
      <c r="AE111" s="135">
        <f>'Energy Efficiency Measures-DBT'!AB16*Semidetached!AB15/Semidetached!AB5</f>
        <v>22.000000000000007</v>
      </c>
      <c r="AF111" s="135">
        <f>'Energy Efficiency Measures-DBT'!AC16*Semidetached!AC15/Semidetached!AC5</f>
        <v>19.250000000000004</v>
      </c>
      <c r="AG111" s="135">
        <f>'Energy Efficiency Measures-DBT'!AD16*Semidetached!AD15/Semidetached!AD5</f>
        <v>22.000000000000004</v>
      </c>
      <c r="AH111" s="135">
        <f>'Energy Efficiency Measures-DBT'!AE16*Semidetached!AE15/Semidetached!AE5</f>
        <v>27.500000000000007</v>
      </c>
      <c r="AI111" s="135">
        <f>'Energy Efficiency Measures-DBT'!AF16*Semidetached!AF15/Semidetached!AF5</f>
        <v>16.5</v>
      </c>
      <c r="AJ111" s="135">
        <f>'Energy Efficiency Measures-DBT'!AG16*Semidetached!AG15/Semidetached!AG5</f>
        <v>11.000000000000002</v>
      </c>
      <c r="AK111" s="135">
        <f>'Energy Efficiency Measures-DBT'!AH16*Semidetached!AH15/Semidetached!AH5</f>
        <v>27.500000000000004</v>
      </c>
      <c r="AL111" s="135">
        <f>'Energy Efficiency Measures-DBT'!AI16*Semidetached!AI15/Semidetached!AI5</f>
        <v>16.5</v>
      </c>
      <c r="AM111" s="135">
        <f>'Energy Efficiency Measures-DBT'!AJ16*Semidetached!AJ15/Semidetached!AJ5</f>
        <v>16.499999999999996</v>
      </c>
      <c r="AN111" s="135">
        <f>'Energy Efficiency Measures-DBT'!AK16*Semidetached!AK15/Semidetached!AK5</f>
        <v>16.500000000000007</v>
      </c>
      <c r="AO111" s="135">
        <f>'Energy Efficiency Measures-DBT'!AL16*Semidetached!AL15/Semidetached!AL5</f>
        <v>16.5</v>
      </c>
      <c r="AP111" s="135">
        <f>'Energy Efficiency Measures-DBT'!AM16*Semidetached!AM15/Semidetached!AM5</f>
        <v>16.5</v>
      </c>
      <c r="AQ111" s="135">
        <f>'Energy Efficiency Measures-DBT'!AN16*Semidetached!AN15/Semidetached!AN5</f>
        <v>16.499999999999996</v>
      </c>
    </row>
    <row r="112" spans="1:46">
      <c r="A112" s="135" t="str">
        <f t="shared" si="5"/>
        <v>\I:</v>
      </c>
      <c r="C112" s="5" t="str">
        <f t="shared" si="4"/>
        <v/>
      </c>
      <c r="E112" s="5" t="s">
        <v>351</v>
      </c>
      <c r="F112" s="135" t="s">
        <v>625</v>
      </c>
      <c r="G112" s="214">
        <f>G111*Semidetached!D5</f>
        <v>13509.941637010672</v>
      </c>
      <c r="H112" s="214">
        <f>H111*Semidetached!E5</f>
        <v>17185.757727499426</v>
      </c>
      <c r="I112" s="214">
        <f>I111*Semidetached!F5</f>
        <v>5419.4056043999999</v>
      </c>
      <c r="J112" s="214">
        <f>J111*Semidetached!G5</f>
        <v>14150.63675819309</v>
      </c>
      <c r="K112" s="214">
        <f>K111*Semidetached!H5</f>
        <v>14779.808400281032</v>
      </c>
      <c r="L112" s="214">
        <f>L111*Semidetached!I5</f>
        <v>5696.2218670897155</v>
      </c>
      <c r="M112" s="214">
        <f>M111*Semidetached!J5</f>
        <v>4735.8282911881197</v>
      </c>
      <c r="N112" s="214">
        <f>N111*Semidetached!K5</f>
        <v>15173.028739867354</v>
      </c>
      <c r="O112" s="214">
        <f>O111*Semidetached!L5</f>
        <v>7212.0142314096929</v>
      </c>
      <c r="P112" s="214">
        <f>P111*Semidetached!M5</f>
        <v>11892.605243239665</v>
      </c>
      <c r="Q112" s="214">
        <f>Q111*Semidetached!N5</f>
        <v>14010.186163189861</v>
      </c>
      <c r="R112" s="214">
        <f>R111*Semidetached!O5</f>
        <v>16265.601238207295</v>
      </c>
      <c r="S112" s="214">
        <f>S111*Semidetached!P5</f>
        <v>9547.1909170141571</v>
      </c>
      <c r="T112" s="214">
        <f>T111*Semidetached!Q5</f>
        <v>5748.9103451789124</v>
      </c>
      <c r="U112" s="214">
        <f>U111*Semidetached!R5</f>
        <v>7798.0587651606675</v>
      </c>
      <c r="V112" s="214">
        <f>V111*Semidetached!S5</f>
        <v>17657.648049917887</v>
      </c>
      <c r="W112" s="214">
        <f>W111*Semidetached!T5</f>
        <v>11338.406034765496</v>
      </c>
      <c r="X112" s="214">
        <f>X111*Semidetached!U5</f>
        <v>18266.902345215763</v>
      </c>
      <c r="Y112" s="214">
        <f>Y111*Semidetached!V5</f>
        <v>8200.9650597087384</v>
      </c>
      <c r="Z112" s="214">
        <f>Z111*Semidetached!W5</f>
        <v>6947.0028967170629</v>
      </c>
      <c r="AA112" s="214">
        <f>AA111*Semidetached!X5</f>
        <v>8063.4509056244042</v>
      </c>
      <c r="AB112" s="214">
        <f>AB111*Semidetached!Y5</f>
        <v>17622.240783683163</v>
      </c>
      <c r="AC112" s="214">
        <f>AC111*Semidetached!Z5</f>
        <v>18189.960021266546</v>
      </c>
      <c r="AD112" s="214">
        <f>AD111*Semidetached!AA5</f>
        <v>18048.319000404699</v>
      </c>
      <c r="AE112" s="214">
        <f>AE111*Semidetached!AB5</f>
        <v>10753.799298685124</v>
      </c>
      <c r="AF112" s="214">
        <f>AF111*Semidetached!AC5</f>
        <v>11775.339465305298</v>
      </c>
      <c r="AG112" s="214">
        <f>AG111*Semidetached!AD5</f>
        <v>8029.3044071935492</v>
      </c>
      <c r="AH112" s="214">
        <f>AH111*Semidetached!AE5</f>
        <v>17601.720222793494</v>
      </c>
      <c r="AI112" s="214">
        <f>AI111*Semidetached!AF5</f>
        <v>7961.1974504743839</v>
      </c>
      <c r="AJ112" s="214">
        <f>AJ111*Semidetached!AG5</f>
        <v>5321.0893821948866</v>
      </c>
      <c r="AK112" s="214">
        <f>AK111*Semidetached!AH5</f>
        <v>12762.068287549848</v>
      </c>
      <c r="AL112" s="214">
        <f>AL111*Semidetached!AI5</f>
        <v>7811.3380230115827</v>
      </c>
      <c r="AM112" s="214">
        <f>AM111*Semidetached!AJ5</f>
        <v>5748.9103451789124</v>
      </c>
      <c r="AN112" s="214">
        <f>AN111*Semidetached!AK5</f>
        <v>7811.3380230115872</v>
      </c>
      <c r="AO112" s="214">
        <f>AO111*Semidetached!AL5</f>
        <v>5858.4447827999993</v>
      </c>
      <c r="AP112" s="214">
        <f>AP111*Semidetached!AM5</f>
        <v>5748.9103451789124</v>
      </c>
      <c r="AQ112" s="214">
        <f>AQ111*Semidetached!AN5</f>
        <v>5748.9103451789124</v>
      </c>
    </row>
    <row r="113" spans="1:46">
      <c r="A113" s="5" t="str">
        <f t="shared" si="5"/>
        <v>OUTPUT</v>
      </c>
      <c r="B113" s="5" t="s">
        <v>617</v>
      </c>
      <c r="C113" s="5" t="str">
        <f t="shared" si="4"/>
        <v>Bldg_SDEPre45-Cei</v>
      </c>
      <c r="D113" s="5" t="s">
        <v>301</v>
      </c>
      <c r="E113" s="5" t="s">
        <v>351</v>
      </c>
      <c r="F113" s="5" t="s">
        <v>606</v>
      </c>
      <c r="G113" s="556">
        <f>$F$1*(Semidetached!D41-Savings_SemiDet!D149)</f>
        <v>7.3318636777012138E-3</v>
      </c>
      <c r="H113" s="556">
        <f>$F$1*(Semidetached!E41-Savings_SemiDet!E149)</f>
        <v>1.359309848198581E-2</v>
      </c>
      <c r="I113" s="556">
        <f>$F$1*(Semidetached!F41-Savings_SemiDet!F149)</f>
        <v>4.2064219316196869E-3</v>
      </c>
      <c r="J113" s="556">
        <f>$F$1*(Semidetached!G41-Savings_SemiDet!G149)</f>
        <v>7.4886860148893957E-3</v>
      </c>
      <c r="K113" s="556">
        <f>$F$1*(Semidetached!H41-Savings_SemiDet!H149)</f>
        <v>5.165982539084916E-3</v>
      </c>
      <c r="L113" s="556">
        <f>$F$1*(Semidetached!I41-Savings_SemiDet!I149)</f>
        <v>6.7748648365868963E-3</v>
      </c>
      <c r="M113" s="556">
        <f>$F$1*(Semidetached!J41-Savings_SemiDet!J149)</f>
        <v>1.4648461026906787E-2</v>
      </c>
      <c r="N113" s="556">
        <f>$F$1*(Semidetached!K41-Savings_SemiDet!K149)</f>
        <v>3.1578447670806702E-3</v>
      </c>
      <c r="O113" s="556">
        <f>$F$1*(Semidetached!L41-Savings_SemiDet!L149)</f>
        <v>3.1005639347656366E-3</v>
      </c>
      <c r="P113" s="556">
        <f>$F$1*(Semidetached!M41-Savings_SemiDet!M149)</f>
        <v>7.4136202452028824E-3</v>
      </c>
      <c r="Q113" s="556">
        <f>$F$1*(Semidetached!N41-Savings_SemiDet!N149)</f>
        <v>3.7712515199207135E-3</v>
      </c>
      <c r="R113" s="556">
        <f>$F$1*(Semidetached!O41-Savings_SemiDet!O149)</f>
        <v>1.4321407196687461E-2</v>
      </c>
      <c r="S113" s="556">
        <f>$F$1*(Semidetached!P41-Savings_SemiDet!P149)</f>
        <v>9.5616580353617871E-3</v>
      </c>
      <c r="T113" s="556">
        <f>$F$1*(Semidetached!Q41-Savings_SemiDet!Q149)</f>
        <v>3.9096191045681142E-3</v>
      </c>
      <c r="U113" s="556">
        <f>$F$1*(Semidetached!R41-Savings_SemiDet!R149)</f>
        <v>6.3499577173013241E-3</v>
      </c>
      <c r="V113" s="556">
        <f>$F$1*(Semidetached!S41-Savings_SemiDet!S149)</f>
        <v>1.8661666860829599E-2</v>
      </c>
      <c r="W113" s="556">
        <f>$F$1*(Semidetached!T41-Savings_SemiDet!T149)</f>
        <v>3.2460752642191983E-3</v>
      </c>
      <c r="X113" s="556">
        <f>$F$1*(Semidetached!U41-Savings_SemiDet!U149)</f>
        <v>9.3293403581648018E-3</v>
      </c>
      <c r="Y113" s="556">
        <f>$F$1*(Semidetached!V41-Savings_SemiDet!V149)</f>
        <v>6.1118117156112699E-3</v>
      </c>
      <c r="Z113" s="556">
        <f>$F$1*(Semidetached!W41-Savings_SemiDet!W149)</f>
        <v>8.7042550131837051E-3</v>
      </c>
      <c r="AA113" s="556">
        <f>$F$1*(Semidetached!X41-Savings_SemiDet!X149)</f>
        <v>9.9894035329497685E-3</v>
      </c>
      <c r="AB113" s="556">
        <f>$F$1*(Semidetached!Y41-Savings_SemiDet!Y149)</f>
        <v>2.4454336897643918E-3</v>
      </c>
      <c r="AC113" s="556">
        <f>$F$1*(Semidetached!Z41-Savings_SemiDet!Z149)</f>
        <v>1.9879182315245675E-2</v>
      </c>
      <c r="AD113" s="556">
        <f>$F$1*(Semidetached!AA41-Savings_SemiDet!AA149)</f>
        <v>5.8108112276053026E-3</v>
      </c>
      <c r="AE113" s="556">
        <f>$F$1*(Semidetached!AB41-Savings_SemiDet!AB149)</f>
        <v>1.3845736790801861E-2</v>
      </c>
      <c r="AF113" s="556">
        <f>$F$1*(Semidetached!AC41-Savings_SemiDet!AC149)</f>
        <v>9.7987419970723376E-3</v>
      </c>
      <c r="AG113" s="556">
        <f>$F$1*(Semidetached!AD41-Savings_SemiDet!AD149)</f>
        <v>6.0279619857071011E-3</v>
      </c>
      <c r="AH113" s="556">
        <f>$F$1*(Semidetached!AE41-Savings_SemiDet!AE149)</f>
        <v>5.4590877250014552E-3</v>
      </c>
      <c r="AI113" s="556">
        <f>$F$1*(Semidetached!AF41-Savings_SemiDet!AF149)</f>
        <v>6.8385603868191501E-3</v>
      </c>
      <c r="AJ113" s="556">
        <f>$F$1*(Semidetached!AG41-Savings_SemiDet!AG149)</f>
        <v>1.3266580832214683E-2</v>
      </c>
      <c r="AK113" s="556">
        <f>$F$1*(Semidetached!AH41-Savings_SemiDet!AH149)</f>
        <v>1.4301136719932975E-2</v>
      </c>
      <c r="AL113" s="556">
        <f>$F$1*(Semidetached!AI41-Savings_SemiDet!AI149)</f>
        <v>9.5560388408535892E-3</v>
      </c>
      <c r="AM113" s="556">
        <f>$F$1*(Semidetached!AJ41-Savings_SemiDet!AJ149)</f>
        <v>4.498247388423738E-3</v>
      </c>
      <c r="AN113" s="556">
        <f>$F$1*(Semidetached!AK41-Savings_SemiDet!AK149)</f>
        <v>5.4721121514364887E-3</v>
      </c>
      <c r="AO113" s="556">
        <f>$F$1*(Semidetached!AL41-Savings_SemiDet!AL149)</f>
        <v>4.5560121622429933E-3</v>
      </c>
      <c r="AP113" s="556">
        <f>$F$1*(Semidetached!AM41-Savings_SemiDet!AM149)</f>
        <v>4.1364786901761166E-3</v>
      </c>
      <c r="AQ113" s="556">
        <f>$F$1*(Semidetached!AN41-Savings_SemiDet!AN149)</f>
        <v>4.1364786901761166E-3</v>
      </c>
      <c r="AT113" s="5" t="s">
        <v>351</v>
      </c>
    </row>
    <row r="114" spans="1:46">
      <c r="A114" s="5" t="str">
        <f t="shared" si="5"/>
        <v>OUTPUT</v>
      </c>
      <c r="B114" s="5" t="s">
        <v>617</v>
      </c>
      <c r="C114" s="5" t="str">
        <f t="shared" si="4"/>
        <v>Bldg_SDEPre69-Cei</v>
      </c>
      <c r="D114" s="5" t="s">
        <v>301</v>
      </c>
      <c r="E114" s="5" t="s">
        <v>352</v>
      </c>
      <c r="F114" s="5" t="s">
        <v>606</v>
      </c>
      <c r="G114" s="556">
        <f>$F$1*(Semidetached!D42-Savings_SemiDet!D150)</f>
        <v>5.7714087456820504E-3</v>
      </c>
      <c r="H114" s="556">
        <f>$F$1*(Semidetached!E42-Savings_SemiDet!E150)</f>
        <v>1.359309848198581E-2</v>
      </c>
      <c r="I114" s="556">
        <f>$F$1*(Semidetached!F42-Savings_SemiDet!F150)</f>
        <v>4.2064219316196869E-3</v>
      </c>
      <c r="J114" s="556">
        <f>$F$1*(Semidetached!G42-Savings_SemiDet!G150)</f>
        <v>5.8937626769332936E-3</v>
      </c>
      <c r="K114" s="556">
        <f>$F$1*(Semidetached!H42-Savings_SemiDet!H150)</f>
        <v>5.2260646527942474E-3</v>
      </c>
      <c r="L114" s="556">
        <f>$F$1*(Semidetached!I42-Savings_SemiDet!I150)</f>
        <v>3.8454273398801468E-3</v>
      </c>
      <c r="M114" s="556">
        <f>$F$1*(Semidetached!J42-Savings_SemiDet!J150)</f>
        <v>1.4348581830375262E-2</v>
      </c>
      <c r="N114" s="556">
        <f>$F$1*(Semidetached!K42-Savings_SemiDet!K150)</f>
        <v>2.5772734027622144E-3</v>
      </c>
      <c r="O114" s="556">
        <f>$F$1*(Semidetached!L42-Savings_SemiDet!L150)</f>
        <v>3.1005639347656366E-3</v>
      </c>
      <c r="P114" s="556">
        <f>$F$1*(Semidetached!M42-Savings_SemiDet!M150)</f>
        <v>5.6910879784441608E-3</v>
      </c>
      <c r="Q114" s="556">
        <f>$F$1*(Semidetached!N42-Savings_SemiDet!N150)</f>
        <v>3.5794231551448492E-3</v>
      </c>
      <c r="R114" s="556">
        <f>$F$1*(Semidetached!O42-Savings_SemiDet!O150)</f>
        <v>1.4321407196687461E-2</v>
      </c>
      <c r="S114" s="556">
        <f>$F$1*(Semidetached!P42-Savings_SemiDet!P150)</f>
        <v>9.5616580353617871E-3</v>
      </c>
      <c r="T114" s="556">
        <f>$F$1*(Semidetached!Q42-Savings_SemiDet!Q150)</f>
        <v>3.8686082123158654E-3</v>
      </c>
      <c r="U114" s="556">
        <f>$F$1*(Semidetached!R42-Savings_SemiDet!R150)</f>
        <v>6.3499577173013241E-3</v>
      </c>
      <c r="V114" s="556">
        <f>$F$1*(Semidetached!S42-Savings_SemiDet!S150)</f>
        <v>1.9753870175708906E-2</v>
      </c>
      <c r="W114" s="556">
        <f>$F$1*(Semidetached!T42-Savings_SemiDet!T150)</f>
        <v>3.0811571004455843E-3</v>
      </c>
      <c r="X114" s="556">
        <f>$F$1*(Semidetached!U42-Savings_SemiDet!U150)</f>
        <v>8.8889044971542704E-3</v>
      </c>
      <c r="Y114" s="556">
        <f>$F$1*(Semidetached!V42-Savings_SemiDet!V150)</f>
        <v>6.1118117156112699E-3</v>
      </c>
      <c r="Z114" s="556">
        <f>$F$1*(Semidetached!W42-Savings_SemiDet!W150)</f>
        <v>5.070085811908636E-3</v>
      </c>
      <c r="AA114" s="556">
        <f>$F$1*(Semidetached!X42-Savings_SemiDet!X150)</f>
        <v>1.0005879872068872E-2</v>
      </c>
      <c r="AB114" s="556">
        <f>$F$1*(Semidetached!Y42-Savings_SemiDet!Y150)</f>
        <v>2.417345415789193E-3</v>
      </c>
      <c r="AC114" s="556">
        <f>$F$1*(Semidetached!Z42-Savings_SemiDet!Z150)</f>
        <v>9.0313754910650024E-3</v>
      </c>
      <c r="AD114" s="556">
        <f>$F$1*(Semidetached!AA42-Savings_SemiDet!AA150)</f>
        <v>5.8140513956265617E-3</v>
      </c>
      <c r="AE114" s="556">
        <f>$F$1*(Semidetached!AB42-Savings_SemiDet!AB150)</f>
        <v>5.6368173891465385E-3</v>
      </c>
      <c r="AF114" s="556">
        <f>$F$1*(Semidetached!AC42-Savings_SemiDet!AC150)</f>
        <v>9.2609350924618677E-3</v>
      </c>
      <c r="AG114" s="556">
        <f>$F$1*(Semidetached!AD42-Savings_SemiDet!AD150)</f>
        <v>5.6344335699090873E-3</v>
      </c>
      <c r="AH114" s="556">
        <f>$F$1*(Semidetached!AE42-Savings_SemiDet!AE150)</f>
        <v>5.4621750590509496E-3</v>
      </c>
      <c r="AI114" s="556">
        <f>$F$1*(Semidetached!AF42-Savings_SemiDet!AF150)</f>
        <v>6.8385603868191501E-3</v>
      </c>
      <c r="AJ114" s="556">
        <f>$F$1*(Semidetached!AG42-Savings_SemiDet!AG150)</f>
        <v>9.8564200058964858E-3</v>
      </c>
      <c r="AK114" s="556">
        <f>$F$1*(Semidetached!AH42-Savings_SemiDet!AH150)</f>
        <v>1.5029889587267149E-2</v>
      </c>
      <c r="AL114" s="556">
        <f>$F$1*(Semidetached!AI42-Savings_SemiDet!AI150)</f>
        <v>9.5560388408535892E-3</v>
      </c>
      <c r="AM114" s="556">
        <f>$F$1*(Semidetached!AJ42-Savings_SemiDet!AJ150)</f>
        <v>4.498247388423738E-3</v>
      </c>
      <c r="AN114" s="556">
        <f>$F$1*(Semidetached!AK42-Savings_SemiDet!AK150)</f>
        <v>5.4721121514364887E-3</v>
      </c>
      <c r="AO114" s="556">
        <f>$F$1*(Semidetached!AL42-Savings_SemiDet!AL150)</f>
        <v>4.5560121622429933E-3</v>
      </c>
      <c r="AP114" s="556">
        <f>$F$1*(Semidetached!AM42-Savings_SemiDet!AM150)</f>
        <v>4.1364786901761166E-3</v>
      </c>
      <c r="AQ114" s="556">
        <f>$F$1*(Semidetached!AN42-Savings_SemiDet!AN150)</f>
        <v>4.1364786901761166E-3</v>
      </c>
      <c r="AT114" s="5" t="s">
        <v>352</v>
      </c>
    </row>
    <row r="115" spans="1:46">
      <c r="A115" s="5" t="str">
        <f t="shared" si="5"/>
        <v>OUTPUT</v>
      </c>
      <c r="B115" s="5" t="s">
        <v>617</v>
      </c>
      <c r="C115" s="5" t="str">
        <f t="shared" si="4"/>
        <v>Bldg_SDEPre79-Cei</v>
      </c>
      <c r="D115" s="5" t="s">
        <v>301</v>
      </c>
      <c r="E115" s="5" t="s">
        <v>353</v>
      </c>
      <c r="F115" s="5" t="s">
        <v>606</v>
      </c>
      <c r="G115" s="556">
        <f>$F$1*(Semidetached!D43-Savings_SemiDet!D151)</f>
        <v>3.0761808962065122E-3</v>
      </c>
      <c r="H115" s="556">
        <f>$F$1*(Semidetached!E43-Savings_SemiDet!E151)</f>
        <v>1.359309848198581E-2</v>
      </c>
      <c r="I115" s="556">
        <f>$F$1*(Semidetached!F43-Savings_SemiDet!F151)</f>
        <v>3.8536197447236842E-3</v>
      </c>
      <c r="J115" s="556">
        <f>$F$1*(Semidetached!G43-Savings_SemiDet!G151)</f>
        <v>3.1419336773052986E-3</v>
      </c>
      <c r="K115" s="556">
        <f>$F$1*(Semidetached!H43-Savings_SemiDet!H151)</f>
        <v>5.2274246471939716E-3</v>
      </c>
      <c r="L115" s="556">
        <f>$F$1*(Semidetached!I43-Savings_SemiDet!I151)</f>
        <v>3.8454273398801468E-3</v>
      </c>
      <c r="M115" s="556">
        <f>$F$1*(Semidetached!J43-Savings_SemiDet!J151)</f>
        <v>3.8171305489708859E-3</v>
      </c>
      <c r="N115" s="556">
        <f>$F$1*(Semidetached!K43-Savings_SemiDet!K151)</f>
        <v>1.7268416960289031E-3</v>
      </c>
      <c r="O115" s="556">
        <f>$F$1*(Semidetached!L43-Savings_SemiDet!L151)</f>
        <v>2.1819513452439186E-3</v>
      </c>
      <c r="P115" s="556">
        <f>$F$1*(Semidetached!M43-Savings_SemiDet!M151)</f>
        <v>5.6910879784441608E-3</v>
      </c>
      <c r="Q115" s="556">
        <f>$F$1*(Semidetached!N43-Savings_SemiDet!N151)</f>
        <v>2.5120791091139717E-3</v>
      </c>
      <c r="R115" s="556">
        <f>$F$1*(Semidetached!O43-Savings_SemiDet!O151)</f>
        <v>2.3654006043577294E-3</v>
      </c>
      <c r="S115" s="556">
        <f>$F$1*(Semidetached!P43-Savings_SemiDet!P151)</f>
        <v>9.5616580353617871E-3</v>
      </c>
      <c r="T115" s="556">
        <f>$F$1*(Semidetached!Q43-Savings_SemiDet!Q151)</f>
        <v>4.0378485361486117E-3</v>
      </c>
      <c r="U115" s="556">
        <f>$F$1*(Semidetached!R43-Savings_SemiDet!R151)</f>
        <v>4.5966841146090238E-3</v>
      </c>
      <c r="V115" s="556">
        <f>$F$1*(Semidetached!S43-Savings_SemiDet!S151)</f>
        <v>8.9422531905981959E-3</v>
      </c>
      <c r="W115" s="556">
        <f>$F$1*(Semidetached!T43-Savings_SemiDet!T151)</f>
        <v>2.1624516672488756E-3</v>
      </c>
      <c r="X115" s="556">
        <f>$F$1*(Semidetached!U43-Savings_SemiDet!U151)</f>
        <v>8.4571691438261095E-3</v>
      </c>
      <c r="Y115" s="556">
        <f>$F$1*(Semidetached!V43-Savings_SemiDet!V151)</f>
        <v>3.0730296806671573E-3</v>
      </c>
      <c r="Z115" s="556">
        <f>$F$1*(Semidetached!W43-Savings_SemiDet!W151)</f>
        <v>3.0910256613316013E-3</v>
      </c>
      <c r="AA115" s="556">
        <f>$F$1*(Semidetached!X43-Savings_SemiDet!X151)</f>
        <v>8.1421643359904112E-3</v>
      </c>
      <c r="AB115" s="556">
        <f>$F$1*(Semidetached!Y43-Savings_SemiDet!Y151)</f>
        <v>2.4942210793382747E-3</v>
      </c>
      <c r="AC115" s="556">
        <f>$F$1*(Semidetached!Z43-Savings_SemiDet!Z151)</f>
        <v>9.1095915139415892E-3</v>
      </c>
      <c r="AD115" s="556">
        <f>$F$1*(Semidetached!AA43-Savings_SemiDet!AA151)</f>
        <v>1.5942814705257268E-3</v>
      </c>
      <c r="AE115" s="556">
        <f>$F$1*(Semidetached!AB43-Savings_SemiDet!AB151)</f>
        <v>3.5343073503024628E-3</v>
      </c>
      <c r="AF115" s="556">
        <f>$F$1*(Semidetached!AC43-Savings_SemiDet!AC151)</f>
        <v>8.5881227289313286E-3</v>
      </c>
      <c r="AG115" s="556">
        <f>$F$1*(Semidetached!AD43-Savings_SemiDet!AD151)</f>
        <v>5.6344335699090873E-3</v>
      </c>
      <c r="AH115" s="556">
        <f>$F$1*(Semidetached!AE43-Savings_SemiDet!AE151)</f>
        <v>1.4973905402069277E-3</v>
      </c>
      <c r="AI115" s="556">
        <f>$F$1*(Semidetached!AF43-Savings_SemiDet!AF151)</f>
        <v>4.9057384187365842E-3</v>
      </c>
      <c r="AJ115" s="556">
        <f>$F$1*(Semidetached!AG43-Savings_SemiDet!AG151)</f>
        <v>9.8564200058964858E-3</v>
      </c>
      <c r="AK115" s="556">
        <f>$F$1*(Semidetached!AH43-Savings_SemiDet!AH151)</f>
        <v>6.9327906995331357E-3</v>
      </c>
      <c r="AL115" s="556">
        <f>$F$1*(Semidetached!AI43-Savings_SemiDet!AI151)</f>
        <v>9.5560388408535892E-3</v>
      </c>
      <c r="AM115" s="556">
        <f>$F$1*(Semidetached!AJ43-Savings_SemiDet!AJ151)</f>
        <v>4.498247388423738E-3</v>
      </c>
      <c r="AN115" s="556">
        <f>$F$1*(Semidetached!AK43-Savings_SemiDet!AK151)</f>
        <v>5.4721121514364887E-3</v>
      </c>
      <c r="AO115" s="556">
        <f>$F$1*(Semidetached!AL43-Savings_SemiDet!AL151)</f>
        <v>4.1742541279797879E-3</v>
      </c>
      <c r="AP115" s="556">
        <f>$F$1*(Semidetached!AM43-Savings_SemiDet!AM151)</f>
        <v>4.1364786901761166E-3</v>
      </c>
      <c r="AQ115" s="556">
        <f>$F$1*(Semidetached!AN43-Savings_SemiDet!AN151)</f>
        <v>4.1364786901761166E-3</v>
      </c>
      <c r="AT115" s="5" t="s">
        <v>353</v>
      </c>
    </row>
    <row r="116" spans="1:46">
      <c r="A116" s="5" t="str">
        <f t="shared" si="5"/>
        <v>OUTPUT</v>
      </c>
      <c r="B116" s="5" t="s">
        <v>617</v>
      </c>
      <c r="C116" s="5" t="str">
        <f t="shared" si="4"/>
        <v>Bldg_SDEPre89-Cei</v>
      </c>
      <c r="D116" s="5" t="s">
        <v>301</v>
      </c>
      <c r="E116" s="5" t="s">
        <v>354</v>
      </c>
      <c r="F116" s="5" t="s">
        <v>606</v>
      </c>
      <c r="G116" s="556">
        <f>$F$1*(Semidetached!D44-Savings_SemiDet!D152)</f>
        <v>1.858751262427053E-3</v>
      </c>
      <c r="H116" s="556">
        <f>$F$1*(Semidetached!E44-Savings_SemiDet!E152)</f>
        <v>9.437342197075909E-3</v>
      </c>
      <c r="I116" s="556">
        <f>$F$1*(Semidetached!F44-Savings_SemiDet!F152)</f>
        <v>3.6853921528526333E-3</v>
      </c>
      <c r="J116" s="556">
        <f>$F$1*(Semidetached!G44-Savings_SemiDet!G152)</f>
        <v>1.8988942062391149E-3</v>
      </c>
      <c r="K116" s="556">
        <f>$F$1*(Semidetached!H44-Savings_SemiDet!H152)</f>
        <v>5.2680178025046372E-3</v>
      </c>
      <c r="L116" s="556">
        <f>$F$1*(Semidetached!I44-Savings_SemiDet!I152)</f>
        <v>3.086419446116749E-3</v>
      </c>
      <c r="M116" s="556">
        <f>$F$1*(Semidetached!J44-Savings_SemiDet!J152)</f>
        <v>1.5611604525260475E-3</v>
      </c>
      <c r="N116" s="556">
        <f>$F$1*(Semidetached!K44-Savings_SemiDet!K152)</f>
        <v>1.3851513845222186E-3</v>
      </c>
      <c r="O116" s="556">
        <f>$F$1*(Semidetached!L44-Savings_SemiDet!L152)</f>
        <v>1.210942086213548E-3</v>
      </c>
      <c r="P116" s="556">
        <f>$F$1*(Semidetached!M44-Savings_SemiDet!M152)</f>
        <v>4.2580860475664424E-3</v>
      </c>
      <c r="Q116" s="556">
        <f>$F$1*(Semidetached!N44-Savings_SemiDet!N152)</f>
        <v>1.7767196242446557E-3</v>
      </c>
      <c r="R116" s="556">
        <f>$F$1*(Semidetached!O44-Savings_SemiDet!O152)</f>
        <v>1.5038812327604336E-3</v>
      </c>
      <c r="S116" s="556">
        <f>$F$1*(Semidetached!P44-Savings_SemiDet!P152)</f>
        <v>9.6265909762776256E-3</v>
      </c>
      <c r="T116" s="556">
        <f>$F$1*(Semidetached!Q44-Savings_SemiDet!Q152)</f>
        <v>4.0378485361486117E-3</v>
      </c>
      <c r="U116" s="556">
        <f>$F$1*(Semidetached!R44-Savings_SemiDet!R152)</f>
        <v>2.9024728086059974E-3</v>
      </c>
      <c r="V116" s="556">
        <f>$F$1*(Semidetached!S44-Savings_SemiDet!S152)</f>
        <v>2.6626094319369968E-3</v>
      </c>
      <c r="W116" s="556">
        <f>$F$1*(Semidetached!T44-Savings_SemiDet!T152)</f>
        <v>1.5294284377890743E-3</v>
      </c>
      <c r="X116" s="556">
        <f>$F$1*(Semidetached!U44-Savings_SemiDet!U152)</f>
        <v>6.6251556535239864E-3</v>
      </c>
      <c r="Y116" s="556">
        <f>$F$1*(Semidetached!V44-Savings_SemiDet!V152)</f>
        <v>3.0730296806671573E-3</v>
      </c>
      <c r="Z116" s="556">
        <f>$F$1*(Semidetached!W44-Savings_SemiDet!W152)</f>
        <v>1.6092146672568516E-3</v>
      </c>
      <c r="AA116" s="556">
        <f>$F$1*(Semidetached!X44-Savings_SemiDet!X152)</f>
        <v>3.7296736245001857E-3</v>
      </c>
      <c r="AB116" s="556">
        <f>$F$1*(Semidetached!Y44-Savings_SemiDet!Y152)</f>
        <v>2.5482803160578175E-3</v>
      </c>
      <c r="AC116" s="556">
        <f>$F$1*(Semidetached!Z44-Savings_SemiDet!Z152)</f>
        <v>4.6337791931220819E-3</v>
      </c>
      <c r="AD116" s="556">
        <f>$F$1*(Semidetached!AA44-Savings_SemiDet!AA152)</f>
        <v>1.5974387141608651E-3</v>
      </c>
      <c r="AE116" s="556">
        <f>$F$1*(Semidetached!AB44-Savings_SemiDet!AB152)</f>
        <v>3.5343073503024628E-3</v>
      </c>
      <c r="AF116" s="556">
        <f>$F$1*(Semidetached!AC44-Savings_SemiDet!AC152)</f>
        <v>8.2808428087998796E-3</v>
      </c>
      <c r="AG116" s="556">
        <f>$F$1*(Semidetached!AD44-Savings_SemiDet!AD152)</f>
        <v>5.2874678012789179E-3</v>
      </c>
      <c r="AH116" s="556">
        <f>$F$1*(Semidetached!AE44-Savings_SemiDet!AE152)</f>
        <v>1.5003934417742897E-3</v>
      </c>
      <c r="AI116" s="556">
        <f>$F$1*(Semidetached!AF44-Savings_SemiDet!AF152)</f>
        <v>4.451512294848841E-3</v>
      </c>
      <c r="AJ116" s="556">
        <f>$F$1*(Semidetached!AG44-Savings_SemiDet!AG152)</f>
        <v>6.2607812028608245E-3</v>
      </c>
      <c r="AK116" s="556">
        <f>$F$1*(Semidetached!AH44-Savings_SemiDet!AH152)</f>
        <v>3.4368469173869805E-3</v>
      </c>
      <c r="AL116" s="556">
        <f>$F$1*(Semidetached!AI44-Savings_SemiDet!AI152)</f>
        <v>9.6232247184069881E-3</v>
      </c>
      <c r="AM116" s="556">
        <f>$F$1*(Semidetached!AJ44-Savings_SemiDet!AJ152)</f>
        <v>2.7026481505793339E-3</v>
      </c>
      <c r="AN116" s="556">
        <f>$F$1*(Semidetached!AK44-Savings_SemiDet!AK152)</f>
        <v>3.2900200317411634E-3</v>
      </c>
      <c r="AO116" s="556">
        <f>$F$1*(Semidetached!AL44-Savings_SemiDet!AL152)</f>
        <v>3.9931636032137958E-3</v>
      </c>
      <c r="AP116" s="556">
        <f>$F$1*(Semidetached!AM44-Savings_SemiDet!AM152)</f>
        <v>2.4852893841911948E-3</v>
      </c>
      <c r="AQ116" s="556">
        <f>$F$1*(Semidetached!AN44-Savings_SemiDet!AN152)</f>
        <v>2.4852893841911948E-3</v>
      </c>
      <c r="AT116" s="5" t="s">
        <v>354</v>
      </c>
    </row>
    <row r="117" spans="1:46">
      <c r="A117" s="5" t="str">
        <f t="shared" si="5"/>
        <v>OUTPUT</v>
      </c>
      <c r="B117" s="5" t="s">
        <v>617</v>
      </c>
      <c r="C117" s="5" t="str">
        <f t="shared" si="4"/>
        <v>Bldg_SDEPre99-Cei</v>
      </c>
      <c r="D117" s="5" t="s">
        <v>301</v>
      </c>
      <c r="E117" s="5" t="s">
        <v>355</v>
      </c>
      <c r="F117" s="5" t="s">
        <v>606</v>
      </c>
      <c r="G117" s="556">
        <f>$F$1*(Semidetached!D45-Savings_SemiDet!D153)</f>
        <v>1.9163238393472796E-3</v>
      </c>
      <c r="H117" s="556">
        <f>$F$1*(Semidetached!E45-Savings_SemiDet!E153)</f>
        <v>9.437342197075909E-3</v>
      </c>
      <c r="I117" s="556">
        <f>$F$1*(Semidetached!F45-Savings_SemiDet!F153)</f>
        <v>1.4844772471192514E-3</v>
      </c>
      <c r="J117" s="556">
        <f>$F$1*(Semidetached!G45-Savings_SemiDet!G153)</f>
        <v>1.9576338149095672E-3</v>
      </c>
      <c r="K117" s="556">
        <f>$F$1*(Semidetached!H45-Savings_SemiDet!H153)</f>
        <v>5.3620136863729694E-3</v>
      </c>
      <c r="L117" s="556">
        <f>$F$1*(Semidetached!I45-Savings_SemiDet!I153)</f>
        <v>1.9800320278863751E-3</v>
      </c>
      <c r="M117" s="556">
        <f>$F$1*(Semidetached!J45-Savings_SemiDet!J153)</f>
        <v>1.0041002252236943E-3</v>
      </c>
      <c r="N117" s="556">
        <f>$F$1*(Semidetached!K45-Savings_SemiDet!K153)</f>
        <v>1.3851513845222186E-3</v>
      </c>
      <c r="O117" s="556">
        <f>$F$1*(Semidetached!L45-Savings_SemiDet!L153)</f>
        <v>8.2517518196317504E-4</v>
      </c>
      <c r="P117" s="556">
        <f>$F$1*(Semidetached!M45-Savings_SemiDet!M153)</f>
        <v>4.2580860475664424E-3</v>
      </c>
      <c r="Q117" s="556">
        <f>$F$1*(Semidetached!N45-Savings_SemiDet!N153)</f>
        <v>1.720632842798647E-3</v>
      </c>
      <c r="R117" s="556">
        <f>$F$1*(Semidetached!O45-Savings_SemiDet!O153)</f>
        <v>8.8064405867477162E-4</v>
      </c>
      <c r="S117" s="556">
        <f>$F$1*(Semidetached!P45-Savings_SemiDet!P153)</f>
        <v>9.6265909762776256E-3</v>
      </c>
      <c r="T117" s="556">
        <f>$F$1*(Semidetached!Q45-Savings_SemiDet!Q153)</f>
        <v>2.2650957776161988E-3</v>
      </c>
      <c r="U117" s="556">
        <f>$F$1*(Semidetached!R45-Savings_SemiDet!R153)</f>
        <v>2.9024728086059974E-3</v>
      </c>
      <c r="V117" s="556">
        <f>$F$1*(Semidetached!S45-Savings_SemiDet!S153)</f>
        <v>2.7440159483025032E-3</v>
      </c>
      <c r="W117" s="556">
        <f>$F$1*(Semidetached!T45-Savings_SemiDet!T153)</f>
        <v>1.4811589812023928E-3</v>
      </c>
      <c r="X117" s="556">
        <f>$F$1*(Semidetached!U45-Savings_SemiDet!U153)</f>
        <v>5.6009785867603794E-3</v>
      </c>
      <c r="Y117" s="556">
        <f>$F$1*(Semidetached!V45-Savings_SemiDet!V153)</f>
        <v>3.0730296806671573E-3</v>
      </c>
      <c r="Z117" s="556">
        <f>$F$1*(Semidetached!W45-Savings_SemiDet!W153)</f>
        <v>1.1944556021877043E-3</v>
      </c>
      <c r="AA117" s="556">
        <f>$F$1*(Semidetached!X45-Savings_SemiDet!X153)</f>
        <v>3.239407662180162E-3</v>
      </c>
      <c r="AB117" s="556">
        <f>$F$1*(Semidetached!Y45-Savings_SemiDet!Y153)</f>
        <v>2.2829111485323165E-3</v>
      </c>
      <c r="AC117" s="556">
        <f>$F$1*(Semidetached!Z45-Savings_SemiDet!Z153)</f>
        <v>3.865914061349186E-3</v>
      </c>
      <c r="AD117" s="556">
        <f>$F$1*(Semidetached!AA45-Savings_SemiDet!AA153)</f>
        <v>1.2139319441550091E-3</v>
      </c>
      <c r="AE117" s="556">
        <f>$F$1*(Semidetached!AB45-Savings_SemiDet!AB153)</f>
        <v>3.5343073503024628E-3</v>
      </c>
      <c r="AF117" s="556">
        <f>$F$1*(Semidetached!AC45-Savings_SemiDet!AC153)</f>
        <v>7.6916383652037143E-3</v>
      </c>
      <c r="AG117" s="556">
        <f>$F$1*(Semidetached!AD45-Savings_SemiDet!AD153)</f>
        <v>5.2874678012789179E-3</v>
      </c>
      <c r="AH117" s="556">
        <f>$F$1*(Semidetached!AE45-Savings_SemiDet!AE153)</f>
        <v>1.1401136007356564E-3</v>
      </c>
      <c r="AI117" s="556">
        <f>$F$1*(Semidetached!AF45-Savings_SemiDet!AF153)</f>
        <v>2.2283040963718983E-3</v>
      </c>
      <c r="AJ117" s="556">
        <f>$F$1*(Semidetached!AG45-Savings_SemiDet!AG153)</f>
        <v>3.7120813846780801E-3</v>
      </c>
      <c r="AK117" s="556">
        <f>$F$1*(Semidetached!AH45-Savings_SemiDet!AH153)</f>
        <v>2.0195231533458795E-3</v>
      </c>
      <c r="AL117" s="556">
        <f>$F$1*(Semidetached!AI45-Savings_SemiDet!AI153)</f>
        <v>9.6232247184069881E-3</v>
      </c>
      <c r="AM117" s="556">
        <f>$F$1*(Semidetached!AJ45-Savings_SemiDet!AJ153)</f>
        <v>2.0475489640742806E-3</v>
      </c>
      <c r="AN117" s="556">
        <f>$F$1*(Semidetached!AK45-Savings_SemiDet!AK153)</f>
        <v>2.4936356396074635E-3</v>
      </c>
      <c r="AO117" s="556">
        <f>$F$1*(Semidetached!AL45-Savings_SemiDet!AL153)</f>
        <v>1.6094725907337855E-3</v>
      </c>
      <c r="AP117" s="556">
        <f>$F$1*(Semidetached!AM45-Savings_SemiDet!AM153)</f>
        <v>1.8828761349991819E-3</v>
      </c>
      <c r="AQ117" s="556">
        <f>$F$1*(Semidetached!AN45-Savings_SemiDet!AN153)</f>
        <v>1.8828761349991819E-3</v>
      </c>
      <c r="AT117" s="5" t="s">
        <v>355</v>
      </c>
    </row>
    <row r="118" spans="1:46">
      <c r="A118" s="5" t="str">
        <f t="shared" si="5"/>
        <v>OUTPUT</v>
      </c>
      <c r="B118" s="5" t="s">
        <v>617</v>
      </c>
      <c r="C118" s="5" t="str">
        <f t="shared" si="4"/>
        <v>Bldg_SDEPre09-Cei</v>
      </c>
      <c r="D118" s="5" t="s">
        <v>301</v>
      </c>
      <c r="E118" s="5" t="s">
        <v>356</v>
      </c>
      <c r="F118" s="5" t="s">
        <v>606</v>
      </c>
      <c r="G118" s="556">
        <f>$F$1*(Semidetached!D46-Savings_SemiDet!D154)</f>
        <v>1.2288812951775762E-3</v>
      </c>
      <c r="H118" s="556">
        <f>$F$1*(Semidetached!E46-Savings_SemiDet!E154)</f>
        <v>3.6072590281171386E-3</v>
      </c>
      <c r="I118" s="556">
        <f>$F$1*(Semidetached!F46-Savings_SemiDet!F154)</f>
        <v>7.5630331302789522E-4</v>
      </c>
      <c r="J118" s="556">
        <f>$F$1*(Semidetached!G46-Savings_SemiDet!G154)</f>
        <v>1.2555732636942249E-3</v>
      </c>
      <c r="K118" s="556">
        <f>$F$1*(Semidetached!H46-Savings_SemiDet!H154)</f>
        <v>5.6151504462308779E-3</v>
      </c>
      <c r="L118" s="556">
        <f>$F$1*(Semidetached!I46-Savings_SemiDet!I154)</f>
        <v>1.1840309014313271E-3</v>
      </c>
      <c r="M118" s="556">
        <f>$F$1*(Semidetached!J46-Savings_SemiDet!J154)</f>
        <v>1.0631619887149812E-3</v>
      </c>
      <c r="N118" s="556">
        <f>$F$1*(Semidetached!K46-Savings_SemiDet!K154)</f>
        <v>7.0247128110559039E-4</v>
      </c>
      <c r="O118" s="556">
        <f>$F$1*(Semidetached!L46-Savings_SemiDet!L154)</f>
        <v>8.2517518196317504E-4</v>
      </c>
      <c r="P118" s="556">
        <f>$F$1*(Semidetached!M46-Savings_SemiDet!M154)</f>
        <v>2.099034227919155E-3</v>
      </c>
      <c r="Q118" s="556">
        <f>$F$1*(Semidetached!N46-Savings_SemiDet!N154)</f>
        <v>1.2802716719972262E-3</v>
      </c>
      <c r="R118" s="556">
        <f>$F$1*(Semidetached!O46-Savings_SemiDet!O154)</f>
        <v>8.178238806957961E-4</v>
      </c>
      <c r="S118" s="556">
        <f>$F$1*(Semidetached!P46-Savings_SemiDet!P154)</f>
        <v>1.870907177078831E-3</v>
      </c>
      <c r="T118" s="556">
        <f>$F$1*(Semidetached!Q46-Savings_SemiDet!Q154)</f>
        <v>7.4709588344857723E-4</v>
      </c>
      <c r="U118" s="556">
        <f>$F$1*(Semidetached!R46-Savings_SemiDet!R154)</f>
        <v>9.2352002526927229E-4</v>
      </c>
      <c r="V118" s="556">
        <f>$F$1*(Semidetached!S46-Savings_SemiDet!S154)</f>
        <v>1.7704484459207281E-3</v>
      </c>
      <c r="W118" s="556">
        <f>$F$1*(Semidetached!T46-Savings_SemiDet!T154)</f>
        <v>1.1020887763868259E-3</v>
      </c>
      <c r="X118" s="556">
        <f>$F$1*(Semidetached!U46-Savings_SemiDet!U154)</f>
        <v>5.6363861458095937E-3</v>
      </c>
      <c r="Y118" s="556">
        <f>$F$1*(Semidetached!V46-Savings_SemiDet!V154)</f>
        <v>8.7261472438889811E-4</v>
      </c>
      <c r="Z118" s="556">
        <f>$F$1*(Semidetached!W46-Savings_SemiDet!W154)</f>
        <v>1.0498700120904335E-3</v>
      </c>
      <c r="AA118" s="556">
        <f>$F$1*(Semidetached!X46-Savings_SemiDet!X154)</f>
        <v>9.0599581523549764E-4</v>
      </c>
      <c r="AB118" s="556">
        <f>$F$1*(Semidetached!Y46-Savings_SemiDet!Y154)</f>
        <v>2.3017793424110486E-3</v>
      </c>
      <c r="AC118" s="556">
        <f>$F$1*(Semidetached!Z46-Savings_SemiDet!Z154)</f>
        <v>2.568429444816985E-3</v>
      </c>
      <c r="AD118" s="556">
        <f>$F$1*(Semidetached!AA46-Savings_SemiDet!AA154)</f>
        <v>1.2357232026252443E-3</v>
      </c>
      <c r="AE118" s="556">
        <f>$F$1*(Semidetached!AB46-Savings_SemiDet!AB154)</f>
        <v>3.9295188314318738E-3</v>
      </c>
      <c r="AF118" s="556">
        <f>$F$1*(Semidetached!AC46-Savings_SemiDet!AC154)</f>
        <v>4.2193782859982912E-3</v>
      </c>
      <c r="AG118" s="556">
        <f>$F$1*(Semidetached!AD46-Savings_SemiDet!AD154)</f>
        <v>4.4317294811011265E-3</v>
      </c>
      <c r="AH118" s="556">
        <f>$F$1*(Semidetached!AE46-Savings_SemiDet!AE154)</f>
        <v>1.1608492747360152E-3</v>
      </c>
      <c r="AI118" s="556">
        <f>$F$1*(Semidetached!AF46-Savings_SemiDet!AF154)</f>
        <v>7.5318555320284613E-4</v>
      </c>
      <c r="AJ118" s="556">
        <f>$F$1*(Semidetached!AG46-Savings_SemiDet!AG154)</f>
        <v>1.402566347005228E-3</v>
      </c>
      <c r="AK118" s="556">
        <f>$F$1*(Semidetached!AH46-Savings_SemiDet!AH154)</f>
        <v>1.3553481182116192E-3</v>
      </c>
      <c r="AL118" s="556">
        <f>$F$1*(Semidetached!AI46-Savings_SemiDet!AI154)</f>
        <v>1.8688225529892221E-3</v>
      </c>
      <c r="AM118" s="556">
        <f>$F$1*(Semidetached!AJ46-Savings_SemiDet!AJ154)</f>
        <v>1.4278064643303179E-3</v>
      </c>
      <c r="AN118" s="556">
        <f>$F$1*(Semidetached!AK46-Savings_SemiDet!AK154)</f>
        <v>1.7376290914758901E-3</v>
      </c>
      <c r="AO118" s="556">
        <f>$F$1*(Semidetached!AL46-Savings_SemiDet!AL154)</f>
        <v>8.1996346867210378E-4</v>
      </c>
      <c r="AP118" s="556">
        <f>$F$1*(Semidetached!AM46-Savings_SemiDet!AM154)</f>
        <v>1.3129760334207958E-3</v>
      </c>
      <c r="AQ118" s="556">
        <f>$F$1*(Semidetached!AN46-Savings_SemiDet!AN154)</f>
        <v>1.3129760334207958E-3</v>
      </c>
      <c r="AT118" s="5" t="s">
        <v>356</v>
      </c>
    </row>
    <row r="119" spans="1:46">
      <c r="A119" s="5" t="str">
        <f t="shared" si="5"/>
        <v>\I:</v>
      </c>
      <c r="C119" s="5" t="str">
        <f t="shared" si="4"/>
        <v/>
      </c>
      <c r="E119" s="5" t="s">
        <v>623</v>
      </c>
    </row>
    <row r="120" spans="1:46">
      <c r="A120" s="5" t="str">
        <f t="shared" si="5"/>
        <v>\I:</v>
      </c>
      <c r="C120" s="5" t="str">
        <f t="shared" si="4"/>
        <v/>
      </c>
      <c r="E120" s="5" t="s">
        <v>623</v>
      </c>
    </row>
    <row r="121" spans="1:46">
      <c r="A121" s="135" t="str">
        <f t="shared" si="5"/>
        <v>\I:</v>
      </c>
      <c r="C121" s="5" t="str">
        <f t="shared" si="4"/>
        <v/>
      </c>
      <c r="E121" s="5" t="s">
        <v>623</v>
      </c>
      <c r="F121" s="135" t="s">
        <v>393</v>
      </c>
      <c r="G121" s="492">
        <f>G130*'Energy Efficiency Measures-DBT'!D37/'Energy Efficiency Measures-DBT'!D36</f>
        <v>53.435566743021482</v>
      </c>
      <c r="H121" s="492">
        <f>H130*'Energy Efficiency Measures-DBT'!E37/'Energy Efficiency Measures-DBT'!E36</f>
        <v>56.802140870952705</v>
      </c>
      <c r="I121" s="492">
        <f>I130*'Energy Efficiency Measures-DBT'!F37/'Energy Efficiency Measures-DBT'!F36</f>
        <v>30.177946315405332</v>
      </c>
      <c r="J121" s="492">
        <f>J130*'Energy Efficiency Measures-DBT'!G37/'Energy Efficiency Measures-DBT'!G36</f>
        <v>52.32991922340981</v>
      </c>
      <c r="K121" s="492">
        <f>K130*'Energy Efficiency Measures-DBT'!H37/'Energy Efficiency Measures-DBT'!H36</f>
        <v>59.190220098592249</v>
      </c>
      <c r="L121" s="492">
        <f>L130*'Energy Efficiency Measures-DBT'!I37/'Energy Efficiency Measures-DBT'!I36</f>
        <v>41.199164601809159</v>
      </c>
      <c r="M121" s="492">
        <f>M130*'Energy Efficiency Measures-DBT'!J37/'Energy Efficiency Measures-DBT'!J36</f>
        <v>59.015342570222344</v>
      </c>
      <c r="N121" s="492">
        <f>N130*'Energy Efficiency Measures-DBT'!K37/'Energy Efficiency Measures-DBT'!K36</f>
        <v>42.252393941771935</v>
      </c>
      <c r="O121" s="492">
        <f>O130*'Energy Efficiency Measures-DBT'!L37/'Energy Efficiency Measures-DBT'!L36</f>
        <v>26.647908209549193</v>
      </c>
      <c r="P121" s="492">
        <f>P130*'Energy Efficiency Measures-DBT'!M37/'Energy Efficiency Measures-DBT'!M36</f>
        <v>57.097200425777714</v>
      </c>
      <c r="Q121" s="492">
        <f>Q130*'Energy Efficiency Measures-DBT'!N37/'Energy Efficiency Measures-DBT'!N36</f>
        <v>48.416209859135854</v>
      </c>
      <c r="R121" s="492">
        <f>R130*'Energy Efficiency Measures-DBT'!O37/'Energy Efficiency Measures-DBT'!O36</f>
        <v>49.816797285628006</v>
      </c>
      <c r="S121" s="492">
        <f>S130*'Energy Efficiency Measures-DBT'!P37/'Energy Efficiency Measures-DBT'!P36</f>
        <v>64.800525702942124</v>
      </c>
      <c r="T121" s="492">
        <f>T130*'Energy Efficiency Measures-DBT'!Q37/'Energy Efficiency Measures-DBT'!Q36</f>
        <v>29.41971434117351</v>
      </c>
      <c r="U121" s="492">
        <f>U130*'Energy Efficiency Measures-DBT'!R37/'Energy Efficiency Measures-DBT'!R36</f>
        <v>25.744065762612408</v>
      </c>
      <c r="V121" s="492">
        <f>V130*'Energy Efficiency Measures-DBT'!S37/'Energy Efficiency Measures-DBT'!S36</f>
        <v>56.111721380502068</v>
      </c>
      <c r="W121" s="492">
        <f>W130*'Energy Efficiency Measures-DBT'!T37/'Energy Efficiency Measures-DBT'!T36</f>
        <v>48.167654584892453</v>
      </c>
      <c r="X121" s="492">
        <f>X130*'Energy Efficiency Measures-DBT'!U37/'Energy Efficiency Measures-DBT'!U36</f>
        <v>53.841162012552111</v>
      </c>
      <c r="Y121" s="492">
        <f>Y130*'Energy Efficiency Measures-DBT'!V37/'Energy Efficiency Measures-DBT'!V36</f>
        <v>25.174973963058978</v>
      </c>
      <c r="Z121" s="492">
        <f>Z130*'Energy Efficiency Measures-DBT'!W37/'Energy Efficiency Measures-DBT'!W36</f>
        <v>53.987952239828978</v>
      </c>
      <c r="AA121" s="492">
        <f>AA130*'Energy Efficiency Measures-DBT'!X37/'Energy Efficiency Measures-DBT'!X36</f>
        <v>25.364810543489629</v>
      </c>
      <c r="AB121" s="492">
        <f>AB130*'Energy Efficiency Measures-DBT'!Y37/'Energy Efficiency Measures-DBT'!Y36</f>
        <v>54.718110818815596</v>
      </c>
      <c r="AC121" s="492">
        <f>AC130*'Energy Efficiency Measures-DBT'!Z37/'Energy Efficiency Measures-DBT'!Z36</f>
        <v>55.363116176253463</v>
      </c>
      <c r="AD121" s="492">
        <f>AD130*'Energy Efficiency Measures-DBT'!AA37/'Energy Efficiency Measures-DBT'!AA36</f>
        <v>43.212788363858486</v>
      </c>
      <c r="AE121" s="492">
        <f>AE130*'Energy Efficiency Measures-DBT'!AB37/'Energy Efficiency Measures-DBT'!AB36</f>
        <v>25.362159362558938</v>
      </c>
      <c r="AF121" s="492">
        <f>AF130*'Energy Efficiency Measures-DBT'!AC37/'Energy Efficiency Measures-DBT'!AC36</f>
        <v>57.352751756691362</v>
      </c>
      <c r="AG121" s="492">
        <f>AG130*'Energy Efficiency Measures-DBT'!AD37/'Energy Efficiency Measures-DBT'!AD36</f>
        <v>28.834264635071957</v>
      </c>
      <c r="AH121" s="492">
        <f>AH130*'Energy Efficiency Measures-DBT'!AE37/'Energy Efficiency Measures-DBT'!AE36</f>
        <v>43.705044124936769</v>
      </c>
      <c r="AI121" s="492">
        <f>AI130*'Energy Efficiency Measures-DBT'!AF37/'Energy Efficiency Measures-DBT'!AF36</f>
        <v>25.50887776732327</v>
      </c>
      <c r="AJ121" s="492">
        <f>AJ130*'Energy Efficiency Measures-DBT'!AG37/'Energy Efficiency Measures-DBT'!AG36</f>
        <v>42.466469411802876</v>
      </c>
      <c r="AK121" s="492">
        <f>AK130*'Energy Efficiency Measures-DBT'!AH37/'Energy Efficiency Measures-DBT'!AH36</f>
        <v>64.881417130159051</v>
      </c>
      <c r="AL121" s="492">
        <f>AL130*'Energy Efficiency Measures-DBT'!AI37/'Energy Efficiency Measures-DBT'!AI36</f>
        <v>25.724670340781383</v>
      </c>
      <c r="AM121" s="492">
        <f>AM130*'Energy Efficiency Measures-DBT'!AJ37/'Energy Efficiency Measures-DBT'!AJ36</f>
        <v>29.419714341173506</v>
      </c>
      <c r="AN121" s="492">
        <f>AN130*'Energy Efficiency Measures-DBT'!AK37/'Energy Efficiency Measures-DBT'!AK36</f>
        <v>25.72467034078138</v>
      </c>
      <c r="AO121" s="492">
        <f>AO130*'Energy Efficiency Measures-DBT'!AL37/'Energy Efficiency Measures-DBT'!AL36</f>
        <v>29.180469671789215</v>
      </c>
      <c r="AP121" s="492">
        <f>AP130*'Energy Efficiency Measures-DBT'!AM37/'Energy Efficiency Measures-DBT'!AM36</f>
        <v>29.41971434117351</v>
      </c>
      <c r="AQ121" s="492">
        <f>AQ130*'Energy Efficiency Measures-DBT'!AN37/'Energy Efficiency Measures-DBT'!AN36</f>
        <v>29.419714341173506</v>
      </c>
    </row>
    <row r="122" spans="1:46">
      <c r="A122" s="135" t="str">
        <f t="shared" si="5"/>
        <v>\I:</v>
      </c>
      <c r="C122" s="5" t="str">
        <f t="shared" si="4"/>
        <v/>
      </c>
      <c r="E122" s="5" t="s">
        <v>418</v>
      </c>
      <c r="F122" s="135" t="s">
        <v>625</v>
      </c>
      <c r="G122" s="214">
        <f>G121*Semidetached!D5</f>
        <v>32814.154001764044</v>
      </c>
      <c r="H122" s="214">
        <f>H121*Semidetached!E5</f>
        <v>35497.739324054048</v>
      </c>
      <c r="I122" s="214">
        <f>I121*Semidetached!F5</f>
        <v>9911.9109933933323</v>
      </c>
      <c r="J122" s="214">
        <f>J121*Semidetached!G5</f>
        <v>33659.167205275371</v>
      </c>
      <c r="K122" s="214">
        <f>K121*Semidetached!H5</f>
        <v>28919.673131492786</v>
      </c>
      <c r="L122" s="214">
        <f>L121*Semidetached!I5</f>
        <v>21334.507482786714</v>
      </c>
      <c r="M122" s="214">
        <f>M121*Semidetached!J5</f>
        <v>33877.155025238491</v>
      </c>
      <c r="N122" s="214">
        <f>N121*Semidetached!K5</f>
        <v>29140.763073031943</v>
      </c>
      <c r="O122" s="214">
        <f>O121*Semidetached!L5</f>
        <v>11647.581408761693</v>
      </c>
      <c r="P122" s="214">
        <f>P121*Semidetached!M5</f>
        <v>35274.517670540772</v>
      </c>
      <c r="Q122" s="214">
        <f>Q121*Semidetached!N5</f>
        <v>24666.185943365876</v>
      </c>
      <c r="R122" s="214">
        <f>R121*Semidetached!O5</f>
        <v>29465.460349550278</v>
      </c>
      <c r="S122" s="214">
        <f>S121*Semidetached!P5</f>
        <v>20451.669104425502</v>
      </c>
      <c r="T122" s="214">
        <f>T121*Semidetached!Q5</f>
        <v>10250.381825950351</v>
      </c>
      <c r="U122" s="214">
        <f>U121*Semidetached!R5</f>
        <v>12166.893192182566</v>
      </c>
      <c r="V122" s="214">
        <f>V121*Semidetached!S5</f>
        <v>36029.128276798474</v>
      </c>
      <c r="W122" s="214">
        <f>W121*Semidetached!T5</f>
        <v>24824.746610265665</v>
      </c>
      <c r="X122" s="214">
        <f>X121*Semidetached!U5</f>
        <v>32512.768549958015</v>
      </c>
      <c r="Y122" s="214">
        <f>Y121*Semidetached!V5</f>
        <v>12512.671627280235</v>
      </c>
      <c r="Z122" s="214">
        <f>Z121*Semidetached!W5</f>
        <v>17047.930027177925</v>
      </c>
      <c r="AA122" s="214">
        <f>AA121*Semidetached!X5</f>
        <v>12395.630578660175</v>
      </c>
      <c r="AB122" s="214">
        <f>AB121*Semidetached!Y5</f>
        <v>31876.222283551313</v>
      </c>
      <c r="AC122" s="214">
        <f>AC121*Semidetached!Z5</f>
        <v>36620.10435995584</v>
      </c>
      <c r="AD122" s="214">
        <f>AD121*Semidetached!AA5</f>
        <v>28360.661428650699</v>
      </c>
      <c r="AE122" s="214">
        <f>AE121*Semidetached!AB5</f>
        <v>12397.2532530103</v>
      </c>
      <c r="AF122" s="214">
        <f>AF121*Semidetached!AC5</f>
        <v>35083.019283346774</v>
      </c>
      <c r="AG122" s="214">
        <f>AG121*Semidetached!AD5</f>
        <v>10523.594914207652</v>
      </c>
      <c r="AH122" s="214">
        <f>AH121*Semidetached!AE5</f>
        <v>27973.962145890229</v>
      </c>
      <c r="AI122" s="214">
        <f>AI121*Semidetached!AF5</f>
        <v>12307.952281556165</v>
      </c>
      <c r="AJ122" s="214">
        <f>AJ121*Semidetached!AG5</f>
        <v>20542.534498768018</v>
      </c>
      <c r="AK122" s="214">
        <f>AK121*Semidetached!AH5</f>
        <v>30109.857309385316</v>
      </c>
      <c r="AL122" s="214">
        <f>AL121*Semidetached!AI5</f>
        <v>12178.430034083876</v>
      </c>
      <c r="AM122" s="214">
        <f>AM121*Semidetached!AJ5</f>
        <v>10250.381825950351</v>
      </c>
      <c r="AN122" s="214">
        <f>AN121*Semidetached!AK5</f>
        <v>12178.430034083876</v>
      </c>
      <c r="AO122" s="214">
        <f>AO121*Semidetached!AL5</f>
        <v>10360.73759444528</v>
      </c>
      <c r="AP122" s="214">
        <f>AP121*Semidetached!AM5</f>
        <v>10250.381825950351</v>
      </c>
      <c r="AQ122" s="214">
        <f>AQ121*Semidetached!AN5</f>
        <v>10250.381825950351</v>
      </c>
    </row>
    <row r="123" spans="1:46">
      <c r="A123" s="5" t="str">
        <f t="shared" si="5"/>
        <v>OUTPUT</v>
      </c>
      <c r="B123" s="5" t="s">
        <v>617</v>
      </c>
      <c r="C123" s="5" t="str">
        <f t="shared" si="4"/>
        <v>Bldg_SDEPre45-Wal</v>
      </c>
      <c r="D123" s="5" t="s">
        <v>302</v>
      </c>
      <c r="E123" s="5" t="s">
        <v>418</v>
      </c>
      <c r="F123" s="5" t="s">
        <v>606</v>
      </c>
      <c r="G123" s="556">
        <f>$F$1*(Semidetached!D41-Savings_SemiDet!D182)</f>
        <v>1.7407837469983044E-2</v>
      </c>
      <c r="H123" s="556">
        <f>$F$1*(Semidetached!E41-Savings_SemiDet!E182)</f>
        <v>1.6952387617015483E-2</v>
      </c>
      <c r="I123" s="556">
        <f>$F$1*(Semidetached!F41-Savings_SemiDet!F182)</f>
        <v>9.5505822578453563E-3</v>
      </c>
      <c r="J123" s="556">
        <f>$F$1*(Semidetached!G41-Savings_SemiDet!G182)</f>
        <v>1.7405119193271062E-2</v>
      </c>
      <c r="K123" s="556">
        <f>$F$1*(Semidetached!H41-Savings_SemiDet!H182)</f>
        <v>4.423228169383296E-3</v>
      </c>
      <c r="L123" s="556">
        <f>$F$1*(Semidetached!I41-Savings_SemiDet!I182)</f>
        <v>6.7507113326864942E-3</v>
      </c>
      <c r="M123" s="556">
        <f>$F$1*(Semidetached!J41-Savings_SemiDet!J182)</f>
        <v>1.7258403476658229E-2</v>
      </c>
      <c r="N123" s="556">
        <f>$F$1*(Semidetached!K41-Savings_SemiDet!K182)</f>
        <v>8.3648575967181348E-3</v>
      </c>
      <c r="O123" s="556">
        <f>$F$1*(Semidetached!L41-Savings_SemiDet!L182)</f>
        <v>3.5298157274731858E-3</v>
      </c>
      <c r="P123" s="556">
        <f>$F$1*(Semidetached!M41-Savings_SemiDet!M182)</f>
        <v>1.5333535740842792E-2</v>
      </c>
      <c r="Q123" s="556">
        <f>$F$1*(Semidetached!N41-Savings_SemiDet!N182)</f>
        <v>7.1670357718922788E-3</v>
      </c>
      <c r="R123" s="556">
        <f>$F$1*(Semidetached!O41-Savings_SemiDet!O182)</f>
        <v>1.9958232269195242E-2</v>
      </c>
      <c r="S123" s="556">
        <f>$F$1*(Semidetached!P41-Savings_SemiDet!P182)</f>
        <v>1.0641577761365867E-2</v>
      </c>
      <c r="T123" s="556">
        <f>$F$1*(Semidetached!Q41-Savings_SemiDet!Q182)</f>
        <v>7.0126176886850149E-3</v>
      </c>
      <c r="U123" s="556">
        <f>$F$1*(Semidetached!R41-Savings_SemiDet!R182)</f>
        <v>1.2769873544772988E-2</v>
      </c>
      <c r="V123" s="556">
        <f>$F$1*(Semidetached!S41-Savings_SemiDet!S182)</f>
        <v>1.5688735188722165E-2</v>
      </c>
      <c r="W123" s="556">
        <f>$F$1*(Semidetached!T41-Savings_SemiDet!T182)</f>
        <v>6.1369889377956097E-3</v>
      </c>
      <c r="X123" s="556">
        <f>$F$1*(Semidetached!U41-Savings_SemiDet!U182)</f>
        <v>1.0784997243706837E-2</v>
      </c>
      <c r="Y123" s="556">
        <f>$F$1*(Semidetached!V41-Savings_SemiDet!V182)</f>
        <v>9.8587606294063476E-3</v>
      </c>
      <c r="Z123" s="556">
        <f>$F$1*(Semidetached!W41-Savings_SemiDet!W182)</f>
        <v>7.7133615140976275E-3</v>
      </c>
      <c r="AA123" s="556">
        <f>$F$1*(Semidetached!X41-Savings_SemiDet!X182)</f>
        <v>1.0140650881444346E-2</v>
      </c>
      <c r="AB123" s="556">
        <f>$F$1*(Semidetached!Y41-Savings_SemiDet!Y182)</f>
        <v>5.02932896339862E-3</v>
      </c>
      <c r="AC123" s="556">
        <f>$F$1*(Semidetached!Z41-Savings_SemiDet!Z182)</f>
        <v>1.7205002354359129E-2</v>
      </c>
      <c r="AD123" s="556">
        <f>$F$1*(Semidetached!AA41-Savings_SemiDet!AA182)</f>
        <v>5.8168425216641095E-3</v>
      </c>
      <c r="AE123" s="556">
        <f>$F$1*(Semidetached!AB41-Savings_SemiDet!AB182)</f>
        <v>1.7558830096651674E-2</v>
      </c>
      <c r="AF123" s="556">
        <f>$F$1*(Semidetached!AC41-Savings_SemiDet!AC182)</f>
        <v>7.9064308938477969E-3</v>
      </c>
      <c r="AG123" s="556">
        <f>$F$1*(Semidetached!AD41-Savings_SemiDet!AD182)</f>
        <v>1.4251851122133067E-2</v>
      </c>
      <c r="AH123" s="556">
        <f>$F$1*(Semidetached!AE41-Savings_SemiDet!AE182)</f>
        <v>5.5278827751876003E-3</v>
      </c>
      <c r="AI123" s="556">
        <f>$F$1*(Semidetached!AF41-Savings_SemiDet!AF182)</f>
        <v>1.1320567046853074E-2</v>
      </c>
      <c r="AJ123" s="556">
        <f>$F$1*(Semidetached!AG41-Savings_SemiDet!AG182)</f>
        <v>1.324917781260798E-2</v>
      </c>
      <c r="AK123" s="556">
        <f>$F$1*(Semidetached!AH41-Savings_SemiDet!AH182)</f>
        <v>1.4858813754496856E-2</v>
      </c>
      <c r="AL123" s="556">
        <f>$F$1*(Semidetached!AI41-Savings_SemiDet!AI182)</f>
        <v>9.8312308863319816E-3</v>
      </c>
      <c r="AM123" s="556">
        <f>$F$1*(Semidetached!AJ41-Savings_SemiDet!AJ182)</f>
        <v>9.4227075510841096E-3</v>
      </c>
      <c r="AN123" s="556">
        <f>$F$1*(Semidetached!AK41-Savings_SemiDet!AK182)</f>
        <v>9.9975850497277061E-3</v>
      </c>
      <c r="AO123" s="556">
        <f>$F$1*(Semidetached!AL41-Savings_SemiDet!AL182)</f>
        <v>9.9959977800353917E-3</v>
      </c>
      <c r="AP123" s="556">
        <f>$F$1*(Semidetached!AM41-Savings_SemiDet!AM182)</f>
        <v>8.664892262068109E-3</v>
      </c>
      <c r="AQ123" s="556">
        <f>$F$1*(Semidetached!AN41-Savings_SemiDet!AN182)</f>
        <v>8.664892262068109E-3</v>
      </c>
      <c r="AT123" s="5" t="s">
        <v>418</v>
      </c>
    </row>
    <row r="124" spans="1:46">
      <c r="A124" s="5" t="str">
        <f t="shared" si="5"/>
        <v>OUTPUT</v>
      </c>
      <c r="B124" s="5" t="s">
        <v>617</v>
      </c>
      <c r="C124" s="5" t="str">
        <f t="shared" si="4"/>
        <v>Bldg_SDEPre69-Wal</v>
      </c>
      <c r="D124" s="5" t="s">
        <v>302</v>
      </c>
      <c r="E124" s="5" t="s">
        <v>419</v>
      </c>
      <c r="F124" s="5" t="s">
        <v>606</v>
      </c>
      <c r="G124" s="556">
        <f>$F$1*(Semidetached!D42-Savings_SemiDet!D183)</f>
        <v>1.3420558221771534E-2</v>
      </c>
      <c r="H124" s="556">
        <f>$F$1*(Semidetached!E42-Savings_SemiDet!E183)</f>
        <v>1.6952387617015483E-2</v>
      </c>
      <c r="I124" s="556">
        <f>$F$1*(Semidetached!F42-Savings_SemiDet!F183)</f>
        <v>9.5505822578453563E-3</v>
      </c>
      <c r="J124" s="556">
        <f>$F$1*(Semidetached!G42-Savings_SemiDet!G183)</f>
        <v>1.3416886427394293E-2</v>
      </c>
      <c r="K124" s="556">
        <f>$F$1*(Semidetached!H42-Savings_SemiDet!H183)</f>
        <v>3.5002199813716252E-3</v>
      </c>
      <c r="L124" s="556">
        <f>$F$1*(Semidetached!I42-Savings_SemiDet!I183)</f>
        <v>6.5192934691375697E-3</v>
      </c>
      <c r="M124" s="556">
        <f>$F$1*(Semidetached!J42-Savings_SemiDet!J183)</f>
        <v>1.160635427873386E-2</v>
      </c>
      <c r="N124" s="556">
        <f>$F$1*(Semidetached!K42-Savings_SemiDet!K183)</f>
        <v>8.5161719535040946E-3</v>
      </c>
      <c r="O124" s="556">
        <f>$F$1*(Semidetached!L42-Savings_SemiDet!L183)</f>
        <v>3.5298157274731858E-3</v>
      </c>
      <c r="P124" s="556">
        <f>$F$1*(Semidetached!M42-Savings_SemiDet!M183)</f>
        <v>1.2606644951741618E-2</v>
      </c>
      <c r="Q124" s="556">
        <f>$F$1*(Semidetached!N42-Savings_SemiDet!N183)</f>
        <v>6.554904821803949E-3</v>
      </c>
      <c r="R124" s="556">
        <f>$F$1*(Semidetached!O42-Savings_SemiDet!O183)</f>
        <v>1.9958232269195242E-2</v>
      </c>
      <c r="S124" s="556">
        <f>$F$1*(Semidetached!P42-Savings_SemiDet!P183)</f>
        <v>1.0641577761365867E-2</v>
      </c>
      <c r="T124" s="556">
        <f>$F$1*(Semidetached!Q42-Savings_SemiDet!Q183)</f>
        <v>8.344914557215536E-3</v>
      </c>
      <c r="U124" s="556">
        <f>$F$1*(Semidetached!R42-Savings_SemiDet!R183)</f>
        <v>1.2769873544772988E-2</v>
      </c>
      <c r="V124" s="556">
        <f>$F$1*(Semidetached!S42-Savings_SemiDet!S183)</f>
        <v>1.5628936712308882E-2</v>
      </c>
      <c r="W124" s="556">
        <f>$F$1*(Semidetached!T42-Savings_SemiDet!T183)</f>
        <v>5.6131964450531245E-3</v>
      </c>
      <c r="X124" s="556">
        <f>$F$1*(Semidetached!U42-Savings_SemiDet!U183)</f>
        <v>9.2936723554013709E-3</v>
      </c>
      <c r="Y124" s="556">
        <f>$F$1*(Semidetached!V42-Savings_SemiDet!V183)</f>
        <v>9.8587606294063476E-3</v>
      </c>
      <c r="Z124" s="556">
        <f>$F$1*(Semidetached!W42-Savings_SemiDet!W183)</f>
        <v>1.4491565109378175E-2</v>
      </c>
      <c r="AA124" s="556">
        <f>$F$1*(Semidetached!X42-Savings_SemiDet!X183)</f>
        <v>1.0157411250926795E-2</v>
      </c>
      <c r="AB124" s="556">
        <f>$F$1*(Semidetached!Y42-Savings_SemiDet!Y183)</f>
        <v>5.0312850747401125E-3</v>
      </c>
      <c r="AC124" s="556">
        <f>$F$1*(Semidetached!Z42-Savings_SemiDet!Z183)</f>
        <v>1.4320677510947266E-2</v>
      </c>
      <c r="AD124" s="556">
        <f>$F$1*(Semidetached!AA42-Savings_SemiDet!AA183)</f>
        <v>5.820086355803937E-3</v>
      </c>
      <c r="AE124" s="556">
        <f>$F$1*(Semidetached!AB42-Savings_SemiDet!AB183)</f>
        <v>1.1464016728592053E-2</v>
      </c>
      <c r="AF124" s="556">
        <f>$F$1*(Semidetached!AC42-Savings_SemiDet!AC183)</f>
        <v>5.4620622705695704E-3</v>
      </c>
      <c r="AG124" s="556">
        <f>$F$1*(Semidetached!AD42-Savings_SemiDet!AD183)</f>
        <v>1.2537043006302998E-2</v>
      </c>
      <c r="AH124" s="556">
        <f>$F$1*(Semidetached!AE42-Savings_SemiDet!AE183)</f>
        <v>5.531012525352731E-3</v>
      </c>
      <c r="AI124" s="556">
        <f>$F$1*(Semidetached!AF42-Savings_SemiDet!AF183)</f>
        <v>1.1320567046853074E-2</v>
      </c>
      <c r="AJ124" s="556">
        <f>$F$1*(Semidetached!AG42-Savings_SemiDet!AG183)</f>
        <v>1.0042490654462121E-2</v>
      </c>
      <c r="AK124" s="556">
        <f>$F$1*(Semidetached!AH42-Savings_SemiDet!AH183)</f>
        <v>1.6560534000842394E-2</v>
      </c>
      <c r="AL124" s="556">
        <f>$F$1*(Semidetached!AI42-Savings_SemiDet!AI183)</f>
        <v>9.8312308863319816E-3</v>
      </c>
      <c r="AM124" s="556">
        <f>$F$1*(Semidetached!AJ42-Savings_SemiDet!AJ183)</f>
        <v>9.4227075510841096E-3</v>
      </c>
      <c r="AN124" s="556">
        <f>$F$1*(Semidetached!AK42-Savings_SemiDet!AK183)</f>
        <v>9.9975850497277061E-3</v>
      </c>
      <c r="AO124" s="556">
        <f>$F$1*(Semidetached!AL42-Savings_SemiDet!AL183)</f>
        <v>9.9959977800353917E-3</v>
      </c>
      <c r="AP124" s="556">
        <f>$F$1*(Semidetached!AM42-Savings_SemiDet!AM183)</f>
        <v>8.664892262068109E-3</v>
      </c>
      <c r="AQ124" s="556">
        <f>$F$1*(Semidetached!AN42-Savings_SemiDet!AN183)</f>
        <v>8.664892262068109E-3</v>
      </c>
      <c r="AT124" s="5" t="s">
        <v>419</v>
      </c>
    </row>
    <row r="125" spans="1:46">
      <c r="A125" s="5" t="str">
        <f t="shared" si="5"/>
        <v>OUTPUT</v>
      </c>
      <c r="B125" s="5" t="s">
        <v>617</v>
      </c>
      <c r="C125" s="5" t="str">
        <f t="shared" si="4"/>
        <v>Bldg_SDEPre79-Wal</v>
      </c>
      <c r="D125" s="5" t="s">
        <v>302</v>
      </c>
      <c r="E125" s="5" t="s">
        <v>420</v>
      </c>
      <c r="F125" s="5" t="s">
        <v>606</v>
      </c>
      <c r="G125" s="556">
        <f>$F$1*(Semidetached!D43-Savings_SemiDet!D184)</f>
        <v>9.9501717169617285E-3</v>
      </c>
      <c r="H125" s="556">
        <f>$F$1*(Semidetached!E43-Savings_SemiDet!E184)</f>
        <v>1.6952387617015483E-2</v>
      </c>
      <c r="I125" s="556">
        <f>$F$1*(Semidetached!F43-Savings_SemiDet!F184)</f>
        <v>8.6962178125320859E-3</v>
      </c>
      <c r="J125" s="556">
        <f>$F$1*(Semidetached!G43-Savings_SemiDet!G184)</f>
        <v>9.9499722658412237E-3</v>
      </c>
      <c r="K125" s="556">
        <f>$F$1*(Semidetached!H43-Savings_SemiDet!H184)</f>
        <v>2.5684659894739869E-3</v>
      </c>
      <c r="L125" s="556">
        <f>$F$1*(Semidetached!I43-Savings_SemiDet!I184)</f>
        <v>6.5192934691375697E-3</v>
      </c>
      <c r="M125" s="556">
        <f>$F$1*(Semidetached!J43-Savings_SemiDet!J184)</f>
        <v>5.6040361026099489E-3</v>
      </c>
      <c r="N125" s="556">
        <f>$F$1*(Semidetached!K43-Savings_SemiDet!K184)</f>
        <v>3.8792300625165007E-3</v>
      </c>
      <c r="O125" s="556">
        <f>$F$1*(Semidetached!L43-Savings_SemiDet!L184)</f>
        <v>1.9927768128201778E-3</v>
      </c>
      <c r="P125" s="556">
        <f>$F$1*(Semidetached!M43-Savings_SemiDet!M184)</f>
        <v>1.2606644951741618E-2</v>
      </c>
      <c r="Q125" s="556">
        <f>$F$1*(Semidetached!N43-Savings_SemiDet!N184)</f>
        <v>4.0022144366966324E-3</v>
      </c>
      <c r="R125" s="556">
        <f>$F$1*(Semidetached!O43-Savings_SemiDet!O184)</f>
        <v>6.733982157663629E-3</v>
      </c>
      <c r="S125" s="556">
        <f>$F$1*(Semidetached!P43-Savings_SemiDet!P184)</f>
        <v>1.0641577761365867E-2</v>
      </c>
      <c r="T125" s="556">
        <f>$F$1*(Semidetached!Q43-Savings_SemiDet!Q184)</f>
        <v>7.0987081307738341E-3</v>
      </c>
      <c r="U125" s="556">
        <f>$F$1*(Semidetached!R43-Savings_SemiDet!R184)</f>
        <v>9.8488379870025431E-3</v>
      </c>
      <c r="V125" s="556">
        <f>$F$1*(Semidetached!S43-Savings_SemiDet!S184)</f>
        <v>1.6303184179294345E-2</v>
      </c>
      <c r="W125" s="556">
        <f>$F$1*(Semidetached!T43-Savings_SemiDet!T184)</f>
        <v>3.4273689344991921E-3</v>
      </c>
      <c r="X125" s="556">
        <f>$F$1*(Semidetached!U43-Savings_SemiDet!U184)</f>
        <v>9.4112486069132164E-3</v>
      </c>
      <c r="Y125" s="556">
        <f>$F$1*(Semidetached!V43-Savings_SemiDet!V184)</f>
        <v>4.2294314184679214E-3</v>
      </c>
      <c r="Z125" s="556">
        <f>$F$1*(Semidetached!W43-Savings_SemiDet!W184)</f>
        <v>4.2055400209090139E-3</v>
      </c>
      <c r="AA125" s="556">
        <f>$F$1*(Semidetached!X43-Savings_SemiDet!X184)</f>
        <v>8.8265465173750935E-3</v>
      </c>
      <c r="AB125" s="556">
        <f>$F$1*(Semidetached!Y43-Savings_SemiDet!Y184)</f>
        <v>2.8429902428755214E-3</v>
      </c>
      <c r="AC125" s="556">
        <f>$F$1*(Semidetached!Z43-Savings_SemiDet!Z184)</f>
        <v>1.445380242754943E-2</v>
      </c>
      <c r="AD125" s="556">
        <f>$F$1*(Semidetached!AA43-Savings_SemiDet!AA184)</f>
        <v>2.0589833991829861E-3</v>
      </c>
      <c r="AE125" s="556">
        <f>$F$1*(Semidetached!AB43-Savings_SemiDet!AB184)</f>
        <v>5.6561466975205144E-3</v>
      </c>
      <c r="AF125" s="556">
        <f>$F$1*(Semidetached!AC43-Savings_SemiDet!AC184)</f>
        <v>5.4864616579543921E-3</v>
      </c>
      <c r="AG125" s="556">
        <f>$F$1*(Semidetached!AD43-Savings_SemiDet!AD184)</f>
        <v>1.2537043006302998E-2</v>
      </c>
      <c r="AH125" s="556">
        <f>$F$1*(Semidetached!AE43-Savings_SemiDet!AE184)</f>
        <v>1.9559953584176015E-3</v>
      </c>
      <c r="AI125" s="556">
        <f>$F$1*(Semidetached!AF43-Savings_SemiDet!AF184)</f>
        <v>1.1567303648907179E-2</v>
      </c>
      <c r="AJ125" s="556">
        <f>$F$1*(Semidetached!AG43-Savings_SemiDet!AG184)</f>
        <v>1.0042490654462121E-2</v>
      </c>
      <c r="AK125" s="556">
        <f>$F$1*(Semidetached!AH43-Savings_SemiDet!AH184)</f>
        <v>1.3197329263650802E-2</v>
      </c>
      <c r="AL125" s="556">
        <f>$F$1*(Semidetached!AI43-Savings_SemiDet!AI184)</f>
        <v>9.8312308863319816E-3</v>
      </c>
      <c r="AM125" s="556">
        <f>$F$1*(Semidetached!AJ43-Savings_SemiDet!AJ184)</f>
        <v>9.4227075510841096E-3</v>
      </c>
      <c r="AN125" s="556">
        <f>$F$1*(Semidetached!AK43-Savings_SemiDet!AK184)</f>
        <v>9.9975850497277061E-3</v>
      </c>
      <c r="AO125" s="556">
        <f>$F$1*(Semidetached!AL43-Savings_SemiDet!AL184)</f>
        <v>9.1029040626517364E-3</v>
      </c>
      <c r="AP125" s="556">
        <f>$F$1*(Semidetached!AM43-Savings_SemiDet!AM184)</f>
        <v>8.664892262068109E-3</v>
      </c>
      <c r="AQ125" s="556">
        <f>$F$1*(Semidetached!AN43-Savings_SemiDet!AN184)</f>
        <v>8.664892262068109E-3</v>
      </c>
      <c r="AT125" s="5" t="s">
        <v>420</v>
      </c>
    </row>
    <row r="126" spans="1:46">
      <c r="A126" s="5" t="str">
        <f t="shared" si="5"/>
        <v>OUTPUT</v>
      </c>
      <c r="B126" s="5" t="s">
        <v>617</v>
      </c>
      <c r="C126" s="5" t="str">
        <f t="shared" si="4"/>
        <v>Bldg_SDEPre89-Wal</v>
      </c>
      <c r="D126" s="5" t="s">
        <v>302</v>
      </c>
      <c r="E126" s="5" t="s">
        <v>421</v>
      </c>
      <c r="F126" s="5" t="s">
        <v>606</v>
      </c>
      <c r="G126" s="556">
        <f>$F$1*(Semidetached!D44-Savings_SemiDet!D185)</f>
        <v>5.5908055500465395E-3</v>
      </c>
      <c r="H126" s="556">
        <f>$F$1*(Semidetached!E44-Savings_SemiDet!E185)</f>
        <v>1.3880490445464803E-2</v>
      </c>
      <c r="I126" s="556">
        <f>$F$1*(Semidetached!F44-Savings_SemiDet!F185)</f>
        <v>6.6207233648804759E-3</v>
      </c>
      <c r="J126" s="556">
        <f>$F$1*(Semidetached!G44-Savings_SemiDet!G185)</f>
        <v>5.5922633896319501E-3</v>
      </c>
      <c r="K126" s="556">
        <f>$F$1*(Semidetached!H44-Savings_SemiDet!H185)</f>
        <v>2.5864752377845928E-3</v>
      </c>
      <c r="L126" s="556">
        <f>$F$1*(Semidetached!I44-Savings_SemiDet!I185)</f>
        <v>5.442971333124871E-3</v>
      </c>
      <c r="M126" s="556">
        <f>$F$1*(Semidetached!J44-Savings_SemiDet!J185)</f>
        <v>4.956965920396285E-3</v>
      </c>
      <c r="N126" s="556">
        <f>$F$1*(Semidetached!K44-Savings_SemiDet!K185)</f>
        <v>2.2888582516583382E-3</v>
      </c>
      <c r="O126" s="556">
        <f>$F$1*(Semidetached!L44-Savings_SemiDet!L185)</f>
        <v>1.3437989703858953E-3</v>
      </c>
      <c r="P126" s="556">
        <f>$F$1*(Semidetached!M44-Savings_SemiDet!M185)</f>
        <v>9.4654024832369881E-3</v>
      </c>
      <c r="Q126" s="556">
        <f>$F$1*(Semidetached!N44-Savings_SemiDet!N185)</f>
        <v>2.2782757709792619E-3</v>
      </c>
      <c r="R126" s="556">
        <f>$F$1*(Semidetached!O44-Savings_SemiDet!O185)</f>
        <v>5.3546503842170634E-3</v>
      </c>
      <c r="S126" s="556">
        <f>$F$1*(Semidetached!P44-Savings_SemiDet!P185)</f>
        <v>1.0715235235504737E-2</v>
      </c>
      <c r="T126" s="556">
        <f>$F$1*(Semidetached!Q44-Savings_SemiDet!Q185)</f>
        <v>7.0987081307738341E-3</v>
      </c>
      <c r="U126" s="556">
        <f>$F$1*(Semidetached!R44-Savings_SemiDet!R185)</f>
        <v>5.1306754260632718E-3</v>
      </c>
      <c r="V126" s="556">
        <f>$F$1*(Semidetached!S44-Savings_SemiDet!S185)</f>
        <v>9.7327450303359639E-3</v>
      </c>
      <c r="W126" s="556">
        <f>$F$1*(Semidetached!T44-Savings_SemiDet!T185)</f>
        <v>1.9510432409865035E-3</v>
      </c>
      <c r="X126" s="556">
        <f>$F$1*(Semidetached!U44-Savings_SemiDet!U185)</f>
        <v>5.0816312200919634E-3</v>
      </c>
      <c r="Y126" s="556">
        <f>$F$1*(Semidetached!V44-Savings_SemiDet!V185)</f>
        <v>4.2294314184679214E-3</v>
      </c>
      <c r="Z126" s="556">
        <f>$F$1*(Semidetached!W44-Savings_SemiDet!W185)</f>
        <v>3.7779615073786038E-3</v>
      </c>
      <c r="AA126" s="556">
        <f>$F$1*(Semidetached!X44-Savings_SemiDet!X185)</f>
        <v>3.948091418884545E-3</v>
      </c>
      <c r="AB126" s="556">
        <f>$F$1*(Semidetached!Y44-Savings_SemiDet!Y185)</f>
        <v>2.905745704747486E-3</v>
      </c>
      <c r="AC126" s="556">
        <f>$F$1*(Semidetached!Z44-Savings_SemiDet!Z185)</f>
        <v>3.7430391162230079E-3</v>
      </c>
      <c r="AD126" s="556">
        <f>$F$1*(Semidetached!AA44-Savings_SemiDet!AA185)</f>
        <v>2.0631018671992628E-3</v>
      </c>
      <c r="AE126" s="556">
        <f>$F$1*(Semidetached!AB44-Savings_SemiDet!AB185)</f>
        <v>5.6561466975205144E-3</v>
      </c>
      <c r="AF126" s="556">
        <f>$F$1*(Semidetached!AC44-Savings_SemiDet!AC185)</f>
        <v>5.0162983483234063E-3</v>
      </c>
      <c r="AG126" s="556">
        <f>$F$1*(Semidetached!AD44-Savings_SemiDet!AD185)</f>
        <v>8.9343587820473296E-3</v>
      </c>
      <c r="AH126" s="556">
        <f>$F$1*(Semidetached!AE44-Savings_SemiDet!AE185)</f>
        <v>1.9599588443902616E-3</v>
      </c>
      <c r="AI126" s="556">
        <f>$F$1*(Semidetached!AF44-Savings_SemiDet!AF185)</f>
        <v>6.4197646634656875E-3</v>
      </c>
      <c r="AJ126" s="556">
        <f>$F$1*(Semidetached!AG44-Savings_SemiDet!AG185)</f>
        <v>7.9675727936599113E-3</v>
      </c>
      <c r="AK126" s="556">
        <f>$F$1*(Semidetached!AH44-Savings_SemiDet!AH185)</f>
        <v>3.5140801870485279E-3</v>
      </c>
      <c r="AL126" s="556">
        <f>$F$1*(Semidetached!AI44-Savings_SemiDet!AI185)</f>
        <v>9.900697762994376E-3</v>
      </c>
      <c r="AM126" s="556">
        <f>$F$1*(Semidetached!AJ44-Savings_SemiDet!AJ185)</f>
        <v>7.4471323227246191E-3</v>
      </c>
      <c r="AN126" s="556">
        <f>$F$1*(Semidetached!AK44-Savings_SemiDet!AK185)</f>
        <v>7.9129041373217166E-3</v>
      </c>
      <c r="AO126" s="556">
        <f>$F$1*(Semidetached!AL44-Savings_SemiDet!AL185)</f>
        <v>6.9323353348689793E-3</v>
      </c>
      <c r="AP126" s="556">
        <f>$F$1*(Semidetached!AM44-Savings_SemiDet!AM185)</f>
        <v>6.8482014206574481E-3</v>
      </c>
      <c r="AQ126" s="556">
        <f>$F$1*(Semidetached!AN44-Savings_SemiDet!AN185)</f>
        <v>6.8482014206574481E-3</v>
      </c>
      <c r="AT126" s="5" t="s">
        <v>421</v>
      </c>
    </row>
    <row r="127" spans="1:46">
      <c r="A127" s="5" t="str">
        <f t="shared" si="5"/>
        <v>OUTPUT</v>
      </c>
      <c r="B127" s="5" t="s">
        <v>617</v>
      </c>
      <c r="C127" s="5" t="str">
        <f t="shared" si="4"/>
        <v>Bldg_SDEPre99-Wal</v>
      </c>
      <c r="D127" s="5" t="s">
        <v>302</v>
      </c>
      <c r="E127" s="5" t="s">
        <v>422</v>
      </c>
      <c r="F127" s="5" t="s">
        <v>606</v>
      </c>
      <c r="G127" s="556">
        <f>$F$1*(Semidetached!D45-Savings_SemiDet!D186)</f>
        <v>3.7843000883378535E-3</v>
      </c>
      <c r="H127" s="556">
        <f>$F$1*(Semidetached!E45-Savings_SemiDet!E186)</f>
        <v>1.3880490445464803E-2</v>
      </c>
      <c r="I127" s="556">
        <f>$F$1*(Semidetached!F45-Savings_SemiDet!F186)</f>
        <v>4.8691526082431285E-3</v>
      </c>
      <c r="J127" s="556">
        <f>$F$1*(Semidetached!G45-Savings_SemiDet!G186)</f>
        <v>3.7851450840881836E-3</v>
      </c>
      <c r="K127" s="556">
        <f>$F$1*(Semidetached!H45-Savings_SemiDet!H186)</f>
        <v>2.627746939636153E-3</v>
      </c>
      <c r="L127" s="556">
        <f>$F$1*(Semidetached!I45-Savings_SemiDet!I186)</f>
        <v>2.8317544279602169E-3</v>
      </c>
      <c r="M127" s="556">
        <f>$F$1*(Semidetached!J45-Savings_SemiDet!J186)</f>
        <v>1.3175030665444325E-3</v>
      </c>
      <c r="N127" s="556">
        <f>$F$1*(Semidetached!K45-Savings_SemiDet!K186)</f>
        <v>2.2888582516583382E-3</v>
      </c>
      <c r="O127" s="556">
        <f>$F$1*(Semidetached!L45-Savings_SemiDet!L186)</f>
        <v>1.1096769553100463E-3</v>
      </c>
      <c r="P127" s="556">
        <f>$F$1*(Semidetached!M45-Savings_SemiDet!M186)</f>
        <v>9.4654024832369881E-3</v>
      </c>
      <c r="Q127" s="556">
        <f>$F$1*(Semidetached!N45-Savings_SemiDet!N186)</f>
        <v>2.2150728422321597E-3</v>
      </c>
      <c r="R127" s="556">
        <f>$F$1*(Semidetached!O45-Savings_SemiDet!O186)</f>
        <v>1.8265688824125612E-3</v>
      </c>
      <c r="S127" s="556">
        <f>$F$1*(Semidetached!P45-Savings_SemiDet!P186)</f>
        <v>1.0715235235504737E-2</v>
      </c>
      <c r="T127" s="556">
        <f>$F$1*(Semidetached!Q45-Savings_SemiDet!Q186)</f>
        <v>4.0391589380158388E-3</v>
      </c>
      <c r="U127" s="556">
        <f>$F$1*(Semidetached!R45-Savings_SemiDet!R186)</f>
        <v>5.1306754260632718E-3</v>
      </c>
      <c r="V127" s="556">
        <f>$F$1*(Semidetached!S45-Savings_SemiDet!S186)</f>
        <v>5.943064895337807E-3</v>
      </c>
      <c r="W127" s="556">
        <f>$F$1*(Semidetached!T45-Savings_SemiDet!T186)</f>
        <v>1.8969335406379883E-3</v>
      </c>
      <c r="X127" s="556">
        <f>$F$1*(Semidetached!U45-Savings_SemiDet!U186)</f>
        <v>4.0544762462799396E-3</v>
      </c>
      <c r="Y127" s="556">
        <f>$F$1*(Semidetached!V45-Savings_SemiDet!V186)</f>
        <v>4.2294314184679214E-3</v>
      </c>
      <c r="Z127" s="556">
        <f>$F$1*(Semidetached!W45-Savings_SemiDet!W186)</f>
        <v>2.9450441633120409E-3</v>
      </c>
      <c r="AA127" s="556">
        <f>$F$1*(Semidetached!X45-Savings_SemiDet!X186)</f>
        <v>3.9651585783585797E-3</v>
      </c>
      <c r="AB127" s="556">
        <f>$F$1*(Semidetached!Y45-Savings_SemiDet!Y186)</f>
        <v>2.9188820949157552E-3</v>
      </c>
      <c r="AC127" s="556">
        <f>$F$1*(Semidetached!Z45-Savings_SemiDet!Z186)</f>
        <v>3.1583438403508519E-3</v>
      </c>
      <c r="AD127" s="556">
        <f>$F$1*(Semidetached!AA45-Savings_SemiDet!AA186)</f>
        <v>1.1676792370264603E-3</v>
      </c>
      <c r="AE127" s="556">
        <f>$F$1*(Semidetached!AB45-Savings_SemiDet!AB186)</f>
        <v>5.6561466975205144E-3</v>
      </c>
      <c r="AF127" s="556">
        <f>$F$1*(Semidetached!AC45-Savings_SemiDet!AC186)</f>
        <v>4.1026460944326741E-3</v>
      </c>
      <c r="AG127" s="556">
        <f>$F$1*(Semidetached!AD45-Savings_SemiDet!AD186)</f>
        <v>8.9343587820473296E-3</v>
      </c>
      <c r="AH127" s="556">
        <f>$F$1*(Semidetached!AE45-Savings_SemiDet!AE186)</f>
        <v>1.1092236564780081E-3</v>
      </c>
      <c r="AI127" s="556">
        <f>$F$1*(Semidetached!AF45-Savings_SemiDet!AF186)</f>
        <v>3.6830004114677588E-3</v>
      </c>
      <c r="AJ127" s="556">
        <f>$F$1*(Semidetached!AG45-Savings_SemiDet!AG186)</f>
        <v>8.1491641595215179E-3</v>
      </c>
      <c r="AK127" s="556">
        <f>$F$1*(Semidetached!AH45-Savings_SemiDet!AH186)</f>
        <v>2.2265612609541573E-3</v>
      </c>
      <c r="AL127" s="556">
        <f>$F$1*(Semidetached!AI45-Savings_SemiDet!AI186)</f>
        <v>9.900697762994376E-3</v>
      </c>
      <c r="AM127" s="556">
        <f>$F$1*(Semidetached!AJ45-Savings_SemiDet!AJ186)</f>
        <v>6.6487762266879413E-3</v>
      </c>
      <c r="AN127" s="556">
        <f>$F$1*(Semidetached!AK45-Savings_SemiDet!AK186)</f>
        <v>7.0702719723883959E-3</v>
      </c>
      <c r="AO127" s="556">
        <f>$F$1*(Semidetached!AL45-Savings_SemiDet!AL186)</f>
        <v>5.1033606661089175E-3</v>
      </c>
      <c r="AP127" s="556">
        <f>$F$1*(Semidetached!AM45-Savings_SemiDet!AM186)</f>
        <v>6.1140526081829268E-3</v>
      </c>
      <c r="AQ127" s="556">
        <f>$F$1*(Semidetached!AN45-Savings_SemiDet!AN186)</f>
        <v>6.1140526081829268E-3</v>
      </c>
      <c r="AT127" s="5" t="s">
        <v>422</v>
      </c>
    </row>
    <row r="128" spans="1:46">
      <c r="A128" s="5" t="str">
        <f t="shared" si="5"/>
        <v>OUTPUT</v>
      </c>
      <c r="B128" s="5" t="s">
        <v>617</v>
      </c>
      <c r="C128" s="5" t="str">
        <f t="shared" si="4"/>
        <v>Bldg_SDEPre09-Wal</v>
      </c>
      <c r="D128" s="5" t="s">
        <v>302</v>
      </c>
      <c r="E128" s="5" t="s">
        <v>423</v>
      </c>
      <c r="F128" s="5" t="s">
        <v>606</v>
      </c>
      <c r="G128" s="556">
        <f>$F$1*(Semidetached!D46-Savings_SemiDet!D187)</f>
        <v>3.2704009255480546E-3</v>
      </c>
      <c r="H128" s="556">
        <f>$F$1*(Semidetached!E46-Savings_SemiDet!E187)</f>
        <v>5.7900926282244856E-3</v>
      </c>
      <c r="I128" s="556">
        <f>$F$1*(Semidetached!F46-Savings_SemiDet!F187)</f>
        <v>1.5067092242146746E-3</v>
      </c>
      <c r="J128" s="556">
        <f>$F$1*(Semidetached!G46-Savings_SemiDet!G187)</f>
        <v>3.2717959081117274E-3</v>
      </c>
      <c r="K128" s="556">
        <f>$F$1*(Semidetached!H46-Savings_SemiDet!H187)</f>
        <v>2.735505984754979E-3</v>
      </c>
      <c r="L128" s="556">
        <f>$F$1*(Semidetached!I46-Savings_SemiDet!I187)</f>
        <v>2.2393585974876513E-3</v>
      </c>
      <c r="M128" s="556">
        <f>$F$1*(Semidetached!J46-Savings_SemiDet!J187)</f>
        <v>1.9097335300080984E-3</v>
      </c>
      <c r="N128" s="556">
        <f>$F$1*(Semidetached!K46-Savings_SemiDet!K187)</f>
        <v>1.3341288464696298E-3</v>
      </c>
      <c r="O128" s="556">
        <f>$F$1*(Semidetached!L46-Savings_SemiDet!L187)</f>
        <v>1.1096769553100463E-3</v>
      </c>
      <c r="P128" s="556">
        <f>$F$1*(Semidetached!M46-Savings_SemiDet!M187)</f>
        <v>3.7829235492540477E-3</v>
      </c>
      <c r="Q128" s="556">
        <f>$F$1*(Semidetached!N46-Savings_SemiDet!N187)</f>
        <v>1.987255561701221E-3</v>
      </c>
      <c r="R128" s="556">
        <f>$F$1*(Semidetached!O46-Savings_SemiDet!O187)</f>
        <v>1.7200259579159946E-3</v>
      </c>
      <c r="S128" s="556">
        <f>$F$1*(Semidetached!P46-Savings_SemiDet!P187)</f>
        <v>2.0521996721372449E-3</v>
      </c>
      <c r="T128" s="556">
        <f>$F$1*(Semidetached!Q46-Savings_SemiDet!Q187)</f>
        <v>1.0455754503633067E-3</v>
      </c>
      <c r="U128" s="556">
        <f>$F$1*(Semidetached!R46-Savings_SemiDet!R187)</f>
        <v>2.2694251594325104E-3</v>
      </c>
      <c r="V128" s="556">
        <f>$F$1*(Semidetached!S46-Savings_SemiDet!S187)</f>
        <v>1.5730337856329031E-3</v>
      </c>
      <c r="W128" s="556">
        <f>$F$1*(Semidetached!T46-Savings_SemiDet!T187)</f>
        <v>1.701849093872905E-3</v>
      </c>
      <c r="X128" s="556">
        <f>$F$1*(Semidetached!U46-Savings_SemiDet!U187)</f>
        <v>4.0792365713963651E-3</v>
      </c>
      <c r="Y128" s="556">
        <f>$F$1*(Semidetached!V46-Savings_SemiDet!V187)</f>
        <v>7.0730553531977221E-4</v>
      </c>
      <c r="Z128" s="556">
        <f>$F$1*(Semidetached!W46-Savings_SemiDet!W187)</f>
        <v>1.8235714854264895E-3</v>
      </c>
      <c r="AA128" s="556">
        <f>$F$1*(Semidetached!X46-Savings_SemiDet!X187)</f>
        <v>7.3986592682126766E-4</v>
      </c>
      <c r="AB128" s="556">
        <f>$F$1*(Semidetached!Y46-Savings_SemiDet!Y187)</f>
        <v>2.5209608156152208E-3</v>
      </c>
      <c r="AC128" s="556">
        <f>$F$1*(Semidetached!Z46-Savings_SemiDet!Z187)</f>
        <v>2.2307454153437222E-3</v>
      </c>
      <c r="AD128" s="556">
        <f>$F$1*(Semidetached!AA46-Savings_SemiDet!AA187)</f>
        <v>1.1886156104712771E-3</v>
      </c>
      <c r="AE128" s="556">
        <f>$F$1*(Semidetached!AB46-Savings_SemiDet!AB187)</f>
        <v>2.4875922336118823E-3</v>
      </c>
      <c r="AF128" s="556">
        <f>$F$1*(Semidetached!AC46-Savings_SemiDet!AC187)</f>
        <v>2.3187826210876446E-3</v>
      </c>
      <c r="AG128" s="556">
        <f>$F$1*(Semidetached!AD46-Savings_SemiDet!AD187)</f>
        <v>5.4740883431037939E-3</v>
      </c>
      <c r="AH128" s="556">
        <f>$F$1*(Semidetached!AE46-Savings_SemiDet!AE187)</f>
        <v>1.1293808811892727E-3</v>
      </c>
      <c r="AI128" s="556">
        <f>$F$1*(Semidetached!AF46-Savings_SemiDet!AF187)</f>
        <v>1.1543344605821637E-3</v>
      </c>
      <c r="AJ128" s="556">
        <f>$F$1*(Semidetached!AG46-Savings_SemiDet!AG187)</f>
        <v>2.685182474552573E-3</v>
      </c>
      <c r="AK128" s="556">
        <f>$F$1*(Semidetached!AH46-Savings_SemiDet!AH187)</f>
        <v>1.3942098819073453E-3</v>
      </c>
      <c r="AL128" s="556">
        <f>$F$1*(Semidetached!AI46-Savings_SemiDet!AI187)</f>
        <v>1.896820717765978E-3</v>
      </c>
      <c r="AM128" s="556">
        <f>$F$1*(Semidetached!AJ46-Savings_SemiDet!AJ187)</f>
        <v>5.090184562768804E-3</v>
      </c>
      <c r="AN128" s="556">
        <f>$F$1*(Semidetached!AK46-Savings_SemiDet!AK187)</f>
        <v>5.4101564834080854E-3</v>
      </c>
      <c r="AO128" s="556">
        <f>$F$1*(Semidetached!AL46-Savings_SemiDet!AL187)</f>
        <v>1.5792418168984123E-3</v>
      </c>
      <c r="AP128" s="556">
        <f>$F$1*(Semidetached!AM46-Savings_SemiDet!AM187)</f>
        <v>4.6808096920464637E-3</v>
      </c>
      <c r="AQ128" s="556">
        <f>$F$1*(Semidetached!AN46-Savings_SemiDet!AN187)</f>
        <v>4.6808096920464637E-3</v>
      </c>
      <c r="AT128" s="5" t="s">
        <v>423</v>
      </c>
    </row>
    <row r="129" spans="1:46">
      <c r="A129" s="5" t="str">
        <f t="shared" si="5"/>
        <v>\I:</v>
      </c>
      <c r="C129" s="5" t="str">
        <f t="shared" si="4"/>
        <v/>
      </c>
      <c r="E129" s="5" t="s">
        <v>623</v>
      </c>
      <c r="G129" s="493"/>
      <c r="H129" s="493"/>
      <c r="I129" s="493"/>
      <c r="J129" s="493"/>
      <c r="K129" s="493"/>
      <c r="L129" s="493"/>
      <c r="M129" s="493"/>
      <c r="N129" s="493"/>
      <c r="O129" s="493"/>
      <c r="P129" s="493"/>
      <c r="Q129" s="493"/>
      <c r="R129" s="493"/>
      <c r="S129" s="493"/>
      <c r="T129" s="493"/>
      <c r="U129" s="493"/>
      <c r="V129" s="493"/>
      <c r="W129" s="493"/>
      <c r="X129" s="493"/>
      <c r="Y129" s="493"/>
      <c r="Z129" s="493"/>
      <c r="AA129" s="493"/>
      <c r="AB129" s="493"/>
      <c r="AC129" s="493"/>
      <c r="AD129" s="493"/>
      <c r="AE129" s="493"/>
      <c r="AF129" s="493"/>
      <c r="AG129" s="493"/>
      <c r="AH129" s="493"/>
      <c r="AI129" s="493"/>
      <c r="AJ129" s="493"/>
      <c r="AK129" s="493"/>
      <c r="AL129" s="493"/>
      <c r="AM129" s="493"/>
      <c r="AN129" s="493"/>
      <c r="AO129" s="493"/>
      <c r="AP129" s="493"/>
      <c r="AQ129" s="493"/>
    </row>
    <row r="130" spans="1:46">
      <c r="A130" s="135" t="str">
        <f t="shared" si="5"/>
        <v>\I:</v>
      </c>
      <c r="C130" s="5" t="str">
        <f t="shared" si="4"/>
        <v/>
      </c>
      <c r="E130" s="5" t="s">
        <v>623</v>
      </c>
      <c r="F130" s="135" t="s">
        <v>393</v>
      </c>
      <c r="G130" s="492">
        <f>'Energy Efficiency Measures-DBT'!D36*Semidetached!D13/Semidetached!D5</f>
        <v>62.341494533525065</v>
      </c>
      <c r="H130" s="492">
        <f>'Energy Efficiency Measures-DBT'!E36*Semidetached!E13/Semidetached!E5</f>
        <v>66.269164349444821</v>
      </c>
      <c r="I130" s="492">
        <f>'Energy Efficiency Measures-DBT'!F36*Semidetached!F13/Semidetached!F5</f>
        <v>35.207604034639552</v>
      </c>
      <c r="J130" s="492">
        <f>'Energy Efficiency Measures-DBT'!G36*Semidetached!G13/Semidetached!G5</f>
        <v>61.051572427311449</v>
      </c>
      <c r="K130" s="492">
        <f>'Energy Efficiency Measures-DBT'!H36*Semidetached!H13/Semidetached!H5</f>
        <v>69.055256781690957</v>
      </c>
      <c r="L130" s="492">
        <f>'Energy Efficiency Measures-DBT'!I36*Semidetached!I13/Semidetached!I5</f>
        <v>48.06569203544403</v>
      </c>
      <c r="M130" s="492">
        <f>'Energy Efficiency Measures-DBT'!J36*Semidetached!J13/Semidetached!J5</f>
        <v>68.851232998592735</v>
      </c>
      <c r="N130" s="492">
        <f>'Energy Efficiency Measures-DBT'!K36*Semidetached!K13/Semidetached!K5</f>
        <v>49.29445959873393</v>
      </c>
      <c r="O130" s="492">
        <f>'Energy Efficiency Measures-DBT'!L36*Semidetached!L13/Semidetached!L5</f>
        <v>31.089226244474059</v>
      </c>
      <c r="P130" s="492">
        <f>'Energy Efficiency Measures-DBT'!M36*Semidetached!M13/Semidetached!M5</f>
        <v>66.613400496740653</v>
      </c>
      <c r="Q130" s="492">
        <f>'Energy Efficiency Measures-DBT'!N36*Semidetached!N13/Semidetached!N5</f>
        <v>56.485578168991829</v>
      </c>
      <c r="R130" s="492">
        <f>'Energy Efficiency Measures-DBT'!O36*Semidetached!O13/Semidetached!O5</f>
        <v>58.119596833232677</v>
      </c>
      <c r="S130" s="492">
        <f>'Energy Efficiency Measures-DBT'!P36*Semidetached!P13/Semidetached!P5</f>
        <v>75.600613320099143</v>
      </c>
      <c r="T130" s="492">
        <f>'Energy Efficiency Measures-DBT'!Q36*Semidetached!Q13/Semidetached!Q5</f>
        <v>34.323000064702427</v>
      </c>
      <c r="U130" s="492">
        <f>'Energy Efficiency Measures-DBT'!R36*Semidetached!R13/Semidetached!R5</f>
        <v>30.034743389714475</v>
      </c>
      <c r="V130" s="492">
        <f>'Energy Efficiency Measures-DBT'!S36*Semidetached!S13/Semidetached!S5</f>
        <v>65.463674943919074</v>
      </c>
      <c r="W130" s="492">
        <f>'Energy Efficiency Measures-DBT'!T36*Semidetached!T13/Semidetached!T5</f>
        <v>56.195597015707861</v>
      </c>
      <c r="X130" s="492">
        <f>'Energy Efficiency Measures-DBT'!U36*Semidetached!U13/Semidetached!U5</f>
        <v>62.814689014644131</v>
      </c>
      <c r="Y130" s="492">
        <f>'Energy Efficiency Measures-DBT'!V36*Semidetached!V13/Semidetached!V5</f>
        <v>29.370802956902139</v>
      </c>
      <c r="Z130" s="492">
        <f>'Energy Efficiency Measures-DBT'!W36*Semidetached!W13/Semidetached!W5</f>
        <v>62.985944279800478</v>
      </c>
      <c r="AA130" s="492">
        <f>'Energy Efficiency Measures-DBT'!X36*Semidetached!X13/Semidetached!X5</f>
        <v>29.592278967404567</v>
      </c>
      <c r="AB130" s="492">
        <f>'Energy Efficiency Measures-DBT'!Y36*Semidetached!Y13/Semidetached!Y5</f>
        <v>63.837795955284861</v>
      </c>
      <c r="AC130" s="492">
        <f>'Energy Efficiency Measures-DBT'!Z36*Semidetached!Z13/Semidetached!Z5</f>
        <v>64.59030220562903</v>
      </c>
      <c r="AD130" s="492">
        <f>'Energy Efficiency Measures-DBT'!AA36*Semidetached!AA13/Semidetached!AA5</f>
        <v>50.414919757834902</v>
      </c>
      <c r="AE130" s="492">
        <f>'Energy Efficiency Measures-DBT'!AB36*Semidetached!AB13/Semidetached!AB5</f>
        <v>29.589185922985425</v>
      </c>
      <c r="AF130" s="492">
        <f>'Energy Efficiency Measures-DBT'!AC36*Semidetached!AC13/Semidetached!AC5</f>
        <v>66.911543716139917</v>
      </c>
      <c r="AG130" s="492">
        <f>'Energy Efficiency Measures-DBT'!AD36*Semidetached!AD13/Semidetached!AD5</f>
        <v>33.639975407583947</v>
      </c>
      <c r="AH130" s="492">
        <f>'Energy Efficiency Measures-DBT'!AE36*Semidetached!AE13/Semidetached!AE5</f>
        <v>50.989218145759573</v>
      </c>
      <c r="AI130" s="492">
        <f>'Energy Efficiency Measures-DBT'!AF36*Semidetached!AF13/Semidetached!AF5</f>
        <v>29.76035739521048</v>
      </c>
      <c r="AJ130" s="492">
        <f>'Energy Efficiency Measures-DBT'!AG36*Semidetached!AG13/Semidetached!AG5</f>
        <v>49.544214313770027</v>
      </c>
      <c r="AK130" s="492">
        <f>'Energy Efficiency Measures-DBT'!AH36*Semidetached!AH13/Semidetached!AH5</f>
        <v>75.694986651852219</v>
      </c>
      <c r="AL130" s="492">
        <f>'Energy Efficiency Measures-DBT'!AI36*Semidetached!AI13/Semidetached!AI5</f>
        <v>30.012115397578281</v>
      </c>
      <c r="AM130" s="492">
        <f>'Energy Efficiency Measures-DBT'!AJ36*Semidetached!AJ13/Semidetached!AJ5</f>
        <v>34.32300006470242</v>
      </c>
      <c r="AN130" s="492">
        <f>'Energy Efficiency Measures-DBT'!AK36*Semidetached!AK13/Semidetached!AK5</f>
        <v>30.012115397578278</v>
      </c>
      <c r="AO130" s="492">
        <f>'Energy Efficiency Measures-DBT'!AL36*Semidetached!AL13/Semidetached!AL5</f>
        <v>34.043881283754082</v>
      </c>
      <c r="AP130" s="492">
        <f>'Energy Efficiency Measures-DBT'!AM36*Semidetached!AM13/Semidetached!AM5</f>
        <v>34.323000064702427</v>
      </c>
      <c r="AQ130" s="492">
        <f>'Energy Efficiency Measures-DBT'!AN36*Semidetached!AN13/Semidetached!AN5</f>
        <v>34.32300006470242</v>
      </c>
    </row>
    <row r="131" spans="1:46">
      <c r="A131" s="135" t="str">
        <f t="shared" si="5"/>
        <v>\I:</v>
      </c>
      <c r="C131" s="5" t="str">
        <f t="shared" si="4"/>
        <v/>
      </c>
      <c r="E131" s="5" t="s">
        <v>357</v>
      </c>
      <c r="F131" s="135" t="s">
        <v>625</v>
      </c>
      <c r="G131" s="214">
        <f>G130*Semidetached!D5</f>
        <v>38283.179668724719</v>
      </c>
      <c r="H131" s="214">
        <f>H130*Semidetached!E5</f>
        <v>41414.029211396388</v>
      </c>
      <c r="I131" s="214">
        <f>I130*Semidetached!F5</f>
        <v>11563.896158958887</v>
      </c>
      <c r="J131" s="214">
        <f>J130*Semidetached!G5</f>
        <v>39269.028406154604</v>
      </c>
      <c r="K131" s="214">
        <f>K130*Semidetached!H5</f>
        <v>33739.618653408252</v>
      </c>
      <c r="L131" s="214">
        <f>L130*Semidetached!I5</f>
        <v>24890.258729917838</v>
      </c>
      <c r="M131" s="214">
        <f>M130*Semidetached!J5</f>
        <v>39523.347529444909</v>
      </c>
      <c r="N131" s="214">
        <f>N130*Semidetached!K5</f>
        <v>33997.556918537273</v>
      </c>
      <c r="O131" s="214">
        <f>O130*Semidetached!L5</f>
        <v>13588.844976888642</v>
      </c>
      <c r="P131" s="214">
        <f>P130*Semidetached!M5</f>
        <v>41153.603948964228</v>
      </c>
      <c r="Q131" s="214">
        <f>Q130*Semidetached!N5</f>
        <v>28777.216933926851</v>
      </c>
      <c r="R131" s="214">
        <f>R130*Semidetached!O5</f>
        <v>34376.370407808659</v>
      </c>
      <c r="S131" s="214">
        <f>S130*Semidetached!P5</f>
        <v>23860.280621829752</v>
      </c>
      <c r="T131" s="214">
        <f>T130*Semidetached!Q5</f>
        <v>11958.778796942077</v>
      </c>
      <c r="U131" s="214">
        <f>U130*Semidetached!R5</f>
        <v>14194.708724212993</v>
      </c>
      <c r="V131" s="214">
        <f>V130*Semidetached!S5</f>
        <v>42033.982989598218</v>
      </c>
      <c r="W131" s="214">
        <f>W130*Semidetached!T5</f>
        <v>28962.204378643273</v>
      </c>
      <c r="X131" s="214">
        <f>X130*Semidetached!U5</f>
        <v>37931.563308284349</v>
      </c>
      <c r="Y131" s="214">
        <f>Y130*Semidetached!V5</f>
        <v>14598.116898493607</v>
      </c>
      <c r="Z131" s="214">
        <f>Z130*Semidetached!W5</f>
        <v>19889.251698374246</v>
      </c>
      <c r="AA131" s="214">
        <f>AA130*Semidetached!X5</f>
        <v>14461.569008436871</v>
      </c>
      <c r="AB131" s="214">
        <f>AB130*Semidetached!Y5</f>
        <v>37188.92599747653</v>
      </c>
      <c r="AC131" s="214">
        <f>AC130*Semidetached!Z5</f>
        <v>42723.45508661514</v>
      </c>
      <c r="AD131" s="214">
        <f>AD130*Semidetached!AA5</f>
        <v>33087.438333425816</v>
      </c>
      <c r="AE131" s="214">
        <f>AE130*Semidetached!AB5</f>
        <v>14463.462128512016</v>
      </c>
      <c r="AF131" s="214">
        <f>AF130*Semidetached!AC5</f>
        <v>40930.189163904572</v>
      </c>
      <c r="AG131" s="214">
        <f>AG130*Semidetached!AD5</f>
        <v>12277.527399908926</v>
      </c>
      <c r="AH131" s="214">
        <f>AH130*Semidetached!AE5</f>
        <v>32636.289170205273</v>
      </c>
      <c r="AI131" s="214">
        <f>AI130*Semidetached!AF5</f>
        <v>14359.277661815524</v>
      </c>
      <c r="AJ131" s="214">
        <f>AJ130*Semidetached!AG5</f>
        <v>23966.290248562687</v>
      </c>
      <c r="AK131" s="214">
        <f>AK130*Semidetached!AH5</f>
        <v>35128.166860949532</v>
      </c>
      <c r="AL131" s="214">
        <f>AL130*Semidetached!AI5</f>
        <v>14208.168373097855</v>
      </c>
      <c r="AM131" s="214">
        <f>AM130*Semidetached!AJ5</f>
        <v>11958.778796942075</v>
      </c>
      <c r="AN131" s="214">
        <f>AN130*Semidetached!AK5</f>
        <v>14208.168373097855</v>
      </c>
      <c r="AO131" s="214">
        <f>AO130*Semidetached!AL5</f>
        <v>12087.527193519492</v>
      </c>
      <c r="AP131" s="214">
        <f>AP130*Semidetached!AM5</f>
        <v>11958.778796942077</v>
      </c>
      <c r="AQ131" s="214">
        <f>AQ130*Semidetached!AN5</f>
        <v>11958.778796942075</v>
      </c>
    </row>
    <row r="132" spans="1:46">
      <c r="A132" s="5" t="str">
        <f t="shared" si="5"/>
        <v>OUTPUT</v>
      </c>
      <c r="B132" s="5" t="s">
        <v>617</v>
      </c>
      <c r="C132" s="5" t="str">
        <f t="shared" si="4"/>
        <v>Bldg_SDEPre45-Wal</v>
      </c>
      <c r="D132" s="5" t="s">
        <v>302</v>
      </c>
      <c r="E132" s="5" t="s">
        <v>357</v>
      </c>
      <c r="F132" s="5" t="s">
        <v>606</v>
      </c>
      <c r="G132" s="556">
        <f>$F$1*(Semidetached!D41-Savings_SemiDet!D215)</f>
        <v>2.1130785070804483E-2</v>
      </c>
      <c r="H132" s="556">
        <f>$F$1*(Semidetached!E41-Savings_SemiDet!E215)</f>
        <v>2.0107371755547093E-2</v>
      </c>
      <c r="I132" s="556">
        <f>$F$1*(Semidetached!F41-Savings_SemiDet!F215)</f>
        <v>1.1540719941710584E-2</v>
      </c>
      <c r="J132" s="556">
        <f>$F$1*(Semidetached!G41-Savings_SemiDet!G215)</f>
        <v>2.1126030735234665E-2</v>
      </c>
      <c r="K132" s="556">
        <f>$F$1*(Semidetached!H41-Savings_SemiDet!H215)</f>
        <v>5.1515055040939521E-3</v>
      </c>
      <c r="L132" s="556">
        <f>$F$1*(Semidetached!I41-Savings_SemiDet!I215)</f>
        <v>8.9711802204728748E-3</v>
      </c>
      <c r="M132" s="556">
        <f>$F$1*(Semidetached!J41-Savings_SemiDet!J215)</f>
        <v>2.0578655685833076E-2</v>
      </c>
      <c r="N132" s="556">
        <f>$F$1*(Semidetached!K41-Savings_SemiDet!K215)</f>
        <v>1.1136686277671538E-2</v>
      </c>
      <c r="O132" s="556">
        <f>$F$1*(Semidetached!L41-Savings_SemiDet!L215)</f>
        <v>5.1764691701181031E-3</v>
      </c>
      <c r="P132" s="556">
        <f>$F$1*(Semidetached!M41-Savings_SemiDet!M215)</f>
        <v>1.7521051601630835E-2</v>
      </c>
      <c r="Q132" s="556">
        <f>$F$1*(Semidetached!N41-Savings_SemiDet!N215)</f>
        <v>1.0101844421764818E-2</v>
      </c>
      <c r="R132" s="556">
        <f>$F$1*(Semidetached!O41-Savings_SemiDet!O215)</f>
        <v>2.2824440974077702E-2</v>
      </c>
      <c r="S132" s="556">
        <f>$F$1*(Semidetached!P41-Savings_SemiDet!P215)</f>
        <v>1.2333726513034948E-2</v>
      </c>
      <c r="T132" s="556">
        <f>$F$1*(Semidetached!Q41-Savings_SemiDet!Q215)</f>
        <v>8.7406407364780322E-3</v>
      </c>
      <c r="U132" s="556">
        <f>$F$1*(Semidetached!R41-Savings_SemiDet!R215)</f>
        <v>1.5440737366027182E-2</v>
      </c>
      <c r="V132" s="556">
        <f>$F$1*(Semidetached!S41-Savings_SemiDet!S215)</f>
        <v>1.8781277993290869E-2</v>
      </c>
      <c r="W132" s="556">
        <f>$F$1*(Semidetached!T41-Savings_SemiDet!T215)</f>
        <v>8.6499327007705639E-3</v>
      </c>
      <c r="X132" s="556">
        <f>$F$1*(Semidetached!U41-Savings_SemiDet!U215)</f>
        <v>1.2807713048818083E-2</v>
      </c>
      <c r="Y132" s="556">
        <f>$F$1*(Semidetached!V41-Savings_SemiDet!V215)</f>
        <v>1.2785065692772317E-2</v>
      </c>
      <c r="Z132" s="556">
        <f>$F$1*(Semidetached!W41-Savings_SemiDet!W215)</f>
        <v>9.9645599944116533E-3</v>
      </c>
      <c r="AA132" s="556">
        <f>$F$1*(Semidetached!X41-Savings_SemiDet!X215)</f>
        <v>1.312014598145843E-2</v>
      </c>
      <c r="AB132" s="556">
        <f>$F$1*(Semidetached!Y41-Savings_SemiDet!Y215)</f>
        <v>5.6839906759318971E-3</v>
      </c>
      <c r="AC132" s="556">
        <f>$F$1*(Semidetached!Z41-Savings_SemiDet!Z215)</f>
        <v>2.0407258235594219E-2</v>
      </c>
      <c r="AD132" s="556">
        <f>$F$1*(Semidetached!AA41-Savings_SemiDet!AA215)</f>
        <v>8.5168874925206674E-3</v>
      </c>
      <c r="AE132" s="556">
        <f>$F$1*(Semidetached!AB41-Savings_SemiDet!AB215)</f>
        <v>2.0938893426562976E-2</v>
      </c>
      <c r="AF132" s="556">
        <f>$F$1*(Semidetached!AC41-Savings_SemiDet!AC215)</f>
        <v>9.264334882355646E-3</v>
      </c>
      <c r="AG132" s="556">
        <f>$F$1*(Semidetached!AD41-Savings_SemiDet!AD215)</f>
        <v>1.6845563181716539E-2</v>
      </c>
      <c r="AH132" s="556">
        <f>$F$1*(Semidetached!AE41-Savings_SemiDet!AE215)</f>
        <v>8.0938783397024091E-3</v>
      </c>
      <c r="AI132" s="556">
        <f>$F$1*(Semidetached!AF41-Savings_SemiDet!AF215)</f>
        <v>1.3934669473406019E-2</v>
      </c>
      <c r="AJ132" s="556">
        <f>$F$1*(Semidetached!AG41-Savings_SemiDet!AG215)</f>
        <v>1.611714687667936E-2</v>
      </c>
      <c r="AK132" s="556">
        <f>$F$1*(Semidetached!AH41-Savings_SemiDet!AH215)</f>
        <v>1.7692739204317458E-2</v>
      </c>
      <c r="AL132" s="556">
        <f>$F$1*(Semidetached!AI41-Savings_SemiDet!AI215)</f>
        <v>1.1391510574277064E-2</v>
      </c>
      <c r="AM132" s="556">
        <f>$F$1*(Semidetached!AJ41-Savings_SemiDet!AJ215)</f>
        <v>1.1547991160612234E-2</v>
      </c>
      <c r="AN132" s="556">
        <f>$F$1*(Semidetached!AK41-Savings_SemiDet!AK215)</f>
        <v>1.2249077745178695E-2</v>
      </c>
      <c r="AO132" s="556">
        <f>$F$1*(Semidetached!AL41-Savings_SemiDet!AL215)</f>
        <v>1.2078064300652957E-2</v>
      </c>
      <c r="AP132" s="556">
        <f>$F$1*(Semidetached!AM41-Savings_SemiDet!AM215)</f>
        <v>1.0619251282876484E-2</v>
      </c>
      <c r="AQ132" s="556">
        <f>$F$1*(Semidetached!AN41-Savings_SemiDet!AN215)</f>
        <v>1.0619251282876484E-2</v>
      </c>
      <c r="AT132" s="5" t="s">
        <v>357</v>
      </c>
    </row>
    <row r="133" spans="1:46">
      <c r="A133" s="5" t="str">
        <f t="shared" si="5"/>
        <v>OUTPUT</v>
      </c>
      <c r="B133" s="5" t="s">
        <v>617</v>
      </c>
      <c r="C133" s="5" t="str">
        <f t="shared" si="4"/>
        <v>Bldg_SDEPre69-Wal</v>
      </c>
      <c r="D133" s="5" t="s">
        <v>302</v>
      </c>
      <c r="E133" s="5" t="s">
        <v>358</v>
      </c>
      <c r="F133" s="5" t="s">
        <v>606</v>
      </c>
      <c r="G133" s="556">
        <f>$F$1*(Semidetached!D42-Savings_SemiDet!D216)</f>
        <v>1.6734782475027445E-2</v>
      </c>
      <c r="H133" s="556">
        <f>$F$1*(Semidetached!E42-Savings_SemiDet!E216)</f>
        <v>2.0107371755547093E-2</v>
      </c>
      <c r="I133" s="556">
        <f>$F$1*(Semidetached!F42-Savings_SemiDet!F216)</f>
        <v>1.1540719941710584E-2</v>
      </c>
      <c r="J133" s="556">
        <f>$F$1*(Semidetached!G42-Savings_SemiDet!G216)</f>
        <v>1.6729094346158681E-2</v>
      </c>
      <c r="K133" s="556">
        <f>$F$1*(Semidetached!H42-Savings_SemiDet!H216)</f>
        <v>4.1685612488381422E-3</v>
      </c>
      <c r="L133" s="556">
        <f>$F$1*(Semidetached!I42-Savings_SemiDet!I216)</f>
        <v>8.7475013664874337E-3</v>
      </c>
      <c r="M133" s="556">
        <f>$F$1*(Semidetached!J42-Savings_SemiDet!J216)</f>
        <v>1.4421894574165551E-2</v>
      </c>
      <c r="N133" s="556">
        <f>$F$1*(Semidetached!K42-Savings_SemiDet!K216)</f>
        <v>1.1332022815986387E-2</v>
      </c>
      <c r="O133" s="556">
        <f>$F$1*(Semidetached!L42-Savings_SemiDet!L216)</f>
        <v>5.1764691701181031E-3</v>
      </c>
      <c r="P133" s="556">
        <f>$F$1*(Semidetached!M42-Savings_SemiDet!M216)</f>
        <v>1.4674108703325422E-2</v>
      </c>
      <c r="Q133" s="556">
        <f>$F$1*(Semidetached!N42-Savings_SemiDet!N216)</f>
        <v>9.3527778491244978E-3</v>
      </c>
      <c r="R133" s="556">
        <f>$F$1*(Semidetached!O42-Savings_SemiDet!O216)</f>
        <v>2.2824440974077702E-2</v>
      </c>
      <c r="S133" s="556">
        <f>$F$1*(Semidetached!P42-Savings_SemiDet!P216)</f>
        <v>1.2333726513034948E-2</v>
      </c>
      <c r="T133" s="556">
        <f>$F$1*(Semidetached!Q42-Savings_SemiDet!Q216)</f>
        <v>1.0211314180862276E-2</v>
      </c>
      <c r="U133" s="556">
        <f>$F$1*(Semidetached!R42-Savings_SemiDet!R216)</f>
        <v>1.5440737366027182E-2</v>
      </c>
      <c r="V133" s="556">
        <f>$F$1*(Semidetached!S42-Savings_SemiDet!S216)</f>
        <v>1.8706994334275157E-2</v>
      </c>
      <c r="W133" s="556">
        <f>$F$1*(Semidetached!T42-Savings_SemiDet!T216)</f>
        <v>8.0090660580972046E-3</v>
      </c>
      <c r="X133" s="556">
        <f>$F$1*(Semidetached!U42-Savings_SemiDet!U216)</f>
        <v>1.120509539086287E-2</v>
      </c>
      <c r="Y133" s="556">
        <f>$F$1*(Semidetached!V42-Savings_SemiDet!V216)</f>
        <v>1.2785065692772317E-2</v>
      </c>
      <c r="Z133" s="556">
        <f>$F$1*(Semidetached!W42-Savings_SemiDet!W216)</f>
        <v>1.7578769920402498E-2</v>
      </c>
      <c r="AA133" s="556">
        <f>$F$1*(Semidetached!X42-Savings_SemiDet!X216)</f>
        <v>1.3142761578402579E-2</v>
      </c>
      <c r="AB133" s="556">
        <f>$F$1*(Semidetached!Y42-Savings_SemiDet!Y216)</f>
        <v>5.6862722791749349E-3</v>
      </c>
      <c r="AC133" s="556">
        <f>$F$1*(Semidetached!Z42-Savings_SemiDet!Z216)</f>
        <v>1.7391564942338834E-2</v>
      </c>
      <c r="AD133" s="556">
        <f>$F$1*(Semidetached!AA42-Savings_SemiDet!AA216)</f>
        <v>8.5218465917545321E-3</v>
      </c>
      <c r="AE133" s="556">
        <f>$F$1*(Semidetached!AB42-Savings_SemiDet!AB216)</f>
        <v>1.4379054610553462E-2</v>
      </c>
      <c r="AF133" s="556">
        <f>$F$1*(Semidetached!AC42-Savings_SemiDet!AC216)</f>
        <v>6.6377609353956849E-3</v>
      </c>
      <c r="AG133" s="556">
        <f>$F$1*(Semidetached!AD42-Savings_SemiDet!AD216)</f>
        <v>1.5033213847258626E-2</v>
      </c>
      <c r="AH133" s="556">
        <f>$F$1*(Semidetached!AE42-Savings_SemiDet!AE216)</f>
        <v>8.0986634030632311E-3</v>
      </c>
      <c r="AI133" s="556">
        <f>$F$1*(Semidetached!AF42-Savings_SemiDet!AF216)</f>
        <v>1.3934669473406019E-2</v>
      </c>
      <c r="AJ133" s="556">
        <f>$F$1*(Semidetached!AG42-Savings_SemiDet!AG216)</f>
        <v>1.2617431152426804E-2</v>
      </c>
      <c r="AK133" s="556">
        <f>$F$1*(Semidetached!AH42-Savings_SemiDet!AH216)</f>
        <v>1.9503913740228661E-2</v>
      </c>
      <c r="AL133" s="556">
        <f>$F$1*(Semidetached!AI42-Savings_SemiDet!AI216)</f>
        <v>1.1391510574277064E-2</v>
      </c>
      <c r="AM133" s="556">
        <f>$F$1*(Semidetached!AJ42-Savings_SemiDet!AJ216)</f>
        <v>1.1547991160612234E-2</v>
      </c>
      <c r="AN133" s="556">
        <f>$F$1*(Semidetached!AK42-Savings_SemiDet!AK216)</f>
        <v>1.2249077745178695E-2</v>
      </c>
      <c r="AO133" s="556">
        <f>$F$1*(Semidetached!AL42-Savings_SemiDet!AL216)</f>
        <v>1.2078064300652957E-2</v>
      </c>
      <c r="AP133" s="556">
        <f>$F$1*(Semidetached!AM42-Savings_SemiDet!AM216)</f>
        <v>1.0619251282876484E-2</v>
      </c>
      <c r="AQ133" s="556">
        <f>$F$1*(Semidetached!AN42-Savings_SemiDet!AN216)</f>
        <v>1.0619251282876484E-2</v>
      </c>
      <c r="AT133" s="5" t="s">
        <v>358</v>
      </c>
    </row>
    <row r="134" spans="1:46">
      <c r="A134" s="5" t="str">
        <f t="shared" si="5"/>
        <v>OUTPUT</v>
      </c>
      <c r="B134" s="5" t="s">
        <v>617</v>
      </c>
      <c r="C134" s="5" t="str">
        <f t="shared" si="4"/>
        <v>Bldg_SDEPre79-Wal</v>
      </c>
      <c r="D134" s="5" t="s">
        <v>302</v>
      </c>
      <c r="E134" s="5" t="s">
        <v>359</v>
      </c>
      <c r="F134" s="5" t="s">
        <v>606</v>
      </c>
      <c r="G134" s="556">
        <f>$F$1*(Semidetached!D43-Savings_SemiDet!D217)</f>
        <v>1.2887306594727888E-2</v>
      </c>
      <c r="H134" s="556">
        <f>$F$1*(Semidetached!E43-Savings_SemiDet!E217)</f>
        <v>2.0107371755547093E-2</v>
      </c>
      <c r="I134" s="556">
        <f>$F$1*(Semidetached!F43-Savings_SemiDet!F217)</f>
        <v>1.0620541373489792E-2</v>
      </c>
      <c r="J134" s="556">
        <f>$F$1*(Semidetached!G43-Savings_SemiDet!G217)</f>
        <v>1.2886255216512802E-2</v>
      </c>
      <c r="K134" s="556">
        <f>$F$1*(Semidetached!H43-Savings_SemiDet!H217)</f>
        <v>3.1523860538356084E-3</v>
      </c>
      <c r="L134" s="556">
        <f>$F$1*(Semidetached!I43-Savings_SemiDet!I217)</f>
        <v>8.7475013664874337E-3</v>
      </c>
      <c r="M134" s="556">
        <f>$F$1*(Semidetached!J43-Savings_SemiDet!J217)</f>
        <v>7.6158746986986735E-3</v>
      </c>
      <c r="N134" s="556">
        <f>$F$1*(Semidetached!K43-Savings_SemiDet!K217)</f>
        <v>5.6633875214577188E-3</v>
      </c>
      <c r="O134" s="556">
        <f>$F$1*(Semidetached!L43-Savings_SemiDet!L217)</f>
        <v>3.100626494083505E-3</v>
      </c>
      <c r="P134" s="556">
        <f>$F$1*(Semidetached!M43-Savings_SemiDet!M217)</f>
        <v>1.4674108703325422E-2</v>
      </c>
      <c r="Q134" s="556">
        <f>$F$1*(Semidetached!N43-Savings_SemiDet!N217)</f>
        <v>6.0276619641564302E-3</v>
      </c>
      <c r="R134" s="556">
        <f>$F$1*(Semidetached!O43-Savings_SemiDet!O217)</f>
        <v>8.7199753259377538E-3</v>
      </c>
      <c r="S134" s="556">
        <f>$F$1*(Semidetached!P43-Savings_SemiDet!P217)</f>
        <v>1.2333726513034948E-2</v>
      </c>
      <c r="T134" s="556">
        <f>$F$1*(Semidetached!Q43-Savings_SemiDet!Q217)</f>
        <v>8.8531791405999215E-3</v>
      </c>
      <c r="U134" s="556">
        <f>$F$1*(Semidetached!R43-Savings_SemiDet!R217)</f>
        <v>1.2259551411688817E-2</v>
      </c>
      <c r="V134" s="556">
        <f>$F$1*(Semidetached!S43-Savings_SemiDet!S217)</f>
        <v>1.9550303793416435E-2</v>
      </c>
      <c r="W134" s="556">
        <f>$F$1*(Semidetached!T43-Savings_SemiDet!T217)</f>
        <v>5.1618797350789971E-3</v>
      </c>
      <c r="X134" s="556">
        <f>$F$1*(Semidetached!U43-Savings_SemiDet!U217)</f>
        <v>1.1351617312453667E-2</v>
      </c>
      <c r="Y134" s="556">
        <f>$F$1*(Semidetached!V43-Savings_SemiDet!V217)</f>
        <v>6.0683999994514595E-3</v>
      </c>
      <c r="Z134" s="556">
        <f>$F$1*(Semidetached!W43-Savings_SemiDet!W217)</f>
        <v>5.8928348027560981E-3</v>
      </c>
      <c r="AA134" s="556">
        <f>$F$1*(Semidetached!X43-Savings_SemiDet!X217)</f>
        <v>1.1615876581577745E-2</v>
      </c>
      <c r="AB134" s="556">
        <f>$F$1*(Semidetached!Y43-Savings_SemiDet!Y217)</f>
        <v>3.3831459137029321E-3</v>
      </c>
      <c r="AC134" s="556">
        <f>$F$1*(Semidetached!Z43-Savings_SemiDet!Z217)</f>
        <v>1.7560659157709418E-2</v>
      </c>
      <c r="AD134" s="556">
        <f>$F$1*(Semidetached!AA43-Savings_SemiDet!AA217)</f>
        <v>3.3407165357445695E-3</v>
      </c>
      <c r="AE134" s="556">
        <f>$F$1*(Semidetached!AB43-Savings_SemiDet!AB217)</f>
        <v>7.708579980650861E-3</v>
      </c>
      <c r="AF134" s="556">
        <f>$F$1*(Semidetached!AC43-Savings_SemiDet!AC217)</f>
        <v>6.6681942346776399E-3</v>
      </c>
      <c r="AG134" s="556">
        <f>$F$1*(Semidetached!AD43-Savings_SemiDet!AD217)</f>
        <v>1.5033213847258626E-2</v>
      </c>
      <c r="AH134" s="556">
        <f>$F$1*(Semidetached!AE43-Savings_SemiDet!AE217)</f>
        <v>3.1736050914198538E-3</v>
      </c>
      <c r="AI134" s="556">
        <f>$F$1*(Semidetached!AF43-Savings_SemiDet!AF217)</f>
        <v>1.4254946313356913E-2</v>
      </c>
      <c r="AJ134" s="556">
        <f>$F$1*(Semidetached!AG43-Savings_SemiDet!AG217)</f>
        <v>1.2617431152426804E-2</v>
      </c>
      <c r="AK134" s="556">
        <f>$F$1*(Semidetached!AH43-Savings_SemiDet!AH217)</f>
        <v>1.5993208726719187E-2</v>
      </c>
      <c r="AL134" s="556">
        <f>$F$1*(Semidetached!AI43-Savings_SemiDet!AI217)</f>
        <v>1.1391510574277064E-2</v>
      </c>
      <c r="AM134" s="556">
        <f>$F$1*(Semidetached!AJ43-Savings_SemiDet!AJ217)</f>
        <v>1.1547991160612234E-2</v>
      </c>
      <c r="AN134" s="556">
        <f>$F$1*(Semidetached!AK43-Savings_SemiDet!AK217)</f>
        <v>1.2249077745178695E-2</v>
      </c>
      <c r="AO134" s="556">
        <f>$F$1*(Semidetached!AL43-Savings_SemiDet!AL217)</f>
        <v>1.1116468942265277E-2</v>
      </c>
      <c r="AP134" s="556">
        <f>$F$1*(Semidetached!AM43-Savings_SemiDet!AM217)</f>
        <v>1.0619251282876484E-2</v>
      </c>
      <c r="AQ134" s="556">
        <f>$F$1*(Semidetached!AN43-Savings_SemiDet!AN217)</f>
        <v>1.0619251282876484E-2</v>
      </c>
      <c r="AT134" s="5" t="s">
        <v>359</v>
      </c>
    </row>
    <row r="135" spans="1:46">
      <c r="A135" s="5" t="str">
        <f t="shared" si="5"/>
        <v>OUTPUT</v>
      </c>
      <c r="B135" s="5" t="s">
        <v>617</v>
      </c>
      <c r="C135" s="5" t="str">
        <f t="shared" si="4"/>
        <v>Bldg_SDEPre89-Wal</v>
      </c>
      <c r="D135" s="5" t="s">
        <v>302</v>
      </c>
      <c r="E135" s="5" t="s">
        <v>360</v>
      </c>
      <c r="F135" s="5" t="s">
        <v>606</v>
      </c>
      <c r="G135" s="556">
        <f>$F$1*(Semidetached!D44-Savings_SemiDet!D218)</f>
        <v>7.7811973436428027E-3</v>
      </c>
      <c r="H135" s="556">
        <f>$F$1*(Semidetached!E44-Savings_SemiDet!E218)</f>
        <v>1.6855571483608268E-2</v>
      </c>
      <c r="I135" s="556">
        <f>$F$1*(Semidetached!F44-Savings_SemiDet!F218)</f>
        <v>8.3425769593360784E-3</v>
      </c>
      <c r="J135" s="556">
        <f>$F$1*(Semidetached!G44-Savings_SemiDet!G218)</f>
        <v>7.7828370817059405E-3</v>
      </c>
      <c r="K135" s="556">
        <f>$F$1*(Semidetached!H44-Savings_SemiDet!H218)</f>
        <v>3.1749614169216808E-3</v>
      </c>
      <c r="L135" s="556">
        <f>$F$1*(Semidetached!I44-Savings_SemiDet!I218)</f>
        <v>7.4702525171776619E-3</v>
      </c>
      <c r="M135" s="556">
        <f>$F$1*(Semidetached!J44-Savings_SemiDet!J218)</f>
        <v>6.8798262263132055E-3</v>
      </c>
      <c r="N135" s="556">
        <f>$F$1*(Semidetached!K44-Savings_SemiDet!K218)</f>
        <v>3.5300572066006555E-3</v>
      </c>
      <c r="O135" s="556">
        <f>$F$1*(Semidetached!L44-Savings_SemiDet!L218)</f>
        <v>2.1754927474819082E-3</v>
      </c>
      <c r="P135" s="556">
        <f>$F$1*(Semidetached!M44-Savings_SemiDet!M218)</f>
        <v>1.1447321317377723E-2</v>
      </c>
      <c r="Q135" s="556">
        <f>$F$1*(Semidetached!N44-Savings_SemiDet!N218)</f>
        <v>3.6261324950982617E-3</v>
      </c>
      <c r="R135" s="556">
        <f>$F$1*(Semidetached!O44-Savings_SemiDet!O218)</f>
        <v>7.1374154070352712E-3</v>
      </c>
      <c r="S135" s="556">
        <f>$F$1*(Semidetached!P44-Savings_SemiDet!P218)</f>
        <v>1.2421786239242486E-2</v>
      </c>
      <c r="T135" s="556">
        <f>$F$1*(Semidetached!Q44-Savings_SemiDet!Q218)</f>
        <v>8.8531791405999215E-3</v>
      </c>
      <c r="U135" s="556">
        <f>$F$1*(Semidetached!R44-Savings_SemiDet!R218)</f>
        <v>6.8890052775344521E-3</v>
      </c>
      <c r="V135" s="556">
        <f>$F$1*(Semidetached!S44-Savings_SemiDet!S218)</f>
        <v>1.244307250062095E-2</v>
      </c>
      <c r="W135" s="556">
        <f>$F$1*(Semidetached!T44-Savings_SemiDet!T218)</f>
        <v>3.1052967056926766E-3</v>
      </c>
      <c r="X135" s="556">
        <f>$F$1*(Semidetached!U44-Savings_SemiDet!U218)</f>
        <v>6.5641163640278027E-3</v>
      </c>
      <c r="Y135" s="556">
        <f>$F$1*(Semidetached!V44-Savings_SemiDet!V218)</f>
        <v>6.0683999994514595E-3</v>
      </c>
      <c r="Z135" s="556">
        <f>$F$1*(Semidetached!W44-Savings_SemiDet!W218)</f>
        <v>5.3796747947120376E-3</v>
      </c>
      <c r="AA135" s="556">
        <f>$F$1*(Semidetached!X44-Savings_SemiDet!X218)</f>
        <v>5.7426796755397904E-3</v>
      </c>
      <c r="AB135" s="556">
        <f>$F$1*(Semidetached!Y44-Savings_SemiDet!Y218)</f>
        <v>3.4600498401287268E-3</v>
      </c>
      <c r="AC135" s="556">
        <f>$F$1*(Semidetached!Z44-Savings_SemiDet!Z218)</f>
        <v>5.2929200698559539E-3</v>
      </c>
      <c r="AD135" s="556">
        <f>$F$1*(Semidetached!AA44-Savings_SemiDet!AA218)</f>
        <v>3.3475909137639006E-3</v>
      </c>
      <c r="AE135" s="556">
        <f>$F$1*(Semidetached!AB44-Savings_SemiDet!AB218)</f>
        <v>7.708579980650861E-3</v>
      </c>
      <c r="AF135" s="556">
        <f>$F$1*(Semidetached!AC44-Savings_SemiDet!AC218)</f>
        <v>6.1552208010103547E-3</v>
      </c>
      <c r="AG135" s="556">
        <f>$F$1*(Semidetached!AD44-Savings_SemiDet!AD218)</f>
        <v>1.1114650952831942E-2</v>
      </c>
      <c r="AH135" s="556">
        <f>$F$1*(Semidetached!AE44-Savings_SemiDet!AE218)</f>
        <v>3.1802205998407666E-3</v>
      </c>
      <c r="AI135" s="556">
        <f>$F$1*(Semidetached!AF44-Savings_SemiDet!AF218)</f>
        <v>8.4578264742393508E-3</v>
      </c>
      <c r="AJ135" s="556">
        <f>$F$1*(Semidetached!AG44-Savings_SemiDet!AG218)</f>
        <v>1.029894047627263E-2</v>
      </c>
      <c r="AK135" s="556">
        <f>$F$1*(Semidetached!AH44-Savings_SemiDet!AH218)</f>
        <v>4.9515583070464091E-3</v>
      </c>
      <c r="AL135" s="556">
        <f>$F$1*(Semidetached!AI44-Savings_SemiDet!AI218)</f>
        <v>1.1474375928829626E-2</v>
      </c>
      <c r="AM135" s="556">
        <f>$F$1*(Semidetached!AJ44-Savings_SemiDet!AJ218)</f>
        <v>9.3829770729987969E-3</v>
      </c>
      <c r="AN135" s="556">
        <f>$F$1*(Semidetached!AK44-Savings_SemiDet!AK218)</f>
        <v>9.9677034706409061E-3</v>
      </c>
      <c r="AO135" s="556">
        <f>$F$1*(Semidetached!AL44-Savings_SemiDet!AL218)</f>
        <v>8.7347798481529747E-3</v>
      </c>
      <c r="AP135" s="556">
        <f>$F$1*(Semidetached!AM44-Savings_SemiDet!AM218)</f>
        <v>8.6283570825283276E-3</v>
      </c>
      <c r="AQ135" s="556">
        <f>$F$1*(Semidetached!AN44-Savings_SemiDet!AN218)</f>
        <v>8.6283570825283276E-3</v>
      </c>
      <c r="AT135" s="5" t="s">
        <v>360</v>
      </c>
    </row>
    <row r="136" spans="1:46">
      <c r="A136" s="5" t="str">
        <f t="shared" si="5"/>
        <v>OUTPUT</v>
      </c>
      <c r="B136" s="5" t="s">
        <v>617</v>
      </c>
      <c r="C136" s="5" t="str">
        <f t="shared" ref="C136:C199" si="6">IF(B136&lt;&gt;"","Bldg_"&amp;LEFT(E136,8)&amp;"-"&amp;LEFT(D136,3),"")</f>
        <v>Bldg_SDEPre99-Wal</v>
      </c>
      <c r="D136" s="5" t="s">
        <v>302</v>
      </c>
      <c r="E136" s="5" t="s">
        <v>361</v>
      </c>
      <c r="F136" s="5" t="s">
        <v>606</v>
      </c>
      <c r="G136" s="556">
        <f>$F$1*(Semidetached!D45-Savings_SemiDet!D219)</f>
        <v>5.5042684204965869E-3</v>
      </c>
      <c r="H136" s="556">
        <f>$F$1*(Semidetached!E45-Savings_SemiDet!E219)</f>
        <v>1.6855571483608268E-2</v>
      </c>
      <c r="I136" s="556">
        <f>$F$1*(Semidetached!F45-Savings_SemiDet!F219)</f>
        <v>6.3831601421570948E-3</v>
      </c>
      <c r="J136" s="556">
        <f>$F$1*(Semidetached!G45-Savings_SemiDet!G219)</f>
        <v>5.5052473726942405E-3</v>
      </c>
      <c r="K136" s="556">
        <f>$F$1*(Semidetached!H45-Savings_SemiDet!H219)</f>
        <v>3.2267996874061522E-3</v>
      </c>
      <c r="L136" s="556">
        <f>$F$1*(Semidetached!I45-Savings_SemiDet!I219)</f>
        <v>4.1872305735938271E-3</v>
      </c>
      <c r="M136" s="556">
        <f>$F$1*(Semidetached!J45-Savings_SemiDet!J219)</f>
        <v>2.1026329954078179E-3</v>
      </c>
      <c r="N136" s="556">
        <f>$F$1*(Semidetached!K45-Savings_SemiDet!K219)</f>
        <v>3.5300572066006555E-3</v>
      </c>
      <c r="O136" s="556">
        <f>$F$1*(Semidetached!L45-Savings_SemiDet!L219)</f>
        <v>1.8292839132320938E-3</v>
      </c>
      <c r="P136" s="556">
        <f>$F$1*(Semidetached!M45-Savings_SemiDet!M219)</f>
        <v>1.1447321317377723E-2</v>
      </c>
      <c r="Q136" s="556">
        <f>$F$1*(Semidetached!N45-Savings_SemiDet!N219)</f>
        <v>3.5349696656352355E-3</v>
      </c>
      <c r="R136" s="556">
        <f>$F$1*(Semidetached!O45-Savings_SemiDet!O219)</f>
        <v>2.7569694256402316E-3</v>
      </c>
      <c r="S136" s="556">
        <f>$F$1*(Semidetached!P45-Savings_SemiDet!P219)</f>
        <v>1.2421786239242486E-2</v>
      </c>
      <c r="T136" s="556">
        <f>$F$1*(Semidetached!Q45-Savings_SemiDet!Q219)</f>
        <v>5.3934902341484956E-3</v>
      </c>
      <c r="U136" s="556">
        <f>$F$1*(Semidetached!R45-Savings_SemiDet!R219)</f>
        <v>6.8890052775344521E-3</v>
      </c>
      <c r="V136" s="556">
        <f>$F$1*(Semidetached!S45-Savings_SemiDet!S219)</f>
        <v>8.0281399279706483E-3</v>
      </c>
      <c r="W136" s="556">
        <f>$F$1*(Semidetached!T45-Savings_SemiDet!T219)</f>
        <v>3.0272531755917821E-3</v>
      </c>
      <c r="X136" s="556">
        <f>$F$1*(Semidetached!U45-Savings_SemiDet!U219)</f>
        <v>5.3756117101752916E-3</v>
      </c>
      <c r="Y136" s="556">
        <f>$F$1*(Semidetached!V45-Savings_SemiDet!V219)</f>
        <v>6.0683999994514595E-3</v>
      </c>
      <c r="Z136" s="556">
        <f>$F$1*(Semidetached!W45-Savings_SemiDet!W219)</f>
        <v>4.318466334933397E-3</v>
      </c>
      <c r="AA136" s="556">
        <f>$F$1*(Semidetached!X45-Savings_SemiDet!X219)</f>
        <v>5.7686846473493101E-3</v>
      </c>
      <c r="AB136" s="556">
        <f>$F$1*(Semidetached!Y45-Savings_SemiDet!Y219)</f>
        <v>3.476200364803872E-3</v>
      </c>
      <c r="AC136" s="556">
        <f>$F$1*(Semidetached!Z45-Savings_SemiDet!Z219)</f>
        <v>4.5580717372598412E-3</v>
      </c>
      <c r="AD136" s="556">
        <f>$F$1*(Semidetached!AA45-Savings_SemiDet!AA219)</f>
        <v>1.9790648968013051E-3</v>
      </c>
      <c r="AE136" s="556">
        <f>$F$1*(Semidetached!AB45-Savings_SemiDet!AB219)</f>
        <v>7.708579980650861E-3</v>
      </c>
      <c r="AF136" s="556">
        <f>$F$1*(Semidetached!AC45-Savings_SemiDet!AC219)</f>
        <v>5.1480060183915575E-3</v>
      </c>
      <c r="AG136" s="556">
        <f>$F$1*(Semidetached!AD45-Savings_SemiDet!AD219)</f>
        <v>1.1114650952831942E-2</v>
      </c>
      <c r="AH136" s="556">
        <f>$F$1*(Semidetached!AE45-Savings_SemiDet!AE219)</f>
        <v>1.8799834684809025E-3</v>
      </c>
      <c r="AI136" s="556">
        <f>$F$1*(Semidetached!AF45-Savings_SemiDet!AF219)</f>
        <v>5.1953508047835476E-3</v>
      </c>
      <c r="AJ136" s="556">
        <f>$F$1*(Semidetached!AG45-Savings_SemiDet!AG219)</f>
        <v>1.0542907637456449E-2</v>
      </c>
      <c r="AK136" s="556">
        <f>$F$1*(Semidetached!AH45-Savings_SemiDet!AH219)</f>
        <v>3.3093944905027901E-3</v>
      </c>
      <c r="AL136" s="556">
        <f>$F$1*(Semidetached!AI45-Savings_SemiDet!AI219)</f>
        <v>1.1474375928829626E-2</v>
      </c>
      <c r="AM136" s="556">
        <f>$F$1*(Semidetached!AJ45-Savings_SemiDet!AJ219)</f>
        <v>8.4884520115701759E-3</v>
      </c>
      <c r="AN136" s="556">
        <f>$F$1*(Semidetached!AK45-Savings_SemiDet!AK219)</f>
        <v>9.0250592105934006E-3</v>
      </c>
      <c r="AO136" s="556">
        <f>$F$1*(Semidetached!AL45-Savings_SemiDet!AL219)</f>
        <v>6.6902215475238115E-3</v>
      </c>
      <c r="AP136" s="556">
        <f>$F$1*(Semidetached!AM45-Savings_SemiDet!AM219)</f>
        <v>7.8057736328162423E-3</v>
      </c>
      <c r="AQ136" s="556">
        <f>$F$1*(Semidetached!AN45-Savings_SemiDet!AN219)</f>
        <v>7.8057736328162423E-3</v>
      </c>
      <c r="AT136" s="5" t="s">
        <v>361</v>
      </c>
    </row>
    <row r="137" spans="1:46">
      <c r="A137" s="5" t="str">
        <f t="shared" si="5"/>
        <v>OUTPUT</v>
      </c>
      <c r="B137" s="5" t="s">
        <v>617</v>
      </c>
      <c r="C137" s="5" t="str">
        <f t="shared" si="6"/>
        <v>Bldg_SDEPre09-Wal</v>
      </c>
      <c r="D137" s="5" t="s">
        <v>302</v>
      </c>
      <c r="E137" s="5" t="s">
        <v>362</v>
      </c>
      <c r="F137" s="5" t="s">
        <v>606</v>
      </c>
      <c r="G137" s="556">
        <f>$F$1*(Semidetached!D46-Savings_SemiDet!D220)</f>
        <v>4.8444929620278451E-3</v>
      </c>
      <c r="H137" s="556">
        <f>$F$1*(Semidetached!E46-Savings_SemiDet!E220)</f>
        <v>7.8102012620208106E-3</v>
      </c>
      <c r="I137" s="556">
        <f>$F$1*(Semidetached!F46-Savings_SemiDet!F220)</f>
        <v>2.2502974951614015E-3</v>
      </c>
      <c r="J137" s="556">
        <f>$F$1*(Semidetached!G46-Savings_SemiDet!G220)</f>
        <v>4.8463761921570918E-3</v>
      </c>
      <c r="K137" s="556">
        <f>$F$1*(Semidetached!H46-Savings_SemiDet!H220)</f>
        <v>3.3629246231324352E-3</v>
      </c>
      <c r="L137" s="556">
        <f>$F$1*(Semidetached!I46-Savings_SemiDet!I220)</f>
        <v>3.4082131973736502E-3</v>
      </c>
      <c r="M137" s="556">
        <f>$F$1*(Semidetached!J46-Savings_SemiDet!J220)</f>
        <v>2.9459547962814386E-3</v>
      </c>
      <c r="N137" s="556">
        <f>$F$1*(Semidetached!K46-Savings_SemiDet!K220)</f>
        <v>2.1701865881660521E-3</v>
      </c>
      <c r="O137" s="556">
        <f>$F$1*(Semidetached!L46-Savings_SemiDet!L220)</f>
        <v>1.8292839132320938E-3</v>
      </c>
      <c r="P137" s="556">
        <f>$F$1*(Semidetached!M46-Savings_SemiDet!M220)</f>
        <v>5.0789364313818452E-3</v>
      </c>
      <c r="Q137" s="556">
        <f>$F$1*(Semidetached!N46-Savings_SemiDet!N220)</f>
        <v>3.2075008564137028E-3</v>
      </c>
      <c r="R137" s="556">
        <f>$F$1*(Semidetached!O46-Savings_SemiDet!O220)</f>
        <v>2.6130878062012248E-3</v>
      </c>
      <c r="S137" s="556">
        <f>$F$1*(Semidetached!P46-Savings_SemiDet!P220)</f>
        <v>2.8901645962683526E-3</v>
      </c>
      <c r="T137" s="556">
        <f>$F$1*(Semidetached!Q46-Savings_SemiDet!Q220)</f>
        <v>1.6182410465854762E-3</v>
      </c>
      <c r="U137" s="556">
        <f>$F$1*(Semidetached!R46-Savings_SemiDet!R220)</f>
        <v>3.3602975059468672E-3</v>
      </c>
      <c r="V137" s="556">
        <f>$F$1*(Semidetached!S46-Savings_SemiDet!S220)</f>
        <v>2.4532317646129343E-3</v>
      </c>
      <c r="W137" s="556">
        <f>$F$1*(Semidetached!T46-Savings_SemiDet!T220)</f>
        <v>2.7468384965649846E-3</v>
      </c>
      <c r="X137" s="556">
        <f>$F$1*(Semidetached!U46-Savings_SemiDet!U220)</f>
        <v>5.4094200502053649E-3</v>
      </c>
      <c r="Y137" s="556">
        <f>$F$1*(Semidetached!V46-Savings_SemiDet!V220)</f>
        <v>1.1984374517951155E-3</v>
      </c>
      <c r="Z137" s="556">
        <f>$F$1*(Semidetached!W46-Savings_SemiDet!W220)</f>
        <v>2.8137720155856721E-3</v>
      </c>
      <c r="AA137" s="556">
        <f>$F$1*(Semidetached!X46-Savings_SemiDet!X220)</f>
        <v>1.2539369972140709E-3</v>
      </c>
      <c r="AB137" s="556">
        <f>$F$1*(Semidetached!Y46-Savings_SemiDet!Y220)</f>
        <v>3.0470026155531953E-3</v>
      </c>
      <c r="AC137" s="556">
        <f>$F$1*(Semidetached!Z46-Savings_SemiDet!Z220)</f>
        <v>3.3642034020144192E-3</v>
      </c>
      <c r="AD137" s="556">
        <f>$F$1*(Semidetached!AA46-Savings_SemiDet!AA220)</f>
        <v>2.0152989714696218E-3</v>
      </c>
      <c r="AE137" s="556">
        <f>$F$1*(Semidetached!AB46-Savings_SemiDet!AB220)</f>
        <v>3.7110115244946484E-3</v>
      </c>
      <c r="AF137" s="556">
        <f>$F$1*(Semidetached!AC46-Savings_SemiDet!AC220)</f>
        <v>3.1251555413792272E-3</v>
      </c>
      <c r="AG137" s="556">
        <f>$F$1*(Semidetached!AD46-Savings_SemiDet!AD220)</f>
        <v>7.2059495846762559E-3</v>
      </c>
      <c r="AH137" s="556">
        <f>$F$1*(Semidetached!AE46-Savings_SemiDet!AE220)</f>
        <v>1.9148687569916117E-3</v>
      </c>
      <c r="AI137" s="556">
        <f>$F$1*(Semidetached!AF46-Savings_SemiDet!AF220)</f>
        <v>1.8441423216361877E-3</v>
      </c>
      <c r="AJ137" s="556">
        <f>$F$1*(Semidetached!AG46-Savings_SemiDet!AG220)</f>
        <v>3.9541856164222733E-3</v>
      </c>
      <c r="AK137" s="556">
        <f>$F$1*(Semidetached!AH46-Savings_SemiDet!AH220)</f>
        <v>2.1744728571044358E-3</v>
      </c>
      <c r="AL137" s="556">
        <f>$F$1*(Semidetached!AI46-Savings_SemiDet!AI220)</f>
        <v>2.6704745009685999E-3</v>
      </c>
      <c r="AM137" s="556">
        <f>$F$1*(Semidetached!AJ46-Savings_SemiDet!AJ220)</f>
        <v>6.7083642433668593E-3</v>
      </c>
      <c r="AN137" s="556">
        <f>$F$1*(Semidetached!AK46-Savings_SemiDet!AK220)</f>
        <v>7.1287023590848216E-3</v>
      </c>
      <c r="AO137" s="556">
        <f>$F$1*(Semidetached!AL46-Savings_SemiDet!AL220)</f>
        <v>2.3586358668385419E-3</v>
      </c>
      <c r="AP137" s="556">
        <f>$F$1*(Semidetached!AM46-Savings_SemiDet!AM220)</f>
        <v>6.1688482963472794E-3</v>
      </c>
      <c r="AQ137" s="556">
        <f>$F$1*(Semidetached!AN46-Savings_SemiDet!AN220)</f>
        <v>6.1688482963472794E-3</v>
      </c>
      <c r="AT137" s="5" t="s">
        <v>362</v>
      </c>
    </row>
    <row r="138" spans="1:46">
      <c r="A138" s="5" t="str">
        <f t="shared" si="5"/>
        <v>\I:</v>
      </c>
      <c r="C138" s="5" t="str">
        <f t="shared" si="6"/>
        <v/>
      </c>
      <c r="E138" s="5" t="s">
        <v>623</v>
      </c>
    </row>
    <row r="139" spans="1:46" ht="15" thickBot="1">
      <c r="A139" s="494" t="str">
        <f t="shared" ref="A139:A202" si="7">IF(F139=$F$75,"\I:",IF(F139=$F$8,"OUTPUT","\I:"))</f>
        <v>\I:</v>
      </c>
      <c r="B139" s="494"/>
      <c r="C139" s="494" t="str">
        <f t="shared" si="6"/>
        <v/>
      </c>
      <c r="D139" s="494"/>
      <c r="E139" s="494" t="s">
        <v>623</v>
      </c>
      <c r="F139" s="494"/>
      <c r="G139" s="494"/>
      <c r="H139" s="494"/>
      <c r="I139" s="494"/>
      <c r="J139" s="494"/>
      <c r="K139" s="494"/>
      <c r="L139" s="494"/>
      <c r="M139" s="494"/>
      <c r="N139" s="494"/>
      <c r="O139" s="494"/>
      <c r="P139" s="494"/>
      <c r="Q139" s="494"/>
      <c r="R139" s="494"/>
      <c r="S139" s="494"/>
      <c r="T139" s="494"/>
      <c r="U139" s="494"/>
      <c r="V139" s="494"/>
      <c r="W139" s="494"/>
      <c r="X139" s="494"/>
      <c r="Y139" s="494"/>
      <c r="Z139" s="494"/>
      <c r="AA139" s="494"/>
      <c r="AB139" s="494"/>
      <c r="AC139" s="494"/>
      <c r="AD139" s="494"/>
      <c r="AE139" s="494"/>
      <c r="AF139" s="494"/>
      <c r="AG139" s="494"/>
      <c r="AH139" s="494"/>
      <c r="AI139" s="494"/>
      <c r="AJ139" s="494"/>
      <c r="AK139" s="494"/>
      <c r="AL139" s="494"/>
      <c r="AM139" s="494"/>
      <c r="AN139" s="494"/>
      <c r="AO139" s="494"/>
      <c r="AP139" s="494"/>
      <c r="AQ139" s="494"/>
      <c r="AT139" s="494"/>
    </row>
    <row r="140" spans="1:46">
      <c r="A140" s="5" t="str">
        <f t="shared" si="7"/>
        <v>\I:</v>
      </c>
      <c r="C140" s="5" t="str">
        <f t="shared" si="6"/>
        <v/>
      </c>
      <c r="E140" s="5" t="s">
        <v>623</v>
      </c>
    </row>
    <row r="141" spans="1:46">
      <c r="A141" s="5" t="str">
        <f t="shared" si="7"/>
        <v>\I:</v>
      </c>
      <c r="C141" s="5" t="str">
        <f t="shared" si="6"/>
        <v/>
      </c>
      <c r="E141" s="162" t="s">
        <v>623</v>
      </c>
      <c r="G141" s="5" t="s">
        <v>88</v>
      </c>
      <c r="H141" s="5" t="s">
        <v>89</v>
      </c>
      <c r="I141" s="5" t="s">
        <v>90</v>
      </c>
      <c r="J141" s="5" t="s">
        <v>91</v>
      </c>
      <c r="K141" s="5" t="s">
        <v>92</v>
      </c>
      <c r="L141" s="5" t="s">
        <v>93</v>
      </c>
      <c r="M141" s="5" t="s">
        <v>94</v>
      </c>
      <c r="N141" s="5" t="s">
        <v>95</v>
      </c>
      <c r="O141" s="5" t="s">
        <v>96</v>
      </c>
      <c r="P141" s="5" t="s">
        <v>97</v>
      </c>
      <c r="Q141" s="5" t="s">
        <v>98</v>
      </c>
      <c r="R141" s="5" t="s">
        <v>99</v>
      </c>
      <c r="S141" s="5" t="s">
        <v>205</v>
      </c>
      <c r="T141" s="5" t="s">
        <v>118</v>
      </c>
      <c r="U141" s="5" t="s">
        <v>100</v>
      </c>
      <c r="V141" s="5" t="s">
        <v>101</v>
      </c>
      <c r="W141" s="5" t="s">
        <v>102</v>
      </c>
      <c r="X141" s="5" t="s">
        <v>103</v>
      </c>
      <c r="Y141" s="5" t="s">
        <v>104</v>
      </c>
      <c r="Z141" s="5" t="s">
        <v>105</v>
      </c>
      <c r="AA141" s="5" t="s">
        <v>106</v>
      </c>
      <c r="AB141" s="5" t="s">
        <v>107</v>
      </c>
      <c r="AC141" s="5" t="s">
        <v>108</v>
      </c>
      <c r="AD141" s="5" t="s">
        <v>109</v>
      </c>
      <c r="AE141" s="5" t="s">
        <v>110</v>
      </c>
      <c r="AF141" s="5" t="s">
        <v>111</v>
      </c>
      <c r="AG141" s="5" t="s">
        <v>112</v>
      </c>
      <c r="AH141" s="5" t="s">
        <v>113</v>
      </c>
      <c r="AI141" s="5" t="s">
        <v>114</v>
      </c>
      <c r="AJ141" s="5" t="s">
        <v>115</v>
      </c>
      <c r="AK141" s="5" t="s">
        <v>52</v>
      </c>
      <c r="AL141" s="5" t="s">
        <v>116</v>
      </c>
      <c r="AM141" s="5" t="s">
        <v>117</v>
      </c>
      <c r="AN141" s="5" t="s">
        <v>119</v>
      </c>
      <c r="AO141" s="5" t="s">
        <v>120</v>
      </c>
      <c r="AP141" s="5" t="s">
        <v>121</v>
      </c>
      <c r="AQ141" s="5" t="s">
        <v>122</v>
      </c>
      <c r="AT141" s="491" t="s">
        <v>58</v>
      </c>
    </row>
    <row r="142" spans="1:46">
      <c r="A142" s="135" t="str">
        <f t="shared" si="7"/>
        <v>\I:</v>
      </c>
      <c r="C142" s="5" t="str">
        <f t="shared" si="6"/>
        <v/>
      </c>
      <c r="E142" s="162" t="s">
        <v>623</v>
      </c>
      <c r="F142" s="135" t="s">
        <v>393</v>
      </c>
      <c r="G142" s="492">
        <f>G160*'Energy Efficiency Measures-DBT'!D55/'Energy Efficiency Measures-DBT'!D57</f>
        <v>27.163486461433294</v>
      </c>
      <c r="H142" s="492">
        <f>H160*'Energy Efficiency Measures-DBT'!E55/'Energy Efficiency Measures-DBT'!E57</f>
        <v>34.408152066773454</v>
      </c>
      <c r="I142" s="492">
        <f>I160*'Energy Efficiency Measures-DBT'!F55/'Energy Efficiency Measures-DBT'!F57</f>
        <v>16.749309257710781</v>
      </c>
      <c r="J142" s="492">
        <f>J160*'Energy Efficiency Measures-DBT'!G55/'Energy Efficiency Measures-DBT'!G57</f>
        <v>27.163486461433294</v>
      </c>
      <c r="K142" s="492">
        <f>K160*'Energy Efficiency Measures-DBT'!H55/'Energy Efficiency Measures-DBT'!H57</f>
        <v>31.561643835616437</v>
      </c>
      <c r="L142" s="492">
        <f>L160*'Energy Efficiency Measures-DBT'!I55/'Energy Efficiency Measures-DBT'!I57</f>
        <v>23.61139306776386</v>
      </c>
      <c r="M142" s="492">
        <f>M160*'Energy Efficiency Measures-DBT'!J55/'Energy Efficiency Measures-DBT'!J57</f>
        <v>32.490818827814167</v>
      </c>
      <c r="N142" s="492">
        <f>N160*'Energy Efficiency Measures-DBT'!K55/'Energy Efficiency Measures-DBT'!K57</f>
        <v>32.142857142857139</v>
      </c>
      <c r="O142" s="492">
        <f>O160*'Energy Efficiency Measures-DBT'!L55/'Energy Efficiency Measures-DBT'!L57</f>
        <v>22.594600296395129</v>
      </c>
      <c r="P142" s="492">
        <f>P160*'Energy Efficiency Measures-DBT'!M55/'Energy Efficiency Measures-DBT'!M57</f>
        <v>37.513193442235291</v>
      </c>
      <c r="Q142" s="492">
        <f>Q160*'Energy Efficiency Measures-DBT'!N55/'Energy Efficiency Measures-DBT'!N57</f>
        <v>44.999999999999993</v>
      </c>
      <c r="R142" s="492">
        <f>R160*'Energy Efficiency Measures-DBT'!O55/'Energy Efficiency Measures-DBT'!O57</f>
        <v>41.502277475398863</v>
      </c>
      <c r="S142" s="492">
        <f>S160*'Energy Efficiency Measures-DBT'!P55/'Energy Efficiency Measures-DBT'!P57</f>
        <v>31.561643835616437</v>
      </c>
      <c r="T142" s="492">
        <f>T160*'Energy Efficiency Measures-DBT'!Q55/'Energy Efficiency Measures-DBT'!Q57</f>
        <v>16.977842218121129</v>
      </c>
      <c r="U142" s="492">
        <f>U160*'Energy Efficiency Measures-DBT'!R55/'Energy Efficiency Measures-DBT'!R57</f>
        <v>23.109257767658111</v>
      </c>
      <c r="V142" s="492">
        <f>V160*'Energy Efficiency Measures-DBT'!S55/'Energy Efficiency Measures-DBT'!S57</f>
        <v>30.61757184806504</v>
      </c>
      <c r="W142" s="492">
        <f>W160*'Energy Efficiency Measures-DBT'!T55/'Energy Efficiency Measures-DBT'!T57</f>
        <v>45.000000000000007</v>
      </c>
      <c r="X142" s="492">
        <f>X160*'Energy Efficiency Measures-DBT'!U55/'Energy Efficiency Measures-DBT'!U57</f>
        <v>25.37444933920705</v>
      </c>
      <c r="Y142" s="492">
        <f>Y160*'Energy Efficiency Measures-DBT'!V55/'Energy Efficiency Measures-DBT'!V57</f>
        <v>20.945757586136423</v>
      </c>
      <c r="Z142" s="492">
        <f>Z160*'Energy Efficiency Measures-DBT'!W55/'Energy Efficiency Measures-DBT'!W57</f>
        <v>29.370593427595455</v>
      </c>
      <c r="AA142" s="492">
        <f>AA160*'Energy Efficiency Measures-DBT'!X55/'Energy Efficiency Measures-DBT'!X57</f>
        <v>20.970873786407765</v>
      </c>
      <c r="AB142" s="492">
        <f>AB160*'Energy Efficiency Measures-DBT'!Y55/'Energy Efficiency Measures-DBT'!Y57</f>
        <v>27.095856248579643</v>
      </c>
      <c r="AC142" s="492">
        <f>AC160*'Energy Efficiency Measures-DBT'!Z55/'Energy Efficiency Measures-DBT'!Z57</f>
        <v>26.879245494863298</v>
      </c>
      <c r="AD142" s="492">
        <f>AD160*'Energy Efficiency Measures-DBT'!AA55/'Energy Efficiency Measures-DBT'!AA57</f>
        <v>37.724550898203596</v>
      </c>
      <c r="AE142" s="492">
        <f>AE160*'Energy Efficiency Measures-DBT'!AB55/'Energy Efficiency Measures-DBT'!AB57</f>
        <v>20.579372209101283</v>
      </c>
      <c r="AF142" s="492">
        <f>AF160*'Energy Efficiency Measures-DBT'!AC55/'Energy Efficiency Measures-DBT'!AC57</f>
        <v>33.519496201144456</v>
      </c>
      <c r="AG142" s="492">
        <f>AG160*'Energy Efficiency Measures-DBT'!AD55/'Energy Efficiency Measures-DBT'!AD57</f>
        <v>22.523300354216438</v>
      </c>
      <c r="AH142" s="492">
        <f>AH160*'Energy Efficiency Measures-DBT'!AE55/'Energy Efficiency Measures-DBT'!AE57</f>
        <v>37.724550898203596</v>
      </c>
      <c r="AI142" s="492">
        <f>AI160*'Energy Efficiency Measures-DBT'!AF55/'Energy Efficiency Measures-DBT'!AF57</f>
        <v>20.946116290393935</v>
      </c>
      <c r="AJ142" s="492">
        <f>AJ160*'Energy Efficiency Measures-DBT'!AG55/'Energy Efficiency Measures-DBT'!AG57</f>
        <v>23.509094452374502</v>
      </c>
      <c r="AK142" s="492">
        <f>AK160*'Energy Efficiency Measures-DBT'!AH55/'Energy Efficiency Measures-DBT'!AH57</f>
        <v>42.087312714534974</v>
      </c>
      <c r="AL142" s="492">
        <f>AL160*'Energy Efficiency Measures-DBT'!AI55/'Energy Efficiency Measures-DBT'!AI57</f>
        <v>14.794520547945206</v>
      </c>
      <c r="AM142" s="492">
        <f>AM160*'Energy Efficiency Measures-DBT'!AJ55/'Energy Efficiency Measures-DBT'!AJ57</f>
        <v>16.977842218121129</v>
      </c>
      <c r="AN142" s="492">
        <f>AN160*'Energy Efficiency Measures-DBT'!AK55/'Energy Efficiency Measures-DBT'!AK57</f>
        <v>14.794520547945206</v>
      </c>
      <c r="AO142" s="492">
        <f>AO160*'Energy Efficiency Measures-DBT'!AL55/'Energy Efficiency Measures-DBT'!AL57</f>
        <v>16.977842218121129</v>
      </c>
      <c r="AP142" s="492">
        <f>AP160*'Energy Efficiency Measures-DBT'!AM55/'Energy Efficiency Measures-DBT'!AM57</f>
        <v>16.977842218121129</v>
      </c>
      <c r="AQ142" s="492">
        <f>AQ160*'Energy Efficiency Measures-DBT'!AN55/'Energy Efficiency Measures-DBT'!AN57</f>
        <v>16.977842218121129</v>
      </c>
      <c r="AT142" s="162"/>
    </row>
    <row r="143" spans="1:46">
      <c r="A143" s="135" t="str">
        <f t="shared" si="7"/>
        <v>\I:</v>
      </c>
      <c r="C143" s="5" t="str">
        <f t="shared" si="6"/>
        <v/>
      </c>
      <c r="E143" s="162" t="s">
        <v>363</v>
      </c>
      <c r="F143" s="135" t="s">
        <v>625</v>
      </c>
      <c r="G143" s="214">
        <f>G142*Flat!D5</f>
        <v>38879.999999999993</v>
      </c>
      <c r="H143" s="214">
        <f>H142*Flat!E5</f>
        <v>50400.000000000007</v>
      </c>
      <c r="I143" s="214">
        <f>I142*Flat!F5</f>
        <v>43200</v>
      </c>
      <c r="J143" s="214">
        <f>J142*Flat!G5</f>
        <v>38879.999999999993</v>
      </c>
      <c r="K143" s="214">
        <f>K142*Flat!H5</f>
        <v>46080</v>
      </c>
      <c r="L143" s="214">
        <f>L142*Flat!I5</f>
        <v>28800</v>
      </c>
      <c r="M143" s="214">
        <f>M142*Flat!J5</f>
        <v>40748.936170212764</v>
      </c>
      <c r="N143" s="214">
        <f>N142*Flat!K5</f>
        <v>75599.999999999985</v>
      </c>
      <c r="O143" s="214">
        <f>O142*Flat!L5</f>
        <v>21600</v>
      </c>
      <c r="P143" s="214">
        <f>P142*Flat!M5</f>
        <v>32400</v>
      </c>
      <c r="Q143" s="214">
        <f>Q142*Flat!N5</f>
        <v>125999.99999999999</v>
      </c>
      <c r="R143" s="214">
        <f>R142*Flat!O5</f>
        <v>54719.999999999993</v>
      </c>
      <c r="S143" s="214">
        <f>S142*Flat!P5</f>
        <v>23040</v>
      </c>
      <c r="T143" s="214">
        <f>T142*Flat!Q5</f>
        <v>21600</v>
      </c>
      <c r="U143" s="214">
        <f>U142*Flat!R5</f>
        <v>21599.999999999996</v>
      </c>
      <c r="V143" s="214">
        <f>V142*Flat!S5</f>
        <v>162995.74468085103</v>
      </c>
      <c r="W143" s="214">
        <f>W142*Flat!T5</f>
        <v>50400.000000000007</v>
      </c>
      <c r="X143" s="214">
        <f>X142*Flat!U5</f>
        <v>46080</v>
      </c>
      <c r="Y143" s="214">
        <f>Y142*Flat!V5</f>
        <v>21600</v>
      </c>
      <c r="Z143" s="214">
        <f>Z142*Flat!W5</f>
        <v>50400.000000000007</v>
      </c>
      <c r="AA143" s="214">
        <f>AA142*Flat!X5</f>
        <v>21599.999999999996</v>
      </c>
      <c r="AB143" s="214">
        <f>AB142*Flat!Y5</f>
        <v>46080</v>
      </c>
      <c r="AC143" s="214">
        <f>AC142*Flat!Z5</f>
        <v>40748.936170212757</v>
      </c>
      <c r="AD143" s="214">
        <f>AD142*Flat!AA5</f>
        <v>50400.000000000007</v>
      </c>
      <c r="AE143" s="214">
        <f>AE142*Flat!AB5</f>
        <v>32399.999999999996</v>
      </c>
      <c r="AF143" s="214">
        <f>AF142*Flat!AC5</f>
        <v>64800</v>
      </c>
      <c r="AG143" s="214">
        <f>AG142*Flat!AD5</f>
        <v>86400.000000000015</v>
      </c>
      <c r="AH143" s="214">
        <f>AH142*Flat!AE5</f>
        <v>50400.000000000007</v>
      </c>
      <c r="AI143" s="214">
        <f>AI142*Flat!AF5</f>
        <v>21600.000000000004</v>
      </c>
      <c r="AJ143" s="214">
        <f>AJ142*Flat!AG5</f>
        <v>28800</v>
      </c>
      <c r="AK143" s="214">
        <f>AK142*Flat!AH5</f>
        <v>162995.74468085103</v>
      </c>
      <c r="AL143" s="214">
        <f>AL142*Flat!AI5</f>
        <v>21600</v>
      </c>
      <c r="AM143" s="214">
        <f>AM142*Flat!AJ5</f>
        <v>21600</v>
      </c>
      <c r="AN143" s="214">
        <f>AN142*Flat!AK5</f>
        <v>21600</v>
      </c>
      <c r="AO143" s="214">
        <f>AO142*Flat!AL5</f>
        <v>21600</v>
      </c>
      <c r="AP143" s="214">
        <f>AP142*Flat!AM5</f>
        <v>21600</v>
      </c>
      <c r="AQ143" s="214">
        <f>AQ142*Flat!AN5</f>
        <v>21600</v>
      </c>
      <c r="AT143" s="162"/>
    </row>
    <row r="144" spans="1:46">
      <c r="A144" s="5" t="str">
        <f t="shared" si="7"/>
        <v>OUTPUT</v>
      </c>
      <c r="B144" s="5" t="s">
        <v>615</v>
      </c>
      <c r="C144" s="5" t="str">
        <f t="shared" si="6"/>
        <v>Bldg_FLTPre45-Win</v>
      </c>
      <c r="D144" s="5" t="s">
        <v>78</v>
      </c>
      <c r="E144" s="5" t="s">
        <v>363</v>
      </c>
      <c r="F144" s="5" t="s">
        <v>606</v>
      </c>
      <c r="G144" s="556">
        <f>$F$1*(Flat!D41-Savings_Flat!D17)</f>
        <v>-2.5416688926670726E-4</v>
      </c>
      <c r="H144" s="556">
        <f>$F$1*(Flat!E41-Savings_Flat!E17)</f>
        <v>1.2361533451077759E-3</v>
      </c>
      <c r="I144" s="556">
        <f>$F$1*(Flat!F41-Savings_Flat!F17)</f>
        <v>-4.7197712919778505E-5</v>
      </c>
      <c r="J144" s="556">
        <f>$F$1*(Flat!G41-Savings_Flat!G17)</f>
        <v>-2.476242608916182E-4</v>
      </c>
      <c r="K144" s="556">
        <f>$F$1*(Flat!H41-Savings_Flat!H17)</f>
        <v>0</v>
      </c>
      <c r="L144" s="556">
        <f>$F$1*(Flat!I41-Savings_Flat!I17)</f>
        <v>1.3332241419647728E-4</v>
      </c>
      <c r="M144" s="556">
        <f>$F$1*(Flat!J41-Savings_Flat!J17)</f>
        <v>9.0133198476261001E-4</v>
      </c>
      <c r="N144" s="556">
        <f>$F$1*(Flat!K41-Savings_Flat!K17)</f>
        <v>-2.1729808219457449E-4</v>
      </c>
      <c r="O144" s="556">
        <f>$F$1*(Flat!L41-Savings_Flat!L17)</f>
        <v>-1.7550337463482673E-3</v>
      </c>
      <c r="P144" s="556">
        <f>$F$1*(Flat!M41-Savings_Flat!M17)</f>
        <v>1.8225416645265438E-3</v>
      </c>
      <c r="Q144" s="556">
        <f>$F$1*(Flat!N41-Savings_Flat!N17)</f>
        <v>-1.1368107484879739E-3</v>
      </c>
      <c r="R144" s="556">
        <f>$F$1*(Flat!O41-Savings_Flat!O17)</f>
        <v>1.2204314938238897E-3</v>
      </c>
      <c r="S144" s="556">
        <f>$F$1*(Flat!P41-Savings_Flat!P17)</f>
        <v>2.3255444927667635E-4</v>
      </c>
      <c r="T144" s="556">
        <f>$F$1*(Flat!Q41-Savings_Flat!Q17)</f>
        <v>1.583209926780571E-3</v>
      </c>
      <c r="U144" s="556">
        <f>$F$1*(Flat!R41-Savings_Flat!R17)</f>
        <v>-2.0515108993322942E-4</v>
      </c>
      <c r="V144" s="556">
        <f>$F$1*(Flat!S41-Savings_Flat!S17)</f>
        <v>1.4359527423498449E-3</v>
      </c>
      <c r="W144" s="556">
        <f>$F$1*(Flat!T41-Savings_Flat!T17)</f>
        <v>-9.8540105623729532E-4</v>
      </c>
      <c r="X144" s="556">
        <f>$F$1*(Flat!U41-Savings_Flat!U17)</f>
        <v>1.9488689872898426E-3</v>
      </c>
      <c r="Y144" s="556">
        <f>$F$1*(Flat!V41-Savings_Flat!V17)</f>
        <v>-8.229108401648338E-4</v>
      </c>
      <c r="Z144" s="556">
        <f>$F$1*(Flat!W41-Savings_Flat!W17)</f>
        <v>2.0608004049744969E-3</v>
      </c>
      <c r="AA144" s="556">
        <f>$F$1*(Flat!X41-Savings_Flat!X17)</f>
        <v>0</v>
      </c>
      <c r="AB144" s="556">
        <f>$F$1*(Flat!Y41-Savings_Flat!Y17)</f>
        <v>5.5972745011396996E-4</v>
      </c>
      <c r="AC144" s="556">
        <f>$F$1*(Flat!Z41-Savings_Flat!Z17)</f>
        <v>1.0792100711838515E-3</v>
      </c>
      <c r="AD144" s="556">
        <f>$F$1*(Flat!AA41-Savings_Flat!AA17)</f>
        <v>-3.7277306838413501E-4</v>
      </c>
      <c r="AE144" s="556">
        <f>$F$1*(Flat!AB41-Savings_Flat!AB17)</f>
        <v>9.9777361019585432E-4</v>
      </c>
      <c r="AF144" s="556">
        <f>$F$1*(Flat!AC41-Savings_Flat!AC17)</f>
        <v>6.0152110950308535E-4</v>
      </c>
      <c r="AG144" s="556">
        <f>$F$1*(Flat!AD41-Savings_Flat!AD17)</f>
        <v>-1.0570649332804207E-4</v>
      </c>
      <c r="AH144" s="556">
        <f>$F$1*(Flat!AE41-Savings_Flat!AE17)</f>
        <v>-3.594361644143145E-4</v>
      </c>
      <c r="AI144" s="556">
        <f>$F$1*(Flat!AF41-Savings_Flat!AF17)</f>
        <v>-3.2662324630571682E-4</v>
      </c>
      <c r="AJ144" s="556">
        <f>$F$1*(Flat!AG41-Savings_Flat!AG17)</f>
        <v>1.1960510940679013E-3</v>
      </c>
      <c r="AK144" s="556">
        <f>$F$1*(Flat!AH41-Savings_Flat!AH17)</f>
        <v>1.2902395894811775E-3</v>
      </c>
      <c r="AL144" s="556">
        <f>$F$1*(Flat!AI41-Savings_Flat!AI17)</f>
        <v>2.3192558365155386E-4</v>
      </c>
      <c r="AM144" s="556">
        <f>$F$1*(Flat!AJ41-Savings_Flat!AJ17)</f>
        <v>3.1273924805902138E-4</v>
      </c>
      <c r="AN144" s="556">
        <f>$F$1*(Flat!AK41-Savings_Flat!AK17)</f>
        <v>2.7857382046322753E-4</v>
      </c>
      <c r="AO144" s="556">
        <f>$F$1*(Flat!AL41-Savings_Flat!AL17)</f>
        <v>-4.7358944968186196E-5</v>
      </c>
      <c r="AP144" s="556">
        <f>$F$1*(Flat!AM41-Savings_Flat!AM17)</f>
        <v>2.8758739203785011E-4</v>
      </c>
      <c r="AQ144" s="556">
        <f>$F$1*(Flat!AN41-Savings_Flat!AN17)</f>
        <v>2.8758739203785011E-4</v>
      </c>
      <c r="AT144" s="5" t="s">
        <v>363</v>
      </c>
    </row>
    <row r="145" spans="1:46">
      <c r="A145" s="5" t="str">
        <f t="shared" si="7"/>
        <v>OUTPUT</v>
      </c>
      <c r="B145" s="5" t="s">
        <v>615</v>
      </c>
      <c r="C145" s="5" t="str">
        <f t="shared" si="6"/>
        <v>Bldg_FLTPre69-Win</v>
      </c>
      <c r="D145" s="5" t="s">
        <v>78</v>
      </c>
      <c r="E145" s="5" t="s">
        <v>364</v>
      </c>
      <c r="F145" s="5" t="s">
        <v>606</v>
      </c>
      <c r="G145" s="556">
        <f>$F$1*(Flat!D42-Savings_Flat!D18)</f>
        <v>-2.5910869890376491E-4</v>
      </c>
      <c r="H145" s="556">
        <f>$F$1*(Flat!E42-Savings_Flat!E18)</f>
        <v>1.2361533451077759E-3</v>
      </c>
      <c r="I145" s="556">
        <f>$F$1*(Flat!F42-Savings_Flat!F18)</f>
        <v>-4.7197712919778505E-5</v>
      </c>
      <c r="J145" s="556">
        <f>$F$1*(Flat!G42-Savings_Flat!G18)</f>
        <v>-2.524388611032195E-4</v>
      </c>
      <c r="K145" s="556">
        <f>$F$1*(Flat!H42-Savings_Flat!H18)</f>
        <v>0</v>
      </c>
      <c r="L145" s="556">
        <f>$F$1*(Flat!I42-Savings_Flat!I18)</f>
        <v>1.3600016004270221E-4</v>
      </c>
      <c r="M145" s="556">
        <f>$F$1*(Flat!J42-Savings_Flat!J18)</f>
        <v>-5.0972947070660677E-5</v>
      </c>
      <c r="N145" s="556">
        <f>$F$1*(Flat!K42-Savings_Flat!K18)</f>
        <v>-2.7001310513400902E-4</v>
      </c>
      <c r="O145" s="556">
        <f>$F$1*(Flat!L42-Savings_Flat!L18)</f>
        <v>-1.7550337463482673E-3</v>
      </c>
      <c r="P145" s="556">
        <f>$F$1*(Flat!M42-Savings_Flat!M18)</f>
        <v>1.8615323369047124E-3</v>
      </c>
      <c r="Q145" s="556">
        <f>$F$1*(Flat!N42-Savings_Flat!N18)</f>
        <v>-1.1498130206216101E-3</v>
      </c>
      <c r="R145" s="556">
        <f>$F$1*(Flat!O42-Savings_Flat!O18)</f>
        <v>1.2204314938238897E-3</v>
      </c>
      <c r="S145" s="556">
        <f>$F$1*(Flat!P42-Savings_Flat!P18)</f>
        <v>2.3255444927667635E-4</v>
      </c>
      <c r="T145" s="556">
        <f>$F$1*(Flat!Q42-Savings_Flat!Q18)</f>
        <v>1.5627679923763042E-3</v>
      </c>
      <c r="U145" s="556">
        <f>$F$1*(Flat!R42-Savings_Flat!R18)</f>
        <v>-2.0515108993322942E-4</v>
      </c>
      <c r="V145" s="556">
        <f>$F$1*(Flat!S42-Savings_Flat!S18)</f>
        <v>1.43298933757707E-3</v>
      </c>
      <c r="W145" s="556">
        <f>$F$1*(Flat!T42-Savings_Flat!T18)</f>
        <v>-9.9659926794533121E-4</v>
      </c>
      <c r="X145" s="556">
        <f>$F$1*(Flat!U42-Savings_Flat!U18)</f>
        <v>1.9723694324860499E-3</v>
      </c>
      <c r="Y145" s="556">
        <f>$F$1*(Flat!V42-Savings_Flat!V18)</f>
        <v>-8.229108401648338E-4</v>
      </c>
      <c r="Z145" s="556">
        <f>$F$1*(Flat!W42-Savings_Flat!W18)</f>
        <v>1.2172059920625821E-3</v>
      </c>
      <c r="AA145" s="556">
        <f>$F$1*(Flat!X42-Savings_Flat!X18)</f>
        <v>-3.1501396115333162E-4</v>
      </c>
      <c r="AB145" s="556">
        <f>$F$1*(Flat!Y42-Savings_Flat!Y18)</f>
        <v>5.5981667310749778E-4</v>
      </c>
      <c r="AC145" s="556">
        <f>$F$1*(Flat!Z42-Savings_Flat!Z18)</f>
        <v>7.5465091959145154E-4</v>
      </c>
      <c r="AD145" s="556">
        <f>$F$1*(Flat!AA42-Savings_Flat!AA18)</f>
        <v>-4.6197745918311858E-4</v>
      </c>
      <c r="AE145" s="556">
        <f>$F$1*(Flat!AB42-Savings_Flat!AB18)</f>
        <v>-5.7519131743663101E-5</v>
      </c>
      <c r="AF145" s="556">
        <f>$F$1*(Flat!AC42-Savings_Flat!AC18)</f>
        <v>6.6070964318425335E-4</v>
      </c>
      <c r="AG145" s="556">
        <f>$F$1*(Flat!AD42-Savings_Flat!AD18)</f>
        <v>-2.1469509279185026E-4</v>
      </c>
      <c r="AH145" s="556">
        <f>$F$1*(Flat!AE42-Savings_Flat!AE18)</f>
        <v>-4.4544904140858863E-4</v>
      </c>
      <c r="AI145" s="556">
        <f>$F$1*(Flat!AF42-Savings_Flat!AF18)</f>
        <v>-3.2662324630571682E-4</v>
      </c>
      <c r="AJ145" s="556">
        <f>$F$1*(Flat!AG42-Savings_Flat!AG18)</f>
        <v>1.2314583194251102E-3</v>
      </c>
      <c r="AK145" s="556">
        <f>$F$1*(Flat!AH42-Savings_Flat!AH18)</f>
        <v>1.2128899665255581E-3</v>
      </c>
      <c r="AL145" s="556">
        <f>$F$1*(Flat!AI42-Savings_Flat!AI18)</f>
        <v>2.3192558365155386E-4</v>
      </c>
      <c r="AM145" s="556">
        <f>$F$1*(Flat!AJ42-Savings_Flat!AJ18)</f>
        <v>3.1273924805902138E-4</v>
      </c>
      <c r="AN145" s="556">
        <f>$F$1*(Flat!AK42-Savings_Flat!AK18)</f>
        <v>2.7857382046322753E-4</v>
      </c>
      <c r="AO145" s="556">
        <f>$F$1*(Flat!AL42-Savings_Flat!AL18)</f>
        <v>-4.7358944968186196E-5</v>
      </c>
      <c r="AP145" s="556">
        <f>$F$1*(Flat!AM42-Savings_Flat!AM18)</f>
        <v>2.8758739203785011E-4</v>
      </c>
      <c r="AQ145" s="556">
        <f>$F$1*(Flat!AN42-Savings_Flat!AN18)</f>
        <v>2.8758739203785011E-4</v>
      </c>
      <c r="AT145" s="5" t="s">
        <v>364</v>
      </c>
    </row>
    <row r="146" spans="1:46">
      <c r="A146" s="5" t="str">
        <f t="shared" si="7"/>
        <v>OUTPUT</v>
      </c>
      <c r="B146" s="5" t="s">
        <v>615</v>
      </c>
      <c r="C146" s="5" t="str">
        <f t="shared" si="6"/>
        <v>Bldg_FLTPre79-Win</v>
      </c>
      <c r="D146" s="5" t="s">
        <v>78</v>
      </c>
      <c r="E146" s="5" t="s">
        <v>365</v>
      </c>
      <c r="F146" s="5" t="s">
        <v>606</v>
      </c>
      <c r="G146" s="556">
        <f>$F$1*(Flat!D43-Savings_Flat!D19)</f>
        <v>-5.3780423804145766E-4</v>
      </c>
      <c r="H146" s="556">
        <f>$F$1*(Flat!E43-Savings_Flat!E19)</f>
        <v>1.2361533451077759E-3</v>
      </c>
      <c r="I146" s="556">
        <f>$F$1*(Flat!F43-Savings_Flat!F19)</f>
        <v>-4.7685399893773872E-5</v>
      </c>
      <c r="J146" s="556">
        <f>$F$1*(Flat!G43-Savings_Flat!G19)</f>
        <v>-5.2396036845561657E-4</v>
      </c>
      <c r="K146" s="556">
        <f>$F$1*(Flat!H43-Savings_Flat!H19)</f>
        <v>8.1892780644040849E-4</v>
      </c>
      <c r="L146" s="556">
        <f>$F$1*(Flat!I43-Savings_Flat!I19)</f>
        <v>1.3600016004270221E-4</v>
      </c>
      <c r="M146" s="556">
        <f>$F$1*(Flat!J43-Savings_Flat!J19)</f>
        <v>1.2438659256050634E-4</v>
      </c>
      <c r="N146" s="556">
        <f>$F$1*(Flat!K43-Savings_Flat!K19)</f>
        <v>-3.3020064894447173E-4</v>
      </c>
      <c r="O146" s="556">
        <f>$F$1*(Flat!L43-Savings_Flat!L19)</f>
        <v>-1.8132219978800289E-3</v>
      </c>
      <c r="P146" s="556">
        <f>$F$1*(Flat!M43-Savings_Flat!M19)</f>
        <v>1.8615323369047124E-3</v>
      </c>
      <c r="Q146" s="556">
        <f>$F$1*(Flat!N43-Savings_Flat!N19)</f>
        <v>-1.5369352753275512E-3</v>
      </c>
      <c r="R146" s="556">
        <f>$F$1*(Flat!O43-Savings_Flat!O19)</f>
        <v>7.4134806178544706E-4</v>
      </c>
      <c r="S146" s="556">
        <f>$F$1*(Flat!P43-Savings_Flat!P19)</f>
        <v>2.3255444927667635E-4</v>
      </c>
      <c r="T146" s="556">
        <f>$F$1*(Flat!Q43-Savings_Flat!Q19)</f>
        <v>2.8132290226927766E-4</v>
      </c>
      <c r="U146" s="556">
        <f>$F$1*(Flat!R43-Savings_Flat!R19)</f>
        <v>-2.1042944122192061E-4</v>
      </c>
      <c r="V146" s="556">
        <f>$F$1*(Flat!S43-Savings_Flat!S19)</f>
        <v>1.4642085865980104E-3</v>
      </c>
      <c r="W146" s="556">
        <f>$F$1*(Flat!T43-Savings_Flat!T19)</f>
        <v>-1.3385804505165817E-3</v>
      </c>
      <c r="X146" s="556">
        <f>$F$1*(Flat!U43-Savings_Flat!U19)</f>
        <v>1.4378783185738414E-3</v>
      </c>
      <c r="Y146" s="556">
        <f>$F$1*(Flat!V43-Savings_Flat!V19)</f>
        <v>-1.4744383716117516E-3</v>
      </c>
      <c r="Z146" s="556">
        <f>$F$1*(Flat!W43-Savings_Flat!W19)</f>
        <v>3.8167180964636507E-4</v>
      </c>
      <c r="AA146" s="556">
        <f>$F$1*(Flat!X43-Savings_Flat!X19)</f>
        <v>-3.1903928825231966E-4</v>
      </c>
      <c r="AB146" s="556">
        <f>$F$1*(Flat!Y43-Savings_Flat!Y19)</f>
        <v>5.8517635077120578E-4</v>
      </c>
      <c r="AC146" s="556">
        <f>$F$1*(Flat!Z43-Savings_Flat!Z19)</f>
        <v>7.5716552690022047E-4</v>
      </c>
      <c r="AD146" s="556">
        <f>$F$1*(Flat!AA43-Savings_Flat!AA19)</f>
        <v>-5.6297724333275118E-4</v>
      </c>
      <c r="AE146" s="556">
        <f>$F$1*(Flat!AB43-Savings_Flat!AB19)</f>
        <v>-5.5226603761728867E-4</v>
      </c>
      <c r="AF146" s="556">
        <f>$F$1*(Flat!AC43-Savings_Flat!AC19)</f>
        <v>6.6226796388513059E-4</v>
      </c>
      <c r="AG146" s="556">
        <f>$F$1*(Flat!AD43-Savings_Flat!AD19)</f>
        <v>-2.1469509279185026E-4</v>
      </c>
      <c r="AH146" s="556">
        <f>$F$1*(Flat!AE43-Savings_Flat!AE19)</f>
        <v>-5.4283530157695674E-4</v>
      </c>
      <c r="AI146" s="556">
        <f>$F$1*(Flat!AF43-Savings_Flat!AF19)</f>
        <v>-6.5845218026175769E-4</v>
      </c>
      <c r="AJ146" s="556">
        <f>$F$1*(Flat!AG43-Savings_Flat!AG19)</f>
        <v>1.2314583194251102E-3</v>
      </c>
      <c r="AK146" s="556">
        <f>$F$1*(Flat!AH43-Savings_Flat!AH19)</f>
        <v>9.1020059558164098E-4</v>
      </c>
      <c r="AL146" s="556">
        <f>$F$1*(Flat!AI43-Savings_Flat!AI19)</f>
        <v>2.3192558365155386E-4</v>
      </c>
      <c r="AM146" s="556">
        <f>$F$1*(Flat!AJ43-Savings_Flat!AJ19)</f>
        <v>3.1273924805902138E-4</v>
      </c>
      <c r="AN146" s="556">
        <f>$F$1*(Flat!AK43-Savings_Flat!AK19)</f>
        <v>2.7857382046322753E-4</v>
      </c>
      <c r="AO146" s="556">
        <f>$F$1*(Flat!AL43-Savings_Flat!AL19)</f>
        <v>-4.7868343426808872E-5</v>
      </c>
      <c r="AP146" s="556">
        <f>$F$1*(Flat!AM43-Savings_Flat!AM19)</f>
        <v>2.8758739203785011E-4</v>
      </c>
      <c r="AQ146" s="556">
        <f>$F$1*(Flat!AN43-Savings_Flat!AN19)</f>
        <v>2.8758739203785011E-4</v>
      </c>
      <c r="AT146" s="5" t="s">
        <v>365</v>
      </c>
    </row>
    <row r="147" spans="1:46">
      <c r="A147" s="5" t="str">
        <f t="shared" si="7"/>
        <v>OUTPUT</v>
      </c>
      <c r="B147" s="5" t="s">
        <v>615</v>
      </c>
      <c r="C147" s="5" t="str">
        <f t="shared" si="6"/>
        <v>Bldg_FLTPre89-Win</v>
      </c>
      <c r="D147" s="5" t="s">
        <v>78</v>
      </c>
      <c r="E147" s="5" t="s">
        <v>366</v>
      </c>
      <c r="F147" s="5" t="s">
        <v>606</v>
      </c>
      <c r="G147" s="556">
        <f>$F$1*(Flat!D44-Savings_Flat!D20)</f>
        <v>-1.2852141741279913E-3</v>
      </c>
      <c r="H147" s="556">
        <f>$F$1*(Flat!E44-Savings_Flat!E20)</f>
        <v>9.1494032979034688E-4</v>
      </c>
      <c r="I147" s="556">
        <f>$F$1*(Flat!F44-Savings_Flat!F20)</f>
        <v>-4.8963016696834899E-5</v>
      </c>
      <c r="J147" s="556">
        <f>$F$1*(Flat!G44-Savings_Flat!G20)</f>
        <v>-1.252130876976402E-3</v>
      </c>
      <c r="K147" s="556">
        <f>$F$1*(Flat!H44-Savings_Flat!H20)</f>
        <v>8.221285642920149E-4</v>
      </c>
      <c r="L147" s="556">
        <f>$F$1*(Flat!I44-Savings_Flat!I20)</f>
        <v>1.3842314283246925E-4</v>
      </c>
      <c r="M147" s="556">
        <f>$F$1*(Flat!J44-Savings_Flat!J20)</f>
        <v>-1.6625968313722681E-4</v>
      </c>
      <c r="N147" s="556">
        <f>$F$1*(Flat!K44-Savings_Flat!K20)</f>
        <v>-4.7313102900456297E-4</v>
      </c>
      <c r="O147" s="556">
        <f>$F$1*(Flat!L44-Savings_Flat!L20)</f>
        <v>-3.0612594880441595E-3</v>
      </c>
      <c r="P147" s="556">
        <f>$F$1*(Flat!M44-Savings_Flat!M20)</f>
        <v>3.9624468256735352E-4</v>
      </c>
      <c r="Q147" s="556">
        <f>$F$1*(Flat!N44-Savings_Flat!N20)</f>
        <v>-2.3101674877525277E-3</v>
      </c>
      <c r="R147" s="556">
        <f>$F$1*(Flat!O44-Savings_Flat!O20)</f>
        <v>3.2226673584396148E-4</v>
      </c>
      <c r="S147" s="556">
        <f>$F$1*(Flat!P44-Savings_Flat!P20)</f>
        <v>2.3336840772490727E-4</v>
      </c>
      <c r="T147" s="556">
        <f>$F$1*(Flat!Q44-Savings_Flat!Q20)</f>
        <v>2.8132290226927766E-4</v>
      </c>
      <c r="U147" s="556">
        <f>$F$1*(Flat!R44-Savings_Flat!R20)</f>
        <v>-2.2212198315999234E-4</v>
      </c>
      <c r="V147" s="556">
        <f>$F$1*(Flat!S44-Savings_Flat!S20)</f>
        <v>6.4611995806108165E-4</v>
      </c>
      <c r="W147" s="556">
        <f>$F$1*(Flat!T44-Savings_Flat!T20)</f>
        <v>-2.0219752393192026E-3</v>
      </c>
      <c r="X147" s="556">
        <f>$F$1*(Flat!U44-Savings_Flat!U20)</f>
        <v>4.3309185963221288E-4</v>
      </c>
      <c r="Y147" s="556">
        <f>$F$1*(Flat!V44-Savings_Flat!V20)</f>
        <v>-1.4744383716117516E-3</v>
      </c>
      <c r="Z147" s="556">
        <f>$F$1*(Flat!W44-Savings_Flat!W20)</f>
        <v>-9.1114112709658529E-4</v>
      </c>
      <c r="AA147" s="556">
        <f>$F$1*(Flat!X44-Savings_Flat!X20)</f>
        <v>-1.5557280157881789E-3</v>
      </c>
      <c r="AB147" s="556">
        <f>$F$1*(Flat!Y44-Savings_Flat!Y20)</f>
        <v>5.912331643471556E-4</v>
      </c>
      <c r="AC147" s="556">
        <f>$F$1*(Flat!Z44-Savings_Flat!Z20)</f>
        <v>7.5246731484687843E-4</v>
      </c>
      <c r="AD147" s="556">
        <f>$F$1*(Flat!AA44-Savings_Flat!AA20)</f>
        <v>-7.8441812847776092E-4</v>
      </c>
      <c r="AE147" s="556">
        <f>$F$1*(Flat!AB44-Savings_Flat!AB20)</f>
        <v>-5.5226603761728867E-4</v>
      </c>
      <c r="AF147" s="556">
        <f>$F$1*(Flat!AC44-Savings_Flat!AC20)</f>
        <v>7.1105773629204282E-4</v>
      </c>
      <c r="AG147" s="556">
        <f>$F$1*(Flat!AD44-Savings_Flat!AD20)</f>
        <v>-3.3050364989920607E-4</v>
      </c>
      <c r="AH147" s="556">
        <f>$F$1*(Flat!AE44-Savings_Flat!AE20)</f>
        <v>-7.5635357623679447E-4</v>
      </c>
      <c r="AI147" s="556">
        <f>$F$1*(Flat!AF44-Savings_Flat!AF20)</f>
        <v>-1.2715986467336704E-3</v>
      </c>
      <c r="AJ147" s="556">
        <f>$F$1*(Flat!AG44-Savings_Flat!AG20)</f>
        <v>2.5304326952054038E-4</v>
      </c>
      <c r="AK147" s="556">
        <f>$F$1*(Flat!AH44-Savings_Flat!AH20)</f>
        <v>8.9536288018372725E-4</v>
      </c>
      <c r="AL147" s="556">
        <f>$F$1*(Flat!AI44-Savings_Flat!AI20)</f>
        <v>2.3268821118687343E-4</v>
      </c>
      <c r="AM147" s="556">
        <f>$F$1*(Flat!AJ44-Savings_Flat!AJ20)</f>
        <v>3.2090782216146808E-4</v>
      </c>
      <c r="AN147" s="556">
        <f>$F$1*(Flat!AK44-Savings_Flat!AK20)</f>
        <v>2.8598945522344515E-4</v>
      </c>
      <c r="AO147" s="556">
        <f>$F$1*(Flat!AL44-Savings_Flat!AL20)</f>
        <v>-4.9229627198607353E-5</v>
      </c>
      <c r="AP147" s="556">
        <f>$F$1*(Flat!AM44-Savings_Flat!AM20)</f>
        <v>2.9509901373986472E-4</v>
      </c>
      <c r="AQ147" s="556">
        <f>$F$1*(Flat!AN44-Savings_Flat!AN20)</f>
        <v>2.9509901373986472E-4</v>
      </c>
      <c r="AT147" s="5" t="s">
        <v>366</v>
      </c>
    </row>
    <row r="148" spans="1:46">
      <c r="A148" s="5" t="str">
        <f t="shared" si="7"/>
        <v>OUTPUT</v>
      </c>
      <c r="B148" s="5" t="s">
        <v>615</v>
      </c>
      <c r="C148" s="5" t="str">
        <f t="shared" si="6"/>
        <v>Bldg_FLTPre99-Win</v>
      </c>
      <c r="D148" s="5" t="s">
        <v>78</v>
      </c>
      <c r="E148" s="5" t="s">
        <v>367</v>
      </c>
      <c r="F148" s="5" t="s">
        <v>606</v>
      </c>
      <c r="G148" s="556">
        <f>$F$1*(Flat!D45-Savings_Flat!D21)</f>
        <v>-1.6167692224784496E-3</v>
      </c>
      <c r="H148" s="556">
        <f>$F$1*(Flat!E45-Savings_Flat!E21)</f>
        <v>9.1494032979034688E-4</v>
      </c>
      <c r="I148" s="556">
        <f>$F$1*(Flat!F45-Savings_Flat!F21)</f>
        <v>-5.0868522666628458E-5</v>
      </c>
      <c r="J148" s="556">
        <f>$F$1*(Flat!G45-Savings_Flat!G21)</f>
        <v>-1.5751512122747504E-3</v>
      </c>
      <c r="K148" s="556">
        <f>$F$1*(Flat!H45-Savings_Flat!H21)</f>
        <v>-2.9587172916732229E-4</v>
      </c>
      <c r="L148" s="556">
        <f>$F$1*(Flat!I45-Savings_Flat!I21)</f>
        <v>-4.3569189159571315E-4</v>
      </c>
      <c r="M148" s="556">
        <f>$F$1*(Flat!J45-Savings_Flat!J21)</f>
        <v>-1.5384534054336541E-3</v>
      </c>
      <c r="N148" s="556">
        <f>$F$1*(Flat!K45-Savings_Flat!K21)</f>
        <v>-4.7313102900456297E-4</v>
      </c>
      <c r="O148" s="556">
        <f>$F$1*(Flat!L45-Savings_Flat!L21)</f>
        <v>-3.2313239885046734E-3</v>
      </c>
      <c r="P148" s="556">
        <f>$F$1*(Flat!M45-Savings_Flat!M21)</f>
        <v>3.9624468256735352E-4</v>
      </c>
      <c r="Q148" s="556">
        <f>$F$1*(Flat!N45-Savings_Flat!N21)</f>
        <v>-2.3136843326010512E-3</v>
      </c>
      <c r="R148" s="556">
        <f>$F$1*(Flat!O45-Savings_Flat!O21)</f>
        <v>-8.3127331588972431E-4</v>
      </c>
      <c r="S148" s="556">
        <f>$F$1*(Flat!P45-Savings_Flat!P21)</f>
        <v>2.3336840772490727E-4</v>
      </c>
      <c r="T148" s="556">
        <f>$F$1*(Flat!Q45-Savings_Flat!Q21)</f>
        <v>-2.9828444913455686E-4</v>
      </c>
      <c r="U148" s="556">
        <f>$F$1*(Flat!R45-Savings_Flat!R21)</f>
        <v>-2.2212198315999234E-4</v>
      </c>
      <c r="V148" s="556">
        <f>$F$1*(Flat!S45-Savings_Flat!S21)</f>
        <v>6.6261967322677059E-4</v>
      </c>
      <c r="W148" s="556">
        <f>$F$1*(Flat!T45-Savings_Flat!T21)</f>
        <v>-2.0254853100827434E-3</v>
      </c>
      <c r="X148" s="556">
        <f>$F$1*(Flat!U45-Savings_Flat!U21)</f>
        <v>4.4029250118886217E-4</v>
      </c>
      <c r="Y148" s="556">
        <f>$F$1*(Flat!V45-Savings_Flat!V21)</f>
        <v>-1.4744383716117516E-3</v>
      </c>
      <c r="Z148" s="556">
        <f>$F$1*(Flat!W45-Savings_Flat!W21)</f>
        <v>-1.4665193688291384E-3</v>
      </c>
      <c r="AA148" s="556">
        <f>$F$1*(Flat!X45-Savings_Flat!X21)</f>
        <v>-1.5578318536215673E-3</v>
      </c>
      <c r="AB148" s="556">
        <f>$F$1*(Flat!Y45-Savings_Flat!Y21)</f>
        <v>5.9243681983996675E-4</v>
      </c>
      <c r="AC148" s="556">
        <f>$F$1*(Flat!Z45-Savings_Flat!Z21)</f>
        <v>2.0554126140315116E-4</v>
      </c>
      <c r="AD148" s="556">
        <f>$F$1*(Flat!AA45-Savings_Flat!AA21)</f>
        <v>-8.0004220222597744E-4</v>
      </c>
      <c r="AE148" s="556">
        <f>$F$1*(Flat!AB45-Savings_Flat!AB21)</f>
        <v>-5.5226603761728867E-4</v>
      </c>
      <c r="AF148" s="556">
        <f>$F$1*(Flat!AC45-Savings_Flat!AC21)</f>
        <v>6.775794991145317E-4</v>
      </c>
      <c r="AG148" s="556">
        <f>$F$1*(Flat!AD45-Savings_Flat!AD21)</f>
        <v>-3.3050364989920607E-4</v>
      </c>
      <c r="AH148" s="556">
        <f>$F$1*(Flat!AE45-Savings_Flat!AE21)</f>
        <v>-7.7141865903616782E-4</v>
      </c>
      <c r="AI148" s="556">
        <f>$F$1*(Flat!AF45-Savings_Flat!AF21)</f>
        <v>-1.3382290277558259E-3</v>
      </c>
      <c r="AJ148" s="556">
        <f>$F$1*(Flat!AG45-Savings_Flat!AG21)</f>
        <v>2.5541919468091007E-4</v>
      </c>
      <c r="AK148" s="556">
        <f>$F$1*(Flat!AH45-Savings_Flat!AH21)</f>
        <v>-7.3275326161090172E-4</v>
      </c>
      <c r="AL148" s="556">
        <f>$F$1*(Flat!AI45-Savings_Flat!AI21)</f>
        <v>2.3268821118687343E-4</v>
      </c>
      <c r="AM148" s="556">
        <f>$F$1*(Flat!AJ45-Savings_Flat!AJ21)</f>
        <v>4.3242159943213782E-4</v>
      </c>
      <c r="AN148" s="556">
        <f>$F$1*(Flat!AK45-Savings_Flat!AK21)</f>
        <v>3.8546913211237339E-4</v>
      </c>
      <c r="AO148" s="556">
        <f>$F$1*(Flat!AL45-Savings_Flat!AL21)</f>
        <v>-5.1154002127609427E-5</v>
      </c>
      <c r="AP148" s="556">
        <f>$F$1*(Flat!AM45-Savings_Flat!AM21)</f>
        <v>3.9764436607602703E-4</v>
      </c>
      <c r="AQ148" s="556">
        <f>$F$1*(Flat!AN45-Savings_Flat!AN21)</f>
        <v>3.9764436607602703E-4</v>
      </c>
      <c r="AT148" s="5" t="s">
        <v>367</v>
      </c>
    </row>
    <row r="149" spans="1:46">
      <c r="A149" s="5" t="str">
        <f t="shared" si="7"/>
        <v>OUTPUT</v>
      </c>
      <c r="B149" s="5" t="s">
        <v>615</v>
      </c>
      <c r="C149" s="5" t="str">
        <f t="shared" si="6"/>
        <v>Bldg_FLTPre09-Win</v>
      </c>
      <c r="D149" s="5" t="s">
        <v>78</v>
      </c>
      <c r="E149" s="5" t="s">
        <v>368</v>
      </c>
      <c r="F149" s="5" t="s">
        <v>606</v>
      </c>
      <c r="G149" s="556">
        <f>$F$1*(Flat!D46-Savings_Flat!D22)</f>
        <v>-1.7931855257857549E-3</v>
      </c>
      <c r="H149" s="556">
        <f>$F$1*(Flat!E46-Savings_Flat!E22)</f>
        <v>-2.5654103054473801E-4</v>
      </c>
      <c r="I149" s="556">
        <f>$F$1*(Flat!F46-Savings_Flat!F22)</f>
        <v>-5.1771736902199851E-4</v>
      </c>
      <c r="J149" s="556">
        <f>$F$1*(Flat!G46-Savings_Flat!G22)</f>
        <v>-1.747026301283153E-3</v>
      </c>
      <c r="K149" s="556">
        <f>$F$1*(Flat!H46-Savings_Flat!H22)</f>
        <v>0</v>
      </c>
      <c r="L149" s="556">
        <f>$F$1*(Flat!I46-Savings_Flat!I22)</f>
        <v>-1.4979330847685764E-3</v>
      </c>
      <c r="M149" s="556">
        <f>$F$1*(Flat!J46-Savings_Flat!J22)</f>
        <v>-1.5135113181548299E-3</v>
      </c>
      <c r="N149" s="556">
        <f>$F$1*(Flat!K46-Savings_Flat!K22)</f>
        <v>-1.5273772897420332E-3</v>
      </c>
      <c r="O149" s="556">
        <f>$F$1*(Flat!L46-Savings_Flat!L22)</f>
        <v>-3.2313239885046734E-3</v>
      </c>
      <c r="P149" s="556">
        <f>$F$1*(Flat!M46-Savings_Flat!M22)</f>
        <v>2.8751631078538964E-4</v>
      </c>
      <c r="Q149" s="556">
        <f>$F$1*(Flat!N46-Savings_Flat!N22)</f>
        <v>-2.9611260720015815E-3</v>
      </c>
      <c r="R149" s="556">
        <f>$F$1*(Flat!O46-Savings_Flat!O22)</f>
        <v>-9.1635380924521073E-4</v>
      </c>
      <c r="S149" s="556">
        <f>$F$1*(Flat!P46-Savings_Flat!P22)</f>
        <v>2.8055630535986701E-4</v>
      </c>
      <c r="T149" s="556">
        <f>$F$1*(Flat!Q46-Savings_Flat!Q22)</f>
        <v>-9.780766275544557E-4</v>
      </c>
      <c r="U149" s="556">
        <f>$F$1*(Flat!R46-Savings_Flat!R22)</f>
        <v>-1.4355572007810225E-3</v>
      </c>
      <c r="V149" s="556">
        <f>$F$1*(Flat!S46-Savings_Flat!S22)</f>
        <v>-1.9822269364064008E-4</v>
      </c>
      <c r="W149" s="556">
        <f>$F$1*(Flat!T46-Savings_Flat!T22)</f>
        <v>-2.5916095577607923E-3</v>
      </c>
      <c r="X149" s="556">
        <f>$F$1*(Flat!U46-Savings_Flat!U22)</f>
        <v>-2.950229878841325E-4</v>
      </c>
      <c r="Y149" s="556">
        <f>$F$1*(Flat!V46-Savings_Flat!V22)</f>
        <v>-1.935280134243125E-3</v>
      </c>
      <c r="Z149" s="556">
        <f>$F$1*(Flat!W46-Savings_Flat!W22)</f>
        <v>-1.9341237046186155E-3</v>
      </c>
      <c r="AA149" s="556">
        <f>$F$1*(Flat!X46-Savings_Flat!X22)</f>
        <v>-2.0249155985014597E-3</v>
      </c>
      <c r="AB149" s="556">
        <f>$F$1*(Flat!Y46-Savings_Flat!Y22)</f>
        <v>5.9884110834486077E-4</v>
      </c>
      <c r="AC149" s="556">
        <f>$F$1*(Flat!Z46-Savings_Flat!Z22)</f>
        <v>-8.3253814312025693E-4</v>
      </c>
      <c r="AD149" s="556">
        <f>$F$1*(Flat!AA46-Savings_Flat!AA22)</f>
        <v>-2.5063540123855042E-3</v>
      </c>
      <c r="AE149" s="556">
        <f>$F$1*(Flat!AB46-Savings_Flat!AB22)</f>
        <v>-5.7678250264265381E-4</v>
      </c>
      <c r="AF149" s="556">
        <f>$F$1*(Flat!AC46-Savings_Flat!AC22)</f>
        <v>2.1769353466252528E-4</v>
      </c>
      <c r="AG149" s="556">
        <f>$F$1*(Flat!AD46-Savings_Flat!AD22)</f>
        <v>-1.4892074522563812E-3</v>
      </c>
      <c r="AH149" s="556">
        <f>$F$1*(Flat!AE46-Savings_Flat!AE22)</f>
        <v>-2.4166828273869431E-3</v>
      </c>
      <c r="AI149" s="556">
        <f>$F$1*(Flat!AF46-Savings_Flat!AF22)</f>
        <v>-1.8493328901071531E-3</v>
      </c>
      <c r="AJ149" s="556">
        <f>$F$1*(Flat!AG46-Savings_Flat!AG22)</f>
        <v>-1.3994081192787392E-3</v>
      </c>
      <c r="AK149" s="556">
        <f>$F$1*(Flat!AH46-Savings_Flat!AH22)</f>
        <v>-1.0952605243993508E-3</v>
      </c>
      <c r="AL149" s="556">
        <f>$F$1*(Flat!AI46-Savings_Flat!AI22)</f>
        <v>2.7762300484870782E-4</v>
      </c>
      <c r="AM149" s="556">
        <f>$F$1*(Flat!AJ46-Savings_Flat!AJ22)</f>
        <v>-1.1091236548307627E-4</v>
      </c>
      <c r="AN149" s="556">
        <f>$F$1*(Flat!AK46-Savings_Flat!AK22)</f>
        <v>-9.8880355765509217E-5</v>
      </c>
      <c r="AO149" s="556">
        <f>$F$1*(Flat!AL46-Savings_Flat!AL22)</f>
        <v>-5.2564945745620366E-4</v>
      </c>
      <c r="AP149" s="556">
        <f>$F$1*(Flat!AM46-Savings_Flat!AM22)</f>
        <v>-1.0199230871082421E-4</v>
      </c>
      <c r="AQ149" s="556">
        <f>$F$1*(Flat!AN46-Savings_Flat!AN22)</f>
        <v>-1.0199230871082421E-4</v>
      </c>
      <c r="AT149" s="5" t="s">
        <v>368</v>
      </c>
    </row>
    <row r="150" spans="1:46">
      <c r="A150" s="5" t="str">
        <f t="shared" si="7"/>
        <v>\I:</v>
      </c>
      <c r="C150" s="5" t="str">
        <f t="shared" si="6"/>
        <v/>
      </c>
      <c r="E150" s="5" t="s">
        <v>623</v>
      </c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  <c r="AQ150" s="92"/>
    </row>
    <row r="151" spans="1:46">
      <c r="A151" s="135" t="str">
        <f t="shared" si="7"/>
        <v>\I:</v>
      </c>
      <c r="C151" s="5" t="str">
        <f t="shared" si="6"/>
        <v/>
      </c>
      <c r="E151" s="5" t="s">
        <v>623</v>
      </c>
      <c r="F151" s="135" t="s">
        <v>393</v>
      </c>
      <c r="G151" s="492">
        <f>G160*'Energy Efficiency Measures-DBT'!D56/'Energy Efficiency Measures-DBT'!D57</f>
        <v>30.181651623814773</v>
      </c>
      <c r="H151" s="492">
        <f>H160*'Energy Efficiency Measures-DBT'!E56/'Energy Efficiency Measures-DBT'!E57</f>
        <v>39.323602362026797</v>
      </c>
      <c r="I151" s="492">
        <f>I160*'Energy Efficiency Measures-DBT'!F56/'Energy Efficiency Measures-DBT'!F57</f>
        <v>22.332412343614372</v>
      </c>
      <c r="J151" s="492">
        <f>J160*'Energy Efficiency Measures-DBT'!G56/'Energy Efficiency Measures-DBT'!G57</f>
        <v>30.181651623814773</v>
      </c>
      <c r="K151" s="492">
        <f>K160*'Energy Efficiency Measures-DBT'!H56/'Energy Efficiency Measures-DBT'!H57</f>
        <v>39.452054794520549</v>
      </c>
      <c r="L151" s="492">
        <f>L160*'Energy Efficiency Measures-DBT'!I56/'Energy Efficiency Measures-DBT'!I57</f>
        <v>30.694810988093018</v>
      </c>
      <c r="M151" s="492">
        <f>M160*'Energy Efficiency Measures-DBT'!J56/'Energy Efficiency Measures-DBT'!J57</f>
        <v>40.186012760717524</v>
      </c>
      <c r="N151" s="492">
        <f>N160*'Energy Efficiency Measures-DBT'!K56/'Energy Efficiency Measures-DBT'!K57</f>
        <v>36.734693877551024</v>
      </c>
      <c r="O151" s="492">
        <f>O160*'Energy Efficiency Measures-DBT'!L56/'Energy Efficiency Measures-DBT'!L57</f>
        <v>30.126133728526838</v>
      </c>
      <c r="P151" s="492">
        <f>P160*'Energy Efficiency Measures-DBT'!M56/'Energy Efficiency Measures-DBT'!M57</f>
        <v>42.514952567866665</v>
      </c>
      <c r="Q151" s="492">
        <f>Q160*'Energy Efficiency Measures-DBT'!N56/'Energy Efficiency Measures-DBT'!N57</f>
        <v>51.428571428571423</v>
      </c>
      <c r="R151" s="492">
        <f>R160*'Energy Efficiency Measures-DBT'!O56/'Energy Efficiency Measures-DBT'!O57</f>
        <v>51.331764245888074</v>
      </c>
      <c r="S151" s="492">
        <f>S160*'Energy Efficiency Measures-DBT'!P56/'Energy Efficiency Measures-DBT'!P57</f>
        <v>39.452054794520549</v>
      </c>
      <c r="T151" s="492">
        <f>T160*'Energy Efficiency Measures-DBT'!Q56/'Energy Efficiency Measures-DBT'!Q57</f>
        <v>22.637122957494842</v>
      </c>
      <c r="U151" s="492">
        <f>U160*'Energy Efficiency Measures-DBT'!R56/'Energy Efficiency Measures-DBT'!R57</f>
        <v>30.81234369021082</v>
      </c>
      <c r="V151" s="492">
        <f>V160*'Energy Efficiency Measures-DBT'!S56/'Energy Efficiency Measures-DBT'!S57</f>
        <v>37.869102022606768</v>
      </c>
      <c r="W151" s="492">
        <f>W160*'Energy Efficiency Measures-DBT'!T56/'Energy Efficiency Measures-DBT'!T57</f>
        <v>51.428571428571438</v>
      </c>
      <c r="X151" s="492">
        <f>X160*'Energy Efficiency Measures-DBT'!U56/'Energy Efficiency Measures-DBT'!U57</f>
        <v>31.718061674008812</v>
      </c>
      <c r="Y151" s="492">
        <f>Y160*'Energy Efficiency Measures-DBT'!V56/'Energy Efficiency Measures-DBT'!V57</f>
        <v>27.927676781515231</v>
      </c>
      <c r="Z151" s="492">
        <f>Z160*'Energy Efficiency Measures-DBT'!W56/'Energy Efficiency Measures-DBT'!W57</f>
        <v>33.566392488680521</v>
      </c>
      <c r="AA151" s="492">
        <f>AA160*'Energy Efficiency Measures-DBT'!X56/'Energy Efficiency Measures-DBT'!X57</f>
        <v>27.961165048543691</v>
      </c>
      <c r="AB151" s="492">
        <f>AB160*'Energy Efficiency Measures-DBT'!Y56/'Energy Efficiency Measures-DBT'!Y57</f>
        <v>33.869820310724556</v>
      </c>
      <c r="AC151" s="492">
        <f>AC160*'Energy Efficiency Measures-DBT'!Z56/'Energy Efficiency Measures-DBT'!Z57</f>
        <v>33.245382585751983</v>
      </c>
      <c r="AD151" s="492">
        <f>AD160*'Energy Efficiency Measures-DBT'!AA56/'Energy Efficiency Measures-DBT'!AA57</f>
        <v>43.113772455089823</v>
      </c>
      <c r="AE151" s="492">
        <f>AE160*'Energy Efficiency Measures-DBT'!AB56/'Energy Efficiency Measures-DBT'!AB57</f>
        <v>27.439162945468375</v>
      </c>
      <c r="AF151" s="492">
        <f>AF160*'Energy Efficiency Measures-DBT'!AC56/'Energy Efficiency Measures-DBT'!AC57</f>
        <v>37.988762361297049</v>
      </c>
      <c r="AG151" s="492">
        <f>AG160*'Energy Efficiency Measures-DBT'!AD56/'Energy Efficiency Measures-DBT'!AD57</f>
        <v>30.031067138955251</v>
      </c>
      <c r="AH151" s="492">
        <f>AH160*'Energy Efficiency Measures-DBT'!AE56/'Energy Efficiency Measures-DBT'!AE57</f>
        <v>43.113772455089823</v>
      </c>
      <c r="AI151" s="492">
        <f>AI160*'Energy Efficiency Measures-DBT'!AF56/'Energy Efficiency Measures-DBT'!AF57</f>
        <v>27.928155053858575</v>
      </c>
      <c r="AJ151" s="492">
        <f>AJ160*'Energy Efficiency Measures-DBT'!AG56/'Energy Efficiency Measures-DBT'!AG57</f>
        <v>30.56182278808685</v>
      </c>
      <c r="AK151" s="492">
        <f>AK160*'Energy Efficiency Measures-DBT'!AH56/'Energy Efficiency Measures-DBT'!AH57</f>
        <v>52.055360462714319</v>
      </c>
      <c r="AL151" s="492">
        <f>AL160*'Energy Efficiency Measures-DBT'!AI56/'Energy Efficiency Measures-DBT'!AI57</f>
        <v>19.726027397260271</v>
      </c>
      <c r="AM151" s="492">
        <f>AM160*'Energy Efficiency Measures-DBT'!AJ56/'Energy Efficiency Measures-DBT'!AJ57</f>
        <v>22.637122957494842</v>
      </c>
      <c r="AN151" s="492">
        <f>AN160*'Energy Efficiency Measures-DBT'!AK56/'Energy Efficiency Measures-DBT'!AK57</f>
        <v>19.726027397260271</v>
      </c>
      <c r="AO151" s="492">
        <f>AO160*'Energy Efficiency Measures-DBT'!AL56/'Energy Efficiency Measures-DBT'!AL57</f>
        <v>22.637122957494842</v>
      </c>
      <c r="AP151" s="492">
        <f>AP160*'Energy Efficiency Measures-DBT'!AM56/'Energy Efficiency Measures-DBT'!AM57</f>
        <v>22.637122957494842</v>
      </c>
      <c r="AQ151" s="492">
        <f>AQ160*'Energy Efficiency Measures-DBT'!AN56/'Energy Efficiency Measures-DBT'!AN57</f>
        <v>22.637122957494842</v>
      </c>
    </row>
    <row r="152" spans="1:46">
      <c r="A152" s="135" t="str">
        <f t="shared" si="7"/>
        <v>\I:</v>
      </c>
      <c r="C152" s="5" t="str">
        <f t="shared" si="6"/>
        <v/>
      </c>
      <c r="E152" s="5" t="s">
        <v>369</v>
      </c>
      <c r="F152" s="135" t="s">
        <v>625</v>
      </c>
      <c r="G152" s="214">
        <f>G151*Flat!D5</f>
        <v>43199.999999999993</v>
      </c>
      <c r="H152" s="214">
        <f>H151*Flat!E5</f>
        <v>57600</v>
      </c>
      <c r="I152" s="214">
        <f>I151*Flat!F5</f>
        <v>57600</v>
      </c>
      <c r="J152" s="214">
        <f>J151*Flat!G5</f>
        <v>43199.999999999993</v>
      </c>
      <c r="K152" s="214">
        <f>K151*Flat!H5</f>
        <v>57600</v>
      </c>
      <c r="L152" s="214">
        <f>L151*Flat!I5</f>
        <v>37440</v>
      </c>
      <c r="M152" s="214">
        <f>M151*Flat!J5</f>
        <v>50400</v>
      </c>
      <c r="N152" s="214">
        <f>N151*Flat!K5</f>
        <v>86400.000000000015</v>
      </c>
      <c r="O152" s="214">
        <f>O151*Flat!L5</f>
        <v>28800</v>
      </c>
      <c r="P152" s="214">
        <f>P151*Flat!M5</f>
        <v>36720</v>
      </c>
      <c r="Q152" s="214">
        <f>Q151*Flat!N5</f>
        <v>144000</v>
      </c>
      <c r="R152" s="214">
        <f>R151*Flat!O5</f>
        <v>67680</v>
      </c>
      <c r="S152" s="214">
        <f>S151*Flat!P5</f>
        <v>28800</v>
      </c>
      <c r="T152" s="214">
        <f>T151*Flat!Q5</f>
        <v>28800.000000000004</v>
      </c>
      <c r="U152" s="214">
        <f>U151*Flat!R5</f>
        <v>28800.000000000004</v>
      </c>
      <c r="V152" s="214">
        <f>V151*Flat!S5</f>
        <v>201600</v>
      </c>
      <c r="W152" s="214">
        <f>W151*Flat!T5</f>
        <v>57600.000000000007</v>
      </c>
      <c r="X152" s="214">
        <f>X151*Flat!U5</f>
        <v>57600</v>
      </c>
      <c r="Y152" s="214">
        <f>Y151*Flat!V5</f>
        <v>28800</v>
      </c>
      <c r="Z152" s="214">
        <f>Z151*Flat!W5</f>
        <v>57600.000000000007</v>
      </c>
      <c r="AA152" s="214">
        <f>AA151*Flat!X5</f>
        <v>28800.000000000004</v>
      </c>
      <c r="AB152" s="214">
        <f>AB151*Flat!Y5</f>
        <v>57600.000000000007</v>
      </c>
      <c r="AC152" s="214">
        <f>AC151*Flat!Z5</f>
        <v>50400.000000000007</v>
      </c>
      <c r="AD152" s="214">
        <f>AD151*Flat!AA5</f>
        <v>57600</v>
      </c>
      <c r="AE152" s="214">
        <f>AE151*Flat!AB5</f>
        <v>43199.999999999993</v>
      </c>
      <c r="AF152" s="214">
        <f>AF151*Flat!AC5</f>
        <v>73440</v>
      </c>
      <c r="AG152" s="214">
        <f>AG151*Flat!AD5</f>
        <v>115200.00000000001</v>
      </c>
      <c r="AH152" s="214">
        <f>AH151*Flat!AE5</f>
        <v>57600</v>
      </c>
      <c r="AI152" s="214">
        <f>AI151*Flat!AF5</f>
        <v>28800</v>
      </c>
      <c r="AJ152" s="214">
        <f>AJ151*Flat!AG5</f>
        <v>37440</v>
      </c>
      <c r="AK152" s="214">
        <f>AK151*Flat!AH5</f>
        <v>201600</v>
      </c>
      <c r="AL152" s="214">
        <f>AL151*Flat!AI5</f>
        <v>28799.999999999996</v>
      </c>
      <c r="AM152" s="214">
        <f>AM151*Flat!AJ5</f>
        <v>28800.000000000004</v>
      </c>
      <c r="AN152" s="214">
        <f>AN151*Flat!AK5</f>
        <v>28799.999999999996</v>
      </c>
      <c r="AO152" s="214">
        <f>AO151*Flat!AL5</f>
        <v>28800.000000000004</v>
      </c>
      <c r="AP152" s="214">
        <f>AP151*Flat!AM5</f>
        <v>28800.000000000004</v>
      </c>
      <c r="AQ152" s="214">
        <f>AQ151*Flat!AN5</f>
        <v>28800.000000000004</v>
      </c>
    </row>
    <row r="153" spans="1:46">
      <c r="A153" s="5" t="str">
        <f t="shared" si="7"/>
        <v>OUTPUT</v>
      </c>
      <c r="B153" s="5" t="s">
        <v>615</v>
      </c>
      <c r="C153" s="5" t="str">
        <f t="shared" si="6"/>
        <v>Bldg_FLTPre45-Win</v>
      </c>
      <c r="D153" s="5" t="s">
        <v>78</v>
      </c>
      <c r="E153" s="5" t="s">
        <v>369</v>
      </c>
      <c r="F153" s="5" t="s">
        <v>606</v>
      </c>
      <c r="G153" s="556">
        <f>$F$1*(Flat!D41-Savings_Flat!D50)</f>
        <v>1.0212494500605701E-3</v>
      </c>
      <c r="H153" s="556">
        <f>$F$1*(Flat!E41-Savings_Flat!E50)</f>
        <v>2.2332247074748068E-3</v>
      </c>
      <c r="I153" s="556">
        <f>$F$1*(Flat!F41-Savings_Flat!F50)</f>
        <v>9.0198839702282916E-4</v>
      </c>
      <c r="J153" s="556">
        <f>$F$1*(Flat!G41-Savings_Flat!G50)</f>
        <v>9.9496099191687701E-4</v>
      </c>
      <c r="K153" s="556">
        <f>$F$1*(Flat!H41-Savings_Flat!H50)</f>
        <v>2.5852855136888615E-4</v>
      </c>
      <c r="L153" s="556">
        <f>$F$1*(Flat!I41-Savings_Flat!I50)</f>
        <v>1.4766998055077856E-3</v>
      </c>
      <c r="M153" s="556">
        <f>$F$1*(Flat!J41-Savings_Flat!J50)</f>
        <v>2.0269848324325386E-3</v>
      </c>
      <c r="N153" s="556">
        <f>$F$1*(Flat!K41-Savings_Flat!K50)</f>
        <v>1.1378614393021567E-3</v>
      </c>
      <c r="O153" s="556">
        <f>$F$1*(Flat!L41-Savings_Flat!L50)</f>
        <v>4.5611033907590183E-5</v>
      </c>
      <c r="P153" s="556">
        <f>$F$1*(Flat!M41-Savings_Flat!M50)</f>
        <v>2.4347964413588496E-3</v>
      </c>
      <c r="Q153" s="556">
        <f>$F$1*(Flat!N41-Savings_Flat!N50)</f>
        <v>1.1523685795630462E-3</v>
      </c>
      <c r="R153" s="556">
        <f>$F$1*(Flat!O41-Savings_Flat!O50)</f>
        <v>2.03989745168272E-3</v>
      </c>
      <c r="S153" s="556">
        <f>$F$1*(Flat!P41-Savings_Flat!P50)</f>
        <v>7.8244620621778938E-4</v>
      </c>
      <c r="T153" s="556">
        <f>$F$1*(Flat!Q41-Savings_Flat!Q50)</f>
        <v>2.5278872324049502E-3</v>
      </c>
      <c r="U153" s="556">
        <f>$F$1*(Flat!R41-Savings_Flat!R50)</f>
        <v>8.2518867927508998E-4</v>
      </c>
      <c r="V153" s="556">
        <f>$F$1*(Flat!S41-Savings_Flat!S50)</f>
        <v>2.4406770098439018E-3</v>
      </c>
      <c r="W153" s="556">
        <f>$F$1*(Flat!T41-Savings_Flat!T50)</f>
        <v>9.9589524654651747E-4</v>
      </c>
      <c r="X153" s="556">
        <f>$F$1*(Flat!U41-Savings_Flat!U50)</f>
        <v>2.6287342996356901E-3</v>
      </c>
      <c r="Y153" s="556">
        <f>$F$1*(Flat!V41-Savings_Flat!V50)</f>
        <v>7.0629305291694598E-4</v>
      </c>
      <c r="Z153" s="556">
        <f>$F$1*(Flat!W41-Savings_Flat!W50)</f>
        <v>3.2399559843082318E-3</v>
      </c>
      <c r="AA153" s="556">
        <f>$F$1*(Flat!X41-Savings_Flat!X50)</f>
        <v>1.5841799038861645E-3</v>
      </c>
      <c r="AB153" s="556">
        <f>$F$1*(Flat!Y41-Savings_Flat!Y50)</f>
        <v>7.4190487928431576E-4</v>
      </c>
      <c r="AC153" s="556">
        <f>$F$1*(Flat!Z41-Savings_Flat!Z50)</f>
        <v>2.0800229344730995E-3</v>
      </c>
      <c r="AD153" s="556">
        <f>$F$1*(Flat!AA41-Savings_Flat!AA50)</f>
        <v>1.9587513448900747E-3</v>
      </c>
      <c r="AE153" s="556">
        <f>$F$1*(Flat!AB41-Savings_Flat!AB50)</f>
        <v>2.2464090123609126E-3</v>
      </c>
      <c r="AF153" s="556">
        <f>$F$1*(Flat!AC41-Savings_Flat!AC50)</f>
        <v>1.0337954128703068E-3</v>
      </c>
      <c r="AG153" s="556">
        <f>$F$1*(Flat!AD41-Savings_Flat!AD50)</f>
        <v>9.5818471548842757E-4</v>
      </c>
      <c r="AH153" s="556">
        <f>$F$1*(Flat!AE41-Savings_Flat!AE50)</f>
        <v>1.8886720371203709E-3</v>
      </c>
      <c r="AI153" s="556">
        <f>$F$1*(Flat!AF41-Savings_Flat!AF50)</f>
        <v>7.6651189539749627E-4</v>
      </c>
      <c r="AJ153" s="556">
        <f>$F$1*(Flat!AG41-Savings_Flat!AG50)</f>
        <v>2.4023965892959668E-3</v>
      </c>
      <c r="AK153" s="556">
        <f>$F$1*(Flat!AH41-Savings_Flat!AH50)</f>
        <v>2.3515579098463218E-3</v>
      </c>
      <c r="AL153" s="556">
        <f>$F$1*(Flat!AI41-Savings_Flat!AI50)</f>
        <v>7.8076320715650123E-4</v>
      </c>
      <c r="AM153" s="556">
        <f>$F$1*(Flat!AJ41-Savings_Flat!AJ50)</f>
        <v>1.3620176274698002E-3</v>
      </c>
      <c r="AN153" s="556">
        <f>$F$1*(Flat!AK41-Savings_Flat!AK50)</f>
        <v>1.2127718056765722E-3</v>
      </c>
      <c r="AO153" s="556">
        <f>$F$1*(Flat!AL41-Savings_Flat!AL50)</f>
        <v>9.0399180433433919E-4</v>
      </c>
      <c r="AP153" s="556">
        <f>$F$1*(Flat!AM41-Savings_Flat!AM50)</f>
        <v>1.2524782221120315E-3</v>
      </c>
      <c r="AQ153" s="556">
        <f>$F$1*(Flat!AN41-Savings_Flat!AN50)</f>
        <v>1.2524782221120315E-3</v>
      </c>
      <c r="AT153" s="5" t="s">
        <v>369</v>
      </c>
    </row>
    <row r="154" spans="1:46">
      <c r="A154" s="5" t="str">
        <f t="shared" si="7"/>
        <v>OUTPUT</v>
      </c>
      <c r="B154" s="5" t="s">
        <v>615</v>
      </c>
      <c r="C154" s="5" t="str">
        <f t="shared" si="6"/>
        <v>Bldg_FLTPre69-Win</v>
      </c>
      <c r="D154" s="5" t="s">
        <v>78</v>
      </c>
      <c r="E154" s="5" t="s">
        <v>370</v>
      </c>
      <c r="F154" s="5" t="s">
        <v>606</v>
      </c>
      <c r="G154" s="556">
        <f>$F$1*(Flat!D42-Savings_Flat!D51)</f>
        <v>1.041716638396096E-3</v>
      </c>
      <c r="H154" s="556">
        <f>$F$1*(Flat!E42-Savings_Flat!E51)</f>
        <v>2.2332247074748068E-3</v>
      </c>
      <c r="I154" s="556">
        <f>$F$1*(Flat!F42-Savings_Flat!F51)</f>
        <v>9.0198839702282916E-4</v>
      </c>
      <c r="J154" s="556">
        <f>$F$1*(Flat!G42-Savings_Flat!G51)</f>
        <v>1.014901324816788E-3</v>
      </c>
      <c r="K154" s="556">
        <f>$F$1*(Flat!H42-Savings_Flat!H51)</f>
        <v>2.628424353872066E-4</v>
      </c>
      <c r="L154" s="556">
        <f>$F$1*(Flat!I42-Savings_Flat!I51)</f>
        <v>1.5077860755888287E-3</v>
      </c>
      <c r="M154" s="556">
        <f>$F$1*(Flat!J42-Savings_Flat!J51)</f>
        <v>1.1095772861543579E-3</v>
      </c>
      <c r="N154" s="556">
        <f>$F$1*(Flat!K42-Savings_Flat!K51)</f>
        <v>1.0890782718390938E-3</v>
      </c>
      <c r="O154" s="556">
        <f>$F$1*(Flat!L42-Savings_Flat!L51)</f>
        <v>4.5611033907590183E-5</v>
      </c>
      <c r="P154" s="556">
        <f>$F$1*(Flat!M42-Savings_Flat!M51)</f>
        <v>2.4875892103438887E-3</v>
      </c>
      <c r="Q154" s="556">
        <f>$F$1*(Flat!N42-Savings_Flat!N51)</f>
        <v>1.1667725232484851E-3</v>
      </c>
      <c r="R154" s="556">
        <f>$F$1*(Flat!O42-Savings_Flat!O51)</f>
        <v>2.03989745168272E-3</v>
      </c>
      <c r="S154" s="556">
        <f>$F$1*(Flat!P42-Savings_Flat!P51)</f>
        <v>7.8244620621778938E-4</v>
      </c>
      <c r="T154" s="556">
        <f>$F$1*(Flat!Q42-Savings_Flat!Q51)</f>
        <v>2.4941711821738302E-3</v>
      </c>
      <c r="U154" s="556">
        <f>$F$1*(Flat!R42-Savings_Flat!R51)</f>
        <v>8.2518867927508998E-4</v>
      </c>
      <c r="V154" s="556">
        <f>$F$1*(Flat!S42-Savings_Flat!S51)</f>
        <v>2.4354462684268354E-3</v>
      </c>
      <c r="W154" s="556">
        <f>$F$1*(Flat!T42-Savings_Flat!T51)</f>
        <v>1.008022696112657E-3</v>
      </c>
      <c r="X154" s="556">
        <f>$F$1*(Flat!U42-Savings_Flat!U51)</f>
        <v>2.6610745541273463E-3</v>
      </c>
      <c r="Y154" s="556">
        <f>$F$1*(Flat!V42-Savings_Flat!V51)</f>
        <v>7.0629305291694598E-4</v>
      </c>
      <c r="Z154" s="556">
        <f>$F$1*(Flat!W42-Savings_Flat!W51)</f>
        <v>2.3631503730057127E-3</v>
      </c>
      <c r="AA154" s="556">
        <f>$F$1*(Flat!X42-Savings_Flat!X51)</f>
        <v>1.2691659427328328E-3</v>
      </c>
      <c r="AB154" s="556">
        <f>$F$1*(Flat!Y42-Savings_Flat!Y51)</f>
        <v>7.4202480171001455E-4</v>
      </c>
      <c r="AC154" s="556">
        <f>$F$1*(Flat!Z42-Savings_Flat!Z51)</f>
        <v>1.7883982881911685E-3</v>
      </c>
      <c r="AD154" s="556">
        <f>$F$1*(Flat!AA42-Savings_Flat!AA51)</f>
        <v>1.8695469540910912E-3</v>
      </c>
      <c r="AE154" s="556">
        <f>$F$1*(Flat!AB42-Savings_Flat!AB51)</f>
        <v>1.2548540059757357E-3</v>
      </c>
      <c r="AF154" s="556">
        <f>$F$1*(Flat!AC42-Savings_Flat!AC51)</f>
        <v>1.1044604575917577E-3</v>
      </c>
      <c r="AG154" s="556">
        <f>$F$1*(Flat!AD42-Savings_Flat!AD51)</f>
        <v>8.6557508167791242E-4</v>
      </c>
      <c r="AH154" s="556">
        <f>$F$1*(Flat!AE42-Savings_Flat!AE51)</f>
        <v>1.8026591601260967E-3</v>
      </c>
      <c r="AI154" s="556">
        <f>$F$1*(Flat!AF42-Savings_Flat!AF51)</f>
        <v>7.6651189539749627E-4</v>
      </c>
      <c r="AJ154" s="556">
        <f>$F$1*(Flat!AG42-Savings_Flat!AG51)</f>
        <v>2.4757178645388126E-3</v>
      </c>
      <c r="AK154" s="556">
        <f>$F$1*(Flat!AH42-Savings_Flat!AH51)</f>
        <v>2.2634533277663608E-3</v>
      </c>
      <c r="AL154" s="556">
        <f>$F$1*(Flat!AI42-Savings_Flat!AI51)</f>
        <v>7.8076320715650123E-4</v>
      </c>
      <c r="AM154" s="556">
        <f>$F$1*(Flat!AJ42-Savings_Flat!AJ51)</f>
        <v>1.3620176274698002E-3</v>
      </c>
      <c r="AN154" s="556">
        <f>$F$1*(Flat!AK42-Savings_Flat!AK51)</f>
        <v>1.2127718056765722E-3</v>
      </c>
      <c r="AO154" s="556">
        <f>$F$1*(Flat!AL42-Savings_Flat!AL51)</f>
        <v>9.0399180433433919E-4</v>
      </c>
      <c r="AP154" s="556">
        <f>$F$1*(Flat!AM42-Savings_Flat!AM51)</f>
        <v>1.2524782221120315E-3</v>
      </c>
      <c r="AQ154" s="556">
        <f>$F$1*(Flat!AN42-Savings_Flat!AN51)</f>
        <v>1.2524782221120315E-3</v>
      </c>
      <c r="AT154" s="5" t="s">
        <v>370</v>
      </c>
    </row>
    <row r="155" spans="1:46">
      <c r="A155" s="5" t="str">
        <f t="shared" si="7"/>
        <v>OUTPUT</v>
      </c>
      <c r="B155" s="5" t="s">
        <v>615</v>
      </c>
      <c r="C155" s="5" t="str">
        <f t="shared" si="6"/>
        <v>Bldg_FLTPre79-Win</v>
      </c>
      <c r="D155" s="5" t="s">
        <v>78</v>
      </c>
      <c r="E155" s="5" t="s">
        <v>371</v>
      </c>
      <c r="F155" s="5" t="s">
        <v>606</v>
      </c>
      <c r="G155" s="556">
        <f>$F$1*(Flat!D43-Savings_Flat!D52)</f>
        <v>8.1190447566417841E-4</v>
      </c>
      <c r="H155" s="556">
        <f>$F$1*(Flat!E43-Savings_Flat!E52)</f>
        <v>2.2332247074748068E-3</v>
      </c>
      <c r="I155" s="556">
        <f>$F$1*(Flat!F43-Savings_Flat!F52)</f>
        <v>9.1166981209520417E-4</v>
      </c>
      <c r="J155" s="556">
        <f>$F$1*(Flat!G43-Savings_Flat!G52)</f>
        <v>7.9100486409140335E-4</v>
      </c>
      <c r="K155" s="556">
        <f>$F$1*(Flat!H43-Savings_Flat!H52)</f>
        <v>1.0866673984609601E-3</v>
      </c>
      <c r="L155" s="556">
        <f>$F$1*(Flat!I43-Savings_Flat!I52)</f>
        <v>1.5077860755888287E-3</v>
      </c>
      <c r="M155" s="556">
        <f>$F$1*(Flat!J43-Savings_Flat!J52)</f>
        <v>1.3794080493688731E-3</v>
      </c>
      <c r="N155" s="556">
        <f>$F$1*(Flat!K43-Savings_Flat!K52)</f>
        <v>1.119250469795425E-3</v>
      </c>
      <c r="O155" s="556">
        <f>$F$1*(Flat!L43-Savings_Flat!L52)</f>
        <v>4.727187020136135E-5</v>
      </c>
      <c r="P155" s="556">
        <f>$F$1*(Flat!M43-Savings_Flat!M52)</f>
        <v>2.4875892103438887E-3</v>
      </c>
      <c r="Q155" s="556">
        <f>$F$1*(Flat!N43-Savings_Flat!N52)</f>
        <v>8.4216304274427095E-4</v>
      </c>
      <c r="R155" s="556">
        <f>$F$1*(Flat!O43-Savings_Flat!O52)</f>
        <v>1.6790644165098005E-3</v>
      </c>
      <c r="S155" s="556">
        <f>$F$1*(Flat!P43-Savings_Flat!P52)</f>
        <v>7.8244620621778938E-4</v>
      </c>
      <c r="T155" s="556">
        <f>$F$1*(Flat!Q43-Savings_Flat!Q52)</f>
        <v>1.2257226374089093E-3</v>
      </c>
      <c r="U155" s="556">
        <f>$F$1*(Flat!R43-Savings_Flat!R52)</f>
        <v>8.4725280298402134E-4</v>
      </c>
      <c r="V155" s="556">
        <f>$F$1*(Flat!S43-Savings_Flat!S52)</f>
        <v>2.4907182090060315E-3</v>
      </c>
      <c r="W155" s="556">
        <f>$F$1*(Flat!T43-Savings_Flat!T52)</f>
        <v>7.309513983909992E-4</v>
      </c>
      <c r="X155" s="556">
        <f>$F$1*(Flat!U43-Savings_Flat!U52)</f>
        <v>2.1297045813503486E-3</v>
      </c>
      <c r="Y155" s="556">
        <f>$F$1*(Flat!V43-Savings_Flat!V52)</f>
        <v>1.6578125542738038E-4</v>
      </c>
      <c r="Z155" s="556">
        <f>$F$1*(Flat!W43-Savings_Flat!W52)</f>
        <v>1.6672121678383469E-3</v>
      </c>
      <c r="AA155" s="556">
        <f>$F$1*(Flat!X43-Savings_Flat!X52)</f>
        <v>1.28617240604622E-3</v>
      </c>
      <c r="AB155" s="556">
        <f>$F$1*(Flat!Y43-Savings_Flat!Y52)</f>
        <v>7.7619933547128724E-4</v>
      </c>
      <c r="AC155" s="556">
        <f>$F$1*(Flat!Z43-Savings_Flat!Z52)</f>
        <v>1.7945205896285653E-3</v>
      </c>
      <c r="AD155" s="556">
        <f>$F$1*(Flat!AA43-Savings_Flat!AA52)</f>
        <v>1.9171694079899422E-3</v>
      </c>
      <c r="AE155" s="556">
        <f>$F$1*(Flat!AB43-Savings_Flat!AB52)</f>
        <v>8.3709002601011666E-4</v>
      </c>
      <c r="AF155" s="556">
        <f>$F$1*(Flat!AC43-Savings_Flat!AC52)</f>
        <v>1.1071153908989177E-3</v>
      </c>
      <c r="AG155" s="556">
        <f>$F$1*(Flat!AD43-Savings_Flat!AD52)</f>
        <v>8.6557508167791242E-4</v>
      </c>
      <c r="AH155" s="556">
        <f>$F$1*(Flat!AE43-Savings_Flat!AE52)</f>
        <v>1.8485777996984144E-3</v>
      </c>
      <c r="AI155" s="556">
        <f>$F$1*(Flat!AF43-Savings_Flat!AF52)</f>
        <v>4.4161727497442051E-4</v>
      </c>
      <c r="AJ155" s="556">
        <f>$F$1*(Flat!AG43-Savings_Flat!AG52)</f>
        <v>2.4757178645388126E-3</v>
      </c>
      <c r="AK155" s="556">
        <f>$F$1*(Flat!AH43-Savings_Flat!AH52)</f>
        <v>1.9964654980017156E-3</v>
      </c>
      <c r="AL155" s="556">
        <f>$F$1*(Flat!AI43-Savings_Flat!AI52)</f>
        <v>7.8076320715650123E-4</v>
      </c>
      <c r="AM155" s="556">
        <f>$F$1*(Flat!AJ43-Savings_Flat!AJ52)</f>
        <v>1.3620176274698002E-3</v>
      </c>
      <c r="AN155" s="556">
        <f>$F$1*(Flat!AK43-Savings_Flat!AK52)</f>
        <v>1.2127718056765722E-3</v>
      </c>
      <c r="AO155" s="556">
        <f>$F$1*(Flat!AL43-Savings_Flat!AL52)</f>
        <v>9.1401379402138389E-4</v>
      </c>
      <c r="AP155" s="556">
        <f>$F$1*(Flat!AM43-Savings_Flat!AM52)</f>
        <v>1.2524782221120315E-3</v>
      </c>
      <c r="AQ155" s="556">
        <f>$F$1*(Flat!AN43-Savings_Flat!AN52)</f>
        <v>1.2524782221120315E-3</v>
      </c>
      <c r="AT155" s="5" t="s">
        <v>371</v>
      </c>
    </row>
    <row r="156" spans="1:46">
      <c r="A156" s="5" t="str">
        <f t="shared" si="7"/>
        <v>OUTPUT</v>
      </c>
      <c r="B156" s="5" t="s">
        <v>615</v>
      </c>
      <c r="C156" s="5" t="str">
        <f t="shared" si="6"/>
        <v>Bldg_FLTPre89-Win</v>
      </c>
      <c r="D156" s="5" t="s">
        <v>78</v>
      </c>
      <c r="E156" s="5" t="s">
        <v>372</v>
      </c>
      <c r="F156" s="5" t="s">
        <v>606</v>
      </c>
      <c r="G156" s="556">
        <f>$F$1*(Flat!D44-Savings_Flat!D53)</f>
        <v>1.4414255316661933E-4</v>
      </c>
      <c r="H156" s="556">
        <f>$F$1*(Flat!E44-Savings_Flat!E53)</f>
        <v>1.939961336875258E-3</v>
      </c>
      <c r="I156" s="556">
        <f>$F$1*(Flat!F44-Savings_Flat!F53)</f>
        <v>9.3717500857756764E-4</v>
      </c>
      <c r="J156" s="556">
        <f>$F$1*(Flat!G44-Savings_Flat!G53)</f>
        <v>1.4043211251431732E-4</v>
      </c>
      <c r="K156" s="556">
        <f>$F$1*(Flat!H44-Savings_Flat!H53)</f>
        <v>1.0910068405636981E-3</v>
      </c>
      <c r="L156" s="556">
        <f>$F$1*(Flat!I44-Savings_Flat!I53)</f>
        <v>1.536113434127765E-3</v>
      </c>
      <c r="M156" s="556">
        <f>$F$1*(Flat!J44-Savings_Flat!J53)</f>
        <v>1.1234810379892447E-3</v>
      </c>
      <c r="N156" s="556">
        <f>$F$1*(Flat!K44-Savings_Flat!K53)</f>
        <v>1.0206043750364462E-3</v>
      </c>
      <c r="O156" s="556">
        <f>$F$1*(Flat!L44-Savings_Flat!L53)</f>
        <v>-1.1562119624881828E-3</v>
      </c>
      <c r="P156" s="556">
        <f>$F$1*(Flat!M44-Savings_Flat!M53)</f>
        <v>1.0601158321026241E-3</v>
      </c>
      <c r="Q156" s="556">
        <f>$F$1*(Flat!N44-Savings_Flat!N53)</f>
        <v>1.2412895556041952E-4</v>
      </c>
      <c r="R156" s="556">
        <f>$F$1*(Flat!O44-Savings_Flat!O53)</f>
        <v>1.2828282130854115E-3</v>
      </c>
      <c r="S156" s="556">
        <f>$F$1*(Flat!P44-Savings_Flat!P53)</f>
        <v>7.8522263506378641E-4</v>
      </c>
      <c r="T156" s="556">
        <f>$F$1*(Flat!Q44-Savings_Flat!Q53)</f>
        <v>1.2257226374089093E-3</v>
      </c>
      <c r="U156" s="556">
        <f>$F$1*(Flat!R44-Savings_Flat!R53)</f>
        <v>8.9677791973675027E-4</v>
      </c>
      <c r="V156" s="556">
        <f>$F$1*(Flat!S44-Savings_Flat!S53)</f>
        <v>1.7405129581634106E-3</v>
      </c>
      <c r="W156" s="556">
        <f>$F$1*(Flat!T44-Savings_Flat!T53)</f>
        <v>1.0826219070555747E-4</v>
      </c>
      <c r="X156" s="556">
        <f>$F$1*(Flat!U44-Savings_Flat!U53)</f>
        <v>1.1602802111981717E-3</v>
      </c>
      <c r="Y156" s="556">
        <f>$F$1*(Flat!V44-Savings_Flat!V53)</f>
        <v>1.6578125542738038E-4</v>
      </c>
      <c r="Z156" s="556">
        <f>$F$1*(Flat!W44-Savings_Flat!W53)</f>
        <v>3.9405404813279665E-4</v>
      </c>
      <c r="AA156" s="556">
        <f>$F$1*(Flat!X44-Savings_Flat!X53)</f>
        <v>1.7510016115114088E-4</v>
      </c>
      <c r="AB156" s="556">
        <f>$F$1*(Flat!Y44-Savings_Flat!Y53)</f>
        <v>7.8439084005909557E-4</v>
      </c>
      <c r="AC156" s="556">
        <f>$F$1*(Flat!Z44-Savings_Flat!Z53)</f>
        <v>1.903141007602583E-3</v>
      </c>
      <c r="AD156" s="556">
        <f>$F$1*(Flat!AA44-Savings_Flat!AA53)</f>
        <v>1.6957285228449326E-3</v>
      </c>
      <c r="AE156" s="556">
        <f>$F$1*(Flat!AB44-Savings_Flat!AB53)</f>
        <v>8.3709002601011666E-4</v>
      </c>
      <c r="AF156" s="556">
        <f>$F$1*(Flat!AC44-Savings_Flat!AC53)</f>
        <v>1.1591130501540676E-3</v>
      </c>
      <c r="AG156" s="556">
        <f>$F$1*(Flat!AD44-Savings_Flat!AD53)</f>
        <v>7.7837861789490758E-4</v>
      </c>
      <c r="AH156" s="556">
        <f>$F$1*(Flat!AE44-Savings_Flat!AE53)</f>
        <v>1.6350595250385765E-3</v>
      </c>
      <c r="AI156" s="556">
        <f>$F$1*(Flat!AF44-Savings_Flat!AF53)</f>
        <v>-1.1656320266589648E-4</v>
      </c>
      <c r="AJ156" s="556">
        <f>$F$1*(Flat!AG44-Savings_Flat!AG53)</f>
        <v>1.5275568027483576E-3</v>
      </c>
      <c r="AK156" s="556">
        <f>$F$1*(Flat!AH44-Savings_Flat!AH53)</f>
        <v>2.0909500278533354E-3</v>
      </c>
      <c r="AL156" s="556">
        <f>$F$1*(Flat!AI44-Savings_Flat!AI53)</f>
        <v>7.833752103679789E-4</v>
      </c>
      <c r="AM156" s="556">
        <f>$F$1*(Flat!AJ44-Savings_Flat!AJ53)</f>
        <v>1.3988567837127837E-3</v>
      </c>
      <c r="AN156" s="556">
        <f>$F$1*(Flat!AK44-Savings_Flat!AK53)</f>
        <v>1.2461173602309797E-3</v>
      </c>
      <c r="AO156" s="556">
        <f>$F$1*(Flat!AL44-Savings_Flat!AL53)</f>
        <v>9.4092153175484106E-4</v>
      </c>
      <c r="AP156" s="556">
        <f>$F$1*(Flat!AM44-Savings_Flat!AM53)</f>
        <v>1.2863546125380784E-3</v>
      </c>
      <c r="AQ156" s="556">
        <f>$F$1*(Flat!AN44-Savings_Flat!AN53)</f>
        <v>1.2863546125380784E-3</v>
      </c>
      <c r="AT156" s="5" t="s">
        <v>372</v>
      </c>
    </row>
    <row r="157" spans="1:46">
      <c r="A157" s="5" t="str">
        <f t="shared" si="7"/>
        <v>OUTPUT</v>
      </c>
      <c r="B157" s="5" t="s">
        <v>615</v>
      </c>
      <c r="C157" s="5" t="str">
        <f t="shared" si="6"/>
        <v>Bldg_FLTPre99-Win</v>
      </c>
      <c r="D157" s="5" t="s">
        <v>78</v>
      </c>
      <c r="E157" s="5" t="s">
        <v>373</v>
      </c>
      <c r="F157" s="5" t="s">
        <v>606</v>
      </c>
      <c r="G157" s="556">
        <f>$F$1*(Flat!D45-Savings_Flat!D54)</f>
        <v>-1.4863083956505381E-4</v>
      </c>
      <c r="H157" s="556">
        <f>$F$1*(Flat!E45-Savings_Flat!E54)</f>
        <v>1.939961336875258E-3</v>
      </c>
      <c r="I157" s="556">
        <f>$F$1*(Flat!F45-Savings_Flat!F54)</f>
        <v>9.7566172667168426E-4</v>
      </c>
      <c r="J157" s="556">
        <f>$F$1*(Flat!G45-Savings_Flat!G54)</f>
        <v>-1.4480486384038489E-4</v>
      </c>
      <c r="K157" s="556">
        <f>$F$1*(Flat!H45-Savings_Flat!H54)</f>
        <v>-2.6993452895638988E-5</v>
      </c>
      <c r="L157" s="556">
        <f>$F$1*(Flat!I45-Savings_Flat!I54)</f>
        <v>1.0287973340849517E-3</v>
      </c>
      <c r="M157" s="556">
        <f>$F$1*(Flat!J45-Savings_Flat!J54)</f>
        <v>-1.422207203231612E-4</v>
      </c>
      <c r="N157" s="556">
        <f>$F$1*(Flat!K45-Savings_Flat!K54)</f>
        <v>1.0206043750364462E-3</v>
      </c>
      <c r="O157" s="556">
        <f>$F$1*(Flat!L45-Savings_Flat!L54)</f>
        <v>-1.3017411274811699E-3</v>
      </c>
      <c r="P157" s="556">
        <f>$F$1*(Flat!M45-Savings_Flat!M54)</f>
        <v>1.0601158321026241E-3</v>
      </c>
      <c r="Q157" s="556">
        <f>$F$1*(Flat!N45-Savings_Flat!N54)</f>
        <v>1.2434357947454158E-4</v>
      </c>
      <c r="R157" s="556">
        <f>$F$1*(Flat!O45-Savings_Flat!O54)</f>
        <v>2.1061322885900749E-4</v>
      </c>
      <c r="S157" s="556">
        <f>$F$1*(Flat!P45-Savings_Flat!P54)</f>
        <v>7.8522263506378641E-4</v>
      </c>
      <c r="T157" s="556">
        <f>$F$1*(Flat!Q45-Savings_Flat!Q54)</f>
        <v>7.0148788597170528E-4</v>
      </c>
      <c r="U157" s="556">
        <f>$F$1*(Flat!R45-Savings_Flat!R54)</f>
        <v>8.9677791973675027E-4</v>
      </c>
      <c r="V157" s="556">
        <f>$F$1*(Flat!S45-Savings_Flat!S54)</f>
        <v>1.7882735804268185E-3</v>
      </c>
      <c r="W157" s="556">
        <f>$F$1*(Flat!T45-Savings_Flat!T54)</f>
        <v>1.0847116453878372E-4</v>
      </c>
      <c r="X157" s="556">
        <f>$F$1*(Flat!U45-Savings_Flat!U54)</f>
        <v>1.180183389330508E-3</v>
      </c>
      <c r="Y157" s="556">
        <f>$F$1*(Flat!V45-Savings_Flat!V54)</f>
        <v>1.6578125542738038E-4</v>
      </c>
      <c r="Z157" s="556">
        <f>$F$1*(Flat!W45-Savings_Flat!W54)</f>
        <v>-1.3472561146061801E-4</v>
      </c>
      <c r="AA157" s="556">
        <f>$F$1*(Flat!X45-Savings_Flat!X54)</f>
        <v>1.7535666747627059E-4</v>
      </c>
      <c r="AB157" s="556">
        <f>$F$1*(Flat!Y45-Savings_Flat!Y54)</f>
        <v>7.8602022599704748E-4</v>
      </c>
      <c r="AC157" s="556">
        <f>$F$1*(Flat!Z45-Savings_Flat!Z54)</f>
        <v>1.3730933574792159E-3</v>
      </c>
      <c r="AD157" s="556">
        <f>$F$1*(Flat!AA45-Savings_Flat!AA54)</f>
        <v>1.7336919644343638E-3</v>
      </c>
      <c r="AE157" s="556">
        <f>$F$1*(Flat!AB45-Savings_Flat!AB54)</f>
        <v>8.3709002601011666E-4</v>
      </c>
      <c r="AF157" s="556">
        <f>$F$1*(Flat!AC45-Savings_Flat!AC54)</f>
        <v>1.1332516126197896E-3</v>
      </c>
      <c r="AG157" s="556">
        <f>$F$1*(Flat!AD45-Savings_Flat!AD54)</f>
        <v>7.7837861789490758E-4</v>
      </c>
      <c r="AH157" s="556">
        <f>$F$1*(Flat!AE45-Savings_Flat!AE54)</f>
        <v>1.6716647280164145E-3</v>
      </c>
      <c r="AI157" s="556">
        <f>$F$1*(Flat!AF45-Savings_Flat!AF54)</f>
        <v>-1.2306187818681086E-4</v>
      </c>
      <c r="AJ157" s="556">
        <f>$F$1*(Flat!AG45-Savings_Flat!AG54)</f>
        <v>1.542484177026683E-3</v>
      </c>
      <c r="AK157" s="556">
        <f>$F$1*(Flat!AH45-Savings_Flat!AH54)</f>
        <v>4.9341110511873926E-4</v>
      </c>
      <c r="AL157" s="556">
        <f>$F$1*(Flat!AI45-Savings_Flat!AI54)</f>
        <v>7.833752103679789E-4</v>
      </c>
      <c r="AM157" s="556">
        <f>$F$1*(Flat!AJ45-Savings_Flat!AJ54)</f>
        <v>1.5231122190970995E-3</v>
      </c>
      <c r="AN157" s="556">
        <f>$F$1*(Flat!AK45-Savings_Flat!AK54)</f>
        <v>1.3571267245017344E-3</v>
      </c>
      <c r="AO157" s="556">
        <f>$F$1*(Flat!AL45-Savings_Flat!AL54)</f>
        <v>9.7932369522709902E-4</v>
      </c>
      <c r="AP157" s="556">
        <f>$F$1*(Flat!AM45-Savings_Flat!AM54)</f>
        <v>1.4006168832012011E-3</v>
      </c>
      <c r="AQ157" s="556">
        <f>$F$1*(Flat!AN45-Savings_Flat!AN54)</f>
        <v>1.4006168832012011E-3</v>
      </c>
      <c r="AT157" s="5" t="s">
        <v>373</v>
      </c>
    </row>
    <row r="158" spans="1:46">
      <c r="A158" s="5" t="str">
        <f t="shared" si="7"/>
        <v>OUTPUT</v>
      </c>
      <c r="B158" s="5" t="s">
        <v>615</v>
      </c>
      <c r="C158" s="5" t="str">
        <f t="shared" si="6"/>
        <v>Bldg_FLTPre09-Win</v>
      </c>
      <c r="D158" s="5" t="s">
        <v>78</v>
      </c>
      <c r="E158" s="5" t="s">
        <v>374</v>
      </c>
      <c r="F158" s="5" t="s">
        <v>606</v>
      </c>
      <c r="G158" s="556">
        <f>$F$1*(Flat!D46-Savings_Flat!D55)</f>
        <v>-3.0258762916769873E-4</v>
      </c>
      <c r="H158" s="556">
        <f>$F$1*(Flat!E46-Savings_Flat!E55)</f>
        <v>8.6555869000793718E-4</v>
      </c>
      <c r="I158" s="556">
        <f>$F$1*(Flat!F46-Savings_Flat!F55)</f>
        <v>5.8063454907477752E-4</v>
      </c>
      <c r="J158" s="556">
        <f>$F$1*(Flat!G46-Savings_Flat!G55)</f>
        <v>-2.9479857995576899E-4</v>
      </c>
      <c r="K158" s="556">
        <f>$F$1*(Flat!H46-Savings_Flat!H55)</f>
        <v>2.7523614190330957E-4</v>
      </c>
      <c r="L158" s="556">
        <f>$F$1*(Flat!I46-Savings_Flat!I55)</f>
        <v>0</v>
      </c>
      <c r="M158" s="556">
        <f>$F$1*(Flat!J46-Savings_Flat!J55)</f>
        <v>-1.3968180207511144E-4</v>
      </c>
      <c r="N158" s="556">
        <f>$F$1*(Flat!K46-Savings_Flat!K55)</f>
        <v>1.6664119844549898E-5</v>
      </c>
      <c r="O158" s="556">
        <f>$F$1*(Flat!L46-Savings_Flat!L55)</f>
        <v>-1.3017411274811699E-3</v>
      </c>
      <c r="P158" s="556">
        <f>$F$1*(Flat!M46-Savings_Flat!M55)</f>
        <v>1.0119753350910535E-3</v>
      </c>
      <c r="Q158" s="556">
        <f>$F$1*(Flat!N46-Savings_Flat!N55)</f>
        <v>-5.0471904952641795E-4</v>
      </c>
      <c r="R158" s="556">
        <f>$F$1*(Flat!O46-Savings_Flat!O55)</f>
        <v>1.2968532128835488E-4</v>
      </c>
      <c r="S158" s="556">
        <f>$F$1*(Flat!P46-Savings_Flat!P55)</f>
        <v>9.4868075450354659E-4</v>
      </c>
      <c r="T158" s="556">
        <f>$F$1*(Flat!Q46-Savings_Flat!Q55)</f>
        <v>1.101761033708268E-4</v>
      </c>
      <c r="U158" s="556">
        <f>$F$1*(Flat!R46-Savings_Flat!R55)</f>
        <v>-2.4276825251851665E-4</v>
      </c>
      <c r="V158" s="556">
        <f>$F$1*(Flat!S46-Savings_Flat!S55)</f>
        <v>1.0013812917578173E-3</v>
      </c>
      <c r="W158" s="556">
        <f>$F$1*(Flat!T46-Savings_Flat!T55)</f>
        <v>-4.4006467235606643E-4</v>
      </c>
      <c r="X158" s="556">
        <f>$F$1*(Flat!U46-Savings_Flat!U55)</f>
        <v>4.4486790025751333E-4</v>
      </c>
      <c r="Y158" s="556">
        <f>$F$1*(Flat!V46-Savings_Flat!V55)</f>
        <v>-1.4639506022426032E-4</v>
      </c>
      <c r="Z158" s="556">
        <f>$F$1*(Flat!W46-Savings_Flat!W55)</f>
        <v>-5.5985598633714808E-4</v>
      </c>
      <c r="AA158" s="556">
        <f>$F$1*(Flat!X46-Savings_Flat!X55)</f>
        <v>-1.532705587449613E-4</v>
      </c>
      <c r="AB158" s="556">
        <f>$F$1*(Flat!Y46-Savings_Flat!Y55)</f>
        <v>7.9469851991273498E-4</v>
      </c>
      <c r="AC158" s="556">
        <f>$F$1*(Flat!Z46-Savings_Flat!Z55)</f>
        <v>3.8368320672627315E-4</v>
      </c>
      <c r="AD158" s="556">
        <f>$F$1*(Flat!AA46-Savings_Flat!AA55)</f>
        <v>2.7380154274837157E-5</v>
      </c>
      <c r="AE158" s="556">
        <f>$F$1*(Flat!AB46-Savings_Flat!AB55)</f>
        <v>8.7724003819983516E-4</v>
      </c>
      <c r="AF158" s="556">
        <f>$F$1*(Flat!AC46-Savings_Flat!AC55)</f>
        <v>7.0523327077355071E-4</v>
      </c>
      <c r="AG158" s="556">
        <f>$F$1*(Flat!AD46-Savings_Flat!AD55)</f>
        <v>-3.4768505224501065E-4</v>
      </c>
      <c r="AH158" s="556">
        <f>$F$1*(Flat!AE46-Savings_Flat!AE55)</f>
        <v>2.6400559665639236E-5</v>
      </c>
      <c r="AI158" s="556">
        <f>$F$1*(Flat!AF46-Savings_Flat!AF55)</f>
        <v>-5.3861260169277216E-4</v>
      </c>
      <c r="AJ158" s="556">
        <f>$F$1*(Flat!AG46-Savings_Flat!AG55)</f>
        <v>0</v>
      </c>
      <c r="AK158" s="556">
        <f>$F$1*(Flat!AH46-Savings_Flat!AH55)</f>
        <v>1.5617652635156249E-4</v>
      </c>
      <c r="AL158" s="556">
        <f>$F$1*(Flat!AI46-Savings_Flat!AI55)</f>
        <v>9.401276100188473E-4</v>
      </c>
      <c r="AM158" s="556">
        <f>$F$1*(Flat!AJ46-Savings_Flat!AJ55)</f>
        <v>1.0056515054516703E-3</v>
      </c>
      <c r="AN158" s="556">
        <f>$F$1*(Flat!AK46-Savings_Flat!AK55)</f>
        <v>8.9609431285859748E-4</v>
      </c>
      <c r="AO158" s="556">
        <f>$F$1*(Flat!AL46-Savings_Flat!AL55)</f>
        <v>5.8827863775608538E-4</v>
      </c>
      <c r="AP158" s="556">
        <f>$F$1*(Flat!AM46-Savings_Flat!AM55)</f>
        <v>9.2477261983184094E-4</v>
      </c>
      <c r="AQ158" s="556">
        <f>$F$1*(Flat!AN46-Savings_Flat!AN55)</f>
        <v>9.2477261983184094E-4</v>
      </c>
      <c r="AT158" s="5" t="s">
        <v>374</v>
      </c>
    </row>
    <row r="159" spans="1:46">
      <c r="A159" s="5" t="str">
        <f t="shared" si="7"/>
        <v>\I:</v>
      </c>
      <c r="C159" s="5" t="str">
        <f t="shared" si="6"/>
        <v/>
      </c>
      <c r="E159" s="5" t="s">
        <v>623</v>
      </c>
    </row>
    <row r="160" spans="1:46">
      <c r="A160" s="135" t="str">
        <f t="shared" si="7"/>
        <v>\I:</v>
      </c>
      <c r="C160" s="5" t="str">
        <f t="shared" si="6"/>
        <v/>
      </c>
      <c r="E160" s="5" t="s">
        <v>623</v>
      </c>
      <c r="F160" s="135" t="s">
        <v>393</v>
      </c>
      <c r="G160" s="492">
        <f>'Energy Efficiency Measures-DBT'!D57*Flat!D22/Flat!D5</f>
        <v>33.199816786196251</v>
      </c>
      <c r="H160" s="492">
        <f>'Energy Efficiency Measures-DBT'!E57*Flat!E22/Flat!E5</f>
        <v>49.154502952533498</v>
      </c>
      <c r="I160" s="492">
        <f>'Energy Efficiency Measures-DBT'!F57*Flat!F22/Flat!F5</f>
        <v>36.848480366963713</v>
      </c>
      <c r="J160" s="492">
        <f>'Energy Efficiency Measures-DBT'!G57*Flat!G22/Flat!G5</f>
        <v>33.199816786196251</v>
      </c>
      <c r="K160" s="492">
        <f>'Energy Efficiency Measures-DBT'!H57*Flat!H22/Flat!H5</f>
        <v>49.315068493150683</v>
      </c>
      <c r="L160" s="492">
        <f>'Energy Efficiency Measures-DBT'!I57*Flat!I22/Flat!I5</f>
        <v>50.646438130353481</v>
      </c>
      <c r="M160" s="492">
        <f>'Energy Efficiency Measures-DBT'!J57*Flat!J22/Flat!J5</f>
        <v>45.926871726534316</v>
      </c>
      <c r="N160" s="492">
        <f>'Energy Efficiency Measures-DBT'!K57*Flat!K22/Flat!K5</f>
        <v>45.918367346938773</v>
      </c>
      <c r="O160" s="492">
        <f>'Energy Efficiency Measures-DBT'!L57*Flat!L22/Flat!L5</f>
        <v>49.708120652069283</v>
      </c>
      <c r="P160" s="492">
        <f>'Energy Efficiency Measures-DBT'!M57*Flat!M22/Flat!M5</f>
        <v>48.58851722041905</v>
      </c>
      <c r="Q160" s="492">
        <f>'Energy Efficiency Measures-DBT'!N57*Flat!N22/Flat!N5</f>
        <v>64.285714285714278</v>
      </c>
      <c r="R160" s="492">
        <f>'Energy Efficiency Measures-DBT'!O57*Flat!O22/Flat!O5</f>
        <v>58.664873423872081</v>
      </c>
      <c r="S160" s="492">
        <f>'Energy Efficiency Measures-DBT'!P57*Flat!P22/Flat!P5</f>
        <v>49.315068493150683</v>
      </c>
      <c r="T160" s="492">
        <f>'Energy Efficiency Measures-DBT'!Q57*Flat!Q22/Flat!Q5</f>
        <v>37.351252879866486</v>
      </c>
      <c r="U160" s="492">
        <f>'Energy Efficiency Measures-DBT'!R57*Flat!R22/Flat!R5</f>
        <v>50.840367088847849</v>
      </c>
      <c r="V160" s="492">
        <f>'Energy Efficiency Measures-DBT'!S57*Flat!S22/Flat!S5</f>
        <v>43.278973740122019</v>
      </c>
      <c r="W160" s="492">
        <f>'Energy Efficiency Measures-DBT'!T57*Flat!T22/Flat!T5</f>
        <v>64.285714285714292</v>
      </c>
      <c r="X160" s="492">
        <f>'Energy Efficiency Measures-DBT'!U57*Flat!U22/Flat!U5</f>
        <v>39.647577092511014</v>
      </c>
      <c r="Y160" s="492">
        <f>'Energy Efficiency Measures-DBT'!V57*Flat!V22/Flat!V5</f>
        <v>46.080666689500134</v>
      </c>
      <c r="Z160" s="492">
        <f>'Energy Efficiency Measures-DBT'!W57*Flat!W22/Flat!W5</f>
        <v>41.957990610850651</v>
      </c>
      <c r="AA160" s="492">
        <f>'Energy Efficiency Measures-DBT'!X57*Flat!X22/Flat!X5</f>
        <v>46.135922330097088</v>
      </c>
      <c r="AB160" s="492">
        <f>'Energy Efficiency Measures-DBT'!Y57*Flat!Y22/Flat!Y5</f>
        <v>42.337275388405693</v>
      </c>
      <c r="AC160" s="492">
        <f>'Energy Efficiency Measures-DBT'!Z57*Flat!Z22/Flat!Z5</f>
        <v>37.994722955145122</v>
      </c>
      <c r="AD160" s="492">
        <f>'Energy Efficiency Measures-DBT'!AA57*Flat!AA22/Flat!AA5</f>
        <v>53.892215568862277</v>
      </c>
      <c r="AE160" s="492">
        <f>'Energy Efficiency Measures-DBT'!AB57*Flat!AB22/Flat!AB5</f>
        <v>45.274618860022819</v>
      </c>
      <c r="AF160" s="492">
        <f>'Energy Efficiency Measures-DBT'!AC57*Flat!AC22/Flat!AC5</f>
        <v>43.415728412910916</v>
      </c>
      <c r="AG160" s="492">
        <f>'Energy Efficiency Measures-DBT'!AD57*Flat!AD22/Flat!AD5</f>
        <v>49.551260779276163</v>
      </c>
      <c r="AH160" s="492">
        <f>'Energy Efficiency Measures-DBT'!AE57*Flat!AE22/Flat!AE5</f>
        <v>53.892215568862277</v>
      </c>
      <c r="AI160" s="492">
        <f>'Energy Efficiency Measures-DBT'!AF57*Flat!AF22/Flat!AF5</f>
        <v>46.081455838866653</v>
      </c>
      <c r="AJ160" s="492">
        <f>'Energy Efficiency Measures-DBT'!AG57*Flat!AG22/Flat!AG5</f>
        <v>38.790005846417927</v>
      </c>
      <c r="AK160" s="492">
        <f>'Energy Efficiency Measures-DBT'!AH57*Flat!AH22/Flat!AH5</f>
        <v>59.491840528816361</v>
      </c>
      <c r="AL160" s="492">
        <f>'Energy Efficiency Measures-DBT'!AI57*Flat!AI22/Flat!AI5</f>
        <v>32.547945205479451</v>
      </c>
      <c r="AM160" s="492">
        <f>'Energy Efficiency Measures-DBT'!AJ57*Flat!AJ22/Flat!AJ5</f>
        <v>37.351252879866486</v>
      </c>
      <c r="AN160" s="492">
        <f>'Energy Efficiency Measures-DBT'!AK57*Flat!AK22/Flat!AK5</f>
        <v>32.547945205479451</v>
      </c>
      <c r="AO160" s="492">
        <f>'Energy Efficiency Measures-DBT'!AL57*Flat!AL22/Flat!AL5</f>
        <v>37.351252879866486</v>
      </c>
      <c r="AP160" s="492">
        <f>'Energy Efficiency Measures-DBT'!AM57*Flat!AM22/Flat!AM5</f>
        <v>37.351252879866486</v>
      </c>
      <c r="AQ160" s="492">
        <f>'Energy Efficiency Measures-DBT'!AN57*Flat!AN22/Flat!AN5</f>
        <v>37.351252879866486</v>
      </c>
      <c r="AR160" s="492"/>
    </row>
    <row r="161" spans="1:46">
      <c r="A161" s="135" t="str">
        <f t="shared" si="7"/>
        <v>\I:</v>
      </c>
      <c r="C161" s="5" t="str">
        <f t="shared" si="6"/>
        <v/>
      </c>
      <c r="E161" s="5" t="s">
        <v>375</v>
      </c>
      <c r="F161" s="135" t="s">
        <v>625</v>
      </c>
      <c r="G161" s="214">
        <f>G160*Flat!D5</f>
        <v>47520</v>
      </c>
      <c r="H161" s="214">
        <f>H160*Flat!E5</f>
        <v>72000</v>
      </c>
      <c r="I161" s="214">
        <f>I160*Flat!F5</f>
        <v>95040</v>
      </c>
      <c r="J161" s="214">
        <f>J160*Flat!G5</f>
        <v>47520</v>
      </c>
      <c r="K161" s="214">
        <f>K160*Flat!H5</f>
        <v>72000</v>
      </c>
      <c r="L161" s="214">
        <f>L160*Flat!I5</f>
        <v>61776</v>
      </c>
      <c r="M161" s="214">
        <f>M160*Flat!J5</f>
        <v>57600</v>
      </c>
      <c r="N161" s="214">
        <f>N160*Flat!K5</f>
        <v>108000</v>
      </c>
      <c r="O161" s="214">
        <f>O160*Flat!L5</f>
        <v>47520</v>
      </c>
      <c r="P161" s="214">
        <f>P160*Flat!M5</f>
        <v>41965.71428571429</v>
      </c>
      <c r="Q161" s="214">
        <f>Q160*Flat!N5</f>
        <v>179999.99999999997</v>
      </c>
      <c r="R161" s="214">
        <f>R160*Flat!O5</f>
        <v>77348.57142857142</v>
      </c>
      <c r="S161" s="214">
        <f>S160*Flat!P5</f>
        <v>36000</v>
      </c>
      <c r="T161" s="214">
        <f>T160*Flat!Q5</f>
        <v>47520</v>
      </c>
      <c r="U161" s="214">
        <f>U160*Flat!R5</f>
        <v>47520</v>
      </c>
      <c r="V161" s="214">
        <f>V160*Flat!S5</f>
        <v>230400</v>
      </c>
      <c r="W161" s="214">
        <f>W160*Flat!T5</f>
        <v>72000</v>
      </c>
      <c r="X161" s="214">
        <f>X160*Flat!U5</f>
        <v>72000</v>
      </c>
      <c r="Y161" s="214">
        <f>Y160*Flat!V5</f>
        <v>47520</v>
      </c>
      <c r="Z161" s="214">
        <f>Z160*Flat!W5</f>
        <v>72000</v>
      </c>
      <c r="AA161" s="214">
        <f>AA160*Flat!X5</f>
        <v>47520</v>
      </c>
      <c r="AB161" s="214">
        <f>AB160*Flat!Y5</f>
        <v>72000</v>
      </c>
      <c r="AC161" s="214">
        <f>AC160*Flat!Z5</f>
        <v>57600.000000000007</v>
      </c>
      <c r="AD161" s="214">
        <f>AD160*Flat!AA5</f>
        <v>72000</v>
      </c>
      <c r="AE161" s="214">
        <f>AE160*Flat!AB5</f>
        <v>71279.999999999985</v>
      </c>
      <c r="AF161" s="214">
        <f>AF160*Flat!AC5</f>
        <v>83931.42857142858</v>
      </c>
      <c r="AG161" s="214">
        <f>AG160*Flat!AD5</f>
        <v>190080</v>
      </c>
      <c r="AH161" s="214">
        <f>AH160*Flat!AE5</f>
        <v>72000</v>
      </c>
      <c r="AI161" s="214">
        <f>AI160*Flat!AF5</f>
        <v>47520</v>
      </c>
      <c r="AJ161" s="214">
        <f>AJ160*Flat!AG5</f>
        <v>47520</v>
      </c>
      <c r="AK161" s="214">
        <f>AK160*Flat!AH5</f>
        <v>230400</v>
      </c>
      <c r="AL161" s="214">
        <f>AL160*Flat!AI5</f>
        <v>47520</v>
      </c>
      <c r="AM161" s="214">
        <f>AM160*Flat!AJ5</f>
        <v>47520</v>
      </c>
      <c r="AN161" s="214">
        <f>AN160*Flat!AK5</f>
        <v>47520</v>
      </c>
      <c r="AO161" s="214">
        <f>AO160*Flat!AL5</f>
        <v>47520</v>
      </c>
      <c r="AP161" s="214">
        <f>AP160*Flat!AM5</f>
        <v>47520</v>
      </c>
      <c r="AQ161" s="214">
        <f>AQ160*Flat!AN5</f>
        <v>47520</v>
      </c>
      <c r="AR161" s="492"/>
    </row>
    <row r="162" spans="1:46">
      <c r="A162" s="5" t="str">
        <f t="shared" si="7"/>
        <v>OUTPUT</v>
      </c>
      <c r="B162" s="5" t="s">
        <v>615</v>
      </c>
      <c r="C162" s="5" t="str">
        <f t="shared" si="6"/>
        <v>Bldg_FLTPre45-Win</v>
      </c>
      <c r="D162" s="5" t="s">
        <v>78</v>
      </c>
      <c r="E162" s="5" t="s">
        <v>375</v>
      </c>
      <c r="F162" s="5" t="s">
        <v>606</v>
      </c>
      <c r="G162" s="556">
        <f>$F$1*(Flat!D41-Savings_Flat!D83)</f>
        <v>2.3732865561238558E-3</v>
      </c>
      <c r="H162" s="556">
        <f>$F$1*(Flat!E41-Savings_Flat!E83)</f>
        <v>3.2884241036641748E-3</v>
      </c>
      <c r="I162" s="556">
        <f>$F$1*(Flat!F41-Savings_Flat!F83)</f>
        <v>1.9112022611284434E-3</v>
      </c>
      <c r="J162" s="556">
        <f>$F$1*(Flat!G41-Savings_Flat!G83)</f>
        <v>2.3121946805884936E-3</v>
      </c>
      <c r="K162" s="556">
        <f>$F$1*(Flat!H41-Savings_Flat!H83)</f>
        <v>5.3155535576007739E-4</v>
      </c>
      <c r="L162" s="556">
        <f>$F$1*(Flat!I41-Savings_Flat!I83)</f>
        <v>2.9086644924130093E-3</v>
      </c>
      <c r="M162" s="556">
        <f>$F$1*(Flat!J41-Savings_Flat!J83)</f>
        <v>3.219409819319393E-3</v>
      </c>
      <c r="N162" s="556">
        <f>$F$1*(Flat!K41-Savings_Flat!K83)</f>
        <v>2.5864783145044591E-3</v>
      </c>
      <c r="O162" s="556">
        <f>$F$1*(Flat!L41-Savings_Flat!L83)</f>
        <v>1.9930554476368994E-3</v>
      </c>
      <c r="P162" s="556">
        <f>$F$1*(Flat!M41-Savings_Flat!M83)</f>
        <v>3.080340730968998E-3</v>
      </c>
      <c r="Q162" s="556">
        <f>$F$1*(Flat!N41-Savings_Flat!N83)</f>
        <v>3.630968112520735E-3</v>
      </c>
      <c r="R162" s="556">
        <f>$F$1*(Flat!O41-Savings_Flat!O83)</f>
        <v>2.905627654884434E-3</v>
      </c>
      <c r="S162" s="556">
        <f>$F$1*(Flat!P41-Savings_Flat!P83)</f>
        <v>1.3624458571772327E-3</v>
      </c>
      <c r="T162" s="556">
        <f>$F$1*(Flat!Q41-Savings_Flat!Q83)</f>
        <v>3.531576392790925E-3</v>
      </c>
      <c r="U162" s="556">
        <f>$F$1*(Flat!R41-Savings_Flat!R83)</f>
        <v>1.9200352549400136E-3</v>
      </c>
      <c r="V162" s="556">
        <f>$F$1*(Flat!S41-Savings_Flat!S83)</f>
        <v>3.5096861055133061E-3</v>
      </c>
      <c r="W162" s="556">
        <f>$F$1*(Flat!T41-Savings_Flat!T83)</f>
        <v>3.1254757607666601E-3</v>
      </c>
      <c r="X162" s="556">
        <f>$F$1*(Flat!U41-Savings_Flat!U83)</f>
        <v>3.3472467503176135E-3</v>
      </c>
      <c r="Y162" s="556">
        <f>$F$1*(Flat!V41-Savings_Flat!V83)</f>
        <v>2.338211690057026E-3</v>
      </c>
      <c r="Z162" s="556">
        <f>$F$1*(Flat!W41-Savings_Flat!W83)</f>
        <v>4.4906705556603307E-3</v>
      </c>
      <c r="AA162" s="556">
        <f>$F$1*(Flat!X41-Savings_Flat!X83)</f>
        <v>3.2737979826706681E-3</v>
      </c>
      <c r="AB162" s="556">
        <f>$F$1*(Flat!Y41-Savings_Flat!Y83)</f>
        <v>9.3408989929321469E-4</v>
      </c>
      <c r="AC162" s="556">
        <f>$F$1*(Flat!Z41-Savings_Flat!Z83)</f>
        <v>3.1386446455501965E-3</v>
      </c>
      <c r="AD162" s="556">
        <f>$F$1*(Flat!AA41-Savings_Flat!AA83)</f>
        <v>4.4720462639141782E-3</v>
      </c>
      <c r="AE162" s="556">
        <f>$F$1*(Flat!AB41-Savings_Flat!AB83)</f>
        <v>3.5725418807353243E-3</v>
      </c>
      <c r="AF162" s="556">
        <f>$F$1*(Flat!AC41-Savings_Flat!AC83)</f>
        <v>1.4901328347378868E-3</v>
      </c>
      <c r="AG162" s="556">
        <f>$F$1*(Flat!AD41-Savings_Flat!AD83)</f>
        <v>2.0927942741819209E-3</v>
      </c>
      <c r="AH162" s="556">
        <f>$F$1*(Flat!AE41-Savings_Flat!AE83)</f>
        <v>4.3120474425697485E-3</v>
      </c>
      <c r="AI162" s="556">
        <f>$F$1*(Flat!AF41-Savings_Flat!AF83)</f>
        <v>1.928506279062888E-3</v>
      </c>
      <c r="AJ162" s="556">
        <f>$F$1*(Flat!AG41-Savings_Flat!AG83)</f>
        <v>3.6808830868482875E-3</v>
      </c>
      <c r="AK162" s="556">
        <f>$F$1*(Flat!AH41-Savings_Flat!AH83)</f>
        <v>3.483790620798251E-3</v>
      </c>
      <c r="AL162" s="556">
        <f>$F$1*(Flat!AI41-Savings_Flat!AI83)</f>
        <v>1.3603429938436962E-3</v>
      </c>
      <c r="AM162" s="556">
        <f>$F$1*(Flat!AJ41-Savings_Flat!AJ83)</f>
        <v>2.4757270474767257E-3</v>
      </c>
      <c r="AN162" s="556">
        <f>$F$1*(Flat!AK41-Savings_Flat!AK83)</f>
        <v>2.2035026710622422E-3</v>
      </c>
      <c r="AO162" s="556">
        <f>$F$1*(Flat!AL41-Savings_Flat!AL83)</f>
        <v>1.9128088653080166E-3</v>
      </c>
      <c r="AP162" s="556">
        <f>$F$1*(Flat!AM41-Savings_Flat!AM83)</f>
        <v>2.2766182671355105E-3</v>
      </c>
      <c r="AQ162" s="556">
        <f>$F$1*(Flat!AN41-Savings_Flat!AN83)</f>
        <v>2.2766182671355105E-3</v>
      </c>
      <c r="AT162" s="5" t="s">
        <v>375</v>
      </c>
    </row>
    <row r="163" spans="1:46">
      <c r="A163" s="5" t="str">
        <f t="shared" si="7"/>
        <v>OUTPUT</v>
      </c>
      <c r="B163" s="5" t="s">
        <v>615</v>
      </c>
      <c r="C163" s="5" t="str">
        <f t="shared" si="6"/>
        <v>Bldg_FLTPre69-Win</v>
      </c>
      <c r="D163" s="5" t="s">
        <v>78</v>
      </c>
      <c r="E163" s="5" t="s">
        <v>376</v>
      </c>
      <c r="F163" s="5" t="s">
        <v>606</v>
      </c>
      <c r="G163" s="556">
        <f>$F$1*(Flat!D42-Savings_Flat!D84)</f>
        <v>2.4224794207827341E-3</v>
      </c>
      <c r="H163" s="556">
        <f>$F$1*(Flat!E42-Savings_Flat!E84)</f>
        <v>3.2884241036641748E-3</v>
      </c>
      <c r="I163" s="556">
        <f>$F$1*(Flat!F42-Savings_Flat!F84)</f>
        <v>1.9112022611284434E-3</v>
      </c>
      <c r="J163" s="556">
        <f>$F$1*(Flat!G42-Savings_Flat!G84)</f>
        <v>2.3601212487872072E-3</v>
      </c>
      <c r="K163" s="556">
        <f>$F$1*(Flat!H42-Savings_Flat!H84)</f>
        <v>5.4060334859596813E-4</v>
      </c>
      <c r="L163" s="556">
        <f>$F$1*(Flat!I42-Savings_Flat!I84)</f>
        <v>2.9732930025424807E-3</v>
      </c>
      <c r="M163" s="556">
        <f>$F$1*(Flat!J42-Savings_Flat!J84)</f>
        <v>2.3413358516179107E-3</v>
      </c>
      <c r="N163" s="556">
        <f>$F$1*(Flat!K42-Savings_Flat!K84)</f>
        <v>2.5424025241723531E-3</v>
      </c>
      <c r="O163" s="556">
        <f>$F$1*(Flat!L42-Savings_Flat!L84)</f>
        <v>1.9930554476368994E-3</v>
      </c>
      <c r="P163" s="556">
        <f>$F$1*(Flat!M42-Savings_Flat!M84)</f>
        <v>3.1481025166269819E-3</v>
      </c>
      <c r="Q163" s="556">
        <f>$F$1*(Flat!N42-Savings_Flat!N84)</f>
        <v>3.6817033869597318E-3</v>
      </c>
      <c r="R163" s="556">
        <f>$F$1*(Flat!O42-Savings_Flat!O84)</f>
        <v>2.905627654884434E-3</v>
      </c>
      <c r="S163" s="556">
        <f>$F$1*(Flat!P42-Savings_Flat!P84)</f>
        <v>1.3624458571772327E-3</v>
      </c>
      <c r="T163" s="556">
        <f>$F$1*(Flat!Q42-Savings_Flat!Q84)</f>
        <v>3.4827338872742727E-3</v>
      </c>
      <c r="U163" s="556">
        <f>$F$1*(Flat!R42-Savings_Flat!R84)</f>
        <v>1.9200352549400136E-3</v>
      </c>
      <c r="V163" s="556">
        <f>$F$1*(Flat!S42-Savings_Flat!S84)</f>
        <v>3.5018366386362614E-3</v>
      </c>
      <c r="W163" s="556">
        <f>$F$1*(Flat!T42-Savings_Flat!T84)</f>
        <v>3.1668345528007864E-3</v>
      </c>
      <c r="X163" s="556">
        <f>$F$1*(Flat!U42-Savings_Flat!U84)</f>
        <v>3.3893362069368355E-3</v>
      </c>
      <c r="Y163" s="556">
        <f>$F$1*(Flat!V42-Savings_Flat!V84)</f>
        <v>2.338211690057026E-3</v>
      </c>
      <c r="Z163" s="556">
        <f>$F$1*(Flat!W42-Savings_Flat!W84)</f>
        <v>3.5765720982797733E-3</v>
      </c>
      <c r="AA163" s="556">
        <f>$F$1*(Flat!X42-Savings_Flat!X84)</f>
        <v>2.9587840215173364E-3</v>
      </c>
      <c r="AB163" s="556">
        <f>$F$1*(Flat!Y42-Savings_Flat!Y84)</f>
        <v>9.3424317118781931E-4</v>
      </c>
      <c r="AC163" s="556">
        <f>$F$1*(Flat!Z42-Savings_Flat!Z84)</f>
        <v>2.8837178587285384E-3</v>
      </c>
      <c r="AD163" s="556">
        <f>$F$1*(Flat!AA42-Savings_Flat!AA84)</f>
        <v>4.382841873115194E-3</v>
      </c>
      <c r="AE163" s="556">
        <f>$F$1*(Flat!AB42-Savings_Flat!AB84)</f>
        <v>2.6548105912849325E-3</v>
      </c>
      <c r="AF163" s="556">
        <f>$F$1*(Flat!AC42-Savings_Flat!AC84)</f>
        <v>1.5733712725094456E-3</v>
      </c>
      <c r="AG163" s="556">
        <f>$F$1*(Flat!AD42-Savings_Flat!AD84)</f>
        <v>2.0195538333983047E-3</v>
      </c>
      <c r="AH163" s="556">
        <f>$F$1*(Flat!AE42-Savings_Flat!AE84)</f>
        <v>4.2260345655754745E-3</v>
      </c>
      <c r="AI163" s="556">
        <f>$F$1*(Flat!AF42-Savings_Flat!AF84)</f>
        <v>1.928506279062888E-3</v>
      </c>
      <c r="AJ163" s="556">
        <f>$F$1*(Flat!AG42-Savings_Flat!AG84)</f>
        <v>3.7970997082658079E-3</v>
      </c>
      <c r="AK163" s="556">
        <f>$F$1*(Flat!AH42-Savings_Flat!AH84)</f>
        <v>3.3830604826487975E-3</v>
      </c>
      <c r="AL163" s="556">
        <f>$F$1*(Flat!AI42-Savings_Flat!AI84)</f>
        <v>1.3603429938436962E-3</v>
      </c>
      <c r="AM163" s="556">
        <f>$F$1*(Flat!AJ42-Savings_Flat!AJ84)</f>
        <v>2.4757270474767257E-3</v>
      </c>
      <c r="AN163" s="556">
        <f>$F$1*(Flat!AK42-Savings_Flat!AK84)</f>
        <v>2.2035026710622422E-3</v>
      </c>
      <c r="AO163" s="556">
        <f>$F$1*(Flat!AL42-Savings_Flat!AL84)</f>
        <v>1.9128088653080166E-3</v>
      </c>
      <c r="AP163" s="556">
        <f>$F$1*(Flat!AM42-Savings_Flat!AM84)</f>
        <v>2.2766182671355105E-3</v>
      </c>
      <c r="AQ163" s="556">
        <f>$F$1*(Flat!AN42-Savings_Flat!AN84)</f>
        <v>2.2766182671355105E-3</v>
      </c>
      <c r="AT163" s="5" t="s">
        <v>376</v>
      </c>
    </row>
    <row r="164" spans="1:46">
      <c r="A164" s="5" t="str">
        <f t="shared" si="7"/>
        <v>OUTPUT</v>
      </c>
      <c r="B164" s="5" t="s">
        <v>615</v>
      </c>
      <c r="C164" s="5" t="str">
        <f t="shared" si="6"/>
        <v>Bldg_FLTPre79-Win</v>
      </c>
      <c r="D164" s="5" t="s">
        <v>78</v>
      </c>
      <c r="E164" s="5" t="s">
        <v>377</v>
      </c>
      <c r="F164" s="5" t="s">
        <v>606</v>
      </c>
      <c r="G164" s="556">
        <f>$F$1*(Flat!D43-Savings_Flat!D85)</f>
        <v>2.2487731222053252E-3</v>
      </c>
      <c r="H164" s="556">
        <f>$F$1*(Flat!E43-Savings_Flat!E85)</f>
        <v>3.2884241036641748E-3</v>
      </c>
      <c r="I164" s="556">
        <f>$F$1*(Flat!F43-Savings_Flat!F85)</f>
        <v>1.9326156580022191E-3</v>
      </c>
      <c r="J164" s="556">
        <f>$F$1*(Flat!G43-Savings_Flat!G85)</f>
        <v>2.1908864050136931E-3</v>
      </c>
      <c r="K164" s="556">
        <f>$F$1*(Flat!H43-Savings_Flat!H85)</f>
        <v>1.3698306830948377E-3</v>
      </c>
      <c r="L164" s="556">
        <f>$F$1*(Flat!I43-Savings_Flat!I85)</f>
        <v>2.9732930025424807E-3</v>
      </c>
      <c r="M164" s="556">
        <f>$F$1*(Flat!J43-Savings_Flat!J85)</f>
        <v>2.7210471231415368E-3</v>
      </c>
      <c r="N164" s="556">
        <f>$F$1*(Flat!K43-Savings_Flat!K85)</f>
        <v>2.6846306539022773E-3</v>
      </c>
      <c r="O164" s="556">
        <f>$F$1*(Flat!L43-Savings_Flat!L85)</f>
        <v>2.074779714407509E-3</v>
      </c>
      <c r="P164" s="556">
        <f>$F$1*(Flat!M43-Savings_Flat!M85)</f>
        <v>3.1481025166269819E-3</v>
      </c>
      <c r="Q164" s="556">
        <f>$F$1*(Flat!N43-Savings_Flat!N85)</f>
        <v>3.4428812247810758E-3</v>
      </c>
      <c r="R164" s="556">
        <f>$F$1*(Flat!O43-Savings_Flat!O85)</f>
        <v>2.6781694448949457E-3</v>
      </c>
      <c r="S164" s="556">
        <f>$F$1*(Flat!P43-Savings_Flat!P85)</f>
        <v>1.3624458571772327E-3</v>
      </c>
      <c r="T164" s="556">
        <f>$F$1*(Flat!Q43-Savings_Flat!Q85)</f>
        <v>2.2290943137392117E-3</v>
      </c>
      <c r="U164" s="556">
        <f>$F$1*(Flat!R43-Savings_Flat!R85)</f>
        <v>1.9736536484146997E-3</v>
      </c>
      <c r="V164" s="556">
        <f>$F$1*(Flat!S43-Savings_Flat!S85)</f>
        <v>3.5850861384067391E-3</v>
      </c>
      <c r="W164" s="556">
        <f>$F$1*(Flat!T43-Savings_Flat!T85)</f>
        <v>2.9735058310298244E-3</v>
      </c>
      <c r="X164" s="556">
        <f>$F$1*(Flat!U43-Savings_Flat!U85)</f>
        <v>2.861418110309506E-3</v>
      </c>
      <c r="Y164" s="556">
        <f>$F$1*(Flat!V43-Savings_Flat!V85)</f>
        <v>1.9332303813273063E-3</v>
      </c>
      <c r="Z164" s="556">
        <f>$F$1*(Flat!W43-Savings_Flat!W85)</f>
        <v>3.0412734726475918E-3</v>
      </c>
      <c r="AA164" s="556">
        <f>$F$1*(Flat!X43-Savings_Flat!X85)</f>
        <v>3.000656342463515E-3</v>
      </c>
      <c r="AB164" s="556">
        <f>$F$1*(Flat!Y43-Savings_Flat!Y85)</f>
        <v>9.7804852702916513E-4</v>
      </c>
      <c r="AC164" s="556">
        <f>$F$1*(Flat!Z43-Savings_Flat!Z85)</f>
        <v>2.8938887192213412E-3</v>
      </c>
      <c r="AD164" s="556">
        <f>$F$1*(Flat!AA43-Savings_Flat!AA85)</f>
        <v>4.6288198620646473E-3</v>
      </c>
      <c r="AE164" s="556">
        <f>$F$1*(Flat!AB43-Savings_Flat!AB85)</f>
        <v>2.3300195719617748E-3</v>
      </c>
      <c r="AF164" s="556">
        <f>$F$1*(Flat!AC43-Savings_Flat!AC85)</f>
        <v>1.5772324354837175E-3</v>
      </c>
      <c r="AG164" s="556">
        <f>$F$1*(Flat!AD43-Savings_Flat!AD85)</f>
        <v>2.0195538333983047E-3</v>
      </c>
      <c r="AH164" s="556">
        <f>$F$1*(Flat!AE43-Savings_Flat!AE85)</f>
        <v>4.4632120667870961E-3</v>
      </c>
      <c r="AI164" s="556">
        <f>$F$1*(Flat!AF43-Savings_Flat!AF85)</f>
        <v>1.6115871194922161E-3</v>
      </c>
      <c r="AJ164" s="556">
        <f>$F$1*(Flat!AG43-Savings_Flat!AG85)</f>
        <v>3.7970997082658079E-3</v>
      </c>
      <c r="AK164" s="556">
        <f>$F$1*(Flat!AH43-Savings_Flat!AH85)</f>
        <v>3.1583717225956475E-3</v>
      </c>
      <c r="AL164" s="556">
        <f>$F$1*(Flat!AI43-Savings_Flat!AI85)</f>
        <v>1.3603429938436962E-3</v>
      </c>
      <c r="AM164" s="556">
        <f>$F$1*(Flat!AJ43-Savings_Flat!AJ85)</f>
        <v>2.4757270474767257E-3</v>
      </c>
      <c r="AN164" s="556">
        <f>$F$1*(Flat!AK43-Savings_Flat!AK85)</f>
        <v>2.2035026710622422E-3</v>
      </c>
      <c r="AO164" s="556">
        <f>$F$1*(Flat!AL43-Savings_Flat!AL85)</f>
        <v>1.9347398368930371E-3</v>
      </c>
      <c r="AP164" s="556">
        <f>$F$1*(Flat!AM43-Savings_Flat!AM85)</f>
        <v>2.2766182671355105E-3</v>
      </c>
      <c r="AQ164" s="556">
        <f>$F$1*(Flat!AN43-Savings_Flat!AN85)</f>
        <v>2.2766182671355105E-3</v>
      </c>
      <c r="AT164" s="5" t="s">
        <v>377</v>
      </c>
    </row>
    <row r="165" spans="1:46">
      <c r="A165" s="5" t="str">
        <f t="shared" si="7"/>
        <v>OUTPUT</v>
      </c>
      <c r="B165" s="5" t="s">
        <v>615</v>
      </c>
      <c r="C165" s="5" t="str">
        <f t="shared" si="6"/>
        <v>Bldg_FLTPre89-Win</v>
      </c>
      <c r="D165" s="5" t="s">
        <v>78</v>
      </c>
      <c r="E165" s="5" t="s">
        <v>378</v>
      </c>
      <c r="F165" s="5" t="s">
        <v>606</v>
      </c>
      <c r="G165" s="556">
        <f>$F$1*(Flat!D44-Savings_Flat!D86)</f>
        <v>1.6754830144703693E-3</v>
      </c>
      <c r="H165" s="556">
        <f>$F$1*(Flat!E44-Savings_Flat!E86)</f>
        <v>3.0264010153754585E-3</v>
      </c>
      <c r="I165" s="556">
        <f>$F$1*(Flat!F44-Savings_Flat!F86)</f>
        <v>1.9894154712366018E-3</v>
      </c>
      <c r="J165" s="556">
        <f>$F$1*(Flat!G44-Savings_Flat!G86)</f>
        <v>1.6323536251779043E-3</v>
      </c>
      <c r="K165" s="556">
        <f>$F$1*(Flat!H44-Savings_Flat!H86)</f>
        <v>1.3754309118586007E-3</v>
      </c>
      <c r="L165" s="556">
        <f>$F$1*(Flat!I44-Savings_Flat!I86)</f>
        <v>3.03271281788741E-3</v>
      </c>
      <c r="M165" s="556">
        <f>$F$1*(Flat!J44-Savings_Flat!J86)</f>
        <v>2.5071809944078628E-3</v>
      </c>
      <c r="N165" s="556">
        <f>$F$1*(Flat!K44-Savings_Flat!K86)</f>
        <v>2.6443928456261426E-3</v>
      </c>
      <c r="O165" s="556">
        <f>$F$1*(Flat!L44-Savings_Flat!L86)</f>
        <v>9.3417741135411311E-4</v>
      </c>
      <c r="P165" s="556">
        <f>$F$1*(Flat!M44-Savings_Flat!M86)</f>
        <v>1.7620435378976544E-3</v>
      </c>
      <c r="Q165" s="556">
        <f>$F$1*(Flat!N44-Savings_Flat!N86)</f>
        <v>2.8046814160809829E-3</v>
      </c>
      <c r="R165" s="556">
        <f>$F$1*(Flat!O44-Savings_Flat!O86)</f>
        <v>2.3088452906851048E-3</v>
      </c>
      <c r="S165" s="556">
        <f>$F$1*(Flat!P44-Savings_Flat!P86)</f>
        <v>1.3673522676432893E-3</v>
      </c>
      <c r="T165" s="556">
        <f>$F$1*(Flat!Q44-Savings_Flat!Q86)</f>
        <v>2.2290943137392117E-3</v>
      </c>
      <c r="U165" s="556">
        <f>$F$1*(Flat!R44-Savings_Flat!R86)</f>
        <v>2.0959961320115746E-3</v>
      </c>
      <c r="V165" s="556">
        <f>$F$1*(Flat!S44-Savings_Flat!S86)</f>
        <v>2.9167173614338031E-3</v>
      </c>
      <c r="W165" s="556">
        <f>$F$1*(Flat!T44-Savings_Flat!T86)</f>
        <v>2.433042758356584E-3</v>
      </c>
      <c r="X165" s="556">
        <f>$F$1*(Flat!U44-Savings_Flat!U86)</f>
        <v>1.9315062506721661E-3</v>
      </c>
      <c r="Y165" s="556">
        <f>$F$1*(Flat!V44-Savings_Flat!V86)</f>
        <v>1.9332303813273063E-3</v>
      </c>
      <c r="Z165" s="556">
        <f>$F$1*(Flat!W44-Savings_Flat!W86)</f>
        <v>1.7917601237499934E-3</v>
      </c>
      <c r="AA165" s="556">
        <f>$F$1*(Flat!X44-Savings_Flat!X86)</f>
        <v>2.0446777688678508E-3</v>
      </c>
      <c r="AB165" s="556">
        <f>$F$1*(Flat!Y44-Savings_Flat!Y86)</f>
        <v>9.8859079725507003E-4</v>
      </c>
      <c r="AC165" s="556">
        <f>$F$1*(Flat!Z44-Savings_Flat!Z86)</f>
        <v>3.1335789254219011E-3</v>
      </c>
      <c r="AD165" s="556">
        <f>$F$1*(Flat!AA44-Savings_Flat!AA86)</f>
        <v>4.4073789769196372E-3</v>
      </c>
      <c r="AE165" s="556">
        <f>$F$1*(Flat!AB44-Savings_Flat!AB86)</f>
        <v>2.3300195719617748E-3</v>
      </c>
      <c r="AF165" s="556">
        <f>$F$1*(Flat!AC44-Savings_Flat!AC86)</f>
        <v>1.6327637955887199E-3</v>
      </c>
      <c r="AG165" s="556">
        <f>$F$1*(Flat!AD44-Savings_Flat!AD86)</f>
        <v>1.9667966674147409E-3</v>
      </c>
      <c r="AH165" s="556">
        <f>$F$1*(Flat!AE44-Savings_Flat!AE86)</f>
        <v>4.2496937921272585E-3</v>
      </c>
      <c r="AI165" s="556">
        <f>$F$1*(Flat!AF44-Savings_Flat!AF86)</f>
        <v>1.1178167020479584E-3</v>
      </c>
      <c r="AJ165" s="556">
        <f>$F$1*(Flat!AG44-Savings_Flat!AG86)</f>
        <v>2.8836671312426798E-3</v>
      </c>
      <c r="AK165" s="556">
        <f>$F$1*(Flat!AH44-Savings_Flat!AH86)</f>
        <v>3.3918281238862458E-3</v>
      </c>
      <c r="AL165" s="556">
        <f>$F$1*(Flat!AI44-Savings_Flat!AI86)</f>
        <v>1.3649798500878101E-3</v>
      </c>
      <c r="AM165" s="556">
        <f>$F$1*(Flat!AJ44-Savings_Flat!AJ86)</f>
        <v>2.5453638970471134E-3</v>
      </c>
      <c r="AN165" s="556">
        <f>$F$1*(Flat!AK44-Savings_Flat!AK86)</f>
        <v>2.2663164263666004E-3</v>
      </c>
      <c r="AO165" s="556">
        <f>$F$1*(Flat!AL44-Savings_Flat!AL86)</f>
        <v>1.9939487909173617E-3</v>
      </c>
      <c r="AP165" s="556">
        <f>$F$1*(Flat!AM44-Savings_Flat!AM86)</f>
        <v>2.3406546171682425E-3</v>
      </c>
      <c r="AQ165" s="556">
        <f>$F$1*(Flat!AN44-Savings_Flat!AN86)</f>
        <v>2.3406546171682425E-3</v>
      </c>
      <c r="AT165" s="5" t="s">
        <v>378</v>
      </c>
    </row>
    <row r="166" spans="1:46">
      <c r="A166" s="5" t="str">
        <f t="shared" si="7"/>
        <v>OUTPUT</v>
      </c>
      <c r="B166" s="5" t="s">
        <v>615</v>
      </c>
      <c r="C166" s="5" t="str">
        <f t="shared" si="6"/>
        <v>Bldg_FLTPre99-Win</v>
      </c>
      <c r="D166" s="5" t="s">
        <v>78</v>
      </c>
      <c r="E166" s="5" t="s">
        <v>379</v>
      </c>
      <c r="F166" s="5" t="s">
        <v>606</v>
      </c>
      <c r="G166" s="556">
        <f>$F$1*(Flat!D45-Savings_Flat!D87)</f>
        <v>1.4305100067688657E-3</v>
      </c>
      <c r="H166" s="556">
        <f>$F$1*(Flat!E45-Savings_Flat!E87)</f>
        <v>3.0264010153754585E-3</v>
      </c>
      <c r="I166" s="556">
        <f>$F$1*(Flat!F45-Savings_Flat!F87)</f>
        <v>2.0763961547520418E-3</v>
      </c>
      <c r="J166" s="556">
        <f>$F$1*(Flat!G45-Savings_Flat!G87)</f>
        <v>1.3936865818604332E-3</v>
      </c>
      <c r="K166" s="556">
        <f>$F$1*(Flat!H45-Savings_Flat!H87)</f>
        <v>2.5743061839926355E-4</v>
      </c>
      <c r="L166" s="556">
        <f>$F$1*(Flat!I45-Savings_Flat!I87)</f>
        <v>2.6083232187534802E-3</v>
      </c>
      <c r="M166" s="556">
        <f>$F$1*(Flat!J45-Savings_Flat!J87)</f>
        <v>1.3793012628629279E-3</v>
      </c>
      <c r="N166" s="556">
        <f>$F$1*(Flat!K45-Savings_Flat!K87)</f>
        <v>2.6443928456261426E-3</v>
      </c>
      <c r="O166" s="556">
        <f>$F$1*(Flat!L45-Savings_Flat!L87)</f>
        <v>8.2475798217631724E-4</v>
      </c>
      <c r="P166" s="556">
        <f>$F$1*(Flat!M45-Savings_Flat!M87)</f>
        <v>1.7620435378976544E-3</v>
      </c>
      <c r="Q166" s="556">
        <f>$F$1*(Flat!N45-Savings_Flat!N87)</f>
        <v>2.8104557663738163E-3</v>
      </c>
      <c r="R166" s="556">
        <f>$F$1*(Flat!O45-Savings_Flat!O87)</f>
        <v>1.3374810015601346E-3</v>
      </c>
      <c r="S166" s="556">
        <f>$F$1*(Flat!P45-Savings_Flat!P87)</f>
        <v>1.3673522676432893E-3</v>
      </c>
      <c r="T166" s="556">
        <f>$F$1*(Flat!Q45-Savings_Flat!Q87)</f>
        <v>1.7693616416199448E-3</v>
      </c>
      <c r="U166" s="556">
        <f>$F$1*(Flat!R45-Savings_Flat!R87)</f>
        <v>2.0959961320115746E-3</v>
      </c>
      <c r="V166" s="556">
        <f>$F$1*(Flat!S45-Savings_Flat!S87)</f>
        <v>3.004044806661387E-3</v>
      </c>
      <c r="W166" s="556">
        <f>$F$1*(Flat!T45-Savings_Flat!T87)</f>
        <v>2.438435638595022E-3</v>
      </c>
      <c r="X166" s="556">
        <f>$F$1*(Flat!U45-Savings_Flat!U87)</f>
        <v>1.9658120924304907E-3</v>
      </c>
      <c r="Y166" s="556">
        <f>$F$1*(Flat!V45-Savings_Flat!V87)</f>
        <v>1.9332303813273063E-3</v>
      </c>
      <c r="Z166" s="556">
        <f>$F$1*(Flat!W45-Savings_Flat!W87)</f>
        <v>1.2955322451087578E-3</v>
      </c>
      <c r="AA166" s="556">
        <f>$F$1*(Flat!X45-Savings_Flat!X87)</f>
        <v>2.0479826188599037E-3</v>
      </c>
      <c r="AB166" s="556">
        <f>$F$1*(Flat!Y45-Savings_Flat!Y87)</f>
        <v>9.9068997093977791E-4</v>
      </c>
      <c r="AC166" s="556">
        <f>$F$1*(Flat!Z45-Savings_Flat!Z87)</f>
        <v>2.6238974675902135E-3</v>
      </c>
      <c r="AD166" s="556">
        <f>$F$1*(Flat!AA45-Savings_Flat!AA87)</f>
        <v>4.5228075320470421E-3</v>
      </c>
      <c r="AE166" s="556">
        <f>$F$1*(Flat!AB45-Savings_Flat!AB87)</f>
        <v>2.3300195719617748E-3</v>
      </c>
      <c r="AF166" s="556">
        <f>$F$1*(Flat!AC45-Savings_Flat!AC87)</f>
        <v>1.6153251981025271E-3</v>
      </c>
      <c r="AG166" s="556">
        <f>$F$1*(Flat!AD45-Savings_Flat!AD87)</f>
        <v>1.9667966674147409E-3</v>
      </c>
      <c r="AH166" s="556">
        <f>$F$1*(Flat!AE45-Savings_Flat!AE87)</f>
        <v>4.3609925973191839E-3</v>
      </c>
      <c r="AI166" s="556">
        <f>$F$1*(Flat!AF45-Savings_Flat!AF87)</f>
        <v>1.1848876847843986E-3</v>
      </c>
      <c r="AJ166" s="556">
        <f>$F$1*(Flat!AG45-Savings_Flat!AG87)</f>
        <v>2.9131511842412786E-3</v>
      </c>
      <c r="AK166" s="556">
        <f>$F$1*(Flat!AH45-Savings_Flat!AH87)</f>
        <v>1.836971567467739E-3</v>
      </c>
      <c r="AL166" s="556">
        <f>$F$1*(Flat!AI45-Savings_Flat!AI87)</f>
        <v>1.3649798500878101E-3</v>
      </c>
      <c r="AM166" s="556">
        <f>$F$1*(Flat!AJ45-Savings_Flat!AJ87)</f>
        <v>2.6843619237020794E-3</v>
      </c>
      <c r="AN166" s="556">
        <f>$F$1*(Flat!AK45-Savings_Flat!AK87)</f>
        <v>2.3905689474198058E-3</v>
      </c>
      <c r="AO166" s="556">
        <f>$F$1*(Flat!AL45-Savings_Flat!AL87)</f>
        <v>2.0794326557078868E-3</v>
      </c>
      <c r="AP166" s="556">
        <f>$F$1*(Flat!AM45-Savings_Flat!AM87)</f>
        <v>2.4684738155330206E-3</v>
      </c>
      <c r="AQ166" s="556">
        <f>$F$1*(Flat!AN45-Savings_Flat!AN87)</f>
        <v>2.4684738155330206E-3</v>
      </c>
      <c r="AT166" s="5" t="s">
        <v>379</v>
      </c>
    </row>
    <row r="167" spans="1:46">
      <c r="A167" s="5" t="str">
        <f t="shared" si="7"/>
        <v>OUTPUT</v>
      </c>
      <c r="B167" s="5" t="s">
        <v>615</v>
      </c>
      <c r="C167" s="5" t="str">
        <f t="shared" si="6"/>
        <v>Bldg_FLTPre09-Win</v>
      </c>
      <c r="D167" s="5" t="s">
        <v>78</v>
      </c>
      <c r="E167" s="5" t="s">
        <v>380</v>
      </c>
      <c r="F167" s="5" t="s">
        <v>606</v>
      </c>
      <c r="G167" s="556">
        <f>$F$1*(Flat!D46-Savings_Flat!D88)</f>
        <v>1.3049155790651064E-3</v>
      </c>
      <c r="H167" s="556">
        <f>$F$1*(Flat!E46-Savings_Flat!E88)</f>
        <v>2.0639073012294778E-3</v>
      </c>
      <c r="I167" s="556">
        <f>$F$1*(Flat!F46-Savings_Flat!F88)</f>
        <v>1.7729875232163122E-3</v>
      </c>
      <c r="J167" s="556">
        <f>$F$1*(Flat!G46-Savings_Flat!G88)</f>
        <v>1.271325138865335E-3</v>
      </c>
      <c r="K167" s="556">
        <f>$F$1*(Flat!H46-Savings_Flat!H88)</f>
        <v>5.6673500929595372E-4</v>
      </c>
      <c r="L167" s="556">
        <f>$F$1*(Flat!I46-Savings_Flat!I88)</f>
        <v>1.6229015481099675E-3</v>
      </c>
      <c r="M167" s="556">
        <f>$F$1*(Flat!J46-Savings_Flat!J88)</f>
        <v>1.3514585831252057E-3</v>
      </c>
      <c r="N167" s="556">
        <f>$F$1*(Flat!K46-Savings_Flat!K88)</f>
        <v>1.710739562987187E-3</v>
      </c>
      <c r="O167" s="556">
        <f>$F$1*(Flat!L46-Savings_Flat!L88)</f>
        <v>8.2475798217631724E-4</v>
      </c>
      <c r="P167" s="556">
        <f>$F$1*(Flat!M46-Savings_Flat!M88)</f>
        <v>1.7819950158732116E-3</v>
      </c>
      <c r="Q167" s="556">
        <f>$F$1*(Flat!N46-Savings_Flat!N88)</f>
        <v>2.2091131722888927E-3</v>
      </c>
      <c r="R167" s="556">
        <f>$F$1*(Flat!O46-Savings_Flat!O88)</f>
        <v>1.2619782670000739E-3</v>
      </c>
      <c r="S167" s="556">
        <f>$F$1*(Flat!P46-Savings_Flat!P88)</f>
        <v>1.6613890074092005E-3</v>
      </c>
      <c r="T167" s="556">
        <f>$F$1*(Flat!Q46-Savings_Flat!Q88)</f>
        <v>1.2879993623620381E-3</v>
      </c>
      <c r="U167" s="556">
        <f>$F$1*(Flat!R46-Savings_Flat!R88)</f>
        <v>1.0500349114258662E-3</v>
      </c>
      <c r="V167" s="556">
        <f>$F$1*(Flat!S46-Savings_Flat!S88)</f>
        <v>2.3178770351512381E-3</v>
      </c>
      <c r="W167" s="556">
        <f>$F$1*(Flat!T46-Savings_Flat!T88)</f>
        <v>1.9146735077365485E-3</v>
      </c>
      <c r="X167" s="556">
        <f>$F$1*(Flat!U46-Savings_Flat!U88)</f>
        <v>1.2304966033574961E-3</v>
      </c>
      <c r="Y167" s="556">
        <f>$F$1*(Flat!V46-Savings_Flat!V88)</f>
        <v>1.8238553963715238E-3</v>
      </c>
      <c r="Z167" s="556">
        <f>$F$1*(Flat!W46-Savings_Flat!W88)</f>
        <v>9.2394076538760328E-4</v>
      </c>
      <c r="AA167" s="556">
        <f>$F$1*(Flat!X46-Savings_Flat!X88)</f>
        <v>1.9114163079633961E-3</v>
      </c>
      <c r="AB167" s="556">
        <f>$F$1*(Flat!Y46-Savings_Flat!Y88)</f>
        <v>1.0018833034378144E-3</v>
      </c>
      <c r="AC167" s="556">
        <f>$F$1*(Flat!Z46-Savings_Flat!Z88)</f>
        <v>1.6949521427954866E-3</v>
      </c>
      <c r="AD167" s="556">
        <f>$F$1*(Flat!AA46-Savings_Flat!AA88)</f>
        <v>2.8164957218875155E-3</v>
      </c>
      <c r="AE167" s="556">
        <f>$F$1*(Flat!AB46-Savings_Flat!AB88)</f>
        <v>2.4528867512769105E-3</v>
      </c>
      <c r="AF167" s="556">
        <f>$F$1*(Flat!AC46-Savings_Flat!AC88)</f>
        <v>1.2231455516617344E-3</v>
      </c>
      <c r="AG167" s="556">
        <f>$F$1*(Flat!AD46-Savings_Flat!AD88)</f>
        <v>8.8113015532312387E-4</v>
      </c>
      <c r="AH167" s="556">
        <f>$F$1*(Flat!AE46-Savings_Flat!AE88)</f>
        <v>2.7157284289684083E-3</v>
      </c>
      <c r="AI167" s="556">
        <f>$F$1*(Flat!AF46-Savings_Flat!AF88)</f>
        <v>8.9670698855741945E-4</v>
      </c>
      <c r="AJ167" s="556">
        <f>$F$1*(Flat!AG46-Savings_Flat!AG88)</f>
        <v>1.5060777848835893E-3</v>
      </c>
      <c r="AK167" s="556">
        <f>$F$1*(Flat!AH46-Savings_Flat!AH88)</f>
        <v>1.5368808476471504E-3</v>
      </c>
      <c r="AL167" s="556">
        <f>$F$1*(Flat!AI46-Savings_Flat!AI88)</f>
        <v>1.649336418128841E-3</v>
      </c>
      <c r="AM167" s="556">
        <f>$F$1*(Flat!AJ46-Savings_Flat!AJ88)</f>
        <v>2.1971985716671047E-3</v>
      </c>
      <c r="AN167" s="556">
        <f>$F$1*(Flat!AK46-Savings_Flat!AK88)</f>
        <v>1.956620272181007E-3</v>
      </c>
      <c r="AO167" s="556">
        <f>$F$1*(Flat!AL46-Savings_Flat!AL88)</f>
        <v>1.7911075716563823E-3</v>
      </c>
      <c r="AP167" s="556">
        <f>$F$1*(Flat!AM46-Savings_Flat!AM88)</f>
        <v>2.0204902676487012E-3</v>
      </c>
      <c r="AQ167" s="556">
        <f>$F$1*(Flat!AN46-Savings_Flat!AN88)</f>
        <v>2.0204902676487012E-3</v>
      </c>
      <c r="AT167" s="5" t="s">
        <v>380</v>
      </c>
    </row>
    <row r="168" spans="1:46">
      <c r="A168" s="5" t="str">
        <f t="shared" si="7"/>
        <v>\I:</v>
      </c>
      <c r="C168" s="5" t="str">
        <f t="shared" si="6"/>
        <v/>
      </c>
      <c r="E168" s="5" t="s">
        <v>623</v>
      </c>
      <c r="G168" s="493"/>
      <c r="H168" s="493"/>
      <c r="I168" s="493"/>
      <c r="J168" s="493"/>
      <c r="K168" s="493"/>
      <c r="L168" s="493"/>
      <c r="M168" s="493"/>
      <c r="N168" s="493"/>
      <c r="O168" s="493"/>
      <c r="P168" s="493"/>
      <c r="Q168" s="493"/>
      <c r="R168" s="493"/>
      <c r="S168" s="493"/>
      <c r="T168" s="493"/>
      <c r="U168" s="493"/>
      <c r="V168" s="493"/>
      <c r="W168" s="493"/>
      <c r="X168" s="493"/>
      <c r="Y168" s="493"/>
      <c r="Z168" s="493"/>
      <c r="AA168" s="493"/>
      <c r="AB168" s="493"/>
      <c r="AC168" s="493"/>
      <c r="AD168" s="493"/>
      <c r="AE168" s="493"/>
      <c r="AF168" s="493"/>
      <c r="AG168" s="493"/>
      <c r="AH168" s="493"/>
      <c r="AI168" s="493"/>
      <c r="AJ168" s="493"/>
      <c r="AK168" s="493"/>
      <c r="AL168" s="493"/>
      <c r="AM168" s="493"/>
      <c r="AN168" s="493"/>
      <c r="AO168" s="493"/>
      <c r="AP168" s="493"/>
      <c r="AQ168" s="493"/>
    </row>
    <row r="169" spans="1:46">
      <c r="A169" s="5" t="str">
        <f t="shared" si="7"/>
        <v>\I:</v>
      </c>
      <c r="C169" s="5" t="str">
        <f t="shared" si="6"/>
        <v/>
      </c>
      <c r="E169" s="5" t="s">
        <v>623</v>
      </c>
      <c r="G169" s="493"/>
      <c r="H169" s="493"/>
      <c r="I169" s="493"/>
      <c r="J169" s="493"/>
      <c r="K169" s="493"/>
      <c r="L169" s="493"/>
      <c r="M169" s="493"/>
      <c r="N169" s="493"/>
      <c r="O169" s="493"/>
      <c r="P169" s="493"/>
      <c r="Q169" s="493"/>
      <c r="R169" s="493"/>
      <c r="S169" s="493"/>
      <c r="T169" s="493"/>
      <c r="U169" s="493"/>
      <c r="V169" s="493"/>
      <c r="W169" s="493"/>
      <c r="X169" s="493"/>
      <c r="Y169" s="493"/>
      <c r="Z169" s="493"/>
      <c r="AA169" s="493"/>
      <c r="AB169" s="493"/>
      <c r="AC169" s="493"/>
      <c r="AD169" s="493"/>
      <c r="AE169" s="493"/>
      <c r="AF169" s="493"/>
      <c r="AG169" s="493"/>
      <c r="AH169" s="493"/>
      <c r="AI169" s="493"/>
      <c r="AJ169" s="493"/>
      <c r="AK169" s="493"/>
      <c r="AL169" s="493"/>
      <c r="AM169" s="493"/>
      <c r="AN169" s="493"/>
      <c r="AO169" s="493"/>
      <c r="AP169" s="493"/>
      <c r="AQ169" s="493"/>
    </row>
    <row r="170" spans="1:46">
      <c r="A170" s="135" t="str">
        <f t="shared" si="7"/>
        <v>\I:</v>
      </c>
      <c r="C170" s="5" t="str">
        <f t="shared" si="6"/>
        <v/>
      </c>
      <c r="E170" s="5" t="s">
        <v>623</v>
      </c>
      <c r="F170" s="135" t="s">
        <v>393</v>
      </c>
      <c r="G170" s="492">
        <f>G179*'Energy Efficiency Measures-DBT'!D17/'Energy Efficiency Measures-DBT'!D16</f>
        <v>3.8181818181818188</v>
      </c>
      <c r="H170" s="492">
        <f>H179*'Energy Efficiency Measures-DBT'!E17/'Energy Efficiency Measures-DBT'!E16</f>
        <v>4.7727272727272725</v>
      </c>
      <c r="I170" s="492">
        <f>I179*'Energy Efficiency Measures-DBT'!F17/'Energy Efficiency Measures-DBT'!F16</f>
        <v>3.75</v>
      </c>
      <c r="J170" s="492">
        <f>J179*'Energy Efficiency Measures-DBT'!G17/'Energy Efficiency Measures-DBT'!G16</f>
        <v>3.8181818181818188</v>
      </c>
      <c r="K170" s="492">
        <f>K179*'Energy Efficiency Measures-DBT'!H17/'Energy Efficiency Measures-DBT'!H16</f>
        <v>5.25</v>
      </c>
      <c r="L170" s="492">
        <f>L179*'Energy Efficiency Measures-DBT'!I17/'Energy Efficiency Measures-DBT'!I16</f>
        <v>2.4999999999999991</v>
      </c>
      <c r="M170" s="492">
        <f>M179*'Energy Efficiency Measures-DBT'!J17/'Energy Efficiency Measures-DBT'!J16</f>
        <v>1.4318181818181819</v>
      </c>
      <c r="N170" s="492">
        <f>N179*'Energy Efficiency Measures-DBT'!K17/'Energy Efficiency Measures-DBT'!K16</f>
        <v>3.8181818181818192</v>
      </c>
      <c r="O170" s="492">
        <f>O179*'Energy Efficiency Measures-DBT'!L17/'Energy Efficiency Measures-DBT'!L16</f>
        <v>3.75</v>
      </c>
      <c r="P170" s="492">
        <f>P179*'Energy Efficiency Measures-DBT'!M17/'Energy Efficiency Measures-DBT'!M16</f>
        <v>4.4545454545454541</v>
      </c>
      <c r="Q170" s="492">
        <f>Q179*'Energy Efficiency Measures-DBT'!N17/'Energy Efficiency Measures-DBT'!N16</f>
        <v>4.7727272727272725</v>
      </c>
      <c r="R170" s="492">
        <f>R179*'Energy Efficiency Measures-DBT'!O17/'Energy Efficiency Measures-DBT'!O16</f>
        <v>4.7727272727272725</v>
      </c>
      <c r="S170" s="492">
        <f>S179*'Energy Efficiency Measures-DBT'!P17/'Energy Efficiency Measures-DBT'!P16</f>
        <v>6.9999999999999991</v>
      </c>
      <c r="T170" s="492">
        <f>T179*'Energy Efficiency Measures-DBT'!Q17/'Energy Efficiency Measures-DBT'!Q16</f>
        <v>3.7500000000000009</v>
      </c>
      <c r="U170" s="492">
        <f>U179*'Energy Efficiency Measures-DBT'!R17/'Energy Efficiency Measures-DBT'!R16</f>
        <v>3.7500000000000009</v>
      </c>
      <c r="V170" s="492">
        <f>V179*'Energy Efficiency Measures-DBT'!S17/'Energy Efficiency Measures-DBT'!S16</f>
        <v>4.7727272727272725</v>
      </c>
      <c r="W170" s="492">
        <f>W179*'Energy Efficiency Measures-DBT'!T17/'Energy Efficiency Measures-DBT'!T16</f>
        <v>3.8181818181818179</v>
      </c>
      <c r="X170" s="492">
        <f>X179*'Energy Efficiency Measures-DBT'!U17/'Energy Efficiency Measures-DBT'!U16</f>
        <v>5.2499999999999991</v>
      </c>
      <c r="Y170" s="492">
        <f>Y179*'Energy Efficiency Measures-DBT'!V17/'Energy Efficiency Measures-DBT'!V16</f>
        <v>3.75</v>
      </c>
      <c r="Z170" s="492">
        <f>Z179*'Energy Efficiency Measures-DBT'!W17/'Energy Efficiency Measures-DBT'!W16</f>
        <v>3.8181818181818188</v>
      </c>
      <c r="AA170" s="492">
        <f>AA179*'Energy Efficiency Measures-DBT'!X17/'Energy Efficiency Measures-DBT'!X16</f>
        <v>3.7499999999999991</v>
      </c>
      <c r="AB170" s="492">
        <f>AB179*'Energy Efficiency Measures-DBT'!Y17/'Energy Efficiency Measures-DBT'!Y16</f>
        <v>5.2499999999999991</v>
      </c>
      <c r="AC170" s="492">
        <f>AC179*'Energy Efficiency Measures-DBT'!Z17/'Energy Efficiency Measures-DBT'!Z16</f>
        <v>4.7727272727272725</v>
      </c>
      <c r="AD170" s="492">
        <f>AD179*'Energy Efficiency Measures-DBT'!AA17/'Energy Efficiency Measures-DBT'!AA16</f>
        <v>4.7727272727272725</v>
      </c>
      <c r="AE170" s="492">
        <f>AE179*'Energy Efficiency Measures-DBT'!AB17/'Energy Efficiency Measures-DBT'!AB16</f>
        <v>4.9999999999999982</v>
      </c>
      <c r="AF170" s="492">
        <f>AF179*'Energy Efficiency Measures-DBT'!AC17/'Energy Efficiency Measures-DBT'!AC16</f>
        <v>3.3409090909090913</v>
      </c>
      <c r="AG170" s="492">
        <f>AG179*'Energy Efficiency Measures-DBT'!AD17/'Energy Efficiency Measures-DBT'!AD16</f>
        <v>4.9999999999999991</v>
      </c>
      <c r="AH170" s="492">
        <f>AH179*'Energy Efficiency Measures-DBT'!AE17/'Energy Efficiency Measures-DBT'!AE16</f>
        <v>4.7727272727272725</v>
      </c>
      <c r="AI170" s="492">
        <f>AI179*'Energy Efficiency Measures-DBT'!AF17/'Energy Efficiency Measures-DBT'!AF16</f>
        <v>3.75</v>
      </c>
      <c r="AJ170" s="492">
        <f>AJ179*'Energy Efficiency Measures-DBT'!AG17/'Energy Efficiency Measures-DBT'!AG16</f>
        <v>2.5</v>
      </c>
      <c r="AK170" s="492">
        <f>AK179*'Energy Efficiency Measures-DBT'!AH17/'Energy Efficiency Measures-DBT'!AH16</f>
        <v>2.7272727272727271</v>
      </c>
      <c r="AL170" s="492">
        <f>AL179*'Energy Efficiency Measures-DBT'!AI17/'Energy Efficiency Measures-DBT'!AI16</f>
        <v>3.75</v>
      </c>
      <c r="AM170" s="492">
        <f>AM179*'Energy Efficiency Measures-DBT'!AJ17/'Energy Efficiency Measures-DBT'!AJ16</f>
        <v>3.7500000000000009</v>
      </c>
      <c r="AN170" s="492">
        <f>AN179*'Energy Efficiency Measures-DBT'!AK17/'Energy Efficiency Measures-DBT'!AK16</f>
        <v>3.75</v>
      </c>
      <c r="AO170" s="492">
        <f>AO179*'Energy Efficiency Measures-DBT'!AL17/'Energy Efficiency Measures-DBT'!AL16</f>
        <v>3.7500000000000009</v>
      </c>
      <c r="AP170" s="492">
        <f>AP179*'Energy Efficiency Measures-DBT'!AM17/'Energy Efficiency Measures-DBT'!AM16</f>
        <v>3.7500000000000009</v>
      </c>
      <c r="AQ170" s="492">
        <f>AQ179*'Energy Efficiency Measures-DBT'!AN17/'Energy Efficiency Measures-DBT'!AN16</f>
        <v>3.7500000000000009</v>
      </c>
    </row>
    <row r="171" spans="1:46">
      <c r="A171" s="135" t="str">
        <f t="shared" si="7"/>
        <v>\I:</v>
      </c>
      <c r="C171" s="5" t="str">
        <f t="shared" si="6"/>
        <v/>
      </c>
      <c r="E171" s="5" t="s">
        <v>406</v>
      </c>
      <c r="F171" s="135" t="s">
        <v>625</v>
      </c>
      <c r="G171" s="214">
        <f>G170*Flat!D5</f>
        <v>5465.090400000001</v>
      </c>
      <c r="H171" s="214">
        <f>H170*Flat!E5</f>
        <v>6990.9437181818166</v>
      </c>
      <c r="I171" s="214">
        <f>I170*Flat!F5</f>
        <v>9672.0406500000008</v>
      </c>
      <c r="J171" s="214">
        <f>J170*Flat!G5</f>
        <v>5465.090400000001</v>
      </c>
      <c r="K171" s="214">
        <f>K170*Flat!H5</f>
        <v>7665</v>
      </c>
      <c r="L171" s="214">
        <f>L170*Flat!I5</f>
        <v>3049.3753499999993</v>
      </c>
      <c r="M171" s="214">
        <f>M170*Flat!J5</f>
        <v>1795.7401445454545</v>
      </c>
      <c r="N171" s="214">
        <f>N170*Flat!K5</f>
        <v>8980.3636363636397</v>
      </c>
      <c r="O171" s="214">
        <f>O170*Flat!L5</f>
        <v>3584.9273250000001</v>
      </c>
      <c r="P171" s="214">
        <f>P170*Flat!M5</f>
        <v>3847.3736699999999</v>
      </c>
      <c r="Q171" s="214">
        <f>Q170*Flat!N5</f>
        <v>13363.636363636362</v>
      </c>
      <c r="R171" s="214">
        <f>R170*Flat!O5</f>
        <v>6292.7543318181806</v>
      </c>
      <c r="S171" s="214">
        <f>S170*Flat!P5</f>
        <v>5109.9999999999991</v>
      </c>
      <c r="T171" s="214">
        <f>T170*Flat!Q5</f>
        <v>4770.9243000000015</v>
      </c>
      <c r="U171" s="214">
        <f>U170*Flat!R5</f>
        <v>3505.0887750000002</v>
      </c>
      <c r="V171" s="214">
        <f>V170*Flat!S5</f>
        <v>25408.097018181819</v>
      </c>
      <c r="W171" s="214">
        <f>W170*Flat!T5</f>
        <v>4276.363636363636</v>
      </c>
      <c r="X171" s="214">
        <f>X170*Flat!U5</f>
        <v>9533.9999999999982</v>
      </c>
      <c r="Y171" s="214">
        <f>Y170*Flat!V5</f>
        <v>3867.1315499999996</v>
      </c>
      <c r="Z171" s="214">
        <f>Z170*Flat!W5</f>
        <v>6552.0080181818203</v>
      </c>
      <c r="AA171" s="214">
        <f>AA170*Flat!X5</f>
        <v>3862.4999999999991</v>
      </c>
      <c r="AB171" s="214">
        <f>AB170*Flat!Y5</f>
        <v>8928.302459999999</v>
      </c>
      <c r="AC171" s="214">
        <f>AC170*Flat!Z5</f>
        <v>7235.454545454545</v>
      </c>
      <c r="AD171" s="214">
        <f>AD170*Flat!AA5</f>
        <v>6376.363636363636</v>
      </c>
      <c r="AE171" s="214">
        <f>AE170*Flat!AB5</f>
        <v>7871.9602499999964</v>
      </c>
      <c r="AF171" s="214">
        <f>AF170*Flat!AC5</f>
        <v>6458.6564127272732</v>
      </c>
      <c r="AG171" s="214">
        <f>AG170*Flat!AD5</f>
        <v>19180.137599999998</v>
      </c>
      <c r="AH171" s="214">
        <f>AH170*Flat!AE5</f>
        <v>6376.363636363636</v>
      </c>
      <c r="AI171" s="214">
        <f>AI170*Flat!AF5</f>
        <v>3867.0653249999996</v>
      </c>
      <c r="AJ171" s="214">
        <f>AJ170*Flat!AG5</f>
        <v>3062.64455</v>
      </c>
      <c r="AK171" s="214">
        <f>AK170*Flat!AH5</f>
        <v>10562.181818181816</v>
      </c>
      <c r="AL171" s="214">
        <f>AL170*Flat!AI5</f>
        <v>5475</v>
      </c>
      <c r="AM171" s="214">
        <f>AM170*Flat!AJ5</f>
        <v>4770.9243000000015</v>
      </c>
      <c r="AN171" s="214">
        <f>AN170*Flat!AK5</f>
        <v>5475</v>
      </c>
      <c r="AO171" s="214">
        <f>AO170*Flat!AL5</f>
        <v>4770.9243000000015</v>
      </c>
      <c r="AP171" s="214">
        <f>AP170*Flat!AM5</f>
        <v>4770.9243000000015</v>
      </c>
      <c r="AQ171" s="214">
        <f>AQ170*Flat!AN5</f>
        <v>4770.9243000000015</v>
      </c>
    </row>
    <row r="172" spans="1:46">
      <c r="A172" s="5" t="str">
        <f t="shared" si="7"/>
        <v>OUTPUT</v>
      </c>
      <c r="B172" s="5" t="s">
        <v>615</v>
      </c>
      <c r="C172" s="5" t="str">
        <f t="shared" si="6"/>
        <v>Bldg_FLTPre45-Cei</v>
      </c>
      <c r="D172" s="5" t="s">
        <v>301</v>
      </c>
      <c r="E172" s="5" t="s">
        <v>406</v>
      </c>
      <c r="F172" s="5" t="s">
        <v>606</v>
      </c>
      <c r="G172" s="556">
        <f>$F$1*(Flat!D41-Savings_Flat!D116)</f>
        <v>1.2150349746291673E-3</v>
      </c>
      <c r="H172" s="556">
        <f>$F$1*(Flat!E41-Savings_Flat!E116)</f>
        <v>2.363449106113203E-3</v>
      </c>
      <c r="I172" s="556">
        <f>$F$1*(Flat!F41-Savings_Flat!F116)</f>
        <v>1.210154881002442E-3</v>
      </c>
      <c r="J172" s="556">
        <f>$F$1*(Flat!G41-Savings_Flat!G116)</f>
        <v>1.1837581929655232E-3</v>
      </c>
      <c r="K172" s="556">
        <f>$F$1*(Flat!H41-Savings_Flat!H116)</f>
        <v>1.2167767190482039E-3</v>
      </c>
      <c r="L172" s="556">
        <f>$F$1*(Flat!I41-Savings_Flat!I116)</f>
        <v>1.1623665751814088E-3</v>
      </c>
      <c r="M172" s="556">
        <f>$F$1*(Flat!J41-Savings_Flat!J116)</f>
        <v>2.3829473268446922E-3</v>
      </c>
      <c r="N172" s="556">
        <f>$F$1*(Flat!K41-Savings_Flat!K116)</f>
        <v>4.7098914067448394E-4</v>
      </c>
      <c r="O172" s="556">
        <f>$F$1*(Flat!L41-Savings_Flat!L116)</f>
        <v>4.5203062497589425E-4</v>
      </c>
      <c r="P172" s="556">
        <f>$F$1*(Flat!M41-Savings_Flat!M116)</f>
        <v>2.0778006207473336E-3</v>
      </c>
      <c r="Q172" s="556">
        <f>$F$1*(Flat!N41-Savings_Flat!N116)</f>
        <v>5.35740625820731E-4</v>
      </c>
      <c r="R172" s="556">
        <f>$F$1*(Flat!O41-Savings_Flat!O116)</f>
        <v>2.418450409743117E-3</v>
      </c>
      <c r="S172" s="556">
        <f>$F$1*(Flat!P41-Savings_Flat!P116)</f>
        <v>3.0876998801108069E-3</v>
      </c>
      <c r="T172" s="556">
        <f>$F$1*(Flat!Q41-Savings_Flat!Q116)</f>
        <v>1.0384520809537257E-3</v>
      </c>
      <c r="U172" s="556">
        <f>$F$1*(Flat!R41-Savings_Flat!R116)</f>
        <v>9.0425674303418039E-4</v>
      </c>
      <c r="V172" s="556">
        <f>$F$1*(Flat!S41-Savings_Flat!S116)</f>
        <v>2.8628581267093468E-3</v>
      </c>
      <c r="W172" s="556">
        <f>$F$1*(Flat!T41-Savings_Flat!T116)</f>
        <v>4.6339531261488712E-4</v>
      </c>
      <c r="X172" s="556">
        <f>$F$1*(Flat!U41-Savings_Flat!U116)</f>
        <v>2.120326517475317E-3</v>
      </c>
      <c r="Y172" s="556">
        <f>$F$1*(Flat!V41-Savings_Flat!V116)</f>
        <v>8.9518654584361626E-4</v>
      </c>
      <c r="Z172" s="556">
        <f>$F$1*(Flat!W41-Savings_Flat!W116)</f>
        <v>2.3751504904077881E-3</v>
      </c>
      <c r="AA172" s="556">
        <f>$F$1*(Flat!X41-Savings_Flat!X116)</f>
        <v>1.5293353720569037E-3</v>
      </c>
      <c r="AB172" s="556">
        <f>$F$1*(Flat!Y41-Savings_Flat!Y116)</f>
        <v>5.3952455021616342E-4</v>
      </c>
      <c r="AC172" s="556">
        <f>$F$1*(Flat!Z41-Savings_Flat!Z116)</f>
        <v>3.4460580729578486E-3</v>
      </c>
      <c r="AD172" s="556">
        <f>$F$1*(Flat!AA41-Savings_Flat!AA116)</f>
        <v>7.6978470926907449E-4</v>
      </c>
      <c r="AE172" s="556">
        <f>$F$1*(Flat!AB41-Savings_Flat!AB116)</f>
        <v>2.2068411882550515E-3</v>
      </c>
      <c r="AF172" s="556">
        <f>$F$1*(Flat!AC41-Savings_Flat!AC116)</f>
        <v>2.4015785536808344E-3</v>
      </c>
      <c r="AG172" s="556">
        <f>$F$1*(Flat!AD41-Savings_Flat!AD116)</f>
        <v>1.1597011999290531E-3</v>
      </c>
      <c r="AH172" s="556">
        <f>$F$1*(Flat!AE41-Savings_Flat!AE116)</f>
        <v>7.4224370479292537E-4</v>
      </c>
      <c r="AI172" s="556">
        <f>$F$1*(Flat!AF41-Savings_Flat!AF116)</f>
        <v>1.0603021204181548E-3</v>
      </c>
      <c r="AJ172" s="556">
        <f>$F$1*(Flat!AG41-Savings_Flat!AG116)</f>
        <v>2.5561743784649734E-3</v>
      </c>
      <c r="AK172" s="556">
        <f>$F$1*(Flat!AH41-Savings_Flat!AH116)</f>
        <v>1.2446351537487206E-3</v>
      </c>
      <c r="AL172" s="556">
        <f>$F$1*(Flat!AI41-Savings_Flat!AI116)</f>
        <v>2.3071349580236753E-3</v>
      </c>
      <c r="AM172" s="556">
        <f>$F$1*(Flat!AJ41-Savings_Flat!AJ116)</f>
        <v>1.1966927718574587E-3</v>
      </c>
      <c r="AN172" s="556">
        <f>$F$1*(Flat!AK41-Savings_Flat!AK116)</f>
        <v>1.2238637432374982E-3</v>
      </c>
      <c r="AO172" s="556">
        <f>$F$1*(Flat!AL41-Savings_Flat!AL116)</f>
        <v>1.1959310904701775E-3</v>
      </c>
      <c r="AP172" s="556">
        <f>$F$1*(Flat!AM41-Savings_Flat!AM116)</f>
        <v>1.1004495133405175E-3</v>
      </c>
      <c r="AQ172" s="556">
        <f>$F$1*(Flat!AN41-Savings_Flat!AN116)</f>
        <v>1.1004495133405175E-3</v>
      </c>
      <c r="AT172" s="5" t="s">
        <v>406</v>
      </c>
    </row>
    <row r="173" spans="1:46">
      <c r="A173" s="5" t="str">
        <f t="shared" si="7"/>
        <v>OUTPUT</v>
      </c>
      <c r="B173" s="5" t="s">
        <v>615</v>
      </c>
      <c r="C173" s="5" t="str">
        <f t="shared" si="6"/>
        <v>Bldg_FLTPre69-Cei</v>
      </c>
      <c r="D173" s="5" t="s">
        <v>301</v>
      </c>
      <c r="E173" s="5" t="s">
        <v>407</v>
      </c>
      <c r="F173" s="5" t="s">
        <v>606</v>
      </c>
      <c r="G173" s="556">
        <f>$F$1*(Flat!D42-Savings_Flat!D117)</f>
        <v>9.4928023099705302E-4</v>
      </c>
      <c r="H173" s="556">
        <f>$F$1*(Flat!E42-Savings_Flat!E117)</f>
        <v>2.363449106113203E-3</v>
      </c>
      <c r="I173" s="556">
        <f>$F$1*(Flat!F42-Savings_Flat!F117)</f>
        <v>1.210154881002442E-3</v>
      </c>
      <c r="J173" s="556">
        <f>$F$1*(Flat!G42-Savings_Flat!G117)</f>
        <v>9.2484436606931795E-4</v>
      </c>
      <c r="K173" s="556">
        <f>$F$1*(Flat!H42-Savings_Flat!H117)</f>
        <v>1.2386092277469863E-3</v>
      </c>
      <c r="L173" s="556">
        <f>$F$1*(Flat!I42-Savings_Flat!I117)</f>
        <v>6.2378192982751035E-4</v>
      </c>
      <c r="M173" s="556">
        <f>$F$1*(Flat!J42-Savings_Flat!J117)</f>
        <v>2.3613444375328863E-3</v>
      </c>
      <c r="N173" s="556">
        <f>$F$1*(Flat!K42-Savings_Flat!K117)</f>
        <v>3.7750085780642047E-4</v>
      </c>
      <c r="O173" s="556">
        <f>$F$1*(Flat!L42-Savings_Flat!L117)</f>
        <v>4.5203062497589425E-4</v>
      </c>
      <c r="P173" s="556">
        <f>$F$1*(Flat!M42-Savings_Flat!M117)</f>
        <v>1.577029957524814E-3</v>
      </c>
      <c r="Q173" s="556">
        <f>$F$1*(Flat!N42-Savings_Flat!N117)</f>
        <v>5.018174598116923E-4</v>
      </c>
      <c r="R173" s="556">
        <f>$F$1*(Flat!O42-Savings_Flat!O117)</f>
        <v>2.418450409743117E-3</v>
      </c>
      <c r="S173" s="556">
        <f>$F$1*(Flat!P42-Savings_Flat!P117)</f>
        <v>3.0876998801108069E-3</v>
      </c>
      <c r="T173" s="556">
        <f>$F$1*(Flat!Q42-Savings_Flat!Q117)</f>
        <v>1.0252836127683414E-3</v>
      </c>
      <c r="U173" s="556">
        <f>$F$1*(Flat!R42-Savings_Flat!R117)</f>
        <v>9.0425674303418039E-4</v>
      </c>
      <c r="V173" s="556">
        <f>$F$1*(Flat!S42-Savings_Flat!S117)</f>
        <v>3.0395841115335685E-3</v>
      </c>
      <c r="W173" s="556">
        <f>$F$1*(Flat!T42-Savings_Flat!T117)</f>
        <v>4.3397365243136635E-4</v>
      </c>
      <c r="X173" s="556">
        <f>$F$1*(Flat!U42-Savings_Flat!U117)</f>
        <v>2.0198068668723962E-3</v>
      </c>
      <c r="Y173" s="556">
        <f>$F$1*(Flat!V42-Savings_Flat!V117)</f>
        <v>8.9518654584361626E-4</v>
      </c>
      <c r="Z173" s="556">
        <f>$F$1*(Flat!W42-Savings_Flat!W117)</f>
        <v>1.3196103695445399E-3</v>
      </c>
      <c r="AA173" s="556">
        <f>$F$1*(Flat!X42-Savings_Flat!X117)</f>
        <v>1.5338209234778291E-3</v>
      </c>
      <c r="AB173" s="556">
        <f>$F$1*(Flat!Y42-Savings_Flat!Y117)</f>
        <v>5.3300658353856278E-4</v>
      </c>
      <c r="AC173" s="556">
        <f>$F$1*(Flat!Z42-Savings_Flat!Z117)</f>
        <v>1.5020204339264891E-3</v>
      </c>
      <c r="AD173" s="556">
        <f>$F$1*(Flat!AA42-Savings_Flat!AA117)</f>
        <v>7.704691815212727E-4</v>
      </c>
      <c r="AE173" s="556">
        <f>$F$1*(Flat!AB42-Savings_Flat!AB117)</f>
        <v>8.5349736711412311E-4</v>
      </c>
      <c r="AF173" s="556">
        <f>$F$1*(Flat!AC42-Savings_Flat!AC117)</f>
        <v>2.2859540331327806E-3</v>
      </c>
      <c r="AG173" s="556">
        <f>$F$1*(Flat!AD42-Savings_Flat!AD117)</f>
        <v>1.0761974920299772E-3</v>
      </c>
      <c r="AH173" s="556">
        <f>$F$1*(Flat!AE42-Savings_Flat!AE117)</f>
        <v>7.4290368831063326E-4</v>
      </c>
      <c r="AI173" s="556">
        <f>$F$1*(Flat!AF42-Savings_Flat!AF117)</f>
        <v>1.0603021204181548E-3</v>
      </c>
      <c r="AJ173" s="556">
        <f>$F$1*(Flat!AG42-Savings_Flat!AG117)</f>
        <v>1.8658297288478439E-3</v>
      </c>
      <c r="AK173" s="556">
        <f>$F$1*(Flat!AH42-Savings_Flat!AH117)</f>
        <v>1.3123962061380948E-3</v>
      </c>
      <c r="AL173" s="556">
        <f>$F$1*(Flat!AI42-Savings_Flat!AI117)</f>
        <v>2.3071349580236753E-3</v>
      </c>
      <c r="AM173" s="556">
        <f>$F$1*(Flat!AJ42-Savings_Flat!AJ117)</f>
        <v>1.1966927718574587E-3</v>
      </c>
      <c r="AN173" s="556">
        <f>$F$1*(Flat!AK42-Savings_Flat!AK117)</f>
        <v>1.2238637432374982E-3</v>
      </c>
      <c r="AO173" s="556">
        <f>$F$1*(Flat!AL42-Savings_Flat!AL117)</f>
        <v>1.1959310904701775E-3</v>
      </c>
      <c r="AP173" s="556">
        <f>$F$1*(Flat!AM42-Savings_Flat!AM117)</f>
        <v>1.1004495133405175E-3</v>
      </c>
      <c r="AQ173" s="556">
        <f>$F$1*(Flat!AN42-Savings_Flat!AN117)</f>
        <v>1.1004495133405175E-3</v>
      </c>
      <c r="AT173" s="5" t="s">
        <v>407</v>
      </c>
    </row>
    <row r="174" spans="1:46">
      <c r="A174" s="5" t="str">
        <f t="shared" si="7"/>
        <v>OUTPUT</v>
      </c>
      <c r="B174" s="5" t="s">
        <v>615</v>
      </c>
      <c r="C174" s="5" t="str">
        <f t="shared" si="6"/>
        <v>Bldg_FLTPre79-Cei</v>
      </c>
      <c r="D174" s="5" t="s">
        <v>301</v>
      </c>
      <c r="E174" s="5" t="s">
        <v>408</v>
      </c>
      <c r="F174" s="5" t="s">
        <v>606</v>
      </c>
      <c r="G174" s="556">
        <f>$F$1*(Flat!D43-Savings_Flat!D118)</f>
        <v>4.7987919192390044E-4</v>
      </c>
      <c r="H174" s="556">
        <f>$F$1*(Flat!E43-Savings_Flat!E118)</f>
        <v>2.363449106113203E-3</v>
      </c>
      <c r="I174" s="556">
        <f>$F$1*(Flat!F43-Savings_Flat!F118)</f>
        <v>1.1013125784671632E-3</v>
      </c>
      <c r="J174" s="556">
        <f>$F$1*(Flat!G43-Savings_Flat!G118)</f>
        <v>4.6752639795159676E-4</v>
      </c>
      <c r="K174" s="556">
        <f>$F$1*(Flat!H43-Savings_Flat!H118)</f>
        <v>1.2365085289237439E-3</v>
      </c>
      <c r="L174" s="556">
        <f>$F$1*(Flat!I43-Savings_Flat!I118)</f>
        <v>6.2378192982751035E-4</v>
      </c>
      <c r="M174" s="556">
        <f>$F$1*(Flat!J43-Savings_Flat!J118)</f>
        <v>5.7301424654712652E-4</v>
      </c>
      <c r="N174" s="556">
        <f>$F$1*(Flat!K43-Savings_Flat!K118)</f>
        <v>2.4132285462564708E-4</v>
      </c>
      <c r="O174" s="556">
        <f>$F$1*(Flat!L43-Savings_Flat!L118)</f>
        <v>3.0831497133161965E-4</v>
      </c>
      <c r="P174" s="556">
        <f>$F$1*(Flat!M43-Savings_Flat!M118)</f>
        <v>1.577029957524814E-3</v>
      </c>
      <c r="Q174" s="556">
        <f>$F$1*(Flat!N43-Savings_Flat!N118)</f>
        <v>3.4083822602200167E-4</v>
      </c>
      <c r="R174" s="556">
        <f>$F$1*(Flat!O43-Savings_Flat!O118)</f>
        <v>3.5259984076396582E-4</v>
      </c>
      <c r="S174" s="556">
        <f>$F$1*(Flat!P43-Savings_Flat!P118)</f>
        <v>3.0876998801108069E-3</v>
      </c>
      <c r="T174" s="556">
        <f>$F$1*(Flat!Q43-Savings_Flat!Q118)</f>
        <v>1.0768660597272398E-3</v>
      </c>
      <c r="U174" s="556">
        <f>$F$1*(Flat!R43-Savings_Flat!R118)</f>
        <v>6.4164972097907602E-4</v>
      </c>
      <c r="V174" s="556">
        <f>$F$1*(Flat!S43-Savings_Flat!S118)</f>
        <v>1.3128516010774908E-3</v>
      </c>
      <c r="W174" s="556">
        <f>$F$1*(Flat!T43-Savings_Flat!T118)</f>
        <v>2.960646166416084E-4</v>
      </c>
      <c r="X174" s="556">
        <f>$F$1*(Flat!U43-Savings_Flat!U118)</f>
        <v>1.9118904689009015E-3</v>
      </c>
      <c r="Y174" s="556">
        <f>$F$1*(Flat!V43-Savings_Flat!V118)</f>
        <v>4.2508996774506385E-4</v>
      </c>
      <c r="Z174" s="556">
        <f>$F$1*(Flat!W43-Savings_Flat!W118)</f>
        <v>7.7174258201781498E-4</v>
      </c>
      <c r="AA174" s="556">
        <f>$F$1*(Flat!X43-Savings_Flat!X118)</f>
        <v>1.2317686045212109E-3</v>
      </c>
      <c r="AB174" s="556">
        <f>$F$1*(Flat!Y43-Savings_Flat!Y118)</f>
        <v>5.5709388701646661E-4</v>
      </c>
      <c r="AC174" s="556">
        <f>$F$1*(Flat!Z43-Savings_Flat!Z118)</f>
        <v>1.5071234977793511E-3</v>
      </c>
      <c r="AD174" s="556">
        <f>$F$1*(Flat!AA43-Savings_Flat!AA118)</f>
        <v>1.9124027969961028E-4</v>
      </c>
      <c r="AE174" s="556">
        <f>$F$1*(Flat!AB43-Savings_Flat!AB118)</f>
        <v>5.1597221805996056E-4</v>
      </c>
      <c r="AF174" s="556">
        <f>$F$1*(Flat!AC43-Savings_Flat!AC118)</f>
        <v>2.1119680143762386E-3</v>
      </c>
      <c r="AG174" s="556">
        <f>$F$1*(Flat!AD43-Savings_Flat!AD118)</f>
        <v>1.0761974920299772E-3</v>
      </c>
      <c r="AH174" s="556">
        <f>$F$1*(Flat!AE43-Savings_Flat!AE118)</f>
        <v>1.8439817263277787E-4</v>
      </c>
      <c r="AI174" s="556">
        <f>$F$1*(Flat!AF43-Savings_Flat!AF118)</f>
        <v>7.4017500812856133E-4</v>
      </c>
      <c r="AJ174" s="556">
        <f>$F$1*(Flat!AG43-Savings_Flat!AG118)</f>
        <v>1.8658297288478439E-3</v>
      </c>
      <c r="AK174" s="556">
        <f>$F$1*(Flat!AH43-Savings_Flat!AH118)</f>
        <v>5.7746203358531633E-4</v>
      </c>
      <c r="AL174" s="556">
        <f>$F$1*(Flat!AI43-Savings_Flat!AI118)</f>
        <v>2.3071349580236753E-3</v>
      </c>
      <c r="AM174" s="556">
        <f>$F$1*(Flat!AJ43-Savings_Flat!AJ118)</f>
        <v>1.1966927718574587E-3</v>
      </c>
      <c r="AN174" s="556">
        <f>$F$1*(Flat!AK43-Savings_Flat!AK118)</f>
        <v>1.2238637432374982E-3</v>
      </c>
      <c r="AO174" s="556">
        <f>$F$1*(Flat!AL43-Savings_Flat!AL118)</f>
        <v>1.0889100507595695E-3</v>
      </c>
      <c r="AP174" s="556">
        <f>$F$1*(Flat!AM43-Savings_Flat!AM118)</f>
        <v>1.1004495133405175E-3</v>
      </c>
      <c r="AQ174" s="556">
        <f>$F$1*(Flat!AN43-Savings_Flat!AN118)</f>
        <v>1.1004495133405175E-3</v>
      </c>
      <c r="AT174" s="5" t="s">
        <v>408</v>
      </c>
    </row>
    <row r="175" spans="1:46">
      <c r="A175" s="5" t="str">
        <f t="shared" si="7"/>
        <v>OUTPUT</v>
      </c>
      <c r="B175" s="5" t="s">
        <v>615</v>
      </c>
      <c r="C175" s="5" t="str">
        <f t="shared" si="6"/>
        <v>Bldg_FLTPre89-Cei</v>
      </c>
      <c r="D175" s="5" t="s">
        <v>301</v>
      </c>
      <c r="E175" s="5" t="s">
        <v>409</v>
      </c>
      <c r="F175" s="5" t="s">
        <v>606</v>
      </c>
      <c r="G175" s="556">
        <f>$F$1*(Flat!D44-Savings_Flat!D119)</f>
        <v>2.7656380214582211E-4</v>
      </c>
      <c r="H175" s="556">
        <f>$F$1*(Flat!E44-Savings_Flat!E119)</f>
        <v>1.6053694165786517E-3</v>
      </c>
      <c r="I175" s="556">
        <f>$F$1*(Flat!F44-Savings_Flat!F119)</f>
        <v>1.0452712044404244E-3</v>
      </c>
      <c r="J175" s="556">
        <f>$F$1*(Flat!G44-Savings_Flat!G119)</f>
        <v>2.6944464439612736E-4</v>
      </c>
      <c r="K175" s="556">
        <f>$F$1*(Flat!H44-Savings_Flat!H119)</f>
        <v>1.2415075895908291E-3</v>
      </c>
      <c r="L175" s="556">
        <f>$F$1*(Flat!I44-Savings_Flat!I119)</f>
        <v>4.8960414951884645E-4</v>
      </c>
      <c r="M175" s="556">
        <f>$F$1*(Flat!J44-Savings_Flat!J119)</f>
        <v>2.1542103382742939E-4</v>
      </c>
      <c r="N175" s="556">
        <f>$F$1*(Flat!K44-Savings_Flat!K119)</f>
        <v>1.8974553290647403E-4</v>
      </c>
      <c r="O175" s="556">
        <f>$F$1*(Flat!L44-Savings_Flat!L119)</f>
        <v>1.6423133579455574E-4</v>
      </c>
      <c r="P175" s="556">
        <f>$F$1*(Flat!M44-Savings_Flat!M119)</f>
        <v>1.135868196236115E-3</v>
      </c>
      <c r="Q175" s="556">
        <f>$F$1*(Flat!N44-Savings_Flat!N119)</f>
        <v>2.3484113804164575E-4</v>
      </c>
      <c r="R175" s="556">
        <f>$F$1*(Flat!O44-Savings_Flat!O119)</f>
        <v>2.1622506766345691E-4</v>
      </c>
      <c r="S175" s="556">
        <f>$F$1*(Flat!P44-Savings_Flat!P119)</f>
        <v>3.0993416871003365E-3</v>
      </c>
      <c r="T175" s="556">
        <f>$F$1*(Flat!Q44-Savings_Flat!Q119)</f>
        <v>1.0768660597272398E-3</v>
      </c>
      <c r="U175" s="556">
        <f>$F$1*(Flat!R44-Savings_Flat!R119)</f>
        <v>3.9123747829267387E-4</v>
      </c>
      <c r="V175" s="556">
        <f>$F$1*(Flat!S44-Savings_Flat!S119)</f>
        <v>3.5474889678896861E-4</v>
      </c>
      <c r="W175" s="556">
        <f>$F$1*(Flat!T44-Savings_Flat!T119)</f>
        <v>2.0478460317926897E-4</v>
      </c>
      <c r="X175" s="556">
        <f>$F$1*(Flat!U44-Savings_Flat!U119)</f>
        <v>1.4970127869091657E-3</v>
      </c>
      <c r="Y175" s="556">
        <f>$F$1*(Flat!V44-Savings_Flat!V119)</f>
        <v>4.2508996774506385E-4</v>
      </c>
      <c r="Z175" s="556">
        <f>$F$1*(Flat!W44-Savings_Flat!W119)</f>
        <v>3.8346253203784314E-4</v>
      </c>
      <c r="AA175" s="556">
        <f>$F$1*(Flat!X44-Savings_Flat!X119)</f>
        <v>5.232821423902294E-4</v>
      </c>
      <c r="AB175" s="556">
        <f>$F$1*(Flat!Y44-Savings_Flat!Y119)</f>
        <v>5.6284386634302362E-4</v>
      </c>
      <c r="AC175" s="556">
        <f>$F$1*(Flat!Z44-Savings_Flat!Z119)</f>
        <v>7.4174999077200555E-4</v>
      </c>
      <c r="AD175" s="556">
        <f>$F$1*(Flat!AA44-Savings_Flat!AA119)</f>
        <v>1.9181431201374785E-4</v>
      </c>
      <c r="AE175" s="556">
        <f>$F$1*(Flat!AB44-Savings_Flat!AB119)</f>
        <v>5.1597221805996056E-4</v>
      </c>
      <c r="AF175" s="556">
        <f>$F$1*(Flat!AC44-Savings_Flat!AC119)</f>
        <v>2.0358585929655519E-3</v>
      </c>
      <c r="AG175" s="556">
        <f>$F$1*(Flat!AD44-Savings_Flat!AD119)</f>
        <v>1.0016832009951872E-3</v>
      </c>
      <c r="AH175" s="556">
        <f>$F$1*(Flat!AE44-Savings_Flat!AE119)</f>
        <v>1.8495166748190171E-4</v>
      </c>
      <c r="AI175" s="556">
        <f>$F$1*(Flat!AF44-Savings_Flat!AF119)</f>
        <v>6.7176667446138775E-4</v>
      </c>
      <c r="AJ175" s="556">
        <f>$F$1*(Flat!AG44-Savings_Flat!AG119)</f>
        <v>1.1582275286938016E-3</v>
      </c>
      <c r="AK175" s="556">
        <f>$F$1*(Flat!AH44-Savings_Flat!AH119)</f>
        <v>2.671994378426047E-4</v>
      </c>
      <c r="AL175" s="556">
        <f>$F$1*(Flat!AI44-Savings_Flat!AI119)</f>
        <v>2.3152523020972238E-3</v>
      </c>
      <c r="AM175" s="556">
        <f>$F$1*(Flat!AJ44-Savings_Flat!AJ119)</f>
        <v>6.9480664061348518E-4</v>
      </c>
      <c r="AN175" s="556">
        <f>$F$1*(Flat!AK44-Savings_Flat!AK119)</f>
        <v>7.1085401248276333E-4</v>
      </c>
      <c r="AO175" s="556">
        <f>$F$1*(Flat!AL44-Savings_Flat!AL119)</f>
        <v>1.0350603819470803E-3</v>
      </c>
      <c r="AP175" s="556">
        <f>$F$1*(Flat!AM44-Savings_Flat!AM119)</f>
        <v>6.3892725644368634E-4</v>
      </c>
      <c r="AQ175" s="556">
        <f>$F$1*(Flat!AN44-Savings_Flat!AN119)</f>
        <v>6.3892725644368634E-4</v>
      </c>
      <c r="AT175" s="5" t="s">
        <v>409</v>
      </c>
    </row>
    <row r="176" spans="1:46">
      <c r="A176" s="5" t="str">
        <f t="shared" si="7"/>
        <v>OUTPUT</v>
      </c>
      <c r="B176" s="5" t="s">
        <v>615</v>
      </c>
      <c r="C176" s="5" t="str">
        <f t="shared" si="6"/>
        <v>Bldg_FLTPre99-Cei</v>
      </c>
      <c r="D176" s="5" t="s">
        <v>301</v>
      </c>
      <c r="E176" s="5" t="s">
        <v>410</v>
      </c>
      <c r="F176" s="5" t="s">
        <v>606</v>
      </c>
      <c r="G176" s="556">
        <f>$F$1*(Flat!D45-Savings_Flat!D120)</f>
        <v>2.8591125024501858E-4</v>
      </c>
      <c r="H176" s="556">
        <f>$F$1*(Flat!E45-Savings_Flat!E120)</f>
        <v>1.6053694165786517E-3</v>
      </c>
      <c r="I176" s="556">
        <f>$F$1*(Flat!F45-Savings_Flat!F120)</f>
        <v>3.9219323338411129E-4</v>
      </c>
      <c r="J176" s="556">
        <f>$F$1*(Flat!G45-Savings_Flat!G120)</f>
        <v>2.7855147547653584E-4</v>
      </c>
      <c r="K176" s="556">
        <f>$F$1*(Flat!H45-Savings_Flat!H120)</f>
        <v>1.2806610165202127E-3</v>
      </c>
      <c r="L176" s="556">
        <f>$F$1*(Flat!I45-Savings_Flat!I120)</f>
        <v>3.0317354318742858E-4</v>
      </c>
      <c r="M176" s="556">
        <f>$F$1*(Flat!J45-Savings_Flat!J120)</f>
        <v>1.3480294908016033E-4</v>
      </c>
      <c r="N176" s="556">
        <f>$F$1*(Flat!K45-Savings_Flat!K120)</f>
        <v>1.8974553290647403E-4</v>
      </c>
      <c r="O176" s="556">
        <f>$F$1*(Flat!L45-Savings_Flat!L120)</f>
        <v>1.0822031183040329E-4</v>
      </c>
      <c r="P176" s="556">
        <f>$F$1*(Flat!M45-Savings_Flat!M120)</f>
        <v>1.135868196236115E-3</v>
      </c>
      <c r="Q176" s="556">
        <f>$F$1*(Flat!N45-Savings_Flat!N120)</f>
        <v>2.2670629532466069E-4</v>
      </c>
      <c r="R176" s="556">
        <f>$F$1*(Flat!O45-Savings_Flat!O120)</f>
        <v>1.2129856463490025E-4</v>
      </c>
      <c r="S176" s="556">
        <f>$F$1*(Flat!P45-Savings_Flat!P120)</f>
        <v>3.0993416871003365E-3</v>
      </c>
      <c r="T176" s="556">
        <f>$F$1*(Flat!Q45-Savings_Flat!Q120)</f>
        <v>5.7951909684897526E-4</v>
      </c>
      <c r="U176" s="556">
        <f>$F$1*(Flat!R45-Savings_Flat!R120)</f>
        <v>3.9123747829267387E-4</v>
      </c>
      <c r="V176" s="556">
        <f>$F$1*(Flat!S45-Savings_Flat!S120)</f>
        <v>3.6364718828801185E-4</v>
      </c>
      <c r="W176" s="556">
        <f>$F$1*(Flat!T45-Savings_Flat!T120)</f>
        <v>1.9773328698568715E-4</v>
      </c>
      <c r="X176" s="556">
        <f>$F$1*(Flat!U45-Savings_Flat!U120)</f>
        <v>1.2564697178717686E-3</v>
      </c>
      <c r="Y176" s="556">
        <f>$F$1*(Flat!V45-Savings_Flat!V120)</f>
        <v>4.2508996774506385E-4</v>
      </c>
      <c r="Z176" s="556">
        <f>$F$1*(Flat!W45-Savings_Flat!W120)</f>
        <v>2.7860216745874172E-4</v>
      </c>
      <c r="AA176" s="556">
        <f>$F$1*(Flat!X45-Savings_Flat!X120)</f>
        <v>4.4919246252367149E-4</v>
      </c>
      <c r="AB176" s="556">
        <f>$F$1*(Flat!Y45-Savings_Flat!Y120)</f>
        <v>5.0112679735915999E-4</v>
      </c>
      <c r="AC176" s="556">
        <f>$F$1*(Flat!Z45-Savings_Flat!Z120)</f>
        <v>6.109817892735825E-4</v>
      </c>
      <c r="AD176" s="556">
        <f>$F$1*(Flat!AA45-Savings_Flat!AA120)</f>
        <v>1.4333560360993837E-4</v>
      </c>
      <c r="AE176" s="556">
        <f>$F$1*(Flat!AB45-Savings_Flat!AB120)</f>
        <v>5.1597221805996056E-4</v>
      </c>
      <c r="AF176" s="556">
        <f>$F$1*(Flat!AC45-Savings_Flat!AC120)</f>
        <v>1.8891044734635687E-3</v>
      </c>
      <c r="AG176" s="556">
        <f>$F$1*(Flat!AD45-Savings_Flat!AD120)</f>
        <v>1.0016832009951872E-3</v>
      </c>
      <c r="AH176" s="556">
        <f>$F$1*(Flat!AE45-Savings_Flat!AE120)</f>
        <v>1.3820740808581544E-4</v>
      </c>
      <c r="AI176" s="556">
        <f>$F$1*(Flat!AF45-Savings_Flat!AF120)</f>
        <v>3.1630715999390202E-4</v>
      </c>
      <c r="AJ176" s="556">
        <f>$F$1*(Flat!AG45-Savings_Flat!AG120)</f>
        <v>6.5707052192569152E-4</v>
      </c>
      <c r="AK176" s="556">
        <f>$F$1*(Flat!AH45-Savings_Flat!AH120)</f>
        <v>1.5302206664779273E-4</v>
      </c>
      <c r="AL176" s="556">
        <f>$F$1*(Flat!AI45-Savings_Flat!AI120)</f>
        <v>2.3152523020972238E-3</v>
      </c>
      <c r="AM176" s="556">
        <f>$F$1*(Flat!AJ45-Savings_Flat!AJ120)</f>
        <v>5.1600873267976428E-4</v>
      </c>
      <c r="AN176" s="556">
        <f>$F$1*(Flat!AK45-Savings_Flat!AK120)</f>
        <v>5.2806030557114034E-4</v>
      </c>
      <c r="AO176" s="556">
        <f>$F$1*(Flat!AL45-Savings_Flat!AL120)</f>
        <v>3.8877114547797656E-4</v>
      </c>
      <c r="AP176" s="556">
        <f>$F$1*(Flat!AM45-Savings_Flat!AM120)</f>
        <v>4.7450905705357082E-4</v>
      </c>
      <c r="AQ176" s="556">
        <f>$F$1*(Flat!AN45-Savings_Flat!AN120)</f>
        <v>4.7450905705357082E-4</v>
      </c>
      <c r="AT176" s="5" t="s">
        <v>410</v>
      </c>
    </row>
    <row r="177" spans="1:46">
      <c r="A177" s="5" t="str">
        <f t="shared" si="7"/>
        <v>OUTPUT</v>
      </c>
      <c r="B177" s="5" t="s">
        <v>615</v>
      </c>
      <c r="C177" s="5" t="str">
        <f t="shared" si="6"/>
        <v>Bldg_FLTPre09-Cei</v>
      </c>
      <c r="D177" s="5" t="s">
        <v>301</v>
      </c>
      <c r="E177" s="5" t="s">
        <v>411</v>
      </c>
      <c r="F177" s="5" t="s">
        <v>606</v>
      </c>
      <c r="G177" s="556">
        <f>$F$1*(Flat!D46-Savings_Flat!D121)</f>
        <v>1.7683643849471649E-4</v>
      </c>
      <c r="H177" s="556">
        <f>$F$1*(Flat!E46-Savings_Flat!E121)</f>
        <v>5.733042417451693E-4</v>
      </c>
      <c r="I177" s="556">
        <f>$F$1*(Flat!F46-Savings_Flat!F121)</f>
        <v>1.8999650453599437E-4</v>
      </c>
      <c r="J177" s="556">
        <f>$F$1*(Flat!G46-Savings_Flat!G121)</f>
        <v>1.7228440930011697E-4</v>
      </c>
      <c r="K177" s="556">
        <f>$F$1*(Flat!H46-Savings_Flat!H121)</f>
        <v>1.3026234757791443E-3</v>
      </c>
      <c r="L177" s="556">
        <f>$F$1*(Flat!I46-Savings_Flat!I121)</f>
        <v>1.7404864400148075E-4</v>
      </c>
      <c r="M177" s="556">
        <f>$F$1*(Flat!J46-Savings_Flat!J121)</f>
        <v>1.4292541677498488E-4</v>
      </c>
      <c r="N177" s="556">
        <f>$F$1*(Flat!K46-Savings_Flat!K121)</f>
        <v>9.1841998114925105E-5</v>
      </c>
      <c r="O177" s="556">
        <f>$F$1*(Flat!L46-Savings_Flat!L121)</f>
        <v>1.0822031183040329E-4</v>
      </c>
      <c r="P177" s="556">
        <f>$F$1*(Flat!M46-Savings_Flat!M121)</f>
        <v>5.3597794970617317E-4</v>
      </c>
      <c r="Q177" s="556">
        <f>$F$1*(Flat!N46-Savings_Flat!N121)</f>
        <v>1.6558156164560954E-4</v>
      </c>
      <c r="R177" s="556">
        <f>$F$1*(Flat!O46-Savings_Flat!O121)</f>
        <v>1.121076267909317E-4</v>
      </c>
      <c r="S177" s="556">
        <f>$F$1*(Flat!P46-Savings_Flat!P121)</f>
        <v>5.4111749940621769E-4</v>
      </c>
      <c r="T177" s="556">
        <f>$F$1*(Flat!Q46-Savings_Flat!Q121)</f>
        <v>1.7812501160136546E-4</v>
      </c>
      <c r="U177" s="556">
        <f>$F$1*(Flat!R46-Savings_Flat!R121)</f>
        <v>1.1416725078606044E-4</v>
      </c>
      <c r="V177" s="556">
        <f>$F$1*(Flat!S46-Savings_Flat!S121)</f>
        <v>2.2352038527450127E-4</v>
      </c>
      <c r="W177" s="556">
        <f>$F$1*(Flat!T46-Savings_Flat!T121)</f>
        <v>1.4418909728799301E-4</v>
      </c>
      <c r="X177" s="556">
        <f>$F$1*(Flat!U46-Savings_Flat!U121)</f>
        <v>1.2700267339451176E-3</v>
      </c>
      <c r="Y177" s="556">
        <f>$F$1*(Flat!V46-Savings_Flat!V121)</f>
        <v>1.1016843737362417E-4</v>
      </c>
      <c r="Z177" s="556">
        <f>$F$1*(Flat!W46-Savings_Flat!W121)</f>
        <v>2.4253481001621353E-4</v>
      </c>
      <c r="AA177" s="556">
        <f>$F$1*(Flat!X46-Savings_Flat!X121)</f>
        <v>1.1521651065800418E-4</v>
      </c>
      <c r="AB177" s="556">
        <f>$F$1*(Flat!Y46-Savings_Flat!Y121)</f>
        <v>5.0649152820728333E-4</v>
      </c>
      <c r="AC177" s="556">
        <f>$F$1*(Flat!Z46-Savings_Flat!Z121)</f>
        <v>3.8730438345430037E-4</v>
      </c>
      <c r="AD177" s="556">
        <f>$F$1*(Flat!AA46-Savings_Flat!AA121)</f>
        <v>1.4737811928534322E-4</v>
      </c>
      <c r="AE177" s="556">
        <f>$F$1*(Flat!AB46-Savings_Flat!AB121)</f>
        <v>5.7374332608292015E-4</v>
      </c>
      <c r="AF177" s="556">
        <f>$F$1*(Flat!AC46-Savings_Flat!AC121)</f>
        <v>1.0001528633118689E-3</v>
      </c>
      <c r="AG177" s="556">
        <f>$F$1*(Flat!AD46-Savings_Flat!AD121)</f>
        <v>8.3788353710252715E-4</v>
      </c>
      <c r="AH177" s="556">
        <f>$F$1*(Flat!AE46-Savings_Flat!AE121)</f>
        <v>1.4210529248838213E-4</v>
      </c>
      <c r="AI177" s="556">
        <f>$F$1*(Flat!AF46-Savings_Flat!AF121)</f>
        <v>9.7422030492763157E-5</v>
      </c>
      <c r="AJ177" s="556">
        <f>$F$1*(Flat!AG46-Savings_Flat!AG121)</f>
        <v>2.3268790511791053E-4</v>
      </c>
      <c r="AK177" s="556">
        <f>$F$1*(Flat!AH46-Savings_Flat!AH121)</f>
        <v>9.9555834499670366E-5</v>
      </c>
      <c r="AL177" s="556">
        <f>$F$1*(Flat!AI46-Savings_Flat!AI121)</f>
        <v>4.0112069539574905E-4</v>
      </c>
      <c r="AM177" s="556">
        <f>$F$1*(Flat!AJ46-Savings_Flat!AJ121)</f>
        <v>3.5123804509583795E-4</v>
      </c>
      <c r="AN177" s="556">
        <f>$F$1*(Flat!AK46-Savings_Flat!AK121)</f>
        <v>3.5938737048140052E-4</v>
      </c>
      <c r="AO177" s="556">
        <f>$F$1*(Flat!AL46-Savings_Flat!AL121)</f>
        <v>1.9005439971154231E-4</v>
      </c>
      <c r="AP177" s="556">
        <f>$F$1*(Flat!AM46-Savings_Flat!AM121)</f>
        <v>3.2298994769764294E-4</v>
      </c>
      <c r="AQ177" s="556">
        <f>$F$1*(Flat!AN46-Savings_Flat!AN121)</f>
        <v>3.2298994769764294E-4</v>
      </c>
      <c r="AT177" s="5" t="s">
        <v>411</v>
      </c>
    </row>
    <row r="178" spans="1:46">
      <c r="A178" s="5" t="str">
        <f t="shared" si="7"/>
        <v>\I:</v>
      </c>
      <c r="C178" s="5" t="str">
        <f t="shared" si="6"/>
        <v/>
      </c>
      <c r="E178" s="5" t="s">
        <v>623</v>
      </c>
      <c r="G178" s="493"/>
      <c r="H178" s="493"/>
      <c r="I178" s="493"/>
      <c r="J178" s="493"/>
      <c r="K178" s="493"/>
      <c r="L178" s="493"/>
      <c r="M178" s="493"/>
      <c r="N178" s="493"/>
      <c r="O178" s="493"/>
      <c r="P178" s="493"/>
      <c r="Q178" s="493"/>
      <c r="R178" s="493"/>
      <c r="S178" s="493"/>
      <c r="T178" s="493"/>
      <c r="U178" s="493"/>
      <c r="V178" s="493"/>
      <c r="W178" s="493"/>
      <c r="X178" s="493"/>
      <c r="Y178" s="493"/>
      <c r="Z178" s="493"/>
      <c r="AA178" s="493"/>
      <c r="AB178" s="493"/>
      <c r="AC178" s="493"/>
      <c r="AD178" s="493"/>
      <c r="AE178" s="493"/>
      <c r="AF178" s="493"/>
      <c r="AG178" s="493"/>
      <c r="AH178" s="493"/>
      <c r="AI178" s="493"/>
      <c r="AJ178" s="493"/>
      <c r="AK178" s="493"/>
      <c r="AL178" s="493"/>
      <c r="AM178" s="493"/>
      <c r="AN178" s="493"/>
      <c r="AO178" s="493"/>
      <c r="AP178" s="493"/>
      <c r="AQ178" s="493"/>
    </row>
    <row r="179" spans="1:46">
      <c r="A179" s="135" t="str">
        <f t="shared" si="7"/>
        <v>\I:</v>
      </c>
      <c r="C179" s="5" t="str">
        <f t="shared" si="6"/>
        <v/>
      </c>
      <c r="E179" s="5" t="s">
        <v>623</v>
      </c>
      <c r="F179" s="135" t="s">
        <v>393</v>
      </c>
      <c r="G179" s="492">
        <f>'Energy Efficiency Measures-DBT'!D16*Flat!D15/Flat!D5</f>
        <v>6.0000000000000009</v>
      </c>
      <c r="H179" s="492">
        <f>'Energy Efficiency Measures-DBT'!E16*Flat!E15/Flat!E5</f>
        <v>7.5</v>
      </c>
      <c r="I179" s="492">
        <f>'Energy Efficiency Measures-DBT'!F16*Flat!F15/Flat!F5</f>
        <v>4.5</v>
      </c>
      <c r="J179" s="492">
        <f>'Energy Efficiency Measures-DBT'!G16*Flat!G15/Flat!G5</f>
        <v>6.0000000000000009</v>
      </c>
      <c r="K179" s="492">
        <f>'Energy Efficiency Measures-DBT'!H16*Flat!H15/Flat!H5</f>
        <v>8.25</v>
      </c>
      <c r="L179" s="492">
        <f>'Energy Efficiency Measures-DBT'!I16*Flat!I15/Flat!I5</f>
        <v>2.9999999999999991</v>
      </c>
      <c r="M179" s="492">
        <f>'Energy Efficiency Measures-DBT'!J16*Flat!J15/Flat!J5</f>
        <v>2.25</v>
      </c>
      <c r="N179" s="492">
        <f>'Energy Efficiency Measures-DBT'!K16*Flat!K15/Flat!K5</f>
        <v>6.0000000000000018</v>
      </c>
      <c r="O179" s="492">
        <f>'Energy Efficiency Measures-DBT'!L16*Flat!L15/Flat!L5</f>
        <v>4.5</v>
      </c>
      <c r="P179" s="492">
        <f>'Energy Efficiency Measures-DBT'!M16*Flat!M15/Flat!M5</f>
        <v>7</v>
      </c>
      <c r="Q179" s="492">
        <f>'Energy Efficiency Measures-DBT'!N16*Flat!N15/Flat!N5</f>
        <v>7.5</v>
      </c>
      <c r="R179" s="492">
        <f>'Energy Efficiency Measures-DBT'!O16*Flat!O15/Flat!O5</f>
        <v>7.5</v>
      </c>
      <c r="S179" s="492">
        <f>'Energy Efficiency Measures-DBT'!P16*Flat!P15/Flat!P5</f>
        <v>10.999999999999998</v>
      </c>
      <c r="T179" s="492">
        <f>'Energy Efficiency Measures-DBT'!Q16*Flat!Q15/Flat!Q5</f>
        <v>4.5000000000000009</v>
      </c>
      <c r="U179" s="492">
        <f>'Energy Efficiency Measures-DBT'!R16*Flat!R15/Flat!R5</f>
        <v>4.5000000000000009</v>
      </c>
      <c r="V179" s="492">
        <f>'Energy Efficiency Measures-DBT'!S16*Flat!S15/Flat!S5</f>
        <v>7.5</v>
      </c>
      <c r="W179" s="492">
        <f>'Energy Efficiency Measures-DBT'!T16*Flat!T15/Flat!T5</f>
        <v>6</v>
      </c>
      <c r="X179" s="492">
        <f>'Energy Efficiency Measures-DBT'!U16*Flat!U15/Flat!U5</f>
        <v>8.2499999999999982</v>
      </c>
      <c r="Y179" s="492">
        <f>'Energy Efficiency Measures-DBT'!V16*Flat!V15/Flat!V5</f>
        <v>4.5</v>
      </c>
      <c r="Z179" s="492">
        <f>'Energy Efficiency Measures-DBT'!W16*Flat!W15/Flat!W5</f>
        <v>6.0000000000000009</v>
      </c>
      <c r="AA179" s="492">
        <f>'Energy Efficiency Measures-DBT'!X16*Flat!X15/Flat!X5</f>
        <v>4.4999999999999991</v>
      </c>
      <c r="AB179" s="492">
        <f>'Energy Efficiency Measures-DBT'!Y16*Flat!Y15/Flat!Y5</f>
        <v>8.2499999999999982</v>
      </c>
      <c r="AC179" s="492">
        <f>'Energy Efficiency Measures-DBT'!Z16*Flat!Z15/Flat!Z5</f>
        <v>7.5</v>
      </c>
      <c r="AD179" s="492">
        <f>'Energy Efficiency Measures-DBT'!AA16*Flat!AA15/Flat!AA5</f>
        <v>7.5</v>
      </c>
      <c r="AE179" s="492">
        <f>'Energy Efficiency Measures-DBT'!AB16*Flat!AB15/Flat!AB5</f>
        <v>5.9999999999999982</v>
      </c>
      <c r="AF179" s="492">
        <f>'Energy Efficiency Measures-DBT'!AC16*Flat!AC15/Flat!AC5</f>
        <v>5.25</v>
      </c>
      <c r="AG179" s="492">
        <f>'Energy Efficiency Measures-DBT'!AD16*Flat!AD15/Flat!AD5</f>
        <v>5.9999999999999991</v>
      </c>
      <c r="AH179" s="492">
        <f>'Energy Efficiency Measures-DBT'!AE16*Flat!AE15/Flat!AE5</f>
        <v>7.5</v>
      </c>
      <c r="AI179" s="492">
        <f>'Energy Efficiency Measures-DBT'!AF16*Flat!AF15/Flat!AF5</f>
        <v>4.5</v>
      </c>
      <c r="AJ179" s="492">
        <f>'Energy Efficiency Measures-DBT'!AG16*Flat!AG15/Flat!AG5</f>
        <v>3</v>
      </c>
      <c r="AK179" s="492">
        <f>'Energy Efficiency Measures-DBT'!AH16*Flat!AH15/Flat!AH5</f>
        <v>4.2857142857142856</v>
      </c>
      <c r="AL179" s="492">
        <f>'Energy Efficiency Measures-DBT'!AI16*Flat!AI15/Flat!AI5</f>
        <v>4.5</v>
      </c>
      <c r="AM179" s="492">
        <f>'Energy Efficiency Measures-DBT'!AJ16*Flat!AJ15/Flat!AJ5</f>
        <v>4.5000000000000009</v>
      </c>
      <c r="AN179" s="492">
        <f>'Energy Efficiency Measures-DBT'!AK16*Flat!AK15/Flat!AK5</f>
        <v>4.5</v>
      </c>
      <c r="AO179" s="492">
        <f>'Energy Efficiency Measures-DBT'!AL16*Flat!AL15/Flat!AL5</f>
        <v>4.5000000000000009</v>
      </c>
      <c r="AP179" s="492">
        <f>'Energy Efficiency Measures-DBT'!AM16*Flat!AM15/Flat!AM5</f>
        <v>4.5000000000000009</v>
      </c>
      <c r="AQ179" s="492">
        <f>'Energy Efficiency Measures-DBT'!AN16*Flat!AN15/Flat!AN5</f>
        <v>4.5000000000000009</v>
      </c>
    </row>
    <row r="180" spans="1:46">
      <c r="A180" s="135" t="str">
        <f t="shared" si="7"/>
        <v>\I:</v>
      </c>
      <c r="C180" s="5" t="str">
        <f t="shared" si="6"/>
        <v/>
      </c>
      <c r="E180" s="5" t="s">
        <v>381</v>
      </c>
      <c r="F180" s="135" t="s">
        <v>625</v>
      </c>
      <c r="G180" s="214">
        <f>G179*Flat!D5</f>
        <v>8587.999200000002</v>
      </c>
      <c r="H180" s="214">
        <f>H179*Flat!E5</f>
        <v>10985.768699999999</v>
      </c>
      <c r="I180" s="214">
        <f>I179*Flat!F5</f>
        <v>11606.448780000001</v>
      </c>
      <c r="J180" s="214">
        <f>J179*Flat!G5</f>
        <v>8587.999200000002</v>
      </c>
      <c r="K180" s="214">
        <f>K179*Flat!H5</f>
        <v>12045</v>
      </c>
      <c r="L180" s="214">
        <f>L179*Flat!I5</f>
        <v>3659.2504199999994</v>
      </c>
      <c r="M180" s="214">
        <f>M179*Flat!J5</f>
        <v>2821.8773699999997</v>
      </c>
      <c r="N180" s="214">
        <f>N179*Flat!K5</f>
        <v>14112.000000000004</v>
      </c>
      <c r="O180" s="214">
        <f>O179*Flat!L5</f>
        <v>4301.9127900000003</v>
      </c>
      <c r="P180" s="214">
        <f>P179*Flat!M5</f>
        <v>6045.87291</v>
      </c>
      <c r="Q180" s="214">
        <f>Q179*Flat!N5</f>
        <v>21000</v>
      </c>
      <c r="R180" s="214">
        <f>R179*Flat!O5</f>
        <v>9888.613949999999</v>
      </c>
      <c r="S180" s="214">
        <f>S179*Flat!P5</f>
        <v>8029.9999999999991</v>
      </c>
      <c r="T180" s="214">
        <f>T179*Flat!Q5</f>
        <v>5725.1091600000009</v>
      </c>
      <c r="U180" s="214">
        <f>U179*Flat!R5</f>
        <v>4206.10653</v>
      </c>
      <c r="V180" s="214">
        <f>V179*Flat!S5</f>
        <v>39927.009600000005</v>
      </c>
      <c r="W180" s="214">
        <f>W179*Flat!T5</f>
        <v>6720</v>
      </c>
      <c r="X180" s="214">
        <f>X179*Flat!U5</f>
        <v>14981.999999999996</v>
      </c>
      <c r="Y180" s="214">
        <f>Y179*Flat!V5</f>
        <v>4640.5578599999999</v>
      </c>
      <c r="Z180" s="214">
        <f>Z179*Flat!W5</f>
        <v>10296.012600000002</v>
      </c>
      <c r="AA180" s="214">
        <f>AA179*Flat!X5</f>
        <v>4634.9999999999991</v>
      </c>
      <c r="AB180" s="214">
        <f>AB179*Flat!Y5</f>
        <v>14030.189579999997</v>
      </c>
      <c r="AC180" s="214">
        <f>AC179*Flat!Z5</f>
        <v>11370</v>
      </c>
      <c r="AD180" s="214">
        <f>AD179*Flat!AA5</f>
        <v>10020</v>
      </c>
      <c r="AE180" s="214">
        <f>AE179*Flat!AB5</f>
        <v>9446.3522999999968</v>
      </c>
      <c r="AF180" s="214">
        <f>AF179*Flat!AC5</f>
        <v>10149.317219999999</v>
      </c>
      <c r="AG180" s="214">
        <f>AG179*Flat!AD5</f>
        <v>23016.165119999998</v>
      </c>
      <c r="AH180" s="214">
        <f>AH179*Flat!AE5</f>
        <v>10020</v>
      </c>
      <c r="AI180" s="214">
        <f>AI179*Flat!AF5</f>
        <v>4640.4783900000002</v>
      </c>
      <c r="AJ180" s="214">
        <f>AJ179*Flat!AG5</f>
        <v>3675.17346</v>
      </c>
      <c r="AK180" s="214">
        <f>AK179*Flat!AH5</f>
        <v>16597.714285714283</v>
      </c>
      <c r="AL180" s="214">
        <f>AL179*Flat!AI5</f>
        <v>6570</v>
      </c>
      <c r="AM180" s="214">
        <f>AM179*Flat!AJ5</f>
        <v>5725.1091600000009</v>
      </c>
      <c r="AN180" s="214">
        <f>AN179*Flat!AK5</f>
        <v>6570</v>
      </c>
      <c r="AO180" s="214">
        <f>AO179*Flat!AL5</f>
        <v>5725.1091600000009</v>
      </c>
      <c r="AP180" s="214">
        <f>AP179*Flat!AM5</f>
        <v>5725.1091600000009</v>
      </c>
      <c r="AQ180" s="214">
        <f>AQ179*Flat!AN5</f>
        <v>5725.1091600000009</v>
      </c>
    </row>
    <row r="181" spans="1:46">
      <c r="A181" s="5" t="str">
        <f t="shared" si="7"/>
        <v>OUTPUT</v>
      </c>
      <c r="B181" s="5" t="s">
        <v>615</v>
      </c>
      <c r="C181" s="5" t="str">
        <f t="shared" si="6"/>
        <v>Bldg_FLTPre45-Cei</v>
      </c>
      <c r="D181" s="5" t="s">
        <v>301</v>
      </c>
      <c r="E181" s="5" t="s">
        <v>381</v>
      </c>
      <c r="F181" s="5" t="s">
        <v>606</v>
      </c>
      <c r="G181" s="556">
        <f>$F$1*(Flat!D41-Savings_Flat!D149)</f>
        <v>1.3526427309599658E-3</v>
      </c>
      <c r="H181" s="556">
        <f>$F$1*(Flat!E41-Savings_Flat!E149)</f>
        <v>2.510947928352633E-3</v>
      </c>
      <c r="I181" s="556">
        <f>$F$1*(Flat!F41-Savings_Flat!F149)</f>
        <v>1.317438838981279E-3</v>
      </c>
      <c r="J181" s="556">
        <f>$F$1*(Flat!G41-Savings_Flat!G149)</f>
        <v>1.3178237238955278E-3</v>
      </c>
      <c r="K181" s="556">
        <f>$F$1*(Flat!H41-Savings_Flat!H149)</f>
        <v>1.2614342986735157E-3</v>
      </c>
      <c r="L181" s="556">
        <f>$F$1*(Flat!I41-Savings_Flat!I149)</f>
        <v>1.2890067893969229E-3</v>
      </c>
      <c r="M181" s="556">
        <f>$F$1*(Flat!J41-Savings_Flat!J149)</f>
        <v>2.5272783375760817E-3</v>
      </c>
      <c r="N181" s="556">
        <f>$F$1*(Flat!K41-Savings_Flat!K149)</f>
        <v>5.6306277859608032E-4</v>
      </c>
      <c r="O181" s="556">
        <f>$F$1*(Flat!L41-Savings_Flat!L149)</f>
        <v>5.3504334930004052E-4</v>
      </c>
      <c r="P181" s="556">
        <f>$F$1*(Flat!M41-Savings_Flat!M149)</f>
        <v>2.2161520703023792E-3</v>
      </c>
      <c r="Q181" s="556">
        <f>$F$1*(Flat!N41-Savings_Flat!N149)</f>
        <v>6.4330889254186484E-4</v>
      </c>
      <c r="R181" s="556">
        <f>$F$1*(Flat!O41-Savings_Flat!O149)</f>
        <v>2.5360677786099698E-3</v>
      </c>
      <c r="S181" s="556">
        <f>$F$1*(Flat!P41-Savings_Flat!P149)</f>
        <v>3.2116621828339395E-3</v>
      </c>
      <c r="T181" s="556">
        <f>$F$1*(Flat!Q41-Savings_Flat!Q149)</f>
        <v>1.137493663117423E-3</v>
      </c>
      <c r="U181" s="556">
        <f>$F$1*(Flat!R41-Savings_Flat!R149)</f>
        <v>9.8691320867650627E-4</v>
      </c>
      <c r="V181" s="556">
        <f>$F$1*(Flat!S41-Savings_Flat!S149)</f>
        <v>3.0081114600582879E-3</v>
      </c>
      <c r="W181" s="556">
        <f>$F$1*(Flat!T41-Savings_Flat!T149)</f>
        <v>5.5635577268465467E-4</v>
      </c>
      <c r="X181" s="556">
        <f>$F$1*(Flat!U41-Savings_Flat!U149)</f>
        <v>2.2462906730214005E-3</v>
      </c>
      <c r="Y181" s="556">
        <f>$F$1*(Flat!V41-Savings_Flat!V149)</f>
        <v>1.0066161929860637E-3</v>
      </c>
      <c r="Z181" s="556">
        <f>$F$1*(Flat!W41-Savings_Flat!W149)</f>
        <v>2.5610945421576459E-3</v>
      </c>
      <c r="AA181" s="556">
        <f>$F$1*(Flat!X41-Savings_Flat!X149)</f>
        <v>1.6694498478092023E-3</v>
      </c>
      <c r="AB181" s="556">
        <f>$F$1*(Flat!Y41-Savings_Flat!Y149)</f>
        <v>5.7118390763526779E-4</v>
      </c>
      <c r="AC181" s="556">
        <f>$F$1*(Flat!Z41-Savings_Flat!Z149)</f>
        <v>3.6129151779898867E-3</v>
      </c>
      <c r="AD181" s="556">
        <f>$F$1*(Flat!AA41-Savings_Flat!AA149)</f>
        <v>9.1365612825090707E-4</v>
      </c>
      <c r="AE181" s="556">
        <f>$F$1*(Flat!AB41-Savings_Flat!AB149)</f>
        <v>2.3405801605277622E-3</v>
      </c>
      <c r="AF181" s="556">
        <f>$F$1*(Flat!AC41-Savings_Flat!AC149)</f>
        <v>2.4982032455372915E-3</v>
      </c>
      <c r="AG181" s="556">
        <f>$F$1*(Flat!AD41-Savings_Flat!AD149)</f>
        <v>1.2532939635331879E-3</v>
      </c>
      <c r="AH181" s="556">
        <f>$F$1*(Flat!AE41-Savings_Flat!AE149)</f>
        <v>8.8096775809386684E-4</v>
      </c>
      <c r="AI181" s="556">
        <f>$F$1*(Flat!AF41-Savings_Flat!AF149)</f>
        <v>1.1573020307448481E-3</v>
      </c>
      <c r="AJ181" s="556">
        <f>$F$1*(Flat!AG41-Savings_Flat!AG149)</f>
        <v>2.7080308363691078E-3</v>
      </c>
      <c r="AK181" s="556">
        <f>$F$1*(Flat!AH41-Savings_Flat!AH149)</f>
        <v>1.3071471216241925E-3</v>
      </c>
      <c r="AL181" s="556">
        <f>$F$1*(Flat!AI41-Savings_Flat!AI149)</f>
        <v>2.3996746031853247E-3</v>
      </c>
      <c r="AM181" s="556">
        <f>$F$1*(Flat!AJ41-Savings_Flat!AJ149)</f>
        <v>1.3092468721012337E-3</v>
      </c>
      <c r="AN181" s="556">
        <f>$F$1*(Flat!AK41-Savings_Flat!AK149)</f>
        <v>1.3390236964781876E-3</v>
      </c>
      <c r="AO181" s="556">
        <f>$F$1*(Flat!AL41-Savings_Flat!AL149)</f>
        <v>1.3017558734308749E-3</v>
      </c>
      <c r="AP181" s="556">
        <f>$F$1*(Flat!AM41-Savings_Flat!AM149)</f>
        <v>1.2039515213333426E-3</v>
      </c>
      <c r="AQ181" s="556">
        <f>$F$1*(Flat!AN41-Savings_Flat!AN149)</f>
        <v>1.2039515213333426E-3</v>
      </c>
      <c r="AT181" s="5" t="s">
        <v>381</v>
      </c>
    </row>
    <row r="182" spans="1:46">
      <c r="A182" s="5" t="str">
        <f t="shared" si="7"/>
        <v>OUTPUT</v>
      </c>
      <c r="B182" s="5" t="s">
        <v>615</v>
      </c>
      <c r="C182" s="5" t="str">
        <f t="shared" si="6"/>
        <v>Bldg_FLTPre69-Cei</v>
      </c>
      <c r="D182" s="5" t="s">
        <v>301</v>
      </c>
      <c r="E182" s="5" t="s">
        <v>382</v>
      </c>
      <c r="F182" s="5" t="s">
        <v>606</v>
      </c>
      <c r="G182" s="556">
        <f>$F$1*(Flat!D42-Savings_Flat!D150)</f>
        <v>1.0743093530202917E-3</v>
      </c>
      <c r="H182" s="556">
        <f>$F$1*(Flat!E42-Savings_Flat!E150)</f>
        <v>2.510947928352633E-3</v>
      </c>
      <c r="I182" s="556">
        <f>$F$1*(Flat!F42-Savings_Flat!F150)</f>
        <v>1.317438838981279E-3</v>
      </c>
      <c r="J182" s="556">
        <f>$F$1*(Flat!G42-Savings_Flat!G150)</f>
        <v>1.0466550551809376E-3</v>
      </c>
      <c r="K182" s="556">
        <f>$F$1*(Flat!H42-Savings_Flat!H150)</f>
        <v>1.2841493381284086E-3</v>
      </c>
      <c r="L182" s="556">
        <f>$F$1*(Flat!I42-Savings_Flat!I150)</f>
        <v>7.2014281627845466E-4</v>
      </c>
      <c r="M182" s="556">
        <f>$F$1*(Flat!J42-Savings_Flat!J150)</f>
        <v>2.5098488120466225E-3</v>
      </c>
      <c r="N182" s="556">
        <f>$F$1*(Flat!K42-Savings_Flat!K150)</f>
        <v>4.5804605420077688E-4</v>
      </c>
      <c r="O182" s="556">
        <f>$F$1*(Flat!L42-Savings_Flat!L150)</f>
        <v>5.3504334930004052E-4</v>
      </c>
      <c r="P182" s="556">
        <f>$F$1*(Flat!M42-Savings_Flat!M150)</f>
        <v>1.706281024584433E-3</v>
      </c>
      <c r="Q182" s="556">
        <f>$F$1*(Flat!N42-Savings_Flat!N150)</f>
        <v>6.0569151104655663E-4</v>
      </c>
      <c r="R182" s="556">
        <f>$F$1*(Flat!O42-Savings_Flat!O150)</f>
        <v>2.5360677786099698E-3</v>
      </c>
      <c r="S182" s="556">
        <f>$F$1*(Flat!P42-Savings_Flat!P150)</f>
        <v>3.2116621828339395E-3</v>
      </c>
      <c r="T182" s="556">
        <f>$F$1*(Flat!Q42-Savings_Flat!Q150)</f>
        <v>1.123022382004365E-3</v>
      </c>
      <c r="U182" s="556">
        <f>$F$1*(Flat!R42-Savings_Flat!R150)</f>
        <v>9.8691320867650627E-4</v>
      </c>
      <c r="V182" s="556">
        <f>$F$1*(Flat!S42-Savings_Flat!S150)</f>
        <v>3.1866812668548202E-3</v>
      </c>
      <c r="W182" s="556">
        <f>$F$1*(Flat!T42-Savings_Flat!T150)</f>
        <v>5.2372467196805199E-4</v>
      </c>
      <c r="X182" s="556">
        <f>$F$1*(Flat!U42-Savings_Flat!U150)</f>
        <v>2.1453556092330961E-3</v>
      </c>
      <c r="Y182" s="556">
        <f>$F$1*(Flat!V42-Savings_Flat!V150)</f>
        <v>1.0066161929860637E-3</v>
      </c>
      <c r="Z182" s="556">
        <f>$F$1*(Flat!W42-Savings_Flat!W150)</f>
        <v>1.4675214459291346E-3</v>
      </c>
      <c r="AA182" s="556">
        <f>$F$1*(Flat!X42-Savings_Flat!X150)</f>
        <v>1.6743668624855184E-3</v>
      </c>
      <c r="AB182" s="556">
        <f>$F$1*(Flat!Y42-Savings_Flat!Y150)</f>
        <v>5.6457215426426418E-4</v>
      </c>
      <c r="AC182" s="556">
        <f>$F$1*(Flat!Z42-Savings_Flat!Z150)</f>
        <v>1.6371333559413233E-3</v>
      </c>
      <c r="AD182" s="556">
        <f>$F$1*(Flat!AA42-Savings_Flat!AA150)</f>
        <v>9.144722301196069E-4</v>
      </c>
      <c r="AE182" s="556">
        <f>$F$1*(Flat!AB42-Savings_Flat!AB150)</f>
        <v>9.5415040457413793E-4</v>
      </c>
      <c r="AF182" s="556">
        <f>$F$1*(Flat!AC42-Savings_Flat!AC150)</f>
        <v>2.383878183145921E-3</v>
      </c>
      <c r="AG182" s="556">
        <f>$F$1*(Flat!AD42-Savings_Flat!AD150)</f>
        <v>1.168608157362531E-3</v>
      </c>
      <c r="AH182" s="556">
        <f>$F$1*(Flat!AE42-Savings_Flat!AE150)</f>
        <v>8.8175466184398923E-4</v>
      </c>
      <c r="AI182" s="556">
        <f>$F$1*(Flat!AF42-Savings_Flat!AF150)</f>
        <v>1.1573020307448481E-3</v>
      </c>
      <c r="AJ182" s="556">
        <f>$F$1*(Flat!AG42-Savings_Flat!AG150)</f>
        <v>2.0078373356024947E-3</v>
      </c>
      <c r="AK182" s="556">
        <f>$F$1*(Flat!AH42-Savings_Flat!AH150)</f>
        <v>1.3752069961040123E-3</v>
      </c>
      <c r="AL182" s="556">
        <f>$F$1*(Flat!AI42-Savings_Flat!AI150)</f>
        <v>2.3996746031853247E-3</v>
      </c>
      <c r="AM182" s="556">
        <f>$F$1*(Flat!AJ42-Savings_Flat!AJ150)</f>
        <v>1.3092468721012337E-3</v>
      </c>
      <c r="AN182" s="556">
        <f>$F$1*(Flat!AK42-Savings_Flat!AK150)</f>
        <v>1.3390236964781876E-3</v>
      </c>
      <c r="AO182" s="556">
        <f>$F$1*(Flat!AL42-Savings_Flat!AL150)</f>
        <v>1.3017558734308749E-3</v>
      </c>
      <c r="AP182" s="556">
        <f>$F$1*(Flat!AM42-Savings_Flat!AM150)</f>
        <v>1.2039515213333426E-3</v>
      </c>
      <c r="AQ182" s="556">
        <f>$F$1*(Flat!AN42-Savings_Flat!AN150)</f>
        <v>1.2039515213333426E-3</v>
      </c>
      <c r="AT182" s="5" t="s">
        <v>382</v>
      </c>
    </row>
    <row r="183" spans="1:46">
      <c r="A183" s="5" t="str">
        <f t="shared" si="7"/>
        <v>OUTPUT</v>
      </c>
      <c r="B183" s="5" t="s">
        <v>615</v>
      </c>
      <c r="C183" s="5" t="str">
        <f t="shared" si="6"/>
        <v>Bldg_FLTPre79-Cei</v>
      </c>
      <c r="D183" s="5" t="s">
        <v>301</v>
      </c>
      <c r="E183" s="5" t="s">
        <v>383</v>
      </c>
      <c r="F183" s="5" t="s">
        <v>606</v>
      </c>
      <c r="G183" s="556">
        <f>$F$1*(Flat!D43-Savings_Flat!D151)</f>
        <v>5.6940455809814899E-4</v>
      </c>
      <c r="H183" s="556">
        <f>$F$1*(Flat!E43-Savings_Flat!E151)</f>
        <v>2.510947928352633E-3</v>
      </c>
      <c r="I183" s="556">
        <f>$F$1*(Flat!F43-Savings_Flat!F151)</f>
        <v>1.2058076643588662E-3</v>
      </c>
      <c r="J183" s="556">
        <f>$F$1*(Flat!G43-Savings_Flat!G151)</f>
        <v>5.5474724994340947E-4</v>
      </c>
      <c r="K183" s="556">
        <f>$F$1*(Flat!H43-Savings_Flat!H151)</f>
        <v>1.2819632329736208E-3</v>
      </c>
      <c r="L183" s="556">
        <f>$F$1*(Flat!I43-Savings_Flat!I151)</f>
        <v>7.2014281627845466E-4</v>
      </c>
      <c r="M183" s="556">
        <f>$F$1*(Flat!J43-Savings_Flat!J151)</f>
        <v>6.6258087039552493E-4</v>
      </c>
      <c r="N183" s="556">
        <f>$F$1*(Flat!K43-Savings_Flat!K151)</f>
        <v>3.0257458678870249E-4</v>
      </c>
      <c r="O183" s="556">
        <f>$F$1*(Flat!L43-Savings_Flat!L151)</f>
        <v>3.7521906772690225E-4</v>
      </c>
      <c r="P183" s="556">
        <f>$F$1*(Flat!M43-Savings_Flat!M151)</f>
        <v>1.706281024584433E-3</v>
      </c>
      <c r="Q183" s="556">
        <f>$F$1*(Flat!N43-Savings_Flat!N151)</f>
        <v>4.2273930948222868E-4</v>
      </c>
      <c r="R183" s="556">
        <f>$F$1*(Flat!O43-Savings_Flat!O151)</f>
        <v>4.1409374796375038E-4</v>
      </c>
      <c r="S183" s="556">
        <f>$F$1*(Flat!P43-Savings_Flat!P151)</f>
        <v>3.2116621828339395E-3</v>
      </c>
      <c r="T183" s="556">
        <f>$F$1*(Flat!Q43-Savings_Flat!Q151)</f>
        <v>1.1782060765353282E-3</v>
      </c>
      <c r="U183" s="556">
        <f>$F$1*(Flat!R43-Savings_Flat!R151)</f>
        <v>7.1531246334758226E-4</v>
      </c>
      <c r="V183" s="556">
        <f>$F$1*(Flat!S43-Savings_Flat!S151)</f>
        <v>1.4300091552304191E-3</v>
      </c>
      <c r="W183" s="556">
        <f>$F$1*(Flat!T43-Savings_Flat!T151)</f>
        <v>3.671601798871449E-4</v>
      </c>
      <c r="X183" s="556">
        <f>$F$1*(Flat!U43-Savings_Flat!U151)</f>
        <v>2.0364740077837159E-3</v>
      </c>
      <c r="Y183" s="556">
        <f>$F$1*(Flat!V43-Savings_Flat!V151)</f>
        <v>5.0448233323006398E-4</v>
      </c>
      <c r="Z183" s="556">
        <f>$F$1*(Flat!W43-Savings_Flat!W151)</f>
        <v>8.9477568525486262E-4</v>
      </c>
      <c r="AA183" s="556">
        <f>$F$1*(Flat!X43-Savings_Flat!X151)</f>
        <v>1.3623177269361053E-3</v>
      </c>
      <c r="AB183" s="556">
        <f>$F$1*(Flat!Y43-Savings_Flat!Y151)</f>
        <v>5.9015816803042347E-4</v>
      </c>
      <c r="AC183" s="556">
        <f>$F$1*(Flat!Z43-Savings_Flat!Z151)</f>
        <v>1.642715349966097E-3</v>
      </c>
      <c r="AD183" s="556">
        <f>$F$1*(Flat!AA43-Savings_Flat!AA151)</f>
        <v>2.4842246405522951E-4</v>
      </c>
      <c r="AE183" s="556">
        <f>$F$1*(Flat!AB43-Savings_Flat!AB151)</f>
        <v>5.9808687537271394E-4</v>
      </c>
      <c r="AF183" s="556">
        <f>$F$1*(Flat!AC43-Savings_Flat!AC151)</f>
        <v>2.2084222393892474E-3</v>
      </c>
      <c r="AG183" s="556">
        <f>$F$1*(Flat!AD43-Savings_Flat!AD151)</f>
        <v>1.168608157362531E-3</v>
      </c>
      <c r="AH183" s="556">
        <f>$F$1*(Flat!AE43-Savings_Flat!AE151)</f>
        <v>2.3953451900755575E-4</v>
      </c>
      <c r="AI183" s="556">
        <f>$F$1*(Flat!AF43-Savings_Flat!AF151)</f>
        <v>8.2516277255107828E-4</v>
      </c>
      <c r="AJ183" s="556">
        <f>$F$1*(Flat!AG43-Savings_Flat!AG151)</f>
        <v>2.0078373356024947E-3</v>
      </c>
      <c r="AK183" s="556">
        <f>$F$1*(Flat!AH43-Savings_Flat!AH151)</f>
        <v>6.2875634347638325E-4</v>
      </c>
      <c r="AL183" s="556">
        <f>$F$1*(Flat!AI43-Savings_Flat!AI151)</f>
        <v>2.3996746031853247E-3</v>
      </c>
      <c r="AM183" s="556">
        <f>$F$1*(Flat!AJ43-Savings_Flat!AJ151)</f>
        <v>1.3092468721012337E-3</v>
      </c>
      <c r="AN183" s="556">
        <f>$F$1*(Flat!AK43-Savings_Flat!AK151)</f>
        <v>1.3390236964781876E-3</v>
      </c>
      <c r="AO183" s="556">
        <f>$F$1*(Flat!AL43-Savings_Flat!AL151)</f>
        <v>1.1920442829636859E-3</v>
      </c>
      <c r="AP183" s="556">
        <f>$F$1*(Flat!AM43-Savings_Flat!AM151)</f>
        <v>1.2039515213333426E-3</v>
      </c>
      <c r="AQ183" s="556">
        <f>$F$1*(Flat!AN43-Savings_Flat!AN151)</f>
        <v>1.2039515213333426E-3</v>
      </c>
      <c r="AT183" s="5" t="s">
        <v>383</v>
      </c>
    </row>
    <row r="184" spans="1:46">
      <c r="A184" s="5" t="str">
        <f t="shared" si="7"/>
        <v>OUTPUT</v>
      </c>
      <c r="B184" s="5" t="s">
        <v>615</v>
      </c>
      <c r="C184" s="5" t="str">
        <f t="shared" si="6"/>
        <v>Bldg_FLTPre89-Cei</v>
      </c>
      <c r="D184" s="5" t="s">
        <v>301</v>
      </c>
      <c r="E184" s="5" t="s">
        <v>384</v>
      </c>
      <c r="F184" s="5" t="s">
        <v>606</v>
      </c>
      <c r="G184" s="556">
        <f>$F$1*(Flat!D44-Savings_Flat!D152)</f>
        <v>3.4178913116147638E-4</v>
      </c>
      <c r="H184" s="556">
        <f>$F$1*(Flat!E44-Savings_Flat!E152)</f>
        <v>1.7395926424511191E-3</v>
      </c>
      <c r="I184" s="556">
        <f>$F$1*(Flat!F44-Savings_Flat!F152)</f>
        <v>1.1496899588988756E-3</v>
      </c>
      <c r="J184" s="556">
        <f>$F$1*(Flat!G44-Savings_Flat!G152)</f>
        <v>3.3299097781316927E-4</v>
      </c>
      <c r="K184" s="556">
        <f>$F$1*(Flat!H44-Savings_Flat!H152)</f>
        <v>1.287165714809455E-3</v>
      </c>
      <c r="L184" s="556">
        <f>$F$1*(Flat!I44-Savings_Flat!I152)</f>
        <v>5.7505798463654257E-4</v>
      </c>
      <c r="M184" s="556">
        <f>$F$1*(Flat!J44-Savings_Flat!J152)</f>
        <v>2.6620852763286008E-4</v>
      </c>
      <c r="N184" s="556">
        <f>$F$1*(Flat!K44-Savings_Flat!K152)</f>
        <v>2.4185658148920871E-4</v>
      </c>
      <c r="O184" s="556">
        <f>$F$1*(Flat!L44-Savings_Flat!L152)</f>
        <v>2.0866114936631187E-4</v>
      </c>
      <c r="P184" s="556">
        <f>$F$1*(Flat!M44-Savings_Flat!M152)</f>
        <v>1.2561897533897666E-3</v>
      </c>
      <c r="Q184" s="556">
        <f>$F$1*(Flat!N44-Savings_Flat!N152)</f>
        <v>2.9870202437366994E-4</v>
      </c>
      <c r="R184" s="556">
        <f>$F$1*(Flat!O44-Savings_Flat!O152)</f>
        <v>2.6281896756584922E-4</v>
      </c>
      <c r="S184" s="556">
        <f>$F$1*(Flat!P44-Savings_Flat!P152)</f>
        <v>3.2238128838084482E-3</v>
      </c>
      <c r="T184" s="556">
        <f>$F$1*(Flat!Q44-Savings_Flat!Q152)</f>
        <v>1.1782060765353282E-3</v>
      </c>
      <c r="U184" s="556">
        <f>$F$1*(Flat!R44-Savings_Flat!R152)</f>
        <v>4.5165528263199986E-4</v>
      </c>
      <c r="V184" s="556">
        <f>$F$1*(Flat!S44-Savings_Flat!S152)</f>
        <v>4.2099408753756823E-4</v>
      </c>
      <c r="W184" s="556">
        <f>$F$1*(Flat!T44-Savings_Flat!T152)</f>
        <v>2.6044396087108914E-4</v>
      </c>
      <c r="X184" s="556">
        <f>$F$1*(Flat!U44-Savings_Flat!U152)</f>
        <v>1.6180646610936666E-3</v>
      </c>
      <c r="Y184" s="556">
        <f>$F$1*(Flat!V44-Savings_Flat!V152)</f>
        <v>5.0448233323006398E-4</v>
      </c>
      <c r="Z184" s="556">
        <f>$F$1*(Flat!W44-Savings_Flat!W152)</f>
        <v>4.6665234704675593E-4</v>
      </c>
      <c r="AA184" s="556">
        <f>$F$1*(Flat!X44-Savings_Flat!X152)</f>
        <v>6.1473360064243402E-4</v>
      </c>
      <c r="AB184" s="556">
        <f>$F$1*(Flat!Y44-Savings_Flat!Y152)</f>
        <v>5.9626959660005394E-4</v>
      </c>
      <c r="AC184" s="556">
        <f>$F$1*(Flat!Z44-Savings_Flat!Z152)</f>
        <v>8.4872352973452763E-4</v>
      </c>
      <c r="AD184" s="556">
        <f>$F$1*(Flat!AA44-Savings_Flat!AA152)</f>
        <v>2.4916995710502966E-4</v>
      </c>
      <c r="AE184" s="556">
        <f>$F$1*(Flat!AB44-Savings_Flat!AB152)</f>
        <v>5.9808687537271394E-4</v>
      </c>
      <c r="AF184" s="556">
        <f>$F$1*(Flat!AC44-Savings_Flat!AC152)</f>
        <v>2.1320744032547688E-3</v>
      </c>
      <c r="AG184" s="556">
        <f>$F$1*(Flat!AD44-Savings_Flat!AD152)</f>
        <v>1.0936288039267478E-3</v>
      </c>
      <c r="AH184" s="556">
        <f>$F$1*(Flat!AE44-Savings_Flat!AE152)</f>
        <v>2.4025526859365294E-4</v>
      </c>
      <c r="AI184" s="556">
        <f>$F$1*(Flat!AF44-Savings_Flat!AF152)</f>
        <v>7.5622931928397824E-4</v>
      </c>
      <c r="AJ184" s="556">
        <f>$F$1*(Flat!AG44-Savings_Flat!AG152)</f>
        <v>1.280906637560921E-3</v>
      </c>
      <c r="AK184" s="556">
        <f>$F$1*(Flat!AH44-Savings_Flat!AH152)</f>
        <v>3.062845809351022E-4</v>
      </c>
      <c r="AL184" s="556">
        <f>$F$1*(Flat!AI44-Savings_Flat!AI152)</f>
        <v>2.4081444188361703E-3</v>
      </c>
      <c r="AM184" s="556">
        <f>$F$1*(Flat!AJ44-Savings_Flat!AJ152)</f>
        <v>7.8632211099004831E-4</v>
      </c>
      <c r="AN184" s="556">
        <f>$F$1*(Flat!AK44-Savings_Flat!AK152)</f>
        <v>8.045117638849677E-4</v>
      </c>
      <c r="AO184" s="556">
        <f>$F$1*(Flat!AL44-Savings_Flat!AL152)</f>
        <v>1.1382628178525718E-3</v>
      </c>
      <c r="AP184" s="556">
        <f>$F$1*(Flat!AM44-Savings_Flat!AM152)</f>
        <v>7.2308265305621653E-4</v>
      </c>
      <c r="AQ184" s="556">
        <f>$F$1*(Flat!AN44-Savings_Flat!AN152)</f>
        <v>7.2308265305621653E-4</v>
      </c>
      <c r="AT184" s="5" t="s">
        <v>384</v>
      </c>
    </row>
    <row r="185" spans="1:46">
      <c r="A185" s="5" t="str">
        <f t="shared" si="7"/>
        <v>OUTPUT</v>
      </c>
      <c r="B185" s="5" t="s">
        <v>615</v>
      </c>
      <c r="C185" s="5" t="str">
        <f t="shared" si="6"/>
        <v>Bldg_FLTPre99-Cei</v>
      </c>
      <c r="D185" s="5" t="s">
        <v>301</v>
      </c>
      <c r="E185" s="5" t="s">
        <v>385</v>
      </c>
      <c r="F185" s="5" t="s">
        <v>606</v>
      </c>
      <c r="G185" s="556">
        <f>$F$1*(Flat!D45-Savings_Flat!D153)</f>
        <v>3.533775620020754E-4</v>
      </c>
      <c r="H185" s="556">
        <f>$F$1*(Flat!E45-Savings_Flat!E153)</f>
        <v>1.7395926424511191E-3</v>
      </c>
      <c r="I185" s="556">
        <f>$F$1*(Flat!F45-Savings_Flat!F153)</f>
        <v>4.5980738609501556E-4</v>
      </c>
      <c r="J185" s="556">
        <f>$F$1*(Flat!G45-Savings_Flat!G153)</f>
        <v>3.4428110545361529E-4</v>
      </c>
      <c r="K185" s="556">
        <f>$F$1*(Flat!H45-Savings_Flat!H153)</f>
        <v>1.3279352710032445E-3</v>
      </c>
      <c r="L185" s="556">
        <f>$F$1*(Flat!I45-Savings_Flat!I153)</f>
        <v>3.6892214040714488E-4</v>
      </c>
      <c r="M185" s="556">
        <f>$F$1*(Flat!J45-Savings_Flat!J153)</f>
        <v>1.7259486156328126E-4</v>
      </c>
      <c r="N185" s="556">
        <f>$F$1*(Flat!K45-Savings_Flat!K153)</f>
        <v>2.4185658148920871E-4</v>
      </c>
      <c r="O185" s="556">
        <f>$F$1*(Flat!L45-Savings_Flat!L153)</f>
        <v>1.4095574088293953E-4</v>
      </c>
      <c r="P185" s="556">
        <f>$F$1*(Flat!M45-Savings_Flat!M153)</f>
        <v>1.2561897533897666E-3</v>
      </c>
      <c r="Q185" s="556">
        <f>$F$1*(Flat!N45-Savings_Flat!N153)</f>
        <v>2.8898429273030419E-4</v>
      </c>
      <c r="R185" s="556">
        <f>$F$1*(Flat!O45-Savings_Flat!O153)</f>
        <v>1.5392883364996081E-4</v>
      </c>
      <c r="S185" s="556">
        <f>$F$1*(Flat!P45-Savings_Flat!P153)</f>
        <v>3.2238128838084482E-3</v>
      </c>
      <c r="T185" s="556">
        <f>$F$1*(Flat!Q45-Savings_Flat!Q153)</f>
        <v>6.6071925540702803E-4</v>
      </c>
      <c r="U185" s="556">
        <f>$F$1*(Flat!R45-Savings_Flat!R153)</f>
        <v>4.5165528263199986E-4</v>
      </c>
      <c r="V185" s="556">
        <f>$F$1*(Flat!S45-Savings_Flat!S153)</f>
        <v>4.3159667331758671E-4</v>
      </c>
      <c r="W185" s="556">
        <f>$F$1*(Flat!T45-Savings_Flat!T153)</f>
        <v>2.5202550652967315E-4</v>
      </c>
      <c r="X185" s="556">
        <f>$F$1*(Flat!U45-Savings_Flat!U153)</f>
        <v>1.3718232900286811E-3</v>
      </c>
      <c r="Y185" s="556">
        <f>$F$1*(Flat!V45-Savings_Flat!V153)</f>
        <v>5.0448233323006398E-4</v>
      </c>
      <c r="Z185" s="556">
        <f>$F$1*(Flat!W45-Savings_Flat!W153)</f>
        <v>3.4675138276677651E-4</v>
      </c>
      <c r="AA185" s="556">
        <f>$F$1*(Flat!X45-Savings_Flat!X153)</f>
        <v>5.3311932998500208E-4</v>
      </c>
      <c r="AB185" s="556">
        <f>$F$1*(Flat!Y45-Savings_Flat!Y153)</f>
        <v>5.3357860587976286E-4</v>
      </c>
      <c r="AC185" s="556">
        <f>$F$1*(Flat!Z45-Savings_Flat!Z153)</f>
        <v>7.0903076530864852E-4</v>
      </c>
      <c r="AD185" s="556">
        <f>$F$1*(Flat!AA45-Savings_Flat!AA153)</f>
        <v>1.8926900903326352E-4</v>
      </c>
      <c r="AE185" s="556">
        <f>$F$1*(Flat!AB45-Savings_Flat!AB153)</f>
        <v>5.9808687537271394E-4</v>
      </c>
      <c r="AF185" s="556">
        <f>$F$1*(Flat!AC45-Savings_Flat!AC153)</f>
        <v>1.9851031171404829E-3</v>
      </c>
      <c r="AG185" s="556">
        <f>$F$1*(Flat!AD45-Savings_Flat!AD153)</f>
        <v>1.0936288039267478E-3</v>
      </c>
      <c r="AH185" s="556">
        <f>$F$1*(Flat!AE45-Savings_Flat!AE153)</f>
        <v>1.8249742918475243E-4</v>
      </c>
      <c r="AI185" s="556">
        <f>$F$1*(Flat!AF45-Savings_Flat!AF153)</f>
        <v>3.7537948929898128E-4</v>
      </c>
      <c r="AJ185" s="556">
        <f>$F$1*(Flat!AG45-Savings_Flat!AG153)</f>
        <v>7.5300582286180154E-4</v>
      </c>
      <c r="AK185" s="556">
        <f>$F$1*(Flat!AH45-Savings_Flat!AH153)</f>
        <v>1.8280728489752978E-4</v>
      </c>
      <c r="AL185" s="556">
        <f>$F$1*(Flat!AI45-Savings_Flat!AI153)</f>
        <v>2.4081444188361703E-3</v>
      </c>
      <c r="AM185" s="556">
        <f>$F$1*(Flat!AJ45-Savings_Flat!AJ153)</f>
        <v>5.9566622563346982E-4</v>
      </c>
      <c r="AN185" s="556">
        <f>$F$1*(Flat!AK45-Savings_Flat!AK153)</f>
        <v>6.0959842428631316E-4</v>
      </c>
      <c r="AO185" s="556">
        <f>$F$1*(Flat!AL45-Savings_Flat!AL153)</f>
        <v>4.557369667305199E-4</v>
      </c>
      <c r="AP185" s="556">
        <f>$F$1*(Flat!AM45-Savings_Flat!AM153)</f>
        <v>5.477601465698602E-4</v>
      </c>
      <c r="AQ185" s="556">
        <f>$F$1*(Flat!AN45-Savings_Flat!AN153)</f>
        <v>5.477601465698602E-4</v>
      </c>
      <c r="AT185" s="5" t="s">
        <v>385</v>
      </c>
    </row>
    <row r="186" spans="1:46">
      <c r="A186" s="5" t="str">
        <f t="shared" si="7"/>
        <v>OUTPUT</v>
      </c>
      <c r="B186" s="5" t="s">
        <v>615</v>
      </c>
      <c r="C186" s="5" t="str">
        <f t="shared" si="6"/>
        <v>Bldg_FLTPre09-Cei</v>
      </c>
      <c r="D186" s="5" t="s">
        <v>301</v>
      </c>
      <c r="E186" s="5" t="s">
        <v>386</v>
      </c>
      <c r="F186" s="5" t="s">
        <v>606</v>
      </c>
      <c r="G186" s="556">
        <f>$F$1*(Flat!D46-Savings_Flat!D154)</f>
        <v>2.2538228649163198E-4</v>
      </c>
      <c r="H186" s="556">
        <f>$F$1*(Flat!E46-Savings_Flat!E154)</f>
        <v>6.6509653212312541E-4</v>
      </c>
      <c r="I186" s="556">
        <f>$F$1*(Flat!F46-Savings_Flat!F154)</f>
        <v>2.3484376581576975E-4</v>
      </c>
      <c r="J186" s="556">
        <f>$F$1*(Flat!G46-Savings_Flat!G154)</f>
        <v>2.19580615994371E-4</v>
      </c>
      <c r="K186" s="556">
        <f>$F$1*(Flat!H46-Savings_Flat!H154)</f>
        <v>1.350824172278543E-3</v>
      </c>
      <c r="L186" s="556">
        <f>$F$1*(Flat!I46-Savings_Flat!I154)</f>
        <v>2.1995278798971654E-4</v>
      </c>
      <c r="M186" s="556">
        <f>$F$1*(Flat!J46-Savings_Flat!J154)</f>
        <v>1.8216748187960678E-4</v>
      </c>
      <c r="N186" s="556">
        <f>$F$1*(Flat!K46-Savings_Flat!K154)</f>
        <v>1.2210380975711971E-4</v>
      </c>
      <c r="O186" s="556">
        <f>$F$1*(Flat!L46-Savings_Flat!L154)</f>
        <v>1.4095574088293953E-4</v>
      </c>
      <c r="P186" s="556">
        <f>$F$1*(Flat!M46-Savings_Flat!M154)</f>
        <v>6.2499896747399814E-4</v>
      </c>
      <c r="Q186" s="556">
        <f>$F$1*(Flat!N46-Savings_Flat!N154)</f>
        <v>2.1511869671295811E-4</v>
      </c>
      <c r="R186" s="556">
        <f>$F$1*(Flat!O46-Savings_Flat!O154)</f>
        <v>1.4298578786779757E-4</v>
      </c>
      <c r="S186" s="556">
        <f>$F$1*(Flat!P46-Savings_Flat!P154)</f>
        <v>6.2035005610729728E-4</v>
      </c>
      <c r="T186" s="556">
        <f>$F$1*(Flat!Q46-Savings_Flat!Q154)</f>
        <v>2.2091537810669493E-4</v>
      </c>
      <c r="U186" s="556">
        <f>$F$1*(Flat!R46-Savings_Flat!R154)</f>
        <v>1.4368586505046364E-4</v>
      </c>
      <c r="V186" s="556">
        <f>$F$1*(Flat!S46-Savings_Flat!S154)</f>
        <v>2.7537953101209028E-4</v>
      </c>
      <c r="W186" s="556">
        <f>$F$1*(Flat!T46-Savings_Flat!T154)</f>
        <v>1.8730793437910401E-4</v>
      </c>
      <c r="X186" s="556">
        <f>$F$1*(Flat!U46-Savings_Flat!U154)</f>
        <v>1.3867063512880188E-3</v>
      </c>
      <c r="Y186" s="556">
        <f>$F$1*(Flat!V46-Savings_Flat!V154)</f>
        <v>1.4311524500980625E-4</v>
      </c>
      <c r="Z186" s="556">
        <f>$F$1*(Flat!W46-Savings_Flat!W154)</f>
        <v>3.0532521777813516E-4</v>
      </c>
      <c r="AA186" s="556">
        <f>$F$1*(Flat!X46-Savings_Flat!X154)</f>
        <v>1.4967502258255556E-4</v>
      </c>
      <c r="AB186" s="556">
        <f>$F$1*(Flat!Y46-Savings_Flat!Y154)</f>
        <v>5.3931045283744819E-4</v>
      </c>
      <c r="AC186" s="556">
        <f>$F$1*(Flat!Z46-Savings_Flat!Z154)</f>
        <v>4.6513716003208563E-4</v>
      </c>
      <c r="AD186" s="556">
        <f>$F$1*(Flat!AA46-Savings_Flat!AA154)</f>
        <v>1.946199441019637E-4</v>
      </c>
      <c r="AE186" s="556">
        <f>$F$1*(Flat!AB46-Savings_Flat!AB154)</f>
        <v>6.6258883213255989E-4</v>
      </c>
      <c r="AF186" s="556">
        <f>$F$1*(Flat!AC46-Savings_Flat!AC154)</f>
        <v>1.0849942372420911E-3</v>
      </c>
      <c r="AG186" s="556">
        <f>$F$1*(Flat!AD46-Savings_Flat!AD154)</f>
        <v>9.270406158192147E-4</v>
      </c>
      <c r="AH186" s="556">
        <f>$F$1*(Flat!AE46-Savings_Flat!AE154)</f>
        <v>1.8765692095131003E-4</v>
      </c>
      <c r="AI186" s="556">
        <f>$F$1*(Flat!AF46-Savings_Flat!AF154)</f>
        <v>1.2531528675982157E-4</v>
      </c>
      <c r="AJ186" s="556">
        <f>$F$1*(Flat!AG46-Savings_Flat!AG154)</f>
        <v>2.875732236830209E-4</v>
      </c>
      <c r="AK186" s="556">
        <f>$F$1*(Flat!AH46-Savings_Flat!AH154)</f>
        <v>1.22609795808444E-4</v>
      </c>
      <c r="AL186" s="556">
        <f>$F$1*(Flat!AI46-Savings_Flat!AI154)</f>
        <v>4.5981044556392669E-4</v>
      </c>
      <c r="AM186" s="556">
        <f>$F$1*(Flat!AJ46-Savings_Flat!AJ154)</f>
        <v>4.1676569378296926E-4</v>
      </c>
      <c r="AN186" s="556">
        <f>$F$1*(Flat!AK46-Savings_Flat!AK154)</f>
        <v>4.2644862450284517E-4</v>
      </c>
      <c r="AO186" s="556">
        <f>$F$1*(Flat!AL46-Savings_Flat!AL154)</f>
        <v>2.3489261956423583E-4</v>
      </c>
      <c r="AP186" s="556">
        <f>$F$1*(Flat!AM46-Savings_Flat!AM154)</f>
        <v>3.8324757672650328E-4</v>
      </c>
      <c r="AQ186" s="556">
        <f>$F$1*(Flat!AN46-Savings_Flat!AN154)</f>
        <v>3.8324757672650328E-4</v>
      </c>
      <c r="AT186" s="5" t="s">
        <v>386</v>
      </c>
    </row>
    <row r="187" spans="1:46">
      <c r="A187" s="5" t="str">
        <f t="shared" si="7"/>
        <v>\I:</v>
      </c>
      <c r="C187" s="5" t="str">
        <f t="shared" si="6"/>
        <v/>
      </c>
      <c r="E187" s="5" t="s">
        <v>623</v>
      </c>
      <c r="G187" s="493"/>
      <c r="H187" s="493"/>
      <c r="I187" s="493"/>
      <c r="J187" s="493"/>
      <c r="K187" s="493"/>
      <c r="L187" s="493"/>
      <c r="M187" s="493"/>
      <c r="N187" s="493"/>
      <c r="O187" s="493"/>
      <c r="P187" s="493"/>
      <c r="Q187" s="493"/>
      <c r="R187" s="493"/>
      <c r="S187" s="493"/>
      <c r="T187" s="493"/>
      <c r="U187" s="493"/>
      <c r="V187" s="493"/>
      <c r="W187" s="493"/>
      <c r="X187" s="493"/>
      <c r="Y187" s="493"/>
      <c r="Z187" s="493"/>
      <c r="AA187" s="493"/>
      <c r="AB187" s="493"/>
      <c r="AC187" s="493"/>
      <c r="AD187" s="493"/>
      <c r="AE187" s="493"/>
      <c r="AF187" s="493"/>
      <c r="AG187" s="493"/>
      <c r="AH187" s="493"/>
      <c r="AI187" s="493"/>
      <c r="AJ187" s="493"/>
      <c r="AK187" s="493"/>
      <c r="AL187" s="493"/>
      <c r="AM187" s="493"/>
      <c r="AN187" s="493"/>
      <c r="AO187" s="493"/>
      <c r="AP187" s="493"/>
      <c r="AQ187" s="493"/>
    </row>
    <row r="188" spans="1:46">
      <c r="A188" s="5" t="str">
        <f t="shared" si="7"/>
        <v>\I:</v>
      </c>
      <c r="C188" s="5" t="str">
        <f t="shared" si="6"/>
        <v/>
      </c>
      <c r="E188" s="5" t="s">
        <v>623</v>
      </c>
      <c r="G188" s="493"/>
      <c r="H188" s="493"/>
      <c r="I188" s="493"/>
      <c r="J188" s="493"/>
      <c r="K188" s="493"/>
      <c r="L188" s="493"/>
      <c r="M188" s="493"/>
      <c r="N188" s="493"/>
      <c r="O188" s="493"/>
      <c r="P188" s="493"/>
      <c r="Q188" s="493"/>
      <c r="R188" s="493"/>
      <c r="S188" s="493"/>
      <c r="T188" s="493"/>
      <c r="U188" s="493"/>
      <c r="V188" s="493"/>
      <c r="W188" s="493"/>
      <c r="X188" s="493"/>
      <c r="Y188" s="493"/>
      <c r="Z188" s="493"/>
      <c r="AA188" s="493"/>
      <c r="AB188" s="493"/>
      <c r="AC188" s="493"/>
      <c r="AD188" s="493"/>
      <c r="AE188" s="493"/>
      <c r="AF188" s="493"/>
      <c r="AG188" s="493"/>
      <c r="AH188" s="493"/>
      <c r="AI188" s="493"/>
      <c r="AJ188" s="493"/>
      <c r="AK188" s="493"/>
      <c r="AL188" s="493"/>
      <c r="AM188" s="493"/>
      <c r="AN188" s="493"/>
      <c r="AO188" s="493"/>
      <c r="AP188" s="493"/>
      <c r="AQ188" s="493"/>
    </row>
    <row r="189" spans="1:46">
      <c r="A189" s="135" t="str">
        <f t="shared" si="7"/>
        <v>\I:</v>
      </c>
      <c r="C189" s="5" t="str">
        <f t="shared" si="6"/>
        <v/>
      </c>
      <c r="E189" s="5" t="s">
        <v>623</v>
      </c>
      <c r="F189" s="135" t="s">
        <v>393</v>
      </c>
      <c r="G189" s="492">
        <f>G198*'Energy Efficiency Measures-DBT'!D37/'Energy Efficiency Measures-DBT'!D36</f>
        <v>47.791530081222149</v>
      </c>
      <c r="H189" s="492">
        <f>H198*'Energy Efficiency Measures-DBT'!E37/'Energy Efficiency Measures-DBT'!E36</f>
        <v>50.690801999747507</v>
      </c>
      <c r="I189" s="492">
        <f>I198*'Energy Efficiency Measures-DBT'!F37/'Energy Efficiency Measures-DBT'!F36</f>
        <v>14.877598064300088</v>
      </c>
      <c r="J189" s="492">
        <f>J198*'Energy Efficiency Measures-DBT'!G37/'Energy Efficiency Measures-DBT'!G36</f>
        <v>47.791530081222149</v>
      </c>
      <c r="K189" s="492">
        <f>K198*'Energy Efficiency Measures-DBT'!H37/'Energy Efficiency Measures-DBT'!H36</f>
        <v>47.378982915049491</v>
      </c>
      <c r="L189" s="492">
        <f>L198*'Energy Efficiency Measures-DBT'!I37/'Energy Efficiency Measures-DBT'!I36</f>
        <v>36.590320845919265</v>
      </c>
      <c r="M189" s="492">
        <f>M198*'Energy Efficiency Measures-DBT'!J37/'Energy Efficiency Measures-DBT'!J36</f>
        <v>54.230554744657915</v>
      </c>
      <c r="N189" s="492">
        <f>N198*'Energy Efficiency Measures-DBT'!K37/'Energy Efficiency Measures-DBT'!K36</f>
        <v>30.400873876494384</v>
      </c>
      <c r="O189" s="492">
        <f>O198*'Energy Efficiency Measures-DBT'!L37/'Energy Efficiency Measures-DBT'!L36</f>
        <v>24.354383326348533</v>
      </c>
      <c r="P189" s="492">
        <f>P198*'Energy Efficiency Measures-DBT'!M37/'Energy Efficiency Measures-DBT'!M36</f>
        <v>58.937994321389183</v>
      </c>
      <c r="Q189" s="492">
        <f>Q198*'Energy Efficiency Measures-DBT'!N37/'Energy Efficiency Measures-DBT'!N36</f>
        <v>26.444561326656771</v>
      </c>
      <c r="R189" s="492">
        <f>R198*'Energy Efficiency Measures-DBT'!O37/'Energy Efficiency Measures-DBT'!O36</f>
        <v>45.403594003254014</v>
      </c>
      <c r="S189" s="492">
        <f>S198*'Energy Efficiency Measures-DBT'!P37/'Energy Efficiency Measures-DBT'!P36</f>
        <v>59.357163384095863</v>
      </c>
      <c r="T189" s="492">
        <f>T198*'Energy Efficiency Measures-DBT'!Q37/'Energy Efficiency Measures-DBT'!Q36</f>
        <v>21.558448234358103</v>
      </c>
      <c r="U189" s="492">
        <f>U198*'Energy Efficiency Measures-DBT'!R37/'Energy Efficiency Measures-DBT'!R36</f>
        <v>24.585830515763</v>
      </c>
      <c r="V189" s="492">
        <f>V198*'Energy Efficiency Measures-DBT'!S37/'Energy Efficiency Measures-DBT'!S36</f>
        <v>26.142774213658257</v>
      </c>
      <c r="W189" s="492">
        <f>W198*'Energy Efficiency Measures-DBT'!T37/'Energy Efficiency Measures-DBT'!T36</f>
        <v>44.280683855139571</v>
      </c>
      <c r="X189" s="492">
        <f>X198*'Energy Efficiency Measures-DBT'!U37/'Energy Efficiency Measures-DBT'!U36</f>
        <v>43.030369184096664</v>
      </c>
      <c r="Y189" s="492">
        <f>Y198*'Energy Efficiency Measures-DBT'!V37/'Energy Efficiency Measures-DBT'!V36</f>
        <v>23.587572251047888</v>
      </c>
      <c r="Z189" s="492">
        <f>Z198*'Energy Efficiency Measures-DBT'!W37/'Energy Efficiency Measures-DBT'!W36</f>
        <v>36.771500391454218</v>
      </c>
      <c r="AA189" s="492">
        <f>AA198*'Energy Efficiency Measures-DBT'!X37/'Energy Efficiency Measures-DBT'!X36</f>
        <v>23.599556561094115</v>
      </c>
      <c r="AB189" s="492">
        <f>AB198*'Energy Efficiency Measures-DBT'!Y37/'Energy Efficiency Measures-DBT'!Y36</f>
        <v>44.301983983921573</v>
      </c>
      <c r="AC189" s="492">
        <f>AC198*'Energy Efficiency Measures-DBT'!Z37/'Energy Efficiency Measures-DBT'!Z36</f>
        <v>49.932800187603092</v>
      </c>
      <c r="AD189" s="492">
        <f>AD198*'Energy Efficiency Measures-DBT'!AA37/'Energy Efficiency Measures-DBT'!AA36</f>
        <v>41.040172395161989</v>
      </c>
      <c r="AE189" s="492">
        <f>AE198*'Energy Efficiency Measures-DBT'!AB37/'Energy Efficiency Measures-DBT'!AB36</f>
        <v>18.605183684379494</v>
      </c>
      <c r="AF189" s="492">
        <f>AF198*'Energy Efficiency Measures-DBT'!AC37/'Energy Efficiency Measures-DBT'!AC36</f>
        <v>44.836664157109588</v>
      </c>
      <c r="AG189" s="492">
        <f>AG198*'Energy Efficiency Measures-DBT'!AD37/'Energy Efficiency Measures-DBT'!AD36</f>
        <v>11.735389455440549</v>
      </c>
      <c r="AH189" s="492">
        <f>AH198*'Energy Efficiency Measures-DBT'!AE37/'Energy Efficiency Measures-DBT'!AE36</f>
        <v>41.040172395161989</v>
      </c>
      <c r="AI189" s="492">
        <f>AI198*'Energy Efficiency Measures-DBT'!AF37/'Energy Efficiency Measures-DBT'!AF36</f>
        <v>23.587743477153669</v>
      </c>
      <c r="AJ189" s="492">
        <f>AJ198*'Energy Efficiency Measures-DBT'!AG37/'Energy Efficiency Measures-DBT'!AG36</f>
        <v>36.521917941528578</v>
      </c>
      <c r="AK189" s="492">
        <f>AK198*'Energy Efficiency Measures-DBT'!AH37/'Energy Efficiency Measures-DBT'!AH36</f>
        <v>36.820569047380872</v>
      </c>
      <c r="AL189" s="492">
        <f>AL198*'Energy Efficiency Measures-DBT'!AI37/'Energy Efficiency Measures-DBT'!AI36</f>
        <v>20.305278392164066</v>
      </c>
      <c r="AM189" s="492">
        <f>AM198*'Energy Efficiency Measures-DBT'!AJ37/'Energy Efficiency Measures-DBT'!AJ36</f>
        <v>21.558448234358103</v>
      </c>
      <c r="AN189" s="492">
        <f>AN198*'Energy Efficiency Measures-DBT'!AK37/'Energy Efficiency Measures-DBT'!AK36</f>
        <v>20.305278392164066</v>
      </c>
      <c r="AO189" s="492">
        <f>AO198*'Energy Efficiency Measures-DBT'!AL37/'Energy Efficiency Measures-DBT'!AL36</f>
        <v>21.558448234358103</v>
      </c>
      <c r="AP189" s="492">
        <f>AP198*'Energy Efficiency Measures-DBT'!AM37/'Energy Efficiency Measures-DBT'!AM36</f>
        <v>21.558448234358103</v>
      </c>
      <c r="AQ189" s="492">
        <f>AQ198*'Energy Efficiency Measures-DBT'!AN37/'Energy Efficiency Measures-DBT'!AN36</f>
        <v>21.558448234358103</v>
      </c>
    </row>
    <row r="190" spans="1:46">
      <c r="A190" s="135" t="str">
        <f t="shared" si="7"/>
        <v>\I:</v>
      </c>
      <c r="C190" s="5" t="str">
        <f t="shared" si="6"/>
        <v/>
      </c>
      <c r="E190" s="5" t="s">
        <v>424</v>
      </c>
      <c r="F190" s="135" t="s">
        <v>625</v>
      </c>
      <c r="G190" s="214">
        <f>G189*Flat!D5</f>
        <v>68405.603684051966</v>
      </c>
      <c r="H190" s="214">
        <f>H189*Flat!E5</f>
        <v>74250.323464896472</v>
      </c>
      <c r="I190" s="214">
        <f>I189*Flat!F5</f>
        <v>38372.462200605805</v>
      </c>
      <c r="J190" s="214">
        <f>J189*Flat!G5</f>
        <v>68405.603684051966</v>
      </c>
      <c r="K190" s="214">
        <f>K189*Flat!H5</f>
        <v>69173.315055972256</v>
      </c>
      <c r="L190" s="214">
        <f>L189*Flat!I5</f>
        <v>44631.048974454949</v>
      </c>
      <c r="M190" s="214">
        <f>M189*Flat!J5</f>
        <v>68014.21119844279</v>
      </c>
      <c r="N190" s="214">
        <f>N189*Flat!K5</f>
        <v>71502.855357514796</v>
      </c>
      <c r="O190" s="214">
        <f>O189*Flat!L5</f>
        <v>23282.318472040333</v>
      </c>
      <c r="P190" s="214">
        <f>P189*Flat!M5</f>
        <v>50904.51760534582</v>
      </c>
      <c r="Q190" s="214">
        <f>Q189*Flat!N5</f>
        <v>74044.771714638962</v>
      </c>
      <c r="R190" s="214">
        <f>R189*Flat!O5</f>
        <v>59863.815072095189</v>
      </c>
      <c r="S190" s="214">
        <f>S189*Flat!P5</f>
        <v>43330.72927038998</v>
      </c>
      <c r="T190" s="214">
        <f>T189*Flat!Q5</f>
        <v>27427.659880424311</v>
      </c>
      <c r="U190" s="214">
        <f>U189*Flat!R5</f>
        <v>22980.138283960892</v>
      </c>
      <c r="V190" s="214">
        <f>V189*Flat!S5</f>
        <v>139173.7062665821</v>
      </c>
      <c r="W190" s="214">
        <f>W189*Flat!T5</f>
        <v>49594.365917756317</v>
      </c>
      <c r="X190" s="214">
        <f>X189*Flat!U5</f>
        <v>78143.150438319542</v>
      </c>
      <c r="Y190" s="214">
        <f>Y189*Flat!V5</f>
        <v>24324.331957315146</v>
      </c>
      <c r="Z190" s="214">
        <f>Z189*Flat!W5</f>
        <v>63099.971891886264</v>
      </c>
      <c r="AA190" s="214">
        <f>AA189*Flat!X5</f>
        <v>24307.54325792694</v>
      </c>
      <c r="AB190" s="214">
        <f>AB189*Flat!Y5</f>
        <v>75341.240492671917</v>
      </c>
      <c r="AC190" s="214">
        <f>AC189*Flat!Z5</f>
        <v>75698.125084406289</v>
      </c>
      <c r="AD190" s="214">
        <f>AD189*Flat!AA5</f>
        <v>54829.67031993642</v>
      </c>
      <c r="AE190" s="214">
        <f>AE189*Flat!AB5</f>
        <v>29291.853281476782</v>
      </c>
      <c r="AF190" s="214">
        <f>AF189*Flat!AC5</f>
        <v>86678.386212782687</v>
      </c>
      <c r="AG190" s="214">
        <f>AG189*Flat!AD5</f>
        <v>45017.276908987762</v>
      </c>
      <c r="AH190" s="214">
        <f>AH189*Flat!AE5</f>
        <v>54829.67031993642</v>
      </c>
      <c r="AI190" s="214">
        <f>AI189*Flat!AF5</f>
        <v>24324.091972132235</v>
      </c>
      <c r="AJ190" s="214">
        <f>AJ189*Flat!AG5</f>
        <v>44741.461175667886</v>
      </c>
      <c r="AK190" s="214">
        <f>AK189*Flat!AH5</f>
        <v>142598.69980669662</v>
      </c>
      <c r="AL190" s="214">
        <f>AL189*Flat!AI5</f>
        <v>29645.706452559538</v>
      </c>
      <c r="AM190" s="214">
        <f>AM189*Flat!AJ5</f>
        <v>27427.659880424311</v>
      </c>
      <c r="AN190" s="214">
        <f>AN189*Flat!AK5</f>
        <v>29645.706452559538</v>
      </c>
      <c r="AO190" s="214">
        <f>AO189*Flat!AL5</f>
        <v>27427.659880424311</v>
      </c>
      <c r="AP190" s="214">
        <f>AP189*Flat!AM5</f>
        <v>27427.659880424311</v>
      </c>
      <c r="AQ190" s="214">
        <f>AQ189*Flat!AN5</f>
        <v>27427.659880424311</v>
      </c>
    </row>
    <row r="191" spans="1:46">
      <c r="A191" s="5" t="str">
        <f t="shared" si="7"/>
        <v>OUTPUT</v>
      </c>
      <c r="B191" s="5" t="s">
        <v>615</v>
      </c>
      <c r="C191" s="5" t="str">
        <f t="shared" si="6"/>
        <v>Bldg_FLTPre45-Wal</v>
      </c>
      <c r="D191" s="5" t="s">
        <v>302</v>
      </c>
      <c r="E191" s="5" t="s">
        <v>424</v>
      </c>
      <c r="F191" s="5" t="s">
        <v>606</v>
      </c>
      <c r="G191" s="556">
        <f>$F$1*(Flat!D41-Savings_Flat!D182)</f>
        <v>1.0752375620030855E-2</v>
      </c>
      <c r="H191" s="556">
        <f>$F$1*(Flat!E41-Savings_Flat!E182)</f>
        <v>1.0531831978325775E-2</v>
      </c>
      <c r="I191" s="556">
        <f>$F$1*(Flat!F41-Savings_Flat!F182)</f>
        <v>5.4618020030997617E-3</v>
      </c>
      <c r="J191" s="556">
        <f>$F$1*(Flat!G41-Savings_Flat!G182)</f>
        <v>1.0475593707036221E-2</v>
      </c>
      <c r="K191" s="556">
        <f>$F$1*(Flat!H41-Savings_Flat!H182)</f>
        <v>3.2645053549770677E-3</v>
      </c>
      <c r="L191" s="556">
        <f>$F$1*(Flat!I41-Savings_Flat!I182)</f>
        <v>4.2518420289467647E-3</v>
      </c>
      <c r="M191" s="556">
        <f>$F$1*(Flat!J41-Savings_Flat!J182)</f>
        <v>1.0317937500498519E-2</v>
      </c>
      <c r="N191" s="556">
        <f>$F$1*(Flat!K41-Savings_Flat!K182)</f>
        <v>3.9705689663057505E-3</v>
      </c>
      <c r="O191" s="556">
        <f>$F$1*(Flat!L41-Savings_Flat!L182)</f>
        <v>2.0641782287091803E-3</v>
      </c>
      <c r="P191" s="556">
        <f>$F$1*(Flat!M41-Savings_Flat!M182)</f>
        <v>1.3326813016315449E-2</v>
      </c>
      <c r="Q191" s="556">
        <f>$F$1*(Flat!N41-Savings_Flat!N182)</f>
        <v>2.4583532196184401E-3</v>
      </c>
      <c r="R191" s="556">
        <f>$F$1*(Flat!O41-Savings_Flat!O182)</f>
        <v>1.2171761477036372E-2</v>
      </c>
      <c r="S191" s="556">
        <f>$F$1*(Flat!P41-Savings_Flat!P182)</f>
        <v>9.2335501731348225E-3</v>
      </c>
      <c r="T191" s="556">
        <f>$F$1*(Flat!Q41-Savings_Flat!Q182)</f>
        <v>5.5646478936252223E-3</v>
      </c>
      <c r="U191" s="556">
        <f>$F$1*(Flat!R41-Savings_Flat!R182)</f>
        <v>7.1033274453348909E-3</v>
      </c>
      <c r="V191" s="556">
        <f>$F$1*(Flat!S41-Savings_Flat!S182)</f>
        <v>4.3813419238594954E-3</v>
      </c>
      <c r="W191" s="556">
        <f>$F$1*(Flat!T41-Savings_Flat!T182)</f>
        <v>3.5814853997463945E-3</v>
      </c>
      <c r="X191" s="556">
        <f>$F$1*(Flat!U41-Savings_Flat!U182)</f>
        <v>7.7885941212330612E-3</v>
      </c>
      <c r="Y191" s="556">
        <f>$F$1*(Flat!V41-Savings_Flat!V182)</f>
        <v>5.6766906695144091E-3</v>
      </c>
      <c r="Z191" s="556">
        <f>$F$1*(Flat!W41-Savings_Flat!W182)</f>
        <v>5.7538976717896916E-3</v>
      </c>
      <c r="AA191" s="556">
        <f>$F$1*(Flat!X41-Savings_Flat!X182)</f>
        <v>5.9031234660908635E-3</v>
      </c>
      <c r="AB191" s="556">
        <f>$F$1*(Flat!Y41-Savings_Flat!Y182)</f>
        <v>3.5732916652976873E-3</v>
      </c>
      <c r="AC191" s="556">
        <f>$F$1*(Flat!Z41-Savings_Flat!Z182)</f>
        <v>1.0681108853998237E-2</v>
      </c>
      <c r="AD191" s="556">
        <f>$F$1*(Flat!AA41-Savings_Flat!AA182)</f>
        <v>3.223440495091533E-3</v>
      </c>
      <c r="AE191" s="556">
        <f>$F$1*(Flat!AB41-Savings_Flat!AB182)</f>
        <v>8.152541936609076E-3</v>
      </c>
      <c r="AF191" s="556">
        <f>$F$1*(Flat!AC41-Savings_Flat!AC182)</f>
        <v>5.9517668674856057E-3</v>
      </c>
      <c r="AG191" s="556">
        <f>$F$1*(Flat!AD41-Savings_Flat!AD182)</f>
        <v>4.4412753928321502E-3</v>
      </c>
      <c r="AH191" s="556">
        <f>$F$1*(Flat!AE41-Savings_Flat!AE182)</f>
        <v>3.1081137186111086E-3</v>
      </c>
      <c r="AI191" s="556">
        <f>$F$1*(Flat!AF41-Savings_Flat!AF182)</f>
        <v>6.6396938127362085E-3</v>
      </c>
      <c r="AJ191" s="556">
        <f>$F$1*(Flat!AG41-Savings_Flat!AG182)</f>
        <v>8.7336808165508137E-3</v>
      </c>
      <c r="AK191" s="556">
        <f>$F$1*(Flat!AH41-Savings_Flat!AH182)</f>
        <v>5.0735632687193217E-3</v>
      </c>
      <c r="AL191" s="556">
        <f>$F$1*(Flat!AI41-Savings_Flat!AI182)</f>
        <v>7.3483298272502421E-3</v>
      </c>
      <c r="AM191" s="556">
        <f>$F$1*(Flat!AJ41-Savings_Flat!AJ182)</f>
        <v>7.4979804771033217E-3</v>
      </c>
      <c r="AN191" s="556">
        <f>$F$1*(Flat!AK41-Savings_Flat!AK182)</f>
        <v>7.2208660407299943E-3</v>
      </c>
      <c r="AO191" s="556">
        <f>$F$1*(Flat!AL41-Savings_Flat!AL182)</f>
        <v>7.8852893999314996E-3</v>
      </c>
      <c r="AP191" s="556">
        <f>$F$1*(Flat!AM41-Savings_Flat!AM182)</f>
        <v>6.8949601444136342E-3</v>
      </c>
      <c r="AQ191" s="556">
        <f>$F$1*(Flat!AN41-Savings_Flat!AN182)</f>
        <v>6.8949601444136342E-3</v>
      </c>
      <c r="AT191" s="5" t="s">
        <v>424</v>
      </c>
    </row>
    <row r="192" spans="1:46">
      <c r="A192" s="5" t="str">
        <f t="shared" si="7"/>
        <v>OUTPUT</v>
      </c>
      <c r="B192" s="5" t="s">
        <v>615</v>
      </c>
      <c r="C192" s="5" t="str">
        <f t="shared" si="6"/>
        <v>Bldg_FLTPre69-Wal</v>
      </c>
      <c r="D192" s="5" t="s">
        <v>302</v>
      </c>
      <c r="E192" s="5" t="s">
        <v>425</v>
      </c>
      <c r="F192" s="5" t="s">
        <v>606</v>
      </c>
      <c r="G192" s="556">
        <f>$F$1*(Flat!D42-Savings_Flat!D183)</f>
        <v>8.3423684076418519E-3</v>
      </c>
      <c r="H192" s="556">
        <f>$F$1*(Flat!E42-Savings_Flat!E183)</f>
        <v>1.0531831978325775E-2</v>
      </c>
      <c r="I192" s="556">
        <f>$F$1*(Flat!F42-Savings_Flat!F183)</f>
        <v>5.4618020030997617E-3</v>
      </c>
      <c r="J192" s="556">
        <f>$F$1*(Flat!G42-Savings_Flat!G183)</f>
        <v>8.1276236137126263E-3</v>
      </c>
      <c r="K192" s="556">
        <f>$F$1*(Flat!H42-Savings_Flat!H183)</f>
        <v>2.5951403889363906E-3</v>
      </c>
      <c r="L192" s="556">
        <f>$F$1*(Flat!I42-Savings_Flat!I183)</f>
        <v>4.0274888095498682E-3</v>
      </c>
      <c r="M192" s="556">
        <f>$F$1*(Flat!J42-Savings_Flat!J183)</f>
        <v>7.032763648775496E-3</v>
      </c>
      <c r="N192" s="556">
        <f>$F$1*(Flat!K42-Savings_Flat!K183)</f>
        <v>4.0253812605758827E-3</v>
      </c>
      <c r="O192" s="556">
        <f>$F$1*(Flat!L42-Savings_Flat!L183)</f>
        <v>2.0641782287091803E-3</v>
      </c>
      <c r="P192" s="556">
        <f>$F$1*(Flat!M42-Savings_Flat!M183)</f>
        <v>1.0958643113220036E-2</v>
      </c>
      <c r="Q192" s="556">
        <f>$F$1*(Flat!N42-Savings_Flat!N183)</f>
        <v>2.2295442202805919E-3</v>
      </c>
      <c r="R192" s="556">
        <f>$F$1*(Flat!O42-Savings_Flat!O183)</f>
        <v>1.2171761477036372E-2</v>
      </c>
      <c r="S192" s="556">
        <f>$F$1*(Flat!P42-Savings_Flat!P183)</f>
        <v>9.2335501731348225E-3</v>
      </c>
      <c r="T192" s="556">
        <f>$F$1*(Flat!Q42-Savings_Flat!Q183)</f>
        <v>6.6087941051192192E-3</v>
      </c>
      <c r="U192" s="556">
        <f>$F$1*(Flat!R42-Savings_Flat!R183)</f>
        <v>7.1033274453348909E-3</v>
      </c>
      <c r="V192" s="556">
        <f>$F$1*(Flat!S42-Savings_Flat!S183)</f>
        <v>4.3711747308202752E-3</v>
      </c>
      <c r="W192" s="556">
        <f>$F$1*(Flat!T42-Savings_Flat!T183)</f>
        <v>3.2468017010394011E-3</v>
      </c>
      <c r="X192" s="556">
        <f>$F$1*(Flat!U42-Savings_Flat!U183)</f>
        <v>6.7198854483112294E-3</v>
      </c>
      <c r="Y192" s="556">
        <f>$F$1*(Flat!V42-Savings_Flat!V183)</f>
        <v>5.6766906695144091E-3</v>
      </c>
      <c r="Z192" s="556">
        <f>$F$1*(Flat!W42-Savings_Flat!W183)</f>
        <v>1.0631214419117728E-2</v>
      </c>
      <c r="AA192" s="556">
        <f>$F$1*(Flat!X42-Savings_Flat!X183)</f>
        <v>5.9231287453624373E-3</v>
      </c>
      <c r="AB192" s="556">
        <f>$F$1*(Flat!Y42-Savings_Flat!Y183)</f>
        <v>3.5740445365390868E-3</v>
      </c>
      <c r="AC192" s="556">
        <f>$F$1*(Flat!Z42-Savings_Flat!Z183)</f>
        <v>8.7803801340007905E-3</v>
      </c>
      <c r="AD192" s="556">
        <f>$F$1*(Flat!AA42-Savings_Flat!AA183)</f>
        <v>3.2265517895809803E-3</v>
      </c>
      <c r="AE192" s="556">
        <f>$F$1*(Flat!AB42-Savings_Flat!AB183)</f>
        <v>5.2894241598019998E-3</v>
      </c>
      <c r="AF192" s="556">
        <f>$F$1*(Flat!AC42-Savings_Flat!AC183)</f>
        <v>4.1371346191596201E-3</v>
      </c>
      <c r="AG192" s="556">
        <f>$F$1*(Flat!AD42-Savings_Flat!AD183)</f>
        <v>3.8964718199774075E-3</v>
      </c>
      <c r="AH192" s="556">
        <f>$F$1*(Flat!AE42-Savings_Flat!AE183)</f>
        <v>3.1111136986324618E-3</v>
      </c>
      <c r="AI192" s="556">
        <f>$F$1*(Flat!AF42-Savings_Flat!AF183)</f>
        <v>6.6396938127362085E-3</v>
      </c>
      <c r="AJ192" s="556">
        <f>$F$1*(Flat!AG42-Savings_Flat!AG183)</f>
        <v>6.5823661886990417E-3</v>
      </c>
      <c r="AK192" s="556">
        <f>$F$1*(Flat!AH42-Savings_Flat!AH183)</f>
        <v>5.6653621080343559E-3</v>
      </c>
      <c r="AL192" s="556">
        <f>$F$1*(Flat!AI42-Savings_Flat!AI183)</f>
        <v>7.3483298272502421E-3</v>
      </c>
      <c r="AM192" s="556">
        <f>$F$1*(Flat!AJ42-Savings_Flat!AJ183)</f>
        <v>7.4979804771033217E-3</v>
      </c>
      <c r="AN192" s="556">
        <f>$F$1*(Flat!AK42-Savings_Flat!AK183)</f>
        <v>7.2208660407299943E-3</v>
      </c>
      <c r="AO192" s="556">
        <f>$F$1*(Flat!AL42-Savings_Flat!AL183)</f>
        <v>7.8852893999314996E-3</v>
      </c>
      <c r="AP192" s="556">
        <f>$F$1*(Flat!AM42-Savings_Flat!AM183)</f>
        <v>6.8949601444136342E-3</v>
      </c>
      <c r="AQ192" s="556">
        <f>$F$1*(Flat!AN42-Savings_Flat!AN183)</f>
        <v>6.8949601444136342E-3</v>
      </c>
      <c r="AT192" s="5" t="s">
        <v>425</v>
      </c>
    </row>
    <row r="193" spans="1:46">
      <c r="A193" s="5" t="str">
        <f t="shared" si="7"/>
        <v>OUTPUT</v>
      </c>
      <c r="B193" s="5" t="s">
        <v>615</v>
      </c>
      <c r="C193" s="5" t="str">
        <f t="shared" si="6"/>
        <v>Bldg_FLTPre79-Wal</v>
      </c>
      <c r="D193" s="5" t="s">
        <v>302</v>
      </c>
      <c r="E193" s="5" t="s">
        <v>426</v>
      </c>
      <c r="F193" s="5" t="s">
        <v>606</v>
      </c>
      <c r="G193" s="556">
        <f>$F$1*(Flat!D43-Savings_Flat!D184)</f>
        <v>6.1234783531743603E-3</v>
      </c>
      <c r="H193" s="556">
        <f>$F$1*(Flat!E43-Savings_Flat!E184)</f>
        <v>1.0531831978325775E-2</v>
      </c>
      <c r="I193" s="556">
        <f>$F$1*(Flat!F43-Savings_Flat!F184)</f>
        <v>4.965583825327872E-3</v>
      </c>
      <c r="J193" s="556">
        <f>$F$1*(Flat!G43-Savings_Flat!G184)</f>
        <v>5.9658510424603012E-3</v>
      </c>
      <c r="K193" s="556">
        <f>$F$1*(Flat!H43-Savings_Flat!H184)</f>
        <v>1.8915742433328903E-3</v>
      </c>
      <c r="L193" s="556">
        <f>$F$1*(Flat!I43-Savings_Flat!I184)</f>
        <v>4.0274888095498682E-3</v>
      </c>
      <c r="M193" s="556">
        <f>$F$1*(Flat!J43-Savings_Flat!J184)</f>
        <v>3.3207403489576058E-3</v>
      </c>
      <c r="N193" s="556">
        <f>$F$1*(Flat!K43-Savings_Flat!K184)</f>
        <v>1.8023645717680859E-3</v>
      </c>
      <c r="O193" s="556">
        <f>$F$1*(Flat!L43-Savings_Flat!L184)</f>
        <v>1.1583102777445787E-3</v>
      </c>
      <c r="P193" s="556">
        <f>$F$1*(Flat!M43-Savings_Flat!M184)</f>
        <v>1.0958643113220036E-2</v>
      </c>
      <c r="Q193" s="556">
        <f>$F$1*(Flat!N43-Savings_Flat!N184)</f>
        <v>1.3527683290399221E-3</v>
      </c>
      <c r="R193" s="556">
        <f>$F$1*(Flat!O43-Savings_Flat!O184)</f>
        <v>3.9866767266994868E-3</v>
      </c>
      <c r="S193" s="556">
        <f>$F$1*(Flat!P43-Savings_Flat!P184)</f>
        <v>9.2335501731348225E-3</v>
      </c>
      <c r="T193" s="556">
        <f>$F$1*(Flat!Q43-Savings_Flat!Q184)</f>
        <v>5.661382841360192E-3</v>
      </c>
      <c r="U193" s="556">
        <f>$F$1*(Flat!R43-Savings_Flat!R184)</f>
        <v>5.4649544708249963E-3</v>
      </c>
      <c r="V193" s="556">
        <f>$F$1*(Flat!S43-Savings_Flat!S184)</f>
        <v>4.4793783122353539E-3</v>
      </c>
      <c r="W193" s="556">
        <f>$F$1*(Flat!T43-Savings_Flat!T184)</f>
        <v>1.9760744618063319E-3</v>
      </c>
      <c r="X193" s="556">
        <f>$F$1*(Flat!U43-Savings_Flat!U184)</f>
        <v>6.7945211860450487E-3</v>
      </c>
      <c r="Y193" s="556">
        <f>$F$1*(Flat!V43-Savings_Flat!V184)</f>
        <v>2.4127817775492699E-3</v>
      </c>
      <c r="Z193" s="556">
        <f>$F$1*(Flat!W43-Savings_Flat!W184)</f>
        <v>3.070909789634914E-3</v>
      </c>
      <c r="AA193" s="556">
        <f>$F$1*(Flat!X43-Savings_Flat!X184)</f>
        <v>5.1333948747524288E-3</v>
      </c>
      <c r="AB193" s="556">
        <f>$F$1*(Flat!Y43-Savings_Flat!Y184)</f>
        <v>2.0396782171208812E-3</v>
      </c>
      <c r="AC193" s="556">
        <f>$F$1*(Flat!Z43-Savings_Flat!Z184)</f>
        <v>8.8177694784818718E-3</v>
      </c>
      <c r="AD193" s="556">
        <f>$F$1*(Flat!AA43-Savings_Flat!AA184)</f>
        <v>1.1222140812516925E-3</v>
      </c>
      <c r="AE193" s="556">
        <f>$F$1*(Flat!AB43-Savings_Flat!AB184)</f>
        <v>2.5998392359186735E-3</v>
      </c>
      <c r="AF193" s="556">
        <f>$F$1*(Flat!AC43-Savings_Flat!AC184)</f>
        <v>4.1486499223551852E-3</v>
      </c>
      <c r="AG193" s="556">
        <f>$F$1*(Flat!AD43-Savings_Flat!AD184)</f>
        <v>3.8964718199774075E-3</v>
      </c>
      <c r="AH193" s="556">
        <f>$F$1*(Flat!AE43-Savings_Flat!AE184)</f>
        <v>1.0820640202504751E-3</v>
      </c>
      <c r="AI193" s="556">
        <f>$F$1*(Flat!AF43-Savings_Flat!AF184)</f>
        <v>6.7257447842324547E-3</v>
      </c>
      <c r="AJ193" s="556">
        <f>$F$1*(Flat!AG43-Savings_Flat!AG184)</f>
        <v>6.5823661886990417E-3</v>
      </c>
      <c r="AK193" s="556">
        <f>$F$1*(Flat!AH43-Savings_Flat!AH184)</f>
        <v>4.4226978893545559E-3</v>
      </c>
      <c r="AL193" s="556">
        <f>$F$1*(Flat!AI43-Savings_Flat!AI184)</f>
        <v>7.3483298272502421E-3</v>
      </c>
      <c r="AM193" s="556">
        <f>$F$1*(Flat!AJ43-Savings_Flat!AJ184)</f>
        <v>7.4979804771033217E-3</v>
      </c>
      <c r="AN193" s="556">
        <f>$F$1*(Flat!AK43-Savings_Flat!AK184)</f>
        <v>7.2208660407299943E-3</v>
      </c>
      <c r="AO193" s="556">
        <f>$F$1*(Flat!AL43-Savings_Flat!AL184)</f>
        <v>7.1702106938435536E-3</v>
      </c>
      <c r="AP193" s="556">
        <f>$F$1*(Flat!AM43-Savings_Flat!AM184)</f>
        <v>6.8949601444136342E-3</v>
      </c>
      <c r="AQ193" s="556">
        <f>$F$1*(Flat!AN43-Savings_Flat!AN184)</f>
        <v>6.8949601444136342E-3</v>
      </c>
      <c r="AT193" s="5" t="s">
        <v>426</v>
      </c>
    </row>
    <row r="194" spans="1:46">
      <c r="A194" s="5" t="str">
        <f t="shared" si="7"/>
        <v>OUTPUT</v>
      </c>
      <c r="B194" s="5" t="s">
        <v>615</v>
      </c>
      <c r="C194" s="5" t="str">
        <f t="shared" si="6"/>
        <v>Bldg_FLTPre89-Wal</v>
      </c>
      <c r="D194" s="5" t="s">
        <v>302</v>
      </c>
      <c r="E194" s="5" t="s">
        <v>427</v>
      </c>
      <c r="F194" s="5" t="s">
        <v>606</v>
      </c>
      <c r="G194" s="556">
        <f>$F$1*(Flat!D44-Savings_Flat!D185)</f>
        <v>3.4054569862187797E-3</v>
      </c>
      <c r="H194" s="556">
        <f>$F$1*(Flat!E44-Savings_Flat!E185)</f>
        <v>8.5682458582575609E-3</v>
      </c>
      <c r="I194" s="556">
        <f>$F$1*(Flat!F44-Savings_Flat!F185)</f>
        <v>3.7676509886509311E-3</v>
      </c>
      <c r="J194" s="556">
        <f>$F$1*(Flat!G44-Savings_Flat!G185)</f>
        <v>3.3177955305018969E-3</v>
      </c>
      <c r="K194" s="556">
        <f>$F$1*(Flat!H44-Savings_Flat!H185)</f>
        <v>1.8996679803180106E-3</v>
      </c>
      <c r="L194" s="556">
        <f>$F$1*(Flat!I44-Savings_Flat!I185)</f>
        <v>3.3395017355547963E-3</v>
      </c>
      <c r="M194" s="556">
        <f>$F$1*(Flat!J44-Savings_Flat!J185)</f>
        <v>2.8713048673674516E-3</v>
      </c>
      <c r="N194" s="556">
        <f>$F$1*(Flat!K44-Savings_Flat!K185)</f>
        <v>1.0589184706178627E-3</v>
      </c>
      <c r="O194" s="556">
        <f>$F$1*(Flat!L44-Savings_Flat!L185)</f>
        <v>7.8115716260523981E-4</v>
      </c>
      <c r="P194" s="556">
        <f>$F$1*(Flat!M44-Savings_Flat!M185)</f>
        <v>8.0907397474544347E-3</v>
      </c>
      <c r="Q194" s="556">
        <f>$F$1*(Flat!N44-Savings_Flat!N185)</f>
        <v>7.6910733687927913E-4</v>
      </c>
      <c r="R194" s="556">
        <f>$F$1*(Flat!O44-Savings_Flat!O185)</f>
        <v>3.1574595895496318E-3</v>
      </c>
      <c r="S194" s="556">
        <f>$F$1*(Flat!P44-Savings_Flat!P185)</f>
        <v>9.2758689906423906E-3</v>
      </c>
      <c r="T194" s="556">
        <f>$F$1*(Flat!Q44-Savings_Flat!Q185)</f>
        <v>5.661382841360192E-3</v>
      </c>
      <c r="U194" s="556">
        <f>$F$1*(Flat!R44-Savings_Flat!R185)</f>
        <v>2.8321077333434961E-3</v>
      </c>
      <c r="V194" s="556">
        <f>$F$1*(Flat!S44-Savings_Flat!S185)</f>
        <v>2.6266728669818201E-3</v>
      </c>
      <c r="W194" s="556">
        <f>$F$1*(Flat!T44-Savings_Flat!T185)</f>
        <v>1.1265611990337865E-3</v>
      </c>
      <c r="X194" s="556">
        <f>$F$1*(Flat!U44-Savings_Flat!U185)</f>
        <v>3.7081075458656621E-3</v>
      </c>
      <c r="Y194" s="556">
        <f>$F$1*(Flat!V44-Savings_Flat!V185)</f>
        <v>2.4127817775492699E-3</v>
      </c>
      <c r="Z194" s="556">
        <f>$F$1*(Flat!W44-Savings_Flat!W185)</f>
        <v>2.7583509750436618E-3</v>
      </c>
      <c r="AA194" s="556">
        <f>$F$1*(Flat!X44-Savings_Flat!X185)</f>
        <v>2.2485130941489822E-3</v>
      </c>
      <c r="AB194" s="556">
        <f>$F$1*(Flat!Y44-Savings_Flat!Y185)</f>
        <v>2.0645622209684435E-3</v>
      </c>
      <c r="AC194" s="556">
        <f>$F$1*(Flat!Z44-Savings_Flat!Z185)</f>
        <v>2.2967371589130859E-3</v>
      </c>
      <c r="AD194" s="556">
        <f>$F$1*(Flat!AA44-Savings_Flat!AA185)</f>
        <v>1.1257229547793313E-3</v>
      </c>
      <c r="AE194" s="556">
        <f>$F$1*(Flat!AB44-Savings_Flat!AB185)</f>
        <v>2.5998392359186735E-3</v>
      </c>
      <c r="AF194" s="556">
        <f>$F$1*(Flat!AC44-Savings_Flat!AC185)</f>
        <v>3.7941811506635686E-3</v>
      </c>
      <c r="AG194" s="556">
        <f>$F$1*(Flat!AD44-Savings_Flat!AD185)</f>
        <v>2.7701502859417589E-3</v>
      </c>
      <c r="AH194" s="556">
        <f>$F$1*(Flat!AE44-Savings_Flat!AE185)</f>
        <v>1.0854473549094341E-3</v>
      </c>
      <c r="AI194" s="556">
        <f>$F$1*(Flat!AF44-Savings_Flat!AF185)</f>
        <v>3.7665930766243401E-3</v>
      </c>
      <c r="AJ194" s="556">
        <f>$F$1*(Flat!AG44-Savings_Flat!AG185)</f>
        <v>5.2270096351289715E-3</v>
      </c>
      <c r="AK194" s="556">
        <f>$F$1*(Flat!AH44-Savings_Flat!AH185)</f>
        <v>1.1510629106848591E-3</v>
      </c>
      <c r="AL194" s="556">
        <f>$F$1*(Flat!AI44-Savings_Flat!AI185)</f>
        <v>7.3799065522435186E-3</v>
      </c>
      <c r="AM194" s="556">
        <f>$F$1*(Flat!AJ44-Savings_Flat!AJ185)</f>
        <v>5.8998366181915269E-3</v>
      </c>
      <c r="AN194" s="556">
        <f>$F$1*(Flat!AK44-Savings_Flat!AK185)</f>
        <v>5.6852637084295202E-3</v>
      </c>
      <c r="AO194" s="556">
        <f>$F$1*(Flat!AL44-Savings_Flat!AL185)</f>
        <v>5.4456240132804944E-3</v>
      </c>
      <c r="AP194" s="556">
        <f>$F$1*(Flat!AM44-Savings_Flat!AM185)</f>
        <v>5.4253459935252029E-3</v>
      </c>
      <c r="AQ194" s="556">
        <f>$F$1*(Flat!AN44-Savings_Flat!AN185)</f>
        <v>5.4253459935252029E-3</v>
      </c>
      <c r="AT194" s="5" t="s">
        <v>427</v>
      </c>
    </row>
    <row r="195" spans="1:46">
      <c r="A195" s="5" t="str">
        <f t="shared" si="7"/>
        <v>OUTPUT</v>
      </c>
      <c r="B195" s="5" t="s">
        <v>615</v>
      </c>
      <c r="C195" s="5" t="str">
        <f t="shared" si="6"/>
        <v>Bldg_FLTPre99-Wal</v>
      </c>
      <c r="D195" s="5" t="s">
        <v>302</v>
      </c>
      <c r="E195" s="5" t="s">
        <v>428</v>
      </c>
      <c r="F195" s="5" t="s">
        <v>606</v>
      </c>
      <c r="G195" s="556">
        <f>$F$1*(Flat!D45-Savings_Flat!D186)</f>
        <v>2.3106115189823434E-3</v>
      </c>
      <c r="H195" s="556">
        <f>$F$1*(Flat!E45-Savings_Flat!E186)</f>
        <v>8.5682458582575609E-3</v>
      </c>
      <c r="I195" s="556">
        <f>$F$1*(Flat!F45-Savings_Flat!F186)</f>
        <v>2.7379046978994515E-3</v>
      </c>
      <c r="J195" s="556">
        <f>$F$1*(Flat!G45-Savings_Flat!G186)</f>
        <v>2.2511329907936523E-3</v>
      </c>
      <c r="K195" s="556">
        <f>$F$1*(Flat!H45-Savings_Flat!H186)</f>
        <v>1.9636266870417893E-3</v>
      </c>
      <c r="L195" s="556">
        <f>$F$1*(Flat!I45-Savings_Flat!I186)</f>
        <v>1.7323657690413291E-3</v>
      </c>
      <c r="M195" s="556">
        <f>$F$1*(Flat!J45-Savings_Flat!J186)</f>
        <v>7.6770028397427287E-4</v>
      </c>
      <c r="N195" s="556">
        <f>$F$1*(Flat!K45-Savings_Flat!K186)</f>
        <v>1.0589184706178627E-3</v>
      </c>
      <c r="O195" s="556">
        <f>$F$1*(Flat!L45-Savings_Flat!L186)</f>
        <v>6.3853519408213174E-4</v>
      </c>
      <c r="P195" s="556">
        <f>$F$1*(Flat!M45-Savings_Flat!M186)</f>
        <v>8.0907397474544347E-3</v>
      </c>
      <c r="Q195" s="556">
        <f>$F$1*(Flat!N45-Savings_Flat!N186)</f>
        <v>7.4696619734245797E-4</v>
      </c>
      <c r="R195" s="556">
        <f>$F$1*(Flat!O45-Savings_Flat!O186)</f>
        <v>1.0741613889612275E-3</v>
      </c>
      <c r="S195" s="556">
        <f>$F$1*(Flat!P45-Savings_Flat!P186)</f>
        <v>9.2758689906423906E-3</v>
      </c>
      <c r="T195" s="556">
        <f>$F$1*(Flat!Q45-Savings_Flat!Q186)</f>
        <v>3.2061831553996585E-3</v>
      </c>
      <c r="U195" s="556">
        <f>$F$1*(Flat!R45-Savings_Flat!R186)</f>
        <v>2.8321077333434961E-3</v>
      </c>
      <c r="V195" s="556">
        <f>$F$1*(Flat!S45-Savings_Flat!S186)</f>
        <v>1.5986395408122734E-3</v>
      </c>
      <c r="W195" s="556">
        <f>$F$1*(Flat!T45-Savings_Flat!T186)</f>
        <v>1.0943000379303072E-3</v>
      </c>
      <c r="X195" s="556">
        <f>$F$1*(Flat!U45-Savings_Flat!U186)</f>
        <v>2.9600056626390859E-3</v>
      </c>
      <c r="Y195" s="556">
        <f>$F$1*(Flat!V45-Savings_Flat!V186)</f>
        <v>2.4127817775492699E-3</v>
      </c>
      <c r="Z195" s="556">
        <f>$F$1*(Flat!W45-Savings_Flat!W186)</f>
        <v>2.1505721245230263E-3</v>
      </c>
      <c r="AA195" s="556">
        <f>$F$1*(Flat!X45-Savings_Flat!X186)</f>
        <v>2.2521899613006219E-3</v>
      </c>
      <c r="AB195" s="556">
        <f>$F$1*(Flat!Y45-Savings_Flat!Y186)</f>
        <v>2.069551866216953E-3</v>
      </c>
      <c r="AC195" s="556">
        <f>$F$1*(Flat!Z45-Savings_Flat!Z186)</f>
        <v>1.9388201183199426E-3</v>
      </c>
      <c r="AD195" s="556">
        <f>$F$1*(Flat!AA45-Savings_Flat!AA186)</f>
        <v>6.3627620995797187E-4</v>
      </c>
      <c r="AE195" s="556">
        <f>$F$1*(Flat!AB45-Savings_Flat!AB186)</f>
        <v>2.5998392359186735E-3</v>
      </c>
      <c r="AF195" s="556">
        <f>$F$1*(Flat!AC45-Savings_Flat!AC186)</f>
        <v>3.1057948154791224E-3</v>
      </c>
      <c r="AG195" s="556">
        <f>$F$1*(Flat!AD45-Savings_Flat!AD186)</f>
        <v>2.7701502859417589E-3</v>
      </c>
      <c r="AH195" s="556">
        <f>$F$1*(Flat!AE45-Savings_Flat!AE186)</f>
        <v>6.1351181137286892E-4</v>
      </c>
      <c r="AI195" s="556">
        <f>$F$1*(Flat!AF45-Savings_Flat!AF186)</f>
        <v>2.1290884794471113E-3</v>
      </c>
      <c r="AJ195" s="556">
        <f>$F$1*(Flat!AG45-Savings_Flat!AG186)</f>
        <v>5.2852666870675585E-3</v>
      </c>
      <c r="AK195" s="556">
        <f>$F$1*(Flat!AH45-Savings_Flat!AH186)</f>
        <v>7.3965393125519183E-4</v>
      </c>
      <c r="AL195" s="556">
        <f>$F$1*(Flat!AI45-Savings_Flat!AI186)</f>
        <v>7.3799065522435186E-3</v>
      </c>
      <c r="AM195" s="556">
        <f>$F$1*(Flat!AJ45-Savings_Flat!AJ186)</f>
        <v>5.2571295170544116E-3</v>
      </c>
      <c r="AN195" s="556">
        <f>$F$1*(Flat!AK45-Savings_Flat!AK186)</f>
        <v>5.0677444104132293E-3</v>
      </c>
      <c r="AO195" s="556">
        <f>$F$1*(Flat!AL45-Savings_Flat!AL186)</f>
        <v>3.9548158015218458E-3</v>
      </c>
      <c r="AP195" s="556">
        <f>$F$1*(Flat!AM45-Savings_Flat!AM186)</f>
        <v>4.834328204081177E-3</v>
      </c>
      <c r="AQ195" s="556">
        <f>$F$1*(Flat!AN45-Savings_Flat!AN186)</f>
        <v>4.834328204081177E-3</v>
      </c>
      <c r="AT195" s="5" t="s">
        <v>428</v>
      </c>
    </row>
    <row r="196" spans="1:46">
      <c r="A196" s="5" t="str">
        <f t="shared" si="7"/>
        <v>OUTPUT</v>
      </c>
      <c r="B196" s="5" t="s">
        <v>615</v>
      </c>
      <c r="C196" s="5" t="str">
        <f t="shared" si="6"/>
        <v>Bldg_FLTPre09-Wal</v>
      </c>
      <c r="D196" s="5" t="s">
        <v>302</v>
      </c>
      <c r="E196" s="5" t="s">
        <v>429</v>
      </c>
      <c r="F196" s="5" t="s">
        <v>606</v>
      </c>
      <c r="G196" s="556">
        <f>$F$1*(Flat!D46-Savings_Flat!D187)</f>
        <v>1.9821123201916643E-3</v>
      </c>
      <c r="H196" s="556">
        <f>$F$1*(Flat!E46-Savings_Flat!E187)</f>
        <v>3.5434004073797601E-3</v>
      </c>
      <c r="I196" s="556">
        <f>$F$1*(Flat!F46-Savings_Flat!F187)</f>
        <v>8.4816918204326367E-4</v>
      </c>
      <c r="J196" s="556">
        <f>$F$1*(Flat!G46-Savings_Flat!G187)</f>
        <v>1.931089843007101E-3</v>
      </c>
      <c r="K196" s="556">
        <f>$F$1*(Flat!H46-Savings_Flat!H187)</f>
        <v>2.0000081320629389E-3</v>
      </c>
      <c r="L196" s="556">
        <f>$F$1*(Flat!I46-Savings_Flat!I187)</f>
        <v>1.363936603974265E-3</v>
      </c>
      <c r="M196" s="556">
        <f>$F$1*(Flat!J46-Savings_Flat!J187)</f>
        <v>1.1099037995679335E-3</v>
      </c>
      <c r="N196" s="556">
        <f>$F$1*(Flat!K46-Savings_Flat!K187)</f>
        <v>6.1353375362801176E-4</v>
      </c>
      <c r="O196" s="556">
        <f>$F$1*(Flat!L46-Savings_Flat!L187)</f>
        <v>6.3853519408213174E-4</v>
      </c>
      <c r="P196" s="556">
        <f>$F$1*(Flat!M46-Savings_Flat!M187)</f>
        <v>3.2400957075740143E-3</v>
      </c>
      <c r="Q196" s="556">
        <f>$F$1*(Flat!N46-Savings_Flat!N187)</f>
        <v>6.7004696819215686E-4</v>
      </c>
      <c r="R196" s="556">
        <f>$F$1*(Flat!O46-Savings_Flat!O187)</f>
        <v>1.0115380420044229E-3</v>
      </c>
      <c r="S196" s="556">
        <f>$F$1*(Flat!P46-Savings_Flat!P187)</f>
        <v>1.7333441022848505E-3</v>
      </c>
      <c r="T196" s="556">
        <f>$F$1*(Flat!Q46-Savings_Flat!Q187)</f>
        <v>8.3577656335952753E-4</v>
      </c>
      <c r="U196" s="556">
        <f>$F$1*(Flat!R46-Savings_Flat!R187)</f>
        <v>1.2455218963893574E-3</v>
      </c>
      <c r="V196" s="556">
        <f>$F$1*(Flat!S46-Savings_Flat!S187)</f>
        <v>4.1933163660062719E-4</v>
      </c>
      <c r="W196" s="556">
        <f>$F$1*(Flat!T46-Savings_Flat!T187)</f>
        <v>9.7988731286680194E-4</v>
      </c>
      <c r="X196" s="556">
        <f>$F$1*(Flat!U46-Savings_Flat!U187)</f>
        <v>2.994809605674542E-3</v>
      </c>
      <c r="Y196" s="556">
        <f>$F$1*(Flat!V46-Savings_Flat!V187)</f>
        <v>4.0023691823675936E-4</v>
      </c>
      <c r="Z196" s="556">
        <f>$F$1*(Flat!W46-Savings_Flat!W187)</f>
        <v>1.3330516132205675E-3</v>
      </c>
      <c r="AA196" s="556">
        <f>$F$1*(Flat!X46-Savings_Flat!X187)</f>
        <v>4.188416526938131E-4</v>
      </c>
      <c r="AB196" s="556">
        <f>$F$1*(Flat!Y46-Savings_Flat!Y187)</f>
        <v>1.7907614373503431E-3</v>
      </c>
      <c r="AC196" s="556">
        <f>$F$1*(Flat!Z46-Savings_Flat!Z187)</f>
        <v>1.3507639854627015E-3</v>
      </c>
      <c r="AD196" s="556">
        <f>$F$1*(Flat!AA46-Savings_Flat!AA187)</f>
        <v>6.5470266387951078E-4</v>
      </c>
      <c r="AE196" s="556">
        <f>$F$1*(Flat!AB46-Savings_Flat!AB187)</f>
        <v>1.1399259289103997E-3</v>
      </c>
      <c r="AF196" s="556">
        <f>$F$1*(Flat!AC46-Savings_Flat!AC187)</f>
        <v>1.7407401608301352E-3</v>
      </c>
      <c r="AG196" s="556">
        <f>$F$1*(Flat!AD46-Savings_Flat!AD187)</f>
        <v>1.7185584865866423E-3</v>
      </c>
      <c r="AH196" s="556">
        <f>$F$1*(Flat!AE46-Savings_Flat!AE187)</f>
        <v>6.312790120722733E-4</v>
      </c>
      <c r="AI196" s="556">
        <f>$F$1*(Flat!AF46-Savings_Flat!AF187)</f>
        <v>6.5498724287044857E-4</v>
      </c>
      <c r="AJ196" s="556">
        <f>$F$1*(Flat!AG46-Savings_Flat!AG187)</f>
        <v>1.7503096471069934E-3</v>
      </c>
      <c r="AK196" s="556">
        <f>$F$1*(Flat!AH46-Savings_Flat!AH187)</f>
        <v>4.620831464279858E-4</v>
      </c>
      <c r="AL196" s="556">
        <f>$F$1*(Flat!AI46-Savings_Flat!AI187)</f>
        <v>1.3669142757535484E-3</v>
      </c>
      <c r="AM196" s="556">
        <f>$F$1*(Flat!AJ46-Savings_Flat!AJ187)</f>
        <v>4.0323217652372349E-3</v>
      </c>
      <c r="AN196" s="556">
        <f>$F$1*(Flat!AK46-Savings_Flat!AK187)</f>
        <v>3.8863999513470116E-3</v>
      </c>
      <c r="AO196" s="556">
        <f>$F$1*(Flat!AL46-Savings_Flat!AL187)</f>
        <v>1.2333265066706155E-3</v>
      </c>
      <c r="AP196" s="556">
        <f>$F$1*(Flat!AM46-Savings_Flat!AM187)</f>
        <v>3.7080248402438236E-3</v>
      </c>
      <c r="AQ196" s="556">
        <f>$F$1*(Flat!AN46-Savings_Flat!AN187)</f>
        <v>3.7080248402438236E-3</v>
      </c>
      <c r="AT196" s="5" t="s">
        <v>429</v>
      </c>
    </row>
    <row r="197" spans="1:46">
      <c r="A197" s="5" t="str">
        <f t="shared" si="7"/>
        <v>\I:</v>
      </c>
      <c r="C197" s="5" t="str">
        <f t="shared" si="6"/>
        <v/>
      </c>
      <c r="E197" s="5" t="s">
        <v>623</v>
      </c>
      <c r="G197" s="493"/>
      <c r="H197" s="493"/>
      <c r="I197" s="493"/>
      <c r="J197" s="493"/>
      <c r="K197" s="493"/>
      <c r="L197" s="493"/>
      <c r="M197" s="493"/>
      <c r="N197" s="493"/>
      <c r="O197" s="493"/>
      <c r="P197" s="493"/>
      <c r="Q197" s="493"/>
      <c r="R197" s="493"/>
      <c r="S197" s="493"/>
      <c r="T197" s="493"/>
      <c r="U197" s="493"/>
      <c r="V197" s="493"/>
      <c r="W197" s="493"/>
      <c r="X197" s="493"/>
      <c r="Y197" s="493"/>
      <c r="Z197" s="493"/>
      <c r="AA197" s="493"/>
      <c r="AB197" s="493"/>
      <c r="AC197" s="493"/>
      <c r="AD197" s="493"/>
      <c r="AE197" s="493"/>
      <c r="AF197" s="493"/>
      <c r="AG197" s="493"/>
      <c r="AH197" s="493"/>
      <c r="AI197" s="493"/>
      <c r="AJ197" s="493"/>
      <c r="AK197" s="493"/>
      <c r="AL197" s="493"/>
      <c r="AM197" s="493"/>
      <c r="AN197" s="493"/>
      <c r="AO197" s="493"/>
      <c r="AP197" s="493"/>
      <c r="AQ197" s="493"/>
    </row>
    <row r="198" spans="1:46">
      <c r="A198" s="135" t="str">
        <f t="shared" si="7"/>
        <v>\I:</v>
      </c>
      <c r="C198" s="5" t="str">
        <f t="shared" si="6"/>
        <v/>
      </c>
      <c r="E198" s="5" t="s">
        <v>623</v>
      </c>
      <c r="F198" s="135" t="s">
        <v>393</v>
      </c>
      <c r="G198" s="492">
        <f>'Energy Efficiency Measures-DBT'!D36*Flat!D13/Flat!D5</f>
        <v>55.756785094759174</v>
      </c>
      <c r="H198" s="492">
        <f>'Energy Efficiency Measures-DBT'!E36*Flat!E13/Flat!E5</f>
        <v>59.139268999705415</v>
      </c>
      <c r="I198" s="492">
        <f>'Energy Efficiency Measures-DBT'!F36*Flat!F13/Flat!F5</f>
        <v>17.357197741683436</v>
      </c>
      <c r="J198" s="492">
        <f>'Energy Efficiency Measures-DBT'!G36*Flat!G13/Flat!G5</f>
        <v>55.756785094759174</v>
      </c>
      <c r="K198" s="492">
        <f>'Energy Efficiency Measures-DBT'!H36*Flat!H13/Flat!H5</f>
        <v>55.275480067557737</v>
      </c>
      <c r="L198" s="492">
        <f>'Energy Efficiency Measures-DBT'!I36*Flat!I13/Flat!I5</f>
        <v>42.688707653572479</v>
      </c>
      <c r="M198" s="492">
        <f>'Energy Efficiency Measures-DBT'!J36*Flat!J13/Flat!J5</f>
        <v>63.268980535434231</v>
      </c>
      <c r="N198" s="492">
        <f>'Energy Efficiency Measures-DBT'!K36*Flat!K13/Flat!K5</f>
        <v>35.467686189243452</v>
      </c>
      <c r="O198" s="492">
        <f>'Energy Efficiency Measures-DBT'!L36*Flat!L13/Flat!L5</f>
        <v>28.413447214073287</v>
      </c>
      <c r="P198" s="492">
        <f>'Energy Efficiency Measures-DBT'!M36*Flat!M13/Flat!M5</f>
        <v>68.76099337495404</v>
      </c>
      <c r="Q198" s="492">
        <f>'Energy Efficiency Measures-DBT'!N36*Flat!N13/Flat!N5</f>
        <v>30.8519882144329</v>
      </c>
      <c r="R198" s="492">
        <f>'Energy Efficiency Measures-DBT'!O36*Flat!O13/Flat!O5</f>
        <v>52.970859670463021</v>
      </c>
      <c r="S198" s="492">
        <f>'Energy Efficiency Measures-DBT'!P36*Flat!P13/Flat!P5</f>
        <v>69.250023948111846</v>
      </c>
      <c r="T198" s="492">
        <f>'Energy Efficiency Measures-DBT'!Q36*Flat!Q13/Flat!Q5</f>
        <v>25.151522940084455</v>
      </c>
      <c r="U198" s="492">
        <f>'Energy Efficiency Measures-DBT'!R36*Flat!R13/Flat!R5</f>
        <v>28.68346893505683</v>
      </c>
      <c r="V198" s="492">
        <f>'Energy Efficiency Measures-DBT'!S36*Flat!S13/Flat!S5</f>
        <v>30.499903249267966</v>
      </c>
      <c r="W198" s="492">
        <f>'Energy Efficiency Measures-DBT'!T36*Flat!T13/Flat!T5</f>
        <v>51.660797830996167</v>
      </c>
      <c r="X198" s="492">
        <f>'Energy Efficiency Measures-DBT'!U36*Flat!U13/Flat!U5</f>
        <v>50.202097381446109</v>
      </c>
      <c r="Y198" s="492">
        <f>'Energy Efficiency Measures-DBT'!V36*Flat!V13/Flat!V5</f>
        <v>27.518834292889199</v>
      </c>
      <c r="Z198" s="492">
        <f>'Energy Efficiency Measures-DBT'!W36*Flat!W13/Flat!W5</f>
        <v>42.900083790029925</v>
      </c>
      <c r="AA198" s="492">
        <f>'Energy Efficiency Measures-DBT'!X36*Flat!X13/Flat!X5</f>
        <v>27.532815987943131</v>
      </c>
      <c r="AB198" s="492">
        <f>'Energy Efficiency Measures-DBT'!Y36*Flat!Y13/Flat!Y5</f>
        <v>51.685647981241836</v>
      </c>
      <c r="AC198" s="492">
        <f>'Energy Efficiency Measures-DBT'!Z36*Flat!Z13/Flat!Z5</f>
        <v>58.254933552203603</v>
      </c>
      <c r="AD198" s="492">
        <f>'Energy Efficiency Measures-DBT'!AA36*Flat!AA13/Flat!AA5</f>
        <v>47.880201127688991</v>
      </c>
      <c r="AE198" s="492">
        <f>'Energy Efficiency Measures-DBT'!AB36*Flat!AB13/Flat!AB5</f>
        <v>21.706047631776077</v>
      </c>
      <c r="AF198" s="492">
        <f>'Energy Efficiency Measures-DBT'!AC36*Flat!AC13/Flat!AC5</f>
        <v>52.309441516627849</v>
      </c>
      <c r="AG198" s="492">
        <f>'Energy Efficiency Measures-DBT'!AD36*Flat!AD13/Flat!AD5</f>
        <v>13.691287698013973</v>
      </c>
      <c r="AH198" s="492">
        <f>'Energy Efficiency Measures-DBT'!AE36*Flat!AE13/Flat!AE5</f>
        <v>47.880201127688991</v>
      </c>
      <c r="AI198" s="492">
        <f>'Energy Efficiency Measures-DBT'!AF36*Flat!AF13/Flat!AF5</f>
        <v>27.519034056679281</v>
      </c>
      <c r="AJ198" s="492">
        <f>'Energy Efficiency Measures-DBT'!AG36*Flat!AG13/Flat!AG5</f>
        <v>42.608904265116678</v>
      </c>
      <c r="AK198" s="492">
        <f>'Energy Efficiency Measures-DBT'!AH36*Flat!AH13/Flat!AH5</f>
        <v>42.957330555277686</v>
      </c>
      <c r="AL198" s="492">
        <f>'Energy Efficiency Measures-DBT'!AI36*Flat!AI13/Flat!AI5</f>
        <v>23.689491457524745</v>
      </c>
      <c r="AM198" s="492">
        <f>'Energy Efficiency Measures-DBT'!AJ36*Flat!AJ13/Flat!AJ5</f>
        <v>25.151522940084455</v>
      </c>
      <c r="AN198" s="492">
        <f>'Energy Efficiency Measures-DBT'!AK36*Flat!AK13/Flat!AK5</f>
        <v>23.689491457524745</v>
      </c>
      <c r="AO198" s="492">
        <f>'Energy Efficiency Measures-DBT'!AL36*Flat!AL13/Flat!AL5</f>
        <v>25.151522940084455</v>
      </c>
      <c r="AP198" s="492">
        <f>'Energy Efficiency Measures-DBT'!AM36*Flat!AM13/Flat!AM5</f>
        <v>25.151522940084455</v>
      </c>
      <c r="AQ198" s="492">
        <f>'Energy Efficiency Measures-DBT'!AN36*Flat!AN13/Flat!AN5</f>
        <v>25.151522940084455</v>
      </c>
    </row>
    <row r="199" spans="1:46">
      <c r="A199" s="135" t="str">
        <f t="shared" si="7"/>
        <v>\I:</v>
      </c>
      <c r="C199" s="5" t="str">
        <f t="shared" si="6"/>
        <v/>
      </c>
      <c r="E199" s="5" t="s">
        <v>387</v>
      </c>
      <c r="F199" s="135" t="s">
        <v>625</v>
      </c>
      <c r="G199" s="214">
        <f>G198*Flat!D5</f>
        <v>79806.537631393949</v>
      </c>
      <c r="H199" s="214">
        <f>H198*Flat!E5</f>
        <v>86625.377375712531</v>
      </c>
      <c r="I199" s="214">
        <f>I198*Flat!F5</f>
        <v>44767.872567373437</v>
      </c>
      <c r="J199" s="214">
        <f>J198*Flat!G5</f>
        <v>79806.537631393949</v>
      </c>
      <c r="K199" s="214">
        <f>K198*Flat!H5</f>
        <v>80702.200898634299</v>
      </c>
      <c r="L199" s="214">
        <f>L198*Flat!I5</f>
        <v>52069.55713686411</v>
      </c>
      <c r="M199" s="214">
        <f>M198*Flat!J5</f>
        <v>79349.913064849927</v>
      </c>
      <c r="N199" s="214">
        <f>N198*Flat!K5</f>
        <v>83419.997917100598</v>
      </c>
      <c r="O199" s="214">
        <f>O198*Flat!L5</f>
        <v>27162.704884047056</v>
      </c>
      <c r="P199" s="214">
        <f>P198*Flat!M5</f>
        <v>59388.603872903448</v>
      </c>
      <c r="Q199" s="214">
        <f>Q198*Flat!N5</f>
        <v>86385.56700041212</v>
      </c>
      <c r="R199" s="214">
        <f>R198*Flat!O5</f>
        <v>69841.117584111067</v>
      </c>
      <c r="S199" s="214">
        <f>S198*Flat!P5</f>
        <v>50552.51748212165</v>
      </c>
      <c r="T199" s="214">
        <f>T198*Flat!Q5</f>
        <v>31998.936527161699</v>
      </c>
      <c r="U199" s="214">
        <f>U198*Flat!R5</f>
        <v>26810.161331287702</v>
      </c>
      <c r="V199" s="214">
        <f>V198*Flat!S5</f>
        <v>162369.32397767913</v>
      </c>
      <c r="W199" s="214">
        <f>W198*Flat!T5</f>
        <v>57860.093570715704</v>
      </c>
      <c r="X199" s="214">
        <f>X198*Flat!U5</f>
        <v>91167.008844706128</v>
      </c>
      <c r="Y199" s="214">
        <f>Y198*Flat!V5</f>
        <v>28378.387283534335</v>
      </c>
      <c r="Z199" s="214">
        <f>Z198*Flat!W5</f>
        <v>73616.633873867322</v>
      </c>
      <c r="AA199" s="214">
        <f>AA198*Flat!X5</f>
        <v>28358.800467581426</v>
      </c>
      <c r="AB199" s="214">
        <f>AB198*Flat!Y5</f>
        <v>87898.113908117244</v>
      </c>
      <c r="AC199" s="214">
        <f>AC198*Flat!Z5</f>
        <v>88314.479265140661</v>
      </c>
      <c r="AD199" s="214">
        <f>AD198*Flat!AA5</f>
        <v>63967.948706592491</v>
      </c>
      <c r="AE199" s="214">
        <f>AE198*Flat!AB5</f>
        <v>34173.828828389582</v>
      </c>
      <c r="AF199" s="214">
        <f>AF198*Flat!AC5</f>
        <v>101124.78391491313</v>
      </c>
      <c r="AG199" s="214">
        <f>AG198*Flat!AD5</f>
        <v>52520.156393819052</v>
      </c>
      <c r="AH199" s="214">
        <f>AH198*Flat!AE5</f>
        <v>63967.948706592491</v>
      </c>
      <c r="AI199" s="214">
        <f>AI198*Flat!AF5</f>
        <v>28378.107300820942</v>
      </c>
      <c r="AJ199" s="214">
        <f>AJ198*Flat!AG5</f>
        <v>52198.371371612542</v>
      </c>
      <c r="AK199" s="214">
        <f>AK198*Flat!AH5</f>
        <v>166365.14977447942</v>
      </c>
      <c r="AL199" s="214">
        <f>AL198*Flat!AI5</f>
        <v>34586.657527986128</v>
      </c>
      <c r="AM199" s="214">
        <f>AM198*Flat!AJ5</f>
        <v>31998.936527161699</v>
      </c>
      <c r="AN199" s="214">
        <f>AN198*Flat!AK5</f>
        <v>34586.657527986128</v>
      </c>
      <c r="AO199" s="214">
        <f>AO198*Flat!AL5</f>
        <v>31998.936527161699</v>
      </c>
      <c r="AP199" s="214">
        <f>AP198*Flat!AM5</f>
        <v>31998.936527161699</v>
      </c>
      <c r="AQ199" s="214">
        <f>AQ198*Flat!AN5</f>
        <v>31998.936527161699</v>
      </c>
    </row>
    <row r="200" spans="1:46">
      <c r="A200" s="5" t="str">
        <f t="shared" si="7"/>
        <v>OUTPUT</v>
      </c>
      <c r="B200" s="5" t="s">
        <v>615</v>
      </c>
      <c r="C200" s="5" t="str">
        <f t="shared" ref="C200:C205" si="8">IF(B200&lt;&gt;"","Bldg_"&amp;LEFT(E200,8)&amp;"-"&amp;LEFT(D200,3),"")</f>
        <v>Bldg_FLTPre45-Wal</v>
      </c>
      <c r="D200" s="5" t="s">
        <v>302</v>
      </c>
      <c r="E200" s="5" t="s">
        <v>387</v>
      </c>
      <c r="F200" s="5" t="s">
        <v>606</v>
      </c>
      <c r="G200" s="556">
        <f>$F$1*(Flat!D41-Savings_Flat!D215)</f>
        <v>1.3109384512450143E-2</v>
      </c>
      <c r="H200" s="556">
        <f>$F$1*(Flat!E41-Savings_Flat!E215)</f>
        <v>1.2539516852654737E-2</v>
      </c>
      <c r="I200" s="556">
        <f>$F$1*(Flat!F41-Savings_Flat!F215)</f>
        <v>6.6095096066074929E-3</v>
      </c>
      <c r="J200" s="556">
        <f>$F$1*(Flat!G41-Savings_Flat!G215)</f>
        <v>1.2771929734849306E-2</v>
      </c>
      <c r="K200" s="556">
        <f>$F$1*(Flat!H41-Savings_Flat!H215)</f>
        <v>3.8166929395451825E-3</v>
      </c>
      <c r="L200" s="556">
        <f>$F$1*(Flat!I41-Savings_Flat!I215)</f>
        <v>5.6700841150664821E-3</v>
      </c>
      <c r="M200" s="556">
        <f>$F$1*(Flat!J41-Savings_Flat!J215)</f>
        <v>1.2351229722102321E-2</v>
      </c>
      <c r="N200" s="556">
        <f>$F$1*(Flat!K41-Savings_Flat!K215)</f>
        <v>5.2975598192405229E-3</v>
      </c>
      <c r="O200" s="556">
        <f>$F$1*(Flat!L41-Savings_Flat!L215)</f>
        <v>3.0342561965801744E-3</v>
      </c>
      <c r="P200" s="556">
        <f>$F$1*(Flat!M41-Savings_Flat!M215)</f>
        <v>1.5282755896991016E-2</v>
      </c>
      <c r="Q200" s="556">
        <f>$F$1*(Flat!N41-Savings_Flat!N215)</f>
        <v>3.4651062159658011E-3</v>
      </c>
      <c r="R200" s="556">
        <f>$F$1*(Flat!O41-Savings_Flat!O215)</f>
        <v>1.3972854586876159E-2</v>
      </c>
      <c r="S200" s="556">
        <f>$F$1*(Flat!P41-Savings_Flat!P215)</f>
        <v>1.0739235708524789E-2</v>
      </c>
      <c r="T200" s="556">
        <f>$F$1*(Flat!Q41-Savings_Flat!Q215)</f>
        <v>6.9542388659733527E-3</v>
      </c>
      <c r="U200" s="556">
        <f>$F$1*(Flat!R41-Savings_Flat!R215)</f>
        <v>8.6225797260198068E-3</v>
      </c>
      <c r="V200" s="556">
        <f>$F$1*(Flat!S41-Savings_Flat!S215)</f>
        <v>5.2460832083031763E-3</v>
      </c>
      <c r="W200" s="556">
        <f>$F$1*(Flat!T41-Savings_Flat!T215)</f>
        <v>5.0613682688099119E-3</v>
      </c>
      <c r="X200" s="556">
        <f>$F$1*(Flat!U41-Savings_Flat!U215)</f>
        <v>9.2796168301525934E-3</v>
      </c>
      <c r="Y200" s="556">
        <f>$F$1*(Flat!V41-Savings_Flat!V215)</f>
        <v>7.3900718539648205E-3</v>
      </c>
      <c r="Z200" s="556">
        <f>$F$1*(Flat!W41-Savings_Flat!W215)</f>
        <v>7.4529040187600844E-3</v>
      </c>
      <c r="AA200" s="556">
        <f>$F$1*(Flat!X41-Savings_Flat!X215)</f>
        <v>7.6644470290444288E-3</v>
      </c>
      <c r="AB200" s="556">
        <f>$F$1*(Flat!Y41-Savings_Flat!Y215)</f>
        <v>4.051577542167571E-3</v>
      </c>
      <c r="AC200" s="556">
        <f>$F$1*(Flat!Z41-Savings_Flat!Z215)</f>
        <v>1.2720292259798349E-2</v>
      </c>
      <c r="AD200" s="556">
        <f>$F$1*(Flat!AA41-Savings_Flat!AA215)</f>
        <v>4.7282201682019393E-3</v>
      </c>
      <c r="AE200" s="556">
        <f>$F$1*(Flat!AB41-Savings_Flat!AB215)</f>
        <v>9.745303649843811E-3</v>
      </c>
      <c r="AF200" s="556">
        <f>$F$1*(Flat!AC41-Savings_Flat!AC215)</f>
        <v>6.9994008712953113E-3</v>
      </c>
      <c r="AG200" s="556">
        <f>$F$1*(Flat!AD41-Savings_Flat!AD215)</f>
        <v>5.2494042400147061E-3</v>
      </c>
      <c r="AH200" s="556">
        <f>$F$1*(Flat!AE41-Savings_Flat!AE215)</f>
        <v>4.559056074334285E-3</v>
      </c>
      <c r="AI200" s="556">
        <f>$F$1*(Flat!AF41-Savings_Flat!AF215)</f>
        <v>8.2064060776675385E-3</v>
      </c>
      <c r="AJ200" s="556">
        <f>$F$1*(Flat!AG41-Savings_Flat!AG215)</f>
        <v>1.0662953678437689E-2</v>
      </c>
      <c r="AK200" s="556">
        <f>$F$1*(Flat!AH41-Savings_Flat!AH215)</f>
        <v>6.0520320891601252E-3</v>
      </c>
      <c r="AL200" s="556">
        <f>$F$1*(Flat!AI41-Savings_Flat!AI215)</f>
        <v>8.5465132813992602E-3</v>
      </c>
      <c r="AM200" s="556">
        <f>$F$1*(Flat!AJ41-Savings_Flat!AJ215)</f>
        <v>9.2199333988268514E-3</v>
      </c>
      <c r="AN200" s="556">
        <f>$F$1*(Flat!AK41-Savings_Flat!AK215)</f>
        <v>8.8796721597973333E-3</v>
      </c>
      <c r="AO200" s="556">
        <f>$F$1*(Flat!AL41-Savings_Flat!AL215)</f>
        <v>9.5625278369357927E-3</v>
      </c>
      <c r="AP200" s="556">
        <f>$F$1*(Flat!AM41-Savings_Flat!AM215)</f>
        <v>8.4784260926241452E-3</v>
      </c>
      <c r="AQ200" s="556">
        <f>$F$1*(Flat!AN41-Savings_Flat!AN215)</f>
        <v>8.4784260926241452E-3</v>
      </c>
      <c r="AT200" s="5" t="s">
        <v>387</v>
      </c>
    </row>
    <row r="201" spans="1:46">
      <c r="A201" s="5" t="str">
        <f t="shared" si="7"/>
        <v>OUTPUT</v>
      </c>
      <c r="B201" s="5" t="s">
        <v>615</v>
      </c>
      <c r="C201" s="5" t="str">
        <f t="shared" si="8"/>
        <v>Bldg_FLTPre69-Wal</v>
      </c>
      <c r="D201" s="5" t="s">
        <v>302</v>
      </c>
      <c r="E201" s="5" t="s">
        <v>388</v>
      </c>
      <c r="F201" s="5" t="s">
        <v>606</v>
      </c>
      <c r="G201" s="556">
        <f>$F$1*(Flat!D42-Savings_Flat!D216)</f>
        <v>1.0447678117626077E-2</v>
      </c>
      <c r="H201" s="556">
        <f>$F$1*(Flat!E42-Savings_Flat!E216)</f>
        <v>1.2539516852654737E-2</v>
      </c>
      <c r="I201" s="556">
        <f>$F$1*(Flat!F42-Savings_Flat!F216)</f>
        <v>6.6095096066074929E-3</v>
      </c>
      <c r="J201" s="556">
        <f>$F$1*(Flat!G42-Savings_Flat!G216)</f>
        <v>1.0178739565073865E-2</v>
      </c>
      <c r="K201" s="556">
        <f>$F$1*(Flat!H42-Savings_Flat!H216)</f>
        <v>3.1023244372785815E-3</v>
      </c>
      <c r="L201" s="556">
        <f>$F$1*(Flat!I42-Savings_Flat!I216)</f>
        <v>5.420768460727159E-3</v>
      </c>
      <c r="M201" s="556">
        <f>$F$1*(Flat!J42-Savings_Flat!J216)</f>
        <v>8.7762733224136576E-3</v>
      </c>
      <c r="N201" s="556">
        <f>$F$1*(Flat!K42-Savings_Flat!K216)</f>
        <v>5.367029526699001E-3</v>
      </c>
      <c r="O201" s="556">
        <f>$F$1*(Flat!L42-Savings_Flat!L216)</f>
        <v>3.0342561965801744E-3</v>
      </c>
      <c r="P201" s="556">
        <f>$F$1*(Flat!M42-Savings_Flat!M216)</f>
        <v>1.2801869450468774E-2</v>
      </c>
      <c r="Q201" s="556">
        <f>$F$1*(Flat!N42-Savings_Flat!N216)</f>
        <v>3.1800264876813882E-3</v>
      </c>
      <c r="R201" s="556">
        <f>$F$1*(Flat!O42-Savings_Flat!O216)</f>
        <v>1.3972854586876159E-2</v>
      </c>
      <c r="S201" s="556">
        <f>$F$1*(Flat!P42-Savings_Flat!P216)</f>
        <v>1.0739235708524789E-2</v>
      </c>
      <c r="T201" s="556">
        <f>$F$1*(Flat!Q42-Savings_Flat!Q216)</f>
        <v>8.1087503978203215E-3</v>
      </c>
      <c r="U201" s="556">
        <f>$F$1*(Flat!R42-Savings_Flat!R216)</f>
        <v>8.6225797260198068E-3</v>
      </c>
      <c r="V201" s="556">
        <f>$F$1*(Flat!S42-Savings_Flat!S216)</f>
        <v>5.2334284926218834E-3</v>
      </c>
      <c r="W201" s="556">
        <f>$F$1*(Flat!T42-Savings_Flat!T216)</f>
        <v>4.6429047717828206E-3</v>
      </c>
      <c r="X201" s="556">
        <f>$F$1*(Flat!U42-Savings_Flat!U216)</f>
        <v>8.1280040446813587E-3</v>
      </c>
      <c r="Y201" s="556">
        <f>$F$1*(Flat!V42-Savings_Flat!V216)</f>
        <v>7.3900718539648205E-3</v>
      </c>
      <c r="Z201" s="556">
        <f>$F$1*(Flat!W42-Savings_Flat!W216)</f>
        <v>1.2935535204894488E-2</v>
      </c>
      <c r="AA201" s="556">
        <f>$F$1*(Flat!X42-Savings_Flat!X216)</f>
        <v>7.6922600767277277E-3</v>
      </c>
      <c r="AB201" s="556">
        <f>$F$1*(Flat!Y42-Savings_Flat!Y216)</f>
        <v>4.0524818780022761E-3</v>
      </c>
      <c r="AC201" s="556">
        <f>$F$1*(Flat!Z42-Savings_Flat!Z216)</f>
        <v>1.0705804437762242E-2</v>
      </c>
      <c r="AD201" s="556">
        <f>$F$1*(Flat!AA42-Savings_Flat!AA216)</f>
        <v>4.7330455452614982E-3</v>
      </c>
      <c r="AE201" s="556">
        <f>$F$1*(Flat!AB42-Savings_Flat!AB216)</f>
        <v>6.6499755010011779E-3</v>
      </c>
      <c r="AF201" s="556">
        <f>$F$1*(Flat!AC42-Savings_Flat!AC216)</f>
        <v>5.0450053548610476E-3</v>
      </c>
      <c r="AG201" s="556">
        <f>$F$1*(Flat!AD42-Savings_Flat!AD216)</f>
        <v>4.6715091509055753E-3</v>
      </c>
      <c r="AH201" s="556">
        <f>$F$1*(Flat!AE42-Savings_Flat!AE216)</f>
        <v>4.5637088112652517E-3</v>
      </c>
      <c r="AI201" s="556">
        <f>$F$1*(Flat!AF42-Savings_Flat!AF216)</f>
        <v>8.2064060776675385E-3</v>
      </c>
      <c r="AJ201" s="556">
        <f>$F$1*(Flat!AG42-Savings_Flat!AG216)</f>
        <v>8.2983777869383071E-3</v>
      </c>
      <c r="AK201" s="556">
        <f>$F$1*(Flat!AH42-Savings_Flat!AH216)</f>
        <v>6.6851355083021469E-3</v>
      </c>
      <c r="AL201" s="556">
        <f>$F$1*(Flat!AI42-Savings_Flat!AI216)</f>
        <v>8.5465132813992602E-3</v>
      </c>
      <c r="AM201" s="556">
        <f>$F$1*(Flat!AJ42-Savings_Flat!AJ216)</f>
        <v>9.2199333988268514E-3</v>
      </c>
      <c r="AN201" s="556">
        <f>$F$1*(Flat!AK42-Savings_Flat!AK216)</f>
        <v>8.8796721597973333E-3</v>
      </c>
      <c r="AO201" s="556">
        <f>$F$1*(Flat!AL42-Savings_Flat!AL216)</f>
        <v>9.5625278369357927E-3</v>
      </c>
      <c r="AP201" s="556">
        <f>$F$1*(Flat!AM42-Savings_Flat!AM216)</f>
        <v>8.4784260926241452E-3</v>
      </c>
      <c r="AQ201" s="556">
        <f>$F$1*(Flat!AN42-Savings_Flat!AN216)</f>
        <v>8.4784260926241452E-3</v>
      </c>
      <c r="AT201" s="5" t="s">
        <v>388</v>
      </c>
    </row>
    <row r="202" spans="1:46">
      <c r="A202" s="5" t="str">
        <f t="shared" si="7"/>
        <v>OUTPUT</v>
      </c>
      <c r="B202" s="5" t="s">
        <v>615</v>
      </c>
      <c r="C202" s="5" t="str">
        <f t="shared" si="8"/>
        <v>Bldg_FLTPre79-Wal</v>
      </c>
      <c r="D202" s="5" t="s">
        <v>302</v>
      </c>
      <c r="E202" s="5" t="s">
        <v>389</v>
      </c>
      <c r="F202" s="5" t="s">
        <v>606</v>
      </c>
      <c r="G202" s="556">
        <f>$F$1*(Flat!D43-Savings_Flat!D217)</f>
        <v>7.9626949585431296E-3</v>
      </c>
      <c r="H202" s="556">
        <f>$F$1*(Flat!E43-Savings_Flat!E217)</f>
        <v>1.2539516852654737E-2</v>
      </c>
      <c r="I202" s="556">
        <f>$F$1*(Flat!F43-Savings_Flat!F217)</f>
        <v>6.0726748190563498E-3</v>
      </c>
      <c r="J202" s="556">
        <f>$F$1*(Flat!G43-Savings_Flat!G217)</f>
        <v>7.7577235158497945E-3</v>
      </c>
      <c r="K202" s="556">
        <f>$F$1*(Flat!H43-Savings_Flat!H217)</f>
        <v>2.3280770354613691E-3</v>
      </c>
      <c r="L202" s="556">
        <f>$F$1*(Flat!I43-Savings_Flat!I217)</f>
        <v>5.420768460727159E-3</v>
      </c>
      <c r="M202" s="556">
        <f>$F$1*(Flat!J43-Savings_Flat!J217)</f>
        <v>4.5268359212969327E-3</v>
      </c>
      <c r="N202" s="556">
        <f>$F$1*(Flat!K43-Savings_Flat!K217)</f>
        <v>2.6332684377341829E-3</v>
      </c>
      <c r="O202" s="556">
        <f>$F$1*(Flat!L43-Savings_Flat!L217)</f>
        <v>1.8050933437655057E-3</v>
      </c>
      <c r="P202" s="556">
        <f>$F$1*(Flat!M43-Savings_Flat!M217)</f>
        <v>1.2801869450468774E-2</v>
      </c>
      <c r="Q202" s="556">
        <f>$F$1*(Flat!N43-Savings_Flat!N217)</f>
        <v>2.0362698172579322E-3</v>
      </c>
      <c r="R202" s="556">
        <f>$F$1*(Flat!O43-Savings_Flat!O217)</f>
        <v>5.177322671452802E-3</v>
      </c>
      <c r="S202" s="556">
        <f>$F$1*(Flat!P43-Savings_Flat!P217)</f>
        <v>1.0739235708524789E-2</v>
      </c>
      <c r="T202" s="556">
        <f>$F$1*(Flat!Q43-Savings_Flat!Q217)</f>
        <v>7.0839433006908686E-3</v>
      </c>
      <c r="U202" s="556">
        <f>$F$1*(Flat!R43-Savings_Flat!R217)</f>
        <v>6.8273628678644019E-3</v>
      </c>
      <c r="V202" s="556">
        <f>$F$1*(Flat!S43-Savings_Flat!S217)</f>
        <v>5.368634096675662E-3</v>
      </c>
      <c r="W202" s="556">
        <f>$F$1*(Flat!T43-Savings_Flat!T217)</f>
        <v>2.9811317199050784E-3</v>
      </c>
      <c r="X202" s="556">
        <f>$F$1*(Flat!U43-Savings_Flat!U217)</f>
        <v>8.2236600731772566E-3</v>
      </c>
      <c r="Y202" s="556">
        <f>$F$1*(Flat!V43-Savings_Flat!V217)</f>
        <v>3.4716050619753415E-3</v>
      </c>
      <c r="Z202" s="556">
        <f>$F$1*(Flat!W43-Savings_Flat!W217)</f>
        <v>4.3126767033235345E-3</v>
      </c>
      <c r="AA202" s="556">
        <f>$F$1*(Flat!X43-Savings_Flat!X217)</f>
        <v>6.7790918623534483E-3</v>
      </c>
      <c r="AB202" s="556">
        <f>$F$1*(Flat!Y43-Savings_Flat!Y217)</f>
        <v>2.4348982597588295E-3</v>
      </c>
      <c r="AC202" s="556">
        <f>$F$1*(Flat!Z43-Savings_Flat!Z217)</f>
        <v>1.0754966729149079E-2</v>
      </c>
      <c r="AD202" s="556">
        <f>$F$1*(Flat!AA43-Savings_Flat!AA217)</f>
        <v>1.8218753083675176E-3</v>
      </c>
      <c r="AE202" s="556">
        <f>$F$1*(Flat!AB43-Savings_Flat!AB217)</f>
        <v>3.5498133908905749E-3</v>
      </c>
      <c r="AF202" s="556">
        <f>$F$1*(Flat!AC43-Savings_Flat!AC217)</f>
        <v>5.0597825296355313E-3</v>
      </c>
      <c r="AG202" s="556">
        <f>$F$1*(Flat!AD43-Savings_Flat!AD217)</f>
        <v>4.6715091509055753E-3</v>
      </c>
      <c r="AH202" s="556">
        <f>$F$1*(Flat!AE43-Savings_Flat!AE217)</f>
        <v>1.7566930886915983E-3</v>
      </c>
      <c r="AI202" s="556">
        <f>$F$1*(Flat!AF43-Savings_Flat!AF217)</f>
        <v>8.3222293838826223E-3</v>
      </c>
      <c r="AJ202" s="556">
        <f>$F$1*(Flat!AG43-Savings_Flat!AG217)</f>
        <v>8.2983777869383071E-3</v>
      </c>
      <c r="AK202" s="556">
        <f>$F$1*(Flat!AH43-Savings_Flat!AH217)</f>
        <v>5.3652281412646316E-3</v>
      </c>
      <c r="AL202" s="556">
        <f>$F$1*(Flat!AI43-Savings_Flat!AI217)</f>
        <v>8.5465132813992602E-3</v>
      </c>
      <c r="AM202" s="556">
        <f>$F$1*(Flat!AJ43-Savings_Flat!AJ217)</f>
        <v>9.2199333988268514E-3</v>
      </c>
      <c r="AN202" s="556">
        <f>$F$1*(Flat!AK43-Savings_Flat!AK217)</f>
        <v>8.8796721597973333E-3</v>
      </c>
      <c r="AO202" s="556">
        <f>$F$1*(Flat!AL43-Savings_Flat!AL217)</f>
        <v>8.7875675995040241E-3</v>
      </c>
      <c r="AP202" s="556">
        <f>$F$1*(Flat!AM43-Savings_Flat!AM217)</f>
        <v>8.4784260926241452E-3</v>
      </c>
      <c r="AQ202" s="556">
        <f>$F$1*(Flat!AN43-Savings_Flat!AN217)</f>
        <v>8.4784260926241452E-3</v>
      </c>
      <c r="AT202" s="5" t="s">
        <v>389</v>
      </c>
    </row>
    <row r="203" spans="1:46">
      <c r="A203" s="5" t="str">
        <f t="shared" ref="A203:A205" si="9">IF(F203=$F$75,"\I:",IF(F203=$F$8,"OUTPUT","\I:"))</f>
        <v>OUTPUT</v>
      </c>
      <c r="B203" s="5" t="s">
        <v>615</v>
      </c>
      <c r="C203" s="5" t="str">
        <f t="shared" si="8"/>
        <v>Bldg_FLTPre89-Wal</v>
      </c>
      <c r="D203" s="5" t="s">
        <v>302</v>
      </c>
      <c r="E203" s="5" t="s">
        <v>390</v>
      </c>
      <c r="F203" s="5" t="s">
        <v>606</v>
      </c>
      <c r="G203" s="556">
        <f>$F$1*(Flat!D44-Savings_Flat!D218)</f>
        <v>4.7554530709984352E-3</v>
      </c>
      <c r="H203" s="556">
        <f>$F$1*(Flat!E44-Savings_Flat!E218)</f>
        <v>1.0443668305348056E-2</v>
      </c>
      <c r="I203" s="556">
        <f>$F$1*(Flat!F44-Savings_Flat!F218)</f>
        <v>4.7529062439806676E-3</v>
      </c>
      <c r="J203" s="556">
        <f>$F$1*(Flat!G44-Savings_Flat!G218)</f>
        <v>4.6330407367701611E-3</v>
      </c>
      <c r="K203" s="556">
        <f>$F$1*(Flat!H44-Savings_Flat!H218)</f>
        <v>2.3384519724296338E-3</v>
      </c>
      <c r="L203" s="556">
        <f>$F$1*(Flat!I44-Savings_Flat!I218)</f>
        <v>4.5957000575800062E-3</v>
      </c>
      <c r="M203" s="556">
        <f>$F$1*(Flat!J44-Savings_Flat!J218)</f>
        <v>3.9943026754830982E-3</v>
      </c>
      <c r="N203" s="556">
        <f>$F$1*(Flat!K44-Savings_Flat!K218)</f>
        <v>1.6338121161127005E-3</v>
      </c>
      <c r="O203" s="556">
        <f>$F$1*(Flat!L44-Savings_Flat!L218)</f>
        <v>1.2665951121934487E-3</v>
      </c>
      <c r="P203" s="556">
        <f>$F$1*(Flat!M44-Savings_Flat!M218)</f>
        <v>9.8256949262635583E-3</v>
      </c>
      <c r="Q203" s="556">
        <f>$F$1*(Flat!N44-Savings_Flat!N218)</f>
        <v>1.2235583924015841E-3</v>
      </c>
      <c r="R203" s="556">
        <f>$F$1*(Flat!O44-Savings_Flat!O218)</f>
        <v>4.220109715260819E-3</v>
      </c>
      <c r="S203" s="556">
        <f>$F$1*(Flat!P44-Savings_Flat!P218)</f>
        <v>1.0791407101879185E-2</v>
      </c>
      <c r="T203" s="556">
        <f>$F$1*(Flat!Q44-Savings_Flat!Q218)</f>
        <v>7.0839433006908686E-3</v>
      </c>
      <c r="U203" s="556">
        <f>$F$1*(Flat!R44-Savings_Flat!R218)</f>
        <v>3.8133818622300172E-3</v>
      </c>
      <c r="V203" s="556">
        <f>$F$1*(Flat!S44-Savings_Flat!S218)</f>
        <v>3.3524309901688358E-3</v>
      </c>
      <c r="W203" s="556">
        <f>$F$1*(Flat!T44-Savings_Flat!T218)</f>
        <v>1.7954885848203797E-3</v>
      </c>
      <c r="X203" s="556">
        <f>$F$1*(Flat!U44-Savings_Flat!U218)</f>
        <v>4.8071258657802589E-3</v>
      </c>
      <c r="Y203" s="556">
        <f>$F$1*(Flat!V44-Savings_Flat!V218)</f>
        <v>3.4716050619753415E-3</v>
      </c>
      <c r="Z203" s="556">
        <f>$F$1*(Flat!W44-Savings_Flat!W218)</f>
        <v>3.9378779068585312E-3</v>
      </c>
      <c r="AA203" s="556">
        <f>$F$1*(Flat!X44-Savings_Flat!X218)</f>
        <v>3.2781135567449349E-3</v>
      </c>
      <c r="AB203" s="556">
        <f>$F$1*(Flat!Y44-Savings_Flat!Y218)</f>
        <v>2.4662152385987882E-3</v>
      </c>
      <c r="AC203" s="556">
        <f>$F$1*(Flat!Z44-Savings_Flat!Z218)</f>
        <v>3.2564121302882869E-3</v>
      </c>
      <c r="AD203" s="556">
        <f>$F$1*(Flat!AA44-Savings_Flat!AA218)</f>
        <v>1.8277593596480405E-3</v>
      </c>
      <c r="AE203" s="556">
        <f>$F$1*(Flat!AB44-Savings_Flat!AB218)</f>
        <v>3.5498133908905749E-3</v>
      </c>
      <c r="AF203" s="556">
        <f>$F$1*(Flat!AC44-Savings_Flat!AC218)</f>
        <v>4.6714965760793021E-3</v>
      </c>
      <c r="AG203" s="556">
        <f>$F$1*(Flat!AD44-Savings_Flat!AD218)</f>
        <v>3.4452338987446701E-3</v>
      </c>
      <c r="AH203" s="556">
        <f>$F$1*(Flat!AE44-Savings_Flat!AE218)</f>
        <v>1.7623666230825231E-3</v>
      </c>
      <c r="AI203" s="556">
        <f>$F$1*(Flat!AF44-Savings_Flat!AF218)</f>
        <v>4.98327339285419E-3</v>
      </c>
      <c r="AJ203" s="556">
        <f>$F$1*(Flat!AG44-Savings_Flat!AG218)</f>
        <v>6.7808746637542661E-3</v>
      </c>
      <c r="AK203" s="556">
        <f>$F$1*(Flat!AH44-Savings_Flat!AH218)</f>
        <v>1.6216131090179544E-3</v>
      </c>
      <c r="AL203" s="556">
        <f>$F$1*(Flat!AI44-Savings_Flat!AI218)</f>
        <v>8.5854349328826386E-3</v>
      </c>
      <c r="AM203" s="556">
        <f>$F$1*(Flat!AJ44-Savings_Flat!AJ218)</f>
        <v>7.4562870501438862E-3</v>
      </c>
      <c r="AN203" s="556">
        <f>$F$1*(Flat!AK44-Savings_Flat!AK218)</f>
        <v>7.1858572223643955E-3</v>
      </c>
      <c r="AO203" s="556">
        <f>$F$1*(Flat!AL44-Savings_Flat!AL218)</f>
        <v>6.8843507998829151E-3</v>
      </c>
      <c r="AP203" s="556">
        <f>$F$1*(Flat!AM44-Savings_Flat!AM218)</f>
        <v>6.856619884920135E-3</v>
      </c>
      <c r="AQ203" s="556">
        <f>$F$1*(Flat!AN44-Savings_Flat!AN218)</f>
        <v>6.856619884920135E-3</v>
      </c>
      <c r="AT203" s="5" t="s">
        <v>390</v>
      </c>
    </row>
    <row r="204" spans="1:46">
      <c r="A204" s="5" t="str">
        <f t="shared" si="9"/>
        <v>OUTPUT</v>
      </c>
      <c r="B204" s="5" t="s">
        <v>615</v>
      </c>
      <c r="C204" s="5" t="str">
        <f t="shared" si="8"/>
        <v>Bldg_FLTPre99-Wal</v>
      </c>
      <c r="D204" s="5" t="s">
        <v>302</v>
      </c>
      <c r="E204" s="5" t="s">
        <v>391</v>
      </c>
      <c r="F204" s="5" t="s">
        <v>606</v>
      </c>
      <c r="G204" s="556">
        <f>$F$1*(Flat!D45-Savings_Flat!D219)</f>
        <v>3.3710460380165087E-3</v>
      </c>
      <c r="H204" s="556">
        <f>$F$1*(Flat!E45-Savings_Flat!E219)</f>
        <v>1.0443668305348056E-2</v>
      </c>
      <c r="I204" s="556">
        <f>$F$1*(Flat!F45-Savings_Flat!F219)</f>
        <v>3.5908005572323162E-3</v>
      </c>
      <c r="J204" s="556">
        <f>$F$1*(Flat!G45-Savings_Flat!G219)</f>
        <v>3.2842703705577704E-3</v>
      </c>
      <c r="K204" s="556">
        <f>$F$1*(Flat!H45-Savings_Flat!H219)</f>
        <v>2.421021004494108E-3</v>
      </c>
      <c r="L204" s="556">
        <f>$F$1*(Flat!I45-Savings_Flat!I219)</f>
        <v>2.5669266889165303E-3</v>
      </c>
      <c r="M204" s="556">
        <f>$F$1*(Flat!J45-Savings_Flat!J219)</f>
        <v>1.2271833718631223E-3</v>
      </c>
      <c r="N204" s="556">
        <f>$F$1*(Flat!K45-Savings_Flat!K219)</f>
        <v>1.6338121161127005E-3</v>
      </c>
      <c r="O204" s="556">
        <f>$F$1*(Flat!L45-Savings_Flat!L219)</f>
        <v>1.0538142459495621E-3</v>
      </c>
      <c r="P204" s="556">
        <f>$F$1*(Flat!M45-Savings_Flat!M219)</f>
        <v>9.8256949262635583E-3</v>
      </c>
      <c r="Q204" s="556">
        <f>$F$1*(Flat!N45-Savings_Flat!N219)</f>
        <v>1.1914818264592035E-3</v>
      </c>
      <c r="R204" s="556">
        <f>$F$1*(Flat!O45-Savings_Flat!O219)</f>
        <v>1.6245681696200848E-3</v>
      </c>
      <c r="S204" s="556">
        <f>$F$1*(Flat!P45-Savings_Flat!P219)</f>
        <v>1.0791407101879185E-2</v>
      </c>
      <c r="T204" s="556">
        <f>$F$1*(Flat!Q45-Savings_Flat!Q219)</f>
        <v>4.2940319497424915E-3</v>
      </c>
      <c r="U204" s="556">
        <f>$F$1*(Flat!R45-Savings_Flat!R219)</f>
        <v>3.8133818622300172E-3</v>
      </c>
      <c r="V204" s="556">
        <f>$F$1*(Flat!S45-Savings_Flat!S219)</f>
        <v>2.1562389200856041E-3</v>
      </c>
      <c r="W204" s="556">
        <f>$F$1*(Flat!T45-Savings_Flat!T219)</f>
        <v>1.7486534745700104E-3</v>
      </c>
      <c r="X204" s="556">
        <f>$F$1*(Flat!U45-Savings_Flat!U219)</f>
        <v>3.9377932697550423E-3</v>
      </c>
      <c r="Y204" s="556">
        <f>$F$1*(Flat!V45-Savings_Flat!V219)</f>
        <v>3.4716050619753415E-3</v>
      </c>
      <c r="Z204" s="556">
        <f>$F$1*(Flat!W45-Savings_Flat!W219)</f>
        <v>3.1614539306086265E-3</v>
      </c>
      <c r="AA204" s="556">
        <f>$F$1*(Flat!X45-Savings_Flat!X219)</f>
        <v>3.2838175760332472E-3</v>
      </c>
      <c r="AB204" s="556">
        <f>$F$1*(Flat!Y45-Savings_Flat!Y219)</f>
        <v>2.4725168542134909E-3</v>
      </c>
      <c r="AC204" s="556">
        <f>$F$1*(Flat!Z45-Savings_Flat!Z219)</f>
        <v>2.8055747186680339E-3</v>
      </c>
      <c r="AD204" s="556">
        <f>$F$1*(Flat!AA45-Savings_Flat!AA219)</f>
        <v>1.0788394070440489E-3</v>
      </c>
      <c r="AE204" s="556">
        <f>$F$1*(Flat!AB45-Savings_Flat!AB219)</f>
        <v>3.5498133908905749E-3</v>
      </c>
      <c r="AF204" s="556">
        <f>$F$1*(Flat!AC45-Savings_Flat!AC219)</f>
        <v>3.9100962928173442E-3</v>
      </c>
      <c r="AG204" s="556">
        <f>$F$1*(Flat!AD45-Savings_Flat!AD219)</f>
        <v>3.4452338987446701E-3</v>
      </c>
      <c r="AH204" s="556">
        <f>$F$1*(Flat!AE45-Savings_Flat!AE219)</f>
        <v>1.0402411852546603E-3</v>
      </c>
      <c r="AI204" s="556">
        <f>$F$1*(Flat!AF45-Savings_Flat!AF219)</f>
        <v>3.0124392371443961E-3</v>
      </c>
      <c r="AJ204" s="556">
        <f>$F$1*(Flat!AG45-Savings_Flat!AG219)</f>
        <v>6.8614540261390652E-3</v>
      </c>
      <c r="AK204" s="556">
        <f>$F$1*(Flat!AH45-Savings_Flat!AH219)</f>
        <v>1.0997510256447042E-3</v>
      </c>
      <c r="AL204" s="556">
        <f>$F$1*(Flat!AI45-Savings_Flat!AI219)</f>
        <v>8.5854349328826386E-3</v>
      </c>
      <c r="AM204" s="556">
        <f>$F$1*(Flat!AJ45-Savings_Flat!AJ219)</f>
        <v>6.7310532510680776E-3</v>
      </c>
      <c r="AN204" s="556">
        <f>$F$1*(Flat!AK45-Savings_Flat!AK219)</f>
        <v>6.4894106535042352E-3</v>
      </c>
      <c r="AO204" s="556">
        <f>$F$1*(Flat!AL45-Savings_Flat!AL219)</f>
        <v>5.1977949614708356E-3</v>
      </c>
      <c r="AP204" s="556">
        <f>$F$1*(Flat!AM45-Savings_Flat!AM219)</f>
        <v>6.189712554969173E-3</v>
      </c>
      <c r="AQ204" s="556">
        <f>$F$1*(Flat!AN45-Savings_Flat!AN219)</f>
        <v>6.189712554969173E-3</v>
      </c>
      <c r="AT204" s="5" t="s">
        <v>391</v>
      </c>
    </row>
    <row r="205" spans="1:46">
      <c r="A205" s="5" t="str">
        <f t="shared" si="9"/>
        <v>OUTPUT</v>
      </c>
      <c r="B205" s="5" t="s">
        <v>615</v>
      </c>
      <c r="C205" s="5" t="str">
        <f t="shared" si="8"/>
        <v>Bldg_FLTPre09-Wal</v>
      </c>
      <c r="D205" s="5" t="s">
        <v>302</v>
      </c>
      <c r="E205" s="5" t="s">
        <v>392</v>
      </c>
      <c r="F205" s="5" t="s">
        <v>606</v>
      </c>
      <c r="G205" s="556">
        <f>$F$1*(Flat!D46-Savings_Flat!D220)</f>
        <v>2.9440011816967222E-3</v>
      </c>
      <c r="H205" s="556">
        <f>$F$1*(Flat!E46-Savings_Flat!E220)</f>
        <v>4.7952646871034076E-3</v>
      </c>
      <c r="I205" s="556">
        <f>$F$1*(Flat!F46-Savings_Flat!F220)</f>
        <v>1.2671508605987076E-3</v>
      </c>
      <c r="J205" s="556">
        <f>$F$1*(Flat!G46-Savings_Flat!G220)</f>
        <v>2.8682182749490757E-3</v>
      </c>
      <c r="K205" s="556">
        <f>$F$1*(Flat!H46-Savings_Flat!H220)</f>
        <v>2.4685281930560462E-3</v>
      </c>
      <c r="L205" s="556">
        <f>$F$1*(Flat!I46-Savings_Flat!I220)</f>
        <v>2.0801145383242139E-3</v>
      </c>
      <c r="M205" s="556">
        <f>$F$1*(Flat!J46-Savings_Flat!J220)</f>
        <v>1.7154358527793779E-3</v>
      </c>
      <c r="N205" s="556">
        <f>$F$1*(Flat!K46-Savings_Flat!K220)</f>
        <v>9.981681474489283E-4</v>
      </c>
      <c r="O205" s="556">
        <f>$F$1*(Flat!L46-Savings_Flat!L220)</f>
        <v>1.0538142459495621E-3</v>
      </c>
      <c r="P205" s="556">
        <f>$F$1*(Flat!M46-Savings_Flat!M220)</f>
        <v>4.3657179203120226E-3</v>
      </c>
      <c r="Q205" s="556">
        <f>$F$1*(Flat!N46-Savings_Flat!N220)</f>
        <v>1.0809317052421085E-3</v>
      </c>
      <c r="R205" s="556">
        <f>$F$1*(Flat!O46-Savings_Flat!O220)</f>
        <v>1.5397989238866365E-3</v>
      </c>
      <c r="S205" s="556">
        <f>$F$1*(Flat!P46-Savings_Flat!P220)</f>
        <v>2.4475754438325198E-3</v>
      </c>
      <c r="T205" s="556">
        <f>$F$1*(Flat!Q46-Savings_Flat!Q220)</f>
        <v>1.2961277434813141E-3</v>
      </c>
      <c r="U205" s="556">
        <f>$F$1*(Flat!R46-Savings_Flat!R220)</f>
        <v>1.8484800509005121E-3</v>
      </c>
      <c r="V205" s="556">
        <f>$F$1*(Flat!S46-Savings_Flat!S220)</f>
        <v>6.5324784472136515E-4</v>
      </c>
      <c r="W205" s="556">
        <f>$F$1*(Flat!T46-Savings_Flat!T220)</f>
        <v>1.5835944604810626E-3</v>
      </c>
      <c r="X205" s="556">
        <f>$F$1*(Flat!U46-Savings_Flat!U220)</f>
        <v>3.9867051769958365E-3</v>
      </c>
      <c r="Y205" s="556">
        <f>$F$1*(Flat!V46-Savings_Flat!V220)</f>
        <v>6.7878274975024817E-4</v>
      </c>
      <c r="Z205" s="556">
        <f>$F$1*(Flat!W46-Savings_Flat!W220)</f>
        <v>2.0614465135684375E-3</v>
      </c>
      <c r="AA205" s="556">
        <f>$F$1*(Flat!X46-Savings_Flat!X220)</f>
        <v>7.1042596540248808E-4</v>
      </c>
      <c r="AB205" s="556">
        <f>$F$1*(Flat!Y46-Savings_Flat!Y220)</f>
        <v>2.1711685487721577E-3</v>
      </c>
      <c r="AC205" s="556">
        <f>$F$1*(Flat!Z46-Savings_Flat!Z220)</f>
        <v>2.0420060867663626E-3</v>
      </c>
      <c r="AD205" s="556">
        <f>$F$1*(Flat!AA46-Savings_Flat!AA220)</f>
        <v>1.1108635867329211E-3</v>
      </c>
      <c r="AE205" s="556">
        <f>$F$1*(Flat!AB46-Savings_Flat!AB220)</f>
        <v>1.7025174291018712E-3</v>
      </c>
      <c r="AF205" s="556">
        <f>$F$1*(Flat!AC46-Savings_Flat!AC220)</f>
        <v>2.3538452554624288E-3</v>
      </c>
      <c r="AG205" s="556">
        <f>$F$1*(Flat!AD46-Savings_Flat!AD220)</f>
        <v>2.2629792456931282E-3</v>
      </c>
      <c r="AH205" s="556">
        <f>$F$1*(Flat!AE46-Savings_Flat!AE220)</f>
        <v>1.0711196185217899E-3</v>
      </c>
      <c r="AI205" s="556">
        <f>$F$1*(Flat!AF46-Savings_Flat!AF220)</f>
        <v>1.0477518572352266E-3</v>
      </c>
      <c r="AJ205" s="556">
        <f>$F$1*(Flat!AG46-Savings_Flat!AG220)</f>
        <v>2.5851331316598092E-3</v>
      </c>
      <c r="AK205" s="556">
        <f>$F$1*(Flat!AH46-Savings_Flat!AH220)</f>
        <v>7.2084194475637768E-4</v>
      </c>
      <c r="AL205" s="556">
        <f>$F$1*(Flat!AI46-Savings_Flat!AI220)</f>
        <v>1.9291392495084164E-3</v>
      </c>
      <c r="AM205" s="556">
        <f>$F$1*(Flat!AJ46-Savings_Flat!AJ220)</f>
        <v>5.3298071201316743E-3</v>
      </c>
      <c r="AN205" s="556">
        <f>$F$1*(Flat!AK46-Savings_Flat!AK220)</f>
        <v>5.1375164675692151E-3</v>
      </c>
      <c r="AO205" s="556">
        <f>$F$1*(Flat!AL46-Savings_Flat!AL220)</f>
        <v>1.8455389276837186E-3</v>
      </c>
      <c r="AP205" s="556">
        <f>$F$1*(Flat!AM46-Savings_Flat!AM220)</f>
        <v>4.9011607569451757E-3</v>
      </c>
      <c r="AQ205" s="556">
        <f>$F$1*(Flat!AN46-Savings_Flat!AN220)</f>
        <v>4.9011607569451757E-3</v>
      </c>
      <c r="AT205" s="5" t="s">
        <v>392</v>
      </c>
    </row>
    <row r="207" spans="1:46">
      <c r="G207" s="556"/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0">
    <tabColor rgb="FFFFC000"/>
  </sheetPr>
  <dimension ref="A1:AO49"/>
  <sheetViews>
    <sheetView topLeftCell="A31" zoomScaleNormal="100" workbookViewId="0">
      <selection activeCell="A46" sqref="A46"/>
    </sheetView>
  </sheetViews>
  <sheetFormatPr defaultColWidth="9.109375" defaultRowHeight="13.2"/>
  <cols>
    <col min="1" max="1" width="18.33203125" style="561" bestFit="1" customWidth="1"/>
    <col min="2" max="2" width="20.109375" style="561" bestFit="1" customWidth="1"/>
    <col min="3" max="3" width="10.5546875" style="561" bestFit="1" customWidth="1"/>
    <col min="4" max="4" width="5.109375" style="561" bestFit="1" customWidth="1"/>
    <col min="5" max="12" width="4.5546875" style="561" bestFit="1" customWidth="1"/>
    <col min="13" max="13" width="5.5546875" style="561" bestFit="1" customWidth="1"/>
    <col min="14" max="16" width="4.5546875" style="561" bestFit="1" customWidth="1"/>
    <col min="17" max="17" width="5.5546875" style="561" bestFit="1" customWidth="1"/>
    <col min="18" max="20" width="4.5546875" style="561" bestFit="1" customWidth="1"/>
    <col min="21" max="21" width="5.5546875" style="561" bestFit="1" customWidth="1"/>
    <col min="22" max="33" width="4.5546875" style="561" bestFit="1" customWidth="1"/>
    <col min="34" max="35" width="5.5546875" style="561" bestFit="1" customWidth="1"/>
    <col min="36" max="39" width="4.5546875" style="561" bestFit="1" customWidth="1"/>
    <col min="40" max="40" width="5.5546875" style="561" bestFit="1" customWidth="1"/>
    <col min="41" max="16384" width="9.109375" style="561"/>
  </cols>
  <sheetData>
    <row r="1" spans="1:41" ht="21">
      <c r="A1" s="3" t="s">
        <v>673</v>
      </c>
    </row>
    <row r="2" spans="1:41" ht="14.4">
      <c r="A2" s="135" t="s">
        <v>672</v>
      </c>
    </row>
    <row r="3" spans="1:41" ht="14.4">
      <c r="A3" s="135"/>
    </row>
    <row r="4" spans="1:41" ht="14.4">
      <c r="A4" s="559" t="s">
        <v>643</v>
      </c>
      <c r="B4" s="559" t="s">
        <v>516</v>
      </c>
      <c r="C4" s="560"/>
      <c r="D4" s="577">
        <f>'Data by dwelling type'!AS4</f>
        <v>20</v>
      </c>
      <c r="E4" s="577" t="str">
        <f>'Data by dwelling type'!AS5</f>
        <v>20</v>
      </c>
      <c r="F4" s="577">
        <f>'Data by dwelling type'!AS6</f>
        <v>20</v>
      </c>
      <c r="G4" s="577" t="str">
        <f>'Data by dwelling type'!AS7</f>
        <v>20</v>
      </c>
      <c r="H4" s="577" t="str">
        <f>'Data by dwelling type'!AS8</f>
        <v>40</v>
      </c>
      <c r="I4" s="577">
        <f>'Data by dwelling type'!AS9</f>
        <v>20</v>
      </c>
      <c r="J4" s="577">
        <f>'Data by dwelling type'!AS10</f>
        <v>20</v>
      </c>
      <c r="K4" s="577" t="str">
        <f>'Data by dwelling type'!AS11</f>
        <v>20</v>
      </c>
      <c r="L4" s="577" t="str">
        <f>'Data by dwelling type'!AS12</f>
        <v>20</v>
      </c>
      <c r="M4" s="577" t="str">
        <f>'Data by dwelling type'!AS13</f>
        <v>30</v>
      </c>
      <c r="N4" s="577">
        <f>'Data by dwelling type'!AS14</f>
        <v>20</v>
      </c>
      <c r="O4" s="577" t="str">
        <f>'Data by dwelling type'!AS15</f>
        <v>10</v>
      </c>
      <c r="P4" s="577" t="str">
        <f>'Data by dwelling type'!AS16</f>
        <v>10</v>
      </c>
      <c r="Q4" s="577" t="str">
        <f>'Data by dwelling type'!AS17</f>
        <v>50</v>
      </c>
      <c r="R4" s="577" t="str">
        <f>'Data by dwelling type'!AS18</f>
        <v>20</v>
      </c>
      <c r="S4" s="577">
        <f>'Data by dwelling type'!AS19</f>
        <v>20</v>
      </c>
      <c r="T4" s="577">
        <f>'Data by dwelling type'!AS20</f>
        <v>20</v>
      </c>
      <c r="U4" s="577">
        <f>'Data by dwelling type'!AS21</f>
        <v>80</v>
      </c>
      <c r="V4" s="577">
        <f>'Data by dwelling type'!AS22</f>
        <v>20</v>
      </c>
      <c r="W4" s="577" t="str">
        <f>'Data by dwelling type'!AS23</f>
        <v>20</v>
      </c>
      <c r="X4" s="577">
        <f>'Data by dwelling type'!AS24</f>
        <v>20</v>
      </c>
      <c r="Y4" s="577" t="str">
        <f>'Data by dwelling type'!AS25</f>
        <v>20</v>
      </c>
      <c r="Z4" s="577" t="str">
        <f>'Data by dwelling type'!AS26</f>
        <v>20</v>
      </c>
      <c r="AA4" s="577">
        <f>'Data by dwelling type'!AS27</f>
        <v>20</v>
      </c>
      <c r="AB4" s="577">
        <f>'Data by dwelling type'!AS28</f>
        <v>20</v>
      </c>
      <c r="AC4" s="577">
        <f>'Data by dwelling type'!AS29</f>
        <v>20</v>
      </c>
      <c r="AD4" s="577">
        <f>'Data by dwelling type'!AS30</f>
        <v>20</v>
      </c>
      <c r="AE4" s="577" t="str">
        <f>'Data by dwelling type'!AS31</f>
        <v>20</v>
      </c>
      <c r="AF4" s="577">
        <f>'Data by dwelling type'!AS32</f>
        <v>20</v>
      </c>
      <c r="AG4" s="577" t="str">
        <f>'Data by dwelling type'!AS33</f>
        <v>30</v>
      </c>
      <c r="AH4" s="577">
        <f>'Data by dwelling type'!AS34</f>
        <v>20</v>
      </c>
      <c r="AI4" s="577">
        <f>'Data by dwelling type'!AS35</f>
        <v>80</v>
      </c>
      <c r="AJ4" s="577">
        <f>'Data by dwelling type'!AS36</f>
        <v>20</v>
      </c>
      <c r="AK4" s="577">
        <f>'Data by dwelling type'!AS37</f>
        <v>20</v>
      </c>
      <c r="AL4" s="577" t="str">
        <f>'Data by dwelling type'!AS38</f>
        <v>20</v>
      </c>
      <c r="AM4" s="577" t="str">
        <f>'Data by dwelling type'!AS39</f>
        <v>20</v>
      </c>
      <c r="AN4" s="577">
        <f>'Data by dwelling type'!AS40</f>
        <v>80</v>
      </c>
    </row>
    <row r="5" spans="1:41" ht="14.4">
      <c r="A5" s="559"/>
      <c r="B5" s="559" t="s">
        <v>644</v>
      </c>
      <c r="C5" s="560"/>
      <c r="D5" s="577">
        <f>'Data by dwelling type'!AT4</f>
        <v>6</v>
      </c>
      <c r="E5" s="577">
        <f>'Data by dwelling type'!AT5</f>
        <v>6</v>
      </c>
      <c r="F5" s="577">
        <f>'Data by dwelling type'!AT6</f>
        <v>6</v>
      </c>
      <c r="G5" s="577">
        <f>'Data by dwelling type'!AT7</f>
        <v>6</v>
      </c>
      <c r="H5" s="577">
        <f>'Data by dwelling type'!AT8</f>
        <v>6</v>
      </c>
      <c r="I5" s="577">
        <f>'Data by dwelling type'!AT9</f>
        <v>6</v>
      </c>
      <c r="J5" s="577">
        <f>'Data by dwelling type'!AT10</f>
        <v>6</v>
      </c>
      <c r="K5" s="577">
        <f>'Data by dwelling type'!AT11</f>
        <v>6</v>
      </c>
      <c r="L5" s="577">
        <f>'Data by dwelling type'!AT12</f>
        <v>6</v>
      </c>
      <c r="M5" s="577">
        <f>'Data by dwelling type'!AT13</f>
        <v>6</v>
      </c>
      <c r="N5" s="577">
        <f>'Data by dwelling type'!AT14</f>
        <v>6</v>
      </c>
      <c r="O5" s="577">
        <f>'Data by dwelling type'!AT15</f>
        <v>4</v>
      </c>
      <c r="P5" s="577">
        <f>'Data by dwelling type'!AT16</f>
        <v>6</v>
      </c>
      <c r="Q5" s="577">
        <f>'Data by dwelling type'!AT17</f>
        <v>6</v>
      </c>
      <c r="R5" s="577">
        <f>'Data by dwelling type'!AT18</f>
        <v>6</v>
      </c>
      <c r="S5" s="577">
        <f>'Data by dwelling type'!AT19</f>
        <v>6</v>
      </c>
      <c r="T5" s="577">
        <f>'Data by dwelling type'!AT20</f>
        <v>6</v>
      </c>
      <c r="U5" s="577">
        <f>'Data by dwelling type'!AT21</f>
        <v>6</v>
      </c>
      <c r="V5" s="577">
        <f>'Data by dwelling type'!AT22</f>
        <v>6</v>
      </c>
      <c r="W5" s="577">
        <f>'Data by dwelling type'!AT23</f>
        <v>6</v>
      </c>
      <c r="X5" s="577">
        <f>'Data by dwelling type'!AT24</f>
        <v>6</v>
      </c>
      <c r="Y5" s="577">
        <f>'Data by dwelling type'!AT25</f>
        <v>6</v>
      </c>
      <c r="Z5" s="577">
        <f>'Data by dwelling type'!AT26</f>
        <v>4</v>
      </c>
      <c r="AA5" s="577">
        <f>'Data by dwelling type'!AT27</f>
        <v>6</v>
      </c>
      <c r="AB5" s="577">
        <f>'Data by dwelling type'!AT28</f>
        <v>6</v>
      </c>
      <c r="AC5" s="577">
        <f>'Data by dwelling type'!AT29</f>
        <v>6</v>
      </c>
      <c r="AD5" s="577">
        <f>'Data by dwelling type'!AT30</f>
        <v>6</v>
      </c>
      <c r="AE5" s="577">
        <f>'Data by dwelling type'!AT31</f>
        <v>6</v>
      </c>
      <c r="AF5" s="577">
        <f>'Data by dwelling type'!AT32</f>
        <v>6</v>
      </c>
      <c r="AG5" s="577">
        <f>'Data by dwelling type'!AT33</f>
        <v>6</v>
      </c>
      <c r="AH5" s="577">
        <f>'Data by dwelling type'!AT34</f>
        <v>6</v>
      </c>
      <c r="AI5" s="577">
        <f>'Data by dwelling type'!AT35</f>
        <v>6</v>
      </c>
      <c r="AJ5" s="577">
        <f>'Data by dwelling type'!AT36</f>
        <v>6</v>
      </c>
      <c r="AK5" s="577">
        <f>'Data by dwelling type'!AT37</f>
        <v>6</v>
      </c>
      <c r="AL5" s="577">
        <f>'Data by dwelling type'!AT38</f>
        <v>6</v>
      </c>
      <c r="AM5" s="577">
        <f>'Data by dwelling type'!AT39</f>
        <v>6</v>
      </c>
      <c r="AN5" s="577">
        <f>'Data by dwelling type'!AT40</f>
        <v>6</v>
      </c>
    </row>
    <row r="7" spans="1:41">
      <c r="A7" s="564" t="s">
        <v>671</v>
      </c>
      <c r="B7" s="555"/>
    </row>
    <row r="8" spans="1:41" ht="15" thickBot="1">
      <c r="A8" s="539" t="s">
        <v>254</v>
      </c>
      <c r="B8" s="539" t="s">
        <v>622</v>
      </c>
      <c r="C8" s="539" t="s">
        <v>621</v>
      </c>
      <c r="D8" s="557" t="s">
        <v>116</v>
      </c>
      <c r="E8" s="557" t="s">
        <v>88</v>
      </c>
      <c r="F8" s="557" t="s">
        <v>117</v>
      </c>
      <c r="G8" s="557" t="s">
        <v>89</v>
      </c>
      <c r="H8" s="557" t="s">
        <v>90</v>
      </c>
      <c r="I8" s="557" t="s">
        <v>91</v>
      </c>
      <c r="J8" s="557" t="s">
        <v>92</v>
      </c>
      <c r="K8" s="557" t="s">
        <v>93</v>
      </c>
      <c r="L8" s="557" t="s">
        <v>94</v>
      </c>
      <c r="M8" s="557" t="s">
        <v>95</v>
      </c>
      <c r="N8" s="557" t="s">
        <v>96</v>
      </c>
      <c r="O8" s="557" t="s">
        <v>205</v>
      </c>
      <c r="P8" s="557" t="s">
        <v>97</v>
      </c>
      <c r="Q8" s="557" t="s">
        <v>98</v>
      </c>
      <c r="R8" s="557" t="s">
        <v>99</v>
      </c>
      <c r="S8" s="557" t="s">
        <v>118</v>
      </c>
      <c r="T8" s="557" t="s">
        <v>100</v>
      </c>
      <c r="U8" s="557" t="s">
        <v>101</v>
      </c>
      <c r="V8" s="557" t="s">
        <v>102</v>
      </c>
      <c r="W8" s="557" t="s">
        <v>103</v>
      </c>
      <c r="X8" s="557" t="s">
        <v>122</v>
      </c>
      <c r="Y8" s="557" t="s">
        <v>104</v>
      </c>
      <c r="Z8" s="557" t="s">
        <v>105</v>
      </c>
      <c r="AA8" s="557" t="s">
        <v>106</v>
      </c>
      <c r="AB8" s="557" t="s">
        <v>119</v>
      </c>
      <c r="AC8" s="557" t="s">
        <v>120</v>
      </c>
      <c r="AD8" s="557" t="s">
        <v>107</v>
      </c>
      <c r="AE8" s="557" t="s">
        <v>108</v>
      </c>
      <c r="AF8" s="557" t="s">
        <v>109</v>
      </c>
      <c r="AG8" s="557" t="s">
        <v>110</v>
      </c>
      <c r="AH8" s="557" t="s">
        <v>111</v>
      </c>
      <c r="AI8" s="557" t="s">
        <v>112</v>
      </c>
      <c r="AJ8" s="557" t="s">
        <v>121</v>
      </c>
      <c r="AK8" s="557" t="s">
        <v>113</v>
      </c>
      <c r="AL8" s="557" t="s">
        <v>114</v>
      </c>
      <c r="AM8" s="557" t="s">
        <v>115</v>
      </c>
      <c r="AN8" s="557" t="s">
        <v>52</v>
      </c>
    </row>
    <row r="9" spans="1:41">
      <c r="A9" s="561" t="s">
        <v>645</v>
      </c>
      <c r="B9" s="561" t="s">
        <v>646</v>
      </c>
      <c r="C9" s="561" t="s">
        <v>647</v>
      </c>
      <c r="D9" s="562">
        <f>INDEX('SubRes-RSD_Saving'!$G$7:$AQ$7,MATCH('SubRes-RSD_Invcost'!D$8,'SubRes-RSD_Saving'!$G$5:$AQ$5,0))/1000</f>
        <v>4.5</v>
      </c>
      <c r="E9" s="562">
        <f>INDEX('SubRes-RSD_Saving'!$G$7:$AQ$7,MATCH('SubRes-RSD_Invcost'!E$8,'SubRes-RSD_Saving'!$G$5:$AQ$5,0))/1000</f>
        <v>8.1</v>
      </c>
      <c r="F9" s="562">
        <f>INDEX('SubRes-RSD_Saving'!$G$7:$AQ$7,MATCH('SubRes-RSD_Invcost'!F$8,'SubRes-RSD_Saving'!$G$5:$AQ$5,0))/1000</f>
        <v>4.5000000000000009</v>
      </c>
      <c r="G9" s="562">
        <f>INDEX('SubRes-RSD_Saving'!$G$7:$AQ$7,MATCH('SubRes-RSD_Invcost'!G$8,'SubRes-RSD_Saving'!$G$5:$AQ$5,0))/1000</f>
        <v>10.5</v>
      </c>
      <c r="H9" s="562">
        <f>INDEX('SubRes-RSD_Saving'!$G$7:$AQ$7,MATCH('SubRes-RSD_Invcost'!H$8,'SubRes-RSD_Saving'!$G$5:$AQ$5,0))/1000</f>
        <v>4.5000000000000009</v>
      </c>
      <c r="I9" s="562">
        <f>INDEX('SubRes-RSD_Saving'!$G$7:$AQ$7,MATCH('SubRes-RSD_Invcost'!I$8,'SubRes-RSD_Saving'!$G$5:$AQ$5,0))/1000</f>
        <v>8.1</v>
      </c>
      <c r="J9" s="562">
        <f>INDEX('SubRes-RSD_Saving'!$G$7:$AQ$7,MATCH('SubRes-RSD_Invcost'!J$8,'SubRes-RSD_Saving'!$G$5:$AQ$5,0))/1000</f>
        <v>9.5999999999999979</v>
      </c>
      <c r="K9" s="562">
        <f>INDEX('SubRes-RSD_Saving'!$G$7:$AQ$7,MATCH('SubRes-RSD_Invcost'!K$8,'SubRes-RSD_Saving'!$G$5:$AQ$5,0))/1000</f>
        <v>6</v>
      </c>
      <c r="L9" s="562">
        <f>INDEX('SubRes-RSD_Saving'!$G$7:$AQ$7,MATCH('SubRes-RSD_Invcost'!L$8,'SubRes-RSD_Saving'!$G$5:$AQ$5,0))/1000</f>
        <v>8.4893617021276579</v>
      </c>
      <c r="M9" s="562">
        <f>INDEX('SubRes-RSD_Saving'!$G$7:$AQ$7,MATCH('SubRes-RSD_Invcost'!M$8,'SubRes-RSD_Saving'!$G$5:$AQ$5,0))/1000</f>
        <v>10.5</v>
      </c>
      <c r="N9" s="562">
        <f>INDEX('SubRes-RSD_Saving'!$G$7:$AQ$7,MATCH('SubRes-RSD_Invcost'!N$8,'SubRes-RSD_Saving'!$G$5:$AQ$5,0))/1000</f>
        <v>4.5</v>
      </c>
      <c r="O9" s="562">
        <f>INDEX('SubRes-RSD_Saving'!$G$7:$AQ$7,MATCH('SubRes-RSD_Invcost'!O$8,'SubRes-RSD_Saving'!$G$5:$AQ$5,0))/1000</f>
        <v>9.5999999999999979</v>
      </c>
      <c r="P9" s="562">
        <f>INDEX('SubRes-RSD_Saving'!$G$7:$AQ$7,MATCH('SubRes-RSD_Invcost'!P$8,'SubRes-RSD_Saving'!$G$5:$AQ$5,0))/1000</f>
        <v>13.5</v>
      </c>
      <c r="Q9" s="562">
        <f>INDEX('SubRes-RSD_Saving'!$G$7:$AQ$7,MATCH('SubRes-RSD_Invcost'!Q$8,'SubRes-RSD_Saving'!$G$5:$AQ$5,0))/1000</f>
        <v>10.499999999999998</v>
      </c>
      <c r="R9" s="562">
        <f>INDEX('SubRes-RSD_Saving'!$G$7:$AQ$7,MATCH('SubRes-RSD_Invcost'!R$8,'SubRes-RSD_Saving'!$G$5:$AQ$5,0))/1000</f>
        <v>11.4</v>
      </c>
      <c r="S9" s="562">
        <f>INDEX('SubRes-RSD_Saving'!$G$7:$AQ$7,MATCH('SubRes-RSD_Invcost'!S$8,'SubRes-RSD_Saving'!$G$5:$AQ$5,0))/1000</f>
        <v>4.5000000000000009</v>
      </c>
      <c r="T9" s="562">
        <f>INDEX('SubRes-RSD_Saving'!$G$7:$AQ$7,MATCH('SubRes-RSD_Invcost'!T$8,'SubRes-RSD_Saving'!$G$5:$AQ$5,0))/1000</f>
        <v>4.5</v>
      </c>
      <c r="U9" s="562">
        <f>INDEX('SubRes-RSD_Saving'!$G$7:$AQ$7,MATCH('SubRes-RSD_Invcost'!U$8,'SubRes-RSD_Saving'!$G$5:$AQ$5,0))/1000</f>
        <v>8.4893617021276579</v>
      </c>
      <c r="V9" s="562">
        <f>INDEX('SubRes-RSD_Saving'!$G$7:$AQ$7,MATCH('SubRes-RSD_Invcost'!V$8,'SubRes-RSD_Saving'!$G$5:$AQ$5,0))/1000</f>
        <v>10.499999999999998</v>
      </c>
      <c r="W9" s="562">
        <f>INDEX('SubRes-RSD_Saving'!$G$7:$AQ$7,MATCH('SubRes-RSD_Invcost'!W$8,'SubRes-RSD_Saving'!$G$5:$AQ$5,0))/1000</f>
        <v>9.6</v>
      </c>
      <c r="X9" s="562">
        <f>INDEX('SubRes-RSD_Saving'!$G$7:$AQ$7,MATCH('SubRes-RSD_Invcost'!X$8,'SubRes-RSD_Saving'!$G$5:$AQ$5,0))/1000</f>
        <v>4.5000000000000009</v>
      </c>
      <c r="Y9" s="562">
        <f>INDEX('SubRes-RSD_Saving'!$G$7:$AQ$7,MATCH('SubRes-RSD_Invcost'!Y$8,'SubRes-RSD_Saving'!$G$5:$AQ$5,0))/1000</f>
        <v>4.5000000000000009</v>
      </c>
      <c r="Z9" s="562">
        <f>INDEX('SubRes-RSD_Saving'!$G$7:$AQ$7,MATCH('SubRes-RSD_Invcost'!Z$8,'SubRes-RSD_Saving'!$G$5:$AQ$5,0))/1000</f>
        <v>10.500000000000002</v>
      </c>
      <c r="AA9" s="562">
        <f>INDEX('SubRes-RSD_Saving'!$G$7:$AQ$7,MATCH('SubRes-RSD_Invcost'!AA$8,'SubRes-RSD_Saving'!$G$5:$AQ$5,0))/1000</f>
        <v>4.5</v>
      </c>
      <c r="AB9" s="562">
        <f>INDEX('SubRes-RSD_Saving'!$G$7:$AQ$7,MATCH('SubRes-RSD_Invcost'!AB$8,'SubRes-RSD_Saving'!$G$5:$AQ$5,0))/1000</f>
        <v>4.5</v>
      </c>
      <c r="AC9" s="562">
        <f>INDEX('SubRes-RSD_Saving'!$G$7:$AQ$7,MATCH('SubRes-RSD_Invcost'!AC$8,'SubRes-RSD_Saving'!$G$5:$AQ$5,0))/1000</f>
        <v>4.5000000000000009</v>
      </c>
      <c r="AD9" s="562">
        <f>INDEX('SubRes-RSD_Saving'!$G$7:$AQ$7,MATCH('SubRes-RSD_Invcost'!AD$8,'SubRes-RSD_Saving'!$G$5:$AQ$5,0))/1000</f>
        <v>9.6</v>
      </c>
      <c r="AE9" s="562">
        <f>INDEX('SubRes-RSD_Saving'!$G$7:$AQ$7,MATCH('SubRes-RSD_Invcost'!AE$8,'SubRes-RSD_Saving'!$G$5:$AQ$5,0))/1000</f>
        <v>8.4893617021276579</v>
      </c>
      <c r="AF9" s="562">
        <f>INDEX('SubRes-RSD_Saving'!$G$7:$AQ$7,MATCH('SubRes-RSD_Invcost'!AF$8,'SubRes-RSD_Saving'!$G$5:$AQ$5,0))/1000</f>
        <v>10.5</v>
      </c>
      <c r="AG9" s="562">
        <f>INDEX('SubRes-RSD_Saving'!$G$7:$AQ$7,MATCH('SubRes-RSD_Invcost'!AG$8,'SubRes-RSD_Saving'!$G$5:$AQ$5,0))/1000</f>
        <v>4.5</v>
      </c>
      <c r="AH9" s="562">
        <f>INDEX('SubRes-RSD_Saving'!$G$7:$AQ$7,MATCH('SubRes-RSD_Invcost'!AH$8,'SubRes-RSD_Saving'!$G$5:$AQ$5,0))/1000</f>
        <v>13.5</v>
      </c>
      <c r="AI9" s="562">
        <f>INDEX('SubRes-RSD_Saving'!$G$7:$AQ$7,MATCH('SubRes-RSD_Invcost'!AI$8,'SubRes-RSD_Saving'!$G$5:$AQ$5,0))/1000</f>
        <v>4.5</v>
      </c>
      <c r="AJ9" s="562">
        <f>INDEX('SubRes-RSD_Saving'!$G$7:$AQ$7,MATCH('SubRes-RSD_Invcost'!AJ$8,'SubRes-RSD_Saving'!$G$5:$AQ$5,0))/1000</f>
        <v>4.5000000000000009</v>
      </c>
      <c r="AK9" s="562">
        <f>INDEX('SubRes-RSD_Saving'!$G$7:$AQ$7,MATCH('SubRes-RSD_Invcost'!AK$8,'SubRes-RSD_Saving'!$G$5:$AQ$5,0))/1000</f>
        <v>10.5</v>
      </c>
      <c r="AL9" s="562">
        <f>INDEX('SubRes-RSD_Saving'!$G$7:$AQ$7,MATCH('SubRes-RSD_Invcost'!AL$8,'SubRes-RSD_Saving'!$G$5:$AQ$5,0))/1000</f>
        <v>4.5</v>
      </c>
      <c r="AM9" s="562">
        <f>INDEX('SubRes-RSD_Saving'!$G$7:$AQ$7,MATCH('SubRes-RSD_Invcost'!AM$8,'SubRes-RSD_Saving'!$G$5:$AQ$5,0))/1000</f>
        <v>6</v>
      </c>
      <c r="AN9" s="562">
        <f>INDEX('SubRes-RSD_Saving'!$G$7:$AQ$7,MATCH('SubRes-RSD_Invcost'!AN$8,'SubRes-RSD_Saving'!$G$5:$AQ$5,0))/1000</f>
        <v>8.4893617021276579</v>
      </c>
      <c r="AO9" s="562"/>
    </row>
    <row r="10" spans="1:41">
      <c r="A10" s="561" t="s">
        <v>645</v>
      </c>
      <c r="B10" s="561" t="s">
        <v>646</v>
      </c>
      <c r="C10" s="561" t="s">
        <v>648</v>
      </c>
      <c r="D10" s="562">
        <f>INDEX('SubRes-RSD_Saving'!$G$16:$AQ$16,MATCH('SubRes-RSD_Invcost'!D$8,'SubRes-RSD_Saving'!$G$5:$AQ$5,0))/1000</f>
        <v>6</v>
      </c>
      <c r="E10" s="562">
        <f>INDEX('SubRes-RSD_Saving'!$G$16:$AQ$16,MATCH('SubRes-RSD_Invcost'!E$8,'SubRes-RSD_Saving'!$G$5:$AQ$5,0))/1000</f>
        <v>9</v>
      </c>
      <c r="F10" s="562">
        <f>INDEX('SubRes-RSD_Saving'!$G$16:$AQ$16,MATCH('SubRes-RSD_Invcost'!F$8,'SubRes-RSD_Saving'!$G$5:$AQ$5,0))/1000</f>
        <v>6</v>
      </c>
      <c r="G10" s="562">
        <f>INDEX('SubRes-RSD_Saving'!$G$16:$AQ$16,MATCH('SubRes-RSD_Invcost'!G$8,'SubRes-RSD_Saving'!$G$5:$AQ$5,0))/1000</f>
        <v>11.999999999999998</v>
      </c>
      <c r="H10" s="562">
        <f>INDEX('SubRes-RSD_Saving'!$G$16:$AQ$16,MATCH('SubRes-RSD_Invcost'!H$8,'SubRes-RSD_Saving'!$G$5:$AQ$5,0))/1000</f>
        <v>6</v>
      </c>
      <c r="I10" s="562">
        <f>INDEX('SubRes-RSD_Saving'!$G$16:$AQ$16,MATCH('SubRes-RSD_Invcost'!I$8,'SubRes-RSD_Saving'!$G$5:$AQ$5,0))/1000</f>
        <v>9</v>
      </c>
      <c r="J10" s="562">
        <f>INDEX('SubRes-RSD_Saving'!$G$16:$AQ$16,MATCH('SubRes-RSD_Invcost'!J$8,'SubRes-RSD_Saving'!$G$5:$AQ$5,0))/1000</f>
        <v>12</v>
      </c>
      <c r="K10" s="562">
        <f>INDEX('SubRes-RSD_Saving'!$G$16:$AQ$16,MATCH('SubRes-RSD_Invcost'!K$8,'SubRes-RSD_Saving'!$G$5:$AQ$5,0))/1000</f>
        <v>7.8</v>
      </c>
      <c r="L10" s="562">
        <f>INDEX('SubRes-RSD_Saving'!$G$16:$AQ$16,MATCH('SubRes-RSD_Invcost'!L$8,'SubRes-RSD_Saving'!$G$5:$AQ$5,0))/1000</f>
        <v>10.5</v>
      </c>
      <c r="M10" s="562">
        <f>INDEX('SubRes-RSD_Saving'!$G$16:$AQ$16,MATCH('SubRes-RSD_Invcost'!M$8,'SubRes-RSD_Saving'!$G$5:$AQ$5,0))/1000</f>
        <v>11.999999999999998</v>
      </c>
      <c r="N10" s="562">
        <f>INDEX('SubRes-RSD_Saving'!$G$16:$AQ$16,MATCH('SubRes-RSD_Invcost'!N$8,'SubRes-RSD_Saving'!$G$5:$AQ$5,0))/1000</f>
        <v>6.0000000000000009</v>
      </c>
      <c r="O10" s="562">
        <f>INDEX('SubRes-RSD_Saving'!$G$16:$AQ$16,MATCH('SubRes-RSD_Invcost'!O$8,'SubRes-RSD_Saving'!$G$5:$AQ$5,0))/1000</f>
        <v>12</v>
      </c>
      <c r="P10" s="562">
        <f>INDEX('SubRes-RSD_Saving'!$G$16:$AQ$16,MATCH('SubRes-RSD_Invcost'!P$8,'SubRes-RSD_Saving'!$G$5:$AQ$5,0))/1000</f>
        <v>15.300000000000002</v>
      </c>
      <c r="Q10" s="562">
        <f>INDEX('SubRes-RSD_Saving'!$G$16:$AQ$16,MATCH('SubRes-RSD_Invcost'!Q$8,'SubRes-RSD_Saving'!$G$5:$AQ$5,0))/1000</f>
        <v>11.999999999999998</v>
      </c>
      <c r="R10" s="562">
        <f>INDEX('SubRes-RSD_Saving'!$G$16:$AQ$16,MATCH('SubRes-RSD_Invcost'!R$8,'SubRes-RSD_Saving'!$G$5:$AQ$5,0))/1000</f>
        <v>14.1</v>
      </c>
      <c r="S10" s="562">
        <f>INDEX('SubRes-RSD_Saving'!$G$16:$AQ$16,MATCH('SubRes-RSD_Invcost'!S$8,'SubRes-RSD_Saving'!$G$5:$AQ$5,0))/1000</f>
        <v>6</v>
      </c>
      <c r="T10" s="562">
        <f>INDEX('SubRes-RSD_Saving'!$G$16:$AQ$16,MATCH('SubRes-RSD_Invcost'!T$8,'SubRes-RSD_Saving'!$G$5:$AQ$5,0))/1000</f>
        <v>6</v>
      </c>
      <c r="U10" s="562">
        <f>INDEX('SubRes-RSD_Saving'!$G$16:$AQ$16,MATCH('SubRes-RSD_Invcost'!U$8,'SubRes-RSD_Saving'!$G$5:$AQ$5,0))/1000</f>
        <v>10.5</v>
      </c>
      <c r="V10" s="562">
        <f>INDEX('SubRes-RSD_Saving'!$G$16:$AQ$16,MATCH('SubRes-RSD_Invcost'!V$8,'SubRes-RSD_Saving'!$G$5:$AQ$5,0))/1000</f>
        <v>11.999999999999998</v>
      </c>
      <c r="W10" s="562">
        <f>INDEX('SubRes-RSD_Saving'!$G$16:$AQ$16,MATCH('SubRes-RSD_Invcost'!W$8,'SubRes-RSD_Saving'!$G$5:$AQ$5,0))/1000</f>
        <v>12</v>
      </c>
      <c r="X10" s="562">
        <f>INDEX('SubRes-RSD_Saving'!$G$16:$AQ$16,MATCH('SubRes-RSD_Invcost'!X$8,'SubRes-RSD_Saving'!$G$5:$AQ$5,0))/1000</f>
        <v>6</v>
      </c>
      <c r="Y10" s="562">
        <f>INDEX('SubRes-RSD_Saving'!$G$16:$AQ$16,MATCH('SubRes-RSD_Invcost'!Y$8,'SubRes-RSD_Saving'!$G$5:$AQ$5,0))/1000</f>
        <v>6</v>
      </c>
      <c r="Z10" s="562">
        <f>INDEX('SubRes-RSD_Saving'!$G$16:$AQ$16,MATCH('SubRes-RSD_Invcost'!Z$8,'SubRes-RSD_Saving'!$G$5:$AQ$5,0))/1000</f>
        <v>12</v>
      </c>
      <c r="AA10" s="562">
        <f>INDEX('SubRes-RSD_Saving'!$G$16:$AQ$16,MATCH('SubRes-RSD_Invcost'!AA$8,'SubRes-RSD_Saving'!$G$5:$AQ$5,0))/1000</f>
        <v>6</v>
      </c>
      <c r="AB10" s="562">
        <f>INDEX('SubRes-RSD_Saving'!$G$16:$AQ$16,MATCH('SubRes-RSD_Invcost'!AB$8,'SubRes-RSD_Saving'!$G$5:$AQ$5,0))/1000</f>
        <v>6</v>
      </c>
      <c r="AC10" s="562">
        <f>INDEX('SubRes-RSD_Saving'!$G$16:$AQ$16,MATCH('SubRes-RSD_Invcost'!AC$8,'SubRes-RSD_Saving'!$G$5:$AQ$5,0))/1000</f>
        <v>6</v>
      </c>
      <c r="AD10" s="562">
        <f>INDEX('SubRes-RSD_Saving'!$G$16:$AQ$16,MATCH('SubRes-RSD_Invcost'!AD$8,'SubRes-RSD_Saving'!$G$5:$AQ$5,0))/1000</f>
        <v>11.999999999999998</v>
      </c>
      <c r="AE10" s="562">
        <f>INDEX('SubRes-RSD_Saving'!$G$16:$AQ$16,MATCH('SubRes-RSD_Invcost'!AE$8,'SubRes-RSD_Saving'!$G$5:$AQ$5,0))/1000</f>
        <v>10.5</v>
      </c>
      <c r="AF10" s="562">
        <f>INDEX('SubRes-RSD_Saving'!$G$16:$AQ$16,MATCH('SubRes-RSD_Invcost'!AF$8,'SubRes-RSD_Saving'!$G$5:$AQ$5,0))/1000</f>
        <v>11.999999999999998</v>
      </c>
      <c r="AG10" s="562">
        <f>INDEX('SubRes-RSD_Saving'!$G$16:$AQ$16,MATCH('SubRes-RSD_Invcost'!AG$8,'SubRes-RSD_Saving'!$G$5:$AQ$5,0))/1000</f>
        <v>5.9999999999999991</v>
      </c>
      <c r="AH10" s="562">
        <f>INDEX('SubRes-RSD_Saving'!$G$16:$AQ$16,MATCH('SubRes-RSD_Invcost'!AH$8,'SubRes-RSD_Saving'!$G$5:$AQ$5,0))/1000</f>
        <v>15.3</v>
      </c>
      <c r="AI10" s="562">
        <f>INDEX('SubRes-RSD_Saving'!$G$16:$AQ$16,MATCH('SubRes-RSD_Invcost'!AI$8,'SubRes-RSD_Saving'!$G$5:$AQ$5,0))/1000</f>
        <v>6</v>
      </c>
      <c r="AJ10" s="562">
        <f>INDEX('SubRes-RSD_Saving'!$G$16:$AQ$16,MATCH('SubRes-RSD_Invcost'!AJ$8,'SubRes-RSD_Saving'!$G$5:$AQ$5,0))/1000</f>
        <v>6</v>
      </c>
      <c r="AK10" s="562">
        <f>INDEX('SubRes-RSD_Saving'!$G$16:$AQ$16,MATCH('SubRes-RSD_Invcost'!AK$8,'SubRes-RSD_Saving'!$G$5:$AQ$5,0))/1000</f>
        <v>11.999999999999998</v>
      </c>
      <c r="AL10" s="562">
        <f>INDEX('SubRes-RSD_Saving'!$G$16:$AQ$16,MATCH('SubRes-RSD_Invcost'!AL$8,'SubRes-RSD_Saving'!$G$5:$AQ$5,0))/1000</f>
        <v>5.9999999999999991</v>
      </c>
      <c r="AM10" s="562">
        <f>INDEX('SubRes-RSD_Saving'!$G$16:$AQ$16,MATCH('SubRes-RSD_Invcost'!AM$8,'SubRes-RSD_Saving'!$G$5:$AQ$5,0))/1000</f>
        <v>7.8000000000000007</v>
      </c>
      <c r="AN10" s="562">
        <f>INDEX('SubRes-RSD_Saving'!$G$16:$AQ$16,MATCH('SubRes-RSD_Invcost'!AN$8,'SubRes-RSD_Saving'!$G$5:$AQ$5,0))/1000</f>
        <v>10.5</v>
      </c>
      <c r="AO10" s="562"/>
    </row>
    <row r="11" spans="1:41">
      <c r="A11" s="561" t="s">
        <v>645</v>
      </c>
      <c r="B11" s="561" t="s">
        <v>646</v>
      </c>
      <c r="C11" s="561" t="s">
        <v>649</v>
      </c>
      <c r="D11" s="562">
        <f>INDEX('SubRes-RSD_Saving'!$G$25:$AQ$25,MATCH('SubRes-RSD_Invcost'!D$8,'SubRes-RSD_Saving'!$G$5:$AQ$5,0))/1000</f>
        <v>9.9</v>
      </c>
      <c r="E11" s="562">
        <f>INDEX('SubRes-RSD_Saving'!$G$25:$AQ$25,MATCH('SubRes-RSD_Invcost'!E$8,'SubRes-RSD_Saving'!$G$5:$AQ$5,0))/1000</f>
        <v>9.9</v>
      </c>
      <c r="F11" s="562">
        <f>INDEX('SubRes-RSD_Saving'!$G$25:$AQ$25,MATCH('SubRes-RSD_Invcost'!F$8,'SubRes-RSD_Saving'!$G$5:$AQ$5,0))/1000</f>
        <v>9.9</v>
      </c>
      <c r="G11" s="562">
        <f>INDEX('SubRes-RSD_Saving'!$G$25:$AQ$25,MATCH('SubRes-RSD_Invcost'!G$8,'SubRes-RSD_Saving'!$G$5:$AQ$5,0))/1000</f>
        <v>15</v>
      </c>
      <c r="H11" s="562">
        <f>INDEX('SubRes-RSD_Saving'!$G$25:$AQ$25,MATCH('SubRes-RSD_Invcost'!H$8,'SubRes-RSD_Saving'!$G$5:$AQ$5,0))/1000</f>
        <v>9.9</v>
      </c>
      <c r="I11" s="562">
        <f>INDEX('SubRes-RSD_Saving'!$G$25:$AQ$25,MATCH('SubRes-RSD_Invcost'!I$8,'SubRes-RSD_Saving'!$G$5:$AQ$5,0))/1000</f>
        <v>9.9</v>
      </c>
      <c r="J11" s="562">
        <f>INDEX('SubRes-RSD_Saving'!$G$25:$AQ$25,MATCH('SubRes-RSD_Invcost'!J$8,'SubRes-RSD_Saving'!$G$5:$AQ$5,0))/1000</f>
        <v>14.999999999999998</v>
      </c>
      <c r="K11" s="562">
        <f>INDEX('SubRes-RSD_Saving'!$G$25:$AQ$25,MATCH('SubRes-RSD_Invcost'!K$8,'SubRes-RSD_Saving'!$G$5:$AQ$5,0))/1000</f>
        <v>12.87</v>
      </c>
      <c r="L11" s="562">
        <f>INDEX('SubRes-RSD_Saving'!$G$25:$AQ$25,MATCH('SubRes-RSD_Invcost'!L$8,'SubRes-RSD_Saving'!$G$5:$AQ$5,0))/1000</f>
        <v>12</v>
      </c>
      <c r="M11" s="562">
        <f>INDEX('SubRes-RSD_Saving'!$G$25:$AQ$25,MATCH('SubRes-RSD_Invcost'!M$8,'SubRes-RSD_Saving'!$G$5:$AQ$5,0))/1000</f>
        <v>15</v>
      </c>
      <c r="N11" s="562">
        <f>INDEX('SubRes-RSD_Saving'!$G$25:$AQ$25,MATCH('SubRes-RSD_Invcost'!N$8,'SubRes-RSD_Saving'!$G$5:$AQ$5,0))/1000</f>
        <v>9.9</v>
      </c>
      <c r="O11" s="562">
        <f>INDEX('SubRes-RSD_Saving'!$G$25:$AQ$25,MATCH('SubRes-RSD_Invcost'!O$8,'SubRes-RSD_Saving'!$G$5:$AQ$5,0))/1000</f>
        <v>14.999999999999998</v>
      </c>
      <c r="P11" s="562">
        <f>INDEX('SubRes-RSD_Saving'!$G$25:$AQ$25,MATCH('SubRes-RSD_Invcost'!P$8,'SubRes-RSD_Saving'!$G$5:$AQ$5,0))/1000</f>
        <v>17.485714285714288</v>
      </c>
      <c r="Q11" s="562">
        <f>INDEX('SubRes-RSD_Saving'!$G$25:$AQ$25,MATCH('SubRes-RSD_Invcost'!Q$8,'SubRes-RSD_Saving'!$G$5:$AQ$5,0))/1000</f>
        <v>15</v>
      </c>
      <c r="R11" s="562">
        <f>INDEX('SubRes-RSD_Saving'!$G$25:$AQ$25,MATCH('SubRes-RSD_Invcost'!R$8,'SubRes-RSD_Saving'!$G$5:$AQ$5,0))/1000</f>
        <v>16.114285714285714</v>
      </c>
      <c r="S11" s="562">
        <f>INDEX('SubRes-RSD_Saving'!$G$25:$AQ$25,MATCH('SubRes-RSD_Invcost'!S$8,'SubRes-RSD_Saving'!$G$5:$AQ$5,0))/1000</f>
        <v>9.9</v>
      </c>
      <c r="T11" s="562">
        <f>INDEX('SubRes-RSD_Saving'!$G$25:$AQ$25,MATCH('SubRes-RSD_Invcost'!T$8,'SubRes-RSD_Saving'!$G$5:$AQ$5,0))/1000</f>
        <v>9.9</v>
      </c>
      <c r="U11" s="562">
        <f>INDEX('SubRes-RSD_Saving'!$G$25:$AQ$25,MATCH('SubRes-RSD_Invcost'!U$8,'SubRes-RSD_Saving'!$G$5:$AQ$5,0))/1000</f>
        <v>12</v>
      </c>
      <c r="V11" s="562">
        <f>INDEX('SubRes-RSD_Saving'!$G$25:$AQ$25,MATCH('SubRes-RSD_Invcost'!V$8,'SubRes-RSD_Saving'!$G$5:$AQ$5,0))/1000</f>
        <v>15</v>
      </c>
      <c r="W11" s="562">
        <f>INDEX('SubRes-RSD_Saving'!$G$25:$AQ$25,MATCH('SubRes-RSD_Invcost'!W$8,'SubRes-RSD_Saving'!$G$5:$AQ$5,0))/1000</f>
        <v>15</v>
      </c>
      <c r="X11" s="562">
        <f>INDEX('SubRes-RSD_Saving'!$G$25:$AQ$25,MATCH('SubRes-RSD_Invcost'!X$8,'SubRes-RSD_Saving'!$G$5:$AQ$5,0))/1000</f>
        <v>9.9</v>
      </c>
      <c r="Y11" s="562">
        <f>INDEX('SubRes-RSD_Saving'!$G$25:$AQ$25,MATCH('SubRes-RSD_Invcost'!Y$8,'SubRes-RSD_Saving'!$G$5:$AQ$5,0))/1000</f>
        <v>9.9</v>
      </c>
      <c r="Z11" s="562">
        <f>INDEX('SubRes-RSD_Saving'!$G$25:$AQ$25,MATCH('SubRes-RSD_Invcost'!Z$8,'SubRes-RSD_Saving'!$G$5:$AQ$5,0))/1000</f>
        <v>15</v>
      </c>
      <c r="AA11" s="562">
        <f>INDEX('SubRes-RSD_Saving'!$G$25:$AQ$25,MATCH('SubRes-RSD_Invcost'!AA$8,'SubRes-RSD_Saving'!$G$5:$AQ$5,0))/1000</f>
        <v>9.9</v>
      </c>
      <c r="AB11" s="562">
        <f>INDEX('SubRes-RSD_Saving'!$G$25:$AQ$25,MATCH('SubRes-RSD_Invcost'!AB$8,'SubRes-RSD_Saving'!$G$5:$AQ$5,0))/1000</f>
        <v>9.9</v>
      </c>
      <c r="AC11" s="562">
        <f>INDEX('SubRes-RSD_Saving'!$G$25:$AQ$25,MATCH('SubRes-RSD_Invcost'!AC$8,'SubRes-RSD_Saving'!$G$5:$AQ$5,0))/1000</f>
        <v>9.9</v>
      </c>
      <c r="AD11" s="562">
        <f>INDEX('SubRes-RSD_Saving'!$G$25:$AQ$25,MATCH('SubRes-RSD_Invcost'!AD$8,'SubRes-RSD_Saving'!$G$5:$AQ$5,0))/1000</f>
        <v>15</v>
      </c>
      <c r="AE11" s="562">
        <f>INDEX('SubRes-RSD_Saving'!$G$25:$AQ$25,MATCH('SubRes-RSD_Invcost'!AE$8,'SubRes-RSD_Saving'!$G$5:$AQ$5,0))/1000</f>
        <v>12</v>
      </c>
      <c r="AF11" s="562">
        <f>INDEX('SubRes-RSD_Saving'!$G$25:$AQ$25,MATCH('SubRes-RSD_Invcost'!AF$8,'SubRes-RSD_Saving'!$G$5:$AQ$5,0))/1000</f>
        <v>15</v>
      </c>
      <c r="AG11" s="562">
        <f>INDEX('SubRes-RSD_Saving'!$G$25:$AQ$25,MATCH('SubRes-RSD_Invcost'!AG$8,'SubRes-RSD_Saving'!$G$5:$AQ$5,0))/1000</f>
        <v>9.9</v>
      </c>
      <c r="AH11" s="562">
        <f>INDEX('SubRes-RSD_Saving'!$G$25:$AQ$25,MATCH('SubRes-RSD_Invcost'!AH$8,'SubRes-RSD_Saving'!$G$5:$AQ$5,0))/1000</f>
        <v>17.485714285714288</v>
      </c>
      <c r="AI11" s="562">
        <f>INDEX('SubRes-RSD_Saving'!$G$25:$AQ$25,MATCH('SubRes-RSD_Invcost'!AI$8,'SubRes-RSD_Saving'!$G$5:$AQ$5,0))/1000</f>
        <v>9.9</v>
      </c>
      <c r="AJ11" s="562">
        <f>INDEX('SubRes-RSD_Saving'!$G$25:$AQ$25,MATCH('SubRes-RSD_Invcost'!AJ$8,'SubRes-RSD_Saving'!$G$5:$AQ$5,0))/1000</f>
        <v>9.9</v>
      </c>
      <c r="AK11" s="562">
        <f>INDEX('SubRes-RSD_Saving'!$G$25:$AQ$25,MATCH('SubRes-RSD_Invcost'!AK$8,'SubRes-RSD_Saving'!$G$5:$AQ$5,0))/1000</f>
        <v>15</v>
      </c>
      <c r="AL11" s="562">
        <f>INDEX('SubRes-RSD_Saving'!$G$25:$AQ$25,MATCH('SubRes-RSD_Invcost'!AL$8,'SubRes-RSD_Saving'!$G$5:$AQ$5,0))/1000</f>
        <v>9.9</v>
      </c>
      <c r="AM11" s="562">
        <f>INDEX('SubRes-RSD_Saving'!$G$25:$AQ$25,MATCH('SubRes-RSD_Invcost'!AM$8,'SubRes-RSD_Saving'!$G$5:$AQ$5,0))/1000</f>
        <v>9.9</v>
      </c>
      <c r="AN11" s="562">
        <f>INDEX('SubRes-RSD_Saving'!$G$25:$AQ$25,MATCH('SubRes-RSD_Invcost'!AN$8,'SubRes-RSD_Saving'!$G$5:$AQ$5,0))/1000</f>
        <v>12</v>
      </c>
      <c r="AO11" s="562"/>
    </row>
    <row r="12" spans="1:41">
      <c r="A12" s="561" t="s">
        <v>645</v>
      </c>
      <c r="B12" s="561" t="s">
        <v>646</v>
      </c>
      <c r="C12" s="561" t="s">
        <v>650</v>
      </c>
      <c r="D12" s="562">
        <f>INDEX('SubRes-RSD_Saving'!$G$44:$AQ$44,MATCH('SubRes-RSD_Invcost'!D$8,'SubRes-RSD_Saving'!$G$5:$AQ$5,0))/1000</f>
        <v>1.8014699587500005</v>
      </c>
      <c r="E12" s="562">
        <f>INDEX('SubRes-RSD_Saving'!$G$44:$AQ$44,MATCH('SubRes-RSD_Invcost'!E$8,'SubRes-RSD_Saving'!$G$5:$AQ$5,0))/1000</f>
        <v>3.1456031250000001</v>
      </c>
      <c r="F12" s="562">
        <f>INDEX('SubRes-RSD_Saving'!$G$44:$AQ$44,MATCH('SubRes-RSD_Invcost'!F$8,'SubRes-RSD_Saving'!$G$5:$AQ$5,0))/1000</f>
        <v>1.3537339396874999</v>
      </c>
      <c r="G12" s="562">
        <f>INDEX('SubRes-RSD_Saving'!$G$44:$AQ$44,MATCH('SubRes-RSD_Invcost'!G$8,'SubRes-RSD_Saving'!$G$5:$AQ$5,0))/1000</f>
        <v>3.7378086046874985</v>
      </c>
      <c r="H12" s="562">
        <f>INDEX('SubRes-RSD_Saving'!$G$44:$AQ$44,MATCH('SubRes-RSD_Invcost'!H$8,'SubRes-RSD_Saving'!$G$5:$AQ$5,0))/1000</f>
        <v>1.2522834253124999</v>
      </c>
      <c r="I12" s="562">
        <f>INDEX('SubRes-RSD_Saving'!$G$44:$AQ$44,MATCH('SubRes-RSD_Invcost'!I$8,'SubRes-RSD_Saving'!$G$5:$AQ$5,0))/1000</f>
        <v>3.1456031250000001</v>
      </c>
      <c r="J12" s="562">
        <f>INDEX('SubRes-RSD_Saving'!$G$44:$AQ$44,MATCH('SubRes-RSD_Invcost'!J$8,'SubRes-RSD_Saving'!$G$5:$AQ$5,0))/1000</f>
        <v>3.3026949243750003</v>
      </c>
      <c r="K12" s="562">
        <f>INDEX('SubRes-RSD_Saving'!$G$44:$AQ$44,MATCH('SubRes-RSD_Invcost'!K$8,'SubRes-RSD_Saving'!$G$5:$AQ$5,0))/1000</f>
        <v>1.31057348625</v>
      </c>
      <c r="L12" s="562">
        <f>INDEX('SubRes-RSD_Saving'!$G$44:$AQ$44,MATCH('SubRes-RSD_Invcost'!L$8,'SubRes-RSD_Saving'!$G$5:$AQ$5,0))/1000</f>
        <v>1.0568909728125</v>
      </c>
      <c r="M12" s="562">
        <f>INDEX('SubRes-RSD_Saving'!$G$44:$AQ$44,MATCH('SubRes-RSD_Invcost'!M$8,'SubRes-RSD_Saving'!$G$5:$AQ$5,0))/1000</f>
        <v>3.5096250000000015</v>
      </c>
      <c r="N12" s="562">
        <f>INDEX('SubRes-RSD_Saving'!$G$44:$AQ$44,MATCH('SubRes-RSD_Invcost'!N$8,'SubRes-RSD_Saving'!$G$5:$AQ$5,0))/1000</f>
        <v>1.6791321881250001</v>
      </c>
      <c r="O12" s="562">
        <f>INDEX('SubRes-RSD_Saving'!$G$44:$AQ$44,MATCH('SubRes-RSD_Invcost'!O$8,'SubRes-RSD_Saving'!$G$5:$AQ$5,0))/1000</f>
        <v>3.3026949243750003</v>
      </c>
      <c r="P12" s="562">
        <f>INDEX('SubRes-RSD_Saving'!$G$44:$AQ$44,MATCH('SubRes-RSD_Invcost'!P$8,'SubRes-RSD_Saving'!$G$5:$AQ$5,0))/1000</f>
        <v>2.5488015328125004</v>
      </c>
      <c r="Q12" s="562">
        <f>INDEX('SubRes-RSD_Saving'!$G$44:$AQ$44,MATCH('SubRes-RSD_Invcost'!Q$8,'SubRes-RSD_Saving'!$G$5:$AQ$5,0))/1000</f>
        <v>3.1828124999999994</v>
      </c>
      <c r="R12" s="562">
        <f>INDEX('SubRes-RSD_Saving'!$G$44:$AQ$44,MATCH('SubRes-RSD_Invcost'!R$8,'SubRes-RSD_Saving'!$G$5:$AQ$5,0))/1000</f>
        <v>3.6626933109375006</v>
      </c>
      <c r="S12" s="562">
        <f>INDEX('SubRes-RSD_Saving'!$G$44:$AQ$44,MATCH('SubRes-RSD_Invcost'!S$8,'SubRes-RSD_Saving'!$G$5:$AQ$5,0))/1000</f>
        <v>1.3537339396874999</v>
      </c>
      <c r="T12" s="562">
        <f>INDEX('SubRes-RSD_Saving'!$G$44:$AQ$44,MATCH('SubRes-RSD_Invcost'!T$8,'SubRes-RSD_Saving'!$G$5:$AQ$5,0))/1000</f>
        <v>1.8338730243750001</v>
      </c>
      <c r="U12" s="562">
        <f>INDEX('SubRes-RSD_Saving'!$G$44:$AQ$44,MATCH('SubRes-RSD_Invcost'!U$8,'SubRes-RSD_Saving'!$G$5:$AQ$5,0))/1000</f>
        <v>3.8620264265625006</v>
      </c>
      <c r="V12" s="562">
        <f>INDEX('SubRes-RSD_Saving'!$G$44:$AQ$44,MATCH('SubRes-RSD_Invcost'!V$8,'SubRes-RSD_Saving'!$G$5:$AQ$5,0))/1000</f>
        <v>2.5462499999999997</v>
      </c>
      <c r="W12" s="562">
        <f>INDEX('SubRes-RSD_Saving'!$G$44:$AQ$44,MATCH('SubRes-RSD_Invcost'!W$8,'SubRes-RSD_Saving'!$G$5:$AQ$5,0))/1000</f>
        <v>3.9594843750000015</v>
      </c>
      <c r="X12" s="562">
        <f>INDEX('SubRes-RSD_Saving'!$G$44:$AQ$44,MATCH('SubRes-RSD_Invcost'!X$8,'SubRes-RSD_Saving'!$G$5:$AQ$5,0))/1000</f>
        <v>1.3537339396874999</v>
      </c>
      <c r="Y12" s="562">
        <f>INDEX('SubRes-RSD_Saving'!$G$44:$AQ$44,MATCH('SubRes-RSD_Invcost'!Y$8,'SubRes-RSD_Saving'!$G$5:$AQ$5,0))/1000</f>
        <v>1.9016603156249998</v>
      </c>
      <c r="Z12" s="562">
        <f>INDEX('SubRes-RSD_Saving'!$G$44:$AQ$44,MATCH('SubRes-RSD_Invcost'!Z$8,'SubRes-RSD_Saving'!$G$5:$AQ$5,0))/1000</f>
        <v>2.2980984337500003</v>
      </c>
      <c r="AA12" s="562">
        <f>INDEX('SubRes-RSD_Saving'!$G$44:$AQ$44,MATCH('SubRes-RSD_Invcost'!AA$8,'SubRes-RSD_Saving'!$G$5:$AQ$5,0))/1000</f>
        <v>1.8900000000000001</v>
      </c>
      <c r="AB12" s="562">
        <f>INDEX('SubRes-RSD_Saving'!$G$44:$AQ$44,MATCH('SubRes-RSD_Invcost'!AB$8,'SubRes-RSD_Saving'!$G$5:$AQ$5,0))/1000</f>
        <v>1.8014699587500005</v>
      </c>
      <c r="AC12" s="562">
        <f>INDEX('SubRes-RSD_Saving'!$G$44:$AQ$44,MATCH('SubRes-RSD_Invcost'!AC$8,'SubRes-RSD_Saving'!$G$5:$AQ$5,0))/1000</f>
        <v>1.3537339396874999</v>
      </c>
      <c r="AD12" s="562">
        <f>INDEX('SubRes-RSD_Saving'!$G$44:$AQ$44,MATCH('SubRes-RSD_Invcost'!AD$8,'SubRes-RSD_Saving'!$G$5:$AQ$5,0))/1000</f>
        <v>3.5680112015625007</v>
      </c>
      <c r="AE12" s="562">
        <f>INDEX('SubRes-RSD_Saving'!$G$44:$AQ$44,MATCH('SubRes-RSD_Invcost'!AE$8,'SubRes-RSD_Saving'!$G$5:$AQ$5,0))/1000</f>
        <v>3.761303437500001</v>
      </c>
      <c r="AF12" s="562">
        <f>INDEX('SubRes-RSD_Saving'!$G$44:$AQ$44,MATCH('SubRes-RSD_Invcost'!AF$8,'SubRes-RSD_Saving'!$G$5:$AQ$5,0))/1000</f>
        <v>4.091718750000001</v>
      </c>
      <c r="AG12" s="562">
        <f>INDEX('SubRes-RSD_Saving'!$G$44:$AQ$44,MATCH('SubRes-RSD_Invcost'!AG$8,'SubRes-RSD_Saving'!$G$5:$AQ$5,0))/1000</f>
        <v>2.5272927487500003</v>
      </c>
      <c r="AH12" s="562">
        <f>INDEX('SubRes-RSD_Saving'!$G$44:$AQ$44,MATCH('SubRes-RSD_Invcost'!AH$8,'SubRes-RSD_Saving'!$G$5:$AQ$5,0))/1000</f>
        <v>2.6656135209375007</v>
      </c>
      <c r="AI12" s="562">
        <f>INDEX('SubRes-RSD_Saving'!$G$44:$AQ$44,MATCH('SubRes-RSD_Invcost'!AI$8,'SubRes-RSD_Saving'!$G$5:$AQ$5,0))/1000</f>
        <v>1.9068572775000006</v>
      </c>
      <c r="AJ12" s="562">
        <f>INDEX('SubRes-RSD_Saving'!$G$44:$AQ$44,MATCH('SubRes-RSD_Invcost'!AJ$8,'SubRes-RSD_Saving'!$G$5:$AQ$5,0))/1000</f>
        <v>1.3537339396874999</v>
      </c>
      <c r="AK12" s="562">
        <f>INDEX('SubRes-RSD_Saving'!$G$44:$AQ$44,MATCH('SubRes-RSD_Invcost'!AK$8,'SubRes-RSD_Saving'!$G$5:$AQ$5,0))/1000</f>
        <v>4.091718750000001</v>
      </c>
      <c r="AL12" s="562">
        <f>INDEX('SubRes-RSD_Saving'!$G$44:$AQ$44,MATCH('SubRes-RSD_Invcost'!AL$8,'SubRes-RSD_Saving'!$G$5:$AQ$5,0))/1000</f>
        <v>1.8802085399999999</v>
      </c>
      <c r="AM12" s="562">
        <f>INDEX('SubRes-RSD_Saving'!$G$44:$AQ$44,MATCH('SubRes-RSD_Invcost'!AM$8,'SubRes-RSD_Saving'!$G$5:$AQ$5,0))/1000</f>
        <v>1.2620427750000003</v>
      </c>
      <c r="AN12" s="562">
        <f>INDEX('SubRes-RSD_Saving'!$G$44:$AQ$44,MATCH('SubRes-RSD_Invcost'!AN$8,'SubRes-RSD_Saving'!$G$5:$AQ$5,0))/1000</f>
        <v>2.6797968750000005</v>
      </c>
      <c r="AO12" s="562"/>
    </row>
    <row r="13" spans="1:41">
      <c r="A13" s="561" t="s">
        <v>645</v>
      </c>
      <c r="B13" s="561" t="s">
        <v>646</v>
      </c>
      <c r="C13" s="561" t="s">
        <v>651</v>
      </c>
      <c r="D13" s="562">
        <f>INDEX('SubRes-RSD_Saving'!$G$35:$AQ$35,MATCH('SubRes-RSD_Invcost'!D$8,'SubRes-RSD_Saving'!$G$5:$AQ$5,0))/1000</f>
        <v>1.5012249656250005</v>
      </c>
      <c r="E13" s="562">
        <f>INDEX('SubRes-RSD_Saving'!$G$35:$AQ$35,MATCH('SubRes-RSD_Invcost'!E$8,'SubRes-RSD_Saving'!$G$5:$AQ$5,0))/1000</f>
        <v>2.0017474431818183</v>
      </c>
      <c r="F13" s="562">
        <f>INDEX('SubRes-RSD_Saving'!$G$35:$AQ$35,MATCH('SubRes-RSD_Invcost'!F$8,'SubRes-RSD_Saving'!$G$5:$AQ$5,0))/1000</f>
        <v>1.1281116164062501</v>
      </c>
      <c r="G13" s="562">
        <f>INDEX('SubRes-RSD_Saving'!$G$35:$AQ$35,MATCH('SubRes-RSD_Invcost'!G$8,'SubRes-RSD_Saving'!$G$5:$AQ$5,0))/1000</f>
        <v>2.3786054757102266</v>
      </c>
      <c r="H13" s="562">
        <f>INDEX('SubRes-RSD_Saving'!$G$35:$AQ$35,MATCH('SubRes-RSD_Invcost'!H$8,'SubRes-RSD_Saving'!$G$5:$AQ$5,0))/1000</f>
        <v>1.0435695210937499</v>
      </c>
      <c r="I13" s="562">
        <f>INDEX('SubRes-RSD_Saving'!$G$35:$AQ$35,MATCH('SubRes-RSD_Invcost'!I$8,'SubRes-RSD_Saving'!$G$5:$AQ$5,0))/1000</f>
        <v>2.0017474431818183</v>
      </c>
      <c r="J13" s="562">
        <f>INDEX('SubRes-RSD_Saving'!$G$35:$AQ$35,MATCH('SubRes-RSD_Invcost'!J$8,'SubRes-RSD_Saving'!$G$5:$AQ$5,0))/1000</f>
        <v>2.1017149518750005</v>
      </c>
      <c r="K13" s="562">
        <f>INDEX('SubRes-RSD_Saving'!$G$35:$AQ$35,MATCH('SubRes-RSD_Invcost'!K$8,'SubRes-RSD_Saving'!$G$5:$AQ$5,0))/1000</f>
        <v>1.092144571875</v>
      </c>
      <c r="L13" s="562">
        <f>INDEX('SubRes-RSD_Saving'!$G$35:$AQ$35,MATCH('SubRes-RSD_Invcost'!L$8,'SubRes-RSD_Saving'!$G$5:$AQ$5,0))/1000</f>
        <v>0.67256698269886361</v>
      </c>
      <c r="M13" s="562">
        <f>INDEX('SubRes-RSD_Saving'!$G$35:$AQ$35,MATCH('SubRes-RSD_Invcost'!M$8,'SubRes-RSD_Saving'!$G$5:$AQ$5,0))/1000</f>
        <v>2.2333977272727279</v>
      </c>
      <c r="N13" s="562">
        <f>INDEX('SubRes-RSD_Saving'!$G$35:$AQ$35,MATCH('SubRes-RSD_Invcost'!N$8,'SubRes-RSD_Saving'!$G$5:$AQ$5,0))/1000</f>
        <v>1.3992768234375002</v>
      </c>
      <c r="O13" s="562">
        <f>INDEX('SubRes-RSD_Saving'!$G$35:$AQ$35,MATCH('SubRes-RSD_Invcost'!O$8,'SubRes-RSD_Saving'!$G$5:$AQ$5,0))/1000</f>
        <v>2.1017149518750005</v>
      </c>
      <c r="P13" s="562">
        <f>INDEX('SubRes-RSD_Saving'!$G$35:$AQ$35,MATCH('SubRes-RSD_Invcost'!P$8,'SubRes-RSD_Saving'!$G$5:$AQ$5,0))/1000</f>
        <v>1.6219646117897732</v>
      </c>
      <c r="Q13" s="562">
        <f>INDEX('SubRes-RSD_Saving'!$G$35:$AQ$35,MATCH('SubRes-RSD_Invcost'!Q$8,'SubRes-RSD_Saving'!$G$5:$AQ$5,0))/1000</f>
        <v>2.0254261363636359</v>
      </c>
      <c r="R13" s="562">
        <f>INDEX('SubRes-RSD_Saving'!$G$35:$AQ$35,MATCH('SubRes-RSD_Invcost'!R$8,'SubRes-RSD_Saving'!$G$5:$AQ$5,0))/1000</f>
        <v>2.3308048342329544</v>
      </c>
      <c r="S13" s="562">
        <f>INDEX('SubRes-RSD_Saving'!$G$35:$AQ$35,MATCH('SubRes-RSD_Invcost'!S$8,'SubRes-RSD_Saving'!$G$5:$AQ$5,0))/1000</f>
        <v>1.1281116164062501</v>
      </c>
      <c r="T13" s="562">
        <f>INDEX('SubRes-RSD_Saving'!$G$35:$AQ$35,MATCH('SubRes-RSD_Invcost'!T$8,'SubRes-RSD_Saving'!$G$5:$AQ$5,0))/1000</f>
        <v>1.5282275203125</v>
      </c>
      <c r="U13" s="562">
        <f>INDEX('SubRes-RSD_Saving'!$G$35:$AQ$35,MATCH('SubRes-RSD_Invcost'!U$8,'SubRes-RSD_Saving'!$G$5:$AQ$5,0))/1000</f>
        <v>2.4576531805397726</v>
      </c>
      <c r="V13" s="562">
        <f>INDEX('SubRes-RSD_Saving'!$G$35:$AQ$35,MATCH('SubRes-RSD_Invcost'!V$8,'SubRes-RSD_Saving'!$G$5:$AQ$5,0))/1000</f>
        <v>1.6203409090909084</v>
      </c>
      <c r="W13" s="562">
        <f>INDEX('SubRes-RSD_Saving'!$G$35:$AQ$35,MATCH('SubRes-RSD_Invcost'!W$8,'SubRes-RSD_Saving'!$G$5:$AQ$5,0))/1000</f>
        <v>2.5196718750000011</v>
      </c>
      <c r="X13" s="562">
        <f>INDEX('SubRes-RSD_Saving'!$G$35:$AQ$35,MATCH('SubRes-RSD_Invcost'!X$8,'SubRes-RSD_Saving'!$G$5:$AQ$5,0))/1000</f>
        <v>1.1281116164062501</v>
      </c>
      <c r="Y13" s="562">
        <f>INDEX('SubRes-RSD_Saving'!$G$35:$AQ$35,MATCH('SubRes-RSD_Invcost'!Y$8,'SubRes-RSD_Saving'!$G$5:$AQ$5,0))/1000</f>
        <v>1.5847169296874999</v>
      </c>
      <c r="Z13" s="562">
        <f>INDEX('SubRes-RSD_Saving'!$G$35:$AQ$35,MATCH('SubRes-RSD_Invcost'!Z$8,'SubRes-RSD_Saving'!$G$5:$AQ$5,0))/1000</f>
        <v>1.4624262760227273</v>
      </c>
      <c r="AA13" s="562">
        <f>INDEX('SubRes-RSD_Saving'!$G$35:$AQ$35,MATCH('SubRes-RSD_Invcost'!AA$8,'SubRes-RSD_Saving'!$G$5:$AQ$5,0))/1000</f>
        <v>1.5750000000000002</v>
      </c>
      <c r="AB13" s="562">
        <f>INDEX('SubRes-RSD_Saving'!$G$35:$AQ$35,MATCH('SubRes-RSD_Invcost'!AB$8,'SubRes-RSD_Saving'!$G$5:$AQ$5,0))/1000</f>
        <v>1.5012249656250005</v>
      </c>
      <c r="AC13" s="562">
        <f>INDEX('SubRes-RSD_Saving'!$G$35:$AQ$35,MATCH('SubRes-RSD_Invcost'!AC$8,'SubRes-RSD_Saving'!$G$5:$AQ$5,0))/1000</f>
        <v>1.1281116164062501</v>
      </c>
      <c r="AD13" s="562">
        <f>INDEX('SubRes-RSD_Saving'!$G$35:$AQ$35,MATCH('SubRes-RSD_Invcost'!AD$8,'SubRes-RSD_Saving'!$G$5:$AQ$5,0))/1000</f>
        <v>2.2705525828125004</v>
      </c>
      <c r="AE13" s="562">
        <f>INDEX('SubRes-RSD_Saving'!$G$35:$AQ$35,MATCH('SubRes-RSD_Invcost'!AE$8,'SubRes-RSD_Saving'!$G$5:$AQ$5,0))/1000</f>
        <v>2.3935567329545457</v>
      </c>
      <c r="AF13" s="562">
        <f>INDEX('SubRes-RSD_Saving'!$G$35:$AQ$35,MATCH('SubRes-RSD_Invcost'!AF$8,'SubRes-RSD_Saving'!$G$5:$AQ$5,0))/1000</f>
        <v>2.6038210227272729</v>
      </c>
      <c r="AG13" s="562">
        <f>INDEX('SubRes-RSD_Saving'!$G$35:$AQ$35,MATCH('SubRes-RSD_Invcost'!AG$8,'SubRes-RSD_Saving'!$G$5:$AQ$5,0))/1000</f>
        <v>2.106077290625</v>
      </c>
      <c r="AH13" s="562">
        <f>INDEX('SubRes-RSD_Saving'!$G$35:$AQ$35,MATCH('SubRes-RSD_Invcost'!AH$8,'SubRes-RSD_Saving'!$G$5:$AQ$5,0))/1000</f>
        <v>1.6962995133238643</v>
      </c>
      <c r="AI13" s="562">
        <f>INDEX('SubRes-RSD_Saving'!$G$35:$AQ$35,MATCH('SubRes-RSD_Invcost'!AI$8,'SubRes-RSD_Saving'!$G$5:$AQ$5,0))/1000</f>
        <v>1.5890477312500004</v>
      </c>
      <c r="AJ13" s="562">
        <f>INDEX('SubRes-RSD_Saving'!$G$35:$AQ$35,MATCH('SubRes-RSD_Invcost'!AJ$8,'SubRes-RSD_Saving'!$G$5:$AQ$5,0))/1000</f>
        <v>1.1281116164062501</v>
      </c>
      <c r="AK13" s="562">
        <f>INDEX('SubRes-RSD_Saving'!$G$35:$AQ$35,MATCH('SubRes-RSD_Invcost'!AK$8,'SubRes-RSD_Saving'!$G$5:$AQ$5,0))/1000</f>
        <v>2.6038210227272729</v>
      </c>
      <c r="AL13" s="562">
        <f>INDEX('SubRes-RSD_Saving'!$G$35:$AQ$35,MATCH('SubRes-RSD_Invcost'!AL$8,'SubRes-RSD_Saving'!$G$5:$AQ$5,0))/1000</f>
        <v>1.5668404499999999</v>
      </c>
      <c r="AM13" s="562">
        <f>INDEX('SubRes-RSD_Saving'!$G$35:$AQ$35,MATCH('SubRes-RSD_Invcost'!AM$8,'SubRes-RSD_Saving'!$G$5:$AQ$5,0))/1000</f>
        <v>1.0517023125000002</v>
      </c>
      <c r="AN13" s="562">
        <f>INDEX('SubRes-RSD_Saving'!$G$35:$AQ$35,MATCH('SubRes-RSD_Invcost'!AN$8,'SubRes-RSD_Saving'!$G$5:$AQ$5,0))/1000</f>
        <v>1.705325284090909</v>
      </c>
      <c r="AO13" s="562"/>
    </row>
    <row r="14" spans="1:41">
      <c r="A14" s="561" t="s">
        <v>645</v>
      </c>
      <c r="B14" s="561" t="s">
        <v>646</v>
      </c>
      <c r="C14" s="561" t="s">
        <v>652</v>
      </c>
      <c r="D14" s="562">
        <f>INDEX('SubRes-RSD_Saving'!$G$63:$AQ$63,MATCH('SubRes-RSD_Invcost'!D$8,'SubRes-RSD_Saving'!$G$5:$AQ$5,0))/1000</f>
        <v>4.5449103265343131</v>
      </c>
      <c r="E14" s="562">
        <f>INDEX('SubRes-RSD_Saving'!$G$63:$AQ$63,MATCH('SubRes-RSD_Invcost'!E$8,'SubRes-RSD_Saving'!$G$5:$AQ$5,0))/1000</f>
        <v>12.439069089869543</v>
      </c>
      <c r="F14" s="562">
        <f>INDEX('SubRes-RSD_Saving'!$G$63:$AQ$63,MATCH('SubRes-RSD_Invcost'!F$8,'SubRes-RSD_Saving'!$G$5:$AQ$5,0))/1000</f>
        <v>3.8200204274981688</v>
      </c>
      <c r="G14" s="562">
        <f>INDEX('SubRes-RSD_Saving'!$G$63:$AQ$63,MATCH('SubRes-RSD_Invcost'!G$8,'SubRes-RSD_Saving'!$G$5:$AQ$5,0))/1000</f>
        <v>12.938027790829196</v>
      </c>
      <c r="H14" s="562">
        <f>INDEX('SubRes-RSD_Saving'!$G$63:$AQ$63,MATCH('SubRes-RSD_Invcost'!H$8,'SubRes-RSD_Saving'!$G$5:$AQ$5,0))/1000</f>
        <v>3.6397144434424509</v>
      </c>
      <c r="I14" s="562">
        <f>INDEX('SubRes-RSD_Saving'!$G$63:$AQ$63,MATCH('SubRes-RSD_Invcost'!I$8,'SubRes-RSD_Saving'!$G$5:$AQ$5,0))/1000</f>
        <v>12.439069089869543</v>
      </c>
      <c r="J14" s="562">
        <f>INDEX('SubRes-RSD_Saving'!$G$63:$AQ$63,MATCH('SubRes-RSD_Invcost'!J$8,'SubRes-RSD_Saving'!$G$5:$AQ$5,0))/1000</f>
        <v>10.604790761913396</v>
      </c>
      <c r="K14" s="562">
        <f>INDEX('SubRes-RSD_Saving'!$G$63:$AQ$63,MATCH('SubRes-RSD_Invcost'!K$8,'SubRes-RSD_Saving'!$G$5:$AQ$5,0))/1000</f>
        <v>7.9798679421181813</v>
      </c>
      <c r="L14" s="562">
        <f>INDEX('SubRes-RSD_Saving'!$G$63:$AQ$63,MATCH('SubRes-RSD_Invcost'!L$8,'SubRes-RSD_Saving'!$G$5:$AQ$5,0))/1000</f>
        <v>12.495086352748158</v>
      </c>
      <c r="M14" s="562">
        <f>INDEX('SubRes-RSD_Saving'!$G$63:$AQ$63,MATCH('SubRes-RSD_Invcost'!M$8,'SubRes-RSD_Saving'!$G$5:$AQ$5,0))/1000</f>
        <v>11.047753709147555</v>
      </c>
      <c r="N14" s="562">
        <f>INDEX('SubRes-RSD_Saving'!$G$63:$AQ$63,MATCH('SubRes-RSD_Invcost'!N$8,'SubRes-RSD_Saving'!$G$5:$AQ$5,0))/1000</f>
        <v>4.3567783190847988</v>
      </c>
      <c r="O14" s="562">
        <f>INDEX('SubRes-RSD_Saving'!$G$63:$AQ$63,MATCH('SubRes-RSD_Invcost'!O$8,'SubRes-RSD_Saving'!$G$5:$AQ$5,0))/1000</f>
        <v>10.604790761913396</v>
      </c>
      <c r="P14" s="562">
        <f>INDEX('SubRes-RSD_Saving'!$G$63:$AQ$63,MATCH('SubRes-RSD_Invcost'!P$8,'SubRes-RSD_Saving'!$G$5:$AQ$5,0))/1000</f>
        <v>12.740352422474931</v>
      </c>
      <c r="Q14" s="562">
        <f>INDEX('SubRes-RSD_Saving'!$G$63:$AQ$63,MATCH('SubRes-RSD_Invcost'!Q$8,'SubRes-RSD_Saving'!$G$5:$AQ$5,0))/1000</f>
        <v>9.1506880516782054</v>
      </c>
      <c r="R14" s="562">
        <f>INDEX('SubRes-RSD_Saving'!$G$63:$AQ$63,MATCH('SubRes-RSD_Invcost'!R$8,'SubRes-RSD_Saving'!$G$5:$AQ$5,0))/1000</f>
        <v>10.937972667029578</v>
      </c>
      <c r="S14" s="562">
        <f>INDEX('SubRes-RSD_Saving'!$G$63:$AQ$63,MATCH('SubRes-RSD_Invcost'!S$8,'SubRes-RSD_Saving'!$G$5:$AQ$5,0))/1000</f>
        <v>3.8200204274981688</v>
      </c>
      <c r="T14" s="562">
        <f>INDEX('SubRes-RSD_Saving'!$G$63:$AQ$63,MATCH('SubRes-RSD_Invcost'!T$8,'SubRes-RSD_Saving'!$G$5:$AQ$5,0))/1000</f>
        <v>4.5936609236464534</v>
      </c>
      <c r="U14" s="562">
        <f>INDEX('SubRes-RSD_Saving'!$G$63:$AQ$63,MATCH('SubRes-RSD_Invcost'!U$8,'SubRes-RSD_Saving'!$G$5:$AQ$5,0))/1000</f>
        <v>13.188335477796821</v>
      </c>
      <c r="V14" s="562">
        <f>INDEX('SubRes-RSD_Saving'!$G$63:$AQ$63,MATCH('SubRes-RSD_Invcost'!V$8,'SubRes-RSD_Saving'!$G$5:$AQ$5,0))/1000</f>
        <v>9.1506880516782054</v>
      </c>
      <c r="W14" s="562">
        <f>INDEX('SubRes-RSD_Saving'!$G$63:$AQ$63,MATCH('SubRes-RSD_Invcost'!W$8,'SubRes-RSD_Saving'!$G$5:$AQ$5,0))/1000</f>
        <v>11.810815935810524</v>
      </c>
      <c r="X14" s="562">
        <f>INDEX('SubRes-RSD_Saving'!$G$63:$AQ$63,MATCH('SubRes-RSD_Invcost'!X$8,'SubRes-RSD_Saving'!$G$5:$AQ$5,0))/1000</f>
        <v>3.8200204274981688</v>
      </c>
      <c r="Y14" s="562">
        <f>INDEX('SubRes-RSD_Saving'!$G$63:$AQ$63,MATCH('SubRes-RSD_Invcost'!Y$8,'SubRes-RSD_Saving'!$G$5:$AQ$5,0))/1000</f>
        <v>4.6942734541672158</v>
      </c>
      <c r="Z14" s="562">
        <f>INDEX('SubRes-RSD_Saving'!$G$63:$AQ$63,MATCH('SubRes-RSD_Invcost'!Z$8,'SubRes-RSD_Saving'!$G$5:$AQ$5,0))/1000</f>
        <v>8.6058965606556743</v>
      </c>
      <c r="AA14" s="562">
        <f>INDEX('SubRes-RSD_Saving'!$G$63:$AQ$63,MATCH('SubRes-RSD_Invcost'!AA$8,'SubRes-RSD_Saving'!$G$5:$AQ$5,0))/1000</f>
        <v>4.6770960185386814</v>
      </c>
      <c r="AB14" s="562">
        <f>INDEX('SubRes-RSD_Saving'!$G$63:$AQ$63,MATCH('SubRes-RSD_Invcost'!AB$8,'SubRes-RSD_Saving'!$G$5:$AQ$5,0))/1000</f>
        <v>4.5449103265343131</v>
      </c>
      <c r="AC14" s="562">
        <f>INDEX('SubRes-RSD_Saving'!$G$63:$AQ$63,MATCH('SubRes-RSD_Invcost'!AC$8,'SubRes-RSD_Saving'!$G$5:$AQ$5,0))/1000</f>
        <v>3.8200204274981688</v>
      </c>
      <c r="AD14" s="562">
        <f>INDEX('SubRes-RSD_Saving'!$G$63:$AQ$63,MATCH('SubRes-RSD_Invcost'!AD$8,'SubRes-RSD_Saving'!$G$5:$AQ$5,0))/1000</f>
        <v>11.105242836085978</v>
      </c>
      <c r="AE14" s="562">
        <f>INDEX('SubRes-RSD_Saving'!$G$63:$AQ$63,MATCH('SubRes-RSD_Invcost'!AE$8,'SubRes-RSD_Saving'!$G$5:$AQ$5,0))/1000</f>
        <v>12.985686889667955</v>
      </c>
      <c r="AF14" s="562">
        <f>INDEX('SubRes-RSD_Saving'!$G$63:$AQ$63,MATCH('SubRes-RSD_Invcost'!AF$8,'SubRes-RSD_Saving'!$G$5:$AQ$5,0))/1000</f>
        <v>10.609510508106705</v>
      </c>
      <c r="AG14" s="562">
        <f>INDEX('SubRes-RSD_Saving'!$G$63:$AQ$63,MATCH('SubRes-RSD_Invcost'!AG$8,'SubRes-RSD_Saving'!$G$5:$AQ$5,0))/1000</f>
        <v>4.6851601011967414</v>
      </c>
      <c r="AH14" s="562">
        <f>INDEX('SubRes-RSD_Saving'!$G$63:$AQ$63,MATCH('SubRes-RSD_Invcost'!AH$8,'SubRes-RSD_Saving'!$G$5:$AQ$5,0))/1000</f>
        <v>13.080009525437355</v>
      </c>
      <c r="AI14" s="562">
        <f>INDEX('SubRes-RSD_Saving'!$G$63:$AQ$63,MATCH('SubRes-RSD_Invcost'!AI$8,'SubRes-RSD_Saving'!$G$5:$AQ$5,0))/1000</f>
        <v>3.951398454878758</v>
      </c>
      <c r="AJ14" s="562">
        <f>INDEX('SubRes-RSD_Saving'!$G$63:$AQ$63,MATCH('SubRes-RSD_Invcost'!AJ$8,'SubRes-RSD_Saving'!$G$5:$AQ$5,0))/1000</f>
        <v>3.8200204274981688</v>
      </c>
      <c r="AK14" s="562">
        <f>INDEX('SubRes-RSD_Saving'!$G$63:$AQ$63,MATCH('SubRes-RSD_Invcost'!AK$8,'SubRes-RSD_Saving'!$G$5:$AQ$5,0))/1000</f>
        <v>10.609510508106705</v>
      </c>
      <c r="AL14" s="562">
        <f>INDEX('SubRes-RSD_Saving'!$G$63:$AQ$63,MATCH('SubRes-RSD_Invcost'!AL$8,'SubRes-RSD_Saving'!$G$5:$AQ$5,0))/1000</f>
        <v>4.6626307215201699</v>
      </c>
      <c r="AM14" s="562">
        <f>INDEX('SubRes-RSD_Saving'!$G$63:$AQ$63,MATCH('SubRes-RSD_Invcost'!AM$8,'SubRes-RSD_Saving'!$G$5:$AQ$5,0))/1000</f>
        <v>7.8026918684862414</v>
      </c>
      <c r="AN14" s="562">
        <f>INDEX('SubRes-RSD_Saving'!$G$63:$AQ$63,MATCH('SubRes-RSD_Invcost'!AN$8,'SubRes-RSD_Saving'!$G$5:$AQ$5,0))/1000</f>
        <v>10.61008359226331</v>
      </c>
      <c r="AO14" s="562"/>
    </row>
    <row r="15" spans="1:41">
      <c r="A15" s="561" t="s">
        <v>645</v>
      </c>
      <c r="B15" s="561" t="s">
        <v>646</v>
      </c>
      <c r="C15" s="561" t="s">
        <v>653</v>
      </c>
      <c r="D15" s="562">
        <f>INDEX('SubRes-RSD_Saving'!$G$54:$AQ$54,MATCH('SubRes-RSD_Invcost'!D$8,'SubRes-RSD_Saving'!$G$5:$AQ$5,0))/1000</f>
        <v>3.8956374227436972</v>
      </c>
      <c r="E15" s="562">
        <f>INDEX('SubRes-RSD_Saving'!$G$54:$AQ$54,MATCH('SubRes-RSD_Invcost'!E$8,'SubRes-RSD_Saving'!$G$5:$AQ$5,0))/1000</f>
        <v>10.662059219888182</v>
      </c>
      <c r="F15" s="562">
        <f>INDEX('SubRes-RSD_Saving'!$G$54:$AQ$54,MATCH('SubRes-RSD_Invcost'!F$8,'SubRes-RSD_Saving'!$G$5:$AQ$5,0))/1000</f>
        <v>3.2743032235698588</v>
      </c>
      <c r="G15" s="562">
        <f>INDEX('SubRes-RSD_Saving'!$G$54:$AQ$54,MATCH('SubRes-RSD_Invcost'!G$8,'SubRes-RSD_Saving'!$G$5:$AQ$5,0))/1000</f>
        <v>11.089738106425028</v>
      </c>
      <c r="H15" s="562">
        <f>INDEX('SubRes-RSD_Saving'!$G$54:$AQ$54,MATCH('SubRes-RSD_Invcost'!H$8,'SubRes-RSD_Saving'!$G$5:$AQ$5,0))/1000</f>
        <v>3.1197552372363866</v>
      </c>
      <c r="I15" s="562">
        <f>INDEX('SubRes-RSD_Saving'!$G$54:$AQ$54,MATCH('SubRes-RSD_Invcost'!I$8,'SubRes-RSD_Saving'!$G$5:$AQ$5,0))/1000</f>
        <v>10.662059219888182</v>
      </c>
      <c r="J15" s="562">
        <f>INDEX('SubRes-RSD_Saving'!$G$54:$AQ$54,MATCH('SubRes-RSD_Invcost'!J$8,'SubRes-RSD_Saving'!$G$5:$AQ$5,0))/1000</f>
        <v>9.0898206530686263</v>
      </c>
      <c r="K15" s="562">
        <f>INDEX('SubRes-RSD_Saving'!$G$54:$AQ$54,MATCH('SubRes-RSD_Invcost'!K$8,'SubRes-RSD_Saving'!$G$5:$AQ$5,0))/1000</f>
        <v>6.8398868075298696</v>
      </c>
      <c r="L15" s="562">
        <f>INDEX('SubRes-RSD_Saving'!$G$54:$AQ$54,MATCH('SubRes-RSD_Invcost'!L$8,'SubRes-RSD_Saving'!$G$5:$AQ$5,0))/1000</f>
        <v>10.710074016641279</v>
      </c>
      <c r="M15" s="562">
        <f>INDEX('SubRes-RSD_Saving'!$G$54:$AQ$54,MATCH('SubRes-RSD_Invcost'!M$8,'SubRes-RSD_Saving'!$G$5:$AQ$5,0))/1000</f>
        <v>9.4695031792693314</v>
      </c>
      <c r="N15" s="562">
        <f>INDEX('SubRes-RSD_Saving'!$G$54:$AQ$54,MATCH('SubRes-RSD_Invcost'!N$8,'SubRes-RSD_Saving'!$G$5:$AQ$5,0))/1000</f>
        <v>3.7343814163583993</v>
      </c>
      <c r="O15" s="562">
        <f>INDEX('SubRes-RSD_Saving'!$G$54:$AQ$54,MATCH('SubRes-RSD_Invcost'!O$8,'SubRes-RSD_Saving'!$G$5:$AQ$5,0))/1000</f>
        <v>9.0898206530686263</v>
      </c>
      <c r="P15" s="562">
        <f>INDEX('SubRes-RSD_Saving'!$G$54:$AQ$54,MATCH('SubRes-RSD_Invcost'!P$8,'SubRes-RSD_Saving'!$G$5:$AQ$5,0))/1000</f>
        <v>10.920302076407085</v>
      </c>
      <c r="Q15" s="562">
        <f>INDEX('SubRes-RSD_Saving'!$G$54:$AQ$54,MATCH('SubRes-RSD_Invcost'!Q$8,'SubRes-RSD_Saving'!$G$5:$AQ$5,0))/1000</f>
        <v>7.8434469014384609</v>
      </c>
      <c r="R15" s="562">
        <f>INDEX('SubRes-RSD_Saving'!$G$54:$AQ$54,MATCH('SubRes-RSD_Invcost'!R$8,'SubRes-RSD_Saving'!$G$5:$AQ$5,0))/1000</f>
        <v>9.3754051431682086</v>
      </c>
      <c r="S15" s="562">
        <f>INDEX('SubRes-RSD_Saving'!$G$54:$AQ$54,MATCH('SubRes-RSD_Invcost'!S$8,'SubRes-RSD_Saving'!$G$5:$AQ$5,0))/1000</f>
        <v>3.2743032235698588</v>
      </c>
      <c r="T15" s="562">
        <f>INDEX('SubRes-RSD_Saving'!$G$54:$AQ$54,MATCH('SubRes-RSD_Invcost'!T$8,'SubRes-RSD_Saving'!$G$5:$AQ$5,0))/1000</f>
        <v>3.9374236488398173</v>
      </c>
      <c r="U15" s="562">
        <f>INDEX('SubRes-RSD_Saving'!$G$54:$AQ$54,MATCH('SubRes-RSD_Invcost'!U$8,'SubRes-RSD_Saving'!$G$5:$AQ$5,0))/1000</f>
        <v>11.304287552397279</v>
      </c>
      <c r="V15" s="562">
        <f>INDEX('SubRes-RSD_Saving'!$G$54:$AQ$54,MATCH('SubRes-RSD_Invcost'!V$8,'SubRes-RSD_Saving'!$G$5:$AQ$5,0))/1000</f>
        <v>7.8434469014384609</v>
      </c>
      <c r="W15" s="562">
        <f>INDEX('SubRes-RSD_Saving'!$G$54:$AQ$54,MATCH('SubRes-RSD_Invcost'!W$8,'SubRes-RSD_Saving'!$G$5:$AQ$5,0))/1000</f>
        <v>10.123556516409021</v>
      </c>
      <c r="X15" s="562">
        <f>INDEX('SubRes-RSD_Saving'!$G$54:$AQ$54,MATCH('SubRes-RSD_Invcost'!X$8,'SubRes-RSD_Saving'!$G$5:$AQ$5,0))/1000</f>
        <v>3.2743032235698588</v>
      </c>
      <c r="Y15" s="562">
        <f>INDEX('SubRes-RSD_Saving'!$G$54:$AQ$54,MATCH('SubRes-RSD_Invcost'!Y$8,'SubRes-RSD_Saving'!$G$5:$AQ$5,0))/1000</f>
        <v>4.0236629607147565</v>
      </c>
      <c r="Z15" s="562">
        <f>INDEX('SubRes-RSD_Saving'!$G$54:$AQ$54,MATCH('SubRes-RSD_Invcost'!Z$8,'SubRes-RSD_Saving'!$G$5:$AQ$5,0))/1000</f>
        <v>7.3764827662762906</v>
      </c>
      <c r="AA15" s="562">
        <f>INDEX('SubRes-RSD_Saving'!$G$54:$AQ$54,MATCH('SubRes-RSD_Invcost'!AA$8,'SubRes-RSD_Saving'!$G$5:$AQ$5,0))/1000</f>
        <v>4.0089394444617268</v>
      </c>
      <c r="AB15" s="562">
        <f>INDEX('SubRes-RSD_Saving'!$G$54:$AQ$54,MATCH('SubRes-RSD_Invcost'!AB$8,'SubRes-RSD_Saving'!$G$5:$AQ$5,0))/1000</f>
        <v>3.8956374227436972</v>
      </c>
      <c r="AC15" s="562">
        <f>INDEX('SubRes-RSD_Saving'!$G$54:$AQ$54,MATCH('SubRes-RSD_Invcost'!AC$8,'SubRes-RSD_Saving'!$G$5:$AQ$5,0))/1000</f>
        <v>3.2743032235698588</v>
      </c>
      <c r="AD15" s="562">
        <f>INDEX('SubRes-RSD_Saving'!$G$54:$AQ$54,MATCH('SubRes-RSD_Invcost'!AD$8,'SubRes-RSD_Saving'!$G$5:$AQ$5,0))/1000</f>
        <v>9.518779573787981</v>
      </c>
      <c r="AE15" s="562">
        <f>INDEX('SubRes-RSD_Saving'!$G$54:$AQ$54,MATCH('SubRes-RSD_Invcost'!AE$8,'SubRes-RSD_Saving'!$G$5:$AQ$5,0))/1000</f>
        <v>11.130588762572534</v>
      </c>
      <c r="AF15" s="562">
        <f>INDEX('SubRes-RSD_Saving'!$G$54:$AQ$54,MATCH('SubRes-RSD_Invcost'!AF$8,'SubRes-RSD_Saving'!$G$5:$AQ$5,0))/1000</f>
        <v>9.0938661498057467</v>
      </c>
      <c r="AG15" s="562">
        <f>INDEX('SubRes-RSD_Saving'!$G$54:$AQ$54,MATCH('SubRes-RSD_Invcost'!AG$8,'SubRes-RSD_Saving'!$G$5:$AQ$5,0))/1000</f>
        <v>4.0158515153114926</v>
      </c>
      <c r="AH15" s="562">
        <f>INDEX('SubRes-RSD_Saving'!$G$54:$AQ$54,MATCH('SubRes-RSD_Invcost'!AH$8,'SubRes-RSD_Saving'!$G$5:$AQ$5,0))/1000</f>
        <v>11.211436736089158</v>
      </c>
      <c r="AI15" s="562">
        <f>INDEX('SubRes-RSD_Saving'!$G$54:$AQ$54,MATCH('SubRes-RSD_Invcost'!AI$8,'SubRes-RSD_Saving'!$G$5:$AQ$5,0))/1000</f>
        <v>3.3869129613246503</v>
      </c>
      <c r="AJ15" s="562">
        <f>INDEX('SubRes-RSD_Saving'!$G$54:$AQ$54,MATCH('SubRes-RSD_Invcost'!AJ$8,'SubRes-RSD_Saving'!$G$5:$AQ$5,0))/1000</f>
        <v>3.2743032235698588</v>
      </c>
      <c r="AK15" s="562">
        <f>INDEX('SubRes-RSD_Saving'!$G$54:$AQ$54,MATCH('SubRes-RSD_Invcost'!AK$8,'SubRes-RSD_Saving'!$G$5:$AQ$5,0))/1000</f>
        <v>9.0938661498057467</v>
      </c>
      <c r="AL15" s="562">
        <f>INDEX('SubRes-RSD_Saving'!$G$54:$AQ$54,MATCH('SubRes-RSD_Invcost'!AL$8,'SubRes-RSD_Saving'!$G$5:$AQ$5,0))/1000</f>
        <v>3.9965406184458598</v>
      </c>
      <c r="AM15" s="562">
        <f>INDEX('SubRes-RSD_Saving'!$G$54:$AQ$54,MATCH('SubRes-RSD_Invcost'!AM$8,'SubRes-RSD_Saving'!$G$5:$AQ$5,0))/1000</f>
        <v>6.6880216015596341</v>
      </c>
      <c r="AN15" s="562">
        <f>INDEX('SubRes-RSD_Saving'!$G$54:$AQ$54,MATCH('SubRes-RSD_Invcost'!AN$8,'SubRes-RSD_Saving'!$G$5:$AQ$5,0))/1000</f>
        <v>9.0943573647971245</v>
      </c>
      <c r="AO15" s="562"/>
    </row>
    <row r="16" spans="1:41">
      <c r="A16" s="561" t="s">
        <v>619</v>
      </c>
      <c r="C16" s="561" t="s">
        <v>654</v>
      </c>
      <c r="D16" s="562">
        <f>INDEX('SubRes-RSD_Saving'!$G$143:$AQ$143,MATCH('SubRes-RSD_Invcost'!D$8,'SubRes-RSD_Saving'!$G$5:$AQ$5,0))/1000</f>
        <v>21.6</v>
      </c>
      <c r="E16" s="562">
        <f>INDEX('SubRes-RSD_Saving'!$G$143:$AQ$143,MATCH('SubRes-RSD_Invcost'!E$8,'SubRes-RSD_Saving'!$G$5:$AQ$5,0))/1000</f>
        <v>38.879999999999995</v>
      </c>
      <c r="F16" s="562">
        <f>INDEX('SubRes-RSD_Saving'!$G$143:$AQ$143,MATCH('SubRes-RSD_Invcost'!F$8,'SubRes-RSD_Saving'!$G$5:$AQ$5,0))/1000</f>
        <v>21.6</v>
      </c>
      <c r="G16" s="562">
        <f>INDEX('SubRes-RSD_Saving'!$G$143:$AQ$143,MATCH('SubRes-RSD_Invcost'!G$8,'SubRes-RSD_Saving'!$G$5:$AQ$5,0))/1000</f>
        <v>50.400000000000006</v>
      </c>
      <c r="H16" s="562">
        <f>INDEX('SubRes-RSD_Saving'!$G$143:$AQ$143,MATCH('SubRes-RSD_Invcost'!H$8,'SubRes-RSD_Saving'!$G$5:$AQ$5,0))/1000</f>
        <v>43.2</v>
      </c>
      <c r="I16" s="562">
        <f>INDEX('SubRes-RSD_Saving'!$G$143:$AQ$143,MATCH('SubRes-RSD_Invcost'!I$8,'SubRes-RSD_Saving'!$G$5:$AQ$5,0))/1000</f>
        <v>38.879999999999995</v>
      </c>
      <c r="J16" s="562">
        <f>INDEX('SubRes-RSD_Saving'!$G$143:$AQ$143,MATCH('SubRes-RSD_Invcost'!J$8,'SubRes-RSD_Saving'!$G$5:$AQ$5,0))/1000</f>
        <v>46.08</v>
      </c>
      <c r="K16" s="562">
        <f>INDEX('SubRes-RSD_Saving'!$G$143:$AQ$143,MATCH('SubRes-RSD_Invcost'!K$8,'SubRes-RSD_Saving'!$G$5:$AQ$5,0))/1000</f>
        <v>28.8</v>
      </c>
      <c r="L16" s="562">
        <f>INDEX('SubRes-RSD_Saving'!$G$143:$AQ$143,MATCH('SubRes-RSD_Invcost'!L$8,'SubRes-RSD_Saving'!$G$5:$AQ$5,0))/1000</f>
        <v>40.748936170212765</v>
      </c>
      <c r="M16" s="562">
        <f>INDEX('SubRes-RSD_Saving'!$G$143:$AQ$143,MATCH('SubRes-RSD_Invcost'!M$8,'SubRes-RSD_Saving'!$G$5:$AQ$5,0))/1000</f>
        <v>75.59999999999998</v>
      </c>
      <c r="N16" s="562">
        <f>INDEX('SubRes-RSD_Saving'!$G$143:$AQ$143,MATCH('SubRes-RSD_Invcost'!N$8,'SubRes-RSD_Saving'!$G$5:$AQ$5,0))/1000</f>
        <v>21.6</v>
      </c>
      <c r="O16" s="562">
        <f>INDEX('SubRes-RSD_Saving'!$G$143:$AQ$143,MATCH('SubRes-RSD_Invcost'!O$8,'SubRes-RSD_Saving'!$G$5:$AQ$5,0))/1000</f>
        <v>23.04</v>
      </c>
      <c r="P16" s="562">
        <f>INDEX('SubRes-RSD_Saving'!$G$143:$AQ$143,MATCH('SubRes-RSD_Invcost'!P$8,'SubRes-RSD_Saving'!$G$5:$AQ$5,0))/1000</f>
        <v>32.4</v>
      </c>
      <c r="Q16" s="562">
        <f>INDEX('SubRes-RSD_Saving'!$G$143:$AQ$143,MATCH('SubRes-RSD_Invcost'!Q$8,'SubRes-RSD_Saving'!$G$5:$AQ$5,0))/1000</f>
        <v>125.99999999999999</v>
      </c>
      <c r="R16" s="562">
        <f>INDEX('SubRes-RSD_Saving'!$G$143:$AQ$143,MATCH('SubRes-RSD_Invcost'!R$8,'SubRes-RSD_Saving'!$G$5:$AQ$5,0))/1000</f>
        <v>54.719999999999992</v>
      </c>
      <c r="S16" s="562">
        <f>INDEX('SubRes-RSD_Saving'!$G$143:$AQ$143,MATCH('SubRes-RSD_Invcost'!S$8,'SubRes-RSD_Saving'!$G$5:$AQ$5,0))/1000</f>
        <v>21.6</v>
      </c>
      <c r="T16" s="562">
        <f>INDEX('SubRes-RSD_Saving'!$G$143:$AQ$143,MATCH('SubRes-RSD_Invcost'!T$8,'SubRes-RSD_Saving'!$G$5:$AQ$5,0))/1000</f>
        <v>21.599999999999998</v>
      </c>
      <c r="U16" s="562">
        <f>INDEX('SubRes-RSD_Saving'!$G$143:$AQ$143,MATCH('SubRes-RSD_Invcost'!U$8,'SubRes-RSD_Saving'!$G$5:$AQ$5,0))/1000</f>
        <v>162.99574468085103</v>
      </c>
      <c r="V16" s="562">
        <f>INDEX('SubRes-RSD_Saving'!$G$143:$AQ$143,MATCH('SubRes-RSD_Invcost'!V$8,'SubRes-RSD_Saving'!$G$5:$AQ$5,0))/1000</f>
        <v>50.400000000000006</v>
      </c>
      <c r="W16" s="562">
        <f>INDEX('SubRes-RSD_Saving'!$G$143:$AQ$143,MATCH('SubRes-RSD_Invcost'!W$8,'SubRes-RSD_Saving'!$G$5:$AQ$5,0))/1000</f>
        <v>46.08</v>
      </c>
      <c r="X16" s="562">
        <f>INDEX('SubRes-RSD_Saving'!$G$143:$AQ$143,MATCH('SubRes-RSD_Invcost'!X$8,'SubRes-RSD_Saving'!$G$5:$AQ$5,0))/1000</f>
        <v>21.6</v>
      </c>
      <c r="Y16" s="562">
        <f>INDEX('SubRes-RSD_Saving'!$G$143:$AQ$143,MATCH('SubRes-RSD_Invcost'!Y$8,'SubRes-RSD_Saving'!$G$5:$AQ$5,0))/1000</f>
        <v>21.6</v>
      </c>
      <c r="Z16" s="562">
        <f>INDEX('SubRes-RSD_Saving'!$G$143:$AQ$143,MATCH('SubRes-RSD_Invcost'!Z$8,'SubRes-RSD_Saving'!$G$5:$AQ$5,0))/1000</f>
        <v>50.400000000000006</v>
      </c>
      <c r="AA16" s="562">
        <f>INDEX('SubRes-RSD_Saving'!$G$143:$AQ$143,MATCH('SubRes-RSD_Invcost'!AA$8,'SubRes-RSD_Saving'!$G$5:$AQ$5,0))/1000</f>
        <v>21.599999999999998</v>
      </c>
      <c r="AB16" s="562">
        <f>INDEX('SubRes-RSD_Saving'!$G$143:$AQ$143,MATCH('SubRes-RSD_Invcost'!AB$8,'SubRes-RSD_Saving'!$G$5:$AQ$5,0))/1000</f>
        <v>21.6</v>
      </c>
      <c r="AC16" s="562">
        <f>INDEX('SubRes-RSD_Saving'!$G$143:$AQ$143,MATCH('SubRes-RSD_Invcost'!AC$8,'SubRes-RSD_Saving'!$G$5:$AQ$5,0))/1000</f>
        <v>21.6</v>
      </c>
      <c r="AD16" s="562">
        <f>INDEX('SubRes-RSD_Saving'!$G$143:$AQ$143,MATCH('SubRes-RSD_Invcost'!AD$8,'SubRes-RSD_Saving'!$G$5:$AQ$5,0))/1000</f>
        <v>46.08</v>
      </c>
      <c r="AE16" s="562">
        <f>INDEX('SubRes-RSD_Saving'!$G$143:$AQ$143,MATCH('SubRes-RSD_Invcost'!AE$8,'SubRes-RSD_Saving'!$G$5:$AQ$5,0))/1000</f>
        <v>40.748936170212758</v>
      </c>
      <c r="AF16" s="562">
        <f>INDEX('SubRes-RSD_Saving'!$G$143:$AQ$143,MATCH('SubRes-RSD_Invcost'!AF$8,'SubRes-RSD_Saving'!$G$5:$AQ$5,0))/1000</f>
        <v>50.400000000000006</v>
      </c>
      <c r="AG16" s="562">
        <f>INDEX('SubRes-RSD_Saving'!$G$143:$AQ$143,MATCH('SubRes-RSD_Invcost'!AG$8,'SubRes-RSD_Saving'!$G$5:$AQ$5,0))/1000</f>
        <v>32.4</v>
      </c>
      <c r="AH16" s="562">
        <f>INDEX('SubRes-RSD_Saving'!$G$143:$AQ$143,MATCH('SubRes-RSD_Invcost'!AH$8,'SubRes-RSD_Saving'!$G$5:$AQ$5,0))/1000</f>
        <v>64.8</v>
      </c>
      <c r="AI16" s="562">
        <f>INDEX('SubRes-RSD_Saving'!$G$143:$AQ$143,MATCH('SubRes-RSD_Invcost'!AI$8,'SubRes-RSD_Saving'!$G$5:$AQ$5,0))/1000</f>
        <v>86.40000000000002</v>
      </c>
      <c r="AJ16" s="562">
        <f>INDEX('SubRes-RSD_Saving'!$G$143:$AQ$143,MATCH('SubRes-RSD_Invcost'!AJ$8,'SubRes-RSD_Saving'!$G$5:$AQ$5,0))/1000</f>
        <v>21.6</v>
      </c>
      <c r="AK16" s="562">
        <f>INDEX('SubRes-RSD_Saving'!$G$143:$AQ$143,MATCH('SubRes-RSD_Invcost'!AK$8,'SubRes-RSD_Saving'!$G$5:$AQ$5,0))/1000</f>
        <v>50.400000000000006</v>
      </c>
      <c r="AL16" s="562">
        <f>INDEX('SubRes-RSD_Saving'!$G$143:$AQ$143,MATCH('SubRes-RSD_Invcost'!AL$8,'SubRes-RSD_Saving'!$G$5:$AQ$5,0))/1000</f>
        <v>21.600000000000005</v>
      </c>
      <c r="AM16" s="562">
        <f>INDEX('SubRes-RSD_Saving'!$G$143:$AQ$143,MATCH('SubRes-RSD_Invcost'!AM$8,'SubRes-RSD_Saving'!$G$5:$AQ$5,0))/1000</f>
        <v>28.8</v>
      </c>
      <c r="AN16" s="562">
        <f>INDEX('SubRes-RSD_Saving'!$G$143:$AQ$143,MATCH('SubRes-RSD_Invcost'!AN$8,'SubRes-RSD_Saving'!$G$5:$AQ$5,0))/1000</f>
        <v>162.99574468085103</v>
      </c>
      <c r="AO16" s="562"/>
    </row>
    <row r="17" spans="1:41">
      <c r="A17" s="561" t="s">
        <v>619</v>
      </c>
      <c r="C17" s="561" t="s">
        <v>655</v>
      </c>
      <c r="D17" s="562">
        <f>INDEX('SubRes-RSD_Saving'!$G$152:$AQ$152,MATCH('SubRes-RSD_Invcost'!D$8,'SubRes-RSD_Saving'!$G$5:$AQ$5,0))/1000</f>
        <v>28.799999999999997</v>
      </c>
      <c r="E17" s="562">
        <f>INDEX('SubRes-RSD_Saving'!$G$152:$AQ$152,MATCH('SubRes-RSD_Invcost'!E$8,'SubRes-RSD_Saving'!$G$5:$AQ$5,0))/1000</f>
        <v>43.199999999999996</v>
      </c>
      <c r="F17" s="562">
        <f>INDEX('SubRes-RSD_Saving'!$G$152:$AQ$152,MATCH('SubRes-RSD_Invcost'!F$8,'SubRes-RSD_Saving'!$G$5:$AQ$5,0))/1000</f>
        <v>28.800000000000004</v>
      </c>
      <c r="G17" s="562">
        <f>INDEX('SubRes-RSD_Saving'!$G$152:$AQ$152,MATCH('SubRes-RSD_Invcost'!G$8,'SubRes-RSD_Saving'!$G$5:$AQ$5,0))/1000</f>
        <v>57.6</v>
      </c>
      <c r="H17" s="562">
        <f>INDEX('SubRes-RSD_Saving'!$G$152:$AQ$152,MATCH('SubRes-RSD_Invcost'!H$8,'SubRes-RSD_Saving'!$G$5:$AQ$5,0))/1000</f>
        <v>57.6</v>
      </c>
      <c r="I17" s="562">
        <f>INDEX('SubRes-RSD_Saving'!$G$152:$AQ$152,MATCH('SubRes-RSD_Invcost'!I$8,'SubRes-RSD_Saving'!$G$5:$AQ$5,0))/1000</f>
        <v>43.199999999999996</v>
      </c>
      <c r="J17" s="562">
        <f>INDEX('SubRes-RSD_Saving'!$G$152:$AQ$152,MATCH('SubRes-RSD_Invcost'!J$8,'SubRes-RSD_Saving'!$G$5:$AQ$5,0))/1000</f>
        <v>57.6</v>
      </c>
      <c r="K17" s="562">
        <f>INDEX('SubRes-RSD_Saving'!$G$152:$AQ$152,MATCH('SubRes-RSD_Invcost'!K$8,'SubRes-RSD_Saving'!$G$5:$AQ$5,0))/1000</f>
        <v>37.44</v>
      </c>
      <c r="L17" s="562">
        <f>INDEX('SubRes-RSD_Saving'!$G$152:$AQ$152,MATCH('SubRes-RSD_Invcost'!L$8,'SubRes-RSD_Saving'!$G$5:$AQ$5,0))/1000</f>
        <v>50.4</v>
      </c>
      <c r="M17" s="562">
        <f>INDEX('SubRes-RSD_Saving'!$G$152:$AQ$152,MATCH('SubRes-RSD_Invcost'!M$8,'SubRes-RSD_Saving'!$G$5:$AQ$5,0))/1000</f>
        <v>86.40000000000002</v>
      </c>
      <c r="N17" s="562">
        <f>INDEX('SubRes-RSD_Saving'!$G$152:$AQ$152,MATCH('SubRes-RSD_Invcost'!N$8,'SubRes-RSD_Saving'!$G$5:$AQ$5,0))/1000</f>
        <v>28.8</v>
      </c>
      <c r="O17" s="562">
        <f>INDEX('SubRes-RSD_Saving'!$G$152:$AQ$152,MATCH('SubRes-RSD_Invcost'!O$8,'SubRes-RSD_Saving'!$G$5:$AQ$5,0))/1000</f>
        <v>28.8</v>
      </c>
      <c r="P17" s="562">
        <f>INDEX('SubRes-RSD_Saving'!$G$152:$AQ$152,MATCH('SubRes-RSD_Invcost'!P$8,'SubRes-RSD_Saving'!$G$5:$AQ$5,0))/1000</f>
        <v>36.72</v>
      </c>
      <c r="Q17" s="562">
        <f>INDEX('SubRes-RSD_Saving'!$G$152:$AQ$152,MATCH('SubRes-RSD_Invcost'!Q$8,'SubRes-RSD_Saving'!$G$5:$AQ$5,0))/1000</f>
        <v>144</v>
      </c>
      <c r="R17" s="562">
        <f>INDEX('SubRes-RSD_Saving'!$G$152:$AQ$152,MATCH('SubRes-RSD_Invcost'!R$8,'SubRes-RSD_Saving'!$G$5:$AQ$5,0))/1000</f>
        <v>67.680000000000007</v>
      </c>
      <c r="S17" s="562">
        <f>INDEX('SubRes-RSD_Saving'!$G$152:$AQ$152,MATCH('SubRes-RSD_Invcost'!S$8,'SubRes-RSD_Saving'!$G$5:$AQ$5,0))/1000</f>
        <v>28.800000000000004</v>
      </c>
      <c r="T17" s="562">
        <f>INDEX('SubRes-RSD_Saving'!$G$152:$AQ$152,MATCH('SubRes-RSD_Invcost'!T$8,'SubRes-RSD_Saving'!$G$5:$AQ$5,0))/1000</f>
        <v>28.800000000000004</v>
      </c>
      <c r="U17" s="562">
        <f>INDEX('SubRes-RSD_Saving'!$G$152:$AQ$152,MATCH('SubRes-RSD_Invcost'!U$8,'SubRes-RSD_Saving'!$G$5:$AQ$5,0))/1000</f>
        <v>201.6</v>
      </c>
      <c r="V17" s="562">
        <f>INDEX('SubRes-RSD_Saving'!$G$152:$AQ$152,MATCH('SubRes-RSD_Invcost'!V$8,'SubRes-RSD_Saving'!$G$5:$AQ$5,0))/1000</f>
        <v>57.600000000000009</v>
      </c>
      <c r="W17" s="562">
        <f>INDEX('SubRes-RSD_Saving'!$G$152:$AQ$152,MATCH('SubRes-RSD_Invcost'!W$8,'SubRes-RSD_Saving'!$G$5:$AQ$5,0))/1000</f>
        <v>57.6</v>
      </c>
      <c r="X17" s="562">
        <f>INDEX('SubRes-RSD_Saving'!$G$152:$AQ$152,MATCH('SubRes-RSD_Invcost'!X$8,'SubRes-RSD_Saving'!$G$5:$AQ$5,0))/1000</f>
        <v>28.800000000000004</v>
      </c>
      <c r="Y17" s="562">
        <f>INDEX('SubRes-RSD_Saving'!$G$152:$AQ$152,MATCH('SubRes-RSD_Invcost'!Y$8,'SubRes-RSD_Saving'!$G$5:$AQ$5,0))/1000</f>
        <v>28.8</v>
      </c>
      <c r="Z17" s="562">
        <f>INDEX('SubRes-RSD_Saving'!$G$152:$AQ$152,MATCH('SubRes-RSD_Invcost'!Z$8,'SubRes-RSD_Saving'!$G$5:$AQ$5,0))/1000</f>
        <v>57.600000000000009</v>
      </c>
      <c r="AA17" s="562">
        <f>INDEX('SubRes-RSD_Saving'!$G$152:$AQ$152,MATCH('SubRes-RSD_Invcost'!AA$8,'SubRes-RSD_Saving'!$G$5:$AQ$5,0))/1000</f>
        <v>28.800000000000004</v>
      </c>
      <c r="AB17" s="562">
        <f>INDEX('SubRes-RSD_Saving'!$G$152:$AQ$152,MATCH('SubRes-RSD_Invcost'!AB$8,'SubRes-RSD_Saving'!$G$5:$AQ$5,0))/1000</f>
        <v>28.799999999999997</v>
      </c>
      <c r="AC17" s="562">
        <f>INDEX('SubRes-RSD_Saving'!$G$152:$AQ$152,MATCH('SubRes-RSD_Invcost'!AC$8,'SubRes-RSD_Saving'!$G$5:$AQ$5,0))/1000</f>
        <v>28.800000000000004</v>
      </c>
      <c r="AD17" s="562">
        <f>INDEX('SubRes-RSD_Saving'!$G$152:$AQ$152,MATCH('SubRes-RSD_Invcost'!AD$8,'SubRes-RSD_Saving'!$G$5:$AQ$5,0))/1000</f>
        <v>57.600000000000009</v>
      </c>
      <c r="AE17" s="562">
        <f>INDEX('SubRes-RSD_Saving'!$G$152:$AQ$152,MATCH('SubRes-RSD_Invcost'!AE$8,'SubRes-RSD_Saving'!$G$5:$AQ$5,0))/1000</f>
        <v>50.400000000000006</v>
      </c>
      <c r="AF17" s="562">
        <f>INDEX('SubRes-RSD_Saving'!$G$152:$AQ$152,MATCH('SubRes-RSD_Invcost'!AF$8,'SubRes-RSD_Saving'!$G$5:$AQ$5,0))/1000</f>
        <v>57.6</v>
      </c>
      <c r="AG17" s="562">
        <f>INDEX('SubRes-RSD_Saving'!$G$152:$AQ$152,MATCH('SubRes-RSD_Invcost'!AG$8,'SubRes-RSD_Saving'!$G$5:$AQ$5,0))/1000</f>
        <v>43.199999999999996</v>
      </c>
      <c r="AH17" s="562">
        <f>INDEX('SubRes-RSD_Saving'!$G$152:$AQ$152,MATCH('SubRes-RSD_Invcost'!AH$8,'SubRes-RSD_Saving'!$G$5:$AQ$5,0))/1000</f>
        <v>73.44</v>
      </c>
      <c r="AI17" s="562">
        <f>INDEX('SubRes-RSD_Saving'!$G$152:$AQ$152,MATCH('SubRes-RSD_Invcost'!AI$8,'SubRes-RSD_Saving'!$G$5:$AQ$5,0))/1000</f>
        <v>115.20000000000002</v>
      </c>
      <c r="AJ17" s="562">
        <f>INDEX('SubRes-RSD_Saving'!$G$152:$AQ$152,MATCH('SubRes-RSD_Invcost'!AJ$8,'SubRes-RSD_Saving'!$G$5:$AQ$5,0))/1000</f>
        <v>28.800000000000004</v>
      </c>
      <c r="AK17" s="562">
        <f>INDEX('SubRes-RSD_Saving'!$G$152:$AQ$152,MATCH('SubRes-RSD_Invcost'!AK$8,'SubRes-RSD_Saving'!$G$5:$AQ$5,0))/1000</f>
        <v>57.6</v>
      </c>
      <c r="AL17" s="562">
        <f>INDEX('SubRes-RSD_Saving'!$G$152:$AQ$152,MATCH('SubRes-RSD_Invcost'!AL$8,'SubRes-RSD_Saving'!$G$5:$AQ$5,0))/1000</f>
        <v>28.8</v>
      </c>
      <c r="AM17" s="562">
        <f>INDEX('SubRes-RSD_Saving'!$G$152:$AQ$152,MATCH('SubRes-RSD_Invcost'!AM$8,'SubRes-RSD_Saving'!$G$5:$AQ$5,0))/1000</f>
        <v>37.44</v>
      </c>
      <c r="AN17" s="562">
        <f>INDEX('SubRes-RSD_Saving'!$G$152:$AQ$152,MATCH('SubRes-RSD_Invcost'!AN$8,'SubRes-RSD_Saving'!$G$5:$AQ$5,0))/1000</f>
        <v>201.6</v>
      </c>
      <c r="AO17" s="562"/>
    </row>
    <row r="18" spans="1:41">
      <c r="A18" s="561" t="s">
        <v>619</v>
      </c>
      <c r="C18" s="561" t="s">
        <v>656</v>
      </c>
      <c r="D18" s="562">
        <f>INDEX('SubRes-RSD_Saving'!$G$161:$AQ$161,MATCH('SubRes-RSD_Invcost'!D$8,'SubRes-RSD_Saving'!$G$5:$AQ$5,0))/1000</f>
        <v>47.52</v>
      </c>
      <c r="E18" s="562">
        <f>INDEX('SubRes-RSD_Saving'!$G$161:$AQ$161,MATCH('SubRes-RSD_Invcost'!E$8,'SubRes-RSD_Saving'!$G$5:$AQ$5,0))/1000</f>
        <v>47.52</v>
      </c>
      <c r="F18" s="562">
        <f>INDEX('SubRes-RSD_Saving'!$G$161:$AQ$161,MATCH('SubRes-RSD_Invcost'!F$8,'SubRes-RSD_Saving'!$G$5:$AQ$5,0))/1000</f>
        <v>47.52</v>
      </c>
      <c r="G18" s="562">
        <f>INDEX('SubRes-RSD_Saving'!$G$161:$AQ$161,MATCH('SubRes-RSD_Invcost'!G$8,'SubRes-RSD_Saving'!$G$5:$AQ$5,0))/1000</f>
        <v>72</v>
      </c>
      <c r="H18" s="562">
        <f>INDEX('SubRes-RSD_Saving'!$G$161:$AQ$161,MATCH('SubRes-RSD_Invcost'!H$8,'SubRes-RSD_Saving'!$G$5:$AQ$5,0))/1000</f>
        <v>95.04</v>
      </c>
      <c r="I18" s="562">
        <f>INDEX('SubRes-RSD_Saving'!$G$161:$AQ$161,MATCH('SubRes-RSD_Invcost'!I$8,'SubRes-RSD_Saving'!$G$5:$AQ$5,0))/1000</f>
        <v>47.52</v>
      </c>
      <c r="J18" s="562">
        <f>INDEX('SubRes-RSD_Saving'!$G$161:$AQ$161,MATCH('SubRes-RSD_Invcost'!J$8,'SubRes-RSD_Saving'!$G$5:$AQ$5,0))/1000</f>
        <v>72</v>
      </c>
      <c r="K18" s="562">
        <f>INDEX('SubRes-RSD_Saving'!$G$161:$AQ$161,MATCH('SubRes-RSD_Invcost'!K$8,'SubRes-RSD_Saving'!$G$5:$AQ$5,0))/1000</f>
        <v>61.776000000000003</v>
      </c>
      <c r="L18" s="562">
        <f>INDEX('SubRes-RSD_Saving'!$G$161:$AQ$161,MATCH('SubRes-RSD_Invcost'!L$8,'SubRes-RSD_Saving'!$G$5:$AQ$5,0))/1000</f>
        <v>57.6</v>
      </c>
      <c r="M18" s="562">
        <f>INDEX('SubRes-RSD_Saving'!$G$161:$AQ$161,MATCH('SubRes-RSD_Invcost'!M$8,'SubRes-RSD_Saving'!$G$5:$AQ$5,0))/1000</f>
        <v>108</v>
      </c>
      <c r="N18" s="562">
        <f>INDEX('SubRes-RSD_Saving'!$G$161:$AQ$161,MATCH('SubRes-RSD_Invcost'!N$8,'SubRes-RSD_Saving'!$G$5:$AQ$5,0))/1000</f>
        <v>47.52</v>
      </c>
      <c r="O18" s="562">
        <f>INDEX('SubRes-RSD_Saving'!$G$161:$AQ$161,MATCH('SubRes-RSD_Invcost'!O$8,'SubRes-RSD_Saving'!$G$5:$AQ$5,0))/1000</f>
        <v>36</v>
      </c>
      <c r="P18" s="562">
        <f>INDEX('SubRes-RSD_Saving'!$G$161:$AQ$161,MATCH('SubRes-RSD_Invcost'!P$8,'SubRes-RSD_Saving'!$G$5:$AQ$5,0))/1000</f>
        <v>41.965714285714292</v>
      </c>
      <c r="Q18" s="562">
        <f>INDEX('SubRes-RSD_Saving'!$G$161:$AQ$161,MATCH('SubRes-RSD_Invcost'!Q$8,'SubRes-RSD_Saving'!$G$5:$AQ$5,0))/1000</f>
        <v>179.99999999999997</v>
      </c>
      <c r="R18" s="562">
        <f>INDEX('SubRes-RSD_Saving'!$G$161:$AQ$161,MATCH('SubRes-RSD_Invcost'!R$8,'SubRes-RSD_Saving'!$G$5:$AQ$5,0))/1000</f>
        <v>77.348571428571418</v>
      </c>
      <c r="S18" s="562">
        <f>INDEX('SubRes-RSD_Saving'!$G$161:$AQ$161,MATCH('SubRes-RSD_Invcost'!S$8,'SubRes-RSD_Saving'!$G$5:$AQ$5,0))/1000</f>
        <v>47.52</v>
      </c>
      <c r="T18" s="562">
        <f>INDEX('SubRes-RSD_Saving'!$G$161:$AQ$161,MATCH('SubRes-RSD_Invcost'!T$8,'SubRes-RSD_Saving'!$G$5:$AQ$5,0))/1000</f>
        <v>47.52</v>
      </c>
      <c r="U18" s="562">
        <f>INDEX('SubRes-RSD_Saving'!$G$161:$AQ$161,MATCH('SubRes-RSD_Invcost'!U$8,'SubRes-RSD_Saving'!$G$5:$AQ$5,0))/1000</f>
        <v>230.4</v>
      </c>
      <c r="V18" s="562">
        <f>INDEX('SubRes-RSD_Saving'!$G$161:$AQ$161,MATCH('SubRes-RSD_Invcost'!V$8,'SubRes-RSD_Saving'!$G$5:$AQ$5,0))/1000</f>
        <v>72</v>
      </c>
      <c r="W18" s="562">
        <f>INDEX('SubRes-RSD_Saving'!$G$161:$AQ$161,MATCH('SubRes-RSD_Invcost'!W$8,'SubRes-RSD_Saving'!$G$5:$AQ$5,0))/1000</f>
        <v>72</v>
      </c>
      <c r="X18" s="562">
        <f>INDEX('SubRes-RSD_Saving'!$G$161:$AQ$161,MATCH('SubRes-RSD_Invcost'!X$8,'SubRes-RSD_Saving'!$G$5:$AQ$5,0))/1000</f>
        <v>47.52</v>
      </c>
      <c r="Y18" s="562">
        <f>INDEX('SubRes-RSD_Saving'!$G$161:$AQ$161,MATCH('SubRes-RSD_Invcost'!Y$8,'SubRes-RSD_Saving'!$G$5:$AQ$5,0))/1000</f>
        <v>47.52</v>
      </c>
      <c r="Z18" s="562">
        <f>INDEX('SubRes-RSD_Saving'!$G$161:$AQ$161,MATCH('SubRes-RSD_Invcost'!Z$8,'SubRes-RSD_Saving'!$G$5:$AQ$5,0))/1000</f>
        <v>72</v>
      </c>
      <c r="AA18" s="562">
        <f>INDEX('SubRes-RSD_Saving'!$G$161:$AQ$161,MATCH('SubRes-RSD_Invcost'!AA$8,'SubRes-RSD_Saving'!$G$5:$AQ$5,0))/1000</f>
        <v>47.52</v>
      </c>
      <c r="AB18" s="562">
        <f>INDEX('SubRes-RSD_Saving'!$G$161:$AQ$161,MATCH('SubRes-RSD_Invcost'!AB$8,'SubRes-RSD_Saving'!$G$5:$AQ$5,0))/1000</f>
        <v>47.52</v>
      </c>
      <c r="AC18" s="562">
        <f>INDEX('SubRes-RSD_Saving'!$G$161:$AQ$161,MATCH('SubRes-RSD_Invcost'!AC$8,'SubRes-RSD_Saving'!$G$5:$AQ$5,0))/1000</f>
        <v>47.52</v>
      </c>
      <c r="AD18" s="562">
        <f>INDEX('SubRes-RSD_Saving'!$G$161:$AQ$161,MATCH('SubRes-RSD_Invcost'!AD$8,'SubRes-RSD_Saving'!$G$5:$AQ$5,0))/1000</f>
        <v>72</v>
      </c>
      <c r="AE18" s="562">
        <f>INDEX('SubRes-RSD_Saving'!$G$161:$AQ$161,MATCH('SubRes-RSD_Invcost'!AE$8,'SubRes-RSD_Saving'!$G$5:$AQ$5,0))/1000</f>
        <v>57.600000000000009</v>
      </c>
      <c r="AF18" s="562">
        <f>INDEX('SubRes-RSD_Saving'!$G$161:$AQ$161,MATCH('SubRes-RSD_Invcost'!AF$8,'SubRes-RSD_Saving'!$G$5:$AQ$5,0))/1000</f>
        <v>72</v>
      </c>
      <c r="AG18" s="562">
        <f>INDEX('SubRes-RSD_Saving'!$G$161:$AQ$161,MATCH('SubRes-RSD_Invcost'!AG$8,'SubRes-RSD_Saving'!$G$5:$AQ$5,0))/1000</f>
        <v>71.279999999999987</v>
      </c>
      <c r="AH18" s="562">
        <f>INDEX('SubRes-RSD_Saving'!$G$161:$AQ$161,MATCH('SubRes-RSD_Invcost'!AH$8,'SubRes-RSD_Saving'!$G$5:$AQ$5,0))/1000</f>
        <v>83.931428571428583</v>
      </c>
      <c r="AI18" s="562">
        <f>INDEX('SubRes-RSD_Saving'!$G$161:$AQ$161,MATCH('SubRes-RSD_Invcost'!AI$8,'SubRes-RSD_Saving'!$G$5:$AQ$5,0))/1000</f>
        <v>190.08</v>
      </c>
      <c r="AJ18" s="562">
        <f>INDEX('SubRes-RSD_Saving'!$G$161:$AQ$161,MATCH('SubRes-RSD_Invcost'!AJ$8,'SubRes-RSD_Saving'!$G$5:$AQ$5,0))/1000</f>
        <v>47.52</v>
      </c>
      <c r="AK18" s="562">
        <f>INDEX('SubRes-RSD_Saving'!$G$161:$AQ$161,MATCH('SubRes-RSD_Invcost'!AK$8,'SubRes-RSD_Saving'!$G$5:$AQ$5,0))/1000</f>
        <v>72</v>
      </c>
      <c r="AL18" s="562">
        <f>INDEX('SubRes-RSD_Saving'!$G$161:$AQ$161,MATCH('SubRes-RSD_Invcost'!AL$8,'SubRes-RSD_Saving'!$G$5:$AQ$5,0))/1000</f>
        <v>47.52</v>
      </c>
      <c r="AM18" s="562">
        <f>INDEX('SubRes-RSD_Saving'!$G$161:$AQ$161,MATCH('SubRes-RSD_Invcost'!AM$8,'SubRes-RSD_Saving'!$G$5:$AQ$5,0))/1000</f>
        <v>47.52</v>
      </c>
      <c r="AN18" s="562">
        <f>INDEX('SubRes-RSD_Saving'!$G$161:$AQ$161,MATCH('SubRes-RSD_Invcost'!AN$8,'SubRes-RSD_Saving'!$G$5:$AQ$5,0))/1000</f>
        <v>230.4</v>
      </c>
      <c r="AO18" s="562"/>
    </row>
    <row r="19" spans="1:41">
      <c r="A19" s="561" t="s">
        <v>619</v>
      </c>
      <c r="C19" s="561" t="s">
        <v>657</v>
      </c>
      <c r="D19" s="562">
        <f>INDEX('SubRes-RSD_Saving'!$G$180:$AQ$180,MATCH('SubRes-RSD_Invcost'!D$8,'SubRes-RSD_Saving'!$G$5:$AQ$5,0))/1000</f>
        <v>6.57</v>
      </c>
      <c r="E19" s="562">
        <f>INDEX('SubRes-RSD_Saving'!$G$180:$AQ$180,MATCH('SubRes-RSD_Invcost'!E$8,'SubRes-RSD_Saving'!$G$5:$AQ$5,0))/1000</f>
        <v>8.5879992000000023</v>
      </c>
      <c r="F19" s="562">
        <f>INDEX('SubRes-RSD_Saving'!$G$180:$AQ$180,MATCH('SubRes-RSD_Invcost'!F$8,'SubRes-RSD_Saving'!$G$5:$AQ$5,0))/1000</f>
        <v>5.7251091600000006</v>
      </c>
      <c r="G19" s="562">
        <f>INDEX('SubRes-RSD_Saving'!$G$180:$AQ$180,MATCH('SubRes-RSD_Invcost'!G$8,'SubRes-RSD_Saving'!$G$5:$AQ$5,0))/1000</f>
        <v>10.985768699999999</v>
      </c>
      <c r="H19" s="562">
        <f>INDEX('SubRes-RSD_Saving'!$G$180:$AQ$180,MATCH('SubRes-RSD_Invcost'!H$8,'SubRes-RSD_Saving'!$G$5:$AQ$5,0))/1000</f>
        <v>11.606448780000001</v>
      </c>
      <c r="I19" s="562">
        <f>INDEX('SubRes-RSD_Saving'!$G$180:$AQ$180,MATCH('SubRes-RSD_Invcost'!I$8,'SubRes-RSD_Saving'!$G$5:$AQ$5,0))/1000</f>
        <v>8.5879992000000023</v>
      </c>
      <c r="J19" s="562">
        <f>INDEX('SubRes-RSD_Saving'!$G$180:$AQ$180,MATCH('SubRes-RSD_Invcost'!J$8,'SubRes-RSD_Saving'!$G$5:$AQ$5,0))/1000</f>
        <v>12.045</v>
      </c>
      <c r="K19" s="562">
        <f>INDEX('SubRes-RSD_Saving'!$G$180:$AQ$180,MATCH('SubRes-RSD_Invcost'!K$8,'SubRes-RSD_Saving'!$G$5:$AQ$5,0))/1000</f>
        <v>3.6592504199999993</v>
      </c>
      <c r="L19" s="562">
        <f>INDEX('SubRes-RSD_Saving'!$G$180:$AQ$180,MATCH('SubRes-RSD_Invcost'!L$8,'SubRes-RSD_Saving'!$G$5:$AQ$5,0))/1000</f>
        <v>2.8218773699999997</v>
      </c>
      <c r="M19" s="562">
        <f>INDEX('SubRes-RSD_Saving'!$G$180:$AQ$180,MATCH('SubRes-RSD_Invcost'!M$8,'SubRes-RSD_Saving'!$G$5:$AQ$5,0))/1000</f>
        <v>14.112000000000004</v>
      </c>
      <c r="N19" s="562">
        <f>INDEX('SubRes-RSD_Saving'!$G$180:$AQ$180,MATCH('SubRes-RSD_Invcost'!N$8,'SubRes-RSD_Saving'!$G$5:$AQ$5,0))/1000</f>
        <v>4.3019127900000003</v>
      </c>
      <c r="O19" s="562">
        <f>INDEX('SubRes-RSD_Saving'!$G$180:$AQ$180,MATCH('SubRes-RSD_Invcost'!O$8,'SubRes-RSD_Saving'!$G$5:$AQ$5,0))/1000</f>
        <v>8.0299999999999994</v>
      </c>
      <c r="P19" s="562">
        <f>INDEX('SubRes-RSD_Saving'!$G$180:$AQ$180,MATCH('SubRes-RSD_Invcost'!P$8,'SubRes-RSD_Saving'!$G$5:$AQ$5,0))/1000</f>
        <v>6.0458729099999999</v>
      </c>
      <c r="Q19" s="562">
        <f>INDEX('SubRes-RSD_Saving'!$G$180:$AQ$180,MATCH('SubRes-RSD_Invcost'!Q$8,'SubRes-RSD_Saving'!$G$5:$AQ$5,0))/1000</f>
        <v>21</v>
      </c>
      <c r="R19" s="562">
        <f>INDEX('SubRes-RSD_Saving'!$G$180:$AQ$180,MATCH('SubRes-RSD_Invcost'!R$8,'SubRes-RSD_Saving'!$G$5:$AQ$5,0))/1000</f>
        <v>9.8886139499999999</v>
      </c>
      <c r="S19" s="562">
        <f>INDEX('SubRes-RSD_Saving'!$G$180:$AQ$180,MATCH('SubRes-RSD_Invcost'!S$8,'SubRes-RSD_Saving'!$G$5:$AQ$5,0))/1000</f>
        <v>5.7251091600000006</v>
      </c>
      <c r="T19" s="562">
        <f>INDEX('SubRes-RSD_Saving'!$G$180:$AQ$180,MATCH('SubRes-RSD_Invcost'!T$8,'SubRes-RSD_Saving'!$G$5:$AQ$5,0))/1000</f>
        <v>4.2061065300000005</v>
      </c>
      <c r="U19" s="562">
        <f>INDEX('SubRes-RSD_Saving'!$G$180:$AQ$180,MATCH('SubRes-RSD_Invcost'!U$8,'SubRes-RSD_Saving'!$G$5:$AQ$5,0))/1000</f>
        <v>39.927009600000005</v>
      </c>
      <c r="V19" s="562">
        <f>INDEX('SubRes-RSD_Saving'!$G$180:$AQ$180,MATCH('SubRes-RSD_Invcost'!V$8,'SubRes-RSD_Saving'!$G$5:$AQ$5,0))/1000</f>
        <v>6.72</v>
      </c>
      <c r="W19" s="562">
        <f>INDEX('SubRes-RSD_Saving'!$G$180:$AQ$180,MATCH('SubRes-RSD_Invcost'!W$8,'SubRes-RSD_Saving'!$G$5:$AQ$5,0))/1000</f>
        <v>14.981999999999996</v>
      </c>
      <c r="X19" s="562">
        <f>INDEX('SubRes-RSD_Saving'!$G$180:$AQ$180,MATCH('SubRes-RSD_Invcost'!X$8,'SubRes-RSD_Saving'!$G$5:$AQ$5,0))/1000</f>
        <v>5.7251091600000006</v>
      </c>
      <c r="Y19" s="562">
        <f>INDEX('SubRes-RSD_Saving'!$G$180:$AQ$180,MATCH('SubRes-RSD_Invcost'!Y$8,'SubRes-RSD_Saving'!$G$5:$AQ$5,0))/1000</f>
        <v>4.6405578599999995</v>
      </c>
      <c r="Z19" s="562">
        <f>INDEX('SubRes-RSD_Saving'!$G$180:$AQ$180,MATCH('SubRes-RSD_Invcost'!Z$8,'SubRes-RSD_Saving'!$G$5:$AQ$5,0))/1000</f>
        <v>10.296012600000001</v>
      </c>
      <c r="AA19" s="562">
        <f>INDEX('SubRes-RSD_Saving'!$G$180:$AQ$180,MATCH('SubRes-RSD_Invcost'!AA$8,'SubRes-RSD_Saving'!$G$5:$AQ$5,0))/1000</f>
        <v>4.6349999999999989</v>
      </c>
      <c r="AB19" s="562">
        <f>INDEX('SubRes-RSD_Saving'!$G$180:$AQ$180,MATCH('SubRes-RSD_Invcost'!AB$8,'SubRes-RSD_Saving'!$G$5:$AQ$5,0))/1000</f>
        <v>6.57</v>
      </c>
      <c r="AC19" s="562">
        <f>INDEX('SubRes-RSD_Saving'!$G$180:$AQ$180,MATCH('SubRes-RSD_Invcost'!AC$8,'SubRes-RSD_Saving'!$G$5:$AQ$5,0))/1000</f>
        <v>5.7251091600000006</v>
      </c>
      <c r="AD19" s="562">
        <f>INDEX('SubRes-RSD_Saving'!$G$180:$AQ$180,MATCH('SubRes-RSD_Invcost'!AD$8,'SubRes-RSD_Saving'!$G$5:$AQ$5,0))/1000</f>
        <v>14.030189579999996</v>
      </c>
      <c r="AE19" s="562">
        <f>INDEX('SubRes-RSD_Saving'!$G$180:$AQ$180,MATCH('SubRes-RSD_Invcost'!AE$8,'SubRes-RSD_Saving'!$G$5:$AQ$5,0))/1000</f>
        <v>11.37</v>
      </c>
      <c r="AF19" s="562">
        <f>INDEX('SubRes-RSD_Saving'!$G$180:$AQ$180,MATCH('SubRes-RSD_Invcost'!AF$8,'SubRes-RSD_Saving'!$G$5:$AQ$5,0))/1000</f>
        <v>10.02</v>
      </c>
      <c r="AG19" s="562">
        <f>INDEX('SubRes-RSD_Saving'!$G$180:$AQ$180,MATCH('SubRes-RSD_Invcost'!AG$8,'SubRes-RSD_Saving'!$G$5:$AQ$5,0))/1000</f>
        <v>9.4463522999999974</v>
      </c>
      <c r="AH19" s="562">
        <f>INDEX('SubRes-RSD_Saving'!$G$180:$AQ$180,MATCH('SubRes-RSD_Invcost'!AH$8,'SubRes-RSD_Saving'!$G$5:$AQ$5,0))/1000</f>
        <v>10.149317219999999</v>
      </c>
      <c r="AI19" s="562">
        <f>INDEX('SubRes-RSD_Saving'!$G$180:$AQ$180,MATCH('SubRes-RSD_Invcost'!AI$8,'SubRes-RSD_Saving'!$G$5:$AQ$5,0))/1000</f>
        <v>23.016165119999997</v>
      </c>
      <c r="AJ19" s="562">
        <f>INDEX('SubRes-RSD_Saving'!$G$180:$AQ$180,MATCH('SubRes-RSD_Invcost'!AJ$8,'SubRes-RSD_Saving'!$G$5:$AQ$5,0))/1000</f>
        <v>5.7251091600000006</v>
      </c>
      <c r="AK19" s="562">
        <f>INDEX('SubRes-RSD_Saving'!$G$180:$AQ$180,MATCH('SubRes-RSD_Invcost'!AK$8,'SubRes-RSD_Saving'!$G$5:$AQ$5,0))/1000</f>
        <v>10.02</v>
      </c>
      <c r="AL19" s="562">
        <f>INDEX('SubRes-RSD_Saving'!$G$180:$AQ$180,MATCH('SubRes-RSD_Invcost'!AL$8,'SubRes-RSD_Saving'!$G$5:$AQ$5,0))/1000</f>
        <v>4.6404783900000002</v>
      </c>
      <c r="AM19" s="562">
        <f>INDEX('SubRes-RSD_Saving'!$G$180:$AQ$180,MATCH('SubRes-RSD_Invcost'!AM$8,'SubRes-RSD_Saving'!$G$5:$AQ$5,0))/1000</f>
        <v>3.6751734599999999</v>
      </c>
      <c r="AN19" s="562">
        <f>INDEX('SubRes-RSD_Saving'!$G$180:$AQ$180,MATCH('SubRes-RSD_Invcost'!AN$8,'SubRes-RSD_Saving'!$G$5:$AQ$5,0))/1000</f>
        <v>16.597714285714282</v>
      </c>
      <c r="AO19" s="562"/>
    </row>
    <row r="20" spans="1:41">
      <c r="A20" s="561" t="s">
        <v>619</v>
      </c>
      <c r="C20" s="561" t="s">
        <v>658</v>
      </c>
      <c r="D20" s="562">
        <f>INDEX('SubRes-RSD_Saving'!$G$171:$AQ$171,MATCH('SubRes-RSD_Invcost'!D$8,'SubRes-RSD_Saving'!$G$5:$AQ$5,0))/1000</f>
        <v>5.4749999999999996</v>
      </c>
      <c r="E20" s="562">
        <f>INDEX('SubRes-RSD_Saving'!$G$171:$AQ$171,MATCH('SubRes-RSD_Invcost'!E$8,'SubRes-RSD_Saving'!$G$5:$AQ$5,0))/1000</f>
        <v>5.4650904000000011</v>
      </c>
      <c r="F20" s="562">
        <f>INDEX('SubRes-RSD_Saving'!$G$171:$AQ$171,MATCH('SubRes-RSD_Invcost'!F$8,'SubRes-RSD_Saving'!$G$5:$AQ$5,0))/1000</f>
        <v>4.7709243000000017</v>
      </c>
      <c r="G20" s="562">
        <f>INDEX('SubRes-RSD_Saving'!$G$171:$AQ$171,MATCH('SubRes-RSD_Invcost'!G$8,'SubRes-RSD_Saving'!$G$5:$AQ$5,0))/1000</f>
        <v>6.9909437181818168</v>
      </c>
      <c r="H20" s="562">
        <f>INDEX('SubRes-RSD_Saving'!$G$171:$AQ$171,MATCH('SubRes-RSD_Invcost'!H$8,'SubRes-RSD_Saving'!$G$5:$AQ$5,0))/1000</f>
        <v>9.6720406500000013</v>
      </c>
      <c r="I20" s="562">
        <f>INDEX('SubRes-RSD_Saving'!$G$171:$AQ$171,MATCH('SubRes-RSD_Invcost'!I$8,'SubRes-RSD_Saving'!$G$5:$AQ$5,0))/1000</f>
        <v>5.4650904000000011</v>
      </c>
      <c r="J20" s="562">
        <f>INDEX('SubRes-RSD_Saving'!$G$171:$AQ$171,MATCH('SubRes-RSD_Invcost'!J$8,'SubRes-RSD_Saving'!$G$5:$AQ$5,0))/1000</f>
        <v>7.665</v>
      </c>
      <c r="K20" s="562">
        <f>INDEX('SubRes-RSD_Saving'!$G$171:$AQ$171,MATCH('SubRes-RSD_Invcost'!K$8,'SubRes-RSD_Saving'!$G$5:$AQ$5,0))/1000</f>
        <v>3.0493753499999992</v>
      </c>
      <c r="L20" s="562">
        <f>INDEX('SubRes-RSD_Saving'!$G$171:$AQ$171,MATCH('SubRes-RSD_Invcost'!L$8,'SubRes-RSD_Saving'!$G$5:$AQ$5,0))/1000</f>
        <v>1.7957401445454546</v>
      </c>
      <c r="M20" s="562">
        <f>INDEX('SubRes-RSD_Saving'!$G$171:$AQ$171,MATCH('SubRes-RSD_Invcost'!M$8,'SubRes-RSD_Saving'!$G$5:$AQ$5,0))/1000</f>
        <v>8.9803636363636397</v>
      </c>
      <c r="N20" s="562">
        <f>INDEX('SubRes-RSD_Saving'!$G$171:$AQ$171,MATCH('SubRes-RSD_Invcost'!N$8,'SubRes-RSD_Saving'!$G$5:$AQ$5,0))/1000</f>
        <v>3.5849273250000002</v>
      </c>
      <c r="O20" s="562">
        <f>INDEX('SubRes-RSD_Saving'!$G$171:$AQ$171,MATCH('SubRes-RSD_Invcost'!O$8,'SubRes-RSD_Saving'!$G$5:$AQ$5,0))/1000</f>
        <v>5.1099999999999994</v>
      </c>
      <c r="P20" s="562">
        <f>INDEX('SubRes-RSD_Saving'!$G$171:$AQ$171,MATCH('SubRes-RSD_Invcost'!P$8,'SubRes-RSD_Saving'!$G$5:$AQ$5,0))/1000</f>
        <v>3.8473736700000001</v>
      </c>
      <c r="Q20" s="562">
        <f>INDEX('SubRes-RSD_Saving'!$G$171:$AQ$171,MATCH('SubRes-RSD_Invcost'!Q$8,'SubRes-RSD_Saving'!$G$5:$AQ$5,0))/1000</f>
        <v>13.363636363636362</v>
      </c>
      <c r="R20" s="562">
        <f>INDEX('SubRes-RSD_Saving'!$G$171:$AQ$171,MATCH('SubRes-RSD_Invcost'!R$8,'SubRes-RSD_Saving'!$G$5:$AQ$5,0))/1000</f>
        <v>6.2927543318181804</v>
      </c>
      <c r="S20" s="562">
        <f>INDEX('SubRes-RSD_Saving'!$G$171:$AQ$171,MATCH('SubRes-RSD_Invcost'!S$8,'SubRes-RSD_Saving'!$G$5:$AQ$5,0))/1000</f>
        <v>4.7709243000000017</v>
      </c>
      <c r="T20" s="562">
        <f>INDEX('SubRes-RSD_Saving'!$G$171:$AQ$171,MATCH('SubRes-RSD_Invcost'!T$8,'SubRes-RSD_Saving'!$G$5:$AQ$5,0))/1000</f>
        <v>3.5050887750000004</v>
      </c>
      <c r="U20" s="562">
        <f>INDEX('SubRes-RSD_Saving'!$G$171:$AQ$171,MATCH('SubRes-RSD_Invcost'!U$8,'SubRes-RSD_Saving'!$G$5:$AQ$5,0))/1000</f>
        <v>25.40809701818182</v>
      </c>
      <c r="V20" s="562">
        <f>INDEX('SubRes-RSD_Saving'!$G$171:$AQ$171,MATCH('SubRes-RSD_Invcost'!V$8,'SubRes-RSD_Saving'!$G$5:$AQ$5,0))/1000</f>
        <v>4.2763636363636364</v>
      </c>
      <c r="W20" s="562">
        <f>INDEX('SubRes-RSD_Saving'!$G$171:$AQ$171,MATCH('SubRes-RSD_Invcost'!W$8,'SubRes-RSD_Saving'!$G$5:$AQ$5,0))/1000</f>
        <v>9.5339999999999989</v>
      </c>
      <c r="X20" s="562">
        <f>INDEX('SubRes-RSD_Saving'!$G$171:$AQ$171,MATCH('SubRes-RSD_Invcost'!X$8,'SubRes-RSD_Saving'!$G$5:$AQ$5,0))/1000</f>
        <v>4.7709243000000017</v>
      </c>
      <c r="Y20" s="562">
        <f>INDEX('SubRes-RSD_Saving'!$G$171:$AQ$171,MATCH('SubRes-RSD_Invcost'!Y$8,'SubRes-RSD_Saving'!$G$5:$AQ$5,0))/1000</f>
        <v>3.8671315499999994</v>
      </c>
      <c r="Z20" s="562">
        <f>INDEX('SubRes-RSD_Saving'!$G$171:$AQ$171,MATCH('SubRes-RSD_Invcost'!Z$8,'SubRes-RSD_Saving'!$G$5:$AQ$5,0))/1000</f>
        <v>6.5520080181818203</v>
      </c>
      <c r="AA20" s="562">
        <f>INDEX('SubRes-RSD_Saving'!$G$171:$AQ$171,MATCH('SubRes-RSD_Invcost'!AA$8,'SubRes-RSD_Saving'!$G$5:$AQ$5,0))/1000</f>
        <v>3.8624999999999989</v>
      </c>
      <c r="AB20" s="562">
        <f>INDEX('SubRes-RSD_Saving'!$G$171:$AQ$171,MATCH('SubRes-RSD_Invcost'!AB$8,'SubRes-RSD_Saving'!$G$5:$AQ$5,0))/1000</f>
        <v>5.4749999999999996</v>
      </c>
      <c r="AC20" s="562">
        <f>INDEX('SubRes-RSD_Saving'!$G$171:$AQ$171,MATCH('SubRes-RSD_Invcost'!AC$8,'SubRes-RSD_Saving'!$G$5:$AQ$5,0))/1000</f>
        <v>4.7709243000000017</v>
      </c>
      <c r="AD20" s="562">
        <f>INDEX('SubRes-RSD_Saving'!$G$171:$AQ$171,MATCH('SubRes-RSD_Invcost'!AD$8,'SubRes-RSD_Saving'!$G$5:$AQ$5,0))/1000</f>
        <v>8.9283024599999994</v>
      </c>
      <c r="AE20" s="562">
        <f>INDEX('SubRes-RSD_Saving'!$G$171:$AQ$171,MATCH('SubRes-RSD_Invcost'!AE$8,'SubRes-RSD_Saving'!$G$5:$AQ$5,0))/1000</f>
        <v>7.2354545454545454</v>
      </c>
      <c r="AF20" s="562">
        <f>INDEX('SubRes-RSD_Saving'!$G$171:$AQ$171,MATCH('SubRes-RSD_Invcost'!AF$8,'SubRes-RSD_Saving'!$G$5:$AQ$5,0))/1000</f>
        <v>6.376363636363636</v>
      </c>
      <c r="AG20" s="562">
        <f>INDEX('SubRes-RSD_Saving'!$G$171:$AQ$171,MATCH('SubRes-RSD_Invcost'!AG$8,'SubRes-RSD_Saving'!$G$5:$AQ$5,0))/1000</f>
        <v>7.8719602499999963</v>
      </c>
      <c r="AH20" s="562">
        <f>INDEX('SubRes-RSD_Saving'!$G$171:$AQ$171,MATCH('SubRes-RSD_Invcost'!AH$8,'SubRes-RSD_Saving'!$G$5:$AQ$5,0))/1000</f>
        <v>6.4586564127272732</v>
      </c>
      <c r="AI20" s="562">
        <f>INDEX('SubRes-RSD_Saving'!$G$171:$AQ$171,MATCH('SubRes-RSD_Invcost'!AI$8,'SubRes-RSD_Saving'!$G$5:$AQ$5,0))/1000</f>
        <v>19.180137599999998</v>
      </c>
      <c r="AJ20" s="562">
        <f>INDEX('SubRes-RSD_Saving'!$G$171:$AQ$171,MATCH('SubRes-RSD_Invcost'!AJ$8,'SubRes-RSD_Saving'!$G$5:$AQ$5,0))/1000</f>
        <v>4.7709243000000017</v>
      </c>
      <c r="AK20" s="562">
        <f>INDEX('SubRes-RSD_Saving'!$G$171:$AQ$171,MATCH('SubRes-RSD_Invcost'!AK$8,'SubRes-RSD_Saving'!$G$5:$AQ$5,0))/1000</f>
        <v>6.376363636363636</v>
      </c>
      <c r="AL20" s="562">
        <f>INDEX('SubRes-RSD_Saving'!$G$171:$AQ$171,MATCH('SubRes-RSD_Invcost'!AL$8,'SubRes-RSD_Saving'!$G$5:$AQ$5,0))/1000</f>
        <v>3.8670653249999996</v>
      </c>
      <c r="AM20" s="562">
        <f>INDEX('SubRes-RSD_Saving'!$G$171:$AQ$171,MATCH('SubRes-RSD_Invcost'!AM$8,'SubRes-RSD_Saving'!$G$5:$AQ$5,0))/1000</f>
        <v>3.0626445499999999</v>
      </c>
      <c r="AN20" s="562">
        <f>INDEX('SubRes-RSD_Saving'!$G$171:$AQ$171,MATCH('SubRes-RSD_Invcost'!AN$8,'SubRes-RSD_Saving'!$G$5:$AQ$5,0))/1000</f>
        <v>10.562181818181816</v>
      </c>
      <c r="AO20" s="562"/>
    </row>
    <row r="21" spans="1:41">
      <c r="A21" s="561" t="s">
        <v>619</v>
      </c>
      <c r="C21" s="561" t="s">
        <v>659</v>
      </c>
      <c r="D21" s="562">
        <f>INDEX('SubRes-RSD_Saving'!$G$199:$AQ$199,MATCH('SubRes-RSD_Invcost'!D$8,'SubRes-RSD_Saving'!$G$5:$AQ$5,0))/1000</f>
        <v>34.586657527986127</v>
      </c>
      <c r="E21" s="562">
        <f>INDEX('SubRes-RSD_Saving'!$G$199:$AQ$199,MATCH('SubRes-RSD_Invcost'!E$8,'SubRes-RSD_Saving'!$G$5:$AQ$5,0))/1000</f>
        <v>79.806537631393951</v>
      </c>
      <c r="F21" s="562">
        <f>INDEX('SubRes-RSD_Saving'!$G$199:$AQ$199,MATCH('SubRes-RSD_Invcost'!F$8,'SubRes-RSD_Saving'!$G$5:$AQ$5,0))/1000</f>
        <v>31.9989365271617</v>
      </c>
      <c r="G21" s="562">
        <f>INDEX('SubRes-RSD_Saving'!$G$199:$AQ$199,MATCH('SubRes-RSD_Invcost'!G$8,'SubRes-RSD_Saving'!$G$5:$AQ$5,0))/1000</f>
        <v>86.625377375712532</v>
      </c>
      <c r="H21" s="562">
        <f>INDEX('SubRes-RSD_Saving'!$G$199:$AQ$199,MATCH('SubRes-RSD_Invcost'!H$8,'SubRes-RSD_Saving'!$G$5:$AQ$5,0))/1000</f>
        <v>44.767872567373438</v>
      </c>
      <c r="I21" s="562">
        <f>INDEX('SubRes-RSD_Saving'!$G$199:$AQ$199,MATCH('SubRes-RSD_Invcost'!I$8,'SubRes-RSD_Saving'!$G$5:$AQ$5,0))/1000</f>
        <v>79.806537631393951</v>
      </c>
      <c r="J21" s="562">
        <f>INDEX('SubRes-RSD_Saving'!$G$199:$AQ$199,MATCH('SubRes-RSD_Invcost'!J$8,'SubRes-RSD_Saving'!$G$5:$AQ$5,0))/1000</f>
        <v>80.702200898634302</v>
      </c>
      <c r="K21" s="562">
        <f>INDEX('SubRes-RSD_Saving'!$G$199:$AQ$199,MATCH('SubRes-RSD_Invcost'!K$8,'SubRes-RSD_Saving'!$G$5:$AQ$5,0))/1000</f>
        <v>52.069557136864113</v>
      </c>
      <c r="L21" s="562">
        <f>INDEX('SubRes-RSD_Saving'!$G$199:$AQ$199,MATCH('SubRes-RSD_Invcost'!L$8,'SubRes-RSD_Saving'!$G$5:$AQ$5,0))/1000</f>
        <v>79.349913064849929</v>
      </c>
      <c r="M21" s="562">
        <f>INDEX('SubRes-RSD_Saving'!$G$199:$AQ$199,MATCH('SubRes-RSD_Invcost'!M$8,'SubRes-RSD_Saving'!$G$5:$AQ$5,0))/1000</f>
        <v>83.419997917100602</v>
      </c>
      <c r="N21" s="562">
        <f>INDEX('SubRes-RSD_Saving'!$G$199:$AQ$199,MATCH('SubRes-RSD_Invcost'!N$8,'SubRes-RSD_Saving'!$G$5:$AQ$5,0))/1000</f>
        <v>27.162704884047056</v>
      </c>
      <c r="O21" s="562">
        <f>INDEX('SubRes-RSD_Saving'!$G$199:$AQ$199,MATCH('SubRes-RSD_Invcost'!O$8,'SubRes-RSD_Saving'!$G$5:$AQ$5,0))/1000</f>
        <v>50.552517482121651</v>
      </c>
      <c r="P21" s="562">
        <f>INDEX('SubRes-RSD_Saving'!$G$199:$AQ$199,MATCH('SubRes-RSD_Invcost'!P$8,'SubRes-RSD_Saving'!$G$5:$AQ$5,0))/1000</f>
        <v>59.388603872903445</v>
      </c>
      <c r="Q21" s="562">
        <f>INDEX('SubRes-RSD_Saving'!$G$199:$AQ$199,MATCH('SubRes-RSD_Invcost'!Q$8,'SubRes-RSD_Saving'!$G$5:$AQ$5,0))/1000</f>
        <v>86.385567000412124</v>
      </c>
      <c r="R21" s="562">
        <f>INDEX('SubRes-RSD_Saving'!$G$199:$AQ$199,MATCH('SubRes-RSD_Invcost'!R$8,'SubRes-RSD_Saving'!$G$5:$AQ$5,0))/1000</f>
        <v>69.841117584111061</v>
      </c>
      <c r="S21" s="562">
        <f>INDEX('SubRes-RSD_Saving'!$G$199:$AQ$199,MATCH('SubRes-RSD_Invcost'!S$8,'SubRes-RSD_Saving'!$G$5:$AQ$5,0))/1000</f>
        <v>31.9989365271617</v>
      </c>
      <c r="T21" s="562">
        <f>INDEX('SubRes-RSD_Saving'!$G$199:$AQ$199,MATCH('SubRes-RSD_Invcost'!T$8,'SubRes-RSD_Saving'!$G$5:$AQ$5,0))/1000</f>
        <v>26.810161331287702</v>
      </c>
      <c r="U21" s="562">
        <f>INDEX('SubRes-RSD_Saving'!$G$199:$AQ$199,MATCH('SubRes-RSD_Invcost'!U$8,'SubRes-RSD_Saving'!$G$5:$AQ$5,0))/1000</f>
        <v>162.36932397767913</v>
      </c>
      <c r="V21" s="562">
        <f>INDEX('SubRes-RSD_Saving'!$G$199:$AQ$199,MATCH('SubRes-RSD_Invcost'!V$8,'SubRes-RSD_Saving'!$G$5:$AQ$5,0))/1000</f>
        <v>57.860093570715705</v>
      </c>
      <c r="W21" s="562">
        <f>INDEX('SubRes-RSD_Saving'!$G$199:$AQ$199,MATCH('SubRes-RSD_Invcost'!W$8,'SubRes-RSD_Saving'!$G$5:$AQ$5,0))/1000</f>
        <v>91.167008844706132</v>
      </c>
      <c r="X21" s="562">
        <f>INDEX('SubRes-RSD_Saving'!$G$199:$AQ$199,MATCH('SubRes-RSD_Invcost'!X$8,'SubRes-RSD_Saving'!$G$5:$AQ$5,0))/1000</f>
        <v>31.9989365271617</v>
      </c>
      <c r="Y21" s="562">
        <f>INDEX('SubRes-RSD_Saving'!$G$199:$AQ$199,MATCH('SubRes-RSD_Invcost'!Y$8,'SubRes-RSD_Saving'!$G$5:$AQ$5,0))/1000</f>
        <v>28.378387283534334</v>
      </c>
      <c r="Z21" s="562">
        <f>INDEX('SubRes-RSD_Saving'!$G$199:$AQ$199,MATCH('SubRes-RSD_Invcost'!Z$8,'SubRes-RSD_Saving'!$G$5:$AQ$5,0))/1000</f>
        <v>73.616633873867329</v>
      </c>
      <c r="AA21" s="562">
        <f>INDEX('SubRes-RSD_Saving'!$G$199:$AQ$199,MATCH('SubRes-RSD_Invcost'!AA$8,'SubRes-RSD_Saving'!$G$5:$AQ$5,0))/1000</f>
        <v>28.358800467581425</v>
      </c>
      <c r="AB21" s="562">
        <f>INDEX('SubRes-RSD_Saving'!$G$199:$AQ$199,MATCH('SubRes-RSD_Invcost'!AB$8,'SubRes-RSD_Saving'!$G$5:$AQ$5,0))/1000</f>
        <v>34.586657527986127</v>
      </c>
      <c r="AC21" s="562">
        <f>INDEX('SubRes-RSD_Saving'!$G$199:$AQ$199,MATCH('SubRes-RSD_Invcost'!AC$8,'SubRes-RSD_Saving'!$G$5:$AQ$5,0))/1000</f>
        <v>31.9989365271617</v>
      </c>
      <c r="AD21" s="562">
        <f>INDEX('SubRes-RSD_Saving'!$G$199:$AQ$199,MATCH('SubRes-RSD_Invcost'!AD$8,'SubRes-RSD_Saving'!$G$5:$AQ$5,0))/1000</f>
        <v>87.898113908117239</v>
      </c>
      <c r="AE21" s="562">
        <f>INDEX('SubRes-RSD_Saving'!$G$199:$AQ$199,MATCH('SubRes-RSD_Invcost'!AE$8,'SubRes-RSD_Saving'!$G$5:$AQ$5,0))/1000</f>
        <v>88.314479265140662</v>
      </c>
      <c r="AF21" s="562">
        <f>INDEX('SubRes-RSD_Saving'!$G$199:$AQ$199,MATCH('SubRes-RSD_Invcost'!AF$8,'SubRes-RSD_Saving'!$G$5:$AQ$5,0))/1000</f>
        <v>63.967948706592495</v>
      </c>
      <c r="AG21" s="562">
        <f>INDEX('SubRes-RSD_Saving'!$G$199:$AQ$199,MATCH('SubRes-RSD_Invcost'!AG$8,'SubRes-RSD_Saving'!$G$5:$AQ$5,0))/1000</f>
        <v>34.173828828389581</v>
      </c>
      <c r="AH21" s="562">
        <f>INDEX('SubRes-RSD_Saving'!$G$199:$AQ$199,MATCH('SubRes-RSD_Invcost'!AH$8,'SubRes-RSD_Saving'!$G$5:$AQ$5,0))/1000</f>
        <v>101.12478391491314</v>
      </c>
      <c r="AI21" s="562">
        <f>INDEX('SubRes-RSD_Saving'!$G$199:$AQ$199,MATCH('SubRes-RSD_Invcost'!AI$8,'SubRes-RSD_Saving'!$G$5:$AQ$5,0))/1000</f>
        <v>52.52015639381905</v>
      </c>
      <c r="AJ21" s="562">
        <f>INDEX('SubRes-RSD_Saving'!$G$199:$AQ$199,MATCH('SubRes-RSD_Invcost'!AJ$8,'SubRes-RSD_Saving'!$G$5:$AQ$5,0))/1000</f>
        <v>31.9989365271617</v>
      </c>
      <c r="AK21" s="562">
        <f>INDEX('SubRes-RSD_Saving'!$G$199:$AQ$199,MATCH('SubRes-RSD_Invcost'!AK$8,'SubRes-RSD_Saving'!$G$5:$AQ$5,0))/1000</f>
        <v>63.967948706592495</v>
      </c>
      <c r="AL21" s="562">
        <f>INDEX('SubRes-RSD_Saving'!$G$199:$AQ$199,MATCH('SubRes-RSD_Invcost'!AL$8,'SubRes-RSD_Saving'!$G$5:$AQ$5,0))/1000</f>
        <v>28.378107300820943</v>
      </c>
      <c r="AM21" s="562">
        <f>INDEX('SubRes-RSD_Saving'!$G$199:$AQ$199,MATCH('SubRes-RSD_Invcost'!AM$8,'SubRes-RSD_Saving'!$G$5:$AQ$5,0))/1000</f>
        <v>52.198371371612545</v>
      </c>
      <c r="AN21" s="562">
        <f>INDEX('SubRes-RSD_Saving'!$G$199:$AQ$199,MATCH('SubRes-RSD_Invcost'!AN$8,'SubRes-RSD_Saving'!$G$5:$AQ$5,0))/1000</f>
        <v>166.36514977447942</v>
      </c>
      <c r="AO21" s="562"/>
    </row>
    <row r="22" spans="1:41">
      <c r="A22" s="561" t="s">
        <v>619</v>
      </c>
      <c r="C22" s="561" t="s">
        <v>660</v>
      </c>
      <c r="D22" s="562">
        <f>INDEX('SubRes-RSD_Saving'!$G$190:$AQ$190,MATCH('SubRes-RSD_Invcost'!D$8,'SubRes-RSD_Saving'!$G$5:$AQ$5,0))/1000</f>
        <v>29.645706452559537</v>
      </c>
      <c r="E22" s="562">
        <f>INDEX('SubRes-RSD_Saving'!$G$190:$AQ$190,MATCH('SubRes-RSD_Invcost'!E$8,'SubRes-RSD_Saving'!$G$5:$AQ$5,0))/1000</f>
        <v>68.405603684051968</v>
      </c>
      <c r="F22" s="562">
        <f>INDEX('SubRes-RSD_Saving'!$G$190:$AQ$190,MATCH('SubRes-RSD_Invcost'!F$8,'SubRes-RSD_Saving'!$G$5:$AQ$5,0))/1000</f>
        <v>27.427659880424311</v>
      </c>
      <c r="G22" s="562">
        <f>INDEX('SubRes-RSD_Saving'!$G$190:$AQ$190,MATCH('SubRes-RSD_Invcost'!G$8,'SubRes-RSD_Saving'!$G$5:$AQ$5,0))/1000</f>
        <v>74.250323464896468</v>
      </c>
      <c r="H22" s="562">
        <f>INDEX('SubRes-RSD_Saving'!$G$190:$AQ$190,MATCH('SubRes-RSD_Invcost'!H$8,'SubRes-RSD_Saving'!$G$5:$AQ$5,0))/1000</f>
        <v>38.372462200605803</v>
      </c>
      <c r="I22" s="562">
        <f>INDEX('SubRes-RSD_Saving'!$G$190:$AQ$190,MATCH('SubRes-RSD_Invcost'!I$8,'SubRes-RSD_Saving'!$G$5:$AQ$5,0))/1000</f>
        <v>68.405603684051968</v>
      </c>
      <c r="J22" s="562">
        <f>INDEX('SubRes-RSD_Saving'!$G$190:$AQ$190,MATCH('SubRes-RSD_Invcost'!J$8,'SubRes-RSD_Saving'!$G$5:$AQ$5,0))/1000</f>
        <v>69.173315055972253</v>
      </c>
      <c r="K22" s="562">
        <f>INDEX('SubRes-RSD_Saving'!$G$190:$AQ$190,MATCH('SubRes-RSD_Invcost'!K$8,'SubRes-RSD_Saving'!$G$5:$AQ$5,0))/1000</f>
        <v>44.631048974454949</v>
      </c>
      <c r="L22" s="562">
        <f>INDEX('SubRes-RSD_Saving'!$G$190:$AQ$190,MATCH('SubRes-RSD_Invcost'!L$8,'SubRes-RSD_Saving'!$G$5:$AQ$5,0))/1000</f>
        <v>68.014211198442794</v>
      </c>
      <c r="M22" s="562">
        <f>INDEX('SubRes-RSD_Saving'!$G$190:$AQ$190,MATCH('SubRes-RSD_Invcost'!M$8,'SubRes-RSD_Saving'!$G$5:$AQ$5,0))/1000</f>
        <v>71.50285535751479</v>
      </c>
      <c r="N22" s="562">
        <f>INDEX('SubRes-RSD_Saving'!$G$190:$AQ$190,MATCH('SubRes-RSD_Invcost'!N$8,'SubRes-RSD_Saving'!$G$5:$AQ$5,0))/1000</f>
        <v>23.282318472040334</v>
      </c>
      <c r="O22" s="562">
        <f>INDEX('SubRes-RSD_Saving'!$G$190:$AQ$190,MATCH('SubRes-RSD_Invcost'!O$8,'SubRes-RSD_Saving'!$G$5:$AQ$5,0))/1000</f>
        <v>43.33072927038998</v>
      </c>
      <c r="P22" s="562">
        <f>INDEX('SubRes-RSD_Saving'!$G$190:$AQ$190,MATCH('SubRes-RSD_Invcost'!P$8,'SubRes-RSD_Saving'!$G$5:$AQ$5,0))/1000</f>
        <v>50.904517605345816</v>
      </c>
      <c r="Q22" s="562">
        <f>INDEX('SubRes-RSD_Saving'!$G$190:$AQ$190,MATCH('SubRes-RSD_Invcost'!Q$8,'SubRes-RSD_Saving'!$G$5:$AQ$5,0))/1000</f>
        <v>74.044771714638969</v>
      </c>
      <c r="R22" s="562">
        <f>INDEX('SubRes-RSD_Saving'!$G$190:$AQ$190,MATCH('SubRes-RSD_Invcost'!R$8,'SubRes-RSD_Saving'!$G$5:$AQ$5,0))/1000</f>
        <v>59.863815072095186</v>
      </c>
      <c r="S22" s="562">
        <f>INDEX('SubRes-RSD_Saving'!$G$190:$AQ$190,MATCH('SubRes-RSD_Invcost'!S$8,'SubRes-RSD_Saving'!$G$5:$AQ$5,0))/1000</f>
        <v>27.427659880424311</v>
      </c>
      <c r="T22" s="562">
        <f>INDEX('SubRes-RSD_Saving'!$G$190:$AQ$190,MATCH('SubRes-RSD_Invcost'!T$8,'SubRes-RSD_Saving'!$G$5:$AQ$5,0))/1000</f>
        <v>22.980138283960891</v>
      </c>
      <c r="U22" s="562">
        <f>INDEX('SubRes-RSD_Saving'!$G$190:$AQ$190,MATCH('SubRes-RSD_Invcost'!U$8,'SubRes-RSD_Saving'!$G$5:$AQ$5,0))/1000</f>
        <v>139.17370626658209</v>
      </c>
      <c r="V22" s="562">
        <f>INDEX('SubRes-RSD_Saving'!$G$190:$AQ$190,MATCH('SubRes-RSD_Invcost'!V$8,'SubRes-RSD_Saving'!$G$5:$AQ$5,0))/1000</f>
        <v>49.594365917756313</v>
      </c>
      <c r="W22" s="562">
        <f>INDEX('SubRes-RSD_Saving'!$G$190:$AQ$190,MATCH('SubRes-RSD_Invcost'!W$8,'SubRes-RSD_Saving'!$G$5:$AQ$5,0))/1000</f>
        <v>78.143150438319537</v>
      </c>
      <c r="X22" s="562">
        <f>INDEX('SubRes-RSD_Saving'!$G$190:$AQ$190,MATCH('SubRes-RSD_Invcost'!X$8,'SubRes-RSD_Saving'!$G$5:$AQ$5,0))/1000</f>
        <v>27.427659880424311</v>
      </c>
      <c r="Y22" s="562">
        <f>INDEX('SubRes-RSD_Saving'!$G$190:$AQ$190,MATCH('SubRes-RSD_Invcost'!Y$8,'SubRes-RSD_Saving'!$G$5:$AQ$5,0))/1000</f>
        <v>24.324331957315145</v>
      </c>
      <c r="Z22" s="562">
        <f>INDEX('SubRes-RSD_Saving'!$G$190:$AQ$190,MATCH('SubRes-RSD_Invcost'!Z$8,'SubRes-RSD_Saving'!$G$5:$AQ$5,0))/1000</f>
        <v>63.099971891886263</v>
      </c>
      <c r="AA22" s="562">
        <f>INDEX('SubRes-RSD_Saving'!$G$190:$AQ$190,MATCH('SubRes-RSD_Invcost'!AA$8,'SubRes-RSD_Saving'!$G$5:$AQ$5,0))/1000</f>
        <v>24.307543257926941</v>
      </c>
      <c r="AB22" s="562">
        <f>INDEX('SubRes-RSD_Saving'!$G$190:$AQ$190,MATCH('SubRes-RSD_Invcost'!AB$8,'SubRes-RSD_Saving'!$G$5:$AQ$5,0))/1000</f>
        <v>29.645706452559537</v>
      </c>
      <c r="AC22" s="562">
        <f>INDEX('SubRes-RSD_Saving'!$G$190:$AQ$190,MATCH('SubRes-RSD_Invcost'!AC$8,'SubRes-RSD_Saving'!$G$5:$AQ$5,0))/1000</f>
        <v>27.427659880424311</v>
      </c>
      <c r="AD22" s="562">
        <f>INDEX('SubRes-RSD_Saving'!$G$190:$AQ$190,MATCH('SubRes-RSD_Invcost'!AD$8,'SubRes-RSD_Saving'!$G$5:$AQ$5,0))/1000</f>
        <v>75.341240492671915</v>
      </c>
      <c r="AE22" s="562">
        <f>INDEX('SubRes-RSD_Saving'!$G$190:$AQ$190,MATCH('SubRes-RSD_Invcost'!AE$8,'SubRes-RSD_Saving'!$G$5:$AQ$5,0))/1000</f>
        <v>75.698125084406286</v>
      </c>
      <c r="AF22" s="562">
        <f>INDEX('SubRes-RSD_Saving'!$G$190:$AQ$190,MATCH('SubRes-RSD_Invcost'!AF$8,'SubRes-RSD_Saving'!$G$5:$AQ$5,0))/1000</f>
        <v>54.829670319936419</v>
      </c>
      <c r="AG22" s="562">
        <f>INDEX('SubRes-RSD_Saving'!$G$190:$AQ$190,MATCH('SubRes-RSD_Invcost'!AG$8,'SubRes-RSD_Saving'!$G$5:$AQ$5,0))/1000</f>
        <v>29.291853281476783</v>
      </c>
      <c r="AH22" s="562">
        <f>INDEX('SubRes-RSD_Saving'!$G$190:$AQ$190,MATCH('SubRes-RSD_Invcost'!AH$8,'SubRes-RSD_Saving'!$G$5:$AQ$5,0))/1000</f>
        <v>86.678386212782684</v>
      </c>
      <c r="AI22" s="562">
        <f>INDEX('SubRes-RSD_Saving'!$G$190:$AQ$190,MATCH('SubRes-RSD_Invcost'!AI$8,'SubRes-RSD_Saving'!$G$5:$AQ$5,0))/1000</f>
        <v>45.01727690898776</v>
      </c>
      <c r="AJ22" s="562">
        <f>INDEX('SubRes-RSD_Saving'!$G$190:$AQ$190,MATCH('SubRes-RSD_Invcost'!AJ$8,'SubRes-RSD_Saving'!$G$5:$AQ$5,0))/1000</f>
        <v>27.427659880424311</v>
      </c>
      <c r="AK22" s="562">
        <f>INDEX('SubRes-RSD_Saving'!$G$190:$AQ$190,MATCH('SubRes-RSD_Invcost'!AK$8,'SubRes-RSD_Saving'!$G$5:$AQ$5,0))/1000</f>
        <v>54.829670319936419</v>
      </c>
      <c r="AL22" s="562">
        <f>INDEX('SubRes-RSD_Saving'!$G$190:$AQ$190,MATCH('SubRes-RSD_Invcost'!AL$8,'SubRes-RSD_Saving'!$G$5:$AQ$5,0))/1000</f>
        <v>24.324091972132234</v>
      </c>
      <c r="AM22" s="562">
        <f>INDEX('SubRes-RSD_Saving'!$G$190:$AQ$190,MATCH('SubRes-RSD_Invcost'!AM$8,'SubRes-RSD_Saving'!$G$5:$AQ$5,0))/1000</f>
        <v>44.741461175667887</v>
      </c>
      <c r="AN22" s="562">
        <f>INDEX('SubRes-RSD_Saving'!$G$190:$AQ$190,MATCH('SubRes-RSD_Invcost'!AN$8,'SubRes-RSD_Saving'!$G$5:$AQ$5,0))/1000</f>
        <v>142.59869980669663</v>
      </c>
      <c r="AO22" s="562"/>
    </row>
    <row r="23" spans="1:41">
      <c r="A23" s="561" t="s">
        <v>619</v>
      </c>
      <c r="C23" s="561" t="s">
        <v>661</v>
      </c>
      <c r="D23" s="562">
        <f>INDEX('SubRes-RSD_Saving'!$G$75:$AQ$75,MATCH('SubRes-RSD_Invcost'!D$8,'SubRes-RSD_Saving'!$G$5:$AQ$5,0))/1000</f>
        <v>8.0999999999999979</v>
      </c>
      <c r="E23" s="562">
        <f>INDEX('SubRes-RSD_Saving'!$G$75:$AQ$75,MATCH('SubRes-RSD_Invcost'!E$8,'SubRes-RSD_Saving'!$G$5:$AQ$5,0))/1000</f>
        <v>14.579999999999997</v>
      </c>
      <c r="F23" s="562">
        <f>INDEX('SubRes-RSD_Saving'!$G$75:$AQ$75,MATCH('SubRes-RSD_Invcost'!F$8,'SubRes-RSD_Saving'!$G$5:$AQ$5,0))/1000</f>
        <v>8.0999999999999979</v>
      </c>
      <c r="G23" s="562">
        <f>INDEX('SubRes-RSD_Saving'!$G$75:$AQ$75,MATCH('SubRes-RSD_Invcost'!G$8,'SubRes-RSD_Saving'!$G$5:$AQ$5,0))/1000</f>
        <v>18.899999999999995</v>
      </c>
      <c r="H23" s="562">
        <f>INDEX('SubRes-RSD_Saving'!$G$75:$AQ$75,MATCH('SubRes-RSD_Invcost'!H$8,'SubRes-RSD_Saving'!$G$5:$AQ$5,0))/1000</f>
        <v>8.0999999999999979</v>
      </c>
      <c r="I23" s="562">
        <f>INDEX('SubRes-RSD_Saving'!$G$75:$AQ$75,MATCH('SubRes-RSD_Invcost'!I$8,'SubRes-RSD_Saving'!$G$5:$AQ$5,0))/1000</f>
        <v>14.579999999999998</v>
      </c>
      <c r="J23" s="562">
        <f>INDEX('SubRes-RSD_Saving'!$G$75:$AQ$75,MATCH('SubRes-RSD_Invcost'!J$8,'SubRes-RSD_Saving'!$G$5:$AQ$5,0))/1000</f>
        <v>17.28</v>
      </c>
      <c r="K23" s="562">
        <f>INDEX('SubRes-RSD_Saving'!$G$75:$AQ$75,MATCH('SubRes-RSD_Invcost'!K$8,'SubRes-RSD_Saving'!$G$5:$AQ$5,0))/1000</f>
        <v>10.799999999999997</v>
      </c>
      <c r="L23" s="562">
        <f>INDEX('SubRes-RSD_Saving'!$G$75:$AQ$75,MATCH('SubRes-RSD_Invcost'!L$8,'SubRes-RSD_Saving'!$G$5:$AQ$5,0))/1000</f>
        <v>15.280851063829781</v>
      </c>
      <c r="M23" s="562">
        <f>INDEX('SubRes-RSD_Saving'!$G$75:$AQ$75,MATCH('SubRes-RSD_Invcost'!M$8,'SubRes-RSD_Saving'!$G$5:$AQ$5,0))/1000</f>
        <v>18.899999999999999</v>
      </c>
      <c r="N23" s="562">
        <f>INDEX('SubRes-RSD_Saving'!$G$75:$AQ$75,MATCH('SubRes-RSD_Invcost'!N$8,'SubRes-RSD_Saving'!$G$5:$AQ$5,0))/1000</f>
        <v>8.0999999999999979</v>
      </c>
      <c r="O23" s="562">
        <f>INDEX('SubRes-RSD_Saving'!$G$75:$AQ$75,MATCH('SubRes-RSD_Invcost'!O$8,'SubRes-RSD_Saving'!$G$5:$AQ$5,0))/1000</f>
        <v>11.520000000000001</v>
      </c>
      <c r="P23" s="562">
        <f>INDEX('SubRes-RSD_Saving'!$G$75:$AQ$75,MATCH('SubRes-RSD_Invcost'!P$8,'SubRes-RSD_Saving'!$G$5:$AQ$5,0))/1000</f>
        <v>24.299999999999997</v>
      </c>
      <c r="Q23" s="562">
        <f>INDEX('SubRes-RSD_Saving'!$G$75:$AQ$75,MATCH('SubRes-RSD_Invcost'!Q$8,'SubRes-RSD_Saving'!$G$5:$AQ$5,0))/1000</f>
        <v>18.899999999999995</v>
      </c>
      <c r="R23" s="562">
        <f>INDEX('SubRes-RSD_Saving'!$G$75:$AQ$75,MATCH('SubRes-RSD_Invcost'!R$8,'SubRes-RSD_Saving'!$G$5:$AQ$5,0))/1000</f>
        <v>20.52</v>
      </c>
      <c r="S23" s="562">
        <f>INDEX('SubRes-RSD_Saving'!$G$75:$AQ$75,MATCH('SubRes-RSD_Invcost'!S$8,'SubRes-RSD_Saving'!$G$5:$AQ$5,0))/1000</f>
        <v>8.0999999999999979</v>
      </c>
      <c r="T23" s="562">
        <f>INDEX('SubRes-RSD_Saving'!$G$75:$AQ$75,MATCH('SubRes-RSD_Invcost'!T$8,'SubRes-RSD_Saving'!$G$5:$AQ$5,0))/1000</f>
        <v>8.1</v>
      </c>
      <c r="U23" s="562">
        <f>INDEX('SubRes-RSD_Saving'!$G$75:$AQ$75,MATCH('SubRes-RSD_Invcost'!U$8,'SubRes-RSD_Saving'!$G$5:$AQ$5,0))/1000</f>
        <v>15.280851063829784</v>
      </c>
      <c r="V23" s="562">
        <f>INDEX('SubRes-RSD_Saving'!$G$75:$AQ$75,MATCH('SubRes-RSD_Invcost'!V$8,'SubRes-RSD_Saving'!$G$5:$AQ$5,0))/1000</f>
        <v>18.899999999999999</v>
      </c>
      <c r="W23" s="562">
        <f>INDEX('SubRes-RSD_Saving'!$G$75:$AQ$75,MATCH('SubRes-RSD_Invcost'!W$8,'SubRes-RSD_Saving'!$G$5:$AQ$5,0))/1000</f>
        <v>17.279999999999998</v>
      </c>
      <c r="X23" s="562">
        <f>INDEX('SubRes-RSD_Saving'!$G$75:$AQ$75,MATCH('SubRes-RSD_Invcost'!X$8,'SubRes-RSD_Saving'!$G$5:$AQ$5,0))/1000</f>
        <v>8.0999999999999979</v>
      </c>
      <c r="Y23" s="562">
        <f>INDEX('SubRes-RSD_Saving'!$G$75:$AQ$75,MATCH('SubRes-RSD_Invcost'!Y$8,'SubRes-RSD_Saving'!$G$5:$AQ$5,0))/1000</f>
        <v>8.1</v>
      </c>
      <c r="Z23" s="562">
        <f>INDEX('SubRes-RSD_Saving'!$G$75:$AQ$75,MATCH('SubRes-RSD_Invcost'!Z$8,'SubRes-RSD_Saving'!$G$5:$AQ$5,0))/1000</f>
        <v>12.6</v>
      </c>
      <c r="AA23" s="562">
        <f>INDEX('SubRes-RSD_Saving'!$G$75:$AQ$75,MATCH('SubRes-RSD_Invcost'!AA$8,'SubRes-RSD_Saving'!$G$5:$AQ$5,0))/1000</f>
        <v>8.0999999999999979</v>
      </c>
      <c r="AB23" s="562">
        <f>INDEX('SubRes-RSD_Saving'!$G$75:$AQ$75,MATCH('SubRes-RSD_Invcost'!AB$8,'SubRes-RSD_Saving'!$G$5:$AQ$5,0))/1000</f>
        <v>8.1</v>
      </c>
      <c r="AC23" s="562">
        <f>INDEX('SubRes-RSD_Saving'!$G$75:$AQ$75,MATCH('SubRes-RSD_Invcost'!AC$8,'SubRes-RSD_Saving'!$G$5:$AQ$5,0))/1000</f>
        <v>8.0999999999999979</v>
      </c>
      <c r="AD23" s="562">
        <f>INDEX('SubRes-RSD_Saving'!$G$75:$AQ$75,MATCH('SubRes-RSD_Invcost'!AD$8,'SubRes-RSD_Saving'!$G$5:$AQ$5,0))/1000</f>
        <v>17.28</v>
      </c>
      <c r="AE23" s="562">
        <f>INDEX('SubRes-RSD_Saving'!$G$75:$AQ$75,MATCH('SubRes-RSD_Invcost'!AE$8,'SubRes-RSD_Saving'!$G$5:$AQ$5,0))/1000</f>
        <v>15.280851063829784</v>
      </c>
      <c r="AF23" s="562">
        <f>INDEX('SubRes-RSD_Saving'!$G$75:$AQ$75,MATCH('SubRes-RSD_Invcost'!AF$8,'SubRes-RSD_Saving'!$G$5:$AQ$5,0))/1000</f>
        <v>18.899999999999995</v>
      </c>
      <c r="AG23" s="562">
        <f>INDEX('SubRes-RSD_Saving'!$G$75:$AQ$75,MATCH('SubRes-RSD_Invcost'!AG$8,'SubRes-RSD_Saving'!$G$5:$AQ$5,0))/1000</f>
        <v>8.0999999999999979</v>
      </c>
      <c r="AH23" s="562">
        <f>INDEX('SubRes-RSD_Saving'!$G$75:$AQ$75,MATCH('SubRes-RSD_Invcost'!AH$8,'SubRes-RSD_Saving'!$G$5:$AQ$5,0))/1000</f>
        <v>24.299999999999997</v>
      </c>
      <c r="AI23" s="562">
        <f>INDEX('SubRes-RSD_Saving'!$G$75:$AQ$75,MATCH('SubRes-RSD_Invcost'!AI$8,'SubRes-RSD_Saving'!$G$5:$AQ$5,0))/1000</f>
        <v>8.0999999999999979</v>
      </c>
      <c r="AJ23" s="562">
        <f>INDEX('SubRes-RSD_Saving'!$G$75:$AQ$75,MATCH('SubRes-RSD_Invcost'!AJ$8,'SubRes-RSD_Saving'!$G$5:$AQ$5,0))/1000</f>
        <v>8.0999999999999979</v>
      </c>
      <c r="AK23" s="562">
        <f>INDEX('SubRes-RSD_Saving'!$G$75:$AQ$75,MATCH('SubRes-RSD_Invcost'!AK$8,'SubRes-RSD_Saving'!$G$5:$AQ$5,0))/1000</f>
        <v>18.899999999999995</v>
      </c>
      <c r="AL23" s="562">
        <f>INDEX('SubRes-RSD_Saving'!$G$75:$AQ$75,MATCH('SubRes-RSD_Invcost'!AL$8,'SubRes-RSD_Saving'!$G$5:$AQ$5,0))/1000</f>
        <v>8.0999999999999979</v>
      </c>
      <c r="AM23" s="562">
        <f>INDEX('SubRes-RSD_Saving'!$G$75:$AQ$75,MATCH('SubRes-RSD_Invcost'!AM$8,'SubRes-RSD_Saving'!$G$5:$AQ$5,0))/1000</f>
        <v>10.799999999999997</v>
      </c>
      <c r="AN23" s="562">
        <f>INDEX('SubRes-RSD_Saving'!$G$75:$AQ$75,MATCH('SubRes-RSD_Invcost'!AN$8,'SubRes-RSD_Saving'!$G$5:$AQ$5,0))/1000</f>
        <v>15.280851063829781</v>
      </c>
      <c r="AO23" s="562"/>
    </row>
    <row r="24" spans="1:41">
      <c r="A24" s="561" t="s">
        <v>619</v>
      </c>
      <c r="C24" s="561" t="s">
        <v>662</v>
      </c>
      <c r="D24" s="562">
        <f>INDEX('SubRes-RSD_Saving'!$G$84:$AQ$84,MATCH('SubRes-RSD_Invcost'!D$8,'SubRes-RSD_Saving'!$G$5:$AQ$5,0))/1000</f>
        <v>10.799999999999999</v>
      </c>
      <c r="E24" s="562">
        <f>INDEX('SubRes-RSD_Saving'!$G$84:$AQ$84,MATCH('SubRes-RSD_Invcost'!E$8,'SubRes-RSD_Saving'!$G$5:$AQ$5,0))/1000</f>
        <v>16.199999999999996</v>
      </c>
      <c r="F24" s="562">
        <f>INDEX('SubRes-RSD_Saving'!$G$84:$AQ$84,MATCH('SubRes-RSD_Invcost'!F$8,'SubRes-RSD_Saving'!$G$5:$AQ$5,0))/1000</f>
        <v>10.799999999999999</v>
      </c>
      <c r="G24" s="562">
        <f>INDEX('SubRes-RSD_Saving'!$G$84:$AQ$84,MATCH('SubRes-RSD_Invcost'!G$8,'SubRes-RSD_Saving'!$G$5:$AQ$5,0))/1000</f>
        <v>21.599999999999998</v>
      </c>
      <c r="H24" s="562">
        <f>INDEX('SubRes-RSD_Saving'!$G$84:$AQ$84,MATCH('SubRes-RSD_Invcost'!H$8,'SubRes-RSD_Saving'!$G$5:$AQ$5,0))/1000</f>
        <v>10.799999999999999</v>
      </c>
      <c r="I24" s="562">
        <f>INDEX('SubRes-RSD_Saving'!$G$84:$AQ$84,MATCH('SubRes-RSD_Invcost'!I$8,'SubRes-RSD_Saving'!$G$5:$AQ$5,0))/1000</f>
        <v>16.199999999999996</v>
      </c>
      <c r="J24" s="562">
        <f>INDEX('SubRes-RSD_Saving'!$G$84:$AQ$84,MATCH('SubRes-RSD_Invcost'!J$8,'SubRes-RSD_Saving'!$G$5:$AQ$5,0))/1000</f>
        <v>21.599999999999998</v>
      </c>
      <c r="K24" s="562">
        <f>INDEX('SubRes-RSD_Saving'!$G$84:$AQ$84,MATCH('SubRes-RSD_Invcost'!K$8,'SubRes-RSD_Saving'!$G$5:$AQ$5,0))/1000</f>
        <v>14.039999999999996</v>
      </c>
      <c r="L24" s="562">
        <f>INDEX('SubRes-RSD_Saving'!$G$84:$AQ$84,MATCH('SubRes-RSD_Invcost'!L$8,'SubRes-RSD_Saving'!$G$5:$AQ$5,0))/1000</f>
        <v>18.899999999999995</v>
      </c>
      <c r="M24" s="562">
        <f>INDEX('SubRes-RSD_Saving'!$G$84:$AQ$84,MATCH('SubRes-RSD_Invcost'!M$8,'SubRes-RSD_Saving'!$G$5:$AQ$5,0))/1000</f>
        <v>21.6</v>
      </c>
      <c r="N24" s="562">
        <f>INDEX('SubRes-RSD_Saving'!$G$84:$AQ$84,MATCH('SubRes-RSD_Invcost'!N$8,'SubRes-RSD_Saving'!$G$5:$AQ$5,0))/1000</f>
        <v>10.8</v>
      </c>
      <c r="O24" s="562">
        <f>INDEX('SubRes-RSD_Saving'!$G$84:$AQ$84,MATCH('SubRes-RSD_Invcost'!O$8,'SubRes-RSD_Saving'!$G$5:$AQ$5,0))/1000</f>
        <v>14.4</v>
      </c>
      <c r="P24" s="562">
        <f>INDEX('SubRes-RSD_Saving'!$G$84:$AQ$84,MATCH('SubRes-RSD_Invcost'!P$8,'SubRes-RSD_Saving'!$G$5:$AQ$5,0))/1000</f>
        <v>27.539999999999996</v>
      </c>
      <c r="Q24" s="562">
        <f>INDEX('SubRes-RSD_Saving'!$G$84:$AQ$84,MATCH('SubRes-RSD_Invcost'!Q$8,'SubRes-RSD_Saving'!$G$5:$AQ$5,0))/1000</f>
        <v>21.599999999999998</v>
      </c>
      <c r="R24" s="562">
        <f>INDEX('SubRes-RSD_Saving'!$G$84:$AQ$84,MATCH('SubRes-RSD_Invcost'!R$8,'SubRes-RSD_Saving'!$G$5:$AQ$5,0))/1000</f>
        <v>25.379999999999995</v>
      </c>
      <c r="S24" s="562">
        <f>INDEX('SubRes-RSD_Saving'!$G$84:$AQ$84,MATCH('SubRes-RSD_Invcost'!S$8,'SubRes-RSD_Saving'!$G$5:$AQ$5,0))/1000</f>
        <v>10.799999999999997</v>
      </c>
      <c r="T24" s="562">
        <f>INDEX('SubRes-RSD_Saving'!$G$84:$AQ$84,MATCH('SubRes-RSD_Invcost'!T$8,'SubRes-RSD_Saving'!$G$5:$AQ$5,0))/1000</f>
        <v>10.799999999999999</v>
      </c>
      <c r="U24" s="562">
        <f>INDEX('SubRes-RSD_Saving'!$G$84:$AQ$84,MATCH('SubRes-RSD_Invcost'!U$8,'SubRes-RSD_Saving'!$G$5:$AQ$5,0))/1000</f>
        <v>18.899999999999995</v>
      </c>
      <c r="V24" s="562">
        <f>INDEX('SubRes-RSD_Saving'!$G$84:$AQ$84,MATCH('SubRes-RSD_Invcost'!V$8,'SubRes-RSD_Saving'!$G$5:$AQ$5,0))/1000</f>
        <v>21.599999999999998</v>
      </c>
      <c r="W24" s="562">
        <f>INDEX('SubRes-RSD_Saving'!$G$84:$AQ$84,MATCH('SubRes-RSD_Invcost'!W$8,'SubRes-RSD_Saving'!$G$5:$AQ$5,0))/1000</f>
        <v>21.599999999999998</v>
      </c>
      <c r="X24" s="562">
        <f>INDEX('SubRes-RSD_Saving'!$G$84:$AQ$84,MATCH('SubRes-RSD_Invcost'!X$8,'SubRes-RSD_Saving'!$G$5:$AQ$5,0))/1000</f>
        <v>10.799999999999999</v>
      </c>
      <c r="Y24" s="562">
        <f>INDEX('SubRes-RSD_Saving'!$G$84:$AQ$84,MATCH('SubRes-RSD_Invcost'!Y$8,'SubRes-RSD_Saving'!$G$5:$AQ$5,0))/1000</f>
        <v>10.799999999999999</v>
      </c>
      <c r="Z24" s="562">
        <f>INDEX('SubRes-RSD_Saving'!$G$84:$AQ$84,MATCH('SubRes-RSD_Invcost'!Z$8,'SubRes-RSD_Saving'!$G$5:$AQ$5,0))/1000</f>
        <v>14.399999999999999</v>
      </c>
      <c r="AA24" s="562">
        <f>INDEX('SubRes-RSD_Saving'!$G$84:$AQ$84,MATCH('SubRes-RSD_Invcost'!AA$8,'SubRes-RSD_Saving'!$G$5:$AQ$5,0))/1000</f>
        <v>10.799999999999999</v>
      </c>
      <c r="AB24" s="562">
        <f>INDEX('SubRes-RSD_Saving'!$G$84:$AQ$84,MATCH('SubRes-RSD_Invcost'!AB$8,'SubRes-RSD_Saving'!$G$5:$AQ$5,0))/1000</f>
        <v>10.8</v>
      </c>
      <c r="AC24" s="562">
        <f>INDEX('SubRes-RSD_Saving'!$G$84:$AQ$84,MATCH('SubRes-RSD_Invcost'!AC$8,'SubRes-RSD_Saving'!$G$5:$AQ$5,0))/1000</f>
        <v>10.799999999999999</v>
      </c>
      <c r="AD24" s="562">
        <f>INDEX('SubRes-RSD_Saving'!$G$84:$AQ$84,MATCH('SubRes-RSD_Invcost'!AD$8,'SubRes-RSD_Saving'!$G$5:$AQ$5,0))/1000</f>
        <v>21.599999999999998</v>
      </c>
      <c r="AE24" s="562">
        <f>INDEX('SubRes-RSD_Saving'!$G$84:$AQ$84,MATCH('SubRes-RSD_Invcost'!AE$8,'SubRes-RSD_Saving'!$G$5:$AQ$5,0))/1000</f>
        <v>18.899999999999995</v>
      </c>
      <c r="AF24" s="562">
        <f>INDEX('SubRes-RSD_Saving'!$G$84:$AQ$84,MATCH('SubRes-RSD_Invcost'!AF$8,'SubRes-RSD_Saving'!$G$5:$AQ$5,0))/1000</f>
        <v>21.6</v>
      </c>
      <c r="AG24" s="562">
        <f>INDEX('SubRes-RSD_Saving'!$G$84:$AQ$84,MATCH('SubRes-RSD_Invcost'!AG$8,'SubRes-RSD_Saving'!$G$5:$AQ$5,0))/1000</f>
        <v>10.799999999999999</v>
      </c>
      <c r="AH24" s="562">
        <f>INDEX('SubRes-RSD_Saving'!$G$84:$AQ$84,MATCH('SubRes-RSD_Invcost'!AH$8,'SubRes-RSD_Saving'!$G$5:$AQ$5,0))/1000</f>
        <v>27.539999999999996</v>
      </c>
      <c r="AI24" s="562">
        <f>INDEX('SubRes-RSD_Saving'!$G$84:$AQ$84,MATCH('SubRes-RSD_Invcost'!AI$8,'SubRes-RSD_Saving'!$G$5:$AQ$5,0))/1000</f>
        <v>10.799999999999999</v>
      </c>
      <c r="AJ24" s="562">
        <f>INDEX('SubRes-RSD_Saving'!$G$84:$AQ$84,MATCH('SubRes-RSD_Invcost'!AJ$8,'SubRes-RSD_Saving'!$G$5:$AQ$5,0))/1000</f>
        <v>10.799999999999997</v>
      </c>
      <c r="AK24" s="562">
        <f>INDEX('SubRes-RSD_Saving'!$G$84:$AQ$84,MATCH('SubRes-RSD_Invcost'!AK$8,'SubRes-RSD_Saving'!$G$5:$AQ$5,0))/1000</f>
        <v>21.599999999999998</v>
      </c>
      <c r="AL24" s="562">
        <f>INDEX('SubRes-RSD_Saving'!$G$84:$AQ$84,MATCH('SubRes-RSD_Invcost'!AL$8,'SubRes-RSD_Saving'!$G$5:$AQ$5,0))/1000</f>
        <v>10.799999999999999</v>
      </c>
      <c r="AM24" s="562">
        <f>INDEX('SubRes-RSD_Saving'!$G$84:$AQ$84,MATCH('SubRes-RSD_Invcost'!AM$8,'SubRes-RSD_Saving'!$G$5:$AQ$5,0))/1000</f>
        <v>14.039999999999994</v>
      </c>
      <c r="AN24" s="562">
        <f>INDEX('SubRes-RSD_Saving'!$G$84:$AQ$84,MATCH('SubRes-RSD_Invcost'!AN$8,'SubRes-RSD_Saving'!$G$5:$AQ$5,0))/1000</f>
        <v>18.899999999999995</v>
      </c>
      <c r="AO24" s="562"/>
    </row>
    <row r="25" spans="1:41">
      <c r="A25" s="561" t="s">
        <v>619</v>
      </c>
      <c r="C25" s="561" t="s">
        <v>663</v>
      </c>
      <c r="D25" s="562">
        <f>INDEX('SubRes-RSD_Saving'!$G$93:$AQ$93,MATCH('SubRes-RSD_Invcost'!D$8,'SubRes-RSD_Saving'!$G$5:$AQ$5,0))/1000</f>
        <v>17.819999999999997</v>
      </c>
      <c r="E25" s="562">
        <f>INDEX('SubRes-RSD_Saving'!$G$93:$AQ$93,MATCH('SubRes-RSD_Invcost'!E$8,'SubRes-RSD_Saving'!$G$5:$AQ$5,0))/1000</f>
        <v>17.819999999999997</v>
      </c>
      <c r="F25" s="562">
        <f>INDEX('SubRes-RSD_Saving'!$G$93:$AQ$93,MATCH('SubRes-RSD_Invcost'!F$8,'SubRes-RSD_Saving'!$G$5:$AQ$5,0))/1000</f>
        <v>17.819999999999997</v>
      </c>
      <c r="G25" s="562">
        <f>INDEX('SubRes-RSD_Saving'!$G$93:$AQ$93,MATCH('SubRes-RSD_Invcost'!G$8,'SubRes-RSD_Saving'!$G$5:$AQ$5,0))/1000</f>
        <v>26.999999999999996</v>
      </c>
      <c r="H25" s="562">
        <f>INDEX('SubRes-RSD_Saving'!$G$93:$AQ$93,MATCH('SubRes-RSD_Invcost'!H$8,'SubRes-RSD_Saving'!$G$5:$AQ$5,0))/1000</f>
        <v>17.819999999999997</v>
      </c>
      <c r="I25" s="562">
        <f>INDEX('SubRes-RSD_Saving'!$G$93:$AQ$93,MATCH('SubRes-RSD_Invcost'!I$8,'SubRes-RSD_Saving'!$G$5:$AQ$5,0))/1000</f>
        <v>17.819999999999997</v>
      </c>
      <c r="J25" s="562">
        <f>INDEX('SubRes-RSD_Saving'!$G$93:$AQ$93,MATCH('SubRes-RSD_Invcost'!J$8,'SubRes-RSD_Saving'!$G$5:$AQ$5,0))/1000</f>
        <v>26.999999999999996</v>
      </c>
      <c r="K25" s="562">
        <f>INDEX('SubRes-RSD_Saving'!$G$93:$AQ$93,MATCH('SubRes-RSD_Invcost'!K$8,'SubRes-RSD_Saving'!$G$5:$AQ$5,0))/1000</f>
        <v>23.165999999999997</v>
      </c>
      <c r="L25" s="562">
        <f>INDEX('SubRes-RSD_Saving'!$G$93:$AQ$93,MATCH('SubRes-RSD_Invcost'!L$8,'SubRes-RSD_Saving'!$G$5:$AQ$5,0))/1000</f>
        <v>21.599999999999998</v>
      </c>
      <c r="M25" s="562">
        <f>INDEX('SubRes-RSD_Saving'!$G$93:$AQ$93,MATCH('SubRes-RSD_Invcost'!M$8,'SubRes-RSD_Saving'!$G$5:$AQ$5,0))/1000</f>
        <v>27</v>
      </c>
      <c r="N25" s="562">
        <f>INDEX('SubRes-RSD_Saving'!$G$93:$AQ$93,MATCH('SubRes-RSD_Invcost'!N$8,'SubRes-RSD_Saving'!$G$5:$AQ$5,0))/1000</f>
        <v>17.819999999999997</v>
      </c>
      <c r="O25" s="562">
        <f>INDEX('SubRes-RSD_Saving'!$G$93:$AQ$93,MATCH('SubRes-RSD_Invcost'!O$8,'SubRes-RSD_Saving'!$G$5:$AQ$5,0))/1000</f>
        <v>18</v>
      </c>
      <c r="P25" s="562">
        <f>INDEX('SubRes-RSD_Saving'!$G$93:$AQ$93,MATCH('SubRes-RSD_Invcost'!P$8,'SubRes-RSD_Saving'!$G$5:$AQ$5,0))/1000</f>
        <v>31.47428571428571</v>
      </c>
      <c r="Q25" s="562">
        <f>INDEX('SubRes-RSD_Saving'!$G$93:$AQ$93,MATCH('SubRes-RSD_Invcost'!Q$8,'SubRes-RSD_Saving'!$G$5:$AQ$5,0))/1000</f>
        <v>26.999999999999996</v>
      </c>
      <c r="R25" s="562">
        <f>INDEX('SubRes-RSD_Saving'!$G$93:$AQ$93,MATCH('SubRes-RSD_Invcost'!R$8,'SubRes-RSD_Saving'!$G$5:$AQ$5,0))/1000</f>
        <v>29.00571428571428</v>
      </c>
      <c r="S25" s="562">
        <f>INDEX('SubRes-RSD_Saving'!$G$93:$AQ$93,MATCH('SubRes-RSD_Invcost'!S$8,'SubRes-RSD_Saving'!$G$5:$AQ$5,0))/1000</f>
        <v>17.819999999999997</v>
      </c>
      <c r="T25" s="562">
        <f>INDEX('SubRes-RSD_Saving'!$G$93:$AQ$93,MATCH('SubRes-RSD_Invcost'!T$8,'SubRes-RSD_Saving'!$G$5:$AQ$5,0))/1000</f>
        <v>17.819999999999997</v>
      </c>
      <c r="U25" s="562">
        <f>INDEX('SubRes-RSD_Saving'!$G$93:$AQ$93,MATCH('SubRes-RSD_Invcost'!U$8,'SubRes-RSD_Saving'!$G$5:$AQ$5,0))/1000</f>
        <v>21.6</v>
      </c>
      <c r="V25" s="562">
        <f>INDEX('SubRes-RSD_Saving'!$G$93:$AQ$93,MATCH('SubRes-RSD_Invcost'!V$8,'SubRes-RSD_Saving'!$G$5:$AQ$5,0))/1000</f>
        <v>26.999999999999996</v>
      </c>
      <c r="W25" s="562">
        <f>INDEX('SubRes-RSD_Saving'!$G$93:$AQ$93,MATCH('SubRes-RSD_Invcost'!W$8,'SubRes-RSD_Saving'!$G$5:$AQ$5,0))/1000</f>
        <v>26.999999999999996</v>
      </c>
      <c r="X25" s="562">
        <f>INDEX('SubRes-RSD_Saving'!$G$93:$AQ$93,MATCH('SubRes-RSD_Invcost'!X$8,'SubRes-RSD_Saving'!$G$5:$AQ$5,0))/1000</f>
        <v>17.819999999999997</v>
      </c>
      <c r="Y25" s="562">
        <f>INDEX('SubRes-RSD_Saving'!$G$93:$AQ$93,MATCH('SubRes-RSD_Invcost'!Y$8,'SubRes-RSD_Saving'!$G$5:$AQ$5,0))/1000</f>
        <v>17.819999999999997</v>
      </c>
      <c r="Z25" s="562">
        <f>INDEX('SubRes-RSD_Saving'!$G$93:$AQ$93,MATCH('SubRes-RSD_Invcost'!Z$8,'SubRes-RSD_Saving'!$G$5:$AQ$5,0))/1000</f>
        <v>18</v>
      </c>
      <c r="AA25" s="562">
        <f>INDEX('SubRes-RSD_Saving'!$G$93:$AQ$93,MATCH('SubRes-RSD_Invcost'!AA$8,'SubRes-RSD_Saving'!$G$5:$AQ$5,0))/1000</f>
        <v>17.819999999999997</v>
      </c>
      <c r="AB25" s="562">
        <f>INDEX('SubRes-RSD_Saving'!$G$93:$AQ$93,MATCH('SubRes-RSD_Invcost'!AB$8,'SubRes-RSD_Saving'!$G$5:$AQ$5,0))/1000</f>
        <v>17.819999999999997</v>
      </c>
      <c r="AC25" s="562">
        <f>INDEX('SubRes-RSD_Saving'!$G$93:$AQ$93,MATCH('SubRes-RSD_Invcost'!AC$8,'SubRes-RSD_Saving'!$G$5:$AQ$5,0))/1000</f>
        <v>17.819999999999997</v>
      </c>
      <c r="AD25" s="562">
        <f>INDEX('SubRes-RSD_Saving'!$G$93:$AQ$93,MATCH('SubRes-RSD_Invcost'!AD$8,'SubRes-RSD_Saving'!$G$5:$AQ$5,0))/1000</f>
        <v>26.999999999999996</v>
      </c>
      <c r="AE25" s="562">
        <f>INDEX('SubRes-RSD_Saving'!$G$93:$AQ$93,MATCH('SubRes-RSD_Invcost'!AE$8,'SubRes-RSD_Saving'!$G$5:$AQ$5,0))/1000</f>
        <v>21.599999999999998</v>
      </c>
      <c r="AF25" s="562">
        <f>INDEX('SubRes-RSD_Saving'!$G$93:$AQ$93,MATCH('SubRes-RSD_Invcost'!AF$8,'SubRes-RSD_Saving'!$G$5:$AQ$5,0))/1000</f>
        <v>26.999999999999993</v>
      </c>
      <c r="AG25" s="562">
        <f>INDEX('SubRes-RSD_Saving'!$G$93:$AQ$93,MATCH('SubRes-RSD_Invcost'!AG$8,'SubRes-RSD_Saving'!$G$5:$AQ$5,0))/1000</f>
        <v>17.819999999999997</v>
      </c>
      <c r="AH25" s="562">
        <f>INDEX('SubRes-RSD_Saving'!$G$93:$AQ$93,MATCH('SubRes-RSD_Invcost'!AH$8,'SubRes-RSD_Saving'!$G$5:$AQ$5,0))/1000</f>
        <v>31.474285714285706</v>
      </c>
      <c r="AI25" s="562">
        <f>INDEX('SubRes-RSD_Saving'!$G$93:$AQ$93,MATCH('SubRes-RSD_Invcost'!AI$8,'SubRes-RSD_Saving'!$G$5:$AQ$5,0))/1000</f>
        <v>17.819999999999997</v>
      </c>
      <c r="AJ25" s="562">
        <f>INDEX('SubRes-RSD_Saving'!$G$93:$AQ$93,MATCH('SubRes-RSD_Invcost'!AJ$8,'SubRes-RSD_Saving'!$G$5:$AQ$5,0))/1000</f>
        <v>17.819999999999997</v>
      </c>
      <c r="AK25" s="562">
        <f>INDEX('SubRes-RSD_Saving'!$G$93:$AQ$93,MATCH('SubRes-RSD_Invcost'!AK$8,'SubRes-RSD_Saving'!$G$5:$AQ$5,0))/1000</f>
        <v>26.999999999999996</v>
      </c>
      <c r="AL25" s="562">
        <f>INDEX('SubRes-RSD_Saving'!$G$93:$AQ$93,MATCH('SubRes-RSD_Invcost'!AL$8,'SubRes-RSD_Saving'!$G$5:$AQ$5,0))/1000</f>
        <v>17.819999999999997</v>
      </c>
      <c r="AM25" s="562">
        <f>INDEX('SubRes-RSD_Saving'!$G$93:$AQ$93,MATCH('SubRes-RSD_Invcost'!AM$8,'SubRes-RSD_Saving'!$G$5:$AQ$5,0))/1000</f>
        <v>17.819999999999997</v>
      </c>
      <c r="AN25" s="562">
        <f>INDEX('SubRes-RSD_Saving'!$G$93:$AQ$93,MATCH('SubRes-RSD_Invcost'!AN$8,'SubRes-RSD_Saving'!$G$5:$AQ$5,0))/1000</f>
        <v>21.599999999999998</v>
      </c>
      <c r="AO25" s="562"/>
    </row>
    <row r="26" spans="1:41">
      <c r="A26" s="561" t="s">
        <v>619</v>
      </c>
      <c r="C26" s="561" t="s">
        <v>664</v>
      </c>
      <c r="D26" s="562">
        <f>INDEX('SubRes-RSD_Saving'!$G$112:$AQ$112,MATCH('SubRes-RSD_Invcost'!D$8,'SubRes-RSD_Saving'!$G$5:$AQ$5,0))/1000</f>
        <v>7.811338023011583</v>
      </c>
      <c r="E26" s="562">
        <f>INDEX('SubRes-RSD_Saving'!$G$112:$AQ$112,MATCH('SubRes-RSD_Invcost'!E$8,'SubRes-RSD_Saving'!$G$5:$AQ$5,0))/1000</f>
        <v>13.509941637010671</v>
      </c>
      <c r="F26" s="562">
        <f>INDEX('SubRes-RSD_Saving'!$G$112:$AQ$112,MATCH('SubRes-RSD_Invcost'!F$8,'SubRes-RSD_Saving'!$G$5:$AQ$5,0))/1000</f>
        <v>5.7489103451789125</v>
      </c>
      <c r="G26" s="562">
        <f>INDEX('SubRes-RSD_Saving'!$G$112:$AQ$112,MATCH('SubRes-RSD_Invcost'!G$8,'SubRes-RSD_Saving'!$G$5:$AQ$5,0))/1000</f>
        <v>17.185757727499425</v>
      </c>
      <c r="H26" s="562">
        <f>INDEX('SubRes-RSD_Saving'!$G$112:$AQ$112,MATCH('SubRes-RSD_Invcost'!H$8,'SubRes-RSD_Saving'!$G$5:$AQ$5,0))/1000</f>
        <v>5.4194056043999996</v>
      </c>
      <c r="I26" s="562">
        <f>INDEX('SubRes-RSD_Saving'!$G$112:$AQ$112,MATCH('SubRes-RSD_Invcost'!I$8,'SubRes-RSD_Saving'!$G$5:$AQ$5,0))/1000</f>
        <v>14.150636758193089</v>
      </c>
      <c r="J26" s="562">
        <f>INDEX('SubRes-RSD_Saving'!$G$112:$AQ$112,MATCH('SubRes-RSD_Invcost'!J$8,'SubRes-RSD_Saving'!$G$5:$AQ$5,0))/1000</f>
        <v>14.779808400281032</v>
      </c>
      <c r="K26" s="562">
        <f>INDEX('SubRes-RSD_Saving'!$G$112:$AQ$112,MATCH('SubRes-RSD_Invcost'!K$8,'SubRes-RSD_Saving'!$G$5:$AQ$5,0))/1000</f>
        <v>5.6962218670897151</v>
      </c>
      <c r="L26" s="562">
        <f>INDEX('SubRes-RSD_Saving'!$G$112:$AQ$112,MATCH('SubRes-RSD_Invcost'!L$8,'SubRes-RSD_Saving'!$G$5:$AQ$5,0))/1000</f>
        <v>4.7358282911881195</v>
      </c>
      <c r="M26" s="562">
        <f>INDEX('SubRes-RSD_Saving'!$G$112:$AQ$112,MATCH('SubRes-RSD_Invcost'!M$8,'SubRes-RSD_Saving'!$G$5:$AQ$5,0))/1000</f>
        <v>15.173028739867354</v>
      </c>
      <c r="N26" s="562">
        <f>INDEX('SubRes-RSD_Saving'!$G$112:$AQ$112,MATCH('SubRes-RSD_Invcost'!N$8,'SubRes-RSD_Saving'!$G$5:$AQ$5,0))/1000</f>
        <v>7.2120142314096931</v>
      </c>
      <c r="O26" s="562">
        <f>INDEX('SubRes-RSD_Saving'!$G$112:$AQ$112,MATCH('SubRes-RSD_Invcost'!O$8,'SubRes-RSD_Saving'!$G$5:$AQ$5,0))/1000</f>
        <v>9.5471909170141576</v>
      </c>
      <c r="P26" s="562">
        <f>INDEX('SubRes-RSD_Saving'!$G$112:$AQ$112,MATCH('SubRes-RSD_Invcost'!P$8,'SubRes-RSD_Saving'!$G$5:$AQ$5,0))/1000</f>
        <v>11.892605243239665</v>
      </c>
      <c r="Q26" s="562">
        <f>INDEX('SubRes-RSD_Saving'!$G$112:$AQ$112,MATCH('SubRes-RSD_Invcost'!Q$8,'SubRes-RSD_Saving'!$G$5:$AQ$5,0))/1000</f>
        <v>14.010186163189861</v>
      </c>
      <c r="R26" s="562">
        <f>INDEX('SubRes-RSD_Saving'!$G$112:$AQ$112,MATCH('SubRes-RSD_Invcost'!R$8,'SubRes-RSD_Saving'!$G$5:$AQ$5,0))/1000</f>
        <v>16.265601238207296</v>
      </c>
      <c r="S26" s="562">
        <f>INDEX('SubRes-RSD_Saving'!$G$112:$AQ$112,MATCH('SubRes-RSD_Invcost'!S$8,'SubRes-RSD_Saving'!$G$5:$AQ$5,0))/1000</f>
        <v>5.7489103451789125</v>
      </c>
      <c r="T26" s="562">
        <f>INDEX('SubRes-RSD_Saving'!$G$112:$AQ$112,MATCH('SubRes-RSD_Invcost'!T$8,'SubRes-RSD_Saving'!$G$5:$AQ$5,0))/1000</f>
        <v>7.7980587651606674</v>
      </c>
      <c r="U26" s="562">
        <f>INDEX('SubRes-RSD_Saving'!$G$112:$AQ$112,MATCH('SubRes-RSD_Invcost'!U$8,'SubRes-RSD_Saving'!$G$5:$AQ$5,0))/1000</f>
        <v>17.657648049917888</v>
      </c>
      <c r="V26" s="562">
        <f>INDEX('SubRes-RSD_Saving'!$G$112:$AQ$112,MATCH('SubRes-RSD_Invcost'!V$8,'SubRes-RSD_Saving'!$G$5:$AQ$5,0))/1000</f>
        <v>11.338406034765496</v>
      </c>
      <c r="W26" s="562">
        <f>INDEX('SubRes-RSD_Saving'!$G$112:$AQ$112,MATCH('SubRes-RSD_Invcost'!W$8,'SubRes-RSD_Saving'!$G$5:$AQ$5,0))/1000</f>
        <v>18.266902345215762</v>
      </c>
      <c r="X26" s="562">
        <f>INDEX('SubRes-RSD_Saving'!$G$112:$AQ$112,MATCH('SubRes-RSD_Invcost'!X$8,'SubRes-RSD_Saving'!$G$5:$AQ$5,0))/1000</f>
        <v>5.7489103451789125</v>
      </c>
      <c r="Y26" s="562">
        <f>INDEX('SubRes-RSD_Saving'!$G$112:$AQ$112,MATCH('SubRes-RSD_Invcost'!Y$8,'SubRes-RSD_Saving'!$G$5:$AQ$5,0))/1000</f>
        <v>8.2009650597087376</v>
      </c>
      <c r="Z26" s="562">
        <f>INDEX('SubRes-RSD_Saving'!$G$112:$AQ$112,MATCH('SubRes-RSD_Invcost'!Z$8,'SubRes-RSD_Saving'!$G$5:$AQ$5,0))/1000</f>
        <v>6.9470028967170627</v>
      </c>
      <c r="AA26" s="562">
        <f>INDEX('SubRes-RSD_Saving'!$G$112:$AQ$112,MATCH('SubRes-RSD_Invcost'!AA$8,'SubRes-RSD_Saving'!$G$5:$AQ$5,0))/1000</f>
        <v>8.0634509056244035</v>
      </c>
      <c r="AB26" s="562">
        <f>INDEX('SubRes-RSD_Saving'!$G$112:$AQ$112,MATCH('SubRes-RSD_Invcost'!AB$8,'SubRes-RSD_Saving'!$G$5:$AQ$5,0))/1000</f>
        <v>7.8113380230115874</v>
      </c>
      <c r="AC26" s="562">
        <f>INDEX('SubRes-RSD_Saving'!$G$112:$AQ$112,MATCH('SubRes-RSD_Invcost'!AC$8,'SubRes-RSD_Saving'!$G$5:$AQ$5,0))/1000</f>
        <v>5.8584447827999995</v>
      </c>
      <c r="AD26" s="562">
        <f>INDEX('SubRes-RSD_Saving'!$G$112:$AQ$112,MATCH('SubRes-RSD_Invcost'!AD$8,'SubRes-RSD_Saving'!$G$5:$AQ$5,0))/1000</f>
        <v>17.622240783683164</v>
      </c>
      <c r="AE26" s="562">
        <f>INDEX('SubRes-RSD_Saving'!$G$112:$AQ$112,MATCH('SubRes-RSD_Invcost'!AE$8,'SubRes-RSD_Saving'!$G$5:$AQ$5,0))/1000</f>
        <v>18.189960021266547</v>
      </c>
      <c r="AF26" s="562">
        <f>INDEX('SubRes-RSD_Saving'!$G$112:$AQ$112,MATCH('SubRes-RSD_Invcost'!AF$8,'SubRes-RSD_Saving'!$G$5:$AQ$5,0))/1000</f>
        <v>18.0483190004047</v>
      </c>
      <c r="AG26" s="562">
        <f>INDEX('SubRes-RSD_Saving'!$G$112:$AQ$112,MATCH('SubRes-RSD_Invcost'!AG$8,'SubRes-RSD_Saving'!$G$5:$AQ$5,0))/1000</f>
        <v>10.753799298685124</v>
      </c>
      <c r="AH26" s="562">
        <f>INDEX('SubRes-RSD_Saving'!$G$112:$AQ$112,MATCH('SubRes-RSD_Invcost'!AH$8,'SubRes-RSD_Saving'!$G$5:$AQ$5,0))/1000</f>
        <v>11.775339465305299</v>
      </c>
      <c r="AI26" s="562">
        <f>INDEX('SubRes-RSD_Saving'!$G$112:$AQ$112,MATCH('SubRes-RSD_Invcost'!AI$8,'SubRes-RSD_Saving'!$G$5:$AQ$5,0))/1000</f>
        <v>8.0293044071935498</v>
      </c>
      <c r="AJ26" s="562">
        <f>INDEX('SubRes-RSD_Saving'!$G$112:$AQ$112,MATCH('SubRes-RSD_Invcost'!AJ$8,'SubRes-RSD_Saving'!$G$5:$AQ$5,0))/1000</f>
        <v>5.7489103451789125</v>
      </c>
      <c r="AK26" s="562">
        <f>INDEX('SubRes-RSD_Saving'!$G$112:$AQ$112,MATCH('SubRes-RSD_Invcost'!AK$8,'SubRes-RSD_Saving'!$G$5:$AQ$5,0))/1000</f>
        <v>17.601720222793492</v>
      </c>
      <c r="AL26" s="562">
        <f>INDEX('SubRes-RSD_Saving'!$G$112:$AQ$112,MATCH('SubRes-RSD_Invcost'!AL$8,'SubRes-RSD_Saving'!$G$5:$AQ$5,0))/1000</f>
        <v>7.9611974504743843</v>
      </c>
      <c r="AM26" s="562">
        <f>INDEX('SubRes-RSD_Saving'!$G$112:$AQ$112,MATCH('SubRes-RSD_Invcost'!AM$8,'SubRes-RSD_Saving'!$G$5:$AQ$5,0))/1000</f>
        <v>5.321089382194887</v>
      </c>
      <c r="AN26" s="562">
        <f>INDEX('SubRes-RSD_Saving'!$G$112:$AQ$112,MATCH('SubRes-RSD_Invcost'!AN$8,'SubRes-RSD_Saving'!$G$5:$AQ$5,0))/1000</f>
        <v>12.762068287549848</v>
      </c>
      <c r="AO26" s="562"/>
    </row>
    <row r="27" spans="1:41">
      <c r="A27" s="561" t="s">
        <v>619</v>
      </c>
      <c r="C27" s="561" t="s">
        <v>665</v>
      </c>
      <c r="D27" s="562">
        <f>INDEX('SubRes-RSD_Saving'!$G$103:$AQ$103,MATCH('SubRes-RSD_Invcost'!D$8,'SubRes-RSD_Saving'!$G$5:$AQ$5,0))/1000</f>
        <v>6.5094483525096525</v>
      </c>
      <c r="E27" s="562">
        <f>INDEX('SubRes-RSD_Saving'!$G$103:$AQ$103,MATCH('SubRes-RSD_Invcost'!E$8,'SubRes-RSD_Saving'!$G$5:$AQ$5,0))/1000</f>
        <v>8.5972355871886101</v>
      </c>
      <c r="F27" s="562">
        <f>INDEX('SubRes-RSD_Saving'!$G$103:$AQ$103,MATCH('SubRes-RSD_Invcost'!F$8,'SubRes-RSD_Saving'!$G$5:$AQ$5,0))/1000</f>
        <v>4.7907586209824267</v>
      </c>
      <c r="G27" s="562">
        <f>INDEX('SubRes-RSD_Saving'!$G$103:$AQ$103,MATCH('SubRes-RSD_Invcost'!G$8,'SubRes-RSD_Saving'!$G$5:$AQ$5,0))/1000</f>
        <v>10.936391281135998</v>
      </c>
      <c r="H27" s="562">
        <f>INDEX('SubRes-RSD_Saving'!$G$103:$AQ$103,MATCH('SubRes-RSD_Invcost'!H$8,'SubRes-RSD_Saving'!$G$5:$AQ$5,0))/1000</f>
        <v>4.5161713369999994</v>
      </c>
      <c r="I27" s="562">
        <f>INDEX('SubRes-RSD_Saving'!$G$103:$AQ$103,MATCH('SubRes-RSD_Invcost'!I$8,'SubRes-RSD_Saving'!$G$5:$AQ$5,0))/1000</f>
        <v>9.0049506643046939</v>
      </c>
      <c r="J27" s="562">
        <f>INDEX('SubRes-RSD_Saving'!$G$103:$AQ$103,MATCH('SubRes-RSD_Invcost'!J$8,'SubRes-RSD_Saving'!$G$5:$AQ$5,0))/1000</f>
        <v>9.4053326183606565</v>
      </c>
      <c r="K27" s="562">
        <f>INDEX('SubRes-RSD_Saving'!$G$103:$AQ$103,MATCH('SubRes-RSD_Invcost'!K$8,'SubRes-RSD_Saving'!$G$5:$AQ$5,0))/1000</f>
        <v>4.7468515559080959</v>
      </c>
      <c r="L27" s="562">
        <f>INDEX('SubRes-RSD_Saving'!$G$103:$AQ$103,MATCH('SubRes-RSD_Invcost'!L$8,'SubRes-RSD_Saving'!$G$5:$AQ$5,0))/1000</f>
        <v>3.0137089125742578</v>
      </c>
      <c r="M27" s="562">
        <f>INDEX('SubRes-RSD_Saving'!$G$103:$AQ$103,MATCH('SubRes-RSD_Invcost'!M$8,'SubRes-RSD_Saving'!$G$5:$AQ$5,0))/1000</f>
        <v>9.6555637435519532</v>
      </c>
      <c r="N27" s="562">
        <f>INDEX('SubRes-RSD_Saving'!$G$103:$AQ$103,MATCH('SubRes-RSD_Invcost'!N$8,'SubRes-RSD_Saving'!$G$5:$AQ$5,0))/1000</f>
        <v>6.0100118595080776</v>
      </c>
      <c r="O27" s="562">
        <f>INDEX('SubRes-RSD_Saving'!$G$103:$AQ$103,MATCH('SubRes-RSD_Invcost'!O$8,'SubRes-RSD_Saving'!$G$5:$AQ$5,0))/1000</f>
        <v>6.0754851290090093</v>
      </c>
      <c r="P27" s="562">
        <f>INDEX('SubRes-RSD_Saving'!$G$103:$AQ$103,MATCH('SubRes-RSD_Invcost'!P$8,'SubRes-RSD_Saving'!$G$5:$AQ$5,0))/1000</f>
        <v>7.5680215184252422</v>
      </c>
      <c r="Q27" s="562">
        <f>INDEX('SubRes-RSD_Saving'!$G$103:$AQ$103,MATCH('SubRes-RSD_Invcost'!Q$8,'SubRes-RSD_Saving'!$G$5:$AQ$5,0))/1000</f>
        <v>8.915573012939003</v>
      </c>
      <c r="R27" s="562">
        <f>INDEX('SubRes-RSD_Saving'!$G$103:$AQ$103,MATCH('SubRes-RSD_Invcost'!R$8,'SubRes-RSD_Saving'!$G$5:$AQ$5,0))/1000</f>
        <v>10.350837151586463</v>
      </c>
      <c r="S27" s="562">
        <f>INDEX('SubRes-RSD_Saving'!$G$103:$AQ$103,MATCH('SubRes-RSD_Invcost'!S$8,'SubRes-RSD_Saving'!$G$5:$AQ$5,0))/1000</f>
        <v>4.7907586209824267</v>
      </c>
      <c r="T27" s="562">
        <f>INDEX('SubRes-RSD_Saving'!$G$103:$AQ$103,MATCH('SubRes-RSD_Invcost'!T$8,'SubRes-RSD_Saving'!$G$5:$AQ$5,0))/1000</f>
        <v>6.4983823043005566</v>
      </c>
      <c r="U27" s="562">
        <f>INDEX('SubRes-RSD_Saving'!$G$103:$AQ$103,MATCH('SubRes-RSD_Invcost'!U$8,'SubRes-RSD_Saving'!$G$5:$AQ$5,0))/1000</f>
        <v>11.23668512267502</v>
      </c>
      <c r="V27" s="562">
        <f>INDEX('SubRes-RSD_Saving'!$G$103:$AQ$103,MATCH('SubRes-RSD_Invcost'!V$8,'SubRes-RSD_Saving'!$G$5:$AQ$5,0))/1000</f>
        <v>7.2153492948507703</v>
      </c>
      <c r="W27" s="562">
        <f>INDEX('SubRes-RSD_Saving'!$G$103:$AQ$103,MATCH('SubRes-RSD_Invcost'!W$8,'SubRes-RSD_Saving'!$G$5:$AQ$5,0))/1000</f>
        <v>11.624392401500941</v>
      </c>
      <c r="X27" s="562">
        <f>INDEX('SubRes-RSD_Saving'!$G$103:$AQ$103,MATCH('SubRes-RSD_Invcost'!X$8,'SubRes-RSD_Saving'!$G$5:$AQ$5,0))/1000</f>
        <v>4.7907586209824267</v>
      </c>
      <c r="Y27" s="562">
        <f>INDEX('SubRes-RSD_Saving'!$G$103:$AQ$103,MATCH('SubRes-RSD_Invcost'!Y$8,'SubRes-RSD_Saving'!$G$5:$AQ$5,0))/1000</f>
        <v>6.8341375497572825</v>
      </c>
      <c r="Z27" s="562">
        <f>INDEX('SubRes-RSD_Saving'!$G$103:$AQ$103,MATCH('SubRes-RSD_Invcost'!Z$8,'SubRes-RSD_Saving'!$G$5:$AQ$5,0))/1000</f>
        <v>4.420820025183585</v>
      </c>
      <c r="AA27" s="562">
        <f>INDEX('SubRes-RSD_Saving'!$G$103:$AQ$103,MATCH('SubRes-RSD_Invcost'!AA$8,'SubRes-RSD_Saving'!$G$5:$AQ$5,0))/1000</f>
        <v>6.7195424213536699</v>
      </c>
      <c r="AB27" s="562">
        <f>INDEX('SubRes-RSD_Saving'!$G$103:$AQ$103,MATCH('SubRes-RSD_Invcost'!AB$8,'SubRes-RSD_Saving'!$G$5:$AQ$5,0))/1000</f>
        <v>6.509448352509656</v>
      </c>
      <c r="AC27" s="562">
        <f>INDEX('SubRes-RSD_Saving'!$G$103:$AQ$103,MATCH('SubRes-RSD_Invcost'!AC$8,'SubRes-RSD_Saving'!$G$5:$AQ$5,0))/1000</f>
        <v>4.8820373189999993</v>
      </c>
      <c r="AD27" s="562">
        <f>INDEX('SubRes-RSD_Saving'!$G$103:$AQ$103,MATCH('SubRes-RSD_Invcost'!AD$8,'SubRes-RSD_Saving'!$G$5:$AQ$5,0))/1000</f>
        <v>11.214153225980194</v>
      </c>
      <c r="AE27" s="562">
        <f>INDEX('SubRes-RSD_Saving'!$G$103:$AQ$103,MATCH('SubRes-RSD_Invcost'!AE$8,'SubRes-RSD_Saving'!$G$5:$AQ$5,0))/1000</f>
        <v>11.575429104442348</v>
      </c>
      <c r="AF27" s="562">
        <f>INDEX('SubRes-RSD_Saving'!$G$103:$AQ$103,MATCH('SubRes-RSD_Invcost'!AF$8,'SubRes-RSD_Saving'!$G$5:$AQ$5,0))/1000</f>
        <v>11.485293909348444</v>
      </c>
      <c r="AG27" s="562">
        <f>INDEX('SubRes-RSD_Saving'!$G$103:$AQ$103,MATCH('SubRes-RSD_Invcost'!AG$8,'SubRes-RSD_Saving'!$G$5:$AQ$5,0))/1000</f>
        <v>8.9614994155709375</v>
      </c>
      <c r="AH27" s="562">
        <f>INDEX('SubRes-RSD_Saving'!$G$103:$AQ$103,MATCH('SubRes-RSD_Invcost'!AH$8,'SubRes-RSD_Saving'!$G$5:$AQ$5,0))/1000</f>
        <v>7.4933978415579174</v>
      </c>
      <c r="AI27" s="562">
        <f>INDEX('SubRes-RSD_Saving'!$G$103:$AQ$103,MATCH('SubRes-RSD_Invcost'!AI$8,'SubRes-RSD_Saving'!$G$5:$AQ$5,0))/1000</f>
        <v>6.6910870059946248</v>
      </c>
      <c r="AJ27" s="562">
        <f>INDEX('SubRes-RSD_Saving'!$G$103:$AQ$103,MATCH('SubRes-RSD_Invcost'!AJ$8,'SubRes-RSD_Saving'!$G$5:$AQ$5,0))/1000</f>
        <v>4.7907586209824267</v>
      </c>
      <c r="AK27" s="562">
        <f>INDEX('SubRes-RSD_Saving'!$G$103:$AQ$103,MATCH('SubRes-RSD_Invcost'!AK$8,'SubRes-RSD_Saving'!$G$5:$AQ$5,0))/1000</f>
        <v>11.201094687232223</v>
      </c>
      <c r="AL27" s="562">
        <f>INDEX('SubRes-RSD_Saving'!$G$103:$AQ$103,MATCH('SubRes-RSD_Invcost'!AL$8,'SubRes-RSD_Saving'!$G$5:$AQ$5,0))/1000</f>
        <v>6.6343312087286535</v>
      </c>
      <c r="AM27" s="562">
        <f>INDEX('SubRes-RSD_Saving'!$G$103:$AQ$103,MATCH('SubRes-RSD_Invcost'!AM$8,'SubRes-RSD_Saving'!$G$5:$AQ$5,0))/1000</f>
        <v>4.4342411518290721</v>
      </c>
      <c r="AN27" s="562">
        <f>INDEX('SubRes-RSD_Saving'!$G$103:$AQ$103,MATCH('SubRes-RSD_Invcost'!AN$8,'SubRes-RSD_Saving'!$G$5:$AQ$5,0))/1000</f>
        <v>8.1213161829862681</v>
      </c>
      <c r="AO27" s="562"/>
    </row>
    <row r="28" spans="1:41">
      <c r="A28" s="561" t="s">
        <v>619</v>
      </c>
      <c r="C28" s="561" t="s">
        <v>666</v>
      </c>
      <c r="D28" s="562">
        <f>INDEX('SubRes-RSD_Saving'!$G$131:$AQ$131,MATCH('SubRes-RSD_Invcost'!D$8,'SubRes-RSD_Saving'!$G$5:$AQ$5,0))/1000</f>
        <v>14.208168373097855</v>
      </c>
      <c r="E28" s="562">
        <f>INDEX('SubRes-RSD_Saving'!$G$131:$AQ$131,MATCH('SubRes-RSD_Invcost'!E$8,'SubRes-RSD_Saving'!$G$5:$AQ$5,0))/1000</f>
        <v>38.283179668724721</v>
      </c>
      <c r="F28" s="562">
        <f>INDEX('SubRes-RSD_Saving'!$G$131:$AQ$131,MATCH('SubRes-RSD_Invcost'!F$8,'SubRes-RSD_Saving'!$G$5:$AQ$5,0))/1000</f>
        <v>11.958778796942076</v>
      </c>
      <c r="G28" s="562">
        <f>INDEX('SubRes-RSD_Saving'!$G$131:$AQ$131,MATCH('SubRes-RSD_Invcost'!G$8,'SubRes-RSD_Saving'!$G$5:$AQ$5,0))/1000</f>
        <v>41.414029211396389</v>
      </c>
      <c r="H28" s="562">
        <f>INDEX('SubRes-RSD_Saving'!$G$131:$AQ$131,MATCH('SubRes-RSD_Invcost'!H$8,'SubRes-RSD_Saving'!$G$5:$AQ$5,0))/1000</f>
        <v>11.563896158958887</v>
      </c>
      <c r="I28" s="562">
        <f>INDEX('SubRes-RSD_Saving'!$G$131:$AQ$131,MATCH('SubRes-RSD_Invcost'!I$8,'SubRes-RSD_Saving'!$G$5:$AQ$5,0))/1000</f>
        <v>39.269028406154604</v>
      </c>
      <c r="J28" s="562">
        <f>INDEX('SubRes-RSD_Saving'!$G$131:$AQ$131,MATCH('SubRes-RSD_Invcost'!J$8,'SubRes-RSD_Saving'!$G$5:$AQ$5,0))/1000</f>
        <v>33.73961865340825</v>
      </c>
      <c r="K28" s="562">
        <f>INDEX('SubRes-RSD_Saving'!$G$131:$AQ$131,MATCH('SubRes-RSD_Invcost'!K$8,'SubRes-RSD_Saving'!$G$5:$AQ$5,0))/1000</f>
        <v>24.890258729917839</v>
      </c>
      <c r="L28" s="562">
        <f>INDEX('SubRes-RSD_Saving'!$G$131:$AQ$131,MATCH('SubRes-RSD_Invcost'!L$8,'SubRes-RSD_Saving'!$G$5:$AQ$5,0))/1000</f>
        <v>39.523347529444912</v>
      </c>
      <c r="M28" s="562">
        <f>INDEX('SubRes-RSD_Saving'!$G$131:$AQ$131,MATCH('SubRes-RSD_Invcost'!M$8,'SubRes-RSD_Saving'!$G$5:$AQ$5,0))/1000</f>
        <v>33.997556918537271</v>
      </c>
      <c r="N28" s="562">
        <f>INDEX('SubRes-RSD_Saving'!$G$131:$AQ$131,MATCH('SubRes-RSD_Invcost'!N$8,'SubRes-RSD_Saving'!$G$5:$AQ$5,0))/1000</f>
        <v>13.588844976888643</v>
      </c>
      <c r="O28" s="562">
        <f>INDEX('SubRes-RSD_Saving'!$G$131:$AQ$131,MATCH('SubRes-RSD_Invcost'!O$8,'SubRes-RSD_Saving'!$G$5:$AQ$5,0))/1000</f>
        <v>23.860280621829752</v>
      </c>
      <c r="P28" s="562">
        <f>INDEX('SubRes-RSD_Saving'!$G$131:$AQ$131,MATCH('SubRes-RSD_Invcost'!P$8,'SubRes-RSD_Saving'!$G$5:$AQ$5,0))/1000</f>
        <v>41.153603948964225</v>
      </c>
      <c r="Q28" s="562">
        <f>INDEX('SubRes-RSD_Saving'!$G$131:$AQ$131,MATCH('SubRes-RSD_Invcost'!Q$8,'SubRes-RSD_Saving'!$G$5:$AQ$5,0))/1000</f>
        <v>28.777216933926852</v>
      </c>
      <c r="R28" s="562">
        <f>INDEX('SubRes-RSD_Saving'!$G$131:$AQ$131,MATCH('SubRes-RSD_Invcost'!R$8,'SubRes-RSD_Saving'!$G$5:$AQ$5,0))/1000</f>
        <v>34.376370407808658</v>
      </c>
      <c r="S28" s="562">
        <f>INDEX('SubRes-RSD_Saving'!$G$131:$AQ$131,MATCH('SubRes-RSD_Invcost'!S$8,'SubRes-RSD_Saving'!$G$5:$AQ$5,0))/1000</f>
        <v>11.958778796942077</v>
      </c>
      <c r="T28" s="562">
        <f>INDEX('SubRes-RSD_Saving'!$G$131:$AQ$131,MATCH('SubRes-RSD_Invcost'!T$8,'SubRes-RSD_Saving'!$G$5:$AQ$5,0))/1000</f>
        <v>14.194708724212992</v>
      </c>
      <c r="U28" s="562">
        <f>INDEX('SubRes-RSD_Saving'!$G$131:$AQ$131,MATCH('SubRes-RSD_Invcost'!U$8,'SubRes-RSD_Saving'!$G$5:$AQ$5,0))/1000</f>
        <v>42.033982989598215</v>
      </c>
      <c r="V28" s="562">
        <f>INDEX('SubRes-RSD_Saving'!$G$131:$AQ$131,MATCH('SubRes-RSD_Invcost'!V$8,'SubRes-RSD_Saving'!$G$5:$AQ$5,0))/1000</f>
        <v>28.962204378643275</v>
      </c>
      <c r="W28" s="562">
        <f>INDEX('SubRes-RSD_Saving'!$G$131:$AQ$131,MATCH('SubRes-RSD_Invcost'!W$8,'SubRes-RSD_Saving'!$G$5:$AQ$5,0))/1000</f>
        <v>37.931563308284346</v>
      </c>
      <c r="X28" s="562">
        <f>INDEX('SubRes-RSD_Saving'!$G$131:$AQ$131,MATCH('SubRes-RSD_Invcost'!X$8,'SubRes-RSD_Saving'!$G$5:$AQ$5,0))/1000</f>
        <v>11.958778796942076</v>
      </c>
      <c r="Y28" s="562">
        <f>INDEX('SubRes-RSD_Saving'!$G$131:$AQ$131,MATCH('SubRes-RSD_Invcost'!Y$8,'SubRes-RSD_Saving'!$G$5:$AQ$5,0))/1000</f>
        <v>14.598116898493606</v>
      </c>
      <c r="Z28" s="562">
        <f>INDEX('SubRes-RSD_Saving'!$G$131:$AQ$131,MATCH('SubRes-RSD_Invcost'!Z$8,'SubRes-RSD_Saving'!$G$5:$AQ$5,0))/1000</f>
        <v>19.889251698374245</v>
      </c>
      <c r="AA28" s="562">
        <f>INDEX('SubRes-RSD_Saving'!$G$131:$AQ$131,MATCH('SubRes-RSD_Invcost'!AA$8,'SubRes-RSD_Saving'!$G$5:$AQ$5,0))/1000</f>
        <v>14.461569008436872</v>
      </c>
      <c r="AB28" s="562">
        <f>INDEX('SubRes-RSD_Saving'!$G$131:$AQ$131,MATCH('SubRes-RSD_Invcost'!AB$8,'SubRes-RSD_Saving'!$G$5:$AQ$5,0))/1000</f>
        <v>14.208168373097855</v>
      </c>
      <c r="AC28" s="562">
        <f>INDEX('SubRes-RSD_Saving'!$G$131:$AQ$131,MATCH('SubRes-RSD_Invcost'!AC$8,'SubRes-RSD_Saving'!$G$5:$AQ$5,0))/1000</f>
        <v>12.087527193519492</v>
      </c>
      <c r="AD28" s="562">
        <f>INDEX('SubRes-RSD_Saving'!$G$131:$AQ$131,MATCH('SubRes-RSD_Invcost'!AD$8,'SubRes-RSD_Saving'!$G$5:$AQ$5,0))/1000</f>
        <v>37.188925997476531</v>
      </c>
      <c r="AE28" s="562">
        <f>INDEX('SubRes-RSD_Saving'!$G$131:$AQ$131,MATCH('SubRes-RSD_Invcost'!AE$8,'SubRes-RSD_Saving'!$G$5:$AQ$5,0))/1000</f>
        <v>42.723455086615139</v>
      </c>
      <c r="AF28" s="562">
        <f>INDEX('SubRes-RSD_Saving'!$G$131:$AQ$131,MATCH('SubRes-RSD_Invcost'!AF$8,'SubRes-RSD_Saving'!$G$5:$AQ$5,0))/1000</f>
        <v>33.087438333425816</v>
      </c>
      <c r="AG28" s="562">
        <f>INDEX('SubRes-RSD_Saving'!$G$131:$AQ$131,MATCH('SubRes-RSD_Invcost'!AG$8,'SubRes-RSD_Saving'!$G$5:$AQ$5,0))/1000</f>
        <v>14.463462128512015</v>
      </c>
      <c r="AH28" s="562">
        <f>INDEX('SubRes-RSD_Saving'!$G$131:$AQ$131,MATCH('SubRes-RSD_Invcost'!AH$8,'SubRes-RSD_Saving'!$G$5:$AQ$5,0))/1000</f>
        <v>40.930189163904572</v>
      </c>
      <c r="AI28" s="562">
        <f>INDEX('SubRes-RSD_Saving'!$G$131:$AQ$131,MATCH('SubRes-RSD_Invcost'!AI$8,'SubRes-RSD_Saving'!$G$5:$AQ$5,0))/1000</f>
        <v>12.277527399908926</v>
      </c>
      <c r="AJ28" s="562">
        <f>INDEX('SubRes-RSD_Saving'!$G$131:$AQ$131,MATCH('SubRes-RSD_Invcost'!AJ$8,'SubRes-RSD_Saving'!$G$5:$AQ$5,0))/1000</f>
        <v>11.958778796942077</v>
      </c>
      <c r="AK28" s="562">
        <f>INDEX('SubRes-RSD_Saving'!$G$131:$AQ$131,MATCH('SubRes-RSD_Invcost'!AK$8,'SubRes-RSD_Saving'!$G$5:$AQ$5,0))/1000</f>
        <v>32.636289170205274</v>
      </c>
      <c r="AL28" s="562">
        <f>INDEX('SubRes-RSD_Saving'!$G$131:$AQ$131,MATCH('SubRes-RSD_Invcost'!AL$8,'SubRes-RSD_Saving'!$G$5:$AQ$5,0))/1000</f>
        <v>14.359277661815524</v>
      </c>
      <c r="AM28" s="562">
        <f>INDEX('SubRes-RSD_Saving'!$G$131:$AQ$131,MATCH('SubRes-RSD_Invcost'!AM$8,'SubRes-RSD_Saving'!$G$5:$AQ$5,0))/1000</f>
        <v>23.966290248562686</v>
      </c>
      <c r="AN28" s="562">
        <f>INDEX('SubRes-RSD_Saving'!$G$131:$AQ$131,MATCH('SubRes-RSD_Invcost'!AN$8,'SubRes-RSD_Saving'!$G$5:$AQ$5,0))/1000</f>
        <v>35.128166860949534</v>
      </c>
      <c r="AO28" s="562"/>
    </row>
    <row r="29" spans="1:41">
      <c r="A29" s="561" t="s">
        <v>619</v>
      </c>
      <c r="C29" s="561" t="s">
        <v>667</v>
      </c>
      <c r="D29" s="562">
        <f>INDEX('SubRes-RSD_Saving'!$G$122:$AQ$122,MATCH('SubRes-RSD_Invcost'!D$8,'SubRes-RSD_Saving'!$G$5:$AQ$5,0))/1000</f>
        <v>12.178430034083876</v>
      </c>
      <c r="E29" s="562">
        <f>INDEX('SubRes-RSD_Saving'!$G$122:$AQ$122,MATCH('SubRes-RSD_Invcost'!E$8,'SubRes-RSD_Saving'!$G$5:$AQ$5,0))/1000</f>
        <v>32.814154001764045</v>
      </c>
      <c r="F29" s="562">
        <f>INDEX('SubRes-RSD_Saving'!$G$122:$AQ$122,MATCH('SubRes-RSD_Invcost'!F$8,'SubRes-RSD_Saving'!$G$5:$AQ$5,0))/1000</f>
        <v>10.250381825950351</v>
      </c>
      <c r="G29" s="562">
        <f>INDEX('SubRes-RSD_Saving'!$G$122:$AQ$122,MATCH('SubRes-RSD_Invcost'!G$8,'SubRes-RSD_Saving'!$G$5:$AQ$5,0))/1000</f>
        <v>35.497739324054045</v>
      </c>
      <c r="H29" s="562">
        <f>INDEX('SubRes-RSD_Saving'!$G$122:$AQ$122,MATCH('SubRes-RSD_Invcost'!H$8,'SubRes-RSD_Saving'!$G$5:$AQ$5,0))/1000</f>
        <v>9.9119109933933327</v>
      </c>
      <c r="I29" s="562">
        <f>INDEX('SubRes-RSD_Saving'!$G$122:$AQ$122,MATCH('SubRes-RSD_Invcost'!I$8,'SubRes-RSD_Saving'!$G$5:$AQ$5,0))/1000</f>
        <v>33.659167205275374</v>
      </c>
      <c r="J29" s="562">
        <f>INDEX('SubRes-RSD_Saving'!$G$122:$AQ$122,MATCH('SubRes-RSD_Invcost'!J$8,'SubRes-RSD_Saving'!$G$5:$AQ$5,0))/1000</f>
        <v>28.919673131492786</v>
      </c>
      <c r="K29" s="562">
        <f>INDEX('SubRes-RSD_Saving'!$G$122:$AQ$122,MATCH('SubRes-RSD_Invcost'!K$8,'SubRes-RSD_Saving'!$G$5:$AQ$5,0))/1000</f>
        <v>21.334507482786712</v>
      </c>
      <c r="L29" s="562">
        <f>INDEX('SubRes-RSD_Saving'!$G$122:$AQ$122,MATCH('SubRes-RSD_Invcost'!L$8,'SubRes-RSD_Saving'!$G$5:$AQ$5,0))/1000</f>
        <v>33.877155025238494</v>
      </c>
      <c r="M29" s="562">
        <f>INDEX('SubRes-RSD_Saving'!$G$122:$AQ$122,MATCH('SubRes-RSD_Invcost'!M$8,'SubRes-RSD_Saving'!$G$5:$AQ$5,0))/1000</f>
        <v>29.140763073031945</v>
      </c>
      <c r="N29" s="562">
        <f>INDEX('SubRes-RSD_Saving'!$G$122:$AQ$122,MATCH('SubRes-RSD_Invcost'!N$8,'SubRes-RSD_Saving'!$G$5:$AQ$5,0))/1000</f>
        <v>11.647581408761694</v>
      </c>
      <c r="O29" s="562">
        <f>INDEX('SubRes-RSD_Saving'!$G$122:$AQ$122,MATCH('SubRes-RSD_Invcost'!O$8,'SubRes-RSD_Saving'!$G$5:$AQ$5,0))/1000</f>
        <v>20.451669104425502</v>
      </c>
      <c r="P29" s="562">
        <f>INDEX('SubRes-RSD_Saving'!$G$122:$AQ$122,MATCH('SubRes-RSD_Invcost'!P$8,'SubRes-RSD_Saving'!$G$5:$AQ$5,0))/1000</f>
        <v>35.274517670540774</v>
      </c>
      <c r="Q29" s="562">
        <f>INDEX('SubRes-RSD_Saving'!$G$122:$AQ$122,MATCH('SubRes-RSD_Invcost'!Q$8,'SubRes-RSD_Saving'!$G$5:$AQ$5,0))/1000</f>
        <v>24.666185943365875</v>
      </c>
      <c r="R29" s="562">
        <f>INDEX('SubRes-RSD_Saving'!$G$122:$AQ$122,MATCH('SubRes-RSD_Invcost'!R$8,'SubRes-RSD_Saving'!$G$5:$AQ$5,0))/1000</f>
        <v>29.465460349550277</v>
      </c>
      <c r="S29" s="562">
        <f>INDEX('SubRes-RSD_Saving'!$G$122:$AQ$122,MATCH('SubRes-RSD_Invcost'!S$8,'SubRes-RSD_Saving'!$G$5:$AQ$5,0))/1000</f>
        <v>10.250381825950351</v>
      </c>
      <c r="T29" s="562">
        <f>INDEX('SubRes-RSD_Saving'!$G$122:$AQ$122,MATCH('SubRes-RSD_Invcost'!T$8,'SubRes-RSD_Saving'!$G$5:$AQ$5,0))/1000</f>
        <v>12.166893192182567</v>
      </c>
      <c r="U29" s="562">
        <f>INDEX('SubRes-RSD_Saving'!$G$122:$AQ$122,MATCH('SubRes-RSD_Invcost'!U$8,'SubRes-RSD_Saving'!$G$5:$AQ$5,0))/1000</f>
        <v>36.029128276798474</v>
      </c>
      <c r="V29" s="562">
        <f>INDEX('SubRes-RSD_Saving'!$G$122:$AQ$122,MATCH('SubRes-RSD_Invcost'!V$8,'SubRes-RSD_Saving'!$G$5:$AQ$5,0))/1000</f>
        <v>24.824746610265667</v>
      </c>
      <c r="W29" s="562">
        <f>INDEX('SubRes-RSD_Saving'!$G$122:$AQ$122,MATCH('SubRes-RSD_Invcost'!W$8,'SubRes-RSD_Saving'!$G$5:$AQ$5,0))/1000</f>
        <v>32.512768549958018</v>
      </c>
      <c r="X29" s="562">
        <f>INDEX('SubRes-RSD_Saving'!$G$122:$AQ$122,MATCH('SubRes-RSD_Invcost'!X$8,'SubRes-RSD_Saving'!$G$5:$AQ$5,0))/1000</f>
        <v>10.250381825950351</v>
      </c>
      <c r="Y29" s="562">
        <f>INDEX('SubRes-RSD_Saving'!$G$122:$AQ$122,MATCH('SubRes-RSD_Invcost'!Y$8,'SubRes-RSD_Saving'!$G$5:$AQ$5,0))/1000</f>
        <v>12.512671627280236</v>
      </c>
      <c r="Z29" s="562">
        <f>INDEX('SubRes-RSD_Saving'!$G$122:$AQ$122,MATCH('SubRes-RSD_Invcost'!Z$8,'SubRes-RSD_Saving'!$G$5:$AQ$5,0))/1000</f>
        <v>17.047930027177923</v>
      </c>
      <c r="AA29" s="562">
        <f>INDEX('SubRes-RSD_Saving'!$G$122:$AQ$122,MATCH('SubRes-RSD_Invcost'!AA$8,'SubRes-RSD_Saving'!$G$5:$AQ$5,0))/1000</f>
        <v>12.395630578660175</v>
      </c>
      <c r="AB29" s="562">
        <f>INDEX('SubRes-RSD_Saving'!$G$122:$AQ$122,MATCH('SubRes-RSD_Invcost'!AB$8,'SubRes-RSD_Saving'!$G$5:$AQ$5,0))/1000</f>
        <v>12.178430034083876</v>
      </c>
      <c r="AC29" s="562">
        <f>INDEX('SubRes-RSD_Saving'!$G$122:$AQ$122,MATCH('SubRes-RSD_Invcost'!AC$8,'SubRes-RSD_Saving'!$G$5:$AQ$5,0))/1000</f>
        <v>10.360737594445279</v>
      </c>
      <c r="AD29" s="562">
        <f>INDEX('SubRes-RSD_Saving'!$G$122:$AQ$122,MATCH('SubRes-RSD_Invcost'!AD$8,'SubRes-RSD_Saving'!$G$5:$AQ$5,0))/1000</f>
        <v>31.876222283551314</v>
      </c>
      <c r="AE29" s="562">
        <f>INDEX('SubRes-RSD_Saving'!$G$122:$AQ$122,MATCH('SubRes-RSD_Invcost'!AE$8,'SubRes-RSD_Saving'!$G$5:$AQ$5,0))/1000</f>
        <v>36.620104359955839</v>
      </c>
      <c r="AF29" s="562">
        <f>INDEX('SubRes-RSD_Saving'!$G$122:$AQ$122,MATCH('SubRes-RSD_Invcost'!AF$8,'SubRes-RSD_Saving'!$G$5:$AQ$5,0))/1000</f>
        <v>28.360661428650698</v>
      </c>
      <c r="AG29" s="562">
        <f>INDEX('SubRes-RSD_Saving'!$G$122:$AQ$122,MATCH('SubRes-RSD_Invcost'!AG$8,'SubRes-RSD_Saving'!$G$5:$AQ$5,0))/1000</f>
        <v>12.3972532530103</v>
      </c>
      <c r="AH29" s="562">
        <f>INDEX('SubRes-RSD_Saving'!$G$122:$AQ$122,MATCH('SubRes-RSD_Invcost'!AH$8,'SubRes-RSD_Saving'!$G$5:$AQ$5,0))/1000</f>
        <v>35.083019283346772</v>
      </c>
      <c r="AI29" s="562">
        <f>INDEX('SubRes-RSD_Saving'!$G$122:$AQ$122,MATCH('SubRes-RSD_Invcost'!AI$8,'SubRes-RSD_Saving'!$G$5:$AQ$5,0))/1000</f>
        <v>10.523594914207651</v>
      </c>
      <c r="AJ29" s="562">
        <f>INDEX('SubRes-RSD_Saving'!$G$122:$AQ$122,MATCH('SubRes-RSD_Invcost'!AJ$8,'SubRes-RSD_Saving'!$G$5:$AQ$5,0))/1000</f>
        <v>10.250381825950351</v>
      </c>
      <c r="AK29" s="562">
        <f>INDEX('SubRes-RSD_Saving'!$G$122:$AQ$122,MATCH('SubRes-RSD_Invcost'!AK$8,'SubRes-RSD_Saving'!$G$5:$AQ$5,0))/1000</f>
        <v>27.97396214589023</v>
      </c>
      <c r="AL29" s="562">
        <f>INDEX('SubRes-RSD_Saving'!$G$122:$AQ$122,MATCH('SubRes-RSD_Invcost'!AL$8,'SubRes-RSD_Saving'!$G$5:$AQ$5,0))/1000</f>
        <v>12.307952281556165</v>
      </c>
      <c r="AM29" s="562">
        <f>INDEX('SubRes-RSD_Saving'!$G$122:$AQ$122,MATCH('SubRes-RSD_Invcost'!AM$8,'SubRes-RSD_Saving'!$G$5:$AQ$5,0))/1000</f>
        <v>20.542534498768017</v>
      </c>
      <c r="AN29" s="562">
        <f>INDEX('SubRes-RSD_Saving'!$G$122:$AQ$122,MATCH('SubRes-RSD_Invcost'!AN$8,'SubRes-RSD_Saving'!$G$5:$AQ$5,0))/1000</f>
        <v>30.109857309385315</v>
      </c>
      <c r="AO29" s="562"/>
    </row>
    <row r="30" spans="1:41">
      <c r="A30" s="561" t="s">
        <v>645</v>
      </c>
      <c r="B30" s="561" t="s">
        <v>646</v>
      </c>
      <c r="C30" s="561" t="s">
        <v>654</v>
      </c>
      <c r="D30" s="562">
        <f>D16/D$4</f>
        <v>1.08</v>
      </c>
      <c r="E30" s="562">
        <f t="shared" ref="E30:AN30" si="0">E16/E$4</f>
        <v>1.9439999999999997</v>
      </c>
      <c r="F30" s="562">
        <f t="shared" si="0"/>
        <v>1.08</v>
      </c>
      <c r="G30" s="562">
        <f t="shared" si="0"/>
        <v>2.5200000000000005</v>
      </c>
      <c r="H30" s="562">
        <f t="shared" si="0"/>
        <v>1.08</v>
      </c>
      <c r="I30" s="562">
        <f t="shared" si="0"/>
        <v>1.9439999999999997</v>
      </c>
      <c r="J30" s="562">
        <f t="shared" si="0"/>
        <v>2.3039999999999998</v>
      </c>
      <c r="K30" s="562">
        <f t="shared" si="0"/>
        <v>1.44</v>
      </c>
      <c r="L30" s="562">
        <f t="shared" si="0"/>
        <v>2.0374468085106381</v>
      </c>
      <c r="M30" s="562">
        <f t="shared" si="0"/>
        <v>2.5199999999999991</v>
      </c>
      <c r="N30" s="562">
        <f t="shared" si="0"/>
        <v>1.08</v>
      </c>
      <c r="O30" s="562">
        <f t="shared" si="0"/>
        <v>2.3039999999999998</v>
      </c>
      <c r="P30" s="562">
        <f t="shared" si="0"/>
        <v>3.2399999999999998</v>
      </c>
      <c r="Q30" s="562">
        <f t="shared" si="0"/>
        <v>2.5199999999999996</v>
      </c>
      <c r="R30" s="562">
        <f t="shared" si="0"/>
        <v>2.7359999999999998</v>
      </c>
      <c r="S30" s="562">
        <f t="shared" si="0"/>
        <v>1.08</v>
      </c>
      <c r="T30" s="562">
        <f t="shared" si="0"/>
        <v>1.0799999999999998</v>
      </c>
      <c r="U30" s="562">
        <f t="shared" si="0"/>
        <v>2.0374468085106381</v>
      </c>
      <c r="V30" s="562">
        <f t="shared" si="0"/>
        <v>2.5200000000000005</v>
      </c>
      <c r="W30" s="562">
        <f t="shared" si="0"/>
        <v>2.3039999999999998</v>
      </c>
      <c r="X30" s="562">
        <f t="shared" si="0"/>
        <v>1.08</v>
      </c>
      <c r="Y30" s="562">
        <f t="shared" si="0"/>
        <v>1.08</v>
      </c>
      <c r="Z30" s="562">
        <f t="shared" si="0"/>
        <v>2.5200000000000005</v>
      </c>
      <c r="AA30" s="562">
        <f t="shared" si="0"/>
        <v>1.0799999999999998</v>
      </c>
      <c r="AB30" s="562">
        <f t="shared" si="0"/>
        <v>1.08</v>
      </c>
      <c r="AC30" s="562">
        <f t="shared" si="0"/>
        <v>1.08</v>
      </c>
      <c r="AD30" s="562">
        <f t="shared" si="0"/>
        <v>2.3039999999999998</v>
      </c>
      <c r="AE30" s="562">
        <f t="shared" si="0"/>
        <v>2.0374468085106381</v>
      </c>
      <c r="AF30" s="562">
        <f t="shared" si="0"/>
        <v>2.5200000000000005</v>
      </c>
      <c r="AG30" s="562">
        <f t="shared" si="0"/>
        <v>1.0799999999999998</v>
      </c>
      <c r="AH30" s="562">
        <f t="shared" si="0"/>
        <v>3.2399999999999998</v>
      </c>
      <c r="AI30" s="562">
        <f t="shared" si="0"/>
        <v>1.0800000000000003</v>
      </c>
      <c r="AJ30" s="562">
        <f t="shared" si="0"/>
        <v>1.08</v>
      </c>
      <c r="AK30" s="562">
        <f t="shared" si="0"/>
        <v>2.5200000000000005</v>
      </c>
      <c r="AL30" s="562">
        <f t="shared" si="0"/>
        <v>1.0800000000000003</v>
      </c>
      <c r="AM30" s="562">
        <f t="shared" si="0"/>
        <v>1.44</v>
      </c>
      <c r="AN30" s="562">
        <f t="shared" si="0"/>
        <v>2.0374468085106381</v>
      </c>
      <c r="AO30" s="562"/>
    </row>
    <row r="31" spans="1:41">
      <c r="A31" s="561" t="s">
        <v>645</v>
      </c>
      <c r="B31" s="561" t="s">
        <v>646</v>
      </c>
      <c r="C31" s="561" t="s">
        <v>655</v>
      </c>
      <c r="D31" s="562">
        <f t="shared" ref="D31:AN36" si="1">D17/D$4</f>
        <v>1.44</v>
      </c>
      <c r="E31" s="562">
        <f t="shared" si="1"/>
        <v>2.1599999999999997</v>
      </c>
      <c r="F31" s="562">
        <f t="shared" si="1"/>
        <v>1.4400000000000002</v>
      </c>
      <c r="G31" s="562">
        <f t="shared" si="1"/>
        <v>2.88</v>
      </c>
      <c r="H31" s="562">
        <f t="shared" si="1"/>
        <v>1.44</v>
      </c>
      <c r="I31" s="562">
        <f t="shared" si="1"/>
        <v>2.1599999999999997</v>
      </c>
      <c r="J31" s="562">
        <f t="shared" si="1"/>
        <v>2.88</v>
      </c>
      <c r="K31" s="562">
        <f t="shared" si="1"/>
        <v>1.8719999999999999</v>
      </c>
      <c r="L31" s="562">
        <f t="shared" si="1"/>
        <v>2.52</v>
      </c>
      <c r="M31" s="562">
        <f t="shared" si="1"/>
        <v>2.8800000000000008</v>
      </c>
      <c r="N31" s="562">
        <f t="shared" si="1"/>
        <v>1.44</v>
      </c>
      <c r="O31" s="562">
        <f t="shared" si="1"/>
        <v>2.88</v>
      </c>
      <c r="P31" s="562">
        <f t="shared" si="1"/>
        <v>3.6719999999999997</v>
      </c>
      <c r="Q31" s="562">
        <f t="shared" si="1"/>
        <v>2.88</v>
      </c>
      <c r="R31" s="562">
        <f t="shared" si="1"/>
        <v>3.3840000000000003</v>
      </c>
      <c r="S31" s="562">
        <f t="shared" si="1"/>
        <v>1.4400000000000002</v>
      </c>
      <c r="T31" s="562">
        <f t="shared" si="1"/>
        <v>1.4400000000000002</v>
      </c>
      <c r="U31" s="562">
        <f t="shared" si="1"/>
        <v>2.52</v>
      </c>
      <c r="V31" s="562">
        <f t="shared" si="1"/>
        <v>2.8800000000000003</v>
      </c>
      <c r="W31" s="562">
        <f t="shared" si="1"/>
        <v>2.88</v>
      </c>
      <c r="X31" s="562">
        <f t="shared" si="1"/>
        <v>1.4400000000000002</v>
      </c>
      <c r="Y31" s="562">
        <f t="shared" si="1"/>
        <v>1.44</v>
      </c>
      <c r="Z31" s="562">
        <f t="shared" si="1"/>
        <v>2.8800000000000003</v>
      </c>
      <c r="AA31" s="562">
        <f t="shared" si="1"/>
        <v>1.4400000000000002</v>
      </c>
      <c r="AB31" s="562">
        <f t="shared" si="1"/>
        <v>1.44</v>
      </c>
      <c r="AC31" s="562">
        <f t="shared" si="1"/>
        <v>1.4400000000000002</v>
      </c>
      <c r="AD31" s="562">
        <f t="shared" si="1"/>
        <v>2.8800000000000003</v>
      </c>
      <c r="AE31" s="562">
        <f t="shared" si="1"/>
        <v>2.5200000000000005</v>
      </c>
      <c r="AF31" s="562">
        <f t="shared" si="1"/>
        <v>2.88</v>
      </c>
      <c r="AG31" s="562">
        <f t="shared" si="1"/>
        <v>1.44</v>
      </c>
      <c r="AH31" s="562">
        <f t="shared" si="1"/>
        <v>3.6719999999999997</v>
      </c>
      <c r="AI31" s="562">
        <f t="shared" si="1"/>
        <v>1.4400000000000002</v>
      </c>
      <c r="AJ31" s="562">
        <f t="shared" si="1"/>
        <v>1.4400000000000002</v>
      </c>
      <c r="AK31" s="562">
        <f t="shared" si="1"/>
        <v>2.88</v>
      </c>
      <c r="AL31" s="562">
        <f t="shared" si="1"/>
        <v>1.44</v>
      </c>
      <c r="AM31" s="562">
        <f t="shared" si="1"/>
        <v>1.8719999999999999</v>
      </c>
      <c r="AN31" s="562">
        <f t="shared" si="1"/>
        <v>2.52</v>
      </c>
      <c r="AO31" s="562"/>
    </row>
    <row r="32" spans="1:41">
      <c r="A32" s="561" t="s">
        <v>645</v>
      </c>
      <c r="B32" s="561" t="s">
        <v>646</v>
      </c>
      <c r="C32" s="561" t="s">
        <v>656</v>
      </c>
      <c r="D32" s="562">
        <f t="shared" si="1"/>
        <v>2.3760000000000003</v>
      </c>
      <c r="E32" s="562">
        <f t="shared" si="1"/>
        <v>2.3760000000000003</v>
      </c>
      <c r="F32" s="562">
        <f t="shared" si="1"/>
        <v>2.3760000000000003</v>
      </c>
      <c r="G32" s="562">
        <f t="shared" si="1"/>
        <v>3.6</v>
      </c>
      <c r="H32" s="562">
        <f t="shared" si="1"/>
        <v>2.3760000000000003</v>
      </c>
      <c r="I32" s="562">
        <f t="shared" si="1"/>
        <v>2.3760000000000003</v>
      </c>
      <c r="J32" s="562">
        <f t="shared" si="1"/>
        <v>3.6</v>
      </c>
      <c r="K32" s="562">
        <f t="shared" si="1"/>
        <v>3.0888</v>
      </c>
      <c r="L32" s="562">
        <f t="shared" si="1"/>
        <v>2.88</v>
      </c>
      <c r="M32" s="562">
        <f t="shared" si="1"/>
        <v>3.6</v>
      </c>
      <c r="N32" s="562">
        <f t="shared" si="1"/>
        <v>2.3760000000000003</v>
      </c>
      <c r="O32" s="562">
        <f t="shared" si="1"/>
        <v>3.6</v>
      </c>
      <c r="P32" s="562">
        <f t="shared" si="1"/>
        <v>4.1965714285714295</v>
      </c>
      <c r="Q32" s="562">
        <f t="shared" si="1"/>
        <v>3.5999999999999996</v>
      </c>
      <c r="R32" s="562">
        <f t="shared" si="1"/>
        <v>3.867428571428571</v>
      </c>
      <c r="S32" s="562">
        <f t="shared" si="1"/>
        <v>2.3760000000000003</v>
      </c>
      <c r="T32" s="562">
        <f t="shared" si="1"/>
        <v>2.3760000000000003</v>
      </c>
      <c r="U32" s="562">
        <f t="shared" si="1"/>
        <v>2.88</v>
      </c>
      <c r="V32" s="562">
        <f t="shared" si="1"/>
        <v>3.6</v>
      </c>
      <c r="W32" s="562">
        <f t="shared" si="1"/>
        <v>3.6</v>
      </c>
      <c r="X32" s="562">
        <f t="shared" si="1"/>
        <v>2.3760000000000003</v>
      </c>
      <c r="Y32" s="562">
        <f t="shared" si="1"/>
        <v>2.3760000000000003</v>
      </c>
      <c r="Z32" s="562">
        <f t="shared" si="1"/>
        <v>3.6</v>
      </c>
      <c r="AA32" s="562">
        <f t="shared" si="1"/>
        <v>2.3760000000000003</v>
      </c>
      <c r="AB32" s="562">
        <f t="shared" si="1"/>
        <v>2.3760000000000003</v>
      </c>
      <c r="AC32" s="562">
        <f t="shared" si="1"/>
        <v>2.3760000000000003</v>
      </c>
      <c r="AD32" s="562">
        <f t="shared" si="1"/>
        <v>3.6</v>
      </c>
      <c r="AE32" s="562">
        <f t="shared" si="1"/>
        <v>2.8800000000000003</v>
      </c>
      <c r="AF32" s="562">
        <f t="shared" si="1"/>
        <v>3.6</v>
      </c>
      <c r="AG32" s="562">
        <f t="shared" si="1"/>
        <v>2.3759999999999994</v>
      </c>
      <c r="AH32" s="562">
        <f t="shared" si="1"/>
        <v>4.1965714285714295</v>
      </c>
      <c r="AI32" s="562">
        <f t="shared" si="1"/>
        <v>2.3760000000000003</v>
      </c>
      <c r="AJ32" s="562">
        <f t="shared" si="1"/>
        <v>2.3760000000000003</v>
      </c>
      <c r="AK32" s="562">
        <f t="shared" si="1"/>
        <v>3.6</v>
      </c>
      <c r="AL32" s="562">
        <f t="shared" si="1"/>
        <v>2.3760000000000003</v>
      </c>
      <c r="AM32" s="562">
        <f t="shared" si="1"/>
        <v>2.3760000000000003</v>
      </c>
      <c r="AN32" s="562">
        <f t="shared" si="1"/>
        <v>2.88</v>
      </c>
      <c r="AO32" s="562"/>
    </row>
    <row r="33" spans="1:41">
      <c r="A33" s="561" t="s">
        <v>645</v>
      </c>
      <c r="B33" s="561" t="s">
        <v>646</v>
      </c>
      <c r="C33" s="561" t="s">
        <v>657</v>
      </c>
      <c r="D33" s="562">
        <f t="shared" si="1"/>
        <v>0.32850000000000001</v>
      </c>
      <c r="E33" s="562">
        <f t="shared" si="1"/>
        <v>0.42939996000000014</v>
      </c>
      <c r="F33" s="562">
        <f t="shared" si="1"/>
        <v>0.28625545800000002</v>
      </c>
      <c r="G33" s="562">
        <f t="shared" si="1"/>
        <v>0.54928843500000002</v>
      </c>
      <c r="H33" s="562">
        <f t="shared" si="1"/>
        <v>0.29016121950000001</v>
      </c>
      <c r="I33" s="562">
        <f t="shared" si="1"/>
        <v>0.42939996000000014</v>
      </c>
      <c r="J33" s="562">
        <f t="shared" si="1"/>
        <v>0.60224999999999995</v>
      </c>
      <c r="K33" s="562">
        <f t="shared" si="1"/>
        <v>0.18296252099999996</v>
      </c>
      <c r="L33" s="562">
        <f t="shared" si="1"/>
        <v>0.1410938685</v>
      </c>
      <c r="M33" s="562">
        <f t="shared" si="1"/>
        <v>0.4704000000000001</v>
      </c>
      <c r="N33" s="562">
        <f t="shared" si="1"/>
        <v>0.21509563950000002</v>
      </c>
      <c r="O33" s="562">
        <f t="shared" si="1"/>
        <v>0.80299999999999994</v>
      </c>
      <c r="P33" s="562">
        <f t="shared" si="1"/>
        <v>0.60458729099999997</v>
      </c>
      <c r="Q33" s="562">
        <f t="shared" si="1"/>
        <v>0.42</v>
      </c>
      <c r="R33" s="562">
        <f t="shared" si="1"/>
        <v>0.49443069750000002</v>
      </c>
      <c r="S33" s="562">
        <f t="shared" si="1"/>
        <v>0.28625545800000002</v>
      </c>
      <c r="T33" s="562">
        <f t="shared" si="1"/>
        <v>0.21030532650000003</v>
      </c>
      <c r="U33" s="562">
        <f t="shared" si="1"/>
        <v>0.49908762000000007</v>
      </c>
      <c r="V33" s="562">
        <f t="shared" si="1"/>
        <v>0.33599999999999997</v>
      </c>
      <c r="W33" s="562">
        <f t="shared" si="1"/>
        <v>0.74909999999999977</v>
      </c>
      <c r="X33" s="562">
        <f t="shared" si="1"/>
        <v>0.28625545800000002</v>
      </c>
      <c r="Y33" s="562">
        <f t="shared" si="1"/>
        <v>0.23202789299999999</v>
      </c>
      <c r="Z33" s="562">
        <f t="shared" si="1"/>
        <v>0.51480063000000009</v>
      </c>
      <c r="AA33" s="562">
        <f t="shared" si="1"/>
        <v>0.23174999999999996</v>
      </c>
      <c r="AB33" s="562">
        <f t="shared" si="1"/>
        <v>0.32850000000000001</v>
      </c>
      <c r="AC33" s="562">
        <f t="shared" si="1"/>
        <v>0.28625545800000002</v>
      </c>
      <c r="AD33" s="562">
        <f t="shared" si="1"/>
        <v>0.70150947899999982</v>
      </c>
      <c r="AE33" s="562">
        <f t="shared" si="1"/>
        <v>0.56850000000000001</v>
      </c>
      <c r="AF33" s="562">
        <f t="shared" si="1"/>
        <v>0.501</v>
      </c>
      <c r="AG33" s="562">
        <f t="shared" si="1"/>
        <v>0.31487840999999989</v>
      </c>
      <c r="AH33" s="562">
        <f t="shared" si="1"/>
        <v>0.50746586099999991</v>
      </c>
      <c r="AI33" s="562">
        <f t="shared" si="1"/>
        <v>0.28770206399999998</v>
      </c>
      <c r="AJ33" s="562">
        <f t="shared" si="1"/>
        <v>0.28625545800000002</v>
      </c>
      <c r="AK33" s="562">
        <f t="shared" si="1"/>
        <v>0.501</v>
      </c>
      <c r="AL33" s="562">
        <f t="shared" si="1"/>
        <v>0.23202391950000001</v>
      </c>
      <c r="AM33" s="562">
        <f t="shared" si="1"/>
        <v>0.18375867299999998</v>
      </c>
      <c r="AN33" s="562">
        <f t="shared" si="1"/>
        <v>0.20747142857142853</v>
      </c>
      <c r="AO33" s="562"/>
    </row>
    <row r="34" spans="1:41">
      <c r="A34" s="561" t="s">
        <v>645</v>
      </c>
      <c r="B34" s="561" t="s">
        <v>646</v>
      </c>
      <c r="C34" s="561" t="s">
        <v>658</v>
      </c>
      <c r="D34" s="562">
        <f t="shared" si="1"/>
        <v>0.27374999999999999</v>
      </c>
      <c r="E34" s="562">
        <f t="shared" si="1"/>
        <v>0.27325452000000006</v>
      </c>
      <c r="F34" s="562">
        <f t="shared" si="1"/>
        <v>0.23854621500000009</v>
      </c>
      <c r="G34" s="562">
        <f t="shared" si="1"/>
        <v>0.34954718590909084</v>
      </c>
      <c r="H34" s="562">
        <f t="shared" si="1"/>
        <v>0.24180101625000003</v>
      </c>
      <c r="I34" s="562">
        <f t="shared" si="1"/>
        <v>0.27325452000000006</v>
      </c>
      <c r="J34" s="562">
        <f t="shared" si="1"/>
        <v>0.38324999999999998</v>
      </c>
      <c r="K34" s="562">
        <f t="shared" si="1"/>
        <v>0.15246876749999996</v>
      </c>
      <c r="L34" s="562">
        <f t="shared" si="1"/>
        <v>8.978700722727273E-2</v>
      </c>
      <c r="M34" s="562">
        <f t="shared" si="1"/>
        <v>0.29934545454545464</v>
      </c>
      <c r="N34" s="562">
        <f t="shared" si="1"/>
        <v>0.17924636625000001</v>
      </c>
      <c r="O34" s="562">
        <f t="shared" si="1"/>
        <v>0.5109999999999999</v>
      </c>
      <c r="P34" s="562">
        <f t="shared" si="1"/>
        <v>0.384737367</v>
      </c>
      <c r="Q34" s="562">
        <f t="shared" si="1"/>
        <v>0.26727272727272722</v>
      </c>
      <c r="R34" s="562">
        <f t="shared" si="1"/>
        <v>0.314637716590909</v>
      </c>
      <c r="S34" s="562">
        <f t="shared" si="1"/>
        <v>0.23854621500000009</v>
      </c>
      <c r="T34" s="562">
        <f t="shared" si="1"/>
        <v>0.17525443875000002</v>
      </c>
      <c r="U34" s="562">
        <f t="shared" si="1"/>
        <v>0.31760121272727276</v>
      </c>
      <c r="V34" s="562">
        <f t="shared" si="1"/>
        <v>0.21381818181818182</v>
      </c>
      <c r="W34" s="562">
        <f t="shared" si="1"/>
        <v>0.47669999999999996</v>
      </c>
      <c r="X34" s="562">
        <f t="shared" si="1"/>
        <v>0.23854621500000009</v>
      </c>
      <c r="Y34" s="562">
        <f t="shared" si="1"/>
        <v>0.19335657749999996</v>
      </c>
      <c r="Z34" s="562">
        <f t="shared" si="1"/>
        <v>0.32760040090909104</v>
      </c>
      <c r="AA34" s="562">
        <f t="shared" si="1"/>
        <v>0.19312499999999994</v>
      </c>
      <c r="AB34" s="562">
        <f t="shared" si="1"/>
        <v>0.27374999999999999</v>
      </c>
      <c r="AC34" s="562">
        <f t="shared" si="1"/>
        <v>0.23854621500000009</v>
      </c>
      <c r="AD34" s="562">
        <f t="shared" si="1"/>
        <v>0.44641512299999997</v>
      </c>
      <c r="AE34" s="562">
        <f t="shared" si="1"/>
        <v>0.36177272727272725</v>
      </c>
      <c r="AF34" s="562">
        <f t="shared" si="1"/>
        <v>0.31881818181818178</v>
      </c>
      <c r="AG34" s="562">
        <f t="shared" si="1"/>
        <v>0.26239867499999986</v>
      </c>
      <c r="AH34" s="562">
        <f t="shared" si="1"/>
        <v>0.32293282063636364</v>
      </c>
      <c r="AI34" s="562">
        <f t="shared" si="1"/>
        <v>0.23975171999999997</v>
      </c>
      <c r="AJ34" s="562">
        <f t="shared" si="1"/>
        <v>0.23854621500000009</v>
      </c>
      <c r="AK34" s="562">
        <f t="shared" si="1"/>
        <v>0.31881818181818178</v>
      </c>
      <c r="AL34" s="562">
        <f t="shared" si="1"/>
        <v>0.19335326624999999</v>
      </c>
      <c r="AM34" s="562">
        <f t="shared" si="1"/>
        <v>0.1531322275</v>
      </c>
      <c r="AN34" s="562">
        <f t="shared" si="1"/>
        <v>0.13202727272727272</v>
      </c>
      <c r="AO34" s="562"/>
    </row>
    <row r="35" spans="1:41">
      <c r="A35" s="561" t="s">
        <v>645</v>
      </c>
      <c r="B35" s="561" t="s">
        <v>646</v>
      </c>
      <c r="C35" s="561" t="s">
        <v>659</v>
      </c>
      <c r="D35" s="562">
        <f t="shared" si="1"/>
        <v>1.7293328763993063</v>
      </c>
      <c r="E35" s="562">
        <f t="shared" si="1"/>
        <v>3.9903268815696977</v>
      </c>
      <c r="F35" s="562">
        <f t="shared" si="1"/>
        <v>1.5999468263580849</v>
      </c>
      <c r="G35" s="562">
        <f t="shared" si="1"/>
        <v>4.3312688687856262</v>
      </c>
      <c r="H35" s="562">
        <f t="shared" si="1"/>
        <v>1.119196814184336</v>
      </c>
      <c r="I35" s="562">
        <f t="shared" si="1"/>
        <v>3.9903268815696977</v>
      </c>
      <c r="J35" s="562">
        <f t="shared" si="1"/>
        <v>4.0351100449317148</v>
      </c>
      <c r="K35" s="562">
        <f t="shared" si="1"/>
        <v>2.6034778568432055</v>
      </c>
      <c r="L35" s="562">
        <f t="shared" si="1"/>
        <v>3.9674956532424965</v>
      </c>
      <c r="M35" s="562">
        <f t="shared" si="1"/>
        <v>2.7806665972366869</v>
      </c>
      <c r="N35" s="562">
        <f t="shared" si="1"/>
        <v>1.3581352442023529</v>
      </c>
      <c r="O35" s="562">
        <f t="shared" si="1"/>
        <v>5.0552517482121653</v>
      </c>
      <c r="P35" s="562">
        <f t="shared" si="1"/>
        <v>5.9388603872903447</v>
      </c>
      <c r="Q35" s="562">
        <f t="shared" si="1"/>
        <v>1.7277113400082424</v>
      </c>
      <c r="R35" s="562">
        <f t="shared" si="1"/>
        <v>3.4920558792055529</v>
      </c>
      <c r="S35" s="562">
        <f t="shared" si="1"/>
        <v>1.5999468263580849</v>
      </c>
      <c r="T35" s="562">
        <f t="shared" si="1"/>
        <v>1.3405080665643851</v>
      </c>
      <c r="U35" s="562">
        <f t="shared" si="1"/>
        <v>2.029616549720989</v>
      </c>
      <c r="V35" s="562">
        <f t="shared" si="1"/>
        <v>2.8930046785357852</v>
      </c>
      <c r="W35" s="562">
        <f t="shared" si="1"/>
        <v>4.5583504422353069</v>
      </c>
      <c r="X35" s="562">
        <f t="shared" si="1"/>
        <v>1.5999468263580849</v>
      </c>
      <c r="Y35" s="562">
        <f t="shared" si="1"/>
        <v>1.4189193641767166</v>
      </c>
      <c r="Z35" s="562">
        <f t="shared" si="1"/>
        <v>3.6808316936933663</v>
      </c>
      <c r="AA35" s="562">
        <f t="shared" si="1"/>
        <v>1.4179400233790713</v>
      </c>
      <c r="AB35" s="562">
        <f t="shared" si="1"/>
        <v>1.7293328763993063</v>
      </c>
      <c r="AC35" s="562">
        <f t="shared" si="1"/>
        <v>1.5999468263580849</v>
      </c>
      <c r="AD35" s="562">
        <f t="shared" si="1"/>
        <v>4.3949056954058623</v>
      </c>
      <c r="AE35" s="562">
        <f t="shared" si="1"/>
        <v>4.4157239632570331</v>
      </c>
      <c r="AF35" s="562">
        <f t="shared" si="1"/>
        <v>3.1983974353296247</v>
      </c>
      <c r="AG35" s="562">
        <f t="shared" si="1"/>
        <v>1.139127627612986</v>
      </c>
      <c r="AH35" s="562">
        <f t="shared" si="1"/>
        <v>5.0562391957456567</v>
      </c>
      <c r="AI35" s="562">
        <f t="shared" si="1"/>
        <v>0.65650195492273811</v>
      </c>
      <c r="AJ35" s="562">
        <f t="shared" si="1"/>
        <v>1.5999468263580849</v>
      </c>
      <c r="AK35" s="562">
        <f t="shared" si="1"/>
        <v>3.1983974353296247</v>
      </c>
      <c r="AL35" s="562">
        <f t="shared" si="1"/>
        <v>1.4189053650410473</v>
      </c>
      <c r="AM35" s="562">
        <f t="shared" si="1"/>
        <v>2.6099185685806274</v>
      </c>
      <c r="AN35" s="562">
        <f t="shared" si="1"/>
        <v>2.0795643721809927</v>
      </c>
      <c r="AO35" s="562"/>
    </row>
    <row r="36" spans="1:41">
      <c r="A36" s="561" t="s">
        <v>645</v>
      </c>
      <c r="B36" s="561" t="s">
        <v>646</v>
      </c>
      <c r="C36" s="561" t="s">
        <v>660</v>
      </c>
      <c r="D36" s="562">
        <f t="shared" si="1"/>
        <v>1.4822853226279769</v>
      </c>
      <c r="E36" s="562">
        <f t="shared" si="1"/>
        <v>3.4202801842025985</v>
      </c>
      <c r="F36" s="562">
        <f t="shared" si="1"/>
        <v>1.3713829940212157</v>
      </c>
      <c r="G36" s="562">
        <f t="shared" si="1"/>
        <v>3.7125161732448233</v>
      </c>
      <c r="H36" s="562">
        <f t="shared" si="1"/>
        <v>0.95931155501514509</v>
      </c>
      <c r="I36" s="562">
        <f t="shared" si="1"/>
        <v>3.4202801842025985</v>
      </c>
      <c r="J36" s="562">
        <f t="shared" si="1"/>
        <v>3.4586657527986127</v>
      </c>
      <c r="K36" s="562">
        <f t="shared" si="1"/>
        <v>2.2315524487227476</v>
      </c>
      <c r="L36" s="562">
        <f t="shared" si="1"/>
        <v>3.4007105599221399</v>
      </c>
      <c r="M36" s="562">
        <f t="shared" si="1"/>
        <v>2.3834285119171597</v>
      </c>
      <c r="N36" s="562">
        <f t="shared" si="1"/>
        <v>1.1641159236020167</v>
      </c>
      <c r="O36" s="562">
        <f t="shared" si="1"/>
        <v>4.333072927038998</v>
      </c>
      <c r="P36" s="562">
        <f t="shared" si="1"/>
        <v>5.0904517605345818</v>
      </c>
      <c r="Q36" s="562">
        <f t="shared" si="1"/>
        <v>1.4808954342927794</v>
      </c>
      <c r="R36" s="562">
        <f t="shared" si="1"/>
        <v>2.9931907536047593</v>
      </c>
      <c r="S36" s="562">
        <f t="shared" si="1"/>
        <v>1.3713829940212157</v>
      </c>
      <c r="T36" s="562">
        <f t="shared" si="1"/>
        <v>1.1490069141980446</v>
      </c>
      <c r="U36" s="562">
        <f t="shared" si="1"/>
        <v>1.739671328332276</v>
      </c>
      <c r="V36" s="562">
        <f t="shared" si="1"/>
        <v>2.4797182958878157</v>
      </c>
      <c r="W36" s="562">
        <f t="shared" si="1"/>
        <v>3.9071575219159769</v>
      </c>
      <c r="X36" s="562">
        <f t="shared" si="1"/>
        <v>1.3713829940212157</v>
      </c>
      <c r="Y36" s="562">
        <f t="shared" si="1"/>
        <v>1.2162165978657573</v>
      </c>
      <c r="Z36" s="562">
        <f t="shared" si="1"/>
        <v>3.1549985945943133</v>
      </c>
      <c r="AA36" s="562">
        <f t="shared" si="1"/>
        <v>1.215377162896347</v>
      </c>
      <c r="AB36" s="562">
        <f t="shared" si="1"/>
        <v>1.4822853226279769</v>
      </c>
      <c r="AC36" s="562">
        <f t="shared" si="1"/>
        <v>1.3713829940212157</v>
      </c>
      <c r="AD36" s="562">
        <f t="shared" si="1"/>
        <v>3.7670620246335957</v>
      </c>
      <c r="AE36" s="562">
        <f t="shared" si="1"/>
        <v>3.7849062542203145</v>
      </c>
      <c r="AF36" s="562">
        <f t="shared" si="1"/>
        <v>2.7414835159968209</v>
      </c>
      <c r="AG36" s="562">
        <f t="shared" si="1"/>
        <v>0.97639510938255947</v>
      </c>
      <c r="AH36" s="562">
        <f t="shared" si="1"/>
        <v>4.3339193106391338</v>
      </c>
      <c r="AI36" s="562">
        <f t="shared" si="1"/>
        <v>0.56271596136234703</v>
      </c>
      <c r="AJ36" s="562">
        <f t="shared" si="1"/>
        <v>1.3713829940212157</v>
      </c>
      <c r="AK36" s="562">
        <f t="shared" si="1"/>
        <v>2.7414835159968209</v>
      </c>
      <c r="AL36" s="562">
        <f t="shared" si="1"/>
        <v>1.2162045986066117</v>
      </c>
      <c r="AM36" s="562">
        <f t="shared" si="1"/>
        <v>2.2370730587833942</v>
      </c>
      <c r="AN36" s="562">
        <f t="shared" si="1"/>
        <v>1.7824837475837079</v>
      </c>
      <c r="AO36" s="562"/>
    </row>
    <row r="37" spans="1:41">
      <c r="A37" s="561" t="s">
        <v>645</v>
      </c>
      <c r="B37" s="561" t="s">
        <v>646</v>
      </c>
      <c r="C37" s="561" t="s">
        <v>661</v>
      </c>
      <c r="D37" s="562">
        <f t="shared" ref="D37:AN43" si="2">D23/D$5</f>
        <v>1.3499999999999996</v>
      </c>
      <c r="E37" s="562">
        <f t="shared" si="2"/>
        <v>2.4299999999999993</v>
      </c>
      <c r="F37" s="562">
        <f t="shared" si="2"/>
        <v>1.3499999999999996</v>
      </c>
      <c r="G37" s="562">
        <f t="shared" si="2"/>
        <v>3.149999999999999</v>
      </c>
      <c r="H37" s="562">
        <f t="shared" si="2"/>
        <v>1.3499999999999996</v>
      </c>
      <c r="I37" s="562">
        <f t="shared" si="2"/>
        <v>2.4299999999999997</v>
      </c>
      <c r="J37" s="562">
        <f t="shared" si="2"/>
        <v>2.8800000000000003</v>
      </c>
      <c r="K37" s="562">
        <f t="shared" si="2"/>
        <v>1.7999999999999996</v>
      </c>
      <c r="L37" s="562">
        <f t="shared" si="2"/>
        <v>2.5468085106382969</v>
      </c>
      <c r="M37" s="562">
        <f t="shared" si="2"/>
        <v>3.15</v>
      </c>
      <c r="N37" s="562">
        <f t="shared" si="2"/>
        <v>1.3499999999999996</v>
      </c>
      <c r="O37" s="562">
        <f t="shared" si="2"/>
        <v>2.8800000000000003</v>
      </c>
      <c r="P37" s="562">
        <f t="shared" si="2"/>
        <v>4.05</v>
      </c>
      <c r="Q37" s="562">
        <f t="shared" si="2"/>
        <v>3.149999999999999</v>
      </c>
      <c r="R37" s="562">
        <f t="shared" si="2"/>
        <v>3.42</v>
      </c>
      <c r="S37" s="562">
        <f t="shared" si="2"/>
        <v>1.3499999999999996</v>
      </c>
      <c r="T37" s="562">
        <f t="shared" si="2"/>
        <v>1.3499999999999999</v>
      </c>
      <c r="U37" s="562">
        <f t="shared" si="2"/>
        <v>2.5468085106382974</v>
      </c>
      <c r="V37" s="562">
        <f t="shared" si="2"/>
        <v>3.15</v>
      </c>
      <c r="W37" s="562">
        <f t="shared" si="2"/>
        <v>2.8799999999999994</v>
      </c>
      <c r="X37" s="562">
        <f t="shared" si="2"/>
        <v>1.3499999999999996</v>
      </c>
      <c r="Y37" s="562">
        <f t="shared" si="2"/>
        <v>1.3499999999999999</v>
      </c>
      <c r="Z37" s="562">
        <f t="shared" si="2"/>
        <v>3.15</v>
      </c>
      <c r="AA37" s="562">
        <f t="shared" si="2"/>
        <v>1.3499999999999996</v>
      </c>
      <c r="AB37" s="562">
        <f t="shared" si="2"/>
        <v>1.3499999999999999</v>
      </c>
      <c r="AC37" s="562">
        <f t="shared" si="2"/>
        <v>1.3499999999999996</v>
      </c>
      <c r="AD37" s="562">
        <f t="shared" si="2"/>
        <v>2.8800000000000003</v>
      </c>
      <c r="AE37" s="562">
        <f t="shared" si="2"/>
        <v>2.5468085106382974</v>
      </c>
      <c r="AF37" s="562">
        <f t="shared" si="2"/>
        <v>3.149999999999999</v>
      </c>
      <c r="AG37" s="562">
        <f t="shared" si="2"/>
        <v>1.3499999999999996</v>
      </c>
      <c r="AH37" s="562">
        <f t="shared" si="2"/>
        <v>4.05</v>
      </c>
      <c r="AI37" s="562">
        <f t="shared" si="2"/>
        <v>1.3499999999999996</v>
      </c>
      <c r="AJ37" s="562">
        <f t="shared" si="2"/>
        <v>1.3499999999999996</v>
      </c>
      <c r="AK37" s="562">
        <f t="shared" si="2"/>
        <v>3.149999999999999</v>
      </c>
      <c r="AL37" s="562">
        <f t="shared" si="2"/>
        <v>1.3499999999999996</v>
      </c>
      <c r="AM37" s="562">
        <f t="shared" si="2"/>
        <v>1.7999999999999996</v>
      </c>
      <c r="AN37" s="562">
        <f t="shared" si="2"/>
        <v>2.5468085106382969</v>
      </c>
      <c r="AO37" s="562"/>
    </row>
    <row r="38" spans="1:41">
      <c r="A38" s="561" t="s">
        <v>645</v>
      </c>
      <c r="B38" s="561" t="s">
        <v>646</v>
      </c>
      <c r="C38" s="561" t="s">
        <v>662</v>
      </c>
      <c r="D38" s="562">
        <f t="shared" si="2"/>
        <v>1.7999999999999998</v>
      </c>
      <c r="E38" s="562">
        <f t="shared" si="2"/>
        <v>2.6999999999999993</v>
      </c>
      <c r="F38" s="562">
        <f t="shared" si="2"/>
        <v>1.7999999999999998</v>
      </c>
      <c r="G38" s="562">
        <f t="shared" si="2"/>
        <v>3.5999999999999996</v>
      </c>
      <c r="H38" s="562">
        <f t="shared" si="2"/>
        <v>1.7999999999999998</v>
      </c>
      <c r="I38" s="562">
        <f t="shared" si="2"/>
        <v>2.6999999999999993</v>
      </c>
      <c r="J38" s="562">
        <f t="shared" si="2"/>
        <v>3.5999999999999996</v>
      </c>
      <c r="K38" s="562">
        <f t="shared" si="2"/>
        <v>2.3399999999999994</v>
      </c>
      <c r="L38" s="562">
        <f t="shared" si="2"/>
        <v>3.149999999999999</v>
      </c>
      <c r="M38" s="562">
        <f t="shared" si="2"/>
        <v>3.6</v>
      </c>
      <c r="N38" s="562">
        <f t="shared" si="2"/>
        <v>1.8</v>
      </c>
      <c r="O38" s="562">
        <f t="shared" si="2"/>
        <v>3.6</v>
      </c>
      <c r="P38" s="562">
        <f t="shared" si="2"/>
        <v>4.589999999999999</v>
      </c>
      <c r="Q38" s="562">
        <f t="shared" si="2"/>
        <v>3.5999999999999996</v>
      </c>
      <c r="R38" s="562">
        <f t="shared" si="2"/>
        <v>4.2299999999999995</v>
      </c>
      <c r="S38" s="562">
        <f t="shared" si="2"/>
        <v>1.7999999999999996</v>
      </c>
      <c r="T38" s="562">
        <f t="shared" si="2"/>
        <v>1.7999999999999998</v>
      </c>
      <c r="U38" s="562">
        <f t="shared" si="2"/>
        <v>3.149999999999999</v>
      </c>
      <c r="V38" s="562">
        <f t="shared" si="2"/>
        <v>3.5999999999999996</v>
      </c>
      <c r="W38" s="562">
        <f t="shared" si="2"/>
        <v>3.5999999999999996</v>
      </c>
      <c r="X38" s="562">
        <f t="shared" si="2"/>
        <v>1.7999999999999998</v>
      </c>
      <c r="Y38" s="562">
        <f t="shared" si="2"/>
        <v>1.7999999999999998</v>
      </c>
      <c r="Z38" s="562">
        <f t="shared" si="2"/>
        <v>3.5999999999999996</v>
      </c>
      <c r="AA38" s="562">
        <f t="shared" si="2"/>
        <v>1.7999999999999998</v>
      </c>
      <c r="AB38" s="562">
        <f t="shared" si="2"/>
        <v>1.8</v>
      </c>
      <c r="AC38" s="562">
        <f t="shared" si="2"/>
        <v>1.7999999999999998</v>
      </c>
      <c r="AD38" s="562">
        <f t="shared" si="2"/>
        <v>3.5999999999999996</v>
      </c>
      <c r="AE38" s="562">
        <f t="shared" si="2"/>
        <v>3.149999999999999</v>
      </c>
      <c r="AF38" s="562">
        <f t="shared" si="2"/>
        <v>3.6</v>
      </c>
      <c r="AG38" s="562">
        <f t="shared" si="2"/>
        <v>1.7999999999999998</v>
      </c>
      <c r="AH38" s="562">
        <f t="shared" si="2"/>
        <v>4.589999999999999</v>
      </c>
      <c r="AI38" s="562">
        <f t="shared" si="2"/>
        <v>1.7999999999999998</v>
      </c>
      <c r="AJ38" s="562">
        <f t="shared" si="2"/>
        <v>1.7999999999999996</v>
      </c>
      <c r="AK38" s="562">
        <f t="shared" si="2"/>
        <v>3.5999999999999996</v>
      </c>
      <c r="AL38" s="562">
        <f t="shared" si="2"/>
        <v>1.7999999999999998</v>
      </c>
      <c r="AM38" s="562">
        <f t="shared" si="2"/>
        <v>2.339999999999999</v>
      </c>
      <c r="AN38" s="562">
        <f t="shared" si="2"/>
        <v>3.149999999999999</v>
      </c>
    </row>
    <row r="39" spans="1:41">
      <c r="A39" s="561" t="s">
        <v>645</v>
      </c>
      <c r="B39" s="561" t="s">
        <v>646</v>
      </c>
      <c r="C39" s="561" t="s">
        <v>663</v>
      </c>
      <c r="D39" s="562">
        <f t="shared" si="2"/>
        <v>2.9699999999999993</v>
      </c>
      <c r="E39" s="562">
        <f t="shared" si="2"/>
        <v>2.9699999999999993</v>
      </c>
      <c r="F39" s="562">
        <f t="shared" si="2"/>
        <v>2.9699999999999993</v>
      </c>
      <c r="G39" s="562">
        <f t="shared" si="2"/>
        <v>4.4999999999999991</v>
      </c>
      <c r="H39" s="562">
        <f t="shared" si="2"/>
        <v>2.9699999999999993</v>
      </c>
      <c r="I39" s="562">
        <f t="shared" si="2"/>
        <v>2.9699999999999993</v>
      </c>
      <c r="J39" s="562">
        <f t="shared" si="2"/>
        <v>4.4999999999999991</v>
      </c>
      <c r="K39" s="562">
        <f t="shared" si="2"/>
        <v>3.8609999999999993</v>
      </c>
      <c r="L39" s="562">
        <f t="shared" si="2"/>
        <v>3.5999999999999996</v>
      </c>
      <c r="M39" s="562">
        <f t="shared" si="2"/>
        <v>4.5</v>
      </c>
      <c r="N39" s="562">
        <f t="shared" si="2"/>
        <v>2.9699999999999993</v>
      </c>
      <c r="O39" s="562">
        <f t="shared" si="2"/>
        <v>4.5</v>
      </c>
      <c r="P39" s="562">
        <f t="shared" si="2"/>
        <v>5.2457142857142847</v>
      </c>
      <c r="Q39" s="562">
        <f t="shared" si="2"/>
        <v>4.4999999999999991</v>
      </c>
      <c r="R39" s="562">
        <f t="shared" si="2"/>
        <v>4.8342857142857136</v>
      </c>
      <c r="S39" s="562">
        <f t="shared" si="2"/>
        <v>2.9699999999999993</v>
      </c>
      <c r="T39" s="562">
        <f t="shared" si="2"/>
        <v>2.9699999999999993</v>
      </c>
      <c r="U39" s="562">
        <f t="shared" si="2"/>
        <v>3.6</v>
      </c>
      <c r="V39" s="562">
        <f t="shared" si="2"/>
        <v>4.4999999999999991</v>
      </c>
      <c r="W39" s="562">
        <f t="shared" si="2"/>
        <v>4.4999999999999991</v>
      </c>
      <c r="X39" s="562">
        <f t="shared" si="2"/>
        <v>2.9699999999999993</v>
      </c>
      <c r="Y39" s="562">
        <f t="shared" si="2"/>
        <v>2.9699999999999993</v>
      </c>
      <c r="Z39" s="562">
        <f t="shared" si="2"/>
        <v>4.5</v>
      </c>
      <c r="AA39" s="562">
        <f t="shared" si="2"/>
        <v>2.9699999999999993</v>
      </c>
      <c r="AB39" s="562">
        <f t="shared" si="2"/>
        <v>2.9699999999999993</v>
      </c>
      <c r="AC39" s="562">
        <f t="shared" si="2"/>
        <v>2.9699999999999993</v>
      </c>
      <c r="AD39" s="562">
        <f t="shared" si="2"/>
        <v>4.4999999999999991</v>
      </c>
      <c r="AE39" s="562">
        <f t="shared" si="2"/>
        <v>3.5999999999999996</v>
      </c>
      <c r="AF39" s="562">
        <f t="shared" si="2"/>
        <v>4.4999999999999991</v>
      </c>
      <c r="AG39" s="562">
        <f t="shared" si="2"/>
        <v>2.9699999999999993</v>
      </c>
      <c r="AH39" s="562">
        <f t="shared" si="2"/>
        <v>5.2457142857142847</v>
      </c>
      <c r="AI39" s="562">
        <f t="shared" si="2"/>
        <v>2.9699999999999993</v>
      </c>
      <c r="AJ39" s="562">
        <f t="shared" si="2"/>
        <v>2.9699999999999993</v>
      </c>
      <c r="AK39" s="562">
        <f t="shared" si="2"/>
        <v>4.4999999999999991</v>
      </c>
      <c r="AL39" s="562">
        <f t="shared" si="2"/>
        <v>2.9699999999999993</v>
      </c>
      <c r="AM39" s="562">
        <f t="shared" si="2"/>
        <v>2.9699999999999993</v>
      </c>
      <c r="AN39" s="562">
        <f t="shared" si="2"/>
        <v>3.5999999999999996</v>
      </c>
    </row>
    <row r="40" spans="1:41">
      <c r="A40" s="561" t="s">
        <v>645</v>
      </c>
      <c r="B40" s="561" t="s">
        <v>646</v>
      </c>
      <c r="C40" s="561" t="s">
        <v>664</v>
      </c>
      <c r="D40" s="562">
        <f t="shared" si="2"/>
        <v>1.3018896705019305</v>
      </c>
      <c r="E40" s="562">
        <f t="shared" si="2"/>
        <v>2.2516569395017787</v>
      </c>
      <c r="F40" s="562">
        <f t="shared" si="2"/>
        <v>0.95815172419648542</v>
      </c>
      <c r="G40" s="562">
        <f t="shared" si="2"/>
        <v>2.8642929545832376</v>
      </c>
      <c r="H40" s="562">
        <f t="shared" si="2"/>
        <v>0.9032342673999999</v>
      </c>
      <c r="I40" s="562">
        <f t="shared" si="2"/>
        <v>2.3584394596988481</v>
      </c>
      <c r="J40" s="562">
        <f t="shared" si="2"/>
        <v>2.4633014000468387</v>
      </c>
      <c r="K40" s="562">
        <f t="shared" si="2"/>
        <v>0.94937031118161919</v>
      </c>
      <c r="L40" s="562">
        <f t="shared" si="2"/>
        <v>0.78930471519801992</v>
      </c>
      <c r="M40" s="562">
        <f t="shared" si="2"/>
        <v>2.5288381233112256</v>
      </c>
      <c r="N40" s="562">
        <f t="shared" si="2"/>
        <v>1.2020023719016155</v>
      </c>
      <c r="O40" s="562">
        <f t="shared" si="2"/>
        <v>2.3867977292535394</v>
      </c>
      <c r="P40" s="562">
        <f t="shared" si="2"/>
        <v>1.9821008738732775</v>
      </c>
      <c r="Q40" s="562">
        <f t="shared" si="2"/>
        <v>2.3350310271983101</v>
      </c>
      <c r="R40" s="562">
        <f t="shared" si="2"/>
        <v>2.710933539701216</v>
      </c>
      <c r="S40" s="562">
        <f t="shared" si="2"/>
        <v>0.95815172419648542</v>
      </c>
      <c r="T40" s="562">
        <f t="shared" si="2"/>
        <v>1.2996764608601112</v>
      </c>
      <c r="U40" s="562">
        <f t="shared" si="2"/>
        <v>2.9429413416529813</v>
      </c>
      <c r="V40" s="562">
        <f t="shared" si="2"/>
        <v>1.8897343391275827</v>
      </c>
      <c r="W40" s="562">
        <f t="shared" si="2"/>
        <v>3.0444837242026268</v>
      </c>
      <c r="X40" s="562">
        <f t="shared" si="2"/>
        <v>0.95815172419648542</v>
      </c>
      <c r="Y40" s="562">
        <f t="shared" si="2"/>
        <v>1.3668275099514562</v>
      </c>
      <c r="Z40" s="562">
        <f t="shared" si="2"/>
        <v>1.7367507241792657</v>
      </c>
      <c r="AA40" s="562">
        <f t="shared" si="2"/>
        <v>1.3439084842707338</v>
      </c>
      <c r="AB40" s="562">
        <f t="shared" si="2"/>
        <v>1.3018896705019312</v>
      </c>
      <c r="AC40" s="562">
        <f t="shared" si="2"/>
        <v>0.97640746379999988</v>
      </c>
      <c r="AD40" s="562">
        <f t="shared" si="2"/>
        <v>2.9370401306138607</v>
      </c>
      <c r="AE40" s="562">
        <f t="shared" si="2"/>
        <v>3.0316600035444243</v>
      </c>
      <c r="AF40" s="562">
        <f t="shared" si="2"/>
        <v>3.0080531667341166</v>
      </c>
      <c r="AG40" s="562">
        <f t="shared" si="2"/>
        <v>1.7922998831141872</v>
      </c>
      <c r="AH40" s="562">
        <f t="shared" si="2"/>
        <v>1.9625565775508831</v>
      </c>
      <c r="AI40" s="562">
        <f t="shared" si="2"/>
        <v>1.338217401198925</v>
      </c>
      <c r="AJ40" s="562">
        <f t="shared" si="2"/>
        <v>0.95815172419648542</v>
      </c>
      <c r="AK40" s="562">
        <f t="shared" si="2"/>
        <v>2.9336200371322487</v>
      </c>
      <c r="AL40" s="562">
        <f t="shared" si="2"/>
        <v>1.3268662417457306</v>
      </c>
      <c r="AM40" s="562">
        <f t="shared" si="2"/>
        <v>0.8868482303658145</v>
      </c>
      <c r="AN40" s="562">
        <f t="shared" si="2"/>
        <v>2.127011381258308</v>
      </c>
    </row>
    <row r="41" spans="1:41">
      <c r="A41" s="561" t="s">
        <v>645</v>
      </c>
      <c r="B41" s="561" t="s">
        <v>646</v>
      </c>
      <c r="C41" s="561" t="s">
        <v>665</v>
      </c>
      <c r="D41" s="562">
        <f t="shared" si="2"/>
        <v>1.0849080587516087</v>
      </c>
      <c r="E41" s="562">
        <f t="shared" si="2"/>
        <v>1.4328725978647683</v>
      </c>
      <c r="F41" s="562">
        <f t="shared" si="2"/>
        <v>0.79845977016373781</v>
      </c>
      <c r="G41" s="562">
        <f t="shared" si="2"/>
        <v>1.8227318801893331</v>
      </c>
      <c r="H41" s="562">
        <f t="shared" si="2"/>
        <v>0.75269522283333323</v>
      </c>
      <c r="I41" s="562">
        <f t="shared" si="2"/>
        <v>1.5008251107174491</v>
      </c>
      <c r="J41" s="562">
        <f t="shared" si="2"/>
        <v>1.5675554363934427</v>
      </c>
      <c r="K41" s="562">
        <f t="shared" si="2"/>
        <v>0.79114192598468269</v>
      </c>
      <c r="L41" s="562">
        <f t="shared" si="2"/>
        <v>0.50228481876237629</v>
      </c>
      <c r="M41" s="562">
        <f t="shared" si="2"/>
        <v>1.6092606239253255</v>
      </c>
      <c r="N41" s="562">
        <f t="shared" si="2"/>
        <v>1.0016686432513462</v>
      </c>
      <c r="O41" s="562">
        <f t="shared" si="2"/>
        <v>1.5188712822522523</v>
      </c>
      <c r="P41" s="562">
        <f t="shared" si="2"/>
        <v>1.2613369197375404</v>
      </c>
      <c r="Q41" s="562">
        <f t="shared" si="2"/>
        <v>1.4859288354898339</v>
      </c>
      <c r="R41" s="562">
        <f t="shared" si="2"/>
        <v>1.7251395252644104</v>
      </c>
      <c r="S41" s="562">
        <f t="shared" si="2"/>
        <v>0.79845977016373781</v>
      </c>
      <c r="T41" s="562">
        <f t="shared" si="2"/>
        <v>1.0830637173834261</v>
      </c>
      <c r="U41" s="562">
        <f t="shared" si="2"/>
        <v>1.8727808537791699</v>
      </c>
      <c r="V41" s="562">
        <f t="shared" si="2"/>
        <v>1.2025582158084618</v>
      </c>
      <c r="W41" s="562">
        <f t="shared" si="2"/>
        <v>1.9373987335834901</v>
      </c>
      <c r="X41" s="562">
        <f t="shared" si="2"/>
        <v>0.79845977016373781</v>
      </c>
      <c r="Y41" s="562">
        <f t="shared" si="2"/>
        <v>1.1390229249595472</v>
      </c>
      <c r="Z41" s="562">
        <f t="shared" si="2"/>
        <v>1.1052050062958962</v>
      </c>
      <c r="AA41" s="562">
        <f t="shared" si="2"/>
        <v>1.1199237368922783</v>
      </c>
      <c r="AB41" s="562">
        <f t="shared" si="2"/>
        <v>1.0849080587516093</v>
      </c>
      <c r="AC41" s="562">
        <f t="shared" si="2"/>
        <v>0.81367288649999991</v>
      </c>
      <c r="AD41" s="562">
        <f t="shared" si="2"/>
        <v>1.8690255376633658</v>
      </c>
      <c r="AE41" s="562">
        <f t="shared" si="2"/>
        <v>1.9292381840737247</v>
      </c>
      <c r="AF41" s="562">
        <f t="shared" si="2"/>
        <v>1.9142156515580739</v>
      </c>
      <c r="AG41" s="562">
        <f t="shared" si="2"/>
        <v>1.4935832359284895</v>
      </c>
      <c r="AH41" s="562">
        <f t="shared" si="2"/>
        <v>1.2488996402596528</v>
      </c>
      <c r="AI41" s="562">
        <f t="shared" si="2"/>
        <v>1.1151811676657708</v>
      </c>
      <c r="AJ41" s="562">
        <f t="shared" si="2"/>
        <v>0.79845977016373781</v>
      </c>
      <c r="AK41" s="562">
        <f t="shared" si="2"/>
        <v>1.8668491145387038</v>
      </c>
      <c r="AL41" s="562">
        <f t="shared" si="2"/>
        <v>1.1057218681214422</v>
      </c>
      <c r="AM41" s="562">
        <f t="shared" si="2"/>
        <v>0.73904019197151205</v>
      </c>
      <c r="AN41" s="562">
        <f t="shared" si="2"/>
        <v>1.3535526971643781</v>
      </c>
    </row>
    <row r="42" spans="1:41">
      <c r="A42" s="561" t="s">
        <v>645</v>
      </c>
      <c r="B42" s="561" t="s">
        <v>646</v>
      </c>
      <c r="C42" s="561" t="s">
        <v>666</v>
      </c>
      <c r="D42" s="562">
        <f t="shared" si="2"/>
        <v>2.3680280621829759</v>
      </c>
      <c r="E42" s="562">
        <f t="shared" si="2"/>
        <v>6.3805299447874537</v>
      </c>
      <c r="F42" s="562">
        <f t="shared" si="2"/>
        <v>1.9931297994903459</v>
      </c>
      <c r="G42" s="562">
        <f t="shared" si="2"/>
        <v>6.902338201899398</v>
      </c>
      <c r="H42" s="562">
        <f t="shared" si="2"/>
        <v>1.9273160264931477</v>
      </c>
      <c r="I42" s="562">
        <f t="shared" si="2"/>
        <v>6.5448380676924343</v>
      </c>
      <c r="J42" s="562">
        <f t="shared" si="2"/>
        <v>5.6232697755680414</v>
      </c>
      <c r="K42" s="562">
        <f t="shared" si="2"/>
        <v>4.1483764549863062</v>
      </c>
      <c r="L42" s="562">
        <f t="shared" si="2"/>
        <v>6.5872245882408187</v>
      </c>
      <c r="M42" s="562">
        <f t="shared" si="2"/>
        <v>5.6662594864228781</v>
      </c>
      <c r="N42" s="562">
        <f t="shared" si="2"/>
        <v>2.2648074961481073</v>
      </c>
      <c r="O42" s="562">
        <f t="shared" si="2"/>
        <v>5.9650701554574379</v>
      </c>
      <c r="P42" s="562">
        <f t="shared" si="2"/>
        <v>6.8589339914940375</v>
      </c>
      <c r="Q42" s="562">
        <f t="shared" si="2"/>
        <v>4.7962028223211419</v>
      </c>
      <c r="R42" s="562">
        <f t="shared" si="2"/>
        <v>5.7293950679681096</v>
      </c>
      <c r="S42" s="562">
        <f t="shared" si="2"/>
        <v>1.9931297994903463</v>
      </c>
      <c r="T42" s="562">
        <f t="shared" si="2"/>
        <v>2.365784787368832</v>
      </c>
      <c r="U42" s="562">
        <f t="shared" si="2"/>
        <v>7.0056638315997022</v>
      </c>
      <c r="V42" s="562">
        <f t="shared" si="2"/>
        <v>4.8270340631072122</v>
      </c>
      <c r="W42" s="562">
        <f t="shared" si="2"/>
        <v>6.3219272180473913</v>
      </c>
      <c r="X42" s="562">
        <f t="shared" si="2"/>
        <v>1.9931297994903459</v>
      </c>
      <c r="Y42" s="562">
        <f t="shared" si="2"/>
        <v>2.4330194830822678</v>
      </c>
      <c r="Z42" s="562">
        <f t="shared" si="2"/>
        <v>4.9723129245935613</v>
      </c>
      <c r="AA42" s="562">
        <f t="shared" si="2"/>
        <v>2.4102615014061453</v>
      </c>
      <c r="AB42" s="562">
        <f t="shared" si="2"/>
        <v>2.3680280621829759</v>
      </c>
      <c r="AC42" s="562">
        <f t="shared" si="2"/>
        <v>2.0145878655865821</v>
      </c>
      <c r="AD42" s="562">
        <f t="shared" si="2"/>
        <v>6.1981543329127549</v>
      </c>
      <c r="AE42" s="562">
        <f t="shared" si="2"/>
        <v>7.1205758477691896</v>
      </c>
      <c r="AF42" s="562">
        <f t="shared" si="2"/>
        <v>5.5145730555709696</v>
      </c>
      <c r="AG42" s="562">
        <f t="shared" si="2"/>
        <v>2.410577021418669</v>
      </c>
      <c r="AH42" s="562">
        <f t="shared" si="2"/>
        <v>6.821698193984095</v>
      </c>
      <c r="AI42" s="562">
        <f t="shared" si="2"/>
        <v>2.0462545666514877</v>
      </c>
      <c r="AJ42" s="562">
        <f t="shared" si="2"/>
        <v>1.9931297994903463</v>
      </c>
      <c r="AK42" s="562">
        <f t="shared" si="2"/>
        <v>5.4393815283675453</v>
      </c>
      <c r="AL42" s="562">
        <f t="shared" si="2"/>
        <v>2.3932129436359206</v>
      </c>
      <c r="AM42" s="562">
        <f t="shared" si="2"/>
        <v>3.9943817080937811</v>
      </c>
      <c r="AN42" s="562">
        <f t="shared" si="2"/>
        <v>5.8546944768249221</v>
      </c>
    </row>
    <row r="43" spans="1:41">
      <c r="A43" s="561" t="s">
        <v>645</v>
      </c>
      <c r="B43" s="561" t="s">
        <v>646</v>
      </c>
      <c r="C43" s="561" t="s">
        <v>667</v>
      </c>
      <c r="D43" s="562">
        <f t="shared" si="2"/>
        <v>2.0297383390139792</v>
      </c>
      <c r="E43" s="562">
        <f t="shared" si="2"/>
        <v>5.4690256669606745</v>
      </c>
      <c r="F43" s="562">
        <f t="shared" si="2"/>
        <v>1.7083969709917251</v>
      </c>
      <c r="G43" s="562">
        <f t="shared" si="2"/>
        <v>5.9162898873423408</v>
      </c>
      <c r="H43" s="562">
        <f t="shared" si="2"/>
        <v>1.6519851655655555</v>
      </c>
      <c r="I43" s="562">
        <f t="shared" si="2"/>
        <v>5.6098612008792292</v>
      </c>
      <c r="J43" s="562">
        <f t="shared" si="2"/>
        <v>4.8199455219154643</v>
      </c>
      <c r="K43" s="562">
        <f t="shared" si="2"/>
        <v>3.5557512471311186</v>
      </c>
      <c r="L43" s="562">
        <f t="shared" si="2"/>
        <v>5.6461925042064154</v>
      </c>
      <c r="M43" s="562">
        <f t="shared" si="2"/>
        <v>4.8567938455053241</v>
      </c>
      <c r="N43" s="562">
        <f t="shared" si="2"/>
        <v>1.941263568126949</v>
      </c>
      <c r="O43" s="562">
        <f t="shared" si="2"/>
        <v>5.1129172761063755</v>
      </c>
      <c r="P43" s="562">
        <f t="shared" si="2"/>
        <v>5.8790862784234621</v>
      </c>
      <c r="Q43" s="562">
        <f t="shared" si="2"/>
        <v>4.1110309905609794</v>
      </c>
      <c r="R43" s="562">
        <f t="shared" si="2"/>
        <v>4.9109100582583798</v>
      </c>
      <c r="S43" s="562">
        <f t="shared" si="2"/>
        <v>1.7083969709917251</v>
      </c>
      <c r="T43" s="562">
        <f t="shared" si="2"/>
        <v>2.0278155320304276</v>
      </c>
      <c r="U43" s="562">
        <f t="shared" si="2"/>
        <v>6.0048547127997454</v>
      </c>
      <c r="V43" s="562">
        <f t="shared" si="2"/>
        <v>4.1374577683776108</v>
      </c>
      <c r="W43" s="562">
        <f t="shared" si="2"/>
        <v>5.4187947583263361</v>
      </c>
      <c r="X43" s="562">
        <f t="shared" si="2"/>
        <v>1.7083969709917251</v>
      </c>
      <c r="Y43" s="562">
        <f t="shared" si="2"/>
        <v>2.0854452712133726</v>
      </c>
      <c r="Z43" s="562">
        <f t="shared" si="2"/>
        <v>4.2619825067944808</v>
      </c>
      <c r="AA43" s="562">
        <f t="shared" si="2"/>
        <v>2.0659384297766956</v>
      </c>
      <c r="AB43" s="562">
        <f t="shared" si="2"/>
        <v>2.0297383390139792</v>
      </c>
      <c r="AC43" s="562">
        <f t="shared" si="2"/>
        <v>1.7267895990742133</v>
      </c>
      <c r="AD43" s="562">
        <f t="shared" si="2"/>
        <v>5.3127037139252193</v>
      </c>
      <c r="AE43" s="562">
        <f t="shared" si="2"/>
        <v>6.1033507266593068</v>
      </c>
      <c r="AF43" s="562">
        <f t="shared" si="2"/>
        <v>4.7267769047751163</v>
      </c>
      <c r="AG43" s="562">
        <f t="shared" si="2"/>
        <v>2.0662088755017165</v>
      </c>
      <c r="AH43" s="562">
        <f t="shared" si="2"/>
        <v>5.8471698805577956</v>
      </c>
      <c r="AI43" s="562">
        <f t="shared" si="2"/>
        <v>1.7539324857012752</v>
      </c>
      <c r="AJ43" s="562">
        <f t="shared" si="2"/>
        <v>1.7083969709917251</v>
      </c>
      <c r="AK43" s="562">
        <f t="shared" ref="AK43:AN43" si="3">AK29/AK$5</f>
        <v>4.6623270243150383</v>
      </c>
      <c r="AL43" s="562">
        <f t="shared" si="3"/>
        <v>2.0513253802593607</v>
      </c>
      <c r="AM43" s="562">
        <f t="shared" si="3"/>
        <v>3.4237557497946693</v>
      </c>
      <c r="AN43" s="562">
        <f t="shared" si="3"/>
        <v>5.0183095515642195</v>
      </c>
    </row>
    <row r="46" spans="1:41">
      <c r="A46" s="564" t="s">
        <v>671</v>
      </c>
      <c r="C46" s="562"/>
    </row>
    <row r="47" spans="1:41" ht="15" thickBot="1">
      <c r="A47" s="539" t="s">
        <v>254</v>
      </c>
      <c r="B47" s="539" t="s">
        <v>621</v>
      </c>
      <c r="C47" s="557" t="s">
        <v>627</v>
      </c>
    </row>
    <row r="48" spans="1:41">
      <c r="A48" s="561" t="s">
        <v>668</v>
      </c>
      <c r="B48" s="561" t="s">
        <v>669</v>
      </c>
      <c r="C48" s="562">
        <v>30</v>
      </c>
    </row>
    <row r="49" spans="1:3">
      <c r="A49" s="561" t="s">
        <v>670</v>
      </c>
      <c r="B49" s="561" t="s">
        <v>669</v>
      </c>
      <c r="C49" s="563">
        <v>0.2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1"/>
  <dimension ref="A1:K63"/>
  <sheetViews>
    <sheetView zoomScaleNormal="100" workbookViewId="0">
      <selection activeCell="N22" sqref="N22"/>
    </sheetView>
  </sheetViews>
  <sheetFormatPr defaultColWidth="9.109375" defaultRowHeight="14.4"/>
  <cols>
    <col min="1" max="1" width="50.33203125" style="5" customWidth="1"/>
    <col min="2" max="11" width="11.33203125" style="164" bestFit="1" customWidth="1"/>
    <col min="12" max="16384" width="9.109375" style="5"/>
  </cols>
  <sheetData>
    <row r="1" spans="1:11" ht="21">
      <c r="A1" s="3" t="s">
        <v>503</v>
      </c>
    </row>
    <row r="2" spans="1:11">
      <c r="A2" s="5" t="s">
        <v>169</v>
      </c>
    </row>
    <row r="3" spans="1:11">
      <c r="A3" s="485" t="s">
        <v>165</v>
      </c>
      <c r="B3" s="481" t="s">
        <v>435</v>
      </c>
      <c r="C3" s="481" t="s">
        <v>436</v>
      </c>
      <c r="D3" s="481" t="s">
        <v>437</v>
      </c>
      <c r="E3" s="481" t="s">
        <v>438</v>
      </c>
      <c r="F3" s="481" t="s">
        <v>439</v>
      </c>
      <c r="G3" s="481" t="s">
        <v>432</v>
      </c>
      <c r="H3" s="481" t="s">
        <v>433</v>
      </c>
      <c r="I3" s="481" t="s">
        <v>440</v>
      </c>
      <c r="J3" s="481" t="s">
        <v>441</v>
      </c>
      <c r="K3" s="481" t="s">
        <v>442</v>
      </c>
    </row>
    <row r="4" spans="1:11">
      <c r="A4" s="486" t="s">
        <v>443</v>
      </c>
      <c r="B4" s="482">
        <v>494702123</v>
      </c>
      <c r="C4" s="482">
        <v>496543994</v>
      </c>
      <c r="D4" s="482">
        <v>498408547</v>
      </c>
      <c r="E4" s="482">
        <v>500418320</v>
      </c>
      <c r="F4" s="482">
        <v>502186144</v>
      </c>
      <c r="G4" s="482">
        <v>503234845</v>
      </c>
      <c r="H4" s="482">
        <v>504494374</v>
      </c>
      <c r="I4" s="482">
        <v>504096973</v>
      </c>
      <c r="J4" s="482">
        <v>505186103</v>
      </c>
      <c r="K4" s="482">
        <v>506913394</v>
      </c>
    </row>
    <row r="5" spans="1:11">
      <c r="A5" s="486" t="s">
        <v>444</v>
      </c>
      <c r="B5" s="482">
        <v>490391262</v>
      </c>
      <c r="C5" s="482">
        <v>492231507</v>
      </c>
      <c r="D5" s="482">
        <v>494095017</v>
      </c>
      <c r="E5" s="482">
        <v>496106353</v>
      </c>
      <c r="F5" s="482">
        <v>497876348</v>
      </c>
      <c r="G5" s="482">
        <v>498931998</v>
      </c>
      <c r="H5" s="482">
        <v>500204517</v>
      </c>
      <c r="I5" s="482">
        <v>499820989</v>
      </c>
      <c r="J5" s="482">
        <v>500923963</v>
      </c>
      <c r="K5" s="482">
        <v>502666585</v>
      </c>
    </row>
    <row r="6" spans="1:11">
      <c r="A6" s="486" t="s">
        <v>445</v>
      </c>
      <c r="B6" s="482">
        <v>324890029</v>
      </c>
      <c r="C6" s="482">
        <v>326502500</v>
      </c>
      <c r="D6" s="482">
        <v>328062368</v>
      </c>
      <c r="E6" s="482">
        <v>330005457</v>
      </c>
      <c r="F6" s="482">
        <v>331382308</v>
      </c>
      <c r="G6" s="482">
        <v>332188675</v>
      </c>
      <c r="H6" s="482">
        <v>333049538</v>
      </c>
      <c r="I6" s="482">
        <v>332334292</v>
      </c>
      <c r="J6" s="482">
        <v>333096156</v>
      </c>
      <c r="K6" s="482">
        <v>334542125</v>
      </c>
    </row>
    <row r="7" spans="1:11">
      <c r="A7" s="486" t="s">
        <v>446</v>
      </c>
      <c r="B7" s="482">
        <v>322640305</v>
      </c>
      <c r="C7" s="482">
        <v>324274626</v>
      </c>
      <c r="D7" s="482">
        <v>325853528</v>
      </c>
      <c r="E7" s="482">
        <v>327813647</v>
      </c>
      <c r="F7" s="482">
        <v>329219474</v>
      </c>
      <c r="G7" s="482">
        <v>330068171</v>
      </c>
      <c r="H7" s="482">
        <v>330974933</v>
      </c>
      <c r="I7" s="482">
        <v>330289479</v>
      </c>
      <c r="J7" s="482">
        <v>331072331</v>
      </c>
      <c r="K7" s="482">
        <v>332540657</v>
      </c>
    </row>
    <row r="8" spans="1:11">
      <c r="A8" s="486" t="s">
        <v>447</v>
      </c>
      <c r="B8" s="482">
        <v>321281455</v>
      </c>
      <c r="C8" s="482">
        <v>322923926</v>
      </c>
      <c r="D8" s="482">
        <v>324510608</v>
      </c>
      <c r="E8" s="482">
        <v>326475207</v>
      </c>
      <c r="F8" s="482">
        <v>327883734</v>
      </c>
      <c r="G8" s="482">
        <v>328734881</v>
      </c>
      <c r="H8" s="482">
        <v>329645273</v>
      </c>
      <c r="I8" s="482">
        <v>328964262</v>
      </c>
      <c r="J8" s="482">
        <v>329752157</v>
      </c>
      <c r="K8" s="482">
        <v>331224838</v>
      </c>
    </row>
    <row r="9" spans="1:11">
      <c r="A9" s="486" t="s">
        <v>448</v>
      </c>
      <c r="B9" s="482">
        <v>10445852</v>
      </c>
      <c r="C9" s="482">
        <v>10511382</v>
      </c>
      <c r="D9" s="482">
        <v>10584534</v>
      </c>
      <c r="E9" s="482">
        <v>10666866</v>
      </c>
      <c r="F9" s="482">
        <v>10753080</v>
      </c>
      <c r="G9" s="482">
        <v>10839905</v>
      </c>
      <c r="H9" s="482">
        <v>11000638</v>
      </c>
      <c r="I9" s="482">
        <v>11094850</v>
      </c>
      <c r="J9" s="482">
        <v>11161642</v>
      </c>
      <c r="K9" s="482">
        <v>11203992</v>
      </c>
    </row>
    <row r="10" spans="1:11">
      <c r="A10" s="486" t="s">
        <v>449</v>
      </c>
      <c r="B10" s="482">
        <v>7688573</v>
      </c>
      <c r="C10" s="482">
        <v>7629371</v>
      </c>
      <c r="D10" s="482">
        <v>7572673</v>
      </c>
      <c r="E10" s="482">
        <v>7518002</v>
      </c>
      <c r="F10" s="482">
        <v>7467119</v>
      </c>
      <c r="G10" s="482">
        <v>7421766</v>
      </c>
      <c r="H10" s="482">
        <v>7369431</v>
      </c>
      <c r="I10" s="482">
        <v>7327224</v>
      </c>
      <c r="J10" s="482">
        <v>7284552</v>
      </c>
      <c r="K10" s="482">
        <v>7245677</v>
      </c>
    </row>
    <row r="11" spans="1:11">
      <c r="A11" s="486" t="s">
        <v>450</v>
      </c>
      <c r="B11" s="482">
        <v>10198855</v>
      </c>
      <c r="C11" s="482">
        <v>10223577</v>
      </c>
      <c r="D11" s="482">
        <v>10254233</v>
      </c>
      <c r="E11" s="482">
        <v>10343422</v>
      </c>
      <c r="F11" s="482">
        <v>10425783</v>
      </c>
      <c r="G11" s="482">
        <v>10462088</v>
      </c>
      <c r="H11" s="482">
        <v>10486731</v>
      </c>
      <c r="I11" s="482">
        <v>10505445</v>
      </c>
      <c r="J11" s="482">
        <v>10516125</v>
      </c>
      <c r="K11" s="482">
        <v>10512419</v>
      </c>
    </row>
    <row r="12" spans="1:11">
      <c r="A12" s="486" t="s">
        <v>451</v>
      </c>
      <c r="B12" s="482">
        <v>5411405</v>
      </c>
      <c r="C12" s="482">
        <v>5427459</v>
      </c>
      <c r="D12" s="482">
        <v>5447084</v>
      </c>
      <c r="E12" s="482">
        <v>5475791</v>
      </c>
      <c r="F12" s="482">
        <v>5511451</v>
      </c>
      <c r="G12" s="482">
        <v>5534738</v>
      </c>
      <c r="H12" s="482">
        <v>5560628</v>
      </c>
      <c r="I12" s="482">
        <v>5580516</v>
      </c>
      <c r="J12" s="482">
        <v>5602628</v>
      </c>
      <c r="K12" s="482">
        <v>5627235</v>
      </c>
    </row>
    <row r="13" spans="1:11">
      <c r="A13" s="486" t="s">
        <v>452</v>
      </c>
      <c r="B13" s="482">
        <v>82500849</v>
      </c>
      <c r="C13" s="482">
        <v>82437995</v>
      </c>
      <c r="D13" s="482">
        <v>82314906</v>
      </c>
      <c r="E13" s="482">
        <v>82217837</v>
      </c>
      <c r="F13" s="482">
        <v>82002356</v>
      </c>
      <c r="G13" s="482">
        <v>81802257</v>
      </c>
      <c r="H13" s="482">
        <v>81751602</v>
      </c>
      <c r="I13" s="482">
        <v>80327900</v>
      </c>
      <c r="J13" s="482">
        <v>80523746</v>
      </c>
      <c r="K13" s="482">
        <v>80767463</v>
      </c>
    </row>
    <row r="14" spans="1:11">
      <c r="A14" s="486" t="s">
        <v>453</v>
      </c>
      <c r="B14" s="482">
        <v>82500849</v>
      </c>
      <c r="C14" s="482">
        <v>82437995</v>
      </c>
      <c r="D14" s="482">
        <v>82314906</v>
      </c>
      <c r="E14" s="482">
        <v>82217837</v>
      </c>
      <c r="F14" s="482">
        <v>82002356</v>
      </c>
      <c r="G14" s="482">
        <v>81802257</v>
      </c>
      <c r="H14" s="482">
        <v>81751602</v>
      </c>
      <c r="I14" s="482">
        <v>80327900</v>
      </c>
      <c r="J14" s="482">
        <v>80523746</v>
      </c>
      <c r="K14" s="482">
        <v>80767463</v>
      </c>
    </row>
    <row r="15" spans="1:11">
      <c r="A15" s="486" t="s">
        <v>454</v>
      </c>
      <c r="B15" s="482">
        <v>1358850</v>
      </c>
      <c r="C15" s="482">
        <v>1350700</v>
      </c>
      <c r="D15" s="482">
        <v>1342920</v>
      </c>
      <c r="E15" s="482">
        <v>1338440</v>
      </c>
      <c r="F15" s="482">
        <v>1335740</v>
      </c>
      <c r="G15" s="482">
        <v>1333290</v>
      </c>
      <c r="H15" s="482">
        <v>1329660</v>
      </c>
      <c r="I15" s="482">
        <v>1325217</v>
      </c>
      <c r="J15" s="482">
        <v>1320174</v>
      </c>
      <c r="K15" s="482">
        <v>1315819</v>
      </c>
    </row>
    <row r="16" spans="1:11">
      <c r="A16" s="486" t="s">
        <v>455</v>
      </c>
      <c r="B16" s="482">
        <v>4111672</v>
      </c>
      <c r="C16" s="482">
        <v>4208156</v>
      </c>
      <c r="D16" s="482">
        <v>4340118</v>
      </c>
      <c r="E16" s="482">
        <v>4457765</v>
      </c>
      <c r="F16" s="482">
        <v>4521322</v>
      </c>
      <c r="G16" s="482">
        <v>4549428</v>
      </c>
      <c r="H16" s="482">
        <v>4570881</v>
      </c>
      <c r="I16" s="482">
        <v>4582707</v>
      </c>
      <c r="J16" s="482">
        <v>4591087</v>
      </c>
      <c r="K16" s="482">
        <v>4605501</v>
      </c>
    </row>
    <row r="17" spans="1:11">
      <c r="A17" s="486" t="s">
        <v>456</v>
      </c>
      <c r="B17" s="482">
        <v>11073713</v>
      </c>
      <c r="C17" s="482">
        <v>11112113</v>
      </c>
      <c r="D17" s="482">
        <v>11143780</v>
      </c>
      <c r="E17" s="482">
        <v>11182224</v>
      </c>
      <c r="F17" s="482">
        <v>11190654</v>
      </c>
      <c r="G17" s="482">
        <v>11183516</v>
      </c>
      <c r="H17" s="482">
        <v>11123392</v>
      </c>
      <c r="I17" s="482">
        <v>11123034</v>
      </c>
      <c r="J17" s="482">
        <v>11062508</v>
      </c>
      <c r="K17" s="482">
        <v>10992589</v>
      </c>
    </row>
    <row r="18" spans="1:11">
      <c r="A18" s="486" t="s">
        <v>457</v>
      </c>
      <c r="B18" s="482">
        <v>43296338</v>
      </c>
      <c r="C18" s="482">
        <v>44009971</v>
      </c>
      <c r="D18" s="482">
        <v>44784666</v>
      </c>
      <c r="E18" s="482">
        <v>45668939</v>
      </c>
      <c r="F18" s="482">
        <v>46239273</v>
      </c>
      <c r="G18" s="482">
        <v>46486619</v>
      </c>
      <c r="H18" s="482">
        <v>46667174</v>
      </c>
      <c r="I18" s="482">
        <v>46818219</v>
      </c>
      <c r="J18" s="482">
        <v>46727890</v>
      </c>
      <c r="K18" s="482">
        <v>46512199</v>
      </c>
    </row>
    <row r="19" spans="1:11">
      <c r="A19" s="486" t="s">
        <v>458</v>
      </c>
      <c r="B19" s="482">
        <v>62772870</v>
      </c>
      <c r="C19" s="482">
        <v>63229635</v>
      </c>
      <c r="D19" s="482">
        <v>63645065</v>
      </c>
      <c r="E19" s="482">
        <v>64007193</v>
      </c>
      <c r="F19" s="482">
        <v>64350226</v>
      </c>
      <c r="G19" s="482">
        <v>64658856</v>
      </c>
      <c r="H19" s="482">
        <v>64978721</v>
      </c>
      <c r="I19" s="482">
        <v>65276983</v>
      </c>
      <c r="J19" s="482">
        <v>65560721</v>
      </c>
      <c r="K19" s="482">
        <v>65835579</v>
      </c>
    </row>
    <row r="20" spans="1:11">
      <c r="A20" s="486" t="s">
        <v>459</v>
      </c>
      <c r="B20" s="482">
        <v>60963264</v>
      </c>
      <c r="C20" s="482">
        <v>61399733</v>
      </c>
      <c r="D20" s="482">
        <v>61795238</v>
      </c>
      <c r="E20" s="482">
        <v>62134866</v>
      </c>
      <c r="F20" s="482">
        <v>62465709</v>
      </c>
      <c r="G20" s="482">
        <v>62765235</v>
      </c>
      <c r="H20" s="482">
        <v>63070344</v>
      </c>
      <c r="I20" s="482">
        <v>63375971</v>
      </c>
      <c r="J20" s="482">
        <v>63652034</v>
      </c>
      <c r="K20" s="482">
        <v>63928608</v>
      </c>
    </row>
    <row r="21" spans="1:11">
      <c r="A21" s="486" t="s">
        <v>460</v>
      </c>
      <c r="B21" s="482">
        <v>4310861</v>
      </c>
      <c r="C21" s="482">
        <v>4312487</v>
      </c>
      <c r="D21" s="482">
        <v>4313530</v>
      </c>
      <c r="E21" s="482">
        <v>4311967</v>
      </c>
      <c r="F21" s="482">
        <v>4309796</v>
      </c>
      <c r="G21" s="482">
        <v>4302847</v>
      </c>
      <c r="H21" s="482">
        <v>4289857</v>
      </c>
      <c r="I21" s="482">
        <v>4275984</v>
      </c>
      <c r="J21" s="482">
        <v>4262140</v>
      </c>
      <c r="K21" s="482">
        <v>4246809</v>
      </c>
    </row>
    <row r="22" spans="1:11">
      <c r="A22" s="486" t="s">
        <v>461</v>
      </c>
      <c r="B22" s="482">
        <v>57874753</v>
      </c>
      <c r="C22" s="482">
        <v>58064214</v>
      </c>
      <c r="D22" s="482">
        <v>58223744</v>
      </c>
      <c r="E22" s="482">
        <v>58652875</v>
      </c>
      <c r="F22" s="482">
        <v>59000586</v>
      </c>
      <c r="G22" s="482">
        <v>59190143</v>
      </c>
      <c r="H22" s="482">
        <v>59364690</v>
      </c>
      <c r="I22" s="482">
        <v>59394207</v>
      </c>
      <c r="J22" s="482">
        <v>59685227</v>
      </c>
      <c r="K22" s="482">
        <v>60782668</v>
      </c>
    </row>
    <row r="23" spans="1:11">
      <c r="A23" s="486" t="s">
        <v>462</v>
      </c>
      <c r="B23" s="482">
        <v>733067</v>
      </c>
      <c r="C23" s="482">
        <v>744013</v>
      </c>
      <c r="D23" s="482">
        <v>757916</v>
      </c>
      <c r="E23" s="482">
        <v>776333</v>
      </c>
      <c r="F23" s="482">
        <v>796930</v>
      </c>
      <c r="G23" s="482">
        <v>819140</v>
      </c>
      <c r="H23" s="482">
        <v>839751</v>
      </c>
      <c r="I23" s="482">
        <v>862011</v>
      </c>
      <c r="J23" s="482">
        <v>865878</v>
      </c>
      <c r="K23" s="482">
        <v>858000</v>
      </c>
    </row>
    <row r="24" spans="1:11">
      <c r="A24" s="486" t="s">
        <v>463</v>
      </c>
      <c r="B24" s="482">
        <v>2249724</v>
      </c>
      <c r="C24" s="482">
        <v>2227874</v>
      </c>
      <c r="D24" s="482">
        <v>2208840</v>
      </c>
      <c r="E24" s="482">
        <v>2191810</v>
      </c>
      <c r="F24" s="482">
        <v>2162834</v>
      </c>
      <c r="G24" s="482">
        <v>2120504</v>
      </c>
      <c r="H24" s="482">
        <v>2074605</v>
      </c>
      <c r="I24" s="482">
        <v>2044813</v>
      </c>
      <c r="J24" s="482">
        <v>2023825</v>
      </c>
      <c r="K24" s="482">
        <v>2001468</v>
      </c>
    </row>
    <row r="25" spans="1:11">
      <c r="A25" s="486" t="s">
        <v>464</v>
      </c>
      <c r="B25" s="482">
        <v>3355220</v>
      </c>
      <c r="C25" s="482">
        <v>3289835</v>
      </c>
      <c r="D25" s="482">
        <v>3249983</v>
      </c>
      <c r="E25" s="482">
        <v>3212605</v>
      </c>
      <c r="F25" s="482">
        <v>3183856</v>
      </c>
      <c r="G25" s="482">
        <v>3141976</v>
      </c>
      <c r="H25" s="482">
        <v>3052588</v>
      </c>
      <c r="I25" s="482">
        <v>3003641</v>
      </c>
      <c r="J25" s="482">
        <v>2971905</v>
      </c>
      <c r="K25" s="482">
        <v>2943472</v>
      </c>
    </row>
    <row r="26" spans="1:11">
      <c r="A26" s="486" t="s">
        <v>465</v>
      </c>
      <c r="B26" s="482">
        <v>461230</v>
      </c>
      <c r="C26" s="482">
        <v>469086</v>
      </c>
      <c r="D26" s="482">
        <v>476187</v>
      </c>
      <c r="E26" s="482">
        <v>483799</v>
      </c>
      <c r="F26" s="482">
        <v>493500</v>
      </c>
      <c r="G26" s="482">
        <v>502066</v>
      </c>
      <c r="H26" s="482">
        <v>511840</v>
      </c>
      <c r="I26" s="482">
        <v>524853</v>
      </c>
      <c r="J26" s="482">
        <v>537039</v>
      </c>
      <c r="K26" s="482">
        <v>549680</v>
      </c>
    </row>
    <row r="27" spans="1:11">
      <c r="A27" s="486" t="s">
        <v>466</v>
      </c>
      <c r="B27" s="482">
        <v>10097549</v>
      </c>
      <c r="C27" s="482">
        <v>10076581</v>
      </c>
      <c r="D27" s="482">
        <v>10066158</v>
      </c>
      <c r="E27" s="482">
        <v>10045401</v>
      </c>
      <c r="F27" s="482">
        <v>10030975</v>
      </c>
      <c r="G27" s="482">
        <v>10014324</v>
      </c>
      <c r="H27" s="482">
        <v>9985722</v>
      </c>
      <c r="I27" s="482">
        <v>9931925</v>
      </c>
      <c r="J27" s="482">
        <v>9908798</v>
      </c>
      <c r="K27" s="482">
        <v>9877365</v>
      </c>
    </row>
    <row r="28" spans="1:11">
      <c r="A28" s="486" t="s">
        <v>467</v>
      </c>
      <c r="B28" s="482">
        <v>402668</v>
      </c>
      <c r="C28" s="482">
        <v>404999</v>
      </c>
      <c r="D28" s="482">
        <v>405616</v>
      </c>
      <c r="E28" s="482">
        <v>407832</v>
      </c>
      <c r="F28" s="482">
        <v>410926</v>
      </c>
      <c r="G28" s="482">
        <v>414027</v>
      </c>
      <c r="H28" s="482">
        <v>414989</v>
      </c>
      <c r="I28" s="482">
        <v>417546</v>
      </c>
      <c r="J28" s="482">
        <v>421364</v>
      </c>
      <c r="K28" s="482">
        <v>425384</v>
      </c>
    </row>
    <row r="29" spans="1:11">
      <c r="A29" s="486" t="s">
        <v>468</v>
      </c>
      <c r="B29" s="482">
        <v>16305526</v>
      </c>
      <c r="C29" s="482">
        <v>16334210</v>
      </c>
      <c r="D29" s="482">
        <v>16357992</v>
      </c>
      <c r="E29" s="482">
        <v>16405399</v>
      </c>
      <c r="F29" s="482">
        <v>16485787</v>
      </c>
      <c r="G29" s="482">
        <v>16574989</v>
      </c>
      <c r="H29" s="482">
        <v>16655799</v>
      </c>
      <c r="I29" s="482">
        <v>16730348</v>
      </c>
      <c r="J29" s="482">
        <v>16779575</v>
      </c>
      <c r="K29" s="482">
        <v>16829289</v>
      </c>
    </row>
    <row r="30" spans="1:11">
      <c r="A30" s="486" t="s">
        <v>469</v>
      </c>
      <c r="B30" s="482">
        <v>8201359</v>
      </c>
      <c r="C30" s="482">
        <v>8254298</v>
      </c>
      <c r="D30" s="482">
        <v>8282984</v>
      </c>
      <c r="E30" s="482">
        <v>8307989</v>
      </c>
      <c r="F30" s="482">
        <v>8335003</v>
      </c>
      <c r="G30" s="482">
        <v>8351643</v>
      </c>
      <c r="H30" s="482">
        <v>8375164</v>
      </c>
      <c r="I30" s="482">
        <v>8408121</v>
      </c>
      <c r="J30" s="482">
        <v>8451860</v>
      </c>
      <c r="K30" s="482">
        <v>8506889</v>
      </c>
    </row>
    <row r="31" spans="1:11">
      <c r="A31" s="486" t="s">
        <v>470</v>
      </c>
      <c r="B31" s="482">
        <v>38173835</v>
      </c>
      <c r="C31" s="482">
        <v>38157055</v>
      </c>
      <c r="D31" s="482">
        <v>38125479</v>
      </c>
      <c r="E31" s="482">
        <v>38115641</v>
      </c>
      <c r="F31" s="482">
        <v>38135876</v>
      </c>
      <c r="G31" s="482">
        <v>38022869</v>
      </c>
      <c r="H31" s="482">
        <v>38062718</v>
      </c>
      <c r="I31" s="482">
        <v>38063792</v>
      </c>
      <c r="J31" s="482">
        <v>38062535</v>
      </c>
      <c r="K31" s="482">
        <v>38017856</v>
      </c>
    </row>
    <row r="32" spans="1:11">
      <c r="A32" s="486" t="s">
        <v>471</v>
      </c>
      <c r="B32" s="482">
        <v>10494672</v>
      </c>
      <c r="C32" s="482">
        <v>10511988</v>
      </c>
      <c r="D32" s="482">
        <v>10532588</v>
      </c>
      <c r="E32" s="482">
        <v>10553339</v>
      </c>
      <c r="F32" s="482">
        <v>10563014</v>
      </c>
      <c r="G32" s="482">
        <v>10573479</v>
      </c>
      <c r="H32" s="482">
        <v>10572721</v>
      </c>
      <c r="I32" s="482">
        <v>10542398</v>
      </c>
      <c r="J32" s="482">
        <v>10487289</v>
      </c>
      <c r="K32" s="482">
        <v>10427301</v>
      </c>
    </row>
    <row r="33" spans="1:11">
      <c r="A33" s="486" t="s">
        <v>472</v>
      </c>
      <c r="B33" s="482">
        <v>21382354</v>
      </c>
      <c r="C33" s="482">
        <v>21257016</v>
      </c>
      <c r="D33" s="482">
        <v>21130503</v>
      </c>
      <c r="E33" s="482">
        <v>20635460</v>
      </c>
      <c r="F33" s="482">
        <v>20440290</v>
      </c>
      <c r="G33" s="482">
        <v>20294683</v>
      </c>
      <c r="H33" s="482">
        <v>20199059</v>
      </c>
      <c r="I33" s="482">
        <v>20095996</v>
      </c>
      <c r="J33" s="482">
        <v>20020074</v>
      </c>
      <c r="K33" s="482">
        <v>19947311</v>
      </c>
    </row>
    <row r="34" spans="1:11">
      <c r="A34" s="486" t="s">
        <v>473</v>
      </c>
      <c r="B34" s="482">
        <v>1997590</v>
      </c>
      <c r="C34" s="482">
        <v>2003358</v>
      </c>
      <c r="D34" s="482">
        <v>2010377</v>
      </c>
      <c r="E34" s="482">
        <v>2010269</v>
      </c>
      <c r="F34" s="482">
        <v>2032362</v>
      </c>
      <c r="G34" s="482">
        <v>2046976</v>
      </c>
      <c r="H34" s="482">
        <v>2050189</v>
      </c>
      <c r="I34" s="482">
        <v>2055496</v>
      </c>
      <c r="J34" s="482">
        <v>2058821</v>
      </c>
      <c r="K34" s="482">
        <v>2061085</v>
      </c>
    </row>
    <row r="35" spans="1:11">
      <c r="A35" s="486" t="s">
        <v>474</v>
      </c>
      <c r="B35" s="482">
        <v>5372685</v>
      </c>
      <c r="C35" s="482">
        <v>5372928</v>
      </c>
      <c r="D35" s="482">
        <v>5373180</v>
      </c>
      <c r="E35" s="482">
        <v>5376064</v>
      </c>
      <c r="F35" s="482">
        <v>5382401</v>
      </c>
      <c r="G35" s="482">
        <v>5390410</v>
      </c>
      <c r="H35" s="482">
        <v>5392446</v>
      </c>
      <c r="I35" s="482">
        <v>5404322</v>
      </c>
      <c r="J35" s="482">
        <v>5410836</v>
      </c>
      <c r="K35" s="482">
        <v>5415949</v>
      </c>
    </row>
    <row r="36" spans="1:11">
      <c r="A36" s="486" t="s">
        <v>475</v>
      </c>
      <c r="B36" s="482">
        <v>5236611</v>
      </c>
      <c r="C36" s="482">
        <v>5255580</v>
      </c>
      <c r="D36" s="482">
        <v>5276955</v>
      </c>
      <c r="E36" s="482">
        <v>5300484</v>
      </c>
      <c r="F36" s="482">
        <v>5326314</v>
      </c>
      <c r="G36" s="482">
        <v>5351427</v>
      </c>
      <c r="H36" s="482">
        <v>5375276</v>
      </c>
      <c r="I36" s="482">
        <v>5401267</v>
      </c>
      <c r="J36" s="482">
        <v>5426674</v>
      </c>
      <c r="K36" s="482">
        <v>5451270</v>
      </c>
    </row>
    <row r="37" spans="1:11">
      <c r="A37" s="486" t="s">
        <v>476</v>
      </c>
      <c r="B37" s="482">
        <v>9011392</v>
      </c>
      <c r="C37" s="482">
        <v>9047752</v>
      </c>
      <c r="D37" s="482">
        <v>9113257</v>
      </c>
      <c r="E37" s="482">
        <v>9182927</v>
      </c>
      <c r="F37" s="482">
        <v>9256347</v>
      </c>
      <c r="G37" s="482">
        <v>9340682</v>
      </c>
      <c r="H37" s="482">
        <v>9415570</v>
      </c>
      <c r="I37" s="482">
        <v>9482855</v>
      </c>
      <c r="J37" s="482">
        <v>9555893</v>
      </c>
      <c r="K37" s="482">
        <v>9644864</v>
      </c>
    </row>
    <row r="38" spans="1:11">
      <c r="A38" s="486" t="s">
        <v>477</v>
      </c>
      <c r="B38" s="482">
        <v>60182050</v>
      </c>
      <c r="C38" s="482">
        <v>60620361</v>
      </c>
      <c r="D38" s="482">
        <v>61073279</v>
      </c>
      <c r="E38" s="482">
        <v>61571647</v>
      </c>
      <c r="F38" s="482">
        <v>62042343</v>
      </c>
      <c r="G38" s="482">
        <v>62510197</v>
      </c>
      <c r="H38" s="482">
        <v>63022532</v>
      </c>
      <c r="I38" s="482">
        <v>63495303</v>
      </c>
      <c r="J38" s="482">
        <v>63905297</v>
      </c>
      <c r="K38" s="482">
        <v>64308261</v>
      </c>
    </row>
    <row r="39" spans="1:11">
      <c r="A39" s="486" t="s">
        <v>478</v>
      </c>
      <c r="B39" s="482">
        <v>499636663</v>
      </c>
      <c r="C39" s="482">
        <v>501519009</v>
      </c>
      <c r="D39" s="482">
        <v>503432521</v>
      </c>
      <c r="E39" s="482">
        <v>505506306</v>
      </c>
      <c r="F39" s="482">
        <v>507340353</v>
      </c>
      <c r="G39" s="482">
        <v>508446568</v>
      </c>
      <c r="H39" s="482">
        <v>509769280</v>
      </c>
      <c r="I39" s="482">
        <v>509438893</v>
      </c>
      <c r="J39" s="482">
        <v>510596073</v>
      </c>
      <c r="K39" s="482">
        <v>512384164</v>
      </c>
    </row>
    <row r="40" spans="1:11">
      <c r="A40" s="486" t="s">
        <v>479</v>
      </c>
      <c r="B40" s="482">
        <v>495325802</v>
      </c>
      <c r="C40" s="482">
        <v>497206522</v>
      </c>
      <c r="D40" s="482">
        <v>499118991</v>
      </c>
      <c r="E40" s="482">
        <v>501194339</v>
      </c>
      <c r="F40" s="482">
        <v>503030557</v>
      </c>
      <c r="G40" s="482">
        <v>504143721</v>
      </c>
      <c r="H40" s="482">
        <v>505479423</v>
      </c>
      <c r="I40" s="482">
        <v>505162909</v>
      </c>
      <c r="J40" s="482">
        <v>506333933</v>
      </c>
      <c r="K40" s="482">
        <v>508137355</v>
      </c>
    </row>
    <row r="41" spans="1:11">
      <c r="A41" s="486" t="s">
        <v>480</v>
      </c>
      <c r="B41" s="482">
        <v>12349642</v>
      </c>
      <c r="C41" s="482">
        <v>12434143</v>
      </c>
      <c r="D41" s="482">
        <v>12532713</v>
      </c>
      <c r="E41" s="482">
        <v>12681480</v>
      </c>
      <c r="F41" s="482">
        <v>12856065</v>
      </c>
      <c r="G41" s="482">
        <v>12997529</v>
      </c>
      <c r="H41" s="482">
        <v>13145040</v>
      </c>
      <c r="I41" s="482">
        <v>13296582</v>
      </c>
      <c r="J41" s="482">
        <v>13449030</v>
      </c>
      <c r="K41" s="482">
        <v>13610401</v>
      </c>
    </row>
    <row r="42" spans="1:11">
      <c r="A42" s="486" t="s">
        <v>481</v>
      </c>
      <c r="B42" s="482">
        <v>293577</v>
      </c>
      <c r="C42" s="482">
        <v>299891</v>
      </c>
      <c r="D42" s="482">
        <v>307672</v>
      </c>
      <c r="E42" s="482">
        <v>315459</v>
      </c>
      <c r="F42" s="482">
        <v>319368</v>
      </c>
      <c r="G42" s="482">
        <v>317630</v>
      </c>
      <c r="H42" s="482">
        <v>318452</v>
      </c>
      <c r="I42" s="482">
        <v>319575</v>
      </c>
      <c r="J42" s="482">
        <v>321857</v>
      </c>
      <c r="K42" s="482">
        <v>325671</v>
      </c>
    </row>
    <row r="43" spans="1:11">
      <c r="A43" s="486" t="s">
        <v>482</v>
      </c>
      <c r="B43" s="482">
        <v>34600</v>
      </c>
      <c r="C43" s="482">
        <v>34905</v>
      </c>
      <c r="D43" s="482">
        <v>35168</v>
      </c>
      <c r="E43" s="482">
        <v>35356</v>
      </c>
      <c r="F43" s="482">
        <v>35589</v>
      </c>
      <c r="G43" s="482">
        <v>35894</v>
      </c>
      <c r="H43" s="482">
        <v>36149</v>
      </c>
      <c r="I43" s="482">
        <v>36475</v>
      </c>
      <c r="J43" s="482">
        <v>36838</v>
      </c>
      <c r="K43" s="482">
        <v>37129</v>
      </c>
    </row>
    <row r="44" spans="1:11">
      <c r="A44" s="486" t="s">
        <v>483</v>
      </c>
      <c r="B44" s="482">
        <v>4606363</v>
      </c>
      <c r="C44" s="482">
        <v>4640219</v>
      </c>
      <c r="D44" s="482">
        <v>4681134</v>
      </c>
      <c r="E44" s="482">
        <v>4737171</v>
      </c>
      <c r="F44" s="482">
        <v>4799252</v>
      </c>
      <c r="G44" s="482">
        <v>4858199</v>
      </c>
      <c r="H44" s="482">
        <v>4920305</v>
      </c>
      <c r="I44" s="482">
        <v>4985870</v>
      </c>
      <c r="J44" s="482">
        <v>5051275</v>
      </c>
      <c r="K44" s="482">
        <v>5107970</v>
      </c>
    </row>
    <row r="45" spans="1:11">
      <c r="A45" s="486" t="s">
        <v>484</v>
      </c>
      <c r="B45" s="482">
        <v>7415102</v>
      </c>
      <c r="C45" s="482">
        <v>7459128</v>
      </c>
      <c r="D45" s="482">
        <v>7508739</v>
      </c>
      <c r="E45" s="482">
        <v>7593494</v>
      </c>
      <c r="F45" s="482">
        <v>7701856</v>
      </c>
      <c r="G45" s="482">
        <v>7785806</v>
      </c>
      <c r="H45" s="482">
        <v>7870134</v>
      </c>
      <c r="I45" s="482">
        <v>7954662</v>
      </c>
      <c r="J45" s="482">
        <v>8039060</v>
      </c>
      <c r="K45" s="482">
        <v>8139631</v>
      </c>
    </row>
    <row r="46" spans="1:11">
      <c r="A46" s="486" t="s">
        <v>485</v>
      </c>
      <c r="B46" s="482">
        <v>613420</v>
      </c>
      <c r="C46" s="482">
        <v>613109</v>
      </c>
      <c r="D46" s="482">
        <v>614624</v>
      </c>
      <c r="E46" s="482">
        <v>615543</v>
      </c>
      <c r="F46" s="482">
        <v>617157</v>
      </c>
      <c r="G46" s="482">
        <v>619001</v>
      </c>
      <c r="H46" s="482">
        <v>619850</v>
      </c>
      <c r="I46" s="482">
        <v>620308</v>
      </c>
      <c r="J46" s="482">
        <v>620893</v>
      </c>
      <c r="K46" s="482">
        <v>624335</v>
      </c>
    </row>
    <row r="47" spans="1:11">
      <c r="A47" s="486" t="s">
        <v>486</v>
      </c>
      <c r="B47" s="482">
        <v>2035196</v>
      </c>
      <c r="C47" s="482">
        <v>2038514</v>
      </c>
      <c r="D47" s="482">
        <v>2041941</v>
      </c>
      <c r="E47" s="482">
        <v>2045177</v>
      </c>
      <c r="F47" s="482">
        <v>2048619</v>
      </c>
      <c r="G47" s="482">
        <v>2052722</v>
      </c>
      <c r="H47" s="482">
        <v>2057284</v>
      </c>
      <c r="I47" s="482">
        <v>2059794</v>
      </c>
      <c r="J47" s="482">
        <v>2062294</v>
      </c>
      <c r="K47" s="482">
        <v>2065769</v>
      </c>
    </row>
    <row r="48" spans="1:11">
      <c r="A48" s="486" t="s">
        <v>487</v>
      </c>
      <c r="B48" s="482">
        <v>3134975</v>
      </c>
      <c r="C48" s="482">
        <v>3149143</v>
      </c>
      <c r="D48" s="482">
        <v>3152625</v>
      </c>
      <c r="E48" s="482">
        <v>3170050</v>
      </c>
      <c r="F48" s="482">
        <v>3184701</v>
      </c>
      <c r="G48" s="483" t="s">
        <v>434</v>
      </c>
      <c r="H48" s="482">
        <v>2831741</v>
      </c>
      <c r="I48" s="483" t="s">
        <v>434</v>
      </c>
      <c r="J48" s="482">
        <v>2898782</v>
      </c>
      <c r="K48" s="482">
        <v>2895947</v>
      </c>
    </row>
    <row r="49" spans="1:11">
      <c r="A49" s="486" t="s">
        <v>488</v>
      </c>
      <c r="B49" s="482">
        <v>7456050</v>
      </c>
      <c r="C49" s="482">
        <v>7425487</v>
      </c>
      <c r="D49" s="482">
        <v>7397651</v>
      </c>
      <c r="E49" s="482">
        <v>7365507</v>
      </c>
      <c r="F49" s="482">
        <v>7334937</v>
      </c>
      <c r="G49" s="482">
        <v>7306677</v>
      </c>
      <c r="H49" s="482">
        <v>7251549</v>
      </c>
      <c r="I49" s="482">
        <v>7216649</v>
      </c>
      <c r="J49" s="482">
        <v>7181505</v>
      </c>
      <c r="K49" s="482">
        <v>7146759</v>
      </c>
    </row>
    <row r="50" spans="1:11">
      <c r="A50" s="486" t="s">
        <v>489</v>
      </c>
      <c r="B50" s="482">
        <v>71610009</v>
      </c>
      <c r="C50" s="482">
        <v>72519974</v>
      </c>
      <c r="D50" s="482">
        <v>69689256</v>
      </c>
      <c r="E50" s="482">
        <v>70586256</v>
      </c>
      <c r="F50" s="482">
        <v>71517100</v>
      </c>
      <c r="G50" s="482">
        <v>72561312</v>
      </c>
      <c r="H50" s="482">
        <v>73722988</v>
      </c>
      <c r="I50" s="482">
        <v>74724269</v>
      </c>
      <c r="J50" s="482">
        <v>75627384</v>
      </c>
      <c r="K50" s="482">
        <v>76667864</v>
      </c>
    </row>
    <row r="51" spans="1:11">
      <c r="A51" s="486" t="s">
        <v>490</v>
      </c>
      <c r="B51" s="482">
        <v>76875</v>
      </c>
      <c r="C51" s="482">
        <v>78549</v>
      </c>
      <c r="D51" s="482">
        <v>81222</v>
      </c>
      <c r="E51" s="482">
        <v>83137</v>
      </c>
      <c r="F51" s="482">
        <v>84484</v>
      </c>
      <c r="G51" s="482">
        <v>84082</v>
      </c>
      <c r="H51" s="482">
        <v>78115</v>
      </c>
      <c r="I51" s="482">
        <v>78115</v>
      </c>
      <c r="J51" s="482">
        <v>76246</v>
      </c>
      <c r="K51" s="483" t="s">
        <v>434</v>
      </c>
    </row>
    <row r="52" spans="1:11">
      <c r="A52" s="486" t="s">
        <v>491</v>
      </c>
      <c r="B52" s="482">
        <v>9800073</v>
      </c>
      <c r="C52" s="482">
        <v>9750540</v>
      </c>
      <c r="D52" s="482">
        <v>9714461</v>
      </c>
      <c r="E52" s="482">
        <v>9689770</v>
      </c>
      <c r="F52" s="482">
        <v>9671912</v>
      </c>
      <c r="G52" s="482">
        <v>9480178</v>
      </c>
      <c r="H52" s="482">
        <v>9481193</v>
      </c>
      <c r="I52" s="482">
        <v>9465150</v>
      </c>
      <c r="J52" s="482">
        <v>9463840</v>
      </c>
      <c r="K52" s="483" t="s">
        <v>434</v>
      </c>
    </row>
    <row r="53" spans="1:11">
      <c r="A53" s="486" t="s">
        <v>492</v>
      </c>
      <c r="B53" s="482">
        <v>3842532</v>
      </c>
      <c r="C53" s="482">
        <v>3842650</v>
      </c>
      <c r="D53" s="482">
        <v>3844017</v>
      </c>
      <c r="E53" s="482">
        <v>3843846</v>
      </c>
      <c r="F53" s="482">
        <v>3843998</v>
      </c>
      <c r="G53" s="482">
        <v>3844046</v>
      </c>
      <c r="H53" s="482">
        <v>3843183</v>
      </c>
      <c r="I53" s="482">
        <v>3839265</v>
      </c>
      <c r="J53" s="482">
        <v>3835645</v>
      </c>
      <c r="K53" s="482">
        <v>3830911</v>
      </c>
    </row>
    <row r="54" spans="1:11">
      <c r="A54" s="486" t="s">
        <v>493</v>
      </c>
      <c r="B54" s="482">
        <v>2041000</v>
      </c>
      <c r="C54" s="482">
        <v>2100000</v>
      </c>
      <c r="D54" s="482">
        <v>2126708</v>
      </c>
      <c r="E54" s="482">
        <v>2153139</v>
      </c>
      <c r="F54" s="482">
        <v>2180686</v>
      </c>
      <c r="G54" s="482">
        <v>2208107</v>
      </c>
      <c r="H54" s="482">
        <v>1794180</v>
      </c>
      <c r="I54" s="482">
        <v>1798645</v>
      </c>
      <c r="J54" s="482">
        <v>1815605</v>
      </c>
      <c r="K54" s="483" t="s">
        <v>434</v>
      </c>
    </row>
    <row r="55" spans="1:11">
      <c r="A55" s="486" t="s">
        <v>494</v>
      </c>
      <c r="B55" s="482">
        <v>3600436</v>
      </c>
      <c r="C55" s="482">
        <v>3589936</v>
      </c>
      <c r="D55" s="482">
        <v>3581110</v>
      </c>
      <c r="E55" s="482">
        <v>3572703</v>
      </c>
      <c r="F55" s="482">
        <v>3567512</v>
      </c>
      <c r="G55" s="482">
        <v>3563695</v>
      </c>
      <c r="H55" s="482">
        <v>3560430</v>
      </c>
      <c r="I55" s="482">
        <v>3559541</v>
      </c>
      <c r="J55" s="482">
        <v>3559497</v>
      </c>
      <c r="K55" s="482">
        <v>3557634</v>
      </c>
    </row>
    <row r="56" spans="1:11">
      <c r="A56" s="486" t="s">
        <v>495</v>
      </c>
      <c r="B56" s="482">
        <v>33085</v>
      </c>
      <c r="C56" s="483" t="s">
        <v>434</v>
      </c>
      <c r="D56" s="483" t="s">
        <v>434</v>
      </c>
      <c r="E56" s="483" t="s">
        <v>434</v>
      </c>
      <c r="F56" s="483" t="s">
        <v>434</v>
      </c>
      <c r="G56" s="483" t="s">
        <v>434</v>
      </c>
      <c r="H56" s="483" t="s">
        <v>434</v>
      </c>
      <c r="I56" s="483" t="s">
        <v>434</v>
      </c>
      <c r="J56" s="483" t="s">
        <v>434</v>
      </c>
      <c r="K56" s="483" t="s">
        <v>434</v>
      </c>
    </row>
    <row r="57" spans="1:11">
      <c r="A57" s="486" t="s">
        <v>496</v>
      </c>
      <c r="B57" s="482">
        <v>143474219</v>
      </c>
      <c r="C57" s="482">
        <v>142753551</v>
      </c>
      <c r="D57" s="482">
        <v>142220968</v>
      </c>
      <c r="E57" s="482">
        <v>142008838</v>
      </c>
      <c r="F57" s="482">
        <v>141903979</v>
      </c>
      <c r="G57" s="482">
        <v>141914509</v>
      </c>
      <c r="H57" s="482">
        <v>142856536</v>
      </c>
      <c r="I57" s="482">
        <v>143056383</v>
      </c>
      <c r="J57" s="483" t="s">
        <v>434</v>
      </c>
      <c r="K57" s="483" t="s">
        <v>434</v>
      </c>
    </row>
    <row r="58" spans="1:11">
      <c r="A58" s="486" t="s">
        <v>497</v>
      </c>
      <c r="B58" s="482">
        <v>29673</v>
      </c>
      <c r="C58" s="482">
        <v>29999</v>
      </c>
      <c r="D58" s="482">
        <v>30368</v>
      </c>
      <c r="E58" s="482">
        <v>32054</v>
      </c>
      <c r="F58" s="482">
        <v>31269</v>
      </c>
      <c r="G58" s="483" t="s">
        <v>434</v>
      </c>
      <c r="H58" s="482">
        <v>31863</v>
      </c>
      <c r="I58" s="482">
        <v>33376</v>
      </c>
      <c r="J58" s="482">
        <v>33562</v>
      </c>
      <c r="K58" s="483" t="s">
        <v>434</v>
      </c>
    </row>
    <row r="59" spans="1:11">
      <c r="A59" s="486" t="s">
        <v>498</v>
      </c>
      <c r="B59" s="482">
        <v>47100462</v>
      </c>
      <c r="C59" s="482">
        <v>46749170</v>
      </c>
      <c r="D59" s="482">
        <v>46465691</v>
      </c>
      <c r="E59" s="482">
        <v>46192309</v>
      </c>
      <c r="F59" s="482">
        <v>45963359</v>
      </c>
      <c r="G59" s="482">
        <v>45782592</v>
      </c>
      <c r="H59" s="482">
        <v>45598179</v>
      </c>
      <c r="I59" s="482">
        <v>45453282</v>
      </c>
      <c r="J59" s="482">
        <v>45372692</v>
      </c>
      <c r="K59" s="482">
        <v>45245894</v>
      </c>
    </row>
    <row r="60" spans="1:11">
      <c r="A60" s="486" t="s">
        <v>499</v>
      </c>
      <c r="B60" s="482">
        <v>3215800</v>
      </c>
      <c r="C60" s="482">
        <v>3219234</v>
      </c>
      <c r="D60" s="482">
        <v>3222953</v>
      </c>
      <c r="E60" s="482">
        <v>3230086</v>
      </c>
      <c r="F60" s="482">
        <v>3237976</v>
      </c>
      <c r="G60" s="482">
        <v>3249482</v>
      </c>
      <c r="H60" s="482">
        <v>3262650</v>
      </c>
      <c r="I60" s="482">
        <v>3274285</v>
      </c>
      <c r="J60" s="482">
        <v>3026878</v>
      </c>
      <c r="K60" s="482">
        <v>3017079</v>
      </c>
    </row>
    <row r="61" spans="1:11">
      <c r="A61" s="486" t="s">
        <v>500</v>
      </c>
      <c r="B61" s="482">
        <v>8347300</v>
      </c>
      <c r="C61" s="482">
        <v>8436400</v>
      </c>
      <c r="D61" s="482">
        <v>8532700</v>
      </c>
      <c r="E61" s="482">
        <v>8629900</v>
      </c>
      <c r="F61" s="482">
        <v>8896900</v>
      </c>
      <c r="G61" s="482">
        <v>8997586</v>
      </c>
      <c r="H61" s="482">
        <v>9111078</v>
      </c>
      <c r="I61" s="482">
        <v>9235085</v>
      </c>
      <c r="J61" s="482">
        <v>9356483</v>
      </c>
      <c r="K61" s="482">
        <v>9477119</v>
      </c>
    </row>
    <row r="62" spans="1:11">
      <c r="A62" s="486" t="s">
        <v>501</v>
      </c>
      <c r="B62" s="482">
        <v>4321500</v>
      </c>
      <c r="C62" s="482">
        <v>4401292</v>
      </c>
      <c r="D62" s="482">
        <v>4394702</v>
      </c>
      <c r="E62" s="482">
        <v>4382070</v>
      </c>
      <c r="F62" s="482">
        <v>4385429</v>
      </c>
      <c r="G62" s="482">
        <v>4436391</v>
      </c>
      <c r="H62" s="482">
        <v>4469250</v>
      </c>
      <c r="I62" s="482">
        <v>4497617</v>
      </c>
      <c r="J62" s="483" t="s">
        <v>434</v>
      </c>
      <c r="K62" s="482">
        <v>4490500</v>
      </c>
    </row>
    <row r="63" spans="1:11">
      <c r="A63" s="487" t="s">
        <v>502</v>
      </c>
      <c r="B63" s="484">
        <v>42068.274513888886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5"/>
  <dimension ref="B2:H37"/>
  <sheetViews>
    <sheetView workbookViewId="0">
      <selection activeCell="H24" sqref="H24"/>
    </sheetView>
  </sheetViews>
  <sheetFormatPr defaultRowHeight="14.4"/>
  <cols>
    <col min="3" max="6" width="10.5546875" bestFit="1" customWidth="1"/>
    <col min="8" max="8" width="12.6640625" bestFit="1" customWidth="1"/>
  </cols>
  <sheetData>
    <row r="2" spans="2:8">
      <c r="B2" t="s">
        <v>883</v>
      </c>
    </row>
    <row r="3" spans="2:8">
      <c r="B3" t="s">
        <v>884</v>
      </c>
    </row>
    <row r="4" spans="2:8">
      <c r="B4" t="s">
        <v>887</v>
      </c>
    </row>
    <row r="5" spans="2:8">
      <c r="B5" t="s">
        <v>884</v>
      </c>
    </row>
    <row r="6" spans="2:8">
      <c r="B6" t="s">
        <v>888</v>
      </c>
      <c r="C6" s="509" t="s">
        <v>254</v>
      </c>
      <c r="D6" s="509" t="s">
        <v>889</v>
      </c>
      <c r="E6" s="509">
        <v>2010</v>
      </c>
      <c r="F6" s="509">
        <v>2015</v>
      </c>
      <c r="G6" s="509">
        <v>2030</v>
      </c>
      <c r="H6" s="791"/>
    </row>
    <row r="7" spans="2:8">
      <c r="B7" t="s">
        <v>890</v>
      </c>
      <c r="C7" s="509" t="s">
        <v>885</v>
      </c>
      <c r="D7" s="509" t="s">
        <v>88</v>
      </c>
      <c r="E7" s="509">
        <v>134.096011753364</v>
      </c>
      <c r="F7" s="509">
        <v>128.133046233263</v>
      </c>
      <c r="G7" s="509">
        <v>125.85358967467801</v>
      </c>
      <c r="H7" s="791">
        <f>G7/F7-1</f>
        <v>-1.7789763262439751E-2</v>
      </c>
    </row>
    <row r="8" spans="2:8">
      <c r="B8" t="s">
        <v>890</v>
      </c>
      <c r="C8" s="509" t="s">
        <v>885</v>
      </c>
      <c r="D8" s="509" t="s">
        <v>89</v>
      </c>
      <c r="E8" s="509">
        <v>172.52253705062199</v>
      </c>
      <c r="F8" s="509">
        <v>145.722609899502</v>
      </c>
      <c r="G8" s="509">
        <v>195.00089084355699</v>
      </c>
      <c r="H8" s="791">
        <f t="shared" ref="H8:H37" si="0">G8/F8-1</f>
        <v>0.33816496271951135</v>
      </c>
    </row>
    <row r="9" spans="2:8">
      <c r="B9" t="s">
        <v>890</v>
      </c>
      <c r="C9" s="509" t="s">
        <v>885</v>
      </c>
      <c r="D9" s="509" t="s">
        <v>90</v>
      </c>
      <c r="E9" s="509">
        <v>26.890560385340201</v>
      </c>
      <c r="F9" s="509">
        <v>24.693132155423299</v>
      </c>
      <c r="G9" s="509">
        <v>36.584620101968802</v>
      </c>
      <c r="H9" s="791">
        <f t="shared" si="0"/>
        <v>0.48157065987814751</v>
      </c>
    </row>
    <row r="10" spans="2:8">
      <c r="B10" t="s">
        <v>890</v>
      </c>
      <c r="C10" s="509" t="s">
        <v>885</v>
      </c>
      <c r="D10" s="509" t="s">
        <v>91</v>
      </c>
      <c r="E10" s="509">
        <v>133.38570874126401</v>
      </c>
      <c r="F10" s="509">
        <v>124.988004844063</v>
      </c>
      <c r="G10" s="509">
        <v>112.876606791688</v>
      </c>
      <c r="H10" s="791">
        <f t="shared" si="0"/>
        <v>-9.690048311024213E-2</v>
      </c>
    </row>
    <row r="11" spans="2:8">
      <c r="B11" t="s">
        <v>890</v>
      </c>
      <c r="C11" s="509" t="s">
        <v>885</v>
      </c>
      <c r="D11" s="509" t="s">
        <v>92</v>
      </c>
      <c r="E11" s="509">
        <v>3.1727572346781501</v>
      </c>
      <c r="F11" s="509">
        <v>5.6634639656963204</v>
      </c>
      <c r="G11" s="509">
        <v>4.6868904414249899</v>
      </c>
      <c r="H11" s="791">
        <f t="shared" si="0"/>
        <v>-0.17243396094447672</v>
      </c>
    </row>
    <row r="12" spans="2:8">
      <c r="B12" t="s">
        <v>890</v>
      </c>
      <c r="C12" s="509" t="s">
        <v>885</v>
      </c>
      <c r="D12" s="509" t="s">
        <v>93</v>
      </c>
      <c r="E12" s="509">
        <v>130.145003442437</v>
      </c>
      <c r="F12" s="509">
        <v>106.02139609224599</v>
      </c>
      <c r="G12" s="509">
        <v>131.858990108087</v>
      </c>
      <c r="H12" s="791">
        <f t="shared" si="0"/>
        <v>0.24370169577243161</v>
      </c>
    </row>
    <row r="13" spans="2:8">
      <c r="B13" t="s">
        <v>890</v>
      </c>
      <c r="C13" s="509" t="s">
        <v>885</v>
      </c>
      <c r="D13" s="509" t="s">
        <v>94</v>
      </c>
      <c r="E13" s="509">
        <v>1356.67811188152</v>
      </c>
      <c r="F13" s="509">
        <v>1078.3305288553299</v>
      </c>
      <c r="G13" s="509">
        <v>1139.6756590585201</v>
      </c>
      <c r="H13" s="791">
        <f t="shared" si="0"/>
        <v>5.6888985855115592E-2</v>
      </c>
    </row>
    <row r="14" spans="2:8">
      <c r="B14" t="s">
        <v>890</v>
      </c>
      <c r="C14" s="509" t="s">
        <v>885</v>
      </c>
      <c r="D14" s="509" t="s">
        <v>95</v>
      </c>
      <c r="E14" s="509">
        <v>111.915676357104</v>
      </c>
      <c r="F14" s="509">
        <v>87.758894506732901</v>
      </c>
      <c r="G14" s="509">
        <v>101.11614252314401</v>
      </c>
      <c r="H14" s="791">
        <f t="shared" si="0"/>
        <v>0.15220392293554164</v>
      </c>
    </row>
    <row r="15" spans="2:8">
      <c r="B15" t="s">
        <v>890</v>
      </c>
      <c r="C15" s="509" t="s">
        <v>885</v>
      </c>
      <c r="D15" s="509" t="s">
        <v>96</v>
      </c>
      <c r="E15" s="509">
        <v>19.255511933521099</v>
      </c>
      <c r="F15" s="509">
        <v>14.970926480081999</v>
      </c>
      <c r="G15" s="509">
        <v>19.151474241656501</v>
      </c>
      <c r="H15" s="791">
        <f t="shared" si="0"/>
        <v>0.27924442532908644</v>
      </c>
    </row>
    <row r="16" spans="2:8">
      <c r="B16" t="s">
        <v>890</v>
      </c>
      <c r="C16" s="509" t="s">
        <v>885</v>
      </c>
      <c r="D16" s="509" t="s">
        <v>205</v>
      </c>
      <c r="E16" s="509">
        <v>68.918077663448997</v>
      </c>
      <c r="F16" s="509">
        <v>80.463724375688102</v>
      </c>
      <c r="G16" s="509">
        <v>70.581911009509</v>
      </c>
      <c r="H16" s="791">
        <f t="shared" si="0"/>
        <v>-0.12281078762947328</v>
      </c>
    </row>
    <row r="17" spans="2:8">
      <c r="B17" t="s">
        <v>890</v>
      </c>
      <c r="C17" s="509" t="s">
        <v>885</v>
      </c>
      <c r="D17" s="509" t="s">
        <v>97</v>
      </c>
      <c r="E17" s="509">
        <v>210.978295091853</v>
      </c>
      <c r="F17" s="509">
        <v>178.818522694205</v>
      </c>
      <c r="G17" s="509">
        <v>174.737152073239</v>
      </c>
      <c r="H17" s="791">
        <f t="shared" si="0"/>
        <v>-2.2824093161453396E-2</v>
      </c>
    </row>
    <row r="18" spans="2:8">
      <c r="B18" t="s">
        <v>890</v>
      </c>
      <c r="C18" s="509" t="s">
        <v>885</v>
      </c>
      <c r="D18" s="509" t="s">
        <v>98</v>
      </c>
      <c r="E18" s="509">
        <v>138.43244107223799</v>
      </c>
      <c r="F18" s="509">
        <v>119.11050063728599</v>
      </c>
      <c r="G18" s="509">
        <v>141.494681769907</v>
      </c>
      <c r="H18" s="791">
        <f t="shared" si="0"/>
        <v>0.18792785701392578</v>
      </c>
    </row>
    <row r="19" spans="2:8">
      <c r="B19" t="s">
        <v>890</v>
      </c>
      <c r="C19" s="509" t="s">
        <v>885</v>
      </c>
      <c r="D19" s="509" t="s">
        <v>99</v>
      </c>
      <c r="E19" s="509">
        <v>861.02379387772896</v>
      </c>
      <c r="F19" s="509">
        <v>716.86364718207903</v>
      </c>
      <c r="G19" s="509">
        <v>871.30843040422201</v>
      </c>
      <c r="H19" s="791">
        <f t="shared" si="0"/>
        <v>0.21544513217994843</v>
      </c>
    </row>
    <row r="20" spans="2:8">
      <c r="B20" t="s">
        <v>890</v>
      </c>
      <c r="C20" s="509" t="s">
        <v>885</v>
      </c>
      <c r="D20" s="509" t="s">
        <v>118</v>
      </c>
      <c r="E20" s="509">
        <v>29.203348680791301</v>
      </c>
      <c r="F20" s="509">
        <v>27.184453322773301</v>
      </c>
      <c r="G20" s="509">
        <v>48.5328264535366</v>
      </c>
      <c r="H20" s="791">
        <f t="shared" si="0"/>
        <v>0.78531552123871751</v>
      </c>
    </row>
    <row r="21" spans="2:8">
      <c r="B21" t="s">
        <v>890</v>
      </c>
      <c r="C21" s="509" t="s">
        <v>885</v>
      </c>
      <c r="D21" s="509" t="s">
        <v>100</v>
      </c>
      <c r="E21" s="509">
        <v>105.59067744075</v>
      </c>
      <c r="F21" s="509">
        <v>92.248945972721302</v>
      </c>
      <c r="G21" s="509">
        <v>122.860884405376</v>
      </c>
      <c r="H21" s="791">
        <f t="shared" si="0"/>
        <v>0.33184052251075991</v>
      </c>
    </row>
    <row r="22" spans="2:8">
      <c r="B22" t="s">
        <v>890</v>
      </c>
      <c r="C22" s="509" t="s">
        <v>885</v>
      </c>
      <c r="D22" s="509" t="s">
        <v>101</v>
      </c>
      <c r="E22" s="509">
        <v>58.5398377047526</v>
      </c>
      <c r="F22" s="509">
        <v>51.936028028044198</v>
      </c>
      <c r="G22" s="509">
        <v>57.6428909717606</v>
      </c>
      <c r="H22" s="791">
        <f t="shared" si="0"/>
        <v>0.10988254513099904</v>
      </c>
    </row>
    <row r="23" spans="2:8">
      <c r="B23" t="s">
        <v>890</v>
      </c>
      <c r="C23" s="509" t="s">
        <v>885</v>
      </c>
      <c r="D23" s="509" t="s">
        <v>102</v>
      </c>
      <c r="E23" s="509">
        <v>13.8281867197345</v>
      </c>
      <c r="F23" s="509">
        <v>12.0644413499145</v>
      </c>
      <c r="G23" s="509">
        <v>12.450458453732599</v>
      </c>
      <c r="H23" s="791">
        <f t="shared" si="0"/>
        <v>3.1996268424052232E-2</v>
      </c>
    </row>
    <row r="24" spans="2:8">
      <c r="B24" t="s">
        <v>890</v>
      </c>
      <c r="C24" s="509" t="s">
        <v>885</v>
      </c>
      <c r="D24" s="509" t="s">
        <v>103</v>
      </c>
      <c r="E24" s="509">
        <v>520.83373331326698</v>
      </c>
      <c r="F24" s="509">
        <v>472.758362394806</v>
      </c>
      <c r="G24" s="509">
        <v>827.31485794847504</v>
      </c>
      <c r="H24" s="791">
        <f t="shared" si="0"/>
        <v>0.74997403273339613</v>
      </c>
    </row>
    <row r="25" spans="2:8">
      <c r="B25" t="s">
        <v>890</v>
      </c>
      <c r="C25" s="509" t="s">
        <v>885</v>
      </c>
      <c r="D25" s="509" t="s">
        <v>104</v>
      </c>
      <c r="E25" s="509">
        <v>28.301093411507999</v>
      </c>
      <c r="F25" s="509">
        <v>22.343802039234401</v>
      </c>
      <c r="G25" s="509">
        <v>22.3906633053987</v>
      </c>
      <c r="H25" s="791">
        <f t="shared" si="0"/>
        <v>2.0972825520926275E-3</v>
      </c>
    </row>
    <row r="26" spans="2:8">
      <c r="B26" t="s">
        <v>890</v>
      </c>
      <c r="C26" s="509" t="s">
        <v>885</v>
      </c>
      <c r="D26" s="509" t="s">
        <v>105</v>
      </c>
      <c r="E26" s="509">
        <v>10.3451642012439</v>
      </c>
      <c r="F26" s="509">
        <v>9.2690658756797699</v>
      </c>
      <c r="G26" s="509">
        <v>14.0085658806649</v>
      </c>
      <c r="H26" s="791">
        <f t="shared" si="0"/>
        <v>0.51132444936233101</v>
      </c>
    </row>
    <row r="27" spans="2:8">
      <c r="B27" t="s">
        <v>890</v>
      </c>
      <c r="C27" s="509" t="s">
        <v>885</v>
      </c>
      <c r="D27" s="509" t="s">
        <v>106</v>
      </c>
      <c r="E27" s="509">
        <v>27.479643294130302</v>
      </c>
      <c r="F27" s="509">
        <v>21.4837478177785</v>
      </c>
      <c r="G27" s="509">
        <v>22.119542759686599</v>
      </c>
      <c r="H27" s="791">
        <f t="shared" si="0"/>
        <v>2.9594228497783703E-2</v>
      </c>
    </row>
    <row r="28" spans="2:8">
      <c r="B28" t="s">
        <v>890</v>
      </c>
      <c r="C28" s="509" t="s">
        <v>885</v>
      </c>
      <c r="D28" s="509" t="s">
        <v>886</v>
      </c>
      <c r="E28" s="509">
        <v>9.2947222891356804E-2</v>
      </c>
      <c r="F28" s="509">
        <v>0.16017880656125399</v>
      </c>
      <c r="G28" s="509">
        <v>0.76330996983743205</v>
      </c>
      <c r="H28" s="791">
        <f t="shared" si="0"/>
        <v>3.7653618242281919</v>
      </c>
    </row>
    <row r="29" spans="2:8">
      <c r="B29" t="s">
        <v>890</v>
      </c>
      <c r="C29" s="509" t="s">
        <v>885</v>
      </c>
      <c r="D29" s="509" t="s">
        <v>108</v>
      </c>
      <c r="E29" s="509">
        <v>230.43058663327</v>
      </c>
      <c r="F29" s="509">
        <v>183.43653648207501</v>
      </c>
      <c r="G29" s="509">
        <v>242.20135307571201</v>
      </c>
      <c r="H29" s="791">
        <f t="shared" si="0"/>
        <v>0.32035502697893214</v>
      </c>
    </row>
    <row r="30" spans="2:8">
      <c r="B30" t="s">
        <v>890</v>
      </c>
      <c r="C30" s="509" t="s">
        <v>885</v>
      </c>
      <c r="D30" s="509" t="s">
        <v>109</v>
      </c>
      <c r="E30" s="509">
        <v>86.591112524506997</v>
      </c>
      <c r="F30" s="509">
        <v>75.868802326857306</v>
      </c>
      <c r="G30" s="509">
        <v>76.381940249344098</v>
      </c>
      <c r="H30" s="791">
        <f t="shared" si="0"/>
        <v>6.7634904829010356E-3</v>
      </c>
    </row>
    <row r="31" spans="2:8">
      <c r="B31" t="s">
        <v>890</v>
      </c>
      <c r="C31" s="509" t="s">
        <v>885</v>
      </c>
      <c r="D31" s="509" t="s">
        <v>110</v>
      </c>
      <c r="E31" s="509">
        <v>383.68295781184099</v>
      </c>
      <c r="F31" s="509">
        <v>307.60413382631401</v>
      </c>
      <c r="G31" s="509">
        <v>376.453819676303</v>
      </c>
      <c r="H31" s="791">
        <f t="shared" si="0"/>
        <v>0.22382561961558145</v>
      </c>
    </row>
    <row r="32" spans="2:8">
      <c r="B32" t="s">
        <v>890</v>
      </c>
      <c r="C32" s="509" t="s">
        <v>885</v>
      </c>
      <c r="D32" s="509" t="s">
        <v>111</v>
      </c>
      <c r="E32" s="509">
        <v>14.8216908523068</v>
      </c>
      <c r="F32" s="509">
        <v>13.2286496380071</v>
      </c>
      <c r="G32" s="509">
        <v>14.9440816742891</v>
      </c>
      <c r="H32" s="791">
        <f t="shared" si="0"/>
        <v>0.12967552117741543</v>
      </c>
    </row>
    <row r="33" spans="2:8">
      <c r="B33" t="s">
        <v>890</v>
      </c>
      <c r="C33" s="509" t="s">
        <v>885</v>
      </c>
      <c r="D33" s="509" t="s">
        <v>112</v>
      </c>
      <c r="E33" s="509">
        <v>127.39092635188101</v>
      </c>
      <c r="F33" s="509">
        <v>119.874156600877</v>
      </c>
      <c r="G33" s="509">
        <v>107.138343493522</v>
      </c>
      <c r="H33" s="791">
        <f t="shared" si="0"/>
        <v>-0.10624319259871084</v>
      </c>
    </row>
    <row r="34" spans="2:8">
      <c r="B34" t="s">
        <v>890</v>
      </c>
      <c r="C34" s="509" t="s">
        <v>885</v>
      </c>
      <c r="D34" s="509" t="s">
        <v>113</v>
      </c>
      <c r="E34" s="509">
        <v>178.719838210994</v>
      </c>
      <c r="F34" s="509">
        <v>152.88330221608399</v>
      </c>
      <c r="G34" s="509">
        <v>153.77888045010201</v>
      </c>
      <c r="H34" s="791">
        <f t="shared" si="0"/>
        <v>5.8579205252395905E-3</v>
      </c>
    </row>
    <row r="35" spans="2:8">
      <c r="B35" t="s">
        <v>890</v>
      </c>
      <c r="C35" s="509" t="s">
        <v>885</v>
      </c>
      <c r="D35" s="509" t="s">
        <v>114</v>
      </c>
      <c r="E35" s="509">
        <v>21.0349018894259</v>
      </c>
      <c r="F35" s="509">
        <v>18.6434812182424</v>
      </c>
      <c r="G35" s="509">
        <v>24.112375306052598</v>
      </c>
      <c r="H35" s="791">
        <f t="shared" si="0"/>
        <v>0.29334082105111126</v>
      </c>
    </row>
    <row r="36" spans="2:8">
      <c r="B36" t="s">
        <v>890</v>
      </c>
      <c r="C36" s="509" t="s">
        <v>885</v>
      </c>
      <c r="D36" s="509" t="s">
        <v>115</v>
      </c>
      <c r="E36" s="509">
        <v>41.058273146564197</v>
      </c>
      <c r="F36" s="509">
        <v>36.457886004047801</v>
      </c>
      <c r="G36" s="509">
        <v>50.667327691242598</v>
      </c>
      <c r="H36" s="791">
        <f t="shared" si="0"/>
        <v>0.38974946834869062</v>
      </c>
    </row>
    <row r="37" spans="2:8">
      <c r="B37" t="s">
        <v>890</v>
      </c>
      <c r="C37" t="s">
        <v>885</v>
      </c>
      <c r="D37" t="s">
        <v>52</v>
      </c>
      <c r="E37">
        <v>920.14978346486305</v>
      </c>
      <c r="F37">
        <v>810.96691595447999</v>
      </c>
      <c r="G37">
        <v>740.60254680861203</v>
      </c>
      <c r="H37" s="791">
        <f t="shared" si="0"/>
        <v>-8.6766016913342958E-2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Cover</vt:lpstr>
      <vt:lpstr>TechComm</vt:lpstr>
      <vt:lpstr>Dwelling stock</vt:lpstr>
      <vt:lpstr>All Stock</vt:lpstr>
      <vt:lpstr>TechHeat-RES</vt:lpstr>
      <vt:lpstr>IDEES okt 2017 template</vt:lpstr>
      <vt:lpstr>IDEES okt 2017</vt:lpstr>
      <vt:lpstr>IDEES 2015</vt:lpstr>
      <vt:lpstr>HP-Stock</vt:lpstr>
      <vt:lpstr>HDD-by Country</vt:lpstr>
      <vt:lpstr>TechWaterHeat-RES</vt:lpstr>
      <vt:lpstr>TechWaterHeat-RES per dwelling</vt:lpstr>
      <vt:lpstr>TechCool-RES</vt:lpstr>
      <vt:lpstr>TechCool-RES per dwelling</vt:lpstr>
      <vt:lpstr>TechCook-RES</vt:lpstr>
      <vt:lpstr>TechELC-RES</vt:lpstr>
      <vt:lpstr>RES_Fuel</vt:lpstr>
      <vt:lpstr>EMI</vt:lpstr>
      <vt:lpstr>IDEES(ELC)</vt:lpstr>
      <vt:lpstr>Eurostat-IEA</vt:lpstr>
      <vt:lpstr>Ceiling-U</vt:lpstr>
      <vt:lpstr>Wall-U</vt:lpstr>
      <vt:lpstr>Floor-U</vt:lpstr>
      <vt:lpstr>Window-U</vt:lpstr>
      <vt:lpstr>Data by dwelling type</vt:lpstr>
      <vt:lpstr>Energy Efficiency Measures-DBT</vt:lpstr>
      <vt:lpstr>Detached</vt:lpstr>
      <vt:lpstr>Semidetached</vt:lpstr>
      <vt:lpstr>Flat</vt:lpstr>
      <vt:lpstr>Savings_Detached</vt:lpstr>
      <vt:lpstr>Savings_SemiDet</vt:lpstr>
      <vt:lpstr>Savings_Flat</vt:lpstr>
      <vt:lpstr>SubRes-RSD_MaxRetrofit</vt:lpstr>
      <vt:lpstr>SubRes-RSD_Saving</vt:lpstr>
      <vt:lpstr>SubRes-RSD_Invcost</vt:lpstr>
      <vt:lpstr>Population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Rocco2</dc:creator>
  <cp:lastModifiedBy>Johanna Markkanen</cp:lastModifiedBy>
  <dcterms:created xsi:type="dcterms:W3CDTF">2014-12-22T10:04:48Z</dcterms:created>
  <dcterms:modified xsi:type="dcterms:W3CDTF">2025-10-22T06:28:20Z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108193993568420</vt:r8>
  </property>
</Properties>
</file>